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Questa_cartella_di_lavoro"/>
  <mc:AlternateContent xmlns:mc="http://schemas.openxmlformats.org/markup-compatibility/2006">
    <mc:Choice Requires="x15">
      <x15ac:absPath xmlns:x15ac="http://schemas.microsoft.com/office/spreadsheetml/2010/11/ac" url="C:\Users\Utente\Desktop\"/>
    </mc:Choice>
  </mc:AlternateContent>
  <xr:revisionPtr revIDLastSave="0" documentId="13_ncr:1_{BF401608-B506-4B03-8826-D02E4BF8929E}" xr6:coauthVersionLast="47" xr6:coauthVersionMax="47" xr10:uidLastSave="{00000000-0000-0000-0000-000000000000}"/>
  <bookViews>
    <workbookView showSheetTabs="0" xWindow="-120" yWindow="-120" windowWidth="19440" windowHeight="14880" tabRatio="865" firstSheet="19" activeTab="24" xr2:uid="{00000000-000D-0000-FFFF-FFFF00000000}"/>
  </bookViews>
  <sheets>
    <sheet name="DSGA" sheetId="9" r:id="rId1"/>
    <sheet name="AssstenteAmministrativo" sheetId="8" r:id="rId2"/>
    <sheet name="CollaboratoreScolastico" sheetId="7" r:id="rId3"/>
    <sheet name="DocentePrimaria" sheetId="6" r:id="rId4"/>
    <sheet name="DocenteDiplomato" sheetId="5" r:id="rId5"/>
    <sheet name="DocenteScuolaMedia" sheetId="4" r:id="rId6"/>
    <sheet name="DocenteLaureatoSuperiore" sheetId="3" r:id="rId7"/>
    <sheet name="fronttd" sheetId="26" r:id="rId8"/>
    <sheet name="Foglio1" sheetId="1" r:id="rId9"/>
    <sheet name="Foglio3" sheetId="15" r:id="rId10"/>
    <sheet name="Foglio7" sheetId="10" r:id="rId11"/>
    <sheet name="decreto" sheetId="14" r:id="rId12"/>
    <sheet name="provvedimento" sheetId="20" r:id="rId13"/>
    <sheet name="frontti" sheetId="27" r:id="rId14"/>
    <sheet name="Foglio2" sheetId="28" r:id="rId15"/>
    <sheet name="ti" sheetId="2" r:id="rId16"/>
    <sheet name="Foglio1ti" sheetId="16" r:id="rId17"/>
    <sheet name="Foglio3ti" sheetId="17" r:id="rId18"/>
    <sheet name="decretoti" sheetId="19" r:id="rId19"/>
    <sheet name="tiGiuEc1" sheetId="23" r:id="rId20"/>
    <sheet name="Foglio7ti" sheetId="18" r:id="rId21"/>
    <sheet name="Foglio7tiGiuEc1" sheetId="24" r:id="rId22"/>
    <sheet name="provvedimentoti" sheetId="25" r:id="rId23"/>
    <sheet name="fronttibis" sheetId="29" r:id="rId24"/>
    <sheet name="religione" sheetId="33" r:id="rId25"/>
    <sheet name="aumentibiennali" sheetId="35" r:id="rId26"/>
    <sheet name="foglio2bis" sheetId="30" r:id="rId27"/>
    <sheet name="Foglio1tibis" sheetId="31" r:id="rId28"/>
    <sheet name="risultatobis" sheetId="32" r:id="rId29"/>
    <sheet name="decretotibis" sheetId="34" r:id="rId30"/>
    <sheet name="decreto ab" sheetId="36" r:id="rId31"/>
    <sheet name="istruzionireligione" sheetId="37" r:id="rId32"/>
  </sheets>
  <externalReferences>
    <externalReference r:id="rId33"/>
  </externalReferences>
  <definedNames>
    <definedName name="_anz1">[1]Foglio2!$I$98</definedName>
    <definedName name="_dif1">[1]Foglio9!$G$25</definedName>
    <definedName name="_dif10">[1]Foglio9!$G$34</definedName>
    <definedName name="_dif11">[1]Foglio9!$G$35</definedName>
    <definedName name="_dif12">[1]Foglio9!$G$36</definedName>
    <definedName name="_dif13">[1]Foglio9!$G$37</definedName>
    <definedName name="_dif14">[1]Foglio9!$G$38</definedName>
    <definedName name="_dif15">[1]Foglio9!$G$39</definedName>
    <definedName name="_dif16">[1]Foglio9!$G$40</definedName>
    <definedName name="_dif17">[1]Foglio9!$G$41</definedName>
    <definedName name="_dif18">[1]Foglio9!$G$42</definedName>
    <definedName name="_dif19">[1]Foglio9!$G$43</definedName>
    <definedName name="_dif2">[1]Foglio9!$G$26</definedName>
    <definedName name="_dif20">[1]Foglio9!$G$44</definedName>
    <definedName name="_dif21">[1]Foglio9!$G$45</definedName>
    <definedName name="_dif22">[1]Foglio9!$G$46</definedName>
    <definedName name="_dif23">[1]Foglio9!$G$47</definedName>
    <definedName name="_dif24">[1]Foglio9!$G$48</definedName>
    <definedName name="_dif25">[1]Foglio9!$G$49</definedName>
    <definedName name="_dif26">[1]Foglio9!$G$50</definedName>
    <definedName name="_dif27">[1]Foglio9!$G$51</definedName>
    <definedName name="_dif28">[1]Foglio9!$G$52</definedName>
    <definedName name="_dif29">[1]Foglio9!$G$53</definedName>
    <definedName name="_dif3">[1]Foglio9!$G$27</definedName>
    <definedName name="_dif4">[1]Foglio9!$G$28</definedName>
    <definedName name="_dif5">[1]Foglio9!$G$29</definedName>
    <definedName name="_dif6">[1]Foglio9!$G$30</definedName>
    <definedName name="_dif7">[1]Foglio9!$G$31</definedName>
    <definedName name="_dif8">[1]Foglio9!$G$32</definedName>
    <definedName name="_dif9">[1]Foglio9!$G$33</definedName>
    <definedName name="_pre1">[1]Foglio9!$C$25</definedName>
    <definedName name="_pre10">[1]Foglio9!$C$34</definedName>
    <definedName name="_pre11">[1]Foglio9!$C$35</definedName>
    <definedName name="_pre12">[1]Foglio9!$C$36</definedName>
    <definedName name="_pre13">[1]Foglio9!$C$37</definedName>
    <definedName name="_pre14">[1]Foglio9!$C$38</definedName>
    <definedName name="_pre15">[1]Foglio9!$C$39</definedName>
    <definedName name="_pre16">[1]Foglio9!$C$40</definedName>
    <definedName name="_pre17">[1]Foglio9!$C$41</definedName>
    <definedName name="_pre18">[1]Foglio9!$C$42</definedName>
    <definedName name="_pre19">[1]Foglio9!$C$43</definedName>
    <definedName name="_pre2">[1]Foglio9!$C$26</definedName>
    <definedName name="_pre20">[1]Foglio9!$C$44</definedName>
    <definedName name="_pre21">[1]Foglio9!$C$45</definedName>
    <definedName name="_pre22">[1]Foglio9!$C$46</definedName>
    <definedName name="_pre23">[1]Foglio9!$C$47</definedName>
    <definedName name="_pre24">[1]Foglio9!$C$48</definedName>
    <definedName name="_pre25">[1]Foglio9!$C$49</definedName>
    <definedName name="_pre26">[1]Foglio9!$C$50</definedName>
    <definedName name="_pre27">[1]Foglio9!$C$51</definedName>
    <definedName name="_pre28">[1]Foglio9!$C$52</definedName>
    <definedName name="_pre29">[1]Foglio9!$C$53</definedName>
    <definedName name="_pre3">[1]Foglio9!$C$27</definedName>
    <definedName name="_pre4">[1]Foglio9!$C$28</definedName>
    <definedName name="_pre5">[1]Foglio9!$C$29</definedName>
    <definedName name="_pre6">[1]Foglio9!$C$30</definedName>
    <definedName name="_pre7">[1]Foglio9!$C$31</definedName>
    <definedName name="_pre8">[1]Foglio9!$C$32</definedName>
    <definedName name="_pre9">[1]Foglio9!$C$33</definedName>
    <definedName name="_sc2">[1]Foglio2!$C$229</definedName>
    <definedName name="_sc3">[1]Foglio2!$C$230</definedName>
    <definedName name="_sc4">[1]Foglio2!$C$231</definedName>
    <definedName name="_sc5">[1]Foglio2!$C$232</definedName>
    <definedName name="_sc6">[1]Foglio2!$C$233</definedName>
    <definedName name="_sc7">[1]Foglio2!$C$234</definedName>
    <definedName name="anni1">[1]Foglio2!$AB$123</definedName>
    <definedName name="annoblocco">[1]Foglio2!$D$29</definedName>
    <definedName name="anz">[1]Foglio2!$L$98</definedName>
    <definedName name="_xlnm.Print_Area" localSheetId="11">decreto!$C$1:$C$72</definedName>
    <definedName name="_xlnm.Print_Area" localSheetId="30">'decreto ab'!$C$1:$C$64</definedName>
    <definedName name="_xlnm.Print_Area" localSheetId="18">decretoti!$C$1:$C$64</definedName>
    <definedName name="_xlnm.Print_Area" localSheetId="29">decretotibis!$C$1:$C$64</definedName>
    <definedName name="_xlnm.Print_Area" localSheetId="22">provvedimentoti!$B$1:$K$60</definedName>
    <definedName name="ARR">[1]Foglio2!$E$181</definedName>
    <definedName name="cinque">[1]Foglio2!$AB$204</definedName>
    <definedName name="coef">[1]Foglio8!$L$6</definedName>
    <definedName name="CONF">[1]Foglio2!$J$97</definedName>
    <definedName name="data1">[1]Foglio2!$AA$123</definedName>
    <definedName name="data96">[1]Foglio2!$J$180</definedName>
    <definedName name="datatetto">[1]Foglio2!$M$111</definedName>
    <definedName name="dececon">[1]Foglio2!$I$27</definedName>
    <definedName name="decor">[1]Foglio2!$I$25</definedName>
    <definedName name="due">[1]Foglio2!$AB$201</definedName>
    <definedName name="fasc">[1]Foglio2!$AC$123</definedName>
    <definedName name="giorniecon">[1]Foglio2!$R$104</definedName>
    <definedName name="inizio">[1]COMPARAZIONE!$G$8</definedName>
    <definedName name="intmax">'[1]tabella sintetica'!$K$11</definedName>
    <definedName name="intmin">'[1]tabella sintetica'!$K$9</definedName>
    <definedName name="numanni">[1]Foglio2!$B$29</definedName>
    <definedName name="QUAL">[1]Foglio2!$G$10</definedName>
    <definedName name="qualifica">[1]Foglio2!$D$25</definedName>
    <definedName name="quattro">[1]Foglio2!$AB$203</definedName>
    <definedName name="RETZERO">[1]COMPARAZIONE!$D$71:$E$95</definedName>
    <definedName name="RETZERON">[1]COMPARAZIONE!$D$71:$E$98</definedName>
    <definedName name="rigqual">[1]Foglio2!$A$25</definedName>
    <definedName name="sei">[1]Foglio2!$AB$205</definedName>
    <definedName name="stri1">'[1]tabella sintetica'!$K$66</definedName>
    <definedName name="stri2">'[1]tabella sintetica'!$K$67</definedName>
    <definedName name="stri3">'[1]tabella sintetica'!$K$68</definedName>
    <definedName name="tabcia">[1]Foglio4!$AJ$34:$AO$35</definedName>
    <definedName name="tabrpd">[1]Foglio1!$G$1561:$P$1564</definedName>
    <definedName name="tre">[1]Foglio2!$AB$202</definedName>
    <definedName name="uno">[1]Foglio2!$AB$200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E790" i="15" l="1"/>
  <c r="DE789" i="15"/>
  <c r="DE788" i="15"/>
  <c r="DE787" i="15"/>
  <c r="DE786" i="15"/>
  <c r="DE785" i="15"/>
  <c r="DE784" i="15"/>
  <c r="DE783" i="15"/>
  <c r="DE782" i="15"/>
  <c r="DE781" i="15"/>
  <c r="DE780" i="15"/>
  <c r="DE779" i="15"/>
  <c r="DE778" i="15"/>
  <c r="DE777" i="15"/>
  <c r="DE776" i="15"/>
  <c r="DE775" i="15"/>
  <c r="DE774" i="15"/>
  <c r="CM38" i="32" l="1"/>
  <c r="CM37" i="32"/>
  <c r="CM36" i="32"/>
  <c r="CM35" i="32"/>
  <c r="CN35" i="32" s="1"/>
  <c r="DN63" i="32"/>
  <c r="DN62" i="32"/>
  <c r="DN61" i="32"/>
  <c r="DN60" i="32"/>
  <c r="DN59" i="32"/>
  <c r="DN58" i="32"/>
  <c r="DN57" i="32"/>
  <c r="DN56" i="32"/>
  <c r="DN55" i="32"/>
  <c r="DN54" i="32"/>
  <c r="DN53" i="32"/>
  <c r="DN52" i="32"/>
  <c r="DN51" i="32"/>
  <c r="CK102" i="32"/>
  <c r="CK101" i="32"/>
  <c r="CK100" i="32"/>
  <c r="CK99" i="32"/>
  <c r="CK98" i="32"/>
  <c r="CK97" i="32"/>
  <c r="CK96" i="32"/>
  <c r="CK95" i="32"/>
  <c r="CK94" i="32"/>
  <c r="CK93" i="32"/>
  <c r="CK92" i="32"/>
  <c r="CK91" i="32"/>
  <c r="CK90" i="32"/>
  <c r="CK89" i="32"/>
  <c r="CK88" i="32"/>
  <c r="CK87" i="32"/>
  <c r="CK86" i="32"/>
  <c r="CK85" i="32"/>
  <c r="CK84" i="32"/>
  <c r="CK83" i="32"/>
  <c r="CK82" i="32"/>
  <c r="CK81" i="32"/>
  <c r="CK80" i="32"/>
  <c r="CK79" i="32"/>
  <c r="CK78" i="32"/>
  <c r="CK77" i="32"/>
  <c r="CK76" i="32"/>
  <c r="CK75" i="32"/>
  <c r="CK74" i="32"/>
  <c r="DW21" i="32"/>
  <c r="DX21" i="32" s="1"/>
  <c r="DW20" i="32"/>
  <c r="DV20" i="32" s="1"/>
  <c r="DT19" i="32"/>
  <c r="DS19" i="32" s="1"/>
  <c r="DW19" i="32" s="1"/>
  <c r="T48" i="35"/>
  <c r="T47" i="35"/>
  <c r="T46" i="35"/>
  <c r="T45" i="35"/>
  <c r="T44" i="35"/>
  <c r="L61" i="35"/>
  <c r="AI40" i="35"/>
  <c r="P48" i="35"/>
  <c r="O48" i="35"/>
  <c r="Q48" i="35" s="1"/>
  <c r="Q47" i="35"/>
  <c r="P47" i="35"/>
  <c r="O47" i="35"/>
  <c r="P46" i="35"/>
  <c r="O46" i="35"/>
  <c r="P45" i="35"/>
  <c r="O45" i="35"/>
  <c r="P44" i="35"/>
  <c r="O44" i="35"/>
  <c r="T43" i="35"/>
  <c r="P43" i="35"/>
  <c r="O43" i="35"/>
  <c r="T42" i="35"/>
  <c r="AC42" i="35" s="1"/>
  <c r="P42" i="35"/>
  <c r="Q42" i="35" s="1"/>
  <c r="S42" i="35" s="1"/>
  <c r="AL42" i="35" s="1"/>
  <c r="O42" i="35"/>
  <c r="DN50" i="32"/>
  <c r="DN49" i="32"/>
  <c r="DN48" i="32"/>
  <c r="DN47" i="32"/>
  <c r="DN46" i="32"/>
  <c r="DN45" i="32"/>
  <c r="DN44" i="32"/>
  <c r="DN43" i="32"/>
  <c r="DN42" i="32"/>
  <c r="DN41" i="32"/>
  <c r="DN40" i="32"/>
  <c r="DN39" i="32"/>
  <c r="DN38" i="32"/>
  <c r="DN37" i="32"/>
  <c r="DQ15" i="32"/>
  <c r="DP17" i="32" s="1"/>
  <c r="K10" i="35"/>
  <c r="K11" i="35"/>
  <c r="K17" i="35"/>
  <c r="K18" i="35"/>
  <c r="K19" i="35"/>
  <c r="K20" i="35"/>
  <c r="C101" i="36"/>
  <c r="C100" i="36"/>
  <c r="C99" i="36"/>
  <c r="C98" i="36"/>
  <c r="C97" i="36"/>
  <c r="C96" i="36"/>
  <c r="C95" i="36"/>
  <c r="C94" i="36"/>
  <c r="C93" i="36"/>
  <c r="C92" i="36"/>
  <c r="C91" i="36"/>
  <c r="C90" i="36"/>
  <c r="C89" i="36"/>
  <c r="C88" i="36"/>
  <c r="C87" i="36"/>
  <c r="C86" i="36"/>
  <c r="C85" i="36"/>
  <c r="C84" i="36"/>
  <c r="C83" i="36"/>
  <c r="C65" i="36"/>
  <c r="AE51" i="35"/>
  <c r="AD51" i="35"/>
  <c r="AE50" i="35"/>
  <c r="AD50" i="35"/>
  <c r="AE49" i="35"/>
  <c r="AD49" i="35"/>
  <c r="T41" i="35"/>
  <c r="AM41" i="35" s="1"/>
  <c r="T40" i="35"/>
  <c r="AM40" i="35" s="1"/>
  <c r="T39" i="35"/>
  <c r="AI39" i="35" s="1"/>
  <c r="T38" i="35"/>
  <c r="AG38" i="35" s="1"/>
  <c r="T37" i="35"/>
  <c r="AK37" i="35" s="1"/>
  <c r="T36" i="35"/>
  <c r="AM36" i="35" s="1"/>
  <c r="T35" i="35"/>
  <c r="AI35" i="35" s="1"/>
  <c r="T34" i="35"/>
  <c r="AG34" i="35" s="1"/>
  <c r="T33" i="35"/>
  <c r="AK33" i="35" s="1"/>
  <c r="T32" i="35"/>
  <c r="AM32" i="35" s="1"/>
  <c r="T31" i="35"/>
  <c r="AI31" i="35" s="1"/>
  <c r="T30" i="35"/>
  <c r="T29" i="35"/>
  <c r="AK29" i="35" s="1"/>
  <c r="T28" i="35"/>
  <c r="AM28" i="35" s="1"/>
  <c r="T27" i="35"/>
  <c r="AO27" i="35" s="1"/>
  <c r="T26" i="35"/>
  <c r="T25" i="35"/>
  <c r="CV22" i="32"/>
  <c r="CR11" i="32"/>
  <c r="CS11" i="32" s="1"/>
  <c r="CT11" i="32" s="1"/>
  <c r="CU11" i="32" s="1"/>
  <c r="CV11" i="32" s="1"/>
  <c r="CW11" i="32" s="1"/>
  <c r="CX11" i="32" s="1"/>
  <c r="CY11" i="32" s="1"/>
  <c r="CZ11" i="32" s="1"/>
  <c r="DA11" i="32" s="1"/>
  <c r="DB11" i="32" s="1"/>
  <c r="DC11" i="32" s="1"/>
  <c r="DD11" i="32" s="1"/>
  <c r="DE11" i="32" s="1"/>
  <c r="DF11" i="32" s="1"/>
  <c r="DG11" i="32" s="1"/>
  <c r="DH11" i="32" s="1"/>
  <c r="DI11" i="32" s="1"/>
  <c r="DJ11" i="32" s="1"/>
  <c r="DK11" i="32" s="1"/>
  <c r="DL11" i="32" s="1"/>
  <c r="DM11" i="32" s="1"/>
  <c r="DN11" i="32" s="1"/>
  <c r="DO11" i="32" s="1"/>
  <c r="CQ11" i="32"/>
  <c r="CL19" i="32"/>
  <c r="CL20" i="32" s="1"/>
  <c r="CL21" i="32" s="1"/>
  <c r="CL22" i="32" s="1"/>
  <c r="CL23" i="32" s="1"/>
  <c r="CL24" i="32" s="1"/>
  <c r="CL25" i="32" s="1"/>
  <c r="CL26" i="32" s="1"/>
  <c r="CL27" i="32" s="1"/>
  <c r="CL28" i="32" s="1"/>
  <c r="CL29" i="32" s="1"/>
  <c r="CL30" i="32" s="1"/>
  <c r="CL31" i="32" s="1"/>
  <c r="CL32" i="32" s="1"/>
  <c r="CL33" i="32" s="1"/>
  <c r="CL34" i="32" s="1"/>
  <c r="CL35" i="32" s="1"/>
  <c r="CL36" i="32" s="1"/>
  <c r="CL37" i="32" s="1"/>
  <c r="CL38" i="32" s="1"/>
  <c r="CL39" i="32" s="1"/>
  <c r="CL40" i="32" s="1"/>
  <c r="CL41" i="32" s="1"/>
  <c r="CL42" i="32" s="1"/>
  <c r="CL43" i="32" s="1"/>
  <c r="CL44" i="32" s="1"/>
  <c r="CL45" i="32" s="1"/>
  <c r="CL46" i="32" s="1"/>
  <c r="CL47" i="32" s="1"/>
  <c r="CL48" i="32" s="1"/>
  <c r="CL49" i="32" s="1"/>
  <c r="CL50" i="32" s="1"/>
  <c r="CS50" i="32"/>
  <c r="CS49" i="32"/>
  <c r="CS48" i="32"/>
  <c r="CS47" i="32"/>
  <c r="CS46" i="32"/>
  <c r="CS45" i="32"/>
  <c r="CS44" i="32"/>
  <c r="CS43" i="32"/>
  <c r="CJ18" i="32"/>
  <c r="CJ19" i="32" s="1"/>
  <c r="CJ20" i="32" s="1"/>
  <c r="CJ21" i="32" s="1"/>
  <c r="CJ22" i="32" s="1"/>
  <c r="CJ23" i="32" s="1"/>
  <c r="CJ24" i="32" s="1"/>
  <c r="CJ25" i="32" s="1"/>
  <c r="CJ26" i="32" s="1"/>
  <c r="CJ27" i="32" s="1"/>
  <c r="CJ28" i="32" s="1"/>
  <c r="CJ29" i="32" s="1"/>
  <c r="CJ30" i="32" s="1"/>
  <c r="CJ31" i="32" s="1"/>
  <c r="CJ32" i="32" s="1"/>
  <c r="CJ33" i="32" s="1"/>
  <c r="CJ34" i="32" s="1"/>
  <c r="CJ35" i="32" s="1"/>
  <c r="CJ36" i="32" s="1"/>
  <c r="CJ37" i="32" s="1"/>
  <c r="CJ38" i="32" s="1"/>
  <c r="CJ39" i="32" s="1"/>
  <c r="CJ40" i="32" s="1"/>
  <c r="CJ41" i="32" s="1"/>
  <c r="CJ42" i="32" s="1"/>
  <c r="CJ43" i="32" s="1"/>
  <c r="CJ44" i="32" s="1"/>
  <c r="CJ45" i="32" s="1"/>
  <c r="CJ46" i="32" s="1"/>
  <c r="CJ47" i="32" s="1"/>
  <c r="CJ48" i="32" s="1"/>
  <c r="CJ49" i="32" s="1"/>
  <c r="CJ50" i="32" s="1"/>
  <c r="CJ51" i="32" s="1"/>
  <c r="CJ52" i="32" s="1"/>
  <c r="CJ53" i="32" s="1"/>
  <c r="CJ54" i="32" s="1"/>
  <c r="CJ55" i="32" s="1"/>
  <c r="CJ56" i="32" s="1"/>
  <c r="CJ57" i="32" s="1"/>
  <c r="CJ58" i="32" s="1"/>
  <c r="CJ59" i="32" s="1"/>
  <c r="CJ60" i="32" s="1"/>
  <c r="CJ61" i="32" s="1"/>
  <c r="CJ62" i="32" s="1"/>
  <c r="CJ63" i="32" s="1"/>
  <c r="CJ64" i="32" s="1"/>
  <c r="CJ65" i="32" s="1"/>
  <c r="CJ66" i="32" s="1"/>
  <c r="CJ67" i="32" s="1"/>
  <c r="CJ68" i="32" s="1"/>
  <c r="CJ69" i="32" s="1"/>
  <c r="CJ70" i="32" s="1"/>
  <c r="CJ71" i="32" s="1"/>
  <c r="CJ72" i="32" s="1"/>
  <c r="CJ73" i="32" s="1"/>
  <c r="CJ74" i="32" s="1"/>
  <c r="CJ75" i="32" s="1"/>
  <c r="CM34" i="32"/>
  <c r="CO34" i="32" s="1"/>
  <c r="CM33" i="32"/>
  <c r="CN33" i="32" s="1"/>
  <c r="CM32" i="32"/>
  <c r="CM31" i="32"/>
  <c r="CO31" i="32" s="1"/>
  <c r="CM30" i="32"/>
  <c r="CO30" i="32" s="1"/>
  <c r="CM29" i="32"/>
  <c r="CN29" i="32" s="1"/>
  <c r="CM28" i="32"/>
  <c r="CO28" i="32" s="1"/>
  <c r="CM27" i="32"/>
  <c r="CO27" i="32" s="1"/>
  <c r="CM26" i="32"/>
  <c r="CO26" i="32" s="1"/>
  <c r="CM25" i="32"/>
  <c r="CN25" i="32" s="1"/>
  <c r="CM24" i="32"/>
  <c r="CO24" i="32" s="1"/>
  <c r="CM23" i="32"/>
  <c r="CO23" i="32" s="1"/>
  <c r="CM22" i="32"/>
  <c r="CO22" i="32" s="1"/>
  <c r="CM21" i="32"/>
  <c r="CN21" i="32" s="1"/>
  <c r="CM20" i="32"/>
  <c r="CM19" i="32"/>
  <c r="CN19" i="32" s="1"/>
  <c r="CP19" i="32" s="1"/>
  <c r="CM18" i="32"/>
  <c r="DN36" i="32"/>
  <c r="DN35" i="32"/>
  <c r="DN34" i="32"/>
  <c r="DN33" i="32"/>
  <c r="DN32" i="32"/>
  <c r="DN31" i="32"/>
  <c r="DN30" i="32"/>
  <c r="DN29" i="32"/>
  <c r="DN28" i="32"/>
  <c r="DN27" i="32"/>
  <c r="DN26" i="32"/>
  <c r="DN25" i="32"/>
  <c r="DN24" i="32"/>
  <c r="DN23" i="32"/>
  <c r="DN22" i="32"/>
  <c r="DN21" i="32"/>
  <c r="DN20" i="32"/>
  <c r="DN19" i="32"/>
  <c r="DN18" i="32"/>
  <c r="AI141" i="30"/>
  <c r="AS127" i="30" s="1"/>
  <c r="E141" i="30"/>
  <c r="AI138" i="30"/>
  <c r="BE134" i="30"/>
  <c r="BD134" i="30"/>
  <c r="BE133" i="30"/>
  <c r="BD133" i="30"/>
  <c r="BE132" i="30"/>
  <c r="BD132" i="30"/>
  <c r="BE131" i="30"/>
  <c r="BD131" i="30"/>
  <c r="BE130" i="30"/>
  <c r="BD130" i="30"/>
  <c r="BE129" i="30"/>
  <c r="BD129" i="30"/>
  <c r="BE128" i="30"/>
  <c r="BD128" i="30"/>
  <c r="AH128" i="30"/>
  <c r="BD127" i="30"/>
  <c r="AS125" i="30"/>
  <c r="AP125" i="30"/>
  <c r="AQ125" i="30" s="1"/>
  <c r="AP81" i="30"/>
  <c r="AQ47" i="30"/>
  <c r="AR47" i="30" s="1"/>
  <c r="AQ45" i="30"/>
  <c r="AJ33" i="30"/>
  <c r="AI33" i="30" s="1"/>
  <c r="AP14" i="30"/>
  <c r="AO14" i="30"/>
  <c r="AN14" i="30"/>
  <c r="AP13" i="30"/>
  <c r="AS25" i="30" s="1"/>
  <c r="AO13" i="30"/>
  <c r="AR24" i="30" s="1"/>
  <c r="AN13" i="30"/>
  <c r="AJ138" i="30"/>
  <c r="BG127" i="30"/>
  <c r="AM121" i="30"/>
  <c r="AL121" i="30"/>
  <c r="H121" i="30"/>
  <c r="G121" i="30"/>
  <c r="AL90" i="30"/>
  <c r="G90" i="30"/>
  <c r="AL88" i="30"/>
  <c r="G88" i="30"/>
  <c r="AP83" i="30"/>
  <c r="AL77" i="30"/>
  <c r="AL89" i="30" s="1"/>
  <c r="G77" i="30"/>
  <c r="G89" i="30" s="1"/>
  <c r="AQ73" i="30"/>
  <c r="AP73" i="30"/>
  <c r="AQ74" i="30" s="1"/>
  <c r="AL59" i="30"/>
  <c r="G59" i="30"/>
  <c r="J59" i="30" s="1"/>
  <c r="AL52" i="30"/>
  <c r="AM50" i="30"/>
  <c r="AL50" i="30"/>
  <c r="H50" i="30"/>
  <c r="G50" i="30"/>
  <c r="AM49" i="30"/>
  <c r="AL49" i="30"/>
  <c r="H49" i="30"/>
  <c r="G49" i="30"/>
  <c r="AM48" i="30"/>
  <c r="AL48" i="30"/>
  <c r="H48" i="30"/>
  <c r="G48" i="30"/>
  <c r="AR45" i="30"/>
  <c r="D33" i="30"/>
  <c r="AW29" i="30"/>
  <c r="AX29" i="30" s="1"/>
  <c r="R29" i="30"/>
  <c r="S29" i="30" s="1"/>
  <c r="AR23" i="30"/>
  <c r="AR74" i="30"/>
  <c r="AY74" i="30"/>
  <c r="DJ17" i="32"/>
  <c r="DH17" i="32"/>
  <c r="DG17" i="32"/>
  <c r="DD17" i="32"/>
  <c r="DA17" i="32"/>
  <c r="CZ17" i="32"/>
  <c r="BI65" i="35"/>
  <c r="BH65" i="35"/>
  <c r="BK65" i="35" s="1"/>
  <c r="BL65" i="35" s="1"/>
  <c r="BN65" i="35" s="1"/>
  <c r="BO65" i="35" s="1"/>
  <c r="BI64" i="35"/>
  <c r="BH64" i="35"/>
  <c r="BK64" i="35" s="1"/>
  <c r="BL64" i="35" s="1"/>
  <c r="BN64" i="35" s="1"/>
  <c r="BO64" i="35" s="1"/>
  <c r="BI56" i="35"/>
  <c r="BI55" i="35"/>
  <c r="BI54" i="35"/>
  <c r="BI53" i="35"/>
  <c r="AX66" i="35"/>
  <c r="AW66" i="35"/>
  <c r="AZ66" i="35" s="1"/>
  <c r="BA66" i="35" s="1"/>
  <c r="AX65" i="35"/>
  <c r="AW65" i="35"/>
  <c r="AZ65" i="35" s="1"/>
  <c r="BA65" i="35" s="1"/>
  <c r="AX64" i="35"/>
  <c r="AW64" i="35"/>
  <c r="AZ64" i="35" s="1"/>
  <c r="BA64" i="35" s="1"/>
  <c r="AX56" i="35"/>
  <c r="AX55" i="35"/>
  <c r="AX54" i="35"/>
  <c r="AX53" i="35"/>
  <c r="AT66" i="35"/>
  <c r="AS66" i="35"/>
  <c r="AT65" i="35"/>
  <c r="AS65" i="35"/>
  <c r="AT64" i="35"/>
  <c r="AS64" i="35"/>
  <c r="AT56" i="35"/>
  <c r="AS56" i="35"/>
  <c r="AT55" i="35"/>
  <c r="AS55" i="35"/>
  <c r="AT54" i="35"/>
  <c r="AS54" i="35"/>
  <c r="AT53" i="35"/>
  <c r="AS53" i="35"/>
  <c r="AI54" i="35"/>
  <c r="AH54" i="35"/>
  <c r="AK54" i="35" s="1"/>
  <c r="AE54" i="35"/>
  <c r="AD54" i="35"/>
  <c r="AI53" i="35"/>
  <c r="AH53" i="35"/>
  <c r="AK53" i="35" s="1"/>
  <c r="AE53" i="35"/>
  <c r="AD53" i="35"/>
  <c r="P25" i="35"/>
  <c r="O25" i="35"/>
  <c r="P41" i="35"/>
  <c r="O41" i="35"/>
  <c r="P40" i="35"/>
  <c r="O40" i="35"/>
  <c r="P39" i="35"/>
  <c r="O39" i="35"/>
  <c r="P38" i="35"/>
  <c r="O38" i="35"/>
  <c r="P37" i="35"/>
  <c r="O37" i="35"/>
  <c r="P36" i="35"/>
  <c r="O36" i="35"/>
  <c r="P35" i="35"/>
  <c r="O35" i="35"/>
  <c r="P34" i="35"/>
  <c r="O34" i="35"/>
  <c r="P33" i="35"/>
  <c r="O33" i="35"/>
  <c r="P32" i="35"/>
  <c r="O32" i="35"/>
  <c r="P30" i="35"/>
  <c r="O30" i="35"/>
  <c r="P29" i="35"/>
  <c r="O29" i="35"/>
  <c r="P28" i="35"/>
  <c r="O28" i="35"/>
  <c r="P27" i="35"/>
  <c r="O27" i="35"/>
  <c r="P26" i="35"/>
  <c r="O26" i="35"/>
  <c r="P31" i="35"/>
  <c r="O31" i="35"/>
  <c r="CW3" i="32"/>
  <c r="CU3" i="32"/>
  <c r="CR3" i="32"/>
  <c r="C65" i="34"/>
  <c r="F29" i="29"/>
  <c r="D144" i="30" s="1"/>
  <c r="C101" i="34"/>
  <c r="C100" i="34"/>
  <c r="C99" i="34"/>
  <c r="C98" i="34"/>
  <c r="C97" i="34"/>
  <c r="C96" i="34"/>
  <c r="C95" i="34"/>
  <c r="C94" i="34"/>
  <c r="C93" i="34"/>
  <c r="C92" i="34"/>
  <c r="C91" i="34"/>
  <c r="C90" i="34"/>
  <c r="C89" i="34"/>
  <c r="C88" i="34"/>
  <c r="C87" i="34"/>
  <c r="C86" i="34"/>
  <c r="C85" i="34"/>
  <c r="C84" i="34"/>
  <c r="C83" i="34"/>
  <c r="C76" i="33"/>
  <c r="D72" i="33"/>
  <c r="S29" i="33"/>
  <c r="S28" i="33"/>
  <c r="S27" i="33"/>
  <c r="S26" i="33"/>
  <c r="R29" i="33"/>
  <c r="T29" i="33" s="1"/>
  <c r="R28" i="33"/>
  <c r="T28" i="33" s="1"/>
  <c r="R27" i="33"/>
  <c r="T27" i="33" s="1"/>
  <c r="R26" i="33"/>
  <c r="T26" i="33" s="1"/>
  <c r="M53" i="33"/>
  <c r="P11" i="35" s="1"/>
  <c r="M52" i="33"/>
  <c r="P10" i="35" s="1"/>
  <c r="G51" i="33"/>
  <c r="K9" i="35" s="1"/>
  <c r="B15" i="33"/>
  <c r="B16" i="33" s="1"/>
  <c r="B13" i="33"/>
  <c r="B14" i="33" s="1"/>
  <c r="D25" i="33"/>
  <c r="C25" i="33"/>
  <c r="B26" i="33"/>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B54" i="33" s="1"/>
  <c r="B55" i="33" s="1"/>
  <c r="B56" i="33" s="1"/>
  <c r="B57" i="33" s="1"/>
  <c r="B58" i="33" s="1"/>
  <c r="B59" i="33" s="1"/>
  <c r="B60" i="33" s="1"/>
  <c r="B61" i="33" s="1"/>
  <c r="B62" i="33" s="1"/>
  <c r="B63" i="33" s="1"/>
  <c r="B64" i="33" s="1"/>
  <c r="B65" i="33" s="1"/>
  <c r="B66" i="33" s="1"/>
  <c r="B67" i="33" s="1"/>
  <c r="B68" i="33" s="1"/>
  <c r="B69" i="33" s="1"/>
  <c r="A26" i="33"/>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C69" i="33" s="1"/>
  <c r="B22" i="33"/>
  <c r="E20" i="29" s="1"/>
  <c r="AH130" i="30" s="1"/>
  <c r="AH129" i="30" s="1"/>
  <c r="AH85" i="30" s="1"/>
  <c r="AI85" i="30" s="1"/>
  <c r="AQ67" i="32"/>
  <c r="BH67" i="32" s="1"/>
  <c r="AI76" i="32"/>
  <c r="AI75" i="32"/>
  <c r="AI74" i="32"/>
  <c r="AI73" i="32"/>
  <c r="AI72" i="32"/>
  <c r="AQ72" i="32" s="1"/>
  <c r="BH72" i="32" s="1"/>
  <c r="AI71" i="32"/>
  <c r="AQ71" i="32" s="1"/>
  <c r="BH71" i="32" s="1"/>
  <c r="AI70" i="32"/>
  <c r="AQ70" i="32" s="1"/>
  <c r="BH70" i="32" s="1"/>
  <c r="AI69" i="32"/>
  <c r="AQ69" i="32" s="1"/>
  <c r="BH69" i="32" s="1"/>
  <c r="AI68" i="32"/>
  <c r="AQ68" i="32" s="1"/>
  <c r="BH68" i="32" s="1"/>
  <c r="AI67" i="32"/>
  <c r="AI66" i="32"/>
  <c r="AQ66" i="32" s="1"/>
  <c r="BH66" i="32" s="1"/>
  <c r="AI65" i="32"/>
  <c r="AQ65" i="32" s="1"/>
  <c r="BH65" i="32" s="1"/>
  <c r="AI64" i="32"/>
  <c r="AQ64" i="32" s="1"/>
  <c r="BH64" i="32" s="1"/>
  <c r="AI63" i="32"/>
  <c r="AQ63" i="32" s="1"/>
  <c r="BH63" i="32" s="1"/>
  <c r="AI62" i="32"/>
  <c r="AQ62" i="32" s="1"/>
  <c r="BH62" i="32" s="1"/>
  <c r="Z19" i="32"/>
  <c r="Z20" i="32" s="1"/>
  <c r="Z21" i="32" s="1"/>
  <c r="Z22" i="32" s="1"/>
  <c r="Z23" i="32" s="1"/>
  <c r="Z24" i="32" s="1"/>
  <c r="Z25" i="32" s="1"/>
  <c r="Z26" i="32" s="1"/>
  <c r="Z27" i="32" s="1"/>
  <c r="Z28" i="32" s="1"/>
  <c r="Z29" i="32" s="1"/>
  <c r="Z30" i="32" s="1"/>
  <c r="Z31" i="32" s="1"/>
  <c r="Z32" i="32" s="1"/>
  <c r="Z33" i="32" s="1"/>
  <c r="Z34" i="32" s="1"/>
  <c r="Z35" i="32" s="1"/>
  <c r="Z36" i="32" s="1"/>
  <c r="Z37" i="32" s="1"/>
  <c r="Z38" i="32" s="1"/>
  <c r="Z39" i="32" s="1"/>
  <c r="Z40" i="32" s="1"/>
  <c r="Z41" i="32" s="1"/>
  <c r="Z42" i="32" s="1"/>
  <c r="Z43" i="32" s="1"/>
  <c r="Z44" i="32" s="1"/>
  <c r="Z45" i="32" s="1"/>
  <c r="Z46" i="32" s="1"/>
  <c r="Z47" i="32" s="1"/>
  <c r="Z48" i="32" s="1"/>
  <c r="Z49" i="32" s="1"/>
  <c r="Z50" i="32" s="1"/>
  <c r="Z51" i="32" s="1"/>
  <c r="Z52" i="32" s="1"/>
  <c r="Z53" i="32" s="1"/>
  <c r="Z54" i="32" s="1"/>
  <c r="Z55" i="32" s="1"/>
  <c r="Z56" i="32" s="1"/>
  <c r="Z57" i="32" s="1"/>
  <c r="Z58" i="32" s="1"/>
  <c r="Z59" i="32" s="1"/>
  <c r="Z60" i="32" s="1"/>
  <c r="Z61" i="32" s="1"/>
  <c r="B20" i="32"/>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U24" i="32"/>
  <c r="T24" i="32"/>
  <c r="U23" i="32"/>
  <c r="T23" i="32"/>
  <c r="U22" i="32"/>
  <c r="T22" i="32"/>
  <c r="U21" i="32"/>
  <c r="T21" i="32"/>
  <c r="U20" i="32"/>
  <c r="T20" i="32"/>
  <c r="T19" i="32"/>
  <c r="BI287" i="31"/>
  <c r="BG287" i="31"/>
  <c r="BI286" i="31"/>
  <c r="BG286" i="31"/>
  <c r="BI285" i="31"/>
  <c r="BG285" i="31"/>
  <c r="BI284" i="31"/>
  <c r="BG284" i="31"/>
  <c r="BI283" i="31"/>
  <c r="BG283" i="31"/>
  <c r="BI282" i="31"/>
  <c r="BG282" i="31"/>
  <c r="BI281" i="31"/>
  <c r="BG281" i="31"/>
  <c r="BI280" i="31"/>
  <c r="BG280" i="31"/>
  <c r="BI279" i="31"/>
  <c r="BG279" i="31"/>
  <c r="BI278" i="31"/>
  <c r="BG278" i="31"/>
  <c r="BI277" i="31"/>
  <c r="BG277" i="31"/>
  <c r="BI276" i="31"/>
  <c r="BG276" i="31"/>
  <c r="BI275" i="31"/>
  <c r="BG275" i="31"/>
  <c r="BI274" i="31"/>
  <c r="BG274" i="31"/>
  <c r="BI273" i="31"/>
  <c r="BG273" i="31"/>
  <c r="BI272" i="31"/>
  <c r="BG272" i="31"/>
  <c r="BI271" i="31"/>
  <c r="BG271" i="31"/>
  <c r="BI270" i="31"/>
  <c r="BG270" i="31"/>
  <c r="BI269" i="31"/>
  <c r="BG269" i="31"/>
  <c r="BI268" i="31"/>
  <c r="BG268" i="31"/>
  <c r="BI267" i="31"/>
  <c r="BG267" i="31"/>
  <c r="BI266" i="31"/>
  <c r="BG266" i="31"/>
  <c r="BI265" i="31"/>
  <c r="BG265" i="31"/>
  <c r="BI264" i="31"/>
  <c r="BG264" i="31"/>
  <c r="BI263" i="31"/>
  <c r="BG263" i="31"/>
  <c r="BI262" i="31"/>
  <c r="BG262" i="31"/>
  <c r="BI261" i="31"/>
  <c r="BI260" i="31"/>
  <c r="BI259" i="31"/>
  <c r="BI258" i="31"/>
  <c r="BI257" i="31"/>
  <c r="BI255" i="31"/>
  <c r="BI254" i="31"/>
  <c r="BI253" i="31"/>
  <c r="BI252" i="31"/>
  <c r="BI251" i="31"/>
  <c r="BI250" i="31"/>
  <c r="BI248" i="31"/>
  <c r="BI247" i="31"/>
  <c r="BI246" i="31"/>
  <c r="BI245" i="31"/>
  <c r="BI244" i="31"/>
  <c r="BI243" i="31"/>
  <c r="BI241" i="31"/>
  <c r="BI240" i="31"/>
  <c r="BI239" i="31"/>
  <c r="BI238" i="31"/>
  <c r="BI237" i="31"/>
  <c r="BI236" i="31"/>
  <c r="BI234" i="31"/>
  <c r="BI233" i="31"/>
  <c r="BI232" i="31"/>
  <c r="BI231" i="31"/>
  <c r="BI230" i="31"/>
  <c r="BI229" i="31"/>
  <c r="BI227" i="31"/>
  <c r="BI226" i="31"/>
  <c r="BI225" i="31"/>
  <c r="BI224" i="31"/>
  <c r="BI223" i="31"/>
  <c r="BI222" i="31"/>
  <c r="BI220" i="31"/>
  <c r="BI219" i="31"/>
  <c r="BI218" i="31"/>
  <c r="BI217" i="31"/>
  <c r="BI216" i="31"/>
  <c r="BI215" i="31"/>
  <c r="BI213" i="31"/>
  <c r="BI212" i="31"/>
  <c r="BI211" i="31"/>
  <c r="BI210" i="31"/>
  <c r="BI209" i="31"/>
  <c r="BI208" i="31"/>
  <c r="BI206" i="31"/>
  <c r="BI205" i="31"/>
  <c r="BI204" i="31"/>
  <c r="BI203" i="31"/>
  <c r="BI202" i="31"/>
  <c r="BI201" i="31"/>
  <c r="BI199" i="31"/>
  <c r="BI198" i="31"/>
  <c r="BI197" i="31"/>
  <c r="BI196" i="31"/>
  <c r="BI195" i="31"/>
  <c r="BI194" i="31"/>
  <c r="BI192" i="31"/>
  <c r="BI191" i="31"/>
  <c r="BI190" i="31"/>
  <c r="BI189" i="31"/>
  <c r="BI188" i="31"/>
  <c r="BI187" i="31"/>
  <c r="BI185" i="31"/>
  <c r="BI184" i="31"/>
  <c r="BI183" i="31"/>
  <c r="BI182" i="31"/>
  <c r="BI181" i="31"/>
  <c r="BI180" i="31"/>
  <c r="BI178" i="31"/>
  <c r="BI177" i="31"/>
  <c r="BI176" i="31"/>
  <c r="BI175" i="31"/>
  <c r="BI174" i="31"/>
  <c r="BI173" i="31"/>
  <c r="BI172" i="31"/>
  <c r="BI171" i="31"/>
  <c r="BI170" i="31"/>
  <c r="BI169" i="31"/>
  <c r="BI168" i="31"/>
  <c r="BI167" i="31"/>
  <c r="BI166" i="31"/>
  <c r="BI165" i="31"/>
  <c r="BI164" i="31"/>
  <c r="BI163" i="31"/>
  <c r="BI162" i="31"/>
  <c r="BI161" i="31"/>
  <c r="BI160" i="31"/>
  <c r="BI159" i="31"/>
  <c r="BI158" i="31"/>
  <c r="BI157" i="31"/>
  <c r="BI156" i="31"/>
  <c r="BI155" i="31"/>
  <c r="BI154" i="31"/>
  <c r="BI153" i="31"/>
  <c r="BI152" i="31"/>
  <c r="BI151" i="31"/>
  <c r="BI150" i="31"/>
  <c r="BI149" i="31"/>
  <c r="BI148" i="31"/>
  <c r="BI147" i="31"/>
  <c r="BI146" i="31"/>
  <c r="BI145" i="31"/>
  <c r="BI144" i="31"/>
  <c r="BI143" i="31"/>
  <c r="BI142" i="31"/>
  <c r="BI141" i="31"/>
  <c r="BI140" i="31"/>
  <c r="BI139" i="31"/>
  <c r="BI138" i="31"/>
  <c r="BI137" i="31"/>
  <c r="BI136" i="31"/>
  <c r="BI135" i="31"/>
  <c r="BI134" i="31"/>
  <c r="BI133" i="31"/>
  <c r="BI132" i="31"/>
  <c r="BI131" i="31"/>
  <c r="BI130" i="31"/>
  <c r="BI129" i="31"/>
  <c r="BI128" i="31"/>
  <c r="BI127" i="31"/>
  <c r="BI126" i="31"/>
  <c r="BI125" i="31"/>
  <c r="BI124" i="31"/>
  <c r="BI123" i="31"/>
  <c r="BI122" i="31"/>
  <c r="BI121" i="31"/>
  <c r="BI120" i="31"/>
  <c r="BI119" i="31"/>
  <c r="BI118" i="31"/>
  <c r="BI117" i="31"/>
  <c r="BI116" i="31"/>
  <c r="BI115" i="31"/>
  <c r="BI114" i="31"/>
  <c r="BI113" i="31"/>
  <c r="BI112" i="31"/>
  <c r="BI111" i="31"/>
  <c r="BI110" i="31"/>
  <c r="BI109" i="31"/>
  <c r="BI108" i="31"/>
  <c r="BI107" i="31"/>
  <c r="BI106" i="31"/>
  <c r="BI105" i="31"/>
  <c r="BI104" i="31"/>
  <c r="BI103" i="31"/>
  <c r="BI102" i="31"/>
  <c r="BI101" i="31"/>
  <c r="BI100" i="31"/>
  <c r="BI99" i="31"/>
  <c r="BI98" i="31"/>
  <c r="BI97" i="31"/>
  <c r="BI96" i="31"/>
  <c r="BI95" i="31"/>
  <c r="BI94" i="31"/>
  <c r="BI93" i="31"/>
  <c r="BI92" i="31"/>
  <c r="BI91" i="31"/>
  <c r="BI90" i="31"/>
  <c r="BI89" i="31"/>
  <c r="BI88" i="31"/>
  <c r="BI87" i="31"/>
  <c r="BI86" i="31"/>
  <c r="BI85" i="31"/>
  <c r="BI84" i="31"/>
  <c r="BI83" i="31"/>
  <c r="BI82" i="31"/>
  <c r="BI81" i="31"/>
  <c r="BI80" i="31"/>
  <c r="BI79" i="31"/>
  <c r="BI78" i="31"/>
  <c r="BI77" i="31"/>
  <c r="BI76" i="31"/>
  <c r="BI75" i="31"/>
  <c r="BI74" i="31"/>
  <c r="BI73" i="31"/>
  <c r="BI72" i="31"/>
  <c r="BI71" i="31"/>
  <c r="BI70" i="31"/>
  <c r="BI69" i="31"/>
  <c r="BI68" i="31"/>
  <c r="BI67" i="31"/>
  <c r="BI66" i="31"/>
  <c r="BI65" i="31"/>
  <c r="BI64" i="31"/>
  <c r="BI63" i="31"/>
  <c r="BI62" i="31"/>
  <c r="BI61" i="31"/>
  <c r="BI60" i="31"/>
  <c r="BI59" i="31"/>
  <c r="BI58" i="31"/>
  <c r="BI57" i="31"/>
  <c r="BI56" i="31"/>
  <c r="BI55" i="31"/>
  <c r="BI54" i="31"/>
  <c r="BI53" i="31"/>
  <c r="BI52" i="31"/>
  <c r="BI51" i="31"/>
  <c r="BI50" i="31"/>
  <c r="BI49" i="31"/>
  <c r="BI48" i="31"/>
  <c r="BI47" i="31"/>
  <c r="BI46" i="31"/>
  <c r="BI45" i="31"/>
  <c r="BI44" i="31"/>
  <c r="BI43" i="31"/>
  <c r="BI42" i="31"/>
  <c r="BI41" i="31"/>
  <c r="BI40" i="31"/>
  <c r="BI39" i="31"/>
  <c r="BI38" i="31"/>
  <c r="X38" i="31"/>
  <c r="X45" i="31" s="1"/>
  <c r="W38" i="31"/>
  <c r="W45" i="31" s="1"/>
  <c r="V38" i="31"/>
  <c r="V45" i="31" s="1"/>
  <c r="U38" i="31"/>
  <c r="U45" i="31" s="1"/>
  <c r="T38" i="31"/>
  <c r="T39" i="31" s="1"/>
  <c r="T40" i="31" s="1"/>
  <c r="T41" i="31" s="1"/>
  <c r="T42" i="31" s="1"/>
  <c r="T43" i="31" s="1"/>
  <c r="T44" i="31" s="1"/>
  <c r="S38" i="31"/>
  <c r="S45" i="31" s="1"/>
  <c r="R38" i="31"/>
  <c r="R45" i="31" s="1"/>
  <c r="Q38" i="31"/>
  <c r="Q39" i="31" s="1"/>
  <c r="Q40" i="31" s="1"/>
  <c r="Q41" i="31" s="1"/>
  <c r="Q42" i="31" s="1"/>
  <c r="Q43" i="31" s="1"/>
  <c r="Q44" i="31" s="1"/>
  <c r="P38" i="31"/>
  <c r="P39" i="31" s="1"/>
  <c r="P40" i="31" s="1"/>
  <c r="P41" i="31" s="1"/>
  <c r="P42" i="31" s="1"/>
  <c r="P43" i="31" s="1"/>
  <c r="P44" i="31" s="1"/>
  <c r="O38" i="31"/>
  <c r="O45" i="31" s="1"/>
  <c r="N38" i="31"/>
  <c r="N45" i="31" s="1"/>
  <c r="M38" i="31"/>
  <c r="M45" i="31" s="1"/>
  <c r="L38" i="31"/>
  <c r="L45" i="31" s="1"/>
  <c r="K38" i="31"/>
  <c r="K45" i="31" s="1"/>
  <c r="J38" i="31"/>
  <c r="J45" i="31" s="1"/>
  <c r="I38" i="31"/>
  <c r="I39" i="31" s="1"/>
  <c r="I40" i="31" s="1"/>
  <c r="I41" i="31" s="1"/>
  <c r="I42" i="31" s="1"/>
  <c r="I43" i="31" s="1"/>
  <c r="I44" i="31" s="1"/>
  <c r="H38" i="31"/>
  <c r="H45" i="31" s="1"/>
  <c r="G38" i="31"/>
  <c r="G45" i="31" s="1"/>
  <c r="F38" i="31"/>
  <c r="F45" i="31" s="1"/>
  <c r="E38" i="31"/>
  <c r="E45" i="31" s="1"/>
  <c r="D38" i="31"/>
  <c r="D45" i="31" s="1"/>
  <c r="C38" i="31"/>
  <c r="C45" i="31" s="1"/>
  <c r="B38" i="31"/>
  <c r="B45" i="31" s="1"/>
  <c r="A38" i="31"/>
  <c r="A39" i="31" s="1"/>
  <c r="A40" i="31" s="1"/>
  <c r="A41" i="31" s="1"/>
  <c r="A42" i="31" s="1"/>
  <c r="A43" i="31" s="1"/>
  <c r="A44" i="31" s="1"/>
  <c r="BI37" i="31"/>
  <c r="BI36" i="31"/>
  <c r="BI35" i="31"/>
  <c r="BI34" i="31"/>
  <c r="P34" i="31"/>
  <c r="P35" i="31" s="1"/>
  <c r="P36" i="31" s="1"/>
  <c r="P37" i="31" s="1"/>
  <c r="BI33" i="31"/>
  <c r="Q33" i="31"/>
  <c r="Q34" i="31" s="1"/>
  <c r="Q35" i="31" s="1"/>
  <c r="Q36" i="31" s="1"/>
  <c r="Q37" i="31" s="1"/>
  <c r="M33" i="31"/>
  <c r="M34" i="31" s="1"/>
  <c r="M35" i="31" s="1"/>
  <c r="M36" i="31" s="1"/>
  <c r="M37" i="31" s="1"/>
  <c r="A33" i="31"/>
  <c r="A34" i="31" s="1"/>
  <c r="A35" i="31" s="1"/>
  <c r="A36" i="31" s="1"/>
  <c r="A37" i="31" s="1"/>
  <c r="BI32" i="31"/>
  <c r="Q32" i="31"/>
  <c r="P32" i="31"/>
  <c r="P33" i="31" s="1"/>
  <c r="O32" i="31"/>
  <c r="O33" i="31" s="1"/>
  <c r="O34" i="31" s="1"/>
  <c r="O35" i="31" s="1"/>
  <c r="O36" i="31" s="1"/>
  <c r="O37" i="31" s="1"/>
  <c r="N32" i="31"/>
  <c r="N33" i="31" s="1"/>
  <c r="N34" i="31" s="1"/>
  <c r="N35" i="31" s="1"/>
  <c r="N36" i="31" s="1"/>
  <c r="N37" i="31" s="1"/>
  <c r="M32" i="31"/>
  <c r="L32" i="31"/>
  <c r="L33" i="31" s="1"/>
  <c r="L34" i="31" s="1"/>
  <c r="L35" i="31" s="1"/>
  <c r="L36" i="31" s="1"/>
  <c r="L37" i="31" s="1"/>
  <c r="K32" i="31"/>
  <c r="K33" i="31" s="1"/>
  <c r="K34" i="31" s="1"/>
  <c r="K35" i="31" s="1"/>
  <c r="K36" i="31" s="1"/>
  <c r="K37" i="31" s="1"/>
  <c r="J32" i="31"/>
  <c r="J33" i="31" s="1"/>
  <c r="J34" i="31" s="1"/>
  <c r="J35" i="31" s="1"/>
  <c r="J36" i="31" s="1"/>
  <c r="J37" i="31" s="1"/>
  <c r="I32" i="31"/>
  <c r="I33" i="31" s="1"/>
  <c r="I34" i="31" s="1"/>
  <c r="I35" i="31" s="1"/>
  <c r="I36" i="31" s="1"/>
  <c r="I37" i="31" s="1"/>
  <c r="H32" i="31"/>
  <c r="H33" i="31" s="1"/>
  <c r="H34" i="31" s="1"/>
  <c r="H35" i="31" s="1"/>
  <c r="H36" i="31" s="1"/>
  <c r="H37" i="31" s="1"/>
  <c r="G32" i="31"/>
  <c r="G33" i="31" s="1"/>
  <c r="G34" i="31" s="1"/>
  <c r="G35" i="31" s="1"/>
  <c r="G36" i="31" s="1"/>
  <c r="G37" i="31" s="1"/>
  <c r="F32" i="31"/>
  <c r="F33" i="31" s="1"/>
  <c r="F34" i="31" s="1"/>
  <c r="F35" i="31" s="1"/>
  <c r="F36" i="31" s="1"/>
  <c r="F37" i="31" s="1"/>
  <c r="E32" i="31"/>
  <c r="E33" i="31" s="1"/>
  <c r="E34" i="31" s="1"/>
  <c r="E35" i="31" s="1"/>
  <c r="E36" i="31" s="1"/>
  <c r="E37" i="31" s="1"/>
  <c r="D32" i="31"/>
  <c r="D33" i="31" s="1"/>
  <c r="D34" i="31" s="1"/>
  <c r="D35" i="31" s="1"/>
  <c r="D36" i="31" s="1"/>
  <c r="D37" i="31" s="1"/>
  <c r="C32" i="31"/>
  <c r="C33" i="31" s="1"/>
  <c r="C34" i="31" s="1"/>
  <c r="C35" i="31" s="1"/>
  <c r="C36" i="31" s="1"/>
  <c r="C37" i="31" s="1"/>
  <c r="B32" i="31"/>
  <c r="B33" i="31" s="1"/>
  <c r="B34" i="31" s="1"/>
  <c r="B35" i="31" s="1"/>
  <c r="B36" i="31" s="1"/>
  <c r="B37" i="31" s="1"/>
  <c r="A32" i="31"/>
  <c r="BI31" i="31"/>
  <c r="AN31" i="31"/>
  <c r="AN32" i="31" s="1"/>
  <c r="AN33" i="31" s="1"/>
  <c r="AN34" i="31" s="1"/>
  <c r="AN35" i="31" s="1"/>
  <c r="AN36" i="31" s="1"/>
  <c r="AN37" i="31" s="1"/>
  <c r="AN38" i="31" s="1"/>
  <c r="AN39" i="31" s="1"/>
  <c r="AN40" i="31" s="1"/>
  <c r="AN41" i="31" s="1"/>
  <c r="AN42" i="31" s="1"/>
  <c r="AN43" i="31" s="1"/>
  <c r="AN44" i="31" s="1"/>
  <c r="AN45" i="31" s="1"/>
  <c r="AN46" i="31" s="1"/>
  <c r="AN47" i="31" s="1"/>
  <c r="AN48" i="31" s="1"/>
  <c r="AN49" i="31" s="1"/>
  <c r="AN50" i="31" s="1"/>
  <c r="AN51" i="31" s="1"/>
  <c r="AN52" i="31" s="1"/>
  <c r="AN53" i="31" s="1"/>
  <c r="AN54" i="31" s="1"/>
  <c r="AN55" i="31" s="1"/>
  <c r="AN56" i="31" s="1"/>
  <c r="AN57" i="31" s="1"/>
  <c r="AN58" i="31" s="1"/>
  <c r="AN59" i="31" s="1"/>
  <c r="AN60" i="31" s="1"/>
  <c r="AN61" i="31" s="1"/>
  <c r="AN62" i="31" s="1"/>
  <c r="AN63" i="31" s="1"/>
  <c r="AN64" i="31" s="1"/>
  <c r="AN65" i="31" s="1"/>
  <c r="AN66" i="31" s="1"/>
  <c r="AN67" i="31" s="1"/>
  <c r="AN68" i="31" s="1"/>
  <c r="AN69" i="31" s="1"/>
  <c r="AN70" i="31" s="1"/>
  <c r="AN71" i="31" s="1"/>
  <c r="AN72" i="31" s="1"/>
  <c r="AN73" i="31" s="1"/>
  <c r="AN74" i="31" s="1"/>
  <c r="AN75" i="31" s="1"/>
  <c r="AN76" i="31" s="1"/>
  <c r="AN77" i="31" s="1"/>
  <c r="AN78" i="31" s="1"/>
  <c r="AN79" i="31" s="1"/>
  <c r="AN80" i="31" s="1"/>
  <c r="AN81" i="31" s="1"/>
  <c r="AN82" i="31" s="1"/>
  <c r="AN83" i="31" s="1"/>
  <c r="AN84" i="31" s="1"/>
  <c r="AN85" i="31" s="1"/>
  <c r="AN86" i="31" s="1"/>
  <c r="AN87" i="31" s="1"/>
  <c r="AN88" i="31" s="1"/>
  <c r="AN89" i="31" s="1"/>
  <c r="AN90" i="31" s="1"/>
  <c r="AN91" i="31" s="1"/>
  <c r="AN92" i="31" s="1"/>
  <c r="AN93" i="31" s="1"/>
  <c r="AN94" i="31" s="1"/>
  <c r="AN95" i="31" s="1"/>
  <c r="AN96" i="31" s="1"/>
  <c r="AN97" i="31" s="1"/>
  <c r="AN98" i="31" s="1"/>
  <c r="AN99" i="31" s="1"/>
  <c r="AN100" i="31" s="1"/>
  <c r="AN101" i="31" s="1"/>
  <c r="AN102" i="31" s="1"/>
  <c r="AN103" i="31" s="1"/>
  <c r="AN104" i="31" s="1"/>
  <c r="AN105" i="31" s="1"/>
  <c r="AN106" i="31" s="1"/>
  <c r="AN107" i="31" s="1"/>
  <c r="AN108" i="31" s="1"/>
  <c r="AN109" i="31" s="1"/>
  <c r="AN110" i="31" s="1"/>
  <c r="AN111" i="31" s="1"/>
  <c r="AN112" i="31" s="1"/>
  <c r="AN113" i="31" s="1"/>
  <c r="AN114" i="31" s="1"/>
  <c r="AN115" i="31" s="1"/>
  <c r="AN116" i="31" s="1"/>
  <c r="AN117" i="31" s="1"/>
  <c r="AN118" i="31" s="1"/>
  <c r="AN119" i="31" s="1"/>
  <c r="AN120" i="31" s="1"/>
  <c r="AN121" i="31" s="1"/>
  <c r="AN122" i="31" s="1"/>
  <c r="AN123" i="31" s="1"/>
  <c r="AN124" i="31" s="1"/>
  <c r="AN125" i="31" s="1"/>
  <c r="AN126" i="31" s="1"/>
  <c r="AN127" i="31" s="1"/>
  <c r="AN128" i="31" s="1"/>
  <c r="AN129" i="31" s="1"/>
  <c r="AN130" i="31" s="1"/>
  <c r="AN131" i="31" s="1"/>
  <c r="AN132" i="31" s="1"/>
  <c r="AN133" i="31" s="1"/>
  <c r="AN134" i="31" s="1"/>
  <c r="AN135" i="31" s="1"/>
  <c r="AN136" i="31" s="1"/>
  <c r="AN137" i="31" s="1"/>
  <c r="AN138" i="31" s="1"/>
  <c r="AN139" i="31" s="1"/>
  <c r="AN140" i="31" s="1"/>
  <c r="AN141" i="31" s="1"/>
  <c r="AN142" i="31" s="1"/>
  <c r="AN143" i="31" s="1"/>
  <c r="AN144" i="31" s="1"/>
  <c r="AN145" i="31" s="1"/>
  <c r="AN146" i="31" s="1"/>
  <c r="AN147" i="31" s="1"/>
  <c r="AN148" i="31" s="1"/>
  <c r="AN149" i="31" s="1"/>
  <c r="AN150" i="31" s="1"/>
  <c r="AN151" i="31" s="1"/>
  <c r="AN152" i="31" s="1"/>
  <c r="AN153" i="31" s="1"/>
  <c r="AN154" i="31" s="1"/>
  <c r="AN155" i="31" s="1"/>
  <c r="AN156" i="31" s="1"/>
  <c r="AN157" i="31" s="1"/>
  <c r="AN158" i="31" s="1"/>
  <c r="AN159" i="31" s="1"/>
  <c r="AN160" i="31" s="1"/>
  <c r="AN161" i="31" s="1"/>
  <c r="AN162" i="31" s="1"/>
  <c r="AN163" i="31" s="1"/>
  <c r="AN164" i="31" s="1"/>
  <c r="AN165" i="31" s="1"/>
  <c r="AN166" i="31" s="1"/>
  <c r="AN167" i="31" s="1"/>
  <c r="AN168" i="31" s="1"/>
  <c r="AN169" i="31" s="1"/>
  <c r="AN170" i="31" s="1"/>
  <c r="AN171" i="31" s="1"/>
  <c r="AN172" i="31" s="1"/>
  <c r="AN173" i="31" s="1"/>
  <c r="AN174" i="31" s="1"/>
  <c r="AN175" i="31" s="1"/>
  <c r="AN176" i="31" s="1"/>
  <c r="AN177" i="31" s="1"/>
  <c r="AN178" i="31" s="1"/>
  <c r="AN179" i="31" s="1"/>
  <c r="AN180" i="31" s="1"/>
  <c r="AN181" i="31" s="1"/>
  <c r="AN182" i="31" s="1"/>
  <c r="AN183" i="31" s="1"/>
  <c r="AN184" i="31" s="1"/>
  <c r="AN185" i="31" s="1"/>
  <c r="AN186" i="31" s="1"/>
  <c r="AN187" i="31" s="1"/>
  <c r="AN188" i="31" s="1"/>
  <c r="AN189" i="31" s="1"/>
  <c r="AN190" i="31" s="1"/>
  <c r="AN191" i="31" s="1"/>
  <c r="AN192" i="31" s="1"/>
  <c r="AN193" i="31" s="1"/>
  <c r="AN194" i="31" s="1"/>
  <c r="AN195" i="31" s="1"/>
  <c r="AN196" i="31" s="1"/>
  <c r="AN197" i="31" s="1"/>
  <c r="AN198" i="31" s="1"/>
  <c r="AN199" i="31" s="1"/>
  <c r="AN200" i="31" s="1"/>
  <c r="AN201" i="31" s="1"/>
  <c r="AN202" i="31" s="1"/>
  <c r="AN203" i="31" s="1"/>
  <c r="AN204" i="31" s="1"/>
  <c r="AN205" i="31" s="1"/>
  <c r="AN206" i="31" s="1"/>
  <c r="AN207" i="31" s="1"/>
  <c r="AN208" i="31" s="1"/>
  <c r="AN209" i="31" s="1"/>
  <c r="AN210" i="31" s="1"/>
  <c r="AN211" i="31" s="1"/>
  <c r="AN212" i="31" s="1"/>
  <c r="AN213" i="31" s="1"/>
  <c r="AN214" i="31" s="1"/>
  <c r="AN215" i="31" s="1"/>
  <c r="AN216" i="31" s="1"/>
  <c r="AN217" i="31" s="1"/>
  <c r="AN218" i="31" s="1"/>
  <c r="AN219" i="31" s="1"/>
  <c r="AN220" i="31" s="1"/>
  <c r="AN221" i="31" s="1"/>
  <c r="AN222" i="31" s="1"/>
  <c r="AN223" i="31" s="1"/>
  <c r="AN224" i="31" s="1"/>
  <c r="AN225" i="31" s="1"/>
  <c r="AN226" i="31" s="1"/>
  <c r="AN227" i="31" s="1"/>
  <c r="AN228" i="31" s="1"/>
  <c r="AN229" i="31" s="1"/>
  <c r="AN230" i="31" s="1"/>
  <c r="AN231" i="31" s="1"/>
  <c r="AN232" i="31" s="1"/>
  <c r="AN233" i="31" s="1"/>
  <c r="AN234" i="31" s="1"/>
  <c r="AN235" i="31" s="1"/>
  <c r="AN236" i="31" s="1"/>
  <c r="AN237" i="31" s="1"/>
  <c r="AN238" i="31" s="1"/>
  <c r="AN239" i="31" s="1"/>
  <c r="AN240" i="31" s="1"/>
  <c r="AN241" i="31" s="1"/>
  <c r="AN242" i="31" s="1"/>
  <c r="AN243" i="31" s="1"/>
  <c r="AN244" i="31" s="1"/>
  <c r="AN245" i="31" s="1"/>
  <c r="AN246" i="31" s="1"/>
  <c r="AN247" i="31" s="1"/>
  <c r="AN248" i="31" s="1"/>
  <c r="AN249" i="31" s="1"/>
  <c r="AN250" i="31" s="1"/>
  <c r="AN251" i="31" s="1"/>
  <c r="AN252" i="31" s="1"/>
  <c r="AN253" i="31" s="1"/>
  <c r="AN254" i="31" s="1"/>
  <c r="AN255" i="31" s="1"/>
  <c r="AN256" i="31" s="1"/>
  <c r="AN257" i="31" s="1"/>
  <c r="AN258" i="31" s="1"/>
  <c r="AN259" i="31" s="1"/>
  <c r="AN260" i="31" s="1"/>
  <c r="AN261" i="31" s="1"/>
  <c r="AN262" i="31" s="1"/>
  <c r="AN263" i="31" s="1"/>
  <c r="AN264" i="31" s="1"/>
  <c r="AN265" i="31" s="1"/>
  <c r="AN266" i="31" s="1"/>
  <c r="AN267" i="31" s="1"/>
  <c r="AN268" i="31" s="1"/>
  <c r="AN269" i="31" s="1"/>
  <c r="AN270" i="31" s="1"/>
  <c r="AN271" i="31" s="1"/>
  <c r="AN272" i="31" s="1"/>
  <c r="AN273" i="31" s="1"/>
  <c r="AN274" i="31" s="1"/>
  <c r="AN275" i="31" s="1"/>
  <c r="AN276" i="31" s="1"/>
  <c r="AN277" i="31" s="1"/>
  <c r="AN278" i="31" s="1"/>
  <c r="AN279" i="31" s="1"/>
  <c r="AN280" i="31" s="1"/>
  <c r="AN281" i="31" s="1"/>
  <c r="AN282" i="31" s="1"/>
  <c r="AN283" i="31" s="1"/>
  <c r="AN284" i="31" s="1"/>
  <c r="U46" i="29"/>
  <c r="T46" i="29"/>
  <c r="U45" i="29"/>
  <c r="T45" i="29"/>
  <c r="U44" i="29"/>
  <c r="T44" i="29"/>
  <c r="U43" i="29"/>
  <c r="T43" i="29"/>
  <c r="U42" i="29"/>
  <c r="T42" i="29"/>
  <c r="U41" i="29"/>
  <c r="T41" i="29"/>
  <c r="T40" i="29"/>
  <c r="U33" i="29"/>
  <c r="T33" i="29"/>
  <c r="U32" i="29"/>
  <c r="T32" i="29"/>
  <c r="U31" i="29"/>
  <c r="T31" i="29"/>
  <c r="U30" i="29"/>
  <c r="T30" i="29"/>
  <c r="U29" i="29"/>
  <c r="T29" i="29"/>
  <c r="U28" i="29"/>
  <c r="T28" i="29"/>
  <c r="T27" i="29"/>
  <c r="HP18" i="18"/>
  <c r="HO19" i="18" s="1"/>
  <c r="DV19" i="32" l="1"/>
  <c r="DX19" i="32"/>
  <c r="AO35" i="35"/>
  <c r="C28" i="33"/>
  <c r="C32" i="33"/>
  <c r="C36" i="33"/>
  <c r="C40" i="33"/>
  <c r="C44" i="33"/>
  <c r="C48" i="33"/>
  <c r="C52" i="33"/>
  <c r="C56" i="33"/>
  <c r="C60" i="33"/>
  <c r="C64" i="33"/>
  <c r="C68" i="33"/>
  <c r="D27" i="33"/>
  <c r="D31" i="33"/>
  <c r="D35" i="33"/>
  <c r="D39" i="33"/>
  <c r="D43" i="33"/>
  <c r="D47" i="33"/>
  <c r="D51" i="33"/>
  <c r="AI32" i="35"/>
  <c r="AI36" i="35"/>
  <c r="AK38" i="35"/>
  <c r="DX20" i="32"/>
  <c r="C47" i="33"/>
  <c r="C29" i="33"/>
  <c r="C33" i="33"/>
  <c r="C37" i="33"/>
  <c r="C41" i="33"/>
  <c r="C45" i="33"/>
  <c r="C49" i="33"/>
  <c r="C53" i="33"/>
  <c r="C57" i="33"/>
  <c r="C61" i="33"/>
  <c r="C65" i="33"/>
  <c r="D28" i="33"/>
  <c r="D32" i="33"/>
  <c r="D36" i="33"/>
  <c r="D40" i="33"/>
  <c r="D44" i="33"/>
  <c r="D48" i="33"/>
  <c r="D52" i="33"/>
  <c r="AU66" i="35"/>
  <c r="AS23" i="30"/>
  <c r="AM33" i="35"/>
  <c r="AM37" i="35"/>
  <c r="DV21" i="32"/>
  <c r="C27" i="33"/>
  <c r="C31" i="33"/>
  <c r="C35" i="33"/>
  <c r="C39" i="33"/>
  <c r="C43" i="33"/>
  <c r="C51" i="33"/>
  <c r="C55" i="33"/>
  <c r="C59" i="33"/>
  <c r="C63" i="33"/>
  <c r="C67" i="33"/>
  <c r="D26" i="33"/>
  <c r="D30" i="33"/>
  <c r="D34" i="33"/>
  <c r="D38" i="33"/>
  <c r="D42" i="33"/>
  <c r="D46" i="33"/>
  <c r="D50" i="33"/>
  <c r="AO31" i="35"/>
  <c r="C26" i="33"/>
  <c r="C30" i="33"/>
  <c r="C34" i="33"/>
  <c r="C38" i="33"/>
  <c r="C42" i="33"/>
  <c r="C46" i="33"/>
  <c r="C50" i="33"/>
  <c r="C54" i="33"/>
  <c r="C58" i="33"/>
  <c r="C62" i="33"/>
  <c r="C66" i="33"/>
  <c r="D29" i="33"/>
  <c r="D33" i="33"/>
  <c r="D37" i="33"/>
  <c r="D41" i="33"/>
  <c r="D45" i="33"/>
  <c r="D49" i="33"/>
  <c r="D53" i="33"/>
  <c r="AU65" i="35"/>
  <c r="AM29" i="35"/>
  <c r="AO39" i="35"/>
  <c r="AM26" i="35"/>
  <c r="AI26" i="35"/>
  <c r="AO26" i="35"/>
  <c r="AK26" i="35"/>
  <c r="AG26" i="35"/>
  <c r="AO30" i="35"/>
  <c r="AI30" i="35"/>
  <c r="AM30" i="35"/>
  <c r="AO34" i="35"/>
  <c r="AI34" i="35"/>
  <c r="AM34" i="35"/>
  <c r="AO38" i="35"/>
  <c r="AI38" i="35"/>
  <c r="AM38" i="35"/>
  <c r="AK30" i="35"/>
  <c r="AG30" i="35"/>
  <c r="AK34" i="35"/>
  <c r="AI27" i="35"/>
  <c r="AM27" i="35"/>
  <c r="AG28" i="35"/>
  <c r="AK28" i="35"/>
  <c r="AO28" i="35"/>
  <c r="AI29" i="35"/>
  <c r="AG31" i="35"/>
  <c r="AO32" i="35"/>
  <c r="AI33" i="35"/>
  <c r="AG35" i="35"/>
  <c r="AO36" i="35"/>
  <c r="AI37" i="35"/>
  <c r="AG39" i="35"/>
  <c r="AO40" i="35"/>
  <c r="AI41" i="35"/>
  <c r="AO41" i="35"/>
  <c r="AK31" i="35"/>
  <c r="AK35" i="35"/>
  <c r="AK39" i="35"/>
  <c r="Q43" i="35"/>
  <c r="AO29" i="35"/>
  <c r="AM31" i="35"/>
  <c r="AG32" i="35"/>
  <c r="AO33" i="35"/>
  <c r="AM35" i="35"/>
  <c r="AG36" i="35"/>
  <c r="AO37" i="35"/>
  <c r="AM39" i="35"/>
  <c r="AG40" i="35"/>
  <c r="AK41" i="35"/>
  <c r="AK32" i="35"/>
  <c r="AK36" i="35"/>
  <c r="AK40" i="35"/>
  <c r="Q45" i="35"/>
  <c r="AG27" i="35"/>
  <c r="AK27" i="35"/>
  <c r="AI28" i="35"/>
  <c r="AG29" i="35"/>
  <c r="AG33" i="35"/>
  <c r="AG37" i="35"/>
  <c r="AG41" i="35"/>
  <c r="CN38" i="32"/>
  <c r="CO38" i="32"/>
  <c r="CQ38" i="32" s="1"/>
  <c r="CP38" i="32"/>
  <c r="CK73" i="32" s="1"/>
  <c r="CN37" i="32"/>
  <c r="CP37" i="32" s="1"/>
  <c r="CO37" i="32"/>
  <c r="CQ37" i="32" s="1"/>
  <c r="CJ76" i="32"/>
  <c r="Q46" i="35"/>
  <c r="Q44" i="35"/>
  <c r="AH42" i="35"/>
  <c r="AM42" i="35"/>
  <c r="AI42" i="35"/>
  <c r="AN42" i="35"/>
  <c r="AK42" i="35"/>
  <c r="AF42" i="35"/>
  <c r="AJ42" i="35"/>
  <c r="AO42" i="35"/>
  <c r="AG42" i="35"/>
  <c r="AA42" i="35"/>
  <c r="AD42" i="35"/>
  <c r="Z42" i="35"/>
  <c r="V42" i="35"/>
  <c r="AB42" i="35"/>
  <c r="X42" i="35"/>
  <c r="AE42" i="35"/>
  <c r="W42" i="35"/>
  <c r="S43" i="35"/>
  <c r="Y43" i="35" s="1"/>
  <c r="Y42" i="35"/>
  <c r="AU54" i="35"/>
  <c r="AF54" i="35"/>
  <c r="AU53" i="35"/>
  <c r="BH53" i="35" s="1"/>
  <c r="BK53" i="35" s="1"/>
  <c r="BL53" i="35" s="1"/>
  <c r="BN53" i="35" s="1"/>
  <c r="BO53" i="35" s="1"/>
  <c r="AU64" i="35"/>
  <c r="Q36" i="35"/>
  <c r="Q38" i="35"/>
  <c r="AL54" i="35"/>
  <c r="AN54" i="35" s="1"/>
  <c r="AO54" i="35" s="1"/>
  <c r="AU55" i="35"/>
  <c r="CP35" i="32"/>
  <c r="AU56" i="35"/>
  <c r="AF53" i="35"/>
  <c r="CO35" i="32"/>
  <c r="Q40" i="35"/>
  <c r="CQ31" i="32"/>
  <c r="CN31" i="32"/>
  <c r="CP33" i="32"/>
  <c r="CO36" i="32"/>
  <c r="CQ36" i="32" s="1"/>
  <c r="CQ35" i="32"/>
  <c r="CP31" i="32"/>
  <c r="CO32" i="32"/>
  <c r="CQ32" i="32" s="1"/>
  <c r="AQ44" i="30"/>
  <c r="AR44" i="30" s="1"/>
  <c r="CP29" i="32"/>
  <c r="CN27" i="32"/>
  <c r="CP27" i="32" s="1"/>
  <c r="AL53" i="35"/>
  <c r="AN53" i="35" s="1"/>
  <c r="AO53" i="35" s="1"/>
  <c r="CO19" i="32"/>
  <c r="CP25" i="32"/>
  <c r="CK60" i="32" s="1"/>
  <c r="CP21" i="32"/>
  <c r="CQ21" i="32" s="1"/>
  <c r="CO20" i="32"/>
  <c r="CT23" i="32"/>
  <c r="CT25" i="32" s="1"/>
  <c r="CV25" i="32" s="1"/>
  <c r="CQ19" i="32"/>
  <c r="CN23" i="32"/>
  <c r="CP23" i="32" s="1"/>
  <c r="CN18" i="32"/>
  <c r="CP18" i="32" s="1"/>
  <c r="CO18" i="32"/>
  <c r="CN20" i="32"/>
  <c r="CP20" i="32" s="1"/>
  <c r="CN24" i="32"/>
  <c r="CP24" i="32" s="1"/>
  <c r="CN28" i="32"/>
  <c r="CP28" i="32" s="1"/>
  <c r="CN32" i="32"/>
  <c r="CP32" i="32" s="1"/>
  <c r="CN36" i="32"/>
  <c r="CP36" i="32" s="1"/>
  <c r="CQ30" i="32"/>
  <c r="CQ34" i="32"/>
  <c r="CO21" i="32"/>
  <c r="CN22" i="32"/>
  <c r="CP22" i="32" s="1"/>
  <c r="CO25" i="32"/>
  <c r="CN26" i="32"/>
  <c r="CP26" i="32" s="1"/>
  <c r="CO29" i="32"/>
  <c r="CN30" i="32"/>
  <c r="CP30" i="32" s="1"/>
  <c r="CO33" i="32"/>
  <c r="CQ33" i="32" s="1"/>
  <c r="CN34" i="32"/>
  <c r="CP34" i="32" s="1"/>
  <c r="H9" i="30"/>
  <c r="AI10" i="30" s="1"/>
  <c r="AG22" i="30" s="1"/>
  <c r="AM9" i="30"/>
  <c r="AI80" i="30" s="1"/>
  <c r="AQ46" i="30"/>
  <c r="AR46" i="30" s="1"/>
  <c r="AR49" i="30" s="1"/>
  <c r="AS58" i="30" s="1"/>
  <c r="AT58" i="30" s="1"/>
  <c r="AF125" i="30"/>
  <c r="AH127" i="30" s="1"/>
  <c r="AA128" i="30" s="1"/>
  <c r="AR25" i="30"/>
  <c r="AS26" i="30"/>
  <c r="AS24" i="30"/>
  <c r="AS27" i="30"/>
  <c r="AS28" i="30"/>
  <c r="AR28" i="30"/>
  <c r="AR26" i="30"/>
  <c r="AR27" i="30"/>
  <c r="S40" i="29"/>
  <c r="U19" i="32" s="1"/>
  <c r="S27" i="29"/>
  <c r="BE127" i="30" s="1"/>
  <c r="CV3" i="32"/>
  <c r="B12" i="33"/>
  <c r="CT3" i="32" s="1"/>
  <c r="AW15" i="35"/>
  <c r="AW16" i="35" s="1"/>
  <c r="Q34" i="35"/>
  <c r="Q32" i="35"/>
  <c r="Q29" i="35"/>
  <c r="Q35" i="35"/>
  <c r="Q39" i="35"/>
  <c r="Q41" i="35"/>
  <c r="Q33" i="35"/>
  <c r="Q37" i="35"/>
  <c r="Q31" i="35"/>
  <c r="Q27" i="35"/>
  <c r="Q28" i="35"/>
  <c r="Q25" i="35"/>
  <c r="Q30" i="35"/>
  <c r="Q26" i="35"/>
  <c r="T30" i="33"/>
  <c r="D73" i="33" s="1"/>
  <c r="AB10" i="31"/>
  <c r="AD27" i="31" s="1"/>
  <c r="D46" i="31"/>
  <c r="D47" i="31" s="1"/>
  <c r="D48" i="31" s="1"/>
  <c r="D49" i="31" s="1"/>
  <c r="D50" i="31" s="1"/>
  <c r="D51" i="31" s="1"/>
  <c r="D52" i="31"/>
  <c r="H46" i="31"/>
  <c r="H47" i="31" s="1"/>
  <c r="H48" i="31" s="1"/>
  <c r="H49" i="31" s="1"/>
  <c r="H50" i="31" s="1"/>
  <c r="H51" i="31" s="1"/>
  <c r="H52" i="31"/>
  <c r="L52" i="31"/>
  <c r="L46" i="31"/>
  <c r="L47" i="31" s="1"/>
  <c r="L48" i="31" s="1"/>
  <c r="L49" i="31" s="1"/>
  <c r="L50" i="31" s="1"/>
  <c r="L51" i="31" s="1"/>
  <c r="X52" i="31"/>
  <c r="X46" i="31"/>
  <c r="X47" i="31" s="1"/>
  <c r="X48" i="31" s="1"/>
  <c r="X49" i="31" s="1"/>
  <c r="X50" i="31" s="1"/>
  <c r="X51" i="31" s="1"/>
  <c r="D39" i="31"/>
  <c r="D40" i="31" s="1"/>
  <c r="D41" i="31" s="1"/>
  <c r="D42" i="31" s="1"/>
  <c r="D43" i="31" s="1"/>
  <c r="D44" i="31" s="1"/>
  <c r="E52" i="31"/>
  <c r="E46" i="31"/>
  <c r="E47" i="31" s="1"/>
  <c r="E48" i="31" s="1"/>
  <c r="E49" i="31" s="1"/>
  <c r="E50" i="31" s="1"/>
  <c r="E51" i="31" s="1"/>
  <c r="U52" i="31"/>
  <c r="U46" i="31"/>
  <c r="U47" i="31" s="1"/>
  <c r="U48" i="31" s="1"/>
  <c r="U49" i="31" s="1"/>
  <c r="U50" i="31" s="1"/>
  <c r="U51" i="31" s="1"/>
  <c r="H39" i="31"/>
  <c r="H40" i="31" s="1"/>
  <c r="H41" i="31" s="1"/>
  <c r="H42" i="31" s="1"/>
  <c r="H43" i="31" s="1"/>
  <c r="H44" i="31" s="1"/>
  <c r="B52" i="31"/>
  <c r="B46" i="31"/>
  <c r="B47" i="31" s="1"/>
  <c r="B48" i="31" s="1"/>
  <c r="B49" i="31" s="1"/>
  <c r="B50" i="31" s="1"/>
  <c r="B51" i="31" s="1"/>
  <c r="F52" i="31"/>
  <c r="F46" i="31"/>
  <c r="F47" i="31" s="1"/>
  <c r="F48" i="31" s="1"/>
  <c r="F49" i="31" s="1"/>
  <c r="F50" i="31" s="1"/>
  <c r="F51" i="31" s="1"/>
  <c r="J52" i="31"/>
  <c r="J46" i="31"/>
  <c r="J47" i="31" s="1"/>
  <c r="J48" i="31" s="1"/>
  <c r="J49" i="31" s="1"/>
  <c r="J50" i="31" s="1"/>
  <c r="J51" i="31" s="1"/>
  <c r="N52" i="31"/>
  <c r="N46" i="31"/>
  <c r="N47" i="31" s="1"/>
  <c r="N48" i="31" s="1"/>
  <c r="N49" i="31" s="1"/>
  <c r="N50" i="31" s="1"/>
  <c r="N51" i="31" s="1"/>
  <c r="R52" i="31"/>
  <c r="R46" i="31"/>
  <c r="R47" i="31" s="1"/>
  <c r="R48" i="31" s="1"/>
  <c r="R49" i="31" s="1"/>
  <c r="R50" i="31" s="1"/>
  <c r="R51" i="31" s="1"/>
  <c r="V52" i="31"/>
  <c r="V46" i="31"/>
  <c r="V47" i="31" s="1"/>
  <c r="V48" i="31" s="1"/>
  <c r="V49" i="31" s="1"/>
  <c r="V50" i="31" s="1"/>
  <c r="V51" i="31" s="1"/>
  <c r="L39" i="31"/>
  <c r="L40" i="31" s="1"/>
  <c r="L41" i="31" s="1"/>
  <c r="L42" i="31" s="1"/>
  <c r="L43" i="31" s="1"/>
  <c r="L44" i="31" s="1"/>
  <c r="T45" i="31"/>
  <c r="M52" i="31"/>
  <c r="M46" i="31"/>
  <c r="M47" i="31" s="1"/>
  <c r="M48" i="31" s="1"/>
  <c r="M49" i="31" s="1"/>
  <c r="M50" i="31" s="1"/>
  <c r="M51" i="31" s="1"/>
  <c r="X39" i="31"/>
  <c r="X40" i="31" s="1"/>
  <c r="X41" i="31" s="1"/>
  <c r="X42" i="31" s="1"/>
  <c r="X43" i="31" s="1"/>
  <c r="X44" i="31" s="1"/>
  <c r="P45" i="31"/>
  <c r="C52" i="31"/>
  <c r="C46" i="31"/>
  <c r="C47" i="31" s="1"/>
  <c r="C48" i="31" s="1"/>
  <c r="C49" i="31" s="1"/>
  <c r="C50" i="31" s="1"/>
  <c r="C51" i="31" s="1"/>
  <c r="G52" i="31"/>
  <c r="G46" i="31"/>
  <c r="K52" i="31"/>
  <c r="K46" i="31"/>
  <c r="K47" i="31" s="1"/>
  <c r="K48" i="31" s="1"/>
  <c r="O52" i="31"/>
  <c r="O46" i="31"/>
  <c r="O47" i="31" s="1"/>
  <c r="O48" i="31" s="1"/>
  <c r="O49" i="31" s="1"/>
  <c r="O50" i="31" s="1"/>
  <c r="O51" i="31" s="1"/>
  <c r="S52" i="31"/>
  <c r="S46" i="31"/>
  <c r="S47" i="31" s="1"/>
  <c r="S48" i="31" s="1"/>
  <c r="S49" i="31" s="1"/>
  <c r="S50" i="31" s="1"/>
  <c r="S51" i="31" s="1"/>
  <c r="W52" i="31"/>
  <c r="W46" i="31"/>
  <c r="W47" i="31" s="1"/>
  <c r="W48" i="31" s="1"/>
  <c r="W49" i="31" s="1"/>
  <c r="W50" i="31" s="1"/>
  <c r="W51" i="31" s="1"/>
  <c r="E39" i="31"/>
  <c r="E40" i="31" s="1"/>
  <c r="E41" i="31" s="1"/>
  <c r="E42" i="31" s="1"/>
  <c r="E43" i="31" s="1"/>
  <c r="E44" i="31" s="1"/>
  <c r="M39" i="31"/>
  <c r="M40" i="31" s="1"/>
  <c r="M41" i="31" s="1"/>
  <c r="M42" i="31" s="1"/>
  <c r="M43" i="31" s="1"/>
  <c r="M44" i="31" s="1"/>
  <c r="U39" i="31"/>
  <c r="U40" i="31" s="1"/>
  <c r="U41" i="31" s="1"/>
  <c r="U42" i="31" s="1"/>
  <c r="U43" i="31" s="1"/>
  <c r="U44" i="31" s="1"/>
  <c r="A45" i="31"/>
  <c r="I45" i="31"/>
  <c r="Q45" i="31"/>
  <c r="B39" i="31"/>
  <c r="B40" i="31" s="1"/>
  <c r="B41" i="31" s="1"/>
  <c r="B42" i="31" s="1"/>
  <c r="B43" i="31" s="1"/>
  <c r="B44" i="31" s="1"/>
  <c r="F39" i="31"/>
  <c r="F40" i="31" s="1"/>
  <c r="F41" i="31" s="1"/>
  <c r="F42" i="31" s="1"/>
  <c r="F43" i="31" s="1"/>
  <c r="F44" i="31" s="1"/>
  <c r="J39" i="31"/>
  <c r="J40" i="31" s="1"/>
  <c r="J41" i="31" s="1"/>
  <c r="J42" i="31" s="1"/>
  <c r="J43" i="31" s="1"/>
  <c r="J44" i="31" s="1"/>
  <c r="N39" i="31"/>
  <c r="N40" i="31" s="1"/>
  <c r="N41" i="31" s="1"/>
  <c r="N42" i="31" s="1"/>
  <c r="N43" i="31" s="1"/>
  <c r="N44" i="31" s="1"/>
  <c r="R39" i="31"/>
  <c r="R40" i="31" s="1"/>
  <c r="R41" i="31" s="1"/>
  <c r="R42" i="31" s="1"/>
  <c r="R43" i="31" s="1"/>
  <c r="R44" i="31" s="1"/>
  <c r="V39" i="31"/>
  <c r="V40" i="31" s="1"/>
  <c r="V41" i="31" s="1"/>
  <c r="V42" i="31" s="1"/>
  <c r="V43" i="31" s="1"/>
  <c r="V44" i="31" s="1"/>
  <c r="C39" i="31"/>
  <c r="C40" i="31" s="1"/>
  <c r="C41" i="31" s="1"/>
  <c r="C42" i="31" s="1"/>
  <c r="C43" i="31" s="1"/>
  <c r="C44" i="31" s="1"/>
  <c r="G39" i="31"/>
  <c r="G40" i="31" s="1"/>
  <c r="G41" i="31" s="1"/>
  <c r="K39" i="31"/>
  <c r="K40" i="31" s="1"/>
  <c r="O39" i="31"/>
  <c r="O40" i="31" s="1"/>
  <c r="O41" i="31" s="1"/>
  <c r="O42" i="31" s="1"/>
  <c r="O43" i="31" s="1"/>
  <c r="O44" i="31" s="1"/>
  <c r="S39" i="31"/>
  <c r="S40" i="31" s="1"/>
  <c r="S41" i="31" s="1"/>
  <c r="S42" i="31" s="1"/>
  <c r="S43" i="31" s="1"/>
  <c r="S44" i="31" s="1"/>
  <c r="W39" i="31"/>
  <c r="W40" i="31" s="1"/>
  <c r="W41" i="31" s="1"/>
  <c r="W42" i="31" s="1"/>
  <c r="W43" i="31" s="1"/>
  <c r="W44" i="31" s="1"/>
  <c r="EE49" i="18"/>
  <c r="EB46" i="18" s="1"/>
  <c r="DP46" i="18" s="1"/>
  <c r="AQ47" i="28"/>
  <c r="AR47" i="28" s="1"/>
  <c r="AQ46" i="28"/>
  <c r="AR46" i="28" s="1"/>
  <c r="AQ45" i="28"/>
  <c r="AR45" i="28" s="1"/>
  <c r="AQ44" i="28"/>
  <c r="AR44" i="28" s="1"/>
  <c r="MI5" i="24"/>
  <c r="MI6" i="24" s="1"/>
  <c r="EX17" i="18"/>
  <c r="EV17" i="18"/>
  <c r="EP16" i="18"/>
  <c r="EP15" i="18"/>
  <c r="EP14" i="18"/>
  <c r="EP13" i="18"/>
  <c r="EP12" i="18"/>
  <c r="EP11" i="18"/>
  <c r="EP10" i="18"/>
  <c r="EP9" i="18"/>
  <c r="EY38" i="24"/>
  <c r="GJ21" i="24"/>
  <c r="GI21" i="24"/>
  <c r="GJ20" i="24"/>
  <c r="GI20" i="24"/>
  <c r="GJ19" i="24"/>
  <c r="GI19" i="24"/>
  <c r="GJ18" i="24"/>
  <c r="GI18" i="24"/>
  <c r="GJ17" i="24"/>
  <c r="GI17" i="24"/>
  <c r="GJ16" i="24"/>
  <c r="GI16" i="24"/>
  <c r="GJ15" i="24"/>
  <c r="GI15" i="24"/>
  <c r="GI14" i="24"/>
  <c r="EY38" i="18"/>
  <c r="AF125" i="28"/>
  <c r="AH127" i="28" s="1"/>
  <c r="R27" i="2"/>
  <c r="BE134" i="28"/>
  <c r="BD134" i="28"/>
  <c r="BE133" i="28"/>
  <c r="BD133" i="28"/>
  <c r="BE132" i="28"/>
  <c r="BD132" i="28"/>
  <c r="BE131" i="28"/>
  <c r="BD131" i="28"/>
  <c r="BG127" i="28" s="1"/>
  <c r="BE130" i="28"/>
  <c r="BD130" i="28"/>
  <c r="BE129" i="28"/>
  <c r="BD129" i="28"/>
  <c r="BE128" i="28"/>
  <c r="BD128" i="28"/>
  <c r="BD127" i="28"/>
  <c r="AI138" i="28"/>
  <c r="AJ138" i="28" s="1"/>
  <c r="D144" i="28"/>
  <c r="D143" i="28"/>
  <c r="AH130" i="28"/>
  <c r="AH129" i="28" s="1"/>
  <c r="AH85" i="28" s="1"/>
  <c r="AI85" i="28" s="1"/>
  <c r="AH128" i="28"/>
  <c r="D140" i="28"/>
  <c r="E141" i="28" s="1"/>
  <c r="I103" i="23"/>
  <c r="I102" i="23"/>
  <c r="I101" i="23"/>
  <c r="I100" i="23"/>
  <c r="I99" i="23"/>
  <c r="I98" i="23"/>
  <c r="I97" i="23"/>
  <c r="J103" i="23"/>
  <c r="J102" i="23"/>
  <c r="J101" i="23"/>
  <c r="J100" i="23"/>
  <c r="J99" i="23"/>
  <c r="J98" i="23"/>
  <c r="M126" i="28"/>
  <c r="M125" i="28"/>
  <c r="AS125" i="28"/>
  <c r="AP125" i="28"/>
  <c r="AQ125" i="28" s="1"/>
  <c r="EC47" i="24"/>
  <c r="EB47" i="24"/>
  <c r="ES8" i="24"/>
  <c r="ER8" i="24"/>
  <c r="ES7" i="24"/>
  <c r="ER7" i="24"/>
  <c r="ES6" i="24"/>
  <c r="ER6" i="24"/>
  <c r="ES5" i="24"/>
  <c r="ER5" i="24"/>
  <c r="ES4" i="24"/>
  <c r="ER4" i="24"/>
  <c r="ES3" i="24"/>
  <c r="ER3" i="24"/>
  <c r="ES3" i="18"/>
  <c r="ER3" i="18"/>
  <c r="ER2" i="24"/>
  <c r="EP2" i="24" s="1"/>
  <c r="ES8" i="18"/>
  <c r="ER8" i="18"/>
  <c r="ES7" i="18"/>
  <c r="ER7" i="18"/>
  <c r="ES6" i="18"/>
  <c r="ER6" i="18"/>
  <c r="ES5" i="18"/>
  <c r="ER5" i="18"/>
  <c r="ES4" i="18"/>
  <c r="ER4" i="18"/>
  <c r="ED47" i="18"/>
  <c r="ER2" i="18"/>
  <c r="EP2" i="18" s="1"/>
  <c r="F138" i="28"/>
  <c r="AI141" i="28"/>
  <c r="AJ33" i="28"/>
  <c r="AI33" i="28" s="1"/>
  <c r="AL59" i="28"/>
  <c r="AP81" i="28"/>
  <c r="AP83" i="28" s="1"/>
  <c r="AP13" i="28"/>
  <c r="AS23" i="28" s="1"/>
  <c r="AO13" i="28"/>
  <c r="AR25" i="28" s="1"/>
  <c r="AN13" i="28"/>
  <c r="AM9" i="28"/>
  <c r="AM121" i="28"/>
  <c r="AL121" i="28"/>
  <c r="AL90" i="28"/>
  <c r="AL88" i="28"/>
  <c r="AL77" i="28"/>
  <c r="AL89" i="28" s="1"/>
  <c r="AM50" i="28"/>
  <c r="AL50" i="28"/>
  <c r="AM49" i="28"/>
  <c r="AL49" i="28"/>
  <c r="AM48" i="28"/>
  <c r="AL48" i="28"/>
  <c r="AX29" i="28"/>
  <c r="AW29" i="28"/>
  <c r="AP14" i="28"/>
  <c r="AR74" i="28" s="1"/>
  <c r="AO14" i="28"/>
  <c r="AQ73" i="28" s="1"/>
  <c r="AN14" i="28"/>
  <c r="AP73" i="28" s="1"/>
  <c r="H121" i="28"/>
  <c r="G121" i="28"/>
  <c r="K14" i="28"/>
  <c r="J14" i="28"/>
  <c r="I14" i="28"/>
  <c r="K13" i="28"/>
  <c r="J13" i="28"/>
  <c r="I13" i="28"/>
  <c r="H9" i="28"/>
  <c r="AI11" i="28" s="1"/>
  <c r="AH22" i="28" s="1"/>
  <c r="D85" i="28"/>
  <c r="G88" i="28"/>
  <c r="G90" i="28"/>
  <c r="AJ36" i="31"/>
  <c r="AF33" i="31"/>
  <c r="AG33" i="31"/>
  <c r="AH43" i="31"/>
  <c r="AI40" i="31"/>
  <c r="AI42" i="31"/>
  <c r="AQ31" i="31"/>
  <c r="AG35" i="31"/>
  <c r="AF38" i="31"/>
  <c r="CR19" i="32" a="1"/>
  <c r="AQ38" i="31"/>
  <c r="CR21" i="32" a="1"/>
  <c r="AI38" i="31"/>
  <c r="AF34" i="31"/>
  <c r="AJ32" i="31"/>
  <c r="AI31" i="31"/>
  <c r="AI32" i="31"/>
  <c r="AK37" i="31"/>
  <c r="AF37" i="31"/>
  <c r="AK32" i="31"/>
  <c r="AF35" i="31"/>
  <c r="AK31" i="31"/>
  <c r="AF41" i="31"/>
  <c r="AQ39" i="31"/>
  <c r="AK34" i="31"/>
  <c r="AQ44" i="31"/>
  <c r="AC31" i="31"/>
  <c r="AK36" i="31"/>
  <c r="AB31" i="31"/>
  <c r="AH33" i="31"/>
  <c r="AJ42" i="31"/>
  <c r="AG38" i="31"/>
  <c r="AH44" i="31"/>
  <c r="AF36" i="31"/>
  <c r="AF31" i="31"/>
  <c r="AH36" i="31"/>
  <c r="AQ36" i="31"/>
  <c r="AF44" i="31"/>
  <c r="AQ34" i="31"/>
  <c r="AJ37" i="31"/>
  <c r="AQ37" i="31"/>
  <c r="AI39" i="31"/>
  <c r="AI44" i="31"/>
  <c r="AS127" i="28" l="1"/>
  <c r="AW53" i="35"/>
  <c r="AZ53" i="35" s="1"/>
  <c r="BA53" i="35" s="1"/>
  <c r="CT75" i="32"/>
  <c r="CK67" i="32"/>
  <c r="CK69" i="32"/>
  <c r="CT83" i="32"/>
  <c r="CT59" i="32"/>
  <c r="CT61" i="32" s="1"/>
  <c r="CV61" i="32" s="1"/>
  <c r="CK63" i="32"/>
  <c r="CK68" i="32"/>
  <c r="CT79" i="32"/>
  <c r="CT67" i="32"/>
  <c r="CT69" i="32" s="1"/>
  <c r="CV69" i="32" s="1"/>
  <c r="CK65" i="32"/>
  <c r="CK71" i="32"/>
  <c r="CT90" i="32"/>
  <c r="CT55" i="32"/>
  <c r="CT56" i="32" s="1"/>
  <c r="CV56" i="32" s="1"/>
  <c r="CK62" i="32"/>
  <c r="CT71" i="32"/>
  <c r="CT73" i="32" s="1"/>
  <c r="CV73" i="32" s="1"/>
  <c r="CK66" i="32"/>
  <c r="CT63" i="32"/>
  <c r="CT65" i="32" s="1"/>
  <c r="CV65" i="32" s="1"/>
  <c r="CK64" i="32"/>
  <c r="CK72" i="32"/>
  <c r="CT93" i="32"/>
  <c r="CT87" i="32"/>
  <c r="CK70" i="32"/>
  <c r="CJ77" i="32"/>
  <c r="S44" i="35"/>
  <c r="Y44" i="35" s="1"/>
  <c r="AC43" i="35"/>
  <c r="AI44" i="35"/>
  <c r="AM44" i="35"/>
  <c r="AG44" i="35"/>
  <c r="AO44" i="35"/>
  <c r="W44" i="35"/>
  <c r="AO43" i="35"/>
  <c r="AJ43" i="35"/>
  <c r="AF43" i="35"/>
  <c r="AK43" i="35"/>
  <c r="AN43" i="35"/>
  <c r="AI43" i="35"/>
  <c r="AM43" i="35"/>
  <c r="AH43" i="35"/>
  <c r="AL43" i="35"/>
  <c r="AG43" i="35"/>
  <c r="AE44" i="35"/>
  <c r="AA44" i="35"/>
  <c r="S45" i="35"/>
  <c r="AD43" i="35"/>
  <c r="Z43" i="35"/>
  <c r="V43" i="35"/>
  <c r="AE43" i="35"/>
  <c r="AA43" i="35"/>
  <c r="W43" i="35"/>
  <c r="AB43" i="35"/>
  <c r="X43" i="35"/>
  <c r="AW54" i="35"/>
  <c r="AZ54" i="35" s="1"/>
  <c r="BA54" i="35" s="1"/>
  <c r="BH54" i="35"/>
  <c r="BK54" i="35" s="1"/>
  <c r="BL54" i="35" s="1"/>
  <c r="BN54" i="35" s="1"/>
  <c r="BO54" i="35" s="1"/>
  <c r="CT72" i="32"/>
  <c r="CV72" i="32" s="1"/>
  <c r="CT68" i="32"/>
  <c r="CV68" i="32" s="1"/>
  <c r="CT74" i="32"/>
  <c r="CV74" i="32" s="1"/>
  <c r="CV71" i="32"/>
  <c r="CT66" i="32"/>
  <c r="CV66" i="32" s="1"/>
  <c r="CT60" i="32"/>
  <c r="CV60" i="32" s="1"/>
  <c r="CV55" i="32"/>
  <c r="CT31" i="32"/>
  <c r="CV31" i="32" s="1"/>
  <c r="CT24" i="32"/>
  <c r="CV24" i="32" s="1"/>
  <c r="CT47" i="32"/>
  <c r="CT50" i="32" s="1"/>
  <c r="CV50" i="32" s="1"/>
  <c r="CR21" i="32"/>
  <c r="CQ20" i="32"/>
  <c r="CT27" i="32"/>
  <c r="CR19" i="32"/>
  <c r="CT26" i="32"/>
  <c r="CV26" i="32" s="1"/>
  <c r="CV23" i="32"/>
  <c r="CQ18" i="32"/>
  <c r="CT18" i="32"/>
  <c r="CT51" i="32"/>
  <c r="CK61" i="32"/>
  <c r="CT43" i="32"/>
  <c r="CK59" i="32"/>
  <c r="CK58" i="32"/>
  <c r="CT39" i="32"/>
  <c r="CK56" i="32"/>
  <c r="CT35" i="32"/>
  <c r="CQ22" i="32"/>
  <c r="CQ17" i="32"/>
  <c r="CK57" i="32"/>
  <c r="CK55" i="32"/>
  <c r="CT32" i="32"/>
  <c r="CV32" i="32" s="1"/>
  <c r="CI15" i="32"/>
  <c r="D12" i="30"/>
  <c r="D16" i="30"/>
  <c r="C27" i="30" s="1"/>
  <c r="AA127" i="30"/>
  <c r="AA137" i="30" s="1"/>
  <c r="AM10" i="30"/>
  <c r="AM22" i="30" s="1"/>
  <c r="AM33" i="30" s="1"/>
  <c r="AM41" i="30" s="1"/>
  <c r="AM51" i="30" s="1"/>
  <c r="AM59" i="30" s="1"/>
  <c r="AM83" i="30" s="1"/>
  <c r="AS59" i="30"/>
  <c r="AL60" i="30"/>
  <c r="AL84" i="30" s="1"/>
  <c r="AR59" i="30"/>
  <c r="D15" i="30"/>
  <c r="D11" i="30"/>
  <c r="D80" i="30"/>
  <c r="D14" i="30"/>
  <c r="D13" i="30"/>
  <c r="H10" i="30"/>
  <c r="H22" i="30" s="1"/>
  <c r="H33" i="30" s="1"/>
  <c r="H41" i="30" s="1"/>
  <c r="H51" i="30" s="1"/>
  <c r="AI16" i="30"/>
  <c r="AH27" i="30" s="1"/>
  <c r="AI13" i="30"/>
  <c r="AI12" i="30"/>
  <c r="D10" i="30"/>
  <c r="B22" i="30" s="1"/>
  <c r="AI15" i="30"/>
  <c r="AI14" i="30"/>
  <c r="AI11" i="30"/>
  <c r="C23" i="30"/>
  <c r="B24" i="30"/>
  <c r="S25" i="35"/>
  <c r="D74" i="33"/>
  <c r="B97" i="33"/>
  <c r="B99" i="33" s="1"/>
  <c r="AC32" i="31"/>
  <c r="AC33" i="31" s="1"/>
  <c r="AC34" i="31" s="1"/>
  <c r="AC35" i="31" s="1"/>
  <c r="AC36" i="31" s="1"/>
  <c r="AC37" i="31" s="1"/>
  <c r="AB32" i="31"/>
  <c r="AB33" i="31" s="1"/>
  <c r="AB34" i="31" s="1"/>
  <c r="AB35" i="31" s="1"/>
  <c r="AB36" i="31" s="1"/>
  <c r="AB37" i="31" s="1"/>
  <c r="G42" i="31"/>
  <c r="J59" i="31"/>
  <c r="J53" i="31"/>
  <c r="B59" i="31"/>
  <c r="B53" i="31"/>
  <c r="B54" i="31" s="1"/>
  <c r="B55" i="31" s="1"/>
  <c r="B56" i="31" s="1"/>
  <c r="B57" i="31" s="1"/>
  <c r="B58" i="31" s="1"/>
  <c r="I52" i="31"/>
  <c r="I46" i="31"/>
  <c r="E59" i="31"/>
  <c r="E53" i="31"/>
  <c r="E54" i="31" s="1"/>
  <c r="E55" i="31" s="1"/>
  <c r="E56" i="31" s="1"/>
  <c r="E57" i="31" s="1"/>
  <c r="E58" i="31" s="1"/>
  <c r="K49" i="31"/>
  <c r="V59" i="31"/>
  <c r="V53" i="31"/>
  <c r="V54" i="31" s="1"/>
  <c r="V55" i="31" s="1"/>
  <c r="V56" i="31" s="1"/>
  <c r="V57" i="31" s="1"/>
  <c r="V58" i="31" s="1"/>
  <c r="L59" i="31"/>
  <c r="L53" i="31"/>
  <c r="L54" i="31" s="1"/>
  <c r="L55" i="31" s="1"/>
  <c r="L56" i="31" s="1"/>
  <c r="L57" i="31" s="1"/>
  <c r="L58" i="31" s="1"/>
  <c r="Q52" i="31"/>
  <c r="Q46" i="31"/>
  <c r="G47" i="31"/>
  <c r="R59" i="31"/>
  <c r="R53" i="31"/>
  <c r="R54" i="31" s="1"/>
  <c r="R55" i="31" s="1"/>
  <c r="R56" i="31" s="1"/>
  <c r="R57" i="31" s="1"/>
  <c r="R58" i="31" s="1"/>
  <c r="X53" i="31"/>
  <c r="X54" i="31" s="1"/>
  <c r="X55" i="31" s="1"/>
  <c r="X56" i="31" s="1"/>
  <c r="X57" i="31" s="1"/>
  <c r="X58" i="31" s="1"/>
  <c r="X59" i="31"/>
  <c r="W59" i="31"/>
  <c r="W53" i="31"/>
  <c r="W54" i="31" s="1"/>
  <c r="W55" i="31" s="1"/>
  <c r="W56" i="31" s="1"/>
  <c r="W57" i="31" s="1"/>
  <c r="W58" i="31" s="1"/>
  <c r="O59" i="31"/>
  <c r="O53" i="31"/>
  <c r="O54" i="31" s="1"/>
  <c r="O55" i="31" s="1"/>
  <c r="O56" i="31" s="1"/>
  <c r="O57" i="31" s="1"/>
  <c r="O58" i="31" s="1"/>
  <c r="G59" i="31"/>
  <c r="G53" i="31"/>
  <c r="D59" i="31"/>
  <c r="D53" i="31"/>
  <c r="D54" i="31" s="1"/>
  <c r="D55" i="31" s="1"/>
  <c r="D56" i="31" s="1"/>
  <c r="D57" i="31" s="1"/>
  <c r="D58" i="31" s="1"/>
  <c r="A46" i="31"/>
  <c r="A52" i="31"/>
  <c r="M59" i="31"/>
  <c r="M53" i="31"/>
  <c r="M54" i="31" s="1"/>
  <c r="M55" i="31" s="1"/>
  <c r="M56" i="31" s="1"/>
  <c r="M57" i="31" s="1"/>
  <c r="M58" i="31" s="1"/>
  <c r="N59" i="31"/>
  <c r="N53" i="31"/>
  <c r="N54" i="31" s="1"/>
  <c r="N55" i="31" s="1"/>
  <c r="N56" i="31" s="1"/>
  <c r="N57" i="31" s="1"/>
  <c r="N58" i="31" s="1"/>
  <c r="F59" i="31"/>
  <c r="F53" i="31"/>
  <c r="K41" i="31"/>
  <c r="S59" i="31"/>
  <c r="S53" i="31"/>
  <c r="S54" i="31" s="1"/>
  <c r="S55" i="31" s="1"/>
  <c r="S56" i="31" s="1"/>
  <c r="S57" i="31" s="1"/>
  <c r="S58" i="31" s="1"/>
  <c r="K59" i="31"/>
  <c r="K53" i="31"/>
  <c r="C59" i="31"/>
  <c r="C53" i="31"/>
  <c r="C54" i="31" s="1"/>
  <c r="C55" i="31" s="1"/>
  <c r="C56" i="31" s="1"/>
  <c r="C57" i="31" s="1"/>
  <c r="C58" i="31" s="1"/>
  <c r="P46" i="31"/>
  <c r="P47" i="31" s="1"/>
  <c r="P48" i="31" s="1"/>
  <c r="P49" i="31" s="1"/>
  <c r="P50" i="31" s="1"/>
  <c r="P51" i="31" s="1"/>
  <c r="P52" i="31"/>
  <c r="T46" i="31"/>
  <c r="T47" i="31" s="1"/>
  <c r="T48" i="31" s="1"/>
  <c r="T49" i="31" s="1"/>
  <c r="T50" i="31" s="1"/>
  <c r="T51" i="31" s="1"/>
  <c r="T52" i="31"/>
  <c r="U59" i="31"/>
  <c r="U53" i="31"/>
  <c r="U54" i="31" s="1"/>
  <c r="U55" i="31" s="1"/>
  <c r="U56" i="31" s="1"/>
  <c r="U57" i="31" s="1"/>
  <c r="U58" i="31" s="1"/>
  <c r="H53" i="31"/>
  <c r="H59" i="31"/>
  <c r="MN12" i="24"/>
  <c r="MN8" i="24"/>
  <c r="MN9" i="24"/>
  <c r="MN11" i="24"/>
  <c r="MN7" i="24"/>
  <c r="MN10" i="24"/>
  <c r="MN13" i="24"/>
  <c r="AR49" i="28"/>
  <c r="AR59" i="28" s="1"/>
  <c r="T74" i="28"/>
  <c r="AA128" i="28"/>
  <c r="AA127" i="28"/>
  <c r="AS26" i="28"/>
  <c r="AQ74" i="28"/>
  <c r="AM10" i="28"/>
  <c r="AM22" i="28" s="1"/>
  <c r="AM33" i="28" s="1"/>
  <c r="AM41" i="28" s="1"/>
  <c r="AM51" i="28" s="1"/>
  <c r="D80" i="28"/>
  <c r="AI13" i="28"/>
  <c r="AG25" i="28" s="1"/>
  <c r="AI16" i="28"/>
  <c r="AH27" i="28" s="1"/>
  <c r="AR23" i="28"/>
  <c r="AR26" i="28"/>
  <c r="AR27" i="28"/>
  <c r="AR24" i="28"/>
  <c r="AR28" i="28"/>
  <c r="AS25" i="28"/>
  <c r="AS27" i="28"/>
  <c r="AS24" i="28"/>
  <c r="AS28" i="28"/>
  <c r="AI12" i="28"/>
  <c r="AI14" i="28"/>
  <c r="AI15" i="28"/>
  <c r="AH26" i="28" s="1"/>
  <c r="AI10" i="28"/>
  <c r="AG22" i="28" s="1"/>
  <c r="AY74" i="28"/>
  <c r="AG23" i="28"/>
  <c r="AI80" i="28"/>
  <c r="AL52" i="28"/>
  <c r="G77" i="28"/>
  <c r="G89" i="28" s="1"/>
  <c r="M74" i="28"/>
  <c r="L73" i="28"/>
  <c r="K73" i="28"/>
  <c r="G52" i="28"/>
  <c r="G59" i="28"/>
  <c r="J59" i="28" s="1"/>
  <c r="H50" i="28"/>
  <c r="G50" i="28"/>
  <c r="H49" i="28"/>
  <c r="G49" i="28"/>
  <c r="H48" i="28"/>
  <c r="G48" i="28"/>
  <c r="D33" i="28"/>
  <c r="N25" i="28"/>
  <c r="R29" i="28"/>
  <c r="S29" i="28" s="1"/>
  <c r="D15" i="28"/>
  <c r="B27" i="28" s="1"/>
  <c r="D16" i="28"/>
  <c r="C27" i="28" s="1"/>
  <c r="D14" i="28"/>
  <c r="B26" i="28" s="1"/>
  <c r="D13" i="28"/>
  <c r="D12" i="28"/>
  <c r="B24" i="28" s="1"/>
  <c r="D10" i="28"/>
  <c r="B22" i="28" s="1"/>
  <c r="N27" i="28"/>
  <c r="M26" i="28"/>
  <c r="F78" i="23"/>
  <c r="F79" i="23" s="1"/>
  <c r="F80" i="23" s="1"/>
  <c r="F81" i="23" s="1"/>
  <c r="F82" i="23" s="1"/>
  <c r="F83" i="23" s="1"/>
  <c r="F84" i="23" s="1"/>
  <c r="F85" i="23" s="1"/>
  <c r="AJ40" i="31"/>
  <c r="AI41" i="31"/>
  <c r="AC45" i="31"/>
  <c r="AK35" i="31"/>
  <c r="AF39" i="31"/>
  <c r="AQ35" i="31"/>
  <c r="AI34" i="31"/>
  <c r="AH41" i="31"/>
  <c r="AI35" i="31"/>
  <c r="AJ45" i="31"/>
  <c r="AH32" i="31"/>
  <c r="AH37" i="31"/>
  <c r="AI45" i="31"/>
  <c r="AH39" i="31"/>
  <c r="AH45" i="31"/>
  <c r="AK40" i="31"/>
  <c r="AF42" i="31"/>
  <c r="AJ39" i="31"/>
  <c r="AJ33" i="31"/>
  <c r="AH35" i="31"/>
  <c r="AI36" i="31"/>
  <c r="AI43" i="31"/>
  <c r="AH42" i="31"/>
  <c r="AQ41" i="31"/>
  <c r="AF40" i="31"/>
  <c r="AG45" i="31"/>
  <c r="CR20" i="32" a="1"/>
  <c r="AJ44" i="31"/>
  <c r="AG32" i="31"/>
  <c r="AQ33" i="31"/>
  <c r="AG36" i="31"/>
  <c r="AH34" i="31"/>
  <c r="AJ52" i="31"/>
  <c r="AK45" i="31"/>
  <c r="AG40" i="31"/>
  <c r="AF43" i="31"/>
  <c r="AC38" i="31"/>
  <c r="AQ40" i="31"/>
  <c r="AK38" i="31"/>
  <c r="AK33" i="31"/>
  <c r="AI37" i="31"/>
  <c r="AF45" i="31"/>
  <c r="AH38" i="31"/>
  <c r="AB38" i="31"/>
  <c r="AH31" i="31"/>
  <c r="AF32" i="31"/>
  <c r="AH46" i="31"/>
  <c r="AH40" i="31"/>
  <c r="CR22" i="32" a="1"/>
  <c r="AG41" i="31"/>
  <c r="AG34" i="31"/>
  <c r="AJ35" i="31"/>
  <c r="AQ32" i="31"/>
  <c r="AJ38" i="31"/>
  <c r="AQ42" i="31"/>
  <c r="AK39" i="31"/>
  <c r="AG39" i="31"/>
  <c r="AQ45" i="31"/>
  <c r="AJ43" i="31"/>
  <c r="AJ31" i="31"/>
  <c r="AG37" i="31"/>
  <c r="AQ43" i="31"/>
  <c r="AG31" i="31"/>
  <c r="AI33" i="31"/>
  <c r="AJ34" i="31"/>
  <c r="CR18" i="32" a="1"/>
  <c r="AJ41" i="31"/>
  <c r="AB45" i="31"/>
  <c r="AF52" i="31"/>
  <c r="AB52" i="31"/>
  <c r="BG33" i="31" l="1"/>
  <c r="BG31" i="31"/>
  <c r="BG37" i="31"/>
  <c r="BG34" i="31"/>
  <c r="BG32" i="31"/>
  <c r="AB39" i="31"/>
  <c r="AB40" i="31" s="1"/>
  <c r="AB41" i="31" s="1"/>
  <c r="AB42" i="31" s="1"/>
  <c r="AB43" i="31" s="1"/>
  <c r="AB44" i="31" s="1"/>
  <c r="BG38" i="31"/>
  <c r="AC39" i="31"/>
  <c r="AC40" i="31" s="1"/>
  <c r="AC41" i="31" s="1"/>
  <c r="AC42" i="31" s="1"/>
  <c r="AC43" i="31" s="1"/>
  <c r="AC44" i="31" s="1"/>
  <c r="BG36" i="31"/>
  <c r="BG35" i="31"/>
  <c r="AC46" i="31"/>
  <c r="AC47" i="31" s="1"/>
  <c r="AC48" i="31" s="1"/>
  <c r="AC49" i="31" s="1"/>
  <c r="AC50" i="31" s="1"/>
  <c r="AC51" i="31" s="1"/>
  <c r="CT58" i="32"/>
  <c r="CV58" i="32" s="1"/>
  <c r="CV59" i="32"/>
  <c r="CV67" i="32"/>
  <c r="CT57" i="32"/>
  <c r="CV57" i="32" s="1"/>
  <c r="CT62" i="32"/>
  <c r="CV62" i="32" s="1"/>
  <c r="CV63" i="32"/>
  <c r="CT70" i="32"/>
  <c r="CV70" i="32" s="1"/>
  <c r="BH55" i="35"/>
  <c r="BK55" i="35" s="1"/>
  <c r="BL55" i="35" s="1"/>
  <c r="BN55" i="35" s="1"/>
  <c r="BO55" i="35" s="1"/>
  <c r="CT64" i="32"/>
  <c r="CV64" i="32" s="1"/>
  <c r="AW55" i="35"/>
  <c r="AO25" i="35"/>
  <c r="AM25" i="35"/>
  <c r="AK25" i="35"/>
  <c r="AE25" i="35"/>
  <c r="AI25" i="35"/>
  <c r="AG25" i="35"/>
  <c r="CT86" i="32"/>
  <c r="CV86" i="32" s="1"/>
  <c r="CV83" i="32"/>
  <c r="CT84" i="32"/>
  <c r="CV84" i="32" s="1"/>
  <c r="CT85" i="32"/>
  <c r="CV85" i="32" s="1"/>
  <c r="AN25" i="35"/>
  <c r="AJ25" i="35"/>
  <c r="AF25" i="35"/>
  <c r="AH25" i="35"/>
  <c r="AB25" i="35"/>
  <c r="AL25" i="35"/>
  <c r="CT82" i="32"/>
  <c r="CV82" i="32" s="1"/>
  <c r="CV79" i="32"/>
  <c r="CT80" i="32"/>
  <c r="CV80" i="32" s="1"/>
  <c r="CT81" i="32"/>
  <c r="CV81" i="32" s="1"/>
  <c r="AD44" i="35"/>
  <c r="CT95" i="32"/>
  <c r="CV95" i="32" s="1"/>
  <c r="CV93" i="32"/>
  <c r="CT94" i="32"/>
  <c r="CV94" i="32" s="1"/>
  <c r="CT92" i="32"/>
  <c r="CV92" i="32" s="1"/>
  <c r="CT91" i="32"/>
  <c r="CV91" i="32" s="1"/>
  <c r="X44" i="35"/>
  <c r="CT77" i="32"/>
  <c r="CV77" i="32" s="1"/>
  <c r="CV75" i="32"/>
  <c r="CT78" i="32"/>
  <c r="CV78" i="32" s="1"/>
  <c r="CT76" i="32"/>
  <c r="CV76" i="32" s="1"/>
  <c r="CV90" i="32"/>
  <c r="CV87" i="32"/>
  <c r="CT89" i="32"/>
  <c r="CV89" i="32" s="1"/>
  <c r="CT88" i="32"/>
  <c r="CV88" i="32" s="1"/>
  <c r="CJ78" i="32"/>
  <c r="V44" i="35"/>
  <c r="AB44" i="35"/>
  <c r="AF44" i="35"/>
  <c r="AL44" i="35"/>
  <c r="AK44" i="35"/>
  <c r="AC44" i="35"/>
  <c r="Z44" i="35"/>
  <c r="AJ44" i="35"/>
  <c r="AH44" i="35"/>
  <c r="AN44" i="35"/>
  <c r="AM45" i="35"/>
  <c r="AH45" i="35"/>
  <c r="AL45" i="35"/>
  <c r="AG45" i="35"/>
  <c r="AO45" i="35"/>
  <c r="AJ45" i="35"/>
  <c r="AF45" i="35"/>
  <c r="AK45" i="35"/>
  <c r="AN45" i="35"/>
  <c r="AI45" i="35"/>
  <c r="AB45" i="35"/>
  <c r="X45" i="35"/>
  <c r="AD45" i="35"/>
  <c r="Z45" i="35"/>
  <c r="V45" i="35"/>
  <c r="Y45" i="35"/>
  <c r="AA45" i="35"/>
  <c r="W45" i="35"/>
  <c r="AC45" i="35"/>
  <c r="S46" i="35"/>
  <c r="AE45" i="35"/>
  <c r="AW56" i="35"/>
  <c r="AZ56" i="35" s="1"/>
  <c r="BA56" i="35" s="1"/>
  <c r="CV47" i="32"/>
  <c r="CT34" i="32"/>
  <c r="CV34" i="32" s="1"/>
  <c r="AD25" i="35"/>
  <c r="Z25" i="35"/>
  <c r="X25" i="35"/>
  <c r="V25" i="35"/>
  <c r="AC25" i="35"/>
  <c r="Y25" i="35"/>
  <c r="W25" i="35"/>
  <c r="AA25" i="35"/>
  <c r="CT33" i="32"/>
  <c r="CV33" i="32" s="1"/>
  <c r="S26" i="35"/>
  <c r="CQ26" i="32"/>
  <c r="CQ24" i="32"/>
  <c r="CT49" i="32"/>
  <c r="CV49" i="32" s="1"/>
  <c r="CT48" i="32"/>
  <c r="CV48" i="32" s="1"/>
  <c r="CR20" i="32"/>
  <c r="CT30" i="32"/>
  <c r="CV30" i="32" s="1"/>
  <c r="CT28" i="32"/>
  <c r="CV28" i="32" s="1"/>
  <c r="CV27" i="32"/>
  <c r="CT29" i="32"/>
  <c r="CV29" i="32" s="1"/>
  <c r="CR18" i="32"/>
  <c r="CT20" i="32"/>
  <c r="CV20" i="32" s="1"/>
  <c r="CT19" i="32"/>
  <c r="CV19" i="32" s="1"/>
  <c r="CV18" i="32"/>
  <c r="CT21" i="32"/>
  <c r="CV21" i="32" s="1"/>
  <c r="CT54" i="32"/>
  <c r="CV54" i="32" s="1"/>
  <c r="CV51" i="32"/>
  <c r="CT53" i="32"/>
  <c r="CV53" i="32" s="1"/>
  <c r="CT52" i="32"/>
  <c r="CV52" i="32" s="1"/>
  <c r="CT46" i="32"/>
  <c r="CV46" i="32" s="1"/>
  <c r="CV43" i="32"/>
  <c r="CT44" i="32"/>
  <c r="CV44" i="32" s="1"/>
  <c r="CT45" i="32"/>
  <c r="CV45" i="32" s="1"/>
  <c r="CQ27" i="32"/>
  <c r="CT41" i="32"/>
  <c r="CV41" i="32" s="1"/>
  <c r="CV39" i="32"/>
  <c r="CT40" i="32"/>
  <c r="CV40" i="32" s="1"/>
  <c r="CT42" i="32"/>
  <c r="CV42" i="32" s="1"/>
  <c r="CR22" i="32"/>
  <c r="CQ28" i="32"/>
  <c r="CQ29" i="32"/>
  <c r="CQ23" i="32"/>
  <c r="CQ25" i="32"/>
  <c r="CV35" i="32"/>
  <c r="CT36" i="32"/>
  <c r="CV36" i="32" s="1"/>
  <c r="CT37" i="32"/>
  <c r="CV37" i="32" s="1"/>
  <c r="CT38" i="32"/>
  <c r="CV38" i="32" s="1"/>
  <c r="AM52" i="30"/>
  <c r="AM60" i="30" s="1"/>
  <c r="AM84" i="30" s="1"/>
  <c r="AH25" i="30"/>
  <c r="AG26" i="30"/>
  <c r="AG25" i="30"/>
  <c r="AH24" i="30"/>
  <c r="B26" i="30"/>
  <c r="C25" i="30"/>
  <c r="AG27" i="30"/>
  <c r="AH26" i="30"/>
  <c r="H52" i="30"/>
  <c r="H60" i="30" s="1"/>
  <c r="H84" i="30" s="1"/>
  <c r="H59" i="30"/>
  <c r="H83" i="30" s="1"/>
  <c r="B23" i="30"/>
  <c r="C22" i="30"/>
  <c r="AG23" i="30"/>
  <c r="AH22" i="30"/>
  <c r="AH23" i="30"/>
  <c r="AG24" i="30"/>
  <c r="AL22" i="30"/>
  <c r="C24" i="30"/>
  <c r="B25" i="30"/>
  <c r="C26" i="30"/>
  <c r="B27" i="30"/>
  <c r="B77" i="33"/>
  <c r="C79" i="33" s="1"/>
  <c r="C82" i="33" s="1"/>
  <c r="C83" i="33" s="1"/>
  <c r="D83" i="33" s="1"/>
  <c r="B101" i="33"/>
  <c r="C101" i="33" s="1"/>
  <c r="BG45" i="31"/>
  <c r="BG39" i="31"/>
  <c r="BG41" i="31"/>
  <c r="AB53" i="31"/>
  <c r="AB54" i="31" s="1"/>
  <c r="AB55" i="31" s="1"/>
  <c r="AB56" i="31" s="1"/>
  <c r="AB57" i="31" s="1"/>
  <c r="AB58" i="31" s="1"/>
  <c r="BG40" i="31"/>
  <c r="AB46" i="31"/>
  <c r="AP11" i="32" s="1"/>
  <c r="H60" i="31"/>
  <c r="H66" i="31"/>
  <c r="M66" i="31"/>
  <c r="M60" i="31"/>
  <c r="M61" i="31" s="1"/>
  <c r="M62" i="31" s="1"/>
  <c r="M63" i="31" s="1"/>
  <c r="M64" i="31" s="1"/>
  <c r="M65" i="31" s="1"/>
  <c r="G54" i="31"/>
  <c r="L60" i="31"/>
  <c r="L61" i="31" s="1"/>
  <c r="L62" i="31" s="1"/>
  <c r="L63" i="31" s="1"/>
  <c r="L64" i="31" s="1"/>
  <c r="L65" i="31" s="1"/>
  <c r="L66" i="31"/>
  <c r="J54" i="31"/>
  <c r="H54" i="31"/>
  <c r="K42" i="31"/>
  <c r="N66" i="31"/>
  <c r="N60" i="31"/>
  <c r="N61" i="31" s="1"/>
  <c r="N62" i="31" s="1"/>
  <c r="N63" i="31" s="1"/>
  <c r="N64" i="31" s="1"/>
  <c r="N65" i="31" s="1"/>
  <c r="G66" i="31"/>
  <c r="G60" i="31"/>
  <c r="W66" i="31"/>
  <c r="W60" i="31"/>
  <c r="W61" i="31" s="1"/>
  <c r="W62" i="31" s="1"/>
  <c r="W63" i="31" s="1"/>
  <c r="W64" i="31" s="1"/>
  <c r="W65" i="31" s="1"/>
  <c r="Q47" i="31"/>
  <c r="E66" i="31"/>
  <c r="E60" i="31"/>
  <c r="E61" i="31" s="1"/>
  <c r="E62" i="31" s="1"/>
  <c r="E63" i="31" s="1"/>
  <c r="E64" i="31" s="1"/>
  <c r="E65" i="31" s="1"/>
  <c r="J66" i="31"/>
  <c r="J60" i="31"/>
  <c r="K54" i="31"/>
  <c r="F54" i="31"/>
  <c r="D66" i="31"/>
  <c r="D60" i="31"/>
  <c r="D61" i="31" s="1"/>
  <c r="D62" i="31" s="1"/>
  <c r="D63" i="31" s="1"/>
  <c r="D64" i="31" s="1"/>
  <c r="D65" i="31" s="1"/>
  <c r="X60" i="31"/>
  <c r="X61" i="31" s="1"/>
  <c r="X62" i="31" s="1"/>
  <c r="X63" i="31" s="1"/>
  <c r="X64" i="31" s="1"/>
  <c r="X65" i="31" s="1"/>
  <c r="X66" i="31"/>
  <c r="R66" i="31"/>
  <c r="R60" i="31"/>
  <c r="R61" i="31" s="1"/>
  <c r="R62" i="31" s="1"/>
  <c r="R63" i="31" s="1"/>
  <c r="R64" i="31" s="1"/>
  <c r="R65" i="31" s="1"/>
  <c r="Q53" i="31"/>
  <c r="Q59" i="31"/>
  <c r="K50" i="31"/>
  <c r="C66" i="31"/>
  <c r="C60" i="31"/>
  <c r="C61" i="31" s="1"/>
  <c r="C62" i="31" s="1"/>
  <c r="C63" i="31" s="1"/>
  <c r="C64" i="31" s="1"/>
  <c r="C65" i="31" s="1"/>
  <c r="A47" i="31"/>
  <c r="G48" i="31"/>
  <c r="I47" i="31"/>
  <c r="P59" i="31"/>
  <c r="P53" i="31"/>
  <c r="P54" i="31" s="1"/>
  <c r="P55" i="31" s="1"/>
  <c r="P56" i="31" s="1"/>
  <c r="P57" i="31" s="1"/>
  <c r="P58" i="31" s="1"/>
  <c r="S66" i="31"/>
  <c r="S60" i="31"/>
  <c r="S61" i="31" s="1"/>
  <c r="S62" i="31" s="1"/>
  <c r="S63" i="31" s="1"/>
  <c r="S64" i="31" s="1"/>
  <c r="S65" i="31" s="1"/>
  <c r="I53" i="31"/>
  <c r="I59" i="31"/>
  <c r="U66" i="31"/>
  <c r="U60" i="31"/>
  <c r="U61" i="31" s="1"/>
  <c r="U62" i="31" s="1"/>
  <c r="U63" i="31" s="1"/>
  <c r="U64" i="31" s="1"/>
  <c r="U65" i="31" s="1"/>
  <c r="T53" i="31"/>
  <c r="T54" i="31" s="1"/>
  <c r="T55" i="31" s="1"/>
  <c r="T56" i="31" s="1"/>
  <c r="T57" i="31" s="1"/>
  <c r="T58" i="31" s="1"/>
  <c r="T59" i="31"/>
  <c r="K66" i="31"/>
  <c r="K60" i="31"/>
  <c r="F66" i="31"/>
  <c r="F60" i="31"/>
  <c r="A53" i="31"/>
  <c r="A54" i="31" s="1"/>
  <c r="A55" i="31" s="1"/>
  <c r="A56" i="31" s="1"/>
  <c r="A57" i="31" s="1"/>
  <c r="A58" i="31" s="1"/>
  <c r="A59" i="31"/>
  <c r="O66" i="31"/>
  <c r="O60" i="31"/>
  <c r="O61" i="31" s="1"/>
  <c r="O62" i="31" s="1"/>
  <c r="O63" i="31" s="1"/>
  <c r="O64" i="31" s="1"/>
  <c r="O65" i="31" s="1"/>
  <c r="V66" i="31"/>
  <c r="V60" i="31"/>
  <c r="V61" i="31" s="1"/>
  <c r="V62" i="31" s="1"/>
  <c r="V63" i="31" s="1"/>
  <c r="V64" i="31" s="1"/>
  <c r="V65" i="31" s="1"/>
  <c r="B66" i="31"/>
  <c r="B60" i="31"/>
  <c r="B61" i="31" s="1"/>
  <c r="B62" i="31" s="1"/>
  <c r="B63" i="31" s="1"/>
  <c r="B64" i="31" s="1"/>
  <c r="B65" i="31" s="1"/>
  <c r="G43" i="31"/>
  <c r="AL60" i="28"/>
  <c r="AL84" i="28" s="1"/>
  <c r="AA137" i="28"/>
  <c r="AG27" i="28"/>
  <c r="AH24" i="28"/>
  <c r="AG26" i="28"/>
  <c r="AH25" i="28"/>
  <c r="B25" i="28"/>
  <c r="AH23" i="28"/>
  <c r="AG24" i="28"/>
  <c r="AM59" i="28"/>
  <c r="AM83" i="28" s="1"/>
  <c r="AM52" i="28"/>
  <c r="H10" i="28"/>
  <c r="H22" i="28" s="1"/>
  <c r="H33" i="28" s="1"/>
  <c r="H41" i="28" s="1"/>
  <c r="H51" i="28" s="1"/>
  <c r="N24" i="28"/>
  <c r="N28" i="28"/>
  <c r="N26" i="28"/>
  <c r="N23" i="28"/>
  <c r="L74" i="28"/>
  <c r="C26" i="28"/>
  <c r="C25" i="28"/>
  <c r="C23" i="28"/>
  <c r="C24" i="28"/>
  <c r="M25" i="28"/>
  <c r="M24" i="28"/>
  <c r="M28" i="28"/>
  <c r="M27" i="28"/>
  <c r="M23" i="28"/>
  <c r="D11" i="28"/>
  <c r="G22" i="28" s="1"/>
  <c r="CR26" i="32" a="1"/>
  <c r="AH52" i="31"/>
  <c r="AF46" i="31"/>
  <c r="AG59" i="31"/>
  <c r="AQ52" i="31"/>
  <c r="AJ46" i="31"/>
  <c r="AI52" i="31"/>
  <c r="AK53" i="31"/>
  <c r="AH59" i="31"/>
  <c r="AI46" i="31"/>
  <c r="CR23" i="32" a="1"/>
  <c r="AK41" i="31"/>
  <c r="CR25" i="32" a="1"/>
  <c r="AQ46" i="31"/>
  <c r="AG42" i="31"/>
  <c r="AK46" i="31"/>
  <c r="CR27" i="32" a="1"/>
  <c r="AG52" i="31"/>
  <c r="AC52" i="31"/>
  <c r="AF59" i="31"/>
  <c r="AC59" i="31"/>
  <c r="CR28" i="32" a="1"/>
  <c r="AK52" i="31"/>
  <c r="AG46" i="31"/>
  <c r="CR29" i="32" a="1"/>
  <c r="CR24" i="32" a="1"/>
  <c r="AZ55" i="35" l="1"/>
  <c r="BA55" i="35" s="1"/>
  <c r="BH56" i="35"/>
  <c r="BK56" i="35" s="1"/>
  <c r="BL56" i="35" s="1"/>
  <c r="BN56" i="35" s="1"/>
  <c r="BO56" i="35" s="1"/>
  <c r="CW75" i="32"/>
  <c r="CW71" i="32"/>
  <c r="CW67" i="32"/>
  <c r="CW63" i="32"/>
  <c r="CW59" i="32"/>
  <c r="CW54" i="32"/>
  <c r="CW50" i="32"/>
  <c r="CZ50" i="32" s="1"/>
  <c r="CW46" i="32"/>
  <c r="CW42" i="32"/>
  <c r="CW38" i="32"/>
  <c r="CW34" i="32"/>
  <c r="CZ34" i="32" s="1"/>
  <c r="CW30" i="32"/>
  <c r="CW26" i="32"/>
  <c r="CW22" i="32"/>
  <c r="CW78" i="32"/>
  <c r="CW74" i="32"/>
  <c r="CW70" i="32"/>
  <c r="CW66" i="32"/>
  <c r="CW62" i="32"/>
  <c r="CZ62" i="32" s="1"/>
  <c r="CW58" i="32"/>
  <c r="CW53" i="32"/>
  <c r="CW49" i="32"/>
  <c r="CW45" i="32"/>
  <c r="CZ45" i="32" s="1"/>
  <c r="CW41" i="32"/>
  <c r="CW37" i="32"/>
  <c r="CW33" i="32"/>
  <c r="CW29" i="32"/>
  <c r="CZ29" i="32" s="1"/>
  <c r="CW25" i="32"/>
  <c r="CW21" i="32"/>
  <c r="CW72" i="32"/>
  <c r="CW68" i="32"/>
  <c r="CW60" i="32"/>
  <c r="CZ60" i="32" s="1"/>
  <c r="CW51" i="32"/>
  <c r="CW43" i="32"/>
  <c r="CW35" i="32"/>
  <c r="CW23" i="32"/>
  <c r="CZ23" i="32" s="1"/>
  <c r="CW77" i="32"/>
  <c r="CW73" i="32"/>
  <c r="CW69" i="32"/>
  <c r="CW65" i="32"/>
  <c r="CW61" i="32"/>
  <c r="CW57" i="32"/>
  <c r="CW52" i="32"/>
  <c r="CW48" i="32"/>
  <c r="CZ48" i="32" s="1"/>
  <c r="CW44" i="32"/>
  <c r="CW40" i="32"/>
  <c r="CW36" i="32"/>
  <c r="CW32" i="32"/>
  <c r="CZ32" i="32" s="1"/>
  <c r="CW28" i="32"/>
  <c r="CW24" i="32"/>
  <c r="CW55" i="32"/>
  <c r="CW76" i="32"/>
  <c r="CW64" i="32"/>
  <c r="CW56" i="32"/>
  <c r="CW47" i="32"/>
  <c r="CZ47" i="32" s="1"/>
  <c r="CW39" i="32"/>
  <c r="CW31" i="32"/>
  <c r="CW27" i="32"/>
  <c r="S27" i="35"/>
  <c r="X27" i="35" s="1"/>
  <c r="AL26" i="35"/>
  <c r="AH26" i="35"/>
  <c r="AN26" i="35"/>
  <c r="AJ26" i="35"/>
  <c r="AF26" i="35"/>
  <c r="CZ56" i="32"/>
  <c r="CZ52" i="32"/>
  <c r="CZ44" i="32"/>
  <c r="CZ63" i="32"/>
  <c r="CZ59" i="32"/>
  <c r="CZ55" i="32"/>
  <c r="CZ51" i="32"/>
  <c r="CZ43" i="32"/>
  <c r="CZ58" i="32"/>
  <c r="CZ54" i="32"/>
  <c r="CZ42" i="32"/>
  <c r="CZ61" i="32"/>
  <c r="CZ57" i="32"/>
  <c r="CZ53" i="32"/>
  <c r="CJ79" i="32"/>
  <c r="CW79" i="32" s="1"/>
  <c r="AL46" i="35"/>
  <c r="AG46" i="35"/>
  <c r="AO46" i="35"/>
  <c r="AJ46" i="35"/>
  <c r="AF46" i="35"/>
  <c r="AK46" i="35"/>
  <c r="AN46" i="35"/>
  <c r="AI46" i="35"/>
  <c r="AM46" i="35"/>
  <c r="AH46" i="35"/>
  <c r="AE46" i="35"/>
  <c r="AA46" i="35"/>
  <c r="AB46" i="35"/>
  <c r="X46" i="35"/>
  <c r="W46" i="35"/>
  <c r="AD46" i="35"/>
  <c r="Z46" i="35"/>
  <c r="V46" i="35"/>
  <c r="Y46" i="35"/>
  <c r="AC46" i="35"/>
  <c r="S47" i="35"/>
  <c r="AE27" i="35"/>
  <c r="AA27" i="35"/>
  <c r="Y27" i="35"/>
  <c r="AC27" i="35"/>
  <c r="W27" i="35"/>
  <c r="AC26" i="35"/>
  <c r="W26" i="35"/>
  <c r="V26" i="35"/>
  <c r="AB26" i="35"/>
  <c r="AE26" i="35"/>
  <c r="AA26" i="35"/>
  <c r="Y26" i="35"/>
  <c r="AD26" i="35"/>
  <c r="Z26" i="35"/>
  <c r="X26" i="35"/>
  <c r="CR24" i="32"/>
  <c r="CR26" i="32"/>
  <c r="CW20" i="32"/>
  <c r="CZ20" i="32" s="1"/>
  <c r="CZ22" i="32"/>
  <c r="CZ49" i="32"/>
  <c r="CZ26" i="32"/>
  <c r="CZ24" i="32"/>
  <c r="CZ37" i="32"/>
  <c r="CR27" i="32"/>
  <c r="CZ27" i="32"/>
  <c r="CZ33" i="32"/>
  <c r="CW19" i="32"/>
  <c r="CZ19" i="32" s="1"/>
  <c r="CZ28" i="32"/>
  <c r="CZ41" i="32"/>
  <c r="CZ31" i="32"/>
  <c r="CZ46" i="32"/>
  <c r="CZ39" i="32"/>
  <c r="CZ35" i="32"/>
  <c r="CZ36" i="32"/>
  <c r="CZ40" i="32"/>
  <c r="CW18" i="32"/>
  <c r="CZ18" i="32" s="1"/>
  <c r="CZ38" i="32"/>
  <c r="CZ25" i="32"/>
  <c r="CZ30" i="32"/>
  <c r="CZ21" i="32"/>
  <c r="CY21" i="32" s="1"/>
  <c r="DB21" i="32" s="1"/>
  <c r="DA21" i="32" s="1"/>
  <c r="CR23" i="32"/>
  <c r="CR29" i="32"/>
  <c r="CR28" i="32"/>
  <c r="CR25" i="32"/>
  <c r="CI16" i="32"/>
  <c r="AL33" i="30"/>
  <c r="AL41" i="30" s="1"/>
  <c r="AL83" i="30" s="1"/>
  <c r="AL23" i="30"/>
  <c r="S28" i="35"/>
  <c r="C80" i="33"/>
  <c r="C88" i="33" s="1"/>
  <c r="C95" i="33" s="1"/>
  <c r="K57" i="33" s="1"/>
  <c r="B102" i="33"/>
  <c r="C102" i="33" s="1"/>
  <c r="B85" i="33"/>
  <c r="C93" i="33"/>
  <c r="K56" i="33" s="1"/>
  <c r="C84" i="33"/>
  <c r="D84" i="33" s="1"/>
  <c r="AB47" i="31"/>
  <c r="AB48" i="31" s="1"/>
  <c r="AB49" i="31" s="1"/>
  <c r="AB50" i="31" s="1"/>
  <c r="AB51" i="31" s="1"/>
  <c r="AC53" i="31"/>
  <c r="AC54" i="31" s="1"/>
  <c r="AC55" i="31" s="1"/>
  <c r="AC56" i="31" s="1"/>
  <c r="AC57" i="31" s="1"/>
  <c r="AC58" i="31" s="1"/>
  <c r="AC60" i="31"/>
  <c r="AC61" i="31" s="1"/>
  <c r="AC62" i="31" s="1"/>
  <c r="AC63" i="31" s="1"/>
  <c r="AC64" i="31" s="1"/>
  <c r="AC65" i="31" s="1"/>
  <c r="BG46" i="31"/>
  <c r="BG42" i="31"/>
  <c r="BG52" i="31"/>
  <c r="K61" i="31"/>
  <c r="I66" i="31"/>
  <c r="I60" i="31"/>
  <c r="Q54" i="31"/>
  <c r="F55" i="31"/>
  <c r="N73" i="31"/>
  <c r="N67" i="31"/>
  <c r="N68" i="31" s="1"/>
  <c r="N69" i="31" s="1"/>
  <c r="N70" i="31" s="1"/>
  <c r="N71" i="31" s="1"/>
  <c r="N72" i="31" s="1"/>
  <c r="H55" i="31"/>
  <c r="M73" i="31"/>
  <c r="M67" i="31"/>
  <c r="M68" i="31" s="1"/>
  <c r="M69" i="31" s="1"/>
  <c r="M70" i="31" s="1"/>
  <c r="M71" i="31" s="1"/>
  <c r="M72" i="31" s="1"/>
  <c r="B73" i="31"/>
  <c r="B67" i="31"/>
  <c r="B68" i="31" s="1"/>
  <c r="B69" i="31" s="1"/>
  <c r="B70" i="31" s="1"/>
  <c r="B71" i="31" s="1"/>
  <c r="B72" i="31" s="1"/>
  <c r="J73" i="31"/>
  <c r="J67" i="31"/>
  <c r="G61" i="31"/>
  <c r="G44" i="31"/>
  <c r="O73" i="31"/>
  <c r="O67" i="31"/>
  <c r="O68" i="31" s="1"/>
  <c r="O69" i="31" s="1"/>
  <c r="O70" i="31" s="1"/>
  <c r="O71" i="31" s="1"/>
  <c r="O72" i="31" s="1"/>
  <c r="F73" i="31"/>
  <c r="F67" i="31"/>
  <c r="T66" i="31"/>
  <c r="T60" i="31"/>
  <c r="T61" i="31" s="1"/>
  <c r="T62" i="31" s="1"/>
  <c r="T63" i="31" s="1"/>
  <c r="T64" i="31" s="1"/>
  <c r="T65" i="31" s="1"/>
  <c r="U73" i="31"/>
  <c r="U67" i="31"/>
  <c r="U68" i="31" s="1"/>
  <c r="U69" i="31" s="1"/>
  <c r="U70" i="31" s="1"/>
  <c r="U71" i="31" s="1"/>
  <c r="U72" i="31" s="1"/>
  <c r="G49" i="31"/>
  <c r="R73" i="31"/>
  <c r="R67" i="31"/>
  <c r="R68" i="31" s="1"/>
  <c r="R69" i="31" s="1"/>
  <c r="R70" i="31" s="1"/>
  <c r="R71" i="31" s="1"/>
  <c r="R72" i="31" s="1"/>
  <c r="D67" i="31"/>
  <c r="D68" i="31" s="1"/>
  <c r="D69" i="31" s="1"/>
  <c r="D70" i="31" s="1"/>
  <c r="D71" i="31" s="1"/>
  <c r="D72" i="31" s="1"/>
  <c r="D73" i="31"/>
  <c r="K55" i="31"/>
  <c r="G73" i="31"/>
  <c r="G67" i="31"/>
  <c r="K43" i="31"/>
  <c r="J55" i="31"/>
  <c r="G55" i="31"/>
  <c r="H73" i="31"/>
  <c r="H67" i="31"/>
  <c r="A48" i="31"/>
  <c r="J61" i="31"/>
  <c r="F61" i="31"/>
  <c r="K73" i="31"/>
  <c r="K67" i="31"/>
  <c r="I54" i="31"/>
  <c r="P66" i="31"/>
  <c r="P60" i="31"/>
  <c r="P61" i="31" s="1"/>
  <c r="P62" i="31" s="1"/>
  <c r="P63" i="31" s="1"/>
  <c r="P64" i="31" s="1"/>
  <c r="P65" i="31" s="1"/>
  <c r="K51" i="31"/>
  <c r="Q48" i="31"/>
  <c r="A66" i="31"/>
  <c r="A60" i="31"/>
  <c r="A61" i="31" s="1"/>
  <c r="A62" i="31" s="1"/>
  <c r="A63" i="31" s="1"/>
  <c r="A64" i="31" s="1"/>
  <c r="A65" i="31" s="1"/>
  <c r="V73" i="31"/>
  <c r="V67" i="31"/>
  <c r="V68" i="31" s="1"/>
  <c r="V69" i="31" s="1"/>
  <c r="V70" i="31" s="1"/>
  <c r="V71" i="31" s="1"/>
  <c r="V72" i="31" s="1"/>
  <c r="S73" i="31"/>
  <c r="S67" i="31"/>
  <c r="S68" i="31" s="1"/>
  <c r="S69" i="31" s="1"/>
  <c r="S70" i="31" s="1"/>
  <c r="S71" i="31" s="1"/>
  <c r="S72" i="31" s="1"/>
  <c r="I48" i="31"/>
  <c r="C73" i="31"/>
  <c r="C67" i="31"/>
  <c r="C68" i="31" s="1"/>
  <c r="C69" i="31" s="1"/>
  <c r="C70" i="31" s="1"/>
  <c r="C71" i="31" s="1"/>
  <c r="C72" i="31" s="1"/>
  <c r="Q66" i="31"/>
  <c r="Q60" i="31"/>
  <c r="X73" i="31"/>
  <c r="X67" i="31"/>
  <c r="X68" i="31" s="1"/>
  <c r="X69" i="31" s="1"/>
  <c r="X70" i="31" s="1"/>
  <c r="X71" i="31" s="1"/>
  <c r="X72" i="31" s="1"/>
  <c r="E73" i="31"/>
  <c r="E67" i="31"/>
  <c r="E68" i="31" s="1"/>
  <c r="E69" i="31" s="1"/>
  <c r="E70" i="31" s="1"/>
  <c r="E71" i="31" s="1"/>
  <c r="E72" i="31" s="1"/>
  <c r="W73" i="31"/>
  <c r="W67" i="31"/>
  <c r="W68" i="31" s="1"/>
  <c r="W69" i="31" s="1"/>
  <c r="W70" i="31" s="1"/>
  <c r="W71" i="31" s="1"/>
  <c r="W72" i="31" s="1"/>
  <c r="L67" i="31"/>
  <c r="L68" i="31" s="1"/>
  <c r="L69" i="31" s="1"/>
  <c r="L70" i="31" s="1"/>
  <c r="L71" i="31" s="1"/>
  <c r="L72" i="31" s="1"/>
  <c r="L73" i="31"/>
  <c r="H61" i="31"/>
  <c r="AL22" i="28"/>
  <c r="H52" i="28"/>
  <c r="H60" i="28" s="1"/>
  <c r="H84" i="28" s="1"/>
  <c r="H59" i="28"/>
  <c r="H83" i="28" s="1"/>
  <c r="B23" i="28"/>
  <c r="C22" i="28"/>
  <c r="G33" i="28"/>
  <c r="G41" i="28" s="1"/>
  <c r="AJ53" i="31"/>
  <c r="AF47" i="31"/>
  <c r="AC66" i="31"/>
  <c r="AG54" i="31"/>
  <c r="AI59" i="31"/>
  <c r="AJ66" i="31"/>
  <c r="AK66" i="31"/>
  <c r="AB59" i="31"/>
  <c r="AF53" i="31"/>
  <c r="AJ47" i="31"/>
  <c r="AI47" i="31"/>
  <c r="AG44" i="31"/>
  <c r="AG48" i="31"/>
  <c r="AJ59" i="31"/>
  <c r="AH66" i="31"/>
  <c r="AG43" i="31"/>
  <c r="AG66" i="31"/>
  <c r="AB66" i="31"/>
  <c r="AG47" i="31"/>
  <c r="AH54" i="31"/>
  <c r="AQ59" i="31"/>
  <c r="AF66" i="31"/>
  <c r="AF54" i="31"/>
  <c r="AK59" i="31"/>
  <c r="AK47" i="31"/>
  <c r="AQ47" i="31"/>
  <c r="AK54" i="31"/>
  <c r="AH47" i="31"/>
  <c r="AK60" i="31"/>
  <c r="AH53" i="31"/>
  <c r="AJ54" i="31"/>
  <c r="AG53" i="31"/>
  <c r="AK42" i="31"/>
  <c r="AI53" i="31"/>
  <c r="AQ53" i="31"/>
  <c r="AB27" i="35" l="1"/>
  <c r="AD27" i="35"/>
  <c r="AL28" i="35"/>
  <c r="AH28" i="35"/>
  <c r="AJ28" i="35"/>
  <c r="AF28" i="35"/>
  <c r="AN28" i="35"/>
  <c r="V27" i="35"/>
  <c r="AN27" i="35"/>
  <c r="AJ27" i="35"/>
  <c r="AF27" i="35"/>
  <c r="AL27" i="35"/>
  <c r="AH27" i="35"/>
  <c r="Z27" i="35"/>
  <c r="CY62" i="32"/>
  <c r="CY63" i="32"/>
  <c r="CY60" i="32"/>
  <c r="CY53" i="32"/>
  <c r="CY51" i="32"/>
  <c r="DB51" i="32" s="1"/>
  <c r="DA51" i="32" s="1"/>
  <c r="DC51" i="32" s="1"/>
  <c r="CY52" i="32"/>
  <c r="DB52" i="32" s="1"/>
  <c r="DA52" i="32" s="1"/>
  <c r="DC52" i="32" s="1"/>
  <c r="CY61" i="32"/>
  <c r="CY58" i="32"/>
  <c r="CY59" i="32"/>
  <c r="CY57" i="32"/>
  <c r="CY54" i="32"/>
  <c r="CY55" i="32"/>
  <c r="CY56" i="32"/>
  <c r="CJ80" i="32"/>
  <c r="CW80" i="32" s="1"/>
  <c r="AO47" i="35"/>
  <c r="AJ47" i="35"/>
  <c r="AF47" i="35"/>
  <c r="AK47" i="35"/>
  <c r="AN47" i="35"/>
  <c r="AI47" i="35"/>
  <c r="AM47" i="35"/>
  <c r="AH47" i="35"/>
  <c r="AL47" i="35"/>
  <c r="AG47" i="35"/>
  <c r="AD47" i="35"/>
  <c r="Z47" i="35"/>
  <c r="V47" i="35"/>
  <c r="AB47" i="35"/>
  <c r="X47" i="35"/>
  <c r="AE47" i="35"/>
  <c r="AA47" i="35"/>
  <c r="W47" i="35"/>
  <c r="AC47" i="35"/>
  <c r="S48" i="35"/>
  <c r="Y47" i="35"/>
  <c r="AC28" i="35"/>
  <c r="AB28" i="35"/>
  <c r="AE28" i="35"/>
  <c r="AA28" i="35"/>
  <c r="Y28" i="35"/>
  <c r="W28" i="35"/>
  <c r="V28" i="35"/>
  <c r="AD28" i="35"/>
  <c r="Z28" i="35"/>
  <c r="X28" i="35"/>
  <c r="CY39" i="32"/>
  <c r="CY42" i="32"/>
  <c r="CY50" i="32"/>
  <c r="CY45" i="32"/>
  <c r="CY46" i="32"/>
  <c r="CY41" i="32"/>
  <c r="CY40" i="32"/>
  <c r="CY44" i="32"/>
  <c r="CY38" i="32"/>
  <c r="CY48" i="32"/>
  <c r="CY37" i="32"/>
  <c r="CY47" i="32"/>
  <c r="CY43" i="32"/>
  <c r="CY49" i="32"/>
  <c r="DC21" i="32"/>
  <c r="CY25" i="32"/>
  <c r="CY36" i="32"/>
  <c r="CY32" i="32"/>
  <c r="CY35" i="32"/>
  <c r="CY34" i="32"/>
  <c r="CY33" i="32"/>
  <c r="CY31" i="32"/>
  <c r="CY19" i="32"/>
  <c r="CY23" i="32"/>
  <c r="CY27" i="32"/>
  <c r="CY29" i="32"/>
  <c r="CY24" i="32"/>
  <c r="CY22" i="32"/>
  <c r="CY30" i="32"/>
  <c r="CY28" i="32"/>
  <c r="CY20" i="32"/>
  <c r="CY26" i="32"/>
  <c r="CY18" i="32"/>
  <c r="CI23" i="32"/>
  <c r="CS23" i="32" s="1"/>
  <c r="CI18" i="32"/>
  <c r="CI21" i="32"/>
  <c r="CS21" i="32" s="1"/>
  <c r="CI22" i="32"/>
  <c r="CS22" i="32" s="1"/>
  <c r="CI20" i="32"/>
  <c r="CS20" i="32" s="1"/>
  <c r="CI19" i="32"/>
  <c r="CS19" i="32" s="1"/>
  <c r="AL24" i="30"/>
  <c r="AW23" i="30"/>
  <c r="AX23" i="30" s="1"/>
  <c r="AQ23" i="30" s="1"/>
  <c r="AT23" i="30" s="1"/>
  <c r="AM23" i="30" s="1"/>
  <c r="AK23" i="30" s="1"/>
  <c r="AK34" i="30" s="1"/>
  <c r="AL34" i="30"/>
  <c r="G39" i="29"/>
  <c r="I14" i="30" s="1"/>
  <c r="DE3" i="32"/>
  <c r="CY3" i="32"/>
  <c r="G38" i="29"/>
  <c r="S29" i="35"/>
  <c r="B103" i="33"/>
  <c r="C103" i="33" s="1"/>
  <c r="C89" i="33"/>
  <c r="D95" i="33" s="1"/>
  <c r="L57" i="33" s="1"/>
  <c r="B86" i="33"/>
  <c r="C87" i="33" s="1"/>
  <c r="D87" i="33" s="1"/>
  <c r="E93" i="33" s="1"/>
  <c r="D93" i="33"/>
  <c r="L56" i="33" s="1"/>
  <c r="BG47" i="31"/>
  <c r="AB67" i="31"/>
  <c r="AB68" i="31" s="1"/>
  <c r="AB69" i="31" s="1"/>
  <c r="AB70" i="31" s="1"/>
  <c r="AB71" i="31" s="1"/>
  <c r="AB72" i="31" s="1"/>
  <c r="BG43" i="31"/>
  <c r="BG59" i="31"/>
  <c r="AC67" i="31"/>
  <c r="AC68" i="31" s="1"/>
  <c r="AC69" i="31" s="1"/>
  <c r="AC70" i="31" s="1"/>
  <c r="AC71" i="31" s="1"/>
  <c r="AC72" i="31" s="1"/>
  <c r="BG44" i="31"/>
  <c r="BG53" i="31"/>
  <c r="AB60" i="31"/>
  <c r="AB61" i="31" s="1"/>
  <c r="AB62" i="31" s="1"/>
  <c r="AB63" i="31" s="1"/>
  <c r="AB64" i="31" s="1"/>
  <c r="AB65" i="31" s="1"/>
  <c r="L80" i="31"/>
  <c r="L74" i="31"/>
  <c r="L75" i="31" s="1"/>
  <c r="L76" i="31" s="1"/>
  <c r="L77" i="31" s="1"/>
  <c r="L78" i="31" s="1"/>
  <c r="L79" i="31" s="1"/>
  <c r="W80" i="31"/>
  <c r="W74" i="31"/>
  <c r="W75" i="31" s="1"/>
  <c r="W76" i="31" s="1"/>
  <c r="W77" i="31" s="1"/>
  <c r="W78" i="31" s="1"/>
  <c r="W79" i="31" s="1"/>
  <c r="Q61" i="31"/>
  <c r="C80" i="31"/>
  <c r="C74" i="31"/>
  <c r="C75" i="31" s="1"/>
  <c r="C76" i="31" s="1"/>
  <c r="C77" i="31" s="1"/>
  <c r="C78" i="31" s="1"/>
  <c r="C79" i="31" s="1"/>
  <c r="S80" i="31"/>
  <c r="S74" i="31"/>
  <c r="S75" i="31" s="1"/>
  <c r="S76" i="31" s="1"/>
  <c r="S77" i="31" s="1"/>
  <c r="S78" i="31" s="1"/>
  <c r="S79" i="31" s="1"/>
  <c r="Q49" i="31"/>
  <c r="G56" i="31"/>
  <c r="Q73" i="31"/>
  <c r="Q67" i="31"/>
  <c r="K68" i="31"/>
  <c r="H68" i="31"/>
  <c r="K62" i="31"/>
  <c r="E80" i="31"/>
  <c r="E74" i="31"/>
  <c r="E75" i="31" s="1"/>
  <c r="E76" i="31" s="1"/>
  <c r="E77" i="31" s="1"/>
  <c r="E78" i="31" s="1"/>
  <c r="E79" i="31" s="1"/>
  <c r="X80" i="31"/>
  <c r="X74" i="31"/>
  <c r="X75" i="31" s="1"/>
  <c r="X76" i="31" s="1"/>
  <c r="X77" i="31" s="1"/>
  <c r="X78" i="31" s="1"/>
  <c r="X79" i="31" s="1"/>
  <c r="I49" i="31"/>
  <c r="A73" i="31"/>
  <c r="A67" i="31"/>
  <c r="A68" i="31" s="1"/>
  <c r="A69" i="31" s="1"/>
  <c r="A70" i="31" s="1"/>
  <c r="A71" i="31" s="1"/>
  <c r="A72" i="31" s="1"/>
  <c r="K80" i="31"/>
  <c r="K74" i="31"/>
  <c r="J62" i="31"/>
  <c r="H80" i="31"/>
  <c r="H74" i="31"/>
  <c r="J56" i="31"/>
  <c r="G68" i="31"/>
  <c r="D80" i="31"/>
  <c r="D74" i="31"/>
  <c r="D75" i="31" s="1"/>
  <c r="D76" i="31" s="1"/>
  <c r="D77" i="31" s="1"/>
  <c r="D78" i="31" s="1"/>
  <c r="D79" i="31" s="1"/>
  <c r="F80" i="31"/>
  <c r="F74" i="31"/>
  <c r="J68" i="31"/>
  <c r="B80" i="31"/>
  <c r="B74" i="31"/>
  <c r="B75" i="31" s="1"/>
  <c r="B76" i="31" s="1"/>
  <c r="B77" i="31" s="1"/>
  <c r="B78" i="31" s="1"/>
  <c r="B79" i="31" s="1"/>
  <c r="H56" i="31"/>
  <c r="F56" i="31"/>
  <c r="I61" i="31"/>
  <c r="F62" i="31"/>
  <c r="K44" i="31"/>
  <c r="O80" i="31"/>
  <c r="O74" i="31"/>
  <c r="O75" i="31" s="1"/>
  <c r="O76" i="31" s="1"/>
  <c r="O77" i="31" s="1"/>
  <c r="O78" i="31" s="1"/>
  <c r="O79" i="31" s="1"/>
  <c r="G62" i="31"/>
  <c r="M80" i="31"/>
  <c r="M74" i="31"/>
  <c r="M75" i="31" s="1"/>
  <c r="M76" i="31" s="1"/>
  <c r="M77" i="31" s="1"/>
  <c r="M78" i="31" s="1"/>
  <c r="M79" i="31" s="1"/>
  <c r="N80" i="31"/>
  <c r="N74" i="31"/>
  <c r="N75" i="31" s="1"/>
  <c r="N76" i="31" s="1"/>
  <c r="N77" i="31" s="1"/>
  <c r="N78" i="31" s="1"/>
  <c r="N79" i="31" s="1"/>
  <c r="Q55" i="31"/>
  <c r="P67" i="31"/>
  <c r="P68" i="31" s="1"/>
  <c r="P69" i="31" s="1"/>
  <c r="P70" i="31" s="1"/>
  <c r="P71" i="31" s="1"/>
  <c r="P72" i="31" s="1"/>
  <c r="P73" i="31"/>
  <c r="K56" i="31"/>
  <c r="R80" i="31"/>
  <c r="R74" i="31"/>
  <c r="R75" i="31" s="1"/>
  <c r="R76" i="31" s="1"/>
  <c r="R77" i="31" s="1"/>
  <c r="R78" i="31" s="1"/>
  <c r="R79" i="31" s="1"/>
  <c r="U80" i="31"/>
  <c r="U74" i="31"/>
  <c r="U75" i="31" s="1"/>
  <c r="U76" i="31" s="1"/>
  <c r="U77" i="31" s="1"/>
  <c r="U78" i="31" s="1"/>
  <c r="U79" i="31" s="1"/>
  <c r="F68" i="31"/>
  <c r="H62" i="31"/>
  <c r="V80" i="31"/>
  <c r="V74" i="31"/>
  <c r="V75" i="31" s="1"/>
  <c r="V76" i="31" s="1"/>
  <c r="V77" i="31" s="1"/>
  <c r="V78" i="31" s="1"/>
  <c r="V79" i="31" s="1"/>
  <c r="I55" i="31"/>
  <c r="A49" i="31"/>
  <c r="G80" i="31"/>
  <c r="G74" i="31"/>
  <c r="G50" i="31"/>
  <c r="T73" i="31"/>
  <c r="T67" i="31"/>
  <c r="T68" i="31" s="1"/>
  <c r="T69" i="31" s="1"/>
  <c r="T70" i="31" s="1"/>
  <c r="T71" i="31" s="1"/>
  <c r="T72" i="31" s="1"/>
  <c r="J80" i="31"/>
  <c r="J74" i="31"/>
  <c r="I73" i="31"/>
  <c r="I67" i="31"/>
  <c r="G60" i="28"/>
  <c r="G84" i="28" s="1"/>
  <c r="G83" i="28"/>
  <c r="G23" i="28"/>
  <c r="G34" i="28" s="1"/>
  <c r="AL33" i="28"/>
  <c r="AL41" i="28" s="1"/>
  <c r="AL83" i="28" s="1"/>
  <c r="AL23" i="28"/>
  <c r="AQ48" i="31"/>
  <c r="AQ66" i="31"/>
  <c r="AQ54" i="31"/>
  <c r="AH48" i="31"/>
  <c r="AG61" i="31"/>
  <c r="AQ60" i="31"/>
  <c r="AJ48" i="31"/>
  <c r="AG55" i="31"/>
  <c r="AI54" i="31"/>
  <c r="AK61" i="31"/>
  <c r="AJ60" i="31"/>
  <c r="AG49" i="31"/>
  <c r="AG60" i="31"/>
  <c r="AF55" i="31"/>
  <c r="AK55" i="31"/>
  <c r="AH61" i="31"/>
  <c r="AJ55" i="31"/>
  <c r="AK43" i="31"/>
  <c r="AJ67" i="31"/>
  <c r="AG73" i="31"/>
  <c r="AF48" i="31"/>
  <c r="AH60" i="31"/>
  <c r="AI48" i="31"/>
  <c r="AI66" i="31"/>
  <c r="AJ61" i="31"/>
  <c r="AI60" i="31"/>
  <c r="AH55" i="31"/>
  <c r="AF60" i="31"/>
  <c r="AK48" i="31"/>
  <c r="AF61" i="31"/>
  <c r="AK73" i="31"/>
  <c r="AK44" i="31"/>
  <c r="AL29" i="35" l="1"/>
  <c r="AJ29" i="35"/>
  <c r="AF29" i="35"/>
  <c r="AN29" i="35"/>
  <c r="AH29" i="35"/>
  <c r="DB57" i="32"/>
  <c r="DA57" i="32" s="1"/>
  <c r="DC57" i="32" s="1"/>
  <c r="DB53" i="32"/>
  <c r="DA53" i="32" s="1"/>
  <c r="DC53" i="32" s="1"/>
  <c r="DB55" i="32"/>
  <c r="DA55" i="32" s="1"/>
  <c r="DC55" i="32" s="1"/>
  <c r="DB58" i="32"/>
  <c r="DA58" i="32" s="1"/>
  <c r="DC58" i="32" s="1"/>
  <c r="DB63" i="32"/>
  <c r="DA63" i="32" s="1"/>
  <c r="DC63" i="32" s="1"/>
  <c r="DD63" i="32" a="1"/>
  <c r="DD63" i="32" s="1"/>
  <c r="DB56" i="32"/>
  <c r="DA56" i="32" s="1"/>
  <c r="DC56" i="32" s="1"/>
  <c r="DB54" i="32"/>
  <c r="DA54" i="32" s="1"/>
  <c r="DC54" i="32" s="1"/>
  <c r="DB59" i="32"/>
  <c r="DA59" i="32" s="1"/>
  <c r="DC59" i="32" s="1"/>
  <c r="DD59" i="32" a="1"/>
  <c r="DD59" i="32" s="1"/>
  <c r="DD61" i="32" a="1"/>
  <c r="DD61" i="32" s="1"/>
  <c r="DB61" i="32"/>
  <c r="DA61" i="32" s="1"/>
  <c r="DC61" i="32" s="1"/>
  <c r="DD60" i="32" a="1"/>
  <c r="DD60" i="32" s="1"/>
  <c r="DB60" i="32"/>
  <c r="DA60" i="32" s="1"/>
  <c r="DC60" i="32" s="1"/>
  <c r="DB62" i="32"/>
  <c r="DA62" i="32" s="1"/>
  <c r="DC62" i="32" s="1"/>
  <c r="DD62" i="32" a="1"/>
  <c r="DD62" i="32" s="1"/>
  <c r="CJ81" i="32"/>
  <c r="CW81" i="32" s="1"/>
  <c r="AK48" i="35"/>
  <c r="AK52" i="35" s="1"/>
  <c r="AN48" i="35"/>
  <c r="AI48" i="35"/>
  <c r="AI52" i="35" s="1"/>
  <c r="AM48" i="35"/>
  <c r="AM52" i="35" s="1"/>
  <c r="AH48" i="35"/>
  <c r="AL48" i="35"/>
  <c r="AG48" i="35"/>
  <c r="AG52" i="35" s="1"/>
  <c r="AO48" i="35"/>
  <c r="AO52" i="35" s="1"/>
  <c r="AJ48" i="35"/>
  <c r="AF48" i="35"/>
  <c r="AB48" i="35"/>
  <c r="AD48" i="35"/>
  <c r="Z48" i="35"/>
  <c r="V48" i="35"/>
  <c r="X48" i="35"/>
  <c r="AE48" i="35"/>
  <c r="Y48" i="35"/>
  <c r="AC48" i="35"/>
  <c r="W48" i="35"/>
  <c r="AA48" i="35"/>
  <c r="AE29" i="35"/>
  <c r="AA29" i="35"/>
  <c r="Y29" i="35"/>
  <c r="AD29" i="35"/>
  <c r="Z29" i="35"/>
  <c r="X29" i="35"/>
  <c r="AC29" i="35"/>
  <c r="AB29" i="35"/>
  <c r="V29" i="35"/>
  <c r="W29" i="35"/>
  <c r="DB20" i="32"/>
  <c r="DA20" i="32" s="1"/>
  <c r="DC20" i="32" s="1"/>
  <c r="DB26" i="32"/>
  <c r="DA26" i="32" s="1"/>
  <c r="DC26" i="32" s="1"/>
  <c r="DB22" i="32"/>
  <c r="DA22" i="32" s="1"/>
  <c r="DC22" i="32" s="1"/>
  <c r="DB23" i="32"/>
  <c r="DA23" i="32" s="1"/>
  <c r="DC23" i="32" s="1"/>
  <c r="DB34" i="32"/>
  <c r="DA34" i="32" s="1"/>
  <c r="DC34" i="32" s="1"/>
  <c r="DB49" i="32"/>
  <c r="DA49" i="32" s="1"/>
  <c r="DC49" i="32" s="1"/>
  <c r="DB48" i="32"/>
  <c r="DA48" i="32" s="1"/>
  <c r="DC48" i="32" s="1"/>
  <c r="DB41" i="32"/>
  <c r="DA41" i="32" s="1"/>
  <c r="DC41" i="32" s="1"/>
  <c r="DB42" i="32"/>
  <c r="DA42" i="32" s="1"/>
  <c r="DC42" i="32" s="1"/>
  <c r="DB19" i="32"/>
  <c r="DA19" i="32" s="1"/>
  <c r="DC19" i="32" s="1"/>
  <c r="DB35" i="32"/>
  <c r="DA35" i="32" s="1"/>
  <c r="DC35" i="32" s="1"/>
  <c r="DB43" i="32"/>
  <c r="DA43" i="32" s="1"/>
  <c r="DC43" i="32" s="1"/>
  <c r="DB38" i="32"/>
  <c r="DA38" i="32" s="1"/>
  <c r="DC38" i="32" s="1"/>
  <c r="DB46" i="32"/>
  <c r="DA46" i="32" s="1"/>
  <c r="DC46" i="32" s="1"/>
  <c r="DB39" i="32"/>
  <c r="DA39" i="32" s="1"/>
  <c r="DC39" i="32" s="1"/>
  <c r="DB24" i="32"/>
  <c r="DA24" i="32" s="1"/>
  <c r="DC24" i="32" s="1"/>
  <c r="DB28" i="32"/>
  <c r="DA28" i="32" s="1"/>
  <c r="DC28" i="32" s="1"/>
  <c r="DB29" i="32"/>
  <c r="DA29" i="32" s="1"/>
  <c r="DC29" i="32" s="1"/>
  <c r="DB31" i="32"/>
  <c r="DA31" i="32" s="1"/>
  <c r="DC31" i="32" s="1"/>
  <c r="DB32" i="32"/>
  <c r="DA32" i="32" s="1"/>
  <c r="DC32" i="32" s="1"/>
  <c r="DB25" i="32"/>
  <c r="DA25" i="32" s="1"/>
  <c r="DC25" i="32" s="1"/>
  <c r="DB47" i="32"/>
  <c r="DA47" i="32" s="1"/>
  <c r="DC47" i="32" s="1"/>
  <c r="DB44" i="32"/>
  <c r="DA44" i="32" s="1"/>
  <c r="DC44" i="32" s="1"/>
  <c r="DB45" i="32"/>
  <c r="DA45" i="32" s="1"/>
  <c r="DC45" i="32" s="1"/>
  <c r="DB18" i="32"/>
  <c r="DA18" i="32" s="1"/>
  <c r="DC18" i="32" s="1"/>
  <c r="DB30" i="32"/>
  <c r="DA30" i="32" s="1"/>
  <c r="DC30" i="32" s="1"/>
  <c r="DB27" i="32"/>
  <c r="DA27" i="32" s="1"/>
  <c r="DC27" i="32" s="1"/>
  <c r="DB33" i="32"/>
  <c r="DA33" i="32" s="1"/>
  <c r="DC33" i="32" s="1"/>
  <c r="DB36" i="32"/>
  <c r="DA36" i="32" s="1"/>
  <c r="DC36" i="32" s="1"/>
  <c r="DB37" i="32"/>
  <c r="DA37" i="32" s="1"/>
  <c r="DC37" i="32" s="1"/>
  <c r="DB40" i="32"/>
  <c r="DA40" i="32" s="1"/>
  <c r="DC40" i="32" s="1"/>
  <c r="DB50" i="32"/>
  <c r="DA50" i="32" s="1"/>
  <c r="DC50" i="32" s="1"/>
  <c r="AO23" i="35"/>
  <c r="AP22" i="35" s="1"/>
  <c r="CS18" i="32"/>
  <c r="CH19" i="32"/>
  <c r="CH20" i="32" s="1"/>
  <c r="CH21" i="32" s="1"/>
  <c r="CH22" i="32" s="1"/>
  <c r="CH23" i="32" s="1"/>
  <c r="CH24" i="32" s="1"/>
  <c r="CI24" i="32" s="1"/>
  <c r="K73" i="30"/>
  <c r="D143" i="30"/>
  <c r="I13" i="30"/>
  <c r="AM34" i="30"/>
  <c r="AM42" i="30" s="1"/>
  <c r="AM53" i="30" s="1"/>
  <c r="AM61" i="30" s="1"/>
  <c r="AW24" i="30"/>
  <c r="AL35" i="30"/>
  <c r="AL25" i="30"/>
  <c r="DA3" i="32"/>
  <c r="H38" i="29"/>
  <c r="J13" i="30" s="1"/>
  <c r="G19" i="32"/>
  <c r="H39" i="29"/>
  <c r="J14" i="30" s="1"/>
  <c r="L73" i="30" s="1"/>
  <c r="DG3" i="32"/>
  <c r="G20" i="32"/>
  <c r="BO23" i="35"/>
  <c r="BP22" i="35" s="1"/>
  <c r="S30" i="35"/>
  <c r="M56" i="33"/>
  <c r="C90" i="33"/>
  <c r="E95" i="33" s="1"/>
  <c r="M57" i="33" s="1"/>
  <c r="BG60" i="31"/>
  <c r="BG66" i="31"/>
  <c r="BG54" i="31"/>
  <c r="BG48" i="31"/>
  <c r="V87" i="31"/>
  <c r="V81" i="31"/>
  <c r="V82" i="31" s="1"/>
  <c r="V83" i="31" s="1"/>
  <c r="V84" i="31" s="1"/>
  <c r="V85" i="31" s="1"/>
  <c r="V86" i="31" s="1"/>
  <c r="F69" i="31"/>
  <c r="R87" i="31"/>
  <c r="R81" i="31"/>
  <c r="R82" i="31" s="1"/>
  <c r="R83" i="31" s="1"/>
  <c r="R84" i="31" s="1"/>
  <c r="R85" i="31" s="1"/>
  <c r="R86" i="31" s="1"/>
  <c r="N81" i="31"/>
  <c r="N82" i="31" s="1"/>
  <c r="N83" i="31" s="1"/>
  <c r="N84" i="31" s="1"/>
  <c r="N85" i="31" s="1"/>
  <c r="N86" i="31" s="1"/>
  <c r="N87" i="31"/>
  <c r="G63" i="31"/>
  <c r="I62" i="31"/>
  <c r="H57" i="31"/>
  <c r="F87" i="31"/>
  <c r="F81" i="31"/>
  <c r="G69" i="31"/>
  <c r="H75" i="31"/>
  <c r="H69" i="31"/>
  <c r="G57" i="31"/>
  <c r="S87" i="31"/>
  <c r="S81" i="31"/>
  <c r="S82" i="31" s="1"/>
  <c r="S83" i="31" s="1"/>
  <c r="S84" i="31" s="1"/>
  <c r="S85" i="31" s="1"/>
  <c r="S86" i="31" s="1"/>
  <c r="J75" i="31"/>
  <c r="T80" i="31"/>
  <c r="T74" i="31"/>
  <c r="T75" i="31" s="1"/>
  <c r="T76" i="31" s="1"/>
  <c r="T77" i="31" s="1"/>
  <c r="T78" i="31" s="1"/>
  <c r="T79" i="31" s="1"/>
  <c r="G75" i="31"/>
  <c r="J69" i="31"/>
  <c r="H87" i="31"/>
  <c r="H81" i="31"/>
  <c r="K75" i="31"/>
  <c r="A74" i="31"/>
  <c r="A75" i="31" s="1"/>
  <c r="A76" i="31" s="1"/>
  <c r="A77" i="31" s="1"/>
  <c r="A78" i="31" s="1"/>
  <c r="A79" i="31" s="1"/>
  <c r="A80" i="31"/>
  <c r="X87" i="31"/>
  <c r="X81" i="31"/>
  <c r="X82" i="31" s="1"/>
  <c r="X83" i="31" s="1"/>
  <c r="X84" i="31" s="1"/>
  <c r="X85" i="31" s="1"/>
  <c r="X86" i="31" s="1"/>
  <c r="Q68" i="31"/>
  <c r="Q62" i="31"/>
  <c r="L87" i="31"/>
  <c r="L81" i="31"/>
  <c r="L82" i="31" s="1"/>
  <c r="L83" i="31" s="1"/>
  <c r="L84" i="31" s="1"/>
  <c r="L85" i="31" s="1"/>
  <c r="L86" i="31" s="1"/>
  <c r="I68" i="31"/>
  <c r="J81" i="31"/>
  <c r="J87" i="31"/>
  <c r="G87" i="31"/>
  <c r="G81" i="31"/>
  <c r="I56" i="31"/>
  <c r="H63" i="31"/>
  <c r="U81" i="31"/>
  <c r="U82" i="31" s="1"/>
  <c r="U83" i="31" s="1"/>
  <c r="U84" i="31" s="1"/>
  <c r="U85" i="31" s="1"/>
  <c r="U86" i="31" s="1"/>
  <c r="U87" i="31"/>
  <c r="K57" i="31"/>
  <c r="Q56" i="31"/>
  <c r="M81" i="31"/>
  <c r="M82" i="31" s="1"/>
  <c r="M83" i="31" s="1"/>
  <c r="M84" i="31" s="1"/>
  <c r="M85" i="31" s="1"/>
  <c r="M86" i="31" s="1"/>
  <c r="M87" i="31"/>
  <c r="O87" i="31"/>
  <c r="O81" i="31"/>
  <c r="O82" i="31" s="1"/>
  <c r="O83" i="31" s="1"/>
  <c r="O84" i="31" s="1"/>
  <c r="O85" i="31" s="1"/>
  <c r="O86" i="31" s="1"/>
  <c r="F63" i="31"/>
  <c r="F57" i="31"/>
  <c r="D87" i="31"/>
  <c r="D81" i="31"/>
  <c r="D82" i="31" s="1"/>
  <c r="D83" i="31" s="1"/>
  <c r="D84" i="31" s="1"/>
  <c r="D85" i="31" s="1"/>
  <c r="D86" i="31" s="1"/>
  <c r="J57" i="31"/>
  <c r="K87" i="31"/>
  <c r="K81" i="31"/>
  <c r="K63" i="31"/>
  <c r="Q80" i="31"/>
  <c r="Q74" i="31"/>
  <c r="Q50" i="31"/>
  <c r="I74" i="31"/>
  <c r="I80" i="31"/>
  <c r="G51" i="31"/>
  <c r="A50" i="31"/>
  <c r="P80" i="31"/>
  <c r="P74" i="31"/>
  <c r="P75" i="31" s="1"/>
  <c r="P76" i="31" s="1"/>
  <c r="P77" i="31" s="1"/>
  <c r="P78" i="31" s="1"/>
  <c r="P79" i="31" s="1"/>
  <c r="B87" i="31"/>
  <c r="B81" i="31"/>
  <c r="B82" i="31" s="1"/>
  <c r="B83" i="31" s="1"/>
  <c r="B84" i="31" s="1"/>
  <c r="B85" i="31" s="1"/>
  <c r="B86" i="31" s="1"/>
  <c r="F75" i="31"/>
  <c r="J63" i="31"/>
  <c r="I50" i="31"/>
  <c r="E81" i="31"/>
  <c r="E82" i="31" s="1"/>
  <c r="E83" i="31" s="1"/>
  <c r="E84" i="31" s="1"/>
  <c r="E85" i="31" s="1"/>
  <c r="E86" i="31" s="1"/>
  <c r="E87" i="31"/>
  <c r="K69" i="31"/>
  <c r="C87" i="31"/>
  <c r="C81" i="31"/>
  <c r="C82" i="31" s="1"/>
  <c r="C83" i="31" s="1"/>
  <c r="C84" i="31" s="1"/>
  <c r="C85" i="31" s="1"/>
  <c r="C86" i="31" s="1"/>
  <c r="W87" i="31"/>
  <c r="W81" i="31"/>
  <c r="W82" i="31" s="1"/>
  <c r="W83" i="31" s="1"/>
  <c r="W84" i="31" s="1"/>
  <c r="W85" i="31" s="1"/>
  <c r="W86" i="31" s="1"/>
  <c r="R23" i="28"/>
  <c r="S23" i="28" s="1"/>
  <c r="L23" i="28" s="1"/>
  <c r="O23" i="28" s="1"/>
  <c r="H23" i="28" s="1"/>
  <c r="J60" i="28"/>
  <c r="G24" i="28"/>
  <c r="G35" i="28" s="1"/>
  <c r="AL24" i="28"/>
  <c r="AW23" i="28"/>
  <c r="AX23" i="28" s="1"/>
  <c r="AQ23" i="28" s="1"/>
  <c r="AT23" i="28" s="1"/>
  <c r="AL34" i="28"/>
  <c r="AB73" i="31"/>
  <c r="AJ68" i="31"/>
  <c r="AH68" i="31"/>
  <c r="AF62" i="31"/>
  <c r="AQ49" i="31"/>
  <c r="AF49" i="31"/>
  <c r="AF80" i="31"/>
  <c r="AG68" i="31"/>
  <c r="AC80" i="31"/>
  <c r="AK49" i="31"/>
  <c r="AG67" i="31"/>
  <c r="AK56" i="31"/>
  <c r="AH62" i="31"/>
  <c r="AH49" i="31"/>
  <c r="AJ56" i="31"/>
  <c r="AJ73" i="31"/>
  <c r="AQ67" i="31"/>
  <c r="AH56" i="31"/>
  <c r="AK68" i="31"/>
  <c r="AQ55" i="31"/>
  <c r="AF56" i="31"/>
  <c r="AG56" i="31"/>
  <c r="AK80" i="31"/>
  <c r="AF67" i="31"/>
  <c r="AB80" i="31"/>
  <c r="AF73" i="31"/>
  <c r="AH73" i="31"/>
  <c r="AG80" i="31"/>
  <c r="AI61" i="31"/>
  <c r="AQ73" i="31"/>
  <c r="AF68" i="31"/>
  <c r="AI55" i="31"/>
  <c r="AI49" i="31"/>
  <c r="AJ80" i="31"/>
  <c r="AI73" i="31"/>
  <c r="AJ62" i="31"/>
  <c r="AG62" i="31"/>
  <c r="AC73" i="31"/>
  <c r="AK62" i="31"/>
  <c r="AI67" i="31"/>
  <c r="AJ49" i="31"/>
  <c r="AQ61" i="31"/>
  <c r="AK67" i="31"/>
  <c r="AH67" i="31"/>
  <c r="AB74" i="31" l="1"/>
  <c r="AB75" i="31" s="1"/>
  <c r="AB76" i="31" s="1"/>
  <c r="AB77" i="31" s="1"/>
  <c r="AB78" i="31" s="1"/>
  <c r="AB79" i="31" s="1"/>
  <c r="AJ30" i="35"/>
  <c r="AF30" i="35"/>
  <c r="AN30" i="35"/>
  <c r="AH30" i="35"/>
  <c r="AL30" i="35"/>
  <c r="DH60" i="32" a="1"/>
  <c r="DH60" i="32" s="1"/>
  <c r="DJ60" i="32" a="1"/>
  <c r="DJ60" i="32" s="1"/>
  <c r="DG60" i="32" a="1"/>
  <c r="DG60" i="32" s="1"/>
  <c r="DJ63" i="32" a="1"/>
  <c r="DJ63" i="32" s="1"/>
  <c r="DG63" i="32" a="1"/>
  <c r="DG63" i="32" s="1"/>
  <c r="DH63" i="32" a="1"/>
  <c r="DH63" i="32" s="1"/>
  <c r="DG62" i="32" a="1"/>
  <c r="DG62" i="32" s="1"/>
  <c r="DH62" i="32" a="1"/>
  <c r="DH62" i="32" s="1"/>
  <c r="DJ62" i="32" a="1"/>
  <c r="DJ62" i="32" s="1"/>
  <c r="DJ61" i="32" a="1"/>
  <c r="DJ61" i="32" s="1"/>
  <c r="DG61" i="32" a="1"/>
  <c r="DG61" i="32" s="1"/>
  <c r="DH61" i="32" a="1"/>
  <c r="DH61" i="32" s="1"/>
  <c r="DG59" i="32" a="1"/>
  <c r="DG59" i="32" s="1"/>
  <c r="DH59" i="32" a="1"/>
  <c r="DH59" i="32" s="1"/>
  <c r="DJ59" i="32" a="1"/>
  <c r="DJ59" i="32" s="1"/>
  <c r="CJ82" i="32"/>
  <c r="CW82" i="32" s="1"/>
  <c r="V30" i="35"/>
  <c r="AB30" i="35"/>
  <c r="AD30" i="35"/>
  <c r="Z30" i="35"/>
  <c r="X30" i="35"/>
  <c r="AC30" i="35"/>
  <c r="AA30" i="35"/>
  <c r="Y30" i="35"/>
  <c r="AE30" i="35"/>
  <c r="W30" i="35"/>
  <c r="S31" i="35"/>
  <c r="CH25" i="32"/>
  <c r="CI25" i="32" s="1"/>
  <c r="CS24" i="32"/>
  <c r="M23" i="30"/>
  <c r="M25" i="30"/>
  <c r="M28" i="30"/>
  <c r="M27" i="30"/>
  <c r="M26" i="30"/>
  <c r="M24" i="30"/>
  <c r="T74" i="30"/>
  <c r="G52" i="30"/>
  <c r="G60" i="30" s="1"/>
  <c r="G22" i="30"/>
  <c r="L74" i="30"/>
  <c r="AL42" i="30"/>
  <c r="AL53" i="30" s="1"/>
  <c r="AL61" i="30" s="1"/>
  <c r="AL85" i="30" s="1"/>
  <c r="AM85" i="30" s="1"/>
  <c r="AW25" i="30"/>
  <c r="AX25" i="30" s="1"/>
  <c r="AQ25" i="30" s="1"/>
  <c r="AT25" i="30" s="1"/>
  <c r="AM25" i="30" s="1"/>
  <c r="AK25" i="30" s="1"/>
  <c r="AK36" i="30" s="1"/>
  <c r="AL26" i="30"/>
  <c r="AL36" i="30"/>
  <c r="AX24" i="30"/>
  <c r="AQ24" i="30" s="1"/>
  <c r="AT24" i="30" s="1"/>
  <c r="AM24" i="30" s="1"/>
  <c r="AV74" i="30"/>
  <c r="I39" i="29"/>
  <c r="DI3" i="32"/>
  <c r="DC3" i="32"/>
  <c r="I38" i="29"/>
  <c r="H20" i="32"/>
  <c r="H19" i="32"/>
  <c r="BG49" i="31"/>
  <c r="BG67" i="31"/>
  <c r="AC74" i="31"/>
  <c r="AC75" i="31" s="1"/>
  <c r="AC76" i="31" s="1"/>
  <c r="AC77" i="31" s="1"/>
  <c r="AC78" i="31" s="1"/>
  <c r="AC79" i="31" s="1"/>
  <c r="AC81" i="31"/>
  <c r="AC82" i="31" s="1"/>
  <c r="AC83" i="31" s="1"/>
  <c r="AC84" i="31" s="1"/>
  <c r="AC85" i="31" s="1"/>
  <c r="AC86" i="31" s="1"/>
  <c r="AB81" i="31"/>
  <c r="AB82" i="31" s="1"/>
  <c r="AB83" i="31" s="1"/>
  <c r="AB84" i="31" s="1"/>
  <c r="AB85" i="31" s="1"/>
  <c r="AB86" i="31" s="1"/>
  <c r="BG55" i="31"/>
  <c r="BG61" i="31"/>
  <c r="BG73" i="31"/>
  <c r="K70" i="31"/>
  <c r="U88" i="31"/>
  <c r="U89" i="31" s="1"/>
  <c r="U90" i="31" s="1"/>
  <c r="U91" i="31" s="1"/>
  <c r="U92" i="31" s="1"/>
  <c r="U93" i="31" s="1"/>
  <c r="U94" i="31"/>
  <c r="G94" i="31"/>
  <c r="G88" i="31"/>
  <c r="Q69" i="31"/>
  <c r="H82" i="31"/>
  <c r="V94" i="31"/>
  <c r="V88" i="31"/>
  <c r="V89" i="31" s="1"/>
  <c r="V90" i="31" s="1"/>
  <c r="V91" i="31" s="1"/>
  <c r="V92" i="31" s="1"/>
  <c r="V93" i="31" s="1"/>
  <c r="I51" i="31"/>
  <c r="Q51" i="31"/>
  <c r="K82" i="31"/>
  <c r="F58" i="31"/>
  <c r="Q57" i="31"/>
  <c r="H94" i="31"/>
  <c r="H88" i="31"/>
  <c r="J76" i="31"/>
  <c r="H76" i="31"/>
  <c r="F82" i="31"/>
  <c r="A51" i="31"/>
  <c r="I87" i="31"/>
  <c r="I81" i="31"/>
  <c r="K94" i="31"/>
  <c r="K88" i="31"/>
  <c r="D94" i="31"/>
  <c r="D88" i="31"/>
  <c r="D89" i="31" s="1"/>
  <c r="D90" i="31" s="1"/>
  <c r="D91" i="31" s="1"/>
  <c r="D92" i="31" s="1"/>
  <c r="D93" i="31" s="1"/>
  <c r="M94" i="31"/>
  <c r="M88" i="31"/>
  <c r="M89" i="31" s="1"/>
  <c r="M90" i="31" s="1"/>
  <c r="M91" i="31" s="1"/>
  <c r="M92" i="31" s="1"/>
  <c r="M93" i="31" s="1"/>
  <c r="J88" i="31"/>
  <c r="J94" i="31"/>
  <c r="X94" i="31"/>
  <c r="X88" i="31"/>
  <c r="X89" i="31" s="1"/>
  <c r="X90" i="31" s="1"/>
  <c r="X91" i="31" s="1"/>
  <c r="X92" i="31" s="1"/>
  <c r="X93" i="31" s="1"/>
  <c r="K76" i="31"/>
  <c r="F94" i="31"/>
  <c r="F88" i="31"/>
  <c r="I63" i="31"/>
  <c r="F70" i="31"/>
  <c r="P87" i="31"/>
  <c r="P81" i="31"/>
  <c r="P82" i="31" s="1"/>
  <c r="P83" i="31" s="1"/>
  <c r="P84" i="31" s="1"/>
  <c r="P85" i="31" s="1"/>
  <c r="P86" i="31" s="1"/>
  <c r="Q87" i="31"/>
  <c r="Q81" i="31"/>
  <c r="J58" i="31"/>
  <c r="H58" i="31"/>
  <c r="G64" i="31"/>
  <c r="R88" i="31"/>
  <c r="R89" i="31" s="1"/>
  <c r="R90" i="31" s="1"/>
  <c r="R91" i="31" s="1"/>
  <c r="R92" i="31" s="1"/>
  <c r="R93" i="31" s="1"/>
  <c r="R94" i="31"/>
  <c r="O94" i="31"/>
  <c r="O88" i="31"/>
  <c r="O89" i="31" s="1"/>
  <c r="O90" i="31" s="1"/>
  <c r="O91" i="31" s="1"/>
  <c r="O92" i="31" s="1"/>
  <c r="O93" i="31" s="1"/>
  <c r="I57" i="31"/>
  <c r="I69" i="31"/>
  <c r="Q63" i="31"/>
  <c r="G76" i="31"/>
  <c r="G58" i="31"/>
  <c r="N94" i="31"/>
  <c r="N88" i="31"/>
  <c r="N89" i="31" s="1"/>
  <c r="N90" i="31" s="1"/>
  <c r="N91" i="31" s="1"/>
  <c r="N92" i="31" s="1"/>
  <c r="N93" i="31" s="1"/>
  <c r="C94" i="31"/>
  <c r="C88" i="31"/>
  <c r="C89" i="31" s="1"/>
  <c r="C90" i="31" s="1"/>
  <c r="C91" i="31" s="1"/>
  <c r="C92" i="31" s="1"/>
  <c r="C93" i="31" s="1"/>
  <c r="E88" i="31"/>
  <c r="E89" i="31" s="1"/>
  <c r="E90" i="31" s="1"/>
  <c r="E91" i="31" s="1"/>
  <c r="E92" i="31" s="1"/>
  <c r="E93" i="31" s="1"/>
  <c r="E94" i="31"/>
  <c r="B88" i="31"/>
  <c r="B89" i="31" s="1"/>
  <c r="B90" i="31" s="1"/>
  <c r="B91" i="31" s="1"/>
  <c r="B92" i="31" s="1"/>
  <c r="B93" i="31" s="1"/>
  <c r="B94" i="31"/>
  <c r="W94" i="31"/>
  <c r="W88" i="31"/>
  <c r="W89" i="31" s="1"/>
  <c r="W90" i="31" s="1"/>
  <c r="W91" i="31" s="1"/>
  <c r="W92" i="31" s="1"/>
  <c r="W93" i="31" s="1"/>
  <c r="J64" i="31"/>
  <c r="F76" i="31"/>
  <c r="I75" i="31"/>
  <c r="Q75" i="31"/>
  <c r="K64" i="31"/>
  <c r="F64" i="31"/>
  <c r="K58" i="31"/>
  <c r="H64" i="31"/>
  <c r="G82" i="31"/>
  <c r="J82" i="31"/>
  <c r="L94" i="31"/>
  <c r="L88" i="31"/>
  <c r="L89" i="31" s="1"/>
  <c r="L90" i="31" s="1"/>
  <c r="L91" i="31" s="1"/>
  <c r="L92" i="31" s="1"/>
  <c r="L93" i="31" s="1"/>
  <c r="A87" i="31"/>
  <c r="A81" i="31"/>
  <c r="A82" i="31" s="1"/>
  <c r="A83" i="31" s="1"/>
  <c r="A84" i="31" s="1"/>
  <c r="A85" i="31" s="1"/>
  <c r="A86" i="31" s="1"/>
  <c r="J70" i="31"/>
  <c r="T87" i="31"/>
  <c r="T81" i="31"/>
  <c r="T82" i="31" s="1"/>
  <c r="T83" i="31" s="1"/>
  <c r="T84" i="31" s="1"/>
  <c r="T85" i="31" s="1"/>
  <c r="T86" i="31" s="1"/>
  <c r="S94" i="31"/>
  <c r="S88" i="31"/>
  <c r="S89" i="31" s="1"/>
  <c r="S90" i="31" s="1"/>
  <c r="S91" i="31" s="1"/>
  <c r="S92" i="31" s="1"/>
  <c r="S93" i="31" s="1"/>
  <c r="H70" i="31"/>
  <c r="G70" i="31"/>
  <c r="G25" i="28"/>
  <c r="G26" i="28" s="1"/>
  <c r="G37" i="28" s="1"/>
  <c r="R24" i="28"/>
  <c r="S24" i="28" s="1"/>
  <c r="L24" i="28" s="1"/>
  <c r="O24" i="28" s="1"/>
  <c r="H24" i="28" s="1"/>
  <c r="F24" i="28" s="1"/>
  <c r="F35" i="28" s="1"/>
  <c r="AM23" i="28"/>
  <c r="AK23" i="28" s="1"/>
  <c r="AK34" i="28" s="1"/>
  <c r="AW24" i="28"/>
  <c r="AL35" i="28"/>
  <c r="AL25" i="28"/>
  <c r="F23" i="28"/>
  <c r="F34" i="28" s="1"/>
  <c r="AH80" i="31"/>
  <c r="AF57" i="31"/>
  <c r="AH50" i="31"/>
  <c r="AF69" i="31"/>
  <c r="AQ56" i="31"/>
  <c r="AJ74" i="31"/>
  <c r="AI80" i="31"/>
  <c r="AJ50" i="31"/>
  <c r="AK69" i="31"/>
  <c r="AG75" i="31"/>
  <c r="AG81" i="31"/>
  <c r="AJ69" i="31"/>
  <c r="AG63" i="31"/>
  <c r="AQ74" i="31"/>
  <c r="AI74" i="31"/>
  <c r="AF63" i="31"/>
  <c r="AI68" i="31"/>
  <c r="AQ50" i="31"/>
  <c r="AG51" i="31"/>
  <c r="AI62" i="31"/>
  <c r="AB87" i="31"/>
  <c r="AI50" i="31"/>
  <c r="AF58" i="31"/>
  <c r="AH75" i="31"/>
  <c r="AJ57" i="31"/>
  <c r="AI56" i="31"/>
  <c r="AF75" i="31"/>
  <c r="AJ63" i="31"/>
  <c r="AK74" i="31"/>
  <c r="AH63" i="31"/>
  <c r="AJ75" i="31"/>
  <c r="AW74" i="30"/>
  <c r="AH57" i="31"/>
  <c r="AQ80" i="31"/>
  <c r="AH81" i="31"/>
  <c r="AF50" i="31"/>
  <c r="AK63" i="31"/>
  <c r="AH69" i="31"/>
  <c r="AG69" i="31"/>
  <c r="AQ68" i="31"/>
  <c r="AG74" i="31"/>
  <c r="AF74" i="31"/>
  <c r="AK50" i="31"/>
  <c r="AG57" i="31"/>
  <c r="AK57" i="31"/>
  <c r="AI51" i="31"/>
  <c r="AQ62" i="31"/>
  <c r="AK75" i="31"/>
  <c r="AJ58" i="31"/>
  <c r="AG50" i="31"/>
  <c r="AH74" i="31"/>
  <c r="AK58" i="31"/>
  <c r="AG58" i="31"/>
  <c r="AH58" i="31"/>
  <c r="AN31" i="35" l="1"/>
  <c r="AH31" i="35"/>
  <c r="AL31" i="35"/>
  <c r="AJ31" i="35"/>
  <c r="AF31" i="35"/>
  <c r="CJ83" i="32"/>
  <c r="CW83" i="32" s="1"/>
  <c r="AA31" i="35"/>
  <c r="AC31" i="35"/>
  <c r="Y31" i="35"/>
  <c r="AE31" i="35"/>
  <c r="AD31" i="35"/>
  <c r="Z31" i="35"/>
  <c r="X31" i="35"/>
  <c r="AB31" i="35"/>
  <c r="V31" i="35"/>
  <c r="W31" i="35"/>
  <c r="S32" i="35"/>
  <c r="CH26" i="32"/>
  <c r="CI26" i="32" s="1"/>
  <c r="CS25" i="32"/>
  <c r="G33" i="30"/>
  <c r="G41" i="30" s="1"/>
  <c r="G83" i="30" s="1"/>
  <c r="G23" i="30"/>
  <c r="K13" i="30"/>
  <c r="M125" i="30"/>
  <c r="F138" i="30"/>
  <c r="J60" i="30"/>
  <c r="G84" i="30"/>
  <c r="M126" i="30"/>
  <c r="K14" i="30"/>
  <c r="M74" i="30" s="1"/>
  <c r="AW76" i="30"/>
  <c r="AX76" i="30" s="1"/>
  <c r="AM36" i="30"/>
  <c r="AM44" i="30" s="1"/>
  <c r="AL44" i="30" s="1"/>
  <c r="AL55" i="30" s="1"/>
  <c r="AL63" i="30" s="1"/>
  <c r="AK24" i="30"/>
  <c r="AK35" i="30" s="1"/>
  <c r="AW26" i="30"/>
  <c r="AX26" i="30" s="1"/>
  <c r="AQ26" i="30" s="1"/>
  <c r="AT26" i="30" s="1"/>
  <c r="AM26" i="30" s="1"/>
  <c r="AL27" i="30"/>
  <c r="AL37" i="30"/>
  <c r="CQ6" i="32"/>
  <c r="C10" i="34" s="1"/>
  <c r="I19" i="32"/>
  <c r="I20" i="32"/>
  <c r="AB88" i="31"/>
  <c r="AB89" i="31" s="1"/>
  <c r="AB90" i="31" s="1"/>
  <c r="AB91" i="31" s="1"/>
  <c r="AB92" i="31" s="1"/>
  <c r="AB93" i="31" s="1"/>
  <c r="BG68" i="31"/>
  <c r="BG74" i="31"/>
  <c r="BG80" i="31"/>
  <c r="BG56" i="31"/>
  <c r="BG50" i="31"/>
  <c r="BG62" i="31"/>
  <c r="J83" i="31"/>
  <c r="Q76" i="31"/>
  <c r="P94" i="31"/>
  <c r="P88" i="31"/>
  <c r="P89" i="31" s="1"/>
  <c r="P90" i="31" s="1"/>
  <c r="P91" i="31" s="1"/>
  <c r="P92" i="31" s="1"/>
  <c r="P93" i="31" s="1"/>
  <c r="I64" i="31"/>
  <c r="K89" i="31"/>
  <c r="F77" i="31"/>
  <c r="W101" i="31"/>
  <c r="W95" i="31"/>
  <c r="W96" i="31" s="1"/>
  <c r="W97" i="31" s="1"/>
  <c r="W98" i="31" s="1"/>
  <c r="W99" i="31" s="1"/>
  <c r="W100" i="31" s="1"/>
  <c r="I70" i="31"/>
  <c r="O101" i="31"/>
  <c r="O95" i="31"/>
  <c r="O96" i="31" s="1"/>
  <c r="O97" i="31" s="1"/>
  <c r="O98" i="31" s="1"/>
  <c r="O99" i="31" s="1"/>
  <c r="O100" i="31" s="1"/>
  <c r="G65" i="31"/>
  <c r="Q82" i="31"/>
  <c r="K77" i="31"/>
  <c r="J101" i="31"/>
  <c r="J95" i="31"/>
  <c r="H77" i="31"/>
  <c r="H89" i="31"/>
  <c r="H83" i="31"/>
  <c r="L101" i="31"/>
  <c r="L95" i="31"/>
  <c r="L96" i="31" s="1"/>
  <c r="L97" i="31" s="1"/>
  <c r="L98" i="31" s="1"/>
  <c r="L99" i="31" s="1"/>
  <c r="L100" i="31" s="1"/>
  <c r="G83" i="31"/>
  <c r="K65" i="31"/>
  <c r="I76" i="31"/>
  <c r="E101" i="31"/>
  <c r="E95" i="31"/>
  <c r="E96" i="31" s="1"/>
  <c r="E97" i="31" s="1"/>
  <c r="E98" i="31" s="1"/>
  <c r="E99" i="31" s="1"/>
  <c r="E100" i="31" s="1"/>
  <c r="C101" i="31"/>
  <c r="C95" i="31"/>
  <c r="C96" i="31" s="1"/>
  <c r="C97" i="31" s="1"/>
  <c r="C98" i="31" s="1"/>
  <c r="C99" i="31" s="1"/>
  <c r="C100" i="31" s="1"/>
  <c r="R101" i="31"/>
  <c r="R95" i="31"/>
  <c r="R96" i="31" s="1"/>
  <c r="R97" i="31" s="1"/>
  <c r="R98" i="31" s="1"/>
  <c r="R99" i="31" s="1"/>
  <c r="R100" i="31" s="1"/>
  <c r="Q94" i="31"/>
  <c r="Q88" i="31"/>
  <c r="F71" i="31"/>
  <c r="F89" i="31"/>
  <c r="J89" i="31"/>
  <c r="D101" i="31"/>
  <c r="D95" i="31"/>
  <c r="D96" i="31" s="1"/>
  <c r="D97" i="31" s="1"/>
  <c r="D98" i="31" s="1"/>
  <c r="D99" i="31" s="1"/>
  <c r="D100" i="31" s="1"/>
  <c r="H101" i="31"/>
  <c r="H95" i="31"/>
  <c r="V101" i="31"/>
  <c r="V95" i="31"/>
  <c r="V96" i="31" s="1"/>
  <c r="V97" i="31" s="1"/>
  <c r="V98" i="31" s="1"/>
  <c r="V99" i="31" s="1"/>
  <c r="V100" i="31" s="1"/>
  <c r="G101" i="31"/>
  <c r="G95" i="31"/>
  <c r="A88" i="31"/>
  <c r="A89" i="31" s="1"/>
  <c r="A90" i="31" s="1"/>
  <c r="A91" i="31" s="1"/>
  <c r="A92" i="31" s="1"/>
  <c r="A93" i="31" s="1"/>
  <c r="A94" i="31"/>
  <c r="H65" i="31"/>
  <c r="F65" i="31"/>
  <c r="N95" i="31"/>
  <c r="N96" i="31" s="1"/>
  <c r="N97" i="31" s="1"/>
  <c r="N98" i="31" s="1"/>
  <c r="N99" i="31" s="1"/>
  <c r="N100" i="31" s="1"/>
  <c r="N101" i="31"/>
  <c r="G77" i="31"/>
  <c r="M101" i="31"/>
  <c r="M95" i="31"/>
  <c r="M96" i="31" s="1"/>
  <c r="M97" i="31" s="1"/>
  <c r="M98" i="31" s="1"/>
  <c r="M99" i="31" s="1"/>
  <c r="M100" i="31" s="1"/>
  <c r="I88" i="31"/>
  <c r="I94" i="31"/>
  <c r="Q58" i="31"/>
  <c r="K83" i="31"/>
  <c r="G71" i="31"/>
  <c r="S101" i="31"/>
  <c r="S95" i="31"/>
  <c r="S96" i="31" s="1"/>
  <c r="S97" i="31" s="1"/>
  <c r="S98" i="31" s="1"/>
  <c r="S99" i="31" s="1"/>
  <c r="S100" i="31" s="1"/>
  <c r="J71" i="31"/>
  <c r="K101" i="31"/>
  <c r="K95" i="31"/>
  <c r="G89" i="31"/>
  <c r="H71" i="31"/>
  <c r="T94" i="31"/>
  <c r="T88" i="31"/>
  <c r="T89" i="31" s="1"/>
  <c r="T90" i="31" s="1"/>
  <c r="T91" i="31" s="1"/>
  <c r="T92" i="31" s="1"/>
  <c r="T93" i="31" s="1"/>
  <c r="J65" i="31"/>
  <c r="B95" i="31"/>
  <c r="B96" i="31" s="1"/>
  <c r="B97" i="31" s="1"/>
  <c r="B98" i="31" s="1"/>
  <c r="B99" i="31" s="1"/>
  <c r="B100" i="31" s="1"/>
  <c r="B101" i="31"/>
  <c r="Q64" i="31"/>
  <c r="I58" i="31"/>
  <c r="F101" i="31"/>
  <c r="F95" i="31"/>
  <c r="X101" i="31"/>
  <c r="X95" i="31"/>
  <c r="X96" i="31" s="1"/>
  <c r="X97" i="31" s="1"/>
  <c r="X98" i="31" s="1"/>
  <c r="X99" i="31" s="1"/>
  <c r="X100" i="31" s="1"/>
  <c r="I82" i="31"/>
  <c r="F83" i="31"/>
  <c r="J77" i="31"/>
  <c r="Q70" i="31"/>
  <c r="U101" i="31"/>
  <c r="U95" i="31"/>
  <c r="U96" i="31" s="1"/>
  <c r="U97" i="31" s="1"/>
  <c r="U98" i="31" s="1"/>
  <c r="U99" i="31" s="1"/>
  <c r="U100" i="31" s="1"/>
  <c r="K71" i="31"/>
  <c r="R25" i="28"/>
  <c r="S25" i="28" s="1"/>
  <c r="L25" i="28" s="1"/>
  <c r="O25" i="28" s="1"/>
  <c r="H25" i="28" s="1"/>
  <c r="F25" i="28" s="1"/>
  <c r="F36" i="28" s="1"/>
  <c r="G36" i="28"/>
  <c r="H35" i="28"/>
  <c r="H43" i="28" s="1"/>
  <c r="H54" i="28" s="1"/>
  <c r="H62" i="28" s="1"/>
  <c r="AM34" i="28"/>
  <c r="AM42" i="28" s="1"/>
  <c r="AX24" i="28"/>
  <c r="AQ24" i="28" s="1"/>
  <c r="AL26" i="28"/>
  <c r="AW25" i="28"/>
  <c r="AX25" i="28" s="1"/>
  <c r="AQ25" i="28" s="1"/>
  <c r="AL36" i="28"/>
  <c r="H34" i="28"/>
  <c r="H42" i="28" s="1"/>
  <c r="G42" i="28" s="1"/>
  <c r="G53" i="28" s="1"/>
  <c r="G61" i="28" s="1"/>
  <c r="G27" i="28"/>
  <c r="R26" i="28"/>
  <c r="S26" i="28" s="1"/>
  <c r="L26" i="28" s="1"/>
  <c r="O26" i="28" s="1"/>
  <c r="H26" i="28" s="1"/>
  <c r="F26" i="28" s="1"/>
  <c r="AF76" i="31"/>
  <c r="AH70" i="31"/>
  <c r="AF51" i="31"/>
  <c r="AQ51" i="31"/>
  <c r="AJ64" i="31"/>
  <c r="AK88" i="31"/>
  <c r="AK64" i="31"/>
  <c r="AK87" i="31"/>
  <c r="AQ81" i="31"/>
  <c r="AI75" i="31"/>
  <c r="AG82" i="31"/>
  <c r="AJ87" i="31"/>
  <c r="AQ57" i="31"/>
  <c r="AJ51" i="31"/>
  <c r="AI69" i="31"/>
  <c r="AG70" i="31"/>
  <c r="AJ82" i="31"/>
  <c r="AK51" i="31"/>
  <c r="AQ75" i="31"/>
  <c r="AF82" i="31"/>
  <c r="AK70" i="31"/>
  <c r="AG65" i="31"/>
  <c r="AJ70" i="31"/>
  <c r="AH64" i="31"/>
  <c r="AG64" i="31"/>
  <c r="AJ76" i="31"/>
  <c r="AQ69" i="31"/>
  <c r="AH88" i="31"/>
  <c r="AI87" i="31"/>
  <c r="AH51" i="31"/>
  <c r="AJ81" i="31"/>
  <c r="AF88" i="31"/>
  <c r="AQ63" i="31"/>
  <c r="AI63" i="31"/>
  <c r="AG76" i="31"/>
  <c r="AQ87" i="31"/>
  <c r="AF64" i="31"/>
  <c r="AH65" i="31"/>
  <c r="AK82" i="31"/>
  <c r="AC87" i="31"/>
  <c r="AH76" i="31"/>
  <c r="AG88" i="31"/>
  <c r="AK76" i="31"/>
  <c r="AI57" i="31"/>
  <c r="AH87" i="31"/>
  <c r="AF81" i="31"/>
  <c r="AI81" i="31"/>
  <c r="AF70" i="31"/>
  <c r="AG87" i="31"/>
  <c r="AK81" i="31"/>
  <c r="AF87" i="31"/>
  <c r="AJ88" i="31"/>
  <c r="AH82" i="31"/>
  <c r="AJ65" i="31"/>
  <c r="AQ58" i="31"/>
  <c r="AK65" i="31"/>
  <c r="AI58" i="31"/>
  <c r="AF65" i="31"/>
  <c r="AH32" i="35" l="1"/>
  <c r="AL32" i="35"/>
  <c r="AJ32" i="35"/>
  <c r="AF32" i="35"/>
  <c r="AN32" i="35"/>
  <c r="CJ84" i="32"/>
  <c r="CW84" i="32" s="1"/>
  <c r="AC32" i="35"/>
  <c r="AE32" i="35"/>
  <c r="Y32" i="35"/>
  <c r="AA32" i="35"/>
  <c r="AB32" i="35"/>
  <c r="AD32" i="35"/>
  <c r="Z32" i="35"/>
  <c r="X32" i="35"/>
  <c r="V32" i="35"/>
  <c r="W32" i="35"/>
  <c r="S33" i="35"/>
  <c r="CH27" i="32"/>
  <c r="CI27" i="32" s="1"/>
  <c r="CS26" i="32"/>
  <c r="N25" i="30"/>
  <c r="N24" i="30"/>
  <c r="N28" i="30"/>
  <c r="N23" i="30"/>
  <c r="N26" i="30"/>
  <c r="N27" i="30"/>
  <c r="G34" i="30"/>
  <c r="R23" i="30"/>
  <c r="G24" i="30"/>
  <c r="AM55" i="30"/>
  <c r="AM63" i="30" s="1"/>
  <c r="AM35" i="30"/>
  <c r="AM43" i="30" s="1"/>
  <c r="AL43" i="30" s="1"/>
  <c r="AL54" i="30" s="1"/>
  <c r="AL62" i="30" s="1"/>
  <c r="AW27" i="30"/>
  <c r="AX27" i="30" s="1"/>
  <c r="AQ27" i="30" s="1"/>
  <c r="AT27" i="30" s="1"/>
  <c r="AM27" i="30" s="1"/>
  <c r="AK27" i="30" s="1"/>
  <c r="AK38" i="30" s="1"/>
  <c r="AL38" i="30"/>
  <c r="AL28" i="30"/>
  <c r="AK26" i="30"/>
  <c r="AK37" i="30" s="1"/>
  <c r="AL87" i="30"/>
  <c r="BG51" i="31"/>
  <c r="BG69" i="31"/>
  <c r="BG57" i="31"/>
  <c r="BG87" i="31"/>
  <c r="BG81" i="31"/>
  <c r="BG58" i="31"/>
  <c r="BG75" i="31"/>
  <c r="BG63" i="31"/>
  <c r="AC88" i="31"/>
  <c r="AC89" i="31" s="1"/>
  <c r="AC90" i="31" s="1"/>
  <c r="AC91" i="31" s="1"/>
  <c r="AC92" i="31" s="1"/>
  <c r="AC93" i="31" s="1"/>
  <c r="Q71" i="31"/>
  <c r="S108" i="31"/>
  <c r="S102" i="31"/>
  <c r="S103" i="31" s="1"/>
  <c r="S104" i="31" s="1"/>
  <c r="S105" i="31" s="1"/>
  <c r="S106" i="31" s="1"/>
  <c r="S107" i="31" s="1"/>
  <c r="M108" i="31"/>
  <c r="M102" i="31"/>
  <c r="M103" i="31" s="1"/>
  <c r="M104" i="31" s="1"/>
  <c r="M105" i="31" s="1"/>
  <c r="M106" i="31" s="1"/>
  <c r="M107" i="31" s="1"/>
  <c r="J90" i="31"/>
  <c r="F72" i="31"/>
  <c r="C108" i="31"/>
  <c r="C102" i="31"/>
  <c r="C103" i="31" s="1"/>
  <c r="C104" i="31" s="1"/>
  <c r="C105" i="31" s="1"/>
  <c r="C106" i="31" s="1"/>
  <c r="C107" i="31" s="1"/>
  <c r="G84" i="31"/>
  <c r="H78" i="31"/>
  <c r="Q83" i="31"/>
  <c r="O108" i="31"/>
  <c r="O102" i="31"/>
  <c r="O103" i="31" s="1"/>
  <c r="O104" i="31" s="1"/>
  <c r="O105" i="31" s="1"/>
  <c r="O106" i="31" s="1"/>
  <c r="O107" i="31" s="1"/>
  <c r="W108" i="31"/>
  <c r="W102" i="31"/>
  <c r="W103" i="31" s="1"/>
  <c r="W104" i="31" s="1"/>
  <c r="W105" i="31" s="1"/>
  <c r="W106" i="31" s="1"/>
  <c r="W107" i="31" s="1"/>
  <c r="T101" i="31"/>
  <c r="T95" i="31"/>
  <c r="T96" i="31" s="1"/>
  <c r="T97" i="31" s="1"/>
  <c r="T98" i="31" s="1"/>
  <c r="T99" i="31" s="1"/>
  <c r="T100" i="31" s="1"/>
  <c r="G90" i="31"/>
  <c r="K84" i="31"/>
  <c r="I95" i="31"/>
  <c r="I101" i="31"/>
  <c r="A95" i="31"/>
  <c r="A96" i="31" s="1"/>
  <c r="A97" i="31" s="1"/>
  <c r="A98" i="31" s="1"/>
  <c r="A99" i="31" s="1"/>
  <c r="A100" i="31" s="1"/>
  <c r="A101" i="31"/>
  <c r="G108" i="31"/>
  <c r="G102" i="31"/>
  <c r="K78" i="31"/>
  <c r="K90" i="31"/>
  <c r="Q77" i="31"/>
  <c r="U102" i="31"/>
  <c r="U103" i="31" s="1"/>
  <c r="U104" i="31" s="1"/>
  <c r="U105" i="31" s="1"/>
  <c r="U106" i="31" s="1"/>
  <c r="U107" i="31" s="1"/>
  <c r="U108" i="31"/>
  <c r="X108" i="31"/>
  <c r="X102" i="31"/>
  <c r="X103" i="31" s="1"/>
  <c r="X104" i="31" s="1"/>
  <c r="X105" i="31" s="1"/>
  <c r="X106" i="31" s="1"/>
  <c r="X107" i="31" s="1"/>
  <c r="J72" i="31"/>
  <c r="G72" i="31"/>
  <c r="I89" i="31"/>
  <c r="G78" i="31"/>
  <c r="H96" i="31"/>
  <c r="D108" i="31"/>
  <c r="D102" i="31"/>
  <c r="D103" i="31" s="1"/>
  <c r="D104" i="31" s="1"/>
  <c r="D105" i="31" s="1"/>
  <c r="D106" i="31" s="1"/>
  <c r="D107" i="31" s="1"/>
  <c r="F90" i="31"/>
  <c r="Q89" i="31"/>
  <c r="E108" i="31"/>
  <c r="E102" i="31"/>
  <c r="E103" i="31" s="1"/>
  <c r="E104" i="31" s="1"/>
  <c r="E105" i="31" s="1"/>
  <c r="E106" i="31" s="1"/>
  <c r="E107" i="31" s="1"/>
  <c r="L108" i="31"/>
  <c r="L102" i="31"/>
  <c r="L103" i="31" s="1"/>
  <c r="L104" i="31" s="1"/>
  <c r="L105" i="31" s="1"/>
  <c r="L106" i="31" s="1"/>
  <c r="L107" i="31" s="1"/>
  <c r="H90" i="31"/>
  <c r="J96" i="31"/>
  <c r="I71" i="31"/>
  <c r="F78" i="31"/>
  <c r="P101" i="31"/>
  <c r="P95" i="31"/>
  <c r="P96" i="31" s="1"/>
  <c r="P97" i="31" s="1"/>
  <c r="P98" i="31" s="1"/>
  <c r="P99" i="31" s="1"/>
  <c r="P100" i="31" s="1"/>
  <c r="K72" i="31"/>
  <c r="F96" i="31"/>
  <c r="K108" i="31"/>
  <c r="K102" i="31"/>
  <c r="G96" i="31"/>
  <c r="I77" i="31"/>
  <c r="H84" i="31"/>
  <c r="I65" i="31"/>
  <c r="F84" i="31"/>
  <c r="F102" i="31"/>
  <c r="F108" i="31"/>
  <c r="Q65" i="31"/>
  <c r="R108" i="31"/>
  <c r="R102" i="31"/>
  <c r="R103" i="31" s="1"/>
  <c r="R104" i="31" s="1"/>
  <c r="R105" i="31" s="1"/>
  <c r="R106" i="31" s="1"/>
  <c r="R107" i="31" s="1"/>
  <c r="J78" i="31"/>
  <c r="I83" i="31"/>
  <c r="B108" i="31"/>
  <c r="B102" i="31"/>
  <c r="B103" i="31" s="1"/>
  <c r="B104" i="31" s="1"/>
  <c r="B105" i="31" s="1"/>
  <c r="B106" i="31" s="1"/>
  <c r="B107" i="31" s="1"/>
  <c r="H72" i="31"/>
  <c r="K96" i="31"/>
  <c r="N102" i="31"/>
  <c r="N103" i="31" s="1"/>
  <c r="N104" i="31" s="1"/>
  <c r="N105" i="31" s="1"/>
  <c r="N106" i="31" s="1"/>
  <c r="N107" i="31" s="1"/>
  <c r="N108" i="31"/>
  <c r="V102" i="31"/>
  <c r="V103" i="31" s="1"/>
  <c r="V104" i="31" s="1"/>
  <c r="V105" i="31" s="1"/>
  <c r="V106" i="31" s="1"/>
  <c r="V107" i="31" s="1"/>
  <c r="V108" i="31"/>
  <c r="H108" i="31"/>
  <c r="H102" i="31"/>
  <c r="Q95" i="31"/>
  <c r="Q101" i="31"/>
  <c r="J108" i="31"/>
  <c r="J102" i="31"/>
  <c r="J84" i="31"/>
  <c r="G43" i="28"/>
  <c r="G54" i="28" s="1"/>
  <c r="G62" i="28" s="1"/>
  <c r="J62" i="28" s="1"/>
  <c r="Q74" i="28"/>
  <c r="H36" i="28"/>
  <c r="H44" i="28" s="1"/>
  <c r="G44" i="28" s="1"/>
  <c r="G55" i="28" s="1"/>
  <c r="G63" i="28" s="1"/>
  <c r="AM53" i="28"/>
  <c r="AM61" i="28" s="1"/>
  <c r="AL42" i="28"/>
  <c r="AL53" i="28" s="1"/>
  <c r="AL61" i="28" s="1"/>
  <c r="AL85" i="28" s="1"/>
  <c r="G85" i="28"/>
  <c r="J61" i="28"/>
  <c r="AT25" i="28"/>
  <c r="AT24" i="28"/>
  <c r="AM24" i="28" s="1"/>
  <c r="AK24" i="28" s="1"/>
  <c r="AL37" i="28"/>
  <c r="AL27" i="28"/>
  <c r="AW26" i="28"/>
  <c r="AX26" i="28" s="1"/>
  <c r="AQ26" i="28" s="1"/>
  <c r="H53" i="28"/>
  <c r="H61" i="28" s="1"/>
  <c r="H37" i="28"/>
  <c r="H45" i="28" s="1"/>
  <c r="F37" i="28"/>
  <c r="G28" i="28"/>
  <c r="G38" i="28"/>
  <c r="R27" i="28"/>
  <c r="S27" i="28" s="1"/>
  <c r="L27" i="28" s="1"/>
  <c r="O27" i="28" s="1"/>
  <c r="H27" i="28" s="1"/>
  <c r="F27" i="28" s="1"/>
  <c r="AG83" i="31"/>
  <c r="AG77" i="31"/>
  <c r="AG89" i="31"/>
  <c r="AJ77" i="31"/>
  <c r="AJ83" i="31"/>
  <c r="AK71" i="31"/>
  <c r="AK89" i="31"/>
  <c r="AI64" i="31"/>
  <c r="AI70" i="31"/>
  <c r="AI76" i="31"/>
  <c r="AI88" i="31"/>
  <c r="AH71" i="31"/>
  <c r="AG94" i="31"/>
  <c r="AC94" i="31"/>
  <c r="AH72" i="31"/>
  <c r="AJ89" i="31"/>
  <c r="AH89" i="31"/>
  <c r="AQ70" i="31"/>
  <c r="AQ88" i="31"/>
  <c r="AQ76" i="31"/>
  <c r="AQ94" i="31"/>
  <c r="AK77" i="31"/>
  <c r="AJ94" i="31"/>
  <c r="AF83" i="31"/>
  <c r="AJ72" i="31"/>
  <c r="AK83" i="31"/>
  <c r="AH77" i="31"/>
  <c r="AB94" i="31"/>
  <c r="R74" i="28"/>
  <c r="AH95" i="31"/>
  <c r="AH101" i="31"/>
  <c r="AJ101" i="31"/>
  <c r="AG71" i="31"/>
  <c r="AF89" i="31"/>
  <c r="AK72" i="31"/>
  <c r="AF72" i="31"/>
  <c r="AJ71" i="31"/>
  <c r="AH94" i="31"/>
  <c r="AI82" i="31"/>
  <c r="AF71" i="31"/>
  <c r="AI94" i="31"/>
  <c r="AH83" i="31"/>
  <c r="AF77" i="31"/>
  <c r="AG72" i="31"/>
  <c r="AK94" i="31"/>
  <c r="AQ82" i="31"/>
  <c r="AF94" i="31"/>
  <c r="AI65" i="31"/>
  <c r="AQ64" i="31"/>
  <c r="AB101" i="31"/>
  <c r="AQ65" i="31"/>
  <c r="S34" i="35" l="1"/>
  <c r="X34" i="35" s="1"/>
  <c r="AL33" i="35"/>
  <c r="AJ33" i="35"/>
  <c r="AF33" i="35"/>
  <c r="AN33" i="35"/>
  <c r="AH33" i="35"/>
  <c r="CJ85" i="32"/>
  <c r="CW85" i="32" s="1"/>
  <c r="AE34" i="35"/>
  <c r="S35" i="35"/>
  <c r="W34" i="35"/>
  <c r="AA34" i="35"/>
  <c r="AB34" i="35"/>
  <c r="Y34" i="35"/>
  <c r="AD34" i="35"/>
  <c r="AC34" i="35"/>
  <c r="AE33" i="35"/>
  <c r="AC33" i="35"/>
  <c r="Y33" i="35"/>
  <c r="AA33" i="35"/>
  <c r="AD33" i="35"/>
  <c r="Z33" i="35"/>
  <c r="X33" i="35"/>
  <c r="AB33" i="35"/>
  <c r="V33" i="35"/>
  <c r="W33" i="35"/>
  <c r="CH28" i="32"/>
  <c r="CI28" i="32" s="1"/>
  <c r="CS27" i="32"/>
  <c r="S23" i="30"/>
  <c r="L23" i="30" s="1"/>
  <c r="O23" i="30" s="1"/>
  <c r="H23" i="30" s="1"/>
  <c r="G25" i="30"/>
  <c r="G35" i="30"/>
  <c r="R24" i="30"/>
  <c r="S24" i="30" s="1"/>
  <c r="L24" i="30" s="1"/>
  <c r="O24" i="30" s="1"/>
  <c r="H24" i="30" s="1"/>
  <c r="AL86" i="30"/>
  <c r="AM86" i="30" s="1"/>
  <c r="AM70" i="30"/>
  <c r="AM88" i="30" s="1"/>
  <c r="AM54" i="30"/>
  <c r="AM62" i="30" s="1"/>
  <c r="AM73" i="30" s="1"/>
  <c r="AM75" i="30" s="1"/>
  <c r="AM77" i="30" s="1"/>
  <c r="AL39" i="30"/>
  <c r="AW28" i="30"/>
  <c r="AX28" i="30" s="1"/>
  <c r="AQ28" i="30" s="1"/>
  <c r="AT28" i="30" s="1"/>
  <c r="AM28" i="30" s="1"/>
  <c r="AK28" i="30" s="1"/>
  <c r="AK39" i="30" s="1"/>
  <c r="AM38" i="30"/>
  <c r="AM46" i="30" s="1"/>
  <c r="AM37" i="30"/>
  <c r="AM45" i="30" s="1"/>
  <c r="AM87" i="30"/>
  <c r="BG64" i="31"/>
  <c r="BG65" i="31"/>
  <c r="AC95" i="31"/>
  <c r="AC96" i="31" s="1"/>
  <c r="AC97" i="31" s="1"/>
  <c r="AC98" i="31" s="1"/>
  <c r="AC99" i="31" s="1"/>
  <c r="AC100" i="31" s="1"/>
  <c r="BG94" i="31"/>
  <c r="BG76" i="31"/>
  <c r="BG88" i="31"/>
  <c r="AB102" i="31"/>
  <c r="AB103" i="31" s="1"/>
  <c r="AB104" i="31" s="1"/>
  <c r="AB105" i="31" s="1"/>
  <c r="AB106" i="31" s="1"/>
  <c r="AB107" i="31" s="1"/>
  <c r="BG82" i="31"/>
  <c r="BG70" i="31"/>
  <c r="AB95" i="31"/>
  <c r="AB96" i="31" s="1"/>
  <c r="AB97" i="31" s="1"/>
  <c r="AB98" i="31" s="1"/>
  <c r="AB99" i="31" s="1"/>
  <c r="AB100" i="31" s="1"/>
  <c r="J85" i="31"/>
  <c r="R109" i="31"/>
  <c r="R110" i="31" s="1"/>
  <c r="R111" i="31" s="1"/>
  <c r="R112" i="31" s="1"/>
  <c r="R113" i="31" s="1"/>
  <c r="R114" i="31" s="1"/>
  <c r="R115" i="31"/>
  <c r="P108" i="31"/>
  <c r="P102" i="31"/>
  <c r="P103" i="31" s="1"/>
  <c r="P104" i="31" s="1"/>
  <c r="P105" i="31" s="1"/>
  <c r="P106" i="31" s="1"/>
  <c r="P107" i="31" s="1"/>
  <c r="H91" i="31"/>
  <c r="E109" i="31"/>
  <c r="E110" i="31" s="1"/>
  <c r="E111" i="31" s="1"/>
  <c r="E112" i="31" s="1"/>
  <c r="E113" i="31" s="1"/>
  <c r="E114" i="31" s="1"/>
  <c r="E115" i="31"/>
  <c r="Q72" i="31"/>
  <c r="H115" i="31"/>
  <c r="H109" i="31"/>
  <c r="K103" i="31"/>
  <c r="F91" i="31"/>
  <c r="H97" i="31"/>
  <c r="I90" i="31"/>
  <c r="X115" i="31"/>
  <c r="X109" i="31"/>
  <c r="X110" i="31" s="1"/>
  <c r="X111" i="31" s="1"/>
  <c r="X112" i="31" s="1"/>
  <c r="X113" i="31" s="1"/>
  <c r="X114" i="31" s="1"/>
  <c r="K79" i="31"/>
  <c r="K85" i="31"/>
  <c r="T108" i="31"/>
  <c r="T102" i="31"/>
  <c r="T103" i="31" s="1"/>
  <c r="T104" i="31" s="1"/>
  <c r="T105" i="31" s="1"/>
  <c r="T106" i="31" s="1"/>
  <c r="T107" i="31" s="1"/>
  <c r="O115" i="31"/>
  <c r="O109" i="31"/>
  <c r="O110" i="31" s="1"/>
  <c r="O111" i="31" s="1"/>
  <c r="O112" i="31" s="1"/>
  <c r="O113" i="31" s="1"/>
  <c r="O114" i="31" s="1"/>
  <c r="H79" i="31"/>
  <c r="J103" i="31"/>
  <c r="Q96" i="31"/>
  <c r="V109" i="31"/>
  <c r="V110" i="31" s="1"/>
  <c r="V111" i="31" s="1"/>
  <c r="V112" i="31" s="1"/>
  <c r="V113" i="31" s="1"/>
  <c r="V114" i="31" s="1"/>
  <c r="V115" i="31"/>
  <c r="J79" i="31"/>
  <c r="K115" i="31"/>
  <c r="K109" i="31"/>
  <c r="F79" i="31"/>
  <c r="J97" i="31"/>
  <c r="L115" i="31"/>
  <c r="L109" i="31"/>
  <c r="L110" i="31" s="1"/>
  <c r="L111" i="31" s="1"/>
  <c r="L112" i="31" s="1"/>
  <c r="L113" i="31" s="1"/>
  <c r="L114" i="31" s="1"/>
  <c r="U109" i="31"/>
  <c r="U110" i="31" s="1"/>
  <c r="U111" i="31" s="1"/>
  <c r="U112" i="31" s="1"/>
  <c r="U113" i="31" s="1"/>
  <c r="U114" i="31" s="1"/>
  <c r="U115" i="31"/>
  <c r="G115" i="31"/>
  <c r="G109" i="31"/>
  <c r="I102" i="31"/>
  <c r="I108" i="31"/>
  <c r="C115" i="31"/>
  <c r="C109" i="31"/>
  <c r="C110" i="31" s="1"/>
  <c r="C111" i="31" s="1"/>
  <c r="C112" i="31" s="1"/>
  <c r="C113" i="31" s="1"/>
  <c r="C114" i="31" s="1"/>
  <c r="J91" i="31"/>
  <c r="S115" i="31"/>
  <c r="S109" i="31"/>
  <c r="S110" i="31" s="1"/>
  <c r="S111" i="31" s="1"/>
  <c r="S112" i="31" s="1"/>
  <c r="S113" i="31" s="1"/>
  <c r="S114" i="31" s="1"/>
  <c r="H103" i="31"/>
  <c r="K97" i="31"/>
  <c r="I84" i="31"/>
  <c r="F109" i="31"/>
  <c r="F115" i="31"/>
  <c r="F97" i="31"/>
  <c r="I72" i="31"/>
  <c r="M109" i="31"/>
  <c r="M110" i="31" s="1"/>
  <c r="M111" i="31" s="1"/>
  <c r="M112" i="31" s="1"/>
  <c r="M113" i="31" s="1"/>
  <c r="M114" i="31" s="1"/>
  <c r="M115" i="31"/>
  <c r="Q108" i="31"/>
  <c r="Q102" i="31"/>
  <c r="N115" i="31"/>
  <c r="N109" i="31"/>
  <c r="N110" i="31" s="1"/>
  <c r="N111" i="31" s="1"/>
  <c r="N112" i="31" s="1"/>
  <c r="N113" i="31" s="1"/>
  <c r="N114" i="31" s="1"/>
  <c r="B109" i="31"/>
  <c r="B110" i="31" s="1"/>
  <c r="B111" i="31" s="1"/>
  <c r="B112" i="31" s="1"/>
  <c r="B113" i="31" s="1"/>
  <c r="B114" i="31" s="1"/>
  <c r="B115" i="31"/>
  <c r="F103" i="31"/>
  <c r="I78" i="31"/>
  <c r="Q78" i="31"/>
  <c r="G103" i="31"/>
  <c r="J115" i="31"/>
  <c r="J109" i="31"/>
  <c r="F85" i="31"/>
  <c r="H85" i="31"/>
  <c r="G97" i="31"/>
  <c r="Q90" i="31"/>
  <c r="D115" i="31"/>
  <c r="D109" i="31"/>
  <c r="D110" i="31" s="1"/>
  <c r="D111" i="31" s="1"/>
  <c r="D112" i="31" s="1"/>
  <c r="D113" i="31" s="1"/>
  <c r="D114" i="31" s="1"/>
  <c r="G79" i="31"/>
  <c r="K91" i="31"/>
  <c r="A102" i="31"/>
  <c r="A103" i="31" s="1"/>
  <c r="A104" i="31" s="1"/>
  <c r="A105" i="31" s="1"/>
  <c r="A106" i="31" s="1"/>
  <c r="A107" i="31" s="1"/>
  <c r="A108" i="31"/>
  <c r="I96" i="31"/>
  <c r="G91" i="31"/>
  <c r="W115" i="31"/>
  <c r="W109" i="31"/>
  <c r="W110" i="31" s="1"/>
  <c r="W111" i="31" s="1"/>
  <c r="W112" i="31" s="1"/>
  <c r="W113" i="31" s="1"/>
  <c r="W114" i="31" s="1"/>
  <c r="Q84" i="31"/>
  <c r="G85" i="31"/>
  <c r="AS58" i="28"/>
  <c r="AT58" i="28" s="1"/>
  <c r="AS59" i="28" s="1"/>
  <c r="AM60" i="28" s="1"/>
  <c r="AM84" i="28" s="1"/>
  <c r="G86" i="28"/>
  <c r="H86" i="28" s="1"/>
  <c r="R76" i="28"/>
  <c r="S76" i="28" s="1"/>
  <c r="AM85" i="28"/>
  <c r="H55" i="28"/>
  <c r="H63" i="28" s="1"/>
  <c r="AM25" i="28"/>
  <c r="AK25" i="28" s="1"/>
  <c r="AK36" i="28" s="1"/>
  <c r="H85" i="28"/>
  <c r="G87" i="28"/>
  <c r="H87" i="28" s="1"/>
  <c r="J63" i="28"/>
  <c r="AK35" i="28"/>
  <c r="AT26" i="28"/>
  <c r="AM26" i="28" s="1"/>
  <c r="AL38" i="28"/>
  <c r="AW27" i="28"/>
  <c r="AX27" i="28" s="1"/>
  <c r="AQ27" i="28" s="1"/>
  <c r="AL28" i="28"/>
  <c r="G45" i="28"/>
  <c r="G56" i="28" s="1"/>
  <c r="G64" i="28" s="1"/>
  <c r="H56" i="28"/>
  <c r="H64" i="28" s="1"/>
  <c r="H38" i="28"/>
  <c r="H46" i="28" s="1"/>
  <c r="F38" i="28"/>
  <c r="G39" i="28"/>
  <c r="R28" i="28"/>
  <c r="S28" i="28" s="1"/>
  <c r="L28" i="28" s="1"/>
  <c r="O28" i="28" s="1"/>
  <c r="H28" i="28" s="1"/>
  <c r="F28" i="28" s="1"/>
  <c r="AG101" i="31"/>
  <c r="AJ79" i="31"/>
  <c r="AJ84" i="31"/>
  <c r="AQ72" i="31"/>
  <c r="AH78" i="31"/>
  <c r="AK84" i="31"/>
  <c r="AF96" i="31"/>
  <c r="AF84" i="31"/>
  <c r="AJ108" i="31"/>
  <c r="AQ77" i="31"/>
  <c r="AJ95" i="31"/>
  <c r="AF90" i="31"/>
  <c r="AH84" i="31"/>
  <c r="AG95" i="31"/>
  <c r="AK95" i="31"/>
  <c r="AI89" i="31"/>
  <c r="AI101" i="31"/>
  <c r="AK78" i="31"/>
  <c r="AC101" i="31"/>
  <c r="AJ78" i="31"/>
  <c r="AF102" i="31"/>
  <c r="AF78" i="31"/>
  <c r="AI95" i="31"/>
  <c r="AF108" i="31"/>
  <c r="AQ101" i="31"/>
  <c r="AI72" i="31"/>
  <c r="AJ102" i="31"/>
  <c r="AH90" i="31"/>
  <c r="AI71" i="31"/>
  <c r="AQ83" i="31"/>
  <c r="AI77" i="31"/>
  <c r="AH102" i="31"/>
  <c r="AG78" i="31"/>
  <c r="AQ95" i="31"/>
  <c r="AH108" i="31"/>
  <c r="AK101" i="31"/>
  <c r="AJ90" i="31"/>
  <c r="AG84" i="31"/>
  <c r="AH96" i="31"/>
  <c r="AG108" i="31"/>
  <c r="AI83" i="31"/>
  <c r="AG90" i="31"/>
  <c r="AQ71" i="31"/>
  <c r="AG96" i="31"/>
  <c r="AH79" i="31"/>
  <c r="AF79" i="31"/>
  <c r="AF95" i="31"/>
  <c r="AK96" i="31"/>
  <c r="AF101" i="31"/>
  <c r="AK90" i="31"/>
  <c r="AQ89" i="31"/>
  <c r="AJ96" i="31"/>
  <c r="AG79" i="31"/>
  <c r="AK79" i="31"/>
  <c r="AC102" i="31" l="1"/>
  <c r="AC103" i="31" s="1"/>
  <c r="AC104" i="31" s="1"/>
  <c r="AC105" i="31" s="1"/>
  <c r="AC106" i="31" s="1"/>
  <c r="AC107" i="31" s="1"/>
  <c r="V34" i="35"/>
  <c r="AN35" i="35"/>
  <c r="AH35" i="35"/>
  <c r="AL35" i="35"/>
  <c r="AJ35" i="35"/>
  <c r="AF35" i="35"/>
  <c r="AJ34" i="35"/>
  <c r="AF34" i="35"/>
  <c r="AN34" i="35"/>
  <c r="AH34" i="35"/>
  <c r="AL34" i="35"/>
  <c r="Z34" i="35"/>
  <c r="CJ86" i="32"/>
  <c r="CW86" i="32" s="1"/>
  <c r="S36" i="35"/>
  <c r="W35" i="35"/>
  <c r="V35" i="35"/>
  <c r="Y35" i="35"/>
  <c r="X35" i="35"/>
  <c r="AC35" i="35"/>
  <c r="AA35" i="35"/>
  <c r="AB35" i="35"/>
  <c r="AE35" i="35"/>
  <c r="AD35" i="35"/>
  <c r="Z35" i="35"/>
  <c r="CH29" i="32"/>
  <c r="CI29" i="32" s="1"/>
  <c r="CS28" i="32"/>
  <c r="G26" i="30"/>
  <c r="G36" i="30"/>
  <c r="R25" i="30"/>
  <c r="S25" i="30" s="1"/>
  <c r="L25" i="30" s="1"/>
  <c r="O25" i="30" s="1"/>
  <c r="H25" i="30" s="1"/>
  <c r="F24" i="30"/>
  <c r="F35" i="30" s="1"/>
  <c r="F23" i="30"/>
  <c r="F34" i="30" s="1"/>
  <c r="AL104" i="30"/>
  <c r="AL107" i="30"/>
  <c r="AL105" i="30"/>
  <c r="AL101" i="30"/>
  <c r="AL106" i="30"/>
  <c r="AL103" i="30"/>
  <c r="AN104" i="30" s="1"/>
  <c r="AL117" i="30" s="1"/>
  <c r="AL102" i="30"/>
  <c r="AL100" i="30"/>
  <c r="AL113" i="30" s="1"/>
  <c r="AM39" i="30"/>
  <c r="AM47" i="30" s="1"/>
  <c r="AL47" i="30" s="1"/>
  <c r="AL45" i="30"/>
  <c r="AL56" i="30" s="1"/>
  <c r="AL64" i="30" s="1"/>
  <c r="AM56" i="30"/>
  <c r="AM64" i="30" s="1"/>
  <c r="AL46" i="30"/>
  <c r="AL57" i="30" s="1"/>
  <c r="AL65" i="30" s="1"/>
  <c r="AM57" i="30"/>
  <c r="AM65" i="30" s="1"/>
  <c r="AJ76" i="30"/>
  <c r="AM89" i="30"/>
  <c r="AJ79" i="30"/>
  <c r="AM79" i="30" s="1"/>
  <c r="AM90" i="30" s="1"/>
  <c r="BG95" i="31"/>
  <c r="BG101" i="31"/>
  <c r="BG72" i="31"/>
  <c r="BG83" i="31"/>
  <c r="BG71" i="31"/>
  <c r="BG77" i="31"/>
  <c r="BG89" i="31"/>
  <c r="H86" i="31"/>
  <c r="G104" i="31"/>
  <c r="I79" i="31"/>
  <c r="B122" i="31"/>
  <c r="B116" i="31"/>
  <c r="B117" i="31" s="1"/>
  <c r="B118" i="31" s="1"/>
  <c r="B119" i="31" s="1"/>
  <c r="B120" i="31" s="1"/>
  <c r="B121" i="31" s="1"/>
  <c r="F98" i="31"/>
  <c r="C122" i="31"/>
  <c r="C116" i="31"/>
  <c r="C117" i="31" s="1"/>
  <c r="C118" i="31" s="1"/>
  <c r="C119" i="31" s="1"/>
  <c r="C120" i="31" s="1"/>
  <c r="C121" i="31" s="1"/>
  <c r="T115" i="31"/>
  <c r="T109" i="31"/>
  <c r="T110" i="31" s="1"/>
  <c r="T111" i="31" s="1"/>
  <c r="T112" i="31" s="1"/>
  <c r="T113" i="31" s="1"/>
  <c r="T114" i="31" s="1"/>
  <c r="I91" i="31"/>
  <c r="H92" i="31"/>
  <c r="G86" i="31"/>
  <c r="W116" i="31"/>
  <c r="W117" i="31" s="1"/>
  <c r="W118" i="31" s="1"/>
  <c r="W119" i="31" s="1"/>
  <c r="W120" i="31" s="1"/>
  <c r="W121" i="31" s="1"/>
  <c r="W122" i="31"/>
  <c r="K92" i="31"/>
  <c r="J110" i="31"/>
  <c r="Q103" i="31"/>
  <c r="H104" i="31"/>
  <c r="J92" i="31"/>
  <c r="G110" i="31"/>
  <c r="V122" i="31"/>
  <c r="V116" i="31"/>
  <c r="V117" i="31" s="1"/>
  <c r="V118" i="31" s="1"/>
  <c r="V119" i="31" s="1"/>
  <c r="V120" i="31" s="1"/>
  <c r="V121" i="31" s="1"/>
  <c r="E122" i="31"/>
  <c r="E116" i="31"/>
  <c r="E117" i="31" s="1"/>
  <c r="E118" i="31" s="1"/>
  <c r="E119" i="31" s="1"/>
  <c r="E120" i="31" s="1"/>
  <c r="E121" i="31" s="1"/>
  <c r="A115" i="31"/>
  <c r="A109" i="31"/>
  <c r="A110" i="31" s="1"/>
  <c r="A111" i="31" s="1"/>
  <c r="A112" i="31" s="1"/>
  <c r="A113" i="31" s="1"/>
  <c r="A114" i="31" s="1"/>
  <c r="G98" i="31"/>
  <c r="F86" i="31"/>
  <c r="J122" i="31"/>
  <c r="J116" i="31"/>
  <c r="Q79" i="31"/>
  <c r="F104" i="31"/>
  <c r="Q115" i="31"/>
  <c r="Q109" i="31"/>
  <c r="F122" i="31"/>
  <c r="F116" i="31"/>
  <c r="I115" i="31"/>
  <c r="I109" i="31"/>
  <c r="G116" i="31"/>
  <c r="G122" i="31"/>
  <c r="L122" i="31"/>
  <c r="L116" i="31"/>
  <c r="L117" i="31" s="1"/>
  <c r="L118" i="31" s="1"/>
  <c r="L119" i="31" s="1"/>
  <c r="L120" i="31" s="1"/>
  <c r="L121" i="31" s="1"/>
  <c r="J104" i="31"/>
  <c r="O116" i="31"/>
  <c r="O117" i="31" s="1"/>
  <c r="O118" i="31" s="1"/>
  <c r="O119" i="31" s="1"/>
  <c r="O120" i="31" s="1"/>
  <c r="O121" i="31" s="1"/>
  <c r="O122" i="31"/>
  <c r="K86" i="31"/>
  <c r="X116" i="31"/>
  <c r="X117" i="31" s="1"/>
  <c r="X118" i="31" s="1"/>
  <c r="X119" i="31" s="1"/>
  <c r="X120" i="31" s="1"/>
  <c r="X121" i="31" s="1"/>
  <c r="X122" i="31"/>
  <c r="H98" i="31"/>
  <c r="H116" i="31"/>
  <c r="H122" i="31"/>
  <c r="P115" i="31"/>
  <c r="P109" i="31"/>
  <c r="P110" i="31" s="1"/>
  <c r="P111" i="31" s="1"/>
  <c r="P112" i="31" s="1"/>
  <c r="P113" i="31" s="1"/>
  <c r="P114" i="31" s="1"/>
  <c r="J86" i="31"/>
  <c r="J98" i="31"/>
  <c r="K110" i="31"/>
  <c r="Q97" i="31"/>
  <c r="F92" i="31"/>
  <c r="I97" i="31"/>
  <c r="D122" i="31"/>
  <c r="D116" i="31"/>
  <c r="D117" i="31" s="1"/>
  <c r="D118" i="31" s="1"/>
  <c r="D119" i="31" s="1"/>
  <c r="D120" i="31" s="1"/>
  <c r="D121" i="31" s="1"/>
  <c r="I85" i="31"/>
  <c r="K122" i="31"/>
  <c r="K116" i="31"/>
  <c r="H110" i="31"/>
  <c r="Q85" i="31"/>
  <c r="G92" i="31"/>
  <c r="Q91" i="31"/>
  <c r="N122" i="31"/>
  <c r="N116" i="31"/>
  <c r="N117" i="31" s="1"/>
  <c r="N118" i="31" s="1"/>
  <c r="N119" i="31" s="1"/>
  <c r="N120" i="31" s="1"/>
  <c r="N121" i="31" s="1"/>
  <c r="M122" i="31"/>
  <c r="M116" i="31"/>
  <c r="M117" i="31" s="1"/>
  <c r="M118" i="31" s="1"/>
  <c r="M119" i="31" s="1"/>
  <c r="M120" i="31" s="1"/>
  <c r="M121" i="31" s="1"/>
  <c r="F110" i="31"/>
  <c r="K98" i="31"/>
  <c r="S122" i="31"/>
  <c r="S116" i="31"/>
  <c r="S117" i="31" s="1"/>
  <c r="S118" i="31" s="1"/>
  <c r="S119" i="31" s="1"/>
  <c r="S120" i="31" s="1"/>
  <c r="S121" i="31" s="1"/>
  <c r="I103" i="31"/>
  <c r="U122" i="31"/>
  <c r="U116" i="31"/>
  <c r="U117" i="31" s="1"/>
  <c r="U118" i="31" s="1"/>
  <c r="U119" i="31" s="1"/>
  <c r="U120" i="31" s="1"/>
  <c r="U121" i="31" s="1"/>
  <c r="K104" i="31"/>
  <c r="R122" i="31"/>
  <c r="R116" i="31"/>
  <c r="R117" i="31" s="1"/>
  <c r="R118" i="31" s="1"/>
  <c r="R119" i="31" s="1"/>
  <c r="R120" i="31" s="1"/>
  <c r="R121" i="31" s="1"/>
  <c r="G101" i="28"/>
  <c r="G107" i="28"/>
  <c r="G106" i="28"/>
  <c r="G103" i="28"/>
  <c r="G104" i="28"/>
  <c r="G102" i="28"/>
  <c r="G105" i="28"/>
  <c r="G100" i="28"/>
  <c r="G113" i="28" s="1"/>
  <c r="AK26" i="28"/>
  <c r="AK37" i="28" s="1"/>
  <c r="H70" i="28"/>
  <c r="H88" i="28" s="1"/>
  <c r="J64" i="28"/>
  <c r="AM36" i="28"/>
  <c r="AM44" i="28" s="1"/>
  <c r="AL44" i="28" s="1"/>
  <c r="AL55" i="28" s="1"/>
  <c r="AL63" i="28" s="1"/>
  <c r="AL87" i="28" s="1"/>
  <c r="AM87" i="28" s="1"/>
  <c r="AM35" i="28"/>
  <c r="AM43" i="28" s="1"/>
  <c r="AT27" i="28"/>
  <c r="AM27" i="28" s="1"/>
  <c r="AL39" i="28"/>
  <c r="AW28" i="28"/>
  <c r="G46" i="28"/>
  <c r="G57" i="28" s="1"/>
  <c r="G65" i="28" s="1"/>
  <c r="H57" i="28"/>
  <c r="H65" i="28" s="1"/>
  <c r="H39" i="28"/>
  <c r="H47" i="28" s="1"/>
  <c r="G47" i="28" s="1"/>
  <c r="F39" i="28"/>
  <c r="AC115" i="31"/>
  <c r="AG97" i="31"/>
  <c r="AK85" i="31"/>
  <c r="AQ79" i="31"/>
  <c r="AJ97" i="31"/>
  <c r="AQ90" i="31"/>
  <c r="AI78" i="31"/>
  <c r="AF91" i="31"/>
  <c r="AG85" i="31"/>
  <c r="AB108" i="31"/>
  <c r="AK109" i="31"/>
  <c r="AQ96" i="31"/>
  <c r="AJ86" i="31"/>
  <c r="AG115" i="31"/>
  <c r="AK91" i="31"/>
  <c r="AI102" i="31"/>
  <c r="AJ115" i="31"/>
  <c r="AK102" i="31"/>
  <c r="AI79" i="31"/>
  <c r="AH86" i="31"/>
  <c r="AG102" i="31"/>
  <c r="AQ78" i="31"/>
  <c r="AK97" i="31"/>
  <c r="AG103" i="31"/>
  <c r="AJ103" i="31"/>
  <c r="AK108" i="31"/>
  <c r="AH91" i="31"/>
  <c r="AF103" i="31"/>
  <c r="AH97" i="31"/>
  <c r="AG91" i="31"/>
  <c r="AJ91" i="31"/>
  <c r="AH85" i="31"/>
  <c r="AQ108" i="31"/>
  <c r="AF97" i="31"/>
  <c r="AJ85" i="31"/>
  <c r="AH103" i="31"/>
  <c r="AI90" i="31"/>
  <c r="AI108" i="31"/>
  <c r="AH115" i="31"/>
  <c r="AI84" i="31"/>
  <c r="AC108" i="31"/>
  <c r="AK86" i="31"/>
  <c r="AF85" i="31"/>
  <c r="AI96" i="31"/>
  <c r="AQ102" i="31"/>
  <c r="AQ84" i="31"/>
  <c r="AK103" i="31"/>
  <c r="AF86" i="31"/>
  <c r="AG86" i="31"/>
  <c r="AH36" i="35" l="1"/>
  <c r="AL36" i="35"/>
  <c r="AJ36" i="35"/>
  <c r="AF36" i="35"/>
  <c r="AN36" i="35"/>
  <c r="CJ87" i="32"/>
  <c r="S37" i="35"/>
  <c r="AC36" i="35"/>
  <c r="Z36" i="35"/>
  <c r="AE36" i="35"/>
  <c r="X36" i="35"/>
  <c r="Y36" i="35"/>
  <c r="AB36" i="35"/>
  <c r="W36" i="35"/>
  <c r="AA36" i="35"/>
  <c r="AD36" i="35"/>
  <c r="V36" i="35"/>
  <c r="AN105" i="30"/>
  <c r="AN102" i="30"/>
  <c r="AL115" i="30" s="1"/>
  <c r="Q74" i="30"/>
  <c r="CH30" i="32"/>
  <c r="CI30" i="32" s="1"/>
  <c r="CS29" i="32"/>
  <c r="H34" i="30"/>
  <c r="H42" i="30" s="1"/>
  <c r="G42" i="30" s="1"/>
  <c r="G53" i="30" s="1"/>
  <c r="G61" i="30" s="1"/>
  <c r="F25" i="30"/>
  <c r="F36" i="30" s="1"/>
  <c r="H35" i="30"/>
  <c r="H43" i="30" s="1"/>
  <c r="G27" i="30"/>
  <c r="R26" i="30"/>
  <c r="S26" i="30" s="1"/>
  <c r="L26" i="30" s="1"/>
  <c r="O26" i="30" s="1"/>
  <c r="H26" i="30" s="1"/>
  <c r="G37" i="30"/>
  <c r="AN101" i="30"/>
  <c r="AL114" i="30" s="1"/>
  <c r="AN106" i="30"/>
  <c r="AL119" i="30" s="1"/>
  <c r="AN103" i="30"/>
  <c r="AL116" i="30" s="1"/>
  <c r="AN107" i="30"/>
  <c r="AL120" i="30" s="1"/>
  <c r="AM100" i="30"/>
  <c r="AM113" i="30" s="1"/>
  <c r="AM101" i="30"/>
  <c r="AM102" i="30"/>
  <c r="AM115" i="30" s="1"/>
  <c r="AM107" i="30"/>
  <c r="AM106" i="30"/>
  <c r="AM103" i="30"/>
  <c r="AM105" i="30"/>
  <c r="AM118" i="30" s="1"/>
  <c r="AM104" i="30"/>
  <c r="AM117" i="30" s="1"/>
  <c r="AR100" i="30"/>
  <c r="AL118" i="30"/>
  <c r="AC116" i="31"/>
  <c r="AC117" i="31" s="1"/>
  <c r="AC118" i="31" s="1"/>
  <c r="AC119" i="31" s="1"/>
  <c r="AC120" i="31" s="1"/>
  <c r="AC121" i="31" s="1"/>
  <c r="BG78" i="31"/>
  <c r="BG102" i="31"/>
  <c r="BG84" i="31"/>
  <c r="BG96" i="31"/>
  <c r="AC109" i="31"/>
  <c r="AC110" i="31" s="1"/>
  <c r="AC111" i="31" s="1"/>
  <c r="AC112" i="31" s="1"/>
  <c r="AC113" i="31" s="1"/>
  <c r="AC114" i="31" s="1"/>
  <c r="BG90" i="31"/>
  <c r="AB109" i="31"/>
  <c r="AB110" i="31" s="1"/>
  <c r="AB111" i="31" s="1"/>
  <c r="AB112" i="31" s="1"/>
  <c r="AB113" i="31" s="1"/>
  <c r="AB114" i="31" s="1"/>
  <c r="BG79" i="31"/>
  <c r="BG108" i="31"/>
  <c r="F111" i="31"/>
  <c r="I110" i="31"/>
  <c r="F117" i="31"/>
  <c r="Q122" i="31"/>
  <c r="Q116" i="31"/>
  <c r="F99" i="31"/>
  <c r="K129" i="31"/>
  <c r="K123" i="31"/>
  <c r="F93" i="31"/>
  <c r="K111" i="31"/>
  <c r="G129" i="31"/>
  <c r="G123" i="31"/>
  <c r="A122" i="31"/>
  <c r="A116" i="31"/>
  <c r="A117" i="31" s="1"/>
  <c r="A118" i="31" s="1"/>
  <c r="A119" i="31" s="1"/>
  <c r="A120" i="31" s="1"/>
  <c r="A121" i="31" s="1"/>
  <c r="J93" i="31"/>
  <c r="K93" i="31"/>
  <c r="I104" i="31"/>
  <c r="K99" i="31"/>
  <c r="M129" i="31"/>
  <c r="M123" i="31"/>
  <c r="M124" i="31" s="1"/>
  <c r="M125" i="31" s="1"/>
  <c r="M126" i="31" s="1"/>
  <c r="M127" i="31" s="1"/>
  <c r="M128" i="31" s="1"/>
  <c r="G93" i="31"/>
  <c r="H111" i="31"/>
  <c r="H117" i="31"/>
  <c r="X129" i="31"/>
  <c r="X123" i="31"/>
  <c r="X124" i="31" s="1"/>
  <c r="X125" i="31" s="1"/>
  <c r="X126" i="31" s="1"/>
  <c r="X127" i="31" s="1"/>
  <c r="X128" i="31" s="1"/>
  <c r="O129" i="31"/>
  <c r="O123" i="31"/>
  <c r="O124" i="31" s="1"/>
  <c r="O125" i="31" s="1"/>
  <c r="O126" i="31" s="1"/>
  <c r="O127" i="31" s="1"/>
  <c r="O128" i="31" s="1"/>
  <c r="G117" i="31"/>
  <c r="F105" i="31"/>
  <c r="J117" i="31"/>
  <c r="W129" i="31"/>
  <c r="W123" i="31"/>
  <c r="W124" i="31" s="1"/>
  <c r="W125" i="31" s="1"/>
  <c r="W126" i="31" s="1"/>
  <c r="W127" i="31" s="1"/>
  <c r="W128" i="31" s="1"/>
  <c r="C123" i="31"/>
  <c r="C124" i="31" s="1"/>
  <c r="C125" i="31" s="1"/>
  <c r="C126" i="31" s="1"/>
  <c r="C127" i="31" s="1"/>
  <c r="C128" i="31" s="1"/>
  <c r="C129" i="31"/>
  <c r="U129" i="31"/>
  <c r="U123" i="31"/>
  <c r="U124" i="31" s="1"/>
  <c r="U125" i="31" s="1"/>
  <c r="U126" i="31" s="1"/>
  <c r="U127" i="31" s="1"/>
  <c r="U128" i="31" s="1"/>
  <c r="S123" i="31"/>
  <c r="S124" i="31" s="1"/>
  <c r="S125" i="31" s="1"/>
  <c r="S126" i="31" s="1"/>
  <c r="S127" i="31" s="1"/>
  <c r="S128" i="31" s="1"/>
  <c r="S129" i="31"/>
  <c r="N129" i="31"/>
  <c r="N123" i="31"/>
  <c r="N124" i="31" s="1"/>
  <c r="N125" i="31" s="1"/>
  <c r="N126" i="31" s="1"/>
  <c r="N127" i="31" s="1"/>
  <c r="N128" i="31" s="1"/>
  <c r="Q92" i="31"/>
  <c r="Q86" i="31"/>
  <c r="K117" i="31"/>
  <c r="K105" i="31"/>
  <c r="D123" i="31"/>
  <c r="D124" i="31" s="1"/>
  <c r="D125" i="31" s="1"/>
  <c r="D126" i="31" s="1"/>
  <c r="D127" i="31" s="1"/>
  <c r="D128" i="31" s="1"/>
  <c r="D129" i="31"/>
  <c r="H129" i="31"/>
  <c r="H123" i="31"/>
  <c r="H99" i="31"/>
  <c r="J105" i="31"/>
  <c r="I122" i="31"/>
  <c r="I116" i="31"/>
  <c r="F129" i="31"/>
  <c r="F123" i="31"/>
  <c r="V129" i="31"/>
  <c r="V123" i="31"/>
  <c r="V124" i="31" s="1"/>
  <c r="V125" i="31" s="1"/>
  <c r="V126" i="31" s="1"/>
  <c r="V127" i="31" s="1"/>
  <c r="V128" i="31" s="1"/>
  <c r="Q104" i="31"/>
  <c r="I92" i="31"/>
  <c r="R129" i="31"/>
  <c r="R123" i="31"/>
  <c r="R124" i="31" s="1"/>
  <c r="R125" i="31" s="1"/>
  <c r="R126" i="31" s="1"/>
  <c r="R127" i="31" s="1"/>
  <c r="R128" i="31" s="1"/>
  <c r="I86" i="31"/>
  <c r="I98" i="31"/>
  <c r="Q98" i="31"/>
  <c r="J99" i="31"/>
  <c r="P116" i="31"/>
  <c r="P117" i="31" s="1"/>
  <c r="P118" i="31" s="1"/>
  <c r="P119" i="31" s="1"/>
  <c r="P120" i="31" s="1"/>
  <c r="P121" i="31" s="1"/>
  <c r="P122" i="31"/>
  <c r="L129" i="31"/>
  <c r="L123" i="31"/>
  <c r="L124" i="31" s="1"/>
  <c r="L125" i="31" s="1"/>
  <c r="L126" i="31" s="1"/>
  <c r="L127" i="31" s="1"/>
  <c r="L128" i="31" s="1"/>
  <c r="Q110" i="31"/>
  <c r="J129" i="31"/>
  <c r="J123" i="31"/>
  <c r="G99" i="31"/>
  <c r="E129" i="31"/>
  <c r="E123" i="31"/>
  <c r="E124" i="31" s="1"/>
  <c r="E125" i="31" s="1"/>
  <c r="E126" i="31" s="1"/>
  <c r="E127" i="31" s="1"/>
  <c r="E128" i="31" s="1"/>
  <c r="G111" i="31"/>
  <c r="H105" i="31"/>
  <c r="J111" i="31"/>
  <c r="H93" i="31"/>
  <c r="T122" i="31"/>
  <c r="T116" i="31"/>
  <c r="T117" i="31" s="1"/>
  <c r="T118" i="31" s="1"/>
  <c r="T119" i="31" s="1"/>
  <c r="T120" i="31" s="1"/>
  <c r="T121" i="31" s="1"/>
  <c r="B129" i="31"/>
  <c r="B123" i="31"/>
  <c r="B124" i="31" s="1"/>
  <c r="B125" i="31" s="1"/>
  <c r="B126" i="31" s="1"/>
  <c r="B127" i="31" s="1"/>
  <c r="B128" i="31" s="1"/>
  <c r="G105" i="31"/>
  <c r="AX28" i="28"/>
  <c r="AQ28" i="28" s="1"/>
  <c r="AT28" i="28" s="1"/>
  <c r="AM28" i="28" s="1"/>
  <c r="AV74" i="28"/>
  <c r="I106" i="28"/>
  <c r="G119" i="28" s="1"/>
  <c r="I102" i="28"/>
  <c r="G115" i="28" s="1"/>
  <c r="I107" i="28"/>
  <c r="I103" i="28"/>
  <c r="G116" i="28" s="1"/>
  <c r="I104" i="28"/>
  <c r="G117" i="28" s="1"/>
  <c r="I105" i="28"/>
  <c r="G118" i="28" s="1"/>
  <c r="I101" i="28"/>
  <c r="G114" i="28" s="1"/>
  <c r="AM37" i="28"/>
  <c r="AM45" i="28" s="1"/>
  <c r="AM56" i="28" s="1"/>
  <c r="AM64" i="28" s="1"/>
  <c r="AK27" i="28"/>
  <c r="AK38" i="28" s="1"/>
  <c r="H73" i="28"/>
  <c r="H75" i="28" s="1"/>
  <c r="H77" i="28" s="1"/>
  <c r="H89" i="28" s="1"/>
  <c r="J65" i="28"/>
  <c r="AM55" i="28"/>
  <c r="AM63" i="28" s="1"/>
  <c r="AM54" i="28"/>
  <c r="AM62" i="28" s="1"/>
  <c r="AL43" i="28"/>
  <c r="AL54" i="28" s="1"/>
  <c r="AL62" i="28" s="1"/>
  <c r="AI91" i="31"/>
  <c r="AG122" i="31"/>
  <c r="AG109" i="31"/>
  <c r="AG98" i="31"/>
  <c r="AF93" i="31"/>
  <c r="AF104" i="31"/>
  <c r="AH116" i="31"/>
  <c r="AQ115" i="31"/>
  <c r="AJ116" i="31"/>
  <c r="AF115" i="31"/>
  <c r="AI115" i="31"/>
  <c r="AQ103" i="31"/>
  <c r="AH109" i="31"/>
  <c r="AQ109" i="31"/>
  <c r="AJ98" i="31"/>
  <c r="R74" i="30"/>
  <c r="AQ86" i="31"/>
  <c r="AC122" i="31"/>
  <c r="AH93" i="31"/>
  <c r="AG110" i="31"/>
  <c r="AG92" i="31"/>
  <c r="AI97" i="31"/>
  <c r="AJ104" i="31"/>
  <c r="AF98" i="31"/>
  <c r="AJ109" i="31"/>
  <c r="AH98" i="31"/>
  <c r="AF122" i="31"/>
  <c r="AW74" i="28"/>
  <c r="AK98" i="31"/>
  <c r="AJ93" i="31"/>
  <c r="AH122" i="31"/>
  <c r="AF109" i="31"/>
  <c r="AJ110" i="31"/>
  <c r="AF110" i="31"/>
  <c r="AK104" i="31"/>
  <c r="AG104" i="31"/>
  <c r="AB122" i="31"/>
  <c r="AG116" i="31"/>
  <c r="AI109" i="31"/>
  <c r="AQ97" i="31"/>
  <c r="AF92" i="31"/>
  <c r="AI103" i="31"/>
  <c r="AB115" i="31"/>
  <c r="AK110" i="31"/>
  <c r="AJ92" i="31"/>
  <c r="AQ91" i="31"/>
  <c r="AQ85" i="31"/>
  <c r="AK116" i="31"/>
  <c r="AJ122" i="31"/>
  <c r="AH104" i="31"/>
  <c r="AG93" i="31"/>
  <c r="AH92" i="31"/>
  <c r="AK115" i="31"/>
  <c r="AK92" i="31"/>
  <c r="AI86" i="31"/>
  <c r="AH110" i="31"/>
  <c r="AI85" i="31"/>
  <c r="AK93" i="31"/>
  <c r="CJ88" i="32" l="1"/>
  <c r="CW87" i="32"/>
  <c r="AL37" i="35"/>
  <c r="AJ37" i="35"/>
  <c r="AF37" i="35"/>
  <c r="AN37" i="35"/>
  <c r="AH37" i="35"/>
  <c r="AD37" i="35"/>
  <c r="AA37" i="35"/>
  <c r="AC37" i="35"/>
  <c r="AE37" i="35"/>
  <c r="S38" i="35"/>
  <c r="Z37" i="35"/>
  <c r="W37" i="35"/>
  <c r="Y37" i="35"/>
  <c r="V37" i="35"/>
  <c r="AB37" i="35"/>
  <c r="X37" i="35"/>
  <c r="R76" i="30"/>
  <c r="S76" i="30" s="1"/>
  <c r="AM119" i="30"/>
  <c r="CH31" i="32"/>
  <c r="CI31" i="32" s="1"/>
  <c r="CS30" i="32"/>
  <c r="AM120" i="30"/>
  <c r="H53" i="30"/>
  <c r="H61" i="30" s="1"/>
  <c r="AM114" i="30"/>
  <c r="R27" i="30"/>
  <c r="S27" i="30" s="1"/>
  <c r="L27" i="30" s="1"/>
  <c r="O27" i="30" s="1"/>
  <c r="H27" i="30" s="1"/>
  <c r="G28" i="30"/>
  <c r="G38" i="30"/>
  <c r="F26" i="30"/>
  <c r="F37" i="30" s="1"/>
  <c r="H54" i="30"/>
  <c r="H62" i="30" s="1"/>
  <c r="G43" i="30"/>
  <c r="G54" i="30" s="1"/>
  <c r="G62" i="30" s="1"/>
  <c r="J61" i="30"/>
  <c r="G85" i="30"/>
  <c r="H36" i="30"/>
  <c r="H44" i="30" s="1"/>
  <c r="AM116" i="30"/>
  <c r="AL127" i="30"/>
  <c r="AL133" i="30"/>
  <c r="AL128" i="30"/>
  <c r="AL134" i="30"/>
  <c r="AL132" i="30"/>
  <c r="AL131" i="30"/>
  <c r="AL129" i="30"/>
  <c r="AL130" i="30"/>
  <c r="BG97" i="31"/>
  <c r="BG91" i="31"/>
  <c r="AB123" i="31"/>
  <c r="AB124" i="31" s="1"/>
  <c r="AB125" i="31" s="1"/>
  <c r="AB126" i="31" s="1"/>
  <c r="AB127" i="31" s="1"/>
  <c r="AB128" i="31" s="1"/>
  <c r="AB116" i="31"/>
  <c r="AB117" i="31" s="1"/>
  <c r="AB118" i="31" s="1"/>
  <c r="AB119" i="31" s="1"/>
  <c r="AB120" i="31" s="1"/>
  <c r="AB121" i="31" s="1"/>
  <c r="BG85" i="31"/>
  <c r="AC123" i="31"/>
  <c r="AC124" i="31" s="1"/>
  <c r="AC125" i="31" s="1"/>
  <c r="AC126" i="31" s="1"/>
  <c r="AC127" i="31" s="1"/>
  <c r="AC128" i="31" s="1"/>
  <c r="BG109" i="31"/>
  <c r="BG115" i="31"/>
  <c r="BG86" i="31"/>
  <c r="BG103" i="31"/>
  <c r="G106" i="31"/>
  <c r="F136" i="31"/>
  <c r="F130" i="31"/>
  <c r="S136" i="31"/>
  <c r="S130" i="31"/>
  <c r="S131" i="31" s="1"/>
  <c r="S132" i="31" s="1"/>
  <c r="S133" i="31" s="1"/>
  <c r="S134" i="31" s="1"/>
  <c r="S135" i="31" s="1"/>
  <c r="J118" i="31"/>
  <c r="X130" i="31"/>
  <c r="X131" i="31" s="1"/>
  <c r="X132" i="31" s="1"/>
  <c r="X133" i="31" s="1"/>
  <c r="X134" i="31" s="1"/>
  <c r="X135" i="31" s="1"/>
  <c r="X136" i="31"/>
  <c r="M136" i="31"/>
  <c r="M130" i="31"/>
  <c r="M131" i="31" s="1"/>
  <c r="M132" i="31" s="1"/>
  <c r="M133" i="31" s="1"/>
  <c r="M134" i="31" s="1"/>
  <c r="M135" i="31" s="1"/>
  <c r="J112" i="31"/>
  <c r="J100" i="31"/>
  <c r="I99" i="31"/>
  <c r="Q111" i="31"/>
  <c r="P129" i="31"/>
  <c r="P123" i="31"/>
  <c r="P124" i="31" s="1"/>
  <c r="P125" i="31" s="1"/>
  <c r="P126" i="31" s="1"/>
  <c r="P127" i="31" s="1"/>
  <c r="P128" i="31" s="1"/>
  <c r="I117" i="31"/>
  <c r="H130" i="31"/>
  <c r="H136" i="31"/>
  <c r="F106" i="31"/>
  <c r="O130" i="31"/>
  <c r="O131" i="31" s="1"/>
  <c r="O132" i="31" s="1"/>
  <c r="O133" i="31" s="1"/>
  <c r="O134" i="31" s="1"/>
  <c r="O135" i="31" s="1"/>
  <c r="O136" i="31"/>
  <c r="H118" i="31"/>
  <c r="K100" i="31"/>
  <c r="G136" i="31"/>
  <c r="G130" i="31"/>
  <c r="Q129" i="31"/>
  <c r="Q123" i="31"/>
  <c r="I111" i="31"/>
  <c r="J136" i="31"/>
  <c r="J130" i="31"/>
  <c r="W136" i="31"/>
  <c r="W130" i="31"/>
  <c r="W131" i="31" s="1"/>
  <c r="W132" i="31" s="1"/>
  <c r="W133" i="31" s="1"/>
  <c r="W134" i="31" s="1"/>
  <c r="W135" i="31" s="1"/>
  <c r="G118" i="31"/>
  <c r="H112" i="31"/>
  <c r="I105" i="31"/>
  <c r="K112" i="31"/>
  <c r="K124" i="31"/>
  <c r="F118" i="31"/>
  <c r="F112" i="31"/>
  <c r="T129" i="31"/>
  <c r="T123" i="31"/>
  <c r="T124" i="31" s="1"/>
  <c r="T125" i="31" s="1"/>
  <c r="T126" i="31" s="1"/>
  <c r="T127" i="31" s="1"/>
  <c r="T128" i="31" s="1"/>
  <c r="G112" i="31"/>
  <c r="G100" i="31"/>
  <c r="L136" i="31"/>
  <c r="L130" i="31"/>
  <c r="L131" i="31" s="1"/>
  <c r="L132" i="31" s="1"/>
  <c r="L133" i="31" s="1"/>
  <c r="L134" i="31" s="1"/>
  <c r="L135" i="31" s="1"/>
  <c r="I93" i="31"/>
  <c r="V136" i="31"/>
  <c r="V130" i="31"/>
  <c r="V131" i="31" s="1"/>
  <c r="V132" i="31" s="1"/>
  <c r="V133" i="31" s="1"/>
  <c r="V134" i="31" s="1"/>
  <c r="V135" i="31" s="1"/>
  <c r="J106" i="31"/>
  <c r="H124" i="31"/>
  <c r="K118" i="31"/>
  <c r="Q93" i="31"/>
  <c r="C136" i="31"/>
  <c r="C130" i="31"/>
  <c r="C131" i="31" s="1"/>
  <c r="C132" i="31" s="1"/>
  <c r="C133" i="31" s="1"/>
  <c r="C134" i="31" s="1"/>
  <c r="C135" i="31" s="1"/>
  <c r="G124" i="31"/>
  <c r="K136" i="31"/>
  <c r="K130" i="31"/>
  <c r="Q117" i="31"/>
  <c r="B136" i="31"/>
  <c r="B130" i="31"/>
  <c r="B131" i="31" s="1"/>
  <c r="B132" i="31" s="1"/>
  <c r="B133" i="31" s="1"/>
  <c r="B134" i="31" s="1"/>
  <c r="B135" i="31" s="1"/>
  <c r="H106" i="31"/>
  <c r="E136" i="31"/>
  <c r="E130" i="31"/>
  <c r="E131" i="31" s="1"/>
  <c r="E132" i="31" s="1"/>
  <c r="E133" i="31" s="1"/>
  <c r="E134" i="31" s="1"/>
  <c r="E135" i="31" s="1"/>
  <c r="J124" i="31"/>
  <c r="Q99" i="31"/>
  <c r="R136" i="31"/>
  <c r="R130" i="31"/>
  <c r="R131" i="31" s="1"/>
  <c r="R132" i="31" s="1"/>
  <c r="R133" i="31" s="1"/>
  <c r="R134" i="31" s="1"/>
  <c r="R135" i="31" s="1"/>
  <c r="Q105" i="31"/>
  <c r="F124" i="31"/>
  <c r="I129" i="31"/>
  <c r="I123" i="31"/>
  <c r="H100" i="31"/>
  <c r="D136" i="31"/>
  <c r="D130" i="31"/>
  <c r="D131" i="31" s="1"/>
  <c r="D132" i="31" s="1"/>
  <c r="D133" i="31" s="1"/>
  <c r="D134" i="31" s="1"/>
  <c r="D135" i="31" s="1"/>
  <c r="K106" i="31"/>
  <c r="N136" i="31"/>
  <c r="N130" i="31"/>
  <c r="N131" i="31" s="1"/>
  <c r="N132" i="31" s="1"/>
  <c r="N133" i="31" s="1"/>
  <c r="N134" i="31" s="1"/>
  <c r="N135" i="31" s="1"/>
  <c r="U136" i="31"/>
  <c r="U130" i="31"/>
  <c r="U131" i="31" s="1"/>
  <c r="U132" i="31" s="1"/>
  <c r="U133" i="31" s="1"/>
  <c r="U134" i="31" s="1"/>
  <c r="U135" i="31" s="1"/>
  <c r="A129" i="31"/>
  <c r="A123" i="31"/>
  <c r="A124" i="31" s="1"/>
  <c r="A125" i="31" s="1"/>
  <c r="A126" i="31" s="1"/>
  <c r="A127" i="31" s="1"/>
  <c r="A128" i="31" s="1"/>
  <c r="F100" i="31"/>
  <c r="AW76" i="28"/>
  <c r="AX76" i="28" s="1"/>
  <c r="G120" i="28"/>
  <c r="G134" i="28" s="1"/>
  <c r="AL45" i="28"/>
  <c r="AL56" i="28" s="1"/>
  <c r="AL64" i="28" s="1"/>
  <c r="AM38" i="28"/>
  <c r="AM46" i="28" s="1"/>
  <c r="AM57" i="28" s="1"/>
  <c r="AM65" i="28" s="1"/>
  <c r="AK28" i="28"/>
  <c r="AK39" i="28" s="1"/>
  <c r="AL86" i="28"/>
  <c r="E76" i="28"/>
  <c r="D58" i="2"/>
  <c r="AQ92" i="31"/>
  <c r="AF99" i="31"/>
  <c r="AH111" i="31"/>
  <c r="AG123" i="31"/>
  <c r="AG105" i="31"/>
  <c r="AK122" i="31"/>
  <c r="AK100" i="31"/>
  <c r="AF111" i="31"/>
  <c r="AQ116" i="31"/>
  <c r="AJ99" i="31"/>
  <c r="AJ117" i="31"/>
  <c r="AI104" i="31"/>
  <c r="AF117" i="31"/>
  <c r="AG100" i="31"/>
  <c r="AK99" i="31"/>
  <c r="AK123" i="31"/>
  <c r="AQ104" i="31"/>
  <c r="AI116" i="31"/>
  <c r="AH117" i="31"/>
  <c r="AK117" i="31"/>
  <c r="AI110" i="31"/>
  <c r="AH123" i="31"/>
  <c r="AJ100" i="31"/>
  <c r="AK105" i="31"/>
  <c r="AG117" i="31"/>
  <c r="AF105" i="31"/>
  <c r="AK111" i="31"/>
  <c r="AQ110" i="31"/>
  <c r="AF116" i="31"/>
  <c r="AH99" i="31"/>
  <c r="AI98" i="31"/>
  <c r="AI92" i="31"/>
  <c r="AQ98" i="31"/>
  <c r="AG111" i="31"/>
  <c r="AQ122" i="31"/>
  <c r="AH105" i="31"/>
  <c r="AC129" i="31"/>
  <c r="AH100" i="31"/>
  <c r="AI122" i="31"/>
  <c r="AQ93" i="31"/>
  <c r="AJ105" i="31"/>
  <c r="AG99" i="31"/>
  <c r="AJ111" i="31"/>
  <c r="AI93" i="31"/>
  <c r="AF100" i="31"/>
  <c r="CJ89" i="32" l="1"/>
  <c r="CW88" i="32"/>
  <c r="AJ38" i="35"/>
  <c r="AF38" i="35"/>
  <c r="AN38" i="35"/>
  <c r="AH38" i="35"/>
  <c r="AL38" i="35"/>
  <c r="AB38" i="35"/>
  <c r="AC38" i="35"/>
  <c r="X38" i="35"/>
  <c r="AD38" i="35"/>
  <c r="AE38" i="35"/>
  <c r="Y38" i="35"/>
  <c r="V38" i="35"/>
  <c r="AA38" i="35"/>
  <c r="W38" i="35"/>
  <c r="Z38" i="35"/>
  <c r="S39" i="35"/>
  <c r="CS31" i="32"/>
  <c r="CH32" i="32"/>
  <c r="CI32" i="32" s="1"/>
  <c r="AM132" i="30"/>
  <c r="AO132" i="30" s="1"/>
  <c r="AU132" i="30" s="1"/>
  <c r="AW132" i="30" s="1"/>
  <c r="AY132" i="30" s="1"/>
  <c r="AM144" i="30" s="1"/>
  <c r="O32" i="29" s="1"/>
  <c r="AM129" i="30"/>
  <c r="AO129" i="30" s="1"/>
  <c r="AU129" i="30" s="1"/>
  <c r="AW129" i="30" s="1"/>
  <c r="AY129" i="30" s="1"/>
  <c r="AM141" i="30" s="1"/>
  <c r="O29" i="29" s="1"/>
  <c r="AM134" i="30"/>
  <c r="AO134" i="30" s="1"/>
  <c r="AU134" i="30" s="1"/>
  <c r="AW134" i="30" s="1"/>
  <c r="AY134" i="30" s="1"/>
  <c r="BA134" i="30" s="1"/>
  <c r="AM130" i="30"/>
  <c r="AO130" i="30" s="1"/>
  <c r="AU130" i="30" s="1"/>
  <c r="AW130" i="30" s="1"/>
  <c r="AY130" i="30" s="1"/>
  <c r="AM142" i="30" s="1"/>
  <c r="O30" i="29" s="1"/>
  <c r="G86" i="30"/>
  <c r="H86" i="30" s="1"/>
  <c r="J62" i="30"/>
  <c r="H55" i="30"/>
  <c r="H63" i="30" s="1"/>
  <c r="G44" i="30"/>
  <c r="G55" i="30" s="1"/>
  <c r="G63" i="30" s="1"/>
  <c r="H70" i="30" s="1"/>
  <c r="H88" i="30" s="1"/>
  <c r="G39" i="30"/>
  <c r="R28" i="30"/>
  <c r="S28" i="30" s="1"/>
  <c r="L28" i="30" s="1"/>
  <c r="O28" i="30" s="1"/>
  <c r="H28" i="30" s="1"/>
  <c r="H85" i="30"/>
  <c r="H37" i="30"/>
  <c r="H45" i="30" s="1"/>
  <c r="F27" i="30"/>
  <c r="F38" i="30" s="1"/>
  <c r="AM133" i="30"/>
  <c r="AO133" i="30" s="1"/>
  <c r="AU133" i="30" s="1"/>
  <c r="AW133" i="30" s="1"/>
  <c r="AY133" i="30" s="1"/>
  <c r="AM145" i="30" s="1"/>
  <c r="O33" i="29" s="1"/>
  <c r="AM127" i="30"/>
  <c r="AO127" i="30" s="1"/>
  <c r="AU127" i="30" s="1"/>
  <c r="AM131" i="30"/>
  <c r="AO131" i="30" s="1"/>
  <c r="AU131" i="30" s="1"/>
  <c r="AW131" i="30" s="1"/>
  <c r="AY131" i="30" s="1"/>
  <c r="AM143" i="30" s="1"/>
  <c r="O31" i="29" s="1"/>
  <c r="AM128" i="30"/>
  <c r="AO128" i="30" s="1"/>
  <c r="AU128" i="30" s="1"/>
  <c r="AW128" i="30" s="1"/>
  <c r="AY128" i="30" s="1"/>
  <c r="BA128" i="30" s="1"/>
  <c r="BD23" i="35"/>
  <c r="BE22" i="35" s="1"/>
  <c r="AC130" i="31"/>
  <c r="AC131" i="31" s="1"/>
  <c r="AC132" i="31" s="1"/>
  <c r="AC133" i="31" s="1"/>
  <c r="AC134" i="31" s="1"/>
  <c r="AC135" i="31" s="1"/>
  <c r="BG93" i="31"/>
  <c r="BG110" i="31"/>
  <c r="BG104" i="31"/>
  <c r="BG98" i="31"/>
  <c r="BG116" i="31"/>
  <c r="BG122" i="31"/>
  <c r="BG92" i="31"/>
  <c r="D143" i="31"/>
  <c r="D137" i="31"/>
  <c r="D138" i="31" s="1"/>
  <c r="D139" i="31" s="1"/>
  <c r="D140" i="31" s="1"/>
  <c r="D141" i="31" s="1"/>
  <c r="D142" i="31" s="1"/>
  <c r="K119" i="31"/>
  <c r="T136" i="31"/>
  <c r="T130" i="31"/>
  <c r="T131" i="31" s="1"/>
  <c r="T132" i="31" s="1"/>
  <c r="T133" i="31" s="1"/>
  <c r="T134" i="31" s="1"/>
  <c r="T135" i="31" s="1"/>
  <c r="K113" i="31"/>
  <c r="Q136" i="31"/>
  <c r="Q130" i="31"/>
  <c r="O143" i="31"/>
  <c r="O137" i="31"/>
  <c r="O138" i="31" s="1"/>
  <c r="O139" i="31" s="1"/>
  <c r="O140" i="31" s="1"/>
  <c r="O141" i="31" s="1"/>
  <c r="O142" i="31" s="1"/>
  <c r="I118" i="31"/>
  <c r="Q112" i="31"/>
  <c r="M143" i="31"/>
  <c r="M137" i="31"/>
  <c r="M138" i="31" s="1"/>
  <c r="M139" i="31" s="1"/>
  <c r="M140" i="31" s="1"/>
  <c r="M141" i="31" s="1"/>
  <c r="M142" i="31" s="1"/>
  <c r="F131" i="31"/>
  <c r="G125" i="31"/>
  <c r="H143" i="31"/>
  <c r="H137" i="31"/>
  <c r="F143" i="31"/>
  <c r="F137" i="31"/>
  <c r="U143" i="31"/>
  <c r="U137" i="31"/>
  <c r="U138" i="31" s="1"/>
  <c r="U139" i="31" s="1"/>
  <c r="U140" i="31" s="1"/>
  <c r="U141" i="31" s="1"/>
  <c r="U142" i="31" s="1"/>
  <c r="K107" i="31"/>
  <c r="B143" i="31"/>
  <c r="B137" i="31"/>
  <c r="B138" i="31" s="1"/>
  <c r="B139" i="31" s="1"/>
  <c r="B140" i="31" s="1"/>
  <c r="B141" i="31" s="1"/>
  <c r="B142" i="31" s="1"/>
  <c r="K131" i="31"/>
  <c r="H125" i="31"/>
  <c r="V143" i="31"/>
  <c r="V137" i="31"/>
  <c r="V138" i="31" s="1"/>
  <c r="V139" i="31" s="1"/>
  <c r="V140" i="31" s="1"/>
  <c r="V141" i="31" s="1"/>
  <c r="V142" i="31" s="1"/>
  <c r="L137" i="31"/>
  <c r="L138" i="31" s="1"/>
  <c r="L139" i="31" s="1"/>
  <c r="L140" i="31" s="1"/>
  <c r="L141" i="31" s="1"/>
  <c r="L142" i="31" s="1"/>
  <c r="L143" i="31"/>
  <c r="G113" i="31"/>
  <c r="F113" i="31"/>
  <c r="K125" i="31"/>
  <c r="I106" i="31"/>
  <c r="G119" i="31"/>
  <c r="J131" i="31"/>
  <c r="G131" i="31"/>
  <c r="H131" i="31"/>
  <c r="P130" i="31"/>
  <c r="P131" i="31" s="1"/>
  <c r="P132" i="31" s="1"/>
  <c r="P133" i="31" s="1"/>
  <c r="P134" i="31" s="1"/>
  <c r="P135" i="31" s="1"/>
  <c r="P136" i="31"/>
  <c r="I100" i="31"/>
  <c r="J113" i="31"/>
  <c r="S143" i="31"/>
  <c r="S137" i="31"/>
  <c r="S138" i="31" s="1"/>
  <c r="S139" i="31" s="1"/>
  <c r="S140" i="31" s="1"/>
  <c r="S141" i="31" s="1"/>
  <c r="S142" i="31" s="1"/>
  <c r="A136" i="31"/>
  <c r="A130" i="31"/>
  <c r="A131" i="31" s="1"/>
  <c r="A132" i="31" s="1"/>
  <c r="A133" i="31" s="1"/>
  <c r="A134" i="31" s="1"/>
  <c r="A135" i="31" s="1"/>
  <c r="N143" i="31"/>
  <c r="N137" i="31"/>
  <c r="N138" i="31" s="1"/>
  <c r="N139" i="31" s="1"/>
  <c r="N140" i="31" s="1"/>
  <c r="N141" i="31" s="1"/>
  <c r="N142" i="31" s="1"/>
  <c r="I124" i="31"/>
  <c r="Q118" i="31"/>
  <c r="C137" i="31"/>
  <c r="C138" i="31" s="1"/>
  <c r="C139" i="31" s="1"/>
  <c r="C140" i="31" s="1"/>
  <c r="C141" i="31" s="1"/>
  <c r="C142" i="31" s="1"/>
  <c r="C143" i="31"/>
  <c r="J107" i="31"/>
  <c r="F119" i="31"/>
  <c r="H113" i="31"/>
  <c r="W143" i="31"/>
  <c r="W137" i="31"/>
  <c r="W138" i="31" s="1"/>
  <c r="W139" i="31" s="1"/>
  <c r="W140" i="31" s="1"/>
  <c r="W141" i="31" s="1"/>
  <c r="W142" i="31" s="1"/>
  <c r="J119" i="31"/>
  <c r="I136" i="31"/>
  <c r="I130" i="31"/>
  <c r="Q106" i="31"/>
  <c r="Q100" i="31"/>
  <c r="E143" i="31"/>
  <c r="E137" i="31"/>
  <c r="E138" i="31" s="1"/>
  <c r="E139" i="31" s="1"/>
  <c r="E140" i="31" s="1"/>
  <c r="E141" i="31" s="1"/>
  <c r="E142" i="31" s="1"/>
  <c r="I112" i="31"/>
  <c r="X143" i="31"/>
  <c r="X137" i="31"/>
  <c r="X138" i="31" s="1"/>
  <c r="X139" i="31" s="1"/>
  <c r="X140" i="31" s="1"/>
  <c r="X141" i="31" s="1"/>
  <c r="X142" i="31" s="1"/>
  <c r="F125" i="31"/>
  <c r="R143" i="31"/>
  <c r="R137" i="31"/>
  <c r="R138" i="31" s="1"/>
  <c r="R139" i="31" s="1"/>
  <c r="R140" i="31" s="1"/>
  <c r="R141" i="31" s="1"/>
  <c r="R142" i="31" s="1"/>
  <c r="J125" i="31"/>
  <c r="H107" i="31"/>
  <c r="K143" i="31"/>
  <c r="K137" i="31"/>
  <c r="J143" i="31"/>
  <c r="J137" i="31"/>
  <c r="Q124" i="31"/>
  <c r="G143" i="31"/>
  <c r="G137" i="31"/>
  <c r="H119" i="31"/>
  <c r="F107" i="31"/>
  <c r="G107" i="31"/>
  <c r="G131" i="28"/>
  <c r="G132" i="28"/>
  <c r="G130" i="28"/>
  <c r="G129" i="28"/>
  <c r="G128" i="28"/>
  <c r="G133" i="28"/>
  <c r="G127" i="28"/>
  <c r="AL46" i="28"/>
  <c r="AL57" i="28" s="1"/>
  <c r="AL65" i="28" s="1"/>
  <c r="AM73" i="28" s="1"/>
  <c r="AM39" i="28"/>
  <c r="AM47" i="28" s="1"/>
  <c r="AL47" i="28" s="1"/>
  <c r="AM86" i="28"/>
  <c r="AL104" i="28"/>
  <c r="AL100" i="28"/>
  <c r="AL113" i="28" s="1"/>
  <c r="AL102" i="28"/>
  <c r="AL105" i="28"/>
  <c r="AL107" i="28"/>
  <c r="AL106" i="28"/>
  <c r="AL103" i="28"/>
  <c r="AL101" i="28"/>
  <c r="GC87" i="18"/>
  <c r="GC86" i="18"/>
  <c r="GC85" i="18"/>
  <c r="HO33" i="18"/>
  <c r="HO32" i="18"/>
  <c r="HO31" i="18"/>
  <c r="AJ118" i="31"/>
  <c r="AJ129" i="31"/>
  <c r="AK112" i="31"/>
  <c r="AJ123" i="31"/>
  <c r="AI129" i="31"/>
  <c r="AQ117" i="31"/>
  <c r="AG118" i="31"/>
  <c r="AK124" i="31"/>
  <c r="AJ106" i="31"/>
  <c r="AH129" i="31"/>
  <c r="AQ105" i="31"/>
  <c r="AH124" i="31"/>
  <c r="AI111" i="31"/>
  <c r="AK118" i="31"/>
  <c r="AI123" i="31"/>
  <c r="AQ100" i="31"/>
  <c r="AF129" i="31"/>
  <c r="AH107" i="31"/>
  <c r="AG129" i="31"/>
  <c r="AF124" i="31"/>
  <c r="AF123" i="31"/>
  <c r="AF118" i="31"/>
  <c r="AK129" i="31"/>
  <c r="AB129" i="31"/>
  <c r="AG107" i="31"/>
  <c r="AG112" i="31"/>
  <c r="AF106" i="31"/>
  <c r="AK106" i="31"/>
  <c r="AH118" i="31"/>
  <c r="AC136" i="31"/>
  <c r="AJ136" i="31"/>
  <c r="AQ99" i="31"/>
  <c r="AH112" i="31"/>
  <c r="AK107" i="31"/>
  <c r="AF112" i="31"/>
  <c r="AJ124" i="31"/>
  <c r="AJ112" i="31"/>
  <c r="AG106" i="31"/>
  <c r="AI117" i="31"/>
  <c r="AI105" i="31"/>
  <c r="AG124" i="31"/>
  <c r="AI99" i="31"/>
  <c r="AQ123" i="31"/>
  <c r="AQ111" i="31"/>
  <c r="AH106" i="31"/>
  <c r="AJ107" i="31"/>
  <c r="AQ129" i="31"/>
  <c r="AF107" i="31"/>
  <c r="AI100" i="31"/>
  <c r="AG136" i="31"/>
  <c r="CJ90" i="32" l="1"/>
  <c r="CW89" i="32"/>
  <c r="AN39" i="35"/>
  <c r="AH39" i="35"/>
  <c r="AL39" i="35"/>
  <c r="AF39" i="35"/>
  <c r="AJ39" i="35"/>
  <c r="AD39" i="35"/>
  <c r="Y39" i="35"/>
  <c r="X39" i="35"/>
  <c r="Z39" i="35"/>
  <c r="AC39" i="35"/>
  <c r="AB39" i="35"/>
  <c r="W39" i="35"/>
  <c r="AE39" i="35"/>
  <c r="S40" i="35"/>
  <c r="V39" i="35"/>
  <c r="AA39" i="35"/>
  <c r="AM70" i="28"/>
  <c r="AM88" i="28" s="1"/>
  <c r="CH33" i="32"/>
  <c r="CI33" i="32" s="1"/>
  <c r="CS32" i="32"/>
  <c r="AL145" i="30"/>
  <c r="N33" i="29" s="1"/>
  <c r="AL141" i="30"/>
  <c r="N29" i="29" s="1"/>
  <c r="AL144" i="30"/>
  <c r="N32" i="29" s="1"/>
  <c r="BA132" i="30"/>
  <c r="AM146" i="30"/>
  <c r="AL146" i="30"/>
  <c r="AL139" i="30"/>
  <c r="N27" i="29" s="1"/>
  <c r="BA133" i="30"/>
  <c r="BA129" i="30"/>
  <c r="AL142" i="30"/>
  <c r="N30" i="29" s="1"/>
  <c r="BA130" i="30"/>
  <c r="H38" i="30"/>
  <c r="H46" i="30" s="1"/>
  <c r="H57" i="30" s="1"/>
  <c r="H65" i="30" s="1"/>
  <c r="BA131" i="30"/>
  <c r="F28" i="30"/>
  <c r="F39" i="30" s="1"/>
  <c r="G45" i="30"/>
  <c r="G56" i="30" s="1"/>
  <c r="G64" i="30" s="1"/>
  <c r="H56" i="30"/>
  <c r="H64" i="30" s="1"/>
  <c r="J63" i="30"/>
  <c r="G87" i="30"/>
  <c r="AL143" i="30"/>
  <c r="N31" i="29" s="1"/>
  <c r="AL140" i="30"/>
  <c r="AO140" i="30"/>
  <c r="AM140" i="30" s="1"/>
  <c r="O28" i="29" s="1"/>
  <c r="AY127" i="30"/>
  <c r="AM139" i="30" s="1"/>
  <c r="O27" i="29" s="1"/>
  <c r="AW127" i="30"/>
  <c r="AB130" i="31"/>
  <c r="AB131" i="31" s="1"/>
  <c r="AB132" i="31" s="1"/>
  <c r="AB133" i="31" s="1"/>
  <c r="AB134" i="31" s="1"/>
  <c r="AB135" i="31" s="1"/>
  <c r="BG129" i="31"/>
  <c r="BG100" i="31"/>
  <c r="BG111" i="31"/>
  <c r="AC137" i="31"/>
  <c r="AC138" i="31" s="1"/>
  <c r="AC139" i="31" s="1"/>
  <c r="AC140" i="31" s="1"/>
  <c r="AC141" i="31" s="1"/>
  <c r="AC142" i="31" s="1"/>
  <c r="BG99" i="31"/>
  <c r="BG105" i="31"/>
  <c r="BG123" i="31"/>
  <c r="BG117" i="31"/>
  <c r="K138" i="31"/>
  <c r="W144" i="31"/>
  <c r="W145" i="31" s="1"/>
  <c r="W146" i="31" s="1"/>
  <c r="W147" i="31" s="1"/>
  <c r="W148" i="31" s="1"/>
  <c r="W149" i="31" s="1"/>
  <c r="W150" i="31"/>
  <c r="N150" i="31"/>
  <c r="N144" i="31"/>
  <c r="N145" i="31" s="1"/>
  <c r="N146" i="31" s="1"/>
  <c r="N147" i="31" s="1"/>
  <c r="N148" i="31" s="1"/>
  <c r="N149" i="31" s="1"/>
  <c r="S150" i="31"/>
  <c r="S144" i="31"/>
  <c r="S145" i="31" s="1"/>
  <c r="S146" i="31" s="1"/>
  <c r="S147" i="31" s="1"/>
  <c r="S148" i="31" s="1"/>
  <c r="S149" i="31" s="1"/>
  <c r="H126" i="31"/>
  <c r="I119" i="31"/>
  <c r="J138" i="31"/>
  <c r="J126" i="31"/>
  <c r="F126" i="31"/>
  <c r="E150" i="31"/>
  <c r="E144" i="31"/>
  <c r="E145" i="31" s="1"/>
  <c r="E146" i="31" s="1"/>
  <c r="E147" i="31" s="1"/>
  <c r="E148" i="31" s="1"/>
  <c r="E149" i="31" s="1"/>
  <c r="F138" i="31"/>
  <c r="H120" i="31"/>
  <c r="J150" i="31"/>
  <c r="J144" i="31"/>
  <c r="I113" i="31"/>
  <c r="J120" i="31"/>
  <c r="H114" i="31"/>
  <c r="I125" i="31"/>
  <c r="A143" i="31"/>
  <c r="A137" i="31"/>
  <c r="A138" i="31" s="1"/>
  <c r="A139" i="31" s="1"/>
  <c r="A140" i="31" s="1"/>
  <c r="A141" i="31" s="1"/>
  <c r="A142" i="31" s="1"/>
  <c r="J114" i="31"/>
  <c r="G132" i="31"/>
  <c r="G120" i="31"/>
  <c r="K126" i="31"/>
  <c r="G114" i="31"/>
  <c r="V150" i="31"/>
  <c r="V144" i="31"/>
  <c r="V145" i="31" s="1"/>
  <c r="V146" i="31" s="1"/>
  <c r="V147" i="31" s="1"/>
  <c r="V148" i="31" s="1"/>
  <c r="V149" i="31" s="1"/>
  <c r="K132" i="31"/>
  <c r="F150" i="31"/>
  <c r="F144" i="31"/>
  <c r="F132" i="31"/>
  <c r="Q113" i="31"/>
  <c r="Q143" i="31"/>
  <c r="Q137" i="31"/>
  <c r="T137" i="31"/>
  <c r="T138" i="31" s="1"/>
  <c r="T139" i="31" s="1"/>
  <c r="T140" i="31" s="1"/>
  <c r="T141" i="31" s="1"/>
  <c r="T142" i="31" s="1"/>
  <c r="T143" i="31"/>
  <c r="D150" i="31"/>
  <c r="D144" i="31"/>
  <c r="D145" i="31" s="1"/>
  <c r="D146" i="31" s="1"/>
  <c r="D147" i="31" s="1"/>
  <c r="D148" i="31" s="1"/>
  <c r="D149" i="31" s="1"/>
  <c r="G138" i="31"/>
  <c r="I143" i="31"/>
  <c r="I137" i="31"/>
  <c r="F120" i="31"/>
  <c r="C150" i="31"/>
  <c r="C144" i="31"/>
  <c r="C145" i="31" s="1"/>
  <c r="C146" i="31" s="1"/>
  <c r="C147" i="31" s="1"/>
  <c r="C148" i="31" s="1"/>
  <c r="C149" i="31" s="1"/>
  <c r="H132" i="31"/>
  <c r="J132" i="31"/>
  <c r="I107" i="31"/>
  <c r="F114" i="31"/>
  <c r="H138" i="31"/>
  <c r="G126" i="31"/>
  <c r="M150" i="31"/>
  <c r="M144" i="31"/>
  <c r="M145" i="31" s="1"/>
  <c r="M146" i="31" s="1"/>
  <c r="M147" i="31" s="1"/>
  <c r="M148" i="31" s="1"/>
  <c r="M149" i="31" s="1"/>
  <c r="K114" i="31"/>
  <c r="K120" i="31"/>
  <c r="G144" i="31"/>
  <c r="G150" i="31"/>
  <c r="K150" i="31"/>
  <c r="K144" i="31"/>
  <c r="Q107" i="31"/>
  <c r="P143" i="31"/>
  <c r="P137" i="31"/>
  <c r="P138" i="31" s="1"/>
  <c r="P139" i="31" s="1"/>
  <c r="P140" i="31" s="1"/>
  <c r="P141" i="31" s="1"/>
  <c r="P142" i="31" s="1"/>
  <c r="B150" i="31"/>
  <c r="B144" i="31"/>
  <c r="B145" i="31" s="1"/>
  <c r="B146" i="31" s="1"/>
  <c r="B147" i="31" s="1"/>
  <c r="B148" i="31" s="1"/>
  <c r="B149" i="31" s="1"/>
  <c r="H150" i="31"/>
  <c r="H144" i="31"/>
  <c r="Q131" i="31"/>
  <c r="Q125" i="31"/>
  <c r="R150" i="31"/>
  <c r="R144" i="31"/>
  <c r="R145" i="31" s="1"/>
  <c r="R146" i="31" s="1"/>
  <c r="R147" i="31" s="1"/>
  <c r="R148" i="31" s="1"/>
  <c r="R149" i="31" s="1"/>
  <c r="X144" i="31"/>
  <c r="X145" i="31" s="1"/>
  <c r="X146" i="31" s="1"/>
  <c r="X147" i="31" s="1"/>
  <c r="X148" i="31" s="1"/>
  <c r="X149" i="31" s="1"/>
  <c r="X150" i="31"/>
  <c r="I131" i="31"/>
  <c r="Q119" i="31"/>
  <c r="L150" i="31"/>
  <c r="L144" i="31"/>
  <c r="L145" i="31" s="1"/>
  <c r="L146" i="31" s="1"/>
  <c r="L147" i="31" s="1"/>
  <c r="L148" i="31" s="1"/>
  <c r="L149" i="31" s="1"/>
  <c r="U150" i="31"/>
  <c r="U144" i="31"/>
  <c r="U145" i="31" s="1"/>
  <c r="U146" i="31" s="1"/>
  <c r="U147" i="31" s="1"/>
  <c r="U148" i="31" s="1"/>
  <c r="U149" i="31" s="1"/>
  <c r="O150" i="31"/>
  <c r="O144" i="31"/>
  <c r="O145" i="31" s="1"/>
  <c r="O146" i="31" s="1"/>
  <c r="O147" i="31" s="1"/>
  <c r="O148" i="31" s="1"/>
  <c r="O149" i="31" s="1"/>
  <c r="AM75" i="28"/>
  <c r="AM77" i="28" s="1"/>
  <c r="AN103" i="28"/>
  <c r="AL116" i="28" s="1"/>
  <c r="AN106" i="28"/>
  <c r="AL119" i="28" s="1"/>
  <c r="AN102" i="28"/>
  <c r="AL115" i="28" s="1"/>
  <c r="AN107" i="28"/>
  <c r="AN104" i="28"/>
  <c r="AL117" i="28" s="1"/>
  <c r="AN101" i="28"/>
  <c r="AL114" i="28" s="1"/>
  <c r="AN105" i="28"/>
  <c r="AL118" i="28" s="1"/>
  <c r="C81" i="23"/>
  <c r="S40" i="27"/>
  <c r="GJ14" i="24" s="1"/>
  <c r="U46" i="27"/>
  <c r="T46" i="27"/>
  <c r="U45" i="27"/>
  <c r="T45" i="27"/>
  <c r="U44" i="27"/>
  <c r="T44" i="27"/>
  <c r="U43" i="27"/>
  <c r="T43" i="27"/>
  <c r="U42" i="27"/>
  <c r="T42" i="27"/>
  <c r="U41" i="27"/>
  <c r="T41" i="27"/>
  <c r="T40" i="27"/>
  <c r="S27" i="27"/>
  <c r="U33" i="27"/>
  <c r="U32" i="27"/>
  <c r="U31" i="27"/>
  <c r="U30" i="27"/>
  <c r="U29" i="27"/>
  <c r="U28" i="27"/>
  <c r="T33" i="27"/>
  <c r="T32" i="27"/>
  <c r="T31" i="27"/>
  <c r="T30" i="27"/>
  <c r="T29" i="27"/>
  <c r="T28" i="27"/>
  <c r="T27" i="27"/>
  <c r="AF136" i="31"/>
  <c r="AI124" i="31"/>
  <c r="AH131" i="31"/>
  <c r="AJ130" i="31"/>
  <c r="AG130" i="31"/>
  <c r="AF114" i="31"/>
  <c r="AJ113" i="31"/>
  <c r="AH119" i="31"/>
  <c r="AI118" i="31"/>
  <c r="AK125" i="31"/>
  <c r="AH125" i="31"/>
  <c r="AJ125" i="31"/>
  <c r="AF113" i="31"/>
  <c r="AG137" i="31"/>
  <c r="AF143" i="31"/>
  <c r="AH136" i="31"/>
  <c r="AK119" i="31"/>
  <c r="AJ131" i="31"/>
  <c r="AK136" i="31"/>
  <c r="AQ136" i="31"/>
  <c r="AI112" i="31"/>
  <c r="AK131" i="31"/>
  <c r="AF125" i="31"/>
  <c r="AQ130" i="31"/>
  <c r="AQ106" i="31"/>
  <c r="AH113" i="31"/>
  <c r="AF131" i="31"/>
  <c r="AI107" i="31"/>
  <c r="AQ124" i="31"/>
  <c r="AK130" i="31"/>
  <c r="AQ118" i="31"/>
  <c r="AG143" i="31"/>
  <c r="AK113" i="31"/>
  <c r="AB136" i="31"/>
  <c r="AQ107" i="31"/>
  <c r="AH130" i="31"/>
  <c r="AF130" i="31"/>
  <c r="AQ112" i="31"/>
  <c r="AI136" i="31"/>
  <c r="AI106" i="31"/>
  <c r="AG125" i="31"/>
  <c r="AG131" i="31"/>
  <c r="AI130" i="31"/>
  <c r="AJ119" i="31"/>
  <c r="AF119" i="31"/>
  <c r="AG119" i="31"/>
  <c r="AH114" i="31"/>
  <c r="AG113" i="31"/>
  <c r="AH137" i="31"/>
  <c r="AJ114" i="31"/>
  <c r="AK114" i="31"/>
  <c r="AG114" i="31"/>
  <c r="CJ91" i="32" l="1"/>
  <c r="CW90" i="32"/>
  <c r="AH40" i="35"/>
  <c r="AL40" i="35"/>
  <c r="AJ40" i="35"/>
  <c r="AF40" i="35"/>
  <c r="AN40" i="35"/>
  <c r="AB40" i="35"/>
  <c r="V40" i="35"/>
  <c r="Z40" i="35"/>
  <c r="AC40" i="35"/>
  <c r="AD40" i="35"/>
  <c r="AA40" i="35"/>
  <c r="S41" i="35"/>
  <c r="X40" i="35"/>
  <c r="W40" i="35"/>
  <c r="AE40" i="35"/>
  <c r="Y40" i="35"/>
  <c r="G46" i="30"/>
  <c r="G57" i="30" s="1"/>
  <c r="G65" i="30" s="1"/>
  <c r="J65" i="30" s="1"/>
  <c r="CS33" i="32"/>
  <c r="CH34" i="32"/>
  <c r="CI34" i="32" s="1"/>
  <c r="H39" i="30"/>
  <c r="H47" i="30" s="1"/>
  <c r="G47" i="30" s="1"/>
  <c r="N28" i="29"/>
  <c r="J64" i="30"/>
  <c r="H73" i="30"/>
  <c r="H87" i="30"/>
  <c r="G106" i="30"/>
  <c r="G101" i="30"/>
  <c r="G103" i="30"/>
  <c r="G100" i="30"/>
  <c r="G113" i="30" s="1"/>
  <c r="G102" i="30"/>
  <c r="G105" i="30"/>
  <c r="G107" i="30"/>
  <c r="G104" i="30"/>
  <c r="AB137" i="31"/>
  <c r="AB138" i="31" s="1"/>
  <c r="AB139" i="31" s="1"/>
  <c r="AB140" i="31" s="1"/>
  <c r="AB141" i="31" s="1"/>
  <c r="AB142" i="31" s="1"/>
  <c r="BG107" i="31"/>
  <c r="BG136" i="31"/>
  <c r="BG130" i="31"/>
  <c r="BG124" i="31"/>
  <c r="BG118" i="31"/>
  <c r="BG106" i="31"/>
  <c r="BG112" i="31"/>
  <c r="O157" i="31"/>
  <c r="O151" i="31"/>
  <c r="O152" i="31" s="1"/>
  <c r="O153" i="31" s="1"/>
  <c r="O154" i="31" s="1"/>
  <c r="O155" i="31" s="1"/>
  <c r="O156" i="31" s="1"/>
  <c r="Q132" i="31"/>
  <c r="H139" i="31"/>
  <c r="L157" i="31"/>
  <c r="L151" i="31"/>
  <c r="L152" i="31" s="1"/>
  <c r="L153" i="31" s="1"/>
  <c r="L154" i="31" s="1"/>
  <c r="L155" i="31" s="1"/>
  <c r="L156" i="31" s="1"/>
  <c r="Q120" i="31"/>
  <c r="Q126" i="31"/>
  <c r="P150" i="31"/>
  <c r="P144" i="31"/>
  <c r="P145" i="31" s="1"/>
  <c r="P146" i="31" s="1"/>
  <c r="P147" i="31" s="1"/>
  <c r="P148" i="31" s="1"/>
  <c r="P149" i="31" s="1"/>
  <c r="K145" i="31"/>
  <c r="G145" i="31"/>
  <c r="G127" i="31"/>
  <c r="J133" i="31"/>
  <c r="G139" i="31"/>
  <c r="K133" i="31"/>
  <c r="G121" i="31"/>
  <c r="I126" i="31"/>
  <c r="J121" i="31"/>
  <c r="J145" i="31"/>
  <c r="E157" i="31"/>
  <c r="E151" i="31"/>
  <c r="E152" i="31" s="1"/>
  <c r="E153" i="31" s="1"/>
  <c r="E154" i="31" s="1"/>
  <c r="E155" i="31" s="1"/>
  <c r="E156" i="31" s="1"/>
  <c r="J127" i="31"/>
  <c r="I120" i="31"/>
  <c r="S157" i="31"/>
  <c r="S151" i="31"/>
  <c r="S152" i="31" s="1"/>
  <c r="S153" i="31" s="1"/>
  <c r="S154" i="31" s="1"/>
  <c r="S155" i="31" s="1"/>
  <c r="S156" i="31" s="1"/>
  <c r="I132" i="31"/>
  <c r="R157" i="31"/>
  <c r="R151" i="31"/>
  <c r="R152" i="31" s="1"/>
  <c r="R153" i="31" s="1"/>
  <c r="R154" i="31" s="1"/>
  <c r="R155" i="31" s="1"/>
  <c r="R156" i="31" s="1"/>
  <c r="H157" i="31"/>
  <c r="H151" i="31"/>
  <c r="K121" i="31"/>
  <c r="M157" i="31"/>
  <c r="M151" i="31"/>
  <c r="M152" i="31" s="1"/>
  <c r="M153" i="31" s="1"/>
  <c r="M154" i="31" s="1"/>
  <c r="M155" i="31" s="1"/>
  <c r="M156" i="31" s="1"/>
  <c r="H133" i="31"/>
  <c r="I150" i="31"/>
  <c r="I144" i="31"/>
  <c r="D157" i="31"/>
  <c r="D151" i="31"/>
  <c r="D152" i="31" s="1"/>
  <c r="D153" i="31" s="1"/>
  <c r="D154" i="31" s="1"/>
  <c r="D155" i="31" s="1"/>
  <c r="D156" i="31" s="1"/>
  <c r="Q138" i="31"/>
  <c r="F157" i="31"/>
  <c r="F151" i="31"/>
  <c r="V157" i="31"/>
  <c r="V151" i="31"/>
  <c r="V152" i="31" s="1"/>
  <c r="V153" i="31" s="1"/>
  <c r="V154" i="31" s="1"/>
  <c r="V155" i="31" s="1"/>
  <c r="V156" i="31" s="1"/>
  <c r="K127" i="31"/>
  <c r="G133" i="31"/>
  <c r="A150" i="31"/>
  <c r="A144" i="31"/>
  <c r="A145" i="31" s="1"/>
  <c r="A146" i="31" s="1"/>
  <c r="A147" i="31" s="1"/>
  <c r="A148" i="31" s="1"/>
  <c r="A149" i="31" s="1"/>
  <c r="I114" i="31"/>
  <c r="F127" i="31"/>
  <c r="J139" i="31"/>
  <c r="H127" i="31"/>
  <c r="N157" i="31"/>
  <c r="N151" i="31"/>
  <c r="N152" i="31" s="1"/>
  <c r="N153" i="31" s="1"/>
  <c r="N154" i="31" s="1"/>
  <c r="N155" i="31" s="1"/>
  <c r="N156" i="31" s="1"/>
  <c r="K139" i="31"/>
  <c r="X157" i="31"/>
  <c r="X151" i="31"/>
  <c r="X152" i="31" s="1"/>
  <c r="X153" i="31" s="1"/>
  <c r="X154" i="31" s="1"/>
  <c r="X155" i="31" s="1"/>
  <c r="X156" i="31" s="1"/>
  <c r="G157" i="31"/>
  <c r="G151" i="31"/>
  <c r="F121" i="31"/>
  <c r="T150" i="31"/>
  <c r="T144" i="31"/>
  <c r="T145" i="31" s="1"/>
  <c r="T146" i="31" s="1"/>
  <c r="T147" i="31" s="1"/>
  <c r="T148" i="31" s="1"/>
  <c r="T149" i="31" s="1"/>
  <c r="Q150" i="31"/>
  <c r="Q144" i="31"/>
  <c r="F133" i="31"/>
  <c r="H121" i="31"/>
  <c r="W157" i="31"/>
  <c r="W151" i="31"/>
  <c r="W152" i="31" s="1"/>
  <c r="W153" i="31" s="1"/>
  <c r="W154" i="31" s="1"/>
  <c r="W155" i="31" s="1"/>
  <c r="W156" i="31" s="1"/>
  <c r="U157" i="31"/>
  <c r="U151" i="31"/>
  <c r="U152" i="31" s="1"/>
  <c r="U153" i="31" s="1"/>
  <c r="U154" i="31" s="1"/>
  <c r="U155" i="31" s="1"/>
  <c r="U156" i="31" s="1"/>
  <c r="H145" i="31"/>
  <c r="B157" i="31"/>
  <c r="B151" i="31"/>
  <c r="B152" i="31" s="1"/>
  <c r="B153" i="31" s="1"/>
  <c r="B154" i="31" s="1"/>
  <c r="B155" i="31" s="1"/>
  <c r="B156" i="31" s="1"/>
  <c r="K151" i="31"/>
  <c r="K157" i="31"/>
  <c r="C151" i="31"/>
  <c r="C152" i="31" s="1"/>
  <c r="C153" i="31" s="1"/>
  <c r="C154" i="31" s="1"/>
  <c r="C155" i="31" s="1"/>
  <c r="C156" i="31" s="1"/>
  <c r="C157" i="31"/>
  <c r="I138" i="31"/>
  <c r="Q114" i="31"/>
  <c r="F145" i="31"/>
  <c r="J157" i="31"/>
  <c r="J151" i="31"/>
  <c r="F139" i="31"/>
  <c r="ES2" i="18"/>
  <c r="BE127" i="28"/>
  <c r="AJ76" i="28"/>
  <c r="ES2" i="24"/>
  <c r="J97" i="23"/>
  <c r="AM89" i="28"/>
  <c r="AJ79" i="28"/>
  <c r="AM79" i="28" s="1"/>
  <c r="AM90" i="28" s="1"/>
  <c r="AL120" i="28"/>
  <c r="AL133" i="28" s="1"/>
  <c r="J11" i="18"/>
  <c r="HP32" i="18"/>
  <c r="AI113" i="31"/>
  <c r="AI131" i="31"/>
  <c r="AI137" i="31"/>
  <c r="AJ132" i="31"/>
  <c r="AF137" i="31"/>
  <c r="AH120" i="31"/>
  <c r="AK143" i="31"/>
  <c r="AQ137" i="31"/>
  <c r="AQ125" i="31"/>
  <c r="AJ120" i="31"/>
  <c r="AK132" i="31"/>
  <c r="AQ114" i="31"/>
  <c r="AI119" i="31"/>
  <c r="AJ137" i="31"/>
  <c r="AQ119" i="31"/>
  <c r="AJ143" i="31"/>
  <c r="AG132" i="31"/>
  <c r="AB143" i="31"/>
  <c r="AI114" i="31"/>
  <c r="AF120" i="31"/>
  <c r="AG150" i="31"/>
  <c r="AG121" i="31"/>
  <c r="AQ131" i="31"/>
  <c r="AF126" i="31"/>
  <c r="AH132" i="31"/>
  <c r="AH143" i="31"/>
  <c r="AJ138" i="31"/>
  <c r="AK120" i="31"/>
  <c r="AJ126" i="31"/>
  <c r="AH138" i="31"/>
  <c r="AI143" i="31"/>
  <c r="AG138" i="31"/>
  <c r="AC150" i="31"/>
  <c r="AQ113" i="31"/>
  <c r="AG120" i="31"/>
  <c r="AJ121" i="31"/>
  <c r="AK126" i="31"/>
  <c r="AF138" i="31"/>
  <c r="AK137" i="31"/>
  <c r="AQ143" i="31"/>
  <c r="AC143" i="31"/>
  <c r="AF121" i="31"/>
  <c r="AF132" i="31"/>
  <c r="AI125" i="31"/>
  <c r="AK138" i="31"/>
  <c r="AG126" i="31"/>
  <c r="AH126" i="31"/>
  <c r="AK121" i="31"/>
  <c r="AH121" i="31"/>
  <c r="CJ92" i="32" l="1"/>
  <c r="CW91" i="32"/>
  <c r="AL41" i="35"/>
  <c r="AL52" i="35" s="1"/>
  <c r="AL56" i="35" s="1"/>
  <c r="L60" i="35" s="1"/>
  <c r="DT18" i="32" s="1"/>
  <c r="DS18" i="32" s="1"/>
  <c r="DW18" i="32" s="1"/>
  <c r="AF41" i="35"/>
  <c r="AF52" i="35" s="1"/>
  <c r="AF56" i="35" s="1"/>
  <c r="L57" i="35" s="1"/>
  <c r="DT15" i="32" s="1"/>
  <c r="DS15" i="32" s="1"/>
  <c r="DW15" i="32" s="1"/>
  <c r="AH41" i="35"/>
  <c r="AH52" i="35" s="1"/>
  <c r="AH56" i="35" s="1"/>
  <c r="L58" i="35" s="1"/>
  <c r="DT16" i="32" s="1"/>
  <c r="DS16" i="32" s="1"/>
  <c r="DW16" i="32" s="1"/>
  <c r="AN41" i="35"/>
  <c r="AN52" i="35" s="1"/>
  <c r="AJ41" i="35"/>
  <c r="AJ52" i="35" s="1"/>
  <c r="AJ56" i="35" s="1"/>
  <c r="L59" i="35" s="1"/>
  <c r="DT17" i="32" s="1"/>
  <c r="DS17" i="32" s="1"/>
  <c r="DW17" i="32" s="1"/>
  <c r="AD41" i="35"/>
  <c r="AD52" i="35" s="1"/>
  <c r="Y41" i="35"/>
  <c r="Y52" i="35" s="1"/>
  <c r="V41" i="35"/>
  <c r="V52" i="35" s="1"/>
  <c r="W41" i="35"/>
  <c r="W52" i="35" s="1"/>
  <c r="AA41" i="35"/>
  <c r="AA52" i="35" s="1"/>
  <c r="AB41" i="35"/>
  <c r="AB52" i="35" s="1"/>
  <c r="X41" i="35"/>
  <c r="X52" i="35" s="1"/>
  <c r="AC41" i="35"/>
  <c r="AC52" i="35" s="1"/>
  <c r="Z41" i="35"/>
  <c r="Z52" i="35" s="1"/>
  <c r="Z56" i="35" s="1"/>
  <c r="L54" i="35" s="1"/>
  <c r="DT12" i="32" s="1"/>
  <c r="AE41" i="35"/>
  <c r="AE52" i="35" s="1"/>
  <c r="CS34" i="32"/>
  <c r="CH35" i="32"/>
  <c r="CI35" i="32" s="1"/>
  <c r="I101" i="30"/>
  <c r="G114" i="30" s="1"/>
  <c r="I105" i="30"/>
  <c r="G118" i="30" s="1"/>
  <c r="I102" i="30"/>
  <c r="G115" i="30" s="1"/>
  <c r="I106" i="30"/>
  <c r="G119" i="30" s="1"/>
  <c r="I104" i="30"/>
  <c r="G117" i="30" s="1"/>
  <c r="I107" i="30"/>
  <c r="I103" i="30"/>
  <c r="G116" i="30" s="1"/>
  <c r="H75" i="30"/>
  <c r="H77" i="30" s="1"/>
  <c r="AC151" i="31"/>
  <c r="AC152" i="31" s="1"/>
  <c r="AC153" i="31" s="1"/>
  <c r="AC154" i="31" s="1"/>
  <c r="AC155" i="31" s="1"/>
  <c r="AC156" i="31" s="1"/>
  <c r="AB144" i="31"/>
  <c r="AB145" i="31" s="1"/>
  <c r="AB146" i="31" s="1"/>
  <c r="AB147" i="31" s="1"/>
  <c r="AB148" i="31" s="1"/>
  <c r="AB149" i="31" s="1"/>
  <c r="BG119" i="31"/>
  <c r="BG113" i="31"/>
  <c r="BG143" i="31"/>
  <c r="BG131" i="31"/>
  <c r="BG114" i="31"/>
  <c r="BG137" i="31"/>
  <c r="AC144" i="31"/>
  <c r="AC145" i="31" s="1"/>
  <c r="AC146" i="31" s="1"/>
  <c r="AC147" i="31" s="1"/>
  <c r="AC148" i="31" s="1"/>
  <c r="AC149" i="31" s="1"/>
  <c r="BG125" i="31"/>
  <c r="B164" i="31"/>
  <c r="B158" i="31"/>
  <c r="B159" i="31" s="1"/>
  <c r="B160" i="31" s="1"/>
  <c r="B161" i="31" s="1"/>
  <c r="B162" i="31" s="1"/>
  <c r="B163" i="31" s="1"/>
  <c r="I157" i="31"/>
  <c r="I151" i="31"/>
  <c r="M164" i="31"/>
  <c r="M158" i="31"/>
  <c r="M159" i="31" s="1"/>
  <c r="M160" i="31" s="1"/>
  <c r="M161" i="31" s="1"/>
  <c r="M162" i="31" s="1"/>
  <c r="M163" i="31" s="1"/>
  <c r="H152" i="31"/>
  <c r="J146" i="31"/>
  <c r="I127" i="31"/>
  <c r="K134" i="31"/>
  <c r="J134" i="31"/>
  <c r="G146" i="31"/>
  <c r="P157" i="31"/>
  <c r="P151" i="31"/>
  <c r="P152" i="31" s="1"/>
  <c r="P153" i="31" s="1"/>
  <c r="P154" i="31" s="1"/>
  <c r="P155" i="31" s="1"/>
  <c r="P156" i="31" s="1"/>
  <c r="J164" i="31"/>
  <c r="J158" i="31"/>
  <c r="C164" i="31"/>
  <c r="C158" i="31"/>
  <c r="C159" i="31" s="1"/>
  <c r="C160" i="31" s="1"/>
  <c r="C161" i="31" s="1"/>
  <c r="C162" i="31" s="1"/>
  <c r="C163" i="31" s="1"/>
  <c r="K152" i="31"/>
  <c r="Q145" i="31"/>
  <c r="G152" i="31"/>
  <c r="F164" i="31"/>
  <c r="F158" i="31"/>
  <c r="D164" i="31"/>
  <c r="D158" i="31"/>
  <c r="D159" i="31" s="1"/>
  <c r="D160" i="31" s="1"/>
  <c r="D161" i="31" s="1"/>
  <c r="D162" i="31" s="1"/>
  <c r="D163" i="31" s="1"/>
  <c r="H164" i="31"/>
  <c r="H158" i="31"/>
  <c r="I133" i="31"/>
  <c r="I121" i="31"/>
  <c r="E164" i="31"/>
  <c r="E158" i="31"/>
  <c r="E159" i="31" s="1"/>
  <c r="E160" i="31" s="1"/>
  <c r="E161" i="31" s="1"/>
  <c r="E162" i="31" s="1"/>
  <c r="E163" i="31" s="1"/>
  <c r="Q121" i="31"/>
  <c r="H140" i="31"/>
  <c r="O164" i="31"/>
  <c r="O158" i="31"/>
  <c r="O159" i="31" s="1"/>
  <c r="O160" i="31" s="1"/>
  <c r="O161" i="31" s="1"/>
  <c r="O162" i="31" s="1"/>
  <c r="O163" i="31" s="1"/>
  <c r="J152" i="31"/>
  <c r="K164" i="31"/>
  <c r="K158" i="31"/>
  <c r="U164" i="31"/>
  <c r="U158" i="31"/>
  <c r="U159" i="31" s="1"/>
  <c r="U160" i="31" s="1"/>
  <c r="U161" i="31" s="1"/>
  <c r="U162" i="31" s="1"/>
  <c r="U163" i="31" s="1"/>
  <c r="K140" i="31"/>
  <c r="F128" i="31"/>
  <c r="A157" i="31"/>
  <c r="A151" i="31"/>
  <c r="A152" i="31" s="1"/>
  <c r="A153" i="31" s="1"/>
  <c r="A154" i="31" s="1"/>
  <c r="A155" i="31" s="1"/>
  <c r="A156" i="31" s="1"/>
  <c r="K128" i="31"/>
  <c r="F152" i="31"/>
  <c r="F140" i="31"/>
  <c r="H146" i="31"/>
  <c r="W164" i="31"/>
  <c r="W158" i="31"/>
  <c r="W159" i="31" s="1"/>
  <c r="W160" i="31" s="1"/>
  <c r="W161" i="31" s="1"/>
  <c r="W162" i="31" s="1"/>
  <c r="W163" i="31" s="1"/>
  <c r="Q157" i="31"/>
  <c r="Q151" i="31"/>
  <c r="G158" i="31"/>
  <c r="G164" i="31"/>
  <c r="X158" i="31"/>
  <c r="X159" i="31" s="1"/>
  <c r="X160" i="31" s="1"/>
  <c r="X161" i="31" s="1"/>
  <c r="X162" i="31" s="1"/>
  <c r="X163" i="31" s="1"/>
  <c r="X164" i="31"/>
  <c r="N164" i="31"/>
  <c r="N158" i="31"/>
  <c r="N159" i="31" s="1"/>
  <c r="N160" i="31" s="1"/>
  <c r="N161" i="31" s="1"/>
  <c r="N162" i="31" s="1"/>
  <c r="N163" i="31" s="1"/>
  <c r="J140" i="31"/>
  <c r="G134" i="31"/>
  <c r="V164" i="31"/>
  <c r="V158" i="31"/>
  <c r="V159" i="31" s="1"/>
  <c r="V160" i="31" s="1"/>
  <c r="V161" i="31" s="1"/>
  <c r="V162" i="31" s="1"/>
  <c r="V163" i="31" s="1"/>
  <c r="H134" i="31"/>
  <c r="G140" i="31"/>
  <c r="G128" i="31"/>
  <c r="K146" i="31"/>
  <c r="T157" i="31"/>
  <c r="T151" i="31"/>
  <c r="T152" i="31" s="1"/>
  <c r="T153" i="31" s="1"/>
  <c r="T154" i="31" s="1"/>
  <c r="T155" i="31" s="1"/>
  <c r="T156" i="31" s="1"/>
  <c r="H128" i="31"/>
  <c r="F146" i="31"/>
  <c r="I139" i="31"/>
  <c r="F134" i="31"/>
  <c r="Q139" i="31"/>
  <c r="I145" i="31"/>
  <c r="R164" i="31"/>
  <c r="R158" i="31"/>
  <c r="R159" i="31" s="1"/>
  <c r="R160" i="31" s="1"/>
  <c r="R161" i="31" s="1"/>
  <c r="R162" i="31" s="1"/>
  <c r="R163" i="31" s="1"/>
  <c r="S164" i="31"/>
  <c r="S158" i="31"/>
  <c r="S159" i="31" s="1"/>
  <c r="S160" i="31" s="1"/>
  <c r="S161" i="31" s="1"/>
  <c r="S162" i="31" s="1"/>
  <c r="S163" i="31" s="1"/>
  <c r="J128" i="31"/>
  <c r="Q127" i="31"/>
  <c r="L164" i="31"/>
  <c r="L158" i="31"/>
  <c r="L159" i="31" s="1"/>
  <c r="L160" i="31" s="1"/>
  <c r="L161" i="31" s="1"/>
  <c r="L162" i="31" s="1"/>
  <c r="L163" i="31" s="1"/>
  <c r="Q133" i="31"/>
  <c r="AM106" i="28"/>
  <c r="AM107" i="28"/>
  <c r="AM120" i="28" s="1"/>
  <c r="AR100" i="28"/>
  <c r="AM100" i="28"/>
  <c r="AM101" i="28"/>
  <c r="AM102" i="28"/>
  <c r="AM105" i="28"/>
  <c r="AM103" i="28"/>
  <c r="AM104" i="28"/>
  <c r="AL127" i="28"/>
  <c r="AL131" i="28"/>
  <c r="AL132" i="28"/>
  <c r="AL130" i="28"/>
  <c r="AL129" i="28"/>
  <c r="AL134" i="28"/>
  <c r="AL128" i="28"/>
  <c r="CY572" i="15"/>
  <c r="CY573" i="15" s="1"/>
  <c r="CY574" i="15" s="1"/>
  <c r="CY575" i="15" s="1"/>
  <c r="CY576" i="15" s="1"/>
  <c r="CY577" i="15" s="1"/>
  <c r="CY578" i="15" s="1"/>
  <c r="CY579" i="15" s="1"/>
  <c r="CY580" i="15" s="1"/>
  <c r="CY581" i="15" s="1"/>
  <c r="CY582" i="15" s="1"/>
  <c r="CY583" i="15" s="1"/>
  <c r="CY584" i="15" s="1"/>
  <c r="CY585" i="15" s="1"/>
  <c r="CY586" i="15" s="1"/>
  <c r="CY587" i="15" s="1"/>
  <c r="CY588" i="15" s="1"/>
  <c r="CY589" i="15" s="1"/>
  <c r="CY590" i="15" s="1"/>
  <c r="CY591" i="15" s="1"/>
  <c r="CY592" i="15" s="1"/>
  <c r="CY593" i="15" s="1"/>
  <c r="CY594" i="15" s="1"/>
  <c r="CY595" i="15" s="1"/>
  <c r="CY596" i="15" s="1"/>
  <c r="CY597" i="15" s="1"/>
  <c r="CY598" i="15" s="1"/>
  <c r="CY599" i="15" s="1"/>
  <c r="CY600" i="15" s="1"/>
  <c r="CY601" i="15" s="1"/>
  <c r="CY602" i="15" s="1"/>
  <c r="CY603" i="15" s="1"/>
  <c r="CY604" i="15" s="1"/>
  <c r="CY605" i="15" s="1"/>
  <c r="CY606" i="15" s="1"/>
  <c r="CY607" i="15" s="1"/>
  <c r="CY608" i="15" s="1"/>
  <c r="CY609" i="15" s="1"/>
  <c r="CY610" i="15" s="1"/>
  <c r="CY611" i="15" s="1"/>
  <c r="CY612" i="15" s="1"/>
  <c r="CY613" i="15" s="1"/>
  <c r="CY614" i="15" s="1"/>
  <c r="CY615" i="15" s="1"/>
  <c r="CY616" i="15" s="1"/>
  <c r="CY617" i="15" s="1"/>
  <c r="CY618" i="15" s="1"/>
  <c r="CY619" i="15" s="1"/>
  <c r="CY620" i="15" s="1"/>
  <c r="CY621" i="15" s="1"/>
  <c r="CY622" i="15" s="1"/>
  <c r="CY623" i="15" s="1"/>
  <c r="CY624" i="15" s="1"/>
  <c r="CY625" i="15" s="1"/>
  <c r="CY626" i="15" s="1"/>
  <c r="CY627" i="15" s="1"/>
  <c r="CY628" i="15" s="1"/>
  <c r="CY629" i="15" s="1"/>
  <c r="CY630" i="15" s="1"/>
  <c r="CY631" i="15" s="1"/>
  <c r="CY632" i="15" s="1"/>
  <c r="CY633" i="15" s="1"/>
  <c r="CY634" i="15" s="1"/>
  <c r="CY635" i="15" s="1"/>
  <c r="CY636" i="15" s="1"/>
  <c r="CY637" i="15" s="1"/>
  <c r="CY638" i="15" s="1"/>
  <c r="CY639" i="15" s="1"/>
  <c r="CY640" i="15" s="1"/>
  <c r="CY641" i="15" s="1"/>
  <c r="CY642" i="15" s="1"/>
  <c r="CY643" i="15" s="1"/>
  <c r="CY644" i="15" s="1"/>
  <c r="CY645" i="15" s="1"/>
  <c r="CY646" i="15" s="1"/>
  <c r="CY647" i="15" s="1"/>
  <c r="CY648" i="15" s="1"/>
  <c r="CY649" i="15" s="1"/>
  <c r="CY650" i="15" s="1"/>
  <c r="CY651" i="15" s="1"/>
  <c r="CY652" i="15" s="1"/>
  <c r="CY653" i="15" s="1"/>
  <c r="CY654" i="15" s="1"/>
  <c r="CY655" i="15" s="1"/>
  <c r="CY656" i="15" s="1"/>
  <c r="CY657" i="15" s="1"/>
  <c r="CY658" i="15" s="1"/>
  <c r="CY659" i="15" s="1"/>
  <c r="CY660" i="15" s="1"/>
  <c r="CY661" i="15" s="1"/>
  <c r="CY662" i="15" s="1"/>
  <c r="CY663" i="15" s="1"/>
  <c r="CY664" i="15" s="1"/>
  <c r="CY665" i="15" s="1"/>
  <c r="CY666" i="15" s="1"/>
  <c r="CY667" i="15" s="1"/>
  <c r="CY668" i="15" s="1"/>
  <c r="CY669" i="15" s="1"/>
  <c r="CY670" i="15" s="1"/>
  <c r="CY671" i="15" s="1"/>
  <c r="CY672" i="15" s="1"/>
  <c r="CY673" i="15" s="1"/>
  <c r="CY674" i="15" s="1"/>
  <c r="CY675" i="15" s="1"/>
  <c r="CY676" i="15" s="1"/>
  <c r="CY677" i="15" s="1"/>
  <c r="CY678" i="15" s="1"/>
  <c r="CY679" i="15" s="1"/>
  <c r="CY680" i="15" s="1"/>
  <c r="CY681" i="15" s="1"/>
  <c r="CY682" i="15" s="1"/>
  <c r="CY683" i="15" s="1"/>
  <c r="CY684" i="15" s="1"/>
  <c r="CY685" i="15" s="1"/>
  <c r="CY686" i="15" s="1"/>
  <c r="CY687" i="15" s="1"/>
  <c r="CY688" i="15" s="1"/>
  <c r="CY689" i="15" s="1"/>
  <c r="CY690" i="15" s="1"/>
  <c r="CY691" i="15" s="1"/>
  <c r="CY692" i="15" s="1"/>
  <c r="CY693" i="15" s="1"/>
  <c r="CY694" i="15" s="1"/>
  <c r="CY695" i="15" s="1"/>
  <c r="CY696" i="15" s="1"/>
  <c r="CY697" i="15" s="1"/>
  <c r="CY698" i="15" s="1"/>
  <c r="CY699" i="15" s="1"/>
  <c r="CY700" i="15" s="1"/>
  <c r="CY701" i="15" s="1"/>
  <c r="CY702" i="15" s="1"/>
  <c r="CY703" i="15" s="1"/>
  <c r="CY704" i="15" s="1"/>
  <c r="CY705" i="15" s="1"/>
  <c r="CY706" i="15" s="1"/>
  <c r="CY707" i="15" s="1"/>
  <c r="CY708" i="15" s="1"/>
  <c r="CY709" i="15" s="1"/>
  <c r="CY710" i="15" s="1"/>
  <c r="CY711" i="15" s="1"/>
  <c r="CY712" i="15" s="1"/>
  <c r="CY713" i="15" s="1"/>
  <c r="CY714" i="15" s="1"/>
  <c r="CY715" i="15" s="1"/>
  <c r="CY716" i="15" s="1"/>
  <c r="CY717" i="15" s="1"/>
  <c r="CY718" i="15" s="1"/>
  <c r="CY719" i="15" s="1"/>
  <c r="CY720" i="15" s="1"/>
  <c r="CY721" i="15" s="1"/>
  <c r="CY722" i="15" s="1"/>
  <c r="CY723" i="15" s="1"/>
  <c r="CY724" i="15" s="1"/>
  <c r="CY725" i="15" s="1"/>
  <c r="CY726" i="15" s="1"/>
  <c r="CY727" i="15" s="1"/>
  <c r="CY728" i="15" s="1"/>
  <c r="CY729" i="15" s="1"/>
  <c r="CY730" i="15" s="1"/>
  <c r="CY731" i="15" s="1"/>
  <c r="CY732" i="15" s="1"/>
  <c r="CY733" i="15" s="1"/>
  <c r="CY734" i="15" s="1"/>
  <c r="CY735" i="15" s="1"/>
  <c r="CY736" i="15" s="1"/>
  <c r="CY737" i="15" s="1"/>
  <c r="CY738" i="15" s="1"/>
  <c r="CY739" i="15" s="1"/>
  <c r="CY740" i="15" s="1"/>
  <c r="CY741" i="15" s="1"/>
  <c r="CY742" i="15" s="1"/>
  <c r="CY743" i="15" s="1"/>
  <c r="CY744" i="15" s="1"/>
  <c r="CY745" i="15" s="1"/>
  <c r="CY746" i="15" s="1"/>
  <c r="CY747" i="15" s="1"/>
  <c r="CY748" i="15" s="1"/>
  <c r="CY749" i="15" s="1"/>
  <c r="CY750" i="15" s="1"/>
  <c r="CY751" i="15" s="1"/>
  <c r="CY752" i="15" s="1"/>
  <c r="CY753" i="15" s="1"/>
  <c r="CY754" i="15" s="1"/>
  <c r="CY755" i="15" s="1"/>
  <c r="CY756" i="15" s="1"/>
  <c r="CY757" i="15" s="1"/>
  <c r="CY758" i="15" s="1"/>
  <c r="CY759" i="15" s="1"/>
  <c r="CY760" i="15" s="1"/>
  <c r="CY761" i="15" s="1"/>
  <c r="CY762" i="15" s="1"/>
  <c r="CY763" i="15" s="1"/>
  <c r="CY764" i="15" s="1"/>
  <c r="CY765" i="15" s="1"/>
  <c r="CY766" i="15" s="1"/>
  <c r="CY767" i="15" s="1"/>
  <c r="CY768" i="15" s="1"/>
  <c r="CY769" i="15" s="1"/>
  <c r="CY770" i="15" s="1"/>
  <c r="CY771" i="15" s="1"/>
  <c r="CY772" i="15" s="1"/>
  <c r="CY773" i="15" s="1"/>
  <c r="CY774" i="15" s="1"/>
  <c r="CY775" i="15" s="1"/>
  <c r="CY776" i="15" s="1"/>
  <c r="CY777" i="15" s="1"/>
  <c r="CY778" i="15" s="1"/>
  <c r="CY779" i="15" s="1"/>
  <c r="CY780" i="15" s="1"/>
  <c r="CY781" i="15" s="1"/>
  <c r="CY782" i="15" s="1"/>
  <c r="CY783" i="15" s="1"/>
  <c r="CY784" i="15" s="1"/>
  <c r="CY785" i="15" s="1"/>
  <c r="CY786" i="15" s="1"/>
  <c r="CY787" i="15" s="1"/>
  <c r="CY788" i="15" s="1"/>
  <c r="CY789" i="15" s="1"/>
  <c r="CY790" i="15" s="1"/>
  <c r="CY791" i="15" s="1"/>
  <c r="CY792" i="15" s="1"/>
  <c r="CY793" i="15" s="1"/>
  <c r="CY794" i="15" s="1"/>
  <c r="CY795" i="15" s="1"/>
  <c r="CY796" i="15" s="1"/>
  <c r="CY797" i="15" s="1"/>
  <c r="CY798" i="15" s="1"/>
  <c r="CY799" i="15" s="1"/>
  <c r="CY800" i="15" s="1"/>
  <c r="CY801" i="15" s="1"/>
  <c r="CY802" i="15" s="1"/>
  <c r="CY803" i="15" s="1"/>
  <c r="CY804" i="15" s="1"/>
  <c r="CY805" i="15" s="1"/>
  <c r="CY806" i="15" s="1"/>
  <c r="CY807" i="15" s="1"/>
  <c r="CY808" i="15" s="1"/>
  <c r="CY809" i="15" s="1"/>
  <c r="CY810" i="15" s="1"/>
  <c r="CY811" i="15" s="1"/>
  <c r="CY812" i="15" s="1"/>
  <c r="CY813" i="15" s="1"/>
  <c r="CY814" i="15" s="1"/>
  <c r="CY815" i="15" s="1"/>
  <c r="CY816" i="15" s="1"/>
  <c r="CY817" i="15" s="1"/>
  <c r="CY818" i="15" s="1"/>
  <c r="CY819" i="15" s="1"/>
  <c r="CY820" i="15" s="1"/>
  <c r="CY821" i="15" s="1"/>
  <c r="CY822" i="15" s="1"/>
  <c r="CY823" i="15" s="1"/>
  <c r="CY824" i="15" s="1"/>
  <c r="CY825" i="15" s="1"/>
  <c r="CY826" i="15" s="1"/>
  <c r="CY827" i="15" s="1"/>
  <c r="CY828" i="15" s="1"/>
  <c r="CY829" i="15" s="1"/>
  <c r="CY830" i="15" s="1"/>
  <c r="CY831" i="15" s="1"/>
  <c r="CY832" i="15" s="1"/>
  <c r="CY833" i="15" s="1"/>
  <c r="CY834" i="15" s="1"/>
  <c r="CY835" i="15" s="1"/>
  <c r="CY836" i="15" s="1"/>
  <c r="CY837" i="15" s="1"/>
  <c r="CY838" i="15" s="1"/>
  <c r="CY839" i="15" s="1"/>
  <c r="CY840" i="15" s="1"/>
  <c r="CY841" i="15" s="1"/>
  <c r="CY842" i="15" s="1"/>
  <c r="CY843" i="15" s="1"/>
  <c r="CY844" i="15" s="1"/>
  <c r="CY845" i="15" s="1"/>
  <c r="CY846" i="15" s="1"/>
  <c r="CY847" i="15" s="1"/>
  <c r="CY848" i="15" s="1"/>
  <c r="CY849" i="15" s="1"/>
  <c r="CY850" i="15" s="1"/>
  <c r="CY851" i="15" s="1"/>
  <c r="CY852" i="15" s="1"/>
  <c r="CY853" i="15" s="1"/>
  <c r="CY854" i="15" s="1"/>
  <c r="CY855" i="15" s="1"/>
  <c r="CY856" i="15" s="1"/>
  <c r="CY857" i="15" s="1"/>
  <c r="CY858" i="15" s="1"/>
  <c r="CY859" i="15" s="1"/>
  <c r="CY860" i="15" s="1"/>
  <c r="CY861" i="15" s="1"/>
  <c r="CY862" i="15" s="1"/>
  <c r="CY863" i="15" s="1"/>
  <c r="CY864" i="15" s="1"/>
  <c r="CY865" i="15" s="1"/>
  <c r="CY866" i="15" s="1"/>
  <c r="CY867" i="15" s="1"/>
  <c r="CY868" i="15" s="1"/>
  <c r="CY869" i="15" s="1"/>
  <c r="CY870" i="15" s="1"/>
  <c r="CY871" i="15" s="1"/>
  <c r="CY872" i="15" s="1"/>
  <c r="CY873" i="15" s="1"/>
  <c r="CY874" i="15" s="1"/>
  <c r="CY875" i="15" s="1"/>
  <c r="CY876" i="15" s="1"/>
  <c r="CY877" i="15" s="1"/>
  <c r="CY878" i="15" s="1"/>
  <c r="CY879" i="15" s="1"/>
  <c r="CY880" i="15" s="1"/>
  <c r="CY881" i="15" s="1"/>
  <c r="CY882" i="15" s="1"/>
  <c r="CY883" i="15" s="1"/>
  <c r="CY884" i="15" s="1"/>
  <c r="CY885" i="15" s="1"/>
  <c r="CY886" i="15" s="1"/>
  <c r="CY887" i="15" s="1"/>
  <c r="CY888" i="15" s="1"/>
  <c r="CY889" i="15" s="1"/>
  <c r="CY890" i="15" s="1"/>
  <c r="CY891" i="15" s="1"/>
  <c r="CY892" i="15" s="1"/>
  <c r="CY893" i="15" s="1"/>
  <c r="CY894" i="15" s="1"/>
  <c r="CY895" i="15" s="1"/>
  <c r="CY896" i="15" s="1"/>
  <c r="CY897" i="15" s="1"/>
  <c r="CY898" i="15" s="1"/>
  <c r="CY899" i="15" s="1"/>
  <c r="CY900" i="15" s="1"/>
  <c r="CY901" i="15" s="1"/>
  <c r="CY902" i="15" s="1"/>
  <c r="CY903" i="15" s="1"/>
  <c r="CY904" i="15" s="1"/>
  <c r="CY905" i="15" s="1"/>
  <c r="CY906" i="15" s="1"/>
  <c r="CY907" i="15" s="1"/>
  <c r="CY908" i="15" s="1"/>
  <c r="CY909" i="15" s="1"/>
  <c r="CY910" i="15" s="1"/>
  <c r="CY911" i="15" s="1"/>
  <c r="CY912" i="15" s="1"/>
  <c r="CY913" i="15" s="1"/>
  <c r="CY914" i="15" s="1"/>
  <c r="CY915" i="15" s="1"/>
  <c r="CY916" i="15" s="1"/>
  <c r="CY917" i="15" s="1"/>
  <c r="CY918" i="15" s="1"/>
  <c r="CY919" i="15" s="1"/>
  <c r="CY920" i="15" s="1"/>
  <c r="CY921" i="15" s="1"/>
  <c r="CY922" i="15" s="1"/>
  <c r="CY923" i="15" s="1"/>
  <c r="CY924" i="15" s="1"/>
  <c r="CY925" i="15" s="1"/>
  <c r="CY926" i="15" s="1"/>
  <c r="CY927" i="15" s="1"/>
  <c r="CY928" i="15" s="1"/>
  <c r="CY929" i="15" s="1"/>
  <c r="CY930" i="15" s="1"/>
  <c r="CY931" i="15" s="1"/>
  <c r="CY932" i="15" s="1"/>
  <c r="CY933" i="15" s="1"/>
  <c r="CY934" i="15" s="1"/>
  <c r="CY935" i="15" s="1"/>
  <c r="CY936" i="15" s="1"/>
  <c r="CY937" i="15" s="1"/>
  <c r="CY938" i="15" s="1"/>
  <c r="CY939" i="15" s="1"/>
  <c r="CY940" i="15" s="1"/>
  <c r="CY941" i="15" s="1"/>
  <c r="CY942" i="15" s="1"/>
  <c r="CY943" i="15" s="1"/>
  <c r="CY944" i="15" s="1"/>
  <c r="CY945" i="15" s="1"/>
  <c r="CY946" i="15" s="1"/>
  <c r="CY947" i="15" s="1"/>
  <c r="CY948" i="15" s="1"/>
  <c r="CY949" i="15" s="1"/>
  <c r="CY950" i="15" s="1"/>
  <c r="CY951" i="15" s="1"/>
  <c r="CY952" i="15" s="1"/>
  <c r="CY953" i="15" s="1"/>
  <c r="CY954" i="15" s="1"/>
  <c r="CY955" i="15" s="1"/>
  <c r="CY956" i="15" s="1"/>
  <c r="CY957" i="15" s="1"/>
  <c r="CY958" i="15" s="1"/>
  <c r="CY959" i="15" s="1"/>
  <c r="CY960" i="15" s="1"/>
  <c r="CY961" i="15" s="1"/>
  <c r="CY962" i="15" s="1"/>
  <c r="CY963" i="15" s="1"/>
  <c r="CY964" i="15" s="1"/>
  <c r="CY965" i="15" s="1"/>
  <c r="CY966" i="15" s="1"/>
  <c r="CY967" i="15" s="1"/>
  <c r="CY968" i="15" s="1"/>
  <c r="CY969" i="15" s="1"/>
  <c r="CY970" i="15" s="1"/>
  <c r="CY971" i="15" s="1"/>
  <c r="CY972" i="15" s="1"/>
  <c r="CY973" i="15" s="1"/>
  <c r="CY974" i="15" s="1"/>
  <c r="CY975" i="15" s="1"/>
  <c r="CY976" i="15" s="1"/>
  <c r="CY977" i="15" s="1"/>
  <c r="CY978" i="15" s="1"/>
  <c r="CY979" i="15" s="1"/>
  <c r="CY980" i="15" s="1"/>
  <c r="CY981" i="15" s="1"/>
  <c r="CY982" i="15" s="1"/>
  <c r="CY983" i="15" s="1"/>
  <c r="CY984" i="15" s="1"/>
  <c r="CY985" i="15" s="1"/>
  <c r="CY986" i="15" s="1"/>
  <c r="CY987" i="15" s="1"/>
  <c r="CY988" i="15" s="1"/>
  <c r="CY989" i="15" s="1"/>
  <c r="CY990" i="15" s="1"/>
  <c r="CY991" i="15" s="1"/>
  <c r="CY992" i="15" s="1"/>
  <c r="CY993" i="15" s="1"/>
  <c r="CY994" i="15" s="1"/>
  <c r="CY995" i="15" s="1"/>
  <c r="CY996" i="15" s="1"/>
  <c r="CY997" i="15" s="1"/>
  <c r="CY998" i="15" s="1"/>
  <c r="CY999" i="15" s="1"/>
  <c r="CY1000" i="15" s="1"/>
  <c r="CY1001" i="15" s="1"/>
  <c r="CY1002" i="15" s="1"/>
  <c r="CY1003" i="15" s="1"/>
  <c r="CY1004" i="15" s="1"/>
  <c r="CY1005" i="15" s="1"/>
  <c r="CY1006" i="15" s="1"/>
  <c r="CY1007" i="15" s="1"/>
  <c r="CY1008" i="15" s="1"/>
  <c r="CY1009" i="15" s="1"/>
  <c r="CY1010" i="15" s="1"/>
  <c r="CY1011" i="15" s="1"/>
  <c r="CY1012" i="15" s="1"/>
  <c r="CY1013" i="15" s="1"/>
  <c r="CY1014" i="15" s="1"/>
  <c r="CY1015" i="15" s="1"/>
  <c r="CY1016" i="15" s="1"/>
  <c r="CY1017" i="15" s="1"/>
  <c r="CY1018" i="15" s="1"/>
  <c r="CY1019" i="15" s="1"/>
  <c r="CY1020" i="15" s="1"/>
  <c r="CY1021" i="15" s="1"/>
  <c r="CY1022" i="15" s="1"/>
  <c r="CY1023" i="15" s="1"/>
  <c r="CY1024" i="15" s="1"/>
  <c r="CY1025" i="15" s="1"/>
  <c r="CY1026" i="15" s="1"/>
  <c r="CY1027" i="15" s="1"/>
  <c r="CY1028" i="15" s="1"/>
  <c r="CY1029" i="15" s="1"/>
  <c r="CY1030" i="15" s="1"/>
  <c r="CY1031" i="15" s="1"/>
  <c r="CY1032" i="15" s="1"/>
  <c r="CY1033" i="15" s="1"/>
  <c r="CY1034" i="15" s="1"/>
  <c r="CY1035" i="15" s="1"/>
  <c r="CY1036" i="15" s="1"/>
  <c r="CY1037" i="15" s="1"/>
  <c r="CY1038" i="15" s="1"/>
  <c r="CY1039" i="15" s="1"/>
  <c r="CY1040" i="15" s="1"/>
  <c r="CY1041" i="15" s="1"/>
  <c r="CY1042" i="15" s="1"/>
  <c r="CY1043" i="15" s="1"/>
  <c r="CY1044" i="15" s="1"/>
  <c r="CY1045" i="15" s="1"/>
  <c r="CY1046" i="15" s="1"/>
  <c r="CY1047" i="15" s="1"/>
  <c r="CY1048" i="15" s="1"/>
  <c r="CY1049" i="15" s="1"/>
  <c r="CY1050" i="15" s="1"/>
  <c r="CY1051" i="15" s="1"/>
  <c r="CY1052" i="15" s="1"/>
  <c r="CY1053" i="15" s="1"/>
  <c r="CY1054" i="15" s="1"/>
  <c r="CY1055" i="15" s="1"/>
  <c r="CY1056" i="15" s="1"/>
  <c r="CY1057" i="15" s="1"/>
  <c r="CY1058" i="15" s="1"/>
  <c r="CY1059" i="15" s="1"/>
  <c r="CY1060" i="15" s="1"/>
  <c r="CY1061" i="15" s="1"/>
  <c r="CY1062" i="15" s="1"/>
  <c r="CY1063" i="15" s="1"/>
  <c r="CY1064" i="15" s="1"/>
  <c r="CY1065" i="15" s="1"/>
  <c r="CY1066" i="15" s="1"/>
  <c r="CY1067" i="15" s="1"/>
  <c r="CY1068" i="15" s="1"/>
  <c r="CY1069" i="15" s="1"/>
  <c r="CY1070" i="15" s="1"/>
  <c r="CY1071" i="15" s="1"/>
  <c r="CY1072" i="15" s="1"/>
  <c r="CY1073" i="15" s="1"/>
  <c r="CY1074" i="15" s="1"/>
  <c r="CY1075" i="15" s="1"/>
  <c r="CY1076" i="15" s="1"/>
  <c r="CY1077" i="15" s="1"/>
  <c r="CY1078" i="15" s="1"/>
  <c r="CY1079" i="15" s="1"/>
  <c r="CY1080" i="15" s="1"/>
  <c r="CY1081" i="15" s="1"/>
  <c r="CY1082" i="15" s="1"/>
  <c r="CY1083" i="15" s="1"/>
  <c r="CY1084" i="15" s="1"/>
  <c r="CY1085" i="15" s="1"/>
  <c r="CY1086" i="15" s="1"/>
  <c r="CY1087" i="15" s="1"/>
  <c r="CY1088" i="15" s="1"/>
  <c r="CY1089" i="15" s="1"/>
  <c r="CY1090" i="15" s="1"/>
  <c r="CY1091" i="15" s="1"/>
  <c r="CY1092" i="15" s="1"/>
  <c r="CY1093" i="15" s="1"/>
  <c r="CY1094" i="15" s="1"/>
  <c r="CY1095" i="15" s="1"/>
  <c r="CY1096" i="15" s="1"/>
  <c r="CY1097" i="15" s="1"/>
  <c r="CY1098" i="15" s="1"/>
  <c r="CY1099" i="15" s="1"/>
  <c r="CY1100" i="15" s="1"/>
  <c r="CS570" i="15"/>
  <c r="DG773" i="15" s="1"/>
  <c r="DE1100" i="15"/>
  <c r="DE1099" i="15"/>
  <c r="DE1098" i="15"/>
  <c r="DE1097" i="15"/>
  <c r="DE1096" i="15"/>
  <c r="DE1095" i="15"/>
  <c r="DE1094" i="15"/>
  <c r="DE1093" i="15"/>
  <c r="DE1092" i="15"/>
  <c r="DE1091" i="15"/>
  <c r="DE1090" i="15"/>
  <c r="DE1089" i="15"/>
  <c r="DE1088" i="15"/>
  <c r="DE1087" i="15"/>
  <c r="DE1086" i="15"/>
  <c r="DE1085" i="15"/>
  <c r="DE1084" i="15"/>
  <c r="DE1083" i="15"/>
  <c r="DE1082" i="15"/>
  <c r="DE1081" i="15"/>
  <c r="DE1080" i="15"/>
  <c r="DE1079" i="15"/>
  <c r="DE1078" i="15"/>
  <c r="DE1077" i="15"/>
  <c r="DE1076" i="15"/>
  <c r="DE1075" i="15"/>
  <c r="DE1074" i="15"/>
  <c r="DE1073" i="15"/>
  <c r="DE1072" i="15"/>
  <c r="DE1071" i="15"/>
  <c r="DE1070" i="15"/>
  <c r="DE1069" i="15"/>
  <c r="DE1068" i="15"/>
  <c r="DE1067" i="15"/>
  <c r="DE1066" i="15"/>
  <c r="DE1065" i="15"/>
  <c r="DE1064" i="15"/>
  <c r="DE1063" i="15"/>
  <c r="DE1062" i="15"/>
  <c r="DE1061" i="15"/>
  <c r="DE1060" i="15"/>
  <c r="DE1059" i="15"/>
  <c r="DE1058" i="15"/>
  <c r="DE1057" i="15"/>
  <c r="DE1056" i="15"/>
  <c r="DE1055" i="15"/>
  <c r="DE1054" i="15"/>
  <c r="DE1053" i="15"/>
  <c r="DE1052" i="15"/>
  <c r="DE1051" i="15"/>
  <c r="DE1050" i="15"/>
  <c r="DE1049" i="15"/>
  <c r="DE1048" i="15"/>
  <c r="DE1047" i="15"/>
  <c r="DE1046" i="15"/>
  <c r="DE1045" i="15"/>
  <c r="DE1044" i="15"/>
  <c r="DE1043" i="15"/>
  <c r="DE1042" i="15"/>
  <c r="DE1041" i="15"/>
  <c r="DE1040" i="15"/>
  <c r="DE1039" i="15"/>
  <c r="DE1038" i="15"/>
  <c r="DE1037" i="15"/>
  <c r="DE1036" i="15"/>
  <c r="DE1035" i="15"/>
  <c r="DE1034" i="15"/>
  <c r="DE1033" i="15"/>
  <c r="DE1032" i="15"/>
  <c r="DE1031" i="15"/>
  <c r="DE1030" i="15"/>
  <c r="DE1029" i="15"/>
  <c r="DE1028" i="15"/>
  <c r="DE1027" i="15"/>
  <c r="DE1026" i="15"/>
  <c r="DE1025" i="15"/>
  <c r="DE1024" i="15"/>
  <c r="DE1023" i="15"/>
  <c r="DE1022" i="15"/>
  <c r="DE1021" i="15"/>
  <c r="DE1020" i="15"/>
  <c r="DE1019" i="15"/>
  <c r="DE1018" i="15"/>
  <c r="DE1017" i="15"/>
  <c r="DE1016" i="15"/>
  <c r="DE1015" i="15"/>
  <c r="DE1014" i="15"/>
  <c r="DE1013" i="15"/>
  <c r="DE1012" i="15"/>
  <c r="DE1011" i="15"/>
  <c r="DE1010" i="15"/>
  <c r="DE1009" i="15"/>
  <c r="DE1008" i="15"/>
  <c r="DE1007" i="15"/>
  <c r="DE1006" i="15"/>
  <c r="DE1005" i="15"/>
  <c r="DE1004" i="15"/>
  <c r="DE1003" i="15"/>
  <c r="DE1002" i="15"/>
  <c r="DE1001" i="15"/>
  <c r="DE1000" i="15"/>
  <c r="DE999" i="15"/>
  <c r="DE998" i="15"/>
  <c r="DE997" i="15"/>
  <c r="DE996" i="15"/>
  <c r="DE995" i="15"/>
  <c r="DE994" i="15"/>
  <c r="DE993" i="15"/>
  <c r="DE992" i="15"/>
  <c r="DE991" i="15"/>
  <c r="DE990" i="15"/>
  <c r="DE989" i="15"/>
  <c r="DE988" i="15"/>
  <c r="DE987" i="15"/>
  <c r="DE986" i="15"/>
  <c r="DE985" i="15"/>
  <c r="DE984" i="15"/>
  <c r="DE983" i="15"/>
  <c r="DE982" i="15"/>
  <c r="DE981" i="15"/>
  <c r="DE980" i="15"/>
  <c r="DE979" i="15"/>
  <c r="DE978" i="15"/>
  <c r="DE977" i="15"/>
  <c r="DE976" i="15"/>
  <c r="DE975" i="15"/>
  <c r="DE974" i="15"/>
  <c r="DE973" i="15"/>
  <c r="DE972" i="15"/>
  <c r="DE971" i="15"/>
  <c r="DE970" i="15"/>
  <c r="DE969" i="15"/>
  <c r="DE968" i="15"/>
  <c r="DE967" i="15"/>
  <c r="DE966" i="15"/>
  <c r="DE965" i="15"/>
  <c r="DE964" i="15"/>
  <c r="DE963" i="15"/>
  <c r="DE962" i="15"/>
  <c r="DE961" i="15"/>
  <c r="DE960" i="15"/>
  <c r="DE959" i="15"/>
  <c r="DE958" i="15"/>
  <c r="DE957" i="15"/>
  <c r="DE956" i="15"/>
  <c r="DE955" i="15"/>
  <c r="DE954" i="15"/>
  <c r="DE953" i="15"/>
  <c r="DE952" i="15"/>
  <c r="DE951" i="15"/>
  <c r="DE950" i="15"/>
  <c r="DE949" i="15"/>
  <c r="DE948" i="15"/>
  <c r="DE947" i="15"/>
  <c r="DE946" i="15"/>
  <c r="DE945" i="15"/>
  <c r="DE944" i="15"/>
  <c r="DE943" i="15"/>
  <c r="DE942" i="15"/>
  <c r="DE941" i="15"/>
  <c r="DE940" i="15"/>
  <c r="DE939" i="15"/>
  <c r="DE938" i="15"/>
  <c r="DE937" i="15"/>
  <c r="DE936" i="15"/>
  <c r="DE935" i="15"/>
  <c r="DE934" i="15"/>
  <c r="DE933" i="15"/>
  <c r="DE932" i="15"/>
  <c r="DE931" i="15"/>
  <c r="DE930" i="15"/>
  <c r="DE929" i="15"/>
  <c r="DE928" i="15"/>
  <c r="DE927" i="15"/>
  <c r="DE926" i="15"/>
  <c r="DE925" i="15"/>
  <c r="DE924" i="15"/>
  <c r="DE923" i="15"/>
  <c r="DE922" i="15"/>
  <c r="DE921" i="15"/>
  <c r="DE920" i="15"/>
  <c r="DE919" i="15"/>
  <c r="DE918" i="15"/>
  <c r="DE917" i="15"/>
  <c r="DE916" i="15"/>
  <c r="DE915" i="15"/>
  <c r="DE914" i="15"/>
  <c r="DE913" i="15"/>
  <c r="DE912" i="15"/>
  <c r="DE911" i="15"/>
  <c r="DE910" i="15"/>
  <c r="DE909" i="15"/>
  <c r="DE908" i="15"/>
  <c r="DE907" i="15"/>
  <c r="DE906" i="15"/>
  <c r="DE905" i="15"/>
  <c r="DE904" i="15"/>
  <c r="DE903" i="15"/>
  <c r="DE902" i="15"/>
  <c r="DE901" i="15"/>
  <c r="DE900" i="15"/>
  <c r="DE899" i="15"/>
  <c r="DE898" i="15"/>
  <c r="DE897" i="15"/>
  <c r="DE896" i="15"/>
  <c r="DE895" i="15"/>
  <c r="DE894" i="15"/>
  <c r="DE893" i="15"/>
  <c r="DE892" i="15"/>
  <c r="DE891" i="15"/>
  <c r="DE890" i="15"/>
  <c r="DE889" i="15"/>
  <c r="DE888" i="15"/>
  <c r="DE887" i="15"/>
  <c r="DE886" i="15"/>
  <c r="DE885" i="15"/>
  <c r="DE884" i="15"/>
  <c r="DE883" i="15"/>
  <c r="DE882" i="15"/>
  <c r="DE881" i="15"/>
  <c r="DE880" i="15"/>
  <c r="DE879" i="15"/>
  <c r="DE878" i="15"/>
  <c r="DE877" i="15"/>
  <c r="DE876" i="15"/>
  <c r="DE875" i="15"/>
  <c r="DE874" i="15"/>
  <c r="DE873" i="15"/>
  <c r="DE872" i="15"/>
  <c r="DE871" i="15"/>
  <c r="DE870" i="15"/>
  <c r="DE869" i="15"/>
  <c r="DE868" i="15"/>
  <c r="DE867" i="15"/>
  <c r="DE866" i="15"/>
  <c r="DE865" i="15"/>
  <c r="DE864" i="15"/>
  <c r="DE863" i="15"/>
  <c r="DE862" i="15"/>
  <c r="DE861" i="15"/>
  <c r="DE860" i="15"/>
  <c r="DE859" i="15"/>
  <c r="DE858" i="15"/>
  <c r="DE857" i="15"/>
  <c r="DE856" i="15"/>
  <c r="DE855" i="15"/>
  <c r="DE854" i="15"/>
  <c r="DE853" i="15"/>
  <c r="DE852" i="15"/>
  <c r="DE851" i="15"/>
  <c r="DE850" i="15"/>
  <c r="DE849" i="15"/>
  <c r="DE848" i="15"/>
  <c r="DE847" i="15"/>
  <c r="DE846" i="15"/>
  <c r="DE845" i="15"/>
  <c r="DE844" i="15"/>
  <c r="DE843" i="15"/>
  <c r="DE842" i="15"/>
  <c r="DE841" i="15"/>
  <c r="DE840" i="15"/>
  <c r="DE839" i="15"/>
  <c r="DE838" i="15"/>
  <c r="DE837" i="15"/>
  <c r="DE836" i="15"/>
  <c r="DE835" i="15"/>
  <c r="DE834" i="15"/>
  <c r="DE833" i="15"/>
  <c r="DE832" i="15"/>
  <c r="DE831" i="15"/>
  <c r="DE830" i="15"/>
  <c r="DE829" i="15"/>
  <c r="DE828" i="15"/>
  <c r="DE827" i="15"/>
  <c r="DE826" i="15"/>
  <c r="DE825" i="15"/>
  <c r="DE824" i="15"/>
  <c r="DE823" i="15"/>
  <c r="DE822" i="15"/>
  <c r="DE821" i="15"/>
  <c r="DE820" i="15"/>
  <c r="DE819" i="15"/>
  <c r="DE818" i="15"/>
  <c r="DE817" i="15"/>
  <c r="DE816" i="15"/>
  <c r="DE815" i="15"/>
  <c r="DE814" i="15"/>
  <c r="DE813" i="15"/>
  <c r="DE812" i="15"/>
  <c r="DE811" i="15"/>
  <c r="DE810" i="15"/>
  <c r="DE809" i="15"/>
  <c r="DE808" i="15"/>
  <c r="DE807" i="15"/>
  <c r="DE806" i="15"/>
  <c r="DE805" i="15"/>
  <c r="DE804" i="15"/>
  <c r="DE803" i="15"/>
  <c r="DE802" i="15"/>
  <c r="DE801" i="15"/>
  <c r="DE800" i="15"/>
  <c r="DE799" i="15"/>
  <c r="DE798" i="15"/>
  <c r="DE797" i="15"/>
  <c r="DE796" i="15"/>
  <c r="DE795" i="15"/>
  <c r="DE794" i="15"/>
  <c r="DE793" i="15"/>
  <c r="DE792" i="15"/>
  <c r="DE791" i="15"/>
  <c r="DE571" i="15"/>
  <c r="DC572" i="15"/>
  <c r="DE572" i="15" s="1"/>
  <c r="BQ571" i="15"/>
  <c r="BQ572" i="15" s="1"/>
  <c r="BQ573" i="15" s="1"/>
  <c r="BQ574" i="15" s="1"/>
  <c r="BQ575" i="15" s="1"/>
  <c r="BQ576" i="15" s="1"/>
  <c r="BQ577" i="15" s="1"/>
  <c r="BQ578" i="15" s="1"/>
  <c r="AH709" i="15"/>
  <c r="AG709" i="15"/>
  <c r="AH708" i="15"/>
  <c r="AG708" i="15"/>
  <c r="AH707" i="15"/>
  <c r="AG707" i="15"/>
  <c r="AH706" i="15"/>
  <c r="AG706" i="15"/>
  <c r="AH705" i="15"/>
  <c r="AG705" i="15"/>
  <c r="AH704" i="15"/>
  <c r="AG704" i="15"/>
  <c r="AH703" i="15"/>
  <c r="AG703" i="15"/>
  <c r="AH702" i="15"/>
  <c r="AG702" i="15"/>
  <c r="AH701" i="15"/>
  <c r="AG701" i="15"/>
  <c r="AH700" i="15"/>
  <c r="AG700" i="15"/>
  <c r="AH699" i="15"/>
  <c r="AG699" i="15"/>
  <c r="AH698" i="15"/>
  <c r="AG698" i="15"/>
  <c r="AF709" i="15"/>
  <c r="AA709" i="15"/>
  <c r="AF708" i="15"/>
  <c r="AA708" i="15"/>
  <c r="AF707" i="15"/>
  <c r="AA707" i="15"/>
  <c r="AF706" i="15"/>
  <c r="AA706" i="15"/>
  <c r="AF705" i="15"/>
  <c r="AA705" i="15"/>
  <c r="AF704" i="15"/>
  <c r="AA704" i="15"/>
  <c r="AF703" i="15"/>
  <c r="AA703" i="15"/>
  <c r="AF702" i="15"/>
  <c r="AA702" i="15"/>
  <c r="AF701" i="15"/>
  <c r="AA701" i="15"/>
  <c r="AF700" i="15"/>
  <c r="AA700" i="15"/>
  <c r="AF699" i="15"/>
  <c r="AA699" i="15"/>
  <c r="AF698" i="15"/>
  <c r="AA698" i="15"/>
  <c r="AF697" i="15"/>
  <c r="AA697" i="15"/>
  <c r="AF696" i="15"/>
  <c r="AA696" i="15"/>
  <c r="AF695" i="15"/>
  <c r="AA695" i="15"/>
  <c r="AF694" i="15"/>
  <c r="AA694" i="15"/>
  <c r="AF693" i="15"/>
  <c r="AA693" i="15"/>
  <c r="AF692" i="15"/>
  <c r="AA692" i="15"/>
  <c r="AF691" i="15"/>
  <c r="AQ691" i="15" s="1"/>
  <c r="AY691" i="15" s="1"/>
  <c r="BF691" i="15" s="1"/>
  <c r="BN691" i="15" s="1"/>
  <c r="AA691" i="15"/>
  <c r="AF690" i="15"/>
  <c r="AQ690" i="15" s="1"/>
  <c r="AY690" i="15" s="1"/>
  <c r="BF690" i="15" s="1"/>
  <c r="BN690" i="15" s="1"/>
  <c r="AA690" i="15"/>
  <c r="AF689" i="15"/>
  <c r="AQ689" i="15" s="1"/>
  <c r="AY689" i="15" s="1"/>
  <c r="BF689" i="15" s="1"/>
  <c r="BN689" i="15" s="1"/>
  <c r="AA689" i="15"/>
  <c r="AF688" i="15"/>
  <c r="AQ688" i="15" s="1"/>
  <c r="AY688" i="15" s="1"/>
  <c r="BF688" i="15" s="1"/>
  <c r="BN688" i="15" s="1"/>
  <c r="AA688" i="15"/>
  <c r="AF687" i="15"/>
  <c r="AQ687" i="15" s="1"/>
  <c r="AY687" i="15" s="1"/>
  <c r="BF687" i="15" s="1"/>
  <c r="BN687" i="15" s="1"/>
  <c r="AA687" i="15"/>
  <c r="AF686" i="15"/>
  <c r="AQ686" i="15" s="1"/>
  <c r="AY686" i="15" s="1"/>
  <c r="BF686" i="15" s="1"/>
  <c r="BN686" i="15" s="1"/>
  <c r="AA686" i="15"/>
  <c r="AF685" i="15"/>
  <c r="AQ685" i="15" s="1"/>
  <c r="AY685" i="15" s="1"/>
  <c r="BF685" i="15" s="1"/>
  <c r="BN685" i="15" s="1"/>
  <c r="AA685" i="15"/>
  <c r="AF570" i="15"/>
  <c r="AE570" i="15"/>
  <c r="AD570" i="15"/>
  <c r="AC570" i="15"/>
  <c r="AB570" i="15"/>
  <c r="AA570" i="15"/>
  <c r="AJ150" i="31"/>
  <c r="AG139" i="31"/>
  <c r="AK157" i="31"/>
  <c r="AK128" i="31"/>
  <c r="AF144" i="31"/>
  <c r="AF128" i="31"/>
  <c r="AG133" i="31"/>
  <c r="AK139" i="31"/>
  <c r="AK150" i="31"/>
  <c r="AQ121" i="31"/>
  <c r="AK133" i="31"/>
  <c r="AH139" i="31"/>
  <c r="AK127" i="31"/>
  <c r="AQ144" i="31"/>
  <c r="AI120" i="31"/>
  <c r="AI126" i="31"/>
  <c r="AQ120" i="31"/>
  <c r="AQ132" i="31"/>
  <c r="AI144" i="31"/>
  <c r="AK145" i="31"/>
  <c r="AQ150" i="31"/>
  <c r="AH145" i="31"/>
  <c r="AQ138" i="31"/>
  <c r="AF127" i="31"/>
  <c r="AF139" i="31"/>
  <c r="AF151" i="31"/>
  <c r="AG145" i="31"/>
  <c r="AI150" i="31"/>
  <c r="AF133" i="31"/>
  <c r="AH144" i="31"/>
  <c r="AI132" i="31"/>
  <c r="AI138" i="31"/>
  <c r="AJ145" i="31"/>
  <c r="AQ126" i="31"/>
  <c r="AH127" i="31"/>
  <c r="AG128" i="31"/>
  <c r="AJ139" i="31"/>
  <c r="AG127" i="31"/>
  <c r="AH128" i="31"/>
  <c r="AG144" i="31"/>
  <c r="AJ144" i="31"/>
  <c r="AJ133" i="31"/>
  <c r="AF150" i="31"/>
  <c r="AF145" i="31"/>
  <c r="AB150" i="31"/>
  <c r="AK144" i="31"/>
  <c r="AJ127" i="31"/>
  <c r="AI121" i="31"/>
  <c r="AH150" i="31"/>
  <c r="AH133" i="31"/>
  <c r="AG157" i="31"/>
  <c r="AJ128" i="31"/>
  <c r="AB56" i="35" l="1"/>
  <c r="L55" i="35" s="1"/>
  <c r="DT13" i="32" s="1"/>
  <c r="CJ93" i="32"/>
  <c r="CW92" i="32"/>
  <c r="X56" i="35"/>
  <c r="L53" i="35" s="1"/>
  <c r="DT11" i="32" s="1"/>
  <c r="DS11" i="32" s="1"/>
  <c r="DW11" i="32" s="1"/>
  <c r="V56" i="35"/>
  <c r="L52" i="35" s="1"/>
  <c r="DT10" i="32" s="1"/>
  <c r="DU10" i="32" s="1"/>
  <c r="DV16" i="32"/>
  <c r="DX16" i="32"/>
  <c r="AD56" i="35"/>
  <c r="L56" i="35" s="1"/>
  <c r="DT14" i="32" s="1"/>
  <c r="DV15" i="32"/>
  <c r="DX15" i="32"/>
  <c r="DX17" i="32"/>
  <c r="DV17" i="32"/>
  <c r="DV18" i="32"/>
  <c r="DX18" i="32"/>
  <c r="Z23" i="35"/>
  <c r="AA22" i="35" s="1"/>
  <c r="DS13" i="32"/>
  <c r="DW13" i="32" s="1"/>
  <c r="DU13" i="32"/>
  <c r="DU11" i="32"/>
  <c r="DS12" i="32"/>
  <c r="DW12" i="32" s="1"/>
  <c r="DU12" i="32"/>
  <c r="CH36" i="32"/>
  <c r="CI36" i="32" s="1"/>
  <c r="CS35" i="32"/>
  <c r="E76" i="30"/>
  <c r="E79" i="30"/>
  <c r="H79" i="30" s="1"/>
  <c r="H90" i="30" s="1"/>
  <c r="H89" i="30"/>
  <c r="H120" i="30"/>
  <c r="G120" i="30"/>
  <c r="G129" i="30" s="1"/>
  <c r="BG144" i="31"/>
  <c r="AB151" i="31"/>
  <c r="AB152" i="31" s="1"/>
  <c r="AB153" i="31" s="1"/>
  <c r="AB154" i="31" s="1"/>
  <c r="AB155" i="31" s="1"/>
  <c r="AB156" i="31" s="1"/>
  <c r="BG132" i="31"/>
  <c r="BG120" i="31"/>
  <c r="BG150" i="31"/>
  <c r="BG138" i="31"/>
  <c r="BG121" i="31"/>
  <c r="BG126" i="31"/>
  <c r="I146" i="31"/>
  <c r="I140" i="31"/>
  <c r="X171" i="31"/>
  <c r="X165" i="31"/>
  <c r="X166" i="31" s="1"/>
  <c r="X167" i="31" s="1"/>
  <c r="X168" i="31" s="1"/>
  <c r="X169" i="31" s="1"/>
  <c r="X170" i="31" s="1"/>
  <c r="K153" i="31"/>
  <c r="I128" i="31"/>
  <c r="Q134" i="31"/>
  <c r="Q128" i="31"/>
  <c r="R171" i="31"/>
  <c r="R165" i="31"/>
  <c r="R166" i="31" s="1"/>
  <c r="R167" i="31" s="1"/>
  <c r="R168" i="31" s="1"/>
  <c r="R169" i="31" s="1"/>
  <c r="R170" i="31" s="1"/>
  <c r="F135" i="31"/>
  <c r="K147" i="31"/>
  <c r="G141" i="31"/>
  <c r="V171" i="31"/>
  <c r="V165" i="31"/>
  <c r="V166" i="31" s="1"/>
  <c r="V167" i="31" s="1"/>
  <c r="V168" i="31" s="1"/>
  <c r="V169" i="31" s="1"/>
  <c r="V170" i="31" s="1"/>
  <c r="J141" i="31"/>
  <c r="W171" i="31"/>
  <c r="W165" i="31"/>
  <c r="W166" i="31" s="1"/>
  <c r="W167" i="31" s="1"/>
  <c r="W168" i="31" s="1"/>
  <c r="W169" i="31" s="1"/>
  <c r="W170" i="31" s="1"/>
  <c r="F153" i="31"/>
  <c r="A164" i="31"/>
  <c r="A158" i="31"/>
  <c r="A159" i="31" s="1"/>
  <c r="A160" i="31" s="1"/>
  <c r="A161" i="31" s="1"/>
  <c r="A162" i="31" s="1"/>
  <c r="A163" i="31" s="1"/>
  <c r="K141" i="31"/>
  <c r="K159" i="31"/>
  <c r="E171" i="31"/>
  <c r="E165" i="31"/>
  <c r="E166" i="31" s="1"/>
  <c r="E167" i="31" s="1"/>
  <c r="E168" i="31" s="1"/>
  <c r="E169" i="31" s="1"/>
  <c r="E170" i="31" s="1"/>
  <c r="I134" i="31"/>
  <c r="F171" i="31"/>
  <c r="F165" i="31"/>
  <c r="Q146" i="31"/>
  <c r="J159" i="31"/>
  <c r="I164" i="31"/>
  <c r="I158" i="31"/>
  <c r="G159" i="31"/>
  <c r="J153" i="31"/>
  <c r="H141" i="31"/>
  <c r="H171" i="31"/>
  <c r="H165" i="31"/>
  <c r="F159" i="31"/>
  <c r="P158" i="31"/>
  <c r="P159" i="31" s="1"/>
  <c r="P160" i="31" s="1"/>
  <c r="P161" i="31" s="1"/>
  <c r="P162" i="31" s="1"/>
  <c r="P163" i="31" s="1"/>
  <c r="P164" i="31"/>
  <c r="J135" i="31"/>
  <c r="H153" i="31"/>
  <c r="I152" i="31"/>
  <c r="B171" i="31"/>
  <c r="B165" i="31"/>
  <c r="B166" i="31" s="1"/>
  <c r="B167" i="31" s="1"/>
  <c r="B168" i="31" s="1"/>
  <c r="B169" i="31" s="1"/>
  <c r="B170" i="31" s="1"/>
  <c r="Q140" i="31"/>
  <c r="F147" i="31"/>
  <c r="Q152" i="31"/>
  <c r="K165" i="31"/>
  <c r="K171" i="31"/>
  <c r="O171" i="31"/>
  <c r="O165" i="31"/>
  <c r="O166" i="31" s="1"/>
  <c r="O167" i="31" s="1"/>
  <c r="O168" i="31" s="1"/>
  <c r="O169" i="31" s="1"/>
  <c r="O170" i="31" s="1"/>
  <c r="D165" i="31"/>
  <c r="D166" i="31" s="1"/>
  <c r="D167" i="31" s="1"/>
  <c r="D168" i="31" s="1"/>
  <c r="D169" i="31" s="1"/>
  <c r="D170" i="31" s="1"/>
  <c r="D171" i="31"/>
  <c r="J171" i="31"/>
  <c r="J165" i="31"/>
  <c r="G147" i="31"/>
  <c r="K135" i="31"/>
  <c r="J147" i="31"/>
  <c r="M171" i="31"/>
  <c r="M165" i="31"/>
  <c r="M166" i="31" s="1"/>
  <c r="M167" i="31" s="1"/>
  <c r="M168" i="31" s="1"/>
  <c r="M169" i="31" s="1"/>
  <c r="M170" i="31" s="1"/>
  <c r="L171" i="31"/>
  <c r="L165" i="31"/>
  <c r="L166" i="31" s="1"/>
  <c r="L167" i="31" s="1"/>
  <c r="L168" i="31" s="1"/>
  <c r="L169" i="31" s="1"/>
  <c r="L170" i="31" s="1"/>
  <c r="S171" i="31"/>
  <c r="S165" i="31"/>
  <c r="S166" i="31" s="1"/>
  <c r="S167" i="31" s="1"/>
  <c r="S168" i="31" s="1"/>
  <c r="S169" i="31" s="1"/>
  <c r="S170" i="31" s="1"/>
  <c r="T164" i="31"/>
  <c r="T158" i="31"/>
  <c r="T159" i="31" s="1"/>
  <c r="T160" i="31" s="1"/>
  <c r="T161" i="31" s="1"/>
  <c r="T162" i="31" s="1"/>
  <c r="T163" i="31" s="1"/>
  <c r="H135" i="31"/>
  <c r="G135" i="31"/>
  <c r="N171" i="31"/>
  <c r="N165" i="31"/>
  <c r="N166" i="31" s="1"/>
  <c r="N167" i="31" s="1"/>
  <c r="N168" i="31" s="1"/>
  <c r="N169" i="31" s="1"/>
  <c r="N170" i="31" s="1"/>
  <c r="G171" i="31"/>
  <c r="G165" i="31"/>
  <c r="Q164" i="31"/>
  <c r="Q158" i="31"/>
  <c r="H147" i="31"/>
  <c r="F141" i="31"/>
  <c r="U171" i="31"/>
  <c r="U165" i="31"/>
  <c r="U166" i="31" s="1"/>
  <c r="U167" i="31" s="1"/>
  <c r="U168" i="31" s="1"/>
  <c r="U169" i="31" s="1"/>
  <c r="U170" i="31" s="1"/>
  <c r="H159" i="31"/>
  <c r="G153" i="31"/>
  <c r="C171" i="31"/>
  <c r="C165" i="31"/>
  <c r="C166" i="31" s="1"/>
  <c r="C167" i="31" s="1"/>
  <c r="C168" i="31" s="1"/>
  <c r="C169" i="31" s="1"/>
  <c r="C170" i="31" s="1"/>
  <c r="AC685" i="15"/>
  <c r="AC687" i="15"/>
  <c r="AC689" i="15"/>
  <c r="AC691" i="15"/>
  <c r="AC693" i="15"/>
  <c r="AC695" i="15"/>
  <c r="AC697" i="15"/>
  <c r="AC699" i="15"/>
  <c r="AC701" i="15"/>
  <c r="AC703" i="15"/>
  <c r="AC705" i="15"/>
  <c r="AC707" i="15"/>
  <c r="AC709" i="15"/>
  <c r="AB695" i="15"/>
  <c r="AB703" i="15"/>
  <c r="AL687" i="15"/>
  <c r="AT687" i="15" s="1"/>
  <c r="BA687" i="15" s="1"/>
  <c r="BI687" i="15" s="1"/>
  <c r="AB687" i="15"/>
  <c r="AB691" i="15"/>
  <c r="AB699" i="15"/>
  <c r="AB707" i="15"/>
  <c r="AL689" i="15"/>
  <c r="AT689" i="15" s="1"/>
  <c r="BA689" i="15" s="1"/>
  <c r="BI689" i="15" s="1"/>
  <c r="AB685" i="15"/>
  <c r="AB689" i="15"/>
  <c r="AM689" i="15" s="1"/>
  <c r="AB693" i="15"/>
  <c r="AB697" i="15"/>
  <c r="AB701" i="15"/>
  <c r="AB705" i="15"/>
  <c r="AB709" i="15"/>
  <c r="DC573" i="15"/>
  <c r="DC574" i="15" s="1"/>
  <c r="DE574" i="15" s="1"/>
  <c r="AE686" i="15"/>
  <c r="AP686" i="15" s="1"/>
  <c r="AX686" i="15" s="1"/>
  <c r="BE686" i="15" s="1"/>
  <c r="BM686" i="15" s="1"/>
  <c r="AL686" i="15"/>
  <c r="AT686" i="15" s="1"/>
  <c r="BA686" i="15" s="1"/>
  <c r="BI686" i="15" s="1"/>
  <c r="AD686" i="15"/>
  <c r="AC686" i="15"/>
  <c r="AB686" i="15"/>
  <c r="AE688" i="15"/>
  <c r="AP688" i="15" s="1"/>
  <c r="AX688" i="15" s="1"/>
  <c r="BE688" i="15" s="1"/>
  <c r="BM688" i="15" s="1"/>
  <c r="AL688" i="15"/>
  <c r="AT688" i="15" s="1"/>
  <c r="BA688" i="15" s="1"/>
  <c r="BI688" i="15" s="1"/>
  <c r="AD688" i="15"/>
  <c r="AC688" i="15"/>
  <c r="AB688" i="15"/>
  <c r="AE690" i="15"/>
  <c r="AP690" i="15" s="1"/>
  <c r="AX690" i="15" s="1"/>
  <c r="BE690" i="15" s="1"/>
  <c r="BM690" i="15" s="1"/>
  <c r="AL690" i="15"/>
  <c r="AT690" i="15" s="1"/>
  <c r="BA690" i="15" s="1"/>
  <c r="BI690" i="15" s="1"/>
  <c r="AD690" i="15"/>
  <c r="AC690" i="15"/>
  <c r="AB690" i="15"/>
  <c r="AE692" i="15"/>
  <c r="AD692" i="15"/>
  <c r="AC692" i="15"/>
  <c r="AB692" i="15"/>
  <c r="AE694" i="15"/>
  <c r="AD694" i="15"/>
  <c r="AC694" i="15"/>
  <c r="AB694" i="15"/>
  <c r="AE696" i="15"/>
  <c r="AD696" i="15"/>
  <c r="AC696" i="15"/>
  <c r="AB696" i="15"/>
  <c r="AE698" i="15"/>
  <c r="AD698" i="15"/>
  <c r="AC698" i="15"/>
  <c r="AB698" i="15"/>
  <c r="AE700" i="15"/>
  <c r="AD700" i="15"/>
  <c r="AC700" i="15"/>
  <c r="AB700" i="15"/>
  <c r="AE702" i="15"/>
  <c r="AD702" i="15"/>
  <c r="AC702" i="15"/>
  <c r="AB702" i="15"/>
  <c r="AE704" i="15"/>
  <c r="AD704" i="15"/>
  <c r="AC704" i="15"/>
  <c r="AB704" i="15"/>
  <c r="AE706" i="15"/>
  <c r="AD706" i="15"/>
  <c r="AC706" i="15"/>
  <c r="AB706" i="15"/>
  <c r="AE708" i="15"/>
  <c r="AD708" i="15"/>
  <c r="AC708" i="15"/>
  <c r="AB708" i="15"/>
  <c r="AE685" i="15"/>
  <c r="AP685" i="15" s="1"/>
  <c r="AX685" i="15" s="1"/>
  <c r="BE685" i="15" s="1"/>
  <c r="BM685" i="15" s="1"/>
  <c r="AD685" i="15"/>
  <c r="AN685" i="15" s="1"/>
  <c r="AE687" i="15"/>
  <c r="AP687" i="15" s="1"/>
  <c r="AX687" i="15" s="1"/>
  <c r="BE687" i="15" s="1"/>
  <c r="BM687" i="15" s="1"/>
  <c r="AD687" i="15"/>
  <c r="AE689" i="15"/>
  <c r="AP689" i="15" s="1"/>
  <c r="AX689" i="15" s="1"/>
  <c r="BE689" i="15" s="1"/>
  <c r="BM689" i="15" s="1"/>
  <c r="AD689" i="15"/>
  <c r="AN689" i="15" s="1"/>
  <c r="AE691" i="15"/>
  <c r="AP691" i="15" s="1"/>
  <c r="AX691" i="15" s="1"/>
  <c r="BE691" i="15" s="1"/>
  <c r="BM691" i="15" s="1"/>
  <c r="AD691" i="15"/>
  <c r="AE693" i="15"/>
  <c r="AD693" i="15"/>
  <c r="AE695" i="15"/>
  <c r="AD695" i="15"/>
  <c r="AE697" i="15"/>
  <c r="AD697" i="15"/>
  <c r="AE699" i="15"/>
  <c r="AD699" i="15"/>
  <c r="AE701" i="15"/>
  <c r="AD701" i="15"/>
  <c r="AE703" i="15"/>
  <c r="AD703" i="15"/>
  <c r="AE705" i="15"/>
  <c r="AD705" i="15"/>
  <c r="AE707" i="15"/>
  <c r="AD707" i="15"/>
  <c r="AE709" i="15"/>
  <c r="AD709" i="15"/>
  <c r="AL685" i="15"/>
  <c r="AT685" i="15" s="1"/>
  <c r="BA685" i="15" s="1"/>
  <c r="BI685" i="15" s="1"/>
  <c r="AL691" i="15"/>
  <c r="AT691" i="15" s="1"/>
  <c r="BA691" i="15" s="1"/>
  <c r="BI691" i="15" s="1"/>
  <c r="DC575" i="15"/>
  <c r="BQ579" i="15"/>
  <c r="O21" i="15"/>
  <c r="O22" i="15" s="1"/>
  <c r="O23" i="15" s="1"/>
  <c r="O24" i="15" s="1"/>
  <c r="O25" i="15" s="1"/>
  <c r="O26" i="15" s="1"/>
  <c r="O27" i="15" s="1"/>
  <c r="O28" i="15" s="1"/>
  <c r="O29" i="15" s="1"/>
  <c r="O30" i="15" s="1"/>
  <c r="O31" i="15" s="1"/>
  <c r="O32" i="15" s="1"/>
  <c r="O33" i="15" s="1"/>
  <c r="O34" i="15" s="1"/>
  <c r="O35" i="15" s="1"/>
  <c r="O36" i="15" s="1"/>
  <c r="O37" i="15" s="1"/>
  <c r="O38" i="15" s="1"/>
  <c r="O39" i="15" s="1"/>
  <c r="O40" i="15" s="1"/>
  <c r="O41" i="15" s="1"/>
  <c r="O42" i="15" s="1"/>
  <c r="O43" i="15" s="1"/>
  <c r="O44" i="15" s="1"/>
  <c r="O45" i="15" s="1"/>
  <c r="O46" i="15" s="1"/>
  <c r="O47" i="15" s="1"/>
  <c r="O48" i="15" s="1"/>
  <c r="O49" i="15" s="1"/>
  <c r="O50" i="15" s="1"/>
  <c r="O51" i="15" s="1"/>
  <c r="O52" i="15" s="1"/>
  <c r="O53" i="15" s="1"/>
  <c r="O54" i="15" s="1"/>
  <c r="O55" i="15" s="1"/>
  <c r="O56" i="15" s="1"/>
  <c r="O57" i="15" s="1"/>
  <c r="O58" i="15" s="1"/>
  <c r="O59" i="15" s="1"/>
  <c r="O60" i="15" s="1"/>
  <c r="O61" i="15" s="1"/>
  <c r="O62" i="15" s="1"/>
  <c r="O63" i="15" s="1"/>
  <c r="O64" i="15" s="1"/>
  <c r="O65" i="15" s="1"/>
  <c r="O66" i="15" s="1"/>
  <c r="O67" i="15" s="1"/>
  <c r="O68" i="15" s="1"/>
  <c r="O69" i="15" s="1"/>
  <c r="O70" i="15" s="1"/>
  <c r="O71" i="15" s="1"/>
  <c r="O72" i="15" s="1"/>
  <c r="O73" i="15" s="1"/>
  <c r="O74" i="15" s="1"/>
  <c r="O75" i="15" s="1"/>
  <c r="O76" i="15" s="1"/>
  <c r="O77" i="15" s="1"/>
  <c r="O78" i="15" s="1"/>
  <c r="O79" i="15" s="1"/>
  <c r="O80" i="15" s="1"/>
  <c r="O81" i="15" s="1"/>
  <c r="O82" i="15" s="1"/>
  <c r="O83" i="15" s="1"/>
  <c r="O84" i="15" s="1"/>
  <c r="O85" i="15" s="1"/>
  <c r="O86" i="15" s="1"/>
  <c r="O87" i="15" s="1"/>
  <c r="O88" i="15" s="1"/>
  <c r="O89" i="15" s="1"/>
  <c r="O90" i="15" s="1"/>
  <c r="O91" i="15" s="1"/>
  <c r="O92" i="15" s="1"/>
  <c r="O93" i="15" s="1"/>
  <c r="O94" i="15" s="1"/>
  <c r="O95" i="15" s="1"/>
  <c r="O96" i="15" s="1"/>
  <c r="O97" i="15" s="1"/>
  <c r="O98" i="15" s="1"/>
  <c r="O99" i="15" s="1"/>
  <c r="O100" i="15" s="1"/>
  <c r="O101" i="15" s="1"/>
  <c r="O102" i="15" s="1"/>
  <c r="O103" i="15" s="1"/>
  <c r="O104" i="15" s="1"/>
  <c r="O105" i="15" s="1"/>
  <c r="O106" i="15" s="1"/>
  <c r="O107" i="15" s="1"/>
  <c r="O108" i="15" s="1"/>
  <c r="O109" i="15" s="1"/>
  <c r="O110" i="15" s="1"/>
  <c r="O111" i="15" s="1"/>
  <c r="O112" i="15" s="1"/>
  <c r="O113" i="15" s="1"/>
  <c r="O114" i="15" s="1"/>
  <c r="O115" i="15" s="1"/>
  <c r="O116" i="15" s="1"/>
  <c r="O117" i="15" s="1"/>
  <c r="O118" i="15" s="1"/>
  <c r="O119" i="15" s="1"/>
  <c r="O120" i="15" s="1"/>
  <c r="O121" i="15" s="1"/>
  <c r="O122" i="15" s="1"/>
  <c r="O123" i="15" s="1"/>
  <c r="O124" i="15" s="1"/>
  <c r="O125" i="15" s="1"/>
  <c r="O126" i="15" s="1"/>
  <c r="O127" i="15" s="1"/>
  <c r="O128" i="15" s="1"/>
  <c r="O129" i="15" s="1"/>
  <c r="O130" i="15" s="1"/>
  <c r="O131" i="15" s="1"/>
  <c r="O132" i="15" s="1"/>
  <c r="O133" i="15" s="1"/>
  <c r="O134" i="15" s="1"/>
  <c r="O135" i="15" s="1"/>
  <c r="O136" i="15" s="1"/>
  <c r="O137" i="15" s="1"/>
  <c r="O138" i="15" s="1"/>
  <c r="O139" i="15" s="1"/>
  <c r="O140" i="15" s="1"/>
  <c r="O141" i="15" s="1"/>
  <c r="O142" i="15" s="1"/>
  <c r="O143" i="15" s="1"/>
  <c r="O144" i="15" s="1"/>
  <c r="O145" i="15" s="1"/>
  <c r="O146" i="15" s="1"/>
  <c r="MH36" i="24"/>
  <c r="FL38" i="18"/>
  <c r="AF157" i="31"/>
  <c r="AH152" i="31"/>
  <c r="DF990" i="15"/>
  <c r="DF1067" i="15"/>
  <c r="DF1093" i="15"/>
  <c r="DF981" i="15"/>
  <c r="AQ139" i="31"/>
  <c r="DF1000" i="15"/>
  <c r="AG151" i="31"/>
  <c r="AI157" i="31"/>
  <c r="AQ128" i="31"/>
  <c r="AQ151" i="31"/>
  <c r="AH151" i="31"/>
  <c r="AG152" i="31"/>
  <c r="DF1013" i="15"/>
  <c r="AI127" i="31"/>
  <c r="DF1020" i="15"/>
  <c r="AJ151" i="31"/>
  <c r="AQ133" i="31"/>
  <c r="AJ134" i="31"/>
  <c r="DF1035" i="15"/>
  <c r="DF1066" i="15"/>
  <c r="DF999" i="15"/>
  <c r="DF1092" i="15"/>
  <c r="AJ164" i="31"/>
  <c r="DF1030" i="15"/>
  <c r="DF1091" i="15"/>
  <c r="DF1056" i="15"/>
  <c r="AQ157" i="31"/>
  <c r="DF1097" i="15"/>
  <c r="DF1024" i="15"/>
  <c r="DF975" i="15"/>
  <c r="AC164" i="31"/>
  <c r="DF1060" i="15"/>
  <c r="DF973" i="15"/>
  <c r="DF1008" i="15"/>
  <c r="DF1038" i="15"/>
  <c r="AK135" i="31"/>
  <c r="DF1076" i="15"/>
  <c r="DF1087" i="15"/>
  <c r="DF1082" i="15"/>
  <c r="DF1025" i="15"/>
  <c r="DF1065" i="15"/>
  <c r="DF1016" i="15"/>
  <c r="DF1033" i="15"/>
  <c r="DF1094" i="15"/>
  <c r="DF971" i="15"/>
  <c r="AI128" i="31"/>
  <c r="AQ145" i="31"/>
  <c r="AJ135" i="31"/>
  <c r="DF1048" i="15"/>
  <c r="DF974" i="15"/>
  <c r="AQ127" i="31"/>
  <c r="DF1064" i="15"/>
  <c r="DF1021" i="15"/>
  <c r="DF997" i="15"/>
  <c r="AK146" i="31"/>
  <c r="DF1096" i="15"/>
  <c r="DF992" i="15"/>
  <c r="DF1039" i="15"/>
  <c r="DF1080" i="15"/>
  <c r="AG134" i="31"/>
  <c r="AF146" i="31"/>
  <c r="DF1059" i="15"/>
  <c r="AF140" i="31"/>
  <c r="DF979" i="15"/>
  <c r="DF1010" i="15"/>
  <c r="DF1005" i="15"/>
  <c r="DF1070" i="15"/>
  <c r="DF1034" i="15"/>
  <c r="AG140" i="31"/>
  <c r="AF134" i="31"/>
  <c r="DF1099" i="15"/>
  <c r="DF1041" i="15"/>
  <c r="DF980" i="15"/>
  <c r="DF1018" i="15"/>
  <c r="DF1019" i="15"/>
  <c r="DF1029" i="15"/>
  <c r="AI139" i="31"/>
  <c r="DF976" i="15"/>
  <c r="AJ146" i="31"/>
  <c r="AJ157" i="31"/>
  <c r="DF1088" i="15"/>
  <c r="DF988" i="15"/>
  <c r="AJ140" i="31"/>
  <c r="AK140" i="31"/>
  <c r="DF1028" i="15"/>
  <c r="DF1031" i="15"/>
  <c r="DF978" i="15"/>
  <c r="AI151" i="31"/>
  <c r="DF1078" i="15"/>
  <c r="AJ158" i="31"/>
  <c r="AJ152" i="31"/>
  <c r="DF960" i="15"/>
  <c r="DF1058" i="15"/>
  <c r="DF1004" i="15"/>
  <c r="DF1100" i="15"/>
  <c r="DF1045" i="15"/>
  <c r="AH140" i="31"/>
  <c r="DF1017" i="15"/>
  <c r="AK151" i="31"/>
  <c r="DF996" i="15"/>
  <c r="DF1032" i="15"/>
  <c r="DF966" i="15"/>
  <c r="DF1072" i="15"/>
  <c r="DF1086" i="15"/>
  <c r="DF1053" i="15"/>
  <c r="DF985" i="15"/>
  <c r="DF1044" i="15"/>
  <c r="DF1063" i="15"/>
  <c r="DF1055" i="15"/>
  <c r="DF1046" i="15"/>
  <c r="DF994" i="15"/>
  <c r="DF1036" i="15"/>
  <c r="DF1002" i="15"/>
  <c r="AB157" i="31"/>
  <c r="DF995" i="15"/>
  <c r="DF1062" i="15"/>
  <c r="DF1001" i="15"/>
  <c r="DF1022" i="15"/>
  <c r="DF1014" i="15"/>
  <c r="DF970" i="15"/>
  <c r="AH135" i="31"/>
  <c r="AG164" i="31"/>
  <c r="DF1069" i="15"/>
  <c r="DF986" i="15"/>
  <c r="DF962" i="15"/>
  <c r="DF1081" i="15"/>
  <c r="DF1068" i="15"/>
  <c r="DF1049" i="15"/>
  <c r="DF1042" i="15"/>
  <c r="AG146" i="31"/>
  <c r="DF987" i="15"/>
  <c r="DF1040" i="15"/>
  <c r="AH158" i="31"/>
  <c r="DF1043" i="15"/>
  <c r="AK158" i="31"/>
  <c r="DF1075" i="15"/>
  <c r="DF977" i="15"/>
  <c r="AK134" i="31"/>
  <c r="AC157" i="31"/>
  <c r="DF1077" i="15"/>
  <c r="DF991" i="15"/>
  <c r="DF989" i="15"/>
  <c r="AI145" i="31"/>
  <c r="DF1026" i="15"/>
  <c r="DF1007" i="15"/>
  <c r="DF1006" i="15"/>
  <c r="DF1037" i="15"/>
  <c r="DF1011" i="15"/>
  <c r="AF152" i="31"/>
  <c r="DF982" i="15"/>
  <c r="DF1052" i="15"/>
  <c r="AK164" i="31"/>
  <c r="DF961" i="15"/>
  <c r="DF1083" i="15"/>
  <c r="AK152" i="31"/>
  <c r="DF964" i="15"/>
  <c r="DF1027" i="15"/>
  <c r="DF972" i="15"/>
  <c r="AI133" i="31"/>
  <c r="DF1012" i="15"/>
  <c r="AH164" i="31"/>
  <c r="DF1098" i="15"/>
  <c r="DF1074" i="15"/>
  <c r="DF1023" i="15"/>
  <c r="AF164" i="31"/>
  <c r="DF1009" i="15"/>
  <c r="DF1057" i="15"/>
  <c r="AF158" i="31"/>
  <c r="DF1073" i="15"/>
  <c r="DF1090" i="15"/>
  <c r="AG158" i="31"/>
  <c r="AH134" i="31"/>
  <c r="DF969" i="15"/>
  <c r="DF1079" i="15"/>
  <c r="AB164" i="31"/>
  <c r="DF1089" i="15"/>
  <c r="DF998" i="15"/>
  <c r="DF1054" i="15"/>
  <c r="DF1050" i="15"/>
  <c r="DF1085" i="15"/>
  <c r="DF963" i="15"/>
  <c r="DF1051" i="15"/>
  <c r="DF968" i="15"/>
  <c r="AG135" i="31"/>
  <c r="DF993" i="15"/>
  <c r="DF1061" i="15"/>
  <c r="DF965" i="15"/>
  <c r="DF1015" i="15"/>
  <c r="AH146" i="31"/>
  <c r="DF984" i="15"/>
  <c r="AH157" i="31"/>
  <c r="DF983" i="15"/>
  <c r="DF1071" i="15"/>
  <c r="DF1084" i="15"/>
  <c r="DF1047" i="15"/>
  <c r="DF1003" i="15"/>
  <c r="DF1095" i="15"/>
  <c r="DF967" i="15"/>
  <c r="AF135" i="31"/>
  <c r="CJ94" i="32" l="1"/>
  <c r="CW93" i="32"/>
  <c r="DS10" i="32"/>
  <c r="DW10" i="32" s="1"/>
  <c r="DV10" i="32" s="1"/>
  <c r="DU14" i="32"/>
  <c r="DL43" i="32" s="1"/>
  <c r="DK43" i="32" s="1"/>
  <c r="DS14" i="32"/>
  <c r="DW14" i="32" s="1"/>
  <c r="DX14" i="32" s="1"/>
  <c r="DX11" i="32"/>
  <c r="DV11" i="32"/>
  <c r="DV12" i="32"/>
  <c r="DX12" i="32"/>
  <c r="DX10" i="32"/>
  <c r="DV13" i="32"/>
  <c r="DX13" i="32"/>
  <c r="CH37" i="32"/>
  <c r="CI37" i="32" s="1"/>
  <c r="CS36" i="32"/>
  <c r="G133" i="30"/>
  <c r="G130" i="30"/>
  <c r="H101" i="30"/>
  <c r="H114" i="30" s="1"/>
  <c r="H104" i="30"/>
  <c r="H117" i="30" s="1"/>
  <c r="H103" i="30"/>
  <c r="H116" i="30" s="1"/>
  <c r="H100" i="30"/>
  <c r="H113" i="30" s="1"/>
  <c r="H102" i="30"/>
  <c r="H115" i="30" s="1"/>
  <c r="H105" i="30"/>
  <c r="H118" i="30" s="1"/>
  <c r="H106" i="30"/>
  <c r="H119" i="30" s="1"/>
  <c r="H107" i="30"/>
  <c r="G131" i="30"/>
  <c r="G134" i="30"/>
  <c r="G127" i="30"/>
  <c r="G128" i="30"/>
  <c r="G132" i="30"/>
  <c r="AM72" i="32"/>
  <c r="AM68" i="32"/>
  <c r="AM64" i="32"/>
  <c r="AM70" i="32"/>
  <c r="AM66" i="32"/>
  <c r="AM62" i="32"/>
  <c r="AM71" i="32"/>
  <c r="AM69" i="32"/>
  <c r="AM63" i="32"/>
  <c r="AM67" i="32"/>
  <c r="AM65" i="32"/>
  <c r="BG128" i="31"/>
  <c r="AB158" i="31"/>
  <c r="AB159" i="31" s="1"/>
  <c r="AB160" i="31" s="1"/>
  <c r="AB161" i="31" s="1"/>
  <c r="AB162" i="31" s="1"/>
  <c r="AB163" i="31" s="1"/>
  <c r="BG151" i="31"/>
  <c r="BG133" i="31"/>
  <c r="BG139" i="31"/>
  <c r="BG157" i="31"/>
  <c r="AB165" i="31"/>
  <c r="AB166" i="31" s="1"/>
  <c r="AB167" i="31" s="1"/>
  <c r="AB168" i="31" s="1"/>
  <c r="AB169" i="31" s="1"/>
  <c r="AB170" i="31" s="1"/>
  <c r="AC165" i="31"/>
  <c r="AC166" i="31" s="1"/>
  <c r="AC167" i="31" s="1"/>
  <c r="AC168" i="31" s="1"/>
  <c r="AC169" i="31" s="1"/>
  <c r="AC170" i="31" s="1"/>
  <c r="AC158" i="31"/>
  <c r="AC159" i="31" s="1"/>
  <c r="AC160" i="31" s="1"/>
  <c r="AC161" i="31" s="1"/>
  <c r="AC162" i="31" s="1"/>
  <c r="AC163" i="31" s="1"/>
  <c r="BG127" i="31"/>
  <c r="BG145" i="31"/>
  <c r="F142" i="31"/>
  <c r="G178" i="31"/>
  <c r="G172" i="31"/>
  <c r="T165" i="31"/>
  <c r="T166" i="31" s="1"/>
  <c r="T167" i="31" s="1"/>
  <c r="T168" i="31" s="1"/>
  <c r="T169" i="31" s="1"/>
  <c r="T170" i="31" s="1"/>
  <c r="T171" i="31"/>
  <c r="J172" i="31"/>
  <c r="J178" i="31"/>
  <c r="E178" i="31"/>
  <c r="E172" i="31"/>
  <c r="E173" i="31" s="1"/>
  <c r="E174" i="31" s="1"/>
  <c r="E175" i="31" s="1"/>
  <c r="E176" i="31" s="1"/>
  <c r="E177" i="31" s="1"/>
  <c r="F154" i="31"/>
  <c r="J142" i="31"/>
  <c r="G142" i="31"/>
  <c r="G154" i="31"/>
  <c r="Q171" i="31"/>
  <c r="Q165" i="31"/>
  <c r="J148" i="31"/>
  <c r="G148" i="31"/>
  <c r="K166" i="31"/>
  <c r="F148" i="31"/>
  <c r="P171" i="31"/>
  <c r="P165" i="31"/>
  <c r="P166" i="31" s="1"/>
  <c r="P167" i="31" s="1"/>
  <c r="P168" i="31" s="1"/>
  <c r="P169" i="31" s="1"/>
  <c r="P170" i="31" s="1"/>
  <c r="H142" i="31"/>
  <c r="G160" i="31"/>
  <c r="Q147" i="31"/>
  <c r="K178" i="31"/>
  <c r="K172" i="31"/>
  <c r="I153" i="31"/>
  <c r="F160" i="31"/>
  <c r="I171" i="31"/>
  <c r="I165" i="31"/>
  <c r="F178" i="31"/>
  <c r="F172" i="31"/>
  <c r="K142" i="31"/>
  <c r="X178" i="31"/>
  <c r="X172" i="31"/>
  <c r="X173" i="31" s="1"/>
  <c r="X174" i="31" s="1"/>
  <c r="X175" i="31" s="1"/>
  <c r="X176" i="31" s="1"/>
  <c r="X177" i="31" s="1"/>
  <c r="I147" i="31"/>
  <c r="C178" i="31"/>
  <c r="C172" i="31"/>
  <c r="C173" i="31" s="1"/>
  <c r="C174" i="31" s="1"/>
  <c r="C175" i="31" s="1"/>
  <c r="C176" i="31" s="1"/>
  <c r="C177" i="31" s="1"/>
  <c r="U178" i="31"/>
  <c r="U172" i="31"/>
  <c r="U173" i="31" s="1"/>
  <c r="U174" i="31" s="1"/>
  <c r="U175" i="31" s="1"/>
  <c r="U176" i="31" s="1"/>
  <c r="U177" i="31" s="1"/>
  <c r="H148" i="31"/>
  <c r="N178" i="31"/>
  <c r="N172" i="31"/>
  <c r="N173" i="31" s="1"/>
  <c r="N174" i="31" s="1"/>
  <c r="N175" i="31" s="1"/>
  <c r="N176" i="31" s="1"/>
  <c r="N177" i="31" s="1"/>
  <c r="S178" i="31"/>
  <c r="S172" i="31"/>
  <c r="S173" i="31" s="1"/>
  <c r="S174" i="31" s="1"/>
  <c r="S175" i="31" s="1"/>
  <c r="S176" i="31" s="1"/>
  <c r="S177" i="31" s="1"/>
  <c r="D178" i="31"/>
  <c r="D172" i="31"/>
  <c r="D173" i="31" s="1"/>
  <c r="D174" i="31" s="1"/>
  <c r="D175" i="31" s="1"/>
  <c r="D176" i="31" s="1"/>
  <c r="D177" i="31" s="1"/>
  <c r="O178" i="31"/>
  <c r="O172" i="31"/>
  <c r="O173" i="31" s="1"/>
  <c r="O174" i="31" s="1"/>
  <c r="O175" i="31" s="1"/>
  <c r="O176" i="31" s="1"/>
  <c r="O177" i="31" s="1"/>
  <c r="B172" i="31"/>
  <c r="B173" i="31" s="1"/>
  <c r="B174" i="31" s="1"/>
  <c r="B175" i="31" s="1"/>
  <c r="B176" i="31" s="1"/>
  <c r="B177" i="31" s="1"/>
  <c r="B178" i="31"/>
  <c r="H154" i="31"/>
  <c r="H166" i="31"/>
  <c r="J160" i="31"/>
  <c r="I135" i="31"/>
  <c r="K160" i="31"/>
  <c r="A171" i="31"/>
  <c r="A165" i="31"/>
  <c r="A166" i="31" s="1"/>
  <c r="A167" i="31" s="1"/>
  <c r="A168" i="31" s="1"/>
  <c r="A169" i="31" s="1"/>
  <c r="A170" i="31" s="1"/>
  <c r="W178" i="31"/>
  <c r="W172" i="31"/>
  <c r="W173" i="31" s="1"/>
  <c r="W174" i="31" s="1"/>
  <c r="W175" i="31" s="1"/>
  <c r="W176" i="31" s="1"/>
  <c r="W177" i="31" s="1"/>
  <c r="V178" i="31"/>
  <c r="V172" i="31"/>
  <c r="V173" i="31" s="1"/>
  <c r="V174" i="31" s="1"/>
  <c r="V175" i="31" s="1"/>
  <c r="V176" i="31" s="1"/>
  <c r="V177" i="31" s="1"/>
  <c r="K148" i="31"/>
  <c r="R172" i="31"/>
  <c r="R173" i="31" s="1"/>
  <c r="R174" i="31" s="1"/>
  <c r="R175" i="31" s="1"/>
  <c r="R176" i="31" s="1"/>
  <c r="R177" i="31" s="1"/>
  <c r="R178" i="31"/>
  <c r="Q135" i="31"/>
  <c r="K154" i="31"/>
  <c r="I141" i="31"/>
  <c r="Q159" i="31"/>
  <c r="L178" i="31"/>
  <c r="L172" i="31"/>
  <c r="L173" i="31" s="1"/>
  <c r="L174" i="31" s="1"/>
  <c r="L175" i="31" s="1"/>
  <c r="L176" i="31" s="1"/>
  <c r="L177" i="31" s="1"/>
  <c r="H160" i="31"/>
  <c r="G166" i="31"/>
  <c r="M178" i="31"/>
  <c r="M172" i="31"/>
  <c r="M173" i="31" s="1"/>
  <c r="M174" i="31" s="1"/>
  <c r="M175" i="31" s="1"/>
  <c r="M176" i="31" s="1"/>
  <c r="M177" i="31" s="1"/>
  <c r="J166" i="31"/>
  <c r="Q153" i="31"/>
  <c r="Q141" i="31"/>
  <c r="H178" i="31"/>
  <c r="H172" i="31"/>
  <c r="J154" i="31"/>
  <c r="I159" i="31"/>
  <c r="F166" i="31"/>
  <c r="AO688" i="15"/>
  <c r="AW688" i="15" s="1"/>
  <c r="BD688" i="15" s="1"/>
  <c r="BL688" i="15" s="1"/>
  <c r="AN686" i="15"/>
  <c r="AM687" i="15"/>
  <c r="AO691" i="15"/>
  <c r="AW691" i="15" s="1"/>
  <c r="BD691" i="15" s="1"/>
  <c r="BL691" i="15" s="1"/>
  <c r="AO687" i="15"/>
  <c r="AW687" i="15" s="1"/>
  <c r="BD687" i="15" s="1"/>
  <c r="BL687" i="15" s="1"/>
  <c r="AM685" i="15"/>
  <c r="AO690" i="15"/>
  <c r="AW690" i="15" s="1"/>
  <c r="BD690" i="15" s="1"/>
  <c r="BL690" i="15" s="1"/>
  <c r="AM691" i="15"/>
  <c r="AM690" i="15"/>
  <c r="DE573" i="15"/>
  <c r="AN688" i="15"/>
  <c r="AV688" i="15" s="1"/>
  <c r="BC688" i="15" s="1"/>
  <c r="BK688" i="15" s="1"/>
  <c r="AM686" i="15"/>
  <c r="AU686" i="15" s="1"/>
  <c r="AU689" i="15"/>
  <c r="AU685" i="15"/>
  <c r="DC576" i="15"/>
  <c r="DE575" i="15"/>
  <c r="AN687" i="15"/>
  <c r="AO686" i="15"/>
  <c r="AW686" i="15" s="1"/>
  <c r="BD686" i="15" s="1"/>
  <c r="BL686" i="15" s="1"/>
  <c r="AN691" i="15"/>
  <c r="AO689" i="15"/>
  <c r="AW689" i="15" s="1"/>
  <c r="BD689" i="15" s="1"/>
  <c r="BL689" i="15" s="1"/>
  <c r="AO685" i="15"/>
  <c r="AW685" i="15" s="1"/>
  <c r="BD685" i="15" s="1"/>
  <c r="BL685" i="15" s="1"/>
  <c r="AN690" i="15"/>
  <c r="AM688" i="15"/>
  <c r="AU688" i="15" s="1"/>
  <c r="BB688" i="15" s="1"/>
  <c r="BJ688" i="15" s="1"/>
  <c r="BP688" i="15" s="1"/>
  <c r="BQ580" i="15"/>
  <c r="B1" i="25"/>
  <c r="NL38" i="24"/>
  <c r="NL39" i="24" s="1"/>
  <c r="NK42" i="24"/>
  <c r="MW37" i="24"/>
  <c r="BI287" i="16"/>
  <c r="BG287" i="16"/>
  <c r="BI286" i="16"/>
  <c r="BG286" i="16"/>
  <c r="BI285" i="16"/>
  <c r="BG285" i="16"/>
  <c r="BI284" i="16"/>
  <c r="BG284" i="16"/>
  <c r="BI283" i="16"/>
  <c r="BG283" i="16"/>
  <c r="BI282" i="16"/>
  <c r="BG282" i="16"/>
  <c r="BI281" i="16"/>
  <c r="BG281" i="16"/>
  <c r="BI280" i="16"/>
  <c r="BG280" i="16"/>
  <c r="BI279" i="16"/>
  <c r="BG279" i="16"/>
  <c r="BI278" i="16"/>
  <c r="BG278" i="16"/>
  <c r="BI277" i="16"/>
  <c r="BG277" i="16"/>
  <c r="BI276" i="16"/>
  <c r="BG276" i="16"/>
  <c r="BI275" i="16"/>
  <c r="BG275" i="16"/>
  <c r="BI274" i="16"/>
  <c r="BG274" i="16"/>
  <c r="BI273" i="16"/>
  <c r="BG273" i="16"/>
  <c r="BI272" i="16"/>
  <c r="BG272" i="16"/>
  <c r="BI271" i="16"/>
  <c r="BG271" i="16"/>
  <c r="BI270" i="16"/>
  <c r="BG270" i="16"/>
  <c r="BI269" i="16"/>
  <c r="BG269" i="16"/>
  <c r="BI268" i="16"/>
  <c r="BG268" i="16"/>
  <c r="BI267" i="16"/>
  <c r="BG267" i="16"/>
  <c r="BI266" i="16"/>
  <c r="BG266" i="16"/>
  <c r="BI265" i="16"/>
  <c r="BG265" i="16"/>
  <c r="BI264" i="16"/>
  <c r="BG264" i="16"/>
  <c r="BI263" i="16"/>
  <c r="BG263" i="16"/>
  <c r="BI262" i="16"/>
  <c r="BG262" i="16"/>
  <c r="BI261" i="16"/>
  <c r="BI260" i="16"/>
  <c r="BI259" i="16"/>
  <c r="BI258" i="16"/>
  <c r="BI257" i="16"/>
  <c r="BI255" i="16"/>
  <c r="BI254" i="16"/>
  <c r="BI253" i="16"/>
  <c r="BI252" i="16"/>
  <c r="BI251" i="16"/>
  <c r="BI250" i="16"/>
  <c r="BI248" i="16"/>
  <c r="BI247" i="16"/>
  <c r="BI246" i="16"/>
  <c r="BI245" i="16"/>
  <c r="BI244" i="16"/>
  <c r="BI243" i="16"/>
  <c r="BI241" i="16"/>
  <c r="BI240" i="16"/>
  <c r="BI239" i="16"/>
  <c r="BI238" i="16"/>
  <c r="BI237" i="16"/>
  <c r="BI236" i="16"/>
  <c r="BI234" i="16"/>
  <c r="BI233" i="16"/>
  <c r="BI232" i="16"/>
  <c r="BI231" i="16"/>
  <c r="BI230" i="16"/>
  <c r="BI229" i="16"/>
  <c r="BI227" i="16"/>
  <c r="BI226" i="16"/>
  <c r="BI225" i="16"/>
  <c r="BI224" i="16"/>
  <c r="BI223" i="16"/>
  <c r="BI222" i="16"/>
  <c r="BI220" i="16"/>
  <c r="BI219" i="16"/>
  <c r="BI218" i="16"/>
  <c r="BI217" i="16"/>
  <c r="BI216" i="16"/>
  <c r="BI215" i="16"/>
  <c r="BI213" i="16"/>
  <c r="BI212" i="16"/>
  <c r="BI211" i="16"/>
  <c r="BI210" i="16"/>
  <c r="BI209" i="16"/>
  <c r="BI208" i="16"/>
  <c r="BI206" i="16"/>
  <c r="BI205" i="16"/>
  <c r="BI204" i="16"/>
  <c r="BI203" i="16"/>
  <c r="BI202" i="16"/>
  <c r="BI201" i="16"/>
  <c r="BI199" i="16"/>
  <c r="BI198" i="16"/>
  <c r="BI197" i="16"/>
  <c r="BI196" i="16"/>
  <c r="BI195" i="16"/>
  <c r="BI194" i="16"/>
  <c r="BI192" i="16"/>
  <c r="BI191" i="16"/>
  <c r="BI190" i="16"/>
  <c r="BI189" i="16"/>
  <c r="BI188" i="16"/>
  <c r="BI187" i="16"/>
  <c r="BI185" i="16"/>
  <c r="BI184" i="16"/>
  <c r="BI183" i="16"/>
  <c r="BI182" i="16"/>
  <c r="BI181" i="16"/>
  <c r="BI180" i="16"/>
  <c r="BI178" i="16"/>
  <c r="BI177" i="16"/>
  <c r="BI176" i="16"/>
  <c r="BI175" i="16"/>
  <c r="BI174" i="16"/>
  <c r="BI173" i="16"/>
  <c r="BI172" i="16"/>
  <c r="BI171" i="16"/>
  <c r="BI170" i="16"/>
  <c r="BI169" i="16"/>
  <c r="BI168" i="16"/>
  <c r="BI167" i="16"/>
  <c r="BI166" i="16"/>
  <c r="BI165" i="16"/>
  <c r="BI164" i="16"/>
  <c r="BI163" i="16"/>
  <c r="BI162" i="16"/>
  <c r="BI161" i="16"/>
  <c r="BI160" i="16"/>
  <c r="BI159" i="16"/>
  <c r="BI158" i="16"/>
  <c r="BI157" i="16"/>
  <c r="BI156" i="16"/>
  <c r="BI155" i="16"/>
  <c r="BI154" i="16"/>
  <c r="BI153" i="16"/>
  <c r="BI152" i="16"/>
  <c r="BI151" i="16"/>
  <c r="BI150" i="16"/>
  <c r="BI149" i="16"/>
  <c r="BI148" i="16"/>
  <c r="BI147" i="16"/>
  <c r="BI146" i="16"/>
  <c r="BI145" i="16"/>
  <c r="BI144" i="16"/>
  <c r="BI143" i="16"/>
  <c r="BI142" i="16"/>
  <c r="BI141" i="16"/>
  <c r="BI140" i="16"/>
  <c r="BI139" i="16"/>
  <c r="BI138" i="16"/>
  <c r="BI137" i="16"/>
  <c r="BI136" i="16"/>
  <c r="BI135" i="16"/>
  <c r="BI134" i="16"/>
  <c r="BI133" i="16"/>
  <c r="BI132" i="16"/>
  <c r="BI131" i="16"/>
  <c r="BI130" i="16"/>
  <c r="BI129" i="16"/>
  <c r="BI128" i="16"/>
  <c r="BI127" i="16"/>
  <c r="BI126" i="16"/>
  <c r="BI125" i="16"/>
  <c r="BI124" i="16"/>
  <c r="BI123" i="16"/>
  <c r="BI122" i="16"/>
  <c r="BI121" i="16"/>
  <c r="BI120" i="16"/>
  <c r="BI119" i="16"/>
  <c r="BI118" i="16"/>
  <c r="BI117" i="16"/>
  <c r="BI116" i="16"/>
  <c r="BI115" i="16"/>
  <c r="BI114" i="16"/>
  <c r="BI113" i="16"/>
  <c r="BI112" i="16"/>
  <c r="BI111" i="16"/>
  <c r="BI110" i="16"/>
  <c r="BI109" i="16"/>
  <c r="BI108" i="16"/>
  <c r="BI107" i="16"/>
  <c r="BI106" i="16"/>
  <c r="BI105" i="16"/>
  <c r="BI104" i="16"/>
  <c r="BI103" i="16"/>
  <c r="BI102" i="16"/>
  <c r="BI101" i="16"/>
  <c r="BI100" i="16"/>
  <c r="BI99" i="16"/>
  <c r="BI98" i="16"/>
  <c r="BI97" i="16"/>
  <c r="BI96" i="16"/>
  <c r="BI95" i="16"/>
  <c r="BI94" i="16"/>
  <c r="BI93" i="16"/>
  <c r="BI92" i="16"/>
  <c r="BI91" i="16"/>
  <c r="BI90" i="16"/>
  <c r="BI89" i="16"/>
  <c r="BI88" i="16"/>
  <c r="BI87" i="16"/>
  <c r="BI86" i="16"/>
  <c r="BI85" i="16"/>
  <c r="BI84" i="16"/>
  <c r="BI83" i="16"/>
  <c r="BI82" i="16"/>
  <c r="BI81" i="16"/>
  <c r="BI80" i="16"/>
  <c r="BI79" i="16"/>
  <c r="BI78" i="16"/>
  <c r="BI77" i="16"/>
  <c r="BI76" i="16"/>
  <c r="BI75" i="16"/>
  <c r="BI74" i="16"/>
  <c r="BI73" i="16"/>
  <c r="BI72" i="16"/>
  <c r="BI71" i="16"/>
  <c r="BI70" i="16"/>
  <c r="BI69" i="16"/>
  <c r="BI68" i="16"/>
  <c r="BI67" i="16"/>
  <c r="BI66" i="16"/>
  <c r="BI65" i="16"/>
  <c r="BI64" i="16"/>
  <c r="BI63" i="16"/>
  <c r="BI62" i="16"/>
  <c r="BI61" i="16"/>
  <c r="BI60" i="16"/>
  <c r="BI59" i="16"/>
  <c r="BI58" i="16"/>
  <c r="BI57" i="16"/>
  <c r="BI56" i="16"/>
  <c r="BI55" i="16"/>
  <c r="BI54" i="16"/>
  <c r="BI53" i="16"/>
  <c r="BI52" i="16"/>
  <c r="BI51" i="16"/>
  <c r="BI50" i="16"/>
  <c r="BI49" i="16"/>
  <c r="BI48" i="16"/>
  <c r="BI47" i="16"/>
  <c r="BI46" i="16"/>
  <c r="BI45" i="16"/>
  <c r="BI44" i="16"/>
  <c r="BI43" i="16"/>
  <c r="BI42" i="16"/>
  <c r="BI41" i="16"/>
  <c r="BI40" i="16"/>
  <c r="BI39" i="16"/>
  <c r="BI38" i="16"/>
  <c r="BI37" i="16"/>
  <c r="BI36" i="16"/>
  <c r="BI35" i="16"/>
  <c r="BI34" i="16"/>
  <c r="BI33" i="16"/>
  <c r="BI32" i="16"/>
  <c r="BI31" i="16"/>
  <c r="AK142" i="31"/>
  <c r="AF141" i="31"/>
  <c r="AF147" i="31"/>
  <c r="AI135" i="31"/>
  <c r="AI152" i="31"/>
  <c r="AG141" i="31"/>
  <c r="AF142" i="31"/>
  <c r="AG147" i="31"/>
  <c r="AK153" i="31"/>
  <c r="AK141" i="31"/>
  <c r="AG142" i="31"/>
  <c r="AG159" i="31"/>
  <c r="AQ140" i="31"/>
  <c r="AH141" i="31"/>
  <c r="AK159" i="31"/>
  <c r="AI158" i="31"/>
  <c r="AJ159" i="31"/>
  <c r="AG153" i="31"/>
  <c r="AF159" i="31"/>
  <c r="AJ147" i="31"/>
  <c r="AI146" i="31"/>
  <c r="AH153" i="31"/>
  <c r="AH147" i="31"/>
  <c r="AQ164" i="31"/>
  <c r="AJ141" i="31"/>
  <c r="AQ135" i="31"/>
  <c r="AQ134" i="31"/>
  <c r="AJ142" i="31"/>
  <c r="AF165" i="31"/>
  <c r="AF171" i="31"/>
  <c r="AG165" i="31"/>
  <c r="AI140" i="31"/>
  <c r="AH142" i="31"/>
  <c r="AK147" i="31"/>
  <c r="AJ165" i="31"/>
  <c r="AI164" i="31"/>
  <c r="AJ153" i="31"/>
  <c r="AH171" i="31"/>
  <c r="AQ146" i="31"/>
  <c r="AI134" i="31"/>
  <c r="AQ152" i="31"/>
  <c r="AF153" i="31"/>
  <c r="AH159" i="31"/>
  <c r="AQ158" i="31"/>
  <c r="CJ95" i="32" l="1"/>
  <c r="CW94" i="32"/>
  <c r="DL39" i="32"/>
  <c r="DK39" i="32" s="1"/>
  <c r="DL22" i="32"/>
  <c r="DK22" i="32" s="1"/>
  <c r="DL36" i="32"/>
  <c r="DK36" i="32" s="1"/>
  <c r="DL33" i="32"/>
  <c r="DK33" i="32" s="1"/>
  <c r="DL34" i="32"/>
  <c r="DK34" i="32" s="1"/>
  <c r="DL28" i="32"/>
  <c r="DK28" i="32" s="1"/>
  <c r="DL41" i="32"/>
  <c r="DK41" i="32" s="1"/>
  <c r="DL27" i="32"/>
  <c r="DK27" i="32" s="1"/>
  <c r="DL30" i="32"/>
  <c r="DK30" i="32" s="1"/>
  <c r="DL26" i="32"/>
  <c r="DK26" i="32" s="1"/>
  <c r="DL38" i="32"/>
  <c r="DK38" i="32" s="1"/>
  <c r="DL29" i="32"/>
  <c r="DK29" i="32" s="1"/>
  <c r="DL57" i="32"/>
  <c r="DL53" i="32"/>
  <c r="DL51" i="32"/>
  <c r="DL55" i="32"/>
  <c r="DL61" i="32"/>
  <c r="DM61" i="32" s="1"/>
  <c r="DL54" i="32"/>
  <c r="DL59" i="32"/>
  <c r="DM59" i="32" s="1"/>
  <c r="DL52" i="32"/>
  <c r="DL23" i="32"/>
  <c r="DK23" i="32" s="1"/>
  <c r="DL24" i="32"/>
  <c r="DK24" i="32" s="1"/>
  <c r="DL19" i="32"/>
  <c r="DL18" i="32"/>
  <c r="DL62" i="32"/>
  <c r="DM62" i="32" s="1"/>
  <c r="DL56" i="32"/>
  <c r="DL35" i="32"/>
  <c r="DK35" i="32" s="1"/>
  <c r="DL31" i="32"/>
  <c r="DK31" i="32" s="1"/>
  <c r="DL32" i="32"/>
  <c r="DK32" i="32" s="1"/>
  <c r="DL40" i="32"/>
  <c r="DK40" i="32" s="1"/>
  <c r="DL37" i="32"/>
  <c r="DK37" i="32" s="1"/>
  <c r="DL25" i="32"/>
  <c r="DK25" i="32" s="1"/>
  <c r="DL20" i="32"/>
  <c r="DK20" i="32" s="1"/>
  <c r="DL58" i="32"/>
  <c r="DL63" i="32"/>
  <c r="DM63" i="32" s="1"/>
  <c r="DL21" i="32"/>
  <c r="DK21" i="32" s="1"/>
  <c r="DL60" i="32"/>
  <c r="DM60" i="32" s="1"/>
  <c r="DL48" i="32"/>
  <c r="DK48" i="32" s="1"/>
  <c r="DL46" i="32"/>
  <c r="DL50" i="32"/>
  <c r="DL47" i="32"/>
  <c r="DL49" i="32"/>
  <c r="DV14" i="32"/>
  <c r="DQ17" i="32" s="1"/>
  <c r="C4" i="36" s="1"/>
  <c r="DL42" i="32"/>
  <c r="DK42" i="32" s="1"/>
  <c r="DL44" i="32"/>
  <c r="DK44" i="32" s="1"/>
  <c r="DL45" i="32"/>
  <c r="DK45" i="32" s="1"/>
  <c r="CS37" i="32"/>
  <c r="CH38" i="32"/>
  <c r="CI38" i="32" s="1"/>
  <c r="H127" i="30"/>
  <c r="J127" i="30" s="1"/>
  <c r="H130" i="30"/>
  <c r="H134" i="30"/>
  <c r="J134" i="30" s="1"/>
  <c r="H131" i="30"/>
  <c r="J131" i="30" s="1"/>
  <c r="H133" i="30"/>
  <c r="H128" i="30"/>
  <c r="J128" i="30" s="1"/>
  <c r="H132" i="30"/>
  <c r="J132" i="30" s="1"/>
  <c r="H129" i="30"/>
  <c r="BG140" i="31"/>
  <c r="BG146" i="31"/>
  <c r="BG158" i="31"/>
  <c r="BG164" i="31"/>
  <c r="BG134" i="31"/>
  <c r="BG152" i="31"/>
  <c r="AD12" i="31"/>
  <c r="AE179" i="31" s="1"/>
  <c r="BG135" i="31"/>
  <c r="F167" i="31"/>
  <c r="J155" i="31"/>
  <c r="D185" i="31"/>
  <c r="D179" i="31"/>
  <c r="D180" i="31" s="1"/>
  <c r="D181" i="31" s="1"/>
  <c r="D182" i="31" s="1"/>
  <c r="D183" i="31" s="1"/>
  <c r="D184" i="31" s="1"/>
  <c r="N179" i="31"/>
  <c r="N180" i="31" s="1"/>
  <c r="N181" i="31" s="1"/>
  <c r="N182" i="31" s="1"/>
  <c r="N183" i="31" s="1"/>
  <c r="N184" i="31" s="1"/>
  <c r="N185" i="31"/>
  <c r="U179" i="31"/>
  <c r="U180" i="31" s="1"/>
  <c r="U181" i="31" s="1"/>
  <c r="U182" i="31" s="1"/>
  <c r="U183" i="31" s="1"/>
  <c r="U184" i="31" s="1"/>
  <c r="U185" i="31"/>
  <c r="F179" i="31"/>
  <c r="F185" i="31"/>
  <c r="Q148" i="31"/>
  <c r="F149" i="31"/>
  <c r="G149" i="31"/>
  <c r="Q166" i="31"/>
  <c r="Q142" i="31"/>
  <c r="J167" i="31"/>
  <c r="G167" i="31"/>
  <c r="L185" i="31"/>
  <c r="L179" i="31"/>
  <c r="L180" i="31" s="1"/>
  <c r="L181" i="31" s="1"/>
  <c r="L182" i="31" s="1"/>
  <c r="L183" i="31" s="1"/>
  <c r="L184" i="31" s="1"/>
  <c r="I142" i="31"/>
  <c r="K149" i="31"/>
  <c r="W185" i="31"/>
  <c r="W179" i="31"/>
  <c r="W180" i="31" s="1"/>
  <c r="W181" i="31" s="1"/>
  <c r="W182" i="31" s="1"/>
  <c r="W183" i="31" s="1"/>
  <c r="W184" i="31" s="1"/>
  <c r="K161" i="31"/>
  <c r="J161" i="31"/>
  <c r="H155" i="31"/>
  <c r="I148" i="31"/>
  <c r="F161" i="31"/>
  <c r="K173" i="31"/>
  <c r="Q178" i="31"/>
  <c r="Q172" i="31"/>
  <c r="F155" i="31"/>
  <c r="J185" i="31"/>
  <c r="J179" i="31"/>
  <c r="I160" i="31"/>
  <c r="H173" i="31"/>
  <c r="R185" i="31"/>
  <c r="R179" i="31"/>
  <c r="R180" i="31" s="1"/>
  <c r="R181" i="31" s="1"/>
  <c r="R182" i="31" s="1"/>
  <c r="R183" i="31" s="1"/>
  <c r="R184" i="31" s="1"/>
  <c r="O185" i="31"/>
  <c r="O179" i="31"/>
  <c r="O180" i="31" s="1"/>
  <c r="O181" i="31" s="1"/>
  <c r="O182" i="31" s="1"/>
  <c r="O183" i="31" s="1"/>
  <c r="O184" i="31" s="1"/>
  <c r="S185" i="31"/>
  <c r="S179" i="31"/>
  <c r="S180" i="31" s="1"/>
  <c r="S181" i="31" s="1"/>
  <c r="S182" i="31" s="1"/>
  <c r="S183" i="31" s="1"/>
  <c r="S184" i="31" s="1"/>
  <c r="H149" i="31"/>
  <c r="I166" i="31"/>
  <c r="K185" i="31"/>
  <c r="K179" i="31"/>
  <c r="G161" i="31"/>
  <c r="P178" i="31"/>
  <c r="P172" i="31"/>
  <c r="P173" i="31" s="1"/>
  <c r="P174" i="31" s="1"/>
  <c r="P175" i="31" s="1"/>
  <c r="P176" i="31" s="1"/>
  <c r="P177" i="31" s="1"/>
  <c r="K167" i="31"/>
  <c r="J149" i="31"/>
  <c r="J173" i="31"/>
  <c r="G173" i="31"/>
  <c r="H185" i="31"/>
  <c r="H179" i="31"/>
  <c r="Q154" i="31"/>
  <c r="M179" i="31"/>
  <c r="M180" i="31" s="1"/>
  <c r="M181" i="31" s="1"/>
  <c r="M182" i="31" s="1"/>
  <c r="M183" i="31" s="1"/>
  <c r="M184" i="31" s="1"/>
  <c r="M185" i="31"/>
  <c r="H161" i="31"/>
  <c r="Q160" i="31"/>
  <c r="K155" i="31"/>
  <c r="V179" i="31"/>
  <c r="V180" i="31" s="1"/>
  <c r="V181" i="31" s="1"/>
  <c r="V182" i="31" s="1"/>
  <c r="V183" i="31" s="1"/>
  <c r="V184" i="31" s="1"/>
  <c r="V185" i="31"/>
  <c r="A178" i="31"/>
  <c r="A172" i="31"/>
  <c r="A173" i="31" s="1"/>
  <c r="A174" i="31" s="1"/>
  <c r="A175" i="31" s="1"/>
  <c r="A176" i="31" s="1"/>
  <c r="A177" i="31" s="1"/>
  <c r="H167" i="31"/>
  <c r="B185" i="31"/>
  <c r="B179" i="31"/>
  <c r="B180" i="31" s="1"/>
  <c r="B181" i="31" s="1"/>
  <c r="B182" i="31" s="1"/>
  <c r="B183" i="31" s="1"/>
  <c r="B184" i="31" s="1"/>
  <c r="C185" i="31"/>
  <c r="C179" i="31"/>
  <c r="C180" i="31" s="1"/>
  <c r="C181" i="31" s="1"/>
  <c r="C182" i="31" s="1"/>
  <c r="C183" i="31" s="1"/>
  <c r="C184" i="31" s="1"/>
  <c r="X185" i="31"/>
  <c r="X179" i="31"/>
  <c r="X180" i="31" s="1"/>
  <c r="X181" i="31" s="1"/>
  <c r="X182" i="31" s="1"/>
  <c r="X183" i="31" s="1"/>
  <c r="X184" i="31" s="1"/>
  <c r="F173" i="31"/>
  <c r="I178" i="31"/>
  <c r="I172" i="31"/>
  <c r="I154" i="31"/>
  <c r="G155" i="31"/>
  <c r="E179" i="31"/>
  <c r="E180" i="31" s="1"/>
  <c r="E181" i="31" s="1"/>
  <c r="E182" i="31" s="1"/>
  <c r="E183" i="31" s="1"/>
  <c r="E184" i="31" s="1"/>
  <c r="E185" i="31"/>
  <c r="T178" i="31"/>
  <c r="T172" i="31"/>
  <c r="T173" i="31" s="1"/>
  <c r="T174" i="31" s="1"/>
  <c r="T175" i="31" s="1"/>
  <c r="T176" i="31" s="1"/>
  <c r="T177" i="31" s="1"/>
  <c r="G185" i="31"/>
  <c r="G179" i="31"/>
  <c r="AV690" i="15"/>
  <c r="BC690" i="15" s="1"/>
  <c r="BK690" i="15" s="1"/>
  <c r="AV686" i="15"/>
  <c r="BC686" i="15" s="1"/>
  <c r="BK686" i="15" s="1"/>
  <c r="AV691" i="15"/>
  <c r="BC691" i="15" s="1"/>
  <c r="BK691" i="15" s="1"/>
  <c r="AU691" i="15"/>
  <c r="AV685" i="15"/>
  <c r="BC685" i="15" s="1"/>
  <c r="BK685" i="15" s="1"/>
  <c r="AU690" i="15"/>
  <c r="AV687" i="15"/>
  <c r="BC687" i="15" s="1"/>
  <c r="BK687" i="15" s="1"/>
  <c r="AU687" i="15"/>
  <c r="DC577" i="15"/>
  <c r="DE576" i="15"/>
  <c r="AV689" i="15"/>
  <c r="BC689" i="15" s="1"/>
  <c r="BK689" i="15" s="1"/>
  <c r="BQ581" i="15"/>
  <c r="D76" i="2"/>
  <c r="C101" i="19"/>
  <c r="C100" i="19"/>
  <c r="C99" i="19"/>
  <c r="C98" i="19"/>
  <c r="C97" i="19"/>
  <c r="C96" i="19"/>
  <c r="C95" i="19"/>
  <c r="C94" i="19"/>
  <c r="C93" i="19"/>
  <c r="C92" i="19"/>
  <c r="C91" i="19"/>
  <c r="C90" i="19"/>
  <c r="C89" i="19"/>
  <c r="C88" i="19"/>
  <c r="C87" i="19"/>
  <c r="C86" i="19"/>
  <c r="C85" i="19"/>
  <c r="C84" i="19"/>
  <c r="C83" i="19"/>
  <c r="J13" i="2"/>
  <c r="I13" i="2"/>
  <c r="H13" i="2"/>
  <c r="J12" i="2"/>
  <c r="I12" i="2"/>
  <c r="H12" i="2"/>
  <c r="H11" i="23" s="1"/>
  <c r="J11" i="2"/>
  <c r="I11" i="2"/>
  <c r="H11" i="2"/>
  <c r="F11" i="2"/>
  <c r="H17" i="2" s="1"/>
  <c r="G7" i="2"/>
  <c r="F4" i="2"/>
  <c r="E29" i="18" s="1"/>
  <c r="CF38" i="10"/>
  <c r="CG38" i="10" s="1"/>
  <c r="AI132" i="10"/>
  <c r="AH132" i="10"/>
  <c r="AI131" i="10"/>
  <c r="AH131" i="10"/>
  <c r="AI130" i="10"/>
  <c r="AH130" i="10"/>
  <c r="AI129" i="10"/>
  <c r="AH129" i="10"/>
  <c r="AI128" i="10"/>
  <c r="AH128" i="10"/>
  <c r="AI127" i="10"/>
  <c r="AH127" i="10"/>
  <c r="AI126" i="10"/>
  <c r="AH126" i="10"/>
  <c r="AI125" i="10"/>
  <c r="AH125" i="10"/>
  <c r="AI124" i="10"/>
  <c r="AH124" i="10"/>
  <c r="AI123" i="10"/>
  <c r="AH123" i="10"/>
  <c r="AI122" i="10"/>
  <c r="AH122" i="10"/>
  <c r="AI121" i="10"/>
  <c r="AH121" i="10"/>
  <c r="AI120" i="10"/>
  <c r="AH120" i="10"/>
  <c r="G146" i="15"/>
  <c r="F146" i="15"/>
  <c r="G145" i="15"/>
  <c r="F145" i="15"/>
  <c r="G144" i="15"/>
  <c r="F144" i="15"/>
  <c r="G143" i="15"/>
  <c r="F143" i="15"/>
  <c r="G142" i="15"/>
  <c r="F142" i="15"/>
  <c r="G141" i="15"/>
  <c r="F141" i="15"/>
  <c r="G140" i="15"/>
  <c r="F140" i="15"/>
  <c r="G139" i="15"/>
  <c r="F139" i="15"/>
  <c r="G138" i="15"/>
  <c r="F138" i="15"/>
  <c r="G137" i="15"/>
  <c r="F137" i="15"/>
  <c r="G136" i="15"/>
  <c r="F136" i="15"/>
  <c r="G135" i="15"/>
  <c r="F135" i="15"/>
  <c r="G134" i="15"/>
  <c r="F134" i="15"/>
  <c r="G133" i="15"/>
  <c r="F133" i="15"/>
  <c r="G132" i="15"/>
  <c r="F132" i="15"/>
  <c r="G131" i="15"/>
  <c r="F131" i="15"/>
  <c r="G130" i="15"/>
  <c r="F130" i="15"/>
  <c r="G129" i="15"/>
  <c r="F129" i="15"/>
  <c r="G128" i="15"/>
  <c r="F128" i="15"/>
  <c r="G127" i="15"/>
  <c r="F127" i="15"/>
  <c r="G126" i="15"/>
  <c r="F126" i="15"/>
  <c r="G125" i="15"/>
  <c r="F125" i="15"/>
  <c r="G124" i="15"/>
  <c r="F124" i="15"/>
  <c r="G123" i="15"/>
  <c r="F123" i="15"/>
  <c r="G122" i="15"/>
  <c r="F122" i="15"/>
  <c r="G121" i="15"/>
  <c r="F121" i="15"/>
  <c r="G120" i="15"/>
  <c r="F120" i="15"/>
  <c r="G119" i="15"/>
  <c r="F119" i="15"/>
  <c r="G118" i="15"/>
  <c r="F118" i="15"/>
  <c r="G117" i="15"/>
  <c r="F117" i="15"/>
  <c r="G116" i="15"/>
  <c r="F116" i="15"/>
  <c r="G115" i="15"/>
  <c r="F115" i="15"/>
  <c r="G114" i="15"/>
  <c r="F114" i="15"/>
  <c r="G113" i="15"/>
  <c r="F113" i="15"/>
  <c r="G112" i="15"/>
  <c r="F112" i="15"/>
  <c r="G111" i="15"/>
  <c r="F111" i="15"/>
  <c r="G110" i="15"/>
  <c r="F110" i="15"/>
  <c r="G109" i="15"/>
  <c r="F109" i="15"/>
  <c r="G108" i="15"/>
  <c r="F108" i="15"/>
  <c r="G107" i="15"/>
  <c r="F107" i="15"/>
  <c r="G106" i="15"/>
  <c r="F106" i="15"/>
  <c r="G105" i="15"/>
  <c r="F105" i="15"/>
  <c r="G104" i="15"/>
  <c r="F104" i="15"/>
  <c r="G103" i="15"/>
  <c r="F103" i="15"/>
  <c r="G102" i="15"/>
  <c r="F102" i="15"/>
  <c r="G101" i="15"/>
  <c r="F101" i="15"/>
  <c r="G100" i="15"/>
  <c r="F100" i="15"/>
  <c r="G99" i="15"/>
  <c r="F99" i="15"/>
  <c r="G98" i="15"/>
  <c r="F98" i="15"/>
  <c r="G97" i="15"/>
  <c r="F97" i="15"/>
  <c r="G96" i="15"/>
  <c r="F96" i="15"/>
  <c r="G95" i="15"/>
  <c r="F95" i="15"/>
  <c r="G94" i="15"/>
  <c r="F94" i="15"/>
  <c r="G93" i="15"/>
  <c r="F93" i="15"/>
  <c r="G92" i="15"/>
  <c r="F92" i="15"/>
  <c r="G91" i="15"/>
  <c r="F91" i="15"/>
  <c r="G90" i="15"/>
  <c r="F90" i="15"/>
  <c r="G89" i="15"/>
  <c r="F89" i="15"/>
  <c r="G88" i="15"/>
  <c r="F88" i="15"/>
  <c r="G87" i="15"/>
  <c r="F87" i="15"/>
  <c r="G86" i="15"/>
  <c r="F86" i="15"/>
  <c r="G85" i="15"/>
  <c r="F85" i="15"/>
  <c r="G84" i="15"/>
  <c r="F84" i="15"/>
  <c r="G83" i="15"/>
  <c r="F83" i="15"/>
  <c r="G82" i="15"/>
  <c r="F82" i="15"/>
  <c r="G81" i="15"/>
  <c r="F81" i="15"/>
  <c r="G80" i="15"/>
  <c r="F80" i="15"/>
  <c r="G79" i="15"/>
  <c r="F79" i="15"/>
  <c r="G78" i="15"/>
  <c r="F78" i="15"/>
  <c r="G77" i="15"/>
  <c r="F77" i="15"/>
  <c r="G76" i="15"/>
  <c r="F76" i="15"/>
  <c r="G75" i="15"/>
  <c r="F75" i="15"/>
  <c r="G74" i="15"/>
  <c r="F74" i="15"/>
  <c r="G73" i="15"/>
  <c r="F73" i="15"/>
  <c r="G72" i="15"/>
  <c r="F72" i="15"/>
  <c r="G71" i="15"/>
  <c r="F71" i="15"/>
  <c r="G70" i="15"/>
  <c r="F70" i="15"/>
  <c r="G69" i="15"/>
  <c r="F69" i="15"/>
  <c r="G68" i="15"/>
  <c r="F68" i="15"/>
  <c r="G67" i="15"/>
  <c r="F67" i="15"/>
  <c r="G66" i="15"/>
  <c r="F66" i="15"/>
  <c r="G65" i="15"/>
  <c r="F65" i="15"/>
  <c r="G64" i="15"/>
  <c r="F64" i="15"/>
  <c r="G63" i="15"/>
  <c r="F63" i="15"/>
  <c r="G62" i="15"/>
  <c r="F62" i="15"/>
  <c r="G61" i="15"/>
  <c r="F61" i="15"/>
  <c r="G60" i="15"/>
  <c r="F60" i="15"/>
  <c r="G59" i="15"/>
  <c r="F59" i="15"/>
  <c r="G58" i="15"/>
  <c r="F58" i="15"/>
  <c r="G57" i="15"/>
  <c r="F57" i="15"/>
  <c r="G56" i="15"/>
  <c r="F56" i="15"/>
  <c r="G55" i="15"/>
  <c r="F55" i="15"/>
  <c r="G54" i="15"/>
  <c r="F54" i="15"/>
  <c r="G53" i="15"/>
  <c r="F53" i="15"/>
  <c r="G52" i="15"/>
  <c r="F52" i="15"/>
  <c r="G51" i="15"/>
  <c r="F51" i="15"/>
  <c r="G50" i="15"/>
  <c r="F50" i="15"/>
  <c r="G49" i="15"/>
  <c r="F49" i="15"/>
  <c r="G48" i="15"/>
  <c r="F48" i="15"/>
  <c r="G47" i="15"/>
  <c r="F47" i="15"/>
  <c r="G46" i="15"/>
  <c r="F46" i="15"/>
  <c r="G45" i="15"/>
  <c r="F45" i="15"/>
  <c r="G44" i="15"/>
  <c r="F44" i="15"/>
  <c r="G43" i="15"/>
  <c r="F43" i="15"/>
  <c r="G42" i="15"/>
  <c r="F42" i="15"/>
  <c r="G41" i="15"/>
  <c r="F41" i="15"/>
  <c r="G40" i="15"/>
  <c r="F40" i="15"/>
  <c r="G39" i="15"/>
  <c r="G38" i="15"/>
  <c r="F38" i="15"/>
  <c r="G37" i="15"/>
  <c r="F37" i="15"/>
  <c r="G36" i="15"/>
  <c r="F36" i="15"/>
  <c r="G35" i="15"/>
  <c r="F35" i="15"/>
  <c r="G34" i="15"/>
  <c r="F34" i="15"/>
  <c r="G33" i="15"/>
  <c r="F33" i="15"/>
  <c r="G32" i="15"/>
  <c r="F32" i="15"/>
  <c r="G31" i="15"/>
  <c r="F31" i="15"/>
  <c r="G30" i="15"/>
  <c r="F30" i="15"/>
  <c r="G29" i="15"/>
  <c r="F29" i="15"/>
  <c r="G28" i="15"/>
  <c r="F28" i="15"/>
  <c r="G27" i="15"/>
  <c r="F27" i="15"/>
  <c r="G26" i="15"/>
  <c r="F26" i="15"/>
  <c r="G25" i="15"/>
  <c r="F25" i="15"/>
  <c r="G24" i="15"/>
  <c r="F24" i="15"/>
  <c r="G23" i="15"/>
  <c r="F23" i="15"/>
  <c r="G22" i="15"/>
  <c r="F22" i="15"/>
  <c r="G21" i="15"/>
  <c r="F21" i="15"/>
  <c r="G20" i="15"/>
  <c r="F20" i="15"/>
  <c r="F39" i="15"/>
  <c r="AQ171" i="31"/>
  <c r="AF149" i="31"/>
  <c r="AI171" i="31"/>
  <c r="AF172" i="31"/>
  <c r="AH160" i="31"/>
  <c r="AF160" i="31"/>
  <c r="AQ147" i="31"/>
  <c r="AJ171" i="31"/>
  <c r="AK166" i="31"/>
  <c r="AK154" i="31"/>
  <c r="AQ142" i="31"/>
  <c r="AQ165" i="31"/>
  <c r="AG148" i="31"/>
  <c r="AK165" i="31"/>
  <c r="AI153" i="31"/>
  <c r="AG149" i="31"/>
  <c r="AG178" i="31"/>
  <c r="AK172" i="31"/>
  <c r="AJ154" i="31"/>
  <c r="AH154" i="31"/>
  <c r="AI142" i="31"/>
  <c r="AF154" i="31"/>
  <c r="AF148" i="31"/>
  <c r="AF178" i="31"/>
  <c r="AJ166" i="31"/>
  <c r="AJ148" i="31"/>
  <c r="AK160" i="31"/>
  <c r="AJ160" i="31"/>
  <c r="AI165" i="31"/>
  <c r="AJ149" i="31"/>
  <c r="AG154" i="31"/>
  <c r="AH148" i="31"/>
  <c r="AI159" i="31"/>
  <c r="AI147" i="31"/>
  <c r="AQ153" i="31"/>
  <c r="AH165" i="31"/>
  <c r="AK149" i="31"/>
  <c r="AH166" i="31"/>
  <c r="AQ141" i="31"/>
  <c r="AC178" i="31"/>
  <c r="AG166" i="31"/>
  <c r="AH178" i="31"/>
  <c r="AK171" i="31"/>
  <c r="AB171" i="31"/>
  <c r="AI141" i="31"/>
  <c r="AF166" i="31"/>
  <c r="AK148" i="31"/>
  <c r="AQ159" i="31"/>
  <c r="AC171" i="31"/>
  <c r="AG171" i="31"/>
  <c r="AH149" i="31"/>
  <c r="AG160" i="31"/>
  <c r="BB690" i="15" l="1"/>
  <c r="BJ690" i="15" s="1"/>
  <c r="BP690" i="15" s="1"/>
  <c r="CJ96" i="32"/>
  <c r="CJ97" i="32" s="1"/>
  <c r="CJ98" i="32" s="1"/>
  <c r="CJ99" i="32" s="1"/>
  <c r="CJ100" i="32" s="1"/>
  <c r="CJ101" i="32" s="1"/>
  <c r="CJ102" i="32" s="1"/>
  <c r="CW95" i="32"/>
  <c r="DO60" i="32"/>
  <c r="DP60" i="32"/>
  <c r="DO62" i="32"/>
  <c r="DP62" i="32"/>
  <c r="DP61" i="32"/>
  <c r="DO61" i="32"/>
  <c r="DO63" i="32"/>
  <c r="DP63" i="32"/>
  <c r="DO59" i="32"/>
  <c r="DP59" i="32"/>
  <c r="DK46" i="32"/>
  <c r="DK47" i="32"/>
  <c r="DK49" i="32"/>
  <c r="CH39" i="32"/>
  <c r="CI39" i="32" s="1"/>
  <c r="CS38" i="32"/>
  <c r="G139" i="30"/>
  <c r="N37" i="29" s="1"/>
  <c r="L19" i="32" s="1"/>
  <c r="Q19" i="32" s="1"/>
  <c r="G143" i="30"/>
  <c r="J133" i="30"/>
  <c r="G145" i="30"/>
  <c r="P127" i="30"/>
  <c r="R127" i="30" s="1"/>
  <c r="T127" i="30" s="1"/>
  <c r="O126" i="30"/>
  <c r="O125" i="30"/>
  <c r="P128" i="30" s="1"/>
  <c r="R128" i="30" s="1"/>
  <c r="T128" i="30" s="1"/>
  <c r="V128" i="30" s="1"/>
  <c r="X128" i="30" s="1"/>
  <c r="G144" i="30"/>
  <c r="J130" i="30"/>
  <c r="G142" i="30"/>
  <c r="J129" i="30"/>
  <c r="G141" i="30"/>
  <c r="G140" i="30"/>
  <c r="G146" i="30"/>
  <c r="BG153" i="31"/>
  <c r="BG141" i="31"/>
  <c r="AC179" i="31"/>
  <c r="AC180" i="31" s="1"/>
  <c r="AC181" i="31" s="1"/>
  <c r="AC182" i="31" s="1"/>
  <c r="AC183" i="31" s="1"/>
  <c r="AC184" i="31" s="1"/>
  <c r="AB172" i="31"/>
  <c r="AB173" i="31" s="1"/>
  <c r="AB174" i="31" s="1"/>
  <c r="AB175" i="31" s="1"/>
  <c r="AB176" i="31" s="1"/>
  <c r="AB177" i="31" s="1"/>
  <c r="BG171" i="31"/>
  <c r="AC172" i="31"/>
  <c r="AC173" i="31" s="1"/>
  <c r="AC174" i="31" s="1"/>
  <c r="AC175" i="31" s="1"/>
  <c r="AC176" i="31" s="1"/>
  <c r="AC177" i="31" s="1"/>
  <c r="BG142" i="31"/>
  <c r="BG165" i="31"/>
  <c r="BG159" i="31"/>
  <c r="BG147" i="31"/>
  <c r="G180" i="31"/>
  <c r="E192" i="31"/>
  <c r="E186" i="31"/>
  <c r="E187" i="31" s="1"/>
  <c r="E188" i="31" s="1"/>
  <c r="E189" i="31" s="1"/>
  <c r="E190" i="31" s="1"/>
  <c r="E191" i="31" s="1"/>
  <c r="I179" i="31"/>
  <c r="I185" i="31"/>
  <c r="X186" i="31"/>
  <c r="X187" i="31" s="1"/>
  <c r="X188" i="31" s="1"/>
  <c r="X189" i="31" s="1"/>
  <c r="X190" i="31" s="1"/>
  <c r="X191" i="31" s="1"/>
  <c r="X192" i="31"/>
  <c r="H168" i="31"/>
  <c r="Q161" i="31"/>
  <c r="H180" i="31"/>
  <c r="K192" i="31"/>
  <c r="K186" i="31"/>
  <c r="O192" i="31"/>
  <c r="O186" i="31"/>
  <c r="O187" i="31" s="1"/>
  <c r="O188" i="31" s="1"/>
  <c r="O189" i="31" s="1"/>
  <c r="O190" i="31" s="1"/>
  <c r="O191" i="31" s="1"/>
  <c r="R192" i="31"/>
  <c r="R186" i="31"/>
  <c r="R187" i="31" s="1"/>
  <c r="R188" i="31" s="1"/>
  <c r="R189" i="31" s="1"/>
  <c r="R190" i="31" s="1"/>
  <c r="R191" i="31" s="1"/>
  <c r="I161" i="31"/>
  <c r="J192" i="31"/>
  <c r="J186" i="31"/>
  <c r="Q173" i="31"/>
  <c r="K174" i="31"/>
  <c r="I149" i="31"/>
  <c r="Q167" i="31"/>
  <c r="D186" i="31"/>
  <c r="D187" i="31" s="1"/>
  <c r="D188" i="31" s="1"/>
  <c r="D189" i="31" s="1"/>
  <c r="D190" i="31" s="1"/>
  <c r="D191" i="31" s="1"/>
  <c r="D192" i="31"/>
  <c r="F168" i="31"/>
  <c r="BI179" i="31"/>
  <c r="AE186" i="31"/>
  <c r="G192" i="31"/>
  <c r="G186" i="31"/>
  <c r="I155" i="31"/>
  <c r="H186" i="31"/>
  <c r="H192" i="31"/>
  <c r="J174" i="31"/>
  <c r="K168" i="31"/>
  <c r="G162" i="31"/>
  <c r="Q179" i="31"/>
  <c r="Q185" i="31"/>
  <c r="J162" i="31"/>
  <c r="W192" i="31"/>
  <c r="W186" i="31"/>
  <c r="W187" i="31" s="1"/>
  <c r="W188" i="31" s="1"/>
  <c r="W189" i="31" s="1"/>
  <c r="W190" i="31" s="1"/>
  <c r="W191" i="31" s="1"/>
  <c r="G168" i="31"/>
  <c r="F192" i="31"/>
  <c r="F186" i="31"/>
  <c r="N192" i="31"/>
  <c r="N186" i="31"/>
  <c r="N187" i="31" s="1"/>
  <c r="N188" i="31" s="1"/>
  <c r="N189" i="31" s="1"/>
  <c r="N190" i="31" s="1"/>
  <c r="N191" i="31" s="1"/>
  <c r="F174" i="31"/>
  <c r="B192" i="31"/>
  <c r="B186" i="31"/>
  <c r="B187" i="31" s="1"/>
  <c r="B188" i="31" s="1"/>
  <c r="B189" i="31" s="1"/>
  <c r="B190" i="31" s="1"/>
  <c r="B191" i="31" s="1"/>
  <c r="A179" i="31"/>
  <c r="A180" i="31" s="1"/>
  <c r="A181" i="31" s="1"/>
  <c r="A182" i="31" s="1"/>
  <c r="A183" i="31" s="1"/>
  <c r="A184" i="31" s="1"/>
  <c r="A185" i="31"/>
  <c r="K156" i="31"/>
  <c r="H162" i="31"/>
  <c r="Q155" i="31"/>
  <c r="I167" i="31"/>
  <c r="S192" i="31"/>
  <c r="S186" i="31"/>
  <c r="S187" i="31" s="1"/>
  <c r="S188" i="31" s="1"/>
  <c r="S189" i="31" s="1"/>
  <c r="S190" i="31" s="1"/>
  <c r="S191" i="31" s="1"/>
  <c r="H174" i="31"/>
  <c r="F156" i="31"/>
  <c r="F162" i="31"/>
  <c r="Q149" i="31"/>
  <c r="F180" i="31"/>
  <c r="J156" i="31"/>
  <c r="T185" i="31"/>
  <c r="T179" i="31"/>
  <c r="T180" i="31" s="1"/>
  <c r="T181" i="31" s="1"/>
  <c r="T182" i="31" s="1"/>
  <c r="T183" i="31" s="1"/>
  <c r="T184" i="31" s="1"/>
  <c r="G156" i="31"/>
  <c r="I173" i="31"/>
  <c r="C192" i="31"/>
  <c r="C186" i="31"/>
  <c r="C187" i="31" s="1"/>
  <c r="C188" i="31" s="1"/>
  <c r="C189" i="31" s="1"/>
  <c r="C190" i="31" s="1"/>
  <c r="C191" i="31" s="1"/>
  <c r="V192" i="31"/>
  <c r="V186" i="31"/>
  <c r="V187" i="31" s="1"/>
  <c r="V188" i="31" s="1"/>
  <c r="V189" i="31" s="1"/>
  <c r="V190" i="31" s="1"/>
  <c r="V191" i="31" s="1"/>
  <c r="M192" i="31"/>
  <c r="M186" i="31"/>
  <c r="M187" i="31" s="1"/>
  <c r="M188" i="31" s="1"/>
  <c r="M189" i="31" s="1"/>
  <c r="M190" i="31" s="1"/>
  <c r="M191" i="31" s="1"/>
  <c r="G174" i="31"/>
  <c r="P185" i="31"/>
  <c r="P179" i="31"/>
  <c r="P180" i="31" s="1"/>
  <c r="P181" i="31" s="1"/>
  <c r="P182" i="31" s="1"/>
  <c r="P183" i="31" s="1"/>
  <c r="P184" i="31" s="1"/>
  <c r="K180" i="31"/>
  <c r="J180" i="31"/>
  <c r="H156" i="31"/>
  <c r="K162" i="31"/>
  <c r="L186" i="31"/>
  <c r="L187" i="31" s="1"/>
  <c r="L188" i="31" s="1"/>
  <c r="L189" i="31" s="1"/>
  <c r="L190" i="31" s="1"/>
  <c r="L191" i="31" s="1"/>
  <c r="L192" i="31"/>
  <c r="J168" i="31"/>
  <c r="U192" i="31"/>
  <c r="U186" i="31"/>
  <c r="U187" i="31" s="1"/>
  <c r="U188" i="31" s="1"/>
  <c r="U189" i="31" s="1"/>
  <c r="U190" i="31" s="1"/>
  <c r="U191" i="31" s="1"/>
  <c r="BB686" i="15"/>
  <c r="BJ686" i="15" s="1"/>
  <c r="BP686" i="15" s="1"/>
  <c r="D77" i="2"/>
  <c r="E77" i="2" s="1"/>
  <c r="BB685" i="15"/>
  <c r="BJ685" i="15" s="1"/>
  <c r="BP685" i="15" s="1"/>
  <c r="BB691" i="15"/>
  <c r="BJ691" i="15" s="1"/>
  <c r="BP691" i="15" s="1"/>
  <c r="BB689" i="15"/>
  <c r="BJ689" i="15" s="1"/>
  <c r="BP689" i="15" s="1"/>
  <c r="DC578" i="15"/>
  <c r="DE577" i="15"/>
  <c r="BB687" i="15"/>
  <c r="BJ687" i="15" s="1"/>
  <c r="BP687" i="15" s="1"/>
  <c r="DI20" i="15"/>
  <c r="BQ582" i="15"/>
  <c r="G15" i="2"/>
  <c r="H15" i="2" s="1"/>
  <c r="K14" i="26"/>
  <c r="K15" i="26"/>
  <c r="L32" i="26"/>
  <c r="L31" i="26"/>
  <c r="L30" i="26"/>
  <c r="L29" i="26"/>
  <c r="L28" i="26"/>
  <c r="L27" i="26"/>
  <c r="L26" i="26"/>
  <c r="M25" i="26"/>
  <c r="L25" i="26"/>
  <c r="L24" i="26"/>
  <c r="L23" i="26"/>
  <c r="L22" i="26"/>
  <c r="I146" i="15"/>
  <c r="H146" i="15"/>
  <c r="AG697" i="15" s="1"/>
  <c r="I145" i="15"/>
  <c r="H145" i="15"/>
  <c r="AG696" i="15" s="1"/>
  <c r="I144" i="15"/>
  <c r="H144" i="15"/>
  <c r="AG695" i="15" s="1"/>
  <c r="I143" i="15"/>
  <c r="H143" i="15"/>
  <c r="AG694" i="15" s="1"/>
  <c r="I142" i="15"/>
  <c r="H142" i="15"/>
  <c r="AG693" i="15" s="1"/>
  <c r="I141" i="15"/>
  <c r="H141" i="15"/>
  <c r="AG692" i="15" s="1"/>
  <c r="I140" i="15"/>
  <c r="H140" i="15"/>
  <c r="AG691" i="15" s="1"/>
  <c r="I139" i="15"/>
  <c r="H139" i="15"/>
  <c r="AG690" i="15" s="1"/>
  <c r="I138" i="15"/>
  <c r="H138" i="15"/>
  <c r="AG689" i="15" s="1"/>
  <c r="I137" i="15"/>
  <c r="H137" i="15"/>
  <c r="AG688" i="15" s="1"/>
  <c r="I136" i="15"/>
  <c r="H136" i="15"/>
  <c r="AG687" i="15" s="1"/>
  <c r="I135" i="15"/>
  <c r="H135" i="15"/>
  <c r="AG686" i="15" s="1"/>
  <c r="I134" i="15"/>
  <c r="H134" i="15"/>
  <c r="AG685" i="15" s="1"/>
  <c r="I133" i="15"/>
  <c r="H133" i="15"/>
  <c r="AG684" i="15" s="1"/>
  <c r="I132" i="15"/>
  <c r="H132" i="15"/>
  <c r="AG683" i="15" s="1"/>
  <c r="I131" i="15"/>
  <c r="H131" i="15"/>
  <c r="AG682" i="15" s="1"/>
  <c r="I130" i="15"/>
  <c r="H130" i="15"/>
  <c r="AG681" i="15" s="1"/>
  <c r="I129" i="15"/>
  <c r="H129" i="15"/>
  <c r="AG680" i="15" s="1"/>
  <c r="I128" i="15"/>
  <c r="H128" i="15"/>
  <c r="AG679" i="15" s="1"/>
  <c r="I127" i="15"/>
  <c r="H127" i="15"/>
  <c r="AG678" i="15" s="1"/>
  <c r="I126" i="15"/>
  <c r="H126" i="15"/>
  <c r="AG677" i="15" s="1"/>
  <c r="I125" i="15"/>
  <c r="H125" i="15"/>
  <c r="AG676" i="15" s="1"/>
  <c r="I124" i="15"/>
  <c r="H124" i="15"/>
  <c r="AG675" i="15" s="1"/>
  <c r="I123" i="15"/>
  <c r="H123" i="15"/>
  <c r="AG674" i="15" s="1"/>
  <c r="I122" i="15"/>
  <c r="H122" i="15"/>
  <c r="AG673" i="15" s="1"/>
  <c r="I121" i="15"/>
  <c r="H121" i="15"/>
  <c r="AG672" i="15" s="1"/>
  <c r="I120" i="15"/>
  <c r="H120" i="15"/>
  <c r="AG671" i="15" s="1"/>
  <c r="I119" i="15"/>
  <c r="H119" i="15"/>
  <c r="AG670" i="15" s="1"/>
  <c r="I118" i="15"/>
  <c r="H118" i="15"/>
  <c r="AG669" i="15" s="1"/>
  <c r="I117" i="15"/>
  <c r="H117" i="15"/>
  <c r="AG668" i="15" s="1"/>
  <c r="I116" i="15"/>
  <c r="H116" i="15"/>
  <c r="AG667" i="15" s="1"/>
  <c r="I115" i="15"/>
  <c r="H115" i="15"/>
  <c r="AG666" i="15" s="1"/>
  <c r="I114" i="15"/>
  <c r="H114" i="15"/>
  <c r="AG665" i="15" s="1"/>
  <c r="I113" i="15"/>
  <c r="H113" i="15"/>
  <c r="AG664" i="15" s="1"/>
  <c r="I112" i="15"/>
  <c r="H112" i="15"/>
  <c r="AG663" i="15" s="1"/>
  <c r="I111" i="15"/>
  <c r="H111" i="15"/>
  <c r="AG662" i="15" s="1"/>
  <c r="I110" i="15"/>
  <c r="H110" i="15"/>
  <c r="AG661" i="15" s="1"/>
  <c r="I109" i="15"/>
  <c r="H109" i="15"/>
  <c r="AG660" i="15" s="1"/>
  <c r="I108" i="15"/>
  <c r="H108" i="15"/>
  <c r="AG659" i="15" s="1"/>
  <c r="I107" i="15"/>
  <c r="H107" i="15"/>
  <c r="AG658" i="15" s="1"/>
  <c r="I106" i="15"/>
  <c r="H106" i="15"/>
  <c r="AG657" i="15" s="1"/>
  <c r="I105" i="15"/>
  <c r="H105" i="15"/>
  <c r="AG656" i="15" s="1"/>
  <c r="I104" i="15"/>
  <c r="H104" i="15"/>
  <c r="AG655" i="15" s="1"/>
  <c r="I103" i="15"/>
  <c r="H103" i="15"/>
  <c r="AG654" i="15" s="1"/>
  <c r="I102" i="15"/>
  <c r="H102" i="15"/>
  <c r="AG653" i="15" s="1"/>
  <c r="I101" i="15"/>
  <c r="H101" i="15"/>
  <c r="AG652" i="15" s="1"/>
  <c r="I100" i="15"/>
  <c r="H100" i="15"/>
  <c r="AG651" i="15" s="1"/>
  <c r="I99" i="15"/>
  <c r="H99" i="15"/>
  <c r="AG650" i="15" s="1"/>
  <c r="I98" i="15"/>
  <c r="H98" i="15"/>
  <c r="AG649" i="15" s="1"/>
  <c r="I97" i="15"/>
  <c r="H97" i="15"/>
  <c r="AG648" i="15" s="1"/>
  <c r="I96" i="15"/>
  <c r="H96" i="15"/>
  <c r="AG647" i="15" s="1"/>
  <c r="I95" i="15"/>
  <c r="H95" i="15"/>
  <c r="AG646" i="15" s="1"/>
  <c r="I94" i="15"/>
  <c r="H94" i="15"/>
  <c r="AG645" i="15" s="1"/>
  <c r="I93" i="15"/>
  <c r="H93" i="15"/>
  <c r="AG644" i="15" s="1"/>
  <c r="I92" i="15"/>
  <c r="H92" i="15"/>
  <c r="AG643" i="15" s="1"/>
  <c r="I91" i="15"/>
  <c r="H91" i="15"/>
  <c r="AG642" i="15" s="1"/>
  <c r="I90" i="15"/>
  <c r="H90" i="15"/>
  <c r="AG641" i="15" s="1"/>
  <c r="I89" i="15"/>
  <c r="H89" i="15"/>
  <c r="AG640" i="15" s="1"/>
  <c r="I88" i="15"/>
  <c r="H88" i="15"/>
  <c r="AG639" i="15" s="1"/>
  <c r="I87" i="15"/>
  <c r="H87" i="15"/>
  <c r="AG638" i="15" s="1"/>
  <c r="I86" i="15"/>
  <c r="H86" i="15"/>
  <c r="AG637" i="15" s="1"/>
  <c r="I85" i="15"/>
  <c r="H85" i="15"/>
  <c r="AG636" i="15" s="1"/>
  <c r="I84" i="15"/>
  <c r="H84" i="15"/>
  <c r="AG635" i="15" s="1"/>
  <c r="I83" i="15"/>
  <c r="H83" i="15"/>
  <c r="AG634" i="15" s="1"/>
  <c r="I82" i="15"/>
  <c r="H82" i="15"/>
  <c r="AG633" i="15" s="1"/>
  <c r="I81" i="15"/>
  <c r="H81" i="15"/>
  <c r="AG632" i="15" s="1"/>
  <c r="I80" i="15"/>
  <c r="H80" i="15"/>
  <c r="AG631" i="15" s="1"/>
  <c r="I79" i="15"/>
  <c r="H79" i="15"/>
  <c r="AG630" i="15" s="1"/>
  <c r="I78" i="15"/>
  <c r="H78" i="15"/>
  <c r="AG629" i="15" s="1"/>
  <c r="I77" i="15"/>
  <c r="H77" i="15"/>
  <c r="AG628" i="15" s="1"/>
  <c r="I76" i="15"/>
  <c r="H76" i="15"/>
  <c r="AG627" i="15" s="1"/>
  <c r="I75" i="15"/>
  <c r="H75" i="15"/>
  <c r="AG626" i="15" s="1"/>
  <c r="I74" i="15"/>
  <c r="H74" i="15"/>
  <c r="AG625" i="15" s="1"/>
  <c r="I73" i="15"/>
  <c r="H73" i="15"/>
  <c r="AG624" i="15" s="1"/>
  <c r="I72" i="15"/>
  <c r="H72" i="15"/>
  <c r="AG623" i="15" s="1"/>
  <c r="I71" i="15"/>
  <c r="H71" i="15"/>
  <c r="AG622" i="15" s="1"/>
  <c r="I70" i="15"/>
  <c r="H70" i="15"/>
  <c r="AG621" i="15" s="1"/>
  <c r="I69" i="15"/>
  <c r="H69" i="15"/>
  <c r="AG620" i="15" s="1"/>
  <c r="I68" i="15"/>
  <c r="H68" i="15"/>
  <c r="AG619" i="15" s="1"/>
  <c r="I67" i="15"/>
  <c r="H67" i="15"/>
  <c r="AG618" i="15" s="1"/>
  <c r="I66" i="15"/>
  <c r="H66" i="15"/>
  <c r="AG617" i="15" s="1"/>
  <c r="I65" i="15"/>
  <c r="H65" i="15"/>
  <c r="AG616" i="15" s="1"/>
  <c r="I64" i="15"/>
  <c r="H64" i="15"/>
  <c r="AG615" i="15" s="1"/>
  <c r="I63" i="15"/>
  <c r="H63" i="15"/>
  <c r="AG614" i="15" s="1"/>
  <c r="I62" i="15"/>
  <c r="H62" i="15"/>
  <c r="AG613" i="15" s="1"/>
  <c r="I61" i="15"/>
  <c r="H61" i="15"/>
  <c r="AG612" i="15" s="1"/>
  <c r="I60" i="15"/>
  <c r="H60" i="15"/>
  <c r="AG611" i="15" s="1"/>
  <c r="I59" i="15"/>
  <c r="H59" i="15"/>
  <c r="AG610" i="15" s="1"/>
  <c r="I58" i="15"/>
  <c r="H58" i="15"/>
  <c r="AG609" i="15" s="1"/>
  <c r="I57" i="15"/>
  <c r="H57" i="15"/>
  <c r="AG608" i="15" s="1"/>
  <c r="I56" i="15"/>
  <c r="H56" i="15"/>
  <c r="AG607" i="15" s="1"/>
  <c r="I55" i="15"/>
  <c r="H55" i="15"/>
  <c r="AG606" i="15" s="1"/>
  <c r="I54" i="15"/>
  <c r="H54" i="15"/>
  <c r="AG605" i="15" s="1"/>
  <c r="I53" i="15"/>
  <c r="H53" i="15"/>
  <c r="AG604" i="15" s="1"/>
  <c r="I52" i="15"/>
  <c r="H52" i="15"/>
  <c r="AG603" i="15" s="1"/>
  <c r="I51" i="15"/>
  <c r="H51" i="15"/>
  <c r="AG602" i="15" s="1"/>
  <c r="I50" i="15"/>
  <c r="H50" i="15"/>
  <c r="AG601" i="15" s="1"/>
  <c r="I49" i="15"/>
  <c r="H49" i="15"/>
  <c r="AG600" i="15" s="1"/>
  <c r="I48" i="15"/>
  <c r="H48" i="15"/>
  <c r="AG599" i="15" s="1"/>
  <c r="I47" i="15"/>
  <c r="H47" i="15"/>
  <c r="AG598" i="15" s="1"/>
  <c r="I46" i="15"/>
  <c r="H46" i="15"/>
  <c r="AG597" i="15" s="1"/>
  <c r="I45" i="15"/>
  <c r="H45" i="15"/>
  <c r="AG596" i="15" s="1"/>
  <c r="I44" i="15"/>
  <c r="H44" i="15"/>
  <c r="AG595" i="15" s="1"/>
  <c r="I43" i="15"/>
  <c r="H43" i="15"/>
  <c r="AG594" i="15" s="1"/>
  <c r="I42" i="15"/>
  <c r="H42" i="15"/>
  <c r="AG593" i="15" s="1"/>
  <c r="I41" i="15"/>
  <c r="H41" i="15"/>
  <c r="AG592" i="15" s="1"/>
  <c r="I40" i="15"/>
  <c r="H40" i="15"/>
  <c r="AG591" i="15" s="1"/>
  <c r="I39" i="15"/>
  <c r="H39" i="15"/>
  <c r="AG590" i="15" s="1"/>
  <c r="I38" i="15"/>
  <c r="H38" i="15"/>
  <c r="AG589" i="15" s="1"/>
  <c r="I37" i="15"/>
  <c r="H37" i="15"/>
  <c r="AG588" i="15" s="1"/>
  <c r="I36" i="15"/>
  <c r="H36" i="15"/>
  <c r="AG587" i="15" s="1"/>
  <c r="I35" i="15"/>
  <c r="H35" i="15"/>
  <c r="AG586" i="15" s="1"/>
  <c r="I34" i="15"/>
  <c r="H34" i="15"/>
  <c r="AG585" i="15" s="1"/>
  <c r="I33" i="15"/>
  <c r="H33" i="15"/>
  <c r="AG584" i="15" s="1"/>
  <c r="I32" i="15"/>
  <c r="H32" i="15"/>
  <c r="AG583" i="15" s="1"/>
  <c r="I31" i="15"/>
  <c r="H31" i="15"/>
  <c r="AG582" i="15" s="1"/>
  <c r="I30" i="15"/>
  <c r="H30" i="15"/>
  <c r="AG581" i="15" s="1"/>
  <c r="I29" i="15"/>
  <c r="H29" i="15"/>
  <c r="AG580" i="15" s="1"/>
  <c r="I28" i="15"/>
  <c r="H28" i="15"/>
  <c r="AG579" i="15" s="1"/>
  <c r="I27" i="15"/>
  <c r="H27" i="15"/>
  <c r="AG578" i="15" s="1"/>
  <c r="I26" i="15"/>
  <c r="H26" i="15"/>
  <c r="AG577" i="15" s="1"/>
  <c r="I25" i="15"/>
  <c r="H25" i="15"/>
  <c r="AG576" i="15" s="1"/>
  <c r="I24" i="15"/>
  <c r="H24" i="15"/>
  <c r="AG575" i="15" s="1"/>
  <c r="I23" i="15"/>
  <c r="H23" i="15"/>
  <c r="AG574" i="15" s="1"/>
  <c r="I22" i="15"/>
  <c r="H22" i="15"/>
  <c r="AG573" i="15" s="1"/>
  <c r="I21" i="15"/>
  <c r="H21" i="15"/>
  <c r="AG572" i="15" s="1"/>
  <c r="I20" i="15"/>
  <c r="H20" i="15"/>
  <c r="AG571" i="15" s="1"/>
  <c r="E14" i="15"/>
  <c r="G7" i="15"/>
  <c r="J20" i="15" s="1"/>
  <c r="AK155" i="31"/>
  <c r="AI178" i="31"/>
  <c r="BY573" i="15"/>
  <c r="AK156" i="31"/>
  <c r="AG156" i="31"/>
  <c r="AJ172" i="31"/>
  <c r="AH156" i="31"/>
  <c r="AK179" i="31"/>
  <c r="BY575" i="15"/>
  <c r="AI149" i="31"/>
  <c r="AG185" i="31"/>
  <c r="AQ148" i="31"/>
  <c r="AB178" i="31"/>
  <c r="AK167" i="31"/>
  <c r="BY571" i="15"/>
  <c r="AJ155" i="31"/>
  <c r="AJ167" i="31"/>
  <c r="AJ161" i="31"/>
  <c r="AQ166" i="31"/>
  <c r="AF173" i="31"/>
  <c r="AQ172" i="31"/>
  <c r="AH155" i="31"/>
  <c r="AQ149" i="31"/>
  <c r="AB185" i="31"/>
  <c r="AF167" i="31"/>
  <c r="AH173" i="31"/>
  <c r="AF156" i="31"/>
  <c r="BY577" i="15"/>
  <c r="AC185" i="31"/>
  <c r="AI160" i="31"/>
  <c r="AI148" i="31"/>
  <c r="BY581" i="15"/>
  <c r="AK178" i="31"/>
  <c r="BY580" i="15"/>
  <c r="AJ179" i="31"/>
  <c r="BY576" i="15"/>
  <c r="BY574" i="15"/>
  <c r="BY572" i="15"/>
  <c r="AF185" i="31"/>
  <c r="AJ173" i="31"/>
  <c r="BY578" i="15"/>
  <c r="AK173" i="31"/>
  <c r="AF161" i="31"/>
  <c r="AF179" i="31"/>
  <c r="AH161" i="31"/>
  <c r="AK185" i="31"/>
  <c r="AQ178" i="31"/>
  <c r="AG172" i="31"/>
  <c r="BY579" i="15"/>
  <c r="AQ160" i="31"/>
  <c r="AI172" i="31"/>
  <c r="AO20" i="15"/>
  <c r="AG161" i="31"/>
  <c r="AK161" i="31"/>
  <c r="AG167" i="31"/>
  <c r="AH167" i="31"/>
  <c r="AJ178" i="31"/>
  <c r="AF155" i="31"/>
  <c r="AG155" i="31"/>
  <c r="AJ185" i="31"/>
  <c r="AJ156" i="31"/>
  <c r="AI154" i="31"/>
  <c r="AQ154" i="31"/>
  <c r="AI166" i="31"/>
  <c r="AG173" i="31"/>
  <c r="AH172" i="31"/>
  <c r="DU63" i="32" l="1"/>
  <c r="EO63" i="32" s="1"/>
  <c r="DU62" i="32"/>
  <c r="EO62" i="32" s="1"/>
  <c r="DU59" i="32"/>
  <c r="EO59" i="32" s="1"/>
  <c r="DU60" i="32"/>
  <c r="EO60" i="32" s="1"/>
  <c r="DU61" i="32"/>
  <c r="EO61" i="32" s="1"/>
  <c r="CH40" i="32"/>
  <c r="CI40" i="32" s="1"/>
  <c r="CS39" i="32"/>
  <c r="P129" i="30"/>
  <c r="R129" i="30" s="1"/>
  <c r="T129" i="30" s="1"/>
  <c r="V129" i="30" s="1"/>
  <c r="X129" i="30" s="1"/>
  <c r="H141" i="30" s="1"/>
  <c r="O39" i="29" s="1"/>
  <c r="M21" i="32" s="1"/>
  <c r="R21" i="32" s="1"/>
  <c r="P130" i="30"/>
  <c r="R130" i="30" s="1"/>
  <c r="T130" i="30" s="1"/>
  <c r="V130" i="30" s="1"/>
  <c r="X130" i="30" s="1"/>
  <c r="H142" i="30" s="1"/>
  <c r="O40" i="29" s="1"/>
  <c r="M22" i="32" s="1"/>
  <c r="R22" i="32" s="1"/>
  <c r="V127" i="30"/>
  <c r="X127" i="30"/>
  <c r="H139" i="30" s="1"/>
  <c r="J140" i="30" s="1"/>
  <c r="H140" i="30" s="1"/>
  <c r="O38" i="29" s="1"/>
  <c r="M20" i="32" s="1"/>
  <c r="R20" i="32" s="1"/>
  <c r="P133" i="30"/>
  <c r="R133" i="30" s="1"/>
  <c r="T133" i="30" s="1"/>
  <c r="V133" i="30" s="1"/>
  <c r="X133" i="30" s="1"/>
  <c r="H145" i="30" s="1"/>
  <c r="O43" i="29" s="1"/>
  <c r="N43" i="29" s="1"/>
  <c r="L25" i="32" s="1"/>
  <c r="Q25" i="32" s="1"/>
  <c r="P131" i="30"/>
  <c r="R131" i="30" s="1"/>
  <c r="T131" i="30" s="1"/>
  <c r="V131" i="30" s="1"/>
  <c r="X131" i="30" s="1"/>
  <c r="H143" i="30" s="1"/>
  <c r="O41" i="29" s="1"/>
  <c r="M23" i="32" s="1"/>
  <c r="R23" i="32" s="1"/>
  <c r="P132" i="30"/>
  <c r="R132" i="30" s="1"/>
  <c r="T132" i="30" s="1"/>
  <c r="V132" i="30" s="1"/>
  <c r="X132" i="30" s="1"/>
  <c r="H144" i="30" s="1"/>
  <c r="O42" i="29" s="1"/>
  <c r="M24" i="32" s="1"/>
  <c r="R24" i="32" s="1"/>
  <c r="X62" i="32" s="1"/>
  <c r="P134" i="30"/>
  <c r="R134" i="30" s="1"/>
  <c r="T134" i="30" s="1"/>
  <c r="V134" i="30" s="1"/>
  <c r="X134" i="30" s="1"/>
  <c r="H146" i="30" s="1"/>
  <c r="BG148" i="31"/>
  <c r="BG178" i="31"/>
  <c r="BG172" i="31"/>
  <c r="BG149" i="31"/>
  <c r="BG160" i="31"/>
  <c r="AB179" i="31"/>
  <c r="AB180" i="31" s="1"/>
  <c r="AB181" i="31" s="1"/>
  <c r="AB182" i="31" s="1"/>
  <c r="AB183" i="31" s="1"/>
  <c r="AB184" i="31" s="1"/>
  <c r="BG166" i="31"/>
  <c r="AB186" i="31"/>
  <c r="AB187" i="31" s="1"/>
  <c r="AB188" i="31" s="1"/>
  <c r="AB189" i="31" s="1"/>
  <c r="AB190" i="31" s="1"/>
  <c r="AB191" i="31" s="1"/>
  <c r="AC186" i="31"/>
  <c r="AC187" i="31" s="1"/>
  <c r="AC188" i="31" s="1"/>
  <c r="AC189" i="31" s="1"/>
  <c r="AC190" i="31" s="1"/>
  <c r="AC191" i="31" s="1"/>
  <c r="BG154" i="31"/>
  <c r="F163" i="31"/>
  <c r="K163" i="31"/>
  <c r="L199" i="31"/>
  <c r="L193" i="31"/>
  <c r="L194" i="31" s="1"/>
  <c r="L195" i="31" s="1"/>
  <c r="L196" i="31" s="1"/>
  <c r="L197" i="31" s="1"/>
  <c r="L198" i="31" s="1"/>
  <c r="C193" i="31"/>
  <c r="C194" i="31" s="1"/>
  <c r="C195" i="31" s="1"/>
  <c r="C196" i="31" s="1"/>
  <c r="C197" i="31" s="1"/>
  <c r="C198" i="31" s="1"/>
  <c r="C199" i="31"/>
  <c r="A192" i="31"/>
  <c r="A186" i="31"/>
  <c r="A187" i="31" s="1"/>
  <c r="A188" i="31" s="1"/>
  <c r="A189" i="31" s="1"/>
  <c r="A190" i="31" s="1"/>
  <c r="A191" i="31" s="1"/>
  <c r="B199" i="31"/>
  <c r="B193" i="31"/>
  <c r="B194" i="31" s="1"/>
  <c r="B195" i="31" s="1"/>
  <c r="B196" i="31" s="1"/>
  <c r="B197" i="31" s="1"/>
  <c r="B198" i="31" s="1"/>
  <c r="N199" i="31"/>
  <c r="N193" i="31"/>
  <c r="N194" i="31" s="1"/>
  <c r="N195" i="31" s="1"/>
  <c r="N196" i="31" s="1"/>
  <c r="N197" i="31" s="1"/>
  <c r="N198" i="31" s="1"/>
  <c r="Q180" i="31"/>
  <c r="I156" i="31"/>
  <c r="AE193" i="31"/>
  <c r="BI186" i="31"/>
  <c r="D199" i="31"/>
  <c r="D193" i="31"/>
  <c r="D194" i="31" s="1"/>
  <c r="D195" i="31" s="1"/>
  <c r="D196" i="31" s="1"/>
  <c r="D197" i="31" s="1"/>
  <c r="D198" i="31" s="1"/>
  <c r="J199" i="31"/>
  <c r="J193" i="31"/>
  <c r="R199" i="31"/>
  <c r="R193" i="31"/>
  <c r="R194" i="31" s="1"/>
  <c r="R195" i="31" s="1"/>
  <c r="R196" i="31" s="1"/>
  <c r="R197" i="31" s="1"/>
  <c r="R198" i="31" s="1"/>
  <c r="K187" i="31"/>
  <c r="H181" i="31"/>
  <c r="H169" i="31"/>
  <c r="E199" i="31"/>
  <c r="E193" i="31"/>
  <c r="E194" i="31" s="1"/>
  <c r="E195" i="31" s="1"/>
  <c r="E196" i="31" s="1"/>
  <c r="E197" i="31" s="1"/>
  <c r="E198" i="31" s="1"/>
  <c r="U199" i="31"/>
  <c r="U193" i="31"/>
  <c r="U194" i="31" s="1"/>
  <c r="U195" i="31" s="1"/>
  <c r="U196" i="31" s="1"/>
  <c r="U197" i="31" s="1"/>
  <c r="U198" i="31" s="1"/>
  <c r="K181" i="31"/>
  <c r="G175" i="31"/>
  <c r="V199" i="31"/>
  <c r="V193" i="31"/>
  <c r="V194" i="31" s="1"/>
  <c r="V195" i="31" s="1"/>
  <c r="V196" i="31" s="1"/>
  <c r="V197" i="31" s="1"/>
  <c r="V198" i="31" s="1"/>
  <c r="S193" i="31"/>
  <c r="S194" i="31" s="1"/>
  <c r="S195" i="31" s="1"/>
  <c r="S196" i="31" s="1"/>
  <c r="S197" i="31" s="1"/>
  <c r="S198" i="31" s="1"/>
  <c r="S199" i="31"/>
  <c r="H163" i="31"/>
  <c r="G169" i="31"/>
  <c r="J163" i="31"/>
  <c r="K169" i="31"/>
  <c r="H193" i="31"/>
  <c r="H199" i="31"/>
  <c r="Q174" i="31"/>
  <c r="K193" i="31"/>
  <c r="K199" i="31"/>
  <c r="I186" i="31"/>
  <c r="I192" i="31"/>
  <c r="I174" i="31"/>
  <c r="T186" i="31"/>
  <c r="T187" i="31" s="1"/>
  <c r="T188" i="31" s="1"/>
  <c r="T189" i="31" s="1"/>
  <c r="T190" i="31" s="1"/>
  <c r="T191" i="31" s="1"/>
  <c r="T192" i="31"/>
  <c r="F181" i="31"/>
  <c r="F175" i="31"/>
  <c r="F187" i="31"/>
  <c r="H187" i="31"/>
  <c r="G187" i="31"/>
  <c r="I162" i="31"/>
  <c r="O199" i="31"/>
  <c r="O193" i="31"/>
  <c r="O194" i="31" s="1"/>
  <c r="O195" i="31" s="1"/>
  <c r="O196" i="31" s="1"/>
  <c r="O197" i="31" s="1"/>
  <c r="O198" i="31" s="1"/>
  <c r="Q162" i="31"/>
  <c r="X193" i="31"/>
  <c r="X194" i="31" s="1"/>
  <c r="X195" i="31" s="1"/>
  <c r="X196" i="31" s="1"/>
  <c r="X197" i="31" s="1"/>
  <c r="X198" i="31" s="1"/>
  <c r="X199" i="31"/>
  <c r="I180" i="31"/>
  <c r="G181" i="31"/>
  <c r="J169" i="31"/>
  <c r="J181" i="31"/>
  <c r="P186" i="31"/>
  <c r="P187" i="31" s="1"/>
  <c r="P188" i="31" s="1"/>
  <c r="P189" i="31" s="1"/>
  <c r="P190" i="31" s="1"/>
  <c r="P191" i="31" s="1"/>
  <c r="P192" i="31"/>
  <c r="M199" i="31"/>
  <c r="M193" i="31"/>
  <c r="M194" i="31" s="1"/>
  <c r="M195" i="31" s="1"/>
  <c r="M196" i="31" s="1"/>
  <c r="M197" i="31" s="1"/>
  <c r="M198" i="31" s="1"/>
  <c r="H175" i="31"/>
  <c r="I168" i="31"/>
  <c r="Q156" i="31"/>
  <c r="F199" i="31"/>
  <c r="F193" i="31"/>
  <c r="W199" i="31"/>
  <c r="W193" i="31"/>
  <c r="W194" i="31" s="1"/>
  <c r="W195" i="31" s="1"/>
  <c r="W196" i="31" s="1"/>
  <c r="W197" i="31" s="1"/>
  <c r="W198" i="31" s="1"/>
  <c r="Q192" i="31"/>
  <c r="Q186" i="31"/>
  <c r="G163" i="31"/>
  <c r="J175" i="31"/>
  <c r="G199" i="31"/>
  <c r="G193" i="31"/>
  <c r="F169" i="31"/>
  <c r="Q168" i="31"/>
  <c r="K175" i="31"/>
  <c r="J187" i="31"/>
  <c r="K16" i="26"/>
  <c r="K19" i="26" s="1"/>
  <c r="CE575" i="15"/>
  <c r="CP575" i="15" s="1"/>
  <c r="CU575" i="15" s="1"/>
  <c r="CE574" i="15"/>
  <c r="CP574" i="15" s="1"/>
  <c r="CU574" i="15" s="1"/>
  <c r="CE572" i="15"/>
  <c r="CP572" i="15" s="1"/>
  <c r="CU572" i="15" s="1"/>
  <c r="CE573" i="15"/>
  <c r="CP573" i="15" s="1"/>
  <c r="CU573" i="15" s="1"/>
  <c r="CE571" i="15"/>
  <c r="CP571" i="15" s="1"/>
  <c r="CU571" i="15" s="1"/>
  <c r="J21" i="15"/>
  <c r="AH572" i="15" s="1"/>
  <c r="AH571" i="15"/>
  <c r="DC579" i="15"/>
  <c r="DE578" i="15"/>
  <c r="CE578" i="15"/>
  <c r="CP578" i="15" s="1"/>
  <c r="CU578" i="15" s="1"/>
  <c r="CE576" i="15"/>
  <c r="CP576" i="15" s="1"/>
  <c r="CU576" i="15" s="1"/>
  <c r="CE577" i="15"/>
  <c r="CP577" i="15" s="1"/>
  <c r="CU577" i="15" s="1"/>
  <c r="CE579" i="15"/>
  <c r="CP579" i="15" s="1"/>
  <c r="CU579" i="15" s="1"/>
  <c r="CE580" i="15"/>
  <c r="CP580" i="15" s="1"/>
  <c r="CU580" i="15" s="1"/>
  <c r="CE581" i="15"/>
  <c r="CP581" i="15" s="1"/>
  <c r="CU581" i="15" s="1"/>
  <c r="BQ583" i="15"/>
  <c r="DK16" i="15"/>
  <c r="DJ19" i="15" s="1"/>
  <c r="G33" i="10"/>
  <c r="GQ108" i="10"/>
  <c r="GQ107" i="10"/>
  <c r="GQ106" i="10"/>
  <c r="GQ105" i="10"/>
  <c r="GQ104" i="10"/>
  <c r="GQ103" i="10"/>
  <c r="GQ102" i="10"/>
  <c r="GQ101" i="10"/>
  <c r="GQ100" i="10"/>
  <c r="GQ99" i="10"/>
  <c r="GQ98" i="10"/>
  <c r="GQ97" i="10"/>
  <c r="GQ96" i="10"/>
  <c r="GQ95" i="10"/>
  <c r="GQ94" i="10"/>
  <c r="GQ93" i="10"/>
  <c r="GQ92" i="10"/>
  <c r="GQ91" i="10"/>
  <c r="GQ90" i="10"/>
  <c r="GQ89" i="10"/>
  <c r="GQ88" i="10"/>
  <c r="GQ87" i="10"/>
  <c r="GQ86" i="10"/>
  <c r="GQ85" i="10"/>
  <c r="GQ84" i="10"/>
  <c r="GQ83" i="10"/>
  <c r="GQ82" i="10"/>
  <c r="GQ81" i="10"/>
  <c r="GQ80" i="10"/>
  <c r="GQ79" i="10"/>
  <c r="GQ78" i="10"/>
  <c r="GQ77" i="10"/>
  <c r="GQ76" i="10"/>
  <c r="GQ75" i="10"/>
  <c r="GQ74" i="10"/>
  <c r="I1070" i="9"/>
  <c r="I1068" i="9"/>
  <c r="I1066" i="9"/>
  <c r="I1064" i="9"/>
  <c r="I1062" i="9"/>
  <c r="I1060" i="9"/>
  <c r="I1070" i="8"/>
  <c r="I1068" i="8"/>
  <c r="I1066" i="8"/>
  <c r="I1064" i="8"/>
  <c r="I1062" i="8"/>
  <c r="I1060" i="8"/>
  <c r="I1070" i="7"/>
  <c r="I1068" i="7"/>
  <c r="I1066" i="7"/>
  <c r="I1064" i="7"/>
  <c r="I1062" i="7"/>
  <c r="I1060" i="7"/>
  <c r="I1070" i="6"/>
  <c r="I1068" i="6"/>
  <c r="I1066" i="6"/>
  <c r="I1064" i="6"/>
  <c r="I1062" i="6"/>
  <c r="I1060" i="6"/>
  <c r="I1070" i="5"/>
  <c r="I1068" i="5"/>
  <c r="I1066" i="5"/>
  <c r="I1064" i="5"/>
  <c r="I1062" i="5"/>
  <c r="I1060" i="5"/>
  <c r="I1070" i="4"/>
  <c r="I1068" i="4"/>
  <c r="I1066" i="4"/>
  <c r="I1064" i="4"/>
  <c r="I1062" i="4"/>
  <c r="I1060" i="4"/>
  <c r="I1070" i="3"/>
  <c r="I1068" i="3"/>
  <c r="I1066" i="3"/>
  <c r="I1064" i="3"/>
  <c r="I1062" i="3"/>
  <c r="I1060" i="3"/>
  <c r="BZ573" i="15"/>
  <c r="AF174" i="31"/>
  <c r="AF186" i="31"/>
  <c r="AG162" i="31"/>
  <c r="AQ185" i="31"/>
  <c r="AQ179" i="31"/>
  <c r="AK174" i="31"/>
  <c r="BZ580" i="15"/>
  <c r="AQ161" i="31"/>
  <c r="AK180" i="31"/>
  <c r="AI179" i="31"/>
  <c r="AG168" i="31"/>
  <c r="AF163" i="31"/>
  <c r="AJ163" i="31"/>
  <c r="AQ155" i="31"/>
  <c r="AJ168" i="31"/>
  <c r="AH186" i="31"/>
  <c r="BZ579" i="15"/>
  <c r="BZ575" i="15"/>
  <c r="AJ186" i="31"/>
  <c r="AG174" i="31"/>
  <c r="AH174" i="31"/>
  <c r="AI156" i="31"/>
  <c r="AJ180" i="31"/>
  <c r="AG179" i="31"/>
  <c r="AB192" i="31"/>
  <c r="AF162" i="31"/>
  <c r="AQ173" i="31"/>
  <c r="AG180" i="31"/>
  <c r="AK186" i="31"/>
  <c r="AI173" i="31"/>
  <c r="AQ167" i="31"/>
  <c r="AH180" i="31"/>
  <c r="AI185" i="31"/>
  <c r="AH179" i="31"/>
  <c r="AF180" i="31"/>
  <c r="BZ572" i="15"/>
  <c r="AG163" i="31"/>
  <c r="AJ162" i="31"/>
  <c r="BZ576" i="15"/>
  <c r="AI167" i="31"/>
  <c r="AH185" i="31"/>
  <c r="BY582" i="15"/>
  <c r="BZ577" i="15"/>
  <c r="AI161" i="31"/>
  <c r="AF168" i="31"/>
  <c r="AF192" i="31"/>
  <c r="BZ574" i="15"/>
  <c r="AI155" i="31"/>
  <c r="AH163" i="31"/>
  <c r="BZ571" i="15"/>
  <c r="AH162" i="31"/>
  <c r="AG186" i="31"/>
  <c r="AK163" i="31"/>
  <c r="AJ174" i="31"/>
  <c r="AK168" i="31"/>
  <c r="AH168" i="31"/>
  <c r="AK162" i="31"/>
  <c r="BZ578" i="15"/>
  <c r="AK192" i="31"/>
  <c r="AQ156" i="31"/>
  <c r="CH41" i="32" l="1"/>
  <c r="CS40" i="32"/>
  <c r="N42" i="29"/>
  <c r="L24" i="32" s="1"/>
  <c r="Q24" i="32" s="1"/>
  <c r="N40" i="29"/>
  <c r="L22" i="32" s="1"/>
  <c r="Q22" i="32" s="1"/>
  <c r="P24" i="32"/>
  <c r="N38" i="29"/>
  <c r="L20" i="32" s="1"/>
  <c r="Q20" i="32" s="1"/>
  <c r="M25" i="32"/>
  <c r="R25" i="32" s="1"/>
  <c r="P25" i="32" s="1"/>
  <c r="O37" i="29"/>
  <c r="M19" i="32" s="1"/>
  <c r="R19" i="32" s="1"/>
  <c r="X18" i="32" s="1"/>
  <c r="AA18" i="32" s="1"/>
  <c r="N41" i="29"/>
  <c r="L23" i="32" s="1"/>
  <c r="Q23" i="32" s="1"/>
  <c r="N39" i="29"/>
  <c r="L21" i="32" s="1"/>
  <c r="Q21" i="32" s="1"/>
  <c r="P22" i="32"/>
  <c r="X60" i="32"/>
  <c r="AA60" i="32" s="1"/>
  <c r="P23" i="32"/>
  <c r="X61" i="32"/>
  <c r="AA61" i="32" s="1"/>
  <c r="P21" i="32"/>
  <c r="X59" i="32"/>
  <c r="AA59" i="32" s="1"/>
  <c r="P20" i="32"/>
  <c r="X58" i="32"/>
  <c r="AA58" i="32" s="1"/>
  <c r="BG185" i="31"/>
  <c r="BG167" i="31"/>
  <c r="BG173" i="31"/>
  <c r="AB193" i="31"/>
  <c r="AB194" i="31" s="1"/>
  <c r="AB195" i="31" s="1"/>
  <c r="AB196" i="31" s="1"/>
  <c r="AB197" i="31" s="1"/>
  <c r="AB198" i="31" s="1"/>
  <c r="BG155" i="31"/>
  <c r="BG161" i="31"/>
  <c r="BG179" i="31"/>
  <c r="BG156" i="31"/>
  <c r="J182" i="31"/>
  <c r="J176" i="31"/>
  <c r="Q187" i="31"/>
  <c r="H176" i="31"/>
  <c r="J170" i="31"/>
  <c r="I181" i="31"/>
  <c r="Q163" i="31"/>
  <c r="I163" i="31"/>
  <c r="H188" i="31"/>
  <c r="F176" i="31"/>
  <c r="K200" i="31"/>
  <c r="K206" i="31"/>
  <c r="K170" i="31"/>
  <c r="G170" i="31"/>
  <c r="G176" i="31"/>
  <c r="U206" i="31"/>
  <c r="U200" i="31"/>
  <c r="U201" i="31" s="1"/>
  <c r="U202" i="31" s="1"/>
  <c r="U203" i="31" s="1"/>
  <c r="U204" i="31" s="1"/>
  <c r="U205" i="31" s="1"/>
  <c r="H170" i="31"/>
  <c r="K188" i="31"/>
  <c r="J194" i="31"/>
  <c r="N200" i="31"/>
  <c r="N201" i="31" s="1"/>
  <c r="N202" i="31" s="1"/>
  <c r="N203" i="31" s="1"/>
  <c r="N204" i="31" s="1"/>
  <c r="N205" i="31" s="1"/>
  <c r="N206" i="31"/>
  <c r="F200" i="31"/>
  <c r="F206" i="31"/>
  <c r="J188" i="31"/>
  <c r="Q169" i="31"/>
  <c r="G194" i="31"/>
  <c r="Q199" i="31"/>
  <c r="Q193" i="31"/>
  <c r="F194" i="31"/>
  <c r="X206" i="31"/>
  <c r="X200" i="31"/>
  <c r="X201" i="31" s="1"/>
  <c r="X202" i="31" s="1"/>
  <c r="X203" i="31" s="1"/>
  <c r="X204" i="31" s="1"/>
  <c r="X205" i="31" s="1"/>
  <c r="I199" i="31"/>
  <c r="I193" i="31"/>
  <c r="K194" i="31"/>
  <c r="H206" i="31"/>
  <c r="H200" i="31"/>
  <c r="J200" i="31"/>
  <c r="J206" i="31"/>
  <c r="AE200" i="31"/>
  <c r="BI193" i="31"/>
  <c r="A199" i="31"/>
  <c r="A193" i="31"/>
  <c r="A194" i="31" s="1"/>
  <c r="A195" i="31" s="1"/>
  <c r="A196" i="31" s="1"/>
  <c r="A197" i="31" s="1"/>
  <c r="A198" i="31" s="1"/>
  <c r="G206" i="31"/>
  <c r="G200" i="31"/>
  <c r="I169" i="31"/>
  <c r="M206" i="31"/>
  <c r="M200" i="31"/>
  <c r="M201" i="31" s="1"/>
  <c r="M202" i="31" s="1"/>
  <c r="M203" i="31" s="1"/>
  <c r="M204" i="31" s="1"/>
  <c r="M205" i="31" s="1"/>
  <c r="O206" i="31"/>
  <c r="O200" i="31"/>
  <c r="O201" i="31" s="1"/>
  <c r="O202" i="31" s="1"/>
  <c r="O203" i="31" s="1"/>
  <c r="O204" i="31" s="1"/>
  <c r="O205" i="31" s="1"/>
  <c r="G188" i="31"/>
  <c r="F188" i="31"/>
  <c r="F182" i="31"/>
  <c r="I175" i="31"/>
  <c r="I187" i="31"/>
  <c r="H194" i="31"/>
  <c r="V200" i="31"/>
  <c r="V201" i="31" s="1"/>
  <c r="V202" i="31" s="1"/>
  <c r="V203" i="31" s="1"/>
  <c r="V204" i="31" s="1"/>
  <c r="V205" i="31" s="1"/>
  <c r="V206" i="31"/>
  <c r="K182" i="31"/>
  <c r="E206" i="31"/>
  <c r="E200" i="31"/>
  <c r="E201" i="31" s="1"/>
  <c r="E202" i="31" s="1"/>
  <c r="E203" i="31" s="1"/>
  <c r="E204" i="31" s="1"/>
  <c r="E205" i="31" s="1"/>
  <c r="H182" i="31"/>
  <c r="R200" i="31"/>
  <c r="R201" i="31" s="1"/>
  <c r="R202" i="31" s="1"/>
  <c r="R203" i="31" s="1"/>
  <c r="R204" i="31" s="1"/>
  <c r="R205" i="31" s="1"/>
  <c r="R206" i="31"/>
  <c r="Q181" i="31"/>
  <c r="L206" i="31"/>
  <c r="L200" i="31"/>
  <c r="L201" i="31" s="1"/>
  <c r="L202" i="31" s="1"/>
  <c r="L203" i="31" s="1"/>
  <c r="L204" i="31" s="1"/>
  <c r="L205" i="31" s="1"/>
  <c r="G182" i="31"/>
  <c r="K176" i="31"/>
  <c r="F170" i="31"/>
  <c r="W206" i="31"/>
  <c r="W200" i="31"/>
  <c r="W201" i="31" s="1"/>
  <c r="W202" i="31" s="1"/>
  <c r="W203" i="31" s="1"/>
  <c r="W204" i="31" s="1"/>
  <c r="W205" i="31" s="1"/>
  <c r="P199" i="31"/>
  <c r="P193" i="31"/>
  <c r="P194" i="31" s="1"/>
  <c r="P195" i="31" s="1"/>
  <c r="P196" i="31" s="1"/>
  <c r="P197" i="31" s="1"/>
  <c r="P198" i="31" s="1"/>
  <c r="T199" i="31"/>
  <c r="T193" i="31"/>
  <c r="T194" i="31" s="1"/>
  <c r="T195" i="31" s="1"/>
  <c r="T196" i="31" s="1"/>
  <c r="T197" i="31" s="1"/>
  <c r="T198" i="31" s="1"/>
  <c r="Q175" i="31"/>
  <c r="S200" i="31"/>
  <c r="S201" i="31" s="1"/>
  <c r="S202" i="31" s="1"/>
  <c r="S203" i="31" s="1"/>
  <c r="S204" i="31" s="1"/>
  <c r="S205" i="31" s="1"/>
  <c r="S206" i="31"/>
  <c r="D206" i="31"/>
  <c r="D200" i="31"/>
  <c r="D201" i="31" s="1"/>
  <c r="D202" i="31" s="1"/>
  <c r="D203" i="31" s="1"/>
  <c r="D204" i="31" s="1"/>
  <c r="D205" i="31" s="1"/>
  <c r="B200" i="31"/>
  <c r="B201" i="31" s="1"/>
  <c r="B202" i="31" s="1"/>
  <c r="B203" i="31" s="1"/>
  <c r="B204" i="31" s="1"/>
  <c r="B205" i="31" s="1"/>
  <c r="B206" i="31"/>
  <c r="C200" i="31"/>
  <c r="C201" i="31" s="1"/>
  <c r="C202" i="31" s="1"/>
  <c r="C203" i="31" s="1"/>
  <c r="C204" i="31" s="1"/>
  <c r="C205" i="31" s="1"/>
  <c r="C206" i="31"/>
  <c r="JR41" i="10"/>
  <c r="JR42" i="10" s="1"/>
  <c r="J22" i="15"/>
  <c r="AH573" i="15" s="1"/>
  <c r="CF575" i="15"/>
  <c r="CQ575" i="15" s="1"/>
  <c r="CV575" i="15" s="1"/>
  <c r="CF573" i="15"/>
  <c r="CQ573" i="15" s="1"/>
  <c r="CV573" i="15" s="1"/>
  <c r="CF574" i="15"/>
  <c r="CQ574" i="15" s="1"/>
  <c r="CV574" i="15" s="1"/>
  <c r="CF572" i="15"/>
  <c r="CQ572" i="15" s="1"/>
  <c r="CV572" i="15" s="1"/>
  <c r="CF571" i="15"/>
  <c r="CQ571" i="15" s="1"/>
  <c r="CV571" i="15" s="1"/>
  <c r="CF577" i="15"/>
  <c r="CQ577" i="15" s="1"/>
  <c r="CV577" i="15" s="1"/>
  <c r="CF576" i="15"/>
  <c r="CQ576" i="15" s="1"/>
  <c r="CV576" i="15" s="1"/>
  <c r="CF578" i="15"/>
  <c r="CQ578" i="15" s="1"/>
  <c r="CV578" i="15" s="1"/>
  <c r="CF579" i="15"/>
  <c r="CQ579" i="15" s="1"/>
  <c r="CV579" i="15" s="1"/>
  <c r="CF580" i="15"/>
  <c r="CQ580" i="15" s="1"/>
  <c r="CV580" i="15" s="1"/>
  <c r="DC580" i="15"/>
  <c r="DE579" i="15"/>
  <c r="CE582" i="15"/>
  <c r="CP582" i="15" s="1"/>
  <c r="CU582" i="15" s="1"/>
  <c r="BQ584" i="15"/>
  <c r="G33" i="24"/>
  <c r="LS39" i="24"/>
  <c r="LM150" i="24"/>
  <c r="LO40" i="24"/>
  <c r="LO41" i="24" s="1"/>
  <c r="LL161" i="24"/>
  <c r="LM161" i="24" s="1"/>
  <c r="LL160" i="24"/>
  <c r="LM160" i="24" s="1"/>
  <c r="LL159" i="24"/>
  <c r="LM159" i="24" s="1"/>
  <c r="LL158" i="24"/>
  <c r="LM158" i="24" s="1"/>
  <c r="LL157" i="24"/>
  <c r="LM157" i="24" s="1"/>
  <c r="LL156" i="24"/>
  <c r="LM156" i="24" s="1"/>
  <c r="LL155" i="24"/>
  <c r="LM155" i="24" s="1"/>
  <c r="LL154" i="24"/>
  <c r="LM154" i="24" s="1"/>
  <c r="LL153" i="24"/>
  <c r="LM153" i="24" s="1"/>
  <c r="LL152" i="24"/>
  <c r="LM152" i="24" s="1"/>
  <c r="LL151" i="24"/>
  <c r="LM151" i="24" s="1"/>
  <c r="LL150" i="24"/>
  <c r="LL149" i="24"/>
  <c r="LM149" i="24" s="1"/>
  <c r="LL148" i="24"/>
  <c r="LM148" i="24" s="1"/>
  <c r="LL147" i="24"/>
  <c r="LM147" i="24" s="1"/>
  <c r="LL146" i="24"/>
  <c r="LM146" i="24" s="1"/>
  <c r="LL145" i="24"/>
  <c r="LM145" i="24" s="1"/>
  <c r="LL144" i="24"/>
  <c r="LM144" i="24" s="1"/>
  <c r="LL143" i="24"/>
  <c r="LM143" i="24" s="1"/>
  <c r="LL142" i="24"/>
  <c r="LM142" i="24" s="1"/>
  <c r="LL96" i="24"/>
  <c r="LM96" i="24" s="1"/>
  <c r="LL95" i="24"/>
  <c r="LM95" i="24" s="1"/>
  <c r="LL94" i="24"/>
  <c r="LM94" i="24" s="1"/>
  <c r="LL93" i="24"/>
  <c r="LM93" i="24" s="1"/>
  <c r="LL92" i="24"/>
  <c r="LM92" i="24" s="1"/>
  <c r="LL91" i="24"/>
  <c r="LM91" i="24" s="1"/>
  <c r="LL90" i="24"/>
  <c r="LM90" i="24" s="1"/>
  <c r="LL89" i="24"/>
  <c r="LM89" i="24" s="1"/>
  <c r="LL88" i="24"/>
  <c r="LM88" i="24" s="1"/>
  <c r="LL87" i="24"/>
  <c r="LM87" i="24" s="1"/>
  <c r="LL86" i="24"/>
  <c r="LM86" i="24" s="1"/>
  <c r="LL85" i="24"/>
  <c r="LM85" i="24" s="1"/>
  <c r="LL84" i="24"/>
  <c r="LM84" i="24" s="1"/>
  <c r="AC192" i="31"/>
  <c r="BZ581" i="15"/>
  <c r="AI168" i="31"/>
  <c r="AK193" i="31"/>
  <c r="AQ174" i="31"/>
  <c r="AQ162" i="31"/>
  <c r="AH187" i="31"/>
  <c r="AK187" i="31"/>
  <c r="AH181" i="31"/>
  <c r="AI186" i="31"/>
  <c r="AH169" i="31"/>
  <c r="AK175" i="31"/>
  <c r="AQ180" i="31"/>
  <c r="AF175" i="31"/>
  <c r="AG181" i="31"/>
  <c r="AJ175" i="31"/>
  <c r="AH175" i="31"/>
  <c r="AF170" i="31"/>
  <c r="AQ192" i="31"/>
  <c r="AF181" i="31"/>
  <c r="AH192" i="31"/>
  <c r="AQ163" i="31"/>
  <c r="AJ170" i="31"/>
  <c r="BZ583" i="15"/>
  <c r="AF199" i="31"/>
  <c r="BY583" i="15"/>
  <c r="AJ187" i="31"/>
  <c r="AJ169" i="31"/>
  <c r="AC199" i="31"/>
  <c r="AQ168" i="31"/>
  <c r="AJ192" i="31"/>
  <c r="AI174" i="31"/>
  <c r="AG192" i="31"/>
  <c r="AK181" i="31"/>
  <c r="AF187" i="31"/>
  <c r="AG175" i="31"/>
  <c r="AJ181" i="31"/>
  <c r="AG187" i="31"/>
  <c r="AF169" i="31"/>
  <c r="AH170" i="31"/>
  <c r="AG169" i="31"/>
  <c r="AB199" i="31"/>
  <c r="AK170" i="31"/>
  <c r="AI180" i="31"/>
  <c r="AI162" i="31"/>
  <c r="AI192" i="31"/>
  <c r="AQ186" i="31"/>
  <c r="AJ199" i="31"/>
  <c r="AK169" i="31"/>
  <c r="AG193" i="31"/>
  <c r="BZ582" i="15"/>
  <c r="AG199" i="31"/>
  <c r="AI163" i="31"/>
  <c r="AG170" i="31"/>
  <c r="AC193" i="31" l="1"/>
  <c r="AC194" i="31" s="1"/>
  <c r="AC195" i="31" s="1"/>
  <c r="AC196" i="31" s="1"/>
  <c r="AC197" i="31" s="1"/>
  <c r="AC198" i="31" s="1"/>
  <c r="CI41" i="32"/>
  <c r="CS41" i="32" s="1"/>
  <c r="X41" i="32"/>
  <c r="AA41" i="32" s="1"/>
  <c r="X19" i="32"/>
  <c r="AA19" i="32" s="1"/>
  <c r="X23" i="32"/>
  <c r="AA23" i="32" s="1"/>
  <c r="X34" i="32"/>
  <c r="AA34" i="32" s="1"/>
  <c r="X42" i="32"/>
  <c r="AA42" i="32" s="1"/>
  <c r="X26" i="32"/>
  <c r="AA26" i="32" s="1"/>
  <c r="X28" i="32"/>
  <c r="AA28" i="32" s="1"/>
  <c r="X56" i="32"/>
  <c r="AA56" i="32" s="1"/>
  <c r="X49" i="32"/>
  <c r="AA49" i="32" s="1"/>
  <c r="X29" i="32"/>
  <c r="AA29" i="32" s="1"/>
  <c r="X22" i="32"/>
  <c r="AA22" i="32" s="1"/>
  <c r="X30" i="32"/>
  <c r="AA30" i="32" s="1"/>
  <c r="X45" i="32"/>
  <c r="AA45" i="32" s="1"/>
  <c r="X36" i="32"/>
  <c r="AA36" i="32" s="1"/>
  <c r="X57" i="32"/>
  <c r="AA57" i="32" s="1"/>
  <c r="P19" i="32"/>
  <c r="AJ72" i="32" s="1"/>
  <c r="AN72" i="32" s="1"/>
  <c r="AO72" i="32" s="1"/>
  <c r="X53" i="32"/>
  <c r="AA53" i="32" s="1"/>
  <c r="X20" i="32"/>
  <c r="AA20" i="32" s="1"/>
  <c r="X21" i="32"/>
  <c r="AA21" i="32" s="1"/>
  <c r="X40" i="32"/>
  <c r="AA40" i="32" s="1"/>
  <c r="X38" i="32"/>
  <c r="AA38" i="32" s="1"/>
  <c r="X37" i="32"/>
  <c r="AA37" i="32" s="1"/>
  <c r="X52" i="32"/>
  <c r="AA52" i="32" s="1"/>
  <c r="X25" i="32"/>
  <c r="AA25" i="32" s="1"/>
  <c r="X35" i="32"/>
  <c r="AA35" i="32" s="1"/>
  <c r="X44" i="32"/>
  <c r="AA44" i="32" s="1"/>
  <c r="X31" i="32"/>
  <c r="AA31" i="32" s="1"/>
  <c r="X32" i="32"/>
  <c r="AA32" i="32" s="1"/>
  <c r="X48" i="32"/>
  <c r="AA48" i="32" s="1"/>
  <c r="X24" i="32"/>
  <c r="AA24" i="32" s="1"/>
  <c r="X33" i="32"/>
  <c r="AA33" i="32" s="1"/>
  <c r="X47" i="32"/>
  <c r="AA47" i="32" s="1"/>
  <c r="X50" i="32"/>
  <c r="AA50" i="32" s="1"/>
  <c r="X51" i="32"/>
  <c r="AA51" i="32" s="1"/>
  <c r="X27" i="32"/>
  <c r="AA27" i="32" s="1"/>
  <c r="X55" i="32"/>
  <c r="AA55" i="32" s="1"/>
  <c r="X54" i="32"/>
  <c r="AA54" i="32" s="1"/>
  <c r="X39" i="32"/>
  <c r="AA39" i="32" s="1"/>
  <c r="X43" i="32"/>
  <c r="AA43" i="32" s="1"/>
  <c r="X46" i="32"/>
  <c r="AA46" i="32" s="1"/>
  <c r="BG180" i="31"/>
  <c r="AB200" i="31"/>
  <c r="AB201" i="31" s="1"/>
  <c r="AB202" i="31" s="1"/>
  <c r="AB203" i="31" s="1"/>
  <c r="AB204" i="31" s="1"/>
  <c r="AB205" i="31" s="1"/>
  <c r="BG174" i="31"/>
  <c r="BG168" i="31"/>
  <c r="BG163" i="31"/>
  <c r="BG162" i="31"/>
  <c r="AC200" i="31"/>
  <c r="AC201" i="31" s="1"/>
  <c r="AC202" i="31" s="1"/>
  <c r="AC203" i="31" s="1"/>
  <c r="AC204" i="31" s="1"/>
  <c r="AC205" i="31" s="1"/>
  <c r="BG192" i="31"/>
  <c r="BG186" i="31"/>
  <c r="K177" i="31"/>
  <c r="G189" i="31"/>
  <c r="I206" i="31"/>
  <c r="I200" i="31"/>
  <c r="F201" i="31"/>
  <c r="J195" i="31"/>
  <c r="G177" i="31"/>
  <c r="D213" i="31"/>
  <c r="D207" i="31"/>
  <c r="D208" i="31" s="1"/>
  <c r="D209" i="31" s="1"/>
  <c r="D210" i="31" s="1"/>
  <c r="D211" i="31" s="1"/>
  <c r="D212" i="31" s="1"/>
  <c r="G213" i="31"/>
  <c r="G207" i="31"/>
  <c r="BI200" i="31"/>
  <c r="AE207" i="31"/>
  <c r="K195" i="31"/>
  <c r="G195" i="31"/>
  <c r="J189" i="31"/>
  <c r="N213" i="31"/>
  <c r="N207" i="31"/>
  <c r="N208" i="31" s="1"/>
  <c r="N209" i="31" s="1"/>
  <c r="N210" i="31" s="1"/>
  <c r="N211" i="31" s="1"/>
  <c r="N212" i="31" s="1"/>
  <c r="F177" i="31"/>
  <c r="I182" i="31"/>
  <c r="H177" i="31"/>
  <c r="J177" i="31"/>
  <c r="W213" i="31"/>
  <c r="W207" i="31"/>
  <c r="W208" i="31" s="1"/>
  <c r="W209" i="31" s="1"/>
  <c r="W210" i="31" s="1"/>
  <c r="W211" i="31" s="1"/>
  <c r="W212" i="31" s="1"/>
  <c r="L213" i="31"/>
  <c r="L207" i="31"/>
  <c r="L208" i="31" s="1"/>
  <c r="L209" i="31" s="1"/>
  <c r="L210" i="31" s="1"/>
  <c r="L211" i="31" s="1"/>
  <c r="L212" i="31" s="1"/>
  <c r="E207" i="31"/>
  <c r="E208" i="31" s="1"/>
  <c r="E209" i="31" s="1"/>
  <c r="E210" i="31" s="1"/>
  <c r="E211" i="31" s="1"/>
  <c r="E212" i="31" s="1"/>
  <c r="E213" i="31"/>
  <c r="F183" i="31"/>
  <c r="G201" i="31"/>
  <c r="J201" i="31"/>
  <c r="F195" i="31"/>
  <c r="B207" i="31"/>
  <c r="B208" i="31" s="1"/>
  <c r="B209" i="31" s="1"/>
  <c r="B210" i="31" s="1"/>
  <c r="B211" i="31" s="1"/>
  <c r="B212" i="31" s="1"/>
  <c r="B213" i="31"/>
  <c r="Q176" i="31"/>
  <c r="P206" i="31"/>
  <c r="P200" i="31"/>
  <c r="P201" i="31" s="1"/>
  <c r="P202" i="31" s="1"/>
  <c r="P203" i="31" s="1"/>
  <c r="P204" i="31" s="1"/>
  <c r="P205" i="31" s="1"/>
  <c r="G183" i="31"/>
  <c r="Q182" i="31"/>
  <c r="H183" i="31"/>
  <c r="K183" i="31"/>
  <c r="H195" i="31"/>
  <c r="I176" i="31"/>
  <c r="F189" i="31"/>
  <c r="O213" i="31"/>
  <c r="O207" i="31"/>
  <c r="O208" i="31" s="1"/>
  <c r="O209" i="31" s="1"/>
  <c r="O210" i="31" s="1"/>
  <c r="O211" i="31" s="1"/>
  <c r="O212" i="31" s="1"/>
  <c r="I170" i="31"/>
  <c r="H201" i="31"/>
  <c r="X213" i="31"/>
  <c r="X207" i="31"/>
  <c r="X208" i="31" s="1"/>
  <c r="X209" i="31" s="1"/>
  <c r="X210" i="31" s="1"/>
  <c r="X211" i="31" s="1"/>
  <c r="X212" i="31" s="1"/>
  <c r="Q194" i="31"/>
  <c r="K189" i="31"/>
  <c r="U207" i="31"/>
  <c r="U208" i="31" s="1"/>
  <c r="U209" i="31" s="1"/>
  <c r="U210" i="31" s="1"/>
  <c r="U211" i="31" s="1"/>
  <c r="U212" i="31" s="1"/>
  <c r="U213" i="31"/>
  <c r="K213" i="31"/>
  <c r="K207" i="31"/>
  <c r="T206" i="31"/>
  <c r="T200" i="31"/>
  <c r="T201" i="31" s="1"/>
  <c r="T202" i="31" s="1"/>
  <c r="T203" i="31" s="1"/>
  <c r="T204" i="31" s="1"/>
  <c r="T205" i="31" s="1"/>
  <c r="I188" i="31"/>
  <c r="M207" i="31"/>
  <c r="M208" i="31" s="1"/>
  <c r="M209" i="31" s="1"/>
  <c r="M210" i="31" s="1"/>
  <c r="M211" i="31" s="1"/>
  <c r="M212" i="31" s="1"/>
  <c r="M213" i="31"/>
  <c r="C213" i="31"/>
  <c r="C207" i="31"/>
  <c r="C208" i="31" s="1"/>
  <c r="C209" i="31" s="1"/>
  <c r="C210" i="31" s="1"/>
  <c r="C211" i="31" s="1"/>
  <c r="C212" i="31" s="1"/>
  <c r="S213" i="31"/>
  <c r="S207" i="31"/>
  <c r="S208" i="31" s="1"/>
  <c r="S209" i="31" s="1"/>
  <c r="S210" i="31" s="1"/>
  <c r="S211" i="31" s="1"/>
  <c r="S212" i="31" s="1"/>
  <c r="R207" i="31"/>
  <c r="R208" i="31" s="1"/>
  <c r="R209" i="31" s="1"/>
  <c r="R210" i="31" s="1"/>
  <c r="R211" i="31" s="1"/>
  <c r="R212" i="31" s="1"/>
  <c r="R213" i="31"/>
  <c r="V213" i="31"/>
  <c r="V207" i="31"/>
  <c r="V208" i="31" s="1"/>
  <c r="V209" i="31" s="1"/>
  <c r="V210" i="31" s="1"/>
  <c r="V211" i="31" s="1"/>
  <c r="V212" i="31" s="1"/>
  <c r="A206" i="31"/>
  <c r="A200" i="31"/>
  <c r="A201" i="31" s="1"/>
  <c r="A202" i="31" s="1"/>
  <c r="A203" i="31" s="1"/>
  <c r="A204" i="31" s="1"/>
  <c r="A205" i="31" s="1"/>
  <c r="J207" i="31"/>
  <c r="J213" i="31"/>
  <c r="H213" i="31"/>
  <c r="H207" i="31"/>
  <c r="I194" i="31"/>
  <c r="Q206" i="31"/>
  <c r="Q200" i="31"/>
  <c r="Q170" i="31"/>
  <c r="F213" i="31"/>
  <c r="F207" i="31"/>
  <c r="K201" i="31"/>
  <c r="H189" i="31"/>
  <c r="Q188" i="31"/>
  <c r="J183" i="31"/>
  <c r="J23" i="15"/>
  <c r="AH574" i="15" s="1"/>
  <c r="CF581" i="15"/>
  <c r="CQ581" i="15" s="1"/>
  <c r="CV581" i="15" s="1"/>
  <c r="CF582" i="15"/>
  <c r="CQ582" i="15" s="1"/>
  <c r="CV582" i="15" s="1"/>
  <c r="DC581" i="15"/>
  <c r="DE580" i="15"/>
  <c r="CE583" i="15"/>
  <c r="CP583" i="15" s="1"/>
  <c r="CU583" i="15" s="1"/>
  <c r="CF583" i="15"/>
  <c r="CQ583" i="15" s="1"/>
  <c r="CV583" i="15" s="1"/>
  <c r="BQ585" i="15"/>
  <c r="J24" i="15"/>
  <c r="AH575" i="15" s="1"/>
  <c r="LO42" i="24"/>
  <c r="LS41" i="24"/>
  <c r="LS40" i="24"/>
  <c r="F237" i="24"/>
  <c r="F236" i="24"/>
  <c r="F235" i="24"/>
  <c r="F234" i="24"/>
  <c r="F233" i="24"/>
  <c r="F232" i="24"/>
  <c r="F231" i="24"/>
  <c r="F230" i="24"/>
  <c r="F229" i="24"/>
  <c r="F228" i="24"/>
  <c r="F227" i="24"/>
  <c r="F226" i="24"/>
  <c r="F225" i="24"/>
  <c r="F224" i="24"/>
  <c r="F223" i="24"/>
  <c r="F222" i="24"/>
  <c r="F221" i="24"/>
  <c r="F220" i="24"/>
  <c r="F219" i="24"/>
  <c r="F218" i="24"/>
  <c r="F217" i="24"/>
  <c r="F216" i="24"/>
  <c r="F215" i="24"/>
  <c r="F214" i="24"/>
  <c r="F213" i="24"/>
  <c r="F212" i="24"/>
  <c r="F211" i="24"/>
  <c r="F210" i="24"/>
  <c r="F209" i="24"/>
  <c r="F208" i="24"/>
  <c r="F207" i="24"/>
  <c r="F206" i="24"/>
  <c r="F205" i="24"/>
  <c r="F204" i="24"/>
  <c r="F203" i="24"/>
  <c r="F202" i="24"/>
  <c r="F201" i="24"/>
  <c r="IW200" i="24"/>
  <c r="F200" i="24"/>
  <c r="F199" i="24"/>
  <c r="F198" i="24"/>
  <c r="F197" i="24"/>
  <c r="F196" i="24"/>
  <c r="F195" i="24"/>
  <c r="F194" i="24"/>
  <c r="F193" i="24"/>
  <c r="F192" i="24"/>
  <c r="F191" i="24"/>
  <c r="F190" i="24"/>
  <c r="F189" i="24"/>
  <c r="F188" i="24"/>
  <c r="F187" i="24"/>
  <c r="F186" i="24"/>
  <c r="F185" i="24"/>
  <c r="F184" i="24"/>
  <c r="F183" i="24"/>
  <c r="F182" i="24"/>
  <c r="E182" i="24"/>
  <c r="F181" i="24"/>
  <c r="E181" i="24"/>
  <c r="IW180" i="24"/>
  <c r="F180" i="24"/>
  <c r="E180" i="24"/>
  <c r="F179" i="24"/>
  <c r="E179" i="24"/>
  <c r="IL179" i="24" s="1"/>
  <c r="IG178" i="24"/>
  <c r="IE178" i="24"/>
  <c r="IC178" i="24"/>
  <c r="F178" i="24"/>
  <c r="IA178" i="24" s="1"/>
  <c r="E178" i="24"/>
  <c r="IG177" i="24"/>
  <c r="IE177" i="24"/>
  <c r="IC177" i="24"/>
  <c r="F177" i="24"/>
  <c r="IA177" i="24" s="1"/>
  <c r="E177" i="24"/>
  <c r="IG176" i="24"/>
  <c r="IE176" i="24"/>
  <c r="IC176" i="24"/>
  <c r="F176" i="24"/>
  <c r="IA176" i="24" s="1"/>
  <c r="E176" i="24"/>
  <c r="IG175" i="24"/>
  <c r="IE175" i="24"/>
  <c r="IC175" i="24"/>
  <c r="F175" i="24"/>
  <c r="IA175" i="24" s="1"/>
  <c r="E175" i="24"/>
  <c r="IG174" i="24"/>
  <c r="IE174" i="24"/>
  <c r="IC174" i="24"/>
  <c r="F174" i="24"/>
  <c r="IA174" i="24" s="1"/>
  <c r="E174" i="24"/>
  <c r="IG173" i="24"/>
  <c r="IE173" i="24"/>
  <c r="IC173" i="24"/>
  <c r="F173" i="24"/>
  <c r="IA173" i="24" s="1"/>
  <c r="E173" i="24"/>
  <c r="IG172" i="24"/>
  <c r="IE172" i="24"/>
  <c r="IC172" i="24"/>
  <c r="F172" i="24"/>
  <c r="IA172" i="24" s="1"/>
  <c r="E172" i="24"/>
  <c r="IG171" i="24"/>
  <c r="IE171" i="24"/>
  <c r="IC171" i="24"/>
  <c r="F171" i="24"/>
  <c r="IA171" i="24" s="1"/>
  <c r="E171" i="24"/>
  <c r="IG170" i="24"/>
  <c r="IE170" i="24"/>
  <c r="IC170" i="24"/>
  <c r="F170" i="24"/>
  <c r="IA170" i="24" s="1"/>
  <c r="E170" i="24"/>
  <c r="IG169" i="24"/>
  <c r="IE169" i="24"/>
  <c r="IC169" i="24"/>
  <c r="F169" i="24"/>
  <c r="IA169" i="24" s="1"/>
  <c r="E169" i="24"/>
  <c r="IG168" i="24"/>
  <c r="IE168" i="24"/>
  <c r="IC168" i="24"/>
  <c r="F168" i="24"/>
  <c r="IA168" i="24" s="1"/>
  <c r="E168" i="24"/>
  <c r="IG167" i="24"/>
  <c r="IE167" i="24"/>
  <c r="IC167" i="24"/>
  <c r="F167" i="24"/>
  <c r="IA167" i="24" s="1"/>
  <c r="E167" i="24"/>
  <c r="IG166" i="24"/>
  <c r="IE166" i="24"/>
  <c r="IC166" i="24"/>
  <c r="F166" i="24"/>
  <c r="IA166" i="24" s="1"/>
  <c r="E166" i="24"/>
  <c r="IG165" i="24"/>
  <c r="IE165" i="24"/>
  <c r="IC165" i="24"/>
  <c r="F165" i="24"/>
  <c r="IA165" i="24" s="1"/>
  <c r="E165" i="24"/>
  <c r="IG164" i="24"/>
  <c r="IE164" i="24"/>
  <c r="IC164" i="24"/>
  <c r="F164" i="24"/>
  <c r="IA164" i="24" s="1"/>
  <c r="E164" i="24"/>
  <c r="IG163" i="24"/>
  <c r="IE163" i="24"/>
  <c r="IC163" i="24"/>
  <c r="F163" i="24"/>
  <c r="IA163" i="24" s="1"/>
  <c r="E163" i="24"/>
  <c r="IG162" i="24"/>
  <c r="IE162" i="24"/>
  <c r="IC162" i="24"/>
  <c r="F162" i="24"/>
  <c r="IA162" i="24" s="1"/>
  <c r="E162" i="24"/>
  <c r="IG161" i="24"/>
  <c r="IE161" i="24"/>
  <c r="IC161" i="24"/>
  <c r="F161" i="24"/>
  <c r="IA161" i="24" s="1"/>
  <c r="E161" i="24"/>
  <c r="IG160" i="24"/>
  <c r="IE160" i="24"/>
  <c r="IC160" i="24"/>
  <c r="F160" i="24"/>
  <c r="IA160" i="24" s="1"/>
  <c r="E160" i="24"/>
  <c r="HY160" i="24" s="1"/>
  <c r="IG159" i="24"/>
  <c r="IE159" i="24"/>
  <c r="IC159" i="24"/>
  <c r="F159" i="24"/>
  <c r="IA159" i="24" s="1"/>
  <c r="E159" i="24"/>
  <c r="IG158" i="24"/>
  <c r="IE158" i="24"/>
  <c r="IC158" i="24"/>
  <c r="F158" i="24"/>
  <c r="IA158" i="24" s="1"/>
  <c r="E158" i="24"/>
  <c r="IG157" i="24"/>
  <c r="IE157" i="24"/>
  <c r="IC157" i="24"/>
  <c r="F157" i="24"/>
  <c r="IA157" i="24" s="1"/>
  <c r="E157" i="24"/>
  <c r="IG156" i="24"/>
  <c r="IE156" i="24"/>
  <c r="IC156" i="24"/>
  <c r="F156" i="24"/>
  <c r="IA156" i="24" s="1"/>
  <c r="E156" i="24"/>
  <c r="IG155" i="24"/>
  <c r="IE155" i="24"/>
  <c r="IC155" i="24"/>
  <c r="F155" i="24"/>
  <c r="IA155" i="24" s="1"/>
  <c r="E155" i="24"/>
  <c r="IG154" i="24"/>
  <c r="IE154" i="24"/>
  <c r="IC154" i="24"/>
  <c r="F154" i="24"/>
  <c r="IA154" i="24" s="1"/>
  <c r="E154" i="24"/>
  <c r="IG153" i="24"/>
  <c r="IE153" i="24"/>
  <c r="IC153" i="24"/>
  <c r="F153" i="24"/>
  <c r="IA153" i="24" s="1"/>
  <c r="E153" i="24"/>
  <c r="IG152" i="24"/>
  <c r="IE152" i="24"/>
  <c r="IC152" i="24"/>
  <c r="F152" i="24"/>
  <c r="IA152" i="24" s="1"/>
  <c r="E152" i="24"/>
  <c r="IG151" i="24"/>
  <c r="IE151" i="24"/>
  <c r="IC151" i="24"/>
  <c r="F151" i="24"/>
  <c r="IA151" i="24" s="1"/>
  <c r="E151" i="24"/>
  <c r="IG150" i="24"/>
  <c r="IE150" i="24"/>
  <c r="IC150" i="24"/>
  <c r="F150" i="24"/>
  <c r="IA150" i="24" s="1"/>
  <c r="E150" i="24"/>
  <c r="IG149" i="24"/>
  <c r="IE149" i="24"/>
  <c r="IC149" i="24"/>
  <c r="F149" i="24"/>
  <c r="IA149" i="24" s="1"/>
  <c r="E149" i="24"/>
  <c r="IG148" i="24"/>
  <c r="IE148" i="24"/>
  <c r="IC148" i="24"/>
  <c r="F148" i="24"/>
  <c r="IA148" i="24" s="1"/>
  <c r="E148" i="24"/>
  <c r="IG147" i="24"/>
  <c r="IE147" i="24"/>
  <c r="IC147" i="24"/>
  <c r="F147" i="24"/>
  <c r="IA147" i="24" s="1"/>
  <c r="E147" i="24"/>
  <c r="IG146" i="24"/>
  <c r="IE146" i="24"/>
  <c r="IC146" i="24"/>
  <c r="F146" i="24"/>
  <c r="IA146" i="24" s="1"/>
  <c r="E146" i="24"/>
  <c r="IG145" i="24"/>
  <c r="IE145" i="24"/>
  <c r="IC145" i="24"/>
  <c r="F145" i="24"/>
  <c r="IA145" i="24" s="1"/>
  <c r="E145" i="24"/>
  <c r="IG144" i="24"/>
  <c r="IE144" i="24"/>
  <c r="IC144" i="24"/>
  <c r="F144" i="24"/>
  <c r="IA144" i="24" s="1"/>
  <c r="E144" i="24"/>
  <c r="IG143" i="24"/>
  <c r="IE143" i="24"/>
  <c r="IC143" i="24"/>
  <c r="F143" i="24"/>
  <c r="IA143" i="24" s="1"/>
  <c r="E143" i="24"/>
  <c r="IG142" i="24"/>
  <c r="IE142" i="24"/>
  <c r="IC142" i="24"/>
  <c r="F142" i="24"/>
  <c r="IA142" i="24" s="1"/>
  <c r="E142" i="24"/>
  <c r="IG141" i="24"/>
  <c r="IE141" i="24"/>
  <c r="IC141" i="24"/>
  <c r="F141" i="24"/>
  <c r="IA141" i="24" s="1"/>
  <c r="E141" i="24"/>
  <c r="IG140" i="24"/>
  <c r="IE140" i="24"/>
  <c r="IC140" i="24"/>
  <c r="F140" i="24"/>
  <c r="IA140" i="24" s="1"/>
  <c r="E140" i="24"/>
  <c r="HY140" i="24" s="1"/>
  <c r="IG139" i="24"/>
  <c r="IE139" i="24"/>
  <c r="IC139" i="24"/>
  <c r="F139" i="24"/>
  <c r="IA139" i="24" s="1"/>
  <c r="E139" i="24"/>
  <c r="HY139" i="24" s="1"/>
  <c r="IG138" i="24"/>
  <c r="IE138" i="24"/>
  <c r="IC138" i="24"/>
  <c r="F138" i="24"/>
  <c r="IA138" i="24" s="1"/>
  <c r="E138" i="24"/>
  <c r="HY138" i="24" s="1"/>
  <c r="IG137" i="24"/>
  <c r="IE137" i="24"/>
  <c r="IC137" i="24"/>
  <c r="F137" i="24"/>
  <c r="IA137" i="24" s="1"/>
  <c r="E137" i="24"/>
  <c r="HY137" i="24" s="1"/>
  <c r="IG136" i="24"/>
  <c r="IE136" i="24"/>
  <c r="IC136" i="24"/>
  <c r="F136" i="24"/>
  <c r="IA136" i="24" s="1"/>
  <c r="E136" i="24"/>
  <c r="HY136" i="24" s="1"/>
  <c r="IG135" i="24"/>
  <c r="IE135" i="24"/>
  <c r="IC135" i="24"/>
  <c r="F135" i="24"/>
  <c r="IA135" i="24" s="1"/>
  <c r="E135" i="24"/>
  <c r="HY135" i="24" s="1"/>
  <c r="IG134" i="24"/>
  <c r="IE134" i="24"/>
  <c r="IC134" i="24"/>
  <c r="F134" i="24"/>
  <c r="IA134" i="24" s="1"/>
  <c r="E134" i="24"/>
  <c r="HY134" i="24" s="1"/>
  <c r="IG133" i="24"/>
  <c r="IE133" i="24"/>
  <c r="IC133" i="24"/>
  <c r="F133" i="24"/>
  <c r="IA133" i="24" s="1"/>
  <c r="E133" i="24"/>
  <c r="HY133" i="24" s="1"/>
  <c r="IG132" i="24"/>
  <c r="IE132" i="24"/>
  <c r="IC132" i="24"/>
  <c r="F132" i="24"/>
  <c r="IA132" i="24" s="1"/>
  <c r="E132" i="24"/>
  <c r="HY132" i="24" s="1"/>
  <c r="I131" i="24"/>
  <c r="H131" i="24"/>
  <c r="F131" i="24"/>
  <c r="IA131" i="24" s="1"/>
  <c r="E131" i="24"/>
  <c r="HY131" i="24" s="1"/>
  <c r="I130" i="24"/>
  <c r="H130" i="24"/>
  <c r="F130" i="24"/>
  <c r="IA130" i="24" s="1"/>
  <c r="E130" i="24"/>
  <c r="I129" i="24"/>
  <c r="H129" i="24"/>
  <c r="Q129" i="24" s="1"/>
  <c r="R129" i="24" s="1"/>
  <c r="F129" i="24"/>
  <c r="IA129" i="24" s="1"/>
  <c r="E129" i="24"/>
  <c r="I128" i="24"/>
  <c r="H128" i="24"/>
  <c r="F128" i="24"/>
  <c r="IA128" i="24" s="1"/>
  <c r="E128" i="24"/>
  <c r="I127" i="24"/>
  <c r="H127" i="24"/>
  <c r="Q127" i="24" s="1"/>
  <c r="R127" i="24" s="1"/>
  <c r="F127" i="24"/>
  <c r="IA127" i="24" s="1"/>
  <c r="E127" i="24"/>
  <c r="I126" i="24"/>
  <c r="H126" i="24"/>
  <c r="F126" i="24"/>
  <c r="IA126" i="24" s="1"/>
  <c r="E126" i="24"/>
  <c r="I125" i="24"/>
  <c r="H125" i="24"/>
  <c r="F125" i="24"/>
  <c r="IA125" i="24" s="1"/>
  <c r="E125" i="24"/>
  <c r="I124" i="24"/>
  <c r="H124" i="24"/>
  <c r="Q124" i="24" s="1"/>
  <c r="R124" i="24" s="1"/>
  <c r="F124" i="24"/>
  <c r="IA124" i="24" s="1"/>
  <c r="E124" i="24"/>
  <c r="I123" i="24"/>
  <c r="H123" i="24"/>
  <c r="F123" i="24"/>
  <c r="IA123" i="24" s="1"/>
  <c r="E123" i="24"/>
  <c r="I122" i="24"/>
  <c r="H122" i="24"/>
  <c r="F122" i="24"/>
  <c r="IA122" i="24" s="1"/>
  <c r="E122" i="24"/>
  <c r="I121" i="24"/>
  <c r="H121" i="24"/>
  <c r="Q121" i="24" s="1"/>
  <c r="R121" i="24" s="1"/>
  <c r="S121" i="24" s="1"/>
  <c r="F121" i="24"/>
  <c r="IA121" i="24" s="1"/>
  <c r="E121" i="24"/>
  <c r="HY121" i="24" s="1"/>
  <c r="I120" i="24"/>
  <c r="H120" i="24"/>
  <c r="F120" i="24"/>
  <c r="IA120" i="24" s="1"/>
  <c r="E120" i="24"/>
  <c r="F119" i="24"/>
  <c r="AB119" i="24" s="1"/>
  <c r="AI119" i="24" s="1"/>
  <c r="I119" i="24" s="1"/>
  <c r="E119" i="24"/>
  <c r="F118" i="24"/>
  <c r="E118" i="24"/>
  <c r="HY118" i="24" s="1"/>
  <c r="CX117" i="24"/>
  <c r="F117" i="24"/>
  <c r="E117" i="24"/>
  <c r="CX116" i="24"/>
  <c r="F116" i="24"/>
  <c r="AB116" i="24" s="1"/>
  <c r="AI116" i="24" s="1"/>
  <c r="E116" i="24"/>
  <c r="CX115" i="24"/>
  <c r="F115" i="24"/>
  <c r="E115" i="24"/>
  <c r="HY115" i="24" s="1"/>
  <c r="CX114" i="24"/>
  <c r="F114" i="24"/>
  <c r="IA114" i="24" s="1"/>
  <c r="E114" i="24"/>
  <c r="CX113" i="24"/>
  <c r="F113" i="24"/>
  <c r="AB113" i="24" s="1"/>
  <c r="AI113" i="24" s="1"/>
  <c r="I113" i="24" s="1"/>
  <c r="E113" i="24"/>
  <c r="CX112" i="24"/>
  <c r="F112" i="24"/>
  <c r="E112" i="24"/>
  <c r="CX111" i="24"/>
  <c r="F111" i="24"/>
  <c r="AB111" i="24" s="1"/>
  <c r="AI111" i="24" s="1"/>
  <c r="I111" i="24" s="1"/>
  <c r="E111" i="24"/>
  <c r="HY111" i="24" s="1"/>
  <c r="CX110" i="24"/>
  <c r="F110" i="24"/>
  <c r="IA110" i="24" s="1"/>
  <c r="E110" i="24"/>
  <c r="CX109" i="24"/>
  <c r="F109" i="24"/>
  <c r="E109" i="24"/>
  <c r="HY109" i="24" s="1"/>
  <c r="CX108" i="24"/>
  <c r="F108" i="24"/>
  <c r="IA108" i="24" s="1"/>
  <c r="E108" i="24"/>
  <c r="CX107" i="24"/>
  <c r="F107" i="24"/>
  <c r="AB107" i="24" s="1"/>
  <c r="AI107" i="24" s="1"/>
  <c r="E107" i="24"/>
  <c r="HY107" i="24" s="1"/>
  <c r="CX106" i="24"/>
  <c r="F106" i="24"/>
  <c r="E106" i="24"/>
  <c r="HY106" i="24" s="1"/>
  <c r="CX105" i="24"/>
  <c r="F105" i="24"/>
  <c r="IA105" i="24" s="1"/>
  <c r="E105" i="24"/>
  <c r="CX104" i="24"/>
  <c r="F104" i="24"/>
  <c r="IA104" i="24" s="1"/>
  <c r="E104" i="24"/>
  <c r="CX103" i="24"/>
  <c r="F103" i="24"/>
  <c r="E103" i="24"/>
  <c r="CX102" i="24"/>
  <c r="F102" i="24"/>
  <c r="IA102" i="24" s="1"/>
  <c r="E102" i="24"/>
  <c r="HO101" i="24"/>
  <c r="CX101" i="24"/>
  <c r="F101" i="24"/>
  <c r="AB101" i="24" s="1"/>
  <c r="AI101" i="24" s="1"/>
  <c r="I101" i="24" s="1"/>
  <c r="E101" i="24"/>
  <c r="HY101" i="24" s="1"/>
  <c r="HO100" i="24"/>
  <c r="CX100" i="24"/>
  <c r="F100" i="24"/>
  <c r="AB100" i="24" s="1"/>
  <c r="AI100" i="24" s="1"/>
  <c r="E100" i="24"/>
  <c r="HO99" i="24"/>
  <c r="CX99" i="24"/>
  <c r="F99" i="24"/>
  <c r="E99" i="24"/>
  <c r="HO98" i="24"/>
  <c r="CX98" i="24"/>
  <c r="F98" i="24"/>
  <c r="IA98" i="24" s="1"/>
  <c r="E98" i="24"/>
  <c r="CX97" i="24"/>
  <c r="F97" i="24"/>
  <c r="IA97" i="24" s="1"/>
  <c r="E97" i="24"/>
  <c r="HY97" i="24" s="1"/>
  <c r="HP96" i="24"/>
  <c r="CX96" i="24"/>
  <c r="F96" i="24"/>
  <c r="IA96" i="24" s="1"/>
  <c r="E96" i="24"/>
  <c r="HP95" i="24"/>
  <c r="CX95" i="24"/>
  <c r="F95" i="24"/>
  <c r="IA95" i="24" s="1"/>
  <c r="E95" i="24"/>
  <c r="HY95" i="24" s="1"/>
  <c r="HP94" i="24"/>
  <c r="CX94" i="24"/>
  <c r="F94" i="24"/>
  <c r="IA94" i="24" s="1"/>
  <c r="E94" i="24"/>
  <c r="HP93" i="24"/>
  <c r="CX93" i="24"/>
  <c r="F93" i="24"/>
  <c r="IA93" i="24" s="1"/>
  <c r="E93" i="24"/>
  <c r="HY93" i="24" s="1"/>
  <c r="HP92" i="24"/>
  <c r="CX92" i="24"/>
  <c r="F92" i="24"/>
  <c r="IA92" i="24" s="1"/>
  <c r="E92" i="24"/>
  <c r="HP91" i="24"/>
  <c r="CX91" i="24"/>
  <c r="F91" i="24"/>
  <c r="AB91" i="24" s="1"/>
  <c r="AI91" i="24" s="1"/>
  <c r="E91" i="24"/>
  <c r="HY91" i="24" s="1"/>
  <c r="HP90" i="24"/>
  <c r="CX90" i="24"/>
  <c r="F90" i="24"/>
  <c r="IA90" i="24" s="1"/>
  <c r="E90" i="24"/>
  <c r="HP89" i="24"/>
  <c r="CX89" i="24"/>
  <c r="F89" i="24"/>
  <c r="E89" i="24"/>
  <c r="HY89" i="24" s="1"/>
  <c r="HP88" i="24"/>
  <c r="CX88" i="24"/>
  <c r="F88" i="24"/>
  <c r="B88" i="24" s="1"/>
  <c r="E88" i="24"/>
  <c r="LE87" i="24"/>
  <c r="KG87" i="24"/>
  <c r="LA87" i="24" s="1"/>
  <c r="HP87" i="24"/>
  <c r="HQ87" i="24" s="1"/>
  <c r="GR87" i="24"/>
  <c r="CX87" i="24"/>
  <c r="F87" i="24"/>
  <c r="E87" i="24"/>
  <c r="HY87" i="24" s="1"/>
  <c r="LE86" i="24"/>
  <c r="KG86" i="24"/>
  <c r="LA86" i="24" s="1"/>
  <c r="HP86" i="24"/>
  <c r="GR86" i="24"/>
  <c r="CX86" i="24"/>
  <c r="F86" i="24"/>
  <c r="AB86" i="24" s="1"/>
  <c r="AI86" i="24" s="1"/>
  <c r="I86" i="24" s="1"/>
  <c r="E86" i="24"/>
  <c r="LB86" i="24" s="1"/>
  <c r="LE85" i="24"/>
  <c r="KG85" i="24"/>
  <c r="LA85" i="24" s="1"/>
  <c r="KF85" i="24" s="1"/>
  <c r="HP85" i="24"/>
  <c r="GR85" i="24"/>
  <c r="CX85" i="24"/>
  <c r="F85" i="24"/>
  <c r="E85" i="24"/>
  <c r="HY85" i="24" s="1"/>
  <c r="KG84" i="24"/>
  <c r="LA84" i="24" s="1"/>
  <c r="KF84" i="24" s="1"/>
  <c r="CX84" i="24"/>
  <c r="F84" i="24"/>
  <c r="IA84" i="24" s="1"/>
  <c r="E84" i="24"/>
  <c r="KG83" i="24"/>
  <c r="LA83" i="24" s="1"/>
  <c r="KF83" i="24" s="1"/>
  <c r="CX83" i="24"/>
  <c r="F83" i="24"/>
  <c r="IA83" i="24" s="1"/>
  <c r="E83" i="24"/>
  <c r="KG82" i="24"/>
  <c r="LA82" i="24" s="1"/>
  <c r="KF82" i="24" s="1"/>
  <c r="CX82" i="24"/>
  <c r="F82" i="24"/>
  <c r="AB82" i="24" s="1"/>
  <c r="AI82" i="24" s="1"/>
  <c r="E82" i="24"/>
  <c r="KG81" i="24"/>
  <c r="LA81" i="24" s="1"/>
  <c r="KF81" i="24" s="1"/>
  <c r="CX81" i="24"/>
  <c r="F81" i="24"/>
  <c r="E81" i="24"/>
  <c r="HY81" i="24" s="1"/>
  <c r="KG80" i="24"/>
  <c r="LA80" i="24" s="1"/>
  <c r="KF80" i="24" s="1"/>
  <c r="EF80" i="24"/>
  <c r="CX80" i="24"/>
  <c r="F80" i="24"/>
  <c r="LC80" i="24" s="1"/>
  <c r="E80" i="24"/>
  <c r="LB80" i="24" s="1"/>
  <c r="KG79" i="24"/>
  <c r="LA79" i="24" s="1"/>
  <c r="KF79" i="24" s="1"/>
  <c r="CX79" i="24"/>
  <c r="F79" i="24"/>
  <c r="AB79" i="24" s="1"/>
  <c r="AI79" i="24" s="1"/>
  <c r="E79" i="24"/>
  <c r="LB79" i="24" s="1"/>
  <c r="KG78" i="24"/>
  <c r="LA78" i="24" s="1"/>
  <c r="KF78" i="24" s="1"/>
  <c r="CX78" i="24"/>
  <c r="F78" i="24"/>
  <c r="E78" i="24"/>
  <c r="KG77" i="24"/>
  <c r="LA77" i="24" s="1"/>
  <c r="KF77" i="24" s="1"/>
  <c r="CX77" i="24"/>
  <c r="F77" i="24"/>
  <c r="AB77" i="24" s="1"/>
  <c r="AI77" i="24" s="1"/>
  <c r="E77" i="24"/>
  <c r="KG76" i="24"/>
  <c r="LA76" i="24" s="1"/>
  <c r="KF76" i="24" s="1"/>
  <c r="CX76" i="24"/>
  <c r="F76" i="24"/>
  <c r="LC76" i="24" s="1"/>
  <c r="E76" i="24"/>
  <c r="KG75" i="24"/>
  <c r="LA75" i="24" s="1"/>
  <c r="KF75" i="24" s="1"/>
  <c r="CX75" i="24"/>
  <c r="F75" i="24"/>
  <c r="IA75" i="24" s="1"/>
  <c r="E75" i="24"/>
  <c r="HY75" i="24" s="1"/>
  <c r="KG74" i="24"/>
  <c r="LA74" i="24" s="1"/>
  <c r="KF74" i="24" s="1"/>
  <c r="CX74" i="24"/>
  <c r="F74" i="24"/>
  <c r="CH74" i="24" s="1"/>
  <c r="E74" i="24"/>
  <c r="LB74" i="24" s="1"/>
  <c r="KG73" i="24"/>
  <c r="LA73" i="24" s="1"/>
  <c r="KF73" i="24" s="1"/>
  <c r="CX73" i="24"/>
  <c r="F73" i="24"/>
  <c r="E73" i="24"/>
  <c r="CG73" i="24" s="1"/>
  <c r="KG72" i="24"/>
  <c r="LA72" i="24" s="1"/>
  <c r="KF72" i="24" s="1"/>
  <c r="F72" i="24"/>
  <c r="LC72" i="24" s="1"/>
  <c r="E72" i="24"/>
  <c r="HY72" i="24" s="1"/>
  <c r="KG71" i="24"/>
  <c r="LA71" i="24" s="1"/>
  <c r="KF71" i="24" s="1"/>
  <c r="BX71" i="24"/>
  <c r="F71" i="24"/>
  <c r="LC71" i="24" s="1"/>
  <c r="E71" i="24"/>
  <c r="HY71" i="24" s="1"/>
  <c r="KG70" i="24"/>
  <c r="LA70" i="24" s="1"/>
  <c r="KF70" i="24" s="1"/>
  <c r="F70" i="24"/>
  <c r="AB70" i="24" s="1"/>
  <c r="AI70" i="24" s="1"/>
  <c r="I70" i="24" s="1"/>
  <c r="E70" i="24"/>
  <c r="KG69" i="24"/>
  <c r="LA69" i="24" s="1"/>
  <c r="KF69" i="24" s="1"/>
  <c r="F69" i="24"/>
  <c r="AB69" i="24" s="1"/>
  <c r="AI69" i="24" s="1"/>
  <c r="E69" i="24"/>
  <c r="KG68" i="24"/>
  <c r="LA68" i="24" s="1"/>
  <c r="KF68" i="24" s="1"/>
  <c r="F68" i="24"/>
  <c r="LC68" i="24" s="1"/>
  <c r="E68" i="24"/>
  <c r="KG67" i="24"/>
  <c r="LA67" i="24" s="1"/>
  <c r="KF67" i="24" s="1"/>
  <c r="F67" i="24"/>
  <c r="E67" i="24"/>
  <c r="HY67" i="24" s="1"/>
  <c r="KG66" i="24"/>
  <c r="LA66" i="24" s="1"/>
  <c r="KF66" i="24" s="1"/>
  <c r="F66" i="24"/>
  <c r="E66" i="24"/>
  <c r="KG65" i="24"/>
  <c r="LA65" i="24" s="1"/>
  <c r="KF65" i="24" s="1"/>
  <c r="F65" i="24"/>
  <c r="AB65" i="24" s="1"/>
  <c r="AI65" i="24" s="1"/>
  <c r="E65" i="24"/>
  <c r="KG64" i="24"/>
  <c r="LA64" i="24" s="1"/>
  <c r="KF64" i="24" s="1"/>
  <c r="F64" i="24"/>
  <c r="AB64" i="24" s="1"/>
  <c r="AI64" i="24" s="1"/>
  <c r="E64" i="24"/>
  <c r="KG63" i="24"/>
  <c r="LA63" i="24" s="1"/>
  <c r="KF63" i="24" s="1"/>
  <c r="F63" i="24"/>
  <c r="AB63" i="24" s="1"/>
  <c r="AI63" i="24" s="1"/>
  <c r="E63" i="24"/>
  <c r="HY63" i="24" s="1"/>
  <c r="KG62" i="24"/>
  <c r="LA62" i="24" s="1"/>
  <c r="KF62" i="24" s="1"/>
  <c r="F62" i="24"/>
  <c r="AB62" i="24" s="1"/>
  <c r="AI62" i="24" s="1"/>
  <c r="E62" i="24"/>
  <c r="KG61" i="24"/>
  <c r="LA61" i="24" s="1"/>
  <c r="KF61" i="24" s="1"/>
  <c r="F61" i="24"/>
  <c r="AB61" i="24" s="1"/>
  <c r="AI61" i="24" s="1"/>
  <c r="E61" i="24"/>
  <c r="KG60" i="24"/>
  <c r="LA60" i="24" s="1"/>
  <c r="KF60" i="24" s="1"/>
  <c r="F60" i="24"/>
  <c r="B60" i="24" s="1"/>
  <c r="A60" i="24" s="1"/>
  <c r="E60" i="24"/>
  <c r="LB60" i="24" s="1"/>
  <c r="KG59" i="24"/>
  <c r="LA59" i="24" s="1"/>
  <c r="KF59" i="24" s="1"/>
  <c r="F59" i="24"/>
  <c r="IA59" i="24" s="1"/>
  <c r="E59" i="24"/>
  <c r="CG59" i="24" s="1"/>
  <c r="KG58" i="24"/>
  <c r="LA58" i="24" s="1"/>
  <c r="KF58" i="24" s="1"/>
  <c r="F58" i="24"/>
  <c r="IA58" i="24" s="1"/>
  <c r="E58" i="24"/>
  <c r="KG57" i="24"/>
  <c r="LA57" i="24" s="1"/>
  <c r="KF57" i="24" s="1"/>
  <c r="F57" i="24"/>
  <c r="AB57" i="24" s="1"/>
  <c r="AI57" i="24" s="1"/>
  <c r="E57" i="24"/>
  <c r="KG56" i="24"/>
  <c r="LA56" i="24" s="1"/>
  <c r="KF56" i="24" s="1"/>
  <c r="F56" i="24"/>
  <c r="IA56" i="24" s="1"/>
  <c r="E56" i="24"/>
  <c r="CG56" i="24" s="1"/>
  <c r="KG55" i="24"/>
  <c r="LA55" i="24" s="1"/>
  <c r="KF55" i="24" s="1"/>
  <c r="F55" i="24"/>
  <c r="IA55" i="24" s="1"/>
  <c r="E55" i="24"/>
  <c r="LB55" i="24" s="1"/>
  <c r="KG54" i="24"/>
  <c r="LA54" i="24" s="1"/>
  <c r="KF54" i="24" s="1"/>
  <c r="F54" i="24"/>
  <c r="LC54" i="24" s="1"/>
  <c r="E54" i="24"/>
  <c r="KG53" i="24"/>
  <c r="LA53" i="24" s="1"/>
  <c r="KF53" i="24" s="1"/>
  <c r="F53" i="24"/>
  <c r="IA53" i="24" s="1"/>
  <c r="E53" i="24"/>
  <c r="LB53" i="24" s="1"/>
  <c r="KG52" i="24"/>
  <c r="LA52" i="24" s="1"/>
  <c r="KF52" i="24" s="1"/>
  <c r="JF52" i="24"/>
  <c r="F52" i="24"/>
  <c r="AB52" i="24" s="1"/>
  <c r="AI52" i="24" s="1"/>
  <c r="E52" i="24"/>
  <c r="HY52" i="24" s="1"/>
  <c r="KG51" i="24"/>
  <c r="LA51" i="24" s="1"/>
  <c r="KF51" i="24" s="1"/>
  <c r="JF51" i="24"/>
  <c r="F51" i="24"/>
  <c r="LC51" i="24" s="1"/>
  <c r="E51" i="24"/>
  <c r="CG51" i="24" s="1"/>
  <c r="KG50" i="24"/>
  <c r="LA50" i="24" s="1"/>
  <c r="KF50" i="24" s="1"/>
  <c r="JF50" i="24"/>
  <c r="EL50" i="24"/>
  <c r="F50" i="24"/>
  <c r="E50" i="24"/>
  <c r="KG49" i="24"/>
  <c r="LA49" i="24" s="1"/>
  <c r="KF49" i="24" s="1"/>
  <c r="JF49" i="24"/>
  <c r="F49" i="24"/>
  <c r="AB49" i="24" s="1"/>
  <c r="AI49" i="24" s="1"/>
  <c r="E49" i="24"/>
  <c r="HY49" i="24" s="1"/>
  <c r="KG48" i="24"/>
  <c r="LA48" i="24" s="1"/>
  <c r="KF48" i="24" s="1"/>
  <c r="JF48" i="24"/>
  <c r="F48" i="24"/>
  <c r="E48" i="24"/>
  <c r="HY48" i="24" s="1"/>
  <c r="KG47" i="24"/>
  <c r="LA47" i="24" s="1"/>
  <c r="KF47" i="24" s="1"/>
  <c r="JF47" i="24"/>
  <c r="F47" i="24"/>
  <c r="E47" i="24"/>
  <c r="CG47" i="24" s="1"/>
  <c r="KG46" i="24"/>
  <c r="LA46" i="24" s="1"/>
  <c r="KF46" i="24" s="1"/>
  <c r="JF46" i="24"/>
  <c r="JE46" i="24" s="1"/>
  <c r="F46" i="24"/>
  <c r="CI32" i="24" s="1"/>
  <c r="E46" i="24"/>
  <c r="KG45" i="24"/>
  <c r="LA45" i="24" s="1"/>
  <c r="KF45" i="24" s="1"/>
  <c r="JF45" i="24"/>
  <c r="JE45" i="24"/>
  <c r="F45" i="24"/>
  <c r="IA45" i="24" s="1"/>
  <c r="E45" i="24"/>
  <c r="CG45" i="24" s="1"/>
  <c r="KG44" i="24"/>
  <c r="LA44" i="24" s="1"/>
  <c r="KF44" i="24" s="1"/>
  <c r="CQ44" i="24"/>
  <c r="CB44" i="24"/>
  <c r="F44" i="24"/>
  <c r="LC44" i="24" s="1"/>
  <c r="E44" i="24"/>
  <c r="HY44" i="24" s="1"/>
  <c r="KG43" i="24"/>
  <c r="LA43" i="24" s="1"/>
  <c r="KF43" i="24" s="1"/>
  <c r="CQ43" i="24"/>
  <c r="CB43" i="24"/>
  <c r="CA43" i="24"/>
  <c r="F43" i="24"/>
  <c r="IA43" i="24" s="1"/>
  <c r="E43" i="24"/>
  <c r="CG43" i="24" s="1"/>
  <c r="KG42" i="24"/>
  <c r="LA42" i="24" s="1"/>
  <c r="KF42" i="24" s="1"/>
  <c r="CQ42" i="24"/>
  <c r="CB42" i="24"/>
  <c r="CA42" i="24"/>
  <c r="BZ42" i="24"/>
  <c r="F42" i="24"/>
  <c r="AB42" i="24" s="1"/>
  <c r="AI42" i="24" s="1"/>
  <c r="E42" i="24"/>
  <c r="CG42" i="24" s="1"/>
  <c r="KG41" i="24"/>
  <c r="LA41" i="24" s="1"/>
  <c r="KF41" i="24" s="1"/>
  <c r="FS41" i="24"/>
  <c r="CQ41" i="24"/>
  <c r="CB41" i="24"/>
  <c r="CA41" i="24"/>
  <c r="BZ41" i="24"/>
  <c r="BY41" i="24"/>
  <c r="F41" i="24"/>
  <c r="LC41" i="24" s="1"/>
  <c r="E41" i="24"/>
  <c r="HY41" i="24" s="1"/>
  <c r="KG40" i="24"/>
  <c r="LA40" i="24" s="1"/>
  <c r="KF40" i="24" s="1"/>
  <c r="HP40" i="24"/>
  <c r="GT40" i="24"/>
  <c r="CQ40" i="24"/>
  <c r="F40" i="24"/>
  <c r="B40" i="24" s="1"/>
  <c r="A40" i="24" s="1"/>
  <c r="E40" i="24"/>
  <c r="LB40" i="24" s="1"/>
  <c r="KV39" i="24"/>
  <c r="KU39" i="24"/>
  <c r="KT39" i="24"/>
  <c r="KS39" i="24"/>
  <c r="KR39" i="24"/>
  <c r="KQ39" i="24"/>
  <c r="KP39" i="24"/>
  <c r="KO39" i="24"/>
  <c r="KN39" i="24"/>
  <c r="KM39" i="24"/>
  <c r="KL39" i="24"/>
  <c r="KK39" i="24"/>
  <c r="FM39" i="24"/>
  <c r="FL39" i="24"/>
  <c r="FK39" i="24"/>
  <c r="FJ39" i="24"/>
  <c r="FI39" i="24"/>
  <c r="FH39" i="24"/>
  <c r="FG39" i="24"/>
  <c r="FF39" i="24"/>
  <c r="FE39" i="24"/>
  <c r="FD39" i="24"/>
  <c r="FC39" i="24"/>
  <c r="FB39" i="24"/>
  <c r="KH38" i="24"/>
  <c r="IT38" i="24"/>
  <c r="IT37" i="24"/>
  <c r="A36" i="24"/>
  <c r="LG38" i="24"/>
  <c r="CH32" i="24"/>
  <c r="A26" i="24"/>
  <c r="A25" i="24"/>
  <c r="A24" i="24"/>
  <c r="A23" i="24"/>
  <c r="A22" i="24"/>
  <c r="A21" i="24"/>
  <c r="A20" i="24"/>
  <c r="A19" i="24"/>
  <c r="A18" i="24"/>
  <c r="A17" i="24"/>
  <c r="A16" i="24"/>
  <c r="A15" i="24"/>
  <c r="A14" i="24"/>
  <c r="A13" i="24"/>
  <c r="A12" i="24"/>
  <c r="A11" i="24"/>
  <c r="A10" i="24"/>
  <c r="A9" i="24"/>
  <c r="A8" i="24"/>
  <c r="A7" i="24"/>
  <c r="A6" i="24"/>
  <c r="A5" i="24"/>
  <c r="A3" i="24"/>
  <c r="A2" i="24"/>
  <c r="C2" i="24" s="1"/>
  <c r="G33" i="18"/>
  <c r="J11" i="23"/>
  <c r="V15" i="23" s="1"/>
  <c r="AA15" i="23" s="1"/>
  <c r="I11" i="23"/>
  <c r="U14" i="23" s="1"/>
  <c r="Z14" i="23" s="1"/>
  <c r="T16" i="23"/>
  <c r="Y16" i="23" s="1"/>
  <c r="X16" i="23" s="1"/>
  <c r="F11" i="23"/>
  <c r="EJ39" i="24" s="1"/>
  <c r="K36" i="23"/>
  <c r="J36" i="23"/>
  <c r="I36" i="23"/>
  <c r="K35" i="23"/>
  <c r="J35" i="23"/>
  <c r="I35" i="23"/>
  <c r="G35" i="23"/>
  <c r="J19" i="23"/>
  <c r="HF31" i="24" s="1"/>
  <c r="H19" i="23"/>
  <c r="HD31" i="24" s="1"/>
  <c r="F19" i="23"/>
  <c r="H17" i="23"/>
  <c r="S160" i="23" s="1"/>
  <c r="F4" i="23"/>
  <c r="T186" i="23"/>
  <c r="U186" i="23" s="1"/>
  <c r="F163" i="23"/>
  <c r="F164" i="23" s="1"/>
  <c r="F165" i="23" s="1"/>
  <c r="F166" i="23" s="1"/>
  <c r="F167" i="23" s="1"/>
  <c r="F168" i="23" s="1"/>
  <c r="F169" i="23" s="1"/>
  <c r="F170" i="23" s="1"/>
  <c r="F171" i="23" s="1"/>
  <c r="F172" i="23" s="1"/>
  <c r="F173" i="23" s="1"/>
  <c r="F174" i="23" s="1"/>
  <c r="F175" i="23" s="1"/>
  <c r="F176" i="23" s="1"/>
  <c r="F177" i="23" s="1"/>
  <c r="F178" i="23" s="1"/>
  <c r="F179" i="23" s="1"/>
  <c r="F180" i="23" s="1"/>
  <c r="F181" i="23" s="1"/>
  <c r="F182" i="23" s="1"/>
  <c r="F183" i="23" s="1"/>
  <c r="F184" i="23" s="1"/>
  <c r="F185" i="23" s="1"/>
  <c r="F186" i="23" s="1"/>
  <c r="F187" i="23" s="1"/>
  <c r="F188" i="23" s="1"/>
  <c r="F189" i="23" s="1"/>
  <c r="F190" i="23" s="1"/>
  <c r="F191" i="23" s="1"/>
  <c r="F192" i="23" s="1"/>
  <c r="F193" i="23" s="1"/>
  <c r="F194" i="23" s="1"/>
  <c r="F195" i="23" s="1"/>
  <c r="F196" i="23" s="1"/>
  <c r="F197" i="23" s="1"/>
  <c r="F198" i="23" s="1"/>
  <c r="F199" i="23" s="1"/>
  <c r="F200" i="23" s="1"/>
  <c r="F201" i="23" s="1"/>
  <c r="F202" i="23" s="1"/>
  <c r="F203" i="23" s="1"/>
  <c r="F204" i="23" s="1"/>
  <c r="F205" i="23" s="1"/>
  <c r="F206" i="23" s="1"/>
  <c r="F207" i="23" s="1"/>
  <c r="T160" i="23"/>
  <c r="V86" i="23"/>
  <c r="S72" i="23"/>
  <c r="S64" i="23"/>
  <c r="S63" i="23"/>
  <c r="S71" i="23" s="1"/>
  <c r="S62" i="23"/>
  <c r="S70" i="23" s="1"/>
  <c r="S61" i="23"/>
  <c r="S69" i="23" s="1"/>
  <c r="S60" i="23"/>
  <c r="S68" i="23" s="1"/>
  <c r="S59" i="23"/>
  <c r="S67" i="23" s="1"/>
  <c r="AA17" i="23"/>
  <c r="Z17" i="23"/>
  <c r="Y17" i="23"/>
  <c r="X17" i="23" s="1"/>
  <c r="V86" i="2"/>
  <c r="I58" i="2"/>
  <c r="H58" i="2"/>
  <c r="G58" i="2"/>
  <c r="I66" i="2"/>
  <c r="J73" i="2" s="1"/>
  <c r="H66" i="2"/>
  <c r="I73" i="2" s="1"/>
  <c r="I50" i="2"/>
  <c r="I53" i="2" s="1"/>
  <c r="I54" i="2" s="1"/>
  <c r="I55" i="2" s="1"/>
  <c r="H50" i="2"/>
  <c r="H53" i="2" s="1"/>
  <c r="G50" i="2"/>
  <c r="K11" i="2"/>
  <c r="G66" i="2" s="1"/>
  <c r="H73" i="2" s="1"/>
  <c r="A22" i="23" s="1"/>
  <c r="A25" i="23" s="1"/>
  <c r="BY584" i="15"/>
  <c r="AH194" i="31"/>
  <c r="AF206" i="31"/>
  <c r="AF177" i="31"/>
  <c r="AZ72" i="32" a="1"/>
  <c r="AK176" i="31"/>
  <c r="AG182" i="31"/>
  <c r="BA72" i="32" a="1"/>
  <c r="AY72" i="32" a="1"/>
  <c r="AQ181" i="31"/>
  <c r="AK188" i="31"/>
  <c r="AH182" i="31"/>
  <c r="AG194" i="31"/>
  <c r="AI193" i="31"/>
  <c r="AT72" i="32" a="1"/>
  <c r="AI175" i="31"/>
  <c r="GC40" i="24"/>
  <c r="AS72" i="32" a="1"/>
  <c r="AI187" i="31"/>
  <c r="GD40" i="24"/>
  <c r="AQ193" i="31"/>
  <c r="AI199" i="31"/>
  <c r="AH199" i="31"/>
  <c r="AK182" i="31"/>
  <c r="AI169" i="31"/>
  <c r="AG176" i="31"/>
  <c r="AH206" i="31"/>
  <c r="AF194" i="31"/>
  <c r="AU72" i="32" a="1"/>
  <c r="AQ170" i="31"/>
  <c r="AG200" i="31"/>
  <c r="AG177" i="31"/>
  <c r="AK177" i="31"/>
  <c r="AQ187" i="31"/>
  <c r="AI181" i="31"/>
  <c r="AK194" i="31"/>
  <c r="AQ169" i="31"/>
  <c r="AH188" i="31"/>
  <c r="BZ584" i="15"/>
  <c r="AG188" i="31"/>
  <c r="AF188" i="31"/>
  <c r="AK200" i="31"/>
  <c r="AJ182" i="31"/>
  <c r="AJ206" i="31"/>
  <c r="AV72" i="32" a="1"/>
  <c r="AQ175" i="31"/>
  <c r="AF200" i="31"/>
  <c r="AJ194" i="31"/>
  <c r="AF182" i="31"/>
  <c r="AI170" i="31"/>
  <c r="AJ176" i="31"/>
  <c r="AB206" i="31"/>
  <c r="AF176" i="31"/>
  <c r="AF193" i="31"/>
  <c r="AJ193" i="31"/>
  <c r="AJ188" i="31"/>
  <c r="AW72" i="32" a="1"/>
  <c r="AJ177" i="31"/>
  <c r="AH193" i="31"/>
  <c r="AK199" i="31"/>
  <c r="AQ199" i="31"/>
  <c r="GA40" i="24"/>
  <c r="AH176" i="31"/>
  <c r="AH177" i="31"/>
  <c r="GA41" i="24"/>
  <c r="CH42" i="32" l="1"/>
  <c r="CI42" i="32" s="1"/>
  <c r="CS42" i="32" s="1"/>
  <c r="AJ74" i="32"/>
  <c r="AJ69" i="32"/>
  <c r="AN69" i="32" s="1"/>
  <c r="AO69" i="32" s="1"/>
  <c r="AJ70" i="32"/>
  <c r="AN70" i="32" s="1"/>
  <c r="AO70" i="32" s="1"/>
  <c r="AJ67" i="32"/>
  <c r="AN67" i="32" s="1"/>
  <c r="AO67" i="32" s="1"/>
  <c r="AJ66" i="32"/>
  <c r="AN66" i="32" s="1"/>
  <c r="AO66" i="32" s="1"/>
  <c r="AJ65" i="32"/>
  <c r="AN65" i="32" s="1"/>
  <c r="AO65" i="32" s="1"/>
  <c r="AJ76" i="32"/>
  <c r="AJ75" i="32"/>
  <c r="AJ68" i="32"/>
  <c r="AN68" i="32" s="1"/>
  <c r="AO68" i="32" s="1"/>
  <c r="AJ71" i="32"/>
  <c r="AN71" i="32" s="1"/>
  <c r="AO71" i="32" s="1"/>
  <c r="AJ73" i="32"/>
  <c r="AJ63" i="32"/>
  <c r="AN63" i="32" s="1"/>
  <c r="AO63" i="32" s="1"/>
  <c r="AJ62" i="32"/>
  <c r="AN62" i="32" s="1"/>
  <c r="AO62" i="32" s="1"/>
  <c r="AJ64" i="32"/>
  <c r="AN64" i="32" s="1"/>
  <c r="AO64" i="32" s="1"/>
  <c r="AD57" i="32"/>
  <c r="AI57" i="32" s="1"/>
  <c r="AJ57" i="32" s="1"/>
  <c r="AN57" i="32" s="1"/>
  <c r="AD30" i="32"/>
  <c r="AI30" i="32" s="1"/>
  <c r="AD38" i="32"/>
  <c r="AI38" i="32" s="1"/>
  <c r="AJ38" i="32" s="1"/>
  <c r="AN38" i="32" s="1"/>
  <c r="AD34" i="32"/>
  <c r="AI34" i="32" s="1"/>
  <c r="AD42" i="32"/>
  <c r="AI42" i="32" s="1"/>
  <c r="AJ42" i="32" s="1"/>
  <c r="AN42" i="32" s="1"/>
  <c r="AD22" i="32"/>
  <c r="AI22" i="32" s="1"/>
  <c r="AD25" i="32"/>
  <c r="AI25" i="32" s="1"/>
  <c r="AQ25" i="32" s="1"/>
  <c r="AD46" i="32"/>
  <c r="AI46" i="32" s="1"/>
  <c r="AQ46" i="32" s="1"/>
  <c r="AD19" i="32"/>
  <c r="AI19" i="32" s="1"/>
  <c r="AD24" i="32"/>
  <c r="AI24" i="32" s="1"/>
  <c r="AD26" i="32"/>
  <c r="AI26" i="32" s="1"/>
  <c r="AQ26" i="32" s="1"/>
  <c r="AD45" i="32"/>
  <c r="AI45" i="32" s="1"/>
  <c r="AJ45" i="32" s="1"/>
  <c r="AN45" i="32" s="1"/>
  <c r="AD39" i="32"/>
  <c r="AI39" i="32" s="1"/>
  <c r="AQ39" i="32" s="1"/>
  <c r="AD21" i="32"/>
  <c r="AI21" i="32" s="1"/>
  <c r="AJ21" i="32" s="1"/>
  <c r="AD20" i="32"/>
  <c r="AI20" i="32" s="1"/>
  <c r="AD52" i="32"/>
  <c r="AI52" i="32" s="1"/>
  <c r="AJ52" i="32" s="1"/>
  <c r="AN52" i="32" s="1"/>
  <c r="AD35" i="32"/>
  <c r="AI35" i="32" s="1"/>
  <c r="AQ35" i="32" s="1"/>
  <c r="AD44" i="32"/>
  <c r="AI44" i="32" s="1"/>
  <c r="AJ44" i="32" s="1"/>
  <c r="AN44" i="32" s="1"/>
  <c r="AD27" i="32"/>
  <c r="AI27" i="32" s="1"/>
  <c r="AQ27" i="32" s="1"/>
  <c r="AD48" i="32"/>
  <c r="AI48" i="32" s="1"/>
  <c r="AQ48" i="32" s="1"/>
  <c r="BJ48" i="32" s="1"/>
  <c r="AD29" i="32"/>
  <c r="AI29" i="32" s="1"/>
  <c r="AD36" i="32"/>
  <c r="AI36" i="32" s="1"/>
  <c r="AD61" i="32"/>
  <c r="AI61" i="32" s="1"/>
  <c r="AJ61" i="32" s="1"/>
  <c r="AN61" i="32" s="1"/>
  <c r="AD31" i="32"/>
  <c r="AI31" i="32" s="1"/>
  <c r="AD59" i="32"/>
  <c r="AI59" i="32" s="1"/>
  <c r="AJ59" i="32" s="1"/>
  <c r="AN59" i="32" s="1"/>
  <c r="AD51" i="32"/>
  <c r="AI51" i="32" s="1"/>
  <c r="AJ51" i="32" s="1"/>
  <c r="AN51" i="32" s="1"/>
  <c r="AD58" i="32"/>
  <c r="AI58" i="32" s="1"/>
  <c r="AJ58" i="32" s="1"/>
  <c r="AN58" i="32" s="1"/>
  <c r="AD56" i="32"/>
  <c r="AI56" i="32" s="1"/>
  <c r="AJ56" i="32" s="1"/>
  <c r="AN56" i="32" s="1"/>
  <c r="AD18" i="32"/>
  <c r="AI18" i="32" s="1"/>
  <c r="AD41" i="32"/>
  <c r="AI41" i="32" s="1"/>
  <c r="AJ41" i="32" s="1"/>
  <c r="AN41" i="32" s="1"/>
  <c r="AD40" i="32"/>
  <c r="AI40" i="32" s="1"/>
  <c r="AJ40" i="32" s="1"/>
  <c r="AN40" i="32" s="1"/>
  <c r="AD28" i="32"/>
  <c r="AI28" i="32" s="1"/>
  <c r="AD47" i="32"/>
  <c r="AI47" i="32" s="1"/>
  <c r="AJ47" i="32" s="1"/>
  <c r="AN47" i="32" s="1"/>
  <c r="AD32" i="32"/>
  <c r="AI32" i="32" s="1"/>
  <c r="AD55" i="32"/>
  <c r="AI55" i="32" s="1"/>
  <c r="AQ55" i="32" s="1"/>
  <c r="AD53" i="32"/>
  <c r="AI53" i="32" s="1"/>
  <c r="AQ53" i="32" s="1"/>
  <c r="AD43" i="32"/>
  <c r="AI43" i="32" s="1"/>
  <c r="AQ43" i="32" s="1"/>
  <c r="AD33" i="32"/>
  <c r="AI33" i="32" s="1"/>
  <c r="AD37" i="32"/>
  <c r="AI37" i="32" s="1"/>
  <c r="AQ37" i="32" s="1"/>
  <c r="AD23" i="32"/>
  <c r="AI23" i="32" s="1"/>
  <c r="AD54" i="32"/>
  <c r="AI54" i="32" s="1"/>
  <c r="AD60" i="32"/>
  <c r="AI60" i="32" s="1"/>
  <c r="AJ60" i="32" s="1"/>
  <c r="AN60" i="32" s="1"/>
  <c r="AD50" i="32"/>
  <c r="AI50" i="32" s="1"/>
  <c r="AJ50" i="32" s="1"/>
  <c r="AN50" i="32" s="1"/>
  <c r="AD49" i="32"/>
  <c r="AI49" i="32" s="1"/>
  <c r="AQ49" i="32" s="1"/>
  <c r="BJ49" i="32" s="1"/>
  <c r="BA72" i="32"/>
  <c r="AS72" i="32"/>
  <c r="AV72" i="32"/>
  <c r="AW72" i="32"/>
  <c r="AY72" i="32"/>
  <c r="AZ72" i="32"/>
  <c r="AT72" i="32"/>
  <c r="AU72" i="32"/>
  <c r="AB207" i="31"/>
  <c r="AB208" i="31" s="1"/>
  <c r="AB209" i="31" s="1"/>
  <c r="AB210" i="31" s="1"/>
  <c r="AB211" i="31" s="1"/>
  <c r="AB212" i="31" s="1"/>
  <c r="BG193" i="31"/>
  <c r="BG175" i="31"/>
  <c r="BG170" i="31"/>
  <c r="BG187" i="31"/>
  <c r="BG181" i="31"/>
  <c r="BG169" i="31"/>
  <c r="BG199" i="31"/>
  <c r="H190" i="31"/>
  <c r="V220" i="31"/>
  <c r="V214" i="31"/>
  <c r="V215" i="31" s="1"/>
  <c r="V216" i="31" s="1"/>
  <c r="V217" i="31" s="1"/>
  <c r="V218" i="31" s="1"/>
  <c r="V219" i="31" s="1"/>
  <c r="M220" i="31"/>
  <c r="M214" i="31"/>
  <c r="M215" i="31" s="1"/>
  <c r="M216" i="31" s="1"/>
  <c r="M217" i="31" s="1"/>
  <c r="M218" i="31" s="1"/>
  <c r="M219" i="31" s="1"/>
  <c r="K220" i="31"/>
  <c r="K214" i="31"/>
  <c r="X214" i="31"/>
  <c r="X215" i="31" s="1"/>
  <c r="X216" i="31" s="1"/>
  <c r="X217" i="31" s="1"/>
  <c r="X218" i="31" s="1"/>
  <c r="X219" i="31" s="1"/>
  <c r="X220" i="31"/>
  <c r="H196" i="31"/>
  <c r="Q177" i="31"/>
  <c r="N220" i="31"/>
  <c r="N214" i="31"/>
  <c r="N215" i="31" s="1"/>
  <c r="N216" i="31" s="1"/>
  <c r="N217" i="31" s="1"/>
  <c r="N218" i="31" s="1"/>
  <c r="N219" i="31" s="1"/>
  <c r="G220" i="31"/>
  <c r="G214" i="31"/>
  <c r="F208" i="31"/>
  <c r="H214" i="31"/>
  <c r="H220" i="31"/>
  <c r="R220" i="31"/>
  <c r="R214" i="31"/>
  <c r="R215" i="31" s="1"/>
  <c r="R216" i="31" s="1"/>
  <c r="R217" i="31" s="1"/>
  <c r="R218" i="31" s="1"/>
  <c r="R219" i="31" s="1"/>
  <c r="T213" i="31"/>
  <c r="T207" i="31"/>
  <c r="T208" i="31" s="1"/>
  <c r="T209" i="31" s="1"/>
  <c r="T210" i="31" s="1"/>
  <c r="T211" i="31" s="1"/>
  <c r="T212" i="31" s="1"/>
  <c r="U220" i="31"/>
  <c r="U214" i="31"/>
  <c r="U215" i="31" s="1"/>
  <c r="U216" i="31" s="1"/>
  <c r="U217" i="31" s="1"/>
  <c r="U218" i="31" s="1"/>
  <c r="U219" i="31" s="1"/>
  <c r="F196" i="31"/>
  <c r="G202" i="31"/>
  <c r="W220" i="31"/>
  <c r="W214" i="31"/>
  <c r="W215" i="31" s="1"/>
  <c r="W216" i="31" s="1"/>
  <c r="W217" i="31" s="1"/>
  <c r="W218" i="31" s="1"/>
  <c r="W219" i="31" s="1"/>
  <c r="F202" i="31"/>
  <c r="H208" i="31"/>
  <c r="S220" i="31"/>
  <c r="S214" i="31"/>
  <c r="S215" i="31" s="1"/>
  <c r="S216" i="31" s="1"/>
  <c r="S217" i="31" s="1"/>
  <c r="S218" i="31" s="1"/>
  <c r="S219" i="31" s="1"/>
  <c r="H184" i="31"/>
  <c r="E220" i="31"/>
  <c r="E214" i="31"/>
  <c r="E215" i="31" s="1"/>
  <c r="E216" i="31" s="1"/>
  <c r="E217" i="31" s="1"/>
  <c r="E218" i="31" s="1"/>
  <c r="E219" i="31" s="1"/>
  <c r="BI207" i="31"/>
  <c r="AE214" i="31"/>
  <c r="I207" i="31"/>
  <c r="I213" i="31"/>
  <c r="Q189" i="31"/>
  <c r="K202" i="31"/>
  <c r="F220" i="31"/>
  <c r="F214" i="31"/>
  <c r="Q201" i="31"/>
  <c r="I195" i="31"/>
  <c r="A207" i="31"/>
  <c r="A208" i="31" s="1"/>
  <c r="A209" i="31" s="1"/>
  <c r="A210" i="31" s="1"/>
  <c r="A211" i="31" s="1"/>
  <c r="A212" i="31" s="1"/>
  <c r="A213" i="31"/>
  <c r="Q195" i="31"/>
  <c r="H202" i="31"/>
  <c r="O220" i="31"/>
  <c r="O214" i="31"/>
  <c r="O215" i="31" s="1"/>
  <c r="O216" i="31" s="1"/>
  <c r="O217" i="31" s="1"/>
  <c r="O218" i="31" s="1"/>
  <c r="O219" i="31" s="1"/>
  <c r="I177" i="31"/>
  <c r="K184" i="31"/>
  <c r="Q183" i="31"/>
  <c r="P213" i="31"/>
  <c r="P207" i="31"/>
  <c r="P208" i="31" s="1"/>
  <c r="P209" i="31" s="1"/>
  <c r="P210" i="31" s="1"/>
  <c r="P211" i="31" s="1"/>
  <c r="P212" i="31" s="1"/>
  <c r="B220" i="31"/>
  <c r="B214" i="31"/>
  <c r="B215" i="31" s="1"/>
  <c r="B216" i="31" s="1"/>
  <c r="B217" i="31" s="1"/>
  <c r="B218" i="31" s="1"/>
  <c r="B219" i="31" s="1"/>
  <c r="J190" i="31"/>
  <c r="K196" i="31"/>
  <c r="G190" i="31"/>
  <c r="J184" i="31"/>
  <c r="J208" i="31"/>
  <c r="K190" i="31"/>
  <c r="F190" i="31"/>
  <c r="G184" i="31"/>
  <c r="G196" i="31"/>
  <c r="Q207" i="31"/>
  <c r="Q213" i="31"/>
  <c r="J220" i="31"/>
  <c r="J214" i="31"/>
  <c r="C220" i="31"/>
  <c r="C214" i="31"/>
  <c r="C215" i="31" s="1"/>
  <c r="C216" i="31" s="1"/>
  <c r="C217" i="31" s="1"/>
  <c r="C218" i="31" s="1"/>
  <c r="C219" i="31" s="1"/>
  <c r="I189" i="31"/>
  <c r="K208" i="31"/>
  <c r="J202" i="31"/>
  <c r="F184" i="31"/>
  <c r="L214" i="31"/>
  <c r="L215" i="31" s="1"/>
  <c r="L216" i="31" s="1"/>
  <c r="L217" i="31" s="1"/>
  <c r="L218" i="31" s="1"/>
  <c r="L219" i="31" s="1"/>
  <c r="L220" i="31"/>
  <c r="I183" i="31"/>
  <c r="G208" i="31"/>
  <c r="D214" i="31"/>
  <c r="D215" i="31" s="1"/>
  <c r="D216" i="31" s="1"/>
  <c r="D217" i="31" s="1"/>
  <c r="D218" i="31" s="1"/>
  <c r="D219" i="31" s="1"/>
  <c r="D220" i="31"/>
  <c r="J196" i="31"/>
  <c r="I201" i="31"/>
  <c r="EF84" i="24"/>
  <c r="EF83" i="24"/>
  <c r="Q120" i="24"/>
  <c r="R120" i="24" s="1"/>
  <c r="Q122" i="24"/>
  <c r="R122" i="24" s="1"/>
  <c r="S122" i="24" s="1"/>
  <c r="T122" i="24" s="1"/>
  <c r="Q123" i="24"/>
  <c r="R123" i="24" s="1"/>
  <c r="Q125" i="24"/>
  <c r="R125" i="24" s="1"/>
  <c r="Q128" i="24"/>
  <c r="R128" i="24" s="1"/>
  <c r="Q130" i="24"/>
  <c r="R130" i="24" s="1"/>
  <c r="Q131" i="24"/>
  <c r="R131" i="24" s="1"/>
  <c r="HQ93" i="24"/>
  <c r="A26" i="23"/>
  <c r="G65" i="23"/>
  <c r="K11" i="23"/>
  <c r="IL160" i="24"/>
  <c r="DC582" i="15"/>
  <c r="DE581" i="15"/>
  <c r="CF584" i="15"/>
  <c r="CQ584" i="15" s="1"/>
  <c r="CV584" i="15" s="1"/>
  <c r="CE584" i="15"/>
  <c r="CP584" i="15" s="1"/>
  <c r="CU584" i="15" s="1"/>
  <c r="BQ586" i="15"/>
  <c r="U11" i="23"/>
  <c r="Z11" i="23" s="1"/>
  <c r="V14" i="23"/>
  <c r="AA14" i="23" s="1"/>
  <c r="T11" i="23"/>
  <c r="Y11" i="23" s="1"/>
  <c r="X11" i="23" s="1"/>
  <c r="V11" i="23"/>
  <c r="AA11" i="23" s="1"/>
  <c r="V12" i="23"/>
  <c r="AA12" i="23" s="1"/>
  <c r="V13" i="23"/>
  <c r="AA13" i="23" s="1"/>
  <c r="O67" i="23"/>
  <c r="O69" i="23" s="1"/>
  <c r="IX38" i="24"/>
  <c r="IA100" i="24"/>
  <c r="IL133" i="24"/>
  <c r="IL134" i="24"/>
  <c r="AA65" i="24"/>
  <c r="AH65" i="24" s="1"/>
  <c r="AA70" i="24"/>
  <c r="AH70" i="24" s="1"/>
  <c r="AJ70" i="24" s="1"/>
  <c r="BP70" i="24" s="1"/>
  <c r="BS70" i="24" s="1"/>
  <c r="IL138" i="24"/>
  <c r="HY144" i="24"/>
  <c r="IL144" i="24" s="1"/>
  <c r="IA62" i="24"/>
  <c r="IL137" i="24"/>
  <c r="HY152" i="24"/>
  <c r="IL152" i="24" s="1"/>
  <c r="B62" i="24"/>
  <c r="A62" i="24" s="1"/>
  <c r="IL132" i="24"/>
  <c r="IL136" i="24"/>
  <c r="IL140" i="24"/>
  <c r="HY148" i="24"/>
  <c r="IL148" i="24" s="1"/>
  <c r="HY156" i="24"/>
  <c r="IL156" i="24" s="1"/>
  <c r="HY116" i="24"/>
  <c r="IL135" i="24"/>
  <c r="IL139" i="24"/>
  <c r="AA68" i="24"/>
  <c r="AH68" i="24" s="1"/>
  <c r="B80" i="24"/>
  <c r="A80" i="24" s="1"/>
  <c r="AA90" i="24"/>
  <c r="AH90" i="24" s="1"/>
  <c r="H90" i="24" s="1"/>
  <c r="HY141" i="24"/>
  <c r="IL141" i="24" s="1"/>
  <c r="HY145" i="24"/>
  <c r="IL145" i="24" s="1"/>
  <c r="HY149" i="24"/>
  <c r="IL149" i="24" s="1"/>
  <c r="HY153" i="24"/>
  <c r="IL153" i="24" s="1"/>
  <c r="HY157" i="24"/>
  <c r="IL157" i="24" s="1"/>
  <c r="J25" i="15"/>
  <c r="AH576" i="15" s="1"/>
  <c r="LB67" i="24"/>
  <c r="AB83" i="24"/>
  <c r="AI83" i="24" s="1"/>
  <c r="I83" i="24" s="1"/>
  <c r="AA106" i="24"/>
  <c r="AH106" i="24" s="1"/>
  <c r="H106" i="24" s="1"/>
  <c r="LB62" i="24"/>
  <c r="CG67" i="24"/>
  <c r="AB74" i="24"/>
  <c r="AI74" i="24" s="1"/>
  <c r="I74" i="24" s="1"/>
  <c r="AA75" i="24"/>
  <c r="AH75" i="24" s="1"/>
  <c r="H75" i="24" s="1"/>
  <c r="AB105" i="24"/>
  <c r="AI105" i="24" s="1"/>
  <c r="AA109" i="24"/>
  <c r="AH109" i="24" s="1"/>
  <c r="H109" i="24" s="1"/>
  <c r="B42" i="24"/>
  <c r="A42" i="24" s="1"/>
  <c r="CG53" i="24"/>
  <c r="CH62" i="24"/>
  <c r="LC62" i="24"/>
  <c r="LB64" i="24"/>
  <c r="CG74" i="24"/>
  <c r="CJ74" i="24" s="1"/>
  <c r="AB95" i="24"/>
  <c r="AI95" i="24" s="1"/>
  <c r="AA107" i="24"/>
  <c r="AH107" i="24" s="1"/>
  <c r="H107" i="24" s="1"/>
  <c r="AB110" i="24"/>
  <c r="AI110" i="24" s="1"/>
  <c r="AB114" i="24"/>
  <c r="AI114" i="24" s="1"/>
  <c r="I114" i="24" s="1"/>
  <c r="CH64" i="24"/>
  <c r="LB81" i="24"/>
  <c r="B56" i="24"/>
  <c r="A56" i="24" s="1"/>
  <c r="B64" i="24"/>
  <c r="A64" i="24" s="1"/>
  <c r="IA64" i="24"/>
  <c r="HY69" i="24"/>
  <c r="IA76" i="24"/>
  <c r="IA80" i="24"/>
  <c r="AB93" i="24"/>
  <c r="AI93" i="24" s="1"/>
  <c r="I93" i="24" s="1"/>
  <c r="AB97" i="24"/>
  <c r="AI97" i="24" s="1"/>
  <c r="I97" i="24" s="1"/>
  <c r="AA105" i="24"/>
  <c r="AH105" i="24" s="1"/>
  <c r="H105" i="24" s="1"/>
  <c r="IA111" i="24"/>
  <c r="HY112" i="24"/>
  <c r="IA113" i="24"/>
  <c r="LC64" i="24"/>
  <c r="B54" i="24"/>
  <c r="A54" i="24" s="1"/>
  <c r="HY59" i="24"/>
  <c r="AA63" i="24"/>
  <c r="AH63" i="24" s="1"/>
  <c r="AG63" i="24" s="1"/>
  <c r="CG72" i="24"/>
  <c r="AA113" i="24"/>
  <c r="AH113" i="24" s="1"/>
  <c r="H113" i="24" s="1"/>
  <c r="Q113" i="24" s="1"/>
  <c r="CG49" i="24"/>
  <c r="LB49" i="24"/>
  <c r="CH49" i="24"/>
  <c r="HY53" i="24"/>
  <c r="AB66" i="24"/>
  <c r="AI66" i="24" s="1"/>
  <c r="I66" i="24" s="1"/>
  <c r="LC66" i="24"/>
  <c r="T13" i="23"/>
  <c r="Y13" i="23" s="1"/>
  <c r="X13" i="23" s="1"/>
  <c r="T15" i="23"/>
  <c r="Y15" i="23" s="1"/>
  <c r="X15" i="23" s="1"/>
  <c r="AB117" i="24"/>
  <c r="AI117" i="24" s="1"/>
  <c r="I117" i="24" s="1"/>
  <c r="IA117" i="24"/>
  <c r="H54" i="2"/>
  <c r="H55" i="2" s="1"/>
  <c r="H60" i="2" s="1"/>
  <c r="U16" i="23"/>
  <c r="Z16" i="23" s="1"/>
  <c r="S87" i="23"/>
  <c r="V87" i="23" s="1"/>
  <c r="IA46" i="24"/>
  <c r="CH46" i="24"/>
  <c r="IA48" i="24"/>
  <c r="B48" i="24"/>
  <c r="A48" i="24" s="1"/>
  <c r="LB57" i="24"/>
  <c r="CG57" i="24"/>
  <c r="LC77" i="24"/>
  <c r="IA81" i="24"/>
  <c r="LC81" i="24"/>
  <c r="IA85" i="24"/>
  <c r="LC85" i="24"/>
  <c r="HS95" i="24"/>
  <c r="HS94" i="24"/>
  <c r="AB103" i="24"/>
  <c r="AI103" i="24" s="1"/>
  <c r="AA103" i="24"/>
  <c r="AH103" i="24" s="1"/>
  <c r="H103" i="24" s="1"/>
  <c r="IA112" i="24"/>
  <c r="AB112" i="24"/>
  <c r="AI112" i="24" s="1"/>
  <c r="I112" i="24" s="1"/>
  <c r="AB115" i="24"/>
  <c r="AI115" i="24" s="1"/>
  <c r="I115" i="24" s="1"/>
  <c r="IA115" i="24"/>
  <c r="HY119" i="24"/>
  <c r="AA119" i="24"/>
  <c r="AH119" i="24" s="1"/>
  <c r="HY124" i="24"/>
  <c r="T12" i="23"/>
  <c r="Y12" i="23" s="1"/>
  <c r="X12" i="23" s="1"/>
  <c r="T14" i="23"/>
  <c r="Y14" i="23" s="1"/>
  <c r="X14" i="23" s="1"/>
  <c r="V16" i="23"/>
  <c r="AA16" i="23" s="1"/>
  <c r="B41" i="24"/>
  <c r="A41" i="24" s="1"/>
  <c r="CG46" i="24"/>
  <c r="LB47" i="24"/>
  <c r="HY47" i="24"/>
  <c r="CG48" i="24"/>
  <c r="IA50" i="24"/>
  <c r="B50" i="24"/>
  <c r="A50" i="24" s="1"/>
  <c r="LC50" i="24"/>
  <c r="B58" i="24"/>
  <c r="A58" i="24" s="1"/>
  <c r="LC58" i="24"/>
  <c r="AA61" i="24"/>
  <c r="AH61" i="24" s="1"/>
  <c r="H61" i="24" s="1"/>
  <c r="B66" i="24"/>
  <c r="A66" i="24" s="1"/>
  <c r="AB68" i="24"/>
  <c r="AI68" i="24" s="1"/>
  <c r="B68" i="24"/>
  <c r="A68" i="24" s="1"/>
  <c r="LB69" i="24"/>
  <c r="CG69" i="24"/>
  <c r="AA76" i="24"/>
  <c r="AH76" i="24" s="1"/>
  <c r="H76" i="24" s="1"/>
  <c r="LB76" i="24"/>
  <c r="HY76" i="24"/>
  <c r="HY79" i="24"/>
  <c r="AA83" i="24"/>
  <c r="AH83" i="24" s="1"/>
  <c r="H83" i="24" s="1"/>
  <c r="LB83" i="24"/>
  <c r="HY83" i="24"/>
  <c r="B84" i="24"/>
  <c r="A84" i="24" s="1"/>
  <c r="HQ95" i="24"/>
  <c r="HY127" i="24"/>
  <c r="B45" i="24"/>
  <c r="A45" i="24" s="1"/>
  <c r="CH45" i="24"/>
  <c r="CJ45" i="24" s="1"/>
  <c r="B46" i="24"/>
  <c r="A46" i="24" s="1"/>
  <c r="IA47" i="24"/>
  <c r="B47" i="24"/>
  <c r="A47" i="24" s="1"/>
  <c r="CG55" i="24"/>
  <c r="HY57" i="24"/>
  <c r="AA58" i="24"/>
  <c r="AH58" i="24" s="1"/>
  <c r="H58" i="24" s="1"/>
  <c r="CG63" i="24"/>
  <c r="B70" i="24"/>
  <c r="A70" i="24" s="1"/>
  <c r="LC70" i="24"/>
  <c r="AA74" i="24"/>
  <c r="AH74" i="24" s="1"/>
  <c r="H74" i="24" s="1"/>
  <c r="HY74" i="24"/>
  <c r="B77" i="24"/>
  <c r="A77" i="24" s="1"/>
  <c r="IA77" i="24"/>
  <c r="AB78" i="24"/>
  <c r="AI78" i="24" s="1"/>
  <c r="I78" i="24" s="1"/>
  <c r="LC78" i="24"/>
  <c r="B81" i="24"/>
  <c r="A81" i="24" s="1"/>
  <c r="AA84" i="24"/>
  <c r="AH84" i="24" s="1"/>
  <c r="H84" i="24" s="1"/>
  <c r="B85" i="24"/>
  <c r="A85" i="24" s="1"/>
  <c r="HQ86" i="24"/>
  <c r="HR87" i="24"/>
  <c r="HO97" i="24"/>
  <c r="HS96" i="24"/>
  <c r="IA103" i="24"/>
  <c r="IA118" i="24"/>
  <c r="AB118" i="24"/>
  <c r="AI118" i="24" s="1"/>
  <c r="HY80" i="24"/>
  <c r="HY104" i="24"/>
  <c r="HY108" i="24"/>
  <c r="HY122" i="24"/>
  <c r="IA88" i="24"/>
  <c r="IA101" i="24"/>
  <c r="HY114" i="24"/>
  <c r="Q126" i="24"/>
  <c r="R126" i="24" s="1"/>
  <c r="S126" i="24" s="1"/>
  <c r="HY143" i="24"/>
  <c r="IL143" i="24" s="1"/>
  <c r="HY147" i="24"/>
  <c r="IL147" i="24" s="1"/>
  <c r="HY151" i="24"/>
  <c r="IL151" i="24" s="1"/>
  <c r="HY155" i="24"/>
  <c r="IL155" i="24" s="1"/>
  <c r="HY159" i="24"/>
  <c r="IL159" i="24" s="1"/>
  <c r="CL74" i="24"/>
  <c r="B75" i="24"/>
  <c r="A75" i="24" s="1"/>
  <c r="B76" i="24"/>
  <c r="A76" i="24" s="1"/>
  <c r="HY86" i="24"/>
  <c r="AB88" i="24"/>
  <c r="AI88" i="24" s="1"/>
  <c r="I88" i="24" s="1"/>
  <c r="HY103" i="24"/>
  <c r="AB104" i="24"/>
  <c r="AI104" i="24" s="1"/>
  <c r="I104" i="24" s="1"/>
  <c r="IA107" i="24"/>
  <c r="AB108" i="24"/>
  <c r="AI108" i="24" s="1"/>
  <c r="I108" i="24" s="1"/>
  <c r="AA118" i="24"/>
  <c r="AH118" i="24" s="1"/>
  <c r="H118" i="24" s="1"/>
  <c r="IA119" i="24"/>
  <c r="HY142" i="24"/>
  <c r="IL142" i="24" s="1"/>
  <c r="HY146" i="24"/>
  <c r="IL146" i="24" s="1"/>
  <c r="HY150" i="24"/>
  <c r="IL150" i="24" s="1"/>
  <c r="HY154" i="24"/>
  <c r="IL154" i="24" s="1"/>
  <c r="HY158" i="24"/>
  <c r="IL158" i="24" s="1"/>
  <c r="LO43" i="24"/>
  <c r="LS42" i="24"/>
  <c r="I60" i="2"/>
  <c r="I61" i="2" s="1"/>
  <c r="I62" i="2" s="1"/>
  <c r="U13" i="23"/>
  <c r="Z13" i="23" s="1"/>
  <c r="U12" i="23"/>
  <c r="Z12" i="23" s="1"/>
  <c r="U15" i="23"/>
  <c r="Z15" i="23" s="1"/>
  <c r="J15" i="23"/>
  <c r="H15" i="23" s="1"/>
  <c r="G52" i="2"/>
  <c r="G53" i="2" s="1"/>
  <c r="G54" i="2" s="1"/>
  <c r="E29" i="24"/>
  <c r="LB42" i="24"/>
  <c r="AB40" i="24"/>
  <c r="AI40" i="24" s="1"/>
  <c r="I40" i="24" s="1"/>
  <c r="IA40" i="24"/>
  <c r="IA41" i="24"/>
  <c r="B43" i="24"/>
  <c r="A43" i="24" s="1"/>
  <c r="LB43" i="24"/>
  <c r="HR39" i="24"/>
  <c r="CH41" i="24"/>
  <c r="B44" i="24"/>
  <c r="A44" i="24" s="1"/>
  <c r="IA44" i="24"/>
  <c r="GM41" i="24"/>
  <c r="HB41" i="24" s="1"/>
  <c r="GM40" i="24"/>
  <c r="HB40" i="24" s="1"/>
  <c r="GP40" i="24"/>
  <c r="HE40" i="24" s="1"/>
  <c r="C3" i="24"/>
  <c r="CK32" i="24"/>
  <c r="I49" i="24"/>
  <c r="A4" i="24"/>
  <c r="EF75" i="24"/>
  <c r="EF72" i="24"/>
  <c r="EF78" i="24"/>
  <c r="EF74" i="24"/>
  <c r="EF71" i="24"/>
  <c r="EF70" i="24"/>
  <c r="EF77" i="24"/>
  <c r="EF73" i="24"/>
  <c r="EF69" i="24"/>
  <c r="EF67" i="24"/>
  <c r="EF68" i="24"/>
  <c r="EF64" i="24"/>
  <c r="EF62" i="24"/>
  <c r="EF76" i="24"/>
  <c r="EF66" i="24"/>
  <c r="EF65" i="24"/>
  <c r="EF63" i="24"/>
  <c r="EF58" i="24"/>
  <c r="EF61" i="24"/>
  <c r="EF60" i="24"/>
  <c r="EF59" i="24"/>
  <c r="EF57" i="24"/>
  <c r="EF56" i="24"/>
  <c r="EF54" i="24"/>
  <c r="EF51" i="24"/>
  <c r="EF50" i="24"/>
  <c r="EF52" i="24"/>
  <c r="EF55" i="24"/>
  <c r="EF53" i="24"/>
  <c r="EF49" i="24"/>
  <c r="EM40" i="24"/>
  <c r="EN40" i="24" s="1"/>
  <c r="EO40" i="24" s="1"/>
  <c r="EP40" i="24"/>
  <c r="EQ40" i="24" s="1"/>
  <c r="EF40" i="24"/>
  <c r="EF48" i="24"/>
  <c r="I42" i="24"/>
  <c r="N40" i="24"/>
  <c r="CH40" i="24"/>
  <c r="LC40" i="24"/>
  <c r="AA41" i="24"/>
  <c r="AH41" i="24" s="1"/>
  <c r="LB41" i="24"/>
  <c r="CH42" i="24"/>
  <c r="CL42" i="24" s="1"/>
  <c r="HY42" i="24"/>
  <c r="LC42" i="24"/>
  <c r="AA43" i="24"/>
  <c r="AH43" i="24" s="1"/>
  <c r="CH43" i="24"/>
  <c r="CL43" i="24" s="1"/>
  <c r="HY43" i="24"/>
  <c r="LC43" i="24"/>
  <c r="AA44" i="24"/>
  <c r="AH44" i="24" s="1"/>
  <c r="CG44" i="24"/>
  <c r="LB44" i="24"/>
  <c r="AA45" i="24"/>
  <c r="AH45" i="24" s="1"/>
  <c r="LB45" i="24"/>
  <c r="AA46" i="24"/>
  <c r="AH46" i="24" s="1"/>
  <c r="LB46" i="24"/>
  <c r="AA47" i="24"/>
  <c r="AH47" i="24" s="1"/>
  <c r="LB48" i="24"/>
  <c r="AA48" i="24"/>
  <c r="AH48" i="24" s="1"/>
  <c r="AA40" i="24"/>
  <c r="AH40" i="24" s="1"/>
  <c r="CY115" i="24"/>
  <c r="CY114" i="24"/>
  <c r="CY110" i="24"/>
  <c r="CY106" i="24"/>
  <c r="CY116" i="24"/>
  <c r="CY112" i="24"/>
  <c r="CY102" i="24"/>
  <c r="CY109" i="24"/>
  <c r="CY105" i="24"/>
  <c r="CY100" i="24"/>
  <c r="CY88" i="24"/>
  <c r="CY87" i="24"/>
  <c r="CY117" i="24"/>
  <c r="CY103" i="24"/>
  <c r="CY99" i="24"/>
  <c r="CY97" i="24"/>
  <c r="CY95" i="24"/>
  <c r="CY93" i="24"/>
  <c r="CY91" i="24"/>
  <c r="CY113" i="24"/>
  <c r="CY108" i="24"/>
  <c r="CY104" i="24"/>
  <c r="CY101" i="24"/>
  <c r="CY98" i="24"/>
  <c r="CY96" i="24"/>
  <c r="CY94" i="24"/>
  <c r="CY92" i="24"/>
  <c r="CY90" i="24"/>
  <c r="CY82" i="24"/>
  <c r="CY107" i="24"/>
  <c r="CY89" i="24"/>
  <c r="CY111" i="24"/>
  <c r="CY84" i="24"/>
  <c r="CY78" i="24"/>
  <c r="CY85" i="24"/>
  <c r="CY79" i="24"/>
  <c r="CY83" i="24"/>
  <c r="CY77" i="24"/>
  <c r="CY74" i="24"/>
  <c r="CY86" i="24"/>
  <c r="CY81" i="24"/>
  <c r="CY76" i="24"/>
  <c r="CY80" i="24"/>
  <c r="CY75" i="24"/>
  <c r="CY73" i="24"/>
  <c r="AB41" i="24"/>
  <c r="AI41" i="24" s="1"/>
  <c r="CG41" i="24"/>
  <c r="AA42" i="24"/>
  <c r="AH42" i="24" s="1"/>
  <c r="DA117" i="24"/>
  <c r="DA116" i="24"/>
  <c r="DA112" i="24"/>
  <c r="DA108" i="24"/>
  <c r="DA114" i="24"/>
  <c r="DA110" i="24"/>
  <c r="DA109" i="24"/>
  <c r="DA107" i="24"/>
  <c r="DA106" i="24"/>
  <c r="DA104" i="24"/>
  <c r="DA101" i="24"/>
  <c r="DA111" i="24"/>
  <c r="DA98" i="24"/>
  <c r="DA96" i="24"/>
  <c r="DA94" i="24"/>
  <c r="DA92" i="24"/>
  <c r="DA115" i="24"/>
  <c r="DA105" i="24"/>
  <c r="DA103" i="24"/>
  <c r="DA102" i="24"/>
  <c r="DA100" i="24"/>
  <c r="DA99" i="24"/>
  <c r="DA97" i="24"/>
  <c r="DA95" i="24"/>
  <c r="DA93" i="24"/>
  <c r="DA91" i="24"/>
  <c r="DA89" i="24"/>
  <c r="DA113" i="24"/>
  <c r="DA90" i="24"/>
  <c r="DA85" i="24"/>
  <c r="DA87" i="24"/>
  <c r="DA88" i="24"/>
  <c r="DA86" i="24"/>
  <c r="DA83" i="24"/>
  <c r="DA82" i="24"/>
  <c r="DA81" i="24"/>
  <c r="DA80" i="24"/>
  <c r="DA76" i="24"/>
  <c r="DA73" i="24"/>
  <c r="DA84" i="24"/>
  <c r="DA77" i="24"/>
  <c r="DA79" i="24"/>
  <c r="DA75" i="24"/>
  <c r="DA78" i="24"/>
  <c r="DA74" i="24"/>
  <c r="IA42" i="24"/>
  <c r="AB43" i="24"/>
  <c r="AI43" i="24" s="1"/>
  <c r="DB116" i="24"/>
  <c r="DC115" i="24"/>
  <c r="DB115" i="24"/>
  <c r="DC114" i="24"/>
  <c r="DB111" i="24"/>
  <c r="DC110" i="24"/>
  <c r="DB107" i="24"/>
  <c r="DC106" i="24"/>
  <c r="DB117" i="24"/>
  <c r="DC116" i="24"/>
  <c r="DB113" i="24"/>
  <c r="DC112" i="24"/>
  <c r="DB114" i="24"/>
  <c r="DC108" i="24"/>
  <c r="DB103" i="24"/>
  <c r="DC102" i="24"/>
  <c r="DC117" i="24"/>
  <c r="DC113" i="24"/>
  <c r="DC111" i="24"/>
  <c r="DB108" i="24"/>
  <c r="DC105" i="24"/>
  <c r="DC101" i="24"/>
  <c r="DB98" i="24"/>
  <c r="DB96" i="24"/>
  <c r="DB94" i="24"/>
  <c r="DB92" i="24"/>
  <c r="DB90" i="24"/>
  <c r="DC88" i="24"/>
  <c r="DC87" i="24"/>
  <c r="DB112" i="24"/>
  <c r="DC107" i="24"/>
  <c r="DC104" i="24"/>
  <c r="DB101" i="24"/>
  <c r="DC100" i="24"/>
  <c r="DC99" i="24"/>
  <c r="DC97" i="24"/>
  <c r="DC95" i="24"/>
  <c r="DC93" i="24"/>
  <c r="DC91" i="24"/>
  <c r="DB110" i="24"/>
  <c r="DB109" i="24"/>
  <c r="DB106" i="24"/>
  <c r="DC98" i="24"/>
  <c r="DC96" i="24"/>
  <c r="DC94" i="24"/>
  <c r="DC92" i="24"/>
  <c r="DC90" i="24"/>
  <c r="DC103" i="24"/>
  <c r="DB102" i="24"/>
  <c r="DB100" i="24"/>
  <c r="DB97" i="24"/>
  <c r="DB89" i="24"/>
  <c r="DB87" i="24"/>
  <c r="DB84" i="24"/>
  <c r="DC82" i="24"/>
  <c r="DC109" i="24"/>
  <c r="DB99" i="24"/>
  <c r="DB91" i="24"/>
  <c r="DB105" i="24"/>
  <c r="DB104" i="24"/>
  <c r="DB95" i="24"/>
  <c r="DC89" i="24"/>
  <c r="DB85" i="24"/>
  <c r="DC84" i="24"/>
  <c r="DC86" i="24"/>
  <c r="DC78" i="24"/>
  <c r="DB77" i="24"/>
  <c r="DB74" i="24"/>
  <c r="DB88" i="24"/>
  <c r="DB86" i="24"/>
  <c r="DC83" i="24"/>
  <c r="DC79" i="24"/>
  <c r="DB78" i="24"/>
  <c r="DB93" i="24"/>
  <c r="DC85" i="24"/>
  <c r="DB82" i="24"/>
  <c r="DB81" i="24"/>
  <c r="DB80" i="24"/>
  <c r="DC77" i="24"/>
  <c r="DB76" i="24"/>
  <c r="DC74" i="24"/>
  <c r="DB73" i="24"/>
  <c r="DC81" i="24"/>
  <c r="DC73" i="24"/>
  <c r="DB83" i="24"/>
  <c r="DC75" i="24"/>
  <c r="DC76" i="24"/>
  <c r="DB75" i="24"/>
  <c r="DB79" i="24"/>
  <c r="DC80" i="24"/>
  <c r="AB44" i="24"/>
  <c r="AI44" i="24" s="1"/>
  <c r="CH44" i="24"/>
  <c r="AB45" i="24"/>
  <c r="AI45" i="24" s="1"/>
  <c r="HY45" i="24"/>
  <c r="LC45" i="24"/>
  <c r="AB46" i="24"/>
  <c r="AI46" i="24" s="1"/>
  <c r="HY46" i="24"/>
  <c r="LC46" i="24"/>
  <c r="AB47" i="24"/>
  <c r="AI47" i="24" s="1"/>
  <c r="LC47" i="24"/>
  <c r="AB48" i="24"/>
  <c r="AI48" i="24" s="1"/>
  <c r="LC48" i="24"/>
  <c r="HY40" i="24"/>
  <c r="FS42" i="24"/>
  <c r="CH47" i="24"/>
  <c r="CJ47" i="24" s="1"/>
  <c r="CH48" i="24"/>
  <c r="IA49" i="24"/>
  <c r="LC49" i="24"/>
  <c r="B49" i="24"/>
  <c r="A49" i="24" s="1"/>
  <c r="I57" i="24"/>
  <c r="M40" i="24"/>
  <c r="CG40" i="24"/>
  <c r="DZ40" i="24"/>
  <c r="EF79" i="24" s="1"/>
  <c r="CZ114" i="24"/>
  <c r="CZ117" i="24"/>
  <c r="CZ113" i="24"/>
  <c r="CZ109" i="24"/>
  <c r="CZ115" i="24"/>
  <c r="CZ111" i="24"/>
  <c r="CZ116" i="24"/>
  <c r="CZ105" i="24"/>
  <c r="CZ100" i="24"/>
  <c r="CZ107" i="24"/>
  <c r="CZ106" i="24"/>
  <c r="CZ104" i="24"/>
  <c r="CZ110" i="24"/>
  <c r="CZ103" i="24"/>
  <c r="CZ102" i="24"/>
  <c r="CZ99" i="24"/>
  <c r="CZ97" i="24"/>
  <c r="CZ95" i="24"/>
  <c r="CZ93" i="24"/>
  <c r="CZ91" i="24"/>
  <c r="CZ89" i="24"/>
  <c r="CZ88" i="24"/>
  <c r="CZ87" i="24"/>
  <c r="CZ86" i="24"/>
  <c r="CZ83" i="24"/>
  <c r="CZ92" i="24"/>
  <c r="CZ90" i="24"/>
  <c r="CZ108" i="24"/>
  <c r="CZ96" i="24"/>
  <c r="CZ82" i="24"/>
  <c r="CZ85" i="24"/>
  <c r="CZ79" i="24"/>
  <c r="CZ75" i="24"/>
  <c r="CZ81" i="24"/>
  <c r="CZ80" i="24"/>
  <c r="CZ101" i="24"/>
  <c r="CZ98" i="24"/>
  <c r="CZ94" i="24"/>
  <c r="CZ78" i="24"/>
  <c r="CZ112" i="24"/>
  <c r="CZ77" i="24"/>
  <c r="CZ76" i="24"/>
  <c r="CZ73" i="24"/>
  <c r="CZ74" i="24"/>
  <c r="CZ84" i="24"/>
  <c r="I52" i="24"/>
  <c r="AB50" i="24"/>
  <c r="AI50" i="24" s="1"/>
  <c r="CG50" i="24"/>
  <c r="HY50" i="24"/>
  <c r="CH51" i="24"/>
  <c r="CK51" i="24" s="1"/>
  <c r="EL51" i="24"/>
  <c r="HY51" i="24"/>
  <c r="CH52" i="24"/>
  <c r="IA52" i="24"/>
  <c r="B53" i="24"/>
  <c r="A53" i="24" s="1"/>
  <c r="LC53" i="24"/>
  <c r="AB54" i="24"/>
  <c r="AI54" i="24" s="1"/>
  <c r="CG54" i="24"/>
  <c r="HY54" i="24"/>
  <c r="B55" i="24"/>
  <c r="A55" i="24" s="1"/>
  <c r="LC55" i="24"/>
  <c r="AB56" i="24"/>
  <c r="AI56" i="24" s="1"/>
  <c r="AA49" i="24"/>
  <c r="AH49" i="24" s="1"/>
  <c r="CH50" i="24"/>
  <c r="B51" i="24"/>
  <c r="A51" i="24" s="1"/>
  <c r="IA51" i="24"/>
  <c r="B52" i="24"/>
  <c r="A52" i="24" s="1"/>
  <c r="LB52" i="24"/>
  <c r="AA53" i="24"/>
  <c r="AH53" i="24" s="1"/>
  <c r="CH54" i="24"/>
  <c r="IA54" i="24"/>
  <c r="LB54" i="24"/>
  <c r="AA55" i="24"/>
  <c r="AH55" i="24" s="1"/>
  <c r="CH56" i="24"/>
  <c r="CK56" i="24" s="1"/>
  <c r="LC56" i="24"/>
  <c r="LB50" i="24"/>
  <c r="AA51" i="24"/>
  <c r="AH51" i="24" s="1"/>
  <c r="LB51" i="24"/>
  <c r="AA52" i="24"/>
  <c r="AH52" i="24" s="1"/>
  <c r="AG52" i="24" s="1"/>
  <c r="LC52" i="24"/>
  <c r="AB53" i="24"/>
  <c r="AI53" i="24" s="1"/>
  <c r="AB55" i="24"/>
  <c r="AI55" i="24" s="1"/>
  <c r="HY55" i="24"/>
  <c r="LC57" i="24"/>
  <c r="B57" i="24"/>
  <c r="A57" i="24" s="1"/>
  <c r="I61" i="24"/>
  <c r="AA50" i="24"/>
  <c r="AH50" i="24" s="1"/>
  <c r="AB51" i="24"/>
  <c r="AI51" i="24" s="1"/>
  <c r="CG52" i="24"/>
  <c r="CH53" i="24"/>
  <c r="AA54" i="24"/>
  <c r="AH54" i="24" s="1"/>
  <c r="CH55" i="24"/>
  <c r="LB56" i="24"/>
  <c r="HY56" i="24"/>
  <c r="AA56" i="24"/>
  <c r="AH56" i="24" s="1"/>
  <c r="CH57" i="24"/>
  <c r="CK57" i="24" s="1"/>
  <c r="IA57" i="24"/>
  <c r="LB58" i="24"/>
  <c r="HY58" i="24"/>
  <c r="CG58" i="24"/>
  <c r="AB58" i="24"/>
  <c r="AI58" i="24" s="1"/>
  <c r="B59" i="24"/>
  <c r="A59" i="24" s="1"/>
  <c r="AA57" i="24"/>
  <c r="AH57" i="24" s="1"/>
  <c r="CH58" i="24"/>
  <c r="LB59" i="24"/>
  <c r="AA59" i="24"/>
  <c r="AH59" i="24" s="1"/>
  <c r="LB61" i="24"/>
  <c r="HY61" i="24"/>
  <c r="CG61" i="24"/>
  <c r="I63" i="24"/>
  <c r="AB59" i="24"/>
  <c r="AI59" i="24" s="1"/>
  <c r="IA60" i="24"/>
  <c r="CH60" i="24"/>
  <c r="LC60" i="24"/>
  <c r="CV70" i="24"/>
  <c r="CH59" i="24"/>
  <c r="CL59" i="24" s="1"/>
  <c r="LC59" i="24"/>
  <c r="AB60" i="24"/>
  <c r="AI60" i="24" s="1"/>
  <c r="I62" i="24"/>
  <c r="AG65" i="24"/>
  <c r="I65" i="24"/>
  <c r="HY60" i="24"/>
  <c r="CG60" i="24"/>
  <c r="AA60" i="24"/>
  <c r="AH60" i="24" s="1"/>
  <c r="IA61" i="24"/>
  <c r="CH61" i="24"/>
  <c r="LC61" i="24"/>
  <c r="B61" i="24"/>
  <c r="A61" i="24" s="1"/>
  <c r="LB63" i="24"/>
  <c r="LC67" i="24"/>
  <c r="B67" i="24"/>
  <c r="A67" i="24" s="1"/>
  <c r="AB67" i="24"/>
  <c r="AI67" i="24" s="1"/>
  <c r="IA67" i="24"/>
  <c r="CH67" i="24"/>
  <c r="IA63" i="24"/>
  <c r="CH63" i="24"/>
  <c r="LC63" i="24"/>
  <c r="B63" i="24"/>
  <c r="A63" i="24" s="1"/>
  <c r="I64" i="24"/>
  <c r="HY65" i="24"/>
  <c r="LB65" i="24"/>
  <c r="AJ68" i="24"/>
  <c r="H68" i="24"/>
  <c r="I69" i="24"/>
  <c r="LC65" i="24"/>
  <c r="IA65" i="24"/>
  <c r="CH65" i="24"/>
  <c r="B65" i="24"/>
  <c r="A65" i="24" s="1"/>
  <c r="AJ65" i="24"/>
  <c r="AK65" i="24" s="1"/>
  <c r="AN65" i="24" s="1"/>
  <c r="CG65" i="24"/>
  <c r="H65" i="24"/>
  <c r="HY66" i="24"/>
  <c r="CG66" i="24"/>
  <c r="LB66" i="24"/>
  <c r="AA66" i="24"/>
  <c r="AH66" i="24" s="1"/>
  <c r="CG62" i="24"/>
  <c r="HY62" i="24"/>
  <c r="CG64" i="24"/>
  <c r="HY64" i="24"/>
  <c r="B71" i="24"/>
  <c r="A71" i="24" s="1"/>
  <c r="IA71" i="24"/>
  <c r="CH71" i="24"/>
  <c r="IA72" i="24"/>
  <c r="B72" i="24"/>
  <c r="A72" i="24" s="1"/>
  <c r="CH72" i="24"/>
  <c r="CL72" i="24" s="1"/>
  <c r="CH73" i="24"/>
  <c r="CL73" i="24" s="1"/>
  <c r="IA73" i="24"/>
  <c r="B73" i="24"/>
  <c r="A73" i="24" s="1"/>
  <c r="AB73" i="24"/>
  <c r="AI73" i="24" s="1"/>
  <c r="LC73" i="24"/>
  <c r="AA73" i="24"/>
  <c r="AH73" i="24" s="1"/>
  <c r="H73" i="24" s="1"/>
  <c r="HY77" i="24"/>
  <c r="LB77" i="24"/>
  <c r="AA77" i="24"/>
  <c r="AH77" i="24" s="1"/>
  <c r="B87" i="24"/>
  <c r="A87" i="24" s="1"/>
  <c r="IA87" i="24"/>
  <c r="AB87" i="24"/>
  <c r="AI87" i="24" s="1"/>
  <c r="AA87" i="24"/>
  <c r="AH87" i="24" s="1"/>
  <c r="H87" i="24" s="1"/>
  <c r="HY68" i="24"/>
  <c r="CG68" i="24"/>
  <c r="LB68" i="24"/>
  <c r="LC69" i="24"/>
  <c r="B69" i="24"/>
  <c r="A69" i="24" s="1"/>
  <c r="HY82" i="24"/>
  <c r="LB82" i="24"/>
  <c r="AA82" i="24"/>
  <c r="AH82" i="24" s="1"/>
  <c r="I107" i="24"/>
  <c r="AA62" i="24"/>
  <c r="AH62" i="24" s="1"/>
  <c r="AA64" i="24"/>
  <c r="AH64" i="24" s="1"/>
  <c r="AG64" i="24" s="1"/>
  <c r="CH69" i="24"/>
  <c r="IA69" i="24"/>
  <c r="HY70" i="24"/>
  <c r="CG70" i="24"/>
  <c r="LB70" i="24"/>
  <c r="AB71" i="24"/>
  <c r="AI71" i="24" s="1"/>
  <c r="AB72" i="24"/>
  <c r="AI72" i="24" s="1"/>
  <c r="I82" i="24"/>
  <c r="CH66" i="24"/>
  <c r="IA66" i="24"/>
  <c r="AA67" i="24"/>
  <c r="AH67" i="24" s="1"/>
  <c r="CH68" i="24"/>
  <c r="IA68" i="24"/>
  <c r="AA69" i="24"/>
  <c r="AH69" i="24" s="1"/>
  <c r="CH70" i="24"/>
  <c r="IA70" i="24"/>
  <c r="AA71" i="24"/>
  <c r="AH71" i="24" s="1"/>
  <c r="LB71" i="24"/>
  <c r="AA72" i="24"/>
  <c r="AH72" i="24" s="1"/>
  <c r="H72" i="24" s="1"/>
  <c r="LB72" i="24"/>
  <c r="HY73" i="24"/>
  <c r="LB73" i="24"/>
  <c r="IA79" i="24"/>
  <c r="B79" i="24"/>
  <c r="A79" i="24" s="1"/>
  <c r="LC79" i="24"/>
  <c r="HY78" i="24"/>
  <c r="LB78" i="24"/>
  <c r="AA78" i="24"/>
  <c r="AH78" i="24" s="1"/>
  <c r="H78" i="24" s="1"/>
  <c r="CG71" i="24"/>
  <c r="LC74" i="24"/>
  <c r="B74" i="24"/>
  <c r="A74" i="24" s="1"/>
  <c r="CK74" i="24"/>
  <c r="IA74" i="24"/>
  <c r="LB75" i="24"/>
  <c r="CG75" i="24"/>
  <c r="I77" i="24"/>
  <c r="I79" i="24"/>
  <c r="I110" i="24"/>
  <c r="CH75" i="24"/>
  <c r="LC75" i="24"/>
  <c r="AB76" i="24"/>
  <c r="AI76" i="24" s="1"/>
  <c r="B78" i="24"/>
  <c r="A78" i="24" s="1"/>
  <c r="IA78" i="24"/>
  <c r="AA79" i="24"/>
  <c r="AH79" i="24" s="1"/>
  <c r="H79" i="24" s="1"/>
  <c r="AB80" i="24"/>
  <c r="AI80" i="24" s="1"/>
  <c r="AB81" i="24"/>
  <c r="AI81" i="24" s="1"/>
  <c r="IA86" i="24"/>
  <c r="B86" i="24"/>
  <c r="A86" i="24" s="1"/>
  <c r="LC86" i="24"/>
  <c r="I91" i="24"/>
  <c r="I100" i="24"/>
  <c r="HY102" i="24"/>
  <c r="AA102" i="24"/>
  <c r="AH102" i="24" s="1"/>
  <c r="H102" i="24" s="1"/>
  <c r="IA82" i="24"/>
  <c r="B82" i="24"/>
  <c r="A82" i="24" s="1"/>
  <c r="LC82" i="24"/>
  <c r="LB84" i="24"/>
  <c r="HY84" i="24"/>
  <c r="B89" i="24"/>
  <c r="AB89" i="24"/>
  <c r="AI89" i="24" s="1"/>
  <c r="IA89" i="24"/>
  <c r="HS91" i="24"/>
  <c r="HQ90" i="24"/>
  <c r="HR91" i="24"/>
  <c r="HR90" i="24"/>
  <c r="HS90" i="24"/>
  <c r="HQ91" i="24"/>
  <c r="HS92" i="24"/>
  <c r="AA100" i="24"/>
  <c r="AH100" i="24" s="1"/>
  <c r="H100" i="24" s="1"/>
  <c r="HY100" i="24"/>
  <c r="AB75" i="24"/>
  <c r="AI75" i="24" s="1"/>
  <c r="AA80" i="24"/>
  <c r="AH80" i="24" s="1"/>
  <c r="H80" i="24" s="1"/>
  <c r="AA81" i="24"/>
  <c r="AH81" i="24" s="1"/>
  <c r="H81" i="24" s="1"/>
  <c r="LC83" i="24"/>
  <c r="B83" i="24"/>
  <c r="A83" i="24" s="1"/>
  <c r="IA91" i="24"/>
  <c r="IA99" i="24"/>
  <c r="AB99" i="24"/>
  <c r="AI99" i="24" s="1"/>
  <c r="LC84" i="24"/>
  <c r="AB85" i="24"/>
  <c r="AI85" i="24" s="1"/>
  <c r="LB85" i="24"/>
  <c r="AA86" i="24"/>
  <c r="AH86" i="24" s="1"/>
  <c r="H86" i="24" s="1"/>
  <c r="Q86" i="24" s="1"/>
  <c r="AA88" i="24"/>
  <c r="AH88" i="24" s="1"/>
  <c r="H88" i="24" s="1"/>
  <c r="HY88" i="24"/>
  <c r="HS93" i="24"/>
  <c r="S124" i="24"/>
  <c r="HS89" i="24"/>
  <c r="HR88" i="24"/>
  <c r="HS88" i="24"/>
  <c r="HQ89" i="24"/>
  <c r="I95" i="24"/>
  <c r="I105" i="24"/>
  <c r="S120" i="24"/>
  <c r="S129" i="24"/>
  <c r="T129" i="24" s="1"/>
  <c r="U129" i="24" s="1"/>
  <c r="AB84" i="24"/>
  <c r="AI84" i="24" s="1"/>
  <c r="AA85" i="24"/>
  <c r="AH85" i="24" s="1"/>
  <c r="H85" i="24" s="1"/>
  <c r="HQ88" i="24"/>
  <c r="HR89" i="24"/>
  <c r="HY90" i="24"/>
  <c r="IA106" i="24"/>
  <c r="AB106" i="24"/>
  <c r="AI106" i="24" s="1"/>
  <c r="IA109" i="24"/>
  <c r="AB109" i="24"/>
  <c r="AI109" i="24" s="1"/>
  <c r="HY113" i="24"/>
  <c r="AA89" i="24"/>
  <c r="AH89" i="24" s="1"/>
  <c r="H89" i="24" s="1"/>
  <c r="AA91" i="24"/>
  <c r="AH91" i="24" s="1"/>
  <c r="H91" i="24" s="1"/>
  <c r="HR92" i="24"/>
  <c r="AA93" i="24"/>
  <c r="AH93" i="24" s="1"/>
  <c r="H93" i="24" s="1"/>
  <c r="HR94" i="24"/>
  <c r="AA95" i="24"/>
  <c r="AH95" i="24" s="1"/>
  <c r="H95" i="24" s="1"/>
  <c r="HR96" i="24"/>
  <c r="AA97" i="24"/>
  <c r="AH97" i="24" s="1"/>
  <c r="H97" i="24" s="1"/>
  <c r="AA99" i="24"/>
  <c r="AH99" i="24" s="1"/>
  <c r="H99" i="24" s="1"/>
  <c r="HY99" i="24"/>
  <c r="I118" i="24"/>
  <c r="HY125" i="24"/>
  <c r="S125" i="24"/>
  <c r="T125" i="24" s="1"/>
  <c r="AA92" i="24"/>
  <c r="AH92" i="24" s="1"/>
  <c r="H92" i="24" s="1"/>
  <c r="HY92" i="24"/>
  <c r="HR93" i="24"/>
  <c r="AA94" i="24"/>
  <c r="AH94" i="24" s="1"/>
  <c r="H94" i="24" s="1"/>
  <c r="HY94" i="24"/>
  <c r="HR95" i="24"/>
  <c r="HO95" i="24" s="1"/>
  <c r="AA96" i="24"/>
  <c r="AH96" i="24" s="1"/>
  <c r="H96" i="24" s="1"/>
  <c r="HY96" i="24"/>
  <c r="AA98" i="24"/>
  <c r="AH98" i="24" s="1"/>
  <c r="H98" i="24" s="1"/>
  <c r="HY98" i="24"/>
  <c r="HY105" i="24"/>
  <c r="AA111" i="24"/>
  <c r="AH111" i="24" s="1"/>
  <c r="H111" i="24" s="1"/>
  <c r="Q111" i="24" s="1"/>
  <c r="IC121" i="24"/>
  <c r="AB90" i="24"/>
  <c r="AI90" i="24" s="1"/>
  <c r="AB92" i="24"/>
  <c r="AI92" i="24" s="1"/>
  <c r="HQ92" i="24"/>
  <c r="AB94" i="24"/>
  <c r="AI94" i="24" s="1"/>
  <c r="HQ94" i="24"/>
  <c r="AB96" i="24"/>
  <c r="AI96" i="24" s="1"/>
  <c r="HQ96" i="24"/>
  <c r="AB98" i="24"/>
  <c r="AI98" i="24" s="1"/>
  <c r="AB102" i="24"/>
  <c r="AI102" i="24" s="1"/>
  <c r="I116" i="24"/>
  <c r="IC126" i="24"/>
  <c r="S127" i="24"/>
  <c r="HY164" i="24"/>
  <c r="IL164" i="24" s="1"/>
  <c r="IL168" i="24"/>
  <c r="HY168" i="24"/>
  <c r="IL172" i="24"/>
  <c r="HY172" i="24"/>
  <c r="IL176" i="24"/>
  <c r="HY176" i="24"/>
  <c r="AA110" i="24"/>
  <c r="AH110" i="24" s="1"/>
  <c r="H110" i="24" s="1"/>
  <c r="HY110" i="24"/>
  <c r="AA115" i="24"/>
  <c r="AH115" i="24" s="1"/>
  <c r="H115" i="24" s="1"/>
  <c r="T121" i="24"/>
  <c r="U121" i="24" s="1"/>
  <c r="AA101" i="24"/>
  <c r="AH101" i="24" s="1"/>
  <c r="H101" i="24" s="1"/>
  <c r="Q101" i="24" s="1"/>
  <c r="AA104" i="24"/>
  <c r="AH104" i="24" s="1"/>
  <c r="H104" i="24" s="1"/>
  <c r="S123" i="24"/>
  <c r="T123" i="24" s="1"/>
  <c r="U123" i="24" s="1"/>
  <c r="T126" i="24"/>
  <c r="HY128" i="24"/>
  <c r="S128" i="24"/>
  <c r="AA114" i="24"/>
  <c r="AH114" i="24" s="1"/>
  <c r="H114" i="24" s="1"/>
  <c r="HY129" i="24"/>
  <c r="HY163" i="24"/>
  <c r="IL163" i="24" s="1"/>
  <c r="IL167" i="24"/>
  <c r="HY167" i="24"/>
  <c r="IL171" i="24"/>
  <c r="HY171" i="24"/>
  <c r="IL175" i="24"/>
  <c r="HY175" i="24"/>
  <c r="AA108" i="24"/>
  <c r="AH108" i="24" s="1"/>
  <c r="H108" i="24" s="1"/>
  <c r="AA112" i="24"/>
  <c r="AH112" i="24" s="1"/>
  <c r="H112" i="24" s="1"/>
  <c r="AA116" i="24"/>
  <c r="AH116" i="24" s="1"/>
  <c r="H116" i="24" s="1"/>
  <c r="IA116" i="24"/>
  <c r="HY117" i="24"/>
  <c r="HY120" i="24"/>
  <c r="HY123" i="24"/>
  <c r="HY126" i="24"/>
  <c r="HY161" i="24"/>
  <c r="IL161" i="24" s="1"/>
  <c r="HY165" i="24"/>
  <c r="IL165" i="24" s="1"/>
  <c r="IL169" i="24"/>
  <c r="HY169" i="24"/>
  <c r="IL173" i="24"/>
  <c r="HY173" i="24"/>
  <c r="IL177" i="24"/>
  <c r="HY177" i="24"/>
  <c r="AA117" i="24"/>
  <c r="AH117" i="24" s="1"/>
  <c r="H117" i="24" s="1"/>
  <c r="S131" i="24"/>
  <c r="HY162" i="24"/>
  <c r="IL162" i="24" s="1"/>
  <c r="HY166" i="24"/>
  <c r="IL166" i="24" s="1"/>
  <c r="IL170" i="24"/>
  <c r="HY170" i="24"/>
  <c r="IL174" i="24"/>
  <c r="HY174" i="24"/>
  <c r="IL178" i="24"/>
  <c r="HY178" i="24"/>
  <c r="HY130" i="24"/>
  <c r="DO496" i="17"/>
  <c r="DO495" i="17"/>
  <c r="DO494" i="17"/>
  <c r="DO493" i="17"/>
  <c r="DO492" i="17"/>
  <c r="DO491" i="17"/>
  <c r="DO490" i="17"/>
  <c r="DO489" i="17"/>
  <c r="DO488" i="17"/>
  <c r="DO487" i="17"/>
  <c r="DO486" i="17"/>
  <c r="DO485" i="17"/>
  <c r="DO484" i="17"/>
  <c r="DO483" i="17"/>
  <c r="DO482" i="17"/>
  <c r="DO481" i="17"/>
  <c r="DO480" i="17"/>
  <c r="DO479" i="17"/>
  <c r="DO478" i="17"/>
  <c r="DO477" i="17"/>
  <c r="DO476" i="17"/>
  <c r="DO475" i="17"/>
  <c r="DO474" i="17"/>
  <c r="DO473" i="17"/>
  <c r="DO472" i="17"/>
  <c r="DO471" i="17"/>
  <c r="DO470" i="17"/>
  <c r="DO469" i="17"/>
  <c r="DO468" i="17"/>
  <c r="DO467" i="17"/>
  <c r="DO466" i="17"/>
  <c r="DO465" i="17"/>
  <c r="DO464" i="17"/>
  <c r="DO463" i="17"/>
  <c r="DO462" i="17"/>
  <c r="DO461" i="17"/>
  <c r="DO460" i="17"/>
  <c r="DO459" i="17"/>
  <c r="DO458" i="17"/>
  <c r="DO457" i="17"/>
  <c r="DO456" i="17"/>
  <c r="DO455" i="17"/>
  <c r="DO454" i="17"/>
  <c r="DO453" i="17"/>
  <c r="DO452" i="17"/>
  <c r="DO451" i="17"/>
  <c r="DO450" i="17"/>
  <c r="DO449" i="17"/>
  <c r="DO448" i="17"/>
  <c r="DO447" i="17"/>
  <c r="DO446" i="17"/>
  <c r="DO445" i="17"/>
  <c r="DO444" i="17"/>
  <c r="DO443" i="17"/>
  <c r="DO442" i="17"/>
  <c r="DO441" i="17"/>
  <c r="DO440" i="17"/>
  <c r="DO439" i="17"/>
  <c r="DO438" i="17"/>
  <c r="DO437" i="17"/>
  <c r="DO436" i="17"/>
  <c r="DO435" i="17"/>
  <c r="DO434" i="17"/>
  <c r="DO433" i="17"/>
  <c r="DO432" i="17"/>
  <c r="DO431" i="17"/>
  <c r="DO430" i="17"/>
  <c r="DO429" i="17"/>
  <c r="DO428" i="17"/>
  <c r="DO427" i="17"/>
  <c r="DO426" i="17"/>
  <c r="DO425" i="17"/>
  <c r="DO424" i="17"/>
  <c r="DO423" i="17"/>
  <c r="DO422" i="17"/>
  <c r="DO421" i="17"/>
  <c r="DO420" i="17"/>
  <c r="DO419" i="17"/>
  <c r="DO418" i="17"/>
  <c r="DO417" i="17"/>
  <c r="DO416" i="17"/>
  <c r="DO415" i="17"/>
  <c r="DO414" i="17"/>
  <c r="DO413" i="17"/>
  <c r="DO412" i="17"/>
  <c r="DO411" i="17"/>
  <c r="DO410" i="17"/>
  <c r="DO409" i="17"/>
  <c r="DO408" i="17"/>
  <c r="DO407" i="17"/>
  <c r="DO406" i="17"/>
  <c r="DO405" i="17"/>
  <c r="DO404" i="17"/>
  <c r="DO403" i="17"/>
  <c r="DO402" i="17"/>
  <c r="DO401" i="17"/>
  <c r="DO400" i="17"/>
  <c r="DO399" i="17"/>
  <c r="DO398" i="17"/>
  <c r="DO397" i="17"/>
  <c r="DO396" i="17"/>
  <c r="DO395" i="17"/>
  <c r="DO394" i="17"/>
  <c r="DO393" i="17"/>
  <c r="DO392" i="17"/>
  <c r="DO391" i="17"/>
  <c r="DO390" i="17"/>
  <c r="DO389" i="17"/>
  <c r="DO388" i="17"/>
  <c r="DO387" i="17"/>
  <c r="DO386" i="17"/>
  <c r="DO385" i="17"/>
  <c r="DO384" i="17"/>
  <c r="DO383" i="17"/>
  <c r="DO382" i="17"/>
  <c r="DO381" i="17"/>
  <c r="DO380" i="17"/>
  <c r="DO379" i="17"/>
  <c r="DO378" i="17"/>
  <c r="DO377" i="17"/>
  <c r="DO376" i="17"/>
  <c r="DO375" i="17"/>
  <c r="DO374" i="17"/>
  <c r="DO373" i="17"/>
  <c r="DO372" i="17"/>
  <c r="DO371" i="17"/>
  <c r="DO370" i="17"/>
  <c r="DO369" i="17"/>
  <c r="DO368" i="17"/>
  <c r="DO367" i="17"/>
  <c r="DO366" i="17"/>
  <c r="DO365" i="17"/>
  <c r="DO364" i="17"/>
  <c r="DO363" i="17"/>
  <c r="DO362" i="17"/>
  <c r="DO361" i="17"/>
  <c r="DO360" i="17"/>
  <c r="DO359" i="17"/>
  <c r="DO358" i="17"/>
  <c r="DO357" i="17"/>
  <c r="DQ356" i="17"/>
  <c r="DQ355" i="17"/>
  <c r="DQ354" i="17"/>
  <c r="DQ353" i="17"/>
  <c r="DQ352" i="17"/>
  <c r="DQ351" i="17"/>
  <c r="DQ350" i="17"/>
  <c r="DQ349" i="17"/>
  <c r="DQ348" i="17"/>
  <c r="DQ347" i="17"/>
  <c r="DR346" i="17"/>
  <c r="DR345" i="17"/>
  <c r="DR344" i="17"/>
  <c r="DR343" i="17"/>
  <c r="DK343" i="17"/>
  <c r="DR342" i="17"/>
  <c r="DK342" i="17"/>
  <c r="DR341" i="17"/>
  <c r="DK341" i="17"/>
  <c r="DR340" i="17"/>
  <c r="DK340" i="17"/>
  <c r="DR339" i="17"/>
  <c r="DK339" i="17"/>
  <c r="DR338" i="17"/>
  <c r="DK338" i="17"/>
  <c r="DR337" i="17"/>
  <c r="DK337" i="17"/>
  <c r="DR336" i="17"/>
  <c r="DK336" i="17"/>
  <c r="DR335" i="17"/>
  <c r="DK335" i="17"/>
  <c r="DR334" i="17"/>
  <c r="DK334" i="17"/>
  <c r="DR333" i="17"/>
  <c r="DK333" i="17"/>
  <c r="DR332" i="17"/>
  <c r="DK332" i="17"/>
  <c r="DR331" i="17"/>
  <c r="DK331" i="17"/>
  <c r="DR330" i="17"/>
  <c r="DK330" i="17"/>
  <c r="DR329" i="17"/>
  <c r="DK329" i="17"/>
  <c r="DR328" i="17"/>
  <c r="DK328" i="17"/>
  <c r="DR327" i="17"/>
  <c r="DK327" i="17"/>
  <c r="DR326" i="17"/>
  <c r="DK326" i="17"/>
  <c r="DR325" i="17"/>
  <c r="DK325" i="17"/>
  <c r="DR324" i="17"/>
  <c r="DK324" i="17"/>
  <c r="DR323" i="17"/>
  <c r="DK323" i="17"/>
  <c r="DR322" i="17"/>
  <c r="DK322" i="17"/>
  <c r="DR321" i="17"/>
  <c r="DK321" i="17"/>
  <c r="DR320" i="17"/>
  <c r="DK320" i="17"/>
  <c r="DR319" i="17"/>
  <c r="DK319" i="17"/>
  <c r="DR318" i="17"/>
  <c r="DK318" i="17"/>
  <c r="DR317" i="17"/>
  <c r="DK317" i="17"/>
  <c r="DR316" i="17"/>
  <c r="DK316" i="17"/>
  <c r="DR315" i="17"/>
  <c r="DK315" i="17"/>
  <c r="DR314" i="17"/>
  <c r="DK314" i="17"/>
  <c r="DR313" i="17"/>
  <c r="DK313" i="17"/>
  <c r="DR312" i="17"/>
  <c r="DK312" i="17"/>
  <c r="DR311" i="17"/>
  <c r="DK311" i="17"/>
  <c r="DR310" i="17"/>
  <c r="DK310" i="17"/>
  <c r="DR309" i="17"/>
  <c r="DK309" i="17"/>
  <c r="DR308" i="17"/>
  <c r="DK308" i="17"/>
  <c r="DR307" i="17"/>
  <c r="DK307" i="17"/>
  <c r="DR306" i="17"/>
  <c r="DK306" i="17"/>
  <c r="DR305" i="17"/>
  <c r="DK305" i="17"/>
  <c r="DR304" i="17"/>
  <c r="DK304" i="17"/>
  <c r="DR303" i="17"/>
  <c r="DK303" i="17"/>
  <c r="DR302" i="17"/>
  <c r="DK302" i="17"/>
  <c r="DR301" i="17"/>
  <c r="DK301" i="17"/>
  <c r="DR300" i="17"/>
  <c r="DK300" i="17"/>
  <c r="DR299" i="17"/>
  <c r="DK299" i="17"/>
  <c r="DR298" i="17"/>
  <c r="DK298" i="17"/>
  <c r="DR297" i="17"/>
  <c r="DK297" i="17"/>
  <c r="DR296" i="17"/>
  <c r="DK296" i="17"/>
  <c r="DR295" i="17"/>
  <c r="DK295" i="17"/>
  <c r="DR294" i="17"/>
  <c r="DK294" i="17"/>
  <c r="DR293" i="17"/>
  <c r="DK293" i="17"/>
  <c r="DR292" i="17"/>
  <c r="DK292" i="17"/>
  <c r="DR291" i="17"/>
  <c r="DK291" i="17"/>
  <c r="DR290" i="17"/>
  <c r="DK290" i="17"/>
  <c r="DR289" i="17"/>
  <c r="DK289" i="17"/>
  <c r="DR288" i="17"/>
  <c r="DK288" i="17"/>
  <c r="DR287" i="17"/>
  <c r="DK287" i="17"/>
  <c r="DR286" i="17"/>
  <c r="DK286" i="17"/>
  <c r="DR285" i="17"/>
  <c r="DK285" i="17"/>
  <c r="DR284" i="17"/>
  <c r="DK284" i="17"/>
  <c r="DR283" i="17"/>
  <c r="DK283" i="17"/>
  <c r="E283" i="17"/>
  <c r="DR282" i="17"/>
  <c r="DK282" i="17"/>
  <c r="E282" i="17"/>
  <c r="DK281" i="17"/>
  <c r="E281" i="17"/>
  <c r="DK280" i="17"/>
  <c r="E280" i="17"/>
  <c r="DK279" i="17"/>
  <c r="E279" i="17"/>
  <c r="DK278" i="17"/>
  <c r="E278" i="17"/>
  <c r="DK277" i="17"/>
  <c r="E277" i="17"/>
  <c r="DK276" i="17"/>
  <c r="E276" i="17"/>
  <c r="DK275" i="17"/>
  <c r="DK274" i="17"/>
  <c r="DK273" i="17"/>
  <c r="DK272" i="17"/>
  <c r="DK271" i="17"/>
  <c r="DK270" i="17"/>
  <c r="DK269" i="17"/>
  <c r="DK268" i="17"/>
  <c r="DK267" i="17"/>
  <c r="DK266" i="17"/>
  <c r="DK265" i="17"/>
  <c r="DK264" i="17"/>
  <c r="DK263" i="17"/>
  <c r="DK262" i="17"/>
  <c r="DK261" i="17"/>
  <c r="DK260" i="17"/>
  <c r="DK259" i="17"/>
  <c r="DK258" i="17"/>
  <c r="F258" i="17"/>
  <c r="E258" i="17"/>
  <c r="D258" i="17" s="1"/>
  <c r="DK257" i="17"/>
  <c r="F257" i="17"/>
  <c r="E257" i="17"/>
  <c r="D257" i="17" s="1"/>
  <c r="DK256" i="17"/>
  <c r="F256" i="17"/>
  <c r="E256" i="17"/>
  <c r="D256" i="17" s="1"/>
  <c r="DK255" i="17"/>
  <c r="F255" i="17"/>
  <c r="E255" i="17"/>
  <c r="D255" i="17" s="1"/>
  <c r="DK254" i="17"/>
  <c r="F254" i="17"/>
  <c r="E254" i="17"/>
  <c r="D254" i="17" s="1"/>
  <c r="DK253" i="17"/>
  <c r="F253" i="17"/>
  <c r="E253" i="17"/>
  <c r="D253" i="17" s="1"/>
  <c r="DK252" i="17"/>
  <c r="F252" i="17"/>
  <c r="E252" i="17"/>
  <c r="D252" i="17" s="1"/>
  <c r="DK251" i="17"/>
  <c r="F251" i="17"/>
  <c r="E251" i="17"/>
  <c r="D251" i="17" s="1"/>
  <c r="DK250" i="17"/>
  <c r="F250" i="17"/>
  <c r="E250" i="17"/>
  <c r="D250" i="17" s="1"/>
  <c r="DK249" i="17"/>
  <c r="F249" i="17"/>
  <c r="E249" i="17"/>
  <c r="D249" i="17" s="1"/>
  <c r="DK248" i="17"/>
  <c r="F248" i="17"/>
  <c r="E248" i="17"/>
  <c r="D248" i="17" s="1"/>
  <c r="DK247" i="17"/>
  <c r="F247" i="17"/>
  <c r="E247" i="17"/>
  <c r="D247" i="17" s="1"/>
  <c r="DK246" i="17"/>
  <c r="F246" i="17"/>
  <c r="E246" i="17"/>
  <c r="D246" i="17" s="1"/>
  <c r="DK245" i="17"/>
  <c r="F245" i="17"/>
  <c r="E245" i="17"/>
  <c r="D245" i="17"/>
  <c r="DK244" i="17"/>
  <c r="F244" i="17"/>
  <c r="E244" i="17"/>
  <c r="D244" i="17"/>
  <c r="DK243" i="17"/>
  <c r="F243" i="17"/>
  <c r="E243" i="17"/>
  <c r="D243" i="17" s="1"/>
  <c r="DK242" i="17"/>
  <c r="F242" i="17"/>
  <c r="E242" i="17"/>
  <c r="D242" i="17" s="1"/>
  <c r="DK241" i="17"/>
  <c r="F241" i="17"/>
  <c r="E241" i="17"/>
  <c r="D241" i="17" s="1"/>
  <c r="DK240" i="17"/>
  <c r="F240" i="17"/>
  <c r="E240" i="17"/>
  <c r="D240" i="17" s="1"/>
  <c r="DK239" i="17"/>
  <c r="F239" i="17"/>
  <c r="E239" i="17"/>
  <c r="D239" i="17" s="1"/>
  <c r="DK238" i="17"/>
  <c r="F238" i="17"/>
  <c r="E238" i="17"/>
  <c r="D238" i="17" s="1"/>
  <c r="DK237" i="17"/>
  <c r="F237" i="17"/>
  <c r="E237" i="17"/>
  <c r="D237" i="17" s="1"/>
  <c r="DK236" i="17"/>
  <c r="F236" i="17"/>
  <c r="E236" i="17"/>
  <c r="D236" i="17" s="1"/>
  <c r="DK235" i="17"/>
  <c r="F235" i="17"/>
  <c r="E235" i="17"/>
  <c r="D235" i="17" s="1"/>
  <c r="DK234" i="17"/>
  <c r="F234" i="17"/>
  <c r="E234" i="17"/>
  <c r="D234" i="17" s="1"/>
  <c r="DN233" i="17"/>
  <c r="DK233" i="17"/>
  <c r="F233" i="17"/>
  <c r="E233" i="17"/>
  <c r="D233" i="17" s="1"/>
  <c r="DN232" i="17"/>
  <c r="DK232" i="17"/>
  <c r="F232" i="17"/>
  <c r="E232" i="17"/>
  <c r="D232" i="17" s="1"/>
  <c r="DN231" i="17"/>
  <c r="DK231" i="17"/>
  <c r="F231" i="17"/>
  <c r="E231" i="17"/>
  <c r="D231" i="17" s="1"/>
  <c r="DN230" i="17"/>
  <c r="DK230" i="17"/>
  <c r="F230" i="17"/>
  <c r="E230" i="17"/>
  <c r="D230" i="17" s="1"/>
  <c r="DN229" i="17"/>
  <c r="DK229" i="17"/>
  <c r="F229" i="17"/>
  <c r="E229" i="17"/>
  <c r="D229" i="17" s="1"/>
  <c r="DN228" i="17"/>
  <c r="DK228" i="17"/>
  <c r="F228" i="17"/>
  <c r="E228" i="17"/>
  <c r="D228" i="17" s="1"/>
  <c r="DN227" i="17"/>
  <c r="DK227" i="17"/>
  <c r="F227" i="17"/>
  <c r="E227" i="17"/>
  <c r="D227" i="17" s="1"/>
  <c r="DN226" i="17"/>
  <c r="DO226" i="17" s="1"/>
  <c r="DK226" i="17"/>
  <c r="F226" i="17"/>
  <c r="E226" i="17"/>
  <c r="D226" i="17" s="1"/>
  <c r="DN225" i="17"/>
  <c r="DO225" i="17" s="1"/>
  <c r="DK225" i="17"/>
  <c r="F225" i="17"/>
  <c r="E225" i="17"/>
  <c r="D225" i="17" s="1"/>
  <c r="DN224" i="17"/>
  <c r="DO224" i="17" s="1"/>
  <c r="DK224" i="17"/>
  <c r="F224" i="17"/>
  <c r="E224" i="17"/>
  <c r="D224" i="17" s="1"/>
  <c r="DN223" i="17"/>
  <c r="DO223" i="17" s="1"/>
  <c r="DK223" i="17"/>
  <c r="F223" i="17"/>
  <c r="E223" i="17"/>
  <c r="D223" i="17"/>
  <c r="DN222" i="17"/>
  <c r="DO222" i="17" s="1"/>
  <c r="DK222" i="17"/>
  <c r="F222" i="17"/>
  <c r="E222" i="17"/>
  <c r="D222" i="17" s="1"/>
  <c r="DN221" i="17"/>
  <c r="DO221" i="17" s="1"/>
  <c r="DK221" i="17"/>
  <c r="F221" i="17"/>
  <c r="E221" i="17"/>
  <c r="D221" i="17"/>
  <c r="DN220" i="17"/>
  <c r="DO220" i="17" s="1"/>
  <c r="DK220" i="17"/>
  <c r="F220" i="17"/>
  <c r="E220" i="17"/>
  <c r="D220" i="17" s="1"/>
  <c r="DN219" i="17"/>
  <c r="DO219" i="17" s="1"/>
  <c r="DK219" i="17"/>
  <c r="F219" i="17"/>
  <c r="E219" i="17"/>
  <c r="D219" i="17" s="1"/>
  <c r="DN218" i="17"/>
  <c r="DO218" i="17" s="1"/>
  <c r="DK218" i="17"/>
  <c r="F218" i="17"/>
  <c r="E218" i="17"/>
  <c r="D218" i="17" s="1"/>
  <c r="DN217" i="17"/>
  <c r="DO217" i="17" s="1"/>
  <c r="DK217" i="17"/>
  <c r="F217" i="17"/>
  <c r="E217" i="17"/>
  <c r="D217" i="17" s="1"/>
  <c r="DN216" i="17"/>
  <c r="DO216" i="17" s="1"/>
  <c r="DK216" i="17"/>
  <c r="F216" i="17"/>
  <c r="E216" i="17"/>
  <c r="D216" i="17" s="1"/>
  <c r="DN215" i="17"/>
  <c r="DO215" i="17" s="1"/>
  <c r="DK215" i="17"/>
  <c r="F215" i="17"/>
  <c r="E215" i="17"/>
  <c r="D215" i="17" s="1"/>
  <c r="DN214" i="17"/>
  <c r="DO214" i="17" s="1"/>
  <c r="DK214" i="17"/>
  <c r="F214" i="17"/>
  <c r="E214" i="17"/>
  <c r="D214" i="17" s="1"/>
  <c r="DN213" i="17"/>
  <c r="DO213" i="17" s="1"/>
  <c r="DK213" i="17"/>
  <c r="F213" i="17"/>
  <c r="E213" i="17"/>
  <c r="D213" i="17" s="1"/>
  <c r="DN212" i="17"/>
  <c r="DO212" i="17" s="1"/>
  <c r="DK212" i="17"/>
  <c r="F212" i="17"/>
  <c r="E212" i="17"/>
  <c r="D212" i="17" s="1"/>
  <c r="DN211" i="17"/>
  <c r="DO211" i="17" s="1"/>
  <c r="DK211" i="17"/>
  <c r="F211" i="17"/>
  <c r="E211" i="17"/>
  <c r="D211" i="17" s="1"/>
  <c r="DN210" i="17"/>
  <c r="DO210" i="17" s="1"/>
  <c r="DK210" i="17"/>
  <c r="F210" i="17"/>
  <c r="E210" i="17"/>
  <c r="D210" i="17" s="1"/>
  <c r="DN209" i="17"/>
  <c r="DO209" i="17" s="1"/>
  <c r="DK209" i="17"/>
  <c r="F209" i="17"/>
  <c r="E209" i="17"/>
  <c r="D209" i="17" s="1"/>
  <c r="DN208" i="17"/>
  <c r="DO208" i="17" s="1"/>
  <c r="DK208" i="17"/>
  <c r="F208" i="17"/>
  <c r="E208" i="17"/>
  <c r="D208" i="17" s="1"/>
  <c r="DN207" i="17"/>
  <c r="DO207" i="17" s="1"/>
  <c r="DK207" i="17"/>
  <c r="F207" i="17"/>
  <c r="E207" i="17"/>
  <c r="D207" i="17" s="1"/>
  <c r="DN206" i="17"/>
  <c r="DO206" i="17" s="1"/>
  <c r="DK206" i="17"/>
  <c r="F206" i="17"/>
  <c r="E206" i="17"/>
  <c r="D206" i="17" s="1"/>
  <c r="DN205" i="17"/>
  <c r="DO205" i="17" s="1"/>
  <c r="DK205" i="17"/>
  <c r="F205" i="17"/>
  <c r="E205" i="17"/>
  <c r="D205" i="17" s="1"/>
  <c r="DO204" i="17"/>
  <c r="DN204" i="17"/>
  <c r="DK204" i="17"/>
  <c r="F204" i="17"/>
  <c r="E204" i="17"/>
  <c r="D204" i="17" s="1"/>
  <c r="DN203" i="17"/>
  <c r="DO203" i="17" s="1"/>
  <c r="DK203" i="17"/>
  <c r="F203" i="17"/>
  <c r="E203" i="17"/>
  <c r="D203" i="17" s="1"/>
  <c r="DO202" i="17"/>
  <c r="DN202" i="17"/>
  <c r="DK202" i="17"/>
  <c r="F202" i="17"/>
  <c r="E202" i="17"/>
  <c r="D202" i="17" s="1"/>
  <c r="DN201" i="17"/>
  <c r="DO201" i="17" s="1"/>
  <c r="DK201" i="17"/>
  <c r="F201" i="17"/>
  <c r="E201" i="17"/>
  <c r="D201" i="17" s="1"/>
  <c r="DN200" i="17"/>
  <c r="DO200" i="17" s="1"/>
  <c r="DK200" i="17"/>
  <c r="F200" i="17"/>
  <c r="E200" i="17"/>
  <c r="D200" i="17" s="1"/>
  <c r="DN199" i="17"/>
  <c r="DO199" i="17" s="1"/>
  <c r="DK199" i="17"/>
  <c r="F199" i="17"/>
  <c r="E199" i="17"/>
  <c r="D199" i="17" s="1"/>
  <c r="DN198" i="17"/>
  <c r="DO198" i="17" s="1"/>
  <c r="DK198" i="17"/>
  <c r="F198" i="17"/>
  <c r="E198" i="17"/>
  <c r="D198" i="17" s="1"/>
  <c r="DN197" i="17"/>
  <c r="DO197" i="17" s="1"/>
  <c r="DK197" i="17"/>
  <c r="F197" i="17"/>
  <c r="E197" i="17"/>
  <c r="D197" i="17" s="1"/>
  <c r="DN196" i="17"/>
  <c r="DO196" i="17" s="1"/>
  <c r="DK196" i="17"/>
  <c r="F196" i="17"/>
  <c r="E196" i="17"/>
  <c r="D196" i="17" s="1"/>
  <c r="DN195" i="17"/>
  <c r="DO195" i="17" s="1"/>
  <c r="DK195" i="17"/>
  <c r="F195" i="17"/>
  <c r="E195" i="17"/>
  <c r="D195" i="17" s="1"/>
  <c r="DN194" i="17"/>
  <c r="DO194" i="17" s="1"/>
  <c r="DK194" i="17"/>
  <c r="F194" i="17"/>
  <c r="E194" i="17"/>
  <c r="D194" i="17" s="1"/>
  <c r="DN193" i="17"/>
  <c r="DO193" i="17" s="1"/>
  <c r="DK193" i="17"/>
  <c r="F193" i="17"/>
  <c r="E193" i="17"/>
  <c r="DN192" i="17"/>
  <c r="DO192" i="17" s="1"/>
  <c r="DK192" i="17"/>
  <c r="F192" i="17"/>
  <c r="E192" i="17"/>
  <c r="D192" i="17" s="1"/>
  <c r="DN191" i="17"/>
  <c r="DO191" i="17" s="1"/>
  <c r="DK191" i="17"/>
  <c r="F191" i="17"/>
  <c r="E191" i="17"/>
  <c r="D191" i="17" s="1"/>
  <c r="DN190" i="17"/>
  <c r="DO190" i="17" s="1"/>
  <c r="DK190" i="17"/>
  <c r="F190" i="17"/>
  <c r="E190" i="17"/>
  <c r="D190" i="17" s="1"/>
  <c r="DN189" i="17"/>
  <c r="DO189" i="17" s="1"/>
  <c r="DK189" i="17"/>
  <c r="F189" i="17"/>
  <c r="E189" i="17"/>
  <c r="D189" i="17" s="1"/>
  <c r="DO188" i="17"/>
  <c r="DN188" i="17"/>
  <c r="DK188" i="17"/>
  <c r="F188" i="17"/>
  <c r="E188" i="17"/>
  <c r="D188" i="17" s="1"/>
  <c r="DN187" i="17"/>
  <c r="DO187" i="17" s="1"/>
  <c r="DK187" i="17"/>
  <c r="F187" i="17"/>
  <c r="E187" i="17"/>
  <c r="D187" i="17" s="1"/>
  <c r="DO186" i="17"/>
  <c r="DN186" i="17"/>
  <c r="DK186" i="17"/>
  <c r="F186" i="17"/>
  <c r="E186" i="17"/>
  <c r="D186" i="17" s="1"/>
  <c r="DN185" i="17"/>
  <c r="DO185" i="17" s="1"/>
  <c r="DK185" i="17"/>
  <c r="F185" i="17"/>
  <c r="E185" i="17"/>
  <c r="D185" i="17" s="1"/>
  <c r="DN184" i="17"/>
  <c r="DO184" i="17" s="1"/>
  <c r="DK184" i="17"/>
  <c r="F184" i="17"/>
  <c r="E184" i="17"/>
  <c r="D184" i="17" s="1"/>
  <c r="DN183" i="17"/>
  <c r="DO183" i="17" s="1"/>
  <c r="DK183" i="17"/>
  <c r="F183" i="17"/>
  <c r="E183" i="17"/>
  <c r="D183" i="17" s="1"/>
  <c r="DN182" i="17"/>
  <c r="DO182" i="17" s="1"/>
  <c r="DK182" i="17"/>
  <c r="F182" i="17"/>
  <c r="E182" i="17"/>
  <c r="D182" i="17"/>
  <c r="DN181" i="17"/>
  <c r="DO181" i="17" s="1"/>
  <c r="DK181" i="17"/>
  <c r="F181" i="17"/>
  <c r="E181" i="17"/>
  <c r="D181" i="17" s="1"/>
  <c r="DN180" i="17"/>
  <c r="DO180" i="17" s="1"/>
  <c r="DK180" i="17"/>
  <c r="F180" i="17"/>
  <c r="E180" i="17"/>
  <c r="D180" i="17" s="1"/>
  <c r="DN179" i="17"/>
  <c r="DO179" i="17" s="1"/>
  <c r="DK179" i="17"/>
  <c r="F179" i="17"/>
  <c r="E179" i="17"/>
  <c r="D179" i="17" s="1"/>
  <c r="DN178" i="17"/>
  <c r="DO178" i="17" s="1"/>
  <c r="DK178" i="17"/>
  <c r="F178" i="17"/>
  <c r="E178" i="17"/>
  <c r="D178" i="17" s="1"/>
  <c r="DN177" i="17"/>
  <c r="DO177" i="17" s="1"/>
  <c r="DK177" i="17"/>
  <c r="F177" i="17"/>
  <c r="E177" i="17"/>
  <c r="D177" i="17" s="1"/>
  <c r="DN176" i="17"/>
  <c r="DO176" i="17" s="1"/>
  <c r="DK176" i="17"/>
  <c r="F176" i="17"/>
  <c r="E176" i="17"/>
  <c r="D176" i="17" s="1"/>
  <c r="DN175" i="17"/>
  <c r="DO175" i="17" s="1"/>
  <c r="DK175" i="17"/>
  <c r="F175" i="17"/>
  <c r="E175" i="17"/>
  <c r="D175" i="17"/>
  <c r="DN174" i="17"/>
  <c r="DO174" i="17" s="1"/>
  <c r="DK174" i="17"/>
  <c r="F174" i="17"/>
  <c r="E174" i="17"/>
  <c r="D174" i="17" s="1"/>
  <c r="DN173" i="17"/>
  <c r="DO173" i="17" s="1"/>
  <c r="DK173" i="17"/>
  <c r="F173" i="17"/>
  <c r="E173" i="17"/>
  <c r="D173" i="17" s="1"/>
  <c r="DN172" i="17"/>
  <c r="DO172" i="17" s="1"/>
  <c r="DK172" i="17"/>
  <c r="F172" i="17"/>
  <c r="E172" i="17"/>
  <c r="D172" i="17" s="1"/>
  <c r="DN171" i="17"/>
  <c r="DO171" i="17" s="1"/>
  <c r="DK171" i="17"/>
  <c r="F171" i="17"/>
  <c r="E171" i="17"/>
  <c r="D171" i="17" s="1"/>
  <c r="DN170" i="17"/>
  <c r="DO170" i="17" s="1"/>
  <c r="DK170" i="17"/>
  <c r="F170" i="17"/>
  <c r="E170" i="17"/>
  <c r="D170" i="17" s="1"/>
  <c r="DN169" i="17"/>
  <c r="DO169" i="17" s="1"/>
  <c r="DK169" i="17"/>
  <c r="F169" i="17"/>
  <c r="E169" i="17"/>
  <c r="D169" i="17" s="1"/>
  <c r="DN168" i="17"/>
  <c r="DO168" i="17" s="1"/>
  <c r="DK168" i="17"/>
  <c r="F168" i="17"/>
  <c r="E168" i="17"/>
  <c r="D168" i="17" s="1"/>
  <c r="DN167" i="17"/>
  <c r="DO167" i="17" s="1"/>
  <c r="DK167" i="17"/>
  <c r="F167" i="17"/>
  <c r="E167" i="17"/>
  <c r="DN166" i="17"/>
  <c r="DO166" i="17" s="1"/>
  <c r="DK166" i="17"/>
  <c r="F166" i="17"/>
  <c r="E166" i="17"/>
  <c r="DN165" i="17"/>
  <c r="EY165" i="17" s="1"/>
  <c r="DK165" i="17"/>
  <c r="F165" i="17"/>
  <c r="E165" i="17"/>
  <c r="DN164" i="17"/>
  <c r="DK164" i="17"/>
  <c r="BB164" i="17"/>
  <c r="BB165" i="17" s="1"/>
  <c r="H164" i="17"/>
  <c r="H165" i="17" s="1"/>
  <c r="H166" i="17" s="1"/>
  <c r="H167" i="17" s="1"/>
  <c r="H168" i="17" s="1"/>
  <c r="H169" i="17" s="1"/>
  <c r="H170" i="17" s="1"/>
  <c r="H171" i="17" s="1"/>
  <c r="H172" i="17" s="1"/>
  <c r="H173" i="17" s="1"/>
  <c r="H174" i="17" s="1"/>
  <c r="H175" i="17" s="1"/>
  <c r="H176" i="17" s="1"/>
  <c r="H177" i="17" s="1"/>
  <c r="H178" i="17" s="1"/>
  <c r="H179" i="17" s="1"/>
  <c r="H180" i="17" s="1"/>
  <c r="H181" i="17" s="1"/>
  <c r="H182" i="17" s="1"/>
  <c r="H183" i="17" s="1"/>
  <c r="H184" i="17" s="1"/>
  <c r="H185" i="17" s="1"/>
  <c r="H186" i="17" s="1"/>
  <c r="H187" i="17" s="1"/>
  <c r="H188" i="17" s="1"/>
  <c r="H189" i="17" s="1"/>
  <c r="H190" i="17" s="1"/>
  <c r="H191" i="17" s="1"/>
  <c r="H192" i="17" s="1"/>
  <c r="H193" i="17" s="1"/>
  <c r="H194" i="17" s="1"/>
  <c r="H195" i="17" s="1"/>
  <c r="H196" i="17" s="1"/>
  <c r="H197" i="17" s="1"/>
  <c r="H198" i="17" s="1"/>
  <c r="H199" i="17" s="1"/>
  <c r="H200" i="17" s="1"/>
  <c r="H201" i="17" s="1"/>
  <c r="H202" i="17" s="1"/>
  <c r="H203" i="17" s="1"/>
  <c r="H204" i="17" s="1"/>
  <c r="H205" i="17" s="1"/>
  <c r="H206" i="17" s="1"/>
  <c r="H207" i="17" s="1"/>
  <c r="H208" i="17" s="1"/>
  <c r="H209" i="17" s="1"/>
  <c r="H210" i="17" s="1"/>
  <c r="H211" i="17" s="1"/>
  <c r="H212" i="17" s="1"/>
  <c r="H213" i="17" s="1"/>
  <c r="H214" i="17" s="1"/>
  <c r="H215" i="17" s="1"/>
  <c r="H216" i="17" s="1"/>
  <c r="H217" i="17" s="1"/>
  <c r="H218" i="17" s="1"/>
  <c r="H219" i="17" s="1"/>
  <c r="H220" i="17" s="1"/>
  <c r="H221" i="17" s="1"/>
  <c r="H222" i="17" s="1"/>
  <c r="H223" i="17" s="1"/>
  <c r="H224" i="17" s="1"/>
  <c r="H225" i="17" s="1"/>
  <c r="H226" i="17" s="1"/>
  <c r="F164" i="17"/>
  <c r="E164" i="17"/>
  <c r="DN163" i="17"/>
  <c r="DK163" i="17"/>
  <c r="F163" i="17"/>
  <c r="E163" i="17"/>
  <c r="DK162" i="17"/>
  <c r="DK161" i="17"/>
  <c r="EV160" i="17"/>
  <c r="DK160" i="17"/>
  <c r="DL160" i="17" s="1"/>
  <c r="DK159" i="17"/>
  <c r="EV159" i="17" s="1"/>
  <c r="DK158" i="17"/>
  <c r="EV158" i="17" s="1"/>
  <c r="DK157" i="17"/>
  <c r="EV157" i="17" s="1"/>
  <c r="DK156" i="17"/>
  <c r="EV156" i="17" s="1"/>
  <c r="DK155" i="17"/>
  <c r="EV155" i="17" s="1"/>
  <c r="DK154" i="17"/>
  <c r="EV154" i="17" s="1"/>
  <c r="DK153" i="17"/>
  <c r="DL153" i="17" s="1"/>
  <c r="DK152" i="17"/>
  <c r="EV152" i="17" s="1"/>
  <c r="DK151" i="17"/>
  <c r="DK150" i="17"/>
  <c r="EV150" i="17" s="1"/>
  <c r="DB150" i="17"/>
  <c r="DB153" i="17" s="1"/>
  <c r="DB156" i="17" s="1"/>
  <c r="DB159" i="17" s="1"/>
  <c r="DB162" i="17" s="1"/>
  <c r="DK149" i="17"/>
  <c r="EV149" i="17" s="1"/>
  <c r="DB149" i="17"/>
  <c r="DB152" i="17" s="1"/>
  <c r="DB155" i="17" s="1"/>
  <c r="DB158" i="17" s="1"/>
  <c r="DB161" i="17" s="1"/>
  <c r="DK148" i="17"/>
  <c r="DV148" i="17" s="1"/>
  <c r="DB148" i="17"/>
  <c r="DB151" i="17" s="1"/>
  <c r="DB154" i="17" s="1"/>
  <c r="DB157" i="17" s="1"/>
  <c r="DB160" i="17" s="1"/>
  <c r="DN147" i="17"/>
  <c r="DM147" i="17"/>
  <c r="DX147" i="17" s="1"/>
  <c r="DM146" i="17"/>
  <c r="DX146" i="17" s="1"/>
  <c r="DS145" i="17"/>
  <c r="DS144" i="17"/>
  <c r="DS143" i="17"/>
  <c r="DS142" i="17"/>
  <c r="DT142" i="17" s="1"/>
  <c r="DU142" i="17" s="1"/>
  <c r="DS141" i="17"/>
  <c r="DT141" i="17" s="1"/>
  <c r="DU141" i="17" s="1"/>
  <c r="DS140" i="17"/>
  <c r="DT140" i="17" s="1"/>
  <c r="DU140" i="17" s="1"/>
  <c r="DS139" i="17"/>
  <c r="DT139" i="17" s="1"/>
  <c r="DU139" i="17" s="1"/>
  <c r="DT138" i="17"/>
  <c r="DU138" i="17" s="1"/>
  <c r="DS138" i="17"/>
  <c r="DS137" i="17"/>
  <c r="DT137" i="17" s="1"/>
  <c r="DU137" i="17" s="1"/>
  <c r="DS136" i="17"/>
  <c r="DT136" i="17" s="1"/>
  <c r="DU136" i="17" s="1"/>
  <c r="DS135" i="17"/>
  <c r="DT135" i="17" s="1"/>
  <c r="DU135" i="17" s="1"/>
  <c r="DS134" i="17"/>
  <c r="DT134" i="17" s="1"/>
  <c r="DU134" i="17" s="1"/>
  <c r="BD134" i="17"/>
  <c r="DS133" i="17"/>
  <c r="DT133" i="17" s="1"/>
  <c r="DU133" i="17" s="1"/>
  <c r="BD133" i="17"/>
  <c r="X133" i="17"/>
  <c r="AF133" i="17" s="1"/>
  <c r="R133" i="17"/>
  <c r="AA133" i="17" s="1"/>
  <c r="DS132" i="17"/>
  <c r="DT132" i="17" s="1"/>
  <c r="DU132" i="17" s="1"/>
  <c r="BD132" i="17"/>
  <c r="BE132" i="17" s="1"/>
  <c r="X132" i="17"/>
  <c r="AF132" i="17" s="1"/>
  <c r="R132" i="17"/>
  <c r="AA132" i="17" s="1"/>
  <c r="DS131" i="17"/>
  <c r="DT131" i="17" s="1"/>
  <c r="DU131" i="17" s="1"/>
  <c r="BD131" i="17"/>
  <c r="BE131" i="17" s="1"/>
  <c r="X131" i="17"/>
  <c r="AF131" i="17" s="1"/>
  <c r="R131" i="17"/>
  <c r="AA131" i="17" s="1"/>
  <c r="DS130" i="17"/>
  <c r="DT130" i="17" s="1"/>
  <c r="DU130" i="17" s="1"/>
  <c r="BD130" i="17"/>
  <c r="BE130" i="17" s="1"/>
  <c r="X130" i="17"/>
  <c r="AF130" i="17" s="1"/>
  <c r="R130" i="17"/>
  <c r="AA130" i="17" s="1"/>
  <c r="DS129" i="17"/>
  <c r="DT129" i="17" s="1"/>
  <c r="DU129" i="17" s="1"/>
  <c r="BD129" i="17"/>
  <c r="BE129" i="17" s="1"/>
  <c r="X129" i="17"/>
  <c r="AF129" i="17" s="1"/>
  <c r="R129" i="17"/>
  <c r="AA129" i="17" s="1"/>
  <c r="DS128" i="17"/>
  <c r="DT128" i="17" s="1"/>
  <c r="DU128" i="17" s="1"/>
  <c r="BD128" i="17"/>
  <c r="BE128" i="17" s="1"/>
  <c r="X128" i="17"/>
  <c r="AF128" i="17" s="1"/>
  <c r="R128" i="17"/>
  <c r="AA128" i="17" s="1"/>
  <c r="DS127" i="17"/>
  <c r="DT127" i="17" s="1"/>
  <c r="DU127" i="17" s="1"/>
  <c r="BD127" i="17"/>
  <c r="BE127" i="17" s="1"/>
  <c r="X127" i="17"/>
  <c r="AF127" i="17" s="1"/>
  <c r="R127" i="17"/>
  <c r="AA127" i="17" s="1"/>
  <c r="DS126" i="17"/>
  <c r="DT126" i="17" s="1"/>
  <c r="DU126" i="17" s="1"/>
  <c r="BD126" i="17"/>
  <c r="BE126" i="17" s="1"/>
  <c r="X126" i="17"/>
  <c r="AF126" i="17" s="1"/>
  <c r="R126" i="17"/>
  <c r="AA126" i="17" s="1"/>
  <c r="DS125" i="17"/>
  <c r="DT125" i="17" s="1"/>
  <c r="DU125" i="17" s="1"/>
  <c r="BD125" i="17"/>
  <c r="BE125" i="17" s="1"/>
  <c r="X125" i="17"/>
  <c r="AF125" i="17" s="1"/>
  <c r="R125" i="17"/>
  <c r="AA125" i="17" s="1"/>
  <c r="DS124" i="17"/>
  <c r="DT124" i="17" s="1"/>
  <c r="DU124" i="17" s="1"/>
  <c r="BD124" i="17"/>
  <c r="BE124" i="17" s="1"/>
  <c r="X124" i="17"/>
  <c r="AF124" i="17" s="1"/>
  <c r="R124" i="17"/>
  <c r="AA124" i="17" s="1"/>
  <c r="DT123" i="17"/>
  <c r="DU123" i="17" s="1"/>
  <c r="DS123" i="17"/>
  <c r="BD123" i="17"/>
  <c r="BE123" i="17" s="1"/>
  <c r="X123" i="17"/>
  <c r="AF123" i="17" s="1"/>
  <c r="R123" i="17"/>
  <c r="AA123" i="17" s="1"/>
  <c r="DS122" i="17"/>
  <c r="DT122" i="17" s="1"/>
  <c r="DU122" i="17" s="1"/>
  <c r="BI122" i="17"/>
  <c r="BD122" i="17"/>
  <c r="BE122" i="17" s="1"/>
  <c r="X122" i="17"/>
  <c r="AF122" i="17" s="1"/>
  <c r="R122" i="17"/>
  <c r="AA122" i="17" s="1"/>
  <c r="DT121" i="17"/>
  <c r="DU121" i="17" s="1"/>
  <c r="DS121" i="17"/>
  <c r="BI121" i="17"/>
  <c r="BD121" i="17"/>
  <c r="BE121" i="17" s="1"/>
  <c r="X121" i="17"/>
  <c r="AF121" i="17" s="1"/>
  <c r="R121" i="17"/>
  <c r="AA121" i="17" s="1"/>
  <c r="DS120" i="17"/>
  <c r="DT120" i="17" s="1"/>
  <c r="DU120" i="17" s="1"/>
  <c r="BI120" i="17"/>
  <c r="BE120" i="17"/>
  <c r="BD120" i="17"/>
  <c r="X120" i="17"/>
  <c r="AF120" i="17" s="1"/>
  <c r="R120" i="17"/>
  <c r="AA120" i="17" s="1"/>
  <c r="DU119" i="17"/>
  <c r="DS119" i="17"/>
  <c r="DT119" i="17" s="1"/>
  <c r="BI119" i="17"/>
  <c r="BD119" i="17"/>
  <c r="BE119" i="17" s="1"/>
  <c r="X119" i="17"/>
  <c r="AF119" i="17" s="1"/>
  <c r="R119" i="17"/>
  <c r="AA119" i="17" s="1"/>
  <c r="DS118" i="17"/>
  <c r="DT118" i="17" s="1"/>
  <c r="DU118" i="17" s="1"/>
  <c r="BI118" i="17"/>
  <c r="BD118" i="17"/>
  <c r="BE118" i="17" s="1"/>
  <c r="X118" i="17"/>
  <c r="AF118" i="17" s="1"/>
  <c r="R118" i="17"/>
  <c r="AA118" i="17" s="1"/>
  <c r="DS117" i="17"/>
  <c r="DT117" i="17" s="1"/>
  <c r="DU117" i="17" s="1"/>
  <c r="BI117" i="17"/>
  <c r="BD117" i="17"/>
  <c r="BE117" i="17" s="1"/>
  <c r="X117" i="17"/>
  <c r="AF117" i="17" s="1"/>
  <c r="R117" i="17"/>
  <c r="AA117" i="17" s="1"/>
  <c r="DS116" i="17"/>
  <c r="DT116" i="17" s="1"/>
  <c r="DU116" i="17" s="1"/>
  <c r="BI116" i="17"/>
  <c r="BD116" i="17"/>
  <c r="BE116" i="17" s="1"/>
  <c r="X116" i="17"/>
  <c r="AF116" i="17" s="1"/>
  <c r="R116" i="17"/>
  <c r="AA116" i="17" s="1"/>
  <c r="DS115" i="17"/>
  <c r="DT115" i="17" s="1"/>
  <c r="DU115" i="17" s="1"/>
  <c r="BI115" i="17"/>
  <c r="BD115" i="17"/>
  <c r="BE115" i="17" s="1"/>
  <c r="X115" i="17"/>
  <c r="AF115" i="17" s="1"/>
  <c r="R115" i="17"/>
  <c r="AA115" i="17" s="1"/>
  <c r="DS114" i="17"/>
  <c r="DT114" i="17" s="1"/>
  <c r="DU114" i="17" s="1"/>
  <c r="BI114" i="17"/>
  <c r="BD114" i="17"/>
  <c r="BE114" i="17" s="1"/>
  <c r="X114" i="17"/>
  <c r="AF114" i="17" s="1"/>
  <c r="R114" i="17"/>
  <c r="AA114" i="17" s="1"/>
  <c r="DS113" i="17"/>
  <c r="DT113" i="17" s="1"/>
  <c r="DU113" i="17" s="1"/>
  <c r="BI113" i="17"/>
  <c r="BD113" i="17"/>
  <c r="BE113" i="17" s="1"/>
  <c r="X113" i="17"/>
  <c r="AF113" i="17" s="1"/>
  <c r="R113" i="17"/>
  <c r="AA113" i="17" s="1"/>
  <c r="DS112" i="17"/>
  <c r="DT112" i="17" s="1"/>
  <c r="DU112" i="17" s="1"/>
  <c r="BI112" i="17"/>
  <c r="BD112" i="17"/>
  <c r="BE112" i="17" s="1"/>
  <c r="X112" i="17"/>
  <c r="AF112" i="17" s="1"/>
  <c r="R112" i="17"/>
  <c r="AA112" i="17" s="1"/>
  <c r="DS111" i="17"/>
  <c r="DT111" i="17" s="1"/>
  <c r="DU111" i="17" s="1"/>
  <c r="BI111" i="17"/>
  <c r="BD111" i="17"/>
  <c r="BE111" i="17" s="1"/>
  <c r="X111" i="17"/>
  <c r="AF111" i="17" s="1"/>
  <c r="R111" i="17"/>
  <c r="AA111" i="17" s="1"/>
  <c r="DT110" i="17"/>
  <c r="DU110" i="17" s="1"/>
  <c r="DS110" i="17"/>
  <c r="BI110" i="17"/>
  <c r="BD110" i="17"/>
  <c r="BE110" i="17" s="1"/>
  <c r="X110" i="17"/>
  <c r="AF110" i="17" s="1"/>
  <c r="R110" i="17"/>
  <c r="AA110" i="17" s="1"/>
  <c r="DS109" i="17"/>
  <c r="DT109" i="17" s="1"/>
  <c r="DU109" i="17" s="1"/>
  <c r="BI109" i="17"/>
  <c r="BD109" i="17"/>
  <c r="BE109" i="17" s="1"/>
  <c r="X109" i="17"/>
  <c r="AF109" i="17" s="1"/>
  <c r="R109" i="17"/>
  <c r="AA109" i="17" s="1"/>
  <c r="DS108" i="17"/>
  <c r="DT108" i="17" s="1"/>
  <c r="DU108" i="17" s="1"/>
  <c r="BI108" i="17"/>
  <c r="BD108" i="17"/>
  <c r="BE108" i="17" s="1"/>
  <c r="X108" i="17"/>
  <c r="AF108" i="17" s="1"/>
  <c r="R108" i="17"/>
  <c r="AA108" i="17" s="1"/>
  <c r="DS107" i="17"/>
  <c r="DT107" i="17" s="1"/>
  <c r="DU107" i="17" s="1"/>
  <c r="BI107" i="17"/>
  <c r="BD107" i="17"/>
  <c r="BE107" i="17" s="1"/>
  <c r="X107" i="17"/>
  <c r="AF107" i="17" s="1"/>
  <c r="R107" i="17"/>
  <c r="AA107" i="17" s="1"/>
  <c r="DS106" i="17"/>
  <c r="DT106" i="17" s="1"/>
  <c r="DU106" i="17" s="1"/>
  <c r="BI106" i="17"/>
  <c r="BD106" i="17"/>
  <c r="BE106" i="17" s="1"/>
  <c r="X106" i="17"/>
  <c r="AF106" i="17" s="1"/>
  <c r="R106" i="17"/>
  <c r="AA106" i="17" s="1"/>
  <c r="DS105" i="17"/>
  <c r="DT105" i="17" s="1"/>
  <c r="DU105" i="17" s="1"/>
  <c r="BI105" i="17"/>
  <c r="BD105" i="17"/>
  <c r="BE105" i="17" s="1"/>
  <c r="X105" i="17"/>
  <c r="AF105" i="17" s="1"/>
  <c r="R105" i="17"/>
  <c r="AA105" i="17" s="1"/>
  <c r="DS104" i="17"/>
  <c r="DT104" i="17" s="1"/>
  <c r="DU104" i="17" s="1"/>
  <c r="BI104" i="17"/>
  <c r="BD104" i="17"/>
  <c r="BE104" i="17" s="1"/>
  <c r="X104" i="17"/>
  <c r="AF104" i="17" s="1"/>
  <c r="R104" i="17"/>
  <c r="AA104" i="17" s="1"/>
  <c r="DS103" i="17"/>
  <c r="DT103" i="17" s="1"/>
  <c r="DU103" i="17" s="1"/>
  <c r="BI103" i="17"/>
  <c r="BD103" i="17"/>
  <c r="BE103" i="17" s="1"/>
  <c r="X103" i="17"/>
  <c r="AF103" i="17" s="1"/>
  <c r="R103" i="17"/>
  <c r="AA103" i="17" s="1"/>
  <c r="DS102" i="17"/>
  <c r="DT102" i="17" s="1"/>
  <c r="DU102" i="17" s="1"/>
  <c r="BI102" i="17"/>
  <c r="BD102" i="17"/>
  <c r="BE102" i="17" s="1"/>
  <c r="X102" i="17"/>
  <c r="AF102" i="17" s="1"/>
  <c r="R102" i="17"/>
  <c r="AA102" i="17" s="1"/>
  <c r="DS101" i="17"/>
  <c r="DT101" i="17" s="1"/>
  <c r="DU101" i="17" s="1"/>
  <c r="BI101" i="17"/>
  <c r="BD101" i="17"/>
  <c r="BE101" i="17" s="1"/>
  <c r="X101" i="17"/>
  <c r="AF101" i="17" s="1"/>
  <c r="R101" i="17"/>
  <c r="AA101" i="17" s="1"/>
  <c r="DS100" i="17"/>
  <c r="DT100" i="17" s="1"/>
  <c r="DU100" i="17" s="1"/>
  <c r="BI100" i="17"/>
  <c r="BD100" i="17"/>
  <c r="BE100" i="17" s="1"/>
  <c r="X100" i="17"/>
  <c r="AF100" i="17" s="1"/>
  <c r="R100" i="17"/>
  <c r="AA100" i="17" s="1"/>
  <c r="DS99" i="17"/>
  <c r="DT99" i="17" s="1"/>
  <c r="DU99" i="17" s="1"/>
  <c r="BI99" i="17"/>
  <c r="BD99" i="17"/>
  <c r="BE99" i="17" s="1"/>
  <c r="X99" i="17"/>
  <c r="AF99" i="17" s="1"/>
  <c r="R99" i="17"/>
  <c r="AA99" i="17" s="1"/>
  <c r="DS98" i="17"/>
  <c r="DT98" i="17" s="1"/>
  <c r="DU98" i="17" s="1"/>
  <c r="BI98" i="17"/>
  <c r="BD98" i="17"/>
  <c r="BE98" i="17" s="1"/>
  <c r="X98" i="17"/>
  <c r="AF98" i="17" s="1"/>
  <c r="R98" i="17"/>
  <c r="AA98" i="17" s="1"/>
  <c r="DS97" i="17"/>
  <c r="DT97" i="17" s="1"/>
  <c r="DU97" i="17" s="1"/>
  <c r="BI97" i="17"/>
  <c r="BD97" i="17"/>
  <c r="BE97" i="17" s="1"/>
  <c r="X97" i="17"/>
  <c r="AF97" i="17" s="1"/>
  <c r="R97" i="17"/>
  <c r="AA97" i="17" s="1"/>
  <c r="DS96" i="17"/>
  <c r="DT96" i="17" s="1"/>
  <c r="DU96" i="17" s="1"/>
  <c r="BI96" i="17"/>
  <c r="BD96" i="17"/>
  <c r="BE96" i="17" s="1"/>
  <c r="X96" i="17"/>
  <c r="AF96" i="17" s="1"/>
  <c r="R96" i="17"/>
  <c r="AA96" i="17" s="1"/>
  <c r="DS95" i="17"/>
  <c r="DT95" i="17" s="1"/>
  <c r="DU95" i="17" s="1"/>
  <c r="BI95" i="17"/>
  <c r="BD95" i="17"/>
  <c r="BE95" i="17" s="1"/>
  <c r="X95" i="17"/>
  <c r="AF95" i="17" s="1"/>
  <c r="R95" i="17"/>
  <c r="AA95" i="17" s="1"/>
  <c r="DS94" i="17"/>
  <c r="DT94" i="17" s="1"/>
  <c r="DU94" i="17" s="1"/>
  <c r="BI94" i="17"/>
  <c r="BD94" i="17"/>
  <c r="BE94" i="17" s="1"/>
  <c r="X94" i="17"/>
  <c r="AF94" i="17" s="1"/>
  <c r="R94" i="17"/>
  <c r="AA94" i="17" s="1"/>
  <c r="DS93" i="17"/>
  <c r="DT93" i="17" s="1"/>
  <c r="DU93" i="17" s="1"/>
  <c r="BI93" i="17"/>
  <c r="BD93" i="17"/>
  <c r="BE93" i="17" s="1"/>
  <c r="X93" i="17"/>
  <c r="AF93" i="17" s="1"/>
  <c r="R93" i="17"/>
  <c r="AA93" i="17" s="1"/>
  <c r="DS92" i="17"/>
  <c r="DT92" i="17" s="1"/>
  <c r="DU92" i="17" s="1"/>
  <c r="BI92" i="17"/>
  <c r="BD92" i="17"/>
  <c r="BE92" i="17" s="1"/>
  <c r="X92" i="17"/>
  <c r="AF92" i="17" s="1"/>
  <c r="R92" i="17"/>
  <c r="AA92" i="17" s="1"/>
  <c r="DS91" i="17"/>
  <c r="DT91" i="17" s="1"/>
  <c r="DU91" i="17" s="1"/>
  <c r="BI91" i="17"/>
  <c r="BD91" i="17"/>
  <c r="BE91" i="17" s="1"/>
  <c r="X91" i="17"/>
  <c r="AF91" i="17" s="1"/>
  <c r="R91" i="17"/>
  <c r="AA91" i="17" s="1"/>
  <c r="DS90" i="17"/>
  <c r="DT90" i="17" s="1"/>
  <c r="DU90" i="17" s="1"/>
  <c r="BI90" i="17"/>
  <c r="BD90" i="17"/>
  <c r="BE90" i="17" s="1"/>
  <c r="X90" i="17"/>
  <c r="AF90" i="17" s="1"/>
  <c r="R90" i="17"/>
  <c r="AA90" i="17" s="1"/>
  <c r="DS89" i="17"/>
  <c r="DT89" i="17" s="1"/>
  <c r="DU89" i="17" s="1"/>
  <c r="BI89" i="17"/>
  <c r="BD89" i="17"/>
  <c r="BE89" i="17" s="1"/>
  <c r="X89" i="17"/>
  <c r="AF89" i="17" s="1"/>
  <c r="R89" i="17"/>
  <c r="AA89" i="17" s="1"/>
  <c r="DS88" i="17"/>
  <c r="DT88" i="17" s="1"/>
  <c r="DU88" i="17" s="1"/>
  <c r="BI88" i="17"/>
  <c r="BD88" i="17"/>
  <c r="BE88" i="17" s="1"/>
  <c r="X88" i="17"/>
  <c r="AF88" i="17" s="1"/>
  <c r="R88" i="17"/>
  <c r="AA88" i="17" s="1"/>
  <c r="DS87" i="17"/>
  <c r="DT87" i="17" s="1"/>
  <c r="DU87" i="17" s="1"/>
  <c r="BI87" i="17"/>
  <c r="BD87" i="17"/>
  <c r="BE87" i="17" s="1"/>
  <c r="X87" i="17"/>
  <c r="AF87" i="17" s="1"/>
  <c r="R87" i="17"/>
  <c r="AA87" i="17" s="1"/>
  <c r="DS86" i="17"/>
  <c r="DT86" i="17" s="1"/>
  <c r="DU86" i="17" s="1"/>
  <c r="BI86" i="17"/>
  <c r="BD86" i="17"/>
  <c r="BE86" i="17" s="1"/>
  <c r="X86" i="17"/>
  <c r="AF86" i="17" s="1"/>
  <c r="R86" i="17"/>
  <c r="AA86" i="17" s="1"/>
  <c r="DS85" i="17"/>
  <c r="DT85" i="17" s="1"/>
  <c r="DU85" i="17" s="1"/>
  <c r="BI85" i="17"/>
  <c r="BD85" i="17"/>
  <c r="BE85" i="17" s="1"/>
  <c r="X85" i="17"/>
  <c r="AF85" i="17" s="1"/>
  <c r="R85" i="17"/>
  <c r="AA85" i="17" s="1"/>
  <c r="DS84" i="17"/>
  <c r="DT84" i="17" s="1"/>
  <c r="DU84" i="17" s="1"/>
  <c r="BI84" i="17"/>
  <c r="BD84" i="17"/>
  <c r="BE84" i="17" s="1"/>
  <c r="X84" i="17"/>
  <c r="AF84" i="17" s="1"/>
  <c r="R84" i="17"/>
  <c r="AA84" i="17" s="1"/>
  <c r="DS83" i="17"/>
  <c r="DT83" i="17" s="1"/>
  <c r="DU83" i="17" s="1"/>
  <c r="BI83" i="17"/>
  <c r="BD83" i="17"/>
  <c r="BE83" i="17" s="1"/>
  <c r="X83" i="17"/>
  <c r="AF83" i="17" s="1"/>
  <c r="R83" i="17"/>
  <c r="AA83" i="17" s="1"/>
  <c r="DS82" i="17"/>
  <c r="DT82" i="17" s="1"/>
  <c r="DU82" i="17" s="1"/>
  <c r="BI82" i="17"/>
  <c r="BD82" i="17"/>
  <c r="BE82" i="17" s="1"/>
  <c r="AF82" i="17"/>
  <c r="X82" i="17"/>
  <c r="R82" i="17"/>
  <c r="AA82" i="17" s="1"/>
  <c r="DS81" i="17"/>
  <c r="DT81" i="17" s="1"/>
  <c r="DU81" i="17" s="1"/>
  <c r="BI81" i="17"/>
  <c r="BD81" i="17"/>
  <c r="BE81" i="17" s="1"/>
  <c r="X81" i="17"/>
  <c r="AF81" i="17" s="1"/>
  <c r="R81" i="17"/>
  <c r="AA81" i="17" s="1"/>
  <c r="DS80" i="17"/>
  <c r="DT80" i="17" s="1"/>
  <c r="DU80" i="17" s="1"/>
  <c r="BI80" i="17"/>
  <c r="BD80" i="17"/>
  <c r="BE80" i="17" s="1"/>
  <c r="AA80" i="17"/>
  <c r="X80" i="17"/>
  <c r="AF80" i="17" s="1"/>
  <c r="R80" i="17"/>
  <c r="DS79" i="17"/>
  <c r="DT79" i="17" s="1"/>
  <c r="DU79" i="17" s="1"/>
  <c r="BI79" i="17"/>
  <c r="BD79" i="17"/>
  <c r="BE79" i="17" s="1"/>
  <c r="X79" i="17"/>
  <c r="AF79" i="17" s="1"/>
  <c r="R79" i="17"/>
  <c r="AA79" i="17" s="1"/>
  <c r="DS78" i="17"/>
  <c r="DT78" i="17" s="1"/>
  <c r="DU78" i="17" s="1"/>
  <c r="BI78" i="17"/>
  <c r="BD78" i="17"/>
  <c r="BE78" i="17" s="1"/>
  <c r="X78" i="17"/>
  <c r="AF78" i="17" s="1"/>
  <c r="R78" i="17"/>
  <c r="AA78" i="17" s="1"/>
  <c r="DS77" i="17"/>
  <c r="DT77" i="17" s="1"/>
  <c r="DU77" i="17" s="1"/>
  <c r="BI77" i="17"/>
  <c r="BD77" i="17"/>
  <c r="BE77" i="17" s="1"/>
  <c r="X77" i="17"/>
  <c r="AF77" i="17" s="1"/>
  <c r="R77" i="17"/>
  <c r="AA77" i="17" s="1"/>
  <c r="DS76" i="17"/>
  <c r="DT76" i="17" s="1"/>
  <c r="DU76" i="17" s="1"/>
  <c r="BI76" i="17"/>
  <c r="BD76" i="17"/>
  <c r="BE76" i="17" s="1"/>
  <c r="X76" i="17"/>
  <c r="AF76" i="17" s="1"/>
  <c r="R76" i="17"/>
  <c r="AA76" i="17" s="1"/>
  <c r="DS75" i="17"/>
  <c r="DT75" i="17" s="1"/>
  <c r="DU75" i="17" s="1"/>
  <c r="BI75" i="17"/>
  <c r="BD75" i="17"/>
  <c r="BE75" i="17" s="1"/>
  <c r="X75" i="17"/>
  <c r="AF75" i="17" s="1"/>
  <c r="R75" i="17"/>
  <c r="AA75" i="17" s="1"/>
  <c r="DS74" i="17"/>
  <c r="DT74" i="17" s="1"/>
  <c r="DU74" i="17" s="1"/>
  <c r="BI74" i="17"/>
  <c r="BD74" i="17"/>
  <c r="BE74" i="17" s="1"/>
  <c r="X74" i="17"/>
  <c r="AF74" i="17" s="1"/>
  <c r="R74" i="17"/>
  <c r="AA74" i="17" s="1"/>
  <c r="DS73" i="17"/>
  <c r="DT73" i="17" s="1"/>
  <c r="DU73" i="17" s="1"/>
  <c r="BI73" i="17"/>
  <c r="BD73" i="17"/>
  <c r="BE73" i="17" s="1"/>
  <c r="X73" i="17"/>
  <c r="AF73" i="17" s="1"/>
  <c r="R73" i="17"/>
  <c r="AA73" i="17" s="1"/>
  <c r="DS72" i="17"/>
  <c r="DT72" i="17" s="1"/>
  <c r="DU72" i="17" s="1"/>
  <c r="BI72" i="17"/>
  <c r="BD72" i="17"/>
  <c r="BE72" i="17" s="1"/>
  <c r="X72" i="17"/>
  <c r="AF72" i="17" s="1"/>
  <c r="R72" i="17"/>
  <c r="AA72" i="17" s="1"/>
  <c r="DS71" i="17"/>
  <c r="DT71" i="17" s="1"/>
  <c r="DU71" i="17" s="1"/>
  <c r="BI71" i="17"/>
  <c r="BD71" i="17"/>
  <c r="BE71" i="17" s="1"/>
  <c r="X71" i="17"/>
  <c r="AF71" i="17" s="1"/>
  <c r="R71" i="17"/>
  <c r="AA71" i="17" s="1"/>
  <c r="DS70" i="17"/>
  <c r="DT70" i="17" s="1"/>
  <c r="DU70" i="17" s="1"/>
  <c r="BI70" i="17"/>
  <c r="BD70" i="17"/>
  <c r="BE70" i="17" s="1"/>
  <c r="X70" i="17"/>
  <c r="AF70" i="17" s="1"/>
  <c r="R70" i="17"/>
  <c r="AA70" i="17" s="1"/>
  <c r="DS69" i="17"/>
  <c r="DT69" i="17" s="1"/>
  <c r="DU69" i="17" s="1"/>
  <c r="BI69" i="17"/>
  <c r="BD69" i="17"/>
  <c r="BE69" i="17" s="1"/>
  <c r="X69" i="17"/>
  <c r="AF69" i="17" s="1"/>
  <c r="R69" i="17"/>
  <c r="AA69" i="17" s="1"/>
  <c r="DS68" i="17"/>
  <c r="DT68" i="17" s="1"/>
  <c r="DU68" i="17" s="1"/>
  <c r="BI68" i="17"/>
  <c r="BD68" i="17"/>
  <c r="BE68" i="17" s="1"/>
  <c r="X68" i="17"/>
  <c r="AF68" i="17" s="1"/>
  <c r="R68" i="17"/>
  <c r="AA68" i="17" s="1"/>
  <c r="DS67" i="17"/>
  <c r="DT67" i="17" s="1"/>
  <c r="DU67" i="17" s="1"/>
  <c r="BI67" i="17"/>
  <c r="BD67" i="17"/>
  <c r="BE67" i="17" s="1"/>
  <c r="AA67" i="17"/>
  <c r="X67" i="17"/>
  <c r="AF67" i="17" s="1"/>
  <c r="R67" i="17"/>
  <c r="DS66" i="17"/>
  <c r="DT66" i="17" s="1"/>
  <c r="DU66" i="17" s="1"/>
  <c r="BI66" i="17"/>
  <c r="BD66" i="17"/>
  <c r="BE66" i="17" s="1"/>
  <c r="AF66" i="17"/>
  <c r="AA66" i="17"/>
  <c r="X66" i="17"/>
  <c r="R66" i="17"/>
  <c r="DS65" i="17"/>
  <c r="DT65" i="17" s="1"/>
  <c r="DU65" i="17" s="1"/>
  <c r="BI65" i="17"/>
  <c r="BD65" i="17"/>
  <c r="BE65" i="17" s="1"/>
  <c r="X65" i="17"/>
  <c r="AF65" i="17" s="1"/>
  <c r="R65" i="17"/>
  <c r="AA65" i="17" s="1"/>
  <c r="DS64" i="17"/>
  <c r="DT64" i="17" s="1"/>
  <c r="DU64" i="17" s="1"/>
  <c r="BI64" i="17"/>
  <c r="BD64" i="17"/>
  <c r="BE64" i="17" s="1"/>
  <c r="X64" i="17"/>
  <c r="AF64" i="17" s="1"/>
  <c r="R64" i="17"/>
  <c r="AA64" i="17" s="1"/>
  <c r="DS63" i="17"/>
  <c r="DT63" i="17" s="1"/>
  <c r="DU63" i="17" s="1"/>
  <c r="BI63" i="17"/>
  <c r="BD63" i="17"/>
  <c r="BE63" i="17" s="1"/>
  <c r="X63" i="17"/>
  <c r="AF63" i="17" s="1"/>
  <c r="R63" i="17"/>
  <c r="AA63" i="17" s="1"/>
  <c r="DS62" i="17"/>
  <c r="DT62" i="17" s="1"/>
  <c r="DU62" i="17" s="1"/>
  <c r="BI62" i="17"/>
  <c r="BD62" i="17"/>
  <c r="BE62" i="17" s="1"/>
  <c r="X62" i="17"/>
  <c r="AF62" i="17" s="1"/>
  <c r="R62" i="17"/>
  <c r="AA62" i="17" s="1"/>
  <c r="DS61" i="17"/>
  <c r="DT61" i="17" s="1"/>
  <c r="DU61" i="17" s="1"/>
  <c r="BI61" i="17"/>
  <c r="BD61" i="17"/>
  <c r="BE61" i="17" s="1"/>
  <c r="X61" i="17"/>
  <c r="AF61" i="17" s="1"/>
  <c r="R61" i="17"/>
  <c r="AA61" i="17" s="1"/>
  <c r="DU60" i="17"/>
  <c r="DS60" i="17"/>
  <c r="DT60" i="17" s="1"/>
  <c r="BI60" i="17"/>
  <c r="BD60" i="17"/>
  <c r="BE60" i="17" s="1"/>
  <c r="AF60" i="17"/>
  <c r="X60" i="17"/>
  <c r="R60" i="17"/>
  <c r="AA60" i="17" s="1"/>
  <c r="DS59" i="17"/>
  <c r="DT59" i="17" s="1"/>
  <c r="DU59" i="17" s="1"/>
  <c r="BI59" i="17"/>
  <c r="BD59" i="17"/>
  <c r="BE59" i="17" s="1"/>
  <c r="X59" i="17"/>
  <c r="AF59" i="17" s="1"/>
  <c r="R59" i="17"/>
  <c r="AA59" i="17" s="1"/>
  <c r="DS58" i="17"/>
  <c r="DT58" i="17" s="1"/>
  <c r="DU58" i="17" s="1"/>
  <c r="BI58" i="17"/>
  <c r="BD58" i="17"/>
  <c r="BE58" i="17" s="1"/>
  <c r="X58" i="17"/>
  <c r="AF58" i="17" s="1"/>
  <c r="R58" i="17"/>
  <c r="AA58" i="17" s="1"/>
  <c r="DS57" i="17"/>
  <c r="DT57" i="17" s="1"/>
  <c r="DU57" i="17" s="1"/>
  <c r="BI57" i="17"/>
  <c r="BD57" i="17"/>
  <c r="BE57" i="17" s="1"/>
  <c r="X57" i="17"/>
  <c r="AF57" i="17" s="1"/>
  <c r="R57" i="17"/>
  <c r="AA57" i="17" s="1"/>
  <c r="DS56" i="17"/>
  <c r="DT56" i="17" s="1"/>
  <c r="DU56" i="17" s="1"/>
  <c r="BI56" i="17"/>
  <c r="BD56" i="17"/>
  <c r="BE56" i="17" s="1"/>
  <c r="X56" i="17"/>
  <c r="AF56" i="17" s="1"/>
  <c r="R56" i="17"/>
  <c r="AA56" i="17" s="1"/>
  <c r="DS55" i="17"/>
  <c r="DT55" i="17" s="1"/>
  <c r="DU55" i="17" s="1"/>
  <c r="BI55" i="17"/>
  <c r="BD55" i="17"/>
  <c r="BE55" i="17" s="1"/>
  <c r="X55" i="17"/>
  <c r="AF55" i="17" s="1"/>
  <c r="R55" i="17"/>
  <c r="AA55" i="17" s="1"/>
  <c r="DS54" i="17"/>
  <c r="DT54" i="17" s="1"/>
  <c r="DU54" i="17" s="1"/>
  <c r="BI54" i="17"/>
  <c r="BD54" i="17"/>
  <c r="BE54" i="17" s="1"/>
  <c r="X54" i="17"/>
  <c r="AF54" i="17" s="1"/>
  <c r="R54" i="17"/>
  <c r="AA54" i="17" s="1"/>
  <c r="DS53" i="17"/>
  <c r="DT53" i="17" s="1"/>
  <c r="DU53" i="17" s="1"/>
  <c r="BI53" i="17"/>
  <c r="BD53" i="17"/>
  <c r="BE53" i="17" s="1"/>
  <c r="X53" i="17"/>
  <c r="AF53" i="17" s="1"/>
  <c r="R53" i="17"/>
  <c r="AA53" i="17" s="1"/>
  <c r="DS52" i="17"/>
  <c r="DT52" i="17" s="1"/>
  <c r="DU52" i="17" s="1"/>
  <c r="BI52" i="17"/>
  <c r="BD52" i="17"/>
  <c r="BE52" i="17" s="1"/>
  <c r="X52" i="17"/>
  <c r="AF52" i="17" s="1"/>
  <c r="R52" i="17"/>
  <c r="AA52" i="17" s="1"/>
  <c r="DS51" i="17"/>
  <c r="DT51" i="17" s="1"/>
  <c r="DU51" i="17" s="1"/>
  <c r="BI51" i="17"/>
  <c r="BD51" i="17"/>
  <c r="BE51" i="17" s="1"/>
  <c r="X51" i="17"/>
  <c r="AF51" i="17" s="1"/>
  <c r="R51" i="17"/>
  <c r="AA51" i="17" s="1"/>
  <c r="DS50" i="17"/>
  <c r="DT50" i="17" s="1"/>
  <c r="DU50" i="17" s="1"/>
  <c r="BI50" i="17"/>
  <c r="BD50" i="17"/>
  <c r="BE50" i="17" s="1"/>
  <c r="AF50" i="17"/>
  <c r="X50" i="17"/>
  <c r="R50" i="17"/>
  <c r="AA50" i="17" s="1"/>
  <c r="DS49" i="17"/>
  <c r="DT49" i="17" s="1"/>
  <c r="DU49" i="17" s="1"/>
  <c r="BI49" i="17"/>
  <c r="X49" i="17"/>
  <c r="AF49" i="17" s="1"/>
  <c r="R49" i="17"/>
  <c r="AA49" i="17" s="1"/>
  <c r="DS48" i="17"/>
  <c r="DT48" i="17" s="1"/>
  <c r="DU48" i="17" s="1"/>
  <c r="BI48" i="17"/>
  <c r="X48" i="17"/>
  <c r="AF48" i="17" s="1"/>
  <c r="R48" i="17"/>
  <c r="AA48" i="17" s="1"/>
  <c r="DS47" i="17"/>
  <c r="DT47" i="17" s="1"/>
  <c r="DU47" i="17" s="1"/>
  <c r="BI47" i="17"/>
  <c r="X47" i="17"/>
  <c r="AF47" i="17" s="1"/>
  <c r="R47" i="17"/>
  <c r="AA47" i="17" s="1"/>
  <c r="DS46" i="17"/>
  <c r="DT46" i="17" s="1"/>
  <c r="DU46" i="17" s="1"/>
  <c r="BI46" i="17"/>
  <c r="X46" i="17"/>
  <c r="AF46" i="17" s="1"/>
  <c r="R46" i="17"/>
  <c r="AA46" i="17" s="1"/>
  <c r="DS45" i="17"/>
  <c r="DT45" i="17" s="1"/>
  <c r="DU45" i="17" s="1"/>
  <c r="BI45" i="17"/>
  <c r="X45" i="17"/>
  <c r="AF45" i="17" s="1"/>
  <c r="R45" i="17"/>
  <c r="AA45" i="17" s="1"/>
  <c r="DS44" i="17"/>
  <c r="DT44" i="17" s="1"/>
  <c r="DU44" i="17" s="1"/>
  <c r="BI44" i="17"/>
  <c r="AA44" i="17"/>
  <c r="X44" i="17"/>
  <c r="AF44" i="17" s="1"/>
  <c r="R44" i="17"/>
  <c r="DS43" i="17"/>
  <c r="DT43" i="17" s="1"/>
  <c r="DU43" i="17" s="1"/>
  <c r="BI43" i="17"/>
  <c r="X43" i="17"/>
  <c r="AF43" i="17" s="1"/>
  <c r="R43" i="17"/>
  <c r="AA43" i="17" s="1"/>
  <c r="DS42" i="17"/>
  <c r="DT42" i="17" s="1"/>
  <c r="DU42" i="17" s="1"/>
  <c r="BI42" i="17"/>
  <c r="X42" i="17"/>
  <c r="AF42" i="17" s="1"/>
  <c r="R42" i="17"/>
  <c r="AA42" i="17" s="1"/>
  <c r="DS41" i="17"/>
  <c r="DT41" i="17" s="1"/>
  <c r="DU41" i="17" s="1"/>
  <c r="BI41" i="17"/>
  <c r="AF41" i="17"/>
  <c r="X41" i="17"/>
  <c r="R41" i="17"/>
  <c r="AA41" i="17" s="1"/>
  <c r="DS40" i="17"/>
  <c r="DT40" i="17" s="1"/>
  <c r="DU40" i="17" s="1"/>
  <c r="BI40" i="17"/>
  <c r="X40" i="17"/>
  <c r="AF40" i="17" s="1"/>
  <c r="R40" i="17"/>
  <c r="AA40" i="17" s="1"/>
  <c r="DS39" i="17"/>
  <c r="DT39" i="17" s="1"/>
  <c r="DU39" i="17" s="1"/>
  <c r="BI39" i="17"/>
  <c r="X39" i="17"/>
  <c r="AF39" i="17" s="1"/>
  <c r="R39" i="17"/>
  <c r="AA39" i="17" s="1"/>
  <c r="DS38" i="17"/>
  <c r="DT38" i="17" s="1"/>
  <c r="DU38" i="17" s="1"/>
  <c r="BI38" i="17"/>
  <c r="X38" i="17"/>
  <c r="AF38" i="17" s="1"/>
  <c r="R38" i="17"/>
  <c r="AA38" i="17" s="1"/>
  <c r="DS37" i="17"/>
  <c r="DT37" i="17" s="1"/>
  <c r="DU37" i="17" s="1"/>
  <c r="BI37" i="17"/>
  <c r="X37" i="17"/>
  <c r="AF37" i="17" s="1"/>
  <c r="R37" i="17"/>
  <c r="AA37" i="17" s="1"/>
  <c r="DS36" i="17"/>
  <c r="DT36" i="17" s="1"/>
  <c r="DU36" i="17" s="1"/>
  <c r="BI36" i="17"/>
  <c r="X36" i="17"/>
  <c r="AF36" i="17" s="1"/>
  <c r="R36" i="17"/>
  <c r="AA36" i="17" s="1"/>
  <c r="DS35" i="17"/>
  <c r="DT35" i="17" s="1"/>
  <c r="DU35" i="17" s="1"/>
  <c r="BI35" i="17"/>
  <c r="X35" i="17"/>
  <c r="AF35" i="17" s="1"/>
  <c r="R35" i="17"/>
  <c r="AA35" i="17" s="1"/>
  <c r="DS34" i="17"/>
  <c r="DT34" i="17" s="1"/>
  <c r="DU34" i="17" s="1"/>
  <c r="BI34" i="17"/>
  <c r="X34" i="17"/>
  <c r="AF34" i="17" s="1"/>
  <c r="R34" i="17"/>
  <c r="AA34" i="17" s="1"/>
  <c r="DS33" i="17"/>
  <c r="DT33" i="17" s="1"/>
  <c r="DU33" i="17" s="1"/>
  <c r="BI33" i="17"/>
  <c r="X33" i="17"/>
  <c r="AF33" i="17" s="1"/>
  <c r="R33" i="17"/>
  <c r="AA33" i="17" s="1"/>
  <c r="DS32" i="17"/>
  <c r="DT32" i="17" s="1"/>
  <c r="DU32" i="17" s="1"/>
  <c r="BI32" i="17"/>
  <c r="X32" i="17"/>
  <c r="AF32" i="17" s="1"/>
  <c r="R32" i="17"/>
  <c r="AA32" i="17" s="1"/>
  <c r="DS31" i="17"/>
  <c r="DT31" i="17" s="1"/>
  <c r="DU31" i="17" s="1"/>
  <c r="BI31" i="17"/>
  <c r="X31" i="17"/>
  <c r="AF31" i="17" s="1"/>
  <c r="R31" i="17"/>
  <c r="AA31" i="17" s="1"/>
  <c r="BI30" i="17"/>
  <c r="X30" i="17"/>
  <c r="AF30" i="17" s="1"/>
  <c r="R30" i="17"/>
  <c r="AA30" i="17" s="1"/>
  <c r="BI29" i="17"/>
  <c r="X29" i="17"/>
  <c r="AF29" i="17" s="1"/>
  <c r="R29" i="17"/>
  <c r="AA29" i="17" s="1"/>
  <c r="BI28" i="17"/>
  <c r="X28" i="17"/>
  <c r="AF28" i="17" s="1"/>
  <c r="R28" i="17"/>
  <c r="AA28" i="17" s="1"/>
  <c r="BI27" i="17"/>
  <c r="X27" i="17"/>
  <c r="AF27" i="17" s="1"/>
  <c r="R27" i="17"/>
  <c r="AA27" i="17" s="1"/>
  <c r="BI26" i="17"/>
  <c r="X26" i="17"/>
  <c r="AF26" i="17" s="1"/>
  <c r="R26" i="17"/>
  <c r="AA26" i="17" s="1"/>
  <c r="BI25" i="17"/>
  <c r="X25" i="17"/>
  <c r="AF25" i="17" s="1"/>
  <c r="R25" i="17"/>
  <c r="AA25" i="17" s="1"/>
  <c r="BI24" i="17"/>
  <c r="X24" i="17"/>
  <c r="AF24" i="17" s="1"/>
  <c r="R24" i="17"/>
  <c r="AA24" i="17" s="1"/>
  <c r="BI23" i="17"/>
  <c r="X23" i="17"/>
  <c r="AF23" i="17" s="1"/>
  <c r="R23" i="17"/>
  <c r="AA23" i="17" s="1"/>
  <c r="BI22" i="17"/>
  <c r="X22" i="17"/>
  <c r="AF22" i="17" s="1"/>
  <c r="R22" i="17"/>
  <c r="AA22" i="17" s="1"/>
  <c r="BI21" i="17"/>
  <c r="BH21" i="17"/>
  <c r="AU21" i="17"/>
  <c r="AU22" i="17" s="1"/>
  <c r="AU23" i="17" s="1"/>
  <c r="AU24" i="17" s="1"/>
  <c r="AU25" i="17" s="1"/>
  <c r="AU26" i="17" s="1"/>
  <c r="AU27" i="17" s="1"/>
  <c r="AU28" i="17" s="1"/>
  <c r="AU29" i="17" s="1"/>
  <c r="AU30" i="17" s="1"/>
  <c r="AR21" i="17"/>
  <c r="AR22" i="17" s="1"/>
  <c r="AR23" i="17" s="1"/>
  <c r="AR24" i="17" s="1"/>
  <c r="AR25" i="17" s="1"/>
  <c r="AR26" i="17" s="1"/>
  <c r="AR27" i="17" s="1"/>
  <c r="AR28" i="17" s="1"/>
  <c r="AR29" i="17" s="1"/>
  <c r="AR30" i="17" s="1"/>
  <c r="AR31" i="17" s="1"/>
  <c r="AR32" i="17" s="1"/>
  <c r="AR33" i="17" s="1"/>
  <c r="AR34" i="17" s="1"/>
  <c r="AR35" i="17" s="1"/>
  <c r="AR36" i="17" s="1"/>
  <c r="AR37" i="17" s="1"/>
  <c r="AR38" i="17" s="1"/>
  <c r="AR39" i="17" s="1"/>
  <c r="AR40" i="17" s="1"/>
  <c r="AR41" i="17" s="1"/>
  <c r="AR42" i="17" s="1"/>
  <c r="AR43" i="17" s="1"/>
  <c r="AR44" i="17" s="1"/>
  <c r="AR45" i="17" s="1"/>
  <c r="AR46" i="17" s="1"/>
  <c r="AR47" i="17" s="1"/>
  <c r="AR48" i="17" s="1"/>
  <c r="AR49" i="17" s="1"/>
  <c r="AR50" i="17" s="1"/>
  <c r="AR51" i="17" s="1"/>
  <c r="AR52" i="17" s="1"/>
  <c r="AR53" i="17" s="1"/>
  <c r="AR54" i="17" s="1"/>
  <c r="AR55" i="17" s="1"/>
  <c r="AR56" i="17" s="1"/>
  <c r="AR57" i="17" s="1"/>
  <c r="AR58" i="17" s="1"/>
  <c r="AR59" i="17" s="1"/>
  <c r="AR60" i="17" s="1"/>
  <c r="AR61" i="17" s="1"/>
  <c r="AR62" i="17" s="1"/>
  <c r="AR63" i="17" s="1"/>
  <c r="AR64" i="17" s="1"/>
  <c r="AR65" i="17" s="1"/>
  <c r="AR66" i="17" s="1"/>
  <c r="AR67" i="17" s="1"/>
  <c r="AR68" i="17" s="1"/>
  <c r="AR69" i="17" s="1"/>
  <c r="AR70" i="17" s="1"/>
  <c r="AR71" i="17" s="1"/>
  <c r="AR72" i="17" s="1"/>
  <c r="AR73" i="17" s="1"/>
  <c r="AR74" i="17" s="1"/>
  <c r="AR75" i="17" s="1"/>
  <c r="AR76" i="17" s="1"/>
  <c r="AR77" i="17" s="1"/>
  <c r="AR78" i="17" s="1"/>
  <c r="AR79" i="17" s="1"/>
  <c r="AR80" i="17" s="1"/>
  <c r="AR81" i="17" s="1"/>
  <c r="AR82" i="17" s="1"/>
  <c r="AR83" i="17" s="1"/>
  <c r="AR84" i="17" s="1"/>
  <c r="AR85" i="17" s="1"/>
  <c r="AR86" i="17" s="1"/>
  <c r="AR87" i="17" s="1"/>
  <c r="AR88" i="17" s="1"/>
  <c r="AR89" i="17" s="1"/>
  <c r="AR90" i="17" s="1"/>
  <c r="AR91" i="17" s="1"/>
  <c r="AR92" i="17" s="1"/>
  <c r="AR93" i="17" s="1"/>
  <c r="AR94" i="17" s="1"/>
  <c r="AR95" i="17" s="1"/>
  <c r="AR96" i="17" s="1"/>
  <c r="AR97" i="17" s="1"/>
  <c r="AR98" i="17" s="1"/>
  <c r="AR99" i="17" s="1"/>
  <c r="AR100" i="17" s="1"/>
  <c r="AR101" i="17" s="1"/>
  <c r="AR102" i="17" s="1"/>
  <c r="AR103" i="17" s="1"/>
  <c r="AR104" i="17" s="1"/>
  <c r="AR105" i="17" s="1"/>
  <c r="AR106" i="17" s="1"/>
  <c r="AR107" i="17" s="1"/>
  <c r="AR108" i="17" s="1"/>
  <c r="AR109" i="17" s="1"/>
  <c r="AR110" i="17" s="1"/>
  <c r="AR111" i="17" s="1"/>
  <c r="AR112" i="17" s="1"/>
  <c r="AR113" i="17" s="1"/>
  <c r="AR114" i="17" s="1"/>
  <c r="AR115" i="17" s="1"/>
  <c r="AR116" i="17" s="1"/>
  <c r="AR117" i="17" s="1"/>
  <c r="AR118" i="17" s="1"/>
  <c r="AR119" i="17" s="1"/>
  <c r="AR120" i="17" s="1"/>
  <c r="AR121" i="17" s="1"/>
  <c r="AR122" i="17" s="1"/>
  <c r="AR123" i="17" s="1"/>
  <c r="AR124" i="17" s="1"/>
  <c r="AR125" i="17" s="1"/>
  <c r="AR126" i="17" s="1"/>
  <c r="AR127" i="17" s="1"/>
  <c r="AR128" i="17" s="1"/>
  <c r="AR129" i="17" s="1"/>
  <c r="AR130" i="17" s="1"/>
  <c r="AR131" i="17" s="1"/>
  <c r="AR132" i="17" s="1"/>
  <c r="AR133" i="17" s="1"/>
  <c r="AR134" i="17" s="1"/>
  <c r="AR135" i="17" s="1"/>
  <c r="AR136" i="17" s="1"/>
  <c r="AR137" i="17" s="1"/>
  <c r="AR138" i="17" s="1"/>
  <c r="AR139" i="17" s="1"/>
  <c r="AR140" i="17" s="1"/>
  <c r="AR141" i="17" s="1"/>
  <c r="AR142" i="17" s="1"/>
  <c r="AR143" i="17" s="1"/>
  <c r="AR144" i="17" s="1"/>
  <c r="AR145" i="17" s="1"/>
  <c r="AR146" i="17" s="1"/>
  <c r="AR147" i="17" s="1"/>
  <c r="AR148" i="17" s="1"/>
  <c r="AR149" i="17" s="1"/>
  <c r="AR150" i="17" s="1"/>
  <c r="AR151" i="17" s="1"/>
  <c r="AR152" i="17" s="1"/>
  <c r="AR153" i="17" s="1"/>
  <c r="AR154" i="17" s="1"/>
  <c r="AR155" i="17" s="1"/>
  <c r="AR156" i="17" s="1"/>
  <c r="AR157" i="17" s="1"/>
  <c r="AR158" i="17" s="1"/>
  <c r="AR159" i="17" s="1"/>
  <c r="AR160" i="17" s="1"/>
  <c r="AR161" i="17" s="1"/>
  <c r="AR162" i="17" s="1"/>
  <c r="AR163" i="17" s="1"/>
  <c r="AR164" i="17" s="1"/>
  <c r="AR165" i="17" s="1"/>
  <c r="AR166" i="17" s="1"/>
  <c r="AR167" i="17" s="1"/>
  <c r="AR168" i="17" s="1"/>
  <c r="AR169" i="17" s="1"/>
  <c r="AR170" i="17" s="1"/>
  <c r="AR171" i="17" s="1"/>
  <c r="AR172" i="17" s="1"/>
  <c r="AR173" i="17" s="1"/>
  <c r="AR174" i="17" s="1"/>
  <c r="AR175" i="17" s="1"/>
  <c r="AR176" i="17" s="1"/>
  <c r="AR177" i="17" s="1"/>
  <c r="AR178" i="17" s="1"/>
  <c r="AR179" i="17" s="1"/>
  <c r="AR180" i="17" s="1"/>
  <c r="AR181" i="17" s="1"/>
  <c r="AR182" i="17" s="1"/>
  <c r="AR183" i="17" s="1"/>
  <c r="AR184" i="17" s="1"/>
  <c r="AR185" i="17" s="1"/>
  <c r="AR186" i="17" s="1"/>
  <c r="AR187" i="17" s="1"/>
  <c r="AR188" i="17" s="1"/>
  <c r="AR189" i="17" s="1"/>
  <c r="AR190" i="17" s="1"/>
  <c r="AR191" i="17" s="1"/>
  <c r="AR192" i="17" s="1"/>
  <c r="AR193" i="17" s="1"/>
  <c r="AR194" i="17" s="1"/>
  <c r="AR195" i="17" s="1"/>
  <c r="AR196" i="17" s="1"/>
  <c r="AR197" i="17" s="1"/>
  <c r="AR198" i="17" s="1"/>
  <c r="AR199" i="17" s="1"/>
  <c r="AR200" i="17" s="1"/>
  <c r="AR201" i="17" s="1"/>
  <c r="AR202" i="17" s="1"/>
  <c r="AR203" i="17" s="1"/>
  <c r="AR204" i="17" s="1"/>
  <c r="AR205" i="17" s="1"/>
  <c r="AR206" i="17" s="1"/>
  <c r="AR207" i="17" s="1"/>
  <c r="AR208" i="17" s="1"/>
  <c r="AR209" i="17" s="1"/>
  <c r="AR210" i="17" s="1"/>
  <c r="AR211" i="17" s="1"/>
  <c r="AR212" i="17" s="1"/>
  <c r="AR213" i="17" s="1"/>
  <c r="AR214" i="17" s="1"/>
  <c r="AR215" i="17" s="1"/>
  <c r="AR216" i="17" s="1"/>
  <c r="AR217" i="17" s="1"/>
  <c r="AR218" i="17" s="1"/>
  <c r="AR219" i="17" s="1"/>
  <c r="AR220" i="17" s="1"/>
  <c r="AR221" i="17" s="1"/>
  <c r="AR222" i="17" s="1"/>
  <c r="AR223" i="17" s="1"/>
  <c r="AR224" i="17" s="1"/>
  <c r="AR225" i="17" s="1"/>
  <c r="AR226" i="17" s="1"/>
  <c r="AR227" i="17" s="1"/>
  <c r="AR228" i="17" s="1"/>
  <c r="AR229" i="17" s="1"/>
  <c r="AR230" i="17" s="1"/>
  <c r="AR231" i="17" s="1"/>
  <c r="AR232" i="17" s="1"/>
  <c r="AR233" i="17" s="1"/>
  <c r="AR234" i="17" s="1"/>
  <c r="AR235" i="17" s="1"/>
  <c r="AR236" i="17" s="1"/>
  <c r="AR237" i="17" s="1"/>
  <c r="AR238" i="17" s="1"/>
  <c r="AR239" i="17" s="1"/>
  <c r="AR240" i="17" s="1"/>
  <c r="AR241" i="17" s="1"/>
  <c r="AR242" i="17" s="1"/>
  <c r="AR243" i="17" s="1"/>
  <c r="AR244" i="17" s="1"/>
  <c r="AR245" i="17" s="1"/>
  <c r="AR246" i="17" s="1"/>
  <c r="AR247" i="17" s="1"/>
  <c r="AR248" i="17" s="1"/>
  <c r="AR249" i="17" s="1"/>
  <c r="AR250" i="17" s="1"/>
  <c r="AR251" i="17" s="1"/>
  <c r="AR252" i="17" s="1"/>
  <c r="AR253" i="17" s="1"/>
  <c r="AR254" i="17" s="1"/>
  <c r="AR255" i="17" s="1"/>
  <c r="AR256" i="17" s="1"/>
  <c r="AR257" i="17" s="1"/>
  <c r="AR258" i="17" s="1"/>
  <c r="AR259" i="17" s="1"/>
  <c r="AR260" i="17" s="1"/>
  <c r="AR261" i="17" s="1"/>
  <c r="AR262" i="17" s="1"/>
  <c r="AR263" i="17" s="1"/>
  <c r="AR264" i="17" s="1"/>
  <c r="AR265" i="17" s="1"/>
  <c r="AR266" i="17" s="1"/>
  <c r="AR267" i="17" s="1"/>
  <c r="AR268" i="17" s="1"/>
  <c r="AR269" i="17" s="1"/>
  <c r="AR270" i="17" s="1"/>
  <c r="AR271" i="17" s="1"/>
  <c r="AR272" i="17" s="1"/>
  <c r="AR273" i="17" s="1"/>
  <c r="AR274" i="17" s="1"/>
  <c r="AR275" i="17" s="1"/>
  <c r="AR276" i="17" s="1"/>
  <c r="AR277" i="17" s="1"/>
  <c r="AR278" i="17" s="1"/>
  <c r="AR279" i="17" s="1"/>
  <c r="AR280" i="17" s="1"/>
  <c r="AR281" i="17" s="1"/>
  <c r="AR282" i="17" s="1"/>
  <c r="AR283" i="17" s="1"/>
  <c r="AR284" i="17" s="1"/>
  <c r="AR285" i="17" s="1"/>
  <c r="AR286" i="17" s="1"/>
  <c r="AR287" i="17" s="1"/>
  <c r="AR288" i="17" s="1"/>
  <c r="AR289" i="17" s="1"/>
  <c r="AR290" i="17" s="1"/>
  <c r="AR291" i="17" s="1"/>
  <c r="AR292" i="17" s="1"/>
  <c r="AR293" i="17" s="1"/>
  <c r="AR294" i="17" s="1"/>
  <c r="AR295" i="17" s="1"/>
  <c r="AR296" i="17" s="1"/>
  <c r="AR297" i="17" s="1"/>
  <c r="AR298" i="17" s="1"/>
  <c r="AR299" i="17" s="1"/>
  <c r="AR300" i="17" s="1"/>
  <c r="AR301" i="17" s="1"/>
  <c r="AR302" i="17" s="1"/>
  <c r="AR303" i="17" s="1"/>
  <c r="AR304" i="17" s="1"/>
  <c r="AR305" i="17" s="1"/>
  <c r="AR306" i="17" s="1"/>
  <c r="AR307" i="17" s="1"/>
  <c r="AR308" i="17" s="1"/>
  <c r="AR309" i="17" s="1"/>
  <c r="AR310" i="17" s="1"/>
  <c r="AR311" i="17" s="1"/>
  <c r="AR312" i="17" s="1"/>
  <c r="AR313" i="17" s="1"/>
  <c r="AR314" i="17" s="1"/>
  <c r="AR315" i="17" s="1"/>
  <c r="AR316" i="17" s="1"/>
  <c r="AR317" i="17" s="1"/>
  <c r="AR318" i="17" s="1"/>
  <c r="AR319" i="17" s="1"/>
  <c r="AR320" i="17" s="1"/>
  <c r="AR321" i="17" s="1"/>
  <c r="AR322" i="17" s="1"/>
  <c r="AR323" i="17" s="1"/>
  <c r="AR324" i="17" s="1"/>
  <c r="AR325" i="17" s="1"/>
  <c r="AR326" i="17" s="1"/>
  <c r="AR327" i="17" s="1"/>
  <c r="AR328" i="17" s="1"/>
  <c r="AR329" i="17" s="1"/>
  <c r="AR330" i="17" s="1"/>
  <c r="AR331" i="17" s="1"/>
  <c r="AR332" i="17" s="1"/>
  <c r="AR333" i="17" s="1"/>
  <c r="AR334" i="17" s="1"/>
  <c r="AR335" i="17" s="1"/>
  <c r="AR336" i="17" s="1"/>
  <c r="AR337" i="17" s="1"/>
  <c r="AR338" i="17" s="1"/>
  <c r="AR339" i="17" s="1"/>
  <c r="AR340" i="17" s="1"/>
  <c r="AR341" i="17" s="1"/>
  <c r="AR342" i="17" s="1"/>
  <c r="AR343" i="17" s="1"/>
  <c r="AR344" i="17" s="1"/>
  <c r="AR345" i="17" s="1"/>
  <c r="AR346" i="17" s="1"/>
  <c r="AR347" i="17" s="1"/>
  <c r="AR348" i="17" s="1"/>
  <c r="AR349" i="17" s="1"/>
  <c r="AR350" i="17" s="1"/>
  <c r="AR351" i="17" s="1"/>
  <c r="AR352" i="17" s="1"/>
  <c r="AR353" i="17" s="1"/>
  <c r="AR354" i="17" s="1"/>
  <c r="AR355" i="17" s="1"/>
  <c r="AR356" i="17" s="1"/>
  <c r="AR357" i="17" s="1"/>
  <c r="AR358" i="17" s="1"/>
  <c r="AR359" i="17" s="1"/>
  <c r="AR360" i="17" s="1"/>
  <c r="AR361" i="17" s="1"/>
  <c r="AR362" i="17" s="1"/>
  <c r="AR363" i="17" s="1"/>
  <c r="AR364" i="17" s="1"/>
  <c r="AR365" i="17" s="1"/>
  <c r="AR366" i="17" s="1"/>
  <c r="AR367" i="17" s="1"/>
  <c r="AR368" i="17" s="1"/>
  <c r="AR369" i="17" s="1"/>
  <c r="AR370" i="17" s="1"/>
  <c r="AR371" i="17" s="1"/>
  <c r="AR372" i="17" s="1"/>
  <c r="AR373" i="17" s="1"/>
  <c r="AR374" i="17" s="1"/>
  <c r="AR375" i="17" s="1"/>
  <c r="AR376" i="17" s="1"/>
  <c r="AR377" i="17" s="1"/>
  <c r="AR378" i="17" s="1"/>
  <c r="AR379" i="17" s="1"/>
  <c r="AR380" i="17" s="1"/>
  <c r="AR381" i="17" s="1"/>
  <c r="AR382" i="17" s="1"/>
  <c r="AR383" i="17" s="1"/>
  <c r="AR384" i="17" s="1"/>
  <c r="AR385" i="17" s="1"/>
  <c r="AR386" i="17" s="1"/>
  <c r="AR387" i="17" s="1"/>
  <c r="AR388" i="17" s="1"/>
  <c r="AR389" i="17" s="1"/>
  <c r="AR390" i="17" s="1"/>
  <c r="AR391" i="17" s="1"/>
  <c r="AR392" i="17" s="1"/>
  <c r="AR393" i="17" s="1"/>
  <c r="AR394" i="17" s="1"/>
  <c r="AR395" i="17" s="1"/>
  <c r="AR396" i="17" s="1"/>
  <c r="AR397" i="17" s="1"/>
  <c r="AR398" i="17" s="1"/>
  <c r="AR399" i="17" s="1"/>
  <c r="AR400" i="17" s="1"/>
  <c r="AR401" i="17" s="1"/>
  <c r="AR402" i="17" s="1"/>
  <c r="AR403" i="17" s="1"/>
  <c r="AR404" i="17" s="1"/>
  <c r="AR405" i="17" s="1"/>
  <c r="AR406" i="17" s="1"/>
  <c r="AR407" i="17" s="1"/>
  <c r="AR408" i="17" s="1"/>
  <c r="AR409" i="17" s="1"/>
  <c r="AR410" i="17" s="1"/>
  <c r="AR411" i="17" s="1"/>
  <c r="AR412" i="17" s="1"/>
  <c r="AR413" i="17" s="1"/>
  <c r="AR414" i="17" s="1"/>
  <c r="AR415" i="17" s="1"/>
  <c r="AR416" i="17" s="1"/>
  <c r="AR417" i="17" s="1"/>
  <c r="AR418" i="17" s="1"/>
  <c r="AR419" i="17" s="1"/>
  <c r="AR420" i="17" s="1"/>
  <c r="AR421" i="17" s="1"/>
  <c r="AR422" i="17" s="1"/>
  <c r="AR423" i="17" s="1"/>
  <c r="AR424" i="17" s="1"/>
  <c r="AR425" i="17" s="1"/>
  <c r="AR426" i="17" s="1"/>
  <c r="AR427" i="17" s="1"/>
  <c r="AR428" i="17" s="1"/>
  <c r="AR429" i="17" s="1"/>
  <c r="AR430" i="17" s="1"/>
  <c r="AR431" i="17" s="1"/>
  <c r="AR432" i="17" s="1"/>
  <c r="AR433" i="17" s="1"/>
  <c r="AR434" i="17" s="1"/>
  <c r="AR435" i="17" s="1"/>
  <c r="AR436" i="17" s="1"/>
  <c r="AR437" i="17" s="1"/>
  <c r="AR438" i="17" s="1"/>
  <c r="AR439" i="17" s="1"/>
  <c r="AR440" i="17" s="1"/>
  <c r="AR441" i="17" s="1"/>
  <c r="AR442" i="17" s="1"/>
  <c r="AR443" i="17" s="1"/>
  <c r="AR444" i="17" s="1"/>
  <c r="AR445" i="17" s="1"/>
  <c r="AR446" i="17" s="1"/>
  <c r="AR447" i="17" s="1"/>
  <c r="AR448" i="17" s="1"/>
  <c r="AR449" i="17" s="1"/>
  <c r="AR450" i="17" s="1"/>
  <c r="AR451" i="17" s="1"/>
  <c r="AR452" i="17" s="1"/>
  <c r="AR453" i="17" s="1"/>
  <c r="AR454" i="17" s="1"/>
  <c r="AR455" i="17" s="1"/>
  <c r="AR456" i="17" s="1"/>
  <c r="AR457" i="17" s="1"/>
  <c r="AR458" i="17" s="1"/>
  <c r="AR459" i="17" s="1"/>
  <c r="AR460" i="17" s="1"/>
  <c r="AR461" i="17" s="1"/>
  <c r="AR462" i="17" s="1"/>
  <c r="AR463" i="17" s="1"/>
  <c r="AR464" i="17" s="1"/>
  <c r="AR465" i="17" s="1"/>
  <c r="AR466" i="17" s="1"/>
  <c r="AR467" i="17" s="1"/>
  <c r="AR468" i="17" s="1"/>
  <c r="AR469" i="17" s="1"/>
  <c r="AR470" i="17" s="1"/>
  <c r="AR471" i="17" s="1"/>
  <c r="AR472" i="17" s="1"/>
  <c r="AR473" i="17" s="1"/>
  <c r="AR474" i="17" s="1"/>
  <c r="AR475" i="17" s="1"/>
  <c r="AR476" i="17" s="1"/>
  <c r="AR477" i="17" s="1"/>
  <c r="AR478" i="17" s="1"/>
  <c r="AR479" i="17" s="1"/>
  <c r="AR480" i="17" s="1"/>
  <c r="AR481" i="17" s="1"/>
  <c r="AR482" i="17" s="1"/>
  <c r="AR483" i="17" s="1"/>
  <c r="AR484" i="17" s="1"/>
  <c r="AR485" i="17" s="1"/>
  <c r="AR486" i="17" s="1"/>
  <c r="AR487" i="17" s="1"/>
  <c r="AR488" i="17" s="1"/>
  <c r="AR489" i="17" s="1"/>
  <c r="AR490" i="17" s="1"/>
  <c r="AR491" i="17" s="1"/>
  <c r="AR492" i="17" s="1"/>
  <c r="AR493" i="17" s="1"/>
  <c r="AR494" i="17" s="1"/>
  <c r="AR495" i="17" s="1"/>
  <c r="AR496" i="17" s="1"/>
  <c r="AR497" i="17" s="1"/>
  <c r="AR498" i="17" s="1"/>
  <c r="AR499" i="17" s="1"/>
  <c r="AR500" i="17" s="1"/>
  <c r="AR501" i="17" s="1"/>
  <c r="AR502" i="17" s="1"/>
  <c r="AR503" i="17" s="1"/>
  <c r="AR504" i="17" s="1"/>
  <c r="AR505" i="17" s="1"/>
  <c r="AR506" i="17" s="1"/>
  <c r="AR507" i="17" s="1"/>
  <c r="AR508" i="17" s="1"/>
  <c r="AR509" i="17" s="1"/>
  <c r="AR510" i="17" s="1"/>
  <c r="AR511" i="17" s="1"/>
  <c r="AR512" i="17" s="1"/>
  <c r="AR513" i="17" s="1"/>
  <c r="AR514" i="17" s="1"/>
  <c r="AR515" i="17" s="1"/>
  <c r="AR516" i="17" s="1"/>
  <c r="AR517" i="17" s="1"/>
  <c r="AR518" i="17" s="1"/>
  <c r="AR519" i="17" s="1"/>
  <c r="AR520" i="17" s="1"/>
  <c r="AR521" i="17" s="1"/>
  <c r="AR522" i="17" s="1"/>
  <c r="AR523" i="17" s="1"/>
  <c r="AR524" i="17" s="1"/>
  <c r="AR525" i="17" s="1"/>
  <c r="AR526" i="17" s="1"/>
  <c r="AR527" i="17" s="1"/>
  <c r="AR528" i="17" s="1"/>
  <c r="AR529" i="17" s="1"/>
  <c r="AR530" i="17" s="1"/>
  <c r="AR531" i="17" s="1"/>
  <c r="AR532" i="17" s="1"/>
  <c r="AR533" i="17" s="1"/>
  <c r="AR534" i="17" s="1"/>
  <c r="AR535" i="17" s="1"/>
  <c r="AR536" i="17" s="1"/>
  <c r="AR537" i="17" s="1"/>
  <c r="AR538" i="17" s="1"/>
  <c r="AR539" i="17" s="1"/>
  <c r="AR540" i="17" s="1"/>
  <c r="AR541" i="17" s="1"/>
  <c r="AR542" i="17" s="1"/>
  <c r="AR543" i="17" s="1"/>
  <c r="AR544" i="17" s="1"/>
  <c r="AR545" i="17" s="1"/>
  <c r="AR546" i="17" s="1"/>
  <c r="AR547" i="17" s="1"/>
  <c r="AR548" i="17" s="1"/>
  <c r="AR549" i="17" s="1"/>
  <c r="AR550" i="17" s="1"/>
  <c r="AR551" i="17" s="1"/>
  <c r="AR552" i="17" s="1"/>
  <c r="AR553" i="17" s="1"/>
  <c r="AR554" i="17" s="1"/>
  <c r="AR555" i="17" s="1"/>
  <c r="AR556" i="17" s="1"/>
  <c r="AR557" i="17" s="1"/>
  <c r="AR558" i="17" s="1"/>
  <c r="AR559" i="17" s="1"/>
  <c r="AR560" i="17" s="1"/>
  <c r="AR561" i="17" s="1"/>
  <c r="AR562" i="17" s="1"/>
  <c r="AR563" i="17" s="1"/>
  <c r="AR564" i="17" s="1"/>
  <c r="AG21" i="17"/>
  <c r="X21" i="17"/>
  <c r="AF21" i="17" s="1"/>
  <c r="R21" i="17"/>
  <c r="AA21" i="17" s="1"/>
  <c r="L21" i="17"/>
  <c r="BI20" i="17"/>
  <c r="X20" i="17"/>
  <c r="AF20" i="17" s="1"/>
  <c r="R20" i="17"/>
  <c r="AA20" i="17" s="1"/>
  <c r="Q20" i="17"/>
  <c r="X38" i="16"/>
  <c r="X39" i="16" s="1"/>
  <c r="X40" i="16" s="1"/>
  <c r="X41" i="16" s="1"/>
  <c r="X42" i="16" s="1"/>
  <c r="X43" i="16" s="1"/>
  <c r="X44" i="16" s="1"/>
  <c r="W38" i="16"/>
  <c r="V38" i="16"/>
  <c r="U38" i="16"/>
  <c r="U39" i="16" s="1"/>
  <c r="U40" i="16" s="1"/>
  <c r="U41" i="16" s="1"/>
  <c r="U42" i="16" s="1"/>
  <c r="U43" i="16" s="1"/>
  <c r="U44" i="16" s="1"/>
  <c r="T38" i="16"/>
  <c r="T45" i="16" s="1"/>
  <c r="S38" i="16"/>
  <c r="R38" i="16"/>
  <c r="Q38" i="16"/>
  <c r="Q45" i="16" s="1"/>
  <c r="P38" i="16"/>
  <c r="P39" i="16" s="1"/>
  <c r="P40" i="16" s="1"/>
  <c r="P41" i="16" s="1"/>
  <c r="P42" i="16" s="1"/>
  <c r="P43" i="16" s="1"/>
  <c r="P44" i="16" s="1"/>
  <c r="O38" i="16"/>
  <c r="N38" i="16"/>
  <c r="M38" i="16"/>
  <c r="M39" i="16" s="1"/>
  <c r="M40" i="16" s="1"/>
  <c r="M41" i="16" s="1"/>
  <c r="M42" i="16" s="1"/>
  <c r="M43" i="16" s="1"/>
  <c r="M44" i="16" s="1"/>
  <c r="L38" i="16"/>
  <c r="L45" i="16" s="1"/>
  <c r="K38" i="16"/>
  <c r="J38" i="16"/>
  <c r="I38" i="16"/>
  <c r="I45" i="16" s="1"/>
  <c r="H38" i="16"/>
  <c r="H39" i="16" s="1"/>
  <c r="H40" i="16" s="1"/>
  <c r="H41" i="16" s="1"/>
  <c r="H42" i="16" s="1"/>
  <c r="H43" i="16" s="1"/>
  <c r="H44" i="16" s="1"/>
  <c r="G38" i="16"/>
  <c r="F38" i="16"/>
  <c r="E38" i="16"/>
  <c r="E39" i="16" s="1"/>
  <c r="E40" i="16" s="1"/>
  <c r="E41" i="16" s="1"/>
  <c r="E42" i="16" s="1"/>
  <c r="E43" i="16" s="1"/>
  <c r="E44" i="16" s="1"/>
  <c r="D38" i="16"/>
  <c r="D45" i="16" s="1"/>
  <c r="C38" i="16"/>
  <c r="B38" i="16"/>
  <c r="A38" i="16"/>
  <c r="A45" i="16" s="1"/>
  <c r="Q32" i="16"/>
  <c r="Q33" i="16" s="1"/>
  <c r="Q34" i="16" s="1"/>
  <c r="Q35" i="16" s="1"/>
  <c r="Q36" i="16" s="1"/>
  <c r="Q37" i="16" s="1"/>
  <c r="P32" i="16"/>
  <c r="P33" i="16" s="1"/>
  <c r="P34" i="16" s="1"/>
  <c r="P35" i="16" s="1"/>
  <c r="P36" i="16" s="1"/>
  <c r="P37" i="16" s="1"/>
  <c r="O32" i="16"/>
  <c r="O33" i="16" s="1"/>
  <c r="O34" i="16" s="1"/>
  <c r="O35" i="16" s="1"/>
  <c r="O36" i="16" s="1"/>
  <c r="O37" i="16" s="1"/>
  <c r="N32" i="16"/>
  <c r="N33" i="16" s="1"/>
  <c r="N34" i="16" s="1"/>
  <c r="N35" i="16" s="1"/>
  <c r="N36" i="16" s="1"/>
  <c r="N37" i="16" s="1"/>
  <c r="M32" i="16"/>
  <c r="M33" i="16" s="1"/>
  <c r="M34" i="16" s="1"/>
  <c r="M35" i="16" s="1"/>
  <c r="M36" i="16" s="1"/>
  <c r="M37" i="16" s="1"/>
  <c r="L32" i="16"/>
  <c r="L33" i="16" s="1"/>
  <c r="L34" i="16" s="1"/>
  <c r="L35" i="16" s="1"/>
  <c r="L36" i="16" s="1"/>
  <c r="L37" i="16" s="1"/>
  <c r="K32" i="16"/>
  <c r="K33" i="16" s="1"/>
  <c r="K34" i="16" s="1"/>
  <c r="K35" i="16" s="1"/>
  <c r="K36" i="16" s="1"/>
  <c r="J32" i="16"/>
  <c r="J33" i="16" s="1"/>
  <c r="J34" i="16" s="1"/>
  <c r="J35" i="16" s="1"/>
  <c r="J36" i="16" s="1"/>
  <c r="J37" i="16" s="1"/>
  <c r="I32" i="16"/>
  <c r="I33" i="16" s="1"/>
  <c r="I34" i="16" s="1"/>
  <c r="H32" i="16"/>
  <c r="H33" i="16" s="1"/>
  <c r="H34" i="16" s="1"/>
  <c r="H35" i="16" s="1"/>
  <c r="H36" i="16" s="1"/>
  <c r="H37" i="16" s="1"/>
  <c r="G32" i="16"/>
  <c r="G33" i="16" s="1"/>
  <c r="G34" i="16" s="1"/>
  <c r="G35" i="16" s="1"/>
  <c r="G36" i="16" s="1"/>
  <c r="G37" i="16" s="1"/>
  <c r="F32" i="16"/>
  <c r="F33" i="16" s="1"/>
  <c r="F34" i="16" s="1"/>
  <c r="F35" i="16" s="1"/>
  <c r="E32" i="16"/>
  <c r="E33" i="16" s="1"/>
  <c r="E34" i="16" s="1"/>
  <c r="E35" i="16" s="1"/>
  <c r="E36" i="16" s="1"/>
  <c r="E37" i="16" s="1"/>
  <c r="D32" i="16"/>
  <c r="D33" i="16" s="1"/>
  <c r="D34" i="16" s="1"/>
  <c r="D35" i="16" s="1"/>
  <c r="D36" i="16" s="1"/>
  <c r="D37" i="16" s="1"/>
  <c r="C32" i="16"/>
  <c r="C33" i="16" s="1"/>
  <c r="C34" i="16" s="1"/>
  <c r="C35" i="16" s="1"/>
  <c r="C36" i="16" s="1"/>
  <c r="C37" i="16" s="1"/>
  <c r="B32" i="16"/>
  <c r="B33" i="16" s="1"/>
  <c r="B34" i="16" s="1"/>
  <c r="B35" i="16" s="1"/>
  <c r="B36" i="16" s="1"/>
  <c r="B37" i="16" s="1"/>
  <c r="A32" i="16"/>
  <c r="A33" i="16" s="1"/>
  <c r="A34" i="16" s="1"/>
  <c r="A35" i="16" s="1"/>
  <c r="A36" i="16" s="1"/>
  <c r="A37" i="16" s="1"/>
  <c r="AN31" i="16"/>
  <c r="AN32" i="16" s="1"/>
  <c r="AN33" i="16" s="1"/>
  <c r="AN34" i="16" s="1"/>
  <c r="AN35" i="16" s="1"/>
  <c r="AN36" i="16" s="1"/>
  <c r="AN37" i="16" s="1"/>
  <c r="AN38" i="16" s="1"/>
  <c r="AN39" i="16" s="1"/>
  <c r="AN40" i="16" s="1"/>
  <c r="AN41" i="16" s="1"/>
  <c r="AN42" i="16" s="1"/>
  <c r="AN43" i="16" s="1"/>
  <c r="AN44" i="16" s="1"/>
  <c r="AN45" i="16" s="1"/>
  <c r="AN46" i="16" s="1"/>
  <c r="AN47" i="16" s="1"/>
  <c r="AN48" i="16" s="1"/>
  <c r="AN49" i="16" s="1"/>
  <c r="AN50" i="16" s="1"/>
  <c r="AN51" i="16" s="1"/>
  <c r="AN52" i="16" s="1"/>
  <c r="AN53" i="16" s="1"/>
  <c r="AN54" i="16" s="1"/>
  <c r="AN55" i="16" s="1"/>
  <c r="AN56" i="16" s="1"/>
  <c r="AN57" i="16" s="1"/>
  <c r="AN58" i="16" s="1"/>
  <c r="AN59" i="16" s="1"/>
  <c r="AN60" i="16" s="1"/>
  <c r="AN61" i="16" s="1"/>
  <c r="AN62" i="16" s="1"/>
  <c r="AN63" i="16" s="1"/>
  <c r="AN64" i="16" s="1"/>
  <c r="AN65" i="16" s="1"/>
  <c r="AN66" i="16" s="1"/>
  <c r="AN67" i="16" s="1"/>
  <c r="AN68" i="16" s="1"/>
  <c r="AN69" i="16" s="1"/>
  <c r="AN70" i="16" s="1"/>
  <c r="AN71" i="16" s="1"/>
  <c r="AN72" i="16" s="1"/>
  <c r="AN73" i="16" s="1"/>
  <c r="AN74" i="16" s="1"/>
  <c r="AN75" i="16" s="1"/>
  <c r="AN76" i="16" s="1"/>
  <c r="AN77" i="16" s="1"/>
  <c r="AN78" i="16" s="1"/>
  <c r="AN79" i="16" s="1"/>
  <c r="AN80" i="16" s="1"/>
  <c r="AN81" i="16" s="1"/>
  <c r="AN82" i="16" s="1"/>
  <c r="AN83" i="16" s="1"/>
  <c r="AN84" i="16" s="1"/>
  <c r="AN85" i="16" s="1"/>
  <c r="AN86" i="16" s="1"/>
  <c r="AN87" i="16" s="1"/>
  <c r="AN88" i="16" s="1"/>
  <c r="AN89" i="16" s="1"/>
  <c r="AN90" i="16" s="1"/>
  <c r="AN91" i="16" s="1"/>
  <c r="AN92" i="16" s="1"/>
  <c r="AN93" i="16" s="1"/>
  <c r="AN94" i="16" s="1"/>
  <c r="AN95" i="16" s="1"/>
  <c r="AN96" i="16" s="1"/>
  <c r="AN97" i="16" s="1"/>
  <c r="AN98" i="16" s="1"/>
  <c r="AN99" i="16" s="1"/>
  <c r="AN100" i="16" s="1"/>
  <c r="AN101" i="16" s="1"/>
  <c r="AN102" i="16" s="1"/>
  <c r="AN103" i="16" s="1"/>
  <c r="AN104" i="16" s="1"/>
  <c r="AN105" i="16" s="1"/>
  <c r="AN106" i="16" s="1"/>
  <c r="AN107" i="16" s="1"/>
  <c r="AN108" i="16" s="1"/>
  <c r="AN109" i="16" s="1"/>
  <c r="AN110" i="16" s="1"/>
  <c r="AN111" i="16" s="1"/>
  <c r="AN112" i="16" s="1"/>
  <c r="AN113" i="16" s="1"/>
  <c r="AN114" i="16" s="1"/>
  <c r="AN115" i="16" s="1"/>
  <c r="AN116" i="16" s="1"/>
  <c r="AN117" i="16" s="1"/>
  <c r="AN118" i="16" s="1"/>
  <c r="AN119" i="16" s="1"/>
  <c r="AN120" i="16" s="1"/>
  <c r="AN121" i="16" s="1"/>
  <c r="AN122" i="16" s="1"/>
  <c r="AN123" i="16" s="1"/>
  <c r="AN124" i="16" s="1"/>
  <c r="AN125" i="16" s="1"/>
  <c r="AN126" i="16" s="1"/>
  <c r="AN127" i="16" s="1"/>
  <c r="AN128" i="16" s="1"/>
  <c r="AN129" i="16" s="1"/>
  <c r="AN130" i="16" s="1"/>
  <c r="AN131" i="16" s="1"/>
  <c r="AN132" i="16" s="1"/>
  <c r="AN133" i="16" s="1"/>
  <c r="AN134" i="16" s="1"/>
  <c r="AN135" i="16" s="1"/>
  <c r="AN136" i="16" s="1"/>
  <c r="AN137" i="16" s="1"/>
  <c r="AN138" i="16" s="1"/>
  <c r="AN139" i="16" s="1"/>
  <c r="AN140" i="16" s="1"/>
  <c r="AN141" i="16" s="1"/>
  <c r="AN142" i="16" s="1"/>
  <c r="AN143" i="16" s="1"/>
  <c r="AN144" i="16" s="1"/>
  <c r="AN145" i="16" s="1"/>
  <c r="AN146" i="16" s="1"/>
  <c r="AN147" i="16" s="1"/>
  <c r="AN148" i="16" s="1"/>
  <c r="AN149" i="16" s="1"/>
  <c r="AN150" i="16" s="1"/>
  <c r="AN151" i="16" s="1"/>
  <c r="AN152" i="16" s="1"/>
  <c r="AN153" i="16" s="1"/>
  <c r="AN154" i="16" s="1"/>
  <c r="AN155" i="16" s="1"/>
  <c r="AN156" i="16" s="1"/>
  <c r="AN157" i="16" s="1"/>
  <c r="AN158" i="16" s="1"/>
  <c r="AN159" i="16" s="1"/>
  <c r="AN160" i="16" s="1"/>
  <c r="AN161" i="16" s="1"/>
  <c r="AN162" i="16" s="1"/>
  <c r="AN163" i="16" s="1"/>
  <c r="AN164" i="16" s="1"/>
  <c r="AN165" i="16" s="1"/>
  <c r="AN166" i="16" s="1"/>
  <c r="AN167" i="16" s="1"/>
  <c r="AN168" i="16" s="1"/>
  <c r="AN169" i="16" s="1"/>
  <c r="AN170" i="16" s="1"/>
  <c r="AN171" i="16" s="1"/>
  <c r="AN172" i="16" s="1"/>
  <c r="AN173" i="16" s="1"/>
  <c r="AN174" i="16" s="1"/>
  <c r="AN175" i="16" s="1"/>
  <c r="AN176" i="16" s="1"/>
  <c r="AN177" i="16" s="1"/>
  <c r="AN178" i="16" s="1"/>
  <c r="AN179" i="16" s="1"/>
  <c r="AN180" i="16" s="1"/>
  <c r="AN181" i="16" s="1"/>
  <c r="AN182" i="16" s="1"/>
  <c r="AN183" i="16" s="1"/>
  <c r="AN184" i="16" s="1"/>
  <c r="AN185" i="16" s="1"/>
  <c r="AN186" i="16" s="1"/>
  <c r="AN187" i="16" s="1"/>
  <c r="AN188" i="16" s="1"/>
  <c r="AN189" i="16" s="1"/>
  <c r="AN190" i="16" s="1"/>
  <c r="AN191" i="16" s="1"/>
  <c r="AN192" i="16" s="1"/>
  <c r="AN193" i="16" s="1"/>
  <c r="AN194" i="16" s="1"/>
  <c r="AN195" i="16" s="1"/>
  <c r="AN196" i="16" s="1"/>
  <c r="AN197" i="16" s="1"/>
  <c r="AN198" i="16" s="1"/>
  <c r="AN199" i="16" s="1"/>
  <c r="AN200" i="16" s="1"/>
  <c r="AN201" i="16" s="1"/>
  <c r="AN202" i="16" s="1"/>
  <c r="AN203" i="16" s="1"/>
  <c r="AN204" i="16" s="1"/>
  <c r="AN205" i="16" s="1"/>
  <c r="AN206" i="16" s="1"/>
  <c r="AN207" i="16" s="1"/>
  <c r="AN208" i="16" s="1"/>
  <c r="AN209" i="16" s="1"/>
  <c r="AN210" i="16" s="1"/>
  <c r="AN211" i="16" s="1"/>
  <c r="AN212" i="16" s="1"/>
  <c r="AN213" i="16" s="1"/>
  <c r="AN214" i="16" s="1"/>
  <c r="AN215" i="16" s="1"/>
  <c r="AN216" i="16" s="1"/>
  <c r="AN217" i="16" s="1"/>
  <c r="AN218" i="16" s="1"/>
  <c r="AN219" i="16" s="1"/>
  <c r="AN220" i="16" s="1"/>
  <c r="AN221" i="16" s="1"/>
  <c r="AN222" i="16" s="1"/>
  <c r="AN223" i="16" s="1"/>
  <c r="AN224" i="16" s="1"/>
  <c r="AN225" i="16" s="1"/>
  <c r="AN226" i="16" s="1"/>
  <c r="AN227" i="16" s="1"/>
  <c r="AN228" i="16" s="1"/>
  <c r="AN229" i="16" s="1"/>
  <c r="AN230" i="16" s="1"/>
  <c r="AN231" i="16" s="1"/>
  <c r="AN232" i="16" s="1"/>
  <c r="AN233" i="16" s="1"/>
  <c r="AN234" i="16" s="1"/>
  <c r="AN235" i="16" s="1"/>
  <c r="AN236" i="16" s="1"/>
  <c r="AN237" i="16" s="1"/>
  <c r="AN238" i="16" s="1"/>
  <c r="AN239" i="16" s="1"/>
  <c r="AN240" i="16" s="1"/>
  <c r="AN241" i="16" s="1"/>
  <c r="AN242" i="16" s="1"/>
  <c r="AN243" i="16" s="1"/>
  <c r="AN244" i="16" s="1"/>
  <c r="AN245" i="16" s="1"/>
  <c r="AN246" i="16" s="1"/>
  <c r="AN247" i="16" s="1"/>
  <c r="AN248" i="16" s="1"/>
  <c r="AN249" i="16" s="1"/>
  <c r="AN250" i="16" s="1"/>
  <c r="AN251" i="16" s="1"/>
  <c r="AN252" i="16" s="1"/>
  <c r="AN253" i="16" s="1"/>
  <c r="AN254" i="16" s="1"/>
  <c r="AN255" i="16" s="1"/>
  <c r="AN256" i="16" s="1"/>
  <c r="AN257" i="16" s="1"/>
  <c r="AN258" i="16" s="1"/>
  <c r="AN259" i="16" s="1"/>
  <c r="AN260" i="16" s="1"/>
  <c r="AN261" i="16" s="1"/>
  <c r="AN262" i="16" s="1"/>
  <c r="AN263" i="16" s="1"/>
  <c r="AN264" i="16" s="1"/>
  <c r="AN265" i="16" s="1"/>
  <c r="AN266" i="16" s="1"/>
  <c r="AN267" i="16" s="1"/>
  <c r="AN268" i="16" s="1"/>
  <c r="AN269" i="16" s="1"/>
  <c r="AN270" i="16" s="1"/>
  <c r="AN271" i="16" s="1"/>
  <c r="AN272" i="16" s="1"/>
  <c r="AN273" i="16" s="1"/>
  <c r="AN274" i="16" s="1"/>
  <c r="AN275" i="16" s="1"/>
  <c r="AN276" i="16" s="1"/>
  <c r="AN277" i="16" s="1"/>
  <c r="AN278" i="16" s="1"/>
  <c r="AN279" i="16" s="1"/>
  <c r="AN280" i="16" s="1"/>
  <c r="AN281" i="16" s="1"/>
  <c r="AN282" i="16" s="1"/>
  <c r="AN283" i="16" s="1"/>
  <c r="AN284" i="16" s="1"/>
  <c r="AB10" i="16"/>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IW200" i="18"/>
  <c r="F200" i="18"/>
  <c r="F199" i="18"/>
  <c r="F198" i="18"/>
  <c r="F197" i="18"/>
  <c r="F196" i="18"/>
  <c r="F195" i="18"/>
  <c r="F194" i="18"/>
  <c r="F193" i="18"/>
  <c r="F192" i="18"/>
  <c r="F191" i="18"/>
  <c r="F190" i="18"/>
  <c r="F189" i="18"/>
  <c r="F188" i="18"/>
  <c r="F187" i="18"/>
  <c r="F186" i="18"/>
  <c r="F185" i="18"/>
  <c r="F184" i="18"/>
  <c r="F183" i="18"/>
  <c r="F182" i="18"/>
  <c r="E182" i="18"/>
  <c r="F181" i="18"/>
  <c r="E181" i="18"/>
  <c r="IW180" i="18"/>
  <c r="F180" i="18"/>
  <c r="E180" i="18"/>
  <c r="F179" i="18"/>
  <c r="E179" i="18"/>
  <c r="IL179" i="18" s="1"/>
  <c r="IG178" i="18"/>
  <c r="IE178" i="18"/>
  <c r="IC178" i="18"/>
  <c r="F178" i="18"/>
  <c r="IA178" i="18" s="1"/>
  <c r="E178" i="18"/>
  <c r="IL178" i="18" s="1"/>
  <c r="IG177" i="18"/>
  <c r="IE177" i="18"/>
  <c r="IC177" i="18"/>
  <c r="F177" i="18"/>
  <c r="IA177" i="18" s="1"/>
  <c r="E177" i="18"/>
  <c r="IG176" i="18"/>
  <c r="IE176" i="18"/>
  <c r="IC176" i="18"/>
  <c r="F176" i="18"/>
  <c r="IA176" i="18" s="1"/>
  <c r="E176" i="18"/>
  <c r="IG175" i="18"/>
  <c r="IE175" i="18"/>
  <c r="IC175" i="18"/>
  <c r="F175" i="18"/>
  <c r="IA175" i="18" s="1"/>
  <c r="E175" i="18"/>
  <c r="IG174" i="18"/>
  <c r="IE174" i="18"/>
  <c r="IC174" i="18"/>
  <c r="F174" i="18"/>
  <c r="IA174" i="18" s="1"/>
  <c r="E174" i="18"/>
  <c r="IL174" i="18" s="1"/>
  <c r="IG173" i="18"/>
  <c r="IE173" i="18"/>
  <c r="IC173" i="18"/>
  <c r="F173" i="18"/>
  <c r="IA173" i="18" s="1"/>
  <c r="E173" i="18"/>
  <c r="IG172" i="18"/>
  <c r="IE172" i="18"/>
  <c r="IC172" i="18"/>
  <c r="F172" i="18"/>
  <c r="IA172" i="18" s="1"/>
  <c r="E172" i="18"/>
  <c r="IL172" i="18" s="1"/>
  <c r="IG171" i="18"/>
  <c r="IE171" i="18"/>
  <c r="IC171" i="18"/>
  <c r="F171" i="18"/>
  <c r="IA171" i="18" s="1"/>
  <c r="E171" i="18"/>
  <c r="IG170" i="18"/>
  <c r="IE170" i="18"/>
  <c r="IC170" i="18"/>
  <c r="F170" i="18"/>
  <c r="IA170" i="18" s="1"/>
  <c r="E170" i="18"/>
  <c r="IL170" i="18" s="1"/>
  <c r="IG169" i="18"/>
  <c r="IE169" i="18"/>
  <c r="IC169" i="18"/>
  <c r="F169" i="18"/>
  <c r="IA169" i="18" s="1"/>
  <c r="E169" i="18"/>
  <c r="IG168" i="18"/>
  <c r="IE168" i="18"/>
  <c r="IC168" i="18"/>
  <c r="F168" i="18"/>
  <c r="IA168" i="18" s="1"/>
  <c r="E168" i="18"/>
  <c r="IG167" i="18"/>
  <c r="IE167" i="18"/>
  <c r="IC167" i="18"/>
  <c r="F167" i="18"/>
  <c r="IA167" i="18" s="1"/>
  <c r="E167" i="18"/>
  <c r="IG166" i="18"/>
  <c r="IE166" i="18"/>
  <c r="IC166" i="18"/>
  <c r="F166" i="18"/>
  <c r="IA166" i="18" s="1"/>
  <c r="E166" i="18"/>
  <c r="IG165" i="18"/>
  <c r="IE165" i="18"/>
  <c r="IC165" i="18"/>
  <c r="F165" i="18"/>
  <c r="IA165" i="18" s="1"/>
  <c r="E165" i="18"/>
  <c r="IG164" i="18"/>
  <c r="IE164" i="18"/>
  <c r="IC164" i="18"/>
  <c r="F164" i="18"/>
  <c r="IA164" i="18" s="1"/>
  <c r="E164" i="18"/>
  <c r="IG163" i="18"/>
  <c r="IE163" i="18"/>
  <c r="IC163" i="18"/>
  <c r="F163" i="18"/>
  <c r="IA163" i="18" s="1"/>
  <c r="E163" i="18"/>
  <c r="IG162" i="18"/>
  <c r="IE162" i="18"/>
  <c r="IC162" i="18"/>
  <c r="F162" i="18"/>
  <c r="IA162" i="18" s="1"/>
  <c r="E162" i="18"/>
  <c r="IG161" i="18"/>
  <c r="IE161" i="18"/>
  <c r="IC161" i="18"/>
  <c r="F161" i="18"/>
  <c r="IA161" i="18" s="1"/>
  <c r="E161" i="18"/>
  <c r="IG160" i="18"/>
  <c r="IE160" i="18"/>
  <c r="IC160" i="18"/>
  <c r="F160" i="18"/>
  <c r="IA160" i="18" s="1"/>
  <c r="E160" i="18"/>
  <c r="IG159" i="18"/>
  <c r="IE159" i="18"/>
  <c r="IC159" i="18"/>
  <c r="F159" i="18"/>
  <c r="IA159" i="18" s="1"/>
  <c r="E159" i="18"/>
  <c r="IG158" i="18"/>
  <c r="IE158" i="18"/>
  <c r="IC158" i="18"/>
  <c r="F158" i="18"/>
  <c r="IA158" i="18" s="1"/>
  <c r="E158" i="18"/>
  <c r="IG157" i="18"/>
  <c r="IE157" i="18"/>
  <c r="IC157" i="18"/>
  <c r="F157" i="18"/>
  <c r="IA157" i="18" s="1"/>
  <c r="E157" i="18"/>
  <c r="IG156" i="18"/>
  <c r="IE156" i="18"/>
  <c r="IC156" i="18"/>
  <c r="F156" i="18"/>
  <c r="IA156" i="18" s="1"/>
  <c r="E156" i="18"/>
  <c r="IG155" i="18"/>
  <c r="IE155" i="18"/>
  <c r="IC155" i="18"/>
  <c r="F155" i="18"/>
  <c r="IA155" i="18" s="1"/>
  <c r="E155" i="18"/>
  <c r="IG154" i="18"/>
  <c r="IE154" i="18"/>
  <c r="IC154" i="18"/>
  <c r="F154" i="18"/>
  <c r="IA154" i="18" s="1"/>
  <c r="E154" i="18"/>
  <c r="IG153" i="18"/>
  <c r="IE153" i="18"/>
  <c r="IC153" i="18"/>
  <c r="F153" i="18"/>
  <c r="IA153" i="18" s="1"/>
  <c r="E153" i="18"/>
  <c r="IG152" i="18"/>
  <c r="IE152" i="18"/>
  <c r="IC152" i="18"/>
  <c r="F152" i="18"/>
  <c r="IA152" i="18" s="1"/>
  <c r="E152" i="18"/>
  <c r="IG151" i="18"/>
  <c r="IE151" i="18"/>
  <c r="IC151" i="18"/>
  <c r="F151" i="18"/>
  <c r="IA151" i="18" s="1"/>
  <c r="E151" i="18"/>
  <c r="IG150" i="18"/>
  <c r="IE150" i="18"/>
  <c r="IC150" i="18"/>
  <c r="F150" i="18"/>
  <c r="IA150" i="18" s="1"/>
  <c r="E150" i="18"/>
  <c r="IG149" i="18"/>
  <c r="IE149" i="18"/>
  <c r="IC149" i="18"/>
  <c r="F149" i="18"/>
  <c r="IA149" i="18" s="1"/>
  <c r="E149" i="18"/>
  <c r="IG148" i="18"/>
  <c r="IE148" i="18"/>
  <c r="IC148" i="18"/>
  <c r="F148" i="18"/>
  <c r="IA148" i="18" s="1"/>
  <c r="E148" i="18"/>
  <c r="IG147" i="18"/>
  <c r="IE147" i="18"/>
  <c r="IC147" i="18"/>
  <c r="F147" i="18"/>
  <c r="IA147" i="18" s="1"/>
  <c r="E147" i="18"/>
  <c r="IG146" i="18"/>
  <c r="IE146" i="18"/>
  <c r="IC146" i="18"/>
  <c r="F146" i="18"/>
  <c r="IA146" i="18" s="1"/>
  <c r="E146" i="18"/>
  <c r="IG145" i="18"/>
  <c r="IE145" i="18"/>
  <c r="IC145" i="18"/>
  <c r="F145" i="18"/>
  <c r="IA145" i="18" s="1"/>
  <c r="E145" i="18"/>
  <c r="IG144" i="18"/>
  <c r="IE144" i="18"/>
  <c r="IC144" i="18"/>
  <c r="F144" i="18"/>
  <c r="IA144" i="18" s="1"/>
  <c r="E144" i="18"/>
  <c r="IG143" i="18"/>
  <c r="IE143" i="18"/>
  <c r="IC143" i="18"/>
  <c r="F143" i="18"/>
  <c r="IA143" i="18" s="1"/>
  <c r="E143" i="18"/>
  <c r="IG142" i="18"/>
  <c r="IE142" i="18"/>
  <c r="IC142" i="18"/>
  <c r="F142" i="18"/>
  <c r="IA142" i="18" s="1"/>
  <c r="E142" i="18"/>
  <c r="IG141" i="18"/>
  <c r="IE141" i="18"/>
  <c r="IC141" i="18"/>
  <c r="F141" i="18"/>
  <c r="IA141" i="18" s="1"/>
  <c r="E141" i="18"/>
  <c r="IG140" i="18"/>
  <c r="IE140" i="18"/>
  <c r="IC140" i="18"/>
  <c r="F140" i="18"/>
  <c r="IA140" i="18" s="1"/>
  <c r="E140" i="18"/>
  <c r="HY140" i="18" s="1"/>
  <c r="IG139" i="18"/>
  <c r="IE139" i="18"/>
  <c r="IC139" i="18"/>
  <c r="F139" i="18"/>
  <c r="IA139" i="18" s="1"/>
  <c r="E139" i="18"/>
  <c r="HY139" i="18" s="1"/>
  <c r="IG138" i="18"/>
  <c r="IE138" i="18"/>
  <c r="IC138" i="18"/>
  <c r="F138" i="18"/>
  <c r="IA138" i="18" s="1"/>
  <c r="E138" i="18"/>
  <c r="IG137" i="18"/>
  <c r="IE137" i="18"/>
  <c r="IC137" i="18"/>
  <c r="F137" i="18"/>
  <c r="IA137" i="18" s="1"/>
  <c r="E137" i="18"/>
  <c r="HY137" i="18" s="1"/>
  <c r="IG136" i="18"/>
  <c r="IE136" i="18"/>
  <c r="IC136" i="18"/>
  <c r="F136" i="18"/>
  <c r="IA136" i="18" s="1"/>
  <c r="E136" i="18"/>
  <c r="HY136" i="18" s="1"/>
  <c r="IG135" i="18"/>
  <c r="IE135" i="18"/>
  <c r="IC135" i="18"/>
  <c r="F135" i="18"/>
  <c r="IA135" i="18" s="1"/>
  <c r="E135" i="18"/>
  <c r="HY135" i="18" s="1"/>
  <c r="IG134" i="18"/>
  <c r="IE134" i="18"/>
  <c r="IC134" i="18"/>
  <c r="F134" i="18"/>
  <c r="IA134" i="18" s="1"/>
  <c r="E134" i="18"/>
  <c r="HY134" i="18" s="1"/>
  <c r="IG133" i="18"/>
  <c r="IE133" i="18"/>
  <c r="IC133" i="18"/>
  <c r="F133" i="18"/>
  <c r="IA133" i="18" s="1"/>
  <c r="E133" i="18"/>
  <c r="HY133" i="18" s="1"/>
  <c r="IG132" i="18"/>
  <c r="IE132" i="18"/>
  <c r="IC132" i="18"/>
  <c r="F132" i="18"/>
  <c r="IA132" i="18" s="1"/>
  <c r="E132" i="18"/>
  <c r="HY132" i="18" s="1"/>
  <c r="I131" i="18"/>
  <c r="H131" i="18"/>
  <c r="F131" i="18"/>
  <c r="IA131" i="18" s="1"/>
  <c r="E131" i="18"/>
  <c r="I130" i="18"/>
  <c r="H130" i="18"/>
  <c r="F130" i="18"/>
  <c r="IA130" i="18" s="1"/>
  <c r="E130" i="18"/>
  <c r="I129" i="18"/>
  <c r="H129" i="18"/>
  <c r="F129" i="18"/>
  <c r="IA129" i="18" s="1"/>
  <c r="E129" i="18"/>
  <c r="HY129" i="18" s="1"/>
  <c r="I128" i="18"/>
  <c r="H128" i="18"/>
  <c r="F128" i="18"/>
  <c r="IA128" i="18" s="1"/>
  <c r="E128" i="18"/>
  <c r="I127" i="18"/>
  <c r="H127" i="18"/>
  <c r="F127" i="18"/>
  <c r="IA127" i="18" s="1"/>
  <c r="E127" i="18"/>
  <c r="I126" i="18"/>
  <c r="H126" i="18"/>
  <c r="F126" i="18"/>
  <c r="IA126" i="18" s="1"/>
  <c r="E126" i="18"/>
  <c r="I125" i="18"/>
  <c r="H125" i="18"/>
  <c r="F125" i="18"/>
  <c r="IA125" i="18" s="1"/>
  <c r="E125" i="18"/>
  <c r="HY125" i="18" s="1"/>
  <c r="I124" i="18"/>
  <c r="H124" i="18"/>
  <c r="F124" i="18"/>
  <c r="IA124" i="18" s="1"/>
  <c r="E124" i="18"/>
  <c r="I123" i="18"/>
  <c r="H123" i="18"/>
  <c r="F123" i="18"/>
  <c r="IA123" i="18" s="1"/>
  <c r="E123" i="18"/>
  <c r="I122" i="18"/>
  <c r="H122" i="18"/>
  <c r="F122" i="18"/>
  <c r="IA122" i="18" s="1"/>
  <c r="E122" i="18"/>
  <c r="I121" i="18"/>
  <c r="H121" i="18"/>
  <c r="F121" i="18"/>
  <c r="IA121" i="18" s="1"/>
  <c r="E121" i="18"/>
  <c r="HY121" i="18" s="1"/>
  <c r="I120" i="18"/>
  <c r="Q120" i="18" s="1"/>
  <c r="R120" i="18" s="1"/>
  <c r="H120" i="18"/>
  <c r="F120" i="18"/>
  <c r="IA120" i="18" s="1"/>
  <c r="E120" i="18"/>
  <c r="F119" i="18"/>
  <c r="IA119" i="18" s="1"/>
  <c r="E119" i="18"/>
  <c r="F118" i="18"/>
  <c r="E118" i="18"/>
  <c r="HY118" i="18" s="1"/>
  <c r="CX117" i="18"/>
  <c r="F117" i="18"/>
  <c r="AB117" i="18" s="1"/>
  <c r="AI117" i="18" s="1"/>
  <c r="E117" i="18"/>
  <c r="HY117" i="18" s="1"/>
  <c r="CX116" i="18"/>
  <c r="F116" i="18"/>
  <c r="IA116" i="18" s="1"/>
  <c r="E116" i="18"/>
  <c r="HY116" i="18" s="1"/>
  <c r="CX115" i="18"/>
  <c r="F115" i="18"/>
  <c r="IA115" i="18" s="1"/>
  <c r="E115" i="18"/>
  <c r="CX114" i="18"/>
  <c r="F114" i="18"/>
  <c r="AB114" i="18" s="1"/>
  <c r="AI114" i="18" s="1"/>
  <c r="E114" i="18"/>
  <c r="CX113" i="18"/>
  <c r="F113" i="18"/>
  <c r="E113" i="18"/>
  <c r="HY113" i="18" s="1"/>
  <c r="CX112" i="18"/>
  <c r="F112" i="18"/>
  <c r="IA112" i="18" s="1"/>
  <c r="E112" i="18"/>
  <c r="HY112" i="18" s="1"/>
  <c r="CX111" i="18"/>
  <c r="F111" i="18"/>
  <c r="IA111" i="18" s="1"/>
  <c r="E111" i="18"/>
  <c r="CX110" i="18"/>
  <c r="F110" i="18"/>
  <c r="AB110" i="18" s="1"/>
  <c r="AI110" i="18" s="1"/>
  <c r="E110" i="18"/>
  <c r="CX109" i="18"/>
  <c r="F109" i="18"/>
  <c r="E109" i="18"/>
  <c r="HY109" i="18" s="1"/>
  <c r="CX108" i="18"/>
  <c r="F108" i="18"/>
  <c r="IA108" i="18" s="1"/>
  <c r="E108" i="18"/>
  <c r="HY108" i="18" s="1"/>
  <c r="CX107" i="18"/>
  <c r="F107" i="18"/>
  <c r="IA107" i="18" s="1"/>
  <c r="E107" i="18"/>
  <c r="CX106" i="18"/>
  <c r="F106" i="18"/>
  <c r="AB106" i="18" s="1"/>
  <c r="AI106" i="18" s="1"/>
  <c r="E106" i="18"/>
  <c r="CX105" i="18"/>
  <c r="F105" i="18"/>
  <c r="E105" i="18"/>
  <c r="CX104" i="18"/>
  <c r="F104" i="18"/>
  <c r="IA104" i="18" s="1"/>
  <c r="E104" i="18"/>
  <c r="CX103" i="18"/>
  <c r="F103" i="18"/>
  <c r="IA103" i="18" s="1"/>
  <c r="E103" i="18"/>
  <c r="CX102" i="18"/>
  <c r="F102" i="18"/>
  <c r="AB102" i="18" s="1"/>
  <c r="AI102" i="18" s="1"/>
  <c r="E102" i="18"/>
  <c r="HO101" i="18"/>
  <c r="C82" i="36" s="1"/>
  <c r="CX101" i="18"/>
  <c r="F101" i="18"/>
  <c r="E101" i="18"/>
  <c r="HY101" i="18" s="1"/>
  <c r="HO100" i="18"/>
  <c r="C81" i="36" s="1"/>
  <c r="CX100" i="18"/>
  <c r="F100" i="18"/>
  <c r="IA100" i="18" s="1"/>
  <c r="E100" i="18"/>
  <c r="HO99" i="18"/>
  <c r="C80" i="36" s="1"/>
  <c r="CX99" i="18"/>
  <c r="F99" i="18"/>
  <c r="AB99" i="18" s="1"/>
  <c r="AI99" i="18" s="1"/>
  <c r="E99" i="18"/>
  <c r="HY99" i="18" s="1"/>
  <c r="HO98" i="18"/>
  <c r="C79" i="36" s="1"/>
  <c r="CX98" i="18"/>
  <c r="F98" i="18"/>
  <c r="IA98" i="18" s="1"/>
  <c r="E98" i="18"/>
  <c r="CX97" i="18"/>
  <c r="F97" i="18"/>
  <c r="AB97" i="18" s="1"/>
  <c r="AI97" i="18" s="1"/>
  <c r="E97" i="18"/>
  <c r="HY97" i="18" s="1"/>
  <c r="HP96" i="18"/>
  <c r="CX96" i="18"/>
  <c r="F96" i="18"/>
  <c r="IA96" i="18" s="1"/>
  <c r="E96" i="18"/>
  <c r="HP95" i="18"/>
  <c r="CX95" i="18"/>
  <c r="F95" i="18"/>
  <c r="IA95" i="18" s="1"/>
  <c r="E95" i="18"/>
  <c r="HY95" i="18" s="1"/>
  <c r="HP94" i="18"/>
  <c r="CX94" i="18"/>
  <c r="F94" i="18"/>
  <c r="IA94" i="18" s="1"/>
  <c r="E94" i="18"/>
  <c r="HP93" i="18"/>
  <c r="HQ93" i="18" s="1"/>
  <c r="CX93" i="18"/>
  <c r="F93" i="18"/>
  <c r="IA93" i="18" s="1"/>
  <c r="E93" i="18"/>
  <c r="HY93" i="18" s="1"/>
  <c r="HP92" i="18"/>
  <c r="CX92" i="18"/>
  <c r="F92" i="18"/>
  <c r="IA92" i="18" s="1"/>
  <c r="E92" i="18"/>
  <c r="HP91" i="18"/>
  <c r="CX91" i="18"/>
  <c r="F91" i="18"/>
  <c r="IA91" i="18" s="1"/>
  <c r="E91" i="18"/>
  <c r="HP90" i="18"/>
  <c r="CX90" i="18"/>
  <c r="F90" i="18"/>
  <c r="IA90" i="18" s="1"/>
  <c r="E90" i="18"/>
  <c r="HP89" i="18"/>
  <c r="CX89" i="18"/>
  <c r="F89" i="18"/>
  <c r="B89" i="18" s="1"/>
  <c r="E89" i="18"/>
  <c r="HY89" i="18" s="1"/>
  <c r="HP88" i="18"/>
  <c r="CX88" i="18"/>
  <c r="F88" i="18"/>
  <c r="B88" i="18" s="1"/>
  <c r="E88" i="18"/>
  <c r="HY88" i="18" s="1"/>
  <c r="LE87" i="18"/>
  <c r="KG87" i="18"/>
  <c r="LA87" i="18" s="1"/>
  <c r="GR87" i="18"/>
  <c r="CX87" i="18"/>
  <c r="F87" i="18"/>
  <c r="B87" i="18" s="1"/>
  <c r="A87" i="18" s="1"/>
  <c r="E87" i="18"/>
  <c r="HY87" i="18" s="1"/>
  <c r="LE86" i="18"/>
  <c r="KG86" i="18"/>
  <c r="LA86" i="18" s="1"/>
  <c r="GR86" i="18"/>
  <c r="CX86" i="18"/>
  <c r="F86" i="18"/>
  <c r="B86" i="18" s="1"/>
  <c r="A86" i="18" s="1"/>
  <c r="E86" i="18"/>
  <c r="LB86" i="18" s="1"/>
  <c r="LE85" i="18"/>
  <c r="KG85" i="18"/>
  <c r="LA85" i="18" s="1"/>
  <c r="KF85" i="18" s="1"/>
  <c r="GR85" i="18"/>
  <c r="CX85" i="18"/>
  <c r="F85" i="18"/>
  <c r="B85" i="18" s="1"/>
  <c r="A85" i="18" s="1"/>
  <c r="E85" i="18"/>
  <c r="LB85" i="18" s="1"/>
  <c r="KG84" i="18"/>
  <c r="LA84" i="18" s="1"/>
  <c r="KF84" i="18" s="1"/>
  <c r="CX84" i="18"/>
  <c r="F84" i="18"/>
  <c r="IA84" i="18" s="1"/>
  <c r="E84" i="18"/>
  <c r="LB84" i="18" s="1"/>
  <c r="KG83" i="18"/>
  <c r="LA83" i="18" s="1"/>
  <c r="KF83" i="18" s="1"/>
  <c r="CX83" i="18"/>
  <c r="F83" i="18"/>
  <c r="AB83" i="18" s="1"/>
  <c r="AI83" i="18" s="1"/>
  <c r="E83" i="18"/>
  <c r="HY83" i="18" s="1"/>
  <c r="KG82" i="18"/>
  <c r="LA82" i="18" s="1"/>
  <c r="KF82" i="18" s="1"/>
  <c r="CX82" i="18"/>
  <c r="F82" i="18"/>
  <c r="LC82" i="18" s="1"/>
  <c r="E82" i="18"/>
  <c r="HY82" i="18" s="1"/>
  <c r="KG81" i="18"/>
  <c r="LA81" i="18" s="1"/>
  <c r="KF81" i="18" s="1"/>
  <c r="CX81" i="18"/>
  <c r="F81" i="18"/>
  <c r="AB81" i="18" s="1"/>
  <c r="AI81" i="18" s="1"/>
  <c r="I81" i="18" s="1"/>
  <c r="E81" i="18"/>
  <c r="KG80" i="18"/>
  <c r="LA80" i="18" s="1"/>
  <c r="KF80" i="18" s="1"/>
  <c r="EF80" i="18"/>
  <c r="CX80" i="18"/>
  <c r="F80" i="18"/>
  <c r="E80" i="18"/>
  <c r="KG79" i="18"/>
  <c r="LA79" i="18" s="1"/>
  <c r="KF79" i="18" s="1"/>
  <c r="CX79" i="18"/>
  <c r="F79" i="18"/>
  <c r="AB79" i="18" s="1"/>
  <c r="AI79" i="18" s="1"/>
  <c r="I79" i="18" s="1"/>
  <c r="E79" i="18"/>
  <c r="KG78" i="18"/>
  <c r="LA78" i="18" s="1"/>
  <c r="KF78" i="18" s="1"/>
  <c r="CX78" i="18"/>
  <c r="F78" i="18"/>
  <c r="AB78" i="18" s="1"/>
  <c r="AI78" i="18" s="1"/>
  <c r="E78" i="18"/>
  <c r="KG77" i="18"/>
  <c r="LA77" i="18" s="1"/>
  <c r="KF77" i="18" s="1"/>
  <c r="CX77" i="18"/>
  <c r="F77" i="18"/>
  <c r="LC77" i="18" s="1"/>
  <c r="E77" i="18"/>
  <c r="LB77" i="18" s="1"/>
  <c r="KG76" i="18"/>
  <c r="LA76" i="18" s="1"/>
  <c r="KF76" i="18" s="1"/>
  <c r="CX76" i="18"/>
  <c r="F76" i="18"/>
  <c r="IA76" i="18" s="1"/>
  <c r="E76" i="18"/>
  <c r="KG75" i="18"/>
  <c r="LA75" i="18" s="1"/>
  <c r="KF75" i="18" s="1"/>
  <c r="CX75" i="18"/>
  <c r="F75" i="18"/>
  <c r="E75" i="18"/>
  <c r="KG74" i="18"/>
  <c r="LA74" i="18" s="1"/>
  <c r="KF74" i="18" s="1"/>
  <c r="CX74" i="18"/>
  <c r="F74" i="18"/>
  <c r="E74" i="18"/>
  <c r="KG73" i="18"/>
  <c r="LA73" i="18" s="1"/>
  <c r="KF73" i="18" s="1"/>
  <c r="CX73" i="18"/>
  <c r="F73" i="18"/>
  <c r="E73" i="18"/>
  <c r="KG72" i="18"/>
  <c r="LA72" i="18" s="1"/>
  <c r="KF72" i="18" s="1"/>
  <c r="F72" i="18"/>
  <c r="CH72" i="18" s="1"/>
  <c r="E72" i="18"/>
  <c r="KG71" i="18"/>
  <c r="LA71" i="18" s="1"/>
  <c r="KF71" i="18" s="1"/>
  <c r="BX71" i="18"/>
  <c r="F71" i="18"/>
  <c r="CH71" i="18" s="1"/>
  <c r="E71" i="18"/>
  <c r="CG71" i="18" s="1"/>
  <c r="KG70" i="18"/>
  <c r="LA70" i="18" s="1"/>
  <c r="KF70" i="18" s="1"/>
  <c r="F70" i="18"/>
  <c r="E70" i="18"/>
  <c r="HY70" i="18" s="1"/>
  <c r="KG69" i="18"/>
  <c r="LA69" i="18" s="1"/>
  <c r="KF69" i="18" s="1"/>
  <c r="F69" i="18"/>
  <c r="E69" i="18"/>
  <c r="KG68" i="18"/>
  <c r="LA68" i="18" s="1"/>
  <c r="KF68" i="18" s="1"/>
  <c r="F68" i="18"/>
  <c r="AB68" i="18" s="1"/>
  <c r="AI68" i="18" s="1"/>
  <c r="E68" i="18"/>
  <c r="KG67" i="18"/>
  <c r="LA67" i="18" s="1"/>
  <c r="KF67" i="18" s="1"/>
  <c r="F67" i="18"/>
  <c r="LC67" i="18" s="1"/>
  <c r="E67" i="18"/>
  <c r="KG66" i="18"/>
  <c r="LA66" i="18" s="1"/>
  <c r="KF66" i="18" s="1"/>
  <c r="F66" i="18"/>
  <c r="AB66" i="18" s="1"/>
  <c r="AI66" i="18" s="1"/>
  <c r="E66" i="18"/>
  <c r="LB66" i="18" s="1"/>
  <c r="KG65" i="18"/>
  <c r="LA65" i="18" s="1"/>
  <c r="KF65" i="18" s="1"/>
  <c r="F65" i="18"/>
  <c r="E65" i="18"/>
  <c r="KG64" i="18"/>
  <c r="LA64" i="18" s="1"/>
  <c r="KF64" i="18" s="1"/>
  <c r="F64" i="18"/>
  <c r="AB64" i="18" s="1"/>
  <c r="AI64" i="18" s="1"/>
  <c r="E64" i="18"/>
  <c r="HY64" i="18" s="1"/>
  <c r="KG63" i="18"/>
  <c r="LA63" i="18" s="1"/>
  <c r="KF63" i="18" s="1"/>
  <c r="F63" i="18"/>
  <c r="IA63" i="18" s="1"/>
  <c r="E63" i="18"/>
  <c r="KG62" i="18"/>
  <c r="LA62" i="18" s="1"/>
  <c r="KF62" i="18" s="1"/>
  <c r="F62" i="18"/>
  <c r="E62" i="18"/>
  <c r="KG61" i="18"/>
  <c r="LA61" i="18" s="1"/>
  <c r="KF61" i="18" s="1"/>
  <c r="F61" i="18"/>
  <c r="IA61" i="18" s="1"/>
  <c r="E61" i="18"/>
  <c r="KG60" i="18"/>
  <c r="LA60" i="18" s="1"/>
  <c r="KF60" i="18" s="1"/>
  <c r="F60" i="18"/>
  <c r="AB60" i="18" s="1"/>
  <c r="AI60" i="18" s="1"/>
  <c r="I60" i="18" s="1"/>
  <c r="E60" i="18"/>
  <c r="KG59" i="18"/>
  <c r="LA59" i="18" s="1"/>
  <c r="KF59" i="18" s="1"/>
  <c r="F59" i="18"/>
  <c r="E59" i="18"/>
  <c r="KG58" i="18"/>
  <c r="LA58" i="18" s="1"/>
  <c r="KF58" i="18" s="1"/>
  <c r="F58" i="18"/>
  <c r="AB58" i="18" s="1"/>
  <c r="AI58" i="18" s="1"/>
  <c r="I58" i="18" s="1"/>
  <c r="E58" i="18"/>
  <c r="KG57" i="18"/>
  <c r="LA57" i="18" s="1"/>
  <c r="KF57" i="18" s="1"/>
  <c r="F57" i="18"/>
  <c r="AB57" i="18" s="1"/>
  <c r="AI57" i="18" s="1"/>
  <c r="E57" i="18"/>
  <c r="HY57" i="18" s="1"/>
  <c r="KG56" i="18"/>
  <c r="LA56" i="18" s="1"/>
  <c r="KF56" i="18" s="1"/>
  <c r="F56" i="18"/>
  <c r="E56" i="18"/>
  <c r="HY56" i="18" s="1"/>
  <c r="KG55" i="18"/>
  <c r="LA55" i="18" s="1"/>
  <c r="KF55" i="18" s="1"/>
  <c r="F55" i="18"/>
  <c r="AB55" i="18" s="1"/>
  <c r="AI55" i="18" s="1"/>
  <c r="E55" i="18"/>
  <c r="KG54" i="18"/>
  <c r="LA54" i="18" s="1"/>
  <c r="KF54" i="18" s="1"/>
  <c r="F54" i="18"/>
  <c r="B54" i="18" s="1"/>
  <c r="A54" i="18" s="1"/>
  <c r="E54" i="18"/>
  <c r="KG53" i="18"/>
  <c r="LA53" i="18" s="1"/>
  <c r="KF53" i="18" s="1"/>
  <c r="F53" i="18"/>
  <c r="AB53" i="18" s="1"/>
  <c r="AI53" i="18" s="1"/>
  <c r="E53" i="18"/>
  <c r="KG52" i="18"/>
  <c r="LA52" i="18" s="1"/>
  <c r="KF52" i="18" s="1"/>
  <c r="JF52" i="18"/>
  <c r="F52" i="18"/>
  <c r="E52" i="18"/>
  <c r="LB52" i="18" s="1"/>
  <c r="KG51" i="18"/>
  <c r="LA51" i="18" s="1"/>
  <c r="KF51" i="18" s="1"/>
  <c r="JF51" i="18"/>
  <c r="F51" i="18"/>
  <c r="B51" i="18" s="1"/>
  <c r="A51" i="18" s="1"/>
  <c r="E51" i="18"/>
  <c r="LB51" i="18" s="1"/>
  <c r="KG50" i="18"/>
  <c r="LA50" i="18" s="1"/>
  <c r="KF50" i="18" s="1"/>
  <c r="JF50" i="18"/>
  <c r="EL50" i="18"/>
  <c r="EL51" i="18" s="1"/>
  <c r="F50" i="18"/>
  <c r="B50" i="18" s="1"/>
  <c r="A50" i="18" s="1"/>
  <c r="E50" i="18"/>
  <c r="HY50" i="18" s="1"/>
  <c r="KG49" i="18"/>
  <c r="LA49" i="18" s="1"/>
  <c r="KF49" i="18" s="1"/>
  <c r="JF49" i="18"/>
  <c r="F49" i="18"/>
  <c r="E49" i="18"/>
  <c r="LB49" i="18" s="1"/>
  <c r="KG48" i="18"/>
  <c r="LA48" i="18" s="1"/>
  <c r="KF48" i="18" s="1"/>
  <c r="JF48" i="18"/>
  <c r="F48" i="18"/>
  <c r="E48" i="18"/>
  <c r="KG47" i="18"/>
  <c r="LA47" i="18" s="1"/>
  <c r="KF47" i="18" s="1"/>
  <c r="JF47" i="18"/>
  <c r="F47" i="18"/>
  <c r="E47" i="18"/>
  <c r="LB47" i="18" s="1"/>
  <c r="KG46" i="18"/>
  <c r="LA46" i="18" s="1"/>
  <c r="KF46" i="18" s="1"/>
  <c r="JF46" i="18"/>
  <c r="JE46" i="18" s="1"/>
  <c r="F46" i="18"/>
  <c r="B46" i="18" s="1"/>
  <c r="A46" i="18" s="1"/>
  <c r="E46" i="18"/>
  <c r="KG45" i="18"/>
  <c r="LA45" i="18" s="1"/>
  <c r="KF45" i="18" s="1"/>
  <c r="JF45" i="18"/>
  <c r="JE45" i="18" s="1"/>
  <c r="F45" i="18"/>
  <c r="LC45" i="18" s="1"/>
  <c r="E45" i="18"/>
  <c r="LB45" i="18" s="1"/>
  <c r="KG44" i="18"/>
  <c r="LA44" i="18" s="1"/>
  <c r="KF44" i="18" s="1"/>
  <c r="CQ44" i="18"/>
  <c r="CB44" i="18"/>
  <c r="F44" i="18"/>
  <c r="LC44" i="18" s="1"/>
  <c r="E44" i="18"/>
  <c r="LB44" i="18" s="1"/>
  <c r="KG43" i="18"/>
  <c r="LA43" i="18" s="1"/>
  <c r="KF43" i="18" s="1"/>
  <c r="CQ43" i="18"/>
  <c r="DB116" i="18" s="1"/>
  <c r="CB43" i="18"/>
  <c r="CA43" i="18"/>
  <c r="F43" i="18"/>
  <c r="IA43" i="18" s="1"/>
  <c r="E43" i="18"/>
  <c r="HY43" i="18" s="1"/>
  <c r="KG42" i="18"/>
  <c r="LA42" i="18" s="1"/>
  <c r="KF42" i="18" s="1"/>
  <c r="CQ42" i="18"/>
  <c r="DA117" i="18" s="1"/>
  <c r="CB42" i="18"/>
  <c r="CA42" i="18"/>
  <c r="BZ42" i="18"/>
  <c r="F42" i="18"/>
  <c r="IA42" i="18" s="1"/>
  <c r="E42" i="18"/>
  <c r="KG41" i="18"/>
  <c r="LA41" i="18" s="1"/>
  <c r="KF41" i="18" s="1"/>
  <c r="FS41" i="18"/>
  <c r="FS42" i="18" s="1"/>
  <c r="CQ41" i="18"/>
  <c r="CZ100" i="18" s="1"/>
  <c r="CB41" i="18"/>
  <c r="CA41" i="18"/>
  <c r="BZ41" i="18"/>
  <c r="BY41" i="18"/>
  <c r="F41" i="18"/>
  <c r="LC41" i="18" s="1"/>
  <c r="E41" i="18"/>
  <c r="LB41" i="18" s="1"/>
  <c r="KG40" i="18"/>
  <c r="LA40" i="18" s="1"/>
  <c r="KF40" i="18" s="1"/>
  <c r="HP40" i="18"/>
  <c r="GT40" i="18"/>
  <c r="CQ40" i="18"/>
  <c r="CY115" i="18" s="1"/>
  <c r="F40" i="18"/>
  <c r="LC40" i="18" s="1"/>
  <c r="E40" i="18"/>
  <c r="N40" i="18" s="1"/>
  <c r="KV39" i="18"/>
  <c r="KU39" i="18"/>
  <c r="KT39" i="18"/>
  <c r="KS39" i="18"/>
  <c r="KR39" i="18"/>
  <c r="KQ39" i="18"/>
  <c r="KP39" i="18"/>
  <c r="KO39" i="18"/>
  <c r="KN39" i="18"/>
  <c r="KM39" i="18"/>
  <c r="KL39" i="18"/>
  <c r="KK39" i="18"/>
  <c r="FM39" i="18"/>
  <c r="FL39" i="18"/>
  <c r="FK39" i="18"/>
  <c r="FJ39" i="18"/>
  <c r="FI39" i="18"/>
  <c r="FH39" i="18"/>
  <c r="FG39" i="18"/>
  <c r="FF39" i="18"/>
  <c r="FE39" i="18"/>
  <c r="FD39" i="18"/>
  <c r="FC39" i="18"/>
  <c r="FB39" i="18"/>
  <c r="EJ39" i="18"/>
  <c r="EF84" i="18" s="1"/>
  <c r="KH38" i="18"/>
  <c r="A36" i="18"/>
  <c r="LG38" i="18"/>
  <c r="CH32" i="18"/>
  <c r="HF31" i="18"/>
  <c r="HD31" i="18"/>
  <c r="A26" i="18"/>
  <c r="A25" i="18"/>
  <c r="A24" i="18"/>
  <c r="A23" i="18"/>
  <c r="A22" i="18"/>
  <c r="A21" i="18"/>
  <c r="A20" i="18"/>
  <c r="A19" i="18"/>
  <c r="A18" i="18"/>
  <c r="A17" i="18"/>
  <c r="A16" i="18"/>
  <c r="A15" i="18"/>
  <c r="A14" i="18"/>
  <c r="A13" i="18"/>
  <c r="A12" i="18"/>
  <c r="A11" i="18"/>
  <c r="A10" i="18"/>
  <c r="A9" i="18"/>
  <c r="A8" i="18"/>
  <c r="A7" i="18"/>
  <c r="A6" i="18"/>
  <c r="A5" i="18"/>
  <c r="A2" i="18"/>
  <c r="C2" i="18" s="1"/>
  <c r="T186" i="2"/>
  <c r="U186" i="2" s="1"/>
  <c r="F163" i="2"/>
  <c r="F164" i="2" s="1"/>
  <c r="F165" i="2" s="1"/>
  <c r="F166" i="2" s="1"/>
  <c r="F167" i="2" s="1"/>
  <c r="F168" i="2" s="1"/>
  <c r="F169" i="2" s="1"/>
  <c r="F170" i="2" s="1"/>
  <c r="F171" i="2" s="1"/>
  <c r="F172" i="2" s="1"/>
  <c r="F173" i="2" s="1"/>
  <c r="F174" i="2" s="1"/>
  <c r="F175" i="2" s="1"/>
  <c r="F176" i="2" s="1"/>
  <c r="F177" i="2" s="1"/>
  <c r="F178" i="2" s="1"/>
  <c r="F179" i="2" s="1"/>
  <c r="F180" i="2" s="1"/>
  <c r="F181" i="2" s="1"/>
  <c r="F182" i="2" s="1"/>
  <c r="F183" i="2" s="1"/>
  <c r="F184" i="2" s="1"/>
  <c r="F185" i="2" s="1"/>
  <c r="F186" i="2" s="1"/>
  <c r="F187" i="2" s="1"/>
  <c r="F188" i="2" s="1"/>
  <c r="F189" i="2" s="1"/>
  <c r="F190" i="2" s="1"/>
  <c r="F191" i="2" s="1"/>
  <c r="F192" i="2" s="1"/>
  <c r="F193" i="2" s="1"/>
  <c r="F194" i="2" s="1"/>
  <c r="F195" i="2" s="1"/>
  <c r="F196" i="2" s="1"/>
  <c r="F197" i="2" s="1"/>
  <c r="F198" i="2" s="1"/>
  <c r="F199" i="2" s="1"/>
  <c r="F200" i="2" s="1"/>
  <c r="F201" i="2" s="1"/>
  <c r="F202" i="2" s="1"/>
  <c r="F203" i="2" s="1"/>
  <c r="F204" i="2" s="1"/>
  <c r="F205" i="2" s="1"/>
  <c r="F206" i="2" s="1"/>
  <c r="F207" i="2" s="1"/>
  <c r="T160" i="2"/>
  <c r="S160" i="2"/>
  <c r="S107" i="2"/>
  <c r="O107" i="2"/>
  <c r="N107" i="2"/>
  <c r="M107" i="2"/>
  <c r="T87" i="2"/>
  <c r="S87" i="2"/>
  <c r="V87" i="2" s="1"/>
  <c r="O67" i="2"/>
  <c r="O70" i="2" s="1"/>
  <c r="S64" i="2"/>
  <c r="S72" i="2" s="1"/>
  <c r="S63" i="2"/>
  <c r="S71" i="2" s="1"/>
  <c r="S62" i="2"/>
  <c r="S70" i="2" s="1"/>
  <c r="S61" i="2"/>
  <c r="S69" i="2" s="1"/>
  <c r="S60" i="2"/>
  <c r="S68" i="2" s="1"/>
  <c r="S59" i="2"/>
  <c r="S67" i="2" s="1"/>
  <c r="O42" i="2"/>
  <c r="O43" i="2" s="1"/>
  <c r="O44" i="2" s="1"/>
  <c r="O45" i="2" s="1"/>
  <c r="O46" i="2" s="1"/>
  <c r="N42" i="2"/>
  <c r="N43" i="2" s="1"/>
  <c r="N44" i="2" s="1"/>
  <c r="N45" i="2" s="1"/>
  <c r="N46" i="2" s="1"/>
  <c r="O31" i="2"/>
  <c r="AA17" i="2"/>
  <c r="Z17" i="2"/>
  <c r="Y17" i="2"/>
  <c r="X17" i="2" s="1"/>
  <c r="V16" i="2"/>
  <c r="AA16" i="2" s="1"/>
  <c r="U16" i="2"/>
  <c r="Z16" i="2" s="1"/>
  <c r="T16" i="2"/>
  <c r="Y16" i="2" s="1"/>
  <c r="X16" i="2" s="1"/>
  <c r="V15" i="2"/>
  <c r="AA15" i="2" s="1"/>
  <c r="U15" i="2"/>
  <c r="Z15" i="2" s="1"/>
  <c r="T15" i="2"/>
  <c r="Y15" i="2" s="1"/>
  <c r="X15" i="2" s="1"/>
  <c r="V14" i="2"/>
  <c r="AA14" i="2" s="1"/>
  <c r="U14" i="2"/>
  <c r="Z14" i="2" s="1"/>
  <c r="T14" i="2"/>
  <c r="Y14" i="2" s="1"/>
  <c r="X14" i="2" s="1"/>
  <c r="V13" i="2"/>
  <c r="AA13" i="2" s="1"/>
  <c r="U13" i="2"/>
  <c r="Z13" i="2" s="1"/>
  <c r="T13" i="2"/>
  <c r="Y13" i="2" s="1"/>
  <c r="X13" i="2" s="1"/>
  <c r="V12" i="2"/>
  <c r="AA12" i="2" s="1"/>
  <c r="U12" i="2"/>
  <c r="Z12" i="2" s="1"/>
  <c r="T12" i="2"/>
  <c r="Y12" i="2" s="1"/>
  <c r="X12" i="2" s="1"/>
  <c r="V11" i="2"/>
  <c r="AA11" i="2" s="1"/>
  <c r="U11" i="2"/>
  <c r="Z11" i="2" s="1"/>
  <c r="T11" i="2"/>
  <c r="Y11" i="2" s="1"/>
  <c r="X11" i="2" s="1"/>
  <c r="E12" i="20"/>
  <c r="B6" i="20"/>
  <c r="F237" i="10"/>
  <c r="F236" i="10"/>
  <c r="F235" i="10"/>
  <c r="F234" i="10"/>
  <c r="F233" i="10"/>
  <c r="F232" i="10"/>
  <c r="F231" i="10"/>
  <c r="F230" i="10"/>
  <c r="F229" i="10"/>
  <c r="F228" i="10"/>
  <c r="F227" i="10"/>
  <c r="F226" i="10"/>
  <c r="F225" i="10"/>
  <c r="JP224" i="10"/>
  <c r="F224" i="10"/>
  <c r="JP223" i="10"/>
  <c r="F223" i="10"/>
  <c r="JP222" i="10"/>
  <c r="F222" i="10"/>
  <c r="JP221" i="10"/>
  <c r="F221" i="10"/>
  <c r="JP220" i="10"/>
  <c r="F220" i="10"/>
  <c r="JP219" i="10"/>
  <c r="F219" i="10"/>
  <c r="JP218" i="10"/>
  <c r="F218" i="10"/>
  <c r="JP217" i="10"/>
  <c r="F217" i="10"/>
  <c r="JP216" i="10"/>
  <c r="F216" i="10"/>
  <c r="JP215" i="10"/>
  <c r="F215" i="10"/>
  <c r="JP214" i="10"/>
  <c r="F214" i="10"/>
  <c r="JP213" i="10"/>
  <c r="F213" i="10"/>
  <c r="JP212" i="10"/>
  <c r="F212" i="10"/>
  <c r="JP211" i="10"/>
  <c r="F211" i="10"/>
  <c r="JP210" i="10"/>
  <c r="F210" i="10"/>
  <c r="JP209" i="10"/>
  <c r="F209" i="10"/>
  <c r="JP208" i="10"/>
  <c r="F208" i="10"/>
  <c r="JP207" i="10"/>
  <c r="F207" i="10"/>
  <c r="JP206" i="10"/>
  <c r="F206" i="10"/>
  <c r="JP205" i="10"/>
  <c r="F205" i="10"/>
  <c r="JP204" i="10"/>
  <c r="F204" i="10"/>
  <c r="JP203" i="10"/>
  <c r="F203" i="10"/>
  <c r="JP202" i="10"/>
  <c r="F202" i="10"/>
  <c r="JP201" i="10"/>
  <c r="F201" i="10"/>
  <c r="JP200" i="10"/>
  <c r="IV200" i="10"/>
  <c r="F200" i="10"/>
  <c r="JP199" i="10"/>
  <c r="F199" i="10"/>
  <c r="JP198" i="10"/>
  <c r="F198" i="10"/>
  <c r="JP197" i="10"/>
  <c r="F197" i="10"/>
  <c r="JP196" i="10"/>
  <c r="F196" i="10"/>
  <c r="JP195" i="10"/>
  <c r="F195" i="10"/>
  <c r="JP194" i="10"/>
  <c r="F194" i="10"/>
  <c r="JP193" i="10"/>
  <c r="F193" i="10"/>
  <c r="JP192" i="10"/>
  <c r="F192" i="10"/>
  <c r="JP191" i="10"/>
  <c r="F191" i="10"/>
  <c r="JP190" i="10"/>
  <c r="F190" i="10"/>
  <c r="JZ189" i="10"/>
  <c r="JY189" i="10"/>
  <c r="JX189" i="10"/>
  <c r="JW189" i="10"/>
  <c r="JU189" i="10"/>
  <c r="JT189" i="10"/>
  <c r="JS189" i="10"/>
  <c r="JR189" i="10"/>
  <c r="JP189" i="10"/>
  <c r="F189" i="10"/>
  <c r="JZ188" i="10"/>
  <c r="JY188" i="10"/>
  <c r="JX188" i="10"/>
  <c r="JW188" i="10"/>
  <c r="JU188" i="10"/>
  <c r="JT188" i="10"/>
  <c r="JS188" i="10"/>
  <c r="JR188" i="10"/>
  <c r="JP188" i="10"/>
  <c r="F188" i="10"/>
  <c r="JZ187" i="10"/>
  <c r="JY187" i="10"/>
  <c r="JX187" i="10"/>
  <c r="JW187" i="10"/>
  <c r="JU187" i="10"/>
  <c r="JT187" i="10"/>
  <c r="JS187" i="10"/>
  <c r="JR187" i="10"/>
  <c r="JP187" i="10"/>
  <c r="F187" i="10"/>
  <c r="JZ186" i="10"/>
  <c r="JY186" i="10"/>
  <c r="JX186" i="10"/>
  <c r="JW186" i="10"/>
  <c r="JU186" i="10"/>
  <c r="JT186" i="10"/>
  <c r="JS186" i="10"/>
  <c r="JR186" i="10"/>
  <c r="JP186" i="10"/>
  <c r="F186" i="10"/>
  <c r="JZ185" i="10"/>
  <c r="JY185" i="10"/>
  <c r="JX185" i="10"/>
  <c r="JW185" i="10"/>
  <c r="JU185" i="10"/>
  <c r="JT185" i="10"/>
  <c r="JS185" i="10"/>
  <c r="JR185" i="10"/>
  <c r="JP185" i="10"/>
  <c r="F185" i="10"/>
  <c r="JZ184" i="10"/>
  <c r="JY184" i="10"/>
  <c r="JX184" i="10"/>
  <c r="JW184" i="10"/>
  <c r="JU184" i="10"/>
  <c r="JT184" i="10"/>
  <c r="JS184" i="10"/>
  <c r="JR184" i="10"/>
  <c r="JP184" i="10"/>
  <c r="F184" i="10"/>
  <c r="JZ183" i="10"/>
  <c r="JY183" i="10"/>
  <c r="JX183" i="10"/>
  <c r="JW183" i="10"/>
  <c r="JU183" i="10"/>
  <c r="JT183" i="10"/>
  <c r="JS183" i="10"/>
  <c r="JR183" i="10"/>
  <c r="JP183" i="10"/>
  <c r="F183" i="10"/>
  <c r="JZ182" i="10"/>
  <c r="JY182" i="10"/>
  <c r="JX182" i="10"/>
  <c r="JW182" i="10"/>
  <c r="JU182" i="10"/>
  <c r="JT182" i="10"/>
  <c r="JS182" i="10"/>
  <c r="JR182" i="10"/>
  <c r="JP182" i="10"/>
  <c r="F182" i="10"/>
  <c r="E182" i="10"/>
  <c r="JZ181" i="10"/>
  <c r="JY181" i="10"/>
  <c r="JX181" i="10"/>
  <c r="JW181" i="10"/>
  <c r="JU181" i="10"/>
  <c r="JT181" i="10"/>
  <c r="JS181" i="10"/>
  <c r="JR181" i="10"/>
  <c r="JP181" i="10"/>
  <c r="F181" i="10"/>
  <c r="E181" i="10"/>
  <c r="JZ180" i="10"/>
  <c r="JY180" i="10"/>
  <c r="JX180" i="10"/>
  <c r="JW180" i="10"/>
  <c r="JU180" i="10"/>
  <c r="JT180" i="10"/>
  <c r="JS180" i="10"/>
  <c r="JR180" i="10"/>
  <c r="JP180" i="10"/>
  <c r="IV180" i="10"/>
  <c r="F180" i="10"/>
  <c r="E180" i="10"/>
  <c r="JZ179" i="10"/>
  <c r="JY179" i="10"/>
  <c r="JX179" i="10"/>
  <c r="JW179" i="10"/>
  <c r="JU179" i="10"/>
  <c r="JT179" i="10"/>
  <c r="JS179" i="10"/>
  <c r="JR179" i="10"/>
  <c r="JP179" i="10"/>
  <c r="F179" i="10"/>
  <c r="E179" i="10"/>
  <c r="IK179" i="10" s="1"/>
  <c r="JZ178" i="10"/>
  <c r="JY178" i="10"/>
  <c r="JX178" i="10"/>
  <c r="JW178" i="10"/>
  <c r="JU178" i="10"/>
  <c r="JT178" i="10"/>
  <c r="JS178" i="10"/>
  <c r="JR178" i="10"/>
  <c r="JP178" i="10"/>
  <c r="IF178" i="10"/>
  <c r="ID178" i="10"/>
  <c r="IB178" i="10"/>
  <c r="F178" i="10"/>
  <c r="HZ178" i="10" s="1"/>
  <c r="E178" i="10"/>
  <c r="JZ177" i="10"/>
  <c r="JY177" i="10"/>
  <c r="JX177" i="10"/>
  <c r="JW177" i="10"/>
  <c r="JU177" i="10"/>
  <c r="JT177" i="10"/>
  <c r="JS177" i="10"/>
  <c r="JR177" i="10"/>
  <c r="JP177" i="10"/>
  <c r="IF177" i="10"/>
  <c r="ID177" i="10"/>
  <c r="IB177" i="10"/>
  <c r="F177" i="10"/>
  <c r="HZ177" i="10" s="1"/>
  <c r="E177" i="10"/>
  <c r="IK177" i="10" s="1"/>
  <c r="JZ176" i="10"/>
  <c r="JY176" i="10"/>
  <c r="JX176" i="10"/>
  <c r="JW176" i="10"/>
  <c r="JU176" i="10"/>
  <c r="JT176" i="10"/>
  <c r="JS176" i="10"/>
  <c r="JR176" i="10"/>
  <c r="JP176" i="10"/>
  <c r="IF176" i="10"/>
  <c r="ID176" i="10"/>
  <c r="IB176" i="10"/>
  <c r="F176" i="10"/>
  <c r="HZ176" i="10" s="1"/>
  <c r="E176" i="10"/>
  <c r="IK176" i="10" s="1"/>
  <c r="JY175" i="10"/>
  <c r="JX175" i="10"/>
  <c r="JW175" i="10"/>
  <c r="JU175" i="10"/>
  <c r="JT175" i="10"/>
  <c r="JS175" i="10"/>
  <c r="JR175" i="10"/>
  <c r="JP175" i="10"/>
  <c r="IF175" i="10"/>
  <c r="ID175" i="10"/>
  <c r="IB175" i="10"/>
  <c r="F175" i="10"/>
  <c r="HZ175" i="10" s="1"/>
  <c r="E175" i="10"/>
  <c r="IK175" i="10" s="1"/>
  <c r="IF174" i="10"/>
  <c r="ID174" i="10"/>
  <c r="IB174" i="10"/>
  <c r="F174" i="10"/>
  <c r="HZ174" i="10" s="1"/>
  <c r="E174" i="10"/>
  <c r="IK174" i="10" s="1"/>
  <c r="IF173" i="10"/>
  <c r="ID173" i="10"/>
  <c r="IB173" i="10"/>
  <c r="F173" i="10"/>
  <c r="HZ173" i="10" s="1"/>
  <c r="E173" i="10"/>
  <c r="IF172" i="10"/>
  <c r="ID172" i="10"/>
  <c r="IB172" i="10"/>
  <c r="F172" i="10"/>
  <c r="HZ172" i="10" s="1"/>
  <c r="E172" i="10"/>
  <c r="IK172" i="10" s="1"/>
  <c r="IF171" i="10"/>
  <c r="ID171" i="10"/>
  <c r="IB171" i="10"/>
  <c r="F171" i="10"/>
  <c r="HZ171" i="10" s="1"/>
  <c r="E171" i="10"/>
  <c r="IF170" i="10"/>
  <c r="ID170" i="10"/>
  <c r="IB170" i="10"/>
  <c r="F170" i="10"/>
  <c r="HZ170" i="10" s="1"/>
  <c r="E170" i="10"/>
  <c r="IF169" i="10"/>
  <c r="ID169" i="10"/>
  <c r="IB169" i="10"/>
  <c r="F169" i="10"/>
  <c r="HZ169" i="10" s="1"/>
  <c r="E169" i="10"/>
  <c r="IF168" i="10"/>
  <c r="ID168" i="10"/>
  <c r="IB168" i="10"/>
  <c r="F168" i="10"/>
  <c r="HZ168" i="10" s="1"/>
  <c r="E168" i="10"/>
  <c r="IF167" i="10"/>
  <c r="ID167" i="10"/>
  <c r="IB167" i="10"/>
  <c r="F167" i="10"/>
  <c r="HZ167" i="10" s="1"/>
  <c r="E167" i="10"/>
  <c r="IK167" i="10" s="1"/>
  <c r="IF166" i="10"/>
  <c r="ID166" i="10"/>
  <c r="IB166" i="10"/>
  <c r="F166" i="10"/>
  <c r="HZ166" i="10" s="1"/>
  <c r="E166" i="10"/>
  <c r="IK166" i="10" s="1"/>
  <c r="IF165" i="10"/>
  <c r="ID165" i="10"/>
  <c r="IB165" i="10"/>
  <c r="F165" i="10"/>
  <c r="HZ165" i="10" s="1"/>
  <c r="E165" i="10"/>
  <c r="IK165" i="10" s="1"/>
  <c r="IF164" i="10"/>
  <c r="ID164" i="10"/>
  <c r="IB164" i="10"/>
  <c r="F164" i="10"/>
  <c r="HZ164" i="10" s="1"/>
  <c r="E164" i="10"/>
  <c r="IK164" i="10" s="1"/>
  <c r="IF163" i="10"/>
  <c r="ID163" i="10"/>
  <c r="IB163" i="10"/>
  <c r="F163" i="10"/>
  <c r="HZ163" i="10" s="1"/>
  <c r="E163" i="10"/>
  <c r="IK163" i="10" s="1"/>
  <c r="IF162" i="10"/>
  <c r="ID162" i="10"/>
  <c r="IB162" i="10"/>
  <c r="F162" i="10"/>
  <c r="HZ162" i="10" s="1"/>
  <c r="E162" i="10"/>
  <c r="IK162" i="10" s="1"/>
  <c r="IF161" i="10"/>
  <c r="ID161" i="10"/>
  <c r="IB161" i="10"/>
  <c r="F161" i="10"/>
  <c r="HZ161" i="10" s="1"/>
  <c r="E161" i="10"/>
  <c r="IK161" i="10" s="1"/>
  <c r="IF160" i="10"/>
  <c r="ID160" i="10"/>
  <c r="IB160" i="10"/>
  <c r="F160" i="10"/>
  <c r="HZ160" i="10" s="1"/>
  <c r="E160" i="10"/>
  <c r="IK160" i="10" s="1"/>
  <c r="IF159" i="10"/>
  <c r="ID159" i="10"/>
  <c r="IB159" i="10"/>
  <c r="F159" i="10"/>
  <c r="HZ159" i="10" s="1"/>
  <c r="E159" i="10"/>
  <c r="IK159" i="10" s="1"/>
  <c r="IF158" i="10"/>
  <c r="ID158" i="10"/>
  <c r="IB158" i="10"/>
  <c r="F158" i="10"/>
  <c r="HZ158" i="10" s="1"/>
  <c r="E158" i="10"/>
  <c r="IF157" i="10"/>
  <c r="ID157" i="10"/>
  <c r="IB157" i="10"/>
  <c r="F157" i="10"/>
  <c r="HZ157" i="10" s="1"/>
  <c r="E157" i="10"/>
  <c r="IK157" i="10" s="1"/>
  <c r="IF156" i="10"/>
  <c r="ID156" i="10"/>
  <c r="IB156" i="10"/>
  <c r="F156" i="10"/>
  <c r="HZ156" i="10" s="1"/>
  <c r="E156" i="10"/>
  <c r="IF155" i="10"/>
  <c r="ID155" i="10"/>
  <c r="IB155" i="10"/>
  <c r="F155" i="10"/>
  <c r="HZ155" i="10" s="1"/>
  <c r="E155" i="10"/>
  <c r="IF154" i="10"/>
  <c r="ID154" i="10"/>
  <c r="IB154" i="10"/>
  <c r="F154" i="10"/>
  <c r="HZ154" i="10" s="1"/>
  <c r="E154" i="10"/>
  <c r="IF153" i="10"/>
  <c r="ID153" i="10"/>
  <c r="IB153" i="10"/>
  <c r="F153" i="10"/>
  <c r="HZ153" i="10" s="1"/>
  <c r="E153" i="10"/>
  <c r="IK153" i="10" s="1"/>
  <c r="IF152" i="10"/>
  <c r="ID152" i="10"/>
  <c r="IB152" i="10"/>
  <c r="F152" i="10"/>
  <c r="HZ152" i="10" s="1"/>
  <c r="E152" i="10"/>
  <c r="IF151" i="10"/>
  <c r="ID151" i="10"/>
  <c r="IB151" i="10"/>
  <c r="F151" i="10"/>
  <c r="HZ151" i="10" s="1"/>
  <c r="E151" i="10"/>
  <c r="IK151" i="10" s="1"/>
  <c r="IF150" i="10"/>
  <c r="ID150" i="10"/>
  <c r="IB150" i="10"/>
  <c r="F150" i="10"/>
  <c r="HZ150" i="10" s="1"/>
  <c r="E150" i="10"/>
  <c r="IK150" i="10" s="1"/>
  <c r="IF149" i="10"/>
  <c r="ID149" i="10"/>
  <c r="IB149" i="10"/>
  <c r="F149" i="10"/>
  <c r="HZ149" i="10" s="1"/>
  <c r="E149" i="10"/>
  <c r="IK149" i="10" s="1"/>
  <c r="IF148" i="10"/>
  <c r="ID148" i="10"/>
  <c r="IB148" i="10"/>
  <c r="F148" i="10"/>
  <c r="HZ148" i="10" s="1"/>
  <c r="E148" i="10"/>
  <c r="IK148" i="10" s="1"/>
  <c r="IF147" i="10"/>
  <c r="ID147" i="10"/>
  <c r="IB147" i="10"/>
  <c r="F147" i="10"/>
  <c r="HZ147" i="10" s="1"/>
  <c r="E147" i="10"/>
  <c r="IK147" i="10" s="1"/>
  <c r="IF146" i="10"/>
  <c r="ID146" i="10"/>
  <c r="IB146" i="10"/>
  <c r="F146" i="10"/>
  <c r="HZ146" i="10" s="1"/>
  <c r="E146" i="10"/>
  <c r="IK146" i="10" s="1"/>
  <c r="IF145" i="10"/>
  <c r="ID145" i="10"/>
  <c r="IB145" i="10"/>
  <c r="F145" i="10"/>
  <c r="HZ145" i="10" s="1"/>
  <c r="E145" i="10"/>
  <c r="IK145" i="10" s="1"/>
  <c r="IF144" i="10"/>
  <c r="ID144" i="10"/>
  <c r="IB144" i="10"/>
  <c r="F144" i="10"/>
  <c r="HZ144" i="10" s="1"/>
  <c r="E144" i="10"/>
  <c r="IK144" i="10" s="1"/>
  <c r="IF143" i="10"/>
  <c r="ID143" i="10"/>
  <c r="IB143" i="10"/>
  <c r="F143" i="10"/>
  <c r="HZ143" i="10" s="1"/>
  <c r="E143" i="10"/>
  <c r="IK143" i="10" s="1"/>
  <c r="IF142" i="10"/>
  <c r="ID142" i="10"/>
  <c r="IB142" i="10"/>
  <c r="F142" i="10"/>
  <c r="HZ142" i="10" s="1"/>
  <c r="E142" i="10"/>
  <c r="IF141" i="10"/>
  <c r="ID141" i="10"/>
  <c r="IB141" i="10"/>
  <c r="F141" i="10"/>
  <c r="HZ141" i="10" s="1"/>
  <c r="E141" i="10"/>
  <c r="IK141" i="10" s="1"/>
  <c r="IF140" i="10"/>
  <c r="ID140" i="10"/>
  <c r="IB140" i="10"/>
  <c r="F140" i="10"/>
  <c r="HZ140" i="10" s="1"/>
  <c r="E140" i="10"/>
  <c r="IK140" i="10" s="1"/>
  <c r="IF139" i="10"/>
  <c r="ID139" i="10"/>
  <c r="IB139" i="10"/>
  <c r="F139" i="10"/>
  <c r="HZ139" i="10" s="1"/>
  <c r="E139" i="10"/>
  <c r="IK139" i="10" s="1"/>
  <c r="IF138" i="10"/>
  <c r="ID138" i="10"/>
  <c r="IB138" i="10"/>
  <c r="F138" i="10"/>
  <c r="HZ138" i="10" s="1"/>
  <c r="E138" i="10"/>
  <c r="IK138" i="10" s="1"/>
  <c r="IF137" i="10"/>
  <c r="ID137" i="10"/>
  <c r="IB137" i="10"/>
  <c r="F137" i="10"/>
  <c r="HZ137" i="10" s="1"/>
  <c r="E137" i="10"/>
  <c r="IK137" i="10" s="1"/>
  <c r="IF136" i="10"/>
  <c r="ID136" i="10"/>
  <c r="IB136" i="10"/>
  <c r="F136" i="10"/>
  <c r="HZ136" i="10" s="1"/>
  <c r="E136" i="10"/>
  <c r="IK136" i="10" s="1"/>
  <c r="IF135" i="10"/>
  <c r="ID135" i="10"/>
  <c r="IB135" i="10"/>
  <c r="F135" i="10"/>
  <c r="HZ135" i="10" s="1"/>
  <c r="E135" i="10"/>
  <c r="IK135" i="10" s="1"/>
  <c r="IF134" i="10"/>
  <c r="ID134" i="10"/>
  <c r="IB134" i="10"/>
  <c r="F134" i="10"/>
  <c r="HZ134" i="10" s="1"/>
  <c r="E134" i="10"/>
  <c r="IK134" i="10" s="1"/>
  <c r="IF133" i="10"/>
  <c r="ID133" i="10"/>
  <c r="IB133" i="10"/>
  <c r="F133" i="10"/>
  <c r="HZ133" i="10" s="1"/>
  <c r="E133" i="10"/>
  <c r="IK133" i="10" s="1"/>
  <c r="IF132" i="10"/>
  <c r="ID132" i="10"/>
  <c r="IB132" i="10"/>
  <c r="F132" i="10"/>
  <c r="HZ132" i="10" s="1"/>
  <c r="E132" i="10"/>
  <c r="IK132" i="10" s="1"/>
  <c r="I131" i="10"/>
  <c r="H131" i="10"/>
  <c r="F131" i="10"/>
  <c r="HZ131" i="10" s="1"/>
  <c r="E131" i="10"/>
  <c r="IK131" i="10" s="1"/>
  <c r="I130" i="10"/>
  <c r="H130" i="10"/>
  <c r="F130" i="10"/>
  <c r="HZ130" i="10" s="1"/>
  <c r="E130" i="10"/>
  <c r="IK130" i="10" s="1"/>
  <c r="I129" i="10"/>
  <c r="H129" i="10"/>
  <c r="F129" i="10"/>
  <c r="HZ129" i="10" s="1"/>
  <c r="E129" i="10"/>
  <c r="IK129" i="10" s="1"/>
  <c r="I128" i="10"/>
  <c r="H128" i="10"/>
  <c r="F128" i="10"/>
  <c r="HZ128" i="10" s="1"/>
  <c r="E128" i="10"/>
  <c r="IK128" i="10" s="1"/>
  <c r="I127" i="10"/>
  <c r="H127" i="10"/>
  <c r="F127" i="10"/>
  <c r="HZ127" i="10" s="1"/>
  <c r="E127" i="10"/>
  <c r="IK127" i="10" s="1"/>
  <c r="I126" i="10"/>
  <c r="H126" i="10"/>
  <c r="F126" i="10"/>
  <c r="HZ126" i="10" s="1"/>
  <c r="E126" i="10"/>
  <c r="IK126" i="10" s="1"/>
  <c r="I125" i="10"/>
  <c r="H125" i="10"/>
  <c r="F125" i="10"/>
  <c r="HZ125" i="10" s="1"/>
  <c r="E125" i="10"/>
  <c r="IK125" i="10" s="1"/>
  <c r="I124" i="10"/>
  <c r="H124" i="10"/>
  <c r="F124" i="10"/>
  <c r="HZ124" i="10" s="1"/>
  <c r="E124" i="10"/>
  <c r="IK124" i="10" s="1"/>
  <c r="I123" i="10"/>
  <c r="H123" i="10"/>
  <c r="F123" i="10"/>
  <c r="HZ123" i="10" s="1"/>
  <c r="E123" i="10"/>
  <c r="IK123" i="10" s="1"/>
  <c r="I122" i="10"/>
  <c r="H122" i="10"/>
  <c r="F122" i="10"/>
  <c r="HZ122" i="10" s="1"/>
  <c r="E122" i="10"/>
  <c r="IK122" i="10" s="1"/>
  <c r="I121" i="10"/>
  <c r="H121" i="10"/>
  <c r="F121" i="10"/>
  <c r="HZ121" i="10" s="1"/>
  <c r="E121" i="10"/>
  <c r="IK121" i="10" s="1"/>
  <c r="I120" i="10"/>
  <c r="Q120" i="10" s="1"/>
  <c r="R120" i="10" s="1"/>
  <c r="H120" i="10"/>
  <c r="F120" i="10"/>
  <c r="HZ120" i="10" s="1"/>
  <c r="E120" i="10"/>
  <c r="IK120" i="10" s="1"/>
  <c r="F119" i="10"/>
  <c r="E119" i="10"/>
  <c r="IK119" i="10" s="1"/>
  <c r="F118" i="10"/>
  <c r="E118" i="10"/>
  <c r="IK118" i="10" s="1"/>
  <c r="F117" i="10"/>
  <c r="E117" i="10"/>
  <c r="F116" i="10"/>
  <c r="CH116" i="10" s="1"/>
  <c r="E116" i="10"/>
  <c r="F115" i="10"/>
  <c r="HZ115" i="10" s="1"/>
  <c r="E115" i="10"/>
  <c r="F114" i="10"/>
  <c r="CH114" i="10" s="1"/>
  <c r="E114" i="10"/>
  <c r="IK114" i="10" s="1"/>
  <c r="F113" i="10"/>
  <c r="CH113" i="10" s="1"/>
  <c r="E113" i="10"/>
  <c r="F112" i="10"/>
  <c r="CH112" i="10" s="1"/>
  <c r="E112" i="10"/>
  <c r="F111" i="10"/>
  <c r="E111" i="10"/>
  <c r="F110" i="10"/>
  <c r="CH110" i="10" s="1"/>
  <c r="E110" i="10"/>
  <c r="IK110" i="10" s="1"/>
  <c r="F109" i="10"/>
  <c r="CH109" i="10" s="1"/>
  <c r="E109" i="10"/>
  <c r="IK109" i="10" s="1"/>
  <c r="F108" i="10"/>
  <c r="CH108" i="10" s="1"/>
  <c r="E108" i="10"/>
  <c r="F107" i="10"/>
  <c r="CH107" i="10" s="1"/>
  <c r="E107" i="10"/>
  <c r="F106" i="10"/>
  <c r="CH106" i="10" s="1"/>
  <c r="E106" i="10"/>
  <c r="IK106" i="10" s="1"/>
  <c r="F105" i="10"/>
  <c r="E105" i="10"/>
  <c r="IK105" i="10" s="1"/>
  <c r="F104" i="10"/>
  <c r="CH104" i="10" s="1"/>
  <c r="E104" i="10"/>
  <c r="IK104" i="10" s="1"/>
  <c r="F103" i="10"/>
  <c r="CH103" i="10" s="1"/>
  <c r="E103" i="10"/>
  <c r="F102" i="10"/>
  <c r="CH102" i="10" s="1"/>
  <c r="E102" i="10"/>
  <c r="HN101" i="10"/>
  <c r="F101" i="10"/>
  <c r="E101" i="10"/>
  <c r="HN100" i="10"/>
  <c r="F100" i="10"/>
  <c r="E100" i="10"/>
  <c r="IK100" i="10" s="1"/>
  <c r="HN99" i="10"/>
  <c r="F99" i="10"/>
  <c r="E99" i="10"/>
  <c r="IK99" i="10" s="1"/>
  <c r="HN98" i="10"/>
  <c r="F98" i="10"/>
  <c r="E98" i="10"/>
  <c r="IK98" i="10" s="1"/>
  <c r="F97" i="10"/>
  <c r="E97" i="10"/>
  <c r="HO96" i="10"/>
  <c r="HQ96" i="10" s="1"/>
  <c r="F96" i="10"/>
  <c r="E96" i="10"/>
  <c r="HO95" i="10"/>
  <c r="F95" i="10"/>
  <c r="E95" i="10"/>
  <c r="HO94" i="10"/>
  <c r="F94" i="10"/>
  <c r="E94" i="10"/>
  <c r="IK94" i="10" s="1"/>
  <c r="HO93" i="10"/>
  <c r="F93" i="10"/>
  <c r="E93" i="10"/>
  <c r="IK93" i="10" s="1"/>
  <c r="HO92" i="10"/>
  <c r="F92" i="10"/>
  <c r="E92" i="10"/>
  <c r="HO91" i="10"/>
  <c r="F91" i="10"/>
  <c r="E91" i="10"/>
  <c r="HO90" i="10"/>
  <c r="F90" i="10"/>
  <c r="E90" i="10"/>
  <c r="IK90" i="10" s="1"/>
  <c r="HO89" i="10"/>
  <c r="F89" i="10"/>
  <c r="E89" i="10"/>
  <c r="IK89" i="10" s="1"/>
  <c r="HO88" i="10"/>
  <c r="F88" i="10"/>
  <c r="CH88" i="10" s="1"/>
  <c r="E88" i="10"/>
  <c r="IK88" i="10" s="1"/>
  <c r="LD87" i="10"/>
  <c r="KF87" i="10"/>
  <c r="KZ87" i="10" s="1"/>
  <c r="HO87" i="10"/>
  <c r="F87" i="10"/>
  <c r="E87" i="10"/>
  <c r="IK87" i="10" s="1"/>
  <c r="LD86" i="10"/>
  <c r="KF86" i="10"/>
  <c r="KZ86" i="10" s="1"/>
  <c r="HO86" i="10"/>
  <c r="F86" i="10"/>
  <c r="AB86" i="10" s="1"/>
  <c r="AI86" i="10" s="1"/>
  <c r="E86" i="10"/>
  <c r="LD85" i="10"/>
  <c r="KF85" i="10"/>
  <c r="KZ85" i="10" s="1"/>
  <c r="KE85" i="10" s="1"/>
  <c r="HO85" i="10"/>
  <c r="F85" i="10"/>
  <c r="LB85" i="10" s="1"/>
  <c r="E85" i="10"/>
  <c r="LD84" i="10"/>
  <c r="KF84" i="10"/>
  <c r="KZ84" i="10" s="1"/>
  <c r="KE84" i="10" s="1"/>
  <c r="HO84" i="10"/>
  <c r="F84" i="10"/>
  <c r="CH84" i="10" s="1"/>
  <c r="E84" i="10"/>
  <c r="IK84" i="10" s="1"/>
  <c r="LD83" i="10"/>
  <c r="KF83" i="10"/>
  <c r="KZ83" i="10" s="1"/>
  <c r="KE83" i="10" s="1"/>
  <c r="HO83" i="10"/>
  <c r="F83" i="10"/>
  <c r="E83" i="10"/>
  <c r="LD82" i="10"/>
  <c r="KF82" i="10"/>
  <c r="KZ82" i="10" s="1"/>
  <c r="KE82" i="10" s="1"/>
  <c r="HO82" i="10"/>
  <c r="HL82" i="10"/>
  <c r="F82" i="10"/>
  <c r="CH82" i="10" s="1"/>
  <c r="E82" i="10"/>
  <c r="LD81" i="10"/>
  <c r="KF81" i="10"/>
  <c r="KZ81" i="10" s="1"/>
  <c r="KE81" i="10" s="1"/>
  <c r="HO81" i="10"/>
  <c r="HL81" i="10"/>
  <c r="F81" i="10"/>
  <c r="E81" i="10"/>
  <c r="LD80" i="10"/>
  <c r="KF80" i="10"/>
  <c r="KZ80" i="10" s="1"/>
  <c r="KE80" i="10" s="1"/>
  <c r="HO80" i="10"/>
  <c r="HL80" i="10"/>
  <c r="F80" i="10"/>
  <c r="B80" i="10" s="1"/>
  <c r="A80" i="10" s="1"/>
  <c r="E80" i="10"/>
  <c r="LD79" i="10"/>
  <c r="KF79" i="10"/>
  <c r="KZ79" i="10" s="1"/>
  <c r="KE79" i="10" s="1"/>
  <c r="HO79" i="10"/>
  <c r="HP79" i="10" s="1"/>
  <c r="HL79" i="10"/>
  <c r="F79" i="10"/>
  <c r="E79" i="10"/>
  <c r="LD78" i="10"/>
  <c r="KF78" i="10"/>
  <c r="KZ78" i="10" s="1"/>
  <c r="KE78" i="10" s="1"/>
  <c r="HO78" i="10"/>
  <c r="HL78" i="10"/>
  <c r="F78" i="10"/>
  <c r="CH78" i="10" s="1"/>
  <c r="E78" i="10"/>
  <c r="LD77" i="10"/>
  <c r="KF77" i="10"/>
  <c r="KZ77" i="10" s="1"/>
  <c r="KE77" i="10" s="1"/>
  <c r="HO77" i="10"/>
  <c r="HQ78" i="10" s="1"/>
  <c r="HL77" i="10"/>
  <c r="F77" i="10"/>
  <c r="CH77" i="10" s="1"/>
  <c r="E77" i="10"/>
  <c r="LD76" i="10"/>
  <c r="KF76" i="10"/>
  <c r="KZ76" i="10" s="1"/>
  <c r="KE76" i="10" s="1"/>
  <c r="HO76" i="10"/>
  <c r="HL76" i="10"/>
  <c r="F76" i="10"/>
  <c r="E76" i="10"/>
  <c r="LD75" i="10"/>
  <c r="KF75" i="10"/>
  <c r="KZ75" i="10" s="1"/>
  <c r="KE75" i="10" s="1"/>
  <c r="HO75" i="10"/>
  <c r="GU75" i="10"/>
  <c r="HL75" i="10" s="1"/>
  <c r="F75" i="10"/>
  <c r="E75" i="10"/>
  <c r="KF74" i="10"/>
  <c r="KZ74" i="10" s="1"/>
  <c r="KE74" i="10" s="1"/>
  <c r="HO74" i="10"/>
  <c r="HB74" i="10"/>
  <c r="HA74" i="10"/>
  <c r="GZ74" i="10"/>
  <c r="GY74" i="10"/>
  <c r="GX74" i="10"/>
  <c r="GW74" i="10"/>
  <c r="GV74" i="10"/>
  <c r="GU74" i="10"/>
  <c r="GT74" i="10"/>
  <c r="GS74" i="10"/>
  <c r="F74" i="10"/>
  <c r="E74" i="10"/>
  <c r="KF73" i="10"/>
  <c r="KZ73" i="10" s="1"/>
  <c r="KE73" i="10" s="1"/>
  <c r="F73" i="10"/>
  <c r="B73" i="10" s="1"/>
  <c r="A73" i="10" s="1"/>
  <c r="E73" i="10"/>
  <c r="KF72" i="10"/>
  <c r="KZ72" i="10" s="1"/>
  <c r="KE72" i="10" s="1"/>
  <c r="F72" i="10"/>
  <c r="E72" i="10"/>
  <c r="KF71" i="10"/>
  <c r="KZ71" i="10" s="1"/>
  <c r="KE71" i="10" s="1"/>
  <c r="BX71" i="10"/>
  <c r="F71" i="10"/>
  <c r="E71" i="10"/>
  <c r="KF70" i="10"/>
  <c r="KZ70" i="10" s="1"/>
  <c r="KE70" i="10" s="1"/>
  <c r="F70" i="10"/>
  <c r="B70" i="10" s="1"/>
  <c r="A70" i="10" s="1"/>
  <c r="E70" i="10"/>
  <c r="KF69" i="10"/>
  <c r="KZ69" i="10" s="1"/>
  <c r="KE69" i="10" s="1"/>
  <c r="F69" i="10"/>
  <c r="E69" i="10"/>
  <c r="KF68" i="10"/>
  <c r="KZ68" i="10" s="1"/>
  <c r="KE68" i="10" s="1"/>
  <c r="F68" i="10"/>
  <c r="E68" i="10"/>
  <c r="KF67" i="10"/>
  <c r="KZ67" i="10" s="1"/>
  <c r="KE67" i="10" s="1"/>
  <c r="F67" i="10"/>
  <c r="E67" i="10"/>
  <c r="KF66" i="10"/>
  <c r="KZ66" i="10" s="1"/>
  <c r="KE66" i="10" s="1"/>
  <c r="F66" i="10"/>
  <c r="B66" i="10" s="1"/>
  <c r="A66" i="10" s="1"/>
  <c r="E66" i="10"/>
  <c r="KF65" i="10"/>
  <c r="KZ65" i="10" s="1"/>
  <c r="KE65" i="10" s="1"/>
  <c r="F65" i="10"/>
  <c r="LB65" i="10" s="1"/>
  <c r="E65" i="10"/>
  <c r="KF64" i="10"/>
  <c r="KZ64" i="10" s="1"/>
  <c r="KE64" i="10" s="1"/>
  <c r="F64" i="10"/>
  <c r="CH64" i="10" s="1"/>
  <c r="E64" i="10"/>
  <c r="KF63" i="10"/>
  <c r="KZ63" i="10" s="1"/>
  <c r="KE63" i="10" s="1"/>
  <c r="F63" i="10"/>
  <c r="E63" i="10"/>
  <c r="KF62" i="10"/>
  <c r="KZ62" i="10" s="1"/>
  <c r="KE62" i="10" s="1"/>
  <c r="F62" i="10"/>
  <c r="B62" i="10" s="1"/>
  <c r="A62" i="10" s="1"/>
  <c r="E62" i="10"/>
  <c r="KF61" i="10"/>
  <c r="KZ61" i="10" s="1"/>
  <c r="KE61" i="10" s="1"/>
  <c r="F61" i="10"/>
  <c r="CH61" i="10" s="1"/>
  <c r="E61" i="10"/>
  <c r="KF60" i="10"/>
  <c r="KZ60" i="10" s="1"/>
  <c r="KE60" i="10" s="1"/>
  <c r="F60" i="10"/>
  <c r="E60" i="10"/>
  <c r="KF59" i="10"/>
  <c r="KZ59" i="10" s="1"/>
  <c r="KE59" i="10" s="1"/>
  <c r="F59" i="10"/>
  <c r="CH59" i="10" s="1"/>
  <c r="E59" i="10"/>
  <c r="KF58" i="10"/>
  <c r="KZ58" i="10" s="1"/>
  <c r="KE58" i="10" s="1"/>
  <c r="F58" i="10"/>
  <c r="CH58" i="10" s="1"/>
  <c r="E58" i="10"/>
  <c r="KF57" i="10"/>
  <c r="KZ57" i="10" s="1"/>
  <c r="KE57" i="10" s="1"/>
  <c r="F57" i="10"/>
  <c r="LB57" i="10" s="1"/>
  <c r="E57" i="10"/>
  <c r="KF56" i="10"/>
  <c r="KZ56" i="10" s="1"/>
  <c r="KE56" i="10" s="1"/>
  <c r="F56" i="10"/>
  <c r="CH56" i="10" s="1"/>
  <c r="E56" i="10"/>
  <c r="KF55" i="10"/>
  <c r="KZ55" i="10" s="1"/>
  <c r="KE55" i="10" s="1"/>
  <c r="F55" i="10"/>
  <c r="B55" i="10" s="1"/>
  <c r="A55" i="10" s="1"/>
  <c r="E55" i="10"/>
  <c r="KF54" i="10"/>
  <c r="KZ54" i="10" s="1"/>
  <c r="KE54" i="10" s="1"/>
  <c r="F54" i="10"/>
  <c r="HZ54" i="10" s="1"/>
  <c r="E54" i="10"/>
  <c r="KF53" i="10"/>
  <c r="KZ53" i="10" s="1"/>
  <c r="KE53" i="10" s="1"/>
  <c r="F53" i="10"/>
  <c r="E53" i="10"/>
  <c r="KF52" i="10"/>
  <c r="KZ52" i="10" s="1"/>
  <c r="KE52" i="10" s="1"/>
  <c r="JE52" i="10"/>
  <c r="F52" i="10"/>
  <c r="E52" i="10"/>
  <c r="KF51" i="10"/>
  <c r="KZ51" i="10" s="1"/>
  <c r="KE51" i="10" s="1"/>
  <c r="JE51" i="10"/>
  <c r="F51" i="10"/>
  <c r="HZ51" i="10" s="1"/>
  <c r="E51" i="10"/>
  <c r="KF50" i="10"/>
  <c r="KZ50" i="10" s="1"/>
  <c r="KE50" i="10" s="1"/>
  <c r="JE50" i="10"/>
  <c r="EL50" i="10"/>
  <c r="EL51" i="10" s="1"/>
  <c r="EL52" i="10" s="1"/>
  <c r="EL53" i="10" s="1"/>
  <c r="EL54" i="10" s="1"/>
  <c r="F50" i="10"/>
  <c r="LB50" i="10" s="1"/>
  <c r="E50" i="10"/>
  <c r="KF49" i="10"/>
  <c r="KZ49" i="10" s="1"/>
  <c r="KE49" i="10" s="1"/>
  <c r="JE49" i="10"/>
  <c r="F49" i="10"/>
  <c r="E49" i="10"/>
  <c r="KF48" i="10"/>
  <c r="KZ48" i="10" s="1"/>
  <c r="KE48" i="10" s="1"/>
  <c r="JE48" i="10"/>
  <c r="F48" i="10"/>
  <c r="CH48" i="10" s="1"/>
  <c r="E48" i="10"/>
  <c r="KF47" i="10"/>
  <c r="KZ47" i="10" s="1"/>
  <c r="KE47" i="10" s="1"/>
  <c r="JE47" i="10"/>
  <c r="F47" i="10"/>
  <c r="E47" i="10"/>
  <c r="KF46" i="10"/>
  <c r="KZ46" i="10" s="1"/>
  <c r="KE46" i="10" s="1"/>
  <c r="JZ46" i="10"/>
  <c r="K12" i="20" s="1"/>
  <c r="JY46" i="10"/>
  <c r="J12" i="20" s="1"/>
  <c r="JX46" i="10"/>
  <c r="I12" i="20" s="1"/>
  <c r="JW46" i="10"/>
  <c r="H12" i="20" s="1"/>
  <c r="JU46" i="10"/>
  <c r="F12" i="20" s="1"/>
  <c r="JS46" i="10"/>
  <c r="D12" i="20" s="1"/>
  <c r="JR46" i="10"/>
  <c r="C12" i="20" s="1"/>
  <c r="JQ46" i="10"/>
  <c r="B12" i="20" s="1"/>
  <c r="JE46" i="10"/>
  <c r="JD46" i="10" s="1"/>
  <c r="F46" i="10"/>
  <c r="AB46" i="10" s="1"/>
  <c r="AI46" i="10" s="1"/>
  <c r="E46" i="10"/>
  <c r="KF45" i="10"/>
  <c r="KZ45" i="10" s="1"/>
  <c r="KE45" i="10" s="1"/>
  <c r="JQ45" i="10"/>
  <c r="B8" i="20" s="1"/>
  <c r="JE45" i="10"/>
  <c r="JD45" i="10" s="1"/>
  <c r="F45" i="10"/>
  <c r="HZ45" i="10" s="1"/>
  <c r="E45" i="10"/>
  <c r="KF44" i="10"/>
  <c r="KZ44" i="10" s="1"/>
  <c r="KE44" i="10" s="1"/>
  <c r="CQ44" i="10"/>
  <c r="CB44" i="10"/>
  <c r="F44" i="10"/>
  <c r="HZ44" i="10" s="1"/>
  <c r="E44" i="10"/>
  <c r="KF43" i="10"/>
  <c r="KZ43" i="10" s="1"/>
  <c r="KE43" i="10"/>
  <c r="CQ43" i="10"/>
  <c r="CB43" i="10"/>
  <c r="CA43" i="10"/>
  <c r="F43" i="10"/>
  <c r="HZ43" i="10" s="1"/>
  <c r="E43" i="10"/>
  <c r="KF42" i="10"/>
  <c r="KZ42" i="10" s="1"/>
  <c r="KE42" i="10" s="1"/>
  <c r="CQ42" i="10"/>
  <c r="CB42" i="10"/>
  <c r="CA42" i="10"/>
  <c r="BZ42" i="10"/>
  <c r="F42" i="10"/>
  <c r="E42" i="10"/>
  <c r="KF41" i="10"/>
  <c r="KZ41" i="10" s="1"/>
  <c r="KE41" i="10" s="1"/>
  <c r="FR41" i="10"/>
  <c r="CQ41" i="10"/>
  <c r="CB41" i="10"/>
  <c r="CA41" i="10"/>
  <c r="BZ41" i="10"/>
  <c r="BY41" i="10"/>
  <c r="F41" i="10"/>
  <c r="LB41" i="10" s="1"/>
  <c r="E41" i="10"/>
  <c r="KF40" i="10"/>
  <c r="KZ40" i="10" s="1"/>
  <c r="KE40" i="10" s="1"/>
  <c r="HO40" i="10"/>
  <c r="GS40" i="10"/>
  <c r="EN40" i="10"/>
  <c r="CQ40" i="10"/>
  <c r="F40" i="10"/>
  <c r="B40" i="10" s="1"/>
  <c r="A40" i="10" s="1"/>
  <c r="E40" i="10"/>
  <c r="KU39" i="10"/>
  <c r="KT39" i="10"/>
  <c r="KS39" i="10"/>
  <c r="KR39" i="10"/>
  <c r="KQ39" i="10"/>
  <c r="KP39" i="10"/>
  <c r="KO39" i="10"/>
  <c r="KN39" i="10"/>
  <c r="KM39" i="10"/>
  <c r="KL39" i="10"/>
  <c r="KK39" i="10"/>
  <c r="KJ39" i="10"/>
  <c r="FL39" i="10"/>
  <c r="FK39" i="10"/>
  <c r="FJ39" i="10"/>
  <c r="FI39" i="10"/>
  <c r="FH39" i="10"/>
  <c r="FG39" i="10"/>
  <c r="FF39" i="10"/>
  <c r="FE39" i="10"/>
  <c r="FD39" i="10"/>
  <c r="FC39" i="10"/>
  <c r="FB39" i="10"/>
  <c r="FA39" i="10"/>
  <c r="KG38" i="10"/>
  <c r="EX38" i="10"/>
  <c r="A36" i="10"/>
  <c r="IS38" i="10"/>
  <c r="CH32" i="10"/>
  <c r="E29" i="10"/>
  <c r="A26" i="10"/>
  <c r="A25" i="10"/>
  <c r="A24" i="10"/>
  <c r="A23" i="10"/>
  <c r="A22" i="10"/>
  <c r="A21" i="10"/>
  <c r="A20" i="10"/>
  <c r="A19" i="10"/>
  <c r="A18" i="10"/>
  <c r="A17" i="10"/>
  <c r="A16" i="10"/>
  <c r="A15" i="10"/>
  <c r="A14" i="10"/>
  <c r="A13" i="10"/>
  <c r="A12" i="10"/>
  <c r="A11" i="10"/>
  <c r="A10" i="10"/>
  <c r="A9" i="10"/>
  <c r="A8" i="10"/>
  <c r="A7" i="10"/>
  <c r="A6" i="10"/>
  <c r="A5" i="10"/>
  <c r="A2" i="10"/>
  <c r="C2" i="10" s="1"/>
  <c r="DO496" i="15"/>
  <c r="DO495" i="15"/>
  <c r="DO494" i="15"/>
  <c r="DO493" i="15"/>
  <c r="DO492" i="15"/>
  <c r="DO491" i="15"/>
  <c r="DO490" i="15"/>
  <c r="DO489" i="15"/>
  <c r="DO488" i="15"/>
  <c r="DO487" i="15"/>
  <c r="DO486" i="15"/>
  <c r="DO485" i="15"/>
  <c r="DO484" i="15"/>
  <c r="DO483" i="15"/>
  <c r="DO482" i="15"/>
  <c r="DO481" i="15"/>
  <c r="DO480" i="15"/>
  <c r="DO479" i="15"/>
  <c r="DO478" i="15"/>
  <c r="DO477" i="15"/>
  <c r="DO476" i="15"/>
  <c r="DO475" i="15"/>
  <c r="DO474" i="15"/>
  <c r="DO473" i="15"/>
  <c r="DO472" i="15"/>
  <c r="DO471" i="15"/>
  <c r="DO470" i="15"/>
  <c r="DO469" i="15"/>
  <c r="DO468" i="15"/>
  <c r="DO467" i="15"/>
  <c r="DO466" i="15"/>
  <c r="DO465" i="15"/>
  <c r="DO464" i="15"/>
  <c r="DO463" i="15"/>
  <c r="DO462" i="15"/>
  <c r="DO461" i="15"/>
  <c r="DO460" i="15"/>
  <c r="DO459" i="15"/>
  <c r="DO458" i="15"/>
  <c r="DO457" i="15"/>
  <c r="DO456" i="15"/>
  <c r="DO455" i="15"/>
  <c r="DO454" i="15"/>
  <c r="DO453" i="15"/>
  <c r="DO452" i="15"/>
  <c r="DO451" i="15"/>
  <c r="DO450" i="15"/>
  <c r="DO449" i="15"/>
  <c r="DO448" i="15"/>
  <c r="DO447" i="15"/>
  <c r="DO446" i="15"/>
  <c r="DO445" i="15"/>
  <c r="DO444" i="15"/>
  <c r="DO443" i="15"/>
  <c r="DO442" i="15"/>
  <c r="DO441" i="15"/>
  <c r="DO440" i="15"/>
  <c r="DO439" i="15"/>
  <c r="DO438" i="15"/>
  <c r="DO437" i="15"/>
  <c r="DO436" i="15"/>
  <c r="DO435" i="15"/>
  <c r="DO434" i="15"/>
  <c r="DO433" i="15"/>
  <c r="DO432" i="15"/>
  <c r="DO431" i="15"/>
  <c r="DO430" i="15"/>
  <c r="DO429" i="15"/>
  <c r="DO428" i="15"/>
  <c r="DO427" i="15"/>
  <c r="DO426" i="15"/>
  <c r="DO425" i="15"/>
  <c r="DO424" i="15"/>
  <c r="DO423" i="15"/>
  <c r="DO422" i="15"/>
  <c r="DO421" i="15"/>
  <c r="DO420" i="15"/>
  <c r="DO419" i="15"/>
  <c r="DO418" i="15"/>
  <c r="DO417" i="15"/>
  <c r="DO416" i="15"/>
  <c r="DO415" i="15"/>
  <c r="DO414" i="15"/>
  <c r="DO413" i="15"/>
  <c r="DO412" i="15"/>
  <c r="DO411" i="15"/>
  <c r="DO410" i="15"/>
  <c r="DO409" i="15"/>
  <c r="DO408" i="15"/>
  <c r="DO407" i="15"/>
  <c r="DO406" i="15"/>
  <c r="DO405" i="15"/>
  <c r="DO404" i="15"/>
  <c r="DO403" i="15"/>
  <c r="DO402" i="15"/>
  <c r="DO401" i="15"/>
  <c r="DO400" i="15"/>
  <c r="DO399" i="15"/>
  <c r="DO398" i="15"/>
  <c r="DO397" i="15"/>
  <c r="DO396" i="15"/>
  <c r="DO395" i="15"/>
  <c r="DO394" i="15"/>
  <c r="DO393" i="15"/>
  <c r="DO392" i="15"/>
  <c r="DO391" i="15"/>
  <c r="DO390" i="15"/>
  <c r="DO389" i="15"/>
  <c r="DO388" i="15"/>
  <c r="DO387" i="15"/>
  <c r="DO386" i="15"/>
  <c r="DO385" i="15"/>
  <c r="DO384" i="15"/>
  <c r="DO383" i="15"/>
  <c r="DO382" i="15"/>
  <c r="DO381" i="15"/>
  <c r="DO380" i="15"/>
  <c r="DO379" i="15"/>
  <c r="DO378" i="15"/>
  <c r="DO377" i="15"/>
  <c r="DO376" i="15"/>
  <c r="DO375" i="15"/>
  <c r="DO374" i="15"/>
  <c r="DO373" i="15"/>
  <c r="DO372" i="15"/>
  <c r="DO371" i="15"/>
  <c r="DO370" i="15"/>
  <c r="DO369" i="15"/>
  <c r="DO368" i="15"/>
  <c r="DO367" i="15"/>
  <c r="DO366" i="15"/>
  <c r="DO365" i="15"/>
  <c r="DO364" i="15"/>
  <c r="DO363" i="15"/>
  <c r="DO362" i="15"/>
  <c r="DO361" i="15"/>
  <c r="DO360" i="15"/>
  <c r="DO359" i="15"/>
  <c r="DO358" i="15"/>
  <c r="DO357" i="15"/>
  <c r="DQ356" i="15"/>
  <c r="DQ355" i="15"/>
  <c r="DQ354" i="15"/>
  <c r="DQ353" i="15"/>
  <c r="DQ352" i="15"/>
  <c r="DQ351" i="15"/>
  <c r="DQ350" i="15"/>
  <c r="DQ349" i="15"/>
  <c r="DQ348" i="15"/>
  <c r="DQ347" i="15"/>
  <c r="DR346" i="15"/>
  <c r="DR345" i="15"/>
  <c r="DR344" i="15"/>
  <c r="DR343" i="15"/>
  <c r="DK343" i="15"/>
  <c r="DR342" i="15"/>
  <c r="DK342" i="15"/>
  <c r="DR341" i="15"/>
  <c r="DK341" i="15"/>
  <c r="DR340" i="15"/>
  <c r="DK340" i="15"/>
  <c r="DR339" i="15"/>
  <c r="DK339" i="15"/>
  <c r="DR338" i="15"/>
  <c r="DK338" i="15"/>
  <c r="DR337" i="15"/>
  <c r="DK337" i="15"/>
  <c r="DR336" i="15"/>
  <c r="DK336" i="15"/>
  <c r="DR335" i="15"/>
  <c r="DK335" i="15"/>
  <c r="DR334" i="15"/>
  <c r="DK334" i="15"/>
  <c r="DR333" i="15"/>
  <c r="DK333" i="15"/>
  <c r="DR332" i="15"/>
  <c r="DK332" i="15"/>
  <c r="DR331" i="15"/>
  <c r="DK331" i="15"/>
  <c r="DR330" i="15"/>
  <c r="DK330" i="15"/>
  <c r="DR329" i="15"/>
  <c r="DK329" i="15"/>
  <c r="DR328" i="15"/>
  <c r="DK328" i="15"/>
  <c r="DR327" i="15"/>
  <c r="DK327" i="15"/>
  <c r="DR326" i="15"/>
  <c r="DK326" i="15"/>
  <c r="DR325" i="15"/>
  <c r="DK325" i="15"/>
  <c r="DR324" i="15"/>
  <c r="DK324" i="15"/>
  <c r="DR323" i="15"/>
  <c r="DK323" i="15"/>
  <c r="DR322" i="15"/>
  <c r="DK322" i="15"/>
  <c r="DR321" i="15"/>
  <c r="DK321" i="15"/>
  <c r="DR320" i="15"/>
  <c r="DK320" i="15"/>
  <c r="DR319" i="15"/>
  <c r="DK319" i="15"/>
  <c r="DR318" i="15"/>
  <c r="DK318" i="15"/>
  <c r="DR317" i="15"/>
  <c r="DK317" i="15"/>
  <c r="DR316" i="15"/>
  <c r="DK316" i="15"/>
  <c r="DR315" i="15"/>
  <c r="DK315" i="15"/>
  <c r="DR314" i="15"/>
  <c r="DK314" i="15"/>
  <c r="DR313" i="15"/>
  <c r="DK313" i="15"/>
  <c r="DR312" i="15"/>
  <c r="DK312" i="15"/>
  <c r="DR311" i="15"/>
  <c r="DK311" i="15"/>
  <c r="DR310" i="15"/>
  <c r="DK310" i="15"/>
  <c r="DR309" i="15"/>
  <c r="DK309" i="15"/>
  <c r="DR308" i="15"/>
  <c r="DK308" i="15"/>
  <c r="DR307" i="15"/>
  <c r="DK307" i="15"/>
  <c r="DR306" i="15"/>
  <c r="DK306" i="15"/>
  <c r="DR305" i="15"/>
  <c r="DK305" i="15"/>
  <c r="DR304" i="15"/>
  <c r="DK304" i="15"/>
  <c r="DR303" i="15"/>
  <c r="DK303" i="15"/>
  <c r="DR302" i="15"/>
  <c r="DK302" i="15"/>
  <c r="DR301" i="15"/>
  <c r="DK301" i="15"/>
  <c r="DR300" i="15"/>
  <c r="DK300" i="15"/>
  <c r="DR299" i="15"/>
  <c r="DK299" i="15"/>
  <c r="DR298" i="15"/>
  <c r="DK298" i="15"/>
  <c r="DR297" i="15"/>
  <c r="DK297" i="15"/>
  <c r="DR296" i="15"/>
  <c r="DK296" i="15"/>
  <c r="DR295" i="15"/>
  <c r="DK295" i="15"/>
  <c r="DR294" i="15"/>
  <c r="DK294" i="15"/>
  <c r="DR293" i="15"/>
  <c r="DK293" i="15"/>
  <c r="DR292" i="15"/>
  <c r="DK292" i="15"/>
  <c r="DR291" i="15"/>
  <c r="DK291" i="15"/>
  <c r="DR290" i="15"/>
  <c r="DK290" i="15"/>
  <c r="DR289" i="15"/>
  <c r="DK289" i="15"/>
  <c r="DR288" i="15"/>
  <c r="DK288" i="15"/>
  <c r="DR287" i="15"/>
  <c r="DK287" i="15"/>
  <c r="DR286" i="15"/>
  <c r="DK286" i="15"/>
  <c r="DR285" i="15"/>
  <c r="DK285" i="15"/>
  <c r="DR284" i="15"/>
  <c r="DK284" i="15"/>
  <c r="DR283" i="15"/>
  <c r="DK283" i="15"/>
  <c r="E283" i="15"/>
  <c r="DR282" i="15"/>
  <c r="DK282" i="15"/>
  <c r="E282" i="15"/>
  <c r="DK281" i="15"/>
  <c r="E281" i="15"/>
  <c r="DK280" i="15"/>
  <c r="E280" i="15"/>
  <c r="DK279" i="15"/>
  <c r="E279" i="15"/>
  <c r="DK278" i="15"/>
  <c r="E278" i="15"/>
  <c r="DK277" i="15"/>
  <c r="E277" i="15"/>
  <c r="DK276" i="15"/>
  <c r="E276" i="15"/>
  <c r="DK275" i="15"/>
  <c r="DK274" i="15"/>
  <c r="DK273" i="15"/>
  <c r="DK272" i="15"/>
  <c r="DK271" i="15"/>
  <c r="DK270" i="15"/>
  <c r="DK269" i="15"/>
  <c r="DK268" i="15"/>
  <c r="DK267" i="15"/>
  <c r="DK266" i="15"/>
  <c r="DK265" i="15"/>
  <c r="DK264" i="15"/>
  <c r="DK263" i="15"/>
  <c r="DK262" i="15"/>
  <c r="DK261" i="15"/>
  <c r="DK260" i="15"/>
  <c r="DK259" i="15"/>
  <c r="DK258" i="15"/>
  <c r="F258" i="15"/>
  <c r="E258" i="15"/>
  <c r="D258" i="15" s="1"/>
  <c r="DK257" i="15"/>
  <c r="F257" i="15"/>
  <c r="E257" i="15"/>
  <c r="D257" i="15" s="1"/>
  <c r="DK256" i="15"/>
  <c r="F256" i="15"/>
  <c r="E256" i="15"/>
  <c r="D256" i="15" s="1"/>
  <c r="DK255" i="15"/>
  <c r="F255" i="15"/>
  <c r="E255" i="15"/>
  <c r="D255" i="15" s="1"/>
  <c r="DK254" i="15"/>
  <c r="F254" i="15"/>
  <c r="E254" i="15"/>
  <c r="D254" i="15" s="1"/>
  <c r="DK253" i="15"/>
  <c r="F253" i="15"/>
  <c r="E253" i="15"/>
  <c r="D253" i="15" s="1"/>
  <c r="DK252" i="15"/>
  <c r="F252" i="15"/>
  <c r="E252" i="15"/>
  <c r="D252" i="15" s="1"/>
  <c r="DK251" i="15"/>
  <c r="F251" i="15"/>
  <c r="E251" i="15"/>
  <c r="D251" i="15" s="1"/>
  <c r="DK250" i="15"/>
  <c r="F250" i="15"/>
  <c r="E250" i="15"/>
  <c r="D250" i="15" s="1"/>
  <c r="DK249" i="15"/>
  <c r="F249" i="15"/>
  <c r="E249" i="15"/>
  <c r="D249" i="15" s="1"/>
  <c r="DK248" i="15"/>
  <c r="F248" i="15"/>
  <c r="E248" i="15"/>
  <c r="D248" i="15" s="1"/>
  <c r="DK247" i="15"/>
  <c r="F247" i="15"/>
  <c r="E247" i="15"/>
  <c r="D247" i="15" s="1"/>
  <c r="DK246" i="15"/>
  <c r="F246" i="15"/>
  <c r="E246" i="15"/>
  <c r="D246" i="15" s="1"/>
  <c r="DK245" i="15"/>
  <c r="F245" i="15"/>
  <c r="E245" i="15"/>
  <c r="D245" i="15" s="1"/>
  <c r="DK244" i="15"/>
  <c r="F244" i="15"/>
  <c r="E244" i="15"/>
  <c r="D244" i="15" s="1"/>
  <c r="DK243" i="15"/>
  <c r="F243" i="15"/>
  <c r="E243" i="15"/>
  <c r="D243" i="15" s="1"/>
  <c r="DK242" i="15"/>
  <c r="F242" i="15"/>
  <c r="E242" i="15"/>
  <c r="D242" i="15" s="1"/>
  <c r="DK241" i="15"/>
  <c r="F241" i="15"/>
  <c r="E241" i="15"/>
  <c r="D241" i="15" s="1"/>
  <c r="DK240" i="15"/>
  <c r="F240" i="15"/>
  <c r="E240" i="15"/>
  <c r="D240" i="15" s="1"/>
  <c r="DK239" i="15"/>
  <c r="F239" i="15"/>
  <c r="E239" i="15"/>
  <c r="D239" i="15" s="1"/>
  <c r="DK238" i="15"/>
  <c r="F238" i="15"/>
  <c r="E238" i="15"/>
  <c r="D238" i="15" s="1"/>
  <c r="DK237" i="15"/>
  <c r="F237" i="15"/>
  <c r="E237" i="15"/>
  <c r="D237" i="15" s="1"/>
  <c r="DK236" i="15"/>
  <c r="F236" i="15"/>
  <c r="E236" i="15"/>
  <c r="D236" i="15" s="1"/>
  <c r="DK235" i="15"/>
  <c r="F235" i="15"/>
  <c r="E235" i="15"/>
  <c r="D235" i="15" s="1"/>
  <c r="DK234" i="15"/>
  <c r="F234" i="15"/>
  <c r="E234" i="15"/>
  <c r="D234" i="15" s="1"/>
  <c r="DK233" i="15"/>
  <c r="F233" i="15"/>
  <c r="E233" i="15"/>
  <c r="D233" i="15" s="1"/>
  <c r="DK232" i="15"/>
  <c r="F232" i="15"/>
  <c r="E232" i="15"/>
  <c r="D232" i="15" s="1"/>
  <c r="DK231" i="15"/>
  <c r="F231" i="15"/>
  <c r="E231" i="15"/>
  <c r="D231" i="15" s="1"/>
  <c r="DK230" i="15"/>
  <c r="F230" i="15"/>
  <c r="E230" i="15"/>
  <c r="D230" i="15" s="1"/>
  <c r="DK229" i="15"/>
  <c r="F229" i="15"/>
  <c r="E229" i="15"/>
  <c r="D229" i="15" s="1"/>
  <c r="DK228" i="15"/>
  <c r="F228" i="15"/>
  <c r="E228" i="15"/>
  <c r="D228" i="15" s="1"/>
  <c r="DK227" i="15"/>
  <c r="F227" i="15"/>
  <c r="E227" i="15"/>
  <c r="D227" i="15" s="1"/>
  <c r="DK226" i="15"/>
  <c r="F226" i="15"/>
  <c r="E226" i="15"/>
  <c r="D226" i="15" s="1"/>
  <c r="DK225" i="15"/>
  <c r="F225" i="15"/>
  <c r="E225" i="15"/>
  <c r="D225" i="15" s="1"/>
  <c r="DK224" i="15"/>
  <c r="F224" i="15"/>
  <c r="E224" i="15"/>
  <c r="D224" i="15" s="1"/>
  <c r="DK223" i="15"/>
  <c r="F223" i="15"/>
  <c r="E223" i="15"/>
  <c r="D223" i="15" s="1"/>
  <c r="DK222" i="15"/>
  <c r="F222" i="15"/>
  <c r="E222" i="15"/>
  <c r="D222" i="15" s="1"/>
  <c r="DK221" i="15"/>
  <c r="F221" i="15"/>
  <c r="E221" i="15"/>
  <c r="D221" i="15" s="1"/>
  <c r="DK220" i="15"/>
  <c r="F220" i="15"/>
  <c r="E220" i="15"/>
  <c r="D220" i="15" s="1"/>
  <c r="DK219" i="15"/>
  <c r="F219" i="15"/>
  <c r="E219" i="15"/>
  <c r="D219" i="15" s="1"/>
  <c r="DK218" i="15"/>
  <c r="F218" i="15"/>
  <c r="E218" i="15"/>
  <c r="D218" i="15" s="1"/>
  <c r="DK217" i="15"/>
  <c r="F217" i="15"/>
  <c r="E237" i="24" s="1"/>
  <c r="E217" i="15"/>
  <c r="D217" i="15" s="1"/>
  <c r="DK216" i="15"/>
  <c r="F216" i="15"/>
  <c r="E236" i="24" s="1"/>
  <c r="E216" i="15"/>
  <c r="D216" i="15" s="1"/>
  <c r="DK215" i="15"/>
  <c r="F215" i="15"/>
  <c r="E235" i="24" s="1"/>
  <c r="E215" i="15"/>
  <c r="D215" i="15" s="1"/>
  <c r="DK214" i="15"/>
  <c r="F214" i="15"/>
  <c r="E234" i="24" s="1"/>
  <c r="E214" i="15"/>
  <c r="D214" i="15" s="1"/>
  <c r="DK213" i="15"/>
  <c r="F213" i="15"/>
  <c r="E233" i="24" s="1"/>
  <c r="E213" i="15"/>
  <c r="D213" i="15" s="1"/>
  <c r="DK212" i="15"/>
  <c r="F212" i="15"/>
  <c r="E232" i="24" s="1"/>
  <c r="E212" i="15"/>
  <c r="D212" i="15" s="1"/>
  <c r="DK211" i="15"/>
  <c r="F211" i="15"/>
  <c r="E231" i="24" s="1"/>
  <c r="E211" i="15"/>
  <c r="D211" i="15" s="1"/>
  <c r="DK210" i="15"/>
  <c r="F210" i="15"/>
  <c r="E230" i="24" s="1"/>
  <c r="E210" i="15"/>
  <c r="D210" i="15" s="1"/>
  <c r="DK209" i="15"/>
  <c r="F209" i="15"/>
  <c r="E229" i="24" s="1"/>
  <c r="E209" i="15"/>
  <c r="D209" i="15" s="1"/>
  <c r="DK208" i="15"/>
  <c r="F208" i="15"/>
  <c r="E228" i="24" s="1"/>
  <c r="E208" i="15"/>
  <c r="D208" i="15" s="1"/>
  <c r="DK207" i="15"/>
  <c r="F207" i="15"/>
  <c r="E227" i="24" s="1"/>
  <c r="E207" i="15"/>
  <c r="D207" i="15" s="1"/>
  <c r="DK206" i="15"/>
  <c r="F206" i="15"/>
  <c r="E226" i="24" s="1"/>
  <c r="E206" i="15"/>
  <c r="DK205" i="15"/>
  <c r="F205" i="15"/>
  <c r="E225" i="24" s="1"/>
  <c r="E205" i="15"/>
  <c r="DK204" i="15"/>
  <c r="F204" i="15"/>
  <c r="E224" i="24" s="1"/>
  <c r="E204" i="15"/>
  <c r="DK203" i="15"/>
  <c r="F203" i="15"/>
  <c r="E223" i="24" s="1"/>
  <c r="E203" i="15"/>
  <c r="DK202" i="15"/>
  <c r="F202" i="15"/>
  <c r="E222" i="24" s="1"/>
  <c r="E202" i="15"/>
  <c r="DK201" i="15"/>
  <c r="F201" i="15"/>
  <c r="E221" i="24" s="1"/>
  <c r="E201" i="15"/>
  <c r="DK200" i="15"/>
  <c r="F200" i="15"/>
  <c r="E220" i="24" s="1"/>
  <c r="E200" i="15"/>
  <c r="DK199" i="15"/>
  <c r="F199" i="15"/>
  <c r="E219" i="24" s="1"/>
  <c r="E199" i="15"/>
  <c r="DK198" i="15"/>
  <c r="F198" i="15"/>
  <c r="E218" i="24" s="1"/>
  <c r="E198" i="15"/>
  <c r="DK197" i="15"/>
  <c r="F197" i="15"/>
  <c r="E217" i="24" s="1"/>
  <c r="E197" i="15"/>
  <c r="DK196" i="15"/>
  <c r="F196" i="15"/>
  <c r="E216" i="24" s="1"/>
  <c r="E196" i="15"/>
  <c r="DK195" i="15"/>
  <c r="F195" i="15"/>
  <c r="E215" i="24" s="1"/>
  <c r="E195" i="15"/>
  <c r="DK194" i="15"/>
  <c r="F194" i="15"/>
  <c r="E214" i="24" s="1"/>
  <c r="E194" i="15"/>
  <c r="DK193" i="15"/>
  <c r="F193" i="15"/>
  <c r="E213" i="24" s="1"/>
  <c r="E193" i="15"/>
  <c r="DK192" i="15"/>
  <c r="F192" i="15"/>
  <c r="E212" i="24" s="1"/>
  <c r="E192" i="15"/>
  <c r="DK191" i="15"/>
  <c r="F191" i="15"/>
  <c r="E211" i="24" s="1"/>
  <c r="E191" i="15"/>
  <c r="DK190" i="15"/>
  <c r="F190" i="15"/>
  <c r="E210" i="24" s="1"/>
  <c r="E190" i="15"/>
  <c r="DK189" i="15"/>
  <c r="F189" i="15"/>
  <c r="E209" i="24" s="1"/>
  <c r="E189" i="15"/>
  <c r="DK188" i="15"/>
  <c r="F188" i="15"/>
  <c r="E208" i="24" s="1"/>
  <c r="E188" i="15"/>
  <c r="DK187" i="15"/>
  <c r="F187" i="15"/>
  <c r="E207" i="24" s="1"/>
  <c r="E187" i="15"/>
  <c r="DK186" i="15"/>
  <c r="F186" i="15"/>
  <c r="E206" i="24" s="1"/>
  <c r="E186" i="15"/>
  <c r="DK185" i="15"/>
  <c r="F185" i="15"/>
  <c r="E205" i="24" s="1"/>
  <c r="E185" i="15"/>
  <c r="DK184" i="15"/>
  <c r="F184" i="15"/>
  <c r="E204" i="24" s="1"/>
  <c r="E184" i="15"/>
  <c r="DK183" i="15"/>
  <c r="F183" i="15"/>
  <c r="E203" i="24" s="1"/>
  <c r="E183" i="15"/>
  <c r="DK182" i="15"/>
  <c r="F182" i="15"/>
  <c r="E202" i="24" s="1"/>
  <c r="E182" i="15"/>
  <c r="DK181" i="15"/>
  <c r="F181" i="15"/>
  <c r="E201" i="24" s="1"/>
  <c r="E181" i="15"/>
  <c r="DK180" i="15"/>
  <c r="F180" i="15"/>
  <c r="E200" i="24" s="1"/>
  <c r="E180" i="15"/>
  <c r="DK179" i="15"/>
  <c r="F179" i="15"/>
  <c r="E199" i="24" s="1"/>
  <c r="E179" i="15"/>
  <c r="DK178" i="15"/>
  <c r="F178" i="15"/>
  <c r="E198" i="24" s="1"/>
  <c r="E178" i="15"/>
  <c r="DK177" i="15"/>
  <c r="F177" i="15"/>
  <c r="E197" i="24" s="1"/>
  <c r="E177" i="15"/>
  <c r="DK176" i="15"/>
  <c r="F176" i="15"/>
  <c r="E196" i="24" s="1"/>
  <c r="E176" i="15"/>
  <c r="DK175" i="15"/>
  <c r="F175" i="15"/>
  <c r="E195" i="24" s="1"/>
  <c r="E175" i="15"/>
  <c r="DK174" i="15"/>
  <c r="F174" i="15"/>
  <c r="E194" i="24" s="1"/>
  <c r="E174" i="15"/>
  <c r="DK173" i="15"/>
  <c r="F173" i="15"/>
  <c r="E193" i="24" s="1"/>
  <c r="E173" i="15"/>
  <c r="DK172" i="15"/>
  <c r="F172" i="15"/>
  <c r="E192" i="24" s="1"/>
  <c r="E172" i="15"/>
  <c r="DK171" i="15"/>
  <c r="F171" i="15"/>
  <c r="E191" i="24" s="1"/>
  <c r="E171" i="15"/>
  <c r="DK170" i="15"/>
  <c r="F170" i="15"/>
  <c r="E190" i="24" s="1"/>
  <c r="E170" i="15"/>
  <c r="DK169" i="15"/>
  <c r="F169" i="15"/>
  <c r="E189" i="24" s="1"/>
  <c r="E169" i="15"/>
  <c r="DK168" i="15"/>
  <c r="F168" i="15"/>
  <c r="E168" i="15"/>
  <c r="DK167" i="15"/>
  <c r="F167" i="15"/>
  <c r="E187" i="24" s="1"/>
  <c r="E167" i="15"/>
  <c r="DK166" i="15"/>
  <c r="F166" i="15"/>
  <c r="E186" i="24" s="1"/>
  <c r="E166" i="15"/>
  <c r="DK165" i="15"/>
  <c r="F165" i="15"/>
  <c r="E165" i="15"/>
  <c r="DK164" i="15"/>
  <c r="BB164" i="15"/>
  <c r="BB165" i="15" s="1"/>
  <c r="H164" i="15"/>
  <c r="H165" i="15" s="1"/>
  <c r="H166" i="15" s="1"/>
  <c r="H167" i="15" s="1"/>
  <c r="H168" i="15" s="1"/>
  <c r="H169" i="15" s="1"/>
  <c r="H170" i="15" s="1"/>
  <c r="H171" i="15" s="1"/>
  <c r="H172" i="15" s="1"/>
  <c r="H173" i="15" s="1"/>
  <c r="H174" i="15" s="1"/>
  <c r="H175" i="15" s="1"/>
  <c r="H176" i="15" s="1"/>
  <c r="H177" i="15" s="1"/>
  <c r="H178" i="15" s="1"/>
  <c r="H179" i="15" s="1"/>
  <c r="H180" i="15" s="1"/>
  <c r="H181" i="15" s="1"/>
  <c r="H182" i="15" s="1"/>
  <c r="H183" i="15" s="1"/>
  <c r="H184" i="15" s="1"/>
  <c r="H185" i="15" s="1"/>
  <c r="H186" i="15" s="1"/>
  <c r="H187" i="15" s="1"/>
  <c r="H188" i="15" s="1"/>
  <c r="H189" i="15" s="1"/>
  <c r="H190" i="15" s="1"/>
  <c r="H191" i="15" s="1"/>
  <c r="H192" i="15" s="1"/>
  <c r="H193" i="15" s="1"/>
  <c r="H194" i="15" s="1"/>
  <c r="H195" i="15" s="1"/>
  <c r="H196" i="15" s="1"/>
  <c r="H197" i="15" s="1"/>
  <c r="H198" i="15" s="1"/>
  <c r="H199" i="15" s="1"/>
  <c r="H200" i="15" s="1"/>
  <c r="H201" i="15" s="1"/>
  <c r="H202" i="15" s="1"/>
  <c r="H203" i="15" s="1"/>
  <c r="H204" i="15" s="1"/>
  <c r="H205" i="15" s="1"/>
  <c r="H206" i="15" s="1"/>
  <c r="H207" i="15" s="1"/>
  <c r="H208" i="15" s="1"/>
  <c r="H209" i="15" s="1"/>
  <c r="H210" i="15" s="1"/>
  <c r="H211" i="15" s="1"/>
  <c r="H212" i="15" s="1"/>
  <c r="H213" i="15" s="1"/>
  <c r="H214" i="15" s="1"/>
  <c r="H215" i="15" s="1"/>
  <c r="H216" i="15" s="1"/>
  <c r="H217" i="15" s="1"/>
  <c r="H218" i="15" s="1"/>
  <c r="H219" i="15" s="1"/>
  <c r="H220" i="15" s="1"/>
  <c r="H221" i="15" s="1"/>
  <c r="H222" i="15" s="1"/>
  <c r="H223" i="15" s="1"/>
  <c r="H224" i="15" s="1"/>
  <c r="H225" i="15" s="1"/>
  <c r="H226" i="15" s="1"/>
  <c r="F164" i="15"/>
  <c r="E164" i="15"/>
  <c r="DK163" i="15"/>
  <c r="F163" i="15"/>
  <c r="E163" i="15"/>
  <c r="DB150" i="15"/>
  <c r="DB153" i="15" s="1"/>
  <c r="DB156" i="15" s="1"/>
  <c r="DB159" i="15" s="1"/>
  <c r="DB162" i="15" s="1"/>
  <c r="DB149" i="15"/>
  <c r="DB152" i="15" s="1"/>
  <c r="DB155" i="15" s="1"/>
  <c r="DB158" i="15" s="1"/>
  <c r="DB161" i="15" s="1"/>
  <c r="DB148" i="15"/>
  <c r="DB151" i="15" s="1"/>
  <c r="DB154" i="15" s="1"/>
  <c r="DB157" i="15" s="1"/>
  <c r="DB160" i="15" s="1"/>
  <c r="BD134" i="15"/>
  <c r="BD133" i="15"/>
  <c r="X133" i="15"/>
  <c r="AF133" i="15" s="1"/>
  <c r="AF684" i="15" s="1"/>
  <c r="AQ684" i="15" s="1"/>
  <c r="AY684" i="15" s="1"/>
  <c r="BF684" i="15" s="1"/>
  <c r="BN684" i="15" s="1"/>
  <c r="R133" i="15"/>
  <c r="AA133" i="15" s="1"/>
  <c r="AA684" i="15" s="1"/>
  <c r="AL684" i="15" s="1"/>
  <c r="AT684" i="15" s="1"/>
  <c r="BA684" i="15" s="1"/>
  <c r="BI684" i="15" s="1"/>
  <c r="BD132" i="15"/>
  <c r="BE132" i="15" s="1"/>
  <c r="X132" i="15"/>
  <c r="AF132" i="15" s="1"/>
  <c r="AF683" i="15" s="1"/>
  <c r="AQ683" i="15" s="1"/>
  <c r="AY683" i="15" s="1"/>
  <c r="BF683" i="15" s="1"/>
  <c r="BN683" i="15" s="1"/>
  <c r="R132" i="15"/>
  <c r="AA132" i="15" s="1"/>
  <c r="AA683" i="15" s="1"/>
  <c r="AL683" i="15" s="1"/>
  <c r="AT683" i="15" s="1"/>
  <c r="BA683" i="15" s="1"/>
  <c r="BI683" i="15" s="1"/>
  <c r="BD131" i="15"/>
  <c r="BE131" i="15" s="1"/>
  <c r="X131" i="15"/>
  <c r="AF131" i="15" s="1"/>
  <c r="AF682" i="15" s="1"/>
  <c r="AQ682" i="15" s="1"/>
  <c r="AY682" i="15" s="1"/>
  <c r="BF682" i="15" s="1"/>
  <c r="BN682" i="15" s="1"/>
  <c r="R131" i="15"/>
  <c r="AA131" i="15" s="1"/>
  <c r="AA682" i="15" s="1"/>
  <c r="AL682" i="15" s="1"/>
  <c r="AT682" i="15" s="1"/>
  <c r="BA682" i="15" s="1"/>
  <c r="BI682" i="15" s="1"/>
  <c r="BD130" i="15"/>
  <c r="BE130" i="15" s="1"/>
  <c r="X130" i="15"/>
  <c r="AF130" i="15" s="1"/>
  <c r="AF681" i="15" s="1"/>
  <c r="AQ681" i="15" s="1"/>
  <c r="AY681" i="15" s="1"/>
  <c r="BF681" i="15" s="1"/>
  <c r="BN681" i="15" s="1"/>
  <c r="R130" i="15"/>
  <c r="AA130" i="15" s="1"/>
  <c r="AA681" i="15" s="1"/>
  <c r="AL681" i="15" s="1"/>
  <c r="AT681" i="15" s="1"/>
  <c r="BA681" i="15" s="1"/>
  <c r="BI681" i="15" s="1"/>
  <c r="BD129" i="15"/>
  <c r="BE129" i="15" s="1"/>
  <c r="X129" i="15"/>
  <c r="AF129" i="15" s="1"/>
  <c r="AF680" i="15" s="1"/>
  <c r="AQ680" i="15" s="1"/>
  <c r="AY680" i="15" s="1"/>
  <c r="BF680" i="15" s="1"/>
  <c r="BN680" i="15" s="1"/>
  <c r="R129" i="15"/>
  <c r="AA129" i="15" s="1"/>
  <c r="AA680" i="15" s="1"/>
  <c r="AL680" i="15" s="1"/>
  <c r="AT680" i="15" s="1"/>
  <c r="BA680" i="15" s="1"/>
  <c r="BI680" i="15" s="1"/>
  <c r="BD128" i="15"/>
  <c r="BE128" i="15" s="1"/>
  <c r="X128" i="15"/>
  <c r="AF128" i="15" s="1"/>
  <c r="AF679" i="15" s="1"/>
  <c r="AQ679" i="15" s="1"/>
  <c r="AY679" i="15" s="1"/>
  <c r="BF679" i="15" s="1"/>
  <c r="BN679" i="15" s="1"/>
  <c r="R128" i="15"/>
  <c r="AA128" i="15" s="1"/>
  <c r="AA679" i="15" s="1"/>
  <c r="AL679" i="15" s="1"/>
  <c r="AT679" i="15" s="1"/>
  <c r="BA679" i="15" s="1"/>
  <c r="BI679" i="15" s="1"/>
  <c r="BD127" i="15"/>
  <c r="BE127" i="15" s="1"/>
  <c r="X127" i="15"/>
  <c r="AF127" i="15" s="1"/>
  <c r="AF678" i="15" s="1"/>
  <c r="AQ678" i="15" s="1"/>
  <c r="AY678" i="15" s="1"/>
  <c r="BF678" i="15" s="1"/>
  <c r="BN678" i="15" s="1"/>
  <c r="R127" i="15"/>
  <c r="AA127" i="15" s="1"/>
  <c r="AA678" i="15" s="1"/>
  <c r="AL678" i="15" s="1"/>
  <c r="AT678" i="15" s="1"/>
  <c r="BA678" i="15" s="1"/>
  <c r="BI678" i="15" s="1"/>
  <c r="BD126" i="15"/>
  <c r="BE126" i="15" s="1"/>
  <c r="X126" i="15"/>
  <c r="AF126" i="15" s="1"/>
  <c r="AF677" i="15" s="1"/>
  <c r="AQ677" i="15" s="1"/>
  <c r="AY677" i="15" s="1"/>
  <c r="BF677" i="15" s="1"/>
  <c r="BN677" i="15" s="1"/>
  <c r="R126" i="15"/>
  <c r="AA126" i="15" s="1"/>
  <c r="AA677" i="15" s="1"/>
  <c r="AL677" i="15" s="1"/>
  <c r="AT677" i="15" s="1"/>
  <c r="BA677" i="15" s="1"/>
  <c r="BI677" i="15" s="1"/>
  <c r="BD125" i="15"/>
  <c r="BE125" i="15" s="1"/>
  <c r="X125" i="15"/>
  <c r="AF125" i="15" s="1"/>
  <c r="AF676" i="15" s="1"/>
  <c r="AQ676" i="15" s="1"/>
  <c r="AY676" i="15" s="1"/>
  <c r="BF676" i="15" s="1"/>
  <c r="BN676" i="15" s="1"/>
  <c r="R125" i="15"/>
  <c r="AA125" i="15" s="1"/>
  <c r="AA676" i="15" s="1"/>
  <c r="AL676" i="15" s="1"/>
  <c r="AT676" i="15" s="1"/>
  <c r="BA676" i="15" s="1"/>
  <c r="BI676" i="15" s="1"/>
  <c r="BD124" i="15"/>
  <c r="BE124" i="15" s="1"/>
  <c r="X124" i="15"/>
  <c r="AF124" i="15" s="1"/>
  <c r="AF675" i="15" s="1"/>
  <c r="AQ675" i="15" s="1"/>
  <c r="AY675" i="15" s="1"/>
  <c r="BF675" i="15" s="1"/>
  <c r="BN675" i="15" s="1"/>
  <c r="R124" i="15"/>
  <c r="AA124" i="15" s="1"/>
  <c r="AA675" i="15" s="1"/>
  <c r="AL675" i="15" s="1"/>
  <c r="AT675" i="15" s="1"/>
  <c r="BA675" i="15" s="1"/>
  <c r="BI675" i="15" s="1"/>
  <c r="BD123" i="15"/>
  <c r="BE123" i="15" s="1"/>
  <c r="X123" i="15"/>
  <c r="AF123" i="15" s="1"/>
  <c r="AF674" i="15" s="1"/>
  <c r="AQ674" i="15" s="1"/>
  <c r="AY674" i="15" s="1"/>
  <c r="BF674" i="15" s="1"/>
  <c r="BN674" i="15" s="1"/>
  <c r="R123" i="15"/>
  <c r="AA123" i="15" s="1"/>
  <c r="AA674" i="15" s="1"/>
  <c r="AL674" i="15" s="1"/>
  <c r="AT674" i="15" s="1"/>
  <c r="BA674" i="15" s="1"/>
  <c r="BI674" i="15" s="1"/>
  <c r="BI122" i="15"/>
  <c r="BD122" i="15"/>
  <c r="BE122" i="15" s="1"/>
  <c r="X122" i="15"/>
  <c r="AF122" i="15" s="1"/>
  <c r="AF673" i="15" s="1"/>
  <c r="AQ673" i="15" s="1"/>
  <c r="AY673" i="15" s="1"/>
  <c r="BF673" i="15" s="1"/>
  <c r="BN673" i="15" s="1"/>
  <c r="R122" i="15"/>
  <c r="AA122" i="15" s="1"/>
  <c r="AA673" i="15" s="1"/>
  <c r="AL673" i="15" s="1"/>
  <c r="AT673" i="15" s="1"/>
  <c r="BA673" i="15" s="1"/>
  <c r="BI673" i="15" s="1"/>
  <c r="BI121" i="15"/>
  <c r="BD121" i="15"/>
  <c r="BE121" i="15" s="1"/>
  <c r="X121" i="15"/>
  <c r="AF121" i="15" s="1"/>
  <c r="AF672" i="15" s="1"/>
  <c r="AQ672" i="15" s="1"/>
  <c r="AY672" i="15" s="1"/>
  <c r="BF672" i="15" s="1"/>
  <c r="BN672" i="15" s="1"/>
  <c r="R121" i="15"/>
  <c r="AA121" i="15" s="1"/>
  <c r="AA672" i="15" s="1"/>
  <c r="AL672" i="15" s="1"/>
  <c r="AT672" i="15" s="1"/>
  <c r="BA672" i="15" s="1"/>
  <c r="BI672" i="15" s="1"/>
  <c r="BI120" i="15"/>
  <c r="BD120" i="15"/>
  <c r="BE120" i="15" s="1"/>
  <c r="X120" i="15"/>
  <c r="AF120" i="15" s="1"/>
  <c r="AF671" i="15" s="1"/>
  <c r="AQ671" i="15" s="1"/>
  <c r="AY671" i="15" s="1"/>
  <c r="BF671" i="15" s="1"/>
  <c r="BN671" i="15" s="1"/>
  <c r="R120" i="15"/>
  <c r="AA120" i="15" s="1"/>
  <c r="AA671" i="15" s="1"/>
  <c r="AL671" i="15" s="1"/>
  <c r="AT671" i="15" s="1"/>
  <c r="BA671" i="15" s="1"/>
  <c r="BI671" i="15" s="1"/>
  <c r="BI119" i="15"/>
  <c r="BD119" i="15"/>
  <c r="BE119" i="15" s="1"/>
  <c r="X119" i="15"/>
  <c r="AF119" i="15" s="1"/>
  <c r="AF670" i="15" s="1"/>
  <c r="AQ670" i="15" s="1"/>
  <c r="AY670" i="15" s="1"/>
  <c r="BF670" i="15" s="1"/>
  <c r="BN670" i="15" s="1"/>
  <c r="R119" i="15"/>
  <c r="AA119" i="15" s="1"/>
  <c r="AA670" i="15" s="1"/>
  <c r="AL670" i="15" s="1"/>
  <c r="AT670" i="15" s="1"/>
  <c r="BA670" i="15" s="1"/>
  <c r="BI670" i="15" s="1"/>
  <c r="BI118" i="15"/>
  <c r="BD118" i="15"/>
  <c r="BE118" i="15" s="1"/>
  <c r="X118" i="15"/>
  <c r="AF118" i="15" s="1"/>
  <c r="AF669" i="15" s="1"/>
  <c r="AQ669" i="15" s="1"/>
  <c r="AY669" i="15" s="1"/>
  <c r="BF669" i="15" s="1"/>
  <c r="BN669" i="15" s="1"/>
  <c r="R118" i="15"/>
  <c r="AA118" i="15" s="1"/>
  <c r="AA669" i="15" s="1"/>
  <c r="AL669" i="15" s="1"/>
  <c r="AT669" i="15" s="1"/>
  <c r="BA669" i="15" s="1"/>
  <c r="BI669" i="15" s="1"/>
  <c r="BI117" i="15"/>
  <c r="BD117" i="15"/>
  <c r="BE117" i="15" s="1"/>
  <c r="X117" i="15"/>
  <c r="AF117" i="15" s="1"/>
  <c r="AF668" i="15" s="1"/>
  <c r="AQ668" i="15" s="1"/>
  <c r="AY668" i="15" s="1"/>
  <c r="BF668" i="15" s="1"/>
  <c r="BN668" i="15" s="1"/>
  <c r="R117" i="15"/>
  <c r="AA117" i="15" s="1"/>
  <c r="AA668" i="15" s="1"/>
  <c r="AL668" i="15" s="1"/>
  <c r="AT668" i="15" s="1"/>
  <c r="BA668" i="15" s="1"/>
  <c r="BI668" i="15" s="1"/>
  <c r="BI116" i="15"/>
  <c r="BD116" i="15"/>
  <c r="BE116" i="15" s="1"/>
  <c r="X116" i="15"/>
  <c r="AF116" i="15" s="1"/>
  <c r="AF667" i="15" s="1"/>
  <c r="AQ667" i="15" s="1"/>
  <c r="AY667" i="15" s="1"/>
  <c r="BF667" i="15" s="1"/>
  <c r="BN667" i="15" s="1"/>
  <c r="R116" i="15"/>
  <c r="AA116" i="15" s="1"/>
  <c r="AA667" i="15" s="1"/>
  <c r="AL667" i="15" s="1"/>
  <c r="AT667" i="15" s="1"/>
  <c r="BA667" i="15" s="1"/>
  <c r="BI667" i="15" s="1"/>
  <c r="BI115" i="15"/>
  <c r="BD115" i="15"/>
  <c r="BE115" i="15" s="1"/>
  <c r="X115" i="15"/>
  <c r="AF115" i="15" s="1"/>
  <c r="AF666" i="15" s="1"/>
  <c r="AQ666" i="15" s="1"/>
  <c r="AY666" i="15" s="1"/>
  <c r="BF666" i="15" s="1"/>
  <c r="BN666" i="15" s="1"/>
  <c r="R115" i="15"/>
  <c r="AA115" i="15" s="1"/>
  <c r="AA666" i="15" s="1"/>
  <c r="AL666" i="15" s="1"/>
  <c r="AT666" i="15" s="1"/>
  <c r="BA666" i="15" s="1"/>
  <c r="BI666" i="15" s="1"/>
  <c r="BI114" i="15"/>
  <c r="BD114" i="15"/>
  <c r="BE114" i="15" s="1"/>
  <c r="X114" i="15"/>
  <c r="AF114" i="15" s="1"/>
  <c r="AF665" i="15" s="1"/>
  <c r="AQ665" i="15" s="1"/>
  <c r="AY665" i="15" s="1"/>
  <c r="BF665" i="15" s="1"/>
  <c r="BN665" i="15" s="1"/>
  <c r="R114" i="15"/>
  <c r="AA114" i="15" s="1"/>
  <c r="AA665" i="15" s="1"/>
  <c r="AL665" i="15" s="1"/>
  <c r="AT665" i="15" s="1"/>
  <c r="BA665" i="15" s="1"/>
  <c r="BI665" i="15" s="1"/>
  <c r="BI113" i="15"/>
  <c r="BD113" i="15"/>
  <c r="BE113" i="15" s="1"/>
  <c r="X113" i="15"/>
  <c r="AF113" i="15" s="1"/>
  <c r="AF664" i="15" s="1"/>
  <c r="AQ664" i="15" s="1"/>
  <c r="AY664" i="15" s="1"/>
  <c r="BF664" i="15" s="1"/>
  <c r="BN664" i="15" s="1"/>
  <c r="R113" i="15"/>
  <c r="AA113" i="15" s="1"/>
  <c r="AA664" i="15" s="1"/>
  <c r="AL664" i="15" s="1"/>
  <c r="AT664" i="15" s="1"/>
  <c r="BA664" i="15" s="1"/>
  <c r="BI664" i="15" s="1"/>
  <c r="BI112" i="15"/>
  <c r="BD112" i="15"/>
  <c r="BE112" i="15" s="1"/>
  <c r="X112" i="15"/>
  <c r="AF112" i="15" s="1"/>
  <c r="AF663" i="15" s="1"/>
  <c r="AQ663" i="15" s="1"/>
  <c r="AY663" i="15" s="1"/>
  <c r="BF663" i="15" s="1"/>
  <c r="BN663" i="15" s="1"/>
  <c r="R112" i="15"/>
  <c r="AA112" i="15" s="1"/>
  <c r="AA663" i="15" s="1"/>
  <c r="AL663" i="15" s="1"/>
  <c r="AT663" i="15" s="1"/>
  <c r="BA663" i="15" s="1"/>
  <c r="BI663" i="15" s="1"/>
  <c r="BI111" i="15"/>
  <c r="BD111" i="15"/>
  <c r="BE111" i="15" s="1"/>
  <c r="X111" i="15"/>
  <c r="AF111" i="15" s="1"/>
  <c r="AF662" i="15" s="1"/>
  <c r="AQ662" i="15" s="1"/>
  <c r="AY662" i="15" s="1"/>
  <c r="BF662" i="15" s="1"/>
  <c r="BN662" i="15" s="1"/>
  <c r="R111" i="15"/>
  <c r="AA111" i="15" s="1"/>
  <c r="AA662" i="15" s="1"/>
  <c r="AL662" i="15" s="1"/>
  <c r="AT662" i="15" s="1"/>
  <c r="BA662" i="15" s="1"/>
  <c r="BI662" i="15" s="1"/>
  <c r="BI110" i="15"/>
  <c r="BD110" i="15"/>
  <c r="BE110" i="15" s="1"/>
  <c r="X110" i="15"/>
  <c r="AF110" i="15" s="1"/>
  <c r="AF661" i="15" s="1"/>
  <c r="AQ661" i="15" s="1"/>
  <c r="AY661" i="15" s="1"/>
  <c r="BF661" i="15" s="1"/>
  <c r="BN661" i="15" s="1"/>
  <c r="R110" i="15"/>
  <c r="AA110" i="15" s="1"/>
  <c r="AA661" i="15" s="1"/>
  <c r="AL661" i="15" s="1"/>
  <c r="AT661" i="15" s="1"/>
  <c r="BA661" i="15" s="1"/>
  <c r="BI661" i="15" s="1"/>
  <c r="BI109" i="15"/>
  <c r="BD109" i="15"/>
  <c r="BE109" i="15" s="1"/>
  <c r="X109" i="15"/>
  <c r="AF109" i="15" s="1"/>
  <c r="AF660" i="15" s="1"/>
  <c r="AQ660" i="15" s="1"/>
  <c r="AY660" i="15" s="1"/>
  <c r="BF660" i="15" s="1"/>
  <c r="BN660" i="15" s="1"/>
  <c r="R109" i="15"/>
  <c r="AA109" i="15" s="1"/>
  <c r="AA660" i="15" s="1"/>
  <c r="AL660" i="15" s="1"/>
  <c r="AT660" i="15" s="1"/>
  <c r="BA660" i="15" s="1"/>
  <c r="BI660" i="15" s="1"/>
  <c r="BI108" i="15"/>
  <c r="BD108" i="15"/>
  <c r="BE108" i="15" s="1"/>
  <c r="X108" i="15"/>
  <c r="AF108" i="15" s="1"/>
  <c r="AF659" i="15" s="1"/>
  <c r="AQ659" i="15" s="1"/>
  <c r="AY659" i="15" s="1"/>
  <c r="BF659" i="15" s="1"/>
  <c r="BN659" i="15" s="1"/>
  <c r="R108" i="15"/>
  <c r="AA108" i="15" s="1"/>
  <c r="AA659" i="15" s="1"/>
  <c r="AL659" i="15" s="1"/>
  <c r="AT659" i="15" s="1"/>
  <c r="BA659" i="15" s="1"/>
  <c r="BI659" i="15" s="1"/>
  <c r="BI107" i="15"/>
  <c r="BD107" i="15"/>
  <c r="BE107" i="15" s="1"/>
  <c r="X107" i="15"/>
  <c r="AF107" i="15" s="1"/>
  <c r="AF658" i="15" s="1"/>
  <c r="AQ658" i="15" s="1"/>
  <c r="AY658" i="15" s="1"/>
  <c r="BF658" i="15" s="1"/>
  <c r="BN658" i="15" s="1"/>
  <c r="R107" i="15"/>
  <c r="AA107" i="15" s="1"/>
  <c r="AA658" i="15" s="1"/>
  <c r="AL658" i="15" s="1"/>
  <c r="AT658" i="15" s="1"/>
  <c r="BA658" i="15" s="1"/>
  <c r="BI658" i="15" s="1"/>
  <c r="BI106" i="15"/>
  <c r="BD106" i="15"/>
  <c r="BE106" i="15" s="1"/>
  <c r="X106" i="15"/>
  <c r="AF106" i="15" s="1"/>
  <c r="AF657" i="15" s="1"/>
  <c r="AQ657" i="15" s="1"/>
  <c r="AY657" i="15" s="1"/>
  <c r="BF657" i="15" s="1"/>
  <c r="BN657" i="15" s="1"/>
  <c r="R106" i="15"/>
  <c r="AA106" i="15" s="1"/>
  <c r="AA657" i="15" s="1"/>
  <c r="AL657" i="15" s="1"/>
  <c r="AT657" i="15" s="1"/>
  <c r="BA657" i="15" s="1"/>
  <c r="BI657" i="15" s="1"/>
  <c r="BI105" i="15"/>
  <c r="BD105" i="15"/>
  <c r="BE105" i="15" s="1"/>
  <c r="X105" i="15"/>
  <c r="AF105" i="15" s="1"/>
  <c r="AF656" i="15" s="1"/>
  <c r="AQ656" i="15" s="1"/>
  <c r="AY656" i="15" s="1"/>
  <c r="BF656" i="15" s="1"/>
  <c r="BN656" i="15" s="1"/>
  <c r="R105" i="15"/>
  <c r="AA105" i="15" s="1"/>
  <c r="AA656" i="15" s="1"/>
  <c r="AL656" i="15" s="1"/>
  <c r="AT656" i="15" s="1"/>
  <c r="BA656" i="15" s="1"/>
  <c r="BI656" i="15" s="1"/>
  <c r="BI104" i="15"/>
  <c r="BD104" i="15"/>
  <c r="BE104" i="15" s="1"/>
  <c r="X104" i="15"/>
  <c r="AF104" i="15" s="1"/>
  <c r="AF655" i="15" s="1"/>
  <c r="AQ655" i="15" s="1"/>
  <c r="AY655" i="15" s="1"/>
  <c r="BF655" i="15" s="1"/>
  <c r="BN655" i="15" s="1"/>
  <c r="R104" i="15"/>
  <c r="AA104" i="15" s="1"/>
  <c r="AA655" i="15" s="1"/>
  <c r="AL655" i="15" s="1"/>
  <c r="AT655" i="15" s="1"/>
  <c r="BA655" i="15" s="1"/>
  <c r="BI655" i="15" s="1"/>
  <c r="BI103" i="15"/>
  <c r="BD103" i="15"/>
  <c r="BE103" i="15" s="1"/>
  <c r="X103" i="15"/>
  <c r="AF103" i="15" s="1"/>
  <c r="AF654" i="15" s="1"/>
  <c r="AQ654" i="15" s="1"/>
  <c r="AY654" i="15" s="1"/>
  <c r="BF654" i="15" s="1"/>
  <c r="BN654" i="15" s="1"/>
  <c r="R103" i="15"/>
  <c r="AA103" i="15" s="1"/>
  <c r="AA654" i="15" s="1"/>
  <c r="AL654" i="15" s="1"/>
  <c r="AT654" i="15" s="1"/>
  <c r="BA654" i="15" s="1"/>
  <c r="BI654" i="15" s="1"/>
  <c r="BI102" i="15"/>
  <c r="BD102" i="15"/>
  <c r="BE102" i="15" s="1"/>
  <c r="X102" i="15"/>
  <c r="AF102" i="15" s="1"/>
  <c r="AF653" i="15" s="1"/>
  <c r="AQ653" i="15" s="1"/>
  <c r="AY653" i="15" s="1"/>
  <c r="BF653" i="15" s="1"/>
  <c r="BN653" i="15" s="1"/>
  <c r="R102" i="15"/>
  <c r="AA102" i="15" s="1"/>
  <c r="AA653" i="15" s="1"/>
  <c r="AL653" i="15" s="1"/>
  <c r="AT653" i="15" s="1"/>
  <c r="BA653" i="15" s="1"/>
  <c r="BI653" i="15" s="1"/>
  <c r="BI101" i="15"/>
  <c r="BD101" i="15"/>
  <c r="BE101" i="15" s="1"/>
  <c r="X101" i="15"/>
  <c r="AF101" i="15" s="1"/>
  <c r="AF652" i="15" s="1"/>
  <c r="AQ652" i="15" s="1"/>
  <c r="AY652" i="15" s="1"/>
  <c r="BF652" i="15" s="1"/>
  <c r="BN652" i="15" s="1"/>
  <c r="R101" i="15"/>
  <c r="AA101" i="15" s="1"/>
  <c r="AA652" i="15" s="1"/>
  <c r="AL652" i="15" s="1"/>
  <c r="AT652" i="15" s="1"/>
  <c r="BA652" i="15" s="1"/>
  <c r="BI652" i="15" s="1"/>
  <c r="BI100" i="15"/>
  <c r="BD100" i="15"/>
  <c r="BE100" i="15" s="1"/>
  <c r="X100" i="15"/>
  <c r="AF100" i="15" s="1"/>
  <c r="AF651" i="15" s="1"/>
  <c r="AQ651" i="15" s="1"/>
  <c r="AY651" i="15" s="1"/>
  <c r="BF651" i="15" s="1"/>
  <c r="BN651" i="15" s="1"/>
  <c r="R100" i="15"/>
  <c r="AA100" i="15" s="1"/>
  <c r="AA651" i="15" s="1"/>
  <c r="AL651" i="15" s="1"/>
  <c r="AT651" i="15" s="1"/>
  <c r="BA651" i="15" s="1"/>
  <c r="BI651" i="15" s="1"/>
  <c r="BI99" i="15"/>
  <c r="BD99" i="15"/>
  <c r="BE99" i="15" s="1"/>
  <c r="X99" i="15"/>
  <c r="AF99" i="15" s="1"/>
  <c r="AF650" i="15" s="1"/>
  <c r="AQ650" i="15" s="1"/>
  <c r="AY650" i="15" s="1"/>
  <c r="BF650" i="15" s="1"/>
  <c r="BN650" i="15" s="1"/>
  <c r="R99" i="15"/>
  <c r="AA99" i="15" s="1"/>
  <c r="AA650" i="15" s="1"/>
  <c r="AL650" i="15" s="1"/>
  <c r="AT650" i="15" s="1"/>
  <c r="BA650" i="15" s="1"/>
  <c r="BI650" i="15" s="1"/>
  <c r="BI98" i="15"/>
  <c r="BD98" i="15"/>
  <c r="BE98" i="15" s="1"/>
  <c r="X98" i="15"/>
  <c r="AF98" i="15" s="1"/>
  <c r="AF649" i="15" s="1"/>
  <c r="AQ649" i="15" s="1"/>
  <c r="AY649" i="15" s="1"/>
  <c r="BF649" i="15" s="1"/>
  <c r="BN649" i="15" s="1"/>
  <c r="R98" i="15"/>
  <c r="AA98" i="15" s="1"/>
  <c r="AA649" i="15" s="1"/>
  <c r="AL649" i="15" s="1"/>
  <c r="AT649" i="15" s="1"/>
  <c r="BA649" i="15" s="1"/>
  <c r="BI649" i="15" s="1"/>
  <c r="BI97" i="15"/>
  <c r="BD97" i="15"/>
  <c r="BE97" i="15" s="1"/>
  <c r="X97" i="15"/>
  <c r="AF97" i="15" s="1"/>
  <c r="AF648" i="15" s="1"/>
  <c r="AQ648" i="15" s="1"/>
  <c r="AY648" i="15" s="1"/>
  <c r="BF648" i="15" s="1"/>
  <c r="BN648" i="15" s="1"/>
  <c r="R97" i="15"/>
  <c r="AA97" i="15" s="1"/>
  <c r="AA648" i="15" s="1"/>
  <c r="AL648" i="15" s="1"/>
  <c r="AT648" i="15" s="1"/>
  <c r="BA648" i="15" s="1"/>
  <c r="BI648" i="15" s="1"/>
  <c r="BI96" i="15"/>
  <c r="BD96" i="15"/>
  <c r="BE96" i="15" s="1"/>
  <c r="X96" i="15"/>
  <c r="AF96" i="15" s="1"/>
  <c r="AF647" i="15" s="1"/>
  <c r="AQ647" i="15" s="1"/>
  <c r="AY647" i="15" s="1"/>
  <c r="BF647" i="15" s="1"/>
  <c r="BN647" i="15" s="1"/>
  <c r="R96" i="15"/>
  <c r="AA96" i="15" s="1"/>
  <c r="AA647" i="15" s="1"/>
  <c r="AL647" i="15" s="1"/>
  <c r="AT647" i="15" s="1"/>
  <c r="BA647" i="15" s="1"/>
  <c r="BI647" i="15" s="1"/>
  <c r="BI95" i="15"/>
  <c r="BD95" i="15"/>
  <c r="BE95" i="15" s="1"/>
  <c r="X95" i="15"/>
  <c r="AF95" i="15" s="1"/>
  <c r="AF646" i="15" s="1"/>
  <c r="AQ646" i="15" s="1"/>
  <c r="AY646" i="15" s="1"/>
  <c r="BF646" i="15" s="1"/>
  <c r="BN646" i="15" s="1"/>
  <c r="R95" i="15"/>
  <c r="AA95" i="15" s="1"/>
  <c r="AA646" i="15" s="1"/>
  <c r="AL646" i="15" s="1"/>
  <c r="AT646" i="15" s="1"/>
  <c r="BA646" i="15" s="1"/>
  <c r="BI646" i="15" s="1"/>
  <c r="BI94" i="15"/>
  <c r="BD94" i="15"/>
  <c r="BE94" i="15" s="1"/>
  <c r="X94" i="15"/>
  <c r="AF94" i="15" s="1"/>
  <c r="AF645" i="15" s="1"/>
  <c r="AQ645" i="15" s="1"/>
  <c r="AY645" i="15" s="1"/>
  <c r="BF645" i="15" s="1"/>
  <c r="BN645" i="15" s="1"/>
  <c r="R94" i="15"/>
  <c r="AA94" i="15" s="1"/>
  <c r="AA645" i="15" s="1"/>
  <c r="AL645" i="15" s="1"/>
  <c r="AT645" i="15" s="1"/>
  <c r="BA645" i="15" s="1"/>
  <c r="BI645" i="15" s="1"/>
  <c r="BI93" i="15"/>
  <c r="BD93" i="15"/>
  <c r="BE93" i="15" s="1"/>
  <c r="X93" i="15"/>
  <c r="AF93" i="15" s="1"/>
  <c r="AF644" i="15" s="1"/>
  <c r="AQ644" i="15" s="1"/>
  <c r="AY644" i="15" s="1"/>
  <c r="BF644" i="15" s="1"/>
  <c r="BN644" i="15" s="1"/>
  <c r="R93" i="15"/>
  <c r="AA93" i="15" s="1"/>
  <c r="AA644" i="15" s="1"/>
  <c r="AL644" i="15" s="1"/>
  <c r="AT644" i="15" s="1"/>
  <c r="BA644" i="15" s="1"/>
  <c r="BI644" i="15" s="1"/>
  <c r="BI92" i="15"/>
  <c r="BD92" i="15"/>
  <c r="BE92" i="15" s="1"/>
  <c r="X92" i="15"/>
  <c r="AF92" i="15" s="1"/>
  <c r="AF643" i="15" s="1"/>
  <c r="AQ643" i="15" s="1"/>
  <c r="AY643" i="15" s="1"/>
  <c r="BF643" i="15" s="1"/>
  <c r="BN643" i="15" s="1"/>
  <c r="R92" i="15"/>
  <c r="AA92" i="15" s="1"/>
  <c r="AA643" i="15" s="1"/>
  <c r="AL643" i="15" s="1"/>
  <c r="AT643" i="15" s="1"/>
  <c r="BA643" i="15" s="1"/>
  <c r="BI643" i="15" s="1"/>
  <c r="BI91" i="15"/>
  <c r="BD91" i="15"/>
  <c r="BE91" i="15" s="1"/>
  <c r="X91" i="15"/>
  <c r="AF91" i="15" s="1"/>
  <c r="AF642" i="15" s="1"/>
  <c r="AQ642" i="15" s="1"/>
  <c r="AY642" i="15" s="1"/>
  <c r="BF642" i="15" s="1"/>
  <c r="BN642" i="15" s="1"/>
  <c r="R91" i="15"/>
  <c r="AA91" i="15" s="1"/>
  <c r="AA642" i="15" s="1"/>
  <c r="AL642" i="15" s="1"/>
  <c r="AT642" i="15" s="1"/>
  <c r="BA642" i="15" s="1"/>
  <c r="BI642" i="15" s="1"/>
  <c r="BI90" i="15"/>
  <c r="BD90" i="15"/>
  <c r="BE90" i="15" s="1"/>
  <c r="X90" i="15"/>
  <c r="AF90" i="15" s="1"/>
  <c r="AF641" i="15" s="1"/>
  <c r="AQ641" i="15" s="1"/>
  <c r="AY641" i="15" s="1"/>
  <c r="BF641" i="15" s="1"/>
  <c r="BN641" i="15" s="1"/>
  <c r="R90" i="15"/>
  <c r="AA90" i="15" s="1"/>
  <c r="AA641" i="15" s="1"/>
  <c r="AL641" i="15" s="1"/>
  <c r="AT641" i="15" s="1"/>
  <c r="BA641" i="15" s="1"/>
  <c r="BI641" i="15" s="1"/>
  <c r="BI89" i="15"/>
  <c r="BD89" i="15"/>
  <c r="BE89" i="15" s="1"/>
  <c r="X89" i="15"/>
  <c r="AF89" i="15" s="1"/>
  <c r="AF640" i="15" s="1"/>
  <c r="AQ640" i="15" s="1"/>
  <c r="AY640" i="15" s="1"/>
  <c r="BF640" i="15" s="1"/>
  <c r="BN640" i="15" s="1"/>
  <c r="R89" i="15"/>
  <c r="AA89" i="15" s="1"/>
  <c r="AA640" i="15" s="1"/>
  <c r="AL640" i="15" s="1"/>
  <c r="AT640" i="15" s="1"/>
  <c r="BA640" i="15" s="1"/>
  <c r="BI640" i="15" s="1"/>
  <c r="BI88" i="15"/>
  <c r="BD88" i="15"/>
  <c r="BE88" i="15" s="1"/>
  <c r="X88" i="15"/>
  <c r="AF88" i="15" s="1"/>
  <c r="AF639" i="15" s="1"/>
  <c r="AQ639" i="15" s="1"/>
  <c r="AY639" i="15" s="1"/>
  <c r="BF639" i="15" s="1"/>
  <c r="BN639" i="15" s="1"/>
  <c r="R88" i="15"/>
  <c r="AA88" i="15" s="1"/>
  <c r="AA639" i="15" s="1"/>
  <c r="AL639" i="15" s="1"/>
  <c r="AT639" i="15" s="1"/>
  <c r="BA639" i="15" s="1"/>
  <c r="BI639" i="15" s="1"/>
  <c r="BI87" i="15"/>
  <c r="BD87" i="15"/>
  <c r="BE87" i="15" s="1"/>
  <c r="X87" i="15"/>
  <c r="AF87" i="15" s="1"/>
  <c r="AF638" i="15" s="1"/>
  <c r="AQ638" i="15" s="1"/>
  <c r="AY638" i="15" s="1"/>
  <c r="BF638" i="15" s="1"/>
  <c r="BN638" i="15" s="1"/>
  <c r="R87" i="15"/>
  <c r="AA87" i="15" s="1"/>
  <c r="AA638" i="15" s="1"/>
  <c r="AL638" i="15" s="1"/>
  <c r="AT638" i="15" s="1"/>
  <c r="BA638" i="15" s="1"/>
  <c r="BI638" i="15" s="1"/>
  <c r="BI86" i="15"/>
  <c r="BD86" i="15"/>
  <c r="BE86" i="15" s="1"/>
  <c r="X86" i="15"/>
  <c r="AF86" i="15" s="1"/>
  <c r="AF637" i="15" s="1"/>
  <c r="AQ637" i="15" s="1"/>
  <c r="AY637" i="15" s="1"/>
  <c r="BF637" i="15" s="1"/>
  <c r="BN637" i="15" s="1"/>
  <c r="R86" i="15"/>
  <c r="AA86" i="15" s="1"/>
  <c r="AA637" i="15" s="1"/>
  <c r="AL637" i="15" s="1"/>
  <c r="AT637" i="15" s="1"/>
  <c r="BA637" i="15" s="1"/>
  <c r="BI637" i="15" s="1"/>
  <c r="BI85" i="15"/>
  <c r="BD85" i="15"/>
  <c r="BE85" i="15" s="1"/>
  <c r="X85" i="15"/>
  <c r="AF85" i="15" s="1"/>
  <c r="AF636" i="15" s="1"/>
  <c r="AQ636" i="15" s="1"/>
  <c r="AY636" i="15" s="1"/>
  <c r="BF636" i="15" s="1"/>
  <c r="BN636" i="15" s="1"/>
  <c r="R85" i="15"/>
  <c r="AA85" i="15" s="1"/>
  <c r="AA636" i="15" s="1"/>
  <c r="AL636" i="15" s="1"/>
  <c r="AT636" i="15" s="1"/>
  <c r="BA636" i="15" s="1"/>
  <c r="BI636" i="15" s="1"/>
  <c r="BI84" i="15"/>
  <c r="BD84" i="15"/>
  <c r="BE84" i="15" s="1"/>
  <c r="X84" i="15"/>
  <c r="AF84" i="15" s="1"/>
  <c r="AF635" i="15" s="1"/>
  <c r="AQ635" i="15" s="1"/>
  <c r="AY635" i="15" s="1"/>
  <c r="BF635" i="15" s="1"/>
  <c r="BN635" i="15" s="1"/>
  <c r="R84" i="15"/>
  <c r="AA84" i="15" s="1"/>
  <c r="AA635" i="15" s="1"/>
  <c r="AL635" i="15" s="1"/>
  <c r="AT635" i="15" s="1"/>
  <c r="BA635" i="15" s="1"/>
  <c r="BI635" i="15" s="1"/>
  <c r="BI83" i="15"/>
  <c r="BD83" i="15"/>
  <c r="BE83" i="15" s="1"/>
  <c r="X83" i="15"/>
  <c r="AF83" i="15" s="1"/>
  <c r="AF634" i="15" s="1"/>
  <c r="AQ634" i="15" s="1"/>
  <c r="AY634" i="15" s="1"/>
  <c r="BF634" i="15" s="1"/>
  <c r="BN634" i="15" s="1"/>
  <c r="R83" i="15"/>
  <c r="AA83" i="15" s="1"/>
  <c r="AA634" i="15" s="1"/>
  <c r="AL634" i="15" s="1"/>
  <c r="AT634" i="15" s="1"/>
  <c r="BA634" i="15" s="1"/>
  <c r="BI634" i="15" s="1"/>
  <c r="BI82" i="15"/>
  <c r="BD82" i="15"/>
  <c r="BE82" i="15" s="1"/>
  <c r="X82" i="15"/>
  <c r="AF82" i="15" s="1"/>
  <c r="AF633" i="15" s="1"/>
  <c r="AQ633" i="15" s="1"/>
  <c r="AY633" i="15" s="1"/>
  <c r="BF633" i="15" s="1"/>
  <c r="BN633" i="15" s="1"/>
  <c r="R82" i="15"/>
  <c r="AA82" i="15" s="1"/>
  <c r="AA633" i="15" s="1"/>
  <c r="AL633" i="15" s="1"/>
  <c r="AT633" i="15" s="1"/>
  <c r="BA633" i="15" s="1"/>
  <c r="BI633" i="15" s="1"/>
  <c r="BI81" i="15"/>
  <c r="BD81" i="15"/>
  <c r="BE81" i="15" s="1"/>
  <c r="X81" i="15"/>
  <c r="AF81" i="15" s="1"/>
  <c r="AF632" i="15" s="1"/>
  <c r="AQ632" i="15" s="1"/>
  <c r="AY632" i="15" s="1"/>
  <c r="BF632" i="15" s="1"/>
  <c r="BN632" i="15" s="1"/>
  <c r="R81" i="15"/>
  <c r="AA81" i="15" s="1"/>
  <c r="AA632" i="15" s="1"/>
  <c r="AL632" i="15" s="1"/>
  <c r="AT632" i="15" s="1"/>
  <c r="BA632" i="15" s="1"/>
  <c r="BI632" i="15" s="1"/>
  <c r="BI80" i="15"/>
  <c r="BD80" i="15"/>
  <c r="BE80" i="15" s="1"/>
  <c r="X80" i="15"/>
  <c r="AF80" i="15" s="1"/>
  <c r="AF631" i="15" s="1"/>
  <c r="AQ631" i="15" s="1"/>
  <c r="AY631" i="15" s="1"/>
  <c r="BF631" i="15" s="1"/>
  <c r="BN631" i="15" s="1"/>
  <c r="R80" i="15"/>
  <c r="AA80" i="15" s="1"/>
  <c r="AA631" i="15" s="1"/>
  <c r="AL631" i="15" s="1"/>
  <c r="AT631" i="15" s="1"/>
  <c r="BA631" i="15" s="1"/>
  <c r="BI631" i="15" s="1"/>
  <c r="BI79" i="15"/>
  <c r="BD79" i="15"/>
  <c r="BE79" i="15" s="1"/>
  <c r="X79" i="15"/>
  <c r="AF79" i="15" s="1"/>
  <c r="AF630" i="15" s="1"/>
  <c r="AQ630" i="15" s="1"/>
  <c r="AY630" i="15" s="1"/>
  <c r="BF630" i="15" s="1"/>
  <c r="BN630" i="15" s="1"/>
  <c r="R79" i="15"/>
  <c r="AA79" i="15" s="1"/>
  <c r="AA630" i="15" s="1"/>
  <c r="AL630" i="15" s="1"/>
  <c r="AT630" i="15" s="1"/>
  <c r="BA630" i="15" s="1"/>
  <c r="BI630" i="15" s="1"/>
  <c r="BI78" i="15"/>
  <c r="BD78" i="15"/>
  <c r="BE78" i="15" s="1"/>
  <c r="X78" i="15"/>
  <c r="AF78" i="15" s="1"/>
  <c r="AF629" i="15" s="1"/>
  <c r="AQ629" i="15" s="1"/>
  <c r="AY629" i="15" s="1"/>
  <c r="BF629" i="15" s="1"/>
  <c r="BN629" i="15" s="1"/>
  <c r="R78" i="15"/>
  <c r="AA78" i="15" s="1"/>
  <c r="AA629" i="15" s="1"/>
  <c r="AL629" i="15" s="1"/>
  <c r="AT629" i="15" s="1"/>
  <c r="BA629" i="15" s="1"/>
  <c r="BI629" i="15" s="1"/>
  <c r="BI77" i="15"/>
  <c r="BD77" i="15"/>
  <c r="BE77" i="15" s="1"/>
  <c r="X77" i="15"/>
  <c r="AF77" i="15" s="1"/>
  <c r="AF628" i="15" s="1"/>
  <c r="AQ628" i="15" s="1"/>
  <c r="AY628" i="15" s="1"/>
  <c r="BF628" i="15" s="1"/>
  <c r="BN628" i="15" s="1"/>
  <c r="R77" i="15"/>
  <c r="AA77" i="15" s="1"/>
  <c r="AA628" i="15" s="1"/>
  <c r="AL628" i="15" s="1"/>
  <c r="AT628" i="15" s="1"/>
  <c r="BA628" i="15" s="1"/>
  <c r="BI628" i="15" s="1"/>
  <c r="BI76" i="15"/>
  <c r="BD76" i="15"/>
  <c r="BE76" i="15" s="1"/>
  <c r="X76" i="15"/>
  <c r="AF76" i="15" s="1"/>
  <c r="AF627" i="15" s="1"/>
  <c r="AQ627" i="15" s="1"/>
  <c r="AY627" i="15" s="1"/>
  <c r="BF627" i="15" s="1"/>
  <c r="BN627" i="15" s="1"/>
  <c r="R76" i="15"/>
  <c r="AA76" i="15" s="1"/>
  <c r="AA627" i="15" s="1"/>
  <c r="AL627" i="15" s="1"/>
  <c r="AT627" i="15" s="1"/>
  <c r="BA627" i="15" s="1"/>
  <c r="BI627" i="15" s="1"/>
  <c r="BI75" i="15"/>
  <c r="BD75" i="15"/>
  <c r="BE75" i="15" s="1"/>
  <c r="X75" i="15"/>
  <c r="AF75" i="15" s="1"/>
  <c r="AF626" i="15" s="1"/>
  <c r="AQ626" i="15" s="1"/>
  <c r="AY626" i="15" s="1"/>
  <c r="BF626" i="15" s="1"/>
  <c r="BN626" i="15" s="1"/>
  <c r="R75" i="15"/>
  <c r="AA75" i="15" s="1"/>
  <c r="AA626" i="15" s="1"/>
  <c r="AL626" i="15" s="1"/>
  <c r="AT626" i="15" s="1"/>
  <c r="BA626" i="15" s="1"/>
  <c r="BI626" i="15" s="1"/>
  <c r="BI74" i="15"/>
  <c r="BD74" i="15"/>
  <c r="BE74" i="15" s="1"/>
  <c r="X74" i="15"/>
  <c r="AF74" i="15" s="1"/>
  <c r="AF625" i="15" s="1"/>
  <c r="AQ625" i="15" s="1"/>
  <c r="AY625" i="15" s="1"/>
  <c r="BF625" i="15" s="1"/>
  <c r="BN625" i="15" s="1"/>
  <c r="R74" i="15"/>
  <c r="AA74" i="15" s="1"/>
  <c r="AA625" i="15" s="1"/>
  <c r="AL625" i="15" s="1"/>
  <c r="AT625" i="15" s="1"/>
  <c r="BA625" i="15" s="1"/>
  <c r="BI625" i="15" s="1"/>
  <c r="BI73" i="15"/>
  <c r="BD73" i="15"/>
  <c r="BE73" i="15" s="1"/>
  <c r="X73" i="15"/>
  <c r="AF73" i="15" s="1"/>
  <c r="AF624" i="15" s="1"/>
  <c r="AQ624" i="15" s="1"/>
  <c r="AY624" i="15" s="1"/>
  <c r="BF624" i="15" s="1"/>
  <c r="BN624" i="15" s="1"/>
  <c r="R73" i="15"/>
  <c r="AA73" i="15" s="1"/>
  <c r="AA624" i="15" s="1"/>
  <c r="AL624" i="15" s="1"/>
  <c r="AT624" i="15" s="1"/>
  <c r="BA624" i="15" s="1"/>
  <c r="BI624" i="15" s="1"/>
  <c r="BI72" i="15"/>
  <c r="BD72" i="15"/>
  <c r="BE72" i="15" s="1"/>
  <c r="X72" i="15"/>
  <c r="AF72" i="15" s="1"/>
  <c r="AF623" i="15" s="1"/>
  <c r="AQ623" i="15" s="1"/>
  <c r="AY623" i="15" s="1"/>
  <c r="BF623" i="15" s="1"/>
  <c r="BN623" i="15" s="1"/>
  <c r="R72" i="15"/>
  <c r="AA72" i="15" s="1"/>
  <c r="AA623" i="15" s="1"/>
  <c r="AL623" i="15" s="1"/>
  <c r="AT623" i="15" s="1"/>
  <c r="BA623" i="15" s="1"/>
  <c r="BI623" i="15" s="1"/>
  <c r="BI71" i="15"/>
  <c r="BD71" i="15"/>
  <c r="BE71" i="15" s="1"/>
  <c r="X71" i="15"/>
  <c r="AF71" i="15" s="1"/>
  <c r="AF622" i="15" s="1"/>
  <c r="AQ622" i="15" s="1"/>
  <c r="AY622" i="15" s="1"/>
  <c r="BF622" i="15" s="1"/>
  <c r="BN622" i="15" s="1"/>
  <c r="R71" i="15"/>
  <c r="AA71" i="15" s="1"/>
  <c r="AA622" i="15" s="1"/>
  <c r="AL622" i="15" s="1"/>
  <c r="AT622" i="15" s="1"/>
  <c r="BA622" i="15" s="1"/>
  <c r="BI622" i="15" s="1"/>
  <c r="BI70" i="15"/>
  <c r="BD70" i="15"/>
  <c r="BE70" i="15" s="1"/>
  <c r="X70" i="15"/>
  <c r="AF70" i="15" s="1"/>
  <c r="AF621" i="15" s="1"/>
  <c r="AQ621" i="15" s="1"/>
  <c r="AY621" i="15" s="1"/>
  <c r="BF621" i="15" s="1"/>
  <c r="BN621" i="15" s="1"/>
  <c r="R70" i="15"/>
  <c r="AA70" i="15" s="1"/>
  <c r="AA621" i="15" s="1"/>
  <c r="AL621" i="15" s="1"/>
  <c r="AT621" i="15" s="1"/>
  <c r="BA621" i="15" s="1"/>
  <c r="BI621" i="15" s="1"/>
  <c r="BI69" i="15"/>
  <c r="BD69" i="15"/>
  <c r="BE69" i="15" s="1"/>
  <c r="X69" i="15"/>
  <c r="AF69" i="15" s="1"/>
  <c r="AF620" i="15" s="1"/>
  <c r="AQ620" i="15" s="1"/>
  <c r="AY620" i="15" s="1"/>
  <c r="BF620" i="15" s="1"/>
  <c r="BN620" i="15" s="1"/>
  <c r="R69" i="15"/>
  <c r="AA69" i="15" s="1"/>
  <c r="AA620" i="15" s="1"/>
  <c r="AL620" i="15" s="1"/>
  <c r="AT620" i="15" s="1"/>
  <c r="BA620" i="15" s="1"/>
  <c r="BI620" i="15" s="1"/>
  <c r="BI68" i="15"/>
  <c r="BD68" i="15"/>
  <c r="BE68" i="15" s="1"/>
  <c r="X68" i="15"/>
  <c r="AF68" i="15" s="1"/>
  <c r="AF619" i="15" s="1"/>
  <c r="AQ619" i="15" s="1"/>
  <c r="AY619" i="15" s="1"/>
  <c r="BF619" i="15" s="1"/>
  <c r="BN619" i="15" s="1"/>
  <c r="R68" i="15"/>
  <c r="AA68" i="15" s="1"/>
  <c r="AA619" i="15" s="1"/>
  <c r="AL619" i="15" s="1"/>
  <c r="AT619" i="15" s="1"/>
  <c r="BA619" i="15" s="1"/>
  <c r="BI619" i="15" s="1"/>
  <c r="BI67" i="15"/>
  <c r="BD67" i="15"/>
  <c r="BE67" i="15" s="1"/>
  <c r="X67" i="15"/>
  <c r="AF67" i="15" s="1"/>
  <c r="AF618" i="15" s="1"/>
  <c r="AQ618" i="15" s="1"/>
  <c r="AY618" i="15" s="1"/>
  <c r="BF618" i="15" s="1"/>
  <c r="BN618" i="15" s="1"/>
  <c r="R67" i="15"/>
  <c r="AA67" i="15" s="1"/>
  <c r="AA618" i="15" s="1"/>
  <c r="AL618" i="15" s="1"/>
  <c r="AT618" i="15" s="1"/>
  <c r="BA618" i="15" s="1"/>
  <c r="BI618" i="15" s="1"/>
  <c r="BI66" i="15"/>
  <c r="BD66" i="15"/>
  <c r="BE66" i="15" s="1"/>
  <c r="X66" i="15"/>
  <c r="AF66" i="15" s="1"/>
  <c r="AF617" i="15" s="1"/>
  <c r="AQ617" i="15" s="1"/>
  <c r="AY617" i="15" s="1"/>
  <c r="BF617" i="15" s="1"/>
  <c r="BN617" i="15" s="1"/>
  <c r="R66" i="15"/>
  <c r="AA66" i="15" s="1"/>
  <c r="AA617" i="15" s="1"/>
  <c r="AL617" i="15" s="1"/>
  <c r="AT617" i="15" s="1"/>
  <c r="BA617" i="15" s="1"/>
  <c r="BI617" i="15" s="1"/>
  <c r="BI65" i="15"/>
  <c r="BD65" i="15"/>
  <c r="BE65" i="15" s="1"/>
  <c r="X65" i="15"/>
  <c r="AF65" i="15" s="1"/>
  <c r="AF616" i="15" s="1"/>
  <c r="AQ616" i="15" s="1"/>
  <c r="AY616" i="15" s="1"/>
  <c r="BF616" i="15" s="1"/>
  <c r="BN616" i="15" s="1"/>
  <c r="R65" i="15"/>
  <c r="AA65" i="15" s="1"/>
  <c r="AA616" i="15" s="1"/>
  <c r="AL616" i="15" s="1"/>
  <c r="AT616" i="15" s="1"/>
  <c r="BA616" i="15" s="1"/>
  <c r="BI616" i="15" s="1"/>
  <c r="BI64" i="15"/>
  <c r="BD64" i="15"/>
  <c r="BE64" i="15" s="1"/>
  <c r="X64" i="15"/>
  <c r="AF64" i="15" s="1"/>
  <c r="AF615" i="15" s="1"/>
  <c r="AQ615" i="15" s="1"/>
  <c r="AY615" i="15" s="1"/>
  <c r="BF615" i="15" s="1"/>
  <c r="BN615" i="15" s="1"/>
  <c r="R64" i="15"/>
  <c r="AA64" i="15" s="1"/>
  <c r="AA615" i="15" s="1"/>
  <c r="AL615" i="15" s="1"/>
  <c r="AT615" i="15" s="1"/>
  <c r="BA615" i="15" s="1"/>
  <c r="BI615" i="15" s="1"/>
  <c r="BI63" i="15"/>
  <c r="BD63" i="15"/>
  <c r="BE63" i="15" s="1"/>
  <c r="X63" i="15"/>
  <c r="AF63" i="15" s="1"/>
  <c r="AF614" i="15" s="1"/>
  <c r="AQ614" i="15" s="1"/>
  <c r="AY614" i="15" s="1"/>
  <c r="BF614" i="15" s="1"/>
  <c r="BN614" i="15" s="1"/>
  <c r="R63" i="15"/>
  <c r="AA63" i="15" s="1"/>
  <c r="AA614" i="15" s="1"/>
  <c r="AL614" i="15" s="1"/>
  <c r="AT614" i="15" s="1"/>
  <c r="BA614" i="15" s="1"/>
  <c r="BI614" i="15" s="1"/>
  <c r="BI62" i="15"/>
  <c r="BD62" i="15"/>
  <c r="BE62" i="15" s="1"/>
  <c r="X62" i="15"/>
  <c r="AF62" i="15" s="1"/>
  <c r="AF613" i="15" s="1"/>
  <c r="AQ613" i="15" s="1"/>
  <c r="AY613" i="15" s="1"/>
  <c r="BF613" i="15" s="1"/>
  <c r="BN613" i="15" s="1"/>
  <c r="R62" i="15"/>
  <c r="AA62" i="15" s="1"/>
  <c r="AA613" i="15" s="1"/>
  <c r="AL613" i="15" s="1"/>
  <c r="AT613" i="15" s="1"/>
  <c r="BA613" i="15" s="1"/>
  <c r="BI613" i="15" s="1"/>
  <c r="BI61" i="15"/>
  <c r="BD61" i="15"/>
  <c r="BE61" i="15" s="1"/>
  <c r="X61" i="15"/>
  <c r="AF61" i="15" s="1"/>
  <c r="AF612" i="15" s="1"/>
  <c r="AQ612" i="15" s="1"/>
  <c r="AY612" i="15" s="1"/>
  <c r="BF612" i="15" s="1"/>
  <c r="BN612" i="15" s="1"/>
  <c r="R61" i="15"/>
  <c r="AA61" i="15" s="1"/>
  <c r="AA612" i="15" s="1"/>
  <c r="AL612" i="15" s="1"/>
  <c r="AT612" i="15" s="1"/>
  <c r="BA612" i="15" s="1"/>
  <c r="BI612" i="15" s="1"/>
  <c r="BI60" i="15"/>
  <c r="BD60" i="15"/>
  <c r="BE60" i="15" s="1"/>
  <c r="X60" i="15"/>
  <c r="AF60" i="15" s="1"/>
  <c r="AF611" i="15" s="1"/>
  <c r="AQ611" i="15" s="1"/>
  <c r="AY611" i="15" s="1"/>
  <c r="BF611" i="15" s="1"/>
  <c r="BN611" i="15" s="1"/>
  <c r="R60" i="15"/>
  <c r="AA60" i="15" s="1"/>
  <c r="AA611" i="15" s="1"/>
  <c r="AL611" i="15" s="1"/>
  <c r="AT611" i="15" s="1"/>
  <c r="BA611" i="15" s="1"/>
  <c r="BI611" i="15" s="1"/>
  <c r="BI59" i="15"/>
  <c r="BD59" i="15"/>
  <c r="BE59" i="15" s="1"/>
  <c r="X59" i="15"/>
  <c r="AF59" i="15" s="1"/>
  <c r="AF610" i="15" s="1"/>
  <c r="AQ610" i="15" s="1"/>
  <c r="AY610" i="15" s="1"/>
  <c r="BF610" i="15" s="1"/>
  <c r="BN610" i="15" s="1"/>
  <c r="R59" i="15"/>
  <c r="AA59" i="15" s="1"/>
  <c r="AA610" i="15" s="1"/>
  <c r="AL610" i="15" s="1"/>
  <c r="AT610" i="15" s="1"/>
  <c r="BA610" i="15" s="1"/>
  <c r="BI610" i="15" s="1"/>
  <c r="BI58" i="15"/>
  <c r="BD58" i="15"/>
  <c r="BE58" i="15" s="1"/>
  <c r="X58" i="15"/>
  <c r="AF58" i="15" s="1"/>
  <c r="AF609" i="15" s="1"/>
  <c r="AQ609" i="15" s="1"/>
  <c r="AY609" i="15" s="1"/>
  <c r="BF609" i="15" s="1"/>
  <c r="BN609" i="15" s="1"/>
  <c r="R58" i="15"/>
  <c r="AA58" i="15" s="1"/>
  <c r="AA609" i="15" s="1"/>
  <c r="AL609" i="15" s="1"/>
  <c r="AT609" i="15" s="1"/>
  <c r="BA609" i="15" s="1"/>
  <c r="BI609" i="15" s="1"/>
  <c r="BI57" i="15"/>
  <c r="BD57" i="15"/>
  <c r="BE57" i="15" s="1"/>
  <c r="X57" i="15"/>
  <c r="AF57" i="15" s="1"/>
  <c r="AF608" i="15" s="1"/>
  <c r="AQ608" i="15" s="1"/>
  <c r="AY608" i="15" s="1"/>
  <c r="BF608" i="15" s="1"/>
  <c r="BN608" i="15" s="1"/>
  <c r="R57" i="15"/>
  <c r="AA57" i="15" s="1"/>
  <c r="AA608" i="15" s="1"/>
  <c r="AL608" i="15" s="1"/>
  <c r="AT608" i="15" s="1"/>
  <c r="BA608" i="15" s="1"/>
  <c r="BI608" i="15" s="1"/>
  <c r="BI56" i="15"/>
  <c r="BD56" i="15"/>
  <c r="BE56" i="15" s="1"/>
  <c r="X56" i="15"/>
  <c r="AF56" i="15" s="1"/>
  <c r="AF607" i="15" s="1"/>
  <c r="AQ607" i="15" s="1"/>
  <c r="AY607" i="15" s="1"/>
  <c r="BF607" i="15" s="1"/>
  <c r="BN607" i="15" s="1"/>
  <c r="R56" i="15"/>
  <c r="AA56" i="15" s="1"/>
  <c r="AA607" i="15" s="1"/>
  <c r="AL607" i="15" s="1"/>
  <c r="AT607" i="15" s="1"/>
  <c r="BA607" i="15" s="1"/>
  <c r="BI607" i="15" s="1"/>
  <c r="BI55" i="15"/>
  <c r="BD55" i="15"/>
  <c r="BE55" i="15" s="1"/>
  <c r="X55" i="15"/>
  <c r="AF55" i="15" s="1"/>
  <c r="AF606" i="15" s="1"/>
  <c r="AQ606" i="15" s="1"/>
  <c r="AY606" i="15" s="1"/>
  <c r="BF606" i="15" s="1"/>
  <c r="BN606" i="15" s="1"/>
  <c r="R55" i="15"/>
  <c r="AA55" i="15" s="1"/>
  <c r="AA606" i="15" s="1"/>
  <c r="AL606" i="15" s="1"/>
  <c r="AT606" i="15" s="1"/>
  <c r="BA606" i="15" s="1"/>
  <c r="BI606" i="15" s="1"/>
  <c r="BI54" i="15"/>
  <c r="BD54" i="15"/>
  <c r="BE54" i="15" s="1"/>
  <c r="X54" i="15"/>
  <c r="AF54" i="15" s="1"/>
  <c r="AF605" i="15" s="1"/>
  <c r="AQ605" i="15" s="1"/>
  <c r="AY605" i="15" s="1"/>
  <c r="BF605" i="15" s="1"/>
  <c r="BN605" i="15" s="1"/>
  <c r="R54" i="15"/>
  <c r="AA54" i="15" s="1"/>
  <c r="AA605" i="15" s="1"/>
  <c r="AL605" i="15" s="1"/>
  <c r="AT605" i="15" s="1"/>
  <c r="BA605" i="15" s="1"/>
  <c r="BI605" i="15" s="1"/>
  <c r="BI53" i="15"/>
  <c r="BD53" i="15"/>
  <c r="BE53" i="15" s="1"/>
  <c r="X53" i="15"/>
  <c r="AF53" i="15" s="1"/>
  <c r="AF604" i="15" s="1"/>
  <c r="AQ604" i="15" s="1"/>
  <c r="AY604" i="15" s="1"/>
  <c r="BF604" i="15" s="1"/>
  <c r="BN604" i="15" s="1"/>
  <c r="R53" i="15"/>
  <c r="AA53" i="15" s="1"/>
  <c r="AA604" i="15" s="1"/>
  <c r="AL604" i="15" s="1"/>
  <c r="AT604" i="15" s="1"/>
  <c r="BA604" i="15" s="1"/>
  <c r="BI604" i="15" s="1"/>
  <c r="BI52" i="15"/>
  <c r="BD52" i="15"/>
  <c r="BE52" i="15" s="1"/>
  <c r="X52" i="15"/>
  <c r="AF52" i="15" s="1"/>
  <c r="AF603" i="15" s="1"/>
  <c r="AQ603" i="15" s="1"/>
  <c r="AY603" i="15" s="1"/>
  <c r="BF603" i="15" s="1"/>
  <c r="BN603" i="15" s="1"/>
  <c r="R52" i="15"/>
  <c r="AA52" i="15" s="1"/>
  <c r="AA603" i="15" s="1"/>
  <c r="AL603" i="15" s="1"/>
  <c r="AT603" i="15" s="1"/>
  <c r="BA603" i="15" s="1"/>
  <c r="BI603" i="15" s="1"/>
  <c r="BI51" i="15"/>
  <c r="BD51" i="15"/>
  <c r="BE51" i="15" s="1"/>
  <c r="X51" i="15"/>
  <c r="AF51" i="15" s="1"/>
  <c r="AF602" i="15" s="1"/>
  <c r="AQ602" i="15" s="1"/>
  <c r="AY602" i="15" s="1"/>
  <c r="BF602" i="15" s="1"/>
  <c r="BN602" i="15" s="1"/>
  <c r="R51" i="15"/>
  <c r="AA51" i="15" s="1"/>
  <c r="AA602" i="15" s="1"/>
  <c r="AL602" i="15" s="1"/>
  <c r="AT602" i="15" s="1"/>
  <c r="BA602" i="15" s="1"/>
  <c r="BI602" i="15" s="1"/>
  <c r="BI50" i="15"/>
  <c r="BD50" i="15"/>
  <c r="BE50" i="15" s="1"/>
  <c r="X50" i="15"/>
  <c r="AF50" i="15" s="1"/>
  <c r="AF601" i="15" s="1"/>
  <c r="AQ601" i="15" s="1"/>
  <c r="AY601" i="15" s="1"/>
  <c r="BF601" i="15" s="1"/>
  <c r="BN601" i="15" s="1"/>
  <c r="R50" i="15"/>
  <c r="AA50" i="15" s="1"/>
  <c r="AA601" i="15" s="1"/>
  <c r="AL601" i="15" s="1"/>
  <c r="AT601" i="15" s="1"/>
  <c r="BA601" i="15" s="1"/>
  <c r="BI601" i="15" s="1"/>
  <c r="BI49" i="15"/>
  <c r="X49" i="15"/>
  <c r="AF49" i="15" s="1"/>
  <c r="AF600" i="15" s="1"/>
  <c r="AQ600" i="15" s="1"/>
  <c r="AY600" i="15" s="1"/>
  <c r="BF600" i="15" s="1"/>
  <c r="BN600" i="15" s="1"/>
  <c r="R49" i="15"/>
  <c r="AA49" i="15" s="1"/>
  <c r="AA600" i="15" s="1"/>
  <c r="AL600" i="15" s="1"/>
  <c r="AT600" i="15" s="1"/>
  <c r="BA600" i="15" s="1"/>
  <c r="BI600" i="15" s="1"/>
  <c r="BI48" i="15"/>
  <c r="X48" i="15"/>
  <c r="AF48" i="15" s="1"/>
  <c r="AF599" i="15" s="1"/>
  <c r="AQ599" i="15" s="1"/>
  <c r="AY599" i="15" s="1"/>
  <c r="BF599" i="15" s="1"/>
  <c r="BN599" i="15" s="1"/>
  <c r="R48" i="15"/>
  <c r="AA48" i="15" s="1"/>
  <c r="AA599" i="15" s="1"/>
  <c r="AL599" i="15" s="1"/>
  <c r="AT599" i="15" s="1"/>
  <c r="BA599" i="15" s="1"/>
  <c r="BI599" i="15" s="1"/>
  <c r="BI47" i="15"/>
  <c r="X47" i="15"/>
  <c r="AF47" i="15" s="1"/>
  <c r="AF598" i="15" s="1"/>
  <c r="AQ598" i="15" s="1"/>
  <c r="AY598" i="15" s="1"/>
  <c r="BF598" i="15" s="1"/>
  <c r="BN598" i="15" s="1"/>
  <c r="R47" i="15"/>
  <c r="AA47" i="15" s="1"/>
  <c r="AA598" i="15" s="1"/>
  <c r="AL598" i="15" s="1"/>
  <c r="AT598" i="15" s="1"/>
  <c r="BA598" i="15" s="1"/>
  <c r="BI598" i="15" s="1"/>
  <c r="BI46" i="15"/>
  <c r="X46" i="15"/>
  <c r="AF46" i="15" s="1"/>
  <c r="AF597" i="15" s="1"/>
  <c r="AQ597" i="15" s="1"/>
  <c r="AY597" i="15" s="1"/>
  <c r="BF597" i="15" s="1"/>
  <c r="BN597" i="15" s="1"/>
  <c r="R46" i="15"/>
  <c r="AA46" i="15" s="1"/>
  <c r="AA597" i="15" s="1"/>
  <c r="AL597" i="15" s="1"/>
  <c r="AT597" i="15" s="1"/>
  <c r="BA597" i="15" s="1"/>
  <c r="BI597" i="15" s="1"/>
  <c r="BI45" i="15"/>
  <c r="X45" i="15"/>
  <c r="AF45" i="15" s="1"/>
  <c r="AF596" i="15" s="1"/>
  <c r="AQ596" i="15" s="1"/>
  <c r="AY596" i="15" s="1"/>
  <c r="BF596" i="15" s="1"/>
  <c r="BN596" i="15" s="1"/>
  <c r="R45" i="15"/>
  <c r="AA45" i="15" s="1"/>
  <c r="AA596" i="15" s="1"/>
  <c r="AL596" i="15" s="1"/>
  <c r="AT596" i="15" s="1"/>
  <c r="BA596" i="15" s="1"/>
  <c r="BI596" i="15" s="1"/>
  <c r="BI44" i="15"/>
  <c r="X44" i="15"/>
  <c r="AF44" i="15" s="1"/>
  <c r="AF595" i="15" s="1"/>
  <c r="AQ595" i="15" s="1"/>
  <c r="AY595" i="15" s="1"/>
  <c r="BF595" i="15" s="1"/>
  <c r="BN595" i="15" s="1"/>
  <c r="R44" i="15"/>
  <c r="AA44" i="15" s="1"/>
  <c r="AA595" i="15" s="1"/>
  <c r="AL595" i="15" s="1"/>
  <c r="AT595" i="15" s="1"/>
  <c r="BA595" i="15" s="1"/>
  <c r="BI595" i="15" s="1"/>
  <c r="BI43" i="15"/>
  <c r="X43" i="15"/>
  <c r="AF43" i="15" s="1"/>
  <c r="AF594" i="15" s="1"/>
  <c r="AQ594" i="15" s="1"/>
  <c r="AY594" i="15" s="1"/>
  <c r="BF594" i="15" s="1"/>
  <c r="BN594" i="15" s="1"/>
  <c r="R43" i="15"/>
  <c r="AA43" i="15" s="1"/>
  <c r="AA594" i="15" s="1"/>
  <c r="AL594" i="15" s="1"/>
  <c r="AT594" i="15" s="1"/>
  <c r="BA594" i="15" s="1"/>
  <c r="BI594" i="15" s="1"/>
  <c r="BI42" i="15"/>
  <c r="X42" i="15"/>
  <c r="AF42" i="15" s="1"/>
  <c r="AF593" i="15" s="1"/>
  <c r="AQ593" i="15" s="1"/>
  <c r="AY593" i="15" s="1"/>
  <c r="BF593" i="15" s="1"/>
  <c r="BN593" i="15" s="1"/>
  <c r="R42" i="15"/>
  <c r="AA42" i="15" s="1"/>
  <c r="AA593" i="15" s="1"/>
  <c r="AL593" i="15" s="1"/>
  <c r="AT593" i="15" s="1"/>
  <c r="BA593" i="15" s="1"/>
  <c r="BI593" i="15" s="1"/>
  <c r="BI41" i="15"/>
  <c r="X41" i="15"/>
  <c r="AF41" i="15" s="1"/>
  <c r="AF592" i="15" s="1"/>
  <c r="AQ592" i="15" s="1"/>
  <c r="AY592" i="15" s="1"/>
  <c r="BF592" i="15" s="1"/>
  <c r="BN592" i="15" s="1"/>
  <c r="R41" i="15"/>
  <c r="AA41" i="15" s="1"/>
  <c r="AA592" i="15" s="1"/>
  <c r="AL592" i="15" s="1"/>
  <c r="AT592" i="15" s="1"/>
  <c r="BA592" i="15" s="1"/>
  <c r="BI592" i="15" s="1"/>
  <c r="BI40" i="15"/>
  <c r="X40" i="15"/>
  <c r="AF40" i="15" s="1"/>
  <c r="AF591" i="15" s="1"/>
  <c r="AQ591" i="15" s="1"/>
  <c r="AY591" i="15" s="1"/>
  <c r="BF591" i="15" s="1"/>
  <c r="BN591" i="15" s="1"/>
  <c r="R40" i="15"/>
  <c r="AA40" i="15" s="1"/>
  <c r="AA591" i="15" s="1"/>
  <c r="AL591" i="15" s="1"/>
  <c r="AT591" i="15" s="1"/>
  <c r="BA591" i="15" s="1"/>
  <c r="BI591" i="15" s="1"/>
  <c r="BI39" i="15"/>
  <c r="X39" i="15"/>
  <c r="AF39" i="15" s="1"/>
  <c r="AF590" i="15" s="1"/>
  <c r="AQ590" i="15" s="1"/>
  <c r="AY590" i="15" s="1"/>
  <c r="BF590" i="15" s="1"/>
  <c r="BN590" i="15" s="1"/>
  <c r="R39" i="15"/>
  <c r="AA39" i="15" s="1"/>
  <c r="AA590" i="15" s="1"/>
  <c r="AL590" i="15" s="1"/>
  <c r="AT590" i="15" s="1"/>
  <c r="BA590" i="15" s="1"/>
  <c r="BI590" i="15" s="1"/>
  <c r="BI38" i="15"/>
  <c r="X38" i="15"/>
  <c r="AF38" i="15" s="1"/>
  <c r="AF589" i="15" s="1"/>
  <c r="AQ589" i="15" s="1"/>
  <c r="AY589" i="15" s="1"/>
  <c r="BF589" i="15" s="1"/>
  <c r="BN589" i="15" s="1"/>
  <c r="R38" i="15"/>
  <c r="AA38" i="15" s="1"/>
  <c r="AA589" i="15" s="1"/>
  <c r="AL589" i="15" s="1"/>
  <c r="AT589" i="15" s="1"/>
  <c r="BA589" i="15" s="1"/>
  <c r="BI589" i="15" s="1"/>
  <c r="BI37" i="15"/>
  <c r="X37" i="15"/>
  <c r="AF37" i="15" s="1"/>
  <c r="AF588" i="15" s="1"/>
  <c r="AQ588" i="15" s="1"/>
  <c r="AY588" i="15" s="1"/>
  <c r="BF588" i="15" s="1"/>
  <c r="BN588" i="15" s="1"/>
  <c r="R37" i="15"/>
  <c r="AA37" i="15" s="1"/>
  <c r="AA588" i="15" s="1"/>
  <c r="AL588" i="15" s="1"/>
  <c r="AT588" i="15" s="1"/>
  <c r="BA588" i="15" s="1"/>
  <c r="BI588" i="15" s="1"/>
  <c r="BI36" i="15"/>
  <c r="X36" i="15"/>
  <c r="AF36" i="15" s="1"/>
  <c r="AF587" i="15" s="1"/>
  <c r="R36" i="15"/>
  <c r="AA36" i="15" s="1"/>
  <c r="AA587" i="15" s="1"/>
  <c r="AL587" i="15" s="1"/>
  <c r="AT587" i="15" s="1"/>
  <c r="BA587" i="15" s="1"/>
  <c r="BI587" i="15" s="1"/>
  <c r="BI35" i="15"/>
  <c r="X35" i="15"/>
  <c r="AF35" i="15" s="1"/>
  <c r="AF586" i="15" s="1"/>
  <c r="R35" i="15"/>
  <c r="AA35" i="15" s="1"/>
  <c r="AA586" i="15" s="1"/>
  <c r="AL586" i="15" s="1"/>
  <c r="AT586" i="15" s="1"/>
  <c r="BA586" i="15" s="1"/>
  <c r="BI586" i="15" s="1"/>
  <c r="BI34" i="15"/>
  <c r="X34" i="15"/>
  <c r="AF34" i="15" s="1"/>
  <c r="AF585" i="15" s="1"/>
  <c r="R34" i="15"/>
  <c r="AA34" i="15" s="1"/>
  <c r="AA585" i="15" s="1"/>
  <c r="AL585" i="15" s="1"/>
  <c r="AT585" i="15" s="1"/>
  <c r="BA585" i="15" s="1"/>
  <c r="BI585" i="15" s="1"/>
  <c r="BI33" i="15"/>
  <c r="X33" i="15"/>
  <c r="AF33" i="15" s="1"/>
  <c r="AF584" i="15" s="1"/>
  <c r="R33" i="15"/>
  <c r="AA33" i="15" s="1"/>
  <c r="AA584" i="15" s="1"/>
  <c r="AL584" i="15" s="1"/>
  <c r="AT584" i="15" s="1"/>
  <c r="BA584" i="15" s="1"/>
  <c r="BI584" i="15" s="1"/>
  <c r="BI32" i="15"/>
  <c r="X32" i="15"/>
  <c r="AF32" i="15" s="1"/>
  <c r="AF583" i="15" s="1"/>
  <c r="R32" i="15"/>
  <c r="AA32" i="15" s="1"/>
  <c r="AA583" i="15" s="1"/>
  <c r="AL583" i="15" s="1"/>
  <c r="AT583" i="15" s="1"/>
  <c r="BA583" i="15" s="1"/>
  <c r="BI583" i="15" s="1"/>
  <c r="BI31" i="15"/>
  <c r="X31" i="15"/>
  <c r="AF31" i="15" s="1"/>
  <c r="AF582" i="15" s="1"/>
  <c r="R31" i="15"/>
  <c r="AA31" i="15" s="1"/>
  <c r="AA582" i="15" s="1"/>
  <c r="AL582" i="15" s="1"/>
  <c r="AT582" i="15" s="1"/>
  <c r="BA582" i="15" s="1"/>
  <c r="BI582" i="15" s="1"/>
  <c r="BI30" i="15"/>
  <c r="X30" i="15"/>
  <c r="AF30" i="15" s="1"/>
  <c r="AF581" i="15" s="1"/>
  <c r="R30" i="15"/>
  <c r="AA30" i="15" s="1"/>
  <c r="AA581" i="15" s="1"/>
  <c r="AL581" i="15" s="1"/>
  <c r="AT581" i="15" s="1"/>
  <c r="BA581" i="15" s="1"/>
  <c r="BI581" i="15" s="1"/>
  <c r="BI29" i="15"/>
  <c r="X29" i="15"/>
  <c r="AF29" i="15" s="1"/>
  <c r="AF580" i="15" s="1"/>
  <c r="R29" i="15"/>
  <c r="AA29" i="15" s="1"/>
  <c r="AA580" i="15" s="1"/>
  <c r="AL580" i="15" s="1"/>
  <c r="AT580" i="15" s="1"/>
  <c r="BA580" i="15" s="1"/>
  <c r="BI580" i="15" s="1"/>
  <c r="BI28" i="15"/>
  <c r="X28" i="15"/>
  <c r="AF28" i="15" s="1"/>
  <c r="AF579" i="15" s="1"/>
  <c r="R28" i="15"/>
  <c r="AA28" i="15" s="1"/>
  <c r="AA579" i="15" s="1"/>
  <c r="AL579" i="15" s="1"/>
  <c r="AT579" i="15" s="1"/>
  <c r="BA579" i="15" s="1"/>
  <c r="BI579" i="15" s="1"/>
  <c r="BI27" i="15"/>
  <c r="X27" i="15"/>
  <c r="AF27" i="15" s="1"/>
  <c r="AF578" i="15" s="1"/>
  <c r="R27" i="15"/>
  <c r="AA27" i="15" s="1"/>
  <c r="AA578" i="15" s="1"/>
  <c r="AL578" i="15" s="1"/>
  <c r="AT578" i="15" s="1"/>
  <c r="BA578" i="15" s="1"/>
  <c r="BI578" i="15" s="1"/>
  <c r="BI26" i="15"/>
  <c r="X26" i="15"/>
  <c r="AF26" i="15" s="1"/>
  <c r="AF577" i="15" s="1"/>
  <c r="R26" i="15"/>
  <c r="AA26" i="15" s="1"/>
  <c r="AA577" i="15" s="1"/>
  <c r="AL577" i="15" s="1"/>
  <c r="AT577" i="15" s="1"/>
  <c r="BA577" i="15" s="1"/>
  <c r="BI577" i="15" s="1"/>
  <c r="BI25" i="15"/>
  <c r="X25" i="15"/>
  <c r="AF25" i="15" s="1"/>
  <c r="AF576" i="15" s="1"/>
  <c r="R25" i="15"/>
  <c r="AA25" i="15" s="1"/>
  <c r="AA576" i="15" s="1"/>
  <c r="AL576" i="15" s="1"/>
  <c r="AT576" i="15" s="1"/>
  <c r="BA576" i="15" s="1"/>
  <c r="BI576" i="15" s="1"/>
  <c r="BI24" i="15"/>
  <c r="X24" i="15"/>
  <c r="AF24" i="15" s="1"/>
  <c r="AF575" i="15" s="1"/>
  <c r="R24" i="15"/>
  <c r="AA24" i="15" s="1"/>
  <c r="AA575" i="15" s="1"/>
  <c r="AL575" i="15" s="1"/>
  <c r="AT575" i="15" s="1"/>
  <c r="BA575" i="15" s="1"/>
  <c r="BI575" i="15" s="1"/>
  <c r="BI23" i="15"/>
  <c r="X23" i="15"/>
  <c r="AF23" i="15" s="1"/>
  <c r="AF574" i="15" s="1"/>
  <c r="R23" i="15"/>
  <c r="AA23" i="15" s="1"/>
  <c r="AA574" i="15" s="1"/>
  <c r="AL574" i="15" s="1"/>
  <c r="AT574" i="15" s="1"/>
  <c r="BA574" i="15" s="1"/>
  <c r="BI574" i="15" s="1"/>
  <c r="BI22" i="15"/>
  <c r="X22" i="15"/>
  <c r="AF22" i="15" s="1"/>
  <c r="AF573" i="15" s="1"/>
  <c r="R22" i="15"/>
  <c r="AA22" i="15" s="1"/>
  <c r="AA573" i="15" s="1"/>
  <c r="AL573" i="15" s="1"/>
  <c r="AT573" i="15" s="1"/>
  <c r="BA573" i="15" s="1"/>
  <c r="BI573" i="15" s="1"/>
  <c r="BI21" i="15"/>
  <c r="BH21" i="15"/>
  <c r="BH22" i="15" s="1"/>
  <c r="AU21" i="15"/>
  <c r="AU22" i="15" s="1"/>
  <c r="AR21" i="15"/>
  <c r="AR22" i="15" s="1"/>
  <c r="AR23" i="15" s="1"/>
  <c r="AR24" i="15" s="1"/>
  <c r="AR25" i="15" s="1"/>
  <c r="AR26" i="15" s="1"/>
  <c r="AR27" i="15" s="1"/>
  <c r="AR28" i="15" s="1"/>
  <c r="AR29" i="15" s="1"/>
  <c r="AR30" i="15" s="1"/>
  <c r="AR31" i="15" s="1"/>
  <c r="AR32" i="15" s="1"/>
  <c r="AR33" i="15" s="1"/>
  <c r="AR34" i="15" s="1"/>
  <c r="AR35" i="15" s="1"/>
  <c r="AR36" i="15" s="1"/>
  <c r="AR37" i="15" s="1"/>
  <c r="AR38" i="15" s="1"/>
  <c r="AR39" i="15" s="1"/>
  <c r="AR40" i="15" s="1"/>
  <c r="AR41" i="15" s="1"/>
  <c r="AR42" i="15" s="1"/>
  <c r="AR43" i="15" s="1"/>
  <c r="AR44" i="15" s="1"/>
  <c r="AR45" i="15" s="1"/>
  <c r="AR46" i="15" s="1"/>
  <c r="AR47" i="15" s="1"/>
  <c r="AR48" i="15" s="1"/>
  <c r="AR49" i="15" s="1"/>
  <c r="AR50" i="15" s="1"/>
  <c r="AR51" i="15" s="1"/>
  <c r="AR52" i="15" s="1"/>
  <c r="AR53" i="15" s="1"/>
  <c r="AR54" i="15" s="1"/>
  <c r="AR55" i="15" s="1"/>
  <c r="AR56" i="15" s="1"/>
  <c r="AR57" i="15" s="1"/>
  <c r="AR58" i="15" s="1"/>
  <c r="AR59" i="15" s="1"/>
  <c r="AR60" i="15" s="1"/>
  <c r="AR61" i="15" s="1"/>
  <c r="AR62" i="15" s="1"/>
  <c r="AR63" i="15" s="1"/>
  <c r="AR64" i="15" s="1"/>
  <c r="AR65" i="15" s="1"/>
  <c r="AR66" i="15" s="1"/>
  <c r="AR67" i="15" s="1"/>
  <c r="AR68" i="15" s="1"/>
  <c r="AR69" i="15" s="1"/>
  <c r="AR70" i="15" s="1"/>
  <c r="AR71" i="15" s="1"/>
  <c r="AR72" i="15" s="1"/>
  <c r="AR73" i="15" s="1"/>
  <c r="AR74" i="15" s="1"/>
  <c r="AR75" i="15" s="1"/>
  <c r="AR76" i="15" s="1"/>
  <c r="AR77" i="15" s="1"/>
  <c r="AR78" i="15" s="1"/>
  <c r="AR79" i="15" s="1"/>
  <c r="AR80" i="15" s="1"/>
  <c r="AR81" i="15" s="1"/>
  <c r="AR82" i="15" s="1"/>
  <c r="AR83" i="15" s="1"/>
  <c r="AR84" i="15" s="1"/>
  <c r="AR85" i="15" s="1"/>
  <c r="AR86" i="15" s="1"/>
  <c r="AR87" i="15" s="1"/>
  <c r="AR88" i="15" s="1"/>
  <c r="AR89" i="15" s="1"/>
  <c r="AR90" i="15" s="1"/>
  <c r="AR91" i="15" s="1"/>
  <c r="AR92" i="15" s="1"/>
  <c r="AR93" i="15" s="1"/>
  <c r="AR94" i="15" s="1"/>
  <c r="AR95" i="15" s="1"/>
  <c r="AR96" i="15" s="1"/>
  <c r="AR97" i="15" s="1"/>
  <c r="AR98" i="15" s="1"/>
  <c r="AR99" i="15" s="1"/>
  <c r="AR100" i="15" s="1"/>
  <c r="AR101" i="15" s="1"/>
  <c r="AR102" i="15" s="1"/>
  <c r="AR103" i="15" s="1"/>
  <c r="AR104" i="15" s="1"/>
  <c r="AR105" i="15" s="1"/>
  <c r="AR106" i="15" s="1"/>
  <c r="AR107" i="15" s="1"/>
  <c r="AR108" i="15" s="1"/>
  <c r="AR109" i="15" s="1"/>
  <c r="AR110" i="15" s="1"/>
  <c r="AR111" i="15" s="1"/>
  <c r="AR112" i="15" s="1"/>
  <c r="AR113" i="15" s="1"/>
  <c r="AR114" i="15" s="1"/>
  <c r="AR115" i="15" s="1"/>
  <c r="AR116" i="15" s="1"/>
  <c r="AR117" i="15" s="1"/>
  <c r="AR118" i="15" s="1"/>
  <c r="AR119" i="15" s="1"/>
  <c r="AR120" i="15" s="1"/>
  <c r="AR121" i="15" s="1"/>
  <c r="AR122" i="15" s="1"/>
  <c r="AR123" i="15" s="1"/>
  <c r="AR124" i="15" s="1"/>
  <c r="AR125" i="15" s="1"/>
  <c r="AR126" i="15" s="1"/>
  <c r="AR127" i="15" s="1"/>
  <c r="AR128" i="15" s="1"/>
  <c r="AR129" i="15" s="1"/>
  <c r="AR130" i="15" s="1"/>
  <c r="AR131" i="15" s="1"/>
  <c r="AR132" i="15" s="1"/>
  <c r="AR133" i="15" s="1"/>
  <c r="AR134" i="15" s="1"/>
  <c r="AR135" i="15" s="1"/>
  <c r="AR136" i="15" s="1"/>
  <c r="AR137" i="15" s="1"/>
  <c r="AR138" i="15" s="1"/>
  <c r="AR139" i="15" s="1"/>
  <c r="AR140" i="15" s="1"/>
  <c r="AR141" i="15" s="1"/>
  <c r="AR142" i="15" s="1"/>
  <c r="AR143" i="15" s="1"/>
  <c r="AR144" i="15" s="1"/>
  <c r="AR145" i="15" s="1"/>
  <c r="AR146" i="15" s="1"/>
  <c r="AR147" i="15" s="1"/>
  <c r="AR148" i="15" s="1"/>
  <c r="AR149" i="15" s="1"/>
  <c r="AR150" i="15" s="1"/>
  <c r="AR151" i="15" s="1"/>
  <c r="AR152" i="15" s="1"/>
  <c r="AR153" i="15" s="1"/>
  <c r="AR154" i="15" s="1"/>
  <c r="AR155" i="15" s="1"/>
  <c r="AR156" i="15" s="1"/>
  <c r="AR157" i="15" s="1"/>
  <c r="AR158" i="15" s="1"/>
  <c r="AR159" i="15" s="1"/>
  <c r="AR160" i="15" s="1"/>
  <c r="AR161" i="15" s="1"/>
  <c r="AR162" i="15" s="1"/>
  <c r="AR163" i="15" s="1"/>
  <c r="AR164" i="15" s="1"/>
  <c r="AR165" i="15" s="1"/>
  <c r="AR166" i="15" s="1"/>
  <c r="AR167" i="15" s="1"/>
  <c r="AR168" i="15" s="1"/>
  <c r="AR169" i="15" s="1"/>
  <c r="AR170" i="15" s="1"/>
  <c r="AR171" i="15" s="1"/>
  <c r="AR172" i="15" s="1"/>
  <c r="AR173" i="15" s="1"/>
  <c r="AR174" i="15" s="1"/>
  <c r="AR175" i="15" s="1"/>
  <c r="AR176" i="15" s="1"/>
  <c r="AR177" i="15" s="1"/>
  <c r="AR178" i="15" s="1"/>
  <c r="AR179" i="15" s="1"/>
  <c r="AR180" i="15" s="1"/>
  <c r="AR181" i="15" s="1"/>
  <c r="AR182" i="15" s="1"/>
  <c r="AR183" i="15" s="1"/>
  <c r="AR184" i="15" s="1"/>
  <c r="AR185" i="15" s="1"/>
  <c r="AR186" i="15" s="1"/>
  <c r="AR187" i="15" s="1"/>
  <c r="AR188" i="15" s="1"/>
  <c r="AR189" i="15" s="1"/>
  <c r="AR190" i="15" s="1"/>
  <c r="AR191" i="15" s="1"/>
  <c r="AR192" i="15" s="1"/>
  <c r="AR193" i="15" s="1"/>
  <c r="AR194" i="15" s="1"/>
  <c r="AR195" i="15" s="1"/>
  <c r="AR196" i="15" s="1"/>
  <c r="AR197" i="15" s="1"/>
  <c r="AR198" i="15" s="1"/>
  <c r="AR199" i="15" s="1"/>
  <c r="AR200" i="15" s="1"/>
  <c r="AR201" i="15" s="1"/>
  <c r="AR202" i="15" s="1"/>
  <c r="AR203" i="15" s="1"/>
  <c r="AR204" i="15" s="1"/>
  <c r="AR205" i="15" s="1"/>
  <c r="AR206" i="15" s="1"/>
  <c r="AR207" i="15" s="1"/>
  <c r="AR208" i="15" s="1"/>
  <c r="AR209" i="15" s="1"/>
  <c r="AR210" i="15" s="1"/>
  <c r="AR211" i="15" s="1"/>
  <c r="AR212" i="15" s="1"/>
  <c r="AR213" i="15" s="1"/>
  <c r="AR214" i="15" s="1"/>
  <c r="AR215" i="15" s="1"/>
  <c r="AR216" i="15" s="1"/>
  <c r="AR217" i="15" s="1"/>
  <c r="AR218" i="15" s="1"/>
  <c r="AR219" i="15" s="1"/>
  <c r="AR220" i="15" s="1"/>
  <c r="AR221" i="15" s="1"/>
  <c r="AR222" i="15" s="1"/>
  <c r="AR223" i="15" s="1"/>
  <c r="AR224" i="15" s="1"/>
  <c r="AR225" i="15" s="1"/>
  <c r="AR226" i="15" s="1"/>
  <c r="AR227" i="15" s="1"/>
  <c r="AR228" i="15" s="1"/>
  <c r="AR229" i="15" s="1"/>
  <c r="AR230" i="15" s="1"/>
  <c r="AR231" i="15" s="1"/>
  <c r="AR232" i="15" s="1"/>
  <c r="AR233" i="15" s="1"/>
  <c r="AR234" i="15" s="1"/>
  <c r="AR235" i="15" s="1"/>
  <c r="AR236" i="15" s="1"/>
  <c r="AR237" i="15" s="1"/>
  <c r="AR238" i="15" s="1"/>
  <c r="AR239" i="15" s="1"/>
  <c r="AR240" i="15" s="1"/>
  <c r="AR241" i="15" s="1"/>
  <c r="AR242" i="15" s="1"/>
  <c r="AR243" i="15" s="1"/>
  <c r="AR244" i="15" s="1"/>
  <c r="AR245" i="15" s="1"/>
  <c r="AR246" i="15" s="1"/>
  <c r="AR247" i="15" s="1"/>
  <c r="AR248" i="15" s="1"/>
  <c r="AR249" i="15" s="1"/>
  <c r="AR250" i="15" s="1"/>
  <c r="AR251" i="15" s="1"/>
  <c r="AR252" i="15" s="1"/>
  <c r="AR253" i="15" s="1"/>
  <c r="AR254" i="15" s="1"/>
  <c r="AR255" i="15" s="1"/>
  <c r="AR256" i="15" s="1"/>
  <c r="AR257" i="15" s="1"/>
  <c r="AR258" i="15" s="1"/>
  <c r="AR259" i="15" s="1"/>
  <c r="AR260" i="15" s="1"/>
  <c r="AR261" i="15" s="1"/>
  <c r="AR262" i="15" s="1"/>
  <c r="AR263" i="15" s="1"/>
  <c r="AR264" i="15" s="1"/>
  <c r="AR265" i="15" s="1"/>
  <c r="AR266" i="15" s="1"/>
  <c r="AR267" i="15" s="1"/>
  <c r="AR268" i="15" s="1"/>
  <c r="AR269" i="15" s="1"/>
  <c r="AR270" i="15" s="1"/>
  <c r="AR271" i="15" s="1"/>
  <c r="AR272" i="15" s="1"/>
  <c r="AR273" i="15" s="1"/>
  <c r="AR274" i="15" s="1"/>
  <c r="AR275" i="15" s="1"/>
  <c r="AR276" i="15" s="1"/>
  <c r="AR277" i="15" s="1"/>
  <c r="AR278" i="15" s="1"/>
  <c r="AR279" i="15" s="1"/>
  <c r="AR280" i="15" s="1"/>
  <c r="AR281" i="15" s="1"/>
  <c r="AR282" i="15" s="1"/>
  <c r="AR283" i="15" s="1"/>
  <c r="AR284" i="15" s="1"/>
  <c r="AR285" i="15" s="1"/>
  <c r="AR286" i="15" s="1"/>
  <c r="AR287" i="15" s="1"/>
  <c r="AR288" i="15" s="1"/>
  <c r="AR289" i="15" s="1"/>
  <c r="AR290" i="15" s="1"/>
  <c r="AR291" i="15" s="1"/>
  <c r="AR292" i="15" s="1"/>
  <c r="AR293" i="15" s="1"/>
  <c r="AR294" i="15" s="1"/>
  <c r="AR295" i="15" s="1"/>
  <c r="AR296" i="15" s="1"/>
  <c r="AR297" i="15" s="1"/>
  <c r="AR298" i="15" s="1"/>
  <c r="AR299" i="15" s="1"/>
  <c r="AR300" i="15" s="1"/>
  <c r="AR301" i="15" s="1"/>
  <c r="AR302" i="15" s="1"/>
  <c r="AR303" i="15" s="1"/>
  <c r="AR304" i="15" s="1"/>
  <c r="AR305" i="15" s="1"/>
  <c r="AR306" i="15" s="1"/>
  <c r="AR307" i="15" s="1"/>
  <c r="AR308" i="15" s="1"/>
  <c r="AR309" i="15" s="1"/>
  <c r="AR310" i="15" s="1"/>
  <c r="AR311" i="15" s="1"/>
  <c r="AR312" i="15" s="1"/>
  <c r="AR313" i="15" s="1"/>
  <c r="AR314" i="15" s="1"/>
  <c r="AR315" i="15" s="1"/>
  <c r="AR316" i="15" s="1"/>
  <c r="AR317" i="15" s="1"/>
  <c r="AR318" i="15" s="1"/>
  <c r="AR319" i="15" s="1"/>
  <c r="AR320" i="15" s="1"/>
  <c r="AR321" i="15" s="1"/>
  <c r="AR322" i="15" s="1"/>
  <c r="AR323" i="15" s="1"/>
  <c r="AR324" i="15" s="1"/>
  <c r="AR325" i="15" s="1"/>
  <c r="AR326" i="15" s="1"/>
  <c r="AR327" i="15" s="1"/>
  <c r="AR328" i="15" s="1"/>
  <c r="AR329" i="15" s="1"/>
  <c r="AR330" i="15" s="1"/>
  <c r="AR331" i="15" s="1"/>
  <c r="AR332" i="15" s="1"/>
  <c r="AR333" i="15" s="1"/>
  <c r="AR334" i="15" s="1"/>
  <c r="AR335" i="15" s="1"/>
  <c r="AR336" i="15" s="1"/>
  <c r="AR337" i="15" s="1"/>
  <c r="AR338" i="15" s="1"/>
  <c r="AR339" i="15" s="1"/>
  <c r="AR340" i="15" s="1"/>
  <c r="AR341" i="15" s="1"/>
  <c r="AR342" i="15" s="1"/>
  <c r="AR343" i="15" s="1"/>
  <c r="AR344" i="15" s="1"/>
  <c r="AR345" i="15" s="1"/>
  <c r="AR346" i="15" s="1"/>
  <c r="AR347" i="15" s="1"/>
  <c r="AR348" i="15" s="1"/>
  <c r="AR349" i="15" s="1"/>
  <c r="AR350" i="15" s="1"/>
  <c r="AR351" i="15" s="1"/>
  <c r="AR352" i="15" s="1"/>
  <c r="AR353" i="15" s="1"/>
  <c r="AR354" i="15" s="1"/>
  <c r="AR355" i="15" s="1"/>
  <c r="AR356" i="15" s="1"/>
  <c r="AR357" i="15" s="1"/>
  <c r="AR358" i="15" s="1"/>
  <c r="AR359" i="15" s="1"/>
  <c r="AR360" i="15" s="1"/>
  <c r="AR361" i="15" s="1"/>
  <c r="AR362" i="15" s="1"/>
  <c r="AR363" i="15" s="1"/>
  <c r="AR364" i="15" s="1"/>
  <c r="AR365" i="15" s="1"/>
  <c r="AR366" i="15" s="1"/>
  <c r="AR367" i="15" s="1"/>
  <c r="AR368" i="15" s="1"/>
  <c r="AR369" i="15" s="1"/>
  <c r="AR370" i="15" s="1"/>
  <c r="AR371" i="15" s="1"/>
  <c r="AR372" i="15" s="1"/>
  <c r="AR373" i="15" s="1"/>
  <c r="AR374" i="15" s="1"/>
  <c r="AR375" i="15" s="1"/>
  <c r="AR376" i="15" s="1"/>
  <c r="AR377" i="15" s="1"/>
  <c r="AR378" i="15" s="1"/>
  <c r="AR379" i="15" s="1"/>
  <c r="AR380" i="15" s="1"/>
  <c r="AR381" i="15" s="1"/>
  <c r="AR382" i="15" s="1"/>
  <c r="AR383" i="15" s="1"/>
  <c r="AR384" i="15" s="1"/>
  <c r="AR385" i="15" s="1"/>
  <c r="AR386" i="15" s="1"/>
  <c r="AR387" i="15" s="1"/>
  <c r="AR388" i="15" s="1"/>
  <c r="AR389" i="15" s="1"/>
  <c r="AR390" i="15" s="1"/>
  <c r="AR391" i="15" s="1"/>
  <c r="AR392" i="15" s="1"/>
  <c r="AR393" i="15" s="1"/>
  <c r="AR394" i="15" s="1"/>
  <c r="AR395" i="15" s="1"/>
  <c r="AR396" i="15" s="1"/>
  <c r="AR397" i="15" s="1"/>
  <c r="AR398" i="15" s="1"/>
  <c r="AR399" i="15" s="1"/>
  <c r="AR400" i="15" s="1"/>
  <c r="AR401" i="15" s="1"/>
  <c r="AR402" i="15" s="1"/>
  <c r="AR403" i="15" s="1"/>
  <c r="AR404" i="15" s="1"/>
  <c r="AR405" i="15" s="1"/>
  <c r="AR406" i="15" s="1"/>
  <c r="AR407" i="15" s="1"/>
  <c r="AR408" i="15" s="1"/>
  <c r="AR409" i="15" s="1"/>
  <c r="AR410" i="15" s="1"/>
  <c r="AR411" i="15" s="1"/>
  <c r="AR412" i="15" s="1"/>
  <c r="AR413" i="15" s="1"/>
  <c r="AR414" i="15" s="1"/>
  <c r="AR415" i="15" s="1"/>
  <c r="AR416" i="15" s="1"/>
  <c r="AR417" i="15" s="1"/>
  <c r="AR418" i="15" s="1"/>
  <c r="AR419" i="15" s="1"/>
  <c r="AR420" i="15" s="1"/>
  <c r="AR421" i="15" s="1"/>
  <c r="AR422" i="15" s="1"/>
  <c r="AR423" i="15" s="1"/>
  <c r="AR424" i="15" s="1"/>
  <c r="AR425" i="15" s="1"/>
  <c r="AR426" i="15" s="1"/>
  <c r="AR427" i="15" s="1"/>
  <c r="AR428" i="15" s="1"/>
  <c r="AR429" i="15" s="1"/>
  <c r="AR430" i="15" s="1"/>
  <c r="AR431" i="15" s="1"/>
  <c r="AR432" i="15" s="1"/>
  <c r="AR433" i="15" s="1"/>
  <c r="AR434" i="15" s="1"/>
  <c r="AR435" i="15" s="1"/>
  <c r="AR436" i="15" s="1"/>
  <c r="AR437" i="15" s="1"/>
  <c r="AR438" i="15" s="1"/>
  <c r="AR439" i="15" s="1"/>
  <c r="AR440" i="15" s="1"/>
  <c r="AR441" i="15" s="1"/>
  <c r="AR442" i="15" s="1"/>
  <c r="AR443" i="15" s="1"/>
  <c r="AR444" i="15" s="1"/>
  <c r="AR445" i="15" s="1"/>
  <c r="AR446" i="15" s="1"/>
  <c r="AR447" i="15" s="1"/>
  <c r="AR448" i="15" s="1"/>
  <c r="AR449" i="15" s="1"/>
  <c r="AR450" i="15" s="1"/>
  <c r="AR451" i="15" s="1"/>
  <c r="AR452" i="15" s="1"/>
  <c r="AR453" i="15" s="1"/>
  <c r="AR454" i="15" s="1"/>
  <c r="AR455" i="15" s="1"/>
  <c r="AR456" i="15" s="1"/>
  <c r="AR457" i="15" s="1"/>
  <c r="AR458" i="15" s="1"/>
  <c r="AR459" i="15" s="1"/>
  <c r="AR460" i="15" s="1"/>
  <c r="AR461" i="15" s="1"/>
  <c r="AR462" i="15" s="1"/>
  <c r="AR463" i="15" s="1"/>
  <c r="AR464" i="15" s="1"/>
  <c r="AR465" i="15" s="1"/>
  <c r="AR466" i="15" s="1"/>
  <c r="AR467" i="15" s="1"/>
  <c r="AR468" i="15" s="1"/>
  <c r="AR469" i="15" s="1"/>
  <c r="AR470" i="15" s="1"/>
  <c r="AR471" i="15" s="1"/>
  <c r="AR472" i="15" s="1"/>
  <c r="AR473" i="15" s="1"/>
  <c r="AR474" i="15" s="1"/>
  <c r="AR475" i="15" s="1"/>
  <c r="AR476" i="15" s="1"/>
  <c r="AR477" i="15" s="1"/>
  <c r="AR478" i="15" s="1"/>
  <c r="AR479" i="15" s="1"/>
  <c r="AR480" i="15" s="1"/>
  <c r="AR481" i="15" s="1"/>
  <c r="AR482" i="15" s="1"/>
  <c r="AR483" i="15" s="1"/>
  <c r="AR484" i="15" s="1"/>
  <c r="AR485" i="15" s="1"/>
  <c r="AR486" i="15" s="1"/>
  <c r="AR487" i="15" s="1"/>
  <c r="AR488" i="15" s="1"/>
  <c r="AR489" i="15" s="1"/>
  <c r="AR490" i="15" s="1"/>
  <c r="AR491" i="15" s="1"/>
  <c r="AR492" i="15" s="1"/>
  <c r="AR493" i="15" s="1"/>
  <c r="AR494" i="15" s="1"/>
  <c r="AR495" i="15" s="1"/>
  <c r="AR496" i="15" s="1"/>
  <c r="AR497" i="15" s="1"/>
  <c r="AR498" i="15" s="1"/>
  <c r="AR499" i="15" s="1"/>
  <c r="AR500" i="15" s="1"/>
  <c r="AR501" i="15" s="1"/>
  <c r="AR502" i="15" s="1"/>
  <c r="AR503" i="15" s="1"/>
  <c r="AR504" i="15" s="1"/>
  <c r="AR505" i="15" s="1"/>
  <c r="AR506" i="15" s="1"/>
  <c r="AR507" i="15" s="1"/>
  <c r="AR508" i="15" s="1"/>
  <c r="AR509" i="15" s="1"/>
  <c r="AR510" i="15" s="1"/>
  <c r="AR511" i="15" s="1"/>
  <c r="AR512" i="15" s="1"/>
  <c r="AR513" i="15" s="1"/>
  <c r="AR514" i="15" s="1"/>
  <c r="AR515" i="15" s="1"/>
  <c r="AR516" i="15" s="1"/>
  <c r="AR517" i="15" s="1"/>
  <c r="AR518" i="15" s="1"/>
  <c r="AR519" i="15" s="1"/>
  <c r="AR520" i="15" s="1"/>
  <c r="AR521" i="15" s="1"/>
  <c r="AR522" i="15" s="1"/>
  <c r="AR523" i="15" s="1"/>
  <c r="AR524" i="15" s="1"/>
  <c r="AR525" i="15" s="1"/>
  <c r="AR526" i="15" s="1"/>
  <c r="AR527" i="15" s="1"/>
  <c r="AR528" i="15" s="1"/>
  <c r="AR529" i="15" s="1"/>
  <c r="AR530" i="15" s="1"/>
  <c r="AR531" i="15" s="1"/>
  <c r="AR532" i="15" s="1"/>
  <c r="AR533" i="15" s="1"/>
  <c r="AR534" i="15" s="1"/>
  <c r="AR535" i="15" s="1"/>
  <c r="AR536" i="15" s="1"/>
  <c r="AR537" i="15" s="1"/>
  <c r="AR538" i="15" s="1"/>
  <c r="AR539" i="15" s="1"/>
  <c r="AR540" i="15" s="1"/>
  <c r="AR541" i="15" s="1"/>
  <c r="AR542" i="15" s="1"/>
  <c r="AR543" i="15" s="1"/>
  <c r="AR544" i="15" s="1"/>
  <c r="AR545" i="15" s="1"/>
  <c r="AR546" i="15" s="1"/>
  <c r="AR547" i="15" s="1"/>
  <c r="AR548" i="15" s="1"/>
  <c r="AR549" i="15" s="1"/>
  <c r="AR550" i="15" s="1"/>
  <c r="AR551" i="15" s="1"/>
  <c r="AR552" i="15" s="1"/>
  <c r="AR553" i="15" s="1"/>
  <c r="AR554" i="15" s="1"/>
  <c r="AR555" i="15" s="1"/>
  <c r="AR556" i="15" s="1"/>
  <c r="AR557" i="15" s="1"/>
  <c r="AR558" i="15" s="1"/>
  <c r="AR559" i="15" s="1"/>
  <c r="AR560" i="15" s="1"/>
  <c r="AR561" i="15" s="1"/>
  <c r="AR562" i="15" s="1"/>
  <c r="AR563" i="15" s="1"/>
  <c r="AR564" i="15" s="1"/>
  <c r="AG21" i="15"/>
  <c r="X21" i="15"/>
  <c r="AF21" i="15" s="1"/>
  <c r="AF572" i="15" s="1"/>
  <c r="R21" i="15"/>
  <c r="AA21" i="15" s="1"/>
  <c r="AA572" i="15" s="1"/>
  <c r="AL572" i="15" s="1"/>
  <c r="AT572" i="15" s="1"/>
  <c r="BA572" i="15" s="1"/>
  <c r="BI572" i="15" s="1"/>
  <c r="L21" i="15"/>
  <c r="L22" i="15" s="1"/>
  <c r="BI20" i="15"/>
  <c r="X20" i="15"/>
  <c r="AF20" i="15" s="1"/>
  <c r="AF571" i="15" s="1"/>
  <c r="R20" i="15"/>
  <c r="AA20" i="15" s="1"/>
  <c r="AA571" i="15" s="1"/>
  <c r="AL571" i="15" s="1"/>
  <c r="AT571" i="15" s="1"/>
  <c r="BA571" i="15" s="1"/>
  <c r="BI571" i="15" s="1"/>
  <c r="Q20" i="15"/>
  <c r="X38" i="1"/>
  <c r="W38" i="1"/>
  <c r="W45" i="1" s="1"/>
  <c r="V38" i="1"/>
  <c r="V39" i="1" s="1"/>
  <c r="V40" i="1" s="1"/>
  <c r="V41" i="1" s="1"/>
  <c r="V42" i="1" s="1"/>
  <c r="V43" i="1" s="1"/>
  <c r="V44" i="1" s="1"/>
  <c r="U38" i="1"/>
  <c r="U45" i="1" s="1"/>
  <c r="U52" i="1" s="1"/>
  <c r="T38" i="1"/>
  <c r="S38" i="1"/>
  <c r="S45" i="1" s="1"/>
  <c r="R38" i="1"/>
  <c r="R39" i="1" s="1"/>
  <c r="R40" i="1" s="1"/>
  <c r="R41" i="1" s="1"/>
  <c r="R42" i="1" s="1"/>
  <c r="R43" i="1" s="1"/>
  <c r="R44" i="1" s="1"/>
  <c r="Q38" i="1"/>
  <c r="P38" i="1"/>
  <c r="O38" i="1"/>
  <c r="O45" i="1" s="1"/>
  <c r="N38" i="1"/>
  <c r="N39" i="1" s="1"/>
  <c r="N40" i="1" s="1"/>
  <c r="N41" i="1" s="1"/>
  <c r="N42" i="1" s="1"/>
  <c r="N43" i="1" s="1"/>
  <c r="N44" i="1" s="1"/>
  <c r="M38" i="1"/>
  <c r="L38" i="1"/>
  <c r="K38" i="1"/>
  <c r="K45" i="1" s="1"/>
  <c r="J38" i="1"/>
  <c r="J39" i="1" s="1"/>
  <c r="J40" i="1" s="1"/>
  <c r="J41" i="1" s="1"/>
  <c r="J42" i="1" s="1"/>
  <c r="J43" i="1" s="1"/>
  <c r="J44" i="1" s="1"/>
  <c r="I38" i="1"/>
  <c r="H38" i="1"/>
  <c r="G38" i="1"/>
  <c r="G45" i="1" s="1"/>
  <c r="F38" i="1"/>
  <c r="F45" i="1" s="1"/>
  <c r="E38" i="1"/>
  <c r="E45" i="1" s="1"/>
  <c r="E52" i="1" s="1"/>
  <c r="D38" i="1"/>
  <c r="C38" i="1"/>
  <c r="C45" i="1" s="1"/>
  <c r="B38" i="1"/>
  <c r="A38" i="1"/>
  <c r="Q32" i="1"/>
  <c r="Q33" i="1" s="1"/>
  <c r="Q34" i="1" s="1"/>
  <c r="Q35" i="1" s="1"/>
  <c r="Q36" i="1" s="1"/>
  <c r="Q37" i="1" s="1"/>
  <c r="P32" i="1"/>
  <c r="P33" i="1" s="1"/>
  <c r="P34" i="1" s="1"/>
  <c r="P35" i="1" s="1"/>
  <c r="P36" i="1" s="1"/>
  <c r="P37" i="1" s="1"/>
  <c r="O32" i="1"/>
  <c r="O33" i="1" s="1"/>
  <c r="O34" i="1" s="1"/>
  <c r="O35" i="1" s="1"/>
  <c r="O36" i="1" s="1"/>
  <c r="O37" i="1" s="1"/>
  <c r="N32" i="1"/>
  <c r="N33" i="1" s="1"/>
  <c r="N34" i="1" s="1"/>
  <c r="N35" i="1" s="1"/>
  <c r="N36" i="1" s="1"/>
  <c r="N37" i="1" s="1"/>
  <c r="M32" i="1"/>
  <c r="M33" i="1" s="1"/>
  <c r="M34" i="1" s="1"/>
  <c r="M35" i="1" s="1"/>
  <c r="M36" i="1" s="1"/>
  <c r="M37" i="1" s="1"/>
  <c r="L32" i="1"/>
  <c r="L33" i="1" s="1"/>
  <c r="L34" i="1" s="1"/>
  <c r="L35" i="1" s="1"/>
  <c r="L36" i="1" s="1"/>
  <c r="L37" i="1" s="1"/>
  <c r="K32" i="1"/>
  <c r="K33" i="1" s="1"/>
  <c r="K34" i="1" s="1"/>
  <c r="K35" i="1" s="1"/>
  <c r="K36" i="1" s="1"/>
  <c r="K37" i="1" s="1"/>
  <c r="J32" i="1"/>
  <c r="J33" i="1" s="1"/>
  <c r="J34" i="1" s="1"/>
  <c r="J35" i="1" s="1"/>
  <c r="J36" i="1" s="1"/>
  <c r="J37" i="1" s="1"/>
  <c r="I32" i="1"/>
  <c r="I33" i="1" s="1"/>
  <c r="I34" i="1" s="1"/>
  <c r="I35" i="1" s="1"/>
  <c r="I36" i="1" s="1"/>
  <c r="I37" i="1" s="1"/>
  <c r="H32" i="1"/>
  <c r="H33" i="1" s="1"/>
  <c r="H34" i="1" s="1"/>
  <c r="H35" i="1" s="1"/>
  <c r="H36" i="1" s="1"/>
  <c r="G32" i="1"/>
  <c r="G33" i="1" s="1"/>
  <c r="G34" i="1" s="1"/>
  <c r="G35" i="1" s="1"/>
  <c r="G36" i="1" s="1"/>
  <c r="G37" i="1" s="1"/>
  <c r="F32" i="1"/>
  <c r="F33" i="1" s="1"/>
  <c r="F34" i="1" s="1"/>
  <c r="F35" i="1" s="1"/>
  <c r="F36" i="1" s="1"/>
  <c r="F37" i="1" s="1"/>
  <c r="E32" i="1"/>
  <c r="E33" i="1" s="1"/>
  <c r="E34" i="1" s="1"/>
  <c r="E35" i="1" s="1"/>
  <c r="E36" i="1" s="1"/>
  <c r="E37" i="1" s="1"/>
  <c r="D32" i="1"/>
  <c r="D33" i="1" s="1"/>
  <c r="D34" i="1" s="1"/>
  <c r="D35" i="1" s="1"/>
  <c r="D36" i="1" s="1"/>
  <c r="D37" i="1" s="1"/>
  <c r="C32" i="1"/>
  <c r="C33" i="1" s="1"/>
  <c r="C34" i="1" s="1"/>
  <c r="C35" i="1" s="1"/>
  <c r="C36" i="1" s="1"/>
  <c r="C37" i="1" s="1"/>
  <c r="B32" i="1"/>
  <c r="B33" i="1" s="1"/>
  <c r="B34" i="1" s="1"/>
  <c r="B35" i="1" s="1"/>
  <c r="B36" i="1" s="1"/>
  <c r="B37" i="1" s="1"/>
  <c r="A32" i="1"/>
  <c r="A33" i="1" s="1"/>
  <c r="A34" i="1" s="1"/>
  <c r="A35" i="1" s="1"/>
  <c r="A36" i="1" s="1"/>
  <c r="A37" i="1" s="1"/>
  <c r="AN31" i="1"/>
  <c r="AN32" i="1" s="1"/>
  <c r="AN33" i="1" s="1"/>
  <c r="AN34" i="1" s="1"/>
  <c r="AN35" i="1" s="1"/>
  <c r="AN36" i="1" s="1"/>
  <c r="AN37" i="1" s="1"/>
  <c r="AN38" i="1" s="1"/>
  <c r="AN39" i="1" s="1"/>
  <c r="AN40" i="1" s="1"/>
  <c r="AN41" i="1" s="1"/>
  <c r="AN42" i="1" s="1"/>
  <c r="AN43" i="1" s="1"/>
  <c r="AN44" i="1" s="1"/>
  <c r="AN45" i="1" s="1"/>
  <c r="AN46" i="1" s="1"/>
  <c r="AN47" i="1" s="1"/>
  <c r="AN48" i="1" s="1"/>
  <c r="AN49" i="1" s="1"/>
  <c r="AN50" i="1" s="1"/>
  <c r="AN51" i="1" s="1"/>
  <c r="AN52" i="1" s="1"/>
  <c r="AN53" i="1" s="1"/>
  <c r="AN54" i="1" s="1"/>
  <c r="AN55" i="1" s="1"/>
  <c r="AN56" i="1" s="1"/>
  <c r="AN57" i="1" s="1"/>
  <c r="AN58" i="1" s="1"/>
  <c r="AN59" i="1" s="1"/>
  <c r="AN60" i="1" s="1"/>
  <c r="AN61" i="1" s="1"/>
  <c r="AN62" i="1" s="1"/>
  <c r="AN63" i="1" s="1"/>
  <c r="AN64" i="1" s="1"/>
  <c r="AN65" i="1" s="1"/>
  <c r="AN66" i="1" s="1"/>
  <c r="AN67" i="1" s="1"/>
  <c r="AN68" i="1" s="1"/>
  <c r="AN69" i="1" s="1"/>
  <c r="AN70" i="1" s="1"/>
  <c r="AN71" i="1" s="1"/>
  <c r="AN72" i="1" s="1"/>
  <c r="AN73" i="1" s="1"/>
  <c r="AN74" i="1" s="1"/>
  <c r="AN75" i="1" s="1"/>
  <c r="AN76" i="1" s="1"/>
  <c r="AN77" i="1" s="1"/>
  <c r="AN78" i="1" s="1"/>
  <c r="AN79" i="1" s="1"/>
  <c r="AN80" i="1" s="1"/>
  <c r="AN81" i="1" s="1"/>
  <c r="AN82" i="1" s="1"/>
  <c r="AN83" i="1" s="1"/>
  <c r="AN84" i="1" s="1"/>
  <c r="AN85" i="1" s="1"/>
  <c r="AN86" i="1" s="1"/>
  <c r="AN87" i="1" s="1"/>
  <c r="AN88" i="1" s="1"/>
  <c r="AN89" i="1" s="1"/>
  <c r="AN90" i="1" s="1"/>
  <c r="AN91" i="1" s="1"/>
  <c r="AN92" i="1" s="1"/>
  <c r="AN93" i="1" s="1"/>
  <c r="AN94" i="1" s="1"/>
  <c r="AN95" i="1" s="1"/>
  <c r="AN96" i="1" s="1"/>
  <c r="AN97" i="1" s="1"/>
  <c r="AN98" i="1" s="1"/>
  <c r="AN99" i="1" s="1"/>
  <c r="AN100" i="1" s="1"/>
  <c r="AN101" i="1" s="1"/>
  <c r="AN102" i="1" s="1"/>
  <c r="AN103" i="1" s="1"/>
  <c r="AN104" i="1" s="1"/>
  <c r="AN105" i="1" s="1"/>
  <c r="AN106" i="1" s="1"/>
  <c r="AN107" i="1" s="1"/>
  <c r="AN108" i="1" s="1"/>
  <c r="AN109" i="1" s="1"/>
  <c r="AN110" i="1" s="1"/>
  <c r="AN111" i="1" s="1"/>
  <c r="AN112" i="1" s="1"/>
  <c r="AN113" i="1" s="1"/>
  <c r="AN114" i="1" s="1"/>
  <c r="AN115" i="1" s="1"/>
  <c r="AN116" i="1" s="1"/>
  <c r="AN117" i="1" s="1"/>
  <c r="AN118" i="1" s="1"/>
  <c r="AN119" i="1" s="1"/>
  <c r="AN120" i="1" s="1"/>
  <c r="AN121" i="1" s="1"/>
  <c r="AN122" i="1" s="1"/>
  <c r="AN123" i="1" s="1"/>
  <c r="AN124" i="1" s="1"/>
  <c r="AN125" i="1" s="1"/>
  <c r="AN126" i="1" s="1"/>
  <c r="AN127" i="1" s="1"/>
  <c r="AN128" i="1" s="1"/>
  <c r="AN129" i="1" s="1"/>
  <c r="AN130" i="1" s="1"/>
  <c r="AN131" i="1" s="1"/>
  <c r="AN132" i="1" s="1"/>
  <c r="AN133" i="1" s="1"/>
  <c r="AN134" i="1" s="1"/>
  <c r="AN135" i="1" s="1"/>
  <c r="AN136" i="1" s="1"/>
  <c r="AN137" i="1" s="1"/>
  <c r="AN138" i="1" s="1"/>
  <c r="AN139" i="1" s="1"/>
  <c r="AN140" i="1" s="1"/>
  <c r="AN141" i="1" s="1"/>
  <c r="AN142" i="1" s="1"/>
  <c r="AN143" i="1" s="1"/>
  <c r="AN144" i="1" s="1"/>
  <c r="AN145" i="1" s="1"/>
  <c r="AN146" i="1" s="1"/>
  <c r="AN147" i="1" s="1"/>
  <c r="AN148" i="1" s="1"/>
  <c r="AN149" i="1" s="1"/>
  <c r="AN150" i="1" s="1"/>
  <c r="AN151" i="1" s="1"/>
  <c r="AN152" i="1" s="1"/>
  <c r="AN153" i="1" s="1"/>
  <c r="AN154" i="1" s="1"/>
  <c r="AN155" i="1" s="1"/>
  <c r="AN156" i="1" s="1"/>
  <c r="AN157" i="1" s="1"/>
  <c r="AN158" i="1" s="1"/>
  <c r="AN159" i="1" s="1"/>
  <c r="AN160" i="1" s="1"/>
  <c r="AN161" i="1" s="1"/>
  <c r="AN162" i="1" s="1"/>
  <c r="AN163" i="1" s="1"/>
  <c r="AN164" i="1" s="1"/>
  <c r="AN165" i="1" s="1"/>
  <c r="AN166" i="1" s="1"/>
  <c r="AN167" i="1" s="1"/>
  <c r="AN168" i="1" s="1"/>
  <c r="AN169" i="1" s="1"/>
  <c r="AN170" i="1" s="1"/>
  <c r="AN171" i="1" s="1"/>
  <c r="AN172" i="1" s="1"/>
  <c r="AN173" i="1" s="1"/>
  <c r="AN174" i="1" s="1"/>
  <c r="AN175" i="1" s="1"/>
  <c r="AN176" i="1" s="1"/>
  <c r="AN177" i="1" s="1"/>
  <c r="AN178" i="1" s="1"/>
  <c r="AN179" i="1" s="1"/>
  <c r="AN180" i="1" s="1"/>
  <c r="AN181" i="1" s="1"/>
  <c r="AN182" i="1" s="1"/>
  <c r="AN183" i="1" s="1"/>
  <c r="AN184" i="1" s="1"/>
  <c r="AN185" i="1" s="1"/>
  <c r="AN186" i="1" s="1"/>
  <c r="AN187" i="1" s="1"/>
  <c r="AN188" i="1" s="1"/>
  <c r="AN189" i="1" s="1"/>
  <c r="AN190" i="1" s="1"/>
  <c r="AN191" i="1" s="1"/>
  <c r="AN192" i="1" s="1"/>
  <c r="AN193" i="1" s="1"/>
  <c r="AN194" i="1" s="1"/>
  <c r="AN195" i="1" s="1"/>
  <c r="AN196" i="1" s="1"/>
  <c r="AN197" i="1" s="1"/>
  <c r="AN198" i="1" s="1"/>
  <c r="AN199" i="1" s="1"/>
  <c r="AN200" i="1" s="1"/>
  <c r="AN201" i="1" s="1"/>
  <c r="AN202" i="1" s="1"/>
  <c r="AN203" i="1" s="1"/>
  <c r="AN204" i="1" s="1"/>
  <c r="AN205" i="1" s="1"/>
  <c r="AN206" i="1" s="1"/>
  <c r="AN207" i="1" s="1"/>
  <c r="AN208" i="1" s="1"/>
  <c r="AN209" i="1" s="1"/>
  <c r="AN210" i="1" s="1"/>
  <c r="AN211" i="1" s="1"/>
  <c r="AN212" i="1" s="1"/>
  <c r="AN213" i="1" s="1"/>
  <c r="AN214" i="1" s="1"/>
  <c r="AN215" i="1" s="1"/>
  <c r="AN216" i="1" s="1"/>
  <c r="AN217" i="1" s="1"/>
  <c r="AN218" i="1" s="1"/>
  <c r="AN219" i="1" s="1"/>
  <c r="AN220" i="1" s="1"/>
  <c r="AN221" i="1" s="1"/>
  <c r="AN222" i="1" s="1"/>
  <c r="AN223" i="1" s="1"/>
  <c r="AN224" i="1" s="1"/>
  <c r="AN225" i="1" s="1"/>
  <c r="AN226" i="1" s="1"/>
  <c r="AN227" i="1" s="1"/>
  <c r="AN228" i="1" s="1"/>
  <c r="AN229" i="1" s="1"/>
  <c r="AN230" i="1" s="1"/>
  <c r="AN231" i="1" s="1"/>
  <c r="AN232" i="1" s="1"/>
  <c r="AN233" i="1" s="1"/>
  <c r="AN234" i="1" s="1"/>
  <c r="AN235" i="1" s="1"/>
  <c r="AN236" i="1" s="1"/>
  <c r="AN237" i="1" s="1"/>
  <c r="AN238" i="1" s="1"/>
  <c r="AN239" i="1" s="1"/>
  <c r="AN240" i="1" s="1"/>
  <c r="AN241" i="1" s="1"/>
  <c r="AN242" i="1" s="1"/>
  <c r="AN243" i="1" s="1"/>
  <c r="AN244" i="1" s="1"/>
  <c r="AN245" i="1" s="1"/>
  <c r="AN246" i="1" s="1"/>
  <c r="AN247" i="1" s="1"/>
  <c r="AN248" i="1" s="1"/>
  <c r="AN249" i="1" s="1"/>
  <c r="AN250" i="1" s="1"/>
  <c r="AN251" i="1" s="1"/>
  <c r="AN252" i="1" s="1"/>
  <c r="AN253" i="1" s="1"/>
  <c r="AN254" i="1" s="1"/>
  <c r="AN255" i="1" s="1"/>
  <c r="AN256" i="1" s="1"/>
  <c r="AN257" i="1" s="1"/>
  <c r="AN258" i="1" s="1"/>
  <c r="AN259" i="1" s="1"/>
  <c r="AN260" i="1" s="1"/>
  <c r="AN261" i="1" s="1"/>
  <c r="AN262" i="1" s="1"/>
  <c r="AN263" i="1" s="1"/>
  <c r="AN264" i="1" s="1"/>
  <c r="AN265" i="1" s="1"/>
  <c r="AN266" i="1" s="1"/>
  <c r="AN267" i="1" s="1"/>
  <c r="AN268" i="1" s="1"/>
  <c r="AN269" i="1" s="1"/>
  <c r="AN270" i="1" s="1"/>
  <c r="AN271" i="1" s="1"/>
  <c r="AN272" i="1" s="1"/>
  <c r="AN273" i="1" s="1"/>
  <c r="AN274" i="1" s="1"/>
  <c r="AN275" i="1" s="1"/>
  <c r="AN276" i="1" s="1"/>
  <c r="AN277" i="1" s="1"/>
  <c r="AN278" i="1" s="1"/>
  <c r="AN279" i="1" s="1"/>
  <c r="AN280" i="1" s="1"/>
  <c r="AN281" i="1" s="1"/>
  <c r="AN282" i="1" s="1"/>
  <c r="AN283" i="1" s="1"/>
  <c r="AN284" i="1" s="1"/>
  <c r="AB10" i="1"/>
  <c r="T1070" i="3"/>
  <c r="V1070" i="3" s="1"/>
  <c r="T1068" i="3"/>
  <c r="V1068" i="3" s="1"/>
  <c r="T1066" i="3"/>
  <c r="V1066" i="3" s="1"/>
  <c r="T1064" i="3"/>
  <c r="V1064" i="3" s="1"/>
  <c r="T1062" i="3"/>
  <c r="V1062" i="3" s="1"/>
  <c r="B1062" i="3"/>
  <c r="A1062" i="3"/>
  <c r="T1060" i="3"/>
  <c r="V1060" i="3" s="1"/>
  <c r="T1050" i="3"/>
  <c r="V1050" i="3" s="1"/>
  <c r="I1050" i="3"/>
  <c r="T1048" i="3"/>
  <c r="V1048" i="3" s="1"/>
  <c r="I1048" i="3"/>
  <c r="T1046" i="3"/>
  <c r="V1046" i="3" s="1"/>
  <c r="I1046" i="3"/>
  <c r="T1044" i="3"/>
  <c r="V1044" i="3" s="1"/>
  <c r="I1044" i="3"/>
  <c r="T1042" i="3"/>
  <c r="V1042" i="3" s="1"/>
  <c r="I1042" i="3"/>
  <c r="B1042" i="3"/>
  <c r="A1042" i="3"/>
  <c r="T1040" i="3"/>
  <c r="V1040" i="3" s="1"/>
  <c r="I1040" i="3"/>
  <c r="T1030" i="3"/>
  <c r="V1030" i="3" s="1"/>
  <c r="T1028" i="3"/>
  <c r="V1028" i="3" s="1"/>
  <c r="T1026" i="3"/>
  <c r="V1026" i="3" s="1"/>
  <c r="T1024" i="3"/>
  <c r="V1024" i="3" s="1"/>
  <c r="T1022" i="3"/>
  <c r="V1022" i="3" s="1"/>
  <c r="A1022" i="3"/>
  <c r="T1020" i="3"/>
  <c r="V1020" i="3" s="1"/>
  <c r="B1002" i="3"/>
  <c r="A1002" i="3"/>
  <c r="B982" i="3"/>
  <c r="A982" i="3"/>
  <c r="B962" i="3"/>
  <c r="A962" i="3"/>
  <c r="B942" i="3"/>
  <c r="Q852" i="3"/>
  <c r="Q853" i="3" s="1"/>
  <c r="Q850" i="3"/>
  <c r="Q851" i="3" s="1"/>
  <c r="Q848" i="3"/>
  <c r="Q849" i="3" s="1"/>
  <c r="Q846" i="3"/>
  <c r="Q847" i="3" s="1"/>
  <c r="Q844" i="3"/>
  <c r="Q845" i="3" s="1"/>
  <c r="Q842" i="3"/>
  <c r="Q843" i="3" s="1"/>
  <c r="Q840" i="3"/>
  <c r="Q841" i="3" s="1"/>
  <c r="Q832" i="3"/>
  <c r="Q833" i="3" s="1"/>
  <c r="Q830" i="3"/>
  <c r="Q831" i="3" s="1"/>
  <c r="Q828" i="3"/>
  <c r="Q829" i="3" s="1"/>
  <c r="Q826" i="3"/>
  <c r="Q827" i="3" s="1"/>
  <c r="Q824" i="3"/>
  <c r="Q825" i="3" s="1"/>
  <c r="Q822" i="3"/>
  <c r="Q823" i="3" s="1"/>
  <c r="Q820" i="3"/>
  <c r="Q821" i="3" s="1"/>
  <c r="Q812" i="3"/>
  <c r="Q813" i="3" s="1"/>
  <c r="Q810" i="3"/>
  <c r="Q811" i="3" s="1"/>
  <c r="Q808" i="3"/>
  <c r="Q809" i="3" s="1"/>
  <c r="Q806" i="3"/>
  <c r="Q807" i="3" s="1"/>
  <c r="Q804" i="3"/>
  <c r="Q805" i="3" s="1"/>
  <c r="Q802" i="3"/>
  <c r="Q803" i="3" s="1"/>
  <c r="Q800" i="3"/>
  <c r="Q801" i="3" s="1"/>
  <c r="Q792" i="3"/>
  <c r="Q793" i="3" s="1"/>
  <c r="Q790" i="3"/>
  <c r="Q791" i="3" s="1"/>
  <c r="Q788" i="3"/>
  <c r="Q789" i="3" s="1"/>
  <c r="Q786" i="3"/>
  <c r="Q787" i="3" s="1"/>
  <c r="Q784" i="3"/>
  <c r="Q785" i="3" s="1"/>
  <c r="Q782" i="3"/>
  <c r="Q783" i="3" s="1"/>
  <c r="Q780" i="3"/>
  <c r="Q781" i="3" s="1"/>
  <c r="Q772" i="3"/>
  <c r="Q773" i="3" s="1"/>
  <c r="Q770" i="3"/>
  <c r="Q771" i="3" s="1"/>
  <c r="Q768" i="3"/>
  <c r="Q769" i="3" s="1"/>
  <c r="Q766" i="3"/>
  <c r="Q767" i="3" s="1"/>
  <c r="Q764" i="3"/>
  <c r="Q765" i="3" s="1"/>
  <c r="Q762" i="3"/>
  <c r="Q763" i="3" s="1"/>
  <c r="Q760" i="3"/>
  <c r="Q761" i="3" s="1"/>
  <c r="Q752" i="3"/>
  <c r="Q753" i="3" s="1"/>
  <c r="Q750" i="3"/>
  <c r="Q751" i="3" s="1"/>
  <c r="Q748" i="3"/>
  <c r="Q749" i="3" s="1"/>
  <c r="Q746" i="3"/>
  <c r="Q747" i="3" s="1"/>
  <c r="Q744" i="3"/>
  <c r="Q745" i="3" s="1"/>
  <c r="Q742" i="3"/>
  <c r="Q743" i="3" s="1"/>
  <c r="Q740" i="3"/>
  <c r="Q741" i="3" s="1"/>
  <c r="Q732" i="3"/>
  <c r="Q733" i="3" s="1"/>
  <c r="Q730" i="3"/>
  <c r="Q731" i="3" s="1"/>
  <c r="Q728" i="3"/>
  <c r="Q729" i="3" s="1"/>
  <c r="Q726" i="3"/>
  <c r="Q727" i="3" s="1"/>
  <c r="Q724" i="3"/>
  <c r="Q725" i="3" s="1"/>
  <c r="Q722" i="3"/>
  <c r="Q723" i="3" s="1"/>
  <c r="Q720" i="3"/>
  <c r="Q721" i="3" s="1"/>
  <c r="Q712" i="3"/>
  <c r="Q713" i="3" s="1"/>
  <c r="Q710" i="3"/>
  <c r="Q711" i="3" s="1"/>
  <c r="Q708" i="3"/>
  <c r="Q709" i="3" s="1"/>
  <c r="Q706" i="3"/>
  <c r="Q707" i="3" s="1"/>
  <c r="Q704" i="3"/>
  <c r="Q705" i="3" s="1"/>
  <c r="Q702" i="3"/>
  <c r="Q703" i="3" s="1"/>
  <c r="Q700" i="3"/>
  <c r="Q701" i="3" s="1"/>
  <c r="Q692" i="3"/>
  <c r="Q693" i="3" s="1"/>
  <c r="Q690" i="3"/>
  <c r="Q691" i="3" s="1"/>
  <c r="Q688" i="3"/>
  <c r="Q689" i="3" s="1"/>
  <c r="Q686" i="3"/>
  <c r="Q687" i="3" s="1"/>
  <c r="Q684" i="3"/>
  <c r="Q685" i="3" s="1"/>
  <c r="Q682" i="3"/>
  <c r="Q683" i="3" s="1"/>
  <c r="Q680" i="3"/>
  <c r="Q681" i="3" s="1"/>
  <c r="Q672" i="3"/>
  <c r="Q673" i="3" s="1"/>
  <c r="Q670" i="3"/>
  <c r="Q671" i="3" s="1"/>
  <c r="Q668" i="3"/>
  <c r="Q669" i="3" s="1"/>
  <c r="Q666" i="3"/>
  <c r="Q667" i="3" s="1"/>
  <c r="Q664" i="3"/>
  <c r="Q665" i="3" s="1"/>
  <c r="Q662" i="3"/>
  <c r="Q663" i="3" s="1"/>
  <c r="Q660" i="3"/>
  <c r="Q661" i="3" s="1"/>
  <c r="Q652" i="3"/>
  <c r="Q653" i="3" s="1"/>
  <c r="Q650" i="3"/>
  <c r="Q651" i="3" s="1"/>
  <c r="Q648" i="3"/>
  <c r="Q649" i="3" s="1"/>
  <c r="Q646" i="3"/>
  <c r="Q647" i="3" s="1"/>
  <c r="Q644" i="3"/>
  <c r="Q645" i="3" s="1"/>
  <c r="Q642" i="3"/>
  <c r="Q643" i="3" s="1"/>
  <c r="Q640" i="3"/>
  <c r="Q641" i="3" s="1"/>
  <c r="Q632" i="3"/>
  <c r="Q633" i="3" s="1"/>
  <c r="Q630" i="3"/>
  <c r="Q631" i="3" s="1"/>
  <c r="Q628" i="3"/>
  <c r="Q629" i="3" s="1"/>
  <c r="Q626" i="3"/>
  <c r="Q627" i="3" s="1"/>
  <c r="Q625" i="3"/>
  <c r="Q624" i="3"/>
  <c r="Q622" i="3"/>
  <c r="Q623" i="3" s="1"/>
  <c r="Q620" i="3"/>
  <c r="Q621" i="3" s="1"/>
  <c r="Q612" i="3"/>
  <c r="Q613" i="3" s="1"/>
  <c r="Q610" i="3"/>
  <c r="Q611" i="3" s="1"/>
  <c r="Q608" i="3"/>
  <c r="Q609" i="3" s="1"/>
  <c r="Q606" i="3"/>
  <c r="Q607" i="3" s="1"/>
  <c r="Q604" i="3"/>
  <c r="Q605" i="3" s="1"/>
  <c r="Q602" i="3"/>
  <c r="Q603" i="3" s="1"/>
  <c r="Q600" i="3"/>
  <c r="Q601" i="3" s="1"/>
  <c r="Q592" i="3"/>
  <c r="Q593" i="3" s="1"/>
  <c r="Q590" i="3"/>
  <c r="Q591" i="3" s="1"/>
  <c r="Q588" i="3"/>
  <c r="Q589" i="3" s="1"/>
  <c r="Q586" i="3"/>
  <c r="Q587" i="3" s="1"/>
  <c r="Q584" i="3"/>
  <c r="Q585" i="3" s="1"/>
  <c r="Q582" i="3"/>
  <c r="Q583" i="3" s="1"/>
  <c r="Q580" i="3"/>
  <c r="Q581" i="3" s="1"/>
  <c r="Q572" i="3"/>
  <c r="Q573" i="3" s="1"/>
  <c r="Q571" i="3"/>
  <c r="Q570" i="3"/>
  <c r="Q568" i="3"/>
  <c r="Q569" i="3" s="1"/>
  <c r="Q566" i="3"/>
  <c r="Q567" i="3" s="1"/>
  <c r="Q564" i="3"/>
  <c r="Q565" i="3" s="1"/>
  <c r="Q562" i="3"/>
  <c r="Q563" i="3" s="1"/>
  <c r="Q560" i="3"/>
  <c r="Q561" i="3" s="1"/>
  <c r="Q552" i="3"/>
  <c r="Q553" i="3" s="1"/>
  <c r="Q550" i="3"/>
  <c r="Q551" i="3" s="1"/>
  <c r="Q548" i="3"/>
  <c r="Q549" i="3" s="1"/>
  <c r="Q546" i="3"/>
  <c r="Q547" i="3" s="1"/>
  <c r="Q544" i="3"/>
  <c r="Q545" i="3" s="1"/>
  <c r="Q542" i="3"/>
  <c r="Q543" i="3" s="1"/>
  <c r="Q540" i="3"/>
  <c r="Q541" i="3" s="1"/>
  <c r="Q532" i="3"/>
  <c r="Q533" i="3" s="1"/>
  <c r="Q530" i="3"/>
  <c r="Q531" i="3" s="1"/>
  <c r="Q528" i="3"/>
  <c r="Q529" i="3" s="1"/>
  <c r="Q526" i="3"/>
  <c r="Q527" i="3" s="1"/>
  <c r="Q524" i="3"/>
  <c r="Q525" i="3" s="1"/>
  <c r="Q522" i="3"/>
  <c r="Q523" i="3" s="1"/>
  <c r="Q520" i="3"/>
  <c r="Q521" i="3" s="1"/>
  <c r="Q512" i="3"/>
  <c r="Q513" i="3" s="1"/>
  <c r="Q510" i="3"/>
  <c r="Q511" i="3" s="1"/>
  <c r="Q508" i="3"/>
  <c r="Q509" i="3" s="1"/>
  <c r="Q506" i="3"/>
  <c r="Q507" i="3" s="1"/>
  <c r="Q504" i="3"/>
  <c r="Q505" i="3" s="1"/>
  <c r="Q502" i="3"/>
  <c r="Q503" i="3" s="1"/>
  <c r="Q500" i="3"/>
  <c r="Q501" i="3" s="1"/>
  <c r="Q492" i="3"/>
  <c r="Q493" i="3" s="1"/>
  <c r="Q490" i="3"/>
  <c r="Q491" i="3" s="1"/>
  <c r="Q488" i="3"/>
  <c r="Q489" i="3" s="1"/>
  <c r="Q486" i="3"/>
  <c r="Q487" i="3" s="1"/>
  <c r="Q484" i="3"/>
  <c r="Q485" i="3" s="1"/>
  <c r="Q482" i="3"/>
  <c r="Q483" i="3" s="1"/>
  <c r="Q480" i="3"/>
  <c r="Q481" i="3" s="1"/>
  <c r="Q472" i="3"/>
  <c r="Q473" i="3" s="1"/>
  <c r="Q470" i="3"/>
  <c r="Q471" i="3" s="1"/>
  <c r="Q468" i="3"/>
  <c r="Q469" i="3" s="1"/>
  <c r="Q466" i="3"/>
  <c r="Q467" i="3" s="1"/>
  <c r="Q464" i="3"/>
  <c r="Q465" i="3" s="1"/>
  <c r="Q462" i="3"/>
  <c r="Q463" i="3" s="1"/>
  <c r="Q460" i="3"/>
  <c r="Q461" i="3" s="1"/>
  <c r="Q452" i="3"/>
  <c r="Q453" i="3" s="1"/>
  <c r="Q450" i="3"/>
  <c r="Q451" i="3" s="1"/>
  <c r="Q448" i="3"/>
  <c r="Q449" i="3" s="1"/>
  <c r="Q446" i="3"/>
  <c r="Q447" i="3" s="1"/>
  <c r="Q444" i="3"/>
  <c r="Q445" i="3" s="1"/>
  <c r="Q442" i="3"/>
  <c r="Q443" i="3" s="1"/>
  <c r="Q440" i="3"/>
  <c r="Q441" i="3" s="1"/>
  <c r="Q432" i="3"/>
  <c r="Q433" i="3" s="1"/>
  <c r="Q430" i="3"/>
  <c r="Q431" i="3" s="1"/>
  <c r="Q428" i="3"/>
  <c r="Q429" i="3" s="1"/>
  <c r="Q426" i="3"/>
  <c r="Q427" i="3" s="1"/>
  <c r="Q424" i="3"/>
  <c r="Q425" i="3" s="1"/>
  <c r="Q422" i="3"/>
  <c r="Q423" i="3" s="1"/>
  <c r="Q420" i="3"/>
  <c r="Q421" i="3" s="1"/>
  <c r="Q400" i="3"/>
  <c r="Q401" i="3" s="1"/>
  <c r="Q398" i="3"/>
  <c r="Q399" i="3" s="1"/>
  <c r="Q396" i="3"/>
  <c r="Q397" i="3" s="1"/>
  <c r="Q394" i="3"/>
  <c r="Q395" i="3" s="1"/>
  <c r="Q392" i="3"/>
  <c r="Q393" i="3" s="1"/>
  <c r="Q390" i="3"/>
  <c r="Q391" i="3" s="1"/>
  <c r="Q388" i="3"/>
  <c r="Q389" i="3" s="1"/>
  <c r="Q387" i="3"/>
  <c r="Q386" i="3"/>
  <c r="Q384" i="3"/>
  <c r="Q385" i="3" s="1"/>
  <c r="Q382" i="3"/>
  <c r="Q383" i="3" s="1"/>
  <c r="Q380" i="3"/>
  <c r="Q381" i="3" s="1"/>
  <c r="Q378" i="3"/>
  <c r="Q379" i="3" s="1"/>
  <c r="Q376" i="3"/>
  <c r="Q377" i="3" s="1"/>
  <c r="Q374" i="3"/>
  <c r="Q375" i="3" s="1"/>
  <c r="Q372" i="3"/>
  <c r="Q373" i="3" s="1"/>
  <c r="Q370" i="3"/>
  <c r="Q371" i="3" s="1"/>
  <c r="Q368" i="3"/>
  <c r="Q369" i="3" s="1"/>
  <c r="Q366" i="3"/>
  <c r="Q367" i="3" s="1"/>
  <c r="Q364" i="3"/>
  <c r="Q365" i="3" s="1"/>
  <c r="Q362" i="3"/>
  <c r="Q363" i="3" s="1"/>
  <c r="Q360" i="3"/>
  <c r="Q361" i="3" s="1"/>
  <c r="Q358" i="3"/>
  <c r="Q359" i="3" s="1"/>
  <c r="Q356" i="3"/>
  <c r="Q357" i="3" s="1"/>
  <c r="Q354" i="3"/>
  <c r="Q355" i="3" s="1"/>
  <c r="Q352" i="3"/>
  <c r="Q353" i="3" s="1"/>
  <c r="Q350" i="3"/>
  <c r="Q351" i="3" s="1"/>
  <c r="Q348" i="3"/>
  <c r="Q349" i="3" s="1"/>
  <c r="Q346" i="3"/>
  <c r="Q347" i="3" s="1"/>
  <c r="Q344" i="3"/>
  <c r="Q345" i="3" s="1"/>
  <c r="Q342" i="3"/>
  <c r="Q343" i="3" s="1"/>
  <c r="Q340" i="3"/>
  <c r="Q341" i="3" s="1"/>
  <c r="Q338" i="3"/>
  <c r="Q339" i="3" s="1"/>
  <c r="Q336" i="3"/>
  <c r="Q337" i="3" s="1"/>
  <c r="Q334" i="3"/>
  <c r="Q335" i="3" s="1"/>
  <c r="Q332" i="3"/>
  <c r="Q333" i="3" s="1"/>
  <c r="Q330" i="3"/>
  <c r="Q331" i="3" s="1"/>
  <c r="Q328" i="3"/>
  <c r="Q329" i="3" s="1"/>
  <c r="Q326" i="3"/>
  <c r="Q327" i="3" s="1"/>
  <c r="Q324" i="3"/>
  <c r="Q325" i="3" s="1"/>
  <c r="Q322" i="3"/>
  <c r="Q323" i="3" s="1"/>
  <c r="Q320" i="3"/>
  <c r="Q321" i="3" s="1"/>
  <c r="Q318" i="3"/>
  <c r="Q319" i="3" s="1"/>
  <c r="Q316" i="3"/>
  <c r="Q317" i="3" s="1"/>
  <c r="Q314" i="3"/>
  <c r="Q315" i="3" s="1"/>
  <c r="Q312" i="3"/>
  <c r="Q313" i="3" s="1"/>
  <c r="Q310" i="3"/>
  <c r="Q311" i="3" s="1"/>
  <c r="Q308" i="3"/>
  <c r="Q309" i="3" s="1"/>
  <c r="Q306" i="3"/>
  <c r="Q307" i="3" s="1"/>
  <c r="Q304" i="3"/>
  <c r="Q305" i="3" s="1"/>
  <c r="Q302" i="3"/>
  <c r="Q303" i="3" s="1"/>
  <c r="Q300" i="3"/>
  <c r="Q301" i="3" s="1"/>
  <c r="Q298" i="3"/>
  <c r="Q299" i="3" s="1"/>
  <c r="Q296" i="3"/>
  <c r="Q297" i="3" s="1"/>
  <c r="Q294" i="3"/>
  <c r="Q295" i="3" s="1"/>
  <c r="Q292" i="3"/>
  <c r="Q293" i="3" s="1"/>
  <c r="Q290" i="3"/>
  <c r="Q291" i="3" s="1"/>
  <c r="Q288" i="3"/>
  <c r="Q289" i="3" s="1"/>
  <c r="Q287" i="3"/>
  <c r="Q286" i="3"/>
  <c r="Q284" i="3"/>
  <c r="Q285" i="3" s="1"/>
  <c r="Q282" i="3"/>
  <c r="Q283" i="3" s="1"/>
  <c r="Q280" i="3"/>
  <c r="Q281" i="3" s="1"/>
  <c r="Q278" i="3"/>
  <c r="Q279" i="3" s="1"/>
  <c r="Q276" i="3"/>
  <c r="Q277" i="3" s="1"/>
  <c r="Q274" i="3"/>
  <c r="Q275" i="3" s="1"/>
  <c r="Q272" i="3"/>
  <c r="Q273" i="3" s="1"/>
  <c r="Q270" i="3"/>
  <c r="Q271" i="3" s="1"/>
  <c r="Q268" i="3"/>
  <c r="Q269" i="3" s="1"/>
  <c r="Q266" i="3"/>
  <c r="Q267" i="3" s="1"/>
  <c r="Q264" i="3"/>
  <c r="Q265" i="3" s="1"/>
  <c r="Q262" i="3"/>
  <c r="Q263" i="3" s="1"/>
  <c r="Q260" i="3"/>
  <c r="Q261" i="3" s="1"/>
  <c r="Q258" i="3"/>
  <c r="Q259" i="3" s="1"/>
  <c r="Q256" i="3"/>
  <c r="Q257" i="3" s="1"/>
  <c r="Q254" i="3"/>
  <c r="Q255" i="3" s="1"/>
  <c r="Q252" i="3"/>
  <c r="Q253" i="3" s="1"/>
  <c r="Q250" i="3"/>
  <c r="Q251" i="3" s="1"/>
  <c r="Q248" i="3"/>
  <c r="Q249" i="3" s="1"/>
  <c r="Q246" i="3"/>
  <c r="Q247" i="3" s="1"/>
  <c r="Q244" i="3"/>
  <c r="Q245" i="3" s="1"/>
  <c r="Q243" i="3"/>
  <c r="Q242" i="3"/>
  <c r="Q240" i="3"/>
  <c r="Q241" i="3" s="1"/>
  <c r="Q238" i="3"/>
  <c r="Q239" i="3" s="1"/>
  <c r="Q236" i="3"/>
  <c r="Q237" i="3" s="1"/>
  <c r="Q234" i="3"/>
  <c r="Q235" i="3" s="1"/>
  <c r="Q232" i="3"/>
  <c r="Q233" i="3" s="1"/>
  <c r="Q230" i="3"/>
  <c r="Q231" i="3" s="1"/>
  <c r="Q228" i="3"/>
  <c r="Q229" i="3" s="1"/>
  <c r="Q226" i="3"/>
  <c r="Q227" i="3" s="1"/>
  <c r="Q224" i="3"/>
  <c r="Q225" i="3" s="1"/>
  <c r="Q222" i="3"/>
  <c r="Q223" i="3" s="1"/>
  <c r="Q220" i="3"/>
  <c r="Q221" i="3" s="1"/>
  <c r="Q218" i="3"/>
  <c r="Q219" i="3" s="1"/>
  <c r="Q216" i="3"/>
  <c r="Q217" i="3" s="1"/>
  <c r="Q214" i="3"/>
  <c r="Q215" i="3" s="1"/>
  <c r="Q212" i="3"/>
  <c r="Q213" i="3" s="1"/>
  <c r="Q210" i="3"/>
  <c r="Q211" i="3" s="1"/>
  <c r="Q208" i="3"/>
  <c r="Q209" i="3" s="1"/>
  <c r="Q206" i="3"/>
  <c r="Q207" i="3" s="1"/>
  <c r="Q204" i="3"/>
  <c r="Q205" i="3" s="1"/>
  <c r="Q202" i="3"/>
  <c r="Q203" i="3" s="1"/>
  <c r="Q200" i="3"/>
  <c r="Q201" i="3" s="1"/>
  <c r="Q198" i="3"/>
  <c r="Q199" i="3" s="1"/>
  <c r="Q196" i="3"/>
  <c r="Q197" i="3" s="1"/>
  <c r="Q194" i="3"/>
  <c r="Q195" i="3" s="1"/>
  <c r="Q192" i="3"/>
  <c r="Q193" i="3" s="1"/>
  <c r="Q191" i="3"/>
  <c r="Q190" i="3"/>
  <c r="Q188" i="3"/>
  <c r="Q189" i="3" s="1"/>
  <c r="Q186" i="3"/>
  <c r="Q187" i="3" s="1"/>
  <c r="Q184" i="3"/>
  <c r="Q185" i="3" s="1"/>
  <c r="Q182" i="3"/>
  <c r="Q183" i="3" s="1"/>
  <c r="Q180" i="3"/>
  <c r="Q181" i="3" s="1"/>
  <c r="Q178" i="3"/>
  <c r="Q179" i="3" s="1"/>
  <c r="Q176" i="3"/>
  <c r="Q177" i="3" s="1"/>
  <c r="Q174" i="3"/>
  <c r="Q175" i="3" s="1"/>
  <c r="Q172" i="3"/>
  <c r="Q173" i="3" s="1"/>
  <c r="Q170" i="3"/>
  <c r="Q171" i="3" s="1"/>
  <c r="Q168" i="3"/>
  <c r="Q169" i="3" s="1"/>
  <c r="Q166" i="3"/>
  <c r="Q167" i="3" s="1"/>
  <c r="Q164" i="3"/>
  <c r="Q165" i="3" s="1"/>
  <c r="Q162" i="3"/>
  <c r="Q163" i="3" s="1"/>
  <c r="Q160" i="3"/>
  <c r="Q161" i="3" s="1"/>
  <c r="Q158" i="3"/>
  <c r="Q159" i="3" s="1"/>
  <c r="Q156" i="3"/>
  <c r="Q157" i="3" s="1"/>
  <c r="Q154" i="3"/>
  <c r="Q155" i="3" s="1"/>
  <c r="Q152" i="3"/>
  <c r="Q153" i="3" s="1"/>
  <c r="Q150" i="3"/>
  <c r="Q151" i="3" s="1"/>
  <c r="Q148" i="3"/>
  <c r="Q149" i="3" s="1"/>
  <c r="Q146" i="3"/>
  <c r="Q147" i="3" s="1"/>
  <c r="Q144" i="3"/>
  <c r="Q145" i="3" s="1"/>
  <c r="Q142" i="3"/>
  <c r="Q143" i="3" s="1"/>
  <c r="Q140" i="3"/>
  <c r="Q141" i="3" s="1"/>
  <c r="Q138" i="3"/>
  <c r="Q139" i="3" s="1"/>
  <c r="Q136" i="3"/>
  <c r="Q137" i="3" s="1"/>
  <c r="Q134" i="3"/>
  <c r="Q135" i="3" s="1"/>
  <c r="Q132" i="3"/>
  <c r="Q133" i="3" s="1"/>
  <c r="Q130" i="3"/>
  <c r="Q131" i="3" s="1"/>
  <c r="Q128" i="3"/>
  <c r="Q129" i="3" s="1"/>
  <c r="Q126" i="3"/>
  <c r="Q127" i="3" s="1"/>
  <c r="Q124" i="3"/>
  <c r="Q125" i="3" s="1"/>
  <c r="Q122" i="3"/>
  <c r="Q123" i="3" s="1"/>
  <c r="Q120" i="3"/>
  <c r="Q121" i="3" s="1"/>
  <c r="Q118" i="3"/>
  <c r="Q119" i="3" s="1"/>
  <c r="Q116" i="3"/>
  <c r="Q117" i="3" s="1"/>
  <c r="Q114" i="3"/>
  <c r="Q115" i="3" s="1"/>
  <c r="Q112" i="3"/>
  <c r="Q113" i="3" s="1"/>
  <c r="Q110" i="3"/>
  <c r="Q111" i="3" s="1"/>
  <c r="Q108" i="3"/>
  <c r="Q109" i="3" s="1"/>
  <c r="Q106" i="3"/>
  <c r="Q107" i="3" s="1"/>
  <c r="Q104" i="3"/>
  <c r="Q105" i="3" s="1"/>
  <c r="Q102" i="3"/>
  <c r="Q103" i="3" s="1"/>
  <c r="Q100" i="3"/>
  <c r="Q101" i="3" s="1"/>
  <c r="Q98" i="3"/>
  <c r="Q99" i="3" s="1"/>
  <c r="Q96" i="3"/>
  <c r="Q97" i="3" s="1"/>
  <c r="Q94" i="3"/>
  <c r="Q95" i="3" s="1"/>
  <c r="Q92" i="3"/>
  <c r="Q93" i="3" s="1"/>
  <c r="Q90" i="3"/>
  <c r="Q91" i="3" s="1"/>
  <c r="Q88" i="3"/>
  <c r="Q89" i="3" s="1"/>
  <c r="Q86" i="3"/>
  <c r="Q87" i="3" s="1"/>
  <c r="Q84" i="3"/>
  <c r="Q85" i="3" s="1"/>
  <c r="Q82" i="3"/>
  <c r="Q83" i="3" s="1"/>
  <c r="Q80" i="3"/>
  <c r="Q81" i="3" s="1"/>
  <c r="Q78" i="3"/>
  <c r="Q79" i="3" s="1"/>
  <c r="Q76" i="3"/>
  <c r="Q77" i="3" s="1"/>
  <c r="Q74" i="3"/>
  <c r="Q75" i="3" s="1"/>
  <c r="Q72" i="3"/>
  <c r="Q73" i="3" s="1"/>
  <c r="Q70" i="3"/>
  <c r="Q71" i="3" s="1"/>
  <c r="Q68" i="3"/>
  <c r="Q69" i="3" s="1"/>
  <c r="Q66" i="3"/>
  <c r="Q67" i="3" s="1"/>
  <c r="Q64" i="3"/>
  <c r="Q65" i="3" s="1"/>
  <c r="Q63" i="3"/>
  <c r="Q62" i="3"/>
  <c r="Q60" i="3"/>
  <c r="Q61" i="3" s="1"/>
  <c r="Q58" i="3"/>
  <c r="Q59" i="3" s="1"/>
  <c r="Q56" i="3"/>
  <c r="Q57" i="3" s="1"/>
  <c r="Q54" i="3"/>
  <c r="Q55" i="3" s="1"/>
  <c r="Q52" i="3"/>
  <c r="Q53" i="3" s="1"/>
  <c r="Q50" i="3"/>
  <c r="Q51" i="3" s="1"/>
  <c r="Q48" i="3"/>
  <c r="Q49" i="3" s="1"/>
  <c r="Q46" i="3"/>
  <c r="Q47" i="3" s="1"/>
  <c r="Q44" i="3"/>
  <c r="Q45" i="3" s="1"/>
  <c r="Q42" i="3"/>
  <c r="Q43" i="3" s="1"/>
  <c r="Q40" i="3"/>
  <c r="Q41" i="3" s="1"/>
  <c r="Q38" i="3"/>
  <c r="Q39" i="3" s="1"/>
  <c r="Q36" i="3"/>
  <c r="Q37" i="3" s="1"/>
  <c r="Q34" i="3"/>
  <c r="Q35" i="3" s="1"/>
  <c r="Q32" i="3"/>
  <c r="Q33" i="3" s="1"/>
  <c r="Q30" i="3"/>
  <c r="Q31" i="3" s="1"/>
  <c r="Q28" i="3"/>
  <c r="Q29" i="3" s="1"/>
  <c r="Q26" i="3"/>
  <c r="Q27" i="3" s="1"/>
  <c r="Q24" i="3"/>
  <c r="Q25" i="3" s="1"/>
  <c r="Q22" i="3"/>
  <c r="Q23" i="3" s="1"/>
  <c r="Q20" i="3"/>
  <c r="Q21" i="3" s="1"/>
  <c r="Q19" i="3"/>
  <c r="Q18" i="3"/>
  <c r="Q16" i="3"/>
  <c r="Q17" i="3" s="1"/>
  <c r="Q14" i="3"/>
  <c r="Q15" i="3" s="1"/>
  <c r="Q12" i="3"/>
  <c r="Q13" i="3" s="1"/>
  <c r="Q10" i="3"/>
  <c r="Q11" i="3" s="1"/>
  <c r="Q8" i="3"/>
  <c r="Q9" i="3" s="1"/>
  <c r="Q6" i="3"/>
  <c r="Q7" i="3" s="1"/>
  <c r="T1070" i="4"/>
  <c r="V1070" i="4" s="1"/>
  <c r="T1068" i="4"/>
  <c r="V1068" i="4" s="1"/>
  <c r="T1066" i="4"/>
  <c r="V1066" i="4" s="1"/>
  <c r="T1064" i="4"/>
  <c r="V1064" i="4" s="1"/>
  <c r="T1062" i="4"/>
  <c r="V1062" i="4" s="1"/>
  <c r="B1062" i="4"/>
  <c r="A1062" i="4"/>
  <c r="T1060" i="4"/>
  <c r="V1060" i="4" s="1"/>
  <c r="T1050" i="4"/>
  <c r="V1050" i="4" s="1"/>
  <c r="I1050" i="4"/>
  <c r="T1048" i="4"/>
  <c r="V1048" i="4" s="1"/>
  <c r="I1048" i="4"/>
  <c r="V1046" i="4"/>
  <c r="T1046" i="4"/>
  <c r="I1046" i="4"/>
  <c r="T1044" i="4"/>
  <c r="V1044" i="4" s="1"/>
  <c r="I1044" i="4"/>
  <c r="T1042" i="4"/>
  <c r="V1042" i="4" s="1"/>
  <c r="I1042" i="4"/>
  <c r="B1042" i="4"/>
  <c r="A1042" i="4"/>
  <c r="T1040" i="4"/>
  <c r="V1040" i="4" s="1"/>
  <c r="I1040" i="4"/>
  <c r="T1030" i="4"/>
  <c r="V1030" i="4" s="1"/>
  <c r="V1028" i="4"/>
  <c r="T1028" i="4"/>
  <c r="T1026" i="4"/>
  <c r="V1026" i="4" s="1"/>
  <c r="T1024" i="4"/>
  <c r="V1024" i="4" s="1"/>
  <c r="T1022" i="4"/>
  <c r="V1022" i="4" s="1"/>
  <c r="B1022" i="4"/>
  <c r="A1022" i="4"/>
  <c r="T1020" i="4"/>
  <c r="V1020" i="4" s="1"/>
  <c r="B1002" i="4"/>
  <c r="A1002" i="4"/>
  <c r="B982" i="4"/>
  <c r="A982" i="4"/>
  <c r="B962" i="4"/>
  <c r="A962" i="4"/>
  <c r="B942" i="4"/>
  <c r="Q852" i="4"/>
  <c r="Q853" i="4" s="1"/>
  <c r="Q850" i="4"/>
  <c r="Q851" i="4" s="1"/>
  <c r="Q848" i="4"/>
  <c r="Q849" i="4" s="1"/>
  <c r="Q846" i="4"/>
  <c r="Q847" i="4" s="1"/>
  <c r="Q844" i="4"/>
  <c r="Q845" i="4" s="1"/>
  <c r="Q842" i="4"/>
  <c r="Q843" i="4" s="1"/>
  <c r="Q840" i="4"/>
  <c r="Q841" i="4" s="1"/>
  <c r="Q832" i="4"/>
  <c r="Q833" i="4" s="1"/>
  <c r="Q830" i="4"/>
  <c r="Q831" i="4" s="1"/>
  <c r="Q828" i="4"/>
  <c r="Q829" i="4" s="1"/>
  <c r="Q826" i="4"/>
  <c r="Q827" i="4" s="1"/>
  <c r="Q824" i="4"/>
  <c r="Q825" i="4" s="1"/>
  <c r="Q822" i="4"/>
  <c r="Q823" i="4" s="1"/>
  <c r="Q820" i="4"/>
  <c r="Q821" i="4" s="1"/>
  <c r="Q812" i="4"/>
  <c r="Q813" i="4" s="1"/>
  <c r="Q810" i="4"/>
  <c r="Q811" i="4" s="1"/>
  <c r="Q808" i="4"/>
  <c r="Q809" i="4" s="1"/>
  <c r="Q806" i="4"/>
  <c r="Q807" i="4" s="1"/>
  <c r="Q804" i="4"/>
  <c r="Q805" i="4" s="1"/>
  <c r="Q802" i="4"/>
  <c r="Q803" i="4" s="1"/>
  <c r="Q800" i="4"/>
  <c r="Q801" i="4" s="1"/>
  <c r="Q792" i="4"/>
  <c r="Q793" i="4" s="1"/>
  <c r="Q790" i="4"/>
  <c r="Q791" i="4" s="1"/>
  <c r="Q788" i="4"/>
  <c r="Q789" i="4" s="1"/>
  <c r="Q786" i="4"/>
  <c r="Q787" i="4" s="1"/>
  <c r="Q784" i="4"/>
  <c r="Q785" i="4" s="1"/>
  <c r="Q782" i="4"/>
  <c r="Q783" i="4" s="1"/>
  <c r="Q781" i="4"/>
  <c r="Q780" i="4"/>
  <c r="Q772" i="4"/>
  <c r="Q773" i="4" s="1"/>
  <c r="Q770" i="4"/>
  <c r="Q771" i="4" s="1"/>
  <c r="Q768" i="4"/>
  <c r="Q769" i="4" s="1"/>
  <c r="Q766" i="4"/>
  <c r="Q767" i="4" s="1"/>
  <c r="Q764" i="4"/>
  <c r="Q765" i="4" s="1"/>
  <c r="Q762" i="4"/>
  <c r="Q763" i="4" s="1"/>
  <c r="Q760" i="4"/>
  <c r="Q761" i="4" s="1"/>
  <c r="Q752" i="4"/>
  <c r="Q753" i="4" s="1"/>
  <c r="Q750" i="4"/>
  <c r="Q751" i="4" s="1"/>
  <c r="Q749" i="4"/>
  <c r="Q748" i="4"/>
  <c r="Q746" i="4"/>
  <c r="Q747" i="4" s="1"/>
  <c r="Q744" i="4"/>
  <c r="Q745" i="4" s="1"/>
  <c r="Q742" i="4"/>
  <c r="Q743" i="4" s="1"/>
  <c r="Q740" i="4"/>
  <c r="Q741" i="4" s="1"/>
  <c r="Q732" i="4"/>
  <c r="Q733" i="4" s="1"/>
  <c r="Q730" i="4"/>
  <c r="Q731" i="4" s="1"/>
  <c r="Q728" i="4"/>
  <c r="Q729" i="4" s="1"/>
  <c r="Q726" i="4"/>
  <c r="Q727" i="4" s="1"/>
  <c r="Q724" i="4"/>
  <c r="Q725" i="4" s="1"/>
  <c r="Q722" i="4"/>
  <c r="Q723" i="4" s="1"/>
  <c r="Q720" i="4"/>
  <c r="Q721" i="4" s="1"/>
  <c r="Q712" i="4"/>
  <c r="Q713" i="4" s="1"/>
  <c r="Q710" i="4"/>
  <c r="Q711" i="4" s="1"/>
  <c r="Q708" i="4"/>
  <c r="Q709" i="4" s="1"/>
  <c r="Q706" i="4"/>
  <c r="Q707" i="4" s="1"/>
  <c r="Q704" i="4"/>
  <c r="Q705" i="4" s="1"/>
  <c r="Q702" i="4"/>
  <c r="Q703" i="4" s="1"/>
  <c r="Q700" i="4"/>
  <c r="Q701" i="4" s="1"/>
  <c r="Q692" i="4"/>
  <c r="Q693" i="4" s="1"/>
  <c r="Q690" i="4"/>
  <c r="Q691" i="4" s="1"/>
  <c r="Q688" i="4"/>
  <c r="Q689" i="4" s="1"/>
  <c r="Q686" i="4"/>
  <c r="Q687" i="4" s="1"/>
  <c r="Q684" i="4"/>
  <c r="Q685" i="4" s="1"/>
  <c r="Q682" i="4"/>
  <c r="Q683" i="4" s="1"/>
  <c r="Q680" i="4"/>
  <c r="Q681" i="4" s="1"/>
  <c r="Q672" i="4"/>
  <c r="Q673" i="4" s="1"/>
  <c r="Q670" i="4"/>
  <c r="Q671" i="4" s="1"/>
  <c r="Q668" i="4"/>
  <c r="Q669" i="4" s="1"/>
  <c r="Q666" i="4"/>
  <c r="Q667" i="4" s="1"/>
  <c r="Q664" i="4"/>
  <c r="Q665" i="4" s="1"/>
  <c r="Q662" i="4"/>
  <c r="Q663" i="4" s="1"/>
  <c r="Q661" i="4"/>
  <c r="Q660" i="4"/>
  <c r="Q652" i="4"/>
  <c r="Q653" i="4" s="1"/>
  <c r="Q650" i="4"/>
  <c r="Q651" i="4" s="1"/>
  <c r="Q648" i="4"/>
  <c r="Q649" i="4" s="1"/>
  <c r="Q646" i="4"/>
  <c r="Q647" i="4" s="1"/>
  <c r="Q644" i="4"/>
  <c r="Q645" i="4" s="1"/>
  <c r="Q642" i="4"/>
  <c r="Q643" i="4" s="1"/>
  <c r="Q640" i="4"/>
  <c r="Q641" i="4" s="1"/>
  <c r="Q632" i="4"/>
  <c r="Q633" i="4" s="1"/>
  <c r="Q630" i="4"/>
  <c r="Q631" i="4" s="1"/>
  <c r="Q629" i="4"/>
  <c r="Q628" i="4"/>
  <c r="Q626" i="4"/>
  <c r="Q627" i="4" s="1"/>
  <c r="Q624" i="4"/>
  <c r="Q625" i="4" s="1"/>
  <c r="Q622" i="4"/>
  <c r="Q623" i="4" s="1"/>
  <c r="Q620" i="4"/>
  <c r="Q621" i="4" s="1"/>
  <c r="Q612" i="4"/>
  <c r="Q613" i="4" s="1"/>
  <c r="Q610" i="4"/>
  <c r="Q611" i="4" s="1"/>
  <c r="Q608" i="4"/>
  <c r="Q609" i="4" s="1"/>
  <c r="Q606" i="4"/>
  <c r="Q607" i="4" s="1"/>
  <c r="Q604" i="4"/>
  <c r="Q605" i="4" s="1"/>
  <c r="Q602" i="4"/>
  <c r="Q603" i="4" s="1"/>
  <c r="Q600" i="4"/>
  <c r="Q601" i="4" s="1"/>
  <c r="Q592" i="4"/>
  <c r="Q593" i="4" s="1"/>
  <c r="Q590" i="4"/>
  <c r="Q591" i="4" s="1"/>
  <c r="Q588" i="4"/>
  <c r="Q589" i="4" s="1"/>
  <c r="Q586" i="4"/>
  <c r="Q587" i="4" s="1"/>
  <c r="Q584" i="4"/>
  <c r="Q585" i="4" s="1"/>
  <c r="Q582" i="4"/>
  <c r="Q583" i="4" s="1"/>
  <c r="Q580" i="4"/>
  <c r="Q581" i="4" s="1"/>
  <c r="Q572" i="4"/>
  <c r="Q573" i="4" s="1"/>
  <c r="Q570" i="4"/>
  <c r="Q571" i="4" s="1"/>
  <c r="Q568" i="4"/>
  <c r="Q569" i="4" s="1"/>
  <c r="Q566" i="4"/>
  <c r="Q567" i="4" s="1"/>
  <c r="Q564" i="4"/>
  <c r="Q565" i="4" s="1"/>
  <c r="Q562" i="4"/>
  <c r="Q563" i="4" s="1"/>
  <c r="Q560" i="4"/>
  <c r="Q561" i="4" s="1"/>
  <c r="Q552" i="4"/>
  <c r="Q553" i="4" s="1"/>
  <c r="Q550" i="4"/>
  <c r="Q551" i="4" s="1"/>
  <c r="Q548" i="4"/>
  <c r="Q549" i="4" s="1"/>
  <c r="Q546" i="4"/>
  <c r="Q547" i="4" s="1"/>
  <c r="Q544" i="4"/>
  <c r="Q545" i="4" s="1"/>
  <c r="Q542" i="4"/>
  <c r="Q543" i="4" s="1"/>
  <c r="Q540" i="4"/>
  <c r="Q541" i="4" s="1"/>
  <c r="Q532" i="4"/>
  <c r="Q533" i="4" s="1"/>
  <c r="Q530" i="4"/>
  <c r="Q531" i="4" s="1"/>
  <c r="Q528" i="4"/>
  <c r="Q529" i="4" s="1"/>
  <c r="Q526" i="4"/>
  <c r="Q527" i="4" s="1"/>
  <c r="Q524" i="4"/>
  <c r="Q525" i="4" s="1"/>
  <c r="Q523" i="4"/>
  <c r="Q522" i="4"/>
  <c r="Q520" i="4"/>
  <c r="Q521" i="4" s="1"/>
  <c r="Q512" i="4"/>
  <c r="Q513" i="4" s="1"/>
  <c r="Q510" i="4"/>
  <c r="Q511" i="4" s="1"/>
  <c r="Q508" i="4"/>
  <c r="Q509" i="4" s="1"/>
  <c r="Q506" i="4"/>
  <c r="Q507" i="4" s="1"/>
  <c r="Q504" i="4"/>
  <c r="Q505" i="4" s="1"/>
  <c r="Q502" i="4"/>
  <c r="Q503" i="4" s="1"/>
  <c r="Q500" i="4"/>
  <c r="Q501" i="4" s="1"/>
  <c r="Q492" i="4"/>
  <c r="Q493" i="4" s="1"/>
  <c r="Q490" i="4"/>
  <c r="Q491" i="4" s="1"/>
  <c r="Q488" i="4"/>
  <c r="Q489" i="4" s="1"/>
  <c r="Q486" i="4"/>
  <c r="Q487" i="4" s="1"/>
  <c r="Q484" i="4"/>
  <c r="Q485" i="4" s="1"/>
  <c r="Q482" i="4"/>
  <c r="Q483" i="4" s="1"/>
  <c r="Q480" i="4"/>
  <c r="Q481" i="4" s="1"/>
  <c r="Q472" i="4"/>
  <c r="Q473" i="4" s="1"/>
  <c r="Q470" i="4"/>
  <c r="Q471" i="4" s="1"/>
  <c r="Q468" i="4"/>
  <c r="Q469" i="4" s="1"/>
  <c r="Q466" i="4"/>
  <c r="Q467" i="4" s="1"/>
  <c r="Q464" i="4"/>
  <c r="Q465" i="4" s="1"/>
  <c r="Q462" i="4"/>
  <c r="Q463" i="4" s="1"/>
  <c r="Q460" i="4"/>
  <c r="Q461" i="4" s="1"/>
  <c r="Q452" i="4"/>
  <c r="Q453" i="4" s="1"/>
  <c r="Q450" i="4"/>
  <c r="Q451" i="4" s="1"/>
  <c r="Q448" i="4"/>
  <c r="Q449" i="4" s="1"/>
  <c r="Q446" i="4"/>
  <c r="Q447" i="4" s="1"/>
  <c r="Q444" i="4"/>
  <c r="Q445" i="4" s="1"/>
  <c r="Q442" i="4"/>
  <c r="Q443" i="4" s="1"/>
  <c r="Q440" i="4"/>
  <c r="Q441" i="4" s="1"/>
  <c r="Q432" i="4"/>
  <c r="Q433" i="4" s="1"/>
  <c r="Q430" i="4"/>
  <c r="Q431" i="4" s="1"/>
  <c r="Q428" i="4"/>
  <c r="Q429" i="4" s="1"/>
  <c r="Q426" i="4"/>
  <c r="Q427" i="4" s="1"/>
  <c r="Q424" i="4"/>
  <c r="Q425" i="4" s="1"/>
  <c r="Q422" i="4"/>
  <c r="Q423" i="4" s="1"/>
  <c r="Q420" i="4"/>
  <c r="Q421" i="4" s="1"/>
  <c r="Q398" i="4"/>
  <c r="Q401" i="4" s="1"/>
  <c r="Q396" i="4"/>
  <c r="Q397" i="4" s="1"/>
  <c r="Q400" i="4" s="1"/>
  <c r="Q394" i="4"/>
  <c r="Q395" i="4" s="1"/>
  <c r="Q392" i="4"/>
  <c r="Q393" i="4" s="1"/>
  <c r="Q390" i="4"/>
  <c r="Q391" i="4" s="1"/>
  <c r="Q388" i="4"/>
  <c r="Q389" i="4" s="1"/>
  <c r="Q386" i="4"/>
  <c r="Q387" i="4" s="1"/>
  <c r="Q384" i="4"/>
  <c r="Q385" i="4" s="1"/>
  <c r="Q382" i="4"/>
  <c r="Q383" i="4" s="1"/>
  <c r="Q380" i="4"/>
  <c r="Q381" i="4" s="1"/>
  <c r="Q378" i="4"/>
  <c r="Q379" i="4" s="1"/>
  <c r="Q376" i="4"/>
  <c r="Q377" i="4" s="1"/>
  <c r="Q374" i="4"/>
  <c r="Q375" i="4" s="1"/>
  <c r="Q372" i="4"/>
  <c r="Q373" i="4" s="1"/>
  <c r="Q370" i="4"/>
  <c r="Q371" i="4" s="1"/>
  <c r="Q368" i="4"/>
  <c r="Q369" i="4" s="1"/>
  <c r="Q366" i="4"/>
  <c r="Q367" i="4" s="1"/>
  <c r="Q364" i="4"/>
  <c r="Q365" i="4" s="1"/>
  <c r="Q362" i="4"/>
  <c r="Q363" i="4" s="1"/>
  <c r="Q360" i="4"/>
  <c r="Q361" i="4" s="1"/>
  <c r="Q358" i="4"/>
  <c r="Q359" i="4" s="1"/>
  <c r="Q354" i="4"/>
  <c r="Q357" i="4" s="1"/>
  <c r="Q352" i="4"/>
  <c r="Q353" i="4" s="1"/>
  <c r="Q350" i="4"/>
  <c r="Q351" i="4" s="1"/>
  <c r="Q348" i="4"/>
  <c r="Q349" i="4" s="1"/>
  <c r="Q346" i="4"/>
  <c r="Q347" i="4" s="1"/>
  <c r="Q344" i="4"/>
  <c r="Q345" i="4" s="1"/>
  <c r="Q342" i="4"/>
  <c r="Q343" i="4" s="1"/>
  <c r="Q341" i="4"/>
  <c r="Q340" i="4"/>
  <c r="Q338" i="4"/>
  <c r="Q339" i="4" s="1"/>
  <c r="Q336" i="4"/>
  <c r="Q337" i="4" s="1"/>
  <c r="Q334" i="4"/>
  <c r="Q335" i="4" s="1"/>
  <c r="Q332" i="4"/>
  <c r="Q333" i="4" s="1"/>
  <c r="Q330" i="4"/>
  <c r="Q331" i="4" s="1"/>
  <c r="Q328" i="4"/>
  <c r="Q329" i="4" s="1"/>
  <c r="Q326" i="4"/>
  <c r="Q327" i="4" s="1"/>
  <c r="Q324" i="4"/>
  <c r="Q325" i="4" s="1"/>
  <c r="Q322" i="4"/>
  <c r="Q323" i="4" s="1"/>
  <c r="Q320" i="4"/>
  <c r="Q321" i="4" s="1"/>
  <c r="Q318" i="4"/>
  <c r="Q319" i="4" s="1"/>
  <c r="Q316" i="4"/>
  <c r="Q317" i="4" s="1"/>
  <c r="Q314" i="4"/>
  <c r="Q315" i="4" s="1"/>
  <c r="Q310" i="4"/>
  <c r="Q313" i="4" s="1"/>
  <c r="Q308" i="4"/>
  <c r="Q309" i="4" s="1"/>
  <c r="Q306" i="4"/>
  <c r="Q307" i="4" s="1"/>
  <c r="Q304" i="4"/>
  <c r="Q305" i="4" s="1"/>
  <c r="Q302" i="4"/>
  <c r="Q303" i="4" s="1"/>
  <c r="Q300" i="4"/>
  <c r="Q301" i="4" s="1"/>
  <c r="Q298" i="4"/>
  <c r="Q299" i="4" s="1"/>
  <c r="Q296" i="4"/>
  <c r="Q297" i="4" s="1"/>
  <c r="Q294" i="4"/>
  <c r="Q295" i="4" s="1"/>
  <c r="Q292" i="4"/>
  <c r="Q293" i="4" s="1"/>
  <c r="Q290" i="4"/>
  <c r="Q291" i="4" s="1"/>
  <c r="Q288" i="4"/>
  <c r="Q289" i="4" s="1"/>
  <c r="Q286" i="4"/>
  <c r="Q287" i="4" s="1"/>
  <c r="Q284" i="4"/>
  <c r="Q285" i="4" s="1"/>
  <c r="Q282" i="4"/>
  <c r="Q283" i="4" s="1"/>
  <c r="Q280" i="4"/>
  <c r="Q281" i="4" s="1"/>
  <c r="Q278" i="4"/>
  <c r="Q279" i="4" s="1"/>
  <c r="Q276" i="4"/>
  <c r="Q277" i="4" s="1"/>
  <c r="Q274" i="4"/>
  <c r="Q275" i="4" s="1"/>
  <c r="Q272" i="4"/>
  <c r="Q273" i="4" s="1"/>
  <c r="Q270" i="4"/>
  <c r="Q271" i="4" s="1"/>
  <c r="Q266" i="4"/>
  <c r="Q269" i="4" s="1"/>
  <c r="Q264" i="4"/>
  <c r="Q265" i="4" s="1"/>
  <c r="Q262" i="4"/>
  <c r="Q263" i="4" s="1"/>
  <c r="Q260" i="4"/>
  <c r="Q261" i="4" s="1"/>
  <c r="Q258" i="4"/>
  <c r="Q259" i="4" s="1"/>
  <c r="Q256" i="4"/>
  <c r="Q257" i="4" s="1"/>
  <c r="Q254" i="4"/>
  <c r="Q255" i="4" s="1"/>
  <c r="Q252" i="4"/>
  <c r="Q253" i="4" s="1"/>
  <c r="Q250" i="4"/>
  <c r="Q251" i="4" s="1"/>
  <c r="Q248" i="4"/>
  <c r="Q249" i="4" s="1"/>
  <c r="Q246" i="4"/>
  <c r="Q247" i="4" s="1"/>
  <c r="Q244" i="4"/>
  <c r="Q245" i="4" s="1"/>
  <c r="Q242" i="4"/>
  <c r="Q243" i="4" s="1"/>
  <c r="Q240" i="4"/>
  <c r="Q241" i="4" s="1"/>
  <c r="Q238" i="4"/>
  <c r="Q239" i="4" s="1"/>
  <c r="Q236" i="4"/>
  <c r="Q237" i="4" s="1"/>
  <c r="Q234" i="4"/>
  <c r="Q235" i="4" s="1"/>
  <c r="Q232" i="4"/>
  <c r="Q233" i="4" s="1"/>
  <c r="Q230" i="4"/>
  <c r="Q231" i="4" s="1"/>
  <c r="Q228" i="4"/>
  <c r="Q229" i="4" s="1"/>
  <c r="Q226" i="4"/>
  <c r="Q227" i="4" s="1"/>
  <c r="Q222" i="4"/>
  <c r="Q225" i="4" s="1"/>
  <c r="Q220" i="4"/>
  <c r="Q221" i="4" s="1"/>
  <c r="Q218" i="4"/>
  <c r="Q219" i="4" s="1"/>
  <c r="Q216" i="4"/>
  <c r="Q217" i="4" s="1"/>
  <c r="Q214" i="4"/>
  <c r="Q215" i="4" s="1"/>
  <c r="Q212" i="4"/>
  <c r="Q213" i="4" s="1"/>
  <c r="Q210" i="4"/>
  <c r="Q211" i="4" s="1"/>
  <c r="Q208" i="4"/>
  <c r="Q209" i="4" s="1"/>
  <c r="Q207" i="4"/>
  <c r="Q206" i="4"/>
  <c r="Q204" i="4"/>
  <c r="Q205" i="4" s="1"/>
  <c r="Q202" i="4"/>
  <c r="Q203" i="4" s="1"/>
  <c r="Q200" i="4"/>
  <c r="Q201" i="4" s="1"/>
  <c r="Q198" i="4"/>
  <c r="Q199" i="4" s="1"/>
  <c r="Q196" i="4"/>
  <c r="Q197" i="4" s="1"/>
  <c r="Q194" i="4"/>
  <c r="Q195" i="4" s="1"/>
  <c r="Q192" i="4"/>
  <c r="Q193" i="4" s="1"/>
  <c r="Q190" i="4"/>
  <c r="Q191" i="4" s="1"/>
  <c r="Q188" i="4"/>
  <c r="Q189" i="4" s="1"/>
  <c r="Q186" i="4"/>
  <c r="Q187" i="4" s="1"/>
  <c r="Q184" i="4"/>
  <c r="Q185" i="4" s="1"/>
  <c r="Q182" i="4"/>
  <c r="Q183" i="4" s="1"/>
  <c r="Q178" i="4"/>
  <c r="Q181" i="4" s="1"/>
  <c r="Q176" i="4"/>
  <c r="Q177" i="4" s="1"/>
  <c r="Q174" i="4"/>
  <c r="Q175" i="4" s="1"/>
  <c r="Q172" i="4"/>
  <c r="Q173" i="4" s="1"/>
  <c r="Q170" i="4"/>
  <c r="Q171" i="4" s="1"/>
  <c r="Q168" i="4"/>
  <c r="Q169" i="4" s="1"/>
  <c r="Q166" i="4"/>
  <c r="Q167" i="4" s="1"/>
  <c r="Q164" i="4"/>
  <c r="Q165" i="4" s="1"/>
  <c r="Q162" i="4"/>
  <c r="Q163" i="4" s="1"/>
  <c r="Q160" i="4"/>
  <c r="Q161" i="4" s="1"/>
  <c r="Q158" i="4"/>
  <c r="Q159" i="4" s="1"/>
  <c r="Q156" i="4"/>
  <c r="Q157" i="4" s="1"/>
  <c r="Q154" i="4"/>
  <c r="Q155" i="4" s="1"/>
  <c r="Q152" i="4"/>
  <c r="Q153" i="4" s="1"/>
  <c r="Q150" i="4"/>
  <c r="Q151" i="4" s="1"/>
  <c r="Q148" i="4"/>
  <c r="Q149" i="4" s="1"/>
  <c r="Q146" i="4"/>
  <c r="Q147" i="4" s="1"/>
  <c r="Q144" i="4"/>
  <c r="Q145" i="4" s="1"/>
  <c r="Q142" i="4"/>
  <c r="Q143" i="4" s="1"/>
  <c r="Q140" i="4"/>
  <c r="Q141" i="4" s="1"/>
  <c r="Q138" i="4"/>
  <c r="Q139" i="4" s="1"/>
  <c r="Q134" i="4"/>
  <c r="Q137" i="4" s="1"/>
  <c r="Q132" i="4"/>
  <c r="Q133" i="4" s="1"/>
  <c r="Q130" i="4"/>
  <c r="Q131" i="4" s="1"/>
  <c r="Q128" i="4"/>
  <c r="Q129" i="4" s="1"/>
  <c r="Q126" i="4"/>
  <c r="Q127" i="4" s="1"/>
  <c r="Q124" i="4"/>
  <c r="Q125" i="4" s="1"/>
  <c r="Q122" i="4"/>
  <c r="Q123" i="4" s="1"/>
  <c r="Q120" i="4"/>
  <c r="Q121" i="4" s="1"/>
  <c r="Q118" i="4"/>
  <c r="Q119" i="4" s="1"/>
  <c r="Q116" i="4"/>
  <c r="Q117" i="4" s="1"/>
  <c r="Q115" i="4"/>
  <c r="Q114" i="4"/>
  <c r="Q112" i="4"/>
  <c r="Q113" i="4" s="1"/>
  <c r="Q110" i="4"/>
  <c r="Q111" i="4" s="1"/>
  <c r="Q108" i="4"/>
  <c r="Q109" i="4" s="1"/>
  <c r="Q106" i="4"/>
  <c r="Q107" i="4" s="1"/>
  <c r="Q104" i="4"/>
  <c r="Q105" i="4" s="1"/>
  <c r="Q102" i="4"/>
  <c r="Q103" i="4" s="1"/>
  <c r="Q100" i="4"/>
  <c r="Q101" i="4" s="1"/>
  <c r="Q98" i="4"/>
  <c r="Q99" i="4" s="1"/>
  <c r="Q96" i="4"/>
  <c r="Q97" i="4" s="1"/>
  <c r="Q94" i="4"/>
  <c r="Q95" i="4" s="1"/>
  <c r="Q90" i="4"/>
  <c r="Q93" i="4" s="1"/>
  <c r="Q88" i="4"/>
  <c r="Q89" i="4" s="1"/>
  <c r="Q86" i="4"/>
  <c r="Q87" i="4" s="1"/>
  <c r="Q84" i="4"/>
  <c r="Q85" i="4" s="1"/>
  <c r="Q82" i="4"/>
  <c r="Q83" i="4" s="1"/>
  <c r="Q80" i="4"/>
  <c r="Q81" i="4" s="1"/>
  <c r="Q78" i="4"/>
  <c r="Q79" i="4" s="1"/>
  <c r="Q76" i="4"/>
  <c r="Q77" i="4" s="1"/>
  <c r="Q74" i="4"/>
  <c r="Q75" i="4" s="1"/>
  <c r="Q72" i="4"/>
  <c r="Q73" i="4" s="1"/>
  <c r="Q70" i="4"/>
  <c r="Q71" i="4" s="1"/>
  <c r="Q68" i="4"/>
  <c r="Q69" i="4" s="1"/>
  <c r="Q66" i="4"/>
  <c r="Q67" i="4" s="1"/>
  <c r="Q64" i="4"/>
  <c r="Q65" i="4" s="1"/>
  <c r="Q62" i="4"/>
  <c r="Q63" i="4" s="1"/>
  <c r="Q60" i="4"/>
  <c r="Q61" i="4" s="1"/>
  <c r="Q58" i="4"/>
  <c r="Q59" i="4" s="1"/>
  <c r="Q56" i="4"/>
  <c r="Q57" i="4" s="1"/>
  <c r="Q54" i="4"/>
  <c r="Q55" i="4" s="1"/>
  <c r="Q52" i="4"/>
  <c r="Q53" i="4" s="1"/>
  <c r="Q50" i="4"/>
  <c r="Q51" i="4" s="1"/>
  <c r="Q46" i="4"/>
  <c r="Q49" i="4" s="1"/>
  <c r="Q44" i="4"/>
  <c r="Q45" i="4" s="1"/>
  <c r="Q42" i="4"/>
  <c r="Q43" i="4" s="1"/>
  <c r="Q40" i="4"/>
  <c r="Q41" i="4" s="1"/>
  <c r="Q39" i="4"/>
  <c r="Q38" i="4"/>
  <c r="Q36" i="4"/>
  <c r="Q37" i="4" s="1"/>
  <c r="Q34" i="4"/>
  <c r="Q35" i="4" s="1"/>
  <c r="Q32" i="4"/>
  <c r="Q33" i="4" s="1"/>
  <c r="Q30" i="4"/>
  <c r="Q31" i="4" s="1"/>
  <c r="Q28" i="4"/>
  <c r="Q29" i="4" s="1"/>
  <c r="Q26" i="4"/>
  <c r="Q27" i="4" s="1"/>
  <c r="Q24" i="4"/>
  <c r="Q25" i="4" s="1"/>
  <c r="Q22" i="4"/>
  <c r="Q23" i="4" s="1"/>
  <c r="Q20" i="4"/>
  <c r="Q21" i="4" s="1"/>
  <c r="Q18" i="4"/>
  <c r="Q19" i="4" s="1"/>
  <c r="Q16" i="4"/>
  <c r="Q17" i="4" s="1"/>
  <c r="Q14" i="4"/>
  <c r="Q15" i="4" s="1"/>
  <c r="Q12" i="4"/>
  <c r="Q13" i="4" s="1"/>
  <c r="Q10" i="4"/>
  <c r="Q11" i="4" s="1"/>
  <c r="Q8" i="4"/>
  <c r="Q9" i="4" s="1"/>
  <c r="Q6" i="4"/>
  <c r="Q7" i="4" s="1"/>
  <c r="T1090" i="5"/>
  <c r="V1090" i="5" s="1"/>
  <c r="T1088" i="5"/>
  <c r="V1088" i="5" s="1"/>
  <c r="T1086" i="5"/>
  <c r="V1086" i="5" s="1"/>
  <c r="T1084" i="5"/>
  <c r="V1084" i="5" s="1"/>
  <c r="T1082" i="5"/>
  <c r="V1082" i="5" s="1"/>
  <c r="B1082" i="5"/>
  <c r="A1082" i="5"/>
  <c r="T1080" i="5"/>
  <c r="V1080" i="5" s="1"/>
  <c r="T1070" i="5"/>
  <c r="V1070" i="5" s="1"/>
  <c r="T1068" i="5"/>
  <c r="V1068" i="5" s="1"/>
  <c r="T1066" i="5"/>
  <c r="V1066" i="5" s="1"/>
  <c r="T1064" i="5"/>
  <c r="V1064" i="5" s="1"/>
  <c r="T1062" i="5"/>
  <c r="V1062" i="5" s="1"/>
  <c r="B1062" i="5"/>
  <c r="A1062" i="5"/>
  <c r="T1060" i="5"/>
  <c r="V1060" i="5" s="1"/>
  <c r="T1050" i="5"/>
  <c r="V1050" i="5" s="1"/>
  <c r="I1050" i="5"/>
  <c r="T1048" i="5"/>
  <c r="V1048" i="5" s="1"/>
  <c r="I1048" i="5"/>
  <c r="T1046" i="5"/>
  <c r="V1046" i="5" s="1"/>
  <c r="I1046" i="5"/>
  <c r="T1044" i="5"/>
  <c r="V1044" i="5" s="1"/>
  <c r="I1044" i="5"/>
  <c r="T1042" i="5"/>
  <c r="V1042" i="5" s="1"/>
  <c r="I1042" i="5"/>
  <c r="B1042" i="5"/>
  <c r="A1042" i="5"/>
  <c r="T1040" i="5"/>
  <c r="V1040" i="5" s="1"/>
  <c r="I1040" i="5"/>
  <c r="T1030" i="5"/>
  <c r="V1030" i="5" s="1"/>
  <c r="T1028" i="5"/>
  <c r="V1028" i="5" s="1"/>
  <c r="T1026" i="5"/>
  <c r="V1026" i="5" s="1"/>
  <c r="T1024" i="5"/>
  <c r="V1024" i="5" s="1"/>
  <c r="T1022" i="5"/>
  <c r="V1022" i="5" s="1"/>
  <c r="A1022" i="5"/>
  <c r="T1020" i="5"/>
  <c r="V1020" i="5" s="1"/>
  <c r="B1002" i="5"/>
  <c r="A1002" i="5"/>
  <c r="B982" i="5"/>
  <c r="A982" i="5"/>
  <c r="B962" i="5"/>
  <c r="A962" i="5"/>
  <c r="B942" i="5"/>
  <c r="Q852" i="5"/>
  <c r="Q853" i="5" s="1"/>
  <c r="Q850" i="5"/>
  <c r="Q851" i="5" s="1"/>
  <c r="Q848" i="5"/>
  <c r="Q849" i="5" s="1"/>
  <c r="Q846" i="5"/>
  <c r="Q847" i="5" s="1"/>
  <c r="Q844" i="5"/>
  <c r="Q845" i="5" s="1"/>
  <c r="Q842" i="5"/>
  <c r="Q843" i="5" s="1"/>
  <c r="Q840" i="5"/>
  <c r="Q841" i="5" s="1"/>
  <c r="Q832" i="5"/>
  <c r="Q833" i="5" s="1"/>
  <c r="Q830" i="5"/>
  <c r="Q831" i="5" s="1"/>
  <c r="Q828" i="5"/>
  <c r="Q829" i="5" s="1"/>
  <c r="Q826" i="5"/>
  <c r="Q827" i="5" s="1"/>
  <c r="Q824" i="5"/>
  <c r="Q825" i="5" s="1"/>
  <c r="Q822" i="5"/>
  <c r="Q823" i="5" s="1"/>
  <c r="Q820" i="5"/>
  <c r="Q821" i="5" s="1"/>
  <c r="Q812" i="5"/>
  <c r="Q813" i="5" s="1"/>
  <c r="Q810" i="5"/>
  <c r="Q811" i="5" s="1"/>
  <c r="Q808" i="5"/>
  <c r="Q809" i="5" s="1"/>
  <c r="Q806" i="5"/>
  <c r="Q807" i="5" s="1"/>
  <c r="Q804" i="5"/>
  <c r="Q805" i="5" s="1"/>
  <c r="Q802" i="5"/>
  <c r="Q803" i="5" s="1"/>
  <c r="Q800" i="5"/>
  <c r="Q801" i="5" s="1"/>
  <c r="Q792" i="5"/>
  <c r="Q793" i="5" s="1"/>
  <c r="Q791" i="5"/>
  <c r="Q790" i="5"/>
  <c r="Q788" i="5"/>
  <c r="Q789" i="5" s="1"/>
  <c r="Q786" i="5"/>
  <c r="Q787" i="5" s="1"/>
  <c r="Q784" i="5"/>
  <c r="Q785" i="5" s="1"/>
  <c r="Q782" i="5"/>
  <c r="Q783" i="5" s="1"/>
  <c r="Q780" i="5"/>
  <c r="Q781" i="5" s="1"/>
  <c r="Q772" i="5"/>
  <c r="Q773" i="5" s="1"/>
  <c r="Q770" i="5"/>
  <c r="Q771" i="5" s="1"/>
  <c r="Q768" i="5"/>
  <c r="Q769" i="5" s="1"/>
  <c r="Q766" i="5"/>
  <c r="Q767" i="5" s="1"/>
  <c r="Q764" i="5"/>
  <c r="Q765" i="5" s="1"/>
  <c r="Q762" i="5"/>
  <c r="Q763" i="5" s="1"/>
  <c r="Q760" i="5"/>
  <c r="Q761" i="5" s="1"/>
  <c r="Q752" i="5"/>
  <c r="Q753" i="5" s="1"/>
  <c r="Q750" i="5"/>
  <c r="Q751" i="5" s="1"/>
  <c r="Q748" i="5"/>
  <c r="Q749" i="5" s="1"/>
  <c r="Q746" i="5"/>
  <c r="Q747" i="5" s="1"/>
  <c r="Q744" i="5"/>
  <c r="Q745" i="5" s="1"/>
  <c r="Q742" i="5"/>
  <c r="Q743" i="5" s="1"/>
  <c r="Q740" i="5"/>
  <c r="Q741" i="5" s="1"/>
  <c r="Q732" i="5"/>
  <c r="Q733" i="5" s="1"/>
  <c r="Q730" i="5"/>
  <c r="Q731" i="5" s="1"/>
  <c r="Q728" i="5"/>
  <c r="Q729" i="5" s="1"/>
  <c r="Q726" i="5"/>
  <c r="Q727" i="5" s="1"/>
  <c r="Q724" i="5"/>
  <c r="Q725" i="5" s="1"/>
  <c r="Q722" i="5"/>
  <c r="Q723" i="5" s="1"/>
  <c r="Q720" i="5"/>
  <c r="Q721" i="5" s="1"/>
  <c r="Q712" i="5"/>
  <c r="Q713" i="5" s="1"/>
  <c r="Q710" i="5"/>
  <c r="Q711" i="5" s="1"/>
  <c r="Q708" i="5"/>
  <c r="Q709" i="5" s="1"/>
  <c r="Q706" i="5"/>
  <c r="Q707" i="5" s="1"/>
  <c r="Q704" i="5"/>
  <c r="Q705" i="5" s="1"/>
  <c r="Q703" i="5"/>
  <c r="Q702" i="5"/>
  <c r="Q700" i="5"/>
  <c r="Q701" i="5" s="1"/>
  <c r="Q692" i="5"/>
  <c r="Q693" i="5" s="1"/>
  <c r="Q690" i="5"/>
  <c r="Q691" i="5" s="1"/>
  <c r="Q688" i="5"/>
  <c r="Q689" i="5" s="1"/>
  <c r="Q686" i="5"/>
  <c r="Q687" i="5" s="1"/>
  <c r="Q684" i="5"/>
  <c r="Q685" i="5" s="1"/>
  <c r="Q682" i="5"/>
  <c r="Q683" i="5" s="1"/>
  <c r="Q680" i="5"/>
  <c r="Q681" i="5" s="1"/>
  <c r="Q672" i="5"/>
  <c r="Q673" i="5" s="1"/>
  <c r="Q670" i="5"/>
  <c r="Q671" i="5" s="1"/>
  <c r="Q668" i="5"/>
  <c r="Q669" i="5" s="1"/>
  <c r="Q666" i="5"/>
  <c r="Q667" i="5" s="1"/>
  <c r="Q664" i="5"/>
  <c r="Q665" i="5" s="1"/>
  <c r="Q662" i="5"/>
  <c r="Q663" i="5" s="1"/>
  <c r="Q660" i="5"/>
  <c r="Q661" i="5" s="1"/>
  <c r="Q652" i="5"/>
  <c r="Q653" i="5" s="1"/>
  <c r="Q650" i="5"/>
  <c r="Q651" i="5" s="1"/>
  <c r="Q648" i="5"/>
  <c r="Q649" i="5" s="1"/>
  <c r="Q646" i="5"/>
  <c r="Q647" i="5" s="1"/>
  <c r="Q644" i="5"/>
  <c r="Q645" i="5" s="1"/>
  <c r="Q642" i="5"/>
  <c r="Q643" i="5" s="1"/>
  <c r="Q640" i="5"/>
  <c r="Q641" i="5" s="1"/>
  <c r="Q632" i="5"/>
  <c r="Q633" i="5" s="1"/>
  <c r="Q630" i="5"/>
  <c r="Q631" i="5" s="1"/>
  <c r="Q628" i="5"/>
  <c r="Q629" i="5" s="1"/>
  <c r="Q626" i="5"/>
  <c r="Q627" i="5" s="1"/>
  <c r="Q624" i="5"/>
  <c r="Q625" i="5" s="1"/>
  <c r="Q622" i="5"/>
  <c r="Q623" i="5" s="1"/>
  <c r="Q620" i="5"/>
  <c r="Q621" i="5" s="1"/>
  <c r="Q612" i="5"/>
  <c r="Q613" i="5" s="1"/>
  <c r="Q610" i="5"/>
  <c r="Q611" i="5" s="1"/>
  <c r="Q609" i="5"/>
  <c r="Q608" i="5"/>
  <c r="Q606" i="5"/>
  <c r="Q607" i="5" s="1"/>
  <c r="Q604" i="5"/>
  <c r="Q605" i="5" s="1"/>
  <c r="Q602" i="5"/>
  <c r="Q603" i="5" s="1"/>
  <c r="Q600" i="5"/>
  <c r="Q601" i="5" s="1"/>
  <c r="Q592" i="5"/>
  <c r="Q593" i="5" s="1"/>
  <c r="Q590" i="5"/>
  <c r="Q591" i="5" s="1"/>
  <c r="Q588" i="5"/>
  <c r="Q589" i="5" s="1"/>
  <c r="Q586" i="5"/>
  <c r="Q587" i="5" s="1"/>
  <c r="Q584" i="5"/>
  <c r="Q585" i="5" s="1"/>
  <c r="Q582" i="5"/>
  <c r="Q583" i="5" s="1"/>
  <c r="Q580" i="5"/>
  <c r="Q581" i="5" s="1"/>
  <c r="Q572" i="5"/>
  <c r="Q573" i="5" s="1"/>
  <c r="Q570" i="5"/>
  <c r="Q571" i="5" s="1"/>
  <c r="Q568" i="5"/>
  <c r="Q569" i="5" s="1"/>
  <c r="Q566" i="5"/>
  <c r="Q567" i="5" s="1"/>
  <c r="Q564" i="5"/>
  <c r="Q565" i="5" s="1"/>
  <c r="Q562" i="5"/>
  <c r="Q563" i="5" s="1"/>
  <c r="Q560" i="5"/>
  <c r="Q561" i="5" s="1"/>
  <c r="Q552" i="5"/>
  <c r="Q553" i="5" s="1"/>
  <c r="Q550" i="5"/>
  <c r="Q551" i="5" s="1"/>
  <c r="Q548" i="5"/>
  <c r="Q549" i="5" s="1"/>
  <c r="Q546" i="5"/>
  <c r="Q547" i="5" s="1"/>
  <c r="Q544" i="5"/>
  <c r="Q545" i="5" s="1"/>
  <c r="Q542" i="5"/>
  <c r="Q543" i="5" s="1"/>
  <c r="Q540" i="5"/>
  <c r="Q541" i="5" s="1"/>
  <c r="Q532" i="5"/>
  <c r="Q533" i="5" s="1"/>
  <c r="Q530" i="5"/>
  <c r="Q531" i="5" s="1"/>
  <c r="Q528" i="5"/>
  <c r="Q529" i="5" s="1"/>
  <c r="Q526" i="5"/>
  <c r="Q527" i="5" s="1"/>
  <c r="Q524" i="5"/>
  <c r="Q525" i="5" s="1"/>
  <c r="Q522" i="5"/>
  <c r="Q523" i="5" s="1"/>
  <c r="Q521" i="5"/>
  <c r="Q520" i="5"/>
  <c r="Q512" i="5"/>
  <c r="Q513" i="5" s="1"/>
  <c r="Q510" i="5"/>
  <c r="Q511" i="5" s="1"/>
  <c r="Q508" i="5"/>
  <c r="Q509" i="5" s="1"/>
  <c r="Q506" i="5"/>
  <c r="Q507" i="5" s="1"/>
  <c r="Q504" i="5"/>
  <c r="Q505" i="5" s="1"/>
  <c r="Q502" i="5"/>
  <c r="Q503" i="5" s="1"/>
  <c r="Q500" i="5"/>
  <c r="Q501" i="5" s="1"/>
  <c r="Q492" i="5"/>
  <c r="Q493" i="5" s="1"/>
  <c r="Q490" i="5"/>
  <c r="Q491" i="5" s="1"/>
  <c r="Q488" i="5"/>
  <c r="Q489" i="5" s="1"/>
  <c r="Q486" i="5"/>
  <c r="Q487" i="5" s="1"/>
  <c r="Q484" i="5"/>
  <c r="Q485" i="5" s="1"/>
  <c r="Q482" i="5"/>
  <c r="Q483" i="5" s="1"/>
  <c r="Q480" i="5"/>
  <c r="Q481" i="5" s="1"/>
  <c r="Q472" i="5"/>
  <c r="Q473" i="5" s="1"/>
  <c r="Q470" i="5"/>
  <c r="Q471" i="5" s="1"/>
  <c r="Q468" i="5"/>
  <c r="Q469" i="5" s="1"/>
  <c r="Q466" i="5"/>
  <c r="Q467" i="5" s="1"/>
  <c r="Q464" i="5"/>
  <c r="Q465" i="5" s="1"/>
  <c r="Q462" i="5"/>
  <c r="Q463" i="5" s="1"/>
  <c r="Q460" i="5"/>
  <c r="Q461" i="5" s="1"/>
  <c r="Q452" i="5"/>
  <c r="Q453" i="5" s="1"/>
  <c r="Q450" i="5"/>
  <c r="Q451" i="5" s="1"/>
  <c r="Q448" i="5"/>
  <c r="Q449" i="5" s="1"/>
  <c r="Q446" i="5"/>
  <c r="Q447" i="5" s="1"/>
  <c r="Q444" i="5"/>
  <c r="Q445" i="5" s="1"/>
  <c r="Q442" i="5"/>
  <c r="Q443" i="5" s="1"/>
  <c r="Q440" i="5"/>
  <c r="Q441" i="5" s="1"/>
  <c r="Q432" i="5"/>
  <c r="Q433" i="5" s="1"/>
  <c r="Q430" i="5"/>
  <c r="Q431" i="5" s="1"/>
  <c r="Q428" i="5"/>
  <c r="Q429" i="5" s="1"/>
  <c r="Q427" i="5"/>
  <c r="Q426" i="5"/>
  <c r="Q424" i="5"/>
  <c r="Q425" i="5" s="1"/>
  <c r="Q422" i="5"/>
  <c r="Q423" i="5" s="1"/>
  <c r="Q420" i="5"/>
  <c r="Q421" i="5" s="1"/>
  <c r="Q398" i="5"/>
  <c r="Q401" i="5" s="1"/>
  <c r="Q396" i="5"/>
  <c r="Q397" i="5" s="1"/>
  <c r="Q394" i="5"/>
  <c r="Q395" i="5" s="1"/>
  <c r="Q392" i="5"/>
  <c r="Q393" i="5" s="1"/>
  <c r="Q390" i="5"/>
  <c r="Q391" i="5" s="1"/>
  <c r="Q388" i="5"/>
  <c r="Q389" i="5" s="1"/>
  <c r="Q386" i="5"/>
  <c r="Q387" i="5" s="1"/>
  <c r="Q384" i="5"/>
  <c r="Q385" i="5" s="1"/>
  <c r="Q382" i="5"/>
  <c r="Q383" i="5" s="1"/>
  <c r="Q380" i="5"/>
  <c r="Q381" i="5" s="1"/>
  <c r="Q378" i="5"/>
  <c r="Q379" i="5" s="1"/>
  <c r="Q376" i="5"/>
  <c r="Q377" i="5" s="1"/>
  <c r="Q374" i="5"/>
  <c r="Q375" i="5" s="1"/>
  <c r="Q372" i="5"/>
  <c r="Q373" i="5" s="1"/>
  <c r="Q370" i="5"/>
  <c r="Q371" i="5" s="1"/>
  <c r="Q368" i="5"/>
  <c r="Q369" i="5" s="1"/>
  <c r="Q366" i="5"/>
  <c r="Q367" i="5" s="1"/>
  <c r="Q364" i="5"/>
  <c r="Q365" i="5" s="1"/>
  <c r="Q362" i="5"/>
  <c r="Q363" i="5" s="1"/>
  <c r="Q360" i="5"/>
  <c r="Q361" i="5" s="1"/>
  <c r="Q358" i="5"/>
  <c r="Q359" i="5" s="1"/>
  <c r="Q354" i="5"/>
  <c r="Q357" i="5" s="1"/>
  <c r="Q352" i="5"/>
  <c r="Q353" i="5" s="1"/>
  <c r="Q350" i="5"/>
  <c r="Q351" i="5" s="1"/>
  <c r="Q348" i="5"/>
  <c r="Q349" i="5" s="1"/>
  <c r="Q346" i="5"/>
  <c r="Q347" i="5" s="1"/>
  <c r="Q344" i="5"/>
  <c r="Q345" i="5" s="1"/>
  <c r="Q342" i="5"/>
  <c r="Q343" i="5" s="1"/>
  <c r="Q341" i="5"/>
  <c r="Q340" i="5"/>
  <c r="Q338" i="5"/>
  <c r="Q339" i="5" s="1"/>
  <c r="Q336" i="5"/>
  <c r="Q337" i="5" s="1"/>
  <c r="Q334" i="5"/>
  <c r="Q335" i="5" s="1"/>
  <c r="Q332" i="5"/>
  <c r="Q333" i="5" s="1"/>
  <c r="Q330" i="5"/>
  <c r="Q331" i="5" s="1"/>
  <c r="Q328" i="5"/>
  <c r="Q329" i="5" s="1"/>
  <c r="Q326" i="5"/>
  <c r="Q327" i="5" s="1"/>
  <c r="Q324" i="5"/>
  <c r="Q325" i="5" s="1"/>
  <c r="Q322" i="5"/>
  <c r="Q323" i="5" s="1"/>
  <c r="Q320" i="5"/>
  <c r="Q321" i="5" s="1"/>
  <c r="Q318" i="5"/>
  <c r="Q319" i="5" s="1"/>
  <c r="Q316" i="5"/>
  <c r="Q317" i="5" s="1"/>
  <c r="Q314" i="5"/>
  <c r="Q315" i="5" s="1"/>
  <c r="Q310" i="5"/>
  <c r="Q313" i="5" s="1"/>
  <c r="Q308" i="5"/>
  <c r="Q309" i="5" s="1"/>
  <c r="Q306" i="5"/>
  <c r="Q307" i="5" s="1"/>
  <c r="Q304" i="5"/>
  <c r="Q305" i="5" s="1"/>
  <c r="Q302" i="5"/>
  <c r="Q303" i="5" s="1"/>
  <c r="Q300" i="5"/>
  <c r="Q301" i="5" s="1"/>
  <c r="Q298" i="5"/>
  <c r="Q299" i="5" s="1"/>
  <c r="Q296" i="5"/>
  <c r="Q297" i="5" s="1"/>
  <c r="Q294" i="5"/>
  <c r="Q295" i="5" s="1"/>
  <c r="Q292" i="5"/>
  <c r="Q293" i="5" s="1"/>
  <c r="Q290" i="5"/>
  <c r="Q291" i="5" s="1"/>
  <c r="Q288" i="5"/>
  <c r="Q289" i="5" s="1"/>
  <c r="Q286" i="5"/>
  <c r="Q287" i="5" s="1"/>
  <c r="Q284" i="5"/>
  <c r="Q285" i="5" s="1"/>
  <c r="Q282" i="5"/>
  <c r="Q283" i="5" s="1"/>
  <c r="Q280" i="5"/>
  <c r="Q281" i="5" s="1"/>
  <c r="Q278" i="5"/>
  <c r="Q279" i="5" s="1"/>
  <c r="Q276" i="5"/>
  <c r="Q277" i="5" s="1"/>
  <c r="Q275" i="5"/>
  <c r="Q274" i="5"/>
  <c r="Q272" i="5"/>
  <c r="Q273" i="5" s="1"/>
  <c r="Q270" i="5"/>
  <c r="Q271" i="5" s="1"/>
  <c r="Q266" i="5"/>
  <c r="Q269" i="5" s="1"/>
  <c r="Q264" i="5"/>
  <c r="Q265" i="5" s="1"/>
  <c r="Q262" i="5"/>
  <c r="Q263" i="5" s="1"/>
  <c r="Q260" i="5"/>
  <c r="Q261" i="5" s="1"/>
  <c r="Q258" i="5"/>
  <c r="Q259" i="5" s="1"/>
  <c r="Q256" i="5"/>
  <c r="Q257" i="5" s="1"/>
  <c r="Q254" i="5"/>
  <c r="Q255" i="5" s="1"/>
  <c r="Q252" i="5"/>
  <c r="Q253" i="5" s="1"/>
  <c r="Q250" i="5"/>
  <c r="Q251" i="5" s="1"/>
  <c r="Q248" i="5"/>
  <c r="Q249" i="5" s="1"/>
  <c r="Q246" i="5"/>
  <c r="Q247" i="5" s="1"/>
  <c r="Q244" i="5"/>
  <c r="Q245" i="5" s="1"/>
  <c r="Q242" i="5"/>
  <c r="Q243" i="5" s="1"/>
  <c r="Q240" i="5"/>
  <c r="Q241" i="5" s="1"/>
  <c r="Q238" i="5"/>
  <c r="Q239" i="5" s="1"/>
  <c r="Q236" i="5"/>
  <c r="Q237" i="5" s="1"/>
  <c r="Q234" i="5"/>
  <c r="Q235" i="5" s="1"/>
  <c r="Q232" i="5"/>
  <c r="Q233" i="5" s="1"/>
  <c r="Q230" i="5"/>
  <c r="Q231" i="5" s="1"/>
  <c r="Q228" i="5"/>
  <c r="Q229" i="5" s="1"/>
  <c r="Q226" i="5"/>
  <c r="Q227" i="5" s="1"/>
  <c r="Q222" i="5"/>
  <c r="Q225" i="5" s="1"/>
  <c r="Q220" i="5"/>
  <c r="Q221" i="5" s="1"/>
  <c r="Q218" i="5"/>
  <c r="Q219" i="5" s="1"/>
  <c r="Q216" i="5"/>
  <c r="Q217" i="5" s="1"/>
  <c r="Q214" i="5"/>
  <c r="Q215" i="5" s="1"/>
  <c r="Q212" i="5"/>
  <c r="Q213" i="5" s="1"/>
  <c r="Q210" i="5"/>
  <c r="Q211" i="5" s="1"/>
  <c r="Q208" i="5"/>
  <c r="Q209" i="5" s="1"/>
  <c r="Q207" i="5"/>
  <c r="Q206" i="5"/>
  <c r="Q204" i="5"/>
  <c r="Q205" i="5" s="1"/>
  <c r="Q202" i="5"/>
  <c r="Q203" i="5" s="1"/>
  <c r="Q200" i="5"/>
  <c r="Q201" i="5" s="1"/>
  <c r="Q198" i="5"/>
  <c r="Q199" i="5" s="1"/>
  <c r="Q196" i="5"/>
  <c r="Q197" i="5" s="1"/>
  <c r="Q194" i="5"/>
  <c r="Q195" i="5" s="1"/>
  <c r="Q192" i="5"/>
  <c r="Q193" i="5" s="1"/>
  <c r="Q190" i="5"/>
  <c r="Q191" i="5" s="1"/>
  <c r="Q188" i="5"/>
  <c r="Q189" i="5" s="1"/>
  <c r="Q186" i="5"/>
  <c r="Q187" i="5" s="1"/>
  <c r="Q184" i="5"/>
  <c r="Q185" i="5" s="1"/>
  <c r="Q182" i="5"/>
  <c r="Q183" i="5" s="1"/>
  <c r="Q178" i="5"/>
  <c r="Q181" i="5" s="1"/>
  <c r="Q176" i="5"/>
  <c r="Q177" i="5" s="1"/>
  <c r="Q174" i="5"/>
  <c r="Q175" i="5" s="1"/>
  <c r="Q172" i="5"/>
  <c r="Q173" i="5" s="1"/>
  <c r="Q170" i="5"/>
  <c r="Q171" i="5" s="1"/>
  <c r="Q168" i="5"/>
  <c r="Q169" i="5" s="1"/>
  <c r="Q166" i="5"/>
  <c r="Q167" i="5" s="1"/>
  <c r="Q164" i="5"/>
  <c r="Q165" i="5" s="1"/>
  <c r="Q162" i="5"/>
  <c r="Q163" i="5" s="1"/>
  <c r="Q160" i="5"/>
  <c r="Q161" i="5" s="1"/>
  <c r="Q158" i="5"/>
  <c r="Q159" i="5" s="1"/>
  <c r="Q156" i="5"/>
  <c r="Q157" i="5" s="1"/>
  <c r="Q154" i="5"/>
  <c r="Q155" i="5" s="1"/>
  <c r="Q152" i="5"/>
  <c r="Q153" i="5" s="1"/>
  <c r="Q150" i="5"/>
  <c r="Q151" i="5" s="1"/>
  <c r="Q148" i="5"/>
  <c r="Q149" i="5" s="1"/>
  <c r="Q146" i="5"/>
  <c r="Q147" i="5" s="1"/>
  <c r="Q144" i="5"/>
  <c r="Q145" i="5" s="1"/>
  <c r="Q142" i="5"/>
  <c r="Q143" i="5" s="1"/>
  <c r="Q141" i="5"/>
  <c r="Q140" i="5"/>
  <c r="Q138" i="5"/>
  <c r="Q139" i="5" s="1"/>
  <c r="Q134" i="5"/>
  <c r="Q137" i="5" s="1"/>
  <c r="Q132" i="5"/>
  <c r="Q133" i="5" s="1"/>
  <c r="Q130" i="5"/>
  <c r="Q131" i="5" s="1"/>
  <c r="Q128" i="5"/>
  <c r="Q129" i="5" s="1"/>
  <c r="Q126" i="5"/>
  <c r="Q127" i="5" s="1"/>
  <c r="Q124" i="5"/>
  <c r="Q125" i="5" s="1"/>
  <c r="Q122" i="5"/>
  <c r="Q123" i="5" s="1"/>
  <c r="Q120" i="5"/>
  <c r="Q121" i="5" s="1"/>
  <c r="Q118" i="5"/>
  <c r="Q119" i="5" s="1"/>
  <c r="Q116" i="5"/>
  <c r="Q117" i="5" s="1"/>
  <c r="Q114" i="5"/>
  <c r="Q115" i="5" s="1"/>
  <c r="Q112" i="5"/>
  <c r="Q113" i="5" s="1"/>
  <c r="Q110" i="5"/>
  <c r="Q111" i="5" s="1"/>
  <c r="Q108" i="5"/>
  <c r="Q109" i="5" s="1"/>
  <c r="Q106" i="5"/>
  <c r="Q107" i="5" s="1"/>
  <c r="Q104" i="5"/>
  <c r="Q105" i="5" s="1"/>
  <c r="Q102" i="5"/>
  <c r="Q103" i="5" s="1"/>
  <c r="Q100" i="5"/>
  <c r="Q101" i="5" s="1"/>
  <c r="Q98" i="5"/>
  <c r="Q99" i="5" s="1"/>
  <c r="Q96" i="5"/>
  <c r="Q97" i="5" s="1"/>
  <c r="Q94" i="5"/>
  <c r="Q95" i="5" s="1"/>
  <c r="Q90" i="5"/>
  <c r="Q93" i="5" s="1"/>
  <c r="Q88" i="5"/>
  <c r="Q89" i="5" s="1"/>
  <c r="Q92" i="5" s="1"/>
  <c r="Q86" i="5"/>
  <c r="Q87" i="5" s="1"/>
  <c r="Q84" i="5"/>
  <c r="Q85" i="5" s="1"/>
  <c r="Q82" i="5"/>
  <c r="Q83" i="5" s="1"/>
  <c r="Q80" i="5"/>
  <c r="Q81" i="5" s="1"/>
  <c r="Q78" i="5"/>
  <c r="Q79" i="5" s="1"/>
  <c r="Q76" i="5"/>
  <c r="Q77" i="5" s="1"/>
  <c r="Q74" i="5"/>
  <c r="Q75" i="5" s="1"/>
  <c r="Q72" i="5"/>
  <c r="Q73" i="5" s="1"/>
  <c r="Q70" i="5"/>
  <c r="Q71" i="5" s="1"/>
  <c r="Q68" i="5"/>
  <c r="Q69" i="5" s="1"/>
  <c r="Q66" i="5"/>
  <c r="Q67" i="5" s="1"/>
  <c r="Q64" i="5"/>
  <c r="Q65" i="5" s="1"/>
  <c r="Q62" i="5"/>
  <c r="Q63" i="5" s="1"/>
  <c r="Q60" i="5"/>
  <c r="Q61" i="5" s="1"/>
  <c r="Q58" i="5"/>
  <c r="Q59" i="5" s="1"/>
  <c r="Q56" i="5"/>
  <c r="Q57" i="5" s="1"/>
  <c r="Q54" i="5"/>
  <c r="Q55" i="5" s="1"/>
  <c r="Q52" i="5"/>
  <c r="Q53" i="5" s="1"/>
  <c r="Q50" i="5"/>
  <c r="Q51" i="5" s="1"/>
  <c r="Q46" i="5"/>
  <c r="Q49" i="5" s="1"/>
  <c r="Q44" i="5"/>
  <c r="Q45" i="5" s="1"/>
  <c r="Q42" i="5"/>
  <c r="Q43" i="5" s="1"/>
  <c r="Q40" i="5"/>
  <c r="Q41" i="5" s="1"/>
  <c r="Q39" i="5"/>
  <c r="Q38" i="5"/>
  <c r="Q36" i="5"/>
  <c r="Q37" i="5" s="1"/>
  <c r="Q34" i="5"/>
  <c r="Q35" i="5" s="1"/>
  <c r="Q32" i="5"/>
  <c r="Q33" i="5" s="1"/>
  <c r="Q30" i="5"/>
  <c r="Q31" i="5" s="1"/>
  <c r="Q28" i="5"/>
  <c r="Q29" i="5" s="1"/>
  <c r="Q26" i="5"/>
  <c r="Q27" i="5" s="1"/>
  <c r="Q24" i="5"/>
  <c r="Q25" i="5" s="1"/>
  <c r="Q22" i="5"/>
  <c r="Q23" i="5" s="1"/>
  <c r="Q20" i="5"/>
  <c r="Q21" i="5" s="1"/>
  <c r="Q18" i="5"/>
  <c r="Q19" i="5" s="1"/>
  <c r="Q16" i="5"/>
  <c r="Q17" i="5" s="1"/>
  <c r="Q14" i="5"/>
  <c r="Q15" i="5" s="1"/>
  <c r="Q12" i="5"/>
  <c r="Q13" i="5" s="1"/>
  <c r="Q10" i="5"/>
  <c r="Q11" i="5" s="1"/>
  <c r="Q8" i="5"/>
  <c r="Q9" i="5" s="1"/>
  <c r="Q6" i="5"/>
  <c r="Q7" i="5" s="1"/>
  <c r="T1090" i="6"/>
  <c r="V1090" i="6" s="1"/>
  <c r="T1088" i="6"/>
  <c r="V1088" i="6" s="1"/>
  <c r="T1086" i="6"/>
  <c r="V1086" i="6" s="1"/>
  <c r="T1084" i="6"/>
  <c r="V1084" i="6" s="1"/>
  <c r="T1082" i="6"/>
  <c r="V1082" i="6" s="1"/>
  <c r="B1082" i="6"/>
  <c r="A1082" i="6"/>
  <c r="T1080" i="6"/>
  <c r="V1080" i="6" s="1"/>
  <c r="T1070" i="6"/>
  <c r="V1070" i="6" s="1"/>
  <c r="T1068" i="6"/>
  <c r="V1068" i="6" s="1"/>
  <c r="T1066" i="6"/>
  <c r="V1066" i="6" s="1"/>
  <c r="T1064" i="6"/>
  <c r="V1064" i="6" s="1"/>
  <c r="T1062" i="6"/>
  <c r="V1062" i="6" s="1"/>
  <c r="B1062" i="6"/>
  <c r="A1062" i="6"/>
  <c r="T1060" i="6"/>
  <c r="V1060" i="6" s="1"/>
  <c r="T1050" i="6"/>
  <c r="V1050" i="6" s="1"/>
  <c r="I1050" i="6"/>
  <c r="T1048" i="6"/>
  <c r="V1048" i="6" s="1"/>
  <c r="I1048" i="6"/>
  <c r="T1046" i="6"/>
  <c r="V1046" i="6" s="1"/>
  <c r="I1046" i="6"/>
  <c r="T1044" i="6"/>
  <c r="V1044" i="6" s="1"/>
  <c r="I1044" i="6"/>
  <c r="T1042" i="6"/>
  <c r="V1042" i="6" s="1"/>
  <c r="I1042" i="6"/>
  <c r="B1042" i="6"/>
  <c r="A1042" i="6"/>
  <c r="T1040" i="6"/>
  <c r="V1040" i="6" s="1"/>
  <c r="I1040" i="6"/>
  <c r="T1030" i="6"/>
  <c r="V1030" i="6" s="1"/>
  <c r="T1028" i="6"/>
  <c r="V1028" i="6" s="1"/>
  <c r="T1026" i="6"/>
  <c r="V1026" i="6" s="1"/>
  <c r="T1024" i="6"/>
  <c r="V1024" i="6" s="1"/>
  <c r="T1022" i="6"/>
  <c r="V1022" i="6" s="1"/>
  <c r="A1022" i="6"/>
  <c r="T1020" i="6"/>
  <c r="V1020" i="6" s="1"/>
  <c r="B1002" i="6"/>
  <c r="A1002" i="6"/>
  <c r="B982" i="6"/>
  <c r="A982" i="6"/>
  <c r="B962" i="6"/>
  <c r="A962" i="6"/>
  <c r="B942" i="6"/>
  <c r="A942" i="6"/>
  <c r="Q852" i="6"/>
  <c r="Q853" i="6" s="1"/>
  <c r="Q850" i="6"/>
  <c r="Q851" i="6" s="1"/>
  <c r="Q848" i="6"/>
  <c r="Q849" i="6" s="1"/>
  <c r="Q846" i="6"/>
  <c r="Q847" i="6" s="1"/>
  <c r="Q844" i="6"/>
  <c r="Q845" i="6" s="1"/>
  <c r="Q842" i="6"/>
  <c r="Q843" i="6" s="1"/>
  <c r="Q840" i="6"/>
  <c r="Q841" i="6" s="1"/>
  <c r="Q832" i="6"/>
  <c r="Q833" i="6" s="1"/>
  <c r="Q830" i="6"/>
  <c r="Q831" i="6" s="1"/>
  <c r="Q828" i="6"/>
  <c r="Q829" i="6" s="1"/>
  <c r="Q826" i="6"/>
  <c r="Q827" i="6" s="1"/>
  <c r="Q824" i="6"/>
  <c r="Q825" i="6" s="1"/>
  <c r="Q822" i="6"/>
  <c r="Q823" i="6" s="1"/>
  <c r="Q820" i="6"/>
  <c r="Q821" i="6" s="1"/>
  <c r="Q812" i="6"/>
  <c r="Q813" i="6" s="1"/>
  <c r="Q810" i="6"/>
  <c r="Q811" i="6" s="1"/>
  <c r="Q808" i="6"/>
  <c r="Q809" i="6" s="1"/>
  <c r="Q806" i="6"/>
  <c r="Q807" i="6" s="1"/>
  <c r="Q804" i="6"/>
  <c r="Q805" i="6" s="1"/>
  <c r="Q802" i="6"/>
  <c r="Q803" i="6" s="1"/>
  <c r="Q800" i="6"/>
  <c r="Q801" i="6" s="1"/>
  <c r="Q792" i="6"/>
  <c r="Q793" i="6" s="1"/>
  <c r="Q790" i="6"/>
  <c r="Q791" i="6" s="1"/>
  <c r="Q788" i="6"/>
  <c r="Q789" i="6" s="1"/>
  <c r="Q786" i="6"/>
  <c r="Q787" i="6" s="1"/>
  <c r="Q785" i="6"/>
  <c r="Q784" i="6"/>
  <c r="Q782" i="6"/>
  <c r="Q783" i="6" s="1"/>
  <c r="Q780" i="6"/>
  <c r="Q781" i="6" s="1"/>
  <c r="Q772" i="6"/>
  <c r="Q773" i="6" s="1"/>
  <c r="Q770" i="6"/>
  <c r="Q771" i="6" s="1"/>
  <c r="Q768" i="6"/>
  <c r="Q769" i="6" s="1"/>
  <c r="Q766" i="6"/>
  <c r="Q767" i="6" s="1"/>
  <c r="Q764" i="6"/>
  <c r="Q765" i="6" s="1"/>
  <c r="Q762" i="6"/>
  <c r="Q763" i="6" s="1"/>
  <c r="Q760" i="6"/>
  <c r="Q761" i="6" s="1"/>
  <c r="Q752" i="6"/>
  <c r="Q753" i="6" s="1"/>
  <c r="Q750" i="6"/>
  <c r="Q751" i="6" s="1"/>
  <c r="Q748" i="6"/>
  <c r="Q749" i="6" s="1"/>
  <c r="Q746" i="6"/>
  <c r="Q747" i="6" s="1"/>
  <c r="Q744" i="6"/>
  <c r="Q745" i="6" s="1"/>
  <c r="Q742" i="6"/>
  <c r="Q743" i="6" s="1"/>
  <c r="Q740" i="6"/>
  <c r="Q741" i="6" s="1"/>
  <c r="Q732" i="6"/>
  <c r="Q733" i="6" s="1"/>
  <c r="Q730" i="6"/>
  <c r="Q731" i="6" s="1"/>
  <c r="Q728" i="6"/>
  <c r="Q729" i="6" s="1"/>
  <c r="Q726" i="6"/>
  <c r="Q727" i="6" s="1"/>
  <c r="Q724" i="6"/>
  <c r="Q725" i="6" s="1"/>
  <c r="Q722" i="6"/>
  <c r="Q723" i="6" s="1"/>
  <c r="Q720" i="6"/>
  <c r="Q721" i="6" s="1"/>
  <c r="Q712" i="6"/>
  <c r="Q713" i="6" s="1"/>
  <c r="Q710" i="6"/>
  <c r="Q711" i="6" s="1"/>
  <c r="Q708" i="6"/>
  <c r="Q709" i="6" s="1"/>
  <c r="Q706" i="6"/>
  <c r="Q707" i="6" s="1"/>
  <c r="Q704" i="6"/>
  <c r="Q705" i="6" s="1"/>
  <c r="Q702" i="6"/>
  <c r="Q703" i="6" s="1"/>
  <c r="Q700" i="6"/>
  <c r="Q701" i="6" s="1"/>
  <c r="Q692" i="6"/>
  <c r="Q693" i="6" s="1"/>
  <c r="Q690" i="6"/>
  <c r="Q691" i="6" s="1"/>
  <c r="Q688" i="6"/>
  <c r="Q689" i="6" s="1"/>
  <c r="Q686" i="6"/>
  <c r="Q687" i="6" s="1"/>
  <c r="Q684" i="6"/>
  <c r="Q685" i="6" s="1"/>
  <c r="Q682" i="6"/>
  <c r="Q683" i="6" s="1"/>
  <c r="Q680" i="6"/>
  <c r="Q681" i="6" s="1"/>
  <c r="Q672" i="6"/>
  <c r="Q673" i="6" s="1"/>
  <c r="Q670" i="6"/>
  <c r="Q671" i="6" s="1"/>
  <c r="Q668" i="6"/>
  <c r="Q669" i="6" s="1"/>
  <c r="Q666" i="6"/>
  <c r="Q667" i="6" s="1"/>
  <c r="Q664" i="6"/>
  <c r="Q665" i="6" s="1"/>
  <c r="Q662" i="6"/>
  <c r="Q663" i="6" s="1"/>
  <c r="Q660" i="6"/>
  <c r="Q661" i="6" s="1"/>
  <c r="Q652" i="6"/>
  <c r="Q653" i="6" s="1"/>
  <c r="Q650" i="6"/>
  <c r="Q651" i="6" s="1"/>
  <c r="Q648" i="6"/>
  <c r="Q649" i="6" s="1"/>
  <c r="Q647" i="6"/>
  <c r="Q646" i="6"/>
  <c r="Q644" i="6"/>
  <c r="Q645" i="6" s="1"/>
  <c r="Q642" i="6"/>
  <c r="Q643" i="6" s="1"/>
  <c r="Q640" i="6"/>
  <c r="Q641" i="6" s="1"/>
  <c r="Q632" i="6"/>
  <c r="Q633" i="6" s="1"/>
  <c r="Q630" i="6"/>
  <c r="Q631" i="6" s="1"/>
  <c r="Q628" i="6"/>
  <c r="Q629" i="6" s="1"/>
  <c r="Q626" i="6"/>
  <c r="Q627" i="6" s="1"/>
  <c r="Q624" i="6"/>
  <c r="Q625" i="6" s="1"/>
  <c r="Q622" i="6"/>
  <c r="Q623" i="6" s="1"/>
  <c r="Q620" i="6"/>
  <c r="Q621" i="6" s="1"/>
  <c r="Q612" i="6"/>
  <c r="Q613" i="6" s="1"/>
  <c r="Q610" i="6"/>
  <c r="Q611" i="6" s="1"/>
  <c r="Q608" i="6"/>
  <c r="Q609" i="6" s="1"/>
  <c r="Q606" i="6"/>
  <c r="Q607" i="6" s="1"/>
  <c r="Q604" i="6"/>
  <c r="Q605" i="6" s="1"/>
  <c r="Q603" i="6"/>
  <c r="Q602" i="6"/>
  <c r="Q600" i="6"/>
  <c r="Q601" i="6" s="1"/>
  <c r="Q598" i="6"/>
  <c r="Q599" i="6" s="1"/>
  <c r="Q596" i="6"/>
  <c r="Q597" i="6" s="1"/>
  <c r="Q594" i="6"/>
  <c r="Q595" i="6" s="1"/>
  <c r="Q592" i="6"/>
  <c r="Q593" i="6" s="1"/>
  <c r="Q590" i="6"/>
  <c r="Q591" i="6" s="1"/>
  <c r="Q588" i="6"/>
  <c r="Q589" i="6" s="1"/>
  <c r="Q586" i="6"/>
  <c r="Q587" i="6" s="1"/>
  <c r="Q572" i="6"/>
  <c r="Q573" i="6" s="1"/>
  <c r="Q570" i="6"/>
  <c r="Q571" i="6" s="1"/>
  <c r="Q568" i="6"/>
  <c r="Q569" i="6" s="1"/>
  <c r="Q566" i="6"/>
  <c r="Q567" i="6" s="1"/>
  <c r="Q564" i="6"/>
  <c r="Q565" i="6" s="1"/>
  <c r="Q562" i="6"/>
  <c r="Q563" i="6" s="1"/>
  <c r="Q560" i="6"/>
  <c r="Q561" i="6" s="1"/>
  <c r="Q552" i="6"/>
  <c r="Q553" i="6" s="1"/>
  <c r="Q550" i="6"/>
  <c r="Q551" i="6" s="1"/>
  <c r="Q548" i="6"/>
  <c r="Q549" i="6" s="1"/>
  <c r="Q546" i="6"/>
  <c r="Q547" i="6" s="1"/>
  <c r="Q544" i="6"/>
  <c r="Q545" i="6" s="1"/>
  <c r="Q542" i="6"/>
  <c r="Q543" i="6" s="1"/>
  <c r="Q540" i="6"/>
  <c r="Q541" i="6" s="1"/>
  <c r="Q532" i="6"/>
  <c r="Q533" i="6" s="1"/>
  <c r="Q530" i="6"/>
  <c r="Q531" i="6" s="1"/>
  <c r="Q528" i="6"/>
  <c r="Q529" i="6" s="1"/>
  <c r="Q526" i="6"/>
  <c r="Q527" i="6" s="1"/>
  <c r="Q524" i="6"/>
  <c r="Q525" i="6" s="1"/>
  <c r="Q522" i="6"/>
  <c r="Q523" i="6" s="1"/>
  <c r="Q520" i="6"/>
  <c r="Q521" i="6" s="1"/>
  <c r="Q512" i="6"/>
  <c r="Q513" i="6" s="1"/>
  <c r="Q510" i="6"/>
  <c r="Q511" i="6" s="1"/>
  <c r="Q508" i="6"/>
  <c r="Q509" i="6" s="1"/>
  <c r="Q506" i="6"/>
  <c r="Q507" i="6" s="1"/>
  <c r="Q504" i="6"/>
  <c r="Q505" i="6" s="1"/>
  <c r="Q502" i="6"/>
  <c r="Q503" i="6" s="1"/>
  <c r="Q500" i="6"/>
  <c r="Q501" i="6" s="1"/>
  <c r="Q492" i="6"/>
  <c r="Q493" i="6" s="1"/>
  <c r="Q490" i="6"/>
  <c r="Q491" i="6" s="1"/>
  <c r="Q488" i="6"/>
  <c r="Q489" i="6" s="1"/>
  <c r="Q486" i="6"/>
  <c r="Q487" i="6" s="1"/>
  <c r="Q484" i="6"/>
  <c r="Q485" i="6" s="1"/>
  <c r="Q482" i="6"/>
  <c r="Q483" i="6" s="1"/>
  <c r="Q480" i="6"/>
  <c r="Q481" i="6" s="1"/>
  <c r="Q472" i="6"/>
  <c r="Q473" i="6" s="1"/>
  <c r="Q470" i="6"/>
  <c r="Q471" i="6" s="1"/>
  <c r="Q468" i="6"/>
  <c r="Q469" i="6" s="1"/>
  <c r="Q466" i="6"/>
  <c r="Q467" i="6" s="1"/>
  <c r="Q464" i="6"/>
  <c r="Q465" i="6" s="1"/>
  <c r="Q462" i="6"/>
  <c r="Q463" i="6" s="1"/>
  <c r="Q460" i="6"/>
  <c r="Q461" i="6" s="1"/>
  <c r="Q452" i="6"/>
  <c r="Q453" i="6" s="1"/>
  <c r="Q450" i="6"/>
  <c r="Q451" i="6" s="1"/>
  <c r="Q448" i="6"/>
  <c r="Q449" i="6" s="1"/>
  <c r="Q446" i="6"/>
  <c r="Q447" i="6" s="1"/>
  <c r="Q444" i="6"/>
  <c r="Q445" i="6" s="1"/>
  <c r="Q442" i="6"/>
  <c r="Q443" i="6" s="1"/>
  <c r="Q440" i="6"/>
  <c r="Q441" i="6" s="1"/>
  <c r="Q432" i="6"/>
  <c r="Q433" i="6" s="1"/>
  <c r="Q430" i="6"/>
  <c r="Q431" i="6" s="1"/>
  <c r="Q428" i="6"/>
  <c r="Q429" i="6" s="1"/>
  <c r="Q426" i="6"/>
  <c r="Q427" i="6" s="1"/>
  <c r="Q424" i="6"/>
  <c r="Q425" i="6" s="1"/>
  <c r="Q422" i="6"/>
  <c r="Q423" i="6" s="1"/>
  <c r="Q421" i="6"/>
  <c r="Q420" i="6"/>
  <c r="Q400" i="6"/>
  <c r="Q401" i="6" s="1"/>
  <c r="Q396" i="6"/>
  <c r="Q397" i="6" s="1"/>
  <c r="Q394" i="6"/>
  <c r="Q395" i="6" s="1"/>
  <c r="Q392" i="6"/>
  <c r="Q393" i="6" s="1"/>
  <c r="Q390" i="6"/>
  <c r="Q391" i="6" s="1"/>
  <c r="Q388" i="6"/>
  <c r="Q389" i="6" s="1"/>
  <c r="Q386" i="6"/>
  <c r="Q387" i="6" s="1"/>
  <c r="Q384" i="6"/>
  <c r="Q385" i="6" s="1"/>
  <c r="Q382" i="6"/>
  <c r="Q383" i="6" s="1"/>
  <c r="Q380" i="6"/>
  <c r="Q381" i="6" s="1"/>
  <c r="Q378" i="6"/>
  <c r="Q379" i="6" s="1"/>
  <c r="Q376" i="6"/>
  <c r="Q377" i="6" s="1"/>
  <c r="Q374" i="6"/>
  <c r="Q375" i="6" s="1"/>
  <c r="Q372" i="6"/>
  <c r="Q373" i="6" s="1"/>
  <c r="Q370" i="6"/>
  <c r="Q371" i="6" s="1"/>
  <c r="Q368" i="6"/>
  <c r="Q369" i="6" s="1"/>
  <c r="Q366" i="6"/>
  <c r="Q367" i="6" s="1"/>
  <c r="Q364" i="6"/>
  <c r="Q365" i="6" s="1"/>
  <c r="Q362" i="6"/>
  <c r="Q363" i="6" s="1"/>
  <c r="Q360" i="6"/>
  <c r="Q361" i="6" s="1"/>
  <c r="Q358" i="6"/>
  <c r="Q359" i="6" s="1"/>
  <c r="Q356" i="6"/>
  <c r="Q357" i="6" s="1"/>
  <c r="Q352" i="6"/>
  <c r="Q353" i="6" s="1"/>
  <c r="Q350" i="6"/>
  <c r="Q351" i="6" s="1"/>
  <c r="Q348" i="6"/>
  <c r="Q349" i="6" s="1"/>
  <c r="Q346" i="6"/>
  <c r="Q347" i="6" s="1"/>
  <c r="Q344" i="6"/>
  <c r="Q345" i="6" s="1"/>
  <c r="Q342" i="6"/>
  <c r="Q343" i="6" s="1"/>
  <c r="Q340" i="6"/>
  <c r="Q341" i="6" s="1"/>
  <c r="Q338" i="6"/>
  <c r="Q339" i="6" s="1"/>
  <c r="Q336" i="6"/>
  <c r="Q337" i="6" s="1"/>
  <c r="Q334" i="6"/>
  <c r="Q335" i="6" s="1"/>
  <c r="Q332" i="6"/>
  <c r="Q333" i="6" s="1"/>
  <c r="Q330" i="6"/>
  <c r="Q331" i="6" s="1"/>
  <c r="Q328" i="6"/>
  <c r="Q329" i="6" s="1"/>
  <c r="Q326" i="6"/>
  <c r="Q327" i="6" s="1"/>
  <c r="Q324" i="6"/>
  <c r="Q325" i="6" s="1"/>
  <c r="Q322" i="6"/>
  <c r="Q323" i="6" s="1"/>
  <c r="Q320" i="6"/>
  <c r="Q321" i="6" s="1"/>
  <c r="Q318" i="6"/>
  <c r="Q319" i="6" s="1"/>
  <c r="Q316" i="6"/>
  <c r="Q317" i="6" s="1"/>
  <c r="Q314" i="6"/>
  <c r="Q315" i="6" s="1"/>
  <c r="Q312" i="6"/>
  <c r="Q313" i="6" s="1"/>
  <c r="Q308" i="6"/>
  <c r="Q309" i="6" s="1"/>
  <c r="Q306" i="6"/>
  <c r="Q307" i="6" s="1"/>
  <c r="Q304" i="6"/>
  <c r="Q305" i="6" s="1"/>
  <c r="Q302" i="6"/>
  <c r="Q303" i="6" s="1"/>
  <c r="Q301" i="6"/>
  <c r="Q300" i="6"/>
  <c r="Q298" i="6"/>
  <c r="Q299" i="6" s="1"/>
  <c r="Q296" i="6"/>
  <c r="Q297" i="6" s="1"/>
  <c r="Q294" i="6"/>
  <c r="Q295" i="6" s="1"/>
  <c r="Q292" i="6"/>
  <c r="Q293" i="6" s="1"/>
  <c r="Q290" i="6"/>
  <c r="Q291" i="6" s="1"/>
  <c r="Q288" i="6"/>
  <c r="Q289" i="6" s="1"/>
  <c r="Q286" i="6"/>
  <c r="Q287" i="6" s="1"/>
  <c r="Q284" i="6"/>
  <c r="Q285" i="6" s="1"/>
  <c r="Q282" i="6"/>
  <c r="Q283" i="6" s="1"/>
  <c r="Q280" i="6"/>
  <c r="Q281" i="6" s="1"/>
  <c r="Q278" i="6"/>
  <c r="Q279" i="6" s="1"/>
  <c r="Q276" i="6"/>
  <c r="Q277" i="6" s="1"/>
  <c r="Q274" i="6"/>
  <c r="Q275" i="6" s="1"/>
  <c r="Q272" i="6"/>
  <c r="Q273" i="6" s="1"/>
  <c r="Q270" i="6"/>
  <c r="Q271" i="6" s="1"/>
  <c r="Q269" i="6"/>
  <c r="Q268" i="6"/>
  <c r="Q264" i="6"/>
  <c r="Q265" i="6" s="1"/>
  <c r="Q262" i="6"/>
  <c r="Q263" i="6" s="1"/>
  <c r="Q260" i="6"/>
  <c r="Q261" i="6" s="1"/>
  <c r="Q258" i="6"/>
  <c r="Q259" i="6" s="1"/>
  <c r="Q256" i="6"/>
  <c r="Q257" i="6" s="1"/>
  <c r="Q254" i="6"/>
  <c r="Q255" i="6" s="1"/>
  <c r="Q252" i="6"/>
  <c r="Q253" i="6" s="1"/>
  <c r="Q250" i="6"/>
  <c r="Q251" i="6" s="1"/>
  <c r="Q248" i="6"/>
  <c r="Q249" i="6" s="1"/>
  <c r="Q246" i="6"/>
  <c r="Q247" i="6" s="1"/>
  <c r="Q244" i="6"/>
  <c r="Q245" i="6" s="1"/>
  <c r="Q242" i="6"/>
  <c r="Q243" i="6" s="1"/>
  <c r="Q240" i="6"/>
  <c r="Q241" i="6" s="1"/>
  <c r="Q238" i="6"/>
  <c r="Q239" i="6" s="1"/>
  <c r="Q236" i="6"/>
  <c r="Q237" i="6" s="1"/>
  <c r="Q234" i="6"/>
  <c r="Q235" i="6" s="1"/>
  <c r="Q232" i="6"/>
  <c r="Q233" i="6" s="1"/>
  <c r="Q230" i="6"/>
  <c r="Q231" i="6" s="1"/>
  <c r="Q228" i="6"/>
  <c r="Q229" i="6" s="1"/>
  <c r="Q226" i="6"/>
  <c r="Q227" i="6" s="1"/>
  <c r="Q224" i="6"/>
  <c r="Q225" i="6" s="1"/>
  <c r="Q220" i="6"/>
  <c r="Q221" i="6" s="1"/>
  <c r="Q218" i="6"/>
  <c r="Q219" i="6" s="1"/>
  <c r="Q216" i="6"/>
  <c r="Q217" i="6" s="1"/>
  <c r="Q214" i="6"/>
  <c r="Q215" i="6" s="1"/>
  <c r="Q212" i="6"/>
  <c r="Q213" i="6" s="1"/>
  <c r="Q210" i="6"/>
  <c r="Q211" i="6" s="1"/>
  <c r="Q208" i="6"/>
  <c r="Q209" i="6" s="1"/>
  <c r="Q206" i="6"/>
  <c r="Q207" i="6" s="1"/>
  <c r="Q204" i="6"/>
  <c r="Q205" i="6" s="1"/>
  <c r="Q202" i="6"/>
  <c r="Q203" i="6" s="1"/>
  <c r="Q200" i="6"/>
  <c r="Q201" i="6" s="1"/>
  <c r="Q198" i="6"/>
  <c r="Q199" i="6" s="1"/>
  <c r="Q196" i="6"/>
  <c r="Q197" i="6" s="1"/>
  <c r="Q194" i="6"/>
  <c r="Q195" i="6" s="1"/>
  <c r="Q192" i="6"/>
  <c r="Q193" i="6" s="1"/>
  <c r="Q190" i="6"/>
  <c r="Q191" i="6" s="1"/>
  <c r="Q188" i="6"/>
  <c r="Q189" i="6" s="1"/>
  <c r="Q186" i="6"/>
  <c r="Q187" i="6" s="1"/>
  <c r="Q184" i="6"/>
  <c r="Q185" i="6" s="1"/>
  <c r="Q183" i="6"/>
  <c r="Q180" i="6"/>
  <c r="Q176" i="6"/>
  <c r="Q177" i="6" s="1"/>
  <c r="Q174" i="6"/>
  <c r="Q175" i="6" s="1"/>
  <c r="Q172" i="6"/>
  <c r="Q173" i="6" s="1"/>
  <c r="Q170" i="6"/>
  <c r="Q171" i="6" s="1"/>
  <c r="Q168" i="6"/>
  <c r="Q169" i="6" s="1"/>
  <c r="Q166" i="6"/>
  <c r="Q167" i="6" s="1"/>
  <c r="Q164" i="6"/>
  <c r="Q165" i="6" s="1"/>
  <c r="Q162" i="6"/>
  <c r="Q163" i="6" s="1"/>
  <c r="Q160" i="6"/>
  <c r="Q161" i="6" s="1"/>
  <c r="Q158" i="6"/>
  <c r="Q159" i="6" s="1"/>
  <c r="Q156" i="6"/>
  <c r="Q157" i="6" s="1"/>
  <c r="Q154" i="6"/>
  <c r="Q155" i="6" s="1"/>
  <c r="Q152" i="6"/>
  <c r="Q153" i="6" s="1"/>
  <c r="Q150" i="6"/>
  <c r="Q151" i="6" s="1"/>
  <c r="Q148" i="6"/>
  <c r="Q149" i="6" s="1"/>
  <c r="Q146" i="6"/>
  <c r="Q147" i="6" s="1"/>
  <c r="Q144" i="6"/>
  <c r="Q145" i="6" s="1"/>
  <c r="Q142" i="6"/>
  <c r="Q143" i="6" s="1"/>
  <c r="Q140" i="6"/>
  <c r="Q141" i="6" s="1"/>
  <c r="Q138" i="6"/>
  <c r="Q139" i="6" s="1"/>
  <c r="Q134" i="6"/>
  <c r="Q137" i="6" s="1"/>
  <c r="Q132" i="6"/>
  <c r="Q133" i="6" s="1"/>
  <c r="Q130" i="6"/>
  <c r="Q131" i="6" s="1"/>
  <c r="Q128" i="6"/>
  <c r="Q129" i="6" s="1"/>
  <c r="Q127" i="6"/>
  <c r="Q126" i="6"/>
  <c r="Q124" i="6"/>
  <c r="Q125" i="6" s="1"/>
  <c r="Q122" i="6"/>
  <c r="Q123" i="6" s="1"/>
  <c r="Q120" i="6"/>
  <c r="Q121" i="6" s="1"/>
  <c r="Q118" i="6"/>
  <c r="Q119" i="6" s="1"/>
  <c r="Q116" i="6"/>
  <c r="Q117" i="6" s="1"/>
  <c r="Q114" i="6"/>
  <c r="Q115" i="6" s="1"/>
  <c r="Q112" i="6"/>
  <c r="Q113" i="6" s="1"/>
  <c r="Q110" i="6"/>
  <c r="Q111" i="6" s="1"/>
  <c r="Q108" i="6"/>
  <c r="Q109" i="6" s="1"/>
  <c r="Q106" i="6"/>
  <c r="Q107" i="6" s="1"/>
  <c r="Q104" i="6"/>
  <c r="Q105" i="6" s="1"/>
  <c r="Q102" i="6"/>
  <c r="Q103" i="6" s="1"/>
  <c r="Q100" i="6"/>
  <c r="Q101" i="6" s="1"/>
  <c r="Q98" i="6"/>
  <c r="Q99" i="6" s="1"/>
  <c r="Q96" i="6"/>
  <c r="Q97" i="6" s="1"/>
  <c r="Q95" i="6"/>
  <c r="Q94" i="6"/>
  <c r="Q90" i="6"/>
  <c r="Q93" i="6" s="1"/>
  <c r="Q88" i="6"/>
  <c r="Q89" i="6" s="1"/>
  <c r="Q86" i="6"/>
  <c r="Q87" i="6" s="1"/>
  <c r="Q84" i="6"/>
  <c r="Q85" i="6" s="1"/>
  <c r="Q82" i="6"/>
  <c r="Q83" i="6" s="1"/>
  <c r="Q80" i="6"/>
  <c r="Q81" i="6" s="1"/>
  <c r="Q78" i="6"/>
  <c r="Q79" i="6" s="1"/>
  <c r="Q76" i="6"/>
  <c r="Q77" i="6" s="1"/>
  <c r="Q74" i="6"/>
  <c r="Q75" i="6" s="1"/>
  <c r="Q72" i="6"/>
  <c r="Q73" i="6" s="1"/>
  <c r="Q70" i="6"/>
  <c r="Q71" i="6" s="1"/>
  <c r="Q68" i="6"/>
  <c r="Q69" i="6" s="1"/>
  <c r="Q66" i="6"/>
  <c r="Q67" i="6" s="1"/>
  <c r="Q64" i="6"/>
  <c r="Q65" i="6" s="1"/>
  <c r="Q62" i="6"/>
  <c r="Q63" i="6" s="1"/>
  <c r="Q60" i="6"/>
  <c r="Q61" i="6" s="1"/>
  <c r="Q58" i="6"/>
  <c r="Q59" i="6" s="1"/>
  <c r="Q56" i="6"/>
  <c r="Q57" i="6" s="1"/>
  <c r="Q54" i="6"/>
  <c r="Q55" i="6" s="1"/>
  <c r="Q52" i="6"/>
  <c r="Q53" i="6" s="1"/>
  <c r="Q50" i="6"/>
  <c r="Q51" i="6" s="1"/>
  <c r="Q46" i="6"/>
  <c r="Q49" i="6" s="1"/>
  <c r="Q44" i="6"/>
  <c r="Q45" i="6" s="1"/>
  <c r="Q42" i="6"/>
  <c r="Q43" i="6" s="1"/>
  <c r="Q40" i="6"/>
  <c r="Q41" i="6" s="1"/>
  <c r="Q38" i="6"/>
  <c r="Q39" i="6" s="1"/>
  <c r="Q36" i="6"/>
  <c r="Q37" i="6" s="1"/>
  <c r="Q34" i="6"/>
  <c r="Q35" i="6" s="1"/>
  <c r="Q32" i="6"/>
  <c r="Q33" i="6" s="1"/>
  <c r="Q30" i="6"/>
  <c r="Q31" i="6" s="1"/>
  <c r="Q28" i="6"/>
  <c r="Q29" i="6" s="1"/>
  <c r="Q26" i="6"/>
  <c r="Q27" i="6" s="1"/>
  <c r="Q24" i="6"/>
  <c r="Q25" i="6" s="1"/>
  <c r="Q22" i="6"/>
  <c r="Q23" i="6" s="1"/>
  <c r="Q20" i="6"/>
  <c r="Q21" i="6" s="1"/>
  <c r="Q18" i="6"/>
  <c r="Q19" i="6" s="1"/>
  <c r="Q16" i="6"/>
  <c r="Q17" i="6" s="1"/>
  <c r="Q14" i="6"/>
  <c r="Q15" i="6" s="1"/>
  <c r="Q12" i="6"/>
  <c r="Q13" i="6" s="1"/>
  <c r="Q10" i="6"/>
  <c r="Q11" i="6" s="1"/>
  <c r="Q8" i="6"/>
  <c r="Q9" i="6" s="1"/>
  <c r="Q6" i="6"/>
  <c r="Q7" i="6" s="1"/>
  <c r="J1108" i="7"/>
  <c r="J1109" i="7" s="1"/>
  <c r="T1090" i="7"/>
  <c r="V1090" i="7" s="1"/>
  <c r="T1088" i="7"/>
  <c r="V1088" i="7" s="1"/>
  <c r="T1086" i="7"/>
  <c r="V1086" i="7" s="1"/>
  <c r="T1084" i="7"/>
  <c r="V1084" i="7" s="1"/>
  <c r="T1082" i="7"/>
  <c r="V1082" i="7" s="1"/>
  <c r="B1082" i="7"/>
  <c r="A1082" i="7"/>
  <c r="T1080" i="7"/>
  <c r="V1080" i="7" s="1"/>
  <c r="T1070" i="7"/>
  <c r="V1070" i="7" s="1"/>
  <c r="T1068" i="7"/>
  <c r="V1068" i="7" s="1"/>
  <c r="T1066" i="7"/>
  <c r="V1066" i="7" s="1"/>
  <c r="T1064" i="7"/>
  <c r="V1064" i="7" s="1"/>
  <c r="T1062" i="7"/>
  <c r="V1062" i="7" s="1"/>
  <c r="B1062" i="7"/>
  <c r="A1062" i="7"/>
  <c r="T1060" i="7"/>
  <c r="V1060" i="7" s="1"/>
  <c r="T1050" i="7"/>
  <c r="V1050" i="7" s="1"/>
  <c r="I1050" i="7"/>
  <c r="T1048" i="7"/>
  <c r="V1048" i="7" s="1"/>
  <c r="I1048" i="7"/>
  <c r="T1046" i="7"/>
  <c r="V1046" i="7" s="1"/>
  <c r="I1046" i="7"/>
  <c r="T1044" i="7"/>
  <c r="V1044" i="7" s="1"/>
  <c r="I1044" i="7"/>
  <c r="T1042" i="7"/>
  <c r="V1042" i="7" s="1"/>
  <c r="I1042" i="7"/>
  <c r="B1042" i="7"/>
  <c r="A1042" i="7"/>
  <c r="T1040" i="7"/>
  <c r="V1040" i="7" s="1"/>
  <c r="I1040" i="7"/>
  <c r="T1030" i="7"/>
  <c r="V1030" i="7" s="1"/>
  <c r="T1028" i="7"/>
  <c r="V1028" i="7" s="1"/>
  <c r="T1026" i="7"/>
  <c r="V1026" i="7" s="1"/>
  <c r="T1024" i="7"/>
  <c r="V1024" i="7" s="1"/>
  <c r="T1022" i="7"/>
  <c r="V1022" i="7" s="1"/>
  <c r="A1022" i="7"/>
  <c r="T1020" i="7"/>
  <c r="V1020" i="7" s="1"/>
  <c r="B1002" i="7"/>
  <c r="A1002" i="7"/>
  <c r="B982" i="7"/>
  <c r="A982" i="7"/>
  <c r="B962" i="7"/>
  <c r="A962" i="7"/>
  <c r="B942" i="7"/>
  <c r="J1101" i="8"/>
  <c r="J1102" i="8" s="1"/>
  <c r="V1090" i="8"/>
  <c r="V1088" i="8"/>
  <c r="V1086" i="8"/>
  <c r="V1084" i="8"/>
  <c r="V1082" i="8"/>
  <c r="B1082" i="8"/>
  <c r="A1082" i="8"/>
  <c r="T1080" i="8"/>
  <c r="V1080" i="8" s="1"/>
  <c r="V1070" i="8"/>
  <c r="V1068" i="8"/>
  <c r="V1066" i="8"/>
  <c r="V1064" i="8"/>
  <c r="V1062" i="8"/>
  <c r="B1062" i="8"/>
  <c r="A1062" i="8"/>
  <c r="T1060" i="8"/>
  <c r="V1060" i="8" s="1"/>
  <c r="V1050" i="8"/>
  <c r="I1050" i="8"/>
  <c r="V1048" i="8"/>
  <c r="I1048" i="8"/>
  <c r="V1046" i="8"/>
  <c r="I1046" i="8"/>
  <c r="V1044" i="8"/>
  <c r="I1044" i="8"/>
  <c r="V1042" i="8"/>
  <c r="I1042" i="8"/>
  <c r="B1042" i="8"/>
  <c r="A1042" i="8"/>
  <c r="T1040" i="8"/>
  <c r="V1040" i="8" s="1"/>
  <c r="I1040" i="8"/>
  <c r="V1030" i="8"/>
  <c r="V1028" i="8"/>
  <c r="V1026" i="8"/>
  <c r="V1024" i="8"/>
  <c r="V1022" i="8"/>
  <c r="A1022" i="8"/>
  <c r="V1020" i="8"/>
  <c r="T1020" i="8"/>
  <c r="B1002" i="8"/>
  <c r="A1002" i="8"/>
  <c r="B982" i="8"/>
  <c r="A982" i="8"/>
  <c r="B962" i="8"/>
  <c r="A962" i="8"/>
  <c r="B942" i="8"/>
  <c r="B882" i="8"/>
  <c r="A880" i="8"/>
  <c r="A882" i="8" s="1"/>
  <c r="I872" i="8"/>
  <c r="H872" i="8"/>
  <c r="H873" i="8" s="1"/>
  <c r="E872" i="8"/>
  <c r="E873" i="8" s="1"/>
  <c r="I870" i="8"/>
  <c r="H870" i="8"/>
  <c r="H871" i="8" s="1"/>
  <c r="E870" i="8"/>
  <c r="E871" i="8" s="1"/>
  <c r="I868" i="8"/>
  <c r="H868" i="8"/>
  <c r="H869" i="8" s="1"/>
  <c r="E868" i="8"/>
  <c r="E869" i="8" s="1"/>
  <c r="I866" i="8"/>
  <c r="H866" i="8"/>
  <c r="H867" i="8" s="1"/>
  <c r="E866" i="8"/>
  <c r="E867" i="8" s="1"/>
  <c r="I864" i="8"/>
  <c r="H864" i="8"/>
  <c r="H865" i="8" s="1"/>
  <c r="E864" i="8"/>
  <c r="E865" i="8" s="1"/>
  <c r="I862" i="8"/>
  <c r="I863" i="8" s="1"/>
  <c r="H862" i="8"/>
  <c r="B862" i="8"/>
  <c r="I860" i="8"/>
  <c r="H860" i="8"/>
  <c r="H861" i="8" s="1"/>
  <c r="E860" i="8"/>
  <c r="E861" i="8" s="1"/>
  <c r="A860" i="8"/>
  <c r="A862" i="8" s="1"/>
  <c r="Q852" i="8"/>
  <c r="Q853" i="8" s="1"/>
  <c r="Q850" i="8"/>
  <c r="Q851" i="8" s="1"/>
  <c r="Q849" i="8"/>
  <c r="Q848" i="8"/>
  <c r="Q846" i="8"/>
  <c r="Q847" i="8" s="1"/>
  <c r="Q844" i="8"/>
  <c r="Q845" i="8" s="1"/>
  <c r="Q842" i="8"/>
  <c r="Q843" i="8" s="1"/>
  <c r="Q840" i="8"/>
  <c r="Q841" i="8" s="1"/>
  <c r="Q832" i="8"/>
  <c r="Q833" i="8" s="1"/>
  <c r="Q830" i="8"/>
  <c r="Q831" i="8" s="1"/>
  <c r="Q828" i="8"/>
  <c r="Q829" i="8" s="1"/>
  <c r="Q826" i="8"/>
  <c r="Q827" i="8" s="1"/>
  <c r="Q824" i="8"/>
  <c r="Q825" i="8" s="1"/>
  <c r="Q822" i="8"/>
  <c r="Q823" i="8" s="1"/>
  <c r="Q820" i="8"/>
  <c r="Q821" i="8" s="1"/>
  <c r="Q812" i="8"/>
  <c r="Q813" i="8" s="1"/>
  <c r="Q810" i="8"/>
  <c r="Q811" i="8" s="1"/>
  <c r="Q808" i="8"/>
  <c r="Q809" i="8" s="1"/>
  <c r="Q806" i="8"/>
  <c r="Q807" i="8" s="1"/>
  <c r="Q805" i="8"/>
  <c r="Q804" i="8"/>
  <c r="Q802" i="8"/>
  <c r="Q803" i="8" s="1"/>
  <c r="Q800" i="8"/>
  <c r="Q801" i="8" s="1"/>
  <c r="Q792" i="8"/>
  <c r="Q793" i="8" s="1"/>
  <c r="Q790" i="8"/>
  <c r="Q791" i="8" s="1"/>
  <c r="Q788" i="8"/>
  <c r="Q789" i="8" s="1"/>
  <c r="Q786" i="8"/>
  <c r="Q787" i="8" s="1"/>
  <c r="Q784" i="8"/>
  <c r="Q785" i="8" s="1"/>
  <c r="Q782" i="8"/>
  <c r="Q783" i="8" s="1"/>
  <c r="Q780" i="8"/>
  <c r="Q781" i="8" s="1"/>
  <c r="Q772" i="8"/>
  <c r="Q773" i="8" s="1"/>
  <c r="Q770" i="8"/>
  <c r="Q771" i="8" s="1"/>
  <c r="Q768" i="8"/>
  <c r="Q769" i="8" s="1"/>
  <c r="Q766" i="8"/>
  <c r="Q767" i="8" s="1"/>
  <c r="Q764" i="8"/>
  <c r="Q765" i="8" s="1"/>
  <c r="Q762" i="8"/>
  <c r="Q763" i="8" s="1"/>
  <c r="Q760" i="8"/>
  <c r="Q761" i="8" s="1"/>
  <c r="Q752" i="8"/>
  <c r="Q753" i="8" s="1"/>
  <c r="Q750" i="8"/>
  <c r="Q751" i="8" s="1"/>
  <c r="Q748" i="8"/>
  <c r="Q749" i="8" s="1"/>
  <c r="Q746" i="8"/>
  <c r="Q747" i="8" s="1"/>
  <c r="Q744" i="8"/>
  <c r="Q745" i="8" s="1"/>
  <c r="Q742" i="8"/>
  <c r="Q743" i="8" s="1"/>
  <c r="Q740" i="8"/>
  <c r="Q741" i="8" s="1"/>
  <c r="Q732" i="8"/>
  <c r="Q733" i="8" s="1"/>
  <c r="Q730" i="8"/>
  <c r="Q731" i="8" s="1"/>
  <c r="Q728" i="8"/>
  <c r="Q729" i="8" s="1"/>
  <c r="Q726" i="8"/>
  <c r="Q727" i="8" s="1"/>
  <c r="Q724" i="8"/>
  <c r="Q725" i="8" s="1"/>
  <c r="Q722" i="8"/>
  <c r="Q723" i="8" s="1"/>
  <c r="Q720" i="8"/>
  <c r="Q721" i="8" s="1"/>
  <c r="Q712" i="8"/>
  <c r="Q713" i="8" s="1"/>
  <c r="Q710" i="8"/>
  <c r="Q711" i="8" s="1"/>
  <c r="Q708" i="8"/>
  <c r="Q709" i="8" s="1"/>
  <c r="Q706" i="8"/>
  <c r="Q707" i="8" s="1"/>
  <c r="Q704" i="8"/>
  <c r="Q705" i="8" s="1"/>
  <c r="Q702" i="8"/>
  <c r="Q703" i="8" s="1"/>
  <c r="Q700" i="8"/>
  <c r="Q701" i="8" s="1"/>
  <c r="Q692" i="8"/>
  <c r="Q693" i="8" s="1"/>
  <c r="Q690" i="8"/>
  <c r="Q691" i="8" s="1"/>
  <c r="Q688" i="8"/>
  <c r="Q689" i="8" s="1"/>
  <c r="Q686" i="8"/>
  <c r="Q687" i="8" s="1"/>
  <c r="Q684" i="8"/>
  <c r="Q685" i="8" s="1"/>
  <c r="Q682" i="8"/>
  <c r="Q683" i="8" s="1"/>
  <c r="Q680" i="8"/>
  <c r="Q681" i="8" s="1"/>
  <c r="Q672" i="8"/>
  <c r="Q673" i="8" s="1"/>
  <c r="Q670" i="8"/>
  <c r="Q671" i="8" s="1"/>
  <c r="Q668" i="8"/>
  <c r="Q669" i="8" s="1"/>
  <c r="Q666" i="8"/>
  <c r="Q667" i="8" s="1"/>
  <c r="Q664" i="8"/>
  <c r="Q665" i="8" s="1"/>
  <c r="Q662" i="8"/>
  <c r="Q663" i="8" s="1"/>
  <c r="Q660" i="8"/>
  <c r="Q661" i="8" s="1"/>
  <c r="Q652" i="8"/>
  <c r="Q653" i="8" s="1"/>
  <c r="Q650" i="8"/>
  <c r="Q651" i="8" s="1"/>
  <c r="Q648" i="8"/>
  <c r="Q649" i="8" s="1"/>
  <c r="Q646" i="8"/>
  <c r="Q647" i="8" s="1"/>
  <c r="Q644" i="8"/>
  <c r="Q645" i="8" s="1"/>
  <c r="Q642" i="8"/>
  <c r="Q643" i="8" s="1"/>
  <c r="Q640" i="8"/>
  <c r="Q641" i="8" s="1"/>
  <c r="Q632" i="8"/>
  <c r="Q633" i="8" s="1"/>
  <c r="Q630" i="8"/>
  <c r="Q631" i="8" s="1"/>
  <c r="Q628" i="8"/>
  <c r="Q629" i="8" s="1"/>
  <c r="Q626" i="8"/>
  <c r="Q627" i="8" s="1"/>
  <c r="Q624" i="8"/>
  <c r="Q625" i="8" s="1"/>
  <c r="Q622" i="8"/>
  <c r="Q623" i="8" s="1"/>
  <c r="Q620" i="8"/>
  <c r="Q621" i="8" s="1"/>
  <c r="Q612" i="8"/>
  <c r="Q613" i="8" s="1"/>
  <c r="Q610" i="8"/>
  <c r="Q611" i="8" s="1"/>
  <c r="Q609" i="8"/>
  <c r="Q608" i="8"/>
  <c r="Q606" i="8"/>
  <c r="Q607" i="8" s="1"/>
  <c r="Q604" i="8"/>
  <c r="Q605" i="8" s="1"/>
  <c r="Q602" i="8"/>
  <c r="Q603" i="8" s="1"/>
  <c r="Q600" i="8"/>
  <c r="Q601" i="8" s="1"/>
  <c r="Q592" i="8"/>
  <c r="Q593" i="8" s="1"/>
  <c r="Q590" i="8"/>
  <c r="Q591" i="8" s="1"/>
  <c r="Q588" i="8"/>
  <c r="Q589" i="8" s="1"/>
  <c r="Q586" i="8"/>
  <c r="Q587" i="8" s="1"/>
  <c r="Q584" i="8"/>
  <c r="Q585" i="8" s="1"/>
  <c r="Q582" i="8"/>
  <c r="Q583" i="8" s="1"/>
  <c r="Q580" i="8"/>
  <c r="Q581" i="8" s="1"/>
  <c r="Q572" i="8"/>
  <c r="Q573" i="8" s="1"/>
  <c r="Q570" i="8"/>
  <c r="Q571" i="8" s="1"/>
  <c r="Q568" i="8"/>
  <c r="Q569" i="8" s="1"/>
  <c r="Q566" i="8"/>
  <c r="Q567" i="8" s="1"/>
  <c r="Q564" i="8"/>
  <c r="Q565" i="8" s="1"/>
  <c r="Q562" i="8"/>
  <c r="Q563" i="8" s="1"/>
  <c r="Q560" i="8"/>
  <c r="Q561" i="8" s="1"/>
  <c r="Q552" i="8"/>
  <c r="Q553" i="8" s="1"/>
  <c r="Q550" i="8"/>
  <c r="Q551" i="8" s="1"/>
  <c r="Q548" i="8"/>
  <c r="Q549" i="8" s="1"/>
  <c r="Q546" i="8"/>
  <c r="Q547" i="8" s="1"/>
  <c r="Q544" i="8"/>
  <c r="Q545" i="8" s="1"/>
  <c r="Q542" i="8"/>
  <c r="Q543" i="8" s="1"/>
  <c r="Q540" i="8"/>
  <c r="Q541" i="8" s="1"/>
  <c r="Q532" i="8"/>
  <c r="Q533" i="8" s="1"/>
  <c r="Q530" i="8"/>
  <c r="Q531" i="8" s="1"/>
  <c r="Q528" i="8"/>
  <c r="Q529" i="8" s="1"/>
  <c r="Q526" i="8"/>
  <c r="Q527" i="8" s="1"/>
  <c r="Q524" i="8"/>
  <c r="Q525" i="8" s="1"/>
  <c r="Q522" i="8"/>
  <c r="Q523" i="8" s="1"/>
  <c r="Q520" i="8"/>
  <c r="Q521" i="8" s="1"/>
  <c r="Q512" i="8"/>
  <c r="Q513" i="8" s="1"/>
  <c r="Q510" i="8"/>
  <c r="Q511" i="8" s="1"/>
  <c r="Q508" i="8"/>
  <c r="Q509" i="8" s="1"/>
  <c r="Q506" i="8"/>
  <c r="Q507" i="8" s="1"/>
  <c r="Q504" i="8"/>
  <c r="Q505" i="8" s="1"/>
  <c r="Q502" i="8"/>
  <c r="Q503" i="8" s="1"/>
  <c r="Q500" i="8"/>
  <c r="Q501" i="8" s="1"/>
  <c r="Q492" i="8"/>
  <c r="Q493" i="8" s="1"/>
  <c r="Q490" i="8"/>
  <c r="Q491" i="8" s="1"/>
  <c r="Q488" i="8"/>
  <c r="Q489" i="8" s="1"/>
  <c r="Q486" i="8"/>
  <c r="Q487" i="8" s="1"/>
  <c r="Q484" i="8"/>
  <c r="Q485" i="8" s="1"/>
  <c r="Q482" i="8"/>
  <c r="Q483" i="8" s="1"/>
  <c r="Q480" i="8"/>
  <c r="Q481" i="8" s="1"/>
  <c r="Q472" i="8"/>
  <c r="Q473" i="8" s="1"/>
  <c r="Q470" i="8"/>
  <c r="Q471" i="8" s="1"/>
  <c r="Q468" i="8"/>
  <c r="Q469" i="8" s="1"/>
  <c r="Q466" i="8"/>
  <c r="Q467" i="8" s="1"/>
  <c r="Q464" i="8"/>
  <c r="Q465" i="8" s="1"/>
  <c r="Q462" i="8"/>
  <c r="Q463" i="8" s="1"/>
  <c r="Q460" i="8"/>
  <c r="Q461" i="8" s="1"/>
  <c r="Q452" i="8"/>
  <c r="Q453" i="8" s="1"/>
  <c r="Q450" i="8"/>
  <c r="Q451" i="8" s="1"/>
  <c r="Q448" i="8"/>
  <c r="Q449" i="8" s="1"/>
  <c r="Q446" i="8"/>
  <c r="Q447" i="8" s="1"/>
  <c r="Q444" i="8"/>
  <c r="Q445" i="8" s="1"/>
  <c r="Q442" i="8"/>
  <c r="Q443" i="8" s="1"/>
  <c r="Q440" i="8"/>
  <c r="Q441" i="8" s="1"/>
  <c r="Q432" i="8"/>
  <c r="Q433" i="8" s="1"/>
  <c r="Q430" i="8"/>
  <c r="Q431" i="8" s="1"/>
  <c r="Q428" i="8"/>
  <c r="Q429" i="8" s="1"/>
  <c r="Q426" i="8"/>
  <c r="Q427" i="8" s="1"/>
  <c r="Q424" i="8"/>
  <c r="Q425" i="8" s="1"/>
  <c r="Q422" i="8"/>
  <c r="Q423" i="8" s="1"/>
  <c r="Q420" i="8"/>
  <c r="Q421" i="8" s="1"/>
  <c r="Q400" i="8"/>
  <c r="Q401" i="8" s="1"/>
  <c r="Q396" i="8"/>
  <c r="Q397" i="8" s="1"/>
  <c r="Q394" i="8"/>
  <c r="Q395" i="8" s="1"/>
  <c r="Q392" i="8"/>
  <c r="Q393" i="8" s="1"/>
  <c r="Q390" i="8"/>
  <c r="Q391" i="8" s="1"/>
  <c r="Q388" i="8"/>
  <c r="Q389" i="8" s="1"/>
  <c r="Q386" i="8"/>
  <c r="Q387" i="8" s="1"/>
  <c r="Q384" i="8"/>
  <c r="Q385" i="8" s="1"/>
  <c r="Q382" i="8"/>
  <c r="Q383" i="8" s="1"/>
  <c r="Q380" i="8"/>
  <c r="Q381" i="8" s="1"/>
  <c r="Q378" i="8"/>
  <c r="Q379" i="8" s="1"/>
  <c r="Q376" i="8"/>
  <c r="Q377" i="8" s="1"/>
  <c r="Q374" i="8"/>
  <c r="Q375" i="8" s="1"/>
  <c r="Q372" i="8"/>
  <c r="Q373" i="8" s="1"/>
  <c r="Q370" i="8"/>
  <c r="Q371" i="8" s="1"/>
  <c r="Q368" i="8"/>
  <c r="Q369" i="8" s="1"/>
  <c r="Q366" i="8"/>
  <c r="Q367" i="8" s="1"/>
  <c r="Q364" i="8"/>
  <c r="Q365" i="8" s="1"/>
  <c r="Q362" i="8"/>
  <c r="Q363" i="8" s="1"/>
  <c r="Q360" i="8"/>
  <c r="Q361" i="8" s="1"/>
  <c r="Q358" i="8"/>
  <c r="Q359" i="8" s="1"/>
  <c r="Q356" i="8"/>
  <c r="Q357" i="8" s="1"/>
  <c r="Q352" i="8"/>
  <c r="Q353" i="8" s="1"/>
  <c r="Q350" i="8"/>
  <c r="Q351" i="8" s="1"/>
  <c r="Q348" i="8"/>
  <c r="Q349" i="8" s="1"/>
  <c r="Q346" i="8"/>
  <c r="Q347" i="8" s="1"/>
  <c r="Q344" i="8"/>
  <c r="Q345" i="8" s="1"/>
  <c r="Q342" i="8"/>
  <c r="Q343" i="8" s="1"/>
  <c r="Q340" i="8"/>
  <c r="Q341" i="8" s="1"/>
  <c r="Q338" i="8"/>
  <c r="Q339" i="8" s="1"/>
  <c r="Q336" i="8"/>
  <c r="Q337" i="8" s="1"/>
  <c r="Q334" i="8"/>
  <c r="Q335" i="8" s="1"/>
  <c r="Q332" i="8"/>
  <c r="Q333" i="8" s="1"/>
  <c r="Q330" i="8"/>
  <c r="Q331" i="8" s="1"/>
  <c r="Q328" i="8"/>
  <c r="Q329" i="8" s="1"/>
  <c r="Q326" i="8"/>
  <c r="Q327" i="8" s="1"/>
  <c r="Q324" i="8"/>
  <c r="Q325" i="8" s="1"/>
  <c r="Q322" i="8"/>
  <c r="Q323" i="8" s="1"/>
  <c r="Q320" i="8"/>
  <c r="Q321" i="8" s="1"/>
  <c r="Q318" i="8"/>
  <c r="Q319" i="8" s="1"/>
  <c r="Q316" i="8"/>
  <c r="Q317" i="8" s="1"/>
  <c r="Q314" i="8"/>
  <c r="Q315" i="8" s="1"/>
  <c r="Q312" i="8"/>
  <c r="Q313" i="8" s="1"/>
  <c r="Q308" i="8"/>
  <c r="Q309" i="8" s="1"/>
  <c r="Q306" i="8"/>
  <c r="Q307" i="8" s="1"/>
  <c r="Q304" i="8"/>
  <c r="Q305" i="8" s="1"/>
  <c r="Q302" i="8"/>
  <c r="Q303" i="8" s="1"/>
  <c r="Q300" i="8"/>
  <c r="Q301" i="8" s="1"/>
  <c r="Q298" i="8"/>
  <c r="Q299" i="8" s="1"/>
  <c r="Q296" i="8"/>
  <c r="Q297" i="8" s="1"/>
  <c r="Q294" i="8"/>
  <c r="Q295" i="8" s="1"/>
  <c r="Q292" i="8"/>
  <c r="Q293" i="8" s="1"/>
  <c r="Q290" i="8"/>
  <c r="Q291" i="8" s="1"/>
  <c r="Q288" i="8"/>
  <c r="Q289" i="8" s="1"/>
  <c r="Q286" i="8"/>
  <c r="Q287" i="8" s="1"/>
  <c r="Q284" i="8"/>
  <c r="Q285" i="8" s="1"/>
  <c r="Q282" i="8"/>
  <c r="Q283" i="8" s="1"/>
  <c r="Q280" i="8"/>
  <c r="Q281" i="8" s="1"/>
  <c r="Q278" i="8"/>
  <c r="Q279" i="8" s="1"/>
  <c r="Q276" i="8"/>
  <c r="Q277" i="8" s="1"/>
  <c r="Q274" i="8"/>
  <c r="Q275" i="8" s="1"/>
  <c r="Q272" i="8"/>
  <c r="Q273" i="8" s="1"/>
  <c r="Q270" i="8"/>
  <c r="Q271" i="8" s="1"/>
  <c r="Q268" i="8"/>
  <c r="Q269" i="8" s="1"/>
  <c r="Q264" i="8"/>
  <c r="Q265" i="8" s="1"/>
  <c r="Q262" i="8"/>
  <c r="Q263" i="8" s="1"/>
  <c r="Q260" i="8"/>
  <c r="Q261" i="8" s="1"/>
  <c r="Q258" i="8"/>
  <c r="Q259" i="8" s="1"/>
  <c r="Q256" i="8"/>
  <c r="Q257" i="8" s="1"/>
  <c r="Q254" i="8"/>
  <c r="Q255" i="8" s="1"/>
  <c r="Q252" i="8"/>
  <c r="Q253" i="8" s="1"/>
  <c r="Q250" i="8"/>
  <c r="Q251" i="8" s="1"/>
  <c r="Q248" i="8"/>
  <c r="Q249" i="8" s="1"/>
  <c r="Q246" i="8"/>
  <c r="Q247" i="8" s="1"/>
  <c r="Q244" i="8"/>
  <c r="Q245" i="8" s="1"/>
  <c r="Q242" i="8"/>
  <c r="Q243" i="8" s="1"/>
  <c r="Q240" i="8"/>
  <c r="Q241" i="8" s="1"/>
  <c r="Q238" i="8"/>
  <c r="Q239" i="8" s="1"/>
  <c r="Q236" i="8"/>
  <c r="Q237" i="8" s="1"/>
  <c r="Q234" i="8"/>
  <c r="Q235" i="8" s="1"/>
  <c r="Q232" i="8"/>
  <c r="Q233" i="8" s="1"/>
  <c r="Q230" i="8"/>
  <c r="Q231" i="8" s="1"/>
  <c r="Q228" i="8"/>
  <c r="Q229" i="8" s="1"/>
  <c r="Q226" i="8"/>
  <c r="Q227" i="8" s="1"/>
  <c r="Q224" i="8"/>
  <c r="Q225" i="8" s="1"/>
  <c r="Q220" i="8"/>
  <c r="Q221" i="8" s="1"/>
  <c r="Q218" i="8"/>
  <c r="Q219" i="8" s="1"/>
  <c r="Q216" i="8"/>
  <c r="Q217" i="8" s="1"/>
  <c r="Q214" i="8"/>
  <c r="Q215" i="8" s="1"/>
  <c r="Q212" i="8"/>
  <c r="Q213" i="8" s="1"/>
  <c r="Q210" i="8"/>
  <c r="Q211" i="8" s="1"/>
  <c r="Q208" i="8"/>
  <c r="Q209" i="8" s="1"/>
  <c r="Q206" i="8"/>
  <c r="Q207" i="8" s="1"/>
  <c r="Q204" i="8"/>
  <c r="Q205" i="8" s="1"/>
  <c r="Q202" i="8"/>
  <c r="Q203" i="8" s="1"/>
  <c r="Q200" i="8"/>
  <c r="Q201" i="8" s="1"/>
  <c r="Q198" i="8"/>
  <c r="Q199" i="8" s="1"/>
  <c r="Q196" i="8"/>
  <c r="Q197" i="8" s="1"/>
  <c r="Q194" i="8"/>
  <c r="Q195" i="8" s="1"/>
  <c r="Q192" i="8"/>
  <c r="Q193" i="8" s="1"/>
  <c r="Q190" i="8"/>
  <c r="Q191" i="8" s="1"/>
  <c r="Q188" i="8"/>
  <c r="Q189" i="8" s="1"/>
  <c r="Q186" i="8"/>
  <c r="Q187" i="8" s="1"/>
  <c r="Q184" i="8"/>
  <c r="Q185" i="8" s="1"/>
  <c r="Q182" i="8"/>
  <c r="Q183" i="8" s="1"/>
  <c r="Q180" i="8"/>
  <c r="Q181" i="8" s="1"/>
  <c r="Q176" i="8"/>
  <c r="Q177" i="8" s="1"/>
  <c r="Q174" i="8"/>
  <c r="Q175" i="8" s="1"/>
  <c r="Q172" i="8"/>
  <c r="Q173" i="8" s="1"/>
  <c r="Q170" i="8"/>
  <c r="Q171" i="8" s="1"/>
  <c r="Q168" i="8"/>
  <c r="Q169" i="8" s="1"/>
  <c r="Q166" i="8"/>
  <c r="Q167" i="8" s="1"/>
  <c r="Q164" i="8"/>
  <c r="Q165" i="8" s="1"/>
  <c r="Q162" i="8"/>
  <c r="Q163" i="8" s="1"/>
  <c r="Q160" i="8"/>
  <c r="Q161" i="8" s="1"/>
  <c r="Q158" i="8"/>
  <c r="Q159" i="8" s="1"/>
  <c r="Q156" i="8"/>
  <c r="Q157" i="8" s="1"/>
  <c r="Q154" i="8"/>
  <c r="Q155" i="8" s="1"/>
  <c r="Q152" i="8"/>
  <c r="Q153" i="8" s="1"/>
  <c r="Q150" i="8"/>
  <c r="Q151" i="8" s="1"/>
  <c r="Q148" i="8"/>
  <c r="Q149" i="8" s="1"/>
  <c r="Q146" i="8"/>
  <c r="Q147" i="8" s="1"/>
  <c r="Q144" i="8"/>
  <c r="Q145" i="8" s="1"/>
  <c r="Q142" i="8"/>
  <c r="Q143" i="8" s="1"/>
  <c r="Q141" i="8"/>
  <c r="Q140" i="8"/>
  <c r="Q138" i="8"/>
  <c r="Q139" i="8" s="1"/>
  <c r="Q136" i="8"/>
  <c r="Q137" i="8" s="1"/>
  <c r="Q132" i="8"/>
  <c r="Q133" i="8" s="1"/>
  <c r="Q130" i="8"/>
  <c r="Q131" i="8" s="1"/>
  <c r="Q128" i="8"/>
  <c r="Q129" i="8" s="1"/>
  <c r="Q126" i="8"/>
  <c r="Q127" i="8" s="1"/>
  <c r="Q124" i="8"/>
  <c r="Q125" i="8" s="1"/>
  <c r="Q122" i="8"/>
  <c r="Q123" i="8" s="1"/>
  <c r="Q120" i="8"/>
  <c r="Q121" i="8" s="1"/>
  <c r="Q118" i="8"/>
  <c r="Q119" i="8" s="1"/>
  <c r="Q116" i="8"/>
  <c r="Q117" i="8" s="1"/>
  <c r="Q114" i="8"/>
  <c r="Q115" i="8" s="1"/>
  <c r="Q112" i="8"/>
  <c r="Q113" i="8" s="1"/>
  <c r="Q110" i="8"/>
  <c r="Q111" i="8" s="1"/>
  <c r="Q108" i="8"/>
  <c r="Q109" i="8" s="1"/>
  <c r="Q106" i="8"/>
  <c r="Q107" i="8" s="1"/>
  <c r="Q104" i="8"/>
  <c r="Q105" i="8" s="1"/>
  <c r="Q102" i="8"/>
  <c r="Q103" i="8" s="1"/>
  <c r="Q100" i="8"/>
  <c r="Q101" i="8" s="1"/>
  <c r="Q98" i="8"/>
  <c r="Q99" i="8" s="1"/>
  <c r="Q96" i="8"/>
  <c r="Q97" i="8" s="1"/>
  <c r="Q94" i="8"/>
  <c r="Q95" i="8" s="1"/>
  <c r="Q92" i="8"/>
  <c r="Q93" i="8" s="1"/>
  <c r="Q88" i="8"/>
  <c r="Q89" i="8" s="1"/>
  <c r="Q86" i="8"/>
  <c r="Q87" i="8" s="1"/>
  <c r="Q84" i="8"/>
  <c r="Q85" i="8" s="1"/>
  <c r="Q82" i="8"/>
  <c r="Q83" i="8" s="1"/>
  <c r="Q80" i="8"/>
  <c r="Q81" i="8" s="1"/>
  <c r="Q78" i="8"/>
  <c r="Q79" i="8" s="1"/>
  <c r="Q76" i="8"/>
  <c r="Q77" i="8" s="1"/>
  <c r="Q74" i="8"/>
  <c r="Q75" i="8" s="1"/>
  <c r="Q72" i="8"/>
  <c r="Q73" i="8" s="1"/>
  <c r="Q70" i="8"/>
  <c r="Q71" i="8" s="1"/>
  <c r="Q68" i="8"/>
  <c r="Q69" i="8" s="1"/>
  <c r="Q66" i="8"/>
  <c r="Q67" i="8" s="1"/>
  <c r="Q64" i="8"/>
  <c r="Q65" i="8" s="1"/>
  <c r="Q62" i="8"/>
  <c r="Q63" i="8" s="1"/>
  <c r="Q60" i="8"/>
  <c r="Q61" i="8" s="1"/>
  <c r="Q58" i="8"/>
  <c r="Q59" i="8" s="1"/>
  <c r="Q56" i="8"/>
  <c r="Q57" i="8" s="1"/>
  <c r="Q54" i="8"/>
  <c r="Q55" i="8" s="1"/>
  <c r="Q52" i="8"/>
  <c r="Q53" i="8" s="1"/>
  <c r="Q50" i="8"/>
  <c r="Q51" i="8" s="1"/>
  <c r="Q48" i="8"/>
  <c r="Q49" i="8" s="1"/>
  <c r="Q44" i="8"/>
  <c r="Q45" i="8" s="1"/>
  <c r="Q42" i="8"/>
  <c r="Q43" i="8" s="1"/>
  <c r="Q40" i="8"/>
  <c r="Q41" i="8" s="1"/>
  <c r="Q38" i="8"/>
  <c r="Q39" i="8" s="1"/>
  <c r="Q36" i="8"/>
  <c r="Q37" i="8" s="1"/>
  <c r="Q34" i="8"/>
  <c r="Q35" i="8" s="1"/>
  <c r="Q32" i="8"/>
  <c r="Q33" i="8" s="1"/>
  <c r="Q30" i="8"/>
  <c r="Q31" i="8" s="1"/>
  <c r="Q28" i="8"/>
  <c r="Q29" i="8" s="1"/>
  <c r="Q26" i="8"/>
  <c r="Q27" i="8" s="1"/>
  <c r="Q24" i="8"/>
  <c r="Q25" i="8" s="1"/>
  <c r="Q22" i="8"/>
  <c r="Q23" i="8" s="1"/>
  <c r="Q20" i="8"/>
  <c r="Q21" i="8" s="1"/>
  <c r="Q18" i="8"/>
  <c r="Q19" i="8" s="1"/>
  <c r="Q16" i="8"/>
  <c r="Q17" i="8" s="1"/>
  <c r="Q14" i="8"/>
  <c r="Q15" i="8" s="1"/>
  <c r="Q12" i="8"/>
  <c r="Q13" i="8" s="1"/>
  <c r="Q10" i="8"/>
  <c r="Q11" i="8" s="1"/>
  <c r="Q8" i="8"/>
  <c r="Q9" i="8" s="1"/>
  <c r="Q7" i="8"/>
  <c r="Q6" i="8"/>
  <c r="B1082" i="9"/>
  <c r="A1082" i="9"/>
  <c r="B1062" i="9"/>
  <c r="A1062" i="9"/>
  <c r="I1050" i="9"/>
  <c r="I1048" i="9"/>
  <c r="I1046" i="9"/>
  <c r="I1044" i="9"/>
  <c r="I1042" i="9"/>
  <c r="B1042" i="9"/>
  <c r="A1042" i="9"/>
  <c r="I1040" i="9"/>
  <c r="A1022" i="9"/>
  <c r="B1002" i="9"/>
  <c r="A1002" i="9"/>
  <c r="B982" i="9"/>
  <c r="A982" i="9"/>
  <c r="B962" i="9"/>
  <c r="A962" i="9"/>
  <c r="B942" i="9"/>
  <c r="Q852" i="9"/>
  <c r="Q853" i="9" s="1"/>
  <c r="Q850" i="9"/>
  <c r="Q851" i="9" s="1"/>
  <c r="Q848" i="9"/>
  <c r="Q849" i="9" s="1"/>
  <c r="Q846" i="9"/>
  <c r="Q847" i="9" s="1"/>
  <c r="Q844" i="9"/>
  <c r="Q845" i="9" s="1"/>
  <c r="Q842" i="9"/>
  <c r="Q843" i="9" s="1"/>
  <c r="Q840" i="9"/>
  <c r="Q841" i="9" s="1"/>
  <c r="Q832" i="9"/>
  <c r="Q833" i="9" s="1"/>
  <c r="Q830" i="9"/>
  <c r="Q831" i="9" s="1"/>
  <c r="Q828" i="9"/>
  <c r="Q829" i="9" s="1"/>
  <c r="Q826" i="9"/>
  <c r="Q827" i="9" s="1"/>
  <c r="Q824" i="9"/>
  <c r="Q825" i="9" s="1"/>
  <c r="Q822" i="9"/>
  <c r="Q823" i="9" s="1"/>
  <c r="Q820" i="9"/>
  <c r="Q821" i="9" s="1"/>
  <c r="Q812" i="9"/>
  <c r="Q813" i="9" s="1"/>
  <c r="Q810" i="9"/>
  <c r="Q811" i="9" s="1"/>
  <c r="Q808" i="9"/>
  <c r="Q809" i="9" s="1"/>
  <c r="Q806" i="9"/>
  <c r="Q807" i="9" s="1"/>
  <c r="Q804" i="9"/>
  <c r="Q805" i="9" s="1"/>
  <c r="Q802" i="9"/>
  <c r="Q803" i="9" s="1"/>
  <c r="Q800" i="9"/>
  <c r="Q801" i="9" s="1"/>
  <c r="Q792" i="9"/>
  <c r="Q793" i="9" s="1"/>
  <c r="Q790" i="9"/>
  <c r="Q791" i="9" s="1"/>
  <c r="Q788" i="9"/>
  <c r="Q789" i="9" s="1"/>
  <c r="Q786" i="9"/>
  <c r="Q787" i="9" s="1"/>
  <c r="Q784" i="9"/>
  <c r="Q785" i="9" s="1"/>
  <c r="Q782" i="9"/>
  <c r="Q783" i="9" s="1"/>
  <c r="Q780" i="9"/>
  <c r="Q781" i="9" s="1"/>
  <c r="Q772" i="9"/>
  <c r="Q773" i="9" s="1"/>
  <c r="Q770" i="9"/>
  <c r="Q771" i="9" s="1"/>
  <c r="Q768" i="9"/>
  <c r="Q769" i="9" s="1"/>
  <c r="Q766" i="9"/>
  <c r="Q767" i="9" s="1"/>
  <c r="Q764" i="9"/>
  <c r="Q765" i="9" s="1"/>
  <c r="Q762" i="9"/>
  <c r="Q763" i="9" s="1"/>
  <c r="Q760" i="9"/>
  <c r="Q761" i="9" s="1"/>
  <c r="Q752" i="9"/>
  <c r="Q753" i="9" s="1"/>
  <c r="Q750" i="9"/>
  <c r="Q751" i="9" s="1"/>
  <c r="Q748" i="9"/>
  <c r="Q749" i="9" s="1"/>
  <c r="Q746" i="9"/>
  <c r="Q747" i="9" s="1"/>
  <c r="Q744" i="9"/>
  <c r="Q745" i="9" s="1"/>
  <c r="Q742" i="9"/>
  <c r="Q743" i="9" s="1"/>
  <c r="Q740" i="9"/>
  <c r="Q741" i="9" s="1"/>
  <c r="Q732" i="9"/>
  <c r="Q733" i="9" s="1"/>
  <c r="Q730" i="9"/>
  <c r="Q731" i="9" s="1"/>
  <c r="Q728" i="9"/>
  <c r="Q729" i="9" s="1"/>
  <c r="Q726" i="9"/>
  <c r="Q727" i="9" s="1"/>
  <c r="Q724" i="9"/>
  <c r="Q725" i="9" s="1"/>
  <c r="Q722" i="9"/>
  <c r="Q723" i="9" s="1"/>
  <c r="Q721" i="9"/>
  <c r="Q720" i="9"/>
  <c r="Q712" i="9"/>
  <c r="Q713" i="9" s="1"/>
  <c r="Q710" i="9"/>
  <c r="Q711" i="9" s="1"/>
  <c r="Q708" i="9"/>
  <c r="Q709" i="9" s="1"/>
  <c r="Q706" i="9"/>
  <c r="Q707" i="9" s="1"/>
  <c r="Q704" i="9"/>
  <c r="Q705" i="9" s="1"/>
  <c r="Q702" i="9"/>
  <c r="Q703" i="9" s="1"/>
  <c r="Q700" i="9"/>
  <c r="Q701" i="9" s="1"/>
  <c r="Q692" i="9"/>
  <c r="Q693" i="9" s="1"/>
  <c r="Q690" i="9"/>
  <c r="Q691" i="9" s="1"/>
  <c r="Q688" i="9"/>
  <c r="Q689" i="9" s="1"/>
  <c r="Q686" i="9"/>
  <c r="Q687" i="9" s="1"/>
  <c r="Q684" i="9"/>
  <c r="Q685" i="9" s="1"/>
  <c r="Q682" i="9"/>
  <c r="Q683" i="9" s="1"/>
  <c r="Q680" i="9"/>
  <c r="Q681" i="9" s="1"/>
  <c r="Q672" i="9"/>
  <c r="Q673" i="9" s="1"/>
  <c r="Q670" i="9"/>
  <c r="Q671" i="9" s="1"/>
  <c r="Q668" i="9"/>
  <c r="Q669" i="9" s="1"/>
  <c r="Q666" i="9"/>
  <c r="Q667" i="9" s="1"/>
  <c r="Q664" i="9"/>
  <c r="Q665" i="9" s="1"/>
  <c r="Q662" i="9"/>
  <c r="Q663" i="9" s="1"/>
  <c r="Q660" i="9"/>
  <c r="Q661" i="9" s="1"/>
  <c r="Q652" i="9"/>
  <c r="Q653" i="9" s="1"/>
  <c r="Q650" i="9"/>
  <c r="Q651" i="9" s="1"/>
  <c r="Q648" i="9"/>
  <c r="Q649" i="9" s="1"/>
  <c r="Q646" i="9"/>
  <c r="Q647" i="9" s="1"/>
  <c r="Q644" i="9"/>
  <c r="Q645" i="9" s="1"/>
  <c r="Q642" i="9"/>
  <c r="Q643" i="9" s="1"/>
  <c r="Q640" i="9"/>
  <c r="Q641" i="9" s="1"/>
  <c r="Q632" i="9"/>
  <c r="Q633" i="9" s="1"/>
  <c r="Q630" i="9"/>
  <c r="Q631" i="9" s="1"/>
  <c r="Q628" i="9"/>
  <c r="Q629" i="9" s="1"/>
  <c r="Q626" i="9"/>
  <c r="Q627" i="9" s="1"/>
  <c r="Q624" i="9"/>
  <c r="Q625" i="9" s="1"/>
  <c r="Q622" i="9"/>
  <c r="Q623" i="9" s="1"/>
  <c r="Q620" i="9"/>
  <c r="Q621" i="9" s="1"/>
  <c r="Q612" i="9"/>
  <c r="Q613" i="9" s="1"/>
  <c r="Q610" i="9"/>
  <c r="Q611" i="9" s="1"/>
  <c r="Q608" i="9"/>
  <c r="Q609" i="9" s="1"/>
  <c r="Q606" i="9"/>
  <c r="Q607" i="9" s="1"/>
  <c r="Q604" i="9"/>
  <c r="Q605" i="9" s="1"/>
  <c r="Q602" i="9"/>
  <c r="Q603" i="9" s="1"/>
  <c r="Q600" i="9"/>
  <c r="Q601" i="9" s="1"/>
  <c r="Q592" i="9"/>
  <c r="Q593" i="9" s="1"/>
  <c r="Q590" i="9"/>
  <c r="Q591" i="9" s="1"/>
  <c r="Q588" i="9"/>
  <c r="Q589" i="9" s="1"/>
  <c r="Q586" i="9"/>
  <c r="Q587" i="9" s="1"/>
  <c r="Q584" i="9"/>
  <c r="Q585" i="9" s="1"/>
  <c r="Q582" i="9"/>
  <c r="Q583" i="9" s="1"/>
  <c r="Q580" i="9"/>
  <c r="Q581" i="9" s="1"/>
  <c r="Q572" i="9"/>
  <c r="Q573" i="9" s="1"/>
  <c r="Q570" i="9"/>
  <c r="Q571" i="9" s="1"/>
  <c r="Q568" i="9"/>
  <c r="Q569" i="9" s="1"/>
  <c r="Q566" i="9"/>
  <c r="Q567" i="9" s="1"/>
  <c r="Q564" i="9"/>
  <c r="Q565" i="9" s="1"/>
  <c r="Q562" i="9"/>
  <c r="Q563" i="9" s="1"/>
  <c r="Q560" i="9"/>
  <c r="Q561" i="9" s="1"/>
  <c r="Q552" i="9"/>
  <c r="Q553" i="9" s="1"/>
  <c r="Q550" i="9"/>
  <c r="Q551" i="9" s="1"/>
  <c r="Q548" i="9"/>
  <c r="Q549" i="9" s="1"/>
  <c r="Q546" i="9"/>
  <c r="Q547" i="9" s="1"/>
  <c r="Q544" i="9"/>
  <c r="Q545" i="9" s="1"/>
  <c r="Q542" i="9"/>
  <c r="Q543" i="9" s="1"/>
  <c r="Q540" i="9"/>
  <c r="Q541" i="9" s="1"/>
  <c r="Q485" i="9"/>
  <c r="Q484" i="9"/>
  <c r="Q482" i="9"/>
  <c r="Q483" i="9" s="1"/>
  <c r="Q476" i="9"/>
  <c r="Q477" i="9" s="1"/>
  <c r="Q474" i="9"/>
  <c r="Q475" i="9" s="1"/>
  <c r="Q472" i="9"/>
  <c r="Q473" i="9" s="1"/>
  <c r="Q470" i="9"/>
  <c r="Q471" i="9" s="1"/>
  <c r="Q468" i="9"/>
  <c r="Q469" i="9" s="1"/>
  <c r="Q466" i="9"/>
  <c r="Q467" i="9" s="1"/>
  <c r="Q464" i="9"/>
  <c r="Q465" i="9" s="1"/>
  <c r="Q462" i="9"/>
  <c r="Q463" i="9" s="1"/>
  <c r="Q460" i="9"/>
  <c r="Q461" i="9" s="1"/>
  <c r="Q458" i="9"/>
  <c r="Q459" i="9" s="1"/>
  <c r="Q456" i="9"/>
  <c r="Q457" i="9" s="1"/>
  <c r="Q454" i="9"/>
  <c r="Q455" i="9" s="1"/>
  <c r="Q452" i="9"/>
  <c r="Q453" i="9" s="1"/>
  <c r="Q450" i="9"/>
  <c r="Q451" i="9" s="1"/>
  <c r="Q448" i="9"/>
  <c r="Q449" i="9" s="1"/>
  <c r="Q446" i="9"/>
  <c r="Q447" i="9" s="1"/>
  <c r="Q444" i="9"/>
  <c r="Q445" i="9" s="1"/>
  <c r="Q442" i="9"/>
  <c r="Q443" i="9" s="1"/>
  <c r="Q440" i="9"/>
  <c r="Q441" i="9" s="1"/>
  <c r="Q438" i="9"/>
  <c r="Q439" i="9" s="1"/>
  <c r="Q436" i="9"/>
  <c r="Q437" i="9" s="1"/>
  <c r="Q434" i="9"/>
  <c r="Q435" i="9" s="1"/>
  <c r="Q432" i="9"/>
  <c r="Q433" i="9" s="1"/>
  <c r="Q430" i="9"/>
  <c r="Q431" i="9" s="1"/>
  <c r="Q428" i="9"/>
  <c r="Q429" i="9" s="1"/>
  <c r="Q426" i="9"/>
  <c r="Q427" i="9" s="1"/>
  <c r="Q424" i="9"/>
  <c r="Q425" i="9" s="1"/>
  <c r="Q422" i="9"/>
  <c r="Q423" i="9" s="1"/>
  <c r="Q420" i="9"/>
  <c r="Q421" i="9" s="1"/>
  <c r="Q418" i="9"/>
  <c r="Q419" i="9" s="1"/>
  <c r="Q416" i="9"/>
  <c r="Q417" i="9" s="1"/>
  <c r="Q414" i="9"/>
  <c r="Q415" i="9" s="1"/>
  <c r="Q412" i="9"/>
  <c r="Q413" i="9" s="1"/>
  <c r="Q410" i="9"/>
  <c r="Q411" i="9" s="1"/>
  <c r="Q408" i="9"/>
  <c r="Q409" i="9" s="1"/>
  <c r="Q406" i="9"/>
  <c r="Q407" i="9" s="1"/>
  <c r="Q404" i="9"/>
  <c r="Q405" i="9" s="1"/>
  <c r="Q402" i="9"/>
  <c r="Q403" i="9" s="1"/>
  <c r="Q400" i="9"/>
  <c r="Q401" i="9" s="1"/>
  <c r="Q398" i="9"/>
  <c r="Q399" i="9" s="1"/>
  <c r="Q396" i="9"/>
  <c r="Q397" i="9" s="1"/>
  <c r="Q394" i="9"/>
  <c r="Q395" i="9" s="1"/>
  <c r="Q392" i="9"/>
  <c r="Q393" i="9" s="1"/>
  <c r="Q390" i="9"/>
  <c r="Q391" i="9" s="1"/>
  <c r="Q388" i="9"/>
  <c r="Q389" i="9" s="1"/>
  <c r="Q386" i="9"/>
  <c r="Q387" i="9" s="1"/>
  <c r="Q384" i="9"/>
  <c r="Q385" i="9" s="1"/>
  <c r="Q382" i="9"/>
  <c r="Q383" i="9" s="1"/>
  <c r="Q380" i="9"/>
  <c r="Q381" i="9" s="1"/>
  <c r="Q378" i="9"/>
  <c r="Q379" i="9" s="1"/>
  <c r="Q376" i="9"/>
  <c r="Q377" i="9" s="1"/>
  <c r="Q374" i="9"/>
  <c r="Q375" i="9" s="1"/>
  <c r="Q372" i="9"/>
  <c r="Q373" i="9" s="1"/>
  <c r="Q370" i="9"/>
  <c r="Q371" i="9" s="1"/>
  <c r="Q368" i="9"/>
  <c r="Q369" i="9" s="1"/>
  <c r="Q366" i="9"/>
  <c r="Q367" i="9" s="1"/>
  <c r="Q364" i="9"/>
  <c r="Q365" i="9" s="1"/>
  <c r="Q362" i="9"/>
  <c r="Q363" i="9" s="1"/>
  <c r="Q360" i="9"/>
  <c r="Q361" i="9" s="1"/>
  <c r="Q358" i="9"/>
  <c r="Q359" i="9" s="1"/>
  <c r="Q356" i="9"/>
  <c r="Q357" i="9" s="1"/>
  <c r="Q354" i="9"/>
  <c r="Q355" i="9" s="1"/>
  <c r="Q352" i="9"/>
  <c r="Q353" i="9" s="1"/>
  <c r="Q350" i="9"/>
  <c r="Q351" i="9" s="1"/>
  <c r="Q348" i="9"/>
  <c r="Q349" i="9" s="1"/>
  <c r="Q346" i="9"/>
  <c r="Q347" i="9" s="1"/>
  <c r="Q344" i="9"/>
  <c r="Q345" i="9" s="1"/>
  <c r="Q342" i="9"/>
  <c r="Q343" i="9" s="1"/>
  <c r="Q340" i="9"/>
  <c r="Q341" i="9" s="1"/>
  <c r="Q338" i="9"/>
  <c r="Q339" i="9" s="1"/>
  <c r="Q336" i="9"/>
  <c r="Q337" i="9" s="1"/>
  <c r="Q334" i="9"/>
  <c r="Q335" i="9" s="1"/>
  <c r="Q332" i="9"/>
  <c r="Q333" i="9" s="1"/>
  <c r="Q330" i="9"/>
  <c r="Q331" i="9" s="1"/>
  <c r="Q328" i="9"/>
  <c r="Q329" i="9" s="1"/>
  <c r="Q326" i="9"/>
  <c r="Q327" i="9" s="1"/>
  <c r="Q324" i="9"/>
  <c r="Q325" i="9" s="1"/>
  <c r="Q322" i="9"/>
  <c r="Q323" i="9" s="1"/>
  <c r="Q320" i="9"/>
  <c r="Q321" i="9" s="1"/>
  <c r="Q318" i="9"/>
  <c r="Q319" i="9" s="1"/>
  <c r="Q316" i="9"/>
  <c r="Q317" i="9" s="1"/>
  <c r="Q314" i="9"/>
  <c r="Q315" i="9" s="1"/>
  <c r="Q312" i="9"/>
  <c r="Q313" i="9" s="1"/>
  <c r="Q310" i="9"/>
  <c r="Q311" i="9" s="1"/>
  <c r="Q308" i="9"/>
  <c r="Q309" i="9" s="1"/>
  <c r="Q306" i="9"/>
  <c r="Q307" i="9" s="1"/>
  <c r="Q304" i="9"/>
  <c r="Q305" i="9" s="1"/>
  <c r="Q302" i="9"/>
  <c r="Q303" i="9" s="1"/>
  <c r="Q300" i="9"/>
  <c r="Q301" i="9" s="1"/>
  <c r="Q298" i="9"/>
  <c r="Q299" i="9" s="1"/>
  <c r="Q296" i="9"/>
  <c r="Q297" i="9" s="1"/>
  <c r="Q294" i="9"/>
  <c r="Q295" i="9" s="1"/>
  <c r="Q292" i="9"/>
  <c r="Q293" i="9" s="1"/>
  <c r="Q290" i="9"/>
  <c r="Q291" i="9" s="1"/>
  <c r="Q288" i="9"/>
  <c r="Q289" i="9" s="1"/>
  <c r="Q286" i="9"/>
  <c r="Q287" i="9" s="1"/>
  <c r="Q284" i="9"/>
  <c r="Q285" i="9" s="1"/>
  <c r="Q282" i="9"/>
  <c r="Q283" i="9" s="1"/>
  <c r="Q280" i="9"/>
  <c r="Q281" i="9" s="1"/>
  <c r="Q278" i="9"/>
  <c r="Q279" i="9" s="1"/>
  <c r="Q276" i="9"/>
  <c r="Q277" i="9" s="1"/>
  <c r="Q274" i="9"/>
  <c r="Q275" i="9" s="1"/>
  <c r="Q272" i="9"/>
  <c r="Q273" i="9" s="1"/>
  <c r="Q270" i="9"/>
  <c r="Q271" i="9" s="1"/>
  <c r="Q268" i="9"/>
  <c r="Q269" i="9" s="1"/>
  <c r="Q266" i="9"/>
  <c r="Q267" i="9" s="1"/>
  <c r="Q264" i="9"/>
  <c r="Q265" i="9" s="1"/>
  <c r="Q262" i="9"/>
  <c r="Q263" i="9" s="1"/>
  <c r="Q260" i="9"/>
  <c r="Q261" i="9" s="1"/>
  <c r="Q258" i="9"/>
  <c r="Q259" i="9" s="1"/>
  <c r="Q256" i="9"/>
  <c r="Q257" i="9" s="1"/>
  <c r="Q254" i="9"/>
  <c r="Q255" i="9" s="1"/>
  <c r="Q252" i="9"/>
  <c r="Q253" i="9" s="1"/>
  <c r="Q250" i="9"/>
  <c r="Q251" i="9" s="1"/>
  <c r="Q248" i="9"/>
  <c r="Q249" i="9" s="1"/>
  <c r="Q246" i="9"/>
  <c r="Q247" i="9" s="1"/>
  <c r="Q244" i="9"/>
  <c r="Q245" i="9" s="1"/>
  <c r="Q242" i="9"/>
  <c r="Q243" i="9" s="1"/>
  <c r="Q240" i="9"/>
  <c r="Q241" i="9" s="1"/>
  <c r="Q238" i="9"/>
  <c r="Q239" i="9" s="1"/>
  <c r="Q236" i="9"/>
  <c r="Q237" i="9" s="1"/>
  <c r="Q234" i="9"/>
  <c r="Q235" i="9" s="1"/>
  <c r="Q232" i="9"/>
  <c r="Q233" i="9" s="1"/>
  <c r="Q230" i="9"/>
  <c r="Q231" i="9" s="1"/>
  <c r="Q228" i="9"/>
  <c r="Q229" i="9" s="1"/>
  <c r="Q226" i="9"/>
  <c r="Q227" i="9" s="1"/>
  <c r="Q224" i="9"/>
  <c r="Q225" i="9" s="1"/>
  <c r="Q222" i="9"/>
  <c r="Q223" i="9" s="1"/>
  <c r="Q220" i="9"/>
  <c r="Q221" i="9" s="1"/>
  <c r="Q218" i="9"/>
  <c r="Q219" i="9" s="1"/>
  <c r="Q216" i="9"/>
  <c r="Q217" i="9" s="1"/>
  <c r="Q214" i="9"/>
  <c r="Q215" i="9" s="1"/>
  <c r="Q212" i="9"/>
  <c r="Q213" i="9" s="1"/>
  <c r="Q210" i="9"/>
  <c r="Q211" i="9" s="1"/>
  <c r="Q208" i="9"/>
  <c r="Q209" i="9" s="1"/>
  <c r="Q206" i="9"/>
  <c r="Q207" i="9" s="1"/>
  <c r="Q204" i="9"/>
  <c r="Q205" i="9" s="1"/>
  <c r="Q202" i="9"/>
  <c r="Q203" i="9" s="1"/>
  <c r="Q200" i="9"/>
  <c r="Q201" i="9" s="1"/>
  <c r="Q198" i="9"/>
  <c r="Q199" i="9" s="1"/>
  <c r="Q196" i="9"/>
  <c r="Q197" i="9" s="1"/>
  <c r="Q194" i="9"/>
  <c r="Q195" i="9" s="1"/>
  <c r="Q192" i="9"/>
  <c r="Q193" i="9" s="1"/>
  <c r="Q190" i="9"/>
  <c r="Q191" i="9" s="1"/>
  <c r="Q188" i="9"/>
  <c r="Q189" i="9" s="1"/>
  <c r="Q186" i="9"/>
  <c r="Q187" i="9" s="1"/>
  <c r="Q184" i="9"/>
  <c r="Q185" i="9" s="1"/>
  <c r="Q182" i="9"/>
  <c r="Q183" i="9" s="1"/>
  <c r="Q180" i="9"/>
  <c r="Q181" i="9" s="1"/>
  <c r="Q178" i="9"/>
  <c r="Q179" i="9" s="1"/>
  <c r="Q176" i="9"/>
  <c r="Q177" i="9" s="1"/>
  <c r="Q174" i="9"/>
  <c r="Q175" i="9" s="1"/>
  <c r="Q172" i="9"/>
  <c r="Q173" i="9" s="1"/>
  <c r="Q170" i="9"/>
  <c r="Q171" i="9" s="1"/>
  <c r="Q168" i="9"/>
  <c r="Q169" i="9" s="1"/>
  <c r="Q166" i="9"/>
  <c r="Q167" i="9" s="1"/>
  <c r="Q164" i="9"/>
  <c r="Q165" i="9" s="1"/>
  <c r="Q162" i="9"/>
  <c r="Q163" i="9" s="1"/>
  <c r="Q160" i="9"/>
  <c r="Q161" i="9" s="1"/>
  <c r="Q158" i="9"/>
  <c r="Q159" i="9" s="1"/>
  <c r="Q156" i="9"/>
  <c r="Q157" i="9" s="1"/>
  <c r="Q154" i="9"/>
  <c r="Q155" i="9" s="1"/>
  <c r="Q152" i="9"/>
  <c r="Q153" i="9" s="1"/>
  <c r="Q150" i="9"/>
  <c r="Q151" i="9" s="1"/>
  <c r="Q148" i="9"/>
  <c r="Q149" i="9" s="1"/>
  <c r="Q146" i="9"/>
  <c r="Q147" i="9" s="1"/>
  <c r="Q144" i="9"/>
  <c r="Q145" i="9" s="1"/>
  <c r="Q142" i="9"/>
  <c r="Q143" i="9" s="1"/>
  <c r="Q140" i="9"/>
  <c r="Q141" i="9" s="1"/>
  <c r="Q138" i="9"/>
  <c r="Q139" i="9" s="1"/>
  <c r="Q136" i="9"/>
  <c r="Q137" i="9" s="1"/>
  <c r="Q134" i="9"/>
  <c r="Q135" i="9" s="1"/>
  <c r="Q132" i="9"/>
  <c r="Q133" i="9" s="1"/>
  <c r="Q130" i="9"/>
  <c r="Q131" i="9" s="1"/>
  <c r="Q128" i="9"/>
  <c r="Q129" i="9" s="1"/>
  <c r="Q126" i="9"/>
  <c r="Q127" i="9" s="1"/>
  <c r="Q124" i="9"/>
  <c r="Q125" i="9" s="1"/>
  <c r="Q122" i="9"/>
  <c r="Q123" i="9" s="1"/>
  <c r="Q120" i="9"/>
  <c r="Q121" i="9" s="1"/>
  <c r="Q118" i="9"/>
  <c r="Q119" i="9" s="1"/>
  <c r="Q116" i="9"/>
  <c r="Q117" i="9" s="1"/>
  <c r="Q114" i="9"/>
  <c r="Q115" i="9" s="1"/>
  <c r="Q112" i="9"/>
  <c r="Q113" i="9" s="1"/>
  <c r="Q110" i="9"/>
  <c r="Q111" i="9" s="1"/>
  <c r="Q108" i="9"/>
  <c r="Q109" i="9" s="1"/>
  <c r="Q106" i="9"/>
  <c r="Q107" i="9" s="1"/>
  <c r="Q104" i="9"/>
  <c r="Q105" i="9" s="1"/>
  <c r="Q102" i="9"/>
  <c r="Q103" i="9" s="1"/>
  <c r="Q100" i="9"/>
  <c r="Q101" i="9" s="1"/>
  <c r="Q98" i="9"/>
  <c r="Q99" i="9" s="1"/>
  <c r="Q96" i="9"/>
  <c r="Q97" i="9" s="1"/>
  <c r="Q94" i="9"/>
  <c r="Q95" i="9" s="1"/>
  <c r="Q92" i="9"/>
  <c r="Q93" i="9" s="1"/>
  <c r="Q90" i="9"/>
  <c r="Q91" i="9" s="1"/>
  <c r="Q88" i="9"/>
  <c r="Q89" i="9" s="1"/>
  <c r="Q86" i="9"/>
  <c r="Q87" i="9" s="1"/>
  <c r="Q84" i="9"/>
  <c r="Q85" i="9" s="1"/>
  <c r="Q82" i="9"/>
  <c r="Q83" i="9" s="1"/>
  <c r="Q80" i="9"/>
  <c r="Q81" i="9" s="1"/>
  <c r="Q78" i="9"/>
  <c r="Q79" i="9" s="1"/>
  <c r="Q76" i="9"/>
  <c r="Q77" i="9" s="1"/>
  <c r="Q74" i="9"/>
  <c r="Q75" i="9" s="1"/>
  <c r="Q72" i="9"/>
  <c r="Q73" i="9" s="1"/>
  <c r="Q70" i="9"/>
  <c r="Q71" i="9" s="1"/>
  <c r="Q68" i="9"/>
  <c r="Q69" i="9" s="1"/>
  <c r="Q66" i="9"/>
  <c r="Q67" i="9" s="1"/>
  <c r="Q64" i="9"/>
  <c r="Q65" i="9" s="1"/>
  <c r="Q62" i="9"/>
  <c r="Q63" i="9" s="1"/>
  <c r="Q60" i="9"/>
  <c r="Q61" i="9" s="1"/>
  <c r="Q58" i="9"/>
  <c r="Q59" i="9" s="1"/>
  <c r="Q56" i="9"/>
  <c r="Q57" i="9" s="1"/>
  <c r="Q54" i="9"/>
  <c r="Q55" i="9" s="1"/>
  <c r="Q52" i="9"/>
  <c r="Q53" i="9" s="1"/>
  <c r="Q50" i="9"/>
  <c r="Q51" i="9" s="1"/>
  <c r="Q48" i="9"/>
  <c r="Q49" i="9" s="1"/>
  <c r="Q46" i="9"/>
  <c r="Q47" i="9" s="1"/>
  <c r="Q44" i="9"/>
  <c r="Q45" i="9" s="1"/>
  <c r="Q42" i="9"/>
  <c r="Q43" i="9" s="1"/>
  <c r="Q40" i="9"/>
  <c r="Q41" i="9" s="1"/>
  <c r="Q38" i="9"/>
  <c r="Q39" i="9" s="1"/>
  <c r="Q36" i="9"/>
  <c r="Q37" i="9" s="1"/>
  <c r="Q34" i="9"/>
  <c r="Q35" i="9" s="1"/>
  <c r="Q32" i="9"/>
  <c r="Q33" i="9" s="1"/>
  <c r="Q30" i="9"/>
  <c r="Q31" i="9" s="1"/>
  <c r="Q28" i="9"/>
  <c r="Q29" i="9" s="1"/>
  <c r="Q26" i="9"/>
  <c r="Q27" i="9" s="1"/>
  <c r="Q24" i="9"/>
  <c r="Q25" i="9" s="1"/>
  <c r="Q22" i="9"/>
  <c r="Q23" i="9" s="1"/>
  <c r="Q20" i="9"/>
  <c r="Q21" i="9" s="1"/>
  <c r="Q18" i="9"/>
  <c r="Q19" i="9" s="1"/>
  <c r="Q16" i="9"/>
  <c r="Q17" i="9" s="1"/>
  <c r="Q14" i="9"/>
  <c r="Q15" i="9" s="1"/>
  <c r="Q12" i="9"/>
  <c r="Q13" i="9" s="1"/>
  <c r="Q10" i="9"/>
  <c r="Q11" i="9" s="1"/>
  <c r="Q8" i="9"/>
  <c r="Q9" i="9" s="1"/>
  <c r="Q6" i="9"/>
  <c r="Q7" i="9" s="1"/>
  <c r="AW69" i="32" a="1"/>
  <c r="AR67" i="32" a="1"/>
  <c r="AT65" i="32" a="1"/>
  <c r="AT68" i="32" a="1"/>
  <c r="AR64" i="32" a="1"/>
  <c r="AT69" i="32" a="1"/>
  <c r="BA66" i="32" a="1"/>
  <c r="AR62" i="32" a="1"/>
  <c r="CH585" i="15"/>
  <c r="AG213" i="31"/>
  <c r="AQ177" i="31"/>
  <c r="AK201" i="31"/>
  <c r="BA62" i="32" a="1"/>
  <c r="CH571" i="15"/>
  <c r="BA65" i="32" a="1"/>
  <c r="AX69" i="32" a="1"/>
  <c r="AX68" i="32" a="1"/>
  <c r="AV64" i="32" a="1"/>
  <c r="AK213" i="31"/>
  <c r="CK571" i="15"/>
  <c r="AV62" i="32" a="1"/>
  <c r="AJ207" i="31"/>
  <c r="BA68" i="32" a="1"/>
  <c r="AY67" i="32" a="1"/>
  <c r="AX62" i="32" a="1"/>
  <c r="CK576" i="15"/>
  <c r="AU64" i="32" a="1"/>
  <c r="BA64" i="32" a="1"/>
  <c r="AZ67" i="32" a="1"/>
  <c r="AV68" i="32" a="1"/>
  <c r="AX71" i="32" a="1"/>
  <c r="AY65" i="32" a="1"/>
  <c r="AI200" i="31"/>
  <c r="AS67" i="32" a="1"/>
  <c r="BA67" i="32" a="1"/>
  <c r="AU68" i="32" a="1"/>
  <c r="CK581" i="15"/>
  <c r="AW65" i="32" a="1"/>
  <c r="AS64" i="32" a="1"/>
  <c r="AZ62" i="32" a="1"/>
  <c r="AG195" i="31"/>
  <c r="AQ200" i="31"/>
  <c r="AX63" i="32" a="1"/>
  <c r="AG189" i="31"/>
  <c r="AX65" i="32" a="1"/>
  <c r="AQ188" i="31"/>
  <c r="AI24" i="15"/>
  <c r="AS62" i="32" a="1"/>
  <c r="AI194" i="31"/>
  <c r="CH586" i="15"/>
  <c r="AW71" i="32" a="1"/>
  <c r="AV71" i="32" a="1"/>
  <c r="AW62" i="32" a="1"/>
  <c r="AQ194" i="31"/>
  <c r="AY66" i="32" a="1"/>
  <c r="AV67" i="32" a="1"/>
  <c r="AF183" i="31"/>
  <c r="AZ69" i="32" a="1"/>
  <c r="BA63" i="32" a="1"/>
  <c r="AS70" i="32" a="1"/>
  <c r="CH583" i="15"/>
  <c r="AI177" i="31"/>
  <c r="AK206" i="31"/>
  <c r="AH213" i="31"/>
  <c r="AY63" i="32" a="1"/>
  <c r="AU63" i="32" a="1"/>
  <c r="AS66" i="32" a="1"/>
  <c r="AI182" i="31"/>
  <c r="CH579" i="15"/>
  <c r="AG184" i="31"/>
  <c r="AW66" i="32" a="1"/>
  <c r="AV65" i="32" a="1"/>
  <c r="AZ66" i="32" a="1"/>
  <c r="BA71" i="32" a="1"/>
  <c r="AY70" i="32" a="1"/>
  <c r="AX72" i="32" a="1"/>
  <c r="AY62" i="32" a="1"/>
  <c r="CH573" i="15"/>
  <c r="BA70" i="32" a="1"/>
  <c r="CH582" i="15"/>
  <c r="AR72" i="32" a="1"/>
  <c r="AG201" i="31"/>
  <c r="CH578" i="15"/>
  <c r="CH581" i="15"/>
  <c r="AX64" i="32" a="1"/>
  <c r="AF213" i="31"/>
  <c r="AU62" i="32" a="1"/>
  <c r="AJ195" i="31"/>
  <c r="AF201" i="31"/>
  <c r="AF189" i="31"/>
  <c r="AT70" i="32" a="1"/>
  <c r="AZ70" i="32" a="1"/>
  <c r="AT71" i="32" a="1"/>
  <c r="AS71" i="32" a="1"/>
  <c r="AT66" i="32" a="1"/>
  <c r="CH576" i="15"/>
  <c r="AS63" i="32" a="1"/>
  <c r="AK184" i="31"/>
  <c r="AQ176" i="31"/>
  <c r="AJ201" i="31"/>
  <c r="AF195" i="31"/>
  <c r="AT67" i="32" a="1"/>
  <c r="AS65" i="32" a="1"/>
  <c r="AI206" i="31"/>
  <c r="AJ200" i="31"/>
  <c r="AI176" i="31"/>
  <c r="AH189" i="31"/>
  <c r="AW67" i="32" a="1"/>
  <c r="AQ206" i="31"/>
  <c r="AK195" i="31"/>
  <c r="AY69" i="32" a="1"/>
  <c r="AV69" i="32" a="1"/>
  <c r="CH575" i="15"/>
  <c r="AF184" i="31"/>
  <c r="AZ63" i="32" a="1"/>
  <c r="AJ184" i="31"/>
  <c r="AK207" i="31"/>
  <c r="AW63" i="32" a="1"/>
  <c r="AR68" i="32" a="1"/>
  <c r="AT63" i="32" a="1"/>
  <c r="AW64" i="32" a="1"/>
  <c r="CH572" i="15"/>
  <c r="AY64" i="32" a="1"/>
  <c r="AR71" i="32" a="1"/>
  <c r="AZ65" i="32" a="1"/>
  <c r="AO21" i="15"/>
  <c r="AJ213" i="31"/>
  <c r="AY68" i="32" a="1"/>
  <c r="BZ585" i="15"/>
  <c r="AK189" i="31"/>
  <c r="AI188" i="31"/>
  <c r="AH200" i="31"/>
  <c r="AU69" i="32" a="1"/>
  <c r="BW571" i="15"/>
  <c r="AZ64" i="32" a="1"/>
  <c r="AH201" i="31"/>
  <c r="AU65" i="32" a="1"/>
  <c r="AX70" i="32" a="1"/>
  <c r="AS69" i="32" a="1"/>
  <c r="AH195" i="31"/>
  <c r="BW576" i="15"/>
  <c r="AU67" i="32" a="1"/>
  <c r="AZ68" i="32" a="1"/>
  <c r="AR66" i="32" a="1"/>
  <c r="AS68" i="32" a="1"/>
  <c r="AZ71" i="32" a="1"/>
  <c r="AU66" i="32" a="1"/>
  <c r="AV66" i="32" a="1"/>
  <c r="AH183" i="31"/>
  <c r="BW586" i="15"/>
  <c r="AR65" i="32" a="1"/>
  <c r="AX67" i="32" a="1"/>
  <c r="AK183" i="31"/>
  <c r="AG183" i="31"/>
  <c r="CH574" i="15"/>
  <c r="AJ189" i="31"/>
  <c r="AT62" i="32" a="1"/>
  <c r="AQ182" i="31"/>
  <c r="AX66" i="32" a="1"/>
  <c r="AR69" i="32" a="1"/>
  <c r="AU70" i="32" a="1"/>
  <c r="BW581" i="15"/>
  <c r="AG206" i="31"/>
  <c r="AT64" i="32" a="1"/>
  <c r="AW68" i="32" a="1"/>
  <c r="AJ183" i="31"/>
  <c r="CH584" i="15"/>
  <c r="CH580" i="15"/>
  <c r="AR63" i="32" a="1"/>
  <c r="AB213" i="31"/>
  <c r="AC206" i="31"/>
  <c r="AU71" i="32" a="1"/>
  <c r="CH577" i="15"/>
  <c r="AH184" i="31"/>
  <c r="BA69" i="32" a="1"/>
  <c r="AV63" i="32" a="1"/>
  <c r="AG207" i="31"/>
  <c r="AY71" i="32" a="1"/>
  <c r="AR70" i="32" a="1"/>
  <c r="BY585" i="15"/>
  <c r="AC213" i="31"/>
  <c r="H119" i="24" l="1"/>
  <c r="Q119" i="24" s="1"/>
  <c r="AG119" i="24"/>
  <c r="T130" i="24"/>
  <c r="S130" i="24"/>
  <c r="IC130" i="24" s="1"/>
  <c r="B39" i="1"/>
  <c r="B40" i="1" s="1"/>
  <c r="B41" i="1" s="1"/>
  <c r="B42" i="1" s="1"/>
  <c r="B43" i="1" s="1"/>
  <c r="B44" i="1" s="1"/>
  <c r="B45" i="1"/>
  <c r="HO94" i="24"/>
  <c r="N45" i="1"/>
  <c r="L22" i="17"/>
  <c r="Q22" i="17" s="1"/>
  <c r="Q21" i="17"/>
  <c r="HQ85" i="10"/>
  <c r="Q112" i="24"/>
  <c r="HQ81" i="10"/>
  <c r="DL150" i="17"/>
  <c r="AR72" i="32"/>
  <c r="AX72" i="32"/>
  <c r="AQ58" i="32"/>
  <c r="BJ58" i="32" s="1"/>
  <c r="CJ55" i="24"/>
  <c r="AM18" i="30"/>
  <c r="H18" i="30"/>
  <c r="AQ38" i="32"/>
  <c r="BJ38" i="32" s="1"/>
  <c r="AJ55" i="32"/>
  <c r="AN55" i="32" s="1"/>
  <c r="AQ24" i="32"/>
  <c r="BH24" i="32" s="1"/>
  <c r="AJ37" i="32"/>
  <c r="AN37" i="32" s="1"/>
  <c r="AN21" i="32"/>
  <c r="AQ32" i="32"/>
  <c r="BH32" i="32" s="1"/>
  <c r="AJ29" i="32"/>
  <c r="AJ35" i="32"/>
  <c r="AJ19" i="32"/>
  <c r="AJ23" i="32"/>
  <c r="AQ28" i="32"/>
  <c r="BH28" i="32" s="1"/>
  <c r="AQ31" i="32"/>
  <c r="AJ34" i="32"/>
  <c r="AJ33" i="32"/>
  <c r="AJ36" i="32"/>
  <c r="AQ21" i="32"/>
  <c r="AJ24" i="32"/>
  <c r="AJ22" i="32"/>
  <c r="AJ30" i="32"/>
  <c r="AJ39" i="32"/>
  <c r="AN39" i="32" s="1"/>
  <c r="AQ42" i="32"/>
  <c r="BH42" i="32" s="1"/>
  <c r="AJ27" i="32"/>
  <c r="AJ20" i="32"/>
  <c r="AJ26" i="32"/>
  <c r="AJ25" i="32"/>
  <c r="AX70" i="32"/>
  <c r="AR70" i="32"/>
  <c r="AZ70" i="32"/>
  <c r="AY70" i="32"/>
  <c r="AU70" i="32"/>
  <c r="AT70" i="32"/>
  <c r="AS70" i="32"/>
  <c r="BA70" i="32"/>
  <c r="AZ69" i="32"/>
  <c r="AS69" i="32"/>
  <c r="AR69" i="32"/>
  <c r="AU69" i="32"/>
  <c r="AT69" i="32"/>
  <c r="AY69" i="32"/>
  <c r="AX69" i="32"/>
  <c r="BA69" i="32"/>
  <c r="AV69" i="32"/>
  <c r="AW69" i="32"/>
  <c r="AQ41" i="32"/>
  <c r="BH41" i="32" s="1"/>
  <c r="AQ30" i="32"/>
  <c r="BH30" i="32" s="1"/>
  <c r="AQ36" i="32"/>
  <c r="AQ44" i="32"/>
  <c r="BJ44" i="32" s="1"/>
  <c r="CA45" i="32" s="1"/>
  <c r="AR64" i="32"/>
  <c r="AY64" i="32"/>
  <c r="BA64" i="32"/>
  <c r="AX64" i="32"/>
  <c r="AU64" i="32"/>
  <c r="AZ64" i="32"/>
  <c r="AV64" i="32"/>
  <c r="AS64" i="32"/>
  <c r="AT64" i="32"/>
  <c r="AW64" i="32"/>
  <c r="AU71" i="32"/>
  <c r="AZ71" i="32"/>
  <c r="AX71" i="32"/>
  <c r="AY71" i="32"/>
  <c r="AR71" i="32"/>
  <c r="AT71" i="32"/>
  <c r="AW71" i="32"/>
  <c r="AV71" i="32"/>
  <c r="AS71" i="32"/>
  <c r="BA71" i="32"/>
  <c r="AZ65" i="32"/>
  <c r="AX65" i="32"/>
  <c r="BA65" i="32"/>
  <c r="AR65" i="32"/>
  <c r="AU65" i="32"/>
  <c r="AT65" i="32"/>
  <c r="AY65" i="32"/>
  <c r="AS65" i="32"/>
  <c r="AV65" i="32"/>
  <c r="AW65" i="32"/>
  <c r="AZ62" i="32"/>
  <c r="AY62" i="32"/>
  <c r="AX62" i="32"/>
  <c r="AU62" i="32"/>
  <c r="AR62" i="32"/>
  <c r="AV62" i="32"/>
  <c r="AS62" i="32"/>
  <c r="BA62" i="32"/>
  <c r="AT62" i="32"/>
  <c r="AW62" i="32"/>
  <c r="AR68" i="32"/>
  <c r="AU68" i="32"/>
  <c r="AT68" i="32"/>
  <c r="AV68" i="32"/>
  <c r="AZ68" i="32"/>
  <c r="AY68" i="32"/>
  <c r="AW68" i="32"/>
  <c r="AX68" i="32"/>
  <c r="AS68" i="32"/>
  <c r="BA68" i="32"/>
  <c r="AZ66" i="32"/>
  <c r="AV66" i="32"/>
  <c r="BA66" i="32"/>
  <c r="AX66" i="32"/>
  <c r="AU66" i="32"/>
  <c r="AR66" i="32"/>
  <c r="AY66" i="32"/>
  <c r="AS66" i="32"/>
  <c r="AT66" i="32"/>
  <c r="AW66" i="32"/>
  <c r="AR63" i="32"/>
  <c r="AW63" i="32"/>
  <c r="AZ63" i="32"/>
  <c r="AX63" i="32"/>
  <c r="AY63" i="32"/>
  <c r="AU63" i="32"/>
  <c r="AT63" i="32"/>
  <c r="AV63" i="32"/>
  <c r="AS63" i="32"/>
  <c r="BA63" i="32"/>
  <c r="AU67" i="32"/>
  <c r="AW67" i="32"/>
  <c r="AZ67" i="32"/>
  <c r="AX67" i="32"/>
  <c r="AY67" i="32"/>
  <c r="AR67" i="32"/>
  <c r="AT67" i="32"/>
  <c r="AV67" i="32"/>
  <c r="AS67" i="32"/>
  <c r="BA67" i="32"/>
  <c r="AJ43" i="32"/>
  <c r="AN43" i="32" s="1"/>
  <c r="AQ57" i="32"/>
  <c r="BH57" i="32" s="1"/>
  <c r="AQ18" i="32"/>
  <c r="AQ29" i="32"/>
  <c r="AJ53" i="32"/>
  <c r="AN53" i="32" s="1"/>
  <c r="AJ46" i="32"/>
  <c r="AN46" i="32" s="1"/>
  <c r="AQ34" i="32"/>
  <c r="BH34" i="32" s="1"/>
  <c r="BH49" i="32"/>
  <c r="AJ48" i="32"/>
  <c r="AN48" i="32" s="1"/>
  <c r="AQ59" i="32"/>
  <c r="BJ59" i="32" s="1"/>
  <c r="AJ32" i="32"/>
  <c r="AJ18" i="32"/>
  <c r="AQ19" i="32"/>
  <c r="AQ51" i="32"/>
  <c r="BH51" i="32" s="1"/>
  <c r="AQ22" i="32"/>
  <c r="BH22" i="32" s="1"/>
  <c r="AQ60" i="32"/>
  <c r="AQ33" i="32"/>
  <c r="BH33" i="32" s="1"/>
  <c r="BH48" i="32"/>
  <c r="AQ56" i="32"/>
  <c r="BJ56" i="32" s="1"/>
  <c r="AQ47" i="32"/>
  <c r="BJ47" i="32" s="1"/>
  <c r="AQ20" i="32"/>
  <c r="AQ45" i="32"/>
  <c r="BJ45" i="32" s="1"/>
  <c r="AQ61" i="32"/>
  <c r="BJ61" i="32" s="1"/>
  <c r="BL61" i="32" s="1"/>
  <c r="AQ23" i="32"/>
  <c r="BH23" i="32" s="1"/>
  <c r="AJ31" i="32"/>
  <c r="AJ28" i="32"/>
  <c r="AQ52" i="32"/>
  <c r="BH52" i="32" s="1"/>
  <c r="AQ40" i="32"/>
  <c r="BJ40" i="32" s="1"/>
  <c r="BL40" i="32" s="1"/>
  <c r="AQ50" i="32"/>
  <c r="BJ50" i="32" s="1"/>
  <c r="BL50" i="32" s="1"/>
  <c r="AQ54" i="32"/>
  <c r="AJ54" i="32"/>
  <c r="AN54" i="32" s="1"/>
  <c r="AJ49" i="32"/>
  <c r="AN49" i="32" s="1"/>
  <c r="BH26" i="32"/>
  <c r="BH27" i="32"/>
  <c r="BH35" i="32"/>
  <c r="BH25" i="32"/>
  <c r="C79" i="19"/>
  <c r="C79" i="34"/>
  <c r="C80" i="19"/>
  <c r="C80" i="34"/>
  <c r="C81" i="19"/>
  <c r="C81" i="34"/>
  <c r="C82" i="19"/>
  <c r="C82" i="34"/>
  <c r="BJ53" i="32"/>
  <c r="BH53" i="32"/>
  <c r="CA49" i="32"/>
  <c r="BL48" i="32"/>
  <c r="BJ39" i="32"/>
  <c r="BH39" i="32"/>
  <c r="BJ55" i="32"/>
  <c r="BH55" i="32"/>
  <c r="BJ37" i="32"/>
  <c r="BH37" i="32"/>
  <c r="BJ43" i="32"/>
  <c r="BH43" i="32"/>
  <c r="CA50" i="32"/>
  <c r="BL49" i="32"/>
  <c r="BJ46" i="32"/>
  <c r="BH46" i="32"/>
  <c r="BG188" i="31"/>
  <c r="BG176" i="31"/>
  <c r="AC207" i="31"/>
  <c r="AC208" i="31" s="1"/>
  <c r="AC209" i="31" s="1"/>
  <c r="AC210" i="31" s="1"/>
  <c r="AC211" i="31" s="1"/>
  <c r="AC212" i="31" s="1"/>
  <c r="BG206" i="31"/>
  <c r="BG177" i="31"/>
  <c r="AB214" i="31"/>
  <c r="AB215" i="31" s="1"/>
  <c r="AB216" i="31" s="1"/>
  <c r="AB217" i="31" s="1"/>
  <c r="AB218" i="31" s="1"/>
  <c r="AB219" i="31" s="1"/>
  <c r="BG194" i="31"/>
  <c r="BG200" i="31"/>
  <c r="BG182" i="31"/>
  <c r="AC214" i="31"/>
  <c r="AC215" i="31" s="1"/>
  <c r="AC216" i="31" s="1"/>
  <c r="AC217" i="31" s="1"/>
  <c r="AC218" i="31" s="1"/>
  <c r="AC219" i="31" s="1"/>
  <c r="I202" i="31"/>
  <c r="I184" i="31"/>
  <c r="K209" i="31"/>
  <c r="J227" i="31"/>
  <c r="J221" i="31"/>
  <c r="Q196" i="31"/>
  <c r="M227" i="31"/>
  <c r="M221" i="31"/>
  <c r="M222" i="31" s="1"/>
  <c r="M223" i="31" s="1"/>
  <c r="M224" i="31" s="1"/>
  <c r="M225" i="31" s="1"/>
  <c r="M226" i="31" s="1"/>
  <c r="H191" i="31"/>
  <c r="L227" i="31"/>
  <c r="L221" i="31"/>
  <c r="L222" i="31" s="1"/>
  <c r="L223" i="31" s="1"/>
  <c r="L224" i="31" s="1"/>
  <c r="L225" i="31" s="1"/>
  <c r="L226" i="31" s="1"/>
  <c r="C221" i="31"/>
  <c r="C222" i="31" s="1"/>
  <c r="C223" i="31" s="1"/>
  <c r="C224" i="31" s="1"/>
  <c r="C225" i="31" s="1"/>
  <c r="C226" i="31" s="1"/>
  <c r="C227" i="31"/>
  <c r="G197" i="31"/>
  <c r="F191" i="31"/>
  <c r="J209" i="31"/>
  <c r="G191" i="31"/>
  <c r="I196" i="31"/>
  <c r="F215" i="31"/>
  <c r="I208" i="31"/>
  <c r="E227" i="31"/>
  <c r="E221" i="31"/>
  <c r="E222" i="31" s="1"/>
  <c r="E223" i="31" s="1"/>
  <c r="E224" i="31" s="1"/>
  <c r="E225" i="31" s="1"/>
  <c r="E226" i="31" s="1"/>
  <c r="S221" i="31"/>
  <c r="S222" i="31" s="1"/>
  <c r="S223" i="31" s="1"/>
  <c r="S224" i="31" s="1"/>
  <c r="S225" i="31" s="1"/>
  <c r="S226" i="31" s="1"/>
  <c r="S227" i="31"/>
  <c r="F203" i="31"/>
  <c r="G203" i="31"/>
  <c r="H227" i="31"/>
  <c r="H221" i="31"/>
  <c r="N221" i="31"/>
  <c r="N222" i="31" s="1"/>
  <c r="N223" i="31" s="1"/>
  <c r="N224" i="31" s="1"/>
  <c r="N225" i="31" s="1"/>
  <c r="N226" i="31" s="1"/>
  <c r="N227" i="31"/>
  <c r="H197" i="31"/>
  <c r="K215" i="31"/>
  <c r="J197" i="31"/>
  <c r="G209" i="31"/>
  <c r="J203" i="31"/>
  <c r="I190" i="31"/>
  <c r="Q214" i="31"/>
  <c r="Q220" i="31"/>
  <c r="J191" i="31"/>
  <c r="B227" i="31"/>
  <c r="B221" i="31"/>
  <c r="B222" i="31" s="1"/>
  <c r="B223" i="31" s="1"/>
  <c r="B224" i="31" s="1"/>
  <c r="B225" i="31" s="1"/>
  <c r="B226" i="31" s="1"/>
  <c r="Q184" i="31"/>
  <c r="H203" i="31"/>
  <c r="A214" i="31"/>
  <c r="A215" i="31" s="1"/>
  <c r="A216" i="31" s="1"/>
  <c r="A217" i="31" s="1"/>
  <c r="A218" i="31" s="1"/>
  <c r="A219" i="31" s="1"/>
  <c r="A220" i="31"/>
  <c r="F221" i="31"/>
  <c r="F227" i="31"/>
  <c r="Q190" i="31"/>
  <c r="AE221" i="31"/>
  <c r="BI214" i="31"/>
  <c r="U227" i="31"/>
  <c r="U221" i="31"/>
  <c r="U222" i="31" s="1"/>
  <c r="U223" i="31" s="1"/>
  <c r="U224" i="31" s="1"/>
  <c r="U225" i="31" s="1"/>
  <c r="U226" i="31" s="1"/>
  <c r="H215" i="31"/>
  <c r="G215" i="31"/>
  <c r="X227" i="31"/>
  <c r="X221" i="31"/>
  <c r="X222" i="31" s="1"/>
  <c r="X223" i="31" s="1"/>
  <c r="X224" i="31" s="1"/>
  <c r="X225" i="31" s="1"/>
  <c r="X226" i="31" s="1"/>
  <c r="K221" i="31"/>
  <c r="K227" i="31"/>
  <c r="V221" i="31"/>
  <c r="V222" i="31" s="1"/>
  <c r="V223" i="31" s="1"/>
  <c r="V224" i="31" s="1"/>
  <c r="V225" i="31" s="1"/>
  <c r="V226" i="31" s="1"/>
  <c r="V227" i="31"/>
  <c r="K197" i="31"/>
  <c r="P214" i="31"/>
  <c r="P215" i="31" s="1"/>
  <c r="P216" i="31" s="1"/>
  <c r="P217" i="31" s="1"/>
  <c r="P218" i="31" s="1"/>
  <c r="P219" i="31" s="1"/>
  <c r="P220" i="31"/>
  <c r="O221" i="31"/>
  <c r="O222" i="31" s="1"/>
  <c r="O223" i="31" s="1"/>
  <c r="O224" i="31" s="1"/>
  <c r="O225" i="31" s="1"/>
  <c r="O226" i="31" s="1"/>
  <c r="O227" i="31"/>
  <c r="K203" i="31"/>
  <c r="I214" i="31"/>
  <c r="I220" i="31"/>
  <c r="T214" i="31"/>
  <c r="T215" i="31" s="1"/>
  <c r="T216" i="31" s="1"/>
  <c r="T217" i="31" s="1"/>
  <c r="T218" i="31" s="1"/>
  <c r="T219" i="31" s="1"/>
  <c r="T220" i="31"/>
  <c r="F209" i="31"/>
  <c r="D227" i="31"/>
  <c r="D221" i="31"/>
  <c r="D222" i="31" s="1"/>
  <c r="D223" i="31" s="1"/>
  <c r="D224" i="31" s="1"/>
  <c r="D225" i="31" s="1"/>
  <c r="D226" i="31" s="1"/>
  <c r="J215" i="31"/>
  <c r="Q208" i="31"/>
  <c r="K191" i="31"/>
  <c r="Q202" i="31"/>
  <c r="H209" i="31"/>
  <c r="W221" i="31"/>
  <c r="W222" i="31" s="1"/>
  <c r="W223" i="31" s="1"/>
  <c r="W224" i="31" s="1"/>
  <c r="W225" i="31" s="1"/>
  <c r="W226" i="31" s="1"/>
  <c r="W227" i="31"/>
  <c r="F197" i="31"/>
  <c r="R227" i="31"/>
  <c r="R221" i="31"/>
  <c r="R222" i="31" s="1"/>
  <c r="R223" i="31" s="1"/>
  <c r="R224" i="31" s="1"/>
  <c r="R225" i="31" s="1"/>
  <c r="R226" i="31" s="1"/>
  <c r="G221" i="31"/>
  <c r="G227" i="31"/>
  <c r="U39" i="1"/>
  <c r="U40" i="1" s="1"/>
  <c r="U41" i="1" s="1"/>
  <c r="U42" i="1" s="1"/>
  <c r="U43" i="1" s="1"/>
  <c r="U44" i="1" s="1"/>
  <c r="IE130" i="24"/>
  <c r="U130" i="24"/>
  <c r="A39" i="1"/>
  <c r="A40" i="1" s="1"/>
  <c r="A41" i="1" s="1"/>
  <c r="A42" i="1" s="1"/>
  <c r="A43" i="1" s="1"/>
  <c r="A44" i="1" s="1"/>
  <c r="A45" i="1"/>
  <c r="A52" i="1" s="1"/>
  <c r="I39" i="1"/>
  <c r="I40" i="1" s="1"/>
  <c r="I41" i="1" s="1"/>
  <c r="I42" i="1" s="1"/>
  <c r="I43" i="1" s="1"/>
  <c r="I44" i="1" s="1"/>
  <c r="I45" i="1"/>
  <c r="I52" i="1" s="1"/>
  <c r="M45" i="1"/>
  <c r="M52" i="1" s="1"/>
  <c r="M39" i="1"/>
  <c r="M40" i="1" s="1"/>
  <c r="M41" i="1" s="1"/>
  <c r="M42" i="1" s="1"/>
  <c r="M43" i="1" s="1"/>
  <c r="M44" i="1" s="1"/>
  <c r="Q39" i="1"/>
  <c r="Q40" i="1" s="1"/>
  <c r="Q41" i="1" s="1"/>
  <c r="Q42" i="1" s="1"/>
  <c r="Q43" i="1" s="1"/>
  <c r="Q44" i="1" s="1"/>
  <c r="Q45" i="1"/>
  <c r="Q52" i="1" s="1"/>
  <c r="E39" i="1"/>
  <c r="E40" i="1" s="1"/>
  <c r="E41" i="1" s="1"/>
  <c r="E42" i="1" s="1"/>
  <c r="E43" i="1" s="1"/>
  <c r="E44" i="1" s="1"/>
  <c r="J45" i="1"/>
  <c r="V45" i="1"/>
  <c r="HQ92" i="10"/>
  <c r="Q122" i="18"/>
  <c r="R122" i="18" s="1"/>
  <c r="Q126" i="18"/>
  <c r="R126" i="18" s="1"/>
  <c r="Q130" i="18"/>
  <c r="R130" i="18" s="1"/>
  <c r="D39" i="16"/>
  <c r="D40" i="16" s="1"/>
  <c r="D41" i="16" s="1"/>
  <c r="D42" i="16" s="1"/>
  <c r="D43" i="16" s="1"/>
  <c r="D44" i="16" s="1"/>
  <c r="P45" i="16"/>
  <c r="Q121" i="10"/>
  <c r="R121" i="10" s="1"/>
  <c r="Q122" i="10"/>
  <c r="R122" i="10" s="1"/>
  <c r="Q123" i="10"/>
  <c r="R123" i="10" s="1"/>
  <c r="Q124" i="10"/>
  <c r="R124" i="10" s="1"/>
  <c r="Q125" i="10"/>
  <c r="R125" i="10" s="1"/>
  <c r="Q126" i="10"/>
  <c r="R126" i="10" s="1"/>
  <c r="Q127" i="10"/>
  <c r="R127" i="10" s="1"/>
  <c r="Q128" i="10"/>
  <c r="R128" i="10" s="1"/>
  <c r="Q129" i="10"/>
  <c r="R129" i="10" s="1"/>
  <c r="Q130" i="10"/>
  <c r="R130" i="10" s="1"/>
  <c r="Q131" i="10"/>
  <c r="R131" i="10" s="1"/>
  <c r="L39" i="16"/>
  <c r="L40" i="16" s="1"/>
  <c r="L41" i="16" s="1"/>
  <c r="L42" i="16" s="1"/>
  <c r="L43" i="16" s="1"/>
  <c r="L44" i="16" s="1"/>
  <c r="X45" i="16"/>
  <c r="DN146" i="17"/>
  <c r="DL149" i="17"/>
  <c r="EV153" i="17"/>
  <c r="DL155" i="17"/>
  <c r="DL157" i="17"/>
  <c r="DL159" i="17"/>
  <c r="DO165" i="17"/>
  <c r="F39" i="1"/>
  <c r="F40" i="1" s="1"/>
  <c r="F41" i="1" s="1"/>
  <c r="F42" i="1" s="1"/>
  <c r="F43" i="1" s="1"/>
  <c r="F44" i="1" s="1"/>
  <c r="HP75" i="10"/>
  <c r="T39" i="16"/>
  <c r="T40" i="16" s="1"/>
  <c r="T41" i="16" s="1"/>
  <c r="T42" i="16" s="1"/>
  <c r="T43" i="16" s="1"/>
  <c r="T44" i="16" s="1"/>
  <c r="EX146" i="17"/>
  <c r="HO93" i="24"/>
  <c r="R45" i="1"/>
  <c r="H45" i="16"/>
  <c r="DL152" i="17"/>
  <c r="DL154" i="17"/>
  <c r="DL156" i="17"/>
  <c r="DL158" i="17"/>
  <c r="H18" i="28"/>
  <c r="AM18" i="28"/>
  <c r="A27" i="23"/>
  <c r="G66" i="23"/>
  <c r="A49" i="23"/>
  <c r="E26" i="23"/>
  <c r="R32" i="2"/>
  <c r="R33" i="2" s="1"/>
  <c r="H61" i="2"/>
  <c r="H62" i="2" s="1"/>
  <c r="O71" i="23"/>
  <c r="JQ200" i="10"/>
  <c r="JQ176" i="10"/>
  <c r="JQ205" i="10"/>
  <c r="JQ210" i="10"/>
  <c r="JQ212" i="10"/>
  <c r="JQ216" i="10"/>
  <c r="JQ221" i="10"/>
  <c r="AQ571" i="15"/>
  <c r="AY571" i="15" s="1"/>
  <c r="BF571" i="15" s="1"/>
  <c r="BN571" i="15" s="1"/>
  <c r="AG107" i="24"/>
  <c r="AG74" i="24"/>
  <c r="HX152" i="10"/>
  <c r="IK152" i="10"/>
  <c r="HX156" i="10"/>
  <c r="IK156" i="10"/>
  <c r="HX154" i="10"/>
  <c r="IK154" i="10"/>
  <c r="HX158" i="10"/>
  <c r="IK158" i="10"/>
  <c r="HX172" i="10"/>
  <c r="HX155" i="10"/>
  <c r="IK155" i="10"/>
  <c r="DC583" i="15"/>
  <c r="DE582" i="15"/>
  <c r="AQ572" i="15"/>
  <c r="AY572" i="15" s="1"/>
  <c r="BF572" i="15" s="1"/>
  <c r="BN572" i="15" s="1"/>
  <c r="AQ575" i="15"/>
  <c r="AY575" i="15" s="1"/>
  <c r="BF575" i="15" s="1"/>
  <c r="BN575" i="15" s="1"/>
  <c r="AQ579" i="15"/>
  <c r="AY579" i="15" s="1"/>
  <c r="BF579" i="15" s="1"/>
  <c r="BN579" i="15" s="1"/>
  <c r="AQ583" i="15"/>
  <c r="AY583" i="15" s="1"/>
  <c r="BF583" i="15" s="1"/>
  <c r="BN583" i="15" s="1"/>
  <c r="AQ587" i="15"/>
  <c r="AY587" i="15" s="1"/>
  <c r="BF587" i="15" s="1"/>
  <c r="BN587" i="15" s="1"/>
  <c r="AQ574" i="15"/>
  <c r="AY574" i="15" s="1"/>
  <c r="BF574" i="15" s="1"/>
  <c r="BN574" i="15" s="1"/>
  <c r="AQ578" i="15"/>
  <c r="AY578" i="15" s="1"/>
  <c r="BF578" i="15" s="1"/>
  <c r="BN578" i="15" s="1"/>
  <c r="AQ582" i="15"/>
  <c r="AY582" i="15" s="1"/>
  <c r="BF582" i="15" s="1"/>
  <c r="BN582" i="15" s="1"/>
  <c r="AQ586" i="15"/>
  <c r="AY586" i="15" s="1"/>
  <c r="BF586" i="15" s="1"/>
  <c r="BN586" i="15" s="1"/>
  <c r="AQ573" i="15"/>
  <c r="AY573" i="15" s="1"/>
  <c r="BF573" i="15" s="1"/>
  <c r="BN573" i="15" s="1"/>
  <c r="AQ577" i="15"/>
  <c r="AY577" i="15" s="1"/>
  <c r="BF577" i="15" s="1"/>
  <c r="BN577" i="15" s="1"/>
  <c r="AQ581" i="15"/>
  <c r="AY581" i="15" s="1"/>
  <c r="BF581" i="15" s="1"/>
  <c r="BN581" i="15" s="1"/>
  <c r="AQ585" i="15"/>
  <c r="AY585" i="15" s="1"/>
  <c r="BF585" i="15" s="1"/>
  <c r="BN585" i="15" s="1"/>
  <c r="AQ576" i="15"/>
  <c r="AY576" i="15" s="1"/>
  <c r="BF576" i="15" s="1"/>
  <c r="BN576" i="15" s="1"/>
  <c r="AQ580" i="15"/>
  <c r="AY580" i="15" s="1"/>
  <c r="BF580" i="15" s="1"/>
  <c r="BN580" i="15" s="1"/>
  <c r="AQ584" i="15"/>
  <c r="AY584" i="15" s="1"/>
  <c r="BF584" i="15" s="1"/>
  <c r="BN584" i="15" s="1"/>
  <c r="CE585" i="15"/>
  <c r="CP585" i="15" s="1"/>
  <c r="CU585" i="15" s="1"/>
  <c r="CF585" i="15"/>
  <c r="CQ585" i="15" s="1"/>
  <c r="CV585" i="15" s="1"/>
  <c r="BQ587" i="15"/>
  <c r="LA63" i="10"/>
  <c r="HX64" i="10"/>
  <c r="CG81" i="10"/>
  <c r="CG91" i="10"/>
  <c r="IK91" i="10"/>
  <c r="HX95" i="10"/>
  <c r="IK95" i="10"/>
  <c r="HX69" i="10"/>
  <c r="LA86" i="10"/>
  <c r="IK86" i="10"/>
  <c r="CG102" i="10"/>
  <c r="CJ102" i="10" s="1"/>
  <c r="IK102" i="10"/>
  <c r="CG108" i="10"/>
  <c r="CL108" i="10" s="1"/>
  <c r="IK108" i="10"/>
  <c r="CG112" i="10"/>
  <c r="CL112" i="10" s="1"/>
  <c r="IK112" i="10"/>
  <c r="HX116" i="10"/>
  <c r="IK116" i="10"/>
  <c r="LA61" i="10"/>
  <c r="LA66" i="10"/>
  <c r="CG101" i="10"/>
  <c r="IK101" i="10"/>
  <c r="LA65" i="10"/>
  <c r="CG71" i="10"/>
  <c r="LA79" i="10"/>
  <c r="CG85" i="10"/>
  <c r="IK85" i="10"/>
  <c r="CG92" i="10"/>
  <c r="IK92" i="10"/>
  <c r="CG96" i="10"/>
  <c r="IK96" i="10"/>
  <c r="CG97" i="10"/>
  <c r="IK97" i="10"/>
  <c r="CG103" i="10"/>
  <c r="CL103" i="10" s="1"/>
  <c r="IK103" i="10"/>
  <c r="CG107" i="10"/>
  <c r="CL107" i="10" s="1"/>
  <c r="IK107" i="10"/>
  <c r="CG111" i="10"/>
  <c r="IK111" i="10"/>
  <c r="CG113" i="10"/>
  <c r="CK113" i="10" s="1"/>
  <c r="IK113" i="10"/>
  <c r="CG115" i="10"/>
  <c r="IK115" i="10"/>
  <c r="CG117" i="10"/>
  <c r="IK117" i="10"/>
  <c r="HX142" i="10"/>
  <c r="IK142" i="10"/>
  <c r="LA40" i="10"/>
  <c r="CG49" i="10"/>
  <c r="LA50" i="10"/>
  <c r="LA54" i="10"/>
  <c r="LA45" i="10"/>
  <c r="CG51" i="10"/>
  <c r="LA52" i="10"/>
  <c r="LA41" i="10"/>
  <c r="HX46" i="10"/>
  <c r="HX55" i="10"/>
  <c r="T107" i="2"/>
  <c r="T118" i="2" s="1"/>
  <c r="O70" i="23"/>
  <c r="O68" i="23"/>
  <c r="O72" i="23" s="1"/>
  <c r="G55" i="2"/>
  <c r="G60" i="2" s="1"/>
  <c r="X20" i="23"/>
  <c r="X21" i="23" s="1"/>
  <c r="X22" i="23" s="1"/>
  <c r="IJ59" i="10"/>
  <c r="IW140" i="24"/>
  <c r="AJ58" i="24"/>
  <c r="BJ58" i="24" s="1"/>
  <c r="BL58" i="24" s="1"/>
  <c r="Q118" i="24"/>
  <c r="CJ69" i="24"/>
  <c r="H70" i="24"/>
  <c r="Q70" i="24" s="1"/>
  <c r="AG70" i="24"/>
  <c r="CJ63" i="24"/>
  <c r="IL135" i="18"/>
  <c r="AA73" i="18"/>
  <c r="AH73" i="18" s="1"/>
  <c r="H73" i="18" s="1"/>
  <c r="HY45" i="18"/>
  <c r="HY166" i="18"/>
  <c r="IL166" i="18" s="1"/>
  <c r="CJ67" i="24"/>
  <c r="Q83" i="24"/>
  <c r="AJ63" i="24"/>
  <c r="AS63" i="24" s="1"/>
  <c r="AV63" i="24" s="1"/>
  <c r="BA68" i="24"/>
  <c r="BD68" i="24" s="1"/>
  <c r="AB44" i="10"/>
  <c r="AI44" i="10" s="1"/>
  <c r="LB44" i="10"/>
  <c r="CG69" i="10"/>
  <c r="CG70" i="18"/>
  <c r="HY164" i="18"/>
  <c r="IL164" i="18" s="1"/>
  <c r="CK73" i="24"/>
  <c r="LA69" i="10"/>
  <c r="HX164" i="10"/>
  <c r="AB88" i="18"/>
  <c r="AI88" i="18" s="1"/>
  <c r="AG118" i="24"/>
  <c r="J26" i="15"/>
  <c r="AH577" i="15" s="1"/>
  <c r="CG57" i="18"/>
  <c r="CL53" i="24"/>
  <c r="CK49" i="24"/>
  <c r="CG45" i="18"/>
  <c r="B54" i="10"/>
  <c r="A54" i="10" s="1"/>
  <c r="HX54" i="10"/>
  <c r="JQ211" i="10"/>
  <c r="B58" i="18"/>
  <c r="A58" i="18" s="1"/>
  <c r="B61" i="18"/>
  <c r="A61" i="18" s="1"/>
  <c r="LC61" i="18"/>
  <c r="B63" i="18"/>
  <c r="A63" i="18" s="1"/>
  <c r="LC63" i="18"/>
  <c r="B72" i="18"/>
  <c r="A72" i="18" s="1"/>
  <c r="HY98" i="18"/>
  <c r="HY172" i="18"/>
  <c r="CL67" i="24"/>
  <c r="CJ49" i="24"/>
  <c r="LB64" i="18"/>
  <c r="AG113" i="24"/>
  <c r="AG83" i="24"/>
  <c r="H63" i="24"/>
  <c r="Q63" i="24" s="1"/>
  <c r="CH60" i="18"/>
  <c r="AB86" i="18"/>
  <c r="AI86" i="18" s="1"/>
  <c r="I86" i="18" s="1"/>
  <c r="AL70" i="24"/>
  <c r="AO70" i="24" s="1"/>
  <c r="AG103" i="24"/>
  <c r="CK46" i="24"/>
  <c r="CH54" i="10"/>
  <c r="HX132" i="10"/>
  <c r="HX139" i="10"/>
  <c r="HX149" i="10"/>
  <c r="HX151" i="10"/>
  <c r="LB56" i="18"/>
  <c r="CH58" i="18"/>
  <c r="CG64" i="18"/>
  <c r="CH68" i="18"/>
  <c r="CG74" i="18"/>
  <c r="AA79" i="18"/>
  <c r="AH79" i="18" s="1"/>
  <c r="AG79" i="18" s="1"/>
  <c r="AA83" i="18"/>
  <c r="AH83" i="18" s="1"/>
  <c r="H83" i="18" s="1"/>
  <c r="B84" i="18"/>
  <c r="A84" i="18" s="1"/>
  <c r="HY174" i="18"/>
  <c r="Q117" i="24"/>
  <c r="Q107" i="24"/>
  <c r="R107" i="24" s="1"/>
  <c r="BB68" i="24"/>
  <c r="BE68" i="24" s="1"/>
  <c r="CH57" i="10"/>
  <c r="AB61" i="10"/>
  <c r="AI61" i="10" s="1"/>
  <c r="I61" i="10" s="1"/>
  <c r="AA70" i="10"/>
  <c r="AH70" i="10" s="1"/>
  <c r="CH73" i="10"/>
  <c r="HZ76" i="10"/>
  <c r="CH76" i="10"/>
  <c r="AA78" i="10"/>
  <c r="CG78" i="10"/>
  <c r="LB79" i="10"/>
  <c r="CH79" i="10"/>
  <c r="HZ79" i="10"/>
  <c r="HZ81" i="10"/>
  <c r="CH81" i="10"/>
  <c r="CJ81" i="10" s="1"/>
  <c r="HX82" i="10"/>
  <c r="CG82" i="10"/>
  <c r="LA83" i="10"/>
  <c r="CG83" i="10"/>
  <c r="HX88" i="10"/>
  <c r="CG88" i="10"/>
  <c r="CG89" i="10"/>
  <c r="HZ95" i="10"/>
  <c r="CH95" i="10"/>
  <c r="AA95" i="10"/>
  <c r="HX105" i="10"/>
  <c r="CG105" i="10"/>
  <c r="CG106" i="10"/>
  <c r="JQ202" i="10"/>
  <c r="JQ201" i="10"/>
  <c r="BA70" i="24"/>
  <c r="BD70" i="24" s="1"/>
  <c r="AL68" i="24"/>
  <c r="BB70" i="24"/>
  <c r="B43" i="10"/>
  <c r="A43" i="10" s="1"/>
  <c r="AB48" i="10"/>
  <c r="AI48" i="10" s="1"/>
  <c r="I48" i="10" s="1"/>
  <c r="LB54" i="10"/>
  <c r="AB55" i="10"/>
  <c r="B57" i="10"/>
  <c r="A57" i="10" s="1"/>
  <c r="LA64" i="10"/>
  <c r="CG66" i="10"/>
  <c r="HX66" i="10"/>
  <c r="CH70" i="10"/>
  <c r="HZ73" i="10"/>
  <c r="LB76" i="10"/>
  <c r="AB79" i="10"/>
  <c r="AI79" i="10" s="1"/>
  <c r="HX80" i="10"/>
  <c r="CG80" i="10"/>
  <c r="AA81" i="10"/>
  <c r="CG87" i="10"/>
  <c r="CK88" i="10"/>
  <c r="HX89" i="10"/>
  <c r="HX97" i="10"/>
  <c r="CJ112" i="10"/>
  <c r="HX145" i="10"/>
  <c r="HX147" i="10"/>
  <c r="HX148" i="10"/>
  <c r="IL176" i="18"/>
  <c r="HY176" i="18"/>
  <c r="HX71" i="10"/>
  <c r="B76" i="10"/>
  <c r="A76" i="10" s="1"/>
  <c r="B79" i="10"/>
  <c r="A79" i="10" s="1"/>
  <c r="LB80" i="10"/>
  <c r="CH80" i="10"/>
  <c r="B81" i="10"/>
  <c r="A81" i="10" s="1"/>
  <c r="LB81" i="10"/>
  <c r="LA82" i="10"/>
  <c r="B86" i="10"/>
  <c r="A86" i="10" s="1"/>
  <c r="CH86" i="10"/>
  <c r="B87" i="10"/>
  <c r="A87" i="10" s="1"/>
  <c r="CH87" i="10"/>
  <c r="HZ96" i="10"/>
  <c r="CH96" i="10"/>
  <c r="AA105" i="10"/>
  <c r="CG110" i="10"/>
  <c r="HX110" i="10"/>
  <c r="AB117" i="10"/>
  <c r="AI117" i="10" s="1"/>
  <c r="I117" i="10" s="1"/>
  <c r="CH117" i="10"/>
  <c r="CJ117" i="10" s="1"/>
  <c r="HZ117" i="10"/>
  <c r="HX141" i="10"/>
  <c r="HX144" i="10"/>
  <c r="HX159" i="10"/>
  <c r="HY59" i="18"/>
  <c r="CG59" i="18"/>
  <c r="HY62" i="18"/>
  <c r="HY68" i="18"/>
  <c r="LB68" i="18"/>
  <c r="AB77" i="18"/>
  <c r="AI77" i="18" s="1"/>
  <c r="IA77" i="18"/>
  <c r="B77" i="18"/>
  <c r="A77" i="18" s="1"/>
  <c r="BI65" i="24"/>
  <c r="BK65" i="24" s="1"/>
  <c r="BP65" i="24"/>
  <c r="BO65" i="24"/>
  <c r="BR65" i="24" s="1"/>
  <c r="AL65" i="24"/>
  <c r="AO65" i="24" s="1"/>
  <c r="AP65" i="24" s="1"/>
  <c r="BX65" i="24" s="1"/>
  <c r="AA76" i="10"/>
  <c r="CG76" i="10"/>
  <c r="HX77" i="10"/>
  <c r="CG77" i="10"/>
  <c r="HX79" i="10"/>
  <c r="CG79" i="10"/>
  <c r="HZ90" i="10"/>
  <c r="CH90" i="10"/>
  <c r="HZ91" i="10"/>
  <c r="CH91" i="10"/>
  <c r="CG93" i="10"/>
  <c r="HX93" i="10"/>
  <c r="CG94" i="10"/>
  <c r="HZ98" i="10"/>
  <c r="CH98" i="10"/>
  <c r="HZ99" i="10"/>
  <c r="CH99" i="10"/>
  <c r="HZ100" i="10"/>
  <c r="CH100" i="10"/>
  <c r="HZ101" i="10"/>
  <c r="CH101" i="10"/>
  <c r="AB101" i="10"/>
  <c r="AI101" i="10" s="1"/>
  <c r="HX106" i="10"/>
  <c r="CJ108" i="10"/>
  <c r="CG114" i="10"/>
  <c r="AB101" i="18"/>
  <c r="AI101" i="18" s="1"/>
  <c r="IA101" i="18"/>
  <c r="AB118" i="18"/>
  <c r="AI118" i="18" s="1"/>
  <c r="I118" i="18" s="1"/>
  <c r="IA118" i="18"/>
  <c r="IL168" i="18"/>
  <c r="HY168" i="18"/>
  <c r="BI70" i="24"/>
  <c r="BK70" i="24" s="1"/>
  <c r="BO70" i="24"/>
  <c r="BR70" i="24" s="1"/>
  <c r="BT70" i="24" s="1"/>
  <c r="CB70" i="24" s="1"/>
  <c r="AK70" i="24"/>
  <c r="AN70" i="24" s="1"/>
  <c r="AP70" i="24" s="1"/>
  <c r="BX70" i="24" s="1"/>
  <c r="B89" i="10"/>
  <c r="CH89" i="10"/>
  <c r="HZ93" i="10"/>
  <c r="CH93" i="10"/>
  <c r="HX99" i="10"/>
  <c r="CG99" i="10"/>
  <c r="CG104" i="10"/>
  <c r="HX104" i="10"/>
  <c r="CK107" i="10"/>
  <c r="CJ107" i="10"/>
  <c r="AB111" i="10"/>
  <c r="CH111" i="10"/>
  <c r="CK111" i="10" s="1"/>
  <c r="HZ111" i="10"/>
  <c r="HX176" i="10"/>
  <c r="HX177" i="10"/>
  <c r="JQ206" i="10"/>
  <c r="JQ209" i="10"/>
  <c r="AA57" i="18"/>
  <c r="AH57" i="18" s="1"/>
  <c r="H57" i="18" s="1"/>
  <c r="IA58" i="18"/>
  <c r="B60" i="18"/>
  <c r="A60" i="18" s="1"/>
  <c r="IA60" i="18"/>
  <c r="AA63" i="18"/>
  <c r="AH63" i="18" s="1"/>
  <c r="AJ63" i="18" s="1"/>
  <c r="LB70" i="18"/>
  <c r="AA72" i="18"/>
  <c r="AH72" i="18" s="1"/>
  <c r="H72" i="18" s="1"/>
  <c r="HY79" i="18"/>
  <c r="B81" i="18"/>
  <c r="A81" i="18" s="1"/>
  <c r="AA94" i="18"/>
  <c r="AH94" i="18" s="1"/>
  <c r="H94" i="18" s="1"/>
  <c r="AA101" i="18"/>
  <c r="AH101" i="18" s="1"/>
  <c r="H101" i="18" s="1"/>
  <c r="HY102" i="18"/>
  <c r="IL134" i="18"/>
  <c r="HY162" i="18"/>
  <c r="IL162" i="18" s="1"/>
  <c r="HY170" i="18"/>
  <c r="HY178" i="18"/>
  <c r="I103" i="24"/>
  <c r="Q103" i="24" s="1"/>
  <c r="R103" i="24" s="1"/>
  <c r="S103" i="24" s="1"/>
  <c r="I68" i="24"/>
  <c r="AJ61" i="24"/>
  <c r="AS61" i="24" s="1"/>
  <c r="AV61" i="24" s="1"/>
  <c r="AG61" i="24"/>
  <c r="JQ215" i="10"/>
  <c r="JQ218" i="10"/>
  <c r="JQ219" i="10"/>
  <c r="JQ222" i="10"/>
  <c r="HY71" i="18"/>
  <c r="AG105" i="24"/>
  <c r="AG68" i="24"/>
  <c r="AT70" i="24"/>
  <c r="AW70" i="24" s="1"/>
  <c r="CL55" i="24"/>
  <c r="LB83" i="10"/>
  <c r="CH83" i="10"/>
  <c r="HX84" i="10"/>
  <c r="CG84" i="10"/>
  <c r="HZ85" i="10"/>
  <c r="CH85" i="10"/>
  <c r="CG86" i="10"/>
  <c r="CG90" i="10"/>
  <c r="HZ92" i="10"/>
  <c r="CH92" i="10"/>
  <c r="CK92" i="10" s="1"/>
  <c r="HZ94" i="10"/>
  <c r="CH94" i="10"/>
  <c r="CG95" i="10"/>
  <c r="HZ97" i="10"/>
  <c r="CH97" i="10"/>
  <c r="HX98" i="10"/>
  <c r="CG98" i="10"/>
  <c r="HX100" i="10"/>
  <c r="CG100" i="10"/>
  <c r="CL102" i="10"/>
  <c r="AB105" i="10"/>
  <c r="AI105" i="10" s="1"/>
  <c r="CH105" i="10"/>
  <c r="HZ105" i="10"/>
  <c r="HX109" i="10"/>
  <c r="CG109" i="10"/>
  <c r="AB115" i="10"/>
  <c r="CH115" i="10"/>
  <c r="CG116" i="10"/>
  <c r="JQ179" i="10"/>
  <c r="LC58" i="18"/>
  <c r="AA71" i="18"/>
  <c r="AH71" i="18" s="1"/>
  <c r="H71" i="18" s="1"/>
  <c r="IA72" i="18"/>
  <c r="AA86" i="18"/>
  <c r="AH86" i="18" s="1"/>
  <c r="H86" i="18" s="1"/>
  <c r="AB91" i="18"/>
  <c r="AI91" i="18" s="1"/>
  <c r="I91" i="18" s="1"/>
  <c r="AA98" i="18"/>
  <c r="AH98" i="18" s="1"/>
  <c r="H98" i="18" s="1"/>
  <c r="Q105" i="24"/>
  <c r="Q74" i="24"/>
  <c r="R74" i="24" s="1"/>
  <c r="S74" i="24" s="1"/>
  <c r="T74" i="24" s="1"/>
  <c r="CG45" i="10"/>
  <c r="LB48" i="10"/>
  <c r="AB51" i="10"/>
  <c r="AI51" i="10" s="1"/>
  <c r="I51" i="10" s="1"/>
  <c r="CI32" i="18"/>
  <c r="CK32" i="18" s="1"/>
  <c r="CH50" i="18"/>
  <c r="CJ48" i="24"/>
  <c r="CK42" i="24"/>
  <c r="CK45" i="24"/>
  <c r="CG49" i="18"/>
  <c r="CH51" i="10"/>
  <c r="CK43" i="24"/>
  <c r="CJ43" i="24"/>
  <c r="CJ42" i="24"/>
  <c r="CL46" i="24"/>
  <c r="CL49" i="24"/>
  <c r="CH47" i="10"/>
  <c r="B47" i="10"/>
  <c r="A47" i="10" s="1"/>
  <c r="AB47" i="10"/>
  <c r="LB53" i="10"/>
  <c r="AB53" i="10"/>
  <c r="CH53" i="10"/>
  <c r="HP83" i="10"/>
  <c r="HR82" i="10"/>
  <c r="AB109" i="10"/>
  <c r="AI109" i="10" s="1"/>
  <c r="I109" i="10" s="1"/>
  <c r="HZ109" i="10"/>
  <c r="AA109" i="10"/>
  <c r="IK171" i="10"/>
  <c r="HX171" i="10"/>
  <c r="IK173" i="10"/>
  <c r="HX173" i="10"/>
  <c r="HZ74" i="10"/>
  <c r="CH74" i="10"/>
  <c r="AA74" i="10"/>
  <c r="LB74" i="10"/>
  <c r="HX101" i="10"/>
  <c r="JQ203" i="10"/>
  <c r="JQ204" i="10"/>
  <c r="AB84" i="10"/>
  <c r="AI84" i="10" s="1"/>
  <c r="LB84" i="10"/>
  <c r="B84" i="10"/>
  <c r="A84" i="10" s="1"/>
  <c r="HZ84" i="10"/>
  <c r="HX113" i="10"/>
  <c r="AA113" i="10"/>
  <c r="HX157" i="10"/>
  <c r="JQ213" i="10"/>
  <c r="AA90" i="18"/>
  <c r="AH90" i="18" s="1"/>
  <c r="H90" i="18" s="1"/>
  <c r="HY91" i="18"/>
  <c r="HY104" i="18"/>
  <c r="AB105" i="18"/>
  <c r="AI105" i="18" s="1"/>
  <c r="I105" i="18" s="1"/>
  <c r="IA105" i="18"/>
  <c r="B71" i="10"/>
  <c r="A71" i="10" s="1"/>
  <c r="HZ71" i="10"/>
  <c r="AB71" i="10"/>
  <c r="AI71" i="10" s="1"/>
  <c r="I71" i="10" s="1"/>
  <c r="LB77" i="10"/>
  <c r="B77" i="10"/>
  <c r="A77" i="10" s="1"/>
  <c r="AB77" i="10"/>
  <c r="HR88" i="10"/>
  <c r="LA42" i="10"/>
  <c r="HX42" i="10"/>
  <c r="HZ50" i="10"/>
  <c r="CH50" i="10"/>
  <c r="B50" i="10"/>
  <c r="A50" i="10" s="1"/>
  <c r="HZ52" i="10"/>
  <c r="LB52" i="10"/>
  <c r="CH52" i="10"/>
  <c r="CG60" i="10"/>
  <c r="LA62" i="10"/>
  <c r="CG62" i="10"/>
  <c r="LB63" i="10"/>
  <c r="AB63" i="10"/>
  <c r="AI63" i="10" s="1"/>
  <c r="HX67" i="10"/>
  <c r="CG67" i="10"/>
  <c r="B72" i="10"/>
  <c r="A72" i="10" s="1"/>
  <c r="HZ72" i="10"/>
  <c r="CH72" i="10"/>
  <c r="B78" i="10"/>
  <c r="A78" i="10" s="1"/>
  <c r="LB78" i="10"/>
  <c r="HZ83" i="10"/>
  <c r="AB107" i="10"/>
  <c r="HZ107" i="10"/>
  <c r="HX108" i="10"/>
  <c r="HX118" i="10"/>
  <c r="HX120" i="10"/>
  <c r="HX146" i="10"/>
  <c r="HX153" i="10"/>
  <c r="HX160" i="10"/>
  <c r="IK170" i="10"/>
  <c r="HX170" i="10"/>
  <c r="JQ214" i="10"/>
  <c r="JQ217" i="10"/>
  <c r="CH47" i="18"/>
  <c r="AA47" i="18"/>
  <c r="AH47" i="18" s="1"/>
  <c r="H47" i="18" s="1"/>
  <c r="IA47" i="18"/>
  <c r="B47" i="18"/>
  <c r="A47" i="18" s="1"/>
  <c r="IA52" i="18"/>
  <c r="LC52" i="18"/>
  <c r="AA52" i="18"/>
  <c r="AH52" i="18" s="1"/>
  <c r="AJ52" i="18" s="1"/>
  <c r="B52" i="18"/>
  <c r="A52" i="18" s="1"/>
  <c r="HY54" i="18"/>
  <c r="LB54" i="18"/>
  <c r="AB56" i="18"/>
  <c r="AI56" i="18" s="1"/>
  <c r="LC56" i="18"/>
  <c r="CH56" i="18"/>
  <c r="IA56" i="18"/>
  <c r="B56" i="18"/>
  <c r="A56" i="18" s="1"/>
  <c r="AA75" i="18"/>
  <c r="AH75" i="18" s="1"/>
  <c r="H75" i="18" s="1"/>
  <c r="HY75" i="18"/>
  <c r="HY110" i="18"/>
  <c r="IL167" i="18"/>
  <c r="HY167" i="18"/>
  <c r="IL175" i="18"/>
  <c r="HY175" i="18"/>
  <c r="LF38" i="10"/>
  <c r="IS37" i="10"/>
  <c r="IW38" i="10" s="1"/>
  <c r="CG42" i="10"/>
  <c r="AB50" i="10"/>
  <c r="AI50" i="10" s="1"/>
  <c r="I50" i="10" s="1"/>
  <c r="AB52" i="10"/>
  <c r="HX53" i="10"/>
  <c r="LA53" i="10"/>
  <c r="CG53" i="10"/>
  <c r="LB58" i="10"/>
  <c r="B58" i="10"/>
  <c r="A58" i="10" s="1"/>
  <c r="CH63" i="10"/>
  <c r="CH65" i="10"/>
  <c r="B65" i="10"/>
  <c r="A65" i="10" s="1"/>
  <c r="AB65" i="10"/>
  <c r="HZ67" i="10"/>
  <c r="B67" i="10"/>
  <c r="A67" i="10" s="1"/>
  <c r="HZ68" i="10"/>
  <c r="B68" i="10"/>
  <c r="A68" i="10" s="1"/>
  <c r="LB68" i="10"/>
  <c r="CH68" i="10"/>
  <c r="LA71" i="10"/>
  <c r="HX75" i="10"/>
  <c r="CG75" i="10"/>
  <c r="LA75" i="10"/>
  <c r="HR77" i="10"/>
  <c r="HQ76" i="10"/>
  <c r="HQ84" i="10"/>
  <c r="HR84" i="10"/>
  <c r="HP84" i="10"/>
  <c r="AA85" i="10"/>
  <c r="HQ87" i="10"/>
  <c r="HQ86" i="10"/>
  <c r="AA89" i="10"/>
  <c r="AA91" i="10"/>
  <c r="HX91" i="10"/>
  <c r="AA93" i="10"/>
  <c r="AA97" i="10"/>
  <c r="HX102" i="10"/>
  <c r="HX112" i="10"/>
  <c r="HX143" i="10"/>
  <c r="HX150" i="10"/>
  <c r="HX163" i="10"/>
  <c r="HX165" i="10"/>
  <c r="IK178" i="10"/>
  <c r="HX178" i="10"/>
  <c r="JQ223" i="10"/>
  <c r="JQ224" i="10"/>
  <c r="IA48" i="18"/>
  <c r="LC48" i="18"/>
  <c r="B48" i="18"/>
  <c r="A48" i="18" s="1"/>
  <c r="HY58" i="18"/>
  <c r="LB58" i="18"/>
  <c r="A3" i="10"/>
  <c r="C3" i="10" s="1"/>
  <c r="LA51" i="10"/>
  <c r="LB56" i="10"/>
  <c r="B56" i="10"/>
  <c r="A56" i="10" s="1"/>
  <c r="HZ59" i="10"/>
  <c r="B59" i="10"/>
  <c r="A59" i="10" s="1"/>
  <c r="LB59" i="10"/>
  <c r="LA60" i="10"/>
  <c r="HX63" i="10"/>
  <c r="CG63" i="10"/>
  <c r="HZ64" i="10"/>
  <c r="B64" i="10"/>
  <c r="A64" i="10" s="1"/>
  <c r="LB64" i="10"/>
  <c r="LA67" i="10"/>
  <c r="LA73" i="10"/>
  <c r="AA73" i="10"/>
  <c r="AB103" i="10"/>
  <c r="HZ103" i="10"/>
  <c r="AB113" i="10"/>
  <c r="AI113" i="10" s="1"/>
  <c r="I113" i="10" s="1"/>
  <c r="HZ113" i="10"/>
  <c r="HX114" i="10"/>
  <c r="HX117" i="10"/>
  <c r="AA117" i="10"/>
  <c r="AB119" i="10"/>
  <c r="HZ119" i="10"/>
  <c r="HX140" i="10"/>
  <c r="HX162" i="10"/>
  <c r="JQ180" i="10"/>
  <c r="JQ207" i="10"/>
  <c r="JQ208" i="10"/>
  <c r="JQ220" i="10"/>
  <c r="IA85" i="18"/>
  <c r="E188" i="18"/>
  <c r="E188" i="24"/>
  <c r="CH43" i="10"/>
  <c r="HZ48" i="10"/>
  <c r="CG50" i="10"/>
  <c r="LB51" i="10"/>
  <c r="CG52" i="10"/>
  <c r="LB61" i="10"/>
  <c r="LB70" i="10"/>
  <c r="HQ77" i="10"/>
  <c r="LA77" i="10"/>
  <c r="HR83" i="10"/>
  <c r="AB40" i="18"/>
  <c r="AI40" i="18" s="1"/>
  <c r="I40" i="18" s="1"/>
  <c r="LB46" i="18"/>
  <c r="CG46" i="18"/>
  <c r="IA54" i="18"/>
  <c r="AA55" i="18"/>
  <c r="AH55" i="18" s="1"/>
  <c r="AJ55" i="18" s="1"/>
  <c r="AT55" i="18" s="1"/>
  <c r="AW55" i="18" s="1"/>
  <c r="HY60" i="18"/>
  <c r="LB60" i="18"/>
  <c r="AA67" i="18"/>
  <c r="AH67" i="18" s="1"/>
  <c r="CG68" i="18"/>
  <c r="CL68" i="18" s="1"/>
  <c r="AB76" i="18"/>
  <c r="AI76" i="18" s="1"/>
  <c r="I76" i="18" s="1"/>
  <c r="B76" i="18"/>
  <c r="A76" i="18" s="1"/>
  <c r="LB80" i="18"/>
  <c r="HY80" i="18"/>
  <c r="AB82" i="18"/>
  <c r="AI82" i="18" s="1"/>
  <c r="IA82" i="18"/>
  <c r="B82" i="18"/>
  <c r="A82" i="18" s="1"/>
  <c r="AB95" i="18"/>
  <c r="AI95" i="18" s="1"/>
  <c r="I95" i="18" s="1"/>
  <c r="AA100" i="18"/>
  <c r="AH100" i="18" s="1"/>
  <c r="H100" i="18" s="1"/>
  <c r="HY106" i="18"/>
  <c r="AB109" i="18"/>
  <c r="AI109" i="18" s="1"/>
  <c r="I109" i="18" s="1"/>
  <c r="IA109" i="18"/>
  <c r="AB113" i="18"/>
  <c r="AI113" i="18" s="1"/>
  <c r="IA113" i="18"/>
  <c r="HY138" i="18"/>
  <c r="IL138" i="18" s="1"/>
  <c r="HY163" i="18"/>
  <c r="IL163" i="18" s="1"/>
  <c r="IL171" i="18"/>
  <c r="HY171" i="18"/>
  <c r="AA64" i="10"/>
  <c r="AH64" i="10" s="1"/>
  <c r="H64" i="10" s="1"/>
  <c r="AA72" i="10"/>
  <c r="HX86" i="10"/>
  <c r="JQ182" i="10"/>
  <c r="JQ184" i="10"/>
  <c r="JQ186" i="10"/>
  <c r="JQ188" i="10"/>
  <c r="JQ190" i="10"/>
  <c r="JQ192" i="10"/>
  <c r="JQ194" i="10"/>
  <c r="JQ196" i="10"/>
  <c r="JQ198" i="10"/>
  <c r="B40" i="18"/>
  <c r="A40" i="18" s="1"/>
  <c r="HY41" i="18"/>
  <c r="AB50" i="18"/>
  <c r="AI50" i="18" s="1"/>
  <c r="I50" i="18" s="1"/>
  <c r="IA50" i="18"/>
  <c r="CH51" i="18"/>
  <c r="IA51" i="18"/>
  <c r="IA65" i="18"/>
  <c r="LC65" i="18"/>
  <c r="B65" i="18"/>
  <c r="A65" i="18" s="1"/>
  <c r="IA67" i="18"/>
  <c r="B67" i="18"/>
  <c r="A67" i="18" s="1"/>
  <c r="LC80" i="18"/>
  <c r="B80" i="18"/>
  <c r="A80" i="18" s="1"/>
  <c r="IA80" i="18"/>
  <c r="HY85" i="18"/>
  <c r="HY105" i="18"/>
  <c r="AA105" i="18"/>
  <c r="AH105" i="18" s="1"/>
  <c r="H105" i="18" s="1"/>
  <c r="HY123" i="18"/>
  <c r="HY131" i="18"/>
  <c r="HY141" i="18"/>
  <c r="IL141" i="18" s="1"/>
  <c r="HY143" i="18"/>
  <c r="IL143" i="18" s="1"/>
  <c r="HY145" i="18"/>
  <c r="IL145" i="18" s="1"/>
  <c r="HY147" i="18"/>
  <c r="IL147" i="18" s="1"/>
  <c r="HY149" i="18"/>
  <c r="IL149" i="18" s="1"/>
  <c r="HY151" i="18"/>
  <c r="IL151" i="18" s="1"/>
  <c r="HY153" i="18"/>
  <c r="IL153" i="18" s="1"/>
  <c r="HY155" i="18"/>
  <c r="IL155" i="18" s="1"/>
  <c r="HY157" i="18"/>
  <c r="IL157" i="18" s="1"/>
  <c r="HY159" i="18"/>
  <c r="IL159" i="18" s="1"/>
  <c r="HY161" i="18"/>
  <c r="IL161" i="18" s="1"/>
  <c r="IL169" i="18"/>
  <c r="HY169" i="18"/>
  <c r="IL177" i="18"/>
  <c r="HY177" i="18"/>
  <c r="AB54" i="18"/>
  <c r="AI54" i="18" s="1"/>
  <c r="I54" i="18" s="1"/>
  <c r="CH54" i="18"/>
  <c r="LC54" i="18"/>
  <c r="LB62" i="18"/>
  <c r="CG62" i="18"/>
  <c r="IA69" i="18"/>
  <c r="LC69" i="18"/>
  <c r="B69" i="18"/>
  <c r="A69" i="18" s="1"/>
  <c r="LC71" i="18"/>
  <c r="IA71" i="18"/>
  <c r="B71" i="18"/>
  <c r="A71" i="18" s="1"/>
  <c r="LC73" i="18"/>
  <c r="AB73" i="18"/>
  <c r="AI73" i="18" s="1"/>
  <c r="I73" i="18" s="1"/>
  <c r="Q73" i="18" s="1"/>
  <c r="LC75" i="18"/>
  <c r="B75" i="18"/>
  <c r="A75" i="18" s="1"/>
  <c r="HY77" i="18"/>
  <c r="AA77" i="18"/>
  <c r="AH77" i="18" s="1"/>
  <c r="H77" i="18" s="1"/>
  <c r="H79" i="18"/>
  <c r="Q79" i="18" s="1"/>
  <c r="R79" i="18" s="1"/>
  <c r="HY127" i="18"/>
  <c r="HY142" i="18"/>
  <c r="IL142" i="18" s="1"/>
  <c r="HY144" i="18"/>
  <c r="IL144" i="18" s="1"/>
  <c r="HY146" i="18"/>
  <c r="IL146" i="18" s="1"/>
  <c r="HY148" i="18"/>
  <c r="IL148" i="18" s="1"/>
  <c r="HY150" i="18"/>
  <c r="IL150" i="18" s="1"/>
  <c r="HY152" i="18"/>
  <c r="IL152" i="18" s="1"/>
  <c r="HY154" i="18"/>
  <c r="IL154" i="18" s="1"/>
  <c r="HY156" i="18"/>
  <c r="IL156" i="18" s="1"/>
  <c r="HY158" i="18"/>
  <c r="IL158" i="18" s="1"/>
  <c r="HY160" i="18"/>
  <c r="IL160" i="18" s="1"/>
  <c r="HY165" i="18"/>
  <c r="IL165" i="18" s="1"/>
  <c r="IL173" i="18"/>
  <c r="HY173" i="18"/>
  <c r="AA65" i="18"/>
  <c r="AH65" i="18" s="1"/>
  <c r="HY66" i="18"/>
  <c r="AA74" i="18"/>
  <c r="AH74" i="18" s="1"/>
  <c r="H74" i="18" s="1"/>
  <c r="HY74" i="18"/>
  <c r="AA76" i="18"/>
  <c r="AH76" i="18" s="1"/>
  <c r="H76" i="18" s="1"/>
  <c r="HY76" i="18"/>
  <c r="LB76" i="18"/>
  <c r="IA81" i="18"/>
  <c r="LC84" i="18"/>
  <c r="IA86" i="18"/>
  <c r="HY114" i="18"/>
  <c r="Q127" i="18"/>
  <c r="R127" i="18" s="1"/>
  <c r="IW160" i="24"/>
  <c r="H82" i="24"/>
  <c r="Q82" i="24" s="1"/>
  <c r="AG82" i="24"/>
  <c r="Q121" i="18"/>
  <c r="R121" i="18" s="1"/>
  <c r="A39" i="16"/>
  <c r="A40" i="16" s="1"/>
  <c r="A41" i="16" s="1"/>
  <c r="I39" i="16"/>
  <c r="I40" i="16" s="1"/>
  <c r="I41" i="16" s="1"/>
  <c r="I42" i="16" s="1"/>
  <c r="I43" i="16" s="1"/>
  <c r="I44" i="16" s="1"/>
  <c r="Q39" i="16"/>
  <c r="Q40" i="16" s="1"/>
  <c r="Q41" i="16" s="1"/>
  <c r="Q42" i="16" s="1"/>
  <c r="Q43" i="16" s="1"/>
  <c r="Q44" i="16" s="1"/>
  <c r="E45" i="16"/>
  <c r="M45" i="16"/>
  <c r="U45" i="16"/>
  <c r="DO164" i="17"/>
  <c r="EY164" i="17"/>
  <c r="LB50" i="18"/>
  <c r="AA59" i="18"/>
  <c r="AH59" i="18" s="1"/>
  <c r="AJ59" i="18" s="1"/>
  <c r="CG66" i="18"/>
  <c r="IA68" i="18"/>
  <c r="LC72" i="18"/>
  <c r="LB74" i="18"/>
  <c r="AA81" i="18"/>
  <c r="AH81" i="18" s="1"/>
  <c r="AG81" i="18" s="1"/>
  <c r="HY81" i="18"/>
  <c r="LB81" i="18"/>
  <c r="IA88" i="18"/>
  <c r="AA109" i="18"/>
  <c r="AH109" i="18" s="1"/>
  <c r="H109" i="18" s="1"/>
  <c r="IA117" i="18"/>
  <c r="Q124" i="18"/>
  <c r="R124" i="18" s="1"/>
  <c r="Q128" i="18"/>
  <c r="R128" i="18" s="1"/>
  <c r="IL139" i="18"/>
  <c r="DL151" i="17"/>
  <c r="EV151" i="17"/>
  <c r="DO163" i="17"/>
  <c r="EY163" i="17"/>
  <c r="H77" i="24"/>
  <c r="Q77" i="24" s="1"/>
  <c r="AG77" i="24"/>
  <c r="AG93" i="24"/>
  <c r="HO90" i="24"/>
  <c r="Q100" i="24"/>
  <c r="CJ46" i="24"/>
  <c r="R119" i="24"/>
  <c r="S119" i="24" s="1"/>
  <c r="T119" i="24" s="1"/>
  <c r="Q93" i="24"/>
  <c r="HO88" i="24"/>
  <c r="AG79" i="24"/>
  <c r="CN74" i="24"/>
  <c r="Q78" i="24"/>
  <c r="BA65" i="24"/>
  <c r="BD65" i="24" s="1"/>
  <c r="AS68" i="24"/>
  <c r="AV68" i="24" s="1"/>
  <c r="AK68" i="24"/>
  <c r="AN68" i="24" s="1"/>
  <c r="BI68" i="24"/>
  <c r="BK68" i="24" s="1"/>
  <c r="BB65" i="24"/>
  <c r="BE65" i="24" s="1"/>
  <c r="BP68" i="24"/>
  <c r="BS68" i="24" s="1"/>
  <c r="BJ68" i="24"/>
  <c r="BL68" i="24" s="1"/>
  <c r="EX147" i="17"/>
  <c r="R113" i="24"/>
  <c r="S113" i="24" s="1"/>
  <c r="T113" i="24" s="1"/>
  <c r="CK69" i="24"/>
  <c r="AS65" i="24"/>
  <c r="AV65" i="24" s="1"/>
  <c r="BJ65" i="24"/>
  <c r="BL65" i="24" s="1"/>
  <c r="BM65" i="24" s="1"/>
  <c r="CA65" i="24" s="1"/>
  <c r="AS70" i="24"/>
  <c r="AV70" i="24" s="1"/>
  <c r="BJ70" i="24"/>
  <c r="BL70" i="24" s="1"/>
  <c r="AT68" i="24"/>
  <c r="AW68" i="24" s="1"/>
  <c r="BO68" i="24"/>
  <c r="BR68" i="24" s="1"/>
  <c r="CK55" i="24"/>
  <c r="CJ51" i="24"/>
  <c r="LO44" i="24"/>
  <c r="LS43" i="24"/>
  <c r="CL45" i="24"/>
  <c r="O69" i="2"/>
  <c r="S107" i="23"/>
  <c r="D25" i="23"/>
  <c r="EJ39" i="10"/>
  <c r="EF55" i="10" s="1"/>
  <c r="HX40" i="10"/>
  <c r="AA40" i="18"/>
  <c r="AH40" i="18" s="1"/>
  <c r="AJ40" i="18" s="1"/>
  <c r="HY40" i="18"/>
  <c r="N40" i="10"/>
  <c r="B41" i="10"/>
  <c r="A41" i="10" s="1"/>
  <c r="B43" i="18"/>
  <c r="A43" i="18" s="1"/>
  <c r="HS39" i="24"/>
  <c r="EV38" i="24"/>
  <c r="KE38" i="24" s="1"/>
  <c r="E184" i="18"/>
  <c r="E184" i="24"/>
  <c r="HZ41" i="10"/>
  <c r="E183" i="18"/>
  <c r="E183" i="24"/>
  <c r="E185" i="18"/>
  <c r="E185" i="24"/>
  <c r="CH40" i="10"/>
  <c r="CH41" i="10"/>
  <c r="LB43" i="10"/>
  <c r="CG41" i="18"/>
  <c r="HY44" i="18"/>
  <c r="IG123" i="24"/>
  <c r="IE122" i="24"/>
  <c r="IG129" i="24"/>
  <c r="IG130" i="24"/>
  <c r="IL130" i="24" s="1"/>
  <c r="IC123" i="24"/>
  <c r="AG114" i="24"/>
  <c r="AG96" i="24"/>
  <c r="I96" i="24"/>
  <c r="Q96" i="24" s="1"/>
  <c r="AG92" i="24"/>
  <c r="I92" i="24"/>
  <c r="Q92" i="24" s="1"/>
  <c r="IC125" i="24"/>
  <c r="AG115" i="24"/>
  <c r="I109" i="24"/>
  <c r="Q109" i="24" s="1"/>
  <c r="AG109" i="24"/>
  <c r="IC129" i="24"/>
  <c r="AG108" i="24"/>
  <c r="Q104" i="24"/>
  <c r="AG95" i="24"/>
  <c r="IC124" i="24"/>
  <c r="AG75" i="24"/>
  <c r="I75" i="24"/>
  <c r="Q75" i="24" s="1"/>
  <c r="AG100" i="24"/>
  <c r="Q88" i="24"/>
  <c r="Q97" i="24"/>
  <c r="I72" i="24"/>
  <c r="Q72" i="24" s="1"/>
  <c r="AG72" i="24"/>
  <c r="CL70" i="24"/>
  <c r="CK70" i="24"/>
  <c r="CJ70" i="24"/>
  <c r="CJ73" i="24"/>
  <c r="CL68" i="24"/>
  <c r="CJ68" i="24"/>
  <c r="CK68" i="24"/>
  <c r="CJ72" i="24"/>
  <c r="CK67" i="24"/>
  <c r="CV69" i="24"/>
  <c r="AT65" i="24"/>
  <c r="AW65" i="24" s="1"/>
  <c r="CV64" i="24"/>
  <c r="CL63" i="24"/>
  <c r="CK63" i="24"/>
  <c r="AG66" i="24"/>
  <c r="CV62" i="24"/>
  <c r="CV63" i="24"/>
  <c r="CJ61" i="24"/>
  <c r="CL61" i="24"/>
  <c r="CK61" i="24"/>
  <c r="AG62" i="24"/>
  <c r="AG58" i="24"/>
  <c r="I58" i="24"/>
  <c r="I51" i="24"/>
  <c r="AG51" i="24"/>
  <c r="AG53" i="24"/>
  <c r="I53" i="24"/>
  <c r="CK53" i="24"/>
  <c r="I56" i="24"/>
  <c r="AG56" i="24"/>
  <c r="CJ53" i="24"/>
  <c r="CL57" i="24"/>
  <c r="CV52" i="24"/>
  <c r="AG57" i="24"/>
  <c r="CL51" i="24"/>
  <c r="CL56" i="24"/>
  <c r="I46" i="24"/>
  <c r="AG46" i="24"/>
  <c r="H42" i="24"/>
  <c r="Q42" i="24" s="1"/>
  <c r="AJ42" i="24"/>
  <c r="AT42" i="24" s="1"/>
  <c r="AW42" i="24" s="1"/>
  <c r="I41" i="24"/>
  <c r="AG41" i="24"/>
  <c r="AJ40" i="24"/>
  <c r="H40" i="24"/>
  <c r="Q40" i="24" s="1"/>
  <c r="H48" i="24"/>
  <c r="AJ48" i="24"/>
  <c r="BP48" i="24" s="1"/>
  <c r="BS48" i="24" s="1"/>
  <c r="CK47" i="24"/>
  <c r="H44" i="24"/>
  <c r="AJ44" i="24"/>
  <c r="AK44" i="24" s="1"/>
  <c r="AN44" i="24" s="1"/>
  <c r="CV42" i="24"/>
  <c r="CL47" i="24"/>
  <c r="C4" i="24"/>
  <c r="U122" i="24"/>
  <c r="IC122" i="24"/>
  <c r="Q114" i="24"/>
  <c r="AG102" i="24"/>
  <c r="I102" i="24"/>
  <c r="Q102" i="24" s="1"/>
  <c r="AG90" i="24"/>
  <c r="I90" i="24"/>
  <c r="Q90" i="24" s="1"/>
  <c r="IE125" i="24"/>
  <c r="IC120" i="24"/>
  <c r="Q95" i="24"/>
  <c r="AG85" i="24"/>
  <c r="I85" i="24"/>
  <c r="Q85" i="24" s="1"/>
  <c r="AG88" i="24"/>
  <c r="I81" i="24"/>
  <c r="Q81" i="24" s="1"/>
  <c r="AG81" i="24"/>
  <c r="Q110" i="24"/>
  <c r="CL75" i="24"/>
  <c r="CK75" i="24"/>
  <c r="CJ75" i="24"/>
  <c r="CL71" i="24"/>
  <c r="CK71" i="24"/>
  <c r="CJ71" i="24"/>
  <c r="H67" i="24"/>
  <c r="AJ67" i="24"/>
  <c r="AS67" i="24" s="1"/>
  <c r="AV67" i="24" s="1"/>
  <c r="I71" i="24"/>
  <c r="AG71" i="24"/>
  <c r="AJ64" i="24"/>
  <c r="BA64" i="24" s="1"/>
  <c r="BD64" i="24" s="1"/>
  <c r="H64" i="24"/>
  <c r="Q64" i="24" s="1"/>
  <c r="AG101" i="24"/>
  <c r="R101" i="24" s="1"/>
  <c r="CK64" i="24"/>
  <c r="CL64" i="24"/>
  <c r="CJ64" i="24"/>
  <c r="CV66" i="24"/>
  <c r="CL60" i="24"/>
  <c r="CK60" i="24"/>
  <c r="CJ60" i="24"/>
  <c r="BO61" i="24"/>
  <c r="BR61" i="24" s="1"/>
  <c r="AG59" i="24"/>
  <c r="I59" i="24"/>
  <c r="CK59" i="24"/>
  <c r="H54" i="24"/>
  <c r="AJ54" i="24"/>
  <c r="AS54" i="24" s="1"/>
  <c r="AV54" i="24" s="1"/>
  <c r="H50" i="24"/>
  <c r="AJ50" i="24"/>
  <c r="AS50" i="24" s="1"/>
  <c r="AV50" i="24" s="1"/>
  <c r="H53" i="24"/>
  <c r="AJ53" i="24"/>
  <c r="AK53" i="24" s="1"/>
  <c r="AN53" i="24" s="1"/>
  <c r="CK54" i="24"/>
  <c r="CJ54" i="24"/>
  <c r="CL54" i="24"/>
  <c r="CJ56" i="24"/>
  <c r="I45" i="24"/>
  <c r="AG45" i="24"/>
  <c r="I44" i="24"/>
  <c r="AG44" i="24"/>
  <c r="H47" i="24"/>
  <c r="AJ47" i="24"/>
  <c r="AS47" i="24" s="1"/>
  <c r="AV47" i="24" s="1"/>
  <c r="H41" i="24"/>
  <c r="AJ41" i="24"/>
  <c r="AK41" i="24" s="1"/>
  <c r="AN41" i="24" s="1"/>
  <c r="CV40" i="24"/>
  <c r="CV49" i="24"/>
  <c r="IC131" i="24"/>
  <c r="IC128" i="24"/>
  <c r="IE126" i="24"/>
  <c r="IE123" i="24"/>
  <c r="IG121" i="24"/>
  <c r="IC127" i="24"/>
  <c r="Q116" i="24"/>
  <c r="AG112" i="24"/>
  <c r="R112" i="24" s="1"/>
  <c r="AG98" i="24"/>
  <c r="I98" i="24"/>
  <c r="Q98" i="24" s="1"/>
  <c r="AG94" i="24"/>
  <c r="I94" i="24"/>
  <c r="Q94" i="24" s="1"/>
  <c r="AG106" i="24"/>
  <c r="I106" i="24"/>
  <c r="Q106" i="24" s="1"/>
  <c r="IE129" i="24"/>
  <c r="R105" i="24"/>
  <c r="HO89" i="24"/>
  <c r="AG86" i="24"/>
  <c r="R86" i="24" s="1"/>
  <c r="I89" i="24"/>
  <c r="Q89" i="24" s="1"/>
  <c r="AG89" i="24"/>
  <c r="AG91" i="24"/>
  <c r="I80" i="24"/>
  <c r="Q80" i="24" s="1"/>
  <c r="AG80" i="24"/>
  <c r="AG76" i="24"/>
  <c r="I76" i="24"/>
  <c r="Q76" i="24" s="1"/>
  <c r="AG110" i="24"/>
  <c r="H69" i="24"/>
  <c r="Q69" i="24" s="1"/>
  <c r="AJ69" i="24"/>
  <c r="BP69" i="24" s="1"/>
  <c r="BS69" i="24" s="1"/>
  <c r="AJ62" i="24"/>
  <c r="BA62" i="24" s="1"/>
  <c r="BD62" i="24" s="1"/>
  <c r="H62" i="24"/>
  <c r="Q62" i="24" s="1"/>
  <c r="CV68" i="24"/>
  <c r="Q68" i="24"/>
  <c r="CJ65" i="24"/>
  <c r="CK65" i="24"/>
  <c r="CL65" i="24"/>
  <c r="CL69" i="24"/>
  <c r="Q65" i="24"/>
  <c r="CV65" i="24"/>
  <c r="H59" i="24"/>
  <c r="AJ59" i="24"/>
  <c r="AK59" i="24" s="1"/>
  <c r="AN59" i="24" s="1"/>
  <c r="H57" i="24"/>
  <c r="Q57" i="24" s="1"/>
  <c r="AJ57" i="24"/>
  <c r="AT57" i="24" s="1"/>
  <c r="AW57" i="24" s="1"/>
  <c r="CJ59" i="24"/>
  <c r="CJ57" i="24"/>
  <c r="AJ51" i="24"/>
  <c r="BI51" i="24" s="1"/>
  <c r="BK51" i="24" s="1"/>
  <c r="H51" i="24"/>
  <c r="H55" i="24"/>
  <c r="AJ55" i="24"/>
  <c r="BJ55" i="24" s="1"/>
  <c r="BL55" i="24" s="1"/>
  <c r="H49" i="24"/>
  <c r="Q49" i="24" s="1"/>
  <c r="AJ49" i="24"/>
  <c r="AT49" i="24" s="1"/>
  <c r="AW49" i="24" s="1"/>
  <c r="I54" i="24"/>
  <c r="AG54" i="24"/>
  <c r="EL52" i="24"/>
  <c r="CK50" i="24"/>
  <c r="CJ50" i="24"/>
  <c r="CL50" i="24"/>
  <c r="CL40" i="24"/>
  <c r="CK40" i="24"/>
  <c r="CJ40" i="24"/>
  <c r="FS43" i="24"/>
  <c r="H46" i="24"/>
  <c r="AJ46" i="24"/>
  <c r="BP46" i="24" s="1"/>
  <c r="BS46" i="24" s="1"/>
  <c r="H43" i="24"/>
  <c r="AJ43" i="24"/>
  <c r="AS43" i="24" s="1"/>
  <c r="AV43" i="24" s="1"/>
  <c r="AG40" i="24"/>
  <c r="AG49" i="24"/>
  <c r="T131" i="24"/>
  <c r="T128" i="24"/>
  <c r="U126" i="24"/>
  <c r="AG117" i="24"/>
  <c r="R117" i="24" s="1"/>
  <c r="IE121" i="24"/>
  <c r="IL121" i="24" s="1"/>
  <c r="T127" i="24"/>
  <c r="AG116" i="24"/>
  <c r="AG111" i="24"/>
  <c r="R111" i="24" s="1"/>
  <c r="HO96" i="24"/>
  <c r="HO92" i="24"/>
  <c r="U125" i="24"/>
  <c r="Q115" i="24"/>
  <c r="AG84" i="24"/>
  <c r="I84" i="24"/>
  <c r="Q84" i="24" s="1"/>
  <c r="T120" i="24"/>
  <c r="U120" i="24" s="1"/>
  <c r="Q108" i="24"/>
  <c r="AG104" i="24"/>
  <c r="T124" i="24"/>
  <c r="I99" i="24"/>
  <c r="Q99" i="24" s="1"/>
  <c r="AG99" i="24"/>
  <c r="HO91" i="24"/>
  <c r="Q91" i="24"/>
  <c r="AG97" i="24"/>
  <c r="Q79" i="24"/>
  <c r="R79" i="24" s="1"/>
  <c r="BI71" i="24"/>
  <c r="BK71" i="24" s="1"/>
  <c r="BB71" i="24"/>
  <c r="BE71" i="24" s="1"/>
  <c r="BA71" i="24"/>
  <c r="BD71" i="24" s="1"/>
  <c r="AT71" i="24"/>
  <c r="AW71" i="24" s="1"/>
  <c r="H71" i="24"/>
  <c r="BO71" i="24"/>
  <c r="BR71" i="24" s="1"/>
  <c r="BJ71" i="24"/>
  <c r="BL71" i="24" s="1"/>
  <c r="BP71" i="24"/>
  <c r="BS71" i="24" s="1"/>
  <c r="AS71" i="24"/>
  <c r="AV71" i="24" s="1"/>
  <c r="AG78" i="24"/>
  <c r="R78" i="24" s="1"/>
  <c r="AG87" i="24"/>
  <c r="I87" i="24"/>
  <c r="Q87" i="24" s="1"/>
  <c r="AG73" i="24"/>
  <c r="I73" i="24"/>
  <c r="Q73" i="24" s="1"/>
  <c r="CK72" i="24"/>
  <c r="CK62" i="24"/>
  <c r="CL62" i="24"/>
  <c r="CJ62" i="24"/>
  <c r="AG69" i="24"/>
  <c r="AJ66" i="24"/>
  <c r="BO66" i="24" s="1"/>
  <c r="BR66" i="24" s="1"/>
  <c r="H66" i="24"/>
  <c r="Q66" i="24" s="1"/>
  <c r="CL66" i="24"/>
  <c r="CJ66" i="24"/>
  <c r="CK66" i="24"/>
  <c r="AO68" i="24"/>
  <c r="I67" i="24"/>
  <c r="BE70" i="24"/>
  <c r="AG67" i="24"/>
  <c r="H60" i="24"/>
  <c r="AJ60" i="24"/>
  <c r="BJ60" i="24" s="1"/>
  <c r="BL60" i="24" s="1"/>
  <c r="BS65" i="24"/>
  <c r="AG60" i="24"/>
  <c r="I60" i="24"/>
  <c r="AL61" i="24"/>
  <c r="AO61" i="24" s="1"/>
  <c r="CK58" i="24"/>
  <c r="CJ58" i="24"/>
  <c r="CL58" i="24"/>
  <c r="H56" i="24"/>
  <c r="AJ56" i="24"/>
  <c r="AS56" i="24" s="1"/>
  <c r="AV56" i="24" s="1"/>
  <c r="CL52" i="24"/>
  <c r="CK52" i="24"/>
  <c r="CJ52" i="24"/>
  <c r="CV61" i="24"/>
  <c r="Q61" i="24"/>
  <c r="AG55" i="24"/>
  <c r="I55" i="24"/>
  <c r="AJ52" i="24"/>
  <c r="BA52" i="24" s="1"/>
  <c r="BD52" i="24" s="1"/>
  <c r="H52" i="24"/>
  <c r="Q52" i="24" s="1"/>
  <c r="I50" i="24"/>
  <c r="AG50" i="24"/>
  <c r="CV57" i="24"/>
  <c r="I48" i="24"/>
  <c r="AG48" i="24"/>
  <c r="I47" i="24"/>
  <c r="AG47" i="24"/>
  <c r="I43" i="24"/>
  <c r="AG43" i="24"/>
  <c r="CJ41" i="24"/>
  <c r="CL41" i="24"/>
  <c r="CK41" i="24"/>
  <c r="CK48" i="24"/>
  <c r="H45" i="24"/>
  <c r="AJ45" i="24"/>
  <c r="BP45" i="24" s="1"/>
  <c r="BS45" i="24" s="1"/>
  <c r="CK44" i="24"/>
  <c r="CJ44" i="24"/>
  <c r="CL44" i="24"/>
  <c r="AG42" i="24"/>
  <c r="CL48" i="24"/>
  <c r="A27" i="24"/>
  <c r="S100" i="2"/>
  <c r="T100" i="2" s="1"/>
  <c r="T111" i="2" s="1"/>
  <c r="EF40" i="18"/>
  <c r="EP40" i="18"/>
  <c r="EQ40" i="18" s="1"/>
  <c r="H37" i="1"/>
  <c r="E59" i="1"/>
  <c r="E53" i="1"/>
  <c r="E54" i="1" s="1"/>
  <c r="E55" i="1" s="1"/>
  <c r="E56" i="1" s="1"/>
  <c r="E57" i="1" s="1"/>
  <c r="E58" i="1" s="1"/>
  <c r="M59" i="1"/>
  <c r="M53" i="1"/>
  <c r="M54" i="1" s="1"/>
  <c r="M55" i="1" s="1"/>
  <c r="M56" i="1" s="1"/>
  <c r="M57" i="1" s="1"/>
  <c r="M58" i="1" s="1"/>
  <c r="U59" i="1"/>
  <c r="U53" i="1"/>
  <c r="U54" i="1" s="1"/>
  <c r="U55" i="1" s="1"/>
  <c r="U56" i="1" s="1"/>
  <c r="U57" i="1" s="1"/>
  <c r="U58" i="1" s="1"/>
  <c r="BH23" i="15"/>
  <c r="AU23" i="15"/>
  <c r="I865" i="8"/>
  <c r="O864" i="8"/>
  <c r="I867" i="8"/>
  <c r="O866" i="8"/>
  <c r="I869" i="8"/>
  <c r="O868" i="8"/>
  <c r="I871" i="8"/>
  <c r="O870" i="8"/>
  <c r="I873" i="8"/>
  <c r="O872" i="8"/>
  <c r="C52" i="1"/>
  <c r="C46" i="1"/>
  <c r="C47" i="1" s="1"/>
  <c r="C48" i="1" s="1"/>
  <c r="C49" i="1" s="1"/>
  <c r="C50" i="1" s="1"/>
  <c r="C51" i="1" s="1"/>
  <c r="G52" i="1"/>
  <c r="G46" i="1"/>
  <c r="K52" i="1"/>
  <c r="K46" i="1"/>
  <c r="O52" i="1"/>
  <c r="O46" i="1"/>
  <c r="O47" i="1" s="1"/>
  <c r="O48" i="1" s="1"/>
  <c r="O49" i="1" s="1"/>
  <c r="O50" i="1" s="1"/>
  <c r="O51" i="1" s="1"/>
  <c r="S52" i="1"/>
  <c r="S46" i="1"/>
  <c r="S47" i="1" s="1"/>
  <c r="S48" i="1" s="1"/>
  <c r="S49" i="1" s="1"/>
  <c r="S50" i="1" s="1"/>
  <c r="S51" i="1" s="1"/>
  <c r="W52" i="1"/>
  <c r="W46" i="1"/>
  <c r="W47" i="1" s="1"/>
  <c r="W48" i="1" s="1"/>
  <c r="W49" i="1" s="1"/>
  <c r="W50" i="1" s="1"/>
  <c r="W51" i="1" s="1"/>
  <c r="F52" i="1"/>
  <c r="F46" i="1"/>
  <c r="F47" i="1" s="1"/>
  <c r="F48" i="1" s="1"/>
  <c r="F49" i="1" s="1"/>
  <c r="F50" i="1" s="1"/>
  <c r="F51" i="1" s="1"/>
  <c r="N52" i="1"/>
  <c r="N46" i="1"/>
  <c r="N47" i="1" s="1"/>
  <c r="N48" i="1" s="1"/>
  <c r="N49" i="1" s="1"/>
  <c r="N50" i="1" s="1"/>
  <c r="N51" i="1" s="1"/>
  <c r="V52" i="1"/>
  <c r="V46" i="1"/>
  <c r="V47" i="1" s="1"/>
  <c r="V48" i="1" s="1"/>
  <c r="V49" i="1" s="1"/>
  <c r="V50" i="1" s="1"/>
  <c r="V51" i="1" s="1"/>
  <c r="J862" i="8"/>
  <c r="H863" i="8"/>
  <c r="K862" i="8"/>
  <c r="K863" i="8" s="1"/>
  <c r="B52" i="1"/>
  <c r="B46" i="1"/>
  <c r="B47" i="1" s="1"/>
  <c r="B48" i="1" s="1"/>
  <c r="B49" i="1" s="1"/>
  <c r="B50" i="1" s="1"/>
  <c r="B51" i="1" s="1"/>
  <c r="J52" i="1"/>
  <c r="J46" i="1"/>
  <c r="J47" i="1" s="1"/>
  <c r="J48" i="1" s="1"/>
  <c r="J49" i="1" s="1"/>
  <c r="J50" i="1" s="1"/>
  <c r="J51" i="1" s="1"/>
  <c r="R52" i="1"/>
  <c r="R46" i="1"/>
  <c r="R47" i="1" s="1"/>
  <c r="R48" i="1" s="1"/>
  <c r="R49" i="1" s="1"/>
  <c r="R50" i="1" s="1"/>
  <c r="R51" i="1" s="1"/>
  <c r="I861" i="8"/>
  <c r="O860" i="8"/>
  <c r="K860" i="8"/>
  <c r="K861" i="8" s="1"/>
  <c r="K864" i="8"/>
  <c r="K865" i="8" s="1"/>
  <c r="K866" i="8"/>
  <c r="K867" i="8" s="1"/>
  <c r="K868" i="8"/>
  <c r="K869" i="8" s="1"/>
  <c r="K870" i="8"/>
  <c r="K871" i="8" s="1"/>
  <c r="K872" i="8"/>
  <c r="K873" i="8" s="1"/>
  <c r="D45" i="1"/>
  <c r="D39" i="1"/>
  <c r="D40" i="1" s="1"/>
  <c r="D41" i="1" s="1"/>
  <c r="D42" i="1" s="1"/>
  <c r="D43" i="1" s="1"/>
  <c r="D44" i="1" s="1"/>
  <c r="H45" i="1"/>
  <c r="H39" i="1"/>
  <c r="H40" i="1" s="1"/>
  <c r="H41" i="1" s="1"/>
  <c r="H42" i="1" s="1"/>
  <c r="H43" i="1" s="1"/>
  <c r="H44" i="1" s="1"/>
  <c r="L45" i="1"/>
  <c r="L39" i="1"/>
  <c r="L40" i="1" s="1"/>
  <c r="L41" i="1" s="1"/>
  <c r="L42" i="1" s="1"/>
  <c r="L43" i="1" s="1"/>
  <c r="L44" i="1" s="1"/>
  <c r="P45" i="1"/>
  <c r="P39" i="1"/>
  <c r="P40" i="1" s="1"/>
  <c r="P41" i="1" s="1"/>
  <c r="P42" i="1" s="1"/>
  <c r="P43" i="1" s="1"/>
  <c r="P44" i="1" s="1"/>
  <c r="T45" i="1"/>
  <c r="T39" i="1"/>
  <c r="T40" i="1" s="1"/>
  <c r="T41" i="1" s="1"/>
  <c r="T42" i="1" s="1"/>
  <c r="T43" i="1" s="1"/>
  <c r="T44" i="1" s="1"/>
  <c r="X45" i="1"/>
  <c r="X39" i="1"/>
  <c r="X40" i="1" s="1"/>
  <c r="X41" i="1" s="1"/>
  <c r="X42" i="1" s="1"/>
  <c r="X43" i="1" s="1"/>
  <c r="X44" i="1" s="1"/>
  <c r="A59" i="1"/>
  <c r="A53" i="1"/>
  <c r="A54" i="1" s="1"/>
  <c r="A55" i="1" s="1"/>
  <c r="A56" i="1" s="1"/>
  <c r="A57" i="1" s="1"/>
  <c r="A58" i="1" s="1"/>
  <c r="I59" i="1"/>
  <c r="I53" i="1"/>
  <c r="Q59" i="1"/>
  <c r="Q53" i="1"/>
  <c r="L23" i="15"/>
  <c r="Q22" i="15"/>
  <c r="AG22" i="15"/>
  <c r="LA43" i="10"/>
  <c r="CG43" i="10"/>
  <c r="HX43" i="10"/>
  <c r="AA43" i="10"/>
  <c r="AH43" i="10" s="1"/>
  <c r="J860" i="8"/>
  <c r="J864" i="8"/>
  <c r="J866" i="8"/>
  <c r="J868" i="8"/>
  <c r="J870" i="8"/>
  <c r="J872" i="8"/>
  <c r="C39" i="1"/>
  <c r="C40" i="1" s="1"/>
  <c r="C41" i="1" s="1"/>
  <c r="C42" i="1" s="1"/>
  <c r="C43" i="1" s="1"/>
  <c r="C44" i="1" s="1"/>
  <c r="G39" i="1"/>
  <c r="G40" i="1" s="1"/>
  <c r="K39" i="1"/>
  <c r="K40" i="1" s="1"/>
  <c r="O39" i="1"/>
  <c r="O40" i="1" s="1"/>
  <c r="O41" i="1" s="1"/>
  <c r="O42" i="1" s="1"/>
  <c r="O43" i="1" s="1"/>
  <c r="O44" i="1" s="1"/>
  <c r="S39" i="1"/>
  <c r="S40" i="1" s="1"/>
  <c r="S41" i="1" s="1"/>
  <c r="S42" i="1" s="1"/>
  <c r="S43" i="1" s="1"/>
  <c r="S44" i="1" s="1"/>
  <c r="W39" i="1"/>
  <c r="W40" i="1" s="1"/>
  <c r="W41" i="1" s="1"/>
  <c r="W42" i="1" s="1"/>
  <c r="W43" i="1" s="1"/>
  <c r="W44" i="1" s="1"/>
  <c r="A46" i="1"/>
  <c r="A47" i="1" s="1"/>
  <c r="A48" i="1" s="1"/>
  <c r="A49" i="1" s="1"/>
  <c r="A50" i="1" s="1"/>
  <c r="A51" i="1" s="1"/>
  <c r="E46" i="1"/>
  <c r="E47" i="1" s="1"/>
  <c r="E48" i="1" s="1"/>
  <c r="E49" i="1" s="1"/>
  <c r="E50" i="1" s="1"/>
  <c r="E51" i="1" s="1"/>
  <c r="I46" i="1"/>
  <c r="I47" i="1" s="1"/>
  <c r="M46" i="1"/>
  <c r="M47" i="1" s="1"/>
  <c r="M48" i="1" s="1"/>
  <c r="M49" i="1" s="1"/>
  <c r="M50" i="1" s="1"/>
  <c r="M51" i="1" s="1"/>
  <c r="Q46" i="1"/>
  <c r="Q47" i="1" s="1"/>
  <c r="U46" i="1"/>
  <c r="U47" i="1" s="1"/>
  <c r="U48" i="1" s="1"/>
  <c r="U49" i="1" s="1"/>
  <c r="U50" i="1" s="1"/>
  <c r="U51" i="1" s="1"/>
  <c r="Q21" i="15"/>
  <c r="D163" i="15"/>
  <c r="I44" i="10"/>
  <c r="O862" i="8"/>
  <c r="BB166" i="15"/>
  <c r="FR42" i="10"/>
  <c r="CG44" i="10"/>
  <c r="I46" i="10"/>
  <c r="HX47" i="10"/>
  <c r="CH69" i="10"/>
  <c r="LB69" i="10"/>
  <c r="HZ69" i="10"/>
  <c r="AB69" i="10"/>
  <c r="AI69" i="10" s="1"/>
  <c r="B69" i="10"/>
  <c r="A69" i="10" s="1"/>
  <c r="AJ70" i="10"/>
  <c r="H70" i="10"/>
  <c r="LB82" i="10"/>
  <c r="AB82" i="10"/>
  <c r="AI82" i="10" s="1"/>
  <c r="B82" i="10"/>
  <c r="A82" i="10" s="1"/>
  <c r="HZ82" i="10"/>
  <c r="HX83" i="10"/>
  <c r="AA83" i="10"/>
  <c r="AA92" i="10"/>
  <c r="HX92" i="10"/>
  <c r="HZ102" i="10"/>
  <c r="AB102" i="10"/>
  <c r="AI102" i="10" s="1"/>
  <c r="HZ104" i="10"/>
  <c r="AB104" i="10"/>
  <c r="AI104" i="10" s="1"/>
  <c r="HX107" i="10"/>
  <c r="AA107" i="10"/>
  <c r="HZ118" i="10"/>
  <c r="AB118" i="10"/>
  <c r="AI118" i="10" s="1"/>
  <c r="HX119" i="10"/>
  <c r="AA119" i="10"/>
  <c r="S123" i="10"/>
  <c r="S127" i="10"/>
  <c r="S131" i="10"/>
  <c r="IK169" i="10"/>
  <c r="HX169" i="10"/>
  <c r="E187" i="18"/>
  <c r="E187" i="10"/>
  <c r="E189" i="18"/>
  <c r="E189" i="10"/>
  <c r="E191" i="18"/>
  <c r="E191" i="10"/>
  <c r="E193" i="18"/>
  <c r="E193" i="10"/>
  <c r="E195" i="18"/>
  <c r="E195" i="10"/>
  <c r="E197" i="18"/>
  <c r="E197" i="10"/>
  <c r="E199" i="18"/>
  <c r="E199" i="10"/>
  <c r="E235" i="18"/>
  <c r="E235" i="10"/>
  <c r="HZ42" i="10"/>
  <c r="AB42" i="10"/>
  <c r="AI42" i="10" s="1"/>
  <c r="B42" i="10"/>
  <c r="A42" i="10" s="1"/>
  <c r="CH42" i="10"/>
  <c r="HQ39" i="10"/>
  <c r="HX44" i="10"/>
  <c r="LA44" i="10"/>
  <c r="AA44" i="10"/>
  <c r="AH44" i="10" s="1"/>
  <c r="B45" i="10"/>
  <c r="A45" i="10" s="1"/>
  <c r="LB45" i="10"/>
  <c r="CH45" i="10"/>
  <c r="AB45" i="10"/>
  <c r="AI45" i="10" s="1"/>
  <c r="HX48" i="10"/>
  <c r="LA48" i="10"/>
  <c r="CG48" i="10"/>
  <c r="AA48" i="10"/>
  <c r="AH48" i="10" s="1"/>
  <c r="B49" i="10"/>
  <c r="A49" i="10" s="1"/>
  <c r="HZ49" i="10"/>
  <c r="CH49" i="10"/>
  <c r="AB49" i="10"/>
  <c r="AI49" i="10" s="1"/>
  <c r="LB49" i="10"/>
  <c r="CG59" i="10"/>
  <c r="AA59" i="10"/>
  <c r="AH59" i="10" s="1"/>
  <c r="LA59" i="10"/>
  <c r="HX59" i="10"/>
  <c r="CH60" i="10"/>
  <c r="CJ60" i="10" s="1"/>
  <c r="B60" i="10"/>
  <c r="A60" i="10" s="1"/>
  <c r="LB60" i="10"/>
  <c r="AB60" i="10"/>
  <c r="AI60" i="10" s="1"/>
  <c r="HZ60" i="10"/>
  <c r="LB75" i="10"/>
  <c r="CH75" i="10"/>
  <c r="CL75" i="10" s="1"/>
  <c r="HZ75" i="10"/>
  <c r="AB75" i="10"/>
  <c r="AI75" i="10" s="1"/>
  <c r="B75" i="10"/>
  <c r="A75" i="10" s="1"/>
  <c r="I86" i="10"/>
  <c r="CV86" i="10" s="1"/>
  <c r="CU86" i="10" s="1"/>
  <c r="HZ106" i="10"/>
  <c r="AB106" i="10"/>
  <c r="AI106" i="10" s="1"/>
  <c r="HZ108" i="10"/>
  <c r="AB108" i="10"/>
  <c r="AI108" i="10" s="1"/>
  <c r="HX111" i="10"/>
  <c r="AA111" i="10"/>
  <c r="S122" i="10"/>
  <c r="T122" i="10" s="1"/>
  <c r="S126" i="10"/>
  <c r="S130" i="10"/>
  <c r="T130" i="10" s="1"/>
  <c r="U130" i="10" s="1"/>
  <c r="IK168" i="10"/>
  <c r="HX168" i="10"/>
  <c r="LA47" i="10"/>
  <c r="CG47" i="10"/>
  <c r="AA47" i="10"/>
  <c r="AH47" i="10" s="1"/>
  <c r="I84" i="10"/>
  <c r="CV84" i="10" s="1"/>
  <c r="CU84" i="10" s="1"/>
  <c r="HR93" i="10"/>
  <c r="HP93" i="10"/>
  <c r="HQ94" i="10"/>
  <c r="HQ93" i="10"/>
  <c r="I105" i="10"/>
  <c r="HZ110" i="10"/>
  <c r="AB110" i="10"/>
  <c r="AI110" i="10" s="1"/>
  <c r="HZ112" i="10"/>
  <c r="AB112" i="10"/>
  <c r="AI112" i="10" s="1"/>
  <c r="HX115" i="10"/>
  <c r="AA115" i="10"/>
  <c r="AH115" i="10" s="1"/>
  <c r="S121" i="10"/>
  <c r="T121" i="10" s="1"/>
  <c r="S125" i="10"/>
  <c r="S129" i="10"/>
  <c r="HX136" i="10"/>
  <c r="HX161" i="10"/>
  <c r="E184" i="10"/>
  <c r="E186" i="18"/>
  <c r="E186" i="10"/>
  <c r="E190" i="18"/>
  <c r="E190" i="10"/>
  <c r="E192" i="18"/>
  <c r="E192" i="10"/>
  <c r="E194" i="18"/>
  <c r="E194" i="10"/>
  <c r="E196" i="18"/>
  <c r="E196" i="10"/>
  <c r="E198" i="18"/>
  <c r="E198" i="10"/>
  <c r="E200" i="18"/>
  <c r="E200" i="10"/>
  <c r="E202" i="10"/>
  <c r="E202" i="18"/>
  <c r="E204" i="18"/>
  <c r="E204" i="10"/>
  <c r="E206" i="18"/>
  <c r="E206" i="10"/>
  <c r="E208" i="10"/>
  <c r="E208" i="18"/>
  <c r="E210" i="10"/>
  <c r="E210" i="18"/>
  <c r="E212" i="18"/>
  <c r="E212" i="10"/>
  <c r="E214" i="18"/>
  <c r="E214" i="10"/>
  <c r="E216" i="10"/>
  <c r="E216" i="18"/>
  <c r="E237" i="18"/>
  <c r="E237" i="10"/>
  <c r="AA40" i="10"/>
  <c r="AH40" i="10" s="1"/>
  <c r="DZ40" i="10"/>
  <c r="CG40" i="10"/>
  <c r="M40" i="10"/>
  <c r="LB42" i="10"/>
  <c r="AA45" i="10"/>
  <c r="AH45" i="10" s="1"/>
  <c r="LA46" i="10"/>
  <c r="CG46" i="10"/>
  <c r="AA46" i="10"/>
  <c r="AH46" i="10" s="1"/>
  <c r="AA49" i="10"/>
  <c r="AH49" i="10" s="1"/>
  <c r="EL55" i="10"/>
  <c r="LA55" i="10"/>
  <c r="CG55" i="10"/>
  <c r="AA55" i="10"/>
  <c r="AH55" i="10" s="1"/>
  <c r="CG56" i="10"/>
  <c r="LA56" i="10"/>
  <c r="AA56" i="10"/>
  <c r="AH56" i="10" s="1"/>
  <c r="HX56" i="10"/>
  <c r="CG57" i="10"/>
  <c r="LA57" i="10"/>
  <c r="AA57" i="10"/>
  <c r="AH57" i="10" s="1"/>
  <c r="HX57" i="10"/>
  <c r="CG58" i="10"/>
  <c r="LA58" i="10"/>
  <c r="AA58" i="10"/>
  <c r="AH58" i="10" s="1"/>
  <c r="HX58" i="10"/>
  <c r="AA60" i="10"/>
  <c r="AH60" i="10" s="1"/>
  <c r="CG68" i="10"/>
  <c r="LA68" i="10"/>
  <c r="AA68" i="10"/>
  <c r="AH68" i="10" s="1"/>
  <c r="HX68" i="10"/>
  <c r="I79" i="10"/>
  <c r="CV79" i="10" s="1"/>
  <c r="LA80" i="10"/>
  <c r="AA80" i="10"/>
  <c r="AB88" i="10"/>
  <c r="AI88" i="10" s="1"/>
  <c r="B88" i="10"/>
  <c r="HZ88" i="10"/>
  <c r="HR89" i="10"/>
  <c r="HP89" i="10"/>
  <c r="HQ90" i="10"/>
  <c r="HQ89" i="10"/>
  <c r="AA96" i="10"/>
  <c r="HX96" i="10"/>
  <c r="AA98" i="10"/>
  <c r="AA99" i="10"/>
  <c r="AA100" i="10"/>
  <c r="I101" i="10"/>
  <c r="CV101" i="10" s="1"/>
  <c r="CU101" i="10" s="1"/>
  <c r="HX103" i="10"/>
  <c r="AA103" i="10"/>
  <c r="AH103" i="10" s="1"/>
  <c r="HZ114" i="10"/>
  <c r="AB114" i="10"/>
  <c r="AI114" i="10" s="1"/>
  <c r="HZ116" i="10"/>
  <c r="AB116" i="10"/>
  <c r="AI116" i="10" s="1"/>
  <c r="S124" i="10"/>
  <c r="S128" i="10"/>
  <c r="T128" i="10" s="1"/>
  <c r="HX135" i="10"/>
  <c r="E188" i="10"/>
  <c r="E203" i="18"/>
  <c r="E203" i="10"/>
  <c r="E207" i="18"/>
  <c r="E207" i="10"/>
  <c r="E211" i="18"/>
  <c r="E211" i="10"/>
  <c r="E215" i="18"/>
  <c r="E215" i="10"/>
  <c r="E236" i="18"/>
  <c r="E236" i="10"/>
  <c r="AB40" i="10"/>
  <c r="AI40" i="10" s="1"/>
  <c r="HX41" i="10"/>
  <c r="CG41" i="10"/>
  <c r="HZ46" i="10"/>
  <c r="CH46" i="10"/>
  <c r="CI32" i="10"/>
  <c r="CK32" i="10" s="1"/>
  <c r="HZ47" i="10"/>
  <c r="B51" i="10"/>
  <c r="A51" i="10" s="1"/>
  <c r="B52" i="10"/>
  <c r="A52" i="10" s="1"/>
  <c r="B53" i="10"/>
  <c r="A53" i="10" s="1"/>
  <c r="CG54" i="10"/>
  <c r="LB55" i="10"/>
  <c r="CH55" i="10"/>
  <c r="HZ55" i="10"/>
  <c r="B61" i="10"/>
  <c r="A61" i="10" s="1"/>
  <c r="HX62" i="10"/>
  <c r="HZ63" i="10"/>
  <c r="LA70" i="10"/>
  <c r="CG70" i="10"/>
  <c r="AA71" i="10"/>
  <c r="LA74" i="10"/>
  <c r="CG74" i="10"/>
  <c r="HX74" i="10"/>
  <c r="HP76" i="10"/>
  <c r="HP77" i="10"/>
  <c r="HN77" i="10" s="1"/>
  <c r="HR78" i="10"/>
  <c r="HQ79" i="10"/>
  <c r="HP78" i="10"/>
  <c r="LA81" i="10"/>
  <c r="HX81" i="10"/>
  <c r="AA84" i="10"/>
  <c r="LA84" i="10"/>
  <c r="HP85" i="10"/>
  <c r="HR85" i="10"/>
  <c r="HP86" i="10"/>
  <c r="HN86" i="10" s="1"/>
  <c r="HR86" i="10"/>
  <c r="AA87" i="10"/>
  <c r="HX87" i="10"/>
  <c r="AA90" i="10"/>
  <c r="HR90" i="10"/>
  <c r="HP90" i="10"/>
  <c r="AA94" i="10"/>
  <c r="HR94" i="10"/>
  <c r="HN94" i="10" s="1"/>
  <c r="HP94" i="10"/>
  <c r="HX137" i="10"/>
  <c r="HX138" i="10"/>
  <c r="JQ177" i="10"/>
  <c r="JQ178" i="10"/>
  <c r="JQ181" i="10"/>
  <c r="E183" i="10"/>
  <c r="JQ185" i="10"/>
  <c r="JQ189" i="10"/>
  <c r="JQ193" i="10"/>
  <c r="JQ197" i="10"/>
  <c r="O68" i="2"/>
  <c r="O72" i="2" s="1"/>
  <c r="H52" i="18"/>
  <c r="H67" i="18"/>
  <c r="AJ67" i="18"/>
  <c r="I78" i="18"/>
  <c r="I117" i="18"/>
  <c r="S122" i="18"/>
  <c r="S126" i="18"/>
  <c r="T126" i="18" s="1"/>
  <c r="S130" i="18"/>
  <c r="T130" i="18" s="1"/>
  <c r="A42" i="16"/>
  <c r="A43" i="16" s="1"/>
  <c r="A44" i="16" s="1"/>
  <c r="HX61" i="10"/>
  <c r="AA62" i="10"/>
  <c r="AH62" i="10" s="1"/>
  <c r="HZ62" i="10"/>
  <c r="LB62" i="10"/>
  <c r="HX65" i="10"/>
  <c r="AA66" i="10"/>
  <c r="AH66" i="10" s="1"/>
  <c r="LB67" i="10"/>
  <c r="CH67" i="10"/>
  <c r="CH71" i="10"/>
  <c r="LB71" i="10"/>
  <c r="HX72" i="10"/>
  <c r="CG72" i="10"/>
  <c r="LA78" i="10"/>
  <c r="HP80" i="10"/>
  <c r="HR80" i="10"/>
  <c r="HQ82" i="10"/>
  <c r="HZ86" i="10"/>
  <c r="LB86" i="10"/>
  <c r="HR91" i="10"/>
  <c r="HP91" i="10"/>
  <c r="HR95" i="10"/>
  <c r="HP95" i="10"/>
  <c r="S120" i="10"/>
  <c r="HX121" i="10"/>
  <c r="HX122" i="10"/>
  <c r="HX123" i="10"/>
  <c r="HX124" i="10"/>
  <c r="HX125" i="10"/>
  <c r="HX126" i="10"/>
  <c r="HX127" i="10"/>
  <c r="HX128" i="10"/>
  <c r="HX129" i="10"/>
  <c r="HX130" i="10"/>
  <c r="HX131" i="10"/>
  <c r="X20" i="2"/>
  <c r="O71" i="2"/>
  <c r="I82" i="18"/>
  <c r="I83" i="18"/>
  <c r="Q83" i="18" s="1"/>
  <c r="AG83" i="18"/>
  <c r="I99" i="18"/>
  <c r="I101" i="18"/>
  <c r="Q101" i="18" s="1"/>
  <c r="I113" i="18"/>
  <c r="S120" i="18"/>
  <c r="I35" i="16"/>
  <c r="I36" i="16" s="1"/>
  <c r="I37" i="16" s="1"/>
  <c r="E201" i="18"/>
  <c r="E201" i="10"/>
  <c r="E205" i="18"/>
  <c r="E205" i="10"/>
  <c r="E209" i="18"/>
  <c r="E209" i="10"/>
  <c r="E213" i="18"/>
  <c r="E213" i="10"/>
  <c r="E217" i="18"/>
  <c r="E217" i="10"/>
  <c r="E218" i="10"/>
  <c r="E218" i="18"/>
  <c r="E219" i="18"/>
  <c r="E219" i="10"/>
  <c r="E220" i="18"/>
  <c r="E220" i="10"/>
  <c r="E221" i="18"/>
  <c r="E221" i="10"/>
  <c r="E222" i="18"/>
  <c r="E222" i="10"/>
  <c r="E223" i="18"/>
  <c r="E223" i="10"/>
  <c r="E224" i="10"/>
  <c r="E224" i="18"/>
  <c r="E225" i="18"/>
  <c r="E225" i="10"/>
  <c r="E226" i="18"/>
  <c r="E226" i="10"/>
  <c r="E227" i="18"/>
  <c r="E227" i="10"/>
  <c r="E228" i="18"/>
  <c r="E228" i="10"/>
  <c r="E229" i="18"/>
  <c r="E229" i="10"/>
  <c r="E230" i="18"/>
  <c r="E230" i="10"/>
  <c r="E231" i="18"/>
  <c r="E231" i="10"/>
  <c r="E232" i="18"/>
  <c r="E232" i="10"/>
  <c r="E233" i="18"/>
  <c r="E233" i="10"/>
  <c r="E234" i="18"/>
  <c r="E234" i="10"/>
  <c r="HZ40" i="10"/>
  <c r="LB40" i="10"/>
  <c r="AA41" i="10"/>
  <c r="AH41" i="10" s="1"/>
  <c r="B44" i="10"/>
  <c r="A44" i="10" s="1"/>
  <c r="CH44" i="10"/>
  <c r="HX45" i="10"/>
  <c r="B46" i="10"/>
  <c r="A46" i="10" s="1"/>
  <c r="LB46" i="10"/>
  <c r="LB47" i="10"/>
  <c r="B48" i="10"/>
  <c r="A48" i="10" s="1"/>
  <c r="LA49" i="10"/>
  <c r="HX49" i="10"/>
  <c r="HZ53" i="10"/>
  <c r="AA54" i="10"/>
  <c r="AH54" i="10" s="1"/>
  <c r="HX60" i="10"/>
  <c r="AA61" i="10"/>
  <c r="AH61" i="10" s="1"/>
  <c r="CG61" i="10"/>
  <c r="HZ61" i="10"/>
  <c r="AB62" i="10"/>
  <c r="AI62" i="10" s="1"/>
  <c r="CH62" i="10"/>
  <c r="CK62" i="10" s="1"/>
  <c r="B63" i="10"/>
  <c r="A63" i="10" s="1"/>
  <c r="I63" i="10"/>
  <c r="CG64" i="10"/>
  <c r="AA65" i="10"/>
  <c r="AH65" i="10" s="1"/>
  <c r="CG65" i="10"/>
  <c r="HZ65" i="10"/>
  <c r="AB66" i="10"/>
  <c r="AI66" i="10" s="1"/>
  <c r="CH66" i="10"/>
  <c r="CK66" i="10" s="1"/>
  <c r="HZ66" i="10"/>
  <c r="LB66" i="10"/>
  <c r="AB67" i="10"/>
  <c r="AI67" i="10" s="1"/>
  <c r="HX70" i="10"/>
  <c r="LA72" i="10"/>
  <c r="HX73" i="10"/>
  <c r="CG73" i="10"/>
  <c r="LA76" i="10"/>
  <c r="HX76" i="10"/>
  <c r="HZ77" i="10"/>
  <c r="HX78" i="10"/>
  <c r="HR79" i="10"/>
  <c r="HQ80" i="10"/>
  <c r="HP81" i="10"/>
  <c r="HN81" i="10" s="1"/>
  <c r="HR81" i="10"/>
  <c r="HP82" i="10"/>
  <c r="HN82" i="10" s="1"/>
  <c r="LA85" i="10"/>
  <c r="HX85" i="10"/>
  <c r="HR87" i="10"/>
  <c r="HQ88" i="10"/>
  <c r="HP87" i="10"/>
  <c r="HP88" i="10"/>
  <c r="HX90" i="10"/>
  <c r="HQ91" i="10"/>
  <c r="HR92" i="10"/>
  <c r="HP92" i="10"/>
  <c r="HX94" i="10"/>
  <c r="HQ95" i="10"/>
  <c r="HN97" i="10"/>
  <c r="HR96" i="10"/>
  <c r="HP96" i="10"/>
  <c r="T120" i="10"/>
  <c r="HX133" i="10"/>
  <c r="HX134" i="10"/>
  <c r="HX166" i="10"/>
  <c r="HX167" i="10"/>
  <c r="HX174" i="10"/>
  <c r="HX175" i="10"/>
  <c r="JQ183" i="10"/>
  <c r="E185" i="10"/>
  <c r="JQ187" i="10"/>
  <c r="JQ191" i="10"/>
  <c r="JQ195" i="10"/>
  <c r="JQ199" i="10"/>
  <c r="I68" i="18"/>
  <c r="AG77" i="18"/>
  <c r="I77" i="18"/>
  <c r="S124" i="18"/>
  <c r="S128" i="18"/>
  <c r="I55" i="18"/>
  <c r="I57" i="18"/>
  <c r="H65" i="18"/>
  <c r="AJ65" i="18"/>
  <c r="I88" i="18"/>
  <c r="I97" i="18"/>
  <c r="S127" i="18"/>
  <c r="K37" i="16"/>
  <c r="F36" i="16"/>
  <c r="F37" i="16" s="1"/>
  <c r="AA69" i="10"/>
  <c r="AH69" i="10" s="1"/>
  <c r="AB70" i="10"/>
  <c r="AI70" i="10" s="1"/>
  <c r="HZ70" i="10"/>
  <c r="AB72" i="10"/>
  <c r="AI72" i="10" s="1"/>
  <c r="LB72" i="10"/>
  <c r="AB73" i="10"/>
  <c r="AI73" i="10" s="1"/>
  <c r="LB73" i="10"/>
  <c r="AB74" i="10"/>
  <c r="AI74" i="10" s="1"/>
  <c r="AA75" i="10"/>
  <c r="AA77" i="10"/>
  <c r="AB78" i="10"/>
  <c r="AI78" i="10" s="1"/>
  <c r="HZ78" i="10"/>
  <c r="AA82" i="10"/>
  <c r="AB83" i="10"/>
  <c r="AI83" i="10" s="1"/>
  <c r="HQ83" i="10"/>
  <c r="HN83" i="10" s="1"/>
  <c r="AB85" i="10"/>
  <c r="AI85" i="10" s="1"/>
  <c r="AA86" i="10"/>
  <c r="AB87" i="10"/>
  <c r="AI87" i="10" s="1"/>
  <c r="HZ87" i="10"/>
  <c r="AB89" i="10"/>
  <c r="AI89" i="10" s="1"/>
  <c r="HZ89" i="10"/>
  <c r="AB90" i="10"/>
  <c r="AI90" i="10" s="1"/>
  <c r="AB91" i="10"/>
  <c r="AI91" i="10" s="1"/>
  <c r="AB92" i="10"/>
  <c r="AI92" i="10" s="1"/>
  <c r="AB93" i="10"/>
  <c r="AI93" i="10" s="1"/>
  <c r="AB94" i="10"/>
  <c r="AI94" i="10" s="1"/>
  <c r="AB95" i="10"/>
  <c r="AI95" i="10" s="1"/>
  <c r="AB96" i="10"/>
  <c r="AI96" i="10" s="1"/>
  <c r="AB97" i="10"/>
  <c r="AI97" i="10" s="1"/>
  <c r="AB98" i="10"/>
  <c r="AI98" i="10" s="1"/>
  <c r="AB99" i="10"/>
  <c r="AI99" i="10" s="1"/>
  <c r="AB100" i="10"/>
  <c r="AI100" i="10" s="1"/>
  <c r="AA101" i="10"/>
  <c r="AA102" i="10"/>
  <c r="AA106" i="10"/>
  <c r="AA110" i="10"/>
  <c r="AA114" i="10"/>
  <c r="AA118" i="10"/>
  <c r="IT37" i="18"/>
  <c r="B41" i="18"/>
  <c r="A41" i="18" s="1"/>
  <c r="CH41" i="18"/>
  <c r="IA41" i="18"/>
  <c r="AB42" i="18"/>
  <c r="AI42" i="18" s="1"/>
  <c r="FS43" i="18"/>
  <c r="B44" i="18"/>
  <c r="A44" i="18" s="1"/>
  <c r="IA44" i="18"/>
  <c r="CH45" i="18"/>
  <c r="IA45" i="18"/>
  <c r="CH46" i="18"/>
  <c r="HY48" i="18"/>
  <c r="CG48" i="18"/>
  <c r="LC49" i="18"/>
  <c r="B49" i="18"/>
  <c r="A49" i="18" s="1"/>
  <c r="CH49" i="18"/>
  <c r="IA49" i="18"/>
  <c r="EL52" i="18"/>
  <c r="LB53" i="18"/>
  <c r="I53" i="18"/>
  <c r="EF53" i="18"/>
  <c r="LC59" i="18"/>
  <c r="B59" i="18"/>
  <c r="A59" i="18" s="1"/>
  <c r="IA59" i="18"/>
  <c r="CH59" i="18"/>
  <c r="CJ59" i="18" s="1"/>
  <c r="CV60" i="18"/>
  <c r="LB61" i="18"/>
  <c r="HY61" i="18"/>
  <c r="CG61" i="18"/>
  <c r="LC62" i="18"/>
  <c r="B62" i="18"/>
  <c r="A62" i="18" s="1"/>
  <c r="I66" i="18"/>
  <c r="EF67" i="18"/>
  <c r="LB69" i="18"/>
  <c r="HY69" i="18"/>
  <c r="CG69" i="18"/>
  <c r="LC70" i="18"/>
  <c r="B70" i="18"/>
  <c r="A70" i="18" s="1"/>
  <c r="CK71" i="18"/>
  <c r="CJ71" i="18"/>
  <c r="CZ73" i="18"/>
  <c r="EF74" i="18"/>
  <c r="DC75" i="18"/>
  <c r="CY76" i="18"/>
  <c r="EF77" i="18"/>
  <c r="DB78" i="18"/>
  <c r="CY79" i="18"/>
  <c r="DC80" i="18"/>
  <c r="DA82" i="18"/>
  <c r="DA83" i="18"/>
  <c r="DC85" i="18"/>
  <c r="DA86" i="18"/>
  <c r="DB88" i="18"/>
  <c r="HR90" i="18"/>
  <c r="HQ90" i="18"/>
  <c r="DB91" i="18"/>
  <c r="HR91" i="18"/>
  <c r="DA92" i="18"/>
  <c r="HY92" i="18"/>
  <c r="HS93" i="18"/>
  <c r="HR94" i="18"/>
  <c r="HS95" i="18"/>
  <c r="HQ94" i="18"/>
  <c r="DB95" i="18"/>
  <c r="HR95" i="18"/>
  <c r="DA96" i="18"/>
  <c r="HY96" i="18"/>
  <c r="IA97" i="18"/>
  <c r="DC99" i="18"/>
  <c r="DA101" i="18"/>
  <c r="DC102" i="18"/>
  <c r="DC103" i="18"/>
  <c r="DC106" i="18"/>
  <c r="DC107" i="18"/>
  <c r="DC110" i="18"/>
  <c r="DC111" i="18"/>
  <c r="DC114" i="18"/>
  <c r="DC115" i="18"/>
  <c r="HY119" i="18"/>
  <c r="HY120" i="18"/>
  <c r="B45" i="16"/>
  <c r="B39" i="16"/>
  <c r="B40" i="16" s="1"/>
  <c r="B41" i="16" s="1"/>
  <c r="B42" i="16" s="1"/>
  <c r="B43" i="16" s="1"/>
  <c r="B44" i="16" s="1"/>
  <c r="F45" i="16"/>
  <c r="F39" i="16"/>
  <c r="F40" i="16" s="1"/>
  <c r="F41" i="16" s="1"/>
  <c r="F42" i="16" s="1"/>
  <c r="J45" i="16"/>
  <c r="J39" i="16"/>
  <c r="J40" i="16" s="1"/>
  <c r="N45" i="16"/>
  <c r="N39" i="16"/>
  <c r="N40" i="16" s="1"/>
  <c r="N41" i="16" s="1"/>
  <c r="N42" i="16" s="1"/>
  <c r="N43" i="16" s="1"/>
  <c r="N44" i="16" s="1"/>
  <c r="R45" i="16"/>
  <c r="R39" i="16"/>
  <c r="R40" i="16" s="1"/>
  <c r="R41" i="16" s="1"/>
  <c r="R42" i="16" s="1"/>
  <c r="R43" i="16" s="1"/>
  <c r="R44" i="16" s="1"/>
  <c r="V45" i="16"/>
  <c r="V39" i="16"/>
  <c r="V40" i="16" s="1"/>
  <c r="V41" i="16" s="1"/>
  <c r="V42" i="16" s="1"/>
  <c r="V43" i="16" s="1"/>
  <c r="V44" i="16" s="1"/>
  <c r="E52" i="16"/>
  <c r="E46" i="16"/>
  <c r="E47" i="16" s="1"/>
  <c r="E48" i="16" s="1"/>
  <c r="E49" i="16" s="1"/>
  <c r="E50" i="16" s="1"/>
  <c r="E51" i="16" s="1"/>
  <c r="M52" i="16"/>
  <c r="M46" i="16"/>
  <c r="M47" i="16" s="1"/>
  <c r="M48" i="16" s="1"/>
  <c r="M49" i="16" s="1"/>
  <c r="M50" i="16" s="1"/>
  <c r="M51" i="16" s="1"/>
  <c r="U52" i="16"/>
  <c r="U46" i="16"/>
  <c r="U47" i="16" s="1"/>
  <c r="U48" i="16" s="1"/>
  <c r="U49" i="16" s="1"/>
  <c r="U50" i="16" s="1"/>
  <c r="U51" i="16" s="1"/>
  <c r="IT38" i="18"/>
  <c r="EF83" i="18"/>
  <c r="EF78" i="18"/>
  <c r="EF71" i="18"/>
  <c r="EF70" i="18"/>
  <c r="EF68" i="18"/>
  <c r="EF66" i="18"/>
  <c r="EF64" i="18"/>
  <c r="EF62" i="18"/>
  <c r="EF75" i="18"/>
  <c r="EF72" i="18"/>
  <c r="EF60" i="18"/>
  <c r="EF58" i="18"/>
  <c r="EF56" i="18"/>
  <c r="EF54" i="18"/>
  <c r="EF51" i="18"/>
  <c r="EF50" i="18"/>
  <c r="M40" i="18"/>
  <c r="CG40" i="18"/>
  <c r="DZ40" i="18"/>
  <c r="EF79" i="18" s="1"/>
  <c r="EM40" i="18"/>
  <c r="EN40" i="18" s="1"/>
  <c r="EO40" i="18" s="1"/>
  <c r="IA40" i="18"/>
  <c r="LB40" i="18"/>
  <c r="CZ116" i="18"/>
  <c r="CZ112" i="18"/>
  <c r="CZ108" i="18"/>
  <c r="CZ104" i="18"/>
  <c r="CZ101" i="18"/>
  <c r="CZ88" i="18"/>
  <c r="CZ87" i="18"/>
  <c r="CZ86" i="18"/>
  <c r="CZ83" i="18"/>
  <c r="CZ78" i="18"/>
  <c r="CZ115" i="18"/>
  <c r="CZ111" i="18"/>
  <c r="CZ107" i="18"/>
  <c r="CZ103" i="18"/>
  <c r="CZ99" i="18"/>
  <c r="CZ97" i="18"/>
  <c r="CZ95" i="18"/>
  <c r="CZ93" i="18"/>
  <c r="CZ91" i="18"/>
  <c r="CZ89" i="18"/>
  <c r="CZ85" i="18"/>
  <c r="CZ79" i="18"/>
  <c r="CZ75" i="18"/>
  <c r="B42" i="18"/>
  <c r="A42" i="18" s="1"/>
  <c r="CG42" i="18"/>
  <c r="LB42" i="18"/>
  <c r="CG43" i="18"/>
  <c r="LB43" i="18"/>
  <c r="B45" i="18"/>
  <c r="A45" i="18" s="1"/>
  <c r="HY47" i="18"/>
  <c r="CG47" i="18"/>
  <c r="EF48" i="18"/>
  <c r="AA49" i="18"/>
  <c r="AH49" i="18" s="1"/>
  <c r="AA51" i="18"/>
  <c r="AH51" i="18" s="1"/>
  <c r="HY52" i="18"/>
  <c r="CG52" i="18"/>
  <c r="LC53" i="18"/>
  <c r="B53" i="18"/>
  <c r="A53" i="18" s="1"/>
  <c r="IA53" i="18"/>
  <c r="CH53" i="18"/>
  <c r="CG53" i="18"/>
  <c r="HY53" i="18"/>
  <c r="LB55" i="18"/>
  <c r="EF55" i="18"/>
  <c r="EF61" i="18"/>
  <c r="CH62" i="18"/>
  <c r="IA62" i="18"/>
  <c r="LB63" i="18"/>
  <c r="HY63" i="18"/>
  <c r="CG63" i="18"/>
  <c r="LC64" i="18"/>
  <c r="B64" i="18"/>
  <c r="A64" i="18" s="1"/>
  <c r="EF69" i="18"/>
  <c r="CH70" i="18"/>
  <c r="CJ70" i="18" s="1"/>
  <c r="IA70" i="18"/>
  <c r="LB71" i="18"/>
  <c r="HY72" i="18"/>
  <c r="CG72" i="18"/>
  <c r="DC73" i="18"/>
  <c r="LC74" i="18"/>
  <c r="B74" i="18"/>
  <c r="A74" i="18" s="1"/>
  <c r="IA74" i="18"/>
  <c r="LB75" i="18"/>
  <c r="CG75" i="18"/>
  <c r="CZ76" i="18"/>
  <c r="LB78" i="18"/>
  <c r="HY78" i="18"/>
  <c r="DB79" i="18"/>
  <c r="CY81" i="18"/>
  <c r="DB83" i="18"/>
  <c r="CY84" i="18"/>
  <c r="DB86" i="18"/>
  <c r="HY86" i="18"/>
  <c r="AA87" i="18"/>
  <c r="AH87" i="18" s="1"/>
  <c r="H87" i="18" s="1"/>
  <c r="DA87" i="18"/>
  <c r="CY89" i="18"/>
  <c r="HQ89" i="18"/>
  <c r="CZ90" i="18"/>
  <c r="DC91" i="18"/>
  <c r="CY93" i="18"/>
  <c r="CZ94" i="18"/>
  <c r="HS94" i="18"/>
  <c r="DC95" i="18"/>
  <c r="CY97" i="18"/>
  <c r="DA100" i="18"/>
  <c r="DB101" i="18"/>
  <c r="AA104" i="18"/>
  <c r="AH104" i="18" s="1"/>
  <c r="H104" i="18" s="1"/>
  <c r="DA104" i="18"/>
  <c r="CZ105" i="18"/>
  <c r="AA108" i="18"/>
  <c r="AH108" i="18" s="1"/>
  <c r="H108" i="18" s="1"/>
  <c r="DA108" i="18"/>
  <c r="CZ109" i="18"/>
  <c r="AA112" i="18"/>
  <c r="AH112" i="18" s="1"/>
  <c r="H112" i="18" s="1"/>
  <c r="DA112" i="18"/>
  <c r="AA113" i="18"/>
  <c r="AH113" i="18" s="1"/>
  <c r="H113" i="18" s="1"/>
  <c r="CZ113" i="18"/>
  <c r="AA116" i="18"/>
  <c r="AH116" i="18" s="1"/>
  <c r="H116" i="18" s="1"/>
  <c r="DA116" i="18"/>
  <c r="AA117" i="18"/>
  <c r="AH117" i="18" s="1"/>
  <c r="H117" i="18" s="1"/>
  <c r="CZ117" i="18"/>
  <c r="S121" i="18"/>
  <c r="Q123" i="18"/>
  <c r="R123" i="18" s="1"/>
  <c r="HY124" i="18"/>
  <c r="HY128" i="18"/>
  <c r="Q131" i="18"/>
  <c r="R131" i="18" s="1"/>
  <c r="C45" i="16"/>
  <c r="C39" i="16"/>
  <c r="C40" i="16" s="1"/>
  <c r="C41" i="16" s="1"/>
  <c r="C42" i="16" s="1"/>
  <c r="C43" i="16" s="1"/>
  <c r="C44" i="16" s="1"/>
  <c r="G45" i="16"/>
  <c r="G39" i="16"/>
  <c r="G40" i="16" s="1"/>
  <c r="G41" i="16" s="1"/>
  <c r="G42" i="16" s="1"/>
  <c r="G43" i="16" s="1"/>
  <c r="G44" i="16" s="1"/>
  <c r="K45" i="16"/>
  <c r="K39" i="16"/>
  <c r="K40" i="16" s="1"/>
  <c r="K41" i="16" s="1"/>
  <c r="K42" i="16" s="1"/>
  <c r="K43" i="16" s="1"/>
  <c r="K44" i="16" s="1"/>
  <c r="O45" i="16"/>
  <c r="O39" i="16"/>
  <c r="O40" i="16" s="1"/>
  <c r="O41" i="16" s="1"/>
  <c r="O42" i="16" s="1"/>
  <c r="O43" i="16" s="1"/>
  <c r="O44" i="16" s="1"/>
  <c r="S45" i="16"/>
  <c r="S39" i="16"/>
  <c r="S40" i="16" s="1"/>
  <c r="S41" i="16" s="1"/>
  <c r="S42" i="16" s="1"/>
  <c r="S43" i="16" s="1"/>
  <c r="S44" i="16" s="1"/>
  <c r="W45" i="16"/>
  <c r="W39" i="16"/>
  <c r="W40" i="16" s="1"/>
  <c r="W41" i="16" s="1"/>
  <c r="W42" i="16" s="1"/>
  <c r="W43" i="16" s="1"/>
  <c r="W44" i="16" s="1"/>
  <c r="H52" i="16"/>
  <c r="H46" i="16"/>
  <c r="H47" i="16" s="1"/>
  <c r="H48" i="16" s="1"/>
  <c r="H49" i="16" s="1"/>
  <c r="P52" i="16"/>
  <c r="P46" i="16"/>
  <c r="P47" i="16" s="1"/>
  <c r="P48" i="16" s="1"/>
  <c r="P49" i="16" s="1"/>
  <c r="P50" i="16" s="1"/>
  <c r="P51" i="16" s="1"/>
  <c r="X52" i="16"/>
  <c r="X46" i="16"/>
  <c r="X47" i="16" s="1"/>
  <c r="X48" i="16" s="1"/>
  <c r="X49" i="16" s="1"/>
  <c r="X50" i="16" s="1"/>
  <c r="X51" i="16" s="1"/>
  <c r="A4" i="10"/>
  <c r="AB41" i="10"/>
  <c r="AI41" i="10" s="1"/>
  <c r="AA42" i="10"/>
  <c r="AH42" i="10" s="1"/>
  <c r="AB43" i="10"/>
  <c r="AI43" i="10" s="1"/>
  <c r="AA50" i="10"/>
  <c r="AH50" i="10" s="1"/>
  <c r="HX50" i="10"/>
  <c r="AA51" i="10"/>
  <c r="AH51" i="10" s="1"/>
  <c r="HX51" i="10"/>
  <c r="AA52" i="10"/>
  <c r="AH52" i="10" s="1"/>
  <c r="HX52" i="10"/>
  <c r="AA53" i="10"/>
  <c r="AH53" i="10" s="1"/>
  <c r="AB54" i="10"/>
  <c r="AI54" i="10" s="1"/>
  <c r="AB56" i="10"/>
  <c r="AI56" i="10" s="1"/>
  <c r="HZ56" i="10"/>
  <c r="AB57" i="10"/>
  <c r="AI57" i="10" s="1"/>
  <c r="HZ57" i="10"/>
  <c r="AB58" i="10"/>
  <c r="AI58" i="10" s="1"/>
  <c r="HZ58" i="10"/>
  <c r="AB59" i="10"/>
  <c r="AI59" i="10" s="1"/>
  <c r="AA63" i="10"/>
  <c r="AH63" i="10" s="1"/>
  <c r="AB64" i="10"/>
  <c r="AA67" i="10"/>
  <c r="AH67" i="10" s="1"/>
  <c r="AB68" i="10"/>
  <c r="AI68" i="10" s="1"/>
  <c r="B74" i="10"/>
  <c r="A74" i="10" s="1"/>
  <c r="AB76" i="10"/>
  <c r="AI76" i="10" s="1"/>
  <c r="AA79" i="10"/>
  <c r="AB80" i="10"/>
  <c r="AI80" i="10" s="1"/>
  <c r="HZ80" i="10"/>
  <c r="AB81" i="10"/>
  <c r="AI81" i="10" s="1"/>
  <c r="B83" i="10"/>
  <c r="A83" i="10" s="1"/>
  <c r="B85" i="10"/>
  <c r="A85" i="10" s="1"/>
  <c r="AA88" i="10"/>
  <c r="AA104" i="10"/>
  <c r="AA108" i="10"/>
  <c r="AA112" i="10"/>
  <c r="AA116" i="10"/>
  <c r="A3" i="18"/>
  <c r="HR39" i="18"/>
  <c r="CH40" i="18"/>
  <c r="AA41" i="18"/>
  <c r="AH41" i="18" s="1"/>
  <c r="CH42" i="18"/>
  <c r="HY42" i="18"/>
  <c r="LC42" i="18"/>
  <c r="AA43" i="18"/>
  <c r="AH43" i="18" s="1"/>
  <c r="CH43" i="18"/>
  <c r="LC43" i="18"/>
  <c r="AA44" i="18"/>
  <c r="AH44" i="18" s="1"/>
  <c r="CG44" i="18"/>
  <c r="AA45" i="18"/>
  <c r="AH45" i="18" s="1"/>
  <c r="HY46" i="18"/>
  <c r="AA46" i="18"/>
  <c r="AH46" i="18" s="1"/>
  <c r="AB49" i="18"/>
  <c r="AI49" i="18" s="1"/>
  <c r="HY51" i="18"/>
  <c r="CG51" i="18"/>
  <c r="EF52" i="18"/>
  <c r="AA53" i="18"/>
  <c r="AH53" i="18" s="1"/>
  <c r="LC55" i="18"/>
  <c r="B55" i="18"/>
  <c r="A55" i="18" s="1"/>
  <c r="IA55" i="18"/>
  <c r="CH55" i="18"/>
  <c r="CG55" i="18"/>
  <c r="HY55" i="18"/>
  <c r="I56" i="18"/>
  <c r="LB57" i="18"/>
  <c r="EF57" i="18"/>
  <c r="AB59" i="18"/>
  <c r="AI59" i="18" s="1"/>
  <c r="AB62" i="18"/>
  <c r="AI62" i="18" s="1"/>
  <c r="EF63" i="18"/>
  <c r="CH64" i="18"/>
  <c r="CL64" i="18" s="1"/>
  <c r="IA64" i="18"/>
  <c r="LB65" i="18"/>
  <c r="HY65" i="18"/>
  <c r="CG65" i="18"/>
  <c r="LC66" i="18"/>
  <c r="B66" i="18"/>
  <c r="A66" i="18" s="1"/>
  <c r="AB70" i="18"/>
  <c r="AI70" i="18" s="1"/>
  <c r="CL71" i="18"/>
  <c r="LB72" i="18"/>
  <c r="LB73" i="18"/>
  <c r="HY73" i="18"/>
  <c r="EF73" i="18"/>
  <c r="CH74" i="18"/>
  <c r="CZ74" i="18"/>
  <c r="CY75" i="18"/>
  <c r="DC76" i="18"/>
  <c r="CZ77" i="18"/>
  <c r="IA78" i="18"/>
  <c r="B78" i="18"/>
  <c r="A78" i="18" s="1"/>
  <c r="LC78" i="18"/>
  <c r="DC79" i="18"/>
  <c r="CY80" i="18"/>
  <c r="CZ81" i="18"/>
  <c r="LB82" i="18"/>
  <c r="LB83" i="18"/>
  <c r="CZ84" i="18"/>
  <c r="CY85" i="18"/>
  <c r="LC85" i="18"/>
  <c r="AG86" i="18"/>
  <c r="AB87" i="18"/>
  <c r="AI87" i="18" s="1"/>
  <c r="DB87" i="18"/>
  <c r="IA87" i="18"/>
  <c r="AB89" i="18"/>
  <c r="AI89" i="18" s="1"/>
  <c r="DB89" i="18"/>
  <c r="DA90" i="18"/>
  <c r="HY90" i="18"/>
  <c r="HS91" i="18"/>
  <c r="HR92" i="18"/>
  <c r="HQ92" i="18"/>
  <c r="AB93" i="18"/>
  <c r="AI93" i="18" s="1"/>
  <c r="DB93" i="18"/>
  <c r="HR93" i="18"/>
  <c r="DA94" i="18"/>
  <c r="HY94" i="18"/>
  <c r="HR96" i="18"/>
  <c r="HO97" i="18"/>
  <c r="C78" i="36" s="1"/>
  <c r="HQ96" i="18"/>
  <c r="DB97" i="18"/>
  <c r="CZ98" i="18"/>
  <c r="CY99" i="18"/>
  <c r="IA99" i="18"/>
  <c r="I102" i="18"/>
  <c r="CY102" i="18"/>
  <c r="CY103" i="18"/>
  <c r="AB104" i="18"/>
  <c r="AI104" i="18" s="1"/>
  <c r="DB104" i="18"/>
  <c r="DA105" i="18"/>
  <c r="I106" i="18"/>
  <c r="CY106" i="18"/>
  <c r="CY107" i="18"/>
  <c r="AB108" i="18"/>
  <c r="AI108" i="18" s="1"/>
  <c r="DB108" i="18"/>
  <c r="DA109" i="18"/>
  <c r="I110" i="18"/>
  <c r="CY110" i="18"/>
  <c r="CY111" i="18"/>
  <c r="AB112" i="18"/>
  <c r="AI112" i="18" s="1"/>
  <c r="DB112" i="18"/>
  <c r="DA113" i="18"/>
  <c r="I114" i="18"/>
  <c r="CY114" i="18"/>
  <c r="AB116" i="18"/>
  <c r="AI116" i="18" s="1"/>
  <c r="IL133" i="18"/>
  <c r="IL137" i="18"/>
  <c r="AD27" i="16"/>
  <c r="A52" i="16"/>
  <c r="A46" i="16"/>
  <c r="A47" i="16" s="1"/>
  <c r="A48" i="16" s="1"/>
  <c r="A49" i="16" s="1"/>
  <c r="A50" i="16" s="1"/>
  <c r="A51" i="16" s="1"/>
  <c r="I52" i="16"/>
  <c r="I46" i="16"/>
  <c r="I47" i="16" s="1"/>
  <c r="I48" i="16" s="1"/>
  <c r="I49" i="16" s="1"/>
  <c r="I50" i="16" s="1"/>
  <c r="I51" i="16" s="1"/>
  <c r="Q52" i="16"/>
  <c r="Q46" i="16"/>
  <c r="Q47" i="16" s="1"/>
  <c r="Q48" i="16" s="1"/>
  <c r="Q49" i="16" s="1"/>
  <c r="Q50" i="16" s="1"/>
  <c r="Q51" i="16" s="1"/>
  <c r="CY117" i="18"/>
  <c r="CY113" i="18"/>
  <c r="CY109" i="18"/>
  <c r="CY105" i="18"/>
  <c r="CY100" i="18"/>
  <c r="CY98" i="18"/>
  <c r="CY96" i="18"/>
  <c r="CY94" i="18"/>
  <c r="CY92" i="18"/>
  <c r="CY90" i="18"/>
  <c r="CY82" i="18"/>
  <c r="CY77" i="18"/>
  <c r="CY74" i="18"/>
  <c r="CY116" i="18"/>
  <c r="CY112" i="18"/>
  <c r="CY108" i="18"/>
  <c r="CY104" i="18"/>
  <c r="CY101" i="18"/>
  <c r="CY88" i="18"/>
  <c r="CY87" i="18"/>
  <c r="CY86" i="18"/>
  <c r="CY83" i="18"/>
  <c r="CY78" i="18"/>
  <c r="AB41" i="18"/>
  <c r="AI41" i="18" s="1"/>
  <c r="AA42" i="18"/>
  <c r="AH42" i="18" s="1"/>
  <c r="DA115" i="18"/>
  <c r="DA111" i="18"/>
  <c r="DA107" i="18"/>
  <c r="DA103" i="18"/>
  <c r="DA99" i="18"/>
  <c r="DA97" i="18"/>
  <c r="DA95" i="18"/>
  <c r="DA93" i="18"/>
  <c r="DA91" i="18"/>
  <c r="DA89" i="18"/>
  <c r="DA85" i="18"/>
  <c r="DA79" i="18"/>
  <c r="DA75" i="18"/>
  <c r="DA114" i="18"/>
  <c r="DA110" i="18"/>
  <c r="DA106" i="18"/>
  <c r="DA102" i="18"/>
  <c r="DA84" i="18"/>
  <c r="DA81" i="18"/>
  <c r="DA80" i="18"/>
  <c r="DA76" i="18"/>
  <c r="DA73" i="18"/>
  <c r="AB43" i="18"/>
  <c r="AI43" i="18" s="1"/>
  <c r="DC117" i="18"/>
  <c r="DB114" i="18"/>
  <c r="DC113" i="18"/>
  <c r="DB110" i="18"/>
  <c r="DC109" i="18"/>
  <c r="DB106" i="18"/>
  <c r="DC105" i="18"/>
  <c r="DB102" i="18"/>
  <c r="DC100" i="18"/>
  <c r="DC98" i="18"/>
  <c r="DC96" i="18"/>
  <c r="DC94" i="18"/>
  <c r="DC92" i="18"/>
  <c r="DC90" i="18"/>
  <c r="DB84" i="18"/>
  <c r="DC82" i="18"/>
  <c r="DB81" i="18"/>
  <c r="DB80" i="18"/>
  <c r="DC77" i="18"/>
  <c r="DB76" i="18"/>
  <c r="DC74" i="18"/>
  <c r="DB73" i="18"/>
  <c r="DB117" i="18"/>
  <c r="DC116" i="18"/>
  <c r="DB113" i="18"/>
  <c r="DC112" i="18"/>
  <c r="DB109" i="18"/>
  <c r="DC108" i="18"/>
  <c r="DB105" i="18"/>
  <c r="DC104" i="18"/>
  <c r="DC101" i="18"/>
  <c r="DB100" i="18"/>
  <c r="DB98" i="18"/>
  <c r="DB96" i="18"/>
  <c r="DB94" i="18"/>
  <c r="DB92" i="18"/>
  <c r="DB90" i="18"/>
  <c r="DC88" i="18"/>
  <c r="DC87" i="18"/>
  <c r="DC86" i="18"/>
  <c r="DC83" i="18"/>
  <c r="DB82" i="18"/>
  <c r="DC78" i="18"/>
  <c r="DB77" i="18"/>
  <c r="DB74" i="18"/>
  <c r="AB44" i="18"/>
  <c r="AI44" i="18" s="1"/>
  <c r="CH44" i="18"/>
  <c r="AB45" i="18"/>
  <c r="AI45" i="18" s="1"/>
  <c r="IA46" i="18"/>
  <c r="LC46" i="18"/>
  <c r="AB46" i="18"/>
  <c r="AI46" i="18" s="1"/>
  <c r="AA48" i="18"/>
  <c r="AH48" i="18" s="1"/>
  <c r="LB48" i="18"/>
  <c r="EF49" i="18"/>
  <c r="HY49" i="18"/>
  <c r="LC57" i="18"/>
  <c r="B57" i="18"/>
  <c r="A57" i="18" s="1"/>
  <c r="IA57" i="18"/>
  <c r="CH57" i="18"/>
  <c r="CK57" i="18" s="1"/>
  <c r="CV58" i="18"/>
  <c r="LB59" i="18"/>
  <c r="EF59" i="18"/>
  <c r="AA61" i="18"/>
  <c r="AH61" i="18" s="1"/>
  <c r="I64" i="18"/>
  <c r="EF65" i="18"/>
  <c r="CH66" i="18"/>
  <c r="IA66" i="18"/>
  <c r="LB67" i="18"/>
  <c r="HY67" i="18"/>
  <c r="CG67" i="18"/>
  <c r="LC68" i="18"/>
  <c r="B68" i="18"/>
  <c r="A68" i="18" s="1"/>
  <c r="AA69" i="18"/>
  <c r="AH69" i="18" s="1"/>
  <c r="IA73" i="18"/>
  <c r="B73" i="18"/>
  <c r="A73" i="18" s="1"/>
  <c r="CH73" i="18"/>
  <c r="CG73" i="18"/>
  <c r="CY73" i="18"/>
  <c r="AB74" i="18"/>
  <c r="AI74" i="18" s="1"/>
  <c r="DA74" i="18"/>
  <c r="DB75" i="18"/>
  <c r="EF76" i="18"/>
  <c r="DA77" i="18"/>
  <c r="AA78" i="18"/>
  <c r="AH78" i="18" s="1"/>
  <c r="H78" i="18" s="1"/>
  <c r="DA78" i="18"/>
  <c r="LC79" i="18"/>
  <c r="IA79" i="18"/>
  <c r="B79" i="18"/>
  <c r="A79" i="18" s="1"/>
  <c r="CZ80" i="18"/>
  <c r="DC81" i="18"/>
  <c r="AA82" i="18"/>
  <c r="AH82" i="18" s="1"/>
  <c r="H82" i="18" s="1"/>
  <c r="CZ82" i="18"/>
  <c r="LC83" i="18"/>
  <c r="B83" i="18"/>
  <c r="A83" i="18" s="1"/>
  <c r="IA83" i="18"/>
  <c r="DC84" i="18"/>
  <c r="AB85" i="18"/>
  <c r="AI85" i="18" s="1"/>
  <c r="DB85" i="18"/>
  <c r="LC86" i="18"/>
  <c r="AA88" i="18"/>
  <c r="AH88" i="18" s="1"/>
  <c r="H88" i="18" s="1"/>
  <c r="DA88" i="18"/>
  <c r="DC89" i="18"/>
  <c r="IA89" i="18"/>
  <c r="CY91" i="18"/>
  <c r="HQ91" i="18"/>
  <c r="AA92" i="18"/>
  <c r="AH92" i="18" s="1"/>
  <c r="H92" i="18" s="1"/>
  <c r="CZ92" i="18"/>
  <c r="HS92" i="18"/>
  <c r="DC93" i="18"/>
  <c r="HO94" i="18"/>
  <c r="C75" i="19" s="1"/>
  <c r="CY95" i="18"/>
  <c r="HQ95" i="18"/>
  <c r="HO95" i="18" s="1"/>
  <c r="C76" i="19" s="1"/>
  <c r="AA96" i="18"/>
  <c r="AH96" i="18" s="1"/>
  <c r="H96" i="18" s="1"/>
  <c r="CZ96" i="18"/>
  <c r="HS96" i="18"/>
  <c r="DC97" i="18"/>
  <c r="DA98" i="18"/>
  <c r="DB99" i="18"/>
  <c r="HY100" i="18"/>
  <c r="CZ102" i="18"/>
  <c r="AB103" i="18"/>
  <c r="AI103" i="18" s="1"/>
  <c r="DB103" i="18"/>
  <c r="CZ106" i="18"/>
  <c r="AB107" i="18"/>
  <c r="AI107" i="18" s="1"/>
  <c r="DB107" i="18"/>
  <c r="CZ110" i="18"/>
  <c r="AB111" i="18"/>
  <c r="AI111" i="18" s="1"/>
  <c r="DB111" i="18"/>
  <c r="CZ114" i="18"/>
  <c r="AB115" i="18"/>
  <c r="AI115" i="18" s="1"/>
  <c r="DB115" i="18"/>
  <c r="AA119" i="18"/>
  <c r="AH119" i="18" s="1"/>
  <c r="H119" i="18" s="1"/>
  <c r="HY122" i="18"/>
  <c r="Q125" i="18"/>
  <c r="R125" i="18" s="1"/>
  <c r="HY126" i="18"/>
  <c r="Q129" i="18"/>
  <c r="R129" i="18" s="1"/>
  <c r="HY130" i="18"/>
  <c r="IL132" i="18"/>
  <c r="IL136" i="18"/>
  <c r="IL140" i="18"/>
  <c r="D52" i="16"/>
  <c r="D46" i="16"/>
  <c r="D47" i="16" s="1"/>
  <c r="D48" i="16" s="1"/>
  <c r="D49" i="16" s="1"/>
  <c r="D50" i="16" s="1"/>
  <c r="D51" i="16" s="1"/>
  <c r="L52" i="16"/>
  <c r="L46" i="16"/>
  <c r="L47" i="16" s="1"/>
  <c r="L48" i="16" s="1"/>
  <c r="L49" i="16" s="1"/>
  <c r="L50" i="16" s="1"/>
  <c r="L51" i="16" s="1"/>
  <c r="T52" i="16"/>
  <c r="T46" i="16"/>
  <c r="T47" i="16" s="1"/>
  <c r="T48" i="16" s="1"/>
  <c r="T49" i="16" s="1"/>
  <c r="T50" i="16" s="1"/>
  <c r="T51" i="16" s="1"/>
  <c r="AB47" i="18"/>
  <c r="AI47" i="18" s="1"/>
  <c r="LC47" i="18"/>
  <c r="AB48" i="18"/>
  <c r="AI48" i="18" s="1"/>
  <c r="AA50" i="18"/>
  <c r="AH50" i="18" s="1"/>
  <c r="LC50" i="18"/>
  <c r="AB51" i="18"/>
  <c r="AI51" i="18" s="1"/>
  <c r="LC51" i="18"/>
  <c r="AB52" i="18"/>
  <c r="AI52" i="18" s="1"/>
  <c r="AA54" i="18"/>
  <c r="AH54" i="18" s="1"/>
  <c r="AA56" i="18"/>
  <c r="AH56" i="18" s="1"/>
  <c r="AA58" i="18"/>
  <c r="AH58" i="18" s="1"/>
  <c r="AA60" i="18"/>
  <c r="AH60" i="18" s="1"/>
  <c r="LC60" i="18"/>
  <c r="AB61" i="18"/>
  <c r="AI61" i="18" s="1"/>
  <c r="AB63" i="18"/>
  <c r="AI63" i="18" s="1"/>
  <c r="AB65" i="18"/>
  <c r="AI65" i="18" s="1"/>
  <c r="AB67" i="18"/>
  <c r="AI67" i="18" s="1"/>
  <c r="AB69" i="18"/>
  <c r="AI69" i="18" s="1"/>
  <c r="AB71" i="18"/>
  <c r="AI71" i="18" s="1"/>
  <c r="BO71" i="18" s="1"/>
  <c r="AB72" i="18"/>
  <c r="AI72" i="18" s="1"/>
  <c r="AB75" i="18"/>
  <c r="AI75" i="18" s="1"/>
  <c r="IA75" i="18"/>
  <c r="LC76" i="18"/>
  <c r="LB79" i="18"/>
  <c r="AA80" i="18"/>
  <c r="AH80" i="18" s="1"/>
  <c r="H80" i="18" s="1"/>
  <c r="LC81" i="18"/>
  <c r="AA84" i="18"/>
  <c r="AH84" i="18" s="1"/>
  <c r="H84" i="18" s="1"/>
  <c r="HY84" i="18"/>
  <c r="AB90" i="18"/>
  <c r="AI90" i="18" s="1"/>
  <c r="HO91" i="18"/>
  <c r="C72" i="19" s="1"/>
  <c r="AB92" i="18"/>
  <c r="AI92" i="18" s="1"/>
  <c r="AB94" i="18"/>
  <c r="AI94" i="18" s="1"/>
  <c r="AB96" i="18"/>
  <c r="AI96" i="18" s="1"/>
  <c r="AB98" i="18"/>
  <c r="AI98" i="18" s="1"/>
  <c r="AB100" i="18"/>
  <c r="AI100" i="18" s="1"/>
  <c r="AA102" i="18"/>
  <c r="AH102" i="18" s="1"/>
  <c r="H102" i="18" s="1"/>
  <c r="IA102" i="18"/>
  <c r="HY103" i="18"/>
  <c r="AA106" i="18"/>
  <c r="AH106" i="18" s="1"/>
  <c r="H106" i="18" s="1"/>
  <c r="IA106" i="18"/>
  <c r="HY107" i="18"/>
  <c r="AA110" i="18"/>
  <c r="AH110" i="18" s="1"/>
  <c r="H110" i="18" s="1"/>
  <c r="IA110" i="18"/>
  <c r="HY111" i="18"/>
  <c r="AA114" i="18"/>
  <c r="AH114" i="18" s="1"/>
  <c r="H114" i="18" s="1"/>
  <c r="IA114" i="18"/>
  <c r="HY115" i="18"/>
  <c r="AA118" i="18"/>
  <c r="AH118" i="18" s="1"/>
  <c r="H118" i="18" s="1"/>
  <c r="AB119" i="18"/>
  <c r="AI119" i="18" s="1"/>
  <c r="BH22" i="17"/>
  <c r="CH48" i="18"/>
  <c r="CG50" i="18"/>
  <c r="CH52" i="18"/>
  <c r="CG54" i="18"/>
  <c r="CG56" i="18"/>
  <c r="CG58" i="18"/>
  <c r="CG60" i="18"/>
  <c r="CH61" i="18"/>
  <c r="AA62" i="18"/>
  <c r="AH62" i="18" s="1"/>
  <c r="CH63" i="18"/>
  <c r="AA64" i="18"/>
  <c r="AH64" i="18" s="1"/>
  <c r="CH65" i="18"/>
  <c r="AA66" i="18"/>
  <c r="AH66" i="18" s="1"/>
  <c r="CH67" i="18"/>
  <c r="AA68" i="18"/>
  <c r="AH68" i="18" s="1"/>
  <c r="CH69" i="18"/>
  <c r="AA70" i="18"/>
  <c r="AH70" i="18" s="1"/>
  <c r="CH75" i="18"/>
  <c r="AB80" i="18"/>
  <c r="AI80" i="18" s="1"/>
  <c r="AB84" i="18"/>
  <c r="AI84" i="18" s="1"/>
  <c r="AA85" i="18"/>
  <c r="AH85" i="18" s="1"/>
  <c r="H85" i="18" s="1"/>
  <c r="AA89" i="18"/>
  <c r="AH89" i="18" s="1"/>
  <c r="H89" i="18" s="1"/>
  <c r="AA91" i="18"/>
  <c r="AH91" i="18" s="1"/>
  <c r="H91" i="18" s="1"/>
  <c r="AA93" i="18"/>
  <c r="AH93" i="18" s="1"/>
  <c r="H93" i="18" s="1"/>
  <c r="AA95" i="18"/>
  <c r="AH95" i="18" s="1"/>
  <c r="H95" i="18" s="1"/>
  <c r="AA97" i="18"/>
  <c r="AH97" i="18" s="1"/>
  <c r="H97" i="18" s="1"/>
  <c r="AA99" i="18"/>
  <c r="AH99" i="18" s="1"/>
  <c r="H99" i="18" s="1"/>
  <c r="AA103" i="18"/>
  <c r="AH103" i="18" s="1"/>
  <c r="H103" i="18" s="1"/>
  <c r="AA107" i="18"/>
  <c r="AH107" i="18" s="1"/>
  <c r="H107" i="18" s="1"/>
  <c r="AA111" i="18"/>
  <c r="AH111" i="18" s="1"/>
  <c r="H111" i="18" s="1"/>
  <c r="AA115" i="18"/>
  <c r="AH115" i="18" s="1"/>
  <c r="H115" i="18" s="1"/>
  <c r="AU31" i="17"/>
  <c r="L23" i="17"/>
  <c r="D193" i="17"/>
  <c r="AG22" i="17"/>
  <c r="EV148" i="17"/>
  <c r="DL148" i="17"/>
  <c r="DL161" i="17"/>
  <c r="EV161" i="17"/>
  <c r="DL162" i="17"/>
  <c r="EV162" i="17"/>
  <c r="D163" i="17"/>
  <c r="BB166" i="17"/>
  <c r="AV70" i="32" a="1"/>
  <c r="AJ208" i="31"/>
  <c r="AQ183" i="31"/>
  <c r="AQ207" i="31"/>
  <c r="AG202" i="31"/>
  <c r="AH208" i="31"/>
  <c r="AQ184" i="31"/>
  <c r="AF207" i="31"/>
  <c r="AK196" i="31"/>
  <c r="AF191" i="31"/>
  <c r="AJ191" i="31"/>
  <c r="AH207" i="31"/>
  <c r="BX575" i="15"/>
  <c r="CH587" i="15"/>
  <c r="AQ201" i="31"/>
  <c r="AQ213" i="31"/>
  <c r="AB220" i="31"/>
  <c r="BV576" i="15"/>
  <c r="BY586" i="15"/>
  <c r="AW70" i="32" a="1"/>
  <c r="AI183" i="31"/>
  <c r="BX585" i="15"/>
  <c r="AJ196" i="31"/>
  <c r="AF220" i="31"/>
  <c r="AI213" i="31"/>
  <c r="AK191" i="31"/>
  <c r="AK202" i="31"/>
  <c r="AH196" i="31"/>
  <c r="BZ586" i="15"/>
  <c r="AG191" i="31"/>
  <c r="AG196" i="31"/>
  <c r="AF196" i="31"/>
  <c r="AG208" i="31"/>
  <c r="AH202" i="31"/>
  <c r="AK190" i="31"/>
  <c r="AC220" i="31"/>
  <c r="AI201" i="31"/>
  <c r="AQ195" i="31"/>
  <c r="AF190" i="31"/>
  <c r="AI189" i="31"/>
  <c r="AK208" i="31"/>
  <c r="AJ202" i="31"/>
  <c r="BX580" i="15"/>
  <c r="AF208" i="31"/>
  <c r="AG190" i="31"/>
  <c r="AG220" i="31"/>
  <c r="BV571" i="15"/>
  <c r="AQ189" i="31"/>
  <c r="AF202" i="31"/>
  <c r="AI184" i="31"/>
  <c r="AO22" i="15"/>
  <c r="AI195" i="31"/>
  <c r="AK220" i="31"/>
  <c r="AH191" i="31"/>
  <c r="AH190" i="31"/>
  <c r="AJ190" i="31"/>
  <c r="BV581" i="15"/>
  <c r="AI207" i="31"/>
  <c r="AW70" i="32" l="1"/>
  <c r="AV70" i="32"/>
  <c r="IL129" i="24"/>
  <c r="IL123" i="24"/>
  <c r="HN92" i="10"/>
  <c r="HN90" i="10"/>
  <c r="R83" i="24"/>
  <c r="S83" i="24" s="1"/>
  <c r="T83" i="24" s="1"/>
  <c r="BH58" i="32"/>
  <c r="EF79" i="10"/>
  <c r="C48" i="34"/>
  <c r="C48" i="36"/>
  <c r="C53" i="34"/>
  <c r="C53" i="36"/>
  <c r="C52" i="34"/>
  <c r="C52" i="36"/>
  <c r="BH38" i="32"/>
  <c r="BH31" i="32"/>
  <c r="BJ57" i="32"/>
  <c r="CA58" i="32" s="1"/>
  <c r="BJ41" i="32"/>
  <c r="CA42" i="32" s="1"/>
  <c r="CA51" i="32"/>
  <c r="BH21" i="32"/>
  <c r="BH29" i="32"/>
  <c r="BR66" i="32"/>
  <c r="BJ18" i="32"/>
  <c r="BL18" i="32" s="1"/>
  <c r="CA41" i="32"/>
  <c r="BR67" i="32"/>
  <c r="BR63" i="32"/>
  <c r="BR68" i="32"/>
  <c r="BR62" i="32"/>
  <c r="BR64" i="32"/>
  <c r="BR69" i="32"/>
  <c r="BR65" i="32"/>
  <c r="AN25" i="32"/>
  <c r="AN20" i="32"/>
  <c r="AN22" i="32"/>
  <c r="AN23" i="32"/>
  <c r="BH36" i="32"/>
  <c r="BH56" i="32"/>
  <c r="BH61" i="32"/>
  <c r="AN28" i="32"/>
  <c r="AN33" i="32"/>
  <c r="AN35" i="32"/>
  <c r="BJ52" i="32"/>
  <c r="CA53" i="32" s="1"/>
  <c r="BH18" i="32"/>
  <c r="BJ42" i="32"/>
  <c r="CA43" i="32" s="1"/>
  <c r="AN31" i="32"/>
  <c r="AN32" i="32"/>
  <c r="AN26" i="32"/>
  <c r="AN27" i="32"/>
  <c r="AN30" i="32"/>
  <c r="AN24" i="32"/>
  <c r="AN36" i="32"/>
  <c r="AN34" i="32"/>
  <c r="AN19" i="32"/>
  <c r="AN29" i="32"/>
  <c r="BL44" i="32"/>
  <c r="BJ51" i="32"/>
  <c r="CA52" i="32" s="1"/>
  <c r="BH44" i="32"/>
  <c r="BH40" i="32"/>
  <c r="BH59" i="32"/>
  <c r="BH47" i="32"/>
  <c r="AN18" i="32"/>
  <c r="BH19" i="32"/>
  <c r="BH60" i="32"/>
  <c r="BJ60" i="32"/>
  <c r="BJ62" i="32"/>
  <c r="BJ63" i="32" s="1"/>
  <c r="BJ64" i="32" s="1"/>
  <c r="BJ65" i="32" s="1"/>
  <c r="BJ66" i="32" s="1"/>
  <c r="BJ67" i="32" s="1"/>
  <c r="BJ68" i="32" s="1"/>
  <c r="BJ69" i="32" s="1"/>
  <c r="BJ70" i="32" s="1"/>
  <c r="BJ71" i="32" s="1"/>
  <c r="BJ72" i="32" s="1"/>
  <c r="BJ73" i="32" s="1"/>
  <c r="BJ74" i="32" s="1"/>
  <c r="BJ75" i="32" s="1"/>
  <c r="BJ76" i="32" s="1"/>
  <c r="BH45" i="32"/>
  <c r="BH20" i="32"/>
  <c r="BH50" i="32"/>
  <c r="BJ54" i="32"/>
  <c r="BH54" i="32"/>
  <c r="C78" i="19"/>
  <c r="C78" i="34"/>
  <c r="CA38" i="32"/>
  <c r="BL37" i="32"/>
  <c r="CA39" i="32"/>
  <c r="BL38" i="32"/>
  <c r="CA40" i="32"/>
  <c r="BL39" i="32"/>
  <c r="CA59" i="32"/>
  <c r="BL58" i="32"/>
  <c r="CA47" i="32"/>
  <c r="BL46" i="32"/>
  <c r="CA44" i="32"/>
  <c r="BL43" i="32"/>
  <c r="CA60" i="32"/>
  <c r="BL59" i="32"/>
  <c r="CA46" i="32"/>
  <c r="BL45" i="32"/>
  <c r="CA48" i="32"/>
  <c r="BL47" i="32"/>
  <c r="CA56" i="32"/>
  <c r="BL55" i="32"/>
  <c r="CA57" i="32"/>
  <c r="BL56" i="32"/>
  <c r="CA54" i="32"/>
  <c r="BL53" i="32"/>
  <c r="AB221" i="31"/>
  <c r="AC221" i="31"/>
  <c r="AC222" i="31" s="1"/>
  <c r="AC223" i="31" s="1"/>
  <c r="AC224" i="31" s="1"/>
  <c r="AC225" i="31" s="1"/>
  <c r="AC226" i="31" s="1"/>
  <c r="BG189" i="31"/>
  <c r="BG184" i="31"/>
  <c r="BG207" i="31"/>
  <c r="BG183" i="31"/>
  <c r="BG195" i="31"/>
  <c r="BG201" i="31"/>
  <c r="BG213" i="31"/>
  <c r="I227" i="31"/>
  <c r="I221" i="31"/>
  <c r="H216" i="31"/>
  <c r="J204" i="31"/>
  <c r="H198" i="31"/>
  <c r="H222" i="31"/>
  <c r="J222" i="31"/>
  <c r="W234" i="31"/>
  <c r="W228" i="31"/>
  <c r="W229" i="31" s="1"/>
  <c r="W230" i="31" s="1"/>
  <c r="W231" i="31" s="1"/>
  <c r="W232" i="31" s="1"/>
  <c r="W233" i="31" s="1"/>
  <c r="T227" i="31"/>
  <c r="T221" i="31"/>
  <c r="T222" i="31" s="1"/>
  <c r="T223" i="31" s="1"/>
  <c r="T224" i="31" s="1"/>
  <c r="T225" i="31" s="1"/>
  <c r="T226" i="31" s="1"/>
  <c r="I215" i="31"/>
  <c r="K198" i="31"/>
  <c r="K234" i="31"/>
  <c r="K228" i="31"/>
  <c r="AE228" i="31"/>
  <c r="BI221" i="31"/>
  <c r="F234" i="31"/>
  <c r="F228" i="31"/>
  <c r="N234" i="31"/>
  <c r="N228" i="31"/>
  <c r="N229" i="31" s="1"/>
  <c r="N230" i="31" s="1"/>
  <c r="N231" i="31" s="1"/>
  <c r="N232" i="31" s="1"/>
  <c r="N233" i="31" s="1"/>
  <c r="H228" i="31"/>
  <c r="H234" i="31"/>
  <c r="F204" i="31"/>
  <c r="E228" i="31"/>
  <c r="E229" i="31" s="1"/>
  <c r="E230" i="31" s="1"/>
  <c r="E231" i="31" s="1"/>
  <c r="E232" i="31" s="1"/>
  <c r="E233" i="31" s="1"/>
  <c r="E234" i="31"/>
  <c r="F216" i="31"/>
  <c r="C234" i="31"/>
  <c r="C228" i="31"/>
  <c r="C229" i="31" s="1"/>
  <c r="C230" i="31" s="1"/>
  <c r="C231" i="31" s="1"/>
  <c r="C232" i="31" s="1"/>
  <c r="C233" i="31" s="1"/>
  <c r="J234" i="31"/>
  <c r="J228" i="31"/>
  <c r="H210" i="31"/>
  <c r="J216" i="31"/>
  <c r="X228" i="31"/>
  <c r="X229" i="31" s="1"/>
  <c r="X230" i="31" s="1"/>
  <c r="X231" i="31" s="1"/>
  <c r="X232" i="31" s="1"/>
  <c r="X233" i="31" s="1"/>
  <c r="X234" i="31"/>
  <c r="M228" i="31"/>
  <c r="M229" i="31" s="1"/>
  <c r="M230" i="31" s="1"/>
  <c r="M231" i="31" s="1"/>
  <c r="M232" i="31" s="1"/>
  <c r="M233" i="31" s="1"/>
  <c r="M234" i="31"/>
  <c r="G234" i="31"/>
  <c r="G228" i="31"/>
  <c r="R234" i="31"/>
  <c r="R228" i="31"/>
  <c r="R229" i="31" s="1"/>
  <c r="R230" i="31" s="1"/>
  <c r="R231" i="31" s="1"/>
  <c r="R232" i="31" s="1"/>
  <c r="R233" i="31" s="1"/>
  <c r="Q203" i="31"/>
  <c r="Q209" i="31"/>
  <c r="D234" i="31"/>
  <c r="D228" i="31"/>
  <c r="D229" i="31" s="1"/>
  <c r="D230" i="31" s="1"/>
  <c r="D231" i="31" s="1"/>
  <c r="D232" i="31" s="1"/>
  <c r="D233" i="31" s="1"/>
  <c r="P227" i="31"/>
  <c r="P221" i="31"/>
  <c r="P222" i="31" s="1"/>
  <c r="P223" i="31" s="1"/>
  <c r="P224" i="31" s="1"/>
  <c r="P225" i="31" s="1"/>
  <c r="P226" i="31" s="1"/>
  <c r="V234" i="31"/>
  <c r="V228" i="31"/>
  <c r="V229" i="31" s="1"/>
  <c r="V230" i="31" s="1"/>
  <c r="V231" i="31" s="1"/>
  <c r="V232" i="31" s="1"/>
  <c r="V233" i="31" s="1"/>
  <c r="K222" i="31"/>
  <c r="G216" i="31"/>
  <c r="U228" i="31"/>
  <c r="U229" i="31" s="1"/>
  <c r="U230" i="31" s="1"/>
  <c r="U231" i="31" s="1"/>
  <c r="U232" i="31" s="1"/>
  <c r="U233" i="31" s="1"/>
  <c r="U234" i="31"/>
  <c r="F222" i="31"/>
  <c r="H204" i="31"/>
  <c r="I191" i="31"/>
  <c r="G210" i="31"/>
  <c r="K216" i="31"/>
  <c r="S234" i="31"/>
  <c r="S228" i="31"/>
  <c r="S229" i="31" s="1"/>
  <c r="S230" i="31" s="1"/>
  <c r="S231" i="31" s="1"/>
  <c r="S232" i="31" s="1"/>
  <c r="S233" i="31" s="1"/>
  <c r="Q197" i="31"/>
  <c r="F198" i="31"/>
  <c r="F210" i="31"/>
  <c r="O234" i="31"/>
  <c r="O228" i="31"/>
  <c r="O229" i="31" s="1"/>
  <c r="O230" i="31" s="1"/>
  <c r="O231" i="31" s="1"/>
  <c r="O232" i="31" s="1"/>
  <c r="O233" i="31" s="1"/>
  <c r="Q215" i="31"/>
  <c r="J198" i="31"/>
  <c r="L234" i="31"/>
  <c r="L228" i="31"/>
  <c r="L229" i="31" s="1"/>
  <c r="L230" i="31" s="1"/>
  <c r="L231" i="31" s="1"/>
  <c r="L232" i="31" s="1"/>
  <c r="L233" i="31" s="1"/>
  <c r="G222" i="31"/>
  <c r="K204" i="31"/>
  <c r="Q191" i="31"/>
  <c r="A227" i="31"/>
  <c r="A221" i="31"/>
  <c r="A222" i="31" s="1"/>
  <c r="A223" i="31" s="1"/>
  <c r="A224" i="31" s="1"/>
  <c r="A225" i="31" s="1"/>
  <c r="A226" i="31" s="1"/>
  <c r="B234" i="31"/>
  <c r="B228" i="31"/>
  <c r="B229" i="31" s="1"/>
  <c r="B230" i="31" s="1"/>
  <c r="B231" i="31" s="1"/>
  <c r="B232" i="31" s="1"/>
  <c r="B233" i="31" s="1"/>
  <c r="Q227" i="31"/>
  <c r="Q221" i="31"/>
  <c r="G204" i="31"/>
  <c r="I209" i="31"/>
  <c r="I197" i="31"/>
  <c r="J210" i="31"/>
  <c r="G198" i="31"/>
  <c r="K210" i="31"/>
  <c r="I203" i="31"/>
  <c r="HN96" i="10"/>
  <c r="HN85" i="10"/>
  <c r="HN84" i="10"/>
  <c r="C64" i="14" s="1"/>
  <c r="HN78" i="10"/>
  <c r="C58" i="14" s="1"/>
  <c r="BF68" i="24"/>
  <c r="BZ68" i="24" s="1"/>
  <c r="HO93" i="18"/>
  <c r="C74" i="19" s="1"/>
  <c r="A28" i="23"/>
  <c r="G67" i="23"/>
  <c r="D26" i="23"/>
  <c r="CL60" i="10"/>
  <c r="CK69" i="10"/>
  <c r="CL101" i="10"/>
  <c r="CL91" i="10"/>
  <c r="CK63" i="10"/>
  <c r="CL66" i="18"/>
  <c r="H81" i="18"/>
  <c r="Q81" i="18" s="1"/>
  <c r="R81" i="18" s="1"/>
  <c r="BP63" i="24"/>
  <c r="BS63" i="24" s="1"/>
  <c r="BF70" i="24"/>
  <c r="BZ70" i="24" s="1"/>
  <c r="CK96" i="10"/>
  <c r="CJ103" i="10"/>
  <c r="Q86" i="18"/>
  <c r="AG105" i="18"/>
  <c r="AJ64" i="10"/>
  <c r="CK49" i="10"/>
  <c r="AT58" i="24"/>
  <c r="AW58" i="24" s="1"/>
  <c r="CN73" i="24"/>
  <c r="CJ63" i="10"/>
  <c r="Q105" i="18"/>
  <c r="R105" i="18" s="1"/>
  <c r="S105" i="18" s="1"/>
  <c r="T105" i="18" s="1"/>
  <c r="CK102" i="10"/>
  <c r="CK74" i="18"/>
  <c r="AL63" i="24"/>
  <c r="AO63" i="24" s="1"/>
  <c r="Q91" i="18"/>
  <c r="BB67" i="18"/>
  <c r="BE67" i="18" s="1"/>
  <c r="CJ68" i="18"/>
  <c r="H59" i="18"/>
  <c r="CL67" i="10"/>
  <c r="BI63" i="24"/>
  <c r="BK63" i="24" s="1"/>
  <c r="CN67" i="24"/>
  <c r="CN45" i="24"/>
  <c r="Q76" i="18"/>
  <c r="CK85" i="10"/>
  <c r="CK101" i="10"/>
  <c r="CK103" i="10"/>
  <c r="CK117" i="10"/>
  <c r="CL81" i="10"/>
  <c r="CD575" i="15"/>
  <c r="CK68" i="18"/>
  <c r="CL59" i="18"/>
  <c r="CJ49" i="18"/>
  <c r="Q77" i="18"/>
  <c r="AG101" i="18"/>
  <c r="CL69" i="10"/>
  <c r="BA58" i="24"/>
  <c r="BD58" i="24" s="1"/>
  <c r="BA63" i="24"/>
  <c r="BD63" i="24" s="1"/>
  <c r="AK63" i="24"/>
  <c r="AN63" i="24" s="1"/>
  <c r="AL58" i="24"/>
  <c r="AO58" i="24" s="1"/>
  <c r="AT63" i="24"/>
  <c r="AW63" i="24" s="1"/>
  <c r="AX63" i="24" s="1"/>
  <c r="BY63" i="24" s="1"/>
  <c r="AG40" i="18"/>
  <c r="CL117" i="10"/>
  <c r="CJ115" i="10"/>
  <c r="CK108" i="10"/>
  <c r="CN108" i="10" s="1"/>
  <c r="CK112" i="10"/>
  <c r="CJ113" i="10"/>
  <c r="CK81" i="10"/>
  <c r="BB63" i="24"/>
  <c r="BE63" i="24" s="1"/>
  <c r="BF63" i="24" s="1"/>
  <c r="BZ63" i="24" s="1"/>
  <c r="DC584" i="15"/>
  <c r="DE583" i="15"/>
  <c r="CL113" i="10"/>
  <c r="CL71" i="10"/>
  <c r="BO63" i="24"/>
  <c r="BR63" i="24" s="1"/>
  <c r="BJ63" i="24"/>
  <c r="BL63" i="24" s="1"/>
  <c r="CN69" i="24"/>
  <c r="BO58" i="24"/>
  <c r="BR58" i="24" s="1"/>
  <c r="CL97" i="10"/>
  <c r="CJ91" i="10"/>
  <c r="CD580" i="15"/>
  <c r="CD585" i="15"/>
  <c r="CF586" i="15"/>
  <c r="CQ586" i="15" s="1"/>
  <c r="CV586" i="15" s="1"/>
  <c r="CE586" i="15"/>
  <c r="CP586" i="15" s="1"/>
  <c r="CU586" i="15" s="1"/>
  <c r="BQ588" i="15"/>
  <c r="CL45" i="18"/>
  <c r="CJ51" i="10"/>
  <c r="CN55" i="24"/>
  <c r="EF57" i="10"/>
  <c r="BI58" i="24"/>
  <c r="BK58" i="24" s="1"/>
  <c r="BM58" i="24" s="1"/>
  <c r="CA58" i="24" s="1"/>
  <c r="AK58" i="24"/>
  <c r="AN58" i="24" s="1"/>
  <c r="BP58" i="24"/>
  <c r="BS58" i="24" s="1"/>
  <c r="AS58" i="24"/>
  <c r="AV58" i="24" s="1"/>
  <c r="AX58" i="24" s="1"/>
  <c r="BY58" i="24" s="1"/>
  <c r="BB58" i="24"/>
  <c r="BE58" i="24" s="1"/>
  <c r="BF58" i="24" s="1"/>
  <c r="BZ58" i="24" s="1"/>
  <c r="S118" i="2"/>
  <c r="AH108" i="10"/>
  <c r="H108" i="10" s="1"/>
  <c r="AH79" i="10"/>
  <c r="H79" i="10" s="1"/>
  <c r="Q79" i="10" s="1"/>
  <c r="AH114" i="10"/>
  <c r="H114" i="10" s="1"/>
  <c r="AH101" i="10"/>
  <c r="H101" i="10" s="1"/>
  <c r="Q101" i="10" s="1"/>
  <c r="AH86" i="10"/>
  <c r="H86" i="10" s="1"/>
  <c r="Q86" i="10" s="1"/>
  <c r="AH82" i="10"/>
  <c r="H82" i="10" s="1"/>
  <c r="AH75" i="10"/>
  <c r="H75" i="10" s="1"/>
  <c r="AH100" i="10"/>
  <c r="H100" i="10" s="1"/>
  <c r="AH96" i="10"/>
  <c r="H96" i="10" s="1"/>
  <c r="AH80" i="10"/>
  <c r="H80" i="10" s="1"/>
  <c r="AI103" i="10"/>
  <c r="I103" i="10" s="1"/>
  <c r="CV103" i="10" s="1"/>
  <c r="CU103" i="10" s="1"/>
  <c r="AI52" i="10"/>
  <c r="I52" i="10" s="1"/>
  <c r="CV52" i="10" s="1"/>
  <c r="AI107" i="10"/>
  <c r="I107" i="10" s="1"/>
  <c r="CV107" i="10" s="1"/>
  <c r="CU107" i="10" s="1"/>
  <c r="AI77" i="10"/>
  <c r="I77" i="10" s="1"/>
  <c r="AI53" i="10"/>
  <c r="I53" i="10" s="1"/>
  <c r="CV53" i="10" s="1"/>
  <c r="AH81" i="10"/>
  <c r="H81" i="10" s="1"/>
  <c r="AH104" i="10"/>
  <c r="H104" i="10" s="1"/>
  <c r="AI64" i="10"/>
  <c r="BI64" i="10" s="1"/>
  <c r="BK64" i="10" s="1"/>
  <c r="AH110" i="10"/>
  <c r="H110" i="10" s="1"/>
  <c r="AH90" i="10"/>
  <c r="H90" i="10" s="1"/>
  <c r="AH84" i="10"/>
  <c r="H84" i="10" s="1"/>
  <c r="Q84" i="10" s="1"/>
  <c r="AH99" i="10"/>
  <c r="H99" i="10" s="1"/>
  <c r="AH119" i="10"/>
  <c r="H119" i="10" s="1"/>
  <c r="AH72" i="10"/>
  <c r="H72" i="10" s="1"/>
  <c r="AI119" i="10"/>
  <c r="AH73" i="10"/>
  <c r="H73" i="10" s="1"/>
  <c r="AH91" i="10"/>
  <c r="H91" i="10" s="1"/>
  <c r="AH85" i="10"/>
  <c r="H85" i="10" s="1"/>
  <c r="AH113" i="10"/>
  <c r="AG113" i="10" s="1"/>
  <c r="AH76" i="10"/>
  <c r="H76" i="10" s="1"/>
  <c r="AH116" i="10"/>
  <c r="H116" i="10" s="1"/>
  <c r="AH88" i="10"/>
  <c r="H88" i="10" s="1"/>
  <c r="AH106" i="10"/>
  <c r="H106" i="10" s="1"/>
  <c r="AH94" i="10"/>
  <c r="H94" i="10" s="1"/>
  <c r="AH98" i="10"/>
  <c r="H98" i="10" s="1"/>
  <c r="AH111" i="10"/>
  <c r="H111" i="10" s="1"/>
  <c r="AH92" i="10"/>
  <c r="H92" i="10" s="1"/>
  <c r="AH117" i="10"/>
  <c r="AG117" i="10" s="1"/>
  <c r="AH97" i="10"/>
  <c r="H97" i="10" s="1"/>
  <c r="AH89" i="10"/>
  <c r="H89" i="10" s="1"/>
  <c r="AH109" i="10"/>
  <c r="AG109" i="10" s="1"/>
  <c r="AI47" i="10"/>
  <c r="I47" i="10" s="1"/>
  <c r="CV47" i="10" s="1"/>
  <c r="AI111" i="10"/>
  <c r="I111" i="10" s="1"/>
  <c r="AH105" i="10"/>
  <c r="AG105" i="10" s="1"/>
  <c r="AH95" i="10"/>
  <c r="H95" i="10" s="1"/>
  <c r="AH78" i="10"/>
  <c r="H78" i="10" s="1"/>
  <c r="AH112" i="10"/>
  <c r="H112" i="10" s="1"/>
  <c r="AH118" i="10"/>
  <c r="H118" i="10" s="1"/>
  <c r="AH102" i="10"/>
  <c r="H102" i="10" s="1"/>
  <c r="AH77" i="10"/>
  <c r="H77" i="10" s="1"/>
  <c r="AH87" i="10"/>
  <c r="H87" i="10" s="1"/>
  <c r="AH71" i="10"/>
  <c r="AG71" i="10" s="1"/>
  <c r="AH107" i="10"/>
  <c r="H107" i="10" s="1"/>
  <c r="Q107" i="10" s="1"/>
  <c r="AH83" i="10"/>
  <c r="H83" i="10" s="1"/>
  <c r="AH93" i="10"/>
  <c r="H93" i="10" s="1"/>
  <c r="AI65" i="10"/>
  <c r="I65" i="10" s="1"/>
  <c r="CV65" i="10" s="1"/>
  <c r="AH74" i="10"/>
  <c r="H74" i="10" s="1"/>
  <c r="AI115" i="10"/>
  <c r="I115" i="10" s="1"/>
  <c r="CV115" i="10" s="1"/>
  <c r="CU115" i="10" s="1"/>
  <c r="AI55" i="10"/>
  <c r="I55" i="10" s="1"/>
  <c r="CV55" i="10" s="1"/>
  <c r="CJ96" i="10"/>
  <c r="CJ75" i="10"/>
  <c r="LF74" i="24"/>
  <c r="CK94" i="10"/>
  <c r="R118" i="24"/>
  <c r="S118" i="24" s="1"/>
  <c r="T118" i="24" s="1"/>
  <c r="AJ47" i="18"/>
  <c r="BP47" i="18" s="1"/>
  <c r="BS47" i="18" s="1"/>
  <c r="R95" i="24"/>
  <c r="S95" i="24" s="1"/>
  <c r="CK59" i="18"/>
  <c r="CN59" i="18" s="1"/>
  <c r="AG73" i="18"/>
  <c r="AG76" i="18"/>
  <c r="BB61" i="24"/>
  <c r="BE61" i="24" s="1"/>
  <c r="AT61" i="24"/>
  <c r="AW61" i="24" s="1"/>
  <c r="AX61" i="24" s="1"/>
  <c r="BY61" i="24" s="1"/>
  <c r="AG109" i="18"/>
  <c r="AK61" i="24"/>
  <c r="AN61" i="24" s="1"/>
  <c r="CK91" i="10"/>
  <c r="CN91" i="10" s="1"/>
  <c r="IW140" i="18"/>
  <c r="BP61" i="24"/>
  <c r="BS61" i="24" s="1"/>
  <c r="BT61" i="24" s="1"/>
  <c r="CB61" i="24" s="1"/>
  <c r="BJ61" i="24"/>
  <c r="BL61" i="24" s="1"/>
  <c r="CL70" i="18"/>
  <c r="BT68" i="24"/>
  <c r="CB68" i="24" s="1"/>
  <c r="CK50" i="10"/>
  <c r="BO67" i="24"/>
  <c r="BR67" i="24" s="1"/>
  <c r="CN63" i="24"/>
  <c r="CJ101" i="10"/>
  <c r="CN101" i="10" s="1"/>
  <c r="BM70" i="24"/>
  <c r="CA70" i="24" s="1"/>
  <c r="S107" i="24"/>
  <c r="T107" i="24" s="1"/>
  <c r="R101" i="18"/>
  <c r="S101" i="18" s="1"/>
  <c r="T101" i="18" s="1"/>
  <c r="CN59" i="24"/>
  <c r="AX68" i="24"/>
  <c r="BY68" i="24" s="1"/>
  <c r="R82" i="24"/>
  <c r="LF82" i="24" s="1"/>
  <c r="R76" i="18"/>
  <c r="LF76" i="18" s="1"/>
  <c r="CL62" i="18"/>
  <c r="Q109" i="18"/>
  <c r="CN42" i="24"/>
  <c r="AG107" i="10"/>
  <c r="AP68" i="24"/>
  <c r="BX68" i="24" s="1"/>
  <c r="R73" i="24"/>
  <c r="S73" i="24" s="1"/>
  <c r="T73" i="24" s="1"/>
  <c r="BA51" i="24"/>
  <c r="BD51" i="24" s="1"/>
  <c r="H63" i="18"/>
  <c r="EF78" i="10"/>
  <c r="BT65" i="24"/>
  <c r="CB65" i="24" s="1"/>
  <c r="AX65" i="24"/>
  <c r="BY65" i="24" s="1"/>
  <c r="IV140" i="10"/>
  <c r="Q95" i="18"/>
  <c r="CK75" i="10"/>
  <c r="CJ69" i="10"/>
  <c r="CN69" i="10" s="1"/>
  <c r="EF60" i="10"/>
  <c r="LF83" i="24"/>
  <c r="CJ53" i="10"/>
  <c r="CL96" i="10"/>
  <c r="CN96" i="10" s="1"/>
  <c r="CK62" i="18"/>
  <c r="CL45" i="10"/>
  <c r="EF73" i="10"/>
  <c r="BT71" i="24"/>
  <c r="CB71" i="24" s="1"/>
  <c r="R91" i="24"/>
  <c r="S91" i="24" s="1"/>
  <c r="R99" i="24"/>
  <c r="S99" i="24" s="1"/>
  <c r="T99" i="24" s="1"/>
  <c r="U99" i="24" s="1"/>
  <c r="J27" i="15"/>
  <c r="AH578" i="15" s="1"/>
  <c r="AG57" i="18"/>
  <c r="AJ57" i="18"/>
  <c r="AL57" i="18" s="1"/>
  <c r="AO57" i="18" s="1"/>
  <c r="CN57" i="24"/>
  <c r="H55" i="18"/>
  <c r="AG55" i="18"/>
  <c r="BJ55" i="18"/>
  <c r="BL55" i="18" s="1"/>
  <c r="BP55" i="18"/>
  <c r="BS55" i="18" s="1"/>
  <c r="BP55" i="24"/>
  <c r="BS55" i="24" s="1"/>
  <c r="AS55" i="18"/>
  <c r="AV55" i="18" s="1"/>
  <c r="AX55" i="18" s="1"/>
  <c r="BY55" i="18" s="1"/>
  <c r="CL51" i="10"/>
  <c r="CK51" i="10"/>
  <c r="CJ50" i="10"/>
  <c r="CN49" i="24"/>
  <c r="AG48" i="10"/>
  <c r="CN46" i="24"/>
  <c r="CK45" i="10"/>
  <c r="CJ45" i="10"/>
  <c r="CK53" i="10"/>
  <c r="CN53" i="24"/>
  <c r="AK52" i="24"/>
  <c r="AN52" i="24" s="1"/>
  <c r="CL46" i="18"/>
  <c r="CK42" i="10"/>
  <c r="CL41" i="18"/>
  <c r="EF66" i="10"/>
  <c r="EF84" i="10"/>
  <c r="EF65" i="10"/>
  <c r="EF52" i="10"/>
  <c r="AS59" i="18"/>
  <c r="AL59" i="24"/>
  <c r="AO59" i="24" s="1"/>
  <c r="AP59" i="24" s="1"/>
  <c r="BX59" i="24" s="1"/>
  <c r="CN65" i="24"/>
  <c r="R106" i="24"/>
  <c r="S106" i="24" s="1"/>
  <c r="T106" i="24" s="1"/>
  <c r="U106" i="24" s="1"/>
  <c r="R102" i="24"/>
  <c r="R100" i="24"/>
  <c r="CN102" i="10"/>
  <c r="CK46" i="18"/>
  <c r="R108" i="24"/>
  <c r="R115" i="24"/>
  <c r="S115" i="24" s="1"/>
  <c r="T115" i="24" s="1"/>
  <c r="T103" i="24"/>
  <c r="U103" i="24" s="1"/>
  <c r="IG103" i="24" s="1"/>
  <c r="R75" i="24"/>
  <c r="LF75" i="24" s="1"/>
  <c r="AT66" i="24"/>
  <c r="AW66" i="24" s="1"/>
  <c r="R84" i="24"/>
  <c r="LF84" i="24" s="1"/>
  <c r="AS55" i="24"/>
  <c r="AV55" i="24" s="1"/>
  <c r="R94" i="24"/>
  <c r="S94" i="24" s="1"/>
  <c r="T94" i="24" s="1"/>
  <c r="U94" i="24" s="1"/>
  <c r="R93" i="24"/>
  <c r="S93" i="24" s="1"/>
  <c r="R77" i="24"/>
  <c r="S77" i="24" s="1"/>
  <c r="CL63" i="10"/>
  <c r="CN63" i="10" s="1"/>
  <c r="CV117" i="10"/>
  <c r="CU117" i="10" s="1"/>
  <c r="BI69" i="24"/>
  <c r="BK69" i="24" s="1"/>
  <c r="BB64" i="24"/>
  <c r="BE64" i="24" s="1"/>
  <c r="BF64" i="24" s="1"/>
  <c r="BZ64" i="24" s="1"/>
  <c r="CN61" i="24"/>
  <c r="U74" i="24"/>
  <c r="CN51" i="24"/>
  <c r="CK49" i="18"/>
  <c r="CL98" i="10"/>
  <c r="CJ98" i="10"/>
  <c r="CL90" i="10"/>
  <c r="CJ90" i="10"/>
  <c r="CK114" i="10"/>
  <c r="CJ114" i="10"/>
  <c r="CL114" i="10"/>
  <c r="CK77" i="10"/>
  <c r="CJ77" i="10"/>
  <c r="CL77" i="10"/>
  <c r="CL115" i="10"/>
  <c r="CK97" i="10"/>
  <c r="CL92" i="10"/>
  <c r="CL111" i="10"/>
  <c r="CL80" i="10"/>
  <c r="CK80" i="10"/>
  <c r="CJ80" i="10"/>
  <c r="CK89" i="10"/>
  <c r="CL89" i="10"/>
  <c r="CJ89" i="10"/>
  <c r="CL85" i="10"/>
  <c r="CL78" i="10"/>
  <c r="CK78" i="10"/>
  <c r="CJ78" i="10"/>
  <c r="AT71" i="18"/>
  <c r="AW71" i="18" s="1"/>
  <c r="IV160" i="10"/>
  <c r="AK51" i="24"/>
  <c r="AN51" i="24" s="1"/>
  <c r="R89" i="24"/>
  <c r="CN64" i="24"/>
  <c r="BA61" i="24"/>
  <c r="BD61" i="24" s="1"/>
  <c r="BI61" i="24"/>
  <c r="BK61" i="24" s="1"/>
  <c r="BM61" i="24" s="1"/>
  <c r="CA61" i="24" s="1"/>
  <c r="CN107" i="10"/>
  <c r="CL104" i="10"/>
  <c r="CK104" i="10"/>
  <c r="CJ104" i="10"/>
  <c r="CK98" i="10"/>
  <c r="CK90" i="10"/>
  <c r="CK115" i="10"/>
  <c r="CN112" i="10"/>
  <c r="CJ111" i="10"/>
  <c r="CK87" i="10"/>
  <c r="CL87" i="10"/>
  <c r="CJ87" i="10"/>
  <c r="CL106" i="10"/>
  <c r="CK106" i="10"/>
  <c r="CJ106" i="10"/>
  <c r="CJ85" i="10"/>
  <c r="CL82" i="10"/>
  <c r="CK82" i="10"/>
  <c r="CJ82" i="10"/>
  <c r="CJ57" i="18"/>
  <c r="AK55" i="18"/>
  <c r="AN55" i="18" s="1"/>
  <c r="CV109" i="10"/>
  <c r="CU109" i="10" s="1"/>
  <c r="CV105" i="10"/>
  <c r="CU105" i="10" s="1"/>
  <c r="CK60" i="10"/>
  <c r="CN60" i="10" s="1"/>
  <c r="CV113" i="10"/>
  <c r="CU113" i="10" s="1"/>
  <c r="CN66" i="24"/>
  <c r="AS51" i="24"/>
  <c r="AV51" i="24" s="1"/>
  <c r="AL64" i="24"/>
  <c r="AO64" i="24" s="1"/>
  <c r="CN43" i="24"/>
  <c r="CK116" i="10"/>
  <c r="CJ116" i="10"/>
  <c r="CL116" i="10"/>
  <c r="CK109" i="10"/>
  <c r="CJ109" i="10"/>
  <c r="CL109" i="10"/>
  <c r="CL100" i="10"/>
  <c r="CK100" i="10"/>
  <c r="CJ100" i="10"/>
  <c r="CK95" i="10"/>
  <c r="CJ95" i="10"/>
  <c r="CL95" i="10"/>
  <c r="CL86" i="10"/>
  <c r="CJ86" i="10"/>
  <c r="CL84" i="10"/>
  <c r="CK84" i="10"/>
  <c r="CJ84" i="10"/>
  <c r="CK99" i="10"/>
  <c r="CJ99" i="10"/>
  <c r="CL99" i="10"/>
  <c r="CK93" i="10"/>
  <c r="CJ93" i="10"/>
  <c r="CL93" i="10"/>
  <c r="CL79" i="10"/>
  <c r="CJ79" i="10"/>
  <c r="CK79" i="10"/>
  <c r="CL76" i="10"/>
  <c r="CK76" i="10"/>
  <c r="CJ76" i="10"/>
  <c r="CJ97" i="10"/>
  <c r="CL88" i="10"/>
  <c r="CJ88" i="10"/>
  <c r="AP63" i="24"/>
  <c r="BX63" i="24" s="1"/>
  <c r="CN60" i="24"/>
  <c r="AX70" i="24"/>
  <c r="BY70" i="24" s="1"/>
  <c r="BV70" i="24" s="1"/>
  <c r="R70" i="24" s="1"/>
  <c r="CK52" i="10"/>
  <c r="CL94" i="10"/>
  <c r="CJ94" i="10"/>
  <c r="CK110" i="10"/>
  <c r="CJ110" i="10"/>
  <c r="CL110" i="10"/>
  <c r="CJ92" i="10"/>
  <c r="CK86" i="10"/>
  <c r="CK105" i="10"/>
  <c r="CL105" i="10"/>
  <c r="CJ105" i="10"/>
  <c r="CK83" i="10"/>
  <c r="CJ83" i="10"/>
  <c r="CL83" i="10"/>
  <c r="DP40" i="10"/>
  <c r="JE38" i="10" s="1"/>
  <c r="EF40" i="10"/>
  <c r="EF58" i="10"/>
  <c r="EF68" i="10"/>
  <c r="EF70" i="10"/>
  <c r="EF69" i="10"/>
  <c r="EF74" i="10"/>
  <c r="EF46" i="10"/>
  <c r="DZ47" i="10" s="1"/>
  <c r="EF53" i="10"/>
  <c r="EF83" i="10"/>
  <c r="DG40" i="10"/>
  <c r="DN8" i="15" s="1"/>
  <c r="DL8" i="15" s="1"/>
  <c r="EF75" i="10"/>
  <c r="EF64" i="10"/>
  <c r="EF47" i="10"/>
  <c r="EF59" i="10"/>
  <c r="EF54" i="10"/>
  <c r="EF77" i="10"/>
  <c r="EF71" i="10"/>
  <c r="EF76" i="10"/>
  <c r="EF50" i="10"/>
  <c r="EF63" i="10"/>
  <c r="EF48" i="10"/>
  <c r="EF56" i="10"/>
  <c r="EF62" i="10"/>
  <c r="EF61" i="10"/>
  <c r="EF49" i="10"/>
  <c r="EF72" i="10"/>
  <c r="EF80" i="10"/>
  <c r="EF51" i="10"/>
  <c r="EF67" i="10"/>
  <c r="CL49" i="18"/>
  <c r="BB45" i="24"/>
  <c r="BE45" i="24" s="1"/>
  <c r="BB48" i="24"/>
  <c r="BE48" i="24" s="1"/>
  <c r="CK45" i="18"/>
  <c r="CJ45" i="18"/>
  <c r="AG47" i="10"/>
  <c r="CN48" i="24"/>
  <c r="BP52" i="24"/>
  <c r="BS52" i="24" s="1"/>
  <c r="AL51" i="24"/>
  <c r="AO51" i="24" s="1"/>
  <c r="BA47" i="24"/>
  <c r="BD47" i="24" s="1"/>
  <c r="BA53" i="24"/>
  <c r="BD53" i="24" s="1"/>
  <c r="AT48" i="24"/>
  <c r="AW48" i="24" s="1"/>
  <c r="CJ52" i="10"/>
  <c r="AL48" i="24"/>
  <c r="AO48" i="24" s="1"/>
  <c r="BJ52" i="24"/>
  <c r="BL52" i="24" s="1"/>
  <c r="AL53" i="24"/>
  <c r="AO53" i="24" s="1"/>
  <c r="AP53" i="24" s="1"/>
  <c r="BX53" i="24" s="1"/>
  <c r="AS52" i="24"/>
  <c r="AV52" i="24" s="1"/>
  <c r="AS53" i="24"/>
  <c r="AV53" i="24" s="1"/>
  <c r="BI48" i="24"/>
  <c r="BK48" i="24" s="1"/>
  <c r="BB52" i="24"/>
  <c r="BE52" i="24" s="1"/>
  <c r="BF52" i="24" s="1"/>
  <c r="BZ52" i="24" s="1"/>
  <c r="CN58" i="24"/>
  <c r="AS66" i="24"/>
  <c r="AV66" i="24" s="1"/>
  <c r="AK66" i="24"/>
  <c r="AN66" i="24" s="1"/>
  <c r="BI66" i="24"/>
  <c r="BK66" i="24" s="1"/>
  <c r="BF71" i="24"/>
  <c r="BZ71" i="24" s="1"/>
  <c r="BB57" i="24"/>
  <c r="BE57" i="24" s="1"/>
  <c r="BP57" i="24"/>
  <c r="BS57" i="24" s="1"/>
  <c r="BA59" i="24"/>
  <c r="BD59" i="24" s="1"/>
  <c r="BO62" i="24"/>
  <c r="BR62" i="24" s="1"/>
  <c r="AL41" i="24"/>
  <c r="AO41" i="24" s="1"/>
  <c r="AP41" i="24" s="1"/>
  <c r="BX41" i="24" s="1"/>
  <c r="BV41" i="24" s="1"/>
  <c r="AL47" i="24"/>
  <c r="AO47" i="24" s="1"/>
  <c r="BI50" i="24"/>
  <c r="BK50" i="24" s="1"/>
  <c r="BP50" i="24"/>
  <c r="BS50" i="24" s="1"/>
  <c r="BI54" i="24"/>
  <c r="BK54" i="24" s="1"/>
  <c r="BP54" i="24"/>
  <c r="BS54" i="24" s="1"/>
  <c r="R90" i="24"/>
  <c r="S90" i="24" s="1"/>
  <c r="T90" i="24" s="1"/>
  <c r="U90" i="24" s="1"/>
  <c r="R114" i="24"/>
  <c r="CN47" i="24"/>
  <c r="BO48" i="24"/>
  <c r="BR48" i="24" s="1"/>
  <c r="BT48" i="24" s="1"/>
  <c r="CB48" i="24" s="1"/>
  <c r="IW160" i="18"/>
  <c r="CL52" i="10"/>
  <c r="CL50" i="10"/>
  <c r="BI52" i="18"/>
  <c r="BK52" i="18" s="1"/>
  <c r="CL74" i="18"/>
  <c r="BO55" i="18"/>
  <c r="BR55" i="18" s="1"/>
  <c r="CJ41" i="18"/>
  <c r="T124" i="18"/>
  <c r="U124" i="18" s="1"/>
  <c r="IG124" i="18" s="1"/>
  <c r="R73" i="18"/>
  <c r="LF73" i="18" s="1"/>
  <c r="HN88" i="10"/>
  <c r="HN80" i="10"/>
  <c r="C60" i="14" s="1"/>
  <c r="CJ67" i="10"/>
  <c r="U122" i="10"/>
  <c r="HN89" i="10"/>
  <c r="BJ56" i="24"/>
  <c r="BL56" i="24" s="1"/>
  <c r="BA66" i="24"/>
  <c r="BD66" i="24" s="1"/>
  <c r="BJ66" i="24"/>
  <c r="BL66" i="24" s="1"/>
  <c r="BO57" i="24"/>
  <c r="BR57" i="24" s="1"/>
  <c r="AK57" i="24"/>
  <c r="AN57" i="24" s="1"/>
  <c r="BA57" i="24"/>
  <c r="BD57" i="24" s="1"/>
  <c r="AK62" i="24"/>
  <c r="AN62" i="24" s="1"/>
  <c r="AT50" i="24"/>
  <c r="AW50" i="24" s="1"/>
  <c r="AX50" i="24" s="1"/>
  <c r="BY50" i="24" s="1"/>
  <c r="AT54" i="24"/>
  <c r="AW54" i="24" s="1"/>
  <c r="AX54" i="24" s="1"/>
  <c r="BY54" i="24" s="1"/>
  <c r="BF65" i="24"/>
  <c r="BZ65" i="24" s="1"/>
  <c r="BJ65" i="18"/>
  <c r="BL65" i="18" s="1"/>
  <c r="AL55" i="18"/>
  <c r="AO55" i="18" s="1"/>
  <c r="BP67" i="18"/>
  <c r="BS67" i="18" s="1"/>
  <c r="CK41" i="18"/>
  <c r="BP64" i="10"/>
  <c r="BS64" i="10" s="1"/>
  <c r="CJ46" i="18"/>
  <c r="HN87" i="10"/>
  <c r="BB70" i="10"/>
  <c r="BE70" i="10" s="1"/>
  <c r="HN95" i="10"/>
  <c r="U126" i="18"/>
  <c r="BP56" i="24"/>
  <c r="BS56" i="24" s="1"/>
  <c r="BM71" i="24"/>
  <c r="CA71" i="24" s="1"/>
  <c r="AL57" i="24"/>
  <c r="AO57" i="24" s="1"/>
  <c r="BJ50" i="24"/>
  <c r="BL50" i="24" s="1"/>
  <c r="BJ54" i="24"/>
  <c r="BL54" i="24" s="1"/>
  <c r="BM68" i="24"/>
  <c r="CA68" i="24" s="1"/>
  <c r="CL53" i="10"/>
  <c r="BB52" i="18"/>
  <c r="BE52" i="18" s="1"/>
  <c r="AK70" i="10"/>
  <c r="AN70" i="10" s="1"/>
  <c r="T128" i="18"/>
  <c r="U128" i="18" s="1"/>
  <c r="IG128" i="18" s="1"/>
  <c r="HN91" i="10"/>
  <c r="R83" i="18"/>
  <c r="CK67" i="10"/>
  <c r="T129" i="10"/>
  <c r="U129" i="10" s="1"/>
  <c r="IF129" i="10" s="1"/>
  <c r="HN93" i="10"/>
  <c r="CL49" i="10"/>
  <c r="CN52" i="24"/>
  <c r="BB56" i="24"/>
  <c r="BE56" i="24" s="1"/>
  <c r="BB66" i="24"/>
  <c r="BE66" i="24" s="1"/>
  <c r="CN62" i="24"/>
  <c r="CN50" i="24"/>
  <c r="BI57" i="24"/>
  <c r="BK57" i="24" s="1"/>
  <c r="AS57" i="24"/>
  <c r="AV57" i="24" s="1"/>
  <c r="AX57" i="24" s="1"/>
  <c r="BY57" i="24" s="1"/>
  <c r="AS59" i="24"/>
  <c r="AV59" i="24" s="1"/>
  <c r="BB62" i="24"/>
  <c r="BE62" i="24" s="1"/>
  <c r="BF62" i="24" s="1"/>
  <c r="BZ62" i="24" s="1"/>
  <c r="CN56" i="24"/>
  <c r="BB50" i="24"/>
  <c r="BE50" i="24" s="1"/>
  <c r="BO50" i="24"/>
  <c r="BR50" i="24" s="1"/>
  <c r="BB54" i="24"/>
  <c r="BE54" i="24" s="1"/>
  <c r="BO54" i="24"/>
  <c r="BR54" i="24" s="1"/>
  <c r="BO64" i="24"/>
  <c r="BR64" i="24" s="1"/>
  <c r="BA48" i="24"/>
  <c r="BD48" i="24" s="1"/>
  <c r="CN70" i="24"/>
  <c r="R72" i="24"/>
  <c r="S72" i="24" s="1"/>
  <c r="T72" i="24" s="1"/>
  <c r="LO45" i="24"/>
  <c r="LS44" i="24"/>
  <c r="S111" i="2"/>
  <c r="H40" i="18"/>
  <c r="Q40" i="18" s="1"/>
  <c r="R40" i="18" s="1"/>
  <c r="BJ44" i="24"/>
  <c r="BL44" i="24" s="1"/>
  <c r="CN41" i="24"/>
  <c r="BB44" i="24"/>
  <c r="BE44" i="24" s="1"/>
  <c r="AL44" i="24"/>
  <c r="AO44" i="24" s="1"/>
  <c r="AP44" i="24" s="1"/>
  <c r="BX44" i="24" s="1"/>
  <c r="BI44" i="24"/>
  <c r="BK44" i="24" s="1"/>
  <c r="AT44" i="24"/>
  <c r="AW44" i="24" s="1"/>
  <c r="AX71" i="24"/>
  <c r="BY71" i="24" s="1"/>
  <c r="IE119" i="24"/>
  <c r="U119" i="24"/>
  <c r="S101" i="24"/>
  <c r="T101" i="24" s="1"/>
  <c r="IE83" i="24"/>
  <c r="S111" i="24"/>
  <c r="T111" i="24" s="1"/>
  <c r="S117" i="24"/>
  <c r="S112" i="24"/>
  <c r="T112" i="24" s="1"/>
  <c r="S78" i="24"/>
  <c r="T78" i="24" s="1"/>
  <c r="LF78" i="24"/>
  <c r="IG120" i="24"/>
  <c r="LF86" i="24"/>
  <c r="S86" i="24"/>
  <c r="T86" i="24" s="1"/>
  <c r="AT45" i="24"/>
  <c r="AW45" i="24" s="1"/>
  <c r="BI45" i="24"/>
  <c r="BK45" i="24" s="1"/>
  <c r="BO45" i="24"/>
  <c r="BR45" i="24" s="1"/>
  <c r="BT45" i="24" s="1"/>
  <c r="CB45" i="24" s="1"/>
  <c r="BO52" i="24"/>
  <c r="BR52" i="24" s="1"/>
  <c r="AT52" i="24"/>
  <c r="AW52" i="24" s="1"/>
  <c r="BI52" i="24"/>
  <c r="BK52" i="24" s="1"/>
  <c r="BI56" i="24"/>
  <c r="BK56" i="24" s="1"/>
  <c r="BO56" i="24"/>
  <c r="BR56" i="24" s="1"/>
  <c r="AT56" i="24"/>
  <c r="AW56" i="24" s="1"/>
  <c r="AX56" i="24" s="1"/>
  <c r="BY56" i="24" s="1"/>
  <c r="AP61" i="24"/>
  <c r="BX61" i="24" s="1"/>
  <c r="AT60" i="24"/>
  <c r="AW60" i="24" s="1"/>
  <c r="BO60" i="24"/>
  <c r="BR60" i="24" s="1"/>
  <c r="Q67" i="24"/>
  <c r="CV67" i="24"/>
  <c r="BP66" i="24"/>
  <c r="BS66" i="24" s="1"/>
  <c r="BT66" i="24" s="1"/>
  <c r="CB66" i="24" s="1"/>
  <c r="AL66" i="24"/>
  <c r="AO66" i="24" s="1"/>
  <c r="R87" i="24"/>
  <c r="IC107" i="24"/>
  <c r="LF79" i="24"/>
  <c r="S79" i="24"/>
  <c r="IE124" i="24"/>
  <c r="U124" i="24"/>
  <c r="IE127" i="24"/>
  <c r="IG126" i="24"/>
  <c r="IL126" i="24" s="1"/>
  <c r="AT43" i="24"/>
  <c r="AW43" i="24" s="1"/>
  <c r="AX43" i="24" s="1"/>
  <c r="BY43" i="24" s="1"/>
  <c r="AT46" i="24"/>
  <c r="AW46" i="24" s="1"/>
  <c r="BI46" i="24"/>
  <c r="BK46" i="24" s="1"/>
  <c r="BO46" i="24"/>
  <c r="BR46" i="24" s="1"/>
  <c r="BT46" i="24" s="1"/>
  <c r="CB46" i="24" s="1"/>
  <c r="CN40" i="24"/>
  <c r="Q54" i="24"/>
  <c r="CV54" i="24"/>
  <c r="BI49" i="24"/>
  <c r="BK49" i="24" s="1"/>
  <c r="AL49" i="24"/>
  <c r="AO49" i="24" s="1"/>
  <c r="BA49" i="24"/>
  <c r="BD49" i="24" s="1"/>
  <c r="AT55" i="24"/>
  <c r="AW55" i="24" s="1"/>
  <c r="BI55" i="24"/>
  <c r="BK55" i="24" s="1"/>
  <c r="BM55" i="24" s="1"/>
  <c r="CA55" i="24" s="1"/>
  <c r="BO55" i="24"/>
  <c r="BR55" i="24" s="1"/>
  <c r="BJ51" i="24"/>
  <c r="BL51" i="24" s="1"/>
  <c r="BM51" i="24" s="1"/>
  <c r="CA51" i="24" s="1"/>
  <c r="BP51" i="24"/>
  <c r="BS51" i="24" s="1"/>
  <c r="BB51" i="24"/>
  <c r="BE51" i="24" s="1"/>
  <c r="BJ57" i="24"/>
  <c r="BL57" i="24" s="1"/>
  <c r="BP59" i="24"/>
  <c r="BS59" i="24" s="1"/>
  <c r="BB59" i="24"/>
  <c r="BE59" i="24" s="1"/>
  <c r="BJ59" i="24"/>
  <c r="BL59" i="24" s="1"/>
  <c r="AS62" i="24"/>
  <c r="AV62" i="24" s="1"/>
  <c r="BP62" i="24"/>
  <c r="BS62" i="24" s="1"/>
  <c r="BI62" i="24"/>
  <c r="BK62" i="24" s="1"/>
  <c r="BO69" i="24"/>
  <c r="BR69" i="24" s="1"/>
  <c r="BT69" i="24" s="1"/>
  <c r="CB69" i="24" s="1"/>
  <c r="BA69" i="24"/>
  <c r="BD69" i="24" s="1"/>
  <c r="R80" i="24"/>
  <c r="IC113" i="24"/>
  <c r="S105" i="24"/>
  <c r="IC93" i="24"/>
  <c r="R116" i="24"/>
  <c r="BB47" i="24"/>
  <c r="BE47" i="24" s="1"/>
  <c r="BJ47" i="24"/>
  <c r="BL47" i="24" s="1"/>
  <c r="BP47" i="24"/>
  <c r="BS47" i="24" s="1"/>
  <c r="BP53" i="24"/>
  <c r="BS53" i="24" s="1"/>
  <c r="BB53" i="24"/>
  <c r="BE53" i="24" s="1"/>
  <c r="BJ53" i="24"/>
  <c r="BL53" i="24" s="1"/>
  <c r="AL50" i="24"/>
  <c r="AO50" i="24" s="1"/>
  <c r="BA50" i="24"/>
  <c r="BD50" i="24" s="1"/>
  <c r="AL54" i="24"/>
  <c r="AO54" i="24" s="1"/>
  <c r="BA54" i="24"/>
  <c r="BD54" i="24" s="1"/>
  <c r="AK64" i="24"/>
  <c r="AN64" i="24" s="1"/>
  <c r="AS64" i="24"/>
  <c r="AV64" i="24" s="1"/>
  <c r="BI64" i="24"/>
  <c r="BK64" i="24" s="1"/>
  <c r="AT67" i="24"/>
  <c r="AW67" i="24" s="1"/>
  <c r="AX67" i="24" s="1"/>
  <c r="BY67" i="24" s="1"/>
  <c r="BP67" i="24"/>
  <c r="BS67" i="24" s="1"/>
  <c r="BT67" i="24" s="1"/>
  <c r="CB67" i="24" s="1"/>
  <c r="CN75" i="24"/>
  <c r="S114" i="24"/>
  <c r="BA44" i="24"/>
  <c r="BD44" i="24" s="1"/>
  <c r="AS44" i="24"/>
  <c r="AV44" i="24" s="1"/>
  <c r="AK48" i="24"/>
  <c r="AN48" i="24" s="1"/>
  <c r="AS48" i="24"/>
  <c r="AV48" i="24" s="1"/>
  <c r="AL42" i="24"/>
  <c r="AO42" i="24" s="1"/>
  <c r="Q56" i="24"/>
  <c r="CV56" i="24"/>
  <c r="IC74" i="24"/>
  <c r="CN68" i="24"/>
  <c r="S82" i="24"/>
  <c r="T82" i="24" s="1"/>
  <c r="U82" i="24" s="1"/>
  <c r="R109" i="24"/>
  <c r="R92" i="24"/>
  <c r="BA45" i="24"/>
  <c r="BD45" i="24" s="1"/>
  <c r="AL45" i="24"/>
  <c r="AO45" i="24" s="1"/>
  <c r="CV43" i="24"/>
  <c r="Q43" i="24"/>
  <c r="CV47" i="24"/>
  <c r="Q47" i="24"/>
  <c r="CV48" i="24"/>
  <c r="Q48" i="24"/>
  <c r="Q50" i="24"/>
  <c r="CV50" i="24"/>
  <c r="AL52" i="24"/>
  <c r="AO52" i="24" s="1"/>
  <c r="CV55" i="24"/>
  <c r="Q55" i="24"/>
  <c r="AL56" i="24"/>
  <c r="AO56" i="24" s="1"/>
  <c r="BA56" i="24"/>
  <c r="BD56" i="24" s="1"/>
  <c r="AL60" i="24"/>
  <c r="AO60" i="24" s="1"/>
  <c r="AK60" i="24"/>
  <c r="AN60" i="24" s="1"/>
  <c r="BA60" i="24"/>
  <c r="BD60" i="24" s="1"/>
  <c r="IE128" i="24"/>
  <c r="BA43" i="24"/>
  <c r="BD43" i="24" s="1"/>
  <c r="AK43" i="24"/>
  <c r="AN43" i="24" s="1"/>
  <c r="BA46" i="24"/>
  <c r="BD46" i="24" s="1"/>
  <c r="AL46" i="24"/>
  <c r="AO46" i="24" s="1"/>
  <c r="BB49" i="24"/>
  <c r="BE49" i="24" s="1"/>
  <c r="AS49" i="24"/>
  <c r="AV49" i="24" s="1"/>
  <c r="AX49" i="24" s="1"/>
  <c r="BY49" i="24" s="1"/>
  <c r="AL55" i="24"/>
  <c r="AO55" i="24" s="1"/>
  <c r="BA55" i="24"/>
  <c r="BD55" i="24" s="1"/>
  <c r="BO51" i="24"/>
  <c r="BR51" i="24" s="1"/>
  <c r="AT51" i="24"/>
  <c r="AW51" i="24" s="1"/>
  <c r="BM63" i="24"/>
  <c r="CA63" i="24" s="1"/>
  <c r="AT59" i="24"/>
  <c r="AW59" i="24" s="1"/>
  <c r="BI59" i="24"/>
  <c r="BK59" i="24" s="1"/>
  <c r="BO59" i="24"/>
  <c r="BR59" i="24" s="1"/>
  <c r="BJ62" i="24"/>
  <c r="BL62" i="24" s="1"/>
  <c r="AL62" i="24"/>
  <c r="AO62" i="24" s="1"/>
  <c r="AT62" i="24"/>
  <c r="AW62" i="24" s="1"/>
  <c r="BB69" i="24"/>
  <c r="BE69" i="24" s="1"/>
  <c r="AK69" i="24"/>
  <c r="AN69" i="24" s="1"/>
  <c r="AL69" i="24"/>
  <c r="AO69" i="24" s="1"/>
  <c r="R76" i="24"/>
  <c r="S89" i="24"/>
  <c r="T89" i="24" s="1"/>
  <c r="U89" i="24" s="1"/>
  <c r="U113" i="24"/>
  <c r="T93" i="24"/>
  <c r="R98" i="24"/>
  <c r="AT47" i="24"/>
  <c r="AW47" i="24" s="1"/>
  <c r="AX47" i="24" s="1"/>
  <c r="BY47" i="24" s="1"/>
  <c r="BI47" i="24"/>
  <c r="BK47" i="24" s="1"/>
  <c r="BO47" i="24"/>
  <c r="BR47" i="24" s="1"/>
  <c r="CV44" i="24"/>
  <c r="Q44" i="24"/>
  <c r="AT53" i="24"/>
  <c r="AW53" i="24" s="1"/>
  <c r="BI53" i="24"/>
  <c r="BK53" i="24" s="1"/>
  <c r="BO53" i="24"/>
  <c r="BR53" i="24" s="1"/>
  <c r="AK50" i="24"/>
  <c r="AN50" i="24" s="1"/>
  <c r="AK54" i="24"/>
  <c r="AN54" i="24" s="1"/>
  <c r="CV59" i="24"/>
  <c r="Q59" i="24"/>
  <c r="BJ64" i="24"/>
  <c r="BL64" i="24" s="1"/>
  <c r="BP64" i="24"/>
  <c r="BS64" i="24" s="1"/>
  <c r="AT64" i="24"/>
  <c r="AW64" i="24" s="1"/>
  <c r="BI67" i="24"/>
  <c r="BK67" i="24" s="1"/>
  <c r="AK67" i="24"/>
  <c r="AN67" i="24" s="1"/>
  <c r="BA67" i="24"/>
  <c r="BD67" i="24" s="1"/>
  <c r="CN71" i="24"/>
  <c r="R81" i="24"/>
  <c r="R85" i="24"/>
  <c r="IC103" i="24"/>
  <c r="C5" i="24"/>
  <c r="BJ48" i="24"/>
  <c r="BL48" i="24" s="1"/>
  <c r="AS42" i="24"/>
  <c r="AV42" i="24" s="1"/>
  <c r="AX42" i="24" s="1"/>
  <c r="BY42" i="24" s="1"/>
  <c r="AK42" i="24"/>
  <c r="AN42" i="24" s="1"/>
  <c r="CV46" i="24"/>
  <c r="Q46" i="24"/>
  <c r="CV51" i="24"/>
  <c r="Q51" i="24"/>
  <c r="IG74" i="24"/>
  <c r="U127" i="24"/>
  <c r="A28" i="24"/>
  <c r="C6" i="24" s="1"/>
  <c r="CN44" i="24"/>
  <c r="AK45" i="24"/>
  <c r="AN45" i="24" s="1"/>
  <c r="AS45" i="24"/>
  <c r="AV45" i="24" s="1"/>
  <c r="AK56" i="24"/>
  <c r="AN56" i="24" s="1"/>
  <c r="CV60" i="24"/>
  <c r="Q60" i="24"/>
  <c r="AS60" i="24"/>
  <c r="AV60" i="24" s="1"/>
  <c r="BP60" i="24"/>
  <c r="BS60" i="24" s="1"/>
  <c r="LF73" i="24"/>
  <c r="S108" i="24"/>
  <c r="T108" i="24" s="1"/>
  <c r="IE131" i="24"/>
  <c r="AL43" i="24"/>
  <c r="AO43" i="24" s="1"/>
  <c r="AK46" i="24"/>
  <c r="AN46" i="24" s="1"/>
  <c r="AS46" i="24"/>
  <c r="AV46" i="24" s="1"/>
  <c r="BO49" i="24"/>
  <c r="BR49" i="24" s="1"/>
  <c r="AK49" i="24"/>
  <c r="AN49" i="24" s="1"/>
  <c r="BP49" i="24"/>
  <c r="BS49" i="24" s="1"/>
  <c r="AK55" i="24"/>
  <c r="AN55" i="24" s="1"/>
  <c r="BJ69" i="24"/>
  <c r="BL69" i="24" s="1"/>
  <c r="AS69" i="24"/>
  <c r="AV69" i="24" s="1"/>
  <c r="IE113" i="24"/>
  <c r="IE118" i="24"/>
  <c r="R40" i="24"/>
  <c r="BJ67" i="24"/>
  <c r="BL67" i="24" s="1"/>
  <c r="AL67" i="24"/>
  <c r="AO67" i="24" s="1"/>
  <c r="IC83" i="24"/>
  <c r="S102" i="24"/>
  <c r="T102" i="24" s="1"/>
  <c r="IG122" i="24"/>
  <c r="IL122" i="24" s="1"/>
  <c r="CV41" i="24"/>
  <c r="Q41" i="24"/>
  <c r="CV53" i="24"/>
  <c r="Q53" i="24"/>
  <c r="CN72" i="24"/>
  <c r="IE74" i="24"/>
  <c r="R97" i="24"/>
  <c r="R96" i="24"/>
  <c r="U128" i="24"/>
  <c r="BJ45" i="24"/>
  <c r="BL45" i="24" s="1"/>
  <c r="BI60" i="24"/>
  <c r="BK60" i="24" s="1"/>
  <c r="BM60" i="24" s="1"/>
  <c r="CA60" i="24" s="1"/>
  <c r="BB60" i="24"/>
  <c r="BE60" i="24" s="1"/>
  <c r="IE120" i="24"/>
  <c r="IL120" i="24" s="1"/>
  <c r="IG125" i="24"/>
  <c r="IL125" i="24" s="1"/>
  <c r="BB43" i="24"/>
  <c r="BE43" i="24" s="1"/>
  <c r="BB46" i="24"/>
  <c r="BE46" i="24" s="1"/>
  <c r="BJ46" i="24"/>
  <c r="BL46" i="24" s="1"/>
  <c r="FS44" i="24"/>
  <c r="EL53" i="24"/>
  <c r="BJ49" i="24"/>
  <c r="BL49" i="24" s="1"/>
  <c r="BB55" i="24"/>
  <c r="BE55" i="24" s="1"/>
  <c r="AT69" i="24"/>
  <c r="AW69" i="24" s="1"/>
  <c r="U131" i="24"/>
  <c r="AK47" i="24"/>
  <c r="AN47" i="24" s="1"/>
  <c r="CV45" i="24"/>
  <c r="Q45" i="24"/>
  <c r="CN54" i="24"/>
  <c r="CV71" i="24"/>
  <c r="Q71" i="24"/>
  <c r="BB67" i="24"/>
  <c r="BE67" i="24" s="1"/>
  <c r="U83" i="24"/>
  <c r="R110" i="24"/>
  <c r="S100" i="24"/>
  <c r="T100" i="24" s="1"/>
  <c r="U100" i="24" s="1"/>
  <c r="CV58" i="24"/>
  <c r="Q58" i="24"/>
  <c r="R88" i="24"/>
  <c r="R104" i="24"/>
  <c r="IC119" i="24"/>
  <c r="X23" i="23"/>
  <c r="C65" i="14"/>
  <c r="C61" i="14"/>
  <c r="C66" i="14"/>
  <c r="C63" i="14"/>
  <c r="IG126" i="18"/>
  <c r="CL58" i="18"/>
  <c r="CK58" i="18"/>
  <c r="CJ58" i="18"/>
  <c r="BB167" i="17"/>
  <c r="Q23" i="17"/>
  <c r="L24" i="17"/>
  <c r="AU32" i="17"/>
  <c r="H70" i="18"/>
  <c r="AJ70" i="18"/>
  <c r="AS70" i="18" s="1"/>
  <c r="AV70" i="18" s="1"/>
  <c r="H66" i="18"/>
  <c r="Q66" i="18" s="1"/>
  <c r="AJ66" i="18"/>
  <c r="AT66" i="18" s="1"/>
  <c r="AW66" i="18" s="1"/>
  <c r="H62" i="18"/>
  <c r="AJ62" i="18"/>
  <c r="AS62" i="18" s="1"/>
  <c r="AV62" i="18" s="1"/>
  <c r="CL56" i="18"/>
  <c r="CK56" i="18"/>
  <c r="CJ56" i="18"/>
  <c r="CL50" i="18"/>
  <c r="CK50" i="18"/>
  <c r="CJ50" i="18"/>
  <c r="AG119" i="18"/>
  <c r="I119" i="18"/>
  <c r="Q119" i="18" s="1"/>
  <c r="AG96" i="18"/>
  <c r="I96" i="18"/>
  <c r="Q96" i="18" s="1"/>
  <c r="AG72" i="18"/>
  <c r="I72" i="18"/>
  <c r="Q72" i="18" s="1"/>
  <c r="AG65" i="18"/>
  <c r="I65" i="18"/>
  <c r="AG52" i="18"/>
  <c r="I52" i="18"/>
  <c r="BB55" i="18"/>
  <c r="BE55" i="18" s="1"/>
  <c r="AG47" i="18"/>
  <c r="I47" i="18"/>
  <c r="I111" i="18"/>
  <c r="Q111" i="18" s="1"/>
  <c r="AG111" i="18"/>
  <c r="CJ73" i="18"/>
  <c r="CL73" i="18"/>
  <c r="CK73" i="18"/>
  <c r="CL67" i="18"/>
  <c r="CK67" i="18"/>
  <c r="CJ67" i="18"/>
  <c r="H48" i="18"/>
  <c r="AJ48" i="18"/>
  <c r="AK48" i="18" s="1"/>
  <c r="AN48" i="18" s="1"/>
  <c r="I45" i="18"/>
  <c r="AG45" i="18"/>
  <c r="I44" i="18"/>
  <c r="AG44" i="18"/>
  <c r="H42" i="18"/>
  <c r="AJ42" i="18"/>
  <c r="AS42" i="18" s="1"/>
  <c r="AV42" i="18" s="1"/>
  <c r="I116" i="18"/>
  <c r="Q116" i="18" s="1"/>
  <c r="AG116" i="18"/>
  <c r="Q106" i="18"/>
  <c r="I104" i="18"/>
  <c r="Q104" i="18" s="1"/>
  <c r="AG104" i="18"/>
  <c r="I93" i="18"/>
  <c r="Q93" i="18" s="1"/>
  <c r="AG93" i="18"/>
  <c r="I89" i="18"/>
  <c r="Q89" i="18" s="1"/>
  <c r="AG89" i="18"/>
  <c r="CV56" i="18"/>
  <c r="CL51" i="18"/>
  <c r="CK51" i="18"/>
  <c r="CJ51" i="18"/>
  <c r="I80" i="10"/>
  <c r="I68" i="10"/>
  <c r="AG68" i="10"/>
  <c r="AG58" i="10"/>
  <c r="I58" i="10"/>
  <c r="AG56" i="10"/>
  <c r="I56" i="10"/>
  <c r="AJ50" i="10"/>
  <c r="H50" i="10"/>
  <c r="Q50" i="10" s="1"/>
  <c r="W46" i="16"/>
  <c r="W47" i="16" s="1"/>
  <c r="W48" i="16" s="1"/>
  <c r="W49" i="16" s="1"/>
  <c r="W50" i="16" s="1"/>
  <c r="W51" i="16" s="1"/>
  <c r="W52" i="16"/>
  <c r="O46" i="16"/>
  <c r="O47" i="16" s="1"/>
  <c r="O48" i="16" s="1"/>
  <c r="O49" i="16" s="1"/>
  <c r="O50" i="16" s="1"/>
  <c r="O51" i="16" s="1"/>
  <c r="O52" i="16"/>
  <c r="G46" i="16"/>
  <c r="G52" i="16"/>
  <c r="LF79" i="18"/>
  <c r="S79" i="18"/>
  <c r="CL75" i="18"/>
  <c r="CJ75" i="18"/>
  <c r="CK75" i="18"/>
  <c r="CL72" i="18"/>
  <c r="CJ72" i="18"/>
  <c r="CK72" i="18"/>
  <c r="AG66" i="18"/>
  <c r="CK64" i="18"/>
  <c r="CJ53" i="18"/>
  <c r="CL53" i="18"/>
  <c r="CK53" i="18"/>
  <c r="CJ42" i="18"/>
  <c r="CL42" i="18"/>
  <c r="CK42" i="18"/>
  <c r="CJ40" i="18"/>
  <c r="CL40" i="18"/>
  <c r="CK40" i="18"/>
  <c r="M59" i="16"/>
  <c r="M53" i="16"/>
  <c r="M54" i="16" s="1"/>
  <c r="M55" i="16" s="1"/>
  <c r="M56" i="16" s="1"/>
  <c r="M57" i="16" s="1"/>
  <c r="M58" i="16" s="1"/>
  <c r="F43" i="16"/>
  <c r="T121" i="18"/>
  <c r="U121" i="18" s="1"/>
  <c r="CN71" i="18"/>
  <c r="CK70" i="18"/>
  <c r="CN70" i="18" s="1"/>
  <c r="CL69" i="18"/>
  <c r="CK69" i="18"/>
  <c r="CJ69" i="18"/>
  <c r="CV66" i="18"/>
  <c r="CJ62" i="18"/>
  <c r="CL61" i="18"/>
  <c r="CK61" i="18"/>
  <c r="CJ61" i="18"/>
  <c r="I97" i="10"/>
  <c r="I93" i="10"/>
  <c r="IC127" i="18"/>
  <c r="Q97" i="18"/>
  <c r="BA65" i="18"/>
  <c r="BD65" i="18" s="1"/>
  <c r="AK65" i="18"/>
  <c r="AN65" i="18" s="1"/>
  <c r="AS63" i="18"/>
  <c r="AV63" i="18" s="1"/>
  <c r="AK63" i="18"/>
  <c r="AN63" i="18" s="1"/>
  <c r="CV57" i="18"/>
  <c r="Q57" i="18"/>
  <c r="IE128" i="18"/>
  <c r="AG102" i="18"/>
  <c r="CV68" i="18"/>
  <c r="BI59" i="18"/>
  <c r="BK59" i="18" s="1"/>
  <c r="AL59" i="18"/>
  <c r="AO59" i="18" s="1"/>
  <c r="CV40" i="18"/>
  <c r="CL65" i="10"/>
  <c r="CK65" i="10"/>
  <c r="CJ65" i="10"/>
  <c r="AG63" i="10"/>
  <c r="H61" i="10"/>
  <c r="Q61" i="10" s="1"/>
  <c r="AJ61" i="10"/>
  <c r="BO61" i="10" s="1"/>
  <c r="BR61" i="10" s="1"/>
  <c r="IC120" i="18"/>
  <c r="Q113" i="18"/>
  <c r="AG99" i="18"/>
  <c r="Q82" i="18"/>
  <c r="IB120" i="10"/>
  <c r="IE126" i="18"/>
  <c r="AG117" i="18"/>
  <c r="AT67" i="18"/>
  <c r="AW67" i="18" s="1"/>
  <c r="BP52" i="18"/>
  <c r="BS52" i="18" s="1"/>
  <c r="BJ52" i="18"/>
  <c r="BL52" i="18" s="1"/>
  <c r="CJ74" i="10"/>
  <c r="CL74" i="10"/>
  <c r="CK74" i="10"/>
  <c r="ID128" i="10"/>
  <c r="IF122" i="10"/>
  <c r="CK71" i="10"/>
  <c r="AJ58" i="10"/>
  <c r="BI58" i="10" s="1"/>
  <c r="BK58" i="10" s="1"/>
  <c r="H58" i="10"/>
  <c r="CK55" i="10"/>
  <c r="CJ55" i="10"/>
  <c r="CL55" i="10"/>
  <c r="EL56" i="10"/>
  <c r="ID121" i="10"/>
  <c r="AG110" i="10"/>
  <c r="I110" i="10"/>
  <c r="CV71" i="10"/>
  <c r="CL66" i="10"/>
  <c r="BJ64" i="10"/>
  <c r="BL64" i="10" s="1"/>
  <c r="AG51" i="10"/>
  <c r="ID130" i="10"/>
  <c r="ID122" i="10"/>
  <c r="AG61" i="10"/>
  <c r="CK48" i="10"/>
  <c r="CJ48" i="10"/>
  <c r="CL48" i="10"/>
  <c r="AG42" i="10"/>
  <c r="I42" i="10"/>
  <c r="IB127" i="10"/>
  <c r="AT70" i="10"/>
  <c r="AW70" i="10" s="1"/>
  <c r="AS70" i="10"/>
  <c r="AV70" i="10" s="1"/>
  <c r="CK44" i="10"/>
  <c r="CL44" i="10"/>
  <c r="CJ44" i="10"/>
  <c r="FR43" i="10"/>
  <c r="BB167" i="15"/>
  <c r="CV44" i="10"/>
  <c r="K41" i="1"/>
  <c r="J869" i="8"/>
  <c r="L868" i="8"/>
  <c r="L869" i="8" s="1"/>
  <c r="AJ43" i="10"/>
  <c r="AT43" i="10" s="1"/>
  <c r="AW43" i="10" s="1"/>
  <c r="H43" i="10"/>
  <c r="Q66" i="1"/>
  <c r="Q60" i="1"/>
  <c r="A66" i="1"/>
  <c r="A60" i="1"/>
  <c r="A61" i="1" s="1"/>
  <c r="A62" i="1" s="1"/>
  <c r="A63" i="1" s="1"/>
  <c r="A64" i="1" s="1"/>
  <c r="A65" i="1" s="1"/>
  <c r="T46" i="1"/>
  <c r="T47" i="1" s="1"/>
  <c r="T48" i="1" s="1"/>
  <c r="T49" i="1" s="1"/>
  <c r="T50" i="1" s="1"/>
  <c r="T51" i="1" s="1"/>
  <c r="T52" i="1"/>
  <c r="L52" i="1"/>
  <c r="L46" i="1"/>
  <c r="L47" i="1" s="1"/>
  <c r="L48" i="1" s="1"/>
  <c r="L49" i="1" s="1"/>
  <c r="L50" i="1" s="1"/>
  <c r="L51" i="1" s="1"/>
  <c r="D46" i="1"/>
  <c r="D47" i="1" s="1"/>
  <c r="D48" i="1" s="1"/>
  <c r="D49" i="1" s="1"/>
  <c r="D50" i="1" s="1"/>
  <c r="D51" i="1" s="1"/>
  <c r="D52" i="1"/>
  <c r="J53" i="1"/>
  <c r="J59" i="1"/>
  <c r="J863" i="8"/>
  <c r="L862" i="8"/>
  <c r="L863" i="8" s="1"/>
  <c r="N59" i="1"/>
  <c r="N53" i="1"/>
  <c r="N54" i="1" s="1"/>
  <c r="N55" i="1" s="1"/>
  <c r="N56" i="1" s="1"/>
  <c r="N57" i="1" s="1"/>
  <c r="N58" i="1" s="1"/>
  <c r="G47" i="1"/>
  <c r="AU24" i="15"/>
  <c r="U66" i="1"/>
  <c r="U60" i="1"/>
  <c r="U61" i="1" s="1"/>
  <c r="U62" i="1" s="1"/>
  <c r="U63" i="1" s="1"/>
  <c r="U64" i="1" s="1"/>
  <c r="U65" i="1" s="1"/>
  <c r="E66" i="1"/>
  <c r="E60" i="1"/>
  <c r="E61" i="1" s="1"/>
  <c r="E62" i="1" s="1"/>
  <c r="E63" i="1" s="1"/>
  <c r="E64" i="1" s="1"/>
  <c r="E65" i="1" s="1"/>
  <c r="D164" i="17"/>
  <c r="D165" i="17" s="1"/>
  <c r="D166" i="17" s="1"/>
  <c r="D167" i="17" s="1"/>
  <c r="AG23" i="17"/>
  <c r="AG84" i="18"/>
  <c r="I84" i="18"/>
  <c r="Q84" i="18" s="1"/>
  <c r="CL54" i="18"/>
  <c r="CK54" i="18"/>
  <c r="CJ54" i="18"/>
  <c r="AG94" i="18"/>
  <c r="I94" i="18"/>
  <c r="Q94" i="18" s="1"/>
  <c r="AG90" i="18"/>
  <c r="I90" i="18"/>
  <c r="Q90" i="18" s="1"/>
  <c r="BR71" i="18"/>
  <c r="AG71" i="18"/>
  <c r="I71" i="18"/>
  <c r="AG63" i="18"/>
  <c r="I63" i="18"/>
  <c r="AJ60" i="18"/>
  <c r="BI60" i="18" s="1"/>
  <c r="BK60" i="18" s="1"/>
  <c r="H60" i="18"/>
  <c r="Q60" i="18" s="1"/>
  <c r="AJ56" i="18"/>
  <c r="BA56" i="18" s="1"/>
  <c r="BD56" i="18" s="1"/>
  <c r="H56" i="18"/>
  <c r="Q56" i="18" s="1"/>
  <c r="AJ50" i="18"/>
  <c r="BA50" i="18" s="1"/>
  <c r="BD50" i="18" s="1"/>
  <c r="H50" i="18"/>
  <c r="Q50" i="18" s="1"/>
  <c r="L53" i="16"/>
  <c r="L54" i="16" s="1"/>
  <c r="L55" i="16" s="1"/>
  <c r="L56" i="16" s="1"/>
  <c r="L57" i="16" s="1"/>
  <c r="L58" i="16" s="1"/>
  <c r="L59" i="16"/>
  <c r="S125" i="18"/>
  <c r="T125" i="18" s="1"/>
  <c r="I115" i="18"/>
  <c r="Q115" i="18" s="1"/>
  <c r="AG115" i="18"/>
  <c r="H69" i="18"/>
  <c r="AJ69" i="18"/>
  <c r="BJ69" i="18" s="1"/>
  <c r="BL69" i="18" s="1"/>
  <c r="AG56" i="18"/>
  <c r="I53" i="16"/>
  <c r="I59" i="16"/>
  <c r="Q110" i="18"/>
  <c r="I108" i="18"/>
  <c r="Q108" i="18" s="1"/>
  <c r="AG108" i="18"/>
  <c r="HO96" i="18"/>
  <c r="C77" i="19" s="1"/>
  <c r="HO92" i="18"/>
  <c r="C73" i="19" s="1"/>
  <c r="I87" i="18"/>
  <c r="Q87" i="18" s="1"/>
  <c r="AG87" i="18"/>
  <c r="CJ66" i="18"/>
  <c r="I62" i="18"/>
  <c r="AG62" i="18"/>
  <c r="AG54" i="18"/>
  <c r="AJ45" i="18"/>
  <c r="BA45" i="18" s="1"/>
  <c r="BD45" i="18" s="1"/>
  <c r="H45" i="18"/>
  <c r="CL44" i="18"/>
  <c r="CK44" i="18"/>
  <c r="CJ44" i="18"/>
  <c r="HS39" i="18"/>
  <c r="EV38" i="18"/>
  <c r="I81" i="10"/>
  <c r="H63" i="10"/>
  <c r="Q63" i="10" s="1"/>
  <c r="AJ63" i="10"/>
  <c r="BA63" i="10" s="1"/>
  <c r="BD63" i="10" s="1"/>
  <c r="I54" i="10"/>
  <c r="AG54" i="10"/>
  <c r="AJ51" i="10"/>
  <c r="BA51" i="10" s="1"/>
  <c r="BD51" i="10" s="1"/>
  <c r="H51" i="10"/>
  <c r="Q51" i="10" s="1"/>
  <c r="AG43" i="10"/>
  <c r="I43" i="10"/>
  <c r="P59" i="16"/>
  <c r="P53" i="16"/>
  <c r="P54" i="16" s="1"/>
  <c r="P55" i="16" s="1"/>
  <c r="P56" i="16" s="1"/>
  <c r="P57" i="16" s="1"/>
  <c r="P58" i="16" s="1"/>
  <c r="S123" i="18"/>
  <c r="T123" i="18" s="1"/>
  <c r="CV54" i="18"/>
  <c r="H51" i="18"/>
  <c r="AJ51" i="18"/>
  <c r="AT51" i="18" s="1"/>
  <c r="AW51" i="18" s="1"/>
  <c r="CV50" i="18"/>
  <c r="CL47" i="18"/>
  <c r="CJ47" i="18"/>
  <c r="CK47" i="18"/>
  <c r="V52" i="16"/>
  <c r="V46" i="16"/>
  <c r="V47" i="16" s="1"/>
  <c r="V48" i="16" s="1"/>
  <c r="V49" i="16" s="1"/>
  <c r="V50" i="16" s="1"/>
  <c r="V51" i="16" s="1"/>
  <c r="N52" i="16"/>
  <c r="N46" i="16"/>
  <c r="N47" i="16" s="1"/>
  <c r="N48" i="16" s="1"/>
  <c r="N49" i="16" s="1"/>
  <c r="N50" i="16" s="1"/>
  <c r="N51" i="16" s="1"/>
  <c r="F52" i="16"/>
  <c r="F46" i="16"/>
  <c r="CV53" i="18"/>
  <c r="EL53" i="18"/>
  <c r="I42" i="18"/>
  <c r="AG42" i="18"/>
  <c r="I100" i="10"/>
  <c r="I96" i="10"/>
  <c r="AG96" i="10"/>
  <c r="I92" i="10"/>
  <c r="AG92" i="10"/>
  <c r="I89" i="10"/>
  <c r="I85" i="10"/>
  <c r="I74" i="10"/>
  <c r="AG74" i="10"/>
  <c r="I72" i="10"/>
  <c r="H69" i="10"/>
  <c r="AJ69" i="10"/>
  <c r="AK69" i="10" s="1"/>
  <c r="AN69" i="10" s="1"/>
  <c r="T127" i="18"/>
  <c r="U127" i="18" s="1"/>
  <c r="AG88" i="18"/>
  <c r="AS65" i="18"/>
  <c r="AV65" i="18" s="1"/>
  <c r="BB65" i="18"/>
  <c r="BE65" i="18" s="1"/>
  <c r="BP63" i="18"/>
  <c r="BS63" i="18" s="1"/>
  <c r="BB63" i="18"/>
  <c r="BE63" i="18" s="1"/>
  <c r="BJ63" i="18"/>
  <c r="BL63" i="18" s="1"/>
  <c r="IC124" i="18"/>
  <c r="AG68" i="18"/>
  <c r="BA59" i="18"/>
  <c r="BD59" i="18" s="1"/>
  <c r="AK59" i="18"/>
  <c r="AN59" i="18" s="1"/>
  <c r="C62" i="14"/>
  <c r="H65" i="10"/>
  <c r="AJ65" i="10"/>
  <c r="CV63" i="10"/>
  <c r="I62" i="10"/>
  <c r="AG62" i="10"/>
  <c r="T120" i="18"/>
  <c r="AG113" i="18"/>
  <c r="Q99" i="18"/>
  <c r="AG82" i="18"/>
  <c r="BI71" i="18"/>
  <c r="BK71" i="18" s="1"/>
  <c r="U120" i="10"/>
  <c r="CJ66" i="10"/>
  <c r="IE130" i="18"/>
  <c r="IC122" i="18"/>
  <c r="AG78" i="18"/>
  <c r="AL67" i="18"/>
  <c r="AO67" i="18" s="1"/>
  <c r="AK67" i="18"/>
  <c r="AN67" i="18" s="1"/>
  <c r="AT52" i="18"/>
  <c r="AW52" i="18" s="1"/>
  <c r="BO52" i="18"/>
  <c r="BR52" i="18" s="1"/>
  <c r="AG114" i="10"/>
  <c r="I114" i="10"/>
  <c r="CL68" i="10"/>
  <c r="CJ68" i="10"/>
  <c r="CK68" i="10"/>
  <c r="CV61" i="10"/>
  <c r="CL56" i="10"/>
  <c r="CJ56" i="10"/>
  <c r="CK56" i="10"/>
  <c r="H46" i="10"/>
  <c r="Q46" i="10" s="1"/>
  <c r="AJ46" i="10"/>
  <c r="BO46" i="10" s="1"/>
  <c r="BR46" i="10" s="1"/>
  <c r="H40" i="10"/>
  <c r="AJ40" i="10"/>
  <c r="IB125" i="10"/>
  <c r="I112" i="10"/>
  <c r="AG84" i="10"/>
  <c r="AK64" i="10"/>
  <c r="AN64" i="10" s="1"/>
  <c r="CJ49" i="10"/>
  <c r="IB126" i="10"/>
  <c r="AG86" i="10"/>
  <c r="I75" i="10"/>
  <c r="CL62" i="10"/>
  <c r="AJ59" i="10"/>
  <c r="AT59" i="10" s="1"/>
  <c r="AW59" i="10" s="1"/>
  <c r="H59" i="10"/>
  <c r="I45" i="10"/>
  <c r="AG45" i="10"/>
  <c r="AJ44" i="10"/>
  <c r="AL44" i="10" s="1"/>
  <c r="AO44" i="10" s="1"/>
  <c r="H44" i="10"/>
  <c r="Q44" i="10" s="1"/>
  <c r="HR39" i="10"/>
  <c r="EU38" i="10"/>
  <c r="T127" i="10"/>
  <c r="AG102" i="10"/>
  <c r="I102" i="10"/>
  <c r="CV50" i="10"/>
  <c r="CV46" i="10"/>
  <c r="CL42" i="10"/>
  <c r="AG44" i="10"/>
  <c r="Q48" i="1"/>
  <c r="G41" i="1"/>
  <c r="J867" i="8"/>
  <c r="L866" i="8"/>
  <c r="L867" i="8" s="1"/>
  <c r="AG23" i="15"/>
  <c r="I54" i="1"/>
  <c r="W59" i="1"/>
  <c r="W53" i="1"/>
  <c r="W54" i="1" s="1"/>
  <c r="W55" i="1" s="1"/>
  <c r="W56" i="1" s="1"/>
  <c r="W57" i="1" s="1"/>
  <c r="W58" i="1" s="1"/>
  <c r="O59" i="1"/>
  <c r="O53" i="1"/>
  <c r="O54" i="1" s="1"/>
  <c r="O55" i="1" s="1"/>
  <c r="O56" i="1" s="1"/>
  <c r="O57" i="1" s="1"/>
  <c r="O58" i="1" s="1"/>
  <c r="G59" i="1"/>
  <c r="G53" i="1"/>
  <c r="O873" i="8"/>
  <c r="N872" i="8"/>
  <c r="O869" i="8"/>
  <c r="N868" i="8"/>
  <c r="O865" i="8"/>
  <c r="N864" i="8"/>
  <c r="AG80" i="18"/>
  <c r="I80" i="18"/>
  <c r="Q80" i="18" s="1"/>
  <c r="AJ68" i="18"/>
  <c r="BP68" i="18" s="1"/>
  <c r="BS68" i="18" s="1"/>
  <c r="H68" i="18"/>
  <c r="Q68" i="18" s="1"/>
  <c r="H64" i="18"/>
  <c r="Q64" i="18" s="1"/>
  <c r="AJ64" i="18"/>
  <c r="BP64" i="18" s="1"/>
  <c r="BS64" i="18" s="1"/>
  <c r="AG64" i="18"/>
  <c r="CL60" i="18"/>
  <c r="CK60" i="18"/>
  <c r="CJ60" i="18"/>
  <c r="BH23" i="17"/>
  <c r="AG100" i="18"/>
  <c r="I100" i="18"/>
  <c r="Q100" i="18" s="1"/>
  <c r="AG69" i="18"/>
  <c r="I69" i="18"/>
  <c r="AG61" i="18"/>
  <c r="I61" i="18"/>
  <c r="AG51" i="18"/>
  <c r="I51" i="18"/>
  <c r="AG48" i="18"/>
  <c r="I48" i="18"/>
  <c r="I103" i="18"/>
  <c r="Q103" i="18" s="1"/>
  <c r="AG103" i="18"/>
  <c r="I74" i="18"/>
  <c r="Q74" i="18" s="1"/>
  <c r="AG74" i="18"/>
  <c r="BA55" i="18"/>
  <c r="BD55" i="18" s="1"/>
  <c r="I43" i="18"/>
  <c r="AG43" i="18"/>
  <c r="Q118" i="18"/>
  <c r="Q114" i="18"/>
  <c r="I112" i="18"/>
  <c r="Q112" i="18" s="1"/>
  <c r="AG112" i="18"/>
  <c r="I70" i="18"/>
  <c r="AG70" i="18"/>
  <c r="CK66" i="18"/>
  <c r="CL65" i="18"/>
  <c r="CK65" i="18"/>
  <c r="CJ65" i="18"/>
  <c r="I59" i="18"/>
  <c r="AG59" i="18"/>
  <c r="AV59" i="18"/>
  <c r="I49" i="18"/>
  <c r="AG49" i="18"/>
  <c r="AJ46" i="18"/>
  <c r="BB46" i="18" s="1"/>
  <c r="BE46" i="18" s="1"/>
  <c r="H46" i="18"/>
  <c r="AJ44" i="18"/>
  <c r="BA44" i="18" s="1"/>
  <c r="BD44" i="18" s="1"/>
  <c r="H44" i="18"/>
  <c r="AJ41" i="18"/>
  <c r="AL41" i="18" s="1"/>
  <c r="AO41" i="18" s="1"/>
  <c r="H41" i="18"/>
  <c r="I76" i="10"/>
  <c r="AG76" i="10"/>
  <c r="H67" i="10"/>
  <c r="AJ67" i="10"/>
  <c r="BP67" i="10" s="1"/>
  <c r="BS67" i="10" s="1"/>
  <c r="AG59" i="10"/>
  <c r="I59" i="10"/>
  <c r="AG57" i="10"/>
  <c r="I57" i="10"/>
  <c r="AJ52" i="10"/>
  <c r="H52" i="10"/>
  <c r="H42" i="10"/>
  <c r="AJ42" i="10"/>
  <c r="AT42" i="10" s="1"/>
  <c r="AW42" i="10" s="1"/>
  <c r="H50" i="16"/>
  <c r="S52" i="16"/>
  <c r="S46" i="16"/>
  <c r="S47" i="16" s="1"/>
  <c r="S48" i="16" s="1"/>
  <c r="S49" i="16" s="1"/>
  <c r="S50" i="16" s="1"/>
  <c r="S51" i="16" s="1"/>
  <c r="K52" i="16"/>
  <c r="K46" i="16"/>
  <c r="C52" i="16"/>
  <c r="C46" i="16"/>
  <c r="C47" i="16" s="1"/>
  <c r="C48" i="16" s="1"/>
  <c r="C49" i="16" s="1"/>
  <c r="C50" i="16" s="1"/>
  <c r="C51" i="16" s="1"/>
  <c r="S131" i="18"/>
  <c r="IC121" i="18"/>
  <c r="AG95" i="18"/>
  <c r="R95" i="18" s="1"/>
  <c r="CJ74" i="18"/>
  <c r="BB57" i="18"/>
  <c r="BE57" i="18" s="1"/>
  <c r="CL52" i="18"/>
  <c r="CJ52" i="18"/>
  <c r="CK52" i="18"/>
  <c r="U59" i="16"/>
  <c r="U53" i="16"/>
  <c r="U54" i="16" s="1"/>
  <c r="U55" i="16" s="1"/>
  <c r="U56" i="16" s="1"/>
  <c r="U57" i="16" s="1"/>
  <c r="U58" i="16" s="1"/>
  <c r="E59" i="16"/>
  <c r="E53" i="16"/>
  <c r="E54" i="16" s="1"/>
  <c r="E55" i="16" s="1"/>
  <c r="E56" i="16" s="1"/>
  <c r="E57" i="16" s="1"/>
  <c r="E58" i="16" s="1"/>
  <c r="J41" i="16"/>
  <c r="AG53" i="18"/>
  <c r="CL48" i="18"/>
  <c r="CK48" i="18"/>
  <c r="CJ48" i="18"/>
  <c r="FS44" i="18"/>
  <c r="A4" i="18"/>
  <c r="C4" i="18" s="1"/>
  <c r="I99" i="10"/>
  <c r="AG99" i="10"/>
  <c r="I95" i="10"/>
  <c r="AG95" i="10"/>
  <c r="I91" i="10"/>
  <c r="AG91" i="10"/>
  <c r="I78" i="10"/>
  <c r="AG78" i="10"/>
  <c r="Q88" i="18"/>
  <c r="BP65" i="18"/>
  <c r="BS65" i="18" s="1"/>
  <c r="BI65" i="18"/>
  <c r="BK65" i="18" s="1"/>
  <c r="BO65" i="18"/>
  <c r="BR65" i="18" s="1"/>
  <c r="AT63" i="18"/>
  <c r="AW63" i="18" s="1"/>
  <c r="BI63" i="18"/>
  <c r="BK63" i="18" s="1"/>
  <c r="BO63" i="18"/>
  <c r="BR63" i="18" s="1"/>
  <c r="IC128" i="18"/>
  <c r="IL128" i="18" s="1"/>
  <c r="AG110" i="18"/>
  <c r="BB59" i="18"/>
  <c r="BE59" i="18" s="1"/>
  <c r="BJ59" i="18"/>
  <c r="BL59" i="18" s="1"/>
  <c r="BP59" i="18"/>
  <c r="BS59" i="18" s="1"/>
  <c r="ID120" i="10"/>
  <c r="CJ73" i="10"/>
  <c r="CL73" i="10"/>
  <c r="CK73" i="10"/>
  <c r="I66" i="10"/>
  <c r="AG66" i="10"/>
  <c r="CL64" i="10"/>
  <c r="CK64" i="10"/>
  <c r="CJ64" i="10"/>
  <c r="AJ54" i="10"/>
  <c r="BB54" i="10" s="1"/>
  <c r="BE54" i="10" s="1"/>
  <c r="H54" i="10"/>
  <c r="BJ71" i="18"/>
  <c r="BL71" i="18" s="1"/>
  <c r="AS71" i="18"/>
  <c r="AV71" i="18" s="1"/>
  <c r="BA71" i="18"/>
  <c r="BD71" i="18" s="1"/>
  <c r="CJ72" i="10"/>
  <c r="CL72" i="10"/>
  <c r="CK72" i="10"/>
  <c r="H66" i="10"/>
  <c r="AJ66" i="10"/>
  <c r="CJ62" i="10"/>
  <c r="U130" i="18"/>
  <c r="IC126" i="18"/>
  <c r="IL126" i="18" s="1"/>
  <c r="AG118" i="18"/>
  <c r="Q78" i="18"/>
  <c r="BA67" i="18"/>
  <c r="BD67" i="18" s="1"/>
  <c r="BF67" i="18" s="1"/>
  <c r="BZ67" i="18" s="1"/>
  <c r="BJ67" i="18"/>
  <c r="BL67" i="18" s="1"/>
  <c r="BA52" i="18"/>
  <c r="BD52" i="18" s="1"/>
  <c r="AL52" i="18"/>
  <c r="AO52" i="18" s="1"/>
  <c r="R34" i="2"/>
  <c r="C57" i="14"/>
  <c r="CL54" i="10"/>
  <c r="CK54" i="10"/>
  <c r="CJ54" i="10"/>
  <c r="I40" i="10"/>
  <c r="AG40" i="10"/>
  <c r="IF130" i="10"/>
  <c r="IB124" i="10"/>
  <c r="AG116" i="10"/>
  <c r="I116" i="10"/>
  <c r="CJ71" i="10"/>
  <c r="H60" i="10"/>
  <c r="AJ60" i="10"/>
  <c r="AK60" i="10" s="1"/>
  <c r="AN60" i="10" s="1"/>
  <c r="CL57" i="10"/>
  <c r="CJ57" i="10"/>
  <c r="CK57" i="10"/>
  <c r="AJ56" i="10"/>
  <c r="AT56" i="10" s="1"/>
  <c r="AW56" i="10" s="1"/>
  <c r="H56" i="10"/>
  <c r="CK46" i="10"/>
  <c r="CJ46" i="10"/>
  <c r="CL46" i="10"/>
  <c r="H45" i="10"/>
  <c r="AJ45" i="10"/>
  <c r="AS45" i="10" s="1"/>
  <c r="AV45" i="10" s="1"/>
  <c r="CJ40" i="10"/>
  <c r="CK40" i="10"/>
  <c r="CL40" i="10"/>
  <c r="T125" i="10"/>
  <c r="AL64" i="10"/>
  <c r="AO64" i="10" s="1"/>
  <c r="H47" i="10"/>
  <c r="AJ47" i="10"/>
  <c r="T126" i="10"/>
  <c r="AG106" i="10"/>
  <c r="I106" i="10"/>
  <c r="IB131" i="10"/>
  <c r="IB123" i="10"/>
  <c r="AG118" i="10"/>
  <c r="I118" i="10"/>
  <c r="AG104" i="10"/>
  <c r="I104" i="10"/>
  <c r="BI70" i="10"/>
  <c r="BK70" i="10" s="1"/>
  <c r="AG50" i="10"/>
  <c r="AG46" i="10"/>
  <c r="CJ42" i="10"/>
  <c r="N862" i="8"/>
  <c r="O863" i="8"/>
  <c r="J873" i="8"/>
  <c r="L872" i="8"/>
  <c r="L873" i="8" s="1"/>
  <c r="J865" i="8"/>
  <c r="L864" i="8"/>
  <c r="L865" i="8" s="1"/>
  <c r="L24" i="15"/>
  <c r="Q23" i="15"/>
  <c r="I66" i="1"/>
  <c r="I60" i="1"/>
  <c r="X46" i="1"/>
  <c r="X47" i="1" s="1"/>
  <c r="X48" i="1" s="1"/>
  <c r="X49" i="1" s="1"/>
  <c r="X50" i="1" s="1"/>
  <c r="X51" i="1" s="1"/>
  <c r="X52" i="1"/>
  <c r="P52" i="1"/>
  <c r="P46" i="1"/>
  <c r="P47" i="1" s="1"/>
  <c r="P48" i="1" s="1"/>
  <c r="P49" i="1" s="1"/>
  <c r="P50" i="1" s="1"/>
  <c r="P51" i="1" s="1"/>
  <c r="H46" i="1"/>
  <c r="H52" i="1"/>
  <c r="R59" i="1"/>
  <c r="R53" i="1"/>
  <c r="R54" i="1" s="1"/>
  <c r="R55" i="1" s="1"/>
  <c r="R56" i="1" s="1"/>
  <c r="R57" i="1" s="1"/>
  <c r="R58" i="1" s="1"/>
  <c r="B59" i="1"/>
  <c r="B53" i="1"/>
  <c r="B54" i="1" s="1"/>
  <c r="B55" i="1" s="1"/>
  <c r="B56" i="1" s="1"/>
  <c r="B57" i="1" s="1"/>
  <c r="B58" i="1" s="1"/>
  <c r="V53" i="1"/>
  <c r="V54" i="1" s="1"/>
  <c r="V55" i="1" s="1"/>
  <c r="V56" i="1" s="1"/>
  <c r="V57" i="1" s="1"/>
  <c r="V58" i="1" s="1"/>
  <c r="V59" i="1"/>
  <c r="F53" i="1"/>
  <c r="F59" i="1"/>
  <c r="K47" i="1"/>
  <c r="BH24" i="15"/>
  <c r="M66" i="1"/>
  <c r="M60" i="1"/>
  <c r="M61" i="1" s="1"/>
  <c r="M62" i="1" s="1"/>
  <c r="M63" i="1" s="1"/>
  <c r="M64" i="1" s="1"/>
  <c r="M65" i="1" s="1"/>
  <c r="AG98" i="18"/>
  <c r="I98" i="18"/>
  <c r="Q98" i="18" s="1"/>
  <c r="AG92" i="18"/>
  <c r="I92" i="18"/>
  <c r="Q92" i="18" s="1"/>
  <c r="AG75" i="18"/>
  <c r="I75" i="18"/>
  <c r="Q75" i="18" s="1"/>
  <c r="AG67" i="18"/>
  <c r="I67" i="18"/>
  <c r="AJ58" i="18"/>
  <c r="BA58" i="18" s="1"/>
  <c r="BD58" i="18" s="1"/>
  <c r="H58" i="18"/>
  <c r="Q58" i="18" s="1"/>
  <c r="AG58" i="18"/>
  <c r="AJ54" i="18"/>
  <c r="BA54" i="18" s="1"/>
  <c r="BD54" i="18" s="1"/>
  <c r="H54" i="18"/>
  <c r="Q54" i="18" s="1"/>
  <c r="T53" i="16"/>
  <c r="T54" i="16" s="1"/>
  <c r="T55" i="16" s="1"/>
  <c r="T56" i="16" s="1"/>
  <c r="T57" i="16" s="1"/>
  <c r="T58" i="16" s="1"/>
  <c r="T59" i="16"/>
  <c r="D53" i="16"/>
  <c r="D54" i="16" s="1"/>
  <c r="D55" i="16" s="1"/>
  <c r="D56" i="16" s="1"/>
  <c r="D57" i="16" s="1"/>
  <c r="D58" i="16" s="1"/>
  <c r="D59" i="16"/>
  <c r="S129" i="18"/>
  <c r="I107" i="18"/>
  <c r="Q107" i="18" s="1"/>
  <c r="AG107" i="18"/>
  <c r="I85" i="18"/>
  <c r="Q85" i="18" s="1"/>
  <c r="AG85" i="18"/>
  <c r="CV64" i="18"/>
  <c r="H61" i="18"/>
  <c r="AJ61" i="18"/>
  <c r="BA61" i="18" s="1"/>
  <c r="BD61" i="18" s="1"/>
  <c r="I46" i="18"/>
  <c r="AG46" i="18"/>
  <c r="I41" i="18"/>
  <c r="AG41" i="18"/>
  <c r="Q53" i="16"/>
  <c r="Q59" i="16"/>
  <c r="A53" i="16"/>
  <c r="A54" i="16" s="1"/>
  <c r="A55" i="16" s="1"/>
  <c r="A56" i="16" s="1"/>
  <c r="A57" i="16" s="1"/>
  <c r="A58" i="16" s="1"/>
  <c r="A59" i="16"/>
  <c r="Q102" i="18"/>
  <c r="R102" i="18" s="1"/>
  <c r="R86" i="18"/>
  <c r="CJ55" i="18"/>
  <c r="CK55" i="18"/>
  <c r="CL55" i="18"/>
  <c r="H53" i="18"/>
  <c r="Q53" i="18" s="1"/>
  <c r="AJ53" i="18"/>
  <c r="AL53" i="18" s="1"/>
  <c r="AO53" i="18" s="1"/>
  <c r="AG50" i="18"/>
  <c r="AJ43" i="18"/>
  <c r="BB43" i="18" s="1"/>
  <c r="BE43" i="18" s="1"/>
  <c r="H43" i="18"/>
  <c r="C3" i="18"/>
  <c r="AG64" i="10"/>
  <c r="AJ53" i="10"/>
  <c r="H53" i="10"/>
  <c r="AG41" i="10"/>
  <c r="I41" i="10"/>
  <c r="A27" i="10"/>
  <c r="X59" i="16"/>
  <c r="X53" i="16"/>
  <c r="X54" i="16" s="1"/>
  <c r="X55" i="16" s="1"/>
  <c r="X56" i="16" s="1"/>
  <c r="X57" i="16" s="1"/>
  <c r="X58" i="16" s="1"/>
  <c r="H59" i="16"/>
  <c r="H53" i="16"/>
  <c r="AG91" i="18"/>
  <c r="R91" i="18" s="1"/>
  <c r="CJ64" i="18"/>
  <c r="CL63" i="18"/>
  <c r="CJ63" i="18"/>
  <c r="CK63" i="18"/>
  <c r="AG60" i="18"/>
  <c r="H49" i="18"/>
  <c r="AJ49" i="18"/>
  <c r="BP49" i="18" s="1"/>
  <c r="BS49" i="18" s="1"/>
  <c r="CJ43" i="18"/>
  <c r="CL43" i="18"/>
  <c r="CK43" i="18"/>
  <c r="R46" i="16"/>
  <c r="R47" i="16" s="1"/>
  <c r="R48" i="16" s="1"/>
  <c r="R49" i="16" s="1"/>
  <c r="R50" i="16" s="1"/>
  <c r="R51" i="16" s="1"/>
  <c r="R52" i="16"/>
  <c r="J46" i="16"/>
  <c r="J52" i="16"/>
  <c r="B46" i="16"/>
  <c r="B47" i="16" s="1"/>
  <c r="B48" i="16" s="1"/>
  <c r="B49" i="16" s="1"/>
  <c r="B50" i="16" s="1"/>
  <c r="B51" i="16" s="1"/>
  <c r="B52" i="16"/>
  <c r="IX38" i="18"/>
  <c r="I98" i="10"/>
  <c r="AG98" i="10"/>
  <c r="I94" i="10"/>
  <c r="I90" i="10"/>
  <c r="I87" i="10"/>
  <c r="AG87" i="10"/>
  <c r="I83" i="10"/>
  <c r="AG83" i="10"/>
  <c r="I73" i="10"/>
  <c r="AG73" i="10"/>
  <c r="I70" i="10"/>
  <c r="AG70" i="10"/>
  <c r="AG97" i="18"/>
  <c r="AL65" i="18"/>
  <c r="AO65" i="18" s="1"/>
  <c r="AT65" i="18"/>
  <c r="AW65" i="18" s="1"/>
  <c r="BA63" i="18"/>
  <c r="BD63" i="18" s="1"/>
  <c r="AL63" i="18"/>
  <c r="AO63" i="18" s="1"/>
  <c r="Q55" i="18"/>
  <c r="CV55" i="18"/>
  <c r="IE124" i="18"/>
  <c r="AG106" i="18"/>
  <c r="R77" i="18"/>
  <c r="AT59" i="18"/>
  <c r="AW59" i="18" s="1"/>
  <c r="BO59" i="18"/>
  <c r="BR59" i="18" s="1"/>
  <c r="BI55" i="18"/>
  <c r="BK55" i="18" s="1"/>
  <c r="AG67" i="10"/>
  <c r="BA70" i="10"/>
  <c r="BD70" i="10" s="1"/>
  <c r="I67" i="10"/>
  <c r="CL61" i="10"/>
  <c r="CK61" i="10"/>
  <c r="CJ61" i="10"/>
  <c r="AJ41" i="10"/>
  <c r="AK41" i="10" s="1"/>
  <c r="AN41" i="10" s="1"/>
  <c r="H41" i="10"/>
  <c r="C4" i="10"/>
  <c r="U120" i="18"/>
  <c r="AG114" i="18"/>
  <c r="LF83" i="18"/>
  <c r="S83" i="18"/>
  <c r="BB71" i="18"/>
  <c r="BE71" i="18" s="1"/>
  <c r="BP71" i="18"/>
  <c r="BS71" i="18" s="1"/>
  <c r="CL57" i="18"/>
  <c r="X21" i="2"/>
  <c r="H62" i="10"/>
  <c r="AJ62" i="10"/>
  <c r="BJ62" i="10" s="1"/>
  <c r="BL62" i="10" s="1"/>
  <c r="IC130" i="18"/>
  <c r="T122" i="18"/>
  <c r="Q117" i="18"/>
  <c r="AS67" i="18"/>
  <c r="AV67" i="18" s="1"/>
  <c r="BI67" i="18"/>
  <c r="BK67" i="18" s="1"/>
  <c r="BO67" i="18"/>
  <c r="BR67" i="18" s="1"/>
  <c r="AS52" i="18"/>
  <c r="AV52" i="18" s="1"/>
  <c r="AK52" i="18"/>
  <c r="AN52" i="18" s="1"/>
  <c r="HN79" i="10"/>
  <c r="BJ71" i="10"/>
  <c r="BL71" i="10" s="1"/>
  <c r="BI71" i="10"/>
  <c r="BK71" i="10" s="1"/>
  <c r="CJ70" i="10"/>
  <c r="CL70" i="10"/>
  <c r="CK70" i="10"/>
  <c r="CL41" i="10"/>
  <c r="CK41" i="10"/>
  <c r="CJ41" i="10"/>
  <c r="IB128" i="10"/>
  <c r="U128" i="10"/>
  <c r="T124" i="10"/>
  <c r="U124" i="10" s="1"/>
  <c r="H103" i="10"/>
  <c r="I88" i="10"/>
  <c r="CN75" i="10"/>
  <c r="AJ68" i="10"/>
  <c r="BP68" i="10" s="1"/>
  <c r="BS68" i="10" s="1"/>
  <c r="H68" i="10"/>
  <c r="CL58" i="10"/>
  <c r="CJ58" i="10"/>
  <c r="CK58" i="10"/>
  <c r="AJ57" i="10"/>
  <c r="H57" i="10"/>
  <c r="H55" i="10"/>
  <c r="AJ55" i="10"/>
  <c r="H49" i="10"/>
  <c r="AJ49" i="10"/>
  <c r="BJ49" i="10" s="1"/>
  <c r="BL49" i="10" s="1"/>
  <c r="IB129" i="10"/>
  <c r="IB121" i="10"/>
  <c r="H115" i="10"/>
  <c r="BO64" i="10"/>
  <c r="BR64" i="10" s="1"/>
  <c r="AT64" i="10"/>
  <c r="AW64" i="10" s="1"/>
  <c r="CV51" i="10"/>
  <c r="CV48" i="10"/>
  <c r="CK47" i="10"/>
  <c r="CJ47" i="10"/>
  <c r="CL47" i="10"/>
  <c r="IB130" i="10"/>
  <c r="IB122" i="10"/>
  <c r="AG108" i="10"/>
  <c r="I108" i="10"/>
  <c r="AG60" i="10"/>
  <c r="I60" i="10"/>
  <c r="CL59" i="10"/>
  <c r="CJ59" i="10"/>
  <c r="CK59" i="10"/>
  <c r="I49" i="10"/>
  <c r="AG49" i="10"/>
  <c r="H48" i="10"/>
  <c r="Q48" i="10" s="1"/>
  <c r="AJ48" i="10"/>
  <c r="BJ48" i="10" s="1"/>
  <c r="BL48" i="10" s="1"/>
  <c r="T131" i="10"/>
  <c r="T123" i="10"/>
  <c r="AG82" i="10"/>
  <c r="I82" i="10"/>
  <c r="BJ70" i="10"/>
  <c r="BL70" i="10" s="1"/>
  <c r="AL70" i="10"/>
  <c r="AO70" i="10" s="1"/>
  <c r="AG69" i="10"/>
  <c r="I69" i="10"/>
  <c r="U121" i="10"/>
  <c r="D164" i="15"/>
  <c r="D165" i="15" s="1"/>
  <c r="D166" i="15" s="1"/>
  <c r="D167" i="15" s="1"/>
  <c r="D168" i="15" s="1"/>
  <c r="D169" i="15" s="1"/>
  <c r="D170" i="15" s="1"/>
  <c r="D171" i="15" s="1"/>
  <c r="D172" i="15" s="1"/>
  <c r="D173" i="15" s="1"/>
  <c r="D174" i="15" s="1"/>
  <c r="D175" i="15" s="1"/>
  <c r="D176" i="15" s="1"/>
  <c r="D177" i="15" s="1"/>
  <c r="D178" i="15" s="1"/>
  <c r="D179" i="15" s="1"/>
  <c r="D180" i="15" s="1"/>
  <c r="D181" i="15" s="1"/>
  <c r="D182" i="15" s="1"/>
  <c r="D183" i="15" s="1"/>
  <c r="D184" i="15" s="1"/>
  <c r="D185" i="15" s="1"/>
  <c r="D186" i="15" s="1"/>
  <c r="D187" i="15" s="1"/>
  <c r="D188" i="15" s="1"/>
  <c r="D189" i="15" s="1"/>
  <c r="D190" i="15" s="1"/>
  <c r="D191" i="15" s="1"/>
  <c r="D192" i="15" s="1"/>
  <c r="D193" i="15" s="1"/>
  <c r="D194" i="15" s="1"/>
  <c r="D195" i="15" s="1"/>
  <c r="D196" i="15" s="1"/>
  <c r="D197" i="15" s="1"/>
  <c r="D198" i="15" s="1"/>
  <c r="D199" i="15" s="1"/>
  <c r="D200" i="15" s="1"/>
  <c r="D201" i="15" s="1"/>
  <c r="D202" i="15" s="1"/>
  <c r="D203" i="15" s="1"/>
  <c r="D204" i="15" s="1"/>
  <c r="D205" i="15" s="1"/>
  <c r="D206" i="15" s="1"/>
  <c r="I48" i="1"/>
  <c r="J871" i="8"/>
  <c r="L870" i="8"/>
  <c r="L871" i="8" s="1"/>
  <c r="J861" i="8"/>
  <c r="L860" i="8"/>
  <c r="L861" i="8" s="1"/>
  <c r="CJ43" i="10"/>
  <c r="CK43" i="10"/>
  <c r="CL43" i="10"/>
  <c r="Q54" i="1"/>
  <c r="O861" i="8"/>
  <c r="N860" i="8"/>
  <c r="S59" i="1"/>
  <c r="S53" i="1"/>
  <c r="S54" i="1" s="1"/>
  <c r="S55" i="1" s="1"/>
  <c r="S56" i="1" s="1"/>
  <c r="S57" i="1" s="1"/>
  <c r="S58" i="1" s="1"/>
  <c r="K59" i="1"/>
  <c r="K53" i="1"/>
  <c r="C59" i="1"/>
  <c r="C53" i="1"/>
  <c r="C54" i="1" s="1"/>
  <c r="C55" i="1" s="1"/>
  <c r="C56" i="1" s="1"/>
  <c r="C57" i="1" s="1"/>
  <c r="C58" i="1" s="1"/>
  <c r="O871" i="8"/>
  <c r="N870" i="8"/>
  <c r="O867" i="8"/>
  <c r="N866" i="8"/>
  <c r="DD52" i="32" a="1"/>
  <c r="DD51" i="32" a="1"/>
  <c r="AF197" i="31"/>
  <c r="AJ215" i="31"/>
  <c r="AF214" i="31"/>
  <c r="AI214" i="31"/>
  <c r="AK209" i="31"/>
  <c r="AG214" i="31"/>
  <c r="AB227" i="31"/>
  <c r="AJ220" i="31"/>
  <c r="AK214" i="31"/>
  <c r="AK198" i="31"/>
  <c r="AH209" i="31"/>
  <c r="AJ198" i="31"/>
  <c r="AQ214" i="31"/>
  <c r="AF227" i="31"/>
  <c r="AJ214" i="31"/>
  <c r="AK197" i="31"/>
  <c r="AH198" i="31"/>
  <c r="AF209" i="31"/>
  <c r="AQ202" i="31"/>
  <c r="AF215" i="31"/>
  <c r="AJ203" i="31"/>
  <c r="AI190" i="31"/>
  <c r="AJ209" i="31"/>
  <c r="AQ220" i="31"/>
  <c r="CH588" i="15"/>
  <c r="AG203" i="31"/>
  <c r="AO23" i="15"/>
  <c r="AH215" i="31"/>
  <c r="AF203" i="31"/>
  <c r="AK203" i="31"/>
  <c r="AI220" i="31"/>
  <c r="AG198" i="31"/>
  <c r="AI208" i="31"/>
  <c r="BZ587" i="15"/>
  <c r="AG197" i="31"/>
  <c r="AG215" i="31"/>
  <c r="AH203" i="31"/>
  <c r="AI191" i="31"/>
  <c r="AK215" i="31"/>
  <c r="BV586" i="15"/>
  <c r="AH220" i="31"/>
  <c r="AI202" i="31"/>
  <c r="AQ208" i="31"/>
  <c r="AQ196" i="31"/>
  <c r="AG209" i="31"/>
  <c r="AQ191" i="31"/>
  <c r="BY587" i="15"/>
  <c r="AH214" i="31"/>
  <c r="AF198" i="31"/>
  <c r="AJ197" i="31"/>
  <c r="AI196" i="31"/>
  <c r="AQ190" i="31"/>
  <c r="AH197" i="31"/>
  <c r="IL124" i="18" l="1"/>
  <c r="DD51" i="32"/>
  <c r="DD52" i="32"/>
  <c r="AK47" i="10"/>
  <c r="AN47" i="10" s="1"/>
  <c r="AS47" i="18"/>
  <c r="AV47" i="18" s="1"/>
  <c r="BB47" i="18"/>
  <c r="BE47" i="18" s="1"/>
  <c r="AL47" i="18"/>
  <c r="AO47" i="18" s="1"/>
  <c r="BA50" i="10"/>
  <c r="BD50" i="10" s="1"/>
  <c r="C56" i="34"/>
  <c r="C56" i="36"/>
  <c r="C45" i="34"/>
  <c r="C45" i="36"/>
  <c r="C60" i="34"/>
  <c r="C60" i="36"/>
  <c r="C51" i="34"/>
  <c r="C51" i="36"/>
  <c r="C63" i="34"/>
  <c r="C63" i="36"/>
  <c r="C50" i="34"/>
  <c r="C50" i="36"/>
  <c r="C43" i="34"/>
  <c r="C43" i="36"/>
  <c r="C41" i="34"/>
  <c r="C41" i="36"/>
  <c r="C61" i="34"/>
  <c r="C61" i="36"/>
  <c r="C55" i="34"/>
  <c r="C55" i="36"/>
  <c r="C46" i="34"/>
  <c r="C46" i="36"/>
  <c r="C44" i="34"/>
  <c r="C44" i="36"/>
  <c r="C57" i="34"/>
  <c r="C57" i="36"/>
  <c r="C59" i="34"/>
  <c r="C59" i="36"/>
  <c r="C49" i="34"/>
  <c r="C49" i="36"/>
  <c r="C47" i="34"/>
  <c r="C47" i="36"/>
  <c r="C62" i="34"/>
  <c r="C62" i="36"/>
  <c r="C42" i="34"/>
  <c r="C42" i="36"/>
  <c r="C54" i="34"/>
  <c r="C54" i="36"/>
  <c r="BL57" i="32"/>
  <c r="BL41" i="32"/>
  <c r="BJ19" i="32"/>
  <c r="BL19" i="32" s="1"/>
  <c r="BL42" i="32"/>
  <c r="BL51" i="32"/>
  <c r="BL52" i="32"/>
  <c r="CA61" i="32"/>
  <c r="BL60" i="32"/>
  <c r="CA55" i="32"/>
  <c r="BL54" i="32"/>
  <c r="BA47" i="18"/>
  <c r="BD47" i="18" s="1"/>
  <c r="AB222" i="31"/>
  <c r="BG220" i="31"/>
  <c r="BG202" i="31"/>
  <c r="BG190" i="31"/>
  <c r="BG214" i="31"/>
  <c r="BG208" i="31"/>
  <c r="BG196" i="31"/>
  <c r="BG191" i="31"/>
  <c r="AB228" i="31"/>
  <c r="AB229" i="31" s="1"/>
  <c r="AB230" i="31" s="1"/>
  <c r="AB231" i="31" s="1"/>
  <c r="AB232" i="31" s="1"/>
  <c r="AB233" i="31" s="1"/>
  <c r="K211" i="31"/>
  <c r="G223" i="31"/>
  <c r="O235" i="31"/>
  <c r="O236" i="31" s="1"/>
  <c r="O237" i="31" s="1"/>
  <c r="O238" i="31" s="1"/>
  <c r="O239" i="31" s="1"/>
  <c r="O240" i="31" s="1"/>
  <c r="O241" i="31"/>
  <c r="S235" i="31"/>
  <c r="S236" i="31" s="1"/>
  <c r="S237" i="31" s="1"/>
  <c r="S238" i="31" s="1"/>
  <c r="S239" i="31" s="1"/>
  <c r="S240" i="31" s="1"/>
  <c r="S241" i="31"/>
  <c r="G211" i="31"/>
  <c r="K223" i="31"/>
  <c r="P228" i="31"/>
  <c r="P229" i="31" s="1"/>
  <c r="P230" i="31" s="1"/>
  <c r="P231" i="31" s="1"/>
  <c r="P232" i="31" s="1"/>
  <c r="P233" i="31" s="1"/>
  <c r="P234" i="31"/>
  <c r="R241" i="31"/>
  <c r="R235" i="31"/>
  <c r="R236" i="31" s="1"/>
  <c r="R237" i="31" s="1"/>
  <c r="R238" i="31" s="1"/>
  <c r="R239" i="31" s="1"/>
  <c r="R240" i="31" s="1"/>
  <c r="E241" i="31"/>
  <c r="E235" i="31"/>
  <c r="E236" i="31" s="1"/>
  <c r="E237" i="31" s="1"/>
  <c r="E238" i="31" s="1"/>
  <c r="E239" i="31" s="1"/>
  <c r="E240" i="31" s="1"/>
  <c r="F241" i="31"/>
  <c r="F235" i="31"/>
  <c r="J211" i="31"/>
  <c r="I210" i="31"/>
  <c r="K205" i="31"/>
  <c r="J217" i="31"/>
  <c r="J229" i="31"/>
  <c r="C235" i="31"/>
  <c r="C236" i="31" s="1"/>
  <c r="C237" i="31" s="1"/>
  <c r="C238" i="31" s="1"/>
  <c r="C239" i="31" s="1"/>
  <c r="C240" i="31" s="1"/>
  <c r="C241" i="31"/>
  <c r="H235" i="31"/>
  <c r="H241" i="31"/>
  <c r="K229" i="31"/>
  <c r="H217" i="31"/>
  <c r="N241" i="31"/>
  <c r="N235" i="31"/>
  <c r="N236" i="31" s="1"/>
  <c r="N237" i="31" s="1"/>
  <c r="N238" i="31" s="1"/>
  <c r="N239" i="31" s="1"/>
  <c r="N240" i="31" s="1"/>
  <c r="T234" i="31"/>
  <c r="T228" i="31"/>
  <c r="T229" i="31" s="1"/>
  <c r="T230" i="31" s="1"/>
  <c r="T231" i="31" s="1"/>
  <c r="T232" i="31" s="1"/>
  <c r="T233" i="31" s="1"/>
  <c r="J223" i="31"/>
  <c r="I228" i="31"/>
  <c r="I234" i="31"/>
  <c r="I204" i="31"/>
  <c r="Q222" i="31"/>
  <c r="B241" i="31"/>
  <c r="B235" i="31"/>
  <c r="B236" i="31" s="1"/>
  <c r="B237" i="31" s="1"/>
  <c r="B238" i="31" s="1"/>
  <c r="B239" i="31" s="1"/>
  <c r="B240" i="31" s="1"/>
  <c r="L241" i="31"/>
  <c r="L235" i="31"/>
  <c r="L236" i="31" s="1"/>
  <c r="L237" i="31" s="1"/>
  <c r="L238" i="31" s="1"/>
  <c r="L239" i="31" s="1"/>
  <c r="L240" i="31" s="1"/>
  <c r="Q216" i="31"/>
  <c r="F211" i="31"/>
  <c r="Q198" i="31"/>
  <c r="K217" i="31"/>
  <c r="F223" i="31"/>
  <c r="G217" i="31"/>
  <c r="V241" i="31"/>
  <c r="V235" i="31"/>
  <c r="V236" i="31" s="1"/>
  <c r="V237" i="31" s="1"/>
  <c r="V238" i="31" s="1"/>
  <c r="V239" i="31" s="1"/>
  <c r="V240" i="31" s="1"/>
  <c r="D241" i="31"/>
  <c r="D235" i="31"/>
  <c r="D236" i="31" s="1"/>
  <c r="D237" i="31" s="1"/>
  <c r="D238" i="31" s="1"/>
  <c r="D239" i="31" s="1"/>
  <c r="D240" i="31" s="1"/>
  <c r="Q204" i="31"/>
  <c r="G229" i="31"/>
  <c r="X235" i="31"/>
  <c r="X236" i="31" s="1"/>
  <c r="X237" i="31" s="1"/>
  <c r="X238" i="31" s="1"/>
  <c r="X239" i="31" s="1"/>
  <c r="X240" i="31" s="1"/>
  <c r="X241" i="31"/>
  <c r="J241" i="31"/>
  <c r="J235" i="31"/>
  <c r="H229" i="31"/>
  <c r="AE235" i="31"/>
  <c r="BI228" i="31"/>
  <c r="K235" i="31"/>
  <c r="K241" i="31"/>
  <c r="I216" i="31"/>
  <c r="W235" i="31"/>
  <c r="W236" i="31" s="1"/>
  <c r="W237" i="31" s="1"/>
  <c r="W238" i="31" s="1"/>
  <c r="W239" i="31" s="1"/>
  <c r="W240" i="31" s="1"/>
  <c r="W241" i="31"/>
  <c r="A228" i="31"/>
  <c r="A229" i="31" s="1"/>
  <c r="A230" i="31" s="1"/>
  <c r="A231" i="31" s="1"/>
  <c r="A232" i="31" s="1"/>
  <c r="A233" i="31" s="1"/>
  <c r="A234" i="31"/>
  <c r="H205" i="31"/>
  <c r="Q210" i="31"/>
  <c r="M241" i="31"/>
  <c r="M235" i="31"/>
  <c r="M236" i="31" s="1"/>
  <c r="M237" i="31" s="1"/>
  <c r="M238" i="31" s="1"/>
  <c r="M239" i="31" s="1"/>
  <c r="M240" i="31" s="1"/>
  <c r="I198" i="31"/>
  <c r="G205" i="31"/>
  <c r="Q228" i="31"/>
  <c r="Q234" i="31"/>
  <c r="U241" i="31"/>
  <c r="U235" i="31"/>
  <c r="U236" i="31" s="1"/>
  <c r="U237" i="31" s="1"/>
  <c r="U238" i="31" s="1"/>
  <c r="U239" i="31" s="1"/>
  <c r="U240" i="31" s="1"/>
  <c r="G235" i="31"/>
  <c r="G241" i="31"/>
  <c r="H211" i="31"/>
  <c r="F217" i="31"/>
  <c r="F205" i="31"/>
  <c r="F229" i="31"/>
  <c r="H223" i="31"/>
  <c r="J205" i="31"/>
  <c r="I222" i="31"/>
  <c r="A29" i="23"/>
  <c r="G68" i="23"/>
  <c r="AK47" i="18"/>
  <c r="AN47" i="18" s="1"/>
  <c r="BO47" i="18"/>
  <c r="BR47" i="18" s="1"/>
  <c r="BT47" i="18" s="1"/>
  <c r="CB47" i="18" s="1"/>
  <c r="CN81" i="10"/>
  <c r="BT58" i="24"/>
  <c r="CB58" i="24" s="1"/>
  <c r="BT63" i="24"/>
  <c r="CB63" i="24" s="1"/>
  <c r="AP58" i="24"/>
  <c r="BX58" i="24" s="1"/>
  <c r="CN103" i="10"/>
  <c r="CN68" i="18"/>
  <c r="LF81" i="18"/>
  <c r="S81" i="18"/>
  <c r="T81" i="18" s="1"/>
  <c r="AT57" i="10"/>
  <c r="AW57" i="10" s="1"/>
  <c r="AG103" i="10"/>
  <c r="BJ55" i="10"/>
  <c r="BL55" i="10" s="1"/>
  <c r="AG75" i="10"/>
  <c r="AG55" i="10"/>
  <c r="AG97" i="10"/>
  <c r="CN49" i="10"/>
  <c r="AG112" i="10"/>
  <c r="AG53" i="10"/>
  <c r="IC118" i="24"/>
  <c r="BV68" i="24"/>
  <c r="R68" i="24" s="1"/>
  <c r="BT55" i="18"/>
  <c r="CB55" i="18" s="1"/>
  <c r="CN113" i="10"/>
  <c r="CN117" i="10"/>
  <c r="BA64" i="10"/>
  <c r="BD64" i="10" s="1"/>
  <c r="BA71" i="10"/>
  <c r="BD71" i="10" s="1"/>
  <c r="AG77" i="10"/>
  <c r="BB64" i="10"/>
  <c r="BE64" i="10" s="1"/>
  <c r="AG79" i="10"/>
  <c r="AG80" i="10"/>
  <c r="BT64" i="24"/>
  <c r="CB64" i="24" s="1"/>
  <c r="AP51" i="24"/>
  <c r="BX51" i="24" s="1"/>
  <c r="AG115" i="10"/>
  <c r="BP71" i="10"/>
  <c r="BS71" i="10" s="1"/>
  <c r="AG94" i="10"/>
  <c r="I64" i="10"/>
  <c r="Q64" i="10" s="1"/>
  <c r="AS64" i="10"/>
  <c r="AV64" i="10" s="1"/>
  <c r="CN74" i="18"/>
  <c r="BA52" i="10"/>
  <c r="BD52" i="10" s="1"/>
  <c r="S75" i="24"/>
  <c r="T75" i="24" s="1"/>
  <c r="U75" i="24" s="1"/>
  <c r="IG75" i="24" s="1"/>
  <c r="S84" i="24"/>
  <c r="U118" i="24"/>
  <c r="IG118" i="24" s="1"/>
  <c r="DC585" i="15"/>
  <c r="DE584" i="15"/>
  <c r="CE587" i="15"/>
  <c r="CP587" i="15" s="1"/>
  <c r="CU587" i="15" s="1"/>
  <c r="CF587" i="15"/>
  <c r="CQ587" i="15" s="1"/>
  <c r="CV587" i="15" s="1"/>
  <c r="BQ589" i="15"/>
  <c r="AG52" i="10"/>
  <c r="AT47" i="18"/>
  <c r="AW47" i="18" s="1"/>
  <c r="AX47" i="18" s="1"/>
  <c r="BY47" i="18" s="1"/>
  <c r="BI47" i="18"/>
  <c r="BK47" i="18" s="1"/>
  <c r="AT53" i="10"/>
  <c r="AW53" i="10" s="1"/>
  <c r="BJ47" i="18"/>
  <c r="BL47" i="18" s="1"/>
  <c r="AX59" i="24"/>
  <c r="BY59" i="24" s="1"/>
  <c r="AG93" i="10"/>
  <c r="AG119" i="10"/>
  <c r="BO70" i="10"/>
  <c r="BR70" i="10" s="1"/>
  <c r="AG88" i="10"/>
  <c r="BB71" i="10"/>
  <c r="BE71" i="10" s="1"/>
  <c r="BF71" i="10" s="1"/>
  <c r="BZ71" i="10" s="1"/>
  <c r="H71" i="10"/>
  <c r="Q71" i="10" s="1"/>
  <c r="BO71" i="10"/>
  <c r="BR71" i="10" s="1"/>
  <c r="AG101" i="10"/>
  <c r="R101" i="10" s="1"/>
  <c r="CS101" i="10" s="1"/>
  <c r="AL66" i="10"/>
  <c r="AO66" i="10" s="1"/>
  <c r="BP70" i="10"/>
  <c r="BS70" i="10" s="1"/>
  <c r="AG65" i="10"/>
  <c r="BO65" i="10"/>
  <c r="BR65" i="10" s="1"/>
  <c r="AG89" i="10"/>
  <c r="AG81" i="10"/>
  <c r="AS71" i="10"/>
  <c r="AV71" i="10" s="1"/>
  <c r="AT71" i="10"/>
  <c r="AW71" i="10" s="1"/>
  <c r="AG90" i="10"/>
  <c r="AG111" i="10"/>
  <c r="AG72" i="10"/>
  <c r="AG85" i="10"/>
  <c r="AG100" i="10"/>
  <c r="Q115" i="10"/>
  <c r="Q65" i="10"/>
  <c r="R79" i="10"/>
  <c r="CS79" i="10" s="1"/>
  <c r="CV111" i="10"/>
  <c r="CU111" i="10" s="1"/>
  <c r="Q111" i="10"/>
  <c r="R111" i="10" s="1"/>
  <c r="CV77" i="10"/>
  <c r="Q77" i="10"/>
  <c r="Q55" i="10"/>
  <c r="Q53" i="10"/>
  <c r="Q118" i="10"/>
  <c r="Q47" i="10"/>
  <c r="Q103" i="10"/>
  <c r="R103" i="10" s="1"/>
  <c r="Q52" i="10"/>
  <c r="R107" i="10"/>
  <c r="CS107" i="10" s="1"/>
  <c r="H105" i="10"/>
  <c r="Q105" i="10" s="1"/>
  <c r="R105" i="10" s="1"/>
  <c r="CS105" i="10" s="1"/>
  <c r="H117" i="10"/>
  <c r="Q117" i="10" s="1"/>
  <c r="R117" i="10" s="1"/>
  <c r="CS117" i="10" s="1"/>
  <c r="H109" i="10"/>
  <c r="Q109" i="10" s="1"/>
  <c r="R109" i="10" s="1"/>
  <c r="CS109" i="10" s="1"/>
  <c r="H113" i="10"/>
  <c r="Q113" i="10" s="1"/>
  <c r="R113" i="10" s="1"/>
  <c r="CS113" i="10" s="1"/>
  <c r="I119" i="10"/>
  <c r="Q119" i="10" s="1"/>
  <c r="ID129" i="10"/>
  <c r="U107" i="24"/>
  <c r="IG107" i="24" s="1"/>
  <c r="IE107" i="24"/>
  <c r="IL118" i="24"/>
  <c r="IL74" i="24"/>
  <c r="BF61" i="24"/>
  <c r="BZ61" i="24" s="1"/>
  <c r="R109" i="18"/>
  <c r="AP48" i="24"/>
  <c r="BX48" i="24" s="1"/>
  <c r="CN41" i="18"/>
  <c r="AX66" i="24"/>
  <c r="BY66" i="24" s="1"/>
  <c r="S76" i="18"/>
  <c r="T76" i="18" s="1"/>
  <c r="U76" i="18" s="1"/>
  <c r="BT47" i="24"/>
  <c r="CB47" i="24" s="1"/>
  <c r="BF51" i="24"/>
  <c r="BZ51" i="24" s="1"/>
  <c r="CN92" i="10"/>
  <c r="S73" i="18"/>
  <c r="IE103" i="24"/>
  <c r="IL103" i="24" s="1"/>
  <c r="AP55" i="18"/>
  <c r="BX55" i="18" s="1"/>
  <c r="CN97" i="10"/>
  <c r="AX67" i="18"/>
  <c r="BY67" i="18" s="1"/>
  <c r="BV63" i="24"/>
  <c r="R63" i="24" s="1"/>
  <c r="LF63" i="24" s="1"/>
  <c r="AX55" i="24"/>
  <c r="BY55" i="24" s="1"/>
  <c r="CN50" i="10"/>
  <c r="BT53" i="24"/>
  <c r="CB53" i="24" s="1"/>
  <c r="CN45" i="18"/>
  <c r="AP59" i="18"/>
  <c r="BX59" i="18" s="1"/>
  <c r="AL60" i="18"/>
  <c r="AO60" i="18" s="1"/>
  <c r="BP60" i="18"/>
  <c r="BS60" i="18" s="1"/>
  <c r="AS68" i="10"/>
  <c r="AV68" i="10" s="1"/>
  <c r="AK68" i="10"/>
  <c r="AN68" i="10" s="1"/>
  <c r="BO64" i="18"/>
  <c r="BR64" i="18" s="1"/>
  <c r="AP66" i="24"/>
  <c r="BX66" i="24" s="1"/>
  <c r="CN51" i="10"/>
  <c r="R80" i="18"/>
  <c r="S80" i="18" s="1"/>
  <c r="T80" i="18" s="1"/>
  <c r="CN66" i="10"/>
  <c r="R99" i="18"/>
  <c r="BI62" i="18"/>
  <c r="BK62" i="18" s="1"/>
  <c r="R41" i="24"/>
  <c r="CS41" i="24" s="1"/>
  <c r="AP56" i="24"/>
  <c r="BX56" i="24" s="1"/>
  <c r="BM54" i="24"/>
  <c r="CA54" i="24" s="1"/>
  <c r="CN53" i="10"/>
  <c r="BO58" i="10"/>
  <c r="BR58" i="10" s="1"/>
  <c r="CN111" i="10"/>
  <c r="R117" i="18"/>
  <c r="BT67" i="18"/>
  <c r="CB67" i="18" s="1"/>
  <c r="AP64" i="10"/>
  <c r="BX64" i="10" s="1"/>
  <c r="BT63" i="18"/>
  <c r="CB63" i="18" s="1"/>
  <c r="BJ57" i="18"/>
  <c r="BL57" i="18" s="1"/>
  <c r="R116" i="18"/>
  <c r="S116" i="18" s="1"/>
  <c r="AP64" i="24"/>
  <c r="BX64" i="24" s="1"/>
  <c r="BT55" i="24"/>
  <c r="CB55" i="24" s="1"/>
  <c r="CN46" i="18"/>
  <c r="BM66" i="24"/>
  <c r="CA66" i="24" s="1"/>
  <c r="CN45" i="10"/>
  <c r="BF70" i="10"/>
  <c r="BZ70" i="10" s="1"/>
  <c r="BT64" i="10"/>
  <c r="CB64" i="10" s="1"/>
  <c r="CN57" i="18"/>
  <c r="CN71" i="10"/>
  <c r="BA66" i="10"/>
  <c r="BD66" i="10" s="1"/>
  <c r="R87" i="18"/>
  <c r="R108" i="18"/>
  <c r="S108" i="18" s="1"/>
  <c r="R93" i="18"/>
  <c r="S93" i="18" s="1"/>
  <c r="BV71" i="24"/>
  <c r="R71" i="24" s="1"/>
  <c r="BV65" i="24"/>
  <c r="R65" i="24" s="1"/>
  <c r="CN49" i="18"/>
  <c r="LF77" i="24"/>
  <c r="AS57" i="10"/>
  <c r="AV57" i="10" s="1"/>
  <c r="BF63" i="18"/>
  <c r="BZ63" i="18" s="1"/>
  <c r="BP61" i="18"/>
  <c r="BS61" i="18" s="1"/>
  <c r="BA60" i="18"/>
  <c r="BD60" i="18" s="1"/>
  <c r="BP58" i="10"/>
  <c r="BS58" i="10" s="1"/>
  <c r="CN62" i="18"/>
  <c r="AP62" i="24"/>
  <c r="BX62" i="24" s="1"/>
  <c r="BF54" i="24"/>
  <c r="BZ54" i="24" s="1"/>
  <c r="BM50" i="24"/>
  <c r="CA50" i="24" s="1"/>
  <c r="BF52" i="18"/>
  <c r="BZ52" i="18" s="1"/>
  <c r="BJ50" i="18"/>
  <c r="BL50" i="18" s="1"/>
  <c r="BT54" i="24"/>
  <c r="CB54" i="24" s="1"/>
  <c r="CN94" i="10"/>
  <c r="J28" i="15"/>
  <c r="AH579" i="15" s="1"/>
  <c r="AK57" i="10"/>
  <c r="AN57" i="10" s="1"/>
  <c r="BA57" i="18"/>
  <c r="BD57" i="18" s="1"/>
  <c r="BF57" i="18" s="1"/>
  <c r="BZ57" i="18" s="1"/>
  <c r="BP57" i="18"/>
  <c r="BS57" i="18" s="1"/>
  <c r="AP57" i="24"/>
  <c r="BX57" i="24" s="1"/>
  <c r="BI57" i="18"/>
  <c r="BK57" i="18" s="1"/>
  <c r="BT62" i="24"/>
  <c r="CB62" i="24" s="1"/>
  <c r="AS57" i="18"/>
  <c r="AV57" i="18" s="1"/>
  <c r="BO57" i="18"/>
  <c r="BR57" i="18" s="1"/>
  <c r="AK57" i="18"/>
  <c r="AN57" i="18" s="1"/>
  <c r="AP57" i="18" s="1"/>
  <c r="BX57" i="18" s="1"/>
  <c r="AT57" i="18"/>
  <c r="AW57" i="18" s="1"/>
  <c r="AK56" i="18"/>
  <c r="AN56" i="18" s="1"/>
  <c r="AL56" i="18"/>
  <c r="AO56" i="18" s="1"/>
  <c r="BB56" i="18"/>
  <c r="BE56" i="18" s="1"/>
  <c r="BF56" i="18" s="1"/>
  <c r="BZ56" i="18" s="1"/>
  <c r="BP56" i="18"/>
  <c r="BS56" i="18" s="1"/>
  <c r="BO56" i="18"/>
  <c r="BR56" i="18" s="1"/>
  <c r="BI56" i="18"/>
  <c r="BK56" i="18" s="1"/>
  <c r="AT56" i="18"/>
  <c r="AW56" i="18" s="1"/>
  <c r="BI55" i="10"/>
  <c r="BK55" i="10" s="1"/>
  <c r="BB55" i="10"/>
  <c r="BE55" i="10" s="1"/>
  <c r="AP52" i="24"/>
  <c r="BX52" i="24" s="1"/>
  <c r="AX51" i="24"/>
  <c r="BY51" i="24" s="1"/>
  <c r="BT50" i="24"/>
  <c r="CB50" i="24" s="1"/>
  <c r="AX52" i="18"/>
  <c r="BY52" i="18" s="1"/>
  <c r="BF53" i="24"/>
  <c r="BZ53" i="24" s="1"/>
  <c r="AP50" i="24"/>
  <c r="BX50" i="24" s="1"/>
  <c r="BM52" i="24"/>
  <c r="CA52" i="24" s="1"/>
  <c r="BT52" i="18"/>
  <c r="CB52" i="18" s="1"/>
  <c r="BF50" i="24"/>
  <c r="BZ50" i="24" s="1"/>
  <c r="BT52" i="24"/>
  <c r="CB52" i="24" s="1"/>
  <c r="AX48" i="24"/>
  <c r="BY48" i="24" s="1"/>
  <c r="BF45" i="24"/>
  <c r="BZ45" i="24" s="1"/>
  <c r="AK44" i="18"/>
  <c r="AN44" i="18" s="1"/>
  <c r="BM48" i="24"/>
  <c r="CA48" i="24" s="1"/>
  <c r="C69" i="14"/>
  <c r="CN42" i="10"/>
  <c r="BO54" i="10"/>
  <c r="BR54" i="10" s="1"/>
  <c r="BJ54" i="10"/>
  <c r="BL54" i="10" s="1"/>
  <c r="AX52" i="24"/>
  <c r="BY52" i="24" s="1"/>
  <c r="AP49" i="24"/>
  <c r="BX49" i="24" s="1"/>
  <c r="AK46" i="18"/>
  <c r="AN46" i="18" s="1"/>
  <c r="AX46" i="24"/>
  <c r="BY46" i="24" s="1"/>
  <c r="AP46" i="24"/>
  <c r="BX46" i="24" s="1"/>
  <c r="AX45" i="24"/>
  <c r="BY45" i="24" s="1"/>
  <c r="IC77" i="24"/>
  <c r="T77" i="24"/>
  <c r="AL57" i="10"/>
  <c r="AO57" i="10" s="1"/>
  <c r="BJ56" i="10"/>
  <c r="BL56" i="10" s="1"/>
  <c r="BI66" i="10"/>
  <c r="BK66" i="10" s="1"/>
  <c r="BM65" i="18"/>
  <c r="CA65" i="18" s="1"/>
  <c r="BI67" i="10"/>
  <c r="BK67" i="10" s="1"/>
  <c r="AL44" i="18"/>
  <c r="AO44" i="18" s="1"/>
  <c r="BI51" i="10"/>
  <c r="BK51" i="10" s="1"/>
  <c r="AL50" i="18"/>
  <c r="AO50" i="18" s="1"/>
  <c r="J10" i="15"/>
  <c r="M26" i="26" s="1"/>
  <c r="CN105" i="10"/>
  <c r="CN86" i="10"/>
  <c r="CN80" i="10"/>
  <c r="CN77" i="10"/>
  <c r="CN98" i="10"/>
  <c r="AK43" i="18"/>
  <c r="AN43" i="18" s="1"/>
  <c r="AT44" i="18"/>
  <c r="AW44" i="18" s="1"/>
  <c r="AT50" i="18"/>
  <c r="AW50" i="18" s="1"/>
  <c r="BF57" i="24"/>
  <c r="BZ57" i="24" s="1"/>
  <c r="CN110" i="10"/>
  <c r="CN84" i="10"/>
  <c r="CN100" i="10"/>
  <c r="CN78" i="10"/>
  <c r="CN89" i="10"/>
  <c r="BJ51" i="10"/>
  <c r="BL51" i="10" s="1"/>
  <c r="CN115" i="10"/>
  <c r="Q87" i="10"/>
  <c r="R87" i="10" s="1"/>
  <c r="CS87" i="10" s="1"/>
  <c r="CV87" i="10"/>
  <c r="CU87" i="10" s="1"/>
  <c r="Q94" i="10"/>
  <c r="R94" i="10" s="1"/>
  <c r="CS94" i="10" s="1"/>
  <c r="CV94" i="10"/>
  <c r="CU94" i="10" s="1"/>
  <c r="AX71" i="18"/>
  <c r="BY71" i="18" s="1"/>
  <c r="Q95" i="10"/>
  <c r="R95" i="10" s="1"/>
  <c r="CS95" i="10" s="1"/>
  <c r="CV95" i="10"/>
  <c r="CU95" i="10" s="1"/>
  <c r="AK68" i="18"/>
  <c r="AN68" i="18" s="1"/>
  <c r="BA68" i="18"/>
  <c r="BD68" i="18" s="1"/>
  <c r="Q112" i="10"/>
  <c r="R112" i="10" s="1"/>
  <c r="CS112" i="10" s="1"/>
  <c r="CV112" i="10"/>
  <c r="CU112" i="10" s="1"/>
  <c r="BO49" i="10"/>
  <c r="BR49" i="10" s="1"/>
  <c r="Q88" i="10"/>
  <c r="CV88" i="10"/>
  <c r="CU88" i="10" s="1"/>
  <c r="BJ68" i="18"/>
  <c r="BL68" i="18" s="1"/>
  <c r="BI68" i="18"/>
  <c r="BK68" i="18" s="1"/>
  <c r="BI49" i="10"/>
  <c r="BK49" i="10" s="1"/>
  <c r="BM49" i="10" s="1"/>
  <c r="CA49" i="10" s="1"/>
  <c r="BA62" i="10"/>
  <c r="BD62" i="10" s="1"/>
  <c r="BT59" i="18"/>
  <c r="CB59" i="18" s="1"/>
  <c r="AL58" i="18"/>
  <c r="AO58" i="18" s="1"/>
  <c r="AP67" i="18"/>
  <c r="BX67" i="18" s="1"/>
  <c r="AS66" i="10"/>
  <c r="AV66" i="10" s="1"/>
  <c r="Q76" i="10"/>
  <c r="R76" i="10" s="1"/>
  <c r="CS76" i="10" s="1"/>
  <c r="CV76" i="10"/>
  <c r="BI44" i="18"/>
  <c r="BK44" i="18" s="1"/>
  <c r="BO68" i="18"/>
  <c r="BR68" i="18" s="1"/>
  <c r="BT68" i="18" s="1"/>
  <c r="CB68" i="18" s="1"/>
  <c r="AS68" i="18"/>
  <c r="AV68" i="18" s="1"/>
  <c r="Q102" i="10"/>
  <c r="R102" i="10" s="1"/>
  <c r="CS102" i="10" s="1"/>
  <c r="CV102" i="10"/>
  <c r="CU102" i="10" s="1"/>
  <c r="AT65" i="10"/>
  <c r="AW65" i="10" s="1"/>
  <c r="Q74" i="10"/>
  <c r="R74" i="10" s="1"/>
  <c r="CS74" i="10" s="1"/>
  <c r="CV74" i="10"/>
  <c r="Q89" i="10"/>
  <c r="CV89" i="10"/>
  <c r="CU89" i="10" s="1"/>
  <c r="Q96" i="10"/>
  <c r="R96" i="10" s="1"/>
  <c r="CS96" i="10" s="1"/>
  <c r="CV96" i="10"/>
  <c r="CU96" i="10" s="1"/>
  <c r="AK50" i="18"/>
  <c r="AN50" i="18" s="1"/>
  <c r="BP50" i="18"/>
  <c r="BS50" i="18" s="1"/>
  <c r="BI50" i="18"/>
  <c r="BK50" i="18" s="1"/>
  <c r="AS60" i="18"/>
  <c r="AV60" i="18" s="1"/>
  <c r="BJ60" i="18"/>
  <c r="BL60" i="18" s="1"/>
  <c r="BM60" i="18" s="1"/>
  <c r="CA60" i="18" s="1"/>
  <c r="BJ58" i="10"/>
  <c r="BL58" i="10" s="1"/>
  <c r="BM58" i="10" s="1"/>
  <c r="CA58" i="10" s="1"/>
  <c r="Q97" i="10"/>
  <c r="R97" i="10" s="1"/>
  <c r="CS97" i="10" s="1"/>
  <c r="CV97" i="10"/>
  <c r="CU97" i="10" s="1"/>
  <c r="AS48" i="18"/>
  <c r="AV48" i="18" s="1"/>
  <c r="LF72" i="24"/>
  <c r="BM44" i="24"/>
  <c r="CA44" i="24" s="1"/>
  <c r="CN88" i="10"/>
  <c r="CN76" i="10"/>
  <c r="CN79" i="10"/>
  <c r="CN99" i="10"/>
  <c r="CN95" i="10"/>
  <c r="CN116" i="10"/>
  <c r="CN82" i="10"/>
  <c r="CN106" i="10"/>
  <c r="Q73" i="10"/>
  <c r="R73" i="10" s="1"/>
  <c r="CS73" i="10" s="1"/>
  <c r="CV73" i="10"/>
  <c r="Q116" i="10"/>
  <c r="R116" i="10" s="1"/>
  <c r="CS116" i="10" s="1"/>
  <c r="CV116" i="10"/>
  <c r="CU116" i="10" s="1"/>
  <c r="Q72" i="10"/>
  <c r="R72" i="10" s="1"/>
  <c r="CS72" i="10" s="1"/>
  <c r="CV72" i="10"/>
  <c r="Q85" i="10"/>
  <c r="R85" i="10" s="1"/>
  <c r="CS85" i="10" s="1"/>
  <c r="CV85" i="10"/>
  <c r="CU85" i="10" s="1"/>
  <c r="Q92" i="10"/>
  <c r="R92" i="10" s="1"/>
  <c r="CS92" i="10" s="1"/>
  <c r="CV92" i="10"/>
  <c r="CU92" i="10" s="1"/>
  <c r="Q100" i="10"/>
  <c r="R100" i="10" s="1"/>
  <c r="CS100" i="10" s="1"/>
  <c r="CV100" i="10"/>
  <c r="CU100" i="10" s="1"/>
  <c r="Q81" i="10"/>
  <c r="CV81" i="10"/>
  <c r="R115" i="18"/>
  <c r="S115" i="18" s="1"/>
  <c r="T115" i="18" s="1"/>
  <c r="Q93" i="10"/>
  <c r="CV93" i="10"/>
  <c r="CU93" i="10" s="1"/>
  <c r="T79" i="18"/>
  <c r="U79" i="18" s="1"/>
  <c r="IG79" i="18" s="1"/>
  <c r="BM69" i="24"/>
  <c r="CA69" i="24" s="1"/>
  <c r="BM53" i="24"/>
  <c r="CA53" i="24" s="1"/>
  <c r="BM59" i="24"/>
  <c r="CA59" i="24" s="1"/>
  <c r="BF47" i="24"/>
  <c r="BZ47" i="24" s="1"/>
  <c r="BF59" i="24"/>
  <c r="BZ59" i="24" s="1"/>
  <c r="CN52" i="10"/>
  <c r="CN109" i="10"/>
  <c r="Q82" i="10"/>
  <c r="R82" i="10" s="1"/>
  <c r="CS82" i="10" s="1"/>
  <c r="CV82" i="10"/>
  <c r="Q78" i="10"/>
  <c r="R78" i="10" s="1"/>
  <c r="CS78" i="10" s="1"/>
  <c r="CV78" i="10"/>
  <c r="Q110" i="10"/>
  <c r="R110" i="10" s="1"/>
  <c r="CS110" i="10" s="1"/>
  <c r="CV110" i="10"/>
  <c r="CU110" i="10" s="1"/>
  <c r="BB49" i="10"/>
  <c r="BE49" i="10" s="1"/>
  <c r="BM67" i="18"/>
  <c r="CA67" i="18" s="1"/>
  <c r="Q106" i="10"/>
  <c r="CV106" i="10"/>
  <c r="CU106" i="10" s="1"/>
  <c r="BM63" i="18"/>
  <c r="CA63" i="18" s="1"/>
  <c r="Q75" i="10"/>
  <c r="CV75" i="10"/>
  <c r="Q108" i="10"/>
  <c r="R108" i="10" s="1"/>
  <c r="CS108" i="10" s="1"/>
  <c r="CV108" i="10"/>
  <c r="CU108" i="10" s="1"/>
  <c r="BA49" i="10"/>
  <c r="BD49" i="10" s="1"/>
  <c r="BP49" i="10"/>
  <c r="BS49" i="10" s="1"/>
  <c r="Q83" i="10"/>
  <c r="R83" i="10" s="1"/>
  <c r="CS83" i="10" s="1"/>
  <c r="CV83" i="10"/>
  <c r="Q90" i="10"/>
  <c r="CV90" i="10"/>
  <c r="CU90" i="10" s="1"/>
  <c r="Q98" i="10"/>
  <c r="R98" i="10" s="1"/>
  <c r="CV98" i="10"/>
  <c r="CU98" i="10" s="1"/>
  <c r="CN64" i="18"/>
  <c r="Q104" i="10"/>
  <c r="R104" i="10" s="1"/>
  <c r="CS104" i="10" s="1"/>
  <c r="CV104" i="10"/>
  <c r="CU104" i="10" s="1"/>
  <c r="R78" i="18"/>
  <c r="LF78" i="18" s="1"/>
  <c r="CN62" i="10"/>
  <c r="Q91" i="10"/>
  <c r="R91" i="10" s="1"/>
  <c r="CS91" i="10" s="1"/>
  <c r="CV91" i="10"/>
  <c r="CU91" i="10" s="1"/>
  <c r="Q99" i="10"/>
  <c r="R99" i="10" s="1"/>
  <c r="CS99" i="10" s="1"/>
  <c r="CV99" i="10"/>
  <c r="CU99" i="10" s="1"/>
  <c r="BB68" i="18"/>
  <c r="BE68" i="18" s="1"/>
  <c r="AL68" i="18"/>
  <c r="AO68" i="18" s="1"/>
  <c r="AP68" i="18" s="1"/>
  <c r="BX68" i="18" s="1"/>
  <c r="Q114" i="10"/>
  <c r="R114" i="10" s="1"/>
  <c r="CS114" i="10" s="1"/>
  <c r="CV114" i="10"/>
  <c r="CU114" i="10" s="1"/>
  <c r="AT69" i="10"/>
  <c r="AW69" i="10" s="1"/>
  <c r="BI69" i="18"/>
  <c r="BK69" i="18" s="1"/>
  <c r="BM69" i="18" s="1"/>
  <c r="CA69" i="18" s="1"/>
  <c r="AS50" i="18"/>
  <c r="AV50" i="18" s="1"/>
  <c r="BB50" i="18"/>
  <c r="BE50" i="18" s="1"/>
  <c r="BF50" i="18" s="1"/>
  <c r="BZ50" i="18" s="1"/>
  <c r="BO60" i="18"/>
  <c r="BR60" i="18" s="1"/>
  <c r="BT60" i="18" s="1"/>
  <c r="CB60" i="18" s="1"/>
  <c r="AK60" i="18"/>
  <c r="AN60" i="18" s="1"/>
  <c r="BB60" i="18"/>
  <c r="BE60" i="18" s="1"/>
  <c r="BF60" i="18" s="1"/>
  <c r="BZ60" i="18" s="1"/>
  <c r="BA58" i="10"/>
  <c r="BD58" i="10" s="1"/>
  <c r="BB58" i="10"/>
  <c r="BE58" i="10" s="1"/>
  <c r="CN74" i="10"/>
  <c r="Q80" i="10"/>
  <c r="CV80" i="10"/>
  <c r="BB62" i="18"/>
  <c r="BE62" i="18" s="1"/>
  <c r="AP47" i="24"/>
  <c r="BX47" i="24" s="1"/>
  <c r="AX60" i="24"/>
  <c r="BY60" i="24" s="1"/>
  <c r="AX53" i="24"/>
  <c r="BY53" i="24" s="1"/>
  <c r="BF56" i="24"/>
  <c r="BZ56" i="24" s="1"/>
  <c r="BF48" i="24"/>
  <c r="BZ48" i="24" s="1"/>
  <c r="BT57" i="24"/>
  <c r="CB57" i="24" s="1"/>
  <c r="CN83" i="10"/>
  <c r="CN93" i="10"/>
  <c r="CN85" i="10"/>
  <c r="CN87" i="10"/>
  <c r="CN104" i="10"/>
  <c r="CN114" i="10"/>
  <c r="CN90" i="10"/>
  <c r="DN8" i="17"/>
  <c r="DL8" i="17" s="1"/>
  <c r="C68" i="14"/>
  <c r="BO48" i="18"/>
  <c r="BR48" i="18" s="1"/>
  <c r="AL43" i="18"/>
  <c r="AO43" i="18" s="1"/>
  <c r="BA47" i="10"/>
  <c r="BD47" i="10" s="1"/>
  <c r="BI45" i="10"/>
  <c r="BK45" i="10" s="1"/>
  <c r="AL46" i="18"/>
  <c r="AO46" i="18" s="1"/>
  <c r="BJ50" i="10"/>
  <c r="BL50" i="10" s="1"/>
  <c r="BI50" i="10"/>
  <c r="BK50" i="10" s="1"/>
  <c r="BP48" i="18"/>
  <c r="BS48" i="18" s="1"/>
  <c r="BB48" i="18"/>
  <c r="BE48" i="18" s="1"/>
  <c r="BM47" i="24"/>
  <c r="CA47" i="24" s="1"/>
  <c r="BF44" i="24"/>
  <c r="BZ44" i="24" s="1"/>
  <c r="BF49" i="24"/>
  <c r="BZ49" i="24" s="1"/>
  <c r="BJ47" i="10"/>
  <c r="BL47" i="10" s="1"/>
  <c r="AT49" i="10"/>
  <c r="AW49" i="10" s="1"/>
  <c r="BM55" i="18"/>
  <c r="CA55" i="18" s="1"/>
  <c r="BA43" i="18"/>
  <c r="BD43" i="18" s="1"/>
  <c r="BF43" i="18" s="1"/>
  <c r="BZ43" i="18" s="1"/>
  <c r="AL47" i="10"/>
  <c r="AO47" i="10" s="1"/>
  <c r="AP47" i="10" s="1"/>
  <c r="BX47" i="10" s="1"/>
  <c r="AK52" i="10"/>
  <c r="AN52" i="10" s="1"/>
  <c r="AS46" i="18"/>
  <c r="AV46" i="18" s="1"/>
  <c r="AT42" i="18"/>
  <c r="AW42" i="18" s="1"/>
  <c r="AX42" i="18" s="1"/>
  <c r="BY42" i="18" s="1"/>
  <c r="AT48" i="18"/>
  <c r="AW48" i="18" s="1"/>
  <c r="BI48" i="18"/>
  <c r="BK48" i="18" s="1"/>
  <c r="C67" i="14"/>
  <c r="BM57" i="24"/>
  <c r="CA57" i="24" s="1"/>
  <c r="BT56" i="24"/>
  <c r="CB56" i="24" s="1"/>
  <c r="BA46" i="18"/>
  <c r="BD46" i="18" s="1"/>
  <c r="BF46" i="18" s="1"/>
  <c r="BZ46" i="18" s="1"/>
  <c r="AS50" i="10"/>
  <c r="AV50" i="10" s="1"/>
  <c r="AL48" i="18"/>
  <c r="AO48" i="18" s="1"/>
  <c r="AP48" i="18" s="1"/>
  <c r="BX48" i="18" s="1"/>
  <c r="BM56" i="24"/>
  <c r="CA56" i="24" s="1"/>
  <c r="BO48" i="10"/>
  <c r="BR48" i="10" s="1"/>
  <c r="BB48" i="10"/>
  <c r="BE48" i="10" s="1"/>
  <c r="AK49" i="10"/>
  <c r="AN49" i="10" s="1"/>
  <c r="AS49" i="10"/>
  <c r="AV49" i="10" s="1"/>
  <c r="BP57" i="10"/>
  <c r="BS57" i="10" s="1"/>
  <c r="BI57" i="10"/>
  <c r="BK57" i="10" s="1"/>
  <c r="AT68" i="10"/>
  <c r="AW68" i="10" s="1"/>
  <c r="AL68" i="10"/>
  <c r="AO68" i="10" s="1"/>
  <c r="BI68" i="10"/>
  <c r="BK68" i="10" s="1"/>
  <c r="AP52" i="18"/>
  <c r="BX52" i="18" s="1"/>
  <c r="AL62" i="10"/>
  <c r="AO62" i="10" s="1"/>
  <c r="AL41" i="10"/>
  <c r="AO41" i="10" s="1"/>
  <c r="AP41" i="10" s="1"/>
  <c r="BX41" i="10" s="1"/>
  <c r="BV41" i="10" s="1"/>
  <c r="AT43" i="18"/>
  <c r="AW43" i="18" s="1"/>
  <c r="BP53" i="18"/>
  <c r="BS53" i="18" s="1"/>
  <c r="R107" i="18"/>
  <c r="S107" i="18" s="1"/>
  <c r="T107" i="18" s="1"/>
  <c r="U107" i="18" s="1"/>
  <c r="AS54" i="18"/>
  <c r="AV54" i="18" s="1"/>
  <c r="AS47" i="10"/>
  <c r="AV47" i="10" s="1"/>
  <c r="BP45" i="10"/>
  <c r="BS45" i="10" s="1"/>
  <c r="CN57" i="10"/>
  <c r="AT60" i="10"/>
  <c r="AW60" i="10" s="1"/>
  <c r="BF71" i="18"/>
  <c r="BZ71" i="18" s="1"/>
  <c r="AT54" i="10"/>
  <c r="AW54" i="10" s="1"/>
  <c r="BA54" i="10"/>
  <c r="BD54" i="10" s="1"/>
  <c r="BF54" i="10" s="1"/>
  <c r="BZ54" i="10" s="1"/>
  <c r="CN73" i="10"/>
  <c r="BT65" i="18"/>
  <c r="CB65" i="18" s="1"/>
  <c r="CN52" i="18"/>
  <c r="BB52" i="10"/>
  <c r="BE52" i="10" s="1"/>
  <c r="AL67" i="10"/>
  <c r="AO67" i="10" s="1"/>
  <c r="AT67" i="10"/>
  <c r="AW67" i="10" s="1"/>
  <c r="BO46" i="18"/>
  <c r="BR46" i="18" s="1"/>
  <c r="AT46" i="18"/>
  <c r="AW46" i="18" s="1"/>
  <c r="BI46" i="18"/>
  <c r="BK46" i="18" s="1"/>
  <c r="AS64" i="18"/>
  <c r="AV64" i="18" s="1"/>
  <c r="AT68" i="18"/>
  <c r="AW68" i="18" s="1"/>
  <c r="BB44" i="10"/>
  <c r="BE44" i="10" s="1"/>
  <c r="BJ59" i="10"/>
  <c r="BL59" i="10" s="1"/>
  <c r="AL65" i="10"/>
  <c r="AO65" i="10" s="1"/>
  <c r="BI65" i="10"/>
  <c r="BK65" i="10" s="1"/>
  <c r="AL69" i="10"/>
  <c r="AO69" i="10" s="1"/>
  <c r="AP69" i="10" s="1"/>
  <c r="BX69" i="10" s="1"/>
  <c r="U123" i="18"/>
  <c r="AS45" i="18"/>
  <c r="AV45" i="18" s="1"/>
  <c r="AL69" i="18"/>
  <c r="AO69" i="18" s="1"/>
  <c r="BO69" i="18"/>
  <c r="BR69" i="18" s="1"/>
  <c r="BB61" i="10"/>
  <c r="BE61" i="10" s="1"/>
  <c r="CN69" i="18"/>
  <c r="BP50" i="10"/>
  <c r="BS50" i="10" s="1"/>
  <c r="AL50" i="10"/>
  <c r="AO50" i="10" s="1"/>
  <c r="AT50" i="10"/>
  <c r="AW50" i="10" s="1"/>
  <c r="BJ48" i="18"/>
  <c r="BL48" i="18" s="1"/>
  <c r="CN56" i="18"/>
  <c r="BB66" i="18"/>
  <c r="BE66" i="18" s="1"/>
  <c r="BP66" i="18"/>
  <c r="BS66" i="18" s="1"/>
  <c r="U102" i="24"/>
  <c r="IG102" i="24" s="1"/>
  <c r="AP45" i="24"/>
  <c r="BX45" i="24" s="1"/>
  <c r="AP54" i="24"/>
  <c r="BX54" i="24" s="1"/>
  <c r="BV54" i="24" s="1"/>
  <c r="R54" i="24" s="1"/>
  <c r="BT51" i="24"/>
  <c r="CB51" i="24" s="1"/>
  <c r="AX44" i="24"/>
  <c r="BY44" i="24" s="1"/>
  <c r="LO46" i="24"/>
  <c r="LS45" i="24"/>
  <c r="AK53" i="18"/>
  <c r="AN53" i="18" s="1"/>
  <c r="AP53" i="18" s="1"/>
  <c r="BX53" i="18" s="1"/>
  <c r="AS67" i="10"/>
  <c r="AV67" i="10" s="1"/>
  <c r="BA67" i="10"/>
  <c r="BD67" i="10" s="1"/>
  <c r="AK41" i="18"/>
  <c r="AN41" i="18" s="1"/>
  <c r="AP41" i="18" s="1"/>
  <c r="BX41" i="18" s="1"/>
  <c r="BV41" i="18" s="1"/>
  <c r="AK64" i="18"/>
  <c r="AN64" i="18" s="1"/>
  <c r="AT64" i="18"/>
  <c r="AW64" i="18" s="1"/>
  <c r="BM71" i="18"/>
  <c r="CA71" i="18" s="1"/>
  <c r="BA51" i="18"/>
  <c r="BD51" i="18" s="1"/>
  <c r="R90" i="18"/>
  <c r="S90" i="18" s="1"/>
  <c r="CN54" i="18"/>
  <c r="U105" i="18"/>
  <c r="IG105" i="18" s="1"/>
  <c r="AL61" i="10"/>
  <c r="AO61" i="10" s="1"/>
  <c r="BO66" i="18"/>
  <c r="BR66" i="18" s="1"/>
  <c r="AK66" i="18"/>
  <c r="AN66" i="18" s="1"/>
  <c r="BA66" i="18"/>
  <c r="BD66" i="18" s="1"/>
  <c r="BB70" i="18"/>
  <c r="BE70" i="18" s="1"/>
  <c r="BV58" i="24"/>
  <c r="R58" i="24" s="1"/>
  <c r="BI53" i="18"/>
  <c r="BK53" i="18" s="1"/>
  <c r="CN46" i="10"/>
  <c r="BJ60" i="10"/>
  <c r="BL60" i="10" s="1"/>
  <c r="T131" i="18"/>
  <c r="U131" i="18" s="1"/>
  <c r="IG131" i="18" s="1"/>
  <c r="BI52" i="10"/>
  <c r="BK52" i="10" s="1"/>
  <c r="BB67" i="10"/>
  <c r="BE67" i="10" s="1"/>
  <c r="BB64" i="18"/>
  <c r="BE64" i="18" s="1"/>
  <c r="BA64" i="18"/>
  <c r="BD64" i="18" s="1"/>
  <c r="AS65" i="10"/>
  <c r="AV65" i="10" s="1"/>
  <c r="AK65" i="10"/>
  <c r="AN65" i="10" s="1"/>
  <c r="AL66" i="18"/>
  <c r="AO66" i="18" s="1"/>
  <c r="BP70" i="18"/>
  <c r="BS70" i="18" s="1"/>
  <c r="U72" i="24"/>
  <c r="IG72" i="24" s="1"/>
  <c r="AP69" i="24"/>
  <c r="BX69" i="24" s="1"/>
  <c r="CN67" i="10"/>
  <c r="T73" i="18"/>
  <c r="U73" i="18" s="1"/>
  <c r="IG73" i="18" s="1"/>
  <c r="BJ53" i="18"/>
  <c r="BL53" i="18" s="1"/>
  <c r="BI48" i="10"/>
  <c r="BK48" i="10" s="1"/>
  <c r="BM48" i="10" s="1"/>
  <c r="CA48" i="10" s="1"/>
  <c r="AL49" i="10"/>
  <c r="AO49" i="10" s="1"/>
  <c r="BO55" i="10"/>
  <c r="BR55" i="10" s="1"/>
  <c r="BJ57" i="10"/>
  <c r="BL57" i="10" s="1"/>
  <c r="BB57" i="10"/>
  <c r="BE57" i="10" s="1"/>
  <c r="BA68" i="10"/>
  <c r="BD68" i="10" s="1"/>
  <c r="BB68" i="10"/>
  <c r="BE68" i="10" s="1"/>
  <c r="AK62" i="10"/>
  <c r="AN62" i="10" s="1"/>
  <c r="U101" i="18"/>
  <c r="IG101" i="18" s="1"/>
  <c r="AS43" i="18"/>
  <c r="AV43" i="18" s="1"/>
  <c r="BA53" i="18"/>
  <c r="BD53" i="18" s="1"/>
  <c r="AS53" i="18"/>
  <c r="AV53" i="18" s="1"/>
  <c r="CN55" i="18"/>
  <c r="AK54" i="18"/>
  <c r="AN54" i="18" s="1"/>
  <c r="BP58" i="18"/>
  <c r="BS58" i="18" s="1"/>
  <c r="BB58" i="18"/>
  <c r="BE58" i="18" s="1"/>
  <c r="BF58" i="18" s="1"/>
  <c r="BZ58" i="18" s="1"/>
  <c r="AT47" i="10"/>
  <c r="AW47" i="10" s="1"/>
  <c r="R84" i="10"/>
  <c r="CS84" i="10" s="1"/>
  <c r="BB45" i="10"/>
  <c r="BE45" i="10" s="1"/>
  <c r="AS60" i="10"/>
  <c r="AV60" i="10" s="1"/>
  <c r="AT66" i="10"/>
  <c r="AW66" i="10" s="1"/>
  <c r="CN72" i="10"/>
  <c r="AS54" i="10"/>
  <c r="AV54" i="10" s="1"/>
  <c r="BI54" i="10"/>
  <c r="BK54" i="10" s="1"/>
  <c r="R88" i="18"/>
  <c r="S88" i="18" s="1"/>
  <c r="T88" i="18" s="1"/>
  <c r="AS52" i="10"/>
  <c r="AV52" i="10" s="1"/>
  <c r="BO67" i="10"/>
  <c r="BR67" i="10" s="1"/>
  <c r="BT67" i="10" s="1"/>
  <c r="CB67" i="10" s="1"/>
  <c r="BJ67" i="10"/>
  <c r="BL67" i="10" s="1"/>
  <c r="BJ46" i="18"/>
  <c r="BL46" i="18" s="1"/>
  <c r="BP46" i="18"/>
  <c r="BS46" i="18" s="1"/>
  <c r="BI64" i="18"/>
  <c r="BK64" i="18" s="1"/>
  <c r="AL64" i="18"/>
  <c r="AO64" i="18" s="1"/>
  <c r="BB65" i="10"/>
  <c r="BE65" i="10" s="1"/>
  <c r="BA65" i="10"/>
  <c r="BD65" i="10" s="1"/>
  <c r="BJ65" i="10"/>
  <c r="BL65" i="10" s="1"/>
  <c r="BJ69" i="10"/>
  <c r="BL69" i="10" s="1"/>
  <c r="AK51" i="10"/>
  <c r="AN51" i="10" s="1"/>
  <c r="CN44" i="18"/>
  <c r="AK45" i="18"/>
  <c r="AN45" i="18" s="1"/>
  <c r="BP69" i="18"/>
  <c r="BS69" i="18" s="1"/>
  <c r="U125" i="18"/>
  <c r="BO50" i="18"/>
  <c r="BR50" i="18" s="1"/>
  <c r="AS56" i="18"/>
  <c r="AV56" i="18" s="1"/>
  <c r="BJ56" i="18"/>
  <c r="BL56" i="18" s="1"/>
  <c r="R94" i="18"/>
  <c r="AK58" i="10"/>
  <c r="AN58" i="10" s="1"/>
  <c r="AT58" i="10"/>
  <c r="AW58" i="10" s="1"/>
  <c r="AS61" i="10"/>
  <c r="AV61" i="10" s="1"/>
  <c r="AP65" i="18"/>
  <c r="BX65" i="18" s="1"/>
  <c r="CN72" i="18"/>
  <c r="AK50" i="10"/>
  <c r="AN50" i="10" s="1"/>
  <c r="BB50" i="10"/>
  <c r="BE50" i="10" s="1"/>
  <c r="BO50" i="10"/>
  <c r="BR50" i="10" s="1"/>
  <c r="R89" i="18"/>
  <c r="S89" i="18" s="1"/>
  <c r="T89" i="18" s="1"/>
  <c r="R104" i="18"/>
  <c r="S104" i="18" s="1"/>
  <c r="BA48" i="18"/>
  <c r="BD48" i="18" s="1"/>
  <c r="CN73" i="18"/>
  <c r="BP62" i="18"/>
  <c r="BS62" i="18" s="1"/>
  <c r="BI66" i="18"/>
  <c r="BK66" i="18" s="1"/>
  <c r="AS66" i="18"/>
  <c r="AV66" i="18" s="1"/>
  <c r="AX66" i="18" s="1"/>
  <c r="BY66" i="18" s="1"/>
  <c r="BI70" i="18"/>
  <c r="BK70" i="18" s="1"/>
  <c r="AP55" i="24"/>
  <c r="BX55" i="24" s="1"/>
  <c r="AP42" i="24"/>
  <c r="BX42" i="24" s="1"/>
  <c r="BV42" i="24" s="1"/>
  <c r="R42" i="24" s="1"/>
  <c r="BT59" i="24"/>
  <c r="CB59" i="24" s="1"/>
  <c r="T84" i="24"/>
  <c r="U84" i="24" s="1"/>
  <c r="IG84" i="24" s="1"/>
  <c r="BF66" i="24"/>
  <c r="BZ66" i="24" s="1"/>
  <c r="BC161" i="15"/>
  <c r="BE161" i="15" s="1"/>
  <c r="CN41" i="10"/>
  <c r="AS44" i="18"/>
  <c r="AV44" i="18" s="1"/>
  <c r="BB44" i="18"/>
  <c r="BE44" i="18" s="1"/>
  <c r="BF44" i="18" s="1"/>
  <c r="BZ44" i="18" s="1"/>
  <c r="BJ44" i="18"/>
  <c r="BL44" i="18" s="1"/>
  <c r="CN40" i="10"/>
  <c r="IG94" i="24"/>
  <c r="IE108" i="24"/>
  <c r="U108" i="24"/>
  <c r="LF65" i="24"/>
  <c r="S65" i="24"/>
  <c r="T65" i="24" s="1"/>
  <c r="CS65" i="24"/>
  <c r="IG100" i="24"/>
  <c r="IG82" i="24"/>
  <c r="IE78" i="24"/>
  <c r="U78" i="24"/>
  <c r="IE112" i="24"/>
  <c r="U112" i="24"/>
  <c r="IE101" i="24"/>
  <c r="U101" i="24"/>
  <c r="IE73" i="24"/>
  <c r="U73" i="24"/>
  <c r="IG89" i="24"/>
  <c r="IG90" i="24"/>
  <c r="IE115" i="24"/>
  <c r="IE111" i="24"/>
  <c r="U111" i="24"/>
  <c r="S104" i="24"/>
  <c r="S63" i="24"/>
  <c r="T63" i="24" s="1"/>
  <c r="CS63" i="24"/>
  <c r="T95" i="24"/>
  <c r="S110" i="24"/>
  <c r="T110" i="24" s="1"/>
  <c r="U110" i="24" s="1"/>
  <c r="IC94" i="24"/>
  <c r="EL54" i="24"/>
  <c r="IC99" i="24"/>
  <c r="T91" i="24"/>
  <c r="S97" i="24"/>
  <c r="IC106" i="24"/>
  <c r="BT49" i="24"/>
  <c r="CB49" i="24" s="1"/>
  <c r="IG127" i="24"/>
  <c r="IL127" i="24" s="1"/>
  <c r="BF67" i="24"/>
  <c r="BZ67" i="24" s="1"/>
  <c r="IC89" i="24"/>
  <c r="AP43" i="24"/>
  <c r="BX43" i="24" s="1"/>
  <c r="AP60" i="24"/>
  <c r="BX60" i="24" s="1"/>
  <c r="S109" i="24"/>
  <c r="IC82" i="24"/>
  <c r="IC114" i="24"/>
  <c r="IC90" i="24"/>
  <c r="T105" i="24"/>
  <c r="U105" i="24" s="1"/>
  <c r="BF69" i="24"/>
  <c r="BZ69" i="24" s="1"/>
  <c r="AX62" i="24"/>
  <c r="BY62" i="24" s="1"/>
  <c r="T79" i="24"/>
  <c r="S87" i="24"/>
  <c r="T87" i="24" s="1"/>
  <c r="LF87" i="24"/>
  <c r="IC86" i="24"/>
  <c r="T117" i="24"/>
  <c r="IG119" i="24"/>
  <c r="IL119" i="24" s="1"/>
  <c r="S88" i="24"/>
  <c r="T88" i="24" s="1"/>
  <c r="IC72" i="24"/>
  <c r="IC100" i="24"/>
  <c r="IG83" i="24"/>
  <c r="IL83" i="24" s="1"/>
  <c r="IE99" i="24"/>
  <c r="IC102" i="24"/>
  <c r="U115" i="24"/>
  <c r="IC108" i="24"/>
  <c r="A29" i="24"/>
  <c r="LF85" i="24"/>
  <c r="S85" i="24"/>
  <c r="T85" i="24" s="1"/>
  <c r="AP67" i="24"/>
  <c r="BX67" i="24" s="1"/>
  <c r="BF55" i="24"/>
  <c r="BZ55" i="24" s="1"/>
  <c r="BF43" i="24"/>
  <c r="BZ43" i="24" s="1"/>
  <c r="LF70" i="24"/>
  <c r="S70" i="24"/>
  <c r="T70" i="24" s="1"/>
  <c r="CS70" i="24"/>
  <c r="T114" i="24"/>
  <c r="BM49" i="24"/>
  <c r="CA49" i="24" s="1"/>
  <c r="IC84" i="24"/>
  <c r="BT60" i="24"/>
  <c r="CB60" i="24" s="1"/>
  <c r="U86" i="24"/>
  <c r="IG131" i="24"/>
  <c r="IL131" i="24" s="1"/>
  <c r="FS45" i="24"/>
  <c r="IG128" i="24"/>
  <c r="IL128" i="24" s="1"/>
  <c r="LF40" i="24"/>
  <c r="S40" i="24"/>
  <c r="T40" i="24" s="1"/>
  <c r="U40" i="24" s="1"/>
  <c r="CS40" i="24"/>
  <c r="CT40" i="24" s="1"/>
  <c r="IE106" i="24"/>
  <c r="IC73" i="24"/>
  <c r="LF81" i="24"/>
  <c r="S81" i="24"/>
  <c r="BM67" i="24"/>
  <c r="CA67" i="24" s="1"/>
  <c r="IE93" i="24"/>
  <c r="U93" i="24"/>
  <c r="IE89" i="24"/>
  <c r="IE82" i="24"/>
  <c r="BM64" i="24"/>
  <c r="CA64" i="24" s="1"/>
  <c r="BM62" i="24"/>
  <c r="CA62" i="24" s="1"/>
  <c r="BM45" i="24"/>
  <c r="CA45" i="24" s="1"/>
  <c r="IC78" i="24"/>
  <c r="IC112" i="24"/>
  <c r="IC111" i="24"/>
  <c r="IC101" i="24"/>
  <c r="IE72" i="24"/>
  <c r="IC95" i="24"/>
  <c r="IE100" i="24"/>
  <c r="IE94" i="24"/>
  <c r="LF68" i="24"/>
  <c r="S68" i="24"/>
  <c r="T68" i="24" s="1"/>
  <c r="U68" i="24" s="1"/>
  <c r="CS68" i="24"/>
  <c r="IG99" i="24"/>
  <c r="IC91" i="24"/>
  <c r="S96" i="24"/>
  <c r="T96" i="24" s="1"/>
  <c r="IE102" i="24"/>
  <c r="IG106" i="24"/>
  <c r="AX69" i="24"/>
  <c r="BY69" i="24" s="1"/>
  <c r="IC115" i="24"/>
  <c r="IE75" i="24"/>
  <c r="S98" i="24"/>
  <c r="T98" i="24" s="1"/>
  <c r="IG113" i="24"/>
  <c r="IL113" i="24" s="1"/>
  <c r="LF76" i="24"/>
  <c r="S76" i="24"/>
  <c r="BF46" i="24"/>
  <c r="BZ46" i="24" s="1"/>
  <c r="BF60" i="24"/>
  <c r="BZ60" i="24" s="1"/>
  <c r="S92" i="24"/>
  <c r="T92" i="24" s="1"/>
  <c r="IE90" i="24"/>
  <c r="AX64" i="24"/>
  <c r="BY64" i="24" s="1"/>
  <c r="S116" i="24"/>
  <c r="T116" i="24" s="1"/>
  <c r="IC105" i="24"/>
  <c r="LF80" i="24"/>
  <c r="S80" i="24"/>
  <c r="BM46" i="24"/>
  <c r="CA46" i="24" s="1"/>
  <c r="IG124" i="24"/>
  <c r="IL124" i="24" s="1"/>
  <c r="IC79" i="24"/>
  <c r="BV61" i="24"/>
  <c r="R61" i="24" s="1"/>
  <c r="IE86" i="24"/>
  <c r="IC117" i="24"/>
  <c r="X24" i="23"/>
  <c r="S91" i="18"/>
  <c r="AX65" i="18"/>
  <c r="BY65" i="18" s="1"/>
  <c r="IG121" i="18"/>
  <c r="IF124" i="10"/>
  <c r="S95" i="18"/>
  <c r="BT64" i="18"/>
  <c r="CB64" i="18" s="1"/>
  <c r="IG125" i="18"/>
  <c r="BF65" i="18"/>
  <c r="BZ65" i="18" s="1"/>
  <c r="N867" i="8"/>
  <c r="Q866" i="8"/>
  <c r="Q867" i="8" s="1"/>
  <c r="S82" i="10"/>
  <c r="T82" i="10" s="1"/>
  <c r="U82" i="10" s="1"/>
  <c r="LE82" i="10"/>
  <c r="C66" i="1"/>
  <c r="C60" i="1"/>
  <c r="C61" i="1" s="1"/>
  <c r="C62" i="1" s="1"/>
  <c r="C63" i="1" s="1"/>
  <c r="C64" i="1" s="1"/>
  <c r="C65" i="1" s="1"/>
  <c r="CN43" i="10"/>
  <c r="BP48" i="10"/>
  <c r="BS48" i="10" s="1"/>
  <c r="CV49" i="10"/>
  <c r="Q49" i="10"/>
  <c r="CV60" i="10"/>
  <c r="Q60" i="10"/>
  <c r="CN47" i="10"/>
  <c r="BP55" i="10"/>
  <c r="BS55" i="10" s="1"/>
  <c r="IF128" i="10"/>
  <c r="CN70" i="10"/>
  <c r="IE122" i="18"/>
  <c r="U122" i="18"/>
  <c r="IE101" i="18"/>
  <c r="J47" i="16"/>
  <c r="AT49" i="18"/>
  <c r="AW49" i="18" s="1"/>
  <c r="BO49" i="18"/>
  <c r="BR49" i="18" s="1"/>
  <c r="BT49" i="18" s="1"/>
  <c r="CB49" i="18" s="1"/>
  <c r="H54" i="16"/>
  <c r="A28" i="10"/>
  <c r="BA53" i="10"/>
  <c r="BD53" i="10" s="1"/>
  <c r="CV64" i="10"/>
  <c r="AX64" i="10"/>
  <c r="BY64" i="10" s="1"/>
  <c r="S86" i="18"/>
  <c r="LF86" i="18"/>
  <c r="AK61" i="18"/>
  <c r="AN61" i="18" s="1"/>
  <c r="IC129" i="18"/>
  <c r="M73" i="1"/>
  <c r="M67" i="1"/>
  <c r="M68" i="1" s="1"/>
  <c r="M69" i="1" s="1"/>
  <c r="M70" i="1" s="1"/>
  <c r="M71" i="1" s="1"/>
  <c r="M72" i="1" s="1"/>
  <c r="K48" i="1"/>
  <c r="R66" i="1"/>
  <c r="R60" i="1"/>
  <c r="R61" i="1" s="1"/>
  <c r="R62" i="1" s="1"/>
  <c r="R63" i="1" s="1"/>
  <c r="R64" i="1" s="1"/>
  <c r="R65" i="1" s="1"/>
  <c r="P59" i="1"/>
  <c r="P53" i="1"/>
  <c r="P54" i="1" s="1"/>
  <c r="P55" i="1" s="1"/>
  <c r="P56" i="1" s="1"/>
  <c r="P57" i="1" s="1"/>
  <c r="P58" i="1" s="1"/>
  <c r="I61" i="1"/>
  <c r="L25" i="15"/>
  <c r="Q24" i="15"/>
  <c r="N863" i="8"/>
  <c r="Q862" i="8"/>
  <c r="Q863" i="8" s="1"/>
  <c r="ID125" i="10"/>
  <c r="R35" i="2"/>
  <c r="S109" i="18"/>
  <c r="A27" i="18"/>
  <c r="FS45" i="18"/>
  <c r="J42" i="16"/>
  <c r="U66" i="16"/>
  <c r="U60" i="16"/>
  <c r="U61" i="16" s="1"/>
  <c r="U62" i="16" s="1"/>
  <c r="U63" i="16" s="1"/>
  <c r="U64" i="16" s="1"/>
  <c r="U65" i="16" s="1"/>
  <c r="K59" i="16"/>
  <c r="K53" i="16"/>
  <c r="H51" i="16"/>
  <c r="R114" i="18"/>
  <c r="BF55" i="18"/>
  <c r="BZ55" i="18" s="1"/>
  <c r="CV61" i="18"/>
  <c r="Q61" i="18"/>
  <c r="CV69" i="18"/>
  <c r="Q69" i="18"/>
  <c r="N865" i="8"/>
  <c r="Q864" i="8"/>
  <c r="Q865" i="8" s="1"/>
  <c r="N873" i="8"/>
  <c r="Q872" i="8"/>
  <c r="Q873" i="8" s="1"/>
  <c r="G66" i="1"/>
  <c r="G60" i="1"/>
  <c r="W66" i="1"/>
  <c r="W60" i="1"/>
  <c r="W61" i="1" s="1"/>
  <c r="W62" i="1" s="1"/>
  <c r="W63" i="1" s="1"/>
  <c r="W64" i="1" s="1"/>
  <c r="W65" i="1" s="1"/>
  <c r="ID127" i="10"/>
  <c r="AS44" i="10"/>
  <c r="AV44" i="10" s="1"/>
  <c r="S107" i="10"/>
  <c r="BP46" i="10"/>
  <c r="BS46" i="10" s="1"/>
  <c r="BT46" i="10" s="1"/>
  <c r="CB46" i="10" s="1"/>
  <c r="A28" i="18"/>
  <c r="A29" i="18" s="1"/>
  <c r="IG76" i="18"/>
  <c r="N59" i="16"/>
  <c r="N53" i="16"/>
  <c r="N54" i="16" s="1"/>
  <c r="N55" i="16" s="1"/>
  <c r="N56" i="16" s="1"/>
  <c r="N57" i="16" s="1"/>
  <c r="N58" i="16" s="1"/>
  <c r="AK51" i="18"/>
  <c r="AN51" i="18" s="1"/>
  <c r="CV43" i="10"/>
  <c r="Q43" i="10"/>
  <c r="AK63" i="10"/>
  <c r="AN63" i="10" s="1"/>
  <c r="BP63" i="10"/>
  <c r="BS63" i="10" s="1"/>
  <c r="CN66" i="18"/>
  <c r="IE125" i="18"/>
  <c r="AU25" i="15"/>
  <c r="J54" i="1"/>
  <c r="L59" i="1"/>
  <c r="L53" i="1"/>
  <c r="L54" i="1" s="1"/>
  <c r="L55" i="1" s="1"/>
  <c r="L56" i="1" s="1"/>
  <c r="L57" i="1" s="1"/>
  <c r="L58" i="1" s="1"/>
  <c r="A73" i="1"/>
  <c r="A67" i="1"/>
  <c r="A68" i="1" s="1"/>
  <c r="A69" i="1" s="1"/>
  <c r="A70" i="1" s="1"/>
  <c r="A71" i="1" s="1"/>
  <c r="A72" i="1" s="1"/>
  <c r="EL57" i="10"/>
  <c r="IE105" i="18"/>
  <c r="LF40" i="18"/>
  <c r="S40" i="18"/>
  <c r="T40" i="18" s="1"/>
  <c r="U40" i="18" s="1"/>
  <c r="CS40" i="18"/>
  <c r="CT40" i="18" s="1"/>
  <c r="AU33" i="17"/>
  <c r="K66" i="1"/>
  <c r="K60" i="1"/>
  <c r="Q55" i="1"/>
  <c r="N861" i="8"/>
  <c r="Q860" i="8"/>
  <c r="Q861" i="8" s="1"/>
  <c r="Q69" i="10"/>
  <c r="CV69" i="10"/>
  <c r="N871" i="8"/>
  <c r="Q870" i="8"/>
  <c r="Q871" i="8" s="1"/>
  <c r="S66" i="1"/>
  <c r="S60" i="1"/>
  <c r="S61" i="1" s="1"/>
  <c r="S62" i="1" s="1"/>
  <c r="S63" i="1" s="1"/>
  <c r="S64" i="1" s="1"/>
  <c r="S65" i="1" s="1"/>
  <c r="BM71" i="10"/>
  <c r="CA71" i="10" s="1"/>
  <c r="BC160" i="15"/>
  <c r="BE160" i="15" s="1"/>
  <c r="ID123" i="10"/>
  <c r="AS48" i="10"/>
  <c r="AV48" i="10" s="1"/>
  <c r="AL48" i="10"/>
  <c r="AO48" i="10" s="1"/>
  <c r="AK48" i="10"/>
  <c r="AN48" i="10" s="1"/>
  <c r="CN59" i="10"/>
  <c r="AS55" i="10"/>
  <c r="AV55" i="10" s="1"/>
  <c r="AL55" i="10"/>
  <c r="AO55" i="10" s="1"/>
  <c r="AK55" i="10"/>
  <c r="AN55" i="10" s="1"/>
  <c r="BO57" i="10"/>
  <c r="BR57" i="10" s="1"/>
  <c r="BA57" i="10"/>
  <c r="BD57" i="10" s="1"/>
  <c r="BO68" i="10"/>
  <c r="BR68" i="10" s="1"/>
  <c r="BT68" i="10" s="1"/>
  <c r="CB68" i="10" s="1"/>
  <c r="BJ68" i="10"/>
  <c r="BL68" i="10" s="1"/>
  <c r="BI62" i="10"/>
  <c r="BK62" i="10" s="1"/>
  <c r="BM62" i="10" s="1"/>
  <c r="CA62" i="10" s="1"/>
  <c r="AT62" i="10"/>
  <c r="AW62" i="10" s="1"/>
  <c r="AS62" i="10"/>
  <c r="AV62" i="10" s="1"/>
  <c r="X22" i="2"/>
  <c r="T83" i="18"/>
  <c r="U83" i="18" s="1"/>
  <c r="AP70" i="10"/>
  <c r="BX70" i="10" s="1"/>
  <c r="AX70" i="10"/>
  <c r="BY70" i="10" s="1"/>
  <c r="B59" i="16"/>
  <c r="B53" i="16"/>
  <c r="B54" i="16" s="1"/>
  <c r="B55" i="16" s="1"/>
  <c r="B56" i="16" s="1"/>
  <c r="B57" i="16" s="1"/>
  <c r="B58" i="16" s="1"/>
  <c r="R59" i="16"/>
  <c r="R53" i="16"/>
  <c r="R54" i="16" s="1"/>
  <c r="R55" i="16" s="1"/>
  <c r="R56" i="16" s="1"/>
  <c r="R57" i="16" s="1"/>
  <c r="R58" i="16" s="1"/>
  <c r="BI49" i="18"/>
  <c r="BK49" i="18" s="1"/>
  <c r="AL49" i="18"/>
  <c r="AO49" i="18" s="1"/>
  <c r="H66" i="16"/>
  <c r="H60" i="16"/>
  <c r="CV41" i="10"/>
  <c r="Q41" i="10"/>
  <c r="BJ53" i="10"/>
  <c r="BL53" i="10" s="1"/>
  <c r="AS53" i="10"/>
  <c r="AV53" i="10" s="1"/>
  <c r="BI53" i="10"/>
  <c r="BK53" i="10" s="1"/>
  <c r="AT53" i="18"/>
  <c r="AW53" i="18" s="1"/>
  <c r="BB53" i="18"/>
  <c r="BE53" i="18" s="1"/>
  <c r="BO53" i="18"/>
  <c r="BR53" i="18" s="1"/>
  <c r="S102" i="18"/>
  <c r="T102" i="18" s="1"/>
  <c r="Q66" i="16"/>
  <c r="Q60" i="16"/>
  <c r="AT61" i="18"/>
  <c r="AW61" i="18" s="1"/>
  <c r="BB61" i="18"/>
  <c r="BE61" i="18" s="1"/>
  <c r="BF61" i="18" s="1"/>
  <c r="BZ61" i="18" s="1"/>
  <c r="BJ61" i="18"/>
  <c r="BL61" i="18" s="1"/>
  <c r="R85" i="18"/>
  <c r="T129" i="18"/>
  <c r="T66" i="16"/>
  <c r="T60" i="16"/>
  <c r="T61" i="16" s="1"/>
  <c r="T62" i="16" s="1"/>
  <c r="T63" i="16" s="1"/>
  <c r="T64" i="16" s="1"/>
  <c r="T65" i="16" s="1"/>
  <c r="BJ54" i="18"/>
  <c r="BL54" i="18" s="1"/>
  <c r="BP54" i="18"/>
  <c r="BS54" i="18" s="1"/>
  <c r="BB54" i="18"/>
  <c r="BE54" i="18" s="1"/>
  <c r="BF54" i="18" s="1"/>
  <c r="BZ54" i="18" s="1"/>
  <c r="BO58" i="18"/>
  <c r="BR58" i="18" s="1"/>
  <c r="AK58" i="18"/>
  <c r="AN58" i="18" s="1"/>
  <c r="AT58" i="18"/>
  <c r="AW58" i="18" s="1"/>
  <c r="BI58" i="18"/>
  <c r="BK58" i="18" s="1"/>
  <c r="R75" i="18"/>
  <c r="R98" i="18"/>
  <c r="F66" i="1"/>
  <c r="F60" i="1"/>
  <c r="H59" i="1"/>
  <c r="H53" i="1"/>
  <c r="X59" i="1"/>
  <c r="X53" i="1"/>
  <c r="X54" i="1" s="1"/>
  <c r="X55" i="1" s="1"/>
  <c r="X56" i="1" s="1"/>
  <c r="X57" i="1" s="1"/>
  <c r="X58" i="1" s="1"/>
  <c r="I73" i="1"/>
  <c r="I67" i="1"/>
  <c r="U125" i="10"/>
  <c r="R118" i="10"/>
  <c r="ID126" i="10"/>
  <c r="U126" i="10"/>
  <c r="BI47" i="10"/>
  <c r="BK47" i="10" s="1"/>
  <c r="BB47" i="10"/>
  <c r="BE47" i="10" s="1"/>
  <c r="BO47" i="10"/>
  <c r="BR47" i="10" s="1"/>
  <c r="BA45" i="10"/>
  <c r="BD45" i="10" s="1"/>
  <c r="BJ45" i="10"/>
  <c r="BL45" i="10" s="1"/>
  <c r="AK56" i="10"/>
  <c r="AN56" i="10" s="1"/>
  <c r="BP56" i="10"/>
  <c r="BS56" i="10" s="1"/>
  <c r="BB56" i="10"/>
  <c r="BE56" i="10" s="1"/>
  <c r="BA60" i="10"/>
  <c r="BD60" i="10" s="1"/>
  <c r="BB60" i="10"/>
  <c r="BE60" i="10" s="1"/>
  <c r="BO60" i="10"/>
  <c r="BR60" i="10" s="1"/>
  <c r="CN54" i="10"/>
  <c r="BO66" i="10"/>
  <c r="BR66" i="10" s="1"/>
  <c r="BB66" i="10"/>
  <c r="BE66" i="10" s="1"/>
  <c r="BP66" i="10"/>
  <c r="BS66" i="10" s="1"/>
  <c r="C6" i="10"/>
  <c r="AL54" i="10"/>
  <c r="AO54" i="10" s="1"/>
  <c r="AK54" i="10"/>
  <c r="AN54" i="10" s="1"/>
  <c r="BP54" i="10"/>
  <c r="BS54" i="10" s="1"/>
  <c r="AK42" i="10"/>
  <c r="AN42" i="10" s="1"/>
  <c r="BP52" i="10"/>
  <c r="BS52" i="10" s="1"/>
  <c r="BJ52" i="10"/>
  <c r="BL52" i="10" s="1"/>
  <c r="BO52" i="10"/>
  <c r="BR52" i="10" s="1"/>
  <c r="CV57" i="10"/>
  <c r="Q57" i="10"/>
  <c r="CV59" i="10"/>
  <c r="Q59" i="10"/>
  <c r="AK67" i="10"/>
  <c r="AN67" i="10" s="1"/>
  <c r="AX59" i="18"/>
  <c r="BY59" i="18" s="1"/>
  <c r="Q59" i="18"/>
  <c r="CV59" i="18"/>
  <c r="R118" i="18"/>
  <c r="R103" i="18"/>
  <c r="BH24" i="17"/>
  <c r="BJ64" i="18"/>
  <c r="BL64" i="18" s="1"/>
  <c r="BM64" i="18" s="1"/>
  <c r="CA64" i="18" s="1"/>
  <c r="Q49" i="1"/>
  <c r="KD46" i="10"/>
  <c r="KD38" i="10"/>
  <c r="BA44" i="10"/>
  <c r="BD44" i="10" s="1"/>
  <c r="AK59" i="10"/>
  <c r="AN59" i="10" s="1"/>
  <c r="BP59" i="10"/>
  <c r="BS59" i="10" s="1"/>
  <c r="BB59" i="10"/>
  <c r="BE59" i="10" s="1"/>
  <c r="R75" i="10"/>
  <c r="CS75" i="10" s="1"/>
  <c r="AS46" i="10"/>
  <c r="AV46" i="10" s="1"/>
  <c r="AL46" i="10"/>
  <c r="AO46" i="10" s="1"/>
  <c r="AK46" i="10"/>
  <c r="AN46" i="10" s="1"/>
  <c r="CN56" i="10"/>
  <c r="IF120" i="10"/>
  <c r="S99" i="18"/>
  <c r="T99" i="18" s="1"/>
  <c r="CV62" i="10"/>
  <c r="Q62" i="10"/>
  <c r="BP65" i="10"/>
  <c r="BS65" i="10" s="1"/>
  <c r="IE127" i="18"/>
  <c r="BB69" i="10"/>
  <c r="BE69" i="10" s="1"/>
  <c r="BA69" i="10"/>
  <c r="BD69" i="10" s="1"/>
  <c r="BO69" i="10"/>
  <c r="BR69" i="10" s="1"/>
  <c r="EL54" i="18"/>
  <c r="IC76" i="18"/>
  <c r="F47" i="16"/>
  <c r="AS51" i="18"/>
  <c r="AV51" i="18" s="1"/>
  <c r="AX51" i="18" s="1"/>
  <c r="BY51" i="18" s="1"/>
  <c r="BB51" i="18"/>
  <c r="BE51" i="18" s="1"/>
  <c r="BJ51" i="18"/>
  <c r="BL51" i="18" s="1"/>
  <c r="IC123" i="18"/>
  <c r="P66" i="16"/>
  <c r="P60" i="16"/>
  <c r="P61" i="16" s="1"/>
  <c r="P62" i="16" s="1"/>
  <c r="P63" i="16" s="1"/>
  <c r="P64" i="16" s="1"/>
  <c r="P65" i="16" s="1"/>
  <c r="AS51" i="10"/>
  <c r="AV51" i="10" s="1"/>
  <c r="BP51" i="10"/>
  <c r="BS51" i="10" s="1"/>
  <c r="BO51" i="10"/>
  <c r="BR51" i="10" s="1"/>
  <c r="CV54" i="10"/>
  <c r="Q54" i="10"/>
  <c r="BI63" i="10"/>
  <c r="BK63" i="10" s="1"/>
  <c r="AS63" i="10"/>
  <c r="AV63" i="10" s="1"/>
  <c r="AL63" i="10"/>
  <c r="AO63" i="10" s="1"/>
  <c r="BJ45" i="18"/>
  <c r="BL45" i="18" s="1"/>
  <c r="BP45" i="18"/>
  <c r="BS45" i="18" s="1"/>
  <c r="BB45" i="18"/>
  <c r="BE45" i="18" s="1"/>
  <c r="BF45" i="18" s="1"/>
  <c r="BZ45" i="18" s="1"/>
  <c r="Q62" i="18"/>
  <c r="CV62" i="18"/>
  <c r="AS69" i="18"/>
  <c r="AV69" i="18" s="1"/>
  <c r="BA69" i="18"/>
  <c r="BD69" i="18" s="1"/>
  <c r="AT60" i="18"/>
  <c r="AW60" i="18" s="1"/>
  <c r="AX60" i="18" s="1"/>
  <c r="BY60" i="18" s="1"/>
  <c r="CV63" i="18"/>
  <c r="Q63" i="18"/>
  <c r="AX63" i="18"/>
  <c r="BY63" i="18" s="1"/>
  <c r="BC160" i="17"/>
  <c r="BE160" i="17" s="1"/>
  <c r="E73" i="1"/>
  <c r="E67" i="1"/>
  <c r="E68" i="1" s="1"/>
  <c r="E69" i="1" s="1"/>
  <c r="E70" i="1" s="1"/>
  <c r="E71" i="1" s="1"/>
  <c r="E72" i="1" s="1"/>
  <c r="N66" i="1"/>
  <c r="N60" i="1"/>
  <c r="N61" i="1" s="1"/>
  <c r="N62" i="1" s="1"/>
  <c r="N63" i="1" s="1"/>
  <c r="N64" i="1" s="1"/>
  <c r="N65" i="1" s="1"/>
  <c r="D59" i="1"/>
  <c r="D53" i="1"/>
  <c r="D54" i="1" s="1"/>
  <c r="D55" i="1" s="1"/>
  <c r="D56" i="1" s="1"/>
  <c r="D57" i="1" s="1"/>
  <c r="D58" i="1" s="1"/>
  <c r="T59" i="1"/>
  <c r="T53" i="1"/>
  <c r="T54" i="1" s="1"/>
  <c r="T55" i="1" s="1"/>
  <c r="T56" i="1" s="1"/>
  <c r="T57" i="1" s="1"/>
  <c r="T58" i="1" s="1"/>
  <c r="AS43" i="10"/>
  <c r="AV43" i="10" s="1"/>
  <c r="AX43" i="10" s="1"/>
  <c r="BY43" i="10" s="1"/>
  <c r="BB43" i="10"/>
  <c r="BE43" i="10" s="1"/>
  <c r="K42" i="1"/>
  <c r="CN44" i="10"/>
  <c r="Q42" i="10"/>
  <c r="CV42" i="10"/>
  <c r="AS58" i="10"/>
  <c r="AV58" i="10" s="1"/>
  <c r="AL58" i="10"/>
  <c r="AO58" i="10" s="1"/>
  <c r="BA61" i="10"/>
  <c r="BD61" i="10" s="1"/>
  <c r="AK61" i="10"/>
  <c r="AN61" i="10" s="1"/>
  <c r="CN65" i="10"/>
  <c r="R97" i="18"/>
  <c r="CN61" i="18"/>
  <c r="IE121" i="18"/>
  <c r="IL121" i="18" s="1"/>
  <c r="M66" i="16"/>
  <c r="M60" i="16"/>
  <c r="M61" i="16" s="1"/>
  <c r="M62" i="16" s="1"/>
  <c r="M63" i="16" s="1"/>
  <c r="M64" i="16" s="1"/>
  <c r="M65" i="16" s="1"/>
  <c r="CN40" i="18"/>
  <c r="CN42" i="18"/>
  <c r="IC79" i="18"/>
  <c r="G59" i="16"/>
  <c r="G53" i="16"/>
  <c r="W59" i="16"/>
  <c r="W53" i="16"/>
  <c r="W54" i="16" s="1"/>
  <c r="W55" i="16" s="1"/>
  <c r="W56" i="16" s="1"/>
  <c r="W57" i="16" s="1"/>
  <c r="W58" i="16" s="1"/>
  <c r="CV58" i="10"/>
  <c r="Q58" i="10"/>
  <c r="CV68" i="10"/>
  <c r="Q68" i="10"/>
  <c r="R80" i="10"/>
  <c r="CS80" i="10" s="1"/>
  <c r="R106" i="18"/>
  <c r="AK42" i="18"/>
  <c r="AN42" i="18" s="1"/>
  <c r="CV44" i="18"/>
  <c r="Q44" i="18"/>
  <c r="R111" i="18"/>
  <c r="CV47" i="18"/>
  <c r="Q47" i="18"/>
  <c r="R96" i="18"/>
  <c r="CN50" i="18"/>
  <c r="BO62" i="18"/>
  <c r="BR62" i="18" s="1"/>
  <c r="AT62" i="18"/>
  <c r="AW62" i="18" s="1"/>
  <c r="AX62" i="18" s="1"/>
  <c r="BY62" i="18" s="1"/>
  <c r="BJ66" i="18"/>
  <c r="BL66" i="18" s="1"/>
  <c r="BO70" i="18"/>
  <c r="BR70" i="18" s="1"/>
  <c r="AT70" i="18"/>
  <c r="AW70" i="18" s="1"/>
  <c r="AX70" i="18" s="1"/>
  <c r="BY70" i="18" s="1"/>
  <c r="BB168" i="17"/>
  <c r="K54" i="1"/>
  <c r="I49" i="1"/>
  <c r="IF121" i="10"/>
  <c r="ID131" i="10"/>
  <c r="BA48" i="10"/>
  <c r="BD48" i="10" s="1"/>
  <c r="AT48" i="10"/>
  <c r="AW48" i="10" s="1"/>
  <c r="BT71" i="10"/>
  <c r="CB71" i="10" s="1"/>
  <c r="BA55" i="10"/>
  <c r="BD55" i="10" s="1"/>
  <c r="AT55" i="10"/>
  <c r="AW55" i="10" s="1"/>
  <c r="CN58" i="10"/>
  <c r="S79" i="10"/>
  <c r="T79" i="10" s="1"/>
  <c r="U79" i="10" s="1"/>
  <c r="C59" i="14"/>
  <c r="BO62" i="10"/>
  <c r="BR62" i="10" s="1"/>
  <c r="BB62" i="10"/>
  <c r="BE62" i="10" s="1"/>
  <c r="BP62" i="10"/>
  <c r="BS62" i="10" s="1"/>
  <c r="IG120" i="18"/>
  <c r="S77" i="18"/>
  <c r="T77" i="18" s="1"/>
  <c r="LF77" i="18"/>
  <c r="CV70" i="10"/>
  <c r="Q70" i="10"/>
  <c r="CN43" i="18"/>
  <c r="BA49" i="18"/>
  <c r="BD49" i="18" s="1"/>
  <c r="AK49" i="18"/>
  <c r="AN49" i="18" s="1"/>
  <c r="AS49" i="18"/>
  <c r="AV49" i="18" s="1"/>
  <c r="CN63" i="18"/>
  <c r="AK53" i="10"/>
  <c r="AN53" i="10" s="1"/>
  <c r="BB53" i="10"/>
  <c r="BE53" i="10" s="1"/>
  <c r="BO53" i="10"/>
  <c r="BR53" i="10" s="1"/>
  <c r="Q54" i="16"/>
  <c r="CV46" i="18"/>
  <c r="Q46" i="18"/>
  <c r="AS61" i="18"/>
  <c r="AV61" i="18" s="1"/>
  <c r="AL61" i="18"/>
  <c r="AO61" i="18" s="1"/>
  <c r="BI61" i="18"/>
  <c r="BK61" i="18" s="1"/>
  <c r="BO61" i="18"/>
  <c r="BR61" i="18" s="1"/>
  <c r="U129" i="18"/>
  <c r="AL54" i="18"/>
  <c r="AO54" i="18" s="1"/>
  <c r="AT54" i="18"/>
  <c r="AW54" i="18" s="1"/>
  <c r="BI54" i="18"/>
  <c r="BK54" i="18" s="1"/>
  <c r="AS58" i="18"/>
  <c r="AV58" i="18" s="1"/>
  <c r="BJ58" i="18"/>
  <c r="BL58" i="18" s="1"/>
  <c r="BH25" i="15"/>
  <c r="F54" i="1"/>
  <c r="B66" i="1"/>
  <c r="B60" i="1"/>
  <c r="B61" i="1" s="1"/>
  <c r="B62" i="1" s="1"/>
  <c r="B63" i="1" s="1"/>
  <c r="B64" i="1" s="1"/>
  <c r="B65" i="1" s="1"/>
  <c r="H47" i="1"/>
  <c r="U131" i="10"/>
  <c r="BP47" i="10"/>
  <c r="BS47" i="10" s="1"/>
  <c r="AK45" i="10"/>
  <c r="AN45" i="10" s="1"/>
  <c r="AL45" i="10"/>
  <c r="AO45" i="10" s="1"/>
  <c r="AS56" i="10"/>
  <c r="AV56" i="10" s="1"/>
  <c r="AX56" i="10" s="1"/>
  <c r="BY56" i="10" s="1"/>
  <c r="AL56" i="10"/>
  <c r="AO56" i="10" s="1"/>
  <c r="BI56" i="10"/>
  <c r="BK56" i="10" s="1"/>
  <c r="BI60" i="10"/>
  <c r="BK60" i="10" s="1"/>
  <c r="C5" i="10"/>
  <c r="IG130" i="18"/>
  <c r="IL130" i="18" s="1"/>
  <c r="BJ66" i="10"/>
  <c r="BL66" i="10" s="1"/>
  <c r="CN64" i="10"/>
  <c r="IG127" i="18"/>
  <c r="E66" i="16"/>
  <c r="E60" i="16"/>
  <c r="E61" i="16" s="1"/>
  <c r="E62" i="16" s="1"/>
  <c r="E63" i="16" s="1"/>
  <c r="E64" i="16" s="1"/>
  <c r="E65" i="16" s="1"/>
  <c r="IC131" i="18"/>
  <c r="C59" i="16"/>
  <c r="C53" i="16"/>
  <c r="C54" i="16" s="1"/>
  <c r="C55" i="16" s="1"/>
  <c r="C56" i="16" s="1"/>
  <c r="C57" i="16" s="1"/>
  <c r="C58" i="16" s="1"/>
  <c r="S59" i="16"/>
  <c r="S53" i="16"/>
  <c r="S54" i="16" s="1"/>
  <c r="S55" i="16" s="1"/>
  <c r="S56" i="16" s="1"/>
  <c r="S57" i="16" s="1"/>
  <c r="S58" i="16" s="1"/>
  <c r="AL42" i="10"/>
  <c r="AO42" i="10" s="1"/>
  <c r="AS42" i="10"/>
  <c r="AV42" i="10" s="1"/>
  <c r="AX42" i="10" s="1"/>
  <c r="BY42" i="10" s="1"/>
  <c r="AL52" i="10"/>
  <c r="AO52" i="10" s="1"/>
  <c r="AP52" i="10" s="1"/>
  <c r="BX52" i="10" s="1"/>
  <c r="AT52" i="10"/>
  <c r="AW52" i="10" s="1"/>
  <c r="BM59" i="18"/>
  <c r="CA59" i="18" s="1"/>
  <c r="Q70" i="18"/>
  <c r="CV70" i="18"/>
  <c r="CV43" i="18"/>
  <c r="Q43" i="18"/>
  <c r="CV48" i="18"/>
  <c r="Q48" i="18"/>
  <c r="CV51" i="18"/>
  <c r="Q51" i="18"/>
  <c r="N869" i="8"/>
  <c r="Q868" i="8"/>
  <c r="Q869" i="8" s="1"/>
  <c r="O66" i="1"/>
  <c r="O60" i="1"/>
  <c r="O61" i="1" s="1"/>
  <c r="O62" i="1" s="1"/>
  <c r="O63" i="1" s="1"/>
  <c r="O64" i="1" s="1"/>
  <c r="O65" i="1" s="1"/>
  <c r="I55" i="1"/>
  <c r="AG24" i="15"/>
  <c r="AT44" i="10"/>
  <c r="AW44" i="10" s="1"/>
  <c r="BI44" i="10"/>
  <c r="BK44" i="10" s="1"/>
  <c r="CV45" i="10"/>
  <c r="Q45" i="10"/>
  <c r="AS59" i="10"/>
  <c r="AV59" i="10" s="1"/>
  <c r="AX59" i="10" s="1"/>
  <c r="BY59" i="10" s="1"/>
  <c r="AL59" i="10"/>
  <c r="AO59" i="10" s="1"/>
  <c r="BI59" i="10"/>
  <c r="BK59" i="10" s="1"/>
  <c r="BA46" i="10"/>
  <c r="BD46" i="10" s="1"/>
  <c r="AT46" i="10"/>
  <c r="AW46" i="10" s="1"/>
  <c r="BJ46" i="10"/>
  <c r="BL46" i="10" s="1"/>
  <c r="CN68" i="10"/>
  <c r="BI69" i="10"/>
  <c r="BK69" i="10" s="1"/>
  <c r="AS69" i="10"/>
  <c r="AV69" i="10" s="1"/>
  <c r="F59" i="16"/>
  <c r="F53" i="16"/>
  <c r="V59" i="16"/>
  <c r="V53" i="16"/>
  <c r="V54" i="16" s="1"/>
  <c r="V55" i="16" s="1"/>
  <c r="V56" i="16" s="1"/>
  <c r="V57" i="16" s="1"/>
  <c r="V58" i="16" s="1"/>
  <c r="BP51" i="18"/>
  <c r="BS51" i="18" s="1"/>
  <c r="BI51" i="18"/>
  <c r="BK51" i="18" s="1"/>
  <c r="BO51" i="18"/>
  <c r="BR51" i="18" s="1"/>
  <c r="IE123" i="18"/>
  <c r="BB51" i="10"/>
  <c r="BE51" i="10" s="1"/>
  <c r="BF51" i="10" s="1"/>
  <c r="BZ51" i="10" s="1"/>
  <c r="AL51" i="10"/>
  <c r="AO51" i="10" s="1"/>
  <c r="AT51" i="10"/>
  <c r="AW51" i="10" s="1"/>
  <c r="BO63" i="10"/>
  <c r="BR63" i="10" s="1"/>
  <c r="BT63" i="10" s="1"/>
  <c r="CB63" i="10" s="1"/>
  <c r="BB63" i="10"/>
  <c r="BE63" i="10" s="1"/>
  <c r="BF63" i="10" s="1"/>
  <c r="BZ63" i="10" s="1"/>
  <c r="AT63" i="10"/>
  <c r="AW63" i="10" s="1"/>
  <c r="KE38" i="18"/>
  <c r="BO45" i="18"/>
  <c r="BR45" i="18" s="1"/>
  <c r="AT45" i="18"/>
  <c r="AW45" i="18" s="1"/>
  <c r="BI45" i="18"/>
  <c r="BK45" i="18" s="1"/>
  <c r="S87" i="18"/>
  <c r="T87" i="18" s="1"/>
  <c r="LF87" i="18"/>
  <c r="I66" i="16"/>
  <c r="I60" i="16"/>
  <c r="AK69" i="18"/>
  <c r="AN69" i="18" s="1"/>
  <c r="L66" i="16"/>
  <c r="L60" i="16"/>
  <c r="L61" i="16" s="1"/>
  <c r="L62" i="16" s="1"/>
  <c r="L63" i="16" s="1"/>
  <c r="L64" i="16" s="1"/>
  <c r="L65" i="16" s="1"/>
  <c r="AP63" i="18"/>
  <c r="BX63" i="18" s="1"/>
  <c r="S94" i="18"/>
  <c r="T94" i="18" s="1"/>
  <c r="BC161" i="17"/>
  <c r="BE161" i="17" s="1"/>
  <c r="Q61" i="1"/>
  <c r="AK43" i="10"/>
  <c r="AN43" i="10" s="1"/>
  <c r="AL43" i="10"/>
  <c r="AO43" i="10" s="1"/>
  <c r="BB168" i="15"/>
  <c r="U127" i="10"/>
  <c r="R82" i="18"/>
  <c r="IC105" i="18"/>
  <c r="IL105" i="18" s="1"/>
  <c r="AT61" i="10"/>
  <c r="AW61" i="10" s="1"/>
  <c r="BI61" i="10"/>
  <c r="BK61" i="10" s="1"/>
  <c r="BJ61" i="10"/>
  <c r="BL61" i="10" s="1"/>
  <c r="CN53" i="18"/>
  <c r="IE79" i="18"/>
  <c r="G47" i="16"/>
  <c r="AL42" i="18"/>
  <c r="AO42" i="18" s="1"/>
  <c r="CN67" i="18"/>
  <c r="CV52" i="18"/>
  <c r="Q52" i="18"/>
  <c r="AK62" i="18"/>
  <c r="AN62" i="18" s="1"/>
  <c r="AL62" i="18"/>
  <c r="AO62" i="18" s="1"/>
  <c r="BA62" i="18"/>
  <c r="BD62" i="18" s="1"/>
  <c r="AK70" i="18"/>
  <c r="AN70" i="18" s="1"/>
  <c r="AL70" i="18"/>
  <c r="AO70" i="18" s="1"/>
  <c r="BA70" i="18"/>
  <c r="BD70" i="18" s="1"/>
  <c r="Q24" i="17"/>
  <c r="L25" i="17"/>
  <c r="CN58" i="18"/>
  <c r="ID124" i="10"/>
  <c r="S117" i="18"/>
  <c r="IC83" i="18"/>
  <c r="IC101" i="18"/>
  <c r="CN61" i="10"/>
  <c r="Q67" i="10"/>
  <c r="CV67" i="10"/>
  <c r="IC73" i="18"/>
  <c r="BM70" i="10"/>
  <c r="CA70" i="10" s="1"/>
  <c r="J59" i="16"/>
  <c r="J53" i="16"/>
  <c r="BB49" i="18"/>
  <c r="BE49" i="18" s="1"/>
  <c r="BJ49" i="18"/>
  <c r="BL49" i="18" s="1"/>
  <c r="X66" i="16"/>
  <c r="X60" i="16"/>
  <c r="X61" i="16" s="1"/>
  <c r="X62" i="16" s="1"/>
  <c r="X63" i="16" s="1"/>
  <c r="X64" i="16" s="1"/>
  <c r="X65" i="16" s="1"/>
  <c r="BP53" i="10"/>
  <c r="BS53" i="10" s="1"/>
  <c r="AL53" i="10"/>
  <c r="AO53" i="10" s="1"/>
  <c r="BM64" i="10"/>
  <c r="CA64" i="10" s="1"/>
  <c r="A66" i="16"/>
  <c r="A60" i="16"/>
  <c r="A61" i="16" s="1"/>
  <c r="A62" i="16" s="1"/>
  <c r="A63" i="16" s="1"/>
  <c r="A64" i="16" s="1"/>
  <c r="A65" i="16" s="1"/>
  <c r="Q41" i="18"/>
  <c r="CV41" i="18"/>
  <c r="D66" i="16"/>
  <c r="D60" i="16"/>
  <c r="D61" i="16" s="1"/>
  <c r="D62" i="16" s="1"/>
  <c r="D63" i="16" s="1"/>
  <c r="D64" i="16" s="1"/>
  <c r="D65" i="16" s="1"/>
  <c r="BO54" i="18"/>
  <c r="BR54" i="18" s="1"/>
  <c r="CV67" i="18"/>
  <c r="Q67" i="18"/>
  <c r="R92" i="18"/>
  <c r="V66" i="1"/>
  <c r="V60" i="1"/>
  <c r="V61" i="1" s="1"/>
  <c r="V62" i="1" s="1"/>
  <c r="V63" i="1" s="1"/>
  <c r="V64" i="1" s="1"/>
  <c r="V65" i="1" s="1"/>
  <c r="U123" i="10"/>
  <c r="R106" i="10"/>
  <c r="CS106" i="10" s="1"/>
  <c r="BO45" i="10"/>
  <c r="BR45" i="10" s="1"/>
  <c r="AT45" i="10"/>
  <c r="AW45" i="10" s="1"/>
  <c r="AX45" i="10" s="1"/>
  <c r="BY45" i="10" s="1"/>
  <c r="BO56" i="10"/>
  <c r="BR56" i="10" s="1"/>
  <c r="BA56" i="10"/>
  <c r="BD56" i="10" s="1"/>
  <c r="BP60" i="10"/>
  <c r="BS60" i="10" s="1"/>
  <c r="AL60" i="10"/>
  <c r="AO60" i="10" s="1"/>
  <c r="AP60" i="10" s="1"/>
  <c r="BX60" i="10" s="1"/>
  <c r="Q40" i="10"/>
  <c r="R40" i="10" s="1"/>
  <c r="CV40" i="10"/>
  <c r="AK66" i="10"/>
  <c r="AN66" i="10" s="1"/>
  <c r="AP66" i="10" s="1"/>
  <c r="BX66" i="10" s="1"/>
  <c r="Q66" i="10"/>
  <c r="CV66" i="10"/>
  <c r="CN48" i="18"/>
  <c r="IC81" i="18"/>
  <c r="IE131" i="18"/>
  <c r="K47" i="16"/>
  <c r="Q49" i="18"/>
  <c r="CV49" i="18"/>
  <c r="BF59" i="18"/>
  <c r="BZ59" i="18" s="1"/>
  <c r="CN65" i="18"/>
  <c r="R112" i="18"/>
  <c r="R74" i="18"/>
  <c r="R100" i="18"/>
  <c r="CN60" i="18"/>
  <c r="G54" i="1"/>
  <c r="G42" i="1"/>
  <c r="S113" i="10"/>
  <c r="AK44" i="10"/>
  <c r="AN44" i="10" s="1"/>
  <c r="AP44" i="10" s="1"/>
  <c r="BX44" i="10" s="1"/>
  <c r="BJ44" i="10"/>
  <c r="BL44" i="10" s="1"/>
  <c r="BO59" i="10"/>
  <c r="BR59" i="10" s="1"/>
  <c r="BA59" i="10"/>
  <c r="BD59" i="10" s="1"/>
  <c r="BI46" i="10"/>
  <c r="BK46" i="10" s="1"/>
  <c r="BB46" i="10"/>
  <c r="BE46" i="10" s="1"/>
  <c r="IE120" i="18"/>
  <c r="IL120" i="18" s="1"/>
  <c r="BP69" i="10"/>
  <c r="BS69" i="10" s="1"/>
  <c r="S92" i="10"/>
  <c r="Q42" i="18"/>
  <c r="CV42" i="18"/>
  <c r="IE76" i="18"/>
  <c r="CN47" i="18"/>
  <c r="AL51" i="18"/>
  <c r="AO51" i="18" s="1"/>
  <c r="IG123" i="18"/>
  <c r="BJ63" i="10"/>
  <c r="BL63" i="10" s="1"/>
  <c r="AL45" i="18"/>
  <c r="AO45" i="18" s="1"/>
  <c r="R110" i="18"/>
  <c r="I54" i="16"/>
  <c r="AT69" i="18"/>
  <c r="AW69" i="18" s="1"/>
  <c r="BB69" i="18"/>
  <c r="BE69" i="18" s="1"/>
  <c r="IC125" i="18"/>
  <c r="IL125" i="18" s="1"/>
  <c r="CV71" i="18"/>
  <c r="Q71" i="18"/>
  <c r="BT71" i="18"/>
  <c r="CB71" i="18" s="1"/>
  <c r="BV71" i="18" s="1"/>
  <c r="R84" i="18"/>
  <c r="AG24" i="17"/>
  <c r="U73" i="1"/>
  <c r="U67" i="1"/>
  <c r="U68" i="1" s="1"/>
  <c r="U69" i="1" s="1"/>
  <c r="U70" i="1" s="1"/>
  <c r="U71" i="1" s="1"/>
  <c r="U72" i="1" s="1"/>
  <c r="G48" i="1"/>
  <c r="J66" i="1"/>
  <c r="J60" i="1"/>
  <c r="Q73" i="1"/>
  <c r="Q67" i="1"/>
  <c r="BA43" i="10"/>
  <c r="BD43" i="10" s="1"/>
  <c r="FR44" i="10"/>
  <c r="CN48" i="10"/>
  <c r="R86" i="10"/>
  <c r="CS86" i="10" s="1"/>
  <c r="CN55" i="10"/>
  <c r="R113" i="18"/>
  <c r="BP61" i="10"/>
  <c r="BS61" i="10" s="1"/>
  <c r="BT61" i="10" s="1"/>
  <c r="CB61" i="10" s="1"/>
  <c r="F44" i="16"/>
  <c r="CN75" i="18"/>
  <c r="O59" i="16"/>
  <c r="O53" i="16"/>
  <c r="O54" i="16" s="1"/>
  <c r="O55" i="16" s="1"/>
  <c r="O56" i="16" s="1"/>
  <c r="O57" i="16" s="1"/>
  <c r="O58" i="16" s="1"/>
  <c r="CV56" i="10"/>
  <c r="Q56" i="10"/>
  <c r="CN51" i="18"/>
  <c r="CV45" i="18"/>
  <c r="Q45" i="18"/>
  <c r="BM52" i="18"/>
  <c r="CA52" i="18" s="1"/>
  <c r="CV65" i="18"/>
  <c r="Q65" i="18"/>
  <c r="R72" i="18"/>
  <c r="R119" i="18"/>
  <c r="BJ62" i="18"/>
  <c r="BL62" i="18" s="1"/>
  <c r="BJ70" i="18"/>
  <c r="BL70" i="18" s="1"/>
  <c r="AG210" i="31"/>
  <c r="AI227" i="31"/>
  <c r="AJ222" i="31"/>
  <c r="AH216" i="31"/>
  <c r="AF216" i="31"/>
  <c r="AC234" i="31"/>
  <c r="AJ216" i="31"/>
  <c r="AG204" i="31"/>
  <c r="AH227" i="31"/>
  <c r="AH204" i="31"/>
  <c r="AF205" i="31"/>
  <c r="AG228" i="31"/>
  <c r="AG205" i="31"/>
  <c r="AK210" i="31"/>
  <c r="AH228" i="31"/>
  <c r="AQ197" i="31"/>
  <c r="AH210" i="31"/>
  <c r="AJ221" i="31"/>
  <c r="AF221" i="31"/>
  <c r="AI215" i="31"/>
  <c r="AQ221" i="31"/>
  <c r="AJ210" i="31"/>
  <c r="AQ203" i="31"/>
  <c r="BZ588" i="15"/>
  <c r="AI221" i="31"/>
  <c r="AJ204" i="31"/>
  <c r="AG216" i="31"/>
  <c r="AK204" i="31"/>
  <c r="AG222" i="31"/>
  <c r="AI198" i="31"/>
  <c r="AI197" i="31"/>
  <c r="AK216" i="31"/>
  <c r="AH205" i="31"/>
  <c r="AQ227" i="31"/>
  <c r="AQ209" i="31"/>
  <c r="AF204" i="31"/>
  <c r="AI209" i="31"/>
  <c r="AF210" i="31"/>
  <c r="AI203" i="31"/>
  <c r="BY588" i="15"/>
  <c r="AO24" i="15"/>
  <c r="AQ198" i="31"/>
  <c r="AG221" i="31"/>
  <c r="AQ215" i="31"/>
  <c r="AK205" i="31"/>
  <c r="AC227" i="31"/>
  <c r="AH221" i="31"/>
  <c r="AF222" i="31"/>
  <c r="AK221" i="31"/>
  <c r="AH222" i="31"/>
  <c r="AK222" i="31"/>
  <c r="AJ205" i="31"/>
  <c r="AF228" i="31"/>
  <c r="AK227" i="31"/>
  <c r="AJ227" i="31"/>
  <c r="CH589" i="15"/>
  <c r="AG227" i="31"/>
  <c r="R115" i="10" l="1"/>
  <c r="CS115" i="10" s="1"/>
  <c r="IL127" i="18"/>
  <c r="AX71" i="10"/>
  <c r="BY71" i="10" s="1"/>
  <c r="BF52" i="10"/>
  <c r="BZ52" i="10" s="1"/>
  <c r="AP47" i="18"/>
  <c r="BX47" i="18" s="1"/>
  <c r="BF47" i="18"/>
  <c r="BZ47" i="18" s="1"/>
  <c r="BF50" i="10"/>
  <c r="BZ50" i="10" s="1"/>
  <c r="BF47" i="10"/>
  <c r="BZ47" i="10" s="1"/>
  <c r="BM55" i="10"/>
  <c r="CA55" i="10" s="1"/>
  <c r="BF48" i="10"/>
  <c r="BZ48" i="10" s="1"/>
  <c r="C64" i="34"/>
  <c r="C64" i="36"/>
  <c r="C58" i="34"/>
  <c r="C58" i="36"/>
  <c r="AB223" i="31"/>
  <c r="BJ20" i="32"/>
  <c r="BJ21" i="32" s="1"/>
  <c r="AC235" i="31"/>
  <c r="AC236" i="31" s="1"/>
  <c r="AC237" i="31" s="1"/>
  <c r="AC238" i="31" s="1"/>
  <c r="AC239" i="31" s="1"/>
  <c r="AC240" i="31" s="1"/>
  <c r="BG215" i="31"/>
  <c r="BG227" i="31"/>
  <c r="BG209" i="31"/>
  <c r="BG203" i="31"/>
  <c r="BG221" i="31"/>
  <c r="AC228" i="31"/>
  <c r="AC229" i="31" s="1"/>
  <c r="AC230" i="31" s="1"/>
  <c r="AC231" i="31" s="1"/>
  <c r="AC232" i="31" s="1"/>
  <c r="AC233" i="31" s="1"/>
  <c r="BG198" i="31"/>
  <c r="BG197" i="31"/>
  <c r="U242" i="31"/>
  <c r="U243" i="31" s="1"/>
  <c r="U244" i="31" s="1"/>
  <c r="U245" i="31" s="1"/>
  <c r="U246" i="31" s="1"/>
  <c r="U247" i="31" s="1"/>
  <c r="U248" i="31"/>
  <c r="D248" i="31"/>
  <c r="D242" i="31"/>
  <c r="D243" i="31" s="1"/>
  <c r="D244" i="31" s="1"/>
  <c r="D245" i="31" s="1"/>
  <c r="D246" i="31" s="1"/>
  <c r="D247" i="31" s="1"/>
  <c r="F212" i="31"/>
  <c r="H248" i="31"/>
  <c r="H242" i="31"/>
  <c r="G236" i="31"/>
  <c r="Q211" i="31"/>
  <c r="K236" i="31"/>
  <c r="H230" i="31"/>
  <c r="X248" i="31"/>
  <c r="X242" i="31"/>
  <c r="X243" i="31" s="1"/>
  <c r="X244" i="31" s="1"/>
  <c r="X245" i="31" s="1"/>
  <c r="X246" i="31" s="1"/>
  <c r="X247" i="31" s="1"/>
  <c r="Q223" i="31"/>
  <c r="I241" i="31"/>
  <c r="I235" i="31"/>
  <c r="N242" i="31"/>
  <c r="N243" i="31" s="1"/>
  <c r="N244" i="31" s="1"/>
  <c r="N245" i="31" s="1"/>
  <c r="N246" i="31" s="1"/>
  <c r="N247" i="31" s="1"/>
  <c r="N248" i="31"/>
  <c r="H236" i="31"/>
  <c r="E242" i="31"/>
  <c r="E243" i="31" s="1"/>
  <c r="E244" i="31" s="1"/>
  <c r="E245" i="31" s="1"/>
  <c r="E246" i="31" s="1"/>
  <c r="E247" i="31" s="1"/>
  <c r="E248" i="31"/>
  <c r="G212" i="31"/>
  <c r="K212" i="31"/>
  <c r="I223" i="31"/>
  <c r="H224" i="31"/>
  <c r="G248" i="31"/>
  <c r="G242" i="31"/>
  <c r="Q229" i="31"/>
  <c r="J248" i="31"/>
  <c r="J242" i="31"/>
  <c r="G218" i="31"/>
  <c r="L248" i="31"/>
  <c r="L242" i="31"/>
  <c r="L243" i="31" s="1"/>
  <c r="L244" i="31" s="1"/>
  <c r="L245" i="31" s="1"/>
  <c r="L246" i="31" s="1"/>
  <c r="L247" i="31" s="1"/>
  <c r="J218" i="31"/>
  <c r="J212" i="31"/>
  <c r="H212" i="31"/>
  <c r="I217" i="31"/>
  <c r="Q205" i="31"/>
  <c r="V242" i="31"/>
  <c r="V243" i="31" s="1"/>
  <c r="V244" i="31" s="1"/>
  <c r="V245" i="31" s="1"/>
  <c r="V246" i="31" s="1"/>
  <c r="V247" i="31" s="1"/>
  <c r="V248" i="31"/>
  <c r="F224" i="31"/>
  <c r="Q217" i="31"/>
  <c r="I229" i="31"/>
  <c r="T241" i="31"/>
  <c r="T235" i="31"/>
  <c r="T236" i="31" s="1"/>
  <c r="T237" i="31" s="1"/>
  <c r="T238" i="31" s="1"/>
  <c r="T239" i="31" s="1"/>
  <c r="T240" i="31" s="1"/>
  <c r="K230" i="31"/>
  <c r="J230" i="31"/>
  <c r="I211" i="31"/>
  <c r="F236" i="31"/>
  <c r="S248" i="31"/>
  <c r="S242" i="31"/>
  <c r="S243" i="31" s="1"/>
  <c r="S244" i="31" s="1"/>
  <c r="S245" i="31" s="1"/>
  <c r="S246" i="31" s="1"/>
  <c r="S247" i="31" s="1"/>
  <c r="A241" i="31"/>
  <c r="A235" i="31"/>
  <c r="A236" i="31" s="1"/>
  <c r="A237" i="31" s="1"/>
  <c r="A238" i="31" s="1"/>
  <c r="A239" i="31" s="1"/>
  <c r="A240" i="31" s="1"/>
  <c r="K248" i="31"/>
  <c r="K242" i="31"/>
  <c r="G230" i="31"/>
  <c r="K218" i="31"/>
  <c r="J224" i="31"/>
  <c r="H218" i="31"/>
  <c r="P235" i="31"/>
  <c r="P236" i="31" s="1"/>
  <c r="P237" i="31" s="1"/>
  <c r="P238" i="31" s="1"/>
  <c r="P239" i="31" s="1"/>
  <c r="P240" i="31" s="1"/>
  <c r="P241" i="31"/>
  <c r="O248" i="31"/>
  <c r="O242" i="31"/>
  <c r="O243" i="31" s="1"/>
  <c r="O244" i="31" s="1"/>
  <c r="O245" i="31" s="1"/>
  <c r="O246" i="31" s="1"/>
  <c r="O247" i="31" s="1"/>
  <c r="F230" i="31"/>
  <c r="F218" i="31"/>
  <c r="Q241" i="31"/>
  <c r="Q235" i="31"/>
  <c r="M242" i="31"/>
  <c r="M243" i="31" s="1"/>
  <c r="M244" i="31" s="1"/>
  <c r="M245" i="31" s="1"/>
  <c r="M246" i="31" s="1"/>
  <c r="M247" i="31" s="1"/>
  <c r="M248" i="31"/>
  <c r="W248" i="31"/>
  <c r="W242" i="31"/>
  <c r="W243" i="31" s="1"/>
  <c r="W244" i="31" s="1"/>
  <c r="W245" i="31" s="1"/>
  <c r="W246" i="31" s="1"/>
  <c r="W247" i="31" s="1"/>
  <c r="AE242" i="31"/>
  <c r="BI235" i="31"/>
  <c r="J236" i="31"/>
  <c r="B248" i="31"/>
  <c r="B242" i="31"/>
  <c r="B243" i="31" s="1"/>
  <c r="B244" i="31" s="1"/>
  <c r="B245" i="31" s="1"/>
  <c r="B246" i="31" s="1"/>
  <c r="B247" i="31" s="1"/>
  <c r="I205" i="31"/>
  <c r="C248" i="31"/>
  <c r="C242" i="31"/>
  <c r="C243" i="31" s="1"/>
  <c r="C244" i="31" s="1"/>
  <c r="C245" i="31" s="1"/>
  <c r="C246" i="31" s="1"/>
  <c r="C247" i="31" s="1"/>
  <c r="F242" i="31"/>
  <c r="F248" i="31"/>
  <c r="R248" i="31"/>
  <c r="R242" i="31"/>
  <c r="R243" i="31" s="1"/>
  <c r="R244" i="31" s="1"/>
  <c r="R245" i="31" s="1"/>
  <c r="R246" i="31" s="1"/>
  <c r="R247" i="31" s="1"/>
  <c r="K224" i="31"/>
  <c r="G224" i="31"/>
  <c r="IW120" i="24"/>
  <c r="IL131" i="18"/>
  <c r="IL123" i="18"/>
  <c r="A30" i="23"/>
  <c r="G70" i="23" s="1"/>
  <c r="H70" i="23" s="1"/>
  <c r="G69" i="23"/>
  <c r="H69" i="23" s="1"/>
  <c r="BT54" i="10"/>
  <c r="CB54" i="10" s="1"/>
  <c r="AX53" i="18"/>
  <c r="BY53" i="18" s="1"/>
  <c r="AX48" i="18"/>
  <c r="BY48" i="18" s="1"/>
  <c r="BM60" i="10"/>
  <c r="CA60" i="10" s="1"/>
  <c r="IL107" i="24"/>
  <c r="R89" i="10"/>
  <c r="CS89" i="10" s="1"/>
  <c r="IL101" i="18"/>
  <c r="BT70" i="10"/>
  <c r="CB70" i="10" s="1"/>
  <c r="BF64" i="10"/>
  <c r="BZ64" i="10" s="1"/>
  <c r="BV64" i="10" s="1"/>
  <c r="R64" i="10" s="1"/>
  <c r="CS103" i="10"/>
  <c r="S103" i="10"/>
  <c r="T103" i="10" s="1"/>
  <c r="ID103" i="10" s="1"/>
  <c r="R77" i="10"/>
  <c r="CS77" i="10" s="1"/>
  <c r="BF62" i="18"/>
  <c r="BZ62" i="18" s="1"/>
  <c r="BT70" i="18"/>
  <c r="CB70" i="18" s="1"/>
  <c r="BF57" i="10"/>
  <c r="BZ57" i="10" s="1"/>
  <c r="LF80" i="18"/>
  <c r="R93" i="10"/>
  <c r="CS93" i="10" s="1"/>
  <c r="AX57" i="10"/>
  <c r="BY57" i="10" s="1"/>
  <c r="AP60" i="18"/>
  <c r="BX60" i="18" s="1"/>
  <c r="BV60" i="18" s="1"/>
  <c r="R60" i="18" s="1"/>
  <c r="R81" i="10"/>
  <c r="CS81" i="10" s="1"/>
  <c r="BM47" i="18"/>
  <c r="CA47" i="18" s="1"/>
  <c r="BM70" i="18"/>
  <c r="CA70" i="18" s="1"/>
  <c r="AP51" i="10"/>
  <c r="BX51" i="10" s="1"/>
  <c r="BM66" i="10"/>
  <c r="CA66" i="10" s="1"/>
  <c r="S117" i="10"/>
  <c r="T117" i="10" s="1"/>
  <c r="U117" i="10" s="1"/>
  <c r="IF117" i="10" s="1"/>
  <c r="BT62" i="18"/>
  <c r="CB62" i="18" s="1"/>
  <c r="AX53" i="10"/>
  <c r="BY53" i="10" s="1"/>
  <c r="BF48" i="18"/>
  <c r="BZ48" i="18" s="1"/>
  <c r="R90" i="10"/>
  <c r="CS90" i="10" s="1"/>
  <c r="BV67" i="18"/>
  <c r="BM59" i="10"/>
  <c r="CA59" i="10" s="1"/>
  <c r="BM68" i="10"/>
  <c r="CA68" i="10" s="1"/>
  <c r="LF41" i="24"/>
  <c r="AX56" i="18"/>
  <c r="BY56" i="18" s="1"/>
  <c r="AP68" i="10"/>
  <c r="BX68" i="10" s="1"/>
  <c r="DC586" i="15"/>
  <c r="DE585" i="15"/>
  <c r="IC75" i="24"/>
  <c r="AX43" i="18"/>
  <c r="BY43" i="18" s="1"/>
  <c r="R119" i="10"/>
  <c r="S119" i="10" s="1"/>
  <c r="T119" i="10" s="1"/>
  <c r="S109" i="10"/>
  <c r="T109" i="10" s="1"/>
  <c r="S41" i="24"/>
  <c r="IC41" i="24" s="1"/>
  <c r="BV51" i="24"/>
  <c r="R51" i="24" s="1"/>
  <c r="LF51" i="24" s="1"/>
  <c r="BM50" i="18"/>
  <c r="CA50" i="18" s="1"/>
  <c r="CF588" i="15"/>
  <c r="CQ588" i="15" s="1"/>
  <c r="CV588" i="15" s="1"/>
  <c r="CE588" i="15"/>
  <c r="CP588" i="15" s="1"/>
  <c r="CU588" i="15" s="1"/>
  <c r="BQ590" i="15"/>
  <c r="BF66" i="18"/>
  <c r="BZ66" i="18" s="1"/>
  <c r="IL72" i="24"/>
  <c r="IL82" i="24"/>
  <c r="S105" i="10"/>
  <c r="IB105" i="10" s="1"/>
  <c r="LE79" i="10"/>
  <c r="BM54" i="10"/>
  <c r="CA54" i="10" s="1"/>
  <c r="R88" i="10"/>
  <c r="CS88" i="10" s="1"/>
  <c r="BF66" i="10"/>
  <c r="BZ66" i="10" s="1"/>
  <c r="BT59" i="10"/>
  <c r="CB59" i="10" s="1"/>
  <c r="BT65" i="10"/>
  <c r="CB65" i="10" s="1"/>
  <c r="BF65" i="10"/>
  <c r="BZ65" i="10" s="1"/>
  <c r="CS111" i="10"/>
  <c r="S111" i="10"/>
  <c r="T111" i="10" s="1"/>
  <c r="ID111" i="10" s="1"/>
  <c r="S97" i="10"/>
  <c r="IB109" i="10"/>
  <c r="BF45" i="10"/>
  <c r="BZ45" i="10" s="1"/>
  <c r="AP58" i="10"/>
  <c r="BX58" i="10" s="1"/>
  <c r="BM67" i="10"/>
  <c r="CA67" i="10" s="1"/>
  <c r="BT48" i="10"/>
  <c r="CB48" i="10" s="1"/>
  <c r="AP57" i="10"/>
  <c r="BX57" i="10" s="1"/>
  <c r="AP50" i="10"/>
  <c r="BX50" i="10" s="1"/>
  <c r="BT58" i="10"/>
  <c r="CB58" i="10" s="1"/>
  <c r="IL76" i="18"/>
  <c r="AP64" i="18"/>
  <c r="BX64" i="18" s="1"/>
  <c r="AX67" i="10"/>
  <c r="BY67" i="10" s="1"/>
  <c r="BM65" i="10"/>
  <c r="CA65" i="10" s="1"/>
  <c r="AX60" i="10"/>
  <c r="BY60" i="10" s="1"/>
  <c r="AX44" i="18"/>
  <c r="BY44" i="18" s="1"/>
  <c r="IL89" i="24"/>
  <c r="IL99" i="24"/>
  <c r="IL79" i="18"/>
  <c r="IL100" i="24"/>
  <c r="IL106" i="24"/>
  <c r="IL102" i="24"/>
  <c r="IL90" i="24"/>
  <c r="IL75" i="24"/>
  <c r="IL94" i="24"/>
  <c r="S85" i="10"/>
  <c r="IE73" i="18"/>
  <c r="IL73" i="18" s="1"/>
  <c r="AX49" i="18"/>
  <c r="BY49" i="18" s="1"/>
  <c r="AP67" i="10"/>
  <c r="BX67" i="10" s="1"/>
  <c r="BV55" i="24"/>
  <c r="R55" i="24" s="1"/>
  <c r="S55" i="24" s="1"/>
  <c r="BM51" i="10"/>
  <c r="CA51" i="10" s="1"/>
  <c r="BT66" i="18"/>
  <c r="CB66" i="18" s="1"/>
  <c r="BM68" i="18"/>
  <c r="CA68" i="18" s="1"/>
  <c r="AP56" i="18"/>
  <c r="BX56" i="18" s="1"/>
  <c r="BT57" i="18"/>
  <c r="CB57" i="18" s="1"/>
  <c r="CS98" i="10"/>
  <c r="S98" i="10"/>
  <c r="IB98" i="10" s="1"/>
  <c r="AX61" i="10"/>
  <c r="BY61" i="10" s="1"/>
  <c r="BM54" i="18"/>
  <c r="CA54" i="18" s="1"/>
  <c r="BM62" i="18"/>
  <c r="CA62" i="18" s="1"/>
  <c r="LE72" i="10"/>
  <c r="LE84" i="10"/>
  <c r="BM69" i="10"/>
  <c r="CA69" i="10" s="1"/>
  <c r="BM56" i="10"/>
  <c r="CA56" i="10" s="1"/>
  <c r="BF64" i="18"/>
  <c r="BZ64" i="18" s="1"/>
  <c r="BT48" i="18"/>
  <c r="CB48" i="18" s="1"/>
  <c r="BT56" i="18"/>
  <c r="CB56" i="18" s="1"/>
  <c r="BT56" i="10"/>
  <c r="CB56" i="10" s="1"/>
  <c r="S84" i="10"/>
  <c r="IB84" i="10" s="1"/>
  <c r="S78" i="18"/>
  <c r="T78" i="18" s="1"/>
  <c r="AX68" i="10"/>
  <c r="BY68" i="10" s="1"/>
  <c r="BM57" i="18"/>
  <c r="CA57" i="18" s="1"/>
  <c r="AP44" i="18"/>
  <c r="BX44" i="18" s="1"/>
  <c r="BM56" i="18"/>
  <c r="CA56" i="18" s="1"/>
  <c r="BV66" i="24"/>
  <c r="R66" i="24" s="1"/>
  <c r="LF66" i="24" s="1"/>
  <c r="S72" i="10"/>
  <c r="IB72" i="10" s="1"/>
  <c r="R67" i="18"/>
  <c r="CS67" i="18" s="1"/>
  <c r="LE83" i="10"/>
  <c r="BF70" i="18"/>
  <c r="BZ70" i="18" s="1"/>
  <c r="AP58" i="18"/>
  <c r="BX58" i="18" s="1"/>
  <c r="BV64" i="24"/>
  <c r="R64" i="24" s="1"/>
  <c r="LF64" i="24" s="1"/>
  <c r="BV69" i="24"/>
  <c r="R69" i="24" s="1"/>
  <c r="LF69" i="24" s="1"/>
  <c r="AX54" i="10"/>
  <c r="BY54" i="10" s="1"/>
  <c r="AX50" i="18"/>
  <c r="BY50" i="18" s="1"/>
  <c r="BV45" i="24"/>
  <c r="R45" i="24" s="1"/>
  <c r="S45" i="24" s="1"/>
  <c r="BT46" i="18"/>
  <c r="CB46" i="18" s="1"/>
  <c r="BF68" i="18"/>
  <c r="BZ68" i="18" s="1"/>
  <c r="BV59" i="24"/>
  <c r="R59" i="24" s="1"/>
  <c r="CS59" i="24" s="1"/>
  <c r="AX65" i="10"/>
  <c r="BY65" i="10" s="1"/>
  <c r="AX58" i="18"/>
  <c r="BY58" i="18" s="1"/>
  <c r="AX61" i="18"/>
  <c r="BY61" i="18" s="1"/>
  <c r="BF60" i="10"/>
  <c r="BZ60" i="10" s="1"/>
  <c r="IE84" i="24"/>
  <c r="IL84" i="24" s="1"/>
  <c r="LF71" i="24"/>
  <c r="CS71" i="24"/>
  <c r="S71" i="24"/>
  <c r="IC71" i="24" s="1"/>
  <c r="BV52" i="18"/>
  <c r="R52" i="18" s="1"/>
  <c r="LE85" i="10"/>
  <c r="BF59" i="10"/>
  <c r="BZ59" i="10" s="1"/>
  <c r="BT54" i="18"/>
  <c r="CB54" i="18" s="1"/>
  <c r="R41" i="18"/>
  <c r="LF41" i="18" s="1"/>
  <c r="BT61" i="18"/>
  <c r="CB61" i="18" s="1"/>
  <c r="BV55" i="18"/>
  <c r="R55" i="18" s="1"/>
  <c r="CS55" i="18" s="1"/>
  <c r="BF58" i="10"/>
  <c r="BZ58" i="10" s="1"/>
  <c r="BV52" i="24"/>
  <c r="R52" i="24" s="1"/>
  <c r="CS52" i="24" s="1"/>
  <c r="AX57" i="18"/>
  <c r="BY57" i="18" s="1"/>
  <c r="S100" i="10"/>
  <c r="T100" i="10" s="1"/>
  <c r="ID100" i="10" s="1"/>
  <c r="AX54" i="18"/>
  <c r="BY54" i="18" s="1"/>
  <c r="BF62" i="10"/>
  <c r="BZ62" i="10" s="1"/>
  <c r="AP61" i="10"/>
  <c r="BX61" i="10" s="1"/>
  <c r="AX62" i="10"/>
  <c r="BY62" i="10" s="1"/>
  <c r="S108" i="10"/>
  <c r="T108" i="10" s="1"/>
  <c r="ID108" i="10" s="1"/>
  <c r="BT50" i="10"/>
  <c r="CB50" i="10" s="1"/>
  <c r="BV57" i="24"/>
  <c r="R57" i="24" s="1"/>
  <c r="CS57" i="24" s="1"/>
  <c r="AP46" i="18"/>
  <c r="BX46" i="18" s="1"/>
  <c r="S83" i="10"/>
  <c r="T83" i="10" s="1"/>
  <c r="ID83" i="10" s="1"/>
  <c r="AP69" i="18"/>
  <c r="BX69" i="18" s="1"/>
  <c r="AX69" i="10"/>
  <c r="BY69" i="10" s="1"/>
  <c r="BM66" i="18"/>
  <c r="CA66" i="18" s="1"/>
  <c r="BF61" i="10"/>
  <c r="BZ61" i="10" s="1"/>
  <c r="AX58" i="10"/>
  <c r="BY58" i="10" s="1"/>
  <c r="BM45" i="10"/>
  <c r="CA45" i="10" s="1"/>
  <c r="AX66" i="10"/>
  <c r="BY66" i="10" s="1"/>
  <c r="AP66" i="18"/>
  <c r="BX66" i="18" s="1"/>
  <c r="BV66" i="18" s="1"/>
  <c r="R66" i="18" s="1"/>
  <c r="BV50" i="24"/>
  <c r="R50" i="24" s="1"/>
  <c r="CS50" i="24" s="1"/>
  <c r="J29" i="15"/>
  <c r="AH580" i="15" s="1"/>
  <c r="BT57" i="10"/>
  <c r="CB57" i="10" s="1"/>
  <c r="BF55" i="10"/>
  <c r="BZ55" i="10" s="1"/>
  <c r="BT55" i="10"/>
  <c r="CB55" i="10" s="1"/>
  <c r="BT53" i="18"/>
  <c r="CB53" i="18" s="1"/>
  <c r="BT58" i="18"/>
  <c r="CB58" i="18" s="1"/>
  <c r="AP50" i="18"/>
  <c r="BX50" i="18" s="1"/>
  <c r="BT49" i="10"/>
  <c r="CB49" i="10" s="1"/>
  <c r="AP49" i="18"/>
  <c r="BX49" i="18" s="1"/>
  <c r="BM46" i="18"/>
  <c r="CA46" i="18" s="1"/>
  <c r="BV49" i="24"/>
  <c r="R49" i="24" s="1"/>
  <c r="S49" i="24" s="1"/>
  <c r="T49" i="24" s="1"/>
  <c r="U49" i="24" s="1"/>
  <c r="AX47" i="10"/>
  <c r="BY47" i="10" s="1"/>
  <c r="BV48" i="24"/>
  <c r="R48" i="24" s="1"/>
  <c r="CS48" i="24" s="1"/>
  <c r="BT50" i="18"/>
  <c r="CB50" i="18" s="1"/>
  <c r="BF44" i="10"/>
  <c r="BZ44" i="10" s="1"/>
  <c r="AX46" i="18"/>
  <c r="BY46" i="18" s="1"/>
  <c r="AP43" i="18"/>
  <c r="BX43" i="18" s="1"/>
  <c r="BV47" i="24"/>
  <c r="R47" i="24" s="1"/>
  <c r="LF47" i="24" s="1"/>
  <c r="BF53" i="18"/>
  <c r="BZ53" i="18" s="1"/>
  <c r="BV53" i="24"/>
  <c r="R53" i="24" s="1"/>
  <c r="S53" i="24" s="1"/>
  <c r="AX52" i="10"/>
  <c r="BY52" i="10" s="1"/>
  <c r="BM52" i="10"/>
  <c r="CA52" i="10" s="1"/>
  <c r="BM48" i="18"/>
  <c r="CA48" i="18" s="1"/>
  <c r="BM47" i="10"/>
  <c r="CA47" i="10" s="1"/>
  <c r="BF43" i="10"/>
  <c r="BZ43" i="10" s="1"/>
  <c r="BM44" i="18"/>
  <c r="CA44" i="18" s="1"/>
  <c r="BT45" i="10"/>
  <c r="CB45" i="10" s="1"/>
  <c r="BV59" i="18"/>
  <c r="AX50" i="10"/>
  <c r="BY50" i="10" s="1"/>
  <c r="BF49" i="10"/>
  <c r="BZ49" i="10" s="1"/>
  <c r="AX68" i="18"/>
  <c r="BY68" i="18" s="1"/>
  <c r="BV68" i="18" s="1"/>
  <c r="R68" i="18" s="1"/>
  <c r="CS68" i="18" s="1"/>
  <c r="U77" i="24"/>
  <c r="IG77" i="24" s="1"/>
  <c r="IE77" i="24"/>
  <c r="BV46" i="24"/>
  <c r="R46" i="24" s="1"/>
  <c r="CS46" i="24" s="1"/>
  <c r="AP65" i="10"/>
  <c r="BX65" i="10" s="1"/>
  <c r="BV56" i="24"/>
  <c r="R56" i="24" s="1"/>
  <c r="S56" i="24" s="1"/>
  <c r="T56" i="24" s="1"/>
  <c r="U56" i="24" s="1"/>
  <c r="BV44" i="24"/>
  <c r="R44" i="24" s="1"/>
  <c r="CS44" i="24" s="1"/>
  <c r="BM50" i="10"/>
  <c r="CA50" i="10" s="1"/>
  <c r="BM46" i="10"/>
  <c r="CA46" i="10" s="1"/>
  <c r="S91" i="10"/>
  <c r="T91" i="10" s="1"/>
  <c r="BF56" i="10"/>
  <c r="BZ56" i="10" s="1"/>
  <c r="BM45" i="18"/>
  <c r="CA45" i="18" s="1"/>
  <c r="BM51" i="18"/>
  <c r="CA51" i="18" s="1"/>
  <c r="S116" i="10"/>
  <c r="T116" i="10" s="1"/>
  <c r="ID116" i="10" s="1"/>
  <c r="BF51" i="18"/>
  <c r="BZ51" i="18" s="1"/>
  <c r="AP62" i="10"/>
  <c r="BX62" i="10" s="1"/>
  <c r="AP49" i="10"/>
  <c r="BX49" i="10" s="1"/>
  <c r="AP45" i="18"/>
  <c r="BX45" i="18" s="1"/>
  <c r="AP54" i="18"/>
  <c r="BX54" i="18" s="1"/>
  <c r="AX49" i="10"/>
  <c r="BY49" i="10" s="1"/>
  <c r="R41" i="10"/>
  <c r="LE41" i="10" s="1"/>
  <c r="AX45" i="18"/>
  <c r="BY45" i="18" s="1"/>
  <c r="BV47" i="18"/>
  <c r="R47" i="18" s="1"/>
  <c r="BT45" i="18"/>
  <c r="CB45" i="18" s="1"/>
  <c r="BI160" i="15"/>
  <c r="U115" i="18"/>
  <c r="IG115" i="18" s="1"/>
  <c r="AP53" i="10"/>
  <c r="BX53" i="10" s="1"/>
  <c r="BV62" i="24"/>
  <c r="R62" i="24" s="1"/>
  <c r="CS62" i="24" s="1"/>
  <c r="LO47" i="24"/>
  <c r="LS46" i="24"/>
  <c r="AP70" i="18"/>
  <c r="BX70" i="18" s="1"/>
  <c r="BV70" i="18" s="1"/>
  <c r="R70" i="18" s="1"/>
  <c r="T108" i="18"/>
  <c r="U108" i="18" s="1"/>
  <c r="IG108" i="18" s="1"/>
  <c r="BT51" i="10"/>
  <c r="CB51" i="10" s="1"/>
  <c r="BF69" i="10"/>
  <c r="BZ69" i="10" s="1"/>
  <c r="AP54" i="10"/>
  <c r="BX54" i="10" s="1"/>
  <c r="AP48" i="10"/>
  <c r="BX48" i="10" s="1"/>
  <c r="BV65" i="18"/>
  <c r="T97" i="24"/>
  <c r="U97" i="24" s="1"/>
  <c r="IG97" i="24" s="1"/>
  <c r="BF67" i="10"/>
  <c r="BZ67" i="10" s="1"/>
  <c r="BT69" i="18"/>
  <c r="CB69" i="18" s="1"/>
  <c r="AX64" i="18"/>
  <c r="BY64" i="18" s="1"/>
  <c r="BM57" i="10"/>
  <c r="CA57" i="10" s="1"/>
  <c r="U77" i="18"/>
  <c r="IG77" i="18" s="1"/>
  <c r="BM58" i="18"/>
  <c r="CA58" i="18" s="1"/>
  <c r="U102" i="18"/>
  <c r="IG102" i="18" s="1"/>
  <c r="BV71" i="10"/>
  <c r="R71" i="10" s="1"/>
  <c r="LE71" i="10" s="1"/>
  <c r="BF68" i="10"/>
  <c r="BZ68" i="10" s="1"/>
  <c r="BM53" i="18"/>
  <c r="CA53" i="18" s="1"/>
  <c r="BM61" i="10"/>
  <c r="CA61" i="10" s="1"/>
  <c r="U87" i="18"/>
  <c r="IG87" i="18" s="1"/>
  <c r="AP46" i="10"/>
  <c r="BX46" i="10" s="1"/>
  <c r="AP55" i="10"/>
  <c r="BX55" i="10" s="1"/>
  <c r="AX48" i="10"/>
  <c r="BY48" i="10" s="1"/>
  <c r="AP45" i="10"/>
  <c r="BX45" i="10" s="1"/>
  <c r="AX46" i="10"/>
  <c r="BY46" i="10" s="1"/>
  <c r="T41" i="24"/>
  <c r="IE41" i="24" s="1"/>
  <c r="CT41" i="24"/>
  <c r="CX41" i="24" s="1"/>
  <c r="S69" i="24"/>
  <c r="T69" i="24" s="1"/>
  <c r="IG105" i="24"/>
  <c r="IE116" i="24"/>
  <c r="U116" i="24"/>
  <c r="IE65" i="24"/>
  <c r="LF61" i="24"/>
  <c r="S61" i="24"/>
  <c r="T61" i="24" s="1"/>
  <c r="CS61" i="24"/>
  <c r="IC80" i="24"/>
  <c r="IE92" i="24"/>
  <c r="IC76" i="24"/>
  <c r="IE96" i="24"/>
  <c r="IC81" i="24"/>
  <c r="LF42" i="24"/>
  <c r="S42" i="24"/>
  <c r="T42" i="24" s="1"/>
  <c r="CS42" i="24"/>
  <c r="CZ40" i="24"/>
  <c r="DC40" i="24"/>
  <c r="CY40" i="24"/>
  <c r="DB40" i="24"/>
  <c r="CX40" i="24"/>
  <c r="DA40" i="24"/>
  <c r="FS46" i="24"/>
  <c r="IG86" i="24"/>
  <c r="IL86" i="24" s="1"/>
  <c r="IE70" i="24"/>
  <c r="IE85" i="24"/>
  <c r="A30" i="24"/>
  <c r="A31" i="24" s="1"/>
  <c r="C7" i="24"/>
  <c r="IG115" i="24"/>
  <c r="IL115" i="24" s="1"/>
  <c r="CS58" i="24"/>
  <c r="LF58" i="24"/>
  <c r="S58" i="24"/>
  <c r="IE88" i="24"/>
  <c r="IE87" i="24"/>
  <c r="IC109" i="24"/>
  <c r="BV60" i="24"/>
  <c r="R60" i="24" s="1"/>
  <c r="IG110" i="24"/>
  <c r="IE63" i="24"/>
  <c r="IC104" i="24"/>
  <c r="IG101" i="24"/>
  <c r="IL101" i="24" s="1"/>
  <c r="T80" i="24"/>
  <c r="U80" i="24" s="1"/>
  <c r="IC92" i="24"/>
  <c r="IE98" i="24"/>
  <c r="IC96" i="24"/>
  <c r="IG68" i="24"/>
  <c r="T81" i="24"/>
  <c r="U81" i="24" s="1"/>
  <c r="W40" i="24"/>
  <c r="IC40" i="24"/>
  <c r="IC85" i="24"/>
  <c r="IC88" i="24"/>
  <c r="IE117" i="24"/>
  <c r="IC87" i="24"/>
  <c r="BV43" i="24"/>
  <c r="R43" i="24" s="1"/>
  <c r="IE91" i="24"/>
  <c r="EL55" i="24"/>
  <c r="IC110" i="24"/>
  <c r="T104" i="24"/>
  <c r="U104" i="24" s="1"/>
  <c r="IG73" i="24"/>
  <c r="IL73" i="24" s="1"/>
  <c r="U91" i="24"/>
  <c r="IG108" i="24"/>
  <c r="IL108" i="24" s="1"/>
  <c r="U92" i="24"/>
  <c r="IC98" i="24"/>
  <c r="U96" i="24"/>
  <c r="IC68" i="24"/>
  <c r="IG93" i="24"/>
  <c r="IL93" i="24" s="1"/>
  <c r="X40" i="24"/>
  <c r="IE40" i="24"/>
  <c r="IE114" i="24"/>
  <c r="U114" i="24"/>
  <c r="IC70" i="24"/>
  <c r="IE79" i="24"/>
  <c r="IE105" i="24"/>
  <c r="T109" i="24"/>
  <c r="U109" i="24" s="1"/>
  <c r="IE95" i="24"/>
  <c r="IC63" i="24"/>
  <c r="U79" i="24"/>
  <c r="U95" i="24"/>
  <c r="IG78" i="24"/>
  <c r="IL78" i="24" s="1"/>
  <c r="IC65" i="24"/>
  <c r="IC116" i="24"/>
  <c r="T76" i="24"/>
  <c r="U76" i="24" s="1"/>
  <c r="U98" i="24"/>
  <c r="IE68" i="24"/>
  <c r="IG40" i="24"/>
  <c r="Y40" i="24"/>
  <c r="U70" i="24"/>
  <c r="BV67" i="24"/>
  <c r="R67" i="24" s="1"/>
  <c r="U85" i="24"/>
  <c r="U88" i="24"/>
  <c r="U87" i="24"/>
  <c r="CS54" i="24"/>
  <c r="LF54" i="24"/>
  <c r="S54" i="24"/>
  <c r="T54" i="24" s="1"/>
  <c r="IC97" i="24"/>
  <c r="IE110" i="24"/>
  <c r="U63" i="24"/>
  <c r="IG111" i="24"/>
  <c r="IL111" i="24" s="1"/>
  <c r="U117" i="24"/>
  <c r="IG112" i="24"/>
  <c r="IL112" i="24" s="1"/>
  <c r="U65" i="24"/>
  <c r="X25" i="23"/>
  <c r="ID119" i="10"/>
  <c r="IE88" i="18"/>
  <c r="U88" i="18"/>
  <c r="IG83" i="18"/>
  <c r="ID91" i="10"/>
  <c r="IF82" i="10"/>
  <c r="IE99" i="18"/>
  <c r="U99" i="18"/>
  <c r="S112" i="18"/>
  <c r="T112" i="18" s="1"/>
  <c r="U112" i="18" s="1"/>
  <c r="X73" i="16"/>
  <c r="X67" i="16"/>
  <c r="X68" i="16" s="1"/>
  <c r="X69" i="16" s="1"/>
  <c r="X70" i="16" s="1"/>
  <c r="X71" i="16" s="1"/>
  <c r="X72" i="16" s="1"/>
  <c r="IC117" i="18"/>
  <c r="BB169" i="15"/>
  <c r="IE94" i="18"/>
  <c r="I73" i="16"/>
  <c r="I67" i="16"/>
  <c r="F60" i="16"/>
  <c r="F66" i="16"/>
  <c r="IE78" i="18"/>
  <c r="Q55" i="16"/>
  <c r="BB169" i="17"/>
  <c r="T66" i="1"/>
  <c r="T60" i="1"/>
  <c r="T61" i="1" s="1"/>
  <c r="T62" i="1" s="1"/>
  <c r="T63" i="1" s="1"/>
  <c r="T64" i="1" s="1"/>
  <c r="T65" i="1" s="1"/>
  <c r="AX51" i="10"/>
  <c r="BY51" i="10" s="1"/>
  <c r="LE74" i="10"/>
  <c r="S74" i="10"/>
  <c r="T74" i="10" s="1"/>
  <c r="S118" i="18"/>
  <c r="T118" i="18" s="1"/>
  <c r="IB97" i="10"/>
  <c r="Q80" i="1"/>
  <c r="Q74" i="1"/>
  <c r="I55" i="16"/>
  <c r="A30" i="18"/>
  <c r="C8" i="18" s="1"/>
  <c r="IB113" i="10"/>
  <c r="LF74" i="18"/>
  <c r="S74" i="18"/>
  <c r="CS40" i="10"/>
  <c r="CT40" i="10" s="1"/>
  <c r="CU40" i="10" s="1"/>
  <c r="LE40" i="10"/>
  <c r="S40" i="10"/>
  <c r="T40" i="10" s="1"/>
  <c r="V73" i="1"/>
  <c r="V67" i="1"/>
  <c r="V68" i="1" s="1"/>
  <c r="V69" i="1" s="1"/>
  <c r="V70" i="1" s="1"/>
  <c r="V71" i="1" s="1"/>
  <c r="V72" i="1" s="1"/>
  <c r="IE107" i="18"/>
  <c r="BV63" i="18"/>
  <c r="R63" i="18" s="1"/>
  <c r="IE115" i="18"/>
  <c r="I61" i="16"/>
  <c r="IE87" i="18"/>
  <c r="F54" i="16"/>
  <c r="S114" i="10"/>
  <c r="T114" i="10" s="1"/>
  <c r="U114" i="10" s="1"/>
  <c r="BF46" i="10"/>
  <c r="BZ46" i="10" s="1"/>
  <c r="O73" i="1"/>
  <c r="O67" i="1"/>
  <c r="O68" i="1" s="1"/>
  <c r="O69" i="1" s="1"/>
  <c r="O70" i="1" s="1"/>
  <c r="O71" i="1" s="1"/>
  <c r="O72" i="1" s="1"/>
  <c r="S104" i="10"/>
  <c r="T104" i="10" s="1"/>
  <c r="IG129" i="18"/>
  <c r="BF49" i="18"/>
  <c r="BZ49" i="18" s="1"/>
  <c r="BT62" i="10"/>
  <c r="CB62" i="10" s="1"/>
  <c r="IB79" i="10"/>
  <c r="S96" i="18"/>
  <c r="LE80" i="10"/>
  <c r="S80" i="10"/>
  <c r="M67" i="16"/>
  <c r="M68" i="16" s="1"/>
  <c r="M69" i="16" s="1"/>
  <c r="M70" i="16" s="1"/>
  <c r="M71" i="16" s="1"/>
  <c r="M72" i="16" s="1"/>
  <c r="M73" i="16"/>
  <c r="S110" i="10"/>
  <c r="BI160" i="17"/>
  <c r="BM63" i="10"/>
  <c r="CA63" i="10" s="1"/>
  <c r="S89" i="10"/>
  <c r="AP59" i="10"/>
  <c r="BX59" i="10" s="1"/>
  <c r="S103" i="18"/>
  <c r="R59" i="18"/>
  <c r="BT52" i="10"/>
  <c r="CB52" i="10" s="1"/>
  <c r="IE81" i="18"/>
  <c r="S95" i="10"/>
  <c r="T95" i="10" s="1"/>
  <c r="BT66" i="10"/>
  <c r="CB66" i="10" s="1"/>
  <c r="AP56" i="10"/>
  <c r="BX56" i="10" s="1"/>
  <c r="BT47" i="10"/>
  <c r="CB47" i="10" s="1"/>
  <c r="X60" i="1"/>
  <c r="X61" i="1" s="1"/>
  <c r="X62" i="1" s="1"/>
  <c r="X63" i="1" s="1"/>
  <c r="X64" i="1" s="1"/>
  <c r="X65" i="1" s="1"/>
  <c r="X66" i="1"/>
  <c r="S75" i="18"/>
  <c r="T75" i="18" s="1"/>
  <c r="LF75" i="18"/>
  <c r="Q61" i="16"/>
  <c r="BM53" i="10"/>
  <c r="CA53" i="10" s="1"/>
  <c r="BM49" i="18"/>
  <c r="CA49" i="18" s="1"/>
  <c r="S87" i="10"/>
  <c r="LE87" i="10"/>
  <c r="S115" i="10"/>
  <c r="K61" i="1"/>
  <c r="AU34" i="17"/>
  <c r="IC89" i="18"/>
  <c r="IC40" i="18"/>
  <c r="W40" i="18"/>
  <c r="N60" i="16"/>
  <c r="N61" i="16" s="1"/>
  <c r="N62" i="16" s="1"/>
  <c r="N63" i="16" s="1"/>
  <c r="N64" i="16" s="1"/>
  <c r="N65" i="16" s="1"/>
  <c r="N66" i="16"/>
  <c r="AX44" i="10"/>
  <c r="BY44" i="10" s="1"/>
  <c r="G73" i="1"/>
  <c r="G67" i="1"/>
  <c r="K54" i="16"/>
  <c r="J43" i="16"/>
  <c r="A31" i="18"/>
  <c r="C6" i="18"/>
  <c r="C7" i="18"/>
  <c r="C5" i="18"/>
  <c r="I62" i="1"/>
  <c r="R73" i="1"/>
  <c r="R67" i="1"/>
  <c r="R68" i="1" s="1"/>
  <c r="R69" i="1" s="1"/>
  <c r="R70" i="1" s="1"/>
  <c r="R71" i="1" s="1"/>
  <c r="R72" i="1" s="1"/>
  <c r="M80" i="1"/>
  <c r="M74" i="1"/>
  <c r="M75" i="1" s="1"/>
  <c r="M76" i="1" s="1"/>
  <c r="M77" i="1" s="1"/>
  <c r="M78" i="1" s="1"/>
  <c r="M79" i="1" s="1"/>
  <c r="AP61" i="18"/>
  <c r="BX61" i="18" s="1"/>
  <c r="IC86" i="18"/>
  <c r="T95" i="18"/>
  <c r="T86" i="18"/>
  <c r="H55" i="16"/>
  <c r="J48" i="16"/>
  <c r="C73" i="1"/>
  <c r="C67" i="1"/>
  <c r="C68" i="1" s="1"/>
  <c r="C69" i="1" s="1"/>
  <c r="C70" i="1" s="1"/>
  <c r="C71" i="1" s="1"/>
  <c r="C72" i="1" s="1"/>
  <c r="IB82" i="10"/>
  <c r="S113" i="18"/>
  <c r="T113" i="18" s="1"/>
  <c r="R71" i="18"/>
  <c r="S110" i="18"/>
  <c r="T110" i="18" s="1"/>
  <c r="IB85" i="10"/>
  <c r="S106" i="10"/>
  <c r="IG107" i="18"/>
  <c r="J54" i="16"/>
  <c r="IC93" i="18"/>
  <c r="G48" i="16"/>
  <c r="S82" i="18"/>
  <c r="LF82" i="18"/>
  <c r="Q62" i="1"/>
  <c r="S112" i="10"/>
  <c r="T112" i="10" s="1"/>
  <c r="C60" i="16"/>
  <c r="C61" i="16" s="1"/>
  <c r="C62" i="16" s="1"/>
  <c r="C63" i="16" s="1"/>
  <c r="C64" i="16" s="1"/>
  <c r="C65" i="16" s="1"/>
  <c r="C66" i="16"/>
  <c r="BH26" i="15"/>
  <c r="N67" i="1"/>
  <c r="N68" i="1" s="1"/>
  <c r="N69" i="1" s="1"/>
  <c r="N70" i="1" s="1"/>
  <c r="N71" i="1" s="1"/>
  <c r="N72" i="1" s="1"/>
  <c r="N73" i="1"/>
  <c r="S101" i="10"/>
  <c r="S75" i="10"/>
  <c r="LE75" i="10"/>
  <c r="BH25" i="17"/>
  <c r="LE78" i="10"/>
  <c r="S78" i="10"/>
  <c r="T78" i="10" s="1"/>
  <c r="U78" i="10" s="1"/>
  <c r="I68" i="1"/>
  <c r="H61" i="16"/>
  <c r="B66" i="16"/>
  <c r="B60" i="16"/>
  <c r="B61" i="16" s="1"/>
  <c r="B62" i="16" s="1"/>
  <c r="B63" i="16" s="1"/>
  <c r="B64" i="16" s="1"/>
  <c r="B65" i="16" s="1"/>
  <c r="IE83" i="18"/>
  <c r="K73" i="1"/>
  <c r="K67" i="1"/>
  <c r="IE89" i="18"/>
  <c r="EL58" i="10"/>
  <c r="J55" i="1"/>
  <c r="IC90" i="18"/>
  <c r="IB107" i="10"/>
  <c r="W73" i="1"/>
  <c r="W67" i="1"/>
  <c r="W68" i="1" s="1"/>
  <c r="W69" i="1" s="1"/>
  <c r="W70" i="1" s="1"/>
  <c r="W71" i="1" s="1"/>
  <c r="W72" i="1" s="1"/>
  <c r="IE80" i="18"/>
  <c r="IC109" i="18"/>
  <c r="R36" i="2"/>
  <c r="S72" i="18"/>
  <c r="LF72" i="18"/>
  <c r="T97" i="10"/>
  <c r="J61" i="1"/>
  <c r="AG25" i="17"/>
  <c r="T113" i="10"/>
  <c r="S100" i="18"/>
  <c r="T100" i="18" s="1"/>
  <c r="IF123" i="10"/>
  <c r="S67" i="18"/>
  <c r="D73" i="16"/>
  <c r="D67" i="16"/>
  <c r="D68" i="16" s="1"/>
  <c r="D69" i="16" s="1"/>
  <c r="D70" i="16" s="1"/>
  <c r="D71" i="16" s="1"/>
  <c r="D72" i="16" s="1"/>
  <c r="J66" i="16"/>
  <c r="J60" i="16"/>
  <c r="Q25" i="17"/>
  <c r="L26" i="17"/>
  <c r="T93" i="18"/>
  <c r="U93" i="18" s="1"/>
  <c r="U94" i="18"/>
  <c r="L73" i="16"/>
  <c r="L67" i="16"/>
  <c r="L68" i="16" s="1"/>
  <c r="L69" i="16" s="1"/>
  <c r="L70" i="16" s="1"/>
  <c r="L71" i="16" s="1"/>
  <c r="L72" i="16" s="1"/>
  <c r="BT51" i="18"/>
  <c r="CB51" i="18" s="1"/>
  <c r="V60" i="16"/>
  <c r="V61" i="16" s="1"/>
  <c r="V62" i="16" s="1"/>
  <c r="V63" i="16" s="1"/>
  <c r="V64" i="16" s="1"/>
  <c r="V65" i="16" s="1"/>
  <c r="V66" i="16"/>
  <c r="I56" i="1"/>
  <c r="S60" i="16"/>
  <c r="S61" i="16" s="1"/>
  <c r="S62" i="16" s="1"/>
  <c r="S63" i="16" s="1"/>
  <c r="S64" i="16" s="1"/>
  <c r="S65" i="16" s="1"/>
  <c r="S66" i="16"/>
  <c r="E73" i="16"/>
  <c r="E67" i="16"/>
  <c r="E68" i="16" s="1"/>
  <c r="E69" i="16" s="1"/>
  <c r="E70" i="16" s="1"/>
  <c r="E71" i="16" s="1"/>
  <c r="E72" i="16" s="1"/>
  <c r="H48" i="1"/>
  <c r="BM61" i="18"/>
  <c r="CA61" i="18" s="1"/>
  <c r="ID79" i="10"/>
  <c r="AP42" i="18"/>
  <c r="BX42" i="18" s="1"/>
  <c r="BV42" i="18" s="1"/>
  <c r="R42" i="18" s="1"/>
  <c r="G66" i="16"/>
  <c r="G60" i="16"/>
  <c r="BF69" i="18"/>
  <c r="BZ69" i="18" s="1"/>
  <c r="BT69" i="10"/>
  <c r="CB69" i="10" s="1"/>
  <c r="IB119" i="10"/>
  <c r="LE76" i="10"/>
  <c r="S76" i="10"/>
  <c r="T76" i="10" s="1"/>
  <c r="S118" i="10"/>
  <c r="I80" i="1"/>
  <c r="I74" i="1"/>
  <c r="H54" i="1"/>
  <c r="F73" i="1"/>
  <c r="F67" i="1"/>
  <c r="IE129" i="18"/>
  <c r="IL129" i="18" s="1"/>
  <c r="IE102" i="18"/>
  <c r="H73" i="16"/>
  <c r="H67" i="16"/>
  <c r="R66" i="16"/>
  <c r="R60" i="16"/>
  <c r="R61" i="16" s="1"/>
  <c r="R62" i="16" s="1"/>
  <c r="R63" i="16" s="1"/>
  <c r="R64" i="16" s="1"/>
  <c r="R65" i="16" s="1"/>
  <c r="Q56" i="1"/>
  <c r="IC104" i="18"/>
  <c r="U89" i="18"/>
  <c r="IE40" i="18"/>
  <c r="X40" i="18"/>
  <c r="AP51" i="18"/>
  <c r="BX51" i="18" s="1"/>
  <c r="IC80" i="18"/>
  <c r="U73" i="16"/>
  <c r="U67" i="16"/>
  <c r="U68" i="16" s="1"/>
  <c r="U69" i="16" s="1"/>
  <c r="U70" i="16" s="1"/>
  <c r="U71" i="16" s="1"/>
  <c r="U72" i="16" s="1"/>
  <c r="FS46" i="18"/>
  <c r="L26" i="15"/>
  <c r="Q25" i="15"/>
  <c r="P66" i="1"/>
  <c r="P60" i="1"/>
  <c r="P61" i="1" s="1"/>
  <c r="P62" i="1" s="1"/>
  <c r="P63" i="1" s="1"/>
  <c r="P64" i="1" s="1"/>
  <c r="P65" i="1" s="1"/>
  <c r="K49" i="1"/>
  <c r="BF53" i="10"/>
  <c r="BZ53" i="10" s="1"/>
  <c r="U81" i="18"/>
  <c r="IC91" i="18"/>
  <c r="S119" i="18"/>
  <c r="IC116" i="18"/>
  <c r="G49" i="1"/>
  <c r="IB92" i="10"/>
  <c r="G43" i="1"/>
  <c r="K48" i="16"/>
  <c r="S92" i="18"/>
  <c r="B73" i="1"/>
  <c r="B67" i="1"/>
  <c r="B68" i="1" s="1"/>
  <c r="B69" i="1" s="1"/>
  <c r="B70" i="1" s="1"/>
  <c r="B71" i="1" s="1"/>
  <c r="B72" i="1" s="1"/>
  <c r="IE77" i="18"/>
  <c r="IF79" i="10"/>
  <c r="I50" i="1"/>
  <c r="G54" i="16"/>
  <c r="K43" i="1"/>
  <c r="LE81" i="10"/>
  <c r="S81" i="10"/>
  <c r="EL55" i="18"/>
  <c r="S102" i="10"/>
  <c r="T102" i="10" s="1"/>
  <c r="F61" i="1"/>
  <c r="T73" i="16"/>
  <c r="T67" i="16"/>
  <c r="T68" i="16" s="1"/>
  <c r="T69" i="16" s="1"/>
  <c r="T70" i="16" s="1"/>
  <c r="T71" i="16" s="1"/>
  <c r="T72" i="16" s="1"/>
  <c r="Q73" i="16"/>
  <c r="Q67" i="16"/>
  <c r="LE73" i="10"/>
  <c r="S73" i="10"/>
  <c r="T73" i="10" s="1"/>
  <c r="X23" i="2"/>
  <c r="S73" i="1"/>
  <c r="S67" i="1"/>
  <c r="S68" i="1" s="1"/>
  <c r="S69" i="1" s="1"/>
  <c r="S70" i="1" s="1"/>
  <c r="S71" i="1" s="1"/>
  <c r="S72" i="1" s="1"/>
  <c r="A80" i="1"/>
  <c r="A74" i="1"/>
  <c r="A75" i="1" s="1"/>
  <c r="A76" i="1" s="1"/>
  <c r="A77" i="1" s="1"/>
  <c r="A78" i="1" s="1"/>
  <c r="A79" i="1" s="1"/>
  <c r="AU26" i="15"/>
  <c r="K60" i="16"/>
  <c r="K66" i="16"/>
  <c r="T116" i="18"/>
  <c r="U116" i="18" s="1"/>
  <c r="R65" i="18"/>
  <c r="O66" i="16"/>
  <c r="O60" i="16"/>
  <c r="O61" i="16" s="1"/>
  <c r="O62" i="16" s="1"/>
  <c r="O63" i="16" s="1"/>
  <c r="O64" i="16" s="1"/>
  <c r="O65" i="16" s="1"/>
  <c r="S86" i="10"/>
  <c r="LE86" i="10"/>
  <c r="FR45" i="10"/>
  <c r="Q68" i="1"/>
  <c r="J67" i="1"/>
  <c r="J73" i="1"/>
  <c r="U80" i="1"/>
  <c r="U74" i="1"/>
  <c r="U75" i="1" s="1"/>
  <c r="U76" i="1" s="1"/>
  <c r="U77" i="1" s="1"/>
  <c r="U78" i="1" s="1"/>
  <c r="U79" i="1" s="1"/>
  <c r="LF84" i="18"/>
  <c r="S84" i="18"/>
  <c r="T84" i="18" s="1"/>
  <c r="T92" i="10"/>
  <c r="U92" i="10" s="1"/>
  <c r="T85" i="10"/>
  <c r="U85" i="10" s="1"/>
  <c r="G55" i="1"/>
  <c r="S99" i="10"/>
  <c r="IC107" i="18"/>
  <c r="A73" i="16"/>
  <c r="A67" i="16"/>
  <c r="A68" i="16" s="1"/>
  <c r="A69" i="16" s="1"/>
  <c r="A70" i="16" s="1"/>
  <c r="A71" i="16" s="1"/>
  <c r="A72" i="16" s="1"/>
  <c r="T117" i="18"/>
  <c r="U117" i="18" s="1"/>
  <c r="T105" i="10"/>
  <c r="AP62" i="18"/>
  <c r="BX62" i="18" s="1"/>
  <c r="IF127" i="10"/>
  <c r="AP43" i="10"/>
  <c r="BX43" i="10" s="1"/>
  <c r="IC94" i="18"/>
  <c r="IC115" i="18"/>
  <c r="IC108" i="18"/>
  <c r="IC87" i="18"/>
  <c r="BM44" i="10"/>
  <c r="CA44" i="10" s="1"/>
  <c r="AG25" i="15"/>
  <c r="U78" i="18"/>
  <c r="IF131" i="10"/>
  <c r="F55" i="1"/>
  <c r="BT53" i="10"/>
  <c r="CB53" i="10" s="1"/>
  <c r="IC77" i="18"/>
  <c r="IB117" i="10"/>
  <c r="K55" i="1"/>
  <c r="S111" i="18"/>
  <c r="S106" i="18"/>
  <c r="W66" i="16"/>
  <c r="W60" i="16"/>
  <c r="W61" i="16" s="1"/>
  <c r="W62" i="16" s="1"/>
  <c r="W63" i="16" s="1"/>
  <c r="W64" i="16" s="1"/>
  <c r="W65" i="16" s="1"/>
  <c r="S97" i="18"/>
  <c r="T97" i="18" s="1"/>
  <c r="D66" i="1"/>
  <c r="D60" i="1"/>
  <c r="D61" i="1" s="1"/>
  <c r="D62" i="1" s="1"/>
  <c r="D63" i="1" s="1"/>
  <c r="D64" i="1" s="1"/>
  <c r="D65" i="1" s="1"/>
  <c r="E80" i="1"/>
  <c r="E74" i="1"/>
  <c r="E75" i="1" s="1"/>
  <c r="E76" i="1" s="1"/>
  <c r="E77" i="1" s="1"/>
  <c r="E78" i="1" s="1"/>
  <c r="E79" i="1" s="1"/>
  <c r="AX69" i="18"/>
  <c r="BY69" i="18" s="1"/>
  <c r="AX63" i="10"/>
  <c r="BY63" i="10" s="1"/>
  <c r="P73" i="16"/>
  <c r="P67" i="16"/>
  <c r="P68" i="16" s="1"/>
  <c r="P69" i="16" s="1"/>
  <c r="P70" i="16" s="1"/>
  <c r="P71" i="16" s="1"/>
  <c r="P72" i="16" s="1"/>
  <c r="F48" i="16"/>
  <c r="S96" i="10"/>
  <c r="T96" i="10" s="1"/>
  <c r="IC99" i="18"/>
  <c r="U119" i="10"/>
  <c r="Q50" i="1"/>
  <c r="AP42" i="10"/>
  <c r="BX42" i="10" s="1"/>
  <c r="BV42" i="10" s="1"/>
  <c r="R42" i="10" s="1"/>
  <c r="IC88" i="18"/>
  <c r="BT60" i="10"/>
  <c r="CB60" i="10" s="1"/>
  <c r="IF126" i="10"/>
  <c r="IF125" i="10"/>
  <c r="H60" i="1"/>
  <c r="H66" i="1"/>
  <c r="S98" i="18"/>
  <c r="LF85" i="18"/>
  <c r="S85" i="18"/>
  <c r="IC102" i="18"/>
  <c r="S94" i="10"/>
  <c r="T94" i="10" s="1"/>
  <c r="U94" i="10" s="1"/>
  <c r="BV70" i="10"/>
  <c r="R70" i="10" s="1"/>
  <c r="AX55" i="10"/>
  <c r="BY55" i="10" s="1"/>
  <c r="T104" i="18"/>
  <c r="DB40" i="18"/>
  <c r="CX40" i="18"/>
  <c r="DA40" i="18"/>
  <c r="CZ40" i="18"/>
  <c r="DC40" i="18"/>
  <c r="CY40" i="18"/>
  <c r="Y40" i="18"/>
  <c r="IG40" i="18"/>
  <c r="L60" i="1"/>
  <c r="L61" i="1" s="1"/>
  <c r="L62" i="1" s="1"/>
  <c r="L63" i="1" s="1"/>
  <c r="L64" i="1" s="1"/>
  <c r="L65" i="1" s="1"/>
  <c r="L66" i="1"/>
  <c r="T90" i="18"/>
  <c r="AP63" i="10"/>
  <c r="BX63" i="10" s="1"/>
  <c r="S77" i="10"/>
  <c r="LE77" i="10"/>
  <c r="T107" i="10"/>
  <c r="U107" i="10" s="1"/>
  <c r="G61" i="1"/>
  <c r="U80" i="18"/>
  <c r="S114" i="18"/>
  <c r="T114" i="18" s="1"/>
  <c r="T109" i="18"/>
  <c r="A29" i="10"/>
  <c r="IG122" i="18"/>
  <c r="IL122" i="18" s="1"/>
  <c r="IW120" i="18" s="1"/>
  <c r="ID82" i="10"/>
  <c r="IC95" i="18"/>
  <c r="T91" i="18"/>
  <c r="DG51" i="32" a="1"/>
  <c r="DJ52" i="32" a="1"/>
  <c r="DH51" i="32" a="1"/>
  <c r="DJ51" i="32" a="1"/>
  <c r="DH52" i="32" a="1"/>
  <c r="DG52" i="32" a="1"/>
  <c r="AI205" i="31"/>
  <c r="AK241" i="31"/>
  <c r="AQ222" i="31"/>
  <c r="AJ235" i="31"/>
  <c r="AK212" i="31"/>
  <c r="AI228" i="31"/>
  <c r="AG241" i="31"/>
  <c r="AH211" i="31"/>
  <c r="AI222" i="31"/>
  <c r="AF223" i="31"/>
  <c r="AF212" i="31"/>
  <c r="AJ234" i="31"/>
  <c r="AF234" i="31"/>
  <c r="AQ234" i="31"/>
  <c r="AF241" i="31"/>
  <c r="AJ223" i="31"/>
  <c r="AJ212" i="31"/>
  <c r="AQ228" i="31"/>
  <c r="AH229" i="31"/>
  <c r="AK223" i="31"/>
  <c r="AJ229" i="31"/>
  <c r="AG211" i="31"/>
  <c r="AH217" i="31"/>
  <c r="AJ228" i="31"/>
  <c r="AK229" i="31"/>
  <c r="AQ216" i="31"/>
  <c r="AK234" i="31"/>
  <c r="AK217" i="31"/>
  <c r="AF229" i="31"/>
  <c r="AG234" i="31"/>
  <c r="AK228" i="31"/>
  <c r="AI210" i="31"/>
  <c r="AG212" i="31"/>
  <c r="AH235" i="31"/>
  <c r="AJ211" i="31"/>
  <c r="AJ217" i="31"/>
  <c r="AH212" i="31"/>
  <c r="AI204" i="31"/>
  <c r="AQ210" i="31"/>
  <c r="AQ205" i="31"/>
  <c r="AG229" i="31"/>
  <c r="AG217" i="31"/>
  <c r="AB234" i="31"/>
  <c r="AF211" i="31"/>
  <c r="AG223" i="31"/>
  <c r="AI216" i="31"/>
  <c r="AH241" i="31"/>
  <c r="AH223" i="31"/>
  <c r="AH234" i="31"/>
  <c r="AK211" i="31"/>
  <c r="AI234" i="31"/>
  <c r="AB241" i="31"/>
  <c r="AF217" i="31"/>
  <c r="AQ204" i="31"/>
  <c r="C8" i="24" l="1"/>
  <c r="AB224" i="31"/>
  <c r="AB225" i="31" s="1"/>
  <c r="AB226" i="31" s="1"/>
  <c r="IK82" i="10"/>
  <c r="IK79" i="10"/>
  <c r="DJ51" i="32"/>
  <c r="DG52" i="32"/>
  <c r="DH51" i="32"/>
  <c r="DJ52" i="32"/>
  <c r="DG51" i="32"/>
  <c r="DH52" i="32"/>
  <c r="LF55" i="24"/>
  <c r="S55" i="18"/>
  <c r="T55" i="18" s="1"/>
  <c r="U55" i="18" s="1"/>
  <c r="IG55" i="18" s="1"/>
  <c r="CS55" i="24"/>
  <c r="CS51" i="24"/>
  <c r="BL20" i="32"/>
  <c r="BL21" i="32"/>
  <c r="BJ22" i="32"/>
  <c r="BG204" i="31"/>
  <c r="BG222" i="31"/>
  <c r="BG234" i="31"/>
  <c r="AB235" i="31"/>
  <c r="AB236" i="31" s="1"/>
  <c r="AB237" i="31" s="1"/>
  <c r="AB238" i="31" s="1"/>
  <c r="AB239" i="31" s="1"/>
  <c r="AB240" i="31" s="1"/>
  <c r="BG228" i="31"/>
  <c r="BG205" i="31"/>
  <c r="BG210" i="31"/>
  <c r="AB242" i="31"/>
  <c r="AB243" i="31" s="1"/>
  <c r="AB244" i="31" s="1"/>
  <c r="AB245" i="31" s="1"/>
  <c r="AB246" i="31" s="1"/>
  <c r="AB247" i="31" s="1"/>
  <c r="BG216" i="31"/>
  <c r="W255" i="31"/>
  <c r="W256" i="31" s="1"/>
  <c r="W257" i="31" s="1"/>
  <c r="W258" i="31" s="1"/>
  <c r="W259" i="31" s="1"/>
  <c r="W260" i="31" s="1"/>
  <c r="W261" i="31" s="1"/>
  <c r="W249" i="31"/>
  <c r="W250" i="31" s="1"/>
  <c r="W251" i="31" s="1"/>
  <c r="W252" i="31" s="1"/>
  <c r="W253" i="31" s="1"/>
  <c r="W254" i="31" s="1"/>
  <c r="O255" i="31"/>
  <c r="O256" i="31" s="1"/>
  <c r="O257" i="31" s="1"/>
  <c r="O258" i="31" s="1"/>
  <c r="O259" i="31" s="1"/>
  <c r="O260" i="31" s="1"/>
  <c r="O261" i="31" s="1"/>
  <c r="O249" i="31"/>
  <c r="O250" i="31" s="1"/>
  <c r="O251" i="31" s="1"/>
  <c r="O252" i="31" s="1"/>
  <c r="O253" i="31" s="1"/>
  <c r="O254" i="31" s="1"/>
  <c r="K219" i="31"/>
  <c r="L255" i="31"/>
  <c r="L256" i="31" s="1"/>
  <c r="L257" i="31" s="1"/>
  <c r="L258" i="31" s="1"/>
  <c r="L259" i="31" s="1"/>
  <c r="L260" i="31" s="1"/>
  <c r="L261" i="31" s="1"/>
  <c r="L249" i="31"/>
  <c r="L250" i="31" s="1"/>
  <c r="L251" i="31" s="1"/>
  <c r="L252" i="31" s="1"/>
  <c r="L253" i="31" s="1"/>
  <c r="L254" i="31" s="1"/>
  <c r="H225" i="31"/>
  <c r="G225" i="31"/>
  <c r="R255" i="31"/>
  <c r="R256" i="31" s="1"/>
  <c r="R257" i="31" s="1"/>
  <c r="R258" i="31" s="1"/>
  <c r="R259" i="31" s="1"/>
  <c r="R260" i="31" s="1"/>
  <c r="R261" i="31" s="1"/>
  <c r="R249" i="31"/>
  <c r="R250" i="31" s="1"/>
  <c r="R251" i="31" s="1"/>
  <c r="R252" i="31" s="1"/>
  <c r="R253" i="31" s="1"/>
  <c r="R254" i="31" s="1"/>
  <c r="B255" i="31"/>
  <c r="B249" i="31"/>
  <c r="B250" i="31" s="1"/>
  <c r="B251" i="31" s="1"/>
  <c r="B252" i="31" s="1"/>
  <c r="B253" i="31" s="1"/>
  <c r="B254" i="31" s="1"/>
  <c r="AE249" i="31"/>
  <c r="BI242" i="31"/>
  <c r="M255" i="31"/>
  <c r="M256" i="31" s="1"/>
  <c r="M257" i="31" s="1"/>
  <c r="M258" i="31" s="1"/>
  <c r="M259" i="31" s="1"/>
  <c r="M260" i="31" s="1"/>
  <c r="M261" i="31" s="1"/>
  <c r="M249" i="31"/>
  <c r="M250" i="31" s="1"/>
  <c r="M251" i="31" s="1"/>
  <c r="M252" i="31" s="1"/>
  <c r="M253" i="31" s="1"/>
  <c r="M254" i="31" s="1"/>
  <c r="Q248" i="31"/>
  <c r="Q242" i="31"/>
  <c r="P248" i="31"/>
  <c r="P242" i="31"/>
  <c r="P243" i="31" s="1"/>
  <c r="P244" i="31" s="1"/>
  <c r="P245" i="31" s="1"/>
  <c r="P246" i="31" s="1"/>
  <c r="P247" i="31" s="1"/>
  <c r="K255" i="31"/>
  <c r="K249" i="31"/>
  <c r="S255" i="31"/>
  <c r="S256" i="31" s="1"/>
  <c r="S257" i="31" s="1"/>
  <c r="S258" i="31" s="1"/>
  <c r="S259" i="31" s="1"/>
  <c r="S260" i="31" s="1"/>
  <c r="S261" i="31" s="1"/>
  <c r="S249" i="31"/>
  <c r="S250" i="31" s="1"/>
  <c r="S251" i="31" s="1"/>
  <c r="S252" i="31" s="1"/>
  <c r="S253" i="31" s="1"/>
  <c r="S254" i="31" s="1"/>
  <c r="I212" i="31"/>
  <c r="K231" i="31"/>
  <c r="I230" i="31"/>
  <c r="F225" i="31"/>
  <c r="J249" i="31"/>
  <c r="J255" i="31"/>
  <c r="G243" i="31"/>
  <c r="I236" i="31"/>
  <c r="H231" i="31"/>
  <c r="Q212" i="31"/>
  <c r="H243" i="31"/>
  <c r="F243" i="31"/>
  <c r="F219" i="31"/>
  <c r="J243" i="31"/>
  <c r="H237" i="31"/>
  <c r="F231" i="31"/>
  <c r="J225" i="31"/>
  <c r="G231" i="31"/>
  <c r="V255" i="31"/>
  <c r="V256" i="31" s="1"/>
  <c r="V257" i="31" s="1"/>
  <c r="V258" i="31" s="1"/>
  <c r="V259" i="31" s="1"/>
  <c r="V260" i="31" s="1"/>
  <c r="V261" i="31" s="1"/>
  <c r="V249" i="31"/>
  <c r="V250" i="31" s="1"/>
  <c r="V251" i="31" s="1"/>
  <c r="V252" i="31" s="1"/>
  <c r="V253" i="31" s="1"/>
  <c r="V254" i="31" s="1"/>
  <c r="J219" i="31"/>
  <c r="G219" i="31"/>
  <c r="G255" i="31"/>
  <c r="G249" i="31"/>
  <c r="I224" i="31"/>
  <c r="N255" i="31"/>
  <c r="N256" i="31" s="1"/>
  <c r="N257" i="31" s="1"/>
  <c r="N258" i="31" s="1"/>
  <c r="N259" i="31" s="1"/>
  <c r="N260" i="31" s="1"/>
  <c r="N261" i="31" s="1"/>
  <c r="N249" i="31"/>
  <c r="N250" i="31" s="1"/>
  <c r="N251" i="31" s="1"/>
  <c r="N252" i="31" s="1"/>
  <c r="N253" i="31" s="1"/>
  <c r="N254" i="31" s="1"/>
  <c r="I248" i="31"/>
  <c r="I242" i="31"/>
  <c r="H255" i="31"/>
  <c r="H249" i="31"/>
  <c r="D255" i="31"/>
  <c r="D256" i="31" s="1"/>
  <c r="D257" i="31" s="1"/>
  <c r="D258" i="31" s="1"/>
  <c r="D259" i="31" s="1"/>
  <c r="D260" i="31" s="1"/>
  <c r="D261" i="31" s="1"/>
  <c r="D249" i="31"/>
  <c r="D250" i="31" s="1"/>
  <c r="D251" i="31" s="1"/>
  <c r="D252" i="31" s="1"/>
  <c r="D253" i="31" s="1"/>
  <c r="D254" i="31" s="1"/>
  <c r="Q236" i="31"/>
  <c r="H219" i="31"/>
  <c r="K243" i="31"/>
  <c r="I218" i="31"/>
  <c r="Q224" i="31"/>
  <c r="K225" i="31"/>
  <c r="F255" i="31"/>
  <c r="F249" i="31"/>
  <c r="C255" i="31"/>
  <c r="C249" i="31"/>
  <c r="C250" i="31" s="1"/>
  <c r="C251" i="31" s="1"/>
  <c r="C252" i="31" s="1"/>
  <c r="C253" i="31" s="1"/>
  <c r="C254" i="31" s="1"/>
  <c r="J237" i="31"/>
  <c r="A248" i="31"/>
  <c r="A242" i="31"/>
  <c r="A243" i="31" s="1"/>
  <c r="A244" i="31" s="1"/>
  <c r="A245" i="31" s="1"/>
  <c r="A246" i="31" s="1"/>
  <c r="A247" i="31" s="1"/>
  <c r="F237" i="31"/>
  <c r="J231" i="31"/>
  <c r="T248" i="31"/>
  <c r="T242" i="31"/>
  <c r="T243" i="31" s="1"/>
  <c r="T244" i="31" s="1"/>
  <c r="T245" i="31" s="1"/>
  <c r="T246" i="31" s="1"/>
  <c r="T247" i="31" s="1"/>
  <c r="Q218" i="31"/>
  <c r="Q230" i="31"/>
  <c r="E255" i="31"/>
  <c r="E256" i="31" s="1"/>
  <c r="E257" i="31" s="1"/>
  <c r="E258" i="31" s="1"/>
  <c r="E259" i="31" s="1"/>
  <c r="E260" i="31" s="1"/>
  <c r="E261" i="31" s="1"/>
  <c r="E249" i="31"/>
  <c r="E250" i="31" s="1"/>
  <c r="E251" i="31" s="1"/>
  <c r="E252" i="31" s="1"/>
  <c r="E253" i="31" s="1"/>
  <c r="E254" i="31" s="1"/>
  <c r="X255" i="31"/>
  <c r="X256" i="31" s="1"/>
  <c r="X257" i="31" s="1"/>
  <c r="X258" i="31" s="1"/>
  <c r="X259" i="31" s="1"/>
  <c r="X260" i="31" s="1"/>
  <c r="X261" i="31" s="1"/>
  <c r="X249" i="31"/>
  <c r="X250" i="31" s="1"/>
  <c r="X251" i="31" s="1"/>
  <c r="X252" i="31" s="1"/>
  <c r="X253" i="31" s="1"/>
  <c r="X254" i="31" s="1"/>
  <c r="K237" i="31"/>
  <c r="G237" i="31"/>
  <c r="U255" i="31"/>
  <c r="U256" i="31" s="1"/>
  <c r="U257" i="31" s="1"/>
  <c r="U258" i="31" s="1"/>
  <c r="U259" i="31" s="1"/>
  <c r="U260" i="31" s="1"/>
  <c r="U261" i="31" s="1"/>
  <c r="U249" i="31"/>
  <c r="U250" i="31" s="1"/>
  <c r="U251" i="31" s="1"/>
  <c r="U252" i="31" s="1"/>
  <c r="U253" i="31" s="1"/>
  <c r="U254" i="31" s="1"/>
  <c r="U103" i="10"/>
  <c r="IF103" i="10" s="1"/>
  <c r="LF67" i="18"/>
  <c r="IB91" i="10"/>
  <c r="CS64" i="24"/>
  <c r="BV69" i="10"/>
  <c r="R69" i="10" s="1"/>
  <c r="LE69" i="10" s="1"/>
  <c r="BV43" i="18"/>
  <c r="R43" i="18" s="1"/>
  <c r="LF43" i="18" s="1"/>
  <c r="S93" i="10"/>
  <c r="IL83" i="18"/>
  <c r="S41" i="18"/>
  <c r="IC41" i="18" s="1"/>
  <c r="S64" i="24"/>
  <c r="T64" i="24" s="1"/>
  <c r="IE64" i="24" s="1"/>
  <c r="BV65" i="10"/>
  <c r="R65" i="10" s="1"/>
  <c r="S41" i="10"/>
  <c r="IB41" i="10" s="1"/>
  <c r="IB103" i="10"/>
  <c r="IC78" i="18"/>
  <c r="S57" i="24"/>
  <c r="T57" i="24" s="1"/>
  <c r="S51" i="24"/>
  <c r="IC51" i="24" s="1"/>
  <c r="CS69" i="24"/>
  <c r="S90" i="10"/>
  <c r="IB90" i="10" s="1"/>
  <c r="S88" i="10"/>
  <c r="U111" i="10"/>
  <c r="IF111" i="10" s="1"/>
  <c r="IL105" i="24"/>
  <c r="IL87" i="18"/>
  <c r="U100" i="10"/>
  <c r="BV66" i="10"/>
  <c r="R66" i="10" s="1"/>
  <c r="CS66" i="10" s="1"/>
  <c r="LF55" i="18"/>
  <c r="CS66" i="24"/>
  <c r="BV68" i="10"/>
  <c r="R68" i="10" s="1"/>
  <c r="U109" i="10"/>
  <c r="IF109" i="10" s="1"/>
  <c r="ID109" i="10"/>
  <c r="IB100" i="10"/>
  <c r="S47" i="24"/>
  <c r="IC47" i="24" s="1"/>
  <c r="W41" i="24"/>
  <c r="W42" i="24" s="1"/>
  <c r="S66" i="24"/>
  <c r="T66" i="24" s="1"/>
  <c r="U66" i="24" s="1"/>
  <c r="IG66" i="24" s="1"/>
  <c r="DC587" i="15"/>
  <c r="DE586" i="15"/>
  <c r="BV59" i="10"/>
  <c r="R59" i="10" s="1"/>
  <c r="CS59" i="10" s="1"/>
  <c r="CS47" i="24"/>
  <c r="BV64" i="18"/>
  <c r="R64" i="18" s="1"/>
  <c r="LF64" i="18" s="1"/>
  <c r="LF57" i="24"/>
  <c r="BQ591" i="15"/>
  <c r="IL115" i="18"/>
  <c r="T98" i="10"/>
  <c r="U98" i="10" s="1"/>
  <c r="IE108" i="18"/>
  <c r="IL108" i="18" s="1"/>
  <c r="U83" i="10"/>
  <c r="IF83" i="10" s="1"/>
  <c r="IB111" i="10"/>
  <c r="LF50" i="24"/>
  <c r="LF45" i="24"/>
  <c r="IL77" i="24"/>
  <c r="BV50" i="18"/>
  <c r="R50" i="18" s="1"/>
  <c r="CS50" i="18" s="1"/>
  <c r="BV57" i="18"/>
  <c r="R57" i="18" s="1"/>
  <c r="LF57" i="18" s="1"/>
  <c r="BV60" i="10"/>
  <c r="R60" i="10" s="1"/>
  <c r="S60" i="10" s="1"/>
  <c r="T60" i="10" s="1"/>
  <c r="T72" i="10"/>
  <c r="ID72" i="10" s="1"/>
  <c r="BV51" i="10"/>
  <c r="R51" i="10" s="1"/>
  <c r="LE51" i="10" s="1"/>
  <c r="BV54" i="10"/>
  <c r="R54" i="10" s="1"/>
  <c r="CS54" i="10" s="1"/>
  <c r="BV57" i="10"/>
  <c r="R57" i="10" s="1"/>
  <c r="CS57" i="10" s="1"/>
  <c r="IV120" i="10"/>
  <c r="BV61" i="10"/>
  <c r="R61" i="10" s="1"/>
  <c r="S61" i="10" s="1"/>
  <c r="BV67" i="10"/>
  <c r="R67" i="10" s="1"/>
  <c r="LE67" i="10" s="1"/>
  <c r="IL102" i="18"/>
  <c r="IL77" i="18"/>
  <c r="IL107" i="18"/>
  <c r="IL68" i="24"/>
  <c r="IL110" i="24"/>
  <c r="U91" i="10"/>
  <c r="IF91" i="10" s="1"/>
  <c r="S68" i="18"/>
  <c r="IC68" i="18" s="1"/>
  <c r="T71" i="24"/>
  <c r="U71" i="24" s="1"/>
  <c r="IG71" i="24" s="1"/>
  <c r="BV58" i="18"/>
  <c r="R58" i="18" s="1"/>
  <c r="LF58" i="18" s="1"/>
  <c r="T84" i="10"/>
  <c r="U84" i="10" s="1"/>
  <c r="ID117" i="10"/>
  <c r="IB108" i="10"/>
  <c r="LF68" i="18"/>
  <c r="CS49" i="24"/>
  <c r="IB83" i="10"/>
  <c r="IK83" i="10" s="1"/>
  <c r="U116" i="10"/>
  <c r="IF116" i="10" s="1"/>
  <c r="IB116" i="10"/>
  <c r="BV46" i="10"/>
  <c r="R46" i="10" s="1"/>
  <c r="S46" i="10" s="1"/>
  <c r="T46" i="10" s="1"/>
  <c r="BV53" i="18"/>
  <c r="R53" i="18" s="1"/>
  <c r="S53" i="18" s="1"/>
  <c r="T53" i="18" s="1"/>
  <c r="U108" i="10"/>
  <c r="IF108" i="10" s="1"/>
  <c r="BV56" i="18"/>
  <c r="R56" i="18" s="1"/>
  <c r="LF56" i="18" s="1"/>
  <c r="BV62" i="18"/>
  <c r="R62" i="18" s="1"/>
  <c r="S62" i="18" s="1"/>
  <c r="T62" i="18" s="1"/>
  <c r="S59" i="24"/>
  <c r="T59" i="24" s="1"/>
  <c r="U59" i="24" s="1"/>
  <c r="IG59" i="24" s="1"/>
  <c r="LF59" i="24"/>
  <c r="BV54" i="18"/>
  <c r="R54" i="18" s="1"/>
  <c r="S54" i="18" s="1"/>
  <c r="BV56" i="10"/>
  <c r="R56" i="10" s="1"/>
  <c r="CS56" i="10" s="1"/>
  <c r="CS45" i="24"/>
  <c r="BV48" i="18"/>
  <c r="R48" i="18" s="1"/>
  <c r="S48" i="18" s="1"/>
  <c r="T48" i="18" s="1"/>
  <c r="BV44" i="18"/>
  <c r="R44" i="18" s="1"/>
  <c r="LF44" i="18" s="1"/>
  <c r="BV46" i="18"/>
  <c r="R46" i="18" s="1"/>
  <c r="S46" i="18" s="1"/>
  <c r="T46" i="18" s="1"/>
  <c r="BV45" i="10"/>
  <c r="R45" i="10" s="1"/>
  <c r="LE45" i="10" s="1"/>
  <c r="LF62" i="24"/>
  <c r="BV58" i="10"/>
  <c r="R58" i="10" s="1"/>
  <c r="S58" i="10" s="1"/>
  <c r="T58" i="10" s="1"/>
  <c r="BV50" i="10"/>
  <c r="R50" i="10" s="1"/>
  <c r="S50" i="10" s="1"/>
  <c r="T50" i="10" s="1"/>
  <c r="ID50" i="10" s="1"/>
  <c r="S62" i="24"/>
  <c r="T62" i="24" s="1"/>
  <c r="IE62" i="24" s="1"/>
  <c r="CS41" i="18"/>
  <c r="CT41" i="18" s="1"/>
  <c r="DB41" i="18" s="1"/>
  <c r="CS71" i="10"/>
  <c r="LF48" i="24"/>
  <c r="S52" i="24"/>
  <c r="IC52" i="24" s="1"/>
  <c r="LF52" i="24"/>
  <c r="BV55" i="10"/>
  <c r="R55" i="10" s="1"/>
  <c r="CS55" i="10" s="1"/>
  <c r="BV43" i="10"/>
  <c r="R43" i="10" s="1"/>
  <c r="LE43" i="10" s="1"/>
  <c r="BV62" i="10"/>
  <c r="R62" i="10" s="1"/>
  <c r="CS62" i="10" s="1"/>
  <c r="S50" i="24"/>
  <c r="T50" i="24" s="1"/>
  <c r="U50" i="24" s="1"/>
  <c r="J30" i="15"/>
  <c r="AH581" i="15" s="1"/>
  <c r="CS56" i="24"/>
  <c r="BV52" i="10"/>
  <c r="R52" i="10" s="1"/>
  <c r="CS52" i="10" s="1"/>
  <c r="LF56" i="24"/>
  <c r="CS53" i="24"/>
  <c r="LF49" i="24"/>
  <c r="BV47" i="10"/>
  <c r="R47" i="10" s="1"/>
  <c r="LE47" i="10" s="1"/>
  <c r="S48" i="24"/>
  <c r="IC48" i="24" s="1"/>
  <c r="BV49" i="18"/>
  <c r="R49" i="18" s="1"/>
  <c r="LF49" i="18" s="1"/>
  <c r="S44" i="24"/>
  <c r="IC44" i="24" s="1"/>
  <c r="LF44" i="24"/>
  <c r="LF46" i="24"/>
  <c r="S46" i="24"/>
  <c r="IC46" i="24" s="1"/>
  <c r="LF53" i="24"/>
  <c r="CS41" i="10"/>
  <c r="CT41" i="10" s="1"/>
  <c r="CT42" i="24"/>
  <c r="DC42" i="24" s="1"/>
  <c r="CZ41" i="24"/>
  <c r="BV49" i="10"/>
  <c r="R49" i="10" s="1"/>
  <c r="S49" i="10" s="1"/>
  <c r="T49" i="10" s="1"/>
  <c r="BV48" i="10"/>
  <c r="R48" i="10" s="1"/>
  <c r="S48" i="10" s="1"/>
  <c r="T48" i="10" s="1"/>
  <c r="BV45" i="18"/>
  <c r="R45" i="18" s="1"/>
  <c r="S45" i="18" s="1"/>
  <c r="T101" i="10"/>
  <c r="U101" i="10" s="1"/>
  <c r="IF101" i="10" s="1"/>
  <c r="S71" i="10"/>
  <c r="T71" i="10" s="1"/>
  <c r="U71" i="10" s="1"/>
  <c r="IF71" i="10" s="1"/>
  <c r="BV69" i="18"/>
  <c r="R69" i="18" s="1"/>
  <c r="S69" i="18" s="1"/>
  <c r="T69" i="18" s="1"/>
  <c r="T92" i="18"/>
  <c r="IE92" i="18" s="1"/>
  <c r="U100" i="18"/>
  <c r="X41" i="24"/>
  <c r="X42" i="24" s="1"/>
  <c r="IE97" i="24"/>
  <c r="IL97" i="24" s="1"/>
  <c r="DC41" i="24"/>
  <c r="DB41" i="24"/>
  <c r="BV53" i="10"/>
  <c r="R53" i="10" s="1"/>
  <c r="LE53" i="10" s="1"/>
  <c r="BV51" i="18"/>
  <c r="R51" i="18" s="1"/>
  <c r="CS51" i="18" s="1"/>
  <c r="C9" i="24"/>
  <c r="A32" i="24"/>
  <c r="A33" i="24" s="1"/>
  <c r="C11" i="24" s="1"/>
  <c r="T86" i="10"/>
  <c r="U86" i="10" s="1"/>
  <c r="IF86" i="10" s="1"/>
  <c r="T67" i="18"/>
  <c r="IE67" i="18" s="1"/>
  <c r="T89" i="10"/>
  <c r="U89" i="10" s="1"/>
  <c r="IF89" i="10" s="1"/>
  <c r="LO48" i="24"/>
  <c r="LS47" i="24"/>
  <c r="U114" i="18"/>
  <c r="IG114" i="18" s="1"/>
  <c r="U96" i="10"/>
  <c r="IF96" i="10" s="1"/>
  <c r="U112" i="10"/>
  <c r="IF112" i="10" s="1"/>
  <c r="U95" i="10"/>
  <c r="IF95" i="10" s="1"/>
  <c r="T80" i="10"/>
  <c r="U80" i="10" s="1"/>
  <c r="IF80" i="10" s="1"/>
  <c r="T77" i="10"/>
  <c r="U77" i="10" s="1"/>
  <c r="IF77" i="10" s="1"/>
  <c r="T74" i="18"/>
  <c r="U74" i="18" s="1"/>
  <c r="IG74" i="18" s="1"/>
  <c r="U61" i="24"/>
  <c r="IG61" i="24" s="1"/>
  <c r="T93" i="10"/>
  <c r="U93" i="10" s="1"/>
  <c r="IF93" i="10" s="1"/>
  <c r="T75" i="10"/>
  <c r="U75" i="10" s="1"/>
  <c r="IF75" i="10" s="1"/>
  <c r="U113" i="18"/>
  <c r="IG113" i="18" s="1"/>
  <c r="T96" i="18"/>
  <c r="U96" i="18" s="1"/>
  <c r="IG96" i="18" s="1"/>
  <c r="U41" i="24"/>
  <c r="DA41" i="24"/>
  <c r="CY41" i="24"/>
  <c r="BV44" i="10"/>
  <c r="R44" i="10" s="1"/>
  <c r="S44" i="10" s="1"/>
  <c r="IG56" i="24"/>
  <c r="IE69" i="24"/>
  <c r="IG49" i="24"/>
  <c r="IG63" i="24"/>
  <c r="IL63" i="24" s="1"/>
  <c r="IE54" i="24"/>
  <c r="IG88" i="24"/>
  <c r="IL88" i="24" s="1"/>
  <c r="IG98" i="24"/>
  <c r="IL98" i="24" s="1"/>
  <c r="IC55" i="24"/>
  <c r="IG92" i="24"/>
  <c r="IL92" i="24" s="1"/>
  <c r="EL56" i="24"/>
  <c r="IG109" i="24"/>
  <c r="IC58" i="24"/>
  <c r="IG117" i="24"/>
  <c r="IL117" i="24" s="1"/>
  <c r="IG85" i="24"/>
  <c r="IL85" i="24" s="1"/>
  <c r="IE76" i="24"/>
  <c r="IG95" i="24"/>
  <c r="IL95" i="24" s="1"/>
  <c r="IE109" i="24"/>
  <c r="IG114" i="24"/>
  <c r="IL114" i="24" s="1"/>
  <c r="T55" i="24"/>
  <c r="U55" i="24" s="1"/>
  <c r="IG80" i="24"/>
  <c r="IE104" i="24"/>
  <c r="IE81" i="24"/>
  <c r="IC49" i="24"/>
  <c r="IC66" i="24"/>
  <c r="CS60" i="24"/>
  <c r="LF60" i="24"/>
  <c r="S60" i="24"/>
  <c r="IC56" i="24"/>
  <c r="IC42" i="24"/>
  <c r="IC61" i="24"/>
  <c r="U64" i="24"/>
  <c r="IG65" i="24"/>
  <c r="IL65" i="24" s="1"/>
  <c r="IC54" i="24"/>
  <c r="U54" i="24"/>
  <c r="CS67" i="24"/>
  <c r="LF67" i="24"/>
  <c r="S67" i="24"/>
  <c r="T67" i="24" s="1"/>
  <c r="IG79" i="24"/>
  <c r="IL79" i="24" s="1"/>
  <c r="IG81" i="24"/>
  <c r="IG91" i="24"/>
  <c r="IL91" i="24" s="1"/>
  <c r="IC53" i="24"/>
  <c r="IL40" i="24"/>
  <c r="IE49" i="24"/>
  <c r="IE66" i="24"/>
  <c r="C10" i="24"/>
  <c r="IE56" i="24"/>
  <c r="IE42" i="24"/>
  <c r="IC45" i="24"/>
  <c r="IC69" i="24"/>
  <c r="IG87" i="24"/>
  <c r="IL87" i="24" s="1"/>
  <c r="IG70" i="24"/>
  <c r="IL70" i="24" s="1"/>
  <c r="IG104" i="24"/>
  <c r="IG96" i="24"/>
  <c r="IL96" i="24" s="1"/>
  <c r="IG76" i="24"/>
  <c r="LF43" i="24"/>
  <c r="CS43" i="24"/>
  <c r="S43" i="24"/>
  <c r="T43" i="24" s="1"/>
  <c r="U43" i="24" s="1"/>
  <c r="T53" i="24"/>
  <c r="IE80" i="24"/>
  <c r="T58" i="24"/>
  <c r="FS47" i="24"/>
  <c r="U42" i="24"/>
  <c r="IE61" i="24"/>
  <c r="IG116" i="24"/>
  <c r="IL116" i="24" s="1"/>
  <c r="T45" i="24"/>
  <c r="U69" i="24"/>
  <c r="X26" i="23"/>
  <c r="IE75" i="18"/>
  <c r="U75" i="18"/>
  <c r="LE70" i="10"/>
  <c r="CS70" i="10"/>
  <c r="S70" i="10"/>
  <c r="T70" i="10" s="1"/>
  <c r="LF62" i="18"/>
  <c r="IF98" i="10"/>
  <c r="IG116" i="18"/>
  <c r="S69" i="10"/>
  <c r="T69" i="10" s="1"/>
  <c r="LF42" i="18"/>
  <c r="S42" i="18"/>
  <c r="T42" i="18" s="1"/>
  <c r="CS42" i="18"/>
  <c r="ID74" i="10"/>
  <c r="IF85" i="10"/>
  <c r="ID104" i="10"/>
  <c r="IG117" i="18"/>
  <c r="LF63" i="18"/>
  <c r="S63" i="18"/>
  <c r="T63" i="18" s="1"/>
  <c r="CS63" i="18"/>
  <c r="IE118" i="18"/>
  <c r="G62" i="1"/>
  <c r="ID96" i="10"/>
  <c r="IE97" i="18"/>
  <c r="IC111" i="18"/>
  <c r="IB99" i="10"/>
  <c r="IE84" i="18"/>
  <c r="U87" i="1"/>
  <c r="U81" i="1"/>
  <c r="U82" i="1" s="1"/>
  <c r="U83" i="1" s="1"/>
  <c r="U84" i="1" s="1"/>
  <c r="U85" i="1" s="1"/>
  <c r="U86" i="1" s="1"/>
  <c r="K73" i="16"/>
  <c r="K67" i="16"/>
  <c r="X24" i="2"/>
  <c r="ID102" i="10"/>
  <c r="IB81" i="10"/>
  <c r="H68" i="16"/>
  <c r="I75" i="1"/>
  <c r="ID76" i="10"/>
  <c r="IG100" i="18"/>
  <c r="IC82" i="18"/>
  <c r="IE113" i="18"/>
  <c r="M87" i="1"/>
  <c r="M81" i="1"/>
  <c r="M82" i="1" s="1"/>
  <c r="M83" i="1" s="1"/>
  <c r="M84" i="1" s="1"/>
  <c r="M85" i="1" s="1"/>
  <c r="M86" i="1" s="1"/>
  <c r="I63" i="1"/>
  <c r="K55" i="16"/>
  <c r="IE114" i="18"/>
  <c r="IG80" i="18"/>
  <c r="IL80" i="18" s="1"/>
  <c r="BV63" i="10"/>
  <c r="R63" i="10" s="1"/>
  <c r="L73" i="1"/>
  <c r="L67" i="1"/>
  <c r="L68" i="1" s="1"/>
  <c r="L69" i="1" s="1"/>
  <c r="L70" i="1" s="1"/>
  <c r="L71" i="1" s="1"/>
  <c r="L72" i="1" s="1"/>
  <c r="IF94" i="10"/>
  <c r="IC98" i="18"/>
  <c r="IF119" i="10"/>
  <c r="F49" i="16"/>
  <c r="IC106" i="18"/>
  <c r="F56" i="1"/>
  <c r="CS66" i="18"/>
  <c r="LF66" i="18"/>
  <c r="S66" i="18"/>
  <c r="T66" i="18" s="1"/>
  <c r="T99" i="10"/>
  <c r="U99" i="10" s="1"/>
  <c r="IF100" i="10"/>
  <c r="FR46" i="10"/>
  <c r="AU27" i="15"/>
  <c r="IB73" i="10"/>
  <c r="Q68" i="16"/>
  <c r="IB102" i="10"/>
  <c r="T81" i="10"/>
  <c r="U81" i="10" s="1"/>
  <c r="T119" i="18"/>
  <c r="P73" i="1"/>
  <c r="P67" i="1"/>
  <c r="P68" i="1" s="1"/>
  <c r="P69" i="1" s="1"/>
  <c r="P70" i="1" s="1"/>
  <c r="P71" i="1" s="1"/>
  <c r="P72" i="1" s="1"/>
  <c r="IC114" i="18"/>
  <c r="ID77" i="10"/>
  <c r="IE90" i="18"/>
  <c r="ID94" i="10"/>
  <c r="IC85" i="18"/>
  <c r="IC97" i="18"/>
  <c r="W73" i="16"/>
  <c r="W67" i="16"/>
  <c r="W68" i="16" s="1"/>
  <c r="W69" i="16" s="1"/>
  <c r="W70" i="16" s="1"/>
  <c r="W71" i="16" s="1"/>
  <c r="W72" i="16" s="1"/>
  <c r="LF60" i="18"/>
  <c r="CS60" i="18"/>
  <c r="S60" i="18"/>
  <c r="T60" i="18" s="1"/>
  <c r="AG26" i="15"/>
  <c r="IG93" i="18"/>
  <c r="IC84" i="18"/>
  <c r="J68" i="1"/>
  <c r="O73" i="16"/>
  <c r="O67" i="16"/>
  <c r="O68" i="16" s="1"/>
  <c r="O69" i="16" s="1"/>
  <c r="O70" i="16" s="1"/>
  <c r="O71" i="16" s="1"/>
  <c r="O72" i="16" s="1"/>
  <c r="Q80" i="16"/>
  <c r="Q74" i="16"/>
  <c r="F62" i="1"/>
  <c r="G55" i="16"/>
  <c r="I51" i="1"/>
  <c r="G44" i="1"/>
  <c r="G50" i="1"/>
  <c r="IG81" i="18"/>
  <c r="IL81" i="18" s="1"/>
  <c r="FS47" i="18"/>
  <c r="F68" i="1"/>
  <c r="IB76" i="10"/>
  <c r="G73" i="16"/>
  <c r="G67" i="16"/>
  <c r="H49" i="1"/>
  <c r="S73" i="16"/>
  <c r="S67" i="16"/>
  <c r="S68" i="16" s="1"/>
  <c r="S69" i="16" s="1"/>
  <c r="S70" i="16" s="1"/>
  <c r="S71" i="16" s="1"/>
  <c r="S72" i="16" s="1"/>
  <c r="I57" i="1"/>
  <c r="IG94" i="18"/>
  <c r="IL94" i="18" s="1"/>
  <c r="Q26" i="17"/>
  <c r="L27" i="17"/>
  <c r="IE100" i="18"/>
  <c r="ID97" i="10"/>
  <c r="U97" i="10"/>
  <c r="IC72" i="18"/>
  <c r="O54" i="2"/>
  <c r="R37" i="2"/>
  <c r="W80" i="1"/>
  <c r="W74" i="1"/>
  <c r="W75" i="1" s="1"/>
  <c r="W76" i="1" s="1"/>
  <c r="W77" i="1" s="1"/>
  <c r="W78" i="1" s="1"/>
  <c r="W79" i="1" s="1"/>
  <c r="EL59" i="10"/>
  <c r="K68" i="1"/>
  <c r="ID78" i="10"/>
  <c r="S65" i="10"/>
  <c r="CS65" i="10"/>
  <c r="LE65" i="10"/>
  <c r="C73" i="16"/>
  <c r="C67" i="16"/>
  <c r="C68" i="16" s="1"/>
  <c r="C69" i="16" s="1"/>
  <c r="C70" i="16" s="1"/>
  <c r="C71" i="16" s="1"/>
  <c r="C72" i="16" s="1"/>
  <c r="IB112" i="10"/>
  <c r="IB106" i="10"/>
  <c r="S71" i="18"/>
  <c r="CS71" i="18"/>
  <c r="LF71" i="18"/>
  <c r="C80" i="1"/>
  <c r="C74" i="1"/>
  <c r="C75" i="1" s="1"/>
  <c r="C76" i="1" s="1"/>
  <c r="C77" i="1" s="1"/>
  <c r="C78" i="1" s="1"/>
  <c r="C79" i="1" s="1"/>
  <c r="IE95" i="18"/>
  <c r="LE64" i="10"/>
  <c r="CS64" i="10"/>
  <c r="S64" i="10"/>
  <c r="G80" i="1"/>
  <c r="G74" i="1"/>
  <c r="K62" i="1"/>
  <c r="X73" i="1"/>
  <c r="X67" i="1"/>
  <c r="X68" i="1" s="1"/>
  <c r="X69" i="1" s="1"/>
  <c r="X70" i="1" s="1"/>
  <c r="X71" i="1" s="1"/>
  <c r="X72" i="1" s="1"/>
  <c r="CS59" i="18"/>
  <c r="LF59" i="18"/>
  <c r="S59" i="18"/>
  <c r="T59" i="18" s="1"/>
  <c r="ID89" i="10"/>
  <c r="IB80" i="10"/>
  <c r="U104" i="10"/>
  <c r="ID114" i="10"/>
  <c r="F55" i="16"/>
  <c r="W40" i="10"/>
  <c r="IB40" i="10"/>
  <c r="U40" i="10"/>
  <c r="Q87" i="1"/>
  <c r="Q81" i="1"/>
  <c r="U74" i="10"/>
  <c r="BB170" i="17"/>
  <c r="Q56" i="16"/>
  <c r="I68" i="16"/>
  <c r="U95" i="18"/>
  <c r="U90" i="18"/>
  <c r="IE109" i="18"/>
  <c r="H73" i="1"/>
  <c r="H67" i="1"/>
  <c r="P80" i="16"/>
  <c r="P74" i="16"/>
  <c r="P75" i="16" s="1"/>
  <c r="P76" i="16" s="1"/>
  <c r="P77" i="16" s="1"/>
  <c r="P78" i="16" s="1"/>
  <c r="P79" i="16" s="1"/>
  <c r="S80" i="1"/>
  <c r="S74" i="1"/>
  <c r="S75" i="1" s="1"/>
  <c r="S76" i="1" s="1"/>
  <c r="S77" i="1" s="1"/>
  <c r="S78" i="1" s="1"/>
  <c r="S79" i="1" s="1"/>
  <c r="ID73" i="10"/>
  <c r="EL56" i="18"/>
  <c r="LE68" i="10"/>
  <c r="CS68" i="10"/>
  <c r="S68" i="10"/>
  <c r="B80" i="1"/>
  <c r="B74" i="1"/>
  <c r="B75" i="1" s="1"/>
  <c r="B76" i="1" s="1"/>
  <c r="B77" i="1" s="1"/>
  <c r="B78" i="1" s="1"/>
  <c r="B79" i="1" s="1"/>
  <c r="K50" i="1"/>
  <c r="IF107" i="10"/>
  <c r="Q57" i="1"/>
  <c r="IB118" i="10"/>
  <c r="B73" i="16"/>
  <c r="B67" i="16"/>
  <c r="B68" i="16" s="1"/>
  <c r="B69" i="16" s="1"/>
  <c r="B70" i="16" s="1"/>
  <c r="B71" i="16" s="1"/>
  <c r="B72" i="16" s="1"/>
  <c r="IE86" i="18"/>
  <c r="U86" i="18"/>
  <c r="IB115" i="10"/>
  <c r="IB87" i="10"/>
  <c r="IC103" i="18"/>
  <c r="IB110" i="10"/>
  <c r="IF114" i="10"/>
  <c r="ID40" i="10"/>
  <c r="X40" i="10"/>
  <c r="S66" i="10"/>
  <c r="T66" i="10" s="1"/>
  <c r="I56" i="16"/>
  <c r="IC118" i="18"/>
  <c r="F73" i="16"/>
  <c r="F67" i="16"/>
  <c r="I80" i="16"/>
  <c r="I74" i="16"/>
  <c r="BB170" i="15"/>
  <c r="IG112" i="18"/>
  <c r="U109" i="18"/>
  <c r="IF92" i="10"/>
  <c r="IE91" i="18"/>
  <c r="ID107" i="10"/>
  <c r="IB77" i="10"/>
  <c r="IE104" i="18"/>
  <c r="U104" i="18"/>
  <c r="IB94" i="10"/>
  <c r="T85" i="18"/>
  <c r="T98" i="18"/>
  <c r="H61" i="1"/>
  <c r="Q51" i="1"/>
  <c r="U97" i="18"/>
  <c r="T106" i="18"/>
  <c r="T111" i="18"/>
  <c r="IG78" i="18"/>
  <c r="ID105" i="10"/>
  <c r="ID98" i="10"/>
  <c r="G56" i="1"/>
  <c r="ID92" i="10"/>
  <c r="U84" i="18"/>
  <c r="Q69" i="1"/>
  <c r="IB86" i="10"/>
  <c r="IE116" i="18"/>
  <c r="K61" i="16"/>
  <c r="A87" i="1"/>
  <c r="A81" i="1"/>
  <c r="A82" i="1" s="1"/>
  <c r="A83" i="1" s="1"/>
  <c r="A84" i="1" s="1"/>
  <c r="A85" i="1" s="1"/>
  <c r="A86" i="1" s="1"/>
  <c r="U73" i="10"/>
  <c r="T80" i="16"/>
  <c r="T74" i="16"/>
  <c r="T75" i="16" s="1"/>
  <c r="T76" i="16" s="1"/>
  <c r="T77" i="16" s="1"/>
  <c r="T78" i="16" s="1"/>
  <c r="T79" i="16" s="1"/>
  <c r="U102" i="10"/>
  <c r="K44" i="1"/>
  <c r="S47" i="18"/>
  <c r="T47" i="18" s="1"/>
  <c r="LF47" i="18"/>
  <c r="CS47" i="18"/>
  <c r="IC92" i="18"/>
  <c r="K49" i="16"/>
  <c r="L27" i="15"/>
  <c r="Q26" i="15"/>
  <c r="U80" i="16"/>
  <c r="U74" i="16"/>
  <c r="U75" i="16" s="1"/>
  <c r="U76" i="16" s="1"/>
  <c r="U77" i="16" s="1"/>
  <c r="U78" i="16" s="1"/>
  <c r="U79" i="16" s="1"/>
  <c r="H80" i="16"/>
  <c r="H74" i="16"/>
  <c r="I87" i="1"/>
  <c r="I81" i="1"/>
  <c r="CS70" i="18"/>
  <c r="LF70" i="18"/>
  <c r="S70" i="18"/>
  <c r="T70" i="18" s="1"/>
  <c r="V73" i="16"/>
  <c r="V67" i="16"/>
  <c r="V68" i="16" s="1"/>
  <c r="V69" i="16" s="1"/>
  <c r="V70" i="16" s="1"/>
  <c r="V71" i="16" s="1"/>
  <c r="V72" i="16" s="1"/>
  <c r="IE93" i="18"/>
  <c r="U105" i="10"/>
  <c r="J61" i="16"/>
  <c r="D80" i="16"/>
  <c r="D74" i="16"/>
  <c r="D75" i="16" s="1"/>
  <c r="D76" i="16" s="1"/>
  <c r="D77" i="16" s="1"/>
  <c r="D78" i="16" s="1"/>
  <c r="D79" i="16" s="1"/>
  <c r="IC67" i="18"/>
  <c r="IC100" i="18"/>
  <c r="T72" i="18"/>
  <c r="J56" i="1"/>
  <c r="IB78" i="10"/>
  <c r="BH26" i="17"/>
  <c r="IB101" i="10"/>
  <c r="T82" i="18"/>
  <c r="U82" i="18" s="1"/>
  <c r="J55" i="16"/>
  <c r="T106" i="10"/>
  <c r="IC110" i="18"/>
  <c r="N73" i="16"/>
  <c r="N67" i="16"/>
  <c r="N68" i="16" s="1"/>
  <c r="N69" i="16" s="1"/>
  <c r="N70" i="16" s="1"/>
  <c r="N71" i="16" s="1"/>
  <c r="N72" i="16" s="1"/>
  <c r="IL40" i="18"/>
  <c r="AU35" i="17"/>
  <c r="IB95" i="10"/>
  <c r="T103" i="18"/>
  <c r="U103" i="18" s="1"/>
  <c r="IB89" i="10"/>
  <c r="M80" i="16"/>
  <c r="M74" i="16"/>
  <c r="M75" i="16" s="1"/>
  <c r="M76" i="16" s="1"/>
  <c r="M77" i="16" s="1"/>
  <c r="M78" i="16" s="1"/>
  <c r="M79" i="16" s="1"/>
  <c r="O80" i="1"/>
  <c r="O74" i="1"/>
  <c r="O75" i="1" s="1"/>
  <c r="O76" i="1" s="1"/>
  <c r="O77" i="1" s="1"/>
  <c r="O78" i="1" s="1"/>
  <c r="O79" i="1" s="1"/>
  <c r="IB114" i="10"/>
  <c r="I62" i="16"/>
  <c r="S52" i="18"/>
  <c r="T52" i="18" s="1"/>
  <c r="LF52" i="18"/>
  <c r="CS52" i="18"/>
  <c r="IC55" i="18"/>
  <c r="U118" i="18"/>
  <c r="T73" i="1"/>
  <c r="T67" i="1"/>
  <c r="T68" i="1" s="1"/>
  <c r="T69" i="1" s="1"/>
  <c r="T70" i="1" s="1"/>
  <c r="T71" i="1" s="1"/>
  <c r="T72" i="1" s="1"/>
  <c r="F61" i="16"/>
  <c r="IC112" i="18"/>
  <c r="IG99" i="18"/>
  <c r="IL99" i="18" s="1"/>
  <c r="U91" i="18"/>
  <c r="E87" i="1"/>
  <c r="E81" i="1"/>
  <c r="E82" i="1" s="1"/>
  <c r="E83" i="1" s="1"/>
  <c r="E84" i="1" s="1"/>
  <c r="E85" i="1" s="1"/>
  <c r="E86" i="1" s="1"/>
  <c r="K56" i="1"/>
  <c r="A80" i="16"/>
  <c r="A74" i="16"/>
  <c r="A75" i="16" s="1"/>
  <c r="A76" i="16" s="1"/>
  <c r="A77" i="16" s="1"/>
  <c r="A78" i="16" s="1"/>
  <c r="A79" i="16" s="1"/>
  <c r="ID85" i="10"/>
  <c r="LF65" i="18"/>
  <c r="S65" i="18"/>
  <c r="CS65" i="18"/>
  <c r="IC119" i="18"/>
  <c r="IG89" i="18"/>
  <c r="IL89" i="18" s="1"/>
  <c r="F80" i="1"/>
  <c r="F74" i="1"/>
  <c r="S42" i="10"/>
  <c r="LE42" i="10"/>
  <c r="CS42" i="10"/>
  <c r="AG26" i="17"/>
  <c r="K80" i="1"/>
  <c r="K74" i="1"/>
  <c r="I69" i="1"/>
  <c r="ID75" i="10"/>
  <c r="Q63" i="1"/>
  <c r="IE110" i="18"/>
  <c r="J49" i="16"/>
  <c r="C7" i="10"/>
  <c r="A30" i="10"/>
  <c r="IB96" i="10"/>
  <c r="D73" i="1"/>
  <c r="D67" i="1"/>
  <c r="D68" i="1" s="1"/>
  <c r="D69" i="1" s="1"/>
  <c r="D70" i="1" s="1"/>
  <c r="D71" i="1" s="1"/>
  <c r="D72" i="1" s="1"/>
  <c r="IE117" i="18"/>
  <c r="J80" i="1"/>
  <c r="J74" i="1"/>
  <c r="R73" i="16"/>
  <c r="R67" i="16"/>
  <c r="R68" i="16" s="1"/>
  <c r="R69" i="16" s="1"/>
  <c r="R70" i="16" s="1"/>
  <c r="R71" i="16" s="1"/>
  <c r="R72" i="16" s="1"/>
  <c r="H55" i="1"/>
  <c r="T118" i="10"/>
  <c r="U76" i="10"/>
  <c r="IB93" i="10"/>
  <c r="G61" i="16"/>
  <c r="E80" i="16"/>
  <c r="E74" i="16"/>
  <c r="E75" i="16" s="1"/>
  <c r="E76" i="16" s="1"/>
  <c r="E77" i="16" s="1"/>
  <c r="E78" i="16" s="1"/>
  <c r="E79" i="16" s="1"/>
  <c r="L80" i="16"/>
  <c r="L74" i="16"/>
  <c r="L75" i="16" s="1"/>
  <c r="L76" i="16" s="1"/>
  <c r="L77" i="16" s="1"/>
  <c r="L78" i="16" s="1"/>
  <c r="L79" i="16" s="1"/>
  <c r="J73" i="16"/>
  <c r="J67" i="16"/>
  <c r="ID113" i="10"/>
  <c r="U113" i="10"/>
  <c r="J62" i="1"/>
  <c r="H62" i="16"/>
  <c r="IF78" i="10"/>
  <c r="IB75" i="10"/>
  <c r="N80" i="1"/>
  <c r="N74" i="1"/>
  <c r="N75" i="1" s="1"/>
  <c r="N76" i="1" s="1"/>
  <c r="N77" i="1" s="1"/>
  <c r="N78" i="1" s="1"/>
  <c r="N79" i="1" s="1"/>
  <c r="BH27" i="15"/>
  <c r="ID112" i="10"/>
  <c r="G49" i="16"/>
  <c r="LF53" i="18"/>
  <c r="U110" i="18"/>
  <c r="IC113" i="18"/>
  <c r="H56" i="16"/>
  <c r="BV61" i="18"/>
  <c r="R61" i="18" s="1"/>
  <c r="R80" i="1"/>
  <c r="R74" i="1"/>
  <c r="R75" i="1" s="1"/>
  <c r="R76" i="1" s="1"/>
  <c r="R77" i="1" s="1"/>
  <c r="R78" i="1" s="1"/>
  <c r="R79" i="1" s="1"/>
  <c r="C9" i="18"/>
  <c r="J44" i="16"/>
  <c r="G68" i="1"/>
  <c r="T115" i="10"/>
  <c r="T87" i="10"/>
  <c r="Q62" i="16"/>
  <c r="IC75" i="18"/>
  <c r="ID95" i="10"/>
  <c r="T110" i="10"/>
  <c r="U110" i="10" s="1"/>
  <c r="IC96" i="18"/>
  <c r="IB104" i="10"/>
  <c r="V80" i="1"/>
  <c r="V74" i="1"/>
  <c r="V75" i="1" s="1"/>
  <c r="V76" i="1" s="1"/>
  <c r="V77" i="1" s="1"/>
  <c r="V78" i="1" s="1"/>
  <c r="V79" i="1" s="1"/>
  <c r="DB40" i="10"/>
  <c r="CX40" i="10"/>
  <c r="CZ40" i="10"/>
  <c r="DC40" i="10"/>
  <c r="DA40" i="10"/>
  <c r="CY40" i="10"/>
  <c r="IC74" i="18"/>
  <c r="A32" i="18"/>
  <c r="Q75" i="1"/>
  <c r="IB74" i="10"/>
  <c r="X80" i="16"/>
  <c r="X74" i="16"/>
  <c r="X75" i="16" s="1"/>
  <c r="X76" i="16" s="1"/>
  <c r="X77" i="16" s="1"/>
  <c r="X78" i="16" s="1"/>
  <c r="X79" i="16" s="1"/>
  <c r="IE112" i="18"/>
  <c r="IG88" i="18"/>
  <c r="IL88" i="18" s="1"/>
  <c r="AI223" i="31"/>
  <c r="AJ230" i="31"/>
  <c r="AI235" i="31"/>
  <c r="AI241" i="31"/>
  <c r="AK236" i="31"/>
  <c r="AI217" i="31"/>
  <c r="AI211" i="31"/>
  <c r="AF236" i="31"/>
  <c r="AQ241" i="31"/>
  <c r="AG218" i="31"/>
  <c r="AH236" i="31"/>
  <c r="AG224" i="31"/>
  <c r="AI229" i="31"/>
  <c r="AJ236" i="31"/>
  <c r="AF230" i="31"/>
  <c r="AI212" i="31"/>
  <c r="AH218" i="31"/>
  <c r="AG235" i="31"/>
  <c r="AJ218" i="31"/>
  <c r="AQ235" i="31"/>
  <c r="AC241" i="31"/>
  <c r="AQ211" i="31"/>
  <c r="AQ212" i="31"/>
  <c r="AJ224" i="31"/>
  <c r="AH224" i="31"/>
  <c r="AJ241" i="31"/>
  <c r="AH219" i="31"/>
  <c r="AH248" i="31"/>
  <c r="AG236" i="31"/>
  <c r="AK235" i="31"/>
  <c r="AK219" i="31"/>
  <c r="AQ223" i="31"/>
  <c r="AG219" i="31"/>
  <c r="AQ229" i="31"/>
  <c r="AH230" i="31"/>
  <c r="AK218" i="31"/>
  <c r="AF224" i="31"/>
  <c r="AG230" i="31"/>
  <c r="AF235" i="31"/>
  <c r="AK224" i="31"/>
  <c r="AQ217" i="31"/>
  <c r="AF219" i="31"/>
  <c r="AF218" i="31"/>
  <c r="AK230" i="31"/>
  <c r="AJ219" i="31"/>
  <c r="AG248" i="31"/>
  <c r="IK75" i="10" l="1"/>
  <c r="LE61" i="10"/>
  <c r="LE62" i="10"/>
  <c r="CS69" i="10"/>
  <c r="T68" i="18"/>
  <c r="IK77" i="10"/>
  <c r="DM52" i="32"/>
  <c r="DO52" i="32" s="1"/>
  <c r="IK78" i="10"/>
  <c r="DM51" i="32"/>
  <c r="CY41" i="18"/>
  <c r="CS51" i="10"/>
  <c r="IE59" i="24"/>
  <c r="IC57" i="24"/>
  <c r="CS46" i="18"/>
  <c r="CT42" i="18"/>
  <c r="DC42" i="18" s="1"/>
  <c r="T41" i="18"/>
  <c r="IE41" i="18" s="1"/>
  <c r="CX41" i="18"/>
  <c r="CZ41" i="18"/>
  <c r="S50" i="18"/>
  <c r="T50" i="18" s="1"/>
  <c r="IE50" i="18" s="1"/>
  <c r="T47" i="24"/>
  <c r="IE47" i="24" s="1"/>
  <c r="CS43" i="18"/>
  <c r="W41" i="18"/>
  <c r="BJ23" i="32"/>
  <c r="BL22" i="32"/>
  <c r="BG212" i="31"/>
  <c r="BG241" i="31"/>
  <c r="BG235" i="31"/>
  <c r="BG217" i="31"/>
  <c r="BG223" i="31"/>
  <c r="AC242" i="31"/>
  <c r="AC243" i="31" s="1"/>
  <c r="AC244" i="31" s="1"/>
  <c r="AC245" i="31" s="1"/>
  <c r="AC246" i="31" s="1"/>
  <c r="AC247" i="31" s="1"/>
  <c r="BG229" i="31"/>
  <c r="BG211" i="31"/>
  <c r="K238" i="31"/>
  <c r="K250" i="31"/>
  <c r="H226" i="31"/>
  <c r="Q219" i="31"/>
  <c r="J232" i="31"/>
  <c r="A255" i="31"/>
  <c r="A256" i="31" s="1"/>
  <c r="A257" i="31" s="1"/>
  <c r="A258" i="31" s="1"/>
  <c r="A259" i="31" s="1"/>
  <c r="A260" i="31" s="1"/>
  <c r="A261" i="31" s="1"/>
  <c r="A249" i="31"/>
  <c r="A250" i="31" s="1"/>
  <c r="A251" i="31" s="1"/>
  <c r="A252" i="31" s="1"/>
  <c r="A253" i="31" s="1"/>
  <c r="A254" i="31" s="1"/>
  <c r="F256" i="31"/>
  <c r="Q225" i="31"/>
  <c r="K244" i="31"/>
  <c r="Q237" i="31"/>
  <c r="H250" i="31"/>
  <c r="G250" i="31"/>
  <c r="J226" i="31"/>
  <c r="H238" i="31"/>
  <c r="H244" i="31"/>
  <c r="H232" i="31"/>
  <c r="G244" i="31"/>
  <c r="K256" i="31"/>
  <c r="Q243" i="31"/>
  <c r="B256" i="31"/>
  <c r="B257" i="31" s="1"/>
  <c r="B258" i="31" s="1"/>
  <c r="B259" i="31" s="1"/>
  <c r="B260" i="31" s="1"/>
  <c r="B261" i="31" s="1"/>
  <c r="F250" i="31"/>
  <c r="I231" i="31"/>
  <c r="G238" i="31"/>
  <c r="Q231" i="31"/>
  <c r="C256" i="31"/>
  <c r="C257" i="31" s="1"/>
  <c r="C258" i="31" s="1"/>
  <c r="C259" i="31" s="1"/>
  <c r="C260" i="31" s="1"/>
  <c r="C261" i="31" s="1"/>
  <c r="H256" i="31"/>
  <c r="I243" i="31"/>
  <c r="G256" i="31"/>
  <c r="F226" i="31"/>
  <c r="K232" i="31"/>
  <c r="Q255" i="31"/>
  <c r="Q249" i="31"/>
  <c r="AE256" i="31"/>
  <c r="BI256" i="31" s="1"/>
  <c r="BI249" i="31"/>
  <c r="G226" i="31"/>
  <c r="J250" i="31"/>
  <c r="T255" i="31"/>
  <c r="T256" i="31" s="1"/>
  <c r="T257" i="31" s="1"/>
  <c r="T258" i="31" s="1"/>
  <c r="T259" i="31" s="1"/>
  <c r="T260" i="31" s="1"/>
  <c r="T261" i="31" s="1"/>
  <c r="T249" i="31"/>
  <c r="T250" i="31" s="1"/>
  <c r="T251" i="31" s="1"/>
  <c r="T252" i="31" s="1"/>
  <c r="T253" i="31" s="1"/>
  <c r="T254" i="31" s="1"/>
  <c r="F238" i="31"/>
  <c r="J238" i="31"/>
  <c r="K226" i="31"/>
  <c r="I219" i="31"/>
  <c r="I249" i="31"/>
  <c r="I255" i="31"/>
  <c r="I225" i="31"/>
  <c r="G232" i="31"/>
  <c r="F232" i="31"/>
  <c r="J244" i="31"/>
  <c r="F244" i="31"/>
  <c r="I237" i="31"/>
  <c r="J256" i="31"/>
  <c r="P255" i="31"/>
  <c r="P256" i="31" s="1"/>
  <c r="P257" i="31" s="1"/>
  <c r="P258" i="31" s="1"/>
  <c r="P259" i="31" s="1"/>
  <c r="P260" i="31" s="1"/>
  <c r="P261" i="31" s="1"/>
  <c r="P249" i="31"/>
  <c r="P250" i="31" s="1"/>
  <c r="P251" i="31" s="1"/>
  <c r="P252" i="31" s="1"/>
  <c r="P253" i="31" s="1"/>
  <c r="P254" i="31" s="1"/>
  <c r="S43" i="18"/>
  <c r="IC43" i="18" s="1"/>
  <c r="A34" i="24"/>
  <c r="CS46" i="10"/>
  <c r="CS48" i="18"/>
  <c r="DA41" i="18"/>
  <c r="DC41" i="18"/>
  <c r="IB71" i="10"/>
  <c r="ID84" i="10"/>
  <c r="S56" i="10"/>
  <c r="IL78" i="18"/>
  <c r="IC64" i="24"/>
  <c r="T90" i="10"/>
  <c r="ID90" i="10" s="1"/>
  <c r="CU41" i="10"/>
  <c r="CX41" i="10"/>
  <c r="S62" i="10"/>
  <c r="T62" i="10" s="1"/>
  <c r="IL117" i="18"/>
  <c r="S59" i="10"/>
  <c r="IB59" i="10" s="1"/>
  <c r="LE66" i="10"/>
  <c r="LF48" i="18"/>
  <c r="CS43" i="10"/>
  <c r="LE54" i="10"/>
  <c r="CS67" i="10"/>
  <c r="CS45" i="10"/>
  <c r="S54" i="10"/>
  <c r="IB54" i="10" s="1"/>
  <c r="IE71" i="24"/>
  <c r="LE59" i="10"/>
  <c r="CS53" i="18"/>
  <c r="S51" i="10"/>
  <c r="T51" i="10" s="1"/>
  <c r="ID51" i="10" s="1"/>
  <c r="LF46" i="18"/>
  <c r="T41" i="10"/>
  <c r="ID41" i="10" s="1"/>
  <c r="IC59" i="24"/>
  <c r="T51" i="24"/>
  <c r="U51" i="24" s="1"/>
  <c r="IG51" i="24" s="1"/>
  <c r="S57" i="18"/>
  <c r="T57" i="18" s="1"/>
  <c r="IE57" i="18" s="1"/>
  <c r="LE58" i="10"/>
  <c r="W41" i="10"/>
  <c r="S44" i="18"/>
  <c r="T44" i="18" s="1"/>
  <c r="IE44" i="18" s="1"/>
  <c r="IL116" i="18"/>
  <c r="CS64" i="18"/>
  <c r="IL80" i="24"/>
  <c r="LE57" i="10"/>
  <c r="IE74" i="18"/>
  <c r="IL74" i="18" s="1"/>
  <c r="IL93" i="18"/>
  <c r="LF69" i="18"/>
  <c r="IL71" i="24"/>
  <c r="T44" i="24"/>
  <c r="IE44" i="24" s="1"/>
  <c r="T88" i="10"/>
  <c r="ID88" i="10" s="1"/>
  <c r="IB88" i="10"/>
  <c r="S64" i="18"/>
  <c r="T64" i="18" s="1"/>
  <c r="IE64" i="18" s="1"/>
  <c r="LE60" i="10"/>
  <c r="IL113" i="18"/>
  <c r="IL76" i="24"/>
  <c r="DC588" i="15"/>
  <c r="DE587" i="15"/>
  <c r="CS57" i="18"/>
  <c r="IC50" i="24"/>
  <c r="S52" i="10"/>
  <c r="T52" i="10" s="1"/>
  <c r="U52" i="10" s="1"/>
  <c r="IF52" i="10" s="1"/>
  <c r="LF50" i="18"/>
  <c r="BQ592" i="15"/>
  <c r="IL112" i="18"/>
  <c r="IL100" i="18"/>
  <c r="U72" i="10"/>
  <c r="IF72" i="10" s="1"/>
  <c r="IK72" i="10" s="1"/>
  <c r="LE46" i="10"/>
  <c r="LE56" i="10"/>
  <c r="CS62" i="18"/>
  <c r="U62" i="24"/>
  <c r="IL104" i="24"/>
  <c r="IL109" i="24"/>
  <c r="IL114" i="18"/>
  <c r="IL81" i="24"/>
  <c r="IW80" i="24" s="1"/>
  <c r="S45" i="10"/>
  <c r="IB45" i="10" s="1"/>
  <c r="S67" i="10"/>
  <c r="T67" i="10" s="1"/>
  <c r="S57" i="10"/>
  <c r="T57" i="10" s="1"/>
  <c r="ID57" i="10" s="1"/>
  <c r="S43" i="10"/>
  <c r="T43" i="10" s="1"/>
  <c r="ID43" i="10" s="1"/>
  <c r="CS60" i="10"/>
  <c r="CS61" i="10"/>
  <c r="S47" i="10"/>
  <c r="IB47" i="10" s="1"/>
  <c r="LE52" i="10"/>
  <c r="LE55" i="10"/>
  <c r="IL61" i="24"/>
  <c r="IL66" i="24"/>
  <c r="T48" i="24"/>
  <c r="U48" i="24" s="1"/>
  <c r="S56" i="18"/>
  <c r="CS44" i="18"/>
  <c r="S58" i="18"/>
  <c r="T58" i="18" s="1"/>
  <c r="IE58" i="18" s="1"/>
  <c r="CS54" i="18"/>
  <c r="CS58" i="18"/>
  <c r="CS56" i="18"/>
  <c r="LF54" i="18"/>
  <c r="CS58" i="10"/>
  <c r="S55" i="10"/>
  <c r="T55" i="10" s="1"/>
  <c r="U55" i="10" s="1"/>
  <c r="IF55" i="10" s="1"/>
  <c r="CS50" i="10"/>
  <c r="LE50" i="10"/>
  <c r="CS53" i="10"/>
  <c r="IC62" i="24"/>
  <c r="CS47" i="10"/>
  <c r="CS69" i="18"/>
  <c r="ID93" i="10"/>
  <c r="ID101" i="10"/>
  <c r="CY42" i="24"/>
  <c r="S49" i="18"/>
  <c r="T49" i="18" s="1"/>
  <c r="U49" i="18" s="1"/>
  <c r="T52" i="24"/>
  <c r="IE52" i="24" s="1"/>
  <c r="J31" i="15"/>
  <c r="AH582" i="15" s="1"/>
  <c r="IL56" i="24"/>
  <c r="IE55" i="18"/>
  <c r="IL55" i="18" s="1"/>
  <c r="IB50" i="10"/>
  <c r="S51" i="18"/>
  <c r="IC51" i="18" s="1"/>
  <c r="LF51" i="18"/>
  <c r="CS49" i="18"/>
  <c r="U50" i="10"/>
  <c r="IF50" i="10" s="1"/>
  <c r="CS48" i="10"/>
  <c r="CS45" i="18"/>
  <c r="CS49" i="10"/>
  <c r="LE48" i="10"/>
  <c r="T46" i="24"/>
  <c r="U46" i="24" s="1"/>
  <c r="IG46" i="24" s="1"/>
  <c r="CZ41" i="10"/>
  <c r="CT42" i="10"/>
  <c r="CU42" i="10" s="1"/>
  <c r="DC41" i="10"/>
  <c r="S53" i="10"/>
  <c r="T53" i="10" s="1"/>
  <c r="ID53" i="10" s="1"/>
  <c r="LE49" i="10"/>
  <c r="U48" i="18"/>
  <c r="IG48" i="18" s="1"/>
  <c r="CS44" i="10"/>
  <c r="LE44" i="10"/>
  <c r="CX42" i="24"/>
  <c r="CZ42" i="24"/>
  <c r="LF45" i="18"/>
  <c r="CT43" i="24"/>
  <c r="CT44" i="24" s="1"/>
  <c r="DC44" i="24" s="1"/>
  <c r="DB42" i="24"/>
  <c r="DA42" i="24"/>
  <c r="U63" i="18"/>
  <c r="U92" i="18"/>
  <c r="IG92" i="18" s="1"/>
  <c r="IL92" i="18" s="1"/>
  <c r="T71" i="18"/>
  <c r="U71" i="18" s="1"/>
  <c r="IG71" i="18" s="1"/>
  <c r="CY41" i="10"/>
  <c r="IE96" i="18"/>
  <c r="IL96" i="18" s="1"/>
  <c r="T68" i="10"/>
  <c r="U68" i="10" s="1"/>
  <c r="IF68" i="10" s="1"/>
  <c r="ID86" i="10"/>
  <c r="U67" i="18"/>
  <c r="IG67" i="18" s="1"/>
  <c r="IL67" i="18" s="1"/>
  <c r="ID80" i="10"/>
  <c r="IK80" i="10" s="1"/>
  <c r="DA41" i="10"/>
  <c r="DB41" i="10"/>
  <c r="ID71" i="10"/>
  <c r="IL49" i="24"/>
  <c r="T65" i="18"/>
  <c r="U65" i="18" s="1"/>
  <c r="IG65" i="18" s="1"/>
  <c r="U47" i="18"/>
  <c r="IG47" i="18" s="1"/>
  <c r="U59" i="18"/>
  <c r="IG59" i="18" s="1"/>
  <c r="U69" i="18"/>
  <c r="IG41" i="24"/>
  <c r="IL41" i="24" s="1"/>
  <c r="Y41" i="24"/>
  <c r="Y42" i="24" s="1"/>
  <c r="Y43" i="24" s="1"/>
  <c r="LO49" i="24"/>
  <c r="LS48" i="24"/>
  <c r="T45" i="18"/>
  <c r="U45" i="18" s="1"/>
  <c r="IG45" i="18" s="1"/>
  <c r="U46" i="18"/>
  <c r="IG46" i="18" s="1"/>
  <c r="IG43" i="24"/>
  <c r="IG62" i="24"/>
  <c r="IE58" i="24"/>
  <c r="U58" i="24"/>
  <c r="IE57" i="24"/>
  <c r="IC67" i="24"/>
  <c r="IG69" i="24"/>
  <c r="IL69" i="24" s="1"/>
  <c r="IE50" i="24"/>
  <c r="IC43" i="24"/>
  <c r="W43" i="24"/>
  <c r="W44" i="24" s="1"/>
  <c r="W45" i="24" s="1"/>
  <c r="W46" i="24" s="1"/>
  <c r="W47" i="24" s="1"/>
  <c r="W48" i="24" s="1"/>
  <c r="W49" i="24" s="1"/>
  <c r="W50" i="24" s="1"/>
  <c r="W51" i="24" s="1"/>
  <c r="W52" i="24" s="1"/>
  <c r="W53" i="24" s="1"/>
  <c r="W54" i="24" s="1"/>
  <c r="W55" i="24" s="1"/>
  <c r="W56" i="24" s="1"/>
  <c r="W57" i="24" s="1"/>
  <c r="W58" i="24" s="1"/>
  <c r="W59" i="24" s="1"/>
  <c r="W60" i="24" s="1"/>
  <c r="W61" i="24" s="1"/>
  <c r="W62" i="24" s="1"/>
  <c r="W63" i="24" s="1"/>
  <c r="W64" i="24" s="1"/>
  <c r="W65" i="24" s="1"/>
  <c r="W66" i="24" s="1"/>
  <c r="W67" i="24" s="1"/>
  <c r="W68" i="24" s="1"/>
  <c r="W69" i="24" s="1"/>
  <c r="W70" i="24" s="1"/>
  <c r="W71" i="24" s="1"/>
  <c r="W72" i="24" s="1"/>
  <c r="W73" i="24" s="1"/>
  <c r="W74" i="24" s="1"/>
  <c r="W75" i="24" s="1"/>
  <c r="W76" i="24" s="1"/>
  <c r="W77" i="24" s="1"/>
  <c r="W78" i="24" s="1"/>
  <c r="W79" i="24" s="1"/>
  <c r="W80" i="24" s="1"/>
  <c r="W81" i="24" s="1"/>
  <c r="W82" i="24" s="1"/>
  <c r="W83" i="24" s="1"/>
  <c r="W84" i="24" s="1"/>
  <c r="W85" i="24" s="1"/>
  <c r="W86" i="24" s="1"/>
  <c r="W87" i="24" s="1"/>
  <c r="W88" i="24" s="1"/>
  <c r="W89" i="24" s="1"/>
  <c r="W90" i="24" s="1"/>
  <c r="W91" i="24" s="1"/>
  <c r="W92" i="24" s="1"/>
  <c r="W93" i="24" s="1"/>
  <c r="W94" i="24" s="1"/>
  <c r="W95" i="24" s="1"/>
  <c r="W96" i="24" s="1"/>
  <c r="W97" i="24" s="1"/>
  <c r="W98" i="24" s="1"/>
  <c r="W99" i="24" s="1"/>
  <c r="W100" i="24" s="1"/>
  <c r="W101" i="24" s="1"/>
  <c r="W102" i="24" s="1"/>
  <c r="W103" i="24" s="1"/>
  <c r="W104" i="24" s="1"/>
  <c r="W105" i="24" s="1"/>
  <c r="W106" i="24" s="1"/>
  <c r="W107" i="24" s="1"/>
  <c r="W108" i="24" s="1"/>
  <c r="W109" i="24" s="1"/>
  <c r="W110" i="24" s="1"/>
  <c r="W111" i="24" s="1"/>
  <c r="W112" i="24" s="1"/>
  <c r="W113" i="24" s="1"/>
  <c r="W114" i="24" s="1"/>
  <c r="W115" i="24" s="1"/>
  <c r="W116" i="24" s="1"/>
  <c r="W117" i="24" s="1"/>
  <c r="W118" i="24" s="1"/>
  <c r="W119" i="24" s="1"/>
  <c r="W120" i="24" s="1"/>
  <c r="W121" i="24" s="1"/>
  <c r="W122" i="24" s="1"/>
  <c r="W123" i="24" s="1"/>
  <c r="W124" i="24" s="1"/>
  <c r="W125" i="24" s="1"/>
  <c r="W126" i="24" s="1"/>
  <c r="W127" i="24" s="1"/>
  <c r="W128" i="24" s="1"/>
  <c r="W129" i="24" s="1"/>
  <c r="W130" i="24" s="1"/>
  <c r="W131" i="24" s="1"/>
  <c r="IG54" i="24"/>
  <c r="IL54" i="24" s="1"/>
  <c r="EL57" i="24"/>
  <c r="IE45" i="24"/>
  <c r="U67" i="24"/>
  <c r="IC60" i="24"/>
  <c r="U57" i="24"/>
  <c r="U45" i="24"/>
  <c r="IG42" i="24"/>
  <c r="IL42" i="24" s="1"/>
  <c r="FS48" i="24"/>
  <c r="IE53" i="24"/>
  <c r="IE43" i="24"/>
  <c r="X43" i="24"/>
  <c r="IG55" i="24"/>
  <c r="IG50" i="24"/>
  <c r="IE67" i="24"/>
  <c r="IG64" i="24"/>
  <c r="IL64" i="24" s="1"/>
  <c r="T60" i="24"/>
  <c r="IE55" i="24"/>
  <c r="U53" i="24"/>
  <c r="X27" i="23"/>
  <c r="IE62" i="18"/>
  <c r="IG82" i="18"/>
  <c r="ID66" i="10"/>
  <c r="IF110" i="10"/>
  <c r="ID48" i="10"/>
  <c r="U48" i="10"/>
  <c r="ID62" i="10"/>
  <c r="ID70" i="10"/>
  <c r="IG69" i="18"/>
  <c r="IE52" i="18"/>
  <c r="IG103" i="18"/>
  <c r="IC54" i="18"/>
  <c r="V87" i="1"/>
  <c r="V81" i="1"/>
  <c r="V82" i="1" s="1"/>
  <c r="V83" i="1" s="1"/>
  <c r="V84" i="1" s="1"/>
  <c r="V85" i="1" s="1"/>
  <c r="V86" i="1" s="1"/>
  <c r="IG110" i="18"/>
  <c r="IL110" i="18" s="1"/>
  <c r="IE53" i="18"/>
  <c r="E87" i="16"/>
  <c r="E81" i="16"/>
  <c r="E82" i="16" s="1"/>
  <c r="E83" i="16" s="1"/>
  <c r="E84" i="16" s="1"/>
  <c r="E85" i="16" s="1"/>
  <c r="E86" i="16" s="1"/>
  <c r="H56" i="1"/>
  <c r="J87" i="1"/>
  <c r="J81" i="1"/>
  <c r="M87" i="16"/>
  <c r="M81" i="16"/>
  <c r="M82" i="16" s="1"/>
  <c r="M83" i="16" s="1"/>
  <c r="M84" i="16" s="1"/>
  <c r="M85" i="16" s="1"/>
  <c r="M86" i="16" s="1"/>
  <c r="ID106" i="10"/>
  <c r="U106" i="10"/>
  <c r="IE72" i="18"/>
  <c r="U72" i="18"/>
  <c r="IB61" i="10"/>
  <c r="I82" i="1"/>
  <c r="H87" i="16"/>
  <c r="H81" i="16"/>
  <c r="A94" i="1"/>
  <c r="A88" i="1"/>
  <c r="A89" i="1" s="1"/>
  <c r="A90" i="1" s="1"/>
  <c r="A91" i="1" s="1"/>
  <c r="A92" i="1" s="1"/>
  <c r="A93" i="1" s="1"/>
  <c r="IE106" i="18"/>
  <c r="IG104" i="18"/>
  <c r="IL104" i="18" s="1"/>
  <c r="Q82" i="1"/>
  <c r="F56" i="16"/>
  <c r="X80" i="1"/>
  <c r="X74" i="1"/>
  <c r="X75" i="1" s="1"/>
  <c r="X76" i="1" s="1"/>
  <c r="X77" i="1" s="1"/>
  <c r="X78" i="1" s="1"/>
  <c r="X79" i="1" s="1"/>
  <c r="G75" i="1"/>
  <c r="IB64" i="10"/>
  <c r="IB65" i="10"/>
  <c r="EL60" i="10"/>
  <c r="I58" i="1"/>
  <c r="J69" i="1"/>
  <c r="F57" i="1"/>
  <c r="K56" i="16"/>
  <c r="ID49" i="10"/>
  <c r="K68" i="16"/>
  <c r="G63" i="1"/>
  <c r="IB56" i="10"/>
  <c r="IB44" i="10"/>
  <c r="IE42" i="18"/>
  <c r="ID69" i="10"/>
  <c r="IB69" i="10"/>
  <c r="ID60" i="10"/>
  <c r="IB60" i="10"/>
  <c r="IE69" i="18"/>
  <c r="T54" i="18"/>
  <c r="T59" i="10"/>
  <c r="G69" i="1"/>
  <c r="AG27" i="17"/>
  <c r="F75" i="1"/>
  <c r="IE68" i="18"/>
  <c r="ID87" i="10"/>
  <c r="IC53" i="18"/>
  <c r="J63" i="1"/>
  <c r="J80" i="16"/>
  <c r="J74" i="16"/>
  <c r="L87" i="16"/>
  <c r="L81" i="16"/>
  <c r="L82" i="16" s="1"/>
  <c r="L83" i="16" s="1"/>
  <c r="L84" i="16" s="1"/>
  <c r="L85" i="16" s="1"/>
  <c r="L86" i="16" s="1"/>
  <c r="G62" i="16"/>
  <c r="ID118" i="10"/>
  <c r="R80" i="16"/>
  <c r="R74" i="16"/>
  <c r="R75" i="16" s="1"/>
  <c r="R76" i="16" s="1"/>
  <c r="R77" i="16" s="1"/>
  <c r="R78" i="16" s="1"/>
  <c r="R79" i="16" s="1"/>
  <c r="D80" i="1"/>
  <c r="D74" i="1"/>
  <c r="D75" i="1" s="1"/>
  <c r="D76" i="1" s="1"/>
  <c r="D77" i="1" s="1"/>
  <c r="D78" i="1" s="1"/>
  <c r="D79" i="1" s="1"/>
  <c r="A31" i="10"/>
  <c r="C9" i="10" s="1"/>
  <c r="J50" i="16"/>
  <c r="Q64" i="1"/>
  <c r="I70" i="1"/>
  <c r="T42" i="10"/>
  <c r="F87" i="1"/>
  <c r="F81" i="1"/>
  <c r="IC65" i="18"/>
  <c r="K57" i="1"/>
  <c r="IG91" i="18"/>
  <c r="IL91" i="18" s="1"/>
  <c r="T80" i="1"/>
  <c r="T74" i="1"/>
  <c r="T75" i="1" s="1"/>
  <c r="T76" i="1" s="1"/>
  <c r="T77" i="1" s="1"/>
  <c r="T78" i="1" s="1"/>
  <c r="T79" i="1" s="1"/>
  <c r="U52" i="18"/>
  <c r="I63" i="16"/>
  <c r="O87" i="1"/>
  <c r="O81" i="1"/>
  <c r="O82" i="1" s="1"/>
  <c r="O83" i="1" s="1"/>
  <c r="O84" i="1" s="1"/>
  <c r="O85" i="1" s="1"/>
  <c r="O86" i="1" s="1"/>
  <c r="U87" i="10"/>
  <c r="J56" i="16"/>
  <c r="BH27" i="17"/>
  <c r="IF105" i="10"/>
  <c r="V80" i="16"/>
  <c r="V74" i="16"/>
  <c r="V75" i="16" s="1"/>
  <c r="V76" i="16" s="1"/>
  <c r="V77" i="16" s="1"/>
  <c r="V78" i="16" s="1"/>
  <c r="V79" i="16" s="1"/>
  <c r="T61" i="10"/>
  <c r="L28" i="15"/>
  <c r="Q27" i="15"/>
  <c r="IF81" i="10"/>
  <c r="IF73" i="10"/>
  <c r="IK73" i="10" s="1"/>
  <c r="K62" i="16"/>
  <c r="IF99" i="10"/>
  <c r="IE98" i="18"/>
  <c r="U98" i="18"/>
  <c r="I75" i="16"/>
  <c r="F80" i="16"/>
  <c r="F74" i="16"/>
  <c r="I57" i="16"/>
  <c r="U66" i="10"/>
  <c r="B80" i="16"/>
  <c r="B74" i="16"/>
  <c r="B75" i="16" s="1"/>
  <c r="B76" i="16" s="1"/>
  <c r="B77" i="16" s="1"/>
  <c r="B78" i="16" s="1"/>
  <c r="B79" i="16" s="1"/>
  <c r="B81" i="1"/>
  <c r="B82" i="1" s="1"/>
  <c r="B83" i="1" s="1"/>
  <c r="B84" i="1" s="1"/>
  <c r="B85" i="1" s="1"/>
  <c r="B86" i="1" s="1"/>
  <c r="B87" i="1"/>
  <c r="IB58" i="10"/>
  <c r="U58" i="10"/>
  <c r="H68" i="1"/>
  <c r="IG90" i="18"/>
  <c r="IL90" i="18" s="1"/>
  <c r="IF74" i="10"/>
  <c r="IK74" i="10" s="1"/>
  <c r="IF40" i="10"/>
  <c r="IK40" i="10" s="1"/>
  <c r="Y40" i="10"/>
  <c r="K63" i="1"/>
  <c r="C87" i="1"/>
  <c r="C81" i="1"/>
  <c r="C82" i="1" s="1"/>
  <c r="C83" i="1" s="1"/>
  <c r="C84" i="1" s="1"/>
  <c r="C85" i="1" s="1"/>
  <c r="C86" i="1" s="1"/>
  <c r="T65" i="10"/>
  <c r="U65" i="10" s="1"/>
  <c r="K69" i="1"/>
  <c r="W87" i="1"/>
  <c r="W81" i="1"/>
  <c r="W82" i="1" s="1"/>
  <c r="W83" i="1" s="1"/>
  <c r="W84" i="1" s="1"/>
  <c r="W85" i="1" s="1"/>
  <c r="W86" i="1" s="1"/>
  <c r="O53" i="2"/>
  <c r="R38" i="2"/>
  <c r="IF97" i="10"/>
  <c r="S74" i="16"/>
  <c r="S75" i="16" s="1"/>
  <c r="S76" i="16" s="1"/>
  <c r="S77" i="16" s="1"/>
  <c r="S78" i="16" s="1"/>
  <c r="S79" i="16" s="1"/>
  <c r="S80" i="16"/>
  <c r="G68" i="16"/>
  <c r="FS48" i="18"/>
  <c r="Q87" i="16"/>
  <c r="Q81" i="16"/>
  <c r="IC60" i="18"/>
  <c r="U60" i="18"/>
  <c r="IC45" i="18"/>
  <c r="IC66" i="18"/>
  <c r="U66" i="18"/>
  <c r="L74" i="1"/>
  <c r="L75" i="1" s="1"/>
  <c r="L76" i="1" s="1"/>
  <c r="L77" i="1" s="1"/>
  <c r="L78" i="1" s="1"/>
  <c r="L79" i="1" s="1"/>
  <c r="L80" i="1"/>
  <c r="IB49" i="10"/>
  <c r="X25" i="2"/>
  <c r="IC63" i="18"/>
  <c r="T56" i="10"/>
  <c r="U56" i="10" s="1"/>
  <c r="U62" i="10"/>
  <c r="IE48" i="18"/>
  <c r="IC48" i="18"/>
  <c r="IC42" i="18"/>
  <c r="W42" i="18"/>
  <c r="U60" i="10"/>
  <c r="U70" i="10"/>
  <c r="C10" i="18"/>
  <c r="A34" i="18"/>
  <c r="A35" i="18" s="1"/>
  <c r="A33" i="18"/>
  <c r="LF61" i="18"/>
  <c r="S61" i="18"/>
  <c r="CS61" i="18"/>
  <c r="K75" i="1"/>
  <c r="F62" i="16"/>
  <c r="Q70" i="1"/>
  <c r="BB171" i="15"/>
  <c r="ID58" i="10"/>
  <c r="P87" i="16"/>
  <c r="P81" i="16"/>
  <c r="P82" i="16" s="1"/>
  <c r="P83" i="16" s="1"/>
  <c r="P84" i="16" s="1"/>
  <c r="P85" i="16" s="1"/>
  <c r="P86" i="16" s="1"/>
  <c r="IG95" i="18"/>
  <c r="IL95" i="18" s="1"/>
  <c r="IF104" i="10"/>
  <c r="H50" i="1"/>
  <c r="O74" i="16"/>
  <c r="O75" i="16" s="1"/>
  <c r="O76" i="16" s="1"/>
  <c r="O77" i="16" s="1"/>
  <c r="O78" i="16" s="1"/>
  <c r="O79" i="16" s="1"/>
  <c r="O80" i="16"/>
  <c r="ID46" i="10"/>
  <c r="IB46" i="10"/>
  <c r="IE119" i="18"/>
  <c r="AU28" i="15"/>
  <c r="IE66" i="18"/>
  <c r="IE46" i="18"/>
  <c r="X87" i="16"/>
  <c r="X81" i="16"/>
  <c r="X82" i="16" s="1"/>
  <c r="X83" i="16" s="1"/>
  <c r="X84" i="16" s="1"/>
  <c r="X85" i="16" s="1"/>
  <c r="X86" i="16" s="1"/>
  <c r="ID110" i="10"/>
  <c r="ID115" i="10"/>
  <c r="R81" i="1"/>
  <c r="R82" i="1" s="1"/>
  <c r="R83" i="1" s="1"/>
  <c r="R84" i="1" s="1"/>
  <c r="R85" i="1" s="1"/>
  <c r="R86" i="1" s="1"/>
  <c r="R87" i="1"/>
  <c r="G50" i="16"/>
  <c r="BH28" i="15"/>
  <c r="H63" i="16"/>
  <c r="IF113" i="10"/>
  <c r="J75" i="1"/>
  <c r="C8" i="10"/>
  <c r="A87" i="16"/>
  <c r="A81" i="16"/>
  <c r="A82" i="16" s="1"/>
  <c r="A83" i="16" s="1"/>
  <c r="A84" i="16" s="1"/>
  <c r="A85" i="16" s="1"/>
  <c r="A86" i="16" s="1"/>
  <c r="IG118" i="18"/>
  <c r="IL118" i="18" s="1"/>
  <c r="IE103" i="18"/>
  <c r="IL103" i="18" s="1"/>
  <c r="U115" i="10"/>
  <c r="IE82" i="18"/>
  <c r="J57" i="1"/>
  <c r="IF84" i="10"/>
  <c r="D87" i="16"/>
  <c r="D81" i="16"/>
  <c r="D82" i="16" s="1"/>
  <c r="D83" i="16" s="1"/>
  <c r="D84" i="16" s="1"/>
  <c r="D85" i="16" s="1"/>
  <c r="D86" i="16" s="1"/>
  <c r="IC70" i="18"/>
  <c r="U70" i="18"/>
  <c r="H75" i="16"/>
  <c r="U87" i="16"/>
  <c r="U81" i="16"/>
  <c r="U82" i="16" s="1"/>
  <c r="U83" i="16" s="1"/>
  <c r="U84" i="16" s="1"/>
  <c r="U85" i="16" s="1"/>
  <c r="U86" i="16" s="1"/>
  <c r="IE47" i="18"/>
  <c r="IC47" i="18"/>
  <c r="IF102" i="10"/>
  <c r="IE111" i="18"/>
  <c r="IE85" i="18"/>
  <c r="U85" i="18"/>
  <c r="U68" i="18"/>
  <c r="IG109" i="18"/>
  <c r="IL109" i="18" s="1"/>
  <c r="I81" i="16"/>
  <c r="I87" i="16"/>
  <c r="IG86" i="18"/>
  <c r="IL86" i="18" s="1"/>
  <c r="IB68" i="10"/>
  <c r="EL57" i="18"/>
  <c r="S87" i="1"/>
  <c r="S81" i="1"/>
  <c r="S82" i="1" s="1"/>
  <c r="S83" i="1" s="1"/>
  <c r="S84" i="1" s="1"/>
  <c r="S85" i="1" s="1"/>
  <c r="S86" i="1" s="1"/>
  <c r="H80" i="1"/>
  <c r="H74" i="1"/>
  <c r="Q57" i="16"/>
  <c r="IC59" i="18"/>
  <c r="IC71" i="18"/>
  <c r="C74" i="16"/>
  <c r="C75" i="16" s="1"/>
  <c r="C76" i="16" s="1"/>
  <c r="C77" i="16" s="1"/>
  <c r="C78" i="16" s="1"/>
  <c r="C79" i="16" s="1"/>
  <c r="C80" i="16"/>
  <c r="Q27" i="17"/>
  <c r="L28" i="17"/>
  <c r="G74" i="16"/>
  <c r="G80" i="16"/>
  <c r="F69" i="1"/>
  <c r="F63" i="1"/>
  <c r="AG27" i="15"/>
  <c r="IE60" i="18"/>
  <c r="U106" i="18"/>
  <c r="U46" i="10"/>
  <c r="P74" i="1"/>
  <c r="P75" i="1" s="1"/>
  <c r="P76" i="1" s="1"/>
  <c r="P77" i="1" s="1"/>
  <c r="P78" i="1" s="1"/>
  <c r="P79" i="1" s="1"/>
  <c r="P80" i="1"/>
  <c r="CS63" i="10"/>
  <c r="S63" i="10"/>
  <c r="LE63" i="10"/>
  <c r="I64" i="1"/>
  <c r="U49" i="10"/>
  <c r="IC46" i="18"/>
  <c r="H69" i="16"/>
  <c r="U94" i="1"/>
  <c r="U88" i="1"/>
  <c r="U89" i="1" s="1"/>
  <c r="U90" i="1" s="1"/>
  <c r="U91" i="1" s="1"/>
  <c r="U92" i="1" s="1"/>
  <c r="U93" i="1" s="1"/>
  <c r="IE63" i="18"/>
  <c r="U118" i="10"/>
  <c r="U69" i="10"/>
  <c r="IG75" i="18"/>
  <c r="IL75" i="18" s="1"/>
  <c r="IC69" i="18"/>
  <c r="E94" i="1"/>
  <c r="E88" i="1"/>
  <c r="E89" i="1" s="1"/>
  <c r="E90" i="1" s="1"/>
  <c r="E91" i="1" s="1"/>
  <c r="E92" i="1" s="1"/>
  <c r="E93" i="1" s="1"/>
  <c r="IC52" i="18"/>
  <c r="N80" i="16"/>
  <c r="N74" i="16"/>
  <c r="N75" i="16" s="1"/>
  <c r="N76" i="16" s="1"/>
  <c r="N77" i="16" s="1"/>
  <c r="N78" i="16" s="1"/>
  <c r="N79" i="16" s="1"/>
  <c r="K50" i="16"/>
  <c r="Q76" i="1"/>
  <c r="Q63" i="16"/>
  <c r="C11" i="18"/>
  <c r="H57" i="16"/>
  <c r="U53" i="18"/>
  <c r="N81" i="1"/>
  <c r="N82" i="1" s="1"/>
  <c r="N83" i="1" s="1"/>
  <c r="N84" i="1" s="1"/>
  <c r="N85" i="1" s="1"/>
  <c r="N86" i="1" s="1"/>
  <c r="N87" i="1"/>
  <c r="J68" i="16"/>
  <c r="IF76" i="10"/>
  <c r="IK76" i="10" s="1"/>
  <c r="IB48" i="10"/>
  <c r="K87" i="1"/>
  <c r="K81" i="1"/>
  <c r="IB42" i="10"/>
  <c r="W42" i="10"/>
  <c r="AU36" i="17"/>
  <c r="J62" i="16"/>
  <c r="IE70" i="18"/>
  <c r="I94" i="1"/>
  <c r="I88" i="1"/>
  <c r="T87" i="16"/>
  <c r="T81" i="16"/>
  <c r="T82" i="16" s="1"/>
  <c r="T83" i="16" s="1"/>
  <c r="T84" i="16" s="1"/>
  <c r="T85" i="16" s="1"/>
  <c r="T86" i="16" s="1"/>
  <c r="IG84" i="18"/>
  <c r="IL84" i="18" s="1"/>
  <c r="G57" i="1"/>
  <c r="IG97" i="18"/>
  <c r="IL97" i="18" s="1"/>
  <c r="H62" i="1"/>
  <c r="F68" i="16"/>
  <c r="IB66" i="10"/>
  <c r="Q58" i="1"/>
  <c r="K51" i="1"/>
  <c r="I69" i="16"/>
  <c r="BB171" i="17"/>
  <c r="Q94" i="1"/>
  <c r="Q88" i="1"/>
  <c r="IE59" i="18"/>
  <c r="G87" i="1"/>
  <c r="G81" i="1"/>
  <c r="T64" i="10"/>
  <c r="G51" i="1"/>
  <c r="G56" i="16"/>
  <c r="Q75" i="16"/>
  <c r="W74" i="16"/>
  <c r="W75" i="16" s="1"/>
  <c r="W76" i="16" s="1"/>
  <c r="W77" i="16" s="1"/>
  <c r="W78" i="16" s="1"/>
  <c r="W79" i="16" s="1"/>
  <c r="W80" i="16"/>
  <c r="ID81" i="10"/>
  <c r="IK81" i="10" s="1"/>
  <c r="Q69" i="16"/>
  <c r="FR47" i="10"/>
  <c r="ID99" i="10"/>
  <c r="U111" i="18"/>
  <c r="F50" i="16"/>
  <c r="M94" i="1"/>
  <c r="M88" i="1"/>
  <c r="M89" i="1" s="1"/>
  <c r="M90" i="1" s="1"/>
  <c r="M91" i="1" s="1"/>
  <c r="M92" i="1" s="1"/>
  <c r="M93" i="1" s="1"/>
  <c r="I76" i="1"/>
  <c r="K80" i="16"/>
  <c r="K74" i="16"/>
  <c r="IG63" i="18"/>
  <c r="IB62" i="10"/>
  <c r="T44" i="10"/>
  <c r="U44" i="10" s="1"/>
  <c r="U42" i="18"/>
  <c r="IC62" i="18"/>
  <c r="U62" i="18"/>
  <c r="IB70" i="10"/>
  <c r="U119" i="18"/>
  <c r="AC248" i="31"/>
  <c r="AK242" i="31"/>
  <c r="AF225" i="31"/>
  <c r="AG237" i="31"/>
  <c r="AQ242" i="31"/>
  <c r="AJ237" i="31"/>
  <c r="AG226" i="31"/>
  <c r="AG225" i="31"/>
  <c r="AI218" i="31"/>
  <c r="AJ243" i="31"/>
  <c r="AJ248" i="31"/>
  <c r="AG243" i="31"/>
  <c r="AG249" i="31"/>
  <c r="AG242" i="31"/>
  <c r="AH243" i="31"/>
  <c r="AJ231" i="31"/>
  <c r="AJ225" i="31"/>
  <c r="AQ218" i="31"/>
  <c r="AK231" i="31"/>
  <c r="AH249" i="31"/>
  <c r="AQ230" i="31"/>
  <c r="AF237" i="31"/>
  <c r="AF243" i="31"/>
  <c r="AK237" i="31"/>
  <c r="AI236" i="31"/>
  <c r="AK243" i="31"/>
  <c r="AG231" i="31"/>
  <c r="AQ219" i="31"/>
  <c r="AK255" i="31"/>
  <c r="AF249" i="31"/>
  <c r="AF242" i="31"/>
  <c r="AQ248" i="31"/>
  <c r="AH255" i="31"/>
  <c r="AI248" i="31"/>
  <c r="AH225" i="31"/>
  <c r="AK225" i="31"/>
  <c r="AJ242" i="31"/>
  <c r="AF231" i="31"/>
  <c r="AQ236" i="31"/>
  <c r="AI224" i="31"/>
  <c r="AI242" i="31"/>
  <c r="AI230" i="31"/>
  <c r="AH226" i="31"/>
  <c r="AF248" i="31"/>
  <c r="AI219" i="31"/>
  <c r="AH237" i="31"/>
  <c r="AB248" i="31"/>
  <c r="AQ224" i="31"/>
  <c r="AK248" i="31"/>
  <c r="AH242" i="31"/>
  <c r="AJ249" i="31"/>
  <c r="AH231" i="31"/>
  <c r="AJ226" i="31"/>
  <c r="AF226" i="31"/>
  <c r="AK226" i="31"/>
  <c r="AC249" i="31" l="1"/>
  <c r="AC250" i="31" s="1"/>
  <c r="AC251" i="31" s="1"/>
  <c r="AC252" i="31" s="1"/>
  <c r="AC253" i="31" s="1"/>
  <c r="AC254" i="31" s="1"/>
  <c r="U90" i="10"/>
  <c r="IF90" i="10" s="1"/>
  <c r="IC58" i="18"/>
  <c r="DB42" i="18"/>
  <c r="C12" i="18"/>
  <c r="DP52" i="32"/>
  <c r="DU52" i="32" s="1"/>
  <c r="EO52" i="32" s="1"/>
  <c r="IK71" i="10"/>
  <c r="DP51" i="32"/>
  <c r="DO51" i="32"/>
  <c r="U41" i="10"/>
  <c r="IF41" i="10" s="1"/>
  <c r="IK41" i="10" s="1"/>
  <c r="X41" i="18"/>
  <c r="X42" i="18" s="1"/>
  <c r="U50" i="18"/>
  <c r="ID52" i="10"/>
  <c r="IC50" i="18"/>
  <c r="CY42" i="18"/>
  <c r="DA42" i="18"/>
  <c r="CX42" i="18"/>
  <c r="CT43" i="18"/>
  <c r="DB43" i="18" s="1"/>
  <c r="IB57" i="10"/>
  <c r="U57" i="18"/>
  <c r="IG57" i="18" s="1"/>
  <c r="IL59" i="24"/>
  <c r="CZ42" i="18"/>
  <c r="W43" i="18"/>
  <c r="U41" i="18"/>
  <c r="IG41" i="18" s="1"/>
  <c r="IL41" i="18" s="1"/>
  <c r="IC49" i="18"/>
  <c r="IB52" i="10"/>
  <c r="U47" i="24"/>
  <c r="IG47" i="24" s="1"/>
  <c r="IL47" i="24" s="1"/>
  <c r="CY42" i="10"/>
  <c r="T43" i="18"/>
  <c r="BJ24" i="32"/>
  <c r="BL23" i="32"/>
  <c r="BG248" i="31"/>
  <c r="BG236" i="31"/>
  <c r="BG219" i="31"/>
  <c r="BG218" i="31"/>
  <c r="BG242" i="31"/>
  <c r="BG230" i="31"/>
  <c r="AB249" i="31"/>
  <c r="AB250" i="31" s="1"/>
  <c r="AB251" i="31" s="1"/>
  <c r="AB252" i="31" s="1"/>
  <c r="AB253" i="31" s="1"/>
  <c r="BG224" i="31"/>
  <c r="F233" i="31"/>
  <c r="Q244" i="31"/>
  <c r="H245" i="31"/>
  <c r="G257" i="31"/>
  <c r="H257" i="31"/>
  <c r="Q232" i="31"/>
  <c r="I232" i="31"/>
  <c r="K239" i="31"/>
  <c r="J257" i="31"/>
  <c r="J251" i="31"/>
  <c r="Q256" i="31"/>
  <c r="F251" i="31"/>
  <c r="G245" i="31"/>
  <c r="H251" i="31"/>
  <c r="F257" i="31"/>
  <c r="I238" i="31"/>
  <c r="J245" i="31"/>
  <c r="G233" i="31"/>
  <c r="I256" i="31"/>
  <c r="J239" i="31"/>
  <c r="K233" i="31"/>
  <c r="K257" i="31"/>
  <c r="H233" i="31"/>
  <c r="H239" i="31"/>
  <c r="G251" i="31"/>
  <c r="Q238" i="31"/>
  <c r="Q226" i="31"/>
  <c r="K251" i="31"/>
  <c r="F245" i="31"/>
  <c r="I226" i="31"/>
  <c r="F239" i="31"/>
  <c r="K245" i="31"/>
  <c r="J233" i="31"/>
  <c r="I250" i="31"/>
  <c r="Q250" i="31"/>
  <c r="I244" i="31"/>
  <c r="G239" i="31"/>
  <c r="X44" i="24"/>
  <c r="X45" i="24" s="1"/>
  <c r="X46" i="24" s="1"/>
  <c r="X47" i="24" s="1"/>
  <c r="X48" i="24" s="1"/>
  <c r="X49" i="24" s="1"/>
  <c r="X50" i="24" s="1"/>
  <c r="X51" i="24" s="1"/>
  <c r="X52" i="24" s="1"/>
  <c r="X53" i="24" s="1"/>
  <c r="X54" i="24" s="1"/>
  <c r="X55" i="24" s="1"/>
  <c r="X56" i="24" s="1"/>
  <c r="X57" i="24" s="1"/>
  <c r="X58" i="24" s="1"/>
  <c r="X59" i="24" s="1"/>
  <c r="X60" i="24" s="1"/>
  <c r="X61" i="24" s="1"/>
  <c r="X62" i="24" s="1"/>
  <c r="X63" i="24" s="1"/>
  <c r="X64" i="24" s="1"/>
  <c r="X65" i="24" s="1"/>
  <c r="X66" i="24" s="1"/>
  <c r="X67" i="24" s="1"/>
  <c r="X68" i="24" s="1"/>
  <c r="X69" i="24" s="1"/>
  <c r="X70" i="24" s="1"/>
  <c r="X71" i="24" s="1"/>
  <c r="X72" i="24" s="1"/>
  <c r="X73" i="24" s="1"/>
  <c r="X74" i="24" s="1"/>
  <c r="X75" i="24" s="1"/>
  <c r="X76" i="24" s="1"/>
  <c r="X77" i="24" s="1"/>
  <c r="X78" i="24" s="1"/>
  <c r="X79" i="24" s="1"/>
  <c r="X80" i="24" s="1"/>
  <c r="X81" i="24" s="1"/>
  <c r="X82" i="24" s="1"/>
  <c r="X83" i="24" s="1"/>
  <c r="X84" i="24" s="1"/>
  <c r="X85" i="24" s="1"/>
  <c r="X86" i="24" s="1"/>
  <c r="X87" i="24" s="1"/>
  <c r="X88" i="24" s="1"/>
  <c r="X89" i="24" s="1"/>
  <c r="X90" i="24" s="1"/>
  <c r="X91" i="24" s="1"/>
  <c r="X92" i="24" s="1"/>
  <c r="X93" i="24" s="1"/>
  <c r="X94" i="24" s="1"/>
  <c r="X95" i="24" s="1"/>
  <c r="X96" i="24" s="1"/>
  <c r="X97" i="24" s="1"/>
  <c r="X98" i="24" s="1"/>
  <c r="X99" i="24" s="1"/>
  <c r="X100" i="24" s="1"/>
  <c r="X101" i="24" s="1"/>
  <c r="X102" i="24" s="1"/>
  <c r="X103" i="24" s="1"/>
  <c r="X104" i="24" s="1"/>
  <c r="X105" i="24" s="1"/>
  <c r="X106" i="24" s="1"/>
  <c r="X107" i="24" s="1"/>
  <c r="X108" i="24" s="1"/>
  <c r="X109" i="24" s="1"/>
  <c r="X110" i="24" s="1"/>
  <c r="X111" i="24" s="1"/>
  <c r="X112" i="24" s="1"/>
  <c r="X113" i="24" s="1"/>
  <c r="X114" i="24" s="1"/>
  <c r="X115" i="24" s="1"/>
  <c r="X116" i="24" s="1"/>
  <c r="X117" i="24" s="1"/>
  <c r="X118" i="24" s="1"/>
  <c r="X119" i="24" s="1"/>
  <c r="X120" i="24" s="1"/>
  <c r="X121" i="24" s="1"/>
  <c r="X122" i="24" s="1"/>
  <c r="X123" i="24" s="1"/>
  <c r="X124" i="24" s="1"/>
  <c r="X125" i="24" s="1"/>
  <c r="X126" i="24" s="1"/>
  <c r="X127" i="24" s="1"/>
  <c r="X128" i="24" s="1"/>
  <c r="X129" i="24" s="1"/>
  <c r="X130" i="24" s="1"/>
  <c r="X131" i="24" s="1"/>
  <c r="A35" i="24"/>
  <c r="A37" i="24" s="1"/>
  <c r="C43" i="24" s="1"/>
  <c r="C12" i="24"/>
  <c r="T47" i="10"/>
  <c r="U47" i="10" s="1"/>
  <c r="IF47" i="10" s="1"/>
  <c r="U57" i="10"/>
  <c r="IF57" i="10" s="1"/>
  <c r="IK57" i="10" s="1"/>
  <c r="IE48" i="24"/>
  <c r="X41" i="10"/>
  <c r="X42" i="10" s="1"/>
  <c r="X43" i="10" s="1"/>
  <c r="X44" i="10" s="1"/>
  <c r="U44" i="18"/>
  <c r="IG44" i="18" s="1"/>
  <c r="IE51" i="24"/>
  <c r="IL51" i="24" s="1"/>
  <c r="T54" i="10"/>
  <c r="ID54" i="10" s="1"/>
  <c r="IC64" i="18"/>
  <c r="IC44" i="18"/>
  <c r="IB51" i="10"/>
  <c r="W44" i="18"/>
  <c r="W45" i="18" s="1"/>
  <c r="W46" i="18" s="1"/>
  <c r="W47" i="18" s="1"/>
  <c r="W48" i="18" s="1"/>
  <c r="W49" i="18" s="1"/>
  <c r="W50" i="18" s="1"/>
  <c r="W51" i="18" s="1"/>
  <c r="W52" i="18" s="1"/>
  <c r="W53" i="18" s="1"/>
  <c r="W54" i="18" s="1"/>
  <c r="W55" i="18" s="1"/>
  <c r="W56" i="18" s="1"/>
  <c r="W57" i="18" s="1"/>
  <c r="W58" i="18" s="1"/>
  <c r="W59" i="18" s="1"/>
  <c r="W60" i="18" s="1"/>
  <c r="W61" i="18" s="1"/>
  <c r="W62" i="18" s="1"/>
  <c r="W63" i="18" s="1"/>
  <c r="W64" i="18" s="1"/>
  <c r="W65" i="18" s="1"/>
  <c r="W66" i="18" s="1"/>
  <c r="W67" i="18" s="1"/>
  <c r="W68" i="18" s="1"/>
  <c r="W69" i="18" s="1"/>
  <c r="W70" i="18" s="1"/>
  <c r="W71" i="18" s="1"/>
  <c r="W72" i="18" s="1"/>
  <c r="W73" i="18" s="1"/>
  <c r="W74" i="18" s="1"/>
  <c r="W75" i="18" s="1"/>
  <c r="W76" i="18" s="1"/>
  <c r="W77" i="18" s="1"/>
  <c r="W78" i="18" s="1"/>
  <c r="W79" i="18" s="1"/>
  <c r="W80" i="18" s="1"/>
  <c r="W81" i="18" s="1"/>
  <c r="W82" i="18" s="1"/>
  <c r="W83" i="18" s="1"/>
  <c r="W84" i="18" s="1"/>
  <c r="W85" i="18" s="1"/>
  <c r="W86" i="18" s="1"/>
  <c r="W87" i="18" s="1"/>
  <c r="W88" i="18" s="1"/>
  <c r="W89" i="18" s="1"/>
  <c r="W90" i="18" s="1"/>
  <c r="W91" i="18" s="1"/>
  <c r="W92" i="18" s="1"/>
  <c r="W93" i="18" s="1"/>
  <c r="W94" i="18" s="1"/>
  <c r="W95" i="18" s="1"/>
  <c r="W96" i="18" s="1"/>
  <c r="W97" i="18" s="1"/>
  <c r="W98" i="18" s="1"/>
  <c r="W99" i="18" s="1"/>
  <c r="W100" i="18" s="1"/>
  <c r="W101" i="18" s="1"/>
  <c r="W102" i="18" s="1"/>
  <c r="W103" i="18" s="1"/>
  <c r="W104" i="18" s="1"/>
  <c r="W105" i="18" s="1"/>
  <c r="W106" i="18" s="1"/>
  <c r="W107" i="18" s="1"/>
  <c r="W108" i="18" s="1"/>
  <c r="W109" i="18" s="1"/>
  <c r="W110" i="18" s="1"/>
  <c r="W111" i="18" s="1"/>
  <c r="W112" i="18" s="1"/>
  <c r="W113" i="18" s="1"/>
  <c r="W114" i="18" s="1"/>
  <c r="W115" i="18" s="1"/>
  <c r="W116" i="18" s="1"/>
  <c r="W117" i="18" s="1"/>
  <c r="W118" i="18" s="1"/>
  <c r="W119" i="18" s="1"/>
  <c r="W120" i="18" s="1"/>
  <c r="W121" i="18" s="1"/>
  <c r="W122" i="18" s="1"/>
  <c r="W123" i="18" s="1"/>
  <c r="W124" i="18" s="1"/>
  <c r="W125" i="18" s="1"/>
  <c r="W126" i="18" s="1"/>
  <c r="W127" i="18" s="1"/>
  <c r="W128" i="18" s="1"/>
  <c r="W129" i="18" s="1"/>
  <c r="W130" i="18" s="1"/>
  <c r="W131" i="18" s="1"/>
  <c r="U51" i="10"/>
  <c r="IF51" i="10" s="1"/>
  <c r="U44" i="24"/>
  <c r="Y44" i="24" s="1"/>
  <c r="Y45" i="24" s="1"/>
  <c r="Y46" i="24" s="1"/>
  <c r="IE46" i="24"/>
  <c r="IL46" i="24" s="1"/>
  <c r="IC57" i="18"/>
  <c r="IL57" i="18" s="1"/>
  <c r="IW100" i="24"/>
  <c r="U88" i="10"/>
  <c r="IF88" i="10" s="1"/>
  <c r="IB67" i="10"/>
  <c r="IL82" i="18"/>
  <c r="U64" i="18"/>
  <c r="DC589" i="15"/>
  <c r="DE588" i="15"/>
  <c r="IB55" i="10"/>
  <c r="BQ593" i="15"/>
  <c r="U58" i="18"/>
  <c r="IG58" i="18" s="1"/>
  <c r="IL58" i="18" s="1"/>
  <c r="IK50" i="10"/>
  <c r="IK52" i="10"/>
  <c r="IB43" i="10"/>
  <c r="T45" i="10"/>
  <c r="U45" i="10" s="1"/>
  <c r="IF45" i="10" s="1"/>
  <c r="W43" i="10"/>
  <c r="W44" i="10" s="1"/>
  <c r="W45" i="10" s="1"/>
  <c r="W46" i="10" s="1"/>
  <c r="W47" i="10" s="1"/>
  <c r="W48" i="10" s="1"/>
  <c r="W49" i="10" s="1"/>
  <c r="W50" i="10" s="1"/>
  <c r="W51" i="10" s="1"/>
  <c r="W52" i="10" s="1"/>
  <c r="W53" i="10" s="1"/>
  <c r="W54" i="10" s="1"/>
  <c r="W55" i="10" s="1"/>
  <c r="W56" i="10" s="1"/>
  <c r="W57" i="10" s="1"/>
  <c r="W58" i="10" s="1"/>
  <c r="W59" i="10" s="1"/>
  <c r="W60" i="10" s="1"/>
  <c r="W61" i="10" s="1"/>
  <c r="W62" i="10" s="1"/>
  <c r="W63" i="10" s="1"/>
  <c r="W64" i="10" s="1"/>
  <c r="W65" i="10" s="1"/>
  <c r="W66" i="10" s="1"/>
  <c r="W67" i="10" s="1"/>
  <c r="W68" i="10" s="1"/>
  <c r="W69" i="10" s="1"/>
  <c r="W70" i="10" s="1"/>
  <c r="W71" i="10" s="1"/>
  <c r="W72" i="10" s="1"/>
  <c r="W73" i="10" s="1"/>
  <c r="W74" i="10" s="1"/>
  <c r="W75" i="10" s="1"/>
  <c r="W76" i="10" s="1"/>
  <c r="W77" i="10" s="1"/>
  <c r="W78" i="10" s="1"/>
  <c r="W79" i="10" s="1"/>
  <c r="W80" i="10" s="1"/>
  <c r="W81" i="10" s="1"/>
  <c r="W82" i="10" s="1"/>
  <c r="W83" i="10" s="1"/>
  <c r="W84" i="10" s="1"/>
  <c r="W85" i="10" s="1"/>
  <c r="W86" i="10" s="1"/>
  <c r="W87" i="10" s="1"/>
  <c r="W88" i="10" s="1"/>
  <c r="W89" i="10" s="1"/>
  <c r="W90" i="10" s="1"/>
  <c r="W91" i="10" s="1"/>
  <c r="W92" i="10" s="1"/>
  <c r="W93" i="10" s="1"/>
  <c r="W94" i="10" s="1"/>
  <c r="W95" i="10" s="1"/>
  <c r="W96" i="10" s="1"/>
  <c r="W97" i="10" s="1"/>
  <c r="W98" i="10" s="1"/>
  <c r="W99" i="10" s="1"/>
  <c r="W100" i="10" s="1"/>
  <c r="W101" i="10" s="1"/>
  <c r="W102" i="10" s="1"/>
  <c r="W103" i="10" s="1"/>
  <c r="W104" i="10" s="1"/>
  <c r="W105" i="10" s="1"/>
  <c r="W106" i="10" s="1"/>
  <c r="W107" i="10" s="1"/>
  <c r="W108" i="10" s="1"/>
  <c r="W109" i="10" s="1"/>
  <c r="W110" i="10" s="1"/>
  <c r="W111" i="10" s="1"/>
  <c r="W112" i="10" s="1"/>
  <c r="W113" i="10" s="1"/>
  <c r="W114" i="10" s="1"/>
  <c r="W115" i="10" s="1"/>
  <c r="W116" i="10" s="1"/>
  <c r="W117" i="10" s="1"/>
  <c r="W118" i="10" s="1"/>
  <c r="W119" i="10" s="1"/>
  <c r="W120" i="10" s="1"/>
  <c r="W121" i="10" s="1"/>
  <c r="W122" i="10" s="1"/>
  <c r="W123" i="10" s="1"/>
  <c r="W124" i="10" s="1"/>
  <c r="W125" i="10" s="1"/>
  <c r="W126" i="10" s="1"/>
  <c r="W127" i="10" s="1"/>
  <c r="W128" i="10" s="1"/>
  <c r="W129" i="10" s="1"/>
  <c r="W130" i="10" s="1"/>
  <c r="W131" i="10" s="1"/>
  <c r="U43" i="10"/>
  <c r="IF43" i="10" s="1"/>
  <c r="IL69" i="18"/>
  <c r="DA42" i="10"/>
  <c r="IL63" i="18"/>
  <c r="IL62" i="24"/>
  <c r="DB42" i="10"/>
  <c r="IE65" i="18"/>
  <c r="IL65" i="18" s="1"/>
  <c r="CT43" i="10"/>
  <c r="CU43" i="10" s="1"/>
  <c r="IL59" i="18"/>
  <c r="IB53" i="10"/>
  <c r="ID68" i="10"/>
  <c r="IK68" i="10" s="1"/>
  <c r="T56" i="18"/>
  <c r="IE56" i="18" s="1"/>
  <c r="IC56" i="18"/>
  <c r="DC42" i="10"/>
  <c r="CZ42" i="10"/>
  <c r="CX42" i="10"/>
  <c r="U52" i="24"/>
  <c r="IG52" i="24" s="1"/>
  <c r="IL52" i="24" s="1"/>
  <c r="J32" i="15"/>
  <c r="AH583" i="15" s="1"/>
  <c r="IL55" i="24"/>
  <c r="T51" i="18"/>
  <c r="U51" i="18" s="1"/>
  <c r="IG51" i="18" s="1"/>
  <c r="U53" i="10"/>
  <c r="IF53" i="10" s="1"/>
  <c r="IE45" i="18"/>
  <c r="IL45" i="18" s="1"/>
  <c r="CX43" i="24"/>
  <c r="IL47" i="18"/>
  <c r="CY43" i="24"/>
  <c r="CZ44" i="24"/>
  <c r="CZ43" i="24"/>
  <c r="CX44" i="24"/>
  <c r="CY44" i="24"/>
  <c r="DA43" i="24"/>
  <c r="DC43" i="24"/>
  <c r="CT45" i="24"/>
  <c r="DC45" i="24" s="1"/>
  <c r="DB44" i="24"/>
  <c r="DB43" i="24"/>
  <c r="DA44" i="24"/>
  <c r="CT44" i="18"/>
  <c r="CT45" i="18" s="1"/>
  <c r="DC45" i="18" s="1"/>
  <c r="IE71" i="18"/>
  <c r="IL71" i="18" s="1"/>
  <c r="IL50" i="24"/>
  <c r="ID55" i="10"/>
  <c r="IL46" i="18"/>
  <c r="IL48" i="18"/>
  <c r="A37" i="18"/>
  <c r="C42" i="18" s="1"/>
  <c r="C13" i="18"/>
  <c r="C32" i="18"/>
  <c r="LO50" i="24"/>
  <c r="LS49" i="24"/>
  <c r="IE60" i="24"/>
  <c r="IL43" i="24"/>
  <c r="IG53" i="24"/>
  <c r="IL53" i="24" s="1"/>
  <c r="FS49" i="24"/>
  <c r="IG58" i="24"/>
  <c r="IL58" i="24" s="1"/>
  <c r="IG45" i="24"/>
  <c r="IL45" i="24" s="1"/>
  <c r="IG67" i="24"/>
  <c r="IL67" i="24" s="1"/>
  <c r="IG48" i="24"/>
  <c r="IG57" i="24"/>
  <c r="IL57" i="24" s="1"/>
  <c r="EL58" i="24"/>
  <c r="U60" i="24"/>
  <c r="IG49" i="18"/>
  <c r="IG62" i="18"/>
  <c r="IL62" i="18" s="1"/>
  <c r="H58" i="16"/>
  <c r="IF118" i="10"/>
  <c r="IB63" i="10"/>
  <c r="S94" i="1"/>
  <c r="S88" i="1"/>
  <c r="S89" i="1" s="1"/>
  <c r="S90" i="1" s="1"/>
  <c r="S91" i="1" s="1"/>
  <c r="S92" i="1" s="1"/>
  <c r="S93" i="1" s="1"/>
  <c r="X88" i="16"/>
  <c r="X89" i="16" s="1"/>
  <c r="X90" i="16" s="1"/>
  <c r="X91" i="16" s="1"/>
  <c r="X92" i="16" s="1"/>
  <c r="X93" i="16" s="1"/>
  <c r="X94" i="16"/>
  <c r="K75" i="16"/>
  <c r="F51" i="16"/>
  <c r="ID64" i="10"/>
  <c r="G94" i="1"/>
  <c r="G88" i="1"/>
  <c r="Q89" i="1"/>
  <c r="F69" i="16"/>
  <c r="K82" i="1"/>
  <c r="IG119" i="18"/>
  <c r="IL119" i="18" s="1"/>
  <c r="ID44" i="10"/>
  <c r="K87" i="16"/>
  <c r="K81" i="16"/>
  <c r="I77" i="1"/>
  <c r="M101" i="1"/>
  <c r="M95" i="1"/>
  <c r="M96" i="1" s="1"/>
  <c r="M97" i="1" s="1"/>
  <c r="M98" i="1" s="1"/>
  <c r="M99" i="1" s="1"/>
  <c r="M100" i="1" s="1"/>
  <c r="IG111" i="18"/>
  <c r="IL111" i="18" s="1"/>
  <c r="G57" i="16"/>
  <c r="Q101" i="1"/>
  <c r="Q95" i="1"/>
  <c r="I70" i="16"/>
  <c r="G58" i="1"/>
  <c r="T94" i="16"/>
  <c r="T88" i="16"/>
  <c r="T89" i="16" s="1"/>
  <c r="T90" i="16" s="1"/>
  <c r="T91" i="16" s="1"/>
  <c r="T92" i="16" s="1"/>
  <c r="T93" i="16" s="1"/>
  <c r="I89" i="1"/>
  <c r="C37" i="18"/>
  <c r="C31" i="18"/>
  <c r="C39" i="18"/>
  <c r="C44" i="18"/>
  <c r="C34" i="18"/>
  <c r="K94" i="1"/>
  <c r="K88" i="1"/>
  <c r="N94" i="1"/>
  <c r="N88" i="1"/>
  <c r="N89" i="1" s="1"/>
  <c r="N90" i="1" s="1"/>
  <c r="N91" i="1" s="1"/>
  <c r="N92" i="1" s="1"/>
  <c r="N93" i="1" s="1"/>
  <c r="Q77" i="1"/>
  <c r="N81" i="16"/>
  <c r="N82" i="16" s="1"/>
  <c r="N83" i="16" s="1"/>
  <c r="N84" i="16" s="1"/>
  <c r="N85" i="16" s="1"/>
  <c r="N86" i="16" s="1"/>
  <c r="N87" i="16"/>
  <c r="E101" i="1"/>
  <c r="E95" i="1"/>
  <c r="E96" i="1" s="1"/>
  <c r="E97" i="1" s="1"/>
  <c r="E98" i="1" s="1"/>
  <c r="E99" i="1" s="1"/>
  <c r="E100" i="1" s="1"/>
  <c r="IF69" i="10"/>
  <c r="IK69" i="10" s="1"/>
  <c r="U101" i="1"/>
  <c r="U95" i="1"/>
  <c r="U96" i="1" s="1"/>
  <c r="U97" i="1" s="1"/>
  <c r="U98" i="1" s="1"/>
  <c r="U99" i="1" s="1"/>
  <c r="U100" i="1" s="1"/>
  <c r="F70" i="1"/>
  <c r="C17" i="18"/>
  <c r="EL58" i="18"/>
  <c r="I82" i="16"/>
  <c r="IG85" i="18"/>
  <c r="IL85" i="18" s="1"/>
  <c r="U94" i="16"/>
  <c r="U88" i="16"/>
  <c r="U89" i="16" s="1"/>
  <c r="U90" i="16" s="1"/>
  <c r="U91" i="16" s="1"/>
  <c r="U92" i="16" s="1"/>
  <c r="U93" i="16" s="1"/>
  <c r="IG70" i="18"/>
  <c r="IL70" i="18" s="1"/>
  <c r="D94" i="16"/>
  <c r="D88" i="16"/>
  <c r="D89" i="16" s="1"/>
  <c r="D90" i="16" s="1"/>
  <c r="D91" i="16" s="1"/>
  <c r="D92" i="16" s="1"/>
  <c r="D93" i="16" s="1"/>
  <c r="J58" i="1"/>
  <c r="IF115" i="10"/>
  <c r="F63" i="16"/>
  <c r="T61" i="18"/>
  <c r="FS49" i="18"/>
  <c r="IG64" i="18"/>
  <c r="IL64" i="18" s="1"/>
  <c r="R39" i="2"/>
  <c r="U38" i="2"/>
  <c r="T38" i="2"/>
  <c r="V38" i="2"/>
  <c r="V47" i="2" s="1"/>
  <c r="C24" i="18"/>
  <c r="Y41" i="10"/>
  <c r="H69" i="1"/>
  <c r="IF66" i="10"/>
  <c r="IK66" i="10" s="1"/>
  <c r="F75" i="16"/>
  <c r="IG98" i="18"/>
  <c r="IL98" i="18" s="1"/>
  <c r="V81" i="16"/>
  <c r="V82" i="16" s="1"/>
  <c r="V83" i="16" s="1"/>
  <c r="V84" i="16" s="1"/>
  <c r="V85" i="16" s="1"/>
  <c r="V86" i="16" s="1"/>
  <c r="V87" i="16"/>
  <c r="T87" i="1"/>
  <c r="T81" i="1"/>
  <c r="T82" i="1" s="1"/>
  <c r="T83" i="1" s="1"/>
  <c r="T84" i="1" s="1"/>
  <c r="T85" i="1" s="1"/>
  <c r="T86" i="1" s="1"/>
  <c r="ID42" i="10"/>
  <c r="Q65" i="1"/>
  <c r="D87" i="1"/>
  <c r="D81" i="1"/>
  <c r="D82" i="1" s="1"/>
  <c r="D83" i="1" s="1"/>
  <c r="D84" i="1" s="1"/>
  <c r="D85" i="1" s="1"/>
  <c r="D86" i="1" s="1"/>
  <c r="L94" i="16"/>
  <c r="L88" i="16"/>
  <c r="L89" i="16" s="1"/>
  <c r="L90" i="16" s="1"/>
  <c r="L91" i="16" s="1"/>
  <c r="L92" i="16" s="1"/>
  <c r="L93" i="16" s="1"/>
  <c r="C15" i="18"/>
  <c r="G70" i="1"/>
  <c r="IE54" i="18"/>
  <c r="J70" i="1"/>
  <c r="G76" i="1"/>
  <c r="F57" i="16"/>
  <c r="H82" i="16"/>
  <c r="H57" i="1"/>
  <c r="V94" i="1"/>
  <c r="V88" i="1"/>
  <c r="V89" i="1" s="1"/>
  <c r="V90" i="1" s="1"/>
  <c r="V91" i="1" s="1"/>
  <c r="V92" i="1" s="1"/>
  <c r="V93" i="1" s="1"/>
  <c r="IF48" i="10"/>
  <c r="IK48" i="10" s="1"/>
  <c r="IG42" i="18"/>
  <c r="IL42" i="18" s="1"/>
  <c r="H64" i="16"/>
  <c r="IF65" i="10"/>
  <c r="BB172" i="15"/>
  <c r="K70" i="1"/>
  <c r="IF58" i="10"/>
  <c r="IK58" i="10" s="1"/>
  <c r="AG28" i="17"/>
  <c r="G64" i="1"/>
  <c r="IF70" i="10"/>
  <c r="IK70" i="10" s="1"/>
  <c r="IF44" i="10"/>
  <c r="X26" i="2"/>
  <c r="IG66" i="18"/>
  <c r="IL66" i="18" s="1"/>
  <c r="G69" i="16"/>
  <c r="F81" i="16"/>
  <c r="F87" i="16"/>
  <c r="L29" i="15"/>
  <c r="Q28" i="15"/>
  <c r="ID61" i="10"/>
  <c r="U61" i="10"/>
  <c r="IF87" i="10"/>
  <c r="IV80" i="10" s="1"/>
  <c r="I64" i="16"/>
  <c r="J64" i="1"/>
  <c r="ID59" i="10"/>
  <c r="F58" i="1"/>
  <c r="H88" i="16"/>
  <c r="H94" i="16"/>
  <c r="IF106" i="10"/>
  <c r="M94" i="16"/>
  <c r="M88" i="16"/>
  <c r="M89" i="16" s="1"/>
  <c r="M90" i="16" s="1"/>
  <c r="M91" i="16" s="1"/>
  <c r="M92" i="16" s="1"/>
  <c r="M93" i="16" s="1"/>
  <c r="J82" i="1"/>
  <c r="FR48" i="10"/>
  <c r="Q76" i="16"/>
  <c r="G82" i="1"/>
  <c r="BB172" i="17"/>
  <c r="H63" i="1"/>
  <c r="J63" i="16"/>
  <c r="AU37" i="17"/>
  <c r="K51" i="16"/>
  <c r="H70" i="16"/>
  <c r="T63" i="10"/>
  <c r="U63" i="10" s="1"/>
  <c r="IF46" i="10"/>
  <c r="IK46" i="10" s="1"/>
  <c r="F64" i="1"/>
  <c r="G87" i="16"/>
  <c r="G81" i="16"/>
  <c r="U64" i="10"/>
  <c r="Q58" i="16"/>
  <c r="H75" i="1"/>
  <c r="IG68" i="18"/>
  <c r="IL68" i="18" s="1"/>
  <c r="H76" i="16"/>
  <c r="A94" i="16"/>
  <c r="A88" i="16"/>
  <c r="A89" i="16" s="1"/>
  <c r="A90" i="16" s="1"/>
  <c r="A91" i="16" s="1"/>
  <c r="A92" i="16" s="1"/>
  <c r="A93" i="16" s="1"/>
  <c r="R94" i="1"/>
  <c r="R88" i="1"/>
  <c r="R89" i="1" s="1"/>
  <c r="R90" i="1" s="1"/>
  <c r="R91" i="1" s="1"/>
  <c r="R92" i="1" s="1"/>
  <c r="R93" i="1" s="1"/>
  <c r="AU29" i="15"/>
  <c r="H51" i="1"/>
  <c r="C27" i="18"/>
  <c r="P88" i="16"/>
  <c r="P89" i="16" s="1"/>
  <c r="P90" i="16" s="1"/>
  <c r="P91" i="16" s="1"/>
  <c r="P92" i="16" s="1"/>
  <c r="P93" i="16" s="1"/>
  <c r="P94" i="16"/>
  <c r="Q71" i="1"/>
  <c r="C18" i="18"/>
  <c r="IF60" i="10"/>
  <c r="IK60" i="10" s="1"/>
  <c r="IF62" i="10"/>
  <c r="IK62" i="10" s="1"/>
  <c r="L87" i="1"/>
  <c r="L81" i="1"/>
  <c r="L82" i="1" s="1"/>
  <c r="L83" i="1" s="1"/>
  <c r="L84" i="1" s="1"/>
  <c r="L85" i="1" s="1"/>
  <c r="L86" i="1" s="1"/>
  <c r="IG60" i="18"/>
  <c r="IL60" i="18" s="1"/>
  <c r="Q82" i="16"/>
  <c r="S87" i="16"/>
  <c r="S81" i="16"/>
  <c r="S82" i="16" s="1"/>
  <c r="S83" i="16" s="1"/>
  <c r="S84" i="16" s="1"/>
  <c r="S85" i="16" s="1"/>
  <c r="S86" i="16" s="1"/>
  <c r="ID65" i="10"/>
  <c r="C94" i="1"/>
  <c r="C88" i="1"/>
  <c r="C89" i="1" s="1"/>
  <c r="C90" i="1" s="1"/>
  <c r="C91" i="1" s="1"/>
  <c r="C92" i="1" s="1"/>
  <c r="C93" i="1" s="1"/>
  <c r="K64" i="1"/>
  <c r="B94" i="1"/>
  <c r="B88" i="1"/>
  <c r="B89" i="1" s="1"/>
  <c r="B90" i="1" s="1"/>
  <c r="B91" i="1" s="1"/>
  <c r="B92" i="1" s="1"/>
  <c r="B93" i="1" s="1"/>
  <c r="B87" i="16"/>
  <c r="B81" i="16"/>
  <c r="B82" i="16" s="1"/>
  <c r="B83" i="16" s="1"/>
  <c r="B84" i="16" s="1"/>
  <c r="B85" i="16" s="1"/>
  <c r="B86" i="16" s="1"/>
  <c r="I58" i="16"/>
  <c r="K63" i="16"/>
  <c r="J57" i="16"/>
  <c r="IG52" i="18"/>
  <c r="IL52" i="18" s="1"/>
  <c r="K58" i="1"/>
  <c r="F82" i="1"/>
  <c r="I71" i="1"/>
  <c r="J51" i="16"/>
  <c r="A32" i="10"/>
  <c r="A33" i="10" s="1"/>
  <c r="R87" i="16"/>
  <c r="R81" i="16"/>
  <c r="R82" i="16" s="1"/>
  <c r="R83" i="16" s="1"/>
  <c r="R84" i="16" s="1"/>
  <c r="R85" i="16" s="1"/>
  <c r="R86" i="16" s="1"/>
  <c r="G63" i="16"/>
  <c r="J75" i="16"/>
  <c r="C38" i="18"/>
  <c r="F76" i="1"/>
  <c r="X87" i="1"/>
  <c r="X81" i="1"/>
  <c r="X82" i="1" s="1"/>
  <c r="X83" i="1" s="1"/>
  <c r="X84" i="1" s="1"/>
  <c r="X85" i="1" s="1"/>
  <c r="X86" i="1" s="1"/>
  <c r="Q83" i="1"/>
  <c r="A101" i="1"/>
  <c r="A95" i="1"/>
  <c r="A96" i="1" s="1"/>
  <c r="A97" i="1" s="1"/>
  <c r="A98" i="1" s="1"/>
  <c r="A99" i="1" s="1"/>
  <c r="A100" i="1" s="1"/>
  <c r="IG72" i="18"/>
  <c r="IL72" i="18" s="1"/>
  <c r="J94" i="1"/>
  <c r="J88" i="1"/>
  <c r="E94" i="16"/>
  <c r="E88" i="16"/>
  <c r="E89" i="16" s="1"/>
  <c r="E90" i="16" s="1"/>
  <c r="E91" i="16" s="1"/>
  <c r="E92" i="16" s="1"/>
  <c r="E93" i="16" s="1"/>
  <c r="U54" i="18"/>
  <c r="U42" i="10"/>
  <c r="C20" i="18"/>
  <c r="I101" i="1"/>
  <c r="I95" i="1"/>
  <c r="Q64" i="16"/>
  <c r="IF49" i="10"/>
  <c r="IK49" i="10" s="1"/>
  <c r="Q28" i="17"/>
  <c r="L29" i="17"/>
  <c r="G51" i="16"/>
  <c r="IE49" i="18"/>
  <c r="Q70" i="16"/>
  <c r="W87" i="16"/>
  <c r="W81" i="16"/>
  <c r="W82" i="16" s="1"/>
  <c r="W83" i="16" s="1"/>
  <c r="W84" i="16" s="1"/>
  <c r="W85" i="16" s="1"/>
  <c r="W86" i="16" s="1"/>
  <c r="J69" i="16"/>
  <c r="IG53" i="18"/>
  <c r="IL53" i="18" s="1"/>
  <c r="IG50" i="18"/>
  <c r="IL50" i="18" s="1"/>
  <c r="I65" i="1"/>
  <c r="P87" i="1"/>
  <c r="P81" i="1"/>
  <c r="P82" i="1" s="1"/>
  <c r="P83" i="1" s="1"/>
  <c r="P84" i="1" s="1"/>
  <c r="P85" i="1" s="1"/>
  <c r="P86" i="1" s="1"/>
  <c r="IG106" i="18"/>
  <c r="IL106" i="18" s="1"/>
  <c r="AG28" i="15"/>
  <c r="G75" i="16"/>
  <c r="C87" i="16"/>
  <c r="C81" i="16"/>
  <c r="C82" i="16" s="1"/>
  <c r="C83" i="16" s="1"/>
  <c r="C84" i="16" s="1"/>
  <c r="C85" i="16" s="1"/>
  <c r="C86" i="16" s="1"/>
  <c r="C19" i="18"/>
  <c r="H87" i="1"/>
  <c r="H81" i="1"/>
  <c r="I94" i="16"/>
  <c r="I88" i="16"/>
  <c r="C30" i="18"/>
  <c r="C21" i="18"/>
  <c r="J76" i="1"/>
  <c r="BH29" i="15"/>
  <c r="U59" i="10"/>
  <c r="C41" i="18"/>
  <c r="IF56" i="10"/>
  <c r="O87" i="16"/>
  <c r="O81" i="16"/>
  <c r="O82" i="16" s="1"/>
  <c r="O83" i="16" s="1"/>
  <c r="O84" i="16" s="1"/>
  <c r="O85" i="16" s="1"/>
  <c r="O86" i="16" s="1"/>
  <c r="K76" i="1"/>
  <c r="IC61" i="18"/>
  <c r="C33" i="18"/>
  <c r="C28" i="18"/>
  <c r="ID67" i="10"/>
  <c r="ID56" i="10"/>
  <c r="Q94" i="16"/>
  <c r="Q88" i="16"/>
  <c r="W94" i="1"/>
  <c r="W88" i="1"/>
  <c r="W89" i="1" s="1"/>
  <c r="W90" i="1" s="1"/>
  <c r="W91" i="1" s="1"/>
  <c r="W92" i="1" s="1"/>
  <c r="W93" i="1" s="1"/>
  <c r="I76" i="16"/>
  <c r="BH28" i="17"/>
  <c r="O94" i="1"/>
  <c r="O88" i="1"/>
  <c r="O89" i="1" s="1"/>
  <c r="O90" i="1" s="1"/>
  <c r="O91" i="1" s="1"/>
  <c r="O92" i="1" s="1"/>
  <c r="O93" i="1" s="1"/>
  <c r="F94" i="1"/>
  <c r="F88" i="1"/>
  <c r="J87" i="16"/>
  <c r="J81" i="16"/>
  <c r="C36" i="18"/>
  <c r="C43" i="18"/>
  <c r="K69" i="16"/>
  <c r="K57" i="16"/>
  <c r="EL61" i="10"/>
  <c r="I83" i="1"/>
  <c r="C35" i="18"/>
  <c r="U67" i="10"/>
  <c r="AC255" i="31"/>
  <c r="AK232" i="31"/>
  <c r="AG250" i="31"/>
  <c r="AG244" i="31"/>
  <c r="AG238" i="31"/>
  <c r="AG232" i="31"/>
  <c r="AI237" i="31"/>
  <c r="AJ233" i="31"/>
  <c r="AQ255" i="31"/>
  <c r="AQ225" i="31"/>
  <c r="AJ238" i="31"/>
  <c r="AG256" i="31"/>
  <c r="AI255" i="31"/>
  <c r="AH250" i="31"/>
  <c r="AK249" i="31"/>
  <c r="AK256" i="31"/>
  <c r="AF238" i="31"/>
  <c r="AK250" i="31"/>
  <c r="AJ250" i="31"/>
  <c r="AQ243" i="31"/>
  <c r="AQ237" i="31"/>
  <c r="AB255" i="31"/>
  <c r="AF232" i="31"/>
  <c r="AH238" i="31"/>
  <c r="AH233" i="31"/>
  <c r="AQ231" i="31"/>
  <c r="AJ255" i="31"/>
  <c r="AK244" i="31"/>
  <c r="AF250" i="31"/>
  <c r="AF233" i="31"/>
  <c r="AK238" i="31"/>
  <c r="AK233" i="31"/>
  <c r="AH256" i="31"/>
  <c r="AH244" i="31"/>
  <c r="AI243" i="31"/>
  <c r="AI225" i="31"/>
  <c r="AG233" i="31"/>
  <c r="AI226" i="31"/>
  <c r="AF255" i="31"/>
  <c r="AF244" i="31"/>
  <c r="AJ244" i="31"/>
  <c r="AQ226" i="31"/>
  <c r="AG255" i="31"/>
  <c r="AI231" i="31"/>
  <c r="AQ249" i="31"/>
  <c r="AJ232" i="31"/>
  <c r="AJ256" i="31"/>
  <c r="AI249" i="31"/>
  <c r="AF256" i="31"/>
  <c r="AH232" i="31"/>
  <c r="AB256" i="31" l="1"/>
  <c r="AB257" i="31" s="1"/>
  <c r="AB258" i="31" s="1"/>
  <c r="AB259" i="31" s="1"/>
  <c r="AB260" i="31" s="1"/>
  <c r="AB261" i="31" s="1"/>
  <c r="AM22" i="32" s="1"/>
  <c r="AC256" i="31"/>
  <c r="AC257" i="31" s="1"/>
  <c r="AC258" i="31" s="1"/>
  <c r="AC259" i="31" s="1"/>
  <c r="AC260" i="31" s="1"/>
  <c r="AC261" i="31" s="1"/>
  <c r="IK65" i="10"/>
  <c r="U54" i="10"/>
  <c r="IF54" i="10" s="1"/>
  <c r="IK54" i="10" s="1"/>
  <c r="DU51" i="32"/>
  <c r="EO51" i="32" s="1"/>
  <c r="DC43" i="18"/>
  <c r="CY43" i="18"/>
  <c r="Y41" i="18"/>
  <c r="Y42" i="18" s="1"/>
  <c r="X43" i="18"/>
  <c r="X44" i="18" s="1"/>
  <c r="X45" i="18" s="1"/>
  <c r="X46" i="18" s="1"/>
  <c r="X47" i="18" s="1"/>
  <c r="X48" i="18" s="1"/>
  <c r="X49" i="18" s="1"/>
  <c r="X50" i="18" s="1"/>
  <c r="DA43" i="18"/>
  <c r="CX43" i="18"/>
  <c r="CZ43" i="18"/>
  <c r="ID47" i="10"/>
  <c r="IK47" i="10" s="1"/>
  <c r="IK51" i="10"/>
  <c r="CT44" i="10"/>
  <c r="CU44" i="10" s="1"/>
  <c r="Y47" i="24"/>
  <c r="Y48" i="24" s="1"/>
  <c r="Y49" i="24" s="1"/>
  <c r="Y50" i="24" s="1"/>
  <c r="Y51" i="24" s="1"/>
  <c r="Y52" i="24" s="1"/>
  <c r="Y53" i="24" s="1"/>
  <c r="Y54" i="24" s="1"/>
  <c r="Y55" i="24" s="1"/>
  <c r="Y56" i="24" s="1"/>
  <c r="Y57" i="24" s="1"/>
  <c r="Y58" i="24" s="1"/>
  <c r="Y59" i="24" s="1"/>
  <c r="Y60" i="24" s="1"/>
  <c r="Y61" i="24" s="1"/>
  <c r="Y62" i="24" s="1"/>
  <c r="Y63" i="24" s="1"/>
  <c r="Y64" i="24" s="1"/>
  <c r="Y65" i="24" s="1"/>
  <c r="Y66" i="24" s="1"/>
  <c r="Y67" i="24" s="1"/>
  <c r="Y68" i="24" s="1"/>
  <c r="Y69" i="24" s="1"/>
  <c r="Y70" i="24" s="1"/>
  <c r="Y71" i="24" s="1"/>
  <c r="Y72" i="24" s="1"/>
  <c r="Y73" i="24" s="1"/>
  <c r="Y74" i="24" s="1"/>
  <c r="Y75" i="24" s="1"/>
  <c r="Y76" i="24" s="1"/>
  <c r="Y77" i="24" s="1"/>
  <c r="Y78" i="24" s="1"/>
  <c r="Y79" i="24" s="1"/>
  <c r="Y80" i="24" s="1"/>
  <c r="Y81" i="24" s="1"/>
  <c r="Y82" i="24" s="1"/>
  <c r="Y83" i="24" s="1"/>
  <c r="Y84" i="24" s="1"/>
  <c r="Y85" i="24" s="1"/>
  <c r="Y86" i="24" s="1"/>
  <c r="Y87" i="24" s="1"/>
  <c r="Y88" i="24" s="1"/>
  <c r="Y89" i="24" s="1"/>
  <c r="Y90" i="24" s="1"/>
  <c r="Y91" i="24" s="1"/>
  <c r="Y92" i="24" s="1"/>
  <c r="Y93" i="24" s="1"/>
  <c r="Y94" i="24" s="1"/>
  <c r="Y95" i="24" s="1"/>
  <c r="Y96" i="24" s="1"/>
  <c r="Y97" i="24" s="1"/>
  <c r="Y98" i="24" s="1"/>
  <c r="Y99" i="24" s="1"/>
  <c r="Y100" i="24" s="1"/>
  <c r="Y101" i="24" s="1"/>
  <c r="Y102" i="24" s="1"/>
  <c r="Y103" i="24" s="1"/>
  <c r="Y104" i="24" s="1"/>
  <c r="Y105" i="24" s="1"/>
  <c r="Y106" i="24" s="1"/>
  <c r="Y107" i="24" s="1"/>
  <c r="Y108" i="24" s="1"/>
  <c r="Y109" i="24" s="1"/>
  <c r="Y110" i="24" s="1"/>
  <c r="Y111" i="24" s="1"/>
  <c r="Y112" i="24" s="1"/>
  <c r="Y113" i="24" s="1"/>
  <c r="Y114" i="24" s="1"/>
  <c r="Y115" i="24" s="1"/>
  <c r="Y116" i="24" s="1"/>
  <c r="Y117" i="24" s="1"/>
  <c r="Y118" i="24" s="1"/>
  <c r="Y119" i="24" s="1"/>
  <c r="Y120" i="24" s="1"/>
  <c r="Y121" i="24" s="1"/>
  <c r="Y122" i="24" s="1"/>
  <c r="Y123" i="24" s="1"/>
  <c r="Y124" i="24" s="1"/>
  <c r="Y125" i="24" s="1"/>
  <c r="Y126" i="24" s="1"/>
  <c r="Y127" i="24" s="1"/>
  <c r="Y128" i="24" s="1"/>
  <c r="Y129" i="24" s="1"/>
  <c r="Y130" i="24" s="1"/>
  <c r="Y131" i="24" s="1"/>
  <c r="U43" i="18"/>
  <c r="IG43" i="18" s="1"/>
  <c r="IE43" i="18"/>
  <c r="BJ25" i="32"/>
  <c r="BL24" i="32"/>
  <c r="AM46" i="32"/>
  <c r="AO46" i="32" s="1"/>
  <c r="AM52" i="32"/>
  <c r="AO52" i="32" s="1"/>
  <c r="AB254" i="31"/>
  <c r="BG226" i="31"/>
  <c r="BG255" i="31"/>
  <c r="BG231" i="31"/>
  <c r="BG243" i="31"/>
  <c r="BG249" i="31"/>
  <c r="BG225" i="31"/>
  <c r="BG237" i="31"/>
  <c r="H240" i="31"/>
  <c r="J240" i="31"/>
  <c r="F252" i="31"/>
  <c r="Q233" i="31"/>
  <c r="G258" i="31"/>
  <c r="Q245" i="31"/>
  <c r="I251" i="31"/>
  <c r="K252" i="31"/>
  <c r="H252" i="31"/>
  <c r="K240" i="31"/>
  <c r="G240" i="31"/>
  <c r="Q251" i="31"/>
  <c r="F240" i="31"/>
  <c r="F246" i="31"/>
  <c r="G252" i="31"/>
  <c r="I257" i="31"/>
  <c r="J246" i="31"/>
  <c r="F258" i="31"/>
  <c r="G246" i="31"/>
  <c r="Q257" i="31"/>
  <c r="J258" i="31"/>
  <c r="I245" i="31"/>
  <c r="K246" i="31"/>
  <c r="Q239" i="31"/>
  <c r="K258" i="31"/>
  <c r="I239" i="31"/>
  <c r="J252" i="31"/>
  <c r="I233" i="31"/>
  <c r="H258" i="31"/>
  <c r="H246" i="31"/>
  <c r="C13" i="24"/>
  <c r="C42" i="24"/>
  <c r="C38" i="24"/>
  <c r="C22" i="24"/>
  <c r="C17" i="24"/>
  <c r="C26" i="24"/>
  <c r="C39" i="24"/>
  <c r="C31" i="24"/>
  <c r="C21" i="24"/>
  <c r="C34" i="24"/>
  <c r="C36" i="24"/>
  <c r="C23" i="24"/>
  <c r="C35" i="24"/>
  <c r="C40" i="24"/>
  <c r="C37" i="24"/>
  <c r="C14" i="24"/>
  <c r="C28" i="24"/>
  <c r="C29" i="24"/>
  <c r="C20" i="24"/>
  <c r="C27" i="24"/>
  <c r="C32" i="24"/>
  <c r="C24" i="24"/>
  <c r="C25" i="24"/>
  <c r="C44" i="24"/>
  <c r="C18" i="24"/>
  <c r="C33" i="24"/>
  <c r="C19" i="24"/>
  <c r="C16" i="24"/>
  <c r="C15" i="24"/>
  <c r="C30" i="24"/>
  <c r="C41" i="24"/>
  <c r="X45" i="10"/>
  <c r="X46" i="10" s="1"/>
  <c r="X47" i="10" s="1"/>
  <c r="X48" i="10" s="1"/>
  <c r="X49" i="10" s="1"/>
  <c r="X50" i="10" s="1"/>
  <c r="X51" i="10" s="1"/>
  <c r="X52" i="10" s="1"/>
  <c r="X53" i="10" s="1"/>
  <c r="X54" i="10" s="1"/>
  <c r="X55" i="10" s="1"/>
  <c r="X56" i="10" s="1"/>
  <c r="X57" i="10" s="1"/>
  <c r="X58" i="10" s="1"/>
  <c r="X59" i="10" s="1"/>
  <c r="X60" i="10" s="1"/>
  <c r="X61" i="10" s="1"/>
  <c r="X62" i="10" s="1"/>
  <c r="X63" i="10" s="1"/>
  <c r="X64" i="10" s="1"/>
  <c r="X65" i="10" s="1"/>
  <c r="X66" i="10" s="1"/>
  <c r="X67" i="10" s="1"/>
  <c r="X68" i="10" s="1"/>
  <c r="X69" i="10" s="1"/>
  <c r="X70" i="10" s="1"/>
  <c r="X71" i="10" s="1"/>
  <c r="X72" i="10" s="1"/>
  <c r="X73" i="10" s="1"/>
  <c r="X74" i="10" s="1"/>
  <c r="X75" i="10" s="1"/>
  <c r="X76" i="10" s="1"/>
  <c r="X77" i="10" s="1"/>
  <c r="X78" i="10" s="1"/>
  <c r="X79" i="10" s="1"/>
  <c r="X80" i="10" s="1"/>
  <c r="X81" i="10" s="1"/>
  <c r="X82" i="10" s="1"/>
  <c r="X83" i="10" s="1"/>
  <c r="X84" i="10" s="1"/>
  <c r="X85" i="10" s="1"/>
  <c r="X86" i="10" s="1"/>
  <c r="X87" i="10" s="1"/>
  <c r="X88" i="10" s="1"/>
  <c r="X89" i="10" s="1"/>
  <c r="X90" i="10" s="1"/>
  <c r="X91" i="10" s="1"/>
  <c r="X92" i="10" s="1"/>
  <c r="X93" i="10" s="1"/>
  <c r="X94" i="10" s="1"/>
  <c r="X95" i="10" s="1"/>
  <c r="X96" i="10" s="1"/>
  <c r="X97" i="10" s="1"/>
  <c r="X98" i="10" s="1"/>
  <c r="X99" i="10" s="1"/>
  <c r="X100" i="10" s="1"/>
  <c r="X101" i="10" s="1"/>
  <c r="X102" i="10" s="1"/>
  <c r="X103" i="10" s="1"/>
  <c r="X104" i="10" s="1"/>
  <c r="X105" i="10" s="1"/>
  <c r="X106" i="10" s="1"/>
  <c r="X107" i="10" s="1"/>
  <c r="X108" i="10" s="1"/>
  <c r="X109" i="10" s="1"/>
  <c r="X110" i="10" s="1"/>
  <c r="X111" i="10" s="1"/>
  <c r="X112" i="10" s="1"/>
  <c r="X113" i="10" s="1"/>
  <c r="X114" i="10" s="1"/>
  <c r="X115" i="10" s="1"/>
  <c r="X116" i="10" s="1"/>
  <c r="X117" i="10" s="1"/>
  <c r="X118" i="10" s="1"/>
  <c r="X119" i="10" s="1"/>
  <c r="X120" i="10" s="1"/>
  <c r="X121" i="10" s="1"/>
  <c r="X122" i="10" s="1"/>
  <c r="X123" i="10" s="1"/>
  <c r="X124" i="10" s="1"/>
  <c r="X125" i="10" s="1"/>
  <c r="X126" i="10" s="1"/>
  <c r="X127" i="10" s="1"/>
  <c r="X128" i="10" s="1"/>
  <c r="X129" i="10" s="1"/>
  <c r="X130" i="10" s="1"/>
  <c r="X131" i="10" s="1"/>
  <c r="IG44" i="24"/>
  <c r="IL44" i="24" s="1"/>
  <c r="IL48" i="24"/>
  <c r="IL44" i="18"/>
  <c r="DA43" i="10"/>
  <c r="CZ43" i="10"/>
  <c r="DB43" i="10"/>
  <c r="IW100" i="18"/>
  <c r="DC43" i="10"/>
  <c r="IK55" i="10"/>
  <c r="IK56" i="10"/>
  <c r="CY43" i="10"/>
  <c r="CX43" i="10"/>
  <c r="DC590" i="15"/>
  <c r="DE589" i="15"/>
  <c r="BQ594" i="15"/>
  <c r="DB45" i="24"/>
  <c r="ID45" i="10"/>
  <c r="IK45" i="10" s="1"/>
  <c r="IK44" i="10"/>
  <c r="IK53" i="10"/>
  <c r="IK43" i="10"/>
  <c r="IV100" i="10"/>
  <c r="IW80" i="18"/>
  <c r="U56" i="18"/>
  <c r="IG56" i="18" s="1"/>
  <c r="IL56" i="18" s="1"/>
  <c r="X51" i="18"/>
  <c r="X52" i="18" s="1"/>
  <c r="X53" i="18" s="1"/>
  <c r="X54" i="18" s="1"/>
  <c r="X55" i="18" s="1"/>
  <c r="X56" i="18" s="1"/>
  <c r="X57" i="18" s="1"/>
  <c r="X58" i="18" s="1"/>
  <c r="X59" i="18" s="1"/>
  <c r="X60" i="18" s="1"/>
  <c r="X61" i="18" s="1"/>
  <c r="X62" i="18" s="1"/>
  <c r="X63" i="18" s="1"/>
  <c r="X64" i="18" s="1"/>
  <c r="X65" i="18" s="1"/>
  <c r="X66" i="18" s="1"/>
  <c r="X67" i="18" s="1"/>
  <c r="X68" i="18" s="1"/>
  <c r="X69" i="18" s="1"/>
  <c r="X70" i="18" s="1"/>
  <c r="X71" i="18" s="1"/>
  <c r="X72" i="18" s="1"/>
  <c r="X73" i="18" s="1"/>
  <c r="X74" i="18" s="1"/>
  <c r="X75" i="18" s="1"/>
  <c r="X76" i="18" s="1"/>
  <c r="X77" i="18" s="1"/>
  <c r="X78" i="18" s="1"/>
  <c r="X79" i="18" s="1"/>
  <c r="X80" i="18" s="1"/>
  <c r="X81" i="18" s="1"/>
  <c r="X82" i="18" s="1"/>
  <c r="X83" i="18" s="1"/>
  <c r="X84" i="18" s="1"/>
  <c r="X85" i="18" s="1"/>
  <c r="X86" i="18" s="1"/>
  <c r="X87" i="18" s="1"/>
  <c r="X88" i="18" s="1"/>
  <c r="X89" i="18" s="1"/>
  <c r="X90" i="18" s="1"/>
  <c r="X91" i="18" s="1"/>
  <c r="X92" i="18" s="1"/>
  <c r="X93" i="18" s="1"/>
  <c r="X94" i="18" s="1"/>
  <c r="X95" i="18" s="1"/>
  <c r="X96" i="18" s="1"/>
  <c r="X97" i="18" s="1"/>
  <c r="X98" i="18" s="1"/>
  <c r="X99" i="18" s="1"/>
  <c r="X100" i="18" s="1"/>
  <c r="X101" i="18" s="1"/>
  <c r="X102" i="18" s="1"/>
  <c r="X103" i="18" s="1"/>
  <c r="X104" i="18" s="1"/>
  <c r="X105" i="18" s="1"/>
  <c r="X106" i="18" s="1"/>
  <c r="X107" i="18" s="1"/>
  <c r="X108" i="18" s="1"/>
  <c r="X109" i="18" s="1"/>
  <c r="X110" i="18" s="1"/>
  <c r="X111" i="18" s="1"/>
  <c r="X112" i="18" s="1"/>
  <c r="X113" i="18" s="1"/>
  <c r="X114" i="18" s="1"/>
  <c r="X115" i="18" s="1"/>
  <c r="X116" i="18" s="1"/>
  <c r="X117" i="18" s="1"/>
  <c r="X118" i="18" s="1"/>
  <c r="X119" i="18" s="1"/>
  <c r="X120" i="18" s="1"/>
  <c r="X121" i="18" s="1"/>
  <c r="X122" i="18" s="1"/>
  <c r="X123" i="18" s="1"/>
  <c r="X124" i="18" s="1"/>
  <c r="X125" i="18" s="1"/>
  <c r="X126" i="18" s="1"/>
  <c r="X127" i="18" s="1"/>
  <c r="X128" i="18" s="1"/>
  <c r="X129" i="18" s="1"/>
  <c r="X130" i="18" s="1"/>
  <c r="X131" i="18" s="1"/>
  <c r="IE51" i="18"/>
  <c r="IL51" i="18" s="1"/>
  <c r="CX45" i="24"/>
  <c r="J33" i="15"/>
  <c r="AH584" i="15" s="1"/>
  <c r="CZ44" i="18"/>
  <c r="IL49" i="18"/>
  <c r="CT46" i="24"/>
  <c r="DB46" i="24" s="1"/>
  <c r="CY45" i="18"/>
  <c r="CZ45" i="24"/>
  <c r="CY45" i="24"/>
  <c r="CX44" i="18"/>
  <c r="DA45" i="24"/>
  <c r="CY44" i="18"/>
  <c r="CX45" i="18"/>
  <c r="CZ45" i="18"/>
  <c r="DC44" i="18"/>
  <c r="DB45" i="18"/>
  <c r="DA45" i="18"/>
  <c r="DB44" i="18"/>
  <c r="DA44" i="18"/>
  <c r="CT46" i="18"/>
  <c r="CZ46" i="18" s="1"/>
  <c r="C40" i="18"/>
  <c r="C25" i="18"/>
  <c r="C16" i="18"/>
  <c r="C22" i="18"/>
  <c r="C14" i="18"/>
  <c r="C23" i="18"/>
  <c r="C29" i="18"/>
  <c r="C26" i="18"/>
  <c r="LO51" i="24"/>
  <c r="LS50" i="24"/>
  <c r="IG60" i="24"/>
  <c r="IL60" i="24" s="1"/>
  <c r="IW60" i="24" s="1"/>
  <c r="EL59" i="24"/>
  <c r="FS50" i="24"/>
  <c r="O101" i="1"/>
  <c r="O95" i="1"/>
  <c r="O96" i="1" s="1"/>
  <c r="O97" i="1" s="1"/>
  <c r="O98" i="1" s="1"/>
  <c r="O99" i="1" s="1"/>
  <c r="O100" i="1" s="1"/>
  <c r="L94" i="1"/>
  <c r="L88" i="1"/>
  <c r="L89" i="1" s="1"/>
  <c r="L90" i="1" s="1"/>
  <c r="L91" i="1" s="1"/>
  <c r="L92" i="1" s="1"/>
  <c r="L93" i="1" s="1"/>
  <c r="H77" i="16"/>
  <c r="W101" i="1"/>
  <c r="W95" i="1"/>
  <c r="W96" i="1" s="1"/>
  <c r="W97" i="1" s="1"/>
  <c r="W98" i="1" s="1"/>
  <c r="W99" i="1" s="1"/>
  <c r="W100" i="1" s="1"/>
  <c r="J94" i="16"/>
  <c r="J88" i="16"/>
  <c r="I101" i="16"/>
  <c r="I95" i="16"/>
  <c r="E95" i="16"/>
  <c r="E96" i="16" s="1"/>
  <c r="E97" i="16" s="1"/>
  <c r="E98" i="16" s="1"/>
  <c r="E99" i="16" s="1"/>
  <c r="E100" i="16" s="1"/>
  <c r="E101" i="16"/>
  <c r="J76" i="16"/>
  <c r="R94" i="16"/>
  <c r="R88" i="16"/>
  <c r="R89" i="16" s="1"/>
  <c r="R90" i="16" s="1"/>
  <c r="R91" i="16" s="1"/>
  <c r="R92" i="16" s="1"/>
  <c r="R93" i="16" s="1"/>
  <c r="F83" i="1"/>
  <c r="K65" i="1"/>
  <c r="Q72" i="1"/>
  <c r="IF64" i="10"/>
  <c r="IK64" i="10" s="1"/>
  <c r="ID63" i="10"/>
  <c r="IK63" i="10" s="1"/>
  <c r="J64" i="16"/>
  <c r="BB173" i="17"/>
  <c r="Q77" i="16"/>
  <c r="FR49" i="10"/>
  <c r="G70" i="16"/>
  <c r="BB173" i="15"/>
  <c r="H65" i="16"/>
  <c r="V95" i="1"/>
  <c r="V96" i="1" s="1"/>
  <c r="V97" i="1" s="1"/>
  <c r="V98" i="1" s="1"/>
  <c r="V99" i="1" s="1"/>
  <c r="V100" i="1" s="1"/>
  <c r="V101" i="1"/>
  <c r="H83" i="16"/>
  <c r="G77" i="1"/>
  <c r="D88" i="1"/>
  <c r="D89" i="1" s="1"/>
  <c r="D90" i="1" s="1"/>
  <c r="D91" i="1" s="1"/>
  <c r="D92" i="1" s="1"/>
  <c r="D93" i="1" s="1"/>
  <c r="D94" i="1"/>
  <c r="F76" i="16"/>
  <c r="H70" i="1"/>
  <c r="FS50" i="18"/>
  <c r="IE61" i="18"/>
  <c r="D101" i="16"/>
  <c r="D95" i="16"/>
  <c r="D96" i="16" s="1"/>
  <c r="D97" i="16" s="1"/>
  <c r="D98" i="16" s="1"/>
  <c r="D99" i="16" s="1"/>
  <c r="D100" i="16" s="1"/>
  <c r="U95" i="16"/>
  <c r="U96" i="16" s="1"/>
  <c r="U97" i="16" s="1"/>
  <c r="U98" i="16" s="1"/>
  <c r="U99" i="16" s="1"/>
  <c r="U100" i="16" s="1"/>
  <c r="U101" i="16"/>
  <c r="I83" i="16"/>
  <c r="EL59" i="18"/>
  <c r="F71" i="1"/>
  <c r="N94" i="16"/>
  <c r="N88" i="16"/>
  <c r="N89" i="16" s="1"/>
  <c r="N90" i="16" s="1"/>
  <c r="N91" i="16" s="1"/>
  <c r="N92" i="16" s="1"/>
  <c r="N93" i="16" s="1"/>
  <c r="K101" i="1"/>
  <c r="K95" i="1"/>
  <c r="K83" i="1"/>
  <c r="Q90" i="1"/>
  <c r="K58" i="16"/>
  <c r="I77" i="16"/>
  <c r="K77" i="1"/>
  <c r="AG29" i="15"/>
  <c r="J70" i="16"/>
  <c r="Q29" i="17"/>
  <c r="L30" i="17"/>
  <c r="I96" i="1"/>
  <c r="Y42" i="10"/>
  <c r="Y43" i="10" s="1"/>
  <c r="Y44" i="10" s="1"/>
  <c r="Y45" i="10" s="1"/>
  <c r="Y46" i="10" s="1"/>
  <c r="Y47" i="10" s="1"/>
  <c r="Y48" i="10" s="1"/>
  <c r="Y49" i="10" s="1"/>
  <c r="Y50" i="10" s="1"/>
  <c r="Y51" i="10" s="1"/>
  <c r="Y52" i="10" s="1"/>
  <c r="Y53" i="10" s="1"/>
  <c r="IF42" i="10"/>
  <c r="IK42" i="10" s="1"/>
  <c r="Q84" i="1"/>
  <c r="F77" i="1"/>
  <c r="F65" i="1"/>
  <c r="M95" i="16"/>
  <c r="M96" i="16" s="1"/>
  <c r="M97" i="16" s="1"/>
  <c r="M98" i="16" s="1"/>
  <c r="M99" i="16" s="1"/>
  <c r="M100" i="16" s="1"/>
  <c r="M101" i="16"/>
  <c r="J65" i="1"/>
  <c r="F94" i="16"/>
  <c r="F88" i="16"/>
  <c r="N101" i="1"/>
  <c r="N95" i="1"/>
  <c r="N96" i="1" s="1"/>
  <c r="N97" i="1" s="1"/>
  <c r="N98" i="1" s="1"/>
  <c r="N99" i="1" s="1"/>
  <c r="N100" i="1" s="1"/>
  <c r="T101" i="16"/>
  <c r="T95" i="16"/>
  <c r="T96" i="16" s="1"/>
  <c r="T97" i="16" s="1"/>
  <c r="T98" i="16" s="1"/>
  <c r="T99" i="16" s="1"/>
  <c r="T100" i="16" s="1"/>
  <c r="Q96" i="1"/>
  <c r="G58" i="16"/>
  <c r="M108" i="1"/>
  <c r="M102" i="1"/>
  <c r="M103" i="1" s="1"/>
  <c r="M104" i="1" s="1"/>
  <c r="M105" i="1" s="1"/>
  <c r="M106" i="1" s="1"/>
  <c r="M107" i="1" s="1"/>
  <c r="K82" i="16"/>
  <c r="K76" i="16"/>
  <c r="S101" i="1"/>
  <c r="S95" i="1"/>
  <c r="S96" i="1" s="1"/>
  <c r="S97" i="1" s="1"/>
  <c r="S98" i="1" s="1"/>
  <c r="S99" i="1" s="1"/>
  <c r="S100" i="1" s="1"/>
  <c r="IF67" i="10"/>
  <c r="IK67" i="10" s="1"/>
  <c r="EL62" i="10"/>
  <c r="Q101" i="16"/>
  <c r="Q95" i="16"/>
  <c r="H82" i="1"/>
  <c r="P88" i="1"/>
  <c r="P89" i="1" s="1"/>
  <c r="P90" i="1" s="1"/>
  <c r="P91" i="1" s="1"/>
  <c r="P92" i="1" s="1"/>
  <c r="P93" i="1" s="1"/>
  <c r="P94" i="1"/>
  <c r="Q65" i="16"/>
  <c r="I108" i="1"/>
  <c r="I102" i="1"/>
  <c r="IG54" i="18"/>
  <c r="IL54" i="18" s="1"/>
  <c r="J89" i="1"/>
  <c r="G64" i="16"/>
  <c r="I72" i="1"/>
  <c r="J58" i="16"/>
  <c r="K64" i="16"/>
  <c r="B95" i="1"/>
  <c r="B96" i="1" s="1"/>
  <c r="B97" i="1" s="1"/>
  <c r="B98" i="1" s="1"/>
  <c r="B99" i="1" s="1"/>
  <c r="B100" i="1" s="1"/>
  <c r="B101" i="1"/>
  <c r="AU30" i="15"/>
  <c r="G82" i="16"/>
  <c r="H71" i="16"/>
  <c r="AU38" i="17"/>
  <c r="H64" i="1"/>
  <c r="G83" i="1"/>
  <c r="H89" i="16"/>
  <c r="IF61" i="10"/>
  <c r="IK61" i="10" s="1"/>
  <c r="F82" i="16"/>
  <c r="X27" i="2"/>
  <c r="AG29" i="17"/>
  <c r="K71" i="1"/>
  <c r="H58" i="1"/>
  <c r="F58" i="16"/>
  <c r="J71" i="1"/>
  <c r="L101" i="16"/>
  <c r="L95" i="16"/>
  <c r="L96" i="16" s="1"/>
  <c r="L97" i="16" s="1"/>
  <c r="L98" i="16" s="1"/>
  <c r="L99" i="16" s="1"/>
  <c r="L100" i="16" s="1"/>
  <c r="T88" i="1"/>
  <c r="T89" i="1" s="1"/>
  <c r="T90" i="1" s="1"/>
  <c r="T91" i="1" s="1"/>
  <c r="T92" i="1" s="1"/>
  <c r="T93" i="1" s="1"/>
  <c r="T94" i="1"/>
  <c r="O52" i="2"/>
  <c r="U39" i="2"/>
  <c r="V39" i="2"/>
  <c r="V48" i="2" s="1"/>
  <c r="T39" i="2"/>
  <c r="F64" i="16"/>
  <c r="Q108" i="1"/>
  <c r="Q102" i="1"/>
  <c r="K88" i="16"/>
  <c r="K94" i="16"/>
  <c r="F70" i="16"/>
  <c r="G89" i="1"/>
  <c r="X101" i="16"/>
  <c r="X95" i="16"/>
  <c r="X96" i="16" s="1"/>
  <c r="X97" i="16" s="1"/>
  <c r="X98" i="16" s="1"/>
  <c r="X99" i="16" s="1"/>
  <c r="X100" i="16" s="1"/>
  <c r="U61" i="18"/>
  <c r="Q89" i="16"/>
  <c r="BH30" i="15"/>
  <c r="C88" i="16"/>
  <c r="C89" i="16" s="1"/>
  <c r="C90" i="16" s="1"/>
  <c r="C91" i="16" s="1"/>
  <c r="C92" i="16" s="1"/>
  <c r="C93" i="16" s="1"/>
  <c r="C94" i="16"/>
  <c r="Q83" i="16"/>
  <c r="P101" i="16"/>
  <c r="P95" i="16"/>
  <c r="P96" i="16" s="1"/>
  <c r="P97" i="16" s="1"/>
  <c r="P98" i="16" s="1"/>
  <c r="P99" i="16" s="1"/>
  <c r="P100" i="16" s="1"/>
  <c r="R95" i="1"/>
  <c r="R96" i="1" s="1"/>
  <c r="R97" i="1" s="1"/>
  <c r="R98" i="1" s="1"/>
  <c r="R99" i="1" s="1"/>
  <c r="R100" i="1" s="1"/>
  <c r="R101" i="1"/>
  <c r="H76" i="1"/>
  <c r="H101" i="16"/>
  <c r="H95" i="16"/>
  <c r="U47" i="2"/>
  <c r="T47" i="2"/>
  <c r="IF63" i="10"/>
  <c r="F89" i="1"/>
  <c r="BH29" i="17"/>
  <c r="I84" i="1"/>
  <c r="K70" i="16"/>
  <c r="J82" i="16"/>
  <c r="F95" i="1"/>
  <c r="F101" i="1"/>
  <c r="O94" i="16"/>
  <c r="O88" i="16"/>
  <c r="O89" i="16" s="1"/>
  <c r="O90" i="16" s="1"/>
  <c r="O91" i="16" s="1"/>
  <c r="O92" i="16" s="1"/>
  <c r="O93" i="16" s="1"/>
  <c r="IF59" i="10"/>
  <c r="IK59" i="10" s="1"/>
  <c r="J77" i="1"/>
  <c r="I89" i="16"/>
  <c r="H94" i="1"/>
  <c r="H88" i="1"/>
  <c r="G76" i="16"/>
  <c r="W94" i="16"/>
  <c r="W88" i="16"/>
  <c r="W89" i="16" s="1"/>
  <c r="W90" i="16" s="1"/>
  <c r="W91" i="16" s="1"/>
  <c r="W92" i="16" s="1"/>
  <c r="W93" i="16" s="1"/>
  <c r="Q71" i="16"/>
  <c r="J101" i="1"/>
  <c r="J95" i="1"/>
  <c r="A108" i="1"/>
  <c r="A102" i="1"/>
  <c r="A103" i="1" s="1"/>
  <c r="A104" i="1" s="1"/>
  <c r="A105" i="1" s="1"/>
  <c r="A106" i="1" s="1"/>
  <c r="A107" i="1" s="1"/>
  <c r="X94" i="1"/>
  <c r="X88" i="1"/>
  <c r="X89" i="1" s="1"/>
  <c r="X90" i="1" s="1"/>
  <c r="X91" i="1" s="1"/>
  <c r="X92" i="1" s="1"/>
  <c r="X93" i="1" s="1"/>
  <c r="A34" i="10"/>
  <c r="B94" i="16"/>
  <c r="B88" i="16"/>
  <c r="B89" i="16" s="1"/>
  <c r="B90" i="16" s="1"/>
  <c r="B91" i="16" s="1"/>
  <c r="B92" i="16" s="1"/>
  <c r="B93" i="16" s="1"/>
  <c r="C101" i="1"/>
  <c r="C95" i="1"/>
  <c r="C96" i="1" s="1"/>
  <c r="C97" i="1" s="1"/>
  <c r="C98" i="1" s="1"/>
  <c r="C99" i="1" s="1"/>
  <c r="C100" i="1" s="1"/>
  <c r="S88" i="16"/>
  <c r="S89" i="16" s="1"/>
  <c r="S90" i="16" s="1"/>
  <c r="S91" i="16" s="1"/>
  <c r="S92" i="16" s="1"/>
  <c r="S93" i="16" s="1"/>
  <c r="S94" i="16"/>
  <c r="A101" i="16"/>
  <c r="A95" i="16"/>
  <c r="A96" i="16" s="1"/>
  <c r="A97" i="16" s="1"/>
  <c r="A98" i="16" s="1"/>
  <c r="A99" i="16" s="1"/>
  <c r="A100" i="16" s="1"/>
  <c r="G94" i="16"/>
  <c r="G88" i="16"/>
  <c r="J83" i="1"/>
  <c r="I65" i="16"/>
  <c r="L30" i="15"/>
  <c r="Q29" i="15"/>
  <c r="G65" i="1"/>
  <c r="G71" i="1"/>
  <c r="V94" i="16"/>
  <c r="V88" i="16"/>
  <c r="V89" i="16" s="1"/>
  <c r="V90" i="16" s="1"/>
  <c r="V91" i="16" s="1"/>
  <c r="V92" i="16" s="1"/>
  <c r="V93" i="16" s="1"/>
  <c r="U108" i="1"/>
  <c r="U102" i="1"/>
  <c r="U103" i="1" s="1"/>
  <c r="U104" i="1" s="1"/>
  <c r="U105" i="1" s="1"/>
  <c r="U106" i="1" s="1"/>
  <c r="U107" i="1" s="1"/>
  <c r="E108" i="1"/>
  <c r="E102" i="1"/>
  <c r="E103" i="1" s="1"/>
  <c r="E104" i="1" s="1"/>
  <c r="E105" i="1" s="1"/>
  <c r="E106" i="1" s="1"/>
  <c r="E107" i="1" s="1"/>
  <c r="Q78" i="1"/>
  <c r="K89" i="1"/>
  <c r="I90" i="1"/>
  <c r="I71" i="16"/>
  <c r="I78" i="1"/>
  <c r="G101" i="1"/>
  <c r="G95" i="1"/>
  <c r="AG245" i="31"/>
  <c r="AK240" i="31"/>
  <c r="AK245" i="31"/>
  <c r="AK251" i="31"/>
  <c r="AI250" i="31"/>
  <c r="AH245" i="31"/>
  <c r="AJ240" i="31"/>
  <c r="AJ239" i="31"/>
  <c r="AJ257" i="31"/>
  <c r="AH251" i="31"/>
  <c r="AH239" i="31"/>
  <c r="AG239" i="31"/>
  <c r="AQ238" i="31"/>
  <c r="AF239" i="31"/>
  <c r="AI232" i="31"/>
  <c r="AG240" i="31"/>
  <c r="AI238" i="31"/>
  <c r="AF245" i="31"/>
  <c r="AQ232" i="31"/>
  <c r="AF251" i="31"/>
  <c r="AG251" i="31"/>
  <c r="AQ244" i="31"/>
  <c r="AK239" i="31"/>
  <c r="AI233" i="31"/>
  <c r="AI244" i="31"/>
  <c r="AI256" i="31"/>
  <c r="AQ256" i="31"/>
  <c r="AJ251" i="31"/>
  <c r="AQ233" i="31"/>
  <c r="AG257" i="31"/>
  <c r="AF257" i="31"/>
  <c r="AQ250" i="31"/>
  <c r="AH257" i="31"/>
  <c r="AJ245" i="31"/>
  <c r="AK257" i="31"/>
  <c r="AF240" i="31"/>
  <c r="AH240" i="31"/>
  <c r="AM38" i="32" l="1"/>
  <c r="AO38" i="32" s="1"/>
  <c r="AM41" i="32"/>
  <c r="AO41" i="32" s="1"/>
  <c r="AM36" i="32"/>
  <c r="AO36" i="32" s="1"/>
  <c r="AM53" i="32"/>
  <c r="AO53" i="32" s="1"/>
  <c r="AM60" i="32"/>
  <c r="AO60" i="32" s="1"/>
  <c r="AM45" i="32"/>
  <c r="AO45" i="32" s="1"/>
  <c r="AM37" i="32"/>
  <c r="AO37" i="32" s="1"/>
  <c r="AM54" i="32"/>
  <c r="AO54" i="32" s="1"/>
  <c r="AM44" i="32"/>
  <c r="AO44" i="32" s="1"/>
  <c r="AM42" i="32"/>
  <c r="AO42" i="32" s="1"/>
  <c r="AM21" i="32"/>
  <c r="AM30" i="32"/>
  <c r="AM40" i="32"/>
  <c r="AO40" i="32" s="1"/>
  <c r="AM61" i="32"/>
  <c r="AO61" i="32" s="1"/>
  <c r="AM47" i="32"/>
  <c r="AO47" i="32" s="1"/>
  <c r="AM18" i="32"/>
  <c r="AM24" i="32"/>
  <c r="AM25" i="32"/>
  <c r="AO25" i="32" s="1"/>
  <c r="AM39" i="32"/>
  <c r="AO39" i="32" s="1"/>
  <c r="AM55" i="32"/>
  <c r="AO55" i="32" s="1"/>
  <c r="AM49" i="32"/>
  <c r="AO49" i="32" s="1"/>
  <c r="AM48" i="32"/>
  <c r="AO48" i="32" s="1"/>
  <c r="AM59" i="32"/>
  <c r="AO59" i="32" s="1"/>
  <c r="AM51" i="32"/>
  <c r="AO51" i="32" s="1"/>
  <c r="AM19" i="32"/>
  <c r="AO19" i="32" s="1"/>
  <c r="AM43" i="32"/>
  <c r="AO43" i="32" s="1"/>
  <c r="AM57" i="32"/>
  <c r="AO57" i="32" s="1"/>
  <c r="AM58" i="32"/>
  <c r="AO58" i="32" s="1"/>
  <c r="AM56" i="32"/>
  <c r="AO56" i="32" s="1"/>
  <c r="AM50" i="32"/>
  <c r="AO50" i="32" s="1"/>
  <c r="AM27" i="32"/>
  <c r="AO27" i="32" s="1"/>
  <c r="AM20" i="32"/>
  <c r="AO20" i="32" s="1"/>
  <c r="Y54" i="10"/>
  <c r="Y55" i="10" s="1"/>
  <c r="Y56" i="10" s="1"/>
  <c r="Y57" i="10" s="1"/>
  <c r="Y58" i="10" s="1"/>
  <c r="Y59" i="10" s="1"/>
  <c r="Y60" i="10" s="1"/>
  <c r="Y61" i="10" s="1"/>
  <c r="Y62" i="10" s="1"/>
  <c r="Y63" i="10" s="1"/>
  <c r="Y64" i="10" s="1"/>
  <c r="Y65" i="10" s="1"/>
  <c r="Y66" i="10" s="1"/>
  <c r="Y67" i="10" s="1"/>
  <c r="Y68" i="10" s="1"/>
  <c r="Y69" i="10" s="1"/>
  <c r="Y70" i="10" s="1"/>
  <c r="Y71" i="10" s="1"/>
  <c r="Y72" i="10" s="1"/>
  <c r="Y73" i="10" s="1"/>
  <c r="Y74" i="10" s="1"/>
  <c r="Y75" i="10" s="1"/>
  <c r="Y76" i="10" s="1"/>
  <c r="Y77" i="10" s="1"/>
  <c r="Y78" i="10" s="1"/>
  <c r="Y79" i="10" s="1"/>
  <c r="Y80" i="10" s="1"/>
  <c r="Y81" i="10" s="1"/>
  <c r="Y82" i="10" s="1"/>
  <c r="Y83" i="10" s="1"/>
  <c r="Y84" i="10" s="1"/>
  <c r="Y85" i="10" s="1"/>
  <c r="Y86" i="10" s="1"/>
  <c r="Y87" i="10" s="1"/>
  <c r="Y88" i="10" s="1"/>
  <c r="Y89" i="10" s="1"/>
  <c r="Y90" i="10" s="1"/>
  <c r="Y91" i="10" s="1"/>
  <c r="Y92" i="10" s="1"/>
  <c r="Y93" i="10" s="1"/>
  <c r="Y94" i="10" s="1"/>
  <c r="Y95" i="10" s="1"/>
  <c r="Y96" i="10" s="1"/>
  <c r="Y97" i="10" s="1"/>
  <c r="Y98" i="10" s="1"/>
  <c r="Y99" i="10" s="1"/>
  <c r="Y100" i="10" s="1"/>
  <c r="Y101" i="10" s="1"/>
  <c r="Y102" i="10" s="1"/>
  <c r="Y103" i="10" s="1"/>
  <c r="Y104" i="10" s="1"/>
  <c r="Y105" i="10" s="1"/>
  <c r="Y106" i="10" s="1"/>
  <c r="Y107" i="10" s="1"/>
  <c r="Y108" i="10" s="1"/>
  <c r="Y109" i="10" s="1"/>
  <c r="Y110" i="10" s="1"/>
  <c r="Y111" i="10" s="1"/>
  <c r="Y112" i="10" s="1"/>
  <c r="Y113" i="10" s="1"/>
  <c r="Y114" i="10" s="1"/>
  <c r="Y115" i="10" s="1"/>
  <c r="Y116" i="10" s="1"/>
  <c r="Y117" i="10" s="1"/>
  <c r="Y118" i="10" s="1"/>
  <c r="Y119" i="10" s="1"/>
  <c r="Y120" i="10" s="1"/>
  <c r="Y121" i="10" s="1"/>
  <c r="Y122" i="10" s="1"/>
  <c r="Y123" i="10" s="1"/>
  <c r="Y124" i="10" s="1"/>
  <c r="Y125" i="10" s="1"/>
  <c r="Y126" i="10" s="1"/>
  <c r="Y127" i="10" s="1"/>
  <c r="Y128" i="10" s="1"/>
  <c r="Y129" i="10" s="1"/>
  <c r="Y130" i="10" s="1"/>
  <c r="Y131" i="10" s="1"/>
  <c r="DA44" i="10"/>
  <c r="CZ44" i="10"/>
  <c r="CT45" i="10"/>
  <c r="CU45" i="10" s="1"/>
  <c r="CX44" i="10"/>
  <c r="AM34" i="32"/>
  <c r="AO34" i="32" s="1"/>
  <c r="CX51" i="32"/>
  <c r="CX24" i="32"/>
  <c r="CX45" i="10"/>
  <c r="DB45" i="10"/>
  <c r="DC44" i="10"/>
  <c r="CY44" i="10"/>
  <c r="DB44" i="10"/>
  <c r="CZ45" i="10"/>
  <c r="CX25" i="32"/>
  <c r="AO30" i="32"/>
  <c r="AO24" i="32"/>
  <c r="AO22" i="32"/>
  <c r="AO21" i="32"/>
  <c r="AO18" i="32"/>
  <c r="AM31" i="32"/>
  <c r="AM23" i="32"/>
  <c r="IL43" i="18"/>
  <c r="IW40" i="18" s="1"/>
  <c r="Y43" i="18"/>
  <c r="Y44" i="18" s="1"/>
  <c r="Y45" i="18" s="1"/>
  <c r="Y46" i="18" s="1"/>
  <c r="Y47" i="18" s="1"/>
  <c r="Y48" i="18" s="1"/>
  <c r="Y49" i="18" s="1"/>
  <c r="Y50" i="18" s="1"/>
  <c r="Y51" i="18" s="1"/>
  <c r="Y52" i="18" s="1"/>
  <c r="Y53" i="18" s="1"/>
  <c r="Y54" i="18" s="1"/>
  <c r="Y55" i="18" s="1"/>
  <c r="Y56" i="18" s="1"/>
  <c r="Y57" i="18" s="1"/>
  <c r="Y58" i="18" s="1"/>
  <c r="Y59" i="18" s="1"/>
  <c r="Y60" i="18" s="1"/>
  <c r="Y61" i="18" s="1"/>
  <c r="Y62" i="18" s="1"/>
  <c r="Y63" i="18" s="1"/>
  <c r="Y64" i="18" s="1"/>
  <c r="Y65" i="18" s="1"/>
  <c r="Y66" i="18" s="1"/>
  <c r="Y67" i="18" s="1"/>
  <c r="Y68" i="18" s="1"/>
  <c r="Y69" i="18" s="1"/>
  <c r="Y70" i="18" s="1"/>
  <c r="Y71" i="18" s="1"/>
  <c r="Y72" i="18" s="1"/>
  <c r="Y73" i="18" s="1"/>
  <c r="Y74" i="18" s="1"/>
  <c r="Y75" i="18" s="1"/>
  <c r="Y76" i="18" s="1"/>
  <c r="Y77" i="18" s="1"/>
  <c r="Y78" i="18" s="1"/>
  <c r="Y79" i="18" s="1"/>
  <c r="Y80" i="18" s="1"/>
  <c r="Y81" i="18" s="1"/>
  <c r="Y82" i="18" s="1"/>
  <c r="Y83" i="18" s="1"/>
  <c r="Y84" i="18" s="1"/>
  <c r="Y85" i="18" s="1"/>
  <c r="Y86" i="18" s="1"/>
  <c r="Y87" i="18" s="1"/>
  <c r="Y88" i="18" s="1"/>
  <c r="Y89" i="18" s="1"/>
  <c r="Y90" i="18" s="1"/>
  <c r="Y91" i="18" s="1"/>
  <c r="Y92" i="18" s="1"/>
  <c r="Y93" i="18" s="1"/>
  <c r="Y94" i="18" s="1"/>
  <c r="Y95" i="18" s="1"/>
  <c r="Y96" i="18" s="1"/>
  <c r="Y97" i="18" s="1"/>
  <c r="Y98" i="18" s="1"/>
  <c r="Y99" i="18" s="1"/>
  <c r="Y100" i="18" s="1"/>
  <c r="Y101" i="18" s="1"/>
  <c r="Y102" i="18" s="1"/>
  <c r="Y103" i="18" s="1"/>
  <c r="Y104" i="18" s="1"/>
  <c r="Y105" i="18" s="1"/>
  <c r="Y106" i="18" s="1"/>
  <c r="Y107" i="18" s="1"/>
  <c r="Y108" i="18" s="1"/>
  <c r="Y109" i="18" s="1"/>
  <c r="Y110" i="18" s="1"/>
  <c r="Y111" i="18" s="1"/>
  <c r="Y112" i="18" s="1"/>
  <c r="Y113" i="18" s="1"/>
  <c r="Y114" i="18" s="1"/>
  <c r="Y115" i="18" s="1"/>
  <c r="Y116" i="18" s="1"/>
  <c r="Y117" i="18" s="1"/>
  <c r="Y118" i="18" s="1"/>
  <c r="Y119" i="18" s="1"/>
  <c r="Y120" i="18" s="1"/>
  <c r="Y121" i="18" s="1"/>
  <c r="Y122" i="18" s="1"/>
  <c r="Y123" i="18" s="1"/>
  <c r="Y124" i="18" s="1"/>
  <c r="Y125" i="18" s="1"/>
  <c r="Y126" i="18" s="1"/>
  <c r="Y127" i="18" s="1"/>
  <c r="Y128" i="18" s="1"/>
  <c r="Y129" i="18" s="1"/>
  <c r="Y130" i="18" s="1"/>
  <c r="Y131" i="18" s="1"/>
  <c r="AM26" i="32"/>
  <c r="BJ26" i="32"/>
  <c r="BL25" i="32"/>
  <c r="AM32" i="32"/>
  <c r="AM35" i="32"/>
  <c r="AM29" i="32"/>
  <c r="AM28" i="32"/>
  <c r="AM33" i="32"/>
  <c r="BG250" i="31"/>
  <c r="BG233" i="31"/>
  <c r="BG232" i="31"/>
  <c r="BG238" i="31"/>
  <c r="BG244" i="31"/>
  <c r="BG256" i="31"/>
  <c r="I240" i="31"/>
  <c r="Q258" i="31"/>
  <c r="F247" i="31"/>
  <c r="I246" i="31"/>
  <c r="F259" i="31"/>
  <c r="Q252" i="31"/>
  <c r="K253" i="31"/>
  <c r="Q246" i="31"/>
  <c r="H259" i="31"/>
  <c r="J253" i="31"/>
  <c r="K259" i="31"/>
  <c r="K247" i="31"/>
  <c r="J259" i="31"/>
  <c r="G247" i="31"/>
  <c r="J247" i="31"/>
  <c r="G253" i="31"/>
  <c r="H253" i="31"/>
  <c r="I252" i="31"/>
  <c r="G259" i="31"/>
  <c r="F253" i="31"/>
  <c r="H247" i="31"/>
  <c r="Q240" i="31"/>
  <c r="I258" i="31"/>
  <c r="IW40" i="24"/>
  <c r="IZ40" i="24" s="1"/>
  <c r="DC46" i="24"/>
  <c r="DC591" i="15"/>
  <c r="DE590" i="15"/>
  <c r="BQ595" i="15"/>
  <c r="IV60" i="10"/>
  <c r="DC46" i="18"/>
  <c r="DB46" i="18"/>
  <c r="DA46" i="18"/>
  <c r="CX46" i="18"/>
  <c r="J34" i="15"/>
  <c r="AH585" i="15" s="1"/>
  <c r="CT46" i="10"/>
  <c r="CU46" i="10" s="1"/>
  <c r="CY45" i="10"/>
  <c r="DA45" i="10"/>
  <c r="DC45" i="10"/>
  <c r="CY46" i="18"/>
  <c r="CT47" i="18"/>
  <c r="CY47" i="18" s="1"/>
  <c r="DA46" i="24"/>
  <c r="CT47" i="24"/>
  <c r="CX47" i="24" s="1"/>
  <c r="CZ46" i="24"/>
  <c r="CY46" i="24"/>
  <c r="CX46" i="24"/>
  <c r="IV40" i="10"/>
  <c r="LO52" i="24"/>
  <c r="LS51" i="24"/>
  <c r="FS51" i="24"/>
  <c r="EL60" i="24"/>
  <c r="J96" i="1"/>
  <c r="I78" i="16"/>
  <c r="I108" i="16"/>
  <c r="I102" i="16"/>
  <c r="W108" i="1"/>
  <c r="W102" i="1"/>
  <c r="W103" i="1" s="1"/>
  <c r="W104" i="1" s="1"/>
  <c r="W105" i="1" s="1"/>
  <c r="W106" i="1" s="1"/>
  <c r="W107" i="1" s="1"/>
  <c r="L101" i="1"/>
  <c r="L95" i="1"/>
  <c r="L96" i="1" s="1"/>
  <c r="L97" i="1" s="1"/>
  <c r="L98" i="1" s="1"/>
  <c r="L99" i="1" s="1"/>
  <c r="L100" i="1" s="1"/>
  <c r="G96" i="1"/>
  <c r="G89" i="16"/>
  <c r="S101" i="16"/>
  <c r="S95" i="16"/>
  <c r="S96" i="16" s="1"/>
  <c r="S97" i="16" s="1"/>
  <c r="S98" i="16" s="1"/>
  <c r="S99" i="16" s="1"/>
  <c r="S100" i="16" s="1"/>
  <c r="X101" i="1"/>
  <c r="X95" i="1"/>
  <c r="X96" i="1" s="1"/>
  <c r="X97" i="1" s="1"/>
  <c r="X98" i="1" s="1"/>
  <c r="X99" i="1" s="1"/>
  <c r="X100" i="1" s="1"/>
  <c r="I90" i="16"/>
  <c r="C101" i="16"/>
  <c r="C95" i="16"/>
  <c r="C96" i="16" s="1"/>
  <c r="C97" i="16" s="1"/>
  <c r="C98" i="16" s="1"/>
  <c r="C99" i="16" s="1"/>
  <c r="C100" i="16" s="1"/>
  <c r="J72" i="1"/>
  <c r="K72" i="1"/>
  <c r="AU31" i="15"/>
  <c r="M115" i="1"/>
  <c r="M109" i="1"/>
  <c r="M110" i="1" s="1"/>
  <c r="M111" i="1" s="1"/>
  <c r="M112" i="1" s="1"/>
  <c r="M113" i="1" s="1"/>
  <c r="M114" i="1" s="1"/>
  <c r="U108" i="16"/>
  <c r="U102" i="16"/>
  <c r="U103" i="16" s="1"/>
  <c r="U104" i="16" s="1"/>
  <c r="U105" i="16" s="1"/>
  <c r="U106" i="16" s="1"/>
  <c r="U107" i="16" s="1"/>
  <c r="I72" i="16"/>
  <c r="G101" i="16"/>
  <c r="G95" i="16"/>
  <c r="J108" i="1"/>
  <c r="J102" i="1"/>
  <c r="W101" i="16"/>
  <c r="W95" i="16"/>
  <c r="W96" i="16" s="1"/>
  <c r="W97" i="16" s="1"/>
  <c r="W98" i="16" s="1"/>
  <c r="W99" i="16" s="1"/>
  <c r="W100" i="16" s="1"/>
  <c r="H89" i="1"/>
  <c r="F96" i="1"/>
  <c r="K71" i="16"/>
  <c r="H96" i="16"/>
  <c r="R108" i="1"/>
  <c r="R102" i="1"/>
  <c r="R103" i="1" s="1"/>
  <c r="R104" i="1" s="1"/>
  <c r="R105" i="1" s="1"/>
  <c r="R106" i="1" s="1"/>
  <c r="R107" i="1" s="1"/>
  <c r="Q90" i="16"/>
  <c r="IG61" i="18"/>
  <c r="IL61" i="18" s="1"/>
  <c r="IW60" i="18" s="1"/>
  <c r="K89" i="16"/>
  <c r="T48" i="2"/>
  <c r="U48" i="2"/>
  <c r="F83" i="16"/>
  <c r="H90" i="16"/>
  <c r="H65" i="1"/>
  <c r="H72" i="16"/>
  <c r="H83" i="1"/>
  <c r="EL63" i="10"/>
  <c r="Q30" i="17"/>
  <c r="L31" i="17"/>
  <c r="K78" i="1"/>
  <c r="K108" i="1"/>
  <c r="K102" i="1"/>
  <c r="F72" i="1"/>
  <c r="F77" i="16"/>
  <c r="G78" i="1"/>
  <c r="G71" i="16"/>
  <c r="BB174" i="17"/>
  <c r="F84" i="1"/>
  <c r="J77" i="16"/>
  <c r="J89" i="16"/>
  <c r="C108" i="1"/>
  <c r="C102" i="1"/>
  <c r="C103" i="1" s="1"/>
  <c r="C104" i="1" s="1"/>
  <c r="C105" i="1" s="1"/>
  <c r="C106" i="1" s="1"/>
  <c r="C107" i="1" s="1"/>
  <c r="F108" i="1"/>
  <c r="F102" i="1"/>
  <c r="BH30" i="17"/>
  <c r="H77" i="1"/>
  <c r="P108" i="16"/>
  <c r="P102" i="16"/>
  <c r="P103" i="16" s="1"/>
  <c r="P104" i="16" s="1"/>
  <c r="P105" i="16" s="1"/>
  <c r="P106" i="16" s="1"/>
  <c r="P107" i="16" s="1"/>
  <c r="G90" i="1"/>
  <c r="Q115" i="1"/>
  <c r="Q109" i="1"/>
  <c r="Q108" i="16"/>
  <c r="Q102" i="16"/>
  <c r="N108" i="1"/>
  <c r="N102" i="1"/>
  <c r="N103" i="1" s="1"/>
  <c r="N104" i="1" s="1"/>
  <c r="N105" i="1" s="1"/>
  <c r="N106" i="1" s="1"/>
  <c r="N107" i="1" s="1"/>
  <c r="J84" i="1"/>
  <c r="H101" i="1"/>
  <c r="H95" i="1"/>
  <c r="H108" i="16"/>
  <c r="H102" i="16"/>
  <c r="Q84" i="16"/>
  <c r="X108" i="16"/>
  <c r="X102" i="16"/>
  <c r="X103" i="16" s="1"/>
  <c r="X104" i="16" s="1"/>
  <c r="X105" i="16" s="1"/>
  <c r="X106" i="16" s="1"/>
  <c r="X107" i="16" s="1"/>
  <c r="F71" i="16"/>
  <c r="F65" i="16"/>
  <c r="L102" i="16"/>
  <c r="L103" i="16" s="1"/>
  <c r="L104" i="16" s="1"/>
  <c r="L105" i="16" s="1"/>
  <c r="L106" i="16" s="1"/>
  <c r="L107" i="16" s="1"/>
  <c r="L108" i="16"/>
  <c r="K65" i="16"/>
  <c r="J90" i="1"/>
  <c r="I103" i="1"/>
  <c r="P101" i="1"/>
  <c r="P95" i="1"/>
  <c r="P96" i="1" s="1"/>
  <c r="P97" i="1" s="1"/>
  <c r="P98" i="1" s="1"/>
  <c r="P99" i="1" s="1"/>
  <c r="P100" i="1" s="1"/>
  <c r="S108" i="1"/>
  <c r="S102" i="1"/>
  <c r="S103" i="1" s="1"/>
  <c r="S104" i="1" s="1"/>
  <c r="S105" i="1" s="1"/>
  <c r="S106" i="1" s="1"/>
  <c r="S107" i="1" s="1"/>
  <c r="K83" i="16"/>
  <c r="T102" i="16"/>
  <c r="T103" i="16" s="1"/>
  <c r="T104" i="16" s="1"/>
  <c r="T105" i="16" s="1"/>
  <c r="T106" i="16" s="1"/>
  <c r="T107" i="16" s="1"/>
  <c r="T108" i="16"/>
  <c r="F89" i="16"/>
  <c r="M108" i="16"/>
  <c r="M102" i="16"/>
  <c r="M103" i="16" s="1"/>
  <c r="M104" i="16" s="1"/>
  <c r="M105" i="16" s="1"/>
  <c r="M106" i="16" s="1"/>
  <c r="M107" i="16" s="1"/>
  <c r="AG30" i="15"/>
  <c r="K84" i="1"/>
  <c r="EL60" i="18"/>
  <c r="D101" i="1"/>
  <c r="D95" i="1"/>
  <c r="D96" i="1" s="1"/>
  <c r="D97" i="1" s="1"/>
  <c r="D98" i="1" s="1"/>
  <c r="D99" i="1" s="1"/>
  <c r="D100" i="1" s="1"/>
  <c r="FR50" i="10"/>
  <c r="E108" i="16"/>
  <c r="E102" i="16"/>
  <c r="E103" i="16" s="1"/>
  <c r="E104" i="16" s="1"/>
  <c r="E105" i="16" s="1"/>
  <c r="E106" i="16" s="1"/>
  <c r="E107" i="16" s="1"/>
  <c r="J95" i="16"/>
  <c r="J101" i="16"/>
  <c r="H78" i="16"/>
  <c r="O108" i="1"/>
  <c r="O102" i="1"/>
  <c r="O103" i="1" s="1"/>
  <c r="O104" i="1" s="1"/>
  <c r="O105" i="1" s="1"/>
  <c r="O106" i="1" s="1"/>
  <c r="O107" i="1" s="1"/>
  <c r="K101" i="16"/>
  <c r="K95" i="16"/>
  <c r="G65" i="16"/>
  <c r="K77" i="16"/>
  <c r="Q97" i="1"/>
  <c r="J71" i="16"/>
  <c r="Q91" i="1"/>
  <c r="K96" i="1"/>
  <c r="V108" i="1"/>
  <c r="V102" i="1"/>
  <c r="V103" i="1" s="1"/>
  <c r="V104" i="1" s="1"/>
  <c r="V105" i="1" s="1"/>
  <c r="V106" i="1" s="1"/>
  <c r="V107" i="1" s="1"/>
  <c r="G108" i="1"/>
  <c r="G102" i="1"/>
  <c r="K90" i="1"/>
  <c r="E115" i="1"/>
  <c r="E109" i="1"/>
  <c r="E110" i="1" s="1"/>
  <c r="E111" i="1" s="1"/>
  <c r="E112" i="1" s="1"/>
  <c r="E113" i="1" s="1"/>
  <c r="E114" i="1" s="1"/>
  <c r="V101" i="16"/>
  <c r="V95" i="16"/>
  <c r="V96" i="16" s="1"/>
  <c r="V97" i="16" s="1"/>
  <c r="V98" i="16" s="1"/>
  <c r="V99" i="16" s="1"/>
  <c r="V100" i="16" s="1"/>
  <c r="L31" i="15"/>
  <c r="Q30" i="15"/>
  <c r="A35" i="10"/>
  <c r="A37" i="10" s="1"/>
  <c r="C36" i="10"/>
  <c r="A115" i="1"/>
  <c r="A109" i="1"/>
  <c r="A110" i="1" s="1"/>
  <c r="A111" i="1" s="1"/>
  <c r="A112" i="1" s="1"/>
  <c r="A113" i="1" s="1"/>
  <c r="A114" i="1" s="1"/>
  <c r="J78" i="1"/>
  <c r="O101" i="16"/>
  <c r="O95" i="16"/>
  <c r="O96" i="16" s="1"/>
  <c r="O97" i="16" s="1"/>
  <c r="O98" i="16" s="1"/>
  <c r="O99" i="16" s="1"/>
  <c r="O100" i="16" s="1"/>
  <c r="I79" i="1"/>
  <c r="I91" i="1"/>
  <c r="Q79" i="1"/>
  <c r="U115" i="1"/>
  <c r="U109" i="1"/>
  <c r="U110" i="1" s="1"/>
  <c r="U111" i="1" s="1"/>
  <c r="U112" i="1" s="1"/>
  <c r="U113" i="1" s="1"/>
  <c r="U114" i="1" s="1"/>
  <c r="G72" i="1"/>
  <c r="A108" i="16"/>
  <c r="A102" i="16"/>
  <c r="A103" i="16" s="1"/>
  <c r="A104" i="16" s="1"/>
  <c r="A105" i="16" s="1"/>
  <c r="A106" i="16" s="1"/>
  <c r="A107" i="16" s="1"/>
  <c r="B95" i="16"/>
  <c r="B96" i="16" s="1"/>
  <c r="B97" i="16" s="1"/>
  <c r="B98" i="16" s="1"/>
  <c r="B99" i="16" s="1"/>
  <c r="B100" i="16" s="1"/>
  <c r="B101" i="16"/>
  <c r="Q72" i="16"/>
  <c r="G77" i="16"/>
  <c r="J83" i="16"/>
  <c r="I85" i="1"/>
  <c r="F90" i="1"/>
  <c r="BH31" i="15"/>
  <c r="Q103" i="1"/>
  <c r="T101" i="1"/>
  <c r="T95" i="1"/>
  <c r="T96" i="1" s="1"/>
  <c r="T97" i="1" s="1"/>
  <c r="T98" i="1" s="1"/>
  <c r="T99" i="1" s="1"/>
  <c r="T100" i="1" s="1"/>
  <c r="AG30" i="17"/>
  <c r="G84" i="1"/>
  <c r="AU39" i="17"/>
  <c r="G83" i="16"/>
  <c r="B108" i="1"/>
  <c r="B102" i="1"/>
  <c r="B103" i="1" s="1"/>
  <c r="B104" i="1" s="1"/>
  <c r="B105" i="1" s="1"/>
  <c r="B106" i="1" s="1"/>
  <c r="B107" i="1" s="1"/>
  <c r="I115" i="1"/>
  <c r="I109" i="1"/>
  <c r="Q96" i="16"/>
  <c r="F101" i="16"/>
  <c r="F95" i="16"/>
  <c r="F78" i="1"/>
  <c r="Q85" i="1"/>
  <c r="I97" i="1"/>
  <c r="N101" i="16"/>
  <c r="N95" i="16"/>
  <c r="N96" i="16" s="1"/>
  <c r="N97" i="16" s="1"/>
  <c r="N98" i="16" s="1"/>
  <c r="N99" i="16" s="1"/>
  <c r="N100" i="16" s="1"/>
  <c r="I84" i="16"/>
  <c r="D102" i="16"/>
  <c r="D103" i="16" s="1"/>
  <c r="D104" i="16" s="1"/>
  <c r="D105" i="16" s="1"/>
  <c r="D106" i="16" s="1"/>
  <c r="D107" i="16" s="1"/>
  <c r="D108" i="16"/>
  <c r="FS51" i="18"/>
  <c r="H71" i="1"/>
  <c r="H84" i="16"/>
  <c r="BB174" i="15"/>
  <c r="Q78" i="16"/>
  <c r="J65" i="16"/>
  <c r="R95" i="16"/>
  <c r="R96" i="16" s="1"/>
  <c r="R97" i="16" s="1"/>
  <c r="R98" i="16" s="1"/>
  <c r="R99" i="16" s="1"/>
  <c r="R100" i="16" s="1"/>
  <c r="R101" i="16"/>
  <c r="I96" i="16"/>
  <c r="DD24" i="32" a="1"/>
  <c r="DD25" i="32" a="1"/>
  <c r="AT53" i="32" a="1"/>
  <c r="AK252" i="31"/>
  <c r="AR49" i="32" a="1"/>
  <c r="AT45" i="32" a="1"/>
  <c r="AR46" i="32" a="1"/>
  <c r="AZ30" i="32" a="1"/>
  <c r="AS58" i="32" a="1"/>
  <c r="AY30" i="32" a="1"/>
  <c r="AQ240" i="31"/>
  <c r="AS27" i="32" a="1"/>
  <c r="AJ246" i="31"/>
  <c r="AS44" i="32" a="1"/>
  <c r="AS37" i="32" a="1"/>
  <c r="AR36" i="32" a="1"/>
  <c r="AS51" i="32" a="1"/>
  <c r="AS55" i="32" a="1"/>
  <c r="AS20" i="32" a="1"/>
  <c r="AR18" i="32" a="1"/>
  <c r="AZ19" i="32" a="1"/>
  <c r="AT59" i="32" a="1"/>
  <c r="AZ24" i="32" a="1"/>
  <c r="AI245" i="31"/>
  <c r="AW19" i="32" a="1"/>
  <c r="AT42" i="32" a="1"/>
  <c r="AS19" i="32" a="1"/>
  <c r="AS39" i="32" a="1"/>
  <c r="AZ20" i="32" a="1"/>
  <c r="AJ252" i="31"/>
  <c r="AS34" i="32" a="1"/>
  <c r="AW20" i="32" a="1"/>
  <c r="AS36" i="32" a="1"/>
  <c r="AS43" i="32" a="1"/>
  <c r="AI239" i="31"/>
  <c r="AQ239" i="31"/>
  <c r="AR60" i="32" a="1"/>
  <c r="AV19" i="32" a="1"/>
  <c r="AG252" i="31"/>
  <c r="AT38" i="32" a="1"/>
  <c r="AV21" i="32" a="1"/>
  <c r="AR21" i="32" a="1"/>
  <c r="AR24" i="32" a="1"/>
  <c r="AR37" i="32" a="1"/>
  <c r="AR47" i="32" a="1"/>
  <c r="AW27" i="32" a="1"/>
  <c r="AX18" i="32" a="1"/>
  <c r="AZ25" i="32" a="1"/>
  <c r="AV18" i="32" a="1"/>
  <c r="AT46" i="32" a="1"/>
  <c r="AG247" i="31"/>
  <c r="AY20" i="32" a="1"/>
  <c r="AS48" i="32" a="1"/>
  <c r="AH258" i="31"/>
  <c r="AR56" i="32" a="1"/>
  <c r="AT58" i="32" a="1"/>
  <c r="AT36" i="32" a="1"/>
  <c r="AJ258" i="31"/>
  <c r="AS38" i="32" a="1"/>
  <c r="AR59" i="32" a="1"/>
  <c r="AT37" i="32" a="1"/>
  <c r="AR41" i="32" a="1"/>
  <c r="AT47" i="32" a="1"/>
  <c r="AR38" i="32" a="1"/>
  <c r="AG246" i="31"/>
  <c r="AT49" i="32" a="1"/>
  <c r="AV30" i="32" a="1"/>
  <c r="AR58" i="32" a="1"/>
  <c r="AV27" i="32" a="1"/>
  <c r="AT51" i="32" a="1"/>
  <c r="AT54" i="32" a="1"/>
  <c r="AT48" i="32" a="1"/>
  <c r="AY22" i="32" a="1"/>
  <c r="AR22" i="32" a="1"/>
  <c r="AK246" i="31"/>
  <c r="AS60" i="32" a="1"/>
  <c r="BA18" i="32" a="1"/>
  <c r="AH247" i="31"/>
  <c r="AI240" i="31"/>
  <c r="AR27" i="32" a="1"/>
  <c r="AR51" i="32" a="1"/>
  <c r="AT50" i="32" a="1"/>
  <c r="AS52" i="32" a="1"/>
  <c r="AW21" i="32" a="1"/>
  <c r="AR19" i="32" a="1"/>
  <c r="AY19" i="32" a="1"/>
  <c r="AU19" i="32" a="1"/>
  <c r="AU20" i="32" a="1"/>
  <c r="AS45" i="32" a="1"/>
  <c r="AT21" i="32" a="1"/>
  <c r="AR44" i="32" a="1"/>
  <c r="AT57" i="32" a="1"/>
  <c r="AY21" i="32" a="1"/>
  <c r="AS21" i="32" a="1"/>
  <c r="AV20" i="32" a="1"/>
  <c r="AW24" i="32" a="1"/>
  <c r="AR20" i="32" a="1"/>
  <c r="AV25" i="32" a="1"/>
  <c r="AT22" i="32" a="1"/>
  <c r="AT40" i="32" a="1"/>
  <c r="AR40" i="32" a="1"/>
  <c r="AS41" i="32" a="1"/>
  <c r="AZ27" i="32" a="1"/>
  <c r="AS22" i="32" a="1"/>
  <c r="AZ18" i="32" a="1"/>
  <c r="AR30" i="32" a="1"/>
  <c r="AS24" i="32" a="1"/>
  <c r="AU27" i="32" a="1"/>
  <c r="AF252" i="31"/>
  <c r="AR50" i="32" a="1"/>
  <c r="AR61" i="32" a="1"/>
  <c r="AQ245" i="31"/>
  <c r="AS30" i="32" a="1"/>
  <c r="AT61" i="32" a="1"/>
  <c r="AS59" i="32" a="1"/>
  <c r="AI257" i="31"/>
  <c r="AJ247" i="31"/>
  <c r="AZ21" i="32" a="1"/>
  <c r="AY25" i="32" a="1"/>
  <c r="AT18" i="32" a="1"/>
  <c r="AZ22" i="32" a="1"/>
  <c r="AF246" i="31"/>
  <c r="AR39" i="32" a="1"/>
  <c r="AS40" i="32" a="1"/>
  <c r="AT55" i="32" a="1"/>
  <c r="AT19" i="32" a="1"/>
  <c r="AT43" i="32" a="1"/>
  <c r="AS50" i="32" a="1"/>
  <c r="AT27" i="32" a="1"/>
  <c r="AR34" i="32" a="1"/>
  <c r="AT60" i="32" a="1"/>
  <c r="AH252" i="31"/>
  <c r="AS53" i="32" a="1"/>
  <c r="AK258" i="31"/>
  <c r="AR54" i="32" a="1"/>
  <c r="AT44" i="32" a="1"/>
  <c r="AS47" i="32" a="1"/>
  <c r="AS42" i="32" a="1"/>
  <c r="AW22" i="32" a="1"/>
  <c r="AH246" i="31"/>
  <c r="AU18" i="32" a="1"/>
  <c r="AY27" i="32" a="1"/>
  <c r="AR57" i="32" a="1"/>
  <c r="AS56" i="32" a="1"/>
  <c r="AQ251" i="31"/>
  <c r="AT39" i="32" a="1"/>
  <c r="AR45" i="32" a="1"/>
  <c r="AS46" i="32" a="1"/>
  <c r="AV24" i="32" a="1"/>
  <c r="AY24" i="32" a="1"/>
  <c r="AS61" i="32" a="1"/>
  <c r="AS18" i="32" a="1"/>
  <c r="AG258" i="31"/>
  <c r="AT41" i="32" a="1"/>
  <c r="AS54" i="32" a="1"/>
  <c r="AR42" i="32" a="1"/>
  <c r="AR52" i="32" a="1"/>
  <c r="AR55" i="32" a="1"/>
  <c r="AU21" i="32" a="1"/>
  <c r="AS25" i="32" a="1"/>
  <c r="AY18" i="32" a="1"/>
  <c r="AS49" i="32" a="1"/>
  <c r="AR43" i="32" a="1"/>
  <c r="AF258" i="31"/>
  <c r="AF247" i="31"/>
  <c r="AV22" i="32" a="1"/>
  <c r="AT24" i="32" a="1"/>
  <c r="AT20" i="32" a="1"/>
  <c r="AR53" i="32" a="1"/>
  <c r="AT52" i="32" a="1"/>
  <c r="AU24" i="32" a="1"/>
  <c r="AQ257" i="31"/>
  <c r="AU22" i="32" a="1"/>
  <c r="AR48" i="32" a="1"/>
  <c r="AT56" i="32" a="1"/>
  <c r="AI251" i="31"/>
  <c r="AR25" i="32" a="1"/>
  <c r="AW30" i="32" a="1"/>
  <c r="AS57" i="32" a="1"/>
  <c r="AK247" i="31"/>
  <c r="AU30" i="32" a="1"/>
  <c r="DD24" i="32" l="1"/>
  <c r="DD25" i="32"/>
  <c r="BA18" i="32"/>
  <c r="BP18" i="32" s="1"/>
  <c r="AY18" i="32"/>
  <c r="AP12" i="32"/>
  <c r="AR19" i="32"/>
  <c r="AS19" i="32"/>
  <c r="BM19" i="32" s="1"/>
  <c r="AT19" i="32"/>
  <c r="BQ19" i="32" s="1"/>
  <c r="AS25" i="32"/>
  <c r="AR25" i="32"/>
  <c r="AR20" i="32"/>
  <c r="AT20" i="32"/>
  <c r="AS20" i="32"/>
  <c r="BM20" i="32" s="1"/>
  <c r="AR24" i="32"/>
  <c r="AT24" i="32"/>
  <c r="BQ24" i="32" s="1"/>
  <c r="AS24" i="32"/>
  <c r="AR27" i="32"/>
  <c r="AT27" i="32"/>
  <c r="BQ27" i="32" s="1"/>
  <c r="AS27" i="32"/>
  <c r="BM27" i="32" s="1"/>
  <c r="AS21" i="32"/>
  <c r="BM21" i="32" s="1"/>
  <c r="AR21" i="32"/>
  <c r="AT21" i="32"/>
  <c r="BQ21" i="32" s="1"/>
  <c r="AT22" i="32"/>
  <c r="BQ22" i="32" s="1"/>
  <c r="AR22" i="32"/>
  <c r="AS22" i="32"/>
  <c r="BM22" i="32" s="1"/>
  <c r="AO26" i="32"/>
  <c r="AO29" i="32"/>
  <c r="AO31" i="32"/>
  <c r="AO28" i="32"/>
  <c r="AO32" i="32"/>
  <c r="AO23" i="32"/>
  <c r="AO33" i="32"/>
  <c r="AO35" i="32"/>
  <c r="AS18" i="32"/>
  <c r="BM18" i="32" s="1"/>
  <c r="AT18" i="32"/>
  <c r="BQ18" i="32" s="1"/>
  <c r="AU18" i="32"/>
  <c r="AV18" i="32"/>
  <c r="AX18" i="32"/>
  <c r="AZ18" i="32"/>
  <c r="AR18" i="32"/>
  <c r="BJ27" i="32"/>
  <c r="BL26" i="32"/>
  <c r="AV21" i="32"/>
  <c r="AV22" i="32"/>
  <c r="AV24" i="32"/>
  <c r="AV20" i="32"/>
  <c r="AV19" i="32"/>
  <c r="AV25" i="32"/>
  <c r="AV27" i="32"/>
  <c r="AY21" i="32"/>
  <c r="AY22" i="32"/>
  <c r="AY24" i="32"/>
  <c r="AY20" i="32"/>
  <c r="AY19" i="32"/>
  <c r="AY25" i="32"/>
  <c r="AY27" i="32"/>
  <c r="AZ21" i="32"/>
  <c r="AZ22" i="32"/>
  <c r="AZ24" i="32"/>
  <c r="AZ20" i="32"/>
  <c r="AZ19" i="32"/>
  <c r="AZ25" i="32"/>
  <c r="AZ27" i="32"/>
  <c r="AW21" i="32"/>
  <c r="AW22" i="32"/>
  <c r="AW24" i="32"/>
  <c r="AW20" i="32"/>
  <c r="AW19" i="32"/>
  <c r="AW27" i="32"/>
  <c r="AU21" i="32"/>
  <c r="AU22" i="32"/>
  <c r="AU24" i="32"/>
  <c r="AU20" i="32"/>
  <c r="AU19" i="32"/>
  <c r="AU27" i="32"/>
  <c r="AT51" i="32"/>
  <c r="AT48" i="32"/>
  <c r="AT45" i="32"/>
  <c r="AR60" i="32"/>
  <c r="AT61" i="32"/>
  <c r="AR53" i="32"/>
  <c r="AT53" i="32"/>
  <c r="AT46" i="32"/>
  <c r="AR52" i="32"/>
  <c r="AT41" i="32"/>
  <c r="AT54" i="32"/>
  <c r="AT50" i="32"/>
  <c r="AS56" i="32"/>
  <c r="BM56" i="32" s="1"/>
  <c r="AT56" i="32"/>
  <c r="AS58" i="32"/>
  <c r="BM58" i="32" s="1"/>
  <c r="AT43" i="32"/>
  <c r="AT59" i="32"/>
  <c r="AS59" i="32"/>
  <c r="BM59" i="32" s="1"/>
  <c r="AS48" i="32"/>
  <c r="BM48" i="32" s="1"/>
  <c r="AS49" i="32"/>
  <c r="BM49" i="32" s="1"/>
  <c r="AR49" i="32"/>
  <c r="AS55" i="32"/>
  <c r="BM55" i="32" s="1"/>
  <c r="AS39" i="32"/>
  <c r="BM39" i="32" s="1"/>
  <c r="AR39" i="32"/>
  <c r="AS47" i="32"/>
  <c r="BM47" i="32" s="1"/>
  <c r="AR47" i="32"/>
  <c r="AS61" i="32"/>
  <c r="BM61" i="32" s="1"/>
  <c r="AS53" i="32"/>
  <c r="BM53" i="32" s="1"/>
  <c r="AR40" i="32"/>
  <c r="AS46" i="32"/>
  <c r="BM46" i="32" s="1"/>
  <c r="AR42" i="32"/>
  <c r="AR44" i="32"/>
  <c r="AS54" i="32"/>
  <c r="BM54" i="32" s="1"/>
  <c r="AS50" i="32"/>
  <c r="BM50" i="32" s="1"/>
  <c r="AR57" i="32"/>
  <c r="AR59" i="32"/>
  <c r="AT49" i="32"/>
  <c r="AR55" i="32"/>
  <c r="AT55" i="32"/>
  <c r="AT39" i="32"/>
  <c r="AT47" i="32"/>
  <c r="AR61" i="32"/>
  <c r="AT40" i="32"/>
  <c r="AT42" i="32"/>
  <c r="AS52" i="32"/>
  <c r="BM52" i="32" s="1"/>
  <c r="AT52" i="32"/>
  <c r="AT44" i="32"/>
  <c r="AR56" i="32"/>
  <c r="AR58" i="32"/>
  <c r="AT57" i="32"/>
  <c r="AS51" i="32"/>
  <c r="BM51" i="32" s="1"/>
  <c r="AR51" i="32"/>
  <c r="AR48" i="32"/>
  <c r="AS45" i="32"/>
  <c r="BM45" i="32" s="1"/>
  <c r="AR45" i="32"/>
  <c r="AT60" i="32"/>
  <c r="AS60" i="32"/>
  <c r="BM60" i="32" s="1"/>
  <c r="AS40" i="32"/>
  <c r="BM40" i="32" s="1"/>
  <c r="AR46" i="32"/>
  <c r="AS42" i="32"/>
  <c r="BM42" i="32" s="1"/>
  <c r="AS44" i="32"/>
  <c r="BM44" i="32" s="1"/>
  <c r="AS41" i="32"/>
  <c r="BM41" i="32" s="1"/>
  <c r="AR41" i="32"/>
  <c r="AR54" i="32"/>
  <c r="AR50" i="32"/>
  <c r="AT58" i="32"/>
  <c r="AS57" i="32"/>
  <c r="BM57" i="32" s="1"/>
  <c r="AS43" i="32"/>
  <c r="BM43" i="32" s="1"/>
  <c r="AR43" i="32"/>
  <c r="AU30" i="32"/>
  <c r="AS36" i="32"/>
  <c r="AS38" i="32"/>
  <c r="BM38" i="32" s="1"/>
  <c r="AV30" i="32"/>
  <c r="AW30" i="32"/>
  <c r="AT36" i="32"/>
  <c r="AT37" i="32"/>
  <c r="AT38" i="32"/>
  <c r="AR30" i="32"/>
  <c r="AR37" i="32"/>
  <c r="AZ30" i="32"/>
  <c r="AY30" i="32"/>
  <c r="AR34" i="32"/>
  <c r="AR36" i="32"/>
  <c r="AS37" i="32"/>
  <c r="BM37" i="32" s="1"/>
  <c r="AR38" i="32"/>
  <c r="AS30" i="32"/>
  <c r="AS34" i="32"/>
  <c r="BG251" i="31"/>
  <c r="BG245" i="31"/>
  <c r="BG240" i="31"/>
  <c r="BG257" i="31"/>
  <c r="BG239" i="31"/>
  <c r="H254" i="31"/>
  <c r="J260" i="31"/>
  <c r="H260" i="31"/>
  <c r="F260" i="31"/>
  <c r="K260" i="31"/>
  <c r="K254" i="31"/>
  <c r="F254" i="31"/>
  <c r="I253" i="31"/>
  <c r="G254" i="31"/>
  <c r="J254" i="31"/>
  <c r="Q247" i="31"/>
  <c r="Q253" i="31"/>
  <c r="I247" i="31"/>
  <c r="Q259" i="31"/>
  <c r="I259" i="31"/>
  <c r="G260" i="31"/>
  <c r="DC592" i="15"/>
  <c r="DE591" i="15"/>
  <c r="BQ596" i="15"/>
  <c r="IY40" i="10"/>
  <c r="C4" i="14" s="1"/>
  <c r="IZ40" i="18"/>
  <c r="CT47" i="10"/>
  <c r="CU47" i="10" s="1"/>
  <c r="DC46" i="10"/>
  <c r="CX46" i="10"/>
  <c r="DA46" i="10"/>
  <c r="CY46" i="10"/>
  <c r="CZ46" i="10"/>
  <c r="DB46" i="10"/>
  <c r="J35" i="15"/>
  <c r="AH586" i="15" s="1"/>
  <c r="DA47" i="18"/>
  <c r="DB47" i="18"/>
  <c r="CZ47" i="18"/>
  <c r="CT48" i="24"/>
  <c r="CZ48" i="24" s="1"/>
  <c r="DB47" i="24"/>
  <c r="CZ47" i="24"/>
  <c r="CY47" i="24"/>
  <c r="DA47" i="24"/>
  <c r="DC47" i="24"/>
  <c r="DC47" i="18"/>
  <c r="CT48" i="18"/>
  <c r="DB48" i="18" s="1"/>
  <c r="CX47" i="18"/>
  <c r="LO53" i="24"/>
  <c r="LS52" i="24"/>
  <c r="FS52" i="24"/>
  <c r="EL61" i="24"/>
  <c r="I85" i="16"/>
  <c r="I98" i="1"/>
  <c r="F79" i="1"/>
  <c r="I122" i="1"/>
  <c r="I116" i="1"/>
  <c r="FS52" i="18"/>
  <c r="D115" i="16"/>
  <c r="D109" i="16"/>
  <c r="D110" i="16" s="1"/>
  <c r="D111" i="16" s="1"/>
  <c r="D112" i="16" s="1"/>
  <c r="D113" i="16" s="1"/>
  <c r="D114" i="16" s="1"/>
  <c r="Q97" i="16"/>
  <c r="G84" i="16"/>
  <c r="G85" i="1"/>
  <c r="T102" i="1"/>
  <c r="T103" i="1" s="1"/>
  <c r="T104" i="1" s="1"/>
  <c r="T105" i="1" s="1"/>
  <c r="T106" i="1" s="1"/>
  <c r="T107" i="1" s="1"/>
  <c r="T108" i="1"/>
  <c r="A109" i="16"/>
  <c r="A110" i="16" s="1"/>
  <c r="A111" i="16" s="1"/>
  <c r="A112" i="16" s="1"/>
  <c r="A113" i="16" s="1"/>
  <c r="A114" i="16" s="1"/>
  <c r="A115" i="16"/>
  <c r="U122" i="1"/>
  <c r="U116" i="1"/>
  <c r="U117" i="1" s="1"/>
  <c r="U118" i="1" s="1"/>
  <c r="U119" i="1" s="1"/>
  <c r="U120" i="1" s="1"/>
  <c r="U121" i="1" s="1"/>
  <c r="I92" i="1"/>
  <c r="O102" i="16"/>
  <c r="O103" i="16" s="1"/>
  <c r="O104" i="16" s="1"/>
  <c r="O105" i="16" s="1"/>
  <c r="O106" i="16" s="1"/>
  <c r="O107" i="16" s="1"/>
  <c r="O108" i="16"/>
  <c r="A122" i="1"/>
  <c r="A116" i="1"/>
  <c r="A117" i="1" s="1"/>
  <c r="A118" i="1" s="1"/>
  <c r="A119" i="1" s="1"/>
  <c r="A120" i="1" s="1"/>
  <c r="A121" i="1" s="1"/>
  <c r="V108" i="16"/>
  <c r="V102" i="16"/>
  <c r="V103" i="16" s="1"/>
  <c r="V104" i="16" s="1"/>
  <c r="V105" i="16" s="1"/>
  <c r="V106" i="16" s="1"/>
  <c r="V107" i="16" s="1"/>
  <c r="K91" i="1"/>
  <c r="K108" i="16"/>
  <c r="K102" i="16"/>
  <c r="H79" i="16"/>
  <c r="F90" i="16"/>
  <c r="K84" i="16"/>
  <c r="P108" i="1"/>
  <c r="P102" i="1"/>
  <c r="P103" i="1" s="1"/>
  <c r="P104" i="1" s="1"/>
  <c r="P105" i="1" s="1"/>
  <c r="P106" i="1" s="1"/>
  <c r="P107" i="1" s="1"/>
  <c r="J91" i="1"/>
  <c r="X115" i="16"/>
  <c r="X109" i="16"/>
  <c r="X110" i="16" s="1"/>
  <c r="X111" i="16" s="1"/>
  <c r="X112" i="16" s="1"/>
  <c r="X113" i="16" s="1"/>
  <c r="X114" i="16" s="1"/>
  <c r="Q85" i="16"/>
  <c r="Q110" i="1"/>
  <c r="BH31" i="17"/>
  <c r="F109" i="1"/>
  <c r="F115" i="1"/>
  <c r="J78" i="16"/>
  <c r="BB175" i="17"/>
  <c r="G79" i="1"/>
  <c r="H84" i="1"/>
  <c r="F84" i="16"/>
  <c r="K90" i="16"/>
  <c r="Q91" i="16"/>
  <c r="H97" i="16"/>
  <c r="F97" i="1"/>
  <c r="W102" i="16"/>
  <c r="W103" i="16" s="1"/>
  <c r="W104" i="16" s="1"/>
  <c r="W105" i="16" s="1"/>
  <c r="W106" i="16" s="1"/>
  <c r="W107" i="16" s="1"/>
  <c r="W108" i="16"/>
  <c r="AU32" i="15"/>
  <c r="C108" i="16"/>
  <c r="C102" i="16"/>
  <c r="C103" i="16" s="1"/>
  <c r="C104" i="16" s="1"/>
  <c r="C105" i="16" s="1"/>
  <c r="C106" i="16" s="1"/>
  <c r="C107" i="16" s="1"/>
  <c r="X102" i="1"/>
  <c r="X103" i="1" s="1"/>
  <c r="X104" i="1" s="1"/>
  <c r="X105" i="1" s="1"/>
  <c r="X106" i="1" s="1"/>
  <c r="X107" i="1" s="1"/>
  <c r="X108" i="1"/>
  <c r="G90" i="16"/>
  <c r="L108" i="1"/>
  <c r="L102" i="1"/>
  <c r="L103" i="1" s="1"/>
  <c r="L104" i="1" s="1"/>
  <c r="L105" i="1" s="1"/>
  <c r="L106" i="1" s="1"/>
  <c r="L107" i="1" s="1"/>
  <c r="I103" i="16"/>
  <c r="BB175" i="15"/>
  <c r="I86" i="1"/>
  <c r="G78" i="16"/>
  <c r="B108" i="16"/>
  <c r="B102" i="16"/>
  <c r="B103" i="16" s="1"/>
  <c r="B104" i="16" s="1"/>
  <c r="B105" i="16" s="1"/>
  <c r="B106" i="16" s="1"/>
  <c r="B107" i="16" s="1"/>
  <c r="V109" i="1"/>
  <c r="V110" i="1" s="1"/>
  <c r="V111" i="1" s="1"/>
  <c r="V112" i="1" s="1"/>
  <c r="V113" i="1" s="1"/>
  <c r="V114" i="1" s="1"/>
  <c r="V115" i="1"/>
  <c r="Q92" i="1"/>
  <c r="Q98" i="1"/>
  <c r="E115" i="16"/>
  <c r="E109" i="16"/>
  <c r="E110" i="16" s="1"/>
  <c r="E111" i="16" s="1"/>
  <c r="E112" i="16" s="1"/>
  <c r="E113" i="16" s="1"/>
  <c r="E114" i="16" s="1"/>
  <c r="K85" i="1"/>
  <c r="T115" i="16"/>
  <c r="T109" i="16"/>
  <c r="T110" i="16" s="1"/>
  <c r="T111" i="16" s="1"/>
  <c r="T112" i="16" s="1"/>
  <c r="T113" i="16" s="1"/>
  <c r="T114" i="16" s="1"/>
  <c r="L115" i="16"/>
  <c r="L109" i="16"/>
  <c r="L110" i="16" s="1"/>
  <c r="L111" i="16" s="1"/>
  <c r="L112" i="16" s="1"/>
  <c r="L113" i="16" s="1"/>
  <c r="L114" i="16" s="1"/>
  <c r="DB47" i="10"/>
  <c r="J85" i="1"/>
  <c r="Q103" i="16"/>
  <c r="Q122" i="1"/>
  <c r="Q116" i="1"/>
  <c r="P115" i="16"/>
  <c r="P109" i="16"/>
  <c r="P110" i="16" s="1"/>
  <c r="P111" i="16" s="1"/>
  <c r="P112" i="16" s="1"/>
  <c r="P113" i="16" s="1"/>
  <c r="P114" i="16" s="1"/>
  <c r="K79" i="1"/>
  <c r="EL64" i="10"/>
  <c r="G96" i="16"/>
  <c r="U115" i="16"/>
  <c r="U109" i="16"/>
  <c r="U110" i="16" s="1"/>
  <c r="U111" i="16" s="1"/>
  <c r="U112" i="16" s="1"/>
  <c r="U113" i="16" s="1"/>
  <c r="U114" i="16" s="1"/>
  <c r="I109" i="16"/>
  <c r="I115" i="16"/>
  <c r="J97" i="1"/>
  <c r="N108" i="16"/>
  <c r="N102" i="16"/>
  <c r="N103" i="16" s="1"/>
  <c r="N104" i="16" s="1"/>
  <c r="N105" i="16" s="1"/>
  <c r="N106" i="16" s="1"/>
  <c r="N107" i="16" s="1"/>
  <c r="Q86" i="1"/>
  <c r="F96" i="16"/>
  <c r="BH32" i="15"/>
  <c r="R108" i="16"/>
  <c r="R102" i="16"/>
  <c r="R103" i="16" s="1"/>
  <c r="R104" i="16" s="1"/>
  <c r="R105" i="16" s="1"/>
  <c r="R106" i="16" s="1"/>
  <c r="R107" i="16" s="1"/>
  <c r="F108" i="16"/>
  <c r="F102" i="16"/>
  <c r="I110" i="1"/>
  <c r="B115" i="1"/>
  <c r="B109" i="1"/>
  <c r="B110" i="1" s="1"/>
  <c r="B111" i="1" s="1"/>
  <c r="B112" i="1" s="1"/>
  <c r="B113" i="1" s="1"/>
  <c r="B114" i="1" s="1"/>
  <c r="AU40" i="17"/>
  <c r="AG31" i="17"/>
  <c r="Q104" i="1"/>
  <c r="J79" i="1"/>
  <c r="C39" i="10"/>
  <c r="C34" i="10"/>
  <c r="C31" i="10"/>
  <c r="C44" i="10"/>
  <c r="C41" i="10"/>
  <c r="C23" i="10"/>
  <c r="C17" i="10"/>
  <c r="C24" i="10"/>
  <c r="C10" i="10"/>
  <c r="C20" i="10"/>
  <c r="C40" i="10"/>
  <c r="C30" i="10"/>
  <c r="C27" i="10"/>
  <c r="C29" i="10"/>
  <c r="C18" i="10"/>
  <c r="C22" i="10"/>
  <c r="C21" i="10"/>
  <c r="C14" i="10"/>
  <c r="C43" i="10"/>
  <c r="C42" i="10"/>
  <c r="C28" i="10"/>
  <c r="C12" i="10"/>
  <c r="C35" i="10"/>
  <c r="C13" i="10"/>
  <c r="C37" i="10"/>
  <c r="C25" i="10"/>
  <c r="C26" i="10"/>
  <c r="C19" i="10"/>
  <c r="C16" i="10"/>
  <c r="C11" i="10"/>
  <c r="C15" i="10"/>
  <c r="C33" i="10"/>
  <c r="C32" i="10"/>
  <c r="L32" i="15"/>
  <c r="Q31" i="15"/>
  <c r="E122" i="1"/>
  <c r="E116" i="1"/>
  <c r="E117" i="1" s="1"/>
  <c r="E118" i="1" s="1"/>
  <c r="E119" i="1" s="1"/>
  <c r="E120" i="1" s="1"/>
  <c r="E121" i="1" s="1"/>
  <c r="G103" i="1"/>
  <c r="O115" i="1"/>
  <c r="O109" i="1"/>
  <c r="O110" i="1" s="1"/>
  <c r="O111" i="1" s="1"/>
  <c r="O112" i="1" s="1"/>
  <c r="O113" i="1" s="1"/>
  <c r="O114" i="1" s="1"/>
  <c r="J108" i="16"/>
  <c r="J102" i="16"/>
  <c r="FR51" i="10"/>
  <c r="M115" i="16"/>
  <c r="M109" i="16"/>
  <c r="M110" i="16" s="1"/>
  <c r="M111" i="16" s="1"/>
  <c r="M112" i="16" s="1"/>
  <c r="M113" i="16" s="1"/>
  <c r="M114" i="16" s="1"/>
  <c r="S115" i="1"/>
  <c r="S109" i="1"/>
  <c r="S110" i="1" s="1"/>
  <c r="S111" i="1" s="1"/>
  <c r="S112" i="1" s="1"/>
  <c r="S113" i="1" s="1"/>
  <c r="S114" i="1" s="1"/>
  <c r="I104" i="1"/>
  <c r="F72" i="16"/>
  <c r="H103" i="16"/>
  <c r="H96" i="1"/>
  <c r="Q109" i="16"/>
  <c r="Q115" i="16"/>
  <c r="J90" i="16"/>
  <c r="F85" i="1"/>
  <c r="G72" i="16"/>
  <c r="F78" i="16"/>
  <c r="K103" i="1"/>
  <c r="L32" i="17"/>
  <c r="Q31" i="17"/>
  <c r="H91" i="16"/>
  <c r="R115" i="1"/>
  <c r="R109" i="1"/>
  <c r="R110" i="1" s="1"/>
  <c r="R111" i="1" s="1"/>
  <c r="R112" i="1" s="1"/>
  <c r="R113" i="1" s="1"/>
  <c r="R114" i="1" s="1"/>
  <c r="K72" i="16"/>
  <c r="H90" i="1"/>
  <c r="J103" i="1"/>
  <c r="G102" i="16"/>
  <c r="G108" i="16"/>
  <c r="I91" i="16"/>
  <c r="S108" i="16"/>
  <c r="S102" i="16"/>
  <c r="S103" i="16" s="1"/>
  <c r="S104" i="16" s="1"/>
  <c r="S105" i="16" s="1"/>
  <c r="S106" i="16" s="1"/>
  <c r="S107" i="16" s="1"/>
  <c r="G97" i="1"/>
  <c r="W115" i="1"/>
  <c r="W109" i="1"/>
  <c r="W110" i="1" s="1"/>
  <c r="W111" i="1" s="1"/>
  <c r="W112" i="1" s="1"/>
  <c r="W113" i="1" s="1"/>
  <c r="W114" i="1" s="1"/>
  <c r="I97" i="16"/>
  <c r="H85" i="16"/>
  <c r="Q79" i="16"/>
  <c r="H72" i="1"/>
  <c r="F91" i="1"/>
  <c r="J84" i="16"/>
  <c r="C38" i="10"/>
  <c r="G115" i="1"/>
  <c r="G109" i="1"/>
  <c r="K97" i="1"/>
  <c r="J72" i="16"/>
  <c r="K78" i="16"/>
  <c r="K96" i="16"/>
  <c r="J96" i="16"/>
  <c r="D102" i="1"/>
  <c r="D103" i="1" s="1"/>
  <c r="D104" i="1" s="1"/>
  <c r="D105" i="1" s="1"/>
  <c r="D106" i="1" s="1"/>
  <c r="D107" i="1" s="1"/>
  <c r="D108" i="1"/>
  <c r="EL61" i="18"/>
  <c r="AG31" i="15"/>
  <c r="H115" i="16"/>
  <c r="H109" i="16"/>
  <c r="H102" i="1"/>
  <c r="H108" i="1"/>
  <c r="N115" i="1"/>
  <c r="N109" i="1"/>
  <c r="N110" i="1" s="1"/>
  <c r="N111" i="1" s="1"/>
  <c r="N112" i="1" s="1"/>
  <c r="N113" i="1" s="1"/>
  <c r="N114" i="1" s="1"/>
  <c r="G91" i="1"/>
  <c r="H78" i="1"/>
  <c r="F103" i="1"/>
  <c r="C115" i="1"/>
  <c r="C109" i="1"/>
  <c r="C110" i="1" s="1"/>
  <c r="C111" i="1" s="1"/>
  <c r="C112" i="1" s="1"/>
  <c r="C113" i="1" s="1"/>
  <c r="C114" i="1" s="1"/>
  <c r="K115" i="1"/>
  <c r="K109" i="1"/>
  <c r="J109" i="1"/>
  <c r="J115" i="1"/>
  <c r="M122" i="1"/>
  <c r="M116" i="1"/>
  <c r="M117" i="1" s="1"/>
  <c r="M118" i="1" s="1"/>
  <c r="M119" i="1" s="1"/>
  <c r="M120" i="1" s="1"/>
  <c r="M121" i="1" s="1"/>
  <c r="I79" i="16"/>
  <c r="AT32" i="32" a="1"/>
  <c r="AZ29" i="32" a="1"/>
  <c r="BA24" i="32" a="1"/>
  <c r="BA28" i="32" a="1"/>
  <c r="AY33" i="32" a="1"/>
  <c r="AR28" i="32" a="1"/>
  <c r="AX27" i="32" a="1"/>
  <c r="BA22" i="32" a="1"/>
  <c r="AT28" i="32" a="1"/>
  <c r="AQ247" i="31"/>
  <c r="AU28" i="32" a="1"/>
  <c r="AF253" i="31"/>
  <c r="AW26" i="32" a="1"/>
  <c r="AY29" i="32" a="1"/>
  <c r="AZ33" i="32" a="1"/>
  <c r="AY32" i="32" a="1"/>
  <c r="AH259" i="31"/>
  <c r="AI246" i="31"/>
  <c r="AW29" i="32" a="1"/>
  <c r="AU29" i="32" a="1"/>
  <c r="AK253" i="31"/>
  <c r="AF259" i="31"/>
  <c r="AX22" i="32" a="1"/>
  <c r="AT30" i="32" a="1"/>
  <c r="BA26" i="32" a="1"/>
  <c r="AX26" i="32" a="1"/>
  <c r="AY31" i="32" a="1"/>
  <c r="AG259" i="31"/>
  <c r="AJ253" i="31"/>
  <c r="AQ258" i="31"/>
  <c r="AT25" i="32" a="1"/>
  <c r="AV32" i="32" a="1"/>
  <c r="AX30" i="32" a="1"/>
  <c r="AX21" i="32" a="1"/>
  <c r="AH253" i="31"/>
  <c r="AG253" i="31"/>
  <c r="AU31" i="32" a="1"/>
  <c r="AR33" i="32" a="1"/>
  <c r="AR26" i="32" a="1"/>
  <c r="AT34" i="32" a="1"/>
  <c r="AS32" i="32" a="1"/>
  <c r="AZ32" i="32" a="1"/>
  <c r="AZ28" i="32" a="1"/>
  <c r="AX23" i="32" a="1"/>
  <c r="AS23" i="32" a="1"/>
  <c r="AR32" i="32" a="1"/>
  <c r="AS33" i="32" a="1"/>
  <c r="AX25" i="32" a="1"/>
  <c r="BA20" i="32" a="1"/>
  <c r="AS31" i="32" a="1"/>
  <c r="AY23" i="32" a="1"/>
  <c r="AZ34" i="32" a="1"/>
  <c r="AR23" i="32" a="1"/>
  <c r="AX20" i="32" a="1"/>
  <c r="BA23" i="32" a="1"/>
  <c r="AZ23" i="32" a="1"/>
  <c r="AW28" i="32" a="1"/>
  <c r="AV34" i="32" a="1"/>
  <c r="AW34" i="32" a="1"/>
  <c r="AJ259" i="31"/>
  <c r="BA30" i="32" a="1"/>
  <c r="AU26" i="32" a="1"/>
  <c r="AT33" i="32" a="1"/>
  <c r="AV23" i="32" a="1"/>
  <c r="AQ246" i="31"/>
  <c r="AV33" i="32" a="1"/>
  <c r="AU33" i="32" a="1"/>
  <c r="AT26" i="32" a="1"/>
  <c r="AV26" i="32" a="1"/>
  <c r="AX19" i="32" a="1"/>
  <c r="AI258" i="31"/>
  <c r="BA21" i="32" a="1"/>
  <c r="AY28" i="32" a="1"/>
  <c r="AU32" i="32" a="1"/>
  <c r="AS28" i="32" a="1"/>
  <c r="AW32" i="32" a="1"/>
  <c r="AI252" i="31"/>
  <c r="AR29" i="32" a="1"/>
  <c r="AT23" i="32" a="1"/>
  <c r="AW18" i="32" a="1"/>
  <c r="AX24" i="32" a="1"/>
  <c r="AY26" i="32" a="1"/>
  <c r="AV29" i="32" a="1"/>
  <c r="AW31" i="32" a="1"/>
  <c r="AK259" i="31"/>
  <c r="AU35" i="32" a="1"/>
  <c r="AY35" i="32" a="1"/>
  <c r="AY34" i="32" a="1"/>
  <c r="AX29" i="32" a="1"/>
  <c r="AX28" i="32" a="1"/>
  <c r="BA29" i="32" a="1"/>
  <c r="AH254" i="31"/>
  <c r="AG254" i="31"/>
  <c r="AI247" i="31"/>
  <c r="AQ252" i="31"/>
  <c r="AJ254" i="31"/>
  <c r="AZ31" i="32" a="1"/>
  <c r="AK254" i="31"/>
  <c r="AU25" i="32" a="1"/>
  <c r="AU34" i="32" a="1"/>
  <c r="AT31" i="32" a="1"/>
  <c r="AV28" i="32" a="1"/>
  <c r="AR31" i="32" a="1"/>
  <c r="BA27" i="32" a="1"/>
  <c r="AU23" i="32" a="1"/>
  <c r="BA25" i="32" a="1"/>
  <c r="AT29" i="32" a="1"/>
  <c r="BA19" i="32" a="1"/>
  <c r="AV31" i="32" a="1"/>
  <c r="AS35" i="32" a="1"/>
  <c r="AS29" i="32" a="1"/>
  <c r="AR35" i="32" a="1"/>
  <c r="AW33" i="32" a="1"/>
  <c r="AW25" i="32" a="1"/>
  <c r="AS26" i="32" a="1"/>
  <c r="AT35" i="32" a="1"/>
  <c r="AV35" i="32" a="1"/>
  <c r="AF254" i="31"/>
  <c r="AW23" i="32" a="1"/>
  <c r="AZ26" i="32" a="1"/>
  <c r="AT30" i="32" l="1"/>
  <c r="BQ30" i="32" s="1"/>
  <c r="AU25" i="32"/>
  <c r="AW25" i="32"/>
  <c r="AT25" i="32"/>
  <c r="BQ25" i="32" s="1"/>
  <c r="AT34" i="32"/>
  <c r="BQ34" i="32" s="1"/>
  <c r="AX24" i="32"/>
  <c r="DC47" i="10"/>
  <c r="CT48" i="10"/>
  <c r="CU48" i="10" s="1"/>
  <c r="AW18" i="32"/>
  <c r="AU32" i="32"/>
  <c r="BO18" i="32"/>
  <c r="BN18" i="32"/>
  <c r="BM25" i="32"/>
  <c r="BM24" i="32"/>
  <c r="BR18" i="32"/>
  <c r="AS33" i="32"/>
  <c r="BM33" i="32" s="1"/>
  <c r="AT33" i="32"/>
  <c r="AR33" i="32"/>
  <c r="AR32" i="32"/>
  <c r="AS32" i="32"/>
  <c r="BM32" i="32" s="1"/>
  <c r="AT32" i="32"/>
  <c r="AS29" i="32"/>
  <c r="BM29" i="32" s="1"/>
  <c r="AT29" i="32"/>
  <c r="AR29" i="32"/>
  <c r="AU29" i="32"/>
  <c r="AW29" i="32"/>
  <c r="AZ29" i="32"/>
  <c r="AY29" i="32"/>
  <c r="BO29" i="32" s="1"/>
  <c r="AV29" i="32"/>
  <c r="AR35" i="32"/>
  <c r="AS35" i="32"/>
  <c r="BM35" i="32" s="1"/>
  <c r="AT35" i="32"/>
  <c r="BQ35" i="32" s="1"/>
  <c r="AS23" i="32"/>
  <c r="AR23" i="32"/>
  <c r="AT23" i="32"/>
  <c r="BQ23" i="32" s="1"/>
  <c r="AU23" i="32"/>
  <c r="AW23" i="32"/>
  <c r="AZ23" i="32"/>
  <c r="AY23" i="32"/>
  <c r="BO23" i="32" s="1"/>
  <c r="AV23" i="32"/>
  <c r="AR28" i="32"/>
  <c r="AT28" i="32"/>
  <c r="BQ28" i="32" s="1"/>
  <c r="AS28" i="32"/>
  <c r="BM28" i="32" s="1"/>
  <c r="AU28" i="32"/>
  <c r="AW28" i="32"/>
  <c r="AZ28" i="32"/>
  <c r="AY28" i="32"/>
  <c r="BO28" i="32" s="1"/>
  <c r="AV28" i="32"/>
  <c r="AS31" i="32"/>
  <c r="BM31" i="32" s="1"/>
  <c r="AR31" i="32"/>
  <c r="AT31" i="32"/>
  <c r="AR26" i="32"/>
  <c r="AT26" i="32"/>
  <c r="BQ26" i="32" s="1"/>
  <c r="AS26" i="32"/>
  <c r="BM26" i="32" s="1"/>
  <c r="AU26" i="32"/>
  <c r="AW26" i="32"/>
  <c r="AZ26" i="32"/>
  <c r="AY26" i="32"/>
  <c r="BO26" i="32" s="1"/>
  <c r="AV26" i="32"/>
  <c r="BQ20" i="32"/>
  <c r="BO25" i="32"/>
  <c r="BO20" i="32"/>
  <c r="BM34" i="32"/>
  <c r="BO27" i="32"/>
  <c r="BO21" i="32"/>
  <c r="BM30" i="32"/>
  <c r="BO24" i="32"/>
  <c r="BO30" i="32"/>
  <c r="BM36" i="32"/>
  <c r="BO19" i="32"/>
  <c r="BO22" i="32"/>
  <c r="CZ47" i="10"/>
  <c r="BJ28" i="32"/>
  <c r="BL27" i="32"/>
  <c r="BQ60" i="32"/>
  <c r="BQ42" i="32"/>
  <c r="BQ43" i="32"/>
  <c r="BQ50" i="32"/>
  <c r="BQ46" i="32"/>
  <c r="BQ44" i="32"/>
  <c r="BQ40" i="32"/>
  <c r="BQ55" i="32"/>
  <c r="BQ54" i="32"/>
  <c r="BQ53" i="32"/>
  <c r="BQ45" i="32"/>
  <c r="BQ36" i="32"/>
  <c r="BQ38" i="32"/>
  <c r="BQ58" i="32"/>
  <c r="BQ57" i="32"/>
  <c r="BQ52" i="32"/>
  <c r="BQ56" i="32"/>
  <c r="BQ41" i="32"/>
  <c r="BQ48" i="32"/>
  <c r="BQ39" i="32"/>
  <c r="BQ37" i="32"/>
  <c r="BQ47" i="32"/>
  <c r="BQ49" i="32"/>
  <c r="BQ59" i="32"/>
  <c r="BQ61" i="32"/>
  <c r="BQ51" i="32"/>
  <c r="AX21" i="32"/>
  <c r="AX22" i="32"/>
  <c r="AX20" i="32"/>
  <c r="AX23" i="32"/>
  <c r="AX19" i="32"/>
  <c r="AX26" i="32"/>
  <c r="AX25" i="32"/>
  <c r="AX27" i="32"/>
  <c r="AX28" i="32"/>
  <c r="AX29" i="32"/>
  <c r="BA21" i="32"/>
  <c r="BA22" i="32"/>
  <c r="BA24" i="32"/>
  <c r="BA20" i="32"/>
  <c r="BA23" i="32"/>
  <c r="BA19" i="32"/>
  <c r="BA26" i="32"/>
  <c r="BA25" i="32"/>
  <c r="BA27" i="32"/>
  <c r="BA28" i="32"/>
  <c r="BA29" i="32"/>
  <c r="AZ33" i="32"/>
  <c r="AZ34" i="32"/>
  <c r="AZ32" i="32"/>
  <c r="AZ31" i="32"/>
  <c r="AW33" i="32"/>
  <c r="AW34" i="32"/>
  <c r="AW32" i="32"/>
  <c r="AW31" i="32"/>
  <c r="AV33" i="32"/>
  <c r="AV34" i="32"/>
  <c r="AV32" i="32"/>
  <c r="AV31" i="32"/>
  <c r="AU34" i="32"/>
  <c r="AU33" i="32"/>
  <c r="AU31" i="32"/>
  <c r="AY32" i="32"/>
  <c r="AY33" i="32"/>
  <c r="AY34" i="32"/>
  <c r="AY31" i="32"/>
  <c r="AX30" i="32"/>
  <c r="BA30" i="32"/>
  <c r="AV35" i="32"/>
  <c r="AU35" i="32"/>
  <c r="AY35" i="32"/>
  <c r="BG258" i="31"/>
  <c r="BG246" i="31"/>
  <c r="BG247" i="31"/>
  <c r="BG252" i="31"/>
  <c r="Q260" i="31"/>
  <c r="I254" i="31"/>
  <c r="F261" i="31"/>
  <c r="I260" i="31"/>
  <c r="K261" i="31"/>
  <c r="H261" i="31"/>
  <c r="G261" i="31"/>
  <c r="Q254" i="31"/>
  <c r="J261" i="31"/>
  <c r="DC593" i="15"/>
  <c r="DE592" i="15"/>
  <c r="BQ597" i="15"/>
  <c r="DA47" i="10"/>
  <c r="CY47" i="10"/>
  <c r="CX47" i="10"/>
  <c r="CX48" i="24"/>
  <c r="CT49" i="24"/>
  <c r="DC49" i="24" s="1"/>
  <c r="DB48" i="24"/>
  <c r="DC48" i="24"/>
  <c r="CY48" i="24"/>
  <c r="J36" i="15"/>
  <c r="AH587" i="15" s="1"/>
  <c r="CZ48" i="18"/>
  <c r="DA48" i="24"/>
  <c r="CX48" i="18"/>
  <c r="DC48" i="18"/>
  <c r="CT49" i="18"/>
  <c r="DB49" i="18" s="1"/>
  <c r="DA48" i="18"/>
  <c r="CY48" i="18"/>
  <c r="LO54" i="24"/>
  <c r="LS53" i="24"/>
  <c r="EL62" i="24"/>
  <c r="FS53" i="24"/>
  <c r="H103" i="1"/>
  <c r="J97" i="16"/>
  <c r="K79" i="16"/>
  <c r="K98" i="1"/>
  <c r="F92" i="1"/>
  <c r="I98" i="16"/>
  <c r="G98" i="1"/>
  <c r="I92" i="16"/>
  <c r="F79" i="16"/>
  <c r="F86" i="1"/>
  <c r="Q122" i="16"/>
  <c r="Q116" i="16"/>
  <c r="J115" i="16"/>
  <c r="J109" i="16"/>
  <c r="G104" i="1"/>
  <c r="B122" i="1"/>
  <c r="B116" i="1"/>
  <c r="B117" i="1" s="1"/>
  <c r="B118" i="1" s="1"/>
  <c r="B119" i="1" s="1"/>
  <c r="B120" i="1" s="1"/>
  <c r="B121" i="1" s="1"/>
  <c r="F103" i="16"/>
  <c r="I110" i="16"/>
  <c r="G97" i="16"/>
  <c r="Q117" i="1"/>
  <c r="T122" i="16"/>
  <c r="T116" i="16"/>
  <c r="T117" i="16" s="1"/>
  <c r="T118" i="16" s="1"/>
  <c r="T119" i="16" s="1"/>
  <c r="T120" i="16" s="1"/>
  <c r="T121" i="16" s="1"/>
  <c r="E122" i="16"/>
  <c r="E116" i="16"/>
  <c r="E117" i="16" s="1"/>
  <c r="E118" i="16" s="1"/>
  <c r="E119" i="16" s="1"/>
  <c r="E120" i="16" s="1"/>
  <c r="E121" i="16" s="1"/>
  <c r="Q93" i="1"/>
  <c r="F98" i="1"/>
  <c r="Q92" i="16"/>
  <c r="F85" i="16"/>
  <c r="J79" i="16"/>
  <c r="F122" i="1"/>
  <c r="F116" i="1"/>
  <c r="X116" i="16"/>
  <c r="X117" i="16" s="1"/>
  <c r="X118" i="16" s="1"/>
  <c r="X119" i="16" s="1"/>
  <c r="X120" i="16" s="1"/>
  <c r="X121" i="16" s="1"/>
  <c r="X122" i="16"/>
  <c r="P115" i="1"/>
  <c r="P109" i="1"/>
  <c r="P110" i="1" s="1"/>
  <c r="P111" i="1" s="1"/>
  <c r="P112" i="1" s="1"/>
  <c r="P113" i="1" s="1"/>
  <c r="P114" i="1" s="1"/>
  <c r="F91" i="16"/>
  <c r="K103" i="16"/>
  <c r="O115" i="16"/>
  <c r="O109" i="16"/>
  <c r="O110" i="16" s="1"/>
  <c r="O111" i="16" s="1"/>
  <c r="O112" i="16" s="1"/>
  <c r="O113" i="16" s="1"/>
  <c r="O114" i="16" s="1"/>
  <c r="T115" i="1"/>
  <c r="T109" i="1"/>
  <c r="T110" i="1" s="1"/>
  <c r="T111" i="1" s="1"/>
  <c r="T112" i="1" s="1"/>
  <c r="T113" i="1" s="1"/>
  <c r="T114" i="1" s="1"/>
  <c r="I129" i="1"/>
  <c r="I123" i="1"/>
  <c r="I99" i="1"/>
  <c r="M129" i="1"/>
  <c r="M123" i="1"/>
  <c r="M124" i="1" s="1"/>
  <c r="M125" i="1" s="1"/>
  <c r="M126" i="1" s="1"/>
  <c r="M127" i="1" s="1"/>
  <c r="M128" i="1" s="1"/>
  <c r="K110" i="1"/>
  <c r="C122" i="1"/>
  <c r="C116" i="1"/>
  <c r="C117" i="1" s="1"/>
  <c r="C118" i="1" s="1"/>
  <c r="C119" i="1" s="1"/>
  <c r="C120" i="1" s="1"/>
  <c r="C121" i="1" s="1"/>
  <c r="H79" i="1"/>
  <c r="N122" i="1"/>
  <c r="N116" i="1"/>
  <c r="N117" i="1" s="1"/>
  <c r="N118" i="1" s="1"/>
  <c r="N119" i="1" s="1"/>
  <c r="N120" i="1" s="1"/>
  <c r="N121" i="1" s="1"/>
  <c r="D115" i="1"/>
  <c r="D109" i="1"/>
  <c r="D110" i="1" s="1"/>
  <c r="D111" i="1" s="1"/>
  <c r="D112" i="1" s="1"/>
  <c r="D113" i="1" s="1"/>
  <c r="D114" i="1" s="1"/>
  <c r="J104" i="1"/>
  <c r="H92" i="16"/>
  <c r="Q110" i="16"/>
  <c r="H104" i="16"/>
  <c r="I105" i="1"/>
  <c r="M122" i="16"/>
  <c r="M116" i="16"/>
  <c r="M117" i="16" s="1"/>
  <c r="M118" i="16" s="1"/>
  <c r="M119" i="16" s="1"/>
  <c r="M120" i="16" s="1"/>
  <c r="M121" i="16" s="1"/>
  <c r="L33" i="15"/>
  <c r="Q32" i="15"/>
  <c r="AU41" i="17"/>
  <c r="F109" i="16"/>
  <c r="F115" i="16"/>
  <c r="BH33" i="15"/>
  <c r="J98" i="1"/>
  <c r="Q129" i="1"/>
  <c r="Q123" i="1"/>
  <c r="J86" i="1"/>
  <c r="V122" i="1"/>
  <c r="V116" i="1"/>
  <c r="V117" i="1" s="1"/>
  <c r="V118" i="1" s="1"/>
  <c r="V119" i="1" s="1"/>
  <c r="V120" i="1" s="1"/>
  <c r="V121" i="1" s="1"/>
  <c r="B115" i="16"/>
  <c r="B109" i="16"/>
  <c r="B110" i="16" s="1"/>
  <c r="B111" i="16" s="1"/>
  <c r="B112" i="16" s="1"/>
  <c r="B113" i="16" s="1"/>
  <c r="B114" i="16" s="1"/>
  <c r="I104" i="16"/>
  <c r="G91" i="16"/>
  <c r="W115" i="16"/>
  <c r="W109" i="16"/>
  <c r="W110" i="16" s="1"/>
  <c r="W111" i="16" s="1"/>
  <c r="W112" i="16" s="1"/>
  <c r="W113" i="16" s="1"/>
  <c r="W114" i="16" s="1"/>
  <c r="F110" i="1"/>
  <c r="Q111" i="1"/>
  <c r="K115" i="16"/>
  <c r="K109" i="16"/>
  <c r="V109" i="16"/>
  <c r="V110" i="16" s="1"/>
  <c r="V111" i="16" s="1"/>
  <c r="V112" i="16" s="1"/>
  <c r="V113" i="16" s="1"/>
  <c r="V114" i="16" s="1"/>
  <c r="V115" i="16"/>
  <c r="U129" i="1"/>
  <c r="U123" i="1"/>
  <c r="U124" i="1" s="1"/>
  <c r="U125" i="1" s="1"/>
  <c r="U126" i="1" s="1"/>
  <c r="U127" i="1" s="1"/>
  <c r="U128" i="1" s="1"/>
  <c r="G85" i="16"/>
  <c r="D122" i="16"/>
  <c r="D116" i="16"/>
  <c r="D117" i="16" s="1"/>
  <c r="D118" i="16" s="1"/>
  <c r="D119" i="16" s="1"/>
  <c r="D120" i="16" s="1"/>
  <c r="D121" i="16" s="1"/>
  <c r="J122" i="1"/>
  <c r="J116" i="1"/>
  <c r="K122" i="1"/>
  <c r="K116" i="1"/>
  <c r="H110" i="16"/>
  <c r="AG32" i="15"/>
  <c r="K97" i="16"/>
  <c r="G110" i="1"/>
  <c r="J85" i="16"/>
  <c r="H86" i="16"/>
  <c r="W122" i="1"/>
  <c r="W116" i="1"/>
  <c r="W117" i="1" s="1"/>
  <c r="W118" i="1" s="1"/>
  <c r="W119" i="1" s="1"/>
  <c r="W120" i="1" s="1"/>
  <c r="W121" i="1" s="1"/>
  <c r="S115" i="16"/>
  <c r="S109" i="16"/>
  <c r="S110" i="16" s="1"/>
  <c r="S111" i="16" s="1"/>
  <c r="S112" i="16" s="1"/>
  <c r="S113" i="16" s="1"/>
  <c r="S114" i="16" s="1"/>
  <c r="G115" i="16"/>
  <c r="G109" i="16"/>
  <c r="K104" i="1"/>
  <c r="J91" i="16"/>
  <c r="FR52" i="10"/>
  <c r="O122" i="1"/>
  <c r="O116" i="1"/>
  <c r="O117" i="1" s="1"/>
  <c r="O118" i="1" s="1"/>
  <c r="O119" i="1" s="1"/>
  <c r="O120" i="1" s="1"/>
  <c r="O121" i="1" s="1"/>
  <c r="E129" i="1"/>
  <c r="E123" i="1"/>
  <c r="E124" i="1" s="1"/>
  <c r="E125" i="1" s="1"/>
  <c r="E126" i="1" s="1"/>
  <c r="E127" i="1" s="1"/>
  <c r="E128" i="1" s="1"/>
  <c r="Q105" i="1"/>
  <c r="I111" i="1"/>
  <c r="U122" i="16"/>
  <c r="U116" i="16"/>
  <c r="U117" i="16" s="1"/>
  <c r="U118" i="16" s="1"/>
  <c r="U119" i="16" s="1"/>
  <c r="U120" i="16" s="1"/>
  <c r="U121" i="16" s="1"/>
  <c r="EL65" i="10"/>
  <c r="P116" i="16"/>
  <c r="P117" i="16" s="1"/>
  <c r="P118" i="16" s="1"/>
  <c r="P119" i="16" s="1"/>
  <c r="P120" i="16" s="1"/>
  <c r="P121" i="16" s="1"/>
  <c r="P122" i="16"/>
  <c r="DA48" i="10"/>
  <c r="L122" i="16"/>
  <c r="L116" i="16"/>
  <c r="L117" i="16" s="1"/>
  <c r="L118" i="16" s="1"/>
  <c r="L119" i="16" s="1"/>
  <c r="L120" i="16" s="1"/>
  <c r="L121" i="16" s="1"/>
  <c r="K86" i="1"/>
  <c r="Q99" i="1"/>
  <c r="X115" i="1"/>
  <c r="X109" i="1"/>
  <c r="X110" i="1" s="1"/>
  <c r="X111" i="1" s="1"/>
  <c r="X112" i="1" s="1"/>
  <c r="X113" i="1" s="1"/>
  <c r="X114" i="1" s="1"/>
  <c r="C115" i="16"/>
  <c r="C109" i="16"/>
  <c r="C110" i="16" s="1"/>
  <c r="C111" i="16" s="1"/>
  <c r="C112" i="16" s="1"/>
  <c r="C113" i="16" s="1"/>
  <c r="C114" i="16" s="1"/>
  <c r="H98" i="16"/>
  <c r="K91" i="16"/>
  <c r="H85" i="1"/>
  <c r="BB176" i="17"/>
  <c r="BH32" i="17"/>
  <c r="J92" i="1"/>
  <c r="K85" i="16"/>
  <c r="A122" i="16"/>
  <c r="A116" i="16"/>
  <c r="A117" i="16" s="1"/>
  <c r="A118" i="16" s="1"/>
  <c r="A119" i="16" s="1"/>
  <c r="A120" i="16" s="1"/>
  <c r="A121" i="16" s="1"/>
  <c r="I86" i="16"/>
  <c r="J110" i="1"/>
  <c r="F104" i="1"/>
  <c r="G92" i="1"/>
  <c r="H115" i="1"/>
  <c r="H109" i="1"/>
  <c r="H116" i="16"/>
  <c r="H122" i="16"/>
  <c r="EL62" i="18"/>
  <c r="G122" i="1"/>
  <c r="G116" i="1"/>
  <c r="G103" i="16"/>
  <c r="H91" i="1"/>
  <c r="R122" i="1"/>
  <c r="R116" i="1"/>
  <c r="R117" i="1" s="1"/>
  <c r="R118" i="1" s="1"/>
  <c r="R119" i="1" s="1"/>
  <c r="R120" i="1" s="1"/>
  <c r="R121" i="1" s="1"/>
  <c r="L33" i="17"/>
  <c r="Q32" i="17"/>
  <c r="H97" i="1"/>
  <c r="S122" i="1"/>
  <c r="S116" i="1"/>
  <c r="S117" i="1" s="1"/>
  <c r="S118" i="1" s="1"/>
  <c r="S119" i="1" s="1"/>
  <c r="S120" i="1" s="1"/>
  <c r="S121" i="1" s="1"/>
  <c r="J103" i="16"/>
  <c r="AG32" i="17"/>
  <c r="R115" i="16"/>
  <c r="R109" i="16"/>
  <c r="R110" i="16" s="1"/>
  <c r="R111" i="16" s="1"/>
  <c r="R112" i="16" s="1"/>
  <c r="R113" i="16" s="1"/>
  <c r="R114" i="16" s="1"/>
  <c r="F97" i="16"/>
  <c r="N109" i="16"/>
  <c r="N110" i="16" s="1"/>
  <c r="N111" i="16" s="1"/>
  <c r="N112" i="16" s="1"/>
  <c r="N113" i="16" s="1"/>
  <c r="N114" i="16" s="1"/>
  <c r="N115" i="16"/>
  <c r="I122" i="16"/>
  <c r="I116" i="16"/>
  <c r="Q104" i="16"/>
  <c r="G79" i="16"/>
  <c r="BB176" i="15"/>
  <c r="L115" i="1"/>
  <c r="L109" i="1"/>
  <c r="L110" i="1" s="1"/>
  <c r="L111" i="1" s="1"/>
  <c r="L112" i="1" s="1"/>
  <c r="L113" i="1" s="1"/>
  <c r="L114" i="1" s="1"/>
  <c r="AU33" i="15"/>
  <c r="Q86" i="16"/>
  <c r="K92" i="1"/>
  <c r="A129" i="1"/>
  <c r="A123" i="1"/>
  <c r="A124" i="1" s="1"/>
  <c r="A125" i="1" s="1"/>
  <c r="A126" i="1" s="1"/>
  <c r="A127" i="1" s="1"/>
  <c r="A128" i="1" s="1"/>
  <c r="I93" i="1"/>
  <c r="G86" i="1"/>
  <c r="Q98" i="16"/>
  <c r="FS53" i="18"/>
  <c r="I117" i="1"/>
  <c r="AI254" i="31"/>
  <c r="AV40" i="32" a="1"/>
  <c r="AZ41" i="32" a="1"/>
  <c r="AW60" i="32" a="1"/>
  <c r="AY44" i="32" a="1"/>
  <c r="AV55" i="32" a="1"/>
  <c r="AK260" i="31"/>
  <c r="AU38" i="32" a="1"/>
  <c r="AW50" i="32" a="1"/>
  <c r="AU43" i="32" a="1"/>
  <c r="AZ57" i="32" a="1"/>
  <c r="AW51" i="32" a="1"/>
  <c r="AU36" i="32" a="1"/>
  <c r="AV52" i="32" a="1"/>
  <c r="AV44" i="32" a="1"/>
  <c r="AY49" i="32" a="1"/>
  <c r="AW37" i="32" a="1"/>
  <c r="AW42" i="32" a="1"/>
  <c r="AV53" i="32" a="1"/>
  <c r="AZ37" i="32" a="1"/>
  <c r="AW41" i="32" a="1"/>
  <c r="AW43" i="32" a="1"/>
  <c r="AY60" i="32" a="1"/>
  <c r="AW40" i="32" a="1"/>
  <c r="AW61" i="32" a="1"/>
  <c r="AU47" i="32" a="1"/>
  <c r="AZ35" i="32" a="1"/>
  <c r="AW45" i="32" a="1"/>
  <c r="AZ46" i="32" a="1"/>
  <c r="AX33" i="32" a="1"/>
  <c r="AY54" i="32" a="1"/>
  <c r="AV47" i="32" a="1"/>
  <c r="AU60" i="32" a="1"/>
  <c r="AY58" i="32" a="1"/>
  <c r="AU44" i="32" a="1"/>
  <c r="AZ53" i="32" a="1"/>
  <c r="AZ58" i="32" a="1"/>
  <c r="BA34" i="32" a="1"/>
  <c r="AV51" i="32" a="1"/>
  <c r="AY51" i="32" a="1"/>
  <c r="AG261" i="31"/>
  <c r="AV57" i="32" a="1"/>
  <c r="AY46" i="32" a="1"/>
  <c r="AV43" i="32" a="1"/>
  <c r="AZ40" i="32" a="1"/>
  <c r="BA31" i="32" a="1"/>
  <c r="AZ51" i="32" a="1"/>
  <c r="AV39" i="32" a="1"/>
  <c r="AU57" i="32" a="1"/>
  <c r="AZ42" i="32" a="1"/>
  <c r="AW58" i="32" a="1"/>
  <c r="AZ60" i="32" a="1"/>
  <c r="AZ47" i="32" a="1"/>
  <c r="AQ253" i="31"/>
  <c r="AV59" i="32" a="1"/>
  <c r="AV38" i="32" a="1"/>
  <c r="AH260" i="31"/>
  <c r="AW52" i="32" a="1"/>
  <c r="AV50" i="32" a="1"/>
  <c r="AW46" i="32" a="1"/>
  <c r="AU42" i="32" a="1"/>
  <c r="AW53" i="32" a="1"/>
  <c r="AZ61" i="32" a="1"/>
  <c r="AV54" i="32" a="1"/>
  <c r="AW38" i="32" a="1"/>
  <c r="AV42" i="32" a="1"/>
  <c r="AZ39" i="32" a="1"/>
  <c r="BA35" i="32" a="1"/>
  <c r="AW55" i="32" a="1"/>
  <c r="AZ48" i="32" a="1"/>
  <c r="BA32" i="32" a="1"/>
  <c r="AY57" i="32" a="1"/>
  <c r="AV45" i="32" a="1"/>
  <c r="AI259" i="31"/>
  <c r="AZ59" i="32" a="1"/>
  <c r="AZ50" i="32" a="1"/>
  <c r="AJ260" i="31"/>
  <c r="AW57" i="32" a="1"/>
  <c r="AW49" i="32" a="1"/>
  <c r="AY41" i="32" a="1"/>
  <c r="AW36" i="32" a="1"/>
  <c r="AU59" i="32" a="1"/>
  <c r="AZ43" i="32" a="1"/>
  <c r="AY45" i="32" a="1"/>
  <c r="AU41" i="32" a="1"/>
  <c r="AY56" i="32" a="1"/>
  <c r="AU55" i="32" a="1"/>
  <c r="AX34" i="32" a="1"/>
  <c r="AU39" i="32" a="1"/>
  <c r="AV49" i="32" a="1"/>
  <c r="AV60" i="32" a="1"/>
  <c r="AY42" i="32" a="1"/>
  <c r="AU51" i="32" a="1"/>
  <c r="AF261" i="31"/>
  <c r="AV37" i="32" a="1"/>
  <c r="AH261" i="31"/>
  <c r="AY61" i="32" a="1"/>
  <c r="AZ49" i="32" a="1"/>
  <c r="AU54" i="32" a="1"/>
  <c r="AV46" i="32" a="1"/>
  <c r="AX35" i="32" a="1"/>
  <c r="AY37" i="32" a="1"/>
  <c r="AY43" i="32" a="1"/>
  <c r="AU50" i="32" a="1"/>
  <c r="AY36" i="32" a="1"/>
  <c r="AV58" i="32" a="1"/>
  <c r="AW35" i="32" a="1"/>
  <c r="AU46" i="32" a="1"/>
  <c r="AY50" i="32" a="1"/>
  <c r="AV36" i="32" a="1"/>
  <c r="AZ54" i="32" a="1"/>
  <c r="AI253" i="31"/>
  <c r="AW39" i="32" a="1"/>
  <c r="AZ38" i="32" a="1"/>
  <c r="AG260" i="31"/>
  <c r="AU45" i="32" a="1"/>
  <c r="AU53" i="32" a="1"/>
  <c r="AV48" i="32" a="1"/>
  <c r="AW54" i="32" a="1"/>
  <c r="AW44" i="32" a="1"/>
  <c r="AY48" i="32" a="1"/>
  <c r="AY40" i="32" a="1"/>
  <c r="AV41" i="32" a="1"/>
  <c r="AV56" i="32" a="1"/>
  <c r="AW56" i="32" a="1"/>
  <c r="AU61" i="32" a="1"/>
  <c r="AY55" i="32" a="1"/>
  <c r="AW59" i="32" a="1"/>
  <c r="AU56" i="32" a="1"/>
  <c r="AQ254" i="31"/>
  <c r="AY52" i="32" a="1"/>
  <c r="AY47" i="32" a="1"/>
  <c r="AZ52" i="32" a="1"/>
  <c r="AU52" i="32" a="1"/>
  <c r="AY39" i="32" a="1"/>
  <c r="AZ44" i="32" a="1"/>
  <c r="AY53" i="32" a="1"/>
  <c r="AU40" i="32" a="1"/>
  <c r="AW47" i="32" a="1"/>
  <c r="AZ56" i="32" a="1"/>
  <c r="AU37" i="32" a="1"/>
  <c r="AU58" i="32" a="1"/>
  <c r="AY59" i="32" a="1"/>
  <c r="AF260" i="31"/>
  <c r="BA33" i="32" a="1"/>
  <c r="AZ45" i="32" a="1"/>
  <c r="AZ36" i="32" a="1"/>
  <c r="AU49" i="32" a="1"/>
  <c r="AX31" i="32" a="1"/>
  <c r="AU48" i="32" a="1"/>
  <c r="AZ55" i="32" a="1"/>
  <c r="AQ259" i="31"/>
  <c r="AX32" i="32" a="1"/>
  <c r="AV61" i="32" a="1"/>
  <c r="AW48" i="32" a="1"/>
  <c r="AY38" i="32" a="1"/>
  <c r="AK261" i="31"/>
  <c r="AJ261" i="31"/>
  <c r="CT49" i="10" l="1"/>
  <c r="CU49" i="10" s="1"/>
  <c r="DC48" i="10"/>
  <c r="CY48" i="10"/>
  <c r="CX48" i="10"/>
  <c r="CZ48" i="10"/>
  <c r="DB48" i="10"/>
  <c r="CX52" i="32"/>
  <c r="AW35" i="32"/>
  <c r="AZ35" i="32"/>
  <c r="CX59" i="32"/>
  <c r="CX55" i="32"/>
  <c r="CX63" i="32"/>
  <c r="CX60" i="32"/>
  <c r="CX56" i="32"/>
  <c r="CX62" i="32"/>
  <c r="CX61" i="32"/>
  <c r="CX58" i="32"/>
  <c r="CX57" i="32"/>
  <c r="CX53" i="32"/>
  <c r="CX54" i="32"/>
  <c r="CX38" i="32"/>
  <c r="CX20" i="32"/>
  <c r="CX19" i="32"/>
  <c r="CX37" i="32"/>
  <c r="CX18" i="32"/>
  <c r="CX23" i="32"/>
  <c r="CX21" i="32"/>
  <c r="CX22" i="32"/>
  <c r="CX42" i="32"/>
  <c r="CX50" i="32"/>
  <c r="CX48" i="32"/>
  <c r="CX46" i="32"/>
  <c r="CX44" i="32"/>
  <c r="CX41" i="32"/>
  <c r="CX40" i="32"/>
  <c r="CX39" i="32"/>
  <c r="CX49" i="32"/>
  <c r="CX45" i="32"/>
  <c r="CX47" i="32"/>
  <c r="CX43" i="32"/>
  <c r="CX29" i="32"/>
  <c r="CX26" i="32"/>
  <c r="CX27" i="32"/>
  <c r="CX28" i="32"/>
  <c r="CX32" i="32"/>
  <c r="CX36" i="32"/>
  <c r="CX34" i="32"/>
  <c r="CX35" i="32"/>
  <c r="CX31" i="32"/>
  <c r="CX33" i="32"/>
  <c r="CX30" i="32"/>
  <c r="AW37" i="32"/>
  <c r="AW36" i="32"/>
  <c r="AW38" i="32"/>
  <c r="AW49" i="32"/>
  <c r="AW55" i="32"/>
  <c r="AW39" i="32"/>
  <c r="AW47" i="32"/>
  <c r="AW57" i="32"/>
  <c r="AW51" i="32"/>
  <c r="AW60" i="32"/>
  <c r="AW40" i="32"/>
  <c r="AW42" i="32"/>
  <c r="AW44" i="32"/>
  <c r="AW54" i="32"/>
  <c r="AW56" i="32"/>
  <c r="AW58" i="32"/>
  <c r="AW45" i="32"/>
  <c r="AW53" i="32"/>
  <c r="AW41" i="32"/>
  <c r="AW43" i="32"/>
  <c r="AW59" i="32"/>
  <c r="AW48" i="32"/>
  <c r="AW61" i="32"/>
  <c r="AW46" i="32"/>
  <c r="AW52" i="32"/>
  <c r="AW50" i="32"/>
  <c r="AY38" i="32"/>
  <c r="BO38" i="32" s="1"/>
  <c r="AY37" i="32"/>
  <c r="BO37" i="32" s="1"/>
  <c r="AY36" i="32"/>
  <c r="BO36" i="32" s="1"/>
  <c r="AY51" i="32"/>
  <c r="BO51" i="32" s="1"/>
  <c r="AY59" i="32"/>
  <c r="BO59" i="32" s="1"/>
  <c r="AY55" i="32"/>
  <c r="BO55" i="32" s="1"/>
  <c r="AY61" i="32"/>
  <c r="BO61" i="32" s="1"/>
  <c r="AY40" i="32"/>
  <c r="BO40" i="32" s="1"/>
  <c r="AY42" i="32"/>
  <c r="BO42" i="32" s="1"/>
  <c r="AY44" i="32"/>
  <c r="BO44" i="32" s="1"/>
  <c r="AY54" i="32"/>
  <c r="BO54" i="32" s="1"/>
  <c r="AY57" i="32"/>
  <c r="BO57" i="32" s="1"/>
  <c r="AY45" i="32"/>
  <c r="BO45" i="32" s="1"/>
  <c r="AY52" i="32"/>
  <c r="BO52" i="32" s="1"/>
  <c r="AY41" i="32"/>
  <c r="BO41" i="32" s="1"/>
  <c r="AY43" i="32"/>
  <c r="BO43" i="32" s="1"/>
  <c r="AY48" i="32"/>
  <c r="BO48" i="32" s="1"/>
  <c r="AY60" i="32"/>
  <c r="BO60" i="32" s="1"/>
  <c r="AY46" i="32"/>
  <c r="BO46" i="32" s="1"/>
  <c r="AY50" i="32"/>
  <c r="BO50" i="32" s="1"/>
  <c r="AY58" i="32"/>
  <c r="BO58" i="32" s="1"/>
  <c r="AY49" i="32"/>
  <c r="BO49" i="32" s="1"/>
  <c r="AY39" i="32"/>
  <c r="BO39" i="32" s="1"/>
  <c r="AY47" i="32"/>
  <c r="BO47" i="32" s="1"/>
  <c r="AY53" i="32"/>
  <c r="BO53" i="32" s="1"/>
  <c r="AY56" i="32"/>
  <c r="BO56" i="32" s="1"/>
  <c r="AV36" i="32"/>
  <c r="AV37" i="32"/>
  <c r="AV38" i="32"/>
  <c r="AV51" i="32"/>
  <c r="AV48" i="32"/>
  <c r="AV45" i="32"/>
  <c r="AV60" i="32"/>
  <c r="AV53" i="32"/>
  <c r="AV46" i="32"/>
  <c r="AV41" i="32"/>
  <c r="AV50" i="32"/>
  <c r="AV56" i="32"/>
  <c r="AV43" i="32"/>
  <c r="AV54" i="32"/>
  <c r="AV57" i="32"/>
  <c r="AV59" i="32"/>
  <c r="AV49" i="32"/>
  <c r="AV55" i="32"/>
  <c r="AV39" i="32"/>
  <c r="AV47" i="32"/>
  <c r="AV61" i="32"/>
  <c r="AV40" i="32"/>
  <c r="AV42" i="32"/>
  <c r="AV52" i="32"/>
  <c r="AV44" i="32"/>
  <c r="AV58" i="32"/>
  <c r="AZ36" i="32"/>
  <c r="AZ38" i="32"/>
  <c r="AZ37" i="32"/>
  <c r="AZ59" i="32"/>
  <c r="AZ61" i="32"/>
  <c r="AZ52" i="32"/>
  <c r="AZ49" i="32"/>
  <c r="AZ55" i="32"/>
  <c r="AZ39" i="32"/>
  <c r="AZ47" i="32"/>
  <c r="AZ40" i="32"/>
  <c r="AZ42" i="32"/>
  <c r="AZ44" i="32"/>
  <c r="AZ57" i="32"/>
  <c r="AZ51" i="32"/>
  <c r="AZ60" i="32"/>
  <c r="AZ56" i="32"/>
  <c r="AZ58" i="32"/>
  <c r="AZ48" i="32"/>
  <c r="AZ45" i="32"/>
  <c r="AZ53" i="32"/>
  <c r="AZ46" i="32"/>
  <c r="AZ41" i="32"/>
  <c r="AZ54" i="32"/>
  <c r="AZ50" i="32"/>
  <c r="AZ43" i="32"/>
  <c r="AU37" i="32"/>
  <c r="AU36" i="32"/>
  <c r="AU38" i="32"/>
  <c r="AU48" i="32"/>
  <c r="AU49" i="32"/>
  <c r="AU39" i="32"/>
  <c r="AU47" i="32"/>
  <c r="AU60" i="32"/>
  <c r="AU46" i="32"/>
  <c r="AU50" i="32"/>
  <c r="AU56" i="32"/>
  <c r="AU54" i="32"/>
  <c r="AU58" i="32"/>
  <c r="AU51" i="32"/>
  <c r="AU59" i="32"/>
  <c r="AU45" i="32"/>
  <c r="AU61" i="32"/>
  <c r="AU53" i="32"/>
  <c r="AU40" i="32"/>
  <c r="AU42" i="32"/>
  <c r="AU52" i="32"/>
  <c r="AU44" i="32"/>
  <c r="AU41" i="32"/>
  <c r="AU43" i="32"/>
  <c r="AU55" i="32"/>
  <c r="AU57" i="32"/>
  <c r="CA18" i="32"/>
  <c r="BM23" i="32"/>
  <c r="BQ31" i="32"/>
  <c r="BQ33" i="32"/>
  <c r="BQ32" i="32"/>
  <c r="BQ29" i="32"/>
  <c r="BP30" i="32"/>
  <c r="BP27" i="32"/>
  <c r="BP23" i="32"/>
  <c r="BP21" i="32"/>
  <c r="BN30" i="32"/>
  <c r="BO32" i="32"/>
  <c r="BP25" i="32"/>
  <c r="BP20" i="32"/>
  <c r="BN29" i="32"/>
  <c r="BO33" i="32"/>
  <c r="BO31" i="32"/>
  <c r="BP29" i="32"/>
  <c r="BP26" i="32"/>
  <c r="BP24" i="32"/>
  <c r="BN28" i="32"/>
  <c r="BO35" i="32"/>
  <c r="BO34" i="32"/>
  <c r="BP28" i="32"/>
  <c r="BP19" i="32"/>
  <c r="BP22" i="32"/>
  <c r="BN27" i="32"/>
  <c r="BN23" i="32"/>
  <c r="BN21" i="32"/>
  <c r="DA49" i="24"/>
  <c r="CZ49" i="24"/>
  <c r="BJ29" i="32"/>
  <c r="BL28" i="32"/>
  <c r="BR25" i="32"/>
  <c r="BR20" i="32"/>
  <c r="BR24" i="32"/>
  <c r="BR19" i="32"/>
  <c r="BR22" i="32"/>
  <c r="BR23" i="32"/>
  <c r="BR28" i="32"/>
  <c r="BR27" i="32"/>
  <c r="BN22" i="32"/>
  <c r="BR29" i="32"/>
  <c r="BN26" i="32"/>
  <c r="BR26" i="32"/>
  <c r="BR30" i="32"/>
  <c r="BR21" i="32"/>
  <c r="BN25" i="32"/>
  <c r="BN20" i="32"/>
  <c r="BN24" i="32"/>
  <c r="BN19" i="32"/>
  <c r="AX34" i="32"/>
  <c r="AX32" i="32"/>
  <c r="AX33" i="32"/>
  <c r="AX31" i="32"/>
  <c r="BA34" i="32"/>
  <c r="BA32" i="32"/>
  <c r="BA33" i="32"/>
  <c r="BA31" i="32"/>
  <c r="AX35" i="32"/>
  <c r="BA35" i="32"/>
  <c r="BG259" i="31"/>
  <c r="BG253" i="31"/>
  <c r="BG254" i="31"/>
  <c r="Q261" i="31"/>
  <c r="I261" i="31"/>
  <c r="CX49" i="24"/>
  <c r="CT50" i="24"/>
  <c r="CY50" i="24" s="1"/>
  <c r="CY49" i="24"/>
  <c r="DB49" i="24"/>
  <c r="DC594" i="15"/>
  <c r="DE593" i="15"/>
  <c r="BQ598" i="15"/>
  <c r="CX49" i="18"/>
  <c r="CY49" i="18"/>
  <c r="CZ49" i="18"/>
  <c r="DA49" i="18"/>
  <c r="DC49" i="18"/>
  <c r="CT50" i="18"/>
  <c r="CZ50" i="18" s="1"/>
  <c r="J37" i="15"/>
  <c r="AH588" i="15" s="1"/>
  <c r="LO55" i="24"/>
  <c r="LS54" i="24"/>
  <c r="FS54" i="24"/>
  <c r="EL63" i="24"/>
  <c r="Q99" i="16"/>
  <c r="A136" i="1"/>
  <c r="A130" i="1"/>
  <c r="A131" i="1" s="1"/>
  <c r="A132" i="1" s="1"/>
  <c r="A133" i="1" s="1"/>
  <c r="A134" i="1" s="1"/>
  <c r="A135" i="1" s="1"/>
  <c r="I117" i="16"/>
  <c r="H98" i="1"/>
  <c r="FS54" i="18"/>
  <c r="AU34" i="15"/>
  <c r="I129" i="16"/>
  <c r="I123" i="16"/>
  <c r="F98" i="16"/>
  <c r="R129" i="1"/>
  <c r="R123" i="1"/>
  <c r="R124" i="1" s="1"/>
  <c r="R125" i="1" s="1"/>
  <c r="R126" i="1" s="1"/>
  <c r="R127" i="1" s="1"/>
  <c r="R128" i="1" s="1"/>
  <c r="G104" i="16"/>
  <c r="H110" i="1"/>
  <c r="A129" i="16"/>
  <c r="A123" i="16"/>
  <c r="A124" i="16" s="1"/>
  <c r="A125" i="16" s="1"/>
  <c r="A126" i="16" s="1"/>
  <c r="A127" i="16" s="1"/>
  <c r="A128" i="16" s="1"/>
  <c r="J93" i="1"/>
  <c r="H86" i="1"/>
  <c r="H99" i="16"/>
  <c r="DC49" i="10"/>
  <c r="CY49" i="10"/>
  <c r="CX49" i="10"/>
  <c r="DB49" i="10"/>
  <c r="DA49" i="10"/>
  <c r="CZ49" i="10"/>
  <c r="CT50" i="10"/>
  <c r="CU50" i="10" s="1"/>
  <c r="U123" i="16"/>
  <c r="U124" i="16" s="1"/>
  <c r="U125" i="16" s="1"/>
  <c r="U126" i="16" s="1"/>
  <c r="U127" i="16" s="1"/>
  <c r="U128" i="16" s="1"/>
  <c r="U129" i="16"/>
  <c r="Q106" i="1"/>
  <c r="O129" i="1"/>
  <c r="O123" i="1"/>
  <c r="O124" i="1" s="1"/>
  <c r="O125" i="1" s="1"/>
  <c r="O126" i="1" s="1"/>
  <c r="O127" i="1" s="1"/>
  <c r="O128" i="1" s="1"/>
  <c r="K105" i="1"/>
  <c r="H111" i="16"/>
  <c r="J117" i="1"/>
  <c r="V122" i="16"/>
  <c r="V116" i="16"/>
  <c r="V117" i="16" s="1"/>
  <c r="V118" i="16" s="1"/>
  <c r="V119" i="16" s="1"/>
  <c r="V120" i="16" s="1"/>
  <c r="V121" i="16" s="1"/>
  <c r="K116" i="16"/>
  <c r="K122" i="16"/>
  <c r="F111" i="1"/>
  <c r="G92" i="16"/>
  <c r="Q136" i="1"/>
  <c r="Q130" i="1"/>
  <c r="BH34" i="15"/>
  <c r="L34" i="15"/>
  <c r="Q33" i="15"/>
  <c r="I106" i="1"/>
  <c r="Q111" i="16"/>
  <c r="J105" i="1"/>
  <c r="N129" i="1"/>
  <c r="N123" i="1"/>
  <c r="N124" i="1" s="1"/>
  <c r="N125" i="1" s="1"/>
  <c r="N126" i="1" s="1"/>
  <c r="N127" i="1" s="1"/>
  <c r="N128" i="1" s="1"/>
  <c r="I136" i="1"/>
  <c r="I130" i="1"/>
  <c r="O122" i="16"/>
  <c r="O116" i="16"/>
  <c r="O117" i="16" s="1"/>
  <c r="O118" i="16" s="1"/>
  <c r="O119" i="16" s="1"/>
  <c r="O120" i="16" s="1"/>
  <c r="O121" i="16" s="1"/>
  <c r="F92" i="16"/>
  <c r="Q93" i="16"/>
  <c r="T129" i="16"/>
  <c r="T123" i="16"/>
  <c r="T124" i="16" s="1"/>
  <c r="T125" i="16" s="1"/>
  <c r="T126" i="16" s="1"/>
  <c r="T127" i="16" s="1"/>
  <c r="T128" i="16" s="1"/>
  <c r="G98" i="16"/>
  <c r="F104" i="16"/>
  <c r="J122" i="16"/>
  <c r="J116" i="16"/>
  <c r="K93" i="1"/>
  <c r="BB177" i="15"/>
  <c r="Q105" i="16"/>
  <c r="N122" i="16"/>
  <c r="N116" i="16"/>
  <c r="N117" i="16" s="1"/>
  <c r="N118" i="16" s="1"/>
  <c r="N119" i="16" s="1"/>
  <c r="N120" i="16" s="1"/>
  <c r="N121" i="16" s="1"/>
  <c r="AG33" i="17"/>
  <c r="S129" i="1"/>
  <c r="S123" i="1"/>
  <c r="S124" i="1" s="1"/>
  <c r="S125" i="1" s="1"/>
  <c r="S126" i="1" s="1"/>
  <c r="S127" i="1" s="1"/>
  <c r="S128" i="1" s="1"/>
  <c r="L34" i="17"/>
  <c r="Q33" i="17"/>
  <c r="EL63" i="18"/>
  <c r="H129" i="16"/>
  <c r="H123" i="16"/>
  <c r="H122" i="1"/>
  <c r="H116" i="1"/>
  <c r="F105" i="1"/>
  <c r="BH33" i="17"/>
  <c r="X122" i="1"/>
  <c r="X116" i="1"/>
  <c r="X117" i="1" s="1"/>
  <c r="X118" i="1" s="1"/>
  <c r="X119" i="1" s="1"/>
  <c r="X120" i="1" s="1"/>
  <c r="X121" i="1" s="1"/>
  <c r="FR53" i="10"/>
  <c r="S116" i="16"/>
  <c r="S117" i="16" s="1"/>
  <c r="S118" i="16" s="1"/>
  <c r="S119" i="16" s="1"/>
  <c r="S120" i="16" s="1"/>
  <c r="S121" i="16" s="1"/>
  <c r="S122" i="16"/>
  <c r="G111" i="1"/>
  <c r="AG33" i="15"/>
  <c r="K117" i="1"/>
  <c r="J129" i="1"/>
  <c r="J123" i="1"/>
  <c r="G86" i="16"/>
  <c r="B122" i="16"/>
  <c r="B116" i="16"/>
  <c r="B117" i="16" s="1"/>
  <c r="B118" i="16" s="1"/>
  <c r="B119" i="16" s="1"/>
  <c r="B120" i="16" s="1"/>
  <c r="B121" i="16" s="1"/>
  <c r="AU42" i="17"/>
  <c r="C129" i="1"/>
  <c r="C123" i="1"/>
  <c r="C124" i="1" s="1"/>
  <c r="C125" i="1" s="1"/>
  <c r="C126" i="1" s="1"/>
  <c r="C127" i="1" s="1"/>
  <c r="C128" i="1" s="1"/>
  <c r="M136" i="1"/>
  <c r="M130" i="1"/>
  <c r="M131" i="1" s="1"/>
  <c r="M132" i="1" s="1"/>
  <c r="M133" i="1" s="1"/>
  <c r="M134" i="1" s="1"/>
  <c r="M135" i="1" s="1"/>
  <c r="I100" i="1"/>
  <c r="F117" i="1"/>
  <c r="G105" i="1"/>
  <c r="I93" i="16"/>
  <c r="I99" i="16"/>
  <c r="K99" i="1"/>
  <c r="J98" i="16"/>
  <c r="R122" i="16"/>
  <c r="R116" i="16"/>
  <c r="R117" i="16" s="1"/>
  <c r="R118" i="16" s="1"/>
  <c r="R119" i="16" s="1"/>
  <c r="R120" i="16" s="1"/>
  <c r="R121" i="16" s="1"/>
  <c r="H92" i="1"/>
  <c r="G117" i="1"/>
  <c r="H117" i="16"/>
  <c r="K86" i="16"/>
  <c r="BB177" i="17"/>
  <c r="K92" i="16"/>
  <c r="EL66" i="10"/>
  <c r="I112" i="1"/>
  <c r="E136" i="1"/>
  <c r="E130" i="1"/>
  <c r="E131" i="1" s="1"/>
  <c r="E132" i="1" s="1"/>
  <c r="E133" i="1" s="1"/>
  <c r="E134" i="1" s="1"/>
  <c r="E135" i="1" s="1"/>
  <c r="J92" i="16"/>
  <c r="G110" i="16"/>
  <c r="K129" i="1"/>
  <c r="K123" i="1"/>
  <c r="Q112" i="1"/>
  <c r="W122" i="16"/>
  <c r="W116" i="16"/>
  <c r="W117" i="16" s="1"/>
  <c r="W118" i="16" s="1"/>
  <c r="W119" i="16" s="1"/>
  <c r="W120" i="16" s="1"/>
  <c r="W121" i="16" s="1"/>
  <c r="I105" i="16"/>
  <c r="J99" i="1"/>
  <c r="F122" i="16"/>
  <c r="F116" i="16"/>
  <c r="M123" i="16"/>
  <c r="M124" i="16" s="1"/>
  <c r="M125" i="16" s="1"/>
  <c r="M126" i="16" s="1"/>
  <c r="M127" i="16" s="1"/>
  <c r="M128" i="16" s="1"/>
  <c r="M129" i="16"/>
  <c r="H105" i="16"/>
  <c r="H93" i="16"/>
  <c r="D122" i="1"/>
  <c r="D116" i="1"/>
  <c r="D117" i="1" s="1"/>
  <c r="D118" i="1" s="1"/>
  <c r="D119" i="1" s="1"/>
  <c r="D120" i="1" s="1"/>
  <c r="D121" i="1" s="1"/>
  <c r="T122" i="1"/>
  <c r="T116" i="1"/>
  <c r="T117" i="1" s="1"/>
  <c r="T118" i="1" s="1"/>
  <c r="T119" i="1" s="1"/>
  <c r="T120" i="1" s="1"/>
  <c r="T121" i="1" s="1"/>
  <c r="K104" i="16"/>
  <c r="P122" i="1"/>
  <c r="P116" i="1"/>
  <c r="P117" i="1" s="1"/>
  <c r="P118" i="1" s="1"/>
  <c r="P119" i="1" s="1"/>
  <c r="P120" i="1" s="1"/>
  <c r="P121" i="1" s="1"/>
  <c r="F129" i="1"/>
  <c r="F123" i="1"/>
  <c r="F86" i="16"/>
  <c r="F99" i="1"/>
  <c r="E123" i="16"/>
  <c r="E124" i="16" s="1"/>
  <c r="E125" i="16" s="1"/>
  <c r="E126" i="16" s="1"/>
  <c r="E127" i="16" s="1"/>
  <c r="E128" i="16" s="1"/>
  <c r="E129" i="16"/>
  <c r="Q118" i="1"/>
  <c r="I111" i="16"/>
  <c r="Q117" i="16"/>
  <c r="I118" i="1"/>
  <c r="L122" i="1"/>
  <c r="L116" i="1"/>
  <c r="L117" i="1" s="1"/>
  <c r="L118" i="1" s="1"/>
  <c r="L119" i="1" s="1"/>
  <c r="L120" i="1" s="1"/>
  <c r="L121" i="1" s="1"/>
  <c r="J104" i="16"/>
  <c r="G129" i="1"/>
  <c r="G123" i="1"/>
  <c r="G93" i="1"/>
  <c r="J111" i="1"/>
  <c r="C116" i="16"/>
  <c r="C117" i="16" s="1"/>
  <c r="C118" i="16" s="1"/>
  <c r="C119" i="16" s="1"/>
  <c r="C120" i="16" s="1"/>
  <c r="C121" i="16" s="1"/>
  <c r="C122" i="16"/>
  <c r="Q100" i="1"/>
  <c r="L129" i="16"/>
  <c r="L123" i="16"/>
  <c r="L124" i="16" s="1"/>
  <c r="L125" i="16" s="1"/>
  <c r="L126" i="16" s="1"/>
  <c r="L127" i="16" s="1"/>
  <c r="L128" i="16" s="1"/>
  <c r="P129" i="16"/>
  <c r="P123" i="16"/>
  <c r="P124" i="16" s="1"/>
  <c r="P125" i="16" s="1"/>
  <c r="P126" i="16" s="1"/>
  <c r="P127" i="16" s="1"/>
  <c r="P128" i="16" s="1"/>
  <c r="G122" i="16"/>
  <c r="G116" i="16"/>
  <c r="W129" i="1"/>
  <c r="W123" i="1"/>
  <c r="W124" i="1" s="1"/>
  <c r="W125" i="1" s="1"/>
  <c r="W126" i="1" s="1"/>
  <c r="W127" i="1" s="1"/>
  <c r="W128" i="1" s="1"/>
  <c r="J86" i="16"/>
  <c r="K98" i="16"/>
  <c r="D129" i="16"/>
  <c r="D123" i="16"/>
  <c r="D124" i="16" s="1"/>
  <c r="D125" i="16" s="1"/>
  <c r="D126" i="16" s="1"/>
  <c r="D127" i="16" s="1"/>
  <c r="D128" i="16" s="1"/>
  <c r="U136" i="1"/>
  <c r="U130" i="1"/>
  <c r="U131" i="1" s="1"/>
  <c r="U132" i="1" s="1"/>
  <c r="U133" i="1" s="1"/>
  <c r="U134" i="1" s="1"/>
  <c r="U135" i="1" s="1"/>
  <c r="K110" i="16"/>
  <c r="V129" i="1"/>
  <c r="V123" i="1"/>
  <c r="V124" i="1" s="1"/>
  <c r="V125" i="1" s="1"/>
  <c r="V126" i="1" s="1"/>
  <c r="V127" i="1" s="1"/>
  <c r="V128" i="1" s="1"/>
  <c r="Q124" i="1"/>
  <c r="F110" i="16"/>
  <c r="K111" i="1"/>
  <c r="I124" i="1"/>
  <c r="X129" i="16"/>
  <c r="X123" i="16"/>
  <c r="X124" i="16" s="1"/>
  <c r="X125" i="16" s="1"/>
  <c r="X126" i="16" s="1"/>
  <c r="X127" i="16" s="1"/>
  <c r="X128" i="16" s="1"/>
  <c r="B129" i="1"/>
  <c r="B123" i="1"/>
  <c r="B124" i="1" s="1"/>
  <c r="B125" i="1" s="1"/>
  <c r="B126" i="1" s="1"/>
  <c r="B127" i="1" s="1"/>
  <c r="B128" i="1" s="1"/>
  <c r="J110" i="16"/>
  <c r="Q129" i="16"/>
  <c r="Q123" i="16"/>
  <c r="G99" i="1"/>
  <c r="F93" i="1"/>
  <c r="H104" i="1"/>
  <c r="DD54" i="32" a="1"/>
  <c r="DD20" i="32" a="1"/>
  <c r="DD58" i="32" a="1"/>
  <c r="DD23" i="32" a="1"/>
  <c r="DD45" i="32" a="1"/>
  <c r="DD31" i="32" a="1"/>
  <c r="DD44" i="32" a="1"/>
  <c r="DD33" i="32" a="1"/>
  <c r="DD26" i="32" a="1"/>
  <c r="DD29" i="32" a="1"/>
  <c r="DD40" i="32" a="1"/>
  <c r="DD39" i="32" a="1"/>
  <c r="DD50" i="32" a="1"/>
  <c r="DD36" i="32" a="1"/>
  <c r="DD46" i="32" a="1"/>
  <c r="DD41" i="32" a="1"/>
  <c r="DD28" i="32" a="1"/>
  <c r="DD56" i="32" a="1"/>
  <c r="DD37" i="32" a="1"/>
  <c r="DD57" i="32" a="1"/>
  <c r="DD42" i="32" a="1"/>
  <c r="DD43" i="32" a="1"/>
  <c r="DD32" i="32" a="1"/>
  <c r="DD35" i="32" a="1"/>
  <c r="DD22" i="32" a="1"/>
  <c r="DD38" i="32" a="1"/>
  <c r="DD48" i="32" a="1"/>
  <c r="DD49" i="32" a="1"/>
  <c r="DD55" i="32" a="1"/>
  <c r="DD53" i="32" a="1"/>
  <c r="DD19" i="32" a="1"/>
  <c r="DD21" i="32" a="1"/>
  <c r="DD47" i="32" a="1"/>
  <c r="DD27" i="32" a="1"/>
  <c r="DD34" i="32" a="1"/>
  <c r="DD30" i="32" a="1"/>
  <c r="DG29" i="32" a="1"/>
  <c r="DH29" i="32" a="1"/>
  <c r="DJ29" i="32" a="1"/>
  <c r="DD58" i="32" l="1"/>
  <c r="DD57" i="32"/>
  <c r="DD56" i="32"/>
  <c r="DD55" i="32"/>
  <c r="DD54" i="32"/>
  <c r="DD53" i="32"/>
  <c r="DD47" i="32"/>
  <c r="DD50" i="32"/>
  <c r="DD49" i="32"/>
  <c r="DD48" i="32"/>
  <c r="DD46" i="32"/>
  <c r="DD45" i="32"/>
  <c r="DD44" i="32"/>
  <c r="DD43" i="32"/>
  <c r="DD42" i="32"/>
  <c r="DD41" i="32"/>
  <c r="DD38" i="32"/>
  <c r="DD37" i="32"/>
  <c r="DD22" i="32"/>
  <c r="DD23" i="32"/>
  <c r="DD20" i="32"/>
  <c r="DD21" i="32"/>
  <c r="DD19" i="32"/>
  <c r="DD39" i="32"/>
  <c r="DD40" i="32"/>
  <c r="C21" i="34"/>
  <c r="DD35" i="32"/>
  <c r="DD36" i="32"/>
  <c r="DD34" i="32"/>
  <c r="DD33" i="32"/>
  <c r="DD32" i="32"/>
  <c r="DD28" i="32"/>
  <c r="DD29" i="32"/>
  <c r="DD27" i="32"/>
  <c r="DD26" i="32"/>
  <c r="DH29" i="32"/>
  <c r="DG29" i="32"/>
  <c r="DJ29" i="32"/>
  <c r="DD30" i="32"/>
  <c r="DD31" i="32"/>
  <c r="CA22" i="32"/>
  <c r="CA27" i="32"/>
  <c r="BN35" i="32"/>
  <c r="BP34" i="32"/>
  <c r="BP35" i="32"/>
  <c r="BP32" i="32"/>
  <c r="BN32" i="32"/>
  <c r="BP31" i="32"/>
  <c r="CA21" i="32"/>
  <c r="CA23" i="32"/>
  <c r="BP33" i="32"/>
  <c r="DB50" i="24"/>
  <c r="CA19" i="32"/>
  <c r="CA28" i="32"/>
  <c r="BL29" i="32"/>
  <c r="CA29" i="32" s="1"/>
  <c r="BJ30" i="32"/>
  <c r="CA26" i="32"/>
  <c r="CA24" i="32"/>
  <c r="CA20" i="32"/>
  <c r="CA25" i="32"/>
  <c r="BR32" i="32"/>
  <c r="BR31" i="32"/>
  <c r="BR35" i="32"/>
  <c r="BN34" i="32"/>
  <c r="BR34" i="32"/>
  <c r="BN33" i="32"/>
  <c r="BR33" i="32"/>
  <c r="BN31" i="32"/>
  <c r="CY50" i="18"/>
  <c r="DA50" i="24"/>
  <c r="DC50" i="24"/>
  <c r="CX50" i="24"/>
  <c r="CZ50" i="24"/>
  <c r="CT51" i="24"/>
  <c r="DC51" i="24" s="1"/>
  <c r="DC595" i="15"/>
  <c r="DE594" i="15"/>
  <c r="BQ599" i="15"/>
  <c r="DA50" i="18"/>
  <c r="DC50" i="18"/>
  <c r="DB50" i="18"/>
  <c r="CT51" i="18"/>
  <c r="DC51" i="18" s="1"/>
  <c r="CX50" i="18"/>
  <c r="J38" i="15"/>
  <c r="AH589" i="15" s="1"/>
  <c r="LO56" i="24"/>
  <c r="LS55" i="24"/>
  <c r="EL64" i="24"/>
  <c r="FS55" i="24"/>
  <c r="P136" i="16"/>
  <c r="P130" i="16"/>
  <c r="P131" i="16" s="1"/>
  <c r="P132" i="16" s="1"/>
  <c r="P133" i="16" s="1"/>
  <c r="P134" i="16" s="1"/>
  <c r="P135" i="16" s="1"/>
  <c r="J105" i="16"/>
  <c r="I119" i="1"/>
  <c r="I112" i="16"/>
  <c r="M136" i="16"/>
  <c r="M130" i="16"/>
  <c r="M131" i="16" s="1"/>
  <c r="M132" i="16" s="1"/>
  <c r="M133" i="16" s="1"/>
  <c r="M134" i="16" s="1"/>
  <c r="M135" i="16" s="1"/>
  <c r="F129" i="16"/>
  <c r="F123" i="16"/>
  <c r="I106" i="16"/>
  <c r="Q113" i="1"/>
  <c r="EL67" i="10"/>
  <c r="H117" i="1"/>
  <c r="H136" i="16"/>
  <c r="H130" i="16"/>
  <c r="EL64" i="18"/>
  <c r="AG34" i="17"/>
  <c r="Q106" i="16"/>
  <c r="I131" i="1"/>
  <c r="N136" i="1"/>
  <c r="N130" i="1"/>
  <c r="N131" i="1" s="1"/>
  <c r="N132" i="1" s="1"/>
  <c r="N133" i="1" s="1"/>
  <c r="N134" i="1" s="1"/>
  <c r="N135" i="1" s="1"/>
  <c r="Q112" i="16"/>
  <c r="G93" i="16"/>
  <c r="K129" i="16"/>
  <c r="K123" i="16"/>
  <c r="CZ50" i="10"/>
  <c r="CY50" i="10"/>
  <c r="DC50" i="10"/>
  <c r="CX50" i="10"/>
  <c r="DB50" i="10"/>
  <c r="DA50" i="10"/>
  <c r="CT51" i="10"/>
  <c r="CU51" i="10" s="1"/>
  <c r="H100" i="16"/>
  <c r="G105" i="16"/>
  <c r="F99" i="16"/>
  <c r="AU35" i="15"/>
  <c r="Q124" i="16"/>
  <c r="X136" i="16"/>
  <c r="X130" i="16"/>
  <c r="X131" i="16" s="1"/>
  <c r="X132" i="16" s="1"/>
  <c r="X133" i="16" s="1"/>
  <c r="X134" i="16" s="1"/>
  <c r="X135" i="16" s="1"/>
  <c r="F111" i="16"/>
  <c r="V136" i="1"/>
  <c r="V130" i="1"/>
  <c r="V131" i="1" s="1"/>
  <c r="V132" i="1" s="1"/>
  <c r="V133" i="1" s="1"/>
  <c r="V134" i="1" s="1"/>
  <c r="V135" i="1" s="1"/>
  <c r="U143" i="1"/>
  <c r="U137" i="1"/>
  <c r="U138" i="1" s="1"/>
  <c r="U139" i="1" s="1"/>
  <c r="U140" i="1" s="1"/>
  <c r="U141" i="1" s="1"/>
  <c r="U142" i="1" s="1"/>
  <c r="G117" i="16"/>
  <c r="J112" i="1"/>
  <c r="G124" i="1"/>
  <c r="P129" i="1"/>
  <c r="P123" i="1"/>
  <c r="P124" i="1" s="1"/>
  <c r="P125" i="1" s="1"/>
  <c r="P126" i="1" s="1"/>
  <c r="P127" i="1" s="1"/>
  <c r="P128" i="1" s="1"/>
  <c r="T129" i="1"/>
  <c r="T123" i="1"/>
  <c r="T124" i="1" s="1"/>
  <c r="T125" i="1" s="1"/>
  <c r="T126" i="1" s="1"/>
  <c r="T127" i="1" s="1"/>
  <c r="T128" i="1" s="1"/>
  <c r="K124" i="1"/>
  <c r="G111" i="16"/>
  <c r="E143" i="1"/>
  <c r="E137" i="1"/>
  <c r="E138" i="1" s="1"/>
  <c r="E139" i="1" s="1"/>
  <c r="E140" i="1" s="1"/>
  <c r="E141" i="1" s="1"/>
  <c r="E142" i="1" s="1"/>
  <c r="BB178" i="17"/>
  <c r="H118" i="16"/>
  <c r="H93" i="1"/>
  <c r="J99" i="16"/>
  <c r="I100" i="16"/>
  <c r="G106" i="1"/>
  <c r="C136" i="1"/>
  <c r="C130" i="1"/>
  <c r="C131" i="1" s="1"/>
  <c r="C132" i="1" s="1"/>
  <c r="C133" i="1" s="1"/>
  <c r="C134" i="1" s="1"/>
  <c r="C135" i="1" s="1"/>
  <c r="K118" i="1"/>
  <c r="FR54" i="10"/>
  <c r="H129" i="1"/>
  <c r="H123" i="1"/>
  <c r="S136" i="1"/>
  <c r="S130" i="1"/>
  <c r="S131" i="1" s="1"/>
  <c r="S132" i="1" s="1"/>
  <c r="S133" i="1" s="1"/>
  <c r="S134" i="1" s="1"/>
  <c r="S135" i="1" s="1"/>
  <c r="F105" i="16"/>
  <c r="T130" i="16"/>
  <c r="T131" i="16" s="1"/>
  <c r="T132" i="16" s="1"/>
  <c r="T133" i="16" s="1"/>
  <c r="T134" i="16" s="1"/>
  <c r="T135" i="16" s="1"/>
  <c r="T136" i="16"/>
  <c r="F93" i="16"/>
  <c r="I143" i="1"/>
  <c r="I137" i="1"/>
  <c r="L35" i="15"/>
  <c r="Q34" i="15"/>
  <c r="Q131" i="1"/>
  <c r="K117" i="16"/>
  <c r="J118" i="1"/>
  <c r="K106" i="1"/>
  <c r="Q107" i="1"/>
  <c r="I118" i="16"/>
  <c r="Q100" i="16"/>
  <c r="J111" i="16"/>
  <c r="Q136" i="16"/>
  <c r="Q130" i="16"/>
  <c r="Q125" i="1"/>
  <c r="G129" i="16"/>
  <c r="G123" i="16"/>
  <c r="L130" i="16"/>
  <c r="L131" i="16" s="1"/>
  <c r="L132" i="16" s="1"/>
  <c r="L133" i="16" s="1"/>
  <c r="L134" i="16" s="1"/>
  <c r="L135" i="16" s="1"/>
  <c r="L136" i="16"/>
  <c r="C129" i="16"/>
  <c r="C123" i="16"/>
  <c r="C124" i="16" s="1"/>
  <c r="C125" i="16" s="1"/>
  <c r="C126" i="16" s="1"/>
  <c r="C127" i="16" s="1"/>
  <c r="C128" i="16" s="1"/>
  <c r="G136" i="1"/>
  <c r="G130" i="1"/>
  <c r="L129" i="1"/>
  <c r="L123" i="1"/>
  <c r="L124" i="1" s="1"/>
  <c r="L125" i="1" s="1"/>
  <c r="L126" i="1" s="1"/>
  <c r="L127" i="1" s="1"/>
  <c r="L128" i="1" s="1"/>
  <c r="Q118" i="16"/>
  <c r="Q119" i="1"/>
  <c r="F100" i="1"/>
  <c r="F124" i="1"/>
  <c r="J100" i="1"/>
  <c r="W129" i="16"/>
  <c r="W123" i="16"/>
  <c r="W124" i="16" s="1"/>
  <c r="W125" i="16" s="1"/>
  <c r="W126" i="16" s="1"/>
  <c r="W127" i="16" s="1"/>
  <c r="W128" i="16" s="1"/>
  <c r="K136" i="1"/>
  <c r="K130" i="1"/>
  <c r="M143" i="1"/>
  <c r="M137" i="1"/>
  <c r="M138" i="1" s="1"/>
  <c r="M139" i="1" s="1"/>
  <c r="M140" i="1" s="1"/>
  <c r="M141" i="1" s="1"/>
  <c r="M142" i="1" s="1"/>
  <c r="B123" i="16"/>
  <c r="B124" i="16" s="1"/>
  <c r="B125" i="16" s="1"/>
  <c r="B126" i="16" s="1"/>
  <c r="B127" i="16" s="1"/>
  <c r="B128" i="16" s="1"/>
  <c r="B129" i="16"/>
  <c r="J124" i="1"/>
  <c r="G112" i="1"/>
  <c r="X129" i="1"/>
  <c r="X123" i="1"/>
  <c r="X124" i="1" s="1"/>
  <c r="X125" i="1" s="1"/>
  <c r="X126" i="1" s="1"/>
  <c r="X127" i="1" s="1"/>
  <c r="X128" i="1" s="1"/>
  <c r="F106" i="1"/>
  <c r="Q34" i="17"/>
  <c r="L35" i="17"/>
  <c r="N129" i="16"/>
  <c r="N123" i="16"/>
  <c r="N124" i="16" s="1"/>
  <c r="N125" i="16" s="1"/>
  <c r="N126" i="16" s="1"/>
  <c r="N127" i="16" s="1"/>
  <c r="N128" i="16" s="1"/>
  <c r="BB178" i="15"/>
  <c r="J117" i="16"/>
  <c r="J106" i="1"/>
  <c r="I107" i="1"/>
  <c r="Q143" i="1"/>
  <c r="Q137" i="1"/>
  <c r="F112" i="1"/>
  <c r="U136" i="16"/>
  <c r="U130" i="16"/>
  <c r="U131" i="16" s="1"/>
  <c r="U132" i="16" s="1"/>
  <c r="U133" i="16" s="1"/>
  <c r="U134" i="16" s="1"/>
  <c r="U135" i="16" s="1"/>
  <c r="A136" i="16"/>
  <c r="A130" i="16"/>
  <c r="A131" i="16" s="1"/>
  <c r="A132" i="16" s="1"/>
  <c r="A133" i="16" s="1"/>
  <c r="A134" i="16" s="1"/>
  <c r="A135" i="16" s="1"/>
  <c r="H111" i="1"/>
  <c r="R136" i="1"/>
  <c r="R130" i="1"/>
  <c r="R131" i="1" s="1"/>
  <c r="R132" i="1" s="1"/>
  <c r="R133" i="1" s="1"/>
  <c r="R134" i="1" s="1"/>
  <c r="R135" i="1" s="1"/>
  <c r="I124" i="16"/>
  <c r="FS55" i="18"/>
  <c r="H105" i="1"/>
  <c r="G100" i="1"/>
  <c r="B136" i="1"/>
  <c r="B130" i="1"/>
  <c r="B131" i="1" s="1"/>
  <c r="B132" i="1" s="1"/>
  <c r="B133" i="1" s="1"/>
  <c r="B134" i="1" s="1"/>
  <c r="B135" i="1" s="1"/>
  <c r="I125" i="1"/>
  <c r="K112" i="1"/>
  <c r="K111" i="16"/>
  <c r="D130" i="16"/>
  <c r="D131" i="16" s="1"/>
  <c r="D132" i="16" s="1"/>
  <c r="D133" i="16" s="1"/>
  <c r="D134" i="16" s="1"/>
  <c r="D135" i="16" s="1"/>
  <c r="D136" i="16"/>
  <c r="K99" i="16"/>
  <c r="W136" i="1"/>
  <c r="W130" i="1"/>
  <c r="W131" i="1" s="1"/>
  <c r="W132" i="1" s="1"/>
  <c r="W133" i="1" s="1"/>
  <c r="W134" i="1" s="1"/>
  <c r="W135" i="1" s="1"/>
  <c r="E136" i="16"/>
  <c r="E130" i="16"/>
  <c r="E131" i="16" s="1"/>
  <c r="E132" i="16" s="1"/>
  <c r="E133" i="16" s="1"/>
  <c r="E134" i="16" s="1"/>
  <c r="E135" i="16" s="1"/>
  <c r="F136" i="1"/>
  <c r="F130" i="1"/>
  <c r="K105" i="16"/>
  <c r="D129" i="1"/>
  <c r="D123" i="1"/>
  <c r="D124" i="1" s="1"/>
  <c r="D125" i="1" s="1"/>
  <c r="D126" i="1" s="1"/>
  <c r="D127" i="1" s="1"/>
  <c r="D128" i="1" s="1"/>
  <c r="H106" i="16"/>
  <c r="F117" i="16"/>
  <c r="J93" i="16"/>
  <c r="I113" i="1"/>
  <c r="K93" i="16"/>
  <c r="G118" i="1"/>
  <c r="R123" i="16"/>
  <c r="R124" i="16" s="1"/>
  <c r="R125" i="16" s="1"/>
  <c r="R126" i="16" s="1"/>
  <c r="R127" i="16" s="1"/>
  <c r="R128" i="16" s="1"/>
  <c r="R129" i="16"/>
  <c r="K100" i="1"/>
  <c r="F118" i="1"/>
  <c r="AU43" i="17"/>
  <c r="J136" i="1"/>
  <c r="J130" i="1"/>
  <c r="AG34" i="15"/>
  <c r="S129" i="16"/>
  <c r="S123" i="16"/>
  <c r="S124" i="16" s="1"/>
  <c r="S125" i="16" s="1"/>
  <c r="S126" i="16" s="1"/>
  <c r="S127" i="16" s="1"/>
  <c r="S128" i="16" s="1"/>
  <c r="BH34" i="17"/>
  <c r="H124" i="16"/>
  <c r="J123" i="16"/>
  <c r="J129" i="16"/>
  <c r="G99" i="16"/>
  <c r="O129" i="16"/>
  <c r="O123" i="16"/>
  <c r="O124" i="16" s="1"/>
  <c r="O125" i="16" s="1"/>
  <c r="O126" i="16" s="1"/>
  <c r="O127" i="16" s="1"/>
  <c r="O128" i="16" s="1"/>
  <c r="BH35" i="15"/>
  <c r="V129" i="16"/>
  <c r="V123" i="16"/>
  <c r="V124" i="16" s="1"/>
  <c r="V125" i="16" s="1"/>
  <c r="V126" i="16" s="1"/>
  <c r="V127" i="16" s="1"/>
  <c r="V128" i="16" s="1"/>
  <c r="H112" i="16"/>
  <c r="O136" i="1"/>
  <c r="O130" i="1"/>
  <c r="O131" i="1" s="1"/>
  <c r="O132" i="1" s="1"/>
  <c r="O133" i="1" s="1"/>
  <c r="O134" i="1" s="1"/>
  <c r="O135" i="1" s="1"/>
  <c r="I136" i="16"/>
  <c r="I130" i="16"/>
  <c r="H99" i="1"/>
  <c r="A143" i="1"/>
  <c r="A137" i="1"/>
  <c r="A138" i="1" s="1"/>
  <c r="A139" i="1" s="1"/>
  <c r="A140" i="1" s="1"/>
  <c r="A141" i="1" s="1"/>
  <c r="A142" i="1" s="1"/>
  <c r="CT52" i="24" l="1"/>
  <c r="CY52" i="24" s="1"/>
  <c r="C28" i="34"/>
  <c r="C23" i="34"/>
  <c r="C32" i="34"/>
  <c r="C27" i="34"/>
  <c r="C26" i="34"/>
  <c r="C30" i="34"/>
  <c r="C31" i="34"/>
  <c r="C29" i="34"/>
  <c r="C22" i="34"/>
  <c r="C24" i="34"/>
  <c r="C25" i="34"/>
  <c r="DM29" i="32"/>
  <c r="DP29" i="32" s="1"/>
  <c r="CY51" i="24"/>
  <c r="DB51" i="24"/>
  <c r="DA51" i="24"/>
  <c r="CX51" i="24"/>
  <c r="CZ51" i="24"/>
  <c r="CZ51" i="18"/>
  <c r="BJ31" i="32"/>
  <c r="BL30" i="32"/>
  <c r="CA30" i="32" s="1"/>
  <c r="CX51" i="18"/>
  <c r="CY51" i="18"/>
  <c r="CT52" i="18"/>
  <c r="CX52" i="18" s="1"/>
  <c r="DB51" i="18"/>
  <c r="DC596" i="15"/>
  <c r="DE595" i="15"/>
  <c r="BQ600" i="15"/>
  <c r="DA51" i="18"/>
  <c r="J39" i="15"/>
  <c r="AH590" i="15" s="1"/>
  <c r="LO57" i="24"/>
  <c r="LS56" i="24"/>
  <c r="FS56" i="24"/>
  <c r="EL65" i="24"/>
  <c r="DA52" i="24"/>
  <c r="CZ52" i="24"/>
  <c r="DC52" i="24"/>
  <c r="DB52" i="24"/>
  <c r="CX52" i="24"/>
  <c r="CT53" i="24"/>
  <c r="A150" i="1"/>
  <c r="A144" i="1"/>
  <c r="A145" i="1" s="1"/>
  <c r="A146" i="1" s="1"/>
  <c r="A147" i="1" s="1"/>
  <c r="A148" i="1" s="1"/>
  <c r="A149" i="1" s="1"/>
  <c r="I125" i="16"/>
  <c r="H112" i="1"/>
  <c r="U143" i="16"/>
  <c r="U137" i="16"/>
  <c r="U138" i="16" s="1"/>
  <c r="U139" i="16" s="1"/>
  <c r="U140" i="16" s="1"/>
  <c r="U141" i="16" s="1"/>
  <c r="U142" i="16" s="1"/>
  <c r="Q138" i="1"/>
  <c r="L36" i="17"/>
  <c r="Q35" i="17"/>
  <c r="F107" i="1"/>
  <c r="G113" i="1"/>
  <c r="B136" i="16"/>
  <c r="B130" i="16"/>
  <c r="B131" i="16" s="1"/>
  <c r="B132" i="16" s="1"/>
  <c r="B133" i="16" s="1"/>
  <c r="B134" i="16" s="1"/>
  <c r="B135" i="16" s="1"/>
  <c r="W130" i="16"/>
  <c r="W131" i="16" s="1"/>
  <c r="W132" i="16" s="1"/>
  <c r="W133" i="16" s="1"/>
  <c r="W134" i="16" s="1"/>
  <c r="W135" i="16" s="1"/>
  <c r="W136" i="16"/>
  <c r="F125" i="1"/>
  <c r="Q120" i="1"/>
  <c r="L136" i="1"/>
  <c r="L130" i="1"/>
  <c r="L131" i="1" s="1"/>
  <c r="L132" i="1" s="1"/>
  <c r="L133" i="1" s="1"/>
  <c r="L134" i="1" s="1"/>
  <c r="L135" i="1" s="1"/>
  <c r="J112" i="16"/>
  <c r="I119" i="16"/>
  <c r="K107" i="1"/>
  <c r="K118" i="16"/>
  <c r="I150" i="1"/>
  <c r="I144" i="1"/>
  <c r="S143" i="1"/>
  <c r="S137" i="1"/>
  <c r="S138" i="1" s="1"/>
  <c r="S139" i="1" s="1"/>
  <c r="S140" i="1" s="1"/>
  <c r="S141" i="1" s="1"/>
  <c r="S142" i="1" s="1"/>
  <c r="BB179" i="17"/>
  <c r="G112" i="16"/>
  <c r="T136" i="1"/>
  <c r="T130" i="1"/>
  <c r="T131" i="1" s="1"/>
  <c r="T132" i="1" s="1"/>
  <c r="T133" i="1" s="1"/>
  <c r="T134" i="1" s="1"/>
  <c r="T135" i="1" s="1"/>
  <c r="G125" i="1"/>
  <c r="G118" i="16"/>
  <c r="V137" i="1"/>
  <c r="V138" i="1" s="1"/>
  <c r="V139" i="1" s="1"/>
  <c r="V140" i="1" s="1"/>
  <c r="V141" i="1" s="1"/>
  <c r="V142" i="1" s="1"/>
  <c r="V143" i="1"/>
  <c r="AG35" i="17"/>
  <c r="Q114" i="1"/>
  <c r="F124" i="16"/>
  <c r="F119" i="1"/>
  <c r="K106" i="16"/>
  <c r="H113" i="16"/>
  <c r="Q150" i="1"/>
  <c r="Q144" i="1"/>
  <c r="BB179" i="15"/>
  <c r="K131" i="1"/>
  <c r="Q126" i="1"/>
  <c r="L36" i="15"/>
  <c r="Q35" i="15"/>
  <c r="FR55" i="10"/>
  <c r="K119" i="1"/>
  <c r="X143" i="16"/>
  <c r="X137" i="16"/>
  <c r="X138" i="16" s="1"/>
  <c r="X139" i="16" s="1"/>
  <c r="X140" i="16" s="1"/>
  <c r="X141" i="16" s="1"/>
  <c r="X142" i="16" s="1"/>
  <c r="F100" i="16"/>
  <c r="N143" i="1"/>
  <c r="N137" i="1"/>
  <c r="N138" i="1" s="1"/>
  <c r="N139" i="1" s="1"/>
  <c r="N140" i="1" s="1"/>
  <c r="N141" i="1" s="1"/>
  <c r="N142" i="1" s="1"/>
  <c r="Q107" i="16"/>
  <c r="H118" i="1"/>
  <c r="EL68" i="10"/>
  <c r="F136" i="16"/>
  <c r="F130" i="16"/>
  <c r="I113" i="16"/>
  <c r="J106" i="16"/>
  <c r="I131" i="16"/>
  <c r="J124" i="16"/>
  <c r="J143" i="1"/>
  <c r="J137" i="1"/>
  <c r="G100" i="16"/>
  <c r="E143" i="16"/>
  <c r="E137" i="16"/>
  <c r="E138" i="16" s="1"/>
  <c r="E139" i="16" s="1"/>
  <c r="E140" i="16" s="1"/>
  <c r="E141" i="16" s="1"/>
  <c r="E142" i="16" s="1"/>
  <c r="FS56" i="18"/>
  <c r="J107" i="1"/>
  <c r="Q131" i="16"/>
  <c r="H100" i="1"/>
  <c r="H125" i="16"/>
  <c r="S136" i="16"/>
  <c r="S130" i="16"/>
  <c r="S131" i="16" s="1"/>
  <c r="S132" i="16" s="1"/>
  <c r="S133" i="16" s="1"/>
  <c r="S134" i="16" s="1"/>
  <c r="S135" i="16" s="1"/>
  <c r="AU44" i="17"/>
  <c r="G119" i="1"/>
  <c r="I114" i="1"/>
  <c r="F118" i="16"/>
  <c r="D130" i="1"/>
  <c r="D131" i="1" s="1"/>
  <c r="D132" i="1" s="1"/>
  <c r="D133" i="1" s="1"/>
  <c r="D134" i="1" s="1"/>
  <c r="D135" i="1" s="1"/>
  <c r="D136" i="1"/>
  <c r="F131" i="1"/>
  <c r="D143" i="16"/>
  <c r="D137" i="16"/>
  <c r="D138" i="16" s="1"/>
  <c r="D139" i="16" s="1"/>
  <c r="D140" i="16" s="1"/>
  <c r="D141" i="16" s="1"/>
  <c r="D142" i="16" s="1"/>
  <c r="B143" i="1"/>
  <c r="B137" i="1"/>
  <c r="B138" i="1" s="1"/>
  <c r="B139" i="1" s="1"/>
  <c r="B140" i="1" s="1"/>
  <c r="B141" i="1" s="1"/>
  <c r="B142" i="1" s="1"/>
  <c r="H106" i="1"/>
  <c r="R143" i="1"/>
  <c r="R137" i="1"/>
  <c r="R138" i="1" s="1"/>
  <c r="R139" i="1" s="1"/>
  <c r="R140" i="1" s="1"/>
  <c r="R141" i="1" s="1"/>
  <c r="R142" i="1" s="1"/>
  <c r="A137" i="16"/>
  <c r="A138" i="16" s="1"/>
  <c r="A139" i="16" s="1"/>
  <c r="A140" i="16" s="1"/>
  <c r="A141" i="16" s="1"/>
  <c r="A142" i="16" s="1"/>
  <c r="A143" i="16"/>
  <c r="F113" i="1"/>
  <c r="X136" i="1"/>
  <c r="X130" i="1"/>
  <c r="X131" i="1" s="1"/>
  <c r="X132" i="1" s="1"/>
  <c r="X133" i="1" s="1"/>
  <c r="X134" i="1" s="1"/>
  <c r="X135" i="1" s="1"/>
  <c r="J125" i="1"/>
  <c r="K143" i="1"/>
  <c r="K137" i="1"/>
  <c r="Q119" i="16"/>
  <c r="G131" i="1"/>
  <c r="C136" i="16"/>
  <c r="C130" i="16"/>
  <c r="C131" i="16" s="1"/>
  <c r="C132" i="16" s="1"/>
  <c r="C133" i="16" s="1"/>
  <c r="C134" i="16" s="1"/>
  <c r="C135" i="16" s="1"/>
  <c r="G124" i="16"/>
  <c r="Q137" i="16"/>
  <c r="Q143" i="16"/>
  <c r="J119" i="1"/>
  <c r="Q132" i="1"/>
  <c r="F106" i="16"/>
  <c r="H124" i="1"/>
  <c r="G107" i="1"/>
  <c r="J100" i="16"/>
  <c r="H119" i="16"/>
  <c r="E150" i="1"/>
  <c r="E144" i="1"/>
  <c r="E145" i="1" s="1"/>
  <c r="E146" i="1" s="1"/>
  <c r="E147" i="1" s="1"/>
  <c r="E148" i="1" s="1"/>
  <c r="E149" i="1" s="1"/>
  <c r="K125" i="1"/>
  <c r="P136" i="1"/>
  <c r="P130" i="1"/>
  <c r="P131" i="1" s="1"/>
  <c r="P132" i="1" s="1"/>
  <c r="P133" i="1" s="1"/>
  <c r="P134" i="1" s="1"/>
  <c r="P135" i="1" s="1"/>
  <c r="J113" i="1"/>
  <c r="U150" i="1"/>
  <c r="U144" i="1"/>
  <c r="U145" i="1" s="1"/>
  <c r="U146" i="1" s="1"/>
  <c r="U147" i="1" s="1"/>
  <c r="U148" i="1" s="1"/>
  <c r="U149" i="1" s="1"/>
  <c r="F112" i="16"/>
  <c r="AU36" i="15"/>
  <c r="CZ51" i="10"/>
  <c r="CY51" i="10"/>
  <c r="DC51" i="10"/>
  <c r="CX51" i="10"/>
  <c r="DB51" i="10"/>
  <c r="DA51" i="10"/>
  <c r="CT52" i="10"/>
  <c r="CU52" i="10" s="1"/>
  <c r="K124" i="16"/>
  <c r="EL65" i="18"/>
  <c r="H131" i="16"/>
  <c r="I107" i="16"/>
  <c r="AG35" i="15"/>
  <c r="H107" i="16"/>
  <c r="I137" i="16"/>
  <c r="I143" i="16"/>
  <c r="BH36" i="15"/>
  <c r="K100" i="16"/>
  <c r="K112" i="16"/>
  <c r="O143" i="1"/>
  <c r="O137" i="1"/>
  <c r="O138" i="1" s="1"/>
  <c r="O139" i="1" s="1"/>
  <c r="O140" i="1" s="1"/>
  <c r="O141" i="1" s="1"/>
  <c r="O142" i="1" s="1"/>
  <c r="V136" i="16"/>
  <c r="V130" i="16"/>
  <c r="V131" i="16" s="1"/>
  <c r="V132" i="16" s="1"/>
  <c r="V133" i="16" s="1"/>
  <c r="V134" i="16" s="1"/>
  <c r="V135" i="16" s="1"/>
  <c r="O130" i="16"/>
  <c r="O131" i="16" s="1"/>
  <c r="O132" i="16" s="1"/>
  <c r="O133" i="16" s="1"/>
  <c r="O134" i="16" s="1"/>
  <c r="O135" i="16" s="1"/>
  <c r="O136" i="16"/>
  <c r="J136" i="16"/>
  <c r="J130" i="16"/>
  <c r="BH35" i="17"/>
  <c r="J131" i="1"/>
  <c r="R136" i="16"/>
  <c r="R130" i="16"/>
  <c r="R131" i="16" s="1"/>
  <c r="R132" i="16" s="1"/>
  <c r="R133" i="16" s="1"/>
  <c r="R134" i="16" s="1"/>
  <c r="R135" i="16" s="1"/>
  <c r="F143" i="1"/>
  <c r="F137" i="1"/>
  <c r="W143" i="1"/>
  <c r="W137" i="1"/>
  <c r="W138" i="1" s="1"/>
  <c r="W139" i="1" s="1"/>
  <c r="W140" i="1" s="1"/>
  <c r="W141" i="1" s="1"/>
  <c r="W142" i="1" s="1"/>
  <c r="K113" i="1"/>
  <c r="I126" i="1"/>
  <c r="J118" i="16"/>
  <c r="N136" i="16"/>
  <c r="N130" i="16"/>
  <c r="N131" i="16" s="1"/>
  <c r="N132" i="16" s="1"/>
  <c r="N133" i="16" s="1"/>
  <c r="N134" i="16" s="1"/>
  <c r="N135" i="16" s="1"/>
  <c r="M150" i="1"/>
  <c r="M144" i="1"/>
  <c r="M145" i="1" s="1"/>
  <c r="M146" i="1" s="1"/>
  <c r="M147" i="1" s="1"/>
  <c r="M148" i="1" s="1"/>
  <c r="M149" i="1" s="1"/>
  <c r="G143" i="1"/>
  <c r="G137" i="1"/>
  <c r="L143" i="16"/>
  <c r="L137" i="16"/>
  <c r="L138" i="16" s="1"/>
  <c r="L139" i="16" s="1"/>
  <c r="L140" i="16" s="1"/>
  <c r="L141" i="16" s="1"/>
  <c r="L142" i="16" s="1"/>
  <c r="G130" i="16"/>
  <c r="G136" i="16"/>
  <c r="I138" i="1"/>
  <c r="T143" i="16"/>
  <c r="T137" i="16"/>
  <c r="T138" i="16" s="1"/>
  <c r="T139" i="16" s="1"/>
  <c r="T140" i="16" s="1"/>
  <c r="T141" i="16" s="1"/>
  <c r="T142" i="16" s="1"/>
  <c r="H136" i="1"/>
  <c r="H130" i="1"/>
  <c r="C143" i="1"/>
  <c r="C137" i="1"/>
  <c r="C138" i="1" s="1"/>
  <c r="C139" i="1" s="1"/>
  <c r="C140" i="1" s="1"/>
  <c r="C141" i="1" s="1"/>
  <c r="C142" i="1" s="1"/>
  <c r="Q125" i="16"/>
  <c r="G106" i="16"/>
  <c r="K136" i="16"/>
  <c r="K130" i="16"/>
  <c r="Q113" i="16"/>
  <c r="I132" i="1"/>
  <c r="H143" i="16"/>
  <c r="H137" i="16"/>
  <c r="M143" i="16"/>
  <c r="M137" i="16"/>
  <c r="M138" i="16" s="1"/>
  <c r="M139" i="16" s="1"/>
  <c r="M140" i="16" s="1"/>
  <c r="M141" i="16" s="1"/>
  <c r="M142" i="16" s="1"/>
  <c r="I120" i="1"/>
  <c r="P143" i="16"/>
  <c r="P137" i="16"/>
  <c r="P138" i="16" s="1"/>
  <c r="P139" i="16" s="1"/>
  <c r="P140" i="16" s="1"/>
  <c r="P141" i="16" s="1"/>
  <c r="P142" i="16" s="1"/>
  <c r="CY52" i="18" l="1"/>
  <c r="DO29" i="32"/>
  <c r="C33" i="34"/>
  <c r="BJ32" i="32"/>
  <c r="BL31" i="32"/>
  <c r="CA31" i="32" s="1"/>
  <c r="DC52" i="18"/>
  <c r="DB52" i="18"/>
  <c r="CT53" i="18"/>
  <c r="DC53" i="18" s="1"/>
  <c r="DA52" i="18"/>
  <c r="CZ52" i="18"/>
  <c r="DC597" i="15"/>
  <c r="DE596" i="15"/>
  <c r="BQ601" i="15"/>
  <c r="J40" i="15"/>
  <c r="AH591" i="15" s="1"/>
  <c r="LO58" i="24"/>
  <c r="LS57" i="24"/>
  <c r="FS57" i="24"/>
  <c r="DB53" i="24"/>
  <c r="CX53" i="24"/>
  <c r="DA53" i="24"/>
  <c r="CZ53" i="24"/>
  <c r="DC53" i="24"/>
  <c r="CY53" i="24"/>
  <c r="CT54" i="24"/>
  <c r="EL66" i="24"/>
  <c r="H144" i="16"/>
  <c r="H150" i="16"/>
  <c r="R143" i="16"/>
  <c r="R137" i="16"/>
  <c r="R138" i="16" s="1"/>
  <c r="R139" i="16" s="1"/>
  <c r="R140" i="16" s="1"/>
  <c r="R141" i="16" s="1"/>
  <c r="R142" i="16" s="1"/>
  <c r="M150" i="16"/>
  <c r="M144" i="16"/>
  <c r="M145" i="16" s="1"/>
  <c r="M146" i="16" s="1"/>
  <c r="M147" i="16" s="1"/>
  <c r="M148" i="16" s="1"/>
  <c r="M149" i="16" s="1"/>
  <c r="G107" i="16"/>
  <c r="G143" i="16"/>
  <c r="G137" i="16"/>
  <c r="G138" i="1"/>
  <c r="J119" i="16"/>
  <c r="F138" i="1"/>
  <c r="I133" i="1"/>
  <c r="H131" i="1"/>
  <c r="I139" i="1"/>
  <c r="G131" i="16"/>
  <c r="G150" i="1"/>
  <c r="G144" i="1"/>
  <c r="J131" i="16"/>
  <c r="I138" i="16"/>
  <c r="AG36" i="15"/>
  <c r="H132" i="16"/>
  <c r="EL66" i="18"/>
  <c r="Q138" i="16"/>
  <c r="K150" i="1"/>
  <c r="K144" i="1"/>
  <c r="X143" i="1"/>
  <c r="X137" i="1"/>
  <c r="X138" i="1" s="1"/>
  <c r="X139" i="1" s="1"/>
  <c r="X140" i="1" s="1"/>
  <c r="X141" i="1" s="1"/>
  <c r="X142" i="1" s="1"/>
  <c r="H107" i="1"/>
  <c r="D143" i="1"/>
  <c r="D137" i="1"/>
  <c r="D138" i="1" s="1"/>
  <c r="D139" i="1" s="1"/>
  <c r="D140" i="1" s="1"/>
  <c r="D141" i="1" s="1"/>
  <c r="D142" i="1" s="1"/>
  <c r="FS57" i="18"/>
  <c r="J125" i="16"/>
  <c r="J107" i="16"/>
  <c r="F131" i="16"/>
  <c r="BB180" i="15"/>
  <c r="AG36" i="17"/>
  <c r="G119" i="16"/>
  <c r="T143" i="1"/>
  <c r="T137" i="1"/>
  <c r="T138" i="1" s="1"/>
  <c r="T139" i="1" s="1"/>
  <c r="T140" i="1" s="1"/>
  <c r="T141" i="1" s="1"/>
  <c r="T142" i="1" s="1"/>
  <c r="BB180" i="17"/>
  <c r="I145" i="1"/>
  <c r="W143" i="16"/>
  <c r="W137" i="16"/>
  <c r="W138" i="16" s="1"/>
  <c r="W139" i="16" s="1"/>
  <c r="W140" i="16" s="1"/>
  <c r="W141" i="16" s="1"/>
  <c r="W142" i="16" s="1"/>
  <c r="B143" i="16"/>
  <c r="B137" i="16"/>
  <c r="B138" i="16" s="1"/>
  <c r="B139" i="16" s="1"/>
  <c r="B140" i="16" s="1"/>
  <c r="B141" i="16" s="1"/>
  <c r="B142" i="16" s="1"/>
  <c r="Q114" i="16"/>
  <c r="C150" i="1"/>
  <c r="C144" i="1"/>
  <c r="C145" i="1" s="1"/>
  <c r="C146" i="1" s="1"/>
  <c r="C147" i="1" s="1"/>
  <c r="C148" i="1" s="1"/>
  <c r="C149" i="1" s="1"/>
  <c r="P144" i="16"/>
  <c r="P145" i="16" s="1"/>
  <c r="P146" i="16" s="1"/>
  <c r="P147" i="16" s="1"/>
  <c r="P148" i="16" s="1"/>
  <c r="P149" i="16" s="1"/>
  <c r="P150" i="16"/>
  <c r="T150" i="16"/>
  <c r="T144" i="16"/>
  <c r="T145" i="16" s="1"/>
  <c r="T146" i="16" s="1"/>
  <c r="T147" i="16" s="1"/>
  <c r="T148" i="16" s="1"/>
  <c r="T149" i="16" s="1"/>
  <c r="M157" i="1"/>
  <c r="M151" i="1"/>
  <c r="M152" i="1" s="1"/>
  <c r="M153" i="1" s="1"/>
  <c r="M154" i="1" s="1"/>
  <c r="M155" i="1" s="1"/>
  <c r="M156" i="1" s="1"/>
  <c r="K131" i="16"/>
  <c r="F150" i="1"/>
  <c r="F144" i="1"/>
  <c r="J132" i="1"/>
  <c r="I121" i="1"/>
  <c r="H138" i="16"/>
  <c r="K143" i="16"/>
  <c r="K137" i="16"/>
  <c r="Q126" i="16"/>
  <c r="H143" i="1"/>
  <c r="H137" i="1"/>
  <c r="N137" i="16"/>
  <c r="N138" i="16" s="1"/>
  <c r="N139" i="16" s="1"/>
  <c r="N140" i="16" s="1"/>
  <c r="N141" i="16" s="1"/>
  <c r="N142" i="16" s="1"/>
  <c r="N143" i="16"/>
  <c r="I127" i="1"/>
  <c r="W150" i="1"/>
  <c r="W144" i="1"/>
  <c r="W145" i="1" s="1"/>
  <c r="W146" i="1" s="1"/>
  <c r="W147" i="1" s="1"/>
  <c r="W148" i="1" s="1"/>
  <c r="W149" i="1" s="1"/>
  <c r="BH36" i="17"/>
  <c r="J143" i="16"/>
  <c r="J137" i="16"/>
  <c r="V137" i="16"/>
  <c r="V138" i="16" s="1"/>
  <c r="V139" i="16" s="1"/>
  <c r="V140" i="16" s="1"/>
  <c r="V141" i="16" s="1"/>
  <c r="V142" i="16" s="1"/>
  <c r="V143" i="16"/>
  <c r="K113" i="16"/>
  <c r="BH37" i="15"/>
  <c r="F113" i="16"/>
  <c r="J114" i="1"/>
  <c r="K126" i="1"/>
  <c r="H120" i="16"/>
  <c r="F107" i="16"/>
  <c r="J120" i="1"/>
  <c r="C143" i="16"/>
  <c r="C137" i="16"/>
  <c r="C138" i="16" s="1"/>
  <c r="C139" i="16" s="1"/>
  <c r="C140" i="16" s="1"/>
  <c r="C141" i="16" s="1"/>
  <c r="C142" i="16" s="1"/>
  <c r="Q120" i="16"/>
  <c r="D150" i="16"/>
  <c r="D144" i="16"/>
  <c r="D145" i="16" s="1"/>
  <c r="D146" i="16" s="1"/>
  <c r="D147" i="16" s="1"/>
  <c r="D148" i="16" s="1"/>
  <c r="D149" i="16" s="1"/>
  <c r="AU45" i="17"/>
  <c r="H126" i="16"/>
  <c r="Q132" i="16"/>
  <c r="E150" i="16"/>
  <c r="E144" i="16"/>
  <c r="E145" i="16" s="1"/>
  <c r="E146" i="16" s="1"/>
  <c r="E147" i="16" s="1"/>
  <c r="E148" i="16" s="1"/>
  <c r="E149" i="16" s="1"/>
  <c r="J138" i="1"/>
  <c r="F137" i="16"/>
  <c r="F143" i="16"/>
  <c r="H119" i="1"/>
  <c r="N150" i="1"/>
  <c r="N144" i="1"/>
  <c r="N145" i="1" s="1"/>
  <c r="N146" i="1" s="1"/>
  <c r="N147" i="1" s="1"/>
  <c r="N148" i="1" s="1"/>
  <c r="N149" i="1" s="1"/>
  <c r="X144" i="16"/>
  <c r="X145" i="16" s="1"/>
  <c r="X146" i="16" s="1"/>
  <c r="X147" i="16" s="1"/>
  <c r="X148" i="16" s="1"/>
  <c r="X149" i="16" s="1"/>
  <c r="X150" i="16"/>
  <c r="K132" i="1"/>
  <c r="Q145" i="1"/>
  <c r="H114" i="16"/>
  <c r="F120" i="1"/>
  <c r="V150" i="1"/>
  <c r="V144" i="1"/>
  <c r="V145" i="1" s="1"/>
  <c r="V146" i="1" s="1"/>
  <c r="V147" i="1" s="1"/>
  <c r="V148" i="1" s="1"/>
  <c r="V149" i="1" s="1"/>
  <c r="G126" i="1"/>
  <c r="I157" i="1"/>
  <c r="I151" i="1"/>
  <c r="J113" i="16"/>
  <c r="Q121" i="1"/>
  <c r="Q139" i="1"/>
  <c r="H113" i="1"/>
  <c r="O143" i="16"/>
  <c r="O137" i="16"/>
  <c r="O138" i="16" s="1"/>
  <c r="O139" i="16" s="1"/>
  <c r="O140" i="16" s="1"/>
  <c r="O141" i="16" s="1"/>
  <c r="O142" i="16" s="1"/>
  <c r="K125" i="16"/>
  <c r="AU37" i="15"/>
  <c r="Q133" i="1"/>
  <c r="G125" i="16"/>
  <c r="G132" i="1"/>
  <c r="J126" i="1"/>
  <c r="F114" i="1"/>
  <c r="R150" i="1"/>
  <c r="R144" i="1"/>
  <c r="R145" i="1" s="1"/>
  <c r="R146" i="1" s="1"/>
  <c r="R147" i="1" s="1"/>
  <c r="R148" i="1" s="1"/>
  <c r="R149" i="1" s="1"/>
  <c r="J150" i="1"/>
  <c r="J144" i="1"/>
  <c r="I132" i="16"/>
  <c r="I114" i="16"/>
  <c r="FR56" i="10"/>
  <c r="L37" i="15"/>
  <c r="Q36" i="15"/>
  <c r="Q157" i="1"/>
  <c r="Q151" i="1"/>
  <c r="G113" i="16"/>
  <c r="S150" i="1"/>
  <c r="S144" i="1"/>
  <c r="S145" i="1" s="1"/>
  <c r="S146" i="1" s="1"/>
  <c r="S147" i="1" s="1"/>
  <c r="S148" i="1" s="1"/>
  <c r="S149" i="1" s="1"/>
  <c r="G114" i="1"/>
  <c r="L37" i="17"/>
  <c r="Q36" i="17"/>
  <c r="L150" i="16"/>
  <c r="L144" i="16"/>
  <c r="L145" i="16" s="1"/>
  <c r="L146" i="16" s="1"/>
  <c r="L147" i="16" s="1"/>
  <c r="L148" i="16" s="1"/>
  <c r="L149" i="16" s="1"/>
  <c r="K114" i="1"/>
  <c r="O150" i="1"/>
  <c r="O144" i="1"/>
  <c r="O145" i="1" s="1"/>
  <c r="O146" i="1" s="1"/>
  <c r="O147" i="1" s="1"/>
  <c r="O148" i="1" s="1"/>
  <c r="O149" i="1" s="1"/>
  <c r="I150" i="16"/>
  <c r="I144" i="16"/>
  <c r="CZ52" i="10"/>
  <c r="CY52" i="10"/>
  <c r="DC52" i="10"/>
  <c r="CX52" i="10"/>
  <c r="DB52" i="10"/>
  <c r="DA52" i="10"/>
  <c r="CT53" i="10"/>
  <c r="CU53" i="10" s="1"/>
  <c r="U157" i="1"/>
  <c r="U151" i="1"/>
  <c r="U152" i="1" s="1"/>
  <c r="U153" i="1" s="1"/>
  <c r="U154" i="1" s="1"/>
  <c r="U155" i="1" s="1"/>
  <c r="U156" i="1" s="1"/>
  <c r="P143" i="1"/>
  <c r="P137" i="1"/>
  <c r="P138" i="1" s="1"/>
  <c r="P139" i="1" s="1"/>
  <c r="P140" i="1" s="1"/>
  <c r="P141" i="1" s="1"/>
  <c r="P142" i="1" s="1"/>
  <c r="E157" i="1"/>
  <c r="E151" i="1"/>
  <c r="E152" i="1" s="1"/>
  <c r="E153" i="1" s="1"/>
  <c r="E154" i="1" s="1"/>
  <c r="E155" i="1" s="1"/>
  <c r="E156" i="1" s="1"/>
  <c r="H125" i="1"/>
  <c r="Q150" i="16"/>
  <c r="Q144" i="16"/>
  <c r="K138" i="1"/>
  <c r="A150" i="16"/>
  <c r="A144" i="16"/>
  <c r="A145" i="16" s="1"/>
  <c r="A146" i="16" s="1"/>
  <c r="A147" i="16" s="1"/>
  <c r="A148" i="16" s="1"/>
  <c r="A149" i="16" s="1"/>
  <c r="B150" i="1"/>
  <c r="B144" i="1"/>
  <c r="B145" i="1" s="1"/>
  <c r="B146" i="1" s="1"/>
  <c r="B147" i="1" s="1"/>
  <c r="B148" i="1" s="1"/>
  <c r="B149" i="1" s="1"/>
  <c r="F132" i="1"/>
  <c r="F119" i="16"/>
  <c r="G120" i="1"/>
  <c r="S143" i="16"/>
  <c r="S137" i="16"/>
  <c r="S138" i="16" s="1"/>
  <c r="S139" i="16" s="1"/>
  <c r="S140" i="16" s="1"/>
  <c r="S141" i="16" s="1"/>
  <c r="S142" i="16" s="1"/>
  <c r="EL69" i="10"/>
  <c r="K120" i="1"/>
  <c r="Q127" i="1"/>
  <c r="K107" i="16"/>
  <c r="F125" i="16"/>
  <c r="K119" i="16"/>
  <c r="I120" i="16"/>
  <c r="L143" i="1"/>
  <c r="L137" i="1"/>
  <c r="L138" i="1" s="1"/>
  <c r="L139" i="1" s="1"/>
  <c r="L140" i="1" s="1"/>
  <c r="L141" i="1" s="1"/>
  <c r="L142" i="1" s="1"/>
  <c r="F126" i="1"/>
  <c r="U150" i="16"/>
  <c r="U144" i="16"/>
  <c r="U145" i="16" s="1"/>
  <c r="U146" i="16" s="1"/>
  <c r="U147" i="16" s="1"/>
  <c r="U148" i="16" s="1"/>
  <c r="U149" i="16" s="1"/>
  <c r="I126" i="16"/>
  <c r="A157" i="1"/>
  <c r="A151" i="1"/>
  <c r="A152" i="1" s="1"/>
  <c r="A153" i="1" s="1"/>
  <c r="A154" i="1" s="1"/>
  <c r="A155" i="1" s="1"/>
  <c r="A156" i="1" s="1"/>
  <c r="DG37" i="32" a="1"/>
  <c r="DJ37" i="32" a="1"/>
  <c r="DG38" i="32" a="1"/>
  <c r="DH38" i="32" a="1"/>
  <c r="DJ38" i="32" a="1"/>
  <c r="DH37" i="32" a="1"/>
  <c r="DJ55" i="32" a="1"/>
  <c r="DG49" i="32" a="1"/>
  <c r="DG42" i="32" a="1"/>
  <c r="DG35" i="32" a="1"/>
  <c r="DJ57" i="32" a="1"/>
  <c r="DJ49" i="32" a="1"/>
  <c r="DG44" i="32" a="1"/>
  <c r="DG40" i="32" a="1"/>
  <c r="DG32" i="32" a="1"/>
  <c r="DG54" i="32" a="1"/>
  <c r="DH49" i="32" a="1"/>
  <c r="DG41" i="32" a="1"/>
  <c r="DG34" i="32" a="1"/>
  <c r="DH53" i="32" a="1"/>
  <c r="DH46" i="32" a="1"/>
  <c r="DH41" i="32" a="1"/>
  <c r="DH34" i="32" a="1"/>
  <c r="DJ50" i="32" a="1"/>
  <c r="DH32" i="32" a="1"/>
  <c r="DH54" i="32" a="1"/>
  <c r="DG47" i="32" a="1"/>
  <c r="DJ41" i="32" a="1"/>
  <c r="DJ33" i="32" a="1"/>
  <c r="DG58" i="32" a="1"/>
  <c r="DJ48" i="32" a="1"/>
  <c r="DH43" i="32" a="1"/>
  <c r="DJ36" i="32" a="1"/>
  <c r="DJ30" i="32" a="1"/>
  <c r="DH57" i="32" a="1"/>
  <c r="DJ54" i="32" a="1"/>
  <c r="DG45" i="32" a="1"/>
  <c r="DJ39" i="32" a="1"/>
  <c r="DH33" i="32" a="1"/>
  <c r="DH45" i="32" a="1"/>
  <c r="DH56" i="32" a="1"/>
  <c r="DH48" i="32" a="1"/>
  <c r="DJ45" i="32" a="1"/>
  <c r="DG39" i="32" a="1"/>
  <c r="DJ32" i="32" a="1"/>
  <c r="DG53" i="32" a="1"/>
  <c r="DH50" i="32" a="1"/>
  <c r="DH42" i="32" a="1"/>
  <c r="DJ34" i="32" a="1"/>
  <c r="DJ56" i="32" a="1"/>
  <c r="DJ47" i="32" a="1"/>
  <c r="DH44" i="32" a="1"/>
  <c r="DH39" i="32" a="1"/>
  <c r="DG31" i="32" a="1"/>
  <c r="DJ58" i="32" a="1"/>
  <c r="DJ46" i="32" a="1"/>
  <c r="DJ44" i="32" a="1"/>
  <c r="DH36" i="32" a="1"/>
  <c r="DH30" i="32" a="1"/>
  <c r="DH47" i="32" a="1"/>
  <c r="DG30" i="32" a="1"/>
  <c r="DH58" i="32" a="1"/>
  <c r="DJ40" i="32" a="1"/>
  <c r="DG57" i="32" a="1"/>
  <c r="DG50" i="32" a="1"/>
  <c r="DG43" i="32" a="1"/>
  <c r="DJ35" i="32" a="1"/>
  <c r="DH31" i="32" a="1"/>
  <c r="DG56" i="32" a="1"/>
  <c r="DJ53" i="32" a="1"/>
  <c r="DG48" i="32" a="1"/>
  <c r="DH40" i="32" a="1"/>
  <c r="DG33" i="32" a="1"/>
  <c r="DG55" i="32" a="1"/>
  <c r="DG46" i="32" a="1"/>
  <c r="DJ43" i="32" a="1"/>
  <c r="DH35" i="32" a="1"/>
  <c r="DJ31" i="32" a="1"/>
  <c r="DH55" i="32" a="1"/>
  <c r="DJ42" i="32" a="1"/>
  <c r="DG36" i="32" a="1"/>
  <c r="AJ75" i="16"/>
  <c r="AF32" i="1"/>
  <c r="FN164" i="15"/>
  <c r="FM165" i="15"/>
  <c r="AF42" i="16"/>
  <c r="AF37" i="16"/>
  <c r="FC142" i="15"/>
  <c r="GD47" i="24"/>
  <c r="FB160" i="15"/>
  <c r="FC161" i="17"/>
  <c r="FB159" i="17"/>
  <c r="AQ33" i="1"/>
  <c r="FG149" i="15"/>
  <c r="FF149" i="15"/>
  <c r="FA143" i="17"/>
  <c r="AH58" i="1"/>
  <c r="Y21" i="23"/>
  <c r="AI29" i="15"/>
  <c r="AH58" i="16"/>
  <c r="FG164" i="15"/>
  <c r="AQ39" i="16"/>
  <c r="EX151" i="17"/>
  <c r="AH54" i="1"/>
  <c r="AH34" i="16"/>
  <c r="AH25" i="17"/>
  <c r="AF53" i="16"/>
  <c r="AJ53" i="16"/>
  <c r="Z27" i="2"/>
  <c r="DH24" i="32" a="1"/>
  <c r="FE143" i="17"/>
  <c r="FE161" i="15"/>
  <c r="FJ142" i="17"/>
  <c r="FH145" i="15"/>
  <c r="EZ159" i="17"/>
  <c r="FC150" i="17"/>
  <c r="FI148" i="15"/>
  <c r="FI148" i="17"/>
  <c r="AH60" i="1"/>
  <c r="AH66" i="16"/>
  <c r="FK146" i="17"/>
  <c r="FD142" i="17"/>
  <c r="FM142" i="17"/>
  <c r="AF46" i="1"/>
  <c r="EZ138" i="17"/>
  <c r="FE145" i="17"/>
  <c r="AQ50" i="16"/>
  <c r="AB45" i="16"/>
  <c r="FE160" i="15"/>
  <c r="EX154" i="17"/>
  <c r="AH38" i="1"/>
  <c r="FJ147" i="15"/>
  <c r="FN164" i="17"/>
  <c r="FG165" i="15"/>
  <c r="FG155" i="17"/>
  <c r="FE149" i="17"/>
  <c r="AH53" i="16"/>
  <c r="FJ163" i="17"/>
  <c r="AJ43" i="1"/>
  <c r="AJ51" i="1"/>
  <c r="FI146" i="17"/>
  <c r="FD152" i="17"/>
  <c r="EY158" i="15"/>
  <c r="FI165" i="15"/>
  <c r="FE160" i="17"/>
  <c r="GB42" i="10"/>
  <c r="FG150" i="17"/>
  <c r="FF161" i="17"/>
  <c r="AK74" i="1"/>
  <c r="AG43" i="1"/>
  <c r="EX158" i="17"/>
  <c r="AI261" i="31"/>
  <c r="AJ42" i="1"/>
  <c r="FM131" i="15"/>
  <c r="FK149" i="17"/>
  <c r="AH33" i="1"/>
  <c r="AF45" i="1"/>
  <c r="FM145" i="17"/>
  <c r="FC144" i="15"/>
  <c r="FA163" i="15"/>
  <c r="CH592" i="15"/>
  <c r="AF38" i="16"/>
  <c r="FH162" i="17"/>
  <c r="AI44" i="1"/>
  <c r="AI40" i="1"/>
  <c r="AA22" i="23"/>
  <c r="AH67" i="16"/>
  <c r="AJ59" i="1"/>
  <c r="AQ64" i="16"/>
  <c r="GD48" i="24"/>
  <c r="GA42" i="24"/>
  <c r="EZ149" i="17"/>
  <c r="AJ61" i="1"/>
  <c r="FG164" i="17"/>
  <c r="FG159" i="15"/>
  <c r="FL142" i="17"/>
  <c r="FE159" i="17"/>
  <c r="FI151" i="15"/>
  <c r="DG21" i="32" a="1"/>
  <c r="EY158" i="17"/>
  <c r="FF154" i="17"/>
  <c r="FF165" i="15"/>
  <c r="FI144" i="17"/>
  <c r="AK39" i="16"/>
  <c r="FG144" i="17"/>
  <c r="AF39" i="1"/>
  <c r="AJ45" i="16"/>
  <c r="AI74" i="16"/>
  <c r="FF158" i="17"/>
  <c r="AA22" i="2"/>
  <c r="EZ134" i="17"/>
  <c r="AG69" i="16"/>
  <c r="AP20" i="17"/>
  <c r="FB164" i="15"/>
  <c r="FK147" i="15"/>
  <c r="CH593" i="15"/>
  <c r="AH87" i="1"/>
  <c r="AP23" i="15"/>
  <c r="AH43" i="1"/>
  <c r="AJ67" i="16"/>
  <c r="EY148" i="17"/>
  <c r="AF115" i="1"/>
  <c r="FK159" i="17"/>
  <c r="AG54" i="1"/>
  <c r="AQ35" i="16"/>
  <c r="AK70" i="16"/>
  <c r="AJ63" i="16"/>
  <c r="BZ590" i="15"/>
  <c r="AI49" i="1"/>
  <c r="FB146" i="15"/>
  <c r="AI84" i="1"/>
  <c r="AF40" i="1"/>
  <c r="GB43" i="10"/>
  <c r="AF73" i="1"/>
  <c r="AQ56" i="1"/>
  <c r="AI108" i="1"/>
  <c r="AF38" i="1"/>
  <c r="FJ156" i="15"/>
  <c r="AG82" i="16"/>
  <c r="FJ144" i="15"/>
  <c r="FM138" i="15"/>
  <c r="FD162" i="17"/>
  <c r="FI156" i="15"/>
  <c r="FF144" i="17"/>
  <c r="DH21" i="32" a="1"/>
  <c r="FD145" i="17"/>
  <c r="AQ32" i="16"/>
  <c r="AG66" i="1"/>
  <c r="DJ28" i="32" a="1"/>
  <c r="FH153" i="17"/>
  <c r="DJ18" i="32" a="1"/>
  <c r="AH38" i="16"/>
  <c r="FF151" i="15"/>
  <c r="EX154" i="15"/>
  <c r="AF70" i="1"/>
  <c r="AF56" i="1"/>
  <c r="AF101" i="1"/>
  <c r="FA153" i="17"/>
  <c r="AO20" i="17"/>
  <c r="EZ141" i="17"/>
  <c r="FA165" i="15"/>
  <c r="AH88" i="16"/>
  <c r="AH52" i="16"/>
  <c r="DJ20" i="32" a="1"/>
  <c r="AI73" i="1"/>
  <c r="AI31" i="1"/>
  <c r="AI35" i="1"/>
  <c r="AG74" i="1"/>
  <c r="AK35" i="16"/>
  <c r="AJ60" i="16"/>
  <c r="AI32" i="16"/>
  <c r="FJ155" i="15"/>
  <c r="FB157" i="15"/>
  <c r="FG147" i="15"/>
  <c r="FN163" i="17"/>
  <c r="GC51" i="24"/>
  <c r="AQ43" i="1"/>
  <c r="AI43" i="1"/>
  <c r="AA24" i="23"/>
  <c r="FK142" i="17"/>
  <c r="AG37" i="1"/>
  <c r="AJ73" i="16"/>
  <c r="DH26" i="32" a="1"/>
  <c r="AH50" i="16"/>
  <c r="AH39" i="1"/>
  <c r="AK61" i="1"/>
  <c r="AH65" i="16"/>
  <c r="AG34" i="16"/>
  <c r="AG73" i="16"/>
  <c r="AI49" i="16"/>
  <c r="Y21" i="2"/>
  <c r="FA150" i="17"/>
  <c r="FH159" i="17"/>
  <c r="FD161" i="17"/>
  <c r="GD46" i="18"/>
  <c r="EZ144" i="17"/>
  <c r="AB52" i="16"/>
  <c r="AB38" i="1"/>
  <c r="FA164" i="15"/>
  <c r="FH154" i="15"/>
  <c r="GC48" i="24"/>
  <c r="AF53" i="1"/>
  <c r="FE154" i="17"/>
  <c r="AG41" i="16"/>
  <c r="FB157" i="17"/>
  <c r="GC41" i="24"/>
  <c r="FD163" i="17"/>
  <c r="FJ148" i="17"/>
  <c r="AG73" i="1"/>
  <c r="FI150" i="17"/>
  <c r="AF41" i="1"/>
  <c r="AI60" i="1"/>
  <c r="FC147" i="15"/>
  <c r="AJ34" i="16"/>
  <c r="AI65" i="1"/>
  <c r="AP24" i="17"/>
  <c r="AG32" i="16"/>
  <c r="AH88" i="1"/>
  <c r="AJ50" i="1"/>
  <c r="EX159" i="15"/>
  <c r="FM135" i="15"/>
  <c r="EY152" i="15"/>
  <c r="AH37" i="16"/>
  <c r="FM135" i="17"/>
  <c r="AH35" i="1"/>
  <c r="FH150" i="17"/>
  <c r="AF40" i="16"/>
  <c r="FN165" i="17"/>
  <c r="FA151" i="17"/>
  <c r="FA151" i="15"/>
  <c r="AI40" i="16"/>
  <c r="FC155" i="15"/>
  <c r="AI51" i="16"/>
  <c r="DJ24" i="32" a="1"/>
  <c r="FG157" i="15"/>
  <c r="EZ145" i="17"/>
  <c r="FK164" i="15"/>
  <c r="FI161" i="15"/>
  <c r="FB143" i="17"/>
  <c r="AI55" i="1"/>
  <c r="AQ34" i="16"/>
  <c r="FK162" i="17"/>
  <c r="FA162" i="17"/>
  <c r="AO23" i="17"/>
  <c r="AH115" i="16"/>
  <c r="AB101" i="16"/>
  <c r="EZ148" i="17"/>
  <c r="FC161" i="15"/>
  <c r="FH142" i="17"/>
  <c r="AC87" i="16"/>
  <c r="AF49" i="16"/>
  <c r="FM141" i="15"/>
  <c r="FK164" i="17"/>
  <c r="FG146" i="17"/>
  <c r="AH36" i="1"/>
  <c r="AG71" i="1"/>
  <c r="DG19" i="32" a="1"/>
  <c r="AF36" i="1"/>
  <c r="FJ155" i="17"/>
  <c r="EY154" i="15"/>
  <c r="FF149" i="17"/>
  <c r="EY154" i="17"/>
  <c r="FB150" i="15"/>
  <c r="DH19" i="32" a="1"/>
  <c r="FC155" i="17"/>
  <c r="FK163" i="15"/>
  <c r="AP21" i="15"/>
  <c r="FF154" i="15"/>
  <c r="FG162" i="15"/>
  <c r="DJ26" i="32" a="1"/>
  <c r="FG162" i="17"/>
  <c r="FM129" i="17"/>
  <c r="AI260" i="31"/>
  <c r="EZ140" i="17"/>
  <c r="FF156" i="17"/>
  <c r="GD46" i="24"/>
  <c r="Z26" i="2"/>
  <c r="BX590" i="15"/>
  <c r="FH144" i="17"/>
  <c r="FJ143" i="15"/>
  <c r="FG156" i="15"/>
  <c r="EX151" i="15"/>
  <c r="AK32" i="16"/>
  <c r="FC158" i="15"/>
  <c r="DJ21" i="32" a="1"/>
  <c r="GC43" i="24"/>
  <c r="AF67" i="16"/>
  <c r="AI45" i="16"/>
  <c r="AK34" i="16"/>
  <c r="EZ157" i="17"/>
  <c r="FD161" i="15"/>
  <c r="AJ77" i="16"/>
  <c r="FB164" i="17"/>
  <c r="AO21" i="17"/>
  <c r="FI145" i="15"/>
  <c r="EZ155" i="17"/>
  <c r="EY151" i="15"/>
  <c r="AG88" i="1"/>
  <c r="AI32" i="1"/>
  <c r="AF58" i="1"/>
  <c r="AO24" i="17"/>
  <c r="FC143" i="15"/>
  <c r="AF45" i="16"/>
  <c r="Y20" i="23"/>
  <c r="EZ160" i="17"/>
  <c r="AI103" i="1"/>
  <c r="AK59" i="16"/>
  <c r="GD40" i="18"/>
  <c r="AH73" i="1"/>
  <c r="FH157" i="15"/>
  <c r="FD157" i="17"/>
  <c r="FB155" i="17"/>
  <c r="AK52" i="1"/>
  <c r="AQ38" i="16"/>
  <c r="AG45" i="16"/>
  <c r="FG151" i="15"/>
  <c r="FF157" i="17"/>
  <c r="AF52" i="1"/>
  <c r="DG23" i="32" a="1"/>
  <c r="DH28" i="32" a="1"/>
  <c r="AK32" i="1"/>
  <c r="DH18" i="32" a="1"/>
  <c r="EZ156" i="17"/>
  <c r="AQ77" i="16"/>
  <c r="FI149" i="15"/>
  <c r="DH23" i="32" a="1"/>
  <c r="FM146" i="17"/>
  <c r="FA149" i="17"/>
  <c r="FI164" i="15"/>
  <c r="FM164" i="15"/>
  <c r="FD162" i="15"/>
  <c r="FH161" i="15"/>
  <c r="GA50" i="24"/>
  <c r="DH22" i="32" a="1"/>
  <c r="AA20" i="23"/>
  <c r="AK39" i="1"/>
  <c r="FD151" i="17"/>
  <c r="FC165" i="17"/>
  <c r="FM137" i="15"/>
  <c r="FK158" i="15"/>
  <c r="AI46" i="1"/>
  <c r="AH75" i="1"/>
  <c r="FA153" i="15"/>
  <c r="AC94" i="16"/>
  <c r="EY150" i="17"/>
  <c r="FE156" i="17"/>
  <c r="DJ22" i="32" a="1"/>
  <c r="AQ67" i="16"/>
  <c r="AI48" i="16"/>
  <c r="FD160" i="15"/>
  <c r="FF148" i="17"/>
  <c r="FF162" i="17"/>
  <c r="AI65" i="16"/>
  <c r="FH165" i="15"/>
  <c r="FF153" i="15"/>
  <c r="FH146" i="15"/>
  <c r="FF152" i="17"/>
  <c r="FA157" i="17"/>
  <c r="FM147" i="17"/>
  <c r="FJ164" i="15"/>
  <c r="AC38" i="16"/>
  <c r="FD163" i="15"/>
  <c r="EZ146" i="17"/>
  <c r="FJ159" i="17"/>
  <c r="DG27" i="32" a="1"/>
  <c r="AG43" i="16"/>
  <c r="DG26" i="32" a="1"/>
  <c r="FJ164" i="17"/>
  <c r="FG152" i="15"/>
  <c r="AH46" i="1"/>
  <c r="AJ59" i="16"/>
  <c r="AI36" i="1"/>
  <c r="FB156" i="17"/>
  <c r="AK101" i="1"/>
  <c r="FM164" i="17"/>
  <c r="AC38" i="1"/>
  <c r="FC143" i="17"/>
  <c r="AQ52" i="1"/>
  <c r="FA156" i="15"/>
  <c r="AK40" i="16"/>
  <c r="AH81" i="1"/>
  <c r="EX157" i="17"/>
  <c r="AQ76" i="1"/>
  <c r="FG163" i="15"/>
  <c r="AK43" i="16"/>
  <c r="FD164" i="15"/>
  <c r="DJ27" i="32" a="1"/>
  <c r="AG36" i="1"/>
  <c r="FG147" i="17"/>
  <c r="FC160" i="17"/>
  <c r="FH148" i="15"/>
  <c r="AF54" i="16"/>
  <c r="AQ61" i="16"/>
  <c r="DH25" i="32" a="1"/>
  <c r="AC108" i="1"/>
  <c r="FC164" i="17"/>
  <c r="AH74" i="16"/>
  <c r="FM129" i="15"/>
  <c r="FJ165" i="17"/>
  <c r="GB44" i="10"/>
  <c r="AG49" i="1"/>
  <c r="AJ41" i="1"/>
  <c r="AF46" i="16"/>
  <c r="EX162" i="15"/>
  <c r="AJ39" i="16"/>
  <c r="AQ36" i="16"/>
  <c r="AF83" i="16"/>
  <c r="FG142" i="17"/>
  <c r="FM132" i="17"/>
  <c r="AQ67" i="1"/>
  <c r="AH34" i="1"/>
  <c r="FC146" i="17"/>
  <c r="FD160" i="17"/>
  <c r="EX152" i="15"/>
  <c r="FJ162" i="15"/>
  <c r="GC45" i="24"/>
  <c r="AH61" i="1"/>
  <c r="AQ103" i="16"/>
  <c r="FF151" i="17"/>
  <c r="AQ52" i="16"/>
  <c r="AJ84" i="1"/>
  <c r="AF71" i="16"/>
  <c r="FN163" i="15"/>
  <c r="AJ101" i="16"/>
  <c r="FI145" i="17"/>
  <c r="DG28" i="32" a="1"/>
  <c r="AJ89" i="16"/>
  <c r="AJ47" i="1"/>
  <c r="FC157" i="15"/>
  <c r="EZ151" i="17"/>
  <c r="FB162" i="15"/>
  <c r="FD154" i="15"/>
  <c r="AF68" i="16"/>
  <c r="AJ73" i="1"/>
  <c r="AG87" i="1"/>
  <c r="FM133" i="15"/>
  <c r="EX148" i="15"/>
  <c r="AI89" i="16"/>
  <c r="AQ82" i="16"/>
  <c r="AJ44" i="16"/>
  <c r="AH47" i="1"/>
  <c r="AK38" i="1"/>
  <c r="FG156" i="17"/>
  <c r="AF72" i="1"/>
  <c r="AG53" i="16"/>
  <c r="AI39" i="16"/>
  <c r="AH71" i="1"/>
  <c r="AG35" i="1"/>
  <c r="FK154" i="17"/>
  <c r="AI92" i="1"/>
  <c r="AJ63" i="1"/>
  <c r="FI160" i="15"/>
  <c r="AH70" i="1"/>
  <c r="AQ46" i="16"/>
  <c r="FL145" i="17"/>
  <c r="AF68" i="1"/>
  <c r="AF34" i="16"/>
  <c r="AI48" i="1"/>
  <c r="AC59" i="1"/>
  <c r="FJ142" i="15"/>
  <c r="AQ63" i="1"/>
  <c r="AG86" i="1"/>
  <c r="AH82" i="16"/>
  <c r="AK69" i="16"/>
  <c r="EY156" i="15"/>
  <c r="AI50" i="1"/>
  <c r="FL145" i="15"/>
  <c r="FD148" i="17"/>
  <c r="AQ108" i="16"/>
  <c r="AP21" i="17"/>
  <c r="AF61" i="1"/>
  <c r="AK64" i="1"/>
  <c r="FM132" i="15"/>
  <c r="FC152" i="15"/>
  <c r="FB152" i="15"/>
  <c r="FC149" i="15"/>
  <c r="AQ261" i="31"/>
  <c r="AI62" i="1"/>
  <c r="AF42" i="1"/>
  <c r="AG60" i="1"/>
  <c r="FK160" i="15"/>
  <c r="AK108" i="16"/>
  <c r="EY148" i="15"/>
  <c r="FJ151" i="15"/>
  <c r="AI39" i="1"/>
  <c r="AJ52" i="1"/>
  <c r="AI95" i="1"/>
  <c r="GC49" i="24"/>
  <c r="AQ54" i="16"/>
  <c r="FK160" i="17"/>
  <c r="AK36" i="16"/>
  <c r="AQ115" i="16"/>
  <c r="AF31" i="16"/>
  <c r="AH40" i="16"/>
  <c r="AF75" i="16"/>
  <c r="GA52" i="24"/>
  <c r="FE150" i="17"/>
  <c r="BY595" i="15"/>
  <c r="AK46" i="16"/>
  <c r="BW596" i="15"/>
  <c r="FJ152" i="15"/>
  <c r="AH62" i="16"/>
  <c r="AH33" i="16"/>
  <c r="AI34" i="16"/>
  <c r="FF157" i="15"/>
  <c r="Z23" i="2"/>
  <c r="AO27" i="17"/>
  <c r="FI162" i="17"/>
  <c r="DJ19" i="32" a="1"/>
  <c r="FD155" i="17"/>
  <c r="AH65" i="1"/>
  <c r="GD43" i="18"/>
  <c r="AQ53" i="16"/>
  <c r="AB31" i="16"/>
  <c r="FL164" i="15"/>
  <c r="AI82" i="16"/>
  <c r="AF57" i="1"/>
  <c r="AH72" i="16"/>
  <c r="AF73" i="16"/>
  <c r="AK44" i="1"/>
  <c r="FE155" i="17"/>
  <c r="AG63" i="16"/>
  <c r="AJ103" i="1"/>
  <c r="AG67" i="16"/>
  <c r="AQ71" i="16"/>
  <c r="AH60" i="16"/>
  <c r="FJ160" i="15"/>
  <c r="FG148" i="17"/>
  <c r="FI164" i="17"/>
  <c r="GC47" i="24"/>
  <c r="FM137" i="17"/>
  <c r="GD44" i="24"/>
  <c r="AI38" i="16"/>
  <c r="AK62" i="16"/>
  <c r="AF61" i="16"/>
  <c r="AH95" i="1"/>
  <c r="AI88" i="16"/>
  <c r="AI53" i="16"/>
  <c r="BZ594" i="15"/>
  <c r="EY150" i="15"/>
  <c r="FD152" i="15"/>
  <c r="FD146" i="17"/>
  <c r="AJ109" i="1"/>
  <c r="FD146" i="15"/>
  <c r="CH595" i="15"/>
  <c r="AG83" i="1"/>
  <c r="AK83" i="1"/>
  <c r="AG68" i="1"/>
  <c r="AC73" i="1"/>
  <c r="FB156" i="15"/>
  <c r="FM144" i="17"/>
  <c r="AJ54" i="1"/>
  <c r="AH78" i="1"/>
  <c r="AG94" i="16"/>
  <c r="AA20" i="2"/>
  <c r="AH122" i="16"/>
  <c r="AH50" i="1"/>
  <c r="AJ108" i="16"/>
  <c r="AQ44" i="16"/>
  <c r="AJ31" i="1"/>
  <c r="FE153" i="17"/>
  <c r="AI77" i="16"/>
  <c r="AH94" i="16"/>
  <c r="BY592" i="15"/>
  <c r="FK157" i="17"/>
  <c r="AB66" i="16"/>
  <c r="FA150" i="15"/>
  <c r="AC52" i="16"/>
  <c r="AC87" i="1"/>
  <c r="Z25" i="2"/>
  <c r="AJ53" i="1"/>
  <c r="FK156" i="15"/>
  <c r="AC66" i="16"/>
  <c r="FA159" i="15"/>
  <c r="FH160" i="17"/>
  <c r="FF153" i="17"/>
  <c r="FL144" i="15"/>
  <c r="AH42" i="16"/>
  <c r="FI165" i="17"/>
  <c r="AF54" i="1"/>
  <c r="AJ48" i="1"/>
  <c r="AQ76" i="16"/>
  <c r="AF79" i="1"/>
  <c r="AH82" i="1"/>
  <c r="FI153" i="15"/>
  <c r="GD41" i="24"/>
  <c r="FD144" i="17"/>
  <c r="AH53" i="1"/>
  <c r="FB154" i="15"/>
  <c r="AG96" i="16"/>
  <c r="FJ161" i="15"/>
  <c r="AG92" i="1"/>
  <c r="AB115" i="1"/>
  <c r="AQ59" i="16"/>
  <c r="AJ38" i="16"/>
  <c r="FJ150" i="17"/>
  <c r="AI68" i="16"/>
  <c r="AG70" i="1"/>
  <c r="AG40" i="1"/>
  <c r="FB147" i="17"/>
  <c r="AI61" i="1"/>
  <c r="FK143" i="15"/>
  <c r="AG46" i="16"/>
  <c r="Z24" i="2"/>
  <c r="FC144" i="17"/>
  <c r="FD158" i="15"/>
  <c r="AB31" i="1"/>
  <c r="AH46" i="16"/>
  <c r="AB52" i="1"/>
  <c r="DH20" i="32" a="1"/>
  <c r="AJ64" i="16"/>
  <c r="FK145" i="15"/>
  <c r="DG25" i="32" a="1"/>
  <c r="AI88" i="1"/>
  <c r="FF159" i="15"/>
  <c r="Z22" i="2"/>
  <c r="AH31" i="1"/>
  <c r="DH27" i="32" a="1"/>
  <c r="AG51" i="1"/>
  <c r="AI61" i="16"/>
  <c r="GA44" i="24"/>
  <c r="FK144" i="17"/>
  <c r="FA146" i="17"/>
  <c r="FG165" i="17"/>
  <c r="FG160" i="15"/>
  <c r="FM165" i="17"/>
  <c r="AQ51" i="1"/>
  <c r="FG158" i="15"/>
  <c r="AJ33" i="1"/>
  <c r="AG89" i="16"/>
  <c r="AJ35" i="1"/>
  <c r="AB45" i="1"/>
  <c r="DJ25" i="32" a="1"/>
  <c r="AH56" i="16"/>
  <c r="FB151" i="17"/>
  <c r="AI68" i="1"/>
  <c r="AA23" i="2"/>
  <c r="AI108" i="16"/>
  <c r="FI143" i="17"/>
  <c r="FH163" i="15"/>
  <c r="AH36" i="16"/>
  <c r="FG153" i="17"/>
  <c r="AQ59" i="1"/>
  <c r="AJ38" i="1"/>
  <c r="AG84" i="16"/>
  <c r="AA26" i="2"/>
  <c r="FA149" i="15"/>
  <c r="AQ82" i="1"/>
  <c r="FK155" i="17"/>
  <c r="FA159" i="17"/>
  <c r="AF50" i="16"/>
  <c r="AH68" i="1"/>
  <c r="AI44" i="16"/>
  <c r="FF164" i="17"/>
  <c r="EZ136" i="17"/>
  <c r="FH164" i="15"/>
  <c r="FA147" i="15"/>
  <c r="AF80" i="16"/>
  <c r="FJ158" i="17"/>
  <c r="AJ89" i="1"/>
  <c r="FA146" i="15"/>
  <c r="DJ23" i="32" a="1"/>
  <c r="AJ40" i="1"/>
  <c r="GB46" i="10"/>
  <c r="EZ143" i="17"/>
  <c r="AF43" i="16"/>
  <c r="FF161" i="15"/>
  <c r="FG145" i="15"/>
  <c r="AF41" i="16"/>
  <c r="AK49" i="16"/>
  <c r="FK163" i="17"/>
  <c r="FF144" i="15"/>
  <c r="FI163" i="17"/>
  <c r="AQ62" i="16"/>
  <c r="FD153" i="15"/>
  <c r="EX160" i="15"/>
  <c r="AF95" i="16"/>
  <c r="AQ40" i="1"/>
  <c r="AJ67" i="1"/>
  <c r="GD49" i="24"/>
  <c r="AF84" i="16"/>
  <c r="AG55" i="16"/>
  <c r="FA157" i="15"/>
  <c r="AQ75" i="1"/>
  <c r="AI41" i="16"/>
  <c r="AH32" i="1"/>
  <c r="FL146" i="17"/>
  <c r="FI161" i="17"/>
  <c r="FH155" i="15"/>
  <c r="AQ37" i="16"/>
  <c r="AJ64" i="1"/>
  <c r="FC142" i="17"/>
  <c r="AJ46" i="1"/>
  <c r="AJ54" i="16"/>
  <c r="AA21" i="23"/>
  <c r="EX152" i="17"/>
  <c r="AK88" i="16"/>
  <c r="FI152" i="17"/>
  <c r="FD144" i="15"/>
  <c r="FA144" i="15"/>
  <c r="FJ149" i="15"/>
  <c r="AQ45" i="1"/>
  <c r="GB40" i="10"/>
  <c r="EY161" i="15"/>
  <c r="AQ68" i="16"/>
  <c r="AQ80" i="1"/>
  <c r="AK94" i="16"/>
  <c r="AK48" i="16"/>
  <c r="AJ85" i="1"/>
  <c r="FG149" i="17"/>
  <c r="AJ87" i="16"/>
  <c r="AF55" i="16"/>
  <c r="FI157" i="17"/>
  <c r="AG31" i="16"/>
  <c r="FH158" i="15"/>
  <c r="AK95" i="1"/>
  <c r="AK42" i="16"/>
  <c r="EX150" i="17"/>
  <c r="AO31" i="15"/>
  <c r="GD51" i="24"/>
  <c r="FK148" i="15"/>
  <c r="AI73" i="16"/>
  <c r="AO25" i="17"/>
  <c r="FM145" i="15"/>
  <c r="AI54" i="16"/>
  <c r="AB73" i="1"/>
  <c r="AJ37" i="1"/>
  <c r="AF58" i="16"/>
  <c r="AI109" i="16"/>
  <c r="FI163" i="15"/>
  <c r="AK75" i="16"/>
  <c r="AI34" i="15"/>
  <c r="AQ69" i="1"/>
  <c r="AG54" i="16"/>
  <c r="AG81" i="1"/>
  <c r="FC148" i="17"/>
  <c r="AG80" i="1"/>
  <c r="FB158" i="17"/>
  <c r="FG159" i="17"/>
  <c r="AG79" i="1"/>
  <c r="FH151" i="17"/>
  <c r="GA46" i="24"/>
  <c r="AQ42" i="16"/>
  <c r="AH59" i="1"/>
  <c r="AG64" i="1"/>
  <c r="Z20" i="2"/>
  <c r="AI80" i="16"/>
  <c r="AH83" i="16"/>
  <c r="AP25" i="15"/>
  <c r="CH596" i="15"/>
  <c r="FM134" i="15"/>
  <c r="AJ83" i="16"/>
  <c r="AJ80" i="1"/>
  <c r="AI29" i="17"/>
  <c r="AJ79" i="1"/>
  <c r="AJ55" i="16"/>
  <c r="AK37" i="1"/>
  <c r="AQ41" i="1"/>
  <c r="AK41" i="16"/>
  <c r="AF94" i="16"/>
  <c r="EY157" i="15"/>
  <c r="Y23" i="2"/>
  <c r="AQ35" i="1"/>
  <c r="GD45" i="18"/>
  <c r="AK40" i="1"/>
  <c r="GB41" i="10"/>
  <c r="AJ94" i="16"/>
  <c r="FH143" i="15"/>
  <c r="FF163" i="15"/>
  <c r="AH44" i="16"/>
  <c r="FD147" i="17"/>
  <c r="AJ80" i="16"/>
  <c r="FE143" i="15"/>
  <c r="AJ46" i="16"/>
  <c r="AJ37" i="16"/>
  <c r="AQ97" i="1"/>
  <c r="AF109" i="1"/>
  <c r="FJ149" i="17"/>
  <c r="AK115" i="1"/>
  <c r="FD149" i="15"/>
  <c r="Z20" i="23"/>
  <c r="AF79" i="16"/>
  <c r="FG160" i="17"/>
  <c r="EX155" i="15"/>
  <c r="AK36" i="1"/>
  <c r="GC46" i="24"/>
  <c r="FF146" i="17"/>
  <c r="AK38" i="16"/>
  <c r="AH67" i="1"/>
  <c r="AI74" i="1"/>
  <c r="FG143" i="17"/>
  <c r="AJ116" i="1"/>
  <c r="FA147" i="17"/>
  <c r="AH51" i="1"/>
  <c r="AG72" i="1"/>
  <c r="AQ101" i="16"/>
  <c r="AK67" i="16"/>
  <c r="AG41" i="1"/>
  <c r="AG62" i="1"/>
  <c r="AA24" i="2"/>
  <c r="AQ31" i="16"/>
  <c r="AF57" i="16"/>
  <c r="AP27" i="15"/>
  <c r="AG68" i="16"/>
  <c r="AH109" i="16"/>
  <c r="FC162" i="17"/>
  <c r="CK591" i="15"/>
  <c r="FB148" i="15"/>
  <c r="EZ137" i="17"/>
  <c r="AG52" i="1"/>
  <c r="AQ39" i="1"/>
  <c r="AI70" i="1"/>
  <c r="AI55" i="16"/>
  <c r="FC159" i="15"/>
  <c r="AF103" i="16"/>
  <c r="GB50" i="10"/>
  <c r="AH102" i="16"/>
  <c r="AB87" i="1"/>
  <c r="FE142" i="15"/>
  <c r="AQ103" i="1"/>
  <c r="AG61" i="16"/>
  <c r="EY153" i="17"/>
  <c r="AH63" i="16"/>
  <c r="AI117" i="1"/>
  <c r="AK108" i="1"/>
  <c r="AK78" i="1"/>
  <c r="AF71" i="1"/>
  <c r="AK41" i="1"/>
  <c r="AG75" i="16"/>
  <c r="AK33" i="16"/>
  <c r="GC49" i="10"/>
  <c r="EZ158" i="17"/>
  <c r="AQ110" i="1"/>
  <c r="AH89" i="1"/>
  <c r="AF37" i="1"/>
  <c r="FF160" i="17"/>
  <c r="FG158" i="17"/>
  <c r="AJ36" i="16"/>
  <c r="AH79" i="1"/>
  <c r="AF87" i="1"/>
  <c r="FK159" i="15"/>
  <c r="FH143" i="17"/>
  <c r="AQ55" i="16"/>
  <c r="AJ43" i="16"/>
  <c r="AQ50" i="1"/>
  <c r="FJ153" i="15"/>
  <c r="AK34" i="1"/>
  <c r="Y25" i="23"/>
  <c r="AQ98" i="1"/>
  <c r="AH80" i="16"/>
  <c r="FB161" i="17"/>
  <c r="AK61" i="16"/>
  <c r="AJ76" i="1"/>
  <c r="AI37" i="16"/>
  <c r="AO30" i="17"/>
  <c r="AC66" i="1"/>
  <c r="AF94" i="1"/>
  <c r="AQ85" i="1"/>
  <c r="EY162" i="17"/>
  <c r="FJ145" i="17"/>
  <c r="FC145" i="15"/>
  <c r="AG39" i="16"/>
  <c r="FF150" i="15"/>
  <c r="AO25" i="15"/>
  <c r="EZ142" i="17"/>
  <c r="FD154" i="17"/>
  <c r="AG44" i="16"/>
  <c r="FE150" i="15"/>
  <c r="FK143" i="17"/>
  <c r="AQ45" i="16"/>
  <c r="FK152" i="15"/>
  <c r="FK151" i="15"/>
  <c r="EY157" i="17"/>
  <c r="FB149" i="17"/>
  <c r="AQ66" i="1"/>
  <c r="FH162" i="15"/>
  <c r="FJ162" i="17"/>
  <c r="FJ157" i="17"/>
  <c r="AJ61" i="16"/>
  <c r="FL144" i="17"/>
  <c r="FG154" i="15"/>
  <c r="FL165" i="17"/>
  <c r="AJ47" i="16"/>
  <c r="FA152" i="15"/>
  <c r="AI36" i="16"/>
  <c r="FI158" i="17"/>
  <c r="AJ88" i="16"/>
  <c r="AI96" i="1"/>
  <c r="AI54" i="1"/>
  <c r="AI37" i="1"/>
  <c r="FI155" i="15"/>
  <c r="AK101" i="16"/>
  <c r="AK81" i="16"/>
  <c r="FG157" i="17"/>
  <c r="AQ58" i="1"/>
  <c r="FB143" i="15"/>
  <c r="AP22" i="17"/>
  <c r="FJ165" i="15"/>
  <c r="FE151" i="17"/>
  <c r="FM140" i="17"/>
  <c r="DG18" i="32" a="1"/>
  <c r="FI151" i="17"/>
  <c r="EX159" i="17"/>
  <c r="AH51" i="16"/>
  <c r="AQ71" i="1"/>
  <c r="AJ102" i="1"/>
  <c r="FI157" i="15"/>
  <c r="AG88" i="16"/>
  <c r="AQ116" i="1"/>
  <c r="AI47" i="16"/>
  <c r="AI63" i="1"/>
  <c r="AQ86" i="16"/>
  <c r="EY159" i="15"/>
  <c r="AH81" i="16"/>
  <c r="FI147" i="17"/>
  <c r="Y22" i="23"/>
  <c r="FK153" i="17"/>
  <c r="AI86" i="1"/>
  <c r="FH155" i="17"/>
  <c r="FM140" i="15"/>
  <c r="FH149" i="17"/>
  <c r="EX161" i="17"/>
  <c r="FA145" i="17"/>
  <c r="AI60" i="16"/>
  <c r="FC163" i="15"/>
  <c r="AI59" i="16"/>
  <c r="GC44" i="24"/>
  <c r="GC43" i="10"/>
  <c r="AQ42" i="1"/>
  <c r="BX595" i="15"/>
  <c r="AH35" i="16"/>
  <c r="FB163" i="15"/>
  <c r="AK43" i="1"/>
  <c r="AH69" i="16"/>
  <c r="FC157" i="17"/>
  <c r="FJ151" i="17"/>
  <c r="AI33" i="1"/>
  <c r="AG39" i="1"/>
  <c r="FG148" i="15"/>
  <c r="EZ135" i="17"/>
  <c r="AG58" i="16"/>
  <c r="AG46" i="1"/>
  <c r="FH152" i="15"/>
  <c r="FA144" i="17"/>
  <c r="AJ75" i="1"/>
  <c r="AI52" i="16"/>
  <c r="AI56" i="1"/>
  <c r="FJ144" i="17"/>
  <c r="AO22" i="17"/>
  <c r="AI33" i="16"/>
  <c r="AF65" i="16"/>
  <c r="FC156" i="17"/>
  <c r="FL163" i="15"/>
  <c r="AG48" i="16"/>
  <c r="AG76" i="16"/>
  <c r="AJ87" i="1"/>
  <c r="AK31" i="16"/>
  <c r="FB142" i="15"/>
  <c r="FB163" i="17"/>
  <c r="AP25" i="17"/>
  <c r="AQ89" i="16"/>
  <c r="AF69" i="16"/>
  <c r="FF155" i="15"/>
  <c r="AK47" i="1"/>
  <c r="AH48" i="1"/>
  <c r="GC50" i="10"/>
  <c r="AF67" i="1"/>
  <c r="EY155" i="15"/>
  <c r="EZ139" i="17"/>
  <c r="FK165" i="15"/>
  <c r="FF146" i="15"/>
  <c r="FI154" i="15"/>
  <c r="AG56" i="16"/>
  <c r="AI72" i="16"/>
  <c r="FI147" i="15"/>
  <c r="AK88" i="1"/>
  <c r="FB145" i="15"/>
  <c r="FH146" i="17"/>
  <c r="FC153" i="17"/>
  <c r="FJ152" i="17"/>
  <c r="CH590" i="15"/>
  <c r="BW591" i="15"/>
  <c r="AA26" i="23"/>
  <c r="FD153" i="17"/>
  <c r="FK161" i="17"/>
  <c r="AF33" i="1"/>
  <c r="AF77" i="16"/>
  <c r="FH150" i="15"/>
  <c r="FH152" i="17"/>
  <c r="FE142" i="17"/>
  <c r="FC162" i="15"/>
  <c r="FK150" i="17"/>
  <c r="AF89" i="1"/>
  <c r="FJ154" i="17"/>
  <c r="FK154" i="15"/>
  <c r="AF52" i="16"/>
  <c r="AH76" i="16"/>
  <c r="FJ153" i="17"/>
  <c r="FG143" i="15"/>
  <c r="AF43" i="1"/>
  <c r="AO31" i="17"/>
  <c r="AJ69" i="16"/>
  <c r="AH64" i="16"/>
  <c r="FB150" i="17"/>
  <c r="AG33" i="1"/>
  <c r="GD50" i="18"/>
  <c r="AG108" i="16"/>
  <c r="AK96" i="16"/>
  <c r="FA154" i="15"/>
  <c r="AP30" i="17"/>
  <c r="Y22" i="2"/>
  <c r="FM146" i="15"/>
  <c r="AK70" i="1"/>
  <c r="AI95" i="16"/>
  <c r="AC45" i="1"/>
  <c r="GC48" i="10"/>
  <c r="AG91" i="1"/>
  <c r="EZ150" i="17"/>
  <c r="AF66" i="1"/>
  <c r="AG86" i="16"/>
  <c r="FE144" i="17"/>
  <c r="AG85" i="16"/>
  <c r="GC51" i="10"/>
  <c r="AI85" i="16"/>
  <c r="AJ81" i="1"/>
  <c r="FC153" i="15"/>
  <c r="AQ75" i="16"/>
  <c r="FJ160" i="17"/>
  <c r="FA154" i="17"/>
  <c r="AQ87" i="1"/>
  <c r="FA161" i="15"/>
  <c r="AF63" i="1"/>
  <c r="AJ71" i="16"/>
  <c r="FK161" i="15"/>
  <c r="AG62" i="16"/>
  <c r="FJ147" i="17"/>
  <c r="GC47" i="10"/>
  <c r="AJ42" i="16"/>
  <c r="AK47" i="16"/>
  <c r="AJ58" i="16"/>
  <c r="AI34" i="17"/>
  <c r="AI76" i="16"/>
  <c r="AQ93" i="1"/>
  <c r="AJ79" i="16"/>
  <c r="AI35" i="16"/>
  <c r="AJ52" i="16"/>
  <c r="AJ90" i="16"/>
  <c r="FG155" i="15"/>
  <c r="AH90" i="16"/>
  <c r="AG75" i="1"/>
  <c r="AG64" i="16"/>
  <c r="FA158" i="15"/>
  <c r="FK144" i="15"/>
  <c r="FE157" i="15"/>
  <c r="AF82" i="1"/>
  <c r="FA165" i="17"/>
  <c r="FL143" i="15"/>
  <c r="FI155" i="17"/>
  <c r="FJ143" i="17"/>
  <c r="AH89" i="16"/>
  <c r="AP26" i="17"/>
  <c r="FF152" i="15"/>
  <c r="AJ31" i="16"/>
  <c r="AH30" i="15"/>
  <c r="GD43" i="24"/>
  <c r="FC150" i="15"/>
  <c r="AI86" i="16"/>
  <c r="AF102" i="16"/>
  <c r="AK68" i="16"/>
  <c r="AK80" i="1"/>
  <c r="FH163" i="17"/>
  <c r="GC52" i="24"/>
  <c r="AQ85" i="16"/>
  <c r="AK54" i="16"/>
  <c r="AK76" i="16"/>
  <c r="AH84" i="1"/>
  <c r="AG36" i="16"/>
  <c r="AF72" i="16"/>
  <c r="AK60" i="16"/>
  <c r="FF165" i="17"/>
  <c r="AP20" i="15"/>
  <c r="FI153" i="17"/>
  <c r="FK156" i="17"/>
  <c r="EZ131" i="17"/>
  <c r="FF145" i="15"/>
  <c r="FB149" i="15"/>
  <c r="AH47" i="16"/>
  <c r="AQ46" i="1"/>
  <c r="AI84" i="16"/>
  <c r="AF102" i="1"/>
  <c r="AG42" i="16"/>
  <c r="FI162" i="15"/>
  <c r="AO30" i="15"/>
  <c r="AI102" i="16"/>
  <c r="AH69" i="1"/>
  <c r="AG77" i="16"/>
  <c r="AG47" i="16"/>
  <c r="AP27" i="17"/>
  <c r="Z27" i="23"/>
  <c r="AI115" i="16"/>
  <c r="AG85" i="1"/>
  <c r="GA45" i="24"/>
  <c r="AI66" i="16"/>
  <c r="AQ78" i="16"/>
  <c r="FI149" i="17"/>
  <c r="FB148" i="17"/>
  <c r="AG33" i="16"/>
  <c r="FK146" i="15"/>
  <c r="AH96" i="16"/>
  <c r="EY153" i="15"/>
  <c r="FB153" i="15"/>
  <c r="AI56" i="16"/>
  <c r="Y24" i="23"/>
  <c r="FD157" i="15"/>
  <c r="FL147" i="17"/>
  <c r="AQ260" i="31"/>
  <c r="FH157" i="17"/>
  <c r="FL147" i="15"/>
  <c r="AC59" i="16"/>
  <c r="FC159" i="17"/>
  <c r="AH42" i="1"/>
  <c r="AH43" i="16"/>
  <c r="FB165" i="15"/>
  <c r="AP23" i="17"/>
  <c r="FD156" i="15"/>
  <c r="AI82" i="1"/>
  <c r="AH91" i="16"/>
  <c r="AI97" i="1"/>
  <c r="AF39" i="16"/>
  <c r="AG45" i="1"/>
  <c r="AA27" i="23"/>
  <c r="AK75" i="1"/>
  <c r="AG83" i="16"/>
  <c r="FM143" i="17"/>
  <c r="AQ83" i="16"/>
  <c r="AB59" i="1"/>
  <c r="AP24" i="15"/>
  <c r="AP29" i="15"/>
  <c r="AQ51" i="16"/>
  <c r="AA23" i="23"/>
  <c r="AK65" i="1"/>
  <c r="AF81" i="16"/>
  <c r="EX149" i="15"/>
  <c r="EX160" i="17"/>
  <c r="AI59" i="1"/>
  <c r="AQ74" i="16"/>
  <c r="GA49" i="24"/>
  <c r="AG95" i="16"/>
  <c r="FG152" i="17"/>
  <c r="GD44" i="18"/>
  <c r="AQ68" i="1"/>
  <c r="AI52" i="1"/>
  <c r="AI53" i="1"/>
  <c r="FK148" i="17"/>
  <c r="FC164" i="15"/>
  <c r="AK64" i="16"/>
  <c r="FF158" i="15"/>
  <c r="AG38" i="1"/>
  <c r="AK33" i="1"/>
  <c r="FA158" i="17"/>
  <c r="AI58" i="16"/>
  <c r="AC73" i="16"/>
  <c r="FA161" i="17"/>
  <c r="AH75" i="16"/>
  <c r="EZ133" i="17"/>
  <c r="AJ72" i="16"/>
  <c r="FM143" i="15"/>
  <c r="AH76" i="1"/>
  <c r="AQ44" i="1"/>
  <c r="AF65" i="1"/>
  <c r="AF33" i="16"/>
  <c r="AJ66" i="16"/>
  <c r="AJ102" i="16"/>
  <c r="AF35" i="1"/>
  <c r="AF96" i="1"/>
  <c r="AG78" i="16"/>
  <c r="FF147" i="17"/>
  <c r="AG79" i="16"/>
  <c r="AK98" i="1"/>
  <c r="BY589" i="15"/>
  <c r="FI159" i="15"/>
  <c r="GA47" i="24"/>
  <c r="GD52" i="24"/>
  <c r="AK73" i="16"/>
  <c r="GC50" i="24"/>
  <c r="AJ96" i="1"/>
  <c r="AF84" i="1"/>
  <c r="AF49" i="1"/>
  <c r="AG63" i="1"/>
  <c r="AJ91" i="1"/>
  <c r="AK85" i="1"/>
  <c r="FD150" i="17"/>
  <c r="AF55" i="1"/>
  <c r="AB80" i="1"/>
  <c r="FB154" i="17"/>
  <c r="GD49" i="18"/>
  <c r="AQ91" i="1"/>
  <c r="FG150" i="15"/>
  <c r="AQ61" i="1"/>
  <c r="AB66" i="1"/>
  <c r="AK83" i="16"/>
  <c r="FM134" i="17"/>
  <c r="FB142" i="17"/>
  <c r="AI116" i="1"/>
  <c r="AF86" i="1"/>
  <c r="AJ50" i="16"/>
  <c r="AJ36" i="1"/>
  <c r="AG61" i="1"/>
  <c r="AI47" i="1"/>
  <c r="EY161" i="17"/>
  <c r="FD145" i="15"/>
  <c r="AQ62" i="1"/>
  <c r="FH144" i="15"/>
  <c r="AK71" i="16"/>
  <c r="EY149" i="15"/>
  <c r="FA142" i="17"/>
  <c r="AH93" i="1"/>
  <c r="AJ103" i="16"/>
  <c r="AO33" i="15"/>
  <c r="AJ93" i="16"/>
  <c r="AF110" i="16"/>
  <c r="AF99" i="16"/>
  <c r="AF91" i="1"/>
  <c r="AQ31" i="1"/>
  <c r="FM136" i="17"/>
  <c r="AJ86" i="16"/>
  <c r="FK155" i="15"/>
  <c r="FK162" i="15"/>
  <c r="BY593" i="15"/>
  <c r="AG102" i="16"/>
  <c r="AH62" i="1"/>
  <c r="AQ80" i="16"/>
  <c r="AJ76" i="16"/>
  <c r="AJ45" i="1"/>
  <c r="AF101" i="16"/>
  <c r="Z25" i="23"/>
  <c r="AF50" i="1"/>
  <c r="AG95" i="1"/>
  <c r="FH153" i="15"/>
  <c r="AQ48" i="16"/>
  <c r="AG40" i="16"/>
  <c r="AI93" i="16"/>
  <c r="AI76" i="1"/>
  <c r="AJ57" i="1"/>
  <c r="AP31" i="17"/>
  <c r="AP26" i="15"/>
  <c r="FB152" i="17"/>
  <c r="AJ85" i="16"/>
  <c r="AK102" i="16"/>
  <c r="AQ129" i="16"/>
  <c r="BA39" i="32" a="1"/>
  <c r="AG50" i="16"/>
  <c r="AI100" i="16"/>
  <c r="AF89" i="16"/>
  <c r="AI75" i="1"/>
  <c r="AQ49" i="1"/>
  <c r="AH103" i="16"/>
  <c r="AF88" i="1"/>
  <c r="AH55" i="1"/>
  <c r="AF48" i="16"/>
  <c r="FC148" i="15"/>
  <c r="AJ34" i="1"/>
  <c r="AG96" i="1"/>
  <c r="FD150" i="15"/>
  <c r="FD143" i="15"/>
  <c r="FH151" i="15"/>
  <c r="AO27" i="15"/>
  <c r="FG154" i="17"/>
  <c r="AG56" i="1"/>
  <c r="AH57" i="1"/>
  <c r="AH44" i="1"/>
  <c r="AK79" i="1"/>
  <c r="AH101" i="16"/>
  <c r="AK66" i="1"/>
  <c r="FJ154" i="15"/>
  <c r="AH49" i="16"/>
  <c r="AH77" i="1"/>
  <c r="FB159" i="15"/>
  <c r="AK102" i="1"/>
  <c r="AG99" i="1"/>
  <c r="BA57" i="32" a="1"/>
  <c r="GB49" i="10"/>
  <c r="AO34" i="15"/>
  <c r="BA50" i="32" a="1"/>
  <c r="AQ119" i="1"/>
  <c r="AI69" i="16"/>
  <c r="FM163" i="15"/>
  <c r="AJ78" i="16"/>
  <c r="AQ87" i="16"/>
  <c r="AQ47" i="1"/>
  <c r="AF116" i="1"/>
  <c r="GB45" i="10"/>
  <c r="AF109" i="16"/>
  <c r="AH54" i="16"/>
  <c r="AI94" i="16"/>
  <c r="EX149" i="17"/>
  <c r="FA148" i="15"/>
  <c r="AQ95" i="1"/>
  <c r="EX158" i="15"/>
  <c r="AK59" i="1"/>
  <c r="AI87" i="1"/>
  <c r="AQ81" i="1"/>
  <c r="AG84" i="1"/>
  <c r="FE163" i="15"/>
  <c r="AK55" i="16"/>
  <c r="AG50" i="1"/>
  <c r="AK122" i="1"/>
  <c r="AG70" i="16"/>
  <c r="AK77" i="1"/>
  <c r="AI70" i="16"/>
  <c r="BA60" i="32" a="1"/>
  <c r="AO28" i="15"/>
  <c r="GD54" i="24"/>
  <c r="AK85" i="16"/>
  <c r="AI111" i="1"/>
  <c r="AH117" i="1"/>
  <c r="AG111" i="16"/>
  <c r="AQ37" i="1"/>
  <c r="AG103" i="1"/>
  <c r="AF95" i="1"/>
  <c r="AG100" i="1"/>
  <c r="AI78" i="16"/>
  <c r="AC122" i="1"/>
  <c r="AI105" i="16"/>
  <c r="AF105" i="16"/>
  <c r="AK96" i="1"/>
  <c r="AQ72" i="1"/>
  <c r="AQ118" i="1"/>
  <c r="AI92" i="16"/>
  <c r="AQ123" i="1"/>
  <c r="AJ71" i="1"/>
  <c r="AK117" i="1"/>
  <c r="BZ599" i="15"/>
  <c r="AJ100" i="16"/>
  <c r="AH31" i="16"/>
  <c r="AJ68" i="16"/>
  <c r="AF100" i="1"/>
  <c r="AJ78" i="1"/>
  <c r="AQ117" i="1"/>
  <c r="AQ111" i="16"/>
  <c r="AF105" i="1"/>
  <c r="AI113" i="1"/>
  <c r="AH129" i="1"/>
  <c r="AQ121" i="1"/>
  <c r="AQ119" i="16"/>
  <c r="AG118" i="16"/>
  <c r="AK119" i="1"/>
  <c r="AJ131" i="1"/>
  <c r="GC56" i="24"/>
  <c r="AG123" i="16"/>
  <c r="AK77" i="16"/>
  <c r="AK50" i="1"/>
  <c r="AK104" i="16"/>
  <c r="AX54" i="32" a="1"/>
  <c r="AK50" i="16"/>
  <c r="AF111" i="1"/>
  <c r="BA45" i="32" a="1"/>
  <c r="AI106" i="16"/>
  <c r="AB73" i="16"/>
  <c r="AI72" i="1"/>
  <c r="AJ99" i="1"/>
  <c r="AX38" i="32" a="1"/>
  <c r="BA48" i="32" a="1"/>
  <c r="AB87" i="16"/>
  <c r="AG92" i="16"/>
  <c r="AI125" i="1"/>
  <c r="AQ84" i="1"/>
  <c r="AC31" i="1"/>
  <c r="GA43" i="24"/>
  <c r="FF164" i="15"/>
  <c r="FE164" i="15"/>
  <c r="DD18" i="32" a="1"/>
  <c r="FJ150" i="15"/>
  <c r="FE147" i="15"/>
  <c r="AQ55" i="1"/>
  <c r="AK81" i="1"/>
  <c r="BZ592" i="15"/>
  <c r="AF48" i="1"/>
  <c r="AG47" i="1"/>
  <c r="EX148" i="17"/>
  <c r="AI57" i="1"/>
  <c r="FB144" i="17"/>
  <c r="FC158" i="17"/>
  <c r="AI79" i="16"/>
  <c r="AJ57" i="16"/>
  <c r="AI24" i="17"/>
  <c r="AQ83" i="1"/>
  <c r="FE164" i="17"/>
  <c r="AF44" i="16"/>
  <c r="FC160" i="15"/>
  <c r="DG24" i="32" a="1"/>
  <c r="EZ152" i="17"/>
  <c r="EX153" i="17"/>
  <c r="AJ72" i="1"/>
  <c r="FE144" i="15"/>
  <c r="AQ72" i="16"/>
  <c r="FA148" i="17"/>
  <c r="AG108" i="1"/>
  <c r="FM141" i="17"/>
  <c r="AC52" i="1"/>
  <c r="AQ60" i="16"/>
  <c r="AI51" i="1"/>
  <c r="AQ48" i="1"/>
  <c r="AB80" i="16"/>
  <c r="AC80" i="1"/>
  <c r="FM139" i="15"/>
  <c r="FE147" i="17"/>
  <c r="AQ33" i="16"/>
  <c r="FG163" i="17"/>
  <c r="AK89" i="1"/>
  <c r="AG82" i="1"/>
  <c r="Z24" i="23"/>
  <c r="AJ74" i="16"/>
  <c r="AQ95" i="16"/>
  <c r="AG49" i="16"/>
  <c r="FB161" i="15"/>
  <c r="AQ104" i="1"/>
  <c r="AH108" i="16"/>
  <c r="AI64" i="16"/>
  <c r="FE145" i="15"/>
  <c r="AQ73" i="1"/>
  <c r="EX155" i="17"/>
  <c r="FB165" i="17"/>
  <c r="AB94" i="16"/>
  <c r="FF142" i="17"/>
  <c r="FK152" i="17"/>
  <c r="AG59" i="16"/>
  <c r="FD156" i="17"/>
  <c r="AI78" i="1"/>
  <c r="AH45" i="1"/>
  <c r="AG57" i="16"/>
  <c r="AF64" i="1"/>
  <c r="FC152" i="17"/>
  <c r="AF59" i="1"/>
  <c r="AK74" i="16"/>
  <c r="EY162" i="15"/>
  <c r="EY159" i="17"/>
  <c r="AK53" i="1"/>
  <c r="AI101" i="1"/>
  <c r="AG81" i="16"/>
  <c r="AI57" i="16"/>
  <c r="AH101" i="1"/>
  <c r="AI66" i="1"/>
  <c r="AK58" i="1"/>
  <c r="AK82" i="1"/>
  <c r="AP28" i="17"/>
  <c r="AQ78" i="1"/>
  <c r="FH147" i="15"/>
  <c r="AI93" i="1"/>
  <c r="AF87" i="16"/>
  <c r="AJ115" i="1"/>
  <c r="AF34" i="1"/>
  <c r="AH70" i="16"/>
  <c r="AJ33" i="16"/>
  <c r="CH594" i="15"/>
  <c r="AH37" i="1"/>
  <c r="AK94" i="1"/>
  <c r="AJ101" i="1"/>
  <c r="AH94" i="1"/>
  <c r="AF70" i="16"/>
  <c r="FI143" i="15"/>
  <c r="AI91" i="1"/>
  <c r="FD147" i="15"/>
  <c r="AK72" i="16"/>
  <c r="AF110" i="1"/>
  <c r="AJ83" i="1"/>
  <c r="AK90" i="16"/>
  <c r="AK63" i="1"/>
  <c r="AJ35" i="16"/>
  <c r="AI94" i="1"/>
  <c r="AG109" i="16"/>
  <c r="AQ106" i="1"/>
  <c r="AP33" i="17"/>
  <c r="BA40" i="32" a="1"/>
  <c r="GC42" i="10"/>
  <c r="AH99" i="16"/>
  <c r="AG35" i="16"/>
  <c r="AF75" i="1"/>
  <c r="AG80" i="16"/>
  <c r="FF143" i="15"/>
  <c r="AJ82" i="1"/>
  <c r="FL143" i="17"/>
  <c r="AH78" i="16"/>
  <c r="AQ91" i="16"/>
  <c r="AQ69" i="16"/>
  <c r="AQ65" i="1"/>
  <c r="AI42" i="16"/>
  <c r="AJ62" i="1"/>
  <c r="AK37" i="16"/>
  <c r="AP22" i="15"/>
  <c r="AH96" i="1"/>
  <c r="Z22" i="23"/>
  <c r="FC145" i="17"/>
  <c r="AJ56" i="1"/>
  <c r="AK84" i="16"/>
  <c r="AF74" i="1"/>
  <c r="FD159" i="15"/>
  <c r="FD165" i="15"/>
  <c r="AK80" i="16"/>
  <c r="AQ89" i="1"/>
  <c r="Y26" i="2"/>
  <c r="AH86" i="16"/>
  <c r="AG91" i="16"/>
  <c r="AF69" i="1"/>
  <c r="AF93" i="16"/>
  <c r="AH92" i="16"/>
  <c r="AX50" i="32" a="1"/>
  <c r="AI131" i="1"/>
  <c r="AH20" i="17"/>
  <c r="AH48" i="16"/>
  <c r="FF150" i="17"/>
  <c r="AC108" i="16"/>
  <c r="FI158" i="15"/>
  <c r="GA48" i="24"/>
  <c r="AK103" i="1"/>
  <c r="FI154" i="17"/>
  <c r="FH156" i="15"/>
  <c r="AI98" i="1"/>
  <c r="AQ74" i="1"/>
  <c r="AH49" i="1"/>
  <c r="AK57" i="16"/>
  <c r="AJ108" i="1"/>
  <c r="AG48" i="1"/>
  <c r="FH142" i="15"/>
  <c r="AF108" i="16"/>
  <c r="AI50" i="16"/>
  <c r="FH148" i="17"/>
  <c r="GD41" i="18"/>
  <c r="AH45" i="16"/>
  <c r="AH97" i="16"/>
  <c r="FF162" i="15"/>
  <c r="AQ41" i="16"/>
  <c r="AG89" i="1"/>
  <c r="AQ108" i="1"/>
  <c r="AG122" i="16"/>
  <c r="GC52" i="10"/>
  <c r="AX46" i="32" a="1"/>
  <c r="AH72" i="1"/>
  <c r="AI130" i="1"/>
  <c r="AJ77" i="1"/>
  <c r="AQ73" i="16"/>
  <c r="FA160" i="15"/>
  <c r="FK145" i="17"/>
  <c r="AH41" i="16"/>
  <c r="EZ154" i="17"/>
  <c r="FM136" i="15"/>
  <c r="FE162" i="15"/>
  <c r="AQ65" i="16"/>
  <c r="FD165" i="17"/>
  <c r="AQ93" i="16"/>
  <c r="AK52" i="16"/>
  <c r="FB153" i="17"/>
  <c r="AH41" i="1"/>
  <c r="AI38" i="1"/>
  <c r="EX156" i="15"/>
  <c r="FG146" i="15"/>
  <c r="FH164" i="17"/>
  <c r="FE148" i="17"/>
  <c r="AI79" i="1"/>
  <c r="EX161" i="15"/>
  <c r="FE152" i="15"/>
  <c r="AQ70" i="16"/>
  <c r="AG37" i="16"/>
  <c r="AK76" i="1"/>
  <c r="AF62" i="16"/>
  <c r="AJ49" i="16"/>
  <c r="AQ100" i="1"/>
  <c r="AK82" i="16"/>
  <c r="AK92" i="16"/>
  <c r="BA36" i="32" a="1"/>
  <c r="AI39" i="15"/>
  <c r="AQ106" i="16"/>
  <c r="FM130" i="17"/>
  <c r="AJ104" i="1"/>
  <c r="FA145" i="15"/>
  <c r="AG93" i="16"/>
  <c r="AQ100" i="16"/>
  <c r="AX59" i="32" a="1"/>
  <c r="AK136" i="1"/>
  <c r="AH136" i="16"/>
  <c r="FM133" i="17"/>
  <c r="AH102" i="1"/>
  <c r="AQ122" i="1"/>
  <c r="CH599" i="15"/>
  <c r="AH115" i="1"/>
  <c r="AQ129" i="1"/>
  <c r="AH116" i="1"/>
  <c r="AJ106" i="1"/>
  <c r="AG129" i="16"/>
  <c r="FA155" i="17"/>
  <c r="AB108" i="16"/>
  <c r="AJ100" i="1"/>
  <c r="AQ99" i="16"/>
  <c r="AX58" i="32" a="1"/>
  <c r="AF82" i="16"/>
  <c r="GB53" i="10"/>
  <c r="AG118" i="1"/>
  <c r="AP34" i="15"/>
  <c r="AF136" i="16"/>
  <c r="AJ106" i="16"/>
  <c r="AJ107" i="16"/>
  <c r="AH107" i="1"/>
  <c r="AK118" i="16"/>
  <c r="AJ112" i="16"/>
  <c r="AF118" i="1"/>
  <c r="AP29" i="17"/>
  <c r="AK55" i="1"/>
  <c r="AG98" i="16"/>
  <c r="AX45" i="32" a="1"/>
  <c r="AX49" i="32" a="1"/>
  <c r="AG51" i="16"/>
  <c r="AK100" i="1"/>
  <c r="AH105" i="1"/>
  <c r="FL165" i="15"/>
  <c r="AK93" i="1"/>
  <c r="GD51" i="18"/>
  <c r="AQ123" i="16"/>
  <c r="AJ74" i="1"/>
  <c r="AJ110" i="1"/>
  <c r="AG105" i="16"/>
  <c r="CH600" i="15"/>
  <c r="AI91" i="16"/>
  <c r="FD142" i="15"/>
  <c r="AQ49" i="16"/>
  <c r="DG22" i="32" a="1"/>
  <c r="FA164" i="17"/>
  <c r="FC154" i="17"/>
  <c r="FC151" i="17"/>
  <c r="DG20" i="32" a="1"/>
  <c r="AJ32" i="16"/>
  <c r="FJ156" i="17"/>
  <c r="AG60" i="16"/>
  <c r="FL146" i="15"/>
  <c r="AB38" i="16"/>
  <c r="FM147" i="15"/>
  <c r="AJ44" i="1"/>
  <c r="FI142" i="17"/>
  <c r="FI159" i="17"/>
  <c r="AJ39" i="1"/>
  <c r="FE146" i="17"/>
  <c r="EY160" i="15"/>
  <c r="FB147" i="15"/>
  <c r="AJ94" i="1"/>
  <c r="AF76" i="16"/>
  <c r="AF78" i="1"/>
  <c r="FE158" i="17"/>
  <c r="GB48" i="10"/>
  <c r="AH52" i="1"/>
  <c r="AQ58" i="16"/>
  <c r="AK46" i="1"/>
  <c r="FA163" i="17"/>
  <c r="AH57" i="16"/>
  <c r="FM131" i="17"/>
  <c r="EY151" i="17"/>
  <c r="AQ40" i="16"/>
  <c r="FB146" i="17"/>
  <c r="AQ64" i="1"/>
  <c r="FE159" i="15"/>
  <c r="FC154" i="15"/>
  <c r="Y20" i="2"/>
  <c r="EY160" i="17"/>
  <c r="AI81" i="1"/>
  <c r="AG71" i="16"/>
  <c r="AH95" i="16"/>
  <c r="FE155" i="15"/>
  <c r="AJ65" i="16"/>
  <c r="FF142" i="15"/>
  <c r="FI150" i="15"/>
  <c r="GD42" i="24"/>
  <c r="AQ79" i="16"/>
  <c r="AF59" i="16"/>
  <c r="EZ153" i="17"/>
  <c r="AJ88" i="1"/>
  <c r="FE163" i="17"/>
  <c r="AG87" i="16"/>
  <c r="FE153" i="15"/>
  <c r="FF160" i="15"/>
  <c r="FB162" i="17"/>
  <c r="AI110" i="1"/>
  <c r="AK60" i="1"/>
  <c r="FD148" i="15"/>
  <c r="BZ593" i="15"/>
  <c r="AG69" i="1"/>
  <c r="AK63" i="16"/>
  <c r="AK56" i="16"/>
  <c r="AJ97" i="1"/>
  <c r="AI34" i="1"/>
  <c r="AK35" i="1"/>
  <c r="Z23" i="23"/>
  <c r="AJ95" i="16"/>
  <c r="AQ60" i="1"/>
  <c r="AH59" i="16"/>
  <c r="FH160" i="15"/>
  <c r="CH598" i="15"/>
  <c r="AC101" i="16"/>
  <c r="AF88" i="16"/>
  <c r="AI83" i="16"/>
  <c r="AK87" i="1"/>
  <c r="AQ88" i="16"/>
  <c r="AI85" i="1"/>
  <c r="AK109" i="1"/>
  <c r="FJ159" i="15"/>
  <c r="FH165" i="17"/>
  <c r="AK67" i="1"/>
  <c r="AG90" i="16"/>
  <c r="AP32" i="15"/>
  <c r="AQ84" i="16"/>
  <c r="AK53" i="16"/>
  <c r="FD151" i="15"/>
  <c r="FH154" i="17"/>
  <c r="FE156" i="15"/>
  <c r="FJ157" i="15"/>
  <c r="AH56" i="1"/>
  <c r="AJ60" i="1"/>
  <c r="AG77" i="1"/>
  <c r="AG74" i="16"/>
  <c r="AI89" i="1"/>
  <c r="CH591" i="15"/>
  <c r="AP28" i="15"/>
  <c r="AJ70" i="1"/>
  <c r="AF85" i="1"/>
  <c r="AC94" i="1"/>
  <c r="AI83" i="1"/>
  <c r="FE149" i="15"/>
  <c r="AF81" i="1"/>
  <c r="BA55" i="32" a="1"/>
  <c r="AK54" i="1"/>
  <c r="AF104" i="16"/>
  <c r="BA53" i="32" a="1"/>
  <c r="AX55" i="32" a="1"/>
  <c r="AB129" i="16"/>
  <c r="AK79" i="16"/>
  <c r="FB151" i="15"/>
  <c r="FL142" i="15"/>
  <c r="FE152" i="17"/>
  <c r="AF60" i="16"/>
  <c r="BY590" i="15"/>
  <c r="AJ86" i="1"/>
  <c r="FM163" i="17"/>
  <c r="AJ56" i="16"/>
  <c r="AQ97" i="16"/>
  <c r="AH63" i="1"/>
  <c r="FJ146" i="15"/>
  <c r="EZ161" i="17"/>
  <c r="FK142" i="15"/>
  <c r="FH149" i="15"/>
  <c r="FE158" i="15"/>
  <c r="FM139" i="17"/>
  <c r="AQ47" i="16"/>
  <c r="AK49" i="1"/>
  <c r="FK157" i="15"/>
  <c r="AH25" i="15"/>
  <c r="AC101" i="1"/>
  <c r="AG31" i="1"/>
  <c r="AH85" i="16"/>
  <c r="EX153" i="15"/>
  <c r="AQ88" i="1"/>
  <c r="BA37" i="32" a="1"/>
  <c r="BA46" i="32" a="1"/>
  <c r="AI97" i="16"/>
  <c r="AH117" i="16"/>
  <c r="AJ92" i="1"/>
  <c r="AH124" i="16"/>
  <c r="AG38" i="16"/>
  <c r="FK165" i="17"/>
  <c r="AK45" i="16"/>
  <c r="AF98" i="1"/>
  <c r="AH83" i="1"/>
  <c r="AI45" i="1"/>
  <c r="AF74" i="16"/>
  <c r="FA152" i="17"/>
  <c r="AK91" i="1"/>
  <c r="FE146" i="15"/>
  <c r="FM142" i="15"/>
  <c r="AQ86" i="1"/>
  <c r="FL163" i="17"/>
  <c r="AH79" i="16"/>
  <c r="EX162" i="17"/>
  <c r="AF78" i="16"/>
  <c r="BZ589" i="15"/>
  <c r="AO26" i="17"/>
  <c r="AG78" i="1"/>
  <c r="AF31" i="1"/>
  <c r="EZ162" i="17"/>
  <c r="GA53" i="24"/>
  <c r="AK71" i="1"/>
  <c r="AJ98" i="1"/>
  <c r="AF64" i="16"/>
  <c r="AJ93" i="1"/>
  <c r="FE154" i="15"/>
  <c r="AG129" i="1"/>
  <c r="GB52" i="10"/>
  <c r="AH103" i="1"/>
  <c r="AB122" i="16"/>
  <c r="AQ34" i="1"/>
  <c r="AH77" i="16"/>
  <c r="AG44" i="1"/>
  <c r="AQ57" i="16"/>
  <c r="AK90" i="1"/>
  <c r="AI67" i="1"/>
  <c r="FL164" i="17"/>
  <c r="GC45" i="10"/>
  <c r="GD45" i="24"/>
  <c r="AH20" i="15"/>
  <c r="EX150" i="15"/>
  <c r="FD159" i="17"/>
  <c r="AQ32" i="1"/>
  <c r="AI103" i="16"/>
  <c r="AO29" i="15"/>
  <c r="Y24" i="2"/>
  <c r="AK42" i="1"/>
  <c r="AH30" i="17"/>
  <c r="GB51" i="10"/>
  <c r="AC31" i="16"/>
  <c r="GD50" i="24"/>
  <c r="AK44" i="16"/>
  <c r="AH87" i="16"/>
  <c r="Y25" i="2"/>
  <c r="BZ596" i="15"/>
  <c r="AK84" i="1"/>
  <c r="AQ117" i="16"/>
  <c r="AI129" i="1"/>
  <c r="AI67" i="16"/>
  <c r="AG105" i="1"/>
  <c r="AJ117" i="1"/>
  <c r="GB54" i="10"/>
  <c r="FA143" i="15"/>
  <c r="AC45" i="16"/>
  <c r="AQ110" i="16"/>
  <c r="AI100" i="1"/>
  <c r="FF148" i="15"/>
  <c r="AG117" i="1"/>
  <c r="AF85" i="16"/>
  <c r="AI118" i="16"/>
  <c r="AI119" i="1"/>
  <c r="AQ90" i="16"/>
  <c r="AX51" i="32" a="1"/>
  <c r="AG90" i="1"/>
  <c r="AC122" i="16"/>
  <c r="AC129" i="1"/>
  <c r="AG115" i="16"/>
  <c r="AJ129" i="16"/>
  <c r="AF124" i="1"/>
  <c r="AQ107" i="16"/>
  <c r="AH74" i="1"/>
  <c r="AX48" i="32" a="1"/>
  <c r="AG34" i="1"/>
  <c r="AI112" i="1"/>
  <c r="AX56" i="32" a="1"/>
  <c r="AF91" i="16"/>
  <c r="AQ125" i="1"/>
  <c r="AJ117" i="16"/>
  <c r="AI125" i="16"/>
  <c r="AH131" i="16"/>
  <c r="AF131" i="1"/>
  <c r="BY600" i="15"/>
  <c r="AQ120" i="1"/>
  <c r="AH130" i="1"/>
  <c r="AH118" i="16"/>
  <c r="AG124" i="1"/>
  <c r="AJ81" i="16"/>
  <c r="AI122" i="16"/>
  <c r="AQ94" i="1"/>
  <c r="AG111" i="1"/>
  <c r="BA54" i="32" a="1"/>
  <c r="BZ597" i="15"/>
  <c r="AH111" i="16"/>
  <c r="AK129" i="16"/>
  <c r="AH68" i="16"/>
  <c r="AK116" i="1"/>
  <c r="AF104" i="1"/>
  <c r="AF83" i="1"/>
  <c r="AQ107" i="1"/>
  <c r="AH104" i="16"/>
  <c r="AF111" i="16"/>
  <c r="AI112" i="16"/>
  <c r="AF76" i="1"/>
  <c r="AF122" i="1"/>
  <c r="AJ111" i="1"/>
  <c r="FI144" i="15"/>
  <c r="FD158" i="17"/>
  <c r="FA162" i="15"/>
  <c r="AQ66" i="16"/>
  <c r="FD164" i="17"/>
  <c r="AI81" i="16"/>
  <c r="FJ148" i="15"/>
  <c r="FM144" i="15"/>
  <c r="AQ53" i="1"/>
  <c r="AQ102" i="16"/>
  <c r="EY156" i="17"/>
  <c r="FH147" i="17"/>
  <c r="AF80" i="1"/>
  <c r="FH145" i="17"/>
  <c r="AF47" i="1"/>
  <c r="AK78" i="16"/>
  <c r="AQ38" i="1"/>
  <c r="FG142" i="15"/>
  <c r="AI122" i="1"/>
  <c r="AJ69" i="1"/>
  <c r="FC165" i="15"/>
  <c r="AJ48" i="16"/>
  <c r="AG109" i="1"/>
  <c r="AH84" i="16"/>
  <c r="FF159" i="17"/>
  <c r="AQ57" i="1"/>
  <c r="AK93" i="16"/>
  <c r="AJ55" i="1"/>
  <c r="AK51" i="16"/>
  <c r="AG102" i="1"/>
  <c r="FE161" i="17"/>
  <c r="AH64" i="1"/>
  <c r="AH108" i="1"/>
  <c r="AK66" i="16"/>
  <c r="AF97" i="1"/>
  <c r="AK57" i="1"/>
  <c r="FH158" i="17"/>
  <c r="AG110" i="1"/>
  <c r="BY591" i="15"/>
  <c r="GB47" i="10"/>
  <c r="AQ92" i="1"/>
  <c r="AF60" i="1"/>
  <c r="FF145" i="17"/>
  <c r="AJ82" i="16"/>
  <c r="AQ102" i="1"/>
  <c r="AG65" i="1"/>
  <c r="AJ58" i="1"/>
  <c r="FK149" i="15"/>
  <c r="GC42" i="24"/>
  <c r="AH122" i="1"/>
  <c r="GA54" i="24"/>
  <c r="AH104" i="1"/>
  <c r="BY598" i="15"/>
  <c r="BA43" i="32" a="1"/>
  <c r="AX52" i="32" a="1"/>
  <c r="AQ54" i="1"/>
  <c r="AH92" i="1"/>
  <c r="AQ125" i="16"/>
  <c r="AF143" i="1"/>
  <c r="AB94" i="1"/>
  <c r="AJ122" i="16"/>
  <c r="AI90" i="16"/>
  <c r="AI111" i="16"/>
  <c r="FE165" i="15"/>
  <c r="BA49" i="32" a="1"/>
  <c r="BA56" i="32" a="1"/>
  <c r="AG65" i="16"/>
  <c r="AC80" i="16"/>
  <c r="AJ110" i="16"/>
  <c r="AQ130" i="16"/>
  <c r="AF130" i="1"/>
  <c r="AK106" i="16"/>
  <c r="AG125" i="1"/>
  <c r="AI121" i="1"/>
  <c r="AH119" i="16"/>
  <c r="AG119" i="1"/>
  <c r="GD56" i="24"/>
  <c r="AJ137" i="1"/>
  <c r="AI150" i="1"/>
  <c r="AO36" i="15"/>
  <c r="AK112" i="1"/>
  <c r="AG66" i="16"/>
  <c r="AK95" i="16"/>
  <c r="AH116" i="16"/>
  <c r="FG161" i="15"/>
  <c r="FI156" i="17"/>
  <c r="AK111" i="1"/>
  <c r="FA160" i="17"/>
  <c r="BY599" i="15"/>
  <c r="AJ99" i="16"/>
  <c r="FC163" i="17"/>
  <c r="AG98" i="1"/>
  <c r="Z26" i="23"/>
  <c r="AJ98" i="16"/>
  <c r="AH93" i="16"/>
  <c r="AH85" i="1"/>
  <c r="AK117" i="16"/>
  <c r="AG100" i="16"/>
  <c r="AF117" i="16"/>
  <c r="FD149" i="17"/>
  <c r="FG153" i="15"/>
  <c r="AG103" i="16"/>
  <c r="AI106" i="1"/>
  <c r="AG104" i="16"/>
  <c r="AX47" i="32" a="1"/>
  <c r="AI114" i="1"/>
  <c r="AK123" i="16"/>
  <c r="AI113" i="16"/>
  <c r="AQ150" i="1"/>
  <c r="AG114" i="1"/>
  <c r="AI144" i="1"/>
  <c r="AQ137" i="16"/>
  <c r="AG130" i="16"/>
  <c r="GD55" i="18"/>
  <c r="AQ70" i="1"/>
  <c r="AB115" i="16"/>
  <c r="AX41" i="32" a="1"/>
  <c r="AK97" i="16"/>
  <c r="AI63" i="16"/>
  <c r="AK98" i="16"/>
  <c r="FF147" i="15"/>
  <c r="AJ105" i="16"/>
  <c r="AK68" i="1"/>
  <c r="AF35" i="16"/>
  <c r="AX39" i="32" a="1"/>
  <c r="AX43" i="32" a="1"/>
  <c r="AI71" i="1"/>
  <c r="GD54" i="18"/>
  <c r="AI116" i="16"/>
  <c r="AO35" i="15"/>
  <c r="GD55" i="24"/>
  <c r="GA55" i="24"/>
  <c r="FH161" i="17"/>
  <c r="AX61" i="32" a="1"/>
  <c r="AG57" i="1"/>
  <c r="BZ598" i="15"/>
  <c r="AJ122" i="1"/>
  <c r="AG101" i="16"/>
  <c r="AG106" i="1"/>
  <c r="AH112" i="16"/>
  <c r="AH118" i="1"/>
  <c r="AF119" i="1"/>
  <c r="AQ138" i="1"/>
  <c r="GB55" i="10"/>
  <c r="AF125" i="1"/>
  <c r="AI131" i="16"/>
  <c r="AG113" i="1"/>
  <c r="AQ144" i="1"/>
  <c r="AF112" i="16"/>
  <c r="FM130" i="15"/>
  <c r="FB144" i="15"/>
  <c r="AI58" i="1"/>
  <c r="FB158" i="15"/>
  <c r="FK153" i="15"/>
  <c r="AF66" i="16"/>
  <c r="AJ41" i="16"/>
  <c r="AJ66" i="1"/>
  <c r="Y23" i="23"/>
  <c r="AO26" i="15"/>
  <c r="AG32" i="1"/>
  <c r="AI90" i="1"/>
  <c r="FK147" i="17"/>
  <c r="AF103" i="1"/>
  <c r="AO28" i="17"/>
  <c r="AK56" i="1"/>
  <c r="AK72" i="1"/>
  <c r="AJ96" i="16"/>
  <c r="AF123" i="1"/>
  <c r="AK87" i="16"/>
  <c r="AH107" i="16"/>
  <c r="AK89" i="16"/>
  <c r="AX42" i="32" a="1"/>
  <c r="AK109" i="16"/>
  <c r="AG130" i="1"/>
  <c r="AJ113" i="1"/>
  <c r="AQ113" i="16"/>
  <c r="AK125" i="1"/>
  <c r="AQ137" i="1"/>
  <c r="BA44" i="32" a="1"/>
  <c r="GD53" i="18"/>
  <c r="FJ161" i="17"/>
  <c r="AI118" i="1"/>
  <c r="AO29" i="17"/>
  <c r="AF107" i="1"/>
  <c r="FI142" i="15"/>
  <c r="AO32" i="17"/>
  <c r="AO35" i="17"/>
  <c r="AK124" i="16"/>
  <c r="BZ591" i="15"/>
  <c r="BA41" i="32" a="1"/>
  <c r="AX37" i="32" a="1"/>
  <c r="AK124" i="1"/>
  <c r="AG97" i="1"/>
  <c r="AI104" i="16"/>
  <c r="AH106" i="16"/>
  <c r="BA61" i="32" a="1"/>
  <c r="AF92" i="1"/>
  <c r="AK105" i="16"/>
  <c r="AG137" i="1"/>
  <c r="AF118" i="16"/>
  <c r="AI41" i="1"/>
  <c r="AI102" i="1"/>
  <c r="AF90" i="1"/>
  <c r="AF51" i="16"/>
  <c r="BZ595" i="15"/>
  <c r="FC156" i="15"/>
  <c r="Z21" i="23"/>
  <c r="AK45" i="1"/>
  <c r="AF77" i="1"/>
  <c r="AJ51" i="16"/>
  <c r="Y26" i="23"/>
  <c r="AA27" i="2"/>
  <c r="AH32" i="16"/>
  <c r="Z21" i="2"/>
  <c r="AH73" i="16"/>
  <c r="AK115" i="16"/>
  <c r="AF96" i="16"/>
  <c r="GD42" i="18"/>
  <c r="AQ109" i="1"/>
  <c r="AG76" i="1"/>
  <c r="AH40" i="1"/>
  <c r="AI42" i="1"/>
  <c r="AQ36" i="1"/>
  <c r="AF36" i="16"/>
  <c r="AQ77" i="1"/>
  <c r="AG97" i="16"/>
  <c r="AI105" i="1"/>
  <c r="AI71" i="16"/>
  <c r="FJ145" i="15"/>
  <c r="AJ40" i="16"/>
  <c r="AJ84" i="16"/>
  <c r="AF62" i="1"/>
  <c r="AK86" i="1"/>
  <c r="AJ123" i="1"/>
  <c r="AK123" i="1"/>
  <c r="FE151" i="15"/>
  <c r="AG55" i="1"/>
  <c r="AH39" i="16"/>
  <c r="EZ132" i="17"/>
  <c r="AA25" i="23"/>
  <c r="AG53" i="1"/>
  <c r="AQ111" i="1"/>
  <c r="AF129" i="16"/>
  <c r="FF156" i="15"/>
  <c r="AG94" i="1"/>
  <c r="AJ49" i="1"/>
  <c r="AF51" i="1"/>
  <c r="AJ90" i="1"/>
  <c r="GC41" i="10"/>
  <c r="AG116" i="1"/>
  <c r="AO34" i="17"/>
  <c r="AI98" i="16"/>
  <c r="AI143" i="1"/>
  <c r="AP32" i="17"/>
  <c r="AG107" i="1"/>
  <c r="AF93" i="1"/>
  <c r="AI99" i="1"/>
  <c r="AH124" i="1"/>
  <c r="GA56" i="24"/>
  <c r="AJ109" i="16"/>
  <c r="FK150" i="15"/>
  <c r="AF117" i="1"/>
  <c r="BY597" i="15"/>
  <c r="AF47" i="16"/>
  <c r="AK129" i="1"/>
  <c r="AK116" i="16"/>
  <c r="GC53" i="24"/>
  <c r="AK73" i="1"/>
  <c r="AF129" i="1"/>
  <c r="AF106" i="1"/>
  <c r="AI136" i="16"/>
  <c r="AI132" i="1"/>
  <c r="AK130" i="16"/>
  <c r="AH137" i="16"/>
  <c r="AI39" i="17"/>
  <c r="AI143" i="16"/>
  <c r="BW601" i="15"/>
  <c r="AK112" i="16"/>
  <c r="AQ143" i="16"/>
  <c r="AI119" i="16"/>
  <c r="AJ123" i="16"/>
  <c r="FM138" i="17"/>
  <c r="AQ101" i="1"/>
  <c r="AG110" i="16"/>
  <c r="BA58" i="32" a="1"/>
  <c r="AG93" i="1"/>
  <c r="AP33" i="15"/>
  <c r="AF92" i="16"/>
  <c r="AQ143" i="1"/>
  <c r="AG59" i="1"/>
  <c r="EZ130" i="17"/>
  <c r="AQ104" i="16"/>
  <c r="AH110" i="16"/>
  <c r="AF56" i="16"/>
  <c r="AQ136" i="1"/>
  <c r="AK91" i="16"/>
  <c r="AK106" i="1"/>
  <c r="AG112" i="1"/>
  <c r="AQ96" i="1"/>
  <c r="AI75" i="16"/>
  <c r="AJ116" i="16"/>
  <c r="AX57" i="32" a="1"/>
  <c r="AJ62" i="16"/>
  <c r="GC53" i="10"/>
  <c r="AX44" i="32" a="1"/>
  <c r="AI107" i="16"/>
  <c r="AF136" i="1"/>
  <c r="AF114" i="1"/>
  <c r="AQ114" i="16"/>
  <c r="AG106" i="16"/>
  <c r="AJ114" i="1"/>
  <c r="CH601" i="15"/>
  <c r="AF130" i="16"/>
  <c r="AJ112" i="1"/>
  <c r="AI101" i="16"/>
  <c r="AF44" i="1"/>
  <c r="AJ105" i="1"/>
  <c r="AK104" i="1"/>
  <c r="AG122" i="1"/>
  <c r="AO33" i="17"/>
  <c r="AF116" i="16"/>
  <c r="AJ124" i="1"/>
  <c r="AF63" i="16"/>
  <c r="AG58" i="1"/>
  <c r="AF99" i="1"/>
  <c r="AF86" i="16"/>
  <c r="AH91" i="1"/>
  <c r="AQ56" i="16"/>
  <c r="AI123" i="16"/>
  <c r="AI137" i="1"/>
  <c r="AP34" i="17"/>
  <c r="AJ111" i="16"/>
  <c r="AI80" i="1"/>
  <c r="AX60" i="32" a="1"/>
  <c r="AK92" i="1"/>
  <c r="GC46" i="10"/>
  <c r="AJ92" i="16"/>
  <c r="AF97" i="16"/>
  <c r="AQ112" i="16"/>
  <c r="AQ114" i="1"/>
  <c r="AI137" i="16"/>
  <c r="GC55" i="10"/>
  <c r="AF107" i="16"/>
  <c r="AJ136" i="16"/>
  <c r="AK131" i="1"/>
  <c r="AJ125" i="1"/>
  <c r="AH112" i="1"/>
  <c r="AP35" i="17"/>
  <c r="AC136" i="16"/>
  <c r="AI126" i="1"/>
  <c r="Y27" i="23"/>
  <c r="AQ94" i="16"/>
  <c r="EY152" i="17"/>
  <c r="CK596" i="15"/>
  <c r="FK151" i="17"/>
  <c r="AQ79" i="1"/>
  <c r="AK97" i="1"/>
  <c r="AJ65" i="1"/>
  <c r="FC149" i="17"/>
  <c r="AH66" i="1"/>
  <c r="FI152" i="15"/>
  <c r="FC147" i="17"/>
  <c r="AK62" i="1"/>
  <c r="AQ109" i="16"/>
  <c r="AJ68" i="1"/>
  <c r="GC40" i="10"/>
  <c r="FI160" i="17"/>
  <c r="FF163" i="17"/>
  <c r="AK31" i="1"/>
  <c r="AH61" i="16"/>
  <c r="AF106" i="16"/>
  <c r="AB59" i="16"/>
  <c r="FF143" i="17"/>
  <c r="AQ112" i="1"/>
  <c r="AJ130" i="1"/>
  <c r="AH125" i="16"/>
  <c r="AQ132" i="1"/>
  <c r="AF124" i="16"/>
  <c r="AJ143" i="1"/>
  <c r="AJ107" i="1"/>
  <c r="AI77" i="1"/>
  <c r="AI99" i="16"/>
  <c r="AB136" i="1"/>
  <c r="BA38" i="32" a="1"/>
  <c r="AB129" i="1"/>
  <c r="AG52" i="16"/>
  <c r="AH98" i="16"/>
  <c r="AI107" i="1"/>
  <c r="AJ124" i="16"/>
  <c r="AJ119" i="1"/>
  <c r="AH130" i="16"/>
  <c r="AJ91" i="16"/>
  <c r="AI136" i="1"/>
  <c r="CH597" i="15"/>
  <c r="AH129" i="16"/>
  <c r="AQ124" i="16"/>
  <c r="AK86" i="16"/>
  <c r="AH110" i="1"/>
  <c r="AQ105" i="16"/>
  <c r="AK137" i="1"/>
  <c r="AJ130" i="16"/>
  <c r="AB143" i="1"/>
  <c r="AK114" i="1"/>
  <c r="EX156" i="17"/>
  <c r="AJ32" i="1"/>
  <c r="FG161" i="17"/>
  <c r="FI146" i="15"/>
  <c r="FE148" i="15"/>
  <c r="AP30" i="15"/>
  <c r="FA156" i="17"/>
  <c r="AI69" i="1"/>
  <c r="AI31" i="16"/>
  <c r="FB160" i="17"/>
  <c r="FD155" i="15"/>
  <c r="AI46" i="16"/>
  <c r="FG145" i="17"/>
  <c r="FH156" i="17"/>
  <c r="GD52" i="18"/>
  <c r="AQ96" i="16"/>
  <c r="AK110" i="1"/>
  <c r="AA25" i="2"/>
  <c r="AI123" i="1"/>
  <c r="AK51" i="1"/>
  <c r="EY149" i="17"/>
  <c r="FH159" i="15"/>
  <c r="FG151" i="17"/>
  <c r="FC151" i="15"/>
  <c r="AK48" i="1"/>
  <c r="GC44" i="10"/>
  <c r="AH86" i="1"/>
  <c r="GC55" i="24"/>
  <c r="FA155" i="15"/>
  <c r="AG72" i="16"/>
  <c r="EY155" i="17"/>
  <c r="FD143" i="17"/>
  <c r="AJ95" i="1"/>
  <c r="FK158" i="17"/>
  <c r="AI43" i="16"/>
  <c r="FE162" i="17"/>
  <c r="FF155" i="17"/>
  <c r="AQ43" i="16"/>
  <c r="FJ146" i="17"/>
  <c r="EX157" i="15"/>
  <c r="FN165" i="15"/>
  <c r="AK58" i="16"/>
  <c r="AJ129" i="1"/>
  <c r="FJ163" i="15"/>
  <c r="AB108" i="1"/>
  <c r="FE157" i="17"/>
  <c r="FJ158" i="15"/>
  <c r="EZ129" i="17"/>
  <c r="AO32" i="15"/>
  <c r="AK103" i="16"/>
  <c r="AQ122" i="16"/>
  <c r="AG115" i="1"/>
  <c r="AJ115" i="16"/>
  <c r="AI115" i="1"/>
  <c r="AK65" i="16"/>
  <c r="AF123" i="16"/>
  <c r="AQ99" i="1"/>
  <c r="GC54" i="10"/>
  <c r="AG107" i="16"/>
  <c r="AQ113" i="1"/>
  <c r="AQ116" i="16"/>
  <c r="AF112" i="1"/>
  <c r="BA52" i="32" a="1"/>
  <c r="AQ136" i="16"/>
  <c r="BY596" i="15"/>
  <c r="AH55" i="16"/>
  <c r="AG123" i="1"/>
  <c r="AX53" i="32" a="1"/>
  <c r="AH109" i="1"/>
  <c r="AH123" i="1"/>
  <c r="AK130" i="1"/>
  <c r="AG117" i="16"/>
  <c r="AK113" i="1"/>
  <c r="AH35" i="17"/>
  <c r="AC143" i="1"/>
  <c r="AF137" i="1"/>
  <c r="AG124" i="16"/>
  <c r="AG136" i="16"/>
  <c r="AI114" i="16"/>
  <c r="AF113" i="1"/>
  <c r="AQ131" i="16"/>
  <c r="AK100" i="16"/>
  <c r="AI110" i="16"/>
  <c r="AI104" i="1"/>
  <c r="AH100" i="16"/>
  <c r="GD53" i="24"/>
  <c r="AX40" i="32" a="1"/>
  <c r="AI87" i="16"/>
  <c r="AJ104" i="16"/>
  <c r="AI130" i="16"/>
  <c r="FC146" i="15"/>
  <c r="AG67" i="1"/>
  <c r="AQ124" i="1"/>
  <c r="AX36" i="32" a="1"/>
  <c r="AQ98" i="16"/>
  <c r="AF98" i="16"/>
  <c r="AG116" i="16"/>
  <c r="AQ131" i="1"/>
  <c r="AG99" i="16"/>
  <c r="AG101" i="1"/>
  <c r="AG42" i="1"/>
  <c r="AK110" i="16"/>
  <c r="AG104" i="1"/>
  <c r="AJ97" i="16"/>
  <c r="GA51" i="24"/>
  <c r="AK99" i="1"/>
  <c r="AI124" i="16"/>
  <c r="AG136" i="1"/>
  <c r="AH106" i="1"/>
  <c r="AP35" i="15"/>
  <c r="BX600" i="15"/>
  <c r="BZ600" i="15"/>
  <c r="AB136" i="16"/>
  <c r="AH136" i="1"/>
  <c r="AH99" i="1"/>
  <c r="AI64" i="1"/>
  <c r="AQ105" i="1"/>
  <c r="AQ130" i="1"/>
  <c r="AF122" i="16"/>
  <c r="BY594" i="15"/>
  <c r="FA142" i="15"/>
  <c r="AK122" i="16"/>
  <c r="AJ136" i="1"/>
  <c r="FB145" i="17"/>
  <c r="AC115" i="16"/>
  <c r="AI129" i="16"/>
  <c r="GC54" i="24"/>
  <c r="AF115" i="16"/>
  <c r="Y27" i="2"/>
  <c r="AK105" i="1"/>
  <c r="AQ118" i="16"/>
  <c r="AK99" i="16"/>
  <c r="AQ115" i="1"/>
  <c r="AH71" i="16"/>
  <c r="AH123" i="16"/>
  <c r="AI109" i="1"/>
  <c r="GD48" i="18"/>
  <c r="AH98" i="1"/>
  <c r="BA47" i="32" a="1"/>
  <c r="AF100" i="16"/>
  <c r="AG112" i="16"/>
  <c r="AK136" i="16"/>
  <c r="AK107" i="16"/>
  <c r="AI120" i="1"/>
  <c r="AJ118" i="16"/>
  <c r="AI138" i="1"/>
  <c r="AQ126" i="1"/>
  <c r="GD56" i="18"/>
  <c r="AK143" i="1"/>
  <c r="EZ147" i="17"/>
  <c r="FB155" i="15"/>
  <c r="AF32" i="16"/>
  <c r="AJ70" i="16"/>
  <c r="AH90" i="1"/>
  <c r="AQ63" i="16"/>
  <c r="AP31" i="15"/>
  <c r="AK69" i="1"/>
  <c r="AA21" i="2"/>
  <c r="AB101" i="1"/>
  <c r="AQ92" i="16"/>
  <c r="AC115" i="1"/>
  <c r="AQ81" i="16"/>
  <c r="AH105" i="16"/>
  <c r="GD47" i="18"/>
  <c r="AF108" i="1"/>
  <c r="FE165" i="17"/>
  <c r="AK118" i="1"/>
  <c r="AI124" i="1"/>
  <c r="AH100" i="1"/>
  <c r="FG144" i="15"/>
  <c r="AH113" i="16"/>
  <c r="CK601" i="15"/>
  <c r="AQ90" i="1"/>
  <c r="AH97" i="1"/>
  <c r="AC136" i="1"/>
  <c r="AI62" i="16"/>
  <c r="BA42" i="32" a="1"/>
  <c r="AJ118" i="1"/>
  <c r="AB122" i="1"/>
  <c r="AI117" i="16"/>
  <c r="AC129" i="16"/>
  <c r="AG143" i="1"/>
  <c r="AH143" i="16"/>
  <c r="AH111" i="1"/>
  <c r="AI96" i="16"/>
  <c r="AK111" i="16"/>
  <c r="BA51" i="32" a="1"/>
  <c r="BA59" i="32" a="1"/>
  <c r="AK107" i="1"/>
  <c r="AF90" i="16"/>
  <c r="AH80" i="1"/>
  <c r="AH35" i="15"/>
  <c r="AH114" i="16"/>
  <c r="AG131" i="1"/>
  <c r="DG36" i="32" l="1"/>
  <c r="DJ42" i="32"/>
  <c r="DH55" i="32"/>
  <c r="AC130" i="16"/>
  <c r="AC131" i="16" s="1"/>
  <c r="AC132" i="16" s="1"/>
  <c r="AC133" i="16" s="1"/>
  <c r="AC134" i="16" s="1"/>
  <c r="AC135" i="16" s="1"/>
  <c r="DJ31" i="32"/>
  <c r="DH35" i="32"/>
  <c r="DJ43" i="32"/>
  <c r="DG46" i="32"/>
  <c r="DG55" i="32"/>
  <c r="BG100" i="16"/>
  <c r="DG33" i="32"/>
  <c r="DH40" i="32"/>
  <c r="DG48" i="32"/>
  <c r="DJ53" i="32"/>
  <c r="DG56" i="32"/>
  <c r="GO54" i="10"/>
  <c r="HD54" i="10" s="1"/>
  <c r="DH31" i="32"/>
  <c r="DJ35" i="32"/>
  <c r="DG43" i="32"/>
  <c r="DG50" i="32"/>
  <c r="DG57" i="32"/>
  <c r="GN53" i="10"/>
  <c r="HC53" i="10" s="1"/>
  <c r="BA47" i="32"/>
  <c r="BP47" i="32" s="1"/>
  <c r="AX44" i="32"/>
  <c r="BG97" i="16"/>
  <c r="AX47" i="32"/>
  <c r="BG91" i="16"/>
  <c r="BG82" i="16"/>
  <c r="GM51" i="24"/>
  <c r="HB51" i="24" s="1"/>
  <c r="AC81" i="16"/>
  <c r="AC82" i="16" s="1"/>
  <c r="AC83" i="16" s="1"/>
  <c r="AC84" i="16" s="1"/>
  <c r="AC85" i="16" s="1"/>
  <c r="AC86" i="16" s="1"/>
  <c r="GO53" i="10"/>
  <c r="HD53" i="10" s="1"/>
  <c r="AX53" i="32"/>
  <c r="AX56" i="32"/>
  <c r="AX58" i="32"/>
  <c r="GP48" i="18"/>
  <c r="HE48" i="18" s="1"/>
  <c r="GO46" i="10"/>
  <c r="HD46" i="10" s="1"/>
  <c r="CF598" i="15"/>
  <c r="CQ598" i="15" s="1"/>
  <c r="CV598" i="15" s="1"/>
  <c r="BA61" i="32"/>
  <c r="BP61" i="32" s="1"/>
  <c r="BA56" i="32"/>
  <c r="BP56" i="32" s="1"/>
  <c r="AX57" i="32"/>
  <c r="AX42" i="32"/>
  <c r="BA49" i="32"/>
  <c r="BP49" i="32" s="1"/>
  <c r="AX60" i="32"/>
  <c r="AX48" i="32"/>
  <c r="AX61" i="32"/>
  <c r="AB123" i="1"/>
  <c r="AB124" i="1" s="1"/>
  <c r="AB125" i="1" s="1"/>
  <c r="AB126" i="1" s="1"/>
  <c r="AB127" i="1" s="1"/>
  <c r="AB128" i="1" s="1"/>
  <c r="AB109" i="16"/>
  <c r="AB110" i="16" s="1"/>
  <c r="AB111" i="16" s="1"/>
  <c r="AB112" i="16" s="1"/>
  <c r="AB113" i="16" s="1"/>
  <c r="AB114" i="16" s="1"/>
  <c r="BG90" i="16"/>
  <c r="CE596" i="15"/>
  <c r="CP596" i="15" s="1"/>
  <c r="CU596" i="15" s="1"/>
  <c r="BG47" i="16"/>
  <c r="DJ40" i="32"/>
  <c r="DH58" i="32"/>
  <c r="GM55" i="24"/>
  <c r="HB55" i="24" s="1"/>
  <c r="BG117" i="16"/>
  <c r="DG30" i="32"/>
  <c r="DH47" i="32"/>
  <c r="BG123" i="16"/>
  <c r="DH30" i="32"/>
  <c r="DH36" i="32"/>
  <c r="DJ44" i="32"/>
  <c r="DJ46" i="32"/>
  <c r="DJ58" i="32"/>
  <c r="GP55" i="24"/>
  <c r="HE55" i="24" s="1"/>
  <c r="DG31" i="32"/>
  <c r="DM31" i="32" s="1"/>
  <c r="DP31" i="32" s="1"/>
  <c r="DH39" i="32"/>
  <c r="DH44" i="32"/>
  <c r="DJ47" i="32"/>
  <c r="DJ56" i="32"/>
  <c r="CF599" i="15"/>
  <c r="CQ599" i="15" s="1"/>
  <c r="CV599" i="15" s="1"/>
  <c r="BG111" i="16"/>
  <c r="DJ34" i="32"/>
  <c r="DH42" i="32"/>
  <c r="DH50" i="32"/>
  <c r="DG53" i="32"/>
  <c r="DJ32" i="32"/>
  <c r="DG39" i="32"/>
  <c r="DJ45" i="32"/>
  <c r="DH48" i="32"/>
  <c r="DH56" i="32"/>
  <c r="AB130" i="1"/>
  <c r="AB131" i="1" s="1"/>
  <c r="AB132" i="1" s="1"/>
  <c r="AB133" i="1" s="1"/>
  <c r="AB134" i="1" s="1"/>
  <c r="AB135" i="1" s="1"/>
  <c r="CE597" i="15"/>
  <c r="CP597" i="15" s="1"/>
  <c r="CU597" i="15" s="1"/>
  <c r="AX52" i="32"/>
  <c r="BA59" i="32"/>
  <c r="BP59" i="32" s="1"/>
  <c r="W27" i="2"/>
  <c r="AB88" i="16"/>
  <c r="AB89" i="16" s="1"/>
  <c r="AB90" i="16" s="1"/>
  <c r="AB91" i="16" s="1"/>
  <c r="AB92" i="16" s="1"/>
  <c r="AB93" i="16" s="1"/>
  <c r="BG98" i="16"/>
  <c r="GP54" i="18"/>
  <c r="HE54" i="18" s="1"/>
  <c r="AC130" i="1"/>
  <c r="AC131" i="1" s="1"/>
  <c r="AC132" i="1" s="1"/>
  <c r="AC133" i="1" s="1"/>
  <c r="AC134" i="1" s="1"/>
  <c r="AC135" i="1" s="1"/>
  <c r="BG115" i="16"/>
  <c r="BA42" i="32"/>
  <c r="BP42" i="32" s="1"/>
  <c r="BA48" i="32"/>
  <c r="BP48" i="32" s="1"/>
  <c r="BG56" i="16"/>
  <c r="AC123" i="16"/>
  <c r="AC124" i="16" s="1"/>
  <c r="AC125" i="16" s="1"/>
  <c r="AC126" i="16" s="1"/>
  <c r="AC127" i="16" s="1"/>
  <c r="AC128" i="16" s="1"/>
  <c r="BA38" i="32"/>
  <c r="BP38" i="32" s="1"/>
  <c r="AX38" i="32"/>
  <c r="BG86" i="16"/>
  <c r="AX36" i="32"/>
  <c r="BA52" i="32"/>
  <c r="BP52" i="32" s="1"/>
  <c r="AX43" i="32"/>
  <c r="GP51" i="18"/>
  <c r="HE51" i="18" s="1"/>
  <c r="BA43" i="32"/>
  <c r="BP43" i="32" s="1"/>
  <c r="AX39" i="32"/>
  <c r="AX51" i="32"/>
  <c r="BA51" i="32"/>
  <c r="BP51" i="32" s="1"/>
  <c r="AC116" i="16"/>
  <c r="AC117" i="16" s="1"/>
  <c r="AC118" i="16" s="1"/>
  <c r="AC119" i="16" s="1"/>
  <c r="AC120" i="16" s="1"/>
  <c r="AC121" i="16" s="1"/>
  <c r="BG35" i="16"/>
  <c r="AB74" i="16"/>
  <c r="AB75" i="16" s="1"/>
  <c r="AB76" i="16" s="1"/>
  <c r="AB77" i="16" s="1"/>
  <c r="AB78" i="16" s="1"/>
  <c r="AB79" i="16" s="1"/>
  <c r="BG63" i="16"/>
  <c r="AB60" i="16"/>
  <c r="AB61" i="16" s="1"/>
  <c r="AB62" i="16" s="1"/>
  <c r="AB63" i="16" s="1"/>
  <c r="AB64" i="16" s="1"/>
  <c r="AB65" i="16" s="1"/>
  <c r="DH45" i="32"/>
  <c r="AC137" i="1"/>
  <c r="AC138" i="1" s="1"/>
  <c r="AC139" i="1" s="1"/>
  <c r="AC140" i="1" s="1"/>
  <c r="AC141" i="1" s="1"/>
  <c r="AC142" i="1" s="1"/>
  <c r="DH33" i="32"/>
  <c r="DJ39" i="32"/>
  <c r="DG45" i="32"/>
  <c r="DJ54" i="32"/>
  <c r="DH57" i="32"/>
  <c r="DM57" i="32" s="1"/>
  <c r="BG105" i="16"/>
  <c r="DJ30" i="32"/>
  <c r="DJ36" i="32"/>
  <c r="DH43" i="32"/>
  <c r="DM43" i="32" s="1"/>
  <c r="DJ48" i="32"/>
  <c r="DG58" i="32"/>
  <c r="CE599" i="15"/>
  <c r="CP599" i="15" s="1"/>
  <c r="CU599" i="15" s="1"/>
  <c r="AB137" i="1"/>
  <c r="AB138" i="1" s="1"/>
  <c r="AB139" i="1" s="1"/>
  <c r="AB140" i="1" s="1"/>
  <c r="AB141" i="1" s="1"/>
  <c r="AB142" i="1" s="1"/>
  <c r="DJ33" i="32"/>
  <c r="DJ41" i="32"/>
  <c r="DG47" i="32"/>
  <c r="DH54" i="32"/>
  <c r="CE598" i="15"/>
  <c r="CP598" i="15" s="1"/>
  <c r="CU598" i="15" s="1"/>
  <c r="BG116" i="16"/>
  <c r="BG92" i="16"/>
  <c r="BA45" i="32"/>
  <c r="BP45" i="32" s="1"/>
  <c r="BG85" i="16"/>
  <c r="AX59" i="32"/>
  <c r="AX37" i="32"/>
  <c r="CF597" i="15"/>
  <c r="CQ597" i="15" s="1"/>
  <c r="CV597" i="15" s="1"/>
  <c r="AC123" i="1"/>
  <c r="AC124" i="1" s="1"/>
  <c r="AC125" i="1" s="1"/>
  <c r="AC126" i="1" s="1"/>
  <c r="AC127" i="1" s="1"/>
  <c r="AC128" i="1" s="1"/>
  <c r="BA41" i="32"/>
  <c r="BP41" i="32" s="1"/>
  <c r="GP53" i="18"/>
  <c r="HE53" i="18" s="1"/>
  <c r="BA54" i="32"/>
  <c r="BP54" i="32" s="1"/>
  <c r="CE594" i="15"/>
  <c r="CP594" i="15" s="1"/>
  <c r="CU594" i="15" s="1"/>
  <c r="AX40" i="32"/>
  <c r="AX49" i="32"/>
  <c r="BG122" i="16"/>
  <c r="GP53" i="24"/>
  <c r="HE53" i="24" s="1"/>
  <c r="AX45" i="32"/>
  <c r="BA58" i="32"/>
  <c r="BP58" i="32" s="1"/>
  <c r="AX54" i="32"/>
  <c r="AX41" i="32"/>
  <c r="BA44" i="32"/>
  <c r="BP44" i="32" s="1"/>
  <c r="AC46" i="16"/>
  <c r="AC47" i="16" s="1"/>
  <c r="AC48" i="16" s="1"/>
  <c r="AC49" i="16" s="1"/>
  <c r="AC50" i="16" s="1"/>
  <c r="AC51" i="16" s="1"/>
  <c r="AB116" i="16"/>
  <c r="AB117" i="16" s="1"/>
  <c r="AB118" i="16" s="1"/>
  <c r="AB119" i="16" s="1"/>
  <c r="AB120" i="16" s="1"/>
  <c r="AB121" i="16" s="1"/>
  <c r="AB95" i="1"/>
  <c r="AB96" i="1" s="1"/>
  <c r="AB97" i="1" s="1"/>
  <c r="AB98" i="1" s="1"/>
  <c r="AB99" i="1" s="1"/>
  <c r="AB100" i="1" s="1"/>
  <c r="CF591" i="15"/>
  <c r="CQ591" i="15" s="1"/>
  <c r="CV591" i="15" s="1"/>
  <c r="DH32" i="32"/>
  <c r="DJ50" i="32"/>
  <c r="DH34" i="32"/>
  <c r="DH41" i="32"/>
  <c r="DH46" i="32"/>
  <c r="DH53" i="32"/>
  <c r="DM53" i="32" s="1"/>
  <c r="GN54" i="10"/>
  <c r="HC54" i="10" s="1"/>
  <c r="GP55" i="18"/>
  <c r="HE55" i="18" s="1"/>
  <c r="DG34" i="32"/>
  <c r="DG41" i="32"/>
  <c r="DM41" i="32" s="1"/>
  <c r="DO41" i="32" s="1"/>
  <c r="DH49" i="32"/>
  <c r="DG54" i="32"/>
  <c r="BG99" i="16"/>
  <c r="DG32" i="32"/>
  <c r="DG40" i="32"/>
  <c r="DG44" i="32"/>
  <c r="DJ49" i="32"/>
  <c r="DJ57" i="32"/>
  <c r="BG129" i="16"/>
  <c r="AB130" i="16"/>
  <c r="AB131" i="16" s="1"/>
  <c r="AB132" i="16" s="1"/>
  <c r="AB133" i="16" s="1"/>
  <c r="AB134" i="16" s="1"/>
  <c r="AB135" i="16" s="1"/>
  <c r="DG35" i="32"/>
  <c r="DG42" i="32"/>
  <c r="DG49" i="32"/>
  <c r="DJ55" i="32"/>
  <c r="AB123" i="16"/>
  <c r="AB124" i="16" s="1"/>
  <c r="AB125" i="16" s="1"/>
  <c r="AB126" i="16" s="1"/>
  <c r="AB127" i="16" s="1"/>
  <c r="AB128" i="16" s="1"/>
  <c r="GM54" i="24"/>
  <c r="HB54" i="24" s="1"/>
  <c r="BG110" i="16"/>
  <c r="BA50" i="32"/>
  <c r="BP50" i="32" s="1"/>
  <c r="BA36" i="32"/>
  <c r="BP36" i="32" s="1"/>
  <c r="AX50" i="32"/>
  <c r="AX55" i="32"/>
  <c r="GO42" i="10"/>
  <c r="HD42" i="10" s="1"/>
  <c r="BA53" i="32"/>
  <c r="BP53" i="32" s="1"/>
  <c r="GN52" i="10"/>
  <c r="HC52" i="10" s="1"/>
  <c r="BA39" i="32"/>
  <c r="BP39" i="32" s="1"/>
  <c r="BA40" i="32"/>
  <c r="BP40" i="32" s="1"/>
  <c r="AX46" i="32"/>
  <c r="GN49" i="10"/>
  <c r="HC49" i="10" s="1"/>
  <c r="BG93" i="16"/>
  <c r="BG104" i="16"/>
  <c r="GP54" i="24"/>
  <c r="HE54" i="24" s="1"/>
  <c r="GO52" i="10"/>
  <c r="HD52" i="10" s="1"/>
  <c r="BA57" i="32"/>
  <c r="BP57" i="32" s="1"/>
  <c r="BA46" i="32"/>
  <c r="BP46" i="32" s="1"/>
  <c r="BA37" i="32"/>
  <c r="BP37" i="32" s="1"/>
  <c r="BA55" i="32"/>
  <c r="BP55" i="32" s="1"/>
  <c r="BA60" i="32"/>
  <c r="BP60" i="32" s="1"/>
  <c r="BG62" i="16"/>
  <c r="BG64" i="16"/>
  <c r="CF596" i="15"/>
  <c r="CQ596" i="15" s="1"/>
  <c r="CV596" i="15" s="1"/>
  <c r="W26" i="2"/>
  <c r="GO41" i="10"/>
  <c r="HD41" i="10" s="1"/>
  <c r="W25" i="2"/>
  <c r="GO44" i="10"/>
  <c r="HD44" i="10" s="1"/>
  <c r="AC95" i="1"/>
  <c r="AC96" i="1" s="1"/>
  <c r="AC97" i="1" s="1"/>
  <c r="AC98" i="1" s="1"/>
  <c r="AC99" i="1" s="1"/>
  <c r="AC100" i="1" s="1"/>
  <c r="GM53" i="24"/>
  <c r="HB53" i="24" s="1"/>
  <c r="AC102" i="1"/>
  <c r="AC103" i="1" s="1"/>
  <c r="AC104" i="1" s="1"/>
  <c r="AC105" i="1" s="1"/>
  <c r="AC106" i="1" s="1"/>
  <c r="AC107" i="1" s="1"/>
  <c r="GP50" i="24"/>
  <c r="HE50" i="24" s="1"/>
  <c r="W23" i="23"/>
  <c r="GP41" i="18"/>
  <c r="HE41" i="18" s="1"/>
  <c r="AC32" i="16"/>
  <c r="AC33" i="16" s="1"/>
  <c r="AC34" i="16" s="1"/>
  <c r="AC35" i="16" s="1"/>
  <c r="AC36" i="16" s="1"/>
  <c r="AC37" i="16" s="1"/>
  <c r="GN51" i="10"/>
  <c r="HC51" i="10" s="1"/>
  <c r="BG36" i="16"/>
  <c r="GN47" i="10"/>
  <c r="HC47" i="10" s="1"/>
  <c r="CF589" i="15"/>
  <c r="CQ589" i="15" s="1"/>
  <c r="CV589" i="15" s="1"/>
  <c r="BG108" i="16"/>
  <c r="AB102" i="1"/>
  <c r="AB103" i="1" s="1"/>
  <c r="AB104" i="1" s="1"/>
  <c r="AB105" i="1" s="1"/>
  <c r="AB106" i="1" s="1"/>
  <c r="AB107" i="1" s="1"/>
  <c r="BG78" i="16"/>
  <c r="W24" i="2"/>
  <c r="BG70" i="16"/>
  <c r="CE591" i="15"/>
  <c r="CP591" i="15" s="1"/>
  <c r="CU591" i="15" s="1"/>
  <c r="BG101" i="16"/>
  <c r="GO40" i="10"/>
  <c r="HD40" i="10" s="1"/>
  <c r="AB67" i="1"/>
  <c r="AB68" i="1" s="1"/>
  <c r="AB69" i="1" s="1"/>
  <c r="AB70" i="1" s="1"/>
  <c r="AB71" i="1" s="1"/>
  <c r="AB72" i="1" s="1"/>
  <c r="AM20" i="15"/>
  <c r="AC116" i="1"/>
  <c r="AC117" i="1" s="1"/>
  <c r="AC118" i="1" s="1"/>
  <c r="AC119" i="1" s="1"/>
  <c r="AC120" i="1" s="1"/>
  <c r="AC121" i="1" s="1"/>
  <c r="GP45" i="24"/>
  <c r="HE45" i="24" s="1"/>
  <c r="BG109" i="16"/>
  <c r="GO45" i="10"/>
  <c r="HD45" i="10" s="1"/>
  <c r="GN45" i="10"/>
  <c r="HC45" i="10" s="1"/>
  <c r="BG74" i="16"/>
  <c r="CE593" i="15"/>
  <c r="CP593" i="15" s="1"/>
  <c r="CU593" i="15" s="1"/>
  <c r="BG48" i="16"/>
  <c r="GP47" i="18"/>
  <c r="HE47" i="18" s="1"/>
  <c r="GM48" i="24"/>
  <c r="HB48" i="24" s="1"/>
  <c r="GP49" i="18"/>
  <c r="HE49" i="18" s="1"/>
  <c r="CE590" i="15"/>
  <c r="CP590" i="15" s="1"/>
  <c r="CU590" i="15" s="1"/>
  <c r="BG87" i="16"/>
  <c r="AB109" i="1"/>
  <c r="AB110" i="1" s="1"/>
  <c r="AB111" i="1" s="1"/>
  <c r="AB112" i="1" s="1"/>
  <c r="AB113" i="1" s="1"/>
  <c r="AB114" i="1" s="1"/>
  <c r="BG60" i="16"/>
  <c r="AC109" i="16"/>
  <c r="AC110" i="16" s="1"/>
  <c r="AC111" i="16" s="1"/>
  <c r="AC112" i="16" s="1"/>
  <c r="AC113" i="16" s="1"/>
  <c r="AC114" i="16" s="1"/>
  <c r="AB81" i="1"/>
  <c r="AB82" i="1" s="1"/>
  <c r="AB83" i="1" s="1"/>
  <c r="AB84" i="1" s="1"/>
  <c r="AB85" i="1" s="1"/>
  <c r="AB86" i="1" s="1"/>
  <c r="AM20" i="17"/>
  <c r="BG57" i="16"/>
  <c r="CF593" i="15"/>
  <c r="CQ593" i="15" s="1"/>
  <c r="CV593" i="15" s="1"/>
  <c r="BG89" i="16"/>
  <c r="AC74" i="16"/>
  <c r="AC75" i="16" s="1"/>
  <c r="AC76" i="16" s="1"/>
  <c r="AC77" i="16" s="1"/>
  <c r="AC78" i="16" s="1"/>
  <c r="AC79" i="16" s="1"/>
  <c r="GO49" i="10"/>
  <c r="HD49" i="10" s="1"/>
  <c r="BG33" i="16"/>
  <c r="BG59" i="16"/>
  <c r="AC74" i="1"/>
  <c r="AC75" i="1" s="1"/>
  <c r="AC76" i="1" s="1"/>
  <c r="AC77" i="1" s="1"/>
  <c r="AC78" i="1" s="1"/>
  <c r="AC79" i="1" s="1"/>
  <c r="GO51" i="10"/>
  <c r="HD51" i="10" s="1"/>
  <c r="BG88" i="16"/>
  <c r="GP52" i="18"/>
  <c r="HE52" i="18" s="1"/>
  <c r="AC102" i="16"/>
  <c r="AC103" i="16" s="1"/>
  <c r="AC104" i="16" s="1"/>
  <c r="AC105" i="16" s="1"/>
  <c r="AC106" i="16" s="1"/>
  <c r="AC107" i="16" s="1"/>
  <c r="W24" i="23"/>
  <c r="AB95" i="16"/>
  <c r="AB96" i="16" s="1"/>
  <c r="AB97" i="16" s="1"/>
  <c r="AB98" i="16" s="1"/>
  <c r="AB99" i="16" s="1"/>
  <c r="AB100" i="16" s="1"/>
  <c r="GP42" i="18"/>
  <c r="HE42" i="18" s="1"/>
  <c r="GN41" i="10"/>
  <c r="HC41" i="10" s="1"/>
  <c r="AC67" i="16"/>
  <c r="AC68" i="16" s="1"/>
  <c r="AC69" i="16" s="1"/>
  <c r="AC70" i="16" s="1"/>
  <c r="AC71" i="16" s="1"/>
  <c r="AC72" i="16" s="1"/>
  <c r="AC67" i="1"/>
  <c r="AC68" i="1" s="1"/>
  <c r="AC69" i="1" s="1"/>
  <c r="AC70" i="1" s="1"/>
  <c r="AC71" i="1" s="1"/>
  <c r="AC72" i="1" s="1"/>
  <c r="BG72" i="16"/>
  <c r="GP45" i="18"/>
  <c r="HE45" i="18" s="1"/>
  <c r="GP52" i="24"/>
  <c r="HE52" i="24" s="1"/>
  <c r="GP42" i="24"/>
  <c r="HE42" i="24" s="1"/>
  <c r="GO48" i="10"/>
  <c r="HD48" i="10" s="1"/>
  <c r="W23" i="2"/>
  <c r="AC88" i="1"/>
  <c r="AC89" i="1" s="1"/>
  <c r="AC90" i="1" s="1"/>
  <c r="AC91" i="1" s="1"/>
  <c r="AC92" i="1" s="1"/>
  <c r="AC93" i="1" s="1"/>
  <c r="AC46" i="1"/>
  <c r="AC47" i="1" s="1"/>
  <c r="AC48" i="1" s="1"/>
  <c r="AC49" i="1" s="1"/>
  <c r="AC50" i="1" s="1"/>
  <c r="AC51" i="1" s="1"/>
  <c r="GM47" i="24"/>
  <c r="HB47" i="24" s="1"/>
  <c r="AC53" i="16"/>
  <c r="AC54" i="16" s="1"/>
  <c r="AC55" i="16" s="1"/>
  <c r="AC56" i="16" s="1"/>
  <c r="AC57" i="16" s="1"/>
  <c r="AC58" i="16" s="1"/>
  <c r="BG94" i="16"/>
  <c r="CF594" i="15"/>
  <c r="CQ594" i="15" s="1"/>
  <c r="CV594" i="15" s="1"/>
  <c r="BG96" i="16"/>
  <c r="AB67" i="16"/>
  <c r="AB68" i="16" s="1"/>
  <c r="AB69" i="16" s="1"/>
  <c r="AB70" i="16" s="1"/>
  <c r="AB71" i="16" s="1"/>
  <c r="AB72" i="16" s="1"/>
  <c r="AB88" i="1"/>
  <c r="AB89" i="1" s="1"/>
  <c r="AB90" i="1" s="1"/>
  <c r="AB91" i="1" s="1"/>
  <c r="AB92" i="1" s="1"/>
  <c r="AB93" i="1" s="1"/>
  <c r="W22" i="2"/>
  <c r="CE589" i="15"/>
  <c r="CP589" i="15" s="1"/>
  <c r="CU589" i="15" s="1"/>
  <c r="CE592" i="15"/>
  <c r="CP592" i="15" s="1"/>
  <c r="CU592" i="15" s="1"/>
  <c r="GM45" i="24"/>
  <c r="HB45" i="24" s="1"/>
  <c r="W25" i="23"/>
  <c r="GN50" i="10"/>
  <c r="HC50" i="10" s="1"/>
  <c r="BG61" i="16"/>
  <c r="GO47" i="10"/>
  <c r="HD47" i="10" s="1"/>
  <c r="BG103" i="16"/>
  <c r="W20" i="2"/>
  <c r="BG102" i="16"/>
  <c r="BG79" i="16"/>
  <c r="AB116" i="1"/>
  <c r="AB117" i="1" s="1"/>
  <c r="AB118" i="1" s="1"/>
  <c r="AB119" i="1" s="1"/>
  <c r="AB120" i="1" s="1"/>
  <c r="AB121" i="1" s="1"/>
  <c r="AC81" i="1"/>
  <c r="AC82" i="1" s="1"/>
  <c r="AC83" i="1" s="1"/>
  <c r="AC84" i="1" s="1"/>
  <c r="AC85" i="1" s="1"/>
  <c r="AC86" i="1" s="1"/>
  <c r="GP44" i="24"/>
  <c r="HE44" i="24" s="1"/>
  <c r="GP44" i="18"/>
  <c r="HE44" i="18" s="1"/>
  <c r="GP50" i="18"/>
  <c r="HE50" i="18" s="1"/>
  <c r="W26" i="23"/>
  <c r="GP43" i="24"/>
  <c r="HE43" i="24" s="1"/>
  <c r="AB81" i="16"/>
  <c r="AB82" i="16" s="1"/>
  <c r="AB83" i="16" s="1"/>
  <c r="AB84" i="16" s="1"/>
  <c r="AB85" i="16" s="1"/>
  <c r="AB86" i="16" s="1"/>
  <c r="BG66" i="16"/>
  <c r="GP41" i="24"/>
  <c r="HE41" i="24" s="1"/>
  <c r="BG52" i="16"/>
  <c r="BG80" i="16"/>
  <c r="GM46" i="24"/>
  <c r="HB46" i="24" s="1"/>
  <c r="GM49" i="24"/>
  <c r="HB49" i="24" s="1"/>
  <c r="BG73" i="16"/>
  <c r="BG32" i="16"/>
  <c r="GO50" i="10"/>
  <c r="HD50" i="10" s="1"/>
  <c r="BG55" i="16"/>
  <c r="BG68" i="16"/>
  <c r="CF595" i="15"/>
  <c r="CQ595" i="15" s="1"/>
  <c r="CV595" i="15" s="1"/>
  <c r="BG50" i="16"/>
  <c r="AB32" i="16"/>
  <c r="AB33" i="16" s="1"/>
  <c r="AB34" i="16" s="1"/>
  <c r="AB35" i="16" s="1"/>
  <c r="AB36" i="16" s="1"/>
  <c r="AB37" i="16" s="1"/>
  <c r="AB39" i="16"/>
  <c r="AB40" i="16" s="1"/>
  <c r="AB41" i="16" s="1"/>
  <c r="AB42" i="16" s="1"/>
  <c r="AB43" i="16" s="1"/>
  <c r="AB44" i="16" s="1"/>
  <c r="BG69" i="16"/>
  <c r="AC53" i="1"/>
  <c r="AC54" i="1" s="1"/>
  <c r="AC55" i="1" s="1"/>
  <c r="AC56" i="1" s="1"/>
  <c r="AC57" i="1" s="1"/>
  <c r="AC58" i="1" s="1"/>
  <c r="BG84" i="16"/>
  <c r="BG77" i="16"/>
  <c r="GP43" i="18"/>
  <c r="HE43" i="18" s="1"/>
  <c r="GP49" i="24"/>
  <c r="HE49" i="24" s="1"/>
  <c r="AC60" i="1"/>
  <c r="AC61" i="1" s="1"/>
  <c r="AC62" i="1" s="1"/>
  <c r="AC63" i="1" s="1"/>
  <c r="AC64" i="1" s="1"/>
  <c r="AC65" i="1" s="1"/>
  <c r="DG18" i="32"/>
  <c r="DG28" i="32"/>
  <c r="BG34" i="16"/>
  <c r="DJ19" i="32"/>
  <c r="DH37" i="32"/>
  <c r="GN40" i="10"/>
  <c r="HC40" i="10" s="1"/>
  <c r="BG95" i="16"/>
  <c r="GN48" i="10"/>
  <c r="HC48" i="10" s="1"/>
  <c r="CD595" i="15"/>
  <c r="BG58" i="16"/>
  <c r="BG71" i="16"/>
  <c r="GO43" i="10"/>
  <c r="HD43" i="10" s="1"/>
  <c r="AB74" i="1"/>
  <c r="AB75" i="1" s="1"/>
  <c r="AB76" i="1" s="1"/>
  <c r="AB77" i="1" s="1"/>
  <c r="AB78" i="1" s="1"/>
  <c r="AB79" i="1" s="1"/>
  <c r="CF592" i="15"/>
  <c r="CQ592" i="15" s="1"/>
  <c r="CV592" i="15" s="1"/>
  <c r="DG24" i="32"/>
  <c r="BG65" i="16"/>
  <c r="AB60" i="1"/>
  <c r="AB61" i="1" s="1"/>
  <c r="AB62" i="1" s="1"/>
  <c r="AB63" i="1" s="1"/>
  <c r="AB64" i="1" s="1"/>
  <c r="AB65" i="1" s="1"/>
  <c r="BG41" i="16"/>
  <c r="BG39" i="16"/>
  <c r="BG81" i="16"/>
  <c r="GP51" i="24"/>
  <c r="HE51" i="24" s="1"/>
  <c r="BG51" i="16"/>
  <c r="CF590" i="15"/>
  <c r="CQ590" i="15" s="1"/>
  <c r="CV590" i="15" s="1"/>
  <c r="CE595" i="15"/>
  <c r="CP595" i="15" s="1"/>
  <c r="CU595" i="15" s="1"/>
  <c r="BG43" i="16"/>
  <c r="DT143" i="17"/>
  <c r="GM52" i="24"/>
  <c r="HB52" i="24" s="1"/>
  <c r="BG76" i="16"/>
  <c r="GN46" i="10"/>
  <c r="HC46" i="10" s="1"/>
  <c r="BG75" i="16"/>
  <c r="BG44" i="16"/>
  <c r="BG49" i="16"/>
  <c r="AC39" i="1"/>
  <c r="AC40" i="1" s="1"/>
  <c r="AC41" i="1" s="1"/>
  <c r="AC42" i="1" s="1"/>
  <c r="AC43" i="1" s="1"/>
  <c r="AC44" i="1" s="1"/>
  <c r="W22" i="23"/>
  <c r="DJ23" i="32"/>
  <c r="DJ38" i="32"/>
  <c r="BG31" i="16"/>
  <c r="AC88" i="16"/>
  <c r="AC89" i="16" s="1"/>
  <c r="AC90" i="16" s="1"/>
  <c r="AC91" i="16" s="1"/>
  <c r="AC92" i="16" s="1"/>
  <c r="AC93" i="16" s="1"/>
  <c r="AB102" i="16"/>
  <c r="AB103" i="16" s="1"/>
  <c r="AB104" i="16" s="1"/>
  <c r="AB105" i="16" s="1"/>
  <c r="AB106" i="16" s="1"/>
  <c r="AB107" i="16" s="1"/>
  <c r="GP48" i="24"/>
  <c r="HE48" i="24" s="1"/>
  <c r="AC95" i="16"/>
  <c r="AC96" i="16" s="1"/>
  <c r="AC97" i="16" s="1"/>
  <c r="AC98" i="16" s="1"/>
  <c r="AC99" i="16" s="1"/>
  <c r="AC100" i="16" s="1"/>
  <c r="W27" i="23"/>
  <c r="BG53" i="16"/>
  <c r="DH26" i="32"/>
  <c r="DJ25" i="32"/>
  <c r="DH27" i="32"/>
  <c r="GP40" i="18"/>
  <c r="HE40" i="18" s="1"/>
  <c r="DG26" i="32"/>
  <c r="CD590" i="15"/>
  <c r="DJ18" i="32"/>
  <c r="DH20" i="32"/>
  <c r="AB46" i="1"/>
  <c r="AB47" i="1" s="1"/>
  <c r="AB48" i="1" s="1"/>
  <c r="AB49" i="1" s="1"/>
  <c r="AB50" i="1" s="1"/>
  <c r="AB51" i="1" s="1"/>
  <c r="DG27" i="32"/>
  <c r="GP46" i="24"/>
  <c r="HE46" i="24" s="1"/>
  <c r="BG38" i="16"/>
  <c r="DJ28" i="32"/>
  <c r="DH38" i="32"/>
  <c r="W20" i="23"/>
  <c r="GM43" i="24"/>
  <c r="HB43" i="24" s="1"/>
  <c r="BG45" i="16"/>
  <c r="DT145" i="17"/>
  <c r="AB46" i="16"/>
  <c r="AB47" i="16" s="1"/>
  <c r="AB48" i="16" s="1"/>
  <c r="AB49" i="16" s="1"/>
  <c r="AB50" i="16" s="1"/>
  <c r="AB51" i="16" s="1"/>
  <c r="DH22" i="32"/>
  <c r="AB53" i="1"/>
  <c r="AB54" i="1" s="1"/>
  <c r="AB55" i="1" s="1"/>
  <c r="AB56" i="1" s="1"/>
  <c r="AB57" i="1" s="1"/>
  <c r="AB58" i="1" s="1"/>
  <c r="BG260" i="31"/>
  <c r="GM50" i="24"/>
  <c r="HB50" i="24" s="1"/>
  <c r="W21" i="23"/>
  <c r="AC39" i="16"/>
  <c r="AC40" i="16" s="1"/>
  <c r="AC41" i="16" s="1"/>
  <c r="AC42" i="16" s="1"/>
  <c r="AC43" i="16" s="1"/>
  <c r="AC44" i="16" s="1"/>
  <c r="DJ24" i="32"/>
  <c r="BG46" i="16"/>
  <c r="DH21" i="32"/>
  <c r="DG38" i="32"/>
  <c r="AC109" i="1"/>
  <c r="AC110" i="1" s="1"/>
  <c r="AC111" i="1" s="1"/>
  <c r="AC112" i="1" s="1"/>
  <c r="AC113" i="1" s="1"/>
  <c r="AC114" i="1" s="1"/>
  <c r="DG20" i="32"/>
  <c r="DJ26" i="32"/>
  <c r="DJ37" i="32"/>
  <c r="DJ27" i="32"/>
  <c r="DH25" i="32"/>
  <c r="DG22" i="32"/>
  <c r="BG261" i="31"/>
  <c r="DH23" i="32"/>
  <c r="AB32" i="1"/>
  <c r="AB33" i="1" s="1"/>
  <c r="AB34" i="1" s="1"/>
  <c r="AB35" i="1" s="1"/>
  <c r="AB36" i="1" s="1"/>
  <c r="AB37" i="1" s="1"/>
  <c r="BG40" i="16"/>
  <c r="DG21" i="32"/>
  <c r="AB39" i="1"/>
  <c r="AB40" i="1" s="1"/>
  <c r="AB41" i="1" s="1"/>
  <c r="AB42" i="1" s="1"/>
  <c r="AB43" i="1" s="1"/>
  <c r="AB44" i="1" s="1"/>
  <c r="DH19" i="32"/>
  <c r="AB53" i="16"/>
  <c r="AB54" i="16" s="1"/>
  <c r="AB55" i="16" s="1"/>
  <c r="AB56" i="16" s="1"/>
  <c r="AB57" i="16" s="1"/>
  <c r="AB58" i="16" s="1"/>
  <c r="GP47" i="24"/>
  <c r="HE47" i="24" s="1"/>
  <c r="DD18" i="32"/>
  <c r="AC60" i="16"/>
  <c r="AC61" i="16" s="1"/>
  <c r="AC62" i="16" s="1"/>
  <c r="AC63" i="16" s="1"/>
  <c r="AC64" i="16" s="1"/>
  <c r="AC65" i="16" s="1"/>
  <c r="DT144" i="17"/>
  <c r="DJ20" i="32"/>
  <c r="DH18" i="32"/>
  <c r="DM18" i="32" s="1"/>
  <c r="GP46" i="18"/>
  <c r="HE46" i="18" s="1"/>
  <c r="BG37" i="16"/>
  <c r="GM44" i="24"/>
  <c r="HB44" i="24" s="1"/>
  <c r="DG25" i="32"/>
  <c r="BG42" i="16"/>
  <c r="GN42" i="10"/>
  <c r="HC42" i="10" s="1"/>
  <c r="GN44" i="10"/>
  <c r="HC44" i="10" s="1"/>
  <c r="DH28" i="32"/>
  <c r="BG54" i="16"/>
  <c r="GN43" i="10"/>
  <c r="HC43" i="10" s="1"/>
  <c r="BG83" i="16"/>
  <c r="AC32" i="1"/>
  <c r="AC33" i="1" s="1"/>
  <c r="AC34" i="1" s="1"/>
  <c r="AC35" i="1" s="1"/>
  <c r="AC36" i="1" s="1"/>
  <c r="AC37" i="1" s="1"/>
  <c r="DG23" i="32"/>
  <c r="BG67" i="16"/>
  <c r="DJ22" i="32"/>
  <c r="DG37" i="32"/>
  <c r="W21" i="2"/>
  <c r="DG19" i="32"/>
  <c r="GM42" i="24"/>
  <c r="HB42" i="24" s="1"/>
  <c r="DJ21" i="32"/>
  <c r="DH24" i="32"/>
  <c r="DM24" i="32" s="1"/>
  <c r="DP24" i="32" s="1"/>
  <c r="DM56" i="32"/>
  <c r="DP56" i="32" s="1"/>
  <c r="DM55" i="32"/>
  <c r="DP55" i="32" s="1"/>
  <c r="DM48" i="32"/>
  <c r="DP48" i="32" s="1"/>
  <c r="DM49" i="32"/>
  <c r="DO49" i="32" s="1"/>
  <c r="DM45" i="32"/>
  <c r="DM44" i="32"/>
  <c r="DM42" i="32"/>
  <c r="CT54" i="18"/>
  <c r="DB54" i="18" s="1"/>
  <c r="DU29" i="32"/>
  <c r="EO29" i="32" s="1"/>
  <c r="C34" i="34"/>
  <c r="DM32" i="32"/>
  <c r="DP32" i="32" s="1"/>
  <c r="DM36" i="32"/>
  <c r="DP36" i="32" s="1"/>
  <c r="DM34" i="32"/>
  <c r="DP34" i="32" s="1"/>
  <c r="DM33" i="32"/>
  <c r="DP33" i="32" s="1"/>
  <c r="DM35" i="32"/>
  <c r="DP35" i="32" s="1"/>
  <c r="CZ53" i="18"/>
  <c r="CX53" i="18"/>
  <c r="CY53" i="18"/>
  <c r="DB53" i="18"/>
  <c r="DA53" i="18"/>
  <c r="BJ33" i="32"/>
  <c r="BJ34" i="32" s="1"/>
  <c r="BL32" i="32"/>
  <c r="CA32" i="32" s="1"/>
  <c r="DC598" i="15"/>
  <c r="DE597" i="15"/>
  <c r="CD600" i="15"/>
  <c r="CF600" i="15"/>
  <c r="CQ600" i="15" s="1"/>
  <c r="CV600" i="15" s="1"/>
  <c r="CE600" i="15"/>
  <c r="CP600" i="15" s="1"/>
  <c r="CU600" i="15" s="1"/>
  <c r="BQ602" i="15"/>
  <c r="BG112" i="16"/>
  <c r="BG136" i="16"/>
  <c r="BG118" i="16"/>
  <c r="BG106" i="16"/>
  <c r="BG107" i="16"/>
  <c r="BG124" i="16"/>
  <c r="BG130" i="16"/>
  <c r="J41" i="15"/>
  <c r="AH592" i="15" s="1"/>
  <c r="LO59" i="24"/>
  <c r="LS58" i="24"/>
  <c r="GP56" i="24"/>
  <c r="HE56" i="24" s="1"/>
  <c r="GM56" i="24"/>
  <c r="HB56" i="24" s="1"/>
  <c r="FS58" i="24"/>
  <c r="EL67" i="24"/>
  <c r="CZ54" i="24"/>
  <c r="DC54" i="24"/>
  <c r="CY54" i="24"/>
  <c r="DB54" i="24"/>
  <c r="CX54" i="24"/>
  <c r="DA54" i="24"/>
  <c r="CT55" i="24"/>
  <c r="AB144" i="1"/>
  <c r="AB145" i="1" s="1"/>
  <c r="AB146" i="1" s="1"/>
  <c r="AB147" i="1" s="1"/>
  <c r="AB148" i="1" s="1"/>
  <c r="AB149" i="1" s="1"/>
  <c r="GN55" i="10"/>
  <c r="HC55" i="10" s="1"/>
  <c r="AB137" i="16"/>
  <c r="AB138" i="16" s="1"/>
  <c r="AB139" i="16" s="1"/>
  <c r="AB140" i="16" s="1"/>
  <c r="AB141" i="16" s="1"/>
  <c r="AB142" i="16" s="1"/>
  <c r="AC144" i="1"/>
  <c r="AC145" i="1" s="1"/>
  <c r="AC146" i="1" s="1"/>
  <c r="AC147" i="1" s="1"/>
  <c r="AC148" i="1" s="1"/>
  <c r="AC149" i="1" s="1"/>
  <c r="GO55" i="10"/>
  <c r="HD55" i="10" s="1"/>
  <c r="AC137" i="16"/>
  <c r="AC138" i="16" s="1"/>
  <c r="AC139" i="16" s="1"/>
  <c r="AC140" i="16" s="1"/>
  <c r="AC141" i="16" s="1"/>
  <c r="AC142" i="16" s="1"/>
  <c r="GP56" i="18"/>
  <c r="HE56" i="18" s="1"/>
  <c r="U151" i="16"/>
  <c r="U152" i="16" s="1"/>
  <c r="U153" i="16" s="1"/>
  <c r="U154" i="16" s="1"/>
  <c r="U155" i="16" s="1"/>
  <c r="U156" i="16" s="1"/>
  <c r="U157" i="16"/>
  <c r="A157" i="16"/>
  <c r="A151" i="16"/>
  <c r="A152" i="16" s="1"/>
  <c r="A153" i="16" s="1"/>
  <c r="A154" i="16" s="1"/>
  <c r="A155" i="16" s="1"/>
  <c r="A156" i="16" s="1"/>
  <c r="Q145" i="16"/>
  <c r="G114" i="16"/>
  <c r="J145" i="1"/>
  <c r="G127" i="1"/>
  <c r="F121" i="1"/>
  <c r="Q146" i="1"/>
  <c r="H120" i="1"/>
  <c r="C144" i="16"/>
  <c r="C145" i="16" s="1"/>
  <c r="C146" i="16" s="1"/>
  <c r="C147" i="16" s="1"/>
  <c r="C148" i="16" s="1"/>
  <c r="C149" i="16" s="1"/>
  <c r="C150" i="16"/>
  <c r="K127" i="1"/>
  <c r="F114" i="16"/>
  <c r="K114" i="16"/>
  <c r="J138" i="16"/>
  <c r="N150" i="16"/>
  <c r="N144" i="16"/>
  <c r="N145" i="16" s="1"/>
  <c r="N146" i="16" s="1"/>
  <c r="N147" i="16" s="1"/>
  <c r="N148" i="16" s="1"/>
  <c r="N149" i="16" s="1"/>
  <c r="H150" i="1"/>
  <c r="H144" i="1"/>
  <c r="K138" i="16"/>
  <c r="K132" i="16"/>
  <c r="T157" i="16"/>
  <c r="T151" i="16"/>
  <c r="T152" i="16" s="1"/>
  <c r="T153" i="16" s="1"/>
  <c r="T154" i="16" s="1"/>
  <c r="T155" i="16" s="1"/>
  <c r="T156" i="16" s="1"/>
  <c r="C157" i="1"/>
  <c r="C151" i="1"/>
  <c r="C152" i="1" s="1"/>
  <c r="C153" i="1" s="1"/>
  <c r="C154" i="1" s="1"/>
  <c r="C155" i="1" s="1"/>
  <c r="C156" i="1" s="1"/>
  <c r="W150" i="16"/>
  <c r="W144" i="16"/>
  <c r="W145" i="16" s="1"/>
  <c r="W146" i="16" s="1"/>
  <c r="W147" i="16" s="1"/>
  <c r="W148" i="16" s="1"/>
  <c r="W149" i="16" s="1"/>
  <c r="BB181" i="17"/>
  <c r="G120" i="16"/>
  <c r="FS58" i="18"/>
  <c r="Q139" i="16"/>
  <c r="I139" i="16"/>
  <c r="G145" i="1"/>
  <c r="R150" i="16"/>
  <c r="R144" i="16"/>
  <c r="R145" i="16" s="1"/>
  <c r="R146" i="16" s="1"/>
  <c r="R147" i="16" s="1"/>
  <c r="R148" i="16" s="1"/>
  <c r="R149" i="16" s="1"/>
  <c r="A164" i="1"/>
  <c r="A158" i="1"/>
  <c r="A159" i="1" s="1"/>
  <c r="A160" i="1" s="1"/>
  <c r="A161" i="1" s="1"/>
  <c r="A162" i="1" s="1"/>
  <c r="A163" i="1" s="1"/>
  <c r="L150" i="1"/>
  <c r="L144" i="1"/>
  <c r="L145" i="1" s="1"/>
  <c r="L146" i="1" s="1"/>
  <c r="L147" i="1" s="1"/>
  <c r="L148" i="1" s="1"/>
  <c r="L149" i="1" s="1"/>
  <c r="K120" i="16"/>
  <c r="K121" i="1"/>
  <c r="S144" i="16"/>
  <c r="S145" i="16" s="1"/>
  <c r="S146" i="16" s="1"/>
  <c r="S147" i="16" s="1"/>
  <c r="S148" i="16" s="1"/>
  <c r="S149" i="16" s="1"/>
  <c r="S150" i="16"/>
  <c r="F120" i="16"/>
  <c r="Q157" i="16"/>
  <c r="Q151" i="16"/>
  <c r="E164" i="1"/>
  <c r="E158" i="1"/>
  <c r="E159" i="1" s="1"/>
  <c r="E160" i="1" s="1"/>
  <c r="E161" i="1" s="1"/>
  <c r="E162" i="1" s="1"/>
  <c r="E163" i="1" s="1"/>
  <c r="U164" i="1"/>
  <c r="U158" i="1"/>
  <c r="U159" i="1" s="1"/>
  <c r="U160" i="1" s="1"/>
  <c r="U161" i="1" s="1"/>
  <c r="U162" i="1" s="1"/>
  <c r="U163" i="1" s="1"/>
  <c r="O157" i="1"/>
  <c r="O151" i="1"/>
  <c r="O152" i="1" s="1"/>
  <c r="O153" i="1" s="1"/>
  <c r="O154" i="1" s="1"/>
  <c r="O155" i="1" s="1"/>
  <c r="O156" i="1" s="1"/>
  <c r="L157" i="16"/>
  <c r="L151" i="16"/>
  <c r="L152" i="16" s="1"/>
  <c r="L153" i="16" s="1"/>
  <c r="L154" i="16" s="1"/>
  <c r="L155" i="16" s="1"/>
  <c r="L156" i="16" s="1"/>
  <c r="L38" i="17"/>
  <c r="Q37" i="17"/>
  <c r="J157" i="1"/>
  <c r="J151" i="1"/>
  <c r="G133" i="1"/>
  <c r="Q134" i="1"/>
  <c r="K126" i="16"/>
  <c r="H114" i="1"/>
  <c r="I152" i="1"/>
  <c r="J139" i="1"/>
  <c r="Q133" i="16"/>
  <c r="AU46" i="17"/>
  <c r="Q121" i="16"/>
  <c r="V150" i="16"/>
  <c r="V144" i="16"/>
  <c r="V145" i="16" s="1"/>
  <c r="V146" i="16" s="1"/>
  <c r="V147" i="16" s="1"/>
  <c r="V148" i="16" s="1"/>
  <c r="V149" i="16" s="1"/>
  <c r="J150" i="16"/>
  <c r="J144" i="16"/>
  <c r="W157" i="1"/>
  <c r="W151" i="1"/>
  <c r="W152" i="1" s="1"/>
  <c r="W153" i="1" s="1"/>
  <c r="W154" i="1" s="1"/>
  <c r="W155" i="1" s="1"/>
  <c r="W156" i="1" s="1"/>
  <c r="K144" i="16"/>
  <c r="K150" i="16"/>
  <c r="F145" i="1"/>
  <c r="P157" i="16"/>
  <c r="P151" i="16"/>
  <c r="P152" i="16" s="1"/>
  <c r="P153" i="16" s="1"/>
  <c r="P154" i="16" s="1"/>
  <c r="P155" i="16" s="1"/>
  <c r="P156" i="16" s="1"/>
  <c r="AG37" i="17"/>
  <c r="F132" i="16"/>
  <c r="J126" i="16"/>
  <c r="K145" i="1"/>
  <c r="G157" i="1"/>
  <c r="G151" i="1"/>
  <c r="I140" i="1"/>
  <c r="I134" i="1"/>
  <c r="J120" i="16"/>
  <c r="G138" i="16"/>
  <c r="EL70" i="10"/>
  <c r="B157" i="1"/>
  <c r="B151" i="1"/>
  <c r="B152" i="1" s="1"/>
  <c r="B153" i="1" s="1"/>
  <c r="B154" i="1" s="1"/>
  <c r="B155" i="1" s="1"/>
  <c r="B156" i="1" s="1"/>
  <c r="CZ53" i="10"/>
  <c r="CY53" i="10"/>
  <c r="DC53" i="10"/>
  <c r="CX53" i="10"/>
  <c r="DB53" i="10"/>
  <c r="DA53" i="10"/>
  <c r="CT54" i="10"/>
  <c r="CU54" i="10" s="1"/>
  <c r="I145" i="16"/>
  <c r="S157" i="1"/>
  <c r="S151" i="1"/>
  <c r="S152" i="1" s="1"/>
  <c r="S153" i="1" s="1"/>
  <c r="S154" i="1" s="1"/>
  <c r="S155" i="1" s="1"/>
  <c r="S156" i="1" s="1"/>
  <c r="L38" i="15"/>
  <c r="Q37" i="15"/>
  <c r="I133" i="16"/>
  <c r="AU38" i="15"/>
  <c r="I164" i="1"/>
  <c r="I158" i="1"/>
  <c r="V157" i="1"/>
  <c r="V151" i="1"/>
  <c r="V152" i="1" s="1"/>
  <c r="V153" i="1" s="1"/>
  <c r="V154" i="1" s="1"/>
  <c r="V155" i="1" s="1"/>
  <c r="V156" i="1" s="1"/>
  <c r="K133" i="1"/>
  <c r="N157" i="1"/>
  <c r="N151" i="1"/>
  <c r="N152" i="1" s="1"/>
  <c r="N153" i="1" s="1"/>
  <c r="N154" i="1" s="1"/>
  <c r="N155" i="1" s="1"/>
  <c r="N156" i="1" s="1"/>
  <c r="F150" i="16"/>
  <c r="F144" i="16"/>
  <c r="J121" i="1"/>
  <c r="H121" i="16"/>
  <c r="BH38" i="15"/>
  <c r="BH37" i="17"/>
  <c r="Q127" i="16"/>
  <c r="F157" i="1"/>
  <c r="F151" i="1"/>
  <c r="M164" i="1"/>
  <c r="M158" i="1"/>
  <c r="M159" i="1" s="1"/>
  <c r="M160" i="1" s="1"/>
  <c r="M161" i="1" s="1"/>
  <c r="M162" i="1" s="1"/>
  <c r="M163" i="1" s="1"/>
  <c r="B150" i="16"/>
  <c r="B144" i="16"/>
  <c r="B145" i="16" s="1"/>
  <c r="B146" i="16" s="1"/>
  <c r="B147" i="16" s="1"/>
  <c r="B148" i="16" s="1"/>
  <c r="B149" i="16" s="1"/>
  <c r="I146" i="1"/>
  <c r="T150" i="1"/>
  <c r="T144" i="1"/>
  <c r="T145" i="1" s="1"/>
  <c r="T146" i="1" s="1"/>
  <c r="T147" i="1" s="1"/>
  <c r="T148" i="1" s="1"/>
  <c r="T149" i="1" s="1"/>
  <c r="K157" i="1"/>
  <c r="K151" i="1"/>
  <c r="EL67" i="18"/>
  <c r="H133" i="16"/>
  <c r="J132" i="16"/>
  <c r="G150" i="16"/>
  <c r="G144" i="16"/>
  <c r="M151" i="16"/>
  <c r="M152" i="16" s="1"/>
  <c r="M153" i="16" s="1"/>
  <c r="M154" i="16" s="1"/>
  <c r="M155" i="16" s="1"/>
  <c r="M156" i="16" s="1"/>
  <c r="M157" i="16"/>
  <c r="H157" i="16"/>
  <c r="H151" i="16"/>
  <c r="K139" i="1"/>
  <c r="Q152" i="1"/>
  <c r="I127" i="16"/>
  <c r="F127" i="1"/>
  <c r="I121" i="16"/>
  <c r="F126" i="16"/>
  <c r="Q128" i="1"/>
  <c r="G121" i="1"/>
  <c r="F133" i="1"/>
  <c r="H126" i="1"/>
  <c r="P144" i="1"/>
  <c r="P145" i="1" s="1"/>
  <c r="P146" i="1" s="1"/>
  <c r="P147" i="1" s="1"/>
  <c r="P148" i="1" s="1"/>
  <c r="P149" i="1" s="1"/>
  <c r="P150" i="1"/>
  <c r="I157" i="16"/>
  <c r="I151" i="16"/>
  <c r="Q164" i="1"/>
  <c r="Q158" i="1"/>
  <c r="FR57" i="10"/>
  <c r="R157" i="1"/>
  <c r="R151" i="1"/>
  <c r="R152" i="1" s="1"/>
  <c r="R153" i="1" s="1"/>
  <c r="R154" i="1" s="1"/>
  <c r="R155" i="1" s="1"/>
  <c r="R156" i="1" s="1"/>
  <c r="J127" i="1"/>
  <c r="G126" i="16"/>
  <c r="O150" i="16"/>
  <c r="O144" i="16"/>
  <c r="O145" i="16" s="1"/>
  <c r="O146" i="16" s="1"/>
  <c r="O147" i="16" s="1"/>
  <c r="O148" i="16" s="1"/>
  <c r="O149" i="16" s="1"/>
  <c r="Q140" i="1"/>
  <c r="J114" i="16"/>
  <c r="X157" i="16"/>
  <c r="X151" i="16"/>
  <c r="X152" i="16" s="1"/>
  <c r="X153" i="16" s="1"/>
  <c r="X154" i="16" s="1"/>
  <c r="X155" i="16" s="1"/>
  <c r="X156" i="16" s="1"/>
  <c r="F138" i="16"/>
  <c r="E151" i="16"/>
  <c r="E152" i="16" s="1"/>
  <c r="E153" i="16" s="1"/>
  <c r="E154" i="16" s="1"/>
  <c r="E155" i="16" s="1"/>
  <c r="E156" i="16" s="1"/>
  <c r="E157" i="16"/>
  <c r="H127" i="16"/>
  <c r="D157" i="16"/>
  <c r="D151" i="16"/>
  <c r="D152" i="16" s="1"/>
  <c r="D153" i="16" s="1"/>
  <c r="D154" i="16" s="1"/>
  <c r="D155" i="16" s="1"/>
  <c r="D156" i="16" s="1"/>
  <c r="I128" i="1"/>
  <c r="H138" i="1"/>
  <c r="H139" i="16"/>
  <c r="J133" i="1"/>
  <c r="BB181" i="15"/>
  <c r="D150" i="1"/>
  <c r="D144" i="1"/>
  <c r="D145" i="1" s="1"/>
  <c r="D146" i="1" s="1"/>
  <c r="D147" i="1" s="1"/>
  <c r="D148" i="1" s="1"/>
  <c r="D149" i="1" s="1"/>
  <c r="X144" i="1"/>
  <c r="X145" i="1" s="1"/>
  <c r="X146" i="1" s="1"/>
  <c r="X147" i="1" s="1"/>
  <c r="X148" i="1" s="1"/>
  <c r="X149" i="1" s="1"/>
  <c r="X150" i="1"/>
  <c r="AG37" i="15"/>
  <c r="G132" i="16"/>
  <c r="H132" i="1"/>
  <c r="F139" i="1"/>
  <c r="G139" i="1"/>
  <c r="H145" i="16"/>
  <c r="AQ157" i="1"/>
  <c r="AK143" i="16"/>
  <c r="AH131" i="1"/>
  <c r="AQ128" i="1"/>
  <c r="AB143" i="16"/>
  <c r="GB56" i="10"/>
  <c r="AJ121" i="1"/>
  <c r="GC57" i="24"/>
  <c r="CH602" i="15"/>
  <c r="AK125" i="16"/>
  <c r="AG113" i="16"/>
  <c r="AO36" i="17"/>
  <c r="AJ114" i="16"/>
  <c r="AJ125" i="16"/>
  <c r="AI133" i="1"/>
  <c r="AK120" i="1"/>
  <c r="AG114" i="16"/>
  <c r="AQ133" i="1"/>
  <c r="AF150" i="1"/>
  <c r="AF138" i="1"/>
  <c r="AK137" i="16"/>
  <c r="AG119" i="16"/>
  <c r="AG131" i="16"/>
  <c r="AK150" i="1"/>
  <c r="AI128" i="1"/>
  <c r="AP36" i="17"/>
  <c r="AF131" i="16"/>
  <c r="AJ138" i="1"/>
  <c r="AH120" i="16"/>
  <c r="AG132" i="1"/>
  <c r="GC56" i="10"/>
  <c r="AH119" i="1"/>
  <c r="AH113" i="1"/>
  <c r="AB150" i="1"/>
  <c r="AQ126" i="16"/>
  <c r="GD57" i="18"/>
  <c r="AF125" i="16"/>
  <c r="AI126" i="16"/>
  <c r="AK131" i="16"/>
  <c r="AK119" i="16"/>
  <c r="AJ137" i="16"/>
  <c r="BV596" i="15"/>
  <c r="AF143" i="16"/>
  <c r="AH138" i="16"/>
  <c r="AI132" i="16"/>
  <c r="AJ131" i="16"/>
  <c r="AH150" i="16"/>
  <c r="GD57" i="24"/>
  <c r="AH114" i="1"/>
  <c r="AG126" i="1"/>
  <c r="AQ132" i="16"/>
  <c r="AJ143" i="16"/>
  <c r="AP36" i="15"/>
  <c r="AG125" i="16"/>
  <c r="AJ120" i="1"/>
  <c r="AG137" i="16"/>
  <c r="AF126" i="1"/>
  <c r="AI127" i="1"/>
  <c r="AC143" i="16"/>
  <c r="AI120" i="16"/>
  <c r="BY601" i="15"/>
  <c r="AK138" i="1"/>
  <c r="AQ120" i="16"/>
  <c r="AF137" i="16"/>
  <c r="AI157" i="1"/>
  <c r="AG138" i="1"/>
  <c r="AF144" i="1"/>
  <c r="AG144" i="1"/>
  <c r="AQ151" i="1"/>
  <c r="AH132" i="16"/>
  <c r="AQ139" i="1"/>
  <c r="AK132" i="1"/>
  <c r="AQ127" i="1"/>
  <c r="AK126" i="1"/>
  <c r="AC150" i="1"/>
  <c r="AI139" i="1"/>
  <c r="AF119" i="16"/>
  <c r="AK144" i="1"/>
  <c r="AQ145" i="1"/>
  <c r="AF114" i="16"/>
  <c r="AK113" i="16"/>
  <c r="AF113" i="16"/>
  <c r="AI150" i="16"/>
  <c r="AH143" i="1"/>
  <c r="AI151" i="1"/>
  <c r="AG150" i="1"/>
  <c r="AO37" i="15"/>
  <c r="AK114" i="16"/>
  <c r="AJ144" i="1"/>
  <c r="AQ121" i="16"/>
  <c r="AQ150" i="16"/>
  <c r="AH121" i="16"/>
  <c r="AJ132" i="1"/>
  <c r="AI145" i="1"/>
  <c r="AJ150" i="1"/>
  <c r="AH125" i="1"/>
  <c r="AF120" i="1"/>
  <c r="AG121" i="1"/>
  <c r="AJ119" i="16"/>
  <c r="AJ126" i="1"/>
  <c r="GA57" i="24"/>
  <c r="AI121" i="16"/>
  <c r="AG143" i="16"/>
  <c r="AJ113" i="16"/>
  <c r="AF132" i="1"/>
  <c r="AH144" i="16"/>
  <c r="AK121" i="1"/>
  <c r="AI144" i="16"/>
  <c r="AG120" i="1"/>
  <c r="AH126" i="16"/>
  <c r="AF121" i="1"/>
  <c r="AQ144" i="16"/>
  <c r="AH137" i="1"/>
  <c r="BV591" i="15"/>
  <c r="AI138" i="16"/>
  <c r="BZ601" i="15"/>
  <c r="AQ138" i="16"/>
  <c r="T23" i="2" l="1"/>
  <c r="T32" i="2" s="1"/>
  <c r="DM39" i="32"/>
  <c r="DP39" i="32" s="1"/>
  <c r="DM54" i="32"/>
  <c r="DP54" i="32" s="1"/>
  <c r="DM47" i="32"/>
  <c r="DP47" i="32" s="1"/>
  <c r="DM50" i="32"/>
  <c r="DO50" i="32" s="1"/>
  <c r="DM58" i="32"/>
  <c r="DO58" i="32" s="1"/>
  <c r="DM40" i="32"/>
  <c r="DP40" i="32" s="1"/>
  <c r="DM46" i="32"/>
  <c r="DO24" i="32"/>
  <c r="DM28" i="32"/>
  <c r="DM19" i="32"/>
  <c r="DM25" i="32"/>
  <c r="DM27" i="32"/>
  <c r="DP18" i="32"/>
  <c r="DO18" i="32"/>
  <c r="DM30" i="32"/>
  <c r="DM21" i="32"/>
  <c r="DM20" i="32"/>
  <c r="DM26" i="32"/>
  <c r="BN50" i="32"/>
  <c r="BR50" i="32"/>
  <c r="BN54" i="32"/>
  <c r="BR54" i="32"/>
  <c r="BN48" i="32"/>
  <c r="BR48" i="32"/>
  <c r="BR57" i="32"/>
  <c r="BN57" i="32"/>
  <c r="BN53" i="32"/>
  <c r="BR53" i="32"/>
  <c r="BN44" i="32"/>
  <c r="BR44" i="32"/>
  <c r="V23" i="2"/>
  <c r="V32" i="2" s="1"/>
  <c r="V41" i="2" s="1"/>
  <c r="T23" i="23"/>
  <c r="DM22" i="32"/>
  <c r="DM37" i="32"/>
  <c r="U27" i="2"/>
  <c r="U36" i="2" s="1"/>
  <c r="T26" i="2"/>
  <c r="T35" i="2" s="1"/>
  <c r="U23" i="2"/>
  <c r="U32" i="2" s="1"/>
  <c r="T25" i="2"/>
  <c r="T34" i="2" s="1"/>
  <c r="V25" i="2"/>
  <c r="V34" i="2" s="1"/>
  <c r="V43" i="2" s="1"/>
  <c r="T27" i="2"/>
  <c r="T36" i="2" s="1"/>
  <c r="V27" i="2"/>
  <c r="V36" i="2" s="1"/>
  <c r="V45" i="2" s="1"/>
  <c r="V24" i="2"/>
  <c r="V33" i="2" s="1"/>
  <c r="V42" i="2" s="1"/>
  <c r="T28" i="2"/>
  <c r="T37" i="2" s="1"/>
  <c r="V28" i="2"/>
  <c r="V37" i="2" s="1"/>
  <c r="V46" i="2" s="1"/>
  <c r="V26" i="2"/>
  <c r="V35" i="2" s="1"/>
  <c r="V44" i="2" s="1"/>
  <c r="U26" i="2"/>
  <c r="U35" i="2" s="1"/>
  <c r="U24" i="2"/>
  <c r="U33" i="2" s="1"/>
  <c r="T24" i="2"/>
  <c r="T33" i="2" s="1"/>
  <c r="U25" i="2"/>
  <c r="U34" i="2" s="1"/>
  <c r="U28" i="2"/>
  <c r="U37" i="2" s="1"/>
  <c r="BR46" i="32"/>
  <c r="BN46" i="32"/>
  <c r="BN49" i="32"/>
  <c r="BR49" i="32"/>
  <c r="BN37" i="32"/>
  <c r="BR37" i="32"/>
  <c r="BN51" i="32"/>
  <c r="BR51" i="32"/>
  <c r="BN43" i="32"/>
  <c r="BR43" i="32"/>
  <c r="BN38" i="32"/>
  <c r="BR38" i="32"/>
  <c r="BN60" i="32"/>
  <c r="BR60" i="32"/>
  <c r="BN45" i="32"/>
  <c r="BR45" i="32"/>
  <c r="BN40" i="32"/>
  <c r="BR40" i="32"/>
  <c r="BN59" i="32"/>
  <c r="BR59" i="32"/>
  <c r="BN39" i="32"/>
  <c r="BR39" i="32"/>
  <c r="BN52" i="32"/>
  <c r="BR52" i="32"/>
  <c r="BN58" i="32"/>
  <c r="BR58" i="32"/>
  <c r="BN47" i="32"/>
  <c r="BR47" i="32"/>
  <c r="DM23" i="32"/>
  <c r="DM38" i="32"/>
  <c r="T27" i="23"/>
  <c r="U23" i="23"/>
  <c r="V27" i="23"/>
  <c r="V28" i="23"/>
  <c r="V25" i="23"/>
  <c r="V26" i="23"/>
  <c r="U28" i="23"/>
  <c r="T24" i="23"/>
  <c r="U26" i="23"/>
  <c r="T25" i="23"/>
  <c r="U25" i="23"/>
  <c r="U27" i="23"/>
  <c r="T28" i="23"/>
  <c r="U24" i="23"/>
  <c r="V23" i="23"/>
  <c r="T26" i="23"/>
  <c r="V24" i="23"/>
  <c r="BR55" i="32"/>
  <c r="BN55" i="32"/>
  <c r="BN41" i="32"/>
  <c r="BR41" i="32"/>
  <c r="BN36" i="32"/>
  <c r="BR36" i="32"/>
  <c r="BN61" i="32"/>
  <c r="BR61" i="32"/>
  <c r="BR42" i="32"/>
  <c r="BN42" i="32"/>
  <c r="BN56" i="32"/>
  <c r="BR56" i="32"/>
  <c r="CT55" i="18"/>
  <c r="DO56" i="32"/>
  <c r="DU56" i="32" s="1"/>
  <c r="EO56" i="32" s="1"/>
  <c r="DP58" i="32"/>
  <c r="DU58" i="32" s="1"/>
  <c r="EO58" i="32" s="1"/>
  <c r="DP57" i="32"/>
  <c r="DO57" i="32"/>
  <c r="DO55" i="32"/>
  <c r="DU55" i="32" s="1"/>
  <c r="EO55" i="32" s="1"/>
  <c r="DO48" i="32"/>
  <c r="DU48" i="32" s="1"/>
  <c r="EO48" i="32" s="1"/>
  <c r="DO54" i="32"/>
  <c r="DU54" i="32" s="1"/>
  <c r="EO54" i="32" s="1"/>
  <c r="DP50" i="32"/>
  <c r="DU50" i="32" s="1"/>
  <c r="EO50" i="32" s="1"/>
  <c r="DO47" i="32"/>
  <c r="DU47" i="32" s="1"/>
  <c r="EO47" i="32" s="1"/>
  <c r="DP53" i="32"/>
  <c r="DO53" i="32"/>
  <c r="DP49" i="32"/>
  <c r="DU49" i="32" s="1"/>
  <c r="EO49" i="32" s="1"/>
  <c r="DO46" i="32"/>
  <c r="DP46" i="32"/>
  <c r="DP45" i="32"/>
  <c r="DO45" i="32"/>
  <c r="DP44" i="32"/>
  <c r="DO44" i="32"/>
  <c r="DP43" i="32"/>
  <c r="DO43" i="32"/>
  <c r="DP41" i="32"/>
  <c r="DU41" i="32" s="1"/>
  <c r="EO41" i="32" s="1"/>
  <c r="DP42" i="32"/>
  <c r="DO42" i="32"/>
  <c r="DO40" i="32"/>
  <c r="DU40" i="32" s="1"/>
  <c r="EO40" i="32" s="1"/>
  <c r="DO39" i="32"/>
  <c r="DO36" i="32"/>
  <c r="DO35" i="32"/>
  <c r="DO34" i="32"/>
  <c r="DO33" i="32"/>
  <c r="DO32" i="32"/>
  <c r="DO31" i="32"/>
  <c r="DC54" i="18"/>
  <c r="CX54" i="18"/>
  <c r="CZ54" i="18"/>
  <c r="DA54" i="18"/>
  <c r="CY54" i="18"/>
  <c r="DU24" i="32"/>
  <c r="EO24" i="32" s="1"/>
  <c r="C35" i="34"/>
  <c r="BL34" i="32"/>
  <c r="CA34" i="32" s="1"/>
  <c r="BJ35" i="32"/>
  <c r="BJ36" i="32" s="1"/>
  <c r="BL33" i="32"/>
  <c r="CA33" i="32" s="1"/>
  <c r="DC599" i="15"/>
  <c r="DE598" i="15"/>
  <c r="CF601" i="15"/>
  <c r="CQ601" i="15" s="1"/>
  <c r="CV601" i="15" s="1"/>
  <c r="CE601" i="15"/>
  <c r="CP601" i="15" s="1"/>
  <c r="CU601" i="15" s="1"/>
  <c r="BQ603" i="15"/>
  <c r="BG113" i="16"/>
  <c r="BG119" i="16"/>
  <c r="BG143" i="16"/>
  <c r="BG114" i="16"/>
  <c r="BG125" i="16"/>
  <c r="BG137" i="16"/>
  <c r="BG131" i="16"/>
  <c r="J42" i="15"/>
  <c r="AH593" i="15" s="1"/>
  <c r="LO60" i="24"/>
  <c r="LS59" i="24"/>
  <c r="GM57" i="24"/>
  <c r="HB57" i="24" s="1"/>
  <c r="GP57" i="24"/>
  <c r="HE57" i="24" s="1"/>
  <c r="FS59" i="24"/>
  <c r="EL68" i="24"/>
  <c r="DB55" i="24"/>
  <c r="CX55" i="24"/>
  <c r="DA55" i="24"/>
  <c r="CZ55" i="24"/>
  <c r="DC55" i="24"/>
  <c r="CY55" i="24"/>
  <c r="CT56" i="24"/>
  <c r="GP57" i="18"/>
  <c r="HE57" i="18" s="1"/>
  <c r="AC144" i="16"/>
  <c r="AC145" i="16" s="1"/>
  <c r="AC146" i="16" s="1"/>
  <c r="AC147" i="16" s="1"/>
  <c r="AC148" i="16" s="1"/>
  <c r="AC149" i="16" s="1"/>
  <c r="GO56" i="10"/>
  <c r="HD56" i="10" s="1"/>
  <c r="GN56" i="10"/>
  <c r="HC56" i="10" s="1"/>
  <c r="AB144" i="16"/>
  <c r="AB145" i="16" s="1"/>
  <c r="AB146" i="16" s="1"/>
  <c r="AB147" i="16" s="1"/>
  <c r="AB148" i="16" s="1"/>
  <c r="AB149" i="16" s="1"/>
  <c r="AB151" i="1"/>
  <c r="AB152" i="1" s="1"/>
  <c r="AB153" i="1" s="1"/>
  <c r="AB154" i="1" s="1"/>
  <c r="AB155" i="1" s="1"/>
  <c r="AB156" i="1" s="1"/>
  <c r="AC151" i="1"/>
  <c r="AC152" i="1" s="1"/>
  <c r="AC153" i="1" s="1"/>
  <c r="AC154" i="1" s="1"/>
  <c r="AC155" i="1" s="1"/>
  <c r="AC156" i="1" s="1"/>
  <c r="X157" i="1"/>
  <c r="X151" i="1"/>
  <c r="X152" i="1" s="1"/>
  <c r="X153" i="1" s="1"/>
  <c r="X154" i="1" s="1"/>
  <c r="X155" i="1" s="1"/>
  <c r="X156" i="1" s="1"/>
  <c r="FR58" i="10"/>
  <c r="Q159" i="1"/>
  <c r="I152" i="16"/>
  <c r="T157" i="1"/>
  <c r="T151" i="1"/>
  <c r="T152" i="1" s="1"/>
  <c r="T153" i="1" s="1"/>
  <c r="T154" i="1" s="1"/>
  <c r="T155" i="1" s="1"/>
  <c r="T156" i="1" s="1"/>
  <c r="Q128" i="16"/>
  <c r="BH39" i="15"/>
  <c r="I171" i="1"/>
  <c r="I165" i="1"/>
  <c r="I134" i="16"/>
  <c r="DA54" i="10"/>
  <c r="CZ54" i="10"/>
  <c r="CY54" i="10"/>
  <c r="DC54" i="10"/>
  <c r="CX54" i="10"/>
  <c r="DB54" i="10"/>
  <c r="CT55" i="10"/>
  <c r="CU55" i="10" s="1"/>
  <c r="I141" i="1"/>
  <c r="J127" i="16"/>
  <c r="K145" i="16"/>
  <c r="J145" i="16"/>
  <c r="J164" i="1"/>
  <c r="J158" i="1"/>
  <c r="F121" i="16"/>
  <c r="L157" i="1"/>
  <c r="L151" i="1"/>
  <c r="L152" i="1" s="1"/>
  <c r="L153" i="1" s="1"/>
  <c r="L154" i="1" s="1"/>
  <c r="L155" i="1" s="1"/>
  <c r="L156" i="1" s="1"/>
  <c r="G146" i="1"/>
  <c r="Q140" i="16"/>
  <c r="BB182" i="17"/>
  <c r="N157" i="16"/>
  <c r="N151" i="16"/>
  <c r="N152" i="16" s="1"/>
  <c r="N153" i="16" s="1"/>
  <c r="N154" i="16" s="1"/>
  <c r="N155" i="16" s="1"/>
  <c r="N156" i="16" s="1"/>
  <c r="U164" i="16"/>
  <c r="U158" i="16"/>
  <c r="U159" i="16" s="1"/>
  <c r="U160" i="16" s="1"/>
  <c r="U161" i="16" s="1"/>
  <c r="U162" i="16" s="1"/>
  <c r="U163" i="16" s="1"/>
  <c r="H140" i="16"/>
  <c r="F139" i="16"/>
  <c r="J128" i="1"/>
  <c r="Q171" i="1"/>
  <c r="Q165" i="1"/>
  <c r="H127" i="1"/>
  <c r="F127" i="16"/>
  <c r="F128" i="1"/>
  <c r="K140" i="1"/>
  <c r="H152" i="16"/>
  <c r="J133" i="16"/>
  <c r="K152" i="1"/>
  <c r="I147" i="1"/>
  <c r="B151" i="16"/>
  <c r="B152" i="16" s="1"/>
  <c r="B153" i="16" s="1"/>
  <c r="B154" i="16" s="1"/>
  <c r="B155" i="16" s="1"/>
  <c r="B156" i="16" s="1"/>
  <c r="B157" i="16"/>
  <c r="F152" i="1"/>
  <c r="BH38" i="17"/>
  <c r="N164" i="1"/>
  <c r="N158" i="1"/>
  <c r="N159" i="1" s="1"/>
  <c r="N160" i="1" s="1"/>
  <c r="N161" i="1" s="1"/>
  <c r="N162" i="1" s="1"/>
  <c r="N163" i="1" s="1"/>
  <c r="V164" i="1"/>
  <c r="V158" i="1"/>
  <c r="V159" i="1" s="1"/>
  <c r="V160" i="1" s="1"/>
  <c r="V161" i="1" s="1"/>
  <c r="V162" i="1" s="1"/>
  <c r="V163" i="1" s="1"/>
  <c r="AU39" i="15"/>
  <c r="S164" i="1"/>
  <c r="S158" i="1"/>
  <c r="S159" i="1" s="1"/>
  <c r="S160" i="1" s="1"/>
  <c r="S161" i="1" s="1"/>
  <c r="S162" i="1" s="1"/>
  <c r="S163" i="1" s="1"/>
  <c r="B164" i="1"/>
  <c r="B158" i="1"/>
  <c r="B159" i="1" s="1"/>
  <c r="B160" i="1" s="1"/>
  <c r="B161" i="1" s="1"/>
  <c r="B162" i="1" s="1"/>
  <c r="B163" i="1" s="1"/>
  <c r="J121" i="16"/>
  <c r="AG38" i="17"/>
  <c r="F146" i="1"/>
  <c r="J151" i="16"/>
  <c r="J157" i="16"/>
  <c r="Q134" i="16"/>
  <c r="I153" i="1"/>
  <c r="K127" i="16"/>
  <c r="G134" i="1"/>
  <c r="L158" i="16"/>
  <c r="L159" i="16" s="1"/>
  <c r="L160" i="16" s="1"/>
  <c r="L161" i="16" s="1"/>
  <c r="L162" i="16" s="1"/>
  <c r="L163" i="16" s="1"/>
  <c r="L164" i="16"/>
  <c r="U171" i="1"/>
  <c r="U165" i="1"/>
  <c r="U166" i="1" s="1"/>
  <c r="U167" i="1" s="1"/>
  <c r="U168" i="1" s="1"/>
  <c r="U169" i="1" s="1"/>
  <c r="U170" i="1" s="1"/>
  <c r="Q152" i="16"/>
  <c r="S157" i="16"/>
  <c r="S151" i="16"/>
  <c r="S152" i="16" s="1"/>
  <c r="S153" i="16" s="1"/>
  <c r="S154" i="16" s="1"/>
  <c r="S155" i="16" s="1"/>
  <c r="S156" i="16" s="1"/>
  <c r="FS59" i="18"/>
  <c r="C164" i="1"/>
  <c r="C158" i="1"/>
  <c r="C159" i="1" s="1"/>
  <c r="C160" i="1" s="1"/>
  <c r="C161" i="1" s="1"/>
  <c r="C162" i="1" s="1"/>
  <c r="C163" i="1" s="1"/>
  <c r="K133" i="16"/>
  <c r="H145" i="1"/>
  <c r="H121" i="1"/>
  <c r="J146" i="1"/>
  <c r="Q146" i="16"/>
  <c r="H146" i="16"/>
  <c r="DC55" i="18"/>
  <c r="CY55" i="18"/>
  <c r="DB55" i="18"/>
  <c r="CX55" i="18"/>
  <c r="CZ55" i="18"/>
  <c r="DA55" i="18"/>
  <c r="CT56" i="18"/>
  <c r="O157" i="16"/>
  <c r="O151" i="16"/>
  <c r="O152" i="16" s="1"/>
  <c r="O153" i="16" s="1"/>
  <c r="O154" i="16" s="1"/>
  <c r="O155" i="16" s="1"/>
  <c r="O156" i="16" s="1"/>
  <c r="I164" i="16"/>
  <c r="I158" i="16"/>
  <c r="G140" i="1"/>
  <c r="E164" i="16"/>
  <c r="E158" i="16"/>
  <c r="E159" i="16" s="1"/>
  <c r="E160" i="16" s="1"/>
  <c r="E161" i="16" s="1"/>
  <c r="E162" i="16" s="1"/>
  <c r="E163" i="16" s="1"/>
  <c r="P157" i="1"/>
  <c r="P151" i="1"/>
  <c r="P152" i="1" s="1"/>
  <c r="P153" i="1" s="1"/>
  <c r="P154" i="1" s="1"/>
  <c r="P155" i="1" s="1"/>
  <c r="P156" i="1" s="1"/>
  <c r="Q153" i="1"/>
  <c r="H164" i="16"/>
  <c r="H158" i="16"/>
  <c r="G145" i="16"/>
  <c r="K164" i="1"/>
  <c r="K158" i="1"/>
  <c r="F164" i="1"/>
  <c r="F158" i="1"/>
  <c r="F145" i="16"/>
  <c r="K134" i="1"/>
  <c r="EL71" i="10"/>
  <c r="I135" i="1"/>
  <c r="G152" i="1"/>
  <c r="K146" i="1"/>
  <c r="F133" i="16"/>
  <c r="W164" i="1"/>
  <c r="W158" i="1"/>
  <c r="W159" i="1" s="1"/>
  <c r="W160" i="1" s="1"/>
  <c r="W161" i="1" s="1"/>
  <c r="W162" i="1" s="1"/>
  <c r="W163" i="1" s="1"/>
  <c r="Q135" i="1"/>
  <c r="Q38" i="17"/>
  <c r="L39" i="17"/>
  <c r="Q164" i="16"/>
  <c r="Q158" i="16"/>
  <c r="K121" i="16"/>
  <c r="A171" i="1"/>
  <c r="A165" i="1"/>
  <c r="A166" i="1" s="1"/>
  <c r="A167" i="1" s="1"/>
  <c r="A168" i="1" s="1"/>
  <c r="A169" i="1" s="1"/>
  <c r="A170" i="1" s="1"/>
  <c r="R151" i="16"/>
  <c r="R152" i="16" s="1"/>
  <c r="R153" i="16" s="1"/>
  <c r="R154" i="16" s="1"/>
  <c r="R155" i="16" s="1"/>
  <c r="R156" i="16" s="1"/>
  <c r="R157" i="16"/>
  <c r="I140" i="16"/>
  <c r="G121" i="16"/>
  <c r="W157" i="16"/>
  <c r="W151" i="16"/>
  <c r="W152" i="16" s="1"/>
  <c r="W153" i="16" s="1"/>
  <c r="W154" i="16" s="1"/>
  <c r="W155" i="16" s="1"/>
  <c r="W156" i="16" s="1"/>
  <c r="H157" i="1"/>
  <c r="H151" i="1"/>
  <c r="J139" i="16"/>
  <c r="C157" i="16"/>
  <c r="C151" i="16"/>
  <c r="C152" i="16" s="1"/>
  <c r="C153" i="16" s="1"/>
  <c r="C154" i="16" s="1"/>
  <c r="C155" i="16" s="1"/>
  <c r="C156" i="16" s="1"/>
  <c r="F140" i="1"/>
  <c r="G133" i="16"/>
  <c r="BB182" i="15"/>
  <c r="H128" i="16"/>
  <c r="H133" i="1"/>
  <c r="AG38" i="15"/>
  <c r="D157" i="1"/>
  <c r="D151" i="1"/>
  <c r="D152" i="1" s="1"/>
  <c r="D153" i="1" s="1"/>
  <c r="D154" i="1" s="1"/>
  <c r="D155" i="1" s="1"/>
  <c r="D156" i="1" s="1"/>
  <c r="J134" i="1"/>
  <c r="H139" i="1"/>
  <c r="D158" i="16"/>
  <c r="D159" i="16" s="1"/>
  <c r="D160" i="16" s="1"/>
  <c r="D161" i="16" s="1"/>
  <c r="D162" i="16" s="1"/>
  <c r="D163" i="16" s="1"/>
  <c r="D164" i="16"/>
  <c r="X164" i="16"/>
  <c r="X158" i="16"/>
  <c r="X159" i="16" s="1"/>
  <c r="X160" i="16" s="1"/>
  <c r="X161" i="16" s="1"/>
  <c r="X162" i="16" s="1"/>
  <c r="X163" i="16" s="1"/>
  <c r="Q141" i="1"/>
  <c r="G127" i="16"/>
  <c r="R164" i="1"/>
  <c r="R158" i="1"/>
  <c r="R159" i="1" s="1"/>
  <c r="R160" i="1" s="1"/>
  <c r="R161" i="1" s="1"/>
  <c r="R162" i="1" s="1"/>
  <c r="R163" i="1" s="1"/>
  <c r="F134" i="1"/>
  <c r="I128" i="16"/>
  <c r="M164" i="16"/>
  <c r="M158" i="16"/>
  <c r="M159" i="16" s="1"/>
  <c r="M160" i="16" s="1"/>
  <c r="M161" i="16" s="1"/>
  <c r="M162" i="16" s="1"/>
  <c r="M163" i="16" s="1"/>
  <c r="G157" i="16"/>
  <c r="G151" i="16"/>
  <c r="H134" i="16"/>
  <c r="EL68" i="18"/>
  <c r="M171" i="1"/>
  <c r="M165" i="1"/>
  <c r="M166" i="1" s="1"/>
  <c r="M167" i="1" s="1"/>
  <c r="M168" i="1" s="1"/>
  <c r="M169" i="1" s="1"/>
  <c r="M170" i="1" s="1"/>
  <c r="F157" i="16"/>
  <c r="F151" i="16"/>
  <c r="I159" i="1"/>
  <c r="L39" i="15"/>
  <c r="Q38" i="15"/>
  <c r="I146" i="16"/>
  <c r="G139" i="16"/>
  <c r="G164" i="1"/>
  <c r="G158" i="1"/>
  <c r="P164" i="16"/>
  <c r="P158" i="16"/>
  <c r="P159" i="16" s="1"/>
  <c r="P160" i="16" s="1"/>
  <c r="P161" i="16" s="1"/>
  <c r="P162" i="16" s="1"/>
  <c r="P163" i="16" s="1"/>
  <c r="K157" i="16"/>
  <c r="K151" i="16"/>
  <c r="V157" i="16"/>
  <c r="V151" i="16"/>
  <c r="V152" i="16" s="1"/>
  <c r="V153" i="16" s="1"/>
  <c r="V154" i="16" s="1"/>
  <c r="V155" i="16" s="1"/>
  <c r="V156" i="16" s="1"/>
  <c r="AU47" i="17"/>
  <c r="J140" i="1"/>
  <c r="J152" i="1"/>
  <c r="O164" i="1"/>
  <c r="O158" i="1"/>
  <c r="O159" i="1" s="1"/>
  <c r="O160" i="1" s="1"/>
  <c r="O161" i="1" s="1"/>
  <c r="O162" i="1" s="1"/>
  <c r="O163" i="1" s="1"/>
  <c r="E171" i="1"/>
  <c r="E165" i="1"/>
  <c r="E166" i="1" s="1"/>
  <c r="E167" i="1" s="1"/>
  <c r="E168" i="1" s="1"/>
  <c r="E169" i="1" s="1"/>
  <c r="E170" i="1" s="1"/>
  <c r="T158" i="16"/>
  <c r="T159" i="16" s="1"/>
  <c r="T160" i="16" s="1"/>
  <c r="T161" i="16" s="1"/>
  <c r="T162" i="16" s="1"/>
  <c r="T163" i="16" s="1"/>
  <c r="T164" i="16"/>
  <c r="K139" i="16"/>
  <c r="K128" i="1"/>
  <c r="Q147" i="1"/>
  <c r="G128" i="1"/>
  <c r="A164" i="16"/>
  <c r="A158" i="16"/>
  <c r="A159" i="16" s="1"/>
  <c r="A160" i="16" s="1"/>
  <c r="A161" i="16" s="1"/>
  <c r="A162" i="16" s="1"/>
  <c r="A163" i="16" s="1"/>
  <c r="AI135" i="1"/>
  <c r="AF128" i="1"/>
  <c r="AF121" i="16"/>
  <c r="AF138" i="16"/>
  <c r="AI128" i="16"/>
  <c r="AF144" i="16"/>
  <c r="AG151" i="1"/>
  <c r="AQ157" i="16"/>
  <c r="AH145" i="16"/>
  <c r="GA58" i="24"/>
  <c r="AK144" i="16"/>
  <c r="AK157" i="1"/>
  <c r="AH138" i="1"/>
  <c r="AQ145" i="16"/>
  <c r="AQ134" i="1"/>
  <c r="AG144" i="16"/>
  <c r="GC58" i="24"/>
  <c r="AJ133" i="1"/>
  <c r="AK150" i="16"/>
  <c r="AP37" i="17"/>
  <c r="AJ144" i="16"/>
  <c r="AG138" i="16"/>
  <c r="AJ121" i="16"/>
  <c r="AJ128" i="1"/>
  <c r="AF132" i="16"/>
  <c r="AJ120" i="16"/>
  <c r="AG120" i="16"/>
  <c r="BV601" i="15"/>
  <c r="AG157" i="1"/>
  <c r="AF120" i="16"/>
  <c r="AQ135" i="1"/>
  <c r="AI133" i="16"/>
  <c r="AH150" i="1"/>
  <c r="AI158" i="1"/>
  <c r="AK132" i="16"/>
  <c r="AF126" i="16"/>
  <c r="AI157" i="16"/>
  <c r="AI145" i="16"/>
  <c r="AQ164" i="1"/>
  <c r="AG133" i="1"/>
  <c r="AK145" i="1"/>
  <c r="AI139" i="16"/>
  <c r="AC150" i="16"/>
  <c r="AG139" i="1"/>
  <c r="AP37" i="15"/>
  <c r="AK128" i="1"/>
  <c r="AJ127" i="1"/>
  <c r="AQ128" i="16"/>
  <c r="AK138" i="16"/>
  <c r="AH128" i="16"/>
  <c r="AJ126" i="16"/>
  <c r="BZ602" i="15"/>
  <c r="AO38" i="15"/>
  <c r="AH120" i="1"/>
  <c r="AH151" i="16"/>
  <c r="AQ140" i="1"/>
  <c r="AI164" i="1"/>
  <c r="AK121" i="16"/>
  <c r="AJ157" i="1"/>
  <c r="AJ139" i="1"/>
  <c r="AH157" i="16"/>
  <c r="AG121" i="16"/>
  <c r="AF151" i="1"/>
  <c r="AI140" i="1"/>
  <c r="AH126" i="1"/>
  <c r="AG127" i="1"/>
  <c r="GD58" i="24"/>
  <c r="AB150" i="16"/>
  <c r="AI134" i="1"/>
  <c r="AH127" i="16"/>
  <c r="AK133" i="1"/>
  <c r="GD58" i="18"/>
  <c r="AJ138" i="16"/>
  <c r="AG150" i="16"/>
  <c r="AI152" i="1"/>
  <c r="AK127" i="1"/>
  <c r="AQ158" i="1"/>
  <c r="AB157" i="1"/>
  <c r="AQ133" i="16"/>
  <c r="CH603" i="15"/>
  <c r="AF127" i="1"/>
  <c r="AJ145" i="1"/>
  <c r="AF150" i="16"/>
  <c r="AC157" i="1"/>
  <c r="AQ139" i="16"/>
  <c r="AI127" i="16"/>
  <c r="AJ151" i="1"/>
  <c r="AG126" i="16"/>
  <c r="AF157" i="1"/>
  <c r="AJ132" i="16"/>
  <c r="AH132" i="1"/>
  <c r="AJ150" i="16"/>
  <c r="GB57" i="10"/>
  <c r="BY602" i="15"/>
  <c r="GC57" i="10"/>
  <c r="AH144" i="1"/>
  <c r="AQ151" i="16"/>
  <c r="AH133" i="16"/>
  <c r="AI151" i="16"/>
  <c r="AQ146" i="1"/>
  <c r="AG132" i="16"/>
  <c r="AH139" i="16"/>
  <c r="AK120" i="16"/>
  <c r="AF133" i="1"/>
  <c r="AH121" i="1"/>
  <c r="AQ152" i="1"/>
  <c r="AK139" i="1"/>
  <c r="AF145" i="1"/>
  <c r="AK151" i="1"/>
  <c r="AK126" i="16"/>
  <c r="AQ127" i="16"/>
  <c r="AF139" i="1"/>
  <c r="AI146" i="1"/>
  <c r="AG128" i="1"/>
  <c r="AO37" i="17"/>
  <c r="AG145" i="1"/>
  <c r="DP28" i="32" l="1"/>
  <c r="DO28" i="32"/>
  <c r="DU18" i="32"/>
  <c r="EO18" i="32" s="1"/>
  <c r="DP20" i="32"/>
  <c r="DO20" i="32"/>
  <c r="DP21" i="32"/>
  <c r="DO21" i="32"/>
  <c r="DP27" i="32"/>
  <c r="DO27" i="32"/>
  <c r="DP30" i="32"/>
  <c r="DO30" i="32"/>
  <c r="DP25" i="32"/>
  <c r="DO25" i="32"/>
  <c r="DP19" i="32"/>
  <c r="DO19" i="32"/>
  <c r="U43" i="2"/>
  <c r="T43" i="2"/>
  <c r="U41" i="2"/>
  <c r="T41" i="2"/>
  <c r="DP22" i="32"/>
  <c r="DO22" i="32"/>
  <c r="DP38" i="32"/>
  <c r="DO38" i="32"/>
  <c r="DP23" i="32"/>
  <c r="DO23" i="32"/>
  <c r="U42" i="2"/>
  <c r="T42" i="2"/>
  <c r="U45" i="2"/>
  <c r="T45" i="2"/>
  <c r="U46" i="2"/>
  <c r="T46" i="2"/>
  <c r="T57" i="2" s="1"/>
  <c r="U44" i="2"/>
  <c r="T44" i="2"/>
  <c r="DO37" i="32"/>
  <c r="DP37" i="32"/>
  <c r="DP26" i="32"/>
  <c r="DO26" i="32"/>
  <c r="DU57" i="32"/>
  <c r="EO57" i="32" s="1"/>
  <c r="DU53" i="32"/>
  <c r="EO53" i="32" s="1"/>
  <c r="DU46" i="32"/>
  <c r="EO46" i="32" s="1"/>
  <c r="DU45" i="32"/>
  <c r="EO45" i="32" s="1"/>
  <c r="DU44" i="32"/>
  <c r="EO44" i="32" s="1"/>
  <c r="DU43" i="32"/>
  <c r="EO43" i="32" s="1"/>
  <c r="DU42" i="32"/>
  <c r="EO42" i="32" s="1"/>
  <c r="DU39" i="32"/>
  <c r="EO39" i="32" s="1"/>
  <c r="DU35" i="32"/>
  <c r="EO35" i="32" s="1"/>
  <c r="DU31" i="32"/>
  <c r="EO31" i="32" s="1"/>
  <c r="DU36" i="32"/>
  <c r="EO36" i="32" s="1"/>
  <c r="DU32" i="32"/>
  <c r="EO32" i="32" s="1"/>
  <c r="DU33" i="32"/>
  <c r="EO33" i="32" s="1"/>
  <c r="DU34" i="32"/>
  <c r="EO34" i="32" s="1"/>
  <c r="C36" i="34"/>
  <c r="C37" i="34"/>
  <c r="M43" i="2"/>
  <c r="CA37" i="32"/>
  <c r="BL36" i="32"/>
  <c r="CA36" i="32" s="1"/>
  <c r="BL35" i="32"/>
  <c r="CA35" i="32" s="1"/>
  <c r="M44" i="2"/>
  <c r="DC600" i="15"/>
  <c r="DE599" i="15"/>
  <c r="CF602" i="15"/>
  <c r="CQ602" i="15" s="1"/>
  <c r="CV602" i="15" s="1"/>
  <c r="CE602" i="15"/>
  <c r="CP602" i="15" s="1"/>
  <c r="CU602" i="15" s="1"/>
  <c r="BQ604" i="15"/>
  <c r="BG126" i="16"/>
  <c r="BG150" i="16"/>
  <c r="BG120" i="16"/>
  <c r="BG121" i="16"/>
  <c r="BG138" i="16"/>
  <c r="BG144" i="16"/>
  <c r="BG132" i="16"/>
  <c r="J43" i="15"/>
  <c r="AH594" i="15" s="1"/>
  <c r="LO61" i="24"/>
  <c r="LS60" i="24"/>
  <c r="GM58" i="24"/>
  <c r="HB58" i="24" s="1"/>
  <c r="GP58" i="24"/>
  <c r="HE58" i="24" s="1"/>
  <c r="FS60" i="24"/>
  <c r="EL69" i="24"/>
  <c r="CZ56" i="24"/>
  <c r="DC56" i="24"/>
  <c r="CY56" i="24"/>
  <c r="DB56" i="24"/>
  <c r="CX56" i="24"/>
  <c r="DA56" i="24"/>
  <c r="CT57" i="24"/>
  <c r="AB151" i="16"/>
  <c r="AB152" i="16" s="1"/>
  <c r="AB153" i="16" s="1"/>
  <c r="AB154" i="16" s="1"/>
  <c r="AB155" i="16" s="1"/>
  <c r="AB156" i="16" s="1"/>
  <c r="GO57" i="10"/>
  <c r="HD57" i="10" s="1"/>
  <c r="GN57" i="10"/>
  <c r="HC57" i="10" s="1"/>
  <c r="AC151" i="16"/>
  <c r="AC152" i="16" s="1"/>
  <c r="AC153" i="16" s="1"/>
  <c r="AC154" i="16" s="1"/>
  <c r="AC155" i="16" s="1"/>
  <c r="AC156" i="16" s="1"/>
  <c r="AB158" i="1"/>
  <c r="AB159" i="1" s="1"/>
  <c r="AB160" i="1" s="1"/>
  <c r="AB161" i="1" s="1"/>
  <c r="AB162" i="1" s="1"/>
  <c r="AB163" i="1" s="1"/>
  <c r="AC158" i="1"/>
  <c r="AC159" i="1" s="1"/>
  <c r="AC160" i="1" s="1"/>
  <c r="AC161" i="1" s="1"/>
  <c r="AC162" i="1" s="1"/>
  <c r="AC163" i="1" s="1"/>
  <c r="GP58" i="18"/>
  <c r="HE58" i="18" s="1"/>
  <c r="K152" i="16"/>
  <c r="G152" i="16"/>
  <c r="D171" i="16"/>
  <c r="D165" i="16"/>
  <c r="D166" i="16" s="1"/>
  <c r="D167" i="16" s="1"/>
  <c r="D168" i="16" s="1"/>
  <c r="D169" i="16" s="1"/>
  <c r="D170" i="16" s="1"/>
  <c r="BB183" i="15"/>
  <c r="F134" i="16"/>
  <c r="G153" i="1"/>
  <c r="G146" i="16"/>
  <c r="O158" i="16"/>
  <c r="O159" i="16" s="1"/>
  <c r="O160" i="16" s="1"/>
  <c r="O161" i="16" s="1"/>
  <c r="O162" i="16" s="1"/>
  <c r="O163" i="16" s="1"/>
  <c r="O164" i="16"/>
  <c r="U178" i="1"/>
  <c r="U172" i="1"/>
  <c r="U173" i="1" s="1"/>
  <c r="U174" i="1" s="1"/>
  <c r="U175" i="1" s="1"/>
  <c r="U176" i="1" s="1"/>
  <c r="U177" i="1" s="1"/>
  <c r="I154" i="1"/>
  <c r="J164" i="16"/>
  <c r="J158" i="16"/>
  <c r="H128" i="1"/>
  <c r="J128" i="16"/>
  <c r="I178" i="1"/>
  <c r="I172" i="1"/>
  <c r="A165" i="16"/>
  <c r="A166" i="16" s="1"/>
  <c r="A167" i="16" s="1"/>
  <c r="A168" i="16" s="1"/>
  <c r="A169" i="16" s="1"/>
  <c r="A170" i="16" s="1"/>
  <c r="A171" i="16"/>
  <c r="Q148" i="1"/>
  <c r="K140" i="16"/>
  <c r="J141" i="1"/>
  <c r="V164" i="16"/>
  <c r="V158" i="16"/>
  <c r="V159" i="16" s="1"/>
  <c r="V160" i="16" s="1"/>
  <c r="V161" i="16" s="1"/>
  <c r="V162" i="16" s="1"/>
  <c r="V163" i="16" s="1"/>
  <c r="G171" i="1"/>
  <c r="G165" i="1"/>
  <c r="G134" i="16"/>
  <c r="I141" i="16"/>
  <c r="A178" i="1"/>
  <c r="A172" i="1"/>
  <c r="A173" i="1" s="1"/>
  <c r="A174" i="1" s="1"/>
  <c r="A175" i="1" s="1"/>
  <c r="A176" i="1" s="1"/>
  <c r="A177" i="1" s="1"/>
  <c r="Q159" i="16"/>
  <c r="F159" i="1"/>
  <c r="H159" i="16"/>
  <c r="Q153" i="16"/>
  <c r="T171" i="16"/>
  <c r="T165" i="16"/>
  <c r="T166" i="16" s="1"/>
  <c r="T167" i="16" s="1"/>
  <c r="T168" i="16" s="1"/>
  <c r="T169" i="16" s="1"/>
  <c r="T170" i="16" s="1"/>
  <c r="AU48" i="17"/>
  <c r="P171" i="16"/>
  <c r="P165" i="16"/>
  <c r="P166" i="16" s="1"/>
  <c r="P167" i="16" s="1"/>
  <c r="P168" i="16" s="1"/>
  <c r="P169" i="16" s="1"/>
  <c r="P170" i="16" s="1"/>
  <c r="I160" i="1"/>
  <c r="M171" i="16"/>
  <c r="M165" i="16"/>
  <c r="M166" i="16" s="1"/>
  <c r="M167" i="16" s="1"/>
  <c r="M168" i="16" s="1"/>
  <c r="M169" i="16" s="1"/>
  <c r="M170" i="16" s="1"/>
  <c r="F135" i="1"/>
  <c r="G128" i="16"/>
  <c r="X171" i="16"/>
  <c r="X165" i="16"/>
  <c r="X166" i="16" s="1"/>
  <c r="X167" i="16" s="1"/>
  <c r="X168" i="16" s="1"/>
  <c r="X169" i="16" s="1"/>
  <c r="X170" i="16" s="1"/>
  <c r="H140" i="1"/>
  <c r="D164" i="1"/>
  <c r="D158" i="1"/>
  <c r="D159" i="1" s="1"/>
  <c r="D160" i="1" s="1"/>
  <c r="D161" i="1" s="1"/>
  <c r="D162" i="1" s="1"/>
  <c r="D163" i="1" s="1"/>
  <c r="C164" i="16"/>
  <c r="C158" i="16"/>
  <c r="C159" i="16" s="1"/>
  <c r="C160" i="16" s="1"/>
  <c r="C161" i="16" s="1"/>
  <c r="C162" i="16" s="1"/>
  <c r="C163" i="16" s="1"/>
  <c r="H152" i="1"/>
  <c r="R164" i="16"/>
  <c r="R158" i="16"/>
  <c r="R159" i="16" s="1"/>
  <c r="R160" i="16" s="1"/>
  <c r="R161" i="16" s="1"/>
  <c r="R162" i="16" s="1"/>
  <c r="R163" i="16" s="1"/>
  <c r="Q165" i="16"/>
  <c r="Q171" i="16"/>
  <c r="EL72" i="10"/>
  <c r="F171" i="1"/>
  <c r="F165" i="1"/>
  <c r="H171" i="16"/>
  <c r="H165" i="16"/>
  <c r="P164" i="1"/>
  <c r="P158" i="1"/>
  <c r="P159" i="1" s="1"/>
  <c r="P160" i="1" s="1"/>
  <c r="P161" i="1" s="1"/>
  <c r="P162" i="1" s="1"/>
  <c r="P163" i="1" s="1"/>
  <c r="G141" i="1"/>
  <c r="Q147" i="16"/>
  <c r="K134" i="16"/>
  <c r="FS60" i="18"/>
  <c r="F147" i="1"/>
  <c r="B171" i="1"/>
  <c r="B165" i="1"/>
  <c r="B166" i="1" s="1"/>
  <c r="B167" i="1" s="1"/>
  <c r="B168" i="1" s="1"/>
  <c r="B169" i="1" s="1"/>
  <c r="B170" i="1" s="1"/>
  <c r="N165" i="1"/>
  <c r="N166" i="1" s="1"/>
  <c r="N167" i="1" s="1"/>
  <c r="N168" i="1" s="1"/>
  <c r="N169" i="1" s="1"/>
  <c r="N170" i="1" s="1"/>
  <c r="N171" i="1"/>
  <c r="F153" i="1"/>
  <c r="Q178" i="1"/>
  <c r="Q172" i="1"/>
  <c r="F140" i="16"/>
  <c r="G147" i="1"/>
  <c r="I166" i="1"/>
  <c r="J153" i="1"/>
  <c r="G140" i="16"/>
  <c r="M178" i="1"/>
  <c r="M172" i="1"/>
  <c r="M173" i="1" s="1"/>
  <c r="M174" i="1" s="1"/>
  <c r="M175" i="1" s="1"/>
  <c r="M176" i="1" s="1"/>
  <c r="M177" i="1" s="1"/>
  <c r="F146" i="16"/>
  <c r="K164" i="16"/>
  <c r="K158" i="16"/>
  <c r="G159" i="1"/>
  <c r="Q39" i="15"/>
  <c r="L40" i="15"/>
  <c r="F152" i="16"/>
  <c r="G158" i="16"/>
  <c r="G164" i="16"/>
  <c r="R171" i="1"/>
  <c r="R165" i="1"/>
  <c r="R166" i="1" s="1"/>
  <c r="R167" i="1" s="1"/>
  <c r="R168" i="1" s="1"/>
  <c r="R169" i="1" s="1"/>
  <c r="R170" i="1" s="1"/>
  <c r="Q142" i="1"/>
  <c r="J135" i="1"/>
  <c r="AG39" i="15"/>
  <c r="J140" i="16"/>
  <c r="K159" i="1"/>
  <c r="Q154" i="1"/>
  <c r="E171" i="16"/>
  <c r="E165" i="16"/>
  <c r="E166" i="16" s="1"/>
  <c r="E167" i="16" s="1"/>
  <c r="E168" i="16" s="1"/>
  <c r="E169" i="16" s="1"/>
  <c r="E170" i="16" s="1"/>
  <c r="I159" i="16"/>
  <c r="DA56" i="18"/>
  <c r="CZ56" i="18"/>
  <c r="DB56" i="18"/>
  <c r="CY56" i="18"/>
  <c r="CX56" i="18"/>
  <c r="DC56" i="18"/>
  <c r="CT57" i="18"/>
  <c r="H147" i="16"/>
  <c r="J147" i="1"/>
  <c r="H146" i="1"/>
  <c r="C171" i="1"/>
  <c r="C165" i="1"/>
  <c r="C166" i="1" s="1"/>
  <c r="C167" i="1" s="1"/>
  <c r="C168" i="1" s="1"/>
  <c r="C169" i="1" s="1"/>
  <c r="C170" i="1" s="1"/>
  <c r="L171" i="16"/>
  <c r="L165" i="16"/>
  <c r="L166" i="16" s="1"/>
  <c r="L167" i="16" s="1"/>
  <c r="L168" i="16" s="1"/>
  <c r="L169" i="16" s="1"/>
  <c r="L170" i="16" s="1"/>
  <c r="J152" i="16"/>
  <c r="S171" i="1"/>
  <c r="S165" i="1"/>
  <c r="S166" i="1" s="1"/>
  <c r="S167" i="1" s="1"/>
  <c r="S168" i="1" s="1"/>
  <c r="S169" i="1" s="1"/>
  <c r="S170" i="1" s="1"/>
  <c r="V165" i="1"/>
  <c r="V166" i="1" s="1"/>
  <c r="V167" i="1" s="1"/>
  <c r="V168" i="1" s="1"/>
  <c r="V169" i="1" s="1"/>
  <c r="V170" i="1" s="1"/>
  <c r="V171" i="1"/>
  <c r="B164" i="16"/>
  <c r="B158" i="16"/>
  <c r="B159" i="16" s="1"/>
  <c r="B160" i="16" s="1"/>
  <c r="B161" i="16" s="1"/>
  <c r="B162" i="16" s="1"/>
  <c r="B163" i="16" s="1"/>
  <c r="H141" i="16"/>
  <c r="U171" i="16"/>
  <c r="U165" i="16"/>
  <c r="U166" i="16" s="1"/>
  <c r="U167" i="16" s="1"/>
  <c r="U168" i="16" s="1"/>
  <c r="U169" i="16" s="1"/>
  <c r="U170" i="16" s="1"/>
  <c r="N164" i="16"/>
  <c r="N158" i="16"/>
  <c r="N159" i="16" s="1"/>
  <c r="N160" i="16" s="1"/>
  <c r="N161" i="16" s="1"/>
  <c r="N162" i="16" s="1"/>
  <c r="N163" i="16" s="1"/>
  <c r="Q141" i="16"/>
  <c r="L164" i="1"/>
  <c r="L158" i="1"/>
  <c r="L159" i="1" s="1"/>
  <c r="L160" i="1" s="1"/>
  <c r="L161" i="1" s="1"/>
  <c r="L162" i="1" s="1"/>
  <c r="L163" i="1" s="1"/>
  <c r="J159" i="1"/>
  <c r="DB55" i="10"/>
  <c r="CX55" i="10"/>
  <c r="DC55" i="10"/>
  <c r="DA55" i="10"/>
  <c r="CZ55" i="10"/>
  <c r="CY55" i="10"/>
  <c r="CT56" i="10"/>
  <c r="CU56" i="10" s="1"/>
  <c r="I135" i="16"/>
  <c r="FR59" i="10"/>
  <c r="E178" i="1"/>
  <c r="E172" i="1"/>
  <c r="E173" i="1" s="1"/>
  <c r="E174" i="1" s="1"/>
  <c r="E175" i="1" s="1"/>
  <c r="E176" i="1" s="1"/>
  <c r="E177" i="1" s="1"/>
  <c r="H134" i="1"/>
  <c r="F141" i="1"/>
  <c r="H164" i="1"/>
  <c r="H158" i="1"/>
  <c r="L40" i="17"/>
  <c r="Q39" i="17"/>
  <c r="S164" i="16"/>
  <c r="S158" i="16"/>
  <c r="S159" i="16" s="1"/>
  <c r="S160" i="16" s="1"/>
  <c r="S161" i="16" s="1"/>
  <c r="S162" i="16" s="1"/>
  <c r="S163" i="16" s="1"/>
  <c r="G135" i="1"/>
  <c r="BH39" i="17"/>
  <c r="I148" i="1"/>
  <c r="J134" i="16"/>
  <c r="K141" i="1"/>
  <c r="J146" i="16"/>
  <c r="Q160" i="1"/>
  <c r="O171" i="1"/>
  <c r="O165" i="1"/>
  <c r="O166" i="1" s="1"/>
  <c r="O167" i="1" s="1"/>
  <c r="O168" i="1" s="1"/>
  <c r="O169" i="1" s="1"/>
  <c r="O170" i="1" s="1"/>
  <c r="I147" i="16"/>
  <c r="F164" i="16"/>
  <c r="F158" i="16"/>
  <c r="EL69" i="18"/>
  <c r="H135" i="16"/>
  <c r="W158" i="16"/>
  <c r="W159" i="16" s="1"/>
  <c r="W160" i="16" s="1"/>
  <c r="W161" i="16" s="1"/>
  <c r="W162" i="16" s="1"/>
  <c r="W163" i="16" s="1"/>
  <c r="W164" i="16"/>
  <c r="W171" i="1"/>
  <c r="W165" i="1"/>
  <c r="W166" i="1" s="1"/>
  <c r="W167" i="1" s="1"/>
  <c r="W168" i="1" s="1"/>
  <c r="W169" i="1" s="1"/>
  <c r="W170" i="1" s="1"/>
  <c r="K147" i="1"/>
  <c r="K135" i="1"/>
  <c r="K171" i="1"/>
  <c r="K165" i="1"/>
  <c r="I165" i="16"/>
  <c r="I171" i="16"/>
  <c r="K128" i="16"/>
  <c r="Q135" i="16"/>
  <c r="AG39" i="17"/>
  <c r="AU40" i="15"/>
  <c r="K153" i="1"/>
  <c r="H153" i="16"/>
  <c r="F128" i="16"/>
  <c r="Q166" i="1"/>
  <c r="BB183" i="17"/>
  <c r="J171" i="1"/>
  <c r="J165" i="1"/>
  <c r="K146" i="16"/>
  <c r="I142" i="1"/>
  <c r="BH40" i="15"/>
  <c r="T164" i="1"/>
  <c r="T158" i="1"/>
  <c r="T159" i="1" s="1"/>
  <c r="T160" i="1" s="1"/>
  <c r="T161" i="1" s="1"/>
  <c r="T162" i="1" s="1"/>
  <c r="T163" i="1" s="1"/>
  <c r="I153" i="16"/>
  <c r="X164" i="1"/>
  <c r="X158" i="1"/>
  <c r="X159" i="1" s="1"/>
  <c r="X160" i="1" s="1"/>
  <c r="X161" i="1" s="1"/>
  <c r="X162" i="1" s="1"/>
  <c r="X163" i="1" s="1"/>
  <c r="AQ165" i="1"/>
  <c r="AG128" i="16"/>
  <c r="AI140" i="16"/>
  <c r="AI158" i="16"/>
  <c r="AI171" i="1"/>
  <c r="AJ133" i="16"/>
  <c r="AH134" i="16"/>
  <c r="AC157" i="16"/>
  <c r="AJ128" i="16"/>
  <c r="AK157" i="16"/>
  <c r="AF164" i="1"/>
  <c r="AF135" i="1"/>
  <c r="AK139" i="16"/>
  <c r="AJ146" i="1"/>
  <c r="AI153" i="1"/>
  <c r="AI165" i="1"/>
  <c r="AG134" i="1"/>
  <c r="AK128" i="16"/>
  <c r="AG140" i="1"/>
  <c r="AF134" i="1"/>
  <c r="BZ603" i="15"/>
  <c r="AQ171" i="1"/>
  <c r="AO39" i="15"/>
  <c r="AF140" i="1"/>
  <c r="AH152" i="16"/>
  <c r="AK135" i="1"/>
  <c r="AH133" i="1"/>
  <c r="AI164" i="16"/>
  <c r="AK145" i="16"/>
  <c r="AQ135" i="16"/>
  <c r="AJ158" i="1"/>
  <c r="AI134" i="16"/>
  <c r="AK134" i="1"/>
  <c r="AF139" i="16"/>
  <c r="AQ159" i="1"/>
  <c r="AH146" i="16"/>
  <c r="AK140" i="1"/>
  <c r="AC164" i="1"/>
  <c r="AJ140" i="1"/>
  <c r="AI159" i="1"/>
  <c r="AF133" i="16"/>
  <c r="AQ147" i="1"/>
  <c r="AG152" i="1"/>
  <c r="AP38" i="17"/>
  <c r="AG164" i="1"/>
  <c r="AG139" i="16"/>
  <c r="AK133" i="16"/>
  <c r="AQ164" i="16"/>
  <c r="AB157" i="16"/>
  <c r="AG133" i="16"/>
  <c r="AI146" i="16"/>
  <c r="AJ135" i="1"/>
  <c r="AI142" i="1"/>
  <c r="AJ164" i="1"/>
  <c r="AO38" i="17"/>
  <c r="AQ146" i="16"/>
  <c r="BY603" i="15"/>
  <c r="AK151" i="16"/>
  <c r="AF145" i="16"/>
  <c r="AK146" i="1"/>
  <c r="AI135" i="16"/>
  <c r="AG157" i="16"/>
  <c r="AJ145" i="16"/>
  <c r="AH127" i="1"/>
  <c r="AH135" i="16"/>
  <c r="AJ127" i="16"/>
  <c r="AK164" i="1"/>
  <c r="AJ152" i="1"/>
  <c r="GC59" i="24"/>
  <c r="AK158" i="1"/>
  <c r="AQ134" i="16"/>
  <c r="AG135" i="1"/>
  <c r="AG151" i="16"/>
  <c r="AF128" i="16"/>
  <c r="AB164" i="1"/>
  <c r="AK127" i="16"/>
  <c r="GC58" i="10"/>
  <c r="CH604" i="15"/>
  <c r="AH164" i="16"/>
  <c r="AQ158" i="16"/>
  <c r="AP38" i="15"/>
  <c r="AF158" i="1"/>
  <c r="AH157" i="1"/>
  <c r="AF146" i="1"/>
  <c r="AF151" i="16"/>
  <c r="AQ140" i="16"/>
  <c r="AH145" i="1"/>
  <c r="AG158" i="1"/>
  <c r="AF127" i="16"/>
  <c r="GB58" i="10"/>
  <c r="AQ141" i="1"/>
  <c r="AQ142" i="1"/>
  <c r="AH140" i="16"/>
  <c r="AH139" i="1"/>
  <c r="AH128" i="1"/>
  <c r="AF152" i="1"/>
  <c r="AJ134" i="1"/>
  <c r="AQ152" i="16"/>
  <c r="AJ151" i="16"/>
  <c r="AI141" i="1"/>
  <c r="AG146" i="1"/>
  <c r="AG145" i="16"/>
  <c r="AJ157" i="16"/>
  <c r="AH151" i="1"/>
  <c r="GD59" i="18"/>
  <c r="AQ153" i="1"/>
  <c r="AK152" i="1"/>
  <c r="AF157" i="16"/>
  <c r="AI152" i="16"/>
  <c r="AI147" i="1"/>
  <c r="AG127" i="16"/>
  <c r="GA59" i="24"/>
  <c r="AJ139" i="16"/>
  <c r="GD59" i="24"/>
  <c r="AH158" i="16"/>
  <c r="T54" i="2" l="1"/>
  <c r="T62" i="2" s="1"/>
  <c r="T53" i="2"/>
  <c r="T61" i="2" s="1"/>
  <c r="DU28" i="32"/>
  <c r="EO28" i="32" s="1"/>
  <c r="DU25" i="32"/>
  <c r="EO25" i="32" s="1"/>
  <c r="DU27" i="32"/>
  <c r="EO27" i="32" s="1"/>
  <c r="DU20" i="32"/>
  <c r="EO20" i="32" s="1"/>
  <c r="DU19" i="32"/>
  <c r="EO19" i="32" s="1"/>
  <c r="DU30" i="32"/>
  <c r="EO30" i="32" s="1"/>
  <c r="DU21" i="32"/>
  <c r="EO21" i="32" s="1"/>
  <c r="DU37" i="32"/>
  <c r="EO37" i="32" s="1"/>
  <c r="DU38" i="32"/>
  <c r="EO38" i="32" s="1"/>
  <c r="N41" i="2"/>
  <c r="M41" i="2"/>
  <c r="DU26" i="32"/>
  <c r="EO26" i="32" s="1"/>
  <c r="DU23" i="32"/>
  <c r="EO23" i="32" s="1"/>
  <c r="DU22" i="32"/>
  <c r="EO22" i="32" s="1"/>
  <c r="C38" i="34"/>
  <c r="C39" i="34"/>
  <c r="C40" i="34"/>
  <c r="M45" i="2"/>
  <c r="M46" i="2" s="1"/>
  <c r="T56" i="2" s="1"/>
  <c r="T64" i="2" s="1"/>
  <c r="DC601" i="15"/>
  <c r="DE600" i="15"/>
  <c r="CE603" i="15"/>
  <c r="CP603" i="15" s="1"/>
  <c r="CU603" i="15" s="1"/>
  <c r="CF603" i="15"/>
  <c r="CQ603" i="15" s="1"/>
  <c r="CV603" i="15" s="1"/>
  <c r="BQ605" i="15"/>
  <c r="BG133" i="16"/>
  <c r="BG128" i="16"/>
  <c r="BG145" i="16"/>
  <c r="BG151" i="16"/>
  <c r="BG139" i="16"/>
  <c r="BG157" i="16"/>
  <c r="BG127" i="16"/>
  <c r="J44" i="15"/>
  <c r="AH595" i="15" s="1"/>
  <c r="LO62" i="24"/>
  <c r="LS61" i="24"/>
  <c r="GP59" i="24"/>
  <c r="HE59" i="24" s="1"/>
  <c r="GM59" i="24"/>
  <c r="HB59" i="24" s="1"/>
  <c r="FS61" i="24"/>
  <c r="CZ57" i="24"/>
  <c r="DC57" i="24"/>
  <c r="CY57" i="24"/>
  <c r="CX57" i="24"/>
  <c r="DB57" i="24"/>
  <c r="DA57" i="24"/>
  <c r="CT58" i="24"/>
  <c r="EL70" i="24"/>
  <c r="GO58" i="10"/>
  <c r="HD58" i="10" s="1"/>
  <c r="GN58" i="10"/>
  <c r="HC58" i="10" s="1"/>
  <c r="AC165" i="1"/>
  <c r="AC166" i="1" s="1"/>
  <c r="AC167" i="1" s="1"/>
  <c r="AC168" i="1" s="1"/>
  <c r="AC169" i="1" s="1"/>
  <c r="AC170" i="1" s="1"/>
  <c r="AB158" i="16"/>
  <c r="AB159" i="16" s="1"/>
  <c r="AB160" i="16" s="1"/>
  <c r="AB161" i="16" s="1"/>
  <c r="AB162" i="16" s="1"/>
  <c r="AB163" i="16" s="1"/>
  <c r="AB165" i="1"/>
  <c r="GP59" i="18"/>
  <c r="HE59" i="18" s="1"/>
  <c r="AC158" i="16"/>
  <c r="AC159" i="16" s="1"/>
  <c r="AC160" i="16" s="1"/>
  <c r="AC161" i="16" s="1"/>
  <c r="AC162" i="16" s="1"/>
  <c r="AC163" i="16" s="1"/>
  <c r="S171" i="16"/>
  <c r="S165" i="16"/>
  <c r="S166" i="16" s="1"/>
  <c r="S167" i="16" s="1"/>
  <c r="S168" i="16" s="1"/>
  <c r="S169" i="16" s="1"/>
  <c r="S170" i="16" s="1"/>
  <c r="F142" i="1"/>
  <c r="E185" i="1"/>
  <c r="E179" i="1"/>
  <c r="E180" i="1" s="1"/>
  <c r="E181" i="1" s="1"/>
  <c r="E182" i="1" s="1"/>
  <c r="E183" i="1" s="1"/>
  <c r="E184" i="1" s="1"/>
  <c r="K148" i="1"/>
  <c r="F159" i="16"/>
  <c r="H159" i="1"/>
  <c r="FR60" i="10"/>
  <c r="L171" i="1"/>
  <c r="L165" i="1"/>
  <c r="L166" i="1" s="1"/>
  <c r="L167" i="1" s="1"/>
  <c r="L168" i="1" s="1"/>
  <c r="L169" i="1" s="1"/>
  <c r="L170" i="1" s="1"/>
  <c r="I154" i="16"/>
  <c r="BH41" i="15"/>
  <c r="K147" i="16"/>
  <c r="K154" i="1"/>
  <c r="I166" i="16"/>
  <c r="F165" i="16"/>
  <c r="F171" i="16"/>
  <c r="O178" i="1"/>
  <c r="O172" i="1"/>
  <c r="O173" i="1" s="1"/>
  <c r="O174" i="1" s="1"/>
  <c r="O175" i="1" s="1"/>
  <c r="O176" i="1" s="1"/>
  <c r="O177" i="1" s="1"/>
  <c r="K142" i="1"/>
  <c r="I149" i="1"/>
  <c r="L41" i="17"/>
  <c r="Q40" i="17"/>
  <c r="H171" i="1"/>
  <c r="H165" i="1"/>
  <c r="H135" i="1"/>
  <c r="B171" i="16"/>
  <c r="B165" i="16"/>
  <c r="B166" i="16" s="1"/>
  <c r="B167" i="16" s="1"/>
  <c r="B168" i="16" s="1"/>
  <c r="B169" i="16" s="1"/>
  <c r="B170" i="16" s="1"/>
  <c r="S178" i="1"/>
  <c r="S172" i="1"/>
  <c r="S173" i="1" s="1"/>
  <c r="S174" i="1" s="1"/>
  <c r="S175" i="1" s="1"/>
  <c r="S176" i="1" s="1"/>
  <c r="S177" i="1" s="1"/>
  <c r="L178" i="16"/>
  <c r="L172" i="16"/>
  <c r="L173" i="16" s="1"/>
  <c r="L174" i="16" s="1"/>
  <c r="L175" i="16" s="1"/>
  <c r="L176" i="16" s="1"/>
  <c r="L177" i="16" s="1"/>
  <c r="E178" i="16"/>
  <c r="E172" i="16"/>
  <c r="E173" i="16" s="1"/>
  <c r="E174" i="16" s="1"/>
  <c r="E175" i="16" s="1"/>
  <c r="E176" i="16" s="1"/>
  <c r="E177" i="16" s="1"/>
  <c r="AG40" i="15"/>
  <c r="F153" i="16"/>
  <c r="K171" i="16"/>
  <c r="K165" i="16"/>
  <c r="I167" i="1"/>
  <c r="Q185" i="1"/>
  <c r="Q179" i="1"/>
  <c r="N178" i="1"/>
  <c r="N172" i="1"/>
  <c r="N173" i="1" s="1"/>
  <c r="N174" i="1" s="1"/>
  <c r="N175" i="1" s="1"/>
  <c r="N176" i="1" s="1"/>
  <c r="N177" i="1" s="1"/>
  <c r="B178" i="1"/>
  <c r="B172" i="1"/>
  <c r="B173" i="1" s="1"/>
  <c r="B174" i="1" s="1"/>
  <c r="B175" i="1" s="1"/>
  <c r="B176" i="1" s="1"/>
  <c r="B177" i="1" s="1"/>
  <c r="K135" i="16"/>
  <c r="H166" i="16"/>
  <c r="F178" i="1"/>
  <c r="F172" i="1"/>
  <c r="Q178" i="16"/>
  <c r="Q172" i="16"/>
  <c r="C171" i="16"/>
  <c r="C165" i="16"/>
  <c r="C166" i="16" s="1"/>
  <c r="C167" i="16" s="1"/>
  <c r="C168" i="16" s="1"/>
  <c r="C169" i="16" s="1"/>
  <c r="C170" i="16" s="1"/>
  <c r="H141" i="1"/>
  <c r="M178" i="16"/>
  <c r="M172" i="16"/>
  <c r="M173" i="16" s="1"/>
  <c r="M174" i="16" s="1"/>
  <c r="M175" i="16" s="1"/>
  <c r="M176" i="16" s="1"/>
  <c r="M177" i="16" s="1"/>
  <c r="P172" i="16"/>
  <c r="P173" i="16" s="1"/>
  <c r="P174" i="16" s="1"/>
  <c r="P175" i="16" s="1"/>
  <c r="P176" i="16" s="1"/>
  <c r="P177" i="16" s="1"/>
  <c r="P178" i="16"/>
  <c r="T178" i="16"/>
  <c r="T172" i="16"/>
  <c r="T173" i="16" s="1"/>
  <c r="T174" i="16" s="1"/>
  <c r="T175" i="16" s="1"/>
  <c r="T176" i="16" s="1"/>
  <c r="T177" i="16" s="1"/>
  <c r="V165" i="16"/>
  <c r="V166" i="16" s="1"/>
  <c r="V167" i="16" s="1"/>
  <c r="V168" i="16" s="1"/>
  <c r="V169" i="16" s="1"/>
  <c r="V170" i="16" s="1"/>
  <c r="V171" i="16"/>
  <c r="K141" i="16"/>
  <c r="I173" i="1"/>
  <c r="J171" i="16"/>
  <c r="J165" i="16"/>
  <c r="U185" i="1"/>
  <c r="U179" i="1"/>
  <c r="U180" i="1" s="1"/>
  <c r="U181" i="1" s="1"/>
  <c r="U182" i="1" s="1"/>
  <c r="U183" i="1" s="1"/>
  <c r="U184" i="1" s="1"/>
  <c r="G147" i="16"/>
  <c r="F135" i="16"/>
  <c r="D178" i="16"/>
  <c r="D172" i="16"/>
  <c r="D173" i="16" s="1"/>
  <c r="D174" i="16" s="1"/>
  <c r="D175" i="16" s="1"/>
  <c r="D176" i="16" s="1"/>
  <c r="D177" i="16" s="1"/>
  <c r="K153" i="16"/>
  <c r="T171" i="1"/>
  <c r="T165" i="1"/>
  <c r="T166" i="1" s="1"/>
  <c r="T167" i="1" s="1"/>
  <c r="T168" i="1" s="1"/>
  <c r="T169" i="1" s="1"/>
  <c r="T170" i="1" s="1"/>
  <c r="H154" i="16"/>
  <c r="AU41" i="15"/>
  <c r="W171" i="16"/>
  <c r="W165" i="16"/>
  <c r="W166" i="16" s="1"/>
  <c r="W167" i="16" s="1"/>
  <c r="W168" i="16" s="1"/>
  <c r="W169" i="16" s="1"/>
  <c r="W170" i="16" s="1"/>
  <c r="I148" i="16"/>
  <c r="J135" i="16"/>
  <c r="BB184" i="17"/>
  <c r="AG40" i="17"/>
  <c r="K166" i="1"/>
  <c r="W178" i="1"/>
  <c r="W172" i="1"/>
  <c r="W173" i="1" s="1"/>
  <c r="W174" i="1" s="1"/>
  <c r="W175" i="1" s="1"/>
  <c r="W176" i="1" s="1"/>
  <c r="W177" i="1" s="1"/>
  <c r="EL70" i="18"/>
  <c r="Q161" i="1"/>
  <c r="BH40" i="17"/>
  <c r="DA56" i="10"/>
  <c r="DB56" i="10"/>
  <c r="CZ56" i="10"/>
  <c r="CY56" i="10"/>
  <c r="DC56" i="10"/>
  <c r="CX56" i="10"/>
  <c r="CT57" i="10"/>
  <c r="CU57" i="10" s="1"/>
  <c r="J160" i="1"/>
  <c r="Q142" i="16"/>
  <c r="U178" i="16"/>
  <c r="U172" i="16"/>
  <c r="U173" i="16" s="1"/>
  <c r="U174" i="16" s="1"/>
  <c r="U175" i="16" s="1"/>
  <c r="U176" i="16" s="1"/>
  <c r="U177" i="16" s="1"/>
  <c r="V178" i="1"/>
  <c r="V172" i="1"/>
  <c r="V173" i="1" s="1"/>
  <c r="V174" i="1" s="1"/>
  <c r="V175" i="1" s="1"/>
  <c r="V176" i="1" s="1"/>
  <c r="V177" i="1" s="1"/>
  <c r="H147" i="1"/>
  <c r="H148" i="16"/>
  <c r="Q155" i="1"/>
  <c r="G171" i="16"/>
  <c r="G165" i="16"/>
  <c r="G160" i="1"/>
  <c r="M185" i="1"/>
  <c r="M179" i="1"/>
  <c r="M180" i="1" s="1"/>
  <c r="M181" i="1" s="1"/>
  <c r="M182" i="1" s="1"/>
  <c r="M183" i="1" s="1"/>
  <c r="M184" i="1" s="1"/>
  <c r="J154" i="1"/>
  <c r="H178" i="16"/>
  <c r="H172" i="16"/>
  <c r="EL73" i="10"/>
  <c r="Q166" i="16"/>
  <c r="H153" i="1"/>
  <c r="AU49" i="17"/>
  <c r="H160" i="16"/>
  <c r="Q160" i="16"/>
  <c r="I142" i="16"/>
  <c r="G166" i="1"/>
  <c r="Q149" i="1"/>
  <c r="I185" i="1"/>
  <c r="I179" i="1"/>
  <c r="O171" i="16"/>
  <c r="O165" i="16"/>
  <c r="O166" i="16" s="1"/>
  <c r="O167" i="16" s="1"/>
  <c r="O168" i="16" s="1"/>
  <c r="O169" i="16" s="1"/>
  <c r="O170" i="16" s="1"/>
  <c r="J153" i="16"/>
  <c r="DC57" i="18"/>
  <c r="CY57" i="18"/>
  <c r="DB57" i="18"/>
  <c r="CX57" i="18"/>
  <c r="DA57" i="18"/>
  <c r="CZ57" i="18"/>
  <c r="CT58" i="18"/>
  <c r="I160" i="16"/>
  <c r="J141" i="16"/>
  <c r="G159" i="16"/>
  <c r="L41" i="15"/>
  <c r="Q40" i="15"/>
  <c r="F141" i="16"/>
  <c r="F148" i="1"/>
  <c r="Q148" i="16"/>
  <c r="P171" i="1"/>
  <c r="P165" i="1"/>
  <c r="P166" i="1" s="1"/>
  <c r="P167" i="1" s="1"/>
  <c r="P168" i="1" s="1"/>
  <c r="P169" i="1" s="1"/>
  <c r="P170" i="1" s="1"/>
  <c r="D171" i="1"/>
  <c r="D165" i="1"/>
  <c r="D166" i="1" s="1"/>
  <c r="D167" i="1" s="1"/>
  <c r="D168" i="1" s="1"/>
  <c r="D169" i="1" s="1"/>
  <c r="D170" i="1" s="1"/>
  <c r="X178" i="16"/>
  <c r="X172" i="16"/>
  <c r="X173" i="16" s="1"/>
  <c r="X174" i="16" s="1"/>
  <c r="X175" i="16" s="1"/>
  <c r="X176" i="16" s="1"/>
  <c r="X177" i="16" s="1"/>
  <c r="I161" i="1"/>
  <c r="G178" i="1"/>
  <c r="G172" i="1"/>
  <c r="J142" i="1"/>
  <c r="I155" i="1"/>
  <c r="G154" i="1"/>
  <c r="BB184" i="15"/>
  <c r="G153" i="16"/>
  <c r="X171" i="1"/>
  <c r="X165" i="1"/>
  <c r="X166" i="1" s="1"/>
  <c r="X167" i="1" s="1"/>
  <c r="X168" i="1" s="1"/>
  <c r="X169" i="1" s="1"/>
  <c r="X170" i="1" s="1"/>
  <c r="J166" i="1"/>
  <c r="Q167" i="1"/>
  <c r="K178" i="1"/>
  <c r="K172" i="1"/>
  <c r="J147" i="16"/>
  <c r="J178" i="1"/>
  <c r="J172" i="1"/>
  <c r="I178" i="16"/>
  <c r="I172" i="16"/>
  <c r="N165" i="16"/>
  <c r="N166" i="16" s="1"/>
  <c r="N167" i="16" s="1"/>
  <c r="N168" i="16" s="1"/>
  <c r="N169" i="16" s="1"/>
  <c r="N170" i="16" s="1"/>
  <c r="N171" i="16"/>
  <c r="H142" i="16"/>
  <c r="C178" i="1"/>
  <c r="C172" i="1"/>
  <c r="C173" i="1" s="1"/>
  <c r="C174" i="1" s="1"/>
  <c r="C175" i="1" s="1"/>
  <c r="C176" i="1" s="1"/>
  <c r="C177" i="1" s="1"/>
  <c r="J148" i="1"/>
  <c r="K160" i="1"/>
  <c r="R178" i="1"/>
  <c r="R172" i="1"/>
  <c r="R173" i="1" s="1"/>
  <c r="R174" i="1" s="1"/>
  <c r="R175" i="1" s="1"/>
  <c r="R176" i="1" s="1"/>
  <c r="R177" i="1" s="1"/>
  <c r="K159" i="16"/>
  <c r="F147" i="16"/>
  <c r="G141" i="16"/>
  <c r="G148" i="1"/>
  <c r="Q173" i="1"/>
  <c r="F154" i="1"/>
  <c r="FS61" i="18"/>
  <c r="G142" i="1"/>
  <c r="F166" i="1"/>
  <c r="R171" i="16"/>
  <c r="R165" i="16"/>
  <c r="R166" i="16" s="1"/>
  <c r="R167" i="16" s="1"/>
  <c r="R168" i="16" s="1"/>
  <c r="R169" i="16" s="1"/>
  <c r="R170" i="16" s="1"/>
  <c r="Q154" i="16"/>
  <c r="F160" i="1"/>
  <c r="A185" i="1"/>
  <c r="A179" i="1"/>
  <c r="A180" i="1" s="1"/>
  <c r="A181" i="1" s="1"/>
  <c r="A182" i="1" s="1"/>
  <c r="A183" i="1" s="1"/>
  <c r="A184" i="1" s="1"/>
  <c r="G135" i="16"/>
  <c r="A178" i="16"/>
  <c r="A172" i="16"/>
  <c r="A173" i="16" s="1"/>
  <c r="A174" i="16" s="1"/>
  <c r="A175" i="16" s="1"/>
  <c r="A176" i="16" s="1"/>
  <c r="A177" i="16" s="1"/>
  <c r="J159" i="16"/>
  <c r="AI165" i="16"/>
  <c r="AP39" i="17"/>
  <c r="AH158" i="1"/>
  <c r="AG135" i="16"/>
  <c r="AJ164" i="16"/>
  <c r="AJ165" i="1"/>
  <c r="AF134" i="16"/>
  <c r="AG141" i="1"/>
  <c r="AK140" i="16"/>
  <c r="AK164" i="16"/>
  <c r="AC171" i="1"/>
  <c r="AH135" i="1"/>
  <c r="AJ140" i="16"/>
  <c r="AJ142" i="1"/>
  <c r="AK165" i="1"/>
  <c r="AK158" i="16"/>
  <c r="AQ149" i="1"/>
  <c r="AH152" i="1"/>
  <c r="AQ172" i="1"/>
  <c r="AF152" i="16"/>
  <c r="AI153" i="16"/>
  <c r="AH159" i="16"/>
  <c r="AK153" i="1"/>
  <c r="AI178" i="1"/>
  <c r="BZ604" i="15"/>
  <c r="GD60" i="18"/>
  <c r="AF164" i="16"/>
  <c r="AC164" i="16"/>
  <c r="AK147" i="1"/>
  <c r="AH165" i="16"/>
  <c r="AQ148" i="1"/>
  <c r="AK135" i="16"/>
  <c r="GD60" i="24"/>
  <c r="AF141" i="1"/>
  <c r="AH134" i="1"/>
  <c r="BY604" i="15"/>
  <c r="AG171" i="1"/>
  <c r="AG159" i="1"/>
  <c r="AF140" i="16"/>
  <c r="AI141" i="16"/>
  <c r="AJ159" i="1"/>
  <c r="AF153" i="1"/>
  <c r="AQ171" i="16"/>
  <c r="AB164" i="16"/>
  <c r="AQ160" i="1"/>
  <c r="AH140" i="1"/>
  <c r="AH142" i="16"/>
  <c r="AI166" i="1"/>
  <c r="AI149" i="1"/>
  <c r="AG158" i="16"/>
  <c r="AG164" i="16"/>
  <c r="AF142" i="1"/>
  <c r="AJ135" i="16"/>
  <c r="AQ153" i="16"/>
  <c r="AQ147" i="16"/>
  <c r="AI142" i="16"/>
  <c r="AF158" i="16"/>
  <c r="AH153" i="16"/>
  <c r="AG140" i="16"/>
  <c r="AJ134" i="16"/>
  <c r="GA60" i="24"/>
  <c r="AJ158" i="16"/>
  <c r="AI159" i="16"/>
  <c r="GB59" i="10"/>
  <c r="AI154" i="1"/>
  <c r="AK159" i="1"/>
  <c r="AQ165" i="16"/>
  <c r="AG147" i="1"/>
  <c r="AK142" i="1"/>
  <c r="AO39" i="17"/>
  <c r="AK146" i="16"/>
  <c r="AF159" i="1"/>
  <c r="AG146" i="16"/>
  <c r="AP39" i="15"/>
  <c r="AQ166" i="1"/>
  <c r="AJ147" i="1"/>
  <c r="AI171" i="16"/>
  <c r="AK152" i="16"/>
  <c r="GC60" i="24"/>
  <c r="AJ152" i="16"/>
  <c r="AH141" i="16"/>
  <c r="AF135" i="16"/>
  <c r="AF147" i="1"/>
  <c r="AJ171" i="1"/>
  <c r="AF165" i="1"/>
  <c r="AG142" i="1"/>
  <c r="AI147" i="16"/>
  <c r="AJ153" i="1"/>
  <c r="AI172" i="1"/>
  <c r="AF146" i="16"/>
  <c r="AQ159" i="16"/>
  <c r="AQ154" i="1"/>
  <c r="AG134" i="16"/>
  <c r="AI148" i="1"/>
  <c r="AF171" i="1"/>
  <c r="AQ178" i="1"/>
  <c r="AB171" i="1"/>
  <c r="AK171" i="1"/>
  <c r="AH147" i="16"/>
  <c r="AG153" i="1"/>
  <c r="AJ141" i="1"/>
  <c r="AH171" i="16"/>
  <c r="AG152" i="16"/>
  <c r="AJ146" i="16"/>
  <c r="AQ142" i="16"/>
  <c r="GC59" i="10"/>
  <c r="AI160" i="1"/>
  <c r="AG165" i="1"/>
  <c r="AH146" i="1"/>
  <c r="AK134" i="16"/>
  <c r="AK141" i="1"/>
  <c r="AH164" i="1"/>
  <c r="AQ141" i="16"/>
  <c r="AI44" i="15"/>
  <c r="CH605" i="15"/>
  <c r="C5" i="36" l="1"/>
  <c r="C6" i="36"/>
  <c r="M42" i="2"/>
  <c r="T52" i="2" s="1"/>
  <c r="T60" i="2" s="1"/>
  <c r="T51" i="2"/>
  <c r="T59" i="2" s="1"/>
  <c r="T55" i="2"/>
  <c r="T63" i="2" s="1"/>
  <c r="AD12" i="1"/>
  <c r="AE179" i="1" s="1"/>
  <c r="AE186" i="1" s="1"/>
  <c r="AE193" i="1" s="1"/>
  <c r="AE200" i="1" s="1"/>
  <c r="AE207" i="1" s="1"/>
  <c r="AE214" i="1" s="1"/>
  <c r="AE221" i="1" s="1"/>
  <c r="AE228" i="1" s="1"/>
  <c r="AE235" i="1" s="1"/>
  <c r="AE242" i="1" s="1"/>
  <c r="AE249" i="1" s="1"/>
  <c r="AE256" i="1" s="1"/>
  <c r="DC602" i="15"/>
  <c r="DE601" i="15"/>
  <c r="CF604" i="15"/>
  <c r="CQ604" i="15" s="1"/>
  <c r="CV604" i="15" s="1"/>
  <c r="CE604" i="15"/>
  <c r="CP604" i="15" s="1"/>
  <c r="CU604" i="15" s="1"/>
  <c r="BQ606" i="15"/>
  <c r="BG135" i="16"/>
  <c r="BG158" i="16"/>
  <c r="BG140" i="16"/>
  <c r="BG152" i="16"/>
  <c r="BG164" i="16"/>
  <c r="BG134" i="16"/>
  <c r="BG146" i="16"/>
  <c r="J45" i="15"/>
  <c r="AH596" i="15" s="1"/>
  <c r="LO63" i="24"/>
  <c r="LS62" i="24"/>
  <c r="GM60" i="24"/>
  <c r="HB60" i="24" s="1"/>
  <c r="GP60" i="24"/>
  <c r="HE60" i="24" s="1"/>
  <c r="FS62" i="24"/>
  <c r="EL71" i="24"/>
  <c r="CZ58" i="24"/>
  <c r="DC58" i="24"/>
  <c r="CY58" i="24"/>
  <c r="DB58" i="24"/>
  <c r="CX58" i="24"/>
  <c r="DA58" i="24"/>
  <c r="CT59" i="24"/>
  <c r="GO59" i="10"/>
  <c r="HD59" i="10" s="1"/>
  <c r="GP60" i="18"/>
  <c r="HE60" i="18" s="1"/>
  <c r="AC165" i="16"/>
  <c r="AC166" i="16" s="1"/>
  <c r="AC167" i="16" s="1"/>
  <c r="AC168" i="16" s="1"/>
  <c r="AC169" i="16" s="1"/>
  <c r="AC170" i="16" s="1"/>
  <c r="AC172" i="1"/>
  <c r="AC173" i="1" s="1"/>
  <c r="AC174" i="1" s="1"/>
  <c r="AC175" i="1" s="1"/>
  <c r="AC176" i="1" s="1"/>
  <c r="AC177" i="1" s="1"/>
  <c r="AB172" i="1"/>
  <c r="AB173" i="1" s="1"/>
  <c r="AB174" i="1" s="1"/>
  <c r="AB175" i="1" s="1"/>
  <c r="AB176" i="1" s="1"/>
  <c r="AB177" i="1" s="1"/>
  <c r="AB165" i="16"/>
  <c r="AB166" i="16" s="1"/>
  <c r="AB167" i="16" s="1"/>
  <c r="AB168" i="16" s="1"/>
  <c r="AB169" i="16" s="1"/>
  <c r="AB170" i="16" s="1"/>
  <c r="GN59" i="10"/>
  <c r="HC59" i="10" s="1"/>
  <c r="FS62" i="18"/>
  <c r="D178" i="1"/>
  <c r="D172" i="1"/>
  <c r="D173" i="1" s="1"/>
  <c r="D174" i="1" s="1"/>
  <c r="D175" i="1" s="1"/>
  <c r="D176" i="1" s="1"/>
  <c r="D177" i="1" s="1"/>
  <c r="Q149" i="16"/>
  <c r="G160" i="16"/>
  <c r="J155" i="1"/>
  <c r="J160" i="16"/>
  <c r="F161" i="1"/>
  <c r="R172" i="16"/>
  <c r="R173" i="16" s="1"/>
  <c r="R174" i="16" s="1"/>
  <c r="R175" i="16" s="1"/>
  <c r="R176" i="16" s="1"/>
  <c r="R177" i="16" s="1"/>
  <c r="R178" i="16"/>
  <c r="Q174" i="1"/>
  <c r="F148" i="16"/>
  <c r="R185" i="1"/>
  <c r="R179" i="1"/>
  <c r="R180" i="1" s="1"/>
  <c r="R181" i="1" s="1"/>
  <c r="R182" i="1" s="1"/>
  <c r="R183" i="1" s="1"/>
  <c r="R184" i="1" s="1"/>
  <c r="J149" i="1"/>
  <c r="J173" i="1"/>
  <c r="Q168" i="1"/>
  <c r="X178" i="1"/>
  <c r="X172" i="1"/>
  <c r="X173" i="1" s="1"/>
  <c r="X174" i="1" s="1"/>
  <c r="X175" i="1" s="1"/>
  <c r="X176" i="1" s="1"/>
  <c r="X177" i="1" s="1"/>
  <c r="BB185" i="15"/>
  <c r="I156" i="1"/>
  <c r="G173" i="1"/>
  <c r="DA58" i="18"/>
  <c r="CZ58" i="18"/>
  <c r="CY58" i="18"/>
  <c r="CX58" i="18"/>
  <c r="DC58" i="18"/>
  <c r="DB58" i="18"/>
  <c r="CT59" i="18"/>
  <c r="J154" i="16"/>
  <c r="I180" i="1"/>
  <c r="H161" i="16"/>
  <c r="AU50" i="17"/>
  <c r="Q167" i="16"/>
  <c r="H173" i="16"/>
  <c r="G178" i="16"/>
  <c r="G172" i="16"/>
  <c r="H149" i="16"/>
  <c r="V179" i="1"/>
  <c r="V180" i="1" s="1"/>
  <c r="V181" i="1" s="1"/>
  <c r="V182" i="1" s="1"/>
  <c r="V183" i="1" s="1"/>
  <c r="V184" i="1" s="1"/>
  <c r="V185" i="1"/>
  <c r="U185" i="16"/>
  <c r="U179" i="16"/>
  <c r="U180" i="16" s="1"/>
  <c r="U181" i="16" s="1"/>
  <c r="U182" i="16" s="1"/>
  <c r="U183" i="16" s="1"/>
  <c r="U184" i="16" s="1"/>
  <c r="J161" i="1"/>
  <c r="BH41" i="17"/>
  <c r="BB185" i="17"/>
  <c r="I149" i="16"/>
  <c r="AU42" i="15"/>
  <c r="K154" i="16"/>
  <c r="U186" i="1"/>
  <c r="U187" i="1" s="1"/>
  <c r="U188" i="1" s="1"/>
  <c r="U189" i="1" s="1"/>
  <c r="U190" i="1" s="1"/>
  <c r="U191" i="1" s="1"/>
  <c r="U192" i="1"/>
  <c r="V172" i="16"/>
  <c r="V173" i="16" s="1"/>
  <c r="V174" i="16" s="1"/>
  <c r="V175" i="16" s="1"/>
  <c r="V176" i="16" s="1"/>
  <c r="V177" i="16" s="1"/>
  <c r="V178" i="16"/>
  <c r="P185" i="16"/>
  <c r="P179" i="16"/>
  <c r="P180" i="16" s="1"/>
  <c r="P181" i="16" s="1"/>
  <c r="P182" i="16" s="1"/>
  <c r="P183" i="16" s="1"/>
  <c r="P184" i="16" s="1"/>
  <c r="C178" i="16"/>
  <c r="C172" i="16"/>
  <c r="C173" i="16" s="1"/>
  <c r="C174" i="16" s="1"/>
  <c r="C175" i="16" s="1"/>
  <c r="C176" i="16" s="1"/>
  <c r="C177" i="16" s="1"/>
  <c r="H167" i="16"/>
  <c r="I168" i="1"/>
  <c r="AG41" i="15"/>
  <c r="L179" i="16"/>
  <c r="L180" i="16" s="1"/>
  <c r="L181" i="16" s="1"/>
  <c r="L182" i="16" s="1"/>
  <c r="L183" i="16" s="1"/>
  <c r="L184" i="16" s="1"/>
  <c r="L185" i="16"/>
  <c r="O185" i="1"/>
  <c r="O179" i="1"/>
  <c r="O180" i="1" s="1"/>
  <c r="O181" i="1" s="1"/>
  <c r="O182" i="1" s="1"/>
  <c r="O183" i="1" s="1"/>
  <c r="O184" i="1" s="1"/>
  <c r="FR61" i="10"/>
  <c r="I173" i="16"/>
  <c r="J185" i="1"/>
  <c r="J179" i="1"/>
  <c r="K173" i="1"/>
  <c r="G185" i="1"/>
  <c r="G179" i="1"/>
  <c r="X179" i="16"/>
  <c r="X180" i="16" s="1"/>
  <c r="X181" i="16" s="1"/>
  <c r="X182" i="16" s="1"/>
  <c r="X183" i="16" s="1"/>
  <c r="X184" i="16" s="1"/>
  <c r="X185" i="16"/>
  <c r="P178" i="1"/>
  <c r="P172" i="1"/>
  <c r="P173" i="1" s="1"/>
  <c r="P174" i="1" s="1"/>
  <c r="P175" i="1" s="1"/>
  <c r="P176" i="1" s="1"/>
  <c r="P177" i="1" s="1"/>
  <c r="F149" i="1"/>
  <c r="L42" i="15"/>
  <c r="Q41" i="15"/>
  <c r="J142" i="16"/>
  <c r="I186" i="1"/>
  <c r="I192" i="1"/>
  <c r="EL74" i="10"/>
  <c r="H179" i="16"/>
  <c r="H185" i="16"/>
  <c r="M186" i="1"/>
  <c r="M187" i="1" s="1"/>
  <c r="M188" i="1" s="1"/>
  <c r="M189" i="1" s="1"/>
  <c r="M190" i="1" s="1"/>
  <c r="M191" i="1" s="1"/>
  <c r="M192" i="1"/>
  <c r="G161" i="1"/>
  <c r="DA57" i="10"/>
  <c r="DB57" i="10"/>
  <c r="CZ57" i="10"/>
  <c r="CY57" i="10"/>
  <c r="DC57" i="10"/>
  <c r="CX57" i="10"/>
  <c r="CT58" i="10"/>
  <c r="CU58" i="10" s="1"/>
  <c r="EL71" i="18"/>
  <c r="W185" i="1"/>
  <c r="W179" i="1"/>
  <c r="W180" i="1" s="1"/>
  <c r="W181" i="1" s="1"/>
  <c r="W182" i="1" s="1"/>
  <c r="W183" i="1" s="1"/>
  <c r="W184" i="1" s="1"/>
  <c r="I174" i="1"/>
  <c r="H142" i="1"/>
  <c r="F173" i="1"/>
  <c r="B185" i="1"/>
  <c r="B179" i="1"/>
  <c r="B180" i="1" s="1"/>
  <c r="B181" i="1" s="1"/>
  <c r="B182" i="1" s="1"/>
  <c r="B183" i="1" s="1"/>
  <c r="B184" i="1" s="1"/>
  <c r="Q180" i="1"/>
  <c r="F154" i="16"/>
  <c r="B172" i="16"/>
  <c r="B173" i="16" s="1"/>
  <c r="B174" i="16" s="1"/>
  <c r="B175" i="16" s="1"/>
  <c r="B176" i="16" s="1"/>
  <c r="B177" i="16" s="1"/>
  <c r="B178" i="16"/>
  <c r="L42" i="17"/>
  <c r="Q41" i="17"/>
  <c r="I167" i="16"/>
  <c r="K148" i="16"/>
  <c r="I155" i="16"/>
  <c r="H160" i="1"/>
  <c r="K149" i="1"/>
  <c r="A179" i="16"/>
  <c r="A180" i="16" s="1"/>
  <c r="A181" i="16" s="1"/>
  <c r="A182" i="16" s="1"/>
  <c r="A183" i="16" s="1"/>
  <c r="A184" i="16" s="1"/>
  <c r="A185" i="16"/>
  <c r="A186" i="1"/>
  <c r="A187" i="1" s="1"/>
  <c r="A188" i="1" s="1"/>
  <c r="A189" i="1" s="1"/>
  <c r="A190" i="1" s="1"/>
  <c r="A191" i="1" s="1"/>
  <c r="A192" i="1"/>
  <c r="Q155" i="16"/>
  <c r="F167" i="1"/>
  <c r="F155" i="1"/>
  <c r="G149" i="1"/>
  <c r="G142" i="16"/>
  <c r="K160" i="16"/>
  <c r="K161" i="1"/>
  <c r="C185" i="1"/>
  <c r="C179" i="1"/>
  <c r="C180" i="1" s="1"/>
  <c r="C181" i="1" s="1"/>
  <c r="C182" i="1" s="1"/>
  <c r="C183" i="1" s="1"/>
  <c r="C184" i="1" s="1"/>
  <c r="N172" i="16"/>
  <c r="N173" i="16" s="1"/>
  <c r="N174" i="16" s="1"/>
  <c r="N175" i="16" s="1"/>
  <c r="N176" i="16" s="1"/>
  <c r="N177" i="16" s="1"/>
  <c r="N178" i="16"/>
  <c r="I185" i="16"/>
  <c r="I179" i="16"/>
  <c r="K185" i="1"/>
  <c r="K179" i="1"/>
  <c r="J167" i="1"/>
  <c r="G154" i="16"/>
  <c r="G155" i="1"/>
  <c r="O178" i="16"/>
  <c r="O172" i="16"/>
  <c r="O173" i="16" s="1"/>
  <c r="O174" i="16" s="1"/>
  <c r="O175" i="16" s="1"/>
  <c r="O176" i="16" s="1"/>
  <c r="O177" i="16" s="1"/>
  <c r="G167" i="1"/>
  <c r="Q161" i="16"/>
  <c r="H154" i="1"/>
  <c r="Q156" i="1"/>
  <c r="H148" i="1"/>
  <c r="AG41" i="17"/>
  <c r="W178" i="16"/>
  <c r="W172" i="16"/>
  <c r="W173" i="16" s="1"/>
  <c r="W174" i="16" s="1"/>
  <c r="W175" i="16" s="1"/>
  <c r="W176" i="16" s="1"/>
  <c r="W177" i="16" s="1"/>
  <c r="H155" i="16"/>
  <c r="T172" i="1"/>
  <c r="T173" i="1" s="1"/>
  <c r="T174" i="1" s="1"/>
  <c r="T175" i="1" s="1"/>
  <c r="T176" i="1" s="1"/>
  <c r="T177" i="1" s="1"/>
  <c r="T178" i="1"/>
  <c r="D185" i="16"/>
  <c r="D179" i="16"/>
  <c r="D180" i="16" s="1"/>
  <c r="D181" i="16" s="1"/>
  <c r="D182" i="16" s="1"/>
  <c r="D183" i="16" s="1"/>
  <c r="D184" i="16" s="1"/>
  <c r="G148" i="16"/>
  <c r="J166" i="16"/>
  <c r="Q173" i="16"/>
  <c r="F179" i="1"/>
  <c r="F185" i="1"/>
  <c r="Q186" i="1"/>
  <c r="Q192" i="1"/>
  <c r="K166" i="16"/>
  <c r="E185" i="16"/>
  <c r="E179" i="16"/>
  <c r="E180" i="16" s="1"/>
  <c r="E181" i="16" s="1"/>
  <c r="E182" i="16" s="1"/>
  <c r="E183" i="16" s="1"/>
  <c r="E184" i="16" s="1"/>
  <c r="S185" i="1"/>
  <c r="S179" i="1"/>
  <c r="S180" i="1" s="1"/>
  <c r="S181" i="1" s="1"/>
  <c r="S182" i="1" s="1"/>
  <c r="S183" i="1" s="1"/>
  <c r="S184" i="1" s="1"/>
  <c r="H166" i="1"/>
  <c r="F172" i="16"/>
  <c r="F178" i="16"/>
  <c r="BH42" i="15"/>
  <c r="AB166" i="1"/>
  <c r="J148" i="16"/>
  <c r="I162" i="1"/>
  <c r="F142" i="16"/>
  <c r="I161" i="16"/>
  <c r="G166" i="16"/>
  <c r="Q162" i="1"/>
  <c r="K167" i="1"/>
  <c r="J178" i="16"/>
  <c r="J172" i="16"/>
  <c r="K142" i="16"/>
  <c r="T185" i="16"/>
  <c r="T179" i="16"/>
  <c r="T180" i="16" s="1"/>
  <c r="T181" i="16" s="1"/>
  <c r="T182" i="16" s="1"/>
  <c r="T183" i="16" s="1"/>
  <c r="T184" i="16" s="1"/>
  <c r="M179" i="16"/>
  <c r="M180" i="16" s="1"/>
  <c r="M181" i="16" s="1"/>
  <c r="M182" i="16" s="1"/>
  <c r="M183" i="16" s="1"/>
  <c r="M184" i="16" s="1"/>
  <c r="M185" i="16"/>
  <c r="Q179" i="16"/>
  <c r="Q185" i="16"/>
  <c r="N179" i="1"/>
  <c r="N180" i="1" s="1"/>
  <c r="N181" i="1" s="1"/>
  <c r="N182" i="1" s="1"/>
  <c r="N183" i="1" s="1"/>
  <c r="N184" i="1" s="1"/>
  <c r="N185" i="1"/>
  <c r="K178" i="16"/>
  <c r="K172" i="16"/>
  <c r="H172" i="1"/>
  <c r="H178" i="1"/>
  <c r="F166" i="16"/>
  <c r="K155" i="1"/>
  <c r="L178" i="1"/>
  <c r="L172" i="1"/>
  <c r="L173" i="1" s="1"/>
  <c r="L174" i="1" s="1"/>
  <c r="L175" i="1" s="1"/>
  <c r="L176" i="1" s="1"/>
  <c r="L177" i="1" s="1"/>
  <c r="F160" i="16"/>
  <c r="E186" i="1"/>
  <c r="E187" i="1" s="1"/>
  <c r="E188" i="1" s="1"/>
  <c r="E189" i="1" s="1"/>
  <c r="E190" i="1" s="1"/>
  <c r="E191" i="1" s="1"/>
  <c r="E192" i="1"/>
  <c r="S178" i="16"/>
  <c r="S172" i="16"/>
  <c r="S173" i="16" s="1"/>
  <c r="S174" i="16" s="1"/>
  <c r="S175" i="16" s="1"/>
  <c r="S176" i="16" s="1"/>
  <c r="S177" i="16" s="1"/>
  <c r="AG159" i="16"/>
  <c r="AQ172" i="16"/>
  <c r="AF166" i="1"/>
  <c r="AF171" i="16"/>
  <c r="AI167" i="1"/>
  <c r="AK154" i="1"/>
  <c r="AK153" i="16"/>
  <c r="AI178" i="16"/>
  <c r="AH147" i="1"/>
  <c r="AG149" i="1"/>
  <c r="AP40" i="15"/>
  <c r="AG153" i="16"/>
  <c r="AK149" i="1"/>
  <c r="AH142" i="1"/>
  <c r="AJ166" i="1"/>
  <c r="AF148" i="1"/>
  <c r="AQ149" i="16"/>
  <c r="AI149" i="16"/>
  <c r="AI154" i="16"/>
  <c r="AJ141" i="16"/>
  <c r="AH165" i="1"/>
  <c r="AG141" i="16"/>
  <c r="AG172" i="1"/>
  <c r="AG166" i="1"/>
  <c r="AI160" i="16"/>
  <c r="AQ185" i="1"/>
  <c r="AH40" i="15"/>
  <c r="AJ159" i="16"/>
  <c r="AI172" i="16"/>
  <c r="AC171" i="16"/>
  <c r="BY605" i="15"/>
  <c r="AQ161" i="1"/>
  <c r="AI148" i="16"/>
  <c r="AO40" i="17"/>
  <c r="GC61" i="24"/>
  <c r="AQ179" i="1"/>
  <c r="AF153" i="16"/>
  <c r="BX605" i="15"/>
  <c r="AG178" i="1"/>
  <c r="AO40" i="15"/>
  <c r="AI155" i="1"/>
  <c r="AF160" i="1"/>
  <c r="AH166" i="16"/>
  <c r="AK159" i="16"/>
  <c r="AJ148" i="1"/>
  <c r="AH141" i="1"/>
  <c r="BW606" i="15"/>
  <c r="AF147" i="16"/>
  <c r="AK141" i="16"/>
  <c r="AJ153" i="16"/>
  <c r="AJ178" i="1"/>
  <c r="AK165" i="16"/>
  <c r="AF154" i="1"/>
  <c r="AG160" i="1"/>
  <c r="AH178" i="16"/>
  <c r="BZ605" i="15"/>
  <c r="AI166" i="16"/>
  <c r="AJ154" i="1"/>
  <c r="AI179" i="1"/>
  <c r="AK166" i="1"/>
  <c r="AH40" i="17"/>
  <c r="AH159" i="1"/>
  <c r="AH171" i="1"/>
  <c r="GB60" i="10"/>
  <c r="AJ147" i="16"/>
  <c r="AF141" i="16"/>
  <c r="GC60" i="10"/>
  <c r="AH148" i="16"/>
  <c r="AH160" i="16"/>
  <c r="AK148" i="1"/>
  <c r="AJ142" i="16"/>
  <c r="GD61" i="18"/>
  <c r="AI173" i="1"/>
  <c r="GA61" i="24"/>
  <c r="AJ160" i="1"/>
  <c r="AQ156" i="1"/>
  <c r="AG142" i="16"/>
  <c r="AI185" i="1"/>
  <c r="AG171" i="16"/>
  <c r="AQ173" i="1"/>
  <c r="AG148" i="1"/>
  <c r="AQ178" i="16"/>
  <c r="AH153" i="1"/>
  <c r="AH172" i="16"/>
  <c r="AQ154" i="16"/>
  <c r="AJ165" i="16"/>
  <c r="AF172" i="1"/>
  <c r="AK142" i="16"/>
  <c r="AC178" i="1"/>
  <c r="AQ160" i="16"/>
  <c r="AF165" i="16"/>
  <c r="AI44" i="17"/>
  <c r="AI161" i="1"/>
  <c r="AQ148" i="16"/>
  <c r="AQ166" i="16"/>
  <c r="AK160" i="1"/>
  <c r="AG154" i="1"/>
  <c r="AB171" i="16"/>
  <c r="AQ155" i="1"/>
  <c r="AH149" i="16"/>
  <c r="AH154" i="16"/>
  <c r="AG165" i="16"/>
  <c r="AF178" i="1"/>
  <c r="AK171" i="16"/>
  <c r="CK606" i="15"/>
  <c r="AQ167" i="1"/>
  <c r="AP40" i="17"/>
  <c r="AB178" i="1"/>
  <c r="AK147" i="16"/>
  <c r="AJ171" i="16"/>
  <c r="AF159" i="16"/>
  <c r="AG147" i="16"/>
  <c r="AI156" i="1"/>
  <c r="GD61" i="24"/>
  <c r="AK172" i="1"/>
  <c r="CH606" i="15"/>
  <c r="AF142" i="16"/>
  <c r="AK178" i="1"/>
  <c r="AJ172" i="1"/>
  <c r="AO41" i="15"/>
  <c r="AJ149" i="1"/>
  <c r="AF149" i="1"/>
  <c r="P67" i="2" l="1"/>
  <c r="P68" i="2" s="1"/>
  <c r="P69" i="2" s="1"/>
  <c r="AD12" i="16"/>
  <c r="AE179" i="16" s="1"/>
  <c r="DC603" i="15"/>
  <c r="DE602" i="15"/>
  <c r="CE605" i="15"/>
  <c r="CP605" i="15" s="1"/>
  <c r="CU605" i="15" s="1"/>
  <c r="CD605" i="15"/>
  <c r="CF605" i="15"/>
  <c r="CQ605" i="15" s="1"/>
  <c r="CV605" i="15" s="1"/>
  <c r="BQ607" i="15"/>
  <c r="BG171" i="16"/>
  <c r="BG141" i="16"/>
  <c r="BG159" i="16"/>
  <c r="BG142" i="16"/>
  <c r="BG165" i="16"/>
  <c r="BG147" i="16"/>
  <c r="BG153" i="16"/>
  <c r="J46" i="15"/>
  <c r="AH597" i="15" s="1"/>
  <c r="LO64" i="24"/>
  <c r="LS63" i="24"/>
  <c r="GP61" i="24"/>
  <c r="HE61" i="24" s="1"/>
  <c r="GM61" i="24"/>
  <c r="HB61" i="24" s="1"/>
  <c r="EL72" i="24"/>
  <c r="FS63" i="24"/>
  <c r="DB59" i="24"/>
  <c r="CX59" i="24"/>
  <c r="DA59" i="24"/>
  <c r="CZ59" i="24"/>
  <c r="DC59" i="24"/>
  <c r="CY59" i="24"/>
  <c r="CT60" i="24"/>
  <c r="AB172" i="16"/>
  <c r="AB173" i="16" s="1"/>
  <c r="AB174" i="16" s="1"/>
  <c r="AB175" i="16" s="1"/>
  <c r="AB176" i="16" s="1"/>
  <c r="AB177" i="16" s="1"/>
  <c r="AB179" i="1"/>
  <c r="AB180" i="1" s="1"/>
  <c r="AB181" i="1" s="1"/>
  <c r="AB182" i="1" s="1"/>
  <c r="AB183" i="1" s="1"/>
  <c r="AB184" i="1" s="1"/>
  <c r="AC172" i="16"/>
  <c r="AC173" i="16" s="1"/>
  <c r="AC174" i="16" s="1"/>
  <c r="AC175" i="16" s="1"/>
  <c r="AC176" i="16" s="1"/>
  <c r="AC177" i="16" s="1"/>
  <c r="GP61" i="18"/>
  <c r="HE61" i="18" s="1"/>
  <c r="GO60" i="10"/>
  <c r="HD60" i="10" s="1"/>
  <c r="AC179" i="1"/>
  <c r="AC180" i="1" s="1"/>
  <c r="AC181" i="1" s="1"/>
  <c r="AC182" i="1" s="1"/>
  <c r="AC183" i="1" s="1"/>
  <c r="AC184" i="1" s="1"/>
  <c r="GN60" i="10"/>
  <c r="HC60" i="10" s="1"/>
  <c r="H173" i="1"/>
  <c r="Q180" i="16"/>
  <c r="T186" i="16"/>
  <c r="T187" i="16" s="1"/>
  <c r="T188" i="16" s="1"/>
  <c r="T189" i="16" s="1"/>
  <c r="T190" i="16" s="1"/>
  <c r="T191" i="16" s="1"/>
  <c r="T192" i="16"/>
  <c r="Q163" i="1"/>
  <c r="J149" i="16"/>
  <c r="G149" i="16"/>
  <c r="W179" i="16"/>
  <c r="W180" i="16" s="1"/>
  <c r="W181" i="16" s="1"/>
  <c r="W182" i="16" s="1"/>
  <c r="W183" i="16" s="1"/>
  <c r="W184" i="16" s="1"/>
  <c r="W185" i="16"/>
  <c r="C186" i="1"/>
  <c r="C187" i="1" s="1"/>
  <c r="C188" i="1" s="1"/>
  <c r="C189" i="1" s="1"/>
  <c r="C190" i="1" s="1"/>
  <c r="C191" i="1" s="1"/>
  <c r="C192" i="1"/>
  <c r="I156" i="16"/>
  <c r="L43" i="15"/>
  <c r="Q42" i="15"/>
  <c r="G180" i="1"/>
  <c r="L186" i="16"/>
  <c r="L187" i="16" s="1"/>
  <c r="L188" i="16" s="1"/>
  <c r="L189" i="16" s="1"/>
  <c r="L190" i="16" s="1"/>
  <c r="L191" i="16" s="1"/>
  <c r="L192" i="16"/>
  <c r="S179" i="16"/>
  <c r="S180" i="16" s="1"/>
  <c r="S181" i="16" s="1"/>
  <c r="S182" i="16" s="1"/>
  <c r="S183" i="16" s="1"/>
  <c r="S184" i="16" s="1"/>
  <c r="S185" i="16"/>
  <c r="F161" i="16"/>
  <c r="H179" i="1"/>
  <c r="H185" i="1"/>
  <c r="K179" i="16"/>
  <c r="K185" i="16"/>
  <c r="Q192" i="16"/>
  <c r="Q186" i="16"/>
  <c r="K168" i="1"/>
  <c r="G167" i="16"/>
  <c r="Q187" i="1"/>
  <c r="T179" i="1"/>
  <c r="T180" i="1" s="1"/>
  <c r="T181" i="1" s="1"/>
  <c r="T182" i="1" s="1"/>
  <c r="T183" i="1" s="1"/>
  <c r="T184" i="1" s="1"/>
  <c r="T185" i="1"/>
  <c r="H149" i="1"/>
  <c r="H155" i="1"/>
  <c r="G155" i="16"/>
  <c r="K180" i="1"/>
  <c r="I186" i="16"/>
  <c r="I192" i="16"/>
  <c r="A199" i="1"/>
  <c r="A193" i="1"/>
  <c r="A194" i="1" s="1"/>
  <c r="A195" i="1" s="1"/>
  <c r="A196" i="1" s="1"/>
  <c r="A197" i="1" s="1"/>
  <c r="A198" i="1" s="1"/>
  <c r="F174" i="1"/>
  <c r="M199" i="1"/>
  <c r="M193" i="1"/>
  <c r="M194" i="1" s="1"/>
  <c r="M195" i="1" s="1"/>
  <c r="M196" i="1" s="1"/>
  <c r="M197" i="1" s="1"/>
  <c r="M198" i="1" s="1"/>
  <c r="H180" i="16"/>
  <c r="I199" i="1"/>
  <c r="I193" i="1"/>
  <c r="J192" i="1"/>
  <c r="J186" i="1"/>
  <c r="O192" i="1"/>
  <c r="O186" i="1"/>
  <c r="O187" i="1" s="1"/>
  <c r="O188" i="1" s="1"/>
  <c r="O189" i="1" s="1"/>
  <c r="O190" i="1" s="1"/>
  <c r="O191" i="1" s="1"/>
  <c r="I169" i="1"/>
  <c r="P186" i="16"/>
  <c r="P187" i="16" s="1"/>
  <c r="P188" i="16" s="1"/>
  <c r="P189" i="16" s="1"/>
  <c r="P190" i="16" s="1"/>
  <c r="P191" i="16" s="1"/>
  <c r="P192" i="16"/>
  <c r="AU43" i="15"/>
  <c r="BB186" i="17"/>
  <c r="J162" i="1"/>
  <c r="G173" i="16"/>
  <c r="X179" i="1"/>
  <c r="X180" i="1" s="1"/>
  <c r="X181" i="1" s="1"/>
  <c r="X182" i="1" s="1"/>
  <c r="X183" i="1" s="1"/>
  <c r="X184" i="1" s="1"/>
  <c r="X185" i="1"/>
  <c r="J174" i="1"/>
  <c r="R192" i="1"/>
  <c r="R186" i="1"/>
  <c r="R187" i="1" s="1"/>
  <c r="R188" i="1" s="1"/>
  <c r="R189" i="1" s="1"/>
  <c r="R190" i="1" s="1"/>
  <c r="R191" i="1" s="1"/>
  <c r="Q175" i="1"/>
  <c r="F162" i="1"/>
  <c r="J156" i="1"/>
  <c r="E199" i="1"/>
  <c r="E193" i="1"/>
  <c r="E194" i="1" s="1"/>
  <c r="E195" i="1" s="1"/>
  <c r="E196" i="1" s="1"/>
  <c r="E197" i="1" s="1"/>
  <c r="E198" i="1" s="1"/>
  <c r="S186" i="1"/>
  <c r="S187" i="1" s="1"/>
  <c r="S188" i="1" s="1"/>
  <c r="S189" i="1" s="1"/>
  <c r="S190" i="1" s="1"/>
  <c r="S191" i="1" s="1"/>
  <c r="S192" i="1"/>
  <c r="K186" i="1"/>
  <c r="K192" i="1"/>
  <c r="I168" i="16"/>
  <c r="F155" i="16"/>
  <c r="EL75" i="10"/>
  <c r="FR62" i="10"/>
  <c r="R185" i="16"/>
  <c r="R179" i="16"/>
  <c r="R180" i="16" s="1"/>
  <c r="R181" i="16" s="1"/>
  <c r="R182" i="16" s="1"/>
  <c r="R183" i="16" s="1"/>
  <c r="R184" i="16" s="1"/>
  <c r="L179" i="1"/>
  <c r="L180" i="1" s="1"/>
  <c r="L181" i="1" s="1"/>
  <c r="L182" i="1" s="1"/>
  <c r="L183" i="1" s="1"/>
  <c r="L184" i="1" s="1"/>
  <c r="L185" i="1"/>
  <c r="M186" i="16"/>
  <c r="M187" i="16" s="1"/>
  <c r="M188" i="16" s="1"/>
  <c r="M189" i="16" s="1"/>
  <c r="M190" i="16" s="1"/>
  <c r="M191" i="16" s="1"/>
  <c r="M192" i="16"/>
  <c r="J185" i="16"/>
  <c r="J179" i="16"/>
  <c r="I163" i="1"/>
  <c r="AB167" i="1"/>
  <c r="F185" i="16"/>
  <c r="F179" i="16"/>
  <c r="F192" i="1"/>
  <c r="F186" i="1"/>
  <c r="AG42" i="17"/>
  <c r="Q162" i="16"/>
  <c r="O179" i="16"/>
  <c r="O180" i="16" s="1"/>
  <c r="O181" i="16" s="1"/>
  <c r="O182" i="16" s="1"/>
  <c r="O183" i="16" s="1"/>
  <c r="O184" i="16" s="1"/>
  <c r="O185" i="16"/>
  <c r="G156" i="1"/>
  <c r="J168" i="1"/>
  <c r="K162" i="1"/>
  <c r="A192" i="16"/>
  <c r="A186" i="16"/>
  <c r="A187" i="16" s="1"/>
  <c r="A188" i="16" s="1"/>
  <c r="A189" i="16" s="1"/>
  <c r="A190" i="16" s="1"/>
  <c r="A191" i="16" s="1"/>
  <c r="B185" i="16"/>
  <c r="B179" i="16"/>
  <c r="B180" i="16" s="1"/>
  <c r="B181" i="16" s="1"/>
  <c r="B182" i="16" s="1"/>
  <c r="B183" i="16" s="1"/>
  <c r="B184" i="16" s="1"/>
  <c r="B192" i="1"/>
  <c r="B186" i="1"/>
  <c r="B187" i="1" s="1"/>
  <c r="B188" i="1" s="1"/>
  <c r="B189" i="1" s="1"/>
  <c r="B190" i="1" s="1"/>
  <c r="B191" i="1" s="1"/>
  <c r="W192" i="1"/>
  <c r="W186" i="1"/>
  <c r="W187" i="1" s="1"/>
  <c r="W188" i="1" s="1"/>
  <c r="W189" i="1" s="1"/>
  <c r="W190" i="1" s="1"/>
  <c r="W191" i="1" s="1"/>
  <c r="G162" i="1"/>
  <c r="P179" i="1"/>
  <c r="P180" i="1" s="1"/>
  <c r="P181" i="1" s="1"/>
  <c r="P182" i="1" s="1"/>
  <c r="P183" i="1" s="1"/>
  <c r="P184" i="1" s="1"/>
  <c r="P185" i="1"/>
  <c r="I174" i="16"/>
  <c r="C179" i="16"/>
  <c r="C180" i="16" s="1"/>
  <c r="C181" i="16" s="1"/>
  <c r="C182" i="16" s="1"/>
  <c r="C183" i="16" s="1"/>
  <c r="C184" i="16" s="1"/>
  <c r="C185" i="16"/>
  <c r="K155" i="16"/>
  <c r="U192" i="16"/>
  <c r="U186" i="16"/>
  <c r="U187" i="16" s="1"/>
  <c r="U188" i="16" s="1"/>
  <c r="U189" i="16" s="1"/>
  <c r="U190" i="16" s="1"/>
  <c r="U191" i="16" s="1"/>
  <c r="AU51" i="17"/>
  <c r="DC59" i="18"/>
  <c r="CY59" i="18"/>
  <c r="DB59" i="18"/>
  <c r="CX59" i="18"/>
  <c r="DA59" i="18"/>
  <c r="CZ59" i="18"/>
  <c r="CT60" i="18"/>
  <c r="BB186" i="15"/>
  <c r="Q169" i="1"/>
  <c r="F149" i="16"/>
  <c r="J161" i="16"/>
  <c r="G161" i="16"/>
  <c r="D179" i="1"/>
  <c r="D180" i="1" s="1"/>
  <c r="D181" i="1" s="1"/>
  <c r="D182" i="1" s="1"/>
  <c r="D183" i="1" s="1"/>
  <c r="D184" i="1" s="1"/>
  <c r="D185" i="1"/>
  <c r="FS63" i="18"/>
  <c r="N192" i="1"/>
  <c r="N186" i="1"/>
  <c r="N187" i="1" s="1"/>
  <c r="N188" i="1" s="1"/>
  <c r="N189" i="1" s="1"/>
  <c r="N190" i="1" s="1"/>
  <c r="N191" i="1" s="1"/>
  <c r="J173" i="16"/>
  <c r="H167" i="1"/>
  <c r="K167" i="16"/>
  <c r="Q174" i="16"/>
  <c r="N185" i="16"/>
  <c r="N179" i="16"/>
  <c r="N180" i="16" s="1"/>
  <c r="N181" i="16" s="1"/>
  <c r="N182" i="16" s="1"/>
  <c r="N183" i="16" s="1"/>
  <c r="N184" i="16" s="1"/>
  <c r="K161" i="16"/>
  <c r="F168" i="1"/>
  <c r="I187" i="1"/>
  <c r="K174" i="1"/>
  <c r="V185" i="16"/>
  <c r="V179" i="16"/>
  <c r="V180" i="16" s="1"/>
  <c r="V181" i="16" s="1"/>
  <c r="V182" i="16" s="1"/>
  <c r="V183" i="16" s="1"/>
  <c r="V184" i="16" s="1"/>
  <c r="BH42" i="17"/>
  <c r="G179" i="16"/>
  <c r="G185" i="16"/>
  <c r="Q168" i="16"/>
  <c r="H162" i="16"/>
  <c r="J155" i="16"/>
  <c r="G174" i="1"/>
  <c r="F167" i="16"/>
  <c r="K156" i="1"/>
  <c r="K173" i="16"/>
  <c r="I162" i="16"/>
  <c r="BH43" i="15"/>
  <c r="F173" i="16"/>
  <c r="E192" i="16"/>
  <c r="E186" i="16"/>
  <c r="E187" i="16" s="1"/>
  <c r="E188" i="16" s="1"/>
  <c r="E189" i="16" s="1"/>
  <c r="E190" i="16" s="1"/>
  <c r="E191" i="16" s="1"/>
  <c r="Q199" i="1"/>
  <c r="Q193" i="1"/>
  <c r="F180" i="1"/>
  <c r="J167" i="16"/>
  <c r="D186" i="16"/>
  <c r="D187" i="16" s="1"/>
  <c r="D188" i="16" s="1"/>
  <c r="D189" i="16" s="1"/>
  <c r="D190" i="16" s="1"/>
  <c r="D191" i="16" s="1"/>
  <c r="D192" i="16"/>
  <c r="H156" i="16"/>
  <c r="G168" i="1"/>
  <c r="I180" i="16"/>
  <c r="F156" i="1"/>
  <c r="Q156" i="16"/>
  <c r="H161" i="1"/>
  <c r="K149" i="16"/>
  <c r="Q42" i="17"/>
  <c r="L43" i="17"/>
  <c r="Q181" i="1"/>
  <c r="I175" i="1"/>
  <c r="EL72" i="18"/>
  <c r="DA58" i="10"/>
  <c r="DB58" i="10"/>
  <c r="CZ58" i="10"/>
  <c r="CY58" i="10"/>
  <c r="DC58" i="10"/>
  <c r="CX58" i="10"/>
  <c r="CT59" i="10"/>
  <c r="CU59" i="10" s="1"/>
  <c r="H186" i="16"/>
  <c r="H192" i="16"/>
  <c r="X186" i="16"/>
  <c r="X187" i="16" s="1"/>
  <c r="X188" i="16" s="1"/>
  <c r="X189" i="16" s="1"/>
  <c r="X190" i="16" s="1"/>
  <c r="X191" i="16" s="1"/>
  <c r="X192" i="16"/>
  <c r="G192" i="1"/>
  <c r="G186" i="1"/>
  <c r="J180" i="1"/>
  <c r="AG42" i="15"/>
  <c r="H168" i="16"/>
  <c r="U199" i="1"/>
  <c r="U193" i="1"/>
  <c r="U194" i="1" s="1"/>
  <c r="U195" i="1" s="1"/>
  <c r="U196" i="1" s="1"/>
  <c r="U197" i="1" s="1"/>
  <c r="U198" i="1" s="1"/>
  <c r="V192" i="1"/>
  <c r="V186" i="1"/>
  <c r="V187" i="1" s="1"/>
  <c r="V188" i="1" s="1"/>
  <c r="V189" i="1" s="1"/>
  <c r="V190" i="1" s="1"/>
  <c r="V191" i="1" s="1"/>
  <c r="H174" i="16"/>
  <c r="I181" i="1"/>
  <c r="AG173" i="1"/>
  <c r="AJ166" i="16"/>
  <c r="AI173" i="16"/>
  <c r="AI179" i="16"/>
  <c r="AC185" i="1"/>
  <c r="AJ160" i="16"/>
  <c r="AG172" i="16"/>
  <c r="AJ185" i="1"/>
  <c r="AQ167" i="16"/>
  <c r="AK178" i="16"/>
  <c r="AG161" i="1"/>
  <c r="AQ192" i="1"/>
  <c r="AF167" i="1"/>
  <c r="AK167" i="1"/>
  <c r="AG178" i="16"/>
  <c r="AJ161" i="1"/>
  <c r="BY606" i="15"/>
  <c r="AH156" i="16"/>
  <c r="AH148" i="1"/>
  <c r="AI167" i="16"/>
  <c r="AF166" i="16"/>
  <c r="AC178" i="16"/>
  <c r="AH155" i="16"/>
  <c r="AJ178" i="16"/>
  <c r="GD62" i="18"/>
  <c r="AG179" i="1"/>
  <c r="AG167" i="1"/>
  <c r="AJ167" i="1"/>
  <c r="GC61" i="10"/>
  <c r="AK179" i="1"/>
  <c r="AB178" i="16"/>
  <c r="AH154" i="1"/>
  <c r="GC62" i="24"/>
  <c r="AF154" i="16"/>
  <c r="AQ156" i="16"/>
  <c r="AK185" i="1"/>
  <c r="AK148" i="16"/>
  <c r="BZ606" i="15"/>
  <c r="AF185" i="1"/>
  <c r="AQ179" i="16"/>
  <c r="GB61" i="10"/>
  <c r="AH172" i="1"/>
  <c r="AH173" i="16"/>
  <c r="AI185" i="16"/>
  <c r="AJ154" i="16"/>
  <c r="AH161" i="16"/>
  <c r="AG185" i="1"/>
  <c r="AO42" i="15"/>
  <c r="AI168" i="1"/>
  <c r="AI186" i="1"/>
  <c r="AJ155" i="1"/>
  <c r="AG156" i="1"/>
  <c r="AQ173" i="16"/>
  <c r="AK172" i="16"/>
  <c r="AQ162" i="1"/>
  <c r="AJ173" i="1"/>
  <c r="AJ149" i="16"/>
  <c r="AJ148" i="16"/>
  <c r="AK161" i="1"/>
  <c r="CH607" i="15"/>
  <c r="AI161" i="16"/>
  <c r="AQ185" i="16"/>
  <c r="AK173" i="1"/>
  <c r="AF161" i="1"/>
  <c r="AI156" i="16"/>
  <c r="AB185" i="1"/>
  <c r="AQ161" i="16"/>
  <c r="AH160" i="1"/>
  <c r="AG155" i="1"/>
  <c r="AP41" i="17"/>
  <c r="AK154" i="16"/>
  <c r="GA62" i="24"/>
  <c r="AO41" i="17"/>
  <c r="GD62" i="24"/>
  <c r="AH167" i="16"/>
  <c r="AI180" i="1"/>
  <c r="AF148" i="16"/>
  <c r="AI174" i="1"/>
  <c r="AF160" i="16"/>
  <c r="AI162" i="1"/>
  <c r="AK160" i="16"/>
  <c r="AG160" i="16"/>
  <c r="AG154" i="16"/>
  <c r="AQ168" i="1"/>
  <c r="AH178" i="1"/>
  <c r="AQ155" i="16"/>
  <c r="AF172" i="16"/>
  <c r="AJ179" i="1"/>
  <c r="AF179" i="1"/>
  <c r="AJ156" i="1"/>
  <c r="AJ172" i="16"/>
  <c r="AK149" i="16"/>
  <c r="AG166" i="16"/>
  <c r="AH185" i="16"/>
  <c r="AK166" i="16"/>
  <c r="AQ180" i="1"/>
  <c r="AH149" i="1"/>
  <c r="AP41" i="15"/>
  <c r="AF155" i="1"/>
  <c r="AG148" i="16"/>
  <c r="AK155" i="1"/>
  <c r="AK156" i="1"/>
  <c r="AI192" i="1"/>
  <c r="AI163" i="1"/>
  <c r="AI155" i="16"/>
  <c r="AQ186" i="1"/>
  <c r="AH166" i="1"/>
  <c r="AQ174" i="1"/>
  <c r="AQ163" i="1"/>
  <c r="AF178" i="16"/>
  <c r="AF173" i="1"/>
  <c r="AH179" i="16"/>
  <c r="AF156" i="1"/>
  <c r="AF149" i="16"/>
  <c r="AG149" i="16"/>
  <c r="P70" i="2" l="1"/>
  <c r="Q69" i="2"/>
  <c r="R69" i="2" s="1"/>
  <c r="T69" i="2" s="1"/>
  <c r="O79" i="2" s="1"/>
  <c r="Q68" i="2"/>
  <c r="R68" i="2" s="1"/>
  <c r="T68" i="2" s="1"/>
  <c r="O78" i="2" s="1"/>
  <c r="Q67" i="2"/>
  <c r="R67" i="2" s="1"/>
  <c r="T67" i="2" s="1"/>
  <c r="O77" i="2" s="1"/>
  <c r="T77" i="2" s="1"/>
  <c r="DC604" i="15"/>
  <c r="DE603" i="15"/>
  <c r="CF606" i="15"/>
  <c r="CQ606" i="15" s="1"/>
  <c r="CV606" i="15" s="1"/>
  <c r="CE606" i="15"/>
  <c r="CP606" i="15" s="1"/>
  <c r="CU606" i="15" s="1"/>
  <c r="BQ608" i="15"/>
  <c r="BG166" i="16"/>
  <c r="BG172" i="16"/>
  <c r="BG148" i="16"/>
  <c r="BG160" i="16"/>
  <c r="BG178" i="16"/>
  <c r="BG149" i="16"/>
  <c r="BG154" i="16"/>
  <c r="AE186" i="16"/>
  <c r="BI179" i="16"/>
  <c r="J47" i="15"/>
  <c r="AH598" i="15" s="1"/>
  <c r="LO65" i="24"/>
  <c r="LS64" i="24"/>
  <c r="GM62" i="24"/>
  <c r="HB62" i="24" s="1"/>
  <c r="GP62" i="24"/>
  <c r="HE62" i="24" s="1"/>
  <c r="FS64" i="24"/>
  <c r="EL73" i="24"/>
  <c r="DA60" i="24"/>
  <c r="DB60" i="24"/>
  <c r="CX60" i="24"/>
  <c r="DC60" i="24"/>
  <c r="CZ60" i="24"/>
  <c r="CY60" i="24"/>
  <c r="CT61" i="24"/>
  <c r="AB179" i="16"/>
  <c r="AB180" i="16" s="1"/>
  <c r="AB181" i="16" s="1"/>
  <c r="AB182" i="16" s="1"/>
  <c r="AB183" i="16" s="1"/>
  <c r="AB184" i="16" s="1"/>
  <c r="GO61" i="10"/>
  <c r="HD61" i="10" s="1"/>
  <c r="AC186" i="1"/>
  <c r="AC187" i="1" s="1"/>
  <c r="AC188" i="1" s="1"/>
  <c r="AC189" i="1" s="1"/>
  <c r="AC190" i="1" s="1"/>
  <c r="AC191" i="1" s="1"/>
  <c r="GP62" i="18"/>
  <c r="HE62" i="18" s="1"/>
  <c r="AC179" i="16"/>
  <c r="AC180" i="16" s="1"/>
  <c r="AC181" i="16" s="1"/>
  <c r="AC182" i="16" s="1"/>
  <c r="AC183" i="16" s="1"/>
  <c r="AC184" i="16" s="1"/>
  <c r="AB186" i="1"/>
  <c r="AB187" i="1" s="1"/>
  <c r="AB188" i="1" s="1"/>
  <c r="AB189" i="1" s="1"/>
  <c r="AB190" i="1" s="1"/>
  <c r="AB191" i="1" s="1"/>
  <c r="GN61" i="10"/>
  <c r="HC61" i="10" s="1"/>
  <c r="I182" i="1"/>
  <c r="V193" i="1"/>
  <c r="V194" i="1" s="1"/>
  <c r="V195" i="1" s="1"/>
  <c r="V196" i="1" s="1"/>
  <c r="V197" i="1" s="1"/>
  <c r="V198" i="1" s="1"/>
  <c r="V199" i="1"/>
  <c r="E193" i="16"/>
  <c r="E194" i="16" s="1"/>
  <c r="E195" i="16" s="1"/>
  <c r="E196" i="16" s="1"/>
  <c r="E197" i="16" s="1"/>
  <c r="E198" i="16" s="1"/>
  <c r="E199" i="16"/>
  <c r="H175" i="16"/>
  <c r="U206" i="1"/>
  <c r="U200" i="1"/>
  <c r="U201" i="1" s="1"/>
  <c r="U202" i="1" s="1"/>
  <c r="U203" i="1" s="1"/>
  <c r="U204" i="1" s="1"/>
  <c r="U205" i="1" s="1"/>
  <c r="AG43" i="15"/>
  <c r="G187" i="1"/>
  <c r="H162" i="1"/>
  <c r="G169" i="1"/>
  <c r="F181" i="1"/>
  <c r="BH44" i="15"/>
  <c r="G180" i="16"/>
  <c r="V192" i="16"/>
  <c r="V186" i="16"/>
  <c r="V187" i="16" s="1"/>
  <c r="V188" i="16" s="1"/>
  <c r="V189" i="16" s="1"/>
  <c r="V190" i="16" s="1"/>
  <c r="V191" i="16" s="1"/>
  <c r="I188" i="1"/>
  <c r="K162" i="16"/>
  <c r="Q175" i="16"/>
  <c r="H168" i="1"/>
  <c r="N193" i="1"/>
  <c r="N194" i="1" s="1"/>
  <c r="N195" i="1" s="1"/>
  <c r="N196" i="1" s="1"/>
  <c r="N197" i="1" s="1"/>
  <c r="N198" i="1" s="1"/>
  <c r="N199" i="1"/>
  <c r="G162" i="16"/>
  <c r="BB187" i="15"/>
  <c r="W199" i="1"/>
  <c r="W193" i="1"/>
  <c r="W194" i="1" s="1"/>
  <c r="W195" i="1" s="1"/>
  <c r="W196" i="1" s="1"/>
  <c r="W197" i="1" s="1"/>
  <c r="W198" i="1" s="1"/>
  <c r="A193" i="16"/>
  <c r="A194" i="16" s="1"/>
  <c r="A195" i="16" s="1"/>
  <c r="A196" i="16" s="1"/>
  <c r="A197" i="16" s="1"/>
  <c r="A198" i="16" s="1"/>
  <c r="A199" i="16"/>
  <c r="J169" i="1"/>
  <c r="F193" i="1"/>
  <c r="F199" i="1"/>
  <c r="F180" i="16"/>
  <c r="M193" i="16"/>
  <c r="M194" i="16" s="1"/>
  <c r="M195" i="16" s="1"/>
  <c r="M196" i="16" s="1"/>
  <c r="M197" i="16" s="1"/>
  <c r="M198" i="16" s="1"/>
  <c r="M199" i="16"/>
  <c r="Q176" i="1"/>
  <c r="J175" i="1"/>
  <c r="G174" i="16"/>
  <c r="BB187" i="17"/>
  <c r="O199" i="1"/>
  <c r="O193" i="1"/>
  <c r="O194" i="1" s="1"/>
  <c r="O195" i="1" s="1"/>
  <c r="O196" i="1" s="1"/>
  <c r="O197" i="1" s="1"/>
  <c r="O198" i="1" s="1"/>
  <c r="I194" i="1"/>
  <c r="H181" i="16"/>
  <c r="F175" i="1"/>
  <c r="I193" i="16"/>
  <c r="I199" i="16"/>
  <c r="Q188" i="1"/>
  <c r="Q193" i="16"/>
  <c r="Q199" i="16"/>
  <c r="F162" i="16"/>
  <c r="Q43" i="15"/>
  <c r="L44" i="15"/>
  <c r="H174" i="1"/>
  <c r="G199" i="1"/>
  <c r="G193" i="1"/>
  <c r="EL73" i="18"/>
  <c r="K174" i="16"/>
  <c r="F168" i="16"/>
  <c r="J156" i="16"/>
  <c r="Q169" i="16"/>
  <c r="BH43" i="17"/>
  <c r="D192" i="1"/>
  <c r="D186" i="1"/>
  <c r="D187" i="1" s="1"/>
  <c r="D188" i="1" s="1"/>
  <c r="D189" i="1" s="1"/>
  <c r="D190" i="1" s="1"/>
  <c r="D191" i="1" s="1"/>
  <c r="DA60" i="18"/>
  <c r="CZ60" i="18"/>
  <c r="CX60" i="18"/>
  <c r="DC60" i="18"/>
  <c r="DB60" i="18"/>
  <c r="CY60" i="18"/>
  <c r="CT61" i="18"/>
  <c r="AU52" i="17"/>
  <c r="K156" i="16"/>
  <c r="AG43" i="17"/>
  <c r="F192" i="16"/>
  <c r="F186" i="16"/>
  <c r="R186" i="16"/>
  <c r="R187" i="16" s="1"/>
  <c r="R188" i="16" s="1"/>
  <c r="R189" i="16" s="1"/>
  <c r="R190" i="16" s="1"/>
  <c r="R191" i="16" s="1"/>
  <c r="R192" i="16"/>
  <c r="FR63" i="10"/>
  <c r="F156" i="16"/>
  <c r="K199" i="1"/>
  <c r="K193" i="1"/>
  <c r="X192" i="1"/>
  <c r="X186" i="1"/>
  <c r="X187" i="1" s="1"/>
  <c r="X188" i="1" s="1"/>
  <c r="X189" i="1" s="1"/>
  <c r="X190" i="1" s="1"/>
  <c r="X191" i="1" s="1"/>
  <c r="I187" i="16"/>
  <c r="G156" i="16"/>
  <c r="K169" i="1"/>
  <c r="H192" i="1"/>
  <c r="H186" i="1"/>
  <c r="S192" i="16"/>
  <c r="S186" i="16"/>
  <c r="S187" i="16" s="1"/>
  <c r="S188" i="16" s="1"/>
  <c r="S189" i="16" s="1"/>
  <c r="S190" i="16" s="1"/>
  <c r="S191" i="16" s="1"/>
  <c r="C199" i="1"/>
  <c r="C193" i="1"/>
  <c r="C194" i="1" s="1"/>
  <c r="C195" i="1" s="1"/>
  <c r="C196" i="1" s="1"/>
  <c r="C197" i="1" s="1"/>
  <c r="C198" i="1" s="1"/>
  <c r="H199" i="16"/>
  <c r="H193" i="16"/>
  <c r="J181" i="1"/>
  <c r="X199" i="16"/>
  <c r="X193" i="16"/>
  <c r="X194" i="16" s="1"/>
  <c r="X195" i="16" s="1"/>
  <c r="X196" i="16" s="1"/>
  <c r="X197" i="16" s="1"/>
  <c r="X198" i="16" s="1"/>
  <c r="H187" i="16"/>
  <c r="L44" i="17"/>
  <c r="Q43" i="17"/>
  <c r="I181" i="16"/>
  <c r="J168" i="16"/>
  <c r="Q194" i="1"/>
  <c r="K175" i="1"/>
  <c r="F169" i="1"/>
  <c r="N186" i="16"/>
  <c r="N187" i="16" s="1"/>
  <c r="N188" i="16" s="1"/>
  <c r="N189" i="16" s="1"/>
  <c r="N190" i="16" s="1"/>
  <c r="N191" i="16" s="1"/>
  <c r="N192" i="16"/>
  <c r="K168" i="16"/>
  <c r="J174" i="16"/>
  <c r="FS64" i="18"/>
  <c r="J162" i="16"/>
  <c r="Q170" i="1"/>
  <c r="I175" i="16"/>
  <c r="G163" i="1"/>
  <c r="B186" i="16"/>
  <c r="B187" i="16" s="1"/>
  <c r="B188" i="16" s="1"/>
  <c r="B189" i="16" s="1"/>
  <c r="B190" i="16" s="1"/>
  <c r="B191" i="16" s="1"/>
  <c r="B192" i="16"/>
  <c r="K163" i="1"/>
  <c r="Q163" i="16"/>
  <c r="AB168" i="1"/>
  <c r="J180" i="16"/>
  <c r="L192" i="1"/>
  <c r="L186" i="1"/>
  <c r="L187" i="1" s="1"/>
  <c r="L188" i="1" s="1"/>
  <c r="L189" i="1" s="1"/>
  <c r="L190" i="1" s="1"/>
  <c r="L191" i="1" s="1"/>
  <c r="K187" i="1"/>
  <c r="E206" i="1"/>
  <c r="E200" i="1"/>
  <c r="E201" i="1" s="1"/>
  <c r="E202" i="1" s="1"/>
  <c r="E203" i="1" s="1"/>
  <c r="E204" i="1" s="1"/>
  <c r="E205" i="1" s="1"/>
  <c r="F163" i="1"/>
  <c r="R193" i="1"/>
  <c r="R194" i="1" s="1"/>
  <c r="R195" i="1" s="1"/>
  <c r="R196" i="1" s="1"/>
  <c r="R197" i="1" s="1"/>
  <c r="R198" i="1" s="1"/>
  <c r="R199" i="1"/>
  <c r="J163" i="1"/>
  <c r="AU44" i="15"/>
  <c r="I170" i="1"/>
  <c r="J187" i="1"/>
  <c r="I200" i="1"/>
  <c r="I206" i="1"/>
  <c r="M206" i="1"/>
  <c r="M200" i="1"/>
  <c r="M201" i="1" s="1"/>
  <c r="M202" i="1" s="1"/>
  <c r="M203" i="1" s="1"/>
  <c r="M204" i="1" s="1"/>
  <c r="M205" i="1" s="1"/>
  <c r="A206" i="1"/>
  <c r="A200" i="1"/>
  <c r="A201" i="1" s="1"/>
  <c r="A202" i="1" s="1"/>
  <c r="A203" i="1" s="1"/>
  <c r="A204" i="1" s="1"/>
  <c r="A205" i="1" s="1"/>
  <c r="T192" i="1"/>
  <c r="T186" i="1"/>
  <c r="T187" i="1" s="1"/>
  <c r="T188" i="1" s="1"/>
  <c r="T189" i="1" s="1"/>
  <c r="T190" i="1" s="1"/>
  <c r="T191" i="1" s="1"/>
  <c r="K192" i="16"/>
  <c r="K186" i="16"/>
  <c r="H180" i="1"/>
  <c r="G181" i="1"/>
  <c r="Q181" i="16"/>
  <c r="H169" i="16"/>
  <c r="Q182" i="1"/>
  <c r="DA59" i="10"/>
  <c r="DB59" i="10"/>
  <c r="CZ59" i="10"/>
  <c r="CY59" i="10"/>
  <c r="DC59" i="10"/>
  <c r="CX59" i="10"/>
  <c r="CT60" i="10"/>
  <c r="CU60" i="10" s="1"/>
  <c r="I176" i="1"/>
  <c r="D199" i="16"/>
  <c r="D193" i="16"/>
  <c r="D194" i="16" s="1"/>
  <c r="D195" i="16" s="1"/>
  <c r="D196" i="16" s="1"/>
  <c r="D197" i="16" s="1"/>
  <c r="D198" i="16" s="1"/>
  <c r="Q200" i="1"/>
  <c r="Q206" i="1"/>
  <c r="F174" i="16"/>
  <c r="I163" i="16"/>
  <c r="G175" i="1"/>
  <c r="H163" i="16"/>
  <c r="G192" i="16"/>
  <c r="G186" i="16"/>
  <c r="U193" i="16"/>
  <c r="U194" i="16" s="1"/>
  <c r="U195" i="16" s="1"/>
  <c r="U196" i="16" s="1"/>
  <c r="U197" i="16" s="1"/>
  <c r="U198" i="16" s="1"/>
  <c r="U199" i="16"/>
  <c r="C192" i="16"/>
  <c r="C186" i="16"/>
  <c r="C187" i="16" s="1"/>
  <c r="C188" i="16" s="1"/>
  <c r="C189" i="16" s="1"/>
  <c r="C190" i="16" s="1"/>
  <c r="C191" i="16" s="1"/>
  <c r="P192" i="1"/>
  <c r="P186" i="1"/>
  <c r="P187" i="1" s="1"/>
  <c r="P188" i="1" s="1"/>
  <c r="P189" i="1" s="1"/>
  <c r="P190" i="1" s="1"/>
  <c r="P191" i="1" s="1"/>
  <c r="B193" i="1"/>
  <c r="B194" i="1" s="1"/>
  <c r="B195" i="1" s="1"/>
  <c r="B196" i="1" s="1"/>
  <c r="B197" i="1" s="1"/>
  <c r="B198" i="1" s="1"/>
  <c r="B199" i="1"/>
  <c r="O192" i="16"/>
  <c r="O186" i="16"/>
  <c r="O187" i="16" s="1"/>
  <c r="O188" i="16" s="1"/>
  <c r="O189" i="16" s="1"/>
  <c r="O190" i="16" s="1"/>
  <c r="O191" i="16" s="1"/>
  <c r="F187" i="1"/>
  <c r="J192" i="16"/>
  <c r="J186" i="16"/>
  <c r="EL76" i="10"/>
  <c r="I169" i="16"/>
  <c r="S199" i="1"/>
  <c r="S193" i="1"/>
  <c r="S194" i="1" s="1"/>
  <c r="S195" i="1" s="1"/>
  <c r="S196" i="1" s="1"/>
  <c r="S197" i="1" s="1"/>
  <c r="S198" i="1" s="1"/>
  <c r="P199" i="16"/>
  <c r="P193" i="16"/>
  <c r="P194" i="16" s="1"/>
  <c r="P195" i="16" s="1"/>
  <c r="P196" i="16" s="1"/>
  <c r="P197" i="16" s="1"/>
  <c r="P198" i="16" s="1"/>
  <c r="J193" i="1"/>
  <c r="J199" i="1"/>
  <c r="K181" i="1"/>
  <c r="H156" i="1"/>
  <c r="G168" i="16"/>
  <c r="Q187" i="16"/>
  <c r="K180" i="16"/>
  <c r="L199" i="16"/>
  <c r="L193" i="16"/>
  <c r="L194" i="16" s="1"/>
  <c r="L195" i="16" s="1"/>
  <c r="L196" i="16" s="1"/>
  <c r="L197" i="16" s="1"/>
  <c r="L198" i="16" s="1"/>
  <c r="W192" i="16"/>
  <c r="W186" i="16"/>
  <c r="W187" i="16" s="1"/>
  <c r="W188" i="16" s="1"/>
  <c r="W189" i="16" s="1"/>
  <c r="W190" i="16" s="1"/>
  <c r="W191" i="16" s="1"/>
  <c r="T199" i="16"/>
  <c r="T193" i="16"/>
  <c r="T194" i="16" s="1"/>
  <c r="T195" i="16" s="1"/>
  <c r="T196" i="16" s="1"/>
  <c r="T197" i="16" s="1"/>
  <c r="T198" i="16" s="1"/>
  <c r="GD63" i="18"/>
  <c r="AQ192" i="16"/>
  <c r="GC62" i="10"/>
  <c r="AH161" i="1"/>
  <c r="AI199" i="1"/>
  <c r="AH167" i="1"/>
  <c r="AI181" i="1"/>
  <c r="AF174" i="1"/>
  <c r="AK180" i="1"/>
  <c r="AQ187" i="1"/>
  <c r="AP42" i="15"/>
  <c r="AG186" i="1"/>
  <c r="AJ180" i="1"/>
  <c r="AK168" i="1"/>
  <c r="AF161" i="16"/>
  <c r="AJ185" i="16"/>
  <c r="AK167" i="16"/>
  <c r="AH186" i="16"/>
  <c r="AB185" i="16"/>
  <c r="AQ169" i="1"/>
  <c r="AQ162" i="16"/>
  <c r="AH156" i="1"/>
  <c r="GD63" i="24"/>
  <c r="AF185" i="16"/>
  <c r="AF179" i="16"/>
  <c r="AF173" i="16"/>
  <c r="AJ179" i="16"/>
  <c r="AK161" i="16"/>
  <c r="AK155" i="16"/>
  <c r="AJ163" i="1"/>
  <c r="AJ161" i="16"/>
  <c r="AH155" i="1"/>
  <c r="AJ162" i="1"/>
  <c r="AG156" i="16"/>
  <c r="AG163" i="1"/>
  <c r="AF155" i="16"/>
  <c r="AQ199" i="1"/>
  <c r="AO42" i="17"/>
  <c r="AJ192" i="1"/>
  <c r="AB192" i="1"/>
  <c r="AO43" i="15"/>
  <c r="AQ181" i="1"/>
  <c r="AP42" i="17"/>
  <c r="AF192" i="1"/>
  <c r="AI186" i="16"/>
  <c r="AH180" i="16"/>
  <c r="AG185" i="16"/>
  <c r="BZ607" i="15"/>
  <c r="BY607" i="15"/>
  <c r="AF168" i="1"/>
  <c r="AI193" i="1"/>
  <c r="AH185" i="1"/>
  <c r="AH174" i="16"/>
  <c r="AH168" i="16"/>
  <c r="AF186" i="1"/>
  <c r="AG173" i="16"/>
  <c r="AI192" i="16"/>
  <c r="AH162" i="16"/>
  <c r="AJ174" i="1"/>
  <c r="AI169" i="1"/>
  <c r="AK186" i="1"/>
  <c r="AF162" i="1"/>
  <c r="CH608" i="15"/>
  <c r="AI163" i="16"/>
  <c r="AI180" i="16"/>
  <c r="AJ168" i="1"/>
  <c r="AG161" i="16"/>
  <c r="AK163" i="1"/>
  <c r="AJ155" i="16"/>
  <c r="GB62" i="10"/>
  <c r="AK185" i="16"/>
  <c r="AK162" i="1"/>
  <c r="AG179" i="16"/>
  <c r="AG167" i="16"/>
  <c r="GA63" i="24"/>
  <c r="AQ174" i="16"/>
  <c r="AQ163" i="16"/>
  <c r="AC185" i="16"/>
  <c r="AC192" i="1"/>
  <c r="AQ193" i="1"/>
  <c r="AF180" i="1"/>
  <c r="AJ167" i="16"/>
  <c r="AF163" i="1"/>
  <c r="AK174" i="1"/>
  <c r="AG162" i="1"/>
  <c r="AF167" i="16"/>
  <c r="AH192" i="16"/>
  <c r="AQ186" i="16"/>
  <c r="AG192" i="1"/>
  <c r="GC63" i="24"/>
  <c r="AQ170" i="1"/>
  <c r="AI187" i="1"/>
  <c r="AQ180" i="16"/>
  <c r="AI175" i="1"/>
  <c r="AQ168" i="16"/>
  <c r="AJ186" i="1"/>
  <c r="AK156" i="16"/>
  <c r="AG180" i="1"/>
  <c r="AG155" i="16"/>
  <c r="AJ173" i="16"/>
  <c r="AI168" i="16"/>
  <c r="AH179" i="1"/>
  <c r="AG168" i="1"/>
  <c r="AI174" i="16"/>
  <c r="AK179" i="16"/>
  <c r="AI170" i="1"/>
  <c r="AQ175" i="1"/>
  <c r="BV606" i="15"/>
  <c r="AK192" i="1"/>
  <c r="AJ156" i="16"/>
  <c r="AH173" i="1"/>
  <c r="AK173" i="16"/>
  <c r="AI162" i="16"/>
  <c r="AG174" i="1"/>
  <c r="AH163" i="16"/>
  <c r="AF156" i="16"/>
  <c r="S78" i="2" l="1"/>
  <c r="T78" i="2"/>
  <c r="S77" i="2"/>
  <c r="S79" i="2"/>
  <c r="T79" i="2"/>
  <c r="P71" i="2"/>
  <c r="Q70" i="2"/>
  <c r="R70" i="2" s="1"/>
  <c r="T70" i="2" s="1"/>
  <c r="O80" i="2" s="1"/>
  <c r="DC605" i="15"/>
  <c r="DE604" i="15"/>
  <c r="CE607" i="15"/>
  <c r="CP607" i="15" s="1"/>
  <c r="CU607" i="15" s="1"/>
  <c r="CF607" i="15"/>
  <c r="CQ607" i="15" s="1"/>
  <c r="CV607" i="15" s="1"/>
  <c r="BQ609" i="15"/>
  <c r="BG155" i="16"/>
  <c r="BG179" i="16"/>
  <c r="BG167" i="16"/>
  <c r="BG173" i="16"/>
  <c r="BG185" i="16"/>
  <c r="BG161" i="16"/>
  <c r="BG156" i="16"/>
  <c r="AE193" i="16"/>
  <c r="BI186" i="16"/>
  <c r="J48" i="15"/>
  <c r="AH599" i="15" s="1"/>
  <c r="LO66" i="24"/>
  <c r="LS65" i="24"/>
  <c r="GM63" i="24"/>
  <c r="HB63" i="24" s="1"/>
  <c r="GP63" i="24"/>
  <c r="HE63" i="24" s="1"/>
  <c r="EL74" i="24"/>
  <c r="FS65" i="24"/>
  <c r="DB61" i="24"/>
  <c r="CX61" i="24"/>
  <c r="DC61" i="24"/>
  <c r="CY61" i="24"/>
  <c r="DA61" i="24"/>
  <c r="CZ61" i="24"/>
  <c r="CT62" i="24"/>
  <c r="AB193" i="1"/>
  <c r="AB194" i="1" s="1"/>
  <c r="AB195" i="1" s="1"/>
  <c r="AB196" i="1" s="1"/>
  <c r="AB197" i="1" s="1"/>
  <c r="AB198" i="1" s="1"/>
  <c r="AB186" i="16"/>
  <c r="AB187" i="16" s="1"/>
  <c r="AB188" i="16" s="1"/>
  <c r="AB189" i="16" s="1"/>
  <c r="AB190" i="16" s="1"/>
  <c r="AB191" i="16" s="1"/>
  <c r="AC193" i="1"/>
  <c r="AC194" i="1" s="1"/>
  <c r="AC195" i="1" s="1"/>
  <c r="AC196" i="1" s="1"/>
  <c r="AC197" i="1" s="1"/>
  <c r="AC198" i="1" s="1"/>
  <c r="GN62" i="10"/>
  <c r="HC62" i="10" s="1"/>
  <c r="GP63" i="18"/>
  <c r="HE63" i="18" s="1"/>
  <c r="AC186" i="16"/>
  <c r="AC187" i="16" s="1"/>
  <c r="AC188" i="16" s="1"/>
  <c r="AC189" i="16" s="1"/>
  <c r="AC190" i="16" s="1"/>
  <c r="AC191" i="16" s="1"/>
  <c r="GO62" i="10"/>
  <c r="HD62" i="10" s="1"/>
  <c r="J194" i="1"/>
  <c r="G199" i="16"/>
  <c r="G193" i="16"/>
  <c r="F175" i="16"/>
  <c r="W199" i="16"/>
  <c r="W193" i="16"/>
  <c r="W194" i="16" s="1"/>
  <c r="W195" i="16" s="1"/>
  <c r="W196" i="16" s="1"/>
  <c r="W197" i="16" s="1"/>
  <c r="W198" i="16" s="1"/>
  <c r="G169" i="16"/>
  <c r="K182" i="1"/>
  <c r="I170" i="16"/>
  <c r="H170" i="16"/>
  <c r="G182" i="1"/>
  <c r="K187" i="16"/>
  <c r="J188" i="1"/>
  <c r="AU45" i="15"/>
  <c r="E213" i="1"/>
  <c r="E207" i="1"/>
  <c r="E208" i="1" s="1"/>
  <c r="E209" i="1" s="1"/>
  <c r="E210" i="1" s="1"/>
  <c r="E211" i="1" s="1"/>
  <c r="E212" i="1" s="1"/>
  <c r="L193" i="1"/>
  <c r="L194" i="1" s="1"/>
  <c r="L195" i="1" s="1"/>
  <c r="L196" i="1" s="1"/>
  <c r="L197" i="1" s="1"/>
  <c r="L198" i="1" s="1"/>
  <c r="L199" i="1"/>
  <c r="N193" i="16"/>
  <c r="N194" i="16" s="1"/>
  <c r="N195" i="16" s="1"/>
  <c r="N196" i="16" s="1"/>
  <c r="N197" i="16" s="1"/>
  <c r="N198" i="16" s="1"/>
  <c r="N199" i="16"/>
  <c r="H188" i="16"/>
  <c r="S193" i="16"/>
  <c r="S194" i="16" s="1"/>
  <c r="S195" i="16" s="1"/>
  <c r="S196" i="16" s="1"/>
  <c r="S197" i="16" s="1"/>
  <c r="S198" i="16" s="1"/>
  <c r="S199" i="16"/>
  <c r="K170" i="1"/>
  <c r="F187" i="16"/>
  <c r="AG44" i="17"/>
  <c r="H175" i="1"/>
  <c r="Q194" i="16"/>
  <c r="I206" i="16"/>
  <c r="I200" i="16"/>
  <c r="Q177" i="1"/>
  <c r="F194" i="1"/>
  <c r="BB188" i="15"/>
  <c r="Q176" i="16"/>
  <c r="I189" i="1"/>
  <c r="G181" i="16"/>
  <c r="F182" i="1"/>
  <c r="H163" i="1"/>
  <c r="V206" i="1"/>
  <c r="V200" i="1"/>
  <c r="V201" i="1" s="1"/>
  <c r="V202" i="1" s="1"/>
  <c r="V203" i="1" s="1"/>
  <c r="V204" i="1" s="1"/>
  <c r="V205" i="1" s="1"/>
  <c r="P200" i="16"/>
  <c r="P201" i="16" s="1"/>
  <c r="P202" i="16" s="1"/>
  <c r="P203" i="16" s="1"/>
  <c r="P204" i="16" s="1"/>
  <c r="P205" i="16" s="1"/>
  <c r="P206" i="16"/>
  <c r="J187" i="16"/>
  <c r="Q213" i="1"/>
  <c r="Q207" i="1"/>
  <c r="T200" i="16"/>
  <c r="T201" i="16" s="1"/>
  <c r="T202" i="16" s="1"/>
  <c r="T203" i="16" s="1"/>
  <c r="T204" i="16" s="1"/>
  <c r="T205" i="16" s="1"/>
  <c r="T206" i="16"/>
  <c r="L206" i="16"/>
  <c r="L200" i="16"/>
  <c r="L201" i="16" s="1"/>
  <c r="L202" i="16" s="1"/>
  <c r="L203" i="16" s="1"/>
  <c r="L204" i="16" s="1"/>
  <c r="L205" i="16" s="1"/>
  <c r="Q188" i="16"/>
  <c r="J206" i="1"/>
  <c r="J200" i="1"/>
  <c r="J193" i="16"/>
  <c r="J199" i="16"/>
  <c r="O193" i="16"/>
  <c r="O194" i="16" s="1"/>
  <c r="O195" i="16" s="1"/>
  <c r="O196" i="16" s="1"/>
  <c r="O197" i="16" s="1"/>
  <c r="O198" i="16" s="1"/>
  <c r="O199" i="16"/>
  <c r="C193" i="16"/>
  <c r="C194" i="16" s="1"/>
  <c r="C195" i="16" s="1"/>
  <c r="C196" i="16" s="1"/>
  <c r="C197" i="16" s="1"/>
  <c r="C198" i="16" s="1"/>
  <c r="C199" i="16"/>
  <c r="G187" i="16"/>
  <c r="G176" i="1"/>
  <c r="Q201" i="1"/>
  <c r="I177" i="1"/>
  <c r="H181" i="1"/>
  <c r="K199" i="16"/>
  <c r="K193" i="16"/>
  <c r="A213" i="1"/>
  <c r="A207" i="1"/>
  <c r="A208" i="1" s="1"/>
  <c r="A209" i="1" s="1"/>
  <c r="A210" i="1" s="1"/>
  <c r="A211" i="1" s="1"/>
  <c r="A212" i="1" s="1"/>
  <c r="I213" i="1"/>
  <c r="I207" i="1"/>
  <c r="J175" i="16"/>
  <c r="K176" i="1"/>
  <c r="J169" i="16"/>
  <c r="Q44" i="17"/>
  <c r="L45" i="17"/>
  <c r="I188" i="16"/>
  <c r="K194" i="1"/>
  <c r="R199" i="16"/>
  <c r="R193" i="16"/>
  <c r="R194" i="16" s="1"/>
  <c r="R195" i="16" s="1"/>
  <c r="R196" i="16" s="1"/>
  <c r="R197" i="16" s="1"/>
  <c r="R198" i="16" s="1"/>
  <c r="F199" i="16"/>
  <c r="F193" i="16"/>
  <c r="DB61" i="18"/>
  <c r="CX61" i="18"/>
  <c r="DA61" i="18"/>
  <c r="CZ61" i="18"/>
  <c r="CY61" i="18"/>
  <c r="DC61" i="18"/>
  <c r="CT62" i="18"/>
  <c r="D193" i="1"/>
  <c r="D194" i="1" s="1"/>
  <c r="D195" i="1" s="1"/>
  <c r="D196" i="1" s="1"/>
  <c r="D197" i="1" s="1"/>
  <c r="D198" i="1" s="1"/>
  <c r="D199" i="1"/>
  <c r="Q170" i="16"/>
  <c r="F169" i="16"/>
  <c r="G194" i="1"/>
  <c r="L45" i="15"/>
  <c r="Q44" i="15"/>
  <c r="F163" i="16"/>
  <c r="I194" i="16"/>
  <c r="H182" i="16"/>
  <c r="O200" i="1"/>
  <c r="O201" i="1" s="1"/>
  <c r="O202" i="1" s="1"/>
  <c r="O203" i="1" s="1"/>
  <c r="O204" i="1" s="1"/>
  <c r="O205" i="1" s="1"/>
  <c r="O206" i="1"/>
  <c r="G175" i="16"/>
  <c r="F181" i="16"/>
  <c r="BH45" i="15"/>
  <c r="AG44" i="15"/>
  <c r="H176" i="16"/>
  <c r="DB60" i="10"/>
  <c r="CX60" i="10"/>
  <c r="CY60" i="10"/>
  <c r="DC60" i="10"/>
  <c r="DA60" i="10"/>
  <c r="CZ60" i="10"/>
  <c r="CT61" i="10"/>
  <c r="CU61" i="10" s="1"/>
  <c r="Q183" i="1"/>
  <c r="Q182" i="16"/>
  <c r="I201" i="1"/>
  <c r="K188" i="1"/>
  <c r="J181" i="16"/>
  <c r="B199" i="16"/>
  <c r="B193" i="16"/>
  <c r="B194" i="16" s="1"/>
  <c r="B195" i="16" s="1"/>
  <c r="B196" i="16" s="1"/>
  <c r="B197" i="16" s="1"/>
  <c r="B198" i="16" s="1"/>
  <c r="X206" i="16"/>
  <c r="X200" i="16"/>
  <c r="X201" i="16" s="1"/>
  <c r="X202" i="16" s="1"/>
  <c r="X203" i="16" s="1"/>
  <c r="X204" i="16" s="1"/>
  <c r="X205" i="16" s="1"/>
  <c r="H194" i="16"/>
  <c r="C200" i="1"/>
  <c r="C201" i="1" s="1"/>
  <c r="C202" i="1" s="1"/>
  <c r="C203" i="1" s="1"/>
  <c r="C204" i="1" s="1"/>
  <c r="C205" i="1" s="1"/>
  <c r="C206" i="1"/>
  <c r="H187" i="1"/>
  <c r="K200" i="1"/>
  <c r="K206" i="1"/>
  <c r="FR64" i="10"/>
  <c r="BH44" i="17"/>
  <c r="EL74" i="18"/>
  <c r="G200" i="1"/>
  <c r="G206" i="1"/>
  <c r="Q189" i="1"/>
  <c r="M206" i="16"/>
  <c r="M200" i="16"/>
  <c r="M201" i="16" s="1"/>
  <c r="M202" i="16" s="1"/>
  <c r="M203" i="16" s="1"/>
  <c r="M204" i="16" s="1"/>
  <c r="M205" i="16" s="1"/>
  <c r="J170" i="1"/>
  <c r="W200" i="1"/>
  <c r="W201" i="1" s="1"/>
  <c r="W202" i="1" s="1"/>
  <c r="W203" i="1" s="1"/>
  <c r="W204" i="1" s="1"/>
  <c r="W205" i="1" s="1"/>
  <c r="W206" i="1"/>
  <c r="G163" i="16"/>
  <c r="H169" i="1"/>
  <c r="K163" i="16"/>
  <c r="V199" i="16"/>
  <c r="V193" i="16"/>
  <c r="V194" i="16" s="1"/>
  <c r="V195" i="16" s="1"/>
  <c r="V196" i="16" s="1"/>
  <c r="V197" i="16" s="1"/>
  <c r="V198" i="16" s="1"/>
  <c r="G170" i="1"/>
  <c r="G188" i="1"/>
  <c r="E206" i="16"/>
  <c r="E200" i="16"/>
  <c r="E201" i="16" s="1"/>
  <c r="E202" i="16" s="1"/>
  <c r="E203" i="16" s="1"/>
  <c r="E204" i="16" s="1"/>
  <c r="E205" i="16" s="1"/>
  <c r="S200" i="1"/>
  <c r="S201" i="1" s="1"/>
  <c r="S202" i="1" s="1"/>
  <c r="S203" i="1" s="1"/>
  <c r="S204" i="1" s="1"/>
  <c r="S205" i="1" s="1"/>
  <c r="S206" i="1"/>
  <c r="EL77" i="10"/>
  <c r="P199" i="1"/>
  <c r="P193" i="1"/>
  <c r="P194" i="1" s="1"/>
  <c r="P195" i="1" s="1"/>
  <c r="P196" i="1" s="1"/>
  <c r="P197" i="1" s="1"/>
  <c r="P198" i="1" s="1"/>
  <c r="U206" i="16"/>
  <c r="U200" i="16"/>
  <c r="U201" i="16" s="1"/>
  <c r="U202" i="16" s="1"/>
  <c r="U203" i="16" s="1"/>
  <c r="U204" i="16" s="1"/>
  <c r="U205" i="16" s="1"/>
  <c r="K181" i="16"/>
  <c r="F188" i="1"/>
  <c r="B206" i="1"/>
  <c r="B200" i="1"/>
  <c r="B201" i="1" s="1"/>
  <c r="B202" i="1" s="1"/>
  <c r="B203" i="1" s="1"/>
  <c r="B204" i="1" s="1"/>
  <c r="B205" i="1" s="1"/>
  <c r="D200" i="16"/>
  <c r="D201" i="16" s="1"/>
  <c r="D202" i="16" s="1"/>
  <c r="D203" i="16" s="1"/>
  <c r="D204" i="16" s="1"/>
  <c r="D205" i="16" s="1"/>
  <c r="D206" i="16"/>
  <c r="T193" i="1"/>
  <c r="T194" i="1" s="1"/>
  <c r="T195" i="1" s="1"/>
  <c r="T196" i="1" s="1"/>
  <c r="T197" i="1" s="1"/>
  <c r="T198" i="1" s="1"/>
  <c r="T199" i="1"/>
  <c r="M213" i="1"/>
  <c r="M207" i="1"/>
  <c r="M208" i="1" s="1"/>
  <c r="M209" i="1" s="1"/>
  <c r="M210" i="1" s="1"/>
  <c r="M211" i="1" s="1"/>
  <c r="M212" i="1" s="1"/>
  <c r="R206" i="1"/>
  <c r="R200" i="1"/>
  <c r="R201" i="1" s="1"/>
  <c r="R202" i="1" s="1"/>
  <c r="R203" i="1" s="1"/>
  <c r="R204" i="1" s="1"/>
  <c r="R205" i="1" s="1"/>
  <c r="AB169" i="1"/>
  <c r="I176" i="16"/>
  <c r="J163" i="16"/>
  <c r="FS65" i="18"/>
  <c r="K169" i="16"/>
  <c r="F170" i="1"/>
  <c r="Q195" i="1"/>
  <c r="I182" i="16"/>
  <c r="J182" i="1"/>
  <c r="H206" i="16"/>
  <c r="H200" i="16"/>
  <c r="H199" i="1"/>
  <c r="H193" i="1"/>
  <c r="X199" i="1"/>
  <c r="X193" i="1"/>
  <c r="X194" i="1" s="1"/>
  <c r="X195" i="1" s="1"/>
  <c r="X196" i="1" s="1"/>
  <c r="X197" i="1" s="1"/>
  <c r="X198" i="1" s="1"/>
  <c r="AU53" i="17"/>
  <c r="K175" i="16"/>
  <c r="Q206" i="16"/>
  <c r="Q200" i="16"/>
  <c r="F176" i="1"/>
  <c r="I195" i="1"/>
  <c r="BB188" i="17"/>
  <c r="J176" i="1"/>
  <c r="F206" i="1"/>
  <c r="F200" i="1"/>
  <c r="A206" i="16"/>
  <c r="A200" i="16"/>
  <c r="A201" i="16" s="1"/>
  <c r="A202" i="16" s="1"/>
  <c r="A203" i="16" s="1"/>
  <c r="A204" i="16" s="1"/>
  <c r="A205" i="16" s="1"/>
  <c r="N206" i="1"/>
  <c r="N200" i="1"/>
  <c r="N201" i="1" s="1"/>
  <c r="N202" i="1" s="1"/>
  <c r="N203" i="1" s="1"/>
  <c r="N204" i="1" s="1"/>
  <c r="N205" i="1" s="1"/>
  <c r="U213" i="1"/>
  <c r="U207" i="1"/>
  <c r="U208" i="1" s="1"/>
  <c r="U209" i="1" s="1"/>
  <c r="U210" i="1" s="1"/>
  <c r="U211" i="1" s="1"/>
  <c r="U212" i="1" s="1"/>
  <c r="I183" i="1"/>
  <c r="AQ175" i="16"/>
  <c r="AP43" i="17"/>
  <c r="AQ188" i="1"/>
  <c r="AJ174" i="16"/>
  <c r="AJ180" i="16"/>
  <c r="AG168" i="16"/>
  <c r="AH192" i="1"/>
  <c r="AH163" i="1"/>
  <c r="AH174" i="1"/>
  <c r="AH186" i="1"/>
  <c r="AH162" i="1"/>
  <c r="AI176" i="1"/>
  <c r="AG175" i="1"/>
  <c r="AK170" i="1"/>
  <c r="AI200" i="1"/>
  <c r="AK163" i="16"/>
  <c r="AI193" i="16"/>
  <c r="AI170" i="16"/>
  <c r="AQ181" i="16"/>
  <c r="AJ169" i="1"/>
  <c r="AF192" i="16"/>
  <c r="AF186" i="16"/>
  <c r="AI194" i="1"/>
  <c r="AK174" i="16"/>
  <c r="AQ170" i="16"/>
  <c r="CH609" i="15"/>
  <c r="AF174" i="16"/>
  <c r="AK169" i="1"/>
  <c r="AJ181" i="1"/>
  <c r="AJ199" i="1"/>
  <c r="AP43" i="15"/>
  <c r="AK180" i="16"/>
  <c r="AQ194" i="1"/>
  <c r="AG163" i="16"/>
  <c r="AK199" i="1"/>
  <c r="AK168" i="16"/>
  <c r="AF169" i="1"/>
  <c r="AG180" i="16"/>
  <c r="AF162" i="16"/>
  <c r="AJ162" i="16"/>
  <c r="AJ186" i="16"/>
  <c r="AF168" i="16"/>
  <c r="AJ193" i="1"/>
  <c r="AQ199" i="16"/>
  <c r="AH169" i="16"/>
  <c r="AQ187" i="16"/>
  <c r="AH187" i="16"/>
  <c r="GD64" i="18"/>
  <c r="AH170" i="16"/>
  <c r="AI206" i="1"/>
  <c r="AH175" i="16"/>
  <c r="AC192" i="16"/>
  <c r="AG187" i="1"/>
  <c r="AH193" i="16"/>
  <c r="AF187" i="1"/>
  <c r="AF175" i="1"/>
  <c r="AJ168" i="16"/>
  <c r="GB63" i="10"/>
  <c r="AF180" i="16"/>
  <c r="AQ182" i="1"/>
  <c r="AK186" i="16"/>
  <c r="AJ175" i="1"/>
  <c r="AI181" i="16"/>
  <c r="AQ193" i="16"/>
  <c r="AG192" i="16"/>
  <c r="AI188" i="1"/>
  <c r="AK187" i="1"/>
  <c r="AJ192" i="16"/>
  <c r="BY608" i="15"/>
  <c r="AF181" i="1"/>
  <c r="AH168" i="1"/>
  <c r="AK162" i="16"/>
  <c r="AK192" i="16"/>
  <c r="AQ206" i="1"/>
  <c r="AQ169" i="16"/>
  <c r="AI175" i="16"/>
  <c r="AJ170" i="1"/>
  <c r="GC64" i="24"/>
  <c r="AF199" i="1"/>
  <c r="AI182" i="1"/>
  <c r="AK181" i="1"/>
  <c r="AI187" i="16"/>
  <c r="GD64" i="24"/>
  <c r="AH199" i="16"/>
  <c r="AH180" i="1"/>
  <c r="AB192" i="16"/>
  <c r="AI199" i="16"/>
  <c r="AJ163" i="16"/>
  <c r="AG186" i="16"/>
  <c r="AI177" i="1"/>
  <c r="AQ176" i="1"/>
  <c r="AG199" i="1"/>
  <c r="AG193" i="1"/>
  <c r="GC63" i="10"/>
  <c r="AK193" i="1"/>
  <c r="AC199" i="1"/>
  <c r="AG162" i="16"/>
  <c r="AJ187" i="1"/>
  <c r="AK175" i="1"/>
  <c r="GA64" i="24"/>
  <c r="AF193" i="1"/>
  <c r="AG181" i="1"/>
  <c r="AH181" i="16"/>
  <c r="AF170" i="1"/>
  <c r="AQ200" i="1"/>
  <c r="BZ608" i="15"/>
  <c r="AI169" i="16"/>
  <c r="AG169" i="1"/>
  <c r="AO43" i="17"/>
  <c r="AG174" i="16"/>
  <c r="AB199" i="1"/>
  <c r="AQ177" i="1"/>
  <c r="AF163" i="16"/>
  <c r="AO44" i="15"/>
  <c r="AG170" i="1"/>
  <c r="T80" i="2" l="1"/>
  <c r="S80" i="2"/>
  <c r="P72" i="2"/>
  <c r="Q72" i="2" s="1"/>
  <c r="R72" i="2" s="1"/>
  <c r="T72" i="2" s="1"/>
  <c r="O82" i="2" s="1"/>
  <c r="Q71" i="2"/>
  <c r="R71" i="2" s="1"/>
  <c r="T71" i="2" s="1"/>
  <c r="O81" i="2" s="1"/>
  <c r="DC606" i="15"/>
  <c r="DE605" i="15"/>
  <c r="CF608" i="15"/>
  <c r="CQ608" i="15" s="1"/>
  <c r="CV608" i="15" s="1"/>
  <c r="CE608" i="15"/>
  <c r="CP608" i="15" s="1"/>
  <c r="CU608" i="15" s="1"/>
  <c r="BQ610" i="15"/>
  <c r="BG186" i="16"/>
  <c r="BG180" i="16"/>
  <c r="BG192" i="16"/>
  <c r="BG163" i="16"/>
  <c r="BG168" i="16"/>
  <c r="BG162" i="16"/>
  <c r="BG174" i="16"/>
  <c r="AE200" i="16"/>
  <c r="BI193" i="16"/>
  <c r="J49" i="15"/>
  <c r="AH600" i="15" s="1"/>
  <c r="LO67" i="24"/>
  <c r="LS66" i="24"/>
  <c r="GP64" i="24"/>
  <c r="HE64" i="24" s="1"/>
  <c r="GM64" i="24"/>
  <c r="HB64" i="24" s="1"/>
  <c r="FS66" i="24"/>
  <c r="CZ62" i="24"/>
  <c r="DA62" i="24"/>
  <c r="DB62" i="24"/>
  <c r="CY62" i="24"/>
  <c r="DC62" i="24"/>
  <c r="CX62" i="24"/>
  <c r="CT63" i="24"/>
  <c r="EL75" i="24"/>
  <c r="GO63" i="10"/>
  <c r="HD63" i="10" s="1"/>
  <c r="AB193" i="16"/>
  <c r="AB194" i="16" s="1"/>
  <c r="AB195" i="16" s="1"/>
  <c r="AB196" i="16" s="1"/>
  <c r="AB197" i="16" s="1"/>
  <c r="AB198" i="16" s="1"/>
  <c r="GN63" i="10"/>
  <c r="HC63" i="10" s="1"/>
  <c r="AC200" i="1"/>
  <c r="AC201" i="1" s="1"/>
  <c r="AC202" i="1" s="1"/>
  <c r="AC203" i="1" s="1"/>
  <c r="AC204" i="1" s="1"/>
  <c r="AC205" i="1" s="1"/>
  <c r="AC193" i="16"/>
  <c r="AC194" i="16" s="1"/>
  <c r="AC195" i="16" s="1"/>
  <c r="AC196" i="16" s="1"/>
  <c r="AC197" i="16" s="1"/>
  <c r="AC198" i="16" s="1"/>
  <c r="AB200" i="1"/>
  <c r="AB201" i="1" s="1"/>
  <c r="AB202" i="1" s="1"/>
  <c r="AB203" i="1" s="1"/>
  <c r="AB204" i="1" s="1"/>
  <c r="AB205" i="1" s="1"/>
  <c r="GP64" i="18"/>
  <c r="HE64" i="18" s="1"/>
  <c r="AU54" i="17"/>
  <c r="T206" i="1"/>
  <c r="T200" i="1"/>
  <c r="T201" i="1" s="1"/>
  <c r="T202" i="1" s="1"/>
  <c r="T203" i="1" s="1"/>
  <c r="T204" i="1" s="1"/>
  <c r="T205" i="1" s="1"/>
  <c r="U214" i="1"/>
  <c r="U215" i="1" s="1"/>
  <c r="U216" i="1" s="1"/>
  <c r="U217" i="1" s="1"/>
  <c r="U218" i="1" s="1"/>
  <c r="U219" i="1" s="1"/>
  <c r="U220" i="1"/>
  <c r="A207" i="16"/>
  <c r="A208" i="16" s="1"/>
  <c r="A209" i="16" s="1"/>
  <c r="A210" i="16" s="1"/>
  <c r="A211" i="16" s="1"/>
  <c r="A212" i="16" s="1"/>
  <c r="A213" i="16"/>
  <c r="K176" i="16"/>
  <c r="X206" i="1"/>
  <c r="X200" i="1"/>
  <c r="X201" i="1" s="1"/>
  <c r="X202" i="1" s="1"/>
  <c r="X203" i="1" s="1"/>
  <c r="X204" i="1" s="1"/>
  <c r="X205" i="1" s="1"/>
  <c r="J183" i="1"/>
  <c r="Q196" i="1"/>
  <c r="K170" i="16"/>
  <c r="FS66" i="18"/>
  <c r="I177" i="16"/>
  <c r="D213" i="16"/>
  <c r="D207" i="16"/>
  <c r="D208" i="16" s="1"/>
  <c r="D209" i="16" s="1"/>
  <c r="D210" i="16" s="1"/>
  <c r="D211" i="16" s="1"/>
  <c r="D212" i="16" s="1"/>
  <c r="B207" i="1"/>
  <c r="B208" i="1" s="1"/>
  <c r="B209" i="1" s="1"/>
  <c r="B210" i="1" s="1"/>
  <c r="B211" i="1" s="1"/>
  <c r="B212" i="1" s="1"/>
  <c r="B213" i="1"/>
  <c r="K182" i="16"/>
  <c r="P206" i="1"/>
  <c r="P200" i="1"/>
  <c r="P201" i="1" s="1"/>
  <c r="P202" i="1" s="1"/>
  <c r="P203" i="1" s="1"/>
  <c r="P204" i="1" s="1"/>
  <c r="P205" i="1" s="1"/>
  <c r="V200" i="16"/>
  <c r="V201" i="16" s="1"/>
  <c r="V202" i="16" s="1"/>
  <c r="V203" i="16" s="1"/>
  <c r="V204" i="16" s="1"/>
  <c r="V205" i="16" s="1"/>
  <c r="V206" i="16"/>
  <c r="H170" i="1"/>
  <c r="M213" i="16"/>
  <c r="M207" i="16"/>
  <c r="M208" i="16" s="1"/>
  <c r="M209" i="16" s="1"/>
  <c r="M210" i="16" s="1"/>
  <c r="M211" i="16" s="1"/>
  <c r="M212" i="16" s="1"/>
  <c r="G213" i="1"/>
  <c r="G207" i="1"/>
  <c r="H188" i="1"/>
  <c r="J182" i="16"/>
  <c r="I202" i="1"/>
  <c r="Q184" i="1"/>
  <c r="AG45" i="15"/>
  <c r="F182" i="16"/>
  <c r="I195" i="16"/>
  <c r="Q45" i="15"/>
  <c r="L46" i="15"/>
  <c r="D206" i="1"/>
  <c r="D200" i="1"/>
  <c r="D201" i="1" s="1"/>
  <c r="D202" i="1" s="1"/>
  <c r="D203" i="1" s="1"/>
  <c r="D204" i="1" s="1"/>
  <c r="D205" i="1" s="1"/>
  <c r="K177" i="1"/>
  <c r="I208" i="1"/>
  <c r="H182" i="1"/>
  <c r="Q202" i="1"/>
  <c r="G188" i="16"/>
  <c r="O200" i="16"/>
  <c r="O201" i="16" s="1"/>
  <c r="O202" i="16" s="1"/>
  <c r="O203" i="16" s="1"/>
  <c r="O204" i="16" s="1"/>
  <c r="O205" i="16" s="1"/>
  <c r="O206" i="16"/>
  <c r="J194" i="16"/>
  <c r="T213" i="16"/>
  <c r="T207" i="16"/>
  <c r="T208" i="16" s="1"/>
  <c r="T209" i="16" s="1"/>
  <c r="T210" i="16" s="1"/>
  <c r="T211" i="16" s="1"/>
  <c r="T212" i="16" s="1"/>
  <c r="Q214" i="1"/>
  <c r="Q220" i="1"/>
  <c r="G182" i="16"/>
  <c r="Q177" i="16"/>
  <c r="I201" i="16"/>
  <c r="AG45" i="17"/>
  <c r="H189" i="16"/>
  <c r="AU46" i="15"/>
  <c r="K188" i="16"/>
  <c r="K183" i="1"/>
  <c r="W206" i="16"/>
  <c r="W200" i="16"/>
  <c r="W201" i="16" s="1"/>
  <c r="W202" i="16" s="1"/>
  <c r="W203" i="16" s="1"/>
  <c r="W204" i="16" s="1"/>
  <c r="W205" i="16" s="1"/>
  <c r="G194" i="16"/>
  <c r="J177" i="1"/>
  <c r="EL78" i="10"/>
  <c r="Q190" i="1"/>
  <c r="G201" i="1"/>
  <c r="K213" i="1"/>
  <c r="K207" i="1"/>
  <c r="H195" i="16"/>
  <c r="DB61" i="10"/>
  <c r="CX61" i="10"/>
  <c r="CZ61" i="10"/>
  <c r="CY61" i="10"/>
  <c r="DC61" i="10"/>
  <c r="DA61" i="10"/>
  <c r="CT62" i="10"/>
  <c r="CU62" i="10" s="1"/>
  <c r="H177" i="16"/>
  <c r="BH46" i="15"/>
  <c r="F170" i="16"/>
  <c r="R200" i="16"/>
  <c r="R201" i="16" s="1"/>
  <c r="R202" i="16" s="1"/>
  <c r="R203" i="16" s="1"/>
  <c r="R204" i="16" s="1"/>
  <c r="R205" i="16" s="1"/>
  <c r="R206" i="16"/>
  <c r="I189" i="16"/>
  <c r="I214" i="1"/>
  <c r="I220" i="1"/>
  <c r="K194" i="16"/>
  <c r="J201" i="1"/>
  <c r="Q189" i="16"/>
  <c r="I213" i="16"/>
  <c r="I207" i="16"/>
  <c r="H176" i="1"/>
  <c r="S206" i="16"/>
  <c r="S200" i="16"/>
  <c r="S201" i="16" s="1"/>
  <c r="S202" i="16" s="1"/>
  <c r="S203" i="16" s="1"/>
  <c r="S204" i="16" s="1"/>
  <c r="S205" i="16" s="1"/>
  <c r="N200" i="16"/>
  <c r="N201" i="16" s="1"/>
  <c r="N202" i="16" s="1"/>
  <c r="N203" i="16" s="1"/>
  <c r="N204" i="16" s="1"/>
  <c r="N205" i="16" s="1"/>
  <c r="N206" i="16"/>
  <c r="G206" i="16"/>
  <c r="G200" i="16"/>
  <c r="I196" i="1"/>
  <c r="H201" i="16"/>
  <c r="AB170" i="1"/>
  <c r="M214" i="1"/>
  <c r="M215" i="1" s="1"/>
  <c r="M216" i="1" s="1"/>
  <c r="M217" i="1" s="1"/>
  <c r="M218" i="1" s="1"/>
  <c r="M219" i="1" s="1"/>
  <c r="M220" i="1"/>
  <c r="I183" i="16"/>
  <c r="F189" i="1"/>
  <c r="U207" i="16"/>
  <c r="U208" i="16" s="1"/>
  <c r="U209" i="16" s="1"/>
  <c r="U210" i="16" s="1"/>
  <c r="U211" i="16" s="1"/>
  <c r="U212" i="16" s="1"/>
  <c r="U213" i="16"/>
  <c r="E207" i="16"/>
  <c r="E208" i="16" s="1"/>
  <c r="E209" i="16" s="1"/>
  <c r="E210" i="16" s="1"/>
  <c r="E211" i="16" s="1"/>
  <c r="E212" i="16" s="1"/>
  <c r="E213" i="16"/>
  <c r="BH45" i="17"/>
  <c r="FR65" i="10"/>
  <c r="K201" i="1"/>
  <c r="C213" i="1"/>
  <c r="C207" i="1"/>
  <c r="C208" i="1" s="1"/>
  <c r="C209" i="1" s="1"/>
  <c r="C210" i="1" s="1"/>
  <c r="C211" i="1" s="1"/>
  <c r="C212" i="1" s="1"/>
  <c r="B200" i="16"/>
  <c r="B201" i="16" s="1"/>
  <c r="B202" i="16" s="1"/>
  <c r="B203" i="16" s="1"/>
  <c r="B204" i="16" s="1"/>
  <c r="B205" i="16" s="1"/>
  <c r="B206" i="16"/>
  <c r="K189" i="1"/>
  <c r="Q183" i="16"/>
  <c r="G176" i="16"/>
  <c r="H183" i="16"/>
  <c r="CZ62" i="18"/>
  <c r="DC62" i="18"/>
  <c r="CY62" i="18"/>
  <c r="DB62" i="18"/>
  <c r="DA62" i="18"/>
  <c r="CX62" i="18"/>
  <c r="CT63" i="18"/>
  <c r="F194" i="16"/>
  <c r="L46" i="17"/>
  <c r="Q45" i="17"/>
  <c r="J170" i="16"/>
  <c r="J176" i="16"/>
  <c r="K200" i="16"/>
  <c r="K206" i="16"/>
  <c r="G177" i="1"/>
  <c r="C206" i="16"/>
  <c r="C200" i="16"/>
  <c r="C201" i="16" s="1"/>
  <c r="C202" i="16" s="1"/>
  <c r="C203" i="16" s="1"/>
  <c r="C204" i="16" s="1"/>
  <c r="C205" i="16" s="1"/>
  <c r="J188" i="16"/>
  <c r="V213" i="1"/>
  <c r="V207" i="1"/>
  <c r="V208" i="1" s="1"/>
  <c r="V209" i="1" s="1"/>
  <c r="V210" i="1" s="1"/>
  <c r="V211" i="1" s="1"/>
  <c r="V212" i="1" s="1"/>
  <c r="F183" i="1"/>
  <c r="I190" i="1"/>
  <c r="BB189" i="15"/>
  <c r="F188" i="16"/>
  <c r="E214" i="1"/>
  <c r="E215" i="1" s="1"/>
  <c r="E216" i="1" s="1"/>
  <c r="E217" i="1" s="1"/>
  <c r="E218" i="1" s="1"/>
  <c r="E219" i="1" s="1"/>
  <c r="E220" i="1"/>
  <c r="J189" i="1"/>
  <c r="G183" i="1"/>
  <c r="G170" i="16"/>
  <c r="F176" i="16"/>
  <c r="Q201" i="16"/>
  <c r="I184" i="1"/>
  <c r="N213" i="1"/>
  <c r="N207" i="1"/>
  <c r="N208" i="1" s="1"/>
  <c r="N209" i="1" s="1"/>
  <c r="N210" i="1" s="1"/>
  <c r="N211" i="1" s="1"/>
  <c r="N212" i="1" s="1"/>
  <c r="F201" i="1"/>
  <c r="Q207" i="16"/>
  <c r="Q213" i="16"/>
  <c r="H194" i="1"/>
  <c r="H213" i="16"/>
  <c r="H207" i="16"/>
  <c r="F213" i="1"/>
  <c r="F207" i="1"/>
  <c r="BB189" i="17"/>
  <c r="F177" i="1"/>
  <c r="H206" i="1"/>
  <c r="H200" i="1"/>
  <c r="R207" i="1"/>
  <c r="R208" i="1" s="1"/>
  <c r="R209" i="1" s="1"/>
  <c r="R210" i="1" s="1"/>
  <c r="R211" i="1" s="1"/>
  <c r="R212" i="1" s="1"/>
  <c r="R213" i="1"/>
  <c r="S213" i="1"/>
  <c r="S207" i="1"/>
  <c r="S208" i="1" s="1"/>
  <c r="S209" i="1" s="1"/>
  <c r="S210" i="1" s="1"/>
  <c r="S211" i="1" s="1"/>
  <c r="S212" i="1" s="1"/>
  <c r="G189" i="1"/>
  <c r="W213" i="1"/>
  <c r="W207" i="1"/>
  <c r="W208" i="1" s="1"/>
  <c r="W209" i="1" s="1"/>
  <c r="W210" i="1" s="1"/>
  <c r="W211" i="1" s="1"/>
  <c r="W212" i="1" s="1"/>
  <c r="EL75" i="18"/>
  <c r="X213" i="16"/>
  <c r="X207" i="16"/>
  <c r="X208" i="16" s="1"/>
  <c r="X209" i="16" s="1"/>
  <c r="X210" i="16" s="1"/>
  <c r="X211" i="16" s="1"/>
  <c r="X212" i="16" s="1"/>
  <c r="O213" i="1"/>
  <c r="O207" i="1"/>
  <c r="O208" i="1" s="1"/>
  <c r="O209" i="1" s="1"/>
  <c r="O210" i="1" s="1"/>
  <c r="O211" i="1" s="1"/>
  <c r="O212" i="1" s="1"/>
  <c r="G195" i="1"/>
  <c r="F200" i="16"/>
  <c r="F206" i="16"/>
  <c r="K195" i="1"/>
  <c r="A214" i="1"/>
  <c r="A215" i="1" s="1"/>
  <c r="A216" i="1" s="1"/>
  <c r="A217" i="1" s="1"/>
  <c r="A218" i="1" s="1"/>
  <c r="A219" i="1" s="1"/>
  <c r="A220" i="1"/>
  <c r="J200" i="16"/>
  <c r="J206" i="16"/>
  <c r="J207" i="1"/>
  <c r="J213" i="1"/>
  <c r="L207" i="16"/>
  <c r="L208" i="16" s="1"/>
  <c r="L209" i="16" s="1"/>
  <c r="L210" i="16" s="1"/>
  <c r="L211" i="16" s="1"/>
  <c r="L212" i="16" s="1"/>
  <c r="L213" i="16"/>
  <c r="Q208" i="1"/>
  <c r="P207" i="16"/>
  <c r="P208" i="16" s="1"/>
  <c r="P209" i="16" s="1"/>
  <c r="P210" i="16" s="1"/>
  <c r="P211" i="16" s="1"/>
  <c r="P212" i="16" s="1"/>
  <c r="P213" i="16"/>
  <c r="F195" i="1"/>
  <c r="Q195" i="16"/>
  <c r="L206" i="1"/>
  <c r="L200" i="1"/>
  <c r="L201" i="1" s="1"/>
  <c r="L202" i="1" s="1"/>
  <c r="L203" i="1" s="1"/>
  <c r="L204" i="1" s="1"/>
  <c r="L205" i="1" s="1"/>
  <c r="J195" i="1"/>
  <c r="AH193" i="1"/>
  <c r="AG177" i="1"/>
  <c r="AJ194" i="1"/>
  <c r="AG182" i="1"/>
  <c r="AF170" i="16"/>
  <c r="AB199" i="16"/>
  <c r="AK175" i="16"/>
  <c r="AJ188" i="1"/>
  <c r="AJ169" i="16"/>
  <c r="AI206" i="16"/>
  <c r="AG181" i="16"/>
  <c r="AQ176" i="16"/>
  <c r="AH206" i="16"/>
  <c r="AJ177" i="1"/>
  <c r="AQ183" i="1"/>
  <c r="AH181" i="1"/>
  <c r="AQ200" i="16"/>
  <c r="AQ207" i="1"/>
  <c r="AK206" i="1"/>
  <c r="AF188" i="1"/>
  <c r="GB64" i="10"/>
  <c r="AF187" i="16"/>
  <c r="AJ175" i="16"/>
  <c r="GD65" i="18"/>
  <c r="AH169" i="1"/>
  <c r="AK176" i="1"/>
  <c r="AQ201" i="1"/>
  <c r="AJ193" i="16"/>
  <c r="AF199" i="16"/>
  <c r="AQ184" i="1"/>
  <c r="AQ189" i="1"/>
  <c r="AK169" i="16"/>
  <c r="AG194" i="1"/>
  <c r="AB206" i="1"/>
  <c r="AI182" i="16"/>
  <c r="GA65" i="24"/>
  <c r="AG199" i="16"/>
  <c r="AC206" i="1"/>
  <c r="AF177" i="1"/>
  <c r="AH199" i="1"/>
  <c r="AP44" i="17"/>
  <c r="AJ200" i="1"/>
  <c r="AG176" i="1"/>
  <c r="AG169" i="16"/>
  <c r="AG170" i="16"/>
  <c r="AC199" i="16"/>
  <c r="GC65" i="24"/>
  <c r="AH194" i="16"/>
  <c r="AF194" i="1"/>
  <c r="AF206" i="1"/>
  <c r="AI188" i="16"/>
  <c r="AF182" i="1"/>
  <c r="AF175" i="16"/>
  <c r="AJ176" i="1"/>
  <c r="AO45" i="15"/>
  <c r="AJ182" i="1"/>
  <c r="AK193" i="16"/>
  <c r="AH200" i="16"/>
  <c r="GD65" i="24"/>
  <c r="AI194" i="16"/>
  <c r="AJ170" i="16"/>
  <c r="BZ609" i="15"/>
  <c r="AJ206" i="1"/>
  <c r="AI184" i="1"/>
  <c r="AQ188" i="16"/>
  <c r="GC64" i="10"/>
  <c r="AH177" i="16"/>
  <c r="AG193" i="16"/>
  <c r="AK170" i="16"/>
  <c r="AH170" i="1"/>
  <c r="AK187" i="16"/>
  <c r="AQ182" i="16"/>
  <c r="BY609" i="15"/>
  <c r="AK194" i="1"/>
  <c r="AJ199" i="16"/>
  <c r="AI176" i="16"/>
  <c r="AI200" i="16"/>
  <c r="AJ187" i="16"/>
  <c r="AJ181" i="16"/>
  <c r="AH175" i="1"/>
  <c r="AK200" i="1"/>
  <c r="AG187" i="16"/>
  <c r="AI213" i="1"/>
  <c r="AO44" i="17"/>
  <c r="AG206" i="1"/>
  <c r="AF181" i="16"/>
  <c r="AF169" i="16"/>
  <c r="AI201" i="1"/>
  <c r="AI207" i="1"/>
  <c r="AG175" i="16"/>
  <c r="AQ213" i="1"/>
  <c r="AQ177" i="16"/>
  <c r="AH187" i="1"/>
  <c r="AG188" i="1"/>
  <c r="AQ194" i="16"/>
  <c r="AH176" i="16"/>
  <c r="CH610" i="15"/>
  <c r="AF193" i="16"/>
  <c r="AI177" i="16"/>
  <c r="AP44" i="15"/>
  <c r="AQ195" i="1"/>
  <c r="AK181" i="16"/>
  <c r="AF176" i="1"/>
  <c r="AF200" i="1"/>
  <c r="AK182" i="1"/>
  <c r="AK199" i="16"/>
  <c r="AH188" i="16"/>
  <c r="AG200" i="1"/>
  <c r="AI183" i="1"/>
  <c r="AI195" i="1"/>
  <c r="AI189" i="1"/>
  <c r="AQ206" i="16"/>
  <c r="AH182" i="16"/>
  <c r="AK188" i="1"/>
  <c r="AK177" i="1"/>
  <c r="S82" i="2" l="1"/>
  <c r="T82" i="2"/>
  <c r="S81" i="2"/>
  <c r="T81" i="2"/>
  <c r="DC607" i="15"/>
  <c r="DE606" i="15"/>
  <c r="CE609" i="15"/>
  <c r="CP609" i="15" s="1"/>
  <c r="CU609" i="15" s="1"/>
  <c r="CF609" i="15"/>
  <c r="CQ609" i="15" s="1"/>
  <c r="CV609" i="15" s="1"/>
  <c r="BQ611" i="15"/>
  <c r="BG170" i="16"/>
  <c r="BG175" i="16"/>
  <c r="BG199" i="16"/>
  <c r="BG169" i="16"/>
  <c r="BG181" i="16"/>
  <c r="BG193" i="16"/>
  <c r="BG187" i="16"/>
  <c r="AE207" i="16"/>
  <c r="BI200" i="16"/>
  <c r="J50" i="15"/>
  <c r="AH601" i="15" s="1"/>
  <c r="LO68" i="24"/>
  <c r="LS67" i="24"/>
  <c r="GP65" i="24"/>
  <c r="HE65" i="24" s="1"/>
  <c r="GM65" i="24"/>
  <c r="HB65" i="24" s="1"/>
  <c r="EL76" i="24"/>
  <c r="DB63" i="24"/>
  <c r="CX63" i="24"/>
  <c r="DC63" i="24"/>
  <c r="CY63" i="24"/>
  <c r="DA63" i="24"/>
  <c r="CZ63" i="24"/>
  <c r="CT64" i="24"/>
  <c r="FS67" i="24"/>
  <c r="AB200" i="16"/>
  <c r="AB201" i="16" s="1"/>
  <c r="AB202" i="16" s="1"/>
  <c r="AB203" i="16" s="1"/>
  <c r="AB204" i="16" s="1"/>
  <c r="AB205" i="16" s="1"/>
  <c r="AB207" i="1"/>
  <c r="GO64" i="10"/>
  <c r="HD64" i="10" s="1"/>
  <c r="AC200" i="16"/>
  <c r="AC201" i="16" s="1"/>
  <c r="AC202" i="16" s="1"/>
  <c r="AC203" i="16" s="1"/>
  <c r="AC204" i="16" s="1"/>
  <c r="AC205" i="16" s="1"/>
  <c r="AC207" i="1"/>
  <c r="AC208" i="1" s="1"/>
  <c r="AC209" i="1" s="1"/>
  <c r="AC210" i="1" s="1"/>
  <c r="AC211" i="1" s="1"/>
  <c r="AC212" i="1" s="1"/>
  <c r="GN64" i="10"/>
  <c r="HC64" i="10" s="1"/>
  <c r="GP65" i="18"/>
  <c r="HE65" i="18" s="1"/>
  <c r="L207" i="1"/>
  <c r="L208" i="1" s="1"/>
  <c r="L209" i="1" s="1"/>
  <c r="L210" i="1" s="1"/>
  <c r="L211" i="1" s="1"/>
  <c r="L212" i="1" s="1"/>
  <c r="L213" i="1"/>
  <c r="Q196" i="16"/>
  <c r="F201" i="16"/>
  <c r="O214" i="1"/>
  <c r="O215" i="1" s="1"/>
  <c r="O216" i="1" s="1"/>
  <c r="O217" i="1" s="1"/>
  <c r="O218" i="1" s="1"/>
  <c r="O219" i="1" s="1"/>
  <c r="O220" i="1"/>
  <c r="X214" i="16"/>
  <c r="X215" i="16" s="1"/>
  <c r="X216" i="16" s="1"/>
  <c r="X217" i="16" s="1"/>
  <c r="X218" i="16" s="1"/>
  <c r="X219" i="16" s="1"/>
  <c r="X220" i="16"/>
  <c r="EL76" i="18"/>
  <c r="G190" i="1"/>
  <c r="H208" i="16"/>
  <c r="F202" i="1"/>
  <c r="F189" i="16"/>
  <c r="I191" i="1"/>
  <c r="V220" i="1"/>
  <c r="V214" i="1"/>
  <c r="V215" i="1" s="1"/>
  <c r="V216" i="1" s="1"/>
  <c r="V217" i="1" s="1"/>
  <c r="V218" i="1" s="1"/>
  <c r="V219" i="1" s="1"/>
  <c r="G177" i="16"/>
  <c r="K190" i="1"/>
  <c r="BH46" i="17"/>
  <c r="U220" i="16"/>
  <c r="U214" i="16"/>
  <c r="U215" i="16" s="1"/>
  <c r="U216" i="16" s="1"/>
  <c r="U217" i="16" s="1"/>
  <c r="U218" i="16" s="1"/>
  <c r="U219" i="16" s="1"/>
  <c r="I197" i="1"/>
  <c r="Q190" i="16"/>
  <c r="K195" i="16"/>
  <c r="I190" i="16"/>
  <c r="G202" i="1"/>
  <c r="G195" i="16"/>
  <c r="K184" i="1"/>
  <c r="AU47" i="15"/>
  <c r="H190" i="16"/>
  <c r="Q215" i="1"/>
  <c r="J195" i="16"/>
  <c r="G189" i="16"/>
  <c r="H183" i="1"/>
  <c r="AG46" i="15"/>
  <c r="G208" i="1"/>
  <c r="M214" i="16"/>
  <c r="M215" i="16" s="1"/>
  <c r="M216" i="16" s="1"/>
  <c r="M217" i="16" s="1"/>
  <c r="M218" i="16" s="1"/>
  <c r="M219" i="16" s="1"/>
  <c r="M220" i="16"/>
  <c r="K183" i="16"/>
  <c r="U227" i="1"/>
  <c r="U221" i="1"/>
  <c r="U222" i="1" s="1"/>
  <c r="U223" i="1" s="1"/>
  <c r="U224" i="1" s="1"/>
  <c r="U225" i="1" s="1"/>
  <c r="U226" i="1" s="1"/>
  <c r="K196" i="1"/>
  <c r="C207" i="16"/>
  <c r="C208" i="16" s="1"/>
  <c r="C209" i="16" s="1"/>
  <c r="C210" i="16" s="1"/>
  <c r="C211" i="16" s="1"/>
  <c r="C212" i="16" s="1"/>
  <c r="C213" i="16"/>
  <c r="F195" i="16"/>
  <c r="B213" i="16"/>
  <c r="B207" i="16"/>
  <c r="B208" i="16" s="1"/>
  <c r="B209" i="16" s="1"/>
  <c r="B210" i="16" s="1"/>
  <c r="B211" i="16" s="1"/>
  <c r="B212" i="16" s="1"/>
  <c r="C220" i="1"/>
  <c r="C214" i="1"/>
  <c r="C215" i="1" s="1"/>
  <c r="C216" i="1" s="1"/>
  <c r="C217" i="1" s="1"/>
  <c r="C218" i="1" s="1"/>
  <c r="C219" i="1" s="1"/>
  <c r="I184" i="16"/>
  <c r="S207" i="16"/>
  <c r="S208" i="16" s="1"/>
  <c r="S209" i="16" s="1"/>
  <c r="S210" i="16" s="1"/>
  <c r="S211" i="16" s="1"/>
  <c r="S212" i="16" s="1"/>
  <c r="S213" i="16"/>
  <c r="I208" i="16"/>
  <c r="R213" i="16"/>
  <c r="R207" i="16"/>
  <c r="R208" i="16" s="1"/>
  <c r="R209" i="16" s="1"/>
  <c r="R210" i="16" s="1"/>
  <c r="R211" i="16" s="1"/>
  <c r="R212" i="16" s="1"/>
  <c r="DC62" i="10"/>
  <c r="CY62" i="10"/>
  <c r="DA62" i="10"/>
  <c r="CZ62" i="10"/>
  <c r="CX62" i="10"/>
  <c r="DB62" i="10"/>
  <c r="CT63" i="10"/>
  <c r="CU63" i="10" s="1"/>
  <c r="K208" i="1"/>
  <c r="I202" i="16"/>
  <c r="G183" i="16"/>
  <c r="O207" i="16"/>
  <c r="O208" i="16" s="1"/>
  <c r="O209" i="16" s="1"/>
  <c r="O210" i="16" s="1"/>
  <c r="O211" i="16" s="1"/>
  <c r="O212" i="16" s="1"/>
  <c r="O213" i="16"/>
  <c r="F183" i="16"/>
  <c r="D214" i="16"/>
  <c r="D215" i="16" s="1"/>
  <c r="D216" i="16" s="1"/>
  <c r="D217" i="16" s="1"/>
  <c r="D218" i="16" s="1"/>
  <c r="D219" i="16" s="1"/>
  <c r="D220" i="16"/>
  <c r="J184" i="1"/>
  <c r="K177" i="16"/>
  <c r="H214" i="16"/>
  <c r="H220" i="16"/>
  <c r="Q202" i="16"/>
  <c r="J196" i="1"/>
  <c r="F196" i="1"/>
  <c r="Q209" i="1"/>
  <c r="J220" i="1"/>
  <c r="J214" i="1"/>
  <c r="J201" i="16"/>
  <c r="G196" i="1"/>
  <c r="W214" i="1"/>
  <c r="W215" i="1" s="1"/>
  <c r="W216" i="1" s="1"/>
  <c r="W217" i="1" s="1"/>
  <c r="W218" i="1" s="1"/>
  <c r="W219" i="1" s="1"/>
  <c r="W220" i="1"/>
  <c r="S220" i="1"/>
  <c r="S214" i="1"/>
  <c r="S215" i="1" s="1"/>
  <c r="S216" i="1" s="1"/>
  <c r="S217" i="1" s="1"/>
  <c r="S218" i="1" s="1"/>
  <c r="S219" i="1" s="1"/>
  <c r="H201" i="1"/>
  <c r="F220" i="1"/>
  <c r="F214" i="1"/>
  <c r="Q208" i="16"/>
  <c r="N220" i="1"/>
  <c r="N214" i="1"/>
  <c r="N215" i="1" s="1"/>
  <c r="N216" i="1" s="1"/>
  <c r="N217" i="1" s="1"/>
  <c r="N218" i="1" s="1"/>
  <c r="N219" i="1" s="1"/>
  <c r="E227" i="1"/>
  <c r="E221" i="1"/>
  <c r="E222" i="1" s="1"/>
  <c r="E223" i="1" s="1"/>
  <c r="E224" i="1" s="1"/>
  <c r="E225" i="1" s="1"/>
  <c r="E226" i="1" s="1"/>
  <c r="BB190" i="15"/>
  <c r="F184" i="1"/>
  <c r="J189" i="16"/>
  <c r="K201" i="16"/>
  <c r="J177" i="16"/>
  <c r="L47" i="17"/>
  <c r="Q46" i="17"/>
  <c r="DB63" i="18"/>
  <c r="CX63" i="18"/>
  <c r="DA63" i="18"/>
  <c r="CY63" i="18"/>
  <c r="DC63" i="18"/>
  <c r="CZ63" i="18"/>
  <c r="CT64" i="18"/>
  <c r="H184" i="16"/>
  <c r="Q184" i="16"/>
  <c r="K202" i="1"/>
  <c r="FR66" i="10"/>
  <c r="E220" i="16"/>
  <c r="E214" i="16"/>
  <c r="E215" i="16" s="1"/>
  <c r="E216" i="16" s="1"/>
  <c r="E217" i="16" s="1"/>
  <c r="E218" i="16" s="1"/>
  <c r="E219" i="16" s="1"/>
  <c r="M227" i="1"/>
  <c r="M221" i="1"/>
  <c r="M222" i="1" s="1"/>
  <c r="M223" i="1" s="1"/>
  <c r="M224" i="1" s="1"/>
  <c r="M225" i="1" s="1"/>
  <c r="M226" i="1" s="1"/>
  <c r="H202" i="16"/>
  <c r="G201" i="16"/>
  <c r="N213" i="16"/>
  <c r="N207" i="16"/>
  <c r="N208" i="16" s="1"/>
  <c r="N209" i="16" s="1"/>
  <c r="N210" i="16" s="1"/>
  <c r="N211" i="16" s="1"/>
  <c r="N212" i="16" s="1"/>
  <c r="I220" i="16"/>
  <c r="I214" i="16"/>
  <c r="J202" i="1"/>
  <c r="I227" i="1"/>
  <c r="I221" i="1"/>
  <c r="BH47" i="15"/>
  <c r="K220" i="1"/>
  <c r="K214" i="1"/>
  <c r="Q191" i="1"/>
  <c r="W207" i="16"/>
  <c r="W208" i="16" s="1"/>
  <c r="W209" i="16" s="1"/>
  <c r="W210" i="16" s="1"/>
  <c r="W211" i="16" s="1"/>
  <c r="W212" i="16" s="1"/>
  <c r="W213" i="16"/>
  <c r="K189" i="16"/>
  <c r="T214" i="16"/>
  <c r="T215" i="16" s="1"/>
  <c r="T216" i="16" s="1"/>
  <c r="T217" i="16" s="1"/>
  <c r="T218" i="16" s="1"/>
  <c r="T219" i="16" s="1"/>
  <c r="T220" i="16"/>
  <c r="Q203" i="1"/>
  <c r="I209" i="1"/>
  <c r="D207" i="1"/>
  <c r="D208" i="1" s="1"/>
  <c r="D209" i="1" s="1"/>
  <c r="D210" i="1" s="1"/>
  <c r="D211" i="1" s="1"/>
  <c r="D212" i="1" s="1"/>
  <c r="D213" i="1"/>
  <c r="J183" i="16"/>
  <c r="G214" i="1"/>
  <c r="G220" i="1"/>
  <c r="P207" i="1"/>
  <c r="P208" i="1" s="1"/>
  <c r="P209" i="1" s="1"/>
  <c r="P210" i="1" s="1"/>
  <c r="P211" i="1" s="1"/>
  <c r="P212" i="1" s="1"/>
  <c r="P213" i="1"/>
  <c r="B220" i="1"/>
  <c r="B214" i="1"/>
  <c r="B215" i="1" s="1"/>
  <c r="B216" i="1" s="1"/>
  <c r="B217" i="1" s="1"/>
  <c r="B218" i="1" s="1"/>
  <c r="B219" i="1" s="1"/>
  <c r="A214" i="16"/>
  <c r="A215" i="16" s="1"/>
  <c r="A216" i="16" s="1"/>
  <c r="A217" i="16" s="1"/>
  <c r="A218" i="16" s="1"/>
  <c r="A219" i="16" s="1"/>
  <c r="A220" i="16"/>
  <c r="AU55" i="17"/>
  <c r="J213" i="16"/>
  <c r="J207" i="16"/>
  <c r="F208" i="1"/>
  <c r="Q214" i="16"/>
  <c r="Q220" i="16"/>
  <c r="J190" i="1"/>
  <c r="K207" i="16"/>
  <c r="K213" i="16"/>
  <c r="P214" i="16"/>
  <c r="P215" i="16" s="1"/>
  <c r="P216" i="16" s="1"/>
  <c r="P217" i="16" s="1"/>
  <c r="P218" i="16" s="1"/>
  <c r="P219" i="16" s="1"/>
  <c r="P220" i="16"/>
  <c r="L214" i="16"/>
  <c r="L215" i="16" s="1"/>
  <c r="L216" i="16" s="1"/>
  <c r="L217" i="16" s="1"/>
  <c r="L218" i="16" s="1"/>
  <c r="L219" i="16" s="1"/>
  <c r="L220" i="16"/>
  <c r="J208" i="1"/>
  <c r="A227" i="1"/>
  <c r="A221" i="1"/>
  <c r="A222" i="1" s="1"/>
  <c r="A223" i="1" s="1"/>
  <c r="A224" i="1" s="1"/>
  <c r="A225" i="1" s="1"/>
  <c r="A226" i="1" s="1"/>
  <c r="F213" i="16"/>
  <c r="F207" i="16"/>
  <c r="R220" i="1"/>
  <c r="R214" i="1"/>
  <c r="R215" i="1" s="1"/>
  <c r="R216" i="1" s="1"/>
  <c r="R217" i="1" s="1"/>
  <c r="R218" i="1" s="1"/>
  <c r="R219" i="1" s="1"/>
  <c r="H207" i="1"/>
  <c r="H213" i="1"/>
  <c r="BB190" i="17"/>
  <c r="H195" i="1"/>
  <c r="F177" i="16"/>
  <c r="G184" i="1"/>
  <c r="F190" i="1"/>
  <c r="G207" i="16"/>
  <c r="G213" i="16"/>
  <c r="H177" i="1"/>
  <c r="I215" i="1"/>
  <c r="H196" i="16"/>
  <c r="EL79" i="10"/>
  <c r="AG46" i="17"/>
  <c r="Q227" i="1"/>
  <c r="Q221" i="1"/>
  <c r="L47" i="15"/>
  <c r="Q46" i="15"/>
  <c r="I196" i="16"/>
  <c r="I203" i="1"/>
  <c r="H189" i="1"/>
  <c r="V213" i="16"/>
  <c r="V207" i="16"/>
  <c r="V208" i="16" s="1"/>
  <c r="V209" i="16" s="1"/>
  <c r="V210" i="16" s="1"/>
  <c r="V211" i="16" s="1"/>
  <c r="V212" i="16" s="1"/>
  <c r="FS67" i="18"/>
  <c r="Q197" i="1"/>
  <c r="X207" i="1"/>
  <c r="X208" i="1" s="1"/>
  <c r="X209" i="1" s="1"/>
  <c r="X210" i="1" s="1"/>
  <c r="X211" i="1" s="1"/>
  <c r="X212" i="1" s="1"/>
  <c r="X213" i="1"/>
  <c r="T207" i="1"/>
  <c r="T208" i="1" s="1"/>
  <c r="T209" i="1" s="1"/>
  <c r="T210" i="1" s="1"/>
  <c r="T211" i="1" s="1"/>
  <c r="T212" i="1" s="1"/>
  <c r="T213" i="1"/>
  <c r="AI184" i="16"/>
  <c r="AI195" i="16"/>
  <c r="AJ206" i="16"/>
  <c r="AH207" i="16"/>
  <c r="AI196" i="1"/>
  <c r="AH45" i="17"/>
  <c r="AB213" i="1"/>
  <c r="AF177" i="16"/>
  <c r="AQ213" i="16"/>
  <c r="BZ610" i="15"/>
  <c r="BX610" i="15"/>
  <c r="AF182" i="16"/>
  <c r="GC66" i="24"/>
  <c r="AF176" i="16"/>
  <c r="AI220" i="1"/>
  <c r="AH176" i="1"/>
  <c r="AK194" i="16"/>
  <c r="AK201" i="1"/>
  <c r="AQ189" i="16"/>
  <c r="AK207" i="1"/>
  <c r="AQ208" i="1"/>
  <c r="AF183" i="1"/>
  <c r="AF194" i="16"/>
  <c r="AI191" i="1"/>
  <c r="AI208" i="1"/>
  <c r="AJ195" i="1"/>
  <c r="BW611" i="15"/>
  <c r="GC65" i="10"/>
  <c r="AH206" i="1"/>
  <c r="AG201" i="1"/>
  <c r="AI202" i="1"/>
  <c r="AQ183" i="16"/>
  <c r="AG200" i="16"/>
  <c r="AQ201" i="16"/>
  <c r="AK189" i="1"/>
  <c r="AF188" i="16"/>
  <c r="AF201" i="1"/>
  <c r="AG189" i="1"/>
  <c r="AG213" i="1"/>
  <c r="AI207" i="16"/>
  <c r="AH213" i="16"/>
  <c r="BY610" i="15"/>
  <c r="AK213" i="1"/>
  <c r="AJ177" i="16"/>
  <c r="AI201" i="16"/>
  <c r="AF207" i="1"/>
  <c r="AG183" i="1"/>
  <c r="AK177" i="16"/>
  <c r="AH195" i="16"/>
  <c r="AQ202" i="1"/>
  <c r="AK195" i="1"/>
  <c r="AG207" i="1"/>
  <c r="AB206" i="16"/>
  <c r="GB65" i="10"/>
  <c r="AI49" i="17"/>
  <c r="AP45" i="17"/>
  <c r="AC206" i="16"/>
  <c r="AI213" i="16"/>
  <c r="AH194" i="1"/>
  <c r="AI189" i="16"/>
  <c r="CH611" i="15"/>
  <c r="AG176" i="16"/>
  <c r="AH188" i="1"/>
  <c r="AO46" i="15"/>
  <c r="AJ189" i="1"/>
  <c r="GD66" i="18"/>
  <c r="AF200" i="16"/>
  <c r="AJ183" i="1"/>
  <c r="AQ184" i="16"/>
  <c r="AG188" i="16"/>
  <c r="AH45" i="15"/>
  <c r="AJ182" i="16"/>
  <c r="AK200" i="16"/>
  <c r="AK188" i="16"/>
  <c r="AJ207" i="1"/>
  <c r="AQ190" i="1"/>
  <c r="AF189" i="1"/>
  <c r="CK611" i="15"/>
  <c r="AH200" i="1"/>
  <c r="GA66" i="24"/>
  <c r="AF195" i="1"/>
  <c r="AK182" i="16"/>
  <c r="AH182" i="1"/>
  <c r="AK184" i="1"/>
  <c r="AI190" i="1"/>
  <c r="AF206" i="16"/>
  <c r="AQ207" i="16"/>
  <c r="AK183" i="1"/>
  <c r="AP45" i="15"/>
  <c r="AJ184" i="1"/>
  <c r="AQ195" i="16"/>
  <c r="AQ196" i="1"/>
  <c r="AK176" i="16"/>
  <c r="AH183" i="16"/>
  <c r="AO45" i="17"/>
  <c r="AG195" i="1"/>
  <c r="AH189" i="16"/>
  <c r="AI214" i="1"/>
  <c r="AC213" i="1"/>
  <c r="AJ176" i="16"/>
  <c r="AF184" i="1"/>
  <c r="AG182" i="16"/>
  <c r="AI183" i="16"/>
  <c r="AQ220" i="1"/>
  <c r="AF213" i="1"/>
  <c r="AJ213" i="1"/>
  <c r="GD66" i="24"/>
  <c r="AJ200" i="16"/>
  <c r="AJ201" i="1"/>
  <c r="AG206" i="16"/>
  <c r="AK206" i="16"/>
  <c r="AG194" i="16"/>
  <c r="AJ194" i="16"/>
  <c r="AQ214" i="1"/>
  <c r="AH201" i="16"/>
  <c r="AH177" i="1"/>
  <c r="AJ188" i="16"/>
  <c r="AQ191" i="1"/>
  <c r="AG177" i="16"/>
  <c r="AG184" i="1"/>
  <c r="AH184" i="16"/>
  <c r="S89" i="2" l="1"/>
  <c r="T89" i="2" s="1"/>
  <c r="S102" i="2" s="1"/>
  <c r="T102" i="2" s="1"/>
  <c r="S88" i="2"/>
  <c r="V88" i="2" s="1"/>
  <c r="S90" i="2"/>
  <c r="S92" i="2"/>
  <c r="S93" i="2"/>
  <c r="S91" i="2"/>
  <c r="DC608" i="15"/>
  <c r="DE607" i="15"/>
  <c r="CF610" i="15"/>
  <c r="CQ610" i="15" s="1"/>
  <c r="CV610" i="15" s="1"/>
  <c r="CD610" i="15"/>
  <c r="CE610" i="15"/>
  <c r="CP610" i="15" s="1"/>
  <c r="CU610" i="15" s="1"/>
  <c r="BQ612" i="15"/>
  <c r="BG200" i="16"/>
  <c r="BG182" i="16"/>
  <c r="BG177" i="16"/>
  <c r="BG206" i="16"/>
  <c r="BG194" i="16"/>
  <c r="BG188" i="16"/>
  <c r="BG176" i="16"/>
  <c r="AE214" i="16"/>
  <c r="BI207" i="16"/>
  <c r="J51" i="15"/>
  <c r="AH602" i="15" s="1"/>
  <c r="LO69" i="24"/>
  <c r="LS68" i="24"/>
  <c r="GM66" i="24"/>
  <c r="HB66" i="24" s="1"/>
  <c r="GP66" i="24"/>
  <c r="HE66" i="24" s="1"/>
  <c r="EL77" i="24"/>
  <c r="FS68" i="24"/>
  <c r="CZ64" i="24"/>
  <c r="DA64" i="24"/>
  <c r="DC64" i="24"/>
  <c r="DB64" i="24"/>
  <c r="CY64" i="24"/>
  <c r="CX64" i="24"/>
  <c r="CT65" i="24"/>
  <c r="GP66" i="18"/>
  <c r="HE66" i="18" s="1"/>
  <c r="AB214" i="1"/>
  <c r="AB215" i="1" s="1"/>
  <c r="AB216" i="1" s="1"/>
  <c r="AB217" i="1" s="1"/>
  <c r="AB218" i="1" s="1"/>
  <c r="AB219" i="1" s="1"/>
  <c r="AC214" i="1"/>
  <c r="AC215" i="1" s="1"/>
  <c r="AC216" i="1" s="1"/>
  <c r="AC217" i="1" s="1"/>
  <c r="AC218" i="1" s="1"/>
  <c r="AC219" i="1" s="1"/>
  <c r="AC207" i="16"/>
  <c r="AC208" i="16" s="1"/>
  <c r="AC209" i="16" s="1"/>
  <c r="AC210" i="16" s="1"/>
  <c r="AC211" i="16" s="1"/>
  <c r="AC212" i="16" s="1"/>
  <c r="GN65" i="10"/>
  <c r="HC65" i="10" s="1"/>
  <c r="GO65" i="10"/>
  <c r="HD65" i="10" s="1"/>
  <c r="AB207" i="16"/>
  <c r="AB208" i="16" s="1"/>
  <c r="AB209" i="16" s="1"/>
  <c r="AB210" i="16" s="1"/>
  <c r="AB211" i="16" s="1"/>
  <c r="AB212" i="16" s="1"/>
  <c r="T220" i="1"/>
  <c r="T214" i="1"/>
  <c r="T215" i="1" s="1"/>
  <c r="T216" i="1" s="1"/>
  <c r="T217" i="1" s="1"/>
  <c r="T218" i="1" s="1"/>
  <c r="T219" i="1" s="1"/>
  <c r="FS68" i="18"/>
  <c r="V214" i="16"/>
  <c r="V215" i="16" s="1"/>
  <c r="V216" i="16" s="1"/>
  <c r="V217" i="16" s="1"/>
  <c r="V218" i="16" s="1"/>
  <c r="V219" i="16" s="1"/>
  <c r="V220" i="16"/>
  <c r="I204" i="1"/>
  <c r="Q222" i="1"/>
  <c r="AG47" i="17"/>
  <c r="EL80" i="10"/>
  <c r="G220" i="16"/>
  <c r="G214" i="16"/>
  <c r="H208" i="1"/>
  <c r="F208" i="16"/>
  <c r="P227" i="16"/>
  <c r="P221" i="16"/>
  <c r="P222" i="16" s="1"/>
  <c r="P223" i="16" s="1"/>
  <c r="P224" i="16" s="1"/>
  <c r="P225" i="16" s="1"/>
  <c r="P226" i="16" s="1"/>
  <c r="K208" i="16"/>
  <c r="Q221" i="16"/>
  <c r="Q227" i="16"/>
  <c r="AU56" i="17"/>
  <c r="J184" i="16"/>
  <c r="Q204" i="1"/>
  <c r="K227" i="1"/>
  <c r="K221" i="1"/>
  <c r="N220" i="16"/>
  <c r="N214" i="16"/>
  <c r="N215" i="16" s="1"/>
  <c r="N216" i="16" s="1"/>
  <c r="N217" i="16" s="1"/>
  <c r="N218" i="16" s="1"/>
  <c r="N219" i="16" s="1"/>
  <c r="H203" i="16"/>
  <c r="E221" i="16"/>
  <c r="E222" i="16" s="1"/>
  <c r="E223" i="16" s="1"/>
  <c r="E224" i="16" s="1"/>
  <c r="E225" i="16" s="1"/>
  <c r="E226" i="16" s="1"/>
  <c r="E227" i="16"/>
  <c r="FR67" i="10"/>
  <c r="Q47" i="17"/>
  <c r="L48" i="17"/>
  <c r="K202" i="16"/>
  <c r="E228" i="1"/>
  <c r="E229" i="1" s="1"/>
  <c r="E230" i="1" s="1"/>
  <c r="E231" i="1" s="1"/>
  <c r="E232" i="1" s="1"/>
  <c r="E233" i="1" s="1"/>
  <c r="E234" i="1"/>
  <c r="Q209" i="16"/>
  <c r="W227" i="1"/>
  <c r="W221" i="1"/>
  <c r="W222" i="1" s="1"/>
  <c r="W223" i="1" s="1"/>
  <c r="W224" i="1" s="1"/>
  <c r="W225" i="1" s="1"/>
  <c r="W226" i="1" s="1"/>
  <c r="G197" i="1"/>
  <c r="J215" i="1"/>
  <c r="H215" i="16"/>
  <c r="O220" i="16"/>
  <c r="O214" i="16"/>
  <c r="O215" i="16" s="1"/>
  <c r="O216" i="16" s="1"/>
  <c r="O217" i="16" s="1"/>
  <c r="O218" i="16" s="1"/>
  <c r="O219" i="16" s="1"/>
  <c r="K209" i="1"/>
  <c r="S220" i="16"/>
  <c r="S214" i="16"/>
  <c r="S215" i="16" s="1"/>
  <c r="S216" i="16" s="1"/>
  <c r="S217" i="16" s="1"/>
  <c r="S218" i="16" s="1"/>
  <c r="S219" i="16" s="1"/>
  <c r="K197" i="1"/>
  <c r="K184" i="16"/>
  <c r="G209" i="1"/>
  <c r="G191" i="1"/>
  <c r="EL77" i="18"/>
  <c r="O227" i="1"/>
  <c r="O221" i="1"/>
  <c r="O222" i="1" s="1"/>
  <c r="O223" i="1" s="1"/>
  <c r="O224" i="1" s="1"/>
  <c r="O225" i="1" s="1"/>
  <c r="O226" i="1" s="1"/>
  <c r="Q47" i="15"/>
  <c r="L48" i="15"/>
  <c r="Q234" i="1"/>
  <c r="Q228" i="1"/>
  <c r="G208" i="16"/>
  <c r="BB191" i="17"/>
  <c r="F214" i="16"/>
  <c r="F220" i="16"/>
  <c r="J209" i="1"/>
  <c r="Q215" i="16"/>
  <c r="J208" i="16"/>
  <c r="A221" i="16"/>
  <c r="A222" i="16" s="1"/>
  <c r="A223" i="16" s="1"/>
  <c r="A224" i="16" s="1"/>
  <c r="A225" i="16" s="1"/>
  <c r="A226" i="16" s="1"/>
  <c r="A227" i="16"/>
  <c r="B221" i="1"/>
  <c r="B222" i="1" s="1"/>
  <c r="B223" i="1" s="1"/>
  <c r="B224" i="1" s="1"/>
  <c r="B225" i="1" s="1"/>
  <c r="B226" i="1" s="1"/>
  <c r="B227" i="1"/>
  <c r="G227" i="1"/>
  <c r="G221" i="1"/>
  <c r="D220" i="1"/>
  <c r="D214" i="1"/>
  <c r="D215" i="1" s="1"/>
  <c r="D216" i="1" s="1"/>
  <c r="D217" i="1" s="1"/>
  <c r="D218" i="1" s="1"/>
  <c r="D219" i="1" s="1"/>
  <c r="T227" i="16"/>
  <c r="T221" i="16"/>
  <c r="T222" i="16" s="1"/>
  <c r="T223" i="16" s="1"/>
  <c r="T224" i="16" s="1"/>
  <c r="T225" i="16" s="1"/>
  <c r="T226" i="16" s="1"/>
  <c r="K190" i="16"/>
  <c r="I234" i="1"/>
  <c r="I228" i="1"/>
  <c r="I215" i="16"/>
  <c r="H202" i="1"/>
  <c r="J221" i="1"/>
  <c r="J227" i="1"/>
  <c r="F197" i="1"/>
  <c r="Q203" i="16"/>
  <c r="D227" i="16"/>
  <c r="D221" i="16"/>
  <c r="D222" i="16" s="1"/>
  <c r="D223" i="16" s="1"/>
  <c r="D224" i="16" s="1"/>
  <c r="D225" i="16" s="1"/>
  <c r="D226" i="16" s="1"/>
  <c r="F184" i="16"/>
  <c r="I203" i="16"/>
  <c r="CZ63" i="10"/>
  <c r="DB63" i="10"/>
  <c r="DA63" i="10"/>
  <c r="CY63" i="10"/>
  <c r="CX63" i="10"/>
  <c r="DC63" i="10"/>
  <c r="CT64" i="10"/>
  <c r="CU64" i="10" s="1"/>
  <c r="R214" i="16"/>
  <c r="R215" i="16" s="1"/>
  <c r="R216" i="16" s="1"/>
  <c r="R217" i="16" s="1"/>
  <c r="R218" i="16" s="1"/>
  <c r="R219" i="16" s="1"/>
  <c r="R220" i="16"/>
  <c r="B214" i="16"/>
  <c r="B215" i="16" s="1"/>
  <c r="B216" i="16" s="1"/>
  <c r="B217" i="16" s="1"/>
  <c r="B218" i="16" s="1"/>
  <c r="B219" i="16" s="1"/>
  <c r="B220" i="16"/>
  <c r="C220" i="16"/>
  <c r="C214" i="16"/>
  <c r="C215" i="16" s="1"/>
  <c r="C216" i="16" s="1"/>
  <c r="C217" i="16" s="1"/>
  <c r="C218" i="16" s="1"/>
  <c r="C219" i="16" s="1"/>
  <c r="M221" i="16"/>
  <c r="M222" i="16" s="1"/>
  <c r="M223" i="16" s="1"/>
  <c r="M224" i="16" s="1"/>
  <c r="M225" i="16" s="1"/>
  <c r="M226" i="16" s="1"/>
  <c r="M227" i="16"/>
  <c r="H184" i="1"/>
  <c r="J196" i="16"/>
  <c r="H191" i="16"/>
  <c r="G203" i="1"/>
  <c r="K196" i="16"/>
  <c r="I198" i="1"/>
  <c r="BH47" i="17"/>
  <c r="F203" i="1"/>
  <c r="Q197" i="16"/>
  <c r="H197" i="16"/>
  <c r="R221" i="1"/>
  <c r="R222" i="1" s="1"/>
  <c r="R223" i="1" s="1"/>
  <c r="R224" i="1" s="1"/>
  <c r="R225" i="1" s="1"/>
  <c r="R226" i="1" s="1"/>
  <c r="R227" i="1"/>
  <c r="L227" i="16"/>
  <c r="L221" i="16"/>
  <c r="L222" i="16" s="1"/>
  <c r="L223" i="16" s="1"/>
  <c r="L224" i="16" s="1"/>
  <c r="L225" i="16" s="1"/>
  <c r="L226" i="16" s="1"/>
  <c r="J191" i="1"/>
  <c r="J220" i="16"/>
  <c r="J214" i="16"/>
  <c r="P220" i="1"/>
  <c r="P214" i="1"/>
  <c r="P215" i="1" s="1"/>
  <c r="P216" i="1" s="1"/>
  <c r="P217" i="1" s="1"/>
  <c r="P218" i="1" s="1"/>
  <c r="P219" i="1" s="1"/>
  <c r="G215" i="1"/>
  <c r="I210" i="1"/>
  <c r="W220" i="16"/>
  <c r="W214" i="16"/>
  <c r="W215" i="16" s="1"/>
  <c r="W216" i="16" s="1"/>
  <c r="W217" i="16" s="1"/>
  <c r="W218" i="16" s="1"/>
  <c r="W219" i="16" s="1"/>
  <c r="BH48" i="15"/>
  <c r="I221" i="16"/>
  <c r="I227" i="16"/>
  <c r="G202" i="16"/>
  <c r="M228" i="1"/>
  <c r="M229" i="1" s="1"/>
  <c r="M230" i="1" s="1"/>
  <c r="M231" i="1" s="1"/>
  <c r="M232" i="1" s="1"/>
  <c r="M233" i="1" s="1"/>
  <c r="M234" i="1"/>
  <c r="K203" i="1"/>
  <c r="J190" i="16"/>
  <c r="BB191" i="15"/>
  <c r="N221" i="1"/>
  <c r="N222" i="1" s="1"/>
  <c r="N223" i="1" s="1"/>
  <c r="N224" i="1" s="1"/>
  <c r="N225" i="1" s="1"/>
  <c r="N226" i="1" s="1"/>
  <c r="N227" i="1"/>
  <c r="F215" i="1"/>
  <c r="J202" i="16"/>
  <c r="J197" i="1"/>
  <c r="C227" i="1"/>
  <c r="C221" i="1"/>
  <c r="C222" i="1" s="1"/>
  <c r="C223" i="1" s="1"/>
  <c r="C224" i="1" s="1"/>
  <c r="C225" i="1" s="1"/>
  <c r="C226" i="1" s="1"/>
  <c r="U228" i="1"/>
  <c r="U229" i="1" s="1"/>
  <c r="U230" i="1" s="1"/>
  <c r="U231" i="1" s="1"/>
  <c r="U232" i="1" s="1"/>
  <c r="U233" i="1" s="1"/>
  <c r="U234" i="1"/>
  <c r="X227" i="16"/>
  <c r="X221" i="16"/>
  <c r="X222" i="16" s="1"/>
  <c r="X223" i="16" s="1"/>
  <c r="X224" i="16" s="1"/>
  <c r="X225" i="16" s="1"/>
  <c r="X226" i="16" s="1"/>
  <c r="L220" i="1"/>
  <c r="L214" i="1"/>
  <c r="L215" i="1" s="1"/>
  <c r="L216" i="1" s="1"/>
  <c r="L217" i="1" s="1"/>
  <c r="L218" i="1" s="1"/>
  <c r="L219" i="1" s="1"/>
  <c r="AB208" i="1"/>
  <c r="Q198" i="1"/>
  <c r="H190" i="1"/>
  <c r="I197" i="16"/>
  <c r="X220" i="1"/>
  <c r="X214" i="1"/>
  <c r="X215" i="1" s="1"/>
  <c r="X216" i="1" s="1"/>
  <c r="X217" i="1" s="1"/>
  <c r="X218" i="1" s="1"/>
  <c r="X219" i="1" s="1"/>
  <c r="I216" i="1"/>
  <c r="F191" i="1"/>
  <c r="H196" i="1"/>
  <c r="H220" i="1"/>
  <c r="H214" i="1"/>
  <c r="A234" i="1"/>
  <c r="A228" i="1"/>
  <c r="A229" i="1" s="1"/>
  <c r="A230" i="1" s="1"/>
  <c r="A231" i="1" s="1"/>
  <c r="A232" i="1" s="1"/>
  <c r="A233" i="1" s="1"/>
  <c r="K220" i="16"/>
  <c r="K214" i="16"/>
  <c r="F209" i="1"/>
  <c r="K215" i="1"/>
  <c r="I222" i="1"/>
  <c r="J203" i="1"/>
  <c r="CZ64" i="18"/>
  <c r="DC64" i="18"/>
  <c r="CY64" i="18"/>
  <c r="DA64" i="18"/>
  <c r="CX64" i="18"/>
  <c r="DB64" i="18"/>
  <c r="CT65" i="18"/>
  <c r="F221" i="1"/>
  <c r="F227" i="1"/>
  <c r="S227" i="1"/>
  <c r="S221" i="1"/>
  <c r="S222" i="1" s="1"/>
  <c r="S223" i="1" s="1"/>
  <c r="S224" i="1" s="1"/>
  <c r="S225" i="1" s="1"/>
  <c r="S226" i="1" s="1"/>
  <c r="Q210" i="1"/>
  <c r="H227" i="16"/>
  <c r="H221" i="16"/>
  <c r="G184" i="16"/>
  <c r="I209" i="16"/>
  <c r="F196" i="16"/>
  <c r="AG47" i="15"/>
  <c r="G190" i="16"/>
  <c r="Q216" i="1"/>
  <c r="AU48" i="15"/>
  <c r="G196" i="16"/>
  <c r="I191" i="16"/>
  <c r="Q191" i="16"/>
  <c r="U221" i="16"/>
  <c r="U222" i="16" s="1"/>
  <c r="U223" i="16" s="1"/>
  <c r="U224" i="16" s="1"/>
  <c r="U225" i="16" s="1"/>
  <c r="U226" i="16" s="1"/>
  <c r="U227" i="16"/>
  <c r="K191" i="1"/>
  <c r="V221" i="1"/>
  <c r="V222" i="1" s="1"/>
  <c r="V223" i="1" s="1"/>
  <c r="V224" i="1" s="1"/>
  <c r="V225" i="1" s="1"/>
  <c r="V226" i="1" s="1"/>
  <c r="V227" i="1"/>
  <c r="F190" i="16"/>
  <c r="H209" i="16"/>
  <c r="F202" i="16"/>
  <c r="AI227" i="1"/>
  <c r="AG220" i="1"/>
  <c r="AJ189" i="16"/>
  <c r="BZ611" i="15"/>
  <c r="AI215" i="1"/>
  <c r="AB213" i="16"/>
  <c r="AK189" i="16"/>
  <c r="AQ196" i="16"/>
  <c r="AH207" i="1"/>
  <c r="AI209" i="1"/>
  <c r="AF220" i="1"/>
  <c r="AJ190" i="1"/>
  <c r="AI196" i="16"/>
  <c r="AI221" i="1"/>
  <c r="AQ197" i="1"/>
  <c r="AJ213" i="16"/>
  <c r="AK195" i="16"/>
  <c r="AC213" i="16"/>
  <c r="AO46" i="17"/>
  <c r="AH202" i="16"/>
  <c r="AF208" i="1"/>
  <c r="AQ198" i="1"/>
  <c r="AQ221" i="1"/>
  <c r="AJ214" i="1"/>
  <c r="AQ220" i="16"/>
  <c r="AG189" i="16"/>
  <c r="AI220" i="16"/>
  <c r="AF183" i="16"/>
  <c r="AI203" i="1"/>
  <c r="GA67" i="24"/>
  <c r="AJ191" i="1"/>
  <c r="AF214" i="1"/>
  <c r="AG190" i="1"/>
  <c r="AH190" i="16"/>
  <c r="AF202" i="1"/>
  <c r="AG214" i="1"/>
  <c r="AF184" i="16"/>
  <c r="AJ208" i="1"/>
  <c r="AK183" i="16"/>
  <c r="AG195" i="16"/>
  <c r="AH183" i="1"/>
  <c r="AQ190" i="16"/>
  <c r="AH208" i="16"/>
  <c r="AF201" i="16"/>
  <c r="AK202" i="1"/>
  <c r="AJ207" i="16"/>
  <c r="AK196" i="1"/>
  <c r="AI190" i="16"/>
  <c r="AF207" i="16"/>
  <c r="AJ183" i="16"/>
  <c r="AC220" i="1"/>
  <c r="AQ191" i="16"/>
  <c r="AG196" i="1"/>
  <c r="GD67" i="24"/>
  <c r="GC66" i="10"/>
  <c r="AB220" i="1"/>
  <c r="AH201" i="1"/>
  <c r="AF189" i="16"/>
  <c r="AH220" i="16"/>
  <c r="AJ201" i="16"/>
  <c r="AK191" i="1"/>
  <c r="AP46" i="17"/>
  <c r="AG207" i="16"/>
  <c r="AG213" i="16"/>
  <c r="AI214" i="16"/>
  <c r="AG184" i="16"/>
  <c r="AF195" i="16"/>
  <c r="AO47" i="15"/>
  <c r="AQ203" i="1"/>
  <c r="AJ184" i="16"/>
  <c r="AK220" i="1"/>
  <c r="AJ195" i="16"/>
  <c r="AH195" i="1"/>
  <c r="AJ220" i="1"/>
  <c r="AQ202" i="16"/>
  <c r="AH189" i="1"/>
  <c r="AQ208" i="16"/>
  <c r="AH196" i="16"/>
  <c r="AK184" i="16"/>
  <c r="AK214" i="1"/>
  <c r="AQ227" i="1"/>
  <c r="AH213" i="1"/>
  <c r="AI197" i="1"/>
  <c r="AG202" i="1"/>
  <c r="GB66" i="10"/>
  <c r="AK190" i="1"/>
  <c r="AG183" i="16"/>
  <c r="AF213" i="16"/>
  <c r="AP46" i="15"/>
  <c r="AQ209" i="1"/>
  <c r="AK207" i="16"/>
  <c r="GC67" i="24"/>
  <c r="AI208" i="16"/>
  <c r="BY611" i="15"/>
  <c r="AF196" i="1"/>
  <c r="AJ202" i="1"/>
  <c r="AI198" i="1"/>
  <c r="AK213" i="16"/>
  <c r="AI202" i="16"/>
  <c r="GD67" i="18"/>
  <c r="AF190" i="1"/>
  <c r="AI191" i="16"/>
  <c r="AK208" i="1"/>
  <c r="AH191" i="16"/>
  <c r="AG201" i="16"/>
  <c r="AG191" i="1"/>
  <c r="AQ215" i="1"/>
  <c r="CH612" i="15"/>
  <c r="AJ196" i="1"/>
  <c r="AK201" i="16"/>
  <c r="AQ214" i="16"/>
  <c r="AG208" i="1"/>
  <c r="AH214" i="16"/>
  <c r="AF191" i="1"/>
  <c r="AH184" i="1"/>
  <c r="V89" i="2" l="1"/>
  <c r="T88" i="2"/>
  <c r="S101" i="2" s="1"/>
  <c r="T101" i="2" s="1"/>
  <c r="S112" i="2" s="1"/>
  <c r="T91" i="2"/>
  <c r="S104" i="2" s="1"/>
  <c r="V91" i="2"/>
  <c r="T113" i="2"/>
  <c r="S113" i="2"/>
  <c r="T93" i="2"/>
  <c r="S106" i="2" s="1"/>
  <c r="V93" i="2"/>
  <c r="V90" i="2"/>
  <c r="T90" i="2"/>
  <c r="S103" i="2" s="1"/>
  <c r="DC609" i="15"/>
  <c r="DE608" i="15"/>
  <c r="CE611" i="15"/>
  <c r="CP611" i="15" s="1"/>
  <c r="CU611" i="15" s="1"/>
  <c r="CF611" i="15"/>
  <c r="CQ611" i="15" s="1"/>
  <c r="CV611" i="15" s="1"/>
  <c r="BQ613" i="15"/>
  <c r="BG195" i="16"/>
  <c r="BG201" i="16"/>
  <c r="BG189" i="16"/>
  <c r="BG184" i="16"/>
  <c r="BG183" i="16"/>
  <c r="BG213" i="16"/>
  <c r="BG207" i="16"/>
  <c r="AE221" i="16"/>
  <c r="BI214" i="16"/>
  <c r="J52" i="15"/>
  <c r="AH603" i="15" s="1"/>
  <c r="LO70" i="24"/>
  <c r="LS69" i="24"/>
  <c r="GP67" i="24"/>
  <c r="HE67" i="24" s="1"/>
  <c r="GM67" i="24"/>
  <c r="HB67" i="24" s="1"/>
  <c r="EL78" i="24"/>
  <c r="FS69" i="24"/>
  <c r="DB65" i="24"/>
  <c r="CX65" i="24"/>
  <c r="DC65" i="24"/>
  <c r="CY65" i="24"/>
  <c r="CZ65" i="24"/>
  <c r="DA65" i="24"/>
  <c r="CT66" i="24"/>
  <c r="GN66" i="10"/>
  <c r="HC66" i="10" s="1"/>
  <c r="GP67" i="18"/>
  <c r="HE67" i="18" s="1"/>
  <c r="AC221" i="1"/>
  <c r="AC222" i="1" s="1"/>
  <c r="AC223" i="1" s="1"/>
  <c r="AC224" i="1" s="1"/>
  <c r="AC225" i="1" s="1"/>
  <c r="AC226" i="1" s="1"/>
  <c r="AB214" i="16"/>
  <c r="AB215" i="16" s="1"/>
  <c r="AB216" i="16" s="1"/>
  <c r="AB217" i="16" s="1"/>
  <c r="AB218" i="16" s="1"/>
  <c r="AB219" i="16" s="1"/>
  <c r="AC214" i="16"/>
  <c r="AC215" i="16" s="1"/>
  <c r="AC216" i="16" s="1"/>
  <c r="AC217" i="16" s="1"/>
  <c r="AC218" i="16" s="1"/>
  <c r="AC219" i="16" s="1"/>
  <c r="AB221" i="1"/>
  <c r="GO66" i="10"/>
  <c r="HD66" i="10" s="1"/>
  <c r="V234" i="1"/>
  <c r="V228" i="1"/>
  <c r="V229" i="1" s="1"/>
  <c r="V230" i="1" s="1"/>
  <c r="V231" i="1" s="1"/>
  <c r="V232" i="1" s="1"/>
  <c r="V233" i="1" s="1"/>
  <c r="G191" i="16"/>
  <c r="Q211" i="1"/>
  <c r="F234" i="1"/>
  <c r="F228" i="1"/>
  <c r="I223" i="1"/>
  <c r="F210" i="1"/>
  <c r="K227" i="16"/>
  <c r="K221" i="16"/>
  <c r="H215" i="1"/>
  <c r="AB209" i="1"/>
  <c r="X234" i="16"/>
  <c r="X228" i="16"/>
  <c r="X229" i="16" s="1"/>
  <c r="X230" i="16" s="1"/>
  <c r="X231" i="16" s="1"/>
  <c r="X232" i="16" s="1"/>
  <c r="X233" i="16" s="1"/>
  <c r="I222" i="16"/>
  <c r="W221" i="16"/>
  <c r="W222" i="16" s="1"/>
  <c r="W223" i="16" s="1"/>
  <c r="W224" i="16" s="1"/>
  <c r="W225" i="16" s="1"/>
  <c r="W226" i="16" s="1"/>
  <c r="W227" i="16"/>
  <c r="G216" i="1"/>
  <c r="J215" i="16"/>
  <c r="G204" i="1"/>
  <c r="M234" i="16"/>
  <c r="M228" i="16"/>
  <c r="M229" i="16" s="1"/>
  <c r="M230" i="16" s="1"/>
  <c r="M231" i="16" s="1"/>
  <c r="M232" i="16" s="1"/>
  <c r="M233" i="16" s="1"/>
  <c r="C221" i="16"/>
  <c r="C222" i="16" s="1"/>
  <c r="C223" i="16" s="1"/>
  <c r="C224" i="16" s="1"/>
  <c r="C225" i="16" s="1"/>
  <c r="C226" i="16" s="1"/>
  <c r="C227" i="16"/>
  <c r="R221" i="16"/>
  <c r="R222" i="16" s="1"/>
  <c r="R223" i="16" s="1"/>
  <c r="R224" i="16" s="1"/>
  <c r="R225" i="16" s="1"/>
  <c r="R226" i="16" s="1"/>
  <c r="R227" i="16"/>
  <c r="Q204" i="16"/>
  <c r="J234" i="1"/>
  <c r="J228" i="1"/>
  <c r="I241" i="1"/>
  <c r="I235" i="1"/>
  <c r="T234" i="16"/>
  <c r="T228" i="16"/>
  <c r="T229" i="16" s="1"/>
  <c r="T230" i="16" s="1"/>
  <c r="T231" i="16" s="1"/>
  <c r="T232" i="16" s="1"/>
  <c r="T233" i="16" s="1"/>
  <c r="G222" i="1"/>
  <c r="J209" i="16"/>
  <c r="J210" i="1"/>
  <c r="H216" i="16"/>
  <c r="G198" i="1"/>
  <c r="Q210" i="16"/>
  <c r="K203" i="16"/>
  <c r="E234" i="16"/>
  <c r="E228" i="16"/>
  <c r="E229" i="16" s="1"/>
  <c r="E230" i="16" s="1"/>
  <c r="E231" i="16" s="1"/>
  <c r="E232" i="16" s="1"/>
  <c r="E233" i="16" s="1"/>
  <c r="K228" i="1"/>
  <c r="K234" i="1"/>
  <c r="Q234" i="16"/>
  <c r="Q228" i="16"/>
  <c r="H209" i="1"/>
  <c r="G221" i="16"/>
  <c r="G227" i="16"/>
  <c r="AG48" i="17"/>
  <c r="AU49" i="15"/>
  <c r="H210" i="16"/>
  <c r="F197" i="16"/>
  <c r="H221" i="1"/>
  <c r="H227" i="1"/>
  <c r="X221" i="1"/>
  <c r="X222" i="1" s="1"/>
  <c r="X223" i="1" s="1"/>
  <c r="X224" i="1" s="1"/>
  <c r="X225" i="1" s="1"/>
  <c r="X226" i="1" s="1"/>
  <c r="X227" i="1"/>
  <c r="H191" i="1"/>
  <c r="J198" i="1"/>
  <c r="F216" i="1"/>
  <c r="BB192" i="15"/>
  <c r="K204" i="1"/>
  <c r="G203" i="16"/>
  <c r="J227" i="16"/>
  <c r="J221" i="16"/>
  <c r="L234" i="16"/>
  <c r="L228" i="16"/>
  <c r="L229" i="16" s="1"/>
  <c r="L230" i="16" s="1"/>
  <c r="L231" i="16" s="1"/>
  <c r="L232" i="16" s="1"/>
  <c r="L233" i="16" s="1"/>
  <c r="H198" i="16"/>
  <c r="F204" i="1"/>
  <c r="J197" i="16"/>
  <c r="J222" i="1"/>
  <c r="I216" i="16"/>
  <c r="G228" i="1"/>
  <c r="G234" i="1"/>
  <c r="A234" i="16"/>
  <c r="A228" i="16"/>
  <c r="A229" i="16" s="1"/>
  <c r="A230" i="16" s="1"/>
  <c r="A231" i="16" s="1"/>
  <c r="A232" i="16" s="1"/>
  <c r="A233" i="16" s="1"/>
  <c r="BB192" i="17"/>
  <c r="Q229" i="1"/>
  <c r="S221" i="16"/>
  <c r="S222" i="16" s="1"/>
  <c r="S223" i="16" s="1"/>
  <c r="S224" i="16" s="1"/>
  <c r="S225" i="16" s="1"/>
  <c r="S226" i="16" s="1"/>
  <c r="S227" i="16"/>
  <c r="O227" i="16"/>
  <c r="O221" i="16"/>
  <c r="O222" i="16" s="1"/>
  <c r="O223" i="16" s="1"/>
  <c r="O224" i="16" s="1"/>
  <c r="O225" i="16" s="1"/>
  <c r="O226" i="16" s="1"/>
  <c r="E241" i="1"/>
  <c r="E235" i="1"/>
  <c r="E236" i="1" s="1"/>
  <c r="E237" i="1" s="1"/>
  <c r="E238" i="1" s="1"/>
  <c r="E239" i="1" s="1"/>
  <c r="E240" i="1" s="1"/>
  <c r="FR68" i="10"/>
  <c r="N221" i="16"/>
  <c r="N222" i="16" s="1"/>
  <c r="N223" i="16" s="1"/>
  <c r="N224" i="16" s="1"/>
  <c r="N225" i="16" s="1"/>
  <c r="N226" i="16" s="1"/>
  <c r="N227" i="16"/>
  <c r="Q205" i="1"/>
  <c r="AU57" i="17"/>
  <c r="Q222" i="16"/>
  <c r="P234" i="16"/>
  <c r="P228" i="16"/>
  <c r="P229" i="16" s="1"/>
  <c r="P230" i="16" s="1"/>
  <c r="P231" i="16" s="1"/>
  <c r="P232" i="16" s="1"/>
  <c r="P233" i="16" s="1"/>
  <c r="I205" i="1"/>
  <c r="T227" i="1"/>
  <c r="T221" i="1"/>
  <c r="T222" i="1" s="1"/>
  <c r="T223" i="1" s="1"/>
  <c r="T224" i="1" s="1"/>
  <c r="T225" i="1" s="1"/>
  <c r="T226" i="1" s="1"/>
  <c r="U234" i="16"/>
  <c r="U228" i="16"/>
  <c r="U229" i="16" s="1"/>
  <c r="U230" i="16" s="1"/>
  <c r="U231" i="16" s="1"/>
  <c r="U232" i="16" s="1"/>
  <c r="U233" i="16" s="1"/>
  <c r="I210" i="16"/>
  <c r="F203" i="16"/>
  <c r="H222" i="16"/>
  <c r="F222" i="1"/>
  <c r="F191" i="16"/>
  <c r="G197" i="16"/>
  <c r="Q217" i="1"/>
  <c r="AG48" i="15"/>
  <c r="H234" i="16"/>
  <c r="H228" i="16"/>
  <c r="S228" i="1"/>
  <c r="S229" i="1" s="1"/>
  <c r="S230" i="1" s="1"/>
  <c r="S231" i="1" s="1"/>
  <c r="S232" i="1" s="1"/>
  <c r="S233" i="1" s="1"/>
  <c r="S234" i="1"/>
  <c r="DB65" i="18"/>
  <c r="CX65" i="18"/>
  <c r="DA65" i="18"/>
  <c r="DC65" i="18"/>
  <c r="CZ65" i="18"/>
  <c r="CY65" i="18"/>
  <c r="CT66" i="18"/>
  <c r="J204" i="1"/>
  <c r="K216" i="1"/>
  <c r="A241" i="1"/>
  <c r="A235" i="1"/>
  <c r="A236" i="1" s="1"/>
  <c r="A237" i="1" s="1"/>
  <c r="A238" i="1" s="1"/>
  <c r="A239" i="1" s="1"/>
  <c r="A240" i="1" s="1"/>
  <c r="L227" i="1"/>
  <c r="L221" i="1"/>
  <c r="L222" i="1" s="1"/>
  <c r="L223" i="1" s="1"/>
  <c r="L224" i="1" s="1"/>
  <c r="L225" i="1" s="1"/>
  <c r="L226" i="1" s="1"/>
  <c r="U241" i="1"/>
  <c r="U235" i="1"/>
  <c r="U236" i="1" s="1"/>
  <c r="U237" i="1" s="1"/>
  <c r="U238" i="1" s="1"/>
  <c r="U239" i="1" s="1"/>
  <c r="U240" i="1" s="1"/>
  <c r="C228" i="1"/>
  <c r="C229" i="1" s="1"/>
  <c r="C230" i="1" s="1"/>
  <c r="C231" i="1" s="1"/>
  <c r="C232" i="1" s="1"/>
  <c r="C233" i="1" s="1"/>
  <c r="C234" i="1"/>
  <c r="N234" i="1"/>
  <c r="N228" i="1"/>
  <c r="N229" i="1" s="1"/>
  <c r="N230" i="1" s="1"/>
  <c r="N231" i="1" s="1"/>
  <c r="N232" i="1" s="1"/>
  <c r="N233" i="1" s="1"/>
  <c r="M241" i="1"/>
  <c r="M235" i="1"/>
  <c r="M236" i="1" s="1"/>
  <c r="M237" i="1" s="1"/>
  <c r="M238" i="1" s="1"/>
  <c r="M239" i="1" s="1"/>
  <c r="M240" i="1" s="1"/>
  <c r="BH49" i="15"/>
  <c r="I211" i="1"/>
  <c r="P221" i="1"/>
  <c r="P222" i="1" s="1"/>
  <c r="P223" i="1" s="1"/>
  <c r="P224" i="1" s="1"/>
  <c r="P225" i="1" s="1"/>
  <c r="P226" i="1" s="1"/>
  <c r="P227" i="1"/>
  <c r="R234" i="1"/>
  <c r="R228" i="1"/>
  <c r="R229" i="1" s="1"/>
  <c r="R230" i="1" s="1"/>
  <c r="R231" i="1" s="1"/>
  <c r="R232" i="1" s="1"/>
  <c r="R233" i="1" s="1"/>
  <c r="BH48" i="17"/>
  <c r="B221" i="16"/>
  <c r="B222" i="16" s="1"/>
  <c r="B223" i="16" s="1"/>
  <c r="B224" i="16" s="1"/>
  <c r="B225" i="16" s="1"/>
  <c r="B226" i="16" s="1"/>
  <c r="B227" i="16"/>
  <c r="DA64" i="10"/>
  <c r="DC64" i="10"/>
  <c r="CX64" i="10"/>
  <c r="DB64" i="10"/>
  <c r="CZ64" i="10"/>
  <c r="CY64" i="10"/>
  <c r="CT65" i="10"/>
  <c r="CU65" i="10" s="1"/>
  <c r="I204" i="16"/>
  <c r="D234" i="16"/>
  <c r="D228" i="16"/>
  <c r="D229" i="16" s="1"/>
  <c r="D230" i="16" s="1"/>
  <c r="D231" i="16" s="1"/>
  <c r="D232" i="16" s="1"/>
  <c r="D233" i="16" s="1"/>
  <c r="F198" i="1"/>
  <c r="K191" i="16"/>
  <c r="D227" i="1"/>
  <c r="D221" i="1"/>
  <c r="D222" i="1" s="1"/>
  <c r="D223" i="1" s="1"/>
  <c r="D224" i="1" s="1"/>
  <c r="D225" i="1" s="1"/>
  <c r="D226" i="1" s="1"/>
  <c r="Q216" i="16"/>
  <c r="F227" i="16"/>
  <c r="F221" i="16"/>
  <c r="Q241" i="1"/>
  <c r="Q235" i="1"/>
  <c r="L49" i="15"/>
  <c r="Q48" i="15"/>
  <c r="O228" i="1"/>
  <c r="O229" i="1" s="1"/>
  <c r="O230" i="1" s="1"/>
  <c r="O231" i="1" s="1"/>
  <c r="O232" i="1" s="1"/>
  <c r="O233" i="1" s="1"/>
  <c r="O234" i="1"/>
  <c r="J216" i="1"/>
  <c r="W228" i="1"/>
  <c r="W229" i="1" s="1"/>
  <c r="W230" i="1" s="1"/>
  <c r="W231" i="1" s="1"/>
  <c r="W232" i="1" s="1"/>
  <c r="W233" i="1" s="1"/>
  <c r="W234" i="1"/>
  <c r="L49" i="17"/>
  <c r="Q48" i="17"/>
  <c r="EL81" i="10"/>
  <c r="V227" i="16"/>
  <c r="V221" i="16"/>
  <c r="V222" i="16" s="1"/>
  <c r="V223" i="16" s="1"/>
  <c r="V224" i="16" s="1"/>
  <c r="V225" i="16" s="1"/>
  <c r="V226" i="16" s="1"/>
  <c r="K215" i="16"/>
  <c r="H197" i="1"/>
  <c r="I217" i="1"/>
  <c r="I198" i="16"/>
  <c r="J203" i="16"/>
  <c r="J191" i="16"/>
  <c r="I234" i="16"/>
  <c r="I228" i="16"/>
  <c r="Q198" i="16"/>
  <c r="K197" i="16"/>
  <c r="H203" i="1"/>
  <c r="I229" i="1"/>
  <c r="B234" i="1"/>
  <c r="B228" i="1"/>
  <c r="B229" i="1" s="1"/>
  <c r="B230" i="1" s="1"/>
  <c r="B231" i="1" s="1"/>
  <c r="B232" i="1" s="1"/>
  <c r="B233" i="1" s="1"/>
  <c r="F215" i="16"/>
  <c r="G209" i="16"/>
  <c r="EL78" i="18"/>
  <c r="G210" i="1"/>
  <c r="K198" i="1"/>
  <c r="K210" i="1"/>
  <c r="H204" i="16"/>
  <c r="K222" i="1"/>
  <c r="K209" i="16"/>
  <c r="F209" i="16"/>
  <c r="G215" i="16"/>
  <c r="Q223" i="1"/>
  <c r="FS69" i="18"/>
  <c r="AP47" i="15"/>
  <c r="AF190" i="16"/>
  <c r="AQ204" i="1"/>
  <c r="AI234" i="1"/>
  <c r="AJ203" i="1"/>
  <c r="AQ221" i="16"/>
  <c r="AG208" i="16"/>
  <c r="AH198" i="16"/>
  <c r="AG203" i="1"/>
  <c r="AJ227" i="1"/>
  <c r="AP47" i="17"/>
  <c r="AH215" i="16"/>
  <c r="AF220" i="16"/>
  <c r="AH220" i="1"/>
  <c r="AF196" i="16"/>
  <c r="AJ191" i="16"/>
  <c r="AH196" i="1"/>
  <c r="AF197" i="1"/>
  <c r="AI203" i="16"/>
  <c r="AK197" i="1"/>
  <c r="AQ227" i="16"/>
  <c r="AH203" i="16"/>
  <c r="AG221" i="1"/>
  <c r="AI198" i="16"/>
  <c r="AI204" i="1"/>
  <c r="AF198" i="1"/>
  <c r="AI221" i="16"/>
  <c r="AO48" i="15"/>
  <c r="AF214" i="16"/>
  <c r="AH209" i="16"/>
  <c r="AH202" i="1"/>
  <c r="AH190" i="1"/>
  <c r="AH214" i="1"/>
  <c r="AJ220" i="16"/>
  <c r="AB220" i="16"/>
  <c r="AQ205" i="1"/>
  <c r="AK221" i="1"/>
  <c r="AJ221" i="1"/>
  <c r="GA68" i="24"/>
  <c r="AF215" i="1"/>
  <c r="AG227" i="1"/>
  <c r="AK198" i="1"/>
  <c r="AG202" i="16"/>
  <c r="AQ215" i="16"/>
  <c r="BV611" i="15"/>
  <c r="AF208" i="16"/>
  <c r="AF221" i="1"/>
  <c r="AK190" i="16"/>
  <c r="AQ234" i="1"/>
  <c r="AI209" i="16"/>
  <c r="AJ209" i="1"/>
  <c r="AQ197" i="16"/>
  <c r="AI216" i="1"/>
  <c r="AJ197" i="1"/>
  <c r="AG190" i="16"/>
  <c r="AK215" i="1"/>
  <c r="AI215" i="16"/>
  <c r="BY612" i="15"/>
  <c r="CH613" i="15"/>
  <c r="AG197" i="1"/>
  <c r="AQ210" i="1"/>
  <c r="AQ198" i="16"/>
  <c r="AK208" i="16"/>
  <c r="AG214" i="16"/>
  <c r="AQ216" i="1"/>
  <c r="GB67" i="10"/>
  <c r="AQ222" i="1"/>
  <c r="AJ202" i="16"/>
  <c r="AF202" i="16"/>
  <c r="GC67" i="10"/>
  <c r="AK203" i="1"/>
  <c r="AK209" i="1"/>
  <c r="AI205" i="1"/>
  <c r="GD68" i="18"/>
  <c r="AG196" i="16"/>
  <c r="AB227" i="1"/>
  <c r="AJ190" i="16"/>
  <c r="AI227" i="16"/>
  <c r="AK220" i="16"/>
  <c r="AJ196" i="16"/>
  <c r="AF203" i="1"/>
  <c r="AH197" i="16"/>
  <c r="AK196" i="16"/>
  <c r="AF227" i="1"/>
  <c r="GD68" i="24"/>
  <c r="AI197" i="16"/>
  <c r="AQ203" i="16"/>
  <c r="AJ208" i="16"/>
  <c r="AQ228" i="1"/>
  <c r="AC227" i="1"/>
  <c r="AK202" i="16"/>
  <c r="AK214" i="16"/>
  <c r="AC220" i="16"/>
  <c r="AF191" i="16"/>
  <c r="AF209" i="1"/>
  <c r="AH191" i="1"/>
  <c r="AQ209" i="16"/>
  <c r="GC68" i="24"/>
  <c r="AJ198" i="1"/>
  <c r="AG215" i="1"/>
  <c r="AG191" i="16"/>
  <c r="AO47" i="17"/>
  <c r="AG198" i="1"/>
  <c r="AI222" i="1"/>
  <c r="AJ214" i="16"/>
  <c r="AH221" i="16"/>
  <c r="AH208" i="1"/>
  <c r="AJ215" i="1"/>
  <c r="AG209" i="1"/>
  <c r="AI228" i="1"/>
  <c r="BZ612" i="15"/>
  <c r="AK227" i="1"/>
  <c r="AG220" i="16"/>
  <c r="AH227" i="16"/>
  <c r="AK191" i="16"/>
  <c r="AI210" i="1"/>
  <c r="T112" i="2" l="1"/>
  <c r="S114" i="2"/>
  <c r="T103" i="2"/>
  <c r="T114" i="2" s="1"/>
  <c r="T106" i="2"/>
  <c r="T117" i="2" s="1"/>
  <c r="S117" i="2"/>
  <c r="T104" i="2"/>
  <c r="T115" i="2" s="1"/>
  <c r="S115" i="2"/>
  <c r="DC610" i="15"/>
  <c r="DE609" i="15"/>
  <c r="CF612" i="15"/>
  <c r="CQ612" i="15" s="1"/>
  <c r="CV612" i="15" s="1"/>
  <c r="CE612" i="15"/>
  <c r="CP612" i="15" s="1"/>
  <c r="CU612" i="15" s="1"/>
  <c r="BQ614" i="15"/>
  <c r="BG196" i="16"/>
  <c r="BG214" i="16"/>
  <c r="BG220" i="16"/>
  <c r="BG191" i="16"/>
  <c r="BG208" i="16"/>
  <c r="BG202" i="16"/>
  <c r="BG190" i="16"/>
  <c r="AE228" i="16"/>
  <c r="BI221" i="16"/>
  <c r="J53" i="15"/>
  <c r="AH604" i="15" s="1"/>
  <c r="LO71" i="24"/>
  <c r="LS70" i="24"/>
  <c r="GP68" i="24"/>
  <c r="HE68" i="24" s="1"/>
  <c r="GM68" i="24"/>
  <c r="HB68" i="24" s="1"/>
  <c r="FS70" i="24"/>
  <c r="EL79" i="24"/>
  <c r="DA66" i="24"/>
  <c r="DB66" i="24"/>
  <c r="CX66" i="24"/>
  <c r="CY66" i="24"/>
  <c r="CZ66" i="24"/>
  <c r="DC66" i="24"/>
  <c r="CT67" i="24"/>
  <c r="AB228" i="1"/>
  <c r="AB229" i="1" s="1"/>
  <c r="AB230" i="1" s="1"/>
  <c r="AB231" i="1" s="1"/>
  <c r="AB232" i="1" s="1"/>
  <c r="AB233" i="1" s="1"/>
  <c r="AB221" i="16"/>
  <c r="AB222" i="16" s="1"/>
  <c r="AB223" i="16" s="1"/>
  <c r="AB224" i="16" s="1"/>
  <c r="AB225" i="16" s="1"/>
  <c r="AB226" i="16" s="1"/>
  <c r="GP68" i="18"/>
  <c r="HE68" i="18" s="1"/>
  <c r="AC228" i="1"/>
  <c r="AC229" i="1" s="1"/>
  <c r="AC230" i="1" s="1"/>
  <c r="AC231" i="1" s="1"/>
  <c r="AC232" i="1" s="1"/>
  <c r="AC233" i="1" s="1"/>
  <c r="GO67" i="10"/>
  <c r="HD67" i="10" s="1"/>
  <c r="AC221" i="16"/>
  <c r="AC222" i="16" s="1"/>
  <c r="AC223" i="16" s="1"/>
  <c r="AC224" i="16" s="1"/>
  <c r="AC225" i="16" s="1"/>
  <c r="AC226" i="16" s="1"/>
  <c r="GN67" i="10"/>
  <c r="HC67" i="10" s="1"/>
  <c r="F210" i="16"/>
  <c r="V228" i="16"/>
  <c r="V229" i="16" s="1"/>
  <c r="V230" i="16" s="1"/>
  <c r="V231" i="16" s="1"/>
  <c r="V232" i="16" s="1"/>
  <c r="V233" i="16" s="1"/>
  <c r="V234" i="16"/>
  <c r="P234" i="1"/>
  <c r="P228" i="1"/>
  <c r="P229" i="1" s="1"/>
  <c r="P230" i="1" s="1"/>
  <c r="P231" i="1" s="1"/>
  <c r="P232" i="1" s="1"/>
  <c r="P233" i="1" s="1"/>
  <c r="FS70" i="18"/>
  <c r="EL79" i="18"/>
  <c r="I230" i="1"/>
  <c r="K198" i="16"/>
  <c r="I229" i="16"/>
  <c r="EL82" i="10"/>
  <c r="Q49" i="17"/>
  <c r="L50" i="17"/>
  <c r="J217" i="1"/>
  <c r="Q236" i="1"/>
  <c r="F228" i="16"/>
  <c r="F234" i="16"/>
  <c r="D234" i="1"/>
  <c r="D228" i="1"/>
  <c r="D229" i="1" s="1"/>
  <c r="D230" i="1" s="1"/>
  <c r="D231" i="1" s="1"/>
  <c r="D232" i="1" s="1"/>
  <c r="D233" i="1" s="1"/>
  <c r="I205" i="16"/>
  <c r="BH49" i="17"/>
  <c r="BH50" i="15"/>
  <c r="N241" i="1"/>
  <c r="N235" i="1"/>
  <c r="N236" i="1" s="1"/>
  <c r="N237" i="1" s="1"/>
  <c r="N238" i="1" s="1"/>
  <c r="N239" i="1" s="1"/>
  <c r="N240" i="1" s="1"/>
  <c r="H229" i="16"/>
  <c r="AG49" i="15"/>
  <c r="G198" i="16"/>
  <c r="F223" i="1"/>
  <c r="F204" i="16"/>
  <c r="U241" i="16"/>
  <c r="U235" i="16"/>
  <c r="U236" i="16" s="1"/>
  <c r="U237" i="16" s="1"/>
  <c r="U238" i="16" s="1"/>
  <c r="U239" i="16" s="1"/>
  <c r="U240" i="16" s="1"/>
  <c r="Q223" i="16"/>
  <c r="E242" i="1"/>
  <c r="E243" i="1" s="1"/>
  <c r="E244" i="1" s="1"/>
  <c r="E245" i="1" s="1"/>
  <c r="E246" i="1" s="1"/>
  <c r="E247" i="1" s="1"/>
  <c r="E248" i="1"/>
  <c r="BB193" i="17"/>
  <c r="G241" i="1"/>
  <c r="G235" i="1"/>
  <c r="J223" i="1"/>
  <c r="J228" i="16"/>
  <c r="J234" i="16"/>
  <c r="K205" i="1"/>
  <c r="F217" i="1"/>
  <c r="H234" i="1"/>
  <c r="H228" i="1"/>
  <c r="G234" i="16"/>
  <c r="G228" i="16"/>
  <c r="K241" i="1"/>
  <c r="K235" i="1"/>
  <c r="J229" i="1"/>
  <c r="R228" i="16"/>
  <c r="R229" i="16" s="1"/>
  <c r="R230" i="16" s="1"/>
  <c r="R231" i="16" s="1"/>
  <c r="R232" i="16" s="1"/>
  <c r="R233" i="16" s="1"/>
  <c r="R234" i="16"/>
  <c r="G205" i="1"/>
  <c r="I223" i="16"/>
  <c r="K234" i="16"/>
  <c r="K228" i="16"/>
  <c r="I224" i="1"/>
  <c r="K223" i="1"/>
  <c r="F216" i="16"/>
  <c r="G216" i="16"/>
  <c r="K210" i="16"/>
  <c r="H205" i="16"/>
  <c r="G210" i="16"/>
  <c r="I241" i="16"/>
  <c r="I235" i="16"/>
  <c r="J204" i="16"/>
  <c r="I218" i="1"/>
  <c r="K216" i="16"/>
  <c r="W241" i="1"/>
  <c r="W235" i="1"/>
  <c r="W236" i="1" s="1"/>
  <c r="W237" i="1" s="1"/>
  <c r="W238" i="1" s="1"/>
  <c r="W239" i="1" s="1"/>
  <c r="W240" i="1" s="1"/>
  <c r="Q242" i="1"/>
  <c r="Q248" i="1"/>
  <c r="DB65" i="10"/>
  <c r="CX65" i="10"/>
  <c r="CZ65" i="10"/>
  <c r="CY65" i="10"/>
  <c r="DC65" i="10"/>
  <c r="DA65" i="10"/>
  <c r="CT66" i="10"/>
  <c r="CU66" i="10" s="1"/>
  <c r="B228" i="16"/>
  <c r="B229" i="16" s="1"/>
  <c r="B230" i="16" s="1"/>
  <c r="B231" i="16" s="1"/>
  <c r="B232" i="16" s="1"/>
  <c r="B233" i="16" s="1"/>
  <c r="B234" i="16"/>
  <c r="U242" i="1"/>
  <c r="U243" i="1" s="1"/>
  <c r="U244" i="1" s="1"/>
  <c r="U245" i="1" s="1"/>
  <c r="U246" i="1" s="1"/>
  <c r="U247" i="1" s="1"/>
  <c r="U248" i="1"/>
  <c r="A242" i="1"/>
  <c r="A243" i="1" s="1"/>
  <c r="A244" i="1" s="1"/>
  <c r="A245" i="1" s="1"/>
  <c r="A246" i="1" s="1"/>
  <c r="A247" i="1" s="1"/>
  <c r="A248" i="1"/>
  <c r="J205" i="1"/>
  <c r="S241" i="1"/>
  <c r="S235" i="1"/>
  <c r="S236" i="1" s="1"/>
  <c r="S237" i="1" s="1"/>
  <c r="S238" i="1" s="1"/>
  <c r="S239" i="1" s="1"/>
  <c r="S240" i="1" s="1"/>
  <c r="H235" i="16"/>
  <c r="H241" i="16"/>
  <c r="Q218" i="1"/>
  <c r="N228" i="16"/>
  <c r="N229" i="16" s="1"/>
  <c r="N230" i="16" s="1"/>
  <c r="N231" i="16" s="1"/>
  <c r="N232" i="16" s="1"/>
  <c r="N233" i="16" s="1"/>
  <c r="N234" i="16"/>
  <c r="G229" i="1"/>
  <c r="F205" i="1"/>
  <c r="L235" i="16"/>
  <c r="L236" i="16" s="1"/>
  <c r="L237" i="16" s="1"/>
  <c r="L238" i="16" s="1"/>
  <c r="L239" i="16" s="1"/>
  <c r="L240" i="16" s="1"/>
  <c r="L241" i="16"/>
  <c r="X234" i="1"/>
  <c r="X228" i="1"/>
  <c r="X229" i="1" s="1"/>
  <c r="X230" i="1" s="1"/>
  <c r="X231" i="1" s="1"/>
  <c r="X232" i="1" s="1"/>
  <c r="X233" i="1" s="1"/>
  <c r="H222" i="1"/>
  <c r="H211" i="16"/>
  <c r="G222" i="16"/>
  <c r="Q229" i="16"/>
  <c r="K229" i="1"/>
  <c r="K204" i="16"/>
  <c r="J211" i="1"/>
  <c r="G223" i="1"/>
  <c r="I236" i="1"/>
  <c r="J235" i="1"/>
  <c r="J241" i="1"/>
  <c r="W234" i="16"/>
  <c r="W228" i="16"/>
  <c r="W229" i="16" s="1"/>
  <c r="W230" i="16" s="1"/>
  <c r="W231" i="16" s="1"/>
  <c r="W232" i="16" s="1"/>
  <c r="W233" i="16" s="1"/>
  <c r="H216" i="1"/>
  <c r="F229" i="1"/>
  <c r="Q212" i="1"/>
  <c r="V241" i="1"/>
  <c r="V235" i="1"/>
  <c r="V236" i="1" s="1"/>
  <c r="V237" i="1" s="1"/>
  <c r="V238" i="1" s="1"/>
  <c r="V239" i="1" s="1"/>
  <c r="V240" i="1" s="1"/>
  <c r="Q224" i="1"/>
  <c r="G211" i="1"/>
  <c r="B235" i="1"/>
  <c r="B236" i="1" s="1"/>
  <c r="B237" i="1" s="1"/>
  <c r="B238" i="1" s="1"/>
  <c r="B239" i="1" s="1"/>
  <c r="B240" i="1" s="1"/>
  <c r="B241" i="1"/>
  <c r="H204" i="1"/>
  <c r="H198" i="1"/>
  <c r="O241" i="1"/>
  <c r="O235" i="1"/>
  <c r="O236" i="1" s="1"/>
  <c r="O237" i="1" s="1"/>
  <c r="O238" i="1" s="1"/>
  <c r="O239" i="1" s="1"/>
  <c r="O240" i="1" s="1"/>
  <c r="Q49" i="15"/>
  <c r="L50" i="15"/>
  <c r="Q217" i="16"/>
  <c r="D241" i="16"/>
  <c r="D235" i="16"/>
  <c r="D236" i="16" s="1"/>
  <c r="D237" i="16" s="1"/>
  <c r="D238" i="16" s="1"/>
  <c r="D239" i="16" s="1"/>
  <c r="D240" i="16" s="1"/>
  <c r="R235" i="1"/>
  <c r="R236" i="1" s="1"/>
  <c r="R237" i="1" s="1"/>
  <c r="R238" i="1" s="1"/>
  <c r="R239" i="1" s="1"/>
  <c r="R240" i="1" s="1"/>
  <c r="R241" i="1"/>
  <c r="I212" i="1"/>
  <c r="M242" i="1"/>
  <c r="M243" i="1" s="1"/>
  <c r="M244" i="1" s="1"/>
  <c r="M245" i="1" s="1"/>
  <c r="M246" i="1" s="1"/>
  <c r="M247" i="1" s="1"/>
  <c r="M248" i="1"/>
  <c r="C241" i="1"/>
  <c r="C235" i="1"/>
  <c r="C236" i="1" s="1"/>
  <c r="C237" i="1" s="1"/>
  <c r="C238" i="1" s="1"/>
  <c r="C239" i="1" s="1"/>
  <c r="C240" i="1" s="1"/>
  <c r="K217" i="1"/>
  <c r="CZ66" i="18"/>
  <c r="DC66" i="18"/>
  <c r="CY66" i="18"/>
  <c r="CX66" i="18"/>
  <c r="DB66" i="18"/>
  <c r="DA66" i="18"/>
  <c r="CT67" i="18"/>
  <c r="H223" i="16"/>
  <c r="I211" i="16"/>
  <c r="T234" i="1"/>
  <c r="T228" i="1"/>
  <c r="T229" i="1" s="1"/>
  <c r="T230" i="1" s="1"/>
  <c r="T231" i="1" s="1"/>
  <c r="T232" i="1" s="1"/>
  <c r="T233" i="1" s="1"/>
  <c r="P241" i="16"/>
  <c r="P235" i="16"/>
  <c r="P236" i="16" s="1"/>
  <c r="P237" i="16" s="1"/>
  <c r="P238" i="16" s="1"/>
  <c r="P239" i="16" s="1"/>
  <c r="P240" i="16" s="1"/>
  <c r="AU58" i="17"/>
  <c r="O234" i="16"/>
  <c r="O228" i="16"/>
  <c r="O229" i="16" s="1"/>
  <c r="O230" i="16" s="1"/>
  <c r="O231" i="16" s="1"/>
  <c r="O232" i="16" s="1"/>
  <c r="O233" i="16" s="1"/>
  <c r="Q230" i="1"/>
  <c r="A235" i="16"/>
  <c r="A236" i="16" s="1"/>
  <c r="A237" i="16" s="1"/>
  <c r="A238" i="16" s="1"/>
  <c r="A239" i="16" s="1"/>
  <c r="A240" i="16" s="1"/>
  <c r="A241" i="16"/>
  <c r="G204" i="16"/>
  <c r="BB193" i="15"/>
  <c r="AG49" i="17"/>
  <c r="Q235" i="16"/>
  <c r="Q241" i="16"/>
  <c r="I242" i="1"/>
  <c r="I248" i="1"/>
  <c r="M235" i="16"/>
  <c r="M236" i="16" s="1"/>
  <c r="M237" i="16" s="1"/>
  <c r="M238" i="16" s="1"/>
  <c r="M239" i="16" s="1"/>
  <c r="M240" i="16" s="1"/>
  <c r="M241" i="16"/>
  <c r="J216" i="16"/>
  <c r="X235" i="16"/>
  <c r="X236" i="16" s="1"/>
  <c r="X237" i="16" s="1"/>
  <c r="X238" i="16" s="1"/>
  <c r="X239" i="16" s="1"/>
  <c r="X240" i="16" s="1"/>
  <c r="X241" i="16"/>
  <c r="F211" i="1"/>
  <c r="K211" i="1"/>
  <c r="F222" i="16"/>
  <c r="L234" i="1"/>
  <c r="L228" i="1"/>
  <c r="L229" i="1" s="1"/>
  <c r="L230" i="1" s="1"/>
  <c r="L231" i="1" s="1"/>
  <c r="L232" i="1" s="1"/>
  <c r="L233" i="1" s="1"/>
  <c r="FR69" i="10"/>
  <c r="S234" i="16"/>
  <c r="S228" i="16"/>
  <c r="S229" i="16" s="1"/>
  <c r="S230" i="16" s="1"/>
  <c r="S231" i="16" s="1"/>
  <c r="S232" i="16" s="1"/>
  <c r="S233" i="16" s="1"/>
  <c r="I217" i="16"/>
  <c r="J198" i="16"/>
  <c r="J222" i="16"/>
  <c r="F198" i="16"/>
  <c r="AU50" i="15"/>
  <c r="H210" i="1"/>
  <c r="E241" i="16"/>
  <c r="E235" i="16"/>
  <c r="E236" i="16" s="1"/>
  <c r="E237" i="16" s="1"/>
  <c r="E238" i="16" s="1"/>
  <c r="E239" i="16" s="1"/>
  <c r="E240" i="16" s="1"/>
  <c r="Q211" i="16"/>
  <c r="H217" i="16"/>
  <c r="J210" i="16"/>
  <c r="T241" i="16"/>
  <c r="T235" i="16"/>
  <c r="T236" i="16" s="1"/>
  <c r="T237" i="16" s="1"/>
  <c r="T238" i="16" s="1"/>
  <c r="T239" i="16" s="1"/>
  <c r="T240" i="16" s="1"/>
  <c r="Q205" i="16"/>
  <c r="C234" i="16"/>
  <c r="C228" i="16"/>
  <c r="C229" i="16" s="1"/>
  <c r="C230" i="16" s="1"/>
  <c r="C231" i="16" s="1"/>
  <c r="C232" i="16" s="1"/>
  <c r="C233" i="16" s="1"/>
  <c r="G217" i="1"/>
  <c r="AB210" i="1"/>
  <c r="K222" i="16"/>
  <c r="F241" i="1"/>
  <c r="F235" i="1"/>
  <c r="AB222" i="1"/>
  <c r="AB223" i="1" s="1"/>
  <c r="AB224" i="1" s="1"/>
  <c r="AB225" i="1" s="1"/>
  <c r="AB226" i="1" s="1"/>
  <c r="AG203" i="16"/>
  <c r="AH209" i="1"/>
  <c r="AF234" i="1"/>
  <c r="AK204" i="1"/>
  <c r="AK197" i="16"/>
  <c r="AO49" i="15"/>
  <c r="AF198" i="16"/>
  <c r="CH614" i="15"/>
  <c r="AF197" i="16"/>
  <c r="AI223" i="1"/>
  <c r="AF205" i="1"/>
  <c r="AK228" i="1"/>
  <c r="AH227" i="1"/>
  <c r="AH234" i="16"/>
  <c r="AG205" i="1"/>
  <c r="AQ241" i="1"/>
  <c r="AI228" i="16"/>
  <c r="AH205" i="16"/>
  <c r="AQ228" i="16"/>
  <c r="AI234" i="16"/>
  <c r="AG204" i="1"/>
  <c r="AI216" i="16"/>
  <c r="AQ223" i="1"/>
  <c r="AJ204" i="1"/>
  <c r="AJ234" i="1"/>
  <c r="AK215" i="16"/>
  <c r="AI204" i="16"/>
  <c r="AK222" i="1"/>
  <c r="AI212" i="1"/>
  <c r="AG221" i="16"/>
  <c r="AQ235" i="1"/>
  <c r="AQ204" i="16"/>
  <c r="AC234" i="1"/>
  <c r="AI229" i="1"/>
  <c r="GB68" i="10"/>
  <c r="AB234" i="1"/>
  <c r="AF204" i="1"/>
  <c r="AQ222" i="16"/>
  <c r="AQ210" i="16"/>
  <c r="AH222" i="16"/>
  <c r="AH228" i="16"/>
  <c r="AF227" i="16"/>
  <c r="AH198" i="1"/>
  <c r="GD69" i="18"/>
  <c r="AF210" i="1"/>
  <c r="AG222" i="1"/>
  <c r="AG210" i="1"/>
  <c r="AJ221" i="16"/>
  <c r="AF203" i="16"/>
  <c r="AF216" i="1"/>
  <c r="AG209" i="16"/>
  <c r="AH204" i="16"/>
  <c r="AI211" i="1"/>
  <c r="AH210" i="16"/>
  <c r="AF221" i="16"/>
  <c r="GA69" i="24"/>
  <c r="AH203" i="1"/>
  <c r="AG197" i="16"/>
  <c r="AK210" i="1"/>
  <c r="GC69" i="24"/>
  <c r="AK221" i="16"/>
  <c r="AK227" i="16"/>
  <c r="AJ198" i="16"/>
  <c r="AH215" i="1"/>
  <c r="AQ216" i="16"/>
  <c r="AG228" i="1"/>
  <c r="AK234" i="1"/>
  <c r="AJ205" i="1"/>
  <c r="AQ212" i="1"/>
  <c r="AQ234" i="16"/>
  <c r="AJ228" i="1"/>
  <c r="AJ203" i="16"/>
  <c r="AJ209" i="16"/>
  <c r="AB227" i="16"/>
  <c r="AF228" i="1"/>
  <c r="AK216" i="1"/>
  <c r="AQ229" i="1"/>
  <c r="AI210" i="16"/>
  <c r="AJ216" i="1"/>
  <c r="AJ197" i="16"/>
  <c r="AI222" i="16"/>
  <c r="AF222" i="1"/>
  <c r="AG198" i="16"/>
  <c r="AG227" i="16"/>
  <c r="AK203" i="16"/>
  <c r="AC227" i="16"/>
  <c r="AP48" i="17"/>
  <c r="AH221" i="1"/>
  <c r="AJ210" i="1"/>
  <c r="AQ211" i="1"/>
  <c r="GD69" i="24"/>
  <c r="AG216" i="1"/>
  <c r="AK205" i="1"/>
  <c r="AF215" i="16"/>
  <c r="AG234" i="1"/>
  <c r="BY613" i="15"/>
  <c r="AH197" i="1"/>
  <c r="AK198" i="16"/>
  <c r="AF209" i="16"/>
  <c r="AQ217" i="1"/>
  <c r="AJ227" i="16"/>
  <c r="AJ215" i="16"/>
  <c r="AK209" i="16"/>
  <c r="AI217" i="1"/>
  <c r="AP48" i="15"/>
  <c r="GC68" i="10"/>
  <c r="AG215" i="16"/>
  <c r="AI241" i="1"/>
  <c r="BZ613" i="15"/>
  <c r="AI235" i="1"/>
  <c r="AH216" i="16"/>
  <c r="AI205" i="16"/>
  <c r="AQ205" i="16"/>
  <c r="AJ222" i="1"/>
  <c r="AO48" i="17"/>
  <c r="DC611" i="15" l="1"/>
  <c r="DE610" i="15"/>
  <c r="CE613" i="15"/>
  <c r="CP613" i="15" s="1"/>
  <c r="CU613" i="15" s="1"/>
  <c r="CF613" i="15"/>
  <c r="CQ613" i="15" s="1"/>
  <c r="CV613" i="15" s="1"/>
  <c r="BQ615" i="15"/>
  <c r="BG203" i="16"/>
  <c r="BG227" i="16"/>
  <c r="BG197" i="16"/>
  <c r="BG209" i="16"/>
  <c r="BG215" i="16"/>
  <c r="BG198" i="16"/>
  <c r="BG221" i="16"/>
  <c r="AE235" i="16"/>
  <c r="BI228" i="16"/>
  <c r="J54" i="15"/>
  <c r="AH605" i="15" s="1"/>
  <c r="LO72" i="24"/>
  <c r="LS71" i="24"/>
  <c r="GM69" i="24"/>
  <c r="HB69" i="24" s="1"/>
  <c r="GP69" i="24"/>
  <c r="HE69" i="24" s="1"/>
  <c r="FS71" i="24"/>
  <c r="DC67" i="24"/>
  <c r="CY67" i="24"/>
  <c r="CZ67" i="24"/>
  <c r="DA67" i="24"/>
  <c r="CX67" i="24"/>
  <c r="DB67" i="24"/>
  <c r="CT68" i="24"/>
  <c r="EL80" i="24"/>
  <c r="AC228" i="16"/>
  <c r="AC229" i="16" s="1"/>
  <c r="AC230" i="16" s="1"/>
  <c r="AC231" i="16" s="1"/>
  <c r="AC232" i="16" s="1"/>
  <c r="AC233" i="16" s="1"/>
  <c r="GO68" i="10"/>
  <c r="HD68" i="10" s="1"/>
  <c r="AB235" i="1"/>
  <c r="AB236" i="1" s="1"/>
  <c r="AB237" i="1" s="1"/>
  <c r="AB238" i="1" s="1"/>
  <c r="AB239" i="1" s="1"/>
  <c r="AB240" i="1" s="1"/>
  <c r="GN68" i="10"/>
  <c r="HC68" i="10" s="1"/>
  <c r="AB228" i="16"/>
  <c r="AB229" i="16" s="1"/>
  <c r="AB230" i="16" s="1"/>
  <c r="AB231" i="16" s="1"/>
  <c r="AB232" i="16" s="1"/>
  <c r="AB233" i="16" s="1"/>
  <c r="AC235" i="1"/>
  <c r="AC236" i="1" s="1"/>
  <c r="AC237" i="1" s="1"/>
  <c r="AC238" i="1" s="1"/>
  <c r="AC239" i="1" s="1"/>
  <c r="AC240" i="1" s="1"/>
  <c r="GP69" i="18"/>
  <c r="HE69" i="18" s="1"/>
  <c r="F236" i="1"/>
  <c r="AB211" i="1"/>
  <c r="T248" i="16"/>
  <c r="T242" i="16"/>
  <c r="T243" i="16" s="1"/>
  <c r="T244" i="16" s="1"/>
  <c r="T245" i="16" s="1"/>
  <c r="T246" i="16" s="1"/>
  <c r="T247" i="16" s="1"/>
  <c r="E248" i="16"/>
  <c r="E242" i="16"/>
  <c r="E243" i="16" s="1"/>
  <c r="E244" i="16" s="1"/>
  <c r="E245" i="16" s="1"/>
  <c r="E246" i="16" s="1"/>
  <c r="E247" i="16" s="1"/>
  <c r="I218" i="16"/>
  <c r="L235" i="1"/>
  <c r="L236" i="1" s="1"/>
  <c r="L237" i="1" s="1"/>
  <c r="L238" i="1" s="1"/>
  <c r="L239" i="1" s="1"/>
  <c r="L240" i="1" s="1"/>
  <c r="L241" i="1"/>
  <c r="K212" i="1"/>
  <c r="AG50" i="17"/>
  <c r="L51" i="15"/>
  <c r="O248" i="1"/>
  <c r="O242" i="1"/>
  <c r="O243" i="1" s="1"/>
  <c r="O244" i="1" s="1"/>
  <c r="O245" i="1" s="1"/>
  <c r="O246" i="1" s="1"/>
  <c r="O247" i="1" s="1"/>
  <c r="H205" i="1"/>
  <c r="J236" i="1"/>
  <c r="G224" i="1"/>
  <c r="K205" i="16"/>
  <c r="Q230" i="16"/>
  <c r="H212" i="16"/>
  <c r="X235" i="1"/>
  <c r="X236" i="1" s="1"/>
  <c r="X237" i="1" s="1"/>
  <c r="X238" i="1" s="1"/>
  <c r="X239" i="1" s="1"/>
  <c r="X240" i="1" s="1"/>
  <c r="X241" i="1"/>
  <c r="H248" i="16"/>
  <c r="H242" i="16"/>
  <c r="U255" i="1"/>
  <c r="U256" i="1" s="1"/>
  <c r="U257" i="1" s="1"/>
  <c r="U258" i="1" s="1"/>
  <c r="U259" i="1" s="1"/>
  <c r="U260" i="1" s="1"/>
  <c r="U261" i="1" s="1"/>
  <c r="U249" i="1"/>
  <c r="U250" i="1" s="1"/>
  <c r="U251" i="1" s="1"/>
  <c r="U252" i="1" s="1"/>
  <c r="U253" i="1" s="1"/>
  <c r="U254" i="1" s="1"/>
  <c r="W242" i="1"/>
  <c r="W243" i="1" s="1"/>
  <c r="W244" i="1" s="1"/>
  <c r="W245" i="1" s="1"/>
  <c r="W246" i="1" s="1"/>
  <c r="W247" i="1" s="1"/>
  <c r="W248" i="1"/>
  <c r="I219" i="1"/>
  <c r="I236" i="16"/>
  <c r="I224" i="16"/>
  <c r="K236" i="1"/>
  <c r="G235" i="16"/>
  <c r="G241" i="16"/>
  <c r="J224" i="1"/>
  <c r="AG50" i="15"/>
  <c r="Q237" i="1"/>
  <c r="V241" i="16"/>
  <c r="V235" i="16"/>
  <c r="V236" i="16" s="1"/>
  <c r="V237" i="16" s="1"/>
  <c r="V238" i="16" s="1"/>
  <c r="V239" i="16" s="1"/>
  <c r="V240" i="16" s="1"/>
  <c r="F248" i="1"/>
  <c r="F242" i="1"/>
  <c r="C235" i="16"/>
  <c r="C236" i="16" s="1"/>
  <c r="C237" i="16" s="1"/>
  <c r="C238" i="16" s="1"/>
  <c r="C239" i="16" s="1"/>
  <c r="C240" i="16" s="1"/>
  <c r="C241" i="16"/>
  <c r="H218" i="16"/>
  <c r="J223" i="16"/>
  <c r="G218" i="1"/>
  <c r="F212" i="1"/>
  <c r="Q248" i="16"/>
  <c r="Q242" i="16"/>
  <c r="G205" i="16"/>
  <c r="Q231" i="1"/>
  <c r="AU59" i="17"/>
  <c r="T235" i="1"/>
  <c r="T236" i="1" s="1"/>
  <c r="T237" i="1" s="1"/>
  <c r="T238" i="1" s="1"/>
  <c r="T239" i="1" s="1"/>
  <c r="T240" i="1" s="1"/>
  <c r="T241" i="1"/>
  <c r="H224" i="16"/>
  <c r="C242" i="1"/>
  <c r="C243" i="1" s="1"/>
  <c r="C244" i="1" s="1"/>
  <c r="C245" i="1" s="1"/>
  <c r="C246" i="1" s="1"/>
  <c r="C247" i="1" s="1"/>
  <c r="C248" i="1"/>
  <c r="D248" i="16"/>
  <c r="D242" i="16"/>
  <c r="D243" i="16" s="1"/>
  <c r="D244" i="16" s="1"/>
  <c r="D245" i="16" s="1"/>
  <c r="D246" i="16" s="1"/>
  <c r="D247" i="16" s="1"/>
  <c r="G212" i="1"/>
  <c r="V248" i="1"/>
  <c r="V242" i="1"/>
  <c r="V243" i="1" s="1"/>
  <c r="V244" i="1" s="1"/>
  <c r="V245" i="1" s="1"/>
  <c r="V246" i="1" s="1"/>
  <c r="V247" i="1" s="1"/>
  <c r="F230" i="1"/>
  <c r="W235" i="16"/>
  <c r="W236" i="16" s="1"/>
  <c r="W237" i="16" s="1"/>
  <c r="W238" i="16" s="1"/>
  <c r="W239" i="16" s="1"/>
  <c r="W240" i="16" s="1"/>
  <c r="W241" i="16"/>
  <c r="L248" i="16"/>
  <c r="L242" i="16"/>
  <c r="L243" i="16" s="1"/>
  <c r="L244" i="16" s="1"/>
  <c r="L245" i="16" s="1"/>
  <c r="L246" i="16" s="1"/>
  <c r="L247" i="16" s="1"/>
  <c r="G230" i="1"/>
  <c r="H236" i="16"/>
  <c r="DC66" i="10"/>
  <c r="CY66" i="10"/>
  <c r="DA66" i="10"/>
  <c r="CZ66" i="10"/>
  <c r="CX66" i="10"/>
  <c r="DB66" i="10"/>
  <c r="CT67" i="10"/>
  <c r="CU67" i="10" s="1"/>
  <c r="Q255" i="1"/>
  <c r="Q249" i="1"/>
  <c r="I248" i="16"/>
  <c r="I242" i="16"/>
  <c r="G217" i="16"/>
  <c r="K224" i="1"/>
  <c r="K229" i="16"/>
  <c r="K242" i="1"/>
  <c r="K248" i="1"/>
  <c r="F218" i="1"/>
  <c r="J241" i="16"/>
  <c r="J235" i="16"/>
  <c r="G236" i="1"/>
  <c r="BB194" i="17"/>
  <c r="Q224" i="16"/>
  <c r="F205" i="16"/>
  <c r="H230" i="16"/>
  <c r="BH51" i="15"/>
  <c r="F241" i="16"/>
  <c r="F235" i="16"/>
  <c r="I230" i="16"/>
  <c r="I231" i="1"/>
  <c r="EL80" i="18"/>
  <c r="FS71" i="18"/>
  <c r="J211" i="16"/>
  <c r="Q212" i="16"/>
  <c r="H211" i="1"/>
  <c r="S235" i="16"/>
  <c r="S236" i="16" s="1"/>
  <c r="S237" i="16" s="1"/>
  <c r="S238" i="16" s="1"/>
  <c r="S239" i="16" s="1"/>
  <c r="S240" i="16" s="1"/>
  <c r="S241" i="16"/>
  <c r="FR70" i="10"/>
  <c r="F223" i="16"/>
  <c r="J217" i="16"/>
  <c r="I255" i="1"/>
  <c r="I249" i="1"/>
  <c r="Q236" i="16"/>
  <c r="A248" i="16"/>
  <c r="A242" i="16"/>
  <c r="A243" i="16" s="1"/>
  <c r="A244" i="16" s="1"/>
  <c r="A245" i="16" s="1"/>
  <c r="A246" i="16" s="1"/>
  <c r="A247" i="16" s="1"/>
  <c r="DB67" i="18"/>
  <c r="CX67" i="18"/>
  <c r="DA67" i="18"/>
  <c r="DC67" i="18"/>
  <c r="CZ67" i="18"/>
  <c r="CY67" i="18"/>
  <c r="CT68" i="18"/>
  <c r="K218" i="1"/>
  <c r="M255" i="1"/>
  <c r="M256" i="1" s="1"/>
  <c r="M257" i="1" s="1"/>
  <c r="M258" i="1" s="1"/>
  <c r="M259" i="1" s="1"/>
  <c r="M260" i="1" s="1"/>
  <c r="M261" i="1" s="1"/>
  <c r="M249" i="1"/>
  <c r="M250" i="1" s="1"/>
  <c r="M251" i="1" s="1"/>
  <c r="M252" i="1" s="1"/>
  <c r="M253" i="1" s="1"/>
  <c r="M254" i="1" s="1"/>
  <c r="R248" i="1"/>
  <c r="R242" i="1"/>
  <c r="R243" i="1" s="1"/>
  <c r="R244" i="1" s="1"/>
  <c r="R245" i="1" s="1"/>
  <c r="R246" i="1" s="1"/>
  <c r="R247" i="1" s="1"/>
  <c r="B248" i="1"/>
  <c r="B242" i="1"/>
  <c r="B243" i="1" s="1"/>
  <c r="B244" i="1" s="1"/>
  <c r="B245" i="1" s="1"/>
  <c r="B246" i="1" s="1"/>
  <c r="B247" i="1" s="1"/>
  <c r="I237" i="1"/>
  <c r="J212" i="1"/>
  <c r="K230" i="1"/>
  <c r="G223" i="16"/>
  <c r="H223" i="1"/>
  <c r="Q219" i="1"/>
  <c r="A255" i="1"/>
  <c r="A256" i="1" s="1"/>
  <c r="A257" i="1" s="1"/>
  <c r="A258" i="1" s="1"/>
  <c r="A259" i="1" s="1"/>
  <c r="A260" i="1" s="1"/>
  <c r="A261" i="1" s="1"/>
  <c r="A249" i="1"/>
  <c r="A250" i="1" s="1"/>
  <c r="A251" i="1" s="1"/>
  <c r="A252" i="1" s="1"/>
  <c r="A253" i="1" s="1"/>
  <c r="A254" i="1" s="1"/>
  <c r="Q243" i="1"/>
  <c r="K217" i="16"/>
  <c r="J205" i="16"/>
  <c r="K235" i="16"/>
  <c r="K241" i="16"/>
  <c r="J230" i="1"/>
  <c r="H229" i="1"/>
  <c r="J229" i="16"/>
  <c r="E255" i="1"/>
  <c r="E256" i="1" s="1"/>
  <c r="E257" i="1" s="1"/>
  <c r="E258" i="1" s="1"/>
  <c r="E259" i="1" s="1"/>
  <c r="E260" i="1" s="1"/>
  <c r="E261" i="1" s="1"/>
  <c r="E249" i="1"/>
  <c r="E250" i="1" s="1"/>
  <c r="E251" i="1" s="1"/>
  <c r="E252" i="1" s="1"/>
  <c r="E253" i="1" s="1"/>
  <c r="E254" i="1" s="1"/>
  <c r="BH50" i="17"/>
  <c r="F229" i="16"/>
  <c r="J218" i="1"/>
  <c r="EL83" i="10"/>
  <c r="K223" i="16"/>
  <c r="AU51" i="15"/>
  <c r="X248" i="16"/>
  <c r="X242" i="16"/>
  <c r="X243" i="16" s="1"/>
  <c r="X244" i="16" s="1"/>
  <c r="X245" i="16" s="1"/>
  <c r="X246" i="16" s="1"/>
  <c r="X247" i="16" s="1"/>
  <c r="M242" i="16"/>
  <c r="M243" i="16" s="1"/>
  <c r="M244" i="16" s="1"/>
  <c r="M245" i="16" s="1"/>
  <c r="M246" i="16" s="1"/>
  <c r="M247" i="16" s="1"/>
  <c r="M248" i="16"/>
  <c r="I243" i="1"/>
  <c r="BB194" i="15"/>
  <c r="O235" i="16"/>
  <c r="O236" i="16" s="1"/>
  <c r="O237" i="16" s="1"/>
  <c r="O238" i="16" s="1"/>
  <c r="O239" i="16" s="1"/>
  <c r="O240" i="16" s="1"/>
  <c r="O241" i="16"/>
  <c r="P248" i="16"/>
  <c r="P242" i="16"/>
  <c r="P243" i="16" s="1"/>
  <c r="P244" i="16" s="1"/>
  <c r="P245" i="16" s="1"/>
  <c r="P246" i="16" s="1"/>
  <c r="P247" i="16" s="1"/>
  <c r="I212" i="16"/>
  <c r="Q218" i="16"/>
  <c r="Q225" i="1"/>
  <c r="H217" i="1"/>
  <c r="J248" i="1"/>
  <c r="J242" i="1"/>
  <c r="N241" i="16"/>
  <c r="N235" i="16"/>
  <c r="N236" i="16" s="1"/>
  <c r="N237" i="16" s="1"/>
  <c r="N238" i="16" s="1"/>
  <c r="N239" i="16" s="1"/>
  <c r="N240" i="16" s="1"/>
  <c r="S242" i="1"/>
  <c r="S243" i="1" s="1"/>
  <c r="S244" i="1" s="1"/>
  <c r="S245" i="1" s="1"/>
  <c r="S246" i="1" s="1"/>
  <c r="S247" i="1" s="1"/>
  <c r="S248" i="1"/>
  <c r="B241" i="16"/>
  <c r="B235" i="16"/>
  <c r="B236" i="16" s="1"/>
  <c r="B237" i="16" s="1"/>
  <c r="B238" i="16" s="1"/>
  <c r="B239" i="16" s="1"/>
  <c r="B240" i="16" s="1"/>
  <c r="G211" i="16"/>
  <c r="K211" i="16"/>
  <c r="F217" i="16"/>
  <c r="I225" i="1"/>
  <c r="R241" i="16"/>
  <c r="R235" i="16"/>
  <c r="R236" i="16" s="1"/>
  <c r="R237" i="16" s="1"/>
  <c r="R238" i="16" s="1"/>
  <c r="R239" i="16" s="1"/>
  <c r="R240" i="16" s="1"/>
  <c r="G229" i="16"/>
  <c r="H235" i="1"/>
  <c r="H241" i="1"/>
  <c r="G248" i="1"/>
  <c r="G242" i="1"/>
  <c r="U248" i="16"/>
  <c r="U242" i="16"/>
  <c r="U243" i="16" s="1"/>
  <c r="U244" i="16" s="1"/>
  <c r="U245" i="16" s="1"/>
  <c r="U246" i="16" s="1"/>
  <c r="U247" i="16" s="1"/>
  <c r="F224" i="1"/>
  <c r="N248" i="1"/>
  <c r="N242" i="1"/>
  <c r="N243" i="1" s="1"/>
  <c r="N244" i="1" s="1"/>
  <c r="N245" i="1" s="1"/>
  <c r="N246" i="1" s="1"/>
  <c r="N247" i="1" s="1"/>
  <c r="D235" i="1"/>
  <c r="D236" i="1" s="1"/>
  <c r="D237" i="1" s="1"/>
  <c r="D238" i="1" s="1"/>
  <c r="D239" i="1" s="1"/>
  <c r="D240" i="1" s="1"/>
  <c r="D241" i="1"/>
  <c r="L51" i="17"/>
  <c r="P235" i="1"/>
  <c r="P236" i="1" s="1"/>
  <c r="P237" i="1" s="1"/>
  <c r="P238" i="1" s="1"/>
  <c r="P239" i="1" s="1"/>
  <c r="P240" i="1" s="1"/>
  <c r="P241" i="1"/>
  <c r="F211" i="16"/>
  <c r="AJ217" i="1"/>
  <c r="AH211" i="16"/>
  <c r="AG228" i="16"/>
  <c r="AI211" i="16"/>
  <c r="AC234" i="16"/>
  <c r="AH204" i="1"/>
  <c r="AI54" i="15"/>
  <c r="AK212" i="1"/>
  <c r="AG211" i="1"/>
  <c r="AK204" i="16"/>
  <c r="AQ236" i="1"/>
  <c r="AI242" i="1"/>
  <c r="AJ223" i="1"/>
  <c r="AQ217" i="16"/>
  <c r="AF235" i="1"/>
  <c r="CH615" i="15"/>
  <c r="AI248" i="1"/>
  <c r="AF222" i="16"/>
  <c r="AC241" i="1"/>
  <c r="AH205" i="1"/>
  <c r="GC70" i="24"/>
  <c r="AQ218" i="1"/>
  <c r="AJ205" i="16"/>
  <c r="AK223" i="1"/>
  <c r="AH234" i="1"/>
  <c r="GD70" i="18"/>
  <c r="AI229" i="16"/>
  <c r="AO49" i="17"/>
  <c r="AB234" i="16"/>
  <c r="AQ223" i="16"/>
  <c r="AI217" i="16"/>
  <c r="AQ242" i="1"/>
  <c r="AJ204" i="16"/>
  <c r="AF216" i="16"/>
  <c r="BY614" i="15"/>
  <c r="AH241" i="16"/>
  <c r="AG223" i="1"/>
  <c r="AF223" i="1"/>
  <c r="AF211" i="1"/>
  <c r="AF228" i="16"/>
  <c r="AK229" i="1"/>
  <c r="AG216" i="16"/>
  <c r="AJ228" i="16"/>
  <c r="AF205" i="16"/>
  <c r="AF241" i="1"/>
  <c r="AQ212" i="16"/>
  <c r="AB241" i="1"/>
  <c r="AF204" i="16"/>
  <c r="AG210" i="16"/>
  <c r="AQ248" i="1"/>
  <c r="AG217" i="1"/>
  <c r="AH216" i="1"/>
  <c r="AJ210" i="16"/>
  <c r="AG212" i="1"/>
  <c r="AF217" i="1"/>
  <c r="AK241" i="1"/>
  <c r="GD70" i="24"/>
  <c r="AI241" i="16"/>
  <c r="AF210" i="16"/>
  <c r="AJ235" i="1"/>
  <c r="AK228" i="16"/>
  <c r="GC69" i="10"/>
  <c r="AF229" i="1"/>
  <c r="AI219" i="1"/>
  <c r="AJ212" i="1"/>
  <c r="AK217" i="1"/>
  <c r="AJ211" i="1"/>
  <c r="AI230" i="1"/>
  <c r="AG235" i="1"/>
  <c r="AI235" i="16"/>
  <c r="AK210" i="16"/>
  <c r="AG222" i="16"/>
  <c r="AH228" i="1"/>
  <c r="AJ241" i="1"/>
  <c r="AI224" i="1"/>
  <c r="AH210" i="1"/>
  <c r="AQ230" i="1"/>
  <c r="AG204" i="16"/>
  <c r="AJ222" i="16"/>
  <c r="AH229" i="16"/>
  <c r="AQ211" i="16"/>
  <c r="AF212" i="1"/>
  <c r="AI212" i="16"/>
  <c r="AF234" i="16"/>
  <c r="AG234" i="16"/>
  <c r="AK235" i="1"/>
  <c r="AQ219" i="1"/>
  <c r="AJ234" i="16"/>
  <c r="AK211" i="1"/>
  <c r="AQ224" i="1"/>
  <c r="AQ229" i="16"/>
  <c r="AI236" i="1"/>
  <c r="AK216" i="16"/>
  <c r="AI218" i="1"/>
  <c r="AH223" i="16"/>
  <c r="AK222" i="16"/>
  <c r="AJ216" i="16"/>
  <c r="AH212" i="16"/>
  <c r="AH235" i="16"/>
  <c r="AG205" i="16"/>
  <c r="AI223" i="16"/>
  <c r="AG241" i="1"/>
  <c r="AP49" i="17"/>
  <c r="GB69" i="10"/>
  <c r="AH222" i="1"/>
  <c r="AK205" i="16"/>
  <c r="AH217" i="16"/>
  <c r="AQ235" i="16"/>
  <c r="AG229" i="1"/>
  <c r="AK234" i="16"/>
  <c r="AQ241" i="16"/>
  <c r="AJ229" i="1"/>
  <c r="AP49" i="15"/>
  <c r="AO50" i="15"/>
  <c r="BZ614" i="15"/>
  <c r="GA70" i="24"/>
  <c r="DC612" i="15" l="1"/>
  <c r="DE611" i="15"/>
  <c r="CF614" i="15"/>
  <c r="CQ614" i="15" s="1"/>
  <c r="CV614" i="15" s="1"/>
  <c r="CE614" i="15"/>
  <c r="CP614" i="15" s="1"/>
  <c r="CU614" i="15" s="1"/>
  <c r="BQ616" i="15"/>
  <c r="BG222" i="16"/>
  <c r="BG234" i="16"/>
  <c r="BG228" i="16"/>
  <c r="BG205" i="16"/>
  <c r="BG204" i="16"/>
  <c r="BG216" i="16"/>
  <c r="BG210" i="16"/>
  <c r="AE242" i="16"/>
  <c r="BI235" i="16"/>
  <c r="J55" i="15"/>
  <c r="AH606" i="15" s="1"/>
  <c r="LO73" i="24"/>
  <c r="LS72" i="24"/>
  <c r="GP70" i="24"/>
  <c r="HE70" i="24" s="1"/>
  <c r="GM70" i="24"/>
  <c r="HB70" i="24" s="1"/>
  <c r="EL81" i="24"/>
  <c r="FS72" i="24"/>
  <c r="DA68" i="24"/>
  <c r="DB68" i="24"/>
  <c r="CX68" i="24"/>
  <c r="DC68" i="24"/>
  <c r="CY68" i="24"/>
  <c r="CZ68" i="24"/>
  <c r="CT69" i="24"/>
  <c r="AB242" i="1"/>
  <c r="AB243" i="1" s="1"/>
  <c r="AB244" i="1" s="1"/>
  <c r="AB245" i="1" s="1"/>
  <c r="AB246" i="1" s="1"/>
  <c r="AB247" i="1" s="1"/>
  <c r="GO69" i="10"/>
  <c r="HD69" i="10" s="1"/>
  <c r="GN69" i="10"/>
  <c r="HC69" i="10" s="1"/>
  <c r="AC242" i="1"/>
  <c r="AC243" i="1" s="1"/>
  <c r="AC244" i="1" s="1"/>
  <c r="AC245" i="1" s="1"/>
  <c r="AC246" i="1" s="1"/>
  <c r="AC247" i="1" s="1"/>
  <c r="AC235" i="16"/>
  <c r="AC236" i="16" s="1"/>
  <c r="AC237" i="16" s="1"/>
  <c r="AC238" i="16" s="1"/>
  <c r="AC239" i="16" s="1"/>
  <c r="AC240" i="16" s="1"/>
  <c r="AB235" i="16"/>
  <c r="AB236" i="16" s="1"/>
  <c r="AB237" i="16" s="1"/>
  <c r="AB238" i="16" s="1"/>
  <c r="AB239" i="16" s="1"/>
  <c r="AB240" i="16" s="1"/>
  <c r="GP70" i="18"/>
  <c r="HE70" i="18" s="1"/>
  <c r="U255" i="16"/>
  <c r="U256" i="16" s="1"/>
  <c r="U257" i="16" s="1"/>
  <c r="U258" i="16" s="1"/>
  <c r="U259" i="16" s="1"/>
  <c r="U260" i="16" s="1"/>
  <c r="U261" i="16" s="1"/>
  <c r="U249" i="16"/>
  <c r="U250" i="16" s="1"/>
  <c r="U251" i="16" s="1"/>
  <c r="U252" i="16" s="1"/>
  <c r="U253" i="16" s="1"/>
  <c r="U254" i="16" s="1"/>
  <c r="G230" i="16"/>
  <c r="I226" i="1"/>
  <c r="K212" i="16"/>
  <c r="J249" i="1"/>
  <c r="J255" i="1"/>
  <c r="Q226" i="1"/>
  <c r="X255" i="16"/>
  <c r="X256" i="16" s="1"/>
  <c r="X257" i="16" s="1"/>
  <c r="X258" i="16" s="1"/>
  <c r="X259" i="16" s="1"/>
  <c r="X260" i="16" s="1"/>
  <c r="X261" i="16" s="1"/>
  <c r="X249" i="16"/>
  <c r="X250" i="16" s="1"/>
  <c r="X251" i="16" s="1"/>
  <c r="X252" i="16" s="1"/>
  <c r="X253" i="16" s="1"/>
  <c r="X254" i="16" s="1"/>
  <c r="K224" i="16"/>
  <c r="J219" i="1"/>
  <c r="BH51" i="17"/>
  <c r="J230" i="16"/>
  <c r="J231" i="1"/>
  <c r="R249" i="1"/>
  <c r="R250" i="1" s="1"/>
  <c r="R251" i="1" s="1"/>
  <c r="R252" i="1" s="1"/>
  <c r="R253" i="1" s="1"/>
  <c r="R254" i="1" s="1"/>
  <c r="R255" i="1"/>
  <c r="R256" i="1" s="1"/>
  <c r="R257" i="1" s="1"/>
  <c r="R258" i="1" s="1"/>
  <c r="R259" i="1" s="1"/>
  <c r="R260" i="1" s="1"/>
  <c r="R261" i="1" s="1"/>
  <c r="K219" i="1"/>
  <c r="J218" i="16"/>
  <c r="I232" i="1"/>
  <c r="F236" i="16"/>
  <c r="BB195" i="17"/>
  <c r="J236" i="16"/>
  <c r="K230" i="16"/>
  <c r="G218" i="16"/>
  <c r="Q250" i="1"/>
  <c r="W248" i="16"/>
  <c r="W242" i="16"/>
  <c r="W243" i="16" s="1"/>
  <c r="W244" i="16" s="1"/>
  <c r="W245" i="16" s="1"/>
  <c r="W246" i="16" s="1"/>
  <c r="W247" i="16" s="1"/>
  <c r="Q232" i="1"/>
  <c r="Q243" i="16"/>
  <c r="G219" i="1"/>
  <c r="V248" i="16"/>
  <c r="V242" i="16"/>
  <c r="V243" i="16" s="1"/>
  <c r="V244" i="16" s="1"/>
  <c r="V245" i="16" s="1"/>
  <c r="V246" i="16" s="1"/>
  <c r="V247" i="16" s="1"/>
  <c r="K237" i="1"/>
  <c r="I237" i="16"/>
  <c r="H243" i="16"/>
  <c r="I219" i="16"/>
  <c r="T255" i="16"/>
  <c r="T256" i="16" s="1"/>
  <c r="T257" i="16" s="1"/>
  <c r="T258" i="16" s="1"/>
  <c r="T259" i="16" s="1"/>
  <c r="T260" i="16" s="1"/>
  <c r="T261" i="16" s="1"/>
  <c r="T249" i="16"/>
  <c r="T250" i="16" s="1"/>
  <c r="T251" i="16" s="1"/>
  <c r="T252" i="16" s="1"/>
  <c r="T253" i="16" s="1"/>
  <c r="T254" i="16" s="1"/>
  <c r="F225" i="1"/>
  <c r="H248" i="1"/>
  <c r="H242" i="1"/>
  <c r="B248" i="16"/>
  <c r="B242" i="16"/>
  <c r="B243" i="16" s="1"/>
  <c r="B244" i="16" s="1"/>
  <c r="B245" i="16" s="1"/>
  <c r="B246" i="16" s="1"/>
  <c r="B247" i="16" s="1"/>
  <c r="N248" i="16"/>
  <c r="N242" i="16"/>
  <c r="N243" i="16" s="1"/>
  <c r="N244" i="16" s="1"/>
  <c r="N245" i="16" s="1"/>
  <c r="N246" i="16" s="1"/>
  <c r="N247" i="16" s="1"/>
  <c r="M255" i="16"/>
  <c r="M256" i="16" s="1"/>
  <c r="M257" i="16" s="1"/>
  <c r="M258" i="16" s="1"/>
  <c r="M259" i="16" s="1"/>
  <c r="M260" i="16" s="1"/>
  <c r="M261" i="16" s="1"/>
  <c r="M249" i="16"/>
  <c r="M250" i="16" s="1"/>
  <c r="M251" i="16" s="1"/>
  <c r="M252" i="16" s="1"/>
  <c r="M253" i="16" s="1"/>
  <c r="M254" i="16" s="1"/>
  <c r="AU52" i="15"/>
  <c r="Q244" i="1"/>
  <c r="G224" i="16"/>
  <c r="CZ68" i="18"/>
  <c r="DC68" i="18"/>
  <c r="CY68" i="18"/>
  <c r="DB68" i="18"/>
  <c r="DA68" i="18"/>
  <c r="CX68" i="18"/>
  <c r="CT69" i="18"/>
  <c r="A255" i="16"/>
  <c r="A256" i="16" s="1"/>
  <c r="A257" i="16" s="1"/>
  <c r="A258" i="16" s="1"/>
  <c r="A259" i="16" s="1"/>
  <c r="A260" i="16" s="1"/>
  <c r="A261" i="16" s="1"/>
  <c r="A249" i="16"/>
  <c r="A250" i="16" s="1"/>
  <c r="A251" i="16" s="1"/>
  <c r="A252" i="16" s="1"/>
  <c r="A253" i="16" s="1"/>
  <c r="A254" i="16" s="1"/>
  <c r="I250" i="1"/>
  <c r="EL81" i="18"/>
  <c r="F248" i="16"/>
  <c r="F242" i="16"/>
  <c r="H231" i="16"/>
  <c r="J248" i="16"/>
  <c r="J242" i="16"/>
  <c r="K255" i="1"/>
  <c r="K249" i="1"/>
  <c r="G231" i="1"/>
  <c r="V249" i="1"/>
  <c r="V250" i="1" s="1"/>
  <c r="V251" i="1" s="1"/>
  <c r="V252" i="1" s="1"/>
  <c r="V253" i="1" s="1"/>
  <c r="V254" i="1" s="1"/>
  <c r="V255" i="1"/>
  <c r="V256" i="1" s="1"/>
  <c r="V257" i="1" s="1"/>
  <c r="V258" i="1" s="1"/>
  <c r="V259" i="1" s="1"/>
  <c r="V260" i="1" s="1"/>
  <c r="V261" i="1" s="1"/>
  <c r="D255" i="16"/>
  <c r="D256" i="16" s="1"/>
  <c r="D257" i="16" s="1"/>
  <c r="D258" i="16" s="1"/>
  <c r="D259" i="16" s="1"/>
  <c r="D260" i="16" s="1"/>
  <c r="D261" i="16" s="1"/>
  <c r="D249" i="16"/>
  <c r="D250" i="16" s="1"/>
  <c r="D251" i="16" s="1"/>
  <c r="D252" i="16" s="1"/>
  <c r="D253" i="16" s="1"/>
  <c r="D254" i="16" s="1"/>
  <c r="Q255" i="16"/>
  <c r="Q249" i="16"/>
  <c r="H219" i="16"/>
  <c r="AG51" i="15"/>
  <c r="G248" i="16"/>
  <c r="G242" i="16"/>
  <c r="H255" i="16"/>
  <c r="H249" i="16"/>
  <c r="J237" i="1"/>
  <c r="O255" i="1"/>
  <c r="O256" i="1" s="1"/>
  <c r="O257" i="1" s="1"/>
  <c r="O258" i="1" s="1"/>
  <c r="O259" i="1" s="1"/>
  <c r="O260" i="1" s="1"/>
  <c r="O261" i="1" s="1"/>
  <c r="O249" i="1"/>
  <c r="O250" i="1" s="1"/>
  <c r="O251" i="1" s="1"/>
  <c r="O252" i="1" s="1"/>
  <c r="O253" i="1" s="1"/>
  <c r="O254" i="1" s="1"/>
  <c r="L248" i="1"/>
  <c r="L242" i="1"/>
  <c r="L243" i="1" s="1"/>
  <c r="L244" i="1" s="1"/>
  <c r="L245" i="1" s="1"/>
  <c r="L246" i="1" s="1"/>
  <c r="L247" i="1" s="1"/>
  <c r="AB212" i="1"/>
  <c r="F212" i="16"/>
  <c r="L52" i="17"/>
  <c r="N249" i="1"/>
  <c r="N250" i="1" s="1"/>
  <c r="N251" i="1" s="1"/>
  <c r="N252" i="1" s="1"/>
  <c r="N253" i="1" s="1"/>
  <c r="N254" i="1" s="1"/>
  <c r="N255" i="1"/>
  <c r="N256" i="1" s="1"/>
  <c r="N257" i="1" s="1"/>
  <c r="N258" i="1" s="1"/>
  <c r="N259" i="1" s="1"/>
  <c r="N260" i="1" s="1"/>
  <c r="N261" i="1" s="1"/>
  <c r="P248" i="1"/>
  <c r="P242" i="1"/>
  <c r="P243" i="1" s="1"/>
  <c r="P244" i="1" s="1"/>
  <c r="P245" i="1" s="1"/>
  <c r="P246" i="1" s="1"/>
  <c r="P247" i="1" s="1"/>
  <c r="D248" i="1"/>
  <c r="D242" i="1"/>
  <c r="D243" i="1" s="1"/>
  <c r="D244" i="1" s="1"/>
  <c r="D245" i="1" s="1"/>
  <c r="D246" i="1" s="1"/>
  <c r="D247" i="1" s="1"/>
  <c r="G243" i="1"/>
  <c r="H236" i="1"/>
  <c r="R242" i="16"/>
  <c r="R243" i="16" s="1"/>
  <c r="R244" i="16" s="1"/>
  <c r="R245" i="16" s="1"/>
  <c r="R246" i="16" s="1"/>
  <c r="R247" i="16" s="1"/>
  <c r="R248" i="16"/>
  <c r="F218" i="16"/>
  <c r="G212" i="16"/>
  <c r="S255" i="1"/>
  <c r="S256" i="1" s="1"/>
  <c r="S257" i="1" s="1"/>
  <c r="S258" i="1" s="1"/>
  <c r="S259" i="1" s="1"/>
  <c r="S260" i="1" s="1"/>
  <c r="S261" i="1" s="1"/>
  <c r="S249" i="1"/>
  <c r="S250" i="1" s="1"/>
  <c r="S251" i="1" s="1"/>
  <c r="S252" i="1" s="1"/>
  <c r="S253" i="1" s="1"/>
  <c r="S254" i="1" s="1"/>
  <c r="H218" i="1"/>
  <c r="Q219" i="16"/>
  <c r="P249" i="16"/>
  <c r="P250" i="16" s="1"/>
  <c r="P251" i="16" s="1"/>
  <c r="P252" i="16" s="1"/>
  <c r="P253" i="16" s="1"/>
  <c r="P254" i="16" s="1"/>
  <c r="P255" i="16"/>
  <c r="P256" i="16" s="1"/>
  <c r="P257" i="16" s="1"/>
  <c r="P258" i="16" s="1"/>
  <c r="P259" i="16" s="1"/>
  <c r="P260" i="16" s="1"/>
  <c r="P261" i="16" s="1"/>
  <c r="BB195" i="15"/>
  <c r="EL84" i="10"/>
  <c r="F230" i="16"/>
  <c r="H230" i="1"/>
  <c r="K248" i="16"/>
  <c r="K242" i="16"/>
  <c r="H224" i="1"/>
  <c r="B249" i="1"/>
  <c r="B250" i="1" s="1"/>
  <c r="B251" i="1" s="1"/>
  <c r="B252" i="1" s="1"/>
  <c r="B253" i="1" s="1"/>
  <c r="B254" i="1" s="1"/>
  <c r="B255" i="1"/>
  <c r="I256" i="1"/>
  <c r="F224" i="16"/>
  <c r="FR71" i="10"/>
  <c r="H212" i="1"/>
  <c r="J212" i="16"/>
  <c r="FS72" i="18"/>
  <c r="I231" i="16"/>
  <c r="Q225" i="16"/>
  <c r="G237" i="1"/>
  <c r="K243" i="1"/>
  <c r="K225" i="1"/>
  <c r="I243" i="16"/>
  <c r="Q256" i="1"/>
  <c r="H225" i="16"/>
  <c r="AU60" i="17"/>
  <c r="F243" i="1"/>
  <c r="Q238" i="1"/>
  <c r="G236" i="16"/>
  <c r="I225" i="16"/>
  <c r="X248" i="1"/>
  <c r="X242" i="1"/>
  <c r="X243" i="1" s="1"/>
  <c r="X244" i="1" s="1"/>
  <c r="X245" i="1" s="1"/>
  <c r="X246" i="1" s="1"/>
  <c r="X247" i="1" s="1"/>
  <c r="AG51" i="17"/>
  <c r="E255" i="16"/>
  <c r="E256" i="16" s="1"/>
  <c r="E257" i="16" s="1"/>
  <c r="E258" i="16" s="1"/>
  <c r="E259" i="16" s="1"/>
  <c r="E260" i="16" s="1"/>
  <c r="E261" i="16" s="1"/>
  <c r="E249" i="16"/>
  <c r="E250" i="16" s="1"/>
  <c r="E251" i="16" s="1"/>
  <c r="E252" i="16" s="1"/>
  <c r="E253" i="16" s="1"/>
  <c r="E254" i="16" s="1"/>
  <c r="G255" i="1"/>
  <c r="G249" i="1"/>
  <c r="J243" i="1"/>
  <c r="O248" i="16"/>
  <c r="O242" i="16"/>
  <c r="O243" i="16" s="1"/>
  <c r="O244" i="16" s="1"/>
  <c r="O245" i="16" s="1"/>
  <c r="O246" i="16" s="1"/>
  <c r="O247" i="16" s="1"/>
  <c r="I244" i="1"/>
  <c r="K236" i="16"/>
  <c r="K218" i="16"/>
  <c r="K231" i="1"/>
  <c r="I238" i="1"/>
  <c r="Q237" i="16"/>
  <c r="S248" i="16"/>
  <c r="S242" i="16"/>
  <c r="S243" i="16" s="1"/>
  <c r="S244" i="16" s="1"/>
  <c r="S245" i="16" s="1"/>
  <c r="S246" i="16" s="1"/>
  <c r="S247" i="16" s="1"/>
  <c r="BH52" i="15"/>
  <c r="F219" i="1"/>
  <c r="I255" i="16"/>
  <c r="I249" i="16"/>
  <c r="CZ67" i="10"/>
  <c r="DB67" i="10"/>
  <c r="CX67" i="10"/>
  <c r="CY67" i="10"/>
  <c r="DC67" i="10"/>
  <c r="DA67" i="10"/>
  <c r="CT68" i="10"/>
  <c r="CU68" i="10" s="1"/>
  <c r="H237" i="16"/>
  <c r="L249" i="16"/>
  <c r="L250" i="16" s="1"/>
  <c r="L251" i="16" s="1"/>
  <c r="L252" i="16" s="1"/>
  <c r="L253" i="16" s="1"/>
  <c r="L254" i="16" s="1"/>
  <c r="L255" i="16"/>
  <c r="L256" i="16" s="1"/>
  <c r="L257" i="16" s="1"/>
  <c r="L258" i="16" s="1"/>
  <c r="L259" i="16" s="1"/>
  <c r="L260" i="16" s="1"/>
  <c r="L261" i="16" s="1"/>
  <c r="F231" i="1"/>
  <c r="C255" i="1"/>
  <c r="C249" i="1"/>
  <c r="C250" i="1" s="1"/>
  <c r="C251" i="1" s="1"/>
  <c r="C252" i="1" s="1"/>
  <c r="C253" i="1" s="1"/>
  <c r="C254" i="1" s="1"/>
  <c r="T248" i="1"/>
  <c r="T242" i="1"/>
  <c r="T243" i="1" s="1"/>
  <c r="T244" i="1" s="1"/>
  <c r="T245" i="1" s="1"/>
  <c r="T246" i="1" s="1"/>
  <c r="T247" i="1" s="1"/>
  <c r="J224" i="16"/>
  <c r="C248" i="16"/>
  <c r="C242" i="16"/>
  <c r="C243" i="16" s="1"/>
  <c r="C244" i="16" s="1"/>
  <c r="C245" i="16" s="1"/>
  <c r="C246" i="16" s="1"/>
  <c r="C247" i="16" s="1"/>
  <c r="F249" i="1"/>
  <c r="F255" i="1"/>
  <c r="J225" i="1"/>
  <c r="W255" i="1"/>
  <c r="W256" i="1" s="1"/>
  <c r="W257" i="1" s="1"/>
  <c r="W258" i="1" s="1"/>
  <c r="W259" i="1" s="1"/>
  <c r="W260" i="1" s="1"/>
  <c r="W261" i="1" s="1"/>
  <c r="W249" i="1"/>
  <c r="W250" i="1" s="1"/>
  <c r="W251" i="1" s="1"/>
  <c r="W252" i="1" s="1"/>
  <c r="W253" i="1" s="1"/>
  <c r="W254" i="1" s="1"/>
  <c r="Q231" i="16"/>
  <c r="G225" i="1"/>
  <c r="L52" i="15"/>
  <c r="F237" i="1"/>
  <c r="AF212" i="16"/>
  <c r="AI224" i="16"/>
  <c r="AG229" i="16"/>
  <c r="AK248" i="1"/>
  <c r="AJ224" i="1"/>
  <c r="AI242" i="16"/>
  <c r="AK219" i="1"/>
  <c r="AK229" i="16"/>
  <c r="AC248" i="1"/>
  <c r="AK217" i="16"/>
  <c r="AQ219" i="16"/>
  <c r="AI255" i="1"/>
  <c r="AH236" i="16"/>
  <c r="GD71" i="18"/>
  <c r="AI225" i="1"/>
  <c r="AO51" i="15"/>
  <c r="AI243" i="1"/>
  <c r="GB70" i="10"/>
  <c r="AH230" i="16"/>
  <c r="AG230" i="1"/>
  <c r="CK616" i="15"/>
  <c r="AJ212" i="16"/>
  <c r="AG212" i="16"/>
  <c r="AF230" i="1"/>
  <c r="AK211" i="16"/>
  <c r="GC71" i="24"/>
  <c r="AQ236" i="16"/>
  <c r="AF235" i="16"/>
  <c r="AH50" i="17"/>
  <c r="AI236" i="16"/>
  <c r="AB241" i="16"/>
  <c r="AH235" i="1"/>
  <c r="AG211" i="16"/>
  <c r="AJ211" i="16"/>
  <c r="AK218" i="1"/>
  <c r="AP50" i="15"/>
  <c r="AQ242" i="16"/>
  <c r="AJ241" i="16"/>
  <c r="AG248" i="1"/>
  <c r="GA71" i="24"/>
  <c r="AF236" i="1"/>
  <c r="AI219" i="16"/>
  <c r="AK241" i="16"/>
  <c r="AI218" i="16"/>
  <c r="AG235" i="16"/>
  <c r="AJ229" i="16"/>
  <c r="AK224" i="1"/>
  <c r="GC70" i="10"/>
  <c r="AG241" i="16"/>
  <c r="AC241" i="16"/>
  <c r="BZ615" i="15"/>
  <c r="AF229" i="16"/>
  <c r="AJ217" i="16"/>
  <c r="AK230" i="1"/>
  <c r="AQ237" i="1"/>
  <c r="AI249" i="1"/>
  <c r="AG223" i="16"/>
  <c r="AH217" i="1"/>
  <c r="AI230" i="16"/>
  <c r="AQ230" i="16"/>
  <c r="AQ248" i="16"/>
  <c r="AF224" i="1"/>
  <c r="AH223" i="1"/>
  <c r="AF242" i="1"/>
  <c r="AJ248" i="1"/>
  <c r="AH50" i="15"/>
  <c r="AJ236" i="1"/>
  <c r="AH218" i="16"/>
  <c r="GD71" i="24"/>
  <c r="AJ218" i="1"/>
  <c r="AP50" i="17"/>
  <c r="CH616" i="15"/>
  <c r="AG224" i="1"/>
  <c r="AG219" i="1"/>
  <c r="AJ223" i="16"/>
  <c r="AG217" i="16"/>
  <c r="AI54" i="17"/>
  <c r="AF218" i="1"/>
  <c r="AF217" i="16"/>
  <c r="AH219" i="16"/>
  <c r="AH242" i="16"/>
  <c r="AQ243" i="1"/>
  <c r="AQ224" i="16"/>
  <c r="AG218" i="1"/>
  <c r="AB248" i="1"/>
  <c r="AO50" i="17"/>
  <c r="AK236" i="1"/>
  <c r="AQ218" i="16"/>
  <c r="AQ225" i="1"/>
  <c r="AG236" i="1"/>
  <c r="AH211" i="1"/>
  <c r="AK235" i="16"/>
  <c r="AF241" i="16"/>
  <c r="AJ230" i="1"/>
  <c r="AJ242" i="1"/>
  <c r="AH229" i="1"/>
  <c r="AK242" i="1"/>
  <c r="AQ231" i="1"/>
  <c r="AI237" i="1"/>
  <c r="AI231" i="1"/>
  <c r="AJ219" i="1"/>
  <c r="AQ226" i="1"/>
  <c r="BW616" i="15"/>
  <c r="AH224" i="16"/>
  <c r="AF211" i="16"/>
  <c r="AI226" i="1"/>
  <c r="AF219" i="1"/>
  <c r="AK212" i="16"/>
  <c r="AH212" i="1"/>
  <c r="AQ255" i="1"/>
  <c r="AJ235" i="16"/>
  <c r="AQ249" i="1"/>
  <c r="BX615" i="15"/>
  <c r="AH241" i="1"/>
  <c r="AF223" i="16"/>
  <c r="AF248" i="1"/>
  <c r="AI248" i="16"/>
  <c r="AK223" i="16"/>
  <c r="AG242" i="1"/>
  <c r="AH248" i="16"/>
  <c r="BY615" i="15"/>
  <c r="DC613" i="15" l="1"/>
  <c r="DE612" i="15"/>
  <c r="CF615" i="15"/>
  <c r="CQ615" i="15" s="1"/>
  <c r="CV615" i="15" s="1"/>
  <c r="CE615" i="15"/>
  <c r="CP615" i="15" s="1"/>
  <c r="CU615" i="15" s="1"/>
  <c r="CD615" i="15"/>
  <c r="BQ617" i="15"/>
  <c r="BG211" i="16"/>
  <c r="BG229" i="16"/>
  <c r="BG212" i="16"/>
  <c r="BG235" i="16"/>
  <c r="BG223" i="16"/>
  <c r="BG241" i="16"/>
  <c r="BG217" i="16"/>
  <c r="AE249" i="16"/>
  <c r="BI242" i="16"/>
  <c r="J56" i="15"/>
  <c r="AH607" i="15" s="1"/>
  <c r="LO74" i="24"/>
  <c r="LS73" i="24"/>
  <c r="GP71" i="24"/>
  <c r="HE71" i="24" s="1"/>
  <c r="GM71" i="24"/>
  <c r="HB71" i="24" s="1"/>
  <c r="FS73" i="24"/>
  <c r="EL82" i="24"/>
  <c r="DC69" i="24"/>
  <c r="CY69" i="24"/>
  <c r="CZ69" i="24"/>
  <c r="CX69" i="24"/>
  <c r="DA69" i="24"/>
  <c r="DB69" i="24"/>
  <c r="CT70" i="24"/>
  <c r="GO70" i="10"/>
  <c r="HD70" i="10" s="1"/>
  <c r="AC242" i="16"/>
  <c r="AC243" i="16" s="1"/>
  <c r="AC244" i="16" s="1"/>
  <c r="AC245" i="16" s="1"/>
  <c r="AC246" i="16" s="1"/>
  <c r="AC247" i="16" s="1"/>
  <c r="AC249" i="1"/>
  <c r="AC250" i="1" s="1"/>
  <c r="AC251" i="1" s="1"/>
  <c r="AC252" i="1" s="1"/>
  <c r="AC253" i="1" s="1"/>
  <c r="AC254" i="1" s="1"/>
  <c r="GP71" i="18"/>
  <c r="HE71" i="18" s="1"/>
  <c r="AB249" i="1"/>
  <c r="GN70" i="10"/>
  <c r="HC70" i="10" s="1"/>
  <c r="AB242" i="16"/>
  <c r="AB243" i="16" s="1"/>
  <c r="AB244" i="16" s="1"/>
  <c r="AB245" i="16" s="1"/>
  <c r="AB246" i="16" s="1"/>
  <c r="AB247" i="16" s="1"/>
  <c r="C256" i="1"/>
  <c r="C257" i="1" s="1"/>
  <c r="C258" i="1" s="1"/>
  <c r="C259" i="1" s="1"/>
  <c r="C260" i="1" s="1"/>
  <c r="C261" i="1" s="1"/>
  <c r="L53" i="15"/>
  <c r="F250" i="1"/>
  <c r="F232" i="1"/>
  <c r="H238" i="16"/>
  <c r="S255" i="16"/>
  <c r="S256" i="16" s="1"/>
  <c r="S257" i="16" s="1"/>
  <c r="S258" i="16" s="1"/>
  <c r="S259" i="16" s="1"/>
  <c r="S260" i="16" s="1"/>
  <c r="S261" i="16" s="1"/>
  <c r="S249" i="16"/>
  <c r="S250" i="16" s="1"/>
  <c r="S251" i="16" s="1"/>
  <c r="S252" i="16" s="1"/>
  <c r="S253" i="16" s="1"/>
  <c r="S254" i="16" s="1"/>
  <c r="I239" i="1"/>
  <c r="K219" i="16"/>
  <c r="I245" i="1"/>
  <c r="J244" i="1"/>
  <c r="I226" i="16"/>
  <c r="Q239" i="1"/>
  <c r="AU61" i="17"/>
  <c r="Q257" i="1"/>
  <c r="K226" i="1"/>
  <c r="G238" i="1"/>
  <c r="I232" i="16"/>
  <c r="I257" i="1"/>
  <c r="K249" i="16"/>
  <c r="K255" i="16"/>
  <c r="F231" i="16"/>
  <c r="BB196" i="15"/>
  <c r="F219" i="16"/>
  <c r="H237" i="1"/>
  <c r="D255" i="1"/>
  <c r="D256" i="1" s="1"/>
  <c r="D257" i="1" s="1"/>
  <c r="D258" i="1" s="1"/>
  <c r="D259" i="1" s="1"/>
  <c r="D260" i="1" s="1"/>
  <c r="D261" i="1" s="1"/>
  <c r="D249" i="1"/>
  <c r="D250" i="1" s="1"/>
  <c r="D251" i="1" s="1"/>
  <c r="D252" i="1" s="1"/>
  <c r="D253" i="1" s="1"/>
  <c r="D254" i="1" s="1"/>
  <c r="G243" i="16"/>
  <c r="G232" i="1"/>
  <c r="K256" i="1"/>
  <c r="F249" i="16"/>
  <c r="F255" i="16"/>
  <c r="AU53" i="15"/>
  <c r="B249" i="16"/>
  <c r="B250" i="16" s="1"/>
  <c r="B251" i="16" s="1"/>
  <c r="B252" i="16" s="1"/>
  <c r="B253" i="16" s="1"/>
  <c r="B254" i="16" s="1"/>
  <c r="B255" i="16"/>
  <c r="G231" i="16"/>
  <c r="G226" i="1"/>
  <c r="C255" i="16"/>
  <c r="C249" i="16"/>
  <c r="C250" i="16" s="1"/>
  <c r="C251" i="16" s="1"/>
  <c r="C252" i="16" s="1"/>
  <c r="C253" i="16" s="1"/>
  <c r="C254" i="16" s="1"/>
  <c r="T255" i="1"/>
  <c r="T256" i="1" s="1"/>
  <c r="T257" i="1" s="1"/>
  <c r="T258" i="1" s="1"/>
  <c r="T259" i="1" s="1"/>
  <c r="T260" i="1" s="1"/>
  <c r="T261" i="1" s="1"/>
  <c r="T249" i="1"/>
  <c r="T250" i="1" s="1"/>
  <c r="T251" i="1" s="1"/>
  <c r="T252" i="1" s="1"/>
  <c r="T253" i="1" s="1"/>
  <c r="T254" i="1" s="1"/>
  <c r="Q232" i="16"/>
  <c r="J226" i="1"/>
  <c r="J225" i="16"/>
  <c r="DA68" i="10"/>
  <c r="DC68" i="10"/>
  <c r="CY68" i="10"/>
  <c r="CZ68" i="10"/>
  <c r="CX68" i="10"/>
  <c r="DB68" i="10"/>
  <c r="CT69" i="10"/>
  <c r="CU69" i="10" s="1"/>
  <c r="I250" i="16"/>
  <c r="FR72" i="10"/>
  <c r="H225" i="1"/>
  <c r="EL85" i="10"/>
  <c r="R249" i="16"/>
  <c r="R250" i="16" s="1"/>
  <c r="R251" i="16" s="1"/>
  <c r="R252" i="16" s="1"/>
  <c r="R253" i="16" s="1"/>
  <c r="R254" i="16" s="1"/>
  <c r="R255" i="16"/>
  <c r="R256" i="16" s="1"/>
  <c r="R257" i="16" s="1"/>
  <c r="R258" i="16" s="1"/>
  <c r="R259" i="16" s="1"/>
  <c r="R260" i="16" s="1"/>
  <c r="R261" i="16" s="1"/>
  <c r="H250" i="16"/>
  <c r="G249" i="16"/>
  <c r="G255" i="16"/>
  <c r="H232" i="16"/>
  <c r="DB69" i="18"/>
  <c r="CX69" i="18"/>
  <c r="DA69" i="18"/>
  <c r="CZ69" i="18"/>
  <c r="CY69" i="18"/>
  <c r="DC69" i="18"/>
  <c r="CT70" i="18"/>
  <c r="G225" i="16"/>
  <c r="N249" i="16"/>
  <c r="N250" i="16" s="1"/>
  <c r="N251" i="16" s="1"/>
  <c r="N252" i="16" s="1"/>
  <c r="N253" i="16" s="1"/>
  <c r="N254" i="16" s="1"/>
  <c r="N255" i="16"/>
  <c r="N256" i="16" s="1"/>
  <c r="N257" i="16" s="1"/>
  <c r="N258" i="16" s="1"/>
  <c r="N259" i="16" s="1"/>
  <c r="N260" i="16" s="1"/>
  <c r="N261" i="16" s="1"/>
  <c r="H243" i="1"/>
  <c r="F226" i="1"/>
  <c r="I238" i="16"/>
  <c r="V249" i="16"/>
  <c r="V250" i="16" s="1"/>
  <c r="V251" i="16" s="1"/>
  <c r="V252" i="16" s="1"/>
  <c r="V253" i="16" s="1"/>
  <c r="V254" i="16" s="1"/>
  <c r="V255" i="16"/>
  <c r="V256" i="16" s="1"/>
  <c r="V257" i="16" s="1"/>
  <c r="V258" i="16" s="1"/>
  <c r="V259" i="16" s="1"/>
  <c r="V260" i="16" s="1"/>
  <c r="V261" i="16" s="1"/>
  <c r="Q244" i="16"/>
  <c r="W249" i="16"/>
  <c r="W250" i="16" s="1"/>
  <c r="W251" i="16" s="1"/>
  <c r="W252" i="16" s="1"/>
  <c r="W253" i="16" s="1"/>
  <c r="W254" i="16" s="1"/>
  <c r="W255" i="16"/>
  <c r="W256" i="16" s="1"/>
  <c r="W257" i="16" s="1"/>
  <c r="W258" i="16" s="1"/>
  <c r="W259" i="16" s="1"/>
  <c r="W260" i="16" s="1"/>
  <c r="W261" i="16" s="1"/>
  <c r="G219" i="16"/>
  <c r="J237" i="16"/>
  <c r="F237" i="16"/>
  <c r="J219" i="16"/>
  <c r="J231" i="16"/>
  <c r="J256" i="1"/>
  <c r="I256" i="16"/>
  <c r="BH53" i="15"/>
  <c r="Q238" i="16"/>
  <c r="K232" i="1"/>
  <c r="K237" i="16"/>
  <c r="O255" i="16"/>
  <c r="O256" i="16" s="1"/>
  <c r="O257" i="16" s="1"/>
  <c r="O258" i="16" s="1"/>
  <c r="O259" i="16" s="1"/>
  <c r="O260" i="16" s="1"/>
  <c r="O261" i="16" s="1"/>
  <c r="O249" i="16"/>
  <c r="O250" i="16" s="1"/>
  <c r="O251" i="16" s="1"/>
  <c r="O252" i="16" s="1"/>
  <c r="O253" i="16" s="1"/>
  <c r="O254" i="16" s="1"/>
  <c r="G250" i="1"/>
  <c r="AG52" i="17"/>
  <c r="X249" i="1"/>
  <c r="X250" i="1" s="1"/>
  <c r="X251" i="1" s="1"/>
  <c r="X252" i="1" s="1"/>
  <c r="X253" i="1" s="1"/>
  <c r="X254" i="1" s="1"/>
  <c r="X255" i="1"/>
  <c r="X256" i="1" s="1"/>
  <c r="X257" i="1" s="1"/>
  <c r="X258" i="1" s="1"/>
  <c r="X259" i="1" s="1"/>
  <c r="X260" i="1" s="1"/>
  <c r="X261" i="1" s="1"/>
  <c r="G237" i="16"/>
  <c r="F244" i="1"/>
  <c r="H226" i="16"/>
  <c r="I244" i="16"/>
  <c r="K244" i="1"/>
  <c r="Q226" i="16"/>
  <c r="FS73" i="18"/>
  <c r="F225" i="16"/>
  <c r="B256" i="1"/>
  <c r="B257" i="1" s="1"/>
  <c r="B258" i="1" s="1"/>
  <c r="B259" i="1" s="1"/>
  <c r="B260" i="1" s="1"/>
  <c r="B261" i="1" s="1"/>
  <c r="H231" i="1"/>
  <c r="H219" i="1"/>
  <c r="G244" i="1"/>
  <c r="P249" i="1"/>
  <c r="P250" i="1" s="1"/>
  <c r="P251" i="1" s="1"/>
  <c r="P252" i="1" s="1"/>
  <c r="P253" i="1" s="1"/>
  <c r="P254" i="1" s="1"/>
  <c r="P255" i="1"/>
  <c r="P256" i="1" s="1"/>
  <c r="P257" i="1" s="1"/>
  <c r="P258" i="1" s="1"/>
  <c r="P259" i="1" s="1"/>
  <c r="P260" i="1" s="1"/>
  <c r="P261" i="1" s="1"/>
  <c r="L53" i="17"/>
  <c r="H256" i="16"/>
  <c r="Q250" i="16"/>
  <c r="J243" i="16"/>
  <c r="I251" i="1"/>
  <c r="BH52" i="17"/>
  <c r="J250" i="1"/>
  <c r="F238" i="1"/>
  <c r="F256" i="1"/>
  <c r="G256" i="1"/>
  <c r="K243" i="16"/>
  <c r="L255" i="1"/>
  <c r="L256" i="1" s="1"/>
  <c r="L257" i="1" s="1"/>
  <c r="L258" i="1" s="1"/>
  <c r="L259" i="1" s="1"/>
  <c r="L260" i="1" s="1"/>
  <c r="L261" i="1" s="1"/>
  <c r="L249" i="1"/>
  <c r="L250" i="1" s="1"/>
  <c r="L251" i="1" s="1"/>
  <c r="L252" i="1" s="1"/>
  <c r="L253" i="1" s="1"/>
  <c r="L254" i="1" s="1"/>
  <c r="J238" i="1"/>
  <c r="AG52" i="15"/>
  <c r="Q256" i="16"/>
  <c r="K250" i="1"/>
  <c r="J249" i="16"/>
  <c r="J255" i="16"/>
  <c r="F243" i="16"/>
  <c r="EL82" i="18"/>
  <c r="Q245" i="1"/>
  <c r="H249" i="1"/>
  <c r="H255" i="1"/>
  <c r="H244" i="16"/>
  <c r="K238" i="1"/>
  <c r="Q233" i="1"/>
  <c r="Q251" i="1"/>
  <c r="K231" i="16"/>
  <c r="BB196" i="17"/>
  <c r="I233" i="1"/>
  <c r="J232" i="1"/>
  <c r="K225" i="16"/>
  <c r="AF230" i="16"/>
  <c r="AF219" i="16"/>
  <c r="AK243" i="1"/>
  <c r="AF242" i="16"/>
  <c r="AH242" i="1"/>
  <c r="AH230" i="1"/>
  <c r="AG237" i="1"/>
  <c r="AJ231" i="1"/>
  <c r="AQ255" i="16"/>
  <c r="AI238" i="1"/>
  <c r="AF249" i="1"/>
  <c r="AH255" i="16"/>
  <c r="AF218" i="16"/>
  <c r="GA72" i="24"/>
  <c r="AF225" i="1"/>
  <c r="AG236" i="16"/>
  <c r="AQ231" i="16"/>
  <c r="AO52" i="15"/>
  <c r="AJ230" i="16"/>
  <c r="AK255" i="1"/>
  <c r="AI250" i="1"/>
  <c r="AF236" i="16"/>
  <c r="AF248" i="16"/>
  <c r="AK225" i="1"/>
  <c r="AG249" i="1"/>
  <c r="AJ226" i="1"/>
  <c r="AK242" i="16"/>
  <c r="GB71" i="10"/>
  <c r="AP51" i="17"/>
  <c r="CH617" i="15"/>
  <c r="AQ226" i="16"/>
  <c r="AG218" i="16"/>
  <c r="AH218" i="1"/>
  <c r="AJ248" i="16"/>
  <c r="AQ244" i="1"/>
  <c r="AH237" i="16"/>
  <c r="AJ236" i="16"/>
  <c r="AO51" i="17"/>
  <c r="AF226" i="1"/>
  <c r="GC71" i="10"/>
  <c r="AG225" i="1"/>
  <c r="GD72" i="24"/>
  <c r="AH243" i="16"/>
  <c r="AG248" i="16"/>
  <c r="AQ225" i="16"/>
  <c r="BY616" i="15"/>
  <c r="AJ242" i="16"/>
  <c r="AI256" i="1"/>
  <c r="GC72" i="24"/>
  <c r="AH249" i="16"/>
  <c r="AI231" i="16"/>
  <c r="AQ238" i="1"/>
  <c r="AH231" i="16"/>
  <c r="AG231" i="1"/>
  <c r="AC248" i="16"/>
  <c r="AI225" i="16"/>
  <c r="AG230" i="16"/>
  <c r="AQ243" i="16"/>
  <c r="AJ255" i="1"/>
  <c r="AF255" i="1"/>
  <c r="AH219" i="1"/>
  <c r="AG243" i="1"/>
  <c r="AK249" i="1"/>
  <c r="AJ218" i="16"/>
  <c r="AK248" i="16"/>
  <c r="AQ250" i="1"/>
  <c r="AI226" i="16"/>
  <c r="AB248" i="16"/>
  <c r="AI232" i="1"/>
  <c r="AQ249" i="16"/>
  <c r="AJ225" i="1"/>
  <c r="AQ256" i="1"/>
  <c r="AJ243" i="1"/>
  <c r="AI233" i="1"/>
  <c r="AG242" i="16"/>
  <c r="AJ249" i="1"/>
  <c r="AK218" i="16"/>
  <c r="AF237" i="1"/>
  <c r="AK236" i="16"/>
  <c r="AI244" i="1"/>
  <c r="AJ219" i="16"/>
  <c r="AK219" i="16"/>
  <c r="BZ616" i="15"/>
  <c r="AH224" i="1"/>
  <c r="AK230" i="16"/>
  <c r="GD72" i="18"/>
  <c r="AB255" i="1"/>
  <c r="AI249" i="16"/>
  <c r="AQ237" i="16"/>
  <c r="AH236" i="1"/>
  <c r="AH226" i="16"/>
  <c r="AK224" i="16"/>
  <c r="AF243" i="1"/>
  <c r="AH248" i="1"/>
  <c r="AK237" i="1"/>
  <c r="AK226" i="1"/>
  <c r="AP51" i="15"/>
  <c r="AC255" i="1"/>
  <c r="AQ232" i="1"/>
  <c r="AI237" i="16"/>
  <c r="AG226" i="1"/>
  <c r="AG224" i="16"/>
  <c r="AH225" i="16"/>
  <c r="AG255" i="1"/>
  <c r="AJ237" i="1"/>
  <c r="AF224" i="16"/>
  <c r="AK231" i="1"/>
  <c r="AI243" i="16"/>
  <c r="AQ233" i="1"/>
  <c r="AI255" i="16"/>
  <c r="AJ224" i="16"/>
  <c r="AG219" i="16"/>
  <c r="AF231" i="1"/>
  <c r="DC614" i="15" l="1"/>
  <c r="DE613" i="15"/>
  <c r="CF616" i="15"/>
  <c r="CQ616" i="15" s="1"/>
  <c r="CV616" i="15" s="1"/>
  <c r="CE616" i="15"/>
  <c r="CP616" i="15" s="1"/>
  <c r="CU616" i="15" s="1"/>
  <c r="BQ618" i="15"/>
  <c r="BG218" i="16"/>
  <c r="BG242" i="16"/>
  <c r="BG224" i="16"/>
  <c r="BG236" i="16"/>
  <c r="BG248" i="16"/>
  <c r="BG219" i="16"/>
  <c r="BG230" i="16"/>
  <c r="AE256" i="16"/>
  <c r="BI256" i="16" s="1"/>
  <c r="BI249" i="16"/>
  <c r="J57" i="15"/>
  <c r="AH608" i="15" s="1"/>
  <c r="LO75" i="24"/>
  <c r="LS74" i="24"/>
  <c r="GM72" i="24"/>
  <c r="HB72" i="24" s="1"/>
  <c r="GP72" i="24"/>
  <c r="HE72" i="24" s="1"/>
  <c r="EL83" i="24"/>
  <c r="DA70" i="24"/>
  <c r="DB70" i="24"/>
  <c r="CX70" i="24"/>
  <c r="DC70" i="24"/>
  <c r="CZ70" i="24"/>
  <c r="CY70" i="24"/>
  <c r="CT71" i="24"/>
  <c r="FS74" i="24"/>
  <c r="GP72" i="18"/>
  <c r="HE72" i="18" s="1"/>
  <c r="GN71" i="10"/>
  <c r="HC71" i="10" s="1"/>
  <c r="GO71" i="10"/>
  <c r="HD71" i="10" s="1"/>
  <c r="AB249" i="16"/>
  <c r="AB250" i="16" s="1"/>
  <c r="AB251" i="16" s="1"/>
  <c r="AB252" i="16" s="1"/>
  <c r="AB253" i="16" s="1"/>
  <c r="AB254" i="16" s="1"/>
  <c r="AB256" i="1"/>
  <c r="AB257" i="1" s="1"/>
  <c r="AB258" i="1" s="1"/>
  <c r="AB259" i="1" s="1"/>
  <c r="AB260" i="1" s="1"/>
  <c r="AB261" i="1" s="1"/>
  <c r="AC249" i="16"/>
  <c r="AC250" i="16" s="1"/>
  <c r="AC251" i="16" s="1"/>
  <c r="AC252" i="16" s="1"/>
  <c r="AC253" i="16" s="1"/>
  <c r="AC254" i="16" s="1"/>
  <c r="AC256" i="1"/>
  <c r="AC257" i="1" s="1"/>
  <c r="AC258" i="1" s="1"/>
  <c r="AC259" i="1" s="1"/>
  <c r="AC260" i="1" s="1"/>
  <c r="AC261" i="1" s="1"/>
  <c r="J244" i="16"/>
  <c r="F245" i="1"/>
  <c r="G256" i="16"/>
  <c r="H226" i="1"/>
  <c r="DB69" i="10"/>
  <c r="CX69" i="10"/>
  <c r="CZ69" i="10"/>
  <c r="DC69" i="10"/>
  <c r="DA69" i="10"/>
  <c r="CY69" i="10"/>
  <c r="CT70" i="10"/>
  <c r="CU70" i="10" s="1"/>
  <c r="J226" i="16"/>
  <c r="Q233" i="16"/>
  <c r="F256" i="16"/>
  <c r="K250" i="16"/>
  <c r="I233" i="16"/>
  <c r="AU62" i="17"/>
  <c r="I240" i="1"/>
  <c r="H239" i="16"/>
  <c r="F251" i="1"/>
  <c r="F239" i="1"/>
  <c r="I245" i="16"/>
  <c r="J233" i="1"/>
  <c r="BB197" i="17"/>
  <c r="Q252" i="1"/>
  <c r="K239" i="1"/>
  <c r="H256" i="1"/>
  <c r="EL83" i="18"/>
  <c r="J250" i="16"/>
  <c r="Q257" i="16"/>
  <c r="F257" i="1"/>
  <c r="J251" i="1"/>
  <c r="G245" i="1"/>
  <c r="FS74" i="18"/>
  <c r="G251" i="1"/>
  <c r="K238" i="16"/>
  <c r="Q239" i="16"/>
  <c r="I257" i="16"/>
  <c r="J232" i="16"/>
  <c r="F238" i="16"/>
  <c r="Q245" i="16"/>
  <c r="I239" i="16"/>
  <c r="H244" i="1"/>
  <c r="G226" i="16"/>
  <c r="G250" i="16"/>
  <c r="C256" i="16"/>
  <c r="C257" i="16" s="1"/>
  <c r="C258" i="16" s="1"/>
  <c r="C259" i="16" s="1"/>
  <c r="C260" i="16" s="1"/>
  <c r="C261" i="16" s="1"/>
  <c r="G232" i="16"/>
  <c r="F250" i="16"/>
  <c r="G233" i="1"/>
  <c r="F232" i="16"/>
  <c r="Q246" i="1"/>
  <c r="AG53" i="15"/>
  <c r="BH53" i="17"/>
  <c r="H250" i="1"/>
  <c r="J239" i="1"/>
  <c r="K244" i="16"/>
  <c r="I252" i="1"/>
  <c r="Q251" i="16"/>
  <c r="L54" i="17"/>
  <c r="S53" i="17"/>
  <c r="H232" i="1"/>
  <c r="F226" i="16"/>
  <c r="K245" i="1"/>
  <c r="G238" i="16"/>
  <c r="CZ70" i="18"/>
  <c r="DC70" i="18"/>
  <c r="CY70" i="18"/>
  <c r="DB70" i="18"/>
  <c r="DA70" i="18"/>
  <c r="CX70" i="18"/>
  <c r="CT71" i="18"/>
  <c r="H233" i="16"/>
  <c r="AU54" i="15"/>
  <c r="I258" i="1"/>
  <c r="G239" i="1"/>
  <c r="Q258" i="1"/>
  <c r="Q240" i="1"/>
  <c r="J245" i="1"/>
  <c r="F233" i="1"/>
  <c r="L54" i="15"/>
  <c r="J256" i="16"/>
  <c r="G257" i="1"/>
  <c r="H257" i="16"/>
  <c r="F244" i="16"/>
  <c r="K226" i="16"/>
  <c r="K232" i="16"/>
  <c r="H245" i="16"/>
  <c r="K251" i="1"/>
  <c r="AG53" i="17"/>
  <c r="K233" i="1"/>
  <c r="BH54" i="15"/>
  <c r="J257" i="1"/>
  <c r="J238" i="16"/>
  <c r="H251" i="16"/>
  <c r="EL86" i="10"/>
  <c r="FR73" i="10"/>
  <c r="I251" i="16"/>
  <c r="B256" i="16"/>
  <c r="B257" i="16" s="1"/>
  <c r="B258" i="16" s="1"/>
  <c r="B259" i="16" s="1"/>
  <c r="B260" i="16" s="1"/>
  <c r="B261" i="16" s="1"/>
  <c r="K257" i="1"/>
  <c r="G244" i="16"/>
  <c r="H238" i="1"/>
  <c r="BB197" i="15"/>
  <c r="K256" i="16"/>
  <c r="I246" i="1"/>
  <c r="AB250" i="1"/>
  <c r="CH618" i="15"/>
  <c r="AK244" i="1"/>
  <c r="AK237" i="16"/>
  <c r="AK243" i="16"/>
  <c r="AJ238" i="1"/>
  <c r="AH237" i="1"/>
  <c r="AH244" i="16"/>
  <c r="AF225" i="16"/>
  <c r="AG244" i="1"/>
  <c r="AG233" i="1"/>
  <c r="AO52" i="17"/>
  <c r="AI251" i="1"/>
  <c r="AF243" i="16"/>
  <c r="AI250" i="16"/>
  <c r="AG226" i="16"/>
  <c r="AB255" i="16"/>
  <c r="AJ225" i="16"/>
  <c r="AI238" i="16"/>
  <c r="AH250" i="16"/>
  <c r="AG250" i="1"/>
  <c r="AF255" i="16"/>
  <c r="AF256" i="1"/>
  <c r="AO53" i="15"/>
  <c r="AJ249" i="16"/>
  <c r="AG237" i="16"/>
  <c r="AG225" i="16"/>
  <c r="AK238" i="1"/>
  <c r="AJ243" i="16"/>
  <c r="AG238" i="1"/>
  <c r="GC72" i="10"/>
  <c r="AK256" i="1"/>
  <c r="GA73" i="24"/>
  <c r="AF244" i="1"/>
  <c r="GC73" i="24"/>
  <c r="BY617" i="15"/>
  <c r="AP52" i="15"/>
  <c r="AJ233" i="1"/>
  <c r="AG255" i="16"/>
  <c r="AQ251" i="1"/>
  <c r="GD73" i="24"/>
  <c r="AH231" i="1"/>
  <c r="AQ239" i="1"/>
  <c r="AG231" i="16"/>
  <c r="AQ245" i="1"/>
  <c r="AJ237" i="16"/>
  <c r="AH243" i="1"/>
  <c r="AG243" i="16"/>
  <c r="GB72" i="10"/>
  <c r="AK233" i="1"/>
  <c r="AH255" i="1"/>
  <c r="AC255" i="16"/>
  <c r="AG249" i="16"/>
  <c r="AF226" i="16"/>
  <c r="AI232" i="16"/>
  <c r="AK232" i="1"/>
  <c r="AJ255" i="16"/>
  <c r="AK225" i="16"/>
  <c r="AQ232" i="16"/>
  <c r="AF250" i="1"/>
  <c r="AK255" i="16"/>
  <c r="AI240" i="1"/>
  <c r="AF233" i="1"/>
  <c r="AG232" i="1"/>
  <c r="AH256" i="16"/>
  <c r="GD73" i="18"/>
  <c r="AI245" i="1"/>
  <c r="AP52" i="17"/>
  <c r="AI233" i="16"/>
  <c r="AK249" i="16"/>
  <c r="AK250" i="1"/>
  <c r="AF237" i="16"/>
  <c r="AF249" i="16"/>
  <c r="AI239" i="1"/>
  <c r="AJ226" i="16"/>
  <c r="AH238" i="16"/>
  <c r="AQ233" i="16"/>
  <c r="AG256" i="1"/>
  <c r="AF231" i="16"/>
  <c r="AQ257" i="1"/>
  <c r="AH232" i="16"/>
  <c r="BZ617" i="15"/>
  <c r="AH249" i="1"/>
  <c r="AQ250" i="16"/>
  <c r="AF232" i="1"/>
  <c r="AJ250" i="1"/>
  <c r="AQ244" i="16"/>
  <c r="AJ231" i="16"/>
  <c r="AH226" i="1"/>
  <c r="AF238" i="1"/>
  <c r="AJ232" i="1"/>
  <c r="AQ256" i="16"/>
  <c r="AI244" i="16"/>
  <c r="AQ240" i="1"/>
  <c r="AH233" i="16"/>
  <c r="AJ256" i="1"/>
  <c r="AJ244" i="1"/>
  <c r="AK226" i="16"/>
  <c r="AI257" i="1"/>
  <c r="AI256" i="16"/>
  <c r="BV616" i="15"/>
  <c r="AK231" i="16"/>
  <c r="AH225" i="1"/>
  <c r="AQ238" i="16"/>
  <c r="DC615" i="15" l="1"/>
  <c r="DE614" i="15"/>
  <c r="CE617" i="15"/>
  <c r="CP617" i="15" s="1"/>
  <c r="CU617" i="15" s="1"/>
  <c r="CF617" i="15"/>
  <c r="CQ617" i="15" s="1"/>
  <c r="CV617" i="15" s="1"/>
  <c r="BQ619" i="15"/>
  <c r="BG255" i="16"/>
  <c r="BG226" i="16"/>
  <c r="BG237" i="16"/>
  <c r="BG243" i="16"/>
  <c r="BG249" i="16"/>
  <c r="BG231" i="16"/>
  <c r="BG225" i="16"/>
  <c r="J58" i="15"/>
  <c r="AH609" i="15" s="1"/>
  <c r="LO76" i="24"/>
  <c r="LS75" i="24"/>
  <c r="GP73" i="24"/>
  <c r="HE73" i="24" s="1"/>
  <c r="GM73" i="24"/>
  <c r="HB73" i="24" s="1"/>
  <c r="EL84" i="24"/>
  <c r="FS75" i="24"/>
  <c r="CX72" i="24"/>
  <c r="DA71" i="24"/>
  <c r="CZ71" i="24"/>
  <c r="DB71" i="24"/>
  <c r="CX71" i="24"/>
  <c r="DC71" i="24"/>
  <c r="CY71" i="24"/>
  <c r="CY72" i="24"/>
  <c r="DA72" i="24"/>
  <c r="DC72" i="24"/>
  <c r="DB72" i="24"/>
  <c r="CZ72" i="24"/>
  <c r="AB256" i="16"/>
  <c r="AB257" i="16" s="1"/>
  <c r="AB258" i="16" s="1"/>
  <c r="AB259" i="16" s="1"/>
  <c r="AB260" i="16" s="1"/>
  <c r="AB261" i="16" s="1"/>
  <c r="AC256" i="16"/>
  <c r="AC257" i="16" s="1"/>
  <c r="AC258" i="16" s="1"/>
  <c r="AC259" i="16" s="1"/>
  <c r="AC260" i="16" s="1"/>
  <c r="AC261" i="16" s="1"/>
  <c r="GN72" i="10"/>
  <c r="HC72" i="10" s="1"/>
  <c r="GP73" i="18"/>
  <c r="HE73" i="18" s="1"/>
  <c r="GO72" i="10"/>
  <c r="HD72" i="10" s="1"/>
  <c r="I259" i="1"/>
  <c r="K246" i="1"/>
  <c r="H233" i="1"/>
  <c r="Q252" i="16"/>
  <c r="K245" i="16"/>
  <c r="H251" i="1"/>
  <c r="AG54" i="15"/>
  <c r="FS75" i="18"/>
  <c r="F252" i="1"/>
  <c r="F257" i="16"/>
  <c r="K252" i="1"/>
  <c r="I247" i="1"/>
  <c r="BB198" i="15"/>
  <c r="G245" i="16"/>
  <c r="EL87" i="10"/>
  <c r="J239" i="16"/>
  <c r="BH55" i="15"/>
  <c r="K233" i="16"/>
  <c r="F245" i="16"/>
  <c r="G258" i="1"/>
  <c r="L55" i="15"/>
  <c r="J246" i="1"/>
  <c r="Q259" i="1"/>
  <c r="J240" i="1"/>
  <c r="BH54" i="17"/>
  <c r="F233" i="16"/>
  <c r="F251" i="16"/>
  <c r="I240" i="16"/>
  <c r="F239" i="16"/>
  <c r="I258" i="16"/>
  <c r="K239" i="16"/>
  <c r="G246" i="1"/>
  <c r="F258" i="1"/>
  <c r="J251" i="16"/>
  <c r="K240" i="1"/>
  <c r="BB198" i="17"/>
  <c r="I246" i="16"/>
  <c r="DC70" i="10"/>
  <c r="CY70" i="10"/>
  <c r="DA70" i="10"/>
  <c r="CX70" i="10"/>
  <c r="DB70" i="10"/>
  <c r="CZ70" i="10"/>
  <c r="CT71" i="10"/>
  <c r="F246" i="1"/>
  <c r="K258" i="1"/>
  <c r="AG54" i="17"/>
  <c r="AU55" i="15"/>
  <c r="CZ71" i="18"/>
  <c r="DC71" i="18"/>
  <c r="CY71" i="18"/>
  <c r="DB71" i="18"/>
  <c r="DA71" i="18"/>
  <c r="CX72" i="18"/>
  <c r="CX71" i="18"/>
  <c r="DC72" i="18"/>
  <c r="CY72" i="18"/>
  <c r="DA72" i="18"/>
  <c r="DB72" i="18"/>
  <c r="CZ72" i="18"/>
  <c r="G239" i="16"/>
  <c r="L55" i="17"/>
  <c r="S54" i="17"/>
  <c r="I253" i="1"/>
  <c r="H240" i="16"/>
  <c r="AU63" i="17"/>
  <c r="K251" i="16"/>
  <c r="AB251" i="1"/>
  <c r="K257" i="16"/>
  <c r="H239" i="1"/>
  <c r="I252" i="16"/>
  <c r="FR74" i="10"/>
  <c r="H252" i="16"/>
  <c r="J258" i="1"/>
  <c r="H246" i="16"/>
  <c r="H258" i="16"/>
  <c r="J257" i="16"/>
  <c r="G240" i="1"/>
  <c r="Q247" i="1"/>
  <c r="G233" i="16"/>
  <c r="G251" i="16"/>
  <c r="H245" i="1"/>
  <c r="Q246" i="16"/>
  <c r="J233" i="16"/>
  <c r="Q240" i="16"/>
  <c r="G252" i="1"/>
  <c r="J252" i="1"/>
  <c r="Q258" i="16"/>
  <c r="EL84" i="18"/>
  <c r="H257" i="1"/>
  <c r="Q253" i="1"/>
  <c r="F240" i="1"/>
  <c r="G257" i="16"/>
  <c r="J245" i="16"/>
  <c r="AJ245" i="1"/>
  <c r="AG244" i="16"/>
  <c r="AP53" i="17"/>
  <c r="AF256" i="16"/>
  <c r="AI246" i="1"/>
  <c r="GB73" i="10"/>
  <c r="AI239" i="16"/>
  <c r="BY618" i="15"/>
  <c r="AK232" i="16"/>
  <c r="AH232" i="1"/>
  <c r="AH244" i="1"/>
  <c r="AF251" i="1"/>
  <c r="AG232" i="16"/>
  <c r="AG239" i="1"/>
  <c r="AF245" i="1"/>
  <c r="AJ257" i="1"/>
  <c r="AJ251" i="1"/>
  <c r="AK250" i="16"/>
  <c r="AI257" i="16"/>
  <c r="AH245" i="16"/>
  <c r="AH239" i="16"/>
  <c r="AG250" i="16"/>
  <c r="AH251" i="16"/>
  <c r="AI240" i="16"/>
  <c r="AI247" i="1"/>
  <c r="AK238" i="16"/>
  <c r="AG238" i="16"/>
  <c r="AF244" i="16"/>
  <c r="CH619" i="15"/>
  <c r="AH256" i="1"/>
  <c r="AF239" i="1"/>
  <c r="AI245" i="16"/>
  <c r="AQ240" i="16"/>
  <c r="GD74" i="18"/>
  <c r="AQ247" i="1"/>
  <c r="V53" i="17"/>
  <c r="AI258" i="1"/>
  <c r="AJ250" i="16"/>
  <c r="AH250" i="1"/>
  <c r="AJ239" i="1"/>
  <c r="U53" i="17"/>
  <c r="AQ258" i="1"/>
  <c r="AK257" i="1"/>
  <c r="AK256" i="16"/>
  <c r="AP53" i="15"/>
  <c r="AI251" i="16"/>
  <c r="AQ252" i="1"/>
  <c r="AG251" i="1"/>
  <c r="GA74" i="24"/>
  <c r="AH240" i="16"/>
  <c r="AK244" i="16"/>
  <c r="AJ238" i="16"/>
  <c r="AG240" i="1"/>
  <c r="AK245" i="1"/>
  <c r="AQ246" i="1"/>
  <c r="GC73" i="10"/>
  <c r="BZ618" i="15"/>
  <c r="AF232" i="16"/>
  <c r="GD74" i="24"/>
  <c r="T53" i="17"/>
  <c r="AJ244" i="16"/>
  <c r="AH257" i="16"/>
  <c r="AK240" i="1"/>
  <c r="AQ239" i="16"/>
  <c r="AK239" i="1"/>
  <c r="AG257" i="1"/>
  <c r="AO54" i="15"/>
  <c r="AK251" i="1"/>
  <c r="AQ257" i="16"/>
  <c r="AJ256" i="16"/>
  <c r="AG256" i="16"/>
  <c r="AJ232" i="16"/>
  <c r="AF238" i="16"/>
  <c r="AK233" i="16"/>
  <c r="AQ251" i="16"/>
  <c r="AH233" i="1"/>
  <c r="AF250" i="16"/>
  <c r="AF233" i="16"/>
  <c r="AF257" i="1"/>
  <c r="AI252" i="1"/>
  <c r="GC74" i="24"/>
  <c r="W53" i="17"/>
  <c r="AH238" i="1"/>
  <c r="AQ245" i="16"/>
  <c r="AG245" i="1"/>
  <c r="AO53" i="17"/>
  <c r="AG233" i="16"/>
  <c r="AJ240" i="1"/>
  <c r="AF240" i="1"/>
  <c r="AJ233" i="16"/>
  <c r="CT72" i="10" l="1"/>
  <c r="CU71" i="10"/>
  <c r="DC616" i="15"/>
  <c r="DE615" i="15"/>
  <c r="CF618" i="15"/>
  <c r="CQ618" i="15" s="1"/>
  <c r="CV618" i="15" s="1"/>
  <c r="CE618" i="15"/>
  <c r="CP618" i="15" s="1"/>
  <c r="CU618" i="15" s="1"/>
  <c r="BQ620" i="15"/>
  <c r="BG256" i="16"/>
  <c r="BG244" i="16"/>
  <c r="BG238" i="16"/>
  <c r="BG232" i="16"/>
  <c r="BG250" i="16"/>
  <c r="BG233" i="16"/>
  <c r="J59" i="15"/>
  <c r="AH610" i="15" s="1"/>
  <c r="LO77" i="24"/>
  <c r="LS76" i="24"/>
  <c r="GM74" i="24"/>
  <c r="HB74" i="24" s="1"/>
  <c r="GP74" i="24"/>
  <c r="HE74" i="24" s="1"/>
  <c r="FS76" i="24"/>
  <c r="EL85" i="24"/>
  <c r="GN73" i="10"/>
  <c r="HC73" i="10" s="1"/>
  <c r="GO73" i="10"/>
  <c r="HD73" i="10" s="1"/>
  <c r="AE53" i="17"/>
  <c r="AD53" i="17"/>
  <c r="AC53" i="17"/>
  <c r="GP74" i="18"/>
  <c r="HE74" i="18" s="1"/>
  <c r="AB53" i="17"/>
  <c r="G258" i="16"/>
  <c r="AB252" i="1"/>
  <c r="AU64" i="17"/>
  <c r="AG55" i="17"/>
  <c r="F247" i="1"/>
  <c r="G247" i="1"/>
  <c r="AG55" i="15"/>
  <c r="K246" i="16"/>
  <c r="I260" i="1"/>
  <c r="J253" i="1"/>
  <c r="J246" i="16"/>
  <c r="H258" i="1"/>
  <c r="EL85" i="18"/>
  <c r="Q247" i="16"/>
  <c r="G252" i="16"/>
  <c r="J258" i="16"/>
  <c r="H247" i="16"/>
  <c r="H253" i="16"/>
  <c r="H240" i="1"/>
  <c r="L56" i="17"/>
  <c r="S55" i="17"/>
  <c r="AU56" i="15"/>
  <c r="CX72" i="10"/>
  <c r="DB71" i="10"/>
  <c r="CX71" i="10"/>
  <c r="CZ71" i="10"/>
  <c r="CY72" i="10"/>
  <c r="DC71" i="10"/>
  <c r="DA71" i="10"/>
  <c r="DC72" i="10"/>
  <c r="CY71" i="10"/>
  <c r="DA72" i="10"/>
  <c r="DB72" i="10"/>
  <c r="CZ72" i="10"/>
  <c r="BB199" i="17"/>
  <c r="J252" i="16"/>
  <c r="I259" i="16"/>
  <c r="J247" i="1"/>
  <c r="G259" i="1"/>
  <c r="J240" i="16"/>
  <c r="G246" i="16"/>
  <c r="F258" i="16"/>
  <c r="K252" i="16"/>
  <c r="K259" i="1"/>
  <c r="FS76" i="18"/>
  <c r="H252" i="1"/>
  <c r="Q253" i="16"/>
  <c r="K247" i="1"/>
  <c r="Q254" i="1"/>
  <c r="Q259" i="16"/>
  <c r="G253" i="1"/>
  <c r="H246" i="1"/>
  <c r="H259" i="16"/>
  <c r="J259" i="1"/>
  <c r="FR75" i="10"/>
  <c r="I253" i="16"/>
  <c r="K258" i="16"/>
  <c r="I254" i="1"/>
  <c r="G240" i="16"/>
  <c r="I247" i="16"/>
  <c r="F259" i="1"/>
  <c r="K240" i="16"/>
  <c r="F240" i="16"/>
  <c r="F252" i="16"/>
  <c r="BH55" i="17"/>
  <c r="Q260" i="1"/>
  <c r="L56" i="15"/>
  <c r="F246" i="16"/>
  <c r="BH56" i="15"/>
  <c r="BB199" i="15"/>
  <c r="K253" i="1"/>
  <c r="F253" i="1"/>
  <c r="AJ258" i="1"/>
  <c r="AO55" i="15"/>
  <c r="AQ246" i="16"/>
  <c r="AO54" i="17"/>
  <c r="AH257" i="1"/>
  <c r="AJ245" i="16"/>
  <c r="AJ239" i="16"/>
  <c r="AI259" i="1"/>
  <c r="AG245" i="16"/>
  <c r="AG240" i="16"/>
  <c r="AG258" i="1"/>
  <c r="GD75" i="24"/>
  <c r="AK251" i="16"/>
  <c r="AI254" i="1"/>
  <c r="GA75" i="24"/>
  <c r="GC75" i="24"/>
  <c r="AK247" i="1"/>
  <c r="AF245" i="16"/>
  <c r="BY619" i="15"/>
  <c r="AF239" i="16"/>
  <c r="U54" i="17"/>
  <c r="AH247" i="16"/>
  <c r="AP54" i="15"/>
  <c r="AI253" i="1"/>
  <c r="AF252" i="1"/>
  <c r="AJ251" i="16"/>
  <c r="AH258" i="16"/>
  <c r="AI59" i="15"/>
  <c r="AJ252" i="1"/>
  <c r="AK246" i="1"/>
  <c r="T54" i="17"/>
  <c r="AH239" i="1"/>
  <c r="AF258" i="1"/>
  <c r="AF246" i="1"/>
  <c r="AJ246" i="1"/>
  <c r="AK245" i="16"/>
  <c r="GD75" i="18"/>
  <c r="AK257" i="16"/>
  <c r="W54" i="17"/>
  <c r="AK252" i="1"/>
  <c r="AI252" i="16"/>
  <c r="AF240" i="16"/>
  <c r="GC74" i="10"/>
  <c r="AK240" i="16"/>
  <c r="AG257" i="16"/>
  <c r="AK239" i="16"/>
  <c r="AP54" i="17"/>
  <c r="CH620" i="15"/>
  <c r="AI247" i="16"/>
  <c r="AG251" i="16"/>
  <c r="AH246" i="16"/>
  <c r="AJ257" i="16"/>
  <c r="BZ619" i="15"/>
  <c r="AI246" i="16"/>
  <c r="AH252" i="16"/>
  <c r="AG252" i="1"/>
  <c r="AF257" i="16"/>
  <c r="AJ240" i="16"/>
  <c r="AG247" i="1"/>
  <c r="AG239" i="16"/>
  <c r="AK258" i="1"/>
  <c r="AQ247" i="16"/>
  <c r="AH245" i="1"/>
  <c r="AG246" i="1"/>
  <c r="AH240" i="1"/>
  <c r="AJ247" i="1"/>
  <c r="AQ259" i="1"/>
  <c r="AF251" i="16"/>
  <c r="AQ253" i="1"/>
  <c r="V54" i="17"/>
  <c r="AI258" i="16"/>
  <c r="AQ252" i="16"/>
  <c r="AQ258" i="16"/>
  <c r="AH251" i="1"/>
  <c r="GB74" i="10"/>
  <c r="AQ254" i="1"/>
  <c r="AF247" i="1"/>
  <c r="CT73" i="10" l="1"/>
  <c r="CU72" i="10"/>
  <c r="DC617" i="15"/>
  <c r="DE616" i="15"/>
  <c r="CE619" i="15"/>
  <c r="CP619" i="15" s="1"/>
  <c r="CU619" i="15" s="1"/>
  <c r="CF619" i="15"/>
  <c r="CQ619" i="15" s="1"/>
  <c r="CV619" i="15" s="1"/>
  <c r="BQ621" i="15"/>
  <c r="BG239" i="16"/>
  <c r="BG251" i="16"/>
  <c r="BG257" i="16"/>
  <c r="BG245" i="16"/>
  <c r="BG240" i="16"/>
  <c r="J60" i="15"/>
  <c r="AH611" i="15" s="1"/>
  <c r="LO78" i="24"/>
  <c r="LS77" i="24"/>
  <c r="GM75" i="24"/>
  <c r="GP75" i="24"/>
  <c r="FS77" i="24"/>
  <c r="EL86" i="24"/>
  <c r="AB54" i="17"/>
  <c r="AC54" i="17"/>
  <c r="AD54" i="17"/>
  <c r="AE54" i="17"/>
  <c r="GO74" i="10"/>
  <c r="HD74" i="10" s="1"/>
  <c r="GN74" i="10"/>
  <c r="GP75" i="18"/>
  <c r="F247" i="16"/>
  <c r="Q261" i="1"/>
  <c r="H253" i="1"/>
  <c r="FS77" i="18"/>
  <c r="K260" i="1"/>
  <c r="EL86" i="18"/>
  <c r="K254" i="1"/>
  <c r="BH57" i="15"/>
  <c r="L57" i="15"/>
  <c r="F254" i="1"/>
  <c r="BB200" i="15"/>
  <c r="K259" i="16"/>
  <c r="J260" i="1"/>
  <c r="H247" i="1"/>
  <c r="Q260" i="16"/>
  <c r="K253" i="16"/>
  <c r="G247" i="16"/>
  <c r="G260" i="1"/>
  <c r="I260" i="16"/>
  <c r="BB200" i="17"/>
  <c r="AU57" i="15"/>
  <c r="G253" i="16"/>
  <c r="H259" i="1"/>
  <c r="J247" i="16"/>
  <c r="I261" i="1"/>
  <c r="AB253" i="1"/>
  <c r="F253" i="16"/>
  <c r="I254" i="16"/>
  <c r="H260" i="16"/>
  <c r="G254" i="1"/>
  <c r="F259" i="16"/>
  <c r="J253" i="16"/>
  <c r="H254" i="16"/>
  <c r="J259" i="16"/>
  <c r="J254" i="1"/>
  <c r="K247" i="16"/>
  <c r="AG56" i="17"/>
  <c r="G259" i="16"/>
  <c r="BH56" i="17"/>
  <c r="F260" i="1"/>
  <c r="FR76" i="10"/>
  <c r="Q254" i="16"/>
  <c r="L57" i="17"/>
  <c r="S56" i="17"/>
  <c r="AG56" i="15"/>
  <c r="AU65" i="17"/>
  <c r="AG259" i="1"/>
  <c r="AI261" i="1"/>
  <c r="AI260" i="1"/>
  <c r="GA76" i="24"/>
  <c r="AF252" i="16"/>
  <c r="AI59" i="17"/>
  <c r="AH246" i="1"/>
  <c r="AP55" i="15"/>
  <c r="AI253" i="16"/>
  <c r="AK253" i="1"/>
  <c r="AJ253" i="1"/>
  <c r="AG252" i="16"/>
  <c r="BY620" i="15"/>
  <c r="AH55" i="15"/>
  <c r="AK254" i="1"/>
  <c r="AI254" i="16"/>
  <c r="GC75" i="10"/>
  <c r="CK621" i="15"/>
  <c r="AJ252" i="16"/>
  <c r="GB75" i="10"/>
  <c r="AG246" i="16"/>
  <c r="AH254" i="16"/>
  <c r="AK247" i="16"/>
  <c r="AF247" i="16"/>
  <c r="AF258" i="16"/>
  <c r="AJ246" i="16"/>
  <c r="GC76" i="24"/>
  <c r="W55" i="17"/>
  <c r="AO56" i="15"/>
  <c r="AH253" i="16"/>
  <c r="AK246" i="16"/>
  <c r="AG258" i="16"/>
  <c r="GD76" i="24"/>
  <c r="AH259" i="16"/>
  <c r="AH252" i="1"/>
  <c r="V55" i="17"/>
  <c r="AQ253" i="16"/>
  <c r="AQ259" i="16"/>
  <c r="BZ620" i="15"/>
  <c r="AH55" i="17"/>
  <c r="GD76" i="18"/>
  <c r="AK259" i="1"/>
  <c r="AF253" i="1"/>
  <c r="AJ258" i="16"/>
  <c r="AJ259" i="1"/>
  <c r="AI259" i="16"/>
  <c r="AF246" i="16"/>
  <c r="BX620" i="15"/>
  <c r="AH258" i="1"/>
  <c r="AP55" i="17"/>
  <c r="AG247" i="16"/>
  <c r="AJ254" i="1"/>
  <c r="CH621" i="15"/>
  <c r="AK258" i="16"/>
  <c r="U55" i="17"/>
  <c r="AQ260" i="1"/>
  <c r="T55" i="17"/>
  <c r="AJ247" i="16"/>
  <c r="AO55" i="17"/>
  <c r="AK252" i="16"/>
  <c r="AF259" i="1"/>
  <c r="AG253" i="1"/>
  <c r="AH247" i="1"/>
  <c r="AQ261" i="1"/>
  <c r="AF254" i="1"/>
  <c r="AQ254" i="16"/>
  <c r="AG254" i="1"/>
  <c r="CU73" i="10" l="1"/>
  <c r="CZ73" i="10"/>
  <c r="DC73" i="10"/>
  <c r="DB73" i="10"/>
  <c r="CX73" i="10"/>
  <c r="CY73" i="10"/>
  <c r="CT74" i="10"/>
  <c r="DA73" i="10"/>
  <c r="DC618" i="15"/>
  <c r="DE617" i="15"/>
  <c r="CD620" i="15"/>
  <c r="CF620" i="15"/>
  <c r="CQ620" i="15" s="1"/>
  <c r="CV620" i="15" s="1"/>
  <c r="CE620" i="15"/>
  <c r="CP620" i="15" s="1"/>
  <c r="CU620" i="15" s="1"/>
  <c r="BQ622" i="15"/>
  <c r="BG258" i="16"/>
  <c r="BG252" i="16"/>
  <c r="BG247" i="16"/>
  <c r="BG246" i="16"/>
  <c r="J61" i="15"/>
  <c r="AH612" i="15" s="1"/>
  <c r="LO79" i="24"/>
  <c r="LS78" i="24"/>
  <c r="GP76" i="24"/>
  <c r="GM76" i="24"/>
  <c r="EL87" i="24"/>
  <c r="FS78" i="24"/>
  <c r="GO75" i="10"/>
  <c r="AE55" i="17"/>
  <c r="AD55" i="17"/>
  <c r="AC55" i="17"/>
  <c r="GN75" i="10"/>
  <c r="AB55" i="17"/>
  <c r="GP76" i="18"/>
  <c r="F261" i="1"/>
  <c r="J254" i="16"/>
  <c r="H260" i="1"/>
  <c r="AU58" i="15"/>
  <c r="BB201" i="17"/>
  <c r="G261" i="1"/>
  <c r="K254" i="16"/>
  <c r="K260" i="16"/>
  <c r="BH58" i="15"/>
  <c r="AG57" i="15"/>
  <c r="L58" i="17"/>
  <c r="S57" i="17"/>
  <c r="BH57" i="17"/>
  <c r="F260" i="16"/>
  <c r="H261" i="16"/>
  <c r="F254" i="16"/>
  <c r="K261" i="1"/>
  <c r="AU66" i="17"/>
  <c r="FR77" i="10"/>
  <c r="AG57" i="17"/>
  <c r="J260" i="16"/>
  <c r="AB254" i="1"/>
  <c r="G254" i="16"/>
  <c r="I261" i="16"/>
  <c r="Q261" i="16"/>
  <c r="J261" i="1"/>
  <c r="BB201" i="15"/>
  <c r="L58" i="15"/>
  <c r="EL87" i="18"/>
  <c r="FS78" i="18"/>
  <c r="H254" i="1"/>
  <c r="GR74" i="10"/>
  <c r="LD74" i="10" s="1"/>
  <c r="HC74" i="10"/>
  <c r="HL74" i="10" s="1"/>
  <c r="G260" i="16"/>
  <c r="BZ621" i="15"/>
  <c r="AG261" i="1"/>
  <c r="AQ260" i="16"/>
  <c r="GD77" i="24"/>
  <c r="GC77" i="24"/>
  <c r="AJ259" i="16"/>
  <c r="W56" i="17"/>
  <c r="AP56" i="15"/>
  <c r="AG253" i="16"/>
  <c r="AH259" i="1"/>
  <c r="AK260" i="1"/>
  <c r="AF259" i="16"/>
  <c r="AJ261" i="1"/>
  <c r="AO56" i="17"/>
  <c r="AK253" i="16"/>
  <c r="AQ261" i="16"/>
  <c r="AP56" i="17"/>
  <c r="AG260" i="1"/>
  <c r="AF261" i="1"/>
  <c r="AG259" i="16"/>
  <c r="AH260" i="16"/>
  <c r="AJ260" i="1"/>
  <c r="AH254" i="1"/>
  <c r="AO57" i="15"/>
  <c r="AH253" i="1"/>
  <c r="BY621" i="15"/>
  <c r="KG46" i="10"/>
  <c r="CH622" i="15"/>
  <c r="T56" i="17"/>
  <c r="AF260" i="1"/>
  <c r="AJ253" i="16"/>
  <c r="AK261" i="1"/>
  <c r="GB76" i="10"/>
  <c r="GA77" i="24"/>
  <c r="U56" i="17"/>
  <c r="AK259" i="16"/>
  <c r="AG254" i="16"/>
  <c r="AI260" i="16"/>
  <c r="AF253" i="16"/>
  <c r="GC76" i="10"/>
  <c r="AH261" i="16"/>
  <c r="V56" i="17"/>
  <c r="GD77" i="18"/>
  <c r="AK254" i="16"/>
  <c r="AJ254" i="16"/>
  <c r="BW621" i="15"/>
  <c r="AI261" i="16"/>
  <c r="AF254" i="16"/>
  <c r="CU74" i="10" l="1"/>
  <c r="CT75" i="10"/>
  <c r="DB74" i="10"/>
  <c r="DA74" i="10"/>
  <c r="CZ74" i="10"/>
  <c r="CY74" i="10"/>
  <c r="CX74" i="10"/>
  <c r="DC74" i="10"/>
  <c r="DC619" i="15"/>
  <c r="DE619" i="15" s="1"/>
  <c r="DE618" i="15"/>
  <c r="CE621" i="15"/>
  <c r="CP621" i="15" s="1"/>
  <c r="CU621" i="15" s="1"/>
  <c r="CF621" i="15"/>
  <c r="CQ621" i="15" s="1"/>
  <c r="CV621" i="15" s="1"/>
  <c r="BQ623" i="15"/>
  <c r="BG254" i="16"/>
  <c r="BG253" i="16"/>
  <c r="BG259" i="16"/>
  <c r="J62" i="15"/>
  <c r="AH613" i="15" s="1"/>
  <c r="LO80" i="24"/>
  <c r="LS79" i="24"/>
  <c r="DJ40" i="10"/>
  <c r="DL36" i="10" s="1"/>
  <c r="GP77" i="24"/>
  <c r="GM77" i="24"/>
  <c r="FS79" i="24"/>
  <c r="AC56" i="17"/>
  <c r="AD56" i="17"/>
  <c r="AE56" i="17"/>
  <c r="GP77" i="18"/>
  <c r="AB56" i="17"/>
  <c r="BB202" i="15"/>
  <c r="AU67" i="17"/>
  <c r="L59" i="17"/>
  <c r="S58" i="17"/>
  <c r="K261" i="16"/>
  <c r="G261" i="16"/>
  <c r="L59" i="15"/>
  <c r="AG58" i="17"/>
  <c r="FR78" i="10"/>
  <c r="BH58" i="17"/>
  <c r="AG58" i="15"/>
  <c r="FS79" i="18"/>
  <c r="J261" i="16"/>
  <c r="BH59" i="15"/>
  <c r="BB202" i="17"/>
  <c r="H261" i="1"/>
  <c r="F261" i="16"/>
  <c r="AU59" i="15"/>
  <c r="W57" i="17"/>
  <c r="AF260" i="16"/>
  <c r="CH623" i="15"/>
  <c r="BZ622" i="15"/>
  <c r="AH260" i="1"/>
  <c r="GD78" i="18"/>
  <c r="GC77" i="10"/>
  <c r="DL42" i="10"/>
  <c r="BV621" i="15"/>
  <c r="AG261" i="16"/>
  <c r="AJ260" i="16"/>
  <c r="AP57" i="15"/>
  <c r="GB77" i="10"/>
  <c r="GC78" i="24"/>
  <c r="V57" i="17"/>
  <c r="AP57" i="17"/>
  <c r="GD78" i="24"/>
  <c r="AK260" i="16"/>
  <c r="T57" i="17"/>
  <c r="AK261" i="16"/>
  <c r="AO58" i="15"/>
  <c r="AJ261" i="16"/>
  <c r="AG260" i="16"/>
  <c r="BY622" i="15"/>
  <c r="GA78" i="24"/>
  <c r="AF261" i="16"/>
  <c r="U57" i="17"/>
  <c r="KJ46" i="10"/>
  <c r="AO57" i="17"/>
  <c r="AH261" i="1"/>
  <c r="CU75" i="10" l="1"/>
  <c r="CY75" i="10"/>
  <c r="DB75" i="10"/>
  <c r="CT76" i="10"/>
  <c r="CX75" i="10"/>
  <c r="CZ75" i="10"/>
  <c r="DA75" i="10"/>
  <c r="DC75" i="10"/>
  <c r="DC620" i="15"/>
  <c r="DE620" i="15" s="1"/>
  <c r="CF622" i="15"/>
  <c r="CQ622" i="15" s="1"/>
  <c r="CV622" i="15" s="1"/>
  <c r="CE622" i="15"/>
  <c r="CP622" i="15" s="1"/>
  <c r="CU622" i="15" s="1"/>
  <c r="BQ624" i="15"/>
  <c r="BG261" i="16"/>
  <c r="BG260" i="16"/>
  <c r="J63" i="15"/>
  <c r="AH614" i="15" s="1"/>
  <c r="LO81" i="24"/>
  <c r="LS80" i="24"/>
  <c r="GP78" i="24"/>
  <c r="GM78" i="24"/>
  <c r="FS80" i="24"/>
  <c r="AB57" i="17"/>
  <c r="AE57" i="17"/>
  <c r="AD57" i="17"/>
  <c r="AC57" i="17"/>
  <c r="GP78" i="18"/>
  <c r="AU60" i="15"/>
  <c r="BH60" i="15"/>
  <c r="FS80" i="18"/>
  <c r="L60" i="17"/>
  <c r="S59" i="17"/>
  <c r="BB203" i="17"/>
  <c r="AG59" i="15"/>
  <c r="AG59" i="17"/>
  <c r="L60" i="15"/>
  <c r="BH59" i="17"/>
  <c r="FR79" i="10"/>
  <c r="AU68" i="17"/>
  <c r="BB203" i="15"/>
  <c r="GB78" i="10"/>
  <c r="AO58" i="17"/>
  <c r="BY623" i="15"/>
  <c r="T58" i="17"/>
  <c r="BZ623" i="15"/>
  <c r="DL40" i="10"/>
  <c r="W58" i="17"/>
  <c r="GD79" i="24"/>
  <c r="DL46" i="10"/>
  <c r="DL43" i="10"/>
  <c r="AP58" i="17"/>
  <c r="AP58" i="15"/>
  <c r="GD79" i="18"/>
  <c r="CH624" i="15"/>
  <c r="U58" i="17"/>
  <c r="AO59" i="15"/>
  <c r="GC78" i="10"/>
  <c r="DL45" i="10"/>
  <c r="DL44" i="10"/>
  <c r="DL41" i="10"/>
  <c r="GC79" i="24"/>
  <c r="GA79" i="24"/>
  <c r="V58" i="17"/>
  <c r="CU76" i="10" l="1"/>
  <c r="CT77" i="10"/>
  <c r="CZ76" i="10"/>
  <c r="CY76" i="10"/>
  <c r="DC76" i="10"/>
  <c r="DA76" i="10"/>
  <c r="CX76" i="10"/>
  <c r="DB76" i="10"/>
  <c r="DC621" i="15"/>
  <c r="DE621" i="15" s="1"/>
  <c r="CE623" i="15"/>
  <c r="CP623" i="15" s="1"/>
  <c r="CU623" i="15" s="1"/>
  <c r="CF623" i="15"/>
  <c r="CQ623" i="15" s="1"/>
  <c r="CV623" i="15" s="1"/>
  <c r="BQ625" i="15"/>
  <c r="J64" i="15"/>
  <c r="AH615" i="15" s="1"/>
  <c r="LO82" i="24"/>
  <c r="LS81" i="24"/>
  <c r="GM79" i="24"/>
  <c r="GP79" i="24"/>
  <c r="FS81" i="24"/>
  <c r="AD58" i="17"/>
  <c r="AC58" i="17"/>
  <c r="AE58" i="17"/>
  <c r="GP79" i="18"/>
  <c r="AB58" i="17"/>
  <c r="BB204" i="15"/>
  <c r="BH60" i="17"/>
  <c r="AG60" i="15"/>
  <c r="BB204" i="17"/>
  <c r="AU69" i="17"/>
  <c r="AG60" i="17"/>
  <c r="FR80" i="10"/>
  <c r="L61" i="15"/>
  <c r="L61" i="17"/>
  <c r="S60" i="17"/>
  <c r="BH61" i="15"/>
  <c r="FS81" i="18"/>
  <c r="AU61" i="15"/>
  <c r="AP59" i="17"/>
  <c r="V59" i="17"/>
  <c r="BZ624" i="15"/>
  <c r="U59" i="17"/>
  <c r="BY624" i="15"/>
  <c r="GD80" i="18"/>
  <c r="AI64" i="15"/>
  <c r="AP59" i="15"/>
  <c r="AO59" i="17"/>
  <c r="GB79" i="10"/>
  <c r="GA80" i="24"/>
  <c r="GC80" i="24"/>
  <c r="GD80" i="24"/>
  <c r="AO60" i="15"/>
  <c r="W59" i="17"/>
  <c r="T59" i="17"/>
  <c r="GC79" i="10"/>
  <c r="CH625" i="15"/>
  <c r="CU77" i="10" l="1"/>
  <c r="DB77" i="10"/>
  <c r="CY77" i="10"/>
  <c r="CX77" i="10"/>
  <c r="DC77" i="10"/>
  <c r="CT78" i="10"/>
  <c r="CZ77" i="10"/>
  <c r="DA77" i="10"/>
  <c r="DC622" i="15"/>
  <c r="DE622" i="15" s="1"/>
  <c r="CF624" i="15"/>
  <c r="CQ624" i="15" s="1"/>
  <c r="CV624" i="15" s="1"/>
  <c r="CE624" i="15"/>
  <c r="CP624" i="15" s="1"/>
  <c r="CU624" i="15" s="1"/>
  <c r="BQ626" i="15"/>
  <c r="J65" i="15"/>
  <c r="AH616" i="15" s="1"/>
  <c r="LO83" i="24"/>
  <c r="LS82" i="24"/>
  <c r="GP80" i="24"/>
  <c r="GM80" i="24"/>
  <c r="FS82" i="24"/>
  <c r="GP80" i="18"/>
  <c r="AC59" i="17"/>
  <c r="AD59" i="17"/>
  <c r="AE59" i="17"/>
  <c r="AB59" i="17"/>
  <c r="AG61" i="17"/>
  <c r="AU70" i="17"/>
  <c r="AG61" i="15"/>
  <c r="BB205" i="15"/>
  <c r="AU62" i="15"/>
  <c r="FS82" i="18"/>
  <c r="BH62" i="15"/>
  <c r="L62" i="17"/>
  <c r="S61" i="17"/>
  <c r="FR81" i="10"/>
  <c r="BB205" i="17"/>
  <c r="BH61" i="17"/>
  <c r="L62" i="15"/>
  <c r="T60" i="17"/>
  <c r="BY625" i="15"/>
  <c r="W60" i="17"/>
  <c r="BZ625" i="15"/>
  <c r="U60" i="17"/>
  <c r="AH60" i="15"/>
  <c r="GD81" i="18"/>
  <c r="AO60" i="17"/>
  <c r="AH60" i="17"/>
  <c r="GC81" i="24"/>
  <c r="AP60" i="15"/>
  <c r="GA81" i="24"/>
  <c r="GB80" i="10"/>
  <c r="AI64" i="17"/>
  <c r="CK626" i="15"/>
  <c r="AP60" i="17"/>
  <c r="GD81" i="24"/>
  <c r="AO61" i="15"/>
  <c r="V60" i="17"/>
  <c r="GC80" i="10"/>
  <c r="BX625" i="15"/>
  <c r="BW626" i="15"/>
  <c r="CU78" i="10" l="1"/>
  <c r="DB78" i="10"/>
  <c r="CY78" i="10"/>
  <c r="CX78" i="10"/>
  <c r="CZ78" i="10"/>
  <c r="CT79" i="10"/>
  <c r="DA78" i="10"/>
  <c r="DC78" i="10"/>
  <c r="DC623" i="15"/>
  <c r="DE623" i="15" s="1"/>
  <c r="CE625" i="15"/>
  <c r="CP625" i="15" s="1"/>
  <c r="CU625" i="15" s="1"/>
  <c r="CD625" i="15"/>
  <c r="CF625" i="15"/>
  <c r="CQ625" i="15" s="1"/>
  <c r="CV625" i="15" s="1"/>
  <c r="BQ627" i="15"/>
  <c r="J66" i="15"/>
  <c r="AH617" i="15" s="1"/>
  <c r="LO84" i="24"/>
  <c r="LS83" i="24"/>
  <c r="GM81" i="24"/>
  <c r="GP81" i="24"/>
  <c r="FS83" i="24"/>
  <c r="GP81" i="18"/>
  <c r="AD60" i="17"/>
  <c r="AC60" i="17"/>
  <c r="AE60" i="17"/>
  <c r="AB60" i="17"/>
  <c r="L63" i="15"/>
  <c r="BB206" i="17"/>
  <c r="AG62" i="17"/>
  <c r="FR82" i="10"/>
  <c r="FS83" i="18"/>
  <c r="BB206" i="15"/>
  <c r="BH62" i="17"/>
  <c r="L63" i="17"/>
  <c r="S62" i="17"/>
  <c r="AU63" i="15"/>
  <c r="AU71" i="17"/>
  <c r="BH63" i="15"/>
  <c r="AG62" i="15"/>
  <c r="CH626" i="15"/>
  <c r="GB81" i="10"/>
  <c r="T61" i="17"/>
  <c r="W61" i="17"/>
  <c r="BZ626" i="15"/>
  <c r="GC82" i="24"/>
  <c r="BY626" i="15"/>
  <c r="U61" i="17"/>
  <c r="AO61" i="17"/>
  <c r="AP61" i="15"/>
  <c r="AP61" i="17"/>
  <c r="AO62" i="15"/>
  <c r="GC81" i="10"/>
  <c r="V61" i="17"/>
  <c r="GA82" i="24"/>
  <c r="GD82" i="24"/>
  <c r="GD82" i="18"/>
  <c r="CH627" i="15"/>
  <c r="CU79" i="10" l="1"/>
  <c r="DC79" i="10"/>
  <c r="CZ79" i="10"/>
  <c r="DB79" i="10"/>
  <c r="DA79" i="10"/>
  <c r="CX79" i="10"/>
  <c r="CY79" i="10"/>
  <c r="CT80" i="10"/>
  <c r="DC624" i="15"/>
  <c r="DE624" i="15" s="1"/>
  <c r="CF626" i="15"/>
  <c r="CQ626" i="15" s="1"/>
  <c r="CV626" i="15" s="1"/>
  <c r="CE626" i="15"/>
  <c r="CP626" i="15" s="1"/>
  <c r="CU626" i="15" s="1"/>
  <c r="BQ628" i="15"/>
  <c r="J67" i="15"/>
  <c r="AH618" i="15" s="1"/>
  <c r="LO85" i="24"/>
  <c r="LS84" i="24"/>
  <c r="GP82" i="24"/>
  <c r="GM82" i="24"/>
  <c r="FS84" i="24"/>
  <c r="GP82" i="18"/>
  <c r="AB61" i="17"/>
  <c r="AC61" i="17"/>
  <c r="AD61" i="17"/>
  <c r="AE61" i="17"/>
  <c r="AU72" i="17"/>
  <c r="AG63" i="17"/>
  <c r="AG63" i="15"/>
  <c r="BH64" i="15"/>
  <c r="BB207" i="15"/>
  <c r="FS84" i="18"/>
  <c r="L64" i="17"/>
  <c r="S63" i="17"/>
  <c r="BB207" i="17"/>
  <c r="AU64" i="15"/>
  <c r="BH63" i="17"/>
  <c r="FR83" i="10"/>
  <c r="L64" i="15"/>
  <c r="W62" i="17"/>
  <c r="BV626" i="15"/>
  <c r="GC82" i="10"/>
  <c r="AO63" i="15"/>
  <c r="AP62" i="15"/>
  <c r="GA83" i="24"/>
  <c r="BZ627" i="15"/>
  <c r="GB82" i="10"/>
  <c r="AO62" i="17"/>
  <c r="U62" i="17"/>
  <c r="AP62" i="17"/>
  <c r="T62" i="17"/>
  <c r="V62" i="17"/>
  <c r="BY627" i="15"/>
  <c r="GD83" i="24"/>
  <c r="GC83" i="24"/>
  <c r="GD83" i="18"/>
  <c r="CH628" i="15"/>
  <c r="CU80" i="10" l="1"/>
  <c r="DA80" i="10"/>
  <c r="DB80" i="10"/>
  <c r="CT81" i="10"/>
  <c r="CX80" i="10"/>
  <c r="CZ80" i="10"/>
  <c r="CY80" i="10"/>
  <c r="DC80" i="10"/>
  <c r="DC625" i="15"/>
  <c r="DE625" i="15" s="1"/>
  <c r="CE627" i="15"/>
  <c r="CP627" i="15" s="1"/>
  <c r="CU627" i="15" s="1"/>
  <c r="CF627" i="15"/>
  <c r="CQ627" i="15" s="1"/>
  <c r="CV627" i="15" s="1"/>
  <c r="BQ629" i="15"/>
  <c r="J68" i="15"/>
  <c r="AH619" i="15" s="1"/>
  <c r="LO86" i="24"/>
  <c r="LS85" i="24"/>
  <c r="GM83" i="24"/>
  <c r="GP83" i="24"/>
  <c r="FS85" i="24"/>
  <c r="GP83" i="18"/>
  <c r="AD62" i="17"/>
  <c r="AC62" i="17"/>
  <c r="AE62" i="17"/>
  <c r="AB62" i="17"/>
  <c r="FR84" i="10"/>
  <c r="BB208" i="17"/>
  <c r="FS85" i="18"/>
  <c r="BB208" i="15"/>
  <c r="AG64" i="17"/>
  <c r="L65" i="17"/>
  <c r="S64" i="17"/>
  <c r="AU73" i="17"/>
  <c r="L65" i="15"/>
  <c r="BH65" i="15"/>
  <c r="BH64" i="17"/>
  <c r="AU65" i="15"/>
  <c r="AG64" i="15"/>
  <c r="GB83" i="10"/>
  <c r="GC84" i="24"/>
  <c r="GA84" i="24"/>
  <c r="AP63" i="17"/>
  <c r="W63" i="17"/>
  <c r="GD84" i="24"/>
  <c r="AO63" i="17"/>
  <c r="CH629" i="15"/>
  <c r="V63" i="17"/>
  <c r="AP63" i="15"/>
  <c r="GD84" i="18"/>
  <c r="U63" i="17"/>
  <c r="T63" i="17"/>
  <c r="GC83" i="10"/>
  <c r="BY628" i="15"/>
  <c r="BZ628" i="15"/>
  <c r="AO64" i="15"/>
  <c r="CU81" i="10" l="1"/>
  <c r="CZ81" i="10"/>
  <c r="CT82" i="10"/>
  <c r="CY81" i="10"/>
  <c r="CX81" i="10"/>
  <c r="DA81" i="10"/>
  <c r="DC81" i="10"/>
  <c r="DB81" i="10"/>
  <c r="DC626" i="15"/>
  <c r="DE626" i="15" s="1"/>
  <c r="CF628" i="15"/>
  <c r="CQ628" i="15" s="1"/>
  <c r="CV628" i="15" s="1"/>
  <c r="CE628" i="15"/>
  <c r="CP628" i="15" s="1"/>
  <c r="CU628" i="15" s="1"/>
  <c r="BQ630" i="15"/>
  <c r="J69" i="15"/>
  <c r="AH620" i="15" s="1"/>
  <c r="CT84" i="10"/>
  <c r="LO87" i="24"/>
  <c r="LS86" i="24"/>
  <c r="GM84" i="24"/>
  <c r="GP84" i="24"/>
  <c r="FS86" i="24"/>
  <c r="GP84" i="18"/>
  <c r="AB63" i="17"/>
  <c r="AC63" i="17"/>
  <c r="AD63" i="17"/>
  <c r="AE63" i="17"/>
  <c r="BH65" i="17"/>
  <c r="L66" i="17"/>
  <c r="S65" i="17"/>
  <c r="AG65" i="15"/>
  <c r="L66" i="15"/>
  <c r="AU74" i="17"/>
  <c r="BB209" i="17"/>
  <c r="FR85" i="10"/>
  <c r="AU66" i="15"/>
  <c r="BH66" i="15"/>
  <c r="AG65" i="17"/>
  <c r="BB209" i="15"/>
  <c r="FS86" i="18"/>
  <c r="GD85" i="24"/>
  <c r="GD85" i="18"/>
  <c r="BY629" i="15"/>
  <c r="AP64" i="17"/>
  <c r="AI69" i="15"/>
  <c r="GC84" i="10"/>
  <c r="GB84" i="10"/>
  <c r="V64" i="17"/>
  <c r="W64" i="17"/>
  <c r="U64" i="17"/>
  <c r="GA85" i="24"/>
  <c r="GC85" i="24"/>
  <c r="AO64" i="17"/>
  <c r="BZ629" i="15"/>
  <c r="T64" i="17"/>
  <c r="AP64" i="15"/>
  <c r="CH630" i="15"/>
  <c r="AO65" i="15"/>
  <c r="CU82" i="10" l="1"/>
  <c r="CZ82" i="10"/>
  <c r="CX82" i="10"/>
  <c r="DB82" i="10"/>
  <c r="DC82" i="10"/>
  <c r="CY82" i="10"/>
  <c r="DA82" i="10"/>
  <c r="CT83" i="10"/>
  <c r="DA84" i="10" s="1"/>
  <c r="DC627" i="15"/>
  <c r="DE627" i="15" s="1"/>
  <c r="CE629" i="15"/>
  <c r="CP629" i="15" s="1"/>
  <c r="CU629" i="15" s="1"/>
  <c r="CF629" i="15"/>
  <c r="CQ629" i="15" s="1"/>
  <c r="CV629" i="15" s="1"/>
  <c r="BQ631" i="15"/>
  <c r="J70" i="15"/>
  <c r="AH621" i="15" s="1"/>
  <c r="CT85" i="10"/>
  <c r="DC84" i="10"/>
  <c r="LO88" i="24"/>
  <c r="LS87" i="24"/>
  <c r="FS87" i="24"/>
  <c r="AD64" i="17"/>
  <c r="AC64" i="17"/>
  <c r="AE64" i="17"/>
  <c r="AB64" i="17"/>
  <c r="FR86" i="10"/>
  <c r="AG66" i="17"/>
  <c r="AU75" i="17"/>
  <c r="FS87" i="18"/>
  <c r="BH67" i="15"/>
  <c r="L67" i="15"/>
  <c r="AG66" i="15"/>
  <c r="BH66" i="17"/>
  <c r="BB210" i="15"/>
  <c r="AU67" i="15"/>
  <c r="BB210" i="17"/>
  <c r="L67" i="17"/>
  <c r="S66" i="17"/>
  <c r="AO66" i="15"/>
  <c r="AO65" i="17"/>
  <c r="BX630" i="15"/>
  <c r="BY630" i="15"/>
  <c r="U65" i="17"/>
  <c r="AP65" i="15"/>
  <c r="AH65" i="15"/>
  <c r="AH65" i="17"/>
  <c r="GD86" i="24"/>
  <c r="AP65" i="17"/>
  <c r="GA86" i="24"/>
  <c r="BZ630" i="15"/>
  <c r="GC86" i="24"/>
  <c r="GB85" i="10"/>
  <c r="AI69" i="17"/>
  <c r="W65" i="17"/>
  <c r="T65" i="17"/>
  <c r="V65" i="17"/>
  <c r="GC85" i="10"/>
  <c r="CH631" i="15"/>
  <c r="GD86" i="18"/>
  <c r="BW631" i="15"/>
  <c r="CZ84" i="10" l="1"/>
  <c r="CX84" i="10"/>
  <c r="DB84" i="10"/>
  <c r="CU83" i="10"/>
  <c r="CU38" i="10" s="1"/>
  <c r="L5" i="15" s="1"/>
  <c r="DC83" i="10"/>
  <c r="CY83" i="10"/>
  <c r="DB83" i="10"/>
  <c r="DA83" i="10"/>
  <c r="CX83" i="10"/>
  <c r="CZ83" i="10"/>
  <c r="CY84" i="10"/>
  <c r="DC628" i="15"/>
  <c r="DE628" i="15" s="1"/>
  <c r="CF630" i="15"/>
  <c r="CQ630" i="15" s="1"/>
  <c r="CV630" i="15" s="1"/>
  <c r="CD630" i="15"/>
  <c r="CE630" i="15"/>
  <c r="CP630" i="15" s="1"/>
  <c r="CU630" i="15" s="1"/>
  <c r="BQ632" i="15"/>
  <c r="J71" i="15"/>
  <c r="AH622" i="15" s="1"/>
  <c r="CT86" i="10"/>
  <c r="DA85" i="10"/>
  <c r="CX85" i="10"/>
  <c r="CZ85" i="10"/>
  <c r="CY85" i="10"/>
  <c r="DB85" i="10"/>
  <c r="DC85" i="10"/>
  <c r="LO89" i="24"/>
  <c r="LS88" i="24"/>
  <c r="AC65" i="17"/>
  <c r="AD65" i="17"/>
  <c r="AE65" i="17"/>
  <c r="AB65" i="17"/>
  <c r="AG67" i="15"/>
  <c r="BH68" i="15"/>
  <c r="AG67" i="17"/>
  <c r="FR87" i="10"/>
  <c r="AU68" i="15"/>
  <c r="BB211" i="15"/>
  <c r="BH67" i="17"/>
  <c r="L68" i="17"/>
  <c r="S67" i="17"/>
  <c r="BB211" i="17"/>
  <c r="L68" i="15"/>
  <c r="AU76" i="17"/>
  <c r="GC87" i="24"/>
  <c r="W66" i="17"/>
  <c r="GD87" i="24"/>
  <c r="GB86" i="10"/>
  <c r="GD87" i="18"/>
  <c r="AO66" i="17"/>
  <c r="AP66" i="17"/>
  <c r="T66" i="17"/>
  <c r="BY631" i="15"/>
  <c r="CH632" i="15"/>
  <c r="U66" i="17"/>
  <c r="AO67" i="15"/>
  <c r="CK631" i="15"/>
  <c r="V66" i="17"/>
  <c r="FS86" i="10"/>
  <c r="BZ631" i="15"/>
  <c r="GC86" i="10"/>
  <c r="GA87" i="24"/>
  <c r="AP66" i="15"/>
  <c r="K5" i="15" l="1"/>
  <c r="N20" i="26" s="1"/>
  <c r="L6" i="15"/>
  <c r="L7" i="15" s="1"/>
  <c r="DC629" i="15"/>
  <c r="DE629" i="15" s="1"/>
  <c r="CE631" i="15"/>
  <c r="CP631" i="15" s="1"/>
  <c r="CU631" i="15" s="1"/>
  <c r="CF631" i="15"/>
  <c r="CQ631" i="15" s="1"/>
  <c r="CV631" i="15" s="1"/>
  <c r="BQ633" i="15"/>
  <c r="J72" i="15"/>
  <c r="AH623" i="15" s="1"/>
  <c r="CT87" i="10"/>
  <c r="DB86" i="10"/>
  <c r="CX86" i="10"/>
  <c r="DA86" i="10"/>
  <c r="CY86" i="10"/>
  <c r="CZ86" i="10"/>
  <c r="DC86" i="10"/>
  <c r="LO90" i="24"/>
  <c r="LS89" i="24"/>
  <c r="AB66" i="17"/>
  <c r="AD66" i="17"/>
  <c r="AC66" i="17"/>
  <c r="AE66" i="17"/>
  <c r="BB212" i="17"/>
  <c r="BH68" i="17"/>
  <c r="BH69" i="15"/>
  <c r="L69" i="15"/>
  <c r="L69" i="17"/>
  <c r="S68" i="17"/>
  <c r="BB212" i="15"/>
  <c r="AG68" i="17"/>
  <c r="AU77" i="17"/>
  <c r="AU69" i="15"/>
  <c r="AG68" i="15"/>
  <c r="GC87" i="10"/>
  <c r="T67" i="17"/>
  <c r="CH633" i="15"/>
  <c r="BZ632" i="15"/>
  <c r="V67" i="17"/>
  <c r="W67" i="17"/>
  <c r="AO68" i="15"/>
  <c r="U67" i="17"/>
  <c r="AO67" i="17"/>
  <c r="BV631" i="15"/>
  <c r="AP67" i="17"/>
  <c r="GB87" i="10"/>
  <c r="AP67" i="15"/>
  <c r="BY632" i="15"/>
  <c r="L8" i="15" l="1"/>
  <c r="M8" i="15" s="1"/>
  <c r="N8" i="15" s="1"/>
  <c r="J8" i="15" s="1"/>
  <c r="M24" i="26" s="1"/>
  <c r="M6" i="15"/>
  <c r="N6" i="15" s="1"/>
  <c r="J6" i="15" s="1"/>
  <c r="M22" i="26" s="1"/>
  <c r="M7" i="15"/>
  <c r="N7" i="15" s="1"/>
  <c r="J7" i="15" s="1"/>
  <c r="M23" i="26" s="1"/>
  <c r="DC630" i="15"/>
  <c r="DE630" i="15" s="1"/>
  <c r="CF632" i="15"/>
  <c r="CQ632" i="15" s="1"/>
  <c r="CV632" i="15" s="1"/>
  <c r="CE632" i="15"/>
  <c r="CP632" i="15" s="1"/>
  <c r="CU632" i="15" s="1"/>
  <c r="BQ634" i="15"/>
  <c r="J73" i="15"/>
  <c r="AH624" i="15" s="1"/>
  <c r="CT88" i="10"/>
  <c r="DB87" i="10"/>
  <c r="CX87" i="10"/>
  <c r="DC87" i="10"/>
  <c r="DA87" i="10"/>
  <c r="CY87" i="10"/>
  <c r="CZ87" i="10"/>
  <c r="LO91" i="24"/>
  <c r="LS90" i="24"/>
  <c r="AC67" i="17"/>
  <c r="AD67" i="17"/>
  <c r="AE67" i="17"/>
  <c r="AB67" i="17"/>
  <c r="AU70" i="15"/>
  <c r="AU78" i="17"/>
  <c r="BB213" i="15"/>
  <c r="L70" i="17"/>
  <c r="S69" i="17"/>
  <c r="BH70" i="15"/>
  <c r="AG69" i="15"/>
  <c r="AG69" i="17"/>
  <c r="L70" i="15"/>
  <c r="BH69" i="17"/>
  <c r="BB213" i="17"/>
  <c r="AP68" i="17"/>
  <c r="V68" i="17"/>
  <c r="AO68" i="17"/>
  <c r="BZ633" i="15"/>
  <c r="W68" i="17"/>
  <c r="CH634" i="15"/>
  <c r="U68" i="17"/>
  <c r="AP68" i="15"/>
  <c r="BY633" i="15"/>
  <c r="T68" i="17"/>
  <c r="AO69" i="15"/>
  <c r="DC631" i="15" l="1"/>
  <c r="DE631" i="15" s="1"/>
  <c r="CE633" i="15"/>
  <c r="CP633" i="15" s="1"/>
  <c r="CU633" i="15" s="1"/>
  <c r="CF633" i="15"/>
  <c r="CQ633" i="15" s="1"/>
  <c r="CV633" i="15" s="1"/>
  <c r="BQ635" i="15"/>
  <c r="J74" i="15"/>
  <c r="AH625" i="15" s="1"/>
  <c r="CT89" i="10"/>
  <c r="CX88" i="10"/>
  <c r="DB88" i="10"/>
  <c r="CY88" i="10"/>
  <c r="DC88" i="10"/>
  <c r="CZ88" i="10"/>
  <c r="DA88" i="10"/>
  <c r="LO92" i="24"/>
  <c r="LS91" i="24"/>
  <c r="AD68" i="17"/>
  <c r="AC68" i="17"/>
  <c r="AE68" i="17"/>
  <c r="AB68" i="17"/>
  <c r="BH70" i="17"/>
  <c r="L71" i="15"/>
  <c r="BH71" i="15"/>
  <c r="BB214" i="15"/>
  <c r="AG70" i="17"/>
  <c r="AG70" i="15"/>
  <c r="AU71" i="15"/>
  <c r="L71" i="17"/>
  <c r="S70" i="17"/>
  <c r="BB214" i="17"/>
  <c r="AU79" i="17"/>
  <c r="AO69" i="17"/>
  <c r="V69" i="17"/>
  <c r="T69" i="17"/>
  <c r="AI74" i="15"/>
  <c r="W69" i="17"/>
  <c r="BZ634" i="15"/>
  <c r="AP69" i="17"/>
  <c r="BY634" i="15"/>
  <c r="U69" i="17"/>
  <c r="AP69" i="15"/>
  <c r="CH635" i="15"/>
  <c r="AO70" i="15"/>
  <c r="DC632" i="15" l="1"/>
  <c r="DE632" i="15" s="1"/>
  <c r="CF634" i="15"/>
  <c r="CQ634" i="15" s="1"/>
  <c r="CV634" i="15" s="1"/>
  <c r="CE634" i="15"/>
  <c r="CP634" i="15" s="1"/>
  <c r="CU634" i="15" s="1"/>
  <c r="BQ636" i="15"/>
  <c r="J75" i="15"/>
  <c r="AH626" i="15" s="1"/>
  <c r="CT90" i="10"/>
  <c r="DA89" i="10"/>
  <c r="DB89" i="10"/>
  <c r="CX89" i="10"/>
  <c r="DC89" i="10"/>
  <c r="CZ89" i="10"/>
  <c r="CY89" i="10"/>
  <c r="LO93" i="24"/>
  <c r="LS92" i="24"/>
  <c r="AB69" i="17"/>
  <c r="AC69" i="17"/>
  <c r="AD69" i="17"/>
  <c r="AE69" i="17"/>
  <c r="AU80" i="17"/>
  <c r="AU72" i="15"/>
  <c r="BH72" i="15"/>
  <c r="BH71" i="17"/>
  <c r="BB215" i="17"/>
  <c r="AG71" i="15"/>
  <c r="L72" i="17"/>
  <c r="S71" i="17"/>
  <c r="AG71" i="17"/>
  <c r="BB215" i="15"/>
  <c r="L72" i="15"/>
  <c r="U70" i="17"/>
  <c r="AH70" i="17"/>
  <c r="W70" i="17"/>
  <c r="BX635" i="15"/>
  <c r="BZ635" i="15"/>
  <c r="AP70" i="17"/>
  <c r="BW636" i="15"/>
  <c r="V70" i="17"/>
  <c r="AO70" i="17"/>
  <c r="BY635" i="15"/>
  <c r="AH70" i="15"/>
  <c r="AI74" i="17"/>
  <c r="AP70" i="15"/>
  <c r="T70" i="17"/>
  <c r="CK636" i="15"/>
  <c r="AO71" i="15"/>
  <c r="DC633" i="15" l="1"/>
  <c r="DE633" i="15" s="1"/>
  <c r="CE635" i="15"/>
  <c r="CP635" i="15" s="1"/>
  <c r="CU635" i="15" s="1"/>
  <c r="CF635" i="15"/>
  <c r="CQ635" i="15" s="1"/>
  <c r="CV635" i="15" s="1"/>
  <c r="CD635" i="15"/>
  <c r="BQ637" i="15"/>
  <c r="J76" i="15"/>
  <c r="AH627" i="15" s="1"/>
  <c r="CT91" i="10"/>
  <c r="DA90" i="10"/>
  <c r="CX90" i="10"/>
  <c r="CY90" i="10"/>
  <c r="DC90" i="10"/>
  <c r="CZ90" i="10"/>
  <c r="DB90" i="10"/>
  <c r="LO94" i="24"/>
  <c r="LS93" i="24"/>
  <c r="AD70" i="17"/>
  <c r="AC70" i="17"/>
  <c r="AE70" i="17"/>
  <c r="AB70" i="17"/>
  <c r="BH73" i="15"/>
  <c r="L73" i="15"/>
  <c r="L73" i="17"/>
  <c r="S72" i="17"/>
  <c r="BB216" i="15"/>
  <c r="AG72" i="17"/>
  <c r="AG72" i="15"/>
  <c r="BB216" i="17"/>
  <c r="BH72" i="17"/>
  <c r="AU73" i="15"/>
  <c r="AU81" i="17"/>
  <c r="CH636" i="15"/>
  <c r="AO72" i="15"/>
  <c r="AP71" i="15"/>
  <c r="BY636" i="15"/>
  <c r="T71" i="17"/>
  <c r="U71" i="17"/>
  <c r="CH637" i="15"/>
  <c r="BZ636" i="15"/>
  <c r="V71" i="17"/>
  <c r="AO71" i="17"/>
  <c r="W71" i="17"/>
  <c r="AP71" i="17"/>
  <c r="DC634" i="15" l="1"/>
  <c r="DE634" i="15" s="1"/>
  <c r="CF636" i="15"/>
  <c r="CQ636" i="15" s="1"/>
  <c r="CV636" i="15" s="1"/>
  <c r="CE636" i="15"/>
  <c r="CP636" i="15" s="1"/>
  <c r="CU636" i="15" s="1"/>
  <c r="BQ638" i="15"/>
  <c r="J77" i="15"/>
  <c r="AH628" i="15" s="1"/>
  <c r="CT92" i="10"/>
  <c r="CX91" i="10"/>
  <c r="DC91" i="10"/>
  <c r="CY91" i="10"/>
  <c r="DA91" i="10"/>
  <c r="CZ91" i="10"/>
  <c r="DB91" i="10"/>
  <c r="LO95" i="24"/>
  <c r="LS94" i="24"/>
  <c r="AE71" i="17"/>
  <c r="AD71" i="17"/>
  <c r="AC71" i="17"/>
  <c r="AB71" i="17"/>
  <c r="AU82" i="17"/>
  <c r="BH74" i="15"/>
  <c r="AG73" i="15"/>
  <c r="S73" i="17"/>
  <c r="L74" i="17"/>
  <c r="BH73" i="17"/>
  <c r="BB217" i="17"/>
  <c r="AU74" i="15"/>
  <c r="AG73" i="17"/>
  <c r="BB217" i="15"/>
  <c r="L74" i="15"/>
  <c r="T72" i="17"/>
  <c r="CH638" i="15"/>
  <c r="AP72" i="17"/>
  <c r="AO72" i="17"/>
  <c r="V72" i="17"/>
  <c r="U72" i="17"/>
  <c r="AP72" i="15"/>
  <c r="BY637" i="15"/>
  <c r="BV636" i="15"/>
  <c r="BZ637" i="15"/>
  <c r="W72" i="17"/>
  <c r="AO73" i="15"/>
  <c r="DC635" i="15" l="1"/>
  <c r="DE635" i="15" s="1"/>
  <c r="CE637" i="15"/>
  <c r="CP637" i="15" s="1"/>
  <c r="CU637" i="15" s="1"/>
  <c r="CF637" i="15"/>
  <c r="CQ637" i="15" s="1"/>
  <c r="CV637" i="15" s="1"/>
  <c r="BQ639" i="15"/>
  <c r="J78" i="15"/>
  <c r="AH629" i="15" s="1"/>
  <c r="CT93" i="10"/>
  <c r="DB92" i="10"/>
  <c r="DC92" i="10"/>
  <c r="CX92" i="10"/>
  <c r="CY92" i="10"/>
  <c r="DA92" i="10"/>
  <c r="CZ92" i="10"/>
  <c r="LO96" i="24"/>
  <c r="LS95" i="24"/>
  <c r="AC72" i="17"/>
  <c r="AD72" i="17"/>
  <c r="AE72" i="17"/>
  <c r="AB72" i="17"/>
  <c r="AU75" i="15"/>
  <c r="BH74" i="17"/>
  <c r="BH75" i="15"/>
  <c r="AG74" i="17"/>
  <c r="AG74" i="15"/>
  <c r="L75" i="15"/>
  <c r="BB218" i="15"/>
  <c r="AU83" i="17"/>
  <c r="BB218" i="17"/>
  <c r="L75" i="17"/>
  <c r="S74" i="17"/>
  <c r="BY638" i="15"/>
  <c r="U73" i="17"/>
  <c r="AP73" i="15"/>
  <c r="V73" i="17"/>
  <c r="T73" i="17"/>
  <c r="AP73" i="17"/>
  <c r="W73" i="17"/>
  <c r="AO74" i="15"/>
  <c r="BZ638" i="15"/>
  <c r="AO73" i="17"/>
  <c r="CH639" i="15"/>
  <c r="DC636" i="15" l="1"/>
  <c r="DE636" i="15" s="1"/>
  <c r="CF638" i="15"/>
  <c r="CQ638" i="15" s="1"/>
  <c r="CV638" i="15" s="1"/>
  <c r="CE638" i="15"/>
  <c r="CP638" i="15" s="1"/>
  <c r="CU638" i="15" s="1"/>
  <c r="BQ640" i="15"/>
  <c r="J79" i="15"/>
  <c r="AH630" i="15" s="1"/>
  <c r="CT94" i="10"/>
  <c r="DA93" i="10"/>
  <c r="CX93" i="10"/>
  <c r="CY93" i="10"/>
  <c r="DB93" i="10"/>
  <c r="CZ93" i="10"/>
  <c r="DC93" i="10"/>
  <c r="LO97" i="24"/>
  <c r="LS96" i="24"/>
  <c r="AE73" i="17"/>
  <c r="AD73" i="17"/>
  <c r="AC73" i="17"/>
  <c r="AB73" i="17"/>
  <c r="BB219" i="17"/>
  <c r="AG75" i="15"/>
  <c r="BH76" i="15"/>
  <c r="AU84" i="17"/>
  <c r="BB219" i="15"/>
  <c r="AG75" i="17"/>
  <c r="BH75" i="17"/>
  <c r="AU76" i="15"/>
  <c r="S75" i="17"/>
  <c r="L76" i="17"/>
  <c r="L76" i="15"/>
  <c r="AP74" i="15"/>
  <c r="T74" i="17"/>
  <c r="AO74" i="17"/>
  <c r="W74" i="17"/>
  <c r="U74" i="17"/>
  <c r="AP74" i="17"/>
  <c r="BZ639" i="15"/>
  <c r="V74" i="17"/>
  <c r="BY639" i="15"/>
  <c r="CH640" i="15"/>
  <c r="AO75" i="15"/>
  <c r="DC637" i="15" l="1"/>
  <c r="DE637" i="15" s="1"/>
  <c r="CE639" i="15"/>
  <c r="CP639" i="15" s="1"/>
  <c r="CU639" i="15" s="1"/>
  <c r="CF639" i="15"/>
  <c r="CQ639" i="15" s="1"/>
  <c r="CV639" i="15" s="1"/>
  <c r="BQ641" i="15"/>
  <c r="J80" i="15"/>
  <c r="AH631" i="15" s="1"/>
  <c r="CT95" i="10"/>
  <c r="DC94" i="10"/>
  <c r="CX94" i="10"/>
  <c r="DB94" i="10"/>
  <c r="CY94" i="10"/>
  <c r="CZ94" i="10"/>
  <c r="DA94" i="10"/>
  <c r="LO98" i="24"/>
  <c r="LS97" i="24"/>
  <c r="AC74" i="17"/>
  <c r="AD74" i="17"/>
  <c r="AE74" i="17"/>
  <c r="AB74" i="17"/>
  <c r="AG76" i="17"/>
  <c r="BB220" i="15"/>
  <c r="AG76" i="15"/>
  <c r="BH76" i="17"/>
  <c r="L77" i="15"/>
  <c r="AU77" i="15"/>
  <c r="AU85" i="17"/>
  <c r="BB220" i="17"/>
  <c r="L77" i="17"/>
  <c r="S76" i="17"/>
  <c r="BH77" i="15"/>
  <c r="AI79" i="15"/>
  <c r="AH75" i="17"/>
  <c r="V75" i="17"/>
  <c r="AO75" i="17"/>
  <c r="U75" i="17"/>
  <c r="CH641" i="15"/>
  <c r="BZ640" i="15"/>
  <c r="AP75" i="17"/>
  <c r="CK641" i="15"/>
  <c r="AO76" i="15"/>
  <c r="W75" i="17"/>
  <c r="BY640" i="15"/>
  <c r="BX640" i="15"/>
  <c r="BW641" i="15"/>
  <c r="AH75" i="15"/>
  <c r="T75" i="17"/>
  <c r="AI79" i="17"/>
  <c r="AP75" i="15"/>
  <c r="DC638" i="15" l="1"/>
  <c r="DE638" i="15" s="1"/>
  <c r="CD640" i="15"/>
  <c r="CF640" i="15"/>
  <c r="CQ640" i="15" s="1"/>
  <c r="CV640" i="15" s="1"/>
  <c r="CE640" i="15"/>
  <c r="CP640" i="15" s="1"/>
  <c r="CU640" i="15" s="1"/>
  <c r="BQ642" i="15"/>
  <c r="J81" i="15"/>
  <c r="AH632" i="15" s="1"/>
  <c r="CT96" i="10"/>
  <c r="DB95" i="10"/>
  <c r="DC95" i="10"/>
  <c r="CX95" i="10"/>
  <c r="CZ95" i="10"/>
  <c r="CY95" i="10"/>
  <c r="DA95" i="10"/>
  <c r="LO99" i="24"/>
  <c r="LS98" i="24"/>
  <c r="AE75" i="17"/>
  <c r="AD75" i="17"/>
  <c r="AC75" i="17"/>
  <c r="AB75" i="17"/>
  <c r="L78" i="15"/>
  <c r="L78" i="17"/>
  <c r="S77" i="17"/>
  <c r="AU86" i="17"/>
  <c r="AU78" i="15"/>
  <c r="BH77" i="17"/>
  <c r="AG77" i="15"/>
  <c r="BB221" i="15"/>
  <c r="AG77" i="17"/>
  <c r="BH78" i="15"/>
  <c r="BB221" i="17"/>
  <c r="BZ641" i="15"/>
  <c r="BY641" i="15"/>
  <c r="U76" i="17"/>
  <c r="AO77" i="15"/>
  <c r="AP76" i="17"/>
  <c r="CH642" i="15"/>
  <c r="AP76" i="15"/>
  <c r="AO76" i="17"/>
  <c r="T76" i="17"/>
  <c r="V76" i="17"/>
  <c r="W76" i="17"/>
  <c r="DC639" i="15" l="1"/>
  <c r="DE639" i="15" s="1"/>
  <c r="CE641" i="15"/>
  <c r="CP641" i="15" s="1"/>
  <c r="CU641" i="15" s="1"/>
  <c r="CF641" i="15"/>
  <c r="CQ641" i="15" s="1"/>
  <c r="CV641" i="15" s="1"/>
  <c r="BQ643" i="15"/>
  <c r="J82" i="15"/>
  <c r="AH633" i="15" s="1"/>
  <c r="CT97" i="10"/>
  <c r="DB96" i="10"/>
  <c r="CX96" i="10"/>
  <c r="DA96" i="10"/>
  <c r="CY96" i="10"/>
  <c r="DC96" i="10"/>
  <c r="CZ96" i="10"/>
  <c r="LO100" i="24"/>
  <c r="LS99" i="24"/>
  <c r="AB76" i="17"/>
  <c r="AC76" i="17"/>
  <c r="AD76" i="17"/>
  <c r="AE76" i="17"/>
  <c r="BB222" i="15"/>
  <c r="BH78" i="17"/>
  <c r="AG78" i="15"/>
  <c r="BB222" i="17"/>
  <c r="BH79" i="15"/>
  <c r="AG78" i="17"/>
  <c r="AU79" i="15"/>
  <c r="AU87" i="17"/>
  <c r="L79" i="17"/>
  <c r="S78" i="17"/>
  <c r="L79" i="15"/>
  <c r="BZ642" i="15"/>
  <c r="AP77" i="17"/>
  <c r="AP77" i="15"/>
  <c r="U77" i="17"/>
  <c r="AO77" i="17"/>
  <c r="BV641" i="15"/>
  <c r="BY642" i="15"/>
  <c r="W77" i="17"/>
  <c r="AO78" i="15"/>
  <c r="V77" i="17"/>
  <c r="T77" i="17"/>
  <c r="CH643" i="15"/>
  <c r="DC640" i="15" l="1"/>
  <c r="DE640" i="15" s="1"/>
  <c r="CF642" i="15"/>
  <c r="CQ642" i="15" s="1"/>
  <c r="CV642" i="15" s="1"/>
  <c r="CE642" i="15"/>
  <c r="CP642" i="15" s="1"/>
  <c r="CU642" i="15" s="1"/>
  <c r="BQ644" i="15"/>
  <c r="J83" i="15"/>
  <c r="AH634" i="15" s="1"/>
  <c r="CT98" i="10"/>
  <c r="DC97" i="10"/>
  <c r="CX97" i="10"/>
  <c r="DA97" i="10"/>
  <c r="CY97" i="10"/>
  <c r="DB97" i="10"/>
  <c r="CZ97" i="10"/>
  <c r="LO101" i="24"/>
  <c r="LS100" i="24"/>
  <c r="AE77" i="17"/>
  <c r="AD77" i="17"/>
  <c r="AC77" i="17"/>
  <c r="AB77" i="17"/>
  <c r="AG79" i="15"/>
  <c r="BH79" i="17"/>
  <c r="AU80" i="15"/>
  <c r="AG79" i="17"/>
  <c r="AU88" i="17"/>
  <c r="BH80" i="15"/>
  <c r="L80" i="17"/>
  <c r="S79" i="17"/>
  <c r="L80" i="15"/>
  <c r="BB223" i="17"/>
  <c r="BB223" i="15"/>
  <c r="T78" i="17"/>
  <c r="BZ643" i="15"/>
  <c r="V78" i="17"/>
  <c r="AP78" i="15"/>
  <c r="AO78" i="17"/>
  <c r="AP78" i="17"/>
  <c r="U78" i="17"/>
  <c r="BY643" i="15"/>
  <c r="W78" i="17"/>
  <c r="AO79" i="15"/>
  <c r="CH644" i="15"/>
  <c r="DC641" i="15" l="1"/>
  <c r="DE641" i="15" s="1"/>
  <c r="CE643" i="15"/>
  <c r="CP643" i="15" s="1"/>
  <c r="CU643" i="15" s="1"/>
  <c r="CF643" i="15"/>
  <c r="CQ643" i="15" s="1"/>
  <c r="CV643" i="15" s="1"/>
  <c r="BQ645" i="15"/>
  <c r="J84" i="15"/>
  <c r="AH635" i="15" s="1"/>
  <c r="CT99" i="10"/>
  <c r="DC98" i="10"/>
  <c r="CX98" i="10"/>
  <c r="CY98" i="10"/>
  <c r="DA98" i="10"/>
  <c r="CZ98" i="10"/>
  <c r="DB98" i="10"/>
  <c r="LO102" i="24"/>
  <c r="LS101" i="24"/>
  <c r="AC78" i="17"/>
  <c r="AD78" i="17"/>
  <c r="AE78" i="17"/>
  <c r="AB78" i="17"/>
  <c r="L81" i="15"/>
  <c r="BH81" i="15"/>
  <c r="BB224" i="15"/>
  <c r="BB224" i="17"/>
  <c r="AU89" i="17"/>
  <c r="AG80" i="15"/>
  <c r="AG80" i="17"/>
  <c r="L81" i="17"/>
  <c r="S80" i="17"/>
  <c r="AU81" i="15"/>
  <c r="BH80" i="17"/>
  <c r="U79" i="17"/>
  <c r="BY644" i="15"/>
  <c r="V79" i="17"/>
  <c r="AO79" i="17"/>
  <c r="W79" i="17"/>
  <c r="T79" i="17"/>
  <c r="BZ644" i="15"/>
  <c r="AP79" i="15"/>
  <c r="AP79" i="17"/>
  <c r="CH645" i="15"/>
  <c r="AO80" i="15"/>
  <c r="DC642" i="15" l="1"/>
  <c r="DE642" i="15" s="1"/>
  <c r="CF644" i="15"/>
  <c r="CQ644" i="15" s="1"/>
  <c r="CV644" i="15" s="1"/>
  <c r="CE644" i="15"/>
  <c r="CP644" i="15" s="1"/>
  <c r="CU644" i="15" s="1"/>
  <c r="BQ646" i="15"/>
  <c r="J85" i="15"/>
  <c r="AH636" i="15" s="1"/>
  <c r="CT100" i="10"/>
  <c r="CX99" i="10"/>
  <c r="DC99" i="10"/>
  <c r="DB99" i="10"/>
  <c r="CY99" i="10"/>
  <c r="DA99" i="10"/>
  <c r="CZ99" i="10"/>
  <c r="LO103" i="24"/>
  <c r="LS102" i="24"/>
  <c r="AB79" i="17"/>
  <c r="AE79" i="17"/>
  <c r="AD79" i="17"/>
  <c r="AC79" i="17"/>
  <c r="BH81" i="17"/>
  <c r="AU82" i="15"/>
  <c r="AU90" i="17"/>
  <c r="BH82" i="15"/>
  <c r="AG81" i="17"/>
  <c r="BB225" i="15"/>
  <c r="S81" i="17"/>
  <c r="L82" i="17"/>
  <c r="AG81" i="15"/>
  <c r="L82" i="15"/>
  <c r="BB225" i="17"/>
  <c r="AI84" i="15"/>
  <c r="AP80" i="17"/>
  <c r="W80" i="17"/>
  <c r="AO80" i="17"/>
  <c r="AP80" i="15"/>
  <c r="CK646" i="15"/>
  <c r="T80" i="17"/>
  <c r="BW646" i="15"/>
  <c r="AH80" i="17"/>
  <c r="U80" i="17"/>
  <c r="CH646" i="15"/>
  <c r="BY645" i="15"/>
  <c r="AH80" i="15"/>
  <c r="BZ645" i="15"/>
  <c r="BX645" i="15"/>
  <c r="AI84" i="17"/>
  <c r="V80" i="17"/>
  <c r="AO81" i="15"/>
  <c r="DC643" i="15" l="1"/>
  <c r="DE643" i="15" s="1"/>
  <c r="CE645" i="15"/>
  <c r="CP645" i="15" s="1"/>
  <c r="CU645" i="15" s="1"/>
  <c r="CD645" i="15"/>
  <c r="CF645" i="15"/>
  <c r="CQ645" i="15" s="1"/>
  <c r="CV645" i="15" s="1"/>
  <c r="BQ647" i="15"/>
  <c r="J86" i="15"/>
  <c r="AH637" i="15" s="1"/>
  <c r="CT101" i="10"/>
  <c r="DB100" i="10"/>
  <c r="CX100" i="10"/>
  <c r="DA100" i="10"/>
  <c r="CY100" i="10"/>
  <c r="DC100" i="10"/>
  <c r="CZ100" i="10"/>
  <c r="LO104" i="24"/>
  <c r="LS103" i="24"/>
  <c r="AC80" i="17"/>
  <c r="AD80" i="17"/>
  <c r="AE80" i="17"/>
  <c r="AB80" i="17"/>
  <c r="BH82" i="17"/>
  <c r="L83" i="15"/>
  <c r="AG82" i="15"/>
  <c r="BB226" i="15"/>
  <c r="BB226" i="17"/>
  <c r="BH83" i="15"/>
  <c r="L83" i="17"/>
  <c r="S82" i="17"/>
  <c r="AG82" i="17"/>
  <c r="AU91" i="17"/>
  <c r="AU83" i="15"/>
  <c r="CH647" i="15"/>
  <c r="U81" i="17"/>
  <c r="AO82" i="15"/>
  <c r="AO81" i="17"/>
  <c r="AP81" i="17"/>
  <c r="V81" i="17"/>
  <c r="T81" i="17"/>
  <c r="BZ646" i="15"/>
  <c r="BY646" i="15"/>
  <c r="AP81" i="15"/>
  <c r="W81" i="17"/>
  <c r="DC644" i="15" l="1"/>
  <c r="DE644" i="15" s="1"/>
  <c r="CF646" i="15"/>
  <c r="CQ646" i="15" s="1"/>
  <c r="CV646" i="15" s="1"/>
  <c r="CE646" i="15"/>
  <c r="CP646" i="15" s="1"/>
  <c r="CU646" i="15" s="1"/>
  <c r="BQ648" i="15"/>
  <c r="J87" i="15"/>
  <c r="AH638" i="15" s="1"/>
  <c r="CT102" i="10"/>
  <c r="DA101" i="10"/>
  <c r="CX101" i="10"/>
  <c r="CY101" i="10"/>
  <c r="DC101" i="10"/>
  <c r="DB101" i="10"/>
  <c r="CZ101" i="10"/>
  <c r="LO105" i="24"/>
  <c r="LS104" i="24"/>
  <c r="AE81" i="17"/>
  <c r="AD81" i="17"/>
  <c r="AC81" i="17"/>
  <c r="AB81" i="17"/>
  <c r="L84" i="17"/>
  <c r="S83" i="17"/>
  <c r="AU84" i="15"/>
  <c r="BH84" i="15"/>
  <c r="BB227" i="17"/>
  <c r="BB227" i="15"/>
  <c r="AU92" i="17"/>
  <c r="AG83" i="17"/>
  <c r="L84" i="15"/>
  <c r="AG83" i="15"/>
  <c r="BH83" i="17"/>
  <c r="T82" i="17"/>
  <c r="BZ647" i="15"/>
  <c r="W82" i="17"/>
  <c r="BV646" i="15"/>
  <c r="AP82" i="17"/>
  <c r="AP82" i="15"/>
  <c r="U82" i="17"/>
  <c r="AO82" i="17"/>
  <c r="BY647" i="15"/>
  <c r="V82" i="17"/>
  <c r="CH648" i="15"/>
  <c r="AO83" i="15"/>
  <c r="DC645" i="15" l="1"/>
  <c r="DE645" i="15" s="1"/>
  <c r="CE647" i="15"/>
  <c r="CP647" i="15" s="1"/>
  <c r="CU647" i="15" s="1"/>
  <c r="CF647" i="15"/>
  <c r="CQ647" i="15" s="1"/>
  <c r="CV647" i="15" s="1"/>
  <c r="BQ649" i="15"/>
  <c r="J88" i="15"/>
  <c r="AH639" i="15" s="1"/>
  <c r="CT103" i="10"/>
  <c r="DB102" i="10"/>
  <c r="CX102" i="10"/>
  <c r="DA102" i="10"/>
  <c r="CY102" i="10"/>
  <c r="CZ102" i="10"/>
  <c r="DC102" i="10"/>
  <c r="LO106" i="24"/>
  <c r="LS105" i="24"/>
  <c r="AC82" i="17"/>
  <c r="AD82" i="17"/>
  <c r="AE82" i="17"/>
  <c r="AB82" i="17"/>
  <c r="AG84" i="17"/>
  <c r="AU93" i="17"/>
  <c r="BB228" i="15"/>
  <c r="BH85" i="15"/>
  <c r="L85" i="17"/>
  <c r="S84" i="17"/>
  <c r="AG84" i="15"/>
  <c r="BH84" i="17"/>
  <c r="BB228" i="17"/>
  <c r="AU85" i="15"/>
  <c r="L85" i="15"/>
  <c r="AO83" i="17"/>
  <c r="U83" i="17"/>
  <c r="AO84" i="15"/>
  <c r="T83" i="17"/>
  <c r="BZ648" i="15"/>
  <c r="AP83" i="17"/>
  <c r="W83" i="17"/>
  <c r="AP83" i="15"/>
  <c r="BY648" i="15"/>
  <c r="V83" i="17"/>
  <c r="CH649" i="15"/>
  <c r="DC646" i="15" l="1"/>
  <c r="DE646" i="15" s="1"/>
  <c r="CF648" i="15"/>
  <c r="CQ648" i="15" s="1"/>
  <c r="CV648" i="15" s="1"/>
  <c r="CE648" i="15"/>
  <c r="CP648" i="15" s="1"/>
  <c r="CU648" i="15" s="1"/>
  <c r="BQ650" i="15"/>
  <c r="J89" i="15"/>
  <c r="AH640" i="15" s="1"/>
  <c r="CT104" i="10"/>
  <c r="DB103" i="10"/>
  <c r="CX103" i="10"/>
  <c r="DC103" i="10"/>
  <c r="DA103" i="10"/>
  <c r="CZ103" i="10"/>
  <c r="CY103" i="10"/>
  <c r="LO107" i="24"/>
  <c r="LS106" i="24"/>
  <c r="AE83" i="17"/>
  <c r="AD83" i="17"/>
  <c r="AC83" i="17"/>
  <c r="AB83" i="17"/>
  <c r="BH85" i="17"/>
  <c r="S85" i="17"/>
  <c r="L86" i="17"/>
  <c r="BB229" i="17"/>
  <c r="L86" i="15"/>
  <c r="AG85" i="17"/>
  <c r="BH86" i="15"/>
  <c r="AU94" i="17"/>
  <c r="AU86" i="15"/>
  <c r="AG85" i="15"/>
  <c r="BB229" i="15"/>
  <c r="AP84" i="17"/>
  <c r="W84" i="17"/>
  <c r="AO84" i="17"/>
  <c r="BY649" i="15"/>
  <c r="U84" i="17"/>
  <c r="V84" i="17"/>
  <c r="BZ649" i="15"/>
  <c r="AP84" i="15"/>
  <c r="T84" i="17"/>
  <c r="CH650" i="15"/>
  <c r="AI89" i="15"/>
  <c r="DC647" i="15" l="1"/>
  <c r="DE647" i="15" s="1"/>
  <c r="CE649" i="15"/>
  <c r="CP649" i="15" s="1"/>
  <c r="CU649" i="15" s="1"/>
  <c r="CF649" i="15"/>
  <c r="CQ649" i="15" s="1"/>
  <c r="CV649" i="15" s="1"/>
  <c r="BQ651" i="15"/>
  <c r="J90" i="15"/>
  <c r="AH641" i="15" s="1"/>
  <c r="CT105" i="10"/>
  <c r="CX104" i="10"/>
  <c r="DC104" i="10"/>
  <c r="CZ104" i="10"/>
  <c r="DA104" i="10"/>
  <c r="CY104" i="10"/>
  <c r="DB104" i="10"/>
  <c r="LO108" i="24"/>
  <c r="LS107" i="24"/>
  <c r="AC84" i="17"/>
  <c r="AD84" i="17"/>
  <c r="AE84" i="17"/>
  <c r="AB84" i="17"/>
  <c r="BB230" i="15"/>
  <c r="AG86" i="17"/>
  <c r="L87" i="15"/>
  <c r="L87" i="17"/>
  <c r="S86" i="17"/>
  <c r="AG86" i="15"/>
  <c r="BH87" i="15"/>
  <c r="AU87" i="15"/>
  <c r="AU95" i="17"/>
  <c r="BH86" i="17"/>
  <c r="BB230" i="17"/>
  <c r="AO85" i="15"/>
  <c r="AI89" i="17"/>
  <c r="BY650" i="15"/>
  <c r="AP85" i="15"/>
  <c r="AP85" i="17"/>
  <c r="AO85" i="17"/>
  <c r="AO86" i="15"/>
  <c r="AH85" i="17"/>
  <c r="CK651" i="15"/>
  <c r="BW651" i="15"/>
  <c r="V85" i="17"/>
  <c r="BX650" i="15"/>
  <c r="T85" i="17"/>
  <c r="BZ650" i="15"/>
  <c r="AH85" i="15"/>
  <c r="CH651" i="15"/>
  <c r="U85" i="17"/>
  <c r="W85" i="17"/>
  <c r="DC648" i="15" l="1"/>
  <c r="DE648" i="15" s="1"/>
  <c r="CF650" i="15"/>
  <c r="CQ650" i="15" s="1"/>
  <c r="CV650" i="15" s="1"/>
  <c r="CD650" i="15"/>
  <c r="CE650" i="15"/>
  <c r="CP650" i="15" s="1"/>
  <c r="CU650" i="15" s="1"/>
  <c r="BQ652" i="15"/>
  <c r="J91" i="15"/>
  <c r="AH642" i="15" s="1"/>
  <c r="CT106" i="10"/>
  <c r="CX105" i="10"/>
  <c r="DC105" i="10"/>
  <c r="CY105" i="10"/>
  <c r="CZ105" i="10"/>
  <c r="DB105" i="10"/>
  <c r="DA105" i="10"/>
  <c r="LO109" i="24"/>
  <c r="LS108" i="24"/>
  <c r="AB85" i="17"/>
  <c r="AE85" i="17"/>
  <c r="AD85" i="17"/>
  <c r="AC85" i="17"/>
  <c r="BH88" i="15"/>
  <c r="BH87" i="17"/>
  <c r="BB231" i="17"/>
  <c r="AU96" i="17"/>
  <c r="AG87" i="15"/>
  <c r="L88" i="17"/>
  <c r="S87" i="17"/>
  <c r="AU88" i="15"/>
  <c r="AG87" i="17"/>
  <c r="BB231" i="15"/>
  <c r="L88" i="15"/>
  <c r="AO86" i="17"/>
  <c r="AP86" i="15"/>
  <c r="U86" i="17"/>
  <c r="V86" i="17"/>
  <c r="W86" i="17"/>
  <c r="T86" i="17"/>
  <c r="BY651" i="15"/>
  <c r="CH652" i="15"/>
  <c r="BZ651" i="15"/>
  <c r="AP86" i="17"/>
  <c r="AO87" i="15"/>
  <c r="DC649" i="15" l="1"/>
  <c r="DE649" i="15" s="1"/>
  <c r="CE651" i="15"/>
  <c r="CP651" i="15" s="1"/>
  <c r="CU651" i="15" s="1"/>
  <c r="CF651" i="15"/>
  <c r="CQ651" i="15" s="1"/>
  <c r="CV651" i="15" s="1"/>
  <c r="BQ653" i="15"/>
  <c r="J92" i="15"/>
  <c r="AH643" i="15" s="1"/>
  <c r="CT107" i="10"/>
  <c r="DA106" i="10"/>
  <c r="CX106" i="10"/>
  <c r="DB106" i="10"/>
  <c r="DC106" i="10"/>
  <c r="CZ106" i="10"/>
  <c r="CY106" i="10"/>
  <c r="LO110" i="24"/>
  <c r="LS109" i="24"/>
  <c r="AC86" i="17"/>
  <c r="AD86" i="17"/>
  <c r="AE86" i="17"/>
  <c r="AB86" i="17"/>
  <c r="AU97" i="17"/>
  <c r="BH88" i="17"/>
  <c r="L89" i="15"/>
  <c r="BH89" i="15"/>
  <c r="L89" i="17"/>
  <c r="S88" i="17"/>
  <c r="AG88" i="17"/>
  <c r="AG88" i="15"/>
  <c r="BB232" i="17"/>
  <c r="BB232" i="15"/>
  <c r="AU89" i="15"/>
  <c r="AO87" i="17"/>
  <c r="U87" i="17"/>
  <c r="V87" i="17"/>
  <c r="T87" i="17"/>
  <c r="BY652" i="15"/>
  <c r="AP87" i="15"/>
  <c r="AO88" i="15"/>
  <c r="AP87" i="17"/>
  <c r="BV651" i="15"/>
  <c r="BZ652" i="15"/>
  <c r="W87" i="17"/>
  <c r="CH653" i="15"/>
  <c r="DC650" i="15" l="1"/>
  <c r="DE650" i="15" s="1"/>
  <c r="CF652" i="15"/>
  <c r="CQ652" i="15" s="1"/>
  <c r="CV652" i="15" s="1"/>
  <c r="CE652" i="15"/>
  <c r="CP652" i="15" s="1"/>
  <c r="CU652" i="15" s="1"/>
  <c r="BQ654" i="15"/>
  <c r="J93" i="15"/>
  <c r="AH644" i="15" s="1"/>
  <c r="CT108" i="10"/>
  <c r="CX107" i="10"/>
  <c r="DB107" i="10"/>
  <c r="DA107" i="10"/>
  <c r="CY107" i="10"/>
  <c r="DC107" i="10"/>
  <c r="CZ107" i="10"/>
  <c r="LO111" i="24"/>
  <c r="LS110" i="24"/>
  <c r="AB87" i="17"/>
  <c r="AE87" i="17"/>
  <c r="AD87" i="17"/>
  <c r="AC87" i="17"/>
  <c r="AG89" i="17"/>
  <c r="L90" i="15"/>
  <c r="BB233" i="15"/>
  <c r="BB233" i="17"/>
  <c r="AG89" i="15"/>
  <c r="BH89" i="17"/>
  <c r="S89" i="17"/>
  <c r="L90" i="17"/>
  <c r="AU90" i="15"/>
  <c r="BH90" i="15"/>
  <c r="AU98" i="17"/>
  <c r="AO89" i="15"/>
  <c r="V88" i="17"/>
  <c r="BY653" i="15"/>
  <c r="T88" i="17"/>
  <c r="W88" i="17"/>
  <c r="AP88" i="17"/>
  <c r="AO88" i="17"/>
  <c r="U88" i="17"/>
  <c r="BZ653" i="15"/>
  <c r="AP88" i="15"/>
  <c r="CH654" i="15"/>
  <c r="DC651" i="15" l="1"/>
  <c r="DE651" i="15" s="1"/>
  <c r="CE653" i="15"/>
  <c r="CP653" i="15" s="1"/>
  <c r="CU653" i="15" s="1"/>
  <c r="CF653" i="15"/>
  <c r="CQ653" i="15" s="1"/>
  <c r="CV653" i="15" s="1"/>
  <c r="BQ655" i="15"/>
  <c r="J94" i="15"/>
  <c r="AH645" i="15" s="1"/>
  <c r="CT109" i="10"/>
  <c r="DB108" i="10"/>
  <c r="DC108" i="10"/>
  <c r="CX108" i="10"/>
  <c r="CZ108" i="10"/>
  <c r="DA108" i="10"/>
  <c r="CY108" i="10"/>
  <c r="LO112" i="24"/>
  <c r="LS111" i="24"/>
  <c r="AC88" i="17"/>
  <c r="AD88" i="17"/>
  <c r="AE88" i="17"/>
  <c r="AB88" i="17"/>
  <c r="BH91" i="15"/>
  <c r="L91" i="17"/>
  <c r="S90" i="17"/>
  <c r="BB234" i="17"/>
  <c r="AU91" i="15"/>
  <c r="AU99" i="17"/>
  <c r="BH90" i="17"/>
  <c r="AG90" i="15"/>
  <c r="BB234" i="15"/>
  <c r="L91" i="15"/>
  <c r="AG90" i="17"/>
  <c r="T89" i="17"/>
  <c r="AO89" i="17"/>
  <c r="CH655" i="15"/>
  <c r="AI94" i="15"/>
  <c r="BY654" i="15"/>
  <c r="V89" i="17"/>
  <c r="BZ654" i="15"/>
  <c r="W89" i="17"/>
  <c r="AP89" i="15"/>
  <c r="AP89" i="17"/>
  <c r="U89" i="17"/>
  <c r="AO90" i="15"/>
  <c r="DC652" i="15" l="1"/>
  <c r="DE652" i="15" s="1"/>
  <c r="CF654" i="15"/>
  <c r="CQ654" i="15" s="1"/>
  <c r="CV654" i="15" s="1"/>
  <c r="CE654" i="15"/>
  <c r="CP654" i="15" s="1"/>
  <c r="CU654" i="15" s="1"/>
  <c r="BQ656" i="15"/>
  <c r="J95" i="15"/>
  <c r="AH646" i="15" s="1"/>
  <c r="CT110" i="10"/>
  <c r="DC109" i="10"/>
  <c r="CX109" i="10"/>
  <c r="DA109" i="10"/>
  <c r="CZ109" i="10"/>
  <c r="CY109" i="10"/>
  <c r="DB109" i="10"/>
  <c r="LO113" i="24"/>
  <c r="LS112" i="24"/>
  <c r="AB89" i="17"/>
  <c r="AE89" i="17"/>
  <c r="AC89" i="17"/>
  <c r="AD89" i="17"/>
  <c r="BH91" i="17"/>
  <c r="L92" i="15"/>
  <c r="AU100" i="17"/>
  <c r="BB235" i="17"/>
  <c r="BH92" i="15"/>
  <c r="AG91" i="17"/>
  <c r="BB235" i="15"/>
  <c r="AG91" i="15"/>
  <c r="AU92" i="15"/>
  <c r="L92" i="17"/>
  <c r="S91" i="17"/>
  <c r="AI94" i="17"/>
  <c r="BX655" i="15"/>
  <c r="U90" i="17"/>
  <c r="CH656" i="15"/>
  <c r="CK656" i="15"/>
  <c r="W90" i="17"/>
  <c r="AP90" i="17"/>
  <c r="AO90" i="17"/>
  <c r="BY655" i="15"/>
  <c r="T90" i="17"/>
  <c r="AH90" i="15"/>
  <c r="AP90" i="15"/>
  <c r="AO91" i="15"/>
  <c r="BZ655" i="15"/>
  <c r="AH90" i="17"/>
  <c r="BW656" i="15"/>
  <c r="V90" i="17"/>
  <c r="DC653" i="15" l="1"/>
  <c r="DE653" i="15" s="1"/>
  <c r="CE655" i="15"/>
  <c r="CP655" i="15" s="1"/>
  <c r="CU655" i="15" s="1"/>
  <c r="CF655" i="15"/>
  <c r="CQ655" i="15" s="1"/>
  <c r="CV655" i="15" s="1"/>
  <c r="CD655" i="15"/>
  <c r="BQ657" i="15"/>
  <c r="J96" i="15"/>
  <c r="AH647" i="15" s="1"/>
  <c r="CT111" i="10"/>
  <c r="CX110" i="10"/>
  <c r="DB110" i="10"/>
  <c r="CY110" i="10"/>
  <c r="DC110" i="10"/>
  <c r="DA110" i="10"/>
  <c r="CZ110" i="10"/>
  <c r="LO114" i="24"/>
  <c r="LS113" i="24"/>
  <c r="AB90" i="17"/>
  <c r="AC90" i="17"/>
  <c r="AD90" i="17"/>
  <c r="AE90" i="17"/>
  <c r="AU93" i="15"/>
  <c r="BB236" i="15"/>
  <c r="BH93" i="15"/>
  <c r="AG92" i="15"/>
  <c r="BB236" i="17"/>
  <c r="L93" i="15"/>
  <c r="L93" i="17"/>
  <c r="S92" i="17"/>
  <c r="AG92" i="17"/>
  <c r="AU101" i="17"/>
  <c r="BH92" i="17"/>
  <c r="W91" i="17"/>
  <c r="CH657" i="15"/>
  <c r="AP91" i="17"/>
  <c r="BZ656" i="15"/>
  <c r="AO92" i="15"/>
  <c r="U91" i="17"/>
  <c r="BY656" i="15"/>
  <c r="V91" i="17"/>
  <c r="AP91" i="15"/>
  <c r="AO91" i="17"/>
  <c r="T91" i="17"/>
  <c r="DC654" i="15" l="1"/>
  <c r="DE654" i="15" s="1"/>
  <c r="CF656" i="15"/>
  <c r="CQ656" i="15" s="1"/>
  <c r="CV656" i="15" s="1"/>
  <c r="CE656" i="15"/>
  <c r="CP656" i="15" s="1"/>
  <c r="CU656" i="15" s="1"/>
  <c r="BQ658" i="15"/>
  <c r="J97" i="15"/>
  <c r="AH648" i="15" s="1"/>
  <c r="CT112" i="10"/>
  <c r="CY111" i="10"/>
  <c r="CX111" i="10"/>
  <c r="DA111" i="10"/>
  <c r="CZ111" i="10"/>
  <c r="DC111" i="10"/>
  <c r="DB111" i="10"/>
  <c r="LO115" i="24"/>
  <c r="LS114" i="24"/>
  <c r="AB91" i="17"/>
  <c r="AE91" i="17"/>
  <c r="AC91" i="17"/>
  <c r="AD91" i="17"/>
  <c r="AG93" i="15"/>
  <c r="BH93" i="17"/>
  <c r="AG93" i="17"/>
  <c r="BB237" i="17"/>
  <c r="BH94" i="15"/>
  <c r="AU94" i="15"/>
  <c r="AU102" i="17"/>
  <c r="L94" i="17"/>
  <c r="S93" i="17"/>
  <c r="BB237" i="15"/>
  <c r="L94" i="15"/>
  <c r="AO92" i="17"/>
  <c r="BY657" i="15"/>
  <c r="AP92" i="15"/>
  <c r="BZ657" i="15"/>
  <c r="V92" i="17"/>
  <c r="AO93" i="15"/>
  <c r="T92" i="17"/>
  <c r="W92" i="17"/>
  <c r="BV656" i="15"/>
  <c r="U92" i="17"/>
  <c r="AP92" i="17"/>
  <c r="CH658" i="15"/>
  <c r="DC655" i="15" l="1"/>
  <c r="DE655" i="15" s="1"/>
  <c r="CE657" i="15"/>
  <c r="CP657" i="15" s="1"/>
  <c r="CU657" i="15" s="1"/>
  <c r="CF657" i="15"/>
  <c r="CQ657" i="15" s="1"/>
  <c r="CV657" i="15" s="1"/>
  <c r="BQ659" i="15"/>
  <c r="J98" i="15"/>
  <c r="AH649" i="15" s="1"/>
  <c r="CT113" i="10"/>
  <c r="DB112" i="10"/>
  <c r="CX112" i="10"/>
  <c r="DC112" i="10"/>
  <c r="CZ112" i="10"/>
  <c r="CY112" i="10"/>
  <c r="DA112" i="10"/>
  <c r="LO116" i="24"/>
  <c r="LS115" i="24"/>
  <c r="AC92" i="17"/>
  <c r="AD92" i="17"/>
  <c r="AE92" i="17"/>
  <c r="AB92" i="17"/>
  <c r="L95" i="17"/>
  <c r="S94" i="17"/>
  <c r="BB238" i="17"/>
  <c r="AU103" i="17"/>
  <c r="AG94" i="17"/>
  <c r="BH94" i="17"/>
  <c r="BH95" i="15"/>
  <c r="AG94" i="15"/>
  <c r="L95" i="15"/>
  <c r="BB238" i="15"/>
  <c r="AU95" i="15"/>
  <c r="AP93" i="15"/>
  <c r="T93" i="17"/>
  <c r="V93" i="17"/>
  <c r="AP93" i="17"/>
  <c r="AO94" i="15"/>
  <c r="BY658" i="15"/>
  <c r="AO93" i="17"/>
  <c r="W93" i="17"/>
  <c r="U93" i="17"/>
  <c r="BZ658" i="15"/>
  <c r="CH659" i="15"/>
  <c r="DC656" i="15" l="1"/>
  <c r="DE656" i="15" s="1"/>
  <c r="CF658" i="15"/>
  <c r="CQ658" i="15" s="1"/>
  <c r="CV658" i="15" s="1"/>
  <c r="CE658" i="15"/>
  <c r="CP658" i="15" s="1"/>
  <c r="CU658" i="15" s="1"/>
  <c r="BQ660" i="15"/>
  <c r="J99" i="15"/>
  <c r="AH650" i="15" s="1"/>
  <c r="CT114" i="10"/>
  <c r="DA113" i="10"/>
  <c r="CX113" i="10"/>
  <c r="CY113" i="10"/>
  <c r="CZ113" i="10"/>
  <c r="DB113" i="10"/>
  <c r="DC113" i="10"/>
  <c r="LO117" i="24"/>
  <c r="LS116" i="24"/>
  <c r="AE93" i="17"/>
  <c r="AC93" i="17"/>
  <c r="AD93" i="17"/>
  <c r="AB93" i="17"/>
  <c r="AG95" i="17"/>
  <c r="BB239" i="17"/>
  <c r="BH95" i="17"/>
  <c r="AU104" i="17"/>
  <c r="AU96" i="15"/>
  <c r="AG95" i="15"/>
  <c r="L96" i="15"/>
  <c r="BB239" i="15"/>
  <c r="BH96" i="15"/>
  <c r="S95" i="17"/>
  <c r="L96" i="17"/>
  <c r="U94" i="17"/>
  <c r="BZ659" i="15"/>
  <c r="AP94" i="15"/>
  <c r="W94" i="17"/>
  <c r="AP94" i="17"/>
  <c r="V94" i="17"/>
  <c r="T94" i="17"/>
  <c r="AO94" i="17"/>
  <c r="BY659" i="15"/>
  <c r="CH660" i="15"/>
  <c r="AO95" i="15"/>
  <c r="DC657" i="15" l="1"/>
  <c r="DE657" i="15" s="1"/>
  <c r="CE659" i="15"/>
  <c r="CP659" i="15" s="1"/>
  <c r="CU659" i="15" s="1"/>
  <c r="CF659" i="15"/>
  <c r="CQ659" i="15" s="1"/>
  <c r="CV659" i="15" s="1"/>
  <c r="BQ661" i="15"/>
  <c r="J100" i="15"/>
  <c r="AH651" i="15" s="1"/>
  <c r="CT115" i="10"/>
  <c r="DB114" i="10"/>
  <c r="CX114" i="10"/>
  <c r="CY114" i="10"/>
  <c r="CZ114" i="10"/>
  <c r="DC114" i="10"/>
  <c r="DA114" i="10"/>
  <c r="AJ89" i="15"/>
  <c r="AJ29" i="15"/>
  <c r="AJ44" i="15"/>
  <c r="AJ34" i="15"/>
  <c r="AJ79" i="15"/>
  <c r="LO118" i="24"/>
  <c r="LS117" i="24"/>
  <c r="AB94" i="17"/>
  <c r="AC94" i="17"/>
  <c r="AD94" i="17"/>
  <c r="AE94" i="17"/>
  <c r="BH96" i="17"/>
  <c r="BB240" i="15"/>
  <c r="AG96" i="15"/>
  <c r="L97" i="15"/>
  <c r="AU105" i="17"/>
  <c r="BB240" i="17"/>
  <c r="L97" i="17"/>
  <c r="S96" i="17"/>
  <c r="BH97" i="15"/>
  <c r="AU97" i="15"/>
  <c r="AG96" i="17"/>
  <c r="AI99" i="15"/>
  <c r="BX660" i="15"/>
  <c r="W95" i="17"/>
  <c r="AP95" i="15"/>
  <c r="V95" i="17"/>
  <c r="BY660" i="15"/>
  <c r="U95" i="17"/>
  <c r="AO95" i="17"/>
  <c r="AP95" i="17"/>
  <c r="CK661" i="15"/>
  <c r="AO96" i="15"/>
  <c r="AH95" i="15"/>
  <c r="AI99" i="17"/>
  <c r="AH95" i="17"/>
  <c r="CH661" i="15"/>
  <c r="BZ660" i="15"/>
  <c r="BW661" i="15"/>
  <c r="T95" i="17"/>
  <c r="DC658" i="15" l="1"/>
  <c r="DE658" i="15" s="1"/>
  <c r="CF660" i="15"/>
  <c r="CQ660" i="15" s="1"/>
  <c r="CV660" i="15" s="1"/>
  <c r="CD660" i="15"/>
  <c r="CE660" i="15"/>
  <c r="CP660" i="15" s="1"/>
  <c r="CU660" i="15" s="1"/>
  <c r="BQ662" i="15"/>
  <c r="J101" i="15"/>
  <c r="AH652" i="15" s="1"/>
  <c r="CT116" i="10"/>
  <c r="DC115" i="10"/>
  <c r="CX115" i="10"/>
  <c r="DA115" i="10"/>
  <c r="CY115" i="10"/>
  <c r="DB115" i="10"/>
  <c r="CZ115" i="10"/>
  <c r="AJ39" i="15"/>
  <c r="AJ74" i="15"/>
  <c r="AJ24" i="15"/>
  <c r="LO119" i="24"/>
  <c r="LS118" i="24"/>
  <c r="AE95" i="17"/>
  <c r="AD95" i="17"/>
  <c r="AC95" i="17"/>
  <c r="AB95" i="17"/>
  <c r="AG97" i="17"/>
  <c r="BH98" i="15"/>
  <c r="BB241" i="15"/>
  <c r="AU98" i="15"/>
  <c r="AU106" i="17"/>
  <c r="AG97" i="15"/>
  <c r="BB241" i="17"/>
  <c r="S97" i="17"/>
  <c r="L98" i="17"/>
  <c r="L98" i="15"/>
  <c r="BH97" i="17"/>
  <c r="U96" i="17"/>
  <c r="BZ661" i="15"/>
  <c r="W96" i="17"/>
  <c r="T96" i="17"/>
  <c r="AP96" i="15"/>
  <c r="AO96" i="17"/>
  <c r="AP96" i="17"/>
  <c r="BY661" i="15"/>
  <c r="V96" i="17"/>
  <c r="CH662" i="15"/>
  <c r="AO97" i="15"/>
  <c r="DC659" i="15" l="1"/>
  <c r="DE659" i="15" s="1"/>
  <c r="CE661" i="15"/>
  <c r="CP661" i="15" s="1"/>
  <c r="CU661" i="15" s="1"/>
  <c r="CF661" i="15"/>
  <c r="CQ661" i="15" s="1"/>
  <c r="CV661" i="15" s="1"/>
  <c r="BQ663" i="15"/>
  <c r="J102" i="15"/>
  <c r="AH653" i="15" s="1"/>
  <c r="CT117" i="10"/>
  <c r="CX116" i="10"/>
  <c r="DC116" i="10"/>
  <c r="DA116" i="10"/>
  <c r="CY116" i="10"/>
  <c r="DB116" i="10"/>
  <c r="CZ116" i="10"/>
  <c r="AJ69" i="15"/>
  <c r="LO120" i="24"/>
  <c r="LS119" i="24"/>
  <c r="AB96" i="17"/>
  <c r="AC96" i="17"/>
  <c r="AD96" i="17"/>
  <c r="AE96" i="17"/>
  <c r="BH98" i="17"/>
  <c r="L99" i="17"/>
  <c r="S98" i="17"/>
  <c r="BB242" i="17"/>
  <c r="AG98" i="15"/>
  <c r="AU99" i="15"/>
  <c r="AU107" i="17"/>
  <c r="L99" i="15"/>
  <c r="BB242" i="15"/>
  <c r="BH99" i="15"/>
  <c r="AG98" i="17"/>
  <c r="W97" i="17"/>
  <c r="V97" i="17"/>
  <c r="T97" i="17"/>
  <c r="BY662" i="15"/>
  <c r="AP97" i="17"/>
  <c r="BZ662" i="15"/>
  <c r="BV661" i="15"/>
  <c r="AP97" i="15"/>
  <c r="U97" i="17"/>
  <c r="AO97" i="17"/>
  <c r="CH663" i="15"/>
  <c r="AO98" i="15"/>
  <c r="DC660" i="15" l="1"/>
  <c r="DE660" i="15" s="1"/>
  <c r="CE662" i="15"/>
  <c r="CP662" i="15" s="1"/>
  <c r="CU662" i="15" s="1"/>
  <c r="CF662" i="15"/>
  <c r="CQ662" i="15" s="1"/>
  <c r="CV662" i="15" s="1"/>
  <c r="BQ664" i="15"/>
  <c r="J103" i="15"/>
  <c r="AH654" i="15" s="1"/>
  <c r="CX117" i="10"/>
  <c r="DG41" i="10" s="1"/>
  <c r="CY117" i="10"/>
  <c r="DG42" i="10" s="1"/>
  <c r="DA117" i="10"/>
  <c r="DG44" i="10" s="1"/>
  <c r="DB117" i="10"/>
  <c r="DG45" i="10" s="1"/>
  <c r="DC117" i="10"/>
  <c r="DG46" i="10" s="1"/>
  <c r="CZ117" i="10"/>
  <c r="DG43" i="10" s="1"/>
  <c r="AJ64" i="15"/>
  <c r="AJ59" i="15"/>
  <c r="AJ84" i="15"/>
  <c r="AJ54" i="15"/>
  <c r="AJ94" i="15"/>
  <c r="LO121" i="24"/>
  <c r="LS120" i="24"/>
  <c r="AD97" i="17"/>
  <c r="AE97" i="17"/>
  <c r="AC97" i="17"/>
  <c r="AB97" i="17"/>
  <c r="BB243" i="15"/>
  <c r="AU108" i="17"/>
  <c r="AG99" i="15"/>
  <c r="L100" i="17"/>
  <c r="S99" i="17"/>
  <c r="AG99" i="17"/>
  <c r="AU100" i="15"/>
  <c r="BB243" i="17"/>
  <c r="BH100" i="15"/>
  <c r="L100" i="15"/>
  <c r="BH99" i="17"/>
  <c r="AP98" i="15"/>
  <c r="U98" i="17"/>
  <c r="AP98" i="17"/>
  <c r="W98" i="17"/>
  <c r="AO98" i="17"/>
  <c r="V98" i="17"/>
  <c r="CH664" i="15"/>
  <c r="BZ663" i="15"/>
  <c r="BY663" i="15"/>
  <c r="AO99" i="15"/>
  <c r="T98" i="17"/>
  <c r="DC661" i="15" l="1"/>
  <c r="DE661" i="15" s="1"/>
  <c r="CF663" i="15"/>
  <c r="CQ663" i="15" s="1"/>
  <c r="CV663" i="15" s="1"/>
  <c r="CE663" i="15"/>
  <c r="CP663" i="15" s="1"/>
  <c r="CU663" i="15" s="1"/>
  <c r="BQ665" i="15"/>
  <c r="J104" i="15"/>
  <c r="AH655" i="15" s="1"/>
  <c r="DN13" i="15"/>
  <c r="DL13" i="15" s="1"/>
  <c r="DN13" i="17"/>
  <c r="DL13" i="17" s="1"/>
  <c r="DP45" i="10"/>
  <c r="DQ45" i="10"/>
  <c r="DJ45" i="10"/>
  <c r="DQ44" i="10"/>
  <c r="DN12" i="17"/>
  <c r="DL12" i="17" s="1"/>
  <c r="DN12" i="15"/>
  <c r="DL12" i="15" s="1"/>
  <c r="DP44" i="10"/>
  <c r="DJ44" i="10"/>
  <c r="DN11" i="15"/>
  <c r="DL11" i="15" s="1"/>
  <c r="DN11" i="17"/>
  <c r="DL11" i="17" s="1"/>
  <c r="DQ43" i="10"/>
  <c r="DP43" i="10"/>
  <c r="DJ43" i="10"/>
  <c r="DN10" i="15"/>
  <c r="DL10" i="15" s="1"/>
  <c r="DN10" i="17"/>
  <c r="DL10" i="17" s="1"/>
  <c r="DP42" i="10"/>
  <c r="DJ42" i="10"/>
  <c r="DQ42" i="10"/>
  <c r="DN14" i="17"/>
  <c r="DL14" i="17" s="1"/>
  <c r="DQ46" i="10"/>
  <c r="DP46" i="10"/>
  <c r="JE44" i="10" s="1"/>
  <c r="J16" i="15" s="1"/>
  <c r="M32" i="26" s="1"/>
  <c r="DN14" i="15"/>
  <c r="DL14" i="15" s="1"/>
  <c r="DJ46" i="10"/>
  <c r="DP41" i="10"/>
  <c r="DJ41" i="10"/>
  <c r="DN9" i="15"/>
  <c r="DL9" i="15" s="1"/>
  <c r="DN9" i="17"/>
  <c r="DL9" i="17" s="1"/>
  <c r="DQ41" i="10"/>
  <c r="LO122" i="24"/>
  <c r="LS121" i="24"/>
  <c r="AB98" i="17"/>
  <c r="AC98" i="17"/>
  <c r="AE98" i="17"/>
  <c r="AD98" i="17"/>
  <c r="AG100" i="17"/>
  <c r="L101" i="17"/>
  <c r="S100" i="17"/>
  <c r="AU109" i="17"/>
  <c r="BH101" i="15"/>
  <c r="BB244" i="17"/>
  <c r="BH100" i="17"/>
  <c r="AG100" i="15"/>
  <c r="BB244" i="15"/>
  <c r="L101" i="15"/>
  <c r="AU101" i="15"/>
  <c r="AP99" i="15"/>
  <c r="AI104" i="15"/>
  <c r="BZ664" i="15"/>
  <c r="W99" i="17"/>
  <c r="AO100" i="15"/>
  <c r="AO99" i="17"/>
  <c r="V99" i="17"/>
  <c r="BY664" i="15"/>
  <c r="U99" i="17"/>
  <c r="T99" i="17"/>
  <c r="AP99" i="17"/>
  <c r="CH665" i="15"/>
  <c r="DC662" i="15" l="1"/>
  <c r="DE662" i="15" s="1"/>
  <c r="CF664" i="15"/>
  <c r="CQ664" i="15" s="1"/>
  <c r="CV664" i="15" s="1"/>
  <c r="CE664" i="15"/>
  <c r="CP664" i="15" s="1"/>
  <c r="CU664" i="15" s="1"/>
  <c r="BQ666" i="15"/>
  <c r="J105" i="15"/>
  <c r="AH656" i="15" s="1"/>
  <c r="JE39" i="10"/>
  <c r="J11" i="15" s="1"/>
  <c r="M27" i="26" s="1"/>
  <c r="EF41" i="10"/>
  <c r="JE40" i="10"/>
  <c r="J12" i="15" s="1"/>
  <c r="M28" i="26" s="1"/>
  <c r="EF42" i="10"/>
  <c r="DZ43" i="10" s="1"/>
  <c r="EF82" i="10" s="1"/>
  <c r="EF43" i="10"/>
  <c r="DZ44" i="10" s="1"/>
  <c r="JE41" i="10"/>
  <c r="J13" i="15" s="1"/>
  <c r="M29" i="26" s="1"/>
  <c r="EF44" i="10"/>
  <c r="DZ45" i="10" s="1"/>
  <c r="JE42" i="10"/>
  <c r="J14" i="15" s="1"/>
  <c r="M30" i="26" s="1"/>
  <c r="JD44" i="10"/>
  <c r="JE43" i="10"/>
  <c r="J15" i="15" s="1"/>
  <c r="M31" i="26" s="1"/>
  <c r="EF45" i="10"/>
  <c r="DZ46" i="10" s="1"/>
  <c r="LO123" i="24"/>
  <c r="LS122" i="24"/>
  <c r="AB99" i="17"/>
  <c r="AD99" i="17"/>
  <c r="AE99" i="17"/>
  <c r="AC99" i="17"/>
  <c r="BB245" i="17"/>
  <c r="AU110" i="17"/>
  <c r="BB245" i="15"/>
  <c r="AG101" i="15"/>
  <c r="AG101" i="17"/>
  <c r="S101" i="17"/>
  <c r="L102" i="17"/>
  <c r="L102" i="15"/>
  <c r="AU102" i="15"/>
  <c r="BH101" i="17"/>
  <c r="BH102" i="15"/>
  <c r="T100" i="17"/>
  <c r="AO100" i="17"/>
  <c r="AO101" i="15"/>
  <c r="BZ665" i="15"/>
  <c r="BY665" i="15"/>
  <c r="U100" i="17"/>
  <c r="AH100" i="15"/>
  <c r="BX665" i="15"/>
  <c r="AP100" i="15"/>
  <c r="V100" i="17"/>
  <c r="AP100" i="17"/>
  <c r="AI104" i="17"/>
  <c r="W100" i="17"/>
  <c r="AH100" i="17"/>
  <c r="CK666" i="15"/>
  <c r="BW666" i="15"/>
  <c r="DC663" i="15" l="1"/>
  <c r="DE663" i="15" s="1"/>
  <c r="CD665" i="15"/>
  <c r="CE665" i="15"/>
  <c r="CP665" i="15" s="1"/>
  <c r="CU665" i="15" s="1"/>
  <c r="CF665" i="15"/>
  <c r="CQ665" i="15" s="1"/>
  <c r="CV665" i="15" s="1"/>
  <c r="BQ667" i="15"/>
  <c r="J106" i="15"/>
  <c r="AH657" i="15" s="1"/>
  <c r="JD42" i="10"/>
  <c r="JD43" i="10"/>
  <c r="JD40" i="10"/>
  <c r="JD41" i="10"/>
  <c r="DZ42" i="10"/>
  <c r="EF81" i="10" s="1"/>
  <c r="EM53" i="10" s="1"/>
  <c r="JD39" i="10"/>
  <c r="LO124" i="24"/>
  <c r="LS123" i="24"/>
  <c r="AC100" i="17"/>
  <c r="AD100" i="17"/>
  <c r="AE100" i="17"/>
  <c r="AB100" i="17"/>
  <c r="AU111" i="17"/>
  <c r="BH103" i="15"/>
  <c r="L103" i="15"/>
  <c r="AU103" i="15"/>
  <c r="L103" i="17"/>
  <c r="S102" i="17"/>
  <c r="AG102" i="17"/>
  <c r="BH102" i="17"/>
  <c r="AG102" i="15"/>
  <c r="BB246" i="15"/>
  <c r="BB246" i="17"/>
  <c r="CH666" i="15"/>
  <c r="AO101" i="17"/>
  <c r="V101" i="17"/>
  <c r="CH667" i="15"/>
  <c r="BZ666" i="15"/>
  <c r="AP101" i="17"/>
  <c r="U101" i="17"/>
  <c r="AP101" i="15"/>
  <c r="BY666" i="15"/>
  <c r="W101" i="17"/>
  <c r="T101" i="17"/>
  <c r="AO102" i="15"/>
  <c r="EM56" i="10" l="1"/>
  <c r="EM51" i="10"/>
  <c r="EM49" i="10"/>
  <c r="EM75" i="10"/>
  <c r="DC664" i="15"/>
  <c r="DE664" i="15" s="1"/>
  <c r="EM57" i="10"/>
  <c r="EM40" i="10"/>
  <c r="EM69" i="10"/>
  <c r="EM61" i="10"/>
  <c r="CF666" i="15"/>
  <c r="CQ666" i="15" s="1"/>
  <c r="CV666" i="15" s="1"/>
  <c r="CE666" i="15"/>
  <c r="CP666" i="15" s="1"/>
  <c r="CU666" i="15" s="1"/>
  <c r="BQ668" i="15"/>
  <c r="EM54" i="10"/>
  <c r="EM67" i="10"/>
  <c r="EM71" i="10"/>
  <c r="EM59" i="10"/>
  <c r="EM78" i="10"/>
  <c r="EM43" i="10"/>
  <c r="EM55" i="10"/>
  <c r="EO40" i="10"/>
  <c r="EM84" i="10"/>
  <c r="EM83" i="10"/>
  <c r="EM86" i="10"/>
  <c r="J107" i="15"/>
  <c r="AH658" i="15" s="1"/>
  <c r="EM63" i="10"/>
  <c r="EM45" i="10"/>
  <c r="EM50" i="10"/>
  <c r="EM76" i="10"/>
  <c r="EM42" i="10"/>
  <c r="EM80" i="10"/>
  <c r="EM48" i="10"/>
  <c r="EM68" i="10"/>
  <c r="EM81" i="10"/>
  <c r="EM44" i="10"/>
  <c r="EM46" i="10"/>
  <c r="EM72" i="10"/>
  <c r="EM85" i="10"/>
  <c r="EN85" i="10" s="1"/>
  <c r="EO85" i="10" s="1"/>
  <c r="EP85" i="10" s="1"/>
  <c r="ET85" i="10" s="1"/>
  <c r="EW85" i="10" s="1"/>
  <c r="FQ85" i="10" s="1"/>
  <c r="EV85" i="10" s="1"/>
  <c r="EM60" i="10"/>
  <c r="EM73" i="10"/>
  <c r="EM64" i="10"/>
  <c r="EM77" i="10"/>
  <c r="EM47" i="10"/>
  <c r="EM65" i="10"/>
  <c r="EM62" i="10"/>
  <c r="EM82" i="10"/>
  <c r="EM87" i="10"/>
  <c r="EM79" i="10"/>
  <c r="EM74" i="10"/>
  <c r="EM70" i="10"/>
  <c r="EM66" i="10"/>
  <c r="EM58" i="10"/>
  <c r="EM52" i="10"/>
  <c r="EM41" i="10"/>
  <c r="LO125" i="24"/>
  <c r="LS124" i="24"/>
  <c r="AD101" i="17"/>
  <c r="AE101" i="17"/>
  <c r="AC101" i="17"/>
  <c r="AB101" i="17"/>
  <c r="BB247" i="15"/>
  <c r="AG103" i="15"/>
  <c r="AU104" i="15"/>
  <c r="AG103" i="17"/>
  <c r="BB247" i="17"/>
  <c r="BH103" i="17"/>
  <c r="L104" i="15"/>
  <c r="AU112" i="17"/>
  <c r="S103" i="17"/>
  <c r="L104" i="17"/>
  <c r="BH104" i="15"/>
  <c r="U102" i="17"/>
  <c r="AO102" i="17"/>
  <c r="CH668" i="15"/>
  <c r="FS85" i="10"/>
  <c r="BZ667" i="15"/>
  <c r="AP102" i="17"/>
  <c r="T102" i="17"/>
  <c r="V102" i="17"/>
  <c r="BV666" i="15"/>
  <c r="W102" i="17"/>
  <c r="AP102" i="15"/>
  <c r="BY667" i="15"/>
  <c r="AO103" i="15"/>
  <c r="DC665" i="15" l="1"/>
  <c r="DE665" i="15" s="1"/>
  <c r="EP40" i="10"/>
  <c r="EU40" i="10" s="1"/>
  <c r="EN41" i="10"/>
  <c r="EO41" i="10" s="1"/>
  <c r="EP41" i="10" s="1"/>
  <c r="EU41" i="10" s="1"/>
  <c r="CE667" i="15"/>
  <c r="CP667" i="15" s="1"/>
  <c r="CU667" i="15" s="1"/>
  <c r="CF667" i="15"/>
  <c r="CQ667" i="15" s="1"/>
  <c r="CV667" i="15" s="1"/>
  <c r="BQ669" i="15"/>
  <c r="EN87" i="10"/>
  <c r="EO87" i="10" s="1"/>
  <c r="EP87" i="10" s="1"/>
  <c r="EU87" i="10" s="1"/>
  <c r="EN84" i="10"/>
  <c r="EO84" i="10" s="1"/>
  <c r="EP84" i="10" s="1"/>
  <c r="EU84" i="10" s="1"/>
  <c r="FD84" i="10" s="1"/>
  <c r="J108" i="15"/>
  <c r="AH659" i="15" s="1"/>
  <c r="EU85" i="10"/>
  <c r="FD85" i="10" s="1"/>
  <c r="EN86" i="10"/>
  <c r="EO86" i="10" s="1"/>
  <c r="EP86" i="10" s="1"/>
  <c r="ET86" i="10" s="1"/>
  <c r="EW86" i="10" s="1"/>
  <c r="FQ86" i="10" s="1"/>
  <c r="LO126" i="24"/>
  <c r="LS125" i="24"/>
  <c r="AC102" i="17"/>
  <c r="AD102" i="17"/>
  <c r="AE102" i="17"/>
  <c r="AB102" i="17"/>
  <c r="AU113" i="17"/>
  <c r="BH104" i="17"/>
  <c r="BH105" i="15"/>
  <c r="AG104" i="17"/>
  <c r="AU105" i="15"/>
  <c r="L105" i="17"/>
  <c r="S104" i="17"/>
  <c r="BB248" i="17"/>
  <c r="BB248" i="15"/>
  <c r="L105" i="15"/>
  <c r="AG104" i="15"/>
  <c r="EX85" i="10"/>
  <c r="FX84" i="10"/>
  <c r="AO103" i="17"/>
  <c r="AP103" i="17"/>
  <c r="BY668" i="15"/>
  <c r="AP103" i="15"/>
  <c r="FT41" i="10"/>
  <c r="FX85" i="10"/>
  <c r="U103" i="17"/>
  <c r="FT40" i="10"/>
  <c r="FT84" i="10"/>
  <c r="T103" i="17"/>
  <c r="BZ668" i="15"/>
  <c r="V103" i="17"/>
  <c r="CH669" i="15"/>
  <c r="FT87" i="10"/>
  <c r="W103" i="17"/>
  <c r="FT85" i="10"/>
  <c r="AO104" i="15"/>
  <c r="ET40" i="10" l="1"/>
  <c r="EW40" i="10" s="1"/>
  <c r="DC666" i="15"/>
  <c r="DE666" i="15" s="1"/>
  <c r="ET41" i="10"/>
  <c r="EW41" i="10" s="1"/>
  <c r="EN42" i="10"/>
  <c r="EO42" i="10" s="1"/>
  <c r="EP42" i="10" s="1"/>
  <c r="CF668" i="15"/>
  <c r="CQ668" i="15" s="1"/>
  <c r="CV668" i="15" s="1"/>
  <c r="CE668" i="15"/>
  <c r="CP668" i="15" s="1"/>
  <c r="CU668" i="15" s="1"/>
  <c r="BQ670" i="15"/>
  <c r="ET87" i="10"/>
  <c r="EW87" i="10" s="1"/>
  <c r="ET84" i="10"/>
  <c r="EW84" i="10" s="1"/>
  <c r="J109" i="15"/>
  <c r="AH660" i="15" s="1"/>
  <c r="EU86" i="10"/>
  <c r="FD86" i="10" s="1"/>
  <c r="FD87" i="10"/>
  <c r="KD40" i="10"/>
  <c r="KD41" i="10"/>
  <c r="AJ99" i="15"/>
  <c r="LO127" i="24"/>
  <c r="LS126" i="24"/>
  <c r="AD103" i="17"/>
  <c r="AE103" i="17"/>
  <c r="AC103" i="17"/>
  <c r="AB103" i="17"/>
  <c r="L106" i="15"/>
  <c r="BH106" i="15"/>
  <c r="AU114" i="17"/>
  <c r="AG105" i="15"/>
  <c r="S105" i="17"/>
  <c r="L106" i="17"/>
  <c r="BH105" i="17"/>
  <c r="AU106" i="15"/>
  <c r="AG105" i="17"/>
  <c r="W104" i="17"/>
  <c r="KU85" i="10"/>
  <c r="KK85" i="10"/>
  <c r="FG85" i="10"/>
  <c r="BZ669" i="15"/>
  <c r="GE41" i="10"/>
  <c r="FB85" i="10"/>
  <c r="AO104" i="17"/>
  <c r="CH670" i="15"/>
  <c r="AO105" i="15"/>
  <c r="FT86" i="10"/>
  <c r="EX87" i="10"/>
  <c r="EX84" i="10"/>
  <c r="FX86" i="10"/>
  <c r="AP104" i="17"/>
  <c r="KG41" i="10"/>
  <c r="T104" i="17"/>
  <c r="FL85" i="10"/>
  <c r="EX40" i="10"/>
  <c r="EX86" i="10"/>
  <c r="BY669" i="15"/>
  <c r="KL85" i="10"/>
  <c r="FE85" i="10"/>
  <c r="KG40" i="10"/>
  <c r="KN85" i="10"/>
  <c r="AP104" i="15"/>
  <c r="U104" i="17"/>
  <c r="FC85" i="10"/>
  <c r="V104" i="17"/>
  <c r="GE40" i="10"/>
  <c r="KM85" i="10"/>
  <c r="FX87" i="10"/>
  <c r="EX41" i="10"/>
  <c r="FA85" i="10"/>
  <c r="AI109" i="15"/>
  <c r="FQ40" i="10" l="1"/>
  <c r="EV40" i="10" s="1"/>
  <c r="EN43" i="10"/>
  <c r="EO43" i="10" s="1"/>
  <c r="EP43" i="10" s="1"/>
  <c r="DC667" i="15"/>
  <c r="DE667" i="15" s="1"/>
  <c r="FQ41" i="10"/>
  <c r="EV41" i="10" s="1"/>
  <c r="CE669" i="15"/>
  <c r="CP669" i="15" s="1"/>
  <c r="CU669" i="15" s="1"/>
  <c r="CF669" i="15"/>
  <c r="CQ669" i="15" s="1"/>
  <c r="CV669" i="15" s="1"/>
  <c r="BQ671" i="15"/>
  <c r="FQ87" i="10"/>
  <c r="GD41" i="10"/>
  <c r="HO41" i="10" s="1"/>
  <c r="N21" i="17"/>
  <c r="BB21" i="17" s="1"/>
  <c r="BC21" i="17" s="1"/>
  <c r="GQ41" i="10"/>
  <c r="N20" i="15"/>
  <c r="P20" i="15" s="1"/>
  <c r="N20" i="17"/>
  <c r="BB20" i="17" s="1"/>
  <c r="BC20" i="17" s="1"/>
  <c r="GT40" i="10"/>
  <c r="GQ40" i="10"/>
  <c r="FQ84" i="10"/>
  <c r="EV84" i="10" s="1"/>
  <c r="J110" i="15"/>
  <c r="AH661" i="15" s="1"/>
  <c r="ET42" i="10"/>
  <c r="EW42" i="10" s="1"/>
  <c r="FQ42" i="10" s="1"/>
  <c r="EV42" i="10" s="1"/>
  <c r="EU42" i="10"/>
  <c r="EN44" i="10"/>
  <c r="LO128" i="24"/>
  <c r="LS127" i="24"/>
  <c r="AB104" i="17"/>
  <c r="AC104" i="17"/>
  <c r="AD104" i="17"/>
  <c r="AE104" i="17"/>
  <c r="BH107" i="15"/>
  <c r="BH106" i="17"/>
  <c r="AU107" i="15"/>
  <c r="L107" i="17"/>
  <c r="S106" i="17"/>
  <c r="AG106" i="15"/>
  <c r="AU115" i="17"/>
  <c r="L107" i="15"/>
  <c r="AG106" i="17"/>
  <c r="AP105" i="17"/>
  <c r="FA84" i="10"/>
  <c r="FZ85" i="10"/>
  <c r="KL40" i="10"/>
  <c r="FS42" i="10"/>
  <c r="FG84" i="10"/>
  <c r="FE84" i="10"/>
  <c r="KN87" i="10"/>
  <c r="FA41" i="10"/>
  <c r="KK84" i="10"/>
  <c r="KL87" i="10"/>
  <c r="FB40" i="10"/>
  <c r="FW85" i="10"/>
  <c r="KK87" i="10"/>
  <c r="FL86" i="10"/>
  <c r="KJ41" i="10"/>
  <c r="FG86" i="10"/>
  <c r="FE40" i="10"/>
  <c r="BZ670" i="15"/>
  <c r="FL87" i="10"/>
  <c r="FG41" i="10"/>
  <c r="FU85" i="10"/>
  <c r="FE41" i="10"/>
  <c r="KJ40" i="10"/>
  <c r="AH105" i="15"/>
  <c r="FD40" i="10"/>
  <c r="FL41" i="10"/>
  <c r="W105" i="17"/>
  <c r="AO105" i="17"/>
  <c r="KL86" i="10"/>
  <c r="FB84" i="10"/>
  <c r="KM86" i="10"/>
  <c r="FA40" i="10"/>
  <c r="FA87" i="10"/>
  <c r="AP105" i="15"/>
  <c r="CK671" i="15"/>
  <c r="KM41" i="10"/>
  <c r="KN40" i="10"/>
  <c r="AI109" i="17"/>
  <c r="KN86" i="10"/>
  <c r="FL84" i="10"/>
  <c r="FC87" i="10"/>
  <c r="FC41" i="10"/>
  <c r="FB86" i="10"/>
  <c r="KN41" i="10"/>
  <c r="FD41" i="10"/>
  <c r="KU87" i="10"/>
  <c r="FB87" i="10"/>
  <c r="FB41" i="10"/>
  <c r="BW671" i="15"/>
  <c r="FT42" i="10"/>
  <c r="KM40" i="10"/>
  <c r="KK41" i="10"/>
  <c r="KM87" i="10"/>
  <c r="KN84" i="10"/>
  <c r="GA85" i="10"/>
  <c r="FE87" i="10"/>
  <c r="FS41" i="10"/>
  <c r="KK86" i="10"/>
  <c r="KU41" i="10"/>
  <c r="KM84" i="10"/>
  <c r="FS40" i="10"/>
  <c r="KU84" i="10"/>
  <c r="FE86" i="10"/>
  <c r="FV85" i="10"/>
  <c r="FG40" i="10"/>
  <c r="AH105" i="17"/>
  <c r="BX670" i="15"/>
  <c r="KL84" i="10"/>
  <c r="KU86" i="10"/>
  <c r="FY85" i="10"/>
  <c r="FC84" i="10"/>
  <c r="FL40" i="10"/>
  <c r="U105" i="17"/>
  <c r="FS84" i="10"/>
  <c r="BY670" i="15"/>
  <c r="FA86" i="10"/>
  <c r="FG87" i="10"/>
  <c r="FC86" i="10"/>
  <c r="KK40" i="10"/>
  <c r="V105" i="17"/>
  <c r="FC40" i="10"/>
  <c r="EX42" i="10"/>
  <c r="KL41" i="10"/>
  <c r="KU40" i="10"/>
  <c r="T105" i="17"/>
  <c r="AO106" i="15"/>
  <c r="LC40" i="10" l="1"/>
  <c r="N21" i="15"/>
  <c r="M21" i="15" s="1"/>
  <c r="BD21" i="15" s="1"/>
  <c r="DC668" i="15"/>
  <c r="DE668" i="15" s="1"/>
  <c r="CF670" i="15"/>
  <c r="CQ670" i="15" s="1"/>
  <c r="CV670" i="15" s="1"/>
  <c r="CD670" i="15"/>
  <c r="CE670" i="15"/>
  <c r="CP670" i="15" s="1"/>
  <c r="CU670" i="15" s="1"/>
  <c r="BQ672" i="15"/>
  <c r="GS41" i="10"/>
  <c r="GT41" i="10"/>
  <c r="M20" i="15"/>
  <c r="BD20" i="15" s="1"/>
  <c r="N163" i="15"/>
  <c r="E259" i="15" s="1"/>
  <c r="BB20" i="15"/>
  <c r="BC20" i="15" s="1"/>
  <c r="M20" i="17"/>
  <c r="BD20" i="17" s="1"/>
  <c r="BE20" i="17" s="1"/>
  <c r="BI123" i="17" s="1"/>
  <c r="P20" i="17"/>
  <c r="N163" i="17"/>
  <c r="E259" i="17" s="1"/>
  <c r="P21" i="17"/>
  <c r="N164" i="17"/>
  <c r="J164" i="17" s="1"/>
  <c r="M164" i="17" s="1"/>
  <c r="M21" i="17"/>
  <c r="BD21" i="17" s="1"/>
  <c r="BE21" i="17" s="1"/>
  <c r="BI124" i="17" s="1"/>
  <c r="LC41" i="10"/>
  <c r="J111" i="15"/>
  <c r="AH662" i="15" s="1"/>
  <c r="EU43" i="10"/>
  <c r="ET43" i="10"/>
  <c r="EW43" i="10" s="1"/>
  <c r="FQ43" i="10" s="1"/>
  <c r="EV43" i="10" s="1"/>
  <c r="KD42" i="10"/>
  <c r="HR41" i="10"/>
  <c r="HP41" i="10"/>
  <c r="HQ41" i="10"/>
  <c r="EO44" i="10"/>
  <c r="EP44" i="10" s="1"/>
  <c r="EN45" i="10"/>
  <c r="LO129" i="24"/>
  <c r="LS128" i="24"/>
  <c r="AD105" i="17"/>
  <c r="AE105" i="17"/>
  <c r="AC105" i="17"/>
  <c r="AB105" i="17"/>
  <c r="AG107" i="17"/>
  <c r="AU108" i="15"/>
  <c r="BH108" i="15"/>
  <c r="L108" i="15"/>
  <c r="AU116" i="17"/>
  <c r="AG107" i="15"/>
  <c r="L108" i="17"/>
  <c r="S107" i="17"/>
  <c r="BH107" i="17"/>
  <c r="FZ84" i="10"/>
  <c r="GF41" i="10"/>
  <c r="FV87" i="10"/>
  <c r="FX40" i="10"/>
  <c r="FZ41" i="10"/>
  <c r="FY41" i="10"/>
  <c r="V106" i="17"/>
  <c r="FC42" i="10"/>
  <c r="FU86" i="10"/>
  <c r="AP106" i="17"/>
  <c r="FZ40" i="10"/>
  <c r="FA42" i="10"/>
  <c r="AO106" i="17"/>
  <c r="GA87" i="10"/>
  <c r="FS43" i="10"/>
  <c r="FU40" i="10"/>
  <c r="FY87" i="10"/>
  <c r="FL42" i="10"/>
  <c r="FW86" i="10"/>
  <c r="KL42" i="10"/>
  <c r="FW40" i="10"/>
  <c r="FZ86" i="10"/>
  <c r="FY84" i="10"/>
  <c r="BY671" i="15"/>
  <c r="FV41" i="10"/>
  <c r="FB42" i="10"/>
  <c r="GE42" i="10"/>
  <c r="FV84" i="10"/>
  <c r="AP106" i="15"/>
  <c r="GA40" i="10"/>
  <c r="FW84" i="10"/>
  <c r="FZ87" i="10"/>
  <c r="FY86" i="10"/>
  <c r="FU84" i="10"/>
  <c r="GA86" i="10"/>
  <c r="W106" i="17"/>
  <c r="AO107" i="15"/>
  <c r="T106" i="17"/>
  <c r="GF40" i="10"/>
  <c r="U106" i="17"/>
  <c r="FX41" i="10"/>
  <c r="GA41" i="10"/>
  <c r="GA84" i="10"/>
  <c r="CH672" i="15"/>
  <c r="CH671" i="15"/>
  <c r="FW41" i="10"/>
  <c r="KK42" i="10"/>
  <c r="FE42" i="10"/>
  <c r="FT43" i="10"/>
  <c r="FV86" i="10"/>
  <c r="KU42" i="10"/>
  <c r="FW87" i="10"/>
  <c r="FG42" i="10"/>
  <c r="FD42" i="10"/>
  <c r="KG42" i="10"/>
  <c r="BZ671" i="15"/>
  <c r="FY40" i="10"/>
  <c r="KM42" i="10"/>
  <c r="FV40" i="10"/>
  <c r="KN42" i="10"/>
  <c r="FU41" i="10"/>
  <c r="FU87" i="10"/>
  <c r="GF42" i="10"/>
  <c r="BB21" i="15" l="1"/>
  <c r="BC21" i="15" s="1"/>
  <c r="BE21" i="15" s="1"/>
  <c r="BI124" i="15" s="1"/>
  <c r="GU41" i="10"/>
  <c r="GU40" i="10"/>
  <c r="P21" i="15"/>
  <c r="N164" i="15"/>
  <c r="E260" i="15" s="1"/>
  <c r="N22" i="15"/>
  <c r="M22" i="15" s="1"/>
  <c r="BD22" i="15" s="1"/>
  <c r="DC669" i="15"/>
  <c r="DE669" i="15" s="1"/>
  <c r="CF671" i="15"/>
  <c r="CQ671" i="15" s="1"/>
  <c r="CV671" i="15" s="1"/>
  <c r="CE671" i="15"/>
  <c r="CP671" i="15" s="1"/>
  <c r="CU671" i="15" s="1"/>
  <c r="BQ673" i="15"/>
  <c r="BE20" i="15"/>
  <c r="BI123" i="15" s="1"/>
  <c r="J163" i="15"/>
  <c r="M163" i="15" s="1"/>
  <c r="J163" i="17"/>
  <c r="M163" i="17" s="1"/>
  <c r="E260" i="17"/>
  <c r="N22" i="17"/>
  <c r="BB22" i="17" s="1"/>
  <c r="BC22" i="17" s="1"/>
  <c r="GD42" i="10"/>
  <c r="HO42" i="10" s="1"/>
  <c r="GQ42" i="10"/>
  <c r="J112" i="15"/>
  <c r="AH663" i="15" s="1"/>
  <c r="EO45" i="10"/>
  <c r="EP45" i="10" s="1"/>
  <c r="EN46" i="10"/>
  <c r="KD43" i="10"/>
  <c r="ET44" i="10"/>
  <c r="EW44" i="10" s="1"/>
  <c r="FQ44" i="10" s="1"/>
  <c r="EV44" i="10" s="1"/>
  <c r="EU44" i="10"/>
  <c r="LO130" i="24"/>
  <c r="LS129" i="24"/>
  <c r="AB106" i="17"/>
  <c r="AC106" i="17"/>
  <c r="AE106" i="17"/>
  <c r="AD106" i="17"/>
  <c r="AG108" i="17"/>
  <c r="L109" i="15"/>
  <c r="L109" i="17"/>
  <c r="S108" i="17"/>
  <c r="AU117" i="17"/>
  <c r="BH109" i="15"/>
  <c r="AU109" i="15"/>
  <c r="BH108" i="17"/>
  <c r="AG108" i="15"/>
  <c r="GL40" i="10"/>
  <c r="GI40" i="10"/>
  <c r="GJ40" i="10"/>
  <c r="GA42" i="10"/>
  <c r="GJ41" i="10"/>
  <c r="FT44" i="10"/>
  <c r="FY42" i="10"/>
  <c r="FU42" i="10"/>
  <c r="AO107" i="17"/>
  <c r="AP107" i="15"/>
  <c r="GI41" i="10"/>
  <c r="GK40" i="10"/>
  <c r="BV671" i="15"/>
  <c r="BZ672" i="15"/>
  <c r="GF43" i="10"/>
  <c r="EX44" i="10"/>
  <c r="GH40" i="10"/>
  <c r="KG43" i="10"/>
  <c r="FV42" i="10"/>
  <c r="FW42" i="10"/>
  <c r="EX43" i="10"/>
  <c r="AO108" i="15"/>
  <c r="AP107" i="17"/>
  <c r="GE43" i="10"/>
  <c r="GG41" i="10"/>
  <c r="V107" i="17"/>
  <c r="GL41" i="10"/>
  <c r="T107" i="17"/>
  <c r="KJ42" i="10"/>
  <c r="GK41" i="10"/>
  <c r="GM40" i="10"/>
  <c r="U107" i="17"/>
  <c r="FZ42" i="10"/>
  <c r="FX42" i="10"/>
  <c r="BY672" i="15"/>
  <c r="W107" i="17"/>
  <c r="GG40" i="10"/>
  <c r="CH673" i="15"/>
  <c r="GM41" i="10"/>
  <c r="GH41" i="10"/>
  <c r="FS44" i="10"/>
  <c r="GZ40" i="10" l="1"/>
  <c r="GZ41" i="10"/>
  <c r="GX40" i="10"/>
  <c r="HA41" i="10"/>
  <c r="GY41" i="10"/>
  <c r="HB41" i="10"/>
  <c r="GW41" i="10"/>
  <c r="GW40" i="10"/>
  <c r="HA40" i="10"/>
  <c r="GV41" i="10"/>
  <c r="GR41" i="10"/>
  <c r="LD41" i="10" s="1"/>
  <c r="LF41" i="10" s="1"/>
  <c r="GY40" i="10"/>
  <c r="GV40" i="10"/>
  <c r="GR40" i="10"/>
  <c r="HE40" i="10" s="1"/>
  <c r="GX41" i="10"/>
  <c r="HB40" i="10"/>
  <c r="J164" i="15"/>
  <c r="M164" i="15" s="1"/>
  <c r="N23" i="15"/>
  <c r="N166" i="15" s="1"/>
  <c r="DC670" i="15"/>
  <c r="DE670" i="15" s="1"/>
  <c r="CF672" i="15"/>
  <c r="CQ672" i="15" s="1"/>
  <c r="CV672" i="15" s="1"/>
  <c r="CE672" i="15"/>
  <c r="CP672" i="15" s="1"/>
  <c r="CU672" i="15" s="1"/>
  <c r="BQ674" i="15"/>
  <c r="N165" i="17"/>
  <c r="E261" i="17" s="1"/>
  <c r="M22" i="17"/>
  <c r="BD22" i="17" s="1"/>
  <c r="BE22" i="17" s="1"/>
  <c r="BI125" i="17" s="1"/>
  <c r="P22" i="17"/>
  <c r="N165" i="15"/>
  <c r="J165" i="15" s="1"/>
  <c r="M165" i="15" s="1"/>
  <c r="P22" i="15"/>
  <c r="BB22" i="15"/>
  <c r="BC22" i="15" s="1"/>
  <c r="BE22" i="15" s="1"/>
  <c r="BI125" i="15" s="1"/>
  <c r="GS42" i="10"/>
  <c r="GU42" i="10"/>
  <c r="LC42" i="10"/>
  <c r="N23" i="17"/>
  <c r="P23" i="17" s="1"/>
  <c r="GD43" i="10"/>
  <c r="GT43" i="10" s="1"/>
  <c r="GQ43" i="10"/>
  <c r="GT42" i="10"/>
  <c r="J113" i="15"/>
  <c r="AH664" i="15" s="1"/>
  <c r="EO46" i="10"/>
  <c r="EP46" i="10" s="1"/>
  <c r="EN47" i="10"/>
  <c r="HR42" i="10"/>
  <c r="HP42" i="10"/>
  <c r="HQ42" i="10"/>
  <c r="KD44" i="10"/>
  <c r="ET45" i="10"/>
  <c r="EW45" i="10" s="1"/>
  <c r="FQ45" i="10" s="1"/>
  <c r="EV45" i="10" s="1"/>
  <c r="EU45" i="10"/>
  <c r="LO131" i="24"/>
  <c r="LS130" i="24"/>
  <c r="AD107" i="17"/>
  <c r="AE107" i="17"/>
  <c r="AC107" i="17"/>
  <c r="AB107" i="17"/>
  <c r="AG109" i="15"/>
  <c r="BH110" i="15"/>
  <c r="L110" i="17"/>
  <c r="S109" i="17"/>
  <c r="AG109" i="17"/>
  <c r="AU118" i="17"/>
  <c r="BH109" i="17"/>
  <c r="AU110" i="15"/>
  <c r="L110" i="15"/>
  <c r="FB43" i="10"/>
  <c r="KL44" i="10"/>
  <c r="FB44" i="10"/>
  <c r="FL44" i="10"/>
  <c r="EX45" i="10"/>
  <c r="KK44" i="10"/>
  <c r="FT45" i="10"/>
  <c r="BY673" i="15"/>
  <c r="FA43" i="10"/>
  <c r="FC43" i="10"/>
  <c r="GK42" i="10"/>
  <c r="FD44" i="10"/>
  <c r="FD43" i="10"/>
  <c r="FE44" i="10"/>
  <c r="FL43" i="10"/>
  <c r="GE44" i="10"/>
  <c r="FG44" i="10"/>
  <c r="AO109" i="15"/>
  <c r="GI42" i="10"/>
  <c r="AP108" i="17"/>
  <c r="FC44" i="10"/>
  <c r="GH42" i="10"/>
  <c r="T108" i="17"/>
  <c r="GF44" i="10"/>
  <c r="GJ42" i="10"/>
  <c r="GL42" i="10"/>
  <c r="KG44" i="10"/>
  <c r="KM43" i="10"/>
  <c r="KU44" i="10"/>
  <c r="FA44" i="10"/>
  <c r="AO108" i="17"/>
  <c r="KN44" i="10"/>
  <c r="KK43" i="10"/>
  <c r="KU43" i="10"/>
  <c r="GG42" i="10"/>
  <c r="FS45" i="10"/>
  <c r="KJ43" i="10"/>
  <c r="BZ673" i="15"/>
  <c r="AP108" i="15"/>
  <c r="KL43" i="10"/>
  <c r="KN43" i="10"/>
  <c r="CH674" i="15"/>
  <c r="KM44" i="10"/>
  <c r="FE43" i="10"/>
  <c r="FG43" i="10"/>
  <c r="U108" i="17"/>
  <c r="V108" i="17"/>
  <c r="W108" i="17"/>
  <c r="GM42" i="10"/>
  <c r="HE41" i="10" l="1"/>
  <c r="HL41" i="10" s="1"/>
  <c r="HN41" i="10" s="1"/>
  <c r="C21" i="14" s="1"/>
  <c r="HL40" i="10"/>
  <c r="HN40" i="10" s="1"/>
  <c r="C20" i="14" s="1"/>
  <c r="LD40" i="10"/>
  <c r="LF40" i="10" s="1"/>
  <c r="N24" i="15"/>
  <c r="M24" i="15" s="1"/>
  <c r="BD24" i="15" s="1"/>
  <c r="DC671" i="15"/>
  <c r="DE671" i="15" s="1"/>
  <c r="CE673" i="15"/>
  <c r="CP673" i="15" s="1"/>
  <c r="CU673" i="15" s="1"/>
  <c r="CF673" i="15"/>
  <c r="CQ673" i="15" s="1"/>
  <c r="CV673" i="15" s="1"/>
  <c r="BQ675" i="15"/>
  <c r="J165" i="17"/>
  <c r="M165" i="17" s="1"/>
  <c r="BB23" i="17"/>
  <c r="BC23" i="17" s="1"/>
  <c r="M23" i="17"/>
  <c r="BD23" i="17" s="1"/>
  <c r="GS43" i="10"/>
  <c r="M23" i="15"/>
  <c r="BD23" i="15" s="1"/>
  <c r="N166" i="17"/>
  <c r="E262" i="17" s="1"/>
  <c r="E261" i="15"/>
  <c r="GU43" i="10"/>
  <c r="HO43" i="10"/>
  <c r="HP43" i="10" s="1"/>
  <c r="GW42" i="10"/>
  <c r="GX42" i="10"/>
  <c r="GQ44" i="10"/>
  <c r="GD44" i="10"/>
  <c r="HO44" i="10" s="1"/>
  <c r="N24" i="17"/>
  <c r="BB24" i="17" s="1"/>
  <c r="BC24" i="17" s="1"/>
  <c r="GZ42" i="10"/>
  <c r="HA42" i="10"/>
  <c r="GR42" i="10"/>
  <c r="GV42" i="10"/>
  <c r="GY42" i="10"/>
  <c r="HB42" i="10"/>
  <c r="LC43" i="10"/>
  <c r="BB23" i="15"/>
  <c r="BC23" i="15" s="1"/>
  <c r="P23" i="15"/>
  <c r="J114" i="15"/>
  <c r="AH665" i="15" s="1"/>
  <c r="EO47" i="10"/>
  <c r="EP47" i="10" s="1"/>
  <c r="EN48" i="10"/>
  <c r="ET46" i="10"/>
  <c r="EW46" i="10" s="1"/>
  <c r="FQ46" i="10" s="1"/>
  <c r="EV46" i="10" s="1"/>
  <c r="EU46" i="10"/>
  <c r="KD45" i="10"/>
  <c r="E262" i="15"/>
  <c r="J166" i="15"/>
  <c r="M166" i="15" s="1"/>
  <c r="AJ104" i="15"/>
  <c r="LO132" i="24"/>
  <c r="LS131" i="24"/>
  <c r="AB108" i="17"/>
  <c r="AC108" i="17"/>
  <c r="AE108" i="17"/>
  <c r="AD108" i="17"/>
  <c r="BH111" i="15"/>
  <c r="AU111" i="15"/>
  <c r="AG110" i="15"/>
  <c r="AU119" i="17"/>
  <c r="L111" i="17"/>
  <c r="S110" i="17"/>
  <c r="L111" i="15"/>
  <c r="BH110" i="17"/>
  <c r="AG110" i="17"/>
  <c r="FU43" i="10"/>
  <c r="GE45" i="10"/>
  <c r="KM45" i="10"/>
  <c r="FY43" i="10"/>
  <c r="AI114" i="15"/>
  <c r="FT46" i="10"/>
  <c r="FY44" i="10"/>
  <c r="FZ44" i="10"/>
  <c r="FS46" i="10"/>
  <c r="FW43" i="10"/>
  <c r="KU45" i="10"/>
  <c r="GF45" i="10"/>
  <c r="KK45" i="10"/>
  <c r="FX44" i="10"/>
  <c r="FL45" i="10"/>
  <c r="KN45" i="10"/>
  <c r="AP109" i="15"/>
  <c r="FV43" i="10"/>
  <c r="AP109" i="17"/>
  <c r="GA43" i="10"/>
  <c r="FC45" i="10"/>
  <c r="FD45" i="10"/>
  <c r="FE45" i="10"/>
  <c r="FG45" i="10"/>
  <c r="BY674" i="15"/>
  <c r="BZ674" i="15"/>
  <c r="AO109" i="17"/>
  <c r="W109" i="17"/>
  <c r="KL45" i="10"/>
  <c r="U109" i="17"/>
  <c r="FU44" i="10"/>
  <c r="FB45" i="10"/>
  <c r="FV44" i="10"/>
  <c r="T109" i="17"/>
  <c r="FZ43" i="10"/>
  <c r="FA45" i="10"/>
  <c r="V109" i="17"/>
  <c r="FX43" i="10"/>
  <c r="CH675" i="15"/>
  <c r="KJ44" i="10"/>
  <c r="GA44" i="10"/>
  <c r="FW44" i="10"/>
  <c r="KG45" i="10"/>
  <c r="AO110" i="15"/>
  <c r="N25" i="15" l="1"/>
  <c r="M25" i="15" s="1"/>
  <c r="BD25" i="15" s="1"/>
  <c r="DC672" i="15"/>
  <c r="DE672" i="15" s="1"/>
  <c r="CF674" i="15"/>
  <c r="CQ674" i="15" s="1"/>
  <c r="CV674" i="15" s="1"/>
  <c r="CE674" i="15"/>
  <c r="CP674" i="15" s="1"/>
  <c r="CU674" i="15" s="1"/>
  <c r="BQ676" i="15"/>
  <c r="J166" i="17"/>
  <c r="M166" i="17" s="1"/>
  <c r="BE23" i="17"/>
  <c r="BI126" i="17" s="1"/>
  <c r="BE23" i="15"/>
  <c r="BI126" i="15" s="1"/>
  <c r="GT44" i="10"/>
  <c r="P24" i="17"/>
  <c r="N167" i="17"/>
  <c r="J167" i="17" s="1"/>
  <c r="M167" i="17" s="1"/>
  <c r="M24" i="17"/>
  <c r="BD24" i="17" s="1"/>
  <c r="BE24" i="17" s="1"/>
  <c r="BI127" i="17" s="1"/>
  <c r="BB24" i="15"/>
  <c r="BC24" i="15" s="1"/>
  <c r="BE24" i="15" s="1"/>
  <c r="BI127" i="15" s="1"/>
  <c r="P24" i="15"/>
  <c r="HQ43" i="10"/>
  <c r="N167" i="15"/>
  <c r="E263" i="15" s="1"/>
  <c r="HR43" i="10"/>
  <c r="LC44" i="10"/>
  <c r="N25" i="17"/>
  <c r="M25" i="17" s="1"/>
  <c r="BD25" i="17" s="1"/>
  <c r="GQ45" i="10"/>
  <c r="GD45" i="10"/>
  <c r="GT45" i="10" s="1"/>
  <c r="GS44" i="10"/>
  <c r="GU44" i="10"/>
  <c r="LD42" i="10"/>
  <c r="LF42" i="10" s="1"/>
  <c r="HE42" i="10"/>
  <c r="HL42" i="10" s="1"/>
  <c r="HN42" i="10" s="1"/>
  <c r="C22" i="14" s="1"/>
  <c r="J115" i="15"/>
  <c r="AH666" i="15" s="1"/>
  <c r="HQ44" i="10"/>
  <c r="HR44" i="10"/>
  <c r="HP44" i="10"/>
  <c r="EO48" i="10"/>
  <c r="EP48" i="10" s="1"/>
  <c r="EN49" i="10"/>
  <c r="ET47" i="10"/>
  <c r="EW47" i="10" s="1"/>
  <c r="FQ47" i="10" s="1"/>
  <c r="EV47" i="10" s="1"/>
  <c r="EU47" i="10"/>
  <c r="LO133" i="24"/>
  <c r="LS132" i="24"/>
  <c r="AB109" i="17"/>
  <c r="AD109" i="17"/>
  <c r="AE109" i="17"/>
  <c r="AC109" i="17"/>
  <c r="AU120" i="17"/>
  <c r="AG111" i="15"/>
  <c r="BH112" i="15"/>
  <c r="BH111" i="17"/>
  <c r="S111" i="17"/>
  <c r="L112" i="17"/>
  <c r="AG111" i="17"/>
  <c r="L112" i="15"/>
  <c r="AU112" i="15"/>
  <c r="FX45" i="10"/>
  <c r="GI43" i="10"/>
  <c r="FW45" i="10"/>
  <c r="V110" i="17"/>
  <c r="U110" i="17"/>
  <c r="CK676" i="15"/>
  <c r="BZ675" i="15"/>
  <c r="GA45" i="10"/>
  <c r="GJ44" i="10"/>
  <c r="AO110" i="17"/>
  <c r="GM43" i="10"/>
  <c r="T110" i="17"/>
  <c r="FV45" i="10"/>
  <c r="GH44" i="10"/>
  <c r="AP110" i="15"/>
  <c r="AO111" i="15"/>
  <c r="GG43" i="10"/>
  <c r="FT47" i="10"/>
  <c r="GJ43" i="10"/>
  <c r="GH43" i="10"/>
  <c r="FZ45" i="10"/>
  <c r="EX46" i="10"/>
  <c r="FS47" i="10"/>
  <c r="AI114" i="17"/>
  <c r="W110" i="17"/>
  <c r="KJ45" i="10"/>
  <c r="FY45" i="10"/>
  <c r="BW676" i="15"/>
  <c r="GL44" i="10"/>
  <c r="GK44" i="10"/>
  <c r="FU45" i="10"/>
  <c r="GI44" i="10"/>
  <c r="AH110" i="17"/>
  <c r="GM44" i="10"/>
  <c r="GK43" i="10"/>
  <c r="AP110" i="17"/>
  <c r="CH676" i="15"/>
  <c r="GG44" i="10"/>
  <c r="BX675" i="15"/>
  <c r="GF46" i="10"/>
  <c r="GE46" i="10"/>
  <c r="GL43" i="10"/>
  <c r="AH110" i="15"/>
  <c r="BY675" i="15"/>
  <c r="EX47" i="10"/>
  <c r="GY43" i="10" l="1"/>
  <c r="HB43" i="10"/>
  <c r="GW43" i="10"/>
  <c r="GV43" i="10"/>
  <c r="GX43" i="10"/>
  <c r="HA43" i="10"/>
  <c r="GZ43" i="10"/>
  <c r="GR43" i="10"/>
  <c r="LD43" i="10" s="1"/>
  <c r="LF43" i="10" s="1"/>
  <c r="N26" i="15"/>
  <c r="BB26" i="15" s="1"/>
  <c r="BC26" i="15" s="1"/>
  <c r="DC673" i="15"/>
  <c r="DE673" i="15" s="1"/>
  <c r="CE675" i="15"/>
  <c r="CP675" i="15" s="1"/>
  <c r="CU675" i="15" s="1"/>
  <c r="CF675" i="15"/>
  <c r="CQ675" i="15" s="1"/>
  <c r="CV675" i="15" s="1"/>
  <c r="CD675" i="15"/>
  <c r="BQ677" i="15"/>
  <c r="E263" i="17"/>
  <c r="P25" i="15"/>
  <c r="J167" i="15"/>
  <c r="M167" i="15" s="1"/>
  <c r="BB25" i="15"/>
  <c r="BC25" i="15" s="1"/>
  <c r="BE25" i="15" s="1"/>
  <c r="BI128" i="15" s="1"/>
  <c r="HO45" i="10"/>
  <c r="HQ45" i="10" s="1"/>
  <c r="GS45" i="10"/>
  <c r="N168" i="15"/>
  <c r="E264" i="15" s="1"/>
  <c r="BB25" i="17"/>
  <c r="BC25" i="17" s="1"/>
  <c r="BE25" i="17" s="1"/>
  <c r="BI128" i="17" s="1"/>
  <c r="N168" i="17"/>
  <c r="J168" i="17" s="1"/>
  <c r="M168" i="17" s="1"/>
  <c r="GZ44" i="10"/>
  <c r="GR44" i="10"/>
  <c r="GV44" i="10"/>
  <c r="HA44" i="10"/>
  <c r="N26" i="17"/>
  <c r="N169" i="17" s="1"/>
  <c r="GD46" i="10"/>
  <c r="HO46" i="10" s="1"/>
  <c r="GQ46" i="10"/>
  <c r="GY44" i="10"/>
  <c r="LC45" i="10"/>
  <c r="GW44" i="10"/>
  <c r="GX44" i="10"/>
  <c r="HB44" i="10"/>
  <c r="P25" i="17"/>
  <c r="GU45" i="10"/>
  <c r="J116" i="15"/>
  <c r="AH667" i="15" s="1"/>
  <c r="EO49" i="10"/>
  <c r="EP49" i="10" s="1"/>
  <c r="EN50" i="10"/>
  <c r="ET48" i="10"/>
  <c r="EW48" i="10" s="1"/>
  <c r="FQ48" i="10" s="1"/>
  <c r="EV48" i="10" s="1"/>
  <c r="EU48" i="10"/>
  <c r="LO134" i="24"/>
  <c r="LS133" i="24"/>
  <c r="AB110" i="17"/>
  <c r="AC110" i="17"/>
  <c r="AD110" i="17"/>
  <c r="AE110" i="17"/>
  <c r="AU121" i="17"/>
  <c r="L113" i="17"/>
  <c r="S112" i="17"/>
  <c r="L113" i="15"/>
  <c r="BH113" i="15"/>
  <c r="AU113" i="15"/>
  <c r="AG112" i="17"/>
  <c r="BH112" i="17"/>
  <c r="AG112" i="15"/>
  <c r="FD47" i="10"/>
  <c r="GJ45" i="10"/>
  <c r="W111" i="17"/>
  <c r="GF47" i="10"/>
  <c r="FA47" i="10"/>
  <c r="GM45" i="10"/>
  <c r="KU46" i="10"/>
  <c r="KL46" i="10"/>
  <c r="KN46" i="10"/>
  <c r="KK46" i="10"/>
  <c r="FE46" i="10"/>
  <c r="AO112" i="15"/>
  <c r="FC47" i="10"/>
  <c r="FE47" i="10"/>
  <c r="FA46" i="10"/>
  <c r="T111" i="17"/>
  <c r="KK47" i="10"/>
  <c r="KN47" i="10"/>
  <c r="FX47" i="10"/>
  <c r="FB47" i="10"/>
  <c r="BZ676" i="15"/>
  <c r="FD46" i="10"/>
  <c r="AO111" i="17"/>
  <c r="BY676" i="15"/>
  <c r="FT48" i="10"/>
  <c r="GK45" i="10"/>
  <c r="GL45" i="10"/>
  <c r="FL46" i="10"/>
  <c r="GG45" i="10"/>
  <c r="FG47" i="10"/>
  <c r="GE47" i="10"/>
  <c r="AP111" i="17"/>
  <c r="FC46" i="10"/>
  <c r="GH45" i="10"/>
  <c r="EX48" i="10"/>
  <c r="FS48" i="10"/>
  <c r="FG46" i="10"/>
  <c r="FL47" i="10"/>
  <c r="CH677" i="15"/>
  <c r="U111" i="17"/>
  <c r="FB46" i="10"/>
  <c r="KL47" i="10"/>
  <c r="KU47" i="10"/>
  <c r="V111" i="17"/>
  <c r="GI45" i="10"/>
  <c r="KM46" i="10"/>
  <c r="KM47" i="10"/>
  <c r="AP111" i="15"/>
  <c r="GY45" i="10" l="1"/>
  <c r="HE43" i="10"/>
  <c r="HL43" i="10" s="1"/>
  <c r="HN43" i="10" s="1"/>
  <c r="C23" i="14" s="1"/>
  <c r="LC46" i="10"/>
  <c r="N27" i="15"/>
  <c r="BB27" i="15" s="1"/>
  <c r="BC27" i="15" s="1"/>
  <c r="DC674" i="15"/>
  <c r="DE674" i="15" s="1"/>
  <c r="CF676" i="15"/>
  <c r="CQ676" i="15" s="1"/>
  <c r="CV676" i="15" s="1"/>
  <c r="CE676" i="15"/>
  <c r="CP676" i="15" s="1"/>
  <c r="CU676" i="15" s="1"/>
  <c r="BQ678" i="15"/>
  <c r="P26" i="15"/>
  <c r="N169" i="15"/>
  <c r="E265" i="15" s="1"/>
  <c r="GS46" i="10"/>
  <c r="GU46" i="10"/>
  <c r="HP45" i="10"/>
  <c r="HR45" i="10"/>
  <c r="E264" i="17"/>
  <c r="J168" i="15"/>
  <c r="M168" i="15" s="1"/>
  <c r="GT46" i="10"/>
  <c r="M26" i="15"/>
  <c r="BD26" i="15" s="1"/>
  <c r="BE26" i="15" s="1"/>
  <c r="BI129" i="15" s="1"/>
  <c r="M26" i="17"/>
  <c r="BD26" i="17" s="1"/>
  <c r="HB45" i="10"/>
  <c r="GX45" i="10"/>
  <c r="HA45" i="10"/>
  <c r="GW45" i="10"/>
  <c r="GR45" i="10"/>
  <c r="GV45" i="10"/>
  <c r="GZ45" i="10"/>
  <c r="GQ47" i="10"/>
  <c r="N27" i="17"/>
  <c r="BB27" i="17" s="1"/>
  <c r="BC27" i="17" s="1"/>
  <c r="GD47" i="10"/>
  <c r="HO47" i="10" s="1"/>
  <c r="P26" i="17"/>
  <c r="LD44" i="10"/>
  <c r="LF44" i="10" s="1"/>
  <c r="HE44" i="10"/>
  <c r="HL44" i="10" s="1"/>
  <c r="HN44" i="10" s="1"/>
  <c r="C24" i="14" s="1"/>
  <c r="BB26" i="17"/>
  <c r="BC26" i="17" s="1"/>
  <c r="J117" i="15"/>
  <c r="AH668" i="15" s="1"/>
  <c r="E265" i="17"/>
  <c r="J169" i="17"/>
  <c r="M169" i="17" s="1"/>
  <c r="EO50" i="10"/>
  <c r="EP50" i="10" s="1"/>
  <c r="EN51" i="10"/>
  <c r="HP46" i="10"/>
  <c r="HQ46" i="10"/>
  <c r="HR46" i="10"/>
  <c r="ET49" i="10"/>
  <c r="EW49" i="10" s="1"/>
  <c r="FQ49" i="10" s="1"/>
  <c r="EV49" i="10" s="1"/>
  <c r="EU49" i="10"/>
  <c r="LO135" i="24"/>
  <c r="LS134" i="24"/>
  <c r="AB111" i="17"/>
  <c r="AD111" i="17"/>
  <c r="AE111" i="17"/>
  <c r="AC111" i="17"/>
  <c r="AG113" i="17"/>
  <c r="BH114" i="15"/>
  <c r="L114" i="17"/>
  <c r="S113" i="17"/>
  <c r="AG113" i="15"/>
  <c r="BH113" i="17"/>
  <c r="AU114" i="15"/>
  <c r="AU122" i="17"/>
  <c r="L114" i="15"/>
  <c r="FD48" i="10"/>
  <c r="FA48" i="10"/>
  <c r="FC48" i="10"/>
  <c r="FU46" i="10"/>
  <c r="GE48" i="10"/>
  <c r="BY677" i="15"/>
  <c r="FL48" i="10"/>
  <c r="AO112" i="17"/>
  <c r="AO113" i="15"/>
  <c r="T112" i="17"/>
  <c r="GA46" i="10"/>
  <c r="FB48" i="10"/>
  <c r="AP112" i="17"/>
  <c r="KM48" i="10"/>
  <c r="V112" i="17"/>
  <c r="KN48" i="10"/>
  <c r="FS49" i="10"/>
  <c r="GA47" i="10"/>
  <c r="FG48" i="10"/>
  <c r="FY47" i="10"/>
  <c r="FT49" i="10"/>
  <c r="FZ47" i="10"/>
  <c r="FX46" i="10"/>
  <c r="FU47" i="10"/>
  <c r="GJ47" i="10"/>
  <c r="FV47" i="10"/>
  <c r="U112" i="17"/>
  <c r="BV676" i="15"/>
  <c r="GF48" i="10"/>
  <c r="FE48" i="10"/>
  <c r="KL48" i="10"/>
  <c r="FV46" i="10"/>
  <c r="KK48" i="10"/>
  <c r="CH678" i="15"/>
  <c r="FZ46" i="10"/>
  <c r="W112" i="17"/>
  <c r="FW47" i="10"/>
  <c r="FX48" i="10"/>
  <c r="AP112" i="15"/>
  <c r="FW46" i="10"/>
  <c r="EX49" i="10"/>
  <c r="KU48" i="10"/>
  <c r="FY46" i="10"/>
  <c r="BZ677" i="15"/>
  <c r="J169" i="15" l="1"/>
  <c r="M169" i="15" s="1"/>
  <c r="N28" i="15"/>
  <c r="P28" i="15" s="1"/>
  <c r="DC675" i="15"/>
  <c r="DE675" i="15" s="1"/>
  <c r="CE677" i="15"/>
  <c r="CP677" i="15" s="1"/>
  <c r="CU677" i="15" s="1"/>
  <c r="CF677" i="15"/>
  <c r="CQ677" i="15" s="1"/>
  <c r="CV677" i="15" s="1"/>
  <c r="BQ679" i="15"/>
  <c r="BE26" i="17"/>
  <c r="BI129" i="17" s="1"/>
  <c r="P27" i="17"/>
  <c r="M27" i="15"/>
  <c r="BD27" i="15" s="1"/>
  <c r="BE27" i="15" s="1"/>
  <c r="BI130" i="15" s="1"/>
  <c r="GS47" i="10"/>
  <c r="GT47" i="10"/>
  <c r="N170" i="15"/>
  <c r="J170" i="15" s="1"/>
  <c r="M170" i="15" s="1"/>
  <c r="GU47" i="10"/>
  <c r="GY47" i="10"/>
  <c r="N28" i="17"/>
  <c r="M28" i="17" s="1"/>
  <c r="BD28" i="17" s="1"/>
  <c r="GQ48" i="10"/>
  <c r="GD48" i="10"/>
  <c r="GT48" i="10" s="1"/>
  <c r="N170" i="17"/>
  <c r="J170" i="17" s="1"/>
  <c r="M170" i="17" s="1"/>
  <c r="P27" i="15"/>
  <c r="LD45" i="10"/>
  <c r="LF45" i="10" s="1"/>
  <c r="HE45" i="10"/>
  <c r="HL45" i="10" s="1"/>
  <c r="HN45" i="10" s="1"/>
  <c r="C25" i="14" s="1"/>
  <c r="M27" i="17"/>
  <c r="BD27" i="17" s="1"/>
  <c r="BE27" i="17" s="1"/>
  <c r="BI130" i="17" s="1"/>
  <c r="J118" i="15"/>
  <c r="AH669" i="15" s="1"/>
  <c r="HQ47" i="10"/>
  <c r="HR47" i="10"/>
  <c r="HP47" i="10"/>
  <c r="EU50" i="10"/>
  <c r="ET50" i="10"/>
  <c r="EW50" i="10" s="1"/>
  <c r="FQ50" i="10" s="1"/>
  <c r="EV50" i="10" s="1"/>
  <c r="EO51" i="10"/>
  <c r="EP51" i="10" s="1"/>
  <c r="EN52" i="10"/>
  <c r="LO136" i="24"/>
  <c r="LS135" i="24"/>
  <c r="AB112" i="17"/>
  <c r="AC112" i="17"/>
  <c r="AD112" i="17"/>
  <c r="AE112" i="17"/>
  <c r="AU123" i="17"/>
  <c r="BH114" i="17"/>
  <c r="AG114" i="15"/>
  <c r="BH115" i="15"/>
  <c r="L115" i="15"/>
  <c r="AG114" i="17"/>
  <c r="AU115" i="15"/>
  <c r="S114" i="17"/>
  <c r="L115" i="17"/>
  <c r="FD49" i="10"/>
  <c r="GK47" i="10"/>
  <c r="AO113" i="17"/>
  <c r="GE49" i="10"/>
  <c r="FU48" i="10"/>
  <c r="KM49" i="10"/>
  <c r="FC49" i="10"/>
  <c r="KK49" i="10"/>
  <c r="GM46" i="10"/>
  <c r="W113" i="17"/>
  <c r="U113" i="17"/>
  <c r="CH679" i="15"/>
  <c r="FL49" i="10"/>
  <c r="AP113" i="15"/>
  <c r="GI47" i="10"/>
  <c r="AO114" i="15"/>
  <c r="FT50" i="10"/>
  <c r="FB49" i="10"/>
  <c r="BY678" i="15"/>
  <c r="V113" i="17"/>
  <c r="GK46" i="10"/>
  <c r="FW48" i="10"/>
  <c r="FE49" i="10"/>
  <c r="FX49" i="10"/>
  <c r="GL46" i="10"/>
  <c r="KU49" i="10"/>
  <c r="GG47" i="10"/>
  <c r="FA49" i="10"/>
  <c r="GA48" i="10"/>
  <c r="KN49" i="10"/>
  <c r="GG46" i="10"/>
  <c r="GM47" i="10"/>
  <c r="GH46" i="10"/>
  <c r="FV48" i="10"/>
  <c r="GH47" i="10"/>
  <c r="KL49" i="10"/>
  <c r="FZ48" i="10"/>
  <c r="T113" i="17"/>
  <c r="BZ678" i="15"/>
  <c r="GF49" i="10"/>
  <c r="AP113" i="17"/>
  <c r="GJ46" i="10"/>
  <c r="FG49" i="10"/>
  <c r="FY48" i="10"/>
  <c r="GJ48" i="10"/>
  <c r="GL47" i="10"/>
  <c r="FS50" i="10"/>
  <c r="GI46" i="10"/>
  <c r="GW46" i="10" l="1"/>
  <c r="GY46" i="10"/>
  <c r="GZ46" i="10"/>
  <c r="HA46" i="10"/>
  <c r="GX46" i="10"/>
  <c r="HB46" i="10"/>
  <c r="GV46" i="10"/>
  <c r="GR46" i="10"/>
  <c r="HE46" i="10" s="1"/>
  <c r="N29" i="15"/>
  <c r="M29" i="15" s="1"/>
  <c r="BD29" i="15" s="1"/>
  <c r="DC676" i="15"/>
  <c r="DE676" i="15" s="1"/>
  <c r="CF678" i="15"/>
  <c r="CQ678" i="15" s="1"/>
  <c r="CV678" i="15" s="1"/>
  <c r="CE678" i="15"/>
  <c r="CP678" i="15" s="1"/>
  <c r="CU678" i="15" s="1"/>
  <c r="BQ680" i="15"/>
  <c r="N171" i="15"/>
  <c r="E267" i="15" s="1"/>
  <c r="N171" i="17"/>
  <c r="E267" i="17" s="1"/>
  <c r="HO48" i="10"/>
  <c r="HR48" i="10" s="1"/>
  <c r="E266" i="15"/>
  <c r="GS48" i="10"/>
  <c r="M28" i="15"/>
  <c r="BD28" i="15" s="1"/>
  <c r="BB28" i="15"/>
  <c r="BC28" i="15" s="1"/>
  <c r="E266" i="17"/>
  <c r="BB28" i="17"/>
  <c r="BC28" i="17" s="1"/>
  <c r="BE28" i="17" s="1"/>
  <c r="BI131" i="17" s="1"/>
  <c r="P28" i="17"/>
  <c r="GU48" i="10"/>
  <c r="HB47" i="10"/>
  <c r="GR47" i="10"/>
  <c r="GV47" i="10"/>
  <c r="GX47" i="10"/>
  <c r="GW47" i="10"/>
  <c r="GQ49" i="10"/>
  <c r="GD49" i="10"/>
  <c r="GS49" i="10" s="1"/>
  <c r="N29" i="17"/>
  <c r="N172" i="17" s="1"/>
  <c r="GY48" i="10"/>
  <c r="GZ47" i="10"/>
  <c r="HA47" i="10"/>
  <c r="J119" i="15"/>
  <c r="AH670" i="15" s="1"/>
  <c r="EO52" i="10"/>
  <c r="EP52" i="10" s="1"/>
  <c r="EN53" i="10"/>
  <c r="ET51" i="10"/>
  <c r="EW51" i="10" s="1"/>
  <c r="FQ51" i="10" s="1"/>
  <c r="EV51" i="10" s="1"/>
  <c r="EU51" i="10"/>
  <c r="AJ109" i="15"/>
  <c r="LO137" i="24"/>
  <c r="LS136" i="24"/>
  <c r="AD113" i="17"/>
  <c r="AE113" i="17"/>
  <c r="AC113" i="17"/>
  <c r="AB113" i="17"/>
  <c r="AG115" i="15"/>
  <c r="L116" i="17"/>
  <c r="S115" i="17"/>
  <c r="BH116" i="15"/>
  <c r="AG115" i="17"/>
  <c r="BH115" i="17"/>
  <c r="AU116" i="15"/>
  <c r="L116" i="15"/>
  <c r="AU124" i="17"/>
  <c r="FD50" i="10"/>
  <c r="CH680" i="15"/>
  <c r="GJ49" i="10"/>
  <c r="T114" i="17"/>
  <c r="FZ49" i="10"/>
  <c r="GG48" i="10"/>
  <c r="GM48" i="10"/>
  <c r="FY49" i="10"/>
  <c r="BY679" i="15"/>
  <c r="AO114" i="17"/>
  <c r="FW49" i="10"/>
  <c r="GH48" i="10"/>
  <c r="W114" i="17"/>
  <c r="FT51" i="10"/>
  <c r="FS51" i="10"/>
  <c r="GA49" i="10"/>
  <c r="AP114" i="15"/>
  <c r="GE50" i="10"/>
  <c r="BZ679" i="15"/>
  <c r="AI119" i="15"/>
  <c r="AP114" i="17"/>
  <c r="GL48" i="10"/>
  <c r="FX50" i="10"/>
  <c r="FU49" i="10"/>
  <c r="V114" i="17"/>
  <c r="U114" i="17"/>
  <c r="GF50" i="10"/>
  <c r="AO115" i="15"/>
  <c r="EX50" i="10"/>
  <c r="GI48" i="10"/>
  <c r="GK48" i="10"/>
  <c r="EX51" i="10"/>
  <c r="FV49" i="10"/>
  <c r="HL46" i="10" l="1"/>
  <c r="HN46" i="10" s="1"/>
  <c r="C26" i="14" s="1"/>
  <c r="LD46" i="10"/>
  <c r="LF46" i="10" s="1"/>
  <c r="N30" i="15"/>
  <c r="M30" i="15" s="1"/>
  <c r="BD30" i="15" s="1"/>
  <c r="DC677" i="15"/>
  <c r="DE677" i="15" s="1"/>
  <c r="CF679" i="15"/>
  <c r="CQ679" i="15" s="1"/>
  <c r="CV679" i="15" s="1"/>
  <c r="CE679" i="15"/>
  <c r="CP679" i="15" s="1"/>
  <c r="CU679" i="15" s="1"/>
  <c r="BQ681" i="15"/>
  <c r="J171" i="15"/>
  <c r="M171" i="15" s="1"/>
  <c r="HP48" i="10"/>
  <c r="J171" i="17"/>
  <c r="M171" i="17" s="1"/>
  <c r="HQ48" i="10"/>
  <c r="HO49" i="10"/>
  <c r="HR49" i="10" s="1"/>
  <c r="BE28" i="15"/>
  <c r="BI131" i="15" s="1"/>
  <c r="P29" i="15"/>
  <c r="BB29" i="15"/>
  <c r="BC29" i="15" s="1"/>
  <c r="BE29" i="15" s="1"/>
  <c r="BI132" i="15" s="1"/>
  <c r="M29" i="17"/>
  <c r="BD29" i="17" s="1"/>
  <c r="P29" i="17"/>
  <c r="N172" i="15"/>
  <c r="J172" i="15" s="1"/>
  <c r="M172" i="15" s="1"/>
  <c r="BB29" i="17"/>
  <c r="BC29" i="17" s="1"/>
  <c r="GU49" i="10"/>
  <c r="GT49" i="10"/>
  <c r="GY49" i="10"/>
  <c r="HA48" i="10"/>
  <c r="HB48" i="10"/>
  <c r="GR48" i="10"/>
  <c r="GV48" i="10"/>
  <c r="GZ48" i="10"/>
  <c r="GQ50" i="10"/>
  <c r="GD50" i="10"/>
  <c r="GS50" i="10" s="1"/>
  <c r="N30" i="17"/>
  <c r="M30" i="17" s="1"/>
  <c r="BD30" i="17" s="1"/>
  <c r="GW48" i="10"/>
  <c r="GX48" i="10"/>
  <c r="HE47" i="10"/>
  <c r="HL47" i="10" s="1"/>
  <c r="HN47" i="10" s="1"/>
  <c r="C27" i="14" s="1"/>
  <c r="LD47" i="10"/>
  <c r="J120" i="15"/>
  <c r="AH671" i="15" s="1"/>
  <c r="E268" i="17"/>
  <c r="J172" i="17"/>
  <c r="M172" i="17" s="1"/>
  <c r="EO53" i="10"/>
  <c r="EP53" i="10" s="1"/>
  <c r="EN54" i="10"/>
  <c r="ET52" i="10"/>
  <c r="EW52" i="10" s="1"/>
  <c r="FQ52" i="10" s="1"/>
  <c r="EV52" i="10" s="1"/>
  <c r="EU52" i="10"/>
  <c r="LO138" i="24"/>
  <c r="LS137" i="24"/>
  <c r="AB114" i="17"/>
  <c r="AE114" i="17"/>
  <c r="AD114" i="17"/>
  <c r="AC114" i="17"/>
  <c r="AU117" i="15"/>
  <c r="AU125" i="17"/>
  <c r="L117" i="17"/>
  <c r="S116" i="17"/>
  <c r="AG116" i="17"/>
  <c r="L117" i="15"/>
  <c r="BH116" i="17"/>
  <c r="BH117" i="15"/>
  <c r="AG116" i="15"/>
  <c r="FD51" i="10"/>
  <c r="BX680" i="15"/>
  <c r="BW681" i="15"/>
  <c r="FE51" i="10"/>
  <c r="AP115" i="17"/>
  <c r="AO115" i="17"/>
  <c r="FE50" i="10"/>
  <c r="FS52" i="10"/>
  <c r="CH681" i="15"/>
  <c r="FL51" i="10"/>
  <c r="GG49" i="10"/>
  <c r="KK51" i="10"/>
  <c r="FG51" i="10"/>
  <c r="KK50" i="10"/>
  <c r="AH115" i="15"/>
  <c r="FA51" i="10"/>
  <c r="GE51" i="10"/>
  <c r="KN51" i="10"/>
  <c r="EX52" i="10"/>
  <c r="FC51" i="10"/>
  <c r="AP115" i="15"/>
  <c r="KU51" i="10"/>
  <c r="GM49" i="10"/>
  <c r="FY50" i="10"/>
  <c r="W115" i="17"/>
  <c r="T115" i="17"/>
  <c r="KN50" i="10"/>
  <c r="FB51" i="10"/>
  <c r="KL51" i="10"/>
  <c r="GK49" i="10"/>
  <c r="FX51" i="10"/>
  <c r="AI119" i="17"/>
  <c r="FC50" i="10"/>
  <c r="GH49" i="10"/>
  <c r="GL49" i="10"/>
  <c r="GJ50" i="10"/>
  <c r="FA50" i="10"/>
  <c r="AH115" i="17"/>
  <c r="KM51" i="10"/>
  <c r="FT52" i="10"/>
  <c r="KU50" i="10"/>
  <c r="BZ680" i="15"/>
  <c r="FG50" i="10"/>
  <c r="KL50" i="10"/>
  <c r="GI49" i="10"/>
  <c r="FL50" i="10"/>
  <c r="BY680" i="15"/>
  <c r="KM50" i="10"/>
  <c r="GF51" i="10"/>
  <c r="U115" i="17"/>
  <c r="AO116" i="15"/>
  <c r="FB50" i="10"/>
  <c r="V115" i="17"/>
  <c r="CK681" i="15"/>
  <c r="N31" i="15" l="1"/>
  <c r="BB31" i="15" s="1"/>
  <c r="BC31" i="15" s="1"/>
  <c r="DC678" i="15"/>
  <c r="DE678" i="15" s="1"/>
  <c r="CD680" i="15"/>
  <c r="CF680" i="15"/>
  <c r="CQ680" i="15" s="1"/>
  <c r="CV680" i="15" s="1"/>
  <c r="CE680" i="15"/>
  <c r="CP680" i="15" s="1"/>
  <c r="CU680" i="15" s="1"/>
  <c r="BQ682" i="15"/>
  <c r="HP49" i="10"/>
  <c r="BE29" i="17"/>
  <c r="BI132" i="17" s="1"/>
  <c r="HQ49" i="10"/>
  <c r="GT50" i="10"/>
  <c r="E268" i="15"/>
  <c r="HO50" i="10"/>
  <c r="HQ50" i="10" s="1"/>
  <c r="P30" i="15"/>
  <c r="N173" i="15"/>
  <c r="J173" i="15" s="1"/>
  <c r="M173" i="15" s="1"/>
  <c r="BB30" i="15"/>
  <c r="BC30" i="15" s="1"/>
  <c r="BE30" i="15" s="1"/>
  <c r="BI133" i="15" s="1"/>
  <c r="GU50" i="10"/>
  <c r="P30" i="17"/>
  <c r="BB30" i="17"/>
  <c r="BC30" i="17" s="1"/>
  <c r="BE30" i="17" s="1"/>
  <c r="BI133" i="17" s="1"/>
  <c r="N173" i="17"/>
  <c r="E269" i="17" s="1"/>
  <c r="GR49" i="10"/>
  <c r="GV49" i="10"/>
  <c r="GZ49" i="10"/>
  <c r="HB49" i="10"/>
  <c r="GY50" i="10"/>
  <c r="HA49" i="10"/>
  <c r="GX49" i="10"/>
  <c r="GW49" i="10"/>
  <c r="GQ51" i="10"/>
  <c r="GD51" i="10"/>
  <c r="GT51" i="10" s="1"/>
  <c r="N31" i="17"/>
  <c r="BB31" i="17" s="1"/>
  <c r="BC31" i="17" s="1"/>
  <c r="LD48" i="10"/>
  <c r="HE48" i="10"/>
  <c r="HL48" i="10" s="1"/>
  <c r="HN48" i="10" s="1"/>
  <c r="C28" i="14" s="1"/>
  <c r="J121" i="15"/>
  <c r="AH672" i="15" s="1"/>
  <c r="EO54" i="10"/>
  <c r="EP54" i="10" s="1"/>
  <c r="EN55" i="10"/>
  <c r="ET53" i="10"/>
  <c r="EW53" i="10" s="1"/>
  <c r="FQ53" i="10" s="1"/>
  <c r="EV53" i="10" s="1"/>
  <c r="EU53" i="10"/>
  <c r="LO139" i="24"/>
  <c r="LS138" i="24"/>
  <c r="AC115" i="17"/>
  <c r="AD115" i="17"/>
  <c r="AE115" i="17"/>
  <c r="AB115" i="17"/>
  <c r="BH117" i="17"/>
  <c r="AU126" i="17"/>
  <c r="AG117" i="17"/>
  <c r="AG117" i="15"/>
  <c r="BH118" i="15"/>
  <c r="L118" i="15"/>
  <c r="L118" i="17"/>
  <c r="S117" i="17"/>
  <c r="AU118" i="15"/>
  <c r="FD52" i="10"/>
  <c r="KU52" i="10"/>
  <c r="KL52" i="10"/>
  <c r="U116" i="17"/>
  <c r="KM52" i="10"/>
  <c r="FC52" i="10"/>
  <c r="FG52" i="10"/>
  <c r="BY681" i="15"/>
  <c r="FW50" i="10"/>
  <c r="FU50" i="10"/>
  <c r="GJ51" i="10"/>
  <c r="FS53" i="10"/>
  <c r="GA51" i="10"/>
  <c r="FV51" i="10"/>
  <c r="CH682" i="15"/>
  <c r="AO117" i="15"/>
  <c r="FU51" i="10"/>
  <c r="AP116" i="17"/>
  <c r="V116" i="17"/>
  <c r="GF52" i="10"/>
  <c r="FY51" i="10"/>
  <c r="GA50" i="10"/>
  <c r="FL52" i="10"/>
  <c r="FX52" i="10"/>
  <c r="AP116" i="15"/>
  <c r="EX53" i="10"/>
  <c r="AO116" i="17"/>
  <c r="KN52" i="10"/>
  <c r="KK52" i="10"/>
  <c r="FB52" i="10"/>
  <c r="W116" i="17"/>
  <c r="FW51" i="10"/>
  <c r="GK50" i="10"/>
  <c r="FZ51" i="10"/>
  <c r="FE52" i="10"/>
  <c r="FV50" i="10"/>
  <c r="T116" i="17"/>
  <c r="FT53" i="10"/>
  <c r="FA52" i="10"/>
  <c r="GE52" i="10"/>
  <c r="FZ50" i="10"/>
  <c r="BZ681" i="15"/>
  <c r="N32" i="15" l="1"/>
  <c r="BB32" i="15" s="1"/>
  <c r="BC32" i="15" s="1"/>
  <c r="DC679" i="15"/>
  <c r="DE679" i="15" s="1"/>
  <c r="CE681" i="15"/>
  <c r="CP681" i="15" s="1"/>
  <c r="CU681" i="15" s="1"/>
  <c r="CF681" i="15"/>
  <c r="CQ681" i="15" s="1"/>
  <c r="CV681" i="15" s="1"/>
  <c r="BQ683" i="15"/>
  <c r="HP50" i="10"/>
  <c r="HR50" i="10"/>
  <c r="E269" i="15"/>
  <c r="J173" i="17"/>
  <c r="M173" i="17" s="1"/>
  <c r="P31" i="17"/>
  <c r="N174" i="17"/>
  <c r="J174" i="17" s="1"/>
  <c r="M174" i="17" s="1"/>
  <c r="M31" i="17"/>
  <c r="BD31" i="17" s="1"/>
  <c r="BE31" i="17" s="1"/>
  <c r="BI134" i="17" s="1"/>
  <c r="HO51" i="10"/>
  <c r="HP51" i="10" s="1"/>
  <c r="N174" i="15"/>
  <c r="E270" i="15" s="1"/>
  <c r="M31" i="15"/>
  <c r="BD31" i="15" s="1"/>
  <c r="BE31" i="15" s="1"/>
  <c r="BI134" i="15" s="1"/>
  <c r="P31" i="15"/>
  <c r="GZ50" i="10"/>
  <c r="GQ52" i="10"/>
  <c r="N32" i="17"/>
  <c r="BB32" i="17" s="1"/>
  <c r="BC32" i="17" s="1"/>
  <c r="GD52" i="10"/>
  <c r="GS52" i="10" s="1"/>
  <c r="GY51" i="10"/>
  <c r="GS51" i="10"/>
  <c r="GU51" i="10"/>
  <c r="LD49" i="10"/>
  <c r="HE49" i="10"/>
  <c r="HL49" i="10" s="1"/>
  <c r="HN49" i="10" s="1"/>
  <c r="C29" i="14" s="1"/>
  <c r="J122" i="15"/>
  <c r="AH673" i="15" s="1"/>
  <c r="EO55" i="10"/>
  <c r="EP55" i="10" s="1"/>
  <c r="EN56" i="10"/>
  <c r="ET54" i="10"/>
  <c r="EW54" i="10" s="1"/>
  <c r="FQ54" i="10" s="1"/>
  <c r="EV54" i="10" s="1"/>
  <c r="EU54" i="10"/>
  <c r="LO140" i="24"/>
  <c r="LS139" i="24"/>
  <c r="AE116" i="17"/>
  <c r="AC116" i="17"/>
  <c r="AD116" i="17"/>
  <c r="AB116" i="17"/>
  <c r="BH119" i="15"/>
  <c r="S118" i="17"/>
  <c r="L119" i="17"/>
  <c r="L119" i="15"/>
  <c r="AG118" i="15"/>
  <c r="BH118" i="17"/>
  <c r="AU119" i="15"/>
  <c r="AG118" i="17"/>
  <c r="AU127" i="17"/>
  <c r="FD53" i="10"/>
  <c r="FL53" i="10"/>
  <c r="FA53" i="10"/>
  <c r="T117" i="17"/>
  <c r="FT54" i="10"/>
  <c r="FW52" i="10"/>
  <c r="GL50" i="10"/>
  <c r="GI50" i="10"/>
  <c r="BY682" i="15"/>
  <c r="GF53" i="10"/>
  <c r="AO118" i="15"/>
  <c r="GK51" i="10"/>
  <c r="FY52" i="10"/>
  <c r="KM53" i="10"/>
  <c r="GJ52" i="10"/>
  <c r="AP117" i="15"/>
  <c r="FV52" i="10"/>
  <c r="BV681" i="15"/>
  <c r="FX53" i="10"/>
  <c r="AO117" i="17"/>
  <c r="FU52" i="10"/>
  <c r="KN53" i="10"/>
  <c r="KK53" i="10"/>
  <c r="FB53" i="10"/>
  <c r="GG50" i="10"/>
  <c r="GE53" i="10"/>
  <c r="AP117" i="17"/>
  <c r="KU53" i="10"/>
  <c r="FZ52" i="10"/>
  <c r="GA52" i="10"/>
  <c r="FE53" i="10"/>
  <c r="V117" i="17"/>
  <c r="FS54" i="10"/>
  <c r="GH50" i="10"/>
  <c r="GI51" i="10"/>
  <c r="U117" i="17"/>
  <c r="CH683" i="15"/>
  <c r="GG51" i="10"/>
  <c r="W117" i="17"/>
  <c r="FG53" i="10"/>
  <c r="BZ682" i="15"/>
  <c r="FC53" i="10"/>
  <c r="KL53" i="10"/>
  <c r="GH51" i="10"/>
  <c r="GM51" i="10"/>
  <c r="GM50" i="10"/>
  <c r="GL51" i="10"/>
  <c r="GV50" i="10" l="1"/>
  <c r="GW50" i="10"/>
  <c r="GX50" i="10"/>
  <c r="HB50" i="10"/>
  <c r="HA50" i="10"/>
  <c r="GR50" i="10"/>
  <c r="HE50" i="10" s="1"/>
  <c r="N33" i="15"/>
  <c r="P33" i="15" s="1"/>
  <c r="DC680" i="15"/>
  <c r="DE680" i="15" s="1"/>
  <c r="CF682" i="15"/>
  <c r="CQ682" i="15" s="1"/>
  <c r="CV682" i="15" s="1"/>
  <c r="CE682" i="15"/>
  <c r="CP682" i="15" s="1"/>
  <c r="CU682" i="15" s="1"/>
  <c r="BQ684" i="15"/>
  <c r="HR51" i="10"/>
  <c r="GT52" i="10"/>
  <c r="GU52" i="10"/>
  <c r="HO52" i="10"/>
  <c r="HR52" i="10" s="1"/>
  <c r="J174" i="15"/>
  <c r="M174" i="15" s="1"/>
  <c r="E270" i="17"/>
  <c r="N175" i="15"/>
  <c r="J175" i="15" s="1"/>
  <c r="M175" i="15" s="1"/>
  <c r="HQ51" i="10"/>
  <c r="N175" i="17"/>
  <c r="J175" i="17" s="1"/>
  <c r="M175" i="17" s="1"/>
  <c r="M32" i="15"/>
  <c r="BD32" i="15" s="1"/>
  <c r="BE32" i="15" s="1"/>
  <c r="BI135" i="15" s="1"/>
  <c r="P32" i="15"/>
  <c r="GZ51" i="10"/>
  <c r="N33" i="17"/>
  <c r="N176" i="17" s="1"/>
  <c r="GD53" i="10"/>
  <c r="HO53" i="10" s="1"/>
  <c r="GQ53" i="10"/>
  <c r="GX51" i="10"/>
  <c r="GY52" i="10"/>
  <c r="HB51" i="10"/>
  <c r="GV51" i="10"/>
  <c r="GR51" i="10"/>
  <c r="GW51" i="10"/>
  <c r="HA51" i="10"/>
  <c r="M32" i="17"/>
  <c r="BD32" i="17" s="1"/>
  <c r="BE32" i="17" s="1"/>
  <c r="BI135" i="17" s="1"/>
  <c r="P32" i="17"/>
  <c r="J123" i="15"/>
  <c r="AH674" i="15" s="1"/>
  <c r="ET55" i="10"/>
  <c r="EW55" i="10" s="1"/>
  <c r="FQ55" i="10" s="1"/>
  <c r="EV55" i="10" s="1"/>
  <c r="EU55" i="10"/>
  <c r="EO56" i="10"/>
  <c r="EP56" i="10" s="1"/>
  <c r="EN57" i="10"/>
  <c r="LO141" i="24"/>
  <c r="LS140" i="24"/>
  <c r="AB117" i="17"/>
  <c r="AC117" i="17"/>
  <c r="AD117" i="17"/>
  <c r="AE117" i="17"/>
  <c r="L120" i="15"/>
  <c r="BH120" i="15"/>
  <c r="AG119" i="17"/>
  <c r="L120" i="17"/>
  <c r="S119" i="17"/>
  <c r="AU128" i="17"/>
  <c r="BH119" i="17"/>
  <c r="AG119" i="15"/>
  <c r="AU120" i="15"/>
  <c r="FD54" i="10"/>
  <c r="V118" i="17"/>
  <c r="GL52" i="10"/>
  <c r="FX54" i="10"/>
  <c r="GA53" i="10"/>
  <c r="GE54" i="10"/>
  <c r="EX55" i="10"/>
  <c r="AO119" i="15"/>
  <c r="BZ683" i="15"/>
  <c r="W118" i="17"/>
  <c r="FZ53" i="10"/>
  <c r="FT55" i="10"/>
  <c r="EX54" i="10"/>
  <c r="T118" i="17"/>
  <c r="FV53" i="10"/>
  <c r="U118" i="17"/>
  <c r="FS55" i="10"/>
  <c r="FY53" i="10"/>
  <c r="BY683" i="15"/>
  <c r="AP118" i="15"/>
  <c r="GI52" i="10"/>
  <c r="CH684" i="15"/>
  <c r="GJ53" i="10"/>
  <c r="GG52" i="10"/>
  <c r="GH52" i="10"/>
  <c r="GF54" i="10"/>
  <c r="GM52" i="10"/>
  <c r="AO118" i="17"/>
  <c r="FU53" i="10"/>
  <c r="GK52" i="10"/>
  <c r="FW53" i="10"/>
  <c r="AP118" i="17"/>
  <c r="HL50" i="10" l="1"/>
  <c r="HN50" i="10" s="1"/>
  <c r="C30" i="14" s="1"/>
  <c r="LD50" i="10"/>
  <c r="N34" i="15"/>
  <c r="BB34" i="15" s="1"/>
  <c r="BC34" i="15" s="1"/>
  <c r="DC681" i="15"/>
  <c r="DE681" i="15" s="1"/>
  <c r="CE683" i="15"/>
  <c r="CP683" i="15" s="1"/>
  <c r="CU683" i="15" s="1"/>
  <c r="CF683" i="15"/>
  <c r="CQ683" i="15" s="1"/>
  <c r="CV683" i="15" s="1"/>
  <c r="BQ685" i="15"/>
  <c r="E271" i="15"/>
  <c r="HP52" i="10"/>
  <c r="HQ52" i="10"/>
  <c r="GS53" i="10"/>
  <c r="N176" i="15"/>
  <c r="E272" i="15" s="1"/>
  <c r="E271" i="17"/>
  <c r="BB33" i="17"/>
  <c r="BC33" i="17" s="1"/>
  <c r="GT53" i="10"/>
  <c r="M33" i="15"/>
  <c r="BD33" i="15" s="1"/>
  <c r="BB33" i="15"/>
  <c r="BC33" i="15" s="1"/>
  <c r="GU53" i="10"/>
  <c r="HB52" i="10"/>
  <c r="GZ52" i="10"/>
  <c r="HA52" i="10"/>
  <c r="GY53" i="10"/>
  <c r="GR52" i="10"/>
  <c r="GV52" i="10"/>
  <c r="GX52" i="10"/>
  <c r="N34" i="17"/>
  <c r="M34" i="17" s="1"/>
  <c r="BD34" i="17" s="1"/>
  <c r="GQ54" i="10"/>
  <c r="GD54" i="10"/>
  <c r="HO54" i="10" s="1"/>
  <c r="GW52" i="10"/>
  <c r="M33" i="17"/>
  <c r="BD33" i="17" s="1"/>
  <c r="HE51" i="10"/>
  <c r="HL51" i="10" s="1"/>
  <c r="HN51" i="10" s="1"/>
  <c r="C31" i="14" s="1"/>
  <c r="LD51" i="10"/>
  <c r="P33" i="17"/>
  <c r="J124" i="15"/>
  <c r="AH675" i="15" s="1"/>
  <c r="EO57" i="10"/>
  <c r="EP57" i="10" s="1"/>
  <c r="EN58" i="10"/>
  <c r="ET56" i="10"/>
  <c r="EW56" i="10" s="1"/>
  <c r="FQ56" i="10" s="1"/>
  <c r="EV56" i="10" s="1"/>
  <c r="EU56" i="10"/>
  <c r="HR53" i="10"/>
  <c r="HQ53" i="10"/>
  <c r="HP53" i="10"/>
  <c r="E272" i="17"/>
  <c r="J176" i="17"/>
  <c r="M176" i="17" s="1"/>
  <c r="FD55" i="10"/>
  <c r="AJ114" i="15"/>
  <c r="LO142" i="24"/>
  <c r="LS141" i="24"/>
  <c r="AE118" i="17"/>
  <c r="AD118" i="17"/>
  <c r="AC118" i="17"/>
  <c r="AB118" i="17"/>
  <c r="AG120" i="15"/>
  <c r="BH120" i="17"/>
  <c r="BH121" i="15"/>
  <c r="S120" i="17"/>
  <c r="L121" i="17"/>
  <c r="AU121" i="15"/>
  <c r="AU129" i="17"/>
  <c r="L121" i="15"/>
  <c r="AG120" i="17"/>
  <c r="AO120" i="15"/>
  <c r="V119" i="17"/>
  <c r="GE55" i="10"/>
  <c r="FB54" i="10"/>
  <c r="KM54" i="10"/>
  <c r="FT56" i="10"/>
  <c r="T119" i="17"/>
  <c r="FS56" i="10"/>
  <c r="FE54" i="10"/>
  <c r="AI124" i="15"/>
  <c r="KK55" i="10"/>
  <c r="FE55" i="10"/>
  <c r="KN55" i="10"/>
  <c r="FB55" i="10"/>
  <c r="KM55" i="10"/>
  <c r="FL55" i="10"/>
  <c r="GM53" i="10"/>
  <c r="KL55" i="10"/>
  <c r="FA54" i="10"/>
  <c r="U119" i="17"/>
  <c r="W119" i="17"/>
  <c r="BY684" i="15"/>
  <c r="GG53" i="10"/>
  <c r="GL53" i="10"/>
  <c r="CH685" i="15"/>
  <c r="FL54" i="10"/>
  <c r="AP119" i="17"/>
  <c r="KU54" i="10"/>
  <c r="KU55" i="10"/>
  <c r="FG55" i="10"/>
  <c r="FC54" i="10"/>
  <c r="KL54" i="10"/>
  <c r="FA55" i="10"/>
  <c r="GJ54" i="10"/>
  <c r="AO119" i="17"/>
  <c r="FC55" i="10"/>
  <c r="AP119" i="15"/>
  <c r="KN54" i="10"/>
  <c r="FX55" i="10"/>
  <c r="GI53" i="10"/>
  <c r="FG54" i="10"/>
  <c r="GH53" i="10"/>
  <c r="GK53" i="10"/>
  <c r="GF55" i="10"/>
  <c r="EX56" i="10"/>
  <c r="BZ684" i="15"/>
  <c r="KK54" i="10"/>
  <c r="J176" i="15" l="1"/>
  <c r="M176" i="15" s="1"/>
  <c r="N35" i="15"/>
  <c r="DC682" i="15"/>
  <c r="DE682" i="15" s="1"/>
  <c r="CE684" i="15"/>
  <c r="CP684" i="15" s="1"/>
  <c r="CU684" i="15" s="1"/>
  <c r="CF684" i="15"/>
  <c r="CQ684" i="15" s="1"/>
  <c r="CV684" i="15" s="1"/>
  <c r="BQ686" i="15"/>
  <c r="BE33" i="17"/>
  <c r="BI136" i="17" s="1"/>
  <c r="BE33" i="15"/>
  <c r="BI136" i="15" s="1"/>
  <c r="GS54" i="10"/>
  <c r="P34" i="15"/>
  <c r="N177" i="15"/>
  <c r="E273" i="15" s="1"/>
  <c r="BB34" i="17"/>
  <c r="BC34" i="17" s="1"/>
  <c r="BE34" i="17" s="1"/>
  <c r="BI137" i="17" s="1"/>
  <c r="N177" i="17"/>
  <c r="E273" i="17" s="1"/>
  <c r="P34" i="17"/>
  <c r="M34" i="15"/>
  <c r="BD34" i="15" s="1"/>
  <c r="BE34" i="15" s="1"/>
  <c r="BI137" i="15" s="1"/>
  <c r="GR53" i="10"/>
  <c r="GV53" i="10"/>
  <c r="GX53" i="10"/>
  <c r="GW53" i="10"/>
  <c r="HB53" i="10"/>
  <c r="GY54" i="10"/>
  <c r="N35" i="17"/>
  <c r="N178" i="17" s="1"/>
  <c r="GQ55" i="10"/>
  <c r="GD55" i="10"/>
  <c r="HA53" i="10"/>
  <c r="GZ53" i="10"/>
  <c r="GT54" i="10"/>
  <c r="GU54" i="10"/>
  <c r="LD52" i="10"/>
  <c r="HE52" i="10"/>
  <c r="HL52" i="10" s="1"/>
  <c r="HN52" i="10" s="1"/>
  <c r="C32" i="14" s="1"/>
  <c r="J125" i="15"/>
  <c r="AH676" i="15" s="1"/>
  <c r="FD56" i="10"/>
  <c r="HR54" i="10"/>
  <c r="HP54" i="10"/>
  <c r="HQ54" i="10"/>
  <c r="EO58" i="10"/>
  <c r="EP58" i="10" s="1"/>
  <c r="EN59" i="10"/>
  <c r="ET57" i="10"/>
  <c r="EW57" i="10" s="1"/>
  <c r="FQ57" i="10" s="1"/>
  <c r="EV57" i="10" s="1"/>
  <c r="EU57" i="10"/>
  <c r="LO143" i="24"/>
  <c r="LS142" i="24"/>
  <c r="AB119" i="17"/>
  <c r="AC119" i="17"/>
  <c r="AE119" i="17"/>
  <c r="AD119" i="17"/>
  <c r="AG121" i="17"/>
  <c r="AU122" i="15"/>
  <c r="L122" i="15"/>
  <c r="AU130" i="17"/>
  <c r="L122" i="17"/>
  <c r="S121" i="17"/>
  <c r="BH121" i="17"/>
  <c r="AG121" i="15"/>
  <c r="BH122" i="15"/>
  <c r="AP120" i="15"/>
  <c r="CK686" i="15"/>
  <c r="FW55" i="10"/>
  <c r="FE56" i="10"/>
  <c r="KM56" i="10"/>
  <c r="KU56" i="10"/>
  <c r="FW54" i="10"/>
  <c r="FG56" i="10"/>
  <c r="CH686" i="15"/>
  <c r="FS57" i="10"/>
  <c r="FV55" i="10"/>
  <c r="FA56" i="10"/>
  <c r="FB56" i="10"/>
  <c r="FY55" i="10"/>
  <c r="V120" i="17"/>
  <c r="GA54" i="10"/>
  <c r="KN56" i="10"/>
  <c r="AO120" i="17"/>
  <c r="KK56" i="10"/>
  <c r="GJ55" i="10"/>
  <c r="FZ55" i="10"/>
  <c r="KL56" i="10"/>
  <c r="FL56" i="10"/>
  <c r="FU54" i="10"/>
  <c r="FT57" i="10"/>
  <c r="AI124" i="17"/>
  <c r="GF56" i="10"/>
  <c r="BX685" i="15"/>
  <c r="FU55" i="10"/>
  <c r="FZ54" i="10"/>
  <c r="GA55" i="10"/>
  <c r="AH120" i="17"/>
  <c r="W120" i="17"/>
  <c r="AO121" i="15"/>
  <c r="GE56" i="10"/>
  <c r="T120" i="17"/>
  <c r="U120" i="17"/>
  <c r="BZ685" i="15"/>
  <c r="BY685" i="15"/>
  <c r="FV54" i="10"/>
  <c r="AP120" i="17"/>
  <c r="AH120" i="15"/>
  <c r="FY54" i="10"/>
  <c r="FC56" i="10"/>
  <c r="BW686" i="15"/>
  <c r="FX56" i="10"/>
  <c r="N36" i="15" l="1"/>
  <c r="P36" i="15" s="1"/>
  <c r="DC683" i="15"/>
  <c r="DE683" i="15" s="1"/>
  <c r="CD685" i="15"/>
  <c r="CE685" i="15"/>
  <c r="CP685" i="15" s="1"/>
  <c r="CU685" i="15" s="1"/>
  <c r="CF685" i="15"/>
  <c r="CQ685" i="15" s="1"/>
  <c r="CV685" i="15" s="1"/>
  <c r="BQ687" i="15"/>
  <c r="P35" i="15"/>
  <c r="BB35" i="15"/>
  <c r="BC35" i="15" s="1"/>
  <c r="M35" i="15"/>
  <c r="BD35" i="15" s="1"/>
  <c r="J177" i="15"/>
  <c r="M177" i="15" s="1"/>
  <c r="J177" i="17"/>
  <c r="M177" i="17" s="1"/>
  <c r="BB35" i="17"/>
  <c r="BC35" i="17" s="1"/>
  <c r="M35" i="17"/>
  <c r="BD35" i="17" s="1"/>
  <c r="P35" i="17"/>
  <c r="GU55" i="10"/>
  <c r="GT55" i="10"/>
  <c r="HO55" i="10"/>
  <c r="HR55" i="10" s="1"/>
  <c r="GS55" i="10"/>
  <c r="GD56" i="10"/>
  <c r="GT56" i="10" s="1"/>
  <c r="N36" i="17"/>
  <c r="M36" i="17" s="1"/>
  <c r="BD36" i="17" s="1"/>
  <c r="GQ56" i="10"/>
  <c r="GY55" i="10"/>
  <c r="N178" i="15"/>
  <c r="E274" i="15" s="1"/>
  <c r="LD53" i="10"/>
  <c r="HE53" i="10"/>
  <c r="HL53" i="10" s="1"/>
  <c r="HN53" i="10" s="1"/>
  <c r="C33" i="14" s="1"/>
  <c r="J126" i="15"/>
  <c r="AH677" i="15" s="1"/>
  <c r="E274" i="17"/>
  <c r="J178" i="17"/>
  <c r="M178" i="17" s="1"/>
  <c r="EO59" i="10"/>
  <c r="EP59" i="10" s="1"/>
  <c r="EN60" i="10"/>
  <c r="FD57" i="10"/>
  <c r="ET58" i="10"/>
  <c r="EW58" i="10" s="1"/>
  <c r="FQ58" i="10" s="1"/>
  <c r="EV58" i="10" s="1"/>
  <c r="EU58" i="10"/>
  <c r="LO144" i="24"/>
  <c r="LS143" i="24"/>
  <c r="AB120" i="17"/>
  <c r="AE120" i="17"/>
  <c r="AD120" i="17"/>
  <c r="AC120" i="17"/>
  <c r="L123" i="17"/>
  <c r="S122" i="17"/>
  <c r="AU123" i="15"/>
  <c r="AG122" i="17"/>
  <c r="BH123" i="15"/>
  <c r="AG122" i="15"/>
  <c r="BH122" i="17"/>
  <c r="AU131" i="17"/>
  <c r="L123" i="15"/>
  <c r="EX57" i="10"/>
  <c r="GM55" i="10"/>
  <c r="U121" i="17"/>
  <c r="GM54" i="10"/>
  <c r="GA56" i="10"/>
  <c r="V121" i="17"/>
  <c r="GJ56" i="10"/>
  <c r="T121" i="17"/>
  <c r="GG55" i="10"/>
  <c r="FT58" i="10"/>
  <c r="BZ686" i="15"/>
  <c r="AO121" i="17"/>
  <c r="GL54" i="10"/>
  <c r="FZ56" i="10"/>
  <c r="FU56" i="10"/>
  <c r="FS58" i="10"/>
  <c r="CH687" i="15"/>
  <c r="W121" i="17"/>
  <c r="GK54" i="10"/>
  <c r="GI55" i="10"/>
  <c r="GH54" i="10"/>
  <c r="FY56" i="10"/>
  <c r="GF57" i="10"/>
  <c r="FV56" i="10"/>
  <c r="AP121" i="15"/>
  <c r="GK55" i="10"/>
  <c r="GL55" i="10"/>
  <c r="GG54" i="10"/>
  <c r="BY686" i="15"/>
  <c r="GH55" i="10"/>
  <c r="FX57" i="10"/>
  <c r="GI54" i="10"/>
  <c r="GE57" i="10"/>
  <c r="FW56" i="10"/>
  <c r="AP121" i="17"/>
  <c r="EX58" i="10"/>
  <c r="AO122" i="15"/>
  <c r="GV54" i="10" l="1"/>
  <c r="HB54" i="10"/>
  <c r="GW54" i="10"/>
  <c r="GZ54" i="10"/>
  <c r="HA54" i="10"/>
  <c r="GX54" i="10"/>
  <c r="GR54" i="10"/>
  <c r="LD54" i="10" s="1"/>
  <c r="N37" i="15"/>
  <c r="M37" i="15" s="1"/>
  <c r="BD37" i="15" s="1"/>
  <c r="DC684" i="15"/>
  <c r="DE684" i="15" s="1"/>
  <c r="CF686" i="15"/>
  <c r="CQ686" i="15" s="1"/>
  <c r="CV686" i="15" s="1"/>
  <c r="CE686" i="15"/>
  <c r="CP686" i="15" s="1"/>
  <c r="CU686" i="15" s="1"/>
  <c r="BQ688" i="15"/>
  <c r="BE35" i="15"/>
  <c r="BI138" i="15" s="1"/>
  <c r="BB36" i="15"/>
  <c r="BC36" i="15" s="1"/>
  <c r="HQ55" i="10"/>
  <c r="BE35" i="17"/>
  <c r="BI138" i="17" s="1"/>
  <c r="M36" i="15"/>
  <c r="BD36" i="15" s="1"/>
  <c r="HP55" i="10"/>
  <c r="N179" i="15"/>
  <c r="J179" i="15" s="1"/>
  <c r="M179" i="15" s="1"/>
  <c r="GS56" i="10"/>
  <c r="N179" i="17"/>
  <c r="J179" i="17" s="1"/>
  <c r="M179" i="17" s="1"/>
  <c r="BB36" i="17"/>
  <c r="BC36" i="17" s="1"/>
  <c r="BE36" i="17" s="1"/>
  <c r="BI139" i="17" s="1"/>
  <c r="HO56" i="10"/>
  <c r="HQ56" i="10" s="1"/>
  <c r="GU56" i="10"/>
  <c r="GY56" i="10"/>
  <c r="GR55" i="10"/>
  <c r="GV55" i="10"/>
  <c r="HB55" i="10"/>
  <c r="GX55" i="10"/>
  <c r="HA55" i="10"/>
  <c r="GZ55" i="10"/>
  <c r="N37" i="17"/>
  <c r="M37" i="17" s="1"/>
  <c r="BD37" i="17" s="1"/>
  <c r="GQ57" i="10"/>
  <c r="GD57" i="10"/>
  <c r="HO57" i="10" s="1"/>
  <c r="GW55" i="10"/>
  <c r="P36" i="17"/>
  <c r="J178" i="15"/>
  <c r="M178" i="15" s="1"/>
  <c r="J127" i="15"/>
  <c r="AH678" i="15" s="1"/>
  <c r="EO60" i="10"/>
  <c r="EP60" i="10" s="1"/>
  <c r="EN61" i="10"/>
  <c r="ET59" i="10"/>
  <c r="EW59" i="10" s="1"/>
  <c r="FQ59" i="10" s="1"/>
  <c r="EV59" i="10" s="1"/>
  <c r="EU59" i="10"/>
  <c r="FD58" i="10"/>
  <c r="LO145" i="24"/>
  <c r="LS144" i="24"/>
  <c r="AB121" i="17"/>
  <c r="AC121" i="17"/>
  <c r="AD121" i="17"/>
  <c r="AE121" i="17"/>
  <c r="AU132" i="17"/>
  <c r="BH124" i="15"/>
  <c r="AU124" i="15"/>
  <c r="AG123" i="15"/>
  <c r="L124" i="17"/>
  <c r="S123" i="17"/>
  <c r="L124" i="15"/>
  <c r="BH123" i="17"/>
  <c r="AG123" i="17"/>
  <c r="FL57" i="10"/>
  <c r="KM57" i="10"/>
  <c r="KU57" i="10"/>
  <c r="CH688" i="15"/>
  <c r="FT59" i="10"/>
  <c r="KM58" i="10"/>
  <c r="BV686" i="15"/>
  <c r="GL56" i="10"/>
  <c r="U122" i="17"/>
  <c r="EX59" i="10"/>
  <c r="AP122" i="17"/>
  <c r="KL58" i="10"/>
  <c r="FA58" i="10"/>
  <c r="KN57" i="10"/>
  <c r="FC57" i="10"/>
  <c r="FB57" i="10"/>
  <c r="AO122" i="17"/>
  <c r="GK56" i="10"/>
  <c r="FG57" i="10"/>
  <c r="FZ57" i="10" s="1"/>
  <c r="FE57" i="10"/>
  <c r="FA57" i="10"/>
  <c r="FV57" i="10"/>
  <c r="FX58" i="10"/>
  <c r="KU58" i="10"/>
  <c r="GM56" i="10"/>
  <c r="BZ687" i="15"/>
  <c r="BY687" i="15"/>
  <c r="FE58" i="10"/>
  <c r="GI56" i="10"/>
  <c r="KN58" i="10"/>
  <c r="T122" i="17"/>
  <c r="GH56" i="10"/>
  <c r="GF58" i="10"/>
  <c r="AP122" i="15"/>
  <c r="GA57" i="10"/>
  <c r="KL57" i="10"/>
  <c r="KK57" i="10"/>
  <c r="FS59" i="10"/>
  <c r="FW57" i="10"/>
  <c r="AO123" i="15"/>
  <c r="W122" i="17"/>
  <c r="KK58" i="10"/>
  <c r="GG56" i="10"/>
  <c r="V122" i="17"/>
  <c r="GE58" i="10"/>
  <c r="FY57" i="10"/>
  <c r="FC58" i="10"/>
  <c r="FL58" i="10"/>
  <c r="GJ57" i="10"/>
  <c r="FU57" i="10"/>
  <c r="FG58" i="10"/>
  <c r="FB58" i="10"/>
  <c r="HE54" i="10" l="1"/>
  <c r="HL54" i="10" s="1"/>
  <c r="HN54" i="10" s="1"/>
  <c r="C34" i="14" s="1"/>
  <c r="N38" i="15"/>
  <c r="BB38" i="15" s="1"/>
  <c r="BC38" i="15" s="1"/>
  <c r="DC685" i="15"/>
  <c r="DE685" i="15" s="1"/>
  <c r="CF687" i="15"/>
  <c r="CQ687" i="15" s="1"/>
  <c r="CV687" i="15" s="1"/>
  <c r="CE687" i="15"/>
  <c r="CP687" i="15" s="1"/>
  <c r="CU687" i="15" s="1"/>
  <c r="BQ689" i="15"/>
  <c r="E275" i="15"/>
  <c r="BC201" i="15" s="1"/>
  <c r="BE201" i="15" s="1"/>
  <c r="BE36" i="15"/>
  <c r="BI139" i="15" s="1"/>
  <c r="E275" i="17"/>
  <c r="BC248" i="17" s="1"/>
  <c r="HP56" i="10"/>
  <c r="P37" i="17"/>
  <c r="BB37" i="17"/>
  <c r="BC37" i="17" s="1"/>
  <c r="BE37" i="17" s="1"/>
  <c r="BI140" i="17" s="1"/>
  <c r="HR56" i="10"/>
  <c r="GS57" i="10"/>
  <c r="P37" i="15"/>
  <c r="BB37" i="15"/>
  <c r="BC37" i="15" s="1"/>
  <c r="BE37" i="15" s="1"/>
  <c r="BI140" i="15" s="1"/>
  <c r="GT57" i="10"/>
  <c r="GU57" i="10"/>
  <c r="HA56" i="10"/>
  <c r="GZ56" i="10"/>
  <c r="GR56" i="10"/>
  <c r="GV56" i="10"/>
  <c r="GW56" i="10"/>
  <c r="HB56" i="10"/>
  <c r="GX56" i="10"/>
  <c r="GY57" i="10"/>
  <c r="N38" i="17"/>
  <c r="P38" i="17" s="1"/>
  <c r="GQ58" i="10"/>
  <c r="GD58" i="10"/>
  <c r="GS58" i="10" s="1"/>
  <c r="LD55" i="10"/>
  <c r="HE55" i="10"/>
  <c r="HL55" i="10" s="1"/>
  <c r="HN55" i="10" s="1"/>
  <c r="C35" i="14" s="1"/>
  <c r="J128" i="15"/>
  <c r="AH679" i="15" s="1"/>
  <c r="HR57" i="10"/>
  <c r="HQ57" i="10"/>
  <c r="HP57" i="10"/>
  <c r="EO61" i="10"/>
  <c r="EP61" i="10" s="1"/>
  <c r="EN62" i="10"/>
  <c r="FD59" i="10"/>
  <c r="ET60" i="10"/>
  <c r="EW60" i="10" s="1"/>
  <c r="FQ60" i="10" s="1"/>
  <c r="EV60" i="10" s="1"/>
  <c r="EU60" i="10"/>
  <c r="LO146" i="24"/>
  <c r="LS145" i="24"/>
  <c r="AB122" i="17"/>
  <c r="AE122" i="17"/>
  <c r="AC122" i="17"/>
  <c r="AD122" i="17"/>
  <c r="L125" i="15"/>
  <c r="AG124" i="17"/>
  <c r="AG124" i="15"/>
  <c r="BH125" i="15"/>
  <c r="BH124" i="17"/>
  <c r="AU125" i="15"/>
  <c r="AU133" i="17"/>
  <c r="L125" i="17"/>
  <c r="S124" i="17"/>
  <c r="GE59" i="10"/>
  <c r="KL59" i="10"/>
  <c r="FY58" i="10"/>
  <c r="GM57" i="10"/>
  <c r="FL59" i="10"/>
  <c r="AP123" i="17"/>
  <c r="FC59" i="10"/>
  <c r="GL57" i="10"/>
  <c r="FX59" i="10"/>
  <c r="T123" i="17"/>
  <c r="V123" i="17"/>
  <c r="FV58" i="10"/>
  <c r="FE59" i="10"/>
  <c r="KN59" i="10"/>
  <c r="GF59" i="10"/>
  <c r="GG57" i="10"/>
  <c r="GA58" i="10"/>
  <c r="BZ688" i="15"/>
  <c r="GK57" i="10"/>
  <c r="FG59" i="10"/>
  <c r="CH689" i="15"/>
  <c r="KU59" i="10"/>
  <c r="FW58" i="10"/>
  <c r="GJ58" i="10"/>
  <c r="U123" i="17"/>
  <c r="FZ58" i="10"/>
  <c r="AP123" i="15"/>
  <c r="AO123" i="17"/>
  <c r="BY688" i="15"/>
  <c r="KM59" i="10"/>
  <c r="FB59" i="10"/>
  <c r="FT60" i="10"/>
  <c r="W123" i="17"/>
  <c r="FS60" i="10"/>
  <c r="GH57" i="10"/>
  <c r="KK59" i="10"/>
  <c r="GI57" i="10"/>
  <c r="FA59" i="10"/>
  <c r="FU58" i="10"/>
  <c r="AO124" i="15"/>
  <c r="N39" i="15" l="1"/>
  <c r="DC686" i="15"/>
  <c r="DE686" i="15" s="1"/>
  <c r="CF688" i="15"/>
  <c r="CQ688" i="15" s="1"/>
  <c r="CV688" i="15" s="1"/>
  <c r="CE688" i="15"/>
  <c r="CP688" i="15" s="1"/>
  <c r="CU688" i="15" s="1"/>
  <c r="BQ690" i="15"/>
  <c r="BC210" i="15"/>
  <c r="BE210" i="15" s="1"/>
  <c r="BC238" i="15"/>
  <c r="BC231" i="15"/>
  <c r="BC248" i="15"/>
  <c r="BC203" i="15"/>
  <c r="BE203" i="15" s="1"/>
  <c r="BC237" i="15"/>
  <c r="BC215" i="15"/>
  <c r="BC168" i="15"/>
  <c r="BE168" i="15" s="1"/>
  <c r="BC194" i="15"/>
  <c r="BE194" i="15" s="1"/>
  <c r="BC186" i="15"/>
  <c r="BE186" i="15" s="1"/>
  <c r="BC175" i="15"/>
  <c r="BE175" i="15" s="1"/>
  <c r="BC192" i="15"/>
  <c r="BC226" i="15"/>
  <c r="BC221" i="15"/>
  <c r="BC241" i="15"/>
  <c r="BC195" i="15"/>
  <c r="BC232" i="15"/>
  <c r="BC218" i="15"/>
  <c r="BC213" i="15"/>
  <c r="BE213" i="15" s="1"/>
  <c r="BC247" i="15"/>
  <c r="BC224" i="15"/>
  <c r="BC196" i="15"/>
  <c r="BE196" i="15" s="1"/>
  <c r="BC184" i="15"/>
  <c r="BE184" i="15" s="1"/>
  <c r="BC246" i="15"/>
  <c r="BC229" i="15"/>
  <c r="BC193" i="15"/>
  <c r="BE193" i="15" s="1"/>
  <c r="BB38" i="17"/>
  <c r="BC38" i="17" s="1"/>
  <c r="BC174" i="15"/>
  <c r="BE174" i="15" s="1"/>
  <c r="BC217" i="15"/>
  <c r="BC202" i="15"/>
  <c r="BE202" i="15" s="1"/>
  <c r="BC240" i="15"/>
  <c r="BC191" i="15"/>
  <c r="BE191" i="15" s="1"/>
  <c r="BC183" i="15"/>
  <c r="BE183" i="15" s="1"/>
  <c r="BC206" i="15"/>
  <c r="BE206" i="15" s="1"/>
  <c r="BC235" i="15"/>
  <c r="BC181" i="15"/>
  <c r="BC242" i="15"/>
  <c r="BC212" i="15"/>
  <c r="BE212" i="15" s="1"/>
  <c r="BC199" i="17"/>
  <c r="BE199" i="17" s="1"/>
  <c r="BC185" i="17"/>
  <c r="BE185" i="17" s="1"/>
  <c r="BC198" i="17"/>
  <c r="BE198" i="17" s="1"/>
  <c r="BC166" i="17"/>
  <c r="BE166" i="17" s="1"/>
  <c r="BC188" i="17"/>
  <c r="BE188" i="17" s="1"/>
  <c r="BC207" i="17"/>
  <c r="BE207" i="17" s="1"/>
  <c r="BC180" i="17"/>
  <c r="BE180" i="17" s="1"/>
  <c r="BC240" i="17"/>
  <c r="BC239" i="17"/>
  <c r="BC243" i="17"/>
  <c r="BC196" i="17"/>
  <c r="BE196" i="17" s="1"/>
  <c r="BC244" i="15"/>
  <c r="BC223" i="15"/>
  <c r="BC198" i="15"/>
  <c r="BE198" i="15" s="1"/>
  <c r="BC197" i="15"/>
  <c r="BE197" i="15" s="1"/>
  <c r="BC205" i="15"/>
  <c r="BE205" i="15" s="1"/>
  <c r="BC182" i="15"/>
  <c r="BE182" i="15" s="1"/>
  <c r="BC163" i="15"/>
  <c r="BE163" i="15" s="1"/>
  <c r="BC165" i="15"/>
  <c r="BE165" i="15" s="1"/>
  <c r="BC176" i="15"/>
  <c r="BE176" i="15" s="1"/>
  <c r="BC245" i="15"/>
  <c r="BC172" i="15"/>
  <c r="BE172" i="15" s="1"/>
  <c r="BC164" i="15"/>
  <c r="BE164" i="15" s="1"/>
  <c r="BC178" i="15"/>
  <c r="BE178" i="15" s="1"/>
  <c r="BC204" i="15"/>
  <c r="BE204" i="15" s="1"/>
  <c r="BC199" i="15"/>
  <c r="BE199" i="15" s="1"/>
  <c r="BC189" i="15"/>
  <c r="BE189" i="15" s="1"/>
  <c r="BC209" i="15"/>
  <c r="BE209" i="15" s="1"/>
  <c r="BC179" i="15"/>
  <c r="BE179" i="15" s="1"/>
  <c r="BC177" i="15"/>
  <c r="BE177" i="15" s="1"/>
  <c r="BC220" i="15"/>
  <c r="BC225" i="15"/>
  <c r="BC214" i="15"/>
  <c r="BC188" i="15"/>
  <c r="BE188" i="15" s="1"/>
  <c r="BC227" i="15"/>
  <c r="BC222" i="15"/>
  <c r="BC234" i="15"/>
  <c r="BC230" i="15"/>
  <c r="BC169" i="15"/>
  <c r="BE169" i="15" s="1"/>
  <c r="BC228" i="15"/>
  <c r="BC219" i="15"/>
  <c r="BC216" i="15"/>
  <c r="BC200" i="15"/>
  <c r="BE200" i="15" s="1"/>
  <c r="BC180" i="15"/>
  <c r="BE180" i="15" s="1"/>
  <c r="BC187" i="15"/>
  <c r="BE187" i="15" s="1"/>
  <c r="BC243" i="15"/>
  <c r="BC208" i="15"/>
  <c r="BE208" i="15" s="1"/>
  <c r="BC166" i="15"/>
  <c r="BE166" i="15" s="1"/>
  <c r="BC171" i="15"/>
  <c r="BE171" i="15" s="1"/>
  <c r="BC173" i="15"/>
  <c r="BE173" i="15" s="1"/>
  <c r="BC185" i="15"/>
  <c r="BE185" i="15" s="1"/>
  <c r="BC190" i="15"/>
  <c r="BE190" i="15" s="1"/>
  <c r="BC233" i="15"/>
  <c r="BC239" i="15"/>
  <c r="BC167" i="15"/>
  <c r="BE167" i="15" s="1"/>
  <c r="BC211" i="15"/>
  <c r="BE211" i="15" s="1"/>
  <c r="BC207" i="15"/>
  <c r="BE207" i="15" s="1"/>
  <c r="BC236" i="15"/>
  <c r="BC170" i="15"/>
  <c r="BE170" i="15" s="1"/>
  <c r="BC164" i="17"/>
  <c r="BE164" i="17" s="1"/>
  <c r="BC233" i="17"/>
  <c r="BC229" i="17"/>
  <c r="BC220" i="17"/>
  <c r="BC172" i="17"/>
  <c r="BE172" i="17" s="1"/>
  <c r="BC227" i="17"/>
  <c r="BC244" i="17"/>
  <c r="BC235" i="17"/>
  <c r="BC242" i="17"/>
  <c r="BC219" i="17"/>
  <c r="BC217" i="17"/>
  <c r="BC169" i="17"/>
  <c r="BE169" i="17" s="1"/>
  <c r="BC230" i="17"/>
  <c r="BC171" i="17"/>
  <c r="BE171" i="17" s="1"/>
  <c r="BC167" i="17"/>
  <c r="BE167" i="17" s="1"/>
  <c r="BC223" i="17"/>
  <c r="BC170" i="17"/>
  <c r="BE170" i="17" s="1"/>
  <c r="BC178" i="17"/>
  <c r="BE178" i="17" s="1"/>
  <c r="BC226" i="17"/>
  <c r="BC186" i="17"/>
  <c r="BE186" i="17" s="1"/>
  <c r="BC192" i="17"/>
  <c r="BE192" i="17" s="1"/>
  <c r="BC163" i="17"/>
  <c r="BE163" i="17" s="1"/>
  <c r="BC218" i="17"/>
  <c r="BC215" i="17"/>
  <c r="BC194" i="17"/>
  <c r="BE194" i="17" s="1"/>
  <c r="BC212" i="17"/>
  <c r="BE212" i="17" s="1"/>
  <c r="BC182" i="17"/>
  <c r="BE182" i="17" s="1"/>
  <c r="BC246" i="17"/>
  <c r="BC213" i="17"/>
  <c r="BE213" i="17" s="1"/>
  <c r="BC191" i="17"/>
  <c r="BE191" i="17" s="1"/>
  <c r="BC216" i="17"/>
  <c r="BC238" i="17"/>
  <c r="M38" i="17"/>
  <c r="BD38" i="17" s="1"/>
  <c r="BC232" i="17"/>
  <c r="BC184" i="17"/>
  <c r="BE184" i="17" s="1"/>
  <c r="BC236" i="17"/>
  <c r="BC234" i="17"/>
  <c r="BC195" i="17"/>
  <c r="BE195" i="17" s="1"/>
  <c r="BC201" i="17"/>
  <c r="BE201" i="17" s="1"/>
  <c r="BC165" i="17"/>
  <c r="BE165" i="17" s="1"/>
  <c r="BC208" i="17"/>
  <c r="BE208" i="17" s="1"/>
  <c r="BC203" i="17"/>
  <c r="BE203" i="17" s="1"/>
  <c r="BC224" i="17"/>
  <c r="BC228" i="17"/>
  <c r="BC173" i="17"/>
  <c r="BC241" i="17"/>
  <c r="BC231" i="17"/>
  <c r="BC202" i="17"/>
  <c r="BE202" i="17" s="1"/>
  <c r="BC225" i="17"/>
  <c r="BC179" i="17"/>
  <c r="BE179" i="17" s="1"/>
  <c r="BC187" i="17"/>
  <c r="BE187" i="17" s="1"/>
  <c r="BC237" i="17"/>
  <c r="BC190" i="17"/>
  <c r="BE190" i="17" s="1"/>
  <c r="BC204" i="17"/>
  <c r="BE204" i="17" s="1"/>
  <c r="BC210" i="17"/>
  <c r="BE210" i="17" s="1"/>
  <c r="P38" i="15"/>
  <c r="BC183" i="17"/>
  <c r="BE183" i="17" s="1"/>
  <c r="BC197" i="17"/>
  <c r="BE197" i="17" s="1"/>
  <c r="BC168" i="17"/>
  <c r="BE168" i="17" s="1"/>
  <c r="BC193" i="17"/>
  <c r="BE193" i="17" s="1"/>
  <c r="BC174" i="17"/>
  <c r="BC175" i="17"/>
  <c r="BE175" i="17" s="1"/>
  <c r="BC247" i="17"/>
  <c r="BC177" i="17"/>
  <c r="BE177" i="17" s="1"/>
  <c r="BC221" i="17"/>
  <c r="BC189" i="17"/>
  <c r="BE189" i="17" s="1"/>
  <c r="BC205" i="17"/>
  <c r="BE205" i="17" s="1"/>
  <c r="BC214" i="17"/>
  <c r="BC245" i="17"/>
  <c r="BC206" i="17"/>
  <c r="BE206" i="17" s="1"/>
  <c r="BC181" i="17"/>
  <c r="BE181" i="17" s="1"/>
  <c r="BC209" i="17"/>
  <c r="BE209" i="17" s="1"/>
  <c r="BC176" i="17"/>
  <c r="BE176" i="17" s="1"/>
  <c r="BC222" i="17"/>
  <c r="BC211" i="17"/>
  <c r="BE211" i="17" s="1"/>
  <c r="BC200" i="17"/>
  <c r="BE200" i="17" s="1"/>
  <c r="M38" i="15"/>
  <c r="BD38" i="15" s="1"/>
  <c r="BE38" i="15" s="1"/>
  <c r="BI141" i="15" s="1"/>
  <c r="GT58" i="10"/>
  <c r="GU58" i="10"/>
  <c r="GY58" i="10"/>
  <c r="GX57" i="10"/>
  <c r="GZ57" i="10"/>
  <c r="HB57" i="10"/>
  <c r="HA57" i="10"/>
  <c r="GQ59" i="10"/>
  <c r="N39" i="17"/>
  <c r="BB39" i="17" s="1"/>
  <c r="BC39" i="17" s="1"/>
  <c r="GD59" i="10"/>
  <c r="HO59" i="10" s="1"/>
  <c r="GR57" i="10"/>
  <c r="GV57" i="10"/>
  <c r="GW57" i="10"/>
  <c r="HO58" i="10"/>
  <c r="HR58" i="10" s="1"/>
  <c r="LD56" i="10"/>
  <c r="HE56" i="10"/>
  <c r="HL56" i="10" s="1"/>
  <c r="HN56" i="10" s="1"/>
  <c r="C36" i="14" s="1"/>
  <c r="J129" i="15"/>
  <c r="AH680" i="15" s="1"/>
  <c r="EO62" i="10"/>
  <c r="EP62" i="10" s="1"/>
  <c r="EN63" i="10"/>
  <c r="ET61" i="10"/>
  <c r="EW61" i="10" s="1"/>
  <c r="FQ61" i="10" s="1"/>
  <c r="EV61" i="10" s="1"/>
  <c r="EU61" i="10"/>
  <c r="FD60" i="10"/>
  <c r="AJ119" i="15"/>
  <c r="LO147" i="24"/>
  <c r="LS146" i="24"/>
  <c r="AC123" i="17"/>
  <c r="AD123" i="17"/>
  <c r="AE123" i="17"/>
  <c r="AB123" i="17"/>
  <c r="AG125" i="15"/>
  <c r="AG125" i="17"/>
  <c r="L126" i="17"/>
  <c r="S125" i="17"/>
  <c r="AU126" i="15"/>
  <c r="BH126" i="15"/>
  <c r="AU134" i="17"/>
  <c r="BH125" i="17"/>
  <c r="L126" i="15"/>
  <c r="EX60" i="10"/>
  <c r="BJ188" i="17"/>
  <c r="GK58" i="10"/>
  <c r="BJ164" i="17"/>
  <c r="FV59" i="10"/>
  <c r="BJ163" i="15"/>
  <c r="FS61" i="10"/>
  <c r="BJ195" i="15"/>
  <c r="BJ182" i="17"/>
  <c r="BJ179" i="15"/>
  <c r="BJ179" i="17"/>
  <c r="BJ164" i="15"/>
  <c r="BJ175" i="17"/>
  <c r="BJ171" i="15"/>
  <c r="BJ187" i="15"/>
  <c r="BJ168" i="17"/>
  <c r="BJ174" i="17"/>
  <c r="BJ189" i="17"/>
  <c r="BJ163" i="17"/>
  <c r="GI58" i="10"/>
  <c r="BJ196" i="15"/>
  <c r="BJ182" i="15"/>
  <c r="AP124" i="17"/>
  <c r="BJ175" i="15"/>
  <c r="BJ183" i="17"/>
  <c r="T124" i="17"/>
  <c r="BJ165" i="17"/>
  <c r="FU59" i="10"/>
  <c r="FY59" i="10"/>
  <c r="BJ192" i="15"/>
  <c r="W124" i="17"/>
  <c r="GA59" i="10"/>
  <c r="BJ166" i="15"/>
  <c r="V124" i="17"/>
  <c r="BZ689" i="15"/>
  <c r="AI129" i="15"/>
  <c r="FX60" i="10"/>
  <c r="FZ59" i="10"/>
  <c r="BJ171" i="17"/>
  <c r="GF60" i="10"/>
  <c r="BJ185" i="17"/>
  <c r="AO124" i="17"/>
  <c r="GM58" i="10"/>
  <c r="CH690" i="15"/>
  <c r="BJ181" i="15"/>
  <c r="BJ178" i="17"/>
  <c r="BJ195" i="17"/>
  <c r="GE60" i="10"/>
  <c r="BJ191" i="15"/>
  <c r="BJ173" i="17"/>
  <c r="AP124" i="15"/>
  <c r="GG58" i="10"/>
  <c r="U124" i="17"/>
  <c r="BJ191" i="17"/>
  <c r="FT61" i="10"/>
  <c r="BJ189" i="15"/>
  <c r="GJ59" i="10"/>
  <c r="BJ184" i="15"/>
  <c r="BJ169" i="17"/>
  <c r="FW59" i="10"/>
  <c r="GL58" i="10"/>
  <c r="GH58" i="10"/>
  <c r="BY689" i="15"/>
  <c r="AO125" i="15"/>
  <c r="N40" i="15" l="1"/>
  <c r="BB40" i="15" s="1"/>
  <c r="BC40" i="15" s="1"/>
  <c r="DC687" i="15"/>
  <c r="DE687" i="15" s="1"/>
  <c r="CE689" i="15"/>
  <c r="CP689" i="15" s="1"/>
  <c r="CU689" i="15" s="1"/>
  <c r="CF689" i="15"/>
  <c r="CQ689" i="15" s="1"/>
  <c r="CV689" i="15" s="1"/>
  <c r="BQ691" i="15"/>
  <c r="M39" i="15"/>
  <c r="BD39" i="15" s="1"/>
  <c r="BE38" i="17"/>
  <c r="BI141" i="17" s="1"/>
  <c r="BE181" i="15"/>
  <c r="BE192" i="15"/>
  <c r="BE195" i="15"/>
  <c r="P39" i="17"/>
  <c r="M39" i="17"/>
  <c r="BD39" i="17" s="1"/>
  <c r="BE39" i="17" s="1"/>
  <c r="BI142" i="17" s="1"/>
  <c r="BE173" i="17"/>
  <c r="BE174" i="17"/>
  <c r="P39" i="15"/>
  <c r="HP58" i="10"/>
  <c r="GS59" i="10"/>
  <c r="GT59" i="10"/>
  <c r="HQ58" i="10"/>
  <c r="GU59" i="10"/>
  <c r="BB39" i="15"/>
  <c r="BC39" i="15" s="1"/>
  <c r="GW58" i="10"/>
  <c r="GD60" i="10"/>
  <c r="HO60" i="10" s="1"/>
  <c r="N40" i="17"/>
  <c r="M40" i="17" s="1"/>
  <c r="BD40" i="17" s="1"/>
  <c r="GQ60" i="10"/>
  <c r="GY59" i="10"/>
  <c r="GX58" i="10"/>
  <c r="HB58" i="10"/>
  <c r="GZ58" i="10"/>
  <c r="GR58" i="10"/>
  <c r="GV58" i="10"/>
  <c r="HA58" i="10"/>
  <c r="HE57" i="10"/>
  <c r="HL57" i="10" s="1"/>
  <c r="HN57" i="10" s="1"/>
  <c r="C37" i="14" s="1"/>
  <c r="LD57" i="10"/>
  <c r="J130" i="15"/>
  <c r="AH681" i="15" s="1"/>
  <c r="HP59" i="10"/>
  <c r="HR59" i="10"/>
  <c r="HQ59" i="10"/>
  <c r="EO63" i="10"/>
  <c r="EP63" i="10" s="1"/>
  <c r="EN64" i="10"/>
  <c r="EU62" i="10"/>
  <c r="ET62" i="10"/>
  <c r="EW62" i="10" s="1"/>
  <c r="FQ62" i="10" s="1"/>
  <c r="EV62" i="10" s="1"/>
  <c r="FD61" i="10"/>
  <c r="LO148" i="24"/>
  <c r="LS147" i="24"/>
  <c r="AB124" i="17"/>
  <c r="AE124" i="17"/>
  <c r="AC124" i="17"/>
  <c r="AD124" i="17"/>
  <c r="AG126" i="17"/>
  <c r="BH127" i="15"/>
  <c r="S126" i="17"/>
  <c r="L127" i="17"/>
  <c r="AG126" i="15"/>
  <c r="L127" i="15"/>
  <c r="AU135" i="17"/>
  <c r="BH126" i="17"/>
  <c r="AU127" i="15"/>
  <c r="KM60" i="10"/>
  <c r="FA60" i="10"/>
  <c r="KN60" i="10"/>
  <c r="AP125" i="17"/>
  <c r="AP125" i="15"/>
  <c r="BJ193" i="17"/>
  <c r="BJ180" i="15"/>
  <c r="U125" i="17"/>
  <c r="BJ184" i="17"/>
  <c r="BJ180" i="17"/>
  <c r="GE61" i="10"/>
  <c r="BJ183" i="15"/>
  <c r="BJ172" i="15"/>
  <c r="BJ168" i="15"/>
  <c r="BJ193" i="15"/>
  <c r="BJ172" i="17"/>
  <c r="FT62" i="10"/>
  <c r="CK691" i="15"/>
  <c r="CH691" i="15"/>
  <c r="BJ190" i="17"/>
  <c r="BJ173" i="15"/>
  <c r="AO125" i="17"/>
  <c r="GM59" i="10"/>
  <c r="BW691" i="15"/>
  <c r="BY690" i="15"/>
  <c r="BJ176" i="17"/>
  <c r="KK60" i="10"/>
  <c r="FG60" i="10"/>
  <c r="KU60" i="10"/>
  <c r="BJ185" i="15"/>
  <c r="BJ188" i="15"/>
  <c r="BJ196" i="17"/>
  <c r="BJ169" i="15"/>
  <c r="BJ192" i="17"/>
  <c r="FZ60" i="10"/>
  <c r="BJ187" i="17"/>
  <c r="FL60" i="10"/>
  <c r="FB60" i="10"/>
  <c r="FE60" i="10"/>
  <c r="FY60" i="10" s="1"/>
  <c r="BJ170" i="15"/>
  <c r="BJ178" i="15"/>
  <c r="BJ167" i="15"/>
  <c r="GL59" i="10"/>
  <c r="BJ177" i="15"/>
  <c r="V125" i="17"/>
  <c r="BJ186" i="15"/>
  <c r="FU60" i="10"/>
  <c r="FX61" i="10"/>
  <c r="BJ166" i="17"/>
  <c r="BJ170" i="17"/>
  <c r="BJ190" i="15"/>
  <c r="BJ167" i="17"/>
  <c r="AI129" i="17"/>
  <c r="GK59" i="10"/>
  <c r="GJ60" i="10"/>
  <c r="T125" i="17"/>
  <c r="BJ194" i="17"/>
  <c r="GG59" i="10"/>
  <c r="AO126" i="15"/>
  <c r="BJ181" i="17"/>
  <c r="AH125" i="15"/>
  <c r="GI59" i="10"/>
  <c r="KL60" i="10"/>
  <c r="FC60" i="10"/>
  <c r="FW60" i="10" s="1"/>
  <c r="BJ194" i="15"/>
  <c r="FV60" i="10"/>
  <c r="BJ165" i="15"/>
  <c r="FS62" i="10"/>
  <c r="GH59" i="10"/>
  <c r="GA60" i="10"/>
  <c r="BJ186" i="17"/>
  <c r="EX61" i="10"/>
  <c r="BJ177" i="17"/>
  <c r="BJ176" i="15"/>
  <c r="W125" i="17"/>
  <c r="AH125" i="17"/>
  <c r="BZ690" i="15"/>
  <c r="BJ174" i="15"/>
  <c r="BX690" i="15"/>
  <c r="GF61" i="10"/>
  <c r="N41" i="15" l="1"/>
  <c r="DC688" i="15"/>
  <c r="DE688" i="15" s="1"/>
  <c r="CD690" i="15"/>
  <c r="CF690" i="15"/>
  <c r="CQ690" i="15" s="1"/>
  <c r="CV690" i="15" s="1"/>
  <c r="CE690" i="15"/>
  <c r="CP690" i="15" s="1"/>
  <c r="CU690" i="15" s="1"/>
  <c r="BQ692" i="15"/>
  <c r="BE39" i="15"/>
  <c r="BI142" i="15" s="1"/>
  <c r="GS60" i="10"/>
  <c r="GT60" i="10"/>
  <c r="BB40" i="17"/>
  <c r="BC40" i="17" s="1"/>
  <c r="BE40" i="17" s="1"/>
  <c r="BI143" i="17" s="1"/>
  <c r="BK126" i="17" s="1"/>
  <c r="M40" i="15"/>
  <c r="BD40" i="15" s="1"/>
  <c r="BE40" i="15" s="1"/>
  <c r="BI143" i="15" s="1"/>
  <c r="P40" i="15"/>
  <c r="GU60" i="10"/>
  <c r="GW59" i="10"/>
  <c r="HB59" i="10"/>
  <c r="GY60" i="10"/>
  <c r="GZ59" i="10"/>
  <c r="GV59" i="10"/>
  <c r="GR59" i="10"/>
  <c r="GQ61" i="10"/>
  <c r="N41" i="17"/>
  <c r="M41" i="17" s="1"/>
  <c r="BD41" i="17" s="1"/>
  <c r="GD61" i="10"/>
  <c r="HO61" i="10" s="1"/>
  <c r="GX59" i="10"/>
  <c r="HA59" i="10"/>
  <c r="P40" i="17"/>
  <c r="LD58" i="10"/>
  <c r="HE58" i="10"/>
  <c r="HL58" i="10" s="1"/>
  <c r="HN58" i="10" s="1"/>
  <c r="C38" i="14" s="1"/>
  <c r="J131" i="15"/>
  <c r="AH682" i="15" s="1"/>
  <c r="HP60" i="10"/>
  <c r="HQ60" i="10"/>
  <c r="HR60" i="10"/>
  <c r="EO64" i="10"/>
  <c r="EP64" i="10" s="1"/>
  <c r="EN65" i="10"/>
  <c r="ET63" i="10"/>
  <c r="EW63" i="10" s="1"/>
  <c r="FQ63" i="10" s="1"/>
  <c r="EV63" i="10" s="1"/>
  <c r="EU63" i="10"/>
  <c r="FD62" i="10"/>
  <c r="LO149" i="24"/>
  <c r="LS148" i="24"/>
  <c r="AB125" i="17"/>
  <c r="AC125" i="17"/>
  <c r="AD125" i="17"/>
  <c r="AE125" i="17"/>
  <c r="AG127" i="17"/>
  <c r="AU136" i="17"/>
  <c r="AU128" i="15"/>
  <c r="L128" i="17"/>
  <c r="S127" i="17"/>
  <c r="BH127" i="17"/>
  <c r="AG127" i="15"/>
  <c r="L128" i="15"/>
  <c r="BH128" i="15"/>
  <c r="FS63" i="10"/>
  <c r="KU61" i="10"/>
  <c r="W126" i="17"/>
  <c r="T126" i="17"/>
  <c r="V126" i="17"/>
  <c r="GI60" i="10"/>
  <c r="GE62" i="10"/>
  <c r="FG61" i="10"/>
  <c r="U126" i="17"/>
  <c r="KK61" i="10"/>
  <c r="KL61" i="10"/>
  <c r="GG60" i="10"/>
  <c r="GH60" i="10"/>
  <c r="FB61" i="10"/>
  <c r="AP126" i="17"/>
  <c r="AP126" i="15"/>
  <c r="KM61" i="10"/>
  <c r="GM60" i="10"/>
  <c r="AO127" i="15"/>
  <c r="GK60" i="10"/>
  <c r="FT63" i="10"/>
  <c r="FE61" i="10"/>
  <c r="FA61" i="10"/>
  <c r="FL61" i="10"/>
  <c r="GJ61" i="10"/>
  <c r="BY691" i="15"/>
  <c r="GL60" i="10"/>
  <c r="FC61" i="10"/>
  <c r="EX62" i="10"/>
  <c r="GF62" i="10"/>
  <c r="FX62" i="10"/>
  <c r="BZ691" i="15"/>
  <c r="AO126" i="17"/>
  <c r="KN61" i="10"/>
  <c r="CH692" i="15"/>
  <c r="N42" i="15" l="1"/>
  <c r="M42" i="15" s="1"/>
  <c r="BD42" i="15" s="1"/>
  <c r="DC689" i="15"/>
  <c r="DE689" i="15" s="1"/>
  <c r="CE691" i="15"/>
  <c r="CP691" i="15" s="1"/>
  <c r="CU691" i="15" s="1"/>
  <c r="CF691" i="15"/>
  <c r="CQ691" i="15" s="1"/>
  <c r="CV691" i="15" s="1"/>
  <c r="BQ693" i="15"/>
  <c r="BK55" i="15"/>
  <c r="BL54" i="15" s="1"/>
  <c r="BB41" i="15"/>
  <c r="BC41" i="15" s="1"/>
  <c r="P41" i="15"/>
  <c r="BB41" i="17"/>
  <c r="BC41" i="17" s="1"/>
  <c r="BE41" i="17" s="1"/>
  <c r="GS61" i="10"/>
  <c r="GT61" i="10"/>
  <c r="GU61" i="10"/>
  <c r="M41" i="15"/>
  <c r="BD41" i="15" s="1"/>
  <c r="GR60" i="10"/>
  <c r="GV60" i="10"/>
  <c r="GY61" i="10"/>
  <c r="GW60" i="10"/>
  <c r="HA60" i="10"/>
  <c r="N42" i="17"/>
  <c r="P42" i="17" s="1"/>
  <c r="GQ62" i="10"/>
  <c r="GD62" i="10"/>
  <c r="GS62" i="10" s="1"/>
  <c r="GX60" i="10"/>
  <c r="HB60" i="10"/>
  <c r="GZ60" i="10"/>
  <c r="BK127" i="15"/>
  <c r="BL126" i="15" s="1"/>
  <c r="P41" i="17"/>
  <c r="HE59" i="10"/>
  <c r="HL59" i="10" s="1"/>
  <c r="HN59" i="10" s="1"/>
  <c r="C39" i="14" s="1"/>
  <c r="LD59" i="10"/>
  <c r="BK46" i="15"/>
  <c r="BL45" i="15" s="1"/>
  <c r="BK106" i="15"/>
  <c r="BL105" i="15" s="1"/>
  <c r="BK86" i="15"/>
  <c r="BL85" i="15" s="1"/>
  <c r="BK105" i="15"/>
  <c r="BL104" i="15" s="1"/>
  <c r="BK21" i="15"/>
  <c r="BN21" i="15" s="1"/>
  <c r="BK77" i="15"/>
  <c r="BN77" i="15" s="1"/>
  <c r="BK24" i="15"/>
  <c r="BL23" i="15" s="1"/>
  <c r="BK56" i="15"/>
  <c r="BL55" i="15" s="1"/>
  <c r="BK114" i="15"/>
  <c r="BN114" i="15" s="1"/>
  <c r="BK27" i="15"/>
  <c r="BL26" i="15" s="1"/>
  <c r="BK40" i="15"/>
  <c r="BN40" i="15" s="1"/>
  <c r="BK59" i="15"/>
  <c r="BL58" i="15" s="1"/>
  <c r="BK69" i="15"/>
  <c r="BN69" i="15" s="1"/>
  <c r="BK107" i="15"/>
  <c r="BL106" i="15" s="1"/>
  <c r="BK85" i="15"/>
  <c r="BL84" i="15" s="1"/>
  <c r="BK45" i="15"/>
  <c r="BN45" i="15" s="1"/>
  <c r="BK65" i="15"/>
  <c r="BN65" i="15" s="1"/>
  <c r="BK60" i="15"/>
  <c r="BL59" i="15" s="1"/>
  <c r="BK102" i="15"/>
  <c r="BL101" i="15" s="1"/>
  <c r="BK39" i="15"/>
  <c r="BL38" i="15" s="1"/>
  <c r="BK31" i="15"/>
  <c r="BL30" i="15" s="1"/>
  <c r="BK92" i="15"/>
  <c r="BL91" i="15" s="1"/>
  <c r="BK73" i="15"/>
  <c r="BL72" i="15" s="1"/>
  <c r="BK67" i="15"/>
  <c r="BL66" i="15" s="1"/>
  <c r="BK125" i="15"/>
  <c r="BL124" i="15" s="1"/>
  <c r="BK111" i="15"/>
  <c r="BN111" i="15" s="1"/>
  <c r="BK110" i="15"/>
  <c r="BN110" i="15" s="1"/>
  <c r="BK66" i="15"/>
  <c r="BN66" i="15" s="1"/>
  <c r="BK78" i="15"/>
  <c r="BL77" i="15" s="1"/>
  <c r="BK62" i="15"/>
  <c r="BL61" i="15" s="1"/>
  <c r="BK23" i="15"/>
  <c r="BL22" i="15" s="1"/>
  <c r="BK88" i="15"/>
  <c r="BN88" i="15" s="1"/>
  <c r="BK108" i="15"/>
  <c r="BL107" i="15" s="1"/>
  <c r="BK28" i="15"/>
  <c r="BN28" i="15" s="1"/>
  <c r="BK98" i="15"/>
  <c r="BL97" i="15" s="1"/>
  <c r="BK63" i="15"/>
  <c r="BN63" i="15" s="1"/>
  <c r="BK61" i="15"/>
  <c r="BN61" i="15" s="1"/>
  <c r="BK84" i="15"/>
  <c r="BN84" i="15" s="1"/>
  <c r="BK54" i="15"/>
  <c r="BL53" i="15" s="1"/>
  <c r="BK71" i="15"/>
  <c r="BL70" i="15" s="1"/>
  <c r="BK30" i="15"/>
  <c r="BL29" i="15" s="1"/>
  <c r="BK49" i="15"/>
  <c r="BN49" i="15" s="1"/>
  <c r="BK33" i="15"/>
  <c r="BL32" i="15" s="1"/>
  <c r="BK100" i="15"/>
  <c r="BN100" i="15" s="1"/>
  <c r="BK76" i="15"/>
  <c r="BN76" i="15" s="1"/>
  <c r="BK57" i="15"/>
  <c r="BN57" i="15" s="1"/>
  <c r="BK25" i="15"/>
  <c r="BN25" i="15" s="1"/>
  <c r="BK93" i="15"/>
  <c r="BN93" i="15" s="1"/>
  <c r="BK35" i="15"/>
  <c r="BL34" i="15" s="1"/>
  <c r="BK116" i="15"/>
  <c r="BN116" i="15" s="1"/>
  <c r="BK112" i="15"/>
  <c r="BN112" i="15" s="1"/>
  <c r="BK113" i="15"/>
  <c r="BN113" i="15" s="1"/>
  <c r="BK42" i="15"/>
  <c r="BN42" i="15" s="1"/>
  <c r="BK82" i="15"/>
  <c r="BL81" i="15" s="1"/>
  <c r="BK37" i="15"/>
  <c r="BL36" i="15" s="1"/>
  <c r="BK103" i="15"/>
  <c r="BN103" i="15" s="1"/>
  <c r="BK70" i="15"/>
  <c r="BN70" i="15" s="1"/>
  <c r="BK87" i="15"/>
  <c r="BL86" i="15" s="1"/>
  <c r="BK104" i="15"/>
  <c r="BN104" i="15" s="1"/>
  <c r="BK26" i="15"/>
  <c r="BL25" i="15" s="1"/>
  <c r="BK99" i="15"/>
  <c r="BL98" i="15" s="1"/>
  <c r="BK97" i="15"/>
  <c r="BN97" i="15" s="1"/>
  <c r="BK101" i="15"/>
  <c r="BN101" i="15" s="1"/>
  <c r="BK32" i="15"/>
  <c r="BN32" i="15" s="1"/>
  <c r="BK20" i="15"/>
  <c r="BK38" i="15"/>
  <c r="BL37" i="15" s="1"/>
  <c r="BK96" i="15"/>
  <c r="BL95" i="15" s="1"/>
  <c r="BK79" i="15"/>
  <c r="BL78" i="15" s="1"/>
  <c r="BK53" i="15"/>
  <c r="BL52" i="15" s="1"/>
  <c r="BK74" i="15"/>
  <c r="BN74" i="15" s="1"/>
  <c r="BK81" i="15"/>
  <c r="BN81" i="15" s="1"/>
  <c r="BK80" i="15"/>
  <c r="BN80" i="15" s="1"/>
  <c r="BK50" i="15"/>
  <c r="BN50" i="15" s="1"/>
  <c r="BK83" i="15"/>
  <c r="BN83" i="15" s="1"/>
  <c r="BK115" i="15"/>
  <c r="BL114" i="15" s="1"/>
  <c r="BK109" i="15"/>
  <c r="BN109" i="15" s="1"/>
  <c r="BK68" i="15"/>
  <c r="BL67" i="15" s="1"/>
  <c r="BK34" i="15"/>
  <c r="BL33" i="15" s="1"/>
  <c r="BK58" i="15"/>
  <c r="BL57" i="15" s="1"/>
  <c r="BK64" i="15"/>
  <c r="BN64" i="15" s="1"/>
  <c r="BK36" i="15"/>
  <c r="BL35" i="15" s="1"/>
  <c r="BK52" i="15"/>
  <c r="BL51" i="15" s="1"/>
  <c r="BK22" i="15"/>
  <c r="BN22" i="15" s="1"/>
  <c r="BK90" i="15"/>
  <c r="BL89" i="15" s="1"/>
  <c r="BK44" i="15"/>
  <c r="BN44" i="15" s="1"/>
  <c r="BK95" i="15"/>
  <c r="BN95" i="15" s="1"/>
  <c r="BK89" i="15"/>
  <c r="BN89" i="15" s="1"/>
  <c r="BK47" i="15"/>
  <c r="BL46" i="15" s="1"/>
  <c r="BK41" i="15"/>
  <c r="BN41" i="15" s="1"/>
  <c r="BK94" i="15"/>
  <c r="BL93" i="15" s="1"/>
  <c r="BK29" i="15"/>
  <c r="BN29" i="15" s="1"/>
  <c r="BK48" i="15"/>
  <c r="BL47" i="15" s="1"/>
  <c r="BK75" i="15"/>
  <c r="BN75" i="15" s="1"/>
  <c r="BK43" i="15"/>
  <c r="BN43" i="15" s="1"/>
  <c r="BK91" i="15"/>
  <c r="BN91" i="15" s="1"/>
  <c r="BK72" i="15"/>
  <c r="BN72" i="15" s="1"/>
  <c r="BK51" i="15"/>
  <c r="BN51" i="15" s="1"/>
  <c r="J132" i="15"/>
  <c r="AH683" i="15" s="1"/>
  <c r="BK83" i="17"/>
  <c r="BN83" i="17" s="1"/>
  <c r="BK79" i="17"/>
  <c r="BK49" i="17"/>
  <c r="BK22" i="17"/>
  <c r="BK35" i="17"/>
  <c r="BK98" i="17"/>
  <c r="BK107" i="17"/>
  <c r="BK76" i="17"/>
  <c r="BK68" i="17"/>
  <c r="BK97" i="17"/>
  <c r="BK20" i="17"/>
  <c r="BK90" i="17"/>
  <c r="BK91" i="17"/>
  <c r="BK60" i="17"/>
  <c r="BK52" i="17"/>
  <c r="BK95" i="17"/>
  <c r="BK78" i="17"/>
  <c r="BK34" i="17"/>
  <c r="BK101" i="17"/>
  <c r="BK33" i="17"/>
  <c r="BK37" i="17"/>
  <c r="BK43" i="17"/>
  <c r="BK61" i="17"/>
  <c r="BK92" i="17"/>
  <c r="BK88" i="17"/>
  <c r="BK24" i="17"/>
  <c r="BK28" i="17"/>
  <c r="BK96" i="17"/>
  <c r="BK67" i="17"/>
  <c r="BK27" i="17"/>
  <c r="BK93" i="17"/>
  <c r="BK87" i="17"/>
  <c r="BK38" i="17"/>
  <c r="BK66" i="17"/>
  <c r="BK36" i="17"/>
  <c r="BK70" i="17"/>
  <c r="BK84" i="17"/>
  <c r="BK99" i="17"/>
  <c r="BK86" i="17"/>
  <c r="BK51" i="17"/>
  <c r="BK42" i="17"/>
  <c r="BK73" i="17"/>
  <c r="BK40" i="17"/>
  <c r="BK31" i="17"/>
  <c r="BK105" i="17"/>
  <c r="BK30" i="17"/>
  <c r="BK108" i="17"/>
  <c r="BK45" i="17"/>
  <c r="BK53" i="17"/>
  <c r="BK29" i="17"/>
  <c r="BK103" i="17"/>
  <c r="BK69" i="17"/>
  <c r="BK77" i="17"/>
  <c r="BK25" i="17"/>
  <c r="BK32" i="17"/>
  <c r="BK64" i="17"/>
  <c r="BK47" i="17"/>
  <c r="BK57" i="17"/>
  <c r="BK89" i="17"/>
  <c r="BK104" i="17"/>
  <c r="BK82" i="17"/>
  <c r="BK48" i="17"/>
  <c r="BK58" i="17"/>
  <c r="BK41" i="17"/>
  <c r="BK39" i="17"/>
  <c r="BK54" i="17"/>
  <c r="BK81" i="17"/>
  <c r="BK50" i="17"/>
  <c r="BK71" i="17"/>
  <c r="BK102" i="17"/>
  <c r="BK55" i="17"/>
  <c r="BK74" i="17"/>
  <c r="BK75" i="17"/>
  <c r="BK85" i="17"/>
  <c r="BK23" i="17"/>
  <c r="BK21" i="17"/>
  <c r="BK44" i="17"/>
  <c r="BK65" i="17"/>
  <c r="BK46" i="17"/>
  <c r="BK59" i="17"/>
  <c r="BK100" i="17"/>
  <c r="BK106" i="17"/>
  <c r="BK62" i="17"/>
  <c r="BK80" i="17"/>
  <c r="BK56" i="17"/>
  <c r="BK94" i="17"/>
  <c r="BK72" i="17"/>
  <c r="BK109" i="17"/>
  <c r="BK63" i="17"/>
  <c r="BK26" i="17"/>
  <c r="BK110" i="17"/>
  <c r="BK111" i="17"/>
  <c r="BK112" i="17"/>
  <c r="BK113" i="17"/>
  <c r="BK114" i="17"/>
  <c r="BK115" i="17"/>
  <c r="BK118" i="17"/>
  <c r="BK116" i="17"/>
  <c r="BK117" i="17"/>
  <c r="BK120" i="17"/>
  <c r="BK125" i="17"/>
  <c r="BK119" i="17"/>
  <c r="BK121" i="17"/>
  <c r="BK123" i="17"/>
  <c r="BK122" i="17"/>
  <c r="BK124" i="17"/>
  <c r="BK121" i="15"/>
  <c r="BK124" i="15"/>
  <c r="BK122" i="15"/>
  <c r="BK117" i="15"/>
  <c r="BK118" i="15"/>
  <c r="BK120" i="15"/>
  <c r="BK123" i="15"/>
  <c r="BK119" i="15"/>
  <c r="BK126" i="15"/>
  <c r="EO65" i="10"/>
  <c r="EP65" i="10" s="1"/>
  <c r="EN66" i="10"/>
  <c r="FD63" i="10"/>
  <c r="EU64" i="10"/>
  <c r="ET64" i="10"/>
  <c r="EW64" i="10" s="1"/>
  <c r="FQ64" i="10" s="1"/>
  <c r="EV64" i="10" s="1"/>
  <c r="HQ61" i="10"/>
  <c r="HR61" i="10"/>
  <c r="HP61" i="10"/>
  <c r="LO150" i="24"/>
  <c r="LS149" i="24"/>
  <c r="AE126" i="17"/>
  <c r="AD126" i="17"/>
  <c r="AC126" i="17"/>
  <c r="AB126" i="17"/>
  <c r="BL125" i="17"/>
  <c r="BN126" i="17"/>
  <c r="AU129" i="15"/>
  <c r="L129" i="15"/>
  <c r="AG128" i="17"/>
  <c r="BK127" i="17"/>
  <c r="BH128" i="17"/>
  <c r="BH129" i="15"/>
  <c r="BK128" i="15"/>
  <c r="AG128" i="15"/>
  <c r="S128" i="17"/>
  <c r="L129" i="17"/>
  <c r="AU137" i="17"/>
  <c r="EX63" i="10"/>
  <c r="FG62" i="10"/>
  <c r="FE62" i="10"/>
  <c r="FA62" i="10"/>
  <c r="FC62" i="10"/>
  <c r="AP127" i="17"/>
  <c r="BY692" i="15"/>
  <c r="KM62" i="10"/>
  <c r="KU62" i="10"/>
  <c r="FU61" i="10"/>
  <c r="FS64" i="10"/>
  <c r="CH693" i="15"/>
  <c r="GA61" i="10"/>
  <c r="V127" i="17"/>
  <c r="FZ61" i="10"/>
  <c r="FY61" i="10"/>
  <c r="KL62" i="10"/>
  <c r="FW61" i="10"/>
  <c r="FV61" i="10"/>
  <c r="KN62" i="10"/>
  <c r="BZ692" i="15"/>
  <c r="GF63" i="10"/>
  <c r="T127" i="17"/>
  <c r="AO127" i="17"/>
  <c r="FU62" i="10"/>
  <c r="FL62" i="10"/>
  <c r="KK62" i="10"/>
  <c r="BV691" i="15"/>
  <c r="FX63" i="10"/>
  <c r="FB62" i="10"/>
  <c r="GE63" i="10"/>
  <c r="AP127" i="15"/>
  <c r="FT64" i="10"/>
  <c r="FV62" i="10"/>
  <c r="GJ62" i="10"/>
  <c r="U127" i="17"/>
  <c r="FW62" i="10"/>
  <c r="W127" i="17"/>
  <c r="EX64" i="10"/>
  <c r="AO128" i="15"/>
  <c r="N43" i="15" l="1"/>
  <c r="P43" i="15" s="1"/>
  <c r="DC690" i="15"/>
  <c r="DE690" i="15" s="1"/>
  <c r="BN55" i="15"/>
  <c r="CE692" i="15"/>
  <c r="CP692" i="15" s="1"/>
  <c r="CU692" i="15" s="1"/>
  <c r="CF692" i="15"/>
  <c r="CQ692" i="15" s="1"/>
  <c r="CV692" i="15" s="1"/>
  <c r="BQ694" i="15"/>
  <c r="BE41" i="15"/>
  <c r="P42" i="15"/>
  <c r="BB42" i="15"/>
  <c r="BC42" i="15" s="1"/>
  <c r="BE42" i="15" s="1"/>
  <c r="BN46" i="15"/>
  <c r="BN127" i="15"/>
  <c r="HO62" i="10"/>
  <c r="HQ62" i="10" s="1"/>
  <c r="BL113" i="15"/>
  <c r="BB42" i="17"/>
  <c r="BC42" i="17" s="1"/>
  <c r="M42" i="17"/>
  <c r="BD42" i="17" s="1"/>
  <c r="GD63" i="10"/>
  <c r="HO63" i="10" s="1"/>
  <c r="N43" i="17"/>
  <c r="P43" i="17" s="1"/>
  <c r="GQ63" i="10"/>
  <c r="GY62" i="10"/>
  <c r="GT62" i="10"/>
  <c r="BN94" i="15"/>
  <c r="BL76" i="15"/>
  <c r="BN107" i="15"/>
  <c r="GU62" i="10"/>
  <c r="LD60" i="10"/>
  <c r="HE60" i="10"/>
  <c r="HL60" i="10" s="1"/>
  <c r="HN60" i="10" s="1"/>
  <c r="C40" i="14" s="1"/>
  <c r="BN27" i="15"/>
  <c r="BN96" i="15"/>
  <c r="BL109" i="15"/>
  <c r="BN106" i="15"/>
  <c r="BN82" i="15"/>
  <c r="BN54" i="15"/>
  <c r="BL88" i="15"/>
  <c r="BL31" i="15"/>
  <c r="BL87" i="15"/>
  <c r="BN59" i="15"/>
  <c r="BL102" i="15"/>
  <c r="BN71" i="15"/>
  <c r="BL100" i="15"/>
  <c r="BN33" i="15"/>
  <c r="BL28" i="15"/>
  <c r="BL80" i="15"/>
  <c r="BL103" i="15"/>
  <c r="BN23" i="15"/>
  <c r="BN73" i="15"/>
  <c r="BN85" i="15"/>
  <c r="BN37" i="15"/>
  <c r="BN98" i="15"/>
  <c r="BN24" i="15"/>
  <c r="BN115" i="15"/>
  <c r="BN67" i="15"/>
  <c r="BN39" i="15"/>
  <c r="BL63" i="15"/>
  <c r="BN26" i="15"/>
  <c r="BL62" i="15"/>
  <c r="BL112" i="15"/>
  <c r="BL56" i="15"/>
  <c r="BN60" i="15"/>
  <c r="BN92" i="15"/>
  <c r="BL82" i="15"/>
  <c r="BN52" i="15"/>
  <c r="BL96" i="15"/>
  <c r="BL83" i="15"/>
  <c r="BL99" i="15"/>
  <c r="BN79" i="15"/>
  <c r="BN56" i="15"/>
  <c r="BL65" i="15"/>
  <c r="BN105" i="15"/>
  <c r="BL108" i="15"/>
  <c r="BL92" i="15"/>
  <c r="BL44" i="15"/>
  <c r="BL111" i="15"/>
  <c r="BL24" i="15"/>
  <c r="BL39" i="15"/>
  <c r="BL90" i="15"/>
  <c r="BL21" i="15"/>
  <c r="BN58" i="15"/>
  <c r="BN102" i="15"/>
  <c r="BN86" i="15"/>
  <c r="BN31" i="15"/>
  <c r="BL20" i="15"/>
  <c r="BN53" i="15"/>
  <c r="BL49" i="15"/>
  <c r="BN78" i="15"/>
  <c r="BL68" i="15"/>
  <c r="BL64" i="15"/>
  <c r="BN47" i="15"/>
  <c r="BN90" i="15"/>
  <c r="BL79" i="15"/>
  <c r="BL71" i="15"/>
  <c r="BN48" i="15"/>
  <c r="BN38" i="15"/>
  <c r="BN87" i="15"/>
  <c r="BL115" i="15"/>
  <c r="BL110" i="15"/>
  <c r="BL73" i="15"/>
  <c r="BL48" i="15"/>
  <c r="BL27" i="15"/>
  <c r="BL42" i="15"/>
  <c r="BL94" i="15"/>
  <c r="BN34" i="15"/>
  <c r="BN62" i="15"/>
  <c r="BN99" i="15"/>
  <c r="BL41" i="15"/>
  <c r="BN125" i="15"/>
  <c r="BL69" i="15"/>
  <c r="BN108" i="15"/>
  <c r="BL50" i="15"/>
  <c r="BL74" i="15"/>
  <c r="BL40" i="15"/>
  <c r="BL43" i="15"/>
  <c r="BN36" i="15"/>
  <c r="BN68" i="15"/>
  <c r="BN35" i="15"/>
  <c r="BL75" i="15"/>
  <c r="BN30" i="15"/>
  <c r="BL60" i="15"/>
  <c r="J133" i="15"/>
  <c r="AH684" i="15" s="1"/>
  <c r="BL82" i="17"/>
  <c r="BN123" i="17"/>
  <c r="BL122" i="17"/>
  <c r="BL108" i="17"/>
  <c r="BN109" i="17"/>
  <c r="BN74" i="17"/>
  <c r="BL73" i="17"/>
  <c r="BL63" i="17"/>
  <c r="BN64" i="17"/>
  <c r="BL50" i="17"/>
  <c r="BN51" i="17"/>
  <c r="BN92" i="17"/>
  <c r="BL91" i="17"/>
  <c r="BN90" i="17"/>
  <c r="BL89" i="17"/>
  <c r="BN111" i="17"/>
  <c r="BL110" i="17"/>
  <c r="BL58" i="17"/>
  <c r="BN59" i="17"/>
  <c r="BN41" i="17"/>
  <c r="BL40" i="17"/>
  <c r="BL44" i="17"/>
  <c r="BN45" i="17"/>
  <c r="BN87" i="17"/>
  <c r="BL86" i="17"/>
  <c r="BL94" i="17"/>
  <c r="BN95" i="17"/>
  <c r="BL120" i="17"/>
  <c r="BN121" i="17"/>
  <c r="BN117" i="17"/>
  <c r="BL116" i="17"/>
  <c r="BN114" i="17"/>
  <c r="BL113" i="17"/>
  <c r="BN110" i="17"/>
  <c r="BL109" i="17"/>
  <c r="BN72" i="17"/>
  <c r="BL71" i="17"/>
  <c r="BL61" i="17"/>
  <c r="BN62" i="17"/>
  <c r="BN46" i="17"/>
  <c r="BL45" i="17"/>
  <c r="BN23" i="17"/>
  <c r="BL22" i="17"/>
  <c r="BL54" i="17"/>
  <c r="BN55" i="17"/>
  <c r="BN81" i="17"/>
  <c r="BL80" i="17"/>
  <c r="BN58" i="17"/>
  <c r="BL57" i="17"/>
  <c r="BL88" i="17"/>
  <c r="BN89" i="17"/>
  <c r="BL31" i="17"/>
  <c r="BN32" i="17"/>
  <c r="BN103" i="17"/>
  <c r="BL102" i="17"/>
  <c r="BN108" i="17"/>
  <c r="BL107" i="17"/>
  <c r="BL39" i="17"/>
  <c r="BN40" i="17"/>
  <c r="BN86" i="17"/>
  <c r="BL85" i="17"/>
  <c r="BL35" i="17"/>
  <c r="BN36" i="17"/>
  <c r="BL92" i="17"/>
  <c r="BN93" i="17"/>
  <c r="BN28" i="17"/>
  <c r="BJ28" i="17"/>
  <c r="BL27" i="17"/>
  <c r="BL60" i="17"/>
  <c r="BN61" i="17"/>
  <c r="BN101" i="17"/>
  <c r="BL100" i="17"/>
  <c r="BN52" i="17"/>
  <c r="BL51" i="17"/>
  <c r="BN107" i="17"/>
  <c r="BL106" i="17"/>
  <c r="BL48" i="17"/>
  <c r="BN49" i="17"/>
  <c r="BN120" i="17"/>
  <c r="BL119" i="17"/>
  <c r="BN80" i="17"/>
  <c r="BL79" i="17"/>
  <c r="BN50" i="17"/>
  <c r="BL49" i="17"/>
  <c r="BN69" i="17"/>
  <c r="BL68" i="17"/>
  <c r="BN70" i="17"/>
  <c r="BL69" i="17"/>
  <c r="BN33" i="17"/>
  <c r="BL32" i="17"/>
  <c r="BN76" i="17"/>
  <c r="BL75" i="17"/>
  <c r="BN124" i="17"/>
  <c r="BL123" i="17"/>
  <c r="BN119" i="17"/>
  <c r="BL118" i="17"/>
  <c r="BN116" i="17"/>
  <c r="BL115" i="17"/>
  <c r="BL112" i="17"/>
  <c r="BN113" i="17"/>
  <c r="BL25" i="17"/>
  <c r="BN26" i="17"/>
  <c r="BN94" i="17"/>
  <c r="BL93" i="17"/>
  <c r="BN106" i="17"/>
  <c r="BL105" i="17"/>
  <c r="BL64" i="17"/>
  <c r="BN65" i="17"/>
  <c r="BL84" i="17"/>
  <c r="BN85" i="17"/>
  <c r="BN102" i="17"/>
  <c r="BL101" i="17"/>
  <c r="BL53" i="17"/>
  <c r="BN54" i="17"/>
  <c r="BL47" i="17"/>
  <c r="BN48" i="17"/>
  <c r="BN57" i="17"/>
  <c r="BL56" i="17"/>
  <c r="BN25" i="17"/>
  <c r="BL24" i="17"/>
  <c r="BN29" i="17"/>
  <c r="BL28" i="17"/>
  <c r="BN30" i="17"/>
  <c r="BL29" i="17"/>
  <c r="BL72" i="17"/>
  <c r="BN73" i="17"/>
  <c r="BN99" i="17"/>
  <c r="BL98" i="17"/>
  <c r="BL65" i="17"/>
  <c r="BN66" i="17"/>
  <c r="BN27" i="17"/>
  <c r="BL26" i="17"/>
  <c r="BL23" i="17"/>
  <c r="BN24" i="17"/>
  <c r="BN43" i="17"/>
  <c r="BL42" i="17"/>
  <c r="BN34" i="17"/>
  <c r="BL33" i="17"/>
  <c r="BN60" i="17"/>
  <c r="BL59" i="17"/>
  <c r="BN97" i="17"/>
  <c r="BL96" i="17"/>
  <c r="BL97" i="17"/>
  <c r="BN98" i="17"/>
  <c r="BL78" i="17"/>
  <c r="BN79" i="17"/>
  <c r="BN115" i="17"/>
  <c r="BL114" i="17"/>
  <c r="BL20" i="17"/>
  <c r="BN21" i="17"/>
  <c r="BL103" i="17"/>
  <c r="BN104" i="17"/>
  <c r="BL30" i="17"/>
  <c r="BN31" i="17"/>
  <c r="BL95" i="17"/>
  <c r="BN96" i="17"/>
  <c r="BL21" i="17"/>
  <c r="BN22" i="17"/>
  <c r="BL121" i="17"/>
  <c r="BN122" i="17"/>
  <c r="BN125" i="17"/>
  <c r="BL124" i="17"/>
  <c r="BL117" i="17"/>
  <c r="BN118" i="17"/>
  <c r="BN112" i="17"/>
  <c r="BL111" i="17"/>
  <c r="BN63" i="17"/>
  <c r="BL62" i="17"/>
  <c r="BL55" i="17"/>
  <c r="BN56" i="17"/>
  <c r="BN100" i="17"/>
  <c r="BL99" i="17"/>
  <c r="BN44" i="17"/>
  <c r="BL43" i="17"/>
  <c r="BL74" i="17"/>
  <c r="BN75" i="17"/>
  <c r="BL70" i="17"/>
  <c r="BN71" i="17"/>
  <c r="BN39" i="17"/>
  <c r="BL38" i="17"/>
  <c r="BL81" i="17"/>
  <c r="BN82" i="17"/>
  <c r="BN47" i="17"/>
  <c r="BL46" i="17"/>
  <c r="BN77" i="17"/>
  <c r="BL76" i="17"/>
  <c r="BN53" i="17"/>
  <c r="BL52" i="17"/>
  <c r="BN105" i="17"/>
  <c r="BL104" i="17"/>
  <c r="BN42" i="17"/>
  <c r="BL41" i="17"/>
  <c r="BN84" i="17"/>
  <c r="BL83" i="17"/>
  <c r="BN38" i="17"/>
  <c r="BL37" i="17"/>
  <c r="BL66" i="17"/>
  <c r="BN67" i="17"/>
  <c r="BN88" i="17"/>
  <c r="BL87" i="17"/>
  <c r="BL36" i="17"/>
  <c r="BN37" i="17"/>
  <c r="BN78" i="17"/>
  <c r="BL77" i="17"/>
  <c r="BN91" i="17"/>
  <c r="BL90" i="17"/>
  <c r="BN68" i="17"/>
  <c r="BL67" i="17"/>
  <c r="BL34" i="17"/>
  <c r="BN35" i="17"/>
  <c r="BL118" i="15"/>
  <c r="BN119" i="15"/>
  <c r="BN117" i="15"/>
  <c r="BL116" i="15"/>
  <c r="BL122" i="15"/>
  <c r="BN123" i="15"/>
  <c r="BL121" i="15"/>
  <c r="BN122" i="15"/>
  <c r="BL119" i="15"/>
  <c r="BN120" i="15"/>
  <c r="BN124" i="15"/>
  <c r="BL123" i="15"/>
  <c r="BL125" i="15"/>
  <c r="BN126" i="15"/>
  <c r="BN118" i="15"/>
  <c r="BL117" i="15"/>
  <c r="BN121" i="15"/>
  <c r="BL120" i="15"/>
  <c r="ET65" i="10"/>
  <c r="EW65" i="10" s="1"/>
  <c r="FQ65" i="10" s="1"/>
  <c r="EV65" i="10" s="1"/>
  <c r="EU65" i="10"/>
  <c r="FD64" i="10"/>
  <c r="EO66" i="10"/>
  <c r="EP66" i="10" s="1"/>
  <c r="EN67" i="10"/>
  <c r="LO151" i="24"/>
  <c r="LS150" i="24"/>
  <c r="AC127" i="17"/>
  <c r="AE127" i="17"/>
  <c r="AD127" i="17"/>
  <c r="AB127" i="17"/>
  <c r="AU138" i="17"/>
  <c r="BH129" i="17"/>
  <c r="BK128" i="17"/>
  <c r="AU130" i="15"/>
  <c r="L130" i="17"/>
  <c r="S129" i="17"/>
  <c r="AG129" i="15"/>
  <c r="BN127" i="17"/>
  <c r="BL126" i="17"/>
  <c r="L130" i="15"/>
  <c r="BN128" i="15"/>
  <c r="BL127" i="15"/>
  <c r="BH130" i="15"/>
  <c r="BK129" i="15"/>
  <c r="AG129" i="17"/>
  <c r="FL63" i="10"/>
  <c r="KL63" i="10"/>
  <c r="FG63" i="10"/>
  <c r="GA62" i="10"/>
  <c r="GJ63" i="10"/>
  <c r="GL61" i="10"/>
  <c r="FB64" i="10"/>
  <c r="AO128" i="17"/>
  <c r="KM64" i="10"/>
  <c r="FC64" i="10"/>
  <c r="FS65" i="10"/>
  <c r="GG61" i="10"/>
  <c r="GI62" i="10"/>
  <c r="FZ63" i="10"/>
  <c r="FT65" i="10"/>
  <c r="KN64" i="10"/>
  <c r="FE63" i="10"/>
  <c r="KN63" i="10"/>
  <c r="FC63" i="10"/>
  <c r="FW63" i="10" s="1"/>
  <c r="KK63" i="10"/>
  <c r="FA63" i="10"/>
  <c r="FU63" i="10" s="1"/>
  <c r="KU63" i="10"/>
  <c r="GM61" i="10"/>
  <c r="FY63" i="10"/>
  <c r="AP128" i="17"/>
  <c r="GH61" i="10"/>
  <c r="CH694" i="15"/>
  <c r="FG64" i="10"/>
  <c r="U128" i="17"/>
  <c r="KU64" i="10"/>
  <c r="FE64" i="10"/>
  <c r="GH62" i="10"/>
  <c r="FY62" i="10"/>
  <c r="FX64" i="10"/>
  <c r="FL64" i="10"/>
  <c r="FA64" i="10"/>
  <c r="GA63" i="10"/>
  <c r="GG62" i="10"/>
  <c r="KM63" i="10"/>
  <c r="FB63" i="10"/>
  <c r="GE64" i="10"/>
  <c r="T128" i="17"/>
  <c r="FV63" i="10"/>
  <c r="BY693" i="15"/>
  <c r="FZ62" i="10"/>
  <c r="AP128" i="15"/>
  <c r="V128" i="17"/>
  <c r="GF64" i="10"/>
  <c r="BZ693" i="15"/>
  <c r="KK64" i="10"/>
  <c r="GK61" i="10"/>
  <c r="W128" i="17"/>
  <c r="KL64" i="10"/>
  <c r="GI61" i="10"/>
  <c r="AO129" i="15"/>
  <c r="GX61" i="10" l="1"/>
  <c r="GV61" i="10"/>
  <c r="HA61" i="10"/>
  <c r="GZ61" i="10"/>
  <c r="HB61" i="10"/>
  <c r="GW61" i="10"/>
  <c r="GR61" i="10"/>
  <c r="HE61" i="10" s="1"/>
  <c r="N44" i="15"/>
  <c r="BB44" i="15" s="1"/>
  <c r="BC44" i="15" s="1"/>
  <c r="DC691" i="15"/>
  <c r="DE691" i="15" s="1"/>
  <c r="CE693" i="15"/>
  <c r="CP693" i="15" s="1"/>
  <c r="CU693" i="15" s="1"/>
  <c r="CF693" i="15"/>
  <c r="CQ693" i="15" s="1"/>
  <c r="CV693" i="15" s="1"/>
  <c r="BQ695" i="15"/>
  <c r="HP62" i="10"/>
  <c r="HR62" i="10"/>
  <c r="M43" i="17"/>
  <c r="BD43" i="17" s="1"/>
  <c r="BE42" i="17"/>
  <c r="BB43" i="17"/>
  <c r="BC43" i="17" s="1"/>
  <c r="GU63" i="10"/>
  <c r="GS63" i="10"/>
  <c r="GT63" i="10"/>
  <c r="GY63" i="10"/>
  <c r="GQ64" i="10"/>
  <c r="N44" i="17"/>
  <c r="GD64" i="10"/>
  <c r="GS64" i="10" s="1"/>
  <c r="GW62" i="10"/>
  <c r="GV62" i="10"/>
  <c r="GX62" i="10"/>
  <c r="M43" i="15"/>
  <c r="BD43" i="15" s="1"/>
  <c r="BB43" i="15"/>
  <c r="BC43" i="15" s="1"/>
  <c r="J134" i="15"/>
  <c r="AH685" i="15" s="1"/>
  <c r="ET66" i="10"/>
  <c r="EW66" i="10" s="1"/>
  <c r="FQ66" i="10" s="1"/>
  <c r="EV66" i="10" s="1"/>
  <c r="EU66" i="10"/>
  <c r="EO67" i="10"/>
  <c r="EP67" i="10" s="1"/>
  <c r="EN68" i="10"/>
  <c r="FD65" i="10"/>
  <c r="HR63" i="10"/>
  <c r="HQ63" i="10"/>
  <c r="HP63" i="10"/>
  <c r="AJ124" i="15"/>
  <c r="LO152" i="24"/>
  <c r="LS151" i="24"/>
  <c r="AE128" i="17"/>
  <c r="AD128" i="17"/>
  <c r="AC128" i="17"/>
  <c r="AB128" i="17"/>
  <c r="BL127" i="17"/>
  <c r="BN128" i="17"/>
  <c r="BL128" i="15"/>
  <c r="BN129" i="15"/>
  <c r="L131" i="15"/>
  <c r="L131" i="17"/>
  <c r="S130" i="17"/>
  <c r="BK129" i="17"/>
  <c r="BH130" i="17"/>
  <c r="BH131" i="15"/>
  <c r="BK130" i="15"/>
  <c r="AG130" i="17"/>
  <c r="AG130" i="15"/>
  <c r="AU131" i="15"/>
  <c r="AU139" i="17"/>
  <c r="GA64" i="10"/>
  <c r="GL62" i="10"/>
  <c r="GI63" i="10"/>
  <c r="GG63" i="10"/>
  <c r="AO129" i="17"/>
  <c r="FS66" i="10"/>
  <c r="GM62" i="10"/>
  <c r="T129" i="17"/>
  <c r="FZ64" i="10"/>
  <c r="V129" i="17"/>
  <c r="GL63" i="10"/>
  <c r="FV64" i="10"/>
  <c r="GK63" i="10"/>
  <c r="GF65" i="10"/>
  <c r="AP129" i="15"/>
  <c r="GM63" i="10"/>
  <c r="W129" i="17"/>
  <c r="U129" i="17"/>
  <c r="FT66" i="10"/>
  <c r="FW64" i="10"/>
  <c r="EX66" i="10"/>
  <c r="FU64" i="10"/>
  <c r="BY694" i="15"/>
  <c r="FX65" i="10"/>
  <c r="AO130" i="15"/>
  <c r="FY64" i="10"/>
  <c r="GH63" i="10"/>
  <c r="BZ694" i="15"/>
  <c r="GJ64" i="10"/>
  <c r="AP129" i="17"/>
  <c r="EX65" i="10"/>
  <c r="GE65" i="10"/>
  <c r="GK62" i="10"/>
  <c r="CH695" i="15"/>
  <c r="HB62" i="10" l="1"/>
  <c r="HA62" i="10"/>
  <c r="GZ62" i="10"/>
  <c r="HL61" i="10"/>
  <c r="HN61" i="10" s="1"/>
  <c r="C41" i="14" s="1"/>
  <c r="BB44" i="17"/>
  <c r="BC44" i="17" s="1"/>
  <c r="LD61" i="10"/>
  <c r="GR62" i="10"/>
  <c r="LD62" i="10" s="1"/>
  <c r="N45" i="15"/>
  <c r="DC692" i="15"/>
  <c r="DE692" i="15" s="1"/>
  <c r="CF694" i="15"/>
  <c r="CQ694" i="15" s="1"/>
  <c r="CV694" i="15" s="1"/>
  <c r="CE694" i="15"/>
  <c r="CP694" i="15" s="1"/>
  <c r="CU694" i="15" s="1"/>
  <c r="BQ696" i="15"/>
  <c r="BE43" i="17"/>
  <c r="GU64" i="10"/>
  <c r="HO64" i="10"/>
  <c r="HP64" i="10" s="1"/>
  <c r="GT64" i="10"/>
  <c r="BE43" i="15"/>
  <c r="P44" i="15"/>
  <c r="M44" i="15"/>
  <c r="BD44" i="15" s="1"/>
  <c r="BE44" i="15" s="1"/>
  <c r="HB63" i="10"/>
  <c r="HA63" i="10"/>
  <c r="GW63" i="10"/>
  <c r="GR63" i="10"/>
  <c r="GV63" i="10"/>
  <c r="GY64" i="10"/>
  <c r="GX63" i="10"/>
  <c r="GZ63" i="10"/>
  <c r="GD65" i="10"/>
  <c r="GT65" i="10" s="1"/>
  <c r="GQ65" i="10"/>
  <c r="N45" i="17"/>
  <c r="BJ26" i="17" s="1"/>
  <c r="P44" i="17"/>
  <c r="M44" i="17"/>
  <c r="BD44" i="17" s="1"/>
  <c r="J135" i="15"/>
  <c r="AH686" i="15" s="1"/>
  <c r="BJ112" i="15"/>
  <c r="BJ128" i="17"/>
  <c r="BJ113" i="15"/>
  <c r="BJ110" i="15"/>
  <c r="BJ111" i="15"/>
  <c r="BJ105" i="15"/>
  <c r="BJ80" i="15"/>
  <c r="BJ87" i="17"/>
  <c r="BJ83" i="17"/>
  <c r="BJ62" i="17"/>
  <c r="BJ52" i="17"/>
  <c r="BJ60" i="17"/>
  <c r="BJ71" i="17"/>
  <c r="BJ88" i="17"/>
  <c r="BJ90" i="17"/>
  <c r="BJ89" i="17"/>
  <c r="BJ76" i="17"/>
  <c r="BJ85" i="17"/>
  <c r="BJ31" i="17"/>
  <c r="BJ75" i="17"/>
  <c r="BJ114" i="17"/>
  <c r="BJ108" i="17"/>
  <c r="BJ49" i="17"/>
  <c r="BJ102" i="17"/>
  <c r="BJ104" i="17"/>
  <c r="BJ56" i="17"/>
  <c r="BJ91" i="17"/>
  <c r="BJ117" i="17"/>
  <c r="BJ50" i="17"/>
  <c r="BJ106" i="17"/>
  <c r="BJ43" i="17"/>
  <c r="BJ38" i="17"/>
  <c r="BJ35" i="17"/>
  <c r="BJ74" i="17"/>
  <c r="BJ81" i="17"/>
  <c r="BJ120" i="17"/>
  <c r="BJ79" i="17"/>
  <c r="BJ47" i="17"/>
  <c r="BJ123" i="17"/>
  <c r="BJ59" i="17"/>
  <c r="BJ32" i="17"/>
  <c r="BJ124" i="17"/>
  <c r="BJ54" i="17"/>
  <c r="BJ122" i="17"/>
  <c r="BJ105" i="17"/>
  <c r="BJ72" i="17"/>
  <c r="BJ86" i="17"/>
  <c r="BJ80" i="17"/>
  <c r="BJ29" i="17"/>
  <c r="BJ125" i="17"/>
  <c r="BJ39" i="17"/>
  <c r="BJ64" i="17"/>
  <c r="BJ110" i="17"/>
  <c r="BJ116" i="17"/>
  <c r="BJ73" i="17"/>
  <c r="BJ97" i="17"/>
  <c r="BJ37" i="17"/>
  <c r="BJ127" i="17"/>
  <c r="BJ93" i="17"/>
  <c r="BJ70" i="17"/>
  <c r="BJ96" i="17"/>
  <c r="BJ77" i="17"/>
  <c r="BJ51" i="17"/>
  <c r="BJ41" i="17"/>
  <c r="BJ103" i="17"/>
  <c r="BJ119" i="17"/>
  <c r="BJ48" i="17"/>
  <c r="BJ63" i="17"/>
  <c r="BJ42" i="17"/>
  <c r="BJ55" i="17"/>
  <c r="BJ61" i="17"/>
  <c r="BJ69" i="17"/>
  <c r="BJ34" i="17"/>
  <c r="BJ118" i="17"/>
  <c r="BJ82" i="17"/>
  <c r="BJ111" i="17"/>
  <c r="BJ46" i="17"/>
  <c r="BJ113" i="17"/>
  <c r="BJ99" i="17"/>
  <c r="BJ115" i="17"/>
  <c r="BJ78" i="17"/>
  <c r="BJ121" i="17"/>
  <c r="BJ101" i="17"/>
  <c r="BJ30" i="17"/>
  <c r="BJ44" i="17"/>
  <c r="BJ67" i="17"/>
  <c r="BJ92" i="17"/>
  <c r="BJ95" i="17"/>
  <c r="BJ36" i="17"/>
  <c r="BJ65" i="17"/>
  <c r="BJ57" i="17"/>
  <c r="BJ100" i="17"/>
  <c r="BJ109" i="17"/>
  <c r="BJ58" i="17"/>
  <c r="BJ107" i="17"/>
  <c r="BJ33" i="17"/>
  <c r="BJ98" i="17"/>
  <c r="BJ112" i="17"/>
  <c r="BJ84" i="17"/>
  <c r="BJ45" i="17"/>
  <c r="BJ40" i="17"/>
  <c r="BJ94" i="17"/>
  <c r="BJ66" i="17"/>
  <c r="BJ53" i="17"/>
  <c r="BJ68" i="17"/>
  <c r="BJ126" i="17"/>
  <c r="BJ102" i="15"/>
  <c r="BJ98" i="15"/>
  <c r="BJ97" i="15"/>
  <c r="BJ116" i="15"/>
  <c r="BJ107" i="15"/>
  <c r="BJ115" i="15"/>
  <c r="BJ92" i="15"/>
  <c r="BJ109" i="15"/>
  <c r="BJ94" i="15"/>
  <c r="BJ96" i="15"/>
  <c r="BJ100" i="15"/>
  <c r="BJ114" i="15"/>
  <c r="BJ101" i="15"/>
  <c r="BJ108" i="15"/>
  <c r="BJ87" i="15"/>
  <c r="BJ106" i="15"/>
  <c r="BJ129" i="15"/>
  <c r="BJ93" i="15"/>
  <c r="BJ61" i="15"/>
  <c r="BJ91" i="15"/>
  <c r="BJ104" i="15"/>
  <c r="BJ86" i="15"/>
  <c r="BJ85" i="15"/>
  <c r="BJ81" i="15"/>
  <c r="BJ82" i="15"/>
  <c r="BJ95" i="15"/>
  <c r="BJ99" i="15"/>
  <c r="BJ84" i="15"/>
  <c r="BJ90" i="15"/>
  <c r="BJ83" i="15"/>
  <c r="BJ127" i="15"/>
  <c r="BJ103" i="15"/>
  <c r="BJ88" i="15"/>
  <c r="BJ45" i="15"/>
  <c r="BJ89" i="15"/>
  <c r="FD66" i="10"/>
  <c r="EO68" i="10"/>
  <c r="EP68" i="10" s="1"/>
  <c r="EN69" i="10"/>
  <c r="ET67" i="10"/>
  <c r="EW67" i="10" s="1"/>
  <c r="FQ67" i="10" s="1"/>
  <c r="EV67" i="10" s="1"/>
  <c r="EU67" i="10"/>
  <c r="BJ122" i="15"/>
  <c r="BJ119" i="15"/>
  <c r="BJ128" i="15"/>
  <c r="BJ121" i="15"/>
  <c r="BJ117" i="15"/>
  <c r="BJ123" i="15"/>
  <c r="BJ120" i="15"/>
  <c r="BJ118" i="15"/>
  <c r="BJ124" i="15"/>
  <c r="BJ126" i="15"/>
  <c r="BJ62" i="15"/>
  <c r="LO153" i="24"/>
  <c r="LS152" i="24"/>
  <c r="AB129" i="17"/>
  <c r="AC129" i="17"/>
  <c r="AE129" i="17"/>
  <c r="AD129" i="17"/>
  <c r="BH131" i="17"/>
  <c r="BK130" i="17"/>
  <c r="BN129" i="17"/>
  <c r="BL128" i="17"/>
  <c r="BJ129" i="17"/>
  <c r="L132" i="15"/>
  <c r="BN130" i="15"/>
  <c r="BL129" i="15"/>
  <c r="BJ130" i="15"/>
  <c r="AU140" i="17"/>
  <c r="AG131" i="17"/>
  <c r="AG131" i="15"/>
  <c r="AU132" i="15"/>
  <c r="BH132" i="15"/>
  <c r="BK131" i="15"/>
  <c r="L132" i="17"/>
  <c r="S131" i="17"/>
  <c r="KN66" i="10"/>
  <c r="AH130" i="15"/>
  <c r="GM64" i="10"/>
  <c r="W130" i="17"/>
  <c r="AP130" i="17"/>
  <c r="AI134" i="17"/>
  <c r="FE66" i="10"/>
  <c r="FT67" i="10"/>
  <c r="AP130" i="15"/>
  <c r="CH696" i="15"/>
  <c r="KL65" i="10"/>
  <c r="FX66" i="10"/>
  <c r="GI64" i="10"/>
  <c r="AO130" i="17"/>
  <c r="FA65" i="10"/>
  <c r="FG66" i="10"/>
  <c r="BW696" i="15"/>
  <c r="GE66" i="10"/>
  <c r="FB65" i="10"/>
  <c r="FL66" i="10"/>
  <c r="FL65" i="10"/>
  <c r="FA66" i="10"/>
  <c r="GJ65" i="10"/>
  <c r="GH64" i="10"/>
  <c r="KN65" i="10"/>
  <c r="FS67" i="10"/>
  <c r="KU65" i="10"/>
  <c r="EX67" i="10"/>
  <c r="FB66" i="10"/>
  <c r="AI134" i="15"/>
  <c r="CK696" i="15"/>
  <c r="BZ695" i="15"/>
  <c r="V130" i="17"/>
  <c r="T130" i="17"/>
  <c r="FE65" i="10"/>
  <c r="GG64" i="10"/>
  <c r="KM66" i="10"/>
  <c r="BX695" i="15"/>
  <c r="AH130" i="17"/>
  <c r="U130" i="17"/>
  <c r="FC66" i="10"/>
  <c r="GL64" i="10"/>
  <c r="KK66" i="10"/>
  <c r="KU66" i="10"/>
  <c r="KL66" i="10"/>
  <c r="FC65" i="10"/>
  <c r="BY695" i="15"/>
  <c r="KK65" i="10"/>
  <c r="GK64" i="10"/>
  <c r="GF66" i="10"/>
  <c r="KM65" i="10"/>
  <c r="FG65" i="10"/>
  <c r="AO131" i="15"/>
  <c r="GD66" i="10" l="1"/>
  <c r="GQ66" i="10"/>
  <c r="N46" i="17"/>
  <c r="N46" i="15"/>
  <c r="BE44" i="17"/>
  <c r="BJ27" i="17"/>
  <c r="HE62" i="10"/>
  <c r="HL62" i="10" s="1"/>
  <c r="HN62" i="10" s="1"/>
  <c r="C42" i="14" s="1"/>
  <c r="BJ25" i="17"/>
  <c r="DC693" i="15"/>
  <c r="DE693" i="15" s="1"/>
  <c r="CF695" i="15"/>
  <c r="CQ695" i="15" s="1"/>
  <c r="CV695" i="15" s="1"/>
  <c r="CE695" i="15"/>
  <c r="CP695" i="15" s="1"/>
  <c r="CU695" i="15" s="1"/>
  <c r="CD695" i="15"/>
  <c r="BQ697" i="15"/>
  <c r="BJ125" i="15"/>
  <c r="BJ21" i="17"/>
  <c r="BJ22" i="17"/>
  <c r="BJ24" i="17"/>
  <c r="BJ20" i="17"/>
  <c r="BJ23" i="17"/>
  <c r="BJ51" i="15"/>
  <c r="HO65" i="10"/>
  <c r="HQ65" i="10" s="1"/>
  <c r="BB45" i="15"/>
  <c r="BC45" i="15" s="1"/>
  <c r="HQ64" i="10"/>
  <c r="HR64" i="10"/>
  <c r="P45" i="15"/>
  <c r="BJ52" i="15"/>
  <c r="BJ55" i="15"/>
  <c r="BJ56" i="15"/>
  <c r="M45" i="15"/>
  <c r="BD45" i="15" s="1"/>
  <c r="GS65" i="10"/>
  <c r="BJ58" i="15"/>
  <c r="BJ53" i="15"/>
  <c r="GU65" i="10"/>
  <c r="GW64" i="10"/>
  <c r="HA64" i="10"/>
  <c r="GX64" i="10"/>
  <c r="GR64" i="10"/>
  <c r="GV64" i="10"/>
  <c r="GY65" i="10"/>
  <c r="GZ64" i="10"/>
  <c r="HB64" i="10"/>
  <c r="LD63" i="10"/>
  <c r="HE63" i="10"/>
  <c r="HL63" i="10" s="1"/>
  <c r="HN63" i="10" s="1"/>
  <c r="C43" i="14" s="1"/>
  <c r="P45" i="17"/>
  <c r="M45" i="17"/>
  <c r="BD45" i="17" s="1"/>
  <c r="BB45" i="17"/>
  <c r="BC45" i="17" s="1"/>
  <c r="J136" i="15"/>
  <c r="AH687" i="15" s="1"/>
  <c r="FD67" i="10"/>
  <c r="S24" i="17"/>
  <c r="EO69" i="10"/>
  <c r="EP69" i="10" s="1"/>
  <c r="EN70" i="10"/>
  <c r="ET68" i="10"/>
  <c r="EW68" i="10" s="1"/>
  <c r="FQ68" i="10" s="1"/>
  <c r="EV68" i="10" s="1"/>
  <c r="EU68" i="10"/>
  <c r="LO154" i="24"/>
  <c r="LS153" i="24"/>
  <c r="AB130" i="17"/>
  <c r="AE130" i="17"/>
  <c r="AD130" i="17"/>
  <c r="AC130" i="17"/>
  <c r="AG132" i="17"/>
  <c r="AU141" i="17"/>
  <c r="BJ131" i="15"/>
  <c r="BL130" i="15"/>
  <c r="BN131" i="15"/>
  <c r="BJ130" i="17"/>
  <c r="BL129" i="17"/>
  <c r="BN130" i="17"/>
  <c r="AU133" i="15"/>
  <c r="S132" i="17"/>
  <c r="L133" i="17"/>
  <c r="L133" i="15"/>
  <c r="BH133" i="15"/>
  <c r="BK132" i="15"/>
  <c r="AG132" i="15"/>
  <c r="BH132" i="17"/>
  <c r="BK131" i="17"/>
  <c r="FZ65" i="10"/>
  <c r="FL67" i="10"/>
  <c r="FB67" i="10"/>
  <c r="FY66" i="10"/>
  <c r="GF67" i="10"/>
  <c r="GA65" i="10"/>
  <c r="BY696" i="15"/>
  <c r="U24" i="17"/>
  <c r="KL67" i="10"/>
  <c r="U131" i="17"/>
  <c r="FC67" i="10"/>
  <c r="W24" i="17"/>
  <c r="FG67" i="10"/>
  <c r="FW66" i="10"/>
  <c r="AO131" i="17"/>
  <c r="FV65" i="10"/>
  <c r="KU67" i="10"/>
  <c r="V131" i="17"/>
  <c r="GJ66" i="10"/>
  <c r="FU65" i="10"/>
  <c r="FA67" i="10"/>
  <c r="AP131" i="17"/>
  <c r="BZ696" i="15"/>
  <c r="FS68" i="10"/>
  <c r="FX67" i="10"/>
  <c r="FV66" i="10"/>
  <c r="FZ66" i="10"/>
  <c r="FE67" i="10"/>
  <c r="GA66" i="10"/>
  <c r="FY65" i="10"/>
  <c r="EX68" i="10"/>
  <c r="GE67" i="10"/>
  <c r="AP131" i="15"/>
  <c r="KN67" i="10"/>
  <c r="FT68" i="10"/>
  <c r="KM67" i="10"/>
  <c r="T131" i="17"/>
  <c r="KK67" i="10"/>
  <c r="CH697" i="15"/>
  <c r="W131" i="17"/>
  <c r="FW65" i="10"/>
  <c r="FU66" i="10"/>
  <c r="AO132" i="15"/>
  <c r="GD67" i="10" l="1"/>
  <c r="GQ67" i="10"/>
  <c r="N47" i="17"/>
  <c r="GY66" i="10"/>
  <c r="GU66" i="10"/>
  <c r="GT66" i="10"/>
  <c r="HO66" i="10"/>
  <c r="HQ66" i="10" s="1"/>
  <c r="GS66" i="10"/>
  <c r="M46" i="17"/>
  <c r="BD46" i="17" s="1"/>
  <c r="BE46" i="17" s="1"/>
  <c r="P46" i="17"/>
  <c r="P46" i="15"/>
  <c r="M46" i="15"/>
  <c r="BD46" i="15" s="1"/>
  <c r="BE46" i="15" s="1"/>
  <c r="N47" i="15"/>
  <c r="DC694" i="15"/>
  <c r="DE694" i="15" s="1"/>
  <c r="CF696" i="15"/>
  <c r="CQ696" i="15" s="1"/>
  <c r="CV696" i="15" s="1"/>
  <c r="CE696" i="15"/>
  <c r="CP696" i="15" s="1"/>
  <c r="CU696" i="15" s="1"/>
  <c r="BQ698" i="15"/>
  <c r="S23" i="17"/>
  <c r="S20" i="17"/>
  <c r="S22" i="17"/>
  <c r="S21" i="17"/>
  <c r="HR65" i="10"/>
  <c r="HP65" i="10"/>
  <c r="BE45" i="15"/>
  <c r="BE45" i="17"/>
  <c r="HE64" i="10"/>
  <c r="HL64" i="10" s="1"/>
  <c r="HN64" i="10" s="1"/>
  <c r="C44" i="14" s="1"/>
  <c r="LD64" i="10"/>
  <c r="J137" i="15"/>
  <c r="AH688" i="15" s="1"/>
  <c r="AE24" i="17"/>
  <c r="AC24" i="17"/>
  <c r="EO70" i="10"/>
  <c r="EP70" i="10" s="1"/>
  <c r="EN71" i="10"/>
  <c r="FD68" i="10"/>
  <c r="ET69" i="10"/>
  <c r="EW69" i="10" s="1"/>
  <c r="FQ69" i="10" s="1"/>
  <c r="EV69" i="10" s="1"/>
  <c r="EU69" i="10"/>
  <c r="LO155" i="24"/>
  <c r="LS154" i="24"/>
  <c r="AE131" i="17"/>
  <c r="AC131" i="17"/>
  <c r="AD131" i="17"/>
  <c r="AB131" i="17"/>
  <c r="BJ131" i="17"/>
  <c r="BN131" i="17"/>
  <c r="BL130" i="17"/>
  <c r="AG133" i="15"/>
  <c r="BH133" i="17"/>
  <c r="BK132" i="17"/>
  <c r="BH134" i="15"/>
  <c r="BK133" i="15"/>
  <c r="L134" i="15"/>
  <c r="L135" i="15" s="1"/>
  <c r="L136" i="15" s="1"/>
  <c r="L137" i="15" s="1"/>
  <c r="L138" i="15" s="1"/>
  <c r="L139" i="15" s="1"/>
  <c r="L140" i="15" s="1"/>
  <c r="L141" i="15" s="1"/>
  <c r="AU134" i="15"/>
  <c r="AG133" i="17"/>
  <c r="AU142" i="17"/>
  <c r="BN132" i="15"/>
  <c r="BL131" i="15"/>
  <c r="L134" i="17"/>
  <c r="L135" i="17" s="1"/>
  <c r="L136" i="17" s="1"/>
  <c r="L137" i="17" s="1"/>
  <c r="L138" i="17" s="1"/>
  <c r="L139" i="17" s="1"/>
  <c r="L140" i="17" s="1"/>
  <c r="L141" i="17" s="1"/>
  <c r="S133" i="17"/>
  <c r="GI66" i="10"/>
  <c r="GK65" i="10"/>
  <c r="GF68" i="10"/>
  <c r="BY697" i="15"/>
  <c r="GK66" i="10"/>
  <c r="GL66" i="10"/>
  <c r="GL65" i="10"/>
  <c r="CH698" i="15"/>
  <c r="GG65" i="10"/>
  <c r="GE68" i="10"/>
  <c r="GJ67" i="10"/>
  <c r="BZ697" i="15"/>
  <c r="BV696" i="15"/>
  <c r="GH65" i="10"/>
  <c r="GM66" i="10"/>
  <c r="GM65" i="10"/>
  <c r="GI65" i="10"/>
  <c r="GG66" i="10"/>
  <c r="GH66" i="10"/>
  <c r="AO133" i="15"/>
  <c r="HA65" i="10" l="1"/>
  <c r="HR66" i="10"/>
  <c r="HP66" i="10"/>
  <c r="GV66" i="10"/>
  <c r="GZ66" i="10"/>
  <c r="GY67" i="10"/>
  <c r="GW66" i="10"/>
  <c r="GD68" i="10"/>
  <c r="GQ68" i="10"/>
  <c r="N48" i="17"/>
  <c r="HB66" i="10"/>
  <c r="GX66" i="10"/>
  <c r="M47" i="17"/>
  <c r="BD47" i="17" s="1"/>
  <c r="BE47" i="17" s="1"/>
  <c r="P47" i="17"/>
  <c r="GT67" i="10"/>
  <c r="GS67" i="10"/>
  <c r="HO67" i="10"/>
  <c r="GU67" i="10"/>
  <c r="GV65" i="10"/>
  <c r="HB65" i="10"/>
  <c r="GW65" i="10"/>
  <c r="GX65" i="10"/>
  <c r="GZ65" i="10"/>
  <c r="M47" i="15"/>
  <c r="BD47" i="15" s="1"/>
  <c r="BE47" i="15" s="1"/>
  <c r="P47" i="15"/>
  <c r="N48" i="15"/>
  <c r="GR65" i="10"/>
  <c r="LD65" i="10" s="1"/>
  <c r="DC695" i="15"/>
  <c r="DE695" i="15" s="1"/>
  <c r="CE697" i="15"/>
  <c r="CP697" i="15" s="1"/>
  <c r="CU697" i="15" s="1"/>
  <c r="CF697" i="15"/>
  <c r="CQ697" i="15" s="1"/>
  <c r="CV697" i="15" s="1"/>
  <c r="BQ699" i="15"/>
  <c r="HA66" i="10"/>
  <c r="GR66" i="10"/>
  <c r="LD66" i="10" s="1"/>
  <c r="J138" i="15"/>
  <c r="AH689" i="15" s="1"/>
  <c r="EO71" i="10"/>
  <c r="EP71" i="10" s="1"/>
  <c r="ET71" i="10" s="1"/>
  <c r="EW71" i="10" s="1"/>
  <c r="FQ71" i="10" s="1"/>
  <c r="EV71" i="10" s="1"/>
  <c r="EN72" i="10"/>
  <c r="FD69" i="10"/>
  <c r="ET70" i="10"/>
  <c r="EW70" i="10" s="1"/>
  <c r="FQ70" i="10" s="1"/>
  <c r="EV70" i="10" s="1"/>
  <c r="EU70" i="10"/>
  <c r="BL132" i="15"/>
  <c r="LO156" i="24"/>
  <c r="LS155" i="24"/>
  <c r="AG134" i="17"/>
  <c r="BN132" i="17"/>
  <c r="BL131" i="17"/>
  <c r="AG134" i="15"/>
  <c r="AU143" i="17"/>
  <c r="BH134" i="17"/>
  <c r="BK133" i="17"/>
  <c r="BL132" i="17" s="1"/>
  <c r="AU135" i="15"/>
  <c r="BK134" i="15"/>
  <c r="BH135" i="15"/>
  <c r="V21" i="17"/>
  <c r="FZ67" i="10"/>
  <c r="AP133" i="17"/>
  <c r="BY698" i="15"/>
  <c r="V23" i="17"/>
  <c r="FW67" i="10"/>
  <c r="T133" i="17"/>
  <c r="T23" i="17"/>
  <c r="V132" i="17"/>
  <c r="V20" i="17"/>
  <c r="W23" i="17"/>
  <c r="AO133" i="17"/>
  <c r="U20" i="17"/>
  <c r="AP132" i="17"/>
  <c r="CH699" i="15"/>
  <c r="KM68" i="10"/>
  <c r="U132" i="17"/>
  <c r="GA67" i="10"/>
  <c r="V24" i="17"/>
  <c r="U22" i="17"/>
  <c r="FS69" i="10"/>
  <c r="FA68" i="10"/>
  <c r="KK68" i="10"/>
  <c r="V133" i="17"/>
  <c r="FU67" i="10"/>
  <c r="W20" i="17"/>
  <c r="KU68" i="10"/>
  <c r="KN68" i="10"/>
  <c r="FX68" i="10"/>
  <c r="FS70" i="10"/>
  <c r="EX69" i="10"/>
  <c r="FT70" i="10"/>
  <c r="FY67" i="10"/>
  <c r="V22" i="17"/>
  <c r="FT69" i="10"/>
  <c r="FB68" i="10"/>
  <c r="EX70" i="10"/>
  <c r="FL68" i="10"/>
  <c r="FG68" i="10"/>
  <c r="AO132" i="17"/>
  <c r="W133" i="17"/>
  <c r="T22" i="17"/>
  <c r="T132" i="17"/>
  <c r="T21" i="17"/>
  <c r="AO134" i="15"/>
  <c r="FX69" i="10"/>
  <c r="AP133" i="15"/>
  <c r="U133" i="17"/>
  <c r="U21" i="17"/>
  <c r="T20" i="17"/>
  <c r="FV67" i="10"/>
  <c r="BZ698" i="15"/>
  <c r="KL68" i="10"/>
  <c r="W22" i="17"/>
  <c r="FS71" i="10"/>
  <c r="W132" i="17"/>
  <c r="U23" i="17"/>
  <c r="FC68" i="10"/>
  <c r="FE68" i="10"/>
  <c r="AP132" i="15"/>
  <c r="AI43" i="17"/>
  <c r="T24" i="17"/>
  <c r="W21" i="17"/>
  <c r="HL66" i="10" l="1"/>
  <c r="HN66" i="10" s="1"/>
  <c r="C46" i="14" s="1"/>
  <c r="HP67" i="10"/>
  <c r="HR67" i="10"/>
  <c r="HQ67" i="10"/>
  <c r="M48" i="17"/>
  <c r="BD48" i="17" s="1"/>
  <c r="BE48" i="17" s="1"/>
  <c r="P48" i="17"/>
  <c r="GS68" i="10"/>
  <c r="GT68" i="10"/>
  <c r="HO68" i="10"/>
  <c r="GU68" i="10"/>
  <c r="M48" i="15"/>
  <c r="BD48" i="15" s="1"/>
  <c r="BE48" i="15" s="1"/>
  <c r="P48" i="15"/>
  <c r="HE65" i="10"/>
  <c r="HL65" i="10" s="1"/>
  <c r="HN65" i="10" s="1"/>
  <c r="C45" i="14" s="1"/>
  <c r="DC696" i="15"/>
  <c r="DE696" i="15" s="1"/>
  <c r="CF698" i="15"/>
  <c r="CQ698" i="15" s="1"/>
  <c r="CV698" i="15" s="1"/>
  <c r="CE698" i="15"/>
  <c r="CP698" i="15" s="1"/>
  <c r="CU698" i="15" s="1"/>
  <c r="BQ700" i="15"/>
  <c r="AC132" i="17"/>
  <c r="AE132" i="17"/>
  <c r="AD132" i="17"/>
  <c r="AC21" i="17"/>
  <c r="AE21" i="17"/>
  <c r="AD21" i="17"/>
  <c r="AB24" i="17"/>
  <c r="AB21" i="17"/>
  <c r="AH44" i="17"/>
  <c r="AL44" i="17"/>
  <c r="AM44" i="17" s="1"/>
  <c r="AN44" i="17" s="1"/>
  <c r="AB22" i="17"/>
  <c r="AB20" i="17"/>
  <c r="AB132" i="17"/>
  <c r="AD24" i="17"/>
  <c r="AB23" i="17"/>
  <c r="AE22" i="17"/>
  <c r="AC22" i="17"/>
  <c r="AD22" i="17"/>
  <c r="AE20" i="17"/>
  <c r="AC20" i="17"/>
  <c r="AD20" i="17"/>
  <c r="AC23" i="17"/>
  <c r="AD23" i="17"/>
  <c r="AE23" i="17"/>
  <c r="EU71" i="10"/>
  <c r="FD71" i="10" s="1"/>
  <c r="J139" i="15"/>
  <c r="AH690" i="15" s="1"/>
  <c r="EO72" i="10"/>
  <c r="EP72" i="10" s="1"/>
  <c r="ET72" i="10" s="1"/>
  <c r="EW72" i="10" s="1"/>
  <c r="FQ72" i="10" s="1"/>
  <c r="EV72" i="10" s="1"/>
  <c r="EN73" i="10"/>
  <c r="FD70" i="10"/>
  <c r="BL133" i="15"/>
  <c r="AJ129" i="15"/>
  <c r="LO157" i="24"/>
  <c r="LS156" i="24"/>
  <c r="AD133" i="17"/>
  <c r="AE133" i="17"/>
  <c r="AC133" i="17"/>
  <c r="AB133" i="17"/>
  <c r="BK134" i="17"/>
  <c r="BL133" i="17" s="1"/>
  <c r="BH135" i="17"/>
  <c r="AG135" i="15"/>
  <c r="AG135" i="17"/>
  <c r="BH136" i="15"/>
  <c r="BK135" i="15"/>
  <c r="AU136" i="15"/>
  <c r="AU144" i="17"/>
  <c r="GJ68" i="10"/>
  <c r="GJ69" i="10"/>
  <c r="GK67" i="10"/>
  <c r="GF71" i="10"/>
  <c r="GH67" i="10"/>
  <c r="FV68" i="10"/>
  <c r="GF69" i="10"/>
  <c r="GG67" i="10"/>
  <c r="GI67" i="10"/>
  <c r="GL67" i="10"/>
  <c r="FU68" i="10"/>
  <c r="GA68" i="10"/>
  <c r="FW68" i="10"/>
  <c r="GE70" i="10"/>
  <c r="FY68" i="10"/>
  <c r="GF70" i="10"/>
  <c r="GE69" i="10"/>
  <c r="FZ68" i="10"/>
  <c r="GM67" i="10"/>
  <c r="GY68" i="10" l="1"/>
  <c r="HB67" i="10"/>
  <c r="GQ70" i="10"/>
  <c r="GZ67" i="10"/>
  <c r="GY69" i="10"/>
  <c r="GW67" i="10"/>
  <c r="GX67" i="10"/>
  <c r="GD69" i="10"/>
  <c r="GQ69" i="10"/>
  <c r="N49" i="17"/>
  <c r="N49" i="15"/>
  <c r="BJ64" i="15" s="1"/>
  <c r="GV67" i="10"/>
  <c r="HP68" i="10"/>
  <c r="HQ68" i="10"/>
  <c r="HR68" i="10"/>
  <c r="HA67" i="10"/>
  <c r="BJ20" i="15"/>
  <c r="BJ49" i="15"/>
  <c r="BJ47" i="15"/>
  <c r="BJ29" i="15"/>
  <c r="BJ38" i="15"/>
  <c r="BJ22" i="15"/>
  <c r="BJ36" i="15"/>
  <c r="BJ27" i="15"/>
  <c r="GR67" i="10"/>
  <c r="LD67" i="10" s="1"/>
  <c r="DC697" i="15"/>
  <c r="DE697" i="15" s="1"/>
  <c r="BQ701" i="15"/>
  <c r="EU72" i="10"/>
  <c r="FD72" i="10" s="1"/>
  <c r="EO73" i="10"/>
  <c r="EP73" i="10" s="1"/>
  <c r="ET73" i="10" s="1"/>
  <c r="EW73" i="10" s="1"/>
  <c r="FQ73" i="10" s="1"/>
  <c r="EV73" i="10" s="1"/>
  <c r="EN74" i="10"/>
  <c r="J140" i="15"/>
  <c r="AH691" i="15" s="1"/>
  <c r="BL134" i="15"/>
  <c r="LO158" i="24"/>
  <c r="LS157" i="24"/>
  <c r="AU145" i="17"/>
  <c r="AG136" i="17"/>
  <c r="BH137" i="15"/>
  <c r="BK136" i="15"/>
  <c r="AU137" i="15"/>
  <c r="AG136" i="15"/>
  <c r="BH136" i="17"/>
  <c r="BK135" i="17"/>
  <c r="BL134" i="17" s="1"/>
  <c r="GL68" i="10"/>
  <c r="GM68" i="10"/>
  <c r="GG68" i="10"/>
  <c r="GK68" i="10"/>
  <c r="GI68" i="10"/>
  <c r="GH68" i="10"/>
  <c r="BJ25" i="15" l="1"/>
  <c r="P49" i="15"/>
  <c r="BJ39" i="15"/>
  <c r="BJ41" i="15"/>
  <c r="M49" i="15"/>
  <c r="BD49" i="15" s="1"/>
  <c r="BE49" i="15" s="1"/>
  <c r="BJ21" i="15"/>
  <c r="BJ32" i="15"/>
  <c r="N50" i="15"/>
  <c r="BJ28" i="15"/>
  <c r="BJ33" i="15"/>
  <c r="BJ37" i="15"/>
  <c r="BJ30" i="15"/>
  <c r="BJ24" i="15"/>
  <c r="BJ26" i="15"/>
  <c r="BJ40" i="15"/>
  <c r="BJ31" i="15"/>
  <c r="BJ44" i="15"/>
  <c r="BJ42" i="15"/>
  <c r="BJ35" i="15"/>
  <c r="BJ57" i="15"/>
  <c r="BJ43" i="15"/>
  <c r="BJ73" i="15"/>
  <c r="BJ34" i="15"/>
  <c r="BJ70" i="15"/>
  <c r="BJ23" i="15"/>
  <c r="BJ54" i="15"/>
  <c r="BJ68" i="15"/>
  <c r="BJ77" i="15"/>
  <c r="BJ74" i="15"/>
  <c r="BJ65" i="15"/>
  <c r="BJ79" i="15"/>
  <c r="BJ67" i="15"/>
  <c r="BJ69" i="15"/>
  <c r="BJ48" i="15"/>
  <c r="BJ46" i="15"/>
  <c r="BJ50" i="15"/>
  <c r="BJ66" i="15"/>
  <c r="BJ78" i="15"/>
  <c r="BJ75" i="15"/>
  <c r="BJ60" i="15"/>
  <c r="BJ63" i="15"/>
  <c r="BJ71" i="15"/>
  <c r="BJ59" i="15"/>
  <c r="BJ72" i="15"/>
  <c r="BJ76" i="15"/>
  <c r="HL67" i="10"/>
  <c r="HN67" i="10" s="1"/>
  <c r="C47" i="14" s="1"/>
  <c r="GW68" i="10"/>
  <c r="GX68" i="10"/>
  <c r="GV68" i="10"/>
  <c r="HB68" i="10"/>
  <c r="GZ68" i="10"/>
  <c r="GT69" i="10"/>
  <c r="GS69" i="10"/>
  <c r="HO69" i="10"/>
  <c r="GU69" i="10"/>
  <c r="M49" i="17"/>
  <c r="BD49" i="17" s="1"/>
  <c r="BE49" i="17" s="1"/>
  <c r="P49" i="17"/>
  <c r="GD70" i="10"/>
  <c r="HA68" i="10"/>
  <c r="GR68" i="10"/>
  <c r="LD68" i="10" s="1"/>
  <c r="DC698" i="15"/>
  <c r="DE698" i="15" s="1"/>
  <c r="BQ702" i="15"/>
  <c r="EU73" i="10"/>
  <c r="FD73" i="10" s="1"/>
  <c r="EO74" i="10"/>
  <c r="EP74" i="10" s="1"/>
  <c r="EN75" i="10"/>
  <c r="J141" i="15"/>
  <c r="AH692" i="15" s="1"/>
  <c r="BL135" i="15"/>
  <c r="LO159" i="24"/>
  <c r="LS158" i="24"/>
  <c r="AG137" i="15"/>
  <c r="BK136" i="17"/>
  <c r="BL135" i="17" s="1"/>
  <c r="BH137" i="17"/>
  <c r="BK137" i="15"/>
  <c r="BH138" i="15"/>
  <c r="AU138" i="15"/>
  <c r="AG137" i="17"/>
  <c r="AU146" i="17"/>
  <c r="HL68" i="10" l="1"/>
  <c r="HN68" i="10" s="1"/>
  <c r="C48" i="14" s="1"/>
  <c r="GT70" i="10"/>
  <c r="HO70" i="10"/>
  <c r="GS70" i="10"/>
  <c r="GU70" i="10"/>
  <c r="S52" i="17"/>
  <c r="S45" i="17"/>
  <c r="S28" i="17"/>
  <c r="S51" i="17"/>
  <c r="S43" i="17"/>
  <c r="S39" i="17"/>
  <c r="S34" i="17"/>
  <c r="S27" i="17"/>
  <c r="S41" i="17"/>
  <c r="S46" i="17"/>
  <c r="S49" i="17"/>
  <c r="S25" i="17"/>
  <c r="S32" i="17"/>
  <c r="S29" i="17"/>
  <c r="S36" i="17"/>
  <c r="S37" i="17"/>
  <c r="S35" i="17"/>
  <c r="S42" i="17"/>
  <c r="S44" i="17"/>
  <c r="S50" i="17"/>
  <c r="S26" i="17"/>
  <c r="S47" i="17"/>
  <c r="S40" i="17"/>
  <c r="S38" i="17"/>
  <c r="S48" i="17"/>
  <c r="S30" i="17"/>
  <c r="S31" i="17"/>
  <c r="S33" i="17"/>
  <c r="HR69" i="10"/>
  <c r="HP69" i="10"/>
  <c r="HQ69" i="10"/>
  <c r="DC699" i="15"/>
  <c r="DE699" i="15" s="1"/>
  <c r="BQ703" i="15"/>
  <c r="EO75" i="10"/>
  <c r="EP75" i="10" s="1"/>
  <c r="EN76" i="10"/>
  <c r="ET74" i="10"/>
  <c r="EW74" i="10" s="1"/>
  <c r="FQ74" i="10" s="1"/>
  <c r="EV74" i="10" s="1"/>
  <c r="EU74" i="10"/>
  <c r="J142" i="15"/>
  <c r="AH693" i="15" s="1"/>
  <c r="BL136" i="15"/>
  <c r="LO160" i="24"/>
  <c r="LS159" i="24"/>
  <c r="BH138" i="17"/>
  <c r="BK137" i="17"/>
  <c r="BL136" i="17" s="1"/>
  <c r="AU147" i="17"/>
  <c r="AU139" i="15"/>
  <c r="AG138" i="17"/>
  <c r="BK138" i="15"/>
  <c r="BH139" i="15"/>
  <c r="AG138" i="15"/>
  <c r="V52" i="17"/>
  <c r="V29" i="17"/>
  <c r="T33" i="17"/>
  <c r="U25" i="17"/>
  <c r="U33" i="17"/>
  <c r="V26" i="17"/>
  <c r="T29" i="17"/>
  <c r="T35" i="17"/>
  <c r="U26" i="17"/>
  <c r="V27" i="17"/>
  <c r="W35" i="17"/>
  <c r="W37" i="17"/>
  <c r="W48" i="17"/>
  <c r="T25" i="17"/>
  <c r="W30" i="17"/>
  <c r="W29" i="17"/>
  <c r="U30" i="17"/>
  <c r="V32" i="17"/>
  <c r="V33" i="17"/>
  <c r="T47" i="17"/>
  <c r="U36" i="17"/>
  <c r="T38" i="17"/>
  <c r="T27" i="17"/>
  <c r="W40" i="17"/>
  <c r="T36" i="17"/>
  <c r="W38" i="17"/>
  <c r="W33" i="17"/>
  <c r="W42" i="17"/>
  <c r="T46" i="17"/>
  <c r="V50" i="17"/>
  <c r="T43" i="17"/>
  <c r="U40" i="17"/>
  <c r="V41" i="17"/>
  <c r="V39" i="17"/>
  <c r="T26" i="17"/>
  <c r="W45" i="17"/>
  <c r="U42" i="17"/>
  <c r="T48" i="17"/>
  <c r="W41" i="17"/>
  <c r="T45" i="17"/>
  <c r="U43" i="17"/>
  <c r="U45" i="17"/>
  <c r="V45" i="17"/>
  <c r="T50" i="17"/>
  <c r="W47" i="17"/>
  <c r="U50" i="17"/>
  <c r="W25" i="17"/>
  <c r="T39" i="17"/>
  <c r="W52" i="17"/>
  <c r="V37" i="17"/>
  <c r="T51" i="17"/>
  <c r="T42" i="17"/>
  <c r="U37" i="17"/>
  <c r="V38" i="17"/>
  <c r="W26" i="17"/>
  <c r="U52" i="17"/>
  <c r="V43" i="17"/>
  <c r="V46" i="17"/>
  <c r="U46" i="17"/>
  <c r="V30" i="17"/>
  <c r="U44" i="17"/>
  <c r="V49" i="17"/>
  <c r="U32" i="17"/>
  <c r="U39" i="17"/>
  <c r="W51" i="17"/>
  <c r="V48" i="17"/>
  <c r="U29" i="17"/>
  <c r="T30" i="17"/>
  <c r="T52" i="17"/>
  <c r="V51" i="17"/>
  <c r="U51" i="17"/>
  <c r="W50" i="17"/>
  <c r="U38" i="17"/>
  <c r="W39" i="17"/>
  <c r="V42" i="17"/>
  <c r="V35" i="17"/>
  <c r="T41" i="17"/>
  <c r="V25" i="17"/>
  <c r="W27" i="17"/>
  <c r="W43" i="17"/>
  <c r="U47" i="17"/>
  <c r="U48" i="17"/>
  <c r="U27" i="17"/>
  <c r="W46" i="17"/>
  <c r="U41" i="17"/>
  <c r="V47" i="17"/>
  <c r="T32" i="17"/>
  <c r="W32" i="17"/>
  <c r="U35" i="17"/>
  <c r="V36" i="17"/>
  <c r="V31" i="17"/>
  <c r="U28" i="17"/>
  <c r="W36" i="17"/>
  <c r="T44" i="17"/>
  <c r="T37" i="17"/>
  <c r="T34" i="17"/>
  <c r="W31" i="17"/>
  <c r="AE40" i="17" l="1"/>
  <c r="AC40" i="17"/>
  <c r="AC44" i="17"/>
  <c r="AB44" i="17"/>
  <c r="AB36" i="17"/>
  <c r="AC36" i="17"/>
  <c r="AD36" i="17"/>
  <c r="AE36" i="17"/>
  <c r="AB34" i="17"/>
  <c r="AC28" i="17"/>
  <c r="AB30" i="17"/>
  <c r="AE30" i="17"/>
  <c r="AC30" i="17"/>
  <c r="AD30" i="17"/>
  <c r="AE47" i="17"/>
  <c r="AC47" i="17"/>
  <c r="AD47" i="17"/>
  <c r="AB47" i="17"/>
  <c r="AE42" i="17"/>
  <c r="AC42" i="17"/>
  <c r="AD42" i="17"/>
  <c r="AB42" i="17"/>
  <c r="AC29" i="17"/>
  <c r="AD29" i="17"/>
  <c r="AE29" i="17"/>
  <c r="AB29" i="17"/>
  <c r="AE46" i="17"/>
  <c r="AD46" i="17"/>
  <c r="AC46" i="17"/>
  <c r="AB46" i="17"/>
  <c r="AD39" i="17"/>
  <c r="AE39" i="17"/>
  <c r="AC39" i="17"/>
  <c r="AB39" i="17"/>
  <c r="AC45" i="17"/>
  <c r="AE45" i="17"/>
  <c r="AD45" i="17"/>
  <c r="AB45" i="17"/>
  <c r="AC48" i="17"/>
  <c r="AD48" i="17"/>
  <c r="AE48" i="17"/>
  <c r="AB48" i="17"/>
  <c r="AC26" i="17"/>
  <c r="AD26" i="17"/>
  <c r="AE26" i="17"/>
  <c r="AB26" i="17"/>
  <c r="AD35" i="17"/>
  <c r="AC35" i="17"/>
  <c r="AE35" i="17"/>
  <c r="AB35" i="17"/>
  <c r="AE32" i="17"/>
  <c r="AC32" i="17"/>
  <c r="AD32" i="17"/>
  <c r="AB32" i="17"/>
  <c r="AB41" i="17"/>
  <c r="AD41" i="17"/>
  <c r="AE41" i="17"/>
  <c r="AC41" i="17"/>
  <c r="AB43" i="17"/>
  <c r="AC43" i="17"/>
  <c r="AD43" i="17"/>
  <c r="AE43" i="17"/>
  <c r="AB52" i="17"/>
  <c r="AC52" i="17"/>
  <c r="AD52" i="17"/>
  <c r="AE52" i="17"/>
  <c r="AE33" i="17"/>
  <c r="AD33" i="17"/>
  <c r="AC33" i="17"/>
  <c r="AB33" i="17"/>
  <c r="AE38" i="17"/>
  <c r="AC38" i="17"/>
  <c r="AD38" i="17"/>
  <c r="AB38" i="17"/>
  <c r="AC50" i="17"/>
  <c r="AD50" i="17"/>
  <c r="AE50" i="17"/>
  <c r="AB50" i="17"/>
  <c r="AB37" i="17"/>
  <c r="AC37" i="17"/>
  <c r="AD37" i="17"/>
  <c r="AE37" i="17"/>
  <c r="AE25" i="17"/>
  <c r="AC25" i="17"/>
  <c r="AD25" i="17"/>
  <c r="AB25" i="17"/>
  <c r="AC27" i="17"/>
  <c r="AE27" i="17"/>
  <c r="AD27" i="17"/>
  <c r="AB27" i="17"/>
  <c r="AE51" i="17"/>
  <c r="AD51" i="17"/>
  <c r="AC51" i="17"/>
  <c r="AB51" i="17"/>
  <c r="HQ70" i="10"/>
  <c r="HR70" i="10"/>
  <c r="HP70" i="10"/>
  <c r="DC700" i="15"/>
  <c r="DE700" i="15" s="1"/>
  <c r="BQ704" i="15"/>
  <c r="EO76" i="10"/>
  <c r="EP76" i="10" s="1"/>
  <c r="EN77" i="10"/>
  <c r="EU75" i="10"/>
  <c r="ET75" i="10"/>
  <c r="EW75" i="10" s="1"/>
  <c r="FQ75" i="10" s="1"/>
  <c r="EV75" i="10" s="1"/>
  <c r="FD74" i="10"/>
  <c r="J143" i="15"/>
  <c r="AH694" i="15" s="1"/>
  <c r="BL137" i="15"/>
  <c r="LO161" i="24"/>
  <c r="LS161" i="24" s="1"/>
  <c r="LS160" i="24"/>
  <c r="AU140" i="15"/>
  <c r="AG139" i="15"/>
  <c r="AU148" i="17"/>
  <c r="BK138" i="17"/>
  <c r="BL137" i="17" s="1"/>
  <c r="BH139" i="17"/>
  <c r="BH140" i="15"/>
  <c r="BK139" i="15"/>
  <c r="AG139" i="17"/>
  <c r="W44" i="17"/>
  <c r="V28" i="17"/>
  <c r="T31" i="17"/>
  <c r="V44" i="17"/>
  <c r="T28" i="17"/>
  <c r="U49" i="17"/>
  <c r="W49" i="17"/>
  <c r="V34" i="17"/>
  <c r="W28" i="17"/>
  <c r="U31" i="17"/>
  <c r="T49" i="17"/>
  <c r="V40" i="17"/>
  <c r="T40" i="17"/>
  <c r="U34" i="17"/>
  <c r="W34" i="17"/>
  <c r="AE44" i="17" l="1"/>
  <c r="AD40" i="17"/>
  <c r="AB28" i="17"/>
  <c r="AD44" i="17"/>
  <c r="AC34" i="17"/>
  <c r="AD34" i="17"/>
  <c r="AE34" i="17"/>
  <c r="AC31" i="17"/>
  <c r="AD31" i="17"/>
  <c r="AE31" i="17"/>
  <c r="AB31" i="17"/>
  <c r="AB49" i="17"/>
  <c r="AB40" i="17"/>
  <c r="AE28" i="17"/>
  <c r="AD28" i="17"/>
  <c r="AE49" i="17"/>
  <c r="AC49" i="17"/>
  <c r="AD49" i="17"/>
  <c r="DC701" i="15"/>
  <c r="DE701" i="15" s="1"/>
  <c r="BQ705" i="15"/>
  <c r="EO77" i="10"/>
  <c r="EP77" i="10" s="1"/>
  <c r="EN78" i="10"/>
  <c r="EU76" i="10"/>
  <c r="ET76" i="10"/>
  <c r="EW76" i="10" s="1"/>
  <c r="FQ76" i="10" s="1"/>
  <c r="EV76" i="10" s="1"/>
  <c r="FD75" i="10"/>
  <c r="J144" i="15"/>
  <c r="AH695" i="15" s="1"/>
  <c r="BL138" i="15"/>
  <c r="AJ134" i="15"/>
  <c r="AU149" i="17"/>
  <c r="AG140" i="15"/>
  <c r="BH141" i="15"/>
  <c r="BK140" i="15"/>
  <c r="AU141" i="15"/>
  <c r="AG140" i="17"/>
  <c r="BH140" i="17"/>
  <c r="BK139" i="17"/>
  <c r="BL138" i="17" s="1"/>
  <c r="DC702" i="15" l="1"/>
  <c r="DE702" i="15" s="1"/>
  <c r="BQ706" i="15"/>
  <c r="FD76" i="10"/>
  <c r="EO78" i="10"/>
  <c r="EP78" i="10" s="1"/>
  <c r="EN79" i="10"/>
  <c r="ET77" i="10"/>
  <c r="EW77" i="10" s="1"/>
  <c r="FQ77" i="10" s="1"/>
  <c r="EV77" i="10" s="1"/>
  <c r="EU77" i="10"/>
  <c r="J145" i="15"/>
  <c r="AH696" i="15" s="1"/>
  <c r="BL139" i="15"/>
  <c r="AG141" i="17"/>
  <c r="BK140" i="17"/>
  <c r="BL139" i="17" s="1"/>
  <c r="BH141" i="17"/>
  <c r="AU142" i="15"/>
  <c r="AG141" i="15"/>
  <c r="BH142" i="15"/>
  <c r="BK141" i="15"/>
  <c r="AU150" i="17"/>
  <c r="DC703" i="15" l="1"/>
  <c r="DE703" i="15" s="1"/>
  <c r="BQ707" i="15"/>
  <c r="EO79" i="10"/>
  <c r="EP79" i="10" s="1"/>
  <c r="EN80" i="10"/>
  <c r="EU78" i="10"/>
  <c r="ET78" i="10"/>
  <c r="EW78" i="10" s="1"/>
  <c r="FQ78" i="10" s="1"/>
  <c r="EV78" i="10" s="1"/>
  <c r="FD77" i="10"/>
  <c r="J146" i="15"/>
  <c r="AH697" i="15" s="1"/>
  <c r="BL140" i="15"/>
  <c r="AU143" i="15"/>
  <c r="AU151" i="17"/>
  <c r="AG142" i="15"/>
  <c r="BH143" i="15"/>
  <c r="BK142" i="15"/>
  <c r="BH142" i="17"/>
  <c r="BK141" i="17"/>
  <c r="BL140" i="17" s="1"/>
  <c r="AG142" i="17"/>
  <c r="AI115" i="17"/>
  <c r="AP137" i="17"/>
  <c r="AI32" i="17"/>
  <c r="AI98" i="17"/>
  <c r="FX72" i="10"/>
  <c r="AI83" i="17"/>
  <c r="AO136" i="15"/>
  <c r="AH135" i="15"/>
  <c r="FX75" i="10"/>
  <c r="AI118" i="17"/>
  <c r="FE70" i="10"/>
  <c r="BY702" i="15"/>
  <c r="AI105" i="17"/>
  <c r="AI88" i="17"/>
  <c r="AP136" i="17"/>
  <c r="AI67" i="17"/>
  <c r="AI48" i="17"/>
  <c r="AI75" i="17"/>
  <c r="AO137" i="17"/>
  <c r="FX73" i="10"/>
  <c r="AI40" i="17"/>
  <c r="AI110" i="17"/>
  <c r="AI27" i="17"/>
  <c r="AI135" i="17"/>
  <c r="CH707" i="15"/>
  <c r="EX76" i="10"/>
  <c r="KL69" i="10"/>
  <c r="AI122" i="17"/>
  <c r="AI95" i="17"/>
  <c r="AI63" i="17"/>
  <c r="AP139" i="15"/>
  <c r="AI36" i="17"/>
  <c r="AI144" i="17"/>
  <c r="EX73" i="10"/>
  <c r="FT74" i="10"/>
  <c r="BY700" i="15"/>
  <c r="AI127" i="17"/>
  <c r="FX76" i="10"/>
  <c r="AH140" i="17"/>
  <c r="AP139" i="17"/>
  <c r="FC70" i="10"/>
  <c r="CH703" i="15"/>
  <c r="KM70" i="10"/>
  <c r="AI47" i="17"/>
  <c r="CH701" i="15"/>
  <c r="FT77" i="10"/>
  <c r="BZ703" i="15"/>
  <c r="FX70" i="10"/>
  <c r="FT75" i="10"/>
  <c r="AI60" i="17"/>
  <c r="KM69" i="10"/>
  <c r="EX78" i="10"/>
  <c r="BZ705" i="15"/>
  <c r="FS77" i="10"/>
  <c r="AI92" i="17"/>
  <c r="AO135" i="15"/>
  <c r="BZ702" i="15"/>
  <c r="AI35" i="17"/>
  <c r="AP135" i="17"/>
  <c r="AI116" i="17"/>
  <c r="FA70" i="10"/>
  <c r="EX74" i="10"/>
  <c r="FG70" i="10"/>
  <c r="FT71" i="10"/>
  <c r="AI85" i="17"/>
  <c r="KK70" i="10"/>
  <c r="BZ706" i="15"/>
  <c r="AO134" i="17"/>
  <c r="CK586" i="15"/>
  <c r="AI100" i="17"/>
  <c r="AI97" i="17"/>
  <c r="AO140" i="17"/>
  <c r="FT76" i="10"/>
  <c r="FX74" i="10"/>
  <c r="AP136" i="15"/>
  <c r="CK706" i="15"/>
  <c r="AI137" i="17"/>
  <c r="BY706" i="15"/>
  <c r="AI103" i="17"/>
  <c r="AI23" i="17"/>
  <c r="EX77" i="10"/>
  <c r="CH706" i="15"/>
  <c r="AI139" i="17"/>
  <c r="AI30" i="17"/>
  <c r="FT72" i="10"/>
  <c r="AI136" i="17"/>
  <c r="AI128" i="17"/>
  <c r="BZ701" i="15"/>
  <c r="FB70" i="10"/>
  <c r="EX72" i="10"/>
  <c r="BY701" i="15"/>
  <c r="AI144" i="15"/>
  <c r="AI108" i="17"/>
  <c r="CH704" i="15"/>
  <c r="AI142" i="17"/>
  <c r="FS72" i="10"/>
  <c r="BX700" i="15"/>
  <c r="KU69" i="10"/>
  <c r="FG69" i="10"/>
  <c r="FC69" i="10"/>
  <c r="AI26" i="17"/>
  <c r="AP140" i="15"/>
  <c r="AI46" i="17"/>
  <c r="AP140" i="17"/>
  <c r="AI117" i="17"/>
  <c r="CK701" i="15"/>
  <c r="FL70" i="10"/>
  <c r="AI45" i="17"/>
  <c r="BZ700" i="15"/>
  <c r="AP134" i="15"/>
  <c r="AI86" i="17"/>
  <c r="FX71" i="10"/>
  <c r="AI130" i="17"/>
  <c r="AI42" i="17"/>
  <c r="AI77" i="17"/>
  <c r="AI139" i="15"/>
  <c r="AI31" i="17"/>
  <c r="AI123" i="17"/>
  <c r="AP134" i="17"/>
  <c r="AI111" i="17"/>
  <c r="AI87" i="17"/>
  <c r="BW701" i="15"/>
  <c r="AI62" i="17"/>
  <c r="AI120" i="17"/>
  <c r="FT78" i="10"/>
  <c r="AO139" i="17"/>
  <c r="AI22" i="17"/>
  <c r="AI126" i="17"/>
  <c r="KK69" i="10"/>
  <c r="AI102" i="17"/>
  <c r="AO137" i="15"/>
  <c r="AI107" i="17"/>
  <c r="BZ704" i="15"/>
  <c r="AI65" i="17"/>
  <c r="FS74" i="10"/>
  <c r="AI101" i="17"/>
  <c r="AI21" i="17"/>
  <c r="AI76" i="17"/>
  <c r="KU70" i="10"/>
  <c r="AI143" i="17"/>
  <c r="AI81" i="17"/>
  <c r="AO141" i="17"/>
  <c r="AI68" i="17"/>
  <c r="FL69" i="10"/>
  <c r="FX77" i="10"/>
  <c r="EX75" i="10"/>
  <c r="FS73" i="10"/>
  <c r="FA69" i="10"/>
  <c r="BZ699" i="15"/>
  <c r="BY704" i="15"/>
  <c r="FB69" i="10"/>
  <c r="AI90" i="17"/>
  <c r="AH140" i="15"/>
  <c r="AI80" i="17"/>
  <c r="AI72" i="17"/>
  <c r="AO139" i="15"/>
  <c r="FE69" i="10"/>
  <c r="AI78" i="17"/>
  <c r="AI25" i="17"/>
  <c r="AI113" i="17"/>
  <c r="AI33" i="17"/>
  <c r="AI82" i="17"/>
  <c r="AI132" i="17"/>
  <c r="AI140" i="17"/>
  <c r="BY699" i="15"/>
  <c r="AI20" i="17"/>
  <c r="AI38" i="17"/>
  <c r="AI141" i="17"/>
  <c r="KL70" i="10"/>
  <c r="BW706" i="15"/>
  <c r="AI70" i="17"/>
  <c r="FY69" i="10"/>
  <c r="BY703" i="15"/>
  <c r="BX705" i="15"/>
  <c r="AI50" i="17"/>
  <c r="CH700" i="15"/>
  <c r="AI71" i="17"/>
  <c r="AP138" i="15"/>
  <c r="AI106" i="17"/>
  <c r="AI58" i="17"/>
  <c r="EX71" i="10"/>
  <c r="AI96" i="17"/>
  <c r="AI41" i="17"/>
  <c r="FS76" i="10"/>
  <c r="AI131" i="17"/>
  <c r="AI61" i="17"/>
  <c r="KN70" i="10"/>
  <c r="AI125" i="17"/>
  <c r="KN69" i="10"/>
  <c r="AI93" i="17"/>
  <c r="FS78" i="10"/>
  <c r="AO135" i="17"/>
  <c r="AH135" i="17"/>
  <c r="AI52" i="17"/>
  <c r="AI133" i="17"/>
  <c r="FT73" i="10"/>
  <c r="AI37" i="17"/>
  <c r="CH705" i="15"/>
  <c r="AI55" i="17"/>
  <c r="AI138" i="17"/>
  <c r="AO138" i="15"/>
  <c r="AP141" i="17"/>
  <c r="AP141" i="15"/>
  <c r="AI73" i="17"/>
  <c r="AO141" i="15"/>
  <c r="AI53" i="17"/>
  <c r="AI112" i="17"/>
  <c r="AI28" i="17"/>
  <c r="AI56" i="17"/>
  <c r="AI57" i="17"/>
  <c r="AI91" i="17"/>
  <c r="BY705" i="15"/>
  <c r="AO136" i="17"/>
  <c r="FS75" i="10"/>
  <c r="AO140" i="15"/>
  <c r="CH702" i="15"/>
  <c r="AP138" i="17"/>
  <c r="AI51" i="17"/>
  <c r="AP137" i="15"/>
  <c r="AI66" i="17"/>
  <c r="AO138" i="17"/>
  <c r="AP135" i="15"/>
  <c r="AI121" i="17"/>
  <c r="AO142" i="15"/>
  <c r="AL74" i="17" l="1"/>
  <c r="AM74" i="17" s="1"/>
  <c r="AN74" i="17" s="1"/>
  <c r="AL73" i="17"/>
  <c r="AM73" i="17" s="1"/>
  <c r="AN73" i="17" s="1"/>
  <c r="AH74" i="17"/>
  <c r="AH111" i="17"/>
  <c r="AL110" i="17"/>
  <c r="AM110" i="17" s="1"/>
  <c r="AN110" i="17" s="1"/>
  <c r="CF701" i="15"/>
  <c r="CQ701" i="15" s="1"/>
  <c r="CV701" i="15" s="1"/>
  <c r="AH26" i="17"/>
  <c r="AL25" i="17"/>
  <c r="AM25" i="17" s="1"/>
  <c r="AN25" i="17" s="1"/>
  <c r="AH67" i="17"/>
  <c r="AL66" i="17"/>
  <c r="AM66" i="17" s="1"/>
  <c r="AN66" i="17" s="1"/>
  <c r="AH143" i="17"/>
  <c r="AL142" i="17"/>
  <c r="AM142" i="17" s="1"/>
  <c r="AN142" i="17" s="1"/>
  <c r="AL39" i="17"/>
  <c r="AM39" i="17" s="1"/>
  <c r="AN39" i="17" s="1"/>
  <c r="AH39" i="17"/>
  <c r="AL38" i="17"/>
  <c r="AH138" i="17"/>
  <c r="AL137" i="17"/>
  <c r="AM137" i="17" s="1"/>
  <c r="AN137" i="17" s="1"/>
  <c r="AL105" i="17"/>
  <c r="AM105" i="17" s="1"/>
  <c r="AN105" i="17" s="1"/>
  <c r="AH106" i="17"/>
  <c r="AH137" i="17"/>
  <c r="AL136" i="17"/>
  <c r="AM136" i="17" s="1"/>
  <c r="AN136" i="17" s="1"/>
  <c r="AH59" i="17"/>
  <c r="AL58" i="17"/>
  <c r="AM58" i="17" s="1"/>
  <c r="AN58" i="17" s="1"/>
  <c r="AL59" i="17"/>
  <c r="AM59" i="17" s="1"/>
  <c r="AN59" i="17" s="1"/>
  <c r="AL126" i="17"/>
  <c r="AM126" i="17" s="1"/>
  <c r="AN126" i="17" s="1"/>
  <c r="AH127" i="17"/>
  <c r="AH141" i="17"/>
  <c r="AL140" i="17"/>
  <c r="AM140" i="17" s="1"/>
  <c r="AN140" i="17" s="1"/>
  <c r="AL64" i="17"/>
  <c r="AM64" i="17" s="1"/>
  <c r="AN64" i="17" s="1"/>
  <c r="AH64" i="17"/>
  <c r="AL63" i="17"/>
  <c r="AM63" i="17" s="1"/>
  <c r="AN63" i="17" s="1"/>
  <c r="AH119" i="17"/>
  <c r="AL118" i="17"/>
  <c r="AM118" i="17" s="1"/>
  <c r="AN118" i="17" s="1"/>
  <c r="AL119" i="17"/>
  <c r="AM119" i="17" s="1"/>
  <c r="AN119" i="17" s="1"/>
  <c r="AL96" i="17"/>
  <c r="AM96" i="17" s="1"/>
  <c r="AN96" i="17" s="1"/>
  <c r="AH97" i="17"/>
  <c r="AL49" i="17"/>
  <c r="AM49" i="17" s="1"/>
  <c r="AN49" i="17" s="1"/>
  <c r="AL48" i="17"/>
  <c r="AM48" i="17" s="1"/>
  <c r="AN48" i="17" s="1"/>
  <c r="AH49" i="17"/>
  <c r="AL144" i="17"/>
  <c r="AM144" i="17" s="1"/>
  <c r="AN144" i="17" s="1"/>
  <c r="AL68" i="17"/>
  <c r="AM68" i="17" s="1"/>
  <c r="AN68" i="17" s="1"/>
  <c r="AL69" i="17"/>
  <c r="AM69" i="17" s="1"/>
  <c r="AN69" i="17" s="1"/>
  <c r="AH69" i="17"/>
  <c r="AH107" i="17"/>
  <c r="AL106" i="17"/>
  <c r="AM106" i="17" s="1"/>
  <c r="AN106" i="17" s="1"/>
  <c r="AL112" i="17"/>
  <c r="AM112" i="17" s="1"/>
  <c r="AN112" i="17" s="1"/>
  <c r="AH113" i="17"/>
  <c r="CE705" i="15"/>
  <c r="CP705" i="15" s="1"/>
  <c r="CU705" i="15" s="1"/>
  <c r="AL91" i="17"/>
  <c r="AM91" i="17" s="1"/>
  <c r="AN91" i="17" s="1"/>
  <c r="AH92" i="17"/>
  <c r="AL130" i="17"/>
  <c r="AM130" i="17" s="1"/>
  <c r="AN130" i="17" s="1"/>
  <c r="AH131" i="17"/>
  <c r="AH22" i="17"/>
  <c r="AL21" i="17"/>
  <c r="AH117" i="17"/>
  <c r="AL116" i="17"/>
  <c r="AM116" i="17" s="1"/>
  <c r="AN116" i="17" s="1"/>
  <c r="AL97" i="17"/>
  <c r="AM97" i="17" s="1"/>
  <c r="AN97" i="17" s="1"/>
  <c r="AH98" i="17"/>
  <c r="AL40" i="17"/>
  <c r="AM40" i="17" s="1"/>
  <c r="AN40" i="17" s="1"/>
  <c r="AH41" i="17"/>
  <c r="CF704" i="15"/>
  <c r="CQ704" i="15" s="1"/>
  <c r="CV704" i="15" s="1"/>
  <c r="AH93" i="17"/>
  <c r="AL92" i="17"/>
  <c r="AM92" i="17" s="1"/>
  <c r="AN92" i="17" s="1"/>
  <c r="AH27" i="17"/>
  <c r="AL26" i="17"/>
  <c r="AH118" i="17"/>
  <c r="AL117" i="17"/>
  <c r="AM117" i="17" s="1"/>
  <c r="AN117" i="17" s="1"/>
  <c r="AH23" i="17"/>
  <c r="AL22" i="17"/>
  <c r="AM22" i="17" s="1"/>
  <c r="AN22" i="17" s="1"/>
  <c r="AL23" i="17"/>
  <c r="AM23" i="17" s="1"/>
  <c r="AN23" i="17" s="1"/>
  <c r="AL24" i="17"/>
  <c r="AM24" i="17" s="1"/>
  <c r="AN24" i="17" s="1"/>
  <c r="AH24" i="17"/>
  <c r="AH71" i="17"/>
  <c r="AL70" i="17"/>
  <c r="AM70" i="17" s="1"/>
  <c r="AN70" i="17" s="1"/>
  <c r="AL78" i="17"/>
  <c r="AM78" i="17" s="1"/>
  <c r="AN78" i="17" s="1"/>
  <c r="AH79" i="17"/>
  <c r="AL79" i="17"/>
  <c r="AM79" i="17" s="1"/>
  <c r="AN79" i="17" s="1"/>
  <c r="AH139" i="17"/>
  <c r="AL138" i="17"/>
  <c r="AM138" i="17" s="1"/>
  <c r="AN138" i="17" s="1"/>
  <c r="AH76" i="17"/>
  <c r="AL75" i="17"/>
  <c r="AM75" i="17" s="1"/>
  <c r="AN75" i="17" s="1"/>
  <c r="AL121" i="17"/>
  <c r="AM121" i="17" s="1"/>
  <c r="AN121" i="17" s="1"/>
  <c r="AH122" i="17"/>
  <c r="CF700" i="15"/>
  <c r="CQ700" i="15" s="1"/>
  <c r="CV700" i="15" s="1"/>
  <c r="AL32" i="17"/>
  <c r="AH33" i="17"/>
  <c r="AL94" i="17"/>
  <c r="AM94" i="17" s="1"/>
  <c r="AN94" i="17" s="1"/>
  <c r="AH94" i="17"/>
  <c r="AL93" i="17"/>
  <c r="AM93" i="17" s="1"/>
  <c r="AN93" i="17" s="1"/>
  <c r="AL72" i="17"/>
  <c r="AM72" i="17" s="1"/>
  <c r="AN72" i="17" s="1"/>
  <c r="AH73" i="17"/>
  <c r="AL46" i="17"/>
  <c r="AM46" i="17" s="1"/>
  <c r="AN46" i="17" s="1"/>
  <c r="AH47" i="17"/>
  <c r="AL135" i="17"/>
  <c r="AM135" i="17" s="1"/>
  <c r="AN135" i="17" s="1"/>
  <c r="AH136" i="17"/>
  <c r="AL108" i="17"/>
  <c r="AM108" i="17" s="1"/>
  <c r="AN108" i="17" s="1"/>
  <c r="AL109" i="17"/>
  <c r="AM109" i="17" s="1"/>
  <c r="AN109" i="17" s="1"/>
  <c r="AH109" i="17"/>
  <c r="CF705" i="15"/>
  <c r="CQ705" i="15" s="1"/>
  <c r="CV705" i="15" s="1"/>
  <c r="AL61" i="17"/>
  <c r="AM61" i="17" s="1"/>
  <c r="AN61" i="17" s="1"/>
  <c r="AH62" i="17"/>
  <c r="AL98" i="17"/>
  <c r="AM98" i="17" s="1"/>
  <c r="AN98" i="17" s="1"/>
  <c r="AL99" i="17"/>
  <c r="AM99" i="17" s="1"/>
  <c r="AN99" i="17" s="1"/>
  <c r="AH99" i="17"/>
  <c r="AH46" i="17"/>
  <c r="AL45" i="17"/>
  <c r="AM45" i="17" s="1"/>
  <c r="AN45" i="17" s="1"/>
  <c r="AH91" i="17"/>
  <c r="AL90" i="17"/>
  <c r="AM90" i="17" s="1"/>
  <c r="AN90" i="17" s="1"/>
  <c r="AH61" i="17"/>
  <c r="AL60" i="17"/>
  <c r="AM60" i="17" s="1"/>
  <c r="AN60" i="17" s="1"/>
  <c r="CD705" i="15"/>
  <c r="AL62" i="17"/>
  <c r="AM62" i="17" s="1"/>
  <c r="AN62" i="17" s="1"/>
  <c r="AH63" i="17"/>
  <c r="AH83" i="17"/>
  <c r="AL82" i="17"/>
  <c r="AM82" i="17" s="1"/>
  <c r="AN82" i="17" s="1"/>
  <c r="CD700" i="15"/>
  <c r="AL52" i="17"/>
  <c r="AM52" i="17" s="1"/>
  <c r="AN52" i="17" s="1"/>
  <c r="AH53" i="17"/>
  <c r="AL133" i="17"/>
  <c r="AM133" i="17" s="1"/>
  <c r="AN133" i="17" s="1"/>
  <c r="AL134" i="17"/>
  <c r="AM134" i="17" s="1"/>
  <c r="AN134" i="17" s="1"/>
  <c r="AH134" i="17"/>
  <c r="AH124" i="17"/>
  <c r="AL124" i="17"/>
  <c r="AM124" i="17" s="1"/>
  <c r="AN124" i="17" s="1"/>
  <c r="AL123" i="17"/>
  <c r="AM123" i="17" s="1"/>
  <c r="AN123" i="17" s="1"/>
  <c r="AH51" i="17"/>
  <c r="AL50" i="17"/>
  <c r="AM50" i="17" s="1"/>
  <c r="AN50" i="17" s="1"/>
  <c r="AL132" i="17"/>
  <c r="AM132" i="17" s="1"/>
  <c r="AN132" i="17" s="1"/>
  <c r="AH133" i="17"/>
  <c r="AH78" i="17"/>
  <c r="AL77" i="17"/>
  <c r="AM77" i="17" s="1"/>
  <c r="AN77" i="17" s="1"/>
  <c r="AL55" i="17"/>
  <c r="AM55" i="17" s="1"/>
  <c r="AN55" i="17" s="1"/>
  <c r="AH56" i="17"/>
  <c r="AL122" i="17"/>
  <c r="AM122" i="17" s="1"/>
  <c r="AN122" i="17" s="1"/>
  <c r="AH123" i="17"/>
  <c r="AH104" i="17"/>
  <c r="AL104" i="17"/>
  <c r="AM104" i="17" s="1"/>
  <c r="AN104" i="17" s="1"/>
  <c r="AL103" i="17"/>
  <c r="AM103" i="17" s="1"/>
  <c r="AN103" i="17" s="1"/>
  <c r="AL139" i="17"/>
  <c r="AM139" i="17" s="1"/>
  <c r="AN139" i="17" s="1"/>
  <c r="AH21" i="17"/>
  <c r="AI18" i="17" s="1"/>
  <c r="AN20" i="17"/>
  <c r="AH36" i="17"/>
  <c r="AL35" i="17"/>
  <c r="AM35" i="17" s="1"/>
  <c r="AN35" i="17" s="1"/>
  <c r="AL34" i="17"/>
  <c r="AM34" i="17" s="1"/>
  <c r="AN34" i="17" s="1"/>
  <c r="AH34" i="17"/>
  <c r="AL33" i="17"/>
  <c r="AM33" i="17" s="1"/>
  <c r="AN33" i="17" s="1"/>
  <c r="AL81" i="17"/>
  <c r="AM81" i="17" s="1"/>
  <c r="AN81" i="17" s="1"/>
  <c r="AH82" i="17"/>
  <c r="AL143" i="17"/>
  <c r="AM143" i="17" s="1"/>
  <c r="AN143" i="17" s="1"/>
  <c r="AH144" i="17"/>
  <c r="AL57" i="17"/>
  <c r="AM57" i="17" s="1"/>
  <c r="AN57" i="17" s="1"/>
  <c r="AH58" i="17"/>
  <c r="AH142" i="17"/>
  <c r="AL141" i="17"/>
  <c r="AM141" i="17" s="1"/>
  <c r="AN141" i="17" s="1"/>
  <c r="AH86" i="17"/>
  <c r="AL85" i="17"/>
  <c r="AM85" i="17" s="1"/>
  <c r="AN85" i="17" s="1"/>
  <c r="AL67" i="17"/>
  <c r="AM67" i="17" s="1"/>
  <c r="AN67" i="17" s="1"/>
  <c r="AH68" i="17"/>
  <c r="CF702" i="15"/>
  <c r="CQ702" i="15" s="1"/>
  <c r="CV702" i="15" s="1"/>
  <c r="CF703" i="15"/>
  <c r="CQ703" i="15" s="1"/>
  <c r="CV703" i="15" s="1"/>
  <c r="AL115" i="17"/>
  <c r="AM115" i="17" s="1"/>
  <c r="AN115" i="17" s="1"/>
  <c r="AH116" i="17"/>
  <c r="AL54" i="17"/>
  <c r="AM54" i="17" s="1"/>
  <c r="AN54" i="17" s="1"/>
  <c r="AL53" i="17"/>
  <c r="AM53" i="17" s="1"/>
  <c r="AN53" i="17" s="1"/>
  <c r="AH54" i="17"/>
  <c r="AH72" i="17"/>
  <c r="AL71" i="17"/>
  <c r="AM71" i="17" s="1"/>
  <c r="AN71" i="17" s="1"/>
  <c r="CE701" i="15"/>
  <c r="CP701" i="15" s="1"/>
  <c r="CU701" i="15" s="1"/>
  <c r="AL128" i="17"/>
  <c r="AM128" i="17" s="1"/>
  <c r="AN128" i="17" s="1"/>
  <c r="AL129" i="17"/>
  <c r="AM129" i="17" s="1"/>
  <c r="AN129" i="17" s="1"/>
  <c r="AH129" i="17"/>
  <c r="CF699" i="15"/>
  <c r="CQ699" i="15" s="1"/>
  <c r="CV699" i="15" s="1"/>
  <c r="AL27" i="17"/>
  <c r="AM27" i="17" s="1"/>
  <c r="AN27" i="17" s="1"/>
  <c r="AH28" i="17"/>
  <c r="CE699" i="15"/>
  <c r="CP699" i="15" s="1"/>
  <c r="CU699" i="15" s="1"/>
  <c r="CE702" i="15"/>
  <c r="CP702" i="15" s="1"/>
  <c r="CU702" i="15" s="1"/>
  <c r="AL31" i="17"/>
  <c r="AH32" i="17"/>
  <c r="AL87" i="17"/>
  <c r="AM87" i="17" s="1"/>
  <c r="AN87" i="17" s="1"/>
  <c r="AH88" i="17"/>
  <c r="AH121" i="17"/>
  <c r="AL120" i="17"/>
  <c r="AM120" i="17" s="1"/>
  <c r="AN120" i="17" s="1"/>
  <c r="AH132" i="17"/>
  <c r="AL131" i="17"/>
  <c r="AM131" i="17" s="1"/>
  <c r="AN131" i="17" s="1"/>
  <c r="AH112" i="17"/>
  <c r="AL111" i="17"/>
  <c r="AM111" i="17" s="1"/>
  <c r="AN111" i="17" s="1"/>
  <c r="AH37" i="17"/>
  <c r="AL36" i="17"/>
  <c r="AH89" i="17"/>
  <c r="AL89" i="17"/>
  <c r="AM89" i="17" s="1"/>
  <c r="AN89" i="17" s="1"/>
  <c r="AL88" i="17"/>
  <c r="AM88" i="17" s="1"/>
  <c r="AN88" i="17" s="1"/>
  <c r="AH66" i="17"/>
  <c r="AL65" i="17"/>
  <c r="AM65" i="17" s="1"/>
  <c r="AN65" i="17" s="1"/>
  <c r="AL28" i="17"/>
  <c r="AM28" i="17" s="1"/>
  <c r="AN28" i="17" s="1"/>
  <c r="AL29" i="17"/>
  <c r="AM29" i="17" s="1"/>
  <c r="AN29" i="17" s="1"/>
  <c r="AH29" i="17"/>
  <c r="AL95" i="17"/>
  <c r="AM95" i="17" s="1"/>
  <c r="AN95" i="17" s="1"/>
  <c r="AH96" i="17"/>
  <c r="AH57" i="17"/>
  <c r="AL56" i="17"/>
  <c r="AM56" i="17" s="1"/>
  <c r="AN56" i="17" s="1"/>
  <c r="AH87" i="17"/>
  <c r="AL86" i="17"/>
  <c r="AM86" i="17" s="1"/>
  <c r="AN86" i="17" s="1"/>
  <c r="AH108" i="17"/>
  <c r="AL107" i="17"/>
  <c r="AM107" i="17" s="1"/>
  <c r="AN107" i="17" s="1"/>
  <c r="AH38" i="17"/>
  <c r="AL37" i="17"/>
  <c r="AH77" i="17"/>
  <c r="AL76" i="17"/>
  <c r="AM76" i="17" s="1"/>
  <c r="AN76" i="17" s="1"/>
  <c r="AL80" i="17"/>
  <c r="AM80" i="17" s="1"/>
  <c r="AN80" i="17" s="1"/>
  <c r="AH81" i="17"/>
  <c r="AL125" i="17"/>
  <c r="AM125" i="17" s="1"/>
  <c r="AN125" i="17" s="1"/>
  <c r="AH126" i="17"/>
  <c r="AH102" i="17"/>
  <c r="AL101" i="17"/>
  <c r="AM101" i="17" s="1"/>
  <c r="AN101" i="17" s="1"/>
  <c r="AH31" i="17"/>
  <c r="AL30" i="17"/>
  <c r="AM30" i="17" s="1"/>
  <c r="AN30" i="17" s="1"/>
  <c r="AH52" i="17"/>
  <c r="AL51" i="17"/>
  <c r="AM51" i="17" s="1"/>
  <c r="AN51" i="17" s="1"/>
  <c r="AL47" i="17"/>
  <c r="AM47" i="17" s="1"/>
  <c r="AN47" i="17" s="1"/>
  <c r="AH48" i="17"/>
  <c r="AL127" i="17"/>
  <c r="AM127" i="17" s="1"/>
  <c r="AN127" i="17" s="1"/>
  <c r="AH128" i="17"/>
  <c r="AL113" i="17"/>
  <c r="AM113" i="17" s="1"/>
  <c r="AN113" i="17" s="1"/>
  <c r="AH114" i="17"/>
  <c r="AL114" i="17"/>
  <c r="AM114" i="17" s="1"/>
  <c r="AN114" i="17" s="1"/>
  <c r="AH103" i="17"/>
  <c r="AL102" i="17"/>
  <c r="AM102" i="17" s="1"/>
  <c r="AN102" i="17" s="1"/>
  <c r="AH84" i="17"/>
  <c r="AL83" i="17"/>
  <c r="AM83" i="17" s="1"/>
  <c r="AN83" i="17" s="1"/>
  <c r="AL84" i="17"/>
  <c r="AM84" i="17" s="1"/>
  <c r="AN84" i="17" s="1"/>
  <c r="CE704" i="15"/>
  <c r="CP704" i="15" s="1"/>
  <c r="CU704" i="15" s="1"/>
  <c r="AL41" i="17"/>
  <c r="AM41" i="17" s="1"/>
  <c r="AN41" i="17" s="1"/>
  <c r="AH42" i="17"/>
  <c r="CE703" i="15"/>
  <c r="CP703" i="15" s="1"/>
  <c r="CU703" i="15" s="1"/>
  <c r="AH101" i="17"/>
  <c r="AL100" i="17"/>
  <c r="AM100" i="17" s="1"/>
  <c r="AN100" i="17" s="1"/>
  <c r="AL42" i="17"/>
  <c r="AM42" i="17" s="1"/>
  <c r="AN42" i="17" s="1"/>
  <c r="AL43" i="17"/>
  <c r="AM43" i="17" s="1"/>
  <c r="AN43" i="17" s="1"/>
  <c r="AH43" i="17"/>
  <c r="CE700" i="15"/>
  <c r="CP700" i="15" s="1"/>
  <c r="CU700" i="15" s="1"/>
  <c r="DC704" i="15"/>
  <c r="DE704" i="15" s="1"/>
  <c r="CF706" i="15"/>
  <c r="CQ706" i="15" s="1"/>
  <c r="CV706" i="15" s="1"/>
  <c r="CE706" i="15"/>
  <c r="CP706" i="15" s="1"/>
  <c r="CU706" i="15" s="1"/>
  <c r="BQ708" i="15"/>
  <c r="FD78" i="10"/>
  <c r="EO80" i="10"/>
  <c r="EP80" i="10" s="1"/>
  <c r="EN81" i="10"/>
  <c r="ET79" i="10"/>
  <c r="EW79" i="10" s="1"/>
  <c r="FQ79" i="10" s="1"/>
  <c r="EV79" i="10" s="1"/>
  <c r="EU79" i="10"/>
  <c r="BL141" i="15"/>
  <c r="BK143" i="15"/>
  <c r="BH144" i="15"/>
  <c r="BK142" i="17"/>
  <c r="BL141" i="17" s="1"/>
  <c r="BH143" i="17"/>
  <c r="AG143" i="15"/>
  <c r="AU144" i="15"/>
  <c r="AG143" i="17"/>
  <c r="AU152" i="17"/>
  <c r="FV69" i="10"/>
  <c r="FU69" i="10"/>
  <c r="FY70" i="10"/>
  <c r="KM77" i="10"/>
  <c r="KU72" i="10"/>
  <c r="KN76" i="10"/>
  <c r="KK75" i="10"/>
  <c r="FZ70" i="10"/>
  <c r="KN72" i="10"/>
  <c r="KM78" i="10"/>
  <c r="GJ70" i="10"/>
  <c r="FT79" i="10"/>
  <c r="GJ71" i="10"/>
  <c r="FB78" i="10"/>
  <c r="KK77" i="10"/>
  <c r="KU71" i="10"/>
  <c r="FC78" i="10"/>
  <c r="FG74" i="10"/>
  <c r="FS79" i="10"/>
  <c r="KK73" i="10"/>
  <c r="KN77" i="10"/>
  <c r="GE73" i="10"/>
  <c r="FB75" i="10"/>
  <c r="BZ707" i="15"/>
  <c r="KL77" i="10"/>
  <c r="FG78" i="10"/>
  <c r="KN75" i="10"/>
  <c r="GE71" i="10"/>
  <c r="FC77" i="10"/>
  <c r="KL78" i="10"/>
  <c r="FL75" i="10"/>
  <c r="FC74" i="10"/>
  <c r="AO143" i="15"/>
  <c r="FG73" i="10"/>
  <c r="KU78" i="10"/>
  <c r="GA69" i="10"/>
  <c r="KL76" i="10"/>
  <c r="FZ73" i="10"/>
  <c r="FA72" i="10"/>
  <c r="KL71" i="10"/>
  <c r="FL71" i="10"/>
  <c r="FW69" i="10"/>
  <c r="GA70" i="10"/>
  <c r="BY707" i="15"/>
  <c r="KU74" i="10"/>
  <c r="EX79" i="10"/>
  <c r="FB74" i="10"/>
  <c r="KN73" i="10"/>
  <c r="GE72" i="10"/>
  <c r="FU70" i="10"/>
  <c r="FE75" i="10"/>
  <c r="FE77" i="10"/>
  <c r="AP142" i="17"/>
  <c r="KM71" i="10"/>
  <c r="GJ73" i="10"/>
  <c r="KL74" i="10"/>
  <c r="KU75" i="10"/>
  <c r="FL73" i="10"/>
  <c r="KK78" i="10"/>
  <c r="GF73" i="10"/>
  <c r="BV706" i="15"/>
  <c r="KM76" i="10"/>
  <c r="FE73" i="10"/>
  <c r="KM72" i="10"/>
  <c r="FL76" i="10"/>
  <c r="FA73" i="10"/>
  <c r="GF72" i="10"/>
  <c r="FA76" i="10"/>
  <c r="FL72" i="10"/>
  <c r="KM74" i="10"/>
  <c r="KK71" i="10"/>
  <c r="FU76" i="10"/>
  <c r="KL72" i="10"/>
  <c r="KL73" i="10"/>
  <c r="FE78" i="10"/>
  <c r="KM75" i="10"/>
  <c r="KU77" i="10"/>
  <c r="FC73" i="10"/>
  <c r="FE74" i="10"/>
  <c r="AO142" i="17"/>
  <c r="KL75" i="10"/>
  <c r="BV701" i="15"/>
  <c r="KN74" i="10"/>
  <c r="FW70" i="10"/>
  <c r="FL77" i="10"/>
  <c r="FB77" i="10"/>
  <c r="FC76" i="10"/>
  <c r="FB72" i="10"/>
  <c r="KM73" i="10"/>
  <c r="KK72" i="10"/>
  <c r="FL74" i="10"/>
  <c r="FA74" i="10"/>
  <c r="FB71" i="10"/>
  <c r="GK69" i="10"/>
  <c r="FA77" i="10"/>
  <c r="FB73" i="10"/>
  <c r="FC71" i="10"/>
  <c r="FG71" i="10"/>
  <c r="KN71" i="10"/>
  <c r="FB76" i="10"/>
  <c r="KU76" i="10"/>
  <c r="FA75" i="10"/>
  <c r="CH708" i="15"/>
  <c r="GJ72" i="10"/>
  <c r="FE76" i="10"/>
  <c r="FV72" i="10"/>
  <c r="FX78" i="10"/>
  <c r="AP142" i="15"/>
  <c r="FE71" i="10"/>
  <c r="FG75" i="10"/>
  <c r="FG76" i="10"/>
  <c r="FG72" i="10"/>
  <c r="KU73" i="10"/>
  <c r="FE72" i="10"/>
  <c r="KK76" i="10"/>
  <c r="FA71" i="10"/>
  <c r="FZ69" i="10"/>
  <c r="KK74" i="10"/>
  <c r="FV70" i="10"/>
  <c r="FL78" i="10"/>
  <c r="FC75" i="10"/>
  <c r="FA78" i="10"/>
  <c r="KN78" i="10"/>
  <c r="FG77" i="10"/>
  <c r="FC72" i="10"/>
  <c r="GY73" i="10" l="1"/>
  <c r="GD71" i="10"/>
  <c r="GQ71" i="10"/>
  <c r="N51" i="15"/>
  <c r="N52" i="15" s="1"/>
  <c r="N53" i="15" s="1"/>
  <c r="N54" i="15" s="1"/>
  <c r="N55" i="15" s="1"/>
  <c r="N56" i="15" s="1"/>
  <c r="N57" i="15" s="1"/>
  <c r="GQ72" i="10"/>
  <c r="GQ73" i="10"/>
  <c r="GZ69" i="10"/>
  <c r="GY71" i="10"/>
  <c r="GY72" i="10"/>
  <c r="GY70" i="10"/>
  <c r="AM26" i="17"/>
  <c r="AN26" i="17" s="1"/>
  <c r="AM32" i="17"/>
  <c r="AN32" i="17" s="1"/>
  <c r="AM36" i="17"/>
  <c r="AN36" i="17" s="1"/>
  <c r="AM21" i="17"/>
  <c r="AN21" i="17" s="1"/>
  <c r="AM37" i="17"/>
  <c r="AN37" i="17" s="1"/>
  <c r="AM38" i="17"/>
  <c r="AN38" i="17" s="1"/>
  <c r="AM31" i="17"/>
  <c r="AN31" i="17" s="1"/>
  <c r="DC705" i="15"/>
  <c r="DE705" i="15" s="1"/>
  <c r="CE707" i="15"/>
  <c r="CP707" i="15" s="1"/>
  <c r="CU707" i="15" s="1"/>
  <c r="CF707" i="15"/>
  <c r="CQ707" i="15" s="1"/>
  <c r="CV707" i="15" s="1"/>
  <c r="BQ709" i="15"/>
  <c r="EO81" i="10"/>
  <c r="EP81" i="10" s="1"/>
  <c r="EN82" i="10"/>
  <c r="ET80" i="10"/>
  <c r="EW80" i="10" s="1"/>
  <c r="FQ80" i="10" s="1"/>
  <c r="EV80" i="10" s="1"/>
  <c r="EU80" i="10"/>
  <c r="FD79" i="10"/>
  <c r="BL142" i="15"/>
  <c r="AG144" i="17"/>
  <c r="BH144" i="17"/>
  <c r="BK143" i="17"/>
  <c r="BL142" i="17" s="1"/>
  <c r="AU153" i="17"/>
  <c r="AU154" i="17" s="1"/>
  <c r="AU155" i="17" s="1"/>
  <c r="AU156" i="17" s="1"/>
  <c r="AU157" i="17" s="1"/>
  <c r="AU158" i="17" s="1"/>
  <c r="AU159" i="17" s="1"/>
  <c r="AU160" i="17" s="1"/>
  <c r="AU161" i="17" s="1"/>
  <c r="AU162" i="17" s="1"/>
  <c r="AU163" i="17" s="1"/>
  <c r="AU164" i="17" s="1"/>
  <c r="AU165" i="17" s="1"/>
  <c r="AU166" i="17" s="1"/>
  <c r="AU167" i="17" s="1"/>
  <c r="AU168" i="17" s="1"/>
  <c r="AU169" i="17" s="1"/>
  <c r="AU170" i="17" s="1"/>
  <c r="AU171" i="17" s="1"/>
  <c r="AU172" i="17" s="1"/>
  <c r="AU173" i="17" s="1"/>
  <c r="AU174" i="17" s="1"/>
  <c r="AU175" i="17" s="1"/>
  <c r="AU176" i="17" s="1"/>
  <c r="AU177" i="17" s="1"/>
  <c r="AU178" i="17" s="1"/>
  <c r="AU179" i="17" s="1"/>
  <c r="AU180" i="17" s="1"/>
  <c r="AU181" i="17" s="1"/>
  <c r="AU182" i="17" s="1"/>
  <c r="AU183" i="17" s="1"/>
  <c r="AU184" i="17" s="1"/>
  <c r="AU185" i="17" s="1"/>
  <c r="AU186" i="17" s="1"/>
  <c r="AU187" i="17" s="1"/>
  <c r="AU188" i="17" s="1"/>
  <c r="AU189" i="17" s="1"/>
  <c r="AU190" i="17" s="1"/>
  <c r="AU191" i="17" s="1"/>
  <c r="AU192" i="17" s="1"/>
  <c r="AU193" i="17" s="1"/>
  <c r="AU194" i="17" s="1"/>
  <c r="AU195" i="17" s="1"/>
  <c r="AU196" i="17" s="1"/>
  <c r="AU197" i="17" s="1"/>
  <c r="AU198" i="17" s="1"/>
  <c r="AU199" i="17" s="1"/>
  <c r="AU200" i="17" s="1"/>
  <c r="AU201" i="17" s="1"/>
  <c r="AU202" i="17" s="1"/>
  <c r="AU203" i="17" s="1"/>
  <c r="AU204" i="17" s="1"/>
  <c r="AU205" i="17" s="1"/>
  <c r="AU206" i="17" s="1"/>
  <c r="AU207" i="17" s="1"/>
  <c r="AU208" i="17" s="1"/>
  <c r="AU209" i="17" s="1"/>
  <c r="AU210" i="17" s="1"/>
  <c r="AU211" i="17" s="1"/>
  <c r="AU212" i="17" s="1"/>
  <c r="AU213" i="17" s="1"/>
  <c r="AU214" i="17" s="1"/>
  <c r="AU215" i="17" s="1"/>
  <c r="AU216" i="17" s="1"/>
  <c r="AU217" i="17" s="1"/>
  <c r="AU218" i="17" s="1"/>
  <c r="AU219" i="17" s="1"/>
  <c r="AU220" i="17" s="1"/>
  <c r="AU221" i="17" s="1"/>
  <c r="AU222" i="17" s="1"/>
  <c r="AU223" i="17" s="1"/>
  <c r="AU224" i="17" s="1"/>
  <c r="AU225" i="17" s="1"/>
  <c r="AU226" i="17" s="1"/>
  <c r="AU227" i="17" s="1"/>
  <c r="AU228" i="17" s="1"/>
  <c r="AU229" i="17" s="1"/>
  <c r="AU230" i="17" s="1"/>
  <c r="AU231" i="17" s="1"/>
  <c r="AU232" i="17" s="1"/>
  <c r="AU233" i="17" s="1"/>
  <c r="AU234" i="17" s="1"/>
  <c r="AU235" i="17" s="1"/>
  <c r="AU236" i="17" s="1"/>
  <c r="AU237" i="17" s="1"/>
  <c r="AU238" i="17" s="1"/>
  <c r="AU239" i="17" s="1"/>
  <c r="AU240" i="17" s="1"/>
  <c r="AU241" i="17" s="1"/>
  <c r="AU242" i="17" s="1"/>
  <c r="AU243" i="17" s="1"/>
  <c r="AU244" i="17" s="1"/>
  <c r="AU245" i="17" s="1"/>
  <c r="AU246" i="17" s="1"/>
  <c r="AU247" i="17" s="1"/>
  <c r="AU248" i="17" s="1"/>
  <c r="AU249" i="17" s="1"/>
  <c r="AU250" i="17" s="1"/>
  <c r="AU251" i="17" s="1"/>
  <c r="AU252" i="17" s="1"/>
  <c r="AU253" i="17" s="1"/>
  <c r="AU254" i="17" s="1"/>
  <c r="AU255" i="17" s="1"/>
  <c r="AU256" i="17" s="1"/>
  <c r="AU257" i="17" s="1"/>
  <c r="AU258" i="17" s="1"/>
  <c r="AU259" i="17" s="1"/>
  <c r="AU260" i="17" s="1"/>
  <c r="AU261" i="17" s="1"/>
  <c r="AU262" i="17" s="1"/>
  <c r="AU263" i="17" s="1"/>
  <c r="AU264" i="17" s="1"/>
  <c r="AU265" i="17" s="1"/>
  <c r="AU266" i="17" s="1"/>
  <c r="AU267" i="17" s="1"/>
  <c r="AU268" i="17" s="1"/>
  <c r="AU269" i="17" s="1"/>
  <c r="AU270" i="17" s="1"/>
  <c r="AU271" i="17" s="1"/>
  <c r="AU272" i="17" s="1"/>
  <c r="AU273" i="17" s="1"/>
  <c r="AU274" i="17" s="1"/>
  <c r="AU275" i="17" s="1"/>
  <c r="AU276" i="17" s="1"/>
  <c r="AU277" i="17" s="1"/>
  <c r="AU278" i="17" s="1"/>
  <c r="AU279" i="17" s="1"/>
  <c r="AU280" i="17" s="1"/>
  <c r="AU281" i="17" s="1"/>
  <c r="AU282" i="17" s="1"/>
  <c r="AU283" i="17" s="1"/>
  <c r="AU284" i="17" s="1"/>
  <c r="AU285" i="17" s="1"/>
  <c r="AU286" i="17" s="1"/>
  <c r="AU287" i="17" s="1"/>
  <c r="AU288" i="17" s="1"/>
  <c r="AU289" i="17" s="1"/>
  <c r="AU290" i="17" s="1"/>
  <c r="AU291" i="17" s="1"/>
  <c r="AU292" i="17" s="1"/>
  <c r="AU293" i="17" s="1"/>
  <c r="AU294" i="17" s="1"/>
  <c r="AU295" i="17" s="1"/>
  <c r="AU296" i="17" s="1"/>
  <c r="AU297" i="17" s="1"/>
  <c r="AU298" i="17" s="1"/>
  <c r="AU299" i="17" s="1"/>
  <c r="AU300" i="17" s="1"/>
  <c r="AU301" i="17" s="1"/>
  <c r="AU302" i="17" s="1"/>
  <c r="AU303" i="17" s="1"/>
  <c r="AU304" i="17" s="1"/>
  <c r="AU305" i="17" s="1"/>
  <c r="AU306" i="17" s="1"/>
  <c r="AU307" i="17" s="1"/>
  <c r="AU308" i="17" s="1"/>
  <c r="AU309" i="17" s="1"/>
  <c r="AU310" i="17" s="1"/>
  <c r="AU311" i="17" s="1"/>
  <c r="AU312" i="17" s="1"/>
  <c r="AU313" i="17" s="1"/>
  <c r="AU314" i="17" s="1"/>
  <c r="AU315" i="17" s="1"/>
  <c r="AU316" i="17" s="1"/>
  <c r="AU317" i="17" s="1"/>
  <c r="AU318" i="17" s="1"/>
  <c r="AU319" i="17" s="1"/>
  <c r="AU320" i="17" s="1"/>
  <c r="AU321" i="17" s="1"/>
  <c r="AU322" i="17" s="1"/>
  <c r="AU323" i="17" s="1"/>
  <c r="AU324" i="17" s="1"/>
  <c r="AU325" i="17" s="1"/>
  <c r="AU326" i="17" s="1"/>
  <c r="AU327" i="17" s="1"/>
  <c r="AU328" i="17" s="1"/>
  <c r="AU329" i="17" s="1"/>
  <c r="AU330" i="17" s="1"/>
  <c r="AU331" i="17" s="1"/>
  <c r="AU332" i="17" s="1"/>
  <c r="AU333" i="17" s="1"/>
  <c r="AU334" i="17" s="1"/>
  <c r="AU335" i="17" s="1"/>
  <c r="AU336" i="17" s="1"/>
  <c r="AU337" i="17" s="1"/>
  <c r="AU338" i="17" s="1"/>
  <c r="AU339" i="17" s="1"/>
  <c r="AU340" i="17" s="1"/>
  <c r="AU341" i="17" s="1"/>
  <c r="AU342" i="17" s="1"/>
  <c r="AU343" i="17" s="1"/>
  <c r="AU344" i="17" s="1"/>
  <c r="AU345" i="17" s="1"/>
  <c r="AU346" i="17" s="1"/>
  <c r="AU347" i="17" s="1"/>
  <c r="AU348" i="17" s="1"/>
  <c r="AU349" i="17" s="1"/>
  <c r="AU350" i="17" s="1"/>
  <c r="AU351" i="17" s="1"/>
  <c r="AU352" i="17" s="1"/>
  <c r="AU353" i="17" s="1"/>
  <c r="AU354" i="17" s="1"/>
  <c r="AU355" i="17" s="1"/>
  <c r="AU356" i="17" s="1"/>
  <c r="AU357" i="17" s="1"/>
  <c r="AU358" i="17" s="1"/>
  <c r="AU359" i="17" s="1"/>
  <c r="AU360" i="17" s="1"/>
  <c r="AU361" i="17" s="1"/>
  <c r="AU362" i="17" s="1"/>
  <c r="AU363" i="17" s="1"/>
  <c r="AU364" i="17" s="1"/>
  <c r="AU365" i="17" s="1"/>
  <c r="AU366" i="17" s="1"/>
  <c r="AU367" i="17" s="1"/>
  <c r="AU368" i="17" s="1"/>
  <c r="AU369" i="17" s="1"/>
  <c r="AU370" i="17" s="1"/>
  <c r="AU371" i="17" s="1"/>
  <c r="AU372" i="17" s="1"/>
  <c r="AU373" i="17" s="1"/>
  <c r="AU374" i="17" s="1"/>
  <c r="AU375" i="17" s="1"/>
  <c r="AU376" i="17" s="1"/>
  <c r="AU377" i="17" s="1"/>
  <c r="AU378" i="17" s="1"/>
  <c r="AU379" i="17" s="1"/>
  <c r="AU380" i="17" s="1"/>
  <c r="AU381" i="17" s="1"/>
  <c r="AU382" i="17" s="1"/>
  <c r="AU383" i="17" s="1"/>
  <c r="AU384" i="17" s="1"/>
  <c r="AU385" i="17" s="1"/>
  <c r="AU386" i="17" s="1"/>
  <c r="AU387" i="17" s="1"/>
  <c r="AU388" i="17" s="1"/>
  <c r="AU389" i="17" s="1"/>
  <c r="AU390" i="17" s="1"/>
  <c r="AU391" i="17" s="1"/>
  <c r="AU392" i="17" s="1"/>
  <c r="AU393" i="17" s="1"/>
  <c r="AU394" i="17" s="1"/>
  <c r="AU395" i="17" s="1"/>
  <c r="AU396" i="17" s="1"/>
  <c r="AU397" i="17" s="1"/>
  <c r="AU398" i="17" s="1"/>
  <c r="AU399" i="17" s="1"/>
  <c r="AU400" i="17" s="1"/>
  <c r="AU401" i="17" s="1"/>
  <c r="AU402" i="17" s="1"/>
  <c r="AU403" i="17" s="1"/>
  <c r="AU404" i="17" s="1"/>
  <c r="BH145" i="15"/>
  <c r="BK144" i="15"/>
  <c r="AU145" i="15"/>
  <c r="AG144" i="15"/>
  <c r="FZ75" i="10"/>
  <c r="FW75" i="10"/>
  <c r="FV75" i="10"/>
  <c r="FA79" i="10"/>
  <c r="GA72" i="10"/>
  <c r="GA77" i="10"/>
  <c r="GL70" i="10"/>
  <c r="FY74" i="10"/>
  <c r="KM79" i="10"/>
  <c r="FY71" i="10"/>
  <c r="GM69" i="10"/>
  <c r="FT80" i="10"/>
  <c r="FY73" i="10"/>
  <c r="GG70" i="10"/>
  <c r="FW76" i="10"/>
  <c r="FU71" i="10"/>
  <c r="BZ708" i="15"/>
  <c r="FE79" i="10"/>
  <c r="FV78" i="10"/>
  <c r="GL69" i="10"/>
  <c r="FU74" i="10"/>
  <c r="GA74" i="10"/>
  <c r="GA73" i="10"/>
  <c r="FV73" i="10"/>
  <c r="FZ77" i="10"/>
  <c r="FY77" i="10"/>
  <c r="FV77" i="10"/>
  <c r="GK70" i="10"/>
  <c r="FW74" i="10"/>
  <c r="FZ72" i="10"/>
  <c r="KK79" i="10"/>
  <c r="GA71" i="10"/>
  <c r="KU79" i="10"/>
  <c r="GG69" i="10"/>
  <c r="FU75" i="10"/>
  <c r="FY72" i="10"/>
  <c r="FX79" i="10"/>
  <c r="AP143" i="15"/>
  <c r="FW73" i="10"/>
  <c r="FZ76" i="10"/>
  <c r="FW71" i="10"/>
  <c r="GL73" i="10"/>
  <c r="FU73" i="10"/>
  <c r="FU78" i="10"/>
  <c r="GA75" i="10"/>
  <c r="GI70" i="10"/>
  <c r="GI69" i="10"/>
  <c r="GH70" i="10"/>
  <c r="FU77" i="10"/>
  <c r="AO143" i="17"/>
  <c r="FY76" i="10"/>
  <c r="FY75" i="10"/>
  <c r="FZ74" i="10"/>
  <c r="GM70" i="10"/>
  <c r="KN79" i="10"/>
  <c r="FY78" i="10"/>
  <c r="BY708" i="15"/>
  <c r="FV71" i="10"/>
  <c r="FL79" i="10"/>
  <c r="FW78" i="10"/>
  <c r="GH72" i="10"/>
  <c r="GA76" i="10"/>
  <c r="FW72" i="10"/>
  <c r="FC79" i="10"/>
  <c r="GA78" i="10"/>
  <c r="GH69" i="10"/>
  <c r="FU72" i="10"/>
  <c r="AP143" i="17"/>
  <c r="FB79" i="10"/>
  <c r="KL79" i="10"/>
  <c r="FG79" i="10"/>
  <c r="FS80" i="10"/>
  <c r="FV74" i="10"/>
  <c r="FZ78" i="10"/>
  <c r="FZ71" i="10"/>
  <c r="FV76" i="10"/>
  <c r="FW77" i="10"/>
  <c r="AO144" i="15"/>
  <c r="CH709" i="15"/>
  <c r="GW69" i="10" l="1"/>
  <c r="GX69" i="10"/>
  <c r="GX70" i="10"/>
  <c r="GV69" i="10"/>
  <c r="HA70" i="10"/>
  <c r="GW70" i="10"/>
  <c r="GV70" i="10"/>
  <c r="HB70" i="10"/>
  <c r="HA69" i="10"/>
  <c r="GR69" i="10"/>
  <c r="LD69" i="10" s="1"/>
  <c r="GZ70" i="10"/>
  <c r="GR70" i="10"/>
  <c r="LD70" i="10" s="1"/>
  <c r="HB69" i="10"/>
  <c r="GW72" i="10"/>
  <c r="GS71" i="10"/>
  <c r="HO71" i="10"/>
  <c r="GT71" i="10"/>
  <c r="GU71" i="10"/>
  <c r="GD72" i="10"/>
  <c r="S144" i="15"/>
  <c r="S139" i="15"/>
  <c r="S146" i="15"/>
  <c r="S134" i="15"/>
  <c r="S140" i="15"/>
  <c r="S135" i="15"/>
  <c r="S136" i="15"/>
  <c r="S142" i="15"/>
  <c r="S141" i="15"/>
  <c r="S138" i="15"/>
  <c r="S137" i="15"/>
  <c r="S143" i="15"/>
  <c r="S145" i="15"/>
  <c r="S21" i="15"/>
  <c r="S29" i="15"/>
  <c r="S88" i="15"/>
  <c r="S123" i="15"/>
  <c r="S86" i="15"/>
  <c r="S33" i="15"/>
  <c r="S61" i="15"/>
  <c r="S57" i="15"/>
  <c r="S58" i="15"/>
  <c r="S109" i="15"/>
  <c r="S41" i="15"/>
  <c r="S74" i="15"/>
  <c r="S60" i="15"/>
  <c r="S87" i="15"/>
  <c r="S114" i="15"/>
  <c r="S59" i="15"/>
  <c r="S25" i="15"/>
  <c r="S98" i="15"/>
  <c r="S127" i="15"/>
  <c r="S42" i="15"/>
  <c r="S99" i="15"/>
  <c r="S71" i="15"/>
  <c r="S90" i="15"/>
  <c r="S132" i="15"/>
  <c r="S73" i="15"/>
  <c r="S110" i="15"/>
  <c r="S68" i="15"/>
  <c r="S51" i="15"/>
  <c r="S20" i="15"/>
  <c r="S119" i="15"/>
  <c r="S76" i="15"/>
  <c r="S26" i="15"/>
  <c r="S125" i="15"/>
  <c r="S44" i="15"/>
  <c r="S94" i="15"/>
  <c r="S100" i="15"/>
  <c r="S45" i="15"/>
  <c r="S122" i="15"/>
  <c r="S43" i="15"/>
  <c r="S117" i="15"/>
  <c r="S93" i="15"/>
  <c r="S66" i="15"/>
  <c r="S30" i="15"/>
  <c r="S115" i="15"/>
  <c r="S77" i="15"/>
  <c r="S108" i="15"/>
  <c r="S102" i="15"/>
  <c r="S38" i="15"/>
  <c r="S121" i="15"/>
  <c r="S31" i="15"/>
  <c r="S32" i="15"/>
  <c r="S118" i="15"/>
  <c r="S39" i="15"/>
  <c r="S101" i="15"/>
  <c r="S24" i="15"/>
  <c r="S56" i="15"/>
  <c r="S124" i="15"/>
  <c r="S113" i="15"/>
  <c r="S91" i="15"/>
  <c r="S72" i="15"/>
  <c r="S46" i="15"/>
  <c r="S97" i="15"/>
  <c r="S70" i="15"/>
  <c r="S64" i="15"/>
  <c r="S112" i="15"/>
  <c r="S78" i="15"/>
  <c r="S128" i="15"/>
  <c r="S50" i="15"/>
  <c r="S53" i="15"/>
  <c r="S47" i="15"/>
  <c r="S63" i="15"/>
  <c r="S37" i="15"/>
  <c r="S120" i="15"/>
  <c r="S84" i="15"/>
  <c r="S40" i="15"/>
  <c r="S126" i="15"/>
  <c r="S49" i="15"/>
  <c r="S28" i="15"/>
  <c r="S35" i="15"/>
  <c r="S36" i="15"/>
  <c r="S48" i="15"/>
  <c r="S111" i="15"/>
  <c r="S83" i="15"/>
  <c r="S82" i="15"/>
  <c r="S107" i="15"/>
  <c r="S22" i="15"/>
  <c r="S130" i="15"/>
  <c r="S103" i="15"/>
  <c r="S104" i="15"/>
  <c r="S80" i="15"/>
  <c r="S96" i="15"/>
  <c r="S75" i="15"/>
  <c r="S116" i="15"/>
  <c r="S27" i="15"/>
  <c r="S54" i="15"/>
  <c r="S89" i="15"/>
  <c r="S52" i="15"/>
  <c r="S133" i="15"/>
  <c r="S62" i="15"/>
  <c r="S85" i="15"/>
  <c r="S81" i="15"/>
  <c r="S106" i="15"/>
  <c r="S65" i="15"/>
  <c r="S129" i="15"/>
  <c r="S92" i="15"/>
  <c r="S34" i="15"/>
  <c r="S95" i="15"/>
  <c r="S131" i="15"/>
  <c r="S69" i="15"/>
  <c r="S105" i="15"/>
  <c r="S79" i="15"/>
  <c r="S55" i="15"/>
  <c r="S67" i="15"/>
  <c r="S23" i="15"/>
  <c r="HA73" i="10"/>
  <c r="DC706" i="15"/>
  <c r="DE706" i="15" s="1"/>
  <c r="CE708" i="15"/>
  <c r="CP708" i="15" s="1"/>
  <c r="CU708" i="15" s="1"/>
  <c r="CF708" i="15"/>
  <c r="CQ708" i="15" s="1"/>
  <c r="CV708" i="15" s="1"/>
  <c r="BQ710" i="15"/>
  <c r="FD80" i="10"/>
  <c r="EO82" i="10"/>
  <c r="EP82" i="10" s="1"/>
  <c r="EN83" i="10"/>
  <c r="EO83" i="10" s="1"/>
  <c r="EP83" i="10" s="1"/>
  <c r="ET81" i="10"/>
  <c r="EW81" i="10" s="1"/>
  <c r="FQ81" i="10" s="1"/>
  <c r="EV81" i="10" s="1"/>
  <c r="EU81" i="10"/>
  <c r="BL143" i="15"/>
  <c r="AJ139" i="15"/>
  <c r="BH146" i="15"/>
  <c r="BK145" i="15"/>
  <c r="BK144" i="17"/>
  <c r="BL143" i="17" s="1"/>
  <c r="BH145" i="17"/>
  <c r="AU146" i="15"/>
  <c r="AG145" i="15"/>
  <c r="AG145" i="17"/>
  <c r="U66" i="15"/>
  <c r="FX80" i="10"/>
  <c r="T44" i="15"/>
  <c r="U121" i="15"/>
  <c r="GA79" i="10"/>
  <c r="W97" i="15"/>
  <c r="W120" i="15"/>
  <c r="GH71" i="10"/>
  <c r="U53" i="15"/>
  <c r="V92" i="15"/>
  <c r="U84" i="15"/>
  <c r="V116" i="15"/>
  <c r="V78" i="15"/>
  <c r="T105" i="15"/>
  <c r="U71" i="15"/>
  <c r="V125" i="15"/>
  <c r="W67" i="15"/>
  <c r="V84" i="15"/>
  <c r="U35" i="15"/>
  <c r="V88" i="15"/>
  <c r="W68" i="15"/>
  <c r="V63" i="15"/>
  <c r="U101" i="15"/>
  <c r="T21" i="15"/>
  <c r="V44" i="15"/>
  <c r="U39" i="15"/>
  <c r="U80" i="15"/>
  <c r="W119" i="15"/>
  <c r="W93" i="15"/>
  <c r="W71" i="15"/>
  <c r="U45" i="15"/>
  <c r="W98" i="15"/>
  <c r="U20" i="15"/>
  <c r="U109" i="15"/>
  <c r="T73" i="15"/>
  <c r="U77" i="15"/>
  <c r="T28" i="15"/>
  <c r="W52" i="15"/>
  <c r="U47" i="15"/>
  <c r="V21" i="15"/>
  <c r="GM71" i="10"/>
  <c r="T23" i="15"/>
  <c r="T119" i="15"/>
  <c r="W106" i="15"/>
  <c r="T113" i="15"/>
  <c r="W27" i="15"/>
  <c r="T25" i="15"/>
  <c r="W31" i="15"/>
  <c r="T86" i="15"/>
  <c r="W66" i="15"/>
  <c r="W105" i="15"/>
  <c r="W124" i="15"/>
  <c r="V106" i="15"/>
  <c r="GM72" i="10"/>
  <c r="W44" i="15"/>
  <c r="V77" i="15"/>
  <c r="V80" i="15"/>
  <c r="W92" i="15"/>
  <c r="U46" i="15"/>
  <c r="U27" i="15"/>
  <c r="V67" i="15"/>
  <c r="V60" i="15"/>
  <c r="V121" i="15"/>
  <c r="U68" i="15"/>
  <c r="W112" i="15"/>
  <c r="T47" i="15"/>
  <c r="V35" i="15"/>
  <c r="T69" i="15"/>
  <c r="U48" i="15"/>
  <c r="T128" i="15"/>
  <c r="U30" i="15"/>
  <c r="V83" i="15"/>
  <c r="W102" i="15"/>
  <c r="V62" i="15"/>
  <c r="T114" i="15"/>
  <c r="T32" i="15"/>
  <c r="T65" i="15"/>
  <c r="W101" i="15"/>
  <c r="T109" i="15"/>
  <c r="W29" i="15"/>
  <c r="V105" i="15"/>
  <c r="W21" i="15"/>
  <c r="W114" i="15"/>
  <c r="U67" i="15"/>
  <c r="W84" i="15"/>
  <c r="V107" i="15"/>
  <c r="U51" i="15"/>
  <c r="FT81" i="10"/>
  <c r="V131" i="15"/>
  <c r="T85" i="15"/>
  <c r="T59" i="15"/>
  <c r="T125" i="15"/>
  <c r="V27" i="15"/>
  <c r="T45" i="15"/>
  <c r="U114" i="15"/>
  <c r="V32" i="15"/>
  <c r="T80" i="15"/>
  <c r="T126" i="15"/>
  <c r="U85" i="15"/>
  <c r="GG73" i="10"/>
  <c r="T104" i="15"/>
  <c r="W110" i="15"/>
  <c r="GI72" i="10"/>
  <c r="W103" i="15"/>
  <c r="W53" i="15"/>
  <c r="V29" i="15"/>
  <c r="U111" i="15"/>
  <c r="W69" i="15"/>
  <c r="T90" i="15"/>
  <c r="T41" i="15"/>
  <c r="GK72" i="10"/>
  <c r="T34" i="15"/>
  <c r="T39" i="15"/>
  <c r="W133" i="15"/>
  <c r="T67" i="15"/>
  <c r="V71" i="15"/>
  <c r="U93" i="15"/>
  <c r="V97" i="15"/>
  <c r="U31" i="15"/>
  <c r="GK73" i="10"/>
  <c r="T66" i="15"/>
  <c r="CH710" i="15"/>
  <c r="U22" i="15"/>
  <c r="T52" i="15"/>
  <c r="U112" i="15"/>
  <c r="U63" i="15"/>
  <c r="W81" i="15"/>
  <c r="T122" i="15"/>
  <c r="U107" i="15"/>
  <c r="V110" i="15"/>
  <c r="U122" i="15"/>
  <c r="U119" i="15"/>
  <c r="V112" i="15"/>
  <c r="T133" i="15"/>
  <c r="T29" i="15"/>
  <c r="V25" i="15"/>
  <c r="T27" i="15"/>
  <c r="T92" i="15"/>
  <c r="W22" i="15"/>
  <c r="U81" i="15"/>
  <c r="T111" i="15"/>
  <c r="W116" i="15"/>
  <c r="T84" i="15"/>
  <c r="U104" i="15"/>
  <c r="FY79" i="10"/>
  <c r="V69" i="15"/>
  <c r="U21" i="15"/>
  <c r="T108" i="15"/>
  <c r="GK71" i="10"/>
  <c r="V28" i="15"/>
  <c r="T98" i="15"/>
  <c r="W87" i="15"/>
  <c r="T99" i="15"/>
  <c r="U49" i="15"/>
  <c r="U87" i="15"/>
  <c r="T97" i="15"/>
  <c r="W48" i="15"/>
  <c r="U23" i="15"/>
  <c r="T53" i="15"/>
  <c r="V34" i="15"/>
  <c r="V45" i="15"/>
  <c r="U33" i="15"/>
  <c r="V73" i="15"/>
  <c r="V133" i="15"/>
  <c r="U69" i="15"/>
  <c r="U60" i="15"/>
  <c r="V31" i="15"/>
  <c r="AO144" i="17"/>
  <c r="V33" i="15"/>
  <c r="U25" i="15"/>
  <c r="U97" i="15"/>
  <c r="W49" i="15"/>
  <c r="U116" i="15"/>
  <c r="V61" i="15"/>
  <c r="U90" i="15"/>
  <c r="V104" i="15"/>
  <c r="T60" i="15"/>
  <c r="U128" i="15"/>
  <c r="W121" i="15"/>
  <c r="U43" i="15"/>
  <c r="V91" i="15"/>
  <c r="W54" i="15"/>
  <c r="V24" i="15"/>
  <c r="W88" i="15"/>
  <c r="V68" i="15"/>
  <c r="U70" i="15"/>
  <c r="U79" i="15"/>
  <c r="U52" i="15"/>
  <c r="U78" i="15"/>
  <c r="FU79" i="10"/>
  <c r="W58" i="15"/>
  <c r="W86" i="15"/>
  <c r="V74" i="15"/>
  <c r="T123" i="15"/>
  <c r="W82" i="15"/>
  <c r="W55" i="15"/>
  <c r="V111" i="15"/>
  <c r="T33" i="15"/>
  <c r="V54" i="15"/>
  <c r="GH73" i="10"/>
  <c r="T110" i="15"/>
  <c r="GM73" i="10"/>
  <c r="T120" i="15"/>
  <c r="T46" i="15"/>
  <c r="GL71" i="10"/>
  <c r="U57" i="15"/>
  <c r="V113" i="15"/>
  <c r="W73" i="15"/>
  <c r="BZ709" i="15"/>
  <c r="W25" i="15"/>
  <c r="V81" i="15"/>
  <c r="W111" i="15"/>
  <c r="W108" i="15"/>
  <c r="W26" i="15"/>
  <c r="W39" i="15"/>
  <c r="V42" i="15"/>
  <c r="T74" i="15"/>
  <c r="U26" i="15"/>
  <c r="T121" i="15"/>
  <c r="T87" i="15"/>
  <c r="U74" i="15"/>
  <c r="AI149" i="15"/>
  <c r="U106" i="15"/>
  <c r="W94" i="15"/>
  <c r="U130" i="15"/>
  <c r="T96" i="15"/>
  <c r="W125" i="15"/>
  <c r="U29" i="15"/>
  <c r="U99" i="15"/>
  <c r="U113" i="15"/>
  <c r="V39" i="15"/>
  <c r="T22" i="15"/>
  <c r="U92" i="15"/>
  <c r="FZ79" i="10"/>
  <c r="V23" i="15"/>
  <c r="V46" i="15"/>
  <c r="U34" i="15"/>
  <c r="V124" i="15"/>
  <c r="W60" i="15"/>
  <c r="U108" i="15"/>
  <c r="V122" i="15"/>
  <c r="V86" i="15"/>
  <c r="W91" i="15"/>
  <c r="V53" i="15"/>
  <c r="W79" i="15"/>
  <c r="U124" i="15"/>
  <c r="W62" i="15"/>
  <c r="V98" i="15"/>
  <c r="GL72" i="10"/>
  <c r="V65" i="15"/>
  <c r="V109" i="15"/>
  <c r="W99" i="15"/>
  <c r="W78" i="15"/>
  <c r="T48" i="15"/>
  <c r="V99" i="15"/>
  <c r="V101" i="15"/>
  <c r="T58" i="15"/>
  <c r="V58" i="15"/>
  <c r="V66" i="15"/>
  <c r="GI73" i="10"/>
  <c r="U44" i="15"/>
  <c r="V108" i="15"/>
  <c r="T101" i="15"/>
  <c r="T112" i="15"/>
  <c r="U105" i="15"/>
  <c r="W46" i="15"/>
  <c r="GG72" i="10"/>
  <c r="W96" i="15"/>
  <c r="W109" i="15"/>
  <c r="U96" i="15"/>
  <c r="T124" i="15"/>
  <c r="GG71" i="10"/>
  <c r="T94" i="15"/>
  <c r="U120" i="15"/>
  <c r="W20" i="15"/>
  <c r="T88" i="15"/>
  <c r="U110" i="15"/>
  <c r="W45" i="15"/>
  <c r="U98" i="15"/>
  <c r="U125" i="15"/>
  <c r="T81" i="15"/>
  <c r="W47" i="15"/>
  <c r="W104" i="15"/>
  <c r="BY709" i="15"/>
  <c r="U73" i="15"/>
  <c r="W113" i="15"/>
  <c r="V49" i="15"/>
  <c r="FW79" i="10"/>
  <c r="W23" i="15"/>
  <c r="U28" i="15"/>
  <c r="V47" i="15"/>
  <c r="V48" i="15"/>
  <c r="AP144" i="15"/>
  <c r="T71" i="15"/>
  <c r="T106" i="15"/>
  <c r="T31" i="15"/>
  <c r="U86" i="15"/>
  <c r="V102" i="15"/>
  <c r="V41" i="15"/>
  <c r="W80" i="15"/>
  <c r="U58" i="15"/>
  <c r="T116" i="15"/>
  <c r="T61" i="15"/>
  <c r="W77" i="15"/>
  <c r="T127" i="15"/>
  <c r="W128" i="15"/>
  <c r="U95" i="15"/>
  <c r="W35" i="15"/>
  <c r="U61" i="15"/>
  <c r="W76" i="15"/>
  <c r="T40" i="15"/>
  <c r="W50" i="15"/>
  <c r="T107" i="15"/>
  <c r="W42" i="15"/>
  <c r="GI71" i="10"/>
  <c r="V38" i="15"/>
  <c r="T93" i="15"/>
  <c r="T20" i="15"/>
  <c r="T49" i="15"/>
  <c r="V50" i="15"/>
  <c r="T68" i="15"/>
  <c r="T77" i="15"/>
  <c r="FV79" i="10"/>
  <c r="EX80" i="10"/>
  <c r="W107" i="15"/>
  <c r="V120" i="15"/>
  <c r="T55" i="15"/>
  <c r="W34" i="15"/>
  <c r="U133" i="15"/>
  <c r="V87" i="15"/>
  <c r="W33" i="15"/>
  <c r="V20" i="15"/>
  <c r="V130" i="15"/>
  <c r="T78" i="15"/>
  <c r="U76" i="15"/>
  <c r="AP144" i="17"/>
  <c r="V52" i="15"/>
  <c r="W122" i="15"/>
  <c r="FS81" i="10"/>
  <c r="V93" i="15"/>
  <c r="V119" i="15"/>
  <c r="V22" i="15"/>
  <c r="U64" i="15"/>
  <c r="W28" i="15"/>
  <c r="U118" i="15"/>
  <c r="V103" i="15"/>
  <c r="W63" i="15"/>
  <c r="T43" i="15"/>
  <c r="T132" i="15"/>
  <c r="T56" i="15"/>
  <c r="W89" i="15"/>
  <c r="T131" i="15"/>
  <c r="AO145" i="15"/>
  <c r="W57" i="15"/>
  <c r="T42" i="15"/>
  <c r="V51" i="15"/>
  <c r="T26" i="15"/>
  <c r="T115" i="15"/>
  <c r="T118" i="15"/>
  <c r="V64" i="15"/>
  <c r="T37" i="15"/>
  <c r="T36" i="15"/>
  <c r="T103" i="15"/>
  <c r="W129" i="15"/>
  <c r="EX81" i="10"/>
  <c r="W123" i="15"/>
  <c r="W74" i="15"/>
  <c r="W59" i="15"/>
  <c r="V100" i="15"/>
  <c r="U117" i="15"/>
  <c r="U38" i="15"/>
  <c r="T72" i="15"/>
  <c r="T50" i="15"/>
  <c r="V126" i="15"/>
  <c r="T82" i="15"/>
  <c r="V75" i="15"/>
  <c r="V85" i="15"/>
  <c r="V55" i="15"/>
  <c r="HL69" i="10" l="1"/>
  <c r="HN69" i="10" s="1"/>
  <c r="C49" i="14" s="1"/>
  <c r="GW73" i="10"/>
  <c r="HL70" i="10"/>
  <c r="HN70" i="10" s="1"/>
  <c r="C50" i="14" s="1"/>
  <c r="HA71" i="10"/>
  <c r="GZ72" i="10"/>
  <c r="GZ71" i="10"/>
  <c r="GX72" i="10"/>
  <c r="GV71" i="10"/>
  <c r="AE55" i="15"/>
  <c r="AE606" i="15" s="1"/>
  <c r="AP606" i="15" s="1"/>
  <c r="AX606" i="15" s="1"/>
  <c r="BE606" i="15" s="1"/>
  <c r="BM606" i="15" s="1"/>
  <c r="AB55" i="15"/>
  <c r="AB606" i="15" s="1"/>
  <c r="AD55" i="15"/>
  <c r="AD606" i="15" s="1"/>
  <c r="AD131" i="15"/>
  <c r="AD682" i="15" s="1"/>
  <c r="AO682" i="15" s="1"/>
  <c r="AW682" i="15" s="1"/>
  <c r="BD682" i="15" s="1"/>
  <c r="BL682" i="15" s="1"/>
  <c r="AB131" i="15"/>
  <c r="AB682" i="15" s="1"/>
  <c r="AM682" i="15" s="1"/>
  <c r="AU682" i="15" s="1"/>
  <c r="BB682" i="15" s="1"/>
  <c r="BJ682" i="15" s="1"/>
  <c r="AE129" i="15"/>
  <c r="AE680" i="15" s="1"/>
  <c r="AP680" i="15" s="1"/>
  <c r="AX680" i="15" s="1"/>
  <c r="BE680" i="15" s="1"/>
  <c r="BM680" i="15" s="1"/>
  <c r="AD85" i="15"/>
  <c r="AD636" i="15" s="1"/>
  <c r="AO636" i="15" s="1"/>
  <c r="AW636" i="15" s="1"/>
  <c r="BD636" i="15" s="1"/>
  <c r="BL636" i="15" s="1"/>
  <c r="AC85" i="15"/>
  <c r="AC636" i="15" s="1"/>
  <c r="AN636" i="15" s="1"/>
  <c r="AV636" i="15" s="1"/>
  <c r="BC636" i="15" s="1"/>
  <c r="BK636" i="15" s="1"/>
  <c r="AB85" i="15"/>
  <c r="AB636" i="15" s="1"/>
  <c r="AM636" i="15" s="1"/>
  <c r="AU636" i="15" s="1"/>
  <c r="BB636" i="15" s="1"/>
  <c r="BJ636" i="15" s="1"/>
  <c r="AE89" i="15"/>
  <c r="AE640" i="15" s="1"/>
  <c r="AP640" i="15" s="1"/>
  <c r="AX640" i="15" s="1"/>
  <c r="BE640" i="15" s="1"/>
  <c r="BM640" i="15" s="1"/>
  <c r="AD75" i="15"/>
  <c r="AD626" i="15" s="1"/>
  <c r="AO626" i="15" s="1"/>
  <c r="AW626" i="15" s="1"/>
  <c r="BD626" i="15" s="1"/>
  <c r="BL626" i="15" s="1"/>
  <c r="AB103" i="15"/>
  <c r="AB654" i="15" s="1"/>
  <c r="AM654" i="15" s="1"/>
  <c r="AU654" i="15" s="1"/>
  <c r="BB654" i="15" s="1"/>
  <c r="BJ654" i="15" s="1"/>
  <c r="AE103" i="15"/>
  <c r="AE654" i="15" s="1"/>
  <c r="AP654" i="15" s="1"/>
  <c r="AX654" i="15" s="1"/>
  <c r="BE654" i="15" s="1"/>
  <c r="BM654" i="15" s="1"/>
  <c r="AD103" i="15"/>
  <c r="AD654" i="15" s="1"/>
  <c r="AO654" i="15" s="1"/>
  <c r="AW654" i="15" s="1"/>
  <c r="BD654" i="15" s="1"/>
  <c r="BL654" i="15" s="1"/>
  <c r="AE82" i="15"/>
  <c r="AE633" i="15" s="1"/>
  <c r="AP633" i="15" s="1"/>
  <c r="AX633" i="15" s="1"/>
  <c r="BE633" i="15" s="1"/>
  <c r="BM633" i="15" s="1"/>
  <c r="AB82" i="15"/>
  <c r="AB633" i="15" s="1"/>
  <c r="AM633" i="15" s="1"/>
  <c r="AU633" i="15" s="1"/>
  <c r="BB633" i="15" s="1"/>
  <c r="BJ633" i="15" s="1"/>
  <c r="AB36" i="15"/>
  <c r="AD126" i="15"/>
  <c r="AD677" i="15" s="1"/>
  <c r="AO677" i="15" s="1"/>
  <c r="AW677" i="15" s="1"/>
  <c r="BD677" i="15" s="1"/>
  <c r="BL677" i="15" s="1"/>
  <c r="AB126" i="15"/>
  <c r="AB677" i="15" s="1"/>
  <c r="AM677" i="15" s="1"/>
  <c r="AU677" i="15" s="1"/>
  <c r="BB677" i="15" s="1"/>
  <c r="BJ677" i="15" s="1"/>
  <c r="AB37" i="15"/>
  <c r="AE50" i="15"/>
  <c r="AE601" i="15" s="1"/>
  <c r="AP601" i="15" s="1"/>
  <c r="AX601" i="15" s="1"/>
  <c r="BE601" i="15" s="1"/>
  <c r="BM601" i="15" s="1"/>
  <c r="AD50" i="15"/>
  <c r="AD601" i="15" s="1"/>
  <c r="AB50" i="15"/>
  <c r="AB601" i="15" s="1"/>
  <c r="AD64" i="15"/>
  <c r="AD615" i="15" s="1"/>
  <c r="AO615" i="15" s="1"/>
  <c r="AW615" i="15" s="1"/>
  <c r="BD615" i="15" s="1"/>
  <c r="BL615" i="15" s="1"/>
  <c r="AC64" i="15"/>
  <c r="AC615" i="15" s="1"/>
  <c r="AN615" i="15" s="1"/>
  <c r="AV615" i="15" s="1"/>
  <c r="BC615" i="15" s="1"/>
  <c r="BK615" i="15" s="1"/>
  <c r="AB72" i="15"/>
  <c r="AB623" i="15" s="1"/>
  <c r="AM623" i="15" s="1"/>
  <c r="AU623" i="15" s="1"/>
  <c r="BB623" i="15" s="1"/>
  <c r="BJ623" i="15" s="1"/>
  <c r="AB56" i="15"/>
  <c r="AB607" i="15" s="1"/>
  <c r="AB118" i="15"/>
  <c r="AB669" i="15" s="1"/>
  <c r="AM669" i="15" s="1"/>
  <c r="AU669" i="15" s="1"/>
  <c r="BB669" i="15" s="1"/>
  <c r="BJ669" i="15" s="1"/>
  <c r="AC118" i="15"/>
  <c r="AC669" i="15" s="1"/>
  <c r="AN669" i="15" s="1"/>
  <c r="AV669" i="15" s="1"/>
  <c r="BC669" i="15" s="1"/>
  <c r="BK669" i="15" s="1"/>
  <c r="AC38" i="15"/>
  <c r="AD38" i="15"/>
  <c r="AB115" i="15"/>
  <c r="AB666" i="15" s="1"/>
  <c r="AM666" i="15" s="1"/>
  <c r="AU666" i="15" s="1"/>
  <c r="BB666" i="15" s="1"/>
  <c r="BJ666" i="15" s="1"/>
  <c r="AC117" i="15"/>
  <c r="AC668" i="15" s="1"/>
  <c r="AN668" i="15" s="1"/>
  <c r="AV668" i="15" s="1"/>
  <c r="BC668" i="15" s="1"/>
  <c r="BK668" i="15" s="1"/>
  <c r="AD100" i="15"/>
  <c r="AD651" i="15" s="1"/>
  <c r="AO651" i="15" s="1"/>
  <c r="AW651" i="15" s="1"/>
  <c r="BD651" i="15" s="1"/>
  <c r="BL651" i="15" s="1"/>
  <c r="AC26" i="15"/>
  <c r="AB26" i="15"/>
  <c r="AE26" i="15"/>
  <c r="AC51" i="15"/>
  <c r="AC602" i="15" s="1"/>
  <c r="AD51" i="15"/>
  <c r="AD602" i="15" s="1"/>
  <c r="AB132" i="15"/>
  <c r="AB683" i="15" s="1"/>
  <c r="AM683" i="15" s="1"/>
  <c r="AU683" i="15" s="1"/>
  <c r="BB683" i="15" s="1"/>
  <c r="BJ683" i="15" s="1"/>
  <c r="AB42" i="15"/>
  <c r="AE42" i="15"/>
  <c r="AD42" i="15"/>
  <c r="AB59" i="15"/>
  <c r="AB610" i="15" s="1"/>
  <c r="AE59" i="15"/>
  <c r="AE610" i="15" s="1"/>
  <c r="AP610" i="15" s="1"/>
  <c r="AX610" i="15" s="1"/>
  <c r="BE610" i="15" s="1"/>
  <c r="BM610" i="15" s="1"/>
  <c r="AD74" i="15"/>
  <c r="AD625" i="15" s="1"/>
  <c r="AO625" i="15" s="1"/>
  <c r="AW625" i="15" s="1"/>
  <c r="BD625" i="15" s="1"/>
  <c r="BL625" i="15" s="1"/>
  <c r="AB74" i="15"/>
  <c r="AB625" i="15" s="1"/>
  <c r="AM625" i="15" s="1"/>
  <c r="AU625" i="15" s="1"/>
  <c r="BB625" i="15" s="1"/>
  <c r="BJ625" i="15" s="1"/>
  <c r="AC74" i="15"/>
  <c r="AC625" i="15" s="1"/>
  <c r="AN625" i="15" s="1"/>
  <c r="AV625" i="15" s="1"/>
  <c r="BC625" i="15" s="1"/>
  <c r="BK625" i="15" s="1"/>
  <c r="AE74" i="15"/>
  <c r="AE625" i="15" s="1"/>
  <c r="AP625" i="15" s="1"/>
  <c r="AX625" i="15" s="1"/>
  <c r="BE625" i="15" s="1"/>
  <c r="BM625" i="15" s="1"/>
  <c r="AC57" i="15"/>
  <c r="AC608" i="15" s="1"/>
  <c r="AE57" i="15"/>
  <c r="AE608" i="15" s="1"/>
  <c r="AP608" i="15" s="1"/>
  <c r="AX608" i="15" s="1"/>
  <c r="BE608" i="15" s="1"/>
  <c r="BM608" i="15" s="1"/>
  <c r="AB123" i="15"/>
  <c r="AB674" i="15" s="1"/>
  <c r="AM674" i="15" s="1"/>
  <c r="AU674" i="15" s="1"/>
  <c r="BB674" i="15" s="1"/>
  <c r="BJ674" i="15" s="1"/>
  <c r="AE123" i="15"/>
  <c r="AE674" i="15" s="1"/>
  <c r="AP674" i="15" s="1"/>
  <c r="AX674" i="15" s="1"/>
  <c r="BE674" i="15" s="1"/>
  <c r="BM674" i="15" s="1"/>
  <c r="HB71" i="10"/>
  <c r="AE79" i="15"/>
  <c r="AE630" i="15" s="1"/>
  <c r="AP630" i="15" s="1"/>
  <c r="AX630" i="15" s="1"/>
  <c r="BE630" i="15" s="1"/>
  <c r="BM630" i="15" s="1"/>
  <c r="AC79" i="15"/>
  <c r="AC630" i="15" s="1"/>
  <c r="AN630" i="15" s="1"/>
  <c r="AV630" i="15" s="1"/>
  <c r="BC630" i="15" s="1"/>
  <c r="BK630" i="15" s="1"/>
  <c r="AC95" i="15"/>
  <c r="AC646" i="15" s="1"/>
  <c r="AN646" i="15" s="1"/>
  <c r="AV646" i="15" s="1"/>
  <c r="BC646" i="15" s="1"/>
  <c r="BK646" i="15" s="1"/>
  <c r="AD65" i="15"/>
  <c r="AD616" i="15" s="1"/>
  <c r="AO616" i="15" s="1"/>
  <c r="AW616" i="15" s="1"/>
  <c r="BD616" i="15" s="1"/>
  <c r="BL616" i="15" s="1"/>
  <c r="AB65" i="15"/>
  <c r="AB616" i="15" s="1"/>
  <c r="AM616" i="15" s="1"/>
  <c r="AU616" i="15" s="1"/>
  <c r="BB616" i="15" s="1"/>
  <c r="BJ616" i="15" s="1"/>
  <c r="AE62" i="15"/>
  <c r="AE613" i="15" s="1"/>
  <c r="AP613" i="15" s="1"/>
  <c r="AX613" i="15" s="1"/>
  <c r="BE613" i="15" s="1"/>
  <c r="BM613" i="15" s="1"/>
  <c r="AD62" i="15"/>
  <c r="AD613" i="15" s="1"/>
  <c r="AE54" i="15"/>
  <c r="AE605" i="15" s="1"/>
  <c r="AP605" i="15" s="1"/>
  <c r="AX605" i="15" s="1"/>
  <c r="BE605" i="15" s="1"/>
  <c r="BM605" i="15" s="1"/>
  <c r="AD54" i="15"/>
  <c r="AD605" i="15" s="1"/>
  <c r="AE96" i="15"/>
  <c r="AE647" i="15" s="1"/>
  <c r="AP647" i="15" s="1"/>
  <c r="AX647" i="15" s="1"/>
  <c r="BE647" i="15" s="1"/>
  <c r="BM647" i="15" s="1"/>
  <c r="AC96" i="15"/>
  <c r="AC647" i="15" s="1"/>
  <c r="AN647" i="15" s="1"/>
  <c r="AV647" i="15" s="1"/>
  <c r="BC647" i="15" s="1"/>
  <c r="BK647" i="15" s="1"/>
  <c r="AB96" i="15"/>
  <c r="AB647" i="15" s="1"/>
  <c r="AM647" i="15" s="1"/>
  <c r="AU647" i="15" s="1"/>
  <c r="BB647" i="15" s="1"/>
  <c r="BJ647" i="15" s="1"/>
  <c r="AC130" i="15"/>
  <c r="AC681" i="15" s="1"/>
  <c r="AN681" i="15" s="1"/>
  <c r="AV681" i="15" s="1"/>
  <c r="BC681" i="15" s="1"/>
  <c r="BK681" i="15" s="1"/>
  <c r="AD130" i="15"/>
  <c r="AD681" i="15" s="1"/>
  <c r="AO681" i="15" s="1"/>
  <c r="AW681" i="15" s="1"/>
  <c r="BD681" i="15" s="1"/>
  <c r="BL681" i="15" s="1"/>
  <c r="AD83" i="15"/>
  <c r="AD634" i="15" s="1"/>
  <c r="AO634" i="15" s="1"/>
  <c r="AW634" i="15" s="1"/>
  <c r="BD634" i="15" s="1"/>
  <c r="BL634" i="15" s="1"/>
  <c r="AC35" i="15"/>
  <c r="AD35" i="15"/>
  <c r="AE35" i="15"/>
  <c r="AB40" i="15"/>
  <c r="AD63" i="15"/>
  <c r="AD614" i="15" s="1"/>
  <c r="AO614" i="15" s="1"/>
  <c r="AW614" i="15" s="1"/>
  <c r="BD614" i="15" s="1"/>
  <c r="BL614" i="15" s="1"/>
  <c r="AC63" i="15"/>
  <c r="AC614" i="15" s="1"/>
  <c r="AN614" i="15" s="1"/>
  <c r="AV614" i="15" s="1"/>
  <c r="BC614" i="15" s="1"/>
  <c r="BK614" i="15" s="1"/>
  <c r="AE63" i="15"/>
  <c r="AE614" i="15" s="1"/>
  <c r="AP614" i="15" s="1"/>
  <c r="AX614" i="15" s="1"/>
  <c r="BE614" i="15" s="1"/>
  <c r="BM614" i="15" s="1"/>
  <c r="AC128" i="15"/>
  <c r="AC679" i="15" s="1"/>
  <c r="AN679" i="15" s="1"/>
  <c r="AV679" i="15" s="1"/>
  <c r="BC679" i="15" s="1"/>
  <c r="BK679" i="15" s="1"/>
  <c r="AE128" i="15"/>
  <c r="AE679" i="15" s="1"/>
  <c r="AP679" i="15" s="1"/>
  <c r="AX679" i="15" s="1"/>
  <c r="BE679" i="15" s="1"/>
  <c r="BM679" i="15" s="1"/>
  <c r="AB128" i="15"/>
  <c r="AB679" i="15" s="1"/>
  <c r="AM679" i="15" s="1"/>
  <c r="AU679" i="15" s="1"/>
  <c r="BB679" i="15" s="1"/>
  <c r="BJ679" i="15" s="1"/>
  <c r="AC70" i="15"/>
  <c r="AC621" i="15" s="1"/>
  <c r="AN621" i="15" s="1"/>
  <c r="AV621" i="15" s="1"/>
  <c r="BC621" i="15" s="1"/>
  <c r="BK621" i="15" s="1"/>
  <c r="AE91" i="15"/>
  <c r="AE642" i="15" s="1"/>
  <c r="AP642" i="15" s="1"/>
  <c r="AX642" i="15" s="1"/>
  <c r="BE642" i="15" s="1"/>
  <c r="BM642" i="15" s="1"/>
  <c r="AD91" i="15"/>
  <c r="AD642" i="15" s="1"/>
  <c r="AO642" i="15" s="1"/>
  <c r="AW642" i="15" s="1"/>
  <c r="BD642" i="15" s="1"/>
  <c r="BL642" i="15" s="1"/>
  <c r="AD24" i="15"/>
  <c r="AB32" i="15"/>
  <c r="AD32" i="15"/>
  <c r="AD102" i="15"/>
  <c r="AD653" i="15" s="1"/>
  <c r="AO653" i="15" s="1"/>
  <c r="AW653" i="15" s="1"/>
  <c r="BD653" i="15" s="1"/>
  <c r="BL653" i="15" s="1"/>
  <c r="AE102" i="15"/>
  <c r="AE653" i="15" s="1"/>
  <c r="AP653" i="15" s="1"/>
  <c r="AX653" i="15" s="1"/>
  <c r="BE653" i="15" s="1"/>
  <c r="BM653" i="15" s="1"/>
  <c r="AC30" i="15"/>
  <c r="AC43" i="15"/>
  <c r="AB43" i="15"/>
  <c r="AB94" i="15"/>
  <c r="AB645" i="15" s="1"/>
  <c r="AM645" i="15" s="1"/>
  <c r="AU645" i="15" s="1"/>
  <c r="BB645" i="15" s="1"/>
  <c r="BJ645" i="15" s="1"/>
  <c r="AE94" i="15"/>
  <c r="AE645" i="15" s="1"/>
  <c r="AP645" i="15" s="1"/>
  <c r="AX645" i="15" s="1"/>
  <c r="BE645" i="15" s="1"/>
  <c r="BM645" i="15" s="1"/>
  <c r="AE76" i="15"/>
  <c r="AE627" i="15" s="1"/>
  <c r="AP627" i="15" s="1"/>
  <c r="AX627" i="15" s="1"/>
  <c r="BE627" i="15" s="1"/>
  <c r="BM627" i="15" s="1"/>
  <c r="AC76" i="15"/>
  <c r="AC627" i="15" s="1"/>
  <c r="AN627" i="15" s="1"/>
  <c r="AV627" i="15" s="1"/>
  <c r="BC627" i="15" s="1"/>
  <c r="BK627" i="15" s="1"/>
  <c r="AD68" i="15"/>
  <c r="AD619" i="15" s="1"/>
  <c r="AO619" i="15" s="1"/>
  <c r="AW619" i="15" s="1"/>
  <c r="BD619" i="15" s="1"/>
  <c r="BL619" i="15" s="1"/>
  <c r="AC68" i="15"/>
  <c r="AC619" i="15" s="1"/>
  <c r="AN619" i="15" s="1"/>
  <c r="AV619" i="15" s="1"/>
  <c r="BC619" i="15" s="1"/>
  <c r="BK619" i="15" s="1"/>
  <c r="AB68" i="15"/>
  <c r="AB619" i="15" s="1"/>
  <c r="AM619" i="15" s="1"/>
  <c r="AU619" i="15" s="1"/>
  <c r="BB619" i="15" s="1"/>
  <c r="BJ619" i="15" s="1"/>
  <c r="AE68" i="15"/>
  <c r="AE619" i="15" s="1"/>
  <c r="AP619" i="15" s="1"/>
  <c r="AX619" i="15" s="1"/>
  <c r="BE619" i="15" s="1"/>
  <c r="BM619" i="15" s="1"/>
  <c r="AB90" i="15"/>
  <c r="AB641" i="15" s="1"/>
  <c r="AM641" i="15" s="1"/>
  <c r="AU641" i="15" s="1"/>
  <c r="BB641" i="15" s="1"/>
  <c r="BJ641" i="15" s="1"/>
  <c r="AC90" i="15"/>
  <c r="AC641" i="15" s="1"/>
  <c r="AN641" i="15" s="1"/>
  <c r="AV641" i="15" s="1"/>
  <c r="BC641" i="15" s="1"/>
  <c r="BK641" i="15" s="1"/>
  <c r="AB127" i="15"/>
  <c r="AB678" i="15" s="1"/>
  <c r="AM678" i="15" s="1"/>
  <c r="AU678" i="15" s="1"/>
  <c r="BB678" i="15" s="1"/>
  <c r="BJ678" i="15" s="1"/>
  <c r="AC114" i="15"/>
  <c r="AC665" i="15" s="1"/>
  <c r="AN665" i="15" s="1"/>
  <c r="AV665" i="15" s="1"/>
  <c r="BC665" i="15" s="1"/>
  <c r="BK665" i="15" s="1"/>
  <c r="AE114" i="15"/>
  <c r="AE665" i="15" s="1"/>
  <c r="AP665" i="15" s="1"/>
  <c r="AX665" i="15" s="1"/>
  <c r="BE665" i="15" s="1"/>
  <c r="BM665" i="15" s="1"/>
  <c r="AB114" i="15"/>
  <c r="AB665" i="15" s="1"/>
  <c r="AM665" i="15" s="1"/>
  <c r="AU665" i="15" s="1"/>
  <c r="BB665" i="15" s="1"/>
  <c r="BJ665" i="15" s="1"/>
  <c r="AB41" i="15"/>
  <c r="AD41" i="15"/>
  <c r="AB61" i="15"/>
  <c r="AB612" i="15" s="1"/>
  <c r="AD61" i="15"/>
  <c r="AD612" i="15" s="1"/>
  <c r="AC61" i="15"/>
  <c r="AC612" i="15" s="1"/>
  <c r="AN612" i="15" s="1"/>
  <c r="AV612" i="15" s="1"/>
  <c r="BC612" i="15" s="1"/>
  <c r="BK612" i="15" s="1"/>
  <c r="AD88" i="15"/>
  <c r="AD639" i="15" s="1"/>
  <c r="AO639" i="15" s="1"/>
  <c r="AW639" i="15" s="1"/>
  <c r="BD639" i="15" s="1"/>
  <c r="BL639" i="15" s="1"/>
  <c r="AE88" i="15"/>
  <c r="AE639" i="15" s="1"/>
  <c r="AP639" i="15" s="1"/>
  <c r="AX639" i="15" s="1"/>
  <c r="BE639" i="15" s="1"/>
  <c r="BM639" i="15" s="1"/>
  <c r="AB88" i="15"/>
  <c r="AB639" i="15" s="1"/>
  <c r="AM639" i="15" s="1"/>
  <c r="AU639" i="15" s="1"/>
  <c r="BB639" i="15" s="1"/>
  <c r="BJ639" i="15" s="1"/>
  <c r="GW71" i="10"/>
  <c r="GR71" i="10"/>
  <c r="LD71" i="10" s="1"/>
  <c r="HB73" i="10"/>
  <c r="AD23" i="15"/>
  <c r="AE23" i="15"/>
  <c r="AB23" i="15"/>
  <c r="AC23" i="15"/>
  <c r="AE105" i="15"/>
  <c r="AE656" i="15" s="1"/>
  <c r="AP656" i="15" s="1"/>
  <c r="AX656" i="15" s="1"/>
  <c r="BE656" i="15" s="1"/>
  <c r="BM656" i="15" s="1"/>
  <c r="AB105" i="15"/>
  <c r="AB656" i="15" s="1"/>
  <c r="AM656" i="15" s="1"/>
  <c r="AU656" i="15" s="1"/>
  <c r="BB656" i="15" s="1"/>
  <c r="BJ656" i="15" s="1"/>
  <c r="AC105" i="15"/>
  <c r="AC656" i="15" s="1"/>
  <c r="AN656" i="15" s="1"/>
  <c r="AV656" i="15" s="1"/>
  <c r="BC656" i="15" s="1"/>
  <c r="BK656" i="15" s="1"/>
  <c r="AD105" i="15"/>
  <c r="AD656" i="15" s="1"/>
  <c r="AO656" i="15" s="1"/>
  <c r="AW656" i="15" s="1"/>
  <c r="BD656" i="15" s="1"/>
  <c r="BL656" i="15" s="1"/>
  <c r="AB34" i="15"/>
  <c r="AD34" i="15"/>
  <c r="AC34" i="15"/>
  <c r="AE34" i="15"/>
  <c r="AC106" i="15"/>
  <c r="AC657" i="15" s="1"/>
  <c r="AN657" i="15" s="1"/>
  <c r="AV657" i="15" s="1"/>
  <c r="BC657" i="15" s="1"/>
  <c r="BK657" i="15" s="1"/>
  <c r="AB106" i="15"/>
  <c r="AB657" i="15" s="1"/>
  <c r="AM657" i="15" s="1"/>
  <c r="AU657" i="15" s="1"/>
  <c r="BB657" i="15" s="1"/>
  <c r="BJ657" i="15" s="1"/>
  <c r="AD106" i="15"/>
  <c r="AD657" i="15" s="1"/>
  <c r="AO657" i="15" s="1"/>
  <c r="AW657" i="15" s="1"/>
  <c r="BD657" i="15" s="1"/>
  <c r="BL657" i="15" s="1"/>
  <c r="AE106" i="15"/>
  <c r="AE657" i="15" s="1"/>
  <c r="AP657" i="15" s="1"/>
  <c r="AX657" i="15" s="1"/>
  <c r="BE657" i="15" s="1"/>
  <c r="BM657" i="15" s="1"/>
  <c r="AD133" i="15"/>
  <c r="AD684" i="15" s="1"/>
  <c r="AO684" i="15" s="1"/>
  <c r="AW684" i="15" s="1"/>
  <c r="BD684" i="15" s="1"/>
  <c r="BL684" i="15" s="1"/>
  <c r="AC133" i="15"/>
  <c r="AC684" i="15" s="1"/>
  <c r="AN684" i="15" s="1"/>
  <c r="AV684" i="15" s="1"/>
  <c r="BC684" i="15" s="1"/>
  <c r="BK684" i="15" s="1"/>
  <c r="AE133" i="15"/>
  <c r="AE684" i="15" s="1"/>
  <c r="AP684" i="15" s="1"/>
  <c r="AX684" i="15" s="1"/>
  <c r="BE684" i="15" s="1"/>
  <c r="BM684" i="15" s="1"/>
  <c r="AB133" i="15"/>
  <c r="AB684" i="15" s="1"/>
  <c r="AM684" i="15" s="1"/>
  <c r="AU684" i="15" s="1"/>
  <c r="BB684" i="15" s="1"/>
  <c r="BJ684" i="15" s="1"/>
  <c r="AB27" i="15"/>
  <c r="AD27" i="15"/>
  <c r="AE27" i="15"/>
  <c r="AC27" i="15"/>
  <c r="AB80" i="15"/>
  <c r="AB631" i="15" s="1"/>
  <c r="AM631" i="15" s="1"/>
  <c r="AU631" i="15" s="1"/>
  <c r="BB631" i="15" s="1"/>
  <c r="BJ631" i="15" s="1"/>
  <c r="AC80" i="15"/>
  <c r="AC631" i="15" s="1"/>
  <c r="AN631" i="15" s="1"/>
  <c r="AV631" i="15" s="1"/>
  <c r="BC631" i="15" s="1"/>
  <c r="BK631" i="15" s="1"/>
  <c r="AD80" i="15"/>
  <c r="AD631" i="15" s="1"/>
  <c r="AO631" i="15" s="1"/>
  <c r="AW631" i="15" s="1"/>
  <c r="BD631" i="15" s="1"/>
  <c r="BL631" i="15" s="1"/>
  <c r="AE80" i="15"/>
  <c r="AE631" i="15" s="1"/>
  <c r="AP631" i="15" s="1"/>
  <c r="AX631" i="15" s="1"/>
  <c r="BE631" i="15" s="1"/>
  <c r="BM631" i="15" s="1"/>
  <c r="AC22" i="15"/>
  <c r="AD22" i="15"/>
  <c r="AE22" i="15"/>
  <c r="AB22" i="15"/>
  <c r="AB111" i="15"/>
  <c r="AB662" i="15" s="1"/>
  <c r="AM662" i="15" s="1"/>
  <c r="AU662" i="15" s="1"/>
  <c r="BB662" i="15" s="1"/>
  <c r="BJ662" i="15" s="1"/>
  <c r="AC111" i="15"/>
  <c r="AC662" i="15" s="1"/>
  <c r="AN662" i="15" s="1"/>
  <c r="AV662" i="15" s="1"/>
  <c r="BC662" i="15" s="1"/>
  <c r="BK662" i="15" s="1"/>
  <c r="AE111" i="15"/>
  <c r="AE662" i="15" s="1"/>
  <c r="AP662" i="15" s="1"/>
  <c r="AX662" i="15" s="1"/>
  <c r="BE662" i="15" s="1"/>
  <c r="BM662" i="15" s="1"/>
  <c r="AD111" i="15"/>
  <c r="AD662" i="15" s="1"/>
  <c r="AO662" i="15" s="1"/>
  <c r="AW662" i="15" s="1"/>
  <c r="BD662" i="15" s="1"/>
  <c r="BL662" i="15" s="1"/>
  <c r="AE28" i="15"/>
  <c r="AC28" i="15"/>
  <c r="AD28" i="15"/>
  <c r="AB28" i="15"/>
  <c r="AE84" i="15"/>
  <c r="AE635" i="15" s="1"/>
  <c r="AP635" i="15" s="1"/>
  <c r="AX635" i="15" s="1"/>
  <c r="BE635" i="15" s="1"/>
  <c r="BM635" i="15" s="1"/>
  <c r="AD84" i="15"/>
  <c r="AD635" i="15" s="1"/>
  <c r="AO635" i="15" s="1"/>
  <c r="AW635" i="15" s="1"/>
  <c r="BD635" i="15" s="1"/>
  <c r="BL635" i="15" s="1"/>
  <c r="AB84" i="15"/>
  <c r="AB635" i="15" s="1"/>
  <c r="AM635" i="15" s="1"/>
  <c r="AU635" i="15" s="1"/>
  <c r="BB635" i="15" s="1"/>
  <c r="BJ635" i="15" s="1"/>
  <c r="AC84" i="15"/>
  <c r="AC635" i="15" s="1"/>
  <c r="AN635" i="15" s="1"/>
  <c r="AV635" i="15" s="1"/>
  <c r="BC635" i="15" s="1"/>
  <c r="BK635" i="15" s="1"/>
  <c r="AD47" i="15"/>
  <c r="AD598" i="15" s="1"/>
  <c r="AC47" i="15"/>
  <c r="AC598" i="15" s="1"/>
  <c r="AB47" i="15"/>
  <c r="AB598" i="15" s="1"/>
  <c r="AE47" i="15"/>
  <c r="AE598" i="15" s="1"/>
  <c r="AP598" i="15" s="1"/>
  <c r="AX598" i="15" s="1"/>
  <c r="BE598" i="15" s="1"/>
  <c r="BM598" i="15" s="1"/>
  <c r="AB78" i="15"/>
  <c r="AB629" i="15" s="1"/>
  <c r="AM629" i="15" s="1"/>
  <c r="AU629" i="15" s="1"/>
  <c r="BB629" i="15" s="1"/>
  <c r="BJ629" i="15" s="1"/>
  <c r="AD78" i="15"/>
  <c r="AD629" i="15" s="1"/>
  <c r="AO629" i="15" s="1"/>
  <c r="AW629" i="15" s="1"/>
  <c r="BD629" i="15" s="1"/>
  <c r="BL629" i="15" s="1"/>
  <c r="AE78" i="15"/>
  <c r="AE629" i="15" s="1"/>
  <c r="AP629" i="15" s="1"/>
  <c r="AX629" i="15" s="1"/>
  <c r="BE629" i="15" s="1"/>
  <c r="BM629" i="15" s="1"/>
  <c r="AC78" i="15"/>
  <c r="AC629" i="15" s="1"/>
  <c r="AN629" i="15" s="1"/>
  <c r="AV629" i="15" s="1"/>
  <c r="BC629" i="15" s="1"/>
  <c r="BK629" i="15" s="1"/>
  <c r="AE97" i="15"/>
  <c r="AE648" i="15" s="1"/>
  <c r="AP648" i="15" s="1"/>
  <c r="AX648" i="15" s="1"/>
  <c r="BE648" i="15" s="1"/>
  <c r="BM648" i="15" s="1"/>
  <c r="AD97" i="15"/>
  <c r="AD648" i="15" s="1"/>
  <c r="AO648" i="15" s="1"/>
  <c r="AW648" i="15" s="1"/>
  <c r="BD648" i="15" s="1"/>
  <c r="BL648" i="15" s="1"/>
  <c r="AC97" i="15"/>
  <c r="AC648" i="15" s="1"/>
  <c r="AN648" i="15" s="1"/>
  <c r="AV648" i="15" s="1"/>
  <c r="BC648" i="15" s="1"/>
  <c r="BK648" i="15" s="1"/>
  <c r="AB97" i="15"/>
  <c r="AB648" i="15" s="1"/>
  <c r="AM648" i="15" s="1"/>
  <c r="AU648" i="15" s="1"/>
  <c r="BB648" i="15" s="1"/>
  <c r="BJ648" i="15" s="1"/>
  <c r="AD113" i="15"/>
  <c r="AD664" i="15" s="1"/>
  <c r="AO664" i="15" s="1"/>
  <c r="AW664" i="15" s="1"/>
  <c r="BD664" i="15" s="1"/>
  <c r="BL664" i="15" s="1"/>
  <c r="AC113" i="15"/>
  <c r="AC664" i="15" s="1"/>
  <c r="AN664" i="15" s="1"/>
  <c r="AV664" i="15" s="1"/>
  <c r="BC664" i="15" s="1"/>
  <c r="BK664" i="15" s="1"/>
  <c r="AB113" i="15"/>
  <c r="AB664" i="15" s="1"/>
  <c r="AM664" i="15" s="1"/>
  <c r="AU664" i="15" s="1"/>
  <c r="BB664" i="15" s="1"/>
  <c r="BJ664" i="15" s="1"/>
  <c r="AE113" i="15"/>
  <c r="AE664" i="15" s="1"/>
  <c r="AP664" i="15" s="1"/>
  <c r="AX664" i="15" s="1"/>
  <c r="BE664" i="15" s="1"/>
  <c r="BM664" i="15" s="1"/>
  <c r="AB101" i="15"/>
  <c r="AB652" i="15" s="1"/>
  <c r="AM652" i="15" s="1"/>
  <c r="AU652" i="15" s="1"/>
  <c r="BB652" i="15" s="1"/>
  <c r="BJ652" i="15" s="1"/>
  <c r="AC101" i="15"/>
  <c r="AC652" i="15" s="1"/>
  <c r="AN652" i="15" s="1"/>
  <c r="AV652" i="15" s="1"/>
  <c r="BC652" i="15" s="1"/>
  <c r="BK652" i="15" s="1"/>
  <c r="AE101" i="15"/>
  <c r="AE652" i="15" s="1"/>
  <c r="AP652" i="15" s="1"/>
  <c r="AX652" i="15" s="1"/>
  <c r="BE652" i="15" s="1"/>
  <c r="BM652" i="15" s="1"/>
  <c r="AD101" i="15"/>
  <c r="AD652" i="15" s="1"/>
  <c r="AO652" i="15" s="1"/>
  <c r="AW652" i="15" s="1"/>
  <c r="BD652" i="15" s="1"/>
  <c r="BL652" i="15" s="1"/>
  <c r="AC31" i="15"/>
  <c r="AD31" i="15"/>
  <c r="AB31" i="15"/>
  <c r="AE31" i="15"/>
  <c r="AE108" i="15"/>
  <c r="AE659" i="15" s="1"/>
  <c r="AP659" i="15" s="1"/>
  <c r="AX659" i="15" s="1"/>
  <c r="BE659" i="15" s="1"/>
  <c r="BM659" i="15" s="1"/>
  <c r="AD108" i="15"/>
  <c r="AD659" i="15" s="1"/>
  <c r="AO659" i="15" s="1"/>
  <c r="AW659" i="15" s="1"/>
  <c r="BD659" i="15" s="1"/>
  <c r="BL659" i="15" s="1"/>
  <c r="AB108" i="15"/>
  <c r="AB659" i="15" s="1"/>
  <c r="AM659" i="15" s="1"/>
  <c r="AU659" i="15" s="1"/>
  <c r="BB659" i="15" s="1"/>
  <c r="BJ659" i="15" s="1"/>
  <c r="AC108" i="15"/>
  <c r="AC659" i="15" s="1"/>
  <c r="AN659" i="15" s="1"/>
  <c r="AV659" i="15" s="1"/>
  <c r="BC659" i="15" s="1"/>
  <c r="BK659" i="15" s="1"/>
  <c r="AC66" i="15"/>
  <c r="AC617" i="15" s="1"/>
  <c r="AN617" i="15" s="1"/>
  <c r="AV617" i="15" s="1"/>
  <c r="BC617" i="15" s="1"/>
  <c r="BK617" i="15" s="1"/>
  <c r="AE66" i="15"/>
  <c r="AE617" i="15" s="1"/>
  <c r="AP617" i="15" s="1"/>
  <c r="AX617" i="15" s="1"/>
  <c r="BE617" i="15" s="1"/>
  <c r="BM617" i="15" s="1"/>
  <c r="AB66" i="15"/>
  <c r="AB617" i="15" s="1"/>
  <c r="AM617" i="15" s="1"/>
  <c r="AU617" i="15" s="1"/>
  <c r="BB617" i="15" s="1"/>
  <c r="BJ617" i="15" s="1"/>
  <c r="AD66" i="15"/>
  <c r="AD617" i="15" s="1"/>
  <c r="AO617" i="15" s="1"/>
  <c r="AW617" i="15" s="1"/>
  <c r="BD617" i="15" s="1"/>
  <c r="BL617" i="15" s="1"/>
  <c r="AC122" i="15"/>
  <c r="AC673" i="15" s="1"/>
  <c r="AN673" i="15" s="1"/>
  <c r="AV673" i="15" s="1"/>
  <c r="BC673" i="15" s="1"/>
  <c r="BK673" i="15" s="1"/>
  <c r="AD122" i="15"/>
  <c r="AD673" i="15" s="1"/>
  <c r="AO673" i="15" s="1"/>
  <c r="AW673" i="15" s="1"/>
  <c r="BD673" i="15" s="1"/>
  <c r="BL673" i="15" s="1"/>
  <c r="AE122" i="15"/>
  <c r="AE673" i="15" s="1"/>
  <c r="AP673" i="15" s="1"/>
  <c r="AX673" i="15" s="1"/>
  <c r="BE673" i="15" s="1"/>
  <c r="BM673" i="15" s="1"/>
  <c r="AB122" i="15"/>
  <c r="AB673" i="15" s="1"/>
  <c r="AM673" i="15" s="1"/>
  <c r="AU673" i="15" s="1"/>
  <c r="BB673" i="15" s="1"/>
  <c r="BJ673" i="15" s="1"/>
  <c r="AE44" i="15"/>
  <c r="AC44" i="15"/>
  <c r="AB44" i="15"/>
  <c r="AD44" i="15"/>
  <c r="AE119" i="15"/>
  <c r="AE670" i="15" s="1"/>
  <c r="AP670" i="15" s="1"/>
  <c r="AX670" i="15" s="1"/>
  <c r="BE670" i="15" s="1"/>
  <c r="BM670" i="15" s="1"/>
  <c r="AB119" i="15"/>
  <c r="AB670" i="15" s="1"/>
  <c r="AM670" i="15" s="1"/>
  <c r="AU670" i="15" s="1"/>
  <c r="BB670" i="15" s="1"/>
  <c r="BJ670" i="15" s="1"/>
  <c r="AC119" i="15"/>
  <c r="AC670" i="15" s="1"/>
  <c r="AN670" i="15" s="1"/>
  <c r="AV670" i="15" s="1"/>
  <c r="BC670" i="15" s="1"/>
  <c r="BK670" i="15" s="1"/>
  <c r="AD119" i="15"/>
  <c r="AD670" i="15" s="1"/>
  <c r="AO670" i="15" s="1"/>
  <c r="AW670" i="15" s="1"/>
  <c r="BD670" i="15" s="1"/>
  <c r="BL670" i="15" s="1"/>
  <c r="AC110" i="15"/>
  <c r="AC661" i="15" s="1"/>
  <c r="AN661" i="15" s="1"/>
  <c r="AV661" i="15" s="1"/>
  <c r="BC661" i="15" s="1"/>
  <c r="BK661" i="15" s="1"/>
  <c r="AB110" i="15"/>
  <c r="AB661" i="15" s="1"/>
  <c r="AM661" i="15" s="1"/>
  <c r="AU661" i="15" s="1"/>
  <c r="BB661" i="15" s="1"/>
  <c r="BJ661" i="15" s="1"/>
  <c r="AE110" i="15"/>
  <c r="AE661" i="15" s="1"/>
  <c r="AP661" i="15" s="1"/>
  <c r="AX661" i="15" s="1"/>
  <c r="BE661" i="15" s="1"/>
  <c r="BM661" i="15" s="1"/>
  <c r="AD110" i="15"/>
  <c r="AD661" i="15" s="1"/>
  <c r="AO661" i="15" s="1"/>
  <c r="AW661" i="15" s="1"/>
  <c r="BD661" i="15" s="1"/>
  <c r="BL661" i="15" s="1"/>
  <c r="AC71" i="15"/>
  <c r="AC622" i="15" s="1"/>
  <c r="AN622" i="15" s="1"/>
  <c r="AV622" i="15" s="1"/>
  <c r="BC622" i="15" s="1"/>
  <c r="BK622" i="15" s="1"/>
  <c r="AB71" i="15"/>
  <c r="AB622" i="15" s="1"/>
  <c r="AM622" i="15" s="1"/>
  <c r="AU622" i="15" s="1"/>
  <c r="BB622" i="15" s="1"/>
  <c r="BJ622" i="15" s="1"/>
  <c r="AE71" i="15"/>
  <c r="AE622" i="15" s="1"/>
  <c r="AP622" i="15" s="1"/>
  <c r="AX622" i="15" s="1"/>
  <c r="BE622" i="15" s="1"/>
  <c r="BM622" i="15" s="1"/>
  <c r="AD71" i="15"/>
  <c r="AD622" i="15" s="1"/>
  <c r="AO622" i="15" s="1"/>
  <c r="AW622" i="15" s="1"/>
  <c r="BD622" i="15" s="1"/>
  <c r="BL622" i="15" s="1"/>
  <c r="AE98" i="15"/>
  <c r="AE649" i="15" s="1"/>
  <c r="AP649" i="15" s="1"/>
  <c r="AX649" i="15" s="1"/>
  <c r="BE649" i="15" s="1"/>
  <c r="BM649" i="15" s="1"/>
  <c r="AD98" i="15"/>
  <c r="AD649" i="15" s="1"/>
  <c r="AO649" i="15" s="1"/>
  <c r="AW649" i="15" s="1"/>
  <c r="BD649" i="15" s="1"/>
  <c r="BL649" i="15" s="1"/>
  <c r="AC98" i="15"/>
  <c r="AC649" i="15" s="1"/>
  <c r="AN649" i="15" s="1"/>
  <c r="AV649" i="15" s="1"/>
  <c r="BC649" i="15" s="1"/>
  <c r="BK649" i="15" s="1"/>
  <c r="AB98" i="15"/>
  <c r="AB649" i="15" s="1"/>
  <c r="AM649" i="15" s="1"/>
  <c r="AU649" i="15" s="1"/>
  <c r="BB649" i="15" s="1"/>
  <c r="BJ649" i="15" s="1"/>
  <c r="AE87" i="15"/>
  <c r="AE638" i="15" s="1"/>
  <c r="AP638" i="15" s="1"/>
  <c r="AX638" i="15" s="1"/>
  <c r="BE638" i="15" s="1"/>
  <c r="BM638" i="15" s="1"/>
  <c r="AC87" i="15"/>
  <c r="AC638" i="15" s="1"/>
  <c r="AN638" i="15" s="1"/>
  <c r="AV638" i="15" s="1"/>
  <c r="BC638" i="15" s="1"/>
  <c r="BK638" i="15" s="1"/>
  <c r="AB87" i="15"/>
  <c r="AB638" i="15" s="1"/>
  <c r="AM638" i="15" s="1"/>
  <c r="AU638" i="15" s="1"/>
  <c r="BB638" i="15" s="1"/>
  <c r="BJ638" i="15" s="1"/>
  <c r="AD87" i="15"/>
  <c r="AD638" i="15" s="1"/>
  <c r="AO638" i="15" s="1"/>
  <c r="AW638" i="15" s="1"/>
  <c r="BD638" i="15" s="1"/>
  <c r="BL638" i="15" s="1"/>
  <c r="AD109" i="15"/>
  <c r="AD660" i="15" s="1"/>
  <c r="AO660" i="15" s="1"/>
  <c r="AW660" i="15" s="1"/>
  <c r="BD660" i="15" s="1"/>
  <c r="BL660" i="15" s="1"/>
  <c r="AE109" i="15"/>
  <c r="AE660" i="15" s="1"/>
  <c r="AP660" i="15" s="1"/>
  <c r="AX660" i="15" s="1"/>
  <c r="BE660" i="15" s="1"/>
  <c r="BM660" i="15" s="1"/>
  <c r="AC109" i="15"/>
  <c r="AC660" i="15" s="1"/>
  <c r="AN660" i="15" s="1"/>
  <c r="AV660" i="15" s="1"/>
  <c r="BC660" i="15" s="1"/>
  <c r="BK660" i="15" s="1"/>
  <c r="AB109" i="15"/>
  <c r="AB660" i="15" s="1"/>
  <c r="AM660" i="15" s="1"/>
  <c r="AU660" i="15" s="1"/>
  <c r="BB660" i="15" s="1"/>
  <c r="BJ660" i="15" s="1"/>
  <c r="AD33" i="15"/>
  <c r="AE33" i="15"/>
  <c r="AB33" i="15"/>
  <c r="AC33" i="15"/>
  <c r="AD29" i="15"/>
  <c r="AE29" i="15"/>
  <c r="AB29" i="15"/>
  <c r="AC29" i="15"/>
  <c r="GX71" i="10"/>
  <c r="HB72" i="10"/>
  <c r="AD67" i="15"/>
  <c r="AD618" i="15" s="1"/>
  <c r="AO618" i="15" s="1"/>
  <c r="AW618" i="15" s="1"/>
  <c r="BD618" i="15" s="1"/>
  <c r="BL618" i="15" s="1"/>
  <c r="AC67" i="15"/>
  <c r="AC618" i="15" s="1"/>
  <c r="AN618" i="15" s="1"/>
  <c r="AV618" i="15" s="1"/>
  <c r="BC618" i="15" s="1"/>
  <c r="BK618" i="15" s="1"/>
  <c r="AE67" i="15"/>
  <c r="AE618" i="15" s="1"/>
  <c r="AP618" i="15" s="1"/>
  <c r="AX618" i="15" s="1"/>
  <c r="BE618" i="15" s="1"/>
  <c r="BM618" i="15" s="1"/>
  <c r="AB67" i="15"/>
  <c r="AB618" i="15" s="1"/>
  <c r="AM618" i="15" s="1"/>
  <c r="AU618" i="15" s="1"/>
  <c r="BB618" i="15" s="1"/>
  <c r="BJ618" i="15" s="1"/>
  <c r="AB69" i="15"/>
  <c r="AB620" i="15" s="1"/>
  <c r="AM620" i="15" s="1"/>
  <c r="AU620" i="15" s="1"/>
  <c r="BB620" i="15" s="1"/>
  <c r="BJ620" i="15" s="1"/>
  <c r="AC69" i="15"/>
  <c r="AC620" i="15" s="1"/>
  <c r="AN620" i="15" s="1"/>
  <c r="AV620" i="15" s="1"/>
  <c r="BC620" i="15" s="1"/>
  <c r="BK620" i="15" s="1"/>
  <c r="AD69" i="15"/>
  <c r="AD620" i="15" s="1"/>
  <c r="AO620" i="15" s="1"/>
  <c r="AW620" i="15" s="1"/>
  <c r="BD620" i="15" s="1"/>
  <c r="BL620" i="15" s="1"/>
  <c r="AE69" i="15"/>
  <c r="AE620" i="15" s="1"/>
  <c r="AP620" i="15" s="1"/>
  <c r="AX620" i="15" s="1"/>
  <c r="BE620" i="15" s="1"/>
  <c r="BM620" i="15" s="1"/>
  <c r="AC92" i="15"/>
  <c r="AC643" i="15" s="1"/>
  <c r="AN643" i="15" s="1"/>
  <c r="AV643" i="15" s="1"/>
  <c r="BC643" i="15" s="1"/>
  <c r="BK643" i="15" s="1"/>
  <c r="AB92" i="15"/>
  <c r="AB643" i="15" s="1"/>
  <c r="AM643" i="15" s="1"/>
  <c r="AU643" i="15" s="1"/>
  <c r="BB643" i="15" s="1"/>
  <c r="BJ643" i="15" s="1"/>
  <c r="AD92" i="15"/>
  <c r="AD643" i="15" s="1"/>
  <c r="AO643" i="15" s="1"/>
  <c r="AW643" i="15" s="1"/>
  <c r="BD643" i="15" s="1"/>
  <c r="BL643" i="15" s="1"/>
  <c r="AE92" i="15"/>
  <c r="AE643" i="15" s="1"/>
  <c r="AP643" i="15" s="1"/>
  <c r="AX643" i="15" s="1"/>
  <c r="BE643" i="15" s="1"/>
  <c r="BM643" i="15" s="1"/>
  <c r="AE81" i="15"/>
  <c r="AE632" i="15" s="1"/>
  <c r="AP632" i="15" s="1"/>
  <c r="AX632" i="15" s="1"/>
  <c r="BE632" i="15" s="1"/>
  <c r="BM632" i="15" s="1"/>
  <c r="AD81" i="15"/>
  <c r="AD632" i="15" s="1"/>
  <c r="AO632" i="15" s="1"/>
  <c r="AW632" i="15" s="1"/>
  <c r="BD632" i="15" s="1"/>
  <c r="BL632" i="15" s="1"/>
  <c r="AB81" i="15"/>
  <c r="AB632" i="15" s="1"/>
  <c r="AM632" i="15" s="1"/>
  <c r="AU632" i="15" s="1"/>
  <c r="BB632" i="15" s="1"/>
  <c r="BJ632" i="15" s="1"/>
  <c r="AC81" i="15"/>
  <c r="AC632" i="15" s="1"/>
  <c r="AN632" i="15" s="1"/>
  <c r="AV632" i="15" s="1"/>
  <c r="BC632" i="15" s="1"/>
  <c r="BK632" i="15" s="1"/>
  <c r="AE52" i="15"/>
  <c r="AE603" i="15" s="1"/>
  <c r="AP603" i="15" s="1"/>
  <c r="AX603" i="15" s="1"/>
  <c r="BE603" i="15" s="1"/>
  <c r="BM603" i="15" s="1"/>
  <c r="AB52" i="15"/>
  <c r="AB603" i="15" s="1"/>
  <c r="AC52" i="15"/>
  <c r="AC603" i="15" s="1"/>
  <c r="AD52" i="15"/>
  <c r="AD603" i="15" s="1"/>
  <c r="AD116" i="15"/>
  <c r="AD667" i="15" s="1"/>
  <c r="AO667" i="15" s="1"/>
  <c r="AW667" i="15" s="1"/>
  <c r="BD667" i="15" s="1"/>
  <c r="BL667" i="15" s="1"/>
  <c r="AE116" i="15"/>
  <c r="AE667" i="15" s="1"/>
  <c r="AP667" i="15" s="1"/>
  <c r="AX667" i="15" s="1"/>
  <c r="BE667" i="15" s="1"/>
  <c r="BM667" i="15" s="1"/>
  <c r="AB116" i="15"/>
  <c r="AB667" i="15" s="1"/>
  <c r="AM667" i="15" s="1"/>
  <c r="AU667" i="15" s="1"/>
  <c r="BB667" i="15" s="1"/>
  <c r="BJ667" i="15" s="1"/>
  <c r="AC116" i="15"/>
  <c r="AC667" i="15" s="1"/>
  <c r="AN667" i="15" s="1"/>
  <c r="AV667" i="15" s="1"/>
  <c r="BC667" i="15" s="1"/>
  <c r="BK667" i="15" s="1"/>
  <c r="AE104" i="15"/>
  <c r="AE655" i="15" s="1"/>
  <c r="AP655" i="15" s="1"/>
  <c r="AX655" i="15" s="1"/>
  <c r="BE655" i="15" s="1"/>
  <c r="BM655" i="15" s="1"/>
  <c r="AD104" i="15"/>
  <c r="AD655" i="15" s="1"/>
  <c r="AO655" i="15" s="1"/>
  <c r="AW655" i="15" s="1"/>
  <c r="BD655" i="15" s="1"/>
  <c r="BL655" i="15" s="1"/>
  <c r="AB104" i="15"/>
  <c r="AB655" i="15" s="1"/>
  <c r="AM655" i="15" s="1"/>
  <c r="AU655" i="15" s="1"/>
  <c r="BB655" i="15" s="1"/>
  <c r="BJ655" i="15" s="1"/>
  <c r="AC104" i="15"/>
  <c r="AC655" i="15" s="1"/>
  <c r="AN655" i="15" s="1"/>
  <c r="AV655" i="15" s="1"/>
  <c r="BC655" i="15" s="1"/>
  <c r="BK655" i="15" s="1"/>
  <c r="AB107" i="15"/>
  <c r="AB658" i="15" s="1"/>
  <c r="AM658" i="15" s="1"/>
  <c r="AU658" i="15" s="1"/>
  <c r="BB658" i="15" s="1"/>
  <c r="BJ658" i="15" s="1"/>
  <c r="AD107" i="15"/>
  <c r="AD658" i="15" s="1"/>
  <c r="AO658" i="15" s="1"/>
  <c r="AW658" i="15" s="1"/>
  <c r="BD658" i="15" s="1"/>
  <c r="BL658" i="15" s="1"/>
  <c r="AE107" i="15"/>
  <c r="AE658" i="15" s="1"/>
  <c r="AP658" i="15" s="1"/>
  <c r="AX658" i="15" s="1"/>
  <c r="BE658" i="15" s="1"/>
  <c r="BM658" i="15" s="1"/>
  <c r="AC107" i="15"/>
  <c r="AC658" i="15" s="1"/>
  <c r="AN658" i="15" s="1"/>
  <c r="AV658" i="15" s="1"/>
  <c r="BC658" i="15" s="1"/>
  <c r="BK658" i="15" s="1"/>
  <c r="AC48" i="15"/>
  <c r="AC599" i="15" s="1"/>
  <c r="AD48" i="15"/>
  <c r="AD599" i="15" s="1"/>
  <c r="AE48" i="15"/>
  <c r="AE599" i="15" s="1"/>
  <c r="AP599" i="15" s="1"/>
  <c r="AX599" i="15" s="1"/>
  <c r="BE599" i="15" s="1"/>
  <c r="BM599" i="15" s="1"/>
  <c r="AB48" i="15"/>
  <c r="AB599" i="15" s="1"/>
  <c r="AD49" i="15"/>
  <c r="AD600" i="15" s="1"/>
  <c r="AC49" i="15"/>
  <c r="AC600" i="15" s="1"/>
  <c r="AB49" i="15"/>
  <c r="AB600" i="15" s="1"/>
  <c r="AE49" i="15"/>
  <c r="AE600" i="15" s="1"/>
  <c r="AP600" i="15" s="1"/>
  <c r="AX600" i="15" s="1"/>
  <c r="BE600" i="15" s="1"/>
  <c r="BM600" i="15" s="1"/>
  <c r="AD120" i="15"/>
  <c r="AD671" i="15" s="1"/>
  <c r="AO671" i="15" s="1"/>
  <c r="AW671" i="15" s="1"/>
  <c r="BD671" i="15" s="1"/>
  <c r="BL671" i="15" s="1"/>
  <c r="AE120" i="15"/>
  <c r="AE671" i="15" s="1"/>
  <c r="AP671" i="15" s="1"/>
  <c r="AX671" i="15" s="1"/>
  <c r="BE671" i="15" s="1"/>
  <c r="BM671" i="15" s="1"/>
  <c r="AB120" i="15"/>
  <c r="AB671" i="15" s="1"/>
  <c r="AM671" i="15" s="1"/>
  <c r="AU671" i="15" s="1"/>
  <c r="BB671" i="15" s="1"/>
  <c r="BJ671" i="15" s="1"/>
  <c r="AC120" i="15"/>
  <c r="AC671" i="15" s="1"/>
  <c r="AN671" i="15" s="1"/>
  <c r="AV671" i="15" s="1"/>
  <c r="BC671" i="15" s="1"/>
  <c r="BK671" i="15" s="1"/>
  <c r="AB53" i="15"/>
  <c r="AB604" i="15" s="1"/>
  <c r="AE53" i="15"/>
  <c r="AE604" i="15" s="1"/>
  <c r="AP604" i="15" s="1"/>
  <c r="AX604" i="15" s="1"/>
  <c r="BE604" i="15" s="1"/>
  <c r="BM604" i="15" s="1"/>
  <c r="AD53" i="15"/>
  <c r="AD604" i="15" s="1"/>
  <c r="AC53" i="15"/>
  <c r="AC604" i="15" s="1"/>
  <c r="AC112" i="15"/>
  <c r="AC663" i="15" s="1"/>
  <c r="AN663" i="15" s="1"/>
  <c r="AV663" i="15" s="1"/>
  <c r="BC663" i="15" s="1"/>
  <c r="BK663" i="15" s="1"/>
  <c r="AB112" i="15"/>
  <c r="AB663" i="15" s="1"/>
  <c r="AM663" i="15" s="1"/>
  <c r="AU663" i="15" s="1"/>
  <c r="BB663" i="15" s="1"/>
  <c r="BJ663" i="15" s="1"/>
  <c r="AD112" i="15"/>
  <c r="AD663" i="15" s="1"/>
  <c r="AO663" i="15" s="1"/>
  <c r="AW663" i="15" s="1"/>
  <c r="BD663" i="15" s="1"/>
  <c r="BL663" i="15" s="1"/>
  <c r="AE112" i="15"/>
  <c r="AE663" i="15" s="1"/>
  <c r="AP663" i="15" s="1"/>
  <c r="AX663" i="15" s="1"/>
  <c r="BE663" i="15" s="1"/>
  <c r="BM663" i="15" s="1"/>
  <c r="AB46" i="15"/>
  <c r="AB597" i="15" s="1"/>
  <c r="AD46" i="15"/>
  <c r="AD597" i="15" s="1"/>
  <c r="AO597" i="15" s="1"/>
  <c r="AW597" i="15" s="1"/>
  <c r="BD597" i="15" s="1"/>
  <c r="BL597" i="15" s="1"/>
  <c r="AC46" i="15"/>
  <c r="AC597" i="15" s="1"/>
  <c r="AN597" i="15" s="1"/>
  <c r="AV597" i="15" s="1"/>
  <c r="BC597" i="15" s="1"/>
  <c r="BK597" i="15" s="1"/>
  <c r="AE46" i="15"/>
  <c r="AE597" i="15" s="1"/>
  <c r="AP597" i="15" s="1"/>
  <c r="AX597" i="15" s="1"/>
  <c r="BE597" i="15" s="1"/>
  <c r="BM597" i="15" s="1"/>
  <c r="AB124" i="15"/>
  <c r="AB675" i="15" s="1"/>
  <c r="AM675" i="15" s="1"/>
  <c r="AU675" i="15" s="1"/>
  <c r="BB675" i="15" s="1"/>
  <c r="BJ675" i="15" s="1"/>
  <c r="AE124" i="15"/>
  <c r="AE675" i="15" s="1"/>
  <c r="AP675" i="15" s="1"/>
  <c r="AX675" i="15" s="1"/>
  <c r="BE675" i="15" s="1"/>
  <c r="BM675" i="15" s="1"/>
  <c r="AC124" i="15"/>
  <c r="AC675" i="15" s="1"/>
  <c r="AN675" i="15" s="1"/>
  <c r="AV675" i="15" s="1"/>
  <c r="BC675" i="15" s="1"/>
  <c r="BK675" i="15" s="1"/>
  <c r="AD124" i="15"/>
  <c r="AD675" i="15" s="1"/>
  <c r="AO675" i="15" s="1"/>
  <c r="AW675" i="15" s="1"/>
  <c r="BD675" i="15" s="1"/>
  <c r="BL675" i="15" s="1"/>
  <c r="AC39" i="15"/>
  <c r="AB39" i="15"/>
  <c r="AD39" i="15"/>
  <c r="AE39" i="15"/>
  <c r="AB121" i="15"/>
  <c r="AB672" i="15" s="1"/>
  <c r="AM672" i="15" s="1"/>
  <c r="AU672" i="15" s="1"/>
  <c r="BB672" i="15" s="1"/>
  <c r="BJ672" i="15" s="1"/>
  <c r="AE121" i="15"/>
  <c r="AE672" i="15" s="1"/>
  <c r="AP672" i="15" s="1"/>
  <c r="AX672" i="15" s="1"/>
  <c r="BE672" i="15" s="1"/>
  <c r="BM672" i="15" s="1"/>
  <c r="AD121" i="15"/>
  <c r="AD672" i="15" s="1"/>
  <c r="AO672" i="15" s="1"/>
  <c r="AW672" i="15" s="1"/>
  <c r="BD672" i="15" s="1"/>
  <c r="BL672" i="15" s="1"/>
  <c r="AC121" i="15"/>
  <c r="AC672" i="15" s="1"/>
  <c r="AN672" i="15" s="1"/>
  <c r="AV672" i="15" s="1"/>
  <c r="BC672" i="15" s="1"/>
  <c r="BK672" i="15" s="1"/>
  <c r="AB77" i="15"/>
  <c r="AB628" i="15" s="1"/>
  <c r="AM628" i="15" s="1"/>
  <c r="AU628" i="15" s="1"/>
  <c r="BB628" i="15" s="1"/>
  <c r="BJ628" i="15" s="1"/>
  <c r="AD77" i="15"/>
  <c r="AD628" i="15" s="1"/>
  <c r="AO628" i="15" s="1"/>
  <c r="AW628" i="15" s="1"/>
  <c r="BD628" i="15" s="1"/>
  <c r="BL628" i="15" s="1"/>
  <c r="AC77" i="15"/>
  <c r="AC628" i="15" s="1"/>
  <c r="AN628" i="15" s="1"/>
  <c r="AV628" i="15" s="1"/>
  <c r="BC628" i="15" s="1"/>
  <c r="BK628" i="15" s="1"/>
  <c r="AE77" i="15"/>
  <c r="AE628" i="15" s="1"/>
  <c r="AP628" i="15" s="1"/>
  <c r="AX628" i="15" s="1"/>
  <c r="BE628" i="15" s="1"/>
  <c r="BM628" i="15" s="1"/>
  <c r="AC93" i="15"/>
  <c r="AC644" i="15" s="1"/>
  <c r="AN644" i="15" s="1"/>
  <c r="AV644" i="15" s="1"/>
  <c r="BC644" i="15" s="1"/>
  <c r="BK644" i="15" s="1"/>
  <c r="AE93" i="15"/>
  <c r="AE644" i="15" s="1"/>
  <c r="AP644" i="15" s="1"/>
  <c r="AX644" i="15" s="1"/>
  <c r="BE644" i="15" s="1"/>
  <c r="BM644" i="15" s="1"/>
  <c r="AB93" i="15"/>
  <c r="AB644" i="15" s="1"/>
  <c r="AM644" i="15" s="1"/>
  <c r="AU644" i="15" s="1"/>
  <c r="BB644" i="15" s="1"/>
  <c r="BJ644" i="15" s="1"/>
  <c r="AD93" i="15"/>
  <c r="AD644" i="15" s="1"/>
  <c r="AO644" i="15" s="1"/>
  <c r="AW644" i="15" s="1"/>
  <c r="BD644" i="15" s="1"/>
  <c r="BL644" i="15" s="1"/>
  <c r="AB45" i="15"/>
  <c r="AE45" i="15"/>
  <c r="AD45" i="15"/>
  <c r="AC45" i="15"/>
  <c r="AB125" i="15"/>
  <c r="AB676" i="15" s="1"/>
  <c r="AM676" i="15" s="1"/>
  <c r="AU676" i="15" s="1"/>
  <c r="BB676" i="15" s="1"/>
  <c r="BJ676" i="15" s="1"/>
  <c r="AD125" i="15"/>
  <c r="AD676" i="15" s="1"/>
  <c r="AO676" i="15" s="1"/>
  <c r="AW676" i="15" s="1"/>
  <c r="BD676" i="15" s="1"/>
  <c r="BL676" i="15" s="1"/>
  <c r="AE125" i="15"/>
  <c r="AE676" i="15" s="1"/>
  <c r="AP676" i="15" s="1"/>
  <c r="AX676" i="15" s="1"/>
  <c r="BE676" i="15" s="1"/>
  <c r="BM676" i="15" s="1"/>
  <c r="AC125" i="15"/>
  <c r="AC676" i="15" s="1"/>
  <c r="AN676" i="15" s="1"/>
  <c r="AV676" i="15" s="1"/>
  <c r="BC676" i="15" s="1"/>
  <c r="BK676" i="15" s="1"/>
  <c r="AB20" i="15"/>
  <c r="AC20" i="15"/>
  <c r="AE20" i="15"/>
  <c r="AD20" i="15"/>
  <c r="AD73" i="15"/>
  <c r="AD624" i="15" s="1"/>
  <c r="AO624" i="15" s="1"/>
  <c r="AW624" i="15" s="1"/>
  <c r="BD624" i="15" s="1"/>
  <c r="BL624" i="15" s="1"/>
  <c r="AE73" i="15"/>
  <c r="AE624" i="15" s="1"/>
  <c r="AP624" i="15" s="1"/>
  <c r="AX624" i="15" s="1"/>
  <c r="BE624" i="15" s="1"/>
  <c r="BM624" i="15" s="1"/>
  <c r="AC73" i="15"/>
  <c r="AC624" i="15" s="1"/>
  <c r="AN624" i="15" s="1"/>
  <c r="AV624" i="15" s="1"/>
  <c r="BC624" i="15" s="1"/>
  <c r="BK624" i="15" s="1"/>
  <c r="AB73" i="15"/>
  <c r="AB624" i="15" s="1"/>
  <c r="AM624" i="15" s="1"/>
  <c r="AU624" i="15" s="1"/>
  <c r="BB624" i="15" s="1"/>
  <c r="BJ624" i="15" s="1"/>
  <c r="AC99" i="15"/>
  <c r="AC650" i="15" s="1"/>
  <c r="AN650" i="15" s="1"/>
  <c r="AV650" i="15" s="1"/>
  <c r="BC650" i="15" s="1"/>
  <c r="BK650" i="15" s="1"/>
  <c r="AE99" i="15"/>
  <c r="AE650" i="15" s="1"/>
  <c r="AP650" i="15" s="1"/>
  <c r="AX650" i="15" s="1"/>
  <c r="BE650" i="15" s="1"/>
  <c r="BM650" i="15" s="1"/>
  <c r="AD99" i="15"/>
  <c r="AD650" i="15" s="1"/>
  <c r="AO650" i="15" s="1"/>
  <c r="AW650" i="15" s="1"/>
  <c r="BD650" i="15" s="1"/>
  <c r="BL650" i="15" s="1"/>
  <c r="AB99" i="15"/>
  <c r="AB650" i="15" s="1"/>
  <c r="AM650" i="15" s="1"/>
  <c r="AU650" i="15" s="1"/>
  <c r="BB650" i="15" s="1"/>
  <c r="BJ650" i="15" s="1"/>
  <c r="AE25" i="15"/>
  <c r="AC25" i="15"/>
  <c r="AB25" i="15"/>
  <c r="AD25" i="15"/>
  <c r="AC60" i="15"/>
  <c r="AC611" i="15" s="1"/>
  <c r="AN611" i="15" s="1"/>
  <c r="AV611" i="15" s="1"/>
  <c r="BC611" i="15" s="1"/>
  <c r="BK611" i="15" s="1"/>
  <c r="AB60" i="15"/>
  <c r="AB611" i="15" s="1"/>
  <c r="AE60" i="15"/>
  <c r="AE611" i="15" s="1"/>
  <c r="AP611" i="15" s="1"/>
  <c r="AX611" i="15" s="1"/>
  <c r="BE611" i="15" s="1"/>
  <c r="BM611" i="15" s="1"/>
  <c r="AD60" i="15"/>
  <c r="AD611" i="15" s="1"/>
  <c r="AB58" i="15"/>
  <c r="AB609" i="15" s="1"/>
  <c r="AE58" i="15"/>
  <c r="AE609" i="15" s="1"/>
  <c r="AP609" i="15" s="1"/>
  <c r="AX609" i="15" s="1"/>
  <c r="BE609" i="15" s="1"/>
  <c r="BM609" i="15" s="1"/>
  <c r="AD58" i="15"/>
  <c r="AD609" i="15" s="1"/>
  <c r="AO609" i="15" s="1"/>
  <c r="AW609" i="15" s="1"/>
  <c r="BD609" i="15" s="1"/>
  <c r="BL609" i="15" s="1"/>
  <c r="AC58" i="15"/>
  <c r="AC609" i="15" s="1"/>
  <c r="AN609" i="15" s="1"/>
  <c r="AV609" i="15" s="1"/>
  <c r="BC609" i="15" s="1"/>
  <c r="BK609" i="15" s="1"/>
  <c r="AB86" i="15"/>
  <c r="AB637" i="15" s="1"/>
  <c r="AM637" i="15" s="1"/>
  <c r="AU637" i="15" s="1"/>
  <c r="BB637" i="15" s="1"/>
  <c r="BJ637" i="15" s="1"/>
  <c r="AD86" i="15"/>
  <c r="AD637" i="15" s="1"/>
  <c r="AO637" i="15" s="1"/>
  <c r="AW637" i="15" s="1"/>
  <c r="BD637" i="15" s="1"/>
  <c r="BL637" i="15" s="1"/>
  <c r="AC86" i="15"/>
  <c r="AC637" i="15" s="1"/>
  <c r="AN637" i="15" s="1"/>
  <c r="AV637" i="15" s="1"/>
  <c r="BC637" i="15" s="1"/>
  <c r="BK637" i="15" s="1"/>
  <c r="AE86" i="15"/>
  <c r="AE637" i="15" s="1"/>
  <c r="AP637" i="15" s="1"/>
  <c r="AX637" i="15" s="1"/>
  <c r="BE637" i="15" s="1"/>
  <c r="BM637" i="15" s="1"/>
  <c r="AD21" i="15"/>
  <c r="AC21" i="15"/>
  <c r="AB21" i="15"/>
  <c r="AE21" i="15"/>
  <c r="GX73" i="10"/>
  <c r="GR73" i="10"/>
  <c r="LD73" i="10" s="1"/>
  <c r="GZ73" i="10"/>
  <c r="HQ71" i="10"/>
  <c r="HR71" i="10"/>
  <c r="HP71" i="10"/>
  <c r="GT72" i="10"/>
  <c r="GS72" i="10"/>
  <c r="HO72" i="10"/>
  <c r="GU72" i="10"/>
  <c r="GV72" i="10"/>
  <c r="GD73" i="10"/>
  <c r="HA72" i="10"/>
  <c r="GR72" i="10"/>
  <c r="LD72" i="10" s="1"/>
  <c r="DC707" i="15"/>
  <c r="DE707" i="15" s="1"/>
  <c r="CE709" i="15"/>
  <c r="CP709" i="15" s="1"/>
  <c r="CU709" i="15" s="1"/>
  <c r="CF709" i="15"/>
  <c r="CQ709" i="15" s="1"/>
  <c r="CV709" i="15" s="1"/>
  <c r="BQ711" i="15"/>
  <c r="EU82" i="10"/>
  <c r="ET82" i="10"/>
  <c r="EW82" i="10" s="1"/>
  <c r="FQ82" i="10" s="1"/>
  <c r="EV82" i="10" s="1"/>
  <c r="EU83" i="10"/>
  <c r="ET83" i="10"/>
  <c r="EW83" i="10" s="1"/>
  <c r="FQ83" i="10" s="1"/>
  <c r="EV83" i="10" s="1"/>
  <c r="FD81" i="10"/>
  <c r="AG146" i="17"/>
  <c r="AG146" i="15"/>
  <c r="BH146" i="17"/>
  <c r="BK145" i="17"/>
  <c r="AU147" i="15"/>
  <c r="BH147" i="15"/>
  <c r="BK146" i="15"/>
  <c r="V82" i="15"/>
  <c r="V37" i="15"/>
  <c r="T89" i="15"/>
  <c r="T38" i="15"/>
  <c r="W38" i="15"/>
  <c r="U103" i="15"/>
  <c r="V26" i="15"/>
  <c r="W118" i="15"/>
  <c r="U131" i="15"/>
  <c r="U132" i="15"/>
  <c r="V118" i="15"/>
  <c r="V117" i="15"/>
  <c r="W37" i="15"/>
  <c r="W126" i="15"/>
  <c r="U115" i="15"/>
  <c r="U62" i="15"/>
  <c r="U32" i="15"/>
  <c r="W70" i="15"/>
  <c r="AI145" i="17"/>
  <c r="AI20" i="15"/>
  <c r="FB80" i="10"/>
  <c r="AI51" i="15"/>
  <c r="AI56" i="15"/>
  <c r="FX81" i="10"/>
  <c r="CH711" i="15"/>
  <c r="BX702" i="15"/>
  <c r="AI147" i="15"/>
  <c r="FA81" i="10"/>
  <c r="U94" i="15"/>
  <c r="U24" i="15"/>
  <c r="T95" i="15"/>
  <c r="KN81" i="10"/>
  <c r="AI50" i="15"/>
  <c r="AI90" i="15"/>
  <c r="AI87" i="15"/>
  <c r="AI62" i="15"/>
  <c r="FT83" i="10"/>
  <c r="U65" i="15"/>
  <c r="U91" i="15"/>
  <c r="U127" i="15"/>
  <c r="W41" i="15"/>
  <c r="FA80" i="10"/>
  <c r="AI26" i="15"/>
  <c r="FE80" i="10"/>
  <c r="BX709" i="15"/>
  <c r="U88" i="15"/>
  <c r="W83" i="15"/>
  <c r="V40" i="15"/>
  <c r="FC81" i="10"/>
  <c r="AO145" i="17"/>
  <c r="AI77" i="15"/>
  <c r="AI118" i="15"/>
  <c r="AI47" i="15"/>
  <c r="AI91" i="15"/>
  <c r="AI85" i="15"/>
  <c r="AI57" i="15"/>
  <c r="AI132" i="15"/>
  <c r="AI115" i="15"/>
  <c r="AI22" i="15"/>
  <c r="AI140" i="15"/>
  <c r="CK711" i="15"/>
  <c r="U72" i="15"/>
  <c r="V129" i="15"/>
  <c r="U36" i="15"/>
  <c r="T57" i="15"/>
  <c r="T100" i="15"/>
  <c r="V115" i="15"/>
  <c r="T83" i="15"/>
  <c r="AI75" i="15"/>
  <c r="AI149" i="17"/>
  <c r="AI58" i="15"/>
  <c r="AI32" i="15"/>
  <c r="T91" i="15"/>
  <c r="AI61" i="15"/>
  <c r="BW711" i="15"/>
  <c r="V79" i="15"/>
  <c r="V30" i="15"/>
  <c r="T70" i="15"/>
  <c r="T76" i="15"/>
  <c r="AI65" i="15"/>
  <c r="AI148" i="15"/>
  <c r="AI98" i="15"/>
  <c r="FS82" i="10"/>
  <c r="U37" i="15"/>
  <c r="V123" i="15"/>
  <c r="T129" i="15"/>
  <c r="W56" i="15"/>
  <c r="U75" i="15"/>
  <c r="W72" i="15"/>
  <c r="W131" i="15"/>
  <c r="U56" i="15"/>
  <c r="U42" i="15"/>
  <c r="W117" i="15"/>
  <c r="V59" i="15"/>
  <c r="W51" i="15"/>
  <c r="T75" i="15"/>
  <c r="U89" i="15"/>
  <c r="T51" i="15"/>
  <c r="T79" i="15"/>
  <c r="W127" i="15"/>
  <c r="U41" i="15"/>
  <c r="AI146" i="17"/>
  <c r="AI143" i="15"/>
  <c r="FE81" i="10"/>
  <c r="BW705" i="15"/>
  <c r="AI68" i="15"/>
  <c r="BX703" i="15"/>
  <c r="AI28" i="15"/>
  <c r="AI136" i="15"/>
  <c r="V90" i="15"/>
  <c r="T102" i="15"/>
  <c r="T24" i="15"/>
  <c r="V95" i="15"/>
  <c r="AI141" i="15"/>
  <c r="AI93" i="15"/>
  <c r="AI116" i="15"/>
  <c r="FS83" i="10"/>
  <c r="KK80" i="10"/>
  <c r="AH145" i="15"/>
  <c r="W95" i="15"/>
  <c r="W65" i="15"/>
  <c r="U54" i="15"/>
  <c r="AI146" i="15"/>
  <c r="KK81" i="10"/>
  <c r="AI133" i="15"/>
  <c r="BX704" i="15"/>
  <c r="AI66" i="15"/>
  <c r="V94" i="15"/>
  <c r="U102" i="15"/>
  <c r="W90" i="15"/>
  <c r="T130" i="15"/>
  <c r="AI55" i="15"/>
  <c r="KM81" i="10"/>
  <c r="AI21" i="15"/>
  <c r="AP145" i="15"/>
  <c r="AI96" i="15"/>
  <c r="AP145" i="17"/>
  <c r="FB81" i="10"/>
  <c r="BX710" i="15"/>
  <c r="AO146" i="15"/>
  <c r="AI37" i="15"/>
  <c r="BW710" i="15"/>
  <c r="AI76" i="15"/>
  <c r="T117" i="15"/>
  <c r="V56" i="15"/>
  <c r="V36" i="15"/>
  <c r="V89" i="15"/>
  <c r="KM80" i="10"/>
  <c r="KL81" i="10"/>
  <c r="V127" i="15"/>
  <c r="AI23" i="15"/>
  <c r="AI60" i="15"/>
  <c r="AI67" i="15"/>
  <c r="W130" i="15"/>
  <c r="AI88" i="15"/>
  <c r="EX82" i="10"/>
  <c r="FC80" i="10"/>
  <c r="AI33" i="15"/>
  <c r="FL80" i="10"/>
  <c r="W132" i="15"/>
  <c r="V132" i="15"/>
  <c r="W100" i="15"/>
  <c r="V72" i="15"/>
  <c r="W85" i="15"/>
  <c r="U123" i="15"/>
  <c r="U55" i="15"/>
  <c r="T64" i="15"/>
  <c r="W64" i="15"/>
  <c r="U50" i="15"/>
  <c r="U82" i="15"/>
  <c r="U100" i="15"/>
  <c r="U129" i="15"/>
  <c r="V57" i="15"/>
  <c r="W75" i="15"/>
  <c r="T63" i="15"/>
  <c r="T35" i="15"/>
  <c r="W30" i="15"/>
  <c r="V70" i="15"/>
  <c r="AI36" i="15"/>
  <c r="KN80" i="10"/>
  <c r="AI48" i="15"/>
  <c r="FT82" i="10"/>
  <c r="BW703" i="15"/>
  <c r="AI25" i="15"/>
  <c r="AI97" i="15"/>
  <c r="W61" i="15"/>
  <c r="V114" i="15"/>
  <c r="U83" i="15"/>
  <c r="U40" i="15"/>
  <c r="AI46" i="15"/>
  <c r="KL80" i="10"/>
  <c r="AH145" i="17"/>
  <c r="FG81" i="10"/>
  <c r="AI27" i="15"/>
  <c r="AI147" i="17"/>
  <c r="V128" i="15"/>
  <c r="W40" i="15"/>
  <c r="T30" i="15"/>
  <c r="AI92" i="15"/>
  <c r="FG80" i="10"/>
  <c r="EX83" i="10"/>
  <c r="BY710" i="15"/>
  <c r="W43" i="15"/>
  <c r="W24" i="15"/>
  <c r="W32" i="15"/>
  <c r="AI148" i="17"/>
  <c r="AI145" i="15"/>
  <c r="AI35" i="15"/>
  <c r="AI38" i="15"/>
  <c r="AI30" i="15"/>
  <c r="AI63" i="15"/>
  <c r="AI45" i="15"/>
  <c r="BZ710" i="15"/>
  <c r="W115" i="15"/>
  <c r="W36" i="15"/>
  <c r="U126" i="15"/>
  <c r="U59" i="15"/>
  <c r="V96" i="15"/>
  <c r="T54" i="15"/>
  <c r="AI31" i="15"/>
  <c r="AI86" i="15"/>
  <c r="AI53" i="15"/>
  <c r="AI135" i="15"/>
  <c r="V76" i="15"/>
  <c r="AI117" i="15"/>
  <c r="AI78" i="15"/>
  <c r="T62" i="15"/>
  <c r="BW704" i="15"/>
  <c r="V43" i="15"/>
  <c r="KU80" i="10"/>
  <c r="KU81" i="10"/>
  <c r="FL81" i="10"/>
  <c r="AI142" i="15"/>
  <c r="HL71" i="10" l="1"/>
  <c r="HN71" i="10" s="1"/>
  <c r="C51" i="14" s="1"/>
  <c r="AC59" i="15"/>
  <c r="AC610" i="15" s="1"/>
  <c r="AN610" i="15" s="1"/>
  <c r="AV610" i="15" s="1"/>
  <c r="BC610" i="15" s="1"/>
  <c r="BK610" i="15" s="1"/>
  <c r="AC126" i="15"/>
  <c r="AC677" i="15" s="1"/>
  <c r="AN677" i="15" s="1"/>
  <c r="AV677" i="15" s="1"/>
  <c r="BC677" i="15" s="1"/>
  <c r="BK677" i="15" s="1"/>
  <c r="AE36" i="15"/>
  <c r="AE587" i="15" s="1"/>
  <c r="AP587" i="15" s="1"/>
  <c r="AX587" i="15" s="1"/>
  <c r="BE587" i="15" s="1"/>
  <c r="BM587" i="15" s="1"/>
  <c r="AE115" i="15"/>
  <c r="AE666" i="15" s="1"/>
  <c r="AP666" i="15" s="1"/>
  <c r="AX666" i="15" s="1"/>
  <c r="BE666" i="15" s="1"/>
  <c r="BM666" i="15" s="1"/>
  <c r="AE75" i="15"/>
  <c r="AE626" i="15" s="1"/>
  <c r="AP626" i="15" s="1"/>
  <c r="AX626" i="15" s="1"/>
  <c r="BE626" i="15" s="1"/>
  <c r="BM626" i="15" s="1"/>
  <c r="AD57" i="15"/>
  <c r="AD608" i="15" s="1"/>
  <c r="AC129" i="15"/>
  <c r="AC680" i="15" s="1"/>
  <c r="AN680" i="15" s="1"/>
  <c r="AV680" i="15" s="1"/>
  <c r="BC680" i="15" s="1"/>
  <c r="BK680" i="15" s="1"/>
  <c r="AC100" i="15"/>
  <c r="AC651" i="15" s="1"/>
  <c r="AN651" i="15" s="1"/>
  <c r="AV651" i="15" s="1"/>
  <c r="BC651" i="15" s="1"/>
  <c r="BK651" i="15" s="1"/>
  <c r="AC82" i="15"/>
  <c r="AC633" i="15" s="1"/>
  <c r="AN633" i="15" s="1"/>
  <c r="AV633" i="15" s="1"/>
  <c r="BC633" i="15" s="1"/>
  <c r="BK633" i="15" s="1"/>
  <c r="AC50" i="15"/>
  <c r="AC601" i="15" s="1"/>
  <c r="AE64" i="15"/>
  <c r="AE615" i="15" s="1"/>
  <c r="AP615" i="15" s="1"/>
  <c r="AX615" i="15" s="1"/>
  <c r="BE615" i="15" s="1"/>
  <c r="BM615" i="15" s="1"/>
  <c r="AB64" i="15"/>
  <c r="AB615" i="15" s="1"/>
  <c r="AM615" i="15" s="1"/>
  <c r="AU615" i="15" s="1"/>
  <c r="BB615" i="15" s="1"/>
  <c r="BJ615" i="15" s="1"/>
  <c r="AC55" i="15"/>
  <c r="AC606" i="15" s="1"/>
  <c r="AC123" i="15"/>
  <c r="AC674" i="15" s="1"/>
  <c r="AN674" i="15" s="1"/>
  <c r="AV674" i="15" s="1"/>
  <c r="BC674" i="15" s="1"/>
  <c r="BK674" i="15" s="1"/>
  <c r="AE85" i="15"/>
  <c r="AE636" i="15" s="1"/>
  <c r="AP636" i="15" s="1"/>
  <c r="AX636" i="15" s="1"/>
  <c r="BE636" i="15" s="1"/>
  <c r="BM636" i="15" s="1"/>
  <c r="BP636" i="15" s="1"/>
  <c r="AD72" i="15"/>
  <c r="AD623" i="15" s="1"/>
  <c r="AO623" i="15" s="1"/>
  <c r="AW623" i="15" s="1"/>
  <c r="BD623" i="15" s="1"/>
  <c r="BL623" i="15" s="1"/>
  <c r="AE100" i="15"/>
  <c r="AE651" i="15" s="1"/>
  <c r="AP651" i="15" s="1"/>
  <c r="AX651" i="15" s="1"/>
  <c r="BE651" i="15" s="1"/>
  <c r="BM651" i="15" s="1"/>
  <c r="AD132" i="15"/>
  <c r="AD683" i="15" s="1"/>
  <c r="AO683" i="15" s="1"/>
  <c r="AW683" i="15" s="1"/>
  <c r="BD683" i="15" s="1"/>
  <c r="BL683" i="15" s="1"/>
  <c r="AE132" i="15"/>
  <c r="AE683" i="15" s="1"/>
  <c r="AP683" i="15" s="1"/>
  <c r="AX683" i="15" s="1"/>
  <c r="BE683" i="15" s="1"/>
  <c r="BM683" i="15" s="1"/>
  <c r="AD89" i="15"/>
  <c r="AD640" i="15" s="1"/>
  <c r="AO640" i="15" s="1"/>
  <c r="AW640" i="15" s="1"/>
  <c r="BD640" i="15" s="1"/>
  <c r="BL640" i="15" s="1"/>
  <c r="AD36" i="15"/>
  <c r="AD56" i="15"/>
  <c r="AD607" i="15" s="1"/>
  <c r="AB117" i="15"/>
  <c r="AB668" i="15" s="1"/>
  <c r="AM668" i="15" s="1"/>
  <c r="AU668" i="15" s="1"/>
  <c r="BB668" i="15" s="1"/>
  <c r="BJ668" i="15" s="1"/>
  <c r="AB51" i="15"/>
  <c r="AB602" i="15" s="1"/>
  <c r="AC89" i="15"/>
  <c r="AC640" i="15" s="1"/>
  <c r="AN640" i="15" s="1"/>
  <c r="AV640" i="15" s="1"/>
  <c r="BC640" i="15" s="1"/>
  <c r="BK640" i="15" s="1"/>
  <c r="AB75" i="15"/>
  <c r="AB626" i="15" s="1"/>
  <c r="AM626" i="15" s="1"/>
  <c r="AU626" i="15" s="1"/>
  <c r="BB626" i="15" s="1"/>
  <c r="BJ626" i="15" s="1"/>
  <c r="AE51" i="15"/>
  <c r="AE602" i="15" s="1"/>
  <c r="AP602" i="15" s="1"/>
  <c r="AX602" i="15" s="1"/>
  <c r="BE602" i="15" s="1"/>
  <c r="BM602" i="15" s="1"/>
  <c r="AD59" i="15"/>
  <c r="AD610" i="15" s="1"/>
  <c r="AO610" i="15" s="1"/>
  <c r="AW610" i="15" s="1"/>
  <c r="BD610" i="15" s="1"/>
  <c r="BL610" i="15" s="1"/>
  <c r="AE117" i="15"/>
  <c r="AE668" i="15" s="1"/>
  <c r="AP668" i="15" s="1"/>
  <c r="AX668" i="15" s="1"/>
  <c r="BE668" i="15" s="1"/>
  <c r="BM668" i="15" s="1"/>
  <c r="AC42" i="15"/>
  <c r="AC56" i="15"/>
  <c r="AC607" i="15" s="1"/>
  <c r="AM607" i="15" s="1"/>
  <c r="AE131" i="15"/>
  <c r="AE682" i="15" s="1"/>
  <c r="AP682" i="15" s="1"/>
  <c r="AX682" i="15" s="1"/>
  <c r="BE682" i="15" s="1"/>
  <c r="BM682" i="15" s="1"/>
  <c r="AE72" i="15"/>
  <c r="AE623" i="15" s="1"/>
  <c r="AP623" i="15" s="1"/>
  <c r="AX623" i="15" s="1"/>
  <c r="BE623" i="15" s="1"/>
  <c r="BM623" i="15" s="1"/>
  <c r="AC75" i="15"/>
  <c r="AC626" i="15" s="1"/>
  <c r="AN626" i="15" s="1"/>
  <c r="AV626" i="15" s="1"/>
  <c r="BC626" i="15" s="1"/>
  <c r="BK626" i="15" s="1"/>
  <c r="AE56" i="15"/>
  <c r="AE607" i="15" s="1"/>
  <c r="AP607" i="15" s="1"/>
  <c r="AX607" i="15" s="1"/>
  <c r="BE607" i="15" s="1"/>
  <c r="BM607" i="15" s="1"/>
  <c r="AB129" i="15"/>
  <c r="AB680" i="15" s="1"/>
  <c r="AM680" i="15" s="1"/>
  <c r="AU680" i="15" s="1"/>
  <c r="BB680" i="15" s="1"/>
  <c r="BJ680" i="15" s="1"/>
  <c r="AD123" i="15"/>
  <c r="AD674" i="15" s="1"/>
  <c r="AO674" i="15" s="1"/>
  <c r="AW674" i="15" s="1"/>
  <c r="BD674" i="15" s="1"/>
  <c r="BL674" i="15" s="1"/>
  <c r="AC37" i="15"/>
  <c r="AD115" i="15"/>
  <c r="AD666" i="15" s="1"/>
  <c r="AO666" i="15" s="1"/>
  <c r="AW666" i="15" s="1"/>
  <c r="BD666" i="15" s="1"/>
  <c r="BL666" i="15" s="1"/>
  <c r="AB100" i="15"/>
  <c r="AB651" i="15" s="1"/>
  <c r="AM651" i="15" s="1"/>
  <c r="AU651" i="15" s="1"/>
  <c r="BB651" i="15" s="1"/>
  <c r="BJ651" i="15" s="1"/>
  <c r="AB57" i="15"/>
  <c r="AB608" i="15" s="1"/>
  <c r="AC36" i="15"/>
  <c r="AD129" i="15"/>
  <c r="AD680" i="15" s="1"/>
  <c r="AO680" i="15" s="1"/>
  <c r="AW680" i="15" s="1"/>
  <c r="BD680" i="15" s="1"/>
  <c r="BL680" i="15" s="1"/>
  <c r="AC72" i="15"/>
  <c r="AC623" i="15" s="1"/>
  <c r="AN623" i="15" s="1"/>
  <c r="AV623" i="15" s="1"/>
  <c r="BC623" i="15" s="1"/>
  <c r="BK623" i="15" s="1"/>
  <c r="AC115" i="15"/>
  <c r="AC666" i="15" s="1"/>
  <c r="AN666" i="15" s="1"/>
  <c r="AV666" i="15" s="1"/>
  <c r="BC666" i="15" s="1"/>
  <c r="BK666" i="15" s="1"/>
  <c r="AE126" i="15"/>
  <c r="AE677" i="15" s="1"/>
  <c r="AP677" i="15" s="1"/>
  <c r="AX677" i="15" s="1"/>
  <c r="BE677" i="15" s="1"/>
  <c r="BM677" i="15" s="1"/>
  <c r="AE37" i="15"/>
  <c r="AD117" i="15"/>
  <c r="AD668" i="15" s="1"/>
  <c r="AO668" i="15" s="1"/>
  <c r="AW668" i="15" s="1"/>
  <c r="BD668" i="15" s="1"/>
  <c r="BL668" i="15" s="1"/>
  <c r="AD118" i="15"/>
  <c r="AD669" i="15" s="1"/>
  <c r="AO669" i="15" s="1"/>
  <c r="AW669" i="15" s="1"/>
  <c r="BD669" i="15" s="1"/>
  <c r="BL669" i="15" s="1"/>
  <c r="AC132" i="15"/>
  <c r="AC683" i="15" s="1"/>
  <c r="AN683" i="15" s="1"/>
  <c r="AV683" i="15" s="1"/>
  <c r="BC683" i="15" s="1"/>
  <c r="BK683" i="15" s="1"/>
  <c r="AC131" i="15"/>
  <c r="AC682" i="15" s="1"/>
  <c r="AN682" i="15" s="1"/>
  <c r="AV682" i="15" s="1"/>
  <c r="BC682" i="15" s="1"/>
  <c r="BK682" i="15" s="1"/>
  <c r="AE118" i="15"/>
  <c r="AE669" i="15" s="1"/>
  <c r="AP669" i="15" s="1"/>
  <c r="AX669" i="15" s="1"/>
  <c r="BE669" i="15" s="1"/>
  <c r="BM669" i="15" s="1"/>
  <c r="AD26" i="15"/>
  <c r="AC103" i="15"/>
  <c r="AC654" i="15" s="1"/>
  <c r="AN654" i="15" s="1"/>
  <c r="AV654" i="15" s="1"/>
  <c r="BC654" i="15" s="1"/>
  <c r="BK654" i="15" s="1"/>
  <c r="AE38" i="15"/>
  <c r="AE589" i="15" s="1"/>
  <c r="AP589" i="15" s="1"/>
  <c r="AX589" i="15" s="1"/>
  <c r="BE589" i="15" s="1"/>
  <c r="BM589" i="15" s="1"/>
  <c r="AB38" i="15"/>
  <c r="AB89" i="15"/>
  <c r="AB640" i="15" s="1"/>
  <c r="AM640" i="15" s="1"/>
  <c r="AU640" i="15" s="1"/>
  <c r="BB640" i="15" s="1"/>
  <c r="BJ640" i="15" s="1"/>
  <c r="AD37" i="15"/>
  <c r="AD82" i="15"/>
  <c r="AD633" i="15" s="1"/>
  <c r="AO633" i="15" s="1"/>
  <c r="AW633" i="15" s="1"/>
  <c r="BD633" i="15" s="1"/>
  <c r="BL633" i="15" s="1"/>
  <c r="BP633" i="15" s="1"/>
  <c r="AB130" i="15"/>
  <c r="AB681" i="15" s="1"/>
  <c r="AM681" i="15" s="1"/>
  <c r="AU681" i="15" s="1"/>
  <c r="BB681" i="15" s="1"/>
  <c r="BJ681" i="15" s="1"/>
  <c r="AD40" i="15"/>
  <c r="AB76" i="15"/>
  <c r="AB627" i="15" s="1"/>
  <c r="AM627" i="15" s="1"/>
  <c r="AU627" i="15" s="1"/>
  <c r="BB627" i="15" s="1"/>
  <c r="BJ627" i="15" s="1"/>
  <c r="AE32" i="15"/>
  <c r="AE583" i="15" s="1"/>
  <c r="AP583" i="15" s="1"/>
  <c r="AX583" i="15" s="1"/>
  <c r="BE583" i="15" s="1"/>
  <c r="BM583" i="15" s="1"/>
  <c r="AE90" i="15"/>
  <c r="AE641" i="15" s="1"/>
  <c r="AP641" i="15" s="1"/>
  <c r="AX641" i="15" s="1"/>
  <c r="BE641" i="15" s="1"/>
  <c r="BM641" i="15" s="1"/>
  <c r="AE83" i="15"/>
  <c r="AE634" i="15" s="1"/>
  <c r="AP634" i="15" s="1"/>
  <c r="AX634" i="15" s="1"/>
  <c r="BE634" i="15" s="1"/>
  <c r="BM634" i="15" s="1"/>
  <c r="AD43" i="15"/>
  <c r="AE24" i="15"/>
  <c r="AE575" i="15" s="1"/>
  <c r="AP575" i="15" s="1"/>
  <c r="AX575" i="15" s="1"/>
  <c r="BE575" i="15" s="1"/>
  <c r="BM575" i="15" s="1"/>
  <c r="AC102" i="15"/>
  <c r="AC653" i="15" s="1"/>
  <c r="AN653" i="15" s="1"/>
  <c r="AV653" i="15" s="1"/>
  <c r="BC653" i="15" s="1"/>
  <c r="BK653" i="15" s="1"/>
  <c r="AC88" i="15"/>
  <c r="AC639" i="15" s="1"/>
  <c r="AN639" i="15" s="1"/>
  <c r="AV639" i="15" s="1"/>
  <c r="BC639" i="15" s="1"/>
  <c r="BK639" i="15" s="1"/>
  <c r="AB70" i="15"/>
  <c r="AB621" i="15" s="1"/>
  <c r="AM621" i="15" s="1"/>
  <c r="AU621" i="15" s="1"/>
  <c r="BB621" i="15" s="1"/>
  <c r="BJ621" i="15" s="1"/>
  <c r="AE43" i="15"/>
  <c r="AE594" i="15" s="1"/>
  <c r="AP594" i="15" s="1"/>
  <c r="AX594" i="15" s="1"/>
  <c r="BE594" i="15" s="1"/>
  <c r="BM594" i="15" s="1"/>
  <c r="AD94" i="15"/>
  <c r="AD645" i="15" s="1"/>
  <c r="AO645" i="15" s="1"/>
  <c r="AW645" i="15" s="1"/>
  <c r="BD645" i="15" s="1"/>
  <c r="BL645" i="15" s="1"/>
  <c r="AE41" i="15"/>
  <c r="AD30" i="15"/>
  <c r="AB30" i="15"/>
  <c r="AB581" i="15" s="1"/>
  <c r="AC54" i="15"/>
  <c r="AC605" i="15" s="1"/>
  <c r="AC127" i="15"/>
  <c r="AC678" i="15" s="1"/>
  <c r="AN678" i="15" s="1"/>
  <c r="AV678" i="15" s="1"/>
  <c r="BC678" i="15" s="1"/>
  <c r="BK678" i="15" s="1"/>
  <c r="AE130" i="15"/>
  <c r="AE681" i="15" s="1"/>
  <c r="AP681" i="15" s="1"/>
  <c r="AX681" i="15" s="1"/>
  <c r="BE681" i="15" s="1"/>
  <c r="BM681" i="15" s="1"/>
  <c r="AE40" i="15"/>
  <c r="AE591" i="15" s="1"/>
  <c r="AP591" i="15" s="1"/>
  <c r="AX591" i="15" s="1"/>
  <c r="BE591" i="15" s="1"/>
  <c r="BM591" i="15" s="1"/>
  <c r="AE65" i="15"/>
  <c r="AE616" i="15" s="1"/>
  <c r="AP616" i="15" s="1"/>
  <c r="AX616" i="15" s="1"/>
  <c r="BE616" i="15" s="1"/>
  <c r="BM616" i="15" s="1"/>
  <c r="BP616" i="15" s="1"/>
  <c r="AC91" i="15"/>
  <c r="AC642" i="15" s="1"/>
  <c r="AN642" i="15" s="1"/>
  <c r="AV642" i="15" s="1"/>
  <c r="BC642" i="15" s="1"/>
  <c r="BK642" i="15" s="1"/>
  <c r="AD79" i="15"/>
  <c r="AD630" i="15" s="1"/>
  <c r="AO630" i="15" s="1"/>
  <c r="AW630" i="15" s="1"/>
  <c r="BD630" i="15" s="1"/>
  <c r="BL630" i="15" s="1"/>
  <c r="AD128" i="15"/>
  <c r="AD679" i="15" s="1"/>
  <c r="AO679" i="15" s="1"/>
  <c r="AW679" i="15" s="1"/>
  <c r="BD679" i="15" s="1"/>
  <c r="BL679" i="15" s="1"/>
  <c r="BP679" i="15" s="1"/>
  <c r="AE95" i="15"/>
  <c r="AE646" i="15" s="1"/>
  <c r="AP646" i="15" s="1"/>
  <c r="AX646" i="15" s="1"/>
  <c r="BE646" i="15" s="1"/>
  <c r="BM646" i="15" s="1"/>
  <c r="AC65" i="15"/>
  <c r="AC616" i="15" s="1"/>
  <c r="AN616" i="15" s="1"/>
  <c r="AV616" i="15" s="1"/>
  <c r="BC616" i="15" s="1"/>
  <c r="BK616" i="15" s="1"/>
  <c r="AB62" i="15"/>
  <c r="AB613" i="15" s="1"/>
  <c r="AC40" i="15"/>
  <c r="AC591" i="15" s="1"/>
  <c r="AN591" i="15" s="1"/>
  <c r="AV591" i="15" s="1"/>
  <c r="BC591" i="15" s="1"/>
  <c r="BK591" i="15" s="1"/>
  <c r="AD95" i="15"/>
  <c r="AD646" i="15" s="1"/>
  <c r="AO646" i="15" s="1"/>
  <c r="AW646" i="15" s="1"/>
  <c r="BD646" i="15" s="1"/>
  <c r="BL646" i="15" s="1"/>
  <c r="AB95" i="15"/>
  <c r="AB646" i="15" s="1"/>
  <c r="AM646" i="15" s="1"/>
  <c r="AU646" i="15" s="1"/>
  <c r="BB646" i="15" s="1"/>
  <c r="BJ646" i="15" s="1"/>
  <c r="AD76" i="15"/>
  <c r="AD627" i="15" s="1"/>
  <c r="AO627" i="15" s="1"/>
  <c r="AW627" i="15" s="1"/>
  <c r="BD627" i="15" s="1"/>
  <c r="BL627" i="15" s="1"/>
  <c r="AC83" i="15"/>
  <c r="AC634" i="15" s="1"/>
  <c r="AN634" i="15" s="1"/>
  <c r="AV634" i="15" s="1"/>
  <c r="BC634" i="15" s="1"/>
  <c r="BK634" i="15" s="1"/>
  <c r="AB24" i="15"/>
  <c r="AC24" i="15"/>
  <c r="AB91" i="15"/>
  <c r="AB642" i="15" s="1"/>
  <c r="AM642" i="15" s="1"/>
  <c r="AU642" i="15" s="1"/>
  <c r="BB642" i="15" s="1"/>
  <c r="BJ642" i="15" s="1"/>
  <c r="AD114" i="15"/>
  <c r="AD665" i="15" s="1"/>
  <c r="AO665" i="15" s="1"/>
  <c r="AW665" i="15" s="1"/>
  <c r="BD665" i="15" s="1"/>
  <c r="BL665" i="15" s="1"/>
  <c r="BP665" i="15" s="1"/>
  <c r="AB102" i="15"/>
  <c r="AB653" i="15" s="1"/>
  <c r="AM653" i="15" s="1"/>
  <c r="AU653" i="15" s="1"/>
  <c r="BB653" i="15" s="1"/>
  <c r="BJ653" i="15" s="1"/>
  <c r="AC94" i="15"/>
  <c r="AC645" i="15" s="1"/>
  <c r="AN645" i="15" s="1"/>
  <c r="AV645" i="15" s="1"/>
  <c r="BC645" i="15" s="1"/>
  <c r="BK645" i="15" s="1"/>
  <c r="AD127" i="15"/>
  <c r="AD678" i="15" s="1"/>
  <c r="AO678" i="15" s="1"/>
  <c r="AW678" i="15" s="1"/>
  <c r="BD678" i="15" s="1"/>
  <c r="BL678" i="15" s="1"/>
  <c r="AE61" i="15"/>
  <c r="AE612" i="15" s="1"/>
  <c r="AP612" i="15" s="1"/>
  <c r="AX612" i="15" s="1"/>
  <c r="BE612" i="15" s="1"/>
  <c r="BM612" i="15" s="1"/>
  <c r="AD90" i="15"/>
  <c r="AD641" i="15" s="1"/>
  <c r="AO641" i="15" s="1"/>
  <c r="AW641" i="15" s="1"/>
  <c r="BD641" i="15" s="1"/>
  <c r="BL641" i="15" s="1"/>
  <c r="AD70" i="15"/>
  <c r="AD621" i="15" s="1"/>
  <c r="AO621" i="15" s="1"/>
  <c r="AW621" i="15" s="1"/>
  <c r="BD621" i="15" s="1"/>
  <c r="BL621" i="15" s="1"/>
  <c r="AC41" i="15"/>
  <c r="AE70" i="15"/>
  <c r="AE621" i="15" s="1"/>
  <c r="AP621" i="15" s="1"/>
  <c r="AX621" i="15" s="1"/>
  <c r="BE621" i="15" s="1"/>
  <c r="BM621" i="15" s="1"/>
  <c r="AB54" i="15"/>
  <c r="AB605" i="15" s="1"/>
  <c r="AM605" i="15" s="1"/>
  <c r="AE30" i="15"/>
  <c r="AE127" i="15"/>
  <c r="AE678" i="15" s="1"/>
  <c r="AP678" i="15" s="1"/>
  <c r="AX678" i="15" s="1"/>
  <c r="BE678" i="15" s="1"/>
  <c r="BM678" i="15" s="1"/>
  <c r="AC32" i="15"/>
  <c r="AC583" i="15" s="1"/>
  <c r="AN583" i="15" s="1"/>
  <c r="AV583" i="15" s="1"/>
  <c r="BC583" i="15" s="1"/>
  <c r="BK583" i="15" s="1"/>
  <c r="AD96" i="15"/>
  <c r="AD647" i="15" s="1"/>
  <c r="AO647" i="15" s="1"/>
  <c r="AW647" i="15" s="1"/>
  <c r="BD647" i="15" s="1"/>
  <c r="BL647" i="15" s="1"/>
  <c r="BP647" i="15" s="1"/>
  <c r="AB35" i="15"/>
  <c r="AB79" i="15"/>
  <c r="AB630" i="15" s="1"/>
  <c r="AM630" i="15" s="1"/>
  <c r="AU630" i="15" s="1"/>
  <c r="BB630" i="15" s="1"/>
  <c r="BJ630" i="15" s="1"/>
  <c r="AC62" i="15"/>
  <c r="AC613" i="15" s="1"/>
  <c r="AN613" i="15" s="1"/>
  <c r="AV613" i="15" s="1"/>
  <c r="BC613" i="15" s="1"/>
  <c r="BK613" i="15" s="1"/>
  <c r="AB83" i="15"/>
  <c r="AB634" i="15" s="1"/>
  <c r="AM634" i="15" s="1"/>
  <c r="AU634" i="15" s="1"/>
  <c r="BB634" i="15" s="1"/>
  <c r="BJ634" i="15" s="1"/>
  <c r="AB63" i="15"/>
  <c r="AB614" i="15" s="1"/>
  <c r="AO611" i="15"/>
  <c r="AW611" i="15" s="1"/>
  <c r="BD611" i="15" s="1"/>
  <c r="BL611" i="15" s="1"/>
  <c r="AN604" i="15"/>
  <c r="AN598" i="15"/>
  <c r="AO599" i="15"/>
  <c r="AW599" i="15" s="1"/>
  <c r="BD599" i="15" s="1"/>
  <c r="BL599" i="15" s="1"/>
  <c r="AM603" i="15"/>
  <c r="AO612" i="15"/>
  <c r="AW612" i="15" s="1"/>
  <c r="BD612" i="15" s="1"/>
  <c r="BL612" i="15" s="1"/>
  <c r="AO613" i="15"/>
  <c r="AW613" i="15" s="1"/>
  <c r="BD613" i="15" s="1"/>
  <c r="BL613" i="15" s="1"/>
  <c r="AO605" i="15"/>
  <c r="AW605" i="15" s="1"/>
  <c r="BD605" i="15" s="1"/>
  <c r="BL605" i="15" s="1"/>
  <c r="AM598" i="15"/>
  <c r="AM602" i="15"/>
  <c r="AN601" i="15"/>
  <c r="AM611" i="15"/>
  <c r="AU611" i="15" s="1"/>
  <c r="BB611" i="15" s="1"/>
  <c r="BJ611" i="15" s="1"/>
  <c r="AN600" i="15"/>
  <c r="AM599" i="15"/>
  <c r="AO603" i="15"/>
  <c r="AW603" i="15" s="1"/>
  <c r="BD603" i="15" s="1"/>
  <c r="BL603" i="15" s="1"/>
  <c r="AN599" i="15"/>
  <c r="AV599" i="15" s="1"/>
  <c r="BC599" i="15" s="1"/>
  <c r="BK599" i="15" s="1"/>
  <c r="BP618" i="15"/>
  <c r="AO608" i="15"/>
  <c r="AW608" i="15" s="1"/>
  <c r="BD608" i="15" s="1"/>
  <c r="BL608" i="15" s="1"/>
  <c r="AO604" i="15"/>
  <c r="AW604" i="15" s="1"/>
  <c r="BD604" i="15" s="1"/>
  <c r="BL604" i="15" s="1"/>
  <c r="AM600" i="15"/>
  <c r="BP639" i="15"/>
  <c r="AN608" i="15"/>
  <c r="AN602" i="15"/>
  <c r="AM601" i="15"/>
  <c r="AO598" i="15"/>
  <c r="AW598" i="15" s="1"/>
  <c r="BD598" i="15" s="1"/>
  <c r="BL598" i="15" s="1"/>
  <c r="BP626" i="15"/>
  <c r="AO606" i="15"/>
  <c r="AW606" i="15" s="1"/>
  <c r="BD606" i="15" s="1"/>
  <c r="BL606" i="15" s="1"/>
  <c r="BP622" i="15"/>
  <c r="AO601" i="15"/>
  <c r="AW601" i="15" s="1"/>
  <c r="BD601" i="15" s="1"/>
  <c r="BL601" i="15" s="1"/>
  <c r="AM608" i="15"/>
  <c r="BP661" i="15"/>
  <c r="BP670" i="15"/>
  <c r="AM610" i="15"/>
  <c r="AU610" i="15" s="1"/>
  <c r="BB610" i="15" s="1"/>
  <c r="BJ610" i="15" s="1"/>
  <c r="BP610" i="15" s="1"/>
  <c r="BP619" i="15"/>
  <c r="BP678" i="15"/>
  <c r="BP648" i="15"/>
  <c r="BP628" i="15"/>
  <c r="BP684" i="15"/>
  <c r="BP638" i="15"/>
  <c r="BP664" i="15"/>
  <c r="BP674" i="15"/>
  <c r="AN606" i="15"/>
  <c r="BP662" i="15"/>
  <c r="AM609" i="15"/>
  <c r="AU609" i="15" s="1"/>
  <c r="BB609" i="15" s="1"/>
  <c r="BJ609" i="15" s="1"/>
  <c r="BP676" i="15"/>
  <c r="BP672" i="15"/>
  <c r="BP675" i="15"/>
  <c r="AM597" i="15"/>
  <c r="AU597" i="15" s="1"/>
  <c r="BB597" i="15" s="1"/>
  <c r="BJ597" i="15" s="1"/>
  <c r="AM604" i="15"/>
  <c r="AO600" i="15"/>
  <c r="AM606" i="15"/>
  <c r="BP650" i="15"/>
  <c r="BP629" i="15"/>
  <c r="AH27" i="15"/>
  <c r="AH47" i="15"/>
  <c r="AH22" i="15"/>
  <c r="AJ21" i="15"/>
  <c r="AH116" i="15"/>
  <c r="AJ115" i="15"/>
  <c r="AK115" i="15" s="1"/>
  <c r="AL115" i="15" s="1"/>
  <c r="AM115" i="15" s="1"/>
  <c r="AN115" i="15" s="1"/>
  <c r="CD703" i="15"/>
  <c r="AH67" i="15"/>
  <c r="AJ66" i="15"/>
  <c r="AH87" i="15"/>
  <c r="AJ87" i="15" s="1"/>
  <c r="AK87" i="15" s="1"/>
  <c r="AL87" i="15" s="1"/>
  <c r="AM87" i="15" s="1"/>
  <c r="AN87" i="15" s="1"/>
  <c r="AH143" i="15"/>
  <c r="AJ142" i="15"/>
  <c r="AH79" i="15"/>
  <c r="AK79" i="15" s="1"/>
  <c r="AL79" i="15" s="1"/>
  <c r="AM79" i="15" s="1"/>
  <c r="AN79" i="15" s="1"/>
  <c r="CD709" i="15"/>
  <c r="AJ60" i="15"/>
  <c r="AK60" i="15" s="1"/>
  <c r="AL60" i="15" s="1"/>
  <c r="AM60" i="15" s="1"/>
  <c r="AN60" i="15" s="1"/>
  <c r="AH61" i="15"/>
  <c r="AH31" i="15"/>
  <c r="AJ30" i="15"/>
  <c r="AK30" i="15" s="1"/>
  <c r="AL30" i="15" s="1"/>
  <c r="AM30" i="15" s="1"/>
  <c r="AN30" i="15" s="1"/>
  <c r="AH57" i="15"/>
  <c r="AH94" i="15"/>
  <c r="AK94" i="15" s="1"/>
  <c r="AL94" i="15" s="1"/>
  <c r="AM94" i="15" s="1"/>
  <c r="AN94" i="15" s="1"/>
  <c r="AH37" i="15"/>
  <c r="AH98" i="15"/>
  <c r="AJ98" i="15" s="1"/>
  <c r="AK98" i="15" s="1"/>
  <c r="AL98" i="15" s="1"/>
  <c r="AM98" i="15" s="1"/>
  <c r="AN98" i="15" s="1"/>
  <c r="AH133" i="15"/>
  <c r="AJ133" i="15" s="1"/>
  <c r="AK133" i="15" s="1"/>
  <c r="AL133" i="15" s="1"/>
  <c r="AM133" i="15" s="1"/>
  <c r="AN133" i="15" s="1"/>
  <c r="AJ132" i="15"/>
  <c r="AH54" i="15"/>
  <c r="AK54" i="15" s="1"/>
  <c r="AL54" i="15" s="1"/>
  <c r="AM54" i="15" s="1"/>
  <c r="AN54" i="15" s="1"/>
  <c r="AJ53" i="15"/>
  <c r="AH28" i="15"/>
  <c r="AH49" i="15"/>
  <c r="AH21" i="15"/>
  <c r="AN20" i="15"/>
  <c r="AJ20" i="15"/>
  <c r="AK20" i="15" s="1"/>
  <c r="AH117" i="15"/>
  <c r="AJ116" i="15"/>
  <c r="AJ65" i="15"/>
  <c r="AK65" i="15" s="1"/>
  <c r="AL65" i="15" s="1"/>
  <c r="AM65" i="15" s="1"/>
  <c r="AN65" i="15" s="1"/>
  <c r="AH66" i="15"/>
  <c r="AH86" i="15"/>
  <c r="AJ86" i="15" s="1"/>
  <c r="AK86" i="15" s="1"/>
  <c r="AL86" i="15" s="1"/>
  <c r="AM86" i="15" s="1"/>
  <c r="AN86" i="15" s="1"/>
  <c r="AJ85" i="15"/>
  <c r="AK85" i="15" s="1"/>
  <c r="AL85" i="15" s="1"/>
  <c r="AM85" i="15" s="1"/>
  <c r="AN85" i="15" s="1"/>
  <c r="AH141" i="15"/>
  <c r="AJ140" i="15"/>
  <c r="AK140" i="15" s="1"/>
  <c r="AL140" i="15" s="1"/>
  <c r="AM140" i="15" s="1"/>
  <c r="AN140" i="15" s="1"/>
  <c r="AJ75" i="15"/>
  <c r="AK75" i="15" s="1"/>
  <c r="AL75" i="15" s="1"/>
  <c r="AM75" i="15" s="1"/>
  <c r="AN75" i="15" s="1"/>
  <c r="AH76" i="15"/>
  <c r="AH63" i="15"/>
  <c r="AJ62" i="15"/>
  <c r="AH34" i="15"/>
  <c r="AK34" i="15" s="1"/>
  <c r="AL34" i="15" s="1"/>
  <c r="AM34" i="15" s="1"/>
  <c r="AN34" i="15" s="1"/>
  <c r="AH59" i="15"/>
  <c r="AK59" i="15" s="1"/>
  <c r="AL59" i="15" s="1"/>
  <c r="AM59" i="15" s="1"/>
  <c r="AN59" i="15" s="1"/>
  <c r="AH92" i="15"/>
  <c r="AJ92" i="15" s="1"/>
  <c r="AK92" i="15" s="1"/>
  <c r="AL92" i="15" s="1"/>
  <c r="AM92" i="15" s="1"/>
  <c r="AN92" i="15" s="1"/>
  <c r="AJ35" i="15"/>
  <c r="AK35" i="15" s="1"/>
  <c r="AL35" i="15" s="1"/>
  <c r="AM35" i="15" s="1"/>
  <c r="AN35" i="15" s="1"/>
  <c r="AH36" i="15"/>
  <c r="AH29" i="15"/>
  <c r="AK29" i="15" s="1"/>
  <c r="AL29" i="15" s="1"/>
  <c r="AM29" i="15" s="1"/>
  <c r="AN29" i="15" s="1"/>
  <c r="AJ28" i="15"/>
  <c r="AH48" i="15"/>
  <c r="AH23" i="15"/>
  <c r="AJ23" i="15" s="1"/>
  <c r="AK23" i="15" s="1"/>
  <c r="AL23" i="15" s="1"/>
  <c r="AM23" i="15" s="1"/>
  <c r="AN23" i="15" s="1"/>
  <c r="AJ22" i="15"/>
  <c r="AH119" i="15"/>
  <c r="AK119" i="15" s="1"/>
  <c r="AL119" i="15" s="1"/>
  <c r="AM119" i="15" s="1"/>
  <c r="AN119" i="15" s="1"/>
  <c r="AJ118" i="15"/>
  <c r="CD704" i="15"/>
  <c r="AH69" i="15"/>
  <c r="AK69" i="15" s="1"/>
  <c r="AL69" i="15" s="1"/>
  <c r="AM69" i="15" s="1"/>
  <c r="AN69" i="15" s="1"/>
  <c r="AH89" i="15"/>
  <c r="AK89" i="15" s="1"/>
  <c r="AL89" i="15" s="1"/>
  <c r="AM89" i="15" s="1"/>
  <c r="AN89" i="15" s="1"/>
  <c r="AH142" i="15"/>
  <c r="AJ141" i="15"/>
  <c r="AH78" i="15"/>
  <c r="AH62" i="15"/>
  <c r="AH33" i="15"/>
  <c r="AJ33" i="15" s="1"/>
  <c r="AK33" i="15" s="1"/>
  <c r="AL33" i="15" s="1"/>
  <c r="AM33" i="15" s="1"/>
  <c r="AN33" i="15" s="1"/>
  <c r="AH58" i="15"/>
  <c r="AH93" i="15"/>
  <c r="AH39" i="15"/>
  <c r="AK39" i="15" s="1"/>
  <c r="AL39" i="15" s="1"/>
  <c r="AM39" i="15" s="1"/>
  <c r="AN39" i="15" s="1"/>
  <c r="AH137" i="15"/>
  <c r="AJ136" i="15"/>
  <c r="AH97" i="15"/>
  <c r="AH134" i="15"/>
  <c r="AK134" i="15" s="1"/>
  <c r="AL134" i="15" s="1"/>
  <c r="AM134" i="15" s="1"/>
  <c r="AN134" i="15" s="1"/>
  <c r="AH51" i="15"/>
  <c r="AJ51" i="15" s="1"/>
  <c r="AK51" i="15" s="1"/>
  <c r="AL51" i="15" s="1"/>
  <c r="AM51" i="15" s="1"/>
  <c r="AN51" i="15" s="1"/>
  <c r="AJ50" i="15"/>
  <c r="AK50" i="15" s="1"/>
  <c r="AJ25" i="15"/>
  <c r="AK25" i="15" s="1"/>
  <c r="AL25" i="15" s="1"/>
  <c r="AM25" i="15" s="1"/>
  <c r="AN25" i="15" s="1"/>
  <c r="AH26" i="15"/>
  <c r="AH46" i="15"/>
  <c r="AJ45" i="15"/>
  <c r="AK45" i="15" s="1"/>
  <c r="AL45" i="15" s="1"/>
  <c r="AM45" i="15" s="1"/>
  <c r="AN45" i="15" s="1"/>
  <c r="AH24" i="15"/>
  <c r="AK24" i="15" s="1"/>
  <c r="AL24" i="15" s="1"/>
  <c r="AM24" i="15" s="1"/>
  <c r="AN24" i="15" s="1"/>
  <c r="AH118" i="15"/>
  <c r="AJ117" i="15"/>
  <c r="CD702" i="15"/>
  <c r="AH68" i="15"/>
  <c r="AJ68" i="15" s="1"/>
  <c r="AK68" i="15" s="1"/>
  <c r="AL68" i="15" s="1"/>
  <c r="AM68" i="15" s="1"/>
  <c r="AN68" i="15" s="1"/>
  <c r="AH88" i="15"/>
  <c r="AJ88" i="15" s="1"/>
  <c r="AK88" i="15" s="1"/>
  <c r="AL88" i="15" s="1"/>
  <c r="AM88" i="15" s="1"/>
  <c r="AN88" i="15" s="1"/>
  <c r="AH77" i="15"/>
  <c r="AH64" i="15"/>
  <c r="AK64" i="15" s="1"/>
  <c r="AL64" i="15" s="1"/>
  <c r="AM64" i="15" s="1"/>
  <c r="AN64" i="15" s="1"/>
  <c r="AJ63" i="15"/>
  <c r="AH32" i="15"/>
  <c r="AH56" i="15"/>
  <c r="AJ55" i="15"/>
  <c r="AK55" i="15" s="1"/>
  <c r="AL55" i="15" s="1"/>
  <c r="AM55" i="15" s="1"/>
  <c r="AN55" i="15" s="1"/>
  <c r="AJ90" i="15"/>
  <c r="AK90" i="15" s="1"/>
  <c r="AL90" i="15" s="1"/>
  <c r="AM90" i="15" s="1"/>
  <c r="AN90" i="15" s="1"/>
  <c r="AH91" i="15"/>
  <c r="AH38" i="15"/>
  <c r="AH136" i="15"/>
  <c r="AJ135" i="15"/>
  <c r="AK135" i="15" s="1"/>
  <c r="AL135" i="15" s="1"/>
  <c r="AM135" i="15" s="1"/>
  <c r="AN135" i="15" s="1"/>
  <c r="AH99" i="15"/>
  <c r="AK99" i="15" s="1"/>
  <c r="AL99" i="15" s="1"/>
  <c r="AM99" i="15" s="1"/>
  <c r="AN99" i="15" s="1"/>
  <c r="AH52" i="15"/>
  <c r="AC572" i="15"/>
  <c r="AN572" i="15" s="1"/>
  <c r="AV572" i="15" s="1"/>
  <c r="BC572" i="15" s="1"/>
  <c r="BK572" i="15" s="1"/>
  <c r="BP611" i="15"/>
  <c r="AC576" i="15"/>
  <c r="AN576" i="15" s="1"/>
  <c r="AV576" i="15" s="1"/>
  <c r="BC576" i="15" s="1"/>
  <c r="BK576" i="15" s="1"/>
  <c r="AC571" i="15"/>
  <c r="AE596" i="15"/>
  <c r="AP596" i="15" s="1"/>
  <c r="AX596" i="15" s="1"/>
  <c r="BE596" i="15" s="1"/>
  <c r="BM596" i="15" s="1"/>
  <c r="AB590" i="15"/>
  <c r="BP663" i="15"/>
  <c r="BP643" i="15"/>
  <c r="AC580" i="15"/>
  <c r="AC584" i="15"/>
  <c r="AN584" i="15" s="1"/>
  <c r="AV584" i="15" s="1"/>
  <c r="BC584" i="15" s="1"/>
  <c r="BK584" i="15" s="1"/>
  <c r="BP660" i="15"/>
  <c r="BP649" i="15"/>
  <c r="AD595" i="15"/>
  <c r="BP673" i="15"/>
  <c r="AE582" i="15"/>
  <c r="AP582" i="15" s="1"/>
  <c r="AX582" i="15" s="1"/>
  <c r="BE582" i="15" s="1"/>
  <c r="BM582" i="15" s="1"/>
  <c r="AB579" i="15"/>
  <c r="AB573" i="15"/>
  <c r="AC578" i="15"/>
  <c r="AE585" i="15"/>
  <c r="AP585" i="15" s="1"/>
  <c r="AX585" i="15" s="1"/>
  <c r="BE585" i="15" s="1"/>
  <c r="BM585" i="15" s="1"/>
  <c r="AC574" i="15"/>
  <c r="AE592" i="15"/>
  <c r="AP592" i="15" s="1"/>
  <c r="AX592" i="15" s="1"/>
  <c r="BE592" i="15" s="1"/>
  <c r="BM592" i="15" s="1"/>
  <c r="BP641" i="15"/>
  <c r="AD594" i="15"/>
  <c r="AO594" i="15" s="1"/>
  <c r="AW594" i="15" s="1"/>
  <c r="BD594" i="15" s="1"/>
  <c r="BL594" i="15" s="1"/>
  <c r="BP653" i="15"/>
  <c r="AD583" i="15"/>
  <c r="AD575" i="15"/>
  <c r="AD586" i="15"/>
  <c r="BP681" i="15"/>
  <c r="BP646" i="15"/>
  <c r="BP630" i="15"/>
  <c r="AD593" i="15"/>
  <c r="AO593" i="15" s="1"/>
  <c r="AW593" i="15" s="1"/>
  <c r="BD593" i="15" s="1"/>
  <c r="BL593" i="15" s="1"/>
  <c r="AE577" i="15"/>
  <c r="AP577" i="15" s="1"/>
  <c r="AX577" i="15" s="1"/>
  <c r="BE577" i="15" s="1"/>
  <c r="BM577" i="15" s="1"/>
  <c r="AD589" i="15"/>
  <c r="AC588" i="15"/>
  <c r="BP677" i="15"/>
  <c r="AD587" i="15"/>
  <c r="AD572" i="15"/>
  <c r="BP637" i="15"/>
  <c r="BP609" i="15"/>
  <c r="AE576" i="15"/>
  <c r="AP576" i="15" s="1"/>
  <c r="AX576" i="15" s="1"/>
  <c r="BE576" i="15" s="1"/>
  <c r="BM576" i="15" s="1"/>
  <c r="AB571" i="15"/>
  <c r="AB596" i="15"/>
  <c r="AC590" i="15"/>
  <c r="AN590" i="15" s="1"/>
  <c r="AV590" i="15" s="1"/>
  <c r="BC590" i="15" s="1"/>
  <c r="BK590" i="15" s="1"/>
  <c r="BP597" i="15"/>
  <c r="BP658" i="15"/>
  <c r="BP620" i="15"/>
  <c r="AB580" i="15"/>
  <c r="AB584" i="15"/>
  <c r="AB595" i="15"/>
  <c r="BP617" i="15"/>
  <c r="BP659" i="15"/>
  <c r="AB582" i="15"/>
  <c r="BP635" i="15"/>
  <c r="AD579" i="15"/>
  <c r="AO579" i="15" s="1"/>
  <c r="AW579" i="15" s="1"/>
  <c r="BD579" i="15" s="1"/>
  <c r="BL579" i="15" s="1"/>
  <c r="AE573" i="15"/>
  <c r="AP573" i="15" s="1"/>
  <c r="AX573" i="15" s="1"/>
  <c r="BE573" i="15" s="1"/>
  <c r="BM573" i="15" s="1"/>
  <c r="AE578" i="15"/>
  <c r="AP578" i="15" s="1"/>
  <c r="AX578" i="15" s="1"/>
  <c r="BE578" i="15" s="1"/>
  <c r="BM578" i="15" s="1"/>
  <c r="AC585" i="15"/>
  <c r="AB574" i="15"/>
  <c r="AM612" i="15"/>
  <c r="AU612" i="15" s="1"/>
  <c r="BB612" i="15" s="1"/>
  <c r="BJ612" i="15" s="1"/>
  <c r="AB592" i="15"/>
  <c r="BP645" i="15"/>
  <c r="AD581" i="15"/>
  <c r="AC575" i="15"/>
  <c r="BP642" i="15"/>
  <c r="AB591" i="15"/>
  <c r="AB586" i="15"/>
  <c r="AC593" i="15"/>
  <c r="AN593" i="15" s="1"/>
  <c r="AV593" i="15" s="1"/>
  <c r="BC593" i="15" s="1"/>
  <c r="BK593" i="15" s="1"/>
  <c r="AD577" i="15"/>
  <c r="AB589" i="15"/>
  <c r="AB588" i="15"/>
  <c r="AC587" i="15"/>
  <c r="HL72" i="10"/>
  <c r="HN72" i="10" s="1"/>
  <c r="C52" i="14" s="1"/>
  <c r="HQ72" i="10"/>
  <c r="HP72" i="10"/>
  <c r="HR72" i="10"/>
  <c r="AE572" i="15"/>
  <c r="AP572" i="15" s="1"/>
  <c r="AX572" i="15" s="1"/>
  <c r="BE572" i="15" s="1"/>
  <c r="BM572" i="15" s="1"/>
  <c r="AD576" i="15"/>
  <c r="BP624" i="15"/>
  <c r="AD571" i="15"/>
  <c r="AC596" i="15"/>
  <c r="AE590" i="15"/>
  <c r="AP590" i="15" s="1"/>
  <c r="AX590" i="15" s="1"/>
  <c r="BE590" i="15" s="1"/>
  <c r="BM590" i="15" s="1"/>
  <c r="AE580" i="15"/>
  <c r="AP580" i="15" s="1"/>
  <c r="AX580" i="15" s="1"/>
  <c r="BE580" i="15" s="1"/>
  <c r="BM580" i="15" s="1"/>
  <c r="AE584" i="15"/>
  <c r="AP584" i="15" s="1"/>
  <c r="AX584" i="15" s="1"/>
  <c r="BE584" i="15" s="1"/>
  <c r="BM584" i="15" s="1"/>
  <c r="AC595" i="15"/>
  <c r="AN595" i="15" s="1"/>
  <c r="AV595" i="15" s="1"/>
  <c r="BC595" i="15" s="1"/>
  <c r="BK595" i="15" s="1"/>
  <c r="AD582" i="15"/>
  <c r="AO582" i="15" s="1"/>
  <c r="AW582" i="15" s="1"/>
  <c r="BD582" i="15" s="1"/>
  <c r="BL582" i="15" s="1"/>
  <c r="AC579" i="15"/>
  <c r="AN579" i="15" s="1"/>
  <c r="AV579" i="15" s="1"/>
  <c r="BC579" i="15" s="1"/>
  <c r="BK579" i="15" s="1"/>
  <c r="AD573" i="15"/>
  <c r="AD578" i="15"/>
  <c r="BP657" i="15"/>
  <c r="AD585" i="15"/>
  <c r="BP656" i="15"/>
  <c r="AE574" i="15"/>
  <c r="AP574" i="15" s="1"/>
  <c r="AX574" i="15" s="1"/>
  <c r="BE574" i="15" s="1"/>
  <c r="BM574" i="15" s="1"/>
  <c r="AC592" i="15"/>
  <c r="AN592" i="15" s="1"/>
  <c r="AV592" i="15" s="1"/>
  <c r="BC592" i="15" s="1"/>
  <c r="BK592" i="15" s="1"/>
  <c r="BP627" i="15"/>
  <c r="AC594" i="15"/>
  <c r="AN594" i="15" s="1"/>
  <c r="AV594" i="15" s="1"/>
  <c r="BC594" i="15" s="1"/>
  <c r="BK594" i="15" s="1"/>
  <c r="AC581" i="15"/>
  <c r="AB583" i="15"/>
  <c r="AB575" i="15"/>
  <c r="AM614" i="15"/>
  <c r="AU614" i="15" s="1"/>
  <c r="BB614" i="15" s="1"/>
  <c r="BJ614" i="15" s="1"/>
  <c r="BP614" i="15" s="1"/>
  <c r="AD591" i="15"/>
  <c r="AC586" i="15"/>
  <c r="AN605" i="15"/>
  <c r="AV605" i="15" s="1"/>
  <c r="BC605" i="15" s="1"/>
  <c r="BK605" i="15" s="1"/>
  <c r="BP625" i="15"/>
  <c r="AE593" i="15"/>
  <c r="AP593" i="15" s="1"/>
  <c r="AX593" i="15" s="1"/>
  <c r="BE593" i="15" s="1"/>
  <c r="BM593" i="15" s="1"/>
  <c r="AB577" i="15"/>
  <c r="AC589" i="15"/>
  <c r="BP654" i="15"/>
  <c r="BP640" i="15"/>
  <c r="HO73" i="10"/>
  <c r="GV73" i="10"/>
  <c r="GU73" i="10"/>
  <c r="GT73" i="10"/>
  <c r="GS73" i="10"/>
  <c r="AB572" i="15"/>
  <c r="AB576" i="15"/>
  <c r="AE571" i="15"/>
  <c r="AP571" i="15" s="1"/>
  <c r="AX571" i="15" s="1"/>
  <c r="BE571" i="15" s="1"/>
  <c r="BM571" i="15" s="1"/>
  <c r="AD596" i="15"/>
  <c r="AO596" i="15" s="1"/>
  <c r="AW596" i="15" s="1"/>
  <c r="BD596" i="15" s="1"/>
  <c r="BL596" i="15" s="1"/>
  <c r="BP644" i="15"/>
  <c r="AD590" i="15"/>
  <c r="AO590" i="15" s="1"/>
  <c r="AW590" i="15" s="1"/>
  <c r="BD590" i="15" s="1"/>
  <c r="BL590" i="15" s="1"/>
  <c r="BP671" i="15"/>
  <c r="BP655" i="15"/>
  <c r="BP667" i="15"/>
  <c r="AN603" i="15"/>
  <c r="BP632" i="15"/>
  <c r="AD580" i="15"/>
  <c r="AD584" i="15"/>
  <c r="AE595" i="15"/>
  <c r="AP595" i="15" s="1"/>
  <c r="AX595" i="15" s="1"/>
  <c r="BE595" i="15" s="1"/>
  <c r="BM595" i="15" s="1"/>
  <c r="AC582" i="15"/>
  <c r="BP652" i="15"/>
  <c r="AE579" i="15"/>
  <c r="AP579" i="15" s="1"/>
  <c r="AX579" i="15" s="1"/>
  <c r="BE579" i="15" s="1"/>
  <c r="BM579" i="15" s="1"/>
  <c r="AC573" i="15"/>
  <c r="BP631" i="15"/>
  <c r="AB578" i="15"/>
  <c r="AB585" i="15"/>
  <c r="AD574" i="15"/>
  <c r="AO574" i="15" s="1"/>
  <c r="AW574" i="15" s="1"/>
  <c r="BD574" i="15" s="1"/>
  <c r="BL574" i="15" s="1"/>
  <c r="AD592" i="15"/>
  <c r="AB594" i="15"/>
  <c r="AE581" i="15"/>
  <c r="AP581" i="15" s="1"/>
  <c r="AX581" i="15" s="1"/>
  <c r="BE581" i="15" s="1"/>
  <c r="BM581" i="15" s="1"/>
  <c r="AE586" i="15"/>
  <c r="AP586" i="15" s="1"/>
  <c r="AX586" i="15" s="1"/>
  <c r="BE586" i="15" s="1"/>
  <c r="BM586" i="15" s="1"/>
  <c r="AB593" i="15"/>
  <c r="AC577" i="15"/>
  <c r="AN577" i="15" s="1"/>
  <c r="AV577" i="15" s="1"/>
  <c r="BC577" i="15" s="1"/>
  <c r="BK577" i="15" s="1"/>
  <c r="BP669" i="15"/>
  <c r="AD588" i="15"/>
  <c r="AB587" i="15"/>
  <c r="DC708" i="15"/>
  <c r="DE708" i="15" s="1"/>
  <c r="CF710" i="15"/>
  <c r="CQ710" i="15" s="1"/>
  <c r="CV710" i="15" s="1"/>
  <c r="CD710" i="15"/>
  <c r="CE710" i="15"/>
  <c r="CP710" i="15" s="1"/>
  <c r="CU710" i="15" s="1"/>
  <c r="BQ712" i="15"/>
  <c r="FD83" i="10"/>
  <c r="FD82" i="10"/>
  <c r="AL145" i="17"/>
  <c r="AM145" i="17" s="1"/>
  <c r="AH146" i="17"/>
  <c r="AH149" i="17"/>
  <c r="AL148" i="17"/>
  <c r="AM148" i="17" s="1"/>
  <c r="AN148" i="17" s="1"/>
  <c r="AL149" i="17"/>
  <c r="AM149" i="17" s="1"/>
  <c r="AN149" i="17" s="1"/>
  <c r="AL146" i="17"/>
  <c r="AM146" i="17" s="1"/>
  <c r="AN146" i="17" s="1"/>
  <c r="AH147" i="17"/>
  <c r="AH148" i="17"/>
  <c r="AL147" i="17"/>
  <c r="AM147" i="17" s="1"/>
  <c r="AN147" i="17" s="1"/>
  <c r="AG147" i="15"/>
  <c r="AG147" i="17"/>
  <c r="BH148" i="15"/>
  <c r="BK147" i="15"/>
  <c r="BH147" i="17"/>
  <c r="BK146" i="17"/>
  <c r="AU148" i="15"/>
  <c r="AI110" i="15"/>
  <c r="BW665" i="15"/>
  <c r="FV81" i="10"/>
  <c r="BW650" i="15"/>
  <c r="BW585" i="15"/>
  <c r="BW675" i="15"/>
  <c r="BW633" i="15"/>
  <c r="AI122" i="15"/>
  <c r="AI73" i="15"/>
  <c r="BX579" i="15"/>
  <c r="BW702" i="15"/>
  <c r="BW589" i="15"/>
  <c r="KK83" i="10"/>
  <c r="FC82" i="10"/>
  <c r="BT703" i="15"/>
  <c r="BX629" i="15"/>
  <c r="KM82" i="10"/>
  <c r="BX599" i="15"/>
  <c r="BV710" i="15"/>
  <c r="BX612" i="15"/>
  <c r="AI137" i="15"/>
  <c r="AI125" i="15"/>
  <c r="BW600" i="15"/>
  <c r="BX698" i="15"/>
  <c r="BX609" i="15"/>
  <c r="BW575" i="15"/>
  <c r="AP146" i="17"/>
  <c r="BW685" i="15"/>
  <c r="FX82" i="10"/>
  <c r="AI42" i="15"/>
  <c r="AI123" i="15"/>
  <c r="AI81" i="15"/>
  <c r="BX589" i="15"/>
  <c r="BX667" i="15"/>
  <c r="BW603" i="15"/>
  <c r="FA83" i="10"/>
  <c r="BW645" i="15"/>
  <c r="BX677" i="15"/>
  <c r="BX613" i="15"/>
  <c r="GA81" i="10"/>
  <c r="BW693" i="15"/>
  <c r="BX639" i="15"/>
  <c r="BW590" i="15"/>
  <c r="BX683" i="15"/>
  <c r="BW699" i="15"/>
  <c r="BW668" i="15"/>
  <c r="KU82" i="10"/>
  <c r="AI70" i="15"/>
  <c r="BX624" i="15"/>
  <c r="AI49" i="15"/>
  <c r="FY80" i="10"/>
  <c r="AI102" i="15"/>
  <c r="AI52" i="15"/>
  <c r="AI40" i="15"/>
  <c r="BW625" i="15"/>
  <c r="BW595" i="15"/>
  <c r="FZ80" i="10"/>
  <c r="KL82" i="10"/>
  <c r="AI127" i="15"/>
  <c r="AI95" i="15"/>
  <c r="BV703" i="15"/>
  <c r="BV705" i="15"/>
  <c r="AP146" i="15"/>
  <c r="BW580" i="15"/>
  <c r="BW680" i="15"/>
  <c r="FW81" i="10"/>
  <c r="BX669" i="15"/>
  <c r="BW673" i="15"/>
  <c r="BW630" i="15"/>
  <c r="BX699" i="15"/>
  <c r="AI71" i="15"/>
  <c r="BV704" i="15"/>
  <c r="BX682" i="15"/>
  <c r="BW638" i="15"/>
  <c r="BW683" i="15"/>
  <c r="KM83" i="10"/>
  <c r="CH712" i="15"/>
  <c r="BX594" i="15"/>
  <c r="BX619" i="15"/>
  <c r="AI43" i="15"/>
  <c r="AI120" i="15"/>
  <c r="BW620" i="15"/>
  <c r="BX672" i="15"/>
  <c r="BW578" i="15"/>
  <c r="BW700" i="15"/>
  <c r="FY81" i="10"/>
  <c r="BX692" i="15"/>
  <c r="BX637" i="15"/>
  <c r="BX628" i="15"/>
  <c r="FG83" i="10"/>
  <c r="BX654" i="15"/>
  <c r="KU83" i="10"/>
  <c r="BW695" i="15"/>
  <c r="AI113" i="15"/>
  <c r="AI112" i="15"/>
  <c r="AI111" i="15"/>
  <c r="FE82" i="10"/>
  <c r="FB82" i="10"/>
  <c r="FV80" i="10"/>
  <c r="KN83" i="10"/>
  <c r="BX701" i="15"/>
  <c r="BW635" i="15"/>
  <c r="FU81" i="10"/>
  <c r="BX634" i="15"/>
  <c r="BW640" i="15"/>
  <c r="AI126" i="15"/>
  <c r="KN82" i="10"/>
  <c r="BW613" i="15"/>
  <c r="AI83" i="15"/>
  <c r="AI80" i="15"/>
  <c r="BW614" i="15"/>
  <c r="FE83" i="10"/>
  <c r="FL83" i="10"/>
  <c r="FL82" i="10"/>
  <c r="BX649" i="15"/>
  <c r="AI103" i="15"/>
  <c r="AI131" i="15"/>
  <c r="AI130" i="15"/>
  <c r="AI105" i="15"/>
  <c r="AI106" i="15"/>
  <c r="AI101" i="15"/>
  <c r="AI100" i="15"/>
  <c r="AI107" i="15"/>
  <c r="BX604" i="15"/>
  <c r="AO146" i="17"/>
  <c r="BX687" i="15"/>
  <c r="BX644" i="15"/>
  <c r="BX588" i="15"/>
  <c r="BX688" i="15"/>
  <c r="AI128" i="15"/>
  <c r="BW615" i="15"/>
  <c r="BT704" i="15"/>
  <c r="GA80" i="10"/>
  <c r="BT702" i="15"/>
  <c r="BX674" i="15"/>
  <c r="FB83" i="10"/>
  <c r="FZ81" i="10"/>
  <c r="BW684" i="15"/>
  <c r="BX664" i="15"/>
  <c r="BX574" i="15"/>
  <c r="BW670" i="15"/>
  <c r="BW598" i="15"/>
  <c r="AI72" i="15"/>
  <c r="BW669" i="15"/>
  <c r="AO147" i="15"/>
  <c r="BX668" i="15"/>
  <c r="BX689" i="15"/>
  <c r="BX614" i="15"/>
  <c r="BW610" i="15"/>
  <c r="AI82" i="15"/>
  <c r="AI138" i="15"/>
  <c r="AI121" i="15"/>
  <c r="BX694" i="15"/>
  <c r="BW678" i="15"/>
  <c r="FC83" i="10"/>
  <c r="BX602" i="15"/>
  <c r="BX679" i="15"/>
  <c r="BX708" i="15"/>
  <c r="FX83" i="10"/>
  <c r="BW688" i="15"/>
  <c r="BT705" i="15"/>
  <c r="FA82" i="10"/>
  <c r="BW690" i="15"/>
  <c r="BT701" i="15"/>
  <c r="FW80" i="10"/>
  <c r="AI108" i="15"/>
  <c r="BX597" i="15"/>
  <c r="BX632" i="15"/>
  <c r="BW709" i="15"/>
  <c r="BX577" i="15"/>
  <c r="AI41" i="15"/>
  <c r="BY711" i="15"/>
  <c r="BW655" i="15"/>
  <c r="BW605" i="15"/>
  <c r="BX684" i="15"/>
  <c r="FU80" i="10"/>
  <c r="BZ711" i="15"/>
  <c r="FG82" i="10"/>
  <c r="BW629" i="15"/>
  <c r="BW689" i="15"/>
  <c r="KL83" i="10"/>
  <c r="BX584" i="15"/>
  <c r="KK82" i="10"/>
  <c r="AO584" i="15" l="1"/>
  <c r="AW584" i="15" s="1"/>
  <c r="BD584" i="15" s="1"/>
  <c r="BL584" i="15" s="1"/>
  <c r="AM575" i="15"/>
  <c r="BP621" i="15"/>
  <c r="AO580" i="15"/>
  <c r="AW580" i="15" s="1"/>
  <c r="BD580" i="15" s="1"/>
  <c r="BL580" i="15" s="1"/>
  <c r="BP682" i="15"/>
  <c r="BP634" i="15"/>
  <c r="BP666" i="15"/>
  <c r="BP683" i="15"/>
  <c r="AN607" i="15"/>
  <c r="BP615" i="15"/>
  <c r="BP680" i="15"/>
  <c r="BP668" i="15"/>
  <c r="BP623" i="15"/>
  <c r="BP651" i="15"/>
  <c r="AH109" i="15"/>
  <c r="AK109" i="15" s="1"/>
  <c r="AL109" i="15" s="1"/>
  <c r="AM109" i="15" s="1"/>
  <c r="AN109" i="15" s="1"/>
  <c r="AH108" i="15"/>
  <c r="AJ100" i="15"/>
  <c r="AK100" i="15" s="1"/>
  <c r="AL100" i="15" s="1"/>
  <c r="AM100" i="15" s="1"/>
  <c r="AN100" i="15" s="1"/>
  <c r="AH101" i="15"/>
  <c r="AJ101" i="15" s="1"/>
  <c r="AK101" i="15" s="1"/>
  <c r="AL101" i="15" s="1"/>
  <c r="AM101" i="15" s="1"/>
  <c r="AN101" i="15" s="1"/>
  <c r="AH102" i="15"/>
  <c r="AJ102" i="15" s="1"/>
  <c r="AK102" i="15" s="1"/>
  <c r="AL102" i="15" s="1"/>
  <c r="AM102" i="15" s="1"/>
  <c r="AN102" i="15" s="1"/>
  <c r="AH107" i="15"/>
  <c r="AH106" i="15"/>
  <c r="AJ106" i="15" s="1"/>
  <c r="AK106" i="15" s="1"/>
  <c r="AL106" i="15" s="1"/>
  <c r="AM106" i="15" s="1"/>
  <c r="AN106" i="15" s="1"/>
  <c r="AJ105" i="15"/>
  <c r="AK105" i="15" s="1"/>
  <c r="AL105" i="15" s="1"/>
  <c r="AM105" i="15" s="1"/>
  <c r="AN105" i="15" s="1"/>
  <c r="AH131" i="15"/>
  <c r="AJ130" i="15"/>
  <c r="AK130" i="15" s="1"/>
  <c r="AL130" i="15" s="1"/>
  <c r="AM130" i="15" s="1"/>
  <c r="AN130" i="15" s="1"/>
  <c r="AJ131" i="15"/>
  <c r="AH132" i="15"/>
  <c r="AK132" i="15" s="1"/>
  <c r="AL132" i="15" s="1"/>
  <c r="AM132" i="15" s="1"/>
  <c r="AN132" i="15" s="1"/>
  <c r="AH104" i="15"/>
  <c r="AK104" i="15" s="1"/>
  <c r="AL104" i="15" s="1"/>
  <c r="AM104" i="15" s="1"/>
  <c r="AN104" i="15" s="1"/>
  <c r="AH112" i="15"/>
  <c r="AH113" i="15"/>
  <c r="AH114" i="15"/>
  <c r="AK114" i="15" s="1"/>
  <c r="AL114" i="15" s="1"/>
  <c r="AM114" i="15" s="1"/>
  <c r="AN114" i="15" s="1"/>
  <c r="AH53" i="15"/>
  <c r="AK53" i="15" s="1"/>
  <c r="AL53" i="15" s="1"/>
  <c r="AM53" i="15" s="1"/>
  <c r="AN53" i="15" s="1"/>
  <c r="AH103" i="15"/>
  <c r="AH111" i="15"/>
  <c r="AJ110" i="15"/>
  <c r="AK110" i="15" s="1"/>
  <c r="AL110" i="15" s="1"/>
  <c r="AM110" i="15" s="1"/>
  <c r="AN110" i="15" s="1"/>
  <c r="AM578" i="15"/>
  <c r="AU604" i="15"/>
  <c r="AE588" i="15"/>
  <c r="AP588" i="15" s="1"/>
  <c r="AX588" i="15" s="1"/>
  <c r="BE588" i="15" s="1"/>
  <c r="BM588" i="15" s="1"/>
  <c r="AM584" i="15"/>
  <c r="AU584" i="15" s="1"/>
  <c r="BB584" i="15" s="1"/>
  <c r="BJ584" i="15" s="1"/>
  <c r="AJ52" i="15"/>
  <c r="AK52" i="15" s="1"/>
  <c r="AL52" i="15" s="1"/>
  <c r="AM52" i="15" s="1"/>
  <c r="AN52" i="15" s="1"/>
  <c r="AO607" i="15"/>
  <c r="AW607" i="15" s="1"/>
  <c r="BD607" i="15" s="1"/>
  <c r="BL607" i="15" s="1"/>
  <c r="AU598" i="15"/>
  <c r="AV603" i="15"/>
  <c r="BC603" i="15" s="1"/>
  <c r="BK603" i="15" s="1"/>
  <c r="AM591" i="15"/>
  <c r="AU591" i="15" s="1"/>
  <c r="BB591" i="15" s="1"/>
  <c r="BJ591" i="15" s="1"/>
  <c r="BP612" i="15"/>
  <c r="AO602" i="15"/>
  <c r="AW602" i="15" s="1"/>
  <c r="BD602" i="15" s="1"/>
  <c r="BL602" i="15" s="1"/>
  <c r="AM613" i="15"/>
  <c r="AU613" i="15" s="1"/>
  <c r="BB613" i="15" s="1"/>
  <c r="BJ613" i="15" s="1"/>
  <c r="BP613" i="15" s="1"/>
  <c r="AH82" i="15"/>
  <c r="AJ82" i="15" s="1"/>
  <c r="AK82" i="15" s="1"/>
  <c r="AL82" i="15" s="1"/>
  <c r="AM82" i="15" s="1"/>
  <c r="AN82" i="15" s="1"/>
  <c r="AJ80" i="15"/>
  <c r="AK80" i="15" s="1"/>
  <c r="AL80" i="15" s="1"/>
  <c r="AM80" i="15" s="1"/>
  <c r="AN80" i="15" s="1"/>
  <c r="AH81" i="15"/>
  <c r="AJ81" i="15" s="1"/>
  <c r="AK81" i="15" s="1"/>
  <c r="AL81" i="15" s="1"/>
  <c r="AM81" i="15" s="1"/>
  <c r="AN81" i="15" s="1"/>
  <c r="AH122" i="15"/>
  <c r="AJ121" i="15"/>
  <c r="AJ120" i="15"/>
  <c r="AK120" i="15" s="1"/>
  <c r="AL120" i="15" s="1"/>
  <c r="AM120" i="15" s="1"/>
  <c r="AN120" i="15" s="1"/>
  <c r="AH121" i="15"/>
  <c r="AH124" i="15"/>
  <c r="AK124" i="15" s="1"/>
  <c r="AL124" i="15" s="1"/>
  <c r="AM124" i="15" s="1"/>
  <c r="AN124" i="15" s="1"/>
  <c r="AJ123" i="15"/>
  <c r="AJ70" i="15"/>
  <c r="AK70" i="15" s="1"/>
  <c r="AL70" i="15" s="1"/>
  <c r="AM70" i="15" s="1"/>
  <c r="AN70" i="15" s="1"/>
  <c r="AH71" i="15"/>
  <c r="AJ71" i="15" s="1"/>
  <c r="AK71" i="15" s="1"/>
  <c r="AL71" i="15" s="1"/>
  <c r="AM71" i="15" s="1"/>
  <c r="AN71" i="15" s="1"/>
  <c r="AH139" i="15"/>
  <c r="AK139" i="15" s="1"/>
  <c r="AL139" i="15" s="1"/>
  <c r="AM139" i="15" s="1"/>
  <c r="AN139" i="15" s="1"/>
  <c r="AJ138" i="15"/>
  <c r="AH44" i="15"/>
  <c r="AK44" i="15" s="1"/>
  <c r="AL44" i="15" s="1"/>
  <c r="AM44" i="15" s="1"/>
  <c r="AN44" i="15" s="1"/>
  <c r="AH43" i="15"/>
  <c r="AJ43" i="15" s="1"/>
  <c r="AK43" i="15" s="1"/>
  <c r="AL43" i="15" s="1"/>
  <c r="AM43" i="15" s="1"/>
  <c r="AN43" i="15" s="1"/>
  <c r="AH84" i="15"/>
  <c r="AK84" i="15" s="1"/>
  <c r="AL84" i="15" s="1"/>
  <c r="AM84" i="15" s="1"/>
  <c r="AN84" i="15" s="1"/>
  <c r="AH83" i="15"/>
  <c r="AJ83" i="15" s="1"/>
  <c r="AK83" i="15" s="1"/>
  <c r="AL83" i="15" s="1"/>
  <c r="AM83" i="15" s="1"/>
  <c r="AN83" i="15" s="1"/>
  <c r="AH126" i="15"/>
  <c r="AJ125" i="15"/>
  <c r="AK125" i="15" s="1"/>
  <c r="AL125" i="15" s="1"/>
  <c r="AM125" i="15" s="1"/>
  <c r="AN125" i="15" s="1"/>
  <c r="AH127" i="15"/>
  <c r="AJ126" i="15"/>
  <c r="AH73" i="15"/>
  <c r="AH72" i="15"/>
  <c r="AH138" i="15"/>
  <c r="AJ137" i="15"/>
  <c r="AK137" i="15" s="1"/>
  <c r="AL137" i="15" s="1"/>
  <c r="AM137" i="15" s="1"/>
  <c r="AN137" i="15" s="1"/>
  <c r="AJ95" i="15"/>
  <c r="AK95" i="15" s="1"/>
  <c r="AL95" i="15" s="1"/>
  <c r="AM95" i="15" s="1"/>
  <c r="AN95" i="15" s="1"/>
  <c r="AH96" i="15"/>
  <c r="AJ96" i="15" s="1"/>
  <c r="AK96" i="15" s="1"/>
  <c r="AL96" i="15" s="1"/>
  <c r="AM96" i="15" s="1"/>
  <c r="AN96" i="15" s="1"/>
  <c r="AH74" i="15"/>
  <c r="AK74" i="15" s="1"/>
  <c r="AL74" i="15" s="1"/>
  <c r="AM74" i="15" s="1"/>
  <c r="AN74" i="15" s="1"/>
  <c r="AH42" i="15"/>
  <c r="AJ42" i="15" s="1"/>
  <c r="AK42" i="15" s="1"/>
  <c r="AL42" i="15" s="1"/>
  <c r="AM42" i="15" s="1"/>
  <c r="AN42" i="15" s="1"/>
  <c r="AH129" i="15"/>
  <c r="AK129" i="15" s="1"/>
  <c r="AL129" i="15" s="1"/>
  <c r="AM129" i="15" s="1"/>
  <c r="AN129" i="15" s="1"/>
  <c r="AJ128" i="15"/>
  <c r="AH128" i="15"/>
  <c r="AJ127" i="15"/>
  <c r="AH123" i="15"/>
  <c r="AJ122" i="15"/>
  <c r="AJ40" i="15"/>
  <c r="AK40" i="15" s="1"/>
  <c r="AL40" i="15" s="1"/>
  <c r="AM40" i="15" s="1"/>
  <c r="AN40" i="15" s="1"/>
  <c r="AH41" i="15"/>
  <c r="AJ41" i="15" s="1"/>
  <c r="AK41" i="15" s="1"/>
  <c r="AL41" i="15" s="1"/>
  <c r="AM41" i="15" s="1"/>
  <c r="AN41" i="15" s="1"/>
  <c r="CC703" i="15"/>
  <c r="CN703" i="15" s="1"/>
  <c r="CS703" i="15" s="1"/>
  <c r="CC705" i="15"/>
  <c r="CC704" i="15"/>
  <c r="CN704" i="15" s="1"/>
  <c r="CS704" i="15" s="1"/>
  <c r="AO592" i="15"/>
  <c r="AW592" i="15" s="1"/>
  <c r="BD592" i="15" s="1"/>
  <c r="BL592" i="15" s="1"/>
  <c r="AN586" i="15"/>
  <c r="AM588" i="15"/>
  <c r="AM593" i="15"/>
  <c r="AU593" i="15" s="1"/>
  <c r="BB593" i="15" s="1"/>
  <c r="BJ593" i="15" s="1"/>
  <c r="AM585" i="15"/>
  <c r="AM572" i="15"/>
  <c r="AU572" i="15" s="1"/>
  <c r="BB572" i="15" s="1"/>
  <c r="BJ572" i="15" s="1"/>
  <c r="AV602" i="15"/>
  <c r="BC602" i="15" s="1"/>
  <c r="BK602" i="15" s="1"/>
  <c r="AU601" i="15"/>
  <c r="AU600" i="15"/>
  <c r="AV606" i="15"/>
  <c r="BC606" i="15" s="1"/>
  <c r="BK606" i="15" s="1"/>
  <c r="AK62" i="15"/>
  <c r="AL62" i="15" s="1"/>
  <c r="AM62" i="15" s="1"/>
  <c r="AN62" i="15" s="1"/>
  <c r="AV608" i="15"/>
  <c r="BC608" i="15" s="1"/>
  <c r="BK608" i="15" s="1"/>
  <c r="AU599" i="15"/>
  <c r="BB599" i="15" s="1"/>
  <c r="BJ599" i="15" s="1"/>
  <c r="AV604" i="15"/>
  <c r="BC604" i="15" s="1"/>
  <c r="BK604" i="15" s="1"/>
  <c r="AK141" i="15"/>
  <c r="AL141" i="15" s="1"/>
  <c r="AM141" i="15" s="1"/>
  <c r="AN141" i="15" s="1"/>
  <c r="AU608" i="15"/>
  <c r="AO577" i="15"/>
  <c r="AW577" i="15" s="1"/>
  <c r="BD577" i="15" s="1"/>
  <c r="BL577" i="15" s="1"/>
  <c r="AU606" i="15"/>
  <c r="AV598" i="15"/>
  <c r="BC598" i="15" s="1"/>
  <c r="BK598" i="15" s="1"/>
  <c r="CD708" i="15"/>
  <c r="AM580" i="15"/>
  <c r="AV601" i="15"/>
  <c r="BC601" i="15" s="1"/>
  <c r="BK601" i="15" s="1"/>
  <c r="AU607" i="15"/>
  <c r="AO578" i="15"/>
  <c r="AW578" i="15" s="1"/>
  <c r="BD578" i="15" s="1"/>
  <c r="BL578" i="15" s="1"/>
  <c r="AU602" i="15"/>
  <c r="AO576" i="15"/>
  <c r="AW576" i="15" s="1"/>
  <c r="BD576" i="15" s="1"/>
  <c r="BL576" i="15" s="1"/>
  <c r="AM574" i="15"/>
  <c r="AK66" i="15"/>
  <c r="AL66" i="15" s="1"/>
  <c r="AM66" i="15" s="1"/>
  <c r="AN66" i="15" s="1"/>
  <c r="AN589" i="15"/>
  <c r="AO573" i="15"/>
  <c r="AW573" i="15" s="1"/>
  <c r="BD573" i="15" s="1"/>
  <c r="BL573" i="15" s="1"/>
  <c r="AV607" i="15"/>
  <c r="AM571" i="15"/>
  <c r="AK117" i="15"/>
  <c r="AL117" i="15" s="1"/>
  <c r="AM117" i="15" s="1"/>
  <c r="AN117" i="15" s="1"/>
  <c r="AM587" i="15"/>
  <c r="AM594" i="15"/>
  <c r="AU594" i="15" s="1"/>
  <c r="BB594" i="15" s="1"/>
  <c r="BJ594" i="15" s="1"/>
  <c r="BP594" i="15" s="1"/>
  <c r="AO585" i="15"/>
  <c r="AW585" i="15" s="1"/>
  <c r="BD585" i="15" s="1"/>
  <c r="BL585" i="15" s="1"/>
  <c r="AN575" i="15"/>
  <c r="AU575" i="15" s="1"/>
  <c r="AK116" i="15"/>
  <c r="AL116" i="15" s="1"/>
  <c r="AM116" i="15" s="1"/>
  <c r="AN116" i="15" s="1"/>
  <c r="AN573" i="15"/>
  <c r="AM576" i="15"/>
  <c r="AU576" i="15" s="1"/>
  <c r="BB576" i="15" s="1"/>
  <c r="BJ576" i="15" s="1"/>
  <c r="AN587" i="15"/>
  <c r="AU587" i="15" s="1"/>
  <c r="CD701" i="15"/>
  <c r="CO701" i="15" s="1"/>
  <c r="CC701" i="15"/>
  <c r="CN701" i="15" s="1"/>
  <c r="AW600" i="15"/>
  <c r="BD600" i="15" s="1"/>
  <c r="BL600" i="15" s="1"/>
  <c r="AV600" i="15"/>
  <c r="CD594" i="15"/>
  <c r="CD574" i="15"/>
  <c r="CD677" i="15"/>
  <c r="CD628" i="15"/>
  <c r="CD634" i="15"/>
  <c r="CD609" i="15"/>
  <c r="CD637" i="15"/>
  <c r="CD588" i="15"/>
  <c r="CD694" i="15"/>
  <c r="CD668" i="15"/>
  <c r="CD684" i="15"/>
  <c r="CD589" i="15"/>
  <c r="CD692" i="15"/>
  <c r="CD669" i="15"/>
  <c r="CD584" i="15"/>
  <c r="CD599" i="15"/>
  <c r="CD679" i="15"/>
  <c r="CD649" i="15"/>
  <c r="CD624" i="15"/>
  <c r="CD614" i="15"/>
  <c r="CD687" i="15"/>
  <c r="CD639" i="15"/>
  <c r="CD579" i="15"/>
  <c r="CD689" i="15"/>
  <c r="CD613" i="15"/>
  <c r="CD667" i="15"/>
  <c r="CD604" i="15"/>
  <c r="CD672" i="15"/>
  <c r="CD699" i="15"/>
  <c r="AJ49" i="15"/>
  <c r="AK49" i="15" s="1"/>
  <c r="AL49" i="15" s="1"/>
  <c r="AM49" i="15" s="1"/>
  <c r="AN49" i="15" s="1"/>
  <c r="CD664" i="15"/>
  <c r="CD674" i="15"/>
  <c r="CD698" i="15"/>
  <c r="CD654" i="15"/>
  <c r="CD619" i="15"/>
  <c r="CD682" i="15"/>
  <c r="CD683" i="15"/>
  <c r="CD688" i="15"/>
  <c r="CD644" i="15"/>
  <c r="CD629" i="15"/>
  <c r="AM582" i="15"/>
  <c r="AU582" i="15" s="1"/>
  <c r="BB582" i="15" s="1"/>
  <c r="BJ582" i="15" s="1"/>
  <c r="AN582" i="15"/>
  <c r="AV582" i="15" s="1"/>
  <c r="BC582" i="15" s="1"/>
  <c r="BK582" i="15" s="1"/>
  <c r="AM577" i="15"/>
  <c r="AU577" i="15" s="1"/>
  <c r="BB577" i="15" s="1"/>
  <c r="BJ577" i="15" s="1"/>
  <c r="AM583" i="15"/>
  <c r="AU583" i="15" s="1"/>
  <c r="BB583" i="15" s="1"/>
  <c r="BJ583" i="15" s="1"/>
  <c r="AM586" i="15"/>
  <c r="AU586" i="15" s="1"/>
  <c r="AM592" i="15"/>
  <c r="AU592" i="15" s="1"/>
  <c r="BB592" i="15" s="1"/>
  <c r="BJ592" i="15" s="1"/>
  <c r="AM595" i="15"/>
  <c r="AU595" i="15" s="1"/>
  <c r="BB595" i="15" s="1"/>
  <c r="BJ595" i="15" s="1"/>
  <c r="AO572" i="15"/>
  <c r="AW572" i="15" s="1"/>
  <c r="BD572" i="15" s="1"/>
  <c r="BL572" i="15" s="1"/>
  <c r="AN588" i="15"/>
  <c r="AO583" i="15"/>
  <c r="AW583" i="15" s="1"/>
  <c r="BD583" i="15" s="1"/>
  <c r="BL583" i="15" s="1"/>
  <c r="AN578" i="15"/>
  <c r="AJ38" i="15"/>
  <c r="AK38" i="15" s="1"/>
  <c r="AL38" i="15" s="1"/>
  <c r="AM38" i="15" s="1"/>
  <c r="AN38" i="15" s="1"/>
  <c r="AJ56" i="15"/>
  <c r="AK56" i="15" s="1"/>
  <c r="AL56" i="15" s="1"/>
  <c r="AM56" i="15" s="1"/>
  <c r="AN56" i="15" s="1"/>
  <c r="AL50" i="15"/>
  <c r="AM50" i="15" s="1"/>
  <c r="AN50" i="15" s="1"/>
  <c r="AJ97" i="15"/>
  <c r="AK97" i="15" s="1"/>
  <c r="AL97" i="15" s="1"/>
  <c r="AM97" i="15" s="1"/>
  <c r="AN97" i="15" s="1"/>
  <c r="AK136" i="15"/>
  <c r="AL136" i="15" s="1"/>
  <c r="AM136" i="15" s="1"/>
  <c r="AN136" i="15" s="1"/>
  <c r="AJ36" i="15"/>
  <c r="AK36" i="15" s="1"/>
  <c r="AL36" i="15" s="1"/>
  <c r="AM36" i="15" s="1"/>
  <c r="AN36" i="15" s="1"/>
  <c r="AJ103" i="15"/>
  <c r="AK103" i="15" s="1"/>
  <c r="AL103" i="15" s="1"/>
  <c r="AM103" i="15" s="1"/>
  <c r="AN103" i="15" s="1"/>
  <c r="AJ57" i="15"/>
  <c r="AK57" i="15" s="1"/>
  <c r="AL57" i="15" s="1"/>
  <c r="AM57" i="15" s="1"/>
  <c r="AN57" i="15" s="1"/>
  <c r="AO591" i="15"/>
  <c r="AW591" i="15" s="1"/>
  <c r="BD591" i="15" s="1"/>
  <c r="BL591" i="15" s="1"/>
  <c r="BP591" i="15" s="1"/>
  <c r="AM581" i="15"/>
  <c r="AN581" i="15"/>
  <c r="AM589" i="15"/>
  <c r="AO581" i="15"/>
  <c r="AW581" i="15" s="1"/>
  <c r="BD581" i="15" s="1"/>
  <c r="BL581" i="15" s="1"/>
  <c r="AO589" i="15"/>
  <c r="AW589" i="15" s="1"/>
  <c r="BD589" i="15" s="1"/>
  <c r="BL589" i="15" s="1"/>
  <c r="AO586" i="15"/>
  <c r="AW586" i="15" s="1"/>
  <c r="BD586" i="15" s="1"/>
  <c r="BL586" i="15" s="1"/>
  <c r="AM573" i="15"/>
  <c r="AO595" i="15"/>
  <c r="AW595" i="15" s="1"/>
  <c r="BD595" i="15" s="1"/>
  <c r="BL595" i="15" s="1"/>
  <c r="AN580" i="15"/>
  <c r="AM590" i="15"/>
  <c r="AU590" i="15" s="1"/>
  <c r="BB590" i="15" s="1"/>
  <c r="BJ590" i="15" s="1"/>
  <c r="AJ108" i="15"/>
  <c r="AK108" i="15" s="1"/>
  <c r="AL108" i="15" s="1"/>
  <c r="AM108" i="15" s="1"/>
  <c r="AN108" i="15" s="1"/>
  <c r="AJ91" i="15"/>
  <c r="AK91" i="15" s="1"/>
  <c r="AL91" i="15" s="1"/>
  <c r="AM91" i="15" s="1"/>
  <c r="AN91" i="15" s="1"/>
  <c r="AJ32" i="15"/>
  <c r="AK32" i="15" s="1"/>
  <c r="AL32" i="15" s="1"/>
  <c r="AM32" i="15" s="1"/>
  <c r="AN32" i="15" s="1"/>
  <c r="AJ77" i="15"/>
  <c r="AK77" i="15" s="1"/>
  <c r="AL77" i="15" s="1"/>
  <c r="AM77" i="15" s="1"/>
  <c r="AN77" i="15" s="1"/>
  <c r="AJ93" i="15"/>
  <c r="AK93" i="15" s="1"/>
  <c r="AL93" i="15" s="1"/>
  <c r="AM93" i="15" s="1"/>
  <c r="AN93" i="15" s="1"/>
  <c r="AJ111" i="15"/>
  <c r="AK111" i="15" s="1"/>
  <c r="AL111" i="15" s="1"/>
  <c r="AM111" i="15" s="1"/>
  <c r="AN111" i="15" s="1"/>
  <c r="AI18" i="15"/>
  <c r="AK21" i="15"/>
  <c r="AL21" i="15" s="1"/>
  <c r="AM21" i="15" s="1"/>
  <c r="AN21" i="15" s="1"/>
  <c r="AJ107" i="15"/>
  <c r="AK107" i="15" s="1"/>
  <c r="AL107" i="15" s="1"/>
  <c r="AM107" i="15" s="1"/>
  <c r="AN107" i="15" s="1"/>
  <c r="AK22" i="15"/>
  <c r="AL22" i="15" s="1"/>
  <c r="AM22" i="15" s="1"/>
  <c r="AN22" i="15" s="1"/>
  <c r="AN596" i="15"/>
  <c r="AV596" i="15" s="1"/>
  <c r="BC596" i="15" s="1"/>
  <c r="BK596" i="15" s="1"/>
  <c r="AO587" i="15"/>
  <c r="AW587" i="15" s="1"/>
  <c r="BD587" i="15" s="1"/>
  <c r="BL587" i="15" s="1"/>
  <c r="AU605" i="15"/>
  <c r="BB605" i="15" s="1"/>
  <c r="BJ605" i="15" s="1"/>
  <c r="BP605" i="15" s="1"/>
  <c r="AN574" i="15"/>
  <c r="AM579" i="15"/>
  <c r="AU579" i="15" s="1"/>
  <c r="BB579" i="15" s="1"/>
  <c r="BJ579" i="15" s="1"/>
  <c r="BP579" i="15" s="1"/>
  <c r="AJ46" i="15"/>
  <c r="AK46" i="15" s="1"/>
  <c r="AL46" i="15" s="1"/>
  <c r="AM46" i="15" s="1"/>
  <c r="AN46" i="15" s="1"/>
  <c r="AJ58" i="15"/>
  <c r="AK58" i="15" s="1"/>
  <c r="AL58" i="15" s="1"/>
  <c r="AM58" i="15" s="1"/>
  <c r="AN58" i="15" s="1"/>
  <c r="AK118" i="15"/>
  <c r="AL118" i="15" s="1"/>
  <c r="AM118" i="15" s="1"/>
  <c r="AN118" i="15" s="1"/>
  <c r="AJ48" i="15"/>
  <c r="AK48" i="15" s="1"/>
  <c r="AL48" i="15" s="1"/>
  <c r="AM48" i="15" s="1"/>
  <c r="AN48" i="15" s="1"/>
  <c r="AK63" i="15"/>
  <c r="AL63" i="15" s="1"/>
  <c r="AM63" i="15" s="1"/>
  <c r="AN63" i="15" s="1"/>
  <c r="AJ76" i="15"/>
  <c r="AK76" i="15" s="1"/>
  <c r="AL76" i="15" s="1"/>
  <c r="AM76" i="15" s="1"/>
  <c r="AN76" i="15" s="1"/>
  <c r="AJ113" i="15"/>
  <c r="AK113" i="15" s="1"/>
  <c r="AL113" i="15" s="1"/>
  <c r="AM113" i="15" s="1"/>
  <c r="AN113" i="15" s="1"/>
  <c r="AJ37" i="15"/>
  <c r="AK37" i="15" s="1"/>
  <c r="AL37" i="15" s="1"/>
  <c r="AM37" i="15" s="1"/>
  <c r="AN37" i="15" s="1"/>
  <c r="AJ31" i="15"/>
  <c r="AK31" i="15" s="1"/>
  <c r="AL31" i="15" s="1"/>
  <c r="AM31" i="15" s="1"/>
  <c r="AN31" i="15" s="1"/>
  <c r="AJ47" i="15"/>
  <c r="AK47" i="15" s="1"/>
  <c r="AL47" i="15" s="1"/>
  <c r="AM47" i="15" s="1"/>
  <c r="AN47" i="15" s="1"/>
  <c r="HL73" i="10"/>
  <c r="HN73" i="10" s="1"/>
  <c r="C53" i="14" s="1"/>
  <c r="HR74" i="10"/>
  <c r="HR75" i="10"/>
  <c r="HR73" i="10"/>
  <c r="HQ75" i="10"/>
  <c r="HP73" i="10"/>
  <c r="HQ73" i="10"/>
  <c r="HQ74" i="10"/>
  <c r="HR76" i="10"/>
  <c r="HN76" i="10" s="1"/>
  <c r="C56" i="14" s="1"/>
  <c r="HP74" i="10"/>
  <c r="AO571" i="15"/>
  <c r="AW571" i="15" s="1"/>
  <c r="BD571" i="15" s="1"/>
  <c r="BL571" i="15" s="1"/>
  <c r="AN585" i="15"/>
  <c r="AM596" i="15"/>
  <c r="AO575" i="15"/>
  <c r="AU603" i="15"/>
  <c r="BB603" i="15" s="1"/>
  <c r="BJ603" i="15" s="1"/>
  <c r="BP603" i="15" s="1"/>
  <c r="AN571" i="15"/>
  <c r="AJ26" i="15"/>
  <c r="AK26" i="15" s="1"/>
  <c r="AL26" i="15" s="1"/>
  <c r="AM26" i="15" s="1"/>
  <c r="AN26" i="15" s="1"/>
  <c r="AJ112" i="15"/>
  <c r="AK112" i="15" s="1"/>
  <c r="AL112" i="15" s="1"/>
  <c r="AM112" i="15" s="1"/>
  <c r="AN112" i="15" s="1"/>
  <c r="AJ72" i="15"/>
  <c r="AK72" i="15" s="1"/>
  <c r="AL72" i="15" s="1"/>
  <c r="AM72" i="15" s="1"/>
  <c r="AN72" i="15" s="1"/>
  <c r="AJ78" i="15"/>
  <c r="AK78" i="15" s="1"/>
  <c r="AL78" i="15" s="1"/>
  <c r="AM78" i="15" s="1"/>
  <c r="AN78" i="15" s="1"/>
  <c r="AK131" i="15"/>
  <c r="AL131" i="15" s="1"/>
  <c r="AM131" i="15" s="1"/>
  <c r="AN131" i="15" s="1"/>
  <c r="AJ73" i="15"/>
  <c r="AK73" i="15" s="1"/>
  <c r="AL73" i="15" s="1"/>
  <c r="AM73" i="15" s="1"/>
  <c r="AN73" i="15" s="1"/>
  <c r="AK28" i="15"/>
  <c r="AL28" i="15" s="1"/>
  <c r="AM28" i="15" s="1"/>
  <c r="AN28" i="15" s="1"/>
  <c r="AJ61" i="15"/>
  <c r="AK61" i="15" s="1"/>
  <c r="AL61" i="15" s="1"/>
  <c r="AM61" i="15" s="1"/>
  <c r="AN61" i="15" s="1"/>
  <c r="AK142" i="15"/>
  <c r="AL142" i="15" s="1"/>
  <c r="AM142" i="15" s="1"/>
  <c r="AN142" i="15" s="1"/>
  <c r="AJ67" i="15"/>
  <c r="AK67" i="15" s="1"/>
  <c r="AL67" i="15" s="1"/>
  <c r="AM67" i="15" s="1"/>
  <c r="AN67" i="15" s="1"/>
  <c r="AJ27" i="15"/>
  <c r="AK27" i="15" s="1"/>
  <c r="AL27" i="15" s="1"/>
  <c r="AM27" i="15" s="1"/>
  <c r="AN27" i="15" s="1"/>
  <c r="CD577" i="15"/>
  <c r="CD597" i="15"/>
  <c r="CD612" i="15"/>
  <c r="CD602" i="15"/>
  <c r="CD632" i="15"/>
  <c r="DC709" i="15"/>
  <c r="DE709" i="15" s="1"/>
  <c r="CC710" i="15"/>
  <c r="CF711" i="15"/>
  <c r="CQ711" i="15" s="1"/>
  <c r="CV711" i="15" s="1"/>
  <c r="CE711" i="15"/>
  <c r="CP711" i="15" s="1"/>
  <c r="CU711" i="15" s="1"/>
  <c r="BQ713" i="15"/>
  <c r="AH144" i="15"/>
  <c r="AJ143" i="15"/>
  <c r="AK143" i="15" s="1"/>
  <c r="AL143" i="15" s="1"/>
  <c r="AM143" i="15" s="1"/>
  <c r="AN143" i="15" s="1"/>
  <c r="AJ145" i="15"/>
  <c r="AK145" i="15" s="1"/>
  <c r="AL145" i="15" s="1"/>
  <c r="AH146" i="15"/>
  <c r="BH148" i="17"/>
  <c r="BK147" i="17"/>
  <c r="AG148" i="15"/>
  <c r="AG148" i="17"/>
  <c r="AU149" i="15"/>
  <c r="BK148" i="15"/>
  <c r="BH149" i="15"/>
  <c r="AN145" i="17"/>
  <c r="BX638" i="15"/>
  <c r="BW639" i="15"/>
  <c r="BW619" i="15"/>
  <c r="BX618" i="15"/>
  <c r="BW672" i="15"/>
  <c r="BX671" i="15"/>
  <c r="BV635" i="15"/>
  <c r="BV699" i="15"/>
  <c r="FZ82" i="10"/>
  <c r="BV683" i="15"/>
  <c r="AP147" i="15"/>
  <c r="BX583" i="15"/>
  <c r="BV655" i="15"/>
  <c r="BW649" i="15"/>
  <c r="BT613" i="15"/>
  <c r="BT690" i="15"/>
  <c r="BV670" i="15"/>
  <c r="BV700" i="15"/>
  <c r="BX711" i="15"/>
  <c r="BW664" i="15"/>
  <c r="BX712" i="15"/>
  <c r="BW604" i="15"/>
  <c r="BV689" i="15"/>
  <c r="BV668" i="15"/>
  <c r="BV675" i="15"/>
  <c r="BW627" i="15"/>
  <c r="BX633" i="15"/>
  <c r="BX643" i="15"/>
  <c r="BW687" i="15"/>
  <c r="FY83" i="10"/>
  <c r="BV603" i="15"/>
  <c r="FW83" i="10"/>
  <c r="BW609" i="15"/>
  <c r="BV629" i="15"/>
  <c r="BW694" i="15"/>
  <c r="BV610" i="15"/>
  <c r="BV600" i="15"/>
  <c r="BW679" i="15"/>
  <c r="BT686" i="15"/>
  <c r="BX673" i="15"/>
  <c r="FY82" i="10"/>
  <c r="BW712" i="15"/>
  <c r="BV578" i="15"/>
  <c r="BT687" i="15"/>
  <c r="BW634" i="15"/>
  <c r="BX596" i="15"/>
  <c r="BV625" i="15"/>
  <c r="BT672" i="15"/>
  <c r="BV640" i="15"/>
  <c r="BW708" i="15"/>
  <c r="BW667" i="15"/>
  <c r="BT671" i="15"/>
  <c r="CB703" i="15"/>
  <c r="BW698" i="15"/>
  <c r="BV673" i="15"/>
  <c r="BW644" i="15"/>
  <c r="BW574" i="15"/>
  <c r="BV709" i="15"/>
  <c r="FW82" i="10"/>
  <c r="BX601" i="15"/>
  <c r="BT673" i="15"/>
  <c r="AO148" i="15"/>
  <c r="BX693" i="15"/>
  <c r="BV620" i="15"/>
  <c r="BV669" i="15"/>
  <c r="BW682" i="15"/>
  <c r="BV695" i="15"/>
  <c r="BX686" i="15"/>
  <c r="BW577" i="15"/>
  <c r="BV665" i="15"/>
  <c r="CB710" i="15"/>
  <c r="AO147" i="17"/>
  <c r="BX676" i="15"/>
  <c r="BW579" i="15"/>
  <c r="BV650" i="15"/>
  <c r="BW677" i="15"/>
  <c r="BV684" i="15"/>
  <c r="BV702" i="15"/>
  <c r="BV619" i="15"/>
  <c r="BV690" i="15"/>
  <c r="BX697" i="15"/>
  <c r="BV605" i="15"/>
  <c r="BV585" i="15"/>
  <c r="BX603" i="15"/>
  <c r="BX627" i="15"/>
  <c r="BW632" i="15"/>
  <c r="GA82" i="10"/>
  <c r="BY712" i="15"/>
  <c r="BT611" i="15"/>
  <c r="BX578" i="15"/>
  <c r="BX678" i="15"/>
  <c r="BW692" i="15"/>
  <c r="BW597" i="15"/>
  <c r="BW654" i="15"/>
  <c r="BX623" i="15"/>
  <c r="BV711" i="15"/>
  <c r="BW612" i="15"/>
  <c r="BX648" i="15"/>
  <c r="BV688" i="15"/>
  <c r="BV680" i="15"/>
  <c r="BX666" i="15"/>
  <c r="BV614" i="15"/>
  <c r="FZ83" i="10"/>
  <c r="BX659" i="15"/>
  <c r="BW660" i="15"/>
  <c r="BT689" i="15"/>
  <c r="BV630" i="15"/>
  <c r="BV575" i="15"/>
  <c r="BX653" i="15"/>
  <c r="FV82" i="10"/>
  <c r="BX663" i="15"/>
  <c r="BV678" i="15"/>
  <c r="BX707" i="15"/>
  <c r="BW602" i="15"/>
  <c r="AP147" i="17"/>
  <c r="BV693" i="15"/>
  <c r="BT688" i="15"/>
  <c r="BX681" i="15"/>
  <c r="BZ712" i="15"/>
  <c r="BT612" i="15"/>
  <c r="BX611" i="15"/>
  <c r="BV645" i="15"/>
  <c r="BV613" i="15"/>
  <c r="BV595" i="15"/>
  <c r="BX631" i="15"/>
  <c r="BT614" i="15"/>
  <c r="BT675" i="15"/>
  <c r="BV590" i="15"/>
  <c r="BX626" i="15"/>
  <c r="BX576" i="15"/>
  <c r="BW624" i="15"/>
  <c r="BX691" i="15"/>
  <c r="FU83" i="10"/>
  <c r="FV83" i="10"/>
  <c r="BW674" i="15"/>
  <c r="BV580" i="15"/>
  <c r="BV589" i="15"/>
  <c r="BV638" i="15"/>
  <c r="BV615" i="15"/>
  <c r="FU82" i="10"/>
  <c r="BW584" i="15"/>
  <c r="CB705" i="15"/>
  <c r="BW637" i="15"/>
  <c r="BX636" i="15"/>
  <c r="BX573" i="15"/>
  <c r="BW628" i="15"/>
  <c r="BV633" i="15"/>
  <c r="BT615" i="15"/>
  <c r="BW599" i="15"/>
  <c r="BV685" i="15"/>
  <c r="BV639" i="15"/>
  <c r="BX598" i="15"/>
  <c r="BV598" i="15"/>
  <c r="BX608" i="15"/>
  <c r="GA83" i="10"/>
  <c r="BT674" i="15"/>
  <c r="CH713" i="15"/>
  <c r="CB704" i="15"/>
  <c r="AV585" i="15" l="1"/>
  <c r="BC585" i="15" s="1"/>
  <c r="BK585" i="15" s="1"/>
  <c r="AO588" i="15"/>
  <c r="AW588" i="15" s="1"/>
  <c r="BD588" i="15" s="1"/>
  <c r="BL588" i="15" s="1"/>
  <c r="BP584" i="15"/>
  <c r="AK123" i="15"/>
  <c r="AL123" i="15" s="1"/>
  <c r="AM123" i="15" s="1"/>
  <c r="AN123" i="15" s="1"/>
  <c r="CD638" i="15"/>
  <c r="CD618" i="15"/>
  <c r="AK138" i="15"/>
  <c r="AL138" i="15" s="1"/>
  <c r="AM138" i="15" s="1"/>
  <c r="AN138" i="15" s="1"/>
  <c r="AK127" i="15"/>
  <c r="AL127" i="15" s="1"/>
  <c r="AM127" i="15" s="1"/>
  <c r="AN127" i="15" s="1"/>
  <c r="CD636" i="15"/>
  <c r="CO636" i="15" s="1"/>
  <c r="CC636" i="15"/>
  <c r="CD659" i="15"/>
  <c r="CC671" i="15"/>
  <c r="CD671" i="15"/>
  <c r="CO671" i="15" s="1"/>
  <c r="AK122" i="15"/>
  <c r="AL122" i="15" s="1"/>
  <c r="AM122" i="15" s="1"/>
  <c r="AN122" i="15" s="1"/>
  <c r="AK128" i="15"/>
  <c r="AL128" i="15" s="1"/>
  <c r="AM128" i="15" s="1"/>
  <c r="AN128" i="15" s="1"/>
  <c r="AK121" i="15"/>
  <c r="AL121" i="15" s="1"/>
  <c r="AM121" i="15" s="1"/>
  <c r="AN121" i="15" s="1"/>
  <c r="AK126" i="15"/>
  <c r="AL126" i="15" s="1"/>
  <c r="AM126" i="15" s="1"/>
  <c r="AN126" i="15" s="1"/>
  <c r="CC684" i="15"/>
  <c r="CN684" i="15" s="1"/>
  <c r="CS684" i="15" s="1"/>
  <c r="CC614" i="15"/>
  <c r="CC650" i="15"/>
  <c r="CC665" i="15"/>
  <c r="CC610" i="15"/>
  <c r="CC630" i="15"/>
  <c r="CC640" i="15"/>
  <c r="CC590" i="15"/>
  <c r="CC575" i="15"/>
  <c r="CC639" i="15"/>
  <c r="CC685" i="15"/>
  <c r="CC620" i="15"/>
  <c r="CC580" i="15"/>
  <c r="CC689" i="15"/>
  <c r="CN689" i="15" s="1"/>
  <c r="CS689" i="15" s="1"/>
  <c r="CC700" i="15"/>
  <c r="CC655" i="15"/>
  <c r="CC680" i="15"/>
  <c r="CC669" i="15"/>
  <c r="CC629" i="15"/>
  <c r="CC625" i="15"/>
  <c r="CC695" i="15"/>
  <c r="CC613" i="15"/>
  <c r="CC699" i="15"/>
  <c r="CC688" i="15"/>
  <c r="CN688" i="15" s="1"/>
  <c r="CS688" i="15" s="1"/>
  <c r="CC683" i="15"/>
  <c r="CN683" i="15" s="1"/>
  <c r="CS683" i="15" s="1"/>
  <c r="CC605" i="15"/>
  <c r="CC668" i="15"/>
  <c r="CC585" i="15"/>
  <c r="CC589" i="15"/>
  <c r="CC702" i="15"/>
  <c r="CC638" i="15"/>
  <c r="CC645" i="15"/>
  <c r="CC675" i="15"/>
  <c r="CC615" i="15"/>
  <c r="CC595" i="15"/>
  <c r="CC619" i="15"/>
  <c r="CC600" i="15"/>
  <c r="CC709" i="15"/>
  <c r="CN709" i="15" s="1"/>
  <c r="CS709" i="15" s="1"/>
  <c r="CC690" i="15"/>
  <c r="CC670" i="15"/>
  <c r="CC635" i="15"/>
  <c r="CD681" i="15"/>
  <c r="CO681" i="15" s="1"/>
  <c r="CC681" i="15"/>
  <c r="CN681" i="15" s="1"/>
  <c r="CC678" i="15"/>
  <c r="CN678" i="15" s="1"/>
  <c r="CS678" i="15" s="1"/>
  <c r="CD678" i="15"/>
  <c r="BP593" i="15"/>
  <c r="BB602" i="15"/>
  <c r="BJ602" i="15" s="1"/>
  <c r="BP602" i="15" s="1"/>
  <c r="AU596" i="15"/>
  <c r="BB596" i="15" s="1"/>
  <c r="BJ596" i="15" s="1"/>
  <c r="BP596" i="15" s="1"/>
  <c r="BB598" i="15"/>
  <c r="BJ598" i="15" s="1"/>
  <c r="BP598" i="15" s="1"/>
  <c r="AU589" i="15"/>
  <c r="BB606" i="15"/>
  <c r="BJ606" i="15" s="1"/>
  <c r="BP606" i="15" s="1"/>
  <c r="BB608" i="15"/>
  <c r="BJ608" i="15" s="1"/>
  <c r="BP608" i="15" s="1"/>
  <c r="AU573" i="15"/>
  <c r="CD711" i="15"/>
  <c r="CO711" i="15" s="1"/>
  <c r="BP599" i="15"/>
  <c r="BB604" i="15"/>
  <c r="BJ604" i="15" s="1"/>
  <c r="BP604" i="15" s="1"/>
  <c r="CD603" i="15"/>
  <c r="CC603" i="15"/>
  <c r="CN603" i="15" s="1"/>
  <c r="CS603" i="15" s="1"/>
  <c r="CD707" i="15"/>
  <c r="CD608" i="15"/>
  <c r="BB601" i="15"/>
  <c r="BJ601" i="15" s="1"/>
  <c r="BP601" i="15" s="1"/>
  <c r="AV573" i="15"/>
  <c r="CD583" i="15"/>
  <c r="CC598" i="15"/>
  <c r="CD598" i="15"/>
  <c r="BC607" i="15"/>
  <c r="BK607" i="15" s="1"/>
  <c r="BB607" i="15"/>
  <c r="CD643" i="15"/>
  <c r="CC686" i="15"/>
  <c r="CN686" i="15" s="1"/>
  <c r="CD686" i="15"/>
  <c r="CO686" i="15" s="1"/>
  <c r="AU588" i="15"/>
  <c r="AV587" i="15"/>
  <c r="BB587" i="15" s="1"/>
  <c r="BC600" i="15"/>
  <c r="BK600" i="15" s="1"/>
  <c r="BB600" i="15"/>
  <c r="CD653" i="15"/>
  <c r="CD666" i="15"/>
  <c r="CO666" i="15" s="1"/>
  <c r="CC666" i="15"/>
  <c r="CD648" i="15"/>
  <c r="CD673" i="15"/>
  <c r="CC673" i="15"/>
  <c r="CD691" i="15"/>
  <c r="CO691" i="15" s="1"/>
  <c r="CC691" i="15"/>
  <c r="CD573" i="15"/>
  <c r="CD663" i="15"/>
  <c r="CD633" i="15"/>
  <c r="CC633" i="15"/>
  <c r="CN633" i="15" s="1"/>
  <c r="CS633" i="15" s="1"/>
  <c r="CC676" i="15"/>
  <c r="CD676" i="15"/>
  <c r="CO676" i="15" s="1"/>
  <c r="CD697" i="15"/>
  <c r="CD693" i="15"/>
  <c r="CC693" i="15"/>
  <c r="CD623" i="15"/>
  <c r="CD627" i="15"/>
  <c r="CD578" i="15"/>
  <c r="CC578" i="15"/>
  <c r="CN578" i="15" s="1"/>
  <c r="CS578" i="15" s="1"/>
  <c r="AU571" i="15"/>
  <c r="AV571" i="15"/>
  <c r="BC571" i="15" s="1"/>
  <c r="BK571" i="15" s="1"/>
  <c r="HN75" i="10"/>
  <c r="C55" i="14" s="1"/>
  <c r="AU585" i="15"/>
  <c r="BB585" i="15" s="1"/>
  <c r="BJ585" i="15" s="1"/>
  <c r="BP590" i="15"/>
  <c r="AU578" i="15"/>
  <c r="AV578" i="15"/>
  <c r="BC578" i="15" s="1"/>
  <c r="BK578" i="15" s="1"/>
  <c r="BP595" i="15"/>
  <c r="AV586" i="15"/>
  <c r="BC586" i="15" s="1"/>
  <c r="BK586" i="15" s="1"/>
  <c r="AV580" i="15"/>
  <c r="BC580" i="15" s="1"/>
  <c r="BK580" i="15" s="1"/>
  <c r="AU580" i="15"/>
  <c r="BP592" i="15"/>
  <c r="CN699" i="15"/>
  <c r="CS699" i="15" s="1"/>
  <c r="CN671" i="15"/>
  <c r="AW575" i="15"/>
  <c r="BD575" i="15" s="1"/>
  <c r="BL575" i="15" s="1"/>
  <c r="AV575" i="15"/>
  <c r="CS701" i="15"/>
  <c r="AV574" i="15"/>
  <c r="BC574" i="15" s="1"/>
  <c r="BK574" i="15" s="1"/>
  <c r="AU574" i="15"/>
  <c r="AU581" i="15"/>
  <c r="AV581" i="15"/>
  <c r="BC581" i="15" s="1"/>
  <c r="BK581" i="15" s="1"/>
  <c r="HN74" i="10"/>
  <c r="C54" i="14" s="1"/>
  <c r="AV589" i="15"/>
  <c r="BC589" i="15" s="1"/>
  <c r="BK589" i="15" s="1"/>
  <c r="CC576" i="15"/>
  <c r="CD576" i="15"/>
  <c r="CO576" i="15" s="1"/>
  <c r="BP572" i="15"/>
  <c r="CD596" i="15"/>
  <c r="CO596" i="15" s="1"/>
  <c r="CC596" i="15"/>
  <c r="BP576" i="15"/>
  <c r="CD601" i="15"/>
  <c r="CO601" i="15" s="1"/>
  <c r="CC601" i="15"/>
  <c r="CN601" i="15" s="1"/>
  <c r="CS601" i="15" s="1"/>
  <c r="CC611" i="15"/>
  <c r="CN611" i="15" s="1"/>
  <c r="CS611" i="15" s="1"/>
  <c r="CD611" i="15"/>
  <c r="CO611" i="15" s="1"/>
  <c r="BP577" i="15"/>
  <c r="CC626" i="15"/>
  <c r="CD626" i="15"/>
  <c r="CO626" i="15" s="1"/>
  <c r="BP582" i="15"/>
  <c r="CD631" i="15"/>
  <c r="CO631" i="15" s="1"/>
  <c r="CC631" i="15"/>
  <c r="BP583" i="15"/>
  <c r="DC710" i="15"/>
  <c r="DE710" i="15" s="1"/>
  <c r="CC711" i="15"/>
  <c r="CN711" i="15" s="1"/>
  <c r="CS711" i="15" s="1"/>
  <c r="CD712" i="15"/>
  <c r="CF712" i="15"/>
  <c r="CQ712" i="15" s="1"/>
  <c r="CV712" i="15" s="1"/>
  <c r="CE712" i="15"/>
  <c r="CP712" i="15" s="1"/>
  <c r="CU712" i="15" s="1"/>
  <c r="BQ714" i="15"/>
  <c r="AJ144" i="15"/>
  <c r="AK144" i="15" s="1"/>
  <c r="AL144" i="15" s="1"/>
  <c r="AM144" i="15" s="1"/>
  <c r="AN144" i="15" s="1"/>
  <c r="AM145" i="15"/>
  <c r="AN145" i="15" s="1"/>
  <c r="AU150" i="15"/>
  <c r="AG149" i="17"/>
  <c r="BH150" i="15"/>
  <c r="BK149" i="15"/>
  <c r="AG149" i="15"/>
  <c r="BH149" i="17"/>
  <c r="BK148" i="17"/>
  <c r="BW643" i="15"/>
  <c r="BX642" i="15"/>
  <c r="BX658" i="15"/>
  <c r="BW659" i="15"/>
  <c r="BT637" i="15"/>
  <c r="BT638" i="15"/>
  <c r="BT636" i="15"/>
  <c r="BT639" i="15"/>
  <c r="BT640" i="15"/>
  <c r="BW713" i="15"/>
  <c r="BV612" i="15"/>
  <c r="BV667" i="15"/>
  <c r="CB603" i="15"/>
  <c r="BT680" i="15"/>
  <c r="BV659" i="15"/>
  <c r="BT681" i="15"/>
  <c r="BX641" i="15"/>
  <c r="BV692" i="15"/>
  <c r="AP148" i="15"/>
  <c r="BX572" i="15"/>
  <c r="CB699" i="15"/>
  <c r="BT602" i="15"/>
  <c r="BV584" i="15"/>
  <c r="CB635" i="15"/>
  <c r="BV654" i="15"/>
  <c r="BW623" i="15"/>
  <c r="BV604" i="15"/>
  <c r="BT711" i="15"/>
  <c r="CB693" i="15"/>
  <c r="BV649" i="15"/>
  <c r="CB598" i="15"/>
  <c r="BW648" i="15"/>
  <c r="BV698" i="15"/>
  <c r="CB610" i="15"/>
  <c r="BT604" i="15"/>
  <c r="BV628" i="15"/>
  <c r="CB684" i="15"/>
  <c r="BT684" i="15"/>
  <c r="BV677" i="15"/>
  <c r="BT635" i="15"/>
  <c r="BV708" i="15"/>
  <c r="BX607" i="15"/>
  <c r="BT630" i="15"/>
  <c r="BT713" i="15"/>
  <c r="BX622" i="15"/>
  <c r="BT627" i="15"/>
  <c r="BX587" i="15"/>
  <c r="BT693" i="15"/>
  <c r="BT676" i="15"/>
  <c r="BV637" i="15"/>
  <c r="BV599" i="15"/>
  <c r="BT634" i="15"/>
  <c r="BW642" i="15"/>
  <c r="BV687" i="15"/>
  <c r="BV682" i="15"/>
  <c r="CB655" i="15"/>
  <c r="BT600" i="15"/>
  <c r="BT700" i="15"/>
  <c r="BV602" i="15"/>
  <c r="BW608" i="15"/>
  <c r="BV597" i="15"/>
  <c r="CB676" i="15"/>
  <c r="BX662" i="15"/>
  <c r="CB681" i="15"/>
  <c r="BT632" i="15"/>
  <c r="BT694" i="15"/>
  <c r="BV660" i="15"/>
  <c r="CB675" i="15"/>
  <c r="BT578" i="15"/>
  <c r="BT599" i="15"/>
  <c r="CB611" i="15"/>
  <c r="BX713" i="15"/>
  <c r="BX647" i="15"/>
  <c r="CB630" i="15"/>
  <c r="BT633" i="15"/>
  <c r="BT679" i="15"/>
  <c r="BV643" i="15"/>
  <c r="BT605" i="15"/>
  <c r="BZ713" i="15"/>
  <c r="CB701" i="15"/>
  <c r="BT603" i="15"/>
  <c r="BT668" i="15"/>
  <c r="BT576" i="15"/>
  <c r="BW707" i="15"/>
  <c r="BT712" i="15"/>
  <c r="CB575" i="15"/>
  <c r="BT667" i="15"/>
  <c r="BT628" i="15"/>
  <c r="BX696" i="15"/>
  <c r="BT683" i="15"/>
  <c r="CB576" i="15"/>
  <c r="BV664" i="15"/>
  <c r="CB709" i="15"/>
  <c r="BT678" i="15"/>
  <c r="CB580" i="15"/>
  <c r="BT666" i="15"/>
  <c r="CB665" i="15"/>
  <c r="BW573" i="15"/>
  <c r="CB620" i="15"/>
  <c r="BT682" i="15"/>
  <c r="BV574" i="15"/>
  <c r="BT631" i="15"/>
  <c r="BW697" i="15"/>
  <c r="BT685" i="15"/>
  <c r="BT696" i="15"/>
  <c r="BV634" i="15"/>
  <c r="BV624" i="15"/>
  <c r="BT596" i="15"/>
  <c r="CB600" i="15"/>
  <c r="CB700" i="15"/>
  <c r="BY713" i="15"/>
  <c r="BV674" i="15"/>
  <c r="BX617" i="15"/>
  <c r="BV644" i="15"/>
  <c r="BT597" i="15"/>
  <c r="CB590" i="15"/>
  <c r="BT670" i="15"/>
  <c r="BT577" i="15"/>
  <c r="BT695" i="15"/>
  <c r="BT697" i="15"/>
  <c r="BT709" i="15"/>
  <c r="AO148" i="17"/>
  <c r="AO149" i="15"/>
  <c r="BT629" i="15"/>
  <c r="BT626" i="15"/>
  <c r="CB673" i="15"/>
  <c r="BT707" i="15"/>
  <c r="BT601" i="15"/>
  <c r="AP148" i="17"/>
  <c r="BV672" i="15"/>
  <c r="BT692" i="15"/>
  <c r="BT698" i="15"/>
  <c r="CB625" i="15"/>
  <c r="BX593" i="15"/>
  <c r="BW714" i="15"/>
  <c r="BT708" i="15"/>
  <c r="BT699" i="15"/>
  <c r="BX706" i="15"/>
  <c r="CB685" i="15"/>
  <c r="BT714" i="15"/>
  <c r="BV679" i="15"/>
  <c r="BW588" i="15"/>
  <c r="CB640" i="15"/>
  <c r="BV627" i="15"/>
  <c r="CB605" i="15"/>
  <c r="BV609" i="15"/>
  <c r="BV577" i="15"/>
  <c r="BV579" i="15"/>
  <c r="BT706" i="15"/>
  <c r="BT691" i="15"/>
  <c r="BV712" i="15"/>
  <c r="BW618" i="15"/>
  <c r="BT677" i="15"/>
  <c r="BV694" i="15"/>
  <c r="BT669" i="15"/>
  <c r="BW663" i="15"/>
  <c r="CB631" i="15"/>
  <c r="BT710" i="15"/>
  <c r="BT579" i="15"/>
  <c r="BW594" i="15"/>
  <c r="BT580" i="15"/>
  <c r="CB615" i="15"/>
  <c r="BT598" i="15"/>
  <c r="CB688" i="15"/>
  <c r="BV632" i="15"/>
  <c r="CB680" i="15"/>
  <c r="CB585" i="15"/>
  <c r="CB695" i="15"/>
  <c r="CH714" i="15"/>
  <c r="CB595" i="15"/>
  <c r="CB626" i="15"/>
  <c r="CB666" i="15"/>
  <c r="CB689" i="15"/>
  <c r="CB650" i="15"/>
  <c r="CB690" i="15"/>
  <c r="CB645" i="15"/>
  <c r="CB670" i="15"/>
  <c r="CB633" i="15"/>
  <c r="CD658" i="15" l="1"/>
  <c r="CD642" i="15"/>
  <c r="AV588" i="15"/>
  <c r="BC588" i="15" s="1"/>
  <c r="BK588" i="15" s="1"/>
  <c r="CC672" i="15"/>
  <c r="CN672" i="15" s="1"/>
  <c r="CS672" i="15" s="1"/>
  <c r="CC660" i="15"/>
  <c r="CC637" i="15"/>
  <c r="CN637" i="15" s="1"/>
  <c r="CN636" i="15"/>
  <c r="CS636" i="15" s="1"/>
  <c r="CC609" i="15"/>
  <c r="CN609" i="15" s="1"/>
  <c r="CS609" i="15" s="1"/>
  <c r="CC667" i="15"/>
  <c r="CN667" i="15" s="1"/>
  <c r="CS667" i="15" s="1"/>
  <c r="CC687" i="15"/>
  <c r="CC654" i="15"/>
  <c r="CN654" i="15" s="1"/>
  <c r="CS654" i="15" s="1"/>
  <c r="CC584" i="15"/>
  <c r="CC574" i="15"/>
  <c r="CN574" i="15" s="1"/>
  <c r="CS574" i="15" s="1"/>
  <c r="CC643" i="15"/>
  <c r="CN643" i="15" s="1"/>
  <c r="CS643" i="15" s="1"/>
  <c r="CC649" i="15"/>
  <c r="CN649" i="15" s="1"/>
  <c r="CS649" i="15" s="1"/>
  <c r="CC644" i="15"/>
  <c r="CC692" i="15"/>
  <c r="CN692" i="15" s="1"/>
  <c r="CC624" i="15"/>
  <c r="CN624" i="15" s="1"/>
  <c r="CS624" i="15" s="1"/>
  <c r="CC674" i="15"/>
  <c r="CN674" i="15" s="1"/>
  <c r="CS674" i="15" s="1"/>
  <c r="CC597" i="15"/>
  <c r="CC602" i="15"/>
  <c r="CN602" i="15" s="1"/>
  <c r="CC579" i="15"/>
  <c r="CN579" i="15" s="1"/>
  <c r="CS579" i="15" s="1"/>
  <c r="CC577" i="15"/>
  <c r="CC612" i="15"/>
  <c r="CN612" i="15" s="1"/>
  <c r="CC604" i="15"/>
  <c r="CN604" i="15" s="1"/>
  <c r="CS604" i="15" s="1"/>
  <c r="CC698" i="15"/>
  <c r="CN698" i="15" s="1"/>
  <c r="CS698" i="15" s="1"/>
  <c r="CC627" i="15"/>
  <c r="CN627" i="15" s="1"/>
  <c r="CS627" i="15" s="1"/>
  <c r="CC694" i="15"/>
  <c r="CN694" i="15" s="1"/>
  <c r="CS694" i="15" s="1"/>
  <c r="CC679" i="15"/>
  <c r="CN679" i="15" s="1"/>
  <c r="CS679" i="15" s="1"/>
  <c r="CC682" i="15"/>
  <c r="CC664" i="15"/>
  <c r="CC708" i="15"/>
  <c r="CC599" i="15"/>
  <c r="CN599" i="15" s="1"/>
  <c r="CS599" i="15" s="1"/>
  <c r="CC659" i="15"/>
  <c r="CN659" i="15" s="1"/>
  <c r="CS659" i="15" s="1"/>
  <c r="CC677" i="15"/>
  <c r="CN677" i="15" s="1"/>
  <c r="CC628" i="15"/>
  <c r="CC634" i="15"/>
  <c r="CN634" i="15" s="1"/>
  <c r="CS634" i="15" s="1"/>
  <c r="CC632" i="15"/>
  <c r="CN632" i="15" s="1"/>
  <c r="CN589" i="15"/>
  <c r="CS589" i="15" s="1"/>
  <c r="CN629" i="15"/>
  <c r="CS629" i="15" s="1"/>
  <c r="CN639" i="15"/>
  <c r="CS639" i="15" s="1"/>
  <c r="CN614" i="15"/>
  <c r="CS614" i="15" s="1"/>
  <c r="CN638" i="15"/>
  <c r="CS638" i="15" s="1"/>
  <c r="CN613" i="15"/>
  <c r="CS613" i="15" s="1"/>
  <c r="CN669" i="15"/>
  <c r="CS669" i="15" s="1"/>
  <c r="CN619" i="15"/>
  <c r="CS619" i="15" s="1"/>
  <c r="CN668" i="15"/>
  <c r="CS668" i="15" s="1"/>
  <c r="CN702" i="15"/>
  <c r="CD706" i="15"/>
  <c r="CO706" i="15" s="1"/>
  <c r="CC706" i="15"/>
  <c r="CN706" i="15" s="1"/>
  <c r="CD696" i="15"/>
  <c r="CO696" i="15" s="1"/>
  <c r="CC696" i="15"/>
  <c r="CN696" i="15" s="1"/>
  <c r="BC587" i="15"/>
  <c r="BK587" i="15" s="1"/>
  <c r="BB588" i="15"/>
  <c r="BJ588" i="15" s="1"/>
  <c r="BC573" i="15"/>
  <c r="BK573" i="15" s="1"/>
  <c r="BB573" i="15"/>
  <c r="CN598" i="15"/>
  <c r="CS598" i="15" s="1"/>
  <c r="BJ607" i="15"/>
  <c r="BP607" i="15" s="1"/>
  <c r="BB586" i="15"/>
  <c r="BJ586" i="15" s="1"/>
  <c r="BP586" i="15" s="1"/>
  <c r="BB571" i="15"/>
  <c r="BJ571" i="15" s="1"/>
  <c r="BJ600" i="15"/>
  <c r="BP600" i="15" s="1"/>
  <c r="BB580" i="15"/>
  <c r="BJ580" i="15" s="1"/>
  <c r="BB581" i="15"/>
  <c r="BJ581" i="15" s="1"/>
  <c r="BB578" i="15"/>
  <c r="BJ578" i="15" s="1"/>
  <c r="CD662" i="15"/>
  <c r="CD647" i="15"/>
  <c r="CD572" i="15"/>
  <c r="CD587" i="15"/>
  <c r="CD593" i="15"/>
  <c r="CD622" i="15"/>
  <c r="CD617" i="15"/>
  <c r="CD607" i="15"/>
  <c r="CD641" i="15"/>
  <c r="CO641" i="15" s="1"/>
  <c r="CC641" i="15"/>
  <c r="CS686" i="15"/>
  <c r="BB574" i="15"/>
  <c r="BJ574" i="15" s="1"/>
  <c r="BC575" i="15"/>
  <c r="BK575" i="15" s="1"/>
  <c r="BB575" i="15"/>
  <c r="BB589" i="15"/>
  <c r="BJ589" i="15" s="1"/>
  <c r="CN693" i="15"/>
  <c r="CS693" i="15" s="1"/>
  <c r="CN676" i="15"/>
  <c r="CN673" i="15"/>
  <c r="CN666" i="15"/>
  <c r="CS681" i="15"/>
  <c r="BP585" i="15"/>
  <c r="CN691" i="15"/>
  <c r="CS671" i="15"/>
  <c r="CN576" i="15"/>
  <c r="CS576" i="15" s="1"/>
  <c r="CN596" i="15"/>
  <c r="CS596" i="15" s="1"/>
  <c r="CN626" i="15"/>
  <c r="CN631" i="15"/>
  <c r="DC711" i="15"/>
  <c r="DE711" i="15" s="1"/>
  <c r="CC712" i="15"/>
  <c r="CN712" i="15" s="1"/>
  <c r="CD713" i="15"/>
  <c r="CE713" i="15"/>
  <c r="CP713" i="15" s="1"/>
  <c r="CU713" i="15" s="1"/>
  <c r="CF713" i="15"/>
  <c r="CQ713" i="15" s="1"/>
  <c r="CV713" i="15" s="1"/>
  <c r="BQ715" i="15"/>
  <c r="AH147" i="15"/>
  <c r="AJ146" i="15"/>
  <c r="AK146" i="15" s="1"/>
  <c r="AL146" i="15" s="1"/>
  <c r="AM146" i="15" s="1"/>
  <c r="AN146" i="15" s="1"/>
  <c r="AG150" i="17"/>
  <c r="BK149" i="17"/>
  <c r="BH150" i="17"/>
  <c r="BK150" i="15"/>
  <c r="BH151" i="15"/>
  <c r="AG150" i="15"/>
  <c r="AU151" i="15"/>
  <c r="BW658" i="15"/>
  <c r="BX657" i="15"/>
  <c r="CB596" i="15"/>
  <c r="BT648" i="15"/>
  <c r="BX592" i="15"/>
  <c r="BX652" i="15"/>
  <c r="BT644" i="15"/>
  <c r="BW647" i="15"/>
  <c r="CB668" i="15"/>
  <c r="BX661" i="15"/>
  <c r="BT646" i="15"/>
  <c r="BV642" i="15"/>
  <c r="BX656" i="15"/>
  <c r="CB609" i="15"/>
  <c r="CB678" i="15"/>
  <c r="CB613" i="15"/>
  <c r="BW622" i="15"/>
  <c r="BX646" i="15"/>
  <c r="CB679" i="15"/>
  <c r="BW607" i="15"/>
  <c r="BT649" i="15"/>
  <c r="BT643" i="15"/>
  <c r="CB711" i="15"/>
  <c r="CB672" i="15"/>
  <c r="BZ714" i="15"/>
  <c r="BT647" i="15"/>
  <c r="BW617" i="15"/>
  <c r="BX714" i="15"/>
  <c r="BV588" i="15"/>
  <c r="BV623" i="15"/>
  <c r="BX616" i="15"/>
  <c r="BW572" i="15"/>
  <c r="BV707" i="15"/>
  <c r="BW657" i="15"/>
  <c r="CB578" i="15"/>
  <c r="CB619" i="15"/>
  <c r="CB599" i="15"/>
  <c r="CB589" i="15"/>
  <c r="CB637" i="15"/>
  <c r="BX586" i="15"/>
  <c r="AP149" i="15"/>
  <c r="CB667" i="15"/>
  <c r="BV648" i="15"/>
  <c r="CB669" i="15"/>
  <c r="CB636" i="15"/>
  <c r="CB686" i="15"/>
  <c r="AO149" i="17"/>
  <c r="BV608" i="15"/>
  <c r="BV658" i="15"/>
  <c r="CB660" i="15"/>
  <c r="CB671" i="15"/>
  <c r="CB601" i="15"/>
  <c r="BV697" i="15"/>
  <c r="CB702" i="15"/>
  <c r="BX571" i="15"/>
  <c r="AP149" i="17"/>
  <c r="BW583" i="15"/>
  <c r="CB574" i="15"/>
  <c r="CB691" i="15"/>
  <c r="CB629" i="15"/>
  <c r="BX606" i="15"/>
  <c r="CB692" i="15"/>
  <c r="BV618" i="15"/>
  <c r="BT642" i="15"/>
  <c r="BT650" i="15"/>
  <c r="BV663" i="15"/>
  <c r="CB612" i="15"/>
  <c r="BX582" i="15"/>
  <c r="CB683" i="15"/>
  <c r="CB694" i="15"/>
  <c r="CB627" i="15"/>
  <c r="BV594" i="15"/>
  <c r="BW653" i="15"/>
  <c r="CH715" i="15"/>
  <c r="CB614" i="15"/>
  <c r="CB639" i="15"/>
  <c r="BW587" i="15"/>
  <c r="BV573" i="15"/>
  <c r="CB638" i="15"/>
  <c r="BW593" i="15"/>
  <c r="BT645" i="15"/>
  <c r="CB649" i="15"/>
  <c r="BV713" i="15"/>
  <c r="BW662" i="15"/>
  <c r="BY714" i="15"/>
  <c r="BT641" i="15"/>
  <c r="CB641" i="15"/>
  <c r="CB604" i="15"/>
  <c r="CB659" i="15"/>
  <c r="AI154" i="15"/>
  <c r="CB664" i="15"/>
  <c r="CB698" i="15"/>
  <c r="BT715" i="15"/>
  <c r="CD657" i="15" l="1"/>
  <c r="CN664" i="15"/>
  <c r="CS664" i="15" s="1"/>
  <c r="CN615" i="15"/>
  <c r="CS615" i="15" s="1"/>
  <c r="CS602" i="15"/>
  <c r="CN605" i="15"/>
  <c r="CC588" i="15"/>
  <c r="CN588" i="15" s="1"/>
  <c r="CS588" i="15" s="1"/>
  <c r="CC642" i="15"/>
  <c r="CN642" i="15" s="1"/>
  <c r="CI636" i="15"/>
  <c r="CI637" i="15" s="1"/>
  <c r="CI638" i="15" s="1"/>
  <c r="CI639" i="15" s="1"/>
  <c r="CC658" i="15"/>
  <c r="CN658" i="15" s="1"/>
  <c r="CS658" i="15" s="1"/>
  <c r="CC707" i="15"/>
  <c r="CC573" i="15"/>
  <c r="CC697" i="15"/>
  <c r="CC608" i="15"/>
  <c r="CN608" i="15" s="1"/>
  <c r="CS608" i="15" s="1"/>
  <c r="CC623" i="15"/>
  <c r="CN623" i="15" s="1"/>
  <c r="CS623" i="15" s="1"/>
  <c r="CI666" i="15"/>
  <c r="CI667" i="15" s="1"/>
  <c r="CI668" i="15" s="1"/>
  <c r="CI669" i="15" s="1"/>
  <c r="CI670" i="15" s="1"/>
  <c r="CJ670" i="15" s="1"/>
  <c r="CC663" i="15"/>
  <c r="CI701" i="15"/>
  <c r="CI702" i="15" s="1"/>
  <c r="CI703" i="15" s="1"/>
  <c r="CI704" i="15" s="1"/>
  <c r="CI705" i="15" s="1"/>
  <c r="CJ705" i="15" s="1"/>
  <c r="CO705" i="15" s="1"/>
  <c r="CT705" i="15" s="1"/>
  <c r="CC618" i="15"/>
  <c r="CN618" i="15" s="1"/>
  <c r="CI611" i="15"/>
  <c r="CI612" i="15" s="1"/>
  <c r="CI613" i="15" s="1"/>
  <c r="CI614" i="15" s="1"/>
  <c r="CI615" i="15" s="1"/>
  <c r="CJ615" i="15" s="1"/>
  <c r="CO615" i="15" s="1"/>
  <c r="CT615" i="15" s="1"/>
  <c r="CI691" i="15"/>
  <c r="CI692" i="15" s="1"/>
  <c r="CI693" i="15" s="1"/>
  <c r="CI694" i="15" s="1"/>
  <c r="CI695" i="15" s="1"/>
  <c r="CJ695" i="15" s="1"/>
  <c r="CC648" i="15"/>
  <c r="CN648" i="15" s="1"/>
  <c r="CS648" i="15" s="1"/>
  <c r="CC594" i="15"/>
  <c r="CN594" i="15" s="1"/>
  <c r="CS594" i="15" s="1"/>
  <c r="CS702" i="15"/>
  <c r="CN705" i="15"/>
  <c r="CN577" i="15"/>
  <c r="CN597" i="15"/>
  <c r="CN644" i="15"/>
  <c r="CS644" i="15" s="1"/>
  <c r="CN682" i="15"/>
  <c r="CN687" i="15"/>
  <c r="CS637" i="15"/>
  <c r="CN640" i="15"/>
  <c r="CN628" i="15"/>
  <c r="CS628" i="15" s="1"/>
  <c r="CN708" i="15"/>
  <c r="CS708" i="15" s="1"/>
  <c r="CN584" i="15"/>
  <c r="CS584" i="15" s="1"/>
  <c r="BJ587" i="15"/>
  <c r="BP587" i="15" s="1"/>
  <c r="CD652" i="15"/>
  <c r="CD656" i="15"/>
  <c r="CO656" i="15" s="1"/>
  <c r="CC656" i="15"/>
  <c r="BP588" i="15"/>
  <c r="BJ573" i="15"/>
  <c r="BP573" i="15" s="1"/>
  <c r="CS706" i="15"/>
  <c r="CD582" i="15"/>
  <c r="CD646" i="15"/>
  <c r="CO646" i="15" s="1"/>
  <c r="CC646" i="15"/>
  <c r="CD571" i="15"/>
  <c r="CO571" i="15" s="1"/>
  <c r="CC571" i="15"/>
  <c r="CN675" i="15"/>
  <c r="CS675" i="15" s="1"/>
  <c r="BP571" i="15"/>
  <c r="CD616" i="15"/>
  <c r="CO616" i="15" s="1"/>
  <c r="CC616" i="15"/>
  <c r="BP580" i="15"/>
  <c r="CD606" i="15"/>
  <c r="CO606" i="15" s="1"/>
  <c r="CC606" i="15"/>
  <c r="BP578" i="15"/>
  <c r="BP581" i="15"/>
  <c r="CD592" i="15"/>
  <c r="CD586" i="15"/>
  <c r="CO586" i="15" s="1"/>
  <c r="CC586" i="15"/>
  <c r="CD661" i="15"/>
  <c r="CO661" i="15" s="1"/>
  <c r="CC661" i="15"/>
  <c r="CS691" i="15"/>
  <c r="CN695" i="15"/>
  <c r="CS695" i="15" s="1"/>
  <c r="CS692" i="15"/>
  <c r="BJ575" i="15"/>
  <c r="CS677" i="15"/>
  <c r="CS666" i="15"/>
  <c r="CN670" i="15"/>
  <c r="CS696" i="15"/>
  <c r="BP574" i="15"/>
  <c r="CN641" i="15"/>
  <c r="CN663" i="15"/>
  <c r="CS663" i="15" s="1"/>
  <c r="CS673" i="15"/>
  <c r="CS676" i="15"/>
  <c r="CN680" i="15"/>
  <c r="CS680" i="15" s="1"/>
  <c r="BP589" i="15"/>
  <c r="CS612" i="15"/>
  <c r="CS626" i="15"/>
  <c r="CS605" i="15"/>
  <c r="CS632" i="15"/>
  <c r="CS631" i="15"/>
  <c r="CN635" i="15"/>
  <c r="CS635" i="15" s="1"/>
  <c r="CS712" i="15"/>
  <c r="DC712" i="15"/>
  <c r="DE712" i="15" s="1"/>
  <c r="CC713" i="15"/>
  <c r="CN713" i="15" s="1"/>
  <c r="CS713" i="15" s="1"/>
  <c r="CD714" i="15"/>
  <c r="CF714" i="15"/>
  <c r="CQ714" i="15" s="1"/>
  <c r="CV714" i="15" s="1"/>
  <c r="CE714" i="15"/>
  <c r="CP714" i="15" s="1"/>
  <c r="CU714" i="15" s="1"/>
  <c r="BQ716" i="15"/>
  <c r="AG151" i="15"/>
  <c r="AU152" i="15"/>
  <c r="BH152" i="15"/>
  <c r="BK151" i="15"/>
  <c r="AG151" i="17"/>
  <c r="BK150" i="17"/>
  <c r="BH151" i="17"/>
  <c r="CB654" i="15"/>
  <c r="BW715" i="15"/>
  <c r="AP150" i="15"/>
  <c r="AO150" i="17"/>
  <c r="BT620" i="15"/>
  <c r="BT663" i="15"/>
  <c r="BT664" i="15"/>
  <c r="BV662" i="15"/>
  <c r="BT609" i="15"/>
  <c r="BT662" i="15"/>
  <c r="BT660" i="15"/>
  <c r="AI151" i="15"/>
  <c r="CB696" i="15"/>
  <c r="CB623" i="15"/>
  <c r="BT618" i="15"/>
  <c r="BT610" i="15"/>
  <c r="CB594" i="15"/>
  <c r="BT624" i="15"/>
  <c r="BY715" i="15"/>
  <c r="BT716" i="15"/>
  <c r="AO150" i="15"/>
  <c r="AI152" i="17"/>
  <c r="BW716" i="15"/>
  <c r="AI153" i="15"/>
  <c r="BT623" i="15"/>
  <c r="AI154" i="17"/>
  <c r="BT585" i="15"/>
  <c r="BT574" i="15"/>
  <c r="BW592" i="15"/>
  <c r="CB571" i="15"/>
  <c r="AI150" i="15"/>
  <c r="BT581" i="15"/>
  <c r="CK716" i="15"/>
  <c r="CB644" i="15"/>
  <c r="BT606" i="15"/>
  <c r="BW652" i="15"/>
  <c r="CB643" i="15"/>
  <c r="BT651" i="15"/>
  <c r="BX591" i="15"/>
  <c r="CB606" i="15"/>
  <c r="CB648" i="15"/>
  <c r="CB597" i="15"/>
  <c r="AI151" i="17"/>
  <c r="CB646" i="15"/>
  <c r="CB674" i="15"/>
  <c r="CB706" i="15"/>
  <c r="CB579" i="15"/>
  <c r="BT587" i="15"/>
  <c r="BV607" i="15"/>
  <c r="BT582" i="15"/>
  <c r="CB584" i="15"/>
  <c r="BT621" i="15"/>
  <c r="BV653" i="15"/>
  <c r="BV714" i="15"/>
  <c r="BT655" i="15"/>
  <c r="BT584" i="15"/>
  <c r="BV647" i="15"/>
  <c r="BT616" i="15"/>
  <c r="CB577" i="15"/>
  <c r="BT589" i="15"/>
  <c r="CB687" i="15"/>
  <c r="BT653" i="15"/>
  <c r="CB628" i="15"/>
  <c r="CB602" i="15"/>
  <c r="CB634" i="15"/>
  <c r="CK670" i="15"/>
  <c r="BX715" i="15"/>
  <c r="BT658" i="15"/>
  <c r="BW582" i="15"/>
  <c r="BT607" i="15"/>
  <c r="BT583" i="15"/>
  <c r="BT586" i="15"/>
  <c r="BT657" i="15"/>
  <c r="BT654" i="15"/>
  <c r="AH150" i="17"/>
  <c r="CB712" i="15"/>
  <c r="CB658" i="15"/>
  <c r="CB624" i="15"/>
  <c r="BV583" i="15"/>
  <c r="BT573" i="15"/>
  <c r="CB588" i="15"/>
  <c r="BT661" i="15"/>
  <c r="BX581" i="15"/>
  <c r="AO151" i="15"/>
  <c r="BT625" i="15"/>
  <c r="BT590" i="15"/>
  <c r="CH716" i="15"/>
  <c r="CB618" i="15"/>
  <c r="BX651" i="15"/>
  <c r="BT659" i="15"/>
  <c r="BT652" i="15"/>
  <c r="BZ715" i="15"/>
  <c r="BV622" i="15"/>
  <c r="BT588" i="15"/>
  <c r="BT656" i="15"/>
  <c r="CB682" i="15"/>
  <c r="BT571" i="15"/>
  <c r="AP150" i="17"/>
  <c r="AH150" i="15"/>
  <c r="CB616" i="15"/>
  <c r="BT575" i="15"/>
  <c r="AI152" i="15"/>
  <c r="BT617" i="15"/>
  <c r="BV617" i="15"/>
  <c r="AI150" i="17"/>
  <c r="CB708" i="15"/>
  <c r="CB632" i="15"/>
  <c r="CB677" i="15"/>
  <c r="BV657" i="15"/>
  <c r="BV593" i="15"/>
  <c r="BV572" i="15"/>
  <c r="BT619" i="15"/>
  <c r="BT665" i="15"/>
  <c r="CB586" i="15"/>
  <c r="BT572" i="15"/>
  <c r="CB642" i="15"/>
  <c r="CB663" i="15"/>
  <c r="BT622" i="15"/>
  <c r="BV587" i="15"/>
  <c r="CB656" i="15"/>
  <c r="BT608" i="15"/>
  <c r="AI153" i="17"/>
  <c r="CB661" i="15"/>
  <c r="CK695" i="15"/>
  <c r="CI676" i="15" l="1"/>
  <c r="CI677" i="15" s="1"/>
  <c r="CI678" i="15" s="1"/>
  <c r="CI679" i="15" s="1"/>
  <c r="CI680" i="15" s="1"/>
  <c r="CJ680" i="15" s="1"/>
  <c r="CO680" i="15" s="1"/>
  <c r="CT680" i="15" s="1"/>
  <c r="CI671" i="15"/>
  <c r="CI672" i="15" s="1"/>
  <c r="CI673" i="15" s="1"/>
  <c r="CI674" i="15" s="1"/>
  <c r="CI675" i="15" s="1"/>
  <c r="CJ675" i="15" s="1"/>
  <c r="CO675" i="15" s="1"/>
  <c r="CT675" i="15" s="1"/>
  <c r="CI601" i="15"/>
  <c r="CI602" i="15" s="1"/>
  <c r="CI603" i="15" s="1"/>
  <c r="CI604" i="15" s="1"/>
  <c r="CI631" i="15"/>
  <c r="CI632" i="15" s="1"/>
  <c r="CI633" i="15" s="1"/>
  <c r="CI634" i="15" s="1"/>
  <c r="CI635" i="15" s="1"/>
  <c r="CJ635" i="15" s="1"/>
  <c r="CI681" i="15"/>
  <c r="CI682" i="15" s="1"/>
  <c r="CI683" i="15" s="1"/>
  <c r="CI684" i="15" s="1"/>
  <c r="CI596" i="15"/>
  <c r="CI597" i="15" s="1"/>
  <c r="CI598" i="15" s="1"/>
  <c r="CI599" i="15" s="1"/>
  <c r="CI600" i="15" s="1"/>
  <c r="CJ600" i="15" s="1"/>
  <c r="CO600" i="15" s="1"/>
  <c r="CC572" i="15"/>
  <c r="CN572" i="15" s="1"/>
  <c r="CI641" i="15"/>
  <c r="CI642" i="15" s="1"/>
  <c r="CC653" i="15"/>
  <c r="CC622" i="15"/>
  <c r="CN622" i="15" s="1"/>
  <c r="CS622" i="15" s="1"/>
  <c r="CC662" i="15"/>
  <c r="CN662" i="15" s="1"/>
  <c r="CC593" i="15"/>
  <c r="CN593" i="15" s="1"/>
  <c r="CS593" i="15" s="1"/>
  <c r="CI626" i="15"/>
  <c r="CI627" i="15" s="1"/>
  <c r="CI628" i="15" s="1"/>
  <c r="CI629" i="15" s="1"/>
  <c r="CI630" i="15" s="1"/>
  <c r="CJ630" i="15" s="1"/>
  <c r="CO630" i="15" s="1"/>
  <c r="CT630" i="15" s="1"/>
  <c r="CI686" i="15"/>
  <c r="CI687" i="15" s="1"/>
  <c r="CI688" i="15" s="1"/>
  <c r="CI689" i="15" s="1"/>
  <c r="CI690" i="15" s="1"/>
  <c r="CJ690" i="15" s="1"/>
  <c r="CO690" i="15" s="1"/>
  <c r="CT690" i="15" s="1"/>
  <c r="CI576" i="15"/>
  <c r="CI577" i="15" s="1"/>
  <c r="CI578" i="15" s="1"/>
  <c r="CI579" i="15" s="1"/>
  <c r="CC657" i="15"/>
  <c r="CC617" i="15"/>
  <c r="CN617" i="15" s="1"/>
  <c r="CC647" i="15"/>
  <c r="CN647" i="15" s="1"/>
  <c r="CS647" i="15" s="1"/>
  <c r="CC583" i="15"/>
  <c r="CN583" i="15" s="1"/>
  <c r="CS583" i="15" s="1"/>
  <c r="CC587" i="15"/>
  <c r="CC607" i="15"/>
  <c r="CN607" i="15" s="1"/>
  <c r="CN630" i="15"/>
  <c r="CS630" i="15" s="1"/>
  <c r="CS640" i="15"/>
  <c r="CT636" i="15"/>
  <c r="CT701" i="15"/>
  <c r="CS705" i="15"/>
  <c r="CN697" i="15"/>
  <c r="CN707" i="15"/>
  <c r="CS682" i="15"/>
  <c r="CN685" i="15"/>
  <c r="CS597" i="15"/>
  <c r="CN600" i="15"/>
  <c r="CS600" i="15" s="1"/>
  <c r="CJ704" i="15"/>
  <c r="CS687" i="15"/>
  <c r="CN690" i="15"/>
  <c r="CS690" i="15" s="1"/>
  <c r="CS577" i="15"/>
  <c r="CN580" i="15"/>
  <c r="CJ614" i="15"/>
  <c r="CN573" i="15"/>
  <c r="CS573" i="15" s="1"/>
  <c r="CI640" i="15"/>
  <c r="CJ640" i="15" s="1"/>
  <c r="CJ639" i="15" s="1"/>
  <c r="CD651" i="15"/>
  <c r="CO651" i="15" s="1"/>
  <c r="CC651" i="15"/>
  <c r="CN651" i="15" s="1"/>
  <c r="CS651" i="15" s="1"/>
  <c r="CT671" i="15"/>
  <c r="CN656" i="15"/>
  <c r="CN657" i="15"/>
  <c r="CS657" i="15" s="1"/>
  <c r="CD581" i="15"/>
  <c r="CO581" i="15" s="1"/>
  <c r="CC581" i="15"/>
  <c r="CN581" i="15" s="1"/>
  <c r="CT691" i="15"/>
  <c r="CN646" i="15"/>
  <c r="CS646" i="15" s="1"/>
  <c r="CN571" i="15"/>
  <c r="CN616" i="15"/>
  <c r="CN606" i="15"/>
  <c r="CS606" i="15" s="1"/>
  <c r="CD591" i="15"/>
  <c r="CO591" i="15" s="1"/>
  <c r="CC591" i="15"/>
  <c r="CJ669" i="15"/>
  <c r="CO670" i="15"/>
  <c r="CT670" i="15" s="1"/>
  <c r="CJ694" i="15"/>
  <c r="CO695" i="15"/>
  <c r="CT695" i="15" s="1"/>
  <c r="CN586" i="15"/>
  <c r="CS641" i="15"/>
  <c r="CN645" i="15"/>
  <c r="CS645" i="15" s="1"/>
  <c r="BP575" i="15"/>
  <c r="CS642" i="15"/>
  <c r="CI643" i="15"/>
  <c r="CI644" i="15" s="1"/>
  <c r="CI645" i="15" s="1"/>
  <c r="CJ645" i="15" s="1"/>
  <c r="CS618" i="15"/>
  <c r="CT666" i="15"/>
  <c r="CS670" i="15"/>
  <c r="CT676" i="15"/>
  <c r="CN661" i="15"/>
  <c r="CT601" i="15"/>
  <c r="CT611" i="15"/>
  <c r="CT631" i="15"/>
  <c r="CJ634" i="15"/>
  <c r="CO635" i="15"/>
  <c r="CT635" i="15" s="1"/>
  <c r="DC713" i="15"/>
  <c r="DE713" i="15" s="1"/>
  <c r="CC714" i="15"/>
  <c r="CN714" i="15" s="1"/>
  <c r="CE715" i="15"/>
  <c r="CP715" i="15" s="1"/>
  <c r="CU715" i="15" s="1"/>
  <c r="CF715" i="15"/>
  <c r="CQ715" i="15" s="1"/>
  <c r="CV715" i="15" s="1"/>
  <c r="CD715" i="15"/>
  <c r="BQ717" i="15"/>
  <c r="AH148" i="15"/>
  <c r="AJ147" i="15"/>
  <c r="AK147" i="15" s="1"/>
  <c r="AL147" i="15" s="1"/>
  <c r="AM147" i="15" s="1"/>
  <c r="AN147" i="15" s="1"/>
  <c r="AH154" i="17"/>
  <c r="AL153" i="17"/>
  <c r="AM153" i="17" s="1"/>
  <c r="AN153" i="17" s="1"/>
  <c r="AH152" i="17"/>
  <c r="AL151" i="17"/>
  <c r="AM151" i="17" s="1"/>
  <c r="AN151" i="17" s="1"/>
  <c r="AH153" i="17"/>
  <c r="AL152" i="17"/>
  <c r="AM152" i="17" s="1"/>
  <c r="AN152" i="17" s="1"/>
  <c r="AH151" i="17"/>
  <c r="AL150" i="17"/>
  <c r="AM150" i="17" s="1"/>
  <c r="AL154" i="17"/>
  <c r="AM154" i="17" s="1"/>
  <c r="AN154" i="17" s="1"/>
  <c r="BK151" i="17"/>
  <c r="BH152" i="17"/>
  <c r="AG152" i="17"/>
  <c r="BH153" i="15"/>
  <c r="BK152" i="15"/>
  <c r="AG152" i="15"/>
  <c r="AU153" i="15"/>
  <c r="AU154" i="15" s="1"/>
  <c r="AU155" i="15" s="1"/>
  <c r="AU156" i="15" s="1"/>
  <c r="AU157" i="15" s="1"/>
  <c r="AU158" i="15" s="1"/>
  <c r="AU159" i="15" s="1"/>
  <c r="AU160" i="15" s="1"/>
  <c r="AU161" i="15" s="1"/>
  <c r="AU162" i="15" s="1"/>
  <c r="AU163" i="15" s="1"/>
  <c r="AU164" i="15" s="1"/>
  <c r="AU165" i="15" s="1"/>
  <c r="AU166" i="15" s="1"/>
  <c r="AU167" i="15" s="1"/>
  <c r="AU168" i="15" s="1"/>
  <c r="AU169" i="15" s="1"/>
  <c r="AU170" i="15" s="1"/>
  <c r="AU171" i="15" s="1"/>
  <c r="AU172" i="15" s="1"/>
  <c r="AU173" i="15" s="1"/>
  <c r="AU174" i="15" s="1"/>
  <c r="AU175" i="15" s="1"/>
  <c r="AU176" i="15" s="1"/>
  <c r="AU177" i="15" s="1"/>
  <c r="AU178" i="15" s="1"/>
  <c r="AU179" i="15" s="1"/>
  <c r="AU180" i="15" s="1"/>
  <c r="AU181" i="15" s="1"/>
  <c r="AU182" i="15" s="1"/>
  <c r="AU183" i="15" s="1"/>
  <c r="AU184" i="15" s="1"/>
  <c r="AU185" i="15" s="1"/>
  <c r="AU186" i="15" s="1"/>
  <c r="AU187" i="15" s="1"/>
  <c r="AU188" i="15" s="1"/>
  <c r="AU189" i="15" s="1"/>
  <c r="AU190" i="15" s="1"/>
  <c r="AU191" i="15" s="1"/>
  <c r="AU192" i="15" s="1"/>
  <c r="AU193" i="15" s="1"/>
  <c r="AU194" i="15" s="1"/>
  <c r="AU195" i="15" s="1"/>
  <c r="AU196" i="15" s="1"/>
  <c r="AU197" i="15" s="1"/>
  <c r="AU198" i="15" s="1"/>
  <c r="AU199" i="15" s="1"/>
  <c r="AU200" i="15" s="1"/>
  <c r="AU201" i="15" s="1"/>
  <c r="AU202" i="15" s="1"/>
  <c r="AU203" i="15" s="1"/>
  <c r="AU204" i="15" s="1"/>
  <c r="AU205" i="15" s="1"/>
  <c r="AU206" i="15" s="1"/>
  <c r="AU207" i="15" s="1"/>
  <c r="AU208" i="15" s="1"/>
  <c r="AU209" i="15" s="1"/>
  <c r="AU210" i="15" s="1"/>
  <c r="AU211" i="15" s="1"/>
  <c r="AU212" i="15" s="1"/>
  <c r="AU213" i="15" s="1"/>
  <c r="AU214" i="15" s="1"/>
  <c r="AU215" i="15" s="1"/>
  <c r="AU216" i="15" s="1"/>
  <c r="AU217" i="15" s="1"/>
  <c r="AU218" i="15" s="1"/>
  <c r="AU219" i="15" s="1"/>
  <c r="AU220" i="15" s="1"/>
  <c r="AU221" i="15" s="1"/>
  <c r="AU222" i="15" s="1"/>
  <c r="AU223" i="15" s="1"/>
  <c r="AU224" i="15" s="1"/>
  <c r="AU225" i="15" s="1"/>
  <c r="AU226" i="15" s="1"/>
  <c r="AU227" i="15" s="1"/>
  <c r="AU228" i="15" s="1"/>
  <c r="AU229" i="15" s="1"/>
  <c r="AU230" i="15" s="1"/>
  <c r="AU231" i="15" s="1"/>
  <c r="AU232" i="15" s="1"/>
  <c r="AU233" i="15" s="1"/>
  <c r="AU234" i="15" s="1"/>
  <c r="AU235" i="15" s="1"/>
  <c r="AU236" i="15" s="1"/>
  <c r="AU237" i="15" s="1"/>
  <c r="AU238" i="15" s="1"/>
  <c r="AU239" i="15" s="1"/>
  <c r="AU240" i="15" s="1"/>
  <c r="AU241" i="15" s="1"/>
  <c r="AU242" i="15" s="1"/>
  <c r="AU243" i="15" s="1"/>
  <c r="AU244" i="15" s="1"/>
  <c r="AU245" i="15" s="1"/>
  <c r="AU246" i="15" s="1"/>
  <c r="AU247" i="15" s="1"/>
  <c r="AU248" i="15" s="1"/>
  <c r="AU249" i="15" s="1"/>
  <c r="AU250" i="15" s="1"/>
  <c r="AU251" i="15" s="1"/>
  <c r="AU252" i="15" s="1"/>
  <c r="AU253" i="15" s="1"/>
  <c r="AU254" i="15" s="1"/>
  <c r="AU255" i="15" s="1"/>
  <c r="AU256" i="15" s="1"/>
  <c r="AU257" i="15" s="1"/>
  <c r="AU258" i="15" s="1"/>
  <c r="AU259" i="15" s="1"/>
  <c r="AU260" i="15" s="1"/>
  <c r="AU261" i="15" s="1"/>
  <c r="AU262" i="15" s="1"/>
  <c r="AU263" i="15" s="1"/>
  <c r="AU264" i="15" s="1"/>
  <c r="AU265" i="15" s="1"/>
  <c r="AU266" i="15" s="1"/>
  <c r="AU267" i="15" s="1"/>
  <c r="AU268" i="15" s="1"/>
  <c r="AU269" i="15" s="1"/>
  <c r="AU270" i="15" s="1"/>
  <c r="AU271" i="15" s="1"/>
  <c r="AU272" i="15" s="1"/>
  <c r="AU273" i="15" s="1"/>
  <c r="AU274" i="15" s="1"/>
  <c r="AU275" i="15" s="1"/>
  <c r="AU276" i="15" s="1"/>
  <c r="AU277" i="15" s="1"/>
  <c r="AU278" i="15" s="1"/>
  <c r="AU279" i="15" s="1"/>
  <c r="AU280" i="15" s="1"/>
  <c r="AU281" i="15" s="1"/>
  <c r="AU282" i="15" s="1"/>
  <c r="AU283" i="15" s="1"/>
  <c r="AU284" i="15" s="1"/>
  <c r="AU285" i="15" s="1"/>
  <c r="AU286" i="15" s="1"/>
  <c r="AU287" i="15" s="1"/>
  <c r="AU288" i="15" s="1"/>
  <c r="AU289" i="15" s="1"/>
  <c r="AU290" i="15" s="1"/>
  <c r="AU291" i="15" s="1"/>
  <c r="AU292" i="15" s="1"/>
  <c r="AU293" i="15" s="1"/>
  <c r="AU294" i="15" s="1"/>
  <c r="AU295" i="15" s="1"/>
  <c r="AU296" i="15" s="1"/>
  <c r="AU297" i="15" s="1"/>
  <c r="AU298" i="15" s="1"/>
  <c r="AU299" i="15" s="1"/>
  <c r="AU300" i="15" s="1"/>
  <c r="AU301" i="15" s="1"/>
  <c r="AU302" i="15" s="1"/>
  <c r="AU303" i="15" s="1"/>
  <c r="AU304" i="15" s="1"/>
  <c r="AU305" i="15" s="1"/>
  <c r="AU306" i="15" s="1"/>
  <c r="AU307" i="15" s="1"/>
  <c r="AU308" i="15" s="1"/>
  <c r="AU309" i="15" s="1"/>
  <c r="AU310" i="15" s="1"/>
  <c r="AU311" i="15" s="1"/>
  <c r="AU312" i="15" s="1"/>
  <c r="AU313" i="15" s="1"/>
  <c r="AU314" i="15" s="1"/>
  <c r="AU315" i="15" s="1"/>
  <c r="AU316" i="15" s="1"/>
  <c r="AU317" i="15" s="1"/>
  <c r="AU318" i="15" s="1"/>
  <c r="AU319" i="15" s="1"/>
  <c r="AU320" i="15" s="1"/>
  <c r="AU321" i="15" s="1"/>
  <c r="AU322" i="15" s="1"/>
  <c r="AU323" i="15" s="1"/>
  <c r="AU324" i="15" s="1"/>
  <c r="AU325" i="15" s="1"/>
  <c r="AU326" i="15" s="1"/>
  <c r="AU327" i="15" s="1"/>
  <c r="AU328" i="15" s="1"/>
  <c r="AU329" i="15" s="1"/>
  <c r="AU330" i="15" s="1"/>
  <c r="AU331" i="15" s="1"/>
  <c r="AU332" i="15" s="1"/>
  <c r="AU333" i="15" s="1"/>
  <c r="AU334" i="15" s="1"/>
  <c r="AU335" i="15" s="1"/>
  <c r="AU336" i="15" s="1"/>
  <c r="AU337" i="15" s="1"/>
  <c r="AU338" i="15" s="1"/>
  <c r="AU339" i="15" s="1"/>
  <c r="AU340" i="15" s="1"/>
  <c r="AU341" i="15" s="1"/>
  <c r="AU342" i="15" s="1"/>
  <c r="AU343" i="15" s="1"/>
  <c r="AU344" i="15" s="1"/>
  <c r="AU345" i="15" s="1"/>
  <c r="AU346" i="15" s="1"/>
  <c r="AU347" i="15" s="1"/>
  <c r="AU348" i="15" s="1"/>
  <c r="AU349" i="15" s="1"/>
  <c r="AU350" i="15" s="1"/>
  <c r="AU351" i="15" s="1"/>
  <c r="AU352" i="15" s="1"/>
  <c r="AU353" i="15" s="1"/>
  <c r="AU354" i="15" s="1"/>
  <c r="AU355" i="15" s="1"/>
  <c r="AU356" i="15" s="1"/>
  <c r="AU357" i="15" s="1"/>
  <c r="AU358" i="15" s="1"/>
  <c r="AU359" i="15" s="1"/>
  <c r="AU360" i="15" s="1"/>
  <c r="AU361" i="15" s="1"/>
  <c r="AU362" i="15" s="1"/>
  <c r="AU363" i="15" s="1"/>
  <c r="AU364" i="15" s="1"/>
  <c r="AU365" i="15" s="1"/>
  <c r="AU366" i="15" s="1"/>
  <c r="AU367" i="15" s="1"/>
  <c r="AU368" i="15" s="1"/>
  <c r="AU369" i="15" s="1"/>
  <c r="AU370" i="15" s="1"/>
  <c r="AU371" i="15" s="1"/>
  <c r="AU372" i="15" s="1"/>
  <c r="AU373" i="15" s="1"/>
  <c r="AU374" i="15" s="1"/>
  <c r="AU375" i="15" s="1"/>
  <c r="AU376" i="15" s="1"/>
  <c r="AU377" i="15" s="1"/>
  <c r="AU378" i="15" s="1"/>
  <c r="AU379" i="15" s="1"/>
  <c r="AU380" i="15" s="1"/>
  <c r="AU381" i="15" s="1"/>
  <c r="AU382" i="15" s="1"/>
  <c r="AU383" i="15" s="1"/>
  <c r="AU384" i="15" s="1"/>
  <c r="AU385" i="15" s="1"/>
  <c r="AU386" i="15" s="1"/>
  <c r="AU387" i="15" s="1"/>
  <c r="AU388" i="15" s="1"/>
  <c r="AU389" i="15" s="1"/>
  <c r="AU390" i="15" s="1"/>
  <c r="AU391" i="15" s="1"/>
  <c r="AU392" i="15" s="1"/>
  <c r="AU393" i="15" s="1"/>
  <c r="AU394" i="15" s="1"/>
  <c r="AU395" i="15" s="1"/>
  <c r="AU396" i="15" s="1"/>
  <c r="AU397" i="15" s="1"/>
  <c r="AU398" i="15" s="1"/>
  <c r="AU399" i="15" s="1"/>
  <c r="AU400" i="15" s="1"/>
  <c r="AU401" i="15" s="1"/>
  <c r="AU402" i="15" s="1"/>
  <c r="AU403" i="15" s="1"/>
  <c r="AU404" i="15" s="1"/>
  <c r="AP151" i="15"/>
  <c r="BT591" i="15"/>
  <c r="BT595" i="15"/>
  <c r="CB607" i="15"/>
  <c r="BT717" i="15"/>
  <c r="BY716" i="15"/>
  <c r="CB608" i="15"/>
  <c r="BV592" i="15"/>
  <c r="CB593" i="15"/>
  <c r="BT594" i="15"/>
  <c r="CK694" i="15"/>
  <c r="CK669" i="15"/>
  <c r="CK645" i="15"/>
  <c r="CH717" i="15"/>
  <c r="BV582" i="15"/>
  <c r="CK615" i="15"/>
  <c r="CK680" i="15"/>
  <c r="CB714" i="15"/>
  <c r="CK635" i="15"/>
  <c r="BV715" i="15"/>
  <c r="CB572" i="15"/>
  <c r="BX716" i="15"/>
  <c r="CB657" i="15"/>
  <c r="CB713" i="15"/>
  <c r="BX621" i="15"/>
  <c r="CB587" i="15"/>
  <c r="BZ716" i="15"/>
  <c r="AP151" i="17"/>
  <c r="BW717" i="15"/>
  <c r="CB707" i="15"/>
  <c r="CB651" i="15"/>
  <c r="BT592" i="15"/>
  <c r="CB622" i="15"/>
  <c r="CB617" i="15"/>
  <c r="CB647" i="15"/>
  <c r="CK690" i="15"/>
  <c r="CB697" i="15"/>
  <c r="AO151" i="17"/>
  <c r="CB591" i="15"/>
  <c r="CB573" i="15"/>
  <c r="CB662" i="15"/>
  <c r="CK600" i="15"/>
  <c r="CB583" i="15"/>
  <c r="BT593" i="15"/>
  <c r="CK705" i="15"/>
  <c r="AO152" i="15"/>
  <c r="BV652" i="15"/>
  <c r="CJ599" i="15" l="1"/>
  <c r="CJ598" i="15" s="1"/>
  <c r="CJ679" i="15"/>
  <c r="CJ674" i="15"/>
  <c r="CT686" i="15"/>
  <c r="CI605" i="15"/>
  <c r="CJ605" i="15" s="1"/>
  <c r="CJ604" i="15" s="1"/>
  <c r="CS607" i="15"/>
  <c r="CN610" i="15"/>
  <c r="CS610" i="15" s="1"/>
  <c r="CS617" i="15"/>
  <c r="CN620" i="15"/>
  <c r="CS620" i="15" s="1"/>
  <c r="CJ689" i="15"/>
  <c r="CO689" i="15" s="1"/>
  <c r="CT689" i="15" s="1"/>
  <c r="CI586" i="15"/>
  <c r="CI587" i="15" s="1"/>
  <c r="CI588" i="15" s="1"/>
  <c r="CI589" i="15" s="1"/>
  <c r="CI590" i="15" s="1"/>
  <c r="CJ590" i="15" s="1"/>
  <c r="CI656" i="15"/>
  <c r="CI657" i="15" s="1"/>
  <c r="CI658" i="15" s="1"/>
  <c r="CI659" i="15" s="1"/>
  <c r="CI660" i="15" s="1"/>
  <c r="CJ660" i="15" s="1"/>
  <c r="CC582" i="15"/>
  <c r="CI706" i="15"/>
  <c r="CI707" i="15" s="1"/>
  <c r="CI708" i="15" s="1"/>
  <c r="CI709" i="15" s="1"/>
  <c r="CI710" i="15" s="1"/>
  <c r="CJ710" i="15" s="1"/>
  <c r="CO710" i="15" s="1"/>
  <c r="CT710" i="15" s="1"/>
  <c r="CC652" i="15"/>
  <c r="CI646" i="15"/>
  <c r="CI647" i="15" s="1"/>
  <c r="CI648" i="15" s="1"/>
  <c r="CI649" i="15" s="1"/>
  <c r="CI650" i="15" s="1"/>
  <c r="CJ650" i="15" s="1"/>
  <c r="CO650" i="15" s="1"/>
  <c r="CT650" i="15" s="1"/>
  <c r="CI661" i="15"/>
  <c r="CI662" i="15" s="1"/>
  <c r="CI663" i="15" s="1"/>
  <c r="CI571" i="15"/>
  <c r="CI572" i="15" s="1"/>
  <c r="CI573" i="15" s="1"/>
  <c r="CI574" i="15" s="1"/>
  <c r="CI575" i="15" s="1"/>
  <c r="CJ575" i="15" s="1"/>
  <c r="CC621" i="15"/>
  <c r="CN621" i="15" s="1"/>
  <c r="CD621" i="15"/>
  <c r="CO621" i="15" s="1"/>
  <c r="CI696" i="15"/>
  <c r="CI697" i="15" s="1"/>
  <c r="CI698" i="15" s="1"/>
  <c r="CI699" i="15" s="1"/>
  <c r="CI700" i="15" s="1"/>
  <c r="CJ700" i="15" s="1"/>
  <c r="CI606" i="15"/>
  <c r="CI607" i="15" s="1"/>
  <c r="CI608" i="15" s="1"/>
  <c r="CI609" i="15" s="1"/>
  <c r="CI610" i="15" s="1"/>
  <c r="CJ610" i="15" s="1"/>
  <c r="CJ609" i="15" s="1"/>
  <c r="CI616" i="15"/>
  <c r="CI617" i="15" s="1"/>
  <c r="CI618" i="15" s="1"/>
  <c r="CI619" i="15" s="1"/>
  <c r="CI620" i="15" s="1"/>
  <c r="CJ620" i="15" s="1"/>
  <c r="CJ619" i="15" s="1"/>
  <c r="CC592" i="15"/>
  <c r="CN592" i="15" s="1"/>
  <c r="CO639" i="15"/>
  <c r="CT639" i="15" s="1"/>
  <c r="CJ638" i="15"/>
  <c r="CS572" i="15"/>
  <c r="CN575" i="15"/>
  <c r="CS575" i="15" s="1"/>
  <c r="CO704" i="15"/>
  <c r="CT704" i="15" s="1"/>
  <c r="CJ703" i="15"/>
  <c r="CS697" i="15"/>
  <c r="CN653" i="15"/>
  <c r="CS653" i="15" s="1"/>
  <c r="CI685" i="15"/>
  <c r="CJ685" i="15" s="1"/>
  <c r="CJ684" i="15" s="1"/>
  <c r="CN587" i="15"/>
  <c r="CI580" i="15"/>
  <c r="CJ580" i="15" s="1"/>
  <c r="CJ579" i="15" s="1"/>
  <c r="CO640" i="15"/>
  <c r="CT640" i="15" s="1"/>
  <c r="CO614" i="15"/>
  <c r="CT614" i="15" s="1"/>
  <c r="CJ613" i="15"/>
  <c r="CN710" i="15"/>
  <c r="CS707" i="15"/>
  <c r="CT576" i="15"/>
  <c r="CS580" i="15"/>
  <c r="CS685" i="15"/>
  <c r="CT681" i="15"/>
  <c r="CJ629" i="15"/>
  <c r="CS656" i="15"/>
  <c r="CN660" i="15"/>
  <c r="CS660" i="15" s="1"/>
  <c r="CN650" i="15"/>
  <c r="CS650" i="15" s="1"/>
  <c r="CS581" i="15"/>
  <c r="CJ688" i="15"/>
  <c r="CS571" i="15"/>
  <c r="CS616" i="15"/>
  <c r="CJ644" i="15"/>
  <c r="CO645" i="15"/>
  <c r="CS662" i="15"/>
  <c r="CO694" i="15"/>
  <c r="CT694" i="15" s="1"/>
  <c r="CJ693" i="15"/>
  <c r="CN591" i="15"/>
  <c r="CS661" i="15"/>
  <c r="CN665" i="15"/>
  <c r="CS665" i="15" s="1"/>
  <c r="CS586" i="15"/>
  <c r="CO669" i="15"/>
  <c r="CT669" i="15" s="1"/>
  <c r="CJ668" i="15"/>
  <c r="CT626" i="15"/>
  <c r="CO634" i="15"/>
  <c r="CT634" i="15" s="1"/>
  <c r="CJ633" i="15"/>
  <c r="CT600" i="15"/>
  <c r="CT596" i="15"/>
  <c r="DC714" i="15"/>
  <c r="DE714" i="15" s="1"/>
  <c r="CS714" i="15"/>
  <c r="CC715" i="15"/>
  <c r="CN715" i="15" s="1"/>
  <c r="CS715" i="15" s="1"/>
  <c r="CF716" i="15"/>
  <c r="CQ716" i="15" s="1"/>
  <c r="CV716" i="15" s="1"/>
  <c r="CE716" i="15"/>
  <c r="CP716" i="15" s="1"/>
  <c r="CU716" i="15" s="1"/>
  <c r="CD716" i="15"/>
  <c r="CO716" i="15" s="1"/>
  <c r="BQ718" i="15"/>
  <c r="AJ150" i="15"/>
  <c r="AK150" i="15" s="1"/>
  <c r="AL150" i="15" s="1"/>
  <c r="AH151" i="15"/>
  <c r="BH154" i="15"/>
  <c r="BK154" i="15" s="1"/>
  <c r="BK153" i="15"/>
  <c r="BK152" i="17"/>
  <c r="BH153" i="17"/>
  <c r="AG153" i="15"/>
  <c r="AG153" i="17"/>
  <c r="AN150" i="17"/>
  <c r="CK704" i="15"/>
  <c r="CB715" i="15"/>
  <c r="CK634" i="15"/>
  <c r="BZ717" i="15"/>
  <c r="CK644" i="15"/>
  <c r="BW718" i="15"/>
  <c r="CN700" i="15"/>
  <c r="CK689" i="15"/>
  <c r="BV716" i="15"/>
  <c r="CK614" i="15"/>
  <c r="AO153" i="15"/>
  <c r="CK675" i="15"/>
  <c r="CK599" i="15"/>
  <c r="CK610" i="15"/>
  <c r="CB592" i="15"/>
  <c r="BT718" i="15"/>
  <c r="CK700" i="15"/>
  <c r="CK688" i="15"/>
  <c r="CK590" i="15"/>
  <c r="CK630" i="15"/>
  <c r="CB581" i="15"/>
  <c r="CK609" i="15"/>
  <c r="BY717" i="15"/>
  <c r="CK619" i="15"/>
  <c r="CK710" i="15"/>
  <c r="CH718" i="15"/>
  <c r="CK620" i="15"/>
  <c r="BX717" i="15"/>
  <c r="AO152" i="17"/>
  <c r="CB653" i="15"/>
  <c r="AP152" i="17"/>
  <c r="CK639" i="15"/>
  <c r="CK640" i="15"/>
  <c r="AP152" i="15"/>
  <c r="CO599" i="15" l="1"/>
  <c r="CT599" i="15" s="1"/>
  <c r="CO674" i="15"/>
  <c r="CT674" i="15" s="1"/>
  <c r="CJ673" i="15"/>
  <c r="CJ678" i="15"/>
  <c r="CO679" i="15"/>
  <c r="CT679" i="15" s="1"/>
  <c r="CJ699" i="15"/>
  <c r="CJ698" i="15" s="1"/>
  <c r="CJ709" i="15"/>
  <c r="CO709" i="15" s="1"/>
  <c r="CT709" i="15" s="1"/>
  <c r="CO604" i="15"/>
  <c r="CT604" i="15" s="1"/>
  <c r="CJ603" i="15"/>
  <c r="CO700" i="15"/>
  <c r="CT700" i="15" s="1"/>
  <c r="CO605" i="15"/>
  <c r="CT605" i="15" s="1"/>
  <c r="CJ574" i="15"/>
  <c r="CJ573" i="15" s="1"/>
  <c r="CO573" i="15" s="1"/>
  <c r="CT573" i="15" s="1"/>
  <c r="CS700" i="15"/>
  <c r="CT696" i="15"/>
  <c r="CI591" i="15"/>
  <c r="CI592" i="15" s="1"/>
  <c r="CI593" i="15" s="1"/>
  <c r="CI594" i="15" s="1"/>
  <c r="CI595" i="15" s="1"/>
  <c r="CJ595" i="15" s="1"/>
  <c r="CJ594" i="15" s="1"/>
  <c r="CJ578" i="15"/>
  <c r="CO579" i="15"/>
  <c r="CT579" i="15" s="1"/>
  <c r="CS592" i="15"/>
  <c r="CN595" i="15"/>
  <c r="CS595" i="15" s="1"/>
  <c r="CJ659" i="15"/>
  <c r="CJ658" i="15" s="1"/>
  <c r="CO658" i="15" s="1"/>
  <c r="CT658" i="15" s="1"/>
  <c r="CO629" i="15"/>
  <c r="CT629" i="15" s="1"/>
  <c r="CJ628" i="15"/>
  <c r="CO685" i="15"/>
  <c r="CT685" i="15" s="1"/>
  <c r="CO575" i="15"/>
  <c r="CO580" i="15"/>
  <c r="CT580" i="15" s="1"/>
  <c r="CN582" i="15"/>
  <c r="CS710" i="15"/>
  <c r="CT706" i="15"/>
  <c r="CS587" i="15"/>
  <c r="CN590" i="15"/>
  <c r="CS590" i="15" s="1"/>
  <c r="CO703" i="15"/>
  <c r="CT703" i="15" s="1"/>
  <c r="CJ702" i="15"/>
  <c r="CJ649" i="15"/>
  <c r="CO660" i="15"/>
  <c r="CT660" i="15" s="1"/>
  <c r="CO613" i="15"/>
  <c r="CT613" i="15" s="1"/>
  <c r="CJ612" i="15"/>
  <c r="CJ683" i="15"/>
  <c r="CO684" i="15"/>
  <c r="CT684" i="15" s="1"/>
  <c r="CJ637" i="15"/>
  <c r="CK638" i="15"/>
  <c r="CO638" i="15"/>
  <c r="CT638" i="15" s="1"/>
  <c r="CN652" i="15"/>
  <c r="CT646" i="15"/>
  <c r="CO688" i="15"/>
  <c r="CT688" i="15" s="1"/>
  <c r="CJ687" i="15"/>
  <c r="CO619" i="15"/>
  <c r="CT619" i="15" s="1"/>
  <c r="CJ618" i="15"/>
  <c r="CO620" i="15"/>
  <c r="CN625" i="15"/>
  <c r="CS625" i="15" s="1"/>
  <c r="CS621" i="15"/>
  <c r="CJ608" i="15"/>
  <c r="CO609" i="15"/>
  <c r="CT609" i="15" s="1"/>
  <c r="CO610" i="15"/>
  <c r="CJ589" i="15"/>
  <c r="CO590" i="15"/>
  <c r="CS591" i="15"/>
  <c r="CT645" i="15"/>
  <c r="CT641" i="15"/>
  <c r="CK668" i="15"/>
  <c r="CO668" i="15"/>
  <c r="CT668" i="15" s="1"/>
  <c r="CJ667" i="15"/>
  <c r="CJ643" i="15"/>
  <c r="CO644" i="15"/>
  <c r="CT644" i="15" s="1"/>
  <c r="CK693" i="15"/>
  <c r="CO693" i="15"/>
  <c r="CT693" i="15" s="1"/>
  <c r="CJ692" i="15"/>
  <c r="CI664" i="15"/>
  <c r="CI665" i="15" s="1"/>
  <c r="CJ665" i="15" s="1"/>
  <c r="CJ632" i="15"/>
  <c r="CO633" i="15"/>
  <c r="CT633" i="15" s="1"/>
  <c r="CO598" i="15"/>
  <c r="CT598" i="15" s="1"/>
  <c r="CJ597" i="15"/>
  <c r="CT711" i="15"/>
  <c r="DC715" i="15"/>
  <c r="DE715" i="15" s="1"/>
  <c r="CI711" i="15"/>
  <c r="CI712" i="15" s="1"/>
  <c r="CC716" i="15"/>
  <c r="CN716" i="15" s="1"/>
  <c r="CS716" i="15" s="1"/>
  <c r="CD717" i="15"/>
  <c r="CE717" i="15"/>
  <c r="CP717" i="15" s="1"/>
  <c r="CU717" i="15" s="1"/>
  <c r="CF717" i="15"/>
  <c r="CQ717" i="15" s="1"/>
  <c r="CV717" i="15" s="1"/>
  <c r="BQ719" i="15"/>
  <c r="AH149" i="15"/>
  <c r="AJ148" i="15"/>
  <c r="AK148" i="15" s="1"/>
  <c r="AL148" i="15" s="1"/>
  <c r="AM148" i="15" s="1"/>
  <c r="AN148" i="15" s="1"/>
  <c r="BK153" i="17"/>
  <c r="BH154" i="17"/>
  <c r="BK154" i="17" s="1"/>
  <c r="AG154" i="15"/>
  <c r="AG154" i="17"/>
  <c r="CK633" i="15"/>
  <c r="CK598" i="15"/>
  <c r="CK674" i="15"/>
  <c r="CB582" i="15"/>
  <c r="CK575" i="15"/>
  <c r="CK650" i="15"/>
  <c r="BZ718" i="15"/>
  <c r="CB652" i="15"/>
  <c r="BT719" i="15"/>
  <c r="CK679" i="15"/>
  <c r="CK605" i="15"/>
  <c r="CK667" i="15"/>
  <c r="CK629" i="15"/>
  <c r="CK604" i="15"/>
  <c r="CK580" i="15"/>
  <c r="CK698" i="15"/>
  <c r="CK660" i="15"/>
  <c r="BX718" i="15"/>
  <c r="BW719" i="15"/>
  <c r="CK595" i="15"/>
  <c r="CK687" i="15"/>
  <c r="CK608" i="15"/>
  <c r="AP153" i="15"/>
  <c r="CK665" i="15"/>
  <c r="CK709" i="15"/>
  <c r="CK699" i="15"/>
  <c r="AO153" i="17"/>
  <c r="BY718" i="15"/>
  <c r="CK703" i="15"/>
  <c r="BV717" i="15"/>
  <c r="AP153" i="17"/>
  <c r="CK579" i="15"/>
  <c r="CK618" i="15"/>
  <c r="CB621" i="15"/>
  <c r="CK692" i="15"/>
  <c r="CK589" i="15"/>
  <c r="CK684" i="15"/>
  <c r="AO154" i="15"/>
  <c r="CK643" i="15"/>
  <c r="CK685" i="15"/>
  <c r="CH719" i="15"/>
  <c r="CK594" i="15"/>
  <c r="CK613" i="15"/>
  <c r="CK574" i="15"/>
  <c r="CO699" i="15" l="1"/>
  <c r="CT699" i="15" s="1"/>
  <c r="CJ708" i="15"/>
  <c r="CO708" i="15" s="1"/>
  <c r="CT708" i="15" s="1"/>
  <c r="CO678" i="15"/>
  <c r="CT678" i="15" s="1"/>
  <c r="CJ677" i="15"/>
  <c r="CK678" i="15"/>
  <c r="CK673" i="15"/>
  <c r="CJ672" i="15"/>
  <c r="CO673" i="15"/>
  <c r="CT673" i="15" s="1"/>
  <c r="CT656" i="15"/>
  <c r="CK603" i="15"/>
  <c r="CJ602" i="15"/>
  <c r="CO603" i="15"/>
  <c r="CT603" i="15" s="1"/>
  <c r="CO574" i="15"/>
  <c r="CT574" i="15" s="1"/>
  <c r="CI581" i="15"/>
  <c r="CI582" i="15" s="1"/>
  <c r="CI583" i="15" s="1"/>
  <c r="CI584" i="15" s="1"/>
  <c r="CI651" i="15"/>
  <c r="CI652" i="15" s="1"/>
  <c r="CI653" i="15" s="1"/>
  <c r="CI654" i="15" s="1"/>
  <c r="CI621" i="15"/>
  <c r="CI622" i="15" s="1"/>
  <c r="CI623" i="15" s="1"/>
  <c r="CI624" i="15" s="1"/>
  <c r="CJ682" i="15"/>
  <c r="CO683" i="15"/>
  <c r="CT683" i="15" s="1"/>
  <c r="CO649" i="15"/>
  <c r="CT649" i="15" s="1"/>
  <c r="CJ648" i="15"/>
  <c r="CJ627" i="15"/>
  <c r="CO628" i="15"/>
  <c r="CT628" i="15" s="1"/>
  <c r="CK578" i="15"/>
  <c r="CO578" i="15"/>
  <c r="CT578" i="15" s="1"/>
  <c r="CJ577" i="15"/>
  <c r="CO702" i="15"/>
  <c r="CT702" i="15" s="1"/>
  <c r="CS582" i="15"/>
  <c r="CT575" i="15"/>
  <c r="CT571" i="15"/>
  <c r="CS652" i="15"/>
  <c r="CN655" i="15"/>
  <c r="CS655" i="15" s="1"/>
  <c r="CO637" i="15"/>
  <c r="CT637" i="15" s="1"/>
  <c r="CO612" i="15"/>
  <c r="CT612" i="15" s="1"/>
  <c r="CO659" i="15"/>
  <c r="CT659" i="15" s="1"/>
  <c r="CJ572" i="15"/>
  <c r="CO572" i="15" s="1"/>
  <c r="CT572" i="15" s="1"/>
  <c r="CJ657" i="15"/>
  <c r="CO657" i="15" s="1"/>
  <c r="CT657" i="15" s="1"/>
  <c r="CO687" i="15"/>
  <c r="CT687" i="15" s="1"/>
  <c r="CT620" i="15"/>
  <c r="CT616" i="15"/>
  <c r="CJ617" i="15"/>
  <c r="CO618" i="15"/>
  <c r="CT618" i="15" s="1"/>
  <c r="CT610" i="15"/>
  <c r="CT606" i="15"/>
  <c r="CO608" i="15"/>
  <c r="CT608" i="15" s="1"/>
  <c r="CJ607" i="15"/>
  <c r="CJ593" i="15"/>
  <c r="CO594" i="15"/>
  <c r="CT594" i="15" s="1"/>
  <c r="CO692" i="15"/>
  <c r="CT692" i="15" s="1"/>
  <c r="CO643" i="15"/>
  <c r="CT643" i="15" s="1"/>
  <c r="CJ642" i="15"/>
  <c r="CO595" i="15"/>
  <c r="CJ664" i="15"/>
  <c r="CO665" i="15"/>
  <c r="CO667" i="15"/>
  <c r="CT667" i="15" s="1"/>
  <c r="CT590" i="15"/>
  <c r="CT586" i="15"/>
  <c r="CO698" i="15"/>
  <c r="CT698" i="15" s="1"/>
  <c r="CJ697" i="15"/>
  <c r="CO589" i="15"/>
  <c r="CT589" i="15" s="1"/>
  <c r="CJ588" i="15"/>
  <c r="CO632" i="15"/>
  <c r="CT632" i="15" s="1"/>
  <c r="CO597" i="15"/>
  <c r="CT597" i="15" s="1"/>
  <c r="DC716" i="15"/>
  <c r="DE716" i="15" s="1"/>
  <c r="CI713" i="15"/>
  <c r="CC717" i="15"/>
  <c r="CN717" i="15" s="1"/>
  <c r="CF718" i="15"/>
  <c r="CQ718" i="15" s="1"/>
  <c r="CV718" i="15" s="1"/>
  <c r="CD718" i="15"/>
  <c r="CE718" i="15"/>
  <c r="CP718" i="15" s="1"/>
  <c r="CU718" i="15" s="1"/>
  <c r="BQ720" i="15"/>
  <c r="AH152" i="15"/>
  <c r="AJ151" i="15"/>
  <c r="AK151" i="15" s="1"/>
  <c r="AL151" i="15" s="1"/>
  <c r="AM151" i="15" s="1"/>
  <c r="AN151" i="15" s="1"/>
  <c r="AJ149" i="15"/>
  <c r="AK149" i="15" s="1"/>
  <c r="AL149" i="15" s="1"/>
  <c r="AM149" i="15" s="1"/>
  <c r="AN149" i="15" s="1"/>
  <c r="AM150" i="15"/>
  <c r="AN150" i="15" s="1"/>
  <c r="AG155" i="17"/>
  <c r="AG155" i="15"/>
  <c r="AP154" i="17"/>
  <c r="CK607" i="15"/>
  <c r="CK642" i="15"/>
  <c r="CK708" i="15"/>
  <c r="CK573" i="15"/>
  <c r="BZ719" i="15"/>
  <c r="CN585" i="15"/>
  <c r="CK628" i="15"/>
  <c r="CH720" i="15"/>
  <c r="BY719" i="15"/>
  <c r="CK683" i="15"/>
  <c r="AP154" i="15"/>
  <c r="CK632" i="15"/>
  <c r="CK572" i="15"/>
  <c r="AI157" i="15"/>
  <c r="AI155" i="15"/>
  <c r="AI159" i="15"/>
  <c r="CK659" i="15"/>
  <c r="BW720" i="15"/>
  <c r="CK657" i="15"/>
  <c r="CK597" i="15"/>
  <c r="CK658" i="15"/>
  <c r="AO155" i="15"/>
  <c r="BV718" i="15"/>
  <c r="CB716" i="15"/>
  <c r="CK637" i="15"/>
  <c r="CK612" i="15"/>
  <c r="CK593" i="15"/>
  <c r="CK702" i="15"/>
  <c r="BX719" i="15"/>
  <c r="AI158" i="15"/>
  <c r="CK664" i="15"/>
  <c r="AI156" i="15"/>
  <c r="CK649" i="15"/>
  <c r="AO154" i="17"/>
  <c r="CK697" i="15"/>
  <c r="BT720" i="15"/>
  <c r="CK588" i="15"/>
  <c r="CK617" i="15"/>
  <c r="CJ707" i="15" l="1"/>
  <c r="CO707" i="15" s="1"/>
  <c r="CT707" i="15" s="1"/>
  <c r="CO677" i="15"/>
  <c r="CT677" i="15" s="1"/>
  <c r="CO672" i="15"/>
  <c r="CT672" i="15" s="1"/>
  <c r="CO602" i="15"/>
  <c r="CT602" i="15" s="1"/>
  <c r="CS585" i="15"/>
  <c r="CT581" i="15"/>
  <c r="CO577" i="15"/>
  <c r="CT577" i="15" s="1"/>
  <c r="CO627" i="15"/>
  <c r="CT627" i="15" s="1"/>
  <c r="CI625" i="15"/>
  <c r="CJ625" i="15" s="1"/>
  <c r="CJ624" i="15" s="1"/>
  <c r="CI655" i="15"/>
  <c r="CJ655" i="15" s="1"/>
  <c r="CO648" i="15"/>
  <c r="CT648" i="15" s="1"/>
  <c r="CJ647" i="15"/>
  <c r="CO682" i="15"/>
  <c r="CT682" i="15" s="1"/>
  <c r="CI585" i="15"/>
  <c r="CJ585" i="15" s="1"/>
  <c r="CJ584" i="15" s="1"/>
  <c r="CJ583" i="15" s="1"/>
  <c r="CO617" i="15"/>
  <c r="CT617" i="15" s="1"/>
  <c r="CO607" i="15"/>
  <c r="CT607" i="15" s="1"/>
  <c r="CO664" i="15"/>
  <c r="CT664" i="15" s="1"/>
  <c r="CJ663" i="15"/>
  <c r="CT665" i="15"/>
  <c r="CT661" i="15"/>
  <c r="CO588" i="15"/>
  <c r="CT588" i="15" s="1"/>
  <c r="CJ587" i="15"/>
  <c r="CT595" i="15"/>
  <c r="CT591" i="15"/>
  <c r="CO697" i="15"/>
  <c r="CT697" i="15" s="1"/>
  <c r="CO642" i="15"/>
  <c r="CT642" i="15" s="1"/>
  <c r="CO593" i="15"/>
  <c r="CT593" i="15" s="1"/>
  <c r="CJ592" i="15"/>
  <c r="CS717" i="15"/>
  <c r="DC717" i="15"/>
  <c r="DE717" i="15" s="1"/>
  <c r="CI714" i="15"/>
  <c r="CC718" i="15"/>
  <c r="CN718" i="15" s="1"/>
  <c r="CS718" i="15" s="1"/>
  <c r="CF719" i="15"/>
  <c r="CQ719" i="15" s="1"/>
  <c r="CV719" i="15" s="1"/>
  <c r="CE719" i="15"/>
  <c r="CP719" i="15" s="1"/>
  <c r="CU719" i="15" s="1"/>
  <c r="CD719" i="15"/>
  <c r="BQ721" i="15"/>
  <c r="AG156" i="17"/>
  <c r="AG156" i="15"/>
  <c r="CK677" i="15"/>
  <c r="AI157" i="17"/>
  <c r="BW721" i="15"/>
  <c r="CK577" i="15"/>
  <c r="CK587" i="15"/>
  <c r="BV719" i="15"/>
  <c r="CK682" i="15"/>
  <c r="AH155" i="17"/>
  <c r="AI159" i="17"/>
  <c r="CK663" i="15"/>
  <c r="CK672" i="15"/>
  <c r="CK648" i="15"/>
  <c r="BY720" i="15"/>
  <c r="AI158" i="17"/>
  <c r="AI155" i="17"/>
  <c r="BX720" i="15"/>
  <c r="AI156" i="17"/>
  <c r="CK627" i="15"/>
  <c r="AO156" i="15"/>
  <c r="CK707" i="15"/>
  <c r="CB717" i="15"/>
  <c r="AO155" i="17"/>
  <c r="CK602" i="15"/>
  <c r="BT721" i="15"/>
  <c r="BZ720" i="15"/>
  <c r="AH155" i="15"/>
  <c r="AP155" i="15"/>
  <c r="AP155" i="17"/>
  <c r="CK592" i="15"/>
  <c r="CO583" i="15" l="1"/>
  <c r="CT583" i="15" s="1"/>
  <c r="CJ582" i="15"/>
  <c r="CO582" i="15" s="1"/>
  <c r="CT582" i="15" s="1"/>
  <c r="CO655" i="15"/>
  <c r="CO625" i="15"/>
  <c r="CO585" i="15"/>
  <c r="CT585" i="15" s="1"/>
  <c r="CJ654" i="15"/>
  <c r="CO584" i="15"/>
  <c r="CT584" i="15" s="1"/>
  <c r="CO647" i="15"/>
  <c r="CT647" i="15" s="1"/>
  <c r="CJ623" i="15"/>
  <c r="CO624" i="15"/>
  <c r="CT624" i="15" s="1"/>
  <c r="CO592" i="15"/>
  <c r="CT592" i="15" s="1"/>
  <c r="CO587" i="15"/>
  <c r="CT587" i="15" s="1"/>
  <c r="CO663" i="15"/>
  <c r="CT663" i="15" s="1"/>
  <c r="CJ662" i="15"/>
  <c r="DC718" i="15"/>
  <c r="DE718" i="15" s="1"/>
  <c r="CI715" i="15"/>
  <c r="CJ715" i="15" s="1"/>
  <c r="CJ714" i="15" s="1"/>
  <c r="CC719" i="15"/>
  <c r="CN719" i="15" s="1"/>
  <c r="CF720" i="15"/>
  <c r="CQ720" i="15" s="1"/>
  <c r="CV720" i="15" s="1"/>
  <c r="CD720" i="15"/>
  <c r="CE720" i="15"/>
  <c r="CP720" i="15" s="1"/>
  <c r="CU720" i="15" s="1"/>
  <c r="BQ722" i="15"/>
  <c r="AH153" i="15"/>
  <c r="AJ152" i="15"/>
  <c r="AK152" i="15" s="1"/>
  <c r="AL152" i="15" s="1"/>
  <c r="AM152" i="15" s="1"/>
  <c r="AN152" i="15" s="1"/>
  <c r="AH158" i="17"/>
  <c r="AL157" i="17"/>
  <c r="AM157" i="17" s="1"/>
  <c r="AN157" i="17" s="1"/>
  <c r="AH157" i="17"/>
  <c r="AL156" i="17"/>
  <c r="AM156" i="17" s="1"/>
  <c r="AN156" i="17" s="1"/>
  <c r="AH159" i="17"/>
  <c r="AL158" i="17"/>
  <c r="AM158" i="17" s="1"/>
  <c r="AN158" i="17" s="1"/>
  <c r="AL159" i="17"/>
  <c r="AM159" i="17" s="1"/>
  <c r="AN159" i="17" s="1"/>
  <c r="AH156" i="17"/>
  <c r="AL155" i="17"/>
  <c r="AM155" i="17" s="1"/>
  <c r="AG157" i="15"/>
  <c r="AG157" i="17"/>
  <c r="CK655" i="15"/>
  <c r="CK585" i="15"/>
  <c r="BV720" i="15"/>
  <c r="CK721" i="15"/>
  <c r="CK647" i="15"/>
  <c r="AO156" i="17"/>
  <c r="CH722" i="15"/>
  <c r="CK583" i="15"/>
  <c r="BX721" i="15"/>
  <c r="BW722" i="15"/>
  <c r="CH721" i="15"/>
  <c r="CB718" i="15"/>
  <c r="AP156" i="17"/>
  <c r="CK625" i="15"/>
  <c r="CK624" i="15"/>
  <c r="BT722" i="15"/>
  <c r="BY721" i="15"/>
  <c r="AO157" i="15"/>
  <c r="AP156" i="15"/>
  <c r="BZ721" i="15"/>
  <c r="CK584" i="15"/>
  <c r="CK662" i="15"/>
  <c r="CJ622" i="15" l="1"/>
  <c r="CO623" i="15"/>
  <c r="CT623" i="15" s="1"/>
  <c r="CO654" i="15"/>
  <c r="CT654" i="15" s="1"/>
  <c r="CJ653" i="15"/>
  <c r="CT625" i="15"/>
  <c r="CT621" i="15"/>
  <c r="CT655" i="15"/>
  <c r="CT651" i="15"/>
  <c r="CO662" i="15"/>
  <c r="CT662" i="15" s="1"/>
  <c r="DC719" i="15"/>
  <c r="DE719" i="15" s="1"/>
  <c r="CS719" i="15"/>
  <c r="CO714" i="15"/>
  <c r="CT714" i="15" s="1"/>
  <c r="CJ713" i="15"/>
  <c r="CO715" i="15"/>
  <c r="CT715" i="15" s="1"/>
  <c r="CC720" i="15"/>
  <c r="CN720" i="15" s="1"/>
  <c r="CS720" i="15" s="1"/>
  <c r="CE721" i="15"/>
  <c r="CP721" i="15" s="1"/>
  <c r="CU721" i="15" s="1"/>
  <c r="CD721" i="15"/>
  <c r="CO721" i="15" s="1"/>
  <c r="CF721" i="15"/>
  <c r="CQ721" i="15" s="1"/>
  <c r="CV721" i="15" s="1"/>
  <c r="BQ723" i="15"/>
  <c r="AJ155" i="15"/>
  <c r="AK155" i="15" s="1"/>
  <c r="AL155" i="15" s="1"/>
  <c r="AH156" i="15"/>
  <c r="AK156" i="15" s="1"/>
  <c r="AL156" i="15" s="1"/>
  <c r="AG158" i="17"/>
  <c r="AN155" i="17"/>
  <c r="AG158" i="15"/>
  <c r="CK582" i="15"/>
  <c r="BT723" i="15"/>
  <c r="CK654" i="15"/>
  <c r="BW723" i="15"/>
  <c r="AO157" i="17"/>
  <c r="CH723" i="15"/>
  <c r="CK714" i="15"/>
  <c r="AP157" i="17"/>
  <c r="CB720" i="15"/>
  <c r="AP157" i="15"/>
  <c r="BX722" i="15"/>
  <c r="CK623" i="15"/>
  <c r="BV721" i="15"/>
  <c r="BZ722" i="15"/>
  <c r="CK715" i="15"/>
  <c r="BY722" i="15"/>
  <c r="CB719" i="15"/>
  <c r="AO158" i="15"/>
  <c r="CO622" i="15" l="1"/>
  <c r="CT622" i="15" s="1"/>
  <c r="CO653" i="15"/>
  <c r="CT653" i="15" s="1"/>
  <c r="CJ652" i="15"/>
  <c r="DC720" i="15"/>
  <c r="DE720" i="15" s="1"/>
  <c r="CI716" i="15"/>
  <c r="CI717" i="15" s="1"/>
  <c r="CO713" i="15"/>
  <c r="CT713" i="15" s="1"/>
  <c r="CJ712" i="15"/>
  <c r="CC721" i="15"/>
  <c r="CN721" i="15" s="1"/>
  <c r="CS721" i="15" s="1"/>
  <c r="CD722" i="15"/>
  <c r="CF722" i="15"/>
  <c r="CQ722" i="15" s="1"/>
  <c r="CV722" i="15" s="1"/>
  <c r="CE722" i="15"/>
  <c r="CP722" i="15" s="1"/>
  <c r="CU722" i="15" s="1"/>
  <c r="BQ724" i="15"/>
  <c r="AH154" i="15"/>
  <c r="AJ153" i="15"/>
  <c r="AK153" i="15" s="1"/>
  <c r="AL153" i="15" s="1"/>
  <c r="AM153" i="15" s="1"/>
  <c r="AN153" i="15" s="1"/>
  <c r="AG159" i="15"/>
  <c r="AG159" i="17"/>
  <c r="CK622" i="15"/>
  <c r="BX723" i="15"/>
  <c r="BY723" i="15"/>
  <c r="AO158" i="17"/>
  <c r="BV722" i="15"/>
  <c r="AP158" i="17"/>
  <c r="BZ723" i="15"/>
  <c r="AO159" i="15"/>
  <c r="AP158" i="15"/>
  <c r="CK653" i="15"/>
  <c r="BT724" i="15"/>
  <c r="CK713" i="15"/>
  <c r="BW724" i="15"/>
  <c r="CH724" i="15"/>
  <c r="CO652" i="15" l="1"/>
  <c r="CT652" i="15" s="1"/>
  <c r="DC721" i="15"/>
  <c r="DE721" i="15" s="1"/>
  <c r="CO712" i="15"/>
  <c r="CT712" i="15" s="1"/>
  <c r="CI718" i="15"/>
  <c r="CC722" i="15"/>
  <c r="CN722" i="15" s="1"/>
  <c r="CE723" i="15"/>
  <c r="CP723" i="15" s="1"/>
  <c r="CU723" i="15" s="1"/>
  <c r="CF723" i="15"/>
  <c r="CQ723" i="15" s="1"/>
  <c r="CV723" i="15" s="1"/>
  <c r="CD723" i="15"/>
  <c r="BQ725" i="15"/>
  <c r="AJ154" i="15"/>
  <c r="AK154" i="15" s="1"/>
  <c r="AL154" i="15" s="1"/>
  <c r="AM154" i="15" s="1"/>
  <c r="AN154" i="15" s="1"/>
  <c r="AM155" i="15"/>
  <c r="AN155" i="15" s="1"/>
  <c r="AH157" i="15"/>
  <c r="AK157" i="15" s="1"/>
  <c r="AL157" i="15" s="1"/>
  <c r="AM156" i="15"/>
  <c r="AN156" i="15" s="1"/>
  <c r="AJ156" i="15"/>
  <c r="AG160" i="17"/>
  <c r="AG160" i="15"/>
  <c r="CK712" i="15"/>
  <c r="CH725" i="15"/>
  <c r="AO159" i="17"/>
  <c r="AP159" i="15"/>
  <c r="CB721" i="15"/>
  <c r="BZ724" i="15"/>
  <c r="AI160" i="15"/>
  <c r="BX724" i="15"/>
  <c r="AP159" i="17"/>
  <c r="BV723" i="15"/>
  <c r="BW725" i="15"/>
  <c r="AI164" i="15"/>
  <c r="BY724" i="15"/>
  <c r="AO160" i="15"/>
  <c r="CK652" i="15"/>
  <c r="CS722" i="15" l="1"/>
  <c r="DC722" i="15"/>
  <c r="DE722" i="15" s="1"/>
  <c r="CI719" i="15"/>
  <c r="CC723" i="15"/>
  <c r="CN723" i="15" s="1"/>
  <c r="CS723" i="15" s="1"/>
  <c r="CE724" i="15"/>
  <c r="CP724" i="15" s="1"/>
  <c r="CU724" i="15" s="1"/>
  <c r="CF724" i="15"/>
  <c r="CQ724" i="15" s="1"/>
  <c r="CV724" i="15" s="1"/>
  <c r="CD724" i="15"/>
  <c r="BQ726" i="15"/>
  <c r="AG161" i="17"/>
  <c r="AG161" i="15"/>
  <c r="BT725" i="15"/>
  <c r="AI162" i="15"/>
  <c r="BT726" i="15"/>
  <c r="AP160" i="17"/>
  <c r="AO160" i="17"/>
  <c r="BZ725" i="15"/>
  <c r="AI164" i="17"/>
  <c r="AI161" i="15"/>
  <c r="CH726" i="15"/>
  <c r="CK726" i="15"/>
  <c r="AH160" i="15"/>
  <c r="BW726" i="15"/>
  <c r="CB722" i="15"/>
  <c r="AI160" i="17"/>
  <c r="AI163" i="15"/>
  <c r="BV724" i="15"/>
  <c r="AI163" i="17"/>
  <c r="AP160" i="15"/>
  <c r="AH160" i="17"/>
  <c r="BY725" i="15"/>
  <c r="AI161" i="17"/>
  <c r="AI162" i="17"/>
  <c r="BX725" i="15"/>
  <c r="AO161" i="15"/>
  <c r="DC723" i="15" l="1"/>
  <c r="DE723" i="15" s="1"/>
  <c r="CI720" i="15"/>
  <c r="CJ720" i="15" s="1"/>
  <c r="CC724" i="15"/>
  <c r="CN724" i="15" s="1"/>
  <c r="CD725" i="15"/>
  <c r="CE725" i="15"/>
  <c r="CP725" i="15" s="1"/>
  <c r="CU725" i="15" s="1"/>
  <c r="CF725" i="15"/>
  <c r="CQ725" i="15" s="1"/>
  <c r="CV725" i="15" s="1"/>
  <c r="BQ727" i="15"/>
  <c r="AH158" i="15"/>
  <c r="AK158" i="15" s="1"/>
  <c r="AL158" i="15" s="1"/>
  <c r="AM157" i="15"/>
  <c r="AN157" i="15" s="1"/>
  <c r="AJ157" i="15"/>
  <c r="AL160" i="17"/>
  <c r="AM160" i="17" s="1"/>
  <c r="AH161" i="17"/>
  <c r="AL164" i="17"/>
  <c r="AM164" i="17" s="1"/>
  <c r="AN164" i="17" s="1"/>
  <c r="AH162" i="17"/>
  <c r="AL161" i="17"/>
  <c r="AM161" i="17" s="1"/>
  <c r="AN161" i="17" s="1"/>
  <c r="AH163" i="17"/>
  <c r="AL162" i="17"/>
  <c r="AM162" i="17" s="1"/>
  <c r="AN162" i="17" s="1"/>
  <c r="AL163" i="17"/>
  <c r="AM163" i="17" s="1"/>
  <c r="AN163" i="17" s="1"/>
  <c r="AH164" i="17"/>
  <c r="AG162" i="17"/>
  <c r="AG162" i="15"/>
  <c r="BY726" i="15"/>
  <c r="BZ726" i="15"/>
  <c r="CB723" i="15"/>
  <c r="AP161" i="15"/>
  <c r="BW727" i="15"/>
  <c r="CH727" i="15"/>
  <c r="AO161" i="17"/>
  <c r="BT727" i="15"/>
  <c r="BX726" i="15"/>
  <c r="BV725" i="15"/>
  <c r="AP161" i="17"/>
  <c r="AO162" i="15"/>
  <c r="DC724" i="15" l="1"/>
  <c r="DE724" i="15" s="1"/>
  <c r="CS724" i="15"/>
  <c r="CO720" i="15"/>
  <c r="CJ719" i="15"/>
  <c r="CC725" i="15"/>
  <c r="CN725" i="15" s="1"/>
  <c r="CS725" i="15" s="1"/>
  <c r="CF726" i="15"/>
  <c r="CQ726" i="15" s="1"/>
  <c r="CV726" i="15" s="1"/>
  <c r="CD726" i="15"/>
  <c r="CO726" i="15" s="1"/>
  <c r="CE726" i="15"/>
  <c r="CP726" i="15" s="1"/>
  <c r="CU726" i="15" s="1"/>
  <c r="BQ728" i="15"/>
  <c r="AJ160" i="15"/>
  <c r="AK160" i="15" s="1"/>
  <c r="AL160" i="15" s="1"/>
  <c r="AH161" i="15"/>
  <c r="AK161" i="15" s="1"/>
  <c r="AL161" i="15" s="1"/>
  <c r="AG163" i="15"/>
  <c r="AG163" i="17"/>
  <c r="AN160" i="17"/>
  <c r="BY727" i="15"/>
  <c r="BZ727" i="15"/>
  <c r="BT728" i="15"/>
  <c r="AP162" i="17"/>
  <c r="BV726" i="15"/>
  <c r="AP162" i="15"/>
  <c r="CK720" i="15"/>
  <c r="CH728" i="15"/>
  <c r="CB724" i="15"/>
  <c r="BW728" i="15"/>
  <c r="CB725" i="15"/>
  <c r="BX727" i="15"/>
  <c r="AO162" i="17"/>
  <c r="AO163" i="15"/>
  <c r="CT720" i="15" l="1"/>
  <c r="CT716" i="15"/>
  <c r="DC725" i="15"/>
  <c r="DE725" i="15" s="1"/>
  <c r="CI721" i="15"/>
  <c r="CI722" i="15" s="1"/>
  <c r="CO719" i="15"/>
  <c r="CT719" i="15" s="1"/>
  <c r="CJ718" i="15"/>
  <c r="CC726" i="15"/>
  <c r="CN726" i="15" s="1"/>
  <c r="CS726" i="15" s="1"/>
  <c r="CF727" i="15"/>
  <c r="CQ727" i="15" s="1"/>
  <c r="CV727" i="15" s="1"/>
  <c r="CE727" i="15"/>
  <c r="CP727" i="15" s="1"/>
  <c r="CU727" i="15" s="1"/>
  <c r="CD727" i="15"/>
  <c r="BQ729" i="15"/>
  <c r="AM158" i="15"/>
  <c r="AN158" i="15" s="1"/>
  <c r="AH159" i="15"/>
  <c r="AK159" i="15" s="1"/>
  <c r="AL159" i="15" s="1"/>
  <c r="AJ158" i="15"/>
  <c r="AG164" i="17"/>
  <c r="AG164" i="15"/>
  <c r="AP163" i="17"/>
  <c r="BY728" i="15"/>
  <c r="BZ728" i="15"/>
  <c r="BX728" i="15"/>
  <c r="BV727" i="15"/>
  <c r="BT729" i="15"/>
  <c r="AO164" i="15"/>
  <c r="AP163" i="15"/>
  <c r="AO163" i="17"/>
  <c r="BW729" i="15"/>
  <c r="CK719" i="15"/>
  <c r="CH729" i="15"/>
  <c r="DC726" i="15" l="1"/>
  <c r="DE726" i="15" s="1"/>
  <c r="CO718" i="15"/>
  <c r="CT718" i="15" s="1"/>
  <c r="CJ717" i="15"/>
  <c r="CI723" i="15"/>
  <c r="CC727" i="15"/>
  <c r="CN727" i="15" s="1"/>
  <c r="CF728" i="15"/>
  <c r="CQ728" i="15" s="1"/>
  <c r="CV728" i="15" s="1"/>
  <c r="CD728" i="15"/>
  <c r="CE728" i="15"/>
  <c r="CP728" i="15" s="1"/>
  <c r="CU728" i="15" s="1"/>
  <c r="BQ730" i="15"/>
  <c r="AM161" i="15"/>
  <c r="AN161" i="15" s="1"/>
  <c r="AH162" i="15"/>
  <c r="AK162" i="15" s="1"/>
  <c r="AL162" i="15" s="1"/>
  <c r="AJ161" i="15"/>
  <c r="AM159" i="15"/>
  <c r="AN159" i="15" s="1"/>
  <c r="AJ159" i="15"/>
  <c r="AM160" i="15"/>
  <c r="AN160" i="15" s="1"/>
  <c r="AG165" i="15"/>
  <c r="AG165" i="17"/>
  <c r="CB726" i="15"/>
  <c r="AO164" i="17"/>
  <c r="BX729" i="15"/>
  <c r="BY729" i="15"/>
  <c r="BV728" i="15"/>
  <c r="AI165" i="15"/>
  <c r="AP164" i="15"/>
  <c r="CH730" i="15"/>
  <c r="BW730" i="15"/>
  <c r="CK718" i="15"/>
  <c r="AI167" i="15"/>
  <c r="AI169" i="15"/>
  <c r="BT730" i="15"/>
  <c r="AO165" i="15"/>
  <c r="BZ729" i="15"/>
  <c r="AP164" i="17"/>
  <c r="AI166" i="15"/>
  <c r="AI168" i="15"/>
  <c r="CS727" i="15" l="1"/>
  <c r="DC727" i="15"/>
  <c r="DE727" i="15" s="1"/>
  <c r="CO717" i="15"/>
  <c r="CT717" i="15" s="1"/>
  <c r="CI724" i="15"/>
  <c r="CC728" i="15"/>
  <c r="CN728" i="15" s="1"/>
  <c r="CS728" i="15" s="1"/>
  <c r="CD729" i="15"/>
  <c r="CE729" i="15"/>
  <c r="CP729" i="15" s="1"/>
  <c r="CU729" i="15" s="1"/>
  <c r="CF729" i="15"/>
  <c r="CQ729" i="15" s="1"/>
  <c r="CV729" i="15" s="1"/>
  <c r="BQ731" i="15"/>
  <c r="AG166" i="17"/>
  <c r="AG166" i="15"/>
  <c r="AH165" i="15"/>
  <c r="BW731" i="15"/>
  <c r="AP165" i="15"/>
  <c r="BT731" i="15"/>
  <c r="AI165" i="17"/>
  <c r="AO166" i="15"/>
  <c r="CK731" i="15"/>
  <c r="BZ730" i="15"/>
  <c r="AI168" i="17"/>
  <c r="CB727" i="15"/>
  <c r="AI166" i="17"/>
  <c r="AI169" i="17"/>
  <c r="BV729" i="15"/>
  <c r="BX730" i="15"/>
  <c r="AO165" i="17"/>
  <c r="BY730" i="15"/>
  <c r="CK717" i="15"/>
  <c r="AP165" i="17"/>
  <c r="AH165" i="17"/>
  <c r="AI167" i="17"/>
  <c r="DC728" i="15" l="1"/>
  <c r="DE728" i="15" s="1"/>
  <c r="CI725" i="15"/>
  <c r="CJ725" i="15" s="1"/>
  <c r="CJ724" i="15" s="1"/>
  <c r="CC729" i="15"/>
  <c r="CN729" i="15" s="1"/>
  <c r="CD730" i="15"/>
  <c r="CF730" i="15"/>
  <c r="CQ730" i="15" s="1"/>
  <c r="CV730" i="15" s="1"/>
  <c r="CE730" i="15"/>
  <c r="CP730" i="15" s="1"/>
  <c r="CU730" i="15" s="1"/>
  <c r="BQ732" i="15"/>
  <c r="AM162" i="15"/>
  <c r="AN162" i="15" s="1"/>
  <c r="AH163" i="15"/>
  <c r="AK163" i="15" s="1"/>
  <c r="AL163" i="15" s="1"/>
  <c r="AJ162" i="15"/>
  <c r="AL165" i="17"/>
  <c r="AM165" i="17" s="1"/>
  <c r="AN165" i="17" s="1"/>
  <c r="AH166" i="17"/>
  <c r="AL166" i="17"/>
  <c r="AM166" i="17" s="1"/>
  <c r="AN166" i="17" s="1"/>
  <c r="AH167" i="17"/>
  <c r="AL167" i="17"/>
  <c r="AM167" i="17" s="1"/>
  <c r="AN167" i="17" s="1"/>
  <c r="AH168" i="17"/>
  <c r="AL168" i="17"/>
  <c r="AM168" i="17" s="1"/>
  <c r="AN168" i="17" s="1"/>
  <c r="AH169" i="17"/>
  <c r="AL169" i="17"/>
  <c r="AM169" i="17" s="1"/>
  <c r="AN169" i="17" s="1"/>
  <c r="AG167" i="15"/>
  <c r="AG167" i="17"/>
  <c r="CB728" i="15"/>
  <c r="BZ731" i="15"/>
  <c r="AP166" i="15"/>
  <c r="AO167" i="15"/>
  <c r="BX731" i="15"/>
  <c r="AP166" i="17"/>
  <c r="BY731" i="15"/>
  <c r="CH732" i="15"/>
  <c r="CH731" i="15"/>
  <c r="BT732" i="15"/>
  <c r="BW732" i="15"/>
  <c r="AO166" i="17"/>
  <c r="BV730" i="15"/>
  <c r="DC729" i="15" l="1"/>
  <c r="DE729" i="15" s="1"/>
  <c r="CS729" i="15"/>
  <c r="CO724" i="15"/>
  <c r="CT724" i="15" s="1"/>
  <c r="CJ723" i="15"/>
  <c r="CO725" i="15"/>
  <c r="CC730" i="15"/>
  <c r="CN730" i="15" s="1"/>
  <c r="CS730" i="15" s="1"/>
  <c r="CE731" i="15"/>
  <c r="CP731" i="15" s="1"/>
  <c r="CU731" i="15" s="1"/>
  <c r="CF731" i="15"/>
  <c r="CQ731" i="15" s="1"/>
  <c r="CV731" i="15" s="1"/>
  <c r="CD731" i="15"/>
  <c r="CO731" i="15" s="1"/>
  <c r="BQ733" i="15"/>
  <c r="AJ165" i="15"/>
  <c r="AK165" i="15" s="1"/>
  <c r="AL165" i="15" s="1"/>
  <c r="AH166" i="15"/>
  <c r="AG168" i="17"/>
  <c r="AG168" i="15"/>
  <c r="AP167" i="17"/>
  <c r="AO168" i="15"/>
  <c r="BT733" i="15"/>
  <c r="BY732" i="15"/>
  <c r="BZ732" i="15"/>
  <c r="BW733" i="15"/>
  <c r="CK725" i="15"/>
  <c r="AP167" i="15"/>
  <c r="BV731" i="15"/>
  <c r="AO167" i="17"/>
  <c r="BX732" i="15"/>
  <c r="CB729" i="15"/>
  <c r="CK724" i="15"/>
  <c r="CT725" i="15" l="1"/>
  <c r="CT721" i="15"/>
  <c r="DC730" i="15"/>
  <c r="DE730" i="15" s="1"/>
  <c r="CO723" i="15"/>
  <c r="CT723" i="15" s="1"/>
  <c r="CJ722" i="15"/>
  <c r="CC731" i="15"/>
  <c r="CN731" i="15" s="1"/>
  <c r="CS731" i="15" s="1"/>
  <c r="CE732" i="15"/>
  <c r="CP732" i="15" s="1"/>
  <c r="CU732" i="15" s="1"/>
  <c r="CF732" i="15"/>
  <c r="CQ732" i="15" s="1"/>
  <c r="CV732" i="15" s="1"/>
  <c r="CD732" i="15"/>
  <c r="BQ734" i="15"/>
  <c r="AH164" i="15"/>
  <c r="AK164" i="15" s="1"/>
  <c r="AL164" i="15" s="1"/>
  <c r="AM163" i="15"/>
  <c r="AN163" i="15" s="1"/>
  <c r="AJ163" i="15"/>
  <c r="AG169" i="15"/>
  <c r="AG169" i="17"/>
  <c r="BY733" i="15"/>
  <c r="AP168" i="17"/>
  <c r="CK723" i="15"/>
  <c r="BZ733" i="15"/>
  <c r="AP168" i="15"/>
  <c r="CB730" i="15"/>
  <c r="BT734" i="15"/>
  <c r="AO169" i="15"/>
  <c r="BX733" i="15"/>
  <c r="CH733" i="15"/>
  <c r="BW734" i="15"/>
  <c r="BV732" i="15"/>
  <c r="AO168" i="17"/>
  <c r="CH734" i="15"/>
  <c r="CI726" i="15" l="1"/>
  <c r="CI727" i="15" s="1"/>
  <c r="DC731" i="15"/>
  <c r="DE731" i="15" s="1"/>
  <c r="CO722" i="15"/>
  <c r="CT722" i="15" s="1"/>
  <c r="CI728" i="15"/>
  <c r="CC732" i="15"/>
  <c r="CN732" i="15" s="1"/>
  <c r="CD733" i="15"/>
  <c r="CE733" i="15"/>
  <c r="CP733" i="15" s="1"/>
  <c r="CU733" i="15" s="1"/>
  <c r="CF733" i="15"/>
  <c r="CQ733" i="15" s="1"/>
  <c r="CV733" i="15" s="1"/>
  <c r="BQ735" i="15"/>
  <c r="AH167" i="15"/>
  <c r="AJ166" i="15"/>
  <c r="AK166" i="15" s="1"/>
  <c r="AL166" i="15" s="1"/>
  <c r="AM166" i="15" s="1"/>
  <c r="AN166" i="15" s="1"/>
  <c r="AJ164" i="15"/>
  <c r="AM164" i="15"/>
  <c r="AN164" i="15" s="1"/>
  <c r="AM165" i="15"/>
  <c r="AN165" i="15" s="1"/>
  <c r="AG170" i="17"/>
  <c r="AG170" i="15"/>
  <c r="BZ734" i="15"/>
  <c r="BX734" i="15"/>
  <c r="AI173" i="15"/>
  <c r="BY734" i="15"/>
  <c r="CH735" i="15"/>
  <c r="CB731" i="15"/>
  <c r="AI172" i="15"/>
  <c r="AI174" i="15"/>
  <c r="CB732" i="15"/>
  <c r="CK722" i="15"/>
  <c r="AO169" i="17"/>
  <c r="BT735" i="15"/>
  <c r="BV733" i="15"/>
  <c r="AP169" i="15"/>
  <c r="AP169" i="17"/>
  <c r="AO170" i="15"/>
  <c r="AI170" i="15"/>
  <c r="BW735" i="15"/>
  <c r="AI171" i="15"/>
  <c r="CS732" i="15" l="1"/>
  <c r="DC732" i="15"/>
  <c r="DE732" i="15" s="1"/>
  <c r="CI729" i="15"/>
  <c r="CC733" i="15"/>
  <c r="CN733" i="15" s="1"/>
  <c r="CS733" i="15" s="1"/>
  <c r="CF734" i="15"/>
  <c r="CQ734" i="15" s="1"/>
  <c r="CV734" i="15" s="1"/>
  <c r="CD734" i="15"/>
  <c r="CE734" i="15"/>
  <c r="CP734" i="15" s="1"/>
  <c r="CU734" i="15" s="1"/>
  <c r="BQ736" i="15"/>
  <c r="AG171" i="15"/>
  <c r="AG171" i="17"/>
  <c r="BY735" i="15"/>
  <c r="AI173" i="17"/>
  <c r="AO171" i="15"/>
  <c r="AP170" i="17"/>
  <c r="CB733" i="15"/>
  <c r="AH170" i="15"/>
  <c r="BZ735" i="15"/>
  <c r="BX735" i="15"/>
  <c r="AI171" i="17"/>
  <c r="BV734" i="15"/>
  <c r="AI172" i="17"/>
  <c r="AO170" i="17"/>
  <c r="AI174" i="17"/>
  <c r="AI170" i="17"/>
  <c r="AH170" i="17"/>
  <c r="AP170" i="15"/>
  <c r="BW736" i="15"/>
  <c r="CH736" i="15"/>
  <c r="BT736" i="15"/>
  <c r="DC733" i="15" l="1"/>
  <c r="DE733" i="15" s="1"/>
  <c r="CI730" i="15"/>
  <c r="CJ730" i="15" s="1"/>
  <c r="CC734" i="15"/>
  <c r="CN734" i="15" s="1"/>
  <c r="CF735" i="15"/>
  <c r="CQ735" i="15" s="1"/>
  <c r="CV735" i="15" s="1"/>
  <c r="CE735" i="15"/>
  <c r="CP735" i="15" s="1"/>
  <c r="CU735" i="15" s="1"/>
  <c r="CD735" i="15"/>
  <c r="BQ737" i="15"/>
  <c r="AH168" i="15"/>
  <c r="AJ167" i="15"/>
  <c r="AK167" i="15" s="1"/>
  <c r="AL167" i="15" s="1"/>
  <c r="AM167" i="15" s="1"/>
  <c r="AN167" i="15" s="1"/>
  <c r="AL173" i="17"/>
  <c r="AM173" i="17" s="1"/>
  <c r="AN173" i="17" s="1"/>
  <c r="AH174" i="17"/>
  <c r="AL172" i="17"/>
  <c r="AM172" i="17" s="1"/>
  <c r="AN172" i="17" s="1"/>
  <c r="AH173" i="17"/>
  <c r="AL170" i="17"/>
  <c r="AM170" i="17" s="1"/>
  <c r="AN170" i="17" s="1"/>
  <c r="AH171" i="17"/>
  <c r="AL174" i="17"/>
  <c r="AM174" i="17" s="1"/>
  <c r="AN174" i="17" s="1"/>
  <c r="AL171" i="17"/>
  <c r="AM171" i="17" s="1"/>
  <c r="AN171" i="17" s="1"/>
  <c r="AH172" i="17"/>
  <c r="AG172" i="17"/>
  <c r="AG172" i="15"/>
  <c r="AP171" i="17"/>
  <c r="AP171" i="15"/>
  <c r="BZ736" i="15"/>
  <c r="BY736" i="15"/>
  <c r="CK736" i="15"/>
  <c r="BT737" i="15"/>
  <c r="BX736" i="15"/>
  <c r="AO172" i="15"/>
  <c r="BW737" i="15"/>
  <c r="BV735" i="15"/>
  <c r="CH737" i="15"/>
  <c r="AO171" i="17"/>
  <c r="DC734" i="15" l="1"/>
  <c r="DE734" i="15" s="1"/>
  <c r="CS734" i="15"/>
  <c r="CO730" i="15"/>
  <c r="CJ729" i="15"/>
  <c r="CC735" i="15"/>
  <c r="CN735" i="15" s="1"/>
  <c r="CS735" i="15" s="1"/>
  <c r="CD736" i="15"/>
  <c r="CO736" i="15" s="1"/>
  <c r="CF736" i="15"/>
  <c r="CQ736" i="15" s="1"/>
  <c r="CV736" i="15" s="1"/>
  <c r="CE736" i="15"/>
  <c r="CP736" i="15" s="1"/>
  <c r="CU736" i="15" s="1"/>
  <c r="BQ738" i="15"/>
  <c r="AH171" i="15"/>
  <c r="AJ170" i="15"/>
  <c r="AK170" i="15" s="1"/>
  <c r="AL170" i="15" s="1"/>
  <c r="AG173" i="15"/>
  <c r="AG173" i="17"/>
  <c r="BT738" i="15"/>
  <c r="AP172" i="15"/>
  <c r="AO173" i="15"/>
  <c r="AP172" i="17"/>
  <c r="BZ737" i="15"/>
  <c r="CB734" i="15"/>
  <c r="CH738" i="15"/>
  <c r="BV736" i="15"/>
  <c r="AO172" i="17"/>
  <c r="BX737" i="15"/>
  <c r="BY737" i="15"/>
  <c r="CK730" i="15"/>
  <c r="BW738" i="15"/>
  <c r="CT730" i="15" l="1"/>
  <c r="CT726" i="15"/>
  <c r="DC735" i="15"/>
  <c r="DE735" i="15" s="1"/>
  <c r="CO729" i="15"/>
  <c r="CT729" i="15" s="1"/>
  <c r="CJ728" i="15"/>
  <c r="CC736" i="15"/>
  <c r="CN736" i="15" s="1"/>
  <c r="CS736" i="15" s="1"/>
  <c r="CD737" i="15"/>
  <c r="CE737" i="15"/>
  <c r="CP737" i="15" s="1"/>
  <c r="CU737" i="15" s="1"/>
  <c r="CF737" i="15"/>
  <c r="CQ737" i="15" s="1"/>
  <c r="CV737" i="15" s="1"/>
  <c r="BQ739" i="15"/>
  <c r="AH169" i="15"/>
  <c r="AJ168" i="15"/>
  <c r="AK168" i="15" s="1"/>
  <c r="AL168" i="15" s="1"/>
  <c r="AM168" i="15" s="1"/>
  <c r="AN168" i="15" s="1"/>
  <c r="AG174" i="17"/>
  <c r="AG174" i="15"/>
  <c r="AP173" i="17"/>
  <c r="AP173" i="15"/>
  <c r="CB735" i="15"/>
  <c r="BV737" i="15"/>
  <c r="BW739" i="15"/>
  <c r="AO173" i="17"/>
  <c r="BZ738" i="15"/>
  <c r="BX738" i="15"/>
  <c r="BT739" i="15"/>
  <c r="BY738" i="15"/>
  <c r="CK729" i="15"/>
  <c r="AO174" i="15"/>
  <c r="CH739" i="15"/>
  <c r="CI731" i="15" l="1"/>
  <c r="CI732" i="15" s="1"/>
  <c r="DC736" i="15"/>
  <c r="DE736" i="15" s="1"/>
  <c r="CO728" i="15"/>
  <c r="CT728" i="15" s="1"/>
  <c r="CJ727" i="15"/>
  <c r="CI733" i="15"/>
  <c r="CC737" i="15"/>
  <c r="CN737" i="15" s="1"/>
  <c r="CD738" i="15"/>
  <c r="CF738" i="15"/>
  <c r="CQ738" i="15" s="1"/>
  <c r="CV738" i="15" s="1"/>
  <c r="CE738" i="15"/>
  <c r="CP738" i="15" s="1"/>
  <c r="CU738" i="15" s="1"/>
  <c r="BQ740" i="15"/>
  <c r="AJ169" i="15"/>
  <c r="AK169" i="15" s="1"/>
  <c r="AL169" i="15" s="1"/>
  <c r="AM169" i="15" s="1"/>
  <c r="AN169" i="15" s="1"/>
  <c r="AM170" i="15"/>
  <c r="AN170" i="15" s="1"/>
  <c r="AH172" i="15"/>
  <c r="AJ171" i="15"/>
  <c r="AK171" i="15" s="1"/>
  <c r="AL171" i="15" s="1"/>
  <c r="AM171" i="15" s="1"/>
  <c r="AN171" i="15" s="1"/>
  <c r="AG175" i="15"/>
  <c r="AG175" i="17"/>
  <c r="CK728" i="15"/>
  <c r="BV738" i="15"/>
  <c r="BX739" i="15"/>
  <c r="AI178" i="15"/>
  <c r="BZ739" i="15"/>
  <c r="CB736" i="15"/>
  <c r="BY739" i="15"/>
  <c r="AI177" i="15"/>
  <c r="AP174" i="15"/>
  <c r="BW740" i="15"/>
  <c r="AO174" i="17"/>
  <c r="CH740" i="15"/>
  <c r="AP174" i="17"/>
  <c r="BT740" i="15"/>
  <c r="CS737" i="15" l="1"/>
  <c r="DC737" i="15"/>
  <c r="DE737" i="15" s="1"/>
  <c r="CO727" i="15"/>
  <c r="CT727" i="15" s="1"/>
  <c r="CI734" i="15"/>
  <c r="CC738" i="15"/>
  <c r="CN738" i="15" s="1"/>
  <c r="CS738" i="15" s="1"/>
  <c r="CE739" i="15"/>
  <c r="CP739" i="15" s="1"/>
  <c r="CU739" i="15" s="1"/>
  <c r="CF739" i="15"/>
  <c r="CQ739" i="15" s="1"/>
  <c r="CV739" i="15" s="1"/>
  <c r="CD739" i="15"/>
  <c r="BQ741" i="15"/>
  <c r="AH173" i="15"/>
  <c r="AJ172" i="15"/>
  <c r="AK172" i="15" s="1"/>
  <c r="AL172" i="15" s="1"/>
  <c r="AM172" i="15" s="1"/>
  <c r="AN172" i="15" s="1"/>
  <c r="AG176" i="17"/>
  <c r="AG176" i="15"/>
  <c r="AI175" i="17"/>
  <c r="AO175" i="15"/>
  <c r="BZ740" i="15"/>
  <c r="AI177" i="17"/>
  <c r="AI179" i="15"/>
  <c r="AO176" i="15"/>
  <c r="CH741" i="15"/>
  <c r="BX740" i="15"/>
  <c r="AP175" i="15"/>
  <c r="CK727" i="15"/>
  <c r="AP175" i="17"/>
  <c r="BV739" i="15"/>
  <c r="CB737" i="15"/>
  <c r="AI179" i="17"/>
  <c r="BT741" i="15"/>
  <c r="AI178" i="17"/>
  <c r="AO175" i="17"/>
  <c r="BY740" i="15"/>
  <c r="CK741" i="15"/>
  <c r="AH175" i="15"/>
  <c r="AH175" i="17"/>
  <c r="BW741" i="15"/>
  <c r="AI175" i="15"/>
  <c r="AI176" i="17"/>
  <c r="AI176" i="15"/>
  <c r="DC738" i="15" l="1"/>
  <c r="DE738" i="15" s="1"/>
  <c r="CI735" i="15"/>
  <c r="CJ735" i="15" s="1"/>
  <c r="CJ734" i="15" s="1"/>
  <c r="CC739" i="15"/>
  <c r="CN739" i="15" s="1"/>
  <c r="CE740" i="15"/>
  <c r="CP740" i="15" s="1"/>
  <c r="CU740" i="15" s="1"/>
  <c r="CF740" i="15"/>
  <c r="CQ740" i="15" s="1"/>
  <c r="CV740" i="15" s="1"/>
  <c r="CD740" i="15"/>
  <c r="BQ742" i="15"/>
  <c r="AL176" i="17"/>
  <c r="AM176" i="17" s="1"/>
  <c r="AN176" i="17" s="1"/>
  <c r="AH177" i="17"/>
  <c r="AL178" i="17"/>
  <c r="AM178" i="17" s="1"/>
  <c r="AN178" i="17" s="1"/>
  <c r="AH179" i="17"/>
  <c r="AL177" i="17"/>
  <c r="AM177" i="17" s="1"/>
  <c r="AN177" i="17" s="1"/>
  <c r="AH178" i="17"/>
  <c r="AL175" i="17"/>
  <c r="AM175" i="17" s="1"/>
  <c r="AN175" i="17" s="1"/>
  <c r="AH176" i="17"/>
  <c r="AL179" i="17"/>
  <c r="AM179" i="17" s="1"/>
  <c r="AN179" i="17" s="1"/>
  <c r="AG177" i="17"/>
  <c r="AG177" i="15"/>
  <c r="BW742" i="15"/>
  <c r="AO176" i="17"/>
  <c r="AP176" i="17"/>
  <c r="AP176" i="15"/>
  <c r="BT742" i="15"/>
  <c r="BY741" i="15"/>
  <c r="BZ741" i="15"/>
  <c r="CH742" i="15"/>
  <c r="CB738" i="15"/>
  <c r="BV740" i="15"/>
  <c r="BX741" i="15"/>
  <c r="AO177" i="15"/>
  <c r="DC739" i="15" l="1"/>
  <c r="DE739" i="15" s="1"/>
  <c r="CS739" i="15"/>
  <c r="CO734" i="15"/>
  <c r="CT734" i="15" s="1"/>
  <c r="CJ733" i="15"/>
  <c r="CO735" i="15"/>
  <c r="CC740" i="15"/>
  <c r="CN740" i="15" s="1"/>
  <c r="CS740" i="15" s="1"/>
  <c r="CF741" i="15"/>
  <c r="CQ741" i="15" s="1"/>
  <c r="CV741" i="15" s="1"/>
  <c r="CE741" i="15"/>
  <c r="CP741" i="15" s="1"/>
  <c r="CU741" i="15" s="1"/>
  <c r="CD741" i="15"/>
  <c r="CO741" i="15" s="1"/>
  <c r="BQ743" i="15"/>
  <c r="AH174" i="15"/>
  <c r="AJ173" i="15"/>
  <c r="AK173" i="15" s="1"/>
  <c r="AL173" i="15" s="1"/>
  <c r="AM173" i="15" s="1"/>
  <c r="AN173" i="15" s="1"/>
  <c r="AJ175" i="15"/>
  <c r="AK175" i="15" s="1"/>
  <c r="AL175" i="15" s="1"/>
  <c r="AH176" i="15"/>
  <c r="AG178" i="17"/>
  <c r="AG178" i="15"/>
  <c r="BY742" i="15"/>
  <c r="BT743" i="15"/>
  <c r="CK734" i="15"/>
  <c r="CB739" i="15"/>
  <c r="AP177" i="17"/>
  <c r="BW743" i="15"/>
  <c r="AO177" i="17"/>
  <c r="BX742" i="15"/>
  <c r="AO178" i="15"/>
  <c r="BZ742" i="15"/>
  <c r="CH743" i="15"/>
  <c r="BV741" i="15"/>
  <c r="CK735" i="15"/>
  <c r="AP177" i="15"/>
  <c r="CT735" i="15" l="1"/>
  <c r="CT731" i="15"/>
  <c r="DC740" i="15"/>
  <c r="DE740" i="15" s="1"/>
  <c r="CO733" i="15"/>
  <c r="CT733" i="15" s="1"/>
  <c r="CJ732" i="15"/>
  <c r="CC741" i="15"/>
  <c r="CN741" i="15" s="1"/>
  <c r="CS741" i="15" s="1"/>
  <c r="CD742" i="15"/>
  <c r="CE742" i="15"/>
  <c r="CP742" i="15" s="1"/>
  <c r="CU742" i="15" s="1"/>
  <c r="CF742" i="15"/>
  <c r="CQ742" i="15" s="1"/>
  <c r="CV742" i="15" s="1"/>
  <c r="BQ744" i="15"/>
  <c r="AJ174" i="15"/>
  <c r="AK174" i="15" s="1"/>
  <c r="AL174" i="15" s="1"/>
  <c r="AM174" i="15" s="1"/>
  <c r="AN174" i="15" s="1"/>
  <c r="AM175" i="15"/>
  <c r="AN175" i="15" s="1"/>
  <c r="AG179" i="17"/>
  <c r="AG179" i="15"/>
  <c r="CB740" i="15"/>
  <c r="BW744" i="15"/>
  <c r="CH744" i="15"/>
  <c r="BZ743" i="15"/>
  <c r="AO178" i="17"/>
  <c r="BT744" i="15"/>
  <c r="AO179" i="15"/>
  <c r="BV742" i="15"/>
  <c r="BY743" i="15"/>
  <c r="AP178" i="15"/>
  <c r="BX743" i="15"/>
  <c r="AP178" i="17"/>
  <c r="CK733" i="15"/>
  <c r="CI736" i="15" l="1"/>
  <c r="CI737" i="15" s="1"/>
  <c r="CI738" i="15" s="1"/>
  <c r="DC741" i="15"/>
  <c r="DE741" i="15" s="1"/>
  <c r="CO732" i="15"/>
  <c r="CT732" i="15" s="1"/>
  <c r="CC742" i="15"/>
  <c r="CN742" i="15" s="1"/>
  <c r="CD743" i="15"/>
  <c r="CF743" i="15"/>
  <c r="CQ743" i="15" s="1"/>
  <c r="CV743" i="15" s="1"/>
  <c r="CE743" i="15"/>
  <c r="CP743" i="15" s="1"/>
  <c r="CU743" i="15" s="1"/>
  <c r="BQ745" i="15"/>
  <c r="AH177" i="15"/>
  <c r="AJ176" i="15"/>
  <c r="AK176" i="15" s="1"/>
  <c r="AL176" i="15" s="1"/>
  <c r="AM176" i="15" s="1"/>
  <c r="AN176" i="15" s="1"/>
  <c r="AG180" i="17"/>
  <c r="AG180" i="15"/>
  <c r="CK732" i="15"/>
  <c r="AI184" i="15"/>
  <c r="AI183" i="15"/>
  <c r="AP179" i="15"/>
  <c r="BW745" i="15"/>
  <c r="CH745" i="15"/>
  <c r="BT745" i="15"/>
  <c r="AO179" i="17"/>
  <c r="AP179" i="17"/>
  <c r="AO180" i="15"/>
  <c r="BY744" i="15"/>
  <c r="CB741" i="15"/>
  <c r="BX744" i="15"/>
  <c r="BV743" i="15"/>
  <c r="AI180" i="15"/>
  <c r="BZ744" i="15"/>
  <c r="CS742" i="15" l="1"/>
  <c r="DC742" i="15"/>
  <c r="DE742" i="15" s="1"/>
  <c r="CI739" i="15"/>
  <c r="CC743" i="15"/>
  <c r="CN743" i="15" s="1"/>
  <c r="CS743" i="15" s="1"/>
  <c r="CF744" i="15"/>
  <c r="CQ744" i="15" s="1"/>
  <c r="CV744" i="15" s="1"/>
  <c r="CE744" i="15"/>
  <c r="CP744" i="15" s="1"/>
  <c r="CU744" i="15" s="1"/>
  <c r="CD744" i="15"/>
  <c r="BQ746" i="15"/>
  <c r="AG181" i="17"/>
  <c r="AG181" i="15"/>
  <c r="AI181" i="15"/>
  <c r="AH180" i="17"/>
  <c r="AI181" i="17"/>
  <c r="AP180" i="17"/>
  <c r="AP180" i="15"/>
  <c r="BY745" i="15"/>
  <c r="BT746" i="15"/>
  <c r="AI183" i="17"/>
  <c r="AI184" i="17"/>
  <c r="BW746" i="15"/>
  <c r="BX745" i="15"/>
  <c r="AO180" i="17"/>
  <c r="AI182" i="15"/>
  <c r="BV744" i="15"/>
  <c r="BZ745" i="15"/>
  <c r="AO181" i="15"/>
  <c r="AI182" i="17"/>
  <c r="CH746" i="15"/>
  <c r="CK746" i="15"/>
  <c r="CB742" i="15"/>
  <c r="AH180" i="15"/>
  <c r="AI180" i="17"/>
  <c r="DC743" i="15" l="1"/>
  <c r="DE743" i="15" s="1"/>
  <c r="CI740" i="15"/>
  <c r="CJ740" i="15" s="1"/>
  <c r="CC744" i="15"/>
  <c r="CN744" i="15" s="1"/>
  <c r="CE745" i="15"/>
  <c r="CP745" i="15" s="1"/>
  <c r="CU745" i="15" s="1"/>
  <c r="CF745" i="15"/>
  <c r="CQ745" i="15" s="1"/>
  <c r="CV745" i="15" s="1"/>
  <c r="CD745" i="15"/>
  <c r="BQ747" i="15"/>
  <c r="AH178" i="15"/>
  <c r="AJ177" i="15"/>
  <c r="AK177" i="15" s="1"/>
  <c r="AL177" i="15" s="1"/>
  <c r="AM177" i="15" s="1"/>
  <c r="AN177" i="15" s="1"/>
  <c r="AH182" i="17"/>
  <c r="AL181" i="17"/>
  <c r="AM181" i="17" s="1"/>
  <c r="AN181" i="17" s="1"/>
  <c r="AL184" i="17"/>
  <c r="AM184" i="17" s="1"/>
  <c r="AN184" i="17" s="1"/>
  <c r="AL180" i="17"/>
  <c r="AM180" i="17" s="1"/>
  <c r="AN180" i="17" s="1"/>
  <c r="AH181" i="17"/>
  <c r="AL182" i="17"/>
  <c r="AM182" i="17" s="1"/>
  <c r="AN182" i="17" s="1"/>
  <c r="AH183" i="17"/>
  <c r="AH184" i="17"/>
  <c r="AL183" i="17"/>
  <c r="AM183" i="17" s="1"/>
  <c r="AN183" i="17" s="1"/>
  <c r="AG182" i="17"/>
  <c r="AG182" i="15"/>
  <c r="AO181" i="17"/>
  <c r="CB743" i="15"/>
  <c r="BZ746" i="15"/>
  <c r="AP181" i="17"/>
  <c r="BV745" i="15"/>
  <c r="BX746" i="15"/>
  <c r="AP181" i="15"/>
  <c r="BY746" i="15"/>
  <c r="BT747" i="15"/>
  <c r="AO182" i="15"/>
  <c r="BW747" i="15"/>
  <c r="CH747" i="15"/>
  <c r="DC744" i="15" l="1"/>
  <c r="DE744" i="15" s="1"/>
  <c r="CS744" i="15"/>
  <c r="CO740" i="15"/>
  <c r="CJ739" i="15"/>
  <c r="CC745" i="15"/>
  <c r="CN745" i="15" s="1"/>
  <c r="CS745" i="15" s="1"/>
  <c r="CD746" i="15"/>
  <c r="CO746" i="15" s="1"/>
  <c r="CE746" i="15"/>
  <c r="CP746" i="15" s="1"/>
  <c r="CU746" i="15" s="1"/>
  <c r="CF746" i="15"/>
  <c r="CQ746" i="15" s="1"/>
  <c r="CV746" i="15" s="1"/>
  <c r="BQ748" i="15"/>
  <c r="AJ180" i="15"/>
  <c r="AK180" i="15" s="1"/>
  <c r="AL180" i="15" s="1"/>
  <c r="AH181" i="15"/>
  <c r="AG183" i="15"/>
  <c r="AG183" i="17"/>
  <c r="AO183" i="15"/>
  <c r="BZ747" i="15"/>
  <c r="CK740" i="15"/>
  <c r="AP182" i="15"/>
  <c r="BV746" i="15"/>
  <c r="BX747" i="15"/>
  <c r="AP182" i="17"/>
  <c r="BY747" i="15"/>
  <c r="AO182" i="17"/>
  <c r="CB744" i="15"/>
  <c r="CH748" i="15"/>
  <c r="BT748" i="15"/>
  <c r="CT740" i="15" l="1"/>
  <c r="CT736" i="15"/>
  <c r="DC745" i="15"/>
  <c r="DE745" i="15" s="1"/>
  <c r="CO739" i="15"/>
  <c r="CT739" i="15" s="1"/>
  <c r="CJ738" i="15"/>
  <c r="CC746" i="15"/>
  <c r="CN746" i="15" s="1"/>
  <c r="CS746" i="15" s="1"/>
  <c r="CD747" i="15"/>
  <c r="CF747" i="15"/>
  <c r="CQ747" i="15" s="1"/>
  <c r="CV747" i="15" s="1"/>
  <c r="CE747" i="15"/>
  <c r="CP747" i="15" s="1"/>
  <c r="CU747" i="15" s="1"/>
  <c r="BQ749" i="15"/>
  <c r="AH179" i="15"/>
  <c r="AJ178" i="15"/>
  <c r="AK178" i="15" s="1"/>
  <c r="AL178" i="15" s="1"/>
  <c r="AM178" i="15" s="1"/>
  <c r="AN178" i="15" s="1"/>
  <c r="AG184" i="17"/>
  <c r="AG184" i="15"/>
  <c r="BW748" i="15"/>
  <c r="BX748" i="15"/>
  <c r="CK739" i="15"/>
  <c r="AP183" i="15"/>
  <c r="BV747" i="15"/>
  <c r="CB745" i="15"/>
  <c r="BY748" i="15"/>
  <c r="BZ748" i="15"/>
  <c r="AO183" i="17"/>
  <c r="AO184" i="15"/>
  <c r="AP183" i="17"/>
  <c r="BT749" i="15"/>
  <c r="CH749" i="15"/>
  <c r="CI741" i="15" l="1"/>
  <c r="CI742" i="15" s="1"/>
  <c r="CI743" i="15" s="1"/>
  <c r="DC746" i="15"/>
  <c r="DE746" i="15" s="1"/>
  <c r="CO738" i="15"/>
  <c r="CT738" i="15" s="1"/>
  <c r="CJ737" i="15"/>
  <c r="CC747" i="15"/>
  <c r="CN747" i="15" s="1"/>
  <c r="CF748" i="15"/>
  <c r="CQ748" i="15" s="1"/>
  <c r="CV748" i="15" s="1"/>
  <c r="CE748" i="15"/>
  <c r="CP748" i="15" s="1"/>
  <c r="CU748" i="15" s="1"/>
  <c r="CD748" i="15"/>
  <c r="BQ750" i="15"/>
  <c r="AH182" i="15"/>
  <c r="AJ181" i="15"/>
  <c r="AK181" i="15" s="1"/>
  <c r="AL181" i="15" s="1"/>
  <c r="AM181" i="15" s="1"/>
  <c r="AN181" i="15" s="1"/>
  <c r="AJ179" i="15"/>
  <c r="AK179" i="15" s="1"/>
  <c r="AL179" i="15" s="1"/>
  <c r="AM179" i="15" s="1"/>
  <c r="AN179" i="15" s="1"/>
  <c r="AM180" i="15"/>
  <c r="AN180" i="15" s="1"/>
  <c r="AG185" i="17"/>
  <c r="AG185" i="15"/>
  <c r="BW749" i="15"/>
  <c r="BV748" i="15"/>
  <c r="CH750" i="15"/>
  <c r="AI188" i="15"/>
  <c r="AI189" i="15"/>
  <c r="CB746" i="15"/>
  <c r="BY749" i="15"/>
  <c r="AI185" i="15"/>
  <c r="BW750" i="15"/>
  <c r="BX749" i="15"/>
  <c r="BZ749" i="15"/>
  <c r="CK738" i="15"/>
  <c r="AP184" i="17"/>
  <c r="AO184" i="17"/>
  <c r="AI186" i="15"/>
  <c r="AI187" i="15"/>
  <c r="AP184" i="15"/>
  <c r="BT750" i="15"/>
  <c r="CS747" i="15" l="1"/>
  <c r="DC747" i="15"/>
  <c r="DE747" i="15" s="1"/>
  <c r="CO737" i="15"/>
  <c r="CT737" i="15" s="1"/>
  <c r="CI744" i="15"/>
  <c r="CC748" i="15"/>
  <c r="CN748" i="15" s="1"/>
  <c r="CS748" i="15" s="1"/>
  <c r="CF749" i="15"/>
  <c r="CQ749" i="15" s="1"/>
  <c r="CV749" i="15" s="1"/>
  <c r="CE749" i="15"/>
  <c r="CP749" i="15" s="1"/>
  <c r="CU749" i="15" s="1"/>
  <c r="CD749" i="15"/>
  <c r="BQ751" i="15"/>
  <c r="AG186" i="15"/>
  <c r="AG186" i="17"/>
  <c r="CK737" i="15"/>
  <c r="AP185" i="17"/>
  <c r="AH185" i="15"/>
  <c r="AI186" i="17"/>
  <c r="AI189" i="17"/>
  <c r="CH751" i="15"/>
  <c r="AI185" i="17"/>
  <c r="BV749" i="15"/>
  <c r="BY750" i="15"/>
  <c r="AI188" i="17"/>
  <c r="AI187" i="17"/>
  <c r="CB747" i="15"/>
  <c r="BW751" i="15"/>
  <c r="AO185" i="15"/>
  <c r="AH185" i="17"/>
  <c r="AP185" i="15"/>
  <c r="BX750" i="15"/>
  <c r="CK751" i="15"/>
  <c r="AO186" i="15"/>
  <c r="BT751" i="15"/>
  <c r="AO185" i="17"/>
  <c r="BZ750" i="15"/>
  <c r="DC748" i="15" l="1"/>
  <c r="DE748" i="15" s="1"/>
  <c r="CI745" i="15"/>
  <c r="CJ745" i="15" s="1"/>
  <c r="CJ744" i="15" s="1"/>
  <c r="CC749" i="15"/>
  <c r="CN749" i="15" s="1"/>
  <c r="CD750" i="15"/>
  <c r="CE750" i="15"/>
  <c r="CP750" i="15" s="1"/>
  <c r="CU750" i="15" s="1"/>
  <c r="CF750" i="15"/>
  <c r="CQ750" i="15" s="1"/>
  <c r="CV750" i="15" s="1"/>
  <c r="BQ752" i="15"/>
  <c r="AH183" i="15"/>
  <c r="AJ182" i="15"/>
  <c r="AK182" i="15" s="1"/>
  <c r="AL182" i="15" s="1"/>
  <c r="AM182" i="15" s="1"/>
  <c r="AN182" i="15" s="1"/>
  <c r="AL186" i="17"/>
  <c r="AM186" i="17" s="1"/>
  <c r="AN186" i="17" s="1"/>
  <c r="AH187" i="17"/>
  <c r="AL188" i="17"/>
  <c r="AM188" i="17" s="1"/>
  <c r="AN188" i="17" s="1"/>
  <c r="AH189" i="17"/>
  <c r="AH188" i="17"/>
  <c r="AL187" i="17"/>
  <c r="AM187" i="17" s="1"/>
  <c r="AN187" i="17" s="1"/>
  <c r="AL189" i="17"/>
  <c r="AM189" i="17" s="1"/>
  <c r="AN189" i="17" s="1"/>
  <c r="AH186" i="17"/>
  <c r="AL185" i="17"/>
  <c r="AM185" i="17" s="1"/>
  <c r="AN185" i="17" s="1"/>
  <c r="AG187" i="15"/>
  <c r="AG187" i="17"/>
  <c r="AO186" i="17"/>
  <c r="BY751" i="15"/>
  <c r="BZ751" i="15"/>
  <c r="AP186" i="15"/>
  <c r="BX751" i="15"/>
  <c r="BW752" i="15"/>
  <c r="BT752" i="15"/>
  <c r="CB748" i="15"/>
  <c r="CH752" i="15"/>
  <c r="AP186" i="17"/>
  <c r="BV750" i="15"/>
  <c r="AO187" i="15"/>
  <c r="DC749" i="15" l="1"/>
  <c r="DE749" i="15" s="1"/>
  <c r="CS749" i="15"/>
  <c r="CO744" i="15"/>
  <c r="CT744" i="15" s="1"/>
  <c r="CJ743" i="15"/>
  <c r="CO745" i="15"/>
  <c r="CC750" i="15"/>
  <c r="CN750" i="15" s="1"/>
  <c r="CS750" i="15" s="1"/>
  <c r="CD751" i="15"/>
  <c r="CO751" i="15" s="1"/>
  <c r="CE751" i="15"/>
  <c r="CP751" i="15" s="1"/>
  <c r="CU751" i="15" s="1"/>
  <c r="CF751" i="15"/>
  <c r="CQ751" i="15" s="1"/>
  <c r="CV751" i="15" s="1"/>
  <c r="BQ753" i="15"/>
  <c r="AJ185" i="15"/>
  <c r="AK185" i="15" s="1"/>
  <c r="AL185" i="15" s="1"/>
  <c r="AH186" i="15"/>
  <c r="AG188" i="17"/>
  <c r="AG188" i="15"/>
  <c r="BY752" i="15"/>
  <c r="BZ752" i="15"/>
  <c r="AP187" i="17"/>
  <c r="CB749" i="15"/>
  <c r="BV751" i="15"/>
  <c r="BW753" i="15"/>
  <c r="CK744" i="15"/>
  <c r="AO187" i="17"/>
  <c r="AP187" i="15"/>
  <c r="CK745" i="15"/>
  <c r="BX752" i="15"/>
  <c r="BT753" i="15"/>
  <c r="CH753" i="15"/>
  <c r="CB750" i="15"/>
  <c r="AO188" i="15"/>
  <c r="CT745" i="15" l="1"/>
  <c r="CT741" i="15"/>
  <c r="DC750" i="15"/>
  <c r="DE750" i="15" s="1"/>
  <c r="CI746" i="15"/>
  <c r="CI747" i="15" s="1"/>
  <c r="CO743" i="15"/>
  <c r="CT743" i="15" s="1"/>
  <c r="CJ742" i="15"/>
  <c r="CC751" i="15"/>
  <c r="CN751" i="15" s="1"/>
  <c r="CS751" i="15" s="1"/>
  <c r="CD752" i="15"/>
  <c r="CE752" i="15"/>
  <c r="CP752" i="15" s="1"/>
  <c r="CU752" i="15" s="1"/>
  <c r="CF752" i="15"/>
  <c r="CQ752" i="15" s="1"/>
  <c r="CV752" i="15" s="1"/>
  <c r="BQ754" i="15"/>
  <c r="AH184" i="15"/>
  <c r="AJ183" i="15"/>
  <c r="AK183" i="15" s="1"/>
  <c r="AL183" i="15" s="1"/>
  <c r="AM183" i="15" s="1"/>
  <c r="AN183" i="15" s="1"/>
  <c r="AG189" i="17"/>
  <c r="AG189" i="15"/>
  <c r="BV752" i="15"/>
  <c r="BX753" i="15"/>
  <c r="BY753" i="15"/>
  <c r="AO189" i="15"/>
  <c r="CK743" i="15"/>
  <c r="BZ753" i="15"/>
  <c r="AP188" i="15"/>
  <c r="AO188" i="17"/>
  <c r="AP188" i="17"/>
  <c r="BW754" i="15"/>
  <c r="CH754" i="15"/>
  <c r="DC751" i="15" l="1"/>
  <c r="DE751" i="15" s="1"/>
  <c r="CO742" i="15"/>
  <c r="CT742" i="15" s="1"/>
  <c r="CI748" i="15"/>
  <c r="CC752" i="15"/>
  <c r="CN752" i="15" s="1"/>
  <c r="CF753" i="15"/>
  <c r="CQ753" i="15" s="1"/>
  <c r="CV753" i="15" s="1"/>
  <c r="CD753" i="15"/>
  <c r="CE753" i="15"/>
  <c r="CP753" i="15" s="1"/>
  <c r="CU753" i="15" s="1"/>
  <c r="BQ755" i="15"/>
  <c r="AH187" i="15"/>
  <c r="AJ186" i="15"/>
  <c r="AK186" i="15" s="1"/>
  <c r="AL186" i="15" s="1"/>
  <c r="AM186" i="15" s="1"/>
  <c r="AN186" i="15" s="1"/>
  <c r="AJ184" i="15"/>
  <c r="AK184" i="15" s="1"/>
  <c r="AL184" i="15" s="1"/>
  <c r="AM184" i="15" s="1"/>
  <c r="AN184" i="15" s="1"/>
  <c r="AM185" i="15"/>
  <c r="AN185" i="15" s="1"/>
  <c r="AG190" i="15"/>
  <c r="AG190" i="17"/>
  <c r="BT754" i="15"/>
  <c r="BZ754" i="15"/>
  <c r="BW755" i="15"/>
  <c r="AI193" i="15"/>
  <c r="AP189" i="17"/>
  <c r="BV753" i="15"/>
  <c r="BY754" i="15"/>
  <c r="AI190" i="15"/>
  <c r="AO190" i="15"/>
  <c r="AI191" i="15"/>
  <c r="CK742" i="15"/>
  <c r="CB751" i="15"/>
  <c r="AI192" i="15"/>
  <c r="AI194" i="15"/>
  <c r="AP189" i="15"/>
  <c r="AO189" i="17"/>
  <c r="BX754" i="15"/>
  <c r="CS752" i="15" l="1"/>
  <c r="DC752" i="15"/>
  <c r="DE752" i="15" s="1"/>
  <c r="CI749" i="15"/>
  <c r="CC753" i="15"/>
  <c r="CN753" i="15" s="1"/>
  <c r="CS753" i="15" s="1"/>
  <c r="CE754" i="15"/>
  <c r="CP754" i="15" s="1"/>
  <c r="CU754" i="15" s="1"/>
  <c r="CF754" i="15"/>
  <c r="CQ754" i="15" s="1"/>
  <c r="CV754" i="15" s="1"/>
  <c r="CD754" i="15"/>
  <c r="BQ756" i="15"/>
  <c r="AG191" i="15"/>
  <c r="AG191" i="17"/>
  <c r="BZ755" i="15"/>
  <c r="AP190" i="15"/>
  <c r="BY755" i="15"/>
  <c r="BV754" i="15"/>
  <c r="CH755" i="15"/>
  <c r="AI193" i="17"/>
  <c r="BT755" i="15"/>
  <c r="AI192" i="17"/>
  <c r="CK756" i="15"/>
  <c r="BT756" i="15"/>
  <c r="AP190" i="17"/>
  <c r="AH190" i="17"/>
  <c r="AH190" i="15"/>
  <c r="CB752" i="15"/>
  <c r="BX755" i="15"/>
  <c r="AO190" i="17"/>
  <c r="AI190" i="17"/>
  <c r="CH756" i="15"/>
  <c r="AI194" i="17"/>
  <c r="AI191" i="17"/>
  <c r="AO191" i="15"/>
  <c r="DC753" i="15" l="1"/>
  <c r="DE753" i="15" s="1"/>
  <c r="CI750" i="15"/>
  <c r="CJ750" i="15" s="1"/>
  <c r="CC754" i="15"/>
  <c r="CN754" i="15" s="1"/>
  <c r="CE755" i="15"/>
  <c r="CP755" i="15" s="1"/>
  <c r="CU755" i="15" s="1"/>
  <c r="CF755" i="15"/>
  <c r="CQ755" i="15" s="1"/>
  <c r="CV755" i="15" s="1"/>
  <c r="CD755" i="15"/>
  <c r="BQ757" i="15"/>
  <c r="AH188" i="15"/>
  <c r="AJ187" i="15"/>
  <c r="AK187" i="15" s="1"/>
  <c r="AL187" i="15" s="1"/>
  <c r="AM187" i="15" s="1"/>
  <c r="AN187" i="15" s="1"/>
  <c r="AH194" i="17"/>
  <c r="AL193" i="17"/>
  <c r="AM193" i="17" s="1"/>
  <c r="AN193" i="17" s="1"/>
  <c r="AL192" i="17"/>
  <c r="AM192" i="17" s="1"/>
  <c r="AN192" i="17" s="1"/>
  <c r="AH193" i="17"/>
  <c r="AL194" i="17"/>
  <c r="AM194" i="17" s="1"/>
  <c r="AN194" i="17" s="1"/>
  <c r="AH192" i="17"/>
  <c r="AL191" i="17"/>
  <c r="AM191" i="17" s="1"/>
  <c r="AN191" i="17" s="1"/>
  <c r="AL190" i="17"/>
  <c r="AM190" i="17" s="1"/>
  <c r="AN190" i="17" s="1"/>
  <c r="AH191" i="17"/>
  <c r="AG192" i="15"/>
  <c r="AG192" i="17"/>
  <c r="AP191" i="17"/>
  <c r="BW756" i="15"/>
  <c r="BZ756" i="15"/>
  <c r="AO192" i="15"/>
  <c r="CH757" i="15"/>
  <c r="CB753" i="15"/>
  <c r="BT757" i="15"/>
  <c r="BY756" i="15"/>
  <c r="AP191" i="15"/>
  <c r="BX756" i="15"/>
  <c r="BW757" i="15"/>
  <c r="BV755" i="15"/>
  <c r="AO191" i="17"/>
  <c r="DC754" i="15" l="1"/>
  <c r="DE754" i="15" s="1"/>
  <c r="CS754" i="15"/>
  <c r="CO750" i="15"/>
  <c r="CJ749" i="15"/>
  <c r="CC755" i="15"/>
  <c r="CN755" i="15" s="1"/>
  <c r="CS755" i="15" s="1"/>
  <c r="CE756" i="15"/>
  <c r="CP756" i="15" s="1"/>
  <c r="CU756" i="15" s="1"/>
  <c r="CD756" i="15"/>
  <c r="CO756" i="15" s="1"/>
  <c r="CF756" i="15"/>
  <c r="CQ756" i="15" s="1"/>
  <c r="CV756" i="15" s="1"/>
  <c r="BQ758" i="15"/>
  <c r="AJ190" i="15"/>
  <c r="AK190" i="15" s="1"/>
  <c r="AL190" i="15" s="1"/>
  <c r="AH191" i="15"/>
  <c r="AG193" i="17"/>
  <c r="AG193" i="15"/>
  <c r="CB754" i="15"/>
  <c r="BV756" i="15"/>
  <c r="BZ757" i="15"/>
  <c r="CB755" i="15"/>
  <c r="AO192" i="17"/>
  <c r="AP192" i="15"/>
  <c r="CK750" i="15"/>
  <c r="AO193" i="15"/>
  <c r="BX757" i="15"/>
  <c r="BY757" i="15"/>
  <c r="BT758" i="15"/>
  <c r="AP192" i="17"/>
  <c r="BW758" i="15"/>
  <c r="CT750" i="15" l="1"/>
  <c r="CT746" i="15"/>
  <c r="DC755" i="15"/>
  <c r="DE755" i="15" s="1"/>
  <c r="CI751" i="15"/>
  <c r="CI752" i="15" s="1"/>
  <c r="CO749" i="15"/>
  <c r="CT749" i="15" s="1"/>
  <c r="CJ748" i="15"/>
  <c r="CC756" i="15"/>
  <c r="CN756" i="15" s="1"/>
  <c r="CS756" i="15" s="1"/>
  <c r="CF757" i="15"/>
  <c r="CQ757" i="15" s="1"/>
  <c r="CV757" i="15" s="1"/>
  <c r="CD757" i="15"/>
  <c r="CE757" i="15"/>
  <c r="CP757" i="15" s="1"/>
  <c r="CU757" i="15" s="1"/>
  <c r="BQ759" i="15"/>
  <c r="AH189" i="15"/>
  <c r="AJ188" i="15"/>
  <c r="AK188" i="15" s="1"/>
  <c r="AL188" i="15" s="1"/>
  <c r="AM188" i="15" s="1"/>
  <c r="AN188" i="15" s="1"/>
  <c r="AG194" i="15"/>
  <c r="AG194" i="17"/>
  <c r="CH758" i="15"/>
  <c r="AP193" i="17"/>
  <c r="BZ758" i="15"/>
  <c r="AP193" i="15"/>
  <c r="CH759" i="15"/>
  <c r="BT759" i="15"/>
  <c r="BY758" i="15"/>
  <c r="CK749" i="15"/>
  <c r="AO194" i="15"/>
  <c r="BX758" i="15"/>
  <c r="AO193" i="17"/>
  <c r="BV757" i="15"/>
  <c r="BW759" i="15"/>
  <c r="DC756" i="15" l="1"/>
  <c r="DE756" i="15" s="1"/>
  <c r="CO748" i="15"/>
  <c r="CT748" i="15" s="1"/>
  <c r="CJ747" i="15"/>
  <c r="CI753" i="15"/>
  <c r="CC757" i="15"/>
  <c r="CN757" i="15" s="1"/>
  <c r="CF758" i="15"/>
  <c r="CQ758" i="15" s="1"/>
  <c r="CV758" i="15" s="1"/>
  <c r="CE758" i="15"/>
  <c r="CP758" i="15" s="1"/>
  <c r="CU758" i="15" s="1"/>
  <c r="CD758" i="15"/>
  <c r="BQ760" i="15"/>
  <c r="AJ189" i="15"/>
  <c r="AK189" i="15" s="1"/>
  <c r="AL189" i="15" s="1"/>
  <c r="AM189" i="15" s="1"/>
  <c r="AN189" i="15" s="1"/>
  <c r="AM190" i="15"/>
  <c r="AN190" i="15" s="1"/>
  <c r="AH192" i="15"/>
  <c r="AJ191" i="15"/>
  <c r="AK191" i="15" s="1"/>
  <c r="AL191" i="15" s="1"/>
  <c r="AM191" i="15" s="1"/>
  <c r="AN191" i="15" s="1"/>
  <c r="AG195" i="15"/>
  <c r="AG195" i="17"/>
  <c r="CK748" i="15"/>
  <c r="CB756" i="15"/>
  <c r="BZ759" i="15"/>
  <c r="AO194" i="17"/>
  <c r="AI197" i="15"/>
  <c r="AI199" i="15"/>
  <c r="BT760" i="15"/>
  <c r="AP194" i="15"/>
  <c r="AP194" i="17"/>
  <c r="AI196" i="15"/>
  <c r="BW760" i="15"/>
  <c r="AI195" i="15"/>
  <c r="BY759" i="15"/>
  <c r="AO195" i="15"/>
  <c r="CH760" i="15"/>
  <c r="BX759" i="15"/>
  <c r="BV758" i="15"/>
  <c r="AI198" i="15"/>
  <c r="CS757" i="15" l="1"/>
  <c r="DC757" i="15"/>
  <c r="DE757" i="15" s="1"/>
  <c r="CO747" i="15"/>
  <c r="CT747" i="15" s="1"/>
  <c r="CI754" i="15"/>
  <c r="CC758" i="15"/>
  <c r="CN758" i="15" s="1"/>
  <c r="CS758" i="15" s="1"/>
  <c r="CF759" i="15"/>
  <c r="CQ759" i="15" s="1"/>
  <c r="CV759" i="15" s="1"/>
  <c r="CD759" i="15"/>
  <c r="CE759" i="15"/>
  <c r="CP759" i="15" s="1"/>
  <c r="CU759" i="15" s="1"/>
  <c r="BQ761" i="15"/>
  <c r="AG196" i="17"/>
  <c r="AG196" i="15"/>
  <c r="AI196" i="17"/>
  <c r="CH761" i="15"/>
  <c r="AP195" i="15"/>
  <c r="BW761" i="15"/>
  <c r="AH195" i="15"/>
  <c r="AI199" i="17"/>
  <c r="CK747" i="15"/>
  <c r="AO195" i="17"/>
  <c r="AI198" i="17"/>
  <c r="BV759" i="15"/>
  <c r="CB757" i="15"/>
  <c r="AH195" i="17"/>
  <c r="BX760" i="15"/>
  <c r="AP195" i="17"/>
  <c r="AO196" i="15"/>
  <c r="BY760" i="15"/>
  <c r="AI197" i="17"/>
  <c r="AI195" i="17"/>
  <c r="BZ760" i="15"/>
  <c r="DC758" i="15" l="1"/>
  <c r="DE758" i="15" s="1"/>
  <c r="CI755" i="15"/>
  <c r="CJ755" i="15" s="1"/>
  <c r="CJ754" i="15" s="1"/>
  <c r="CC759" i="15"/>
  <c r="CN759" i="15" s="1"/>
  <c r="CD760" i="15"/>
  <c r="CE760" i="15"/>
  <c r="CP760" i="15" s="1"/>
  <c r="CU760" i="15" s="1"/>
  <c r="CF760" i="15"/>
  <c r="CQ760" i="15" s="1"/>
  <c r="CV760" i="15" s="1"/>
  <c r="BQ762" i="15"/>
  <c r="AH193" i="15"/>
  <c r="AJ192" i="15"/>
  <c r="AK192" i="15" s="1"/>
  <c r="AL192" i="15" s="1"/>
  <c r="AM192" i="15" s="1"/>
  <c r="AN192" i="15" s="1"/>
  <c r="AH199" i="17"/>
  <c r="AL198" i="17"/>
  <c r="AM198" i="17" s="1"/>
  <c r="AN198" i="17" s="1"/>
  <c r="AL199" i="17"/>
  <c r="AM199" i="17" s="1"/>
  <c r="AN199" i="17" s="1"/>
  <c r="AL196" i="17"/>
  <c r="AM196" i="17" s="1"/>
  <c r="AN196" i="17" s="1"/>
  <c r="AH197" i="17"/>
  <c r="AH196" i="17"/>
  <c r="AL195" i="17"/>
  <c r="AM195" i="17" s="1"/>
  <c r="AN195" i="17" s="1"/>
  <c r="AH198" i="17"/>
  <c r="AL197" i="17"/>
  <c r="AM197" i="17" s="1"/>
  <c r="AN197" i="17" s="1"/>
  <c r="AG197" i="15"/>
  <c r="AG197" i="17"/>
  <c r="BY761" i="15"/>
  <c r="BV760" i="15"/>
  <c r="AO196" i="17"/>
  <c r="CH762" i="15"/>
  <c r="CK761" i="15"/>
  <c r="AO197" i="15"/>
  <c r="BT762" i="15"/>
  <c r="CB758" i="15"/>
  <c r="BT761" i="15"/>
  <c r="AP196" i="15"/>
  <c r="BW762" i="15"/>
  <c r="AP196" i="17"/>
  <c r="BX761" i="15"/>
  <c r="BZ761" i="15"/>
  <c r="DC759" i="15" l="1"/>
  <c r="DE759" i="15" s="1"/>
  <c r="CS759" i="15"/>
  <c r="CO754" i="15"/>
  <c r="CT754" i="15" s="1"/>
  <c r="CJ753" i="15"/>
  <c r="CO755" i="15"/>
  <c r="CC760" i="15"/>
  <c r="CN760" i="15" s="1"/>
  <c r="CS760" i="15" s="1"/>
  <c r="CD761" i="15"/>
  <c r="CO761" i="15" s="1"/>
  <c r="CF761" i="15"/>
  <c r="CQ761" i="15" s="1"/>
  <c r="CV761" i="15" s="1"/>
  <c r="CE761" i="15"/>
  <c r="CP761" i="15" s="1"/>
  <c r="CU761" i="15" s="1"/>
  <c r="BQ763" i="15"/>
  <c r="AJ195" i="15"/>
  <c r="AK195" i="15" s="1"/>
  <c r="AL195" i="15" s="1"/>
  <c r="AH196" i="15"/>
  <c r="AG198" i="15"/>
  <c r="AG198" i="17"/>
  <c r="BW763" i="15"/>
  <c r="BZ762" i="15"/>
  <c r="CK755" i="15"/>
  <c r="BV761" i="15"/>
  <c r="AO198" i="15"/>
  <c r="BX762" i="15"/>
  <c r="BY762" i="15"/>
  <c r="AP197" i="17"/>
  <c r="CB759" i="15"/>
  <c r="AP197" i="15"/>
  <c r="AO197" i="17"/>
  <c r="CK754" i="15"/>
  <c r="CB760" i="15"/>
  <c r="CT755" i="15" l="1"/>
  <c r="CT751" i="15"/>
  <c r="DC760" i="15"/>
  <c r="DE760" i="15" s="1"/>
  <c r="CI756" i="15"/>
  <c r="CI757" i="15" s="1"/>
  <c r="CO753" i="15"/>
  <c r="CT753" i="15" s="1"/>
  <c r="CJ752" i="15"/>
  <c r="CC761" i="15"/>
  <c r="CN761" i="15" s="1"/>
  <c r="CS761" i="15" s="1"/>
  <c r="CE762" i="15"/>
  <c r="CP762" i="15" s="1"/>
  <c r="CU762" i="15" s="1"/>
  <c r="CF762" i="15"/>
  <c r="CQ762" i="15" s="1"/>
  <c r="CV762" i="15" s="1"/>
  <c r="CD762" i="15"/>
  <c r="BQ764" i="15"/>
  <c r="AH194" i="15"/>
  <c r="AJ193" i="15"/>
  <c r="AK193" i="15" s="1"/>
  <c r="AL193" i="15" s="1"/>
  <c r="AM193" i="15" s="1"/>
  <c r="AN193" i="15" s="1"/>
  <c r="AG199" i="15"/>
  <c r="AG199" i="17"/>
  <c r="BT763" i="15"/>
  <c r="BV762" i="15"/>
  <c r="BZ763" i="15"/>
  <c r="BY763" i="15"/>
  <c r="CH763" i="15"/>
  <c r="AO198" i="17"/>
  <c r="AO199" i="15"/>
  <c r="BW764" i="15"/>
  <c r="AP198" i="15"/>
  <c r="AP198" i="17"/>
  <c r="BX763" i="15"/>
  <c r="CK753" i="15"/>
  <c r="BT764" i="15"/>
  <c r="DC761" i="15" l="1"/>
  <c r="DE761" i="15" s="1"/>
  <c r="CO752" i="15"/>
  <c r="CT752" i="15" s="1"/>
  <c r="CI758" i="15"/>
  <c r="CC762" i="15"/>
  <c r="CN762" i="15" s="1"/>
  <c r="CE763" i="15"/>
  <c r="CP763" i="15" s="1"/>
  <c r="CU763" i="15" s="1"/>
  <c r="CF763" i="15"/>
  <c r="CQ763" i="15" s="1"/>
  <c r="CV763" i="15" s="1"/>
  <c r="CD763" i="15"/>
  <c r="BQ765" i="15"/>
  <c r="AH197" i="15"/>
  <c r="AJ196" i="15"/>
  <c r="AK196" i="15" s="1"/>
  <c r="AL196" i="15" s="1"/>
  <c r="AM196" i="15" s="1"/>
  <c r="AN196" i="15" s="1"/>
  <c r="AJ194" i="15"/>
  <c r="AK194" i="15" s="1"/>
  <c r="AL194" i="15" s="1"/>
  <c r="AM194" i="15" s="1"/>
  <c r="AN194" i="15" s="1"/>
  <c r="AM195" i="15"/>
  <c r="AN195" i="15" s="1"/>
  <c r="AG200" i="17"/>
  <c r="AG200" i="15"/>
  <c r="AI202" i="15"/>
  <c r="AI201" i="15"/>
  <c r="CB761" i="15"/>
  <c r="BY764" i="15"/>
  <c r="BW765" i="15"/>
  <c r="BZ764" i="15"/>
  <c r="CH764" i="15"/>
  <c r="CB762" i="15"/>
  <c r="BT765" i="15"/>
  <c r="AO199" i="17"/>
  <c r="CK752" i="15"/>
  <c r="BV763" i="15"/>
  <c r="AP199" i="15"/>
  <c r="AP199" i="17"/>
  <c r="BX764" i="15"/>
  <c r="CS762" i="15" l="1"/>
  <c r="DC762" i="15"/>
  <c r="DE762" i="15" s="1"/>
  <c r="CI759" i="15"/>
  <c r="CC763" i="15"/>
  <c r="CN763" i="15" s="1"/>
  <c r="CS763" i="15" s="1"/>
  <c r="CE764" i="15"/>
  <c r="CP764" i="15" s="1"/>
  <c r="CU764" i="15" s="1"/>
  <c r="CD764" i="15"/>
  <c r="CF764" i="15"/>
  <c r="CQ764" i="15" s="1"/>
  <c r="CV764" i="15" s="1"/>
  <c r="BQ766" i="15"/>
  <c r="AH198" i="15"/>
  <c r="AJ197" i="15"/>
  <c r="AK197" i="15" s="1"/>
  <c r="AL197" i="15" s="1"/>
  <c r="AM197" i="15" s="1"/>
  <c r="AN197" i="15" s="1"/>
  <c r="AG201" i="15"/>
  <c r="AG201" i="17"/>
  <c r="BY765" i="15"/>
  <c r="AH200" i="15"/>
  <c r="AI201" i="17"/>
  <c r="AH200" i="17"/>
  <c r="AI202" i="17"/>
  <c r="CH766" i="15"/>
  <c r="AP200" i="15"/>
  <c r="BX765" i="15"/>
  <c r="AI200" i="15"/>
  <c r="BZ765" i="15"/>
  <c r="AI200" i="17"/>
  <c r="CH765" i="15"/>
  <c r="AI204" i="17"/>
  <c r="AO201" i="15"/>
  <c r="BT766" i="15"/>
  <c r="BW766" i="15"/>
  <c r="AI204" i="15"/>
  <c r="AP200" i="17"/>
  <c r="BV764" i="15"/>
  <c r="AI203" i="15"/>
  <c r="CK766" i="15"/>
  <c r="AO200" i="17"/>
  <c r="AO200" i="15"/>
  <c r="AI203" i="17"/>
  <c r="DC763" i="15" l="1"/>
  <c r="DE763" i="15" s="1"/>
  <c r="CI760" i="15"/>
  <c r="CJ760" i="15" s="1"/>
  <c r="CC764" i="15"/>
  <c r="CN764" i="15" s="1"/>
  <c r="CF765" i="15"/>
  <c r="CQ765" i="15" s="1"/>
  <c r="CV765" i="15" s="1"/>
  <c r="CD765" i="15"/>
  <c r="CE765" i="15"/>
  <c r="CP765" i="15" s="1"/>
  <c r="CU765" i="15" s="1"/>
  <c r="BQ767" i="15"/>
  <c r="AH199" i="15"/>
  <c r="AJ198" i="15"/>
  <c r="AK198" i="15" s="1"/>
  <c r="AL198" i="15" s="1"/>
  <c r="AM198" i="15" s="1"/>
  <c r="AN198" i="15" s="1"/>
  <c r="AH201" i="17"/>
  <c r="AL200" i="17"/>
  <c r="AM200" i="17" s="1"/>
  <c r="AN200" i="17" s="1"/>
  <c r="AL204" i="17"/>
  <c r="AM204" i="17" s="1"/>
  <c r="AN204" i="17" s="1"/>
  <c r="AH204" i="17"/>
  <c r="AL203" i="17"/>
  <c r="AM203" i="17" s="1"/>
  <c r="AN203" i="17" s="1"/>
  <c r="AH202" i="17"/>
  <c r="AL201" i="17"/>
  <c r="AM201" i="17" s="1"/>
  <c r="AN201" i="17" s="1"/>
  <c r="AH203" i="17"/>
  <c r="AL202" i="17"/>
  <c r="AM202" i="17" s="1"/>
  <c r="AN202" i="17" s="1"/>
  <c r="AG202" i="15"/>
  <c r="AG202" i="17"/>
  <c r="CB763" i="15"/>
  <c r="BZ766" i="15"/>
  <c r="BT767" i="15"/>
  <c r="AO202" i="15"/>
  <c r="CH767" i="15"/>
  <c r="BW767" i="15"/>
  <c r="BV765" i="15"/>
  <c r="AO201" i="17"/>
  <c r="AP201" i="17"/>
  <c r="BX766" i="15"/>
  <c r="AP201" i="15"/>
  <c r="BY766" i="15"/>
  <c r="DC764" i="15" l="1"/>
  <c r="DE764" i="15" s="1"/>
  <c r="CS764" i="15"/>
  <c r="CO760" i="15"/>
  <c r="CJ759" i="15"/>
  <c r="CC765" i="15"/>
  <c r="CN765" i="15" s="1"/>
  <c r="CS765" i="15" s="1"/>
  <c r="CF766" i="15"/>
  <c r="CQ766" i="15" s="1"/>
  <c r="CV766" i="15" s="1"/>
  <c r="CE766" i="15"/>
  <c r="CP766" i="15" s="1"/>
  <c r="CU766" i="15" s="1"/>
  <c r="CD766" i="15"/>
  <c r="CO766" i="15" s="1"/>
  <c r="BQ768" i="15"/>
  <c r="AJ199" i="15"/>
  <c r="AK199" i="15" s="1"/>
  <c r="AL199" i="15" s="1"/>
  <c r="AM199" i="15" s="1"/>
  <c r="AN199" i="15" s="1"/>
  <c r="AJ200" i="15"/>
  <c r="AK200" i="15" s="1"/>
  <c r="AL200" i="15" s="1"/>
  <c r="AH201" i="15"/>
  <c r="AG203" i="15"/>
  <c r="AG203" i="17"/>
  <c r="AP202" i="15"/>
  <c r="BZ767" i="15"/>
  <c r="CB764" i="15"/>
  <c r="BV766" i="15"/>
  <c r="CH768" i="15"/>
  <c r="AO202" i="17"/>
  <c r="BW768" i="15"/>
  <c r="BX767" i="15"/>
  <c r="AP202" i="17"/>
  <c r="CK760" i="15"/>
  <c r="AO203" i="15"/>
  <c r="CB765" i="15"/>
  <c r="BY767" i="15"/>
  <c r="BT768" i="15"/>
  <c r="CT760" i="15" l="1"/>
  <c r="CT756" i="15"/>
  <c r="CT761" i="15"/>
  <c r="DC765" i="15"/>
  <c r="DE765" i="15" s="1"/>
  <c r="CI761" i="15"/>
  <c r="CI762" i="15" s="1"/>
  <c r="CO759" i="15"/>
  <c r="CT759" i="15" s="1"/>
  <c r="CJ758" i="15"/>
  <c r="CC766" i="15"/>
  <c r="CN766" i="15" s="1"/>
  <c r="CS766" i="15" s="1"/>
  <c r="CF767" i="15"/>
  <c r="CQ767" i="15" s="1"/>
  <c r="CV767" i="15" s="1"/>
  <c r="CD767" i="15"/>
  <c r="CE767" i="15"/>
  <c r="CP767" i="15" s="1"/>
  <c r="CU767" i="15" s="1"/>
  <c r="BQ769" i="15"/>
  <c r="AM200" i="15"/>
  <c r="AN200" i="15" s="1"/>
  <c r="AG204" i="15"/>
  <c r="AG204" i="17"/>
  <c r="BZ768" i="15"/>
  <c r="AP203" i="17"/>
  <c r="CH769" i="15"/>
  <c r="BY768" i="15"/>
  <c r="CK759" i="15"/>
  <c r="AO203" i="17"/>
  <c r="BT769" i="15"/>
  <c r="BX768" i="15"/>
  <c r="BW769" i="15"/>
  <c r="AP203" i="15"/>
  <c r="AO204" i="15"/>
  <c r="BV767" i="15"/>
  <c r="DC766" i="15" l="1"/>
  <c r="DE766" i="15" s="1"/>
  <c r="CO758" i="15"/>
  <c r="CT758" i="15" s="1"/>
  <c r="CJ757" i="15"/>
  <c r="CI763" i="15"/>
  <c r="CC767" i="15"/>
  <c r="CN767" i="15" s="1"/>
  <c r="CD768" i="15"/>
  <c r="CE768" i="15"/>
  <c r="CP768" i="15" s="1"/>
  <c r="CU768" i="15" s="1"/>
  <c r="CF768" i="15"/>
  <c r="CQ768" i="15" s="1"/>
  <c r="CV768" i="15" s="1"/>
  <c r="BQ770" i="15"/>
  <c r="AH202" i="15"/>
  <c r="AJ201" i="15"/>
  <c r="AK201" i="15" s="1"/>
  <c r="AL201" i="15" s="1"/>
  <c r="AM201" i="15" s="1"/>
  <c r="AN201" i="15" s="1"/>
  <c r="AG205" i="17"/>
  <c r="AG205" i="15"/>
  <c r="AP204" i="17"/>
  <c r="BY769" i="15"/>
  <c r="AO205" i="15"/>
  <c r="AI207" i="15"/>
  <c r="BV768" i="15"/>
  <c r="AI206" i="15"/>
  <c r="BW770" i="15"/>
  <c r="AP204" i="15"/>
  <c r="AI209" i="15"/>
  <c r="BT770" i="15"/>
  <c r="CK758" i="15"/>
  <c r="BX769" i="15"/>
  <c r="BZ769" i="15"/>
  <c r="AI208" i="15"/>
  <c r="AI205" i="15"/>
  <c r="CB766" i="15"/>
  <c r="CH770" i="15"/>
  <c r="AO204" i="17"/>
  <c r="CS767" i="15" l="1"/>
  <c r="DC767" i="15"/>
  <c r="DE767" i="15" s="1"/>
  <c r="CO757" i="15"/>
  <c r="CT757" i="15" s="1"/>
  <c r="CI764" i="15"/>
  <c r="CC768" i="15"/>
  <c r="CN768" i="15" s="1"/>
  <c r="CS768" i="15" s="1"/>
  <c r="CF769" i="15"/>
  <c r="CQ769" i="15" s="1"/>
  <c r="CV769" i="15" s="1"/>
  <c r="CD769" i="15"/>
  <c r="CE769" i="15"/>
  <c r="CP769" i="15" s="1"/>
  <c r="CU769" i="15" s="1"/>
  <c r="BQ771" i="15"/>
  <c r="AG206" i="15"/>
  <c r="AG206" i="17"/>
  <c r="AI207" i="17"/>
  <c r="AO206" i="15"/>
  <c r="BV769" i="15"/>
  <c r="BX770" i="15"/>
  <c r="AI209" i="17"/>
  <c r="AO205" i="17"/>
  <c r="CK771" i="15"/>
  <c r="BY770" i="15"/>
  <c r="AP205" i="17"/>
  <c r="AP205" i="15"/>
  <c r="BZ770" i="15"/>
  <c r="BT771" i="15"/>
  <c r="AI208" i="17"/>
  <c r="AH205" i="15"/>
  <c r="CK757" i="15"/>
  <c r="CB767" i="15"/>
  <c r="AI205" i="17"/>
  <c r="AI206" i="17"/>
  <c r="BW771" i="15"/>
  <c r="AH205" i="17"/>
  <c r="DC768" i="15" l="1"/>
  <c r="DE768" i="15" s="1"/>
  <c r="CI765" i="15"/>
  <c r="CJ765" i="15" s="1"/>
  <c r="CJ764" i="15" s="1"/>
  <c r="CC769" i="15"/>
  <c r="CN769" i="15" s="1"/>
  <c r="CE770" i="15"/>
  <c r="CP770" i="15" s="1"/>
  <c r="CU770" i="15" s="1"/>
  <c r="CF770" i="15"/>
  <c r="CQ770" i="15" s="1"/>
  <c r="CV770" i="15" s="1"/>
  <c r="CD770" i="15"/>
  <c r="BQ772" i="15"/>
  <c r="AH203" i="15"/>
  <c r="AJ202" i="15"/>
  <c r="AK202" i="15" s="1"/>
  <c r="AL202" i="15" s="1"/>
  <c r="AM202" i="15" s="1"/>
  <c r="AN202" i="15" s="1"/>
  <c r="AH209" i="17"/>
  <c r="AL208" i="17"/>
  <c r="AM208" i="17" s="1"/>
  <c r="AN208" i="17" s="1"/>
  <c r="AL209" i="17"/>
  <c r="AM209" i="17" s="1"/>
  <c r="AN209" i="17" s="1"/>
  <c r="AH207" i="17"/>
  <c r="AL206" i="17"/>
  <c r="AM206" i="17" s="1"/>
  <c r="AN206" i="17" s="1"/>
  <c r="AH206" i="17"/>
  <c r="AL205" i="17"/>
  <c r="AM205" i="17" s="1"/>
  <c r="AN205" i="17" s="1"/>
  <c r="AH208" i="17"/>
  <c r="AL207" i="17"/>
  <c r="AM207" i="17" s="1"/>
  <c r="AN207" i="17" s="1"/>
  <c r="AG207" i="15"/>
  <c r="AG207" i="17"/>
  <c r="BX771" i="15"/>
  <c r="AP206" i="15"/>
  <c r="AO206" i="17"/>
  <c r="BZ771" i="15"/>
  <c r="BT772" i="15"/>
  <c r="CH772" i="15"/>
  <c r="BY771" i="15"/>
  <c r="AO207" i="15"/>
  <c r="CB768" i="15"/>
  <c r="BW772" i="15"/>
  <c r="BV770" i="15"/>
  <c r="CH771" i="15"/>
  <c r="AP206" i="17"/>
  <c r="DC769" i="15" l="1"/>
  <c r="DE769" i="15" s="1"/>
  <c r="CS769" i="15"/>
  <c r="CO764" i="15"/>
  <c r="CT764" i="15" s="1"/>
  <c r="CJ763" i="15"/>
  <c r="CO765" i="15"/>
  <c r="CT765" i="15" s="1"/>
  <c r="CC770" i="15"/>
  <c r="CN770" i="15" s="1"/>
  <c r="CS770" i="15" s="1"/>
  <c r="CF771" i="15"/>
  <c r="CQ771" i="15" s="1"/>
  <c r="CV771" i="15" s="1"/>
  <c r="CE771" i="15"/>
  <c r="CP771" i="15" s="1"/>
  <c r="CU771" i="15" s="1"/>
  <c r="CD771" i="15"/>
  <c r="CO771" i="15" s="1"/>
  <c r="BQ773" i="15"/>
  <c r="AJ205" i="15"/>
  <c r="AK205" i="15" s="1"/>
  <c r="AL205" i="15" s="1"/>
  <c r="AH206" i="15"/>
  <c r="AG208" i="15"/>
  <c r="AG208" i="17"/>
  <c r="AP207" i="15"/>
  <c r="AO207" i="17"/>
  <c r="AP207" i="17"/>
  <c r="CK764" i="15"/>
  <c r="CB769" i="15"/>
  <c r="BX772" i="15"/>
  <c r="CK765" i="15"/>
  <c r="BV771" i="15"/>
  <c r="BT773" i="15"/>
  <c r="BZ772" i="15"/>
  <c r="AO208" i="15"/>
  <c r="BW773" i="15"/>
  <c r="BY772" i="15"/>
  <c r="CH773" i="15"/>
  <c r="DC770" i="15" l="1"/>
  <c r="DE770" i="15" s="1"/>
  <c r="CO763" i="15"/>
  <c r="CT763" i="15" s="1"/>
  <c r="CJ762" i="15"/>
  <c r="CC771" i="15"/>
  <c r="CN771" i="15" s="1"/>
  <c r="CS771" i="15" s="1"/>
  <c r="CE772" i="15"/>
  <c r="CP772" i="15" s="1"/>
  <c r="CU772" i="15" s="1"/>
  <c r="CD772" i="15"/>
  <c r="CF772" i="15"/>
  <c r="CQ772" i="15" s="1"/>
  <c r="CV772" i="15" s="1"/>
  <c r="BQ774" i="15"/>
  <c r="AH204" i="15"/>
  <c r="AJ203" i="15"/>
  <c r="AK203" i="15" s="1"/>
  <c r="AL203" i="15" s="1"/>
  <c r="AM203" i="15" s="1"/>
  <c r="AN203" i="15" s="1"/>
  <c r="AG209" i="15"/>
  <c r="AG209" i="17"/>
  <c r="CB770" i="15"/>
  <c r="AO209" i="15"/>
  <c r="CH774" i="15"/>
  <c r="BZ773" i="15"/>
  <c r="AP208" i="17"/>
  <c r="AO208" i="17"/>
  <c r="BV772" i="15"/>
  <c r="CK763" i="15"/>
  <c r="AP208" i="15"/>
  <c r="BW774" i="15"/>
  <c r="BY773" i="15"/>
  <c r="BT774" i="15"/>
  <c r="BX773" i="15"/>
  <c r="CI766" i="15" l="1"/>
  <c r="CI767" i="15" s="1"/>
  <c r="DC771" i="15"/>
  <c r="DE771" i="15" s="1"/>
  <c r="CO762" i="15"/>
  <c r="CT762" i="15" s="1"/>
  <c r="CI768" i="15"/>
  <c r="CC772" i="15"/>
  <c r="CN772" i="15" s="1"/>
  <c r="CF773" i="15"/>
  <c r="CQ773" i="15" s="1"/>
  <c r="CV773" i="15" s="1"/>
  <c r="CD773" i="15"/>
  <c r="CE773" i="15"/>
  <c r="CP773" i="15" s="1"/>
  <c r="CU773" i="15" s="1"/>
  <c r="BQ775" i="15"/>
  <c r="AH207" i="15"/>
  <c r="AJ206" i="15"/>
  <c r="AK206" i="15" s="1"/>
  <c r="AL206" i="15" s="1"/>
  <c r="AM206" i="15" s="1"/>
  <c r="AN206" i="15" s="1"/>
  <c r="AJ204" i="15"/>
  <c r="AK204" i="15" s="1"/>
  <c r="AL204" i="15" s="1"/>
  <c r="AM204" i="15" s="1"/>
  <c r="AN204" i="15" s="1"/>
  <c r="AM205" i="15"/>
  <c r="AN205" i="15" s="1"/>
  <c r="AG210" i="17"/>
  <c r="AG210" i="15"/>
  <c r="BV773" i="15"/>
  <c r="BT775" i="15"/>
  <c r="BX774" i="15"/>
  <c r="AI210" i="15"/>
  <c r="BW775" i="15"/>
  <c r="BY774" i="15"/>
  <c r="CB771" i="15"/>
  <c r="AI213" i="15"/>
  <c r="AP209" i="17"/>
  <c r="AO210" i="15"/>
  <c r="CH775" i="15"/>
  <c r="AP209" i="15"/>
  <c r="BZ774" i="15"/>
  <c r="CK762" i="15"/>
  <c r="AO209" i="17"/>
  <c r="CS772" i="15" l="1"/>
  <c r="DC772" i="15"/>
  <c r="DE772" i="15" s="1"/>
  <c r="CI769" i="15"/>
  <c r="CC773" i="15"/>
  <c r="CN773" i="15" s="1"/>
  <c r="CS773" i="15" s="1"/>
  <c r="CF774" i="15"/>
  <c r="CQ774" i="15" s="1"/>
  <c r="CV774" i="15" s="1"/>
  <c r="CE774" i="15"/>
  <c r="CP774" i="15" s="1"/>
  <c r="CU774" i="15" s="1"/>
  <c r="CD774" i="15"/>
  <c r="BQ776" i="15"/>
  <c r="AG211" i="15"/>
  <c r="AG211" i="17"/>
  <c r="AI212" i="15"/>
  <c r="AO211" i="15"/>
  <c r="AI211" i="15"/>
  <c r="BZ775" i="15"/>
  <c r="AI210" i="17"/>
  <c r="AO210" i="17"/>
  <c r="BX775" i="15"/>
  <c r="BV774" i="15"/>
  <c r="CB772" i="15"/>
  <c r="AI212" i="17"/>
  <c r="AI214" i="15"/>
  <c r="BT776" i="15"/>
  <c r="CH776" i="15"/>
  <c r="AI214" i="17"/>
  <c r="BW776" i="15"/>
  <c r="CB773" i="15"/>
  <c r="BY775" i="15"/>
  <c r="AP210" i="17"/>
  <c r="AP210" i="15"/>
  <c r="AI213" i="17"/>
  <c r="AI211" i="17"/>
  <c r="AH210" i="17"/>
  <c r="AH210" i="15"/>
  <c r="CK776" i="15"/>
  <c r="DC773" i="15" l="1"/>
  <c r="DE773" i="15" s="1"/>
  <c r="CI770" i="15"/>
  <c r="CJ770" i="15" s="1"/>
  <c r="CC774" i="15"/>
  <c r="CN774" i="15" s="1"/>
  <c r="CF775" i="15"/>
  <c r="CQ775" i="15" s="1"/>
  <c r="CV775" i="15" s="1"/>
  <c r="CD775" i="15"/>
  <c r="CE775" i="15"/>
  <c r="CP775" i="15" s="1"/>
  <c r="CU775" i="15" s="1"/>
  <c r="BQ777" i="15"/>
  <c r="AH208" i="15"/>
  <c r="AJ207" i="15"/>
  <c r="AK207" i="15" s="1"/>
  <c r="AL207" i="15" s="1"/>
  <c r="AM207" i="15" s="1"/>
  <c r="AN207" i="15" s="1"/>
  <c r="AH211" i="17"/>
  <c r="AL210" i="17"/>
  <c r="AM210" i="17" s="1"/>
  <c r="AN210" i="17" s="1"/>
  <c r="AH214" i="17"/>
  <c r="AL213" i="17"/>
  <c r="AM213" i="17" s="1"/>
  <c r="AN213" i="17" s="1"/>
  <c r="AL214" i="17"/>
  <c r="AM214" i="17" s="1"/>
  <c r="AN214" i="17" s="1"/>
  <c r="AH212" i="17"/>
  <c r="AL211" i="17"/>
  <c r="AM211" i="17" s="1"/>
  <c r="AN211" i="17" s="1"/>
  <c r="AH213" i="17"/>
  <c r="AL212" i="17"/>
  <c r="AM212" i="17" s="1"/>
  <c r="AN212" i="17" s="1"/>
  <c r="AG212" i="15"/>
  <c r="AG212" i="17"/>
  <c r="BW777" i="15"/>
  <c r="BX776" i="15"/>
  <c r="BV775" i="15"/>
  <c r="AP211" i="15"/>
  <c r="BZ776" i="15"/>
  <c r="AP211" i="17"/>
  <c r="CH777" i="15"/>
  <c r="AO212" i="15"/>
  <c r="BT777" i="15"/>
  <c r="AO211" i="17"/>
  <c r="BY776" i="15"/>
  <c r="CS774" i="15" l="1"/>
  <c r="CO770" i="15"/>
  <c r="CJ769" i="15"/>
  <c r="CC775" i="15"/>
  <c r="CN775" i="15" s="1"/>
  <c r="CS775" i="15" s="1"/>
  <c r="CD776" i="15"/>
  <c r="CO776" i="15" s="1"/>
  <c r="CE776" i="15"/>
  <c r="CP776" i="15" s="1"/>
  <c r="CU776" i="15" s="1"/>
  <c r="CF776" i="15"/>
  <c r="CQ776" i="15" s="1"/>
  <c r="CV776" i="15" s="1"/>
  <c r="BQ778" i="15"/>
  <c r="AJ210" i="15"/>
  <c r="AK210" i="15" s="1"/>
  <c r="AL210" i="15" s="1"/>
  <c r="AH211" i="15"/>
  <c r="AG213" i="15"/>
  <c r="AG213" i="17"/>
  <c r="BX777" i="15"/>
  <c r="CH778" i="15"/>
  <c r="BV776" i="15"/>
  <c r="BY777" i="15"/>
  <c r="BT778" i="15"/>
  <c r="CB774" i="15"/>
  <c r="AO213" i="15"/>
  <c r="BZ777" i="15"/>
  <c r="AO212" i="17"/>
  <c r="AP212" i="15"/>
  <c r="AP212" i="17"/>
  <c r="CK770" i="15"/>
  <c r="BW778" i="15"/>
  <c r="CT770" i="15" l="1"/>
  <c r="CT766" i="15"/>
  <c r="CO769" i="15"/>
  <c r="CT769" i="15" s="1"/>
  <c r="CJ768" i="15"/>
  <c r="CC776" i="15"/>
  <c r="CN776" i="15" s="1"/>
  <c r="CS776" i="15" s="1"/>
  <c r="CF777" i="15"/>
  <c r="CQ777" i="15" s="1"/>
  <c r="CV777" i="15" s="1"/>
  <c r="CD777" i="15"/>
  <c r="CE777" i="15"/>
  <c r="CP777" i="15" s="1"/>
  <c r="CU777" i="15" s="1"/>
  <c r="BQ779" i="15"/>
  <c r="AH209" i="15"/>
  <c r="AJ208" i="15"/>
  <c r="AK208" i="15" s="1"/>
  <c r="AL208" i="15" s="1"/>
  <c r="AM208" i="15" s="1"/>
  <c r="AN208" i="15" s="1"/>
  <c r="AG214" i="17"/>
  <c r="AG214" i="15"/>
  <c r="AO213" i="17"/>
  <c r="BZ778" i="15"/>
  <c r="BV777" i="15"/>
  <c r="BX778" i="15"/>
  <c r="AP213" i="15"/>
  <c r="BT779" i="15"/>
  <c r="BY778" i="15"/>
  <c r="CK769" i="15"/>
  <c r="BW779" i="15"/>
  <c r="CB775" i="15"/>
  <c r="CH779" i="15"/>
  <c r="AP213" i="17"/>
  <c r="AO214" i="15"/>
  <c r="CI771" i="15" l="1"/>
  <c r="CI772" i="15" s="1"/>
  <c r="CO768" i="15"/>
  <c r="CT768" i="15" s="1"/>
  <c r="CJ767" i="15"/>
  <c r="CI773" i="15"/>
  <c r="CC777" i="15"/>
  <c r="CN777" i="15" s="1"/>
  <c r="CE778" i="15"/>
  <c r="CP778" i="15" s="1"/>
  <c r="CU778" i="15" s="1"/>
  <c r="CF778" i="15"/>
  <c r="CQ778" i="15" s="1"/>
  <c r="CV778" i="15" s="1"/>
  <c r="CD778" i="15"/>
  <c r="BQ780" i="15"/>
  <c r="AH212" i="15"/>
  <c r="AJ211" i="15"/>
  <c r="AK211" i="15" s="1"/>
  <c r="AL211" i="15" s="1"/>
  <c r="AM211" i="15" s="1"/>
  <c r="AN211" i="15" s="1"/>
  <c r="AJ209" i="15"/>
  <c r="AK209" i="15" s="1"/>
  <c r="AL209" i="15" s="1"/>
  <c r="AM209" i="15" s="1"/>
  <c r="AN209" i="15" s="1"/>
  <c r="AM210" i="15"/>
  <c r="AN210" i="15" s="1"/>
  <c r="AG215" i="15"/>
  <c r="AG215" i="17"/>
  <c r="AI215" i="15"/>
  <c r="AO215" i="15"/>
  <c r="CH780" i="15"/>
  <c r="AP214" i="15"/>
  <c r="BT780" i="15"/>
  <c r="BW780" i="15"/>
  <c r="CK768" i="15"/>
  <c r="BZ779" i="15"/>
  <c r="AI218" i="15"/>
  <c r="AI219" i="15"/>
  <c r="AI216" i="15"/>
  <c r="AO214" i="17"/>
  <c r="AP214" i="17"/>
  <c r="CB776" i="15"/>
  <c r="BY779" i="15"/>
  <c r="BX779" i="15"/>
  <c r="AI217" i="15"/>
  <c r="BV778" i="15"/>
  <c r="CS777" i="15" l="1"/>
  <c r="CO767" i="15"/>
  <c r="CT767" i="15" s="1"/>
  <c r="CI774" i="15"/>
  <c r="CC778" i="15"/>
  <c r="CN778" i="15" s="1"/>
  <c r="CS778" i="15" s="1"/>
  <c r="CE779" i="15"/>
  <c r="CP779" i="15" s="1"/>
  <c r="CU779" i="15" s="1"/>
  <c r="CF779" i="15"/>
  <c r="CQ779" i="15" s="1"/>
  <c r="CV779" i="15" s="1"/>
  <c r="CD779" i="15"/>
  <c r="BQ781" i="15"/>
  <c r="AG216" i="15"/>
  <c r="AG216" i="17"/>
  <c r="AP215" i="17"/>
  <c r="AI216" i="17"/>
  <c r="BW781" i="15"/>
  <c r="BZ780" i="15"/>
  <c r="BX780" i="15"/>
  <c r="AH215" i="15"/>
  <c r="AO216" i="15"/>
  <c r="BT781" i="15"/>
  <c r="AI218" i="17"/>
  <c r="AI219" i="17"/>
  <c r="AI215" i="17"/>
  <c r="AI217" i="17"/>
  <c r="BY780" i="15"/>
  <c r="AH215" i="17"/>
  <c r="CK781" i="15"/>
  <c r="CB777" i="15"/>
  <c r="CK767" i="15"/>
  <c r="AO215" i="17"/>
  <c r="CH781" i="15"/>
  <c r="BV779" i="15"/>
  <c r="AP215" i="15"/>
  <c r="CI775" i="15" l="1"/>
  <c r="CJ775" i="15" s="1"/>
  <c r="CJ774" i="15" s="1"/>
  <c r="CC779" i="15"/>
  <c r="CN779" i="15" s="1"/>
  <c r="CE780" i="15"/>
  <c r="CP780" i="15" s="1"/>
  <c r="CU780" i="15" s="1"/>
  <c r="CD780" i="15"/>
  <c r="CF780" i="15"/>
  <c r="CQ780" i="15" s="1"/>
  <c r="CV780" i="15" s="1"/>
  <c r="BQ782" i="15"/>
  <c r="AH213" i="15"/>
  <c r="AJ212" i="15"/>
  <c r="AK212" i="15" s="1"/>
  <c r="AL212" i="15" s="1"/>
  <c r="AM212" i="15" s="1"/>
  <c r="AN212" i="15" s="1"/>
  <c r="AL219" i="17"/>
  <c r="AM219" i="17" s="1"/>
  <c r="AN219" i="17" s="1"/>
  <c r="AL217" i="17"/>
  <c r="AM217" i="17" s="1"/>
  <c r="AN217" i="17" s="1"/>
  <c r="AH218" i="17"/>
  <c r="AH216" i="17"/>
  <c r="AL215" i="17"/>
  <c r="AM215" i="17" s="1"/>
  <c r="AN215" i="17" s="1"/>
  <c r="AH217" i="17"/>
  <c r="AL216" i="17"/>
  <c r="AM216" i="17" s="1"/>
  <c r="AN216" i="17" s="1"/>
  <c r="AH219" i="17"/>
  <c r="AL218" i="17"/>
  <c r="AM218" i="17" s="1"/>
  <c r="AN218" i="17" s="1"/>
  <c r="AG217" i="17"/>
  <c r="AG217" i="15"/>
  <c r="AO217" i="15"/>
  <c r="BW782" i="15"/>
  <c r="BX781" i="15"/>
  <c r="BT782" i="15"/>
  <c r="BV780" i="15"/>
  <c r="AP216" i="15"/>
  <c r="CH782" i="15"/>
  <c r="CB778" i="15"/>
  <c r="AP216" i="17"/>
  <c r="AO216" i="17"/>
  <c r="BZ781" i="15"/>
  <c r="BY781" i="15"/>
  <c r="CS779" i="15" l="1"/>
  <c r="CO774" i="15"/>
  <c r="CT774" i="15" s="1"/>
  <c r="CJ773" i="15"/>
  <c r="CO775" i="15"/>
  <c r="CC780" i="15"/>
  <c r="CN780" i="15" s="1"/>
  <c r="CS780" i="15" s="1"/>
  <c r="CF781" i="15"/>
  <c r="CQ781" i="15" s="1"/>
  <c r="CV781" i="15" s="1"/>
  <c r="CD781" i="15"/>
  <c r="CO781" i="15" s="1"/>
  <c r="CE781" i="15"/>
  <c r="CP781" i="15" s="1"/>
  <c r="CU781" i="15" s="1"/>
  <c r="BQ783" i="15"/>
  <c r="AH216" i="15"/>
  <c r="AJ215" i="15"/>
  <c r="AK215" i="15" s="1"/>
  <c r="AL215" i="15" s="1"/>
  <c r="AG218" i="17"/>
  <c r="AG218" i="15"/>
  <c r="BT783" i="15"/>
  <c r="BX782" i="15"/>
  <c r="BV781" i="15"/>
  <c r="CH783" i="15"/>
  <c r="CB779" i="15"/>
  <c r="AO218" i="15"/>
  <c r="BW783" i="15"/>
  <c r="BZ782" i="15"/>
  <c r="CB780" i="15"/>
  <c r="BY782" i="15"/>
  <c r="AP217" i="15"/>
  <c r="AP217" i="17"/>
  <c r="CK774" i="15"/>
  <c r="AO217" i="17"/>
  <c r="CK775" i="15"/>
  <c r="CT775" i="15" l="1"/>
  <c r="CT771" i="15"/>
  <c r="CI776" i="15"/>
  <c r="CI777" i="15" s="1"/>
  <c r="CO773" i="15"/>
  <c r="CT773" i="15" s="1"/>
  <c r="CJ772" i="15"/>
  <c r="CC781" i="15"/>
  <c r="CN781" i="15" s="1"/>
  <c r="CS781" i="15" s="1"/>
  <c r="CF782" i="15"/>
  <c r="CQ782" i="15" s="1"/>
  <c r="CV782" i="15" s="1"/>
  <c r="CE782" i="15"/>
  <c r="CP782" i="15" s="1"/>
  <c r="CU782" i="15" s="1"/>
  <c r="CD782" i="15"/>
  <c r="BQ784" i="15"/>
  <c r="AH214" i="15"/>
  <c r="AJ213" i="15"/>
  <c r="AK213" i="15" s="1"/>
  <c r="AL213" i="15" s="1"/>
  <c r="AM213" i="15" s="1"/>
  <c r="AN213" i="15" s="1"/>
  <c r="AG219" i="15"/>
  <c r="AG219" i="17"/>
  <c r="CK773" i="15"/>
  <c r="AP218" i="15"/>
  <c r="BZ783" i="15"/>
  <c r="AO218" i="17"/>
  <c r="BY783" i="15"/>
  <c r="BV782" i="15"/>
  <c r="AP218" i="17"/>
  <c r="BX783" i="15"/>
  <c r="AO219" i="15"/>
  <c r="BW784" i="15"/>
  <c r="BT784" i="15"/>
  <c r="CO772" i="15" l="1"/>
  <c r="CT772" i="15" s="1"/>
  <c r="CI778" i="15"/>
  <c r="CC782" i="15"/>
  <c r="CN782" i="15" s="1"/>
  <c r="CD783" i="15"/>
  <c r="CF783" i="15"/>
  <c r="CQ783" i="15" s="1"/>
  <c r="CV783" i="15" s="1"/>
  <c r="CE783" i="15"/>
  <c r="CP783" i="15" s="1"/>
  <c r="CU783" i="15" s="1"/>
  <c r="BQ785" i="15"/>
  <c r="AJ214" i="15"/>
  <c r="AK214" i="15" s="1"/>
  <c r="AL214" i="15" s="1"/>
  <c r="AM214" i="15" s="1"/>
  <c r="AN214" i="15" s="1"/>
  <c r="AM215" i="15"/>
  <c r="AN215" i="15" s="1"/>
  <c r="AH217" i="15"/>
  <c r="AJ216" i="15"/>
  <c r="AK216" i="15" s="1"/>
  <c r="AL216" i="15" s="1"/>
  <c r="AM216" i="15" s="1"/>
  <c r="AN216" i="15" s="1"/>
  <c r="AG220" i="15"/>
  <c r="AG220" i="17"/>
  <c r="AI220" i="15"/>
  <c r="AI224" i="15"/>
  <c r="BY784" i="15"/>
  <c r="BW785" i="15"/>
  <c r="CB781" i="15"/>
  <c r="CH784" i="15"/>
  <c r="AO219" i="17"/>
  <c r="CK772" i="15"/>
  <c r="CH785" i="15"/>
  <c r="BX784" i="15"/>
  <c r="AO220" i="15"/>
  <c r="AI223" i="15"/>
  <c r="AI221" i="15"/>
  <c r="AP219" i="15"/>
  <c r="AI222" i="15"/>
  <c r="BV783" i="15"/>
  <c r="CB782" i="15"/>
  <c r="BZ784" i="15"/>
  <c r="AP219" i="17"/>
  <c r="BT785" i="15"/>
  <c r="CS782" i="15" l="1"/>
  <c r="CI779" i="15"/>
  <c r="CC783" i="15"/>
  <c r="CN783" i="15" s="1"/>
  <c r="CS783" i="15" s="1"/>
  <c r="CD784" i="15"/>
  <c r="CE784" i="15"/>
  <c r="CP784" i="15" s="1"/>
  <c r="CU784" i="15" s="1"/>
  <c r="CF784" i="15"/>
  <c r="CQ784" i="15" s="1"/>
  <c r="CV784" i="15" s="1"/>
  <c r="BQ786" i="15"/>
  <c r="AG221" i="17"/>
  <c r="AG221" i="15"/>
  <c r="BY785" i="15"/>
  <c r="AI220" i="17"/>
  <c r="BT786" i="15"/>
  <c r="AI223" i="17"/>
  <c r="AO220" i="17"/>
  <c r="AH220" i="17"/>
  <c r="AH220" i="15"/>
  <c r="BX785" i="15"/>
  <c r="AI224" i="17"/>
  <c r="AI222" i="17"/>
  <c r="BW786" i="15"/>
  <c r="BZ785" i="15"/>
  <c r="CK786" i="15"/>
  <c r="AP220" i="15"/>
  <c r="AP220" i="17"/>
  <c r="BV784" i="15"/>
  <c r="AO221" i="15"/>
  <c r="AI221" i="17"/>
  <c r="CI780" i="15" l="1"/>
  <c r="CJ780" i="15" s="1"/>
  <c r="CC784" i="15"/>
  <c r="CN784" i="15" s="1"/>
  <c r="CF785" i="15"/>
  <c r="CQ785" i="15" s="1"/>
  <c r="CV785" i="15" s="1"/>
  <c r="CD785" i="15"/>
  <c r="CE785" i="15"/>
  <c r="CP785" i="15" s="1"/>
  <c r="CU785" i="15" s="1"/>
  <c r="BQ787" i="15"/>
  <c r="AH218" i="15"/>
  <c r="AJ217" i="15"/>
  <c r="AK217" i="15" s="1"/>
  <c r="AL217" i="15" s="1"/>
  <c r="AM217" i="15" s="1"/>
  <c r="AN217" i="15" s="1"/>
  <c r="AH224" i="17"/>
  <c r="AL223" i="17"/>
  <c r="AM223" i="17" s="1"/>
  <c r="AN223" i="17" s="1"/>
  <c r="AL221" i="17"/>
  <c r="AM221" i="17" s="1"/>
  <c r="AN221" i="17" s="1"/>
  <c r="AH222" i="17"/>
  <c r="AL224" i="17"/>
  <c r="AM224" i="17" s="1"/>
  <c r="AN224" i="17" s="1"/>
  <c r="AH223" i="17"/>
  <c r="AL222" i="17"/>
  <c r="AM222" i="17" s="1"/>
  <c r="AN222" i="17" s="1"/>
  <c r="AH221" i="17"/>
  <c r="AL220" i="17"/>
  <c r="AM220" i="17" s="1"/>
  <c r="AN220" i="17" s="1"/>
  <c r="AG222" i="15"/>
  <c r="AG222" i="17"/>
  <c r="BY786" i="15"/>
  <c r="AO222" i="15"/>
  <c r="CH787" i="15"/>
  <c r="AP221" i="15"/>
  <c r="BV785" i="15"/>
  <c r="BW787" i="15"/>
  <c r="BZ786" i="15"/>
  <c r="AO221" i="17"/>
  <c r="AP221" i="17"/>
  <c r="BT787" i="15"/>
  <c r="BX786" i="15"/>
  <c r="CB783" i="15"/>
  <c r="CH786" i="15"/>
  <c r="CS784" i="15" l="1"/>
  <c r="CO780" i="15"/>
  <c r="CJ779" i="15"/>
  <c r="CC785" i="15"/>
  <c r="CN785" i="15" s="1"/>
  <c r="CS785" i="15" s="1"/>
  <c r="CE786" i="15"/>
  <c r="CP786" i="15" s="1"/>
  <c r="CU786" i="15" s="1"/>
  <c r="CF786" i="15"/>
  <c r="CQ786" i="15" s="1"/>
  <c r="CV786" i="15" s="1"/>
  <c r="CD786" i="15"/>
  <c r="CO786" i="15" s="1"/>
  <c r="BQ788" i="15"/>
  <c r="AH221" i="15"/>
  <c r="AJ220" i="15"/>
  <c r="AK220" i="15" s="1"/>
  <c r="AL220" i="15" s="1"/>
  <c r="AG223" i="15"/>
  <c r="AG223" i="17"/>
  <c r="BY787" i="15"/>
  <c r="CK780" i="15"/>
  <c r="AO222" i="17"/>
  <c r="AP222" i="17"/>
  <c r="BW788" i="15"/>
  <c r="BZ787" i="15"/>
  <c r="BX787" i="15"/>
  <c r="CB784" i="15"/>
  <c r="CB785" i="15"/>
  <c r="BV786" i="15"/>
  <c r="AP222" i="15"/>
  <c r="AO223" i="15"/>
  <c r="CH788" i="15"/>
  <c r="BT788" i="15"/>
  <c r="CT780" i="15" l="1"/>
  <c r="CT776" i="15"/>
  <c r="CI781" i="15"/>
  <c r="CI782" i="15" s="1"/>
  <c r="CO779" i="15"/>
  <c r="CT779" i="15" s="1"/>
  <c r="CJ778" i="15"/>
  <c r="CC786" i="15"/>
  <c r="CN786" i="15" s="1"/>
  <c r="CS786" i="15" s="1"/>
  <c r="CE787" i="15"/>
  <c r="CP787" i="15" s="1"/>
  <c r="CU787" i="15" s="1"/>
  <c r="CF787" i="15"/>
  <c r="CQ787" i="15" s="1"/>
  <c r="CV787" i="15" s="1"/>
  <c r="CD787" i="15"/>
  <c r="BQ789" i="15"/>
  <c r="AH219" i="15"/>
  <c r="AJ218" i="15"/>
  <c r="AK218" i="15" s="1"/>
  <c r="AL218" i="15" s="1"/>
  <c r="AM218" i="15" s="1"/>
  <c r="AN218" i="15" s="1"/>
  <c r="AG224" i="15"/>
  <c r="AG224" i="17"/>
  <c r="AO223" i="17"/>
  <c r="AP223" i="17"/>
  <c r="BZ788" i="15"/>
  <c r="BX788" i="15"/>
  <c r="BV787" i="15"/>
  <c r="BY788" i="15"/>
  <c r="AP223" i="15"/>
  <c r="CK779" i="15"/>
  <c r="AO224" i="15"/>
  <c r="CH789" i="15"/>
  <c r="BW789" i="15"/>
  <c r="CO778" i="15" l="1"/>
  <c r="CT778" i="15" s="1"/>
  <c r="CJ777" i="15"/>
  <c r="CI783" i="15"/>
  <c r="CC787" i="15"/>
  <c r="CN787" i="15" s="1"/>
  <c r="CE788" i="15"/>
  <c r="CP788" i="15" s="1"/>
  <c r="CU788" i="15" s="1"/>
  <c r="CD788" i="15"/>
  <c r="CF788" i="15"/>
  <c r="CQ788" i="15" s="1"/>
  <c r="CV788" i="15" s="1"/>
  <c r="BQ790" i="15"/>
  <c r="AH222" i="15"/>
  <c r="AJ221" i="15"/>
  <c r="AK221" i="15" s="1"/>
  <c r="AL221" i="15" s="1"/>
  <c r="AM221" i="15" s="1"/>
  <c r="AN221" i="15" s="1"/>
  <c r="AJ219" i="15"/>
  <c r="AK219" i="15" s="1"/>
  <c r="AL219" i="15" s="1"/>
  <c r="AM219" i="15" s="1"/>
  <c r="AN219" i="15" s="1"/>
  <c r="AM220" i="15"/>
  <c r="AN220" i="15" s="1"/>
  <c r="AG225" i="17"/>
  <c r="AG225" i="15"/>
  <c r="CK778" i="15"/>
  <c r="AP224" i="17"/>
  <c r="BY789" i="15"/>
  <c r="CH790" i="15"/>
  <c r="AP224" i="15"/>
  <c r="AI227" i="15"/>
  <c r="BX789" i="15"/>
  <c r="BW790" i="15"/>
  <c r="AI225" i="15"/>
  <c r="AI226" i="15"/>
  <c r="BV788" i="15"/>
  <c r="AI228" i="15"/>
  <c r="BT789" i="15"/>
  <c r="BT790" i="15"/>
  <c r="BZ789" i="15"/>
  <c r="AO225" i="15"/>
  <c r="CB786" i="15"/>
  <c r="AO224" i="17"/>
  <c r="AI229" i="15"/>
  <c r="CS787" i="15" l="1"/>
  <c r="CO777" i="15"/>
  <c r="CT777" i="15" s="1"/>
  <c r="CI784" i="15"/>
  <c r="CC788" i="15"/>
  <c r="CN788" i="15" s="1"/>
  <c r="CS788" i="15" s="1"/>
  <c r="CF789" i="15"/>
  <c r="CQ789" i="15" s="1"/>
  <c r="CV789" i="15" s="1"/>
  <c r="CD789" i="15"/>
  <c r="CE789" i="15"/>
  <c r="CP789" i="15" s="1"/>
  <c r="CU789" i="15" s="1"/>
  <c r="BQ791" i="15"/>
  <c r="AG226" i="17"/>
  <c r="AG226" i="15"/>
  <c r="AO226" i="15"/>
  <c r="AI225" i="17"/>
  <c r="AI226" i="17"/>
  <c r="AI227" i="17"/>
  <c r="BW791" i="15"/>
  <c r="BY790" i="15"/>
  <c r="BV789" i="15"/>
  <c r="AI229" i="17"/>
  <c r="CB787" i="15"/>
  <c r="CK777" i="15"/>
  <c r="AI228" i="17"/>
  <c r="AO225" i="17"/>
  <c r="BX790" i="15"/>
  <c r="AP225" i="17"/>
  <c r="CK791" i="15"/>
  <c r="AH225" i="15"/>
  <c r="AP225" i="15"/>
  <c r="AH225" i="17"/>
  <c r="BZ790" i="15"/>
  <c r="BT791" i="15"/>
  <c r="CH791" i="15"/>
  <c r="CI785" i="15" l="1"/>
  <c r="CJ785" i="15" s="1"/>
  <c r="CJ784" i="15" s="1"/>
  <c r="CC789" i="15"/>
  <c r="CN789" i="15" s="1"/>
  <c r="CF790" i="15"/>
  <c r="CQ790" i="15" s="1"/>
  <c r="CV790" i="15" s="1"/>
  <c r="CE790" i="15"/>
  <c r="CP790" i="15" s="1"/>
  <c r="CU790" i="15" s="1"/>
  <c r="CD790" i="15"/>
  <c r="BQ792" i="15"/>
  <c r="AH223" i="15"/>
  <c r="AJ222" i="15"/>
  <c r="AK222" i="15" s="1"/>
  <c r="AL222" i="15" s="1"/>
  <c r="AM222" i="15" s="1"/>
  <c r="AN222" i="15" s="1"/>
  <c r="AH227" i="17"/>
  <c r="AL226" i="17"/>
  <c r="AM226" i="17" s="1"/>
  <c r="AN226" i="17" s="1"/>
  <c r="AL227" i="17"/>
  <c r="AM227" i="17" s="1"/>
  <c r="AN227" i="17" s="1"/>
  <c r="AH228" i="17"/>
  <c r="AL229" i="17"/>
  <c r="AM229" i="17" s="1"/>
  <c r="AN229" i="17" s="1"/>
  <c r="AL228" i="17"/>
  <c r="AM228" i="17" s="1"/>
  <c r="AN228" i="17" s="1"/>
  <c r="AH229" i="17"/>
  <c r="AL225" i="17"/>
  <c r="AM225" i="17" s="1"/>
  <c r="AN225" i="17" s="1"/>
  <c r="AH226" i="17"/>
  <c r="AG227" i="17"/>
  <c r="AG227" i="15"/>
  <c r="AO226" i="17"/>
  <c r="BZ791" i="15"/>
  <c r="AP226" i="17"/>
  <c r="BY791" i="15"/>
  <c r="BT792" i="15"/>
  <c r="CB788" i="15"/>
  <c r="BW792" i="15"/>
  <c r="CH792" i="15"/>
  <c r="AP226" i="15"/>
  <c r="BX791" i="15"/>
  <c r="BV790" i="15"/>
  <c r="AO227" i="15"/>
  <c r="CS789" i="15" l="1"/>
  <c r="CO784" i="15"/>
  <c r="CT784" i="15" s="1"/>
  <c r="CJ783" i="15"/>
  <c r="CO785" i="15"/>
  <c r="CC790" i="15"/>
  <c r="CN790" i="15" s="1"/>
  <c r="CS790" i="15" s="1"/>
  <c r="CD791" i="15"/>
  <c r="CO791" i="15" s="1"/>
  <c r="CF791" i="15"/>
  <c r="CQ791" i="15" s="1"/>
  <c r="CV791" i="15" s="1"/>
  <c r="CE791" i="15"/>
  <c r="CP791" i="15" s="1"/>
  <c r="CU791" i="15" s="1"/>
  <c r="BQ793" i="15"/>
  <c r="AH226" i="15"/>
  <c r="AJ225" i="15"/>
  <c r="AK225" i="15" s="1"/>
  <c r="AL225" i="15" s="1"/>
  <c r="AG228" i="17"/>
  <c r="AG228" i="15"/>
  <c r="BY792" i="15"/>
  <c r="AP227" i="17"/>
  <c r="BZ792" i="15"/>
  <c r="BX792" i="15"/>
  <c r="CK785" i="15"/>
  <c r="BT793" i="15"/>
  <c r="AO227" i="17"/>
  <c r="CK784" i="15"/>
  <c r="CB790" i="15"/>
  <c r="AO228" i="15"/>
  <c r="CB789" i="15"/>
  <c r="CH793" i="15"/>
  <c r="AP227" i="15"/>
  <c r="BV791" i="15"/>
  <c r="CT785" i="15" l="1"/>
  <c r="CT781" i="15"/>
  <c r="CI786" i="15"/>
  <c r="CI787" i="15" s="1"/>
  <c r="CO783" i="15"/>
  <c r="CT783" i="15" s="1"/>
  <c r="CJ782" i="15"/>
  <c r="CC791" i="15"/>
  <c r="CN791" i="15" s="1"/>
  <c r="CS791" i="15" s="1"/>
  <c r="CE792" i="15"/>
  <c r="CP792" i="15" s="1"/>
  <c r="CU792" i="15" s="1"/>
  <c r="CD792" i="15"/>
  <c r="CF792" i="15"/>
  <c r="CQ792" i="15" s="1"/>
  <c r="CV792" i="15" s="1"/>
  <c r="BQ794" i="15"/>
  <c r="AH224" i="15"/>
  <c r="AJ223" i="15"/>
  <c r="AK223" i="15" s="1"/>
  <c r="AL223" i="15" s="1"/>
  <c r="AM223" i="15" s="1"/>
  <c r="AN223" i="15" s="1"/>
  <c r="AG229" i="15"/>
  <c r="AG229" i="17"/>
  <c r="CK783" i="15"/>
  <c r="AO228" i="17"/>
  <c r="AP228" i="15"/>
  <c r="BW793" i="15"/>
  <c r="BY793" i="15"/>
  <c r="BX793" i="15"/>
  <c r="AP228" i="17"/>
  <c r="BZ793" i="15"/>
  <c r="CH794" i="15"/>
  <c r="BV792" i="15"/>
  <c r="AO229" i="15"/>
  <c r="BT794" i="15"/>
  <c r="CO782" i="15" l="1"/>
  <c r="CT782" i="15" s="1"/>
  <c r="CI788" i="15"/>
  <c r="CC792" i="15"/>
  <c r="CN792" i="15" s="1"/>
  <c r="CD793" i="15"/>
  <c r="CF793" i="15"/>
  <c r="CQ793" i="15" s="1"/>
  <c r="CV793" i="15" s="1"/>
  <c r="CE793" i="15"/>
  <c r="CP793" i="15" s="1"/>
  <c r="CU793" i="15" s="1"/>
  <c r="BQ795" i="15"/>
  <c r="AJ224" i="15"/>
  <c r="AK224" i="15" s="1"/>
  <c r="AL224" i="15" s="1"/>
  <c r="AM224" i="15" s="1"/>
  <c r="AN224" i="15" s="1"/>
  <c r="AM225" i="15"/>
  <c r="AN225" i="15" s="1"/>
  <c r="AH227" i="15"/>
  <c r="AJ226" i="15"/>
  <c r="AK226" i="15" s="1"/>
  <c r="AL226" i="15" s="1"/>
  <c r="AM226" i="15" s="1"/>
  <c r="AN226" i="15" s="1"/>
  <c r="AG230" i="17"/>
  <c r="AG230" i="15"/>
  <c r="BW794" i="15"/>
  <c r="AI230" i="15"/>
  <c r="AI233" i="15"/>
  <c r="CH795" i="15"/>
  <c r="BY794" i="15"/>
  <c r="BW795" i="15"/>
  <c r="AP229" i="17"/>
  <c r="BX794" i="15"/>
  <c r="AI232" i="15"/>
  <c r="AO229" i="17"/>
  <c r="BV793" i="15"/>
  <c r="CK782" i="15"/>
  <c r="AP229" i="15"/>
  <c r="CB791" i="15"/>
  <c r="BT795" i="15"/>
  <c r="AI234" i="15"/>
  <c r="AI231" i="15"/>
  <c r="BZ794" i="15"/>
  <c r="CS792" i="15" l="1"/>
  <c r="CI789" i="15"/>
  <c r="CC793" i="15"/>
  <c r="CN793" i="15" s="1"/>
  <c r="CS793" i="15" s="1"/>
  <c r="CE794" i="15"/>
  <c r="CP794" i="15" s="1"/>
  <c r="CU794" i="15" s="1"/>
  <c r="CF794" i="15"/>
  <c r="CQ794" i="15" s="1"/>
  <c r="CV794" i="15" s="1"/>
  <c r="CD794" i="15"/>
  <c r="BQ796" i="15"/>
  <c r="AG231" i="17"/>
  <c r="AG231" i="15"/>
  <c r="AP230" i="15"/>
  <c r="AI232" i="17"/>
  <c r="BY795" i="15"/>
  <c r="AI230" i="17"/>
  <c r="AI233" i="17"/>
  <c r="AH230" i="15"/>
  <c r="AO230" i="15"/>
  <c r="BX795" i="15"/>
  <c r="AP230" i="17"/>
  <c r="BZ795" i="15"/>
  <c r="CH796" i="15"/>
  <c r="AI231" i="17"/>
  <c r="AO231" i="15"/>
  <c r="BV794" i="15"/>
  <c r="AO230" i="17"/>
  <c r="AI234" i="17"/>
  <c r="CB792" i="15"/>
  <c r="AH230" i="17"/>
  <c r="CI790" i="15" l="1"/>
  <c r="CJ790" i="15" s="1"/>
  <c r="CC794" i="15"/>
  <c r="CN794" i="15" s="1"/>
  <c r="CF795" i="15"/>
  <c r="CQ795" i="15" s="1"/>
  <c r="CV795" i="15" s="1"/>
  <c r="CE795" i="15"/>
  <c r="CP795" i="15" s="1"/>
  <c r="CU795" i="15" s="1"/>
  <c r="CD795" i="15"/>
  <c r="BQ797" i="15"/>
  <c r="AH228" i="15"/>
  <c r="AJ227" i="15"/>
  <c r="AK227" i="15" s="1"/>
  <c r="AL227" i="15" s="1"/>
  <c r="AM227" i="15" s="1"/>
  <c r="AN227" i="15" s="1"/>
  <c r="AH231" i="17"/>
  <c r="AL230" i="17"/>
  <c r="AM230" i="17" s="1"/>
  <c r="AN230" i="17" s="1"/>
  <c r="AL233" i="17"/>
  <c r="AM233" i="17" s="1"/>
  <c r="AN233" i="17" s="1"/>
  <c r="AH234" i="17"/>
  <c r="AL232" i="17"/>
  <c r="AM232" i="17" s="1"/>
  <c r="AN232" i="17" s="1"/>
  <c r="AH233" i="17"/>
  <c r="AH232" i="17"/>
  <c r="AL231" i="17"/>
  <c r="AM231" i="17" s="1"/>
  <c r="AN231" i="17" s="1"/>
  <c r="AL234" i="17"/>
  <c r="AM234" i="17" s="1"/>
  <c r="AN234" i="17" s="1"/>
  <c r="AG232" i="15"/>
  <c r="AG232" i="17"/>
  <c r="BY796" i="15"/>
  <c r="BT796" i="15"/>
  <c r="BX796" i="15"/>
  <c r="AO231" i="17"/>
  <c r="BZ796" i="15"/>
  <c r="AO232" i="15"/>
  <c r="CB793" i="15"/>
  <c r="BT797" i="15"/>
  <c r="CH797" i="15"/>
  <c r="CK796" i="15"/>
  <c r="BW797" i="15"/>
  <c r="AP231" i="17"/>
  <c r="BW796" i="15"/>
  <c r="BV795" i="15"/>
  <c r="AP231" i="15"/>
  <c r="CN795" i="15" l="1"/>
  <c r="CS795" i="15" s="1"/>
  <c r="CS794" i="15"/>
  <c r="CO790" i="15"/>
  <c r="CJ789" i="15"/>
  <c r="CC795" i="15"/>
  <c r="CE796" i="15"/>
  <c r="CP796" i="15" s="1"/>
  <c r="CU796" i="15" s="1"/>
  <c r="CD796" i="15"/>
  <c r="CO796" i="15" s="1"/>
  <c r="CF796" i="15"/>
  <c r="CQ796" i="15" s="1"/>
  <c r="CV796" i="15" s="1"/>
  <c r="BQ798" i="15"/>
  <c r="AJ230" i="15"/>
  <c r="AK230" i="15" s="1"/>
  <c r="AL230" i="15" s="1"/>
  <c r="AH231" i="15"/>
  <c r="AG233" i="17"/>
  <c r="AG233" i="15"/>
  <c r="CB794" i="15"/>
  <c r="BW798" i="15"/>
  <c r="BY797" i="15"/>
  <c r="CK790" i="15"/>
  <c r="AO232" i="17"/>
  <c r="BX797" i="15"/>
  <c r="AP232" i="17"/>
  <c r="CH798" i="15"/>
  <c r="AP232" i="15"/>
  <c r="CB795" i="15"/>
  <c r="BV796" i="15"/>
  <c r="BZ797" i="15"/>
  <c r="BT798" i="15"/>
  <c r="AO233" i="15"/>
  <c r="CT790" i="15" l="1"/>
  <c r="CT786" i="15"/>
  <c r="CT791" i="15"/>
  <c r="CI791" i="15"/>
  <c r="CI792" i="15" s="1"/>
  <c r="CO789" i="15"/>
  <c r="CT789" i="15" s="1"/>
  <c r="CJ788" i="15"/>
  <c r="CC796" i="15"/>
  <c r="CN796" i="15" s="1"/>
  <c r="CS796" i="15" s="1"/>
  <c r="CF797" i="15"/>
  <c r="CQ797" i="15" s="1"/>
  <c r="CV797" i="15" s="1"/>
  <c r="CD797" i="15"/>
  <c r="CE797" i="15"/>
  <c r="CP797" i="15" s="1"/>
  <c r="CU797" i="15" s="1"/>
  <c r="BQ799" i="15"/>
  <c r="AH229" i="15"/>
  <c r="AJ228" i="15"/>
  <c r="AK228" i="15" s="1"/>
  <c r="AL228" i="15" s="1"/>
  <c r="AM228" i="15" s="1"/>
  <c r="AN228" i="15" s="1"/>
  <c r="AG234" i="17"/>
  <c r="AG234" i="15"/>
  <c r="BX798" i="15"/>
  <c r="BV797" i="15"/>
  <c r="BY798" i="15"/>
  <c r="CH799" i="15"/>
  <c r="AP233" i="17"/>
  <c r="BZ798" i="15"/>
  <c r="AP233" i="15"/>
  <c r="CK789" i="15"/>
  <c r="AO233" i="17"/>
  <c r="BT799" i="15"/>
  <c r="AO234" i="15"/>
  <c r="CO788" i="15" l="1"/>
  <c r="CT788" i="15" s="1"/>
  <c r="CJ787" i="15"/>
  <c r="CI793" i="15"/>
  <c r="CC797" i="15"/>
  <c r="CN797" i="15" s="1"/>
  <c r="CF798" i="15"/>
  <c r="CQ798" i="15" s="1"/>
  <c r="CV798" i="15" s="1"/>
  <c r="CE798" i="15"/>
  <c r="CP798" i="15" s="1"/>
  <c r="CU798" i="15" s="1"/>
  <c r="CD798" i="15"/>
  <c r="BQ800" i="15"/>
  <c r="AJ229" i="15"/>
  <c r="AK229" i="15" s="1"/>
  <c r="AL229" i="15" s="1"/>
  <c r="AM229" i="15" s="1"/>
  <c r="AN229" i="15" s="1"/>
  <c r="AM230" i="15"/>
  <c r="AN230" i="15" s="1"/>
  <c r="AH232" i="15"/>
  <c r="AJ231" i="15"/>
  <c r="AK231" i="15" s="1"/>
  <c r="AL231" i="15" s="1"/>
  <c r="AM231" i="15" s="1"/>
  <c r="AN231" i="15" s="1"/>
  <c r="AG235" i="17"/>
  <c r="AG235" i="15"/>
  <c r="BW799" i="15"/>
  <c r="CB796" i="15"/>
  <c r="AI237" i="15"/>
  <c r="AO234" i="17"/>
  <c r="CH800" i="15"/>
  <c r="BT800" i="15"/>
  <c r="BV798" i="15"/>
  <c r="AI238" i="15"/>
  <c r="AI236" i="15"/>
  <c r="BX799" i="15"/>
  <c r="CK788" i="15"/>
  <c r="AI239" i="15"/>
  <c r="AP234" i="15"/>
  <c r="BZ799" i="15"/>
  <c r="AP234" i="17"/>
  <c r="BY799" i="15"/>
  <c r="BW800" i="15"/>
  <c r="AO235" i="15"/>
  <c r="AI235" i="15"/>
  <c r="CS797" i="15" l="1"/>
  <c r="CO787" i="15"/>
  <c r="CT787" i="15" s="1"/>
  <c r="CI794" i="15"/>
  <c r="CC798" i="15"/>
  <c r="CN798" i="15" s="1"/>
  <c r="CS798" i="15" s="1"/>
  <c r="CF799" i="15"/>
  <c r="CQ799" i="15" s="1"/>
  <c r="CV799" i="15" s="1"/>
  <c r="CD799" i="15"/>
  <c r="CE799" i="15"/>
  <c r="CP799" i="15" s="1"/>
  <c r="CU799" i="15" s="1"/>
  <c r="BQ801" i="15"/>
  <c r="AG236" i="15"/>
  <c r="AG236" i="17"/>
  <c r="CB797" i="15"/>
  <c r="BZ800" i="15"/>
  <c r="AP235" i="17"/>
  <c r="AO235" i="17"/>
  <c r="AH235" i="17"/>
  <c r="AO236" i="15"/>
  <c r="AI238" i="17"/>
  <c r="AI235" i="17"/>
  <c r="BV799" i="15"/>
  <c r="CB798" i="15"/>
  <c r="AP235" i="15"/>
  <c r="CH801" i="15"/>
  <c r="CK787" i="15"/>
  <c r="AI236" i="17"/>
  <c r="CK801" i="15"/>
  <c r="BW801" i="15"/>
  <c r="BX800" i="15"/>
  <c r="BY800" i="15"/>
  <c r="AI239" i="17"/>
  <c r="AH235" i="15"/>
  <c r="AI237" i="17"/>
  <c r="BT801" i="15"/>
  <c r="CI795" i="15" l="1"/>
  <c r="CJ795" i="15" s="1"/>
  <c r="CJ794" i="15" s="1"/>
  <c r="CC799" i="15"/>
  <c r="CN799" i="15" s="1"/>
  <c r="CD800" i="15"/>
  <c r="CE800" i="15"/>
  <c r="CP800" i="15" s="1"/>
  <c r="CU800" i="15" s="1"/>
  <c r="CF800" i="15"/>
  <c r="CQ800" i="15" s="1"/>
  <c r="CV800" i="15" s="1"/>
  <c r="BQ802" i="15"/>
  <c r="AH233" i="15"/>
  <c r="AJ232" i="15"/>
  <c r="AK232" i="15" s="1"/>
  <c r="AL232" i="15" s="1"/>
  <c r="AM232" i="15" s="1"/>
  <c r="AN232" i="15" s="1"/>
  <c r="AL239" i="17"/>
  <c r="AM239" i="17" s="1"/>
  <c r="AN239" i="17" s="1"/>
  <c r="AH238" i="17"/>
  <c r="AL237" i="17"/>
  <c r="AM237" i="17" s="1"/>
  <c r="AN237" i="17" s="1"/>
  <c r="AH236" i="17"/>
  <c r="AL235" i="17"/>
  <c r="AM235" i="17" s="1"/>
  <c r="AN235" i="17" s="1"/>
  <c r="AH239" i="17"/>
  <c r="AL238" i="17"/>
  <c r="AM238" i="17" s="1"/>
  <c r="AN238" i="17" s="1"/>
  <c r="AH237" i="17"/>
  <c r="AL236" i="17"/>
  <c r="AM236" i="17" s="1"/>
  <c r="AN236" i="17" s="1"/>
  <c r="AG237" i="15"/>
  <c r="AG237" i="17"/>
  <c r="CH802" i="15"/>
  <c r="AO237" i="15"/>
  <c r="BW802" i="15"/>
  <c r="AP236" i="15"/>
  <c r="BV800" i="15"/>
  <c r="BY801" i="15"/>
  <c r="BZ801" i="15"/>
  <c r="AP236" i="17"/>
  <c r="BX801" i="15"/>
  <c r="AO236" i="17"/>
  <c r="BT802" i="15"/>
  <c r="CN800" i="15" l="1"/>
  <c r="CS800" i="15" s="1"/>
  <c r="CS799" i="15"/>
  <c r="CO794" i="15"/>
  <c r="CT794" i="15" s="1"/>
  <c r="CK794" i="15"/>
  <c r="CJ793" i="15"/>
  <c r="CO795" i="15"/>
  <c r="CT795" i="15" s="1"/>
  <c r="CK795" i="15"/>
  <c r="CC800" i="15"/>
  <c r="CF801" i="15"/>
  <c r="CQ801" i="15" s="1"/>
  <c r="CV801" i="15" s="1"/>
  <c r="CD801" i="15"/>
  <c r="CO801" i="15" s="1"/>
  <c r="CE801" i="15"/>
  <c r="CP801" i="15" s="1"/>
  <c r="CU801" i="15" s="1"/>
  <c r="BQ803" i="15"/>
  <c r="AJ235" i="15"/>
  <c r="AK235" i="15" s="1"/>
  <c r="AL235" i="15" s="1"/>
  <c r="AH236" i="15"/>
  <c r="AG238" i="17"/>
  <c r="AG238" i="15"/>
  <c r="BV801" i="15"/>
  <c r="AP237" i="15"/>
  <c r="BX802" i="15"/>
  <c r="AP237" i="17"/>
  <c r="BZ802" i="15"/>
  <c r="AO238" i="15"/>
  <c r="BY802" i="15"/>
  <c r="BT803" i="15"/>
  <c r="CH803" i="15"/>
  <c r="CB800" i="15"/>
  <c r="BW803" i="15"/>
  <c r="CB799" i="15"/>
  <c r="AO237" i="17"/>
  <c r="CT796" i="15" l="1"/>
  <c r="CI796" i="15"/>
  <c r="CI797" i="15" s="1"/>
  <c r="CO793" i="15"/>
  <c r="CT793" i="15" s="1"/>
  <c r="CK793" i="15"/>
  <c r="CJ792" i="15"/>
  <c r="CC801" i="15"/>
  <c r="CN801" i="15" s="1"/>
  <c r="CS801" i="15" s="1"/>
  <c r="CE802" i="15"/>
  <c r="CP802" i="15" s="1"/>
  <c r="CU802" i="15" s="1"/>
  <c r="CF802" i="15"/>
  <c r="CQ802" i="15" s="1"/>
  <c r="CV802" i="15" s="1"/>
  <c r="CD802" i="15"/>
  <c r="BQ804" i="15"/>
  <c r="AH234" i="15"/>
  <c r="AJ233" i="15"/>
  <c r="AK233" i="15" s="1"/>
  <c r="AL233" i="15" s="1"/>
  <c r="AM233" i="15" s="1"/>
  <c r="AN233" i="15" s="1"/>
  <c r="AG239" i="17"/>
  <c r="AG239" i="15"/>
  <c r="BW804" i="15"/>
  <c r="AP238" i="15"/>
  <c r="BT804" i="15"/>
  <c r="BV802" i="15"/>
  <c r="AO239" i="15"/>
  <c r="BX803" i="15"/>
  <c r="AO238" i="17"/>
  <c r="CB801" i="15"/>
  <c r="CH804" i="15"/>
  <c r="BZ803" i="15"/>
  <c r="BY803" i="15"/>
  <c r="AP238" i="17"/>
  <c r="CI798" i="15" l="1"/>
  <c r="CO792" i="15"/>
  <c r="CT792" i="15" s="1"/>
  <c r="CK792" i="15"/>
  <c r="CC802" i="15"/>
  <c r="CN802" i="15" s="1"/>
  <c r="CF803" i="15"/>
  <c r="CQ803" i="15" s="1"/>
  <c r="CV803" i="15" s="1"/>
  <c r="CE803" i="15"/>
  <c r="CP803" i="15" s="1"/>
  <c r="CU803" i="15" s="1"/>
  <c r="CD803" i="15"/>
  <c r="BQ805" i="15"/>
  <c r="AJ234" i="15"/>
  <c r="AK234" i="15" s="1"/>
  <c r="AL234" i="15" s="1"/>
  <c r="AM234" i="15" s="1"/>
  <c r="AN234" i="15" s="1"/>
  <c r="AM235" i="15"/>
  <c r="AN235" i="15" s="1"/>
  <c r="AH237" i="15"/>
  <c r="AJ236" i="15"/>
  <c r="AK236" i="15" s="1"/>
  <c r="AL236" i="15" s="1"/>
  <c r="AM236" i="15" s="1"/>
  <c r="AN236" i="15" s="1"/>
  <c r="AG240" i="15"/>
  <c r="AG240" i="17"/>
  <c r="BY804" i="15"/>
  <c r="AI243" i="15"/>
  <c r="AI240" i="15"/>
  <c r="AI244" i="15"/>
  <c r="AP239" i="17"/>
  <c r="AI241" i="15"/>
  <c r="BV803" i="15"/>
  <c r="AP239" i="15"/>
  <c r="AO240" i="15"/>
  <c r="BX804" i="15"/>
  <c r="BZ804" i="15"/>
  <c r="AI242" i="15"/>
  <c r="BT805" i="15"/>
  <c r="AO239" i="17"/>
  <c r="CS802" i="15" l="1"/>
  <c r="CI799" i="15"/>
  <c r="CC803" i="15"/>
  <c r="CN803" i="15" s="1"/>
  <c r="CS803" i="15" s="1"/>
  <c r="CE804" i="15"/>
  <c r="CP804" i="15" s="1"/>
  <c r="CU804" i="15" s="1"/>
  <c r="CD804" i="15"/>
  <c r="CF804" i="15"/>
  <c r="CQ804" i="15" s="1"/>
  <c r="CV804" i="15" s="1"/>
  <c r="BQ806" i="15"/>
  <c r="AG241" i="15"/>
  <c r="AG241" i="17"/>
  <c r="AI242" i="17"/>
  <c r="AI244" i="17"/>
  <c r="BW806" i="15"/>
  <c r="CB802" i="15"/>
  <c r="BY805" i="15"/>
  <c r="BW805" i="15"/>
  <c r="AP240" i="17"/>
  <c r="BX805" i="15"/>
  <c r="AH240" i="15"/>
  <c r="BZ805" i="15"/>
  <c r="AI241" i="17"/>
  <c r="AI243" i="17"/>
  <c r="AH240" i="17"/>
  <c r="CK806" i="15"/>
  <c r="AO241" i="15"/>
  <c r="CH805" i="15"/>
  <c r="AO240" i="17"/>
  <c r="CH806" i="15"/>
  <c r="AP240" i="15"/>
  <c r="BV804" i="15"/>
  <c r="AI240" i="17"/>
  <c r="BT806" i="15"/>
  <c r="CI800" i="15" l="1"/>
  <c r="CJ800" i="15" s="1"/>
  <c r="CC804" i="15"/>
  <c r="CN804" i="15" s="1"/>
  <c r="CD805" i="15"/>
  <c r="CF805" i="15"/>
  <c r="CQ805" i="15" s="1"/>
  <c r="CV805" i="15" s="1"/>
  <c r="CE805" i="15"/>
  <c r="CP805" i="15" s="1"/>
  <c r="CU805" i="15" s="1"/>
  <c r="BQ807" i="15"/>
  <c r="AH238" i="15"/>
  <c r="AJ237" i="15"/>
  <c r="AK237" i="15" s="1"/>
  <c r="AL237" i="15" s="1"/>
  <c r="AM237" i="15" s="1"/>
  <c r="AN237" i="15" s="1"/>
  <c r="AL242" i="17"/>
  <c r="AM242" i="17" s="1"/>
  <c r="AN242" i="17" s="1"/>
  <c r="AH243" i="17"/>
  <c r="AL241" i="17"/>
  <c r="AM241" i="17" s="1"/>
  <c r="AN241" i="17" s="1"/>
  <c r="AH242" i="17"/>
  <c r="AL240" i="17"/>
  <c r="AM240" i="17" s="1"/>
  <c r="AN240" i="17" s="1"/>
  <c r="AH241" i="17"/>
  <c r="AL243" i="17"/>
  <c r="AM243" i="17" s="1"/>
  <c r="AN243" i="17" s="1"/>
  <c r="AH244" i="17"/>
  <c r="AL244" i="17"/>
  <c r="AM244" i="17" s="1"/>
  <c r="AN244" i="17" s="1"/>
  <c r="AG242" i="15"/>
  <c r="AG242" i="17"/>
  <c r="AO241" i="17"/>
  <c r="BX806" i="15"/>
  <c r="BW807" i="15"/>
  <c r="AP241" i="17"/>
  <c r="BY806" i="15"/>
  <c r="BZ806" i="15"/>
  <c r="BT807" i="15"/>
  <c r="AP241" i="15"/>
  <c r="CB804" i="15"/>
  <c r="AO242" i="15"/>
  <c r="CB803" i="15"/>
  <c r="BV805" i="15"/>
  <c r="CH807" i="15"/>
  <c r="CN805" i="15" l="1"/>
  <c r="CS805" i="15" s="1"/>
  <c r="CS804" i="15"/>
  <c r="CK800" i="15"/>
  <c r="CO800" i="15"/>
  <c r="CT800" i="15" s="1"/>
  <c r="CJ799" i="15"/>
  <c r="CC805" i="15"/>
  <c r="CF806" i="15"/>
  <c r="CQ806" i="15" s="1"/>
  <c r="CV806" i="15" s="1"/>
  <c r="CE806" i="15"/>
  <c r="CP806" i="15" s="1"/>
  <c r="CU806" i="15" s="1"/>
  <c r="CD806" i="15"/>
  <c r="CO806" i="15" s="1"/>
  <c r="BQ808" i="15"/>
  <c r="AJ240" i="15"/>
  <c r="AK240" i="15" s="1"/>
  <c r="AL240" i="15" s="1"/>
  <c r="AH241" i="15"/>
  <c r="AK241" i="15" s="1"/>
  <c r="AL241" i="15" s="1"/>
  <c r="AG243" i="15"/>
  <c r="AG243" i="17"/>
  <c r="AO243" i="15"/>
  <c r="AP242" i="15"/>
  <c r="BY807" i="15"/>
  <c r="AP242" i="17"/>
  <c r="BT808" i="15"/>
  <c r="AO242" i="17"/>
  <c r="BZ807" i="15"/>
  <c r="BV806" i="15"/>
  <c r="CB805" i="15"/>
  <c r="BX807" i="15"/>
  <c r="CH808" i="15"/>
  <c r="CT801" i="15" l="1"/>
  <c r="CI801" i="15"/>
  <c r="CI802" i="15" s="1"/>
  <c r="CK799" i="15"/>
  <c r="CO799" i="15"/>
  <c r="CT799" i="15" s="1"/>
  <c r="CJ798" i="15"/>
  <c r="CC806" i="15"/>
  <c r="CN806" i="15" s="1"/>
  <c r="CS806" i="15" s="1"/>
  <c r="CE807" i="15"/>
  <c r="CP807" i="15" s="1"/>
  <c r="CU807" i="15" s="1"/>
  <c r="CF807" i="15"/>
  <c r="CQ807" i="15" s="1"/>
  <c r="CV807" i="15" s="1"/>
  <c r="CD807" i="15"/>
  <c r="BQ809" i="15"/>
  <c r="AH239" i="15"/>
  <c r="AJ238" i="15"/>
  <c r="AK238" i="15" s="1"/>
  <c r="AL238" i="15" s="1"/>
  <c r="AM238" i="15" s="1"/>
  <c r="AN238" i="15" s="1"/>
  <c r="AG244" i="15"/>
  <c r="AG244" i="17"/>
  <c r="BW808" i="15"/>
  <c r="AP243" i="17"/>
  <c r="AO244" i="15"/>
  <c r="BW809" i="15"/>
  <c r="BX808" i="15"/>
  <c r="BT809" i="15"/>
  <c r="BZ808" i="15"/>
  <c r="AO243" i="17"/>
  <c r="AP243" i="15"/>
  <c r="CH809" i="15"/>
  <c r="BY808" i="15"/>
  <c r="BV807" i="15"/>
  <c r="CK798" i="15" l="1"/>
  <c r="CO798" i="15"/>
  <c r="CT798" i="15" s="1"/>
  <c r="CJ797" i="15"/>
  <c r="CI803" i="15"/>
  <c r="CC807" i="15"/>
  <c r="CN807" i="15" s="1"/>
  <c r="CD808" i="15"/>
  <c r="CE808" i="15"/>
  <c r="CP808" i="15" s="1"/>
  <c r="CU808" i="15" s="1"/>
  <c r="CF808" i="15"/>
  <c r="CQ808" i="15" s="1"/>
  <c r="CV808" i="15" s="1"/>
  <c r="BQ810" i="15"/>
  <c r="AH242" i="15"/>
  <c r="AK242" i="15" s="1"/>
  <c r="AL242" i="15" s="1"/>
  <c r="AM241" i="15"/>
  <c r="AN241" i="15" s="1"/>
  <c r="AJ241" i="15"/>
  <c r="AJ239" i="15"/>
  <c r="AK239" i="15" s="1"/>
  <c r="AL239" i="15" s="1"/>
  <c r="AM239" i="15" s="1"/>
  <c r="AN239" i="15" s="1"/>
  <c r="AM240" i="15"/>
  <c r="AN240" i="15" s="1"/>
  <c r="AG245" i="15"/>
  <c r="AG245" i="17"/>
  <c r="CB806" i="15"/>
  <c r="CB807" i="15"/>
  <c r="BV808" i="15"/>
  <c r="AI248" i="15"/>
  <c r="BT810" i="15"/>
  <c r="BX809" i="15"/>
  <c r="CH810" i="15"/>
  <c r="BY809" i="15"/>
  <c r="AO244" i="17"/>
  <c r="BW810" i="15"/>
  <c r="AP244" i="15"/>
  <c r="AI247" i="15"/>
  <c r="BZ809" i="15"/>
  <c r="AO245" i="15"/>
  <c r="AP244" i="17"/>
  <c r="CS807" i="15" l="1"/>
  <c r="CK797" i="15"/>
  <c r="CO797" i="15"/>
  <c r="CT797" i="15" s="1"/>
  <c r="CI804" i="15"/>
  <c r="CC808" i="15"/>
  <c r="CN808" i="15" s="1"/>
  <c r="CS808" i="15" s="1"/>
  <c r="CD809" i="15"/>
  <c r="CF809" i="15"/>
  <c r="CQ809" i="15" s="1"/>
  <c r="CV809" i="15" s="1"/>
  <c r="CE809" i="15"/>
  <c r="CP809" i="15" s="1"/>
  <c r="CU809" i="15" s="1"/>
  <c r="BQ811" i="15"/>
  <c r="AG246" i="15"/>
  <c r="AG246" i="17"/>
  <c r="AI247" i="17"/>
  <c r="BW811" i="15"/>
  <c r="BZ810" i="15"/>
  <c r="AO245" i="17"/>
  <c r="AP245" i="17"/>
  <c r="AI249" i="15"/>
  <c r="AI249" i="17"/>
  <c r="CH811" i="15"/>
  <c r="AH245" i="15"/>
  <c r="AO246" i="15"/>
  <c r="BY810" i="15"/>
  <c r="BX810" i="15"/>
  <c r="AI245" i="17"/>
  <c r="AI245" i="15"/>
  <c r="AI248" i="17"/>
  <c r="AI246" i="17"/>
  <c r="AH245" i="17"/>
  <c r="AP245" i="15"/>
  <c r="AI246" i="15"/>
  <c r="BV809" i="15"/>
  <c r="CI805" i="15" l="1"/>
  <c r="CJ805" i="15" s="1"/>
  <c r="CJ804" i="15" s="1"/>
  <c r="CC809" i="15"/>
  <c r="CN809" i="15" s="1"/>
  <c r="CE810" i="15"/>
  <c r="CP810" i="15" s="1"/>
  <c r="CU810" i="15" s="1"/>
  <c r="CF810" i="15"/>
  <c r="CQ810" i="15" s="1"/>
  <c r="CV810" i="15" s="1"/>
  <c r="CD810" i="15"/>
  <c r="BQ812" i="15"/>
  <c r="AM242" i="15"/>
  <c r="AN242" i="15" s="1"/>
  <c r="AH243" i="15"/>
  <c r="AK243" i="15" s="1"/>
  <c r="AL243" i="15" s="1"/>
  <c r="AJ242" i="15"/>
  <c r="AL249" i="17"/>
  <c r="AM249" i="17" s="1"/>
  <c r="AN249" i="17" s="1"/>
  <c r="AL246" i="17"/>
  <c r="AM246" i="17" s="1"/>
  <c r="AN246" i="17" s="1"/>
  <c r="AH247" i="17"/>
  <c r="AL247" i="17"/>
  <c r="AM247" i="17" s="1"/>
  <c r="AN247" i="17" s="1"/>
  <c r="AH248" i="17"/>
  <c r="AL248" i="17"/>
  <c r="AM248" i="17" s="1"/>
  <c r="AN248" i="17" s="1"/>
  <c r="AH249" i="17"/>
  <c r="AL245" i="17"/>
  <c r="AM245" i="17" s="1"/>
  <c r="AN245" i="17" s="1"/>
  <c r="AH246" i="17"/>
  <c r="AG247" i="17"/>
  <c r="AG247" i="15"/>
  <c r="BZ811" i="15"/>
  <c r="AP246" i="15"/>
  <c r="BW812" i="15"/>
  <c r="BV810" i="15"/>
  <c r="AP246" i="17"/>
  <c r="CB809" i="15"/>
  <c r="CH812" i="15"/>
  <c r="BT811" i="15"/>
  <c r="BX811" i="15"/>
  <c r="AO247" i="15"/>
  <c r="BY811" i="15"/>
  <c r="CK811" i="15"/>
  <c r="CB808" i="15"/>
  <c r="BT812" i="15"/>
  <c r="AO246" i="17"/>
  <c r="CN810" i="15" l="1"/>
  <c r="CS810" i="15" s="1"/>
  <c r="CS809" i="15"/>
  <c r="CK804" i="15"/>
  <c r="CO804" i="15"/>
  <c r="CT804" i="15" s="1"/>
  <c r="CJ803" i="15"/>
  <c r="CK805" i="15"/>
  <c r="CO805" i="15"/>
  <c r="CT805" i="15" s="1"/>
  <c r="CC810" i="15"/>
  <c r="CF811" i="15"/>
  <c r="CQ811" i="15" s="1"/>
  <c r="CV811" i="15" s="1"/>
  <c r="CE811" i="15"/>
  <c r="CP811" i="15" s="1"/>
  <c r="CU811" i="15" s="1"/>
  <c r="CD811" i="15"/>
  <c r="CO811" i="15" s="1"/>
  <c r="BQ813" i="15"/>
  <c r="AJ245" i="15"/>
  <c r="AK245" i="15" s="1"/>
  <c r="AL245" i="15" s="1"/>
  <c r="AH246" i="15"/>
  <c r="AK246" i="15" s="1"/>
  <c r="AL246" i="15" s="1"/>
  <c r="AG248" i="15"/>
  <c r="AG248" i="17"/>
  <c r="AP247" i="15"/>
  <c r="BX812" i="15"/>
  <c r="BT813" i="15"/>
  <c r="CH813" i="15"/>
  <c r="CB810" i="15"/>
  <c r="BY812" i="15"/>
  <c r="AO248" i="15"/>
  <c r="AO247" i="17"/>
  <c r="BW813" i="15"/>
  <c r="BZ812" i="15"/>
  <c r="BV811" i="15"/>
  <c r="AP247" i="17"/>
  <c r="CT806" i="15" l="1"/>
  <c r="CI806" i="15"/>
  <c r="CI807" i="15" s="1"/>
  <c r="CK803" i="15"/>
  <c r="CO803" i="15"/>
  <c r="CT803" i="15" s="1"/>
  <c r="CJ802" i="15"/>
  <c r="CC811" i="15"/>
  <c r="CN811" i="15" s="1"/>
  <c r="CS811" i="15" s="1"/>
  <c r="CD812" i="15"/>
  <c r="CE812" i="15"/>
  <c r="CP812" i="15" s="1"/>
  <c r="CU812" i="15" s="1"/>
  <c r="CF812" i="15"/>
  <c r="CQ812" i="15" s="1"/>
  <c r="CV812" i="15" s="1"/>
  <c r="BQ814" i="15"/>
  <c r="AH244" i="15"/>
  <c r="AK244" i="15" s="1"/>
  <c r="AL244" i="15" s="1"/>
  <c r="AM243" i="15"/>
  <c r="AN243" i="15" s="1"/>
  <c r="AJ243" i="15"/>
  <c r="AG249" i="15"/>
  <c r="AG249" i="17"/>
  <c r="AP248" i="17"/>
  <c r="BX813" i="15"/>
  <c r="AO249" i="15"/>
  <c r="BY813" i="15"/>
  <c r="AP248" i="15"/>
  <c r="BT814" i="15"/>
  <c r="BW814" i="15"/>
  <c r="BV812" i="15"/>
  <c r="BZ813" i="15"/>
  <c r="CH814" i="15"/>
  <c r="AO248" i="17"/>
  <c r="CK802" i="15" l="1"/>
  <c r="CO802" i="15"/>
  <c r="CT802" i="15" s="1"/>
  <c r="CI808" i="15"/>
  <c r="CC812" i="15"/>
  <c r="CN812" i="15" s="1"/>
  <c r="CD813" i="15"/>
  <c r="CF813" i="15"/>
  <c r="CQ813" i="15" s="1"/>
  <c r="CV813" i="15" s="1"/>
  <c r="CE813" i="15"/>
  <c r="CP813" i="15" s="1"/>
  <c r="CU813" i="15" s="1"/>
  <c r="BQ815" i="15"/>
  <c r="AH247" i="15"/>
  <c r="AK247" i="15" s="1"/>
  <c r="AL247" i="15" s="1"/>
  <c r="AM246" i="15"/>
  <c r="AN246" i="15" s="1"/>
  <c r="AJ246" i="15"/>
  <c r="AJ244" i="15"/>
  <c r="AM244" i="15"/>
  <c r="AN244" i="15" s="1"/>
  <c r="AM245" i="15"/>
  <c r="AN245" i="15" s="1"/>
  <c r="AG250" i="15"/>
  <c r="AG250" i="17"/>
  <c r="CB811" i="15"/>
  <c r="AI252" i="15"/>
  <c r="BY814" i="15"/>
  <c r="AO250" i="15"/>
  <c r="AP249" i="15"/>
  <c r="BZ814" i="15"/>
  <c r="AO249" i="17"/>
  <c r="AI251" i="15"/>
  <c r="BX814" i="15"/>
  <c r="AI254" i="15"/>
  <c r="AI250" i="15"/>
  <c r="AP249" i="17"/>
  <c r="BV813" i="15"/>
  <c r="AI253" i="15"/>
  <c r="BT815" i="15"/>
  <c r="CS812" i="15" l="1"/>
  <c r="CI809" i="15"/>
  <c r="CC813" i="15"/>
  <c r="CN813" i="15" s="1"/>
  <c r="CS813" i="15" s="1"/>
  <c r="CF814" i="15"/>
  <c r="CQ814" i="15" s="1"/>
  <c r="CV814" i="15" s="1"/>
  <c r="CE814" i="15"/>
  <c r="CP814" i="15" s="1"/>
  <c r="CU814" i="15" s="1"/>
  <c r="CD814" i="15"/>
  <c r="BQ816" i="15"/>
  <c r="AG251" i="15"/>
  <c r="AG251" i="17"/>
  <c r="AO250" i="17"/>
  <c r="AP250" i="17"/>
  <c r="BW816" i="15"/>
  <c r="BZ815" i="15"/>
  <c r="BY815" i="15"/>
  <c r="BV814" i="15"/>
  <c r="AI250" i="17"/>
  <c r="BX815" i="15"/>
  <c r="AH250" i="15"/>
  <c r="BW815" i="15"/>
  <c r="BT816" i="15"/>
  <c r="CH816" i="15"/>
  <c r="CH815" i="15"/>
  <c r="AH250" i="17"/>
  <c r="AI251" i="17"/>
  <c r="AI254" i="17"/>
  <c r="AI252" i="17"/>
  <c r="AP250" i="15"/>
  <c r="AI253" i="17"/>
  <c r="AO251" i="15"/>
  <c r="CB812" i="15"/>
  <c r="CK816" i="15"/>
  <c r="CI810" i="15" l="1"/>
  <c r="CJ810" i="15" s="1"/>
  <c r="CC814" i="15"/>
  <c r="CN814" i="15" s="1"/>
  <c r="CE815" i="15"/>
  <c r="CP815" i="15" s="1"/>
  <c r="CU815" i="15" s="1"/>
  <c r="CF815" i="15"/>
  <c r="CQ815" i="15" s="1"/>
  <c r="CV815" i="15" s="1"/>
  <c r="CD815" i="15"/>
  <c r="BQ817" i="15"/>
  <c r="AM247" i="15"/>
  <c r="AN247" i="15" s="1"/>
  <c r="AH248" i="15"/>
  <c r="AK248" i="15" s="1"/>
  <c r="AL248" i="15" s="1"/>
  <c r="AJ247" i="15"/>
  <c r="AH254" i="17"/>
  <c r="AL253" i="17"/>
  <c r="AM253" i="17" s="1"/>
  <c r="AN253" i="17" s="1"/>
  <c r="AL254" i="17"/>
  <c r="AM254" i="17" s="1"/>
  <c r="AN254" i="17" s="1"/>
  <c r="AH252" i="17"/>
  <c r="AL251" i="17"/>
  <c r="AM251" i="17" s="1"/>
  <c r="AN251" i="17" s="1"/>
  <c r="AH251" i="17"/>
  <c r="AL250" i="17"/>
  <c r="AM250" i="17" s="1"/>
  <c r="AN250" i="17" s="1"/>
  <c r="AL252" i="17"/>
  <c r="AM252" i="17" s="1"/>
  <c r="AN252" i="17" s="1"/>
  <c r="AH253" i="17"/>
  <c r="AG252" i="15"/>
  <c r="AG252" i="17"/>
  <c r="AO252" i="15"/>
  <c r="BX816" i="15"/>
  <c r="AO251" i="17"/>
  <c r="BY816" i="15"/>
  <c r="CB814" i="15"/>
  <c r="AP251" i="17"/>
  <c r="CB813" i="15"/>
  <c r="CH817" i="15"/>
  <c r="AP251" i="15"/>
  <c r="BZ816" i="15"/>
  <c r="BW817" i="15"/>
  <c r="BV815" i="15"/>
  <c r="BT817" i="15"/>
  <c r="CN815" i="15" l="1"/>
  <c r="CS815" i="15" s="1"/>
  <c r="CS814" i="15"/>
  <c r="CK810" i="15"/>
  <c r="CO810" i="15"/>
  <c r="CT810" i="15" s="1"/>
  <c r="CJ809" i="15"/>
  <c r="CC815" i="15"/>
  <c r="CD816" i="15"/>
  <c r="CO816" i="15" s="1"/>
  <c r="CE816" i="15"/>
  <c r="CP816" i="15" s="1"/>
  <c r="CU816" i="15" s="1"/>
  <c r="CF816" i="15"/>
  <c r="CQ816" i="15" s="1"/>
  <c r="CV816" i="15" s="1"/>
  <c r="BQ818" i="15"/>
  <c r="AJ250" i="15"/>
  <c r="AK250" i="15" s="1"/>
  <c r="AL250" i="15" s="1"/>
  <c r="AH251" i="15"/>
  <c r="AK251" i="15" s="1"/>
  <c r="AL251" i="15" s="1"/>
  <c r="AG253" i="15"/>
  <c r="AG253" i="17"/>
  <c r="AP252" i="17"/>
  <c r="BY817" i="15"/>
  <c r="CH818" i="15"/>
  <c r="BX817" i="15"/>
  <c r="BW818" i="15"/>
  <c r="AO253" i="15"/>
  <c r="AP252" i="15"/>
  <c r="BT818" i="15"/>
  <c r="BZ817" i="15"/>
  <c r="AO252" i="17"/>
  <c r="BV816" i="15"/>
  <c r="CB815" i="15"/>
  <c r="CT811" i="15" l="1"/>
  <c r="CI811" i="15"/>
  <c r="CI812" i="15" s="1"/>
  <c r="CK809" i="15"/>
  <c r="CO809" i="15"/>
  <c r="CT809" i="15" s="1"/>
  <c r="CJ808" i="15"/>
  <c r="CC816" i="15"/>
  <c r="CN816" i="15" s="1"/>
  <c r="CS816" i="15" s="1"/>
  <c r="CD817" i="15"/>
  <c r="CF817" i="15"/>
  <c r="CQ817" i="15" s="1"/>
  <c r="CV817" i="15" s="1"/>
  <c r="CE817" i="15"/>
  <c r="CP817" i="15" s="1"/>
  <c r="CU817" i="15" s="1"/>
  <c r="BQ819" i="15"/>
  <c r="AM248" i="15"/>
  <c r="AN248" i="15" s="1"/>
  <c r="AH249" i="15"/>
  <c r="AK249" i="15" s="1"/>
  <c r="AL249" i="15" s="1"/>
  <c r="AJ248" i="15"/>
  <c r="AG254" i="17"/>
  <c r="AG254" i="15"/>
  <c r="BV817" i="15"/>
  <c r="BZ818" i="15"/>
  <c r="CB816" i="15"/>
  <c r="AP253" i="15"/>
  <c r="CH819" i="15"/>
  <c r="BT819" i="15"/>
  <c r="BW819" i="15"/>
  <c r="BY818" i="15"/>
  <c r="AO253" i="17"/>
  <c r="BX818" i="15"/>
  <c r="AO254" i="15"/>
  <c r="AP253" i="17"/>
  <c r="CK808" i="15" l="1"/>
  <c r="CO808" i="15"/>
  <c r="CT808" i="15" s="1"/>
  <c r="CJ807" i="15"/>
  <c r="CI813" i="15"/>
  <c r="CC817" i="15"/>
  <c r="CN817" i="15" s="1"/>
  <c r="CF818" i="15"/>
  <c r="CQ818" i="15" s="1"/>
  <c r="CV818" i="15" s="1"/>
  <c r="CE818" i="15"/>
  <c r="CP818" i="15" s="1"/>
  <c r="CU818" i="15" s="1"/>
  <c r="CD818" i="15"/>
  <c r="BQ820" i="15"/>
  <c r="AJ249" i="15"/>
  <c r="AM249" i="15"/>
  <c r="AN249" i="15" s="1"/>
  <c r="AM250" i="15"/>
  <c r="AN250" i="15" s="1"/>
  <c r="AH252" i="15"/>
  <c r="AK252" i="15" s="1"/>
  <c r="AL252" i="15" s="1"/>
  <c r="AM251" i="15"/>
  <c r="AN251" i="15" s="1"/>
  <c r="AJ251" i="15"/>
  <c r="AG255" i="17"/>
  <c r="AG255" i="15"/>
  <c r="AI258" i="15"/>
  <c r="AP254" i="17"/>
  <c r="AO255" i="15"/>
  <c r="AI255" i="15"/>
  <c r="BY819" i="15"/>
  <c r="CH820" i="15"/>
  <c r="BW820" i="15"/>
  <c r="AP254" i="15"/>
  <c r="AO254" i="17"/>
  <c r="AI259" i="15"/>
  <c r="AI257" i="15"/>
  <c r="BZ819" i="15"/>
  <c r="BV818" i="15"/>
  <c r="CB817" i="15"/>
  <c r="BT820" i="15"/>
  <c r="AI256" i="15"/>
  <c r="BX819" i="15"/>
  <c r="CS817" i="15" l="1"/>
  <c r="CK807" i="15"/>
  <c r="CO807" i="15"/>
  <c r="CT807" i="15" s="1"/>
  <c r="CI814" i="15"/>
  <c r="CC818" i="15"/>
  <c r="CN818" i="15" s="1"/>
  <c r="CS818" i="15" s="1"/>
  <c r="CE819" i="15"/>
  <c r="CP819" i="15" s="1"/>
  <c r="CU819" i="15" s="1"/>
  <c r="CF819" i="15"/>
  <c r="CQ819" i="15" s="1"/>
  <c r="CV819" i="15" s="1"/>
  <c r="CD819" i="15"/>
  <c r="BQ821" i="15"/>
  <c r="AG256" i="17"/>
  <c r="AG256" i="15"/>
  <c r="AI258" i="17"/>
  <c r="BZ820" i="15"/>
  <c r="CH821" i="15"/>
  <c r="AP255" i="15"/>
  <c r="AI257" i="17"/>
  <c r="AH255" i="15"/>
  <c r="BY820" i="15"/>
  <c r="AI255" i="17"/>
  <c r="AO255" i="17"/>
  <c r="AP255" i="17"/>
  <c r="BV819" i="15"/>
  <c r="BX820" i="15"/>
  <c r="BW821" i="15"/>
  <c r="AI259" i="17"/>
  <c r="AO256" i="15"/>
  <c r="AI256" i="17"/>
  <c r="AH255" i="17"/>
  <c r="CK821" i="15"/>
  <c r="CI815" i="15" l="1"/>
  <c r="CJ815" i="15" s="1"/>
  <c r="CJ814" i="15" s="1"/>
  <c r="CC819" i="15"/>
  <c r="CN819" i="15" s="1"/>
  <c r="CD820" i="15"/>
  <c r="CE820" i="15"/>
  <c r="CP820" i="15" s="1"/>
  <c r="CU820" i="15" s="1"/>
  <c r="CF820" i="15"/>
  <c r="CQ820" i="15" s="1"/>
  <c r="CV820" i="15" s="1"/>
  <c r="BQ822" i="15"/>
  <c r="AH253" i="15"/>
  <c r="AK253" i="15" s="1"/>
  <c r="AL253" i="15" s="1"/>
  <c r="AM252" i="15"/>
  <c r="AN252" i="15" s="1"/>
  <c r="AJ252" i="15"/>
  <c r="AH256" i="17"/>
  <c r="AL255" i="17"/>
  <c r="AM255" i="17" s="1"/>
  <c r="AN255" i="17" s="1"/>
  <c r="AH258" i="17"/>
  <c r="AL257" i="17"/>
  <c r="AM257" i="17" s="1"/>
  <c r="AN257" i="17" s="1"/>
  <c r="AL259" i="17"/>
  <c r="AM259" i="17" s="1"/>
  <c r="AN259" i="17" s="1"/>
  <c r="AH259" i="17"/>
  <c r="AL258" i="17"/>
  <c r="AM258" i="17" s="1"/>
  <c r="AN258" i="17" s="1"/>
  <c r="AL256" i="17"/>
  <c r="AM256" i="17" s="1"/>
  <c r="AN256" i="17" s="1"/>
  <c r="AH257" i="17"/>
  <c r="AG257" i="15"/>
  <c r="AG257" i="17"/>
  <c r="BT821" i="15"/>
  <c r="BY821" i="15"/>
  <c r="CH822" i="15"/>
  <c r="AP256" i="15"/>
  <c r="AO256" i="17"/>
  <c r="BT822" i="15"/>
  <c r="BZ821" i="15"/>
  <c r="BX821" i="15"/>
  <c r="CB818" i="15"/>
  <c r="AO257" i="15"/>
  <c r="AP256" i="17"/>
  <c r="BV820" i="15"/>
  <c r="CN820" i="15" l="1"/>
  <c r="CS820" i="15" s="1"/>
  <c r="CS819" i="15"/>
  <c r="CO814" i="15"/>
  <c r="CT814" i="15" s="1"/>
  <c r="CK814" i="15"/>
  <c r="CJ813" i="15"/>
  <c r="CO815" i="15"/>
  <c r="CT815" i="15" s="1"/>
  <c r="CK815" i="15"/>
  <c r="CC820" i="15"/>
  <c r="CD821" i="15"/>
  <c r="CO821" i="15" s="1"/>
  <c r="CF821" i="15"/>
  <c r="CQ821" i="15" s="1"/>
  <c r="CV821" i="15" s="1"/>
  <c r="CE821" i="15"/>
  <c r="CP821" i="15" s="1"/>
  <c r="CU821" i="15" s="1"/>
  <c r="BQ823" i="15"/>
  <c r="AJ255" i="15"/>
  <c r="AK255" i="15" s="1"/>
  <c r="AL255" i="15" s="1"/>
  <c r="AH256" i="15"/>
  <c r="AK256" i="15" s="1"/>
  <c r="AL256" i="15" s="1"/>
  <c r="AG258" i="17"/>
  <c r="AG258" i="15"/>
  <c r="BW822" i="15"/>
  <c r="CB819" i="15"/>
  <c r="BZ822" i="15"/>
  <c r="AP257" i="15"/>
  <c r="AO258" i="15"/>
  <c r="BY822" i="15"/>
  <c r="BX822" i="15"/>
  <c r="BV821" i="15"/>
  <c r="BT823" i="15"/>
  <c r="AP257" i="17"/>
  <c r="AO257" i="17"/>
  <c r="CB820" i="15"/>
  <c r="CH823" i="15"/>
  <c r="CT816" i="15" l="1"/>
  <c r="CI816" i="15"/>
  <c r="CI817" i="15" s="1"/>
  <c r="CO813" i="15"/>
  <c r="CT813" i="15" s="1"/>
  <c r="CK813" i="15"/>
  <c r="CJ812" i="15"/>
  <c r="CC821" i="15"/>
  <c r="CN821" i="15" s="1"/>
  <c r="CS821" i="15" s="1"/>
  <c r="CF822" i="15"/>
  <c r="CQ822" i="15" s="1"/>
  <c r="CV822" i="15" s="1"/>
  <c r="CE822" i="15"/>
  <c r="CP822" i="15" s="1"/>
  <c r="CU822" i="15" s="1"/>
  <c r="CD822" i="15"/>
  <c r="BQ824" i="15"/>
  <c r="AH254" i="15"/>
  <c r="AK254" i="15" s="1"/>
  <c r="AL254" i="15" s="1"/>
  <c r="AM253" i="15"/>
  <c r="AN253" i="15" s="1"/>
  <c r="AJ253" i="15"/>
  <c r="AG259" i="17"/>
  <c r="AG259" i="15"/>
  <c r="BW823" i="15"/>
  <c r="BV822" i="15"/>
  <c r="BZ823" i="15"/>
  <c r="AP258" i="15"/>
  <c r="BW824" i="15"/>
  <c r="AO259" i="15"/>
  <c r="BT824" i="15"/>
  <c r="BY823" i="15"/>
  <c r="CH824" i="15"/>
  <c r="AO258" i="17"/>
  <c r="AP258" i="17"/>
  <c r="BX823" i="15"/>
  <c r="CO812" i="15" l="1"/>
  <c r="CT812" i="15" s="1"/>
  <c r="CK812" i="15"/>
  <c r="CI818" i="15"/>
  <c r="CC822" i="15"/>
  <c r="CN822" i="15" s="1"/>
  <c r="CE823" i="15"/>
  <c r="CP823" i="15" s="1"/>
  <c r="CU823" i="15" s="1"/>
  <c r="CF823" i="15"/>
  <c r="CQ823" i="15" s="1"/>
  <c r="CV823" i="15" s="1"/>
  <c r="CD823" i="15"/>
  <c r="BQ825" i="15"/>
  <c r="AH257" i="15"/>
  <c r="AK257" i="15" s="1"/>
  <c r="AL257" i="15" s="1"/>
  <c r="AM256" i="15"/>
  <c r="AN256" i="15" s="1"/>
  <c r="AJ256" i="15"/>
  <c r="AJ254" i="15"/>
  <c r="AM254" i="15"/>
  <c r="AN254" i="15" s="1"/>
  <c r="AM255" i="15"/>
  <c r="AN255" i="15" s="1"/>
  <c r="AG260" i="17"/>
  <c r="AG260" i="15"/>
  <c r="CB821" i="15"/>
  <c r="BX824" i="15"/>
  <c r="BV823" i="15"/>
  <c r="AP259" i="15"/>
  <c r="AO259" i="17"/>
  <c r="AP259" i="17"/>
  <c r="BY824" i="15"/>
  <c r="CH825" i="15"/>
  <c r="BZ824" i="15"/>
  <c r="AI261" i="15"/>
  <c r="BW825" i="15"/>
  <c r="AO260" i="15"/>
  <c r="CS822" i="15" l="1"/>
  <c r="CI819" i="15"/>
  <c r="CC823" i="15"/>
  <c r="CN823" i="15" s="1"/>
  <c r="CS823" i="15" s="1"/>
  <c r="CD824" i="15"/>
  <c r="CE824" i="15"/>
  <c r="CP824" i="15" s="1"/>
  <c r="CU824" i="15" s="1"/>
  <c r="CF824" i="15"/>
  <c r="CQ824" i="15" s="1"/>
  <c r="CV824" i="15" s="1"/>
  <c r="BQ826" i="15"/>
  <c r="AG261" i="15"/>
  <c r="AG261" i="17"/>
  <c r="AI262" i="15"/>
  <c r="BZ825" i="15"/>
  <c r="AO260" i="17"/>
  <c r="AI261" i="17"/>
  <c r="AH260" i="15"/>
  <c r="BV824" i="15"/>
  <c r="BW826" i="15"/>
  <c r="AO261" i="15"/>
  <c r="BY825" i="15"/>
  <c r="AP260" i="17"/>
  <c r="AI264" i="15"/>
  <c r="AI260" i="15"/>
  <c r="BT825" i="15"/>
  <c r="CB822" i="15"/>
  <c r="AI264" i="17"/>
  <c r="AH260" i="17"/>
  <c r="AI260" i="17"/>
  <c r="BX825" i="15"/>
  <c r="AI263" i="15"/>
  <c r="AI263" i="17"/>
  <c r="AI262" i="17"/>
  <c r="AP260" i="15"/>
  <c r="CH826" i="15"/>
  <c r="CI820" i="15" l="1"/>
  <c r="CJ820" i="15" s="1"/>
  <c r="CC824" i="15"/>
  <c r="CN824" i="15" s="1"/>
  <c r="CD825" i="15"/>
  <c r="CF825" i="15"/>
  <c r="CQ825" i="15" s="1"/>
  <c r="CV825" i="15" s="1"/>
  <c r="CE825" i="15"/>
  <c r="CP825" i="15" s="1"/>
  <c r="CU825" i="15" s="1"/>
  <c r="BQ827" i="15"/>
  <c r="AM257" i="15"/>
  <c r="AN257" i="15" s="1"/>
  <c r="AH258" i="15"/>
  <c r="AK258" i="15" s="1"/>
  <c r="AL258" i="15" s="1"/>
  <c r="AJ257" i="15"/>
  <c r="AH264" i="17"/>
  <c r="AL263" i="17"/>
  <c r="AM263" i="17" s="1"/>
  <c r="AN263" i="17" s="1"/>
  <c r="AL264" i="17"/>
  <c r="AM264" i="17" s="1"/>
  <c r="AN264" i="17" s="1"/>
  <c r="AH262" i="17"/>
  <c r="AL261" i="17"/>
  <c r="AM261" i="17" s="1"/>
  <c r="AN261" i="17" s="1"/>
  <c r="AH263" i="17"/>
  <c r="AL262" i="17"/>
  <c r="AM262" i="17" s="1"/>
  <c r="AN262" i="17" s="1"/>
  <c r="AH261" i="17"/>
  <c r="AL260" i="17"/>
  <c r="AM260" i="17" s="1"/>
  <c r="AN260" i="17" s="1"/>
  <c r="AG262" i="15"/>
  <c r="AG262" i="17"/>
  <c r="BT826" i="15"/>
  <c r="AP261" i="15"/>
  <c r="BZ826" i="15"/>
  <c r="CB823" i="15"/>
  <c r="AP261" i="17"/>
  <c r="AO261" i="17"/>
  <c r="CK826" i="15"/>
  <c r="BY826" i="15"/>
  <c r="BV825" i="15"/>
  <c r="AO262" i="15"/>
  <c r="BX826" i="15"/>
  <c r="BW827" i="15"/>
  <c r="CH827" i="15"/>
  <c r="CN825" i="15" l="1"/>
  <c r="CS825" i="15" s="1"/>
  <c r="CS824" i="15"/>
  <c r="CO820" i="15"/>
  <c r="CT820" i="15" s="1"/>
  <c r="CK820" i="15"/>
  <c r="CJ819" i="15"/>
  <c r="CC825" i="15"/>
  <c r="CF826" i="15"/>
  <c r="CQ826" i="15" s="1"/>
  <c r="CV826" i="15" s="1"/>
  <c r="CE826" i="15"/>
  <c r="CP826" i="15" s="1"/>
  <c r="CU826" i="15" s="1"/>
  <c r="CD826" i="15"/>
  <c r="CO826" i="15" s="1"/>
  <c r="BQ828" i="15"/>
  <c r="AJ260" i="15"/>
  <c r="AK260" i="15" s="1"/>
  <c r="AL260" i="15" s="1"/>
  <c r="AH261" i="15"/>
  <c r="AK261" i="15" s="1"/>
  <c r="AL261" i="15" s="1"/>
  <c r="AG263" i="15"/>
  <c r="AG263" i="17"/>
  <c r="BT827" i="15"/>
  <c r="AP262" i="17"/>
  <c r="CH828" i="15"/>
  <c r="AO262" i="17"/>
  <c r="CB824" i="15"/>
  <c r="CB825" i="15"/>
  <c r="BW828" i="15"/>
  <c r="AP262" i="15"/>
  <c r="BZ827" i="15"/>
  <c r="BX827" i="15"/>
  <c r="AO263" i="15"/>
  <c r="BY827" i="15"/>
  <c r="BV826" i="15"/>
  <c r="BT828" i="15"/>
  <c r="CT821" i="15" l="1"/>
  <c r="CI821" i="15"/>
  <c r="CI822" i="15" s="1"/>
  <c r="CO819" i="15"/>
  <c r="CT819" i="15" s="1"/>
  <c r="CK819" i="15"/>
  <c r="CJ818" i="15"/>
  <c r="CC826" i="15"/>
  <c r="CN826" i="15" s="1"/>
  <c r="CS826" i="15" s="1"/>
  <c r="CE827" i="15"/>
  <c r="CP827" i="15" s="1"/>
  <c r="CU827" i="15" s="1"/>
  <c r="CF827" i="15"/>
  <c r="CQ827" i="15" s="1"/>
  <c r="CV827" i="15" s="1"/>
  <c r="CD827" i="15"/>
  <c r="BQ829" i="15"/>
  <c r="AM258" i="15"/>
  <c r="AN258" i="15" s="1"/>
  <c r="AH259" i="15"/>
  <c r="AK259" i="15" s="1"/>
  <c r="AL259" i="15" s="1"/>
  <c r="AJ258" i="15"/>
  <c r="AG264" i="15"/>
  <c r="AG264" i="17"/>
  <c r="BV827" i="15"/>
  <c r="BY828" i="15"/>
  <c r="AP263" i="17"/>
  <c r="AP263" i="15"/>
  <c r="AO264" i="15"/>
  <c r="CH829" i="15"/>
  <c r="BW829" i="15"/>
  <c r="BX828" i="15"/>
  <c r="BT829" i="15"/>
  <c r="AO263" i="17"/>
  <c r="BZ828" i="15"/>
  <c r="CO818" i="15" l="1"/>
  <c r="CT818" i="15" s="1"/>
  <c r="CK818" i="15"/>
  <c r="CJ817" i="15"/>
  <c r="CI823" i="15"/>
  <c r="CC827" i="15"/>
  <c r="CN827" i="15" s="1"/>
  <c r="CD828" i="15"/>
  <c r="CE828" i="15"/>
  <c r="CP828" i="15" s="1"/>
  <c r="CU828" i="15" s="1"/>
  <c r="CF828" i="15"/>
  <c r="CQ828" i="15" s="1"/>
  <c r="CV828" i="15" s="1"/>
  <c r="BQ830" i="15"/>
  <c r="AM259" i="15"/>
  <c r="AN259" i="15" s="1"/>
  <c r="AJ259" i="15"/>
  <c r="AM260" i="15"/>
  <c r="AN260" i="15" s="1"/>
  <c r="AM261" i="15"/>
  <c r="AN261" i="15" s="1"/>
  <c r="AH262" i="15"/>
  <c r="AK262" i="15" s="1"/>
  <c r="AL262" i="15" s="1"/>
  <c r="AJ261" i="15"/>
  <c r="AG265" i="15"/>
  <c r="AG265" i="17"/>
  <c r="AO264" i="17"/>
  <c r="AP264" i="17"/>
  <c r="CH830" i="15"/>
  <c r="AI268" i="15"/>
  <c r="BV828" i="15"/>
  <c r="BZ829" i="15"/>
  <c r="BT830" i="15"/>
  <c r="AP264" i="15"/>
  <c r="CB827" i="15"/>
  <c r="BY829" i="15"/>
  <c r="CB826" i="15"/>
  <c r="BW830" i="15"/>
  <c r="BX829" i="15"/>
  <c r="AI269" i="15"/>
  <c r="CS827" i="15" l="1"/>
  <c r="CO817" i="15"/>
  <c r="CT817" i="15" s="1"/>
  <c r="CK817" i="15"/>
  <c r="CI824" i="15"/>
  <c r="CC828" i="15"/>
  <c r="CN828" i="15" s="1"/>
  <c r="CS828" i="15" s="1"/>
  <c r="CD829" i="15"/>
  <c r="CF829" i="15"/>
  <c r="CQ829" i="15" s="1"/>
  <c r="CV829" i="15" s="1"/>
  <c r="CE829" i="15"/>
  <c r="CP829" i="15" s="1"/>
  <c r="CU829" i="15" s="1"/>
  <c r="BQ831" i="15"/>
  <c r="AG266" i="15"/>
  <c r="AG266" i="17"/>
  <c r="AI268" i="17"/>
  <c r="AI265" i="17"/>
  <c r="AP265" i="15"/>
  <c r="AO266" i="15"/>
  <c r="AP265" i="17"/>
  <c r="AO265" i="15"/>
  <c r="AI267" i="15"/>
  <c r="AI266" i="17"/>
  <c r="AH265" i="15"/>
  <c r="BY830" i="15"/>
  <c r="BZ830" i="15"/>
  <c r="CK831" i="15"/>
  <c r="AH265" i="17"/>
  <c r="CB828" i="15"/>
  <c r="AI269" i="17"/>
  <c r="AI266" i="15"/>
  <c r="BT831" i="15"/>
  <c r="BV829" i="15"/>
  <c r="BX830" i="15"/>
  <c r="AI265" i="15"/>
  <c r="CH831" i="15"/>
  <c r="AO265" i="17"/>
  <c r="BW831" i="15"/>
  <c r="AI267" i="17"/>
  <c r="CI825" i="15" l="1"/>
  <c r="CJ825" i="15" s="1"/>
  <c r="CJ824" i="15" s="1"/>
  <c r="CC829" i="15"/>
  <c r="CN829" i="15" s="1"/>
  <c r="CF830" i="15"/>
  <c r="CQ830" i="15" s="1"/>
  <c r="CV830" i="15" s="1"/>
  <c r="CE830" i="15"/>
  <c r="CP830" i="15" s="1"/>
  <c r="CU830" i="15" s="1"/>
  <c r="CD830" i="15"/>
  <c r="BQ832" i="15"/>
  <c r="AM262" i="15"/>
  <c r="AN262" i="15" s="1"/>
  <c r="AH263" i="15"/>
  <c r="AK263" i="15" s="1"/>
  <c r="AL263" i="15" s="1"/>
  <c r="AJ262" i="15"/>
  <c r="AL269" i="17"/>
  <c r="AM269" i="17" s="1"/>
  <c r="AN269" i="17" s="1"/>
  <c r="AH267" i="17"/>
  <c r="AL266" i="17"/>
  <c r="AM266" i="17" s="1"/>
  <c r="AN266" i="17" s="1"/>
  <c r="AH266" i="17"/>
  <c r="AL265" i="17"/>
  <c r="AM265" i="17" s="1"/>
  <c r="AN265" i="17" s="1"/>
  <c r="AH269" i="17"/>
  <c r="AL268" i="17"/>
  <c r="AM268" i="17" s="1"/>
  <c r="AN268" i="17" s="1"/>
  <c r="AH268" i="17"/>
  <c r="AL267" i="17"/>
  <c r="AM267" i="17" s="1"/>
  <c r="AN267" i="17" s="1"/>
  <c r="AG267" i="17"/>
  <c r="AG267" i="15"/>
  <c r="CB829" i="15"/>
  <c r="BV830" i="15"/>
  <c r="AP266" i="15"/>
  <c r="AO266" i="17"/>
  <c r="BX831" i="15"/>
  <c r="AP266" i="17"/>
  <c r="CH832" i="15"/>
  <c r="BT832" i="15"/>
  <c r="BZ831" i="15"/>
  <c r="BY831" i="15"/>
  <c r="BW832" i="15"/>
  <c r="AO267" i="15"/>
  <c r="CN830" i="15" l="1"/>
  <c r="CS830" i="15" s="1"/>
  <c r="CS829" i="15"/>
  <c r="CK824" i="15"/>
  <c r="CO824" i="15"/>
  <c r="CT824" i="15" s="1"/>
  <c r="CJ823" i="15"/>
  <c r="CK825" i="15"/>
  <c r="CO825" i="15"/>
  <c r="CT825" i="15" s="1"/>
  <c r="CC830" i="15"/>
  <c r="CE831" i="15"/>
  <c r="CP831" i="15" s="1"/>
  <c r="CU831" i="15" s="1"/>
  <c r="CF831" i="15"/>
  <c r="CQ831" i="15" s="1"/>
  <c r="CV831" i="15" s="1"/>
  <c r="CD831" i="15"/>
  <c r="CO831" i="15" s="1"/>
  <c r="BQ833" i="15"/>
  <c r="AJ265" i="15"/>
  <c r="AK265" i="15" s="1"/>
  <c r="AL265" i="15" s="1"/>
  <c r="AH266" i="15"/>
  <c r="AK266" i="15" s="1"/>
  <c r="AL266" i="15" s="1"/>
  <c r="AG268" i="17"/>
  <c r="AG268" i="15"/>
  <c r="AP267" i="17"/>
  <c r="AO267" i="17"/>
  <c r="BZ832" i="15"/>
  <c r="CH833" i="15"/>
  <c r="BW833" i="15"/>
  <c r="BX832" i="15"/>
  <c r="BY832" i="15"/>
  <c r="AP267" i="15"/>
  <c r="AO268" i="15"/>
  <c r="BV831" i="15"/>
  <c r="CB830" i="15"/>
  <c r="CT826" i="15" l="1"/>
  <c r="CI826" i="15"/>
  <c r="CI827" i="15" s="1"/>
  <c r="CK823" i="15"/>
  <c r="CO823" i="15"/>
  <c r="CT823" i="15" s="1"/>
  <c r="CJ822" i="15"/>
  <c r="CC831" i="15"/>
  <c r="CN831" i="15" s="1"/>
  <c r="CS831" i="15" s="1"/>
  <c r="CD832" i="15"/>
  <c r="CE832" i="15"/>
  <c r="CP832" i="15" s="1"/>
  <c r="CU832" i="15" s="1"/>
  <c r="CF832" i="15"/>
  <c r="CQ832" i="15" s="1"/>
  <c r="CV832" i="15" s="1"/>
  <c r="BQ834" i="15"/>
  <c r="AM263" i="15"/>
  <c r="AN263" i="15" s="1"/>
  <c r="AH264" i="15"/>
  <c r="AK264" i="15" s="1"/>
  <c r="AL264" i="15" s="1"/>
  <c r="AJ263" i="15"/>
  <c r="AG269" i="15"/>
  <c r="AG269" i="17"/>
  <c r="AP268" i="17"/>
  <c r="BZ833" i="15"/>
  <c r="AO269" i="15"/>
  <c r="BT833" i="15"/>
  <c r="AP268" i="15"/>
  <c r="BT834" i="15"/>
  <c r="BV832" i="15"/>
  <c r="AO268" i="17"/>
  <c r="BY833" i="15"/>
  <c r="BW834" i="15"/>
  <c r="BX833" i="15"/>
  <c r="CH834" i="15"/>
  <c r="CK822" i="15" l="1"/>
  <c r="CO822" i="15"/>
  <c r="CT822" i="15" s="1"/>
  <c r="CI828" i="15"/>
  <c r="CC832" i="15"/>
  <c r="CN832" i="15" s="1"/>
  <c r="CD833" i="15"/>
  <c r="CF833" i="15"/>
  <c r="CQ833" i="15" s="1"/>
  <c r="CV833" i="15" s="1"/>
  <c r="CE833" i="15"/>
  <c r="CP833" i="15" s="1"/>
  <c r="CU833" i="15" s="1"/>
  <c r="BQ835" i="15"/>
  <c r="AJ264" i="15"/>
  <c r="AM264" i="15"/>
  <c r="AN264" i="15" s="1"/>
  <c r="AM265" i="15"/>
  <c r="AN265" i="15" s="1"/>
  <c r="AH267" i="15"/>
  <c r="AK267" i="15" s="1"/>
  <c r="AL267" i="15" s="1"/>
  <c r="AM266" i="15"/>
  <c r="AN266" i="15" s="1"/>
  <c r="AJ266" i="15"/>
  <c r="AG270" i="15"/>
  <c r="AG270" i="17"/>
  <c r="CB831" i="15"/>
  <c r="AO269" i="17"/>
  <c r="BX834" i="15"/>
  <c r="BY834" i="15"/>
  <c r="BV833" i="15"/>
  <c r="AP269" i="17"/>
  <c r="AO270" i="15"/>
  <c r="AI272" i="15"/>
  <c r="BZ834" i="15"/>
  <c r="AI271" i="15"/>
  <c r="AI270" i="15"/>
  <c r="AP269" i="15"/>
  <c r="AI274" i="15"/>
  <c r="AI273" i="15"/>
  <c r="BW835" i="15"/>
  <c r="CS832" i="15" l="1"/>
  <c r="CI829" i="15"/>
  <c r="CC833" i="15"/>
  <c r="CN833" i="15" s="1"/>
  <c r="CS833" i="15" s="1"/>
  <c r="CF834" i="15"/>
  <c r="CQ834" i="15" s="1"/>
  <c r="CV834" i="15" s="1"/>
  <c r="CE834" i="15"/>
  <c r="CP834" i="15" s="1"/>
  <c r="CU834" i="15" s="1"/>
  <c r="CD834" i="15"/>
  <c r="BQ836" i="15"/>
  <c r="AG271" i="17"/>
  <c r="AG271" i="15"/>
  <c r="AO271" i="15"/>
  <c r="AH270" i="15"/>
  <c r="AI270" i="17"/>
  <c r="BZ835" i="15"/>
  <c r="CK836" i="15"/>
  <c r="AP270" i="17"/>
  <c r="BX835" i="15"/>
  <c r="BT835" i="15"/>
  <c r="AP270" i="15"/>
  <c r="AI273" i="17"/>
  <c r="AI271" i="17"/>
  <c r="BT836" i="15"/>
  <c r="CB832" i="15"/>
  <c r="CH835" i="15"/>
  <c r="BV834" i="15"/>
  <c r="AH270" i="17"/>
  <c r="AI274" i="17"/>
  <c r="AO270" i="17"/>
  <c r="CH836" i="15"/>
  <c r="AI272" i="17"/>
  <c r="BY835" i="15"/>
  <c r="BW836" i="15"/>
  <c r="CI830" i="15" l="1"/>
  <c r="CJ830" i="15" s="1"/>
  <c r="CJ829" i="15" s="1"/>
  <c r="CC834" i="15"/>
  <c r="CN834" i="15" s="1"/>
  <c r="CE835" i="15"/>
  <c r="CP835" i="15" s="1"/>
  <c r="CU835" i="15" s="1"/>
  <c r="CF835" i="15"/>
  <c r="CQ835" i="15" s="1"/>
  <c r="CV835" i="15" s="1"/>
  <c r="CD835" i="15"/>
  <c r="BQ837" i="15"/>
  <c r="AH268" i="15"/>
  <c r="AK268" i="15" s="1"/>
  <c r="AL268" i="15" s="1"/>
  <c r="AM267" i="15"/>
  <c r="AN267" i="15" s="1"/>
  <c r="AJ267" i="15"/>
  <c r="AH272" i="17"/>
  <c r="AL271" i="17"/>
  <c r="AM271" i="17" s="1"/>
  <c r="AN271" i="17" s="1"/>
  <c r="AH273" i="17"/>
  <c r="AL272" i="17"/>
  <c r="AM272" i="17" s="1"/>
  <c r="AN272" i="17" s="1"/>
  <c r="AH271" i="17"/>
  <c r="AL270" i="17"/>
  <c r="AM270" i="17" s="1"/>
  <c r="AN270" i="17" s="1"/>
  <c r="AH274" i="17"/>
  <c r="AL273" i="17"/>
  <c r="AM273" i="17" s="1"/>
  <c r="AN273" i="17" s="1"/>
  <c r="AL274" i="17"/>
  <c r="AM274" i="17" s="1"/>
  <c r="AN274" i="17" s="1"/>
  <c r="AG272" i="15"/>
  <c r="AG272" i="17"/>
  <c r="CB833" i="15"/>
  <c r="CB834" i="15"/>
  <c r="BY836" i="15"/>
  <c r="AP271" i="17"/>
  <c r="AO272" i="15"/>
  <c r="BZ836" i="15"/>
  <c r="BW837" i="15"/>
  <c r="BT837" i="15"/>
  <c r="CH837" i="15"/>
  <c r="BV835" i="15"/>
  <c r="AP271" i="15"/>
  <c r="AO271" i="17"/>
  <c r="BX836" i="15"/>
  <c r="CN835" i="15" l="1"/>
  <c r="CS835" i="15" s="1"/>
  <c r="CS834" i="15"/>
  <c r="CO830" i="15"/>
  <c r="CT830" i="15" s="1"/>
  <c r="CK830" i="15"/>
  <c r="CK829" i="15"/>
  <c r="CO829" i="15"/>
  <c r="CT829" i="15" s="1"/>
  <c r="CJ828" i="15"/>
  <c r="CC835" i="15"/>
  <c r="CD836" i="15"/>
  <c r="CO836" i="15" s="1"/>
  <c r="CE836" i="15"/>
  <c r="CP836" i="15" s="1"/>
  <c r="CU836" i="15" s="1"/>
  <c r="CF836" i="15"/>
  <c r="CQ836" i="15" s="1"/>
  <c r="CV836" i="15" s="1"/>
  <c r="BQ838" i="15"/>
  <c r="AM268" i="15"/>
  <c r="AN268" i="15" s="1"/>
  <c r="AJ268" i="15"/>
  <c r="AH269" i="15"/>
  <c r="AK269" i="15" s="1"/>
  <c r="AL269" i="15" s="1"/>
  <c r="AJ270" i="15"/>
  <c r="AK270" i="15" s="1"/>
  <c r="AL270" i="15" s="1"/>
  <c r="AH271" i="15"/>
  <c r="AK271" i="15" s="1"/>
  <c r="AL271" i="15" s="1"/>
  <c r="AG273" i="15"/>
  <c r="AG273" i="17"/>
  <c r="BY837" i="15"/>
  <c r="BV836" i="15"/>
  <c r="AO273" i="15"/>
  <c r="BZ837" i="15"/>
  <c r="AO272" i="17"/>
  <c r="AP272" i="15"/>
  <c r="BX837" i="15"/>
  <c r="AP272" i="17"/>
  <c r="CB835" i="15"/>
  <c r="BW838" i="15"/>
  <c r="CT831" i="15" l="1"/>
  <c r="CI831" i="15"/>
  <c r="CI832" i="15" s="1"/>
  <c r="CK828" i="15"/>
  <c r="CO828" i="15"/>
  <c r="CT828" i="15" s="1"/>
  <c r="CJ827" i="15"/>
  <c r="CC836" i="15"/>
  <c r="CN836" i="15" s="1"/>
  <c r="CS836" i="15" s="1"/>
  <c r="CD837" i="15"/>
  <c r="CF837" i="15"/>
  <c r="CQ837" i="15" s="1"/>
  <c r="CV837" i="15" s="1"/>
  <c r="CE837" i="15"/>
  <c r="CP837" i="15" s="1"/>
  <c r="CU837" i="15" s="1"/>
  <c r="BQ839" i="15"/>
  <c r="AJ269" i="15"/>
  <c r="AM269" i="15"/>
  <c r="AN269" i="15" s="1"/>
  <c r="AM270" i="15"/>
  <c r="AN270" i="15" s="1"/>
  <c r="AG274" i="15"/>
  <c r="AG274" i="17"/>
  <c r="BT838" i="15"/>
  <c r="BZ838" i="15"/>
  <c r="AP273" i="17"/>
  <c r="BY838" i="15"/>
  <c r="BT839" i="15"/>
  <c r="AP273" i="15"/>
  <c r="AO274" i="15"/>
  <c r="AO273" i="17"/>
  <c r="CH839" i="15"/>
  <c r="CH838" i="15"/>
  <c r="BX838" i="15"/>
  <c r="BW839" i="15"/>
  <c r="BV837" i="15"/>
  <c r="CK827" i="15" l="1"/>
  <c r="CO827" i="15"/>
  <c r="CT827" i="15" s="1"/>
  <c r="CI833" i="15"/>
  <c r="CC837" i="15"/>
  <c r="CN837" i="15" s="1"/>
  <c r="CF838" i="15"/>
  <c r="CQ838" i="15" s="1"/>
  <c r="CV838" i="15" s="1"/>
  <c r="CE838" i="15"/>
  <c r="CP838" i="15" s="1"/>
  <c r="CU838" i="15" s="1"/>
  <c r="CD838" i="15"/>
  <c r="BQ840" i="15"/>
  <c r="AM271" i="15"/>
  <c r="AN271" i="15" s="1"/>
  <c r="AH272" i="15"/>
  <c r="AK272" i="15" s="1"/>
  <c r="AL272" i="15" s="1"/>
  <c r="AJ271" i="15"/>
  <c r="AG275" i="15"/>
  <c r="AG275" i="17"/>
  <c r="AP274" i="17"/>
  <c r="BV838" i="15"/>
  <c r="AP274" i="15"/>
  <c r="BY839" i="15"/>
  <c r="CB836" i="15"/>
  <c r="BW840" i="15"/>
  <c r="AI277" i="15"/>
  <c r="BZ839" i="15"/>
  <c r="BX839" i="15"/>
  <c r="AO274" i="17"/>
  <c r="CH840" i="15"/>
  <c r="AO275" i="15"/>
  <c r="CS837" i="15" l="1"/>
  <c r="CI834" i="15"/>
  <c r="CC838" i="15"/>
  <c r="CN838" i="15" s="1"/>
  <c r="CS838" i="15" s="1"/>
  <c r="CF839" i="15"/>
  <c r="CQ839" i="15" s="1"/>
  <c r="CV839" i="15" s="1"/>
  <c r="CE839" i="15"/>
  <c r="CP839" i="15" s="1"/>
  <c r="CU839" i="15" s="1"/>
  <c r="CD839" i="15"/>
  <c r="BQ841" i="15"/>
  <c r="AG276" i="15"/>
  <c r="AG276" i="17"/>
  <c r="AI276" i="15"/>
  <c r="AI279" i="15"/>
  <c r="CH841" i="15"/>
  <c r="AI277" i="17"/>
  <c r="BW841" i="15"/>
  <c r="BY840" i="15"/>
  <c r="BZ840" i="15"/>
  <c r="AI276" i="17"/>
  <c r="CB837" i="15"/>
  <c r="AI275" i="15"/>
  <c r="AI275" i="17"/>
  <c r="BV839" i="15"/>
  <c r="AI279" i="17"/>
  <c r="BT840" i="15"/>
  <c r="BT841" i="15"/>
  <c r="AP275" i="15"/>
  <c r="CK841" i="15"/>
  <c r="AP275" i="17"/>
  <c r="AO275" i="17"/>
  <c r="AI278" i="17"/>
  <c r="BX840" i="15"/>
  <c r="AO276" i="15"/>
  <c r="AH275" i="15"/>
  <c r="AH275" i="17"/>
  <c r="AI278" i="15"/>
  <c r="CI835" i="15" l="1"/>
  <c r="CJ835" i="15" s="1"/>
  <c r="CC839" i="15"/>
  <c r="CN839" i="15" s="1"/>
  <c r="CD840" i="15"/>
  <c r="CE840" i="15"/>
  <c r="CP840" i="15" s="1"/>
  <c r="CU840" i="15" s="1"/>
  <c r="CF840" i="15"/>
  <c r="CQ840" i="15" s="1"/>
  <c r="CV840" i="15" s="1"/>
  <c r="BQ842" i="15"/>
  <c r="AH273" i="15"/>
  <c r="AK273" i="15" s="1"/>
  <c r="AL273" i="15" s="1"/>
  <c r="AM272" i="15"/>
  <c r="AN272" i="15" s="1"/>
  <c r="AJ272" i="15"/>
  <c r="AH278" i="17"/>
  <c r="AL277" i="17"/>
  <c r="AM277" i="17" s="1"/>
  <c r="AN277" i="17" s="1"/>
  <c r="AH279" i="17"/>
  <c r="AL278" i="17"/>
  <c r="AM278" i="17" s="1"/>
  <c r="AN278" i="17" s="1"/>
  <c r="AH276" i="17"/>
  <c r="AL275" i="17"/>
  <c r="AM275" i="17" s="1"/>
  <c r="AN275" i="17" s="1"/>
  <c r="AL279" i="17"/>
  <c r="AM279" i="17" s="1"/>
  <c r="AN279" i="17" s="1"/>
  <c r="AH277" i="17"/>
  <c r="AL276" i="17"/>
  <c r="AM276" i="17" s="1"/>
  <c r="AN276" i="17" s="1"/>
  <c r="AG277" i="15"/>
  <c r="AG277" i="17"/>
  <c r="CB838" i="15"/>
  <c r="BW842" i="15"/>
  <c r="BZ841" i="15"/>
  <c r="CH842" i="15"/>
  <c r="AO277" i="15"/>
  <c r="AP276" i="17"/>
  <c r="BY841" i="15"/>
  <c r="BX841" i="15"/>
  <c r="BV840" i="15"/>
  <c r="AO276" i="17"/>
  <c r="BT842" i="15"/>
  <c r="AP276" i="15"/>
  <c r="CN840" i="15" l="1"/>
  <c r="CS840" i="15" s="1"/>
  <c r="CS839" i="15"/>
  <c r="CK835" i="15"/>
  <c r="CO835" i="15"/>
  <c r="CT835" i="15" s="1"/>
  <c r="CJ834" i="15"/>
  <c r="CC840" i="15"/>
  <c r="CF841" i="15"/>
  <c r="CQ841" i="15" s="1"/>
  <c r="CV841" i="15" s="1"/>
  <c r="CD841" i="15"/>
  <c r="CO841" i="15" s="1"/>
  <c r="CE841" i="15"/>
  <c r="CP841" i="15" s="1"/>
  <c r="CU841" i="15" s="1"/>
  <c r="BQ843" i="15"/>
  <c r="AM273" i="15"/>
  <c r="AN273" i="15" s="1"/>
  <c r="AJ273" i="15"/>
  <c r="AH274" i="15"/>
  <c r="AK274" i="15" s="1"/>
  <c r="AL274" i="15" s="1"/>
  <c r="AJ275" i="15"/>
  <c r="AK275" i="15" s="1"/>
  <c r="AL275" i="15" s="1"/>
  <c r="AH276" i="15"/>
  <c r="AK276" i="15" s="1"/>
  <c r="AL276" i="15" s="1"/>
  <c r="AG278" i="17"/>
  <c r="AG278" i="15"/>
  <c r="AO278" i="15"/>
  <c r="BX842" i="15"/>
  <c r="AO277" i="17"/>
  <c r="AP277" i="15"/>
  <c r="BT843" i="15"/>
  <c r="CB840" i="15"/>
  <c r="BY842" i="15"/>
  <c r="BV841" i="15"/>
  <c r="BZ842" i="15"/>
  <c r="CB839" i="15"/>
  <c r="CH843" i="15"/>
  <c r="AP277" i="17"/>
  <c r="BW843" i="15"/>
  <c r="CT836" i="15" l="1"/>
  <c r="CI836" i="15"/>
  <c r="CI837" i="15" s="1"/>
  <c r="CO834" i="15"/>
  <c r="CT834" i="15" s="1"/>
  <c r="CK834" i="15"/>
  <c r="CJ833" i="15"/>
  <c r="CC841" i="15"/>
  <c r="CN841" i="15" s="1"/>
  <c r="CS841" i="15" s="1"/>
  <c r="CF842" i="15"/>
  <c r="CQ842" i="15" s="1"/>
  <c r="CV842" i="15" s="1"/>
  <c r="CE842" i="15"/>
  <c r="CP842" i="15" s="1"/>
  <c r="CU842" i="15" s="1"/>
  <c r="CD842" i="15"/>
  <c r="BQ844" i="15"/>
  <c r="AJ274" i="15"/>
  <c r="AM274" i="15"/>
  <c r="AN274" i="15" s="1"/>
  <c r="AM275" i="15"/>
  <c r="AN275" i="15" s="1"/>
  <c r="AG279" i="15"/>
  <c r="AG279" i="17"/>
  <c r="BW844" i="15"/>
  <c r="AP278" i="15"/>
  <c r="AP278" i="17"/>
  <c r="BT844" i="15"/>
  <c r="BZ843" i="15"/>
  <c r="CH844" i="15"/>
  <c r="BX843" i="15"/>
  <c r="BV842" i="15"/>
  <c r="BY843" i="15"/>
  <c r="AO279" i="15"/>
  <c r="AO278" i="17"/>
  <c r="CK833" i="15" l="1"/>
  <c r="CO833" i="15"/>
  <c r="CT833" i="15" s="1"/>
  <c r="CJ832" i="15"/>
  <c r="CI838" i="15"/>
  <c r="CC842" i="15"/>
  <c r="CN842" i="15" s="1"/>
  <c r="CE843" i="15"/>
  <c r="CP843" i="15" s="1"/>
  <c r="CU843" i="15" s="1"/>
  <c r="CF843" i="15"/>
  <c r="CQ843" i="15" s="1"/>
  <c r="CV843" i="15" s="1"/>
  <c r="CD843" i="15"/>
  <c r="BQ845" i="15"/>
  <c r="AM276" i="15"/>
  <c r="AN276" i="15" s="1"/>
  <c r="AH277" i="15"/>
  <c r="AK277" i="15" s="1"/>
  <c r="AL277" i="15" s="1"/>
  <c r="AJ276" i="15"/>
  <c r="AG280" i="15"/>
  <c r="AG280" i="17"/>
  <c r="BW845" i="15"/>
  <c r="AI284" i="15"/>
  <c r="BX844" i="15"/>
  <c r="CB842" i="15"/>
  <c r="AP279" i="15"/>
  <c r="AI281" i="15"/>
  <c r="BZ844" i="15"/>
  <c r="AO279" i="17"/>
  <c r="AI283" i="15"/>
  <c r="AO280" i="15"/>
  <c r="AI280" i="15"/>
  <c r="BV843" i="15"/>
  <c r="CH845" i="15"/>
  <c r="BY844" i="15"/>
  <c r="BT845" i="15"/>
  <c r="AP279" i="17"/>
  <c r="AI282" i="15"/>
  <c r="CB841" i="15"/>
  <c r="CS842" i="15" l="1"/>
  <c r="CK832" i="15"/>
  <c r="CO832" i="15"/>
  <c r="CT832" i="15" s="1"/>
  <c r="CI839" i="15"/>
  <c r="CC843" i="15"/>
  <c r="CN843" i="15" s="1"/>
  <c r="CS843" i="15" s="1"/>
  <c r="CE844" i="15"/>
  <c r="CP844" i="15" s="1"/>
  <c r="CU844" i="15" s="1"/>
  <c r="CD844" i="15"/>
  <c r="CF844" i="15"/>
  <c r="CQ844" i="15" s="1"/>
  <c r="CV844" i="15" s="1"/>
  <c r="BQ846" i="15"/>
  <c r="AG281" i="15"/>
  <c r="AG281" i="17"/>
  <c r="CH846" i="15"/>
  <c r="AH280" i="17"/>
  <c r="AI284" i="17"/>
  <c r="BZ845" i="15"/>
  <c r="AH280" i="15"/>
  <c r="AP280" i="17"/>
  <c r="CK846" i="15"/>
  <c r="BY845" i="15"/>
  <c r="AO280" i="17"/>
  <c r="CB843" i="15"/>
  <c r="AI280" i="17"/>
  <c r="BX845" i="15"/>
  <c r="BT846" i="15"/>
  <c r="BW846" i="15"/>
  <c r="AI283" i="17"/>
  <c r="AO281" i="15"/>
  <c r="AI282" i="17"/>
  <c r="AP280" i="15"/>
  <c r="BV844" i="15"/>
  <c r="AI281" i="17"/>
  <c r="CI840" i="15" l="1"/>
  <c r="CJ840" i="15" s="1"/>
  <c r="CC844" i="15"/>
  <c r="CN844" i="15" s="1"/>
  <c r="CF845" i="15"/>
  <c r="CQ845" i="15" s="1"/>
  <c r="CV845" i="15" s="1"/>
  <c r="CD845" i="15"/>
  <c r="CE845" i="15"/>
  <c r="CP845" i="15" s="1"/>
  <c r="CU845" i="15" s="1"/>
  <c r="BQ847" i="15"/>
  <c r="AM277" i="15"/>
  <c r="AN277" i="15" s="1"/>
  <c r="AH278" i="15"/>
  <c r="AK278" i="15" s="1"/>
  <c r="AL278" i="15" s="1"/>
  <c r="AJ277" i="15"/>
  <c r="AL284" i="17"/>
  <c r="AM284" i="17" s="1"/>
  <c r="AN284" i="17" s="1"/>
  <c r="AH282" i="17"/>
  <c r="AL281" i="17"/>
  <c r="AM281" i="17" s="1"/>
  <c r="AN281" i="17" s="1"/>
  <c r="AH284" i="17"/>
  <c r="AL283" i="17"/>
  <c r="AM283" i="17" s="1"/>
  <c r="AN283" i="17" s="1"/>
  <c r="AH283" i="17"/>
  <c r="AL282" i="17"/>
  <c r="AM282" i="17" s="1"/>
  <c r="AN282" i="17" s="1"/>
  <c r="AH281" i="17"/>
  <c r="AL280" i="17"/>
  <c r="AM280" i="17" s="1"/>
  <c r="AN280" i="17" s="1"/>
  <c r="AG282" i="15"/>
  <c r="AG282" i="17"/>
  <c r="BT847" i="15"/>
  <c r="BW847" i="15"/>
  <c r="AP281" i="17"/>
  <c r="BZ846" i="15"/>
  <c r="BV845" i="15"/>
  <c r="BX846" i="15"/>
  <c r="CH847" i="15"/>
  <c r="AP281" i="15"/>
  <c r="AO281" i="17"/>
  <c r="AO282" i="15"/>
  <c r="BY846" i="15"/>
  <c r="CN845" i="15" l="1"/>
  <c r="CS845" i="15" s="1"/>
  <c r="CS844" i="15"/>
  <c r="CK840" i="15"/>
  <c r="CO840" i="15"/>
  <c r="CT840" i="15" s="1"/>
  <c r="CJ839" i="15"/>
  <c r="CC845" i="15"/>
  <c r="CF846" i="15"/>
  <c r="CQ846" i="15" s="1"/>
  <c r="CV846" i="15" s="1"/>
  <c r="CE846" i="15"/>
  <c r="CP846" i="15" s="1"/>
  <c r="CU846" i="15" s="1"/>
  <c r="CD846" i="15"/>
  <c r="CO846" i="15" s="1"/>
  <c r="BQ848" i="15"/>
  <c r="AJ280" i="15"/>
  <c r="AK280" i="15" s="1"/>
  <c r="AL280" i="15" s="1"/>
  <c r="AH281" i="15"/>
  <c r="AK281" i="15" s="1"/>
  <c r="AL281" i="15" s="1"/>
  <c r="AG283" i="17"/>
  <c r="AG283" i="15"/>
  <c r="CH848" i="15"/>
  <c r="BV846" i="15"/>
  <c r="BT848" i="15"/>
  <c r="AO282" i="17"/>
  <c r="CB844" i="15"/>
  <c r="AP282" i="15"/>
  <c r="AP282" i="17"/>
  <c r="AO283" i="15"/>
  <c r="CB845" i="15"/>
  <c r="BY847" i="15"/>
  <c r="BZ847" i="15"/>
  <c r="BX847" i="15"/>
  <c r="BW848" i="15"/>
  <c r="CT841" i="15" l="1"/>
  <c r="CI841" i="15"/>
  <c r="CI842" i="15" s="1"/>
  <c r="CK839" i="15"/>
  <c r="CO839" i="15"/>
  <c r="CT839" i="15" s="1"/>
  <c r="CJ838" i="15"/>
  <c r="CC846" i="15"/>
  <c r="CN846" i="15" s="1"/>
  <c r="CS846" i="15" s="1"/>
  <c r="CE847" i="15"/>
  <c r="CP847" i="15" s="1"/>
  <c r="CU847" i="15" s="1"/>
  <c r="CF847" i="15"/>
  <c r="CQ847" i="15" s="1"/>
  <c r="CV847" i="15" s="1"/>
  <c r="CD847" i="15"/>
  <c r="BQ849" i="15"/>
  <c r="AM278" i="15"/>
  <c r="AN278" i="15" s="1"/>
  <c r="AH279" i="15"/>
  <c r="AK279" i="15" s="1"/>
  <c r="AL279" i="15" s="1"/>
  <c r="AJ278" i="15"/>
  <c r="AG284" i="17"/>
  <c r="AG284" i="15"/>
  <c r="BV847" i="15"/>
  <c r="AO283" i="17"/>
  <c r="CH849" i="15"/>
  <c r="AO284" i="15"/>
  <c r="AP283" i="15"/>
  <c r="BZ848" i="15"/>
  <c r="BW849" i="15"/>
  <c r="AP283" i="17"/>
  <c r="BT849" i="15"/>
  <c r="BX848" i="15"/>
  <c r="BY848" i="15"/>
  <c r="CK838" i="15" l="1"/>
  <c r="CO838" i="15"/>
  <c r="CT838" i="15" s="1"/>
  <c r="CJ837" i="15"/>
  <c r="CI843" i="15"/>
  <c r="CC847" i="15"/>
  <c r="CN847" i="15" s="1"/>
  <c r="CD848" i="15"/>
  <c r="CE848" i="15"/>
  <c r="CP848" i="15" s="1"/>
  <c r="CU848" i="15" s="1"/>
  <c r="CF848" i="15"/>
  <c r="CQ848" i="15" s="1"/>
  <c r="CV848" i="15" s="1"/>
  <c r="BQ850" i="15"/>
  <c r="AH282" i="15"/>
  <c r="AK282" i="15" s="1"/>
  <c r="AL282" i="15" s="1"/>
  <c r="AM281" i="15"/>
  <c r="AN281" i="15" s="1"/>
  <c r="AJ281" i="15"/>
  <c r="AM279" i="15"/>
  <c r="AN279" i="15" s="1"/>
  <c r="AJ279" i="15"/>
  <c r="AM280" i="15"/>
  <c r="AN280" i="15" s="1"/>
  <c r="AG285" i="15"/>
  <c r="AG285" i="17"/>
  <c r="BX849" i="15"/>
  <c r="CH850" i="15"/>
  <c r="BT850" i="15"/>
  <c r="AI289" i="15"/>
  <c r="CB847" i="15"/>
  <c r="CB846" i="15"/>
  <c r="BV848" i="15"/>
  <c r="BW850" i="15"/>
  <c r="AP284" i="15"/>
  <c r="BZ849" i="15"/>
  <c r="BY849" i="15"/>
  <c r="AP284" i="17"/>
  <c r="AO284" i="17"/>
  <c r="AI286" i="15"/>
  <c r="CS847" i="15" l="1"/>
  <c r="CK837" i="15"/>
  <c r="CO837" i="15"/>
  <c r="CT837" i="15" s="1"/>
  <c r="CI844" i="15"/>
  <c r="CC848" i="15"/>
  <c r="CN848" i="15" s="1"/>
  <c r="CS848" i="15" s="1"/>
  <c r="CF849" i="15"/>
  <c r="CQ849" i="15" s="1"/>
  <c r="CV849" i="15" s="1"/>
  <c r="CD849" i="15"/>
  <c r="CE849" i="15"/>
  <c r="CP849" i="15" s="1"/>
  <c r="CU849" i="15" s="1"/>
  <c r="BQ851" i="15"/>
  <c r="AG286" i="15"/>
  <c r="AG286" i="17"/>
  <c r="AI286" i="17"/>
  <c r="AH285" i="17"/>
  <c r="BX850" i="15"/>
  <c r="BW851" i="15"/>
  <c r="BV849" i="15"/>
  <c r="AI288" i="15"/>
  <c r="BT851" i="15"/>
  <c r="AH285" i="15"/>
  <c r="BZ850" i="15"/>
  <c r="AO286" i="15"/>
  <c r="BY850" i="15"/>
  <c r="AI287" i="15"/>
  <c r="AP285" i="17"/>
  <c r="CK851" i="15"/>
  <c r="AO285" i="17"/>
  <c r="AI289" i="17"/>
  <c r="AP285" i="15"/>
  <c r="CB848" i="15"/>
  <c r="AI285" i="15"/>
  <c r="AI287" i="17"/>
  <c r="CH851" i="15"/>
  <c r="AO285" i="15"/>
  <c r="AI285" i="17"/>
  <c r="AI288" i="17"/>
  <c r="CI845" i="15" l="1"/>
  <c r="CJ845" i="15" s="1"/>
  <c r="CJ844" i="15" s="1"/>
  <c r="CC849" i="15"/>
  <c r="CN849" i="15" s="1"/>
  <c r="CF850" i="15"/>
  <c r="CQ850" i="15" s="1"/>
  <c r="CV850" i="15" s="1"/>
  <c r="CE850" i="15"/>
  <c r="CP850" i="15" s="1"/>
  <c r="CU850" i="15" s="1"/>
  <c r="CD850" i="15"/>
  <c r="BQ852" i="15"/>
  <c r="AH283" i="15"/>
  <c r="AK283" i="15" s="1"/>
  <c r="AL283" i="15" s="1"/>
  <c r="AM282" i="15"/>
  <c r="AN282" i="15" s="1"/>
  <c r="AJ282" i="15"/>
  <c r="AL289" i="17"/>
  <c r="AM289" i="17" s="1"/>
  <c r="AN289" i="17" s="1"/>
  <c r="AH286" i="17"/>
  <c r="AL285" i="17"/>
  <c r="AM285" i="17" s="1"/>
  <c r="AN285" i="17" s="1"/>
  <c r="AH289" i="17"/>
  <c r="AL288" i="17"/>
  <c r="AM288" i="17" s="1"/>
  <c r="AN288" i="17" s="1"/>
  <c r="AH287" i="17"/>
  <c r="AL286" i="17"/>
  <c r="AM286" i="17" s="1"/>
  <c r="AN286" i="17" s="1"/>
  <c r="AH288" i="17"/>
  <c r="AL287" i="17"/>
  <c r="AM287" i="17" s="1"/>
  <c r="AN287" i="17" s="1"/>
  <c r="AG287" i="17"/>
  <c r="AG287" i="15"/>
  <c r="CH852" i="15"/>
  <c r="BT852" i="15"/>
  <c r="BV850" i="15"/>
  <c r="AP286" i="17"/>
  <c r="BY851" i="15"/>
  <c r="AO286" i="17"/>
  <c r="BW852" i="15"/>
  <c r="BX851" i="15"/>
  <c r="AP286" i="15"/>
  <c r="BZ851" i="15"/>
  <c r="AO287" i="15"/>
  <c r="CN850" i="15" l="1"/>
  <c r="CS850" i="15" s="1"/>
  <c r="CS849" i="15"/>
  <c r="CK845" i="15"/>
  <c r="CO845" i="15"/>
  <c r="CT845" i="15" s="1"/>
  <c r="CK844" i="15"/>
  <c r="CO844" i="15"/>
  <c r="CT844" i="15" s="1"/>
  <c r="CJ843" i="15"/>
  <c r="CC850" i="15"/>
  <c r="CE851" i="15"/>
  <c r="CP851" i="15" s="1"/>
  <c r="CU851" i="15" s="1"/>
  <c r="CF851" i="15"/>
  <c r="CQ851" i="15" s="1"/>
  <c r="CV851" i="15" s="1"/>
  <c r="CD851" i="15"/>
  <c r="CO851" i="15" s="1"/>
  <c r="BQ853" i="15"/>
  <c r="AJ285" i="15"/>
  <c r="AK285" i="15" s="1"/>
  <c r="AL285" i="15" s="1"/>
  <c r="AH286" i="15"/>
  <c r="AK286" i="15" s="1"/>
  <c r="AL286" i="15" s="1"/>
  <c r="AG288" i="15"/>
  <c r="AG288" i="17"/>
  <c r="BZ852" i="15"/>
  <c r="BX852" i="15"/>
  <c r="CB849" i="15"/>
  <c r="AP287" i="15"/>
  <c r="AP287" i="17"/>
  <c r="BY852" i="15"/>
  <c r="AO287" i="17"/>
  <c r="BV851" i="15"/>
  <c r="AO288" i="15"/>
  <c r="BW853" i="15"/>
  <c r="CB850" i="15"/>
  <c r="CH853" i="15"/>
  <c r="CT846" i="15" l="1"/>
  <c r="CI846" i="15"/>
  <c r="CI847" i="15" s="1"/>
  <c r="CK843" i="15"/>
  <c r="CO843" i="15"/>
  <c r="CT843" i="15" s="1"/>
  <c r="CJ842" i="15"/>
  <c r="CC851" i="15"/>
  <c r="CN851" i="15" s="1"/>
  <c r="CS851" i="15" s="1"/>
  <c r="CD852" i="15"/>
  <c r="CE852" i="15"/>
  <c r="CP852" i="15" s="1"/>
  <c r="CU852" i="15" s="1"/>
  <c r="CF852" i="15"/>
  <c r="CQ852" i="15" s="1"/>
  <c r="CV852" i="15" s="1"/>
  <c r="BQ854" i="15"/>
  <c r="AH284" i="15"/>
  <c r="AK284" i="15" s="1"/>
  <c r="AL284" i="15" s="1"/>
  <c r="AM283" i="15"/>
  <c r="AN283" i="15" s="1"/>
  <c r="AJ283" i="15"/>
  <c r="AG289" i="17"/>
  <c r="AG289" i="15"/>
  <c r="BT853" i="15"/>
  <c r="AO288" i="17"/>
  <c r="AP288" i="15"/>
  <c r="CH854" i="15"/>
  <c r="BY853" i="15"/>
  <c r="AP288" i="17"/>
  <c r="BV852" i="15"/>
  <c r="BX853" i="15"/>
  <c r="BZ853" i="15"/>
  <c r="AO289" i="15"/>
  <c r="CK842" i="15" l="1"/>
  <c r="CO842" i="15"/>
  <c r="CT842" i="15" s="1"/>
  <c r="CI848" i="15"/>
  <c r="CC852" i="15"/>
  <c r="CN852" i="15" s="1"/>
  <c r="CD853" i="15"/>
  <c r="CF853" i="15"/>
  <c r="CQ853" i="15" s="1"/>
  <c r="CV853" i="15" s="1"/>
  <c r="CE853" i="15"/>
  <c r="CP853" i="15" s="1"/>
  <c r="CU853" i="15" s="1"/>
  <c r="BQ855" i="15"/>
  <c r="AH287" i="15"/>
  <c r="AK287" i="15" s="1"/>
  <c r="AL287" i="15" s="1"/>
  <c r="AM286" i="15"/>
  <c r="AN286" i="15" s="1"/>
  <c r="AJ286" i="15"/>
  <c r="AM284" i="15"/>
  <c r="AN284" i="15" s="1"/>
  <c r="AJ284" i="15"/>
  <c r="AM285" i="15"/>
  <c r="AN285" i="15" s="1"/>
  <c r="AG290" i="15"/>
  <c r="AG290" i="17"/>
  <c r="BW854" i="15"/>
  <c r="AI291" i="15"/>
  <c r="AO290" i="15"/>
  <c r="AI290" i="15"/>
  <c r="AP289" i="17"/>
  <c r="BV853" i="15"/>
  <c r="AO289" i="17"/>
  <c r="BY854" i="15"/>
  <c r="AI294" i="15"/>
  <c r="AP289" i="15"/>
  <c r="BZ854" i="15"/>
  <c r="BT854" i="15"/>
  <c r="CB851" i="15"/>
  <c r="AI293" i="15"/>
  <c r="BX854" i="15"/>
  <c r="AI292" i="15"/>
  <c r="BW855" i="15"/>
  <c r="CS852" i="15" l="1"/>
  <c r="CI849" i="15"/>
  <c r="CC853" i="15"/>
  <c r="CN853" i="15" s="1"/>
  <c r="CS853" i="15" s="1"/>
  <c r="CF854" i="15"/>
  <c r="CQ854" i="15" s="1"/>
  <c r="CV854" i="15" s="1"/>
  <c r="CE854" i="15"/>
  <c r="CP854" i="15" s="1"/>
  <c r="CU854" i="15" s="1"/>
  <c r="CD854" i="15"/>
  <c r="BQ856" i="15"/>
  <c r="AG291" i="15"/>
  <c r="AG291" i="17"/>
  <c r="CH855" i="15"/>
  <c r="AI292" i="17"/>
  <c r="AI293" i="17"/>
  <c r="AH290" i="15"/>
  <c r="AI290" i="17"/>
  <c r="AI294" i="17"/>
  <c r="BT855" i="15"/>
  <c r="BX855" i="15"/>
  <c r="BV854" i="15"/>
  <c r="AO290" i="17"/>
  <c r="AH290" i="17"/>
  <c r="BY855" i="15"/>
  <c r="AP290" i="17"/>
  <c r="CB852" i="15"/>
  <c r="AO291" i="15"/>
  <c r="AI291" i="17"/>
  <c r="AP290" i="15"/>
  <c r="BZ855" i="15"/>
  <c r="CK856" i="15"/>
  <c r="CI850" i="15" l="1"/>
  <c r="CJ850" i="15" s="1"/>
  <c r="CC854" i="15"/>
  <c r="CN854" i="15" s="1"/>
  <c r="CF855" i="15"/>
  <c r="CQ855" i="15" s="1"/>
  <c r="CV855" i="15" s="1"/>
  <c r="CE855" i="15"/>
  <c r="CP855" i="15" s="1"/>
  <c r="CU855" i="15" s="1"/>
  <c r="CD855" i="15"/>
  <c r="BQ857" i="15"/>
  <c r="AM287" i="15"/>
  <c r="AN287" i="15" s="1"/>
  <c r="AH288" i="15"/>
  <c r="AK288" i="15" s="1"/>
  <c r="AL288" i="15" s="1"/>
  <c r="AJ287" i="15"/>
  <c r="AH294" i="17"/>
  <c r="AL293" i="17"/>
  <c r="AM293" i="17" s="1"/>
  <c r="AN293" i="17" s="1"/>
  <c r="AL294" i="17"/>
  <c r="AM294" i="17" s="1"/>
  <c r="AN294" i="17" s="1"/>
  <c r="AH293" i="17"/>
  <c r="AL292" i="17"/>
  <c r="AM292" i="17" s="1"/>
  <c r="AN292" i="17" s="1"/>
  <c r="AH291" i="17"/>
  <c r="AL290" i="17"/>
  <c r="AM290" i="17" s="1"/>
  <c r="AN290" i="17" s="1"/>
  <c r="AH292" i="17"/>
  <c r="AL291" i="17"/>
  <c r="AM291" i="17" s="1"/>
  <c r="AN291" i="17" s="1"/>
  <c r="AG292" i="17"/>
  <c r="AG292" i="15"/>
  <c r="CH856" i="15"/>
  <c r="CB853" i="15"/>
  <c r="BW856" i="15"/>
  <c r="BX856" i="15"/>
  <c r="AP291" i="17"/>
  <c r="BT856" i="15"/>
  <c r="BZ856" i="15"/>
  <c r="BV855" i="15"/>
  <c r="BW857" i="15"/>
  <c r="BY856" i="15"/>
  <c r="CH857" i="15"/>
  <c r="BT857" i="15"/>
  <c r="AP291" i="15"/>
  <c r="AO291" i="17"/>
  <c r="AO292" i="15"/>
  <c r="CN855" i="15" l="1"/>
  <c r="CS855" i="15" s="1"/>
  <c r="CS854" i="15"/>
  <c r="CO850" i="15"/>
  <c r="CT850" i="15" s="1"/>
  <c r="CK850" i="15"/>
  <c r="CJ849" i="15"/>
  <c r="CC855" i="15"/>
  <c r="CD856" i="15"/>
  <c r="CO856" i="15" s="1"/>
  <c r="CE856" i="15"/>
  <c r="CP856" i="15" s="1"/>
  <c r="CU856" i="15" s="1"/>
  <c r="CF856" i="15"/>
  <c r="CQ856" i="15" s="1"/>
  <c r="CV856" i="15" s="1"/>
  <c r="BQ858" i="15"/>
  <c r="AJ290" i="15"/>
  <c r="AK290" i="15" s="1"/>
  <c r="AL290" i="15" s="1"/>
  <c r="AH291" i="15"/>
  <c r="AK291" i="15" s="1"/>
  <c r="AL291" i="15" s="1"/>
  <c r="AG293" i="17"/>
  <c r="AG293" i="15"/>
  <c r="BV856" i="15"/>
  <c r="CH858" i="15"/>
  <c r="AO292" i="17"/>
  <c r="AO293" i="15"/>
  <c r="AP292" i="15"/>
  <c r="BW858" i="15"/>
  <c r="AP292" i="17"/>
  <c r="BZ857" i="15"/>
  <c r="BT858" i="15"/>
  <c r="BX857" i="15"/>
  <c r="BY857" i="15"/>
  <c r="CB854" i="15"/>
  <c r="CB855" i="15"/>
  <c r="CT851" i="15" l="1"/>
  <c r="CI851" i="15"/>
  <c r="CI852" i="15" s="1"/>
  <c r="CO849" i="15"/>
  <c r="CT849" i="15" s="1"/>
  <c r="CK849" i="15"/>
  <c r="CJ848" i="15"/>
  <c r="CC856" i="15"/>
  <c r="CN856" i="15" s="1"/>
  <c r="CS856" i="15" s="1"/>
  <c r="CD857" i="15"/>
  <c r="CF857" i="15"/>
  <c r="CQ857" i="15" s="1"/>
  <c r="CV857" i="15" s="1"/>
  <c r="CE857" i="15"/>
  <c r="CP857" i="15" s="1"/>
  <c r="CU857" i="15" s="1"/>
  <c r="BQ859" i="15"/>
  <c r="AM288" i="15"/>
  <c r="AN288" i="15" s="1"/>
  <c r="AH289" i="15"/>
  <c r="AK289" i="15" s="1"/>
  <c r="AL289" i="15" s="1"/>
  <c r="AJ288" i="15"/>
  <c r="AG294" i="15"/>
  <c r="AG294" i="17"/>
  <c r="AO294" i="15"/>
  <c r="AO293" i="17"/>
  <c r="AP293" i="15"/>
  <c r="AP293" i="17"/>
  <c r="BV857" i="15"/>
  <c r="BW859" i="15"/>
  <c r="CH859" i="15"/>
  <c r="BT859" i="15"/>
  <c r="BX858" i="15"/>
  <c r="BY858" i="15"/>
  <c r="BZ858" i="15"/>
  <c r="CO848" i="15" l="1"/>
  <c r="CT848" i="15" s="1"/>
  <c r="CK848" i="15"/>
  <c r="CJ847" i="15"/>
  <c r="CI853" i="15"/>
  <c r="CC857" i="15"/>
  <c r="CN857" i="15" s="1"/>
  <c r="CF858" i="15"/>
  <c r="CQ858" i="15" s="1"/>
  <c r="CV858" i="15" s="1"/>
  <c r="CE858" i="15"/>
  <c r="CP858" i="15" s="1"/>
  <c r="CU858" i="15" s="1"/>
  <c r="CD858" i="15"/>
  <c r="BQ860" i="15"/>
  <c r="AJ289" i="15"/>
  <c r="AM289" i="15"/>
  <c r="AN289" i="15" s="1"/>
  <c r="AM290" i="15"/>
  <c r="AN290" i="15" s="1"/>
  <c r="AM291" i="15"/>
  <c r="AN291" i="15" s="1"/>
  <c r="AH292" i="15"/>
  <c r="AK292" i="15" s="1"/>
  <c r="AL292" i="15" s="1"/>
  <c r="AJ291" i="15"/>
  <c r="AG295" i="15"/>
  <c r="AG295" i="17"/>
  <c r="BX859" i="15"/>
  <c r="BW860" i="15"/>
  <c r="BV858" i="15"/>
  <c r="AP294" i="17"/>
  <c r="CH860" i="15"/>
  <c r="BY859" i="15"/>
  <c r="BT860" i="15"/>
  <c r="CB857" i="15"/>
  <c r="CB856" i="15"/>
  <c r="AP294" i="15"/>
  <c r="BZ859" i="15"/>
  <c r="AO294" i="17"/>
  <c r="AO295" i="15"/>
  <c r="CS857" i="15" l="1"/>
  <c r="CO847" i="15"/>
  <c r="CT847" i="15" s="1"/>
  <c r="CK847" i="15"/>
  <c r="CI854" i="15"/>
  <c r="CC858" i="15"/>
  <c r="CN858" i="15" s="1"/>
  <c r="CS858" i="15" s="1"/>
  <c r="CE859" i="15"/>
  <c r="CP859" i="15" s="1"/>
  <c r="CU859" i="15" s="1"/>
  <c r="CF859" i="15"/>
  <c r="CQ859" i="15" s="1"/>
  <c r="CV859" i="15" s="1"/>
  <c r="CD859" i="15"/>
  <c r="BQ861" i="15"/>
  <c r="AG296" i="15"/>
  <c r="AG296" i="17"/>
  <c r="BW861" i="15"/>
  <c r="BY860" i="15"/>
  <c r="AI299" i="15"/>
  <c r="BX860" i="15"/>
  <c r="AP295" i="17"/>
  <c r="CH861" i="15"/>
  <c r="BT861" i="15"/>
  <c r="AI298" i="15"/>
  <c r="AI296" i="15"/>
  <c r="AO295" i="17"/>
  <c r="AI299" i="17"/>
  <c r="AH295" i="15"/>
  <c r="AI298" i="17"/>
  <c r="AI297" i="15"/>
  <c r="CB858" i="15"/>
  <c r="CK861" i="15"/>
  <c r="BZ860" i="15"/>
  <c r="BV859" i="15"/>
  <c r="AH295" i="17"/>
  <c r="AI297" i="17"/>
  <c r="AI295" i="15"/>
  <c r="AI295" i="17"/>
  <c r="AO296" i="15"/>
  <c r="AI296" i="17"/>
  <c r="AP295" i="15"/>
  <c r="CI855" i="15" l="1"/>
  <c r="CJ855" i="15" s="1"/>
  <c r="CC859" i="15"/>
  <c r="CN859" i="15" s="1"/>
  <c r="CD860" i="15"/>
  <c r="CE860" i="15"/>
  <c r="CP860" i="15" s="1"/>
  <c r="CU860" i="15" s="1"/>
  <c r="CF860" i="15"/>
  <c r="CQ860" i="15" s="1"/>
  <c r="CV860" i="15" s="1"/>
  <c r="BQ862" i="15"/>
  <c r="AH293" i="15"/>
  <c r="AK293" i="15" s="1"/>
  <c r="AL293" i="15" s="1"/>
  <c r="AM292" i="15"/>
  <c r="AN292" i="15" s="1"/>
  <c r="AJ292" i="15"/>
  <c r="AH299" i="17"/>
  <c r="AL298" i="17"/>
  <c r="AM298" i="17" s="1"/>
  <c r="AN298" i="17" s="1"/>
  <c r="AL299" i="17"/>
  <c r="AM299" i="17" s="1"/>
  <c r="AN299" i="17" s="1"/>
  <c r="AH296" i="17"/>
  <c r="AL295" i="17"/>
  <c r="AM295" i="17" s="1"/>
  <c r="AN295" i="17" s="1"/>
  <c r="AH297" i="17"/>
  <c r="AL296" i="17"/>
  <c r="AM296" i="17" s="1"/>
  <c r="AN296" i="17" s="1"/>
  <c r="AH298" i="17"/>
  <c r="AL297" i="17"/>
  <c r="AM297" i="17" s="1"/>
  <c r="AN297" i="17" s="1"/>
  <c r="AG297" i="15"/>
  <c r="AG297" i="17"/>
  <c r="BT862" i="15"/>
  <c r="BV860" i="15"/>
  <c r="AO297" i="15"/>
  <c r="AO296" i="17"/>
  <c r="BZ861" i="15"/>
  <c r="CH862" i="15"/>
  <c r="BY861" i="15"/>
  <c r="BW862" i="15"/>
  <c r="AP296" i="15"/>
  <c r="AP296" i="17"/>
  <c r="BX861" i="15"/>
  <c r="CN860" i="15" l="1"/>
  <c r="CS860" i="15" s="1"/>
  <c r="CS859" i="15"/>
  <c r="CK855" i="15"/>
  <c r="CO855" i="15"/>
  <c r="CT855" i="15" s="1"/>
  <c r="CJ854" i="15"/>
  <c r="CC860" i="15"/>
  <c r="CD861" i="15"/>
  <c r="CO861" i="15" s="1"/>
  <c r="CF861" i="15"/>
  <c r="CQ861" i="15" s="1"/>
  <c r="CV861" i="15" s="1"/>
  <c r="CE861" i="15"/>
  <c r="CP861" i="15" s="1"/>
  <c r="CU861" i="15" s="1"/>
  <c r="BQ863" i="15"/>
  <c r="AJ295" i="15"/>
  <c r="AK295" i="15" s="1"/>
  <c r="AL295" i="15" s="1"/>
  <c r="AH296" i="15"/>
  <c r="AK296" i="15" s="1"/>
  <c r="AL296" i="15" s="1"/>
  <c r="AG298" i="15"/>
  <c r="AG298" i="17"/>
  <c r="BX862" i="15"/>
  <c r="AP297" i="15"/>
  <c r="AO298" i="15"/>
  <c r="AP297" i="17"/>
  <c r="BY862" i="15"/>
  <c r="BV861" i="15"/>
  <c r="CH863" i="15"/>
  <c r="BW863" i="15"/>
  <c r="BT863" i="15"/>
  <c r="CB859" i="15"/>
  <c r="CB860" i="15"/>
  <c r="AO297" i="17"/>
  <c r="BZ862" i="15"/>
  <c r="CT856" i="15" l="1"/>
  <c r="CI856" i="15"/>
  <c r="CI857" i="15" s="1"/>
  <c r="CK854" i="15"/>
  <c r="CO854" i="15"/>
  <c r="CT854" i="15" s="1"/>
  <c r="CJ853" i="15"/>
  <c r="CC861" i="15"/>
  <c r="CN861" i="15" s="1"/>
  <c r="CS861" i="15" s="1"/>
  <c r="CF862" i="15"/>
  <c r="CQ862" i="15" s="1"/>
  <c r="CV862" i="15" s="1"/>
  <c r="CE862" i="15"/>
  <c r="CP862" i="15" s="1"/>
  <c r="CU862" i="15" s="1"/>
  <c r="CD862" i="15"/>
  <c r="BQ864" i="15"/>
  <c r="AM293" i="15"/>
  <c r="AN293" i="15" s="1"/>
  <c r="AH294" i="15"/>
  <c r="AK294" i="15" s="1"/>
  <c r="AL294" i="15" s="1"/>
  <c r="AJ293" i="15"/>
  <c r="AG299" i="17"/>
  <c r="AG299" i="15"/>
  <c r="BZ863" i="15"/>
  <c r="BX863" i="15"/>
  <c r="AP298" i="15"/>
  <c r="CH864" i="15"/>
  <c r="AO299" i="15"/>
  <c r="BV862" i="15"/>
  <c r="AP298" i="17"/>
  <c r="BT864" i="15"/>
  <c r="BY863" i="15"/>
  <c r="AO298" i="17"/>
  <c r="BW864" i="15"/>
  <c r="CK853" i="15" l="1"/>
  <c r="CO853" i="15"/>
  <c r="CT853" i="15" s="1"/>
  <c r="CJ852" i="15"/>
  <c r="CI858" i="15"/>
  <c r="CC862" i="15"/>
  <c r="CN862" i="15" s="1"/>
  <c r="CF863" i="15"/>
  <c r="CQ863" i="15" s="1"/>
  <c r="CV863" i="15" s="1"/>
  <c r="CE863" i="15"/>
  <c r="CP863" i="15" s="1"/>
  <c r="CU863" i="15" s="1"/>
  <c r="CD863" i="15"/>
  <c r="BQ865" i="15"/>
  <c r="AJ294" i="15"/>
  <c r="AM294" i="15"/>
  <c r="AN294" i="15" s="1"/>
  <c r="AM295" i="15"/>
  <c r="AN295" i="15" s="1"/>
  <c r="AM296" i="15"/>
  <c r="AN296" i="15" s="1"/>
  <c r="AH297" i="15"/>
  <c r="AK297" i="15" s="1"/>
  <c r="AL297" i="15" s="1"/>
  <c r="AJ296" i="15"/>
  <c r="AG300" i="15"/>
  <c r="AG300" i="17"/>
  <c r="BW865" i="15"/>
  <c r="BZ864" i="15"/>
  <c r="BV863" i="15"/>
  <c r="BT865" i="15"/>
  <c r="BX864" i="15"/>
  <c r="BY864" i="15"/>
  <c r="CB861" i="15"/>
  <c r="AO299" i="17"/>
  <c r="AP299" i="15"/>
  <c r="CH865" i="15"/>
  <c r="AP299" i="17"/>
  <c r="AI301" i="15"/>
  <c r="CS862" i="15" l="1"/>
  <c r="CK852" i="15"/>
  <c r="CO852" i="15"/>
  <c r="CT852" i="15" s="1"/>
  <c r="CI859" i="15"/>
  <c r="CC863" i="15"/>
  <c r="CN863" i="15" s="1"/>
  <c r="CS863" i="15" s="1"/>
  <c r="CD864" i="15"/>
  <c r="CE864" i="15"/>
  <c r="CP864" i="15" s="1"/>
  <c r="CU864" i="15" s="1"/>
  <c r="CF864" i="15"/>
  <c r="CQ864" i="15" s="1"/>
  <c r="CV864" i="15" s="1"/>
  <c r="BQ866" i="15"/>
  <c r="AG301" i="17"/>
  <c r="AG301" i="15"/>
  <c r="BX865" i="15"/>
  <c r="CB863" i="15"/>
  <c r="CB862" i="15"/>
  <c r="BT866" i="15"/>
  <c r="BZ865" i="15"/>
  <c r="BV864" i="15"/>
  <c r="AI300" i="15"/>
  <c r="AH300" i="15"/>
  <c r="AI304" i="15"/>
  <c r="AP300" i="17"/>
  <c r="AO300" i="17"/>
  <c r="AI303" i="17"/>
  <c r="BW866" i="15"/>
  <c r="AI300" i="17"/>
  <c r="BY865" i="15"/>
  <c r="AO301" i="15"/>
  <c r="AI301" i="17"/>
  <c r="AI304" i="17"/>
  <c r="AI302" i="17"/>
  <c r="CK866" i="15"/>
  <c r="AI303" i="15"/>
  <c r="AI302" i="15"/>
  <c r="AP300" i="15"/>
  <c r="AH300" i="17"/>
  <c r="AO300" i="15"/>
  <c r="CH866" i="15"/>
  <c r="CI860" i="15" l="1"/>
  <c r="CJ860" i="15" s="1"/>
  <c r="CC864" i="15"/>
  <c r="CN864" i="15" s="1"/>
  <c r="CF865" i="15"/>
  <c r="CQ865" i="15" s="1"/>
  <c r="CV865" i="15" s="1"/>
  <c r="CD865" i="15"/>
  <c r="CE865" i="15"/>
  <c r="CP865" i="15" s="1"/>
  <c r="CU865" i="15" s="1"/>
  <c r="BQ867" i="15"/>
  <c r="AH298" i="15"/>
  <c r="AK298" i="15" s="1"/>
  <c r="AL298" i="15" s="1"/>
  <c r="AM297" i="15"/>
  <c r="AN297" i="15" s="1"/>
  <c r="AJ297" i="15"/>
  <c r="AH301" i="17"/>
  <c r="AL300" i="17"/>
  <c r="AM300" i="17" s="1"/>
  <c r="AN300" i="17" s="1"/>
  <c r="AH302" i="17"/>
  <c r="AL301" i="17"/>
  <c r="AM301" i="17" s="1"/>
  <c r="AN301" i="17" s="1"/>
  <c r="AH303" i="17"/>
  <c r="AL302" i="17"/>
  <c r="AM302" i="17" s="1"/>
  <c r="AN302" i="17" s="1"/>
  <c r="AH304" i="17"/>
  <c r="AL303" i="17"/>
  <c r="AM303" i="17" s="1"/>
  <c r="AN303" i="17" s="1"/>
  <c r="AL304" i="17"/>
  <c r="AM304" i="17" s="1"/>
  <c r="AN304" i="17" s="1"/>
  <c r="AG302" i="17"/>
  <c r="AG302" i="15"/>
  <c r="BT867" i="15"/>
  <c r="BZ866" i="15"/>
  <c r="BV865" i="15"/>
  <c r="CB864" i="15"/>
  <c r="BW867" i="15"/>
  <c r="AP301" i="15"/>
  <c r="AO301" i="17"/>
  <c r="CH867" i="15"/>
  <c r="BY866" i="15"/>
  <c r="BX866" i="15"/>
  <c r="AP301" i="17"/>
  <c r="AO302" i="15"/>
  <c r="CN865" i="15" l="1"/>
  <c r="CS865" i="15" s="1"/>
  <c r="CS864" i="15"/>
  <c r="CK860" i="15"/>
  <c r="CO860" i="15"/>
  <c r="CT860" i="15" s="1"/>
  <c r="CJ859" i="15"/>
  <c r="CC865" i="15"/>
  <c r="CF866" i="15"/>
  <c r="CQ866" i="15" s="1"/>
  <c r="CV866" i="15" s="1"/>
  <c r="CE866" i="15"/>
  <c r="CP866" i="15" s="1"/>
  <c r="CU866" i="15" s="1"/>
  <c r="CD866" i="15"/>
  <c r="CO866" i="15" s="1"/>
  <c r="BQ868" i="15"/>
  <c r="AJ300" i="15"/>
  <c r="AK300" i="15" s="1"/>
  <c r="AL300" i="15" s="1"/>
  <c r="AH301" i="15"/>
  <c r="AK301" i="15" s="1"/>
  <c r="AL301" i="15" s="1"/>
  <c r="AG303" i="17"/>
  <c r="AG303" i="15"/>
  <c r="AO302" i="17"/>
  <c r="CH868" i="15"/>
  <c r="BT868" i="15"/>
  <c r="BV866" i="15"/>
  <c r="BW868" i="15"/>
  <c r="AP302" i="17"/>
  <c r="AP302" i="15"/>
  <c r="BZ867" i="15"/>
  <c r="BY867" i="15"/>
  <c r="BX867" i="15"/>
  <c r="AO303" i="15"/>
  <c r="CB865" i="15"/>
  <c r="CT861" i="15" l="1"/>
  <c r="CI861" i="15"/>
  <c r="CI862" i="15" s="1"/>
  <c r="CK859" i="15"/>
  <c r="CO859" i="15"/>
  <c r="CT859" i="15" s="1"/>
  <c r="CJ858" i="15"/>
  <c r="CC866" i="15"/>
  <c r="CN866" i="15" s="1"/>
  <c r="CS866" i="15" s="1"/>
  <c r="CE867" i="15"/>
  <c r="CP867" i="15" s="1"/>
  <c r="CU867" i="15" s="1"/>
  <c r="CF867" i="15"/>
  <c r="CQ867" i="15" s="1"/>
  <c r="CV867" i="15" s="1"/>
  <c r="CD867" i="15"/>
  <c r="BQ869" i="15"/>
  <c r="AH299" i="15"/>
  <c r="AK299" i="15" s="1"/>
  <c r="AL299" i="15" s="1"/>
  <c r="AM298" i="15"/>
  <c r="AN298" i="15" s="1"/>
  <c r="AJ298" i="15"/>
  <c r="AG304" i="15"/>
  <c r="AG304" i="17"/>
  <c r="AP303" i="15"/>
  <c r="BY868" i="15"/>
  <c r="AO304" i="15"/>
  <c r="BV867" i="15"/>
  <c r="AO303" i="17"/>
  <c r="BZ868" i="15"/>
  <c r="AP303" i="17"/>
  <c r="BT869" i="15"/>
  <c r="BX868" i="15"/>
  <c r="CH869" i="15"/>
  <c r="BW869" i="15"/>
  <c r="CK858" i="15" l="1"/>
  <c r="CO858" i="15"/>
  <c r="CT858" i="15" s="1"/>
  <c r="CJ857" i="15"/>
  <c r="CI863" i="15"/>
  <c r="CC867" i="15"/>
  <c r="CN867" i="15" s="1"/>
  <c r="CE868" i="15"/>
  <c r="CP868" i="15" s="1"/>
  <c r="CU868" i="15" s="1"/>
  <c r="CD868" i="15"/>
  <c r="CF868" i="15"/>
  <c r="CQ868" i="15" s="1"/>
  <c r="CV868" i="15" s="1"/>
  <c r="BQ870" i="15"/>
  <c r="AM301" i="15"/>
  <c r="AN301" i="15" s="1"/>
  <c r="AH302" i="15"/>
  <c r="AK302" i="15" s="1"/>
  <c r="AL302" i="15" s="1"/>
  <c r="AJ301" i="15"/>
  <c r="AJ299" i="15"/>
  <c r="AM299" i="15"/>
  <c r="AN299" i="15" s="1"/>
  <c r="AM300" i="15"/>
  <c r="AN300" i="15" s="1"/>
  <c r="AG305" i="15"/>
  <c r="AG305" i="17"/>
  <c r="AP304" i="17"/>
  <c r="CB866" i="15"/>
  <c r="BZ869" i="15"/>
  <c r="CB867" i="15"/>
  <c r="AO304" i="17"/>
  <c r="BY869" i="15"/>
  <c r="BW870" i="15"/>
  <c r="AP304" i="15"/>
  <c r="CH870" i="15"/>
  <c r="BX869" i="15"/>
  <c r="BV868" i="15"/>
  <c r="BT870" i="15"/>
  <c r="AI308" i="15"/>
  <c r="CS867" i="15" l="1"/>
  <c r="CK857" i="15"/>
  <c r="CO857" i="15"/>
  <c r="CT857" i="15" s="1"/>
  <c r="CI864" i="15"/>
  <c r="CC868" i="15"/>
  <c r="CN868" i="15" s="1"/>
  <c r="CS868" i="15" s="1"/>
  <c r="CD869" i="15"/>
  <c r="CF869" i="15"/>
  <c r="CQ869" i="15" s="1"/>
  <c r="CV869" i="15" s="1"/>
  <c r="CE869" i="15"/>
  <c r="CP869" i="15" s="1"/>
  <c r="CU869" i="15" s="1"/>
  <c r="BQ871" i="15"/>
  <c r="AG306" i="15"/>
  <c r="AG306" i="17"/>
  <c r="AI306" i="15"/>
  <c r="BZ870" i="15"/>
  <c r="AI309" i="17"/>
  <c r="BX870" i="15"/>
  <c r="AI306" i="17"/>
  <c r="CK871" i="15"/>
  <c r="AI305" i="15"/>
  <c r="AH305" i="17"/>
  <c r="BV869" i="15"/>
  <c r="AH305" i="15"/>
  <c r="AO305" i="15"/>
  <c r="AI309" i="15"/>
  <c r="AI308" i="17"/>
  <c r="AI307" i="17"/>
  <c r="AO305" i="17"/>
  <c r="AP305" i="15"/>
  <c r="AI305" i="17"/>
  <c r="AI307" i="15"/>
  <c r="BY870" i="15"/>
  <c r="AP305" i="17"/>
  <c r="AO306" i="15"/>
  <c r="CI865" i="15" l="1"/>
  <c r="CJ865" i="15" s="1"/>
  <c r="CJ864" i="15" s="1"/>
  <c r="CC869" i="15"/>
  <c r="CN869" i="15" s="1"/>
  <c r="CF870" i="15"/>
  <c r="CQ870" i="15" s="1"/>
  <c r="CV870" i="15" s="1"/>
  <c r="CE870" i="15"/>
  <c r="CP870" i="15" s="1"/>
  <c r="CU870" i="15" s="1"/>
  <c r="CD870" i="15"/>
  <c r="BQ872" i="15"/>
  <c r="AM302" i="15"/>
  <c r="AN302" i="15" s="1"/>
  <c r="AH303" i="15"/>
  <c r="AK303" i="15" s="1"/>
  <c r="AL303" i="15" s="1"/>
  <c r="AJ302" i="15"/>
  <c r="AL308" i="17"/>
  <c r="AM308" i="17" s="1"/>
  <c r="AN308" i="17" s="1"/>
  <c r="AH309" i="17"/>
  <c r="AH306" i="17"/>
  <c r="AL305" i="17"/>
  <c r="AM305" i="17" s="1"/>
  <c r="AN305" i="17" s="1"/>
  <c r="AH308" i="17"/>
  <c r="AL307" i="17"/>
  <c r="AM307" i="17" s="1"/>
  <c r="AN307" i="17" s="1"/>
  <c r="AL309" i="17"/>
  <c r="AM309" i="17" s="1"/>
  <c r="AN309" i="17" s="1"/>
  <c r="AH307" i="17"/>
  <c r="AL306" i="17"/>
  <c r="AM306" i="17" s="1"/>
  <c r="AN306" i="17" s="1"/>
  <c r="AG307" i="15"/>
  <c r="AG307" i="17"/>
  <c r="CB868" i="15"/>
  <c r="AO307" i="15"/>
  <c r="AP306" i="15"/>
  <c r="BZ871" i="15"/>
  <c r="BT872" i="15"/>
  <c r="BX871" i="15"/>
  <c r="AO306" i="17"/>
  <c r="BV870" i="15"/>
  <c r="CH871" i="15"/>
  <c r="BW871" i="15"/>
  <c r="CH872" i="15"/>
  <c r="BW872" i="15"/>
  <c r="CB869" i="15"/>
  <c r="BY871" i="15"/>
  <c r="AP306" i="17"/>
  <c r="BT871" i="15"/>
  <c r="CN870" i="15" l="1"/>
  <c r="CS870" i="15" s="1"/>
  <c r="CS869" i="15"/>
  <c r="CO864" i="15"/>
  <c r="CT864" i="15" s="1"/>
  <c r="CK864" i="15"/>
  <c r="CJ863" i="15"/>
  <c r="CO865" i="15"/>
  <c r="CT865" i="15" s="1"/>
  <c r="CK865" i="15"/>
  <c r="CC870" i="15"/>
  <c r="CE871" i="15"/>
  <c r="CP871" i="15" s="1"/>
  <c r="CU871" i="15" s="1"/>
  <c r="CF871" i="15"/>
  <c r="CQ871" i="15" s="1"/>
  <c r="CV871" i="15" s="1"/>
  <c r="CD871" i="15"/>
  <c r="CO871" i="15" s="1"/>
  <c r="BQ873" i="15"/>
  <c r="AJ305" i="15"/>
  <c r="AK305" i="15" s="1"/>
  <c r="AL305" i="15" s="1"/>
  <c r="AH306" i="15"/>
  <c r="AK306" i="15" s="1"/>
  <c r="AL306" i="15" s="1"/>
  <c r="AG308" i="17"/>
  <c r="AG308" i="15"/>
  <c r="AP307" i="15"/>
  <c r="BY872" i="15"/>
  <c r="AP307" i="17"/>
  <c r="BV871" i="15"/>
  <c r="BX872" i="15"/>
  <c r="AO307" i="17"/>
  <c r="AO308" i="15"/>
  <c r="BZ872" i="15"/>
  <c r="CB870" i="15"/>
  <c r="BW873" i="15"/>
  <c r="CT866" i="15" l="1"/>
  <c r="CI866" i="15"/>
  <c r="CI867" i="15" s="1"/>
  <c r="CO863" i="15"/>
  <c r="CT863" i="15" s="1"/>
  <c r="CK863" i="15"/>
  <c r="CJ862" i="15"/>
  <c r="CC871" i="15"/>
  <c r="CN871" i="15" s="1"/>
  <c r="CS871" i="15" s="1"/>
  <c r="CD872" i="15"/>
  <c r="CE872" i="15"/>
  <c r="CP872" i="15" s="1"/>
  <c r="CU872" i="15" s="1"/>
  <c r="CF872" i="15"/>
  <c r="CQ872" i="15" s="1"/>
  <c r="CV872" i="15" s="1"/>
  <c r="BQ874" i="15"/>
  <c r="AM303" i="15"/>
  <c r="AN303" i="15" s="1"/>
  <c r="AH304" i="15"/>
  <c r="AK304" i="15" s="1"/>
  <c r="AL304" i="15" s="1"/>
  <c r="AJ303" i="15"/>
  <c r="AG309" i="15"/>
  <c r="AG309" i="17"/>
  <c r="BV872" i="15"/>
  <c r="BZ873" i="15"/>
  <c r="BW874" i="15"/>
  <c r="AO309" i="15"/>
  <c r="BY873" i="15"/>
  <c r="CH873" i="15"/>
  <c r="BX873" i="15"/>
  <c r="AP308" i="17"/>
  <c r="BT873" i="15"/>
  <c r="AP308" i="15"/>
  <c r="AO308" i="17"/>
  <c r="CH874" i="15"/>
  <c r="CO862" i="15" l="1"/>
  <c r="CT862" i="15" s="1"/>
  <c r="CK862" i="15"/>
  <c r="CI868" i="15"/>
  <c r="CC872" i="15"/>
  <c r="CN872" i="15" s="1"/>
  <c r="CD873" i="15"/>
  <c r="CF873" i="15"/>
  <c r="CQ873" i="15" s="1"/>
  <c r="CV873" i="15" s="1"/>
  <c r="CE873" i="15"/>
  <c r="CP873" i="15" s="1"/>
  <c r="CU873" i="15" s="1"/>
  <c r="BQ875" i="15"/>
  <c r="AJ304" i="15"/>
  <c r="AM304" i="15"/>
  <c r="AN304" i="15" s="1"/>
  <c r="AM305" i="15"/>
  <c r="AN305" i="15" s="1"/>
  <c r="AM306" i="15"/>
  <c r="AN306" i="15" s="1"/>
  <c r="AH307" i="15"/>
  <c r="AK307" i="15" s="1"/>
  <c r="AL307" i="15" s="1"/>
  <c r="AJ306" i="15"/>
  <c r="AG310" i="15"/>
  <c r="AG310" i="17"/>
  <c r="BT874" i="15"/>
  <c r="BZ874" i="15"/>
  <c r="BV873" i="15"/>
  <c r="AI310" i="15"/>
  <c r="AP309" i="15"/>
  <c r="AI313" i="15"/>
  <c r="CB871" i="15"/>
  <c r="AI314" i="15"/>
  <c r="BY874" i="15"/>
  <c r="BT875" i="15"/>
  <c r="AO310" i="15"/>
  <c r="AI312" i="15"/>
  <c r="AP309" i="17"/>
  <c r="AO309" i="17"/>
  <c r="AI311" i="15"/>
  <c r="BX874" i="15"/>
  <c r="CH875" i="15"/>
  <c r="CS872" i="15" l="1"/>
  <c r="CI869" i="15"/>
  <c r="CC873" i="15"/>
  <c r="CN873" i="15" s="1"/>
  <c r="CS873" i="15" s="1"/>
  <c r="CF874" i="15"/>
  <c r="CQ874" i="15" s="1"/>
  <c r="CV874" i="15" s="1"/>
  <c r="CE874" i="15"/>
  <c r="CP874" i="15" s="1"/>
  <c r="CU874" i="15" s="1"/>
  <c r="CD874" i="15"/>
  <c r="BQ876" i="15"/>
  <c r="AG311" i="15"/>
  <c r="AG311" i="17"/>
  <c r="BW875" i="15"/>
  <c r="AI311" i="17"/>
  <c r="BV874" i="15"/>
  <c r="AO311" i="15"/>
  <c r="BY875" i="15"/>
  <c r="AP310" i="17"/>
  <c r="AI313" i="17"/>
  <c r="AI310" i="17"/>
  <c r="BX875" i="15"/>
  <c r="AH310" i="17"/>
  <c r="AO310" i="17"/>
  <c r="CH876" i="15"/>
  <c r="AI312" i="17"/>
  <c r="BZ875" i="15"/>
  <c r="AI314" i="17"/>
  <c r="AH310" i="15"/>
  <c r="CB872" i="15"/>
  <c r="AP310" i="15"/>
  <c r="BW876" i="15"/>
  <c r="CI870" i="15" l="1"/>
  <c r="CJ870" i="15" s="1"/>
  <c r="CC874" i="15"/>
  <c r="CN874" i="15" s="1"/>
  <c r="CF875" i="15"/>
  <c r="CQ875" i="15" s="1"/>
  <c r="CV875" i="15" s="1"/>
  <c r="CE875" i="15"/>
  <c r="CP875" i="15" s="1"/>
  <c r="CU875" i="15" s="1"/>
  <c r="CD875" i="15"/>
  <c r="BQ877" i="15"/>
  <c r="AM307" i="15"/>
  <c r="AN307" i="15" s="1"/>
  <c r="AH308" i="15"/>
  <c r="AK308" i="15" s="1"/>
  <c r="AL308" i="15" s="1"/>
  <c r="AJ307" i="15"/>
  <c r="AL311" i="17"/>
  <c r="AM311" i="17" s="1"/>
  <c r="AN311" i="17" s="1"/>
  <c r="AH312" i="17"/>
  <c r="AH311" i="17"/>
  <c r="AL310" i="17"/>
  <c r="AM310" i="17" s="1"/>
  <c r="AN310" i="17" s="1"/>
  <c r="AL312" i="17"/>
  <c r="AM312" i="17" s="1"/>
  <c r="AN312" i="17" s="1"/>
  <c r="AH313" i="17"/>
  <c r="AH314" i="17"/>
  <c r="AL313" i="17"/>
  <c r="AM313" i="17" s="1"/>
  <c r="AN313" i="17" s="1"/>
  <c r="AL314" i="17"/>
  <c r="AM314" i="17" s="1"/>
  <c r="AN314" i="17" s="1"/>
  <c r="AG312" i="17"/>
  <c r="AG312" i="15"/>
  <c r="CK876" i="15"/>
  <c r="AP311" i="15"/>
  <c r="BZ876" i="15"/>
  <c r="BT876" i="15"/>
  <c r="AO311" i="17"/>
  <c r="BV875" i="15"/>
  <c r="AP311" i="17"/>
  <c r="CH877" i="15"/>
  <c r="CB873" i="15"/>
  <c r="BX876" i="15"/>
  <c r="BY876" i="15"/>
  <c r="AO312" i="15"/>
  <c r="BW877" i="15"/>
  <c r="CN875" i="15" l="1"/>
  <c r="CS875" i="15" s="1"/>
  <c r="CS874" i="15"/>
  <c r="CO870" i="15"/>
  <c r="CT870" i="15" s="1"/>
  <c r="CK870" i="15"/>
  <c r="CJ869" i="15"/>
  <c r="CC875" i="15"/>
  <c r="CD876" i="15"/>
  <c r="CO876" i="15" s="1"/>
  <c r="CE876" i="15"/>
  <c r="CP876" i="15" s="1"/>
  <c r="CU876" i="15" s="1"/>
  <c r="CF876" i="15"/>
  <c r="CQ876" i="15" s="1"/>
  <c r="CV876" i="15" s="1"/>
  <c r="BQ878" i="15"/>
  <c r="AJ310" i="15"/>
  <c r="AK310" i="15" s="1"/>
  <c r="AL310" i="15" s="1"/>
  <c r="AH311" i="15"/>
  <c r="AK311" i="15" s="1"/>
  <c r="AL311" i="15" s="1"/>
  <c r="AG313" i="15"/>
  <c r="AG313" i="17"/>
  <c r="BT877" i="15"/>
  <c r="CB874" i="15"/>
  <c r="BZ877" i="15"/>
  <c r="AP312" i="15"/>
  <c r="AO313" i="15"/>
  <c r="BY877" i="15"/>
  <c r="AO312" i="17"/>
  <c r="AP312" i="17"/>
  <c r="BV876" i="15"/>
  <c r="BT878" i="15"/>
  <c r="BX877" i="15"/>
  <c r="CB875" i="15"/>
  <c r="BW878" i="15"/>
  <c r="CT871" i="15" l="1"/>
  <c r="CI871" i="15"/>
  <c r="CI872" i="15" s="1"/>
  <c r="CO869" i="15"/>
  <c r="CT869" i="15" s="1"/>
  <c r="CK869" i="15"/>
  <c r="CJ868" i="15"/>
  <c r="CC876" i="15"/>
  <c r="CN876" i="15" s="1"/>
  <c r="CS876" i="15" s="1"/>
  <c r="CD877" i="15"/>
  <c r="CF877" i="15"/>
  <c r="CQ877" i="15" s="1"/>
  <c r="CV877" i="15" s="1"/>
  <c r="CE877" i="15"/>
  <c r="CP877" i="15" s="1"/>
  <c r="CU877" i="15" s="1"/>
  <c r="BQ879" i="15"/>
  <c r="AM308" i="15"/>
  <c r="AN308" i="15" s="1"/>
  <c r="AH309" i="15"/>
  <c r="AK309" i="15" s="1"/>
  <c r="AL309" i="15" s="1"/>
  <c r="AJ308" i="15"/>
  <c r="AG314" i="17"/>
  <c r="AG314" i="15"/>
  <c r="CH878" i="15"/>
  <c r="AP313" i="15"/>
  <c r="BT879" i="15"/>
  <c r="CH879" i="15"/>
  <c r="BV877" i="15"/>
  <c r="BX878" i="15"/>
  <c r="AP313" i="17"/>
  <c r="AO313" i="17"/>
  <c r="BY878" i="15"/>
  <c r="BZ878" i="15"/>
  <c r="BW879" i="15"/>
  <c r="AO314" i="15"/>
  <c r="CO868" i="15" l="1"/>
  <c r="CT868" i="15" s="1"/>
  <c r="CK868" i="15"/>
  <c r="CJ867" i="15"/>
  <c r="CI873" i="15"/>
  <c r="CC877" i="15"/>
  <c r="CN877" i="15" s="1"/>
  <c r="CF878" i="15"/>
  <c r="CQ878" i="15" s="1"/>
  <c r="CV878" i="15" s="1"/>
  <c r="CE878" i="15"/>
  <c r="CP878" i="15" s="1"/>
  <c r="CU878" i="15" s="1"/>
  <c r="CD878" i="15"/>
  <c r="BQ880" i="15"/>
  <c r="AM309" i="15"/>
  <c r="AN309" i="15" s="1"/>
  <c r="AJ309" i="15"/>
  <c r="AM310" i="15"/>
  <c r="AN310" i="15" s="1"/>
  <c r="AH312" i="15"/>
  <c r="AK312" i="15" s="1"/>
  <c r="AL312" i="15" s="1"/>
  <c r="AM311" i="15"/>
  <c r="AN311" i="15" s="1"/>
  <c r="AJ311" i="15"/>
  <c r="AG315" i="15"/>
  <c r="AG315" i="17"/>
  <c r="AP314" i="17"/>
  <c r="BT880" i="15"/>
  <c r="CB877" i="15"/>
  <c r="BY879" i="15"/>
  <c r="BZ879" i="15"/>
  <c r="BV878" i="15"/>
  <c r="BW880" i="15"/>
  <c r="BX879" i="15"/>
  <c r="CH880" i="15"/>
  <c r="CB876" i="15"/>
  <c r="AP314" i="15"/>
  <c r="AO314" i="17"/>
  <c r="AI318" i="15"/>
  <c r="AI315" i="15"/>
  <c r="CS877" i="15" l="1"/>
  <c r="CO867" i="15"/>
  <c r="CT867" i="15" s="1"/>
  <c r="CK867" i="15"/>
  <c r="CI874" i="15"/>
  <c r="CC878" i="15"/>
  <c r="CN878" i="15" s="1"/>
  <c r="CS878" i="15" s="1"/>
  <c r="CE879" i="15"/>
  <c r="CP879" i="15" s="1"/>
  <c r="CU879" i="15" s="1"/>
  <c r="CF879" i="15"/>
  <c r="CQ879" i="15" s="1"/>
  <c r="CV879" i="15" s="1"/>
  <c r="CD879" i="15"/>
  <c r="BQ881" i="15"/>
  <c r="AG316" i="17"/>
  <c r="AG316" i="15"/>
  <c r="AI317" i="15"/>
  <c r="AH315" i="17"/>
  <c r="AI317" i="17"/>
  <c r="AP315" i="17"/>
  <c r="AI316" i="17"/>
  <c r="BW881" i="15"/>
  <c r="BT881" i="15"/>
  <c r="AI315" i="17"/>
  <c r="AI316" i="15"/>
  <c r="BX880" i="15"/>
  <c r="BV879" i="15"/>
  <c r="AI319" i="17"/>
  <c r="CB878" i="15"/>
  <c r="BY880" i="15"/>
  <c r="AO315" i="17"/>
  <c r="AO315" i="15"/>
  <c r="AO316" i="15"/>
  <c r="AI318" i="17"/>
  <c r="CK881" i="15"/>
  <c r="AH315" i="15"/>
  <c r="CH881" i="15"/>
  <c r="AI319" i="15"/>
  <c r="AP315" i="15"/>
  <c r="BZ880" i="15"/>
  <c r="CI875" i="15" l="1"/>
  <c r="CJ875" i="15" s="1"/>
  <c r="CC879" i="15"/>
  <c r="CN879" i="15" s="1"/>
  <c r="CD880" i="15"/>
  <c r="CE880" i="15"/>
  <c r="CP880" i="15" s="1"/>
  <c r="CU880" i="15" s="1"/>
  <c r="CF880" i="15"/>
  <c r="CQ880" i="15" s="1"/>
  <c r="CV880" i="15" s="1"/>
  <c r="BQ882" i="15"/>
  <c r="AH313" i="15"/>
  <c r="AK313" i="15" s="1"/>
  <c r="AL313" i="15" s="1"/>
  <c r="AM312" i="15"/>
  <c r="AN312" i="15" s="1"/>
  <c r="AJ312" i="15"/>
  <c r="AL315" i="17"/>
  <c r="AM315" i="17" s="1"/>
  <c r="AN315" i="17" s="1"/>
  <c r="AH316" i="17"/>
  <c r="AL319" i="17"/>
  <c r="AM319" i="17" s="1"/>
  <c r="AN319" i="17" s="1"/>
  <c r="AL317" i="17"/>
  <c r="AM317" i="17" s="1"/>
  <c r="AN317" i="17" s="1"/>
  <c r="AH318" i="17"/>
  <c r="AL316" i="17"/>
  <c r="AM316" i="17" s="1"/>
  <c r="AN316" i="17" s="1"/>
  <c r="AH317" i="17"/>
  <c r="AL318" i="17"/>
  <c r="AM318" i="17" s="1"/>
  <c r="AN318" i="17" s="1"/>
  <c r="AH319" i="17"/>
  <c r="AG317" i="15"/>
  <c r="AG317" i="17"/>
  <c r="BT882" i="15"/>
  <c r="CB879" i="15"/>
  <c r="BZ881" i="15"/>
  <c r="BV880" i="15"/>
  <c r="AP316" i="17"/>
  <c r="BY881" i="15"/>
  <c r="BW882" i="15"/>
  <c r="CH882" i="15"/>
  <c r="BX881" i="15"/>
  <c r="AO317" i="15"/>
  <c r="AP316" i="15"/>
  <c r="AO316" i="17"/>
  <c r="CN880" i="15" l="1"/>
  <c r="CS880" i="15" s="1"/>
  <c r="CS879" i="15"/>
  <c r="CK875" i="15"/>
  <c r="CO875" i="15"/>
  <c r="CT875" i="15" s="1"/>
  <c r="CJ874" i="15"/>
  <c r="CC880" i="15"/>
  <c r="CF881" i="15"/>
  <c r="CQ881" i="15" s="1"/>
  <c r="CV881" i="15" s="1"/>
  <c r="CD881" i="15"/>
  <c r="CO881" i="15" s="1"/>
  <c r="CE881" i="15"/>
  <c r="CP881" i="15" s="1"/>
  <c r="CU881" i="15" s="1"/>
  <c r="BQ883" i="15"/>
  <c r="AJ315" i="15"/>
  <c r="AK315" i="15" s="1"/>
  <c r="AL315" i="15" s="1"/>
  <c r="AH316" i="15"/>
  <c r="AK316" i="15" s="1"/>
  <c r="AL316" i="15" s="1"/>
  <c r="AG318" i="15"/>
  <c r="AG318" i="17"/>
  <c r="BZ882" i="15"/>
  <c r="AP317" i="17"/>
  <c r="CH883" i="15"/>
  <c r="AO318" i="15"/>
  <c r="CB880" i="15"/>
  <c r="AP317" i="15"/>
  <c r="BV881" i="15"/>
  <c r="BW883" i="15"/>
  <c r="AO317" i="17"/>
  <c r="BY882" i="15"/>
  <c r="BX882" i="15"/>
  <c r="BT883" i="15"/>
  <c r="CT876" i="15" l="1"/>
  <c r="CI876" i="15"/>
  <c r="CI877" i="15" s="1"/>
  <c r="CK874" i="15"/>
  <c r="CO874" i="15"/>
  <c r="CT874" i="15" s="1"/>
  <c r="CJ873" i="15"/>
  <c r="CC881" i="15"/>
  <c r="CN881" i="15" s="1"/>
  <c r="CS881" i="15" s="1"/>
  <c r="CF882" i="15"/>
  <c r="CQ882" i="15" s="1"/>
  <c r="CV882" i="15" s="1"/>
  <c r="CE882" i="15"/>
  <c r="CP882" i="15" s="1"/>
  <c r="CU882" i="15" s="1"/>
  <c r="CD882" i="15"/>
  <c r="BQ884" i="15"/>
  <c r="AM313" i="15"/>
  <c r="AN313" i="15" s="1"/>
  <c r="AH314" i="15"/>
  <c r="AK314" i="15" s="1"/>
  <c r="AL314" i="15" s="1"/>
  <c r="AJ313" i="15"/>
  <c r="AG319" i="15"/>
  <c r="AG319" i="17"/>
  <c r="AP318" i="15"/>
  <c r="BY883" i="15"/>
  <c r="BT884" i="15"/>
  <c r="CH884" i="15"/>
  <c r="AO318" i="17"/>
  <c r="BW884" i="15"/>
  <c r="BV882" i="15"/>
  <c r="AO319" i="15"/>
  <c r="BZ883" i="15"/>
  <c r="BX883" i="15"/>
  <c r="AP318" i="17"/>
  <c r="CK873" i="15" l="1"/>
  <c r="CO873" i="15"/>
  <c r="CT873" i="15" s="1"/>
  <c r="CJ872" i="15"/>
  <c r="CI878" i="15"/>
  <c r="CC882" i="15"/>
  <c r="CN882" i="15" s="1"/>
  <c r="CE883" i="15"/>
  <c r="CP883" i="15" s="1"/>
  <c r="CU883" i="15" s="1"/>
  <c r="CF883" i="15"/>
  <c r="CQ883" i="15" s="1"/>
  <c r="CV883" i="15" s="1"/>
  <c r="CD883" i="15"/>
  <c r="BQ885" i="15"/>
  <c r="AJ314" i="15"/>
  <c r="AM314" i="15"/>
  <c r="AN314" i="15" s="1"/>
  <c r="AM315" i="15"/>
  <c r="AN315" i="15" s="1"/>
  <c r="AM316" i="15"/>
  <c r="AN316" i="15" s="1"/>
  <c r="AH317" i="15"/>
  <c r="AK317" i="15" s="1"/>
  <c r="AL317" i="15" s="1"/>
  <c r="AJ316" i="15"/>
  <c r="AG320" i="15"/>
  <c r="AG320" i="17"/>
  <c r="BX884" i="15"/>
  <c r="AP319" i="15"/>
  <c r="AP319" i="17"/>
  <c r="AI320" i="15"/>
  <c r="BZ884" i="15"/>
  <c r="BV883" i="15"/>
  <c r="AO319" i="17"/>
  <c r="BY884" i="15"/>
  <c r="BW885" i="15"/>
  <c r="CB881" i="15"/>
  <c r="AI324" i="15"/>
  <c r="CS882" i="15" l="1"/>
  <c r="CK872" i="15"/>
  <c r="CO872" i="15"/>
  <c r="CT872" i="15" s="1"/>
  <c r="CI879" i="15"/>
  <c r="CC883" i="15"/>
  <c r="CN883" i="15" s="1"/>
  <c r="CS883" i="15" s="1"/>
  <c r="CD884" i="15"/>
  <c r="CE884" i="15"/>
  <c r="CP884" i="15" s="1"/>
  <c r="CU884" i="15" s="1"/>
  <c r="CF884" i="15"/>
  <c r="CQ884" i="15" s="1"/>
  <c r="CV884" i="15" s="1"/>
  <c r="BQ886" i="15"/>
  <c r="AG321" i="17"/>
  <c r="AG321" i="15"/>
  <c r="AI322" i="15"/>
  <c r="AI322" i="17"/>
  <c r="BX885" i="15"/>
  <c r="AO320" i="17"/>
  <c r="AI324" i="17"/>
  <c r="AP320" i="17"/>
  <c r="AH320" i="17"/>
  <c r="BV884" i="15"/>
  <c r="AI321" i="15"/>
  <c r="CB882" i="15"/>
  <c r="AI321" i="17"/>
  <c r="BZ885" i="15"/>
  <c r="AP320" i="15"/>
  <c r="CH885" i="15"/>
  <c r="AI320" i="17"/>
  <c r="BY885" i="15"/>
  <c r="CK886" i="15"/>
  <c r="AO321" i="15"/>
  <c r="BT885" i="15"/>
  <c r="AI323" i="17"/>
  <c r="AO320" i="15"/>
  <c r="CB883" i="15"/>
  <c r="AH320" i="15"/>
  <c r="AI323" i="15"/>
  <c r="CH886" i="15"/>
  <c r="BW886" i="15"/>
  <c r="BT886" i="15"/>
  <c r="CI880" i="15" l="1"/>
  <c r="CJ880" i="15" s="1"/>
  <c r="CC884" i="15"/>
  <c r="CN884" i="15" s="1"/>
  <c r="CD885" i="15"/>
  <c r="CF885" i="15"/>
  <c r="CQ885" i="15" s="1"/>
  <c r="CV885" i="15" s="1"/>
  <c r="CE885" i="15"/>
  <c r="CP885" i="15" s="1"/>
  <c r="CU885" i="15" s="1"/>
  <c r="BQ887" i="15"/>
  <c r="AM317" i="15"/>
  <c r="AN317" i="15" s="1"/>
  <c r="AH318" i="15"/>
  <c r="AK318" i="15" s="1"/>
  <c r="AL318" i="15" s="1"/>
  <c r="AJ317" i="15"/>
  <c r="AL323" i="17"/>
  <c r="AM323" i="17" s="1"/>
  <c r="AN323" i="17" s="1"/>
  <c r="AH324" i="17"/>
  <c r="AL320" i="17"/>
  <c r="AM320" i="17" s="1"/>
  <c r="AN320" i="17" s="1"/>
  <c r="AH321" i="17"/>
  <c r="AL321" i="17"/>
  <c r="AM321" i="17" s="1"/>
  <c r="AN321" i="17" s="1"/>
  <c r="AH322" i="17"/>
  <c r="AL324" i="17"/>
  <c r="AM324" i="17" s="1"/>
  <c r="AN324" i="17" s="1"/>
  <c r="AL322" i="17"/>
  <c r="AM322" i="17" s="1"/>
  <c r="AN322" i="17" s="1"/>
  <c r="AH323" i="17"/>
  <c r="AG322" i="15"/>
  <c r="AG322" i="17"/>
  <c r="AO321" i="17"/>
  <c r="BX886" i="15"/>
  <c r="BW887" i="15"/>
  <c r="CB884" i="15"/>
  <c r="BT887" i="15"/>
  <c r="BY886" i="15"/>
  <c r="CH887" i="15"/>
  <c r="BV885" i="15"/>
  <c r="BZ886" i="15"/>
  <c r="AO322" i="15"/>
  <c r="AP321" i="17"/>
  <c r="AP321" i="15"/>
  <c r="CN885" i="15" l="1"/>
  <c r="CS885" i="15" s="1"/>
  <c r="CS884" i="15"/>
  <c r="CK880" i="15"/>
  <c r="CO880" i="15"/>
  <c r="CT880" i="15" s="1"/>
  <c r="CJ879" i="15"/>
  <c r="CC885" i="15"/>
  <c r="CF886" i="15"/>
  <c r="CQ886" i="15" s="1"/>
  <c r="CV886" i="15" s="1"/>
  <c r="CE886" i="15"/>
  <c r="CP886" i="15" s="1"/>
  <c r="CU886" i="15" s="1"/>
  <c r="CD886" i="15"/>
  <c r="CO886" i="15" s="1"/>
  <c r="BQ888" i="15"/>
  <c r="AH321" i="15"/>
  <c r="AK321" i="15" s="1"/>
  <c r="AL321" i="15" s="1"/>
  <c r="AJ320" i="15"/>
  <c r="AK320" i="15" s="1"/>
  <c r="AL320" i="15" s="1"/>
  <c r="AG323" i="15"/>
  <c r="AG323" i="17"/>
  <c r="AP322" i="17"/>
  <c r="AO323" i="15"/>
  <c r="AP322" i="15"/>
  <c r="BW888" i="15"/>
  <c r="BY887" i="15"/>
  <c r="BT888" i="15"/>
  <c r="BX887" i="15"/>
  <c r="CB885" i="15"/>
  <c r="BV886" i="15"/>
  <c r="BZ887" i="15"/>
  <c r="AO322" i="17"/>
  <c r="CH888" i="15"/>
  <c r="CT881" i="15" l="1"/>
  <c r="CI881" i="15"/>
  <c r="CI882" i="15" s="1"/>
  <c r="CK879" i="15"/>
  <c r="CO879" i="15"/>
  <c r="CT879" i="15" s="1"/>
  <c r="CJ878" i="15"/>
  <c r="CC886" i="15"/>
  <c r="CN886" i="15" s="1"/>
  <c r="CS886" i="15" s="1"/>
  <c r="CE887" i="15"/>
  <c r="CP887" i="15" s="1"/>
  <c r="CU887" i="15" s="1"/>
  <c r="CF887" i="15"/>
  <c r="CQ887" i="15" s="1"/>
  <c r="CV887" i="15" s="1"/>
  <c r="CD887" i="15"/>
  <c r="BQ889" i="15"/>
  <c r="AM318" i="15"/>
  <c r="AN318" i="15" s="1"/>
  <c r="AH319" i="15"/>
  <c r="AK319" i="15" s="1"/>
  <c r="AL319" i="15" s="1"/>
  <c r="AJ318" i="15"/>
  <c r="AH322" i="15"/>
  <c r="AK322" i="15" s="1"/>
  <c r="AL322" i="15" s="1"/>
  <c r="AM321" i="15"/>
  <c r="AN321" i="15" s="1"/>
  <c r="AJ321" i="15"/>
  <c r="AG324" i="15"/>
  <c r="AG324" i="17"/>
  <c r="CH889" i="15"/>
  <c r="BY888" i="15"/>
  <c r="BZ888" i="15"/>
  <c r="AO323" i="17"/>
  <c r="AP323" i="15"/>
  <c r="BX888" i="15"/>
  <c r="CB886" i="15"/>
  <c r="BW889" i="15"/>
  <c r="BT889" i="15"/>
  <c r="AO324" i="15"/>
  <c r="AP323" i="17"/>
  <c r="BV887" i="15"/>
  <c r="CK878" i="15" l="1"/>
  <c r="CO878" i="15"/>
  <c r="CT878" i="15" s="1"/>
  <c r="CJ877" i="15"/>
  <c r="CI883" i="15"/>
  <c r="CC887" i="15"/>
  <c r="CN887" i="15" s="1"/>
  <c r="CD888" i="15"/>
  <c r="CE888" i="15"/>
  <c r="CP888" i="15" s="1"/>
  <c r="CU888" i="15" s="1"/>
  <c r="CF888" i="15"/>
  <c r="CQ888" i="15" s="1"/>
  <c r="CV888" i="15" s="1"/>
  <c r="BQ890" i="15"/>
  <c r="AJ319" i="15"/>
  <c r="AM319" i="15"/>
  <c r="AN319" i="15" s="1"/>
  <c r="AM320" i="15"/>
  <c r="AN320" i="15" s="1"/>
  <c r="AG325" i="17"/>
  <c r="AG325" i="15"/>
  <c r="AI325" i="15"/>
  <c r="BX889" i="15"/>
  <c r="AP324" i="15"/>
  <c r="AP324" i="17"/>
  <c r="BV888" i="15"/>
  <c r="CB887" i="15"/>
  <c r="BW890" i="15"/>
  <c r="AI328" i="15"/>
  <c r="BT890" i="15"/>
  <c r="AO325" i="15"/>
  <c r="AI326" i="15"/>
  <c r="CH890" i="15"/>
  <c r="BY889" i="15"/>
  <c r="AI329" i="15"/>
  <c r="AI327" i="15"/>
  <c r="AO324" i="17"/>
  <c r="BZ889" i="15"/>
  <c r="CS887" i="15" l="1"/>
  <c r="CK877" i="15"/>
  <c r="CO877" i="15"/>
  <c r="CT877" i="15" s="1"/>
  <c r="CI884" i="15"/>
  <c r="CC888" i="15"/>
  <c r="CN888" i="15" s="1"/>
  <c r="CS888" i="15" s="1"/>
  <c r="CF889" i="15"/>
  <c r="CQ889" i="15" s="1"/>
  <c r="CV889" i="15" s="1"/>
  <c r="CD889" i="15"/>
  <c r="CE889" i="15"/>
  <c r="CP889" i="15" s="1"/>
  <c r="CU889" i="15" s="1"/>
  <c r="BQ891" i="15"/>
  <c r="AM322" i="15"/>
  <c r="AN322" i="15" s="1"/>
  <c r="AH323" i="15"/>
  <c r="AK323" i="15" s="1"/>
  <c r="AL323" i="15" s="1"/>
  <c r="AJ322" i="15"/>
  <c r="AG326" i="15"/>
  <c r="AG326" i="17"/>
  <c r="AH325" i="15"/>
  <c r="AI329" i="17"/>
  <c r="AI328" i="17"/>
  <c r="CB888" i="15"/>
  <c r="BY890" i="15"/>
  <c r="AP325" i="15"/>
  <c r="BV889" i="15"/>
  <c r="CK891" i="15"/>
  <c r="CH891" i="15"/>
  <c r="AP325" i="17"/>
  <c r="BX890" i="15"/>
  <c r="AO325" i="17"/>
  <c r="AO326" i="15"/>
  <c r="AH325" i="17"/>
  <c r="BW891" i="15"/>
  <c r="BZ890" i="15"/>
  <c r="AI325" i="17"/>
  <c r="BT891" i="15"/>
  <c r="AI327" i="17"/>
  <c r="AI326" i="17"/>
  <c r="CI885" i="15" l="1"/>
  <c r="CJ885" i="15" s="1"/>
  <c r="CJ884" i="15" s="1"/>
  <c r="CC889" i="15"/>
  <c r="CN889" i="15" s="1"/>
  <c r="CF890" i="15"/>
  <c r="CQ890" i="15" s="1"/>
  <c r="CV890" i="15" s="1"/>
  <c r="CE890" i="15"/>
  <c r="CP890" i="15" s="1"/>
  <c r="CU890" i="15" s="1"/>
  <c r="CD890" i="15"/>
  <c r="BQ892" i="15"/>
  <c r="AL328" i="17"/>
  <c r="AM328" i="17" s="1"/>
  <c r="AN328" i="17" s="1"/>
  <c r="AH329" i="17"/>
  <c r="AL329" i="17"/>
  <c r="AM329" i="17" s="1"/>
  <c r="AN329" i="17" s="1"/>
  <c r="AL326" i="17"/>
  <c r="AM326" i="17" s="1"/>
  <c r="AN326" i="17" s="1"/>
  <c r="AH327" i="17"/>
  <c r="AL327" i="17"/>
  <c r="AM327" i="17" s="1"/>
  <c r="AN327" i="17" s="1"/>
  <c r="AH328" i="17"/>
  <c r="AL325" i="17"/>
  <c r="AM325" i="17" s="1"/>
  <c r="AN325" i="17" s="1"/>
  <c r="AH326" i="17"/>
  <c r="AG327" i="15"/>
  <c r="AG327" i="17"/>
  <c r="AO326" i="17"/>
  <c r="BY891" i="15"/>
  <c r="CB889" i="15"/>
  <c r="BT892" i="15"/>
  <c r="BZ891" i="15"/>
  <c r="BV890" i="15"/>
  <c r="BX891" i="15"/>
  <c r="AP326" i="15"/>
  <c r="AP326" i="17"/>
  <c r="CH892" i="15"/>
  <c r="BW892" i="15"/>
  <c r="AO327" i="15"/>
  <c r="CN890" i="15" l="1"/>
  <c r="CS890" i="15" s="1"/>
  <c r="CS889" i="15"/>
  <c r="CO884" i="15"/>
  <c r="CT884" i="15" s="1"/>
  <c r="CK884" i="15"/>
  <c r="CJ883" i="15"/>
  <c r="CO885" i="15"/>
  <c r="CT885" i="15" s="1"/>
  <c r="CK885" i="15"/>
  <c r="CC890" i="15"/>
  <c r="CE891" i="15"/>
  <c r="CP891" i="15" s="1"/>
  <c r="CU891" i="15" s="1"/>
  <c r="CF891" i="15"/>
  <c r="CQ891" i="15" s="1"/>
  <c r="CV891" i="15" s="1"/>
  <c r="CD891" i="15"/>
  <c r="CO891" i="15" s="1"/>
  <c r="BQ893" i="15"/>
  <c r="AH324" i="15"/>
  <c r="AK324" i="15" s="1"/>
  <c r="AL324" i="15" s="1"/>
  <c r="AM323" i="15"/>
  <c r="AN323" i="15" s="1"/>
  <c r="AJ323" i="15"/>
  <c r="AH326" i="15"/>
  <c r="AK326" i="15" s="1"/>
  <c r="AL326" i="15" s="1"/>
  <c r="AJ325" i="15"/>
  <c r="AK325" i="15" s="1"/>
  <c r="AL325" i="15" s="1"/>
  <c r="AG328" i="15"/>
  <c r="AG328" i="17"/>
  <c r="BX892" i="15"/>
  <c r="AP327" i="17"/>
  <c r="BZ892" i="15"/>
  <c r="BY892" i="15"/>
  <c r="BT893" i="15"/>
  <c r="CB890" i="15"/>
  <c r="AO328" i="15"/>
  <c r="BV891" i="15"/>
  <c r="AO327" i="17"/>
  <c r="AP327" i="15"/>
  <c r="BW893" i="15"/>
  <c r="CT886" i="15" l="1"/>
  <c r="CI886" i="15"/>
  <c r="CI887" i="15" s="1"/>
  <c r="CO883" i="15"/>
  <c r="CT883" i="15" s="1"/>
  <c r="CK883" i="15"/>
  <c r="CJ882" i="15"/>
  <c r="CC891" i="15"/>
  <c r="CN891" i="15" s="1"/>
  <c r="CS891" i="15" s="1"/>
  <c r="CD892" i="15"/>
  <c r="CE892" i="15"/>
  <c r="CP892" i="15" s="1"/>
  <c r="CU892" i="15" s="1"/>
  <c r="CF892" i="15"/>
  <c r="CQ892" i="15" s="1"/>
  <c r="CV892" i="15" s="1"/>
  <c r="BQ894" i="15"/>
  <c r="AJ324" i="15"/>
  <c r="AM324" i="15"/>
  <c r="AN324" i="15" s="1"/>
  <c r="AM325" i="15"/>
  <c r="AN325" i="15" s="1"/>
  <c r="AG329" i="15"/>
  <c r="AG329" i="17"/>
  <c r="CH893" i="15"/>
  <c r="CH894" i="15"/>
  <c r="BY893" i="15"/>
  <c r="AO328" i="17"/>
  <c r="BV892" i="15"/>
  <c r="BZ893" i="15"/>
  <c r="BW894" i="15"/>
  <c r="AP328" i="17"/>
  <c r="BX893" i="15"/>
  <c r="AP328" i="15"/>
  <c r="BT894" i="15"/>
  <c r="AO329" i="15"/>
  <c r="CO882" i="15" l="1"/>
  <c r="CT882" i="15" s="1"/>
  <c r="CK882" i="15"/>
  <c r="CI888" i="15"/>
  <c r="CC892" i="15"/>
  <c r="CN892" i="15" s="1"/>
  <c r="CD893" i="15"/>
  <c r="CF893" i="15"/>
  <c r="CQ893" i="15" s="1"/>
  <c r="CV893" i="15" s="1"/>
  <c r="CE893" i="15"/>
  <c r="CP893" i="15" s="1"/>
  <c r="CU893" i="15" s="1"/>
  <c r="BQ895" i="15"/>
  <c r="AM326" i="15"/>
  <c r="AN326" i="15" s="1"/>
  <c r="AH327" i="15"/>
  <c r="AK327" i="15" s="1"/>
  <c r="AL327" i="15" s="1"/>
  <c r="AJ326" i="15"/>
  <c r="AG330" i="17"/>
  <c r="AG330" i="15"/>
  <c r="AI330" i="15"/>
  <c r="AI334" i="15"/>
  <c r="BY894" i="15"/>
  <c r="CB891" i="15"/>
  <c r="AP329" i="15"/>
  <c r="BV893" i="15"/>
  <c r="AP329" i="17"/>
  <c r="AO330" i="15"/>
  <c r="BX894" i="15"/>
  <c r="AO329" i="17"/>
  <c r="AI333" i="15"/>
  <c r="BZ894" i="15"/>
  <c r="AI332" i="15"/>
  <c r="BW895" i="15"/>
  <c r="CS892" i="15" l="1"/>
  <c r="CI889" i="15"/>
  <c r="CC893" i="15"/>
  <c r="CN893" i="15" s="1"/>
  <c r="CS893" i="15" s="1"/>
  <c r="CF894" i="15"/>
  <c r="CQ894" i="15" s="1"/>
  <c r="CV894" i="15" s="1"/>
  <c r="CE894" i="15"/>
  <c r="CP894" i="15" s="1"/>
  <c r="CU894" i="15" s="1"/>
  <c r="CD894" i="15"/>
  <c r="BQ896" i="15"/>
  <c r="AG331" i="15"/>
  <c r="AG331" i="17"/>
  <c r="BT895" i="15"/>
  <c r="BY895" i="15"/>
  <c r="AO330" i="17"/>
  <c r="CB892" i="15"/>
  <c r="AI333" i="17"/>
  <c r="BX895" i="15"/>
  <c r="CH895" i="15"/>
  <c r="AH330" i="15"/>
  <c r="AI334" i="17"/>
  <c r="CH896" i="15"/>
  <c r="BV894" i="15"/>
  <c r="AP330" i="15"/>
  <c r="BZ895" i="15"/>
  <c r="AI331" i="15"/>
  <c r="AI332" i="17"/>
  <c r="AI331" i="17"/>
  <c r="AI330" i="17"/>
  <c r="AO331" i="15"/>
  <c r="AP330" i="17"/>
  <c r="BW896" i="15"/>
  <c r="AH330" i="17"/>
  <c r="CK896" i="15"/>
  <c r="CI890" i="15" l="1"/>
  <c r="CJ890" i="15" s="1"/>
  <c r="CC894" i="15"/>
  <c r="CN894" i="15" s="1"/>
  <c r="CE895" i="15"/>
  <c r="CP895" i="15" s="1"/>
  <c r="CU895" i="15" s="1"/>
  <c r="CF895" i="15"/>
  <c r="CQ895" i="15" s="1"/>
  <c r="CV895" i="15" s="1"/>
  <c r="CD895" i="15"/>
  <c r="BQ897" i="15"/>
  <c r="AM327" i="15"/>
  <c r="AN327" i="15" s="1"/>
  <c r="AH328" i="15"/>
  <c r="AK328" i="15" s="1"/>
  <c r="AL328" i="15" s="1"/>
  <c r="AJ327" i="15"/>
  <c r="AL333" i="17"/>
  <c r="AM333" i="17" s="1"/>
  <c r="AN333" i="17" s="1"/>
  <c r="AH334" i="17"/>
  <c r="AL331" i="17"/>
  <c r="AM331" i="17" s="1"/>
  <c r="AN331" i="17" s="1"/>
  <c r="AH332" i="17"/>
  <c r="AL330" i="17"/>
  <c r="AM330" i="17" s="1"/>
  <c r="AN330" i="17" s="1"/>
  <c r="AH331" i="17"/>
  <c r="AL332" i="17"/>
  <c r="AM332" i="17" s="1"/>
  <c r="AN332" i="17" s="1"/>
  <c r="AH333" i="17"/>
  <c r="AL334" i="17"/>
  <c r="AM334" i="17" s="1"/>
  <c r="AN334" i="17" s="1"/>
  <c r="AG332" i="17"/>
  <c r="AG332" i="15"/>
  <c r="BT896" i="15"/>
  <c r="BV895" i="15"/>
  <c r="BZ896" i="15"/>
  <c r="BY896" i="15"/>
  <c r="AO332" i="15"/>
  <c r="CB893" i="15"/>
  <c r="CH897" i="15"/>
  <c r="BX896" i="15"/>
  <c r="AO331" i="17"/>
  <c r="AP331" i="15"/>
  <c r="AP331" i="17"/>
  <c r="BT897" i="15"/>
  <c r="BW897" i="15"/>
  <c r="CN895" i="15" l="1"/>
  <c r="CS895" i="15" s="1"/>
  <c r="CS894" i="15"/>
  <c r="CO890" i="15"/>
  <c r="CT890" i="15" s="1"/>
  <c r="CK890" i="15"/>
  <c r="CJ889" i="15"/>
  <c r="CC895" i="15"/>
  <c r="CD896" i="15"/>
  <c r="CO896" i="15" s="1"/>
  <c r="CE896" i="15"/>
  <c r="CP896" i="15" s="1"/>
  <c r="CU896" i="15" s="1"/>
  <c r="CF896" i="15"/>
  <c r="CQ896" i="15" s="1"/>
  <c r="CV896" i="15" s="1"/>
  <c r="BQ898" i="15"/>
  <c r="AJ330" i="15"/>
  <c r="AK330" i="15" s="1"/>
  <c r="AL330" i="15" s="1"/>
  <c r="AH331" i="15"/>
  <c r="AK331" i="15" s="1"/>
  <c r="AL331" i="15" s="1"/>
  <c r="AG333" i="15"/>
  <c r="AG333" i="17"/>
  <c r="BX897" i="15"/>
  <c r="CB894" i="15"/>
  <c r="BT898" i="15"/>
  <c r="AP332" i="17"/>
  <c r="AO332" i="17"/>
  <c r="BV896" i="15"/>
  <c r="AO333" i="15"/>
  <c r="CB895" i="15"/>
  <c r="AP332" i="15"/>
  <c r="BW898" i="15"/>
  <c r="BY897" i="15"/>
  <c r="CH898" i="15"/>
  <c r="BZ897" i="15"/>
  <c r="CT891" i="15" l="1"/>
  <c r="CI891" i="15"/>
  <c r="CI892" i="15" s="1"/>
  <c r="CO889" i="15"/>
  <c r="CT889" i="15" s="1"/>
  <c r="CK889" i="15"/>
  <c r="CJ888" i="15"/>
  <c r="CC896" i="15"/>
  <c r="CN896" i="15" s="1"/>
  <c r="CS896" i="15" s="1"/>
  <c r="CF897" i="15"/>
  <c r="CQ897" i="15" s="1"/>
  <c r="CV897" i="15" s="1"/>
  <c r="CD897" i="15"/>
  <c r="CE897" i="15"/>
  <c r="CP897" i="15" s="1"/>
  <c r="CU897" i="15" s="1"/>
  <c r="BQ899" i="15"/>
  <c r="AM328" i="15"/>
  <c r="AN328" i="15" s="1"/>
  <c r="AH329" i="15"/>
  <c r="AK329" i="15" s="1"/>
  <c r="AL329" i="15" s="1"/>
  <c r="AJ328" i="15"/>
  <c r="AG334" i="15"/>
  <c r="AG334" i="17"/>
  <c r="BT899" i="15"/>
  <c r="BX898" i="15"/>
  <c r="BV897" i="15"/>
  <c r="BW899" i="15"/>
  <c r="CH899" i="15"/>
  <c r="BZ898" i="15"/>
  <c r="AP333" i="15"/>
  <c r="AO334" i="15"/>
  <c r="AP333" i="17"/>
  <c r="AO333" i="17"/>
  <c r="BY898" i="15"/>
  <c r="CO888" i="15" l="1"/>
  <c r="CT888" i="15" s="1"/>
  <c r="CK888" i="15"/>
  <c r="CJ887" i="15"/>
  <c r="CI893" i="15"/>
  <c r="CC897" i="15"/>
  <c r="CN897" i="15" s="1"/>
  <c r="CF898" i="15"/>
  <c r="CQ898" i="15" s="1"/>
  <c r="CV898" i="15" s="1"/>
  <c r="CE898" i="15"/>
  <c r="CP898" i="15" s="1"/>
  <c r="CU898" i="15" s="1"/>
  <c r="CD898" i="15"/>
  <c r="BQ900" i="15"/>
  <c r="AJ329" i="15"/>
  <c r="AM329" i="15"/>
  <c r="AN329" i="15" s="1"/>
  <c r="AM330" i="15"/>
  <c r="AN330" i="15" s="1"/>
  <c r="AH332" i="15"/>
  <c r="AK332" i="15" s="1"/>
  <c r="AL332" i="15" s="1"/>
  <c r="AM331" i="15"/>
  <c r="AN331" i="15" s="1"/>
  <c r="AJ331" i="15"/>
  <c r="AG335" i="15"/>
  <c r="AG335" i="17"/>
  <c r="BX899" i="15"/>
  <c r="BY899" i="15"/>
  <c r="BW900" i="15"/>
  <c r="CH900" i="15"/>
  <c r="AP334" i="15"/>
  <c r="AI335" i="15"/>
  <c r="CB896" i="15"/>
  <c r="AP334" i="17"/>
  <c r="AI336" i="15"/>
  <c r="BV898" i="15"/>
  <c r="AO334" i="17"/>
  <c r="BT900" i="15"/>
  <c r="CB897" i="15"/>
  <c r="BZ899" i="15"/>
  <c r="AO335" i="15"/>
  <c r="CS897" i="15" l="1"/>
  <c r="CO887" i="15"/>
  <c r="CT887" i="15" s="1"/>
  <c r="CK887" i="15"/>
  <c r="CI894" i="15"/>
  <c r="CC898" i="15"/>
  <c r="CN898" i="15" s="1"/>
  <c r="CS898" i="15" s="1"/>
  <c r="CE899" i="15"/>
  <c r="CP899" i="15" s="1"/>
  <c r="CU899" i="15" s="1"/>
  <c r="CF899" i="15"/>
  <c r="CQ899" i="15" s="1"/>
  <c r="CV899" i="15" s="1"/>
  <c r="CD899" i="15"/>
  <c r="BQ901" i="15"/>
  <c r="AG336" i="17"/>
  <c r="AG336" i="15"/>
  <c r="CH901" i="15"/>
  <c r="AI336" i="17"/>
  <c r="AI337" i="17"/>
  <c r="AH335" i="15"/>
  <c r="AO335" i="17"/>
  <c r="AP335" i="15"/>
  <c r="AP335" i="17"/>
  <c r="BY900" i="15"/>
  <c r="AI335" i="17"/>
  <c r="AI338" i="17"/>
  <c r="BX900" i="15"/>
  <c r="CB898" i="15"/>
  <c r="AI339" i="17"/>
  <c r="AI338" i="15"/>
  <c r="AI339" i="15"/>
  <c r="AO336" i="15"/>
  <c r="AH335" i="17"/>
  <c r="BV899" i="15"/>
  <c r="AI337" i="15"/>
  <c r="BZ900" i="15"/>
  <c r="CI895" i="15" l="1"/>
  <c r="CJ895" i="15" s="1"/>
  <c r="CC899" i="15"/>
  <c r="CN899" i="15" s="1"/>
  <c r="CD900" i="15"/>
  <c r="CE900" i="15"/>
  <c r="CP900" i="15" s="1"/>
  <c r="CU900" i="15" s="1"/>
  <c r="CF900" i="15"/>
  <c r="CQ900" i="15" s="1"/>
  <c r="CV900" i="15" s="1"/>
  <c r="BQ902" i="15"/>
  <c r="AM332" i="15"/>
  <c r="AN332" i="15" s="1"/>
  <c r="AH333" i="15"/>
  <c r="AK333" i="15" s="1"/>
  <c r="AL333" i="15" s="1"/>
  <c r="AJ332" i="15"/>
  <c r="AL337" i="17"/>
  <c r="AM337" i="17" s="1"/>
  <c r="AN337" i="17" s="1"/>
  <c r="AH338" i="17"/>
  <c r="AL336" i="17"/>
  <c r="AM336" i="17" s="1"/>
  <c r="AN336" i="17" s="1"/>
  <c r="AH337" i="17"/>
  <c r="AL335" i="17"/>
  <c r="AM335" i="17" s="1"/>
  <c r="AN335" i="17" s="1"/>
  <c r="AH336" i="17"/>
  <c r="AL339" i="17"/>
  <c r="AM339" i="17" s="1"/>
  <c r="AN339" i="17" s="1"/>
  <c r="AL338" i="17"/>
  <c r="AM338" i="17" s="1"/>
  <c r="AN338" i="17" s="1"/>
  <c r="AH339" i="17"/>
  <c r="AG337" i="15"/>
  <c r="AG337" i="17"/>
  <c r="BW901" i="15"/>
  <c r="AO336" i="17"/>
  <c r="BX901" i="15"/>
  <c r="AO337" i="15"/>
  <c r="BT901" i="15"/>
  <c r="BY901" i="15"/>
  <c r="BV900" i="15"/>
  <c r="BW902" i="15"/>
  <c r="CK901" i="15"/>
  <c r="BT902" i="15"/>
  <c r="CH902" i="15"/>
  <c r="AP336" i="15"/>
  <c r="AP336" i="17"/>
  <c r="BZ901" i="15"/>
  <c r="CN900" i="15" l="1"/>
  <c r="CS900" i="15" s="1"/>
  <c r="CS899" i="15"/>
  <c r="CK895" i="15"/>
  <c r="CO895" i="15"/>
  <c r="CT895" i="15" s="1"/>
  <c r="CJ894" i="15"/>
  <c r="CC900" i="15"/>
  <c r="CD901" i="15"/>
  <c r="CO901" i="15" s="1"/>
  <c r="CF901" i="15"/>
  <c r="CQ901" i="15" s="1"/>
  <c r="CV901" i="15" s="1"/>
  <c r="CE901" i="15"/>
  <c r="CP901" i="15" s="1"/>
  <c r="CU901" i="15" s="1"/>
  <c r="BQ903" i="15"/>
  <c r="AJ335" i="15"/>
  <c r="AK335" i="15" s="1"/>
  <c r="AL335" i="15" s="1"/>
  <c r="AH336" i="15"/>
  <c r="AK336" i="15" s="1"/>
  <c r="AL336" i="15" s="1"/>
  <c r="AG338" i="15"/>
  <c r="AG338" i="17"/>
  <c r="BX902" i="15"/>
  <c r="CH903" i="15"/>
  <c r="BT903" i="15"/>
  <c r="AO338" i="15"/>
  <c r="BV901" i="15"/>
  <c r="BZ902" i="15"/>
  <c r="CB900" i="15"/>
  <c r="AO337" i="17"/>
  <c r="BY902" i="15"/>
  <c r="AP337" i="17"/>
  <c r="CB899" i="15"/>
  <c r="BW903" i="15"/>
  <c r="AP337" i="15"/>
  <c r="CT896" i="15" l="1"/>
  <c r="CI896" i="15"/>
  <c r="CI897" i="15" s="1"/>
  <c r="CK894" i="15"/>
  <c r="CO894" i="15"/>
  <c r="CT894" i="15" s="1"/>
  <c r="CJ893" i="15"/>
  <c r="CC901" i="15"/>
  <c r="CN901" i="15" s="1"/>
  <c r="CS901" i="15" s="1"/>
  <c r="CF902" i="15"/>
  <c r="CQ902" i="15" s="1"/>
  <c r="CV902" i="15" s="1"/>
  <c r="CE902" i="15"/>
  <c r="CP902" i="15" s="1"/>
  <c r="CU902" i="15" s="1"/>
  <c r="CD902" i="15"/>
  <c r="BQ904" i="15"/>
  <c r="AH334" i="15"/>
  <c r="AK334" i="15" s="1"/>
  <c r="AL334" i="15" s="1"/>
  <c r="AM333" i="15"/>
  <c r="AN333" i="15" s="1"/>
  <c r="AJ333" i="15"/>
  <c r="AG339" i="15"/>
  <c r="AG339" i="17"/>
  <c r="AO339" i="15"/>
  <c r="BW904" i="15"/>
  <c r="BY903" i="15"/>
  <c r="BX903" i="15"/>
  <c r="AP338" i="15"/>
  <c r="CH904" i="15"/>
  <c r="BT904" i="15"/>
  <c r="BZ903" i="15"/>
  <c r="AO338" i="17"/>
  <c r="AP338" i="17"/>
  <c r="BV902" i="15"/>
  <c r="CK893" i="15" l="1"/>
  <c r="CO893" i="15"/>
  <c r="CT893" i="15" s="1"/>
  <c r="CJ892" i="15"/>
  <c r="CI898" i="15"/>
  <c r="CC902" i="15"/>
  <c r="CN902" i="15" s="1"/>
  <c r="CF903" i="15"/>
  <c r="CQ903" i="15" s="1"/>
  <c r="CV903" i="15" s="1"/>
  <c r="CE903" i="15"/>
  <c r="CP903" i="15" s="1"/>
  <c r="CU903" i="15" s="1"/>
  <c r="CD903" i="15"/>
  <c r="BQ905" i="15"/>
  <c r="AH337" i="15"/>
  <c r="AK337" i="15" s="1"/>
  <c r="AL337" i="15" s="1"/>
  <c r="AM336" i="15"/>
  <c r="AN336" i="15" s="1"/>
  <c r="AJ336" i="15"/>
  <c r="AM334" i="15"/>
  <c r="AN334" i="15" s="1"/>
  <c r="AJ334" i="15"/>
  <c r="AM335" i="15"/>
  <c r="AN335" i="15" s="1"/>
  <c r="AG340" i="17"/>
  <c r="AG340" i="15"/>
  <c r="AI344" i="15"/>
  <c r="BY904" i="15"/>
  <c r="CB902" i="15"/>
  <c r="AP339" i="15"/>
  <c r="AI340" i="15"/>
  <c r="AI343" i="15"/>
  <c r="BW905" i="15"/>
  <c r="CB901" i="15"/>
  <c r="AO340" i="15"/>
  <c r="BT905" i="15"/>
  <c r="CH905" i="15"/>
  <c r="AI341" i="15"/>
  <c r="AP339" i="17"/>
  <c r="BX904" i="15"/>
  <c r="BZ904" i="15"/>
  <c r="AO339" i="17"/>
  <c r="AI342" i="15"/>
  <c r="BV903" i="15"/>
  <c r="CS902" i="15" l="1"/>
  <c r="CK892" i="15"/>
  <c r="CO892" i="15"/>
  <c r="CT892" i="15" s="1"/>
  <c r="CI899" i="15"/>
  <c r="CC903" i="15"/>
  <c r="CN903" i="15" s="1"/>
  <c r="CS903" i="15" s="1"/>
  <c r="CD904" i="15"/>
  <c r="CE904" i="15"/>
  <c r="CP904" i="15" s="1"/>
  <c r="CU904" i="15" s="1"/>
  <c r="CF904" i="15"/>
  <c r="CQ904" i="15" s="1"/>
  <c r="CV904" i="15" s="1"/>
  <c r="BQ906" i="15"/>
  <c r="AG341" i="15"/>
  <c r="AG341" i="17"/>
  <c r="BX905" i="15"/>
  <c r="AH340" i="15"/>
  <c r="CH906" i="15"/>
  <c r="BW906" i="15"/>
  <c r="AI342" i="17"/>
  <c r="AP340" i="15"/>
  <c r="CB903" i="15"/>
  <c r="AI344" i="17"/>
  <c r="BV904" i="15"/>
  <c r="AH340" i="17"/>
  <c r="AO340" i="17"/>
  <c r="BZ905" i="15"/>
  <c r="AI343" i="17"/>
  <c r="AI340" i="17"/>
  <c r="BY905" i="15"/>
  <c r="AI341" i="17"/>
  <c r="BT906" i="15"/>
  <c r="AO341" i="15"/>
  <c r="AP340" i="17"/>
  <c r="CI900" i="15" l="1"/>
  <c r="CJ900" i="15" s="1"/>
  <c r="CJ899" i="15" s="1"/>
  <c r="CC904" i="15"/>
  <c r="CN904" i="15" s="1"/>
  <c r="CD905" i="15"/>
  <c r="CE905" i="15"/>
  <c r="CP905" i="15" s="1"/>
  <c r="CU905" i="15" s="1"/>
  <c r="CF905" i="15"/>
  <c r="CQ905" i="15" s="1"/>
  <c r="CV905" i="15" s="1"/>
  <c r="BQ907" i="15"/>
  <c r="AM337" i="15"/>
  <c r="AN337" i="15" s="1"/>
  <c r="AH338" i="15"/>
  <c r="AK338" i="15" s="1"/>
  <c r="AL338" i="15" s="1"/>
  <c r="AJ337" i="15"/>
  <c r="AL341" i="17"/>
  <c r="AM341" i="17" s="1"/>
  <c r="AN341" i="17" s="1"/>
  <c r="AH342" i="17"/>
  <c r="AL344" i="17"/>
  <c r="AM344" i="17" s="1"/>
  <c r="AN344" i="17" s="1"/>
  <c r="AL340" i="17"/>
  <c r="AM340" i="17" s="1"/>
  <c r="AN340" i="17" s="1"/>
  <c r="AH341" i="17"/>
  <c r="AL342" i="17"/>
  <c r="AM342" i="17" s="1"/>
  <c r="AN342" i="17" s="1"/>
  <c r="AH343" i="17"/>
  <c r="AL343" i="17"/>
  <c r="AM343" i="17" s="1"/>
  <c r="AN343" i="17" s="1"/>
  <c r="AH344" i="17"/>
  <c r="AG342" i="17"/>
  <c r="AG342" i="15"/>
  <c r="CK906" i="15"/>
  <c r="BX906" i="15"/>
  <c r="BV905" i="15"/>
  <c r="BZ906" i="15"/>
  <c r="BW907" i="15"/>
  <c r="CB904" i="15"/>
  <c r="BY906" i="15"/>
  <c r="AP341" i="15"/>
  <c r="BT907" i="15"/>
  <c r="AO341" i="17"/>
  <c r="CH907" i="15"/>
  <c r="AP341" i="17"/>
  <c r="AO342" i="15"/>
  <c r="CN905" i="15" l="1"/>
  <c r="CS905" i="15" s="1"/>
  <c r="CS904" i="15"/>
  <c r="CO899" i="15"/>
  <c r="CT899" i="15" s="1"/>
  <c r="CK899" i="15"/>
  <c r="CJ898" i="15"/>
  <c r="CO900" i="15"/>
  <c r="CT900" i="15" s="1"/>
  <c r="CK900" i="15"/>
  <c r="CC905" i="15"/>
  <c r="CD906" i="15"/>
  <c r="CO906" i="15" s="1"/>
  <c r="CF906" i="15"/>
  <c r="CQ906" i="15" s="1"/>
  <c r="CV906" i="15" s="1"/>
  <c r="CE906" i="15"/>
  <c r="CP906" i="15" s="1"/>
  <c r="CU906" i="15" s="1"/>
  <c r="BQ908" i="15"/>
  <c r="AJ340" i="15"/>
  <c r="AK340" i="15" s="1"/>
  <c r="AL340" i="15" s="1"/>
  <c r="AH341" i="15"/>
  <c r="AK341" i="15" s="1"/>
  <c r="AL341" i="15" s="1"/>
  <c r="AG343" i="15"/>
  <c r="AG343" i="17"/>
  <c r="BZ907" i="15"/>
  <c r="BV906" i="15"/>
  <c r="AP342" i="15"/>
  <c r="AP342" i="17"/>
  <c r="AO342" i="17"/>
  <c r="BY907" i="15"/>
  <c r="CB905" i="15"/>
  <c r="AO343" i="15"/>
  <c r="BX907" i="15"/>
  <c r="CH908" i="15"/>
  <c r="BT908" i="15"/>
  <c r="CT901" i="15" l="1"/>
  <c r="CI901" i="15"/>
  <c r="CI902" i="15" s="1"/>
  <c r="CO898" i="15"/>
  <c r="CT898" i="15" s="1"/>
  <c r="CK898" i="15"/>
  <c r="CJ897" i="15"/>
  <c r="CC906" i="15"/>
  <c r="CN906" i="15" s="1"/>
  <c r="CS906" i="15" s="1"/>
  <c r="CF907" i="15"/>
  <c r="CQ907" i="15" s="1"/>
  <c r="CV907" i="15" s="1"/>
  <c r="CE907" i="15"/>
  <c r="CP907" i="15" s="1"/>
  <c r="CU907" i="15" s="1"/>
  <c r="CD907" i="15"/>
  <c r="BQ909" i="15"/>
  <c r="AM338" i="15"/>
  <c r="AN338" i="15" s="1"/>
  <c r="AH339" i="15"/>
  <c r="AK339" i="15" s="1"/>
  <c r="AL339" i="15" s="1"/>
  <c r="AJ338" i="15"/>
  <c r="AG344" i="15"/>
  <c r="AG344" i="17"/>
  <c r="BZ908" i="15"/>
  <c r="BY908" i="15"/>
  <c r="AO343" i="17"/>
  <c r="AO344" i="15"/>
  <c r="BX908" i="15"/>
  <c r="AP343" i="17"/>
  <c r="CB906" i="15"/>
  <c r="AP343" i="15"/>
  <c r="BT909" i="15"/>
  <c r="BV907" i="15"/>
  <c r="BW909" i="15"/>
  <c r="CH909" i="15"/>
  <c r="BW908" i="15"/>
  <c r="CO897" i="15" l="1"/>
  <c r="CT897" i="15" s="1"/>
  <c r="CK897" i="15"/>
  <c r="CI903" i="15"/>
  <c r="CC907" i="15"/>
  <c r="CN907" i="15" s="1"/>
  <c r="CE908" i="15"/>
  <c r="CP908" i="15" s="1"/>
  <c r="CU908" i="15" s="1"/>
  <c r="CF908" i="15"/>
  <c r="CQ908" i="15" s="1"/>
  <c r="CV908" i="15" s="1"/>
  <c r="CD908" i="15"/>
  <c r="BQ910" i="15"/>
  <c r="AM339" i="15"/>
  <c r="AN339" i="15" s="1"/>
  <c r="AJ339" i="15"/>
  <c r="AM340" i="15"/>
  <c r="AN340" i="15" s="1"/>
  <c r="AH342" i="15"/>
  <c r="AK342" i="15" s="1"/>
  <c r="AL342" i="15" s="1"/>
  <c r="AM341" i="15"/>
  <c r="AN341" i="15" s="1"/>
  <c r="AJ341" i="15"/>
  <c r="AG345" i="15"/>
  <c r="AG345" i="17"/>
  <c r="BV908" i="15"/>
  <c r="BX909" i="15"/>
  <c r="BY909" i="15"/>
  <c r="AI348" i="15"/>
  <c r="AI349" i="15"/>
  <c r="AP344" i="15"/>
  <c r="BZ909" i="15"/>
  <c r="AI345" i="15"/>
  <c r="AO344" i="17"/>
  <c r="AI347" i="15"/>
  <c r="AP344" i="17"/>
  <c r="AI346" i="15"/>
  <c r="CH910" i="15"/>
  <c r="AO345" i="15"/>
  <c r="CS907" i="15" l="1"/>
  <c r="CI904" i="15"/>
  <c r="CC908" i="15"/>
  <c r="CN908" i="15" s="1"/>
  <c r="CS908" i="15" s="1"/>
  <c r="CD909" i="15"/>
  <c r="CE909" i="15"/>
  <c r="CP909" i="15" s="1"/>
  <c r="CU909" i="15" s="1"/>
  <c r="CF909" i="15"/>
  <c r="CQ909" i="15" s="1"/>
  <c r="CV909" i="15" s="1"/>
  <c r="BQ911" i="15"/>
  <c r="AG346" i="17"/>
  <c r="AG346" i="15"/>
  <c r="AI345" i="17"/>
  <c r="CB907" i="15"/>
  <c r="AI349" i="17"/>
  <c r="BV909" i="15"/>
  <c r="BX910" i="15"/>
  <c r="AP345" i="15"/>
  <c r="BW911" i="15"/>
  <c r="BW910" i="15"/>
  <c r="BZ910" i="15"/>
  <c r="BT910" i="15"/>
  <c r="BY910" i="15"/>
  <c r="AI347" i="17"/>
  <c r="AO345" i="17"/>
  <c r="BT911" i="15"/>
  <c r="AO346" i="15"/>
  <c r="AP345" i="17"/>
  <c r="CK911" i="15"/>
  <c r="AH345" i="15"/>
  <c r="AH345" i="17"/>
  <c r="AI346" i="17"/>
  <c r="AI348" i="17"/>
  <c r="CH911" i="15"/>
  <c r="CI905" i="15" l="1"/>
  <c r="CJ905" i="15" s="1"/>
  <c r="CJ904" i="15" s="1"/>
  <c r="CC909" i="15"/>
  <c r="CN909" i="15" s="1"/>
  <c r="CD910" i="15"/>
  <c r="CF910" i="15"/>
  <c r="CQ910" i="15" s="1"/>
  <c r="CV910" i="15" s="1"/>
  <c r="CE910" i="15"/>
  <c r="CP910" i="15" s="1"/>
  <c r="CU910" i="15" s="1"/>
  <c r="BQ912" i="15"/>
  <c r="AM342" i="15"/>
  <c r="AN342" i="15" s="1"/>
  <c r="AH343" i="15"/>
  <c r="AK343" i="15" s="1"/>
  <c r="AL343" i="15" s="1"/>
  <c r="AJ342" i="15"/>
  <c r="AH346" i="17"/>
  <c r="AL345" i="17"/>
  <c r="AM345" i="17" s="1"/>
  <c r="AN345" i="17" s="1"/>
  <c r="AL347" i="17"/>
  <c r="AM347" i="17" s="1"/>
  <c r="AN347" i="17" s="1"/>
  <c r="AH348" i="17"/>
  <c r="AL349" i="17"/>
  <c r="AM349" i="17" s="1"/>
  <c r="AN349" i="17" s="1"/>
  <c r="AH349" i="17"/>
  <c r="AL348" i="17"/>
  <c r="AM348" i="17" s="1"/>
  <c r="AN348" i="17" s="1"/>
  <c r="AL346" i="17"/>
  <c r="AM346" i="17" s="1"/>
  <c r="AN346" i="17" s="1"/>
  <c r="AH347" i="17"/>
  <c r="AG347" i="15"/>
  <c r="AG347" i="17"/>
  <c r="CB908" i="15"/>
  <c r="AO346" i="17"/>
  <c r="BZ911" i="15"/>
  <c r="BY911" i="15"/>
  <c r="BV910" i="15"/>
  <c r="AO347" i="15"/>
  <c r="BT912" i="15"/>
  <c r="AP346" i="15"/>
  <c r="BX911" i="15"/>
  <c r="BW912" i="15"/>
  <c r="CH912" i="15"/>
  <c r="AP346" i="17"/>
  <c r="CN910" i="15" l="1"/>
  <c r="CS910" i="15" s="1"/>
  <c r="CS909" i="15"/>
  <c r="CO904" i="15"/>
  <c r="CT904" i="15" s="1"/>
  <c r="CK904" i="15"/>
  <c r="CJ903" i="15"/>
  <c r="CO905" i="15"/>
  <c r="CT905" i="15" s="1"/>
  <c r="CK905" i="15"/>
  <c r="CC910" i="15"/>
  <c r="CF911" i="15"/>
  <c r="CQ911" i="15" s="1"/>
  <c r="CV911" i="15" s="1"/>
  <c r="CE911" i="15"/>
  <c r="CP911" i="15" s="1"/>
  <c r="CU911" i="15" s="1"/>
  <c r="CD911" i="15"/>
  <c r="CO911" i="15" s="1"/>
  <c r="BQ913" i="15"/>
  <c r="AJ345" i="15"/>
  <c r="AK345" i="15" s="1"/>
  <c r="AL345" i="15" s="1"/>
  <c r="AH346" i="15"/>
  <c r="AK346" i="15" s="1"/>
  <c r="AL346" i="15" s="1"/>
  <c r="AG348" i="15"/>
  <c r="AG348" i="17"/>
  <c r="BV911" i="15"/>
  <c r="BW913" i="15"/>
  <c r="AP347" i="15"/>
  <c r="BZ912" i="15"/>
  <c r="BY912" i="15"/>
  <c r="CB909" i="15"/>
  <c r="AO348" i="15"/>
  <c r="BT913" i="15"/>
  <c r="AO347" i="17"/>
  <c r="AP347" i="17"/>
  <c r="CB910" i="15"/>
  <c r="BX912" i="15"/>
  <c r="CT906" i="15" l="1"/>
  <c r="CI906" i="15"/>
  <c r="CI907" i="15" s="1"/>
  <c r="CO903" i="15"/>
  <c r="CT903" i="15" s="1"/>
  <c r="CK903" i="15"/>
  <c r="CJ902" i="15"/>
  <c r="CC911" i="15"/>
  <c r="CN911" i="15" s="1"/>
  <c r="CS911" i="15" s="1"/>
  <c r="CF912" i="15"/>
  <c r="CQ912" i="15" s="1"/>
  <c r="CV912" i="15" s="1"/>
  <c r="CE912" i="15"/>
  <c r="CP912" i="15" s="1"/>
  <c r="CU912" i="15" s="1"/>
  <c r="CD912" i="15"/>
  <c r="BQ914" i="15"/>
  <c r="AH344" i="15"/>
  <c r="AK344" i="15" s="1"/>
  <c r="AL344" i="15" s="1"/>
  <c r="AM343" i="15"/>
  <c r="AN343" i="15" s="1"/>
  <c r="AJ343" i="15"/>
  <c r="AG349" i="15"/>
  <c r="AG349" i="17"/>
  <c r="BY913" i="15"/>
  <c r="BX913" i="15"/>
  <c r="CH914" i="15"/>
  <c r="AO349" i="15"/>
  <c r="BV912" i="15"/>
  <c r="BT914" i="15"/>
  <c r="AP348" i="17"/>
  <c r="CH913" i="15"/>
  <c r="AP348" i="15"/>
  <c r="BW914" i="15"/>
  <c r="BZ913" i="15"/>
  <c r="AO348" i="17"/>
  <c r="CO902" i="15" l="1"/>
  <c r="CT902" i="15" s="1"/>
  <c r="CK902" i="15"/>
  <c r="CI908" i="15"/>
  <c r="CC912" i="15"/>
  <c r="CN912" i="15" s="1"/>
  <c r="CD913" i="15"/>
  <c r="CE913" i="15"/>
  <c r="CP913" i="15" s="1"/>
  <c r="CU913" i="15" s="1"/>
  <c r="CF913" i="15"/>
  <c r="CQ913" i="15" s="1"/>
  <c r="CV913" i="15" s="1"/>
  <c r="BQ915" i="15"/>
  <c r="AH347" i="15"/>
  <c r="AK347" i="15" s="1"/>
  <c r="AL347" i="15" s="1"/>
  <c r="AM346" i="15"/>
  <c r="AN346" i="15" s="1"/>
  <c r="AJ346" i="15"/>
  <c r="AM344" i="15"/>
  <c r="AN344" i="15" s="1"/>
  <c r="AJ344" i="15"/>
  <c r="AM345" i="15"/>
  <c r="AN345" i="15" s="1"/>
  <c r="AG350" i="17"/>
  <c r="AG350" i="15"/>
  <c r="CB911" i="15"/>
  <c r="BX914" i="15"/>
  <c r="BY914" i="15"/>
  <c r="AP349" i="17"/>
  <c r="AI353" i="15"/>
  <c r="BZ914" i="15"/>
  <c r="AO350" i="15"/>
  <c r="BT915" i="15"/>
  <c r="BV913" i="15"/>
  <c r="AI352" i="15"/>
  <c r="AP349" i="15"/>
  <c r="AO349" i="17"/>
  <c r="CS912" i="15" l="1"/>
  <c r="CI909" i="15"/>
  <c r="CC913" i="15"/>
  <c r="CN913" i="15" s="1"/>
  <c r="CS913" i="15" s="1"/>
  <c r="CD914" i="15"/>
  <c r="CF914" i="15"/>
  <c r="CQ914" i="15" s="1"/>
  <c r="CV914" i="15" s="1"/>
  <c r="CE914" i="15"/>
  <c r="CP914" i="15" s="1"/>
  <c r="CU914" i="15" s="1"/>
  <c r="BQ916" i="15"/>
  <c r="AH348" i="15"/>
  <c r="AK348" i="15" s="1"/>
  <c r="AL348" i="15" s="1"/>
  <c r="AM347" i="15"/>
  <c r="AN347" i="15" s="1"/>
  <c r="AJ347" i="15"/>
  <c r="AG351" i="15"/>
  <c r="AG351" i="17"/>
  <c r="AI351" i="15"/>
  <c r="AH350" i="17"/>
  <c r="BW915" i="15"/>
  <c r="BX915" i="15"/>
  <c r="AH350" i="15"/>
  <c r="AP350" i="15"/>
  <c r="AI351" i="17"/>
  <c r="AP350" i="17"/>
  <c r="CH915" i="15"/>
  <c r="BZ915" i="15"/>
  <c r="AO351" i="15"/>
  <c r="AI350" i="15"/>
  <c r="AI354" i="17"/>
  <c r="AI350" i="17"/>
  <c r="CK916" i="15"/>
  <c r="AO350" i="17"/>
  <c r="AI353" i="17"/>
  <c r="CB912" i="15"/>
  <c r="BY915" i="15"/>
  <c r="AI352" i="17"/>
  <c r="BV914" i="15"/>
  <c r="AI354" i="15"/>
  <c r="CI910" i="15" l="1"/>
  <c r="CJ910" i="15" s="1"/>
  <c r="CC914" i="15"/>
  <c r="CN914" i="15" s="1"/>
  <c r="CF915" i="15"/>
  <c r="CQ915" i="15" s="1"/>
  <c r="CV915" i="15" s="1"/>
  <c r="CE915" i="15"/>
  <c r="CP915" i="15" s="1"/>
  <c r="CU915" i="15" s="1"/>
  <c r="CD915" i="15"/>
  <c r="BQ917" i="15"/>
  <c r="AM348" i="15"/>
  <c r="AN348" i="15" s="1"/>
  <c r="AJ348" i="15"/>
  <c r="AH349" i="15"/>
  <c r="AK349" i="15" s="1"/>
  <c r="AL349" i="15" s="1"/>
  <c r="AH353" i="17"/>
  <c r="AL352" i="17"/>
  <c r="AM352" i="17" s="1"/>
  <c r="AN352" i="17" s="1"/>
  <c r="AL350" i="17"/>
  <c r="AM350" i="17" s="1"/>
  <c r="AN350" i="17" s="1"/>
  <c r="AH351" i="17"/>
  <c r="AL354" i="17"/>
  <c r="AM354" i="17" s="1"/>
  <c r="AN354" i="17" s="1"/>
  <c r="AH354" i="17"/>
  <c r="AL353" i="17"/>
  <c r="AM353" i="17" s="1"/>
  <c r="AN353" i="17" s="1"/>
  <c r="AL351" i="17"/>
  <c r="AM351" i="17" s="1"/>
  <c r="AN351" i="17" s="1"/>
  <c r="AH352" i="17"/>
  <c r="AG352" i="15"/>
  <c r="AG352" i="17"/>
  <c r="AP351" i="15"/>
  <c r="CH917" i="15"/>
  <c r="AO351" i="17"/>
  <c r="BX916" i="15"/>
  <c r="BZ916" i="15"/>
  <c r="CB913" i="15"/>
  <c r="AP351" i="17"/>
  <c r="BY916" i="15"/>
  <c r="BV915" i="15"/>
  <c r="BW917" i="15"/>
  <c r="BW916" i="15"/>
  <c r="CH916" i="15"/>
  <c r="BT917" i="15"/>
  <c r="BT916" i="15"/>
  <c r="AO352" i="15"/>
  <c r="CN915" i="15" l="1"/>
  <c r="CS915" i="15" s="1"/>
  <c r="CS914" i="15"/>
  <c r="CK910" i="15"/>
  <c r="CO910" i="15"/>
  <c r="CT910" i="15" s="1"/>
  <c r="CJ909" i="15"/>
  <c r="CC915" i="15"/>
  <c r="CE916" i="15"/>
  <c r="CP916" i="15" s="1"/>
  <c r="CU916" i="15" s="1"/>
  <c r="CF916" i="15"/>
  <c r="CQ916" i="15" s="1"/>
  <c r="CV916" i="15" s="1"/>
  <c r="CD916" i="15"/>
  <c r="CO916" i="15" s="1"/>
  <c r="BQ918" i="15"/>
  <c r="AM349" i="15"/>
  <c r="AN349" i="15" s="1"/>
  <c r="AJ349" i="15"/>
  <c r="AJ350" i="15"/>
  <c r="AK350" i="15" s="1"/>
  <c r="AL350" i="15" s="1"/>
  <c r="AH351" i="15"/>
  <c r="AK351" i="15" s="1"/>
  <c r="AL351" i="15" s="1"/>
  <c r="AG353" i="15"/>
  <c r="AG353" i="17"/>
  <c r="AO352" i="17"/>
  <c r="BV916" i="15"/>
  <c r="BZ917" i="15"/>
  <c r="CH918" i="15"/>
  <c r="BT918" i="15"/>
  <c r="AP352" i="17"/>
  <c r="BY917" i="15"/>
  <c r="AP352" i="15"/>
  <c r="AO353" i="15"/>
  <c r="BX917" i="15"/>
  <c r="CB914" i="15"/>
  <c r="BW918" i="15"/>
  <c r="CB915" i="15"/>
  <c r="CT911" i="15" l="1"/>
  <c r="CI911" i="15"/>
  <c r="CI912" i="15" s="1"/>
  <c r="CK909" i="15"/>
  <c r="CO909" i="15"/>
  <c r="CT909" i="15" s="1"/>
  <c r="CJ908" i="15"/>
  <c r="CC916" i="15"/>
  <c r="CN916" i="15" s="1"/>
  <c r="CS916" i="15" s="1"/>
  <c r="CD917" i="15"/>
  <c r="CE917" i="15"/>
  <c r="CP917" i="15" s="1"/>
  <c r="CU917" i="15" s="1"/>
  <c r="CF917" i="15"/>
  <c r="CQ917" i="15" s="1"/>
  <c r="CV917" i="15" s="1"/>
  <c r="BQ919" i="15"/>
  <c r="AM350" i="15"/>
  <c r="AN350" i="15" s="1"/>
  <c r="AG354" i="17"/>
  <c r="AG354" i="15"/>
  <c r="AP353" i="15"/>
  <c r="AP353" i="17"/>
  <c r="BY918" i="15"/>
  <c r="BV917" i="15"/>
  <c r="BZ918" i="15"/>
  <c r="BX918" i="15"/>
  <c r="AO354" i="15"/>
  <c r="BW919" i="15"/>
  <c r="CH919" i="15"/>
  <c r="BT919" i="15"/>
  <c r="AO353" i="17"/>
  <c r="CK908" i="15" l="1"/>
  <c r="CO908" i="15"/>
  <c r="CT908" i="15" s="1"/>
  <c r="CJ907" i="15"/>
  <c r="CI913" i="15"/>
  <c r="CC917" i="15"/>
  <c r="CN917" i="15" s="1"/>
  <c r="CD918" i="15"/>
  <c r="CF918" i="15"/>
  <c r="CQ918" i="15" s="1"/>
  <c r="CV918" i="15" s="1"/>
  <c r="CE918" i="15"/>
  <c r="CP918" i="15" s="1"/>
  <c r="CU918" i="15" s="1"/>
  <c r="BQ920" i="15"/>
  <c r="AM351" i="15"/>
  <c r="AN351" i="15" s="1"/>
  <c r="AH352" i="15"/>
  <c r="AK352" i="15" s="1"/>
  <c r="AL352" i="15" s="1"/>
  <c r="AJ351" i="15"/>
  <c r="AG355" i="15"/>
  <c r="AG355" i="17"/>
  <c r="BY919" i="15"/>
  <c r="BX919" i="15"/>
  <c r="CB916" i="15"/>
  <c r="AI358" i="15"/>
  <c r="AI357" i="15"/>
  <c r="AO355" i="15"/>
  <c r="BT920" i="15"/>
  <c r="AI359" i="15"/>
  <c r="CB917" i="15"/>
  <c r="AO354" i="17"/>
  <c r="AP354" i="17"/>
  <c r="BV918" i="15"/>
  <c r="AP354" i="15"/>
  <c r="AI356" i="15"/>
  <c r="BZ919" i="15"/>
  <c r="CH920" i="15"/>
  <c r="BW920" i="15"/>
  <c r="AI355" i="15"/>
  <c r="CS917" i="15" l="1"/>
  <c r="CK907" i="15"/>
  <c r="CO907" i="15"/>
  <c r="CT907" i="15" s="1"/>
  <c r="CI914" i="15"/>
  <c r="CC918" i="15"/>
  <c r="CN918" i="15" s="1"/>
  <c r="CS918" i="15" s="1"/>
  <c r="CF919" i="15"/>
  <c r="CQ919" i="15" s="1"/>
  <c r="CV919" i="15" s="1"/>
  <c r="CE919" i="15"/>
  <c r="CP919" i="15" s="1"/>
  <c r="CU919" i="15" s="1"/>
  <c r="CD919" i="15"/>
  <c r="BQ921" i="15"/>
  <c r="AG356" i="15"/>
  <c r="AG356" i="17"/>
  <c r="BX920" i="15"/>
  <c r="AO355" i="17"/>
  <c r="AH355" i="15"/>
  <c r="CH921" i="15"/>
  <c r="BZ920" i="15"/>
  <c r="AI356" i="17"/>
  <c r="BV919" i="15"/>
  <c r="CK921" i="15"/>
  <c r="AI355" i="17"/>
  <c r="AP355" i="15"/>
  <c r="BY920" i="15"/>
  <c r="AI357" i="17"/>
  <c r="AP355" i="17"/>
  <c r="AI358" i="17"/>
  <c r="AH355" i="17"/>
  <c r="AI359" i="17"/>
  <c r="BT921" i="15"/>
  <c r="BW921" i="15"/>
  <c r="AO356" i="15"/>
  <c r="CI915" i="15" l="1"/>
  <c r="CJ915" i="15" s="1"/>
  <c r="CC919" i="15"/>
  <c r="CN919" i="15" s="1"/>
  <c r="CE920" i="15"/>
  <c r="CP920" i="15" s="1"/>
  <c r="CU920" i="15" s="1"/>
  <c r="CF920" i="15"/>
  <c r="CQ920" i="15" s="1"/>
  <c r="CV920" i="15" s="1"/>
  <c r="CD920" i="15"/>
  <c r="BQ922" i="15"/>
  <c r="AM352" i="15"/>
  <c r="AN352" i="15" s="1"/>
  <c r="AH353" i="15"/>
  <c r="AK353" i="15" s="1"/>
  <c r="AL353" i="15" s="1"/>
  <c r="AJ352" i="15"/>
  <c r="AL355" i="17"/>
  <c r="AM355" i="17" s="1"/>
  <c r="AN355" i="17" s="1"/>
  <c r="AH356" i="17"/>
  <c r="AL358" i="17"/>
  <c r="AM358" i="17" s="1"/>
  <c r="AN358" i="17" s="1"/>
  <c r="AH359" i="17"/>
  <c r="AH358" i="17"/>
  <c r="AL357" i="17"/>
  <c r="AM357" i="17" s="1"/>
  <c r="AN357" i="17" s="1"/>
  <c r="AH357" i="17"/>
  <c r="AL356" i="17"/>
  <c r="AM356" i="17" s="1"/>
  <c r="AN356" i="17" s="1"/>
  <c r="AL359" i="17"/>
  <c r="AM359" i="17" s="1"/>
  <c r="AN359" i="17" s="1"/>
  <c r="AG357" i="17"/>
  <c r="AG357" i="15"/>
  <c r="CB918" i="15"/>
  <c r="AO356" i="17"/>
  <c r="AP356" i="17"/>
  <c r="BY921" i="15"/>
  <c r="AP356" i="15"/>
  <c r="BW922" i="15"/>
  <c r="CH922" i="15"/>
  <c r="BT922" i="15"/>
  <c r="BV920" i="15"/>
  <c r="CB919" i="15"/>
  <c r="BZ921" i="15"/>
  <c r="BX921" i="15"/>
  <c r="AO357" i="15"/>
  <c r="CN920" i="15" l="1"/>
  <c r="CS920" i="15" s="1"/>
  <c r="CS919" i="15"/>
  <c r="CK915" i="15"/>
  <c r="CO915" i="15"/>
  <c r="CT915" i="15" s="1"/>
  <c r="CJ914" i="15"/>
  <c r="CC920" i="15"/>
  <c r="CD921" i="15"/>
  <c r="CO921" i="15" s="1"/>
  <c r="CE921" i="15"/>
  <c r="CP921" i="15" s="1"/>
  <c r="CU921" i="15" s="1"/>
  <c r="CF921" i="15"/>
  <c r="CQ921" i="15" s="1"/>
  <c r="CV921" i="15" s="1"/>
  <c r="BQ923" i="15"/>
  <c r="AJ355" i="15"/>
  <c r="AK355" i="15" s="1"/>
  <c r="AL355" i="15" s="1"/>
  <c r="AH356" i="15"/>
  <c r="AK356" i="15" s="1"/>
  <c r="AL356" i="15" s="1"/>
  <c r="AG358" i="17"/>
  <c r="AG358" i="15"/>
  <c r="BZ922" i="15"/>
  <c r="BX922" i="15"/>
  <c r="AP357" i="15"/>
  <c r="CH923" i="15"/>
  <c r="AP357" i="17"/>
  <c r="CB920" i="15"/>
  <c r="BY922" i="15"/>
  <c r="BW923" i="15"/>
  <c r="AO358" i="15"/>
  <c r="BT923" i="15"/>
  <c r="AO357" i="17"/>
  <c r="BV921" i="15"/>
  <c r="CT916" i="15" l="1"/>
  <c r="CI916" i="15"/>
  <c r="CI917" i="15" s="1"/>
  <c r="CK914" i="15"/>
  <c r="CO914" i="15"/>
  <c r="CT914" i="15" s="1"/>
  <c r="CJ913" i="15"/>
  <c r="CC921" i="15"/>
  <c r="CN921" i="15" s="1"/>
  <c r="CS921" i="15" s="1"/>
  <c r="CD922" i="15"/>
  <c r="CF922" i="15"/>
  <c r="CQ922" i="15" s="1"/>
  <c r="CV922" i="15" s="1"/>
  <c r="CE922" i="15"/>
  <c r="CP922" i="15" s="1"/>
  <c r="CU922" i="15" s="1"/>
  <c r="BQ924" i="15"/>
  <c r="AM353" i="15"/>
  <c r="AN353" i="15" s="1"/>
  <c r="AH354" i="15"/>
  <c r="AK354" i="15" s="1"/>
  <c r="AL354" i="15" s="1"/>
  <c r="AJ353" i="15"/>
  <c r="AG359" i="15"/>
  <c r="AG359" i="17"/>
  <c r="AO358" i="17"/>
  <c r="BV922" i="15"/>
  <c r="AP358" i="15"/>
  <c r="BW924" i="15"/>
  <c r="BT924" i="15"/>
  <c r="CH924" i="15"/>
  <c r="BZ923" i="15"/>
  <c r="AO359" i="15"/>
  <c r="BX923" i="15"/>
  <c r="BY923" i="15"/>
  <c r="AP358" i="17"/>
  <c r="CK913" i="15" l="1"/>
  <c r="CO913" i="15"/>
  <c r="CT913" i="15" s="1"/>
  <c r="CJ912" i="15"/>
  <c r="CI918" i="15"/>
  <c r="CC922" i="15"/>
  <c r="CN922" i="15" s="1"/>
  <c r="CF923" i="15"/>
  <c r="CQ923" i="15" s="1"/>
  <c r="CV923" i="15" s="1"/>
  <c r="CE923" i="15"/>
  <c r="CP923" i="15" s="1"/>
  <c r="CU923" i="15" s="1"/>
  <c r="CD923" i="15"/>
  <c r="BQ925" i="15"/>
  <c r="AJ354" i="15"/>
  <c r="AM354" i="15"/>
  <c r="AN354" i="15" s="1"/>
  <c r="AM355" i="15"/>
  <c r="AN355" i="15" s="1"/>
  <c r="AM356" i="15"/>
  <c r="AN356" i="15" s="1"/>
  <c r="AH357" i="15"/>
  <c r="AK357" i="15" s="1"/>
  <c r="AL357" i="15" s="1"/>
  <c r="AJ356" i="15"/>
  <c r="AG360" i="17"/>
  <c r="AG360" i="15"/>
  <c r="CH925" i="15"/>
  <c r="AO359" i="17"/>
  <c r="AI361" i="15"/>
  <c r="CB922" i="15"/>
  <c r="BY924" i="15"/>
  <c r="AP359" i="17"/>
  <c r="BW925" i="15"/>
  <c r="AI364" i="15"/>
  <c r="AO360" i="15"/>
  <c r="AI363" i="15"/>
  <c r="AI362" i="15"/>
  <c r="CB921" i="15"/>
  <c r="BT925" i="15"/>
  <c r="BZ924" i="15"/>
  <c r="BX924" i="15"/>
  <c r="AP359" i="15"/>
  <c r="AI360" i="15"/>
  <c r="BV923" i="15"/>
  <c r="CS922" i="15" l="1"/>
  <c r="CK912" i="15"/>
  <c r="CO912" i="15"/>
  <c r="CT912" i="15" s="1"/>
  <c r="CI919" i="15"/>
  <c r="CC923" i="15"/>
  <c r="CN923" i="15" s="1"/>
  <c r="CS923" i="15" s="1"/>
  <c r="CE924" i="15"/>
  <c r="CP924" i="15" s="1"/>
  <c r="CU924" i="15" s="1"/>
  <c r="CF924" i="15"/>
  <c r="CQ924" i="15" s="1"/>
  <c r="CV924" i="15" s="1"/>
  <c r="CD924" i="15"/>
  <c r="BQ926" i="15"/>
  <c r="AG361" i="15"/>
  <c r="AG361" i="17"/>
  <c r="AI364" i="17"/>
  <c r="CH926" i="15"/>
  <c r="BT926" i="15"/>
  <c r="BY925" i="15"/>
  <c r="AH360" i="17"/>
  <c r="BV924" i="15"/>
  <c r="CK926" i="15"/>
  <c r="AO361" i="15"/>
  <c r="AI363" i="17"/>
  <c r="CB923" i="15"/>
  <c r="AI362" i="17"/>
  <c r="AI361" i="17"/>
  <c r="AP360" i="17"/>
  <c r="AO360" i="17"/>
  <c r="AI360" i="17"/>
  <c r="AP360" i="15"/>
  <c r="BW926" i="15"/>
  <c r="BZ925" i="15"/>
  <c r="BX925" i="15"/>
  <c r="AH360" i="15"/>
  <c r="CI920" i="15" l="1"/>
  <c r="CJ920" i="15" s="1"/>
  <c r="CJ919" i="15" s="1"/>
  <c r="CC924" i="15"/>
  <c r="CN924" i="15" s="1"/>
  <c r="CD925" i="15"/>
  <c r="CE925" i="15"/>
  <c r="CP925" i="15" s="1"/>
  <c r="CU925" i="15" s="1"/>
  <c r="CF925" i="15"/>
  <c r="CQ925" i="15" s="1"/>
  <c r="CV925" i="15" s="1"/>
  <c r="BQ927" i="15"/>
  <c r="AH358" i="15"/>
  <c r="AK358" i="15" s="1"/>
  <c r="AL358" i="15" s="1"/>
  <c r="AM357" i="15"/>
  <c r="AN357" i="15" s="1"/>
  <c r="AJ357" i="15"/>
  <c r="AH361" i="17"/>
  <c r="AL360" i="17"/>
  <c r="AM360" i="17" s="1"/>
  <c r="AN360" i="17" s="1"/>
  <c r="AL362" i="17"/>
  <c r="AM362" i="17" s="1"/>
  <c r="AN362" i="17" s="1"/>
  <c r="AH363" i="17"/>
  <c r="AL363" i="17"/>
  <c r="AM363" i="17" s="1"/>
  <c r="AN363" i="17" s="1"/>
  <c r="AH364" i="17"/>
  <c r="AL364" i="17"/>
  <c r="AM364" i="17" s="1"/>
  <c r="AN364" i="17" s="1"/>
  <c r="AH362" i="17"/>
  <c r="AL361" i="17"/>
  <c r="AM361" i="17" s="1"/>
  <c r="AN361" i="17" s="1"/>
  <c r="AG362" i="15"/>
  <c r="AG362" i="17"/>
  <c r="AP361" i="15"/>
  <c r="BV925" i="15"/>
  <c r="BY926" i="15"/>
  <c r="CB924" i="15"/>
  <c r="CH927" i="15"/>
  <c r="AO361" i="17"/>
  <c r="AP361" i="17"/>
  <c r="BZ926" i="15"/>
  <c r="BX926" i="15"/>
  <c r="BW927" i="15"/>
  <c r="BT927" i="15"/>
  <c r="AO362" i="15"/>
  <c r="CN925" i="15" l="1"/>
  <c r="CS925" i="15" s="1"/>
  <c r="CS924" i="15"/>
  <c r="CO919" i="15"/>
  <c r="CT919" i="15" s="1"/>
  <c r="CK919" i="15"/>
  <c r="CJ918" i="15"/>
  <c r="CO920" i="15"/>
  <c r="CT920" i="15" s="1"/>
  <c r="CK920" i="15"/>
  <c r="CC925" i="15"/>
  <c r="CD926" i="15"/>
  <c r="CO926" i="15" s="1"/>
  <c r="CF926" i="15"/>
  <c r="CQ926" i="15" s="1"/>
  <c r="CV926" i="15" s="1"/>
  <c r="CE926" i="15"/>
  <c r="CP926" i="15" s="1"/>
  <c r="CU926" i="15" s="1"/>
  <c r="BQ928" i="15"/>
  <c r="AJ360" i="15"/>
  <c r="AK360" i="15" s="1"/>
  <c r="AL360" i="15" s="1"/>
  <c r="AH361" i="15"/>
  <c r="AK361" i="15" s="1"/>
  <c r="AL361" i="15" s="1"/>
  <c r="AG363" i="17"/>
  <c r="AG363" i="15"/>
  <c r="BZ927" i="15"/>
  <c r="AO362" i="17"/>
  <c r="BW928" i="15"/>
  <c r="BT928" i="15"/>
  <c r="AP362" i="17"/>
  <c r="AP362" i="15"/>
  <c r="BV926" i="15"/>
  <c r="CB925" i="15"/>
  <c r="AO363" i="15"/>
  <c r="BY927" i="15"/>
  <c r="CH928" i="15"/>
  <c r="BX927" i="15"/>
  <c r="CT921" i="15" l="1"/>
  <c r="CI921" i="15"/>
  <c r="CI922" i="15" s="1"/>
  <c r="CO918" i="15"/>
  <c r="CT918" i="15" s="1"/>
  <c r="CK918" i="15"/>
  <c r="CJ917" i="15"/>
  <c r="CC926" i="15"/>
  <c r="CN926" i="15" s="1"/>
  <c r="CS926" i="15" s="1"/>
  <c r="CF927" i="15"/>
  <c r="CQ927" i="15" s="1"/>
  <c r="CV927" i="15" s="1"/>
  <c r="CE927" i="15"/>
  <c r="CP927" i="15" s="1"/>
  <c r="CU927" i="15" s="1"/>
  <c r="CD927" i="15"/>
  <c r="BQ929" i="15"/>
  <c r="AH359" i="15"/>
  <c r="AK359" i="15" s="1"/>
  <c r="AL359" i="15" s="1"/>
  <c r="AM358" i="15"/>
  <c r="AN358" i="15" s="1"/>
  <c r="AJ358" i="15"/>
  <c r="AG364" i="17"/>
  <c r="AG364" i="15"/>
  <c r="BZ928" i="15"/>
  <c r="AP363" i="15"/>
  <c r="AO363" i="17"/>
  <c r="AO364" i="15"/>
  <c r="BX928" i="15"/>
  <c r="BY928" i="15"/>
  <c r="BV927" i="15"/>
  <c r="BW929" i="15"/>
  <c r="AP363" i="17"/>
  <c r="CH929" i="15"/>
  <c r="CO917" i="15" l="1"/>
  <c r="CT917" i="15" s="1"/>
  <c r="CK917" i="15"/>
  <c r="CI923" i="15"/>
  <c r="CC927" i="15"/>
  <c r="CN927" i="15" s="1"/>
  <c r="CF928" i="15"/>
  <c r="CQ928" i="15" s="1"/>
  <c r="CV928" i="15" s="1"/>
  <c r="CE928" i="15"/>
  <c r="CP928" i="15" s="1"/>
  <c r="CU928" i="15" s="1"/>
  <c r="CD928" i="15"/>
  <c r="BQ930" i="15"/>
  <c r="AH362" i="15"/>
  <c r="AK362" i="15" s="1"/>
  <c r="AL362" i="15" s="1"/>
  <c r="AM361" i="15"/>
  <c r="AN361" i="15" s="1"/>
  <c r="AJ361" i="15"/>
  <c r="AJ359" i="15"/>
  <c r="AM359" i="15"/>
  <c r="AN359" i="15" s="1"/>
  <c r="AM360" i="15"/>
  <c r="AN360" i="15" s="1"/>
  <c r="AG365" i="15"/>
  <c r="AG365" i="17"/>
  <c r="BT929" i="15"/>
  <c r="BW930" i="15"/>
  <c r="AO364" i="17"/>
  <c r="CB926" i="15"/>
  <c r="AP364" i="17"/>
  <c r="AP364" i="15"/>
  <c r="BX929" i="15"/>
  <c r="BY929" i="15"/>
  <c r="BZ929" i="15"/>
  <c r="BT930" i="15"/>
  <c r="CH930" i="15"/>
  <c r="BV928" i="15"/>
  <c r="AI367" i="15"/>
  <c r="AO365" i="15"/>
  <c r="AI369" i="15"/>
  <c r="CS927" i="15" l="1"/>
  <c r="CI924" i="15"/>
  <c r="CC928" i="15"/>
  <c r="CN928" i="15" s="1"/>
  <c r="CS928" i="15" s="1"/>
  <c r="CD929" i="15"/>
  <c r="CE929" i="15"/>
  <c r="CP929" i="15" s="1"/>
  <c r="CU929" i="15" s="1"/>
  <c r="CF929" i="15"/>
  <c r="CQ929" i="15" s="1"/>
  <c r="CV929" i="15" s="1"/>
  <c r="BQ931" i="15"/>
  <c r="AG366" i="17"/>
  <c r="AG366" i="15"/>
  <c r="AI366" i="15"/>
  <c r="BX930" i="15"/>
  <c r="CB927" i="15"/>
  <c r="AP365" i="15"/>
  <c r="BY930" i="15"/>
  <c r="AI365" i="15"/>
  <c r="AI369" i="17"/>
  <c r="AO365" i="17"/>
  <c r="AI365" i="17"/>
  <c r="AH365" i="17"/>
  <c r="AI368" i="15"/>
  <c r="BV929" i="15"/>
  <c r="AI367" i="17"/>
  <c r="BW931" i="15"/>
  <c r="AH365" i="15"/>
  <c r="BZ930" i="15"/>
  <c r="AI368" i="17"/>
  <c r="AI366" i="17"/>
  <c r="CH931" i="15"/>
  <c r="CK931" i="15"/>
  <c r="AP365" i="17"/>
  <c r="AO366" i="15"/>
  <c r="BT931" i="15"/>
  <c r="CI925" i="15" l="1"/>
  <c r="CJ925" i="15" s="1"/>
  <c r="CJ924" i="15" s="1"/>
  <c r="CC929" i="15"/>
  <c r="CN929" i="15" s="1"/>
  <c r="CF930" i="15"/>
  <c r="CQ930" i="15" s="1"/>
  <c r="CV930" i="15" s="1"/>
  <c r="CD930" i="15"/>
  <c r="CE930" i="15"/>
  <c r="CP930" i="15" s="1"/>
  <c r="CU930" i="15" s="1"/>
  <c r="BQ932" i="15"/>
  <c r="AH363" i="15"/>
  <c r="AK363" i="15" s="1"/>
  <c r="AL363" i="15" s="1"/>
  <c r="AM362" i="15"/>
  <c r="AN362" i="15" s="1"/>
  <c r="AJ362" i="15"/>
  <c r="AL369" i="17"/>
  <c r="AM369" i="17" s="1"/>
  <c r="AN369" i="17" s="1"/>
  <c r="AH369" i="17"/>
  <c r="AL368" i="17"/>
  <c r="AM368" i="17" s="1"/>
  <c r="AN368" i="17" s="1"/>
  <c r="AL367" i="17"/>
  <c r="AM367" i="17" s="1"/>
  <c r="AN367" i="17" s="1"/>
  <c r="AH368" i="17"/>
  <c r="AH366" i="17"/>
  <c r="AL365" i="17"/>
  <c r="AM365" i="17" s="1"/>
  <c r="AN365" i="17" s="1"/>
  <c r="AL366" i="17"/>
  <c r="AM366" i="17" s="1"/>
  <c r="AN366" i="17" s="1"/>
  <c r="AH367" i="17"/>
  <c r="AG367" i="15"/>
  <c r="AG367" i="17"/>
  <c r="CB928" i="15"/>
  <c r="BW932" i="15"/>
  <c r="CB929" i="15"/>
  <c r="BZ931" i="15"/>
  <c r="BT932" i="15"/>
  <c r="BY931" i="15"/>
  <c r="CH932" i="15"/>
  <c r="BV930" i="15"/>
  <c r="AO367" i="15"/>
  <c r="BX931" i="15"/>
  <c r="AO366" i="17"/>
  <c r="AP366" i="17"/>
  <c r="AP366" i="15"/>
  <c r="CN930" i="15" l="1"/>
  <c r="CS930" i="15" s="1"/>
  <c r="CS929" i="15"/>
  <c r="CO924" i="15"/>
  <c r="CT924" i="15" s="1"/>
  <c r="CK924" i="15"/>
  <c r="CJ923" i="15"/>
  <c r="CO925" i="15"/>
  <c r="CT925" i="15" s="1"/>
  <c r="CK925" i="15"/>
  <c r="CC930" i="15"/>
  <c r="CF931" i="15"/>
  <c r="CQ931" i="15" s="1"/>
  <c r="CV931" i="15" s="1"/>
  <c r="CE931" i="15"/>
  <c r="CP931" i="15" s="1"/>
  <c r="CU931" i="15" s="1"/>
  <c r="CD931" i="15"/>
  <c r="CO931" i="15" s="1"/>
  <c r="BQ933" i="15"/>
  <c r="AJ365" i="15"/>
  <c r="AK365" i="15" s="1"/>
  <c r="AL365" i="15" s="1"/>
  <c r="AH366" i="15"/>
  <c r="AK366" i="15" s="1"/>
  <c r="AL366" i="15" s="1"/>
  <c r="AG368" i="15"/>
  <c r="AG368" i="17"/>
  <c r="AP367" i="17"/>
  <c r="BW933" i="15"/>
  <c r="CH933" i="15"/>
  <c r="CB930" i="15"/>
  <c r="BV931" i="15"/>
  <c r="AO368" i="15"/>
  <c r="BY932" i="15"/>
  <c r="AP367" i="15"/>
  <c r="BZ932" i="15"/>
  <c r="BT933" i="15"/>
  <c r="AO367" i="17"/>
  <c r="BX932" i="15"/>
  <c r="CT926" i="15" l="1"/>
  <c r="CI926" i="15"/>
  <c r="CI927" i="15" s="1"/>
  <c r="CO923" i="15"/>
  <c r="CT923" i="15" s="1"/>
  <c r="CK923" i="15"/>
  <c r="CJ922" i="15"/>
  <c r="CC931" i="15"/>
  <c r="CN931" i="15" s="1"/>
  <c r="CS931" i="15" s="1"/>
  <c r="CF932" i="15"/>
  <c r="CQ932" i="15" s="1"/>
  <c r="CV932" i="15" s="1"/>
  <c r="CE932" i="15"/>
  <c r="CP932" i="15" s="1"/>
  <c r="CU932" i="15" s="1"/>
  <c r="CD932" i="15"/>
  <c r="BQ934" i="15"/>
  <c r="AM363" i="15"/>
  <c r="AN363" i="15" s="1"/>
  <c r="AH364" i="15"/>
  <c r="AK364" i="15" s="1"/>
  <c r="AL364" i="15" s="1"/>
  <c r="AJ363" i="15"/>
  <c r="AG369" i="15"/>
  <c r="AG369" i="17"/>
  <c r="AO368" i="17"/>
  <c r="AO369" i="15"/>
  <c r="BV932" i="15"/>
  <c r="CH934" i="15"/>
  <c r="BZ933" i="15"/>
  <c r="BY933" i="15"/>
  <c r="AP368" i="15"/>
  <c r="BW934" i="15"/>
  <c r="BT934" i="15"/>
  <c r="BX933" i="15"/>
  <c r="AP368" i="17"/>
  <c r="CO922" i="15" l="1"/>
  <c r="CT922" i="15" s="1"/>
  <c r="CK922" i="15"/>
  <c r="CI928" i="15"/>
  <c r="CC932" i="15"/>
  <c r="CN932" i="15" s="1"/>
  <c r="CD933" i="15"/>
  <c r="CE933" i="15"/>
  <c r="CP933" i="15" s="1"/>
  <c r="CU933" i="15" s="1"/>
  <c r="CF933" i="15"/>
  <c r="CQ933" i="15" s="1"/>
  <c r="CV933" i="15" s="1"/>
  <c r="BQ935" i="15"/>
  <c r="AJ364" i="15"/>
  <c r="AM364" i="15"/>
  <c r="AN364" i="15" s="1"/>
  <c r="AM365" i="15"/>
  <c r="AN365" i="15" s="1"/>
  <c r="AM366" i="15"/>
  <c r="AN366" i="15" s="1"/>
  <c r="AH367" i="15"/>
  <c r="AK367" i="15" s="1"/>
  <c r="AL367" i="15" s="1"/>
  <c r="AJ366" i="15"/>
  <c r="AG370" i="17"/>
  <c r="AG370" i="15"/>
  <c r="CB931" i="15"/>
  <c r="AI372" i="15"/>
  <c r="BY934" i="15"/>
  <c r="AI370" i="15"/>
  <c r="AO369" i="17"/>
  <c r="BV933" i="15"/>
  <c r="BX934" i="15"/>
  <c r="AP369" i="17"/>
  <c r="CH935" i="15"/>
  <c r="BW935" i="15"/>
  <c r="AI374" i="15"/>
  <c r="BT935" i="15"/>
  <c r="BZ934" i="15"/>
  <c r="AI371" i="15"/>
  <c r="AP369" i="15"/>
  <c r="AI373" i="15"/>
  <c r="AO370" i="15"/>
  <c r="CS932" i="15" l="1"/>
  <c r="CI929" i="15"/>
  <c r="CC933" i="15"/>
  <c r="CN933" i="15" s="1"/>
  <c r="CS933" i="15" s="1"/>
  <c r="CD934" i="15"/>
  <c r="CF934" i="15"/>
  <c r="CQ934" i="15" s="1"/>
  <c r="CV934" i="15" s="1"/>
  <c r="CE934" i="15"/>
  <c r="CP934" i="15" s="1"/>
  <c r="CU934" i="15" s="1"/>
  <c r="BQ936" i="15"/>
  <c r="AG371" i="17"/>
  <c r="AG371" i="15"/>
  <c r="AI374" i="17"/>
  <c r="BW936" i="15"/>
  <c r="AP370" i="15"/>
  <c r="CK936" i="15"/>
  <c r="BZ935" i="15"/>
  <c r="AO371" i="15"/>
  <c r="AI373" i="17"/>
  <c r="BV934" i="15"/>
  <c r="BX935" i="15"/>
  <c r="AO370" i="17"/>
  <c r="AH370" i="17"/>
  <c r="AI371" i="17"/>
  <c r="BY935" i="15"/>
  <c r="AH370" i="15"/>
  <c r="AI370" i="17"/>
  <c r="CB932" i="15"/>
  <c r="AP370" i="17"/>
  <c r="AI372" i="17"/>
  <c r="BT936" i="15"/>
  <c r="CI930" i="15" l="1"/>
  <c r="CJ930" i="15" s="1"/>
  <c r="CC934" i="15"/>
  <c r="CN934" i="15" s="1"/>
  <c r="CF935" i="15"/>
  <c r="CQ935" i="15" s="1"/>
  <c r="CV935" i="15" s="1"/>
  <c r="CE935" i="15"/>
  <c r="CP935" i="15" s="1"/>
  <c r="CU935" i="15" s="1"/>
  <c r="CD935" i="15"/>
  <c r="BQ937" i="15"/>
  <c r="AH368" i="15"/>
  <c r="AK368" i="15" s="1"/>
  <c r="AL368" i="15" s="1"/>
  <c r="AM367" i="15"/>
  <c r="AN367" i="15" s="1"/>
  <c r="AJ367" i="15"/>
  <c r="AH373" i="17"/>
  <c r="AL372" i="17"/>
  <c r="AM372" i="17" s="1"/>
  <c r="AN372" i="17" s="1"/>
  <c r="AL371" i="17"/>
  <c r="AM371" i="17" s="1"/>
  <c r="AN371" i="17" s="1"/>
  <c r="AH372" i="17"/>
  <c r="AL370" i="17"/>
  <c r="AM370" i="17" s="1"/>
  <c r="AN370" i="17" s="1"/>
  <c r="AH371" i="17"/>
  <c r="AH374" i="17"/>
  <c r="AL373" i="17"/>
  <c r="AM373" i="17" s="1"/>
  <c r="AN373" i="17" s="1"/>
  <c r="AL374" i="17"/>
  <c r="AM374" i="17" s="1"/>
  <c r="AN374" i="17" s="1"/>
  <c r="AG372" i="17"/>
  <c r="AG372" i="15"/>
  <c r="CH936" i="15"/>
  <c r="AP371" i="17"/>
  <c r="BT937" i="15"/>
  <c r="AO371" i="17"/>
  <c r="CH937" i="15"/>
  <c r="AO372" i="15"/>
  <c r="BZ936" i="15"/>
  <c r="BY936" i="15"/>
  <c r="BW937" i="15"/>
  <c r="AP371" i="15"/>
  <c r="BV935" i="15"/>
  <c r="CB933" i="15"/>
  <c r="BX936" i="15"/>
  <c r="CN935" i="15" l="1"/>
  <c r="CS935" i="15" s="1"/>
  <c r="CS934" i="15"/>
  <c r="CK930" i="15"/>
  <c r="CO930" i="15"/>
  <c r="CT930" i="15" s="1"/>
  <c r="CJ929" i="15"/>
  <c r="CC935" i="15"/>
  <c r="CE936" i="15"/>
  <c r="CP936" i="15" s="1"/>
  <c r="CU936" i="15" s="1"/>
  <c r="CF936" i="15"/>
  <c r="CQ936" i="15" s="1"/>
  <c r="CV936" i="15" s="1"/>
  <c r="CD936" i="15"/>
  <c r="CO936" i="15" s="1"/>
  <c r="BQ938" i="15"/>
  <c r="AJ370" i="15"/>
  <c r="AK370" i="15" s="1"/>
  <c r="AL370" i="15" s="1"/>
  <c r="AH371" i="15"/>
  <c r="AK371" i="15" s="1"/>
  <c r="AL371" i="15" s="1"/>
  <c r="AG373" i="15"/>
  <c r="AG373" i="17"/>
  <c r="CH938" i="15"/>
  <c r="BV936" i="15"/>
  <c r="AO373" i="15"/>
  <c r="BW938" i="15"/>
  <c r="AO372" i="17"/>
  <c r="AP372" i="17"/>
  <c r="BZ937" i="15"/>
  <c r="CB934" i="15"/>
  <c r="BT938" i="15"/>
  <c r="BY937" i="15"/>
  <c r="AP372" i="15"/>
  <c r="BX937" i="15"/>
  <c r="CB935" i="15"/>
  <c r="CT931" i="15" l="1"/>
  <c r="CI931" i="15"/>
  <c r="CI932" i="15" s="1"/>
  <c r="CK929" i="15"/>
  <c r="CO929" i="15"/>
  <c r="CT929" i="15" s="1"/>
  <c r="CJ928" i="15"/>
  <c r="CC936" i="15"/>
  <c r="CN936" i="15" s="1"/>
  <c r="CS936" i="15" s="1"/>
  <c r="CD937" i="15"/>
  <c r="CE937" i="15"/>
  <c r="CP937" i="15" s="1"/>
  <c r="CU937" i="15" s="1"/>
  <c r="CF937" i="15"/>
  <c r="CQ937" i="15" s="1"/>
  <c r="CV937" i="15" s="1"/>
  <c r="BQ939" i="15"/>
  <c r="AH369" i="15"/>
  <c r="AK369" i="15" s="1"/>
  <c r="AL369" i="15" s="1"/>
  <c r="AM368" i="15"/>
  <c r="AN368" i="15" s="1"/>
  <c r="AJ368" i="15"/>
  <c r="AG374" i="17"/>
  <c r="AG374" i="15"/>
  <c r="BT939" i="15"/>
  <c r="BZ938" i="15"/>
  <c r="AP373" i="15"/>
  <c r="AO374" i="15"/>
  <c r="BX938" i="15"/>
  <c r="BV937" i="15"/>
  <c r="AO373" i="17"/>
  <c r="BY938" i="15"/>
  <c r="BW939" i="15"/>
  <c r="CH939" i="15"/>
  <c r="AP373" i="17"/>
  <c r="CK928" i="15" l="1"/>
  <c r="CO928" i="15"/>
  <c r="CT928" i="15" s="1"/>
  <c r="CJ927" i="15"/>
  <c r="CI933" i="15"/>
  <c r="CC937" i="15"/>
  <c r="CN937" i="15" s="1"/>
  <c r="CD938" i="15"/>
  <c r="CF938" i="15"/>
  <c r="CQ938" i="15" s="1"/>
  <c r="CV938" i="15" s="1"/>
  <c r="CE938" i="15"/>
  <c r="CP938" i="15" s="1"/>
  <c r="CU938" i="15" s="1"/>
  <c r="BQ940" i="15"/>
  <c r="AM371" i="15"/>
  <c r="AN371" i="15" s="1"/>
  <c r="AH372" i="15"/>
  <c r="AK372" i="15" s="1"/>
  <c r="AL372" i="15" s="1"/>
  <c r="AJ371" i="15"/>
  <c r="AJ369" i="15"/>
  <c r="AM369" i="15"/>
  <c r="AN369" i="15" s="1"/>
  <c r="AM370" i="15"/>
  <c r="AN370" i="15" s="1"/>
  <c r="AG375" i="17"/>
  <c r="AG375" i="15"/>
  <c r="AI377" i="15"/>
  <c r="CB937" i="15"/>
  <c r="BT940" i="15"/>
  <c r="AI376" i="15"/>
  <c r="BW940" i="15"/>
  <c r="AO375" i="15"/>
  <c r="AI378" i="15"/>
  <c r="AI379" i="15"/>
  <c r="AP374" i="15"/>
  <c r="BV938" i="15"/>
  <c r="AO374" i="17"/>
  <c r="CH940" i="15"/>
  <c r="AI375" i="15"/>
  <c r="CB936" i="15"/>
  <c r="BX939" i="15"/>
  <c r="BZ939" i="15"/>
  <c r="AP374" i="17"/>
  <c r="BY939" i="15"/>
  <c r="CS937" i="15" l="1"/>
  <c r="CK927" i="15"/>
  <c r="CO927" i="15"/>
  <c r="CT927" i="15" s="1"/>
  <c r="CI934" i="15"/>
  <c r="CC938" i="15"/>
  <c r="CN938" i="15" s="1"/>
  <c r="CS938" i="15" s="1"/>
  <c r="CF939" i="15"/>
  <c r="CQ939" i="15" s="1"/>
  <c r="CV939" i="15" s="1"/>
  <c r="CE939" i="15"/>
  <c r="CP939" i="15" s="1"/>
  <c r="CU939" i="15" s="1"/>
  <c r="CD939" i="15"/>
  <c r="BQ941" i="15"/>
  <c r="AG376" i="17"/>
  <c r="AG376" i="15"/>
  <c r="CH941" i="15"/>
  <c r="BZ940" i="15"/>
  <c r="BW941" i="15"/>
  <c r="AO375" i="17"/>
  <c r="BY940" i="15"/>
  <c r="AH375" i="17"/>
  <c r="AP375" i="15"/>
  <c r="BT941" i="15"/>
  <c r="AI379" i="17"/>
  <c r="CK941" i="15"/>
  <c r="AI376" i="17"/>
  <c r="AI377" i="17"/>
  <c r="AH375" i="15"/>
  <c r="AI375" i="17"/>
  <c r="AP375" i="17"/>
  <c r="AO376" i="15"/>
  <c r="BV939" i="15"/>
  <c r="AI378" i="17"/>
  <c r="BX940" i="15"/>
  <c r="CI935" i="15" l="1"/>
  <c r="CJ935" i="15" s="1"/>
  <c r="CC939" i="15"/>
  <c r="CN939" i="15" s="1"/>
  <c r="CF940" i="15"/>
  <c r="CQ940" i="15" s="1"/>
  <c r="CV940" i="15" s="1"/>
  <c r="CE940" i="15"/>
  <c r="CP940" i="15" s="1"/>
  <c r="CU940" i="15" s="1"/>
  <c r="CD940" i="15"/>
  <c r="BQ942" i="15"/>
  <c r="AH373" i="15"/>
  <c r="AK373" i="15" s="1"/>
  <c r="AL373" i="15" s="1"/>
  <c r="AM372" i="15"/>
  <c r="AN372" i="15" s="1"/>
  <c r="AJ372" i="15"/>
  <c r="AH377" i="17"/>
  <c r="AL376" i="17"/>
  <c r="AM376" i="17" s="1"/>
  <c r="AN376" i="17" s="1"/>
  <c r="AL379" i="17"/>
  <c r="AM379" i="17" s="1"/>
  <c r="AN379" i="17" s="1"/>
  <c r="AH378" i="17"/>
  <c r="AL377" i="17"/>
  <c r="AM377" i="17" s="1"/>
  <c r="AN377" i="17" s="1"/>
  <c r="AL375" i="17"/>
  <c r="AM375" i="17" s="1"/>
  <c r="AN375" i="17" s="1"/>
  <c r="AH376" i="17"/>
  <c r="AL378" i="17"/>
  <c r="AM378" i="17" s="1"/>
  <c r="AN378" i="17" s="1"/>
  <c r="AH379" i="17"/>
  <c r="AG377" i="17"/>
  <c r="AG377" i="15"/>
  <c r="CB938" i="15"/>
  <c r="CB939" i="15"/>
  <c r="AO376" i="17"/>
  <c r="AP376" i="15"/>
  <c r="AP376" i="17"/>
  <c r="AO377" i="15"/>
  <c r="BV940" i="15"/>
  <c r="BX941" i="15"/>
  <c r="BZ941" i="15"/>
  <c r="BY941" i="15"/>
  <c r="CH942" i="15"/>
  <c r="BW942" i="15"/>
  <c r="BT942" i="15"/>
  <c r="CN940" i="15" l="1"/>
  <c r="CS940" i="15" s="1"/>
  <c r="CS939" i="15"/>
  <c r="CK935" i="15"/>
  <c r="CO935" i="15"/>
  <c r="CT935" i="15" s="1"/>
  <c r="CJ934" i="15"/>
  <c r="CC940" i="15"/>
  <c r="CD941" i="15"/>
  <c r="CO941" i="15" s="1"/>
  <c r="CE941" i="15"/>
  <c r="CP941" i="15" s="1"/>
  <c r="CU941" i="15" s="1"/>
  <c r="CF941" i="15"/>
  <c r="CQ941" i="15" s="1"/>
  <c r="CV941" i="15" s="1"/>
  <c r="BQ943" i="15"/>
  <c r="AH376" i="15"/>
  <c r="AK376" i="15" s="1"/>
  <c r="AL376" i="15" s="1"/>
  <c r="AJ375" i="15"/>
  <c r="AK375" i="15" s="1"/>
  <c r="AL375" i="15" s="1"/>
  <c r="AG378" i="17"/>
  <c r="AG378" i="15"/>
  <c r="BX942" i="15"/>
  <c r="AO377" i="17"/>
  <c r="CB940" i="15"/>
  <c r="BZ942" i="15"/>
  <c r="BW943" i="15"/>
  <c r="BT943" i="15"/>
  <c r="AP377" i="15"/>
  <c r="CH943" i="15"/>
  <c r="BV941" i="15"/>
  <c r="BY942" i="15"/>
  <c r="AO378" i="15"/>
  <c r="AP377" i="17"/>
  <c r="CT936" i="15" l="1"/>
  <c r="CI936" i="15"/>
  <c r="CI937" i="15" s="1"/>
  <c r="CK934" i="15"/>
  <c r="CO934" i="15"/>
  <c r="CT934" i="15" s="1"/>
  <c r="CJ933" i="15"/>
  <c r="CC941" i="15"/>
  <c r="CN941" i="15" s="1"/>
  <c r="CS941" i="15" s="1"/>
  <c r="CD942" i="15"/>
  <c r="CF942" i="15"/>
  <c r="CQ942" i="15" s="1"/>
  <c r="CV942" i="15" s="1"/>
  <c r="CE942" i="15"/>
  <c r="CP942" i="15" s="1"/>
  <c r="CU942" i="15" s="1"/>
  <c r="BQ944" i="15"/>
  <c r="AM373" i="15"/>
  <c r="AN373" i="15" s="1"/>
  <c r="AH374" i="15"/>
  <c r="AK374" i="15" s="1"/>
  <c r="AL374" i="15" s="1"/>
  <c r="AJ373" i="15"/>
  <c r="AG379" i="15"/>
  <c r="AG379" i="17"/>
  <c r="CH944" i="15"/>
  <c r="AP378" i="15"/>
  <c r="BV942" i="15"/>
  <c r="BZ943" i="15"/>
  <c r="BY943" i="15"/>
  <c r="AP378" i="17"/>
  <c r="BW944" i="15"/>
  <c r="AO379" i="15"/>
  <c r="AO378" i="17"/>
  <c r="BX943" i="15"/>
  <c r="BT944" i="15"/>
  <c r="CK933" i="15" l="1"/>
  <c r="CO933" i="15"/>
  <c r="CT933" i="15" s="1"/>
  <c r="CJ932" i="15"/>
  <c r="CI938" i="15"/>
  <c r="CC942" i="15"/>
  <c r="CN942" i="15" s="1"/>
  <c r="CF943" i="15"/>
  <c r="CQ943" i="15" s="1"/>
  <c r="CV943" i="15" s="1"/>
  <c r="CE943" i="15"/>
  <c r="CP943" i="15" s="1"/>
  <c r="CU943" i="15" s="1"/>
  <c r="CD943" i="15"/>
  <c r="BQ945" i="15"/>
  <c r="AJ374" i="15"/>
  <c r="AM374" i="15"/>
  <c r="AN374" i="15" s="1"/>
  <c r="AM375" i="15"/>
  <c r="AN375" i="15" s="1"/>
  <c r="AH377" i="15"/>
  <c r="AK377" i="15" s="1"/>
  <c r="AL377" i="15" s="1"/>
  <c r="AM376" i="15"/>
  <c r="AN376" i="15" s="1"/>
  <c r="AJ376" i="15"/>
  <c r="AG380" i="15"/>
  <c r="AG380" i="17"/>
  <c r="BT945" i="15"/>
  <c r="AP379" i="17"/>
  <c r="AP379" i="15"/>
  <c r="AI381" i="15"/>
  <c r="CB942" i="15"/>
  <c r="BX944" i="15"/>
  <c r="AI384" i="15"/>
  <c r="AO380" i="15"/>
  <c r="AI383" i="15"/>
  <c r="AI382" i="15"/>
  <c r="BY944" i="15"/>
  <c r="AI380" i="15"/>
  <c r="BV943" i="15"/>
  <c r="CB941" i="15"/>
  <c r="BZ944" i="15"/>
  <c r="CH945" i="15"/>
  <c r="BW945" i="15"/>
  <c r="AO379" i="17"/>
  <c r="CS942" i="15" l="1"/>
  <c r="CK932" i="15"/>
  <c r="CO932" i="15"/>
  <c r="CT932" i="15" s="1"/>
  <c r="CI939" i="15"/>
  <c r="CC943" i="15"/>
  <c r="CN943" i="15" s="1"/>
  <c r="CS943" i="15" s="1"/>
  <c r="CF944" i="15"/>
  <c r="CQ944" i="15" s="1"/>
  <c r="CV944" i="15" s="1"/>
  <c r="CE944" i="15"/>
  <c r="CP944" i="15" s="1"/>
  <c r="CU944" i="15" s="1"/>
  <c r="CD944" i="15"/>
  <c r="BQ946" i="15"/>
  <c r="AM377" i="15"/>
  <c r="AN377" i="15" s="1"/>
  <c r="AH378" i="15"/>
  <c r="AK378" i="15" s="1"/>
  <c r="AL378" i="15" s="1"/>
  <c r="AJ377" i="15"/>
  <c r="AG381" i="15"/>
  <c r="AG381" i="17"/>
  <c r="CK946" i="15"/>
  <c r="AP380" i="15"/>
  <c r="BX945" i="15"/>
  <c r="AI384" i="17"/>
  <c r="BV944" i="15"/>
  <c r="AH380" i="15"/>
  <c r="AI383" i="17"/>
  <c r="AH380" i="17"/>
  <c r="BT946" i="15"/>
  <c r="CB943" i="15"/>
  <c r="CH946" i="15"/>
  <c r="AI380" i="17"/>
  <c r="AO380" i="17"/>
  <c r="BZ945" i="15"/>
  <c r="AI381" i="17"/>
  <c r="BW946" i="15"/>
  <c r="BY945" i="15"/>
  <c r="AO381" i="15"/>
  <c r="AI382" i="17"/>
  <c r="AP380" i="17"/>
  <c r="CI940" i="15" l="1"/>
  <c r="CJ940" i="15" s="1"/>
  <c r="CJ939" i="15" s="1"/>
  <c r="CC944" i="15"/>
  <c r="CN944" i="15" s="1"/>
  <c r="CF945" i="15"/>
  <c r="CQ945" i="15" s="1"/>
  <c r="CV945" i="15" s="1"/>
  <c r="CE945" i="15"/>
  <c r="CP945" i="15" s="1"/>
  <c r="CU945" i="15" s="1"/>
  <c r="CD945" i="15"/>
  <c r="BQ947" i="15"/>
  <c r="AH381" i="17"/>
  <c r="AL380" i="17"/>
  <c r="AM380" i="17" s="1"/>
  <c r="AN380" i="17" s="1"/>
  <c r="AL383" i="17"/>
  <c r="AM383" i="17" s="1"/>
  <c r="AN383" i="17" s="1"/>
  <c r="AH384" i="17"/>
  <c r="AL384" i="17"/>
  <c r="AM384" i="17" s="1"/>
  <c r="AN384" i="17" s="1"/>
  <c r="AL382" i="17"/>
  <c r="AM382" i="17" s="1"/>
  <c r="AN382" i="17" s="1"/>
  <c r="AH383" i="17"/>
  <c r="AH382" i="17"/>
  <c r="AL381" i="17"/>
  <c r="AM381" i="17" s="1"/>
  <c r="AN381" i="17" s="1"/>
  <c r="AG382" i="17"/>
  <c r="AG382" i="15"/>
  <c r="BX946" i="15"/>
  <c r="AP381" i="17"/>
  <c r="BZ946" i="15"/>
  <c r="AO381" i="17"/>
  <c r="BV945" i="15"/>
  <c r="BW947" i="15"/>
  <c r="BY946" i="15"/>
  <c r="AP381" i="15"/>
  <c r="BT947" i="15"/>
  <c r="CH947" i="15"/>
  <c r="CB944" i="15"/>
  <c r="AO382" i="15"/>
  <c r="CN945" i="15" l="1"/>
  <c r="CS945" i="15" s="1"/>
  <c r="CS944" i="15"/>
  <c r="CO939" i="15"/>
  <c r="CT939" i="15" s="1"/>
  <c r="CK939" i="15"/>
  <c r="CJ938" i="15"/>
  <c r="CO940" i="15"/>
  <c r="CT940" i="15" s="1"/>
  <c r="CK940" i="15"/>
  <c r="CC945" i="15"/>
  <c r="CD946" i="15"/>
  <c r="CO946" i="15" s="1"/>
  <c r="CE946" i="15"/>
  <c r="CP946" i="15" s="1"/>
  <c r="CU946" i="15" s="1"/>
  <c r="CF946" i="15"/>
  <c r="CQ946" i="15" s="1"/>
  <c r="CV946" i="15" s="1"/>
  <c r="BQ948" i="15"/>
  <c r="AH379" i="15"/>
  <c r="AK379" i="15" s="1"/>
  <c r="AL379" i="15" s="1"/>
  <c r="AM378" i="15"/>
  <c r="AN378" i="15" s="1"/>
  <c r="AJ378" i="15"/>
  <c r="AH381" i="15"/>
  <c r="AK381" i="15" s="1"/>
  <c r="AL381" i="15" s="1"/>
  <c r="AJ380" i="15"/>
  <c r="AK380" i="15" s="1"/>
  <c r="AL380" i="15" s="1"/>
  <c r="AG383" i="15"/>
  <c r="AG383" i="17"/>
  <c r="AP382" i="17"/>
  <c r="BX947" i="15"/>
  <c r="CB945" i="15"/>
  <c r="BW948" i="15"/>
  <c r="AO382" i="17"/>
  <c r="CH948" i="15"/>
  <c r="BV946" i="15"/>
  <c r="AP382" i="15"/>
  <c r="BT948" i="15"/>
  <c r="BZ947" i="15"/>
  <c r="BY947" i="15"/>
  <c r="AO383" i="15"/>
  <c r="CT941" i="15" l="1"/>
  <c r="CI941" i="15"/>
  <c r="CI942" i="15" s="1"/>
  <c r="CO938" i="15"/>
  <c r="CT938" i="15" s="1"/>
  <c r="CK938" i="15"/>
  <c r="CJ937" i="15"/>
  <c r="CC946" i="15"/>
  <c r="CN946" i="15" s="1"/>
  <c r="CS946" i="15" s="1"/>
  <c r="CD947" i="15"/>
  <c r="CF947" i="15"/>
  <c r="CQ947" i="15" s="1"/>
  <c r="CV947" i="15" s="1"/>
  <c r="CE947" i="15"/>
  <c r="CP947" i="15" s="1"/>
  <c r="CU947" i="15" s="1"/>
  <c r="BQ949" i="15"/>
  <c r="AJ379" i="15"/>
  <c r="AM379" i="15"/>
  <c r="AN379" i="15" s="1"/>
  <c r="AM380" i="15"/>
  <c r="AN380" i="15" s="1"/>
  <c r="AG384" i="15"/>
  <c r="AG384" i="17"/>
  <c r="BV947" i="15"/>
  <c r="BT949" i="15"/>
  <c r="AP383" i="15"/>
  <c r="BX948" i="15"/>
  <c r="BZ948" i="15"/>
  <c r="BW949" i="15"/>
  <c r="AO383" i="17"/>
  <c r="AO384" i="15"/>
  <c r="AP383" i="17"/>
  <c r="BY948" i="15"/>
  <c r="CH949" i="15"/>
  <c r="CB946" i="15"/>
  <c r="CO937" i="15" l="1"/>
  <c r="CT937" i="15" s="1"/>
  <c r="CK937" i="15"/>
  <c r="CI943" i="15"/>
  <c r="CC947" i="15"/>
  <c r="CN947" i="15" s="1"/>
  <c r="CF948" i="15"/>
  <c r="CQ948" i="15" s="1"/>
  <c r="CV948" i="15" s="1"/>
  <c r="CE948" i="15"/>
  <c r="CP948" i="15" s="1"/>
  <c r="CU948" i="15" s="1"/>
  <c r="CD948" i="15"/>
  <c r="BQ950" i="15"/>
  <c r="AM381" i="15"/>
  <c r="AN381" i="15" s="1"/>
  <c r="AH382" i="15"/>
  <c r="AK382" i="15" s="1"/>
  <c r="AL382" i="15" s="1"/>
  <c r="AJ381" i="15"/>
  <c r="AG385" i="15"/>
  <c r="AG385" i="17"/>
  <c r="AP384" i="17"/>
  <c r="BY949" i="15"/>
  <c r="AO385" i="15"/>
  <c r="CH950" i="15"/>
  <c r="AI388" i="15"/>
  <c r="AI386" i="15"/>
  <c r="AI385" i="15"/>
  <c r="BZ949" i="15"/>
  <c r="AO384" i="17"/>
  <c r="BT950" i="15"/>
  <c r="AI387" i="15"/>
  <c r="BX949" i="15"/>
  <c r="AI389" i="15"/>
  <c r="BV948" i="15"/>
  <c r="BW950" i="15"/>
  <c r="AP384" i="15"/>
  <c r="CS947" i="15" l="1"/>
  <c r="CI944" i="15"/>
  <c r="CC948" i="15"/>
  <c r="CN948" i="15" s="1"/>
  <c r="CS948" i="15" s="1"/>
  <c r="CE949" i="15"/>
  <c r="CP949" i="15" s="1"/>
  <c r="CU949" i="15" s="1"/>
  <c r="CF949" i="15"/>
  <c r="CQ949" i="15" s="1"/>
  <c r="CV949" i="15" s="1"/>
  <c r="CD949" i="15"/>
  <c r="BQ951" i="15"/>
  <c r="AG386" i="17"/>
  <c r="AG386" i="15"/>
  <c r="CB947" i="15"/>
  <c r="BZ950" i="15"/>
  <c r="CH951" i="15"/>
  <c r="AI387" i="17"/>
  <c r="BW951" i="15"/>
  <c r="AP385" i="15"/>
  <c r="AH385" i="15"/>
  <c r="AO385" i="17"/>
  <c r="AI388" i="17"/>
  <c r="AI386" i="17"/>
  <c r="AI389" i="17"/>
  <c r="BT951" i="15"/>
  <c r="CK951" i="15"/>
  <c r="AP385" i="17"/>
  <c r="BY950" i="15"/>
  <c r="AI385" i="17"/>
  <c r="AO386" i="15"/>
  <c r="BV949" i="15"/>
  <c r="AH385" i="17"/>
  <c r="BX950" i="15"/>
  <c r="CI945" i="15" l="1"/>
  <c r="CJ945" i="15" s="1"/>
  <c r="CJ944" i="15" s="1"/>
  <c r="CC949" i="15"/>
  <c r="CN949" i="15" s="1"/>
  <c r="CD950" i="15"/>
  <c r="CE950" i="15"/>
  <c r="CP950" i="15" s="1"/>
  <c r="CU950" i="15" s="1"/>
  <c r="CF950" i="15"/>
  <c r="CQ950" i="15" s="1"/>
  <c r="CV950" i="15" s="1"/>
  <c r="BQ952" i="15"/>
  <c r="AM382" i="15"/>
  <c r="AN382" i="15" s="1"/>
  <c r="AH383" i="15"/>
  <c r="AK383" i="15" s="1"/>
  <c r="AL383" i="15" s="1"/>
  <c r="AJ382" i="15"/>
  <c r="AH386" i="17"/>
  <c r="AL385" i="17"/>
  <c r="AM385" i="17" s="1"/>
  <c r="AN385" i="17" s="1"/>
  <c r="AH388" i="17"/>
  <c r="AL387" i="17"/>
  <c r="AM387" i="17" s="1"/>
  <c r="AN387" i="17" s="1"/>
  <c r="AL386" i="17"/>
  <c r="AM386" i="17" s="1"/>
  <c r="AN386" i="17" s="1"/>
  <c r="AH387" i="17"/>
  <c r="AL388" i="17"/>
  <c r="AM388" i="17" s="1"/>
  <c r="AN388" i="17" s="1"/>
  <c r="AH389" i="17"/>
  <c r="AL389" i="17"/>
  <c r="AM389" i="17" s="1"/>
  <c r="AN389" i="17" s="1"/>
  <c r="AG387" i="15"/>
  <c r="AG387" i="17"/>
  <c r="CB948" i="15"/>
  <c r="CH952" i="15"/>
  <c r="BT952" i="15"/>
  <c r="BW952" i="15"/>
  <c r="BX951" i="15"/>
  <c r="BZ951" i="15"/>
  <c r="BY951" i="15"/>
  <c r="AP386" i="15"/>
  <c r="AO386" i="17"/>
  <c r="AP386" i="17"/>
  <c r="BV950" i="15"/>
  <c r="AO387" i="15"/>
  <c r="CN950" i="15" l="1"/>
  <c r="CS950" i="15" s="1"/>
  <c r="CS949" i="15"/>
  <c r="CO944" i="15"/>
  <c r="CT944" i="15" s="1"/>
  <c r="CK944" i="15"/>
  <c r="CJ943" i="15"/>
  <c r="CO945" i="15"/>
  <c r="CT945" i="15" s="1"/>
  <c r="CK945" i="15"/>
  <c r="CC950" i="15"/>
  <c r="CD951" i="15"/>
  <c r="CO951" i="15" s="1"/>
  <c r="CF951" i="15"/>
  <c r="CQ951" i="15" s="1"/>
  <c r="CV951" i="15" s="1"/>
  <c r="CE951" i="15"/>
  <c r="CP951" i="15" s="1"/>
  <c r="CU951" i="15" s="1"/>
  <c r="BQ953" i="15"/>
  <c r="AJ385" i="15"/>
  <c r="AK385" i="15" s="1"/>
  <c r="AL385" i="15" s="1"/>
  <c r="AH386" i="15"/>
  <c r="AK386" i="15" s="1"/>
  <c r="AL386" i="15" s="1"/>
  <c r="AG388" i="15"/>
  <c r="AG388" i="17"/>
  <c r="AO387" i="17"/>
  <c r="BY952" i="15"/>
  <c r="CB949" i="15"/>
  <c r="AP387" i="15"/>
  <c r="CH953" i="15"/>
  <c r="BX952" i="15"/>
  <c r="AP387" i="17"/>
  <c r="BV951" i="15"/>
  <c r="BW953" i="15"/>
  <c r="BT953" i="15"/>
  <c r="AO388" i="15"/>
  <c r="BZ952" i="15"/>
  <c r="CB950" i="15"/>
  <c r="CT946" i="15" l="1"/>
  <c r="CI946" i="15"/>
  <c r="CI947" i="15" s="1"/>
  <c r="CO943" i="15"/>
  <c r="CT943" i="15" s="1"/>
  <c r="CK943" i="15"/>
  <c r="CJ942" i="15"/>
  <c r="CC951" i="15"/>
  <c r="CN951" i="15" s="1"/>
  <c r="CS951" i="15" s="1"/>
  <c r="CF952" i="15"/>
  <c r="CQ952" i="15" s="1"/>
  <c r="CV952" i="15" s="1"/>
  <c r="CE952" i="15"/>
  <c r="CP952" i="15" s="1"/>
  <c r="CU952" i="15" s="1"/>
  <c r="CD952" i="15"/>
  <c r="BQ954" i="15"/>
  <c r="AM383" i="15"/>
  <c r="AN383" i="15" s="1"/>
  <c r="AH384" i="15"/>
  <c r="AK384" i="15" s="1"/>
  <c r="AL384" i="15" s="1"/>
  <c r="AJ383" i="15"/>
  <c r="AG389" i="15"/>
  <c r="AG389" i="17"/>
  <c r="BY953" i="15"/>
  <c r="BV952" i="15"/>
  <c r="AO388" i="17"/>
  <c r="AP388" i="17"/>
  <c r="BX953" i="15"/>
  <c r="BZ953" i="15"/>
  <c r="BT954" i="15"/>
  <c r="CH954" i="15"/>
  <c r="AP388" i="15"/>
  <c r="BW954" i="15"/>
  <c r="AO389" i="15"/>
  <c r="CO942" i="15" l="1"/>
  <c r="CT942" i="15" s="1"/>
  <c r="CK942" i="15"/>
  <c r="CI948" i="15"/>
  <c r="CC952" i="15"/>
  <c r="CN952" i="15" s="1"/>
  <c r="CE953" i="15"/>
  <c r="CP953" i="15" s="1"/>
  <c r="CU953" i="15" s="1"/>
  <c r="CF953" i="15"/>
  <c r="CQ953" i="15" s="1"/>
  <c r="CV953" i="15" s="1"/>
  <c r="CD953" i="15"/>
  <c r="BQ955" i="15"/>
  <c r="AJ384" i="15"/>
  <c r="AM384" i="15"/>
  <c r="AN384" i="15" s="1"/>
  <c r="AM385" i="15"/>
  <c r="AN385" i="15" s="1"/>
  <c r="AM386" i="15"/>
  <c r="AN386" i="15" s="1"/>
  <c r="AH387" i="15"/>
  <c r="AK387" i="15" s="1"/>
  <c r="AL387" i="15" s="1"/>
  <c r="AJ386" i="15"/>
  <c r="AG390" i="17"/>
  <c r="AG390" i="15"/>
  <c r="CB951" i="15"/>
  <c r="AP389" i="17"/>
  <c r="BZ954" i="15"/>
  <c r="AI394" i="15"/>
  <c r="AO390" i="15"/>
  <c r="AP389" i="15"/>
  <c r="AI390" i="15"/>
  <c r="BW955" i="15"/>
  <c r="AI391" i="15"/>
  <c r="BV953" i="15"/>
  <c r="CH955" i="15"/>
  <c r="BT955" i="15"/>
  <c r="AI392" i="15"/>
  <c r="BX954" i="15"/>
  <c r="BY954" i="15"/>
  <c r="AO389" i="17"/>
  <c r="AI393" i="15"/>
  <c r="CS952" i="15" l="1"/>
  <c r="CI949" i="15"/>
  <c r="CC953" i="15"/>
  <c r="CN953" i="15" s="1"/>
  <c r="CS953" i="15" s="1"/>
  <c r="CD954" i="15"/>
  <c r="CE954" i="15"/>
  <c r="CP954" i="15" s="1"/>
  <c r="CU954" i="15" s="1"/>
  <c r="CF954" i="15"/>
  <c r="CQ954" i="15" s="1"/>
  <c r="CV954" i="15" s="1"/>
  <c r="BQ956" i="15"/>
  <c r="AG391" i="15"/>
  <c r="AG391" i="17"/>
  <c r="AI393" i="17"/>
  <c r="BV954" i="15"/>
  <c r="BY955" i="15"/>
  <c r="AH390" i="17"/>
  <c r="AI390" i="17"/>
  <c r="AO390" i="17"/>
  <c r="BW956" i="15"/>
  <c r="BX955" i="15"/>
  <c r="AP390" i="17"/>
  <c r="AP390" i="15"/>
  <c r="CB952" i="15"/>
  <c r="AI391" i="17"/>
  <c r="AH390" i="15"/>
  <c r="AI394" i="17"/>
  <c r="AO391" i="15"/>
  <c r="AI392" i="17"/>
  <c r="BZ955" i="15"/>
  <c r="CI950" i="15" l="1"/>
  <c r="CJ950" i="15" s="1"/>
  <c r="CC954" i="15"/>
  <c r="CN954" i="15" s="1"/>
  <c r="CD955" i="15"/>
  <c r="CF955" i="15"/>
  <c r="CQ955" i="15" s="1"/>
  <c r="CV955" i="15" s="1"/>
  <c r="CE955" i="15"/>
  <c r="CP955" i="15" s="1"/>
  <c r="CU955" i="15" s="1"/>
  <c r="BQ957" i="15"/>
  <c r="AH388" i="15"/>
  <c r="AK388" i="15" s="1"/>
  <c r="AL388" i="15" s="1"/>
  <c r="AM387" i="15"/>
  <c r="AN387" i="15" s="1"/>
  <c r="AJ387" i="15"/>
  <c r="AL394" i="17"/>
  <c r="AM394" i="17" s="1"/>
  <c r="AN394" i="17" s="1"/>
  <c r="AH392" i="17"/>
  <c r="AL391" i="17"/>
  <c r="AM391" i="17" s="1"/>
  <c r="AN391" i="17" s="1"/>
  <c r="AH394" i="17"/>
  <c r="AL393" i="17"/>
  <c r="AM393" i="17" s="1"/>
  <c r="AN393" i="17" s="1"/>
  <c r="AL390" i="17"/>
  <c r="AM390" i="17" s="1"/>
  <c r="AN390" i="17" s="1"/>
  <c r="AH391" i="17"/>
  <c r="AH393" i="17"/>
  <c r="AL392" i="17"/>
  <c r="AM392" i="17" s="1"/>
  <c r="AN392" i="17" s="1"/>
  <c r="AG392" i="15"/>
  <c r="AG392" i="17"/>
  <c r="CH956" i="15"/>
  <c r="CH957" i="15"/>
  <c r="BV955" i="15"/>
  <c r="BX956" i="15"/>
  <c r="AP391" i="17"/>
  <c r="CK956" i="15"/>
  <c r="BW957" i="15"/>
  <c r="BY956" i="15"/>
  <c r="BT957" i="15"/>
  <c r="CB954" i="15"/>
  <c r="CB953" i="15"/>
  <c r="AO391" i="17"/>
  <c r="BZ956" i="15"/>
  <c r="BT956" i="15"/>
  <c r="AP391" i="15"/>
  <c r="AO392" i="15"/>
  <c r="CN955" i="15" l="1"/>
  <c r="CS955" i="15" s="1"/>
  <c r="CS954" i="15"/>
  <c r="CK950" i="15"/>
  <c r="CO950" i="15"/>
  <c r="CT950" i="15" s="1"/>
  <c r="CJ949" i="15"/>
  <c r="CC955" i="15"/>
  <c r="CF956" i="15"/>
  <c r="CQ956" i="15" s="1"/>
  <c r="CV956" i="15" s="1"/>
  <c r="CE956" i="15"/>
  <c r="CP956" i="15" s="1"/>
  <c r="CU956" i="15" s="1"/>
  <c r="CD956" i="15"/>
  <c r="CO956" i="15" s="1"/>
  <c r="BQ958" i="15"/>
  <c r="AJ390" i="15"/>
  <c r="AK390" i="15" s="1"/>
  <c r="AL390" i="15" s="1"/>
  <c r="AH391" i="15"/>
  <c r="AK391" i="15" s="1"/>
  <c r="AL391" i="15" s="1"/>
  <c r="AG393" i="15"/>
  <c r="AG393" i="17"/>
  <c r="BW958" i="15"/>
  <c r="AO392" i="17"/>
  <c r="CB955" i="15"/>
  <c r="BX957" i="15"/>
  <c r="BY957" i="15"/>
  <c r="BT958" i="15"/>
  <c r="CH958" i="15"/>
  <c r="AP392" i="15"/>
  <c r="AO393" i="15"/>
  <c r="AP392" i="17"/>
  <c r="BZ957" i="15"/>
  <c r="BV956" i="15"/>
  <c r="CT951" i="15" l="1"/>
  <c r="CI951" i="15"/>
  <c r="CI952" i="15" s="1"/>
  <c r="CK949" i="15"/>
  <c r="CO949" i="15"/>
  <c r="CT949" i="15" s="1"/>
  <c r="CJ948" i="15"/>
  <c r="CC956" i="15"/>
  <c r="CN956" i="15" s="1"/>
  <c r="CS956" i="15" s="1"/>
  <c r="CE957" i="15"/>
  <c r="CP957" i="15" s="1"/>
  <c r="CU957" i="15" s="1"/>
  <c r="CF957" i="15"/>
  <c r="CQ957" i="15" s="1"/>
  <c r="CV957" i="15" s="1"/>
  <c r="CD957" i="15"/>
  <c r="BQ959" i="15"/>
  <c r="AM388" i="15"/>
  <c r="AN388" i="15" s="1"/>
  <c r="AH389" i="15"/>
  <c r="AK389" i="15" s="1"/>
  <c r="AL389" i="15" s="1"/>
  <c r="AJ388" i="15"/>
  <c r="AG394" i="17"/>
  <c r="AG394" i="15"/>
  <c r="AO393" i="17"/>
  <c r="BZ958" i="15"/>
  <c r="BX958" i="15"/>
  <c r="BW959" i="15"/>
  <c r="CH959" i="15"/>
  <c r="AP393" i="15"/>
  <c r="BT959" i="15"/>
  <c r="BV957" i="15"/>
  <c r="AP393" i="17"/>
  <c r="BY958" i="15"/>
  <c r="AO394" i="15"/>
  <c r="CK948" i="15" l="1"/>
  <c r="CO948" i="15"/>
  <c r="CT948" i="15" s="1"/>
  <c r="CJ947" i="15"/>
  <c r="CI953" i="15"/>
  <c r="CC957" i="15"/>
  <c r="CN957" i="15" s="1"/>
  <c r="CD958" i="15"/>
  <c r="CE958" i="15"/>
  <c r="CP958" i="15" s="1"/>
  <c r="CU958" i="15" s="1"/>
  <c r="CF958" i="15"/>
  <c r="CQ958" i="15" s="1"/>
  <c r="CV958" i="15" s="1"/>
  <c r="BQ960" i="15"/>
  <c r="AJ389" i="15"/>
  <c r="AM389" i="15"/>
  <c r="AN389" i="15" s="1"/>
  <c r="AM390" i="15"/>
  <c r="AN390" i="15" s="1"/>
  <c r="AM391" i="15"/>
  <c r="AN391" i="15" s="1"/>
  <c r="AH392" i="15"/>
  <c r="AK392" i="15" s="1"/>
  <c r="AL392" i="15" s="1"/>
  <c r="AJ391" i="15"/>
  <c r="AG395" i="15"/>
  <c r="AG395" i="17"/>
  <c r="AO394" i="17"/>
  <c r="AP394" i="15"/>
  <c r="BX959" i="15"/>
  <c r="AI397" i="15"/>
  <c r="CB956" i="15"/>
  <c r="AI395" i="15"/>
  <c r="AI398" i="15"/>
  <c r="AI396" i="15"/>
  <c r="BV958" i="15"/>
  <c r="CH960" i="15"/>
  <c r="BT960" i="15"/>
  <c r="BZ959" i="15"/>
  <c r="AI399" i="15"/>
  <c r="BY959" i="15"/>
  <c r="BW960" i="15"/>
  <c r="AO395" i="15"/>
  <c r="AP394" i="17"/>
  <c r="CS957" i="15" l="1"/>
  <c r="CK947" i="15"/>
  <c r="CO947" i="15"/>
  <c r="CT947" i="15" s="1"/>
  <c r="CI954" i="15"/>
  <c r="CC958" i="15"/>
  <c r="CN958" i="15" s="1"/>
  <c r="CS958" i="15" s="1"/>
  <c r="CD959" i="15"/>
  <c r="CF959" i="15"/>
  <c r="CQ959" i="15" s="1"/>
  <c r="CV959" i="15" s="1"/>
  <c r="CE959" i="15"/>
  <c r="CP959" i="15" s="1"/>
  <c r="CU959" i="15" s="1"/>
  <c r="BQ961" i="15"/>
  <c r="AG396" i="15"/>
  <c r="AG396" i="17"/>
  <c r="CH961" i="15"/>
  <c r="BX960" i="15"/>
  <c r="BY960" i="15"/>
  <c r="AI399" i="17"/>
  <c r="AO396" i="15"/>
  <c r="BV959" i="15"/>
  <c r="AI395" i="17"/>
  <c r="AH395" i="15"/>
  <c r="CK961" i="15"/>
  <c r="AI397" i="17"/>
  <c r="AP395" i="15"/>
  <c r="AO395" i="17"/>
  <c r="BT961" i="15"/>
  <c r="CB957" i="15"/>
  <c r="BW961" i="15"/>
  <c r="BZ960" i="15"/>
  <c r="AI396" i="17"/>
  <c r="AH395" i="17"/>
  <c r="AP395" i="17"/>
  <c r="AI398" i="17"/>
  <c r="CI955" i="15" l="1"/>
  <c r="CJ955" i="15" s="1"/>
  <c r="CC959" i="15"/>
  <c r="CN959" i="15" s="1"/>
  <c r="CF960" i="15"/>
  <c r="CQ960" i="15" s="1"/>
  <c r="CV960" i="15" s="1"/>
  <c r="CE960" i="15"/>
  <c r="CP960" i="15" s="1"/>
  <c r="CU960" i="15" s="1"/>
  <c r="CD960" i="15"/>
  <c r="BQ962" i="15"/>
  <c r="AM392" i="15"/>
  <c r="AN392" i="15" s="1"/>
  <c r="AH393" i="15"/>
  <c r="AK393" i="15" s="1"/>
  <c r="AL393" i="15" s="1"/>
  <c r="AJ392" i="15"/>
  <c r="AL398" i="17"/>
  <c r="AM398" i="17" s="1"/>
  <c r="AN398" i="17" s="1"/>
  <c r="AH399" i="17"/>
  <c r="AL399" i="17"/>
  <c r="AM399" i="17" s="1"/>
  <c r="AN399" i="17" s="1"/>
  <c r="AL396" i="17"/>
  <c r="AM396" i="17" s="1"/>
  <c r="AN396" i="17" s="1"/>
  <c r="AH397" i="17"/>
  <c r="AH396" i="17"/>
  <c r="AL395" i="17"/>
  <c r="AM395" i="17" s="1"/>
  <c r="AN395" i="17" s="1"/>
  <c r="AH398" i="17"/>
  <c r="AL397" i="17"/>
  <c r="AM397" i="17" s="1"/>
  <c r="AN397" i="17" s="1"/>
  <c r="AG397" i="15"/>
  <c r="AG397" i="17"/>
  <c r="CB958" i="15"/>
  <c r="AO396" i="17"/>
  <c r="BT962" i="15"/>
  <c r="BY961" i="15"/>
  <c r="BZ961" i="15"/>
  <c r="CH962" i="15"/>
  <c r="AP396" i="17"/>
  <c r="BW962" i="15"/>
  <c r="AP396" i="15"/>
  <c r="AO397" i="15"/>
  <c r="BX961" i="15"/>
  <c r="BV960" i="15"/>
  <c r="CN960" i="15" l="1"/>
  <c r="CS960" i="15" s="1"/>
  <c r="CS959" i="15"/>
  <c r="CK955" i="15"/>
  <c r="CO955" i="15"/>
  <c r="CT955" i="15" s="1"/>
  <c r="CJ954" i="15"/>
  <c r="CC960" i="15"/>
  <c r="CF961" i="15"/>
  <c r="CQ961" i="15" s="1"/>
  <c r="CV961" i="15" s="1"/>
  <c r="CE961" i="15"/>
  <c r="CP961" i="15" s="1"/>
  <c r="CU961" i="15" s="1"/>
  <c r="CD961" i="15"/>
  <c r="CO961" i="15" s="1"/>
  <c r="BQ963" i="15"/>
  <c r="AJ395" i="15"/>
  <c r="AK395" i="15" s="1"/>
  <c r="AL395" i="15" s="1"/>
  <c r="AH396" i="15"/>
  <c r="AK396" i="15" s="1"/>
  <c r="AL396" i="15" s="1"/>
  <c r="AG398" i="17"/>
  <c r="AG398" i="15"/>
  <c r="BX962" i="15"/>
  <c r="BT963" i="15"/>
  <c r="CB959" i="15"/>
  <c r="AP397" i="15"/>
  <c r="BV961" i="15"/>
  <c r="CB960" i="15"/>
  <c r="AO397" i="17"/>
  <c r="CH963" i="15"/>
  <c r="AO398" i="15"/>
  <c r="BZ962" i="15"/>
  <c r="BY962" i="15"/>
  <c r="AP397" i="17"/>
  <c r="BW963" i="15"/>
  <c r="CT956" i="15" l="1"/>
  <c r="CI956" i="15"/>
  <c r="CI957" i="15" s="1"/>
  <c r="CK954" i="15"/>
  <c r="CO954" i="15"/>
  <c r="CT954" i="15" s="1"/>
  <c r="CJ953" i="15"/>
  <c r="CC961" i="15"/>
  <c r="CN961" i="15" s="1"/>
  <c r="CS961" i="15" s="1"/>
  <c r="CE962" i="15"/>
  <c r="CP962" i="15" s="1"/>
  <c r="CU962" i="15" s="1"/>
  <c r="CD962" i="15"/>
  <c r="CF962" i="15"/>
  <c r="CQ962" i="15" s="1"/>
  <c r="CV962" i="15" s="1"/>
  <c r="BQ964" i="15"/>
  <c r="AM393" i="15"/>
  <c r="AN393" i="15" s="1"/>
  <c r="AH394" i="15"/>
  <c r="AK394" i="15" s="1"/>
  <c r="AL394" i="15" s="1"/>
  <c r="AJ393" i="15"/>
  <c r="AG399" i="15"/>
  <c r="AG399" i="17"/>
  <c r="BY963" i="15"/>
  <c r="AO398" i="17"/>
  <c r="BV962" i="15"/>
  <c r="AP398" i="17"/>
  <c r="BW964" i="15"/>
  <c r="BZ963" i="15"/>
  <c r="BX963" i="15"/>
  <c r="AP398" i="15"/>
  <c r="CH964" i="15"/>
  <c r="AO399" i="15"/>
  <c r="CK953" i="15" l="1"/>
  <c r="CO953" i="15"/>
  <c r="CT953" i="15" s="1"/>
  <c r="CJ952" i="15"/>
  <c r="CI958" i="15"/>
  <c r="CC962" i="15"/>
  <c r="CN962" i="15" s="1"/>
  <c r="CD963" i="15"/>
  <c r="CF963" i="15"/>
  <c r="CQ963" i="15" s="1"/>
  <c r="CV963" i="15" s="1"/>
  <c r="CE963" i="15"/>
  <c r="CP963" i="15" s="1"/>
  <c r="CU963" i="15" s="1"/>
  <c r="BQ965" i="15"/>
  <c r="AJ394" i="15"/>
  <c r="AM394" i="15"/>
  <c r="AN394" i="15" s="1"/>
  <c r="AM395" i="15"/>
  <c r="AN395" i="15" s="1"/>
  <c r="AH397" i="15"/>
  <c r="AK397" i="15" s="1"/>
  <c r="AL397" i="15" s="1"/>
  <c r="AM396" i="15"/>
  <c r="AN396" i="15" s="1"/>
  <c r="AJ396" i="15"/>
  <c r="AG400" i="17"/>
  <c r="AG400" i="15"/>
  <c r="BZ964" i="15"/>
  <c r="BX964" i="15"/>
  <c r="AI404" i="15"/>
  <c r="BT965" i="15"/>
  <c r="AP399" i="17"/>
  <c r="CB961" i="15"/>
  <c r="BW965" i="15"/>
  <c r="AO400" i="15"/>
  <c r="BY964" i="15"/>
  <c r="CB962" i="15"/>
  <c r="CH965" i="15"/>
  <c r="AI400" i="15"/>
  <c r="AP399" i="15"/>
  <c r="BV963" i="15"/>
  <c r="BT964" i="15"/>
  <c r="AO399" i="17"/>
  <c r="CS962" i="15" l="1"/>
  <c r="CK952" i="15"/>
  <c r="CO952" i="15"/>
  <c r="CT952" i="15" s="1"/>
  <c r="CI959" i="15"/>
  <c r="CC963" i="15"/>
  <c r="CN963" i="15" s="1"/>
  <c r="CS963" i="15" s="1"/>
  <c r="CF964" i="15"/>
  <c r="CQ964" i="15" s="1"/>
  <c r="CV964" i="15" s="1"/>
  <c r="CE964" i="15"/>
  <c r="CP964" i="15" s="1"/>
  <c r="CU964" i="15" s="1"/>
  <c r="CD964" i="15"/>
  <c r="BQ966" i="15"/>
  <c r="AG401" i="17"/>
  <c r="AG401" i="15"/>
  <c r="BW966" i="15"/>
  <c r="CK966" i="15"/>
  <c r="AI401" i="15"/>
  <c r="AP400" i="15"/>
  <c r="CH966" i="15"/>
  <c r="AI402" i="17"/>
  <c r="AH400" i="15"/>
  <c r="AO401" i="15"/>
  <c r="AI402" i="15"/>
  <c r="BT966" i="15"/>
  <c r="AI403" i="15"/>
  <c r="AP400" i="17"/>
  <c r="AO400" i="17"/>
  <c r="AI403" i="17"/>
  <c r="BV964" i="15"/>
  <c r="AH400" i="17"/>
  <c r="BY965" i="15"/>
  <c r="BZ965" i="15"/>
  <c r="AI401" i="17"/>
  <c r="AI404" i="17"/>
  <c r="BX965" i="15"/>
  <c r="AI400" i="17"/>
  <c r="CI960" i="15" l="1"/>
  <c r="CJ960" i="15" s="1"/>
  <c r="CJ959" i="15" s="1"/>
  <c r="CC964" i="15"/>
  <c r="CN964" i="15" s="1"/>
  <c r="CF965" i="15"/>
  <c r="CQ965" i="15" s="1"/>
  <c r="CV965" i="15" s="1"/>
  <c r="CE965" i="15"/>
  <c r="CP965" i="15" s="1"/>
  <c r="CU965" i="15" s="1"/>
  <c r="CD965" i="15"/>
  <c r="BQ967" i="15"/>
  <c r="AM397" i="15"/>
  <c r="AN397" i="15" s="1"/>
  <c r="AH398" i="15"/>
  <c r="AK398" i="15" s="1"/>
  <c r="AL398" i="15" s="1"/>
  <c r="AJ397" i="15"/>
  <c r="AL404" i="17"/>
  <c r="AM404" i="17" s="1"/>
  <c r="AN404" i="17" s="1"/>
  <c r="AH401" i="17"/>
  <c r="AL400" i="17"/>
  <c r="AM400" i="17" s="1"/>
  <c r="AN400" i="17" s="1"/>
  <c r="AH404" i="17"/>
  <c r="AL403" i="17"/>
  <c r="AM403" i="17" s="1"/>
  <c r="AN403" i="17" s="1"/>
  <c r="AL402" i="17"/>
  <c r="AM402" i="17" s="1"/>
  <c r="AN402" i="17" s="1"/>
  <c r="AH403" i="17"/>
  <c r="AH402" i="17"/>
  <c r="AL401" i="17"/>
  <c r="AM401" i="17" s="1"/>
  <c r="AN401" i="17" s="1"/>
  <c r="AG402" i="15"/>
  <c r="AG402" i="17"/>
  <c r="CB963" i="15"/>
  <c r="BY966" i="15"/>
  <c r="BZ966" i="15"/>
  <c r="BT967" i="15"/>
  <c r="BV965" i="15"/>
  <c r="AO402" i="15"/>
  <c r="CH967" i="15"/>
  <c r="BX966" i="15"/>
  <c r="AP401" i="17"/>
  <c r="CB964" i="15"/>
  <c r="AP401" i="15"/>
  <c r="AO401" i="17"/>
  <c r="BW967" i="15"/>
  <c r="CN965" i="15" l="1"/>
  <c r="CS965" i="15" s="1"/>
  <c r="CS964" i="15"/>
  <c r="CK959" i="15"/>
  <c r="CO959" i="15"/>
  <c r="CT959" i="15" s="1"/>
  <c r="CJ958" i="15"/>
  <c r="CK960" i="15"/>
  <c r="CO960" i="15"/>
  <c r="CT960" i="15" s="1"/>
  <c r="CC965" i="15"/>
  <c r="CD966" i="15"/>
  <c r="CO966" i="15" s="1"/>
  <c r="CE966" i="15"/>
  <c r="CP966" i="15" s="1"/>
  <c r="CU966" i="15" s="1"/>
  <c r="CF966" i="15"/>
  <c r="CQ966" i="15" s="1"/>
  <c r="CV966" i="15" s="1"/>
  <c r="BQ968" i="15"/>
  <c r="AJ400" i="15"/>
  <c r="AK400" i="15" s="1"/>
  <c r="AL400" i="15" s="1"/>
  <c r="AH401" i="15"/>
  <c r="AK401" i="15" s="1"/>
  <c r="AL401" i="15" s="1"/>
  <c r="AG403" i="17"/>
  <c r="AG403" i="15"/>
  <c r="AP402" i="15"/>
  <c r="BZ967" i="15"/>
  <c r="AO402" i="17"/>
  <c r="CH968" i="15"/>
  <c r="AP402" i="17"/>
  <c r="BY967" i="15"/>
  <c r="BW968" i="15"/>
  <c r="CB965" i="15"/>
  <c r="BX967" i="15"/>
  <c r="AO403" i="15"/>
  <c r="BV966" i="15"/>
  <c r="BT968" i="15"/>
  <c r="CT961" i="15" l="1"/>
  <c r="CI961" i="15"/>
  <c r="CI962" i="15" s="1"/>
  <c r="CO958" i="15"/>
  <c r="CT958" i="15" s="1"/>
  <c r="CK958" i="15"/>
  <c r="CJ957" i="15"/>
  <c r="CC966" i="15"/>
  <c r="CN966" i="15" s="1"/>
  <c r="CS966" i="15" s="1"/>
  <c r="CD967" i="15"/>
  <c r="CF967" i="15"/>
  <c r="CQ967" i="15" s="1"/>
  <c r="CV967" i="15" s="1"/>
  <c r="CE967" i="15"/>
  <c r="CP967" i="15" s="1"/>
  <c r="CU967" i="15" s="1"/>
  <c r="BQ969" i="15"/>
  <c r="AH399" i="15"/>
  <c r="AK399" i="15" s="1"/>
  <c r="AL399" i="15" s="1"/>
  <c r="AM398" i="15"/>
  <c r="AN398" i="15" s="1"/>
  <c r="AJ398" i="15"/>
  <c r="AG404" i="15"/>
  <c r="AG404" i="17"/>
  <c r="AP403" i="15"/>
  <c r="BZ968" i="15"/>
  <c r="AO403" i="17"/>
  <c r="BV967" i="15"/>
  <c r="BW969" i="15"/>
  <c r="BY968" i="15"/>
  <c r="AP403" i="17"/>
  <c r="CH969" i="15"/>
  <c r="BX968" i="15"/>
  <c r="BT969" i="15"/>
  <c r="AO404" i="15"/>
  <c r="CO957" i="15" l="1"/>
  <c r="CT957" i="15" s="1"/>
  <c r="CK957" i="15"/>
  <c r="CI963" i="15"/>
  <c r="CC967" i="15"/>
  <c r="CN967" i="15" s="1"/>
  <c r="CF968" i="15"/>
  <c r="CQ968" i="15" s="1"/>
  <c r="CV968" i="15" s="1"/>
  <c r="CE968" i="15"/>
  <c r="CP968" i="15" s="1"/>
  <c r="CU968" i="15" s="1"/>
  <c r="CD968" i="15"/>
  <c r="BQ970" i="15"/>
  <c r="AM401" i="15"/>
  <c r="AN401" i="15" s="1"/>
  <c r="AH402" i="15"/>
  <c r="AK402" i="15" s="1"/>
  <c r="AL402" i="15" s="1"/>
  <c r="AJ401" i="15"/>
  <c r="AJ399" i="15"/>
  <c r="AM399" i="15"/>
  <c r="AN399" i="15" s="1"/>
  <c r="AM400" i="15"/>
  <c r="AN400" i="15" s="1"/>
  <c r="AG405" i="15"/>
  <c r="AG405" i="17"/>
  <c r="CB966" i="15"/>
  <c r="AP404" i="17"/>
  <c r="AI409" i="15"/>
  <c r="AO404" i="17"/>
  <c r="BV968" i="15"/>
  <c r="AO405" i="15"/>
  <c r="AI407" i="15"/>
  <c r="CH970" i="15"/>
  <c r="AI408" i="15"/>
  <c r="BW970" i="15"/>
  <c r="BX969" i="15"/>
  <c r="BT970" i="15"/>
  <c r="AI406" i="15"/>
  <c r="AP404" i="15"/>
  <c r="BZ969" i="15"/>
  <c r="AI405" i="15"/>
  <c r="BY969" i="15"/>
  <c r="CS967" i="15" l="1"/>
  <c r="CI964" i="15"/>
  <c r="CC968" i="15"/>
  <c r="CN968" i="15" s="1"/>
  <c r="CS968" i="15" s="1"/>
  <c r="CF969" i="15"/>
  <c r="CQ969" i="15" s="1"/>
  <c r="CV969" i="15" s="1"/>
  <c r="CE969" i="15"/>
  <c r="CP969" i="15" s="1"/>
  <c r="CU969" i="15" s="1"/>
  <c r="CD969" i="15"/>
  <c r="BQ971" i="15"/>
  <c r="AG406" i="17"/>
  <c r="AG406" i="15"/>
  <c r="AI406" i="17"/>
  <c r="AO405" i="17"/>
  <c r="AH405" i="15"/>
  <c r="BY970" i="15"/>
  <c r="CK971" i="15"/>
  <c r="CB968" i="15"/>
  <c r="CB967" i="15"/>
  <c r="AI409" i="17"/>
  <c r="AP405" i="15"/>
  <c r="BZ970" i="15"/>
  <c r="BX970" i="15"/>
  <c r="AI407" i="17"/>
  <c r="AI405" i="17"/>
  <c r="AP405" i="17"/>
  <c r="AH405" i="17"/>
  <c r="BT971" i="15"/>
  <c r="BV969" i="15"/>
  <c r="AI408" i="17"/>
  <c r="AO406" i="15"/>
  <c r="CI965" i="15" l="1"/>
  <c r="CJ965" i="15" s="1"/>
  <c r="CJ964" i="15" s="1"/>
  <c r="CC969" i="15"/>
  <c r="CN969" i="15" s="1"/>
  <c r="CD970" i="15"/>
  <c r="CE970" i="15"/>
  <c r="CP970" i="15" s="1"/>
  <c r="CU970" i="15" s="1"/>
  <c r="CF970" i="15"/>
  <c r="CQ970" i="15" s="1"/>
  <c r="CV970" i="15" s="1"/>
  <c r="BQ972" i="15"/>
  <c r="AH403" i="15"/>
  <c r="AK403" i="15" s="1"/>
  <c r="AL403" i="15" s="1"/>
  <c r="AM402" i="15"/>
  <c r="AN402" i="15" s="1"/>
  <c r="AJ402" i="15"/>
  <c r="AH407" i="17"/>
  <c r="AL406" i="17"/>
  <c r="AM406" i="17" s="1"/>
  <c r="AN406" i="17" s="1"/>
  <c r="AL407" i="17"/>
  <c r="AM407" i="17" s="1"/>
  <c r="AN407" i="17" s="1"/>
  <c r="AH408" i="17"/>
  <c r="AH409" i="17"/>
  <c r="AL408" i="17"/>
  <c r="AM408" i="17" s="1"/>
  <c r="AN408" i="17" s="1"/>
  <c r="AH406" i="17"/>
  <c r="AL405" i="17"/>
  <c r="AM405" i="17" s="1"/>
  <c r="AN405" i="17" s="1"/>
  <c r="AL409" i="17"/>
  <c r="AM409" i="17" s="1"/>
  <c r="AN409" i="17" s="1"/>
  <c r="AG407" i="17"/>
  <c r="AG407" i="15"/>
  <c r="CH971" i="15"/>
  <c r="AP406" i="17"/>
  <c r="BV970" i="15"/>
  <c r="CB969" i="15"/>
  <c r="CH972" i="15"/>
  <c r="AO407" i="15"/>
  <c r="BY971" i="15"/>
  <c r="BX971" i="15"/>
  <c r="BZ971" i="15"/>
  <c r="BW972" i="15"/>
  <c r="AP406" i="15"/>
  <c r="BW971" i="15"/>
  <c r="BT972" i="15"/>
  <c r="AO406" i="17"/>
  <c r="CN970" i="15" l="1"/>
  <c r="CS970" i="15" s="1"/>
  <c r="CS969" i="15"/>
  <c r="CO964" i="15"/>
  <c r="CT964" i="15" s="1"/>
  <c r="CK964" i="15"/>
  <c r="CJ963" i="15"/>
  <c r="CK965" i="15"/>
  <c r="CO965" i="15"/>
  <c r="CT965" i="15" s="1"/>
  <c r="CC970" i="15"/>
  <c r="CD971" i="15"/>
  <c r="CO971" i="15" s="1"/>
  <c r="CF971" i="15"/>
  <c r="CQ971" i="15" s="1"/>
  <c r="CV971" i="15" s="1"/>
  <c r="CE971" i="15"/>
  <c r="CP971" i="15" s="1"/>
  <c r="CU971" i="15" s="1"/>
  <c r="BQ973" i="15"/>
  <c r="AJ405" i="15"/>
  <c r="AK405" i="15" s="1"/>
  <c r="AL405" i="15" s="1"/>
  <c r="AH406" i="15"/>
  <c r="AK406" i="15" s="1"/>
  <c r="AL406" i="15" s="1"/>
  <c r="AG408" i="17"/>
  <c r="AG408" i="15"/>
  <c r="AP407" i="15"/>
  <c r="BV971" i="15"/>
  <c r="BW973" i="15"/>
  <c r="CB970" i="15"/>
  <c r="CH973" i="15"/>
  <c r="BX972" i="15"/>
  <c r="BT973" i="15"/>
  <c r="AO408" i="15"/>
  <c r="BY972" i="15"/>
  <c r="AP407" i="17"/>
  <c r="BZ972" i="15"/>
  <c r="AO407" i="17"/>
  <c r="CT966" i="15" l="1"/>
  <c r="CI966" i="15"/>
  <c r="CI967" i="15" s="1"/>
  <c r="CO963" i="15"/>
  <c r="CT963" i="15" s="1"/>
  <c r="CK963" i="15"/>
  <c r="CJ962" i="15"/>
  <c r="CC971" i="15"/>
  <c r="CN971" i="15" s="1"/>
  <c r="CS971" i="15" s="1"/>
  <c r="CF972" i="15"/>
  <c r="CQ972" i="15" s="1"/>
  <c r="CV972" i="15" s="1"/>
  <c r="CE972" i="15"/>
  <c r="CP972" i="15" s="1"/>
  <c r="CU972" i="15" s="1"/>
  <c r="CD972" i="15"/>
  <c r="BQ974" i="15"/>
  <c r="AH404" i="15"/>
  <c r="AK404" i="15" s="1"/>
  <c r="AL404" i="15" s="1"/>
  <c r="AM403" i="15"/>
  <c r="AN403" i="15" s="1"/>
  <c r="AJ403" i="15"/>
  <c r="AG409" i="15"/>
  <c r="AG409" i="17"/>
  <c r="BV972" i="15"/>
  <c r="AO408" i="17"/>
  <c r="AP408" i="17"/>
  <c r="BX973" i="15"/>
  <c r="AO409" i="15"/>
  <c r="BW974" i="15"/>
  <c r="AP408" i="15"/>
  <c r="BY973" i="15"/>
  <c r="BT974" i="15"/>
  <c r="BZ973" i="15"/>
  <c r="CH974" i="15"/>
  <c r="CK962" i="15" l="1"/>
  <c r="CO962" i="15"/>
  <c r="CT962" i="15" s="1"/>
  <c r="CI968" i="15"/>
  <c r="CC972" i="15"/>
  <c r="CN972" i="15" s="1"/>
  <c r="CE973" i="15"/>
  <c r="CP973" i="15" s="1"/>
  <c r="CU973" i="15" s="1"/>
  <c r="CF973" i="15"/>
  <c r="CQ973" i="15" s="1"/>
  <c r="CV973" i="15" s="1"/>
  <c r="CD973" i="15"/>
  <c r="BQ975" i="15"/>
  <c r="AM406" i="15"/>
  <c r="AN406" i="15" s="1"/>
  <c r="AH407" i="15"/>
  <c r="AK407" i="15" s="1"/>
  <c r="AL407" i="15" s="1"/>
  <c r="AJ406" i="15"/>
  <c r="AJ404" i="15"/>
  <c r="AM404" i="15"/>
  <c r="AN404" i="15" s="1"/>
  <c r="AM405" i="15"/>
  <c r="AN405" i="15" s="1"/>
  <c r="AG410" i="17"/>
  <c r="AG410" i="15"/>
  <c r="CB971" i="15"/>
  <c r="AI411" i="15"/>
  <c r="CH975" i="15"/>
  <c r="BV973" i="15"/>
  <c r="AO410" i="15"/>
  <c r="BX974" i="15"/>
  <c r="AP409" i="15"/>
  <c r="BY974" i="15"/>
  <c r="BT975" i="15"/>
  <c r="AO409" i="17"/>
  <c r="AI410" i="15"/>
  <c r="BW975" i="15"/>
  <c r="AI414" i="15"/>
  <c r="BZ974" i="15"/>
  <c r="AI413" i="15"/>
  <c r="AI412" i="15"/>
  <c r="AP409" i="17"/>
  <c r="CS972" i="15" l="1"/>
  <c r="CI969" i="15"/>
  <c r="CC973" i="15"/>
  <c r="CN973" i="15" s="1"/>
  <c r="CS973" i="15" s="1"/>
  <c r="CD974" i="15"/>
  <c r="CE974" i="15"/>
  <c r="CP974" i="15" s="1"/>
  <c r="CU974" i="15" s="1"/>
  <c r="CF974" i="15"/>
  <c r="CQ974" i="15" s="1"/>
  <c r="CV974" i="15" s="1"/>
  <c r="BQ976" i="15"/>
  <c r="AG411" i="15"/>
  <c r="AG411" i="17"/>
  <c r="AH410" i="15"/>
  <c r="AH410" i="17"/>
  <c r="AI413" i="17"/>
  <c r="BT976" i="15"/>
  <c r="AI414" i="17"/>
  <c r="AI410" i="17"/>
  <c r="AP410" i="17"/>
  <c r="AI412" i="17"/>
  <c r="CK976" i="15"/>
  <c r="BY975" i="15"/>
  <c r="AO410" i="17"/>
  <c r="AO411" i="15"/>
  <c r="BV974" i="15"/>
  <c r="AI411" i="17"/>
  <c r="BZ975" i="15"/>
  <c r="AP410" i="15"/>
  <c r="BX975" i="15"/>
  <c r="CB972" i="15"/>
  <c r="BW976" i="15"/>
  <c r="CI970" i="15" l="1"/>
  <c r="CJ970" i="15" s="1"/>
  <c r="CJ969" i="15" s="1"/>
  <c r="CC974" i="15"/>
  <c r="CN974" i="15" s="1"/>
  <c r="CF975" i="15"/>
  <c r="CQ975" i="15" s="1"/>
  <c r="CV975" i="15" s="1"/>
  <c r="CD975" i="15"/>
  <c r="CE975" i="15"/>
  <c r="CP975" i="15" s="1"/>
  <c r="CU975" i="15" s="1"/>
  <c r="BQ977" i="15"/>
  <c r="AM407" i="15"/>
  <c r="AN407" i="15" s="1"/>
  <c r="AH408" i="15"/>
  <c r="AK408" i="15" s="1"/>
  <c r="AL408" i="15" s="1"/>
  <c r="AJ407" i="15"/>
  <c r="AH412" i="17"/>
  <c r="AL411" i="17"/>
  <c r="AM411" i="17" s="1"/>
  <c r="AN411" i="17" s="1"/>
  <c r="AH414" i="17"/>
  <c r="AL413" i="17"/>
  <c r="AM413" i="17" s="1"/>
  <c r="AN413" i="17" s="1"/>
  <c r="AH413" i="17"/>
  <c r="AL412" i="17"/>
  <c r="AM412" i="17" s="1"/>
  <c r="AN412" i="17" s="1"/>
  <c r="AH411" i="17"/>
  <c r="AL410" i="17"/>
  <c r="AM410" i="17" s="1"/>
  <c r="AN410" i="17" s="1"/>
  <c r="AL414" i="17"/>
  <c r="AM414" i="17" s="1"/>
  <c r="AN414" i="17" s="1"/>
  <c r="AG412" i="15"/>
  <c r="AG412" i="17"/>
  <c r="CH976" i="15"/>
  <c r="BZ976" i="15"/>
  <c r="BW977" i="15"/>
  <c r="AO412" i="15"/>
  <c r="BV975" i="15"/>
  <c r="CB973" i="15"/>
  <c r="AP411" i="17"/>
  <c r="AP411" i="15"/>
  <c r="BX976" i="15"/>
  <c r="AO411" i="17"/>
  <c r="BY976" i="15"/>
  <c r="BT977" i="15"/>
  <c r="CH977" i="15"/>
  <c r="CN975" i="15" l="1"/>
  <c r="CS975" i="15" s="1"/>
  <c r="CS974" i="15"/>
  <c r="CK969" i="15"/>
  <c r="CO969" i="15"/>
  <c r="CT969" i="15" s="1"/>
  <c r="CJ968" i="15"/>
  <c r="CK970" i="15"/>
  <c r="CO970" i="15"/>
  <c r="CT970" i="15" s="1"/>
  <c r="CC975" i="15"/>
  <c r="CF976" i="15"/>
  <c r="CQ976" i="15" s="1"/>
  <c r="CV976" i="15" s="1"/>
  <c r="CE976" i="15"/>
  <c r="CP976" i="15" s="1"/>
  <c r="CU976" i="15" s="1"/>
  <c r="CD976" i="15"/>
  <c r="CO976" i="15" s="1"/>
  <c r="BQ978" i="15"/>
  <c r="AJ410" i="15"/>
  <c r="AK410" i="15" s="1"/>
  <c r="AL410" i="15" s="1"/>
  <c r="AH411" i="15"/>
  <c r="AK411" i="15" s="1"/>
  <c r="AL411" i="15" s="1"/>
  <c r="AG413" i="15"/>
  <c r="AG413" i="17"/>
  <c r="CH978" i="15"/>
  <c r="BT978" i="15"/>
  <c r="BV976" i="15"/>
  <c r="CB974" i="15"/>
  <c r="AO413" i="15"/>
  <c r="BW978" i="15"/>
  <c r="BX977" i="15"/>
  <c r="AP412" i="17"/>
  <c r="BY977" i="15"/>
  <c r="BZ977" i="15"/>
  <c r="AO412" i="17"/>
  <c r="AP412" i="15"/>
  <c r="CB975" i="15"/>
  <c r="CT971" i="15" l="1"/>
  <c r="CI971" i="15"/>
  <c r="CI972" i="15" s="1"/>
  <c r="CK968" i="15"/>
  <c r="CO968" i="15"/>
  <c r="CT968" i="15" s="1"/>
  <c r="CJ967" i="15"/>
  <c r="CC976" i="15"/>
  <c r="CN976" i="15" s="1"/>
  <c r="CS976" i="15" s="1"/>
  <c r="CE977" i="15"/>
  <c r="CP977" i="15" s="1"/>
  <c r="CU977" i="15" s="1"/>
  <c r="CF977" i="15"/>
  <c r="CQ977" i="15" s="1"/>
  <c r="CV977" i="15" s="1"/>
  <c r="CD977" i="15"/>
  <c r="BQ979" i="15"/>
  <c r="AH409" i="15"/>
  <c r="AK409" i="15" s="1"/>
  <c r="AL409" i="15" s="1"/>
  <c r="AM408" i="15"/>
  <c r="AN408" i="15" s="1"/>
  <c r="AJ408" i="15"/>
  <c r="AG414" i="17"/>
  <c r="AG414" i="15"/>
  <c r="AP413" i="17"/>
  <c r="BZ978" i="15"/>
  <c r="BX978" i="15"/>
  <c r="AO413" i="17"/>
  <c r="AP413" i="15"/>
  <c r="BW979" i="15"/>
  <c r="BY978" i="15"/>
  <c r="BV977" i="15"/>
  <c r="AO414" i="15"/>
  <c r="CK967" i="15" l="1"/>
  <c r="CO967" i="15"/>
  <c r="CT967" i="15" s="1"/>
  <c r="CI973" i="15"/>
  <c r="CC977" i="15"/>
  <c r="CN977" i="15" s="1"/>
  <c r="CD978" i="15"/>
  <c r="CE978" i="15"/>
  <c r="CP978" i="15" s="1"/>
  <c r="CU978" i="15" s="1"/>
  <c r="CF978" i="15"/>
  <c r="CQ978" i="15" s="1"/>
  <c r="CV978" i="15" s="1"/>
  <c r="BQ980" i="15"/>
  <c r="AH412" i="15"/>
  <c r="AK412" i="15" s="1"/>
  <c r="AL412" i="15" s="1"/>
  <c r="AM411" i="15"/>
  <c r="AN411" i="15" s="1"/>
  <c r="AJ411" i="15"/>
  <c r="AM409" i="15"/>
  <c r="AN409" i="15" s="1"/>
  <c r="AJ409" i="15"/>
  <c r="AM410" i="15"/>
  <c r="AN410" i="15" s="1"/>
  <c r="AG415" i="15"/>
  <c r="AG415" i="17"/>
  <c r="CH979" i="15"/>
  <c r="BZ979" i="15"/>
  <c r="AO415" i="15"/>
  <c r="CH980" i="15"/>
  <c r="BY979" i="15"/>
  <c r="AP414" i="15"/>
  <c r="AO414" i="17"/>
  <c r="CB976" i="15"/>
  <c r="BV978" i="15"/>
  <c r="AI415" i="15"/>
  <c r="AI419" i="15"/>
  <c r="BX979" i="15"/>
  <c r="AI416" i="15"/>
  <c r="AI417" i="15"/>
  <c r="BT980" i="15"/>
  <c r="BT979" i="15"/>
  <c r="AP414" i="17"/>
  <c r="AI418" i="15"/>
  <c r="CS977" i="15" l="1"/>
  <c r="CI974" i="15"/>
  <c r="CC978" i="15"/>
  <c r="CN978" i="15" s="1"/>
  <c r="CS978" i="15" s="1"/>
  <c r="CD979" i="15"/>
  <c r="CF979" i="15"/>
  <c r="CQ979" i="15" s="1"/>
  <c r="CV979" i="15" s="1"/>
  <c r="CE979" i="15"/>
  <c r="CP979" i="15" s="1"/>
  <c r="CU979" i="15" s="1"/>
  <c r="BQ981" i="15"/>
  <c r="AG416" i="17"/>
  <c r="AG416" i="15"/>
  <c r="BW980" i="15"/>
  <c r="AP415" i="15"/>
  <c r="AP415" i="17"/>
  <c r="AI418" i="17"/>
  <c r="BW981" i="15"/>
  <c r="BY980" i="15"/>
  <c r="AI416" i="17"/>
  <c r="AH415" i="17"/>
  <c r="AI419" i="17"/>
  <c r="CH981" i="15"/>
  <c r="AO416" i="15"/>
  <c r="AI417" i="17"/>
  <c r="AO415" i="17"/>
  <c r="BT981" i="15"/>
  <c r="AH415" i="15"/>
  <c r="AI415" i="17"/>
  <c r="CB977" i="15"/>
  <c r="BX980" i="15"/>
  <c r="BZ980" i="15"/>
  <c r="BV979" i="15"/>
  <c r="CK981" i="15"/>
  <c r="CI975" i="15" l="1"/>
  <c r="CJ975" i="15" s="1"/>
  <c r="CC979" i="15"/>
  <c r="CN979" i="15" s="1"/>
  <c r="CF980" i="15"/>
  <c r="CQ980" i="15" s="1"/>
  <c r="CV980" i="15" s="1"/>
  <c r="CE980" i="15"/>
  <c r="CP980" i="15" s="1"/>
  <c r="CU980" i="15" s="1"/>
  <c r="CD980" i="15"/>
  <c r="BQ982" i="15"/>
  <c r="AH413" i="15"/>
  <c r="AK413" i="15" s="1"/>
  <c r="AL413" i="15" s="1"/>
  <c r="AM412" i="15"/>
  <c r="AN412" i="15" s="1"/>
  <c r="AJ412" i="15"/>
  <c r="AH417" i="17"/>
  <c r="AL416" i="17"/>
  <c r="AM416" i="17" s="1"/>
  <c r="AN416" i="17" s="1"/>
  <c r="AL417" i="17"/>
  <c r="AM417" i="17" s="1"/>
  <c r="AN417" i="17" s="1"/>
  <c r="AH418" i="17"/>
  <c r="AH419" i="17"/>
  <c r="AL418" i="17"/>
  <c r="AM418" i="17" s="1"/>
  <c r="AN418" i="17" s="1"/>
  <c r="AL415" i="17"/>
  <c r="AM415" i="17" s="1"/>
  <c r="AN415" i="17" s="1"/>
  <c r="AH416" i="17"/>
  <c r="AL419" i="17"/>
  <c r="AM419" i="17" s="1"/>
  <c r="AN419" i="17" s="1"/>
  <c r="AG417" i="17"/>
  <c r="AG417" i="15"/>
  <c r="CB978" i="15"/>
  <c r="AP416" i="15"/>
  <c r="BW982" i="15"/>
  <c r="BZ981" i="15"/>
  <c r="AO416" i="17"/>
  <c r="CH982" i="15"/>
  <c r="AP416" i="17"/>
  <c r="BX981" i="15"/>
  <c r="CB979" i="15"/>
  <c r="BY981" i="15"/>
  <c r="AO417" i="15"/>
  <c r="BT982" i="15"/>
  <c r="BV980" i="15"/>
  <c r="CN980" i="15" l="1"/>
  <c r="CS980" i="15" s="1"/>
  <c r="CS979" i="15"/>
  <c r="CK975" i="15"/>
  <c r="CO975" i="15"/>
  <c r="CT975" i="15" s="1"/>
  <c r="CJ974" i="15"/>
  <c r="CC980" i="15"/>
  <c r="CF981" i="15"/>
  <c r="CQ981" i="15" s="1"/>
  <c r="CV981" i="15" s="1"/>
  <c r="CE981" i="15"/>
  <c r="CP981" i="15" s="1"/>
  <c r="CU981" i="15" s="1"/>
  <c r="CD981" i="15"/>
  <c r="CO981" i="15" s="1"/>
  <c r="BQ983" i="15"/>
  <c r="AH416" i="15"/>
  <c r="AK416" i="15" s="1"/>
  <c r="AL416" i="15" s="1"/>
  <c r="AJ415" i="15"/>
  <c r="AK415" i="15" s="1"/>
  <c r="AL415" i="15" s="1"/>
  <c r="AG418" i="17"/>
  <c r="AG418" i="15"/>
  <c r="CH983" i="15"/>
  <c r="BZ982" i="15"/>
  <c r="AP417" i="15"/>
  <c r="BW983" i="15"/>
  <c r="AO417" i="17"/>
  <c r="AP417" i="17"/>
  <c r="AO418" i="15"/>
  <c r="BV981" i="15"/>
  <c r="CB980" i="15"/>
  <c r="BY982" i="15"/>
  <c r="BX982" i="15"/>
  <c r="BT983" i="15"/>
  <c r="CT976" i="15" l="1"/>
  <c r="CI976" i="15"/>
  <c r="CI977" i="15" s="1"/>
  <c r="CK974" i="15"/>
  <c r="CO974" i="15"/>
  <c r="CT974" i="15" s="1"/>
  <c r="CJ973" i="15"/>
  <c r="CC981" i="15"/>
  <c r="CN981" i="15" s="1"/>
  <c r="CS981" i="15" s="1"/>
  <c r="CD982" i="15"/>
  <c r="CE982" i="15"/>
  <c r="CP982" i="15" s="1"/>
  <c r="CU982" i="15" s="1"/>
  <c r="CF982" i="15"/>
  <c r="CQ982" i="15" s="1"/>
  <c r="CV982" i="15" s="1"/>
  <c r="BQ984" i="15"/>
  <c r="AH414" i="15"/>
  <c r="AK414" i="15" s="1"/>
  <c r="AL414" i="15" s="1"/>
  <c r="AM413" i="15"/>
  <c r="AN413" i="15" s="1"/>
  <c r="AJ413" i="15"/>
  <c r="AG419" i="15"/>
  <c r="AG419" i="17"/>
  <c r="BW984" i="15"/>
  <c r="BX983" i="15"/>
  <c r="BV982" i="15"/>
  <c r="AO419" i="15"/>
  <c r="AP418" i="15"/>
  <c r="AO418" i="17"/>
  <c r="CH984" i="15"/>
  <c r="BZ983" i="15"/>
  <c r="BY983" i="15"/>
  <c r="AP418" i="17"/>
  <c r="CK973" i="15" l="1"/>
  <c r="CO973" i="15"/>
  <c r="CT973" i="15" s="1"/>
  <c r="CJ972" i="15"/>
  <c r="CI978" i="15"/>
  <c r="CC982" i="15"/>
  <c r="CN982" i="15" s="1"/>
  <c r="CD983" i="15"/>
  <c r="CF983" i="15"/>
  <c r="CQ983" i="15" s="1"/>
  <c r="CV983" i="15" s="1"/>
  <c r="CE983" i="15"/>
  <c r="CP983" i="15" s="1"/>
  <c r="CU983" i="15" s="1"/>
  <c r="BQ985" i="15"/>
  <c r="AM416" i="15"/>
  <c r="AN416" i="15" s="1"/>
  <c r="AH417" i="15"/>
  <c r="AK417" i="15" s="1"/>
  <c r="AL417" i="15" s="1"/>
  <c r="AJ416" i="15"/>
  <c r="AJ414" i="15"/>
  <c r="AM414" i="15"/>
  <c r="AN414" i="15" s="1"/>
  <c r="AM415" i="15"/>
  <c r="AN415" i="15" s="1"/>
  <c r="AG420" i="17"/>
  <c r="AG420" i="15"/>
  <c r="AI421" i="15"/>
  <c r="BW985" i="15"/>
  <c r="BT984" i="15"/>
  <c r="AI423" i="15"/>
  <c r="BV983" i="15"/>
  <c r="AO420" i="15"/>
  <c r="AI422" i="15"/>
  <c r="BY984" i="15"/>
  <c r="BZ984" i="15"/>
  <c r="AI424" i="15"/>
  <c r="AI420" i="15"/>
  <c r="AP419" i="15"/>
  <c r="CB981" i="15"/>
  <c r="AO419" i="17"/>
  <c r="AP419" i="17"/>
  <c r="BT985" i="15"/>
  <c r="CH985" i="15"/>
  <c r="BX984" i="15"/>
  <c r="CB982" i="15"/>
  <c r="CS982" i="15" l="1"/>
  <c r="CK972" i="15"/>
  <c r="CO972" i="15"/>
  <c r="CT972" i="15" s="1"/>
  <c r="CI979" i="15"/>
  <c r="CC983" i="15"/>
  <c r="CN983" i="15" s="1"/>
  <c r="CS983" i="15" s="1"/>
  <c r="CF984" i="15"/>
  <c r="CQ984" i="15" s="1"/>
  <c r="CV984" i="15" s="1"/>
  <c r="CE984" i="15"/>
  <c r="CP984" i="15" s="1"/>
  <c r="CU984" i="15" s="1"/>
  <c r="CD984" i="15"/>
  <c r="BQ986" i="15"/>
  <c r="AG421" i="15"/>
  <c r="AG421" i="17"/>
  <c r="AH420" i="15"/>
  <c r="AI424" i="17"/>
  <c r="BZ985" i="15"/>
  <c r="AP420" i="15"/>
  <c r="AI423" i="17"/>
  <c r="AI421" i="17"/>
  <c r="AP420" i="17"/>
  <c r="BY985" i="15"/>
  <c r="AO420" i="17"/>
  <c r="AI422" i="17"/>
  <c r="CK986" i="15"/>
  <c r="BV984" i="15"/>
  <c r="AH420" i="17"/>
  <c r="AI420" i="17"/>
  <c r="BX985" i="15"/>
  <c r="AO421" i="15"/>
  <c r="CI980" i="15" l="1"/>
  <c r="CJ980" i="15" s="1"/>
  <c r="CJ979" i="15" s="1"/>
  <c r="CC984" i="15"/>
  <c r="CN984" i="15" s="1"/>
  <c r="CF985" i="15"/>
  <c r="CQ985" i="15" s="1"/>
  <c r="CV985" i="15" s="1"/>
  <c r="CE985" i="15"/>
  <c r="CP985" i="15" s="1"/>
  <c r="CU985" i="15" s="1"/>
  <c r="CD985" i="15"/>
  <c r="BQ987" i="15"/>
  <c r="AH418" i="15"/>
  <c r="AK418" i="15" s="1"/>
  <c r="AL418" i="15" s="1"/>
  <c r="AM417" i="15"/>
  <c r="AN417" i="15" s="1"/>
  <c r="AJ417" i="15"/>
  <c r="AH422" i="17"/>
  <c r="AL421" i="17"/>
  <c r="AM421" i="17" s="1"/>
  <c r="AN421" i="17" s="1"/>
  <c r="AL424" i="17"/>
  <c r="AM424" i="17" s="1"/>
  <c r="AN424" i="17" s="1"/>
  <c r="AL423" i="17"/>
  <c r="AM423" i="17" s="1"/>
  <c r="AN423" i="17" s="1"/>
  <c r="AH424" i="17"/>
  <c r="AH421" i="17"/>
  <c r="AL420" i="17"/>
  <c r="AM420" i="17" s="1"/>
  <c r="AN420" i="17" s="1"/>
  <c r="AH423" i="17"/>
  <c r="AL422" i="17"/>
  <c r="AM422" i="17" s="1"/>
  <c r="AN422" i="17" s="1"/>
  <c r="AG422" i="15"/>
  <c r="AG422" i="17"/>
  <c r="BT986" i="15"/>
  <c r="CB984" i="15"/>
  <c r="BZ986" i="15"/>
  <c r="AP421" i="17"/>
  <c r="AO422" i="15"/>
  <c r="AP421" i="15"/>
  <c r="AO421" i="17"/>
  <c r="BT987" i="15"/>
  <c r="BW986" i="15"/>
  <c r="BV985" i="15"/>
  <c r="CB983" i="15"/>
  <c r="CH986" i="15"/>
  <c r="BX986" i="15"/>
  <c r="CH987" i="15"/>
  <c r="BW987" i="15"/>
  <c r="BY986" i="15"/>
  <c r="CN985" i="15" l="1"/>
  <c r="CS985" i="15" s="1"/>
  <c r="CS984" i="15"/>
  <c r="CO979" i="15"/>
  <c r="CT979" i="15" s="1"/>
  <c r="CK979" i="15"/>
  <c r="CJ978" i="15"/>
  <c r="CO980" i="15"/>
  <c r="CT980" i="15" s="1"/>
  <c r="CK980" i="15"/>
  <c r="CC985" i="15"/>
  <c r="CD986" i="15"/>
  <c r="CO986" i="15" s="1"/>
  <c r="CE986" i="15"/>
  <c r="CP986" i="15" s="1"/>
  <c r="CU986" i="15" s="1"/>
  <c r="CF986" i="15"/>
  <c r="CQ986" i="15" s="1"/>
  <c r="CV986" i="15" s="1"/>
  <c r="BQ988" i="15"/>
  <c r="AJ418" i="15"/>
  <c r="AM418" i="15"/>
  <c r="AN418" i="15" s="1"/>
  <c r="AH419" i="15"/>
  <c r="AK419" i="15" s="1"/>
  <c r="AL419" i="15" s="1"/>
  <c r="AJ420" i="15"/>
  <c r="AK420" i="15" s="1"/>
  <c r="AL420" i="15" s="1"/>
  <c r="AH421" i="15"/>
  <c r="AK421" i="15" s="1"/>
  <c r="AL421" i="15" s="1"/>
  <c r="AG423" i="15"/>
  <c r="AG423" i="17"/>
  <c r="AP422" i="15"/>
  <c r="AO423" i="15"/>
  <c r="AP422" i="17"/>
  <c r="AO422" i="17"/>
  <c r="BV986" i="15"/>
  <c r="BX987" i="15"/>
  <c r="BW988" i="15"/>
  <c r="BY987" i="15"/>
  <c r="CB985" i="15"/>
  <c r="CH988" i="15"/>
  <c r="BZ987" i="15"/>
  <c r="BT988" i="15"/>
  <c r="CT981" i="15" l="1"/>
  <c r="CI981" i="15"/>
  <c r="CI982" i="15" s="1"/>
  <c r="CO978" i="15"/>
  <c r="CT978" i="15" s="1"/>
  <c r="CK978" i="15"/>
  <c r="CJ977" i="15"/>
  <c r="CC986" i="15"/>
  <c r="CN986" i="15" s="1"/>
  <c r="CS986" i="15" s="1"/>
  <c r="CD987" i="15"/>
  <c r="CE987" i="15"/>
  <c r="CP987" i="15" s="1"/>
  <c r="CU987" i="15" s="1"/>
  <c r="CF987" i="15"/>
  <c r="CQ987" i="15" s="1"/>
  <c r="CV987" i="15" s="1"/>
  <c r="BQ989" i="15"/>
  <c r="AJ419" i="15"/>
  <c r="AM419" i="15"/>
  <c r="AN419" i="15" s="1"/>
  <c r="AM420" i="15"/>
  <c r="AN420" i="15" s="1"/>
  <c r="AG424" i="17"/>
  <c r="AG424" i="15"/>
  <c r="BW989" i="15"/>
  <c r="BX988" i="15"/>
  <c r="BZ988" i="15"/>
  <c r="AP423" i="17"/>
  <c r="BV987" i="15"/>
  <c r="AP423" i="15"/>
  <c r="CH989" i="15"/>
  <c r="BT989" i="15"/>
  <c r="CB986" i="15"/>
  <c r="AO423" i="17"/>
  <c r="BY988" i="15"/>
  <c r="AO424" i="15"/>
  <c r="CO977" i="15" l="1"/>
  <c r="CT977" i="15" s="1"/>
  <c r="CK977" i="15"/>
  <c r="CI983" i="15"/>
  <c r="CC987" i="15"/>
  <c r="CN987" i="15" s="1"/>
  <c r="CD988" i="15"/>
  <c r="CE988" i="15"/>
  <c r="CP988" i="15" s="1"/>
  <c r="CU988" i="15" s="1"/>
  <c r="CF988" i="15"/>
  <c r="CQ988" i="15" s="1"/>
  <c r="CV988" i="15" s="1"/>
  <c r="BQ990" i="15"/>
  <c r="AH422" i="15"/>
  <c r="AK422" i="15" s="1"/>
  <c r="AL422" i="15" s="1"/>
  <c r="AM421" i="15"/>
  <c r="AN421" i="15" s="1"/>
  <c r="AJ421" i="15"/>
  <c r="AG425" i="15"/>
  <c r="AG425" i="17"/>
  <c r="AI429" i="15"/>
  <c r="BT990" i="15"/>
  <c r="AI426" i="15"/>
  <c r="BX989" i="15"/>
  <c r="BV988" i="15"/>
  <c r="AI425" i="15"/>
  <c r="AI427" i="15"/>
  <c r="AO424" i="17"/>
  <c r="AI428" i="15"/>
  <c r="AP424" i="17"/>
  <c r="BZ989" i="15"/>
  <c r="BW990" i="15"/>
  <c r="AO425" i="15"/>
  <c r="BY989" i="15"/>
  <c r="CH990" i="15"/>
  <c r="AP424" i="15"/>
  <c r="CS987" i="15" l="1"/>
  <c r="CI984" i="15"/>
  <c r="CC988" i="15"/>
  <c r="CN988" i="15" s="1"/>
  <c r="CS988" i="15" s="1"/>
  <c r="CF989" i="15"/>
  <c r="CQ989" i="15" s="1"/>
  <c r="CV989" i="15" s="1"/>
  <c r="CD989" i="15"/>
  <c r="CE989" i="15"/>
  <c r="CP989" i="15" s="1"/>
  <c r="CU989" i="15" s="1"/>
  <c r="BQ991" i="15"/>
  <c r="AG426" i="17"/>
  <c r="AG426" i="15"/>
  <c r="AI428" i="17"/>
  <c r="AH425" i="15"/>
  <c r="CH991" i="15"/>
  <c r="BW991" i="15"/>
  <c r="AP425" i="17"/>
  <c r="AO426" i="15"/>
  <c r="BV989" i="15"/>
  <c r="BT991" i="15"/>
  <c r="AH425" i="17"/>
  <c r="BY990" i="15"/>
  <c r="AI429" i="17"/>
  <c r="AI427" i="17"/>
  <c r="BX990" i="15"/>
  <c r="AP425" i="15"/>
  <c r="AI426" i="17"/>
  <c r="AO425" i="17"/>
  <c r="AI425" i="17"/>
  <c r="BZ990" i="15"/>
  <c r="CB987" i="15"/>
  <c r="CK991" i="15"/>
  <c r="CI985" i="15" l="1"/>
  <c r="CJ985" i="15" s="1"/>
  <c r="CC989" i="15"/>
  <c r="CN989" i="15" s="1"/>
  <c r="CE990" i="15"/>
  <c r="CP990" i="15" s="1"/>
  <c r="CU990" i="15" s="1"/>
  <c r="CF990" i="15"/>
  <c r="CQ990" i="15" s="1"/>
  <c r="CV990" i="15" s="1"/>
  <c r="CD990" i="15"/>
  <c r="BQ992" i="15"/>
  <c r="AM422" i="15"/>
  <c r="AN422" i="15" s="1"/>
  <c r="AH423" i="15"/>
  <c r="AK423" i="15" s="1"/>
  <c r="AL423" i="15" s="1"/>
  <c r="AJ422" i="15"/>
  <c r="AH427" i="17"/>
  <c r="AL426" i="17"/>
  <c r="AM426" i="17" s="1"/>
  <c r="AN426" i="17" s="1"/>
  <c r="AH429" i="17"/>
  <c r="AL428" i="17"/>
  <c r="AM428" i="17" s="1"/>
  <c r="AN428" i="17" s="1"/>
  <c r="AH428" i="17"/>
  <c r="AL427" i="17"/>
  <c r="AM427" i="17" s="1"/>
  <c r="AN427" i="17" s="1"/>
  <c r="AL425" i="17"/>
  <c r="AM425" i="17" s="1"/>
  <c r="AN425" i="17" s="1"/>
  <c r="AH426" i="17"/>
  <c r="AL429" i="17"/>
  <c r="AM429" i="17" s="1"/>
  <c r="AN429" i="17" s="1"/>
  <c r="AG427" i="17"/>
  <c r="AG427" i="15"/>
  <c r="CH992" i="15"/>
  <c r="BV990" i="15"/>
  <c r="AP426" i="17"/>
  <c r="CB988" i="15"/>
  <c r="BX991" i="15"/>
  <c r="AP426" i="15"/>
  <c r="CB989" i="15"/>
  <c r="BY991" i="15"/>
  <c r="AO427" i="15"/>
  <c r="BZ991" i="15"/>
  <c r="BT992" i="15"/>
  <c r="BW992" i="15"/>
  <c r="AO426" i="17"/>
  <c r="CN990" i="15" l="1"/>
  <c r="CS990" i="15" s="1"/>
  <c r="CS989" i="15"/>
  <c r="CO985" i="15"/>
  <c r="CT985" i="15" s="1"/>
  <c r="CK985" i="15"/>
  <c r="CJ984" i="15"/>
  <c r="CC990" i="15"/>
  <c r="CE991" i="15"/>
  <c r="CP991" i="15" s="1"/>
  <c r="CU991" i="15" s="1"/>
  <c r="CF991" i="15"/>
  <c r="CQ991" i="15" s="1"/>
  <c r="CV991" i="15" s="1"/>
  <c r="CD991" i="15"/>
  <c r="CO991" i="15" s="1"/>
  <c r="BQ993" i="15"/>
  <c r="AJ425" i="15"/>
  <c r="AK425" i="15" s="1"/>
  <c r="AL425" i="15" s="1"/>
  <c r="AH426" i="15"/>
  <c r="AK426" i="15" s="1"/>
  <c r="AL426" i="15" s="1"/>
  <c r="AG428" i="15"/>
  <c r="AG428" i="17"/>
  <c r="AO428" i="15"/>
  <c r="AO427" i="17"/>
  <c r="CB990" i="15"/>
  <c r="BY992" i="15"/>
  <c r="BV991" i="15"/>
  <c r="AP427" i="15"/>
  <c r="BW993" i="15"/>
  <c r="AP427" i="17"/>
  <c r="BT993" i="15"/>
  <c r="CH993" i="15"/>
  <c r="BZ992" i="15"/>
  <c r="BX992" i="15"/>
  <c r="CT986" i="15" l="1"/>
  <c r="CI986" i="15"/>
  <c r="CI987" i="15" s="1"/>
  <c r="CO984" i="15"/>
  <c r="CT984" i="15" s="1"/>
  <c r="CK984" i="15"/>
  <c r="CJ983" i="15"/>
  <c r="CC991" i="15"/>
  <c r="CN991" i="15" s="1"/>
  <c r="CS991" i="15" s="1"/>
  <c r="CE992" i="15"/>
  <c r="CP992" i="15" s="1"/>
  <c r="CU992" i="15" s="1"/>
  <c r="CD992" i="15"/>
  <c r="CF992" i="15"/>
  <c r="CQ992" i="15" s="1"/>
  <c r="CV992" i="15" s="1"/>
  <c r="BQ994" i="15"/>
  <c r="AH424" i="15"/>
  <c r="AK424" i="15" s="1"/>
  <c r="AL424" i="15" s="1"/>
  <c r="AM423" i="15"/>
  <c r="AN423" i="15" s="1"/>
  <c r="AJ423" i="15"/>
  <c r="AG429" i="15"/>
  <c r="AG429" i="17"/>
  <c r="AO428" i="17"/>
  <c r="BZ993" i="15"/>
  <c r="BW994" i="15"/>
  <c r="AO429" i="15"/>
  <c r="AP428" i="17"/>
  <c r="CH994" i="15"/>
  <c r="AP428" i="15"/>
  <c r="BV992" i="15"/>
  <c r="BX993" i="15"/>
  <c r="BT994" i="15"/>
  <c r="BY993" i="15"/>
  <c r="CO983" i="15" l="1"/>
  <c r="CT983" i="15" s="1"/>
  <c r="CK983" i="15"/>
  <c r="CJ982" i="15"/>
  <c r="CI988" i="15"/>
  <c r="CC992" i="15"/>
  <c r="CN992" i="15" s="1"/>
  <c r="CF993" i="15"/>
  <c r="CQ993" i="15" s="1"/>
  <c r="CV993" i="15" s="1"/>
  <c r="CD993" i="15"/>
  <c r="CE993" i="15"/>
  <c r="CP993" i="15" s="1"/>
  <c r="CU993" i="15" s="1"/>
  <c r="BQ995" i="15"/>
  <c r="AH427" i="15"/>
  <c r="AK427" i="15" s="1"/>
  <c r="AL427" i="15" s="1"/>
  <c r="AM426" i="15"/>
  <c r="AN426" i="15" s="1"/>
  <c r="AJ426" i="15"/>
  <c r="AJ424" i="15"/>
  <c r="AM424" i="15"/>
  <c r="AN424" i="15" s="1"/>
  <c r="AM425" i="15"/>
  <c r="AN425" i="15" s="1"/>
  <c r="AG430" i="17"/>
  <c r="AG430" i="15"/>
  <c r="CB992" i="15"/>
  <c r="AI433" i="15"/>
  <c r="AO430" i="15"/>
  <c r="AI431" i="15"/>
  <c r="BV993" i="15"/>
  <c r="BW995" i="15"/>
  <c r="AI430" i="15"/>
  <c r="CB991" i="15"/>
  <c r="AP429" i="15"/>
  <c r="BY994" i="15"/>
  <c r="AO429" i="17"/>
  <c r="BX994" i="15"/>
  <c r="AI432" i="15"/>
  <c r="AP429" i="17"/>
  <c r="CH995" i="15"/>
  <c r="BT995" i="15"/>
  <c r="AI434" i="15"/>
  <c r="BZ994" i="15"/>
  <c r="CS992" i="15" l="1"/>
  <c r="CO982" i="15"/>
  <c r="CT982" i="15" s="1"/>
  <c r="CK982" i="15"/>
  <c r="CI989" i="15"/>
  <c r="CC993" i="15"/>
  <c r="CN993" i="15" s="1"/>
  <c r="CS993" i="15" s="1"/>
  <c r="CF994" i="15"/>
  <c r="CQ994" i="15" s="1"/>
  <c r="CV994" i="15" s="1"/>
  <c r="CE994" i="15"/>
  <c r="CP994" i="15" s="1"/>
  <c r="CU994" i="15" s="1"/>
  <c r="CD994" i="15"/>
  <c r="BQ996" i="15"/>
  <c r="AG431" i="15"/>
  <c r="AG431" i="17"/>
  <c r="AI432" i="17"/>
  <c r="BV994" i="15"/>
  <c r="BY995" i="15"/>
  <c r="AI434" i="17"/>
  <c r="AI433" i="17"/>
  <c r="AH430" i="15"/>
  <c r="AP430" i="17"/>
  <c r="CK996" i="15"/>
  <c r="BX995" i="15"/>
  <c r="BZ995" i="15"/>
  <c r="AP430" i="15"/>
  <c r="BT996" i="15"/>
  <c r="AO431" i="15"/>
  <c r="AH430" i="17"/>
  <c r="CH996" i="15"/>
  <c r="AO430" i="17"/>
  <c r="BW996" i="15"/>
  <c r="AI431" i="17"/>
  <c r="AI430" i="17"/>
  <c r="CI990" i="15" l="1"/>
  <c r="CJ990" i="15" s="1"/>
  <c r="CJ989" i="15" s="1"/>
  <c r="CC994" i="15"/>
  <c r="CN994" i="15" s="1"/>
  <c r="CF995" i="15"/>
  <c r="CQ995" i="15" s="1"/>
  <c r="CV995" i="15" s="1"/>
  <c r="CD995" i="15"/>
  <c r="CE995" i="15"/>
  <c r="CP995" i="15" s="1"/>
  <c r="CU995" i="15" s="1"/>
  <c r="BQ997" i="15"/>
  <c r="AM427" i="15"/>
  <c r="AN427" i="15" s="1"/>
  <c r="AH428" i="15"/>
  <c r="AK428" i="15" s="1"/>
  <c r="AL428" i="15" s="1"/>
  <c r="AJ427" i="15"/>
  <c r="AL431" i="17"/>
  <c r="AM431" i="17" s="1"/>
  <c r="AN431" i="17" s="1"/>
  <c r="AH432" i="17"/>
  <c r="AH433" i="17"/>
  <c r="AL432" i="17"/>
  <c r="AM432" i="17" s="1"/>
  <c r="AN432" i="17" s="1"/>
  <c r="AH431" i="17"/>
  <c r="AL430" i="17"/>
  <c r="AM430" i="17" s="1"/>
  <c r="AN430" i="17" s="1"/>
  <c r="AL433" i="17"/>
  <c r="AM433" i="17" s="1"/>
  <c r="AN433" i="17" s="1"/>
  <c r="AH434" i="17"/>
  <c r="AL434" i="17"/>
  <c r="AM434" i="17" s="1"/>
  <c r="AN434" i="17" s="1"/>
  <c r="AG432" i="15"/>
  <c r="AG432" i="17"/>
  <c r="CB993" i="15"/>
  <c r="AO431" i="17"/>
  <c r="BT997" i="15"/>
  <c r="BZ996" i="15"/>
  <c r="AP431" i="17"/>
  <c r="BV995" i="15"/>
  <c r="BW997" i="15"/>
  <c r="BX996" i="15"/>
  <c r="CH997" i="15"/>
  <c r="AO432" i="15"/>
  <c r="BY996" i="15"/>
  <c r="AP431" i="15"/>
  <c r="CN995" i="15" l="1"/>
  <c r="CS995" i="15" s="1"/>
  <c r="CS994" i="15"/>
  <c r="CK989" i="15"/>
  <c r="CO989" i="15"/>
  <c r="CT989" i="15" s="1"/>
  <c r="CJ988" i="15"/>
  <c r="CK990" i="15"/>
  <c r="CO990" i="15"/>
  <c r="CT990" i="15" s="1"/>
  <c r="CC995" i="15"/>
  <c r="CD996" i="15"/>
  <c r="CO996" i="15" s="1"/>
  <c r="CE996" i="15"/>
  <c r="CP996" i="15" s="1"/>
  <c r="CU996" i="15" s="1"/>
  <c r="CF996" i="15"/>
  <c r="CQ996" i="15" s="1"/>
  <c r="CV996" i="15" s="1"/>
  <c r="BQ998" i="15"/>
  <c r="AJ430" i="15"/>
  <c r="AK430" i="15" s="1"/>
  <c r="AL430" i="15" s="1"/>
  <c r="AH431" i="15"/>
  <c r="AK431" i="15" s="1"/>
  <c r="AL431" i="15" s="1"/>
  <c r="AG433" i="17"/>
  <c r="AG433" i="15"/>
  <c r="BY997" i="15"/>
  <c r="CB994" i="15"/>
  <c r="AO432" i="17"/>
  <c r="CB995" i="15"/>
  <c r="AP432" i="17"/>
  <c r="BW998" i="15"/>
  <c r="AP432" i="15"/>
  <c r="BV996" i="15"/>
  <c r="CH998" i="15"/>
  <c r="BX997" i="15"/>
  <c r="BZ997" i="15"/>
  <c r="AO433" i="15"/>
  <c r="BT998" i="15"/>
  <c r="CT991" i="15" l="1"/>
  <c r="CI991" i="15"/>
  <c r="CI992" i="15" s="1"/>
  <c r="CK988" i="15"/>
  <c r="CO988" i="15"/>
  <c r="CT988" i="15" s="1"/>
  <c r="CJ987" i="15"/>
  <c r="CC996" i="15"/>
  <c r="CN996" i="15" s="1"/>
  <c r="CS996" i="15" s="1"/>
  <c r="CF997" i="15"/>
  <c r="CQ997" i="15" s="1"/>
  <c r="CV997" i="15" s="1"/>
  <c r="CD997" i="15"/>
  <c r="CE997" i="15"/>
  <c r="CP997" i="15" s="1"/>
  <c r="CU997" i="15" s="1"/>
  <c r="BQ999" i="15"/>
  <c r="AM428" i="15"/>
  <c r="AN428" i="15" s="1"/>
  <c r="AH429" i="15"/>
  <c r="AK429" i="15" s="1"/>
  <c r="AL429" i="15" s="1"/>
  <c r="AJ428" i="15"/>
  <c r="AG434" i="17"/>
  <c r="AG434" i="15"/>
  <c r="BY998" i="15"/>
  <c r="AP433" i="15"/>
  <c r="BV997" i="15"/>
  <c r="AO433" i="17"/>
  <c r="AO434" i="15"/>
  <c r="BW999" i="15"/>
  <c r="BZ998" i="15"/>
  <c r="AP433" i="17"/>
  <c r="CH999" i="15"/>
  <c r="BX998" i="15"/>
  <c r="BT999" i="15"/>
  <c r="CK987" i="15" l="1"/>
  <c r="CO987" i="15"/>
  <c r="CT987" i="15" s="1"/>
  <c r="CI993" i="15"/>
  <c r="CC997" i="15"/>
  <c r="CN997" i="15" s="1"/>
  <c r="CE998" i="15"/>
  <c r="CP998" i="15" s="1"/>
  <c r="CU998" i="15" s="1"/>
  <c r="CF998" i="15"/>
  <c r="CQ998" i="15" s="1"/>
  <c r="CV998" i="15" s="1"/>
  <c r="CD998" i="15"/>
  <c r="BQ1000" i="15"/>
  <c r="AM429" i="15"/>
  <c r="AN429" i="15" s="1"/>
  <c r="AJ429" i="15"/>
  <c r="AM430" i="15"/>
  <c r="AN430" i="15" s="1"/>
  <c r="AH432" i="15"/>
  <c r="AK432" i="15" s="1"/>
  <c r="AL432" i="15" s="1"/>
  <c r="AM431" i="15"/>
  <c r="AN431" i="15" s="1"/>
  <c r="AJ431" i="15"/>
  <c r="AG435" i="15"/>
  <c r="AG435" i="17"/>
  <c r="CB996" i="15"/>
  <c r="AO435" i="15"/>
  <c r="BX999" i="15"/>
  <c r="BZ999" i="15"/>
  <c r="CB997" i="15"/>
  <c r="AP434" i="15"/>
  <c r="BY999" i="15"/>
  <c r="BT1000" i="15"/>
  <c r="AO434" i="17"/>
  <c r="AP434" i="17"/>
  <c r="AI438" i="15"/>
  <c r="AI439" i="15"/>
  <c r="AI436" i="15"/>
  <c r="BV998" i="15"/>
  <c r="AI437" i="15"/>
  <c r="BW1000" i="15"/>
  <c r="CH1000" i="15"/>
  <c r="AI435" i="15"/>
  <c r="CS997" i="15" l="1"/>
  <c r="CI994" i="15"/>
  <c r="CC998" i="15"/>
  <c r="CN998" i="15" s="1"/>
  <c r="CS998" i="15" s="1"/>
  <c r="CE999" i="15"/>
  <c r="CP999" i="15" s="1"/>
  <c r="CU999" i="15" s="1"/>
  <c r="CF999" i="15"/>
  <c r="CQ999" i="15" s="1"/>
  <c r="CV999" i="15" s="1"/>
  <c r="CD999" i="15"/>
  <c r="BQ1001" i="15"/>
  <c r="AG436" i="17"/>
  <c r="AG436" i="15"/>
  <c r="AO436" i="15"/>
  <c r="BZ1000" i="15"/>
  <c r="BY1000" i="15"/>
  <c r="BV999" i="15"/>
  <c r="BT1001" i="15"/>
  <c r="CK1001" i="15"/>
  <c r="AP435" i="17"/>
  <c r="AI439" i="17"/>
  <c r="CH1001" i="15"/>
  <c r="AP435" i="15"/>
  <c r="AH435" i="15"/>
  <c r="AI436" i="17"/>
  <c r="AI437" i="17"/>
  <c r="AH435" i="17"/>
  <c r="AO435" i="17"/>
  <c r="BX1000" i="15"/>
  <c r="BW1001" i="15"/>
  <c r="AI438" i="17"/>
  <c r="AI435" i="17"/>
  <c r="CI995" i="15" l="1"/>
  <c r="CJ995" i="15" s="1"/>
  <c r="CC999" i="15"/>
  <c r="CN999" i="15" s="1"/>
  <c r="CE1000" i="15"/>
  <c r="CP1000" i="15" s="1"/>
  <c r="CU1000" i="15" s="1"/>
  <c r="CD1000" i="15"/>
  <c r="CF1000" i="15"/>
  <c r="CQ1000" i="15" s="1"/>
  <c r="CV1000" i="15" s="1"/>
  <c r="BQ1002" i="15"/>
  <c r="AM432" i="15"/>
  <c r="AN432" i="15" s="1"/>
  <c r="AH433" i="15"/>
  <c r="AK433" i="15" s="1"/>
  <c r="AL433" i="15" s="1"/>
  <c r="AJ432" i="15"/>
  <c r="AH437" i="17"/>
  <c r="AL436" i="17"/>
  <c r="AM436" i="17" s="1"/>
  <c r="AN436" i="17" s="1"/>
  <c r="AH439" i="17"/>
  <c r="AL438" i="17"/>
  <c r="AM438" i="17" s="1"/>
  <c r="AN438" i="17" s="1"/>
  <c r="AH438" i="17"/>
  <c r="AL437" i="17"/>
  <c r="AM437" i="17" s="1"/>
  <c r="AN437" i="17" s="1"/>
  <c r="AH436" i="17"/>
  <c r="AL435" i="17"/>
  <c r="AM435" i="17" s="1"/>
  <c r="AN435" i="17" s="1"/>
  <c r="AL439" i="17"/>
  <c r="AM439" i="17" s="1"/>
  <c r="AN439" i="17" s="1"/>
  <c r="AG437" i="17"/>
  <c r="AG437" i="15"/>
  <c r="CB998" i="15"/>
  <c r="BT1002" i="15"/>
  <c r="CB999" i="15"/>
  <c r="AP436" i="15"/>
  <c r="AO437" i="15"/>
  <c r="BY1001" i="15"/>
  <c r="BW1002" i="15"/>
  <c r="BZ1001" i="15"/>
  <c r="AP436" i="17"/>
  <c r="BX1001" i="15"/>
  <c r="AO436" i="17"/>
  <c r="CH1002" i="15"/>
  <c r="BV1000" i="15"/>
  <c r="CN1000" i="15" l="1"/>
  <c r="CS1000" i="15" s="1"/>
  <c r="CS999" i="15"/>
  <c r="CK995" i="15"/>
  <c r="CO995" i="15"/>
  <c r="CT995" i="15" s="1"/>
  <c r="CJ994" i="15"/>
  <c r="CC1000" i="15"/>
  <c r="CD1001" i="15"/>
  <c r="CO1001" i="15" s="1"/>
  <c r="CF1001" i="15"/>
  <c r="CQ1001" i="15" s="1"/>
  <c r="CV1001" i="15" s="1"/>
  <c r="CE1001" i="15"/>
  <c r="CP1001" i="15" s="1"/>
  <c r="CU1001" i="15" s="1"/>
  <c r="BQ1003" i="15"/>
  <c r="AJ435" i="15"/>
  <c r="AK435" i="15" s="1"/>
  <c r="AL435" i="15" s="1"/>
  <c r="AH436" i="15"/>
  <c r="AK436" i="15" s="1"/>
  <c r="AL436" i="15" s="1"/>
  <c r="AG438" i="15"/>
  <c r="AG438" i="17"/>
  <c r="BV1001" i="15"/>
  <c r="AP437" i="17"/>
  <c r="BY1002" i="15"/>
  <c r="CH1003" i="15"/>
  <c r="AO437" i="17"/>
  <c r="BW1003" i="15"/>
  <c r="AP437" i="15"/>
  <c r="BT1003" i="15"/>
  <c r="CB1000" i="15"/>
  <c r="AO438" i="15"/>
  <c r="BZ1002" i="15"/>
  <c r="BX1002" i="15"/>
  <c r="CT996" i="15" l="1"/>
  <c r="CI996" i="15"/>
  <c r="CI997" i="15" s="1"/>
  <c r="CO994" i="15"/>
  <c r="CT994" i="15" s="1"/>
  <c r="CK994" i="15"/>
  <c r="CJ993" i="15"/>
  <c r="CC1001" i="15"/>
  <c r="CN1001" i="15" s="1"/>
  <c r="CS1001" i="15" s="1"/>
  <c r="CF1002" i="15"/>
  <c r="CQ1002" i="15" s="1"/>
  <c r="CV1002" i="15" s="1"/>
  <c r="CE1002" i="15"/>
  <c r="CP1002" i="15" s="1"/>
  <c r="CU1002" i="15" s="1"/>
  <c r="CD1002" i="15"/>
  <c r="BQ1004" i="15"/>
  <c r="AH434" i="15"/>
  <c r="AK434" i="15" s="1"/>
  <c r="AL434" i="15" s="1"/>
  <c r="AM433" i="15"/>
  <c r="AN433" i="15" s="1"/>
  <c r="AJ433" i="15"/>
  <c r="AG439" i="17"/>
  <c r="AG439" i="15"/>
  <c r="BX1003" i="15"/>
  <c r="AO439" i="15"/>
  <c r="BZ1003" i="15"/>
  <c r="BY1003" i="15"/>
  <c r="AP438" i="17"/>
  <c r="AO438" i="17"/>
  <c r="AP438" i="15"/>
  <c r="BV1002" i="15"/>
  <c r="CH1004" i="15"/>
  <c r="BW1004" i="15"/>
  <c r="BT1004" i="15"/>
  <c r="CK993" i="15" l="1"/>
  <c r="CO993" i="15"/>
  <c r="CT993" i="15" s="1"/>
  <c r="CJ992" i="15"/>
  <c r="CI998" i="15"/>
  <c r="CC1002" i="15"/>
  <c r="CN1002" i="15" s="1"/>
  <c r="CD1003" i="15"/>
  <c r="CF1003" i="15"/>
  <c r="CQ1003" i="15" s="1"/>
  <c r="CV1003" i="15" s="1"/>
  <c r="CE1003" i="15"/>
  <c r="CP1003" i="15" s="1"/>
  <c r="CU1003" i="15" s="1"/>
  <c r="BQ1005" i="15"/>
  <c r="AM436" i="15"/>
  <c r="AN436" i="15" s="1"/>
  <c r="AH437" i="15"/>
  <c r="AK437" i="15" s="1"/>
  <c r="AL437" i="15" s="1"/>
  <c r="AJ436" i="15"/>
  <c r="AJ434" i="15"/>
  <c r="AM434" i="15"/>
  <c r="AN434" i="15" s="1"/>
  <c r="AM435" i="15"/>
  <c r="AN435" i="15" s="1"/>
  <c r="AG440" i="17"/>
  <c r="AG440" i="15"/>
  <c r="BW1005" i="15"/>
  <c r="BZ1004" i="15"/>
  <c r="AI444" i="15"/>
  <c r="CB1002" i="15"/>
  <c r="BV1003" i="15"/>
  <c r="BX1004" i="15"/>
  <c r="AI443" i="15"/>
  <c r="AO440" i="15"/>
  <c r="AI440" i="15"/>
  <c r="BT1005" i="15"/>
  <c r="CB1001" i="15"/>
  <c r="AI442" i="15"/>
  <c r="AP439" i="15"/>
  <c r="BY1004" i="15"/>
  <c r="AP439" i="17"/>
  <c r="CH1005" i="15"/>
  <c r="AI441" i="15"/>
  <c r="AO439" i="17"/>
  <c r="CS1002" i="15" l="1"/>
  <c r="CO992" i="15"/>
  <c r="CT992" i="15" s="1"/>
  <c r="CK992" i="15"/>
  <c r="CI999" i="15"/>
  <c r="CC1003" i="15"/>
  <c r="CN1003" i="15" s="1"/>
  <c r="CS1003" i="15" s="1"/>
  <c r="CE1004" i="15"/>
  <c r="CP1004" i="15" s="1"/>
  <c r="CU1004" i="15" s="1"/>
  <c r="CD1004" i="15"/>
  <c r="CF1004" i="15"/>
  <c r="CQ1004" i="15" s="1"/>
  <c r="CV1004" i="15" s="1"/>
  <c r="BQ1006" i="15"/>
  <c r="AG441" i="15"/>
  <c r="AG441" i="17"/>
  <c r="AH440" i="17"/>
  <c r="CB1003" i="15"/>
  <c r="CH1006" i="15"/>
  <c r="AH440" i="15"/>
  <c r="AP440" i="15"/>
  <c r="BZ1005" i="15"/>
  <c r="CK1006" i="15"/>
  <c r="BT1006" i="15"/>
  <c r="AO440" i="17"/>
  <c r="BX1005" i="15"/>
  <c r="AI440" i="17"/>
  <c r="AP440" i="17"/>
  <c r="AO441" i="15"/>
  <c r="BY1005" i="15"/>
  <c r="AI444" i="17"/>
  <c r="AI442" i="17"/>
  <c r="AI443" i="17"/>
  <c r="AI441" i="17"/>
  <c r="BW1006" i="15"/>
  <c r="BV1004" i="15"/>
  <c r="CI1000" i="15" l="1"/>
  <c r="CJ1000" i="15" s="1"/>
  <c r="CJ999" i="15" s="1"/>
  <c r="CC1004" i="15"/>
  <c r="CN1004" i="15" s="1"/>
  <c r="CF1005" i="15"/>
  <c r="CQ1005" i="15" s="1"/>
  <c r="CV1005" i="15" s="1"/>
  <c r="CD1005" i="15"/>
  <c r="CE1005" i="15"/>
  <c r="CP1005" i="15" s="1"/>
  <c r="CU1005" i="15" s="1"/>
  <c r="BQ1007" i="15"/>
  <c r="AM437" i="15"/>
  <c r="AN437" i="15" s="1"/>
  <c r="AH438" i="15"/>
  <c r="AK438" i="15" s="1"/>
  <c r="AL438" i="15" s="1"/>
  <c r="AJ437" i="15"/>
  <c r="AL441" i="17"/>
  <c r="AM441" i="17" s="1"/>
  <c r="AN441" i="17" s="1"/>
  <c r="AH442" i="17"/>
  <c r="AL444" i="17"/>
  <c r="AM444" i="17" s="1"/>
  <c r="AN444" i="17" s="1"/>
  <c r="AH441" i="17"/>
  <c r="AL440" i="17"/>
  <c r="AM440" i="17" s="1"/>
  <c r="AN440" i="17" s="1"/>
  <c r="AH444" i="17"/>
  <c r="AL443" i="17"/>
  <c r="AM443" i="17" s="1"/>
  <c r="AN443" i="17" s="1"/>
  <c r="AH443" i="17"/>
  <c r="AL442" i="17"/>
  <c r="AM442" i="17" s="1"/>
  <c r="AN442" i="17" s="1"/>
  <c r="AG442" i="15"/>
  <c r="AG442" i="17"/>
  <c r="BT1007" i="15"/>
  <c r="CH1007" i="15"/>
  <c r="AO442" i="15"/>
  <c r="AP441" i="15"/>
  <c r="BV1005" i="15"/>
  <c r="BX1006" i="15"/>
  <c r="BZ1006" i="15"/>
  <c r="AO441" i="17"/>
  <c r="BW1007" i="15"/>
  <c r="AP441" i="17"/>
  <c r="BY1006" i="15"/>
  <c r="CN1005" i="15" l="1"/>
  <c r="CS1005" i="15" s="1"/>
  <c r="CS1004" i="15"/>
  <c r="CO999" i="15"/>
  <c r="CT999" i="15" s="1"/>
  <c r="CK999" i="15"/>
  <c r="CJ998" i="15"/>
  <c r="CO1000" i="15"/>
  <c r="CT1000" i="15" s="1"/>
  <c r="CK1000" i="15"/>
  <c r="CC1005" i="15"/>
  <c r="CE1006" i="15"/>
  <c r="CP1006" i="15" s="1"/>
  <c r="CU1006" i="15" s="1"/>
  <c r="CF1006" i="15"/>
  <c r="CQ1006" i="15" s="1"/>
  <c r="CV1006" i="15" s="1"/>
  <c r="CD1006" i="15"/>
  <c r="CO1006" i="15" s="1"/>
  <c r="BQ1008" i="15"/>
  <c r="AJ440" i="15"/>
  <c r="AK440" i="15" s="1"/>
  <c r="AL440" i="15" s="1"/>
  <c r="AH441" i="15"/>
  <c r="AK441" i="15" s="1"/>
  <c r="AL441" i="15" s="1"/>
  <c r="AG443" i="15"/>
  <c r="AG443" i="17"/>
  <c r="BT1008" i="15"/>
  <c r="CH1008" i="15"/>
  <c r="AP442" i="15"/>
  <c r="CB1004" i="15"/>
  <c r="BY1007" i="15"/>
  <c r="AP442" i="17"/>
  <c r="AO442" i="17"/>
  <c r="BZ1007" i="15"/>
  <c r="BV1006" i="15"/>
  <c r="BW1008" i="15"/>
  <c r="BX1007" i="15"/>
  <c r="CB1005" i="15"/>
  <c r="AO443" i="15"/>
  <c r="CT1001" i="15" l="1"/>
  <c r="CI1001" i="15"/>
  <c r="CI1002" i="15" s="1"/>
  <c r="CO998" i="15"/>
  <c r="CT998" i="15" s="1"/>
  <c r="CK998" i="15"/>
  <c r="CJ997" i="15"/>
  <c r="CC1006" i="15"/>
  <c r="CN1006" i="15" s="1"/>
  <c r="CS1006" i="15" s="1"/>
  <c r="CF1007" i="15"/>
  <c r="CQ1007" i="15" s="1"/>
  <c r="CV1007" i="15" s="1"/>
  <c r="CE1007" i="15"/>
  <c r="CP1007" i="15" s="1"/>
  <c r="CU1007" i="15" s="1"/>
  <c r="CD1007" i="15"/>
  <c r="BQ1009" i="15"/>
  <c r="AM438" i="15"/>
  <c r="AN438" i="15" s="1"/>
  <c r="AH439" i="15"/>
  <c r="AK439" i="15" s="1"/>
  <c r="AL439" i="15" s="1"/>
  <c r="AJ438" i="15"/>
  <c r="AG444" i="17"/>
  <c r="AG444" i="15"/>
  <c r="BY1008" i="15"/>
  <c r="BW1009" i="15"/>
  <c r="BV1007" i="15"/>
  <c r="AO444" i="15"/>
  <c r="BZ1008" i="15"/>
  <c r="BT1009" i="15"/>
  <c r="BX1008" i="15"/>
  <c r="AP443" i="15"/>
  <c r="AP443" i="17"/>
  <c r="AO443" i="17"/>
  <c r="CH1009" i="15"/>
  <c r="CO997" i="15" l="1"/>
  <c r="CT997" i="15" s="1"/>
  <c r="CK997" i="15"/>
  <c r="CI1003" i="15"/>
  <c r="CC1007" i="15"/>
  <c r="CN1007" i="15" s="1"/>
  <c r="CE1008" i="15"/>
  <c r="CP1008" i="15" s="1"/>
  <c r="CU1008" i="15" s="1"/>
  <c r="CD1008" i="15"/>
  <c r="CF1008" i="15"/>
  <c r="CQ1008" i="15" s="1"/>
  <c r="CV1008" i="15" s="1"/>
  <c r="BQ1010" i="15"/>
  <c r="AM439" i="15"/>
  <c r="AN439" i="15" s="1"/>
  <c r="AJ439" i="15"/>
  <c r="AM440" i="15"/>
  <c r="AN440" i="15" s="1"/>
  <c r="AH442" i="15"/>
  <c r="AK442" i="15" s="1"/>
  <c r="AL442" i="15" s="1"/>
  <c r="AM441" i="15"/>
  <c r="AN441" i="15" s="1"/>
  <c r="AJ441" i="15"/>
  <c r="AG445" i="15"/>
  <c r="AG445" i="17"/>
  <c r="CB1006" i="15"/>
  <c r="AP444" i="17"/>
  <c r="BV1008" i="15"/>
  <c r="CH1010" i="15"/>
  <c r="AI449" i="15"/>
  <c r="AP444" i="15"/>
  <c r="AI445" i="15"/>
  <c r="BW1010" i="15"/>
  <c r="BX1009" i="15"/>
  <c r="BY1009" i="15"/>
  <c r="AO445" i="15"/>
  <c r="AO444" i="17"/>
  <c r="BT1010" i="15"/>
  <c r="BZ1009" i="15"/>
  <c r="AI446" i="15"/>
  <c r="AI447" i="15"/>
  <c r="AI448" i="15"/>
  <c r="CS1007" i="15" l="1"/>
  <c r="CI1004" i="15"/>
  <c r="CC1008" i="15"/>
  <c r="CN1008" i="15" s="1"/>
  <c r="CS1008" i="15" s="1"/>
  <c r="CF1009" i="15"/>
  <c r="CQ1009" i="15" s="1"/>
  <c r="CV1009" i="15" s="1"/>
  <c r="CD1009" i="15"/>
  <c r="CE1009" i="15"/>
  <c r="CP1009" i="15" s="1"/>
  <c r="CU1009" i="15" s="1"/>
  <c r="BQ1011" i="15"/>
  <c r="AG446" i="17"/>
  <c r="AG446" i="15"/>
  <c r="AP445" i="15"/>
  <c r="AI449" i="17"/>
  <c r="AI448" i="17"/>
  <c r="CB1007" i="15"/>
  <c r="AI447" i="17"/>
  <c r="BZ1010" i="15"/>
  <c r="AP445" i="17"/>
  <c r="AH445" i="17"/>
  <c r="BX1010" i="15"/>
  <c r="AI446" i="17"/>
  <c r="BW1011" i="15"/>
  <c r="AH445" i="15"/>
  <c r="AO446" i="15"/>
  <c r="AO445" i="17"/>
  <c r="AI445" i="17"/>
  <c r="BV1009" i="15"/>
  <c r="BY1010" i="15"/>
  <c r="BT1011" i="15"/>
  <c r="CI1005" i="15" l="1"/>
  <c r="CJ1005" i="15" s="1"/>
  <c r="CC1009" i="15"/>
  <c r="CN1009" i="15" s="1"/>
  <c r="CE1010" i="15"/>
  <c r="CP1010" i="15" s="1"/>
  <c r="CU1010" i="15" s="1"/>
  <c r="CF1010" i="15"/>
  <c r="CQ1010" i="15" s="1"/>
  <c r="CV1010" i="15" s="1"/>
  <c r="CD1010" i="15"/>
  <c r="BQ1012" i="15"/>
  <c r="AH443" i="15"/>
  <c r="AK443" i="15" s="1"/>
  <c r="AL443" i="15" s="1"/>
  <c r="AM442" i="15"/>
  <c r="AN442" i="15" s="1"/>
  <c r="AJ442" i="15"/>
  <c r="AH447" i="17"/>
  <c r="AL446" i="17"/>
  <c r="AM446" i="17" s="1"/>
  <c r="AN446" i="17" s="1"/>
  <c r="AL447" i="17"/>
  <c r="AM447" i="17" s="1"/>
  <c r="AN447" i="17" s="1"/>
  <c r="AH448" i="17"/>
  <c r="AH449" i="17"/>
  <c r="AL448" i="17"/>
  <c r="AM448" i="17" s="1"/>
  <c r="AN448" i="17" s="1"/>
  <c r="AH446" i="17"/>
  <c r="AL445" i="17"/>
  <c r="AM445" i="17" s="1"/>
  <c r="AN445" i="17" s="1"/>
  <c r="AL449" i="17"/>
  <c r="AM449" i="17" s="1"/>
  <c r="AN449" i="17" s="1"/>
  <c r="AG447" i="15"/>
  <c r="AG447" i="17"/>
  <c r="CH1011" i="15"/>
  <c r="CB1008" i="15"/>
  <c r="BT1012" i="15"/>
  <c r="BX1011" i="15"/>
  <c r="BZ1011" i="15"/>
  <c r="CK1011" i="15"/>
  <c r="AP446" i="15"/>
  <c r="AO446" i="17"/>
  <c r="AP446" i="17"/>
  <c r="BY1011" i="15"/>
  <c r="CH1012" i="15"/>
  <c r="BW1012" i="15"/>
  <c r="BV1010" i="15"/>
  <c r="AO447" i="15"/>
  <c r="CN1010" i="15" l="1"/>
  <c r="CS1010" i="15" s="1"/>
  <c r="CS1009" i="15"/>
  <c r="CK1005" i="15"/>
  <c r="CO1005" i="15"/>
  <c r="CT1005" i="15" s="1"/>
  <c r="CJ1004" i="15"/>
  <c r="CC1010" i="15"/>
  <c r="CF1011" i="15"/>
  <c r="CQ1011" i="15" s="1"/>
  <c r="CV1011" i="15" s="1"/>
  <c r="CD1011" i="15"/>
  <c r="CO1011" i="15" s="1"/>
  <c r="CE1011" i="15"/>
  <c r="CP1011" i="15" s="1"/>
  <c r="CU1011" i="15" s="1"/>
  <c r="BQ1013" i="15"/>
  <c r="AJ445" i="15"/>
  <c r="AK445" i="15" s="1"/>
  <c r="AL445" i="15" s="1"/>
  <c r="AH446" i="15"/>
  <c r="AK446" i="15" s="1"/>
  <c r="AL446" i="15" s="1"/>
  <c r="AG448" i="17"/>
  <c r="AG448" i="15"/>
  <c r="AP447" i="17"/>
  <c r="BV1011" i="15"/>
  <c r="BT1013" i="15"/>
  <c r="CB1010" i="15"/>
  <c r="CH1013" i="15"/>
  <c r="BX1012" i="15"/>
  <c r="AP447" i="15"/>
  <c r="AO447" i="17"/>
  <c r="BY1012" i="15"/>
  <c r="CB1009" i="15"/>
  <c r="BW1013" i="15"/>
  <c r="BZ1012" i="15"/>
  <c r="AO448" i="15"/>
  <c r="CT1006" i="15" l="1"/>
  <c r="CI1006" i="15"/>
  <c r="CI1007" i="15" s="1"/>
  <c r="CK1004" i="15"/>
  <c r="CO1004" i="15"/>
  <c r="CT1004" i="15" s="1"/>
  <c r="CJ1003" i="15"/>
  <c r="CC1011" i="15"/>
  <c r="CN1011" i="15" s="1"/>
  <c r="CS1011" i="15" s="1"/>
  <c r="CD1012" i="15"/>
  <c r="CE1012" i="15"/>
  <c r="CP1012" i="15" s="1"/>
  <c r="CU1012" i="15" s="1"/>
  <c r="CF1012" i="15"/>
  <c r="CQ1012" i="15" s="1"/>
  <c r="CV1012" i="15" s="1"/>
  <c r="BQ1014" i="15"/>
  <c r="AM443" i="15"/>
  <c r="AN443" i="15" s="1"/>
  <c r="AH444" i="15"/>
  <c r="AK444" i="15" s="1"/>
  <c r="AL444" i="15" s="1"/>
  <c r="AJ443" i="15"/>
  <c r="AG449" i="15"/>
  <c r="AG449" i="17"/>
  <c r="BX1013" i="15"/>
  <c r="BW1014" i="15"/>
  <c r="AO449" i="15"/>
  <c r="BZ1013" i="15"/>
  <c r="AP448" i="17"/>
  <c r="BY1013" i="15"/>
  <c r="AP448" i="15"/>
  <c r="AO448" i="17"/>
  <c r="BV1012" i="15"/>
  <c r="BT1014" i="15"/>
  <c r="CH1014" i="15"/>
  <c r="CK1003" i="15" l="1"/>
  <c r="CO1003" i="15"/>
  <c r="CT1003" i="15" s="1"/>
  <c r="CJ1002" i="15"/>
  <c r="CI1008" i="15"/>
  <c r="CC1012" i="15"/>
  <c r="CN1012" i="15" s="1"/>
  <c r="CF1013" i="15"/>
  <c r="CQ1013" i="15" s="1"/>
  <c r="CV1013" i="15" s="1"/>
  <c r="CD1013" i="15"/>
  <c r="CE1013" i="15"/>
  <c r="CP1013" i="15" s="1"/>
  <c r="CU1013" i="15" s="1"/>
  <c r="BQ1015" i="15"/>
  <c r="AJ444" i="15"/>
  <c r="AM444" i="15"/>
  <c r="AN444" i="15" s="1"/>
  <c r="AM445" i="15"/>
  <c r="AN445" i="15" s="1"/>
  <c r="AM446" i="15"/>
  <c r="AN446" i="15" s="1"/>
  <c r="AH447" i="15"/>
  <c r="AK447" i="15" s="1"/>
  <c r="AL447" i="15" s="1"/>
  <c r="AJ446" i="15"/>
  <c r="AG450" i="17"/>
  <c r="AG450" i="15"/>
  <c r="BX1014" i="15"/>
  <c r="AI452" i="15"/>
  <c r="CB1011" i="15"/>
  <c r="CH1015" i="15"/>
  <c r="AO449" i="17"/>
  <c r="BZ1014" i="15"/>
  <c r="AP449" i="15"/>
  <c r="AI451" i="15"/>
  <c r="BY1014" i="15"/>
  <c r="AO450" i="15"/>
  <c r="BT1015" i="15"/>
  <c r="AI450" i="15"/>
  <c r="CB1012" i="15"/>
  <c r="BW1015" i="15"/>
  <c r="AI454" i="15"/>
  <c r="BV1013" i="15"/>
  <c r="AI453" i="15"/>
  <c r="AP449" i="17"/>
  <c r="CS1012" i="15" l="1"/>
  <c r="CK1002" i="15"/>
  <c r="CO1002" i="15"/>
  <c r="CT1002" i="15" s="1"/>
  <c r="CI1009" i="15"/>
  <c r="CC1013" i="15"/>
  <c r="CN1013" i="15" s="1"/>
  <c r="CS1013" i="15" s="1"/>
  <c r="CE1014" i="15"/>
  <c r="CP1014" i="15" s="1"/>
  <c r="CU1014" i="15" s="1"/>
  <c r="CF1014" i="15"/>
  <c r="CQ1014" i="15" s="1"/>
  <c r="CV1014" i="15" s="1"/>
  <c r="CD1014" i="15"/>
  <c r="BQ1016" i="15"/>
  <c r="AG451" i="15"/>
  <c r="AG451" i="17"/>
  <c r="AI454" i="17"/>
  <c r="AP450" i="15"/>
  <c r="BZ1015" i="15"/>
  <c r="AH450" i="15"/>
  <c r="AH450" i="17"/>
  <c r="BV1014" i="15"/>
  <c r="AI450" i="17"/>
  <c r="AI452" i="17"/>
  <c r="CH1016" i="15"/>
  <c r="BX1015" i="15"/>
  <c r="AI451" i="17"/>
  <c r="BY1015" i="15"/>
  <c r="AP450" i="17"/>
  <c r="AI453" i="17"/>
  <c r="AO451" i="15"/>
  <c r="AO450" i="17"/>
  <c r="BW1016" i="15"/>
  <c r="CI1010" i="15" l="1"/>
  <c r="CJ1010" i="15" s="1"/>
  <c r="CJ1009" i="15" s="1"/>
  <c r="CC1014" i="15"/>
  <c r="CN1014" i="15" s="1"/>
  <c r="CF1015" i="15"/>
  <c r="CQ1015" i="15" s="1"/>
  <c r="CV1015" i="15" s="1"/>
  <c r="CE1015" i="15"/>
  <c r="CP1015" i="15" s="1"/>
  <c r="CU1015" i="15" s="1"/>
  <c r="CD1015" i="15"/>
  <c r="BQ1017" i="15"/>
  <c r="AH448" i="15"/>
  <c r="AK448" i="15" s="1"/>
  <c r="AL448" i="15" s="1"/>
  <c r="AM447" i="15"/>
  <c r="AN447" i="15" s="1"/>
  <c r="AJ447" i="15"/>
  <c r="AH453" i="17"/>
  <c r="AL452" i="17"/>
  <c r="AM452" i="17" s="1"/>
  <c r="AN452" i="17" s="1"/>
  <c r="AH452" i="17"/>
  <c r="AL451" i="17"/>
  <c r="AM451" i="17" s="1"/>
  <c r="AN451" i="17" s="1"/>
  <c r="AH451" i="17"/>
  <c r="AL450" i="17"/>
  <c r="AM450" i="17" s="1"/>
  <c r="AN450" i="17" s="1"/>
  <c r="AH454" i="17"/>
  <c r="AL453" i="17"/>
  <c r="AM453" i="17" s="1"/>
  <c r="AN453" i="17" s="1"/>
  <c r="AL454" i="17"/>
  <c r="AM454" i="17" s="1"/>
  <c r="AN454" i="17" s="1"/>
  <c r="AG452" i="15"/>
  <c r="AG452" i="17"/>
  <c r="CK1016" i="15"/>
  <c r="CB1013" i="15"/>
  <c r="BX1016" i="15"/>
  <c r="AP451" i="15"/>
  <c r="BV1015" i="15"/>
  <c r="AO451" i="17"/>
  <c r="BW1017" i="15"/>
  <c r="BT1016" i="15"/>
  <c r="AO452" i="15"/>
  <c r="BZ1016" i="15"/>
  <c r="AP451" i="17"/>
  <c r="BT1017" i="15"/>
  <c r="CH1017" i="15"/>
  <c r="BY1016" i="15"/>
  <c r="CN1015" i="15" l="1"/>
  <c r="CS1015" i="15" s="1"/>
  <c r="CS1014" i="15"/>
  <c r="CK1009" i="15"/>
  <c r="CO1009" i="15"/>
  <c r="CT1009" i="15" s="1"/>
  <c r="CJ1008" i="15"/>
  <c r="CK1010" i="15"/>
  <c r="CO1010" i="15"/>
  <c r="CT1010" i="15" s="1"/>
  <c r="CC1015" i="15"/>
  <c r="CE1016" i="15"/>
  <c r="CP1016" i="15" s="1"/>
  <c r="CU1016" i="15" s="1"/>
  <c r="CD1016" i="15"/>
  <c r="CO1016" i="15" s="1"/>
  <c r="CF1016" i="15"/>
  <c r="CQ1016" i="15" s="1"/>
  <c r="CV1016" i="15" s="1"/>
  <c r="BQ1018" i="15"/>
  <c r="AJ450" i="15"/>
  <c r="AK450" i="15" s="1"/>
  <c r="AL450" i="15" s="1"/>
  <c r="AH451" i="15"/>
  <c r="AK451" i="15" s="1"/>
  <c r="AL451" i="15" s="1"/>
  <c r="AG453" i="17"/>
  <c r="AG453" i="15"/>
  <c r="AO453" i="15"/>
  <c r="BW1018" i="15"/>
  <c r="AO452" i="17"/>
  <c r="BV1016" i="15"/>
  <c r="BZ1017" i="15"/>
  <c r="CH1018" i="15"/>
  <c r="AP452" i="15"/>
  <c r="AP452" i="17"/>
  <c r="BT1018" i="15"/>
  <c r="BY1017" i="15"/>
  <c r="CB1014" i="15"/>
  <c r="BX1017" i="15"/>
  <c r="CB1015" i="15"/>
  <c r="CT1011" i="15" l="1"/>
  <c r="CI1011" i="15"/>
  <c r="CI1012" i="15" s="1"/>
  <c r="CK1008" i="15"/>
  <c r="CO1008" i="15"/>
  <c r="CT1008" i="15" s="1"/>
  <c r="CJ1007" i="15"/>
  <c r="CC1016" i="15"/>
  <c r="CN1016" i="15" s="1"/>
  <c r="CS1016" i="15" s="1"/>
  <c r="CF1017" i="15"/>
  <c r="CQ1017" i="15" s="1"/>
  <c r="CV1017" i="15" s="1"/>
  <c r="CD1017" i="15"/>
  <c r="CE1017" i="15"/>
  <c r="CP1017" i="15" s="1"/>
  <c r="CU1017" i="15" s="1"/>
  <c r="BQ1019" i="15"/>
  <c r="AM448" i="15"/>
  <c r="AN448" i="15" s="1"/>
  <c r="AH449" i="15"/>
  <c r="AK449" i="15" s="1"/>
  <c r="AL449" i="15" s="1"/>
  <c r="AJ448" i="15"/>
  <c r="AG454" i="15"/>
  <c r="AG454" i="17"/>
  <c r="BY1018" i="15"/>
  <c r="CH1019" i="15"/>
  <c r="AO454" i="15"/>
  <c r="AP453" i="17"/>
  <c r="BT1019" i="15"/>
  <c r="AO453" i="17"/>
  <c r="BX1018" i="15"/>
  <c r="BV1017" i="15"/>
  <c r="BW1019" i="15"/>
  <c r="AP453" i="15"/>
  <c r="BZ1018" i="15"/>
  <c r="CK1007" i="15" l="1"/>
  <c r="CO1007" i="15"/>
  <c r="CT1007" i="15" s="1"/>
  <c r="CI1013" i="15"/>
  <c r="CC1017" i="15"/>
  <c r="CN1017" i="15" s="1"/>
  <c r="CF1018" i="15"/>
  <c r="CQ1018" i="15" s="1"/>
  <c r="CV1018" i="15" s="1"/>
  <c r="CE1018" i="15"/>
  <c r="CP1018" i="15" s="1"/>
  <c r="CU1018" i="15" s="1"/>
  <c r="CD1018" i="15"/>
  <c r="BQ1020" i="15"/>
  <c r="AH452" i="15"/>
  <c r="AK452" i="15" s="1"/>
  <c r="AL452" i="15" s="1"/>
  <c r="AM451" i="15"/>
  <c r="AN451" i="15" s="1"/>
  <c r="AJ451" i="15"/>
  <c r="AJ449" i="15"/>
  <c r="AM449" i="15"/>
  <c r="AN449" i="15" s="1"/>
  <c r="AM450" i="15"/>
  <c r="AN450" i="15" s="1"/>
  <c r="AG455" i="15"/>
  <c r="AG455" i="17"/>
  <c r="CB1016" i="15"/>
  <c r="AI455" i="15"/>
  <c r="BX1019" i="15"/>
  <c r="AI459" i="15"/>
  <c r="AP454" i="15"/>
  <c r="BT1020" i="15"/>
  <c r="BW1020" i="15"/>
  <c r="AI458" i="15"/>
  <c r="BV1018" i="15"/>
  <c r="BY1019" i="15"/>
  <c r="AO454" i="17"/>
  <c r="AO455" i="15"/>
  <c r="BZ1019" i="15"/>
  <c r="AP454" i="17"/>
  <c r="CH1020" i="15"/>
  <c r="AI457" i="15"/>
  <c r="AI456" i="15"/>
  <c r="CS1017" i="15" l="1"/>
  <c r="CI1014" i="15"/>
  <c r="CC1018" i="15"/>
  <c r="CN1018" i="15" s="1"/>
  <c r="CS1018" i="15" s="1"/>
  <c r="CE1019" i="15"/>
  <c r="CP1019" i="15" s="1"/>
  <c r="CU1019" i="15" s="1"/>
  <c r="CF1019" i="15"/>
  <c r="CQ1019" i="15" s="1"/>
  <c r="CV1019" i="15" s="1"/>
  <c r="CD1019" i="15"/>
  <c r="BQ1021" i="15"/>
  <c r="AG456" i="17"/>
  <c r="AG456" i="15"/>
  <c r="AI459" i="17"/>
  <c r="BZ1020" i="15"/>
  <c r="AI455" i="17"/>
  <c r="BT1021" i="15"/>
  <c r="CB1017" i="15"/>
  <c r="AH455" i="15"/>
  <c r="BV1019" i="15"/>
  <c r="AO456" i="15"/>
  <c r="AP455" i="17"/>
  <c r="AP455" i="15"/>
  <c r="AH455" i="17"/>
  <c r="BX1020" i="15"/>
  <c r="AI457" i="17"/>
  <c r="BY1020" i="15"/>
  <c r="AI458" i="17"/>
  <c r="AI456" i="17"/>
  <c r="BW1021" i="15"/>
  <c r="AO455" i="17"/>
  <c r="CH1021" i="15"/>
  <c r="CK1021" i="15"/>
  <c r="CI1015" i="15" l="1"/>
  <c r="CJ1015" i="15" s="1"/>
  <c r="CC1019" i="15"/>
  <c r="CN1019" i="15" s="1"/>
  <c r="CD1020" i="15"/>
  <c r="CE1020" i="15"/>
  <c r="CP1020" i="15" s="1"/>
  <c r="CU1020" i="15" s="1"/>
  <c r="CF1020" i="15"/>
  <c r="CQ1020" i="15" s="1"/>
  <c r="CV1020" i="15" s="1"/>
  <c r="BQ1022" i="15"/>
  <c r="AM452" i="15"/>
  <c r="AN452" i="15" s="1"/>
  <c r="AH453" i="15"/>
  <c r="AK453" i="15" s="1"/>
  <c r="AL453" i="15" s="1"/>
  <c r="AJ452" i="15"/>
  <c r="AH457" i="17"/>
  <c r="AL456" i="17"/>
  <c r="AM456" i="17" s="1"/>
  <c r="AN456" i="17" s="1"/>
  <c r="AL457" i="17"/>
  <c r="AM457" i="17" s="1"/>
  <c r="AN457" i="17" s="1"/>
  <c r="AH458" i="17"/>
  <c r="AH459" i="17"/>
  <c r="AL458" i="17"/>
  <c r="AM458" i="17" s="1"/>
  <c r="AN458" i="17" s="1"/>
  <c r="AL455" i="17"/>
  <c r="AM455" i="17" s="1"/>
  <c r="AN455" i="17" s="1"/>
  <c r="AH456" i="17"/>
  <c r="AL459" i="17"/>
  <c r="AM459" i="17" s="1"/>
  <c r="AN459" i="17" s="1"/>
  <c r="AG457" i="17"/>
  <c r="AG457" i="15"/>
  <c r="CB1018" i="15"/>
  <c r="AO457" i="15"/>
  <c r="BZ1021" i="15"/>
  <c r="CH1022" i="15"/>
  <c r="AP456" i="15"/>
  <c r="BX1021" i="15"/>
  <c r="CB1019" i="15"/>
  <c r="AP456" i="17"/>
  <c r="BY1021" i="15"/>
  <c r="BW1022" i="15"/>
  <c r="BV1020" i="15"/>
  <c r="AO456" i="17"/>
  <c r="BT1022" i="15"/>
  <c r="CN1020" i="15" l="1"/>
  <c r="CS1020" i="15" s="1"/>
  <c r="CS1019" i="15"/>
  <c r="CK1015" i="15"/>
  <c r="CO1015" i="15"/>
  <c r="CT1015" i="15" s="1"/>
  <c r="CJ1014" i="15"/>
  <c r="CC1020" i="15"/>
  <c r="CD1021" i="15"/>
  <c r="CO1021" i="15" s="1"/>
  <c r="CF1021" i="15"/>
  <c r="CQ1021" i="15" s="1"/>
  <c r="CV1021" i="15" s="1"/>
  <c r="CE1021" i="15"/>
  <c r="CP1021" i="15" s="1"/>
  <c r="CU1021" i="15" s="1"/>
  <c r="BQ1023" i="15"/>
  <c r="AJ455" i="15"/>
  <c r="AK455" i="15" s="1"/>
  <c r="AL455" i="15" s="1"/>
  <c r="AH456" i="15"/>
  <c r="AK456" i="15" s="1"/>
  <c r="AL456" i="15" s="1"/>
  <c r="AG458" i="15"/>
  <c r="AG458" i="17"/>
  <c r="AP457" i="17"/>
  <c r="BZ1022" i="15"/>
  <c r="AO458" i="15"/>
  <c r="AO457" i="17"/>
  <c r="BT1023" i="15"/>
  <c r="CH1023" i="15"/>
  <c r="AP457" i="15"/>
  <c r="CB1020" i="15"/>
  <c r="BW1023" i="15"/>
  <c r="BX1022" i="15"/>
  <c r="BV1021" i="15"/>
  <c r="BY1022" i="15"/>
  <c r="CT1016" i="15" l="1"/>
  <c r="CI1016" i="15"/>
  <c r="CI1017" i="15" s="1"/>
  <c r="CK1014" i="15"/>
  <c r="CO1014" i="15"/>
  <c r="CT1014" i="15" s="1"/>
  <c r="CJ1013" i="15"/>
  <c r="CC1021" i="15"/>
  <c r="CN1021" i="15" s="1"/>
  <c r="CS1021" i="15" s="1"/>
  <c r="CF1022" i="15"/>
  <c r="CQ1022" i="15" s="1"/>
  <c r="CV1022" i="15" s="1"/>
  <c r="CE1022" i="15"/>
  <c r="CP1022" i="15" s="1"/>
  <c r="CU1022" i="15" s="1"/>
  <c r="CD1022" i="15"/>
  <c r="BQ1024" i="15"/>
  <c r="AH454" i="15"/>
  <c r="AK454" i="15" s="1"/>
  <c r="AL454" i="15" s="1"/>
  <c r="AM453" i="15"/>
  <c r="AN453" i="15" s="1"/>
  <c r="AJ453" i="15"/>
  <c r="AG459" i="17"/>
  <c r="AG459" i="15"/>
  <c r="AO458" i="17"/>
  <c r="BZ1023" i="15"/>
  <c r="AP458" i="17"/>
  <c r="BT1024" i="15"/>
  <c r="BV1022" i="15"/>
  <c r="CH1024" i="15"/>
  <c r="BW1024" i="15"/>
  <c r="BX1023" i="15"/>
  <c r="AP458" i="15"/>
  <c r="BY1023" i="15"/>
  <c r="AO459" i="15"/>
  <c r="CK1013" i="15" l="1"/>
  <c r="CO1013" i="15"/>
  <c r="CT1013" i="15" s="1"/>
  <c r="CJ1012" i="15"/>
  <c r="CI1018" i="15"/>
  <c r="CC1022" i="15"/>
  <c r="CN1022" i="15" s="1"/>
  <c r="CF1023" i="15"/>
  <c r="CQ1023" i="15" s="1"/>
  <c r="CV1023" i="15" s="1"/>
  <c r="CE1023" i="15"/>
  <c r="CP1023" i="15" s="1"/>
  <c r="CU1023" i="15" s="1"/>
  <c r="CD1023" i="15"/>
  <c r="BQ1025" i="15"/>
  <c r="AH457" i="15"/>
  <c r="AK457" i="15" s="1"/>
  <c r="AL457" i="15" s="1"/>
  <c r="AM456" i="15"/>
  <c r="AN456" i="15" s="1"/>
  <c r="AJ456" i="15"/>
  <c r="AJ454" i="15"/>
  <c r="AM454" i="15"/>
  <c r="AN454" i="15" s="1"/>
  <c r="AM455" i="15"/>
  <c r="AN455" i="15" s="1"/>
  <c r="AG460" i="17"/>
  <c r="AG460" i="15"/>
  <c r="AI462" i="15"/>
  <c r="AO459" i="17"/>
  <c r="BY1024" i="15"/>
  <c r="BW1025" i="15"/>
  <c r="BX1024" i="15"/>
  <c r="AP459" i="15"/>
  <c r="AO460" i="15"/>
  <c r="BV1023" i="15"/>
  <c r="AI460" i="15"/>
  <c r="AP459" i="17"/>
  <c r="BZ1024" i="15"/>
  <c r="AI463" i="15"/>
  <c r="CH1025" i="15"/>
  <c r="AI461" i="15"/>
  <c r="AI464" i="15"/>
  <c r="BT1025" i="15"/>
  <c r="CB1021" i="15"/>
  <c r="CS1022" i="15" l="1"/>
  <c r="CK1012" i="15"/>
  <c r="CO1012" i="15"/>
  <c r="CT1012" i="15" s="1"/>
  <c r="CI1019" i="15"/>
  <c r="CC1023" i="15"/>
  <c r="CN1023" i="15" s="1"/>
  <c r="CS1023" i="15" s="1"/>
  <c r="CD1024" i="15"/>
  <c r="CE1024" i="15"/>
  <c r="CP1024" i="15" s="1"/>
  <c r="CU1024" i="15" s="1"/>
  <c r="CF1024" i="15"/>
  <c r="CQ1024" i="15" s="1"/>
  <c r="CV1024" i="15" s="1"/>
  <c r="BQ1026" i="15"/>
  <c r="AG461" i="15"/>
  <c r="AG461" i="17"/>
  <c r="BZ1025" i="15"/>
  <c r="CB1022" i="15"/>
  <c r="CH1026" i="15"/>
  <c r="BT1026" i="15"/>
  <c r="AI461" i="17"/>
  <c r="CK1026" i="15"/>
  <c r="AP460" i="15"/>
  <c r="AO461" i="15"/>
  <c r="AI462" i="17"/>
  <c r="AI464" i="17"/>
  <c r="AH460" i="15"/>
  <c r="BV1024" i="15"/>
  <c r="BX1025" i="15"/>
  <c r="AH460" i="17"/>
  <c r="AO460" i="17"/>
  <c r="BW1026" i="15"/>
  <c r="AI460" i="17"/>
  <c r="AP460" i="17"/>
  <c r="AI463" i="17"/>
  <c r="BY1025" i="15"/>
  <c r="CI1020" i="15" l="1"/>
  <c r="CJ1020" i="15" s="1"/>
  <c r="CJ1019" i="15" s="1"/>
  <c r="CC1024" i="15"/>
  <c r="CN1024" i="15" s="1"/>
  <c r="CD1025" i="15"/>
  <c r="CF1025" i="15"/>
  <c r="CQ1025" i="15" s="1"/>
  <c r="CV1025" i="15" s="1"/>
  <c r="CE1025" i="15"/>
  <c r="CP1025" i="15" s="1"/>
  <c r="CU1025" i="15" s="1"/>
  <c r="BQ1027" i="15"/>
  <c r="AH458" i="15"/>
  <c r="AK458" i="15" s="1"/>
  <c r="AL458" i="15" s="1"/>
  <c r="AM457" i="15"/>
  <c r="AN457" i="15" s="1"/>
  <c r="AJ457" i="15"/>
  <c r="AL464" i="17"/>
  <c r="AM464" i="17" s="1"/>
  <c r="AN464" i="17" s="1"/>
  <c r="AH462" i="17"/>
  <c r="AL461" i="17"/>
  <c r="AM461" i="17" s="1"/>
  <c r="AN461" i="17" s="1"/>
  <c r="AL463" i="17"/>
  <c r="AM463" i="17" s="1"/>
  <c r="AN463" i="17" s="1"/>
  <c r="AH464" i="17"/>
  <c r="AH461" i="17"/>
  <c r="AL460" i="17"/>
  <c r="AM460" i="17" s="1"/>
  <c r="AN460" i="17" s="1"/>
  <c r="AH463" i="17"/>
  <c r="AL462" i="17"/>
  <c r="AM462" i="17" s="1"/>
  <c r="AN462" i="17" s="1"/>
  <c r="AG462" i="15"/>
  <c r="AG462" i="17"/>
  <c r="CB1023" i="15"/>
  <c r="AO461" i="17"/>
  <c r="BY1026" i="15"/>
  <c r="BX1026" i="15"/>
  <c r="AP461" i="17"/>
  <c r="CH1027" i="15"/>
  <c r="BW1027" i="15"/>
  <c r="AP461" i="15"/>
  <c r="AO462" i="15"/>
  <c r="CB1024" i="15"/>
  <c r="BT1027" i="15"/>
  <c r="BZ1026" i="15"/>
  <c r="BV1025" i="15"/>
  <c r="CN1025" i="15" l="1"/>
  <c r="CS1025" i="15" s="1"/>
  <c r="CS1024" i="15"/>
  <c r="CO1019" i="15"/>
  <c r="CT1019" i="15" s="1"/>
  <c r="CK1019" i="15"/>
  <c r="CJ1018" i="15"/>
  <c r="CO1020" i="15"/>
  <c r="CT1020" i="15" s="1"/>
  <c r="CK1020" i="15"/>
  <c r="CC1025" i="15"/>
  <c r="CF1026" i="15"/>
  <c r="CQ1026" i="15" s="1"/>
  <c r="CV1026" i="15" s="1"/>
  <c r="CE1026" i="15"/>
  <c r="CP1026" i="15" s="1"/>
  <c r="CU1026" i="15" s="1"/>
  <c r="CD1026" i="15"/>
  <c r="CO1026" i="15" s="1"/>
  <c r="BQ1028" i="15"/>
  <c r="AJ458" i="15"/>
  <c r="AH459" i="15"/>
  <c r="AK459" i="15" s="1"/>
  <c r="AL459" i="15" s="1"/>
  <c r="AM458" i="15"/>
  <c r="AN458" i="15" s="1"/>
  <c r="AJ460" i="15"/>
  <c r="AK460" i="15" s="1"/>
  <c r="AL460" i="15" s="1"/>
  <c r="AH461" i="15"/>
  <c r="AK461" i="15" s="1"/>
  <c r="AL461" i="15" s="1"/>
  <c r="AG463" i="15"/>
  <c r="AG463" i="17"/>
  <c r="BY1027" i="15"/>
  <c r="AP462" i="15"/>
  <c r="AP462" i="17"/>
  <c r="BZ1027" i="15"/>
  <c r="AO463" i="15"/>
  <c r="BT1028" i="15"/>
  <c r="CB1025" i="15"/>
  <c r="CH1028" i="15"/>
  <c r="BV1026" i="15"/>
  <c r="BW1028" i="15"/>
  <c r="BX1027" i="15"/>
  <c r="AO462" i="17"/>
  <c r="CT1021" i="15" l="1"/>
  <c r="CI1021" i="15"/>
  <c r="CI1022" i="15" s="1"/>
  <c r="CO1018" i="15"/>
  <c r="CT1018" i="15" s="1"/>
  <c r="CK1018" i="15"/>
  <c r="CJ1017" i="15"/>
  <c r="CC1026" i="15"/>
  <c r="CN1026" i="15" s="1"/>
  <c r="CS1026" i="15" s="1"/>
  <c r="CF1027" i="15"/>
  <c r="CQ1027" i="15" s="1"/>
  <c r="CV1027" i="15" s="1"/>
  <c r="CE1027" i="15"/>
  <c r="CP1027" i="15" s="1"/>
  <c r="CU1027" i="15" s="1"/>
  <c r="CD1027" i="15"/>
  <c r="BQ1029" i="15"/>
  <c r="AJ459" i="15"/>
  <c r="AM459" i="15"/>
  <c r="AN459" i="15" s="1"/>
  <c r="AM460" i="15"/>
  <c r="AN460" i="15" s="1"/>
  <c r="AG464" i="17"/>
  <c r="AG464" i="15"/>
  <c r="BZ1028" i="15"/>
  <c r="BW1029" i="15"/>
  <c r="BX1028" i="15"/>
  <c r="BT1029" i="15"/>
  <c r="AO463" i="17"/>
  <c r="AP463" i="17"/>
  <c r="AP463" i="15"/>
  <c r="BY1028" i="15"/>
  <c r="BV1027" i="15"/>
  <c r="CH1029" i="15"/>
  <c r="AO464" i="15"/>
  <c r="CO1017" i="15" l="1"/>
  <c r="CT1017" i="15" s="1"/>
  <c r="CK1017" i="15"/>
  <c r="CI1023" i="15"/>
  <c r="CC1027" i="15"/>
  <c r="CN1027" i="15" s="1"/>
  <c r="CD1028" i="15"/>
  <c r="CE1028" i="15"/>
  <c r="CP1028" i="15" s="1"/>
  <c r="CU1028" i="15" s="1"/>
  <c r="CF1028" i="15"/>
  <c r="CQ1028" i="15" s="1"/>
  <c r="CV1028" i="15" s="1"/>
  <c r="BQ1030" i="15"/>
  <c r="AM461" i="15"/>
  <c r="AN461" i="15" s="1"/>
  <c r="AH462" i="15"/>
  <c r="AK462" i="15" s="1"/>
  <c r="AL462" i="15" s="1"/>
  <c r="AJ461" i="15"/>
  <c r="AG465" i="15"/>
  <c r="AG465" i="17"/>
  <c r="AP464" i="17"/>
  <c r="AO465" i="15"/>
  <c r="BZ1029" i="15"/>
  <c r="AP464" i="15"/>
  <c r="AI469" i="15"/>
  <c r="CH1030" i="15"/>
  <c r="BV1028" i="15"/>
  <c r="BW1030" i="15"/>
  <c r="BX1029" i="15"/>
  <c r="AO464" i="17"/>
  <c r="AI468" i="15"/>
  <c r="AI466" i="15"/>
  <c r="AI465" i="15"/>
  <c r="BT1030" i="15"/>
  <c r="AI467" i="15"/>
  <c r="BY1029" i="15"/>
  <c r="CB1026" i="15"/>
  <c r="CS1027" i="15" l="1"/>
  <c r="CI1024" i="15"/>
  <c r="CC1028" i="15"/>
  <c r="CN1028" i="15" s="1"/>
  <c r="CS1028" i="15" s="1"/>
  <c r="CD1029" i="15"/>
  <c r="CF1029" i="15"/>
  <c r="CQ1029" i="15" s="1"/>
  <c r="CV1029" i="15" s="1"/>
  <c r="CE1029" i="15"/>
  <c r="CP1029" i="15" s="1"/>
  <c r="CU1029" i="15" s="1"/>
  <c r="BQ1031" i="15"/>
  <c r="AG466" i="17"/>
  <c r="AG466" i="15"/>
  <c r="AP465" i="15"/>
  <c r="AH465" i="17"/>
  <c r="AO466" i="15"/>
  <c r="AI469" i="17"/>
  <c r="AI468" i="17"/>
  <c r="BX1030" i="15"/>
  <c r="BY1030" i="15"/>
  <c r="CK1031" i="15"/>
  <c r="AI467" i="17"/>
  <c r="BZ1030" i="15"/>
  <c r="AI466" i="17"/>
  <c r="CB1028" i="15"/>
  <c r="AH465" i="15"/>
  <c r="CB1027" i="15"/>
  <c r="BW1031" i="15"/>
  <c r="AO465" i="17"/>
  <c r="CH1031" i="15"/>
  <c r="AP465" i="17"/>
  <c r="AI465" i="17"/>
  <c r="BV1029" i="15"/>
  <c r="BT1031" i="15"/>
  <c r="CI1025" i="15" l="1"/>
  <c r="CJ1025" i="15" s="1"/>
  <c r="CJ1024" i="15" s="1"/>
  <c r="CC1029" i="15"/>
  <c r="CN1029" i="15" s="1"/>
  <c r="CF1030" i="15"/>
  <c r="CQ1030" i="15" s="1"/>
  <c r="CV1030" i="15" s="1"/>
  <c r="CE1030" i="15"/>
  <c r="CP1030" i="15" s="1"/>
  <c r="CU1030" i="15" s="1"/>
  <c r="CD1030" i="15"/>
  <c r="BQ1032" i="15"/>
  <c r="AH463" i="15"/>
  <c r="AK463" i="15" s="1"/>
  <c r="AL463" i="15" s="1"/>
  <c r="AM462" i="15"/>
  <c r="AN462" i="15" s="1"/>
  <c r="AJ462" i="15"/>
  <c r="AH466" i="17"/>
  <c r="AL465" i="17"/>
  <c r="AM465" i="17" s="1"/>
  <c r="AN465" i="17" s="1"/>
  <c r="AH468" i="17"/>
  <c r="AL467" i="17"/>
  <c r="AM467" i="17" s="1"/>
  <c r="AN467" i="17" s="1"/>
  <c r="AL466" i="17"/>
  <c r="AM466" i="17" s="1"/>
  <c r="AN466" i="17" s="1"/>
  <c r="AH467" i="17"/>
  <c r="AL469" i="17"/>
  <c r="AM469" i="17" s="1"/>
  <c r="AN469" i="17" s="1"/>
  <c r="AL468" i="17"/>
  <c r="AM468" i="17" s="1"/>
  <c r="AN468" i="17" s="1"/>
  <c r="AH469" i="17"/>
  <c r="AG467" i="15"/>
  <c r="AG467" i="17"/>
  <c r="BT1032" i="15"/>
  <c r="CB1029" i="15"/>
  <c r="BW1032" i="15"/>
  <c r="AO466" i="17"/>
  <c r="AO467" i="15"/>
  <c r="BZ1031" i="15"/>
  <c r="BY1031" i="15"/>
  <c r="CH1032" i="15"/>
  <c r="AP466" i="15"/>
  <c r="AP466" i="17"/>
  <c r="BX1031" i="15"/>
  <c r="BV1030" i="15"/>
  <c r="CN1030" i="15" l="1"/>
  <c r="CS1030" i="15" s="1"/>
  <c r="CS1029" i="15"/>
  <c r="CO1024" i="15"/>
  <c r="CT1024" i="15" s="1"/>
  <c r="CK1024" i="15"/>
  <c r="CJ1023" i="15"/>
  <c r="CO1025" i="15"/>
  <c r="CT1025" i="15" s="1"/>
  <c r="CK1025" i="15"/>
  <c r="CC1030" i="15"/>
  <c r="CF1031" i="15"/>
  <c r="CQ1031" i="15" s="1"/>
  <c r="CV1031" i="15" s="1"/>
  <c r="CE1031" i="15"/>
  <c r="CP1031" i="15" s="1"/>
  <c r="CU1031" i="15" s="1"/>
  <c r="CD1031" i="15"/>
  <c r="CO1031" i="15" s="1"/>
  <c r="BQ1033" i="15"/>
  <c r="AJ465" i="15"/>
  <c r="AK465" i="15" s="1"/>
  <c r="AL465" i="15" s="1"/>
  <c r="AH466" i="15"/>
  <c r="AK466" i="15" s="1"/>
  <c r="AL466" i="15" s="1"/>
  <c r="AG468" i="17"/>
  <c r="AG468" i="15"/>
  <c r="BX1032" i="15"/>
  <c r="BV1031" i="15"/>
  <c r="BT1033" i="15"/>
  <c r="AP467" i="17"/>
  <c r="AP467" i="15"/>
  <c r="BZ1032" i="15"/>
  <c r="AO467" i="17"/>
  <c r="BY1032" i="15"/>
  <c r="CH1033" i="15"/>
  <c r="AO468" i="15"/>
  <c r="CB1030" i="15"/>
  <c r="BW1033" i="15"/>
  <c r="CT1026" i="15" l="1"/>
  <c r="CI1026" i="15"/>
  <c r="CI1027" i="15" s="1"/>
  <c r="CO1023" i="15"/>
  <c r="CT1023" i="15" s="1"/>
  <c r="CK1023" i="15"/>
  <c r="CJ1022" i="15"/>
  <c r="CC1031" i="15"/>
  <c r="CN1031" i="15" s="1"/>
  <c r="CS1031" i="15" s="1"/>
  <c r="CD1032" i="15"/>
  <c r="CE1032" i="15"/>
  <c r="CP1032" i="15" s="1"/>
  <c r="CU1032" i="15" s="1"/>
  <c r="CF1032" i="15"/>
  <c r="CQ1032" i="15" s="1"/>
  <c r="CV1032" i="15" s="1"/>
  <c r="BQ1034" i="15"/>
  <c r="AH464" i="15"/>
  <c r="AK464" i="15" s="1"/>
  <c r="AL464" i="15" s="1"/>
  <c r="AM463" i="15"/>
  <c r="AN463" i="15" s="1"/>
  <c r="AJ463" i="15"/>
  <c r="AG469" i="17"/>
  <c r="AG469" i="15"/>
  <c r="AP468" i="17"/>
  <c r="BV1032" i="15"/>
  <c r="AO469" i="15"/>
  <c r="BY1033" i="15"/>
  <c r="BT1034" i="15"/>
  <c r="BW1034" i="15"/>
  <c r="AP468" i="15"/>
  <c r="CH1034" i="15"/>
  <c r="AO468" i="17"/>
  <c r="BZ1033" i="15"/>
  <c r="BX1033" i="15"/>
  <c r="CO1022" i="15" l="1"/>
  <c r="CT1022" i="15" s="1"/>
  <c r="CK1022" i="15"/>
  <c r="CI1028" i="15"/>
  <c r="CC1032" i="15"/>
  <c r="CN1032" i="15" s="1"/>
  <c r="CF1033" i="15"/>
  <c r="CQ1033" i="15" s="1"/>
  <c r="CV1033" i="15" s="1"/>
  <c r="CD1033" i="15"/>
  <c r="CE1033" i="15"/>
  <c r="CP1033" i="15" s="1"/>
  <c r="CU1033" i="15" s="1"/>
  <c r="BQ1035" i="15"/>
  <c r="AH467" i="15"/>
  <c r="AK467" i="15" s="1"/>
  <c r="AL467" i="15" s="1"/>
  <c r="AM466" i="15"/>
  <c r="AN466" i="15" s="1"/>
  <c r="AJ466" i="15"/>
  <c r="AJ464" i="15"/>
  <c r="AM464" i="15"/>
  <c r="AN464" i="15" s="1"/>
  <c r="AM465" i="15"/>
  <c r="AN465" i="15" s="1"/>
  <c r="AG470" i="17"/>
  <c r="AG470" i="15"/>
  <c r="CB1031" i="15"/>
  <c r="AO469" i="17"/>
  <c r="BX1034" i="15"/>
  <c r="BV1033" i="15"/>
  <c r="AO470" i="15"/>
  <c r="BY1034" i="15"/>
  <c r="CH1035" i="15"/>
  <c r="BZ1034" i="15"/>
  <c r="AP469" i="17"/>
  <c r="AP469" i="15"/>
  <c r="AI473" i="15"/>
  <c r="BT1035" i="15"/>
  <c r="AI470" i="15"/>
  <c r="BW1035" i="15"/>
  <c r="AI474" i="15"/>
  <c r="CS1032" i="15" l="1"/>
  <c r="CI1029" i="15"/>
  <c r="CC1033" i="15"/>
  <c r="CN1033" i="15" s="1"/>
  <c r="CS1033" i="15" s="1"/>
  <c r="CF1034" i="15"/>
  <c r="CQ1034" i="15" s="1"/>
  <c r="CV1034" i="15" s="1"/>
  <c r="CE1034" i="15"/>
  <c r="CP1034" i="15" s="1"/>
  <c r="CU1034" i="15" s="1"/>
  <c r="CD1034" i="15"/>
  <c r="BQ1036" i="15"/>
  <c r="AG471" i="17"/>
  <c r="AG471" i="15"/>
  <c r="AI472" i="15"/>
  <c r="AO470" i="17"/>
  <c r="AH470" i="15"/>
  <c r="CH1036" i="15"/>
  <c r="AP470" i="15"/>
  <c r="CK1036" i="15"/>
  <c r="AI472" i="17"/>
  <c r="AI471" i="15"/>
  <c r="AI471" i="17"/>
  <c r="AO471" i="15"/>
  <c r="BV1034" i="15"/>
  <c r="AH470" i="17"/>
  <c r="AI470" i="17"/>
  <c r="AP470" i="17"/>
  <c r="BY1035" i="15"/>
  <c r="BX1035" i="15"/>
  <c r="BT1036" i="15"/>
  <c r="AI474" i="17"/>
  <c r="BZ1035" i="15"/>
  <c r="AI473" i="17"/>
  <c r="BW1036" i="15"/>
  <c r="CB1032" i="15"/>
  <c r="CI1030" i="15" l="1"/>
  <c r="CJ1030" i="15" s="1"/>
  <c r="CJ1029" i="15" s="1"/>
  <c r="CC1034" i="15"/>
  <c r="CN1034" i="15" s="1"/>
  <c r="CE1035" i="15"/>
  <c r="CP1035" i="15" s="1"/>
  <c r="CU1035" i="15" s="1"/>
  <c r="CF1035" i="15"/>
  <c r="CQ1035" i="15" s="1"/>
  <c r="CV1035" i="15" s="1"/>
  <c r="CD1035" i="15"/>
  <c r="BQ1037" i="15"/>
  <c r="AH468" i="15"/>
  <c r="AK468" i="15" s="1"/>
  <c r="AL468" i="15" s="1"/>
  <c r="AM467" i="15"/>
  <c r="AN467" i="15" s="1"/>
  <c r="AJ467" i="15"/>
  <c r="AH472" i="17"/>
  <c r="AL471" i="17"/>
  <c r="AM471" i="17" s="1"/>
  <c r="AN471" i="17" s="1"/>
  <c r="AH473" i="17"/>
  <c r="AL472" i="17"/>
  <c r="AM472" i="17" s="1"/>
  <c r="AN472" i="17" s="1"/>
  <c r="AL470" i="17"/>
  <c r="AM470" i="17" s="1"/>
  <c r="AN470" i="17" s="1"/>
  <c r="AH471" i="17"/>
  <c r="AH474" i="17"/>
  <c r="AL473" i="17"/>
  <c r="AM473" i="17" s="1"/>
  <c r="AN473" i="17" s="1"/>
  <c r="AL474" i="17"/>
  <c r="AM474" i="17" s="1"/>
  <c r="AN474" i="17" s="1"/>
  <c r="AG472" i="15"/>
  <c r="AG472" i="17"/>
  <c r="AO471" i="17"/>
  <c r="AO472" i="15"/>
  <c r="BY1036" i="15"/>
  <c r="CH1037" i="15"/>
  <c r="BZ1036" i="15"/>
  <c r="BX1036" i="15"/>
  <c r="BW1037" i="15"/>
  <c r="CB1033" i="15"/>
  <c r="AP471" i="15"/>
  <c r="AP471" i="17"/>
  <c r="BV1035" i="15"/>
  <c r="BT1037" i="15"/>
  <c r="CN1035" i="15" l="1"/>
  <c r="CS1035" i="15" s="1"/>
  <c r="CS1034" i="15"/>
  <c r="CK1029" i="15"/>
  <c r="CO1029" i="15"/>
  <c r="CT1029" i="15" s="1"/>
  <c r="CJ1028" i="15"/>
  <c r="CK1030" i="15"/>
  <c r="CO1030" i="15"/>
  <c r="CT1030" i="15" s="1"/>
  <c r="CC1035" i="15"/>
  <c r="CD1036" i="15"/>
  <c r="CO1036" i="15" s="1"/>
  <c r="CE1036" i="15"/>
  <c r="CP1036" i="15" s="1"/>
  <c r="CU1036" i="15" s="1"/>
  <c r="CF1036" i="15"/>
  <c r="CQ1036" i="15" s="1"/>
  <c r="CV1036" i="15" s="1"/>
  <c r="BQ1038" i="15"/>
  <c r="AJ470" i="15"/>
  <c r="AK470" i="15" s="1"/>
  <c r="AL470" i="15" s="1"/>
  <c r="AH471" i="15"/>
  <c r="AK471" i="15" s="1"/>
  <c r="AL471" i="15" s="1"/>
  <c r="AG473" i="15"/>
  <c r="AG473" i="17"/>
  <c r="BV1036" i="15"/>
  <c r="AO472" i="17"/>
  <c r="BZ1037" i="15"/>
  <c r="CB1034" i="15"/>
  <c r="CH1038" i="15"/>
  <c r="BX1037" i="15"/>
  <c r="AP472" i="15"/>
  <c r="AP472" i="17"/>
  <c r="BY1037" i="15"/>
  <c r="AO473" i="15"/>
  <c r="CB1035" i="15"/>
  <c r="BT1038" i="15"/>
  <c r="CT1031" i="15" l="1"/>
  <c r="CI1031" i="15"/>
  <c r="CI1032" i="15" s="1"/>
  <c r="CK1028" i="15"/>
  <c r="CO1028" i="15"/>
  <c r="CT1028" i="15" s="1"/>
  <c r="CJ1027" i="15"/>
  <c r="CC1036" i="15"/>
  <c r="CN1036" i="15" s="1"/>
  <c r="CS1036" i="15" s="1"/>
  <c r="CD1037" i="15"/>
  <c r="CF1037" i="15"/>
  <c r="CQ1037" i="15" s="1"/>
  <c r="CV1037" i="15" s="1"/>
  <c r="CE1037" i="15"/>
  <c r="CP1037" i="15" s="1"/>
  <c r="CU1037" i="15" s="1"/>
  <c r="BQ1039" i="15"/>
  <c r="AM468" i="15"/>
  <c r="AN468" i="15" s="1"/>
  <c r="AH469" i="15"/>
  <c r="AK469" i="15" s="1"/>
  <c r="AL469" i="15" s="1"/>
  <c r="AJ468" i="15"/>
  <c r="AG474" i="17"/>
  <c r="AG474" i="15"/>
  <c r="BW1038" i="15"/>
  <c r="AP473" i="15"/>
  <c r="BY1038" i="15"/>
  <c r="AO473" i="17"/>
  <c r="BT1039" i="15"/>
  <c r="CB1036" i="15"/>
  <c r="AP473" i="17"/>
  <c r="BX1038" i="15"/>
  <c r="BW1039" i="15"/>
  <c r="BV1037" i="15"/>
  <c r="CH1039" i="15"/>
  <c r="BZ1038" i="15"/>
  <c r="AO474" i="15"/>
  <c r="CK1027" i="15" l="1"/>
  <c r="CO1027" i="15"/>
  <c r="CT1027" i="15" s="1"/>
  <c r="CI1033" i="15"/>
  <c r="CC1037" i="15"/>
  <c r="CN1037" i="15" s="1"/>
  <c r="CF1038" i="15"/>
  <c r="CQ1038" i="15" s="1"/>
  <c r="CV1038" i="15" s="1"/>
  <c r="CE1038" i="15"/>
  <c r="CP1038" i="15" s="1"/>
  <c r="CU1038" i="15" s="1"/>
  <c r="CD1038" i="15"/>
  <c r="BQ1040" i="15"/>
  <c r="AJ469" i="15"/>
  <c r="AM469" i="15"/>
  <c r="AN469" i="15" s="1"/>
  <c r="AM470" i="15"/>
  <c r="AN470" i="15" s="1"/>
  <c r="AM471" i="15"/>
  <c r="AN471" i="15" s="1"/>
  <c r="AH472" i="15"/>
  <c r="AK472" i="15" s="1"/>
  <c r="AL472" i="15" s="1"/>
  <c r="AJ471" i="15"/>
  <c r="AG475" i="15"/>
  <c r="AG475" i="17"/>
  <c r="BZ1039" i="15"/>
  <c r="BV1038" i="15"/>
  <c r="AI475" i="15"/>
  <c r="AI479" i="15"/>
  <c r="AO475" i="15"/>
  <c r="AO474" i="17"/>
  <c r="BY1039" i="15"/>
  <c r="AP474" i="17"/>
  <c r="AP474" i="15"/>
  <c r="AI476" i="15"/>
  <c r="AI477" i="15"/>
  <c r="BX1039" i="15"/>
  <c r="AI478" i="15"/>
  <c r="CH1040" i="15"/>
  <c r="BT1040" i="15"/>
  <c r="CS1037" i="15" l="1"/>
  <c r="CI1034" i="15"/>
  <c r="CC1038" i="15"/>
  <c r="CN1038" i="15" s="1"/>
  <c r="CS1038" i="15" s="1"/>
  <c r="CE1039" i="15"/>
  <c r="CP1039" i="15" s="1"/>
  <c r="CU1039" i="15" s="1"/>
  <c r="CF1039" i="15"/>
  <c r="CQ1039" i="15" s="1"/>
  <c r="CV1039" i="15" s="1"/>
  <c r="CD1039" i="15"/>
  <c r="BQ1041" i="15"/>
  <c r="AG476" i="17"/>
  <c r="AG476" i="15"/>
  <c r="BW1040" i="15"/>
  <c r="AH475" i="17"/>
  <c r="BZ1040" i="15"/>
  <c r="AO475" i="17"/>
  <c r="AI475" i="17"/>
  <c r="AO476" i="15"/>
  <c r="CH1041" i="15"/>
  <c r="AP475" i="17"/>
  <c r="AI477" i="17"/>
  <c r="BV1039" i="15"/>
  <c r="AI476" i="17"/>
  <c r="BX1040" i="15"/>
  <c r="AH475" i="15"/>
  <c r="AP475" i="15"/>
  <c r="AI479" i="17"/>
  <c r="BY1040" i="15"/>
  <c r="CB1037" i="15"/>
  <c r="AI478" i="17"/>
  <c r="CK1041" i="15"/>
  <c r="CI1035" i="15" l="1"/>
  <c r="CJ1035" i="15" s="1"/>
  <c r="CJ1034" i="15" s="1"/>
  <c r="CC1039" i="15"/>
  <c r="CN1039" i="15" s="1"/>
  <c r="CD1040" i="15"/>
  <c r="CE1040" i="15"/>
  <c r="CP1040" i="15" s="1"/>
  <c r="CU1040" i="15" s="1"/>
  <c r="CF1040" i="15"/>
  <c r="CQ1040" i="15" s="1"/>
  <c r="CV1040" i="15" s="1"/>
  <c r="BQ1042" i="15"/>
  <c r="AH473" i="15"/>
  <c r="AK473" i="15" s="1"/>
  <c r="AL473" i="15" s="1"/>
  <c r="AM472" i="15"/>
  <c r="AN472" i="15" s="1"/>
  <c r="AJ472" i="15"/>
  <c r="AH476" i="17"/>
  <c r="AL475" i="17"/>
  <c r="AM475" i="17" s="1"/>
  <c r="AN475" i="17" s="1"/>
  <c r="AL477" i="17"/>
  <c r="AM477" i="17" s="1"/>
  <c r="AN477" i="17" s="1"/>
  <c r="AH478" i="17"/>
  <c r="AL476" i="17"/>
  <c r="AM476" i="17" s="1"/>
  <c r="AN476" i="17" s="1"/>
  <c r="AH477" i="17"/>
  <c r="AL479" i="17"/>
  <c r="AM479" i="17" s="1"/>
  <c r="AN479" i="17" s="1"/>
  <c r="AL478" i="17"/>
  <c r="AM478" i="17" s="1"/>
  <c r="AN478" i="17" s="1"/>
  <c r="AH479" i="17"/>
  <c r="AG477" i="15"/>
  <c r="AG477" i="17"/>
  <c r="BT1041" i="15"/>
  <c r="AO476" i="17"/>
  <c r="BZ1041" i="15"/>
  <c r="AO477" i="15"/>
  <c r="BW1041" i="15"/>
  <c r="AP476" i="15"/>
  <c r="AP476" i="17"/>
  <c r="CB1038" i="15"/>
  <c r="BV1040" i="15"/>
  <c r="BX1041" i="15"/>
  <c r="BY1041" i="15"/>
  <c r="BW1042" i="15"/>
  <c r="CH1042" i="15"/>
  <c r="CN1040" i="15" l="1"/>
  <c r="CS1040" i="15" s="1"/>
  <c r="CS1039" i="15"/>
  <c r="CK1034" i="15"/>
  <c r="CO1034" i="15"/>
  <c r="CT1034" i="15" s="1"/>
  <c r="CJ1033" i="15"/>
  <c r="CK1035" i="15"/>
  <c r="CO1035" i="15"/>
  <c r="CT1035" i="15" s="1"/>
  <c r="CC1040" i="15"/>
  <c r="CF1041" i="15"/>
  <c r="CQ1041" i="15" s="1"/>
  <c r="CV1041" i="15" s="1"/>
  <c r="CD1041" i="15"/>
  <c r="CO1041" i="15" s="1"/>
  <c r="CE1041" i="15"/>
  <c r="CP1041" i="15" s="1"/>
  <c r="CU1041" i="15" s="1"/>
  <c r="BQ1043" i="15"/>
  <c r="AJ475" i="15"/>
  <c r="AK475" i="15" s="1"/>
  <c r="AL475" i="15" s="1"/>
  <c r="AH476" i="15"/>
  <c r="AK476" i="15" s="1"/>
  <c r="AL476" i="15" s="1"/>
  <c r="AG478" i="17"/>
  <c r="AG478" i="15"/>
  <c r="BT1042" i="15"/>
  <c r="BV1041" i="15"/>
  <c r="CB1040" i="15"/>
  <c r="CH1043" i="15"/>
  <c r="CB1039" i="15"/>
  <c r="BY1042" i="15"/>
  <c r="AP477" i="15"/>
  <c r="AO478" i="15"/>
  <c r="AP477" i="17"/>
  <c r="AO477" i="17"/>
  <c r="BT1043" i="15"/>
  <c r="BX1042" i="15"/>
  <c r="BW1043" i="15"/>
  <c r="BZ1042" i="15"/>
  <c r="CT1036" i="15" l="1"/>
  <c r="CI1036" i="15"/>
  <c r="CI1037" i="15" s="1"/>
  <c r="CO1033" i="15"/>
  <c r="CT1033" i="15" s="1"/>
  <c r="CK1033" i="15"/>
  <c r="CJ1032" i="15"/>
  <c r="CC1041" i="15"/>
  <c r="CN1041" i="15" s="1"/>
  <c r="CS1041" i="15" s="1"/>
  <c r="CF1042" i="15"/>
  <c r="CQ1042" i="15" s="1"/>
  <c r="CV1042" i="15" s="1"/>
  <c r="CE1042" i="15"/>
  <c r="CP1042" i="15" s="1"/>
  <c r="CU1042" i="15" s="1"/>
  <c r="CD1042" i="15"/>
  <c r="BQ1044" i="15"/>
  <c r="AH474" i="15"/>
  <c r="AK474" i="15" s="1"/>
  <c r="AL474" i="15" s="1"/>
  <c r="AM473" i="15"/>
  <c r="AN473" i="15" s="1"/>
  <c r="AJ473" i="15"/>
  <c r="AG479" i="17"/>
  <c r="AG479" i="15"/>
  <c r="BV1042" i="15"/>
  <c r="BT1044" i="15"/>
  <c r="BW1044" i="15"/>
  <c r="AO479" i="15"/>
  <c r="AP478" i="17"/>
  <c r="AO478" i="17"/>
  <c r="BX1043" i="15"/>
  <c r="AP478" i="15"/>
  <c r="CH1044" i="15"/>
  <c r="BY1043" i="15"/>
  <c r="BZ1043" i="15"/>
  <c r="CK1032" i="15" l="1"/>
  <c r="CO1032" i="15"/>
  <c r="CT1032" i="15" s="1"/>
  <c r="CI1038" i="15"/>
  <c r="CC1042" i="15"/>
  <c r="CN1042" i="15" s="1"/>
  <c r="CE1043" i="15"/>
  <c r="CP1043" i="15" s="1"/>
  <c r="CU1043" i="15" s="1"/>
  <c r="CF1043" i="15"/>
  <c r="CQ1043" i="15" s="1"/>
  <c r="CV1043" i="15" s="1"/>
  <c r="CD1043" i="15"/>
  <c r="BQ1045" i="15"/>
  <c r="AH477" i="15"/>
  <c r="AK477" i="15" s="1"/>
  <c r="AL477" i="15" s="1"/>
  <c r="AM476" i="15"/>
  <c r="AN476" i="15" s="1"/>
  <c r="AJ476" i="15"/>
  <c r="AM474" i="15"/>
  <c r="AN474" i="15" s="1"/>
  <c r="AJ474" i="15"/>
  <c r="AM475" i="15"/>
  <c r="AN475" i="15" s="1"/>
  <c r="AG480" i="15"/>
  <c r="AG480" i="17"/>
  <c r="CB1041" i="15"/>
  <c r="BZ1044" i="15"/>
  <c r="AO479" i="17"/>
  <c r="BX1044" i="15"/>
  <c r="AI482" i="15"/>
  <c r="BY1044" i="15"/>
  <c r="BV1043" i="15"/>
  <c r="AI480" i="15"/>
  <c r="AP479" i="17"/>
  <c r="AO480" i="15"/>
  <c r="AI484" i="15"/>
  <c r="AP479" i="15"/>
  <c r="AI483" i="15"/>
  <c r="AI481" i="15"/>
  <c r="BW1045" i="15"/>
  <c r="CS1042" i="15" l="1"/>
  <c r="CI1039" i="15"/>
  <c r="CC1043" i="15"/>
  <c r="CN1043" i="15" s="1"/>
  <c r="CS1043" i="15" s="1"/>
  <c r="CD1044" i="15"/>
  <c r="CE1044" i="15"/>
  <c r="CP1044" i="15" s="1"/>
  <c r="CU1044" i="15" s="1"/>
  <c r="CF1044" i="15"/>
  <c r="CQ1044" i="15" s="1"/>
  <c r="CV1044" i="15" s="1"/>
  <c r="BQ1046" i="15"/>
  <c r="AG481" i="17"/>
  <c r="AG481" i="15"/>
  <c r="BZ1045" i="15"/>
  <c r="BV1044" i="15"/>
  <c r="AI483" i="17"/>
  <c r="AP480" i="17"/>
  <c r="AP480" i="15"/>
  <c r="AH480" i="17"/>
  <c r="BT1045" i="15"/>
  <c r="AI480" i="17"/>
  <c r="AI484" i="17"/>
  <c r="BY1045" i="15"/>
  <c r="AI481" i="17"/>
  <c r="CH1046" i="15"/>
  <c r="BT1046" i="15"/>
  <c r="AO481" i="15"/>
  <c r="CH1045" i="15"/>
  <c r="CK1046" i="15"/>
  <c r="BW1046" i="15"/>
  <c r="AO480" i="17"/>
  <c r="AI482" i="17"/>
  <c r="AH480" i="15"/>
  <c r="CB1042" i="15"/>
  <c r="BX1045" i="15"/>
  <c r="CI1040" i="15" l="1"/>
  <c r="CJ1040" i="15" s="1"/>
  <c r="CC1044" i="15"/>
  <c r="CN1044" i="15" s="1"/>
  <c r="CD1045" i="15"/>
  <c r="CF1045" i="15"/>
  <c r="CQ1045" i="15" s="1"/>
  <c r="CV1045" i="15" s="1"/>
  <c r="CE1045" i="15"/>
  <c r="CP1045" i="15" s="1"/>
  <c r="CU1045" i="15" s="1"/>
  <c r="BQ1047" i="15"/>
  <c r="AH478" i="15"/>
  <c r="AK478" i="15" s="1"/>
  <c r="AL478" i="15" s="1"/>
  <c r="AM477" i="15"/>
  <c r="AN477" i="15" s="1"/>
  <c r="AJ477" i="15"/>
  <c r="AH482" i="17"/>
  <c r="AL481" i="17"/>
  <c r="AM481" i="17" s="1"/>
  <c r="AN481" i="17" s="1"/>
  <c r="AH484" i="17"/>
  <c r="AL483" i="17"/>
  <c r="AM483" i="17" s="1"/>
  <c r="AN483" i="17" s="1"/>
  <c r="AH483" i="17"/>
  <c r="AL482" i="17"/>
  <c r="AM482" i="17" s="1"/>
  <c r="AN482" i="17" s="1"/>
  <c r="AH481" i="17"/>
  <c r="AL480" i="17"/>
  <c r="AM480" i="17" s="1"/>
  <c r="AN480" i="17" s="1"/>
  <c r="AL484" i="17"/>
  <c r="AM484" i="17" s="1"/>
  <c r="AN484" i="17" s="1"/>
  <c r="AG482" i="17"/>
  <c r="AG482" i="15"/>
  <c r="CB1043" i="15"/>
  <c r="BV1045" i="15"/>
  <c r="BW1047" i="15"/>
  <c r="AO481" i="17"/>
  <c r="AP481" i="15"/>
  <c r="CH1047" i="15"/>
  <c r="BY1046" i="15"/>
  <c r="AO482" i="15"/>
  <c r="BX1046" i="15"/>
  <c r="BT1047" i="15"/>
  <c r="AP481" i="17"/>
  <c r="BZ1046" i="15"/>
  <c r="CN1045" i="15" l="1"/>
  <c r="CS1045" i="15" s="1"/>
  <c r="CS1044" i="15"/>
  <c r="CK1040" i="15"/>
  <c r="CO1040" i="15"/>
  <c r="CT1040" i="15" s="1"/>
  <c r="CJ1039" i="15"/>
  <c r="CC1045" i="15"/>
  <c r="CF1046" i="15"/>
  <c r="CQ1046" i="15" s="1"/>
  <c r="CV1046" i="15" s="1"/>
  <c r="CE1046" i="15"/>
  <c r="CP1046" i="15" s="1"/>
  <c r="CU1046" i="15" s="1"/>
  <c r="CD1046" i="15"/>
  <c r="CO1046" i="15" s="1"/>
  <c r="BQ1048" i="15"/>
  <c r="AJ480" i="15"/>
  <c r="AK480" i="15" s="1"/>
  <c r="AL480" i="15" s="1"/>
  <c r="AH481" i="15"/>
  <c r="AK481" i="15" s="1"/>
  <c r="AL481" i="15" s="1"/>
  <c r="AG483" i="17"/>
  <c r="AG483" i="15"/>
  <c r="BV1046" i="15"/>
  <c r="AP482" i="15"/>
  <c r="AP482" i="17"/>
  <c r="CB1045" i="15"/>
  <c r="BX1047" i="15"/>
  <c r="BY1047" i="15"/>
  <c r="BW1048" i="15"/>
  <c r="BT1048" i="15"/>
  <c r="CB1044" i="15"/>
  <c r="BZ1047" i="15"/>
  <c r="AO482" i="17"/>
  <c r="CH1048" i="15"/>
  <c r="AO483" i="15"/>
  <c r="CT1041" i="15" l="1"/>
  <c r="CI1041" i="15"/>
  <c r="CI1042" i="15" s="1"/>
  <c r="CK1039" i="15"/>
  <c r="CO1039" i="15"/>
  <c r="CT1039" i="15" s="1"/>
  <c r="CJ1038" i="15"/>
  <c r="CC1046" i="15"/>
  <c r="CN1046" i="15" s="1"/>
  <c r="CS1046" i="15" s="1"/>
  <c r="CE1047" i="15"/>
  <c r="CP1047" i="15" s="1"/>
  <c r="CU1047" i="15" s="1"/>
  <c r="CF1047" i="15"/>
  <c r="CQ1047" i="15" s="1"/>
  <c r="CV1047" i="15" s="1"/>
  <c r="CD1047" i="15"/>
  <c r="BQ1049" i="15"/>
  <c r="AH479" i="15"/>
  <c r="AK479" i="15" s="1"/>
  <c r="AL479" i="15" s="1"/>
  <c r="AM478" i="15"/>
  <c r="AN478" i="15" s="1"/>
  <c r="AJ478" i="15"/>
  <c r="AG484" i="15"/>
  <c r="AG484" i="17"/>
  <c r="AP483" i="15"/>
  <c r="AP483" i="17"/>
  <c r="CH1049" i="15"/>
  <c r="BX1048" i="15"/>
  <c r="BT1049" i="15"/>
  <c r="BW1049" i="15"/>
  <c r="AO483" i="17"/>
  <c r="BV1047" i="15"/>
  <c r="AO484" i="15"/>
  <c r="BY1048" i="15"/>
  <c r="BZ1048" i="15"/>
  <c r="CK1038" i="15" l="1"/>
  <c r="CO1038" i="15"/>
  <c r="CT1038" i="15" s="1"/>
  <c r="CJ1037" i="15"/>
  <c r="CI1043" i="15"/>
  <c r="CC1047" i="15"/>
  <c r="CN1047" i="15" s="1"/>
  <c r="CD1048" i="15"/>
  <c r="CE1048" i="15"/>
  <c r="CP1048" i="15" s="1"/>
  <c r="CU1048" i="15" s="1"/>
  <c r="CF1048" i="15"/>
  <c r="CQ1048" i="15" s="1"/>
  <c r="CV1048" i="15" s="1"/>
  <c r="BQ1050" i="15"/>
  <c r="AM481" i="15"/>
  <c r="AN481" i="15" s="1"/>
  <c r="AH482" i="15"/>
  <c r="AK482" i="15" s="1"/>
  <c r="AL482" i="15" s="1"/>
  <c r="AJ481" i="15"/>
  <c r="AM479" i="15"/>
  <c r="AN479" i="15" s="1"/>
  <c r="AJ479" i="15"/>
  <c r="AM480" i="15"/>
  <c r="AN480" i="15" s="1"/>
  <c r="AG485" i="15"/>
  <c r="AG485" i="17"/>
  <c r="CB1046" i="15"/>
  <c r="BT1050" i="15"/>
  <c r="CB1047" i="15"/>
  <c r="CH1050" i="15"/>
  <c r="AO484" i="17"/>
  <c r="BZ1049" i="15"/>
  <c r="BV1048" i="15"/>
  <c r="BX1049" i="15"/>
  <c r="BW1050" i="15"/>
  <c r="AP484" i="15"/>
  <c r="BY1049" i="15"/>
  <c r="AP484" i="17"/>
  <c r="AI487" i="15"/>
  <c r="CS1047" i="15" l="1"/>
  <c r="CK1037" i="15"/>
  <c r="CO1037" i="15"/>
  <c r="CT1037" i="15" s="1"/>
  <c r="CI1044" i="15"/>
  <c r="CC1048" i="15"/>
  <c r="CN1048" i="15" s="1"/>
  <c r="CS1048" i="15" s="1"/>
  <c r="CF1049" i="15"/>
  <c r="CQ1049" i="15" s="1"/>
  <c r="CV1049" i="15" s="1"/>
  <c r="CD1049" i="15"/>
  <c r="CE1049" i="15"/>
  <c r="CP1049" i="15" s="1"/>
  <c r="CU1049" i="15" s="1"/>
  <c r="BQ1051" i="15"/>
  <c r="AG486" i="17"/>
  <c r="AG486" i="15"/>
  <c r="AI486" i="15"/>
  <c r="AO485" i="15"/>
  <c r="AH485" i="15"/>
  <c r="AO485" i="17"/>
  <c r="BX1050" i="15"/>
  <c r="BZ1050" i="15"/>
  <c r="AI488" i="17"/>
  <c r="AI488" i="15"/>
  <c r="AI489" i="17"/>
  <c r="AI489" i="15"/>
  <c r="BY1050" i="15"/>
  <c r="AI486" i="17"/>
  <c r="CH1051" i="15"/>
  <c r="BV1049" i="15"/>
  <c r="AP485" i="17"/>
  <c r="AI485" i="15"/>
  <c r="AI485" i="17"/>
  <c r="AO486" i="15"/>
  <c r="AI487" i="17"/>
  <c r="AP485" i="15"/>
  <c r="AH485" i="17"/>
  <c r="BW1051" i="15"/>
  <c r="CI1045" i="15" l="1"/>
  <c r="CJ1045" i="15" s="1"/>
  <c r="CJ1044" i="15" s="1"/>
  <c r="CC1049" i="15"/>
  <c r="CN1049" i="15" s="1"/>
  <c r="CE1050" i="15"/>
  <c r="CP1050" i="15" s="1"/>
  <c r="CU1050" i="15" s="1"/>
  <c r="CF1050" i="15"/>
  <c r="CQ1050" i="15" s="1"/>
  <c r="CV1050" i="15" s="1"/>
  <c r="CD1050" i="15"/>
  <c r="BQ1052" i="15"/>
  <c r="AH483" i="15"/>
  <c r="AK483" i="15" s="1"/>
  <c r="AL483" i="15" s="1"/>
  <c r="AM482" i="15"/>
  <c r="AN482" i="15" s="1"/>
  <c r="AJ482" i="15"/>
  <c r="AL489" i="17"/>
  <c r="AM489" i="17" s="1"/>
  <c r="AN489" i="17" s="1"/>
  <c r="AL485" i="17"/>
  <c r="AM485" i="17" s="1"/>
  <c r="AN485" i="17" s="1"/>
  <c r="AH486" i="17"/>
  <c r="AL486" i="17"/>
  <c r="AM486" i="17" s="1"/>
  <c r="AN486" i="17" s="1"/>
  <c r="AH487" i="17"/>
  <c r="AL487" i="17"/>
  <c r="AM487" i="17" s="1"/>
  <c r="AN487" i="17" s="1"/>
  <c r="AH488" i="17"/>
  <c r="AH489" i="17"/>
  <c r="AL488" i="17"/>
  <c r="AM488" i="17" s="1"/>
  <c r="AN488" i="17" s="1"/>
  <c r="AG487" i="15"/>
  <c r="AG487" i="17"/>
  <c r="CB1048" i="15"/>
  <c r="BX1051" i="15"/>
  <c r="BZ1051" i="15"/>
  <c r="BW1052" i="15"/>
  <c r="AP486" i="17"/>
  <c r="BV1050" i="15"/>
  <c r="BT1051" i="15"/>
  <c r="CH1052" i="15"/>
  <c r="BY1051" i="15"/>
  <c r="CB1049" i="15"/>
  <c r="CK1051" i="15"/>
  <c r="BT1052" i="15"/>
  <c r="AP486" i="15"/>
  <c r="AO486" i="17"/>
  <c r="AO487" i="15"/>
  <c r="CN1050" i="15" l="1"/>
  <c r="CS1050" i="15" s="1"/>
  <c r="CS1049" i="15"/>
  <c r="CO1044" i="15"/>
  <c r="CT1044" i="15" s="1"/>
  <c r="CK1044" i="15"/>
  <c r="CJ1043" i="15"/>
  <c r="CO1045" i="15"/>
  <c r="CT1045" i="15" s="1"/>
  <c r="CK1045" i="15"/>
  <c r="CC1050" i="15"/>
  <c r="CE1051" i="15"/>
  <c r="CP1051" i="15" s="1"/>
  <c r="CU1051" i="15" s="1"/>
  <c r="CF1051" i="15"/>
  <c r="CQ1051" i="15" s="1"/>
  <c r="CV1051" i="15" s="1"/>
  <c r="CD1051" i="15"/>
  <c r="CO1051" i="15" s="1"/>
  <c r="BQ1053" i="15"/>
  <c r="AJ485" i="15"/>
  <c r="AK485" i="15" s="1"/>
  <c r="AL485" i="15" s="1"/>
  <c r="AH486" i="15"/>
  <c r="AK486" i="15" s="1"/>
  <c r="AL486" i="15" s="1"/>
  <c r="AG488" i="15"/>
  <c r="AG488" i="17"/>
  <c r="CH1053" i="15"/>
  <c r="AP487" i="15"/>
  <c r="AO487" i="17"/>
  <c r="BX1052" i="15"/>
  <c r="AP487" i="17"/>
  <c r="BV1051" i="15"/>
  <c r="BZ1052" i="15"/>
  <c r="BY1052" i="15"/>
  <c r="CB1050" i="15"/>
  <c r="AO488" i="15"/>
  <c r="BW1053" i="15"/>
  <c r="CT1046" i="15" l="1"/>
  <c r="CI1046" i="15"/>
  <c r="CI1047" i="15" s="1"/>
  <c r="CO1043" i="15"/>
  <c r="CT1043" i="15" s="1"/>
  <c r="CK1043" i="15"/>
  <c r="CJ1042" i="15"/>
  <c r="CC1051" i="15"/>
  <c r="CN1051" i="15" s="1"/>
  <c r="CS1051" i="15" s="1"/>
  <c r="CD1052" i="15"/>
  <c r="CE1052" i="15"/>
  <c r="CP1052" i="15" s="1"/>
  <c r="CU1052" i="15" s="1"/>
  <c r="CF1052" i="15"/>
  <c r="CQ1052" i="15" s="1"/>
  <c r="CV1052" i="15" s="1"/>
  <c r="BQ1054" i="15"/>
  <c r="AM483" i="15"/>
  <c r="AN483" i="15" s="1"/>
  <c r="AH484" i="15"/>
  <c r="AK484" i="15" s="1"/>
  <c r="AL484" i="15" s="1"/>
  <c r="AJ483" i="15"/>
  <c r="AG489" i="15"/>
  <c r="AG489" i="17"/>
  <c r="BT1053" i="15"/>
  <c r="AP488" i="17"/>
  <c r="BY1053" i="15"/>
  <c r="BT1054" i="15"/>
  <c r="AO488" i="17"/>
  <c r="BV1052" i="15"/>
  <c r="BZ1053" i="15"/>
  <c r="AP488" i="15"/>
  <c r="BW1054" i="15"/>
  <c r="CH1054" i="15"/>
  <c r="BX1053" i="15"/>
  <c r="AO489" i="15"/>
  <c r="CO1042" i="15" l="1"/>
  <c r="CT1042" i="15" s="1"/>
  <c r="CK1042" i="15"/>
  <c r="CI1048" i="15"/>
  <c r="CC1052" i="15"/>
  <c r="CN1052" i="15" s="1"/>
  <c r="CD1053" i="15"/>
  <c r="CF1053" i="15"/>
  <c r="CQ1053" i="15" s="1"/>
  <c r="CV1053" i="15" s="1"/>
  <c r="CE1053" i="15"/>
  <c r="CP1053" i="15" s="1"/>
  <c r="CU1053" i="15" s="1"/>
  <c r="BQ1055" i="15"/>
  <c r="AJ484" i="15"/>
  <c r="AM484" i="15"/>
  <c r="AN484" i="15" s="1"/>
  <c r="AM485" i="15"/>
  <c r="AN485" i="15" s="1"/>
  <c r="AM486" i="15"/>
  <c r="AN486" i="15" s="1"/>
  <c r="AH487" i="15"/>
  <c r="AK487" i="15" s="1"/>
  <c r="AL487" i="15" s="1"/>
  <c r="AJ486" i="15"/>
  <c r="AG490" i="17"/>
  <c r="AG490" i="15"/>
  <c r="CB1051" i="15"/>
  <c r="BX1054" i="15"/>
  <c r="AP489" i="15"/>
  <c r="AO489" i="17"/>
  <c r="BV1053" i="15"/>
  <c r="BT1055" i="15"/>
  <c r="BY1054" i="15"/>
  <c r="BW1055" i="15"/>
  <c r="AP489" i="17"/>
  <c r="AI491" i="15"/>
  <c r="BZ1054" i="15"/>
  <c r="CS1052" i="15" l="1"/>
  <c r="CI1049" i="15"/>
  <c r="CC1053" i="15"/>
  <c r="CN1053" i="15" s="1"/>
  <c r="CS1053" i="15" s="1"/>
  <c r="CF1054" i="15"/>
  <c r="CQ1054" i="15" s="1"/>
  <c r="CV1054" i="15" s="1"/>
  <c r="CE1054" i="15"/>
  <c r="CP1054" i="15" s="1"/>
  <c r="CU1054" i="15" s="1"/>
  <c r="CD1054" i="15"/>
  <c r="BQ1056" i="15"/>
  <c r="AG491" i="15"/>
  <c r="AG491" i="17"/>
  <c r="AI492" i="15"/>
  <c r="CH1056" i="15"/>
  <c r="AH490" i="17"/>
  <c r="BY1055" i="15"/>
  <c r="BT1056" i="15"/>
  <c r="AI493" i="17"/>
  <c r="AO490" i="17"/>
  <c r="BV1054" i="15"/>
  <c r="BX1055" i="15"/>
  <c r="CB1052" i="15"/>
  <c r="AI490" i="17"/>
  <c r="AI493" i="15"/>
  <c r="AO490" i="15"/>
  <c r="CK1056" i="15"/>
  <c r="AI494" i="17"/>
  <c r="AI492" i="17"/>
  <c r="CH1055" i="15"/>
  <c r="AI494" i="15"/>
  <c r="BZ1055" i="15"/>
  <c r="BW1056" i="15"/>
  <c r="AI490" i="15"/>
  <c r="AH490" i="15"/>
  <c r="AI491" i="17"/>
  <c r="AP490" i="15"/>
  <c r="AP490" i="17"/>
  <c r="AO491" i="15"/>
  <c r="CI1050" i="15" l="1"/>
  <c r="CJ1050" i="15" s="1"/>
  <c r="CC1054" i="15"/>
  <c r="CN1054" i="15" s="1"/>
  <c r="CE1055" i="15"/>
  <c r="CP1055" i="15" s="1"/>
  <c r="CU1055" i="15" s="1"/>
  <c r="CF1055" i="15"/>
  <c r="CQ1055" i="15" s="1"/>
  <c r="CV1055" i="15" s="1"/>
  <c r="CD1055" i="15"/>
  <c r="BQ1057" i="15"/>
  <c r="AM487" i="15"/>
  <c r="AN487" i="15" s="1"/>
  <c r="AH488" i="15"/>
  <c r="AK488" i="15" s="1"/>
  <c r="AL488" i="15" s="1"/>
  <c r="AJ487" i="15"/>
  <c r="AH492" i="17"/>
  <c r="AL491" i="17"/>
  <c r="AM491" i="17" s="1"/>
  <c r="AN491" i="17" s="1"/>
  <c r="AL492" i="17"/>
  <c r="AM492" i="17" s="1"/>
  <c r="AN492" i="17" s="1"/>
  <c r="AH493" i="17"/>
  <c r="AH491" i="17"/>
  <c r="AL490" i="17"/>
  <c r="AM490" i="17" s="1"/>
  <c r="AN490" i="17" s="1"/>
  <c r="AL494" i="17"/>
  <c r="AM494" i="17" s="1"/>
  <c r="AN494" i="17" s="1"/>
  <c r="AL493" i="17"/>
  <c r="AM493" i="17" s="1"/>
  <c r="AN493" i="17" s="1"/>
  <c r="AH494" i="17"/>
  <c r="AG492" i="17"/>
  <c r="AG492" i="15"/>
  <c r="CB1053" i="15"/>
  <c r="CB1054" i="15"/>
  <c r="BW1057" i="15"/>
  <c r="BV1055" i="15"/>
  <c r="BZ1056" i="15"/>
  <c r="BX1056" i="15"/>
  <c r="AP491" i="17"/>
  <c r="AP491" i="15"/>
  <c r="CH1057" i="15"/>
  <c r="AO491" i="17"/>
  <c r="BT1057" i="15"/>
  <c r="BY1056" i="15"/>
  <c r="AO492" i="15"/>
  <c r="CN1055" i="15" l="1"/>
  <c r="CS1055" i="15" s="1"/>
  <c r="CS1054" i="15"/>
  <c r="CO1050" i="15"/>
  <c r="CT1050" i="15" s="1"/>
  <c r="CK1050" i="15"/>
  <c r="CJ1049" i="15"/>
  <c r="CC1055" i="15"/>
  <c r="CD1056" i="15"/>
  <c r="CO1056" i="15" s="1"/>
  <c r="CE1056" i="15"/>
  <c r="CP1056" i="15" s="1"/>
  <c r="CU1056" i="15" s="1"/>
  <c r="CF1056" i="15"/>
  <c r="CQ1056" i="15" s="1"/>
  <c r="CV1056" i="15" s="1"/>
  <c r="BQ1058" i="15"/>
  <c r="AJ490" i="15"/>
  <c r="AK490" i="15" s="1"/>
  <c r="AL490" i="15" s="1"/>
  <c r="AH491" i="15"/>
  <c r="AK491" i="15" s="1"/>
  <c r="AL491" i="15" s="1"/>
  <c r="AG493" i="15"/>
  <c r="AG493" i="17"/>
  <c r="BZ1057" i="15"/>
  <c r="BW1058" i="15"/>
  <c r="AO492" i="17"/>
  <c r="AP492" i="15"/>
  <c r="BT1058" i="15"/>
  <c r="BX1057" i="15"/>
  <c r="BY1057" i="15"/>
  <c r="AO493" i="15"/>
  <c r="CB1055" i="15"/>
  <c r="BV1056" i="15"/>
  <c r="AP492" i="17"/>
  <c r="CH1058" i="15"/>
  <c r="CT1051" i="15" l="1"/>
  <c r="CI1051" i="15"/>
  <c r="CI1052" i="15" s="1"/>
  <c r="CO1049" i="15"/>
  <c r="CT1049" i="15" s="1"/>
  <c r="CK1049" i="15"/>
  <c r="CJ1048" i="15"/>
  <c r="CC1056" i="15"/>
  <c r="CN1056" i="15" s="1"/>
  <c r="CS1056" i="15" s="1"/>
  <c r="CF1057" i="15"/>
  <c r="CQ1057" i="15" s="1"/>
  <c r="CV1057" i="15" s="1"/>
  <c r="CD1057" i="15"/>
  <c r="CE1057" i="15"/>
  <c r="CP1057" i="15" s="1"/>
  <c r="CU1057" i="15" s="1"/>
  <c r="BQ1059" i="15"/>
  <c r="AH489" i="15"/>
  <c r="AK489" i="15" s="1"/>
  <c r="AL489" i="15" s="1"/>
  <c r="AM488" i="15"/>
  <c r="AN488" i="15" s="1"/>
  <c r="AJ488" i="15"/>
  <c r="AG494" i="17"/>
  <c r="AG494" i="15"/>
  <c r="BV1057" i="15"/>
  <c r="AP493" i="15"/>
  <c r="AP493" i="17"/>
  <c r="BZ1058" i="15"/>
  <c r="AO494" i="15"/>
  <c r="BX1058" i="15"/>
  <c r="BT1059" i="15"/>
  <c r="BY1058" i="15"/>
  <c r="CB1056" i="15"/>
  <c r="CH1059" i="15"/>
  <c r="BW1059" i="15"/>
  <c r="AO493" i="17"/>
  <c r="CO1048" i="15" l="1"/>
  <c r="CT1048" i="15" s="1"/>
  <c r="CK1048" i="15"/>
  <c r="CJ1047" i="15"/>
  <c r="CI1053" i="15"/>
  <c r="CC1057" i="15"/>
  <c r="CN1057" i="15" s="1"/>
  <c r="CF1058" i="15"/>
  <c r="CQ1058" i="15" s="1"/>
  <c r="CV1058" i="15" s="1"/>
  <c r="CE1058" i="15"/>
  <c r="CP1058" i="15" s="1"/>
  <c r="CU1058" i="15" s="1"/>
  <c r="CD1058" i="15"/>
  <c r="BQ1060" i="15"/>
  <c r="AH492" i="15"/>
  <c r="AK492" i="15" s="1"/>
  <c r="AL492" i="15" s="1"/>
  <c r="AM491" i="15"/>
  <c r="AN491" i="15" s="1"/>
  <c r="AJ491" i="15"/>
  <c r="AJ489" i="15"/>
  <c r="AM489" i="15"/>
  <c r="AN489" i="15" s="1"/>
  <c r="AM490" i="15"/>
  <c r="AN490" i="15" s="1"/>
  <c r="AG495" i="17"/>
  <c r="AG495" i="15"/>
  <c r="BW1060" i="15"/>
  <c r="BT1060" i="15"/>
  <c r="AI499" i="15"/>
  <c r="BV1058" i="15"/>
  <c r="AO495" i="15"/>
  <c r="AI496" i="15"/>
  <c r="AI497" i="15"/>
  <c r="AP494" i="15"/>
  <c r="BY1059" i="15"/>
  <c r="AP494" i="17"/>
  <c r="AI495" i="15"/>
  <c r="BZ1059" i="15"/>
  <c r="BX1059" i="15"/>
  <c r="AI498" i="15"/>
  <c r="CH1060" i="15"/>
  <c r="CB1057" i="15"/>
  <c r="AO494" i="17"/>
  <c r="CS1057" i="15" l="1"/>
  <c r="CO1047" i="15"/>
  <c r="CT1047" i="15" s="1"/>
  <c r="CK1047" i="15"/>
  <c r="CI1054" i="15"/>
  <c r="CC1058" i="15"/>
  <c r="CN1058" i="15" s="1"/>
  <c r="CS1058" i="15" s="1"/>
  <c r="CE1059" i="15"/>
  <c r="CP1059" i="15" s="1"/>
  <c r="CU1059" i="15" s="1"/>
  <c r="CF1059" i="15"/>
  <c r="CQ1059" i="15" s="1"/>
  <c r="CV1059" i="15" s="1"/>
  <c r="CD1059" i="15"/>
  <c r="BQ1061" i="15"/>
  <c r="AG496" i="15"/>
  <c r="AG496" i="17"/>
  <c r="AI499" i="17"/>
  <c r="AH495" i="17"/>
  <c r="CK1061" i="15"/>
  <c r="CH1061" i="15"/>
  <c r="AO495" i="17"/>
  <c r="AH495" i="15"/>
  <c r="BZ1060" i="15"/>
  <c r="AI495" i="17"/>
  <c r="AI498" i="17"/>
  <c r="BV1059" i="15"/>
  <c r="AO496" i="15"/>
  <c r="BX1060" i="15"/>
  <c r="AI496" i="17"/>
  <c r="AI497" i="17"/>
  <c r="AP495" i="15"/>
  <c r="BW1061" i="15"/>
  <c r="BY1060" i="15"/>
  <c r="AP495" i="17"/>
  <c r="CI1055" i="15" l="1"/>
  <c r="CJ1055" i="15" s="1"/>
  <c r="CJ1054" i="15" s="1"/>
  <c r="CC1059" i="15"/>
  <c r="CN1059" i="15" s="1"/>
  <c r="CD1060" i="15"/>
  <c r="CE1060" i="15"/>
  <c r="CP1060" i="15" s="1"/>
  <c r="CU1060" i="15" s="1"/>
  <c r="CF1060" i="15"/>
  <c r="CQ1060" i="15" s="1"/>
  <c r="CV1060" i="15" s="1"/>
  <c r="BQ1062" i="15"/>
  <c r="AH493" i="15"/>
  <c r="AK493" i="15" s="1"/>
  <c r="AL493" i="15" s="1"/>
  <c r="AM492" i="15"/>
  <c r="AN492" i="15" s="1"/>
  <c r="AJ492" i="15"/>
  <c r="AL496" i="17"/>
  <c r="AM496" i="17" s="1"/>
  <c r="AN496" i="17" s="1"/>
  <c r="AH497" i="17"/>
  <c r="AL498" i="17"/>
  <c r="AM498" i="17" s="1"/>
  <c r="AN498" i="17" s="1"/>
  <c r="AH499" i="17"/>
  <c r="AL497" i="17"/>
  <c r="AM497" i="17" s="1"/>
  <c r="AN497" i="17" s="1"/>
  <c r="AH498" i="17"/>
  <c r="AL499" i="17"/>
  <c r="AM499" i="17" s="1"/>
  <c r="AN499" i="17" s="1"/>
  <c r="AH496" i="17"/>
  <c r="AL495" i="17"/>
  <c r="AM495" i="17" s="1"/>
  <c r="AN495" i="17" s="1"/>
  <c r="AG497" i="17"/>
  <c r="AG497" i="15"/>
  <c r="BT1061" i="15"/>
  <c r="BX1061" i="15"/>
  <c r="BY1061" i="15"/>
  <c r="CH1062" i="15"/>
  <c r="BZ1061" i="15"/>
  <c r="AO496" i="17"/>
  <c r="BV1060" i="15"/>
  <c r="CB1058" i="15"/>
  <c r="AP496" i="15"/>
  <c r="AP496" i="17"/>
  <c r="AO497" i="15"/>
  <c r="CN1060" i="15" l="1"/>
  <c r="CS1060" i="15" s="1"/>
  <c r="CS1059" i="15"/>
  <c r="CK1054" i="15"/>
  <c r="CO1054" i="15"/>
  <c r="CT1054" i="15" s="1"/>
  <c r="CJ1053" i="15"/>
  <c r="CK1055" i="15"/>
  <c r="CO1055" i="15"/>
  <c r="CT1055" i="15" s="1"/>
  <c r="CC1060" i="15"/>
  <c r="CD1061" i="15"/>
  <c r="CO1061" i="15" s="1"/>
  <c r="CF1061" i="15"/>
  <c r="CQ1061" i="15" s="1"/>
  <c r="CV1061" i="15" s="1"/>
  <c r="CE1061" i="15"/>
  <c r="CP1061" i="15" s="1"/>
  <c r="CU1061" i="15" s="1"/>
  <c r="BQ1063" i="15"/>
  <c r="AJ495" i="15"/>
  <c r="AK495" i="15" s="1"/>
  <c r="AL495" i="15" s="1"/>
  <c r="AH496" i="15"/>
  <c r="AK496" i="15" s="1"/>
  <c r="AL496" i="15" s="1"/>
  <c r="AG498" i="17"/>
  <c r="AG498" i="15"/>
  <c r="AP497" i="15"/>
  <c r="CB1059" i="15"/>
  <c r="BZ1062" i="15"/>
  <c r="BY1062" i="15"/>
  <c r="AO498" i="15"/>
  <c r="BW1062" i="15"/>
  <c r="BT1062" i="15"/>
  <c r="AP497" i="17"/>
  <c r="AO497" i="17"/>
  <c r="BV1061" i="15"/>
  <c r="BW1063" i="15"/>
  <c r="BX1062" i="15"/>
  <c r="CB1060" i="15"/>
  <c r="CH1063" i="15"/>
  <c r="CT1056" i="15" l="1"/>
  <c r="CI1056" i="15"/>
  <c r="CI1057" i="15" s="1"/>
  <c r="CK1053" i="15"/>
  <c r="CO1053" i="15"/>
  <c r="CT1053" i="15" s="1"/>
  <c r="CJ1052" i="15"/>
  <c r="CC1061" i="15"/>
  <c r="CN1061" i="15" s="1"/>
  <c r="CS1061" i="15" s="1"/>
  <c r="CF1062" i="15"/>
  <c r="CQ1062" i="15" s="1"/>
  <c r="CV1062" i="15" s="1"/>
  <c r="CE1062" i="15"/>
  <c r="CP1062" i="15" s="1"/>
  <c r="CU1062" i="15" s="1"/>
  <c r="CD1062" i="15"/>
  <c r="BQ1064" i="15"/>
  <c r="AM493" i="15"/>
  <c r="AN493" i="15" s="1"/>
  <c r="AH494" i="15"/>
  <c r="AK494" i="15" s="1"/>
  <c r="AL494" i="15" s="1"/>
  <c r="AJ493" i="15"/>
  <c r="AG499" i="15"/>
  <c r="AG499" i="17"/>
  <c r="BT1063" i="15"/>
  <c r="BY1063" i="15"/>
  <c r="AO499" i="15"/>
  <c r="BV1062" i="15"/>
  <c r="AP498" i="17"/>
  <c r="CB1061" i="15"/>
  <c r="BX1063" i="15"/>
  <c r="BW1064" i="15"/>
  <c r="BT1064" i="15"/>
  <c r="BZ1063" i="15"/>
  <c r="AO498" i="17"/>
  <c r="AP498" i="15"/>
  <c r="CH1064" i="15"/>
  <c r="CK1052" i="15" l="1"/>
  <c r="CO1052" i="15"/>
  <c r="CT1052" i="15" s="1"/>
  <c r="CI1058" i="15"/>
  <c r="CC1062" i="15"/>
  <c r="CN1062" i="15" s="1"/>
  <c r="CF1063" i="15"/>
  <c r="CQ1063" i="15" s="1"/>
  <c r="CV1063" i="15" s="1"/>
  <c r="CE1063" i="15"/>
  <c r="CP1063" i="15" s="1"/>
  <c r="CU1063" i="15" s="1"/>
  <c r="CD1063" i="15"/>
  <c r="BQ1065" i="15"/>
  <c r="AM496" i="15"/>
  <c r="AN496" i="15" s="1"/>
  <c r="AH497" i="15"/>
  <c r="AK497" i="15" s="1"/>
  <c r="AL497" i="15" s="1"/>
  <c r="AJ496" i="15"/>
  <c r="AJ494" i="15"/>
  <c r="AM494" i="15"/>
  <c r="AN494" i="15" s="1"/>
  <c r="AM495" i="15"/>
  <c r="AN495" i="15" s="1"/>
  <c r="AG500" i="15"/>
  <c r="AG500" i="17"/>
  <c r="AO500" i="15"/>
  <c r="AI502" i="15"/>
  <c r="AI503" i="15"/>
  <c r="AO499" i="17"/>
  <c r="AI501" i="15"/>
  <c r="CH1065" i="15"/>
  <c r="BX1064" i="15"/>
  <c r="AI504" i="15"/>
  <c r="AI500" i="15"/>
  <c r="BY1064" i="15"/>
  <c r="BV1063" i="15"/>
  <c r="AP499" i="17"/>
  <c r="AP499" i="15"/>
  <c r="BZ1064" i="15"/>
  <c r="BT1065" i="15"/>
  <c r="BW1065" i="15"/>
  <c r="CS1062" i="15" l="1"/>
  <c r="CI1059" i="15"/>
  <c r="CC1063" i="15"/>
  <c r="CN1063" i="15" s="1"/>
  <c r="CS1063" i="15" s="1"/>
  <c r="CD1064" i="15"/>
  <c r="CE1064" i="15"/>
  <c r="CP1064" i="15" s="1"/>
  <c r="CU1064" i="15" s="1"/>
  <c r="CF1064" i="15"/>
  <c r="CQ1064" i="15" s="1"/>
  <c r="CV1064" i="15" s="1"/>
  <c r="BQ1066" i="15"/>
  <c r="AG501" i="15"/>
  <c r="AG501" i="17"/>
  <c r="CK1066" i="15"/>
  <c r="CH1066" i="15"/>
  <c r="AO500" i="17"/>
  <c r="AH500" i="15"/>
  <c r="CB1062" i="15"/>
  <c r="AO501" i="15"/>
  <c r="AP500" i="17"/>
  <c r="BZ1065" i="15"/>
  <c r="BV1064" i="15"/>
  <c r="AP500" i="15"/>
  <c r="BY1065" i="15"/>
  <c r="AI500" i="17"/>
  <c r="AI504" i="17"/>
  <c r="AI501" i="17"/>
  <c r="BX1065" i="15"/>
  <c r="AI502" i="17"/>
  <c r="AH500" i="17"/>
  <c r="BW1066" i="15"/>
  <c r="AI503" i="17"/>
  <c r="BT1066" i="15"/>
  <c r="CI1060" i="15" l="1"/>
  <c r="CJ1060" i="15" s="1"/>
  <c r="CJ1059" i="15" s="1"/>
  <c r="CC1064" i="15"/>
  <c r="CN1064" i="15" s="1"/>
  <c r="CD1065" i="15"/>
  <c r="CF1065" i="15"/>
  <c r="CQ1065" i="15" s="1"/>
  <c r="CV1065" i="15" s="1"/>
  <c r="CE1065" i="15"/>
  <c r="CP1065" i="15" s="1"/>
  <c r="CU1065" i="15" s="1"/>
  <c r="BQ1067" i="15"/>
  <c r="AM497" i="15"/>
  <c r="AN497" i="15" s="1"/>
  <c r="AH498" i="15"/>
  <c r="AK498" i="15" s="1"/>
  <c r="AL498" i="15" s="1"/>
  <c r="AJ497" i="15"/>
  <c r="AL500" i="17"/>
  <c r="AM500" i="17" s="1"/>
  <c r="AN500" i="17" s="1"/>
  <c r="AH501" i="17"/>
  <c r="AH504" i="17"/>
  <c r="AL503" i="17"/>
  <c r="AM503" i="17" s="1"/>
  <c r="AN503" i="17" s="1"/>
  <c r="AL502" i="17"/>
  <c r="AM502" i="17" s="1"/>
  <c r="AN502" i="17" s="1"/>
  <c r="AH503" i="17"/>
  <c r="AH502" i="17"/>
  <c r="AL501" i="17"/>
  <c r="AM501" i="17" s="1"/>
  <c r="AN501" i="17" s="1"/>
  <c r="AL504" i="17"/>
  <c r="AM504" i="17" s="1"/>
  <c r="AN504" i="17" s="1"/>
  <c r="AG502" i="15"/>
  <c r="AG502" i="17"/>
  <c r="CB1063" i="15"/>
  <c r="CH1067" i="15"/>
  <c r="CB1064" i="15"/>
  <c r="BZ1066" i="15"/>
  <c r="BY1066" i="15"/>
  <c r="AP501" i="17"/>
  <c r="BX1066" i="15"/>
  <c r="AO501" i="17"/>
  <c r="BT1067" i="15"/>
  <c r="BW1067" i="15"/>
  <c r="BV1065" i="15"/>
  <c r="AP501" i="15"/>
  <c r="AO502" i="15"/>
  <c r="CN1065" i="15" l="1"/>
  <c r="CS1065" i="15" s="1"/>
  <c r="CS1064" i="15"/>
  <c r="CK1059" i="15"/>
  <c r="CO1059" i="15"/>
  <c r="CT1059" i="15" s="1"/>
  <c r="CJ1058" i="15"/>
  <c r="CK1060" i="15"/>
  <c r="CO1060" i="15"/>
  <c r="CT1060" i="15" s="1"/>
  <c r="CC1065" i="15"/>
  <c r="CF1066" i="15"/>
  <c r="CQ1066" i="15" s="1"/>
  <c r="CV1066" i="15" s="1"/>
  <c r="CE1066" i="15"/>
  <c r="CP1066" i="15" s="1"/>
  <c r="CU1066" i="15" s="1"/>
  <c r="CD1066" i="15"/>
  <c r="CO1066" i="15" s="1"/>
  <c r="BQ1068" i="15"/>
  <c r="AJ500" i="15"/>
  <c r="AK500" i="15" s="1"/>
  <c r="AL500" i="15" s="1"/>
  <c r="AH501" i="15"/>
  <c r="AK501" i="15" s="1"/>
  <c r="AL501" i="15" s="1"/>
  <c r="AG503" i="15"/>
  <c r="AG503" i="17"/>
  <c r="BV1066" i="15"/>
  <c r="AO503" i="15"/>
  <c r="BY1067" i="15"/>
  <c r="BZ1067" i="15"/>
  <c r="AP502" i="17"/>
  <c r="BW1068" i="15"/>
  <c r="BX1067" i="15"/>
  <c r="AO502" i="17"/>
  <c r="AP502" i="15"/>
  <c r="CB1065" i="15"/>
  <c r="BT1068" i="15"/>
  <c r="CH1068" i="15"/>
  <c r="CT1061" i="15" l="1"/>
  <c r="CI1061" i="15"/>
  <c r="CI1062" i="15" s="1"/>
  <c r="CK1058" i="15"/>
  <c r="CO1058" i="15"/>
  <c r="CT1058" i="15" s="1"/>
  <c r="CJ1057" i="15"/>
  <c r="CC1066" i="15"/>
  <c r="CN1066" i="15" s="1"/>
  <c r="CS1066" i="15" s="1"/>
  <c r="CE1067" i="15"/>
  <c r="CP1067" i="15" s="1"/>
  <c r="CU1067" i="15" s="1"/>
  <c r="CF1067" i="15"/>
  <c r="CQ1067" i="15" s="1"/>
  <c r="CV1067" i="15" s="1"/>
  <c r="CD1067" i="15"/>
  <c r="BQ1069" i="15"/>
  <c r="AM498" i="15"/>
  <c r="AN498" i="15" s="1"/>
  <c r="AH499" i="15"/>
  <c r="AK499" i="15" s="1"/>
  <c r="AL499" i="15" s="1"/>
  <c r="AJ498" i="15"/>
  <c r="AG504" i="15"/>
  <c r="AG504" i="17"/>
  <c r="AP503" i="15"/>
  <c r="BX1068" i="15"/>
  <c r="BY1068" i="15"/>
  <c r="BW1069" i="15"/>
  <c r="BZ1068" i="15"/>
  <c r="CB1066" i="15"/>
  <c r="CH1069" i="15"/>
  <c r="AO503" i="17"/>
  <c r="AP503" i="17"/>
  <c r="BT1069" i="15"/>
  <c r="BV1067" i="15"/>
  <c r="AO504" i="15"/>
  <c r="CK1057" i="15" l="1"/>
  <c r="CO1057" i="15"/>
  <c r="CT1057" i="15" s="1"/>
  <c r="CI1063" i="15"/>
  <c r="CC1067" i="15"/>
  <c r="CN1067" i="15" s="1"/>
  <c r="CD1068" i="15"/>
  <c r="CE1068" i="15"/>
  <c r="CP1068" i="15" s="1"/>
  <c r="CU1068" i="15" s="1"/>
  <c r="CF1068" i="15"/>
  <c r="CQ1068" i="15" s="1"/>
  <c r="CV1068" i="15" s="1"/>
  <c r="BQ1070" i="15"/>
  <c r="AM499" i="15"/>
  <c r="AN499" i="15" s="1"/>
  <c r="AJ499" i="15"/>
  <c r="AM500" i="15"/>
  <c r="AN500" i="15" s="1"/>
  <c r="AM501" i="15"/>
  <c r="AN501" i="15" s="1"/>
  <c r="AH502" i="15"/>
  <c r="AK502" i="15" s="1"/>
  <c r="AL502" i="15" s="1"/>
  <c r="AJ501" i="15"/>
  <c r="AG505" i="17"/>
  <c r="AG505" i="15"/>
  <c r="AP504" i="15"/>
  <c r="BY1069" i="15"/>
  <c r="BZ1069" i="15"/>
  <c r="AO504" i="17"/>
  <c r="BX1069" i="15"/>
  <c r="BV1068" i="15"/>
  <c r="AP504" i="17"/>
  <c r="BT1070" i="15"/>
  <c r="AI507" i="15"/>
  <c r="CS1067" i="15" l="1"/>
  <c r="CI1064" i="15"/>
  <c r="CC1068" i="15"/>
  <c r="CN1068" i="15" s="1"/>
  <c r="CS1068" i="15" s="1"/>
  <c r="CD1069" i="15"/>
  <c r="CF1069" i="15"/>
  <c r="CQ1069" i="15" s="1"/>
  <c r="CV1069" i="15" s="1"/>
  <c r="CE1069" i="15"/>
  <c r="CP1069" i="15" s="1"/>
  <c r="CU1069" i="15" s="1"/>
  <c r="BQ1071" i="15"/>
  <c r="AG506" i="15"/>
  <c r="AG506" i="17"/>
  <c r="BW1070" i="15"/>
  <c r="CH1070" i="15"/>
  <c r="BX1070" i="15"/>
  <c r="AI505" i="17"/>
  <c r="BV1069" i="15"/>
  <c r="AH505" i="17"/>
  <c r="AI506" i="17"/>
  <c r="CB1067" i="15"/>
  <c r="AO505" i="17"/>
  <c r="AI508" i="17"/>
  <c r="AO506" i="15"/>
  <c r="AI505" i="15"/>
  <c r="AI509" i="15"/>
  <c r="BZ1070" i="15"/>
  <c r="AI506" i="15"/>
  <c r="AI508" i="15"/>
  <c r="BY1070" i="15"/>
  <c r="AO505" i="15"/>
  <c r="AH505" i="15"/>
  <c r="AP505" i="15"/>
  <c r="AP505" i="17"/>
  <c r="AI509" i="17"/>
  <c r="AI507" i="17"/>
  <c r="CH1071" i="15"/>
  <c r="CI1065" i="15" l="1"/>
  <c r="CJ1065" i="15" s="1"/>
  <c r="CC1069" i="15"/>
  <c r="CN1069" i="15" s="1"/>
  <c r="CF1070" i="15"/>
  <c r="CQ1070" i="15" s="1"/>
  <c r="CV1070" i="15" s="1"/>
  <c r="CE1070" i="15"/>
  <c r="CP1070" i="15" s="1"/>
  <c r="CU1070" i="15" s="1"/>
  <c r="CD1070" i="15"/>
  <c r="BQ1072" i="15"/>
  <c r="AH503" i="15"/>
  <c r="AK503" i="15" s="1"/>
  <c r="AL503" i="15" s="1"/>
  <c r="AM502" i="15"/>
  <c r="AN502" i="15" s="1"/>
  <c r="AJ502" i="15"/>
  <c r="AH506" i="17"/>
  <c r="AL505" i="17"/>
  <c r="AM505" i="17" s="1"/>
  <c r="AN505" i="17" s="1"/>
  <c r="AL509" i="17"/>
  <c r="AM509" i="17" s="1"/>
  <c r="AN509" i="17" s="1"/>
  <c r="AH508" i="17"/>
  <c r="AL507" i="17"/>
  <c r="AM507" i="17" s="1"/>
  <c r="AN507" i="17" s="1"/>
  <c r="AL506" i="17"/>
  <c r="AM506" i="17" s="1"/>
  <c r="AN506" i="17" s="1"/>
  <c r="AH507" i="17"/>
  <c r="AH509" i="17"/>
  <c r="AL508" i="17"/>
  <c r="AM508" i="17" s="1"/>
  <c r="AN508" i="17" s="1"/>
  <c r="AG507" i="17"/>
  <c r="AG507" i="15"/>
  <c r="CK1071" i="15"/>
  <c r="AO506" i="17"/>
  <c r="BY1071" i="15"/>
  <c r="BV1070" i="15"/>
  <c r="CH1072" i="15"/>
  <c r="BT1071" i="15"/>
  <c r="CB1068" i="15"/>
  <c r="AP506" i="15"/>
  <c r="AO507" i="15"/>
  <c r="BW1071" i="15"/>
  <c r="BZ1071" i="15"/>
  <c r="BX1071" i="15"/>
  <c r="AP506" i="17"/>
  <c r="BW1072" i="15"/>
  <c r="CN1070" i="15" l="1"/>
  <c r="CS1070" i="15" s="1"/>
  <c r="CS1069" i="15"/>
  <c r="CK1065" i="15"/>
  <c r="CO1065" i="15"/>
  <c r="CT1065" i="15" s="1"/>
  <c r="CJ1064" i="15"/>
  <c r="CC1070" i="15"/>
  <c r="CE1071" i="15"/>
  <c r="CP1071" i="15" s="1"/>
  <c r="CU1071" i="15" s="1"/>
  <c r="CF1071" i="15"/>
  <c r="CQ1071" i="15" s="1"/>
  <c r="CV1071" i="15" s="1"/>
  <c r="CD1071" i="15"/>
  <c r="CO1071" i="15" s="1"/>
  <c r="BQ1073" i="15"/>
  <c r="AJ505" i="15"/>
  <c r="AK505" i="15" s="1"/>
  <c r="AL505" i="15" s="1"/>
  <c r="AH506" i="15"/>
  <c r="AK506" i="15" s="1"/>
  <c r="AL506" i="15" s="1"/>
  <c r="AG508" i="15"/>
  <c r="AG508" i="17"/>
  <c r="BT1072" i="15"/>
  <c r="AO507" i="17"/>
  <c r="BX1072" i="15"/>
  <c r="BW1073" i="15"/>
  <c r="BZ1072" i="15"/>
  <c r="BV1071" i="15"/>
  <c r="BY1072" i="15"/>
  <c r="BT1073" i="15"/>
  <c r="AP507" i="15"/>
  <c r="CH1073" i="15"/>
  <c r="CB1070" i="15"/>
  <c r="AP507" i="17"/>
  <c r="CB1069" i="15"/>
  <c r="AO508" i="15"/>
  <c r="CT1066" i="15" l="1"/>
  <c r="CI1066" i="15"/>
  <c r="CI1067" i="15" s="1"/>
  <c r="CK1064" i="15"/>
  <c r="CO1064" i="15"/>
  <c r="CT1064" i="15" s="1"/>
  <c r="CJ1063" i="15"/>
  <c r="CC1071" i="15"/>
  <c r="CN1071" i="15" s="1"/>
  <c r="CS1071" i="15" s="1"/>
  <c r="CD1072" i="15"/>
  <c r="CE1072" i="15"/>
  <c r="CP1072" i="15" s="1"/>
  <c r="CU1072" i="15" s="1"/>
  <c r="CF1072" i="15"/>
  <c r="CQ1072" i="15" s="1"/>
  <c r="CV1072" i="15" s="1"/>
  <c r="BQ1074" i="15"/>
  <c r="AM503" i="15"/>
  <c r="AN503" i="15" s="1"/>
  <c r="AH504" i="15"/>
  <c r="AK504" i="15" s="1"/>
  <c r="AL504" i="15" s="1"/>
  <c r="AJ503" i="15"/>
  <c r="AG509" i="15"/>
  <c r="AG509" i="17"/>
  <c r="BV1072" i="15"/>
  <c r="BT1074" i="15"/>
  <c r="AO509" i="15"/>
  <c r="BZ1073" i="15"/>
  <c r="AO508" i="17"/>
  <c r="CH1074" i="15"/>
  <c r="BY1073" i="15"/>
  <c r="AP508" i="15"/>
  <c r="AP508" i="17"/>
  <c r="BX1073" i="15"/>
  <c r="BW1074" i="15"/>
  <c r="CK1063" i="15" l="1"/>
  <c r="CO1063" i="15"/>
  <c r="CT1063" i="15" s="1"/>
  <c r="CJ1062" i="15"/>
  <c r="CI1068" i="15"/>
  <c r="CC1072" i="15"/>
  <c r="CN1072" i="15" s="1"/>
  <c r="CD1073" i="15"/>
  <c r="CF1073" i="15"/>
  <c r="CQ1073" i="15" s="1"/>
  <c r="CV1073" i="15" s="1"/>
  <c r="CE1073" i="15"/>
  <c r="CP1073" i="15" s="1"/>
  <c r="CU1073" i="15" s="1"/>
  <c r="BQ1075" i="15"/>
  <c r="AJ504" i="15"/>
  <c r="AM504" i="15"/>
  <c r="AN504" i="15" s="1"/>
  <c r="AM505" i="15"/>
  <c r="AN505" i="15" s="1"/>
  <c r="AM506" i="15"/>
  <c r="AN506" i="15" s="1"/>
  <c r="AH507" i="15"/>
  <c r="AK507" i="15" s="1"/>
  <c r="AL507" i="15" s="1"/>
  <c r="AJ506" i="15"/>
  <c r="AG510" i="17"/>
  <c r="AG510" i="15"/>
  <c r="AP509" i="15"/>
  <c r="AI514" i="15"/>
  <c r="AP509" i="17"/>
  <c r="AO510" i="15"/>
  <c r="AI513" i="15"/>
  <c r="CB1071" i="15"/>
  <c r="CH1075" i="15"/>
  <c r="BZ1074" i="15"/>
  <c r="BY1074" i="15"/>
  <c r="AI511" i="15"/>
  <c r="BW1075" i="15"/>
  <c r="BT1075" i="15"/>
  <c r="AI512" i="15"/>
  <c r="BV1073" i="15"/>
  <c r="AO509" i="17"/>
  <c r="BX1074" i="15"/>
  <c r="AI510" i="15"/>
  <c r="CB1072" i="15"/>
  <c r="CS1072" i="15" l="1"/>
  <c r="CK1062" i="15"/>
  <c r="CO1062" i="15"/>
  <c r="CT1062" i="15" s="1"/>
  <c r="CI1069" i="15"/>
  <c r="CC1073" i="15"/>
  <c r="CN1073" i="15" s="1"/>
  <c r="CS1073" i="15" s="1"/>
  <c r="CF1074" i="15"/>
  <c r="CQ1074" i="15" s="1"/>
  <c r="CV1074" i="15" s="1"/>
  <c r="CE1074" i="15"/>
  <c r="CP1074" i="15" s="1"/>
  <c r="CU1074" i="15" s="1"/>
  <c r="CD1074" i="15"/>
  <c r="BQ1076" i="15"/>
  <c r="AG511" i="15"/>
  <c r="AG511" i="17"/>
  <c r="AP510" i="15"/>
  <c r="AO511" i="15"/>
  <c r="AO510" i="17"/>
  <c r="BW1076" i="15"/>
  <c r="CK1076" i="15"/>
  <c r="BZ1075" i="15"/>
  <c r="BX1075" i="15"/>
  <c r="AP510" i="17"/>
  <c r="AI512" i="17"/>
  <c r="BV1074" i="15"/>
  <c r="BT1076" i="15"/>
  <c r="AI510" i="17"/>
  <c r="CH1076" i="15"/>
  <c r="AI513" i="17"/>
  <c r="AH510" i="17"/>
  <c r="BY1075" i="15"/>
  <c r="AH510" i="15"/>
  <c r="AI511" i="17"/>
  <c r="AI514" i="17"/>
  <c r="CI1070" i="15" l="1"/>
  <c r="CJ1070" i="15" s="1"/>
  <c r="CJ1069" i="15" s="1"/>
  <c r="CC1074" i="15"/>
  <c r="CN1074" i="15" s="1"/>
  <c r="CF1075" i="15"/>
  <c r="CQ1075" i="15" s="1"/>
  <c r="CV1075" i="15" s="1"/>
  <c r="CE1075" i="15"/>
  <c r="CP1075" i="15" s="1"/>
  <c r="CU1075" i="15" s="1"/>
  <c r="CD1075" i="15"/>
  <c r="BQ1077" i="15"/>
  <c r="AH508" i="15"/>
  <c r="AK508" i="15" s="1"/>
  <c r="AL508" i="15" s="1"/>
  <c r="AM507" i="15"/>
  <c r="AN507" i="15" s="1"/>
  <c r="AJ507" i="15"/>
  <c r="AH513" i="17"/>
  <c r="AL512" i="17"/>
  <c r="AM512" i="17" s="1"/>
  <c r="AN512" i="17" s="1"/>
  <c r="AL510" i="17"/>
  <c r="AM510" i="17" s="1"/>
  <c r="AN510" i="17" s="1"/>
  <c r="AH511" i="17"/>
  <c r="AL514" i="17"/>
  <c r="AM514" i="17" s="1"/>
  <c r="AN514" i="17" s="1"/>
  <c r="AL513" i="17"/>
  <c r="AM513" i="17" s="1"/>
  <c r="AN513" i="17" s="1"/>
  <c r="AH514" i="17"/>
  <c r="AH512" i="17"/>
  <c r="AL511" i="17"/>
  <c r="AM511" i="17" s="1"/>
  <c r="AN511" i="17" s="1"/>
  <c r="AG512" i="15"/>
  <c r="AG512" i="17"/>
  <c r="CB1073" i="15"/>
  <c r="AP511" i="17"/>
  <c r="CB1074" i="15"/>
  <c r="BX1076" i="15"/>
  <c r="AO511" i="17"/>
  <c r="CH1077" i="15"/>
  <c r="BV1075" i="15"/>
  <c r="BZ1076" i="15"/>
  <c r="AO512" i="15"/>
  <c r="BT1077" i="15"/>
  <c r="AP511" i="15"/>
  <c r="BY1076" i="15"/>
  <c r="BW1077" i="15"/>
  <c r="CN1075" i="15" l="1"/>
  <c r="CS1075" i="15" s="1"/>
  <c r="CS1074" i="15"/>
  <c r="CO1069" i="15"/>
  <c r="CT1069" i="15" s="1"/>
  <c r="CK1069" i="15"/>
  <c r="CJ1068" i="15"/>
  <c r="CO1070" i="15"/>
  <c r="CT1070" i="15" s="1"/>
  <c r="CK1070" i="15"/>
  <c r="CC1075" i="15"/>
  <c r="CD1076" i="15"/>
  <c r="CO1076" i="15" s="1"/>
  <c r="CE1076" i="15"/>
  <c r="CP1076" i="15" s="1"/>
  <c r="CU1076" i="15" s="1"/>
  <c r="CF1076" i="15"/>
  <c r="CQ1076" i="15" s="1"/>
  <c r="CV1076" i="15" s="1"/>
  <c r="BQ1078" i="15"/>
  <c r="AJ510" i="15"/>
  <c r="AK510" i="15" s="1"/>
  <c r="AL510" i="15" s="1"/>
  <c r="AH511" i="15"/>
  <c r="AK511" i="15" s="1"/>
  <c r="AL511" i="15" s="1"/>
  <c r="AG513" i="17"/>
  <c r="AG513" i="15"/>
  <c r="AP512" i="17"/>
  <c r="BZ1077" i="15"/>
  <c r="BT1078" i="15"/>
  <c r="AP512" i="15"/>
  <c r="AO512" i="17"/>
  <c r="BV1076" i="15"/>
  <c r="CH1078" i="15"/>
  <c r="BX1077" i="15"/>
  <c r="BY1077" i="15"/>
  <c r="CB1075" i="15"/>
  <c r="BW1078" i="15"/>
  <c r="AO513" i="15"/>
  <c r="CT1071" i="15" l="1"/>
  <c r="CI1071" i="15"/>
  <c r="CI1072" i="15" s="1"/>
  <c r="CO1068" i="15"/>
  <c r="CT1068" i="15" s="1"/>
  <c r="CK1068" i="15"/>
  <c r="CJ1067" i="15"/>
  <c r="CC1076" i="15"/>
  <c r="CN1076" i="15" s="1"/>
  <c r="CS1076" i="15" s="1"/>
  <c r="CD1077" i="15"/>
  <c r="CF1077" i="15"/>
  <c r="CQ1077" i="15" s="1"/>
  <c r="CV1077" i="15" s="1"/>
  <c r="CE1077" i="15"/>
  <c r="CP1077" i="15" s="1"/>
  <c r="CU1077" i="15" s="1"/>
  <c r="BQ1079" i="15"/>
  <c r="AH509" i="15"/>
  <c r="AK509" i="15" s="1"/>
  <c r="AL509" i="15" s="1"/>
  <c r="AM508" i="15"/>
  <c r="AN508" i="15" s="1"/>
  <c r="AJ508" i="15"/>
  <c r="AG514" i="15"/>
  <c r="AG514" i="17"/>
  <c r="BZ1078" i="15"/>
  <c r="AO514" i="15"/>
  <c r="BT1079" i="15"/>
  <c r="BW1079" i="15"/>
  <c r="BY1078" i="15"/>
  <c r="CB1076" i="15"/>
  <c r="AP513" i="17"/>
  <c r="BX1078" i="15"/>
  <c r="AP513" i="15"/>
  <c r="BV1077" i="15"/>
  <c r="CH1079" i="15"/>
  <c r="AO513" i="17"/>
  <c r="CO1067" i="15" l="1"/>
  <c r="CT1067" i="15" s="1"/>
  <c r="CK1067" i="15"/>
  <c r="CI1073" i="15"/>
  <c r="CC1077" i="15"/>
  <c r="CN1077" i="15" s="1"/>
  <c r="CF1078" i="15"/>
  <c r="CQ1078" i="15" s="1"/>
  <c r="CV1078" i="15" s="1"/>
  <c r="CE1078" i="15"/>
  <c r="CP1078" i="15" s="1"/>
  <c r="CU1078" i="15" s="1"/>
  <c r="CD1078" i="15"/>
  <c r="BQ1080" i="15"/>
  <c r="AH512" i="15"/>
  <c r="AK512" i="15" s="1"/>
  <c r="AL512" i="15" s="1"/>
  <c r="AM511" i="15"/>
  <c r="AN511" i="15" s="1"/>
  <c r="AJ511" i="15"/>
  <c r="AJ509" i="15"/>
  <c r="AM509" i="15"/>
  <c r="AN509" i="15" s="1"/>
  <c r="AM510" i="15"/>
  <c r="AN510" i="15" s="1"/>
  <c r="AG515" i="17"/>
  <c r="AG515" i="15"/>
  <c r="AO514" i="17"/>
  <c r="AP514" i="17"/>
  <c r="BZ1079" i="15"/>
  <c r="BW1080" i="15"/>
  <c r="AP514" i="15"/>
  <c r="BY1079" i="15"/>
  <c r="BV1078" i="15"/>
  <c r="AI518" i="15"/>
  <c r="BX1079" i="15"/>
  <c r="CH1080" i="15"/>
  <c r="AO515" i="15"/>
  <c r="CS1077" i="15" l="1"/>
  <c r="CI1074" i="15"/>
  <c r="CC1078" i="15"/>
  <c r="CN1078" i="15" s="1"/>
  <c r="CS1078" i="15" s="1"/>
  <c r="CE1079" i="15"/>
  <c r="CP1079" i="15" s="1"/>
  <c r="CU1079" i="15" s="1"/>
  <c r="CF1079" i="15"/>
  <c r="CQ1079" i="15" s="1"/>
  <c r="CV1079" i="15" s="1"/>
  <c r="CD1079" i="15"/>
  <c r="BQ1081" i="15"/>
  <c r="AG516" i="15"/>
  <c r="AG516" i="17"/>
  <c r="BT1080" i="15"/>
  <c r="AI516" i="15"/>
  <c r="AI519" i="15"/>
  <c r="AI517" i="17"/>
  <c r="AI516" i="17"/>
  <c r="BX1080" i="15"/>
  <c r="BY1080" i="15"/>
  <c r="AO515" i="17"/>
  <c r="AI518" i="17"/>
  <c r="CK1081" i="15"/>
  <c r="AI517" i="15"/>
  <c r="AH515" i="17"/>
  <c r="BZ1080" i="15"/>
  <c r="CB1077" i="15"/>
  <c r="AI519" i="17"/>
  <c r="AI515" i="15"/>
  <c r="AI515" i="17"/>
  <c r="AO516" i="15"/>
  <c r="AH515" i="15"/>
  <c r="BV1079" i="15"/>
  <c r="AP515" i="17"/>
  <c r="AP515" i="15"/>
  <c r="BW1081" i="15"/>
  <c r="CI1075" i="15" l="1"/>
  <c r="CJ1075" i="15" s="1"/>
  <c r="CC1079" i="15"/>
  <c r="CN1079" i="15" s="1"/>
  <c r="CD1080" i="15"/>
  <c r="CE1080" i="15"/>
  <c r="CP1080" i="15" s="1"/>
  <c r="CU1080" i="15" s="1"/>
  <c r="CF1080" i="15"/>
  <c r="CQ1080" i="15" s="1"/>
  <c r="CV1080" i="15" s="1"/>
  <c r="BQ1082" i="15"/>
  <c r="AM512" i="15"/>
  <c r="AN512" i="15" s="1"/>
  <c r="AH513" i="15"/>
  <c r="AK513" i="15" s="1"/>
  <c r="AL513" i="15" s="1"/>
  <c r="AJ512" i="15"/>
  <c r="AH516" i="17"/>
  <c r="AL515" i="17"/>
  <c r="AM515" i="17" s="1"/>
  <c r="AN515" i="17" s="1"/>
  <c r="AL516" i="17"/>
  <c r="AM516" i="17" s="1"/>
  <c r="AN516" i="17" s="1"/>
  <c r="AH517" i="17"/>
  <c r="AL518" i="17"/>
  <c r="AM518" i="17" s="1"/>
  <c r="AN518" i="17" s="1"/>
  <c r="AH519" i="17"/>
  <c r="AH518" i="17"/>
  <c r="AL517" i="17"/>
  <c r="AM517" i="17" s="1"/>
  <c r="AN517" i="17" s="1"/>
  <c r="AL519" i="17"/>
  <c r="AM519" i="17" s="1"/>
  <c r="AN519" i="17" s="1"/>
  <c r="AG517" i="17"/>
  <c r="AG517" i="15"/>
  <c r="BT1081" i="15"/>
  <c r="AO516" i="17"/>
  <c r="AO517" i="15"/>
  <c r="AP516" i="15"/>
  <c r="BW1082" i="15"/>
  <c r="CH1081" i="15"/>
  <c r="BV1080" i="15"/>
  <c r="BZ1081" i="15"/>
  <c r="AP516" i="17"/>
  <c r="CB1078" i="15"/>
  <c r="BY1081" i="15"/>
  <c r="BX1081" i="15"/>
  <c r="BT1082" i="15"/>
  <c r="CH1082" i="15"/>
  <c r="CN1080" i="15" l="1"/>
  <c r="CS1080" i="15" s="1"/>
  <c r="CS1079" i="15"/>
  <c r="CO1075" i="15"/>
  <c r="CT1075" i="15" s="1"/>
  <c r="CK1075" i="15"/>
  <c r="CJ1074" i="15"/>
  <c r="CC1080" i="15"/>
  <c r="CD1081" i="15"/>
  <c r="CO1081" i="15" s="1"/>
  <c r="CF1081" i="15"/>
  <c r="CQ1081" i="15" s="1"/>
  <c r="CV1081" i="15" s="1"/>
  <c r="CE1081" i="15"/>
  <c r="CP1081" i="15" s="1"/>
  <c r="CU1081" i="15" s="1"/>
  <c r="BQ1083" i="15"/>
  <c r="AH516" i="15"/>
  <c r="AK516" i="15" s="1"/>
  <c r="AL516" i="15" s="1"/>
  <c r="AJ515" i="15"/>
  <c r="AK515" i="15" s="1"/>
  <c r="AL515" i="15" s="1"/>
  <c r="AG518" i="17"/>
  <c r="AG518" i="15"/>
  <c r="CB1079" i="15"/>
  <c r="BX1082" i="15"/>
  <c r="CB1080" i="15"/>
  <c r="BY1082" i="15"/>
  <c r="BV1081" i="15"/>
  <c r="AO518" i="15"/>
  <c r="CH1083" i="15"/>
  <c r="BZ1082" i="15"/>
  <c r="BW1083" i="15"/>
  <c r="AP517" i="15"/>
  <c r="AP517" i="17"/>
  <c r="AO517" i="17"/>
  <c r="BT1083" i="15"/>
  <c r="CT1076" i="15" l="1"/>
  <c r="CI1076" i="15"/>
  <c r="CI1077" i="15" s="1"/>
  <c r="CO1074" i="15"/>
  <c r="CT1074" i="15" s="1"/>
  <c r="CK1074" i="15"/>
  <c r="CJ1073" i="15"/>
  <c r="CC1081" i="15"/>
  <c r="CN1081" i="15" s="1"/>
  <c r="CS1081" i="15" s="1"/>
  <c r="CF1082" i="15"/>
  <c r="CQ1082" i="15" s="1"/>
  <c r="CV1082" i="15" s="1"/>
  <c r="CE1082" i="15"/>
  <c r="CP1082" i="15" s="1"/>
  <c r="CU1082" i="15" s="1"/>
  <c r="CD1082" i="15"/>
  <c r="BQ1084" i="15"/>
  <c r="AM513" i="15"/>
  <c r="AN513" i="15" s="1"/>
  <c r="AH514" i="15"/>
  <c r="AK514" i="15" s="1"/>
  <c r="AL514" i="15" s="1"/>
  <c r="AJ513" i="15"/>
  <c r="AG519" i="15"/>
  <c r="AG519" i="17"/>
  <c r="AO518" i="17"/>
  <c r="AP518" i="15"/>
  <c r="BX1083" i="15"/>
  <c r="CH1084" i="15"/>
  <c r="BZ1083" i="15"/>
  <c r="BY1083" i="15"/>
  <c r="BV1082" i="15"/>
  <c r="AP518" i="17"/>
  <c r="AO519" i="15"/>
  <c r="BW1084" i="15"/>
  <c r="BT1084" i="15"/>
  <c r="CO1073" i="15" l="1"/>
  <c r="CT1073" i="15" s="1"/>
  <c r="CK1073" i="15"/>
  <c r="CJ1072" i="15"/>
  <c r="CI1078" i="15"/>
  <c r="CC1082" i="15"/>
  <c r="CN1082" i="15" s="1"/>
  <c r="CE1083" i="15"/>
  <c r="CP1083" i="15" s="1"/>
  <c r="CU1083" i="15" s="1"/>
  <c r="CF1083" i="15"/>
  <c r="CQ1083" i="15" s="1"/>
  <c r="CV1083" i="15" s="1"/>
  <c r="CD1083" i="15"/>
  <c r="BQ1085" i="15"/>
  <c r="AJ514" i="15"/>
  <c r="AM514" i="15"/>
  <c r="AN514" i="15" s="1"/>
  <c r="AM515" i="15"/>
  <c r="AN515" i="15" s="1"/>
  <c r="AM516" i="15"/>
  <c r="AN516" i="15" s="1"/>
  <c r="AH517" i="15"/>
  <c r="AK517" i="15" s="1"/>
  <c r="AL517" i="15" s="1"/>
  <c r="AJ516" i="15"/>
  <c r="AG520" i="15"/>
  <c r="AG520" i="17"/>
  <c r="BW1085" i="15"/>
  <c r="AO519" i="17"/>
  <c r="CB1082" i="15"/>
  <c r="BV1083" i="15"/>
  <c r="BY1084" i="15"/>
  <c r="CB1081" i="15"/>
  <c r="BZ1084" i="15"/>
  <c r="AI521" i="15"/>
  <c r="AP519" i="17"/>
  <c r="BX1084" i="15"/>
  <c r="BT1085" i="15"/>
  <c r="AP519" i="15"/>
  <c r="CH1085" i="15"/>
  <c r="AI524" i="15"/>
  <c r="CS1082" i="15" l="1"/>
  <c r="CO1072" i="15"/>
  <c r="CT1072" i="15" s="1"/>
  <c r="CK1072" i="15"/>
  <c r="CI1079" i="15"/>
  <c r="CC1083" i="15"/>
  <c r="CN1083" i="15" s="1"/>
  <c r="CS1083" i="15" s="1"/>
  <c r="CD1084" i="15"/>
  <c r="CE1084" i="15"/>
  <c r="CP1084" i="15" s="1"/>
  <c r="CU1084" i="15" s="1"/>
  <c r="CF1084" i="15"/>
  <c r="CQ1084" i="15" s="1"/>
  <c r="CV1084" i="15" s="1"/>
  <c r="BQ1086" i="15"/>
  <c r="AG521" i="17"/>
  <c r="AG521" i="15"/>
  <c r="AO520" i="15"/>
  <c r="BZ1085" i="15"/>
  <c r="AI523" i="17"/>
  <c r="AI521" i="17"/>
  <c r="BV1084" i="15"/>
  <c r="AI524" i="17"/>
  <c r="AI522" i="17"/>
  <c r="AI522" i="15"/>
  <c r="AO520" i="17"/>
  <c r="AH520" i="15"/>
  <c r="AO521" i="15"/>
  <c r="AI520" i="15"/>
  <c r="AP520" i="17"/>
  <c r="BY1085" i="15"/>
  <c r="AI520" i="17"/>
  <c r="AP520" i="15"/>
  <c r="AI523" i="15"/>
  <c r="AH520" i="17"/>
  <c r="BX1085" i="15"/>
  <c r="BT1086" i="15"/>
  <c r="CI1080" i="15" l="1"/>
  <c r="CJ1080" i="15" s="1"/>
  <c r="CJ1079" i="15" s="1"/>
  <c r="CC1084" i="15"/>
  <c r="CN1084" i="15" s="1"/>
  <c r="CD1085" i="15"/>
  <c r="CF1085" i="15"/>
  <c r="CQ1085" i="15" s="1"/>
  <c r="CV1085" i="15" s="1"/>
  <c r="CE1085" i="15"/>
  <c r="CP1085" i="15" s="1"/>
  <c r="CU1085" i="15" s="1"/>
  <c r="BQ1087" i="15"/>
  <c r="AM517" i="15"/>
  <c r="AN517" i="15" s="1"/>
  <c r="AH518" i="15"/>
  <c r="AK518" i="15" s="1"/>
  <c r="AL518" i="15" s="1"/>
  <c r="AJ517" i="15"/>
  <c r="AH522" i="17"/>
  <c r="AL521" i="17"/>
  <c r="AM521" i="17" s="1"/>
  <c r="AN521" i="17" s="1"/>
  <c r="AL522" i="17"/>
  <c r="AM522" i="17" s="1"/>
  <c r="AN522" i="17" s="1"/>
  <c r="AH523" i="17"/>
  <c r="AL524" i="17"/>
  <c r="AM524" i="17" s="1"/>
  <c r="AN524" i="17" s="1"/>
  <c r="AH521" i="17"/>
  <c r="AL520" i="17"/>
  <c r="AM520" i="17" s="1"/>
  <c r="AN520" i="17" s="1"/>
  <c r="AH524" i="17"/>
  <c r="AL523" i="17"/>
  <c r="AM523" i="17" s="1"/>
  <c r="AN523" i="17" s="1"/>
  <c r="AG522" i="15"/>
  <c r="AG522" i="17"/>
  <c r="BW1086" i="15"/>
  <c r="BY1086" i="15"/>
  <c r="AP521" i="17"/>
  <c r="BZ1086" i="15"/>
  <c r="CH1087" i="15"/>
  <c r="CH1086" i="15"/>
  <c r="BX1086" i="15"/>
  <c r="BT1087" i="15"/>
  <c r="CB1084" i="15"/>
  <c r="AP521" i="15"/>
  <c r="CK1086" i="15"/>
  <c r="AO521" i="17"/>
  <c r="BV1085" i="15"/>
  <c r="AO522" i="15"/>
  <c r="CB1083" i="15"/>
  <c r="BW1087" i="15"/>
  <c r="CN1085" i="15" l="1"/>
  <c r="CS1085" i="15" s="1"/>
  <c r="CS1084" i="15"/>
  <c r="CK1079" i="15"/>
  <c r="CO1079" i="15"/>
  <c r="CT1079" i="15" s="1"/>
  <c r="CJ1078" i="15"/>
  <c r="CK1080" i="15"/>
  <c r="CO1080" i="15"/>
  <c r="CT1080" i="15" s="1"/>
  <c r="CC1085" i="15"/>
  <c r="CF1086" i="15"/>
  <c r="CQ1086" i="15" s="1"/>
  <c r="CV1086" i="15" s="1"/>
  <c r="CE1086" i="15"/>
  <c r="CP1086" i="15" s="1"/>
  <c r="CU1086" i="15" s="1"/>
  <c r="CD1086" i="15"/>
  <c r="CO1086" i="15" s="1"/>
  <c r="BQ1088" i="15"/>
  <c r="AJ520" i="15"/>
  <c r="AK520" i="15" s="1"/>
  <c r="AL520" i="15" s="1"/>
  <c r="AH521" i="15"/>
  <c r="AK521" i="15" s="1"/>
  <c r="AL521" i="15" s="1"/>
  <c r="AG523" i="17"/>
  <c r="AG523" i="15"/>
  <c r="BV1086" i="15"/>
  <c r="BZ1087" i="15"/>
  <c r="BX1087" i="15"/>
  <c r="CH1088" i="15"/>
  <c r="AO522" i="17"/>
  <c r="BY1087" i="15"/>
  <c r="AP522" i="15"/>
  <c r="AP522" i="17"/>
  <c r="CB1085" i="15"/>
  <c r="BT1088" i="15"/>
  <c r="AO523" i="15"/>
  <c r="CT1081" i="15" l="1"/>
  <c r="CI1081" i="15"/>
  <c r="CI1082" i="15" s="1"/>
  <c r="CK1078" i="15"/>
  <c r="CO1078" i="15"/>
  <c r="CT1078" i="15" s="1"/>
  <c r="CJ1077" i="15"/>
  <c r="CC1086" i="15"/>
  <c r="CN1086" i="15" s="1"/>
  <c r="CS1086" i="15" s="1"/>
  <c r="CE1087" i="15"/>
  <c r="CP1087" i="15" s="1"/>
  <c r="CU1087" i="15" s="1"/>
  <c r="CF1087" i="15"/>
  <c r="CQ1087" i="15" s="1"/>
  <c r="CV1087" i="15" s="1"/>
  <c r="CD1087" i="15"/>
  <c r="BQ1089" i="15"/>
  <c r="AM518" i="15"/>
  <c r="AN518" i="15" s="1"/>
  <c r="AH519" i="15"/>
  <c r="AK519" i="15" s="1"/>
  <c r="AL519" i="15" s="1"/>
  <c r="AJ518" i="15"/>
  <c r="AG524" i="17"/>
  <c r="AG524" i="15"/>
  <c r="BW1088" i="15"/>
  <c r="CH1089" i="15"/>
  <c r="AP523" i="15"/>
  <c r="BZ1088" i="15"/>
  <c r="AP523" i="17"/>
  <c r="AO523" i="17"/>
  <c r="BV1087" i="15"/>
  <c r="BY1088" i="15"/>
  <c r="BW1089" i="15"/>
  <c r="BX1088" i="15"/>
  <c r="BT1089" i="15"/>
  <c r="AO524" i="15"/>
  <c r="CK1077" i="15" l="1"/>
  <c r="CO1077" i="15"/>
  <c r="CT1077" i="15" s="1"/>
  <c r="CI1083" i="15"/>
  <c r="CC1087" i="15"/>
  <c r="CN1087" i="15" s="1"/>
  <c r="CD1088" i="15"/>
  <c r="CE1088" i="15"/>
  <c r="CP1088" i="15" s="1"/>
  <c r="CU1088" i="15" s="1"/>
  <c r="CF1088" i="15"/>
  <c r="CQ1088" i="15" s="1"/>
  <c r="CV1088" i="15" s="1"/>
  <c r="BQ1090" i="15"/>
  <c r="AJ519" i="15"/>
  <c r="AM519" i="15"/>
  <c r="AN519" i="15" s="1"/>
  <c r="AM520" i="15"/>
  <c r="AN520" i="15" s="1"/>
  <c r="AH522" i="15"/>
  <c r="AK522" i="15" s="1"/>
  <c r="AL522" i="15" s="1"/>
  <c r="AM521" i="15"/>
  <c r="AN521" i="15" s="1"/>
  <c r="AJ521" i="15"/>
  <c r="AG525" i="17"/>
  <c r="AG525" i="15"/>
  <c r="CB1086" i="15"/>
  <c r="AP524" i="15"/>
  <c r="BZ1089" i="15"/>
  <c r="BV1088" i="15"/>
  <c r="BW1090" i="15"/>
  <c r="AI526" i="15"/>
  <c r="BY1089" i="15"/>
  <c r="AO524" i="17"/>
  <c r="BX1089" i="15"/>
  <c r="AP524" i="17"/>
  <c r="BT1090" i="15"/>
  <c r="AI527" i="15"/>
  <c r="CS1087" i="15" l="1"/>
  <c r="CI1084" i="15"/>
  <c r="CC1088" i="15"/>
  <c r="CN1088" i="15" s="1"/>
  <c r="CS1088" i="15" s="1"/>
  <c r="CD1089" i="15"/>
  <c r="CF1089" i="15"/>
  <c r="CQ1089" i="15" s="1"/>
  <c r="CV1089" i="15" s="1"/>
  <c r="CE1089" i="15"/>
  <c r="CP1089" i="15" s="1"/>
  <c r="CU1089" i="15" s="1"/>
  <c r="BQ1091" i="15"/>
  <c r="AG526" i="15"/>
  <c r="AG526" i="17"/>
  <c r="AI528" i="15"/>
  <c r="BT1091" i="15"/>
  <c r="CH1090" i="15"/>
  <c r="AI529" i="17"/>
  <c r="AI526" i="17"/>
  <c r="CB1087" i="15"/>
  <c r="CK1091" i="15"/>
  <c r="AO525" i="15"/>
  <c r="AI525" i="15"/>
  <c r="AI529" i="15"/>
  <c r="BZ1090" i="15"/>
  <c r="AH525" i="15"/>
  <c r="AH525" i="17"/>
  <c r="AP525" i="17"/>
  <c r="AI527" i="17"/>
  <c r="BX1090" i="15"/>
  <c r="CH1091" i="15"/>
  <c r="AP525" i="15"/>
  <c r="AO526" i="15"/>
  <c r="AI528" i="17"/>
  <c r="BY1090" i="15"/>
  <c r="AI525" i="17"/>
  <c r="BW1091" i="15"/>
  <c r="AO525" i="17"/>
  <c r="BV1089" i="15"/>
  <c r="CB1088" i="15"/>
  <c r="CI1085" i="15" l="1"/>
  <c r="CJ1085" i="15" s="1"/>
  <c r="CC1089" i="15"/>
  <c r="CN1089" i="15" s="1"/>
  <c r="CE1090" i="15"/>
  <c r="CP1090" i="15" s="1"/>
  <c r="CU1090" i="15" s="1"/>
  <c r="CF1090" i="15"/>
  <c r="CQ1090" i="15" s="1"/>
  <c r="CV1090" i="15" s="1"/>
  <c r="CD1090" i="15"/>
  <c r="BQ1092" i="15"/>
  <c r="AM522" i="15"/>
  <c r="AN522" i="15" s="1"/>
  <c r="AH523" i="15"/>
  <c r="AK523" i="15" s="1"/>
  <c r="AL523" i="15" s="1"/>
  <c r="AJ522" i="15"/>
  <c r="AL528" i="17"/>
  <c r="AM528" i="17" s="1"/>
  <c r="AN528" i="17" s="1"/>
  <c r="AH529" i="17"/>
  <c r="AL529" i="17"/>
  <c r="AM529" i="17" s="1"/>
  <c r="AN529" i="17" s="1"/>
  <c r="AH528" i="17"/>
  <c r="AL527" i="17"/>
  <c r="AM527" i="17" s="1"/>
  <c r="AN527" i="17" s="1"/>
  <c r="AL526" i="17"/>
  <c r="AM526" i="17" s="1"/>
  <c r="AN526" i="17" s="1"/>
  <c r="AH527" i="17"/>
  <c r="AH526" i="17"/>
  <c r="AL525" i="17"/>
  <c r="AM525" i="17" s="1"/>
  <c r="AN525" i="17" s="1"/>
  <c r="AG527" i="17"/>
  <c r="AG527" i="15"/>
  <c r="BT1092" i="15"/>
  <c r="CH1092" i="15"/>
  <c r="CB1089" i="15"/>
  <c r="AO526" i="17"/>
  <c r="BV1090" i="15"/>
  <c r="BX1091" i="15"/>
  <c r="AP526" i="17"/>
  <c r="AO527" i="15"/>
  <c r="BW1092" i="15"/>
  <c r="BY1091" i="15"/>
  <c r="BZ1091" i="15"/>
  <c r="AP526" i="15"/>
  <c r="CN1090" i="15" l="1"/>
  <c r="CS1090" i="15" s="1"/>
  <c r="CS1089" i="15"/>
  <c r="CK1085" i="15"/>
  <c r="CO1085" i="15"/>
  <c r="CT1085" i="15" s="1"/>
  <c r="CJ1084" i="15"/>
  <c r="CC1090" i="15"/>
  <c r="CE1091" i="15"/>
  <c r="CP1091" i="15" s="1"/>
  <c r="CU1091" i="15" s="1"/>
  <c r="CF1091" i="15"/>
  <c r="CQ1091" i="15" s="1"/>
  <c r="CV1091" i="15" s="1"/>
  <c r="CD1091" i="15"/>
  <c r="CO1091" i="15" s="1"/>
  <c r="BQ1093" i="15"/>
  <c r="AJ525" i="15"/>
  <c r="AK525" i="15" s="1"/>
  <c r="AL525" i="15" s="1"/>
  <c r="AH526" i="15"/>
  <c r="AK526" i="15" s="1"/>
  <c r="AL526" i="15" s="1"/>
  <c r="AG528" i="17"/>
  <c r="AG528" i="15"/>
  <c r="CB1090" i="15"/>
  <c r="BT1093" i="15"/>
  <c r="BY1092" i="15"/>
  <c r="BX1092" i="15"/>
  <c r="BW1093" i="15"/>
  <c r="AP527" i="15"/>
  <c r="BZ1092" i="15"/>
  <c r="CH1093" i="15"/>
  <c r="BV1091" i="15"/>
  <c r="AO527" i="17"/>
  <c r="AP527" i="17"/>
  <c r="AO528" i="15"/>
  <c r="CT1086" i="15" l="1"/>
  <c r="CI1086" i="15"/>
  <c r="CI1087" i="15" s="1"/>
  <c r="CK1084" i="15"/>
  <c r="CO1084" i="15"/>
  <c r="CT1084" i="15" s="1"/>
  <c r="CJ1083" i="15"/>
  <c r="CC1091" i="15"/>
  <c r="CN1091" i="15" s="1"/>
  <c r="CS1091" i="15" s="1"/>
  <c r="CD1092" i="15"/>
  <c r="CE1092" i="15"/>
  <c r="CP1092" i="15" s="1"/>
  <c r="CU1092" i="15" s="1"/>
  <c r="CF1092" i="15"/>
  <c r="CQ1092" i="15" s="1"/>
  <c r="CV1092" i="15" s="1"/>
  <c r="BQ1094" i="15"/>
  <c r="AM523" i="15"/>
  <c r="AN523" i="15" s="1"/>
  <c r="AH524" i="15"/>
  <c r="AK524" i="15" s="1"/>
  <c r="AL524" i="15" s="1"/>
  <c r="AJ523" i="15"/>
  <c r="AG529" i="15"/>
  <c r="AG529" i="17"/>
  <c r="AP528" i="15"/>
  <c r="BW1094" i="15"/>
  <c r="BV1092" i="15"/>
  <c r="BZ1093" i="15"/>
  <c r="BY1093" i="15"/>
  <c r="CH1094" i="15"/>
  <c r="AP528" i="17"/>
  <c r="AO528" i="17"/>
  <c r="AO529" i="15"/>
  <c r="BX1093" i="15"/>
  <c r="BT1094" i="15"/>
  <c r="CK1083" i="15" l="1"/>
  <c r="CO1083" i="15"/>
  <c r="CT1083" i="15" s="1"/>
  <c r="CJ1082" i="15"/>
  <c r="CI1088" i="15"/>
  <c r="CC1092" i="15"/>
  <c r="CN1092" i="15" s="1"/>
  <c r="CD1093" i="15"/>
  <c r="CF1093" i="15"/>
  <c r="CQ1093" i="15" s="1"/>
  <c r="CV1093" i="15" s="1"/>
  <c r="CE1093" i="15"/>
  <c r="CP1093" i="15" s="1"/>
  <c r="CU1093" i="15" s="1"/>
  <c r="BQ1095" i="15"/>
  <c r="AJ524" i="15"/>
  <c r="AM524" i="15"/>
  <c r="AN524" i="15" s="1"/>
  <c r="AM525" i="15"/>
  <c r="AN525" i="15" s="1"/>
  <c r="AM526" i="15"/>
  <c r="AN526" i="15" s="1"/>
  <c r="AH527" i="15"/>
  <c r="AK527" i="15" s="1"/>
  <c r="AL527" i="15" s="1"/>
  <c r="AJ526" i="15"/>
  <c r="AG530" i="17"/>
  <c r="AG530" i="15"/>
  <c r="BX1094" i="15"/>
  <c r="BZ1094" i="15"/>
  <c r="BV1093" i="15"/>
  <c r="AP529" i="15"/>
  <c r="BW1095" i="15"/>
  <c r="CH1095" i="15"/>
  <c r="AP529" i="17"/>
  <c r="BY1094" i="15"/>
  <c r="AI530" i="15"/>
  <c r="AI534" i="15"/>
  <c r="CB1092" i="15"/>
  <c r="BT1095" i="15"/>
  <c r="AO530" i="15"/>
  <c r="AI533" i="15"/>
  <c r="CB1091" i="15"/>
  <c r="AO529" i="17"/>
  <c r="AI532" i="15"/>
  <c r="AI531" i="15"/>
  <c r="CS1092" i="15" l="1"/>
  <c r="CK1082" i="15"/>
  <c r="CO1082" i="15"/>
  <c r="CT1082" i="15" s="1"/>
  <c r="CI1089" i="15"/>
  <c r="CC1093" i="15"/>
  <c r="CN1093" i="15" s="1"/>
  <c r="CS1093" i="15" s="1"/>
  <c r="CF1094" i="15"/>
  <c r="CQ1094" i="15" s="1"/>
  <c r="CV1094" i="15" s="1"/>
  <c r="CE1094" i="15"/>
  <c r="CP1094" i="15" s="1"/>
  <c r="CU1094" i="15" s="1"/>
  <c r="CD1094" i="15"/>
  <c r="BQ1096" i="15"/>
  <c r="AG531" i="15"/>
  <c r="AG531" i="17"/>
  <c r="AI534" i="17"/>
  <c r="AO530" i="17"/>
  <c r="CH1096" i="15"/>
  <c r="BX1095" i="15"/>
  <c r="AH530" i="17"/>
  <c r="AP530" i="17"/>
  <c r="AI530" i="17"/>
  <c r="AI533" i="17"/>
  <c r="CK1096" i="15"/>
  <c r="BZ1095" i="15"/>
  <c r="BT1096" i="15"/>
  <c r="AI532" i="17"/>
  <c r="CB1093" i="15"/>
  <c r="AP530" i="15"/>
  <c r="BW1096" i="15"/>
  <c r="AO531" i="15"/>
  <c r="BV1094" i="15"/>
  <c r="AI531" i="17"/>
  <c r="BY1095" i="15"/>
  <c r="AH530" i="15"/>
  <c r="CI1090" i="15" l="1"/>
  <c r="CJ1090" i="15" s="1"/>
  <c r="CJ1089" i="15" s="1"/>
  <c r="CC1094" i="15"/>
  <c r="CN1094" i="15" s="1"/>
  <c r="CD1095" i="15"/>
  <c r="CE1095" i="15"/>
  <c r="CP1095" i="15" s="1"/>
  <c r="CU1095" i="15" s="1"/>
  <c r="CF1095" i="15"/>
  <c r="CQ1095" i="15" s="1"/>
  <c r="CV1095" i="15" s="1"/>
  <c r="BQ1097" i="15"/>
  <c r="AH528" i="15"/>
  <c r="AK528" i="15" s="1"/>
  <c r="AL528" i="15" s="1"/>
  <c r="AM527" i="15"/>
  <c r="AN527" i="15" s="1"/>
  <c r="AJ527" i="15"/>
  <c r="AH532" i="17"/>
  <c r="AL531" i="17"/>
  <c r="AM531" i="17" s="1"/>
  <c r="AN531" i="17" s="1"/>
  <c r="AL533" i="17"/>
  <c r="AM533" i="17" s="1"/>
  <c r="AN533" i="17" s="1"/>
  <c r="AH534" i="17"/>
  <c r="AL530" i="17"/>
  <c r="AM530" i="17" s="1"/>
  <c r="AN530" i="17" s="1"/>
  <c r="AH531" i="17"/>
  <c r="AH533" i="17"/>
  <c r="AL532" i="17"/>
  <c r="AM532" i="17" s="1"/>
  <c r="AN532" i="17" s="1"/>
  <c r="AL534" i="17"/>
  <c r="AM534" i="17" s="1"/>
  <c r="AN534" i="17" s="1"/>
  <c r="AG532" i="15"/>
  <c r="AG532" i="17"/>
  <c r="BT1097" i="15"/>
  <c r="CH1097" i="15"/>
  <c r="AP531" i="17"/>
  <c r="BX1096" i="15"/>
  <c r="AP531" i="15"/>
  <c r="BV1095" i="15"/>
  <c r="AO532" i="15"/>
  <c r="BZ1096" i="15"/>
  <c r="AO531" i="17"/>
  <c r="BW1097" i="15"/>
  <c r="BY1096" i="15"/>
  <c r="CN1095" i="15" l="1"/>
  <c r="CS1095" i="15" s="1"/>
  <c r="CS1094" i="15"/>
  <c r="CO1089" i="15"/>
  <c r="CT1089" i="15" s="1"/>
  <c r="CK1089" i="15"/>
  <c r="CJ1088" i="15"/>
  <c r="CO1090" i="15"/>
  <c r="CT1090" i="15" s="1"/>
  <c r="CK1090" i="15"/>
  <c r="CC1095" i="15"/>
  <c r="CD1096" i="15"/>
  <c r="CO1096" i="15" s="1"/>
  <c r="CE1096" i="15"/>
  <c r="CP1096" i="15" s="1"/>
  <c r="CU1096" i="15" s="1"/>
  <c r="CF1096" i="15"/>
  <c r="CQ1096" i="15" s="1"/>
  <c r="CV1096" i="15" s="1"/>
  <c r="BQ1098" i="15"/>
  <c r="AJ530" i="15"/>
  <c r="AK530" i="15" s="1"/>
  <c r="AL530" i="15" s="1"/>
  <c r="AH531" i="15"/>
  <c r="AK531" i="15" s="1"/>
  <c r="AL531" i="15" s="1"/>
  <c r="AG533" i="17"/>
  <c r="AG533" i="15"/>
  <c r="BZ1097" i="15"/>
  <c r="BX1097" i="15"/>
  <c r="BY1097" i="15"/>
  <c r="AO532" i="17"/>
  <c r="CB1094" i="15"/>
  <c r="AP532" i="15"/>
  <c r="AP532" i="17"/>
  <c r="BW1098" i="15"/>
  <c r="BV1096" i="15"/>
  <c r="CB1095" i="15"/>
  <c r="AO533" i="15"/>
  <c r="CT1091" i="15" l="1"/>
  <c r="CI1091" i="15"/>
  <c r="CI1092" i="15" s="1"/>
  <c r="CO1088" i="15"/>
  <c r="CT1088" i="15" s="1"/>
  <c r="CK1088" i="15"/>
  <c r="CJ1087" i="15"/>
  <c r="CC1096" i="15"/>
  <c r="CN1096" i="15" s="1"/>
  <c r="CS1096" i="15" s="1"/>
  <c r="CD1097" i="15"/>
  <c r="CF1097" i="15"/>
  <c r="CQ1097" i="15" s="1"/>
  <c r="CV1097" i="15" s="1"/>
  <c r="CE1097" i="15"/>
  <c r="CP1097" i="15" s="1"/>
  <c r="CU1097" i="15" s="1"/>
  <c r="BQ1099" i="15"/>
  <c r="AM528" i="15"/>
  <c r="AN528" i="15" s="1"/>
  <c r="AH529" i="15"/>
  <c r="AK529" i="15" s="1"/>
  <c r="AL529" i="15" s="1"/>
  <c r="AJ528" i="15"/>
  <c r="AG534" i="15"/>
  <c r="AG534" i="17"/>
  <c r="AO534" i="15"/>
  <c r="CB1096" i="15"/>
  <c r="CH1098" i="15"/>
  <c r="AP533" i="15"/>
  <c r="BW1099" i="15"/>
  <c r="BY1098" i="15"/>
  <c r="AP533" i="17"/>
  <c r="BZ1098" i="15"/>
  <c r="BT1098" i="15"/>
  <c r="BV1097" i="15"/>
  <c r="BX1098" i="15"/>
  <c r="AO533" i="17"/>
  <c r="CO1087" i="15" l="1"/>
  <c r="CT1087" i="15" s="1"/>
  <c r="CK1087" i="15"/>
  <c r="CI1093" i="15"/>
  <c r="CC1097" i="15"/>
  <c r="CN1097" i="15" s="1"/>
  <c r="CF1098" i="15"/>
  <c r="CQ1098" i="15" s="1"/>
  <c r="CV1098" i="15" s="1"/>
  <c r="CE1098" i="15"/>
  <c r="CP1098" i="15" s="1"/>
  <c r="CU1098" i="15" s="1"/>
  <c r="CD1098" i="15"/>
  <c r="BQ1100" i="15"/>
  <c r="AM529" i="15"/>
  <c r="AN529" i="15" s="1"/>
  <c r="AJ529" i="15"/>
  <c r="AM530" i="15"/>
  <c r="AN530" i="15" s="1"/>
  <c r="AH532" i="15"/>
  <c r="AK532" i="15" s="1"/>
  <c r="AL532" i="15" s="1"/>
  <c r="AM531" i="15"/>
  <c r="AN531" i="15" s="1"/>
  <c r="AJ531" i="15"/>
  <c r="AG535" i="15"/>
  <c r="AG535" i="17"/>
  <c r="CH1099" i="15"/>
  <c r="AP534" i="17"/>
  <c r="AI536" i="15"/>
  <c r="BV1098" i="15"/>
  <c r="BT1099" i="15"/>
  <c r="AI539" i="15"/>
  <c r="BY1099" i="15"/>
  <c r="BZ1099" i="15"/>
  <c r="AO534" i="17"/>
  <c r="AI538" i="15"/>
  <c r="AI537" i="15"/>
  <c r="BX1099" i="15"/>
  <c r="AI535" i="15"/>
  <c r="AO535" i="15"/>
  <c r="BT1100" i="15"/>
  <c r="AP534" i="15"/>
  <c r="CH1100" i="15"/>
  <c r="CS1097" i="15" l="1"/>
  <c r="CI1094" i="15"/>
  <c r="CC1098" i="15"/>
  <c r="CN1098" i="15" s="1"/>
  <c r="CS1098" i="15" s="1"/>
  <c r="CE1099" i="15"/>
  <c r="CP1099" i="15" s="1"/>
  <c r="CU1099" i="15" s="1"/>
  <c r="CF1099" i="15"/>
  <c r="CQ1099" i="15" s="1"/>
  <c r="CV1099" i="15" s="1"/>
  <c r="CD1099" i="15"/>
  <c r="AG536" i="15"/>
  <c r="AG536" i="17"/>
  <c r="BW1100" i="15"/>
  <c r="BX1100" i="15"/>
  <c r="AH535" i="15"/>
  <c r="AI536" i="17"/>
  <c r="BY1100" i="15"/>
  <c r="AP535" i="17"/>
  <c r="BZ1100" i="15"/>
  <c r="CB1097" i="15"/>
  <c r="AO535" i="17"/>
  <c r="AI537" i="17"/>
  <c r="BV1099" i="15"/>
  <c r="AP535" i="15"/>
  <c r="AH535" i="17"/>
  <c r="AI538" i="17"/>
  <c r="AI539" i="17"/>
  <c r="AI535" i="17"/>
  <c r="AO536" i="15"/>
  <c r="CI1095" i="15" l="1"/>
  <c r="CJ1095" i="15" s="1"/>
  <c r="CC1099" i="15"/>
  <c r="CN1099" i="15" s="1"/>
  <c r="CD1100" i="15"/>
  <c r="CE1100" i="15"/>
  <c r="CP1100" i="15" s="1"/>
  <c r="CU1100" i="15" s="1"/>
  <c r="CF1100" i="15"/>
  <c r="CQ1100" i="15" s="1"/>
  <c r="CV1100" i="15" s="1"/>
  <c r="AH533" i="15"/>
  <c r="AK533" i="15" s="1"/>
  <c r="AL533" i="15" s="1"/>
  <c r="AM532" i="15"/>
  <c r="AN532" i="15" s="1"/>
  <c r="AJ532" i="15"/>
  <c r="AH539" i="17"/>
  <c r="AL538" i="17"/>
  <c r="AM538" i="17" s="1"/>
  <c r="AN538" i="17" s="1"/>
  <c r="AL535" i="17"/>
  <c r="AM535" i="17" s="1"/>
  <c r="AN535" i="17" s="1"/>
  <c r="AH536" i="17"/>
  <c r="AH537" i="17"/>
  <c r="AL536" i="17"/>
  <c r="AM536" i="17" s="1"/>
  <c r="AN536" i="17" s="1"/>
  <c r="AL539" i="17"/>
  <c r="AM539" i="17" s="1"/>
  <c r="AN539" i="17" s="1"/>
  <c r="AL537" i="17"/>
  <c r="AM537" i="17" s="1"/>
  <c r="AN537" i="17" s="1"/>
  <c r="AH538" i="17"/>
  <c r="AG537" i="17"/>
  <c r="AG537" i="15"/>
  <c r="AP536" i="15"/>
  <c r="AP536" i="17"/>
  <c r="AO537" i="15"/>
  <c r="CB1099" i="15"/>
  <c r="AO536" i="17"/>
  <c r="BV1100" i="15"/>
  <c r="CB1098" i="15"/>
  <c r="CN1100" i="15" l="1"/>
  <c r="CS1100" i="15" s="1"/>
  <c r="CS1099" i="15"/>
  <c r="CO1095" i="15"/>
  <c r="CT1095" i="15" s="1"/>
  <c r="CK1095" i="15"/>
  <c r="CJ1094" i="15"/>
  <c r="CC1100" i="15"/>
  <c r="AJ535" i="15"/>
  <c r="AK535" i="15" s="1"/>
  <c r="AL535" i="15" s="1"/>
  <c r="AH536" i="15"/>
  <c r="AK536" i="15" s="1"/>
  <c r="AL536" i="15" s="1"/>
  <c r="AG538" i="15"/>
  <c r="AG538" i="17"/>
  <c r="AO537" i="17"/>
  <c r="AP537" i="17"/>
  <c r="AO538" i="15"/>
  <c r="AP537" i="15"/>
  <c r="CB1100" i="15"/>
  <c r="CT1096" i="15" l="1"/>
  <c r="DA958" i="15"/>
  <c r="DA924" i="15"/>
  <c r="DA881" i="15"/>
  <c r="DA775" i="15"/>
  <c r="DA766" i="15"/>
  <c r="DA721" i="15"/>
  <c r="DA736" i="15"/>
  <c r="DA623" i="15"/>
  <c r="DA617" i="15"/>
  <c r="DA720" i="15"/>
  <c r="DA878" i="15"/>
  <c r="DA640" i="15"/>
  <c r="DA917" i="15"/>
  <c r="DA621" i="15"/>
  <c r="DA938" i="15"/>
  <c r="DA726" i="15"/>
  <c r="DA825" i="15"/>
  <c r="DA950" i="15"/>
  <c r="DA848" i="15"/>
  <c r="DA843" i="15"/>
  <c r="DA685" i="15"/>
  <c r="DA789" i="15"/>
  <c r="DA698" i="15"/>
  <c r="DA797" i="15"/>
  <c r="DA922" i="15"/>
  <c r="DA573" i="15"/>
  <c r="DA845" i="15"/>
  <c r="DA713" i="15"/>
  <c r="DA730" i="15"/>
  <c r="DA707" i="15"/>
  <c r="DA642" i="15"/>
  <c r="DA783" i="15"/>
  <c r="DA888" i="15"/>
  <c r="DA871" i="15"/>
  <c r="DA842" i="15"/>
  <c r="DA913" i="15"/>
  <c r="DA680" i="15"/>
  <c r="DA784" i="15"/>
  <c r="DA594" i="15"/>
  <c r="DA763" i="15"/>
  <c r="DA760" i="15"/>
  <c r="DA606" i="15"/>
  <c r="DA579" i="15"/>
  <c r="DA879" i="15"/>
  <c r="DA860" i="15"/>
  <c r="DA865" i="15"/>
  <c r="DA716" i="15"/>
  <c r="DA806" i="15"/>
  <c r="DA578" i="15"/>
  <c r="DA839" i="15"/>
  <c r="DA854" i="15"/>
  <c r="DA953" i="15"/>
  <c r="DA771" i="15"/>
  <c r="DA691" i="15"/>
  <c r="DA723" i="15"/>
  <c r="DA912" i="15"/>
  <c r="DA910" i="15"/>
  <c r="DA799" i="15"/>
  <c r="DA812" i="15"/>
  <c r="DA877" i="15"/>
  <c r="DA656" i="15"/>
  <c r="DA907" i="15"/>
  <c r="DA857" i="15"/>
  <c r="DA944" i="15"/>
  <c r="DA629" i="15"/>
  <c r="DA681" i="15"/>
  <c r="DA779" i="15"/>
  <c r="DA600" i="15"/>
  <c r="DA683" i="15"/>
  <c r="DA829" i="15"/>
  <c r="DA729" i="15"/>
  <c r="DA923" i="15"/>
  <c r="DA841" i="15"/>
  <c r="DA767" i="15"/>
  <c r="DA836" i="15"/>
  <c r="DA608" i="15"/>
  <c r="DA791" i="15"/>
  <c r="DA898" i="15"/>
  <c r="DA663" i="15"/>
  <c r="DA661" i="15"/>
  <c r="DA874" i="15"/>
  <c r="DA662" i="15"/>
  <c r="DA761" i="15"/>
  <c r="DA886" i="15"/>
  <c r="DA872" i="15"/>
  <c r="DA757" i="15"/>
  <c r="DA832" i="15"/>
  <c r="DA885" i="15"/>
  <c r="DA670" i="15"/>
  <c r="DA769" i="15"/>
  <c r="DA894" i="15"/>
  <c r="DA727" i="15"/>
  <c r="DA956" i="15"/>
  <c r="DA838" i="15"/>
  <c r="DA626" i="15"/>
  <c r="DA747" i="15"/>
  <c r="DA800" i="15"/>
  <c r="DA646" i="15"/>
  <c r="DA939" i="15"/>
  <c r="DA599" i="15"/>
  <c r="DA754" i="15"/>
  <c r="DA627" i="15"/>
  <c r="DA620" i="15"/>
  <c r="DA949" i="15"/>
  <c r="DA876" i="15"/>
  <c r="DA668" i="15"/>
  <c r="DA591" i="15"/>
  <c r="DA900" i="15"/>
  <c r="DA920" i="15"/>
  <c r="DA636" i="15"/>
  <c r="DA715" i="15"/>
  <c r="DA828" i="15"/>
  <c r="DA634" i="15"/>
  <c r="DA959" i="15"/>
  <c r="DA858" i="15"/>
  <c r="DA792" i="15"/>
  <c r="DA601" i="15"/>
  <c r="DA804" i="15"/>
  <c r="DA892" i="15"/>
  <c r="DA866" i="15"/>
  <c r="DA750" i="15"/>
  <c r="DA647" i="15"/>
  <c r="DA669" i="15"/>
  <c r="DA798" i="15"/>
  <c r="DA897" i="15"/>
  <c r="DA611" i="15"/>
  <c r="DA786" i="15"/>
  <c r="DA679" i="15"/>
  <c r="DA793" i="15"/>
  <c r="DA776" i="15"/>
  <c r="DA659" i="15"/>
  <c r="DA884" i="15"/>
  <c r="DA728" i="15"/>
  <c r="DA915" i="15"/>
  <c r="DA787" i="15"/>
  <c r="DA801" i="15"/>
  <c r="DA631" i="15"/>
  <c r="DA742" i="15"/>
  <c r="DA844" i="15"/>
  <c r="DA585" i="15"/>
  <c r="DA764" i="15"/>
  <c r="DA875" i="15"/>
  <c r="DA675" i="15"/>
  <c r="DA954" i="15"/>
  <c r="DA714" i="15"/>
  <c r="DA785" i="15"/>
  <c r="DA577" i="15"/>
  <c r="DA762" i="15"/>
  <c r="DA861" i="15"/>
  <c r="DA697" i="15"/>
  <c r="DA712" i="15"/>
  <c r="DA796" i="15"/>
  <c r="DA667" i="15"/>
  <c r="DA751" i="15"/>
  <c r="DA945" i="15"/>
  <c r="DA903" i="15"/>
  <c r="DA830" i="15"/>
  <c r="DA840" i="15"/>
  <c r="DA850" i="15"/>
  <c r="DA765" i="15"/>
  <c r="DA644" i="15"/>
  <c r="DA795" i="15"/>
  <c r="DA777" i="15"/>
  <c r="DA609" i="15"/>
  <c r="DA643" i="15"/>
  <c r="DA593" i="15"/>
  <c r="DA782" i="15"/>
  <c r="DA610" i="15"/>
  <c r="DA739" i="15"/>
  <c r="DA749" i="15"/>
  <c r="DA929" i="15"/>
  <c r="DA835" i="15"/>
  <c r="DA870" i="15"/>
  <c r="DA649" i="15"/>
  <c r="DA605" i="15"/>
  <c r="DA880" i="15"/>
  <c r="DA748" i="15"/>
  <c r="DA952" i="15"/>
  <c r="DA909" i="15"/>
  <c r="DA831" i="15"/>
  <c r="DA794" i="15"/>
  <c r="DA808" i="15"/>
  <c r="DA696" i="15"/>
  <c r="DA774" i="15"/>
  <c r="DA911" i="15"/>
  <c r="DA588" i="15"/>
  <c r="DA624" i="15"/>
  <c r="DA930" i="15"/>
  <c r="DA805" i="15"/>
  <c r="DA834" i="15"/>
  <c r="DA746" i="15"/>
  <c r="DA873" i="15"/>
  <c r="DA759" i="15"/>
  <c r="DA758" i="15"/>
  <c r="DA893" i="15"/>
  <c r="DA855" i="15"/>
  <c r="DA868" i="15"/>
  <c r="DA905" i="15"/>
  <c r="DA847" i="15"/>
  <c r="DA936" i="15"/>
  <c r="DA604" i="15"/>
  <c r="DA737" i="15"/>
  <c r="DA918" i="15"/>
  <c r="DA678" i="15"/>
  <c r="DA899" i="15"/>
  <c r="DA575" i="15"/>
  <c r="DA607" i="15"/>
  <c r="DA859" i="15"/>
  <c r="DA596" i="15"/>
  <c r="DA926" i="15"/>
  <c r="DA686" i="15"/>
  <c r="DA580" i="15"/>
  <c r="DA672" i="15"/>
  <c r="DA684" i="15"/>
  <c r="DA803" i="15"/>
  <c r="DA864" i="15"/>
  <c r="DA690" i="15"/>
  <c r="DA827" i="15"/>
  <c r="DA902" i="15"/>
  <c r="DA882" i="15"/>
  <c r="DA820" i="15"/>
  <c r="DA928" i="15"/>
  <c r="DA770" i="15"/>
  <c r="DA615" i="15"/>
  <c r="DA933" i="15"/>
  <c r="DA895" i="15"/>
  <c r="DA574" i="15"/>
  <c r="DA689" i="15"/>
  <c r="DA919" i="15"/>
  <c r="DA586" i="15"/>
  <c r="DA869" i="15"/>
  <c r="DA657" i="15"/>
  <c r="DA704" i="15"/>
  <c r="DA890" i="15"/>
  <c r="DA650" i="15"/>
  <c r="DA935" i="15"/>
  <c r="DA614" i="15"/>
  <c r="DA731" i="15"/>
  <c r="DA823" i="15"/>
  <c r="DA768" i="15"/>
  <c r="DA602" i="15"/>
  <c r="DA616" i="15"/>
  <c r="DA932" i="15"/>
  <c r="DA853" i="15"/>
  <c r="DA603" i="15"/>
  <c r="DA814" i="15"/>
  <c r="DA648" i="15"/>
  <c r="DA589" i="15"/>
  <c r="DA722" i="15"/>
  <c r="DA710" i="15"/>
  <c r="DA598" i="15"/>
  <c r="DA816" i="15"/>
  <c r="DA664" i="15"/>
  <c r="DA677" i="15"/>
  <c r="DA632" i="15"/>
  <c r="DA738" i="15"/>
  <c r="DA718" i="15"/>
  <c r="DA908" i="15"/>
  <c r="DA652" i="15"/>
  <c r="DA863" i="15"/>
  <c r="DA948" i="15"/>
  <c r="DA583" i="15"/>
  <c r="DA818" i="15"/>
  <c r="DA851" i="15"/>
  <c r="DA817" i="15"/>
  <c r="DA676" i="15"/>
  <c r="DA702" i="15"/>
  <c r="DA688" i="15"/>
  <c r="DA743" i="15"/>
  <c r="DA778" i="15"/>
  <c r="DA849" i="15"/>
  <c r="DA581" i="15"/>
  <c r="DA645" i="15"/>
  <c r="DA732" i="15"/>
  <c r="DA772" i="15"/>
  <c r="DA862" i="15"/>
  <c r="DA622" i="15"/>
  <c r="DA741" i="15"/>
  <c r="DA655" i="15"/>
  <c r="DA815" i="15"/>
  <c r="DA682" i="15"/>
  <c r="DA809" i="15"/>
  <c r="DA665" i="15"/>
  <c r="DA694" i="15"/>
  <c r="DA824" i="15"/>
  <c r="DA653" i="15"/>
  <c r="DA943" i="15"/>
  <c r="DA914" i="15"/>
  <c r="DA781" i="15"/>
  <c r="DA628" i="15"/>
  <c r="DA666" i="15"/>
  <c r="DA846" i="15"/>
  <c r="DA692" i="15"/>
  <c r="DA867" i="15"/>
  <c r="DA813" i="15"/>
  <c r="DA699" i="15"/>
  <c r="DA724" i="15"/>
  <c r="DA904" i="15"/>
  <c r="DA733" i="15"/>
  <c r="DA826" i="15"/>
  <c r="DA925" i="15"/>
  <c r="DA807" i="15"/>
  <c r="DA819" i="15"/>
  <c r="DA744" i="15"/>
  <c r="DA695" i="15"/>
  <c r="DA709" i="15"/>
  <c r="DA773" i="15"/>
  <c r="DA711" i="15"/>
  <c r="DA755" i="15"/>
  <c r="DA587" i="15"/>
  <c r="DA635" i="15"/>
  <c r="DA719" i="15"/>
  <c r="DA790" i="15"/>
  <c r="DA889" i="15"/>
  <c r="DA673" i="15"/>
  <c r="DA810" i="15"/>
  <c r="DA937" i="15"/>
  <c r="DA887" i="15"/>
  <c r="DA822" i="15"/>
  <c r="DA856" i="15"/>
  <c r="DA703" i="15"/>
  <c r="DA821" i="15"/>
  <c r="DA654" i="15"/>
  <c r="DA780" i="15"/>
  <c r="DA934" i="15"/>
  <c r="DA735" i="15"/>
  <c r="DA788" i="15"/>
  <c r="DA717" i="15"/>
  <c r="DA708" i="15"/>
  <c r="DA595" i="15"/>
  <c r="DA705" i="15"/>
  <c r="DA942" i="15"/>
  <c r="DA618" i="15"/>
  <c r="DA651" i="15"/>
  <c r="DA701" i="15"/>
  <c r="DA671" i="15"/>
  <c r="DA891" i="15"/>
  <c r="DA896" i="15"/>
  <c r="DA687" i="15"/>
  <c r="DA931" i="15"/>
  <c r="DA592" i="15"/>
  <c r="DA946" i="15"/>
  <c r="DA955" i="15"/>
  <c r="DA916" i="15"/>
  <c r="DA852" i="15"/>
  <c r="DA883" i="15"/>
  <c r="DA957" i="15"/>
  <c r="DA745" i="15"/>
  <c r="DA590" i="15"/>
  <c r="DA630" i="15"/>
  <c r="DA660" i="15"/>
  <c r="DA619" i="15"/>
  <c r="DA901" i="15"/>
  <c r="DA641" i="15"/>
  <c r="DD640" i="15" s="1"/>
  <c r="DA753" i="15"/>
  <c r="DA906" i="15"/>
  <c r="DA638" i="15"/>
  <c r="DA639" i="15"/>
  <c r="DA582" i="15"/>
  <c r="DA921" i="15"/>
  <c r="DA700" i="15"/>
  <c r="DA597" i="15"/>
  <c r="DA837" i="15"/>
  <c r="DA951" i="15"/>
  <c r="DA740" i="15"/>
  <c r="DA706" i="15"/>
  <c r="DA811" i="15"/>
  <c r="DA613" i="15"/>
  <c r="DA674" i="15"/>
  <c r="DA752" i="15"/>
  <c r="DA612" i="15"/>
  <c r="DA756" i="15"/>
  <c r="DA633" i="15"/>
  <c r="DA625" i="15"/>
  <c r="DA584" i="15"/>
  <c r="DA693" i="15"/>
  <c r="DA947" i="15"/>
  <c r="DA658" i="15"/>
  <c r="DA927" i="15"/>
  <c r="DA940" i="15"/>
  <c r="DA941" i="15"/>
  <c r="DA637" i="15"/>
  <c r="DA725" i="15"/>
  <c r="DA576" i="15"/>
  <c r="DA802" i="15"/>
  <c r="DA734" i="15"/>
  <c r="DA833" i="15"/>
  <c r="DA571" i="15"/>
  <c r="DA572" i="15"/>
  <c r="CI1096" i="15"/>
  <c r="CI1097" i="15" s="1"/>
  <c r="CO1094" i="15"/>
  <c r="CT1094" i="15" s="1"/>
  <c r="CK1094" i="15"/>
  <c r="CJ1093" i="15"/>
  <c r="AM533" i="15"/>
  <c r="AN533" i="15" s="1"/>
  <c r="AH534" i="15"/>
  <c r="AK534" i="15" s="1"/>
  <c r="AL534" i="15" s="1"/>
  <c r="AJ533" i="15"/>
  <c r="AG539" i="17"/>
  <c r="AG539" i="15"/>
  <c r="DF953" i="15"/>
  <c r="DF650" i="15"/>
  <c r="DF794" i="15"/>
  <c r="DF921" i="15"/>
  <c r="DF809" i="15"/>
  <c r="DF804" i="15"/>
  <c r="DF950" i="15"/>
  <c r="DF939" i="15"/>
  <c r="DF906" i="15"/>
  <c r="DF649" i="15"/>
  <c r="DF707" i="15"/>
  <c r="DF885" i="15"/>
  <c r="DF576" i="15"/>
  <c r="DF758" i="15"/>
  <c r="DF749" i="15"/>
  <c r="DF798" i="15"/>
  <c r="DF839" i="15"/>
  <c r="DF746" i="15"/>
  <c r="DF715" i="15"/>
  <c r="DF714" i="15"/>
  <c r="DF663" i="15"/>
  <c r="DF598" i="15"/>
  <c r="DF691" i="15"/>
  <c r="DF728" i="15"/>
  <c r="DF775" i="15"/>
  <c r="DF695" i="15"/>
  <c r="DF923" i="15"/>
  <c r="DF685" i="15"/>
  <c r="DF613" i="15"/>
  <c r="DF880" i="15"/>
  <c r="DF622" i="15"/>
  <c r="DF917" i="15"/>
  <c r="DF904" i="15"/>
  <c r="DF604" i="15"/>
  <c r="DF863" i="15"/>
  <c r="DF947" i="15"/>
  <c r="DF634" i="15"/>
  <c r="DF789" i="15"/>
  <c r="DF928" i="15"/>
  <c r="DF599" i="15"/>
  <c r="DF886" i="15"/>
  <c r="DF732" i="15"/>
  <c r="DF922" i="15"/>
  <c r="DF736" i="15"/>
  <c r="DF910" i="15"/>
  <c r="DF601" i="15"/>
  <c r="DF925" i="15"/>
  <c r="DF611" i="15"/>
  <c r="DF602" i="15"/>
  <c r="DF862" i="15"/>
  <c r="DF897" i="15"/>
  <c r="DF941" i="15"/>
  <c r="DF918" i="15"/>
  <c r="DF747" i="15"/>
  <c r="DF875" i="15"/>
  <c r="DF662" i="15"/>
  <c r="DF848" i="15"/>
  <c r="DF954" i="15"/>
  <c r="DF740" i="15"/>
  <c r="DF675" i="15"/>
  <c r="DF618" i="15"/>
  <c r="DF600" i="15"/>
  <c r="DF763" i="15"/>
  <c r="DF731" i="15"/>
  <c r="DF712" i="15"/>
  <c r="DF756" i="15"/>
  <c r="DF726" i="15"/>
  <c r="DF879" i="15"/>
  <c r="DF892" i="15"/>
  <c r="DF861" i="15"/>
  <c r="DF590" i="15"/>
  <c r="DF743" i="15"/>
  <c r="DF760" i="15"/>
  <c r="DF642" i="15"/>
  <c r="DF671" i="15"/>
  <c r="DF664" i="15"/>
  <c r="DF757" i="15"/>
  <c r="DF817" i="15"/>
  <c r="DF751" i="15"/>
  <c r="DF620" i="15"/>
  <c r="DF919" i="15"/>
  <c r="DF779" i="15"/>
  <c r="DF888" i="15"/>
  <c r="DF828" i="15"/>
  <c r="DF574" i="15"/>
  <c r="DF958" i="15"/>
  <c r="DF931" i="15"/>
  <c r="DF681" i="15"/>
  <c r="DF944" i="15"/>
  <c r="DF744" i="15"/>
  <c r="DF956" i="15"/>
  <c r="DF648" i="15"/>
  <c r="DF791" i="15"/>
  <c r="DF637" i="15"/>
  <c r="DF887" i="15"/>
  <c r="DF718" i="15"/>
  <c r="DF759" i="15"/>
  <c r="DF836" i="15"/>
  <c r="DF771" i="15"/>
  <c r="DF654" i="15"/>
  <c r="DF826" i="15"/>
  <c r="DF847" i="15"/>
  <c r="DF933" i="15"/>
  <c r="DF812" i="15"/>
  <c r="DF711" i="15"/>
  <c r="DF929" i="15"/>
  <c r="DF825" i="15"/>
  <c r="DF856" i="15"/>
  <c r="DF698" i="15"/>
  <c r="DF813" i="15"/>
  <c r="DF643" i="15"/>
  <c r="DF608" i="15"/>
  <c r="DF720" i="15"/>
  <c r="DF952" i="15"/>
  <c r="DF860" i="15"/>
  <c r="DF830" i="15"/>
  <c r="DF753" i="15"/>
  <c r="AO539" i="15"/>
  <c r="DF867" i="15"/>
  <c r="DF893" i="15"/>
  <c r="DF792" i="15"/>
  <c r="DF822" i="15"/>
  <c r="DF793" i="15"/>
  <c r="DF799" i="15"/>
  <c r="DF571" i="15"/>
  <c r="DF635" i="15"/>
  <c r="DF585" i="15"/>
  <c r="DF748" i="15"/>
  <c r="DF937" i="15"/>
  <c r="DF890" i="15"/>
  <c r="DF959" i="15"/>
  <c r="DF896" i="15"/>
  <c r="DF627" i="15"/>
  <c r="DF700" i="15"/>
  <c r="DF805" i="15"/>
  <c r="DF898" i="15"/>
  <c r="DF912" i="15"/>
  <c r="DF786" i="15"/>
  <c r="DF895" i="15"/>
  <c r="DF951" i="15"/>
  <c r="DF870" i="15"/>
  <c r="DF716" i="15"/>
  <c r="DF865" i="15"/>
  <c r="DF835" i="15"/>
  <c r="DF913" i="15"/>
  <c r="DF765" i="15"/>
  <c r="DF755" i="15"/>
  <c r="DF909" i="15"/>
  <c r="DF852" i="15"/>
  <c r="DF646" i="15"/>
  <c r="DF582" i="15"/>
  <c r="DF854" i="15"/>
  <c r="DF821" i="15"/>
  <c r="DF842" i="15"/>
  <c r="DF752" i="15"/>
  <c r="DF727" i="15"/>
  <c r="DF851" i="15"/>
  <c r="DF932" i="15"/>
  <c r="DF640" i="15"/>
  <c r="DF591" i="15"/>
  <c r="DF905" i="15"/>
  <c r="DF709" i="15"/>
  <c r="DF766" i="15"/>
  <c r="DF774" i="15"/>
  <c r="DF686" i="15"/>
  <c r="DF636" i="15"/>
  <c r="DF920" i="15"/>
  <c r="DF676" i="15"/>
  <c r="DF841" i="15"/>
  <c r="DF907" i="15"/>
  <c r="AP538" i="15"/>
  <c r="DF938" i="15"/>
  <c r="DF621" i="15"/>
  <c r="DF730" i="15"/>
  <c r="DF738" i="15"/>
  <c r="DF808" i="15"/>
  <c r="DF680" i="15"/>
  <c r="DF824" i="15"/>
  <c r="DF945" i="15"/>
  <c r="DF644" i="15"/>
  <c r="DF626" i="15"/>
  <c r="DF750" i="15"/>
  <c r="DF690" i="15"/>
  <c r="DF672" i="15"/>
  <c r="DF857" i="15"/>
  <c r="DF859" i="15"/>
  <c r="DF816" i="15"/>
  <c r="DF946" i="15"/>
  <c r="DF580" i="15"/>
  <c r="DF607" i="15"/>
  <c r="AP538" i="17"/>
  <c r="DF846" i="15"/>
  <c r="DF908" i="15"/>
  <c r="DF814" i="15"/>
  <c r="DF631" i="15"/>
  <c r="DF891" i="15"/>
  <c r="DF849" i="15"/>
  <c r="DF754" i="15"/>
  <c r="DF614" i="15"/>
  <c r="DF623" i="15"/>
  <c r="DF717" i="15"/>
  <c r="DF894" i="15"/>
  <c r="DF781" i="15"/>
  <c r="DF916" i="15"/>
  <c r="DF619" i="15"/>
  <c r="DF579" i="15"/>
  <c r="DF790" i="15"/>
  <c r="DF831" i="15"/>
  <c r="DF575" i="15"/>
  <c r="DF616" i="15"/>
  <c r="DF866" i="15"/>
  <c r="DF806" i="15"/>
  <c r="DF713" i="15"/>
  <c r="DF617" i="15"/>
  <c r="DF899" i="15"/>
  <c r="DF858" i="15"/>
  <c r="DF832" i="15"/>
  <c r="DF724" i="15"/>
  <c r="DF914" i="15"/>
  <c r="AO538" i="17"/>
  <c r="DF697" i="15"/>
  <c r="DF930" i="15"/>
  <c r="DF689" i="15"/>
  <c r="DF667" i="15"/>
  <c r="DF915" i="15"/>
  <c r="DF900" i="15"/>
  <c r="DF694" i="15"/>
  <c r="DF948" i="15"/>
  <c r="DF871" i="15"/>
  <c r="DF693" i="15"/>
  <c r="DF869" i="15"/>
  <c r="DF881" i="15"/>
  <c r="DF592" i="15"/>
  <c r="DF735" i="15"/>
  <c r="DF803" i="15"/>
  <c r="DF573" i="15"/>
  <c r="DF670" i="15"/>
  <c r="DF684" i="15"/>
  <c r="DF872" i="15"/>
  <c r="DF589" i="15"/>
  <c r="DF679" i="15"/>
  <c r="DF782" i="15"/>
  <c r="DF785" i="15"/>
  <c r="DF683" i="15"/>
  <c r="DF647" i="15"/>
  <c r="DF609" i="15"/>
  <c r="DF706" i="15"/>
  <c r="DF780" i="15"/>
  <c r="DF762" i="15"/>
  <c r="DF926" i="15"/>
  <c r="DF702" i="15"/>
  <c r="DF628" i="15"/>
  <c r="DF936" i="15"/>
  <c r="DF630" i="15"/>
  <c r="DF784" i="15"/>
  <c r="DF820" i="15"/>
  <c r="DF769" i="15"/>
  <c r="DF924" i="15"/>
  <c r="DF741" i="15"/>
  <c r="DF581" i="15"/>
  <c r="DF603" i="15"/>
  <c r="DF823" i="15"/>
  <c r="DF901" i="15"/>
  <c r="DF878" i="15"/>
  <c r="DF742" i="15"/>
  <c r="DF688" i="15"/>
  <c r="DF868" i="15"/>
  <c r="DF615" i="15"/>
  <c r="DF903" i="15"/>
  <c r="DF588" i="15"/>
  <c r="DF882" i="15"/>
  <c r="DF800" i="15"/>
  <c r="DF587" i="15"/>
  <c r="DF778" i="15"/>
  <c r="DF610" i="15"/>
  <c r="DF633" i="15"/>
  <c r="DF764" i="15"/>
  <c r="DF665" i="15"/>
  <c r="DF787" i="15"/>
  <c r="DF722" i="15"/>
  <c r="DF801" i="15"/>
  <c r="DF853" i="15"/>
  <c r="DF845" i="15"/>
  <c r="DF829" i="15"/>
  <c r="DF943" i="15"/>
  <c r="DF807" i="15"/>
  <c r="DF682" i="15"/>
  <c r="DF940" i="15"/>
  <c r="DF704" i="15"/>
  <c r="DF739" i="15"/>
  <c r="DF632" i="15"/>
  <c r="DF669" i="15"/>
  <c r="DF934" i="15"/>
  <c r="DF815" i="15"/>
  <c r="DF624" i="15"/>
  <c r="DF678" i="15"/>
  <c r="DF638" i="15"/>
  <c r="DF770" i="15"/>
  <c r="DF844" i="15"/>
  <c r="DF737" i="15"/>
  <c r="DF572" i="15"/>
  <c r="DF721" i="15"/>
  <c r="DF889" i="15"/>
  <c r="DF629" i="15"/>
  <c r="DF768" i="15"/>
  <c r="DF796" i="15"/>
  <c r="DF810" i="15"/>
  <c r="DF883" i="15"/>
  <c r="DF827" i="15"/>
  <c r="DF935" i="15"/>
  <c r="DF942" i="15"/>
  <c r="DF657" i="15"/>
  <c r="DF864" i="15"/>
  <c r="DF696" i="15"/>
  <c r="DF745" i="15"/>
  <c r="DF597" i="15"/>
  <c r="DF656" i="15"/>
  <c r="DF802" i="15"/>
  <c r="DF583" i="15"/>
  <c r="DF795" i="15"/>
  <c r="DF595" i="15"/>
  <c r="DF586" i="15"/>
  <c r="DF767" i="15"/>
  <c r="DF659" i="15"/>
  <c r="DF661" i="15"/>
  <c r="DF652" i="15"/>
  <c r="DF834" i="15"/>
  <c r="DF639" i="15"/>
  <c r="DF902" i="15"/>
  <c r="DF605" i="15"/>
  <c r="DF850" i="15"/>
  <c r="DF776" i="15"/>
  <c r="DF818" i="15"/>
  <c r="DF708" i="15"/>
  <c r="DF699" i="15"/>
  <c r="DF658" i="15"/>
  <c r="DF838" i="15"/>
  <c r="DF651" i="15"/>
  <c r="DF873" i="15"/>
  <c r="DF729" i="15"/>
  <c r="DF911" i="15"/>
  <c r="DF761" i="15"/>
  <c r="DF668" i="15"/>
  <c r="DF677" i="15"/>
  <c r="DF876" i="15"/>
  <c r="DF874" i="15"/>
  <c r="DF843" i="15"/>
  <c r="DF593" i="15"/>
  <c r="DF783" i="15"/>
  <c r="DF949" i="15"/>
  <c r="DF777" i="15"/>
  <c r="DF772" i="15"/>
  <c r="DF596" i="15"/>
  <c r="DF719" i="15"/>
  <c r="DF884" i="15"/>
  <c r="DF641" i="15"/>
  <c r="DF674" i="15"/>
  <c r="DF692" i="15"/>
  <c r="DF723" i="15"/>
  <c r="DF594" i="15"/>
  <c r="DF797" i="15"/>
  <c r="DF840" i="15"/>
  <c r="DF606" i="15"/>
  <c r="DF655" i="15"/>
  <c r="DF645" i="15"/>
  <c r="DF577" i="15"/>
  <c r="DF877" i="15"/>
  <c r="DF710" i="15"/>
  <c r="DF855" i="15"/>
  <c r="DF653" i="15"/>
  <c r="DF578" i="15"/>
  <c r="DF703" i="15"/>
  <c r="DF625" i="15"/>
  <c r="DF701" i="15"/>
  <c r="DF584" i="15"/>
  <c r="DF734" i="15"/>
  <c r="DF705" i="15"/>
  <c r="DF955" i="15"/>
  <c r="DF660" i="15"/>
  <c r="DF811" i="15"/>
  <c r="DF927" i="15"/>
  <c r="DF833" i="15"/>
  <c r="DF666" i="15"/>
  <c r="DF733" i="15"/>
  <c r="DF819" i="15"/>
  <c r="DF773" i="15"/>
  <c r="DF673" i="15"/>
  <c r="DF788" i="15"/>
  <c r="DF687" i="15"/>
  <c r="DF957" i="15"/>
  <c r="DF837" i="15"/>
  <c r="DF612" i="15"/>
  <c r="DF725" i="15"/>
  <c r="CO1093" i="15" l="1"/>
  <c r="CT1093" i="15" s="1"/>
  <c r="CK1093" i="15"/>
  <c r="CJ1092" i="15"/>
  <c r="CI1098" i="15"/>
  <c r="AJ534" i="15"/>
  <c r="AM534" i="15"/>
  <c r="AN534" i="15" s="1"/>
  <c r="AM535" i="15"/>
  <c r="AN535" i="15" s="1"/>
  <c r="AM536" i="15"/>
  <c r="AN536" i="15" s="1"/>
  <c r="AH537" i="15"/>
  <c r="AK537" i="15" s="1"/>
  <c r="AL537" i="15" s="1"/>
  <c r="AJ536" i="15"/>
  <c r="AG540" i="17"/>
  <c r="AG540" i="15"/>
  <c r="DH571" i="15"/>
  <c r="DH686" i="15"/>
  <c r="DH630" i="15"/>
  <c r="DH735" i="15"/>
  <c r="DH674" i="15"/>
  <c r="DH621" i="15"/>
  <c r="DH714" i="15"/>
  <c r="DH612" i="15"/>
  <c r="DH765" i="15"/>
  <c r="DH639" i="15"/>
  <c r="DH752" i="15"/>
  <c r="DH588" i="15"/>
  <c r="DH745" i="15"/>
  <c r="DH662" i="15"/>
  <c r="DH585" i="15"/>
  <c r="DH683" i="15"/>
  <c r="DH713" i="15"/>
  <c r="DH652" i="15"/>
  <c r="DH770" i="15"/>
  <c r="DH590" i="15"/>
  <c r="DH733" i="15"/>
  <c r="DH594" i="15"/>
  <c r="DH725" i="15"/>
  <c r="DH716" i="15"/>
  <c r="DH613" i="15"/>
  <c r="DH589" i="15"/>
  <c r="DH734" i="15"/>
  <c r="DH593" i="15"/>
  <c r="DH617" i="15"/>
  <c r="DH642" i="15"/>
  <c r="DH671" i="15"/>
  <c r="AO539" i="17"/>
  <c r="DH574" i="15"/>
  <c r="DH620" i="15"/>
  <c r="DH723" i="15"/>
  <c r="DH653" i="15"/>
  <c r="DH691" i="15"/>
  <c r="DH619" i="15"/>
  <c r="DH626" i="15"/>
  <c r="DH681" i="15"/>
  <c r="DH702" i="15"/>
  <c r="DH695" i="15"/>
  <c r="DH679" i="15"/>
  <c r="DH665" i="15"/>
  <c r="DH762" i="15"/>
  <c r="DH608" i="15"/>
  <c r="DH747" i="15"/>
  <c r="DH581" i="15"/>
  <c r="DH715" i="15"/>
  <c r="DH753" i="15"/>
  <c r="DH764" i="15"/>
  <c r="DH717" i="15"/>
  <c r="DH719" i="15"/>
  <c r="DH616" i="15"/>
  <c r="DH584" i="15"/>
  <c r="DH740" i="15"/>
  <c r="DH758" i="15"/>
  <c r="DH685" i="15"/>
  <c r="DH599" i="15"/>
  <c r="DH711" i="15"/>
  <c r="DH669" i="15"/>
  <c r="DH744" i="15"/>
  <c r="DH654" i="15"/>
  <c r="DH604" i="15"/>
  <c r="DH655" i="15"/>
  <c r="DH705" i="15"/>
  <c r="DH624" i="15"/>
  <c r="DH576" i="15"/>
  <c r="DH738" i="15"/>
  <c r="DH680" i="15"/>
  <c r="DH595" i="15"/>
  <c r="DH703" i="15"/>
  <c r="DH575" i="15"/>
  <c r="DH637" i="15"/>
  <c r="DH746" i="15"/>
  <c r="DH754" i="15"/>
  <c r="DH721" i="15"/>
  <c r="DH736" i="15"/>
  <c r="DH699" i="15"/>
  <c r="DH623" i="15"/>
  <c r="DH678" i="15"/>
  <c r="DH656" i="15"/>
  <c r="DH670" i="15"/>
  <c r="DH706" i="15"/>
  <c r="DH742" i="15"/>
  <c r="DH682" i="15"/>
  <c r="DH638" i="15"/>
  <c r="DH611" i="15"/>
  <c r="DH660" i="15"/>
  <c r="DH704" i="15"/>
  <c r="DH741" i="15"/>
  <c r="DH709" i="15"/>
  <c r="DH771" i="15"/>
  <c r="DH768" i="15"/>
  <c r="DH625" i="15"/>
  <c r="DH628" i="15"/>
  <c r="DH760" i="15"/>
  <c r="DH597" i="15"/>
  <c r="DH607" i="15"/>
  <c r="DH647" i="15"/>
  <c r="DH761" i="15"/>
  <c r="DH718" i="15"/>
  <c r="DH614" i="15"/>
  <c r="DH766" i="15"/>
  <c r="DH767" i="15"/>
  <c r="DH634" i="15"/>
  <c r="DH756" i="15"/>
  <c r="DH750" i="15"/>
  <c r="DH635" i="15"/>
  <c r="DH701" i="15"/>
  <c r="DH577" i="15"/>
  <c r="DH578" i="15"/>
  <c r="DH600" i="15"/>
  <c r="DH722" i="15"/>
  <c r="DH751" i="15"/>
  <c r="DH598" i="15"/>
  <c r="DH726" i="15"/>
  <c r="DH618" i="15"/>
  <c r="DH649" i="15"/>
  <c r="DH636" i="15"/>
  <c r="DH700" i="15"/>
  <c r="DH592" i="15"/>
  <c r="DH728" i="15"/>
  <c r="DH646" i="15"/>
  <c r="DH591" i="15"/>
  <c r="DH648" i="15"/>
  <c r="DH605" i="15"/>
  <c r="DH640" i="15"/>
  <c r="DH601" i="15"/>
  <c r="DH724" i="15"/>
  <c r="DH757" i="15"/>
  <c r="DH643" i="15"/>
  <c r="DH629" i="15"/>
  <c r="DH659" i="15"/>
  <c r="DH651" i="15"/>
  <c r="DH580" i="15"/>
  <c r="DH606" i="15"/>
  <c r="DH583" i="15"/>
  <c r="DH657" i="15"/>
  <c r="DH661" i="15"/>
  <c r="DH603" i="15"/>
  <c r="DH694" i="15"/>
  <c r="AI540" i="15"/>
  <c r="DH727" i="15"/>
  <c r="DH602" i="15"/>
  <c r="DH663" i="15"/>
  <c r="DH596" i="15"/>
  <c r="DH633" i="15"/>
  <c r="DH698" i="15"/>
  <c r="DH730" i="15"/>
  <c r="DH689" i="15"/>
  <c r="DH579" i="15"/>
  <c r="DH627" i="15"/>
  <c r="DH729" i="15"/>
  <c r="DH684" i="15"/>
  <c r="DH710" i="15"/>
  <c r="AI541" i="15"/>
  <c r="DH707" i="15"/>
  <c r="AI543" i="15"/>
  <c r="DH664" i="15"/>
  <c r="DH712" i="15"/>
  <c r="DH687" i="15"/>
  <c r="DH645" i="15"/>
  <c r="DH658" i="15"/>
  <c r="DH743" i="15"/>
  <c r="DH609" i="15"/>
  <c r="AI542" i="15"/>
  <c r="DH696" i="15"/>
  <c r="DH668" i="15"/>
  <c r="DH572" i="15"/>
  <c r="DH693" i="15"/>
  <c r="DH673" i="15"/>
  <c r="DH755" i="15"/>
  <c r="DH772" i="15"/>
  <c r="DH641" i="15"/>
  <c r="DH622" i="15"/>
  <c r="DH763" i="15"/>
  <c r="DH573" i="15"/>
  <c r="DH631" i="15"/>
  <c r="DH731" i="15"/>
  <c r="DH737" i="15"/>
  <c r="DH697" i="15"/>
  <c r="DH610" i="15"/>
  <c r="DH677" i="15"/>
  <c r="DH666" i="15"/>
  <c r="DH675" i="15"/>
  <c r="DH650" i="15"/>
  <c r="DH739" i="15"/>
  <c r="DH769" i="15"/>
  <c r="DH582" i="15"/>
  <c r="AP539" i="17"/>
  <c r="AP539" i="15"/>
  <c r="DH586" i="15"/>
  <c r="DH720" i="15"/>
  <c r="DH667" i="15"/>
  <c r="AI544" i="15"/>
  <c r="DH748" i="15"/>
  <c r="DH732" i="15"/>
  <c r="AO540" i="15"/>
  <c r="DH749" i="15"/>
  <c r="DH644" i="15"/>
  <c r="DH708" i="15"/>
  <c r="DH587" i="15"/>
  <c r="DH690" i="15"/>
  <c r="DH632" i="15"/>
  <c r="DH676" i="15"/>
  <c r="DH672" i="15"/>
  <c r="DH759" i="15"/>
  <c r="DH773" i="15"/>
  <c r="DH692" i="15"/>
  <c r="DH615" i="15"/>
  <c r="DH688" i="15"/>
  <c r="DM597" i="15" l="1"/>
  <c r="DM46" i="15" s="1"/>
  <c r="DM588" i="15"/>
  <c r="DM37" i="15" s="1"/>
  <c r="DM685" i="15"/>
  <c r="DM134" i="15" s="1"/>
  <c r="DL134" i="15" s="1"/>
  <c r="DM601" i="15"/>
  <c r="DM50" i="15" s="1"/>
  <c r="DM764" i="15"/>
  <c r="DM604" i="15"/>
  <c r="DM53" i="15" s="1"/>
  <c r="DM722" i="15"/>
  <c r="DM708" i="15"/>
  <c r="DM633" i="15"/>
  <c r="DM82" i="15" s="1"/>
  <c r="DM707" i="15"/>
  <c r="DM646" i="15"/>
  <c r="DM95" i="15" s="1"/>
  <c r="DL95" i="15" s="1"/>
  <c r="DM751" i="15"/>
  <c r="DM710" i="15"/>
  <c r="DM732" i="15"/>
  <c r="DM709" i="15"/>
  <c r="DM651" i="15"/>
  <c r="DM100" i="15" s="1"/>
  <c r="DL100" i="15" s="1"/>
  <c r="DM706" i="15"/>
  <c r="DM642" i="15"/>
  <c r="DM91" i="15" s="1"/>
  <c r="DL91" i="15" s="1"/>
  <c r="DM723" i="15"/>
  <c r="DM626" i="15"/>
  <c r="DM75" i="15" s="1"/>
  <c r="DM669" i="15"/>
  <c r="DM118" i="15" s="1"/>
  <c r="DL118" i="15" s="1"/>
  <c r="DM712" i="15"/>
  <c r="DM746" i="15"/>
  <c r="DM574" i="15"/>
  <c r="DM23" i="15" s="1"/>
  <c r="DM632" i="15"/>
  <c r="DM81" i="15" s="1"/>
  <c r="DM655" i="15"/>
  <c r="DM104" i="15" s="1"/>
  <c r="DL104" i="15" s="1"/>
  <c r="DM773" i="15"/>
  <c r="DM753" i="15"/>
  <c r="DM725" i="15"/>
  <c r="DM713" i="15"/>
  <c r="DM661" i="15"/>
  <c r="DM110" i="15" s="1"/>
  <c r="DL110" i="15" s="1"/>
  <c r="DM679" i="15"/>
  <c r="DM128" i="15" s="1"/>
  <c r="DL128" i="15" s="1"/>
  <c r="DM609" i="15"/>
  <c r="DM58" i="15" s="1"/>
  <c r="DM615" i="15"/>
  <c r="DM64" i="15" s="1"/>
  <c r="DM589" i="15"/>
  <c r="DM38" i="15" s="1"/>
  <c r="DM694" i="15"/>
  <c r="DM143" i="15" s="1"/>
  <c r="DM719" i="15"/>
  <c r="DM619" i="15"/>
  <c r="DM68" i="15" s="1"/>
  <c r="DM576" i="15"/>
  <c r="DM25" i="15" s="1"/>
  <c r="DM730" i="15"/>
  <c r="DM771" i="15"/>
  <c r="DM670" i="15"/>
  <c r="DM119" i="15" s="1"/>
  <c r="DL119" i="15" s="1"/>
  <c r="DM750" i="15"/>
  <c r="DM714" i="15"/>
  <c r="DM739" i="15"/>
  <c r="DM596" i="15"/>
  <c r="DM45" i="15" s="1"/>
  <c r="DM614" i="15"/>
  <c r="DM63" i="15" s="1"/>
  <c r="DM664" i="15"/>
  <c r="DM113" i="15" s="1"/>
  <c r="DL113" i="15" s="1"/>
  <c r="DM622" i="15"/>
  <c r="DM71" i="15" s="1"/>
  <c r="DM695" i="15"/>
  <c r="DM144" i="15" s="1"/>
  <c r="DM618" i="15"/>
  <c r="DM67" i="15" s="1"/>
  <c r="DM700" i="15"/>
  <c r="DM572" i="15"/>
  <c r="DM21" i="15" s="1"/>
  <c r="DM720" i="15"/>
  <c r="DM606" i="15"/>
  <c r="DM55" i="15" s="1"/>
  <c r="DM662" i="15"/>
  <c r="DM111" i="15" s="1"/>
  <c r="DL111" i="15" s="1"/>
  <c r="DM627" i="15"/>
  <c r="DM76" i="15" s="1"/>
  <c r="DM611" i="15"/>
  <c r="DM60" i="15" s="1"/>
  <c r="DM593" i="15"/>
  <c r="DM42" i="15" s="1"/>
  <c r="DM758" i="15"/>
  <c r="DM586" i="15"/>
  <c r="DM35" i="15" s="1"/>
  <c r="DM677" i="15"/>
  <c r="DM126" i="15" s="1"/>
  <c r="DL126" i="15" s="1"/>
  <c r="DM741" i="15"/>
  <c r="DM587" i="15"/>
  <c r="DM36" i="15" s="1"/>
  <c r="DM630" i="15"/>
  <c r="DM79" i="15" s="1"/>
  <c r="DM658" i="15"/>
  <c r="DM107" i="15" s="1"/>
  <c r="DL107" i="15" s="1"/>
  <c r="DM594" i="15"/>
  <c r="DM43" i="15" s="1"/>
  <c r="DM729" i="15"/>
  <c r="DM620" i="15"/>
  <c r="DM69" i="15" s="1"/>
  <c r="DM659" i="15"/>
  <c r="DM108" i="15" s="1"/>
  <c r="DL108" i="15" s="1"/>
  <c r="DM605" i="15"/>
  <c r="DM54" i="15" s="1"/>
  <c r="DM607" i="15"/>
  <c r="DM56" i="15" s="1"/>
  <c r="DM650" i="15"/>
  <c r="DM99" i="15" s="1"/>
  <c r="DL99" i="15" s="1"/>
  <c r="DM652" i="15"/>
  <c r="DM101" i="15" s="1"/>
  <c r="DL101" i="15" s="1"/>
  <c r="DM665" i="15"/>
  <c r="DM114" i="15" s="1"/>
  <c r="DL114" i="15" s="1"/>
  <c r="DM635" i="15"/>
  <c r="DM84" i="15" s="1"/>
  <c r="DM701" i="15"/>
  <c r="DM582" i="15"/>
  <c r="DM31" i="15" s="1"/>
  <c r="DM623" i="15"/>
  <c r="DM72" i="15" s="1"/>
  <c r="DM763" i="15"/>
  <c r="DM727" i="15"/>
  <c r="DM585" i="15"/>
  <c r="DM34" i="15" s="1"/>
  <c r="DM610" i="15"/>
  <c r="DM59" i="15" s="1"/>
  <c r="DM689" i="15"/>
  <c r="DM138" i="15" s="1"/>
  <c r="DM738" i="15"/>
  <c r="DM699" i="15"/>
  <c r="DM717" i="15"/>
  <c r="DM613" i="15"/>
  <c r="DM62" i="15" s="1"/>
  <c r="DM752" i="15"/>
  <c r="DM680" i="15"/>
  <c r="DM129" i="15" s="1"/>
  <c r="DL129" i="15" s="1"/>
  <c r="DM656" i="15"/>
  <c r="DM105" i="15" s="1"/>
  <c r="DL105" i="15" s="1"/>
  <c r="DM754" i="15"/>
  <c r="DM728" i="15"/>
  <c r="DM667" i="15"/>
  <c r="DM116" i="15" s="1"/>
  <c r="DL116" i="15" s="1"/>
  <c r="DM748" i="15"/>
  <c r="DM672" i="15"/>
  <c r="DM121" i="15" s="1"/>
  <c r="DL121" i="15" s="1"/>
  <c r="DM602" i="15"/>
  <c r="DM51" i="15" s="1"/>
  <c r="DM718" i="15"/>
  <c r="DM682" i="15"/>
  <c r="DM131" i="15" s="1"/>
  <c r="DL131" i="15" s="1"/>
  <c r="DM755" i="15"/>
  <c r="DM592" i="15"/>
  <c r="DM41" i="15" s="1"/>
  <c r="DM740" i="15"/>
  <c r="DM625" i="15"/>
  <c r="DM74" i="15" s="1"/>
  <c r="DM621" i="15"/>
  <c r="DM70" i="15" s="1"/>
  <c r="DM691" i="15"/>
  <c r="DM140" i="15" s="1"/>
  <c r="DM757" i="15"/>
  <c r="DM668" i="15"/>
  <c r="DM117" i="15" s="1"/>
  <c r="DL117" i="15" s="1"/>
  <c r="DM742" i="15"/>
  <c r="DM749" i="15"/>
  <c r="DM737" i="15"/>
  <c r="DM731" i="15"/>
  <c r="DM583" i="15"/>
  <c r="DM32" i="15" s="1"/>
  <c r="DM653" i="15"/>
  <c r="DM102" i="15" s="1"/>
  <c r="DL102" i="15" s="1"/>
  <c r="DM735" i="15"/>
  <c r="DM641" i="15"/>
  <c r="DM90" i="15" s="1"/>
  <c r="DL90" i="15" s="1"/>
  <c r="DM736" i="15"/>
  <c r="DM579" i="15"/>
  <c r="DM28" i="15" s="1"/>
  <c r="DM663" i="15"/>
  <c r="DM112" i="15" s="1"/>
  <c r="DL112" i="15" s="1"/>
  <c r="DM591" i="15"/>
  <c r="DM40" i="15" s="1"/>
  <c r="DM675" i="15"/>
  <c r="DM124" i="15" s="1"/>
  <c r="DL124" i="15" s="1"/>
  <c r="DM696" i="15"/>
  <c r="DM145" i="15" s="1"/>
  <c r="DX145" i="15" s="1"/>
  <c r="DM686" i="15"/>
  <c r="DM135" i="15" s="1"/>
  <c r="DL135" i="15" s="1"/>
  <c r="DM648" i="15"/>
  <c r="DM97" i="15" s="1"/>
  <c r="DL97" i="15" s="1"/>
  <c r="DM702" i="15"/>
  <c r="DM666" i="15"/>
  <c r="DM115" i="15" s="1"/>
  <c r="DL115" i="15" s="1"/>
  <c r="DM673" i="15"/>
  <c r="DM122" i="15" s="1"/>
  <c r="DL122" i="15" s="1"/>
  <c r="DM687" i="15"/>
  <c r="DM136" i="15" s="1"/>
  <c r="DM612" i="15"/>
  <c r="DM61" i="15" s="1"/>
  <c r="DM640" i="15"/>
  <c r="DM89" i="15" s="1"/>
  <c r="DM600" i="15"/>
  <c r="DM49" i="15" s="1"/>
  <c r="DM747" i="15"/>
  <c r="DM762" i="15"/>
  <c r="DM678" i="15"/>
  <c r="DM127" i="15" s="1"/>
  <c r="DL127" i="15" s="1"/>
  <c r="DM657" i="15"/>
  <c r="DM106" i="15" s="1"/>
  <c r="DL106" i="15" s="1"/>
  <c r="DM688" i="15"/>
  <c r="DM137" i="15" s="1"/>
  <c r="DM744" i="15"/>
  <c r="DM671" i="15"/>
  <c r="DM120" i="15" s="1"/>
  <c r="DL120" i="15" s="1"/>
  <c r="DM756" i="15"/>
  <c r="DM637" i="15"/>
  <c r="DM86" i="15" s="1"/>
  <c r="DM578" i="15"/>
  <c r="DM27" i="15" s="1"/>
  <c r="DM683" i="15"/>
  <c r="DM132" i="15" s="1"/>
  <c r="DL132" i="15" s="1"/>
  <c r="DM643" i="15"/>
  <c r="DM92" i="15" s="1"/>
  <c r="DL92" i="15" s="1"/>
  <c r="DM704" i="15"/>
  <c r="DM645" i="15"/>
  <c r="DM94" i="15" s="1"/>
  <c r="DL94" i="15" s="1"/>
  <c r="DM724" i="15"/>
  <c r="DM638" i="15"/>
  <c r="DM87" i="15" s="1"/>
  <c r="DM721" i="15"/>
  <c r="DM767" i="15"/>
  <c r="DM647" i="15"/>
  <c r="DM96" i="15" s="1"/>
  <c r="DL96" i="15" s="1"/>
  <c r="DM684" i="15"/>
  <c r="DM133" i="15" s="1"/>
  <c r="DL133" i="15" s="1"/>
  <c r="DM705" i="15"/>
  <c r="DM766" i="15"/>
  <c r="DM617" i="15"/>
  <c r="DM66" i="15" s="1"/>
  <c r="DM760" i="15"/>
  <c r="DM629" i="15"/>
  <c r="DM78" i="15" s="1"/>
  <c r="DM634" i="15"/>
  <c r="DM83" i="15" s="1"/>
  <c r="DM631" i="15"/>
  <c r="DM80" i="15" s="1"/>
  <c r="DM644" i="15"/>
  <c r="DM93" i="15" s="1"/>
  <c r="DL93" i="15" s="1"/>
  <c r="DM759" i="15"/>
  <c r="DM690" i="15"/>
  <c r="DM139" i="15" s="1"/>
  <c r="DM603" i="15"/>
  <c r="DM52" i="15" s="1"/>
  <c r="DM743" i="15"/>
  <c r="DM692" i="15"/>
  <c r="DM141" i="15" s="1"/>
  <c r="DM703" i="15"/>
  <c r="DM590" i="15"/>
  <c r="DM39" i="15" s="1"/>
  <c r="DM674" i="15"/>
  <c r="DM123" i="15" s="1"/>
  <c r="DL123" i="15" s="1"/>
  <c r="DM734" i="15"/>
  <c r="DM573" i="15"/>
  <c r="DM22" i="15" s="1"/>
  <c r="DM681" i="15"/>
  <c r="DM130" i="15" s="1"/>
  <c r="DL130" i="15" s="1"/>
  <c r="DM769" i="15"/>
  <c r="DM636" i="15"/>
  <c r="DM85" i="15" s="1"/>
  <c r="DM697" i="15"/>
  <c r="DM649" i="15"/>
  <c r="DM98" i="15" s="1"/>
  <c r="DL98" i="15" s="1"/>
  <c r="DM575" i="15"/>
  <c r="DM24" i="15" s="1"/>
  <c r="DM616" i="15"/>
  <c r="DM65" i="15" s="1"/>
  <c r="DM676" i="15"/>
  <c r="DM125" i="15" s="1"/>
  <c r="DL125" i="15" s="1"/>
  <c r="DM628" i="15"/>
  <c r="DM77" i="15" s="1"/>
  <c r="DM595" i="15"/>
  <c r="DM44" i="15" s="1"/>
  <c r="DM639" i="15"/>
  <c r="DM88" i="15" s="1"/>
  <c r="DM698" i="15"/>
  <c r="DM716" i="15"/>
  <c r="DM761" i="15"/>
  <c r="DM715" i="15"/>
  <c r="DM577" i="15"/>
  <c r="DM26" i="15" s="1"/>
  <c r="DM624" i="15"/>
  <c r="DM73" i="15" s="1"/>
  <c r="DM770" i="15"/>
  <c r="DM598" i="15"/>
  <c r="DM47" i="15" s="1"/>
  <c r="DM772" i="15"/>
  <c r="DM733" i="15"/>
  <c r="DM654" i="15"/>
  <c r="DM103" i="15" s="1"/>
  <c r="DL103" i="15" s="1"/>
  <c r="DM660" i="15"/>
  <c r="DM109" i="15" s="1"/>
  <c r="DL109" i="15" s="1"/>
  <c r="DM584" i="15"/>
  <c r="DM33" i="15" s="1"/>
  <c r="DM726" i="15"/>
  <c r="DM608" i="15"/>
  <c r="DM57" i="15" s="1"/>
  <c r="DM765" i="15"/>
  <c r="DM580" i="15"/>
  <c r="DM29" i="15" s="1"/>
  <c r="DM768" i="15"/>
  <c r="DM581" i="15"/>
  <c r="DM30" i="15" s="1"/>
  <c r="DM711" i="15"/>
  <c r="DM745" i="15"/>
  <c r="DM693" i="15"/>
  <c r="DM142" i="15" s="1"/>
  <c r="DM571" i="15"/>
  <c r="DM20" i="15" s="1"/>
  <c r="DM599" i="15"/>
  <c r="DM48" i="15" s="1"/>
  <c r="DI685" i="15"/>
  <c r="DG684" i="15" s="1"/>
  <c r="DI764" i="15"/>
  <c r="DI722" i="15"/>
  <c r="DI708" i="15"/>
  <c r="DI707" i="15"/>
  <c r="DI646" i="15"/>
  <c r="DG645" i="15" s="1"/>
  <c r="DI751" i="15"/>
  <c r="DI710" i="15"/>
  <c r="DI732" i="15"/>
  <c r="DI709" i="15"/>
  <c r="DI651" i="15"/>
  <c r="DG650" i="15" s="1"/>
  <c r="DI706" i="15"/>
  <c r="DI642" i="15"/>
  <c r="DG641" i="15" s="1"/>
  <c r="DI723" i="15"/>
  <c r="DI669" i="15"/>
  <c r="DG668" i="15" s="1"/>
  <c r="DI712" i="15"/>
  <c r="DI746" i="15"/>
  <c r="DI655" i="15"/>
  <c r="DG654" i="15" s="1"/>
  <c r="DI773" i="15"/>
  <c r="DI753" i="15"/>
  <c r="DI725" i="15"/>
  <c r="DI713" i="15"/>
  <c r="DI661" i="15"/>
  <c r="DG660" i="15" s="1"/>
  <c r="DI679" i="15"/>
  <c r="DG678" i="15" s="1"/>
  <c r="DI694" i="15"/>
  <c r="DG693" i="15" s="1"/>
  <c r="DI719" i="15"/>
  <c r="DI730" i="15"/>
  <c r="DI771" i="15"/>
  <c r="DI670" i="15"/>
  <c r="DG669" i="15" s="1"/>
  <c r="DI750" i="15"/>
  <c r="DI714" i="15"/>
  <c r="DI739" i="15"/>
  <c r="DI664" i="15"/>
  <c r="DG663" i="15" s="1"/>
  <c r="DI695" i="15"/>
  <c r="DG694" i="15" s="1"/>
  <c r="DI700" i="15"/>
  <c r="DI720" i="15"/>
  <c r="DI662" i="15"/>
  <c r="DG661" i="15" s="1"/>
  <c r="DI758" i="15"/>
  <c r="DI677" i="15"/>
  <c r="DG676" i="15" s="1"/>
  <c r="DI741" i="15"/>
  <c r="DI658" i="15"/>
  <c r="DG657" i="15" s="1"/>
  <c r="DI729" i="15"/>
  <c r="DI659" i="15"/>
  <c r="DG658" i="15" s="1"/>
  <c r="DI650" i="15"/>
  <c r="DG649" i="15" s="1"/>
  <c r="DI652" i="15"/>
  <c r="DG651" i="15" s="1"/>
  <c r="DI665" i="15"/>
  <c r="DG664" i="15" s="1"/>
  <c r="DI701" i="15"/>
  <c r="DI763" i="15"/>
  <c r="DI727" i="15"/>
  <c r="DI689" i="15"/>
  <c r="DG688" i="15" s="1"/>
  <c r="DI738" i="15"/>
  <c r="DI699" i="15"/>
  <c r="DI717" i="15"/>
  <c r="DI752" i="15"/>
  <c r="DI680" i="15"/>
  <c r="DG679" i="15" s="1"/>
  <c r="DI656" i="15"/>
  <c r="DG655" i="15" s="1"/>
  <c r="DI754" i="15"/>
  <c r="DI728" i="15"/>
  <c r="DI667" i="15"/>
  <c r="DG666" i="15" s="1"/>
  <c r="DI748" i="15"/>
  <c r="DI672" i="15"/>
  <c r="DG671" i="15" s="1"/>
  <c r="DI718" i="15"/>
  <c r="DI682" i="15"/>
  <c r="DG681" i="15" s="1"/>
  <c r="DI755" i="15"/>
  <c r="DI740" i="15"/>
  <c r="DI691" i="15"/>
  <c r="DG690" i="15" s="1"/>
  <c r="DI757" i="15"/>
  <c r="DI668" i="15"/>
  <c r="DG667" i="15" s="1"/>
  <c r="DI742" i="15"/>
  <c r="DI749" i="15"/>
  <c r="DI737" i="15"/>
  <c r="DI731" i="15"/>
  <c r="DI653" i="15"/>
  <c r="DG652" i="15" s="1"/>
  <c r="DI735" i="15"/>
  <c r="DI641" i="15"/>
  <c r="DG640" i="15" s="1"/>
  <c r="DI736" i="15"/>
  <c r="DI663" i="15"/>
  <c r="DG662" i="15" s="1"/>
  <c r="DI675" i="15"/>
  <c r="DG674" i="15" s="1"/>
  <c r="DI696" i="15"/>
  <c r="DG695" i="15" s="1"/>
  <c r="DI686" i="15"/>
  <c r="DG685" i="15" s="1"/>
  <c r="DI648" i="15"/>
  <c r="DG647" i="15" s="1"/>
  <c r="DI702" i="15"/>
  <c r="DI666" i="15"/>
  <c r="DG665" i="15" s="1"/>
  <c r="DI673" i="15"/>
  <c r="DG672" i="15" s="1"/>
  <c r="DI687" i="15"/>
  <c r="DG686" i="15" s="1"/>
  <c r="DI747" i="15"/>
  <c r="DI762" i="15"/>
  <c r="DI678" i="15"/>
  <c r="DG677" i="15" s="1"/>
  <c r="DI657" i="15"/>
  <c r="DG656" i="15" s="1"/>
  <c r="DI688" i="15"/>
  <c r="DG687" i="15" s="1"/>
  <c r="DI744" i="15"/>
  <c r="DI671" i="15"/>
  <c r="DG670" i="15" s="1"/>
  <c r="DI756" i="15"/>
  <c r="DI683" i="15"/>
  <c r="DG682" i="15" s="1"/>
  <c r="DI643" i="15"/>
  <c r="DG642" i="15" s="1"/>
  <c r="DI704" i="15"/>
  <c r="DI645" i="15"/>
  <c r="DG644" i="15" s="1"/>
  <c r="DI724" i="15"/>
  <c r="DI721" i="15"/>
  <c r="DI767" i="15"/>
  <c r="DI647" i="15"/>
  <c r="DG646" i="15" s="1"/>
  <c r="DI684" i="15"/>
  <c r="DG683" i="15" s="1"/>
  <c r="DI705" i="15"/>
  <c r="DI766" i="15"/>
  <c r="DI760" i="15"/>
  <c r="DI644" i="15"/>
  <c r="DG643" i="15" s="1"/>
  <c r="DI759" i="15"/>
  <c r="DI690" i="15"/>
  <c r="DG689" i="15" s="1"/>
  <c r="DI743" i="15"/>
  <c r="DI692" i="15"/>
  <c r="DG691" i="15" s="1"/>
  <c r="DI703" i="15"/>
  <c r="DI674" i="15"/>
  <c r="DG673" i="15" s="1"/>
  <c r="DI734" i="15"/>
  <c r="DI681" i="15"/>
  <c r="DG680" i="15" s="1"/>
  <c r="DI769" i="15"/>
  <c r="DI697" i="15"/>
  <c r="DI649" i="15"/>
  <c r="DG648" i="15" s="1"/>
  <c r="DI676" i="15"/>
  <c r="DG675" i="15" s="1"/>
  <c r="DI698" i="15"/>
  <c r="DI716" i="15"/>
  <c r="DI761" i="15"/>
  <c r="DI715" i="15"/>
  <c r="DI770" i="15"/>
  <c r="DI772" i="15"/>
  <c r="DI733" i="15"/>
  <c r="DI654" i="15"/>
  <c r="DG653" i="15" s="1"/>
  <c r="DI660" i="15"/>
  <c r="DG659" i="15" s="1"/>
  <c r="DI726" i="15"/>
  <c r="DI765" i="15"/>
  <c r="DI768" i="15"/>
  <c r="DI711" i="15"/>
  <c r="DI745" i="15"/>
  <c r="DI693" i="15"/>
  <c r="DG692" i="15" s="1"/>
  <c r="CI1099" i="15"/>
  <c r="CO1092" i="15"/>
  <c r="CT1092" i="15" s="1"/>
  <c r="CK1092" i="15"/>
  <c r="AG541" i="17"/>
  <c r="AG541" i="15"/>
  <c r="DI576" i="15"/>
  <c r="DI616" i="15"/>
  <c r="DI628" i="15"/>
  <c r="AO540" i="17"/>
  <c r="DI618" i="15"/>
  <c r="AI540" i="17"/>
  <c r="DI600" i="15"/>
  <c r="AI544" i="17"/>
  <c r="DI627" i="15"/>
  <c r="DI615" i="15"/>
  <c r="AO541" i="15"/>
  <c r="DI587" i="15"/>
  <c r="DI637" i="15"/>
  <c r="DI573" i="15"/>
  <c r="DI611" i="15"/>
  <c r="DI638" i="15"/>
  <c r="DI577" i="15"/>
  <c r="DI630" i="15"/>
  <c r="DI608" i="15"/>
  <c r="DI605" i="15"/>
  <c r="AH540" i="15"/>
  <c r="DI640" i="15"/>
  <c r="DI595" i="15"/>
  <c r="DI584" i="15"/>
  <c r="DI590" i="15"/>
  <c r="DI619" i="15"/>
  <c r="DI572" i="15"/>
  <c r="DI581" i="15"/>
  <c r="DI632" i="15"/>
  <c r="DI633" i="15"/>
  <c r="DI621" i="15"/>
  <c r="DI592" i="15"/>
  <c r="DI612" i="15"/>
  <c r="DI610" i="15"/>
  <c r="DI598" i="15"/>
  <c r="DI639" i="15"/>
  <c r="DI622" i="15"/>
  <c r="DI589" i="15"/>
  <c r="DI599" i="15"/>
  <c r="DI636" i="15"/>
  <c r="DI583" i="15"/>
  <c r="DI586" i="15"/>
  <c r="AP540" i="17"/>
  <c r="AI541" i="17"/>
  <c r="DI578" i="15"/>
  <c r="DI579" i="15"/>
  <c r="DI602" i="15"/>
  <c r="AI543" i="17"/>
  <c r="DI571" i="15"/>
  <c r="DI625" i="15"/>
  <c r="DI631" i="15"/>
  <c r="AH540" i="17"/>
  <c r="DI603" i="15"/>
  <c r="DI596" i="15"/>
  <c r="DI624" i="15"/>
  <c r="DI591" i="15"/>
  <c r="DI626" i="15"/>
  <c r="AI542" i="17"/>
  <c r="DI623" i="15"/>
  <c r="DI617" i="15"/>
  <c r="DI635" i="15"/>
  <c r="DI620" i="15"/>
  <c r="DI593" i="15"/>
  <c r="DI604" i="15"/>
  <c r="DI594" i="15"/>
  <c r="DI614" i="15"/>
  <c r="AP540" i="15"/>
  <c r="DI574" i="15"/>
  <c r="DI597" i="15"/>
  <c r="DI582" i="15"/>
  <c r="DI585" i="15"/>
  <c r="DI634" i="15"/>
  <c r="DI609" i="15"/>
  <c r="DI588" i="15"/>
  <c r="DI606" i="15"/>
  <c r="DI575" i="15"/>
  <c r="DI629" i="15"/>
  <c r="DI580" i="15"/>
  <c r="DI601" i="15"/>
  <c r="DI607" i="15"/>
  <c r="DI613" i="15"/>
  <c r="DG639" i="15" l="1"/>
  <c r="DG637" i="15"/>
  <c r="DG638" i="15"/>
  <c r="DG607" i="15"/>
  <c r="DG627" i="15"/>
  <c r="DG611" i="15"/>
  <c r="DG630" i="15"/>
  <c r="DG609" i="15"/>
  <c r="DG623" i="15"/>
  <c r="DG615" i="15"/>
  <c r="DG633" i="15"/>
  <c r="DG636" i="15"/>
  <c r="DG624" i="15"/>
  <c r="DG634" i="15"/>
  <c r="DG606" i="15"/>
  <c r="DG617" i="15"/>
  <c r="DG613" i="15"/>
  <c r="DG628" i="15"/>
  <c r="DG601" i="15"/>
  <c r="DG604" i="15"/>
  <c r="DG605" i="15"/>
  <c r="DG603" i="15"/>
  <c r="DG612" i="15"/>
  <c r="DG622" i="15"/>
  <c r="DG629" i="15"/>
  <c r="DG610" i="15"/>
  <c r="DG621" i="15"/>
  <c r="DG614" i="15"/>
  <c r="DG632" i="15"/>
  <c r="DG635" i="15"/>
  <c r="DG602" i="15"/>
  <c r="DG616" i="15"/>
  <c r="DG620" i="15"/>
  <c r="DG619" i="15"/>
  <c r="DG626" i="15"/>
  <c r="DG618" i="15"/>
  <c r="DG608" i="15"/>
  <c r="DG631" i="15"/>
  <c r="DG625" i="15"/>
  <c r="DG600" i="15"/>
  <c r="DG599" i="15"/>
  <c r="DN745" i="15"/>
  <c r="DN772" i="15"/>
  <c r="DN698" i="15"/>
  <c r="DN676" i="15"/>
  <c r="DN125" i="15" s="1"/>
  <c r="DN697" i="15"/>
  <c r="DN703" i="15"/>
  <c r="DN690" i="15"/>
  <c r="DN139" i="15" s="1"/>
  <c r="DN634" i="15"/>
  <c r="DN83" i="15" s="1"/>
  <c r="DN766" i="15"/>
  <c r="DN767" i="15"/>
  <c r="DN645" i="15"/>
  <c r="DN94" i="15" s="1"/>
  <c r="DN744" i="15"/>
  <c r="DN762" i="15"/>
  <c r="DN612" i="15"/>
  <c r="DN61" i="15" s="1"/>
  <c r="DN702" i="15"/>
  <c r="DN675" i="15"/>
  <c r="DN124" i="15" s="1"/>
  <c r="DN736" i="15"/>
  <c r="DN742" i="15"/>
  <c r="DN621" i="15"/>
  <c r="DN70" i="15" s="1"/>
  <c r="DN755" i="15"/>
  <c r="DN672" i="15"/>
  <c r="DN121" i="15" s="1"/>
  <c r="DN754" i="15"/>
  <c r="DN613" i="15"/>
  <c r="DN62" i="15" s="1"/>
  <c r="DN689" i="15"/>
  <c r="DN138" i="15" s="1"/>
  <c r="DN763" i="15"/>
  <c r="DN635" i="15"/>
  <c r="DN84" i="15" s="1"/>
  <c r="DN607" i="15"/>
  <c r="DN56" i="15" s="1"/>
  <c r="DN729" i="15"/>
  <c r="DN758" i="15"/>
  <c r="DN662" i="15"/>
  <c r="DN111" i="15" s="1"/>
  <c r="DN700" i="15"/>
  <c r="DN664" i="15"/>
  <c r="DN113" i="15" s="1"/>
  <c r="DN714" i="15"/>
  <c r="DN730" i="15"/>
  <c r="DN694" i="15"/>
  <c r="DN143" i="15" s="1"/>
  <c r="DN679" i="15"/>
  <c r="DN128" i="15" s="1"/>
  <c r="DN753" i="15"/>
  <c r="DN626" i="15"/>
  <c r="DN75" i="15" s="1"/>
  <c r="DN651" i="15"/>
  <c r="DN100" i="15" s="1"/>
  <c r="DN751" i="15"/>
  <c r="DN708" i="15"/>
  <c r="DN601" i="15"/>
  <c r="DN50" i="15" s="1"/>
  <c r="DN711" i="15"/>
  <c r="DN765" i="15"/>
  <c r="DN660" i="15"/>
  <c r="DN109" i="15" s="1"/>
  <c r="DN715" i="15"/>
  <c r="DN639" i="15"/>
  <c r="DN88" i="15" s="1"/>
  <c r="DN616" i="15"/>
  <c r="DN65" i="15" s="1"/>
  <c r="DN636" i="15"/>
  <c r="DN85" i="15" s="1"/>
  <c r="DN734" i="15"/>
  <c r="DN692" i="15"/>
  <c r="DN141" i="15" s="1"/>
  <c r="DN759" i="15"/>
  <c r="DN629" i="15"/>
  <c r="DN78" i="15" s="1"/>
  <c r="DN705" i="15"/>
  <c r="DN721" i="15"/>
  <c r="DN704" i="15"/>
  <c r="DN637" i="15"/>
  <c r="DN86" i="15" s="1"/>
  <c r="DN688" i="15"/>
  <c r="DN137" i="15" s="1"/>
  <c r="DN747" i="15"/>
  <c r="DN687" i="15"/>
  <c r="DN136" i="15" s="1"/>
  <c r="DN648" i="15"/>
  <c r="DN97" i="15" s="1"/>
  <c r="DN641" i="15"/>
  <c r="DN90" i="15" s="1"/>
  <c r="DN731" i="15"/>
  <c r="DN668" i="15"/>
  <c r="DN117" i="15" s="1"/>
  <c r="DN625" i="15"/>
  <c r="DN74" i="15" s="1"/>
  <c r="DN682" i="15"/>
  <c r="DN131" i="15" s="1"/>
  <c r="DN748" i="15"/>
  <c r="DN656" i="15"/>
  <c r="DN105" i="15" s="1"/>
  <c r="DN717" i="15"/>
  <c r="DN610" i="15"/>
  <c r="DN59" i="15" s="1"/>
  <c r="DN623" i="15"/>
  <c r="DN72" i="15" s="1"/>
  <c r="DN665" i="15"/>
  <c r="DN114" i="15" s="1"/>
  <c r="DN605" i="15"/>
  <c r="DN54" i="15" s="1"/>
  <c r="DN741" i="15"/>
  <c r="DN606" i="15"/>
  <c r="DN55" i="15" s="1"/>
  <c r="DN618" i="15"/>
  <c r="DN67" i="15" s="1"/>
  <c r="DN614" i="15"/>
  <c r="DN63" i="15" s="1"/>
  <c r="DN750" i="15"/>
  <c r="DN661" i="15"/>
  <c r="DN110" i="15" s="1"/>
  <c r="DN773" i="15"/>
  <c r="DN746" i="15"/>
  <c r="DN723" i="15"/>
  <c r="DN709" i="15"/>
  <c r="DN646" i="15"/>
  <c r="DN95" i="15" s="1"/>
  <c r="DN722" i="15"/>
  <c r="DN685" i="15"/>
  <c r="DN134" i="15" s="1"/>
  <c r="DN608" i="15"/>
  <c r="DN57" i="15" s="1"/>
  <c r="DN654" i="15"/>
  <c r="DN103" i="15" s="1"/>
  <c r="DN770" i="15"/>
  <c r="DN761" i="15"/>
  <c r="DN769" i="15"/>
  <c r="DN674" i="15"/>
  <c r="DN123" i="15" s="1"/>
  <c r="DN743" i="15"/>
  <c r="DN644" i="15"/>
  <c r="DN93" i="15" s="1"/>
  <c r="DN760" i="15"/>
  <c r="DN684" i="15"/>
  <c r="DN133" i="15" s="1"/>
  <c r="DN638" i="15"/>
  <c r="DN87" i="15" s="1"/>
  <c r="DN643" i="15"/>
  <c r="DN92" i="15" s="1"/>
  <c r="DN756" i="15"/>
  <c r="DN657" i="15"/>
  <c r="DN106" i="15" s="1"/>
  <c r="DN600" i="15"/>
  <c r="DN49" i="15" s="1"/>
  <c r="DN673" i="15"/>
  <c r="DN122" i="15" s="1"/>
  <c r="DN686" i="15"/>
  <c r="DN135" i="15" s="1"/>
  <c r="DN663" i="15"/>
  <c r="DN112" i="15" s="1"/>
  <c r="DN735" i="15"/>
  <c r="DN737" i="15"/>
  <c r="DN757" i="15"/>
  <c r="DN740" i="15"/>
  <c r="DN718" i="15"/>
  <c r="DN667" i="15"/>
  <c r="DN116" i="15" s="1"/>
  <c r="DN680" i="15"/>
  <c r="DN129" i="15" s="1"/>
  <c r="DN699" i="15"/>
  <c r="DN585" i="15"/>
  <c r="DN34" i="15" s="1"/>
  <c r="DN652" i="15"/>
  <c r="DN101" i="15" s="1"/>
  <c r="DN659" i="15"/>
  <c r="DN108" i="15" s="1"/>
  <c r="DN658" i="15"/>
  <c r="DN107" i="15" s="1"/>
  <c r="DN677" i="15"/>
  <c r="DN126" i="15" s="1"/>
  <c r="DN611" i="15"/>
  <c r="DN60" i="15" s="1"/>
  <c r="DN720" i="15"/>
  <c r="DN695" i="15"/>
  <c r="DN144" i="15" s="1"/>
  <c r="DN670" i="15"/>
  <c r="DN119" i="15" s="1"/>
  <c r="DN619" i="15"/>
  <c r="DN68" i="15" s="1"/>
  <c r="DN615" i="15"/>
  <c r="DN64" i="15" s="1"/>
  <c r="DN713" i="15"/>
  <c r="DN655" i="15"/>
  <c r="DN104" i="15" s="1"/>
  <c r="DN712" i="15"/>
  <c r="DN642" i="15"/>
  <c r="DN91" i="15" s="1"/>
  <c r="DN732" i="15"/>
  <c r="DN707" i="15"/>
  <c r="DN604" i="15"/>
  <c r="DN53" i="15" s="1"/>
  <c r="DN693" i="15"/>
  <c r="DN142" i="15" s="1"/>
  <c r="DN768" i="15"/>
  <c r="DN726" i="15"/>
  <c r="DN733" i="15"/>
  <c r="DN624" i="15"/>
  <c r="DN73" i="15" s="1"/>
  <c r="DN716" i="15"/>
  <c r="DN628" i="15"/>
  <c r="DN77" i="15" s="1"/>
  <c r="DN649" i="15"/>
  <c r="DN98" i="15" s="1"/>
  <c r="DN681" i="15"/>
  <c r="DN130" i="15" s="1"/>
  <c r="DN603" i="15"/>
  <c r="DN52" i="15" s="1"/>
  <c r="DN631" i="15"/>
  <c r="DN80" i="15" s="1"/>
  <c r="DN617" i="15"/>
  <c r="DN66" i="15" s="1"/>
  <c r="DN647" i="15"/>
  <c r="DN96" i="15" s="1"/>
  <c r="DN724" i="15"/>
  <c r="DN683" i="15"/>
  <c r="DN132" i="15" s="1"/>
  <c r="DN671" i="15"/>
  <c r="DN120" i="15" s="1"/>
  <c r="DN678" i="15"/>
  <c r="DN127" i="15" s="1"/>
  <c r="DN640" i="15"/>
  <c r="DN89" i="15" s="1"/>
  <c r="DN666" i="15"/>
  <c r="DN115" i="15" s="1"/>
  <c r="DN696" i="15"/>
  <c r="DN145" i="15" s="1"/>
  <c r="DN653" i="15"/>
  <c r="DN102" i="15" s="1"/>
  <c r="DN749" i="15"/>
  <c r="DN691" i="15"/>
  <c r="DN140" i="15" s="1"/>
  <c r="DN602" i="15"/>
  <c r="DN51" i="15" s="1"/>
  <c r="DN728" i="15"/>
  <c r="DN752" i="15"/>
  <c r="DN738" i="15"/>
  <c r="DN727" i="15"/>
  <c r="DN701" i="15"/>
  <c r="DN650" i="15"/>
  <c r="DN99" i="15" s="1"/>
  <c r="DN620" i="15"/>
  <c r="DN69" i="15" s="1"/>
  <c r="DN630" i="15"/>
  <c r="DN79" i="15" s="1"/>
  <c r="DN627" i="15"/>
  <c r="DN76" i="15" s="1"/>
  <c r="DN622" i="15"/>
  <c r="DN71" i="15" s="1"/>
  <c r="DN739" i="15"/>
  <c r="DN771" i="15"/>
  <c r="DN719" i="15"/>
  <c r="DN609" i="15"/>
  <c r="DN58" i="15" s="1"/>
  <c r="DN725" i="15"/>
  <c r="DN632" i="15"/>
  <c r="DN81" i="15" s="1"/>
  <c r="DN669" i="15"/>
  <c r="DN118" i="15" s="1"/>
  <c r="DN706" i="15"/>
  <c r="DN710" i="15"/>
  <c r="DN633" i="15"/>
  <c r="DN82" i="15" s="1"/>
  <c r="DN764" i="15"/>
  <c r="DN599" i="15"/>
  <c r="DN48" i="15" s="1"/>
  <c r="DG572" i="15"/>
  <c r="DN572" i="15" s="1"/>
  <c r="DN21" i="15" s="1"/>
  <c r="DG577" i="15"/>
  <c r="DN577" i="15" s="1"/>
  <c r="DN26" i="15" s="1"/>
  <c r="DG586" i="15"/>
  <c r="DN586" i="15" s="1"/>
  <c r="DN35" i="15" s="1"/>
  <c r="DG579" i="15"/>
  <c r="DN579" i="15" s="1"/>
  <c r="DN28" i="15" s="1"/>
  <c r="DG589" i="15"/>
  <c r="DN589" i="15" s="1"/>
  <c r="DN38" i="15" s="1"/>
  <c r="DG578" i="15"/>
  <c r="DN578" i="15" s="1"/>
  <c r="DN27" i="15" s="1"/>
  <c r="DG591" i="15"/>
  <c r="DN591" i="15" s="1"/>
  <c r="DN40" i="15" s="1"/>
  <c r="DG585" i="15"/>
  <c r="DG571" i="15"/>
  <c r="DN571" i="15" s="1"/>
  <c r="DN20" i="15" s="1"/>
  <c r="DG576" i="15"/>
  <c r="DN576" i="15" s="1"/>
  <c r="DN25" i="15" s="1"/>
  <c r="DG582" i="15"/>
  <c r="DN582" i="15" s="1"/>
  <c r="DN31" i="15" s="1"/>
  <c r="DG573" i="15"/>
  <c r="DN573" i="15" s="1"/>
  <c r="DN22" i="15" s="1"/>
  <c r="DG590" i="15"/>
  <c r="DN590" i="15" s="1"/>
  <c r="DN39" i="15" s="1"/>
  <c r="DG593" i="15"/>
  <c r="DN593" i="15" s="1"/>
  <c r="DN42" i="15" s="1"/>
  <c r="DG592" i="15"/>
  <c r="DN592" i="15" s="1"/>
  <c r="DN41" i="15" s="1"/>
  <c r="DG575" i="15"/>
  <c r="DN575" i="15" s="1"/>
  <c r="DN24" i="15" s="1"/>
  <c r="DG588" i="15"/>
  <c r="DN588" i="15" s="1"/>
  <c r="DN37" i="15" s="1"/>
  <c r="DG583" i="15"/>
  <c r="DN583" i="15" s="1"/>
  <c r="DN32" i="15" s="1"/>
  <c r="DG580" i="15"/>
  <c r="DN580" i="15" s="1"/>
  <c r="DN29" i="15" s="1"/>
  <c r="DG594" i="15"/>
  <c r="DN594" i="15" s="1"/>
  <c r="DN43" i="15" s="1"/>
  <c r="DG574" i="15"/>
  <c r="DN574" i="15" s="1"/>
  <c r="DN23" i="15" s="1"/>
  <c r="DG584" i="15"/>
  <c r="DN584" i="15" s="1"/>
  <c r="DN33" i="15" s="1"/>
  <c r="DG581" i="15"/>
  <c r="DN581" i="15" s="1"/>
  <c r="DN30" i="15" s="1"/>
  <c r="DG595" i="15"/>
  <c r="DN595" i="15" s="1"/>
  <c r="DN44" i="15" s="1"/>
  <c r="DG587" i="15"/>
  <c r="DN587" i="15" s="1"/>
  <c r="DN36" i="15" s="1"/>
  <c r="DG596" i="15"/>
  <c r="DN596" i="15" s="1"/>
  <c r="DN45" i="15" s="1"/>
  <c r="DG597" i="15"/>
  <c r="DN597" i="15" s="1"/>
  <c r="DN46" i="15" s="1"/>
  <c r="DG598" i="15"/>
  <c r="DN598" i="15" s="1"/>
  <c r="DN47" i="15" s="1"/>
  <c r="DJ716" i="15"/>
  <c r="DG715" i="15"/>
  <c r="DJ724" i="15"/>
  <c r="DG723" i="15"/>
  <c r="DJ744" i="15"/>
  <c r="DG743" i="15"/>
  <c r="DJ762" i="15"/>
  <c r="DG761" i="15"/>
  <c r="DJ735" i="15"/>
  <c r="DG734" i="15"/>
  <c r="DJ749" i="15"/>
  <c r="DG748" i="15"/>
  <c r="DJ755" i="15"/>
  <c r="DG754" i="15"/>
  <c r="DJ765" i="15"/>
  <c r="DG764" i="15"/>
  <c r="DJ698" i="15"/>
  <c r="DG697" i="15"/>
  <c r="DJ769" i="15"/>
  <c r="DG768" i="15"/>
  <c r="DJ703" i="15"/>
  <c r="DG702" i="15"/>
  <c r="DJ766" i="15"/>
  <c r="DG765" i="15"/>
  <c r="DJ767" i="15"/>
  <c r="DG766" i="15"/>
  <c r="DJ747" i="15"/>
  <c r="DG746" i="15"/>
  <c r="DJ742" i="15"/>
  <c r="DG741" i="15"/>
  <c r="DJ748" i="15"/>
  <c r="DG747" i="15"/>
  <c r="DJ717" i="15"/>
  <c r="DG716" i="15"/>
  <c r="DJ701" i="15"/>
  <c r="DG700" i="15"/>
  <c r="DJ741" i="15"/>
  <c r="DG740" i="15"/>
  <c r="DJ700" i="15"/>
  <c r="DG699" i="15"/>
  <c r="DJ750" i="15"/>
  <c r="DG749" i="15"/>
  <c r="DJ725" i="15"/>
  <c r="DG724" i="15"/>
  <c r="DJ751" i="15"/>
  <c r="DG750" i="15"/>
  <c r="DJ708" i="15"/>
  <c r="DG707" i="15"/>
  <c r="DJ733" i="15"/>
  <c r="DG732" i="15"/>
  <c r="DJ715" i="15"/>
  <c r="DG714" i="15"/>
  <c r="DJ759" i="15"/>
  <c r="DG758" i="15"/>
  <c r="DJ705" i="15"/>
  <c r="DG704" i="15"/>
  <c r="DJ721" i="15"/>
  <c r="DG720" i="15"/>
  <c r="DJ704" i="15"/>
  <c r="DG703" i="15"/>
  <c r="DJ756" i="15"/>
  <c r="DG755" i="15"/>
  <c r="DJ736" i="15"/>
  <c r="DG735" i="15"/>
  <c r="DJ731" i="15"/>
  <c r="DG730" i="15"/>
  <c r="DJ718" i="15"/>
  <c r="DG717" i="15"/>
  <c r="DJ699" i="15"/>
  <c r="DG698" i="15"/>
  <c r="DJ727" i="15"/>
  <c r="DG726" i="15"/>
  <c r="DJ729" i="15"/>
  <c r="DG728" i="15"/>
  <c r="DJ719" i="15"/>
  <c r="DG718" i="15"/>
  <c r="DJ753" i="15"/>
  <c r="DG752" i="15"/>
  <c r="DJ746" i="15"/>
  <c r="DG745" i="15"/>
  <c r="DJ723" i="15"/>
  <c r="DG722" i="15"/>
  <c r="DJ709" i="15"/>
  <c r="DG708" i="15"/>
  <c r="DJ722" i="15"/>
  <c r="DG721" i="15"/>
  <c r="DJ768" i="15"/>
  <c r="DG767" i="15"/>
  <c r="DJ745" i="15"/>
  <c r="DG744" i="15"/>
  <c r="DJ711" i="15"/>
  <c r="DG710" i="15"/>
  <c r="DJ726" i="15"/>
  <c r="DG725" i="15"/>
  <c r="DJ772" i="15"/>
  <c r="DG771" i="15"/>
  <c r="DJ761" i="15"/>
  <c r="DG760" i="15"/>
  <c r="DJ697" i="15"/>
  <c r="DG696" i="15"/>
  <c r="DJ734" i="15"/>
  <c r="DG733" i="15"/>
  <c r="DJ743" i="15"/>
  <c r="DG742" i="15"/>
  <c r="DJ760" i="15"/>
  <c r="DG759" i="15"/>
  <c r="DJ737" i="15"/>
  <c r="DG736" i="15"/>
  <c r="DJ757" i="15"/>
  <c r="DG756" i="15"/>
  <c r="DJ740" i="15"/>
  <c r="DG739" i="15"/>
  <c r="DJ728" i="15"/>
  <c r="DG727" i="15"/>
  <c r="DJ752" i="15"/>
  <c r="DG751" i="15"/>
  <c r="DJ738" i="15"/>
  <c r="DG737" i="15"/>
  <c r="DJ763" i="15"/>
  <c r="DG762" i="15"/>
  <c r="DJ758" i="15"/>
  <c r="DG757" i="15"/>
  <c r="DJ739" i="15"/>
  <c r="DG738" i="15"/>
  <c r="DJ771" i="15"/>
  <c r="DG770" i="15"/>
  <c r="DJ773" i="15"/>
  <c r="DG772" i="15"/>
  <c r="DJ712" i="15"/>
  <c r="DG711" i="15"/>
  <c r="DJ732" i="15"/>
  <c r="DG731" i="15"/>
  <c r="DJ707" i="15"/>
  <c r="DG706" i="15"/>
  <c r="DJ770" i="15"/>
  <c r="DG769" i="15"/>
  <c r="DJ702" i="15"/>
  <c r="DG701" i="15"/>
  <c r="DJ754" i="15"/>
  <c r="DG753" i="15"/>
  <c r="DJ720" i="15"/>
  <c r="DG719" i="15"/>
  <c r="DJ714" i="15"/>
  <c r="DG713" i="15"/>
  <c r="DJ730" i="15"/>
  <c r="DG729" i="15"/>
  <c r="DJ713" i="15"/>
  <c r="DG712" i="15"/>
  <c r="DJ706" i="15"/>
  <c r="DG705" i="15"/>
  <c r="DJ710" i="15"/>
  <c r="DG709" i="15"/>
  <c r="DJ764" i="15"/>
  <c r="DG763" i="15"/>
  <c r="DX139" i="15"/>
  <c r="DL139" i="15"/>
  <c r="DX144" i="15"/>
  <c r="DL144" i="15"/>
  <c r="DX143" i="15"/>
  <c r="DL143" i="15"/>
  <c r="DX136" i="15"/>
  <c r="DL136" i="15"/>
  <c r="DX20" i="15"/>
  <c r="DL20" i="15"/>
  <c r="DL21" i="15" s="1"/>
  <c r="DL22" i="15" s="1"/>
  <c r="DL23" i="15" s="1"/>
  <c r="DL24" i="15" s="1"/>
  <c r="DL25" i="15" s="1"/>
  <c r="DL26" i="15" s="1"/>
  <c r="DL27" i="15" s="1"/>
  <c r="DL28" i="15" s="1"/>
  <c r="DL29" i="15" s="1"/>
  <c r="DL30" i="15" s="1"/>
  <c r="DL31" i="15" s="1"/>
  <c r="DL32" i="15" s="1"/>
  <c r="DL33" i="15" s="1"/>
  <c r="DL34" i="15" s="1"/>
  <c r="DL35" i="15" s="1"/>
  <c r="DL36" i="15" s="1"/>
  <c r="DL37" i="15" s="1"/>
  <c r="DL38" i="15" s="1"/>
  <c r="DL39" i="15" s="1"/>
  <c r="DL40" i="15" s="1"/>
  <c r="DL41" i="15" s="1"/>
  <c r="DL42" i="15" s="1"/>
  <c r="DL43" i="15" s="1"/>
  <c r="DL44" i="15" s="1"/>
  <c r="DL45" i="15" s="1"/>
  <c r="DL46" i="15" s="1"/>
  <c r="DX141" i="15"/>
  <c r="DL141" i="15"/>
  <c r="DX138" i="15"/>
  <c r="DL138" i="15"/>
  <c r="DX142" i="15"/>
  <c r="DL142" i="15"/>
  <c r="DX137" i="15"/>
  <c r="DL137" i="15"/>
  <c r="DX140" i="15"/>
  <c r="DL140" i="15"/>
  <c r="DJ654" i="15"/>
  <c r="DO654" i="15" s="1"/>
  <c r="DO103" i="15" s="1"/>
  <c r="DJ676" i="15"/>
  <c r="DO676" i="15" s="1"/>
  <c r="DO125" i="15" s="1"/>
  <c r="DJ674" i="15"/>
  <c r="DO674" i="15" s="1"/>
  <c r="DO123" i="15" s="1"/>
  <c r="DJ683" i="15"/>
  <c r="DO683" i="15" s="1"/>
  <c r="DO132" i="15" s="1"/>
  <c r="DJ675" i="15"/>
  <c r="DO675" i="15" s="1"/>
  <c r="DO124" i="15" s="1"/>
  <c r="DJ691" i="15"/>
  <c r="DO691" i="15" s="1"/>
  <c r="DO140" i="15" s="1"/>
  <c r="DJ689" i="15"/>
  <c r="DO689" i="15" s="1"/>
  <c r="DO138" i="15" s="1"/>
  <c r="DJ659" i="15"/>
  <c r="DO659" i="15" s="1"/>
  <c r="DO108" i="15" s="1"/>
  <c r="DJ690" i="15"/>
  <c r="DO690" i="15" s="1"/>
  <c r="DO139" i="15" s="1"/>
  <c r="DJ645" i="15"/>
  <c r="DO645" i="15" s="1"/>
  <c r="DO94" i="15" s="1"/>
  <c r="DJ688" i="15"/>
  <c r="DO688" i="15" s="1"/>
  <c r="DO137" i="15" s="1"/>
  <c r="DJ687" i="15"/>
  <c r="DO687" i="15" s="1"/>
  <c r="DO136" i="15" s="1"/>
  <c r="DJ648" i="15"/>
  <c r="DO648" i="15" s="1"/>
  <c r="DO97" i="15" s="1"/>
  <c r="DJ663" i="15"/>
  <c r="DO663" i="15" s="1"/>
  <c r="DO112" i="15" s="1"/>
  <c r="DJ653" i="15"/>
  <c r="DO653" i="15" s="1"/>
  <c r="DO102" i="15" s="1"/>
  <c r="DJ682" i="15"/>
  <c r="DO682" i="15" s="1"/>
  <c r="DO131" i="15" s="1"/>
  <c r="DJ656" i="15"/>
  <c r="DO656" i="15" s="1"/>
  <c r="DO105" i="15" s="1"/>
  <c r="DJ650" i="15"/>
  <c r="DO650" i="15" s="1"/>
  <c r="DO99" i="15" s="1"/>
  <c r="DJ664" i="15"/>
  <c r="DO664" i="15" s="1"/>
  <c r="DO113" i="15" s="1"/>
  <c r="DJ651" i="15"/>
  <c r="DO651" i="15" s="1"/>
  <c r="DO100" i="15" s="1"/>
  <c r="DJ649" i="15"/>
  <c r="DO649" i="15" s="1"/>
  <c r="DO98" i="15" s="1"/>
  <c r="DJ681" i="15"/>
  <c r="DO681" i="15" s="1"/>
  <c r="DO130" i="15" s="1"/>
  <c r="DJ692" i="15"/>
  <c r="DO692" i="15" s="1"/>
  <c r="DO141" i="15" s="1"/>
  <c r="DJ657" i="15"/>
  <c r="DO657" i="15" s="1"/>
  <c r="DO106" i="15" s="1"/>
  <c r="DJ673" i="15"/>
  <c r="DO673" i="15" s="1"/>
  <c r="DO122" i="15" s="1"/>
  <c r="DJ686" i="15"/>
  <c r="DO686" i="15" s="1"/>
  <c r="DO135" i="15" s="1"/>
  <c r="DJ668" i="15"/>
  <c r="DO668" i="15" s="1"/>
  <c r="DO117" i="15" s="1"/>
  <c r="DJ667" i="15"/>
  <c r="DO667" i="15" s="1"/>
  <c r="DO116" i="15" s="1"/>
  <c r="DJ680" i="15"/>
  <c r="DO680" i="15" s="1"/>
  <c r="DO129" i="15" s="1"/>
  <c r="DJ677" i="15"/>
  <c r="DO677" i="15" s="1"/>
  <c r="DO126" i="15" s="1"/>
  <c r="DJ662" i="15"/>
  <c r="DO662" i="15" s="1"/>
  <c r="DO111" i="15" s="1"/>
  <c r="DJ670" i="15"/>
  <c r="DO670" i="15" s="1"/>
  <c r="DO119" i="15" s="1"/>
  <c r="DJ679" i="15"/>
  <c r="DO679" i="15" s="1"/>
  <c r="DO128" i="15" s="1"/>
  <c r="DJ646" i="15"/>
  <c r="DO646" i="15" s="1"/>
  <c r="DO95" i="15" s="1"/>
  <c r="DJ685" i="15"/>
  <c r="DO685" i="15" s="1"/>
  <c r="DO134" i="15" s="1"/>
  <c r="DJ660" i="15"/>
  <c r="DO660" i="15" s="1"/>
  <c r="DO109" i="15" s="1"/>
  <c r="DJ644" i="15"/>
  <c r="DO644" i="15" s="1"/>
  <c r="DO93" i="15" s="1"/>
  <c r="DJ684" i="15"/>
  <c r="DO684" i="15" s="1"/>
  <c r="DO133" i="15" s="1"/>
  <c r="DJ643" i="15"/>
  <c r="DO643" i="15" s="1"/>
  <c r="DO92" i="15" s="1"/>
  <c r="DJ671" i="15"/>
  <c r="DO671" i="15" s="1"/>
  <c r="DO120" i="15" s="1"/>
  <c r="DJ678" i="15"/>
  <c r="DO678" i="15" s="1"/>
  <c r="DO127" i="15" s="1"/>
  <c r="DJ666" i="15"/>
  <c r="DO666" i="15" s="1"/>
  <c r="DO115" i="15" s="1"/>
  <c r="DJ696" i="15"/>
  <c r="DO696" i="15" s="1"/>
  <c r="DO145" i="15" s="1"/>
  <c r="DJ641" i="15"/>
  <c r="DO641" i="15" s="1"/>
  <c r="DO90" i="15" s="1"/>
  <c r="DJ665" i="15"/>
  <c r="DO665" i="15" s="1"/>
  <c r="DO114" i="15" s="1"/>
  <c r="DJ658" i="15"/>
  <c r="DO658" i="15" s="1"/>
  <c r="DO107" i="15" s="1"/>
  <c r="DJ695" i="15"/>
  <c r="DO695" i="15" s="1"/>
  <c r="DO144" i="15" s="1"/>
  <c r="DJ694" i="15"/>
  <c r="DO694" i="15" s="1"/>
  <c r="DO143" i="15" s="1"/>
  <c r="DJ661" i="15"/>
  <c r="DO661" i="15" s="1"/>
  <c r="DO110" i="15" s="1"/>
  <c r="DJ642" i="15"/>
  <c r="DO642" i="15" s="1"/>
  <c r="DO91" i="15" s="1"/>
  <c r="DJ693" i="15"/>
  <c r="DO693" i="15" s="1"/>
  <c r="DO142" i="15" s="1"/>
  <c r="DJ647" i="15"/>
  <c r="DO647" i="15" s="1"/>
  <c r="DO96" i="15" s="1"/>
  <c r="DJ672" i="15"/>
  <c r="DO672" i="15" s="1"/>
  <c r="DO121" i="15" s="1"/>
  <c r="DJ652" i="15"/>
  <c r="DO652" i="15" s="1"/>
  <c r="DO101" i="15" s="1"/>
  <c r="DJ655" i="15"/>
  <c r="DO655" i="15" s="1"/>
  <c r="DO104" i="15" s="1"/>
  <c r="DJ669" i="15"/>
  <c r="DO669" i="15" s="1"/>
  <c r="DO118" i="15" s="1"/>
  <c r="CI1100" i="15"/>
  <c r="CJ1100" i="15" s="1"/>
  <c r="CJ1099" i="15" s="1"/>
  <c r="AM537" i="15"/>
  <c r="AN537" i="15" s="1"/>
  <c r="AH538" i="15"/>
  <c r="AK538" i="15" s="1"/>
  <c r="AL538" i="15" s="1"/>
  <c r="AJ537" i="15"/>
  <c r="AL543" i="17"/>
  <c r="AM543" i="17" s="1"/>
  <c r="AN543" i="17" s="1"/>
  <c r="AH544" i="17"/>
  <c r="AH543" i="17"/>
  <c r="AL542" i="17"/>
  <c r="AM542" i="17" s="1"/>
  <c r="AN542" i="17" s="1"/>
  <c r="AH541" i="17"/>
  <c r="AL540" i="17"/>
  <c r="AM540" i="17" s="1"/>
  <c r="AN540" i="17" s="1"/>
  <c r="AL541" i="17"/>
  <c r="AM541" i="17" s="1"/>
  <c r="AN541" i="17" s="1"/>
  <c r="AH542" i="17"/>
  <c r="AL544" i="17"/>
  <c r="AM544" i="17" s="1"/>
  <c r="AN544" i="17" s="1"/>
  <c r="AG542" i="15"/>
  <c r="AG542" i="17"/>
  <c r="DJ636" i="15"/>
  <c r="DJ619" i="15"/>
  <c r="DJ614" i="15"/>
  <c r="DJ618" i="15"/>
  <c r="DJ633" i="15"/>
  <c r="DJ572" i="15"/>
  <c r="DJ605" i="15"/>
  <c r="DJ616" i="15"/>
  <c r="DJ589" i="15"/>
  <c r="DJ575" i="15"/>
  <c r="DJ615" i="15"/>
  <c r="DJ624" i="15"/>
  <c r="DJ603" i="15"/>
  <c r="DJ627" i="15"/>
  <c r="DJ635" i="15"/>
  <c r="DJ588" i="15"/>
  <c r="DJ621" i="15"/>
  <c r="DJ629" i="15"/>
  <c r="DJ593" i="15"/>
  <c r="AO541" i="17"/>
  <c r="DJ596" i="15"/>
  <c r="DJ613" i="15"/>
  <c r="DJ608" i="15"/>
  <c r="DJ606" i="15"/>
  <c r="DJ625" i="15"/>
  <c r="DJ581" i="15"/>
  <c r="DJ571" i="15"/>
  <c r="DJ590" i="15"/>
  <c r="DJ639" i="15"/>
  <c r="AP541" i="17"/>
  <c r="DJ637" i="15"/>
  <c r="DJ609" i="15"/>
  <c r="DJ626" i="15"/>
  <c r="DJ580" i="15"/>
  <c r="DJ630" i="15"/>
  <c r="DJ601" i="15"/>
  <c r="DJ582" i="15"/>
  <c r="AP541" i="15"/>
  <c r="DJ597" i="15"/>
  <c r="DJ587" i="15"/>
  <c r="DJ611" i="15"/>
  <c r="DJ617" i="15"/>
  <c r="DJ620" i="15"/>
  <c r="DJ573" i="15"/>
  <c r="DJ579" i="15"/>
  <c r="DJ585" i="15"/>
  <c r="AO542" i="15"/>
  <c r="DJ640" i="15"/>
  <c r="DJ595" i="15"/>
  <c r="DJ586" i="15"/>
  <c r="DJ576" i="15"/>
  <c r="DJ602" i="15"/>
  <c r="DJ592" i="15"/>
  <c r="DJ574" i="15"/>
  <c r="DJ598" i="15"/>
  <c r="DJ594" i="15"/>
  <c r="DJ599" i="15"/>
  <c r="DJ583" i="15"/>
  <c r="DJ628" i="15"/>
  <c r="DJ604" i="15"/>
  <c r="DJ631" i="15"/>
  <c r="DJ623" i="15"/>
  <c r="DJ577" i="15"/>
  <c r="DJ632" i="15"/>
  <c r="DJ584" i="15"/>
  <c r="DJ578" i="15"/>
  <c r="DJ622" i="15"/>
  <c r="DJ600" i="15"/>
  <c r="DJ607" i="15"/>
  <c r="DJ612" i="15"/>
  <c r="DJ638" i="15"/>
  <c r="DJ634" i="15"/>
  <c r="DJ610" i="15"/>
  <c r="DJ591" i="15"/>
  <c r="DO640" i="15" l="1"/>
  <c r="DO89" i="15" s="1"/>
  <c r="DO639" i="15"/>
  <c r="DO88" i="15" s="1"/>
  <c r="DO638" i="15"/>
  <c r="DO87" i="15" s="1"/>
  <c r="DO604" i="15"/>
  <c r="DO53" i="15" s="1"/>
  <c r="DO628" i="15"/>
  <c r="DO77" i="15" s="1"/>
  <c r="DO615" i="15"/>
  <c r="DO64" i="15" s="1"/>
  <c r="DO613" i="15"/>
  <c r="DO62" i="15" s="1"/>
  <c r="DO606" i="15"/>
  <c r="DO55" i="15" s="1"/>
  <c r="DO619" i="15"/>
  <c r="DO68" i="15" s="1"/>
  <c r="DO621" i="15"/>
  <c r="DO70" i="15" s="1"/>
  <c r="DO633" i="15"/>
  <c r="DO82" i="15" s="1"/>
  <c r="DO622" i="15"/>
  <c r="DO71" i="15" s="1"/>
  <c r="DO636" i="15"/>
  <c r="DO85" i="15" s="1"/>
  <c r="DO630" i="15"/>
  <c r="DO79" i="15" s="1"/>
  <c r="DO612" i="15"/>
  <c r="DO61" i="15" s="1"/>
  <c r="DO605" i="15"/>
  <c r="DO54" i="15" s="1"/>
  <c r="DO618" i="15"/>
  <c r="DO67" i="15" s="1"/>
  <c r="DO635" i="15"/>
  <c r="DO84" i="15" s="1"/>
  <c r="DO629" i="15"/>
  <c r="DO78" i="15" s="1"/>
  <c r="DO632" i="15"/>
  <c r="DO81" i="15" s="1"/>
  <c r="DO627" i="15"/>
  <c r="DO76" i="15" s="1"/>
  <c r="DO637" i="15"/>
  <c r="DO86" i="15" s="1"/>
  <c r="DO616" i="15"/>
  <c r="DO65" i="15" s="1"/>
  <c r="DO601" i="15"/>
  <c r="DO50" i="15" s="1"/>
  <c r="DO609" i="15"/>
  <c r="DO58" i="15" s="1"/>
  <c r="DO620" i="15"/>
  <c r="DO69" i="15" s="1"/>
  <c r="DO624" i="15"/>
  <c r="DO73" i="15" s="1"/>
  <c r="DO623" i="15"/>
  <c r="DO72" i="15" s="1"/>
  <c r="DO631" i="15"/>
  <c r="DO80" i="15" s="1"/>
  <c r="DO634" i="15"/>
  <c r="DO83" i="15" s="1"/>
  <c r="DO617" i="15"/>
  <c r="DO66" i="15" s="1"/>
  <c r="DO602" i="15"/>
  <c r="DO51" i="15" s="1"/>
  <c r="DO608" i="15"/>
  <c r="DO57" i="15" s="1"/>
  <c r="DO614" i="15"/>
  <c r="DO63" i="15" s="1"/>
  <c r="DO607" i="15"/>
  <c r="DO56" i="15" s="1"/>
  <c r="DO625" i="15"/>
  <c r="DO74" i="15" s="1"/>
  <c r="DO626" i="15"/>
  <c r="DO75" i="15" s="1"/>
  <c r="DO610" i="15"/>
  <c r="DO59" i="15" s="1"/>
  <c r="DO611" i="15"/>
  <c r="DO60" i="15" s="1"/>
  <c r="DO603" i="15"/>
  <c r="DO52" i="15" s="1"/>
  <c r="DO600" i="15"/>
  <c r="DO49" i="15" s="1"/>
  <c r="DO581" i="15"/>
  <c r="DO30" i="15" s="1"/>
  <c r="DO583" i="15"/>
  <c r="DO32" i="15" s="1"/>
  <c r="DO571" i="15"/>
  <c r="DO20" i="15" s="1"/>
  <c r="DO585" i="15"/>
  <c r="DO34" i="15" s="1"/>
  <c r="DO584" i="15"/>
  <c r="DO33" i="15" s="1"/>
  <c r="DO594" i="15"/>
  <c r="DO43" i="15" s="1"/>
  <c r="DO577" i="15"/>
  <c r="DO26" i="15" s="1"/>
  <c r="DO579" i="15"/>
  <c r="DO28" i="15" s="1"/>
  <c r="DO587" i="15"/>
  <c r="DO36" i="15" s="1"/>
  <c r="DO582" i="15"/>
  <c r="DO31" i="15" s="1"/>
  <c r="DO593" i="15"/>
  <c r="DO42" i="15" s="1"/>
  <c r="DO592" i="15"/>
  <c r="DO41" i="15" s="1"/>
  <c r="DO588" i="15"/>
  <c r="DO37" i="15" s="1"/>
  <c r="DO575" i="15"/>
  <c r="DO24" i="15" s="1"/>
  <c r="DO589" i="15"/>
  <c r="DO38" i="15" s="1"/>
  <c r="DO591" i="15"/>
  <c r="DO40" i="15" s="1"/>
  <c r="DO572" i="15"/>
  <c r="DO21" i="15" s="1"/>
  <c r="DO590" i="15"/>
  <c r="DO39" i="15" s="1"/>
  <c r="DO578" i="15"/>
  <c r="DO27" i="15" s="1"/>
  <c r="DO596" i="15"/>
  <c r="DO45" i="15" s="1"/>
  <c r="DO595" i="15"/>
  <c r="DO44" i="15" s="1"/>
  <c r="DO576" i="15"/>
  <c r="DO25" i="15" s="1"/>
  <c r="DO574" i="15"/>
  <c r="DO23" i="15" s="1"/>
  <c r="DO586" i="15"/>
  <c r="DO35" i="15" s="1"/>
  <c r="DO580" i="15"/>
  <c r="DO29" i="15" s="1"/>
  <c r="DO573" i="15"/>
  <c r="DO22" i="15" s="1"/>
  <c r="DO597" i="15"/>
  <c r="DO46" i="15" s="1"/>
  <c r="DO598" i="15"/>
  <c r="DO47" i="15" s="1"/>
  <c r="DK764" i="15"/>
  <c r="DP764" i="15" s="1"/>
  <c r="DO764" i="15"/>
  <c r="DK706" i="15"/>
  <c r="DP706" i="15" s="1"/>
  <c r="DO706" i="15"/>
  <c r="DK730" i="15"/>
  <c r="DP730" i="15" s="1"/>
  <c r="DO730" i="15"/>
  <c r="DK720" i="15"/>
  <c r="DP720" i="15" s="1"/>
  <c r="DO720" i="15"/>
  <c r="DK702" i="15"/>
  <c r="DP702" i="15" s="1"/>
  <c r="DO702" i="15"/>
  <c r="DK707" i="15"/>
  <c r="DP707" i="15" s="1"/>
  <c r="DO707" i="15"/>
  <c r="DK712" i="15"/>
  <c r="DP712" i="15" s="1"/>
  <c r="DO712" i="15"/>
  <c r="DK771" i="15"/>
  <c r="DP771" i="15" s="1"/>
  <c r="DO771" i="15"/>
  <c r="DK758" i="15"/>
  <c r="DP758" i="15" s="1"/>
  <c r="DO758" i="15"/>
  <c r="DK738" i="15"/>
  <c r="DP738" i="15" s="1"/>
  <c r="DO738" i="15"/>
  <c r="DK728" i="15"/>
  <c r="DP728" i="15" s="1"/>
  <c r="DO728" i="15"/>
  <c r="DK757" i="15"/>
  <c r="DP757" i="15" s="1"/>
  <c r="DO757" i="15"/>
  <c r="DK760" i="15"/>
  <c r="DP760" i="15" s="1"/>
  <c r="DO760" i="15"/>
  <c r="DK734" i="15"/>
  <c r="DP734" i="15" s="1"/>
  <c r="DO734" i="15"/>
  <c r="DK761" i="15"/>
  <c r="DP761" i="15" s="1"/>
  <c r="DO761" i="15"/>
  <c r="DK726" i="15"/>
  <c r="DP726" i="15" s="1"/>
  <c r="DO726" i="15"/>
  <c r="DK745" i="15"/>
  <c r="DP745" i="15" s="1"/>
  <c r="DO745" i="15"/>
  <c r="DK722" i="15"/>
  <c r="DP722" i="15" s="1"/>
  <c r="DO722" i="15"/>
  <c r="DK723" i="15"/>
  <c r="DP723" i="15" s="1"/>
  <c r="DO723" i="15"/>
  <c r="DK753" i="15"/>
  <c r="DP753" i="15" s="1"/>
  <c r="DO753" i="15"/>
  <c r="DK729" i="15"/>
  <c r="DP729" i="15" s="1"/>
  <c r="DO729" i="15"/>
  <c r="DK699" i="15"/>
  <c r="DP699" i="15" s="1"/>
  <c r="DO699" i="15"/>
  <c r="DK731" i="15"/>
  <c r="DP731" i="15" s="1"/>
  <c r="DO731" i="15"/>
  <c r="DK756" i="15"/>
  <c r="DP756" i="15" s="1"/>
  <c r="DO756" i="15"/>
  <c r="DK721" i="15"/>
  <c r="DP721" i="15" s="1"/>
  <c r="DO721" i="15"/>
  <c r="DK759" i="15"/>
  <c r="DP759" i="15" s="1"/>
  <c r="DO759" i="15"/>
  <c r="DK733" i="15"/>
  <c r="DP733" i="15" s="1"/>
  <c r="DO733" i="15"/>
  <c r="DK751" i="15"/>
  <c r="DP751" i="15" s="1"/>
  <c r="DO751" i="15"/>
  <c r="DK750" i="15"/>
  <c r="DP750" i="15" s="1"/>
  <c r="DO750" i="15"/>
  <c r="DK741" i="15"/>
  <c r="DP741" i="15" s="1"/>
  <c r="DO741" i="15"/>
  <c r="DK717" i="15"/>
  <c r="DP717" i="15" s="1"/>
  <c r="DO717" i="15"/>
  <c r="DK742" i="15"/>
  <c r="DP742" i="15" s="1"/>
  <c r="DO742" i="15"/>
  <c r="DK767" i="15"/>
  <c r="DP767" i="15" s="1"/>
  <c r="DO767" i="15"/>
  <c r="DK703" i="15"/>
  <c r="DP703" i="15" s="1"/>
  <c r="DO703" i="15"/>
  <c r="DK698" i="15"/>
  <c r="DP698" i="15" s="1"/>
  <c r="DO698" i="15"/>
  <c r="DK755" i="15"/>
  <c r="DP755" i="15" s="1"/>
  <c r="DO755" i="15"/>
  <c r="DK735" i="15"/>
  <c r="DP735" i="15" s="1"/>
  <c r="DO735" i="15"/>
  <c r="DK744" i="15"/>
  <c r="DP744" i="15" s="1"/>
  <c r="DO744" i="15"/>
  <c r="DK716" i="15"/>
  <c r="DP716" i="15" s="1"/>
  <c r="DO716" i="15"/>
  <c r="DK710" i="15"/>
  <c r="DP710" i="15" s="1"/>
  <c r="DO710" i="15"/>
  <c r="DK713" i="15"/>
  <c r="DP713" i="15" s="1"/>
  <c r="DO713" i="15"/>
  <c r="DK714" i="15"/>
  <c r="DP714" i="15" s="1"/>
  <c r="DO714" i="15"/>
  <c r="DK754" i="15"/>
  <c r="DP754" i="15" s="1"/>
  <c r="DO754" i="15"/>
  <c r="DK770" i="15"/>
  <c r="DP770" i="15" s="1"/>
  <c r="DO770" i="15"/>
  <c r="DK732" i="15"/>
  <c r="DP732" i="15" s="1"/>
  <c r="DO732" i="15"/>
  <c r="DK773" i="15"/>
  <c r="DP773" i="15" s="1"/>
  <c r="DO773" i="15"/>
  <c r="DK739" i="15"/>
  <c r="DP739" i="15" s="1"/>
  <c r="DO739" i="15"/>
  <c r="DK763" i="15"/>
  <c r="DP763" i="15" s="1"/>
  <c r="DO763" i="15"/>
  <c r="DK752" i="15"/>
  <c r="DP752" i="15" s="1"/>
  <c r="DO752" i="15"/>
  <c r="DK740" i="15"/>
  <c r="DP740" i="15" s="1"/>
  <c r="DO740" i="15"/>
  <c r="DK737" i="15"/>
  <c r="DP737" i="15" s="1"/>
  <c r="DO737" i="15"/>
  <c r="DK743" i="15"/>
  <c r="DP743" i="15" s="1"/>
  <c r="DO743" i="15"/>
  <c r="DK697" i="15"/>
  <c r="DP697" i="15" s="1"/>
  <c r="DO697" i="15"/>
  <c r="DK772" i="15"/>
  <c r="DP772" i="15" s="1"/>
  <c r="DO772" i="15"/>
  <c r="DK711" i="15"/>
  <c r="DP711" i="15" s="1"/>
  <c r="DO711" i="15"/>
  <c r="DK768" i="15"/>
  <c r="DP768" i="15" s="1"/>
  <c r="DO768" i="15"/>
  <c r="DK709" i="15"/>
  <c r="DP709" i="15" s="1"/>
  <c r="DO709" i="15"/>
  <c r="DK746" i="15"/>
  <c r="DP746" i="15" s="1"/>
  <c r="DO746" i="15"/>
  <c r="DK719" i="15"/>
  <c r="DP719" i="15" s="1"/>
  <c r="DO719" i="15"/>
  <c r="DK727" i="15"/>
  <c r="DP727" i="15" s="1"/>
  <c r="DO727" i="15"/>
  <c r="DK718" i="15"/>
  <c r="DP718" i="15" s="1"/>
  <c r="DO718" i="15"/>
  <c r="DK736" i="15"/>
  <c r="DP736" i="15" s="1"/>
  <c r="DO736" i="15"/>
  <c r="DK704" i="15"/>
  <c r="DP704" i="15" s="1"/>
  <c r="DO704" i="15"/>
  <c r="DK705" i="15"/>
  <c r="DP705" i="15" s="1"/>
  <c r="DO705" i="15"/>
  <c r="DK715" i="15"/>
  <c r="DP715" i="15" s="1"/>
  <c r="DO715" i="15"/>
  <c r="DK708" i="15"/>
  <c r="DP708" i="15" s="1"/>
  <c r="DO708" i="15"/>
  <c r="DK725" i="15"/>
  <c r="DP725" i="15" s="1"/>
  <c r="DO725" i="15"/>
  <c r="DK700" i="15"/>
  <c r="DP700" i="15" s="1"/>
  <c r="DO700" i="15"/>
  <c r="DK701" i="15"/>
  <c r="DP701" i="15" s="1"/>
  <c r="DO701" i="15"/>
  <c r="DK748" i="15"/>
  <c r="DP748" i="15" s="1"/>
  <c r="DO748" i="15"/>
  <c r="DK747" i="15"/>
  <c r="DP747" i="15" s="1"/>
  <c r="DO747" i="15"/>
  <c r="DK766" i="15"/>
  <c r="DP766" i="15" s="1"/>
  <c r="DO766" i="15"/>
  <c r="DK769" i="15"/>
  <c r="DP769" i="15" s="1"/>
  <c r="DO769" i="15"/>
  <c r="DK765" i="15"/>
  <c r="DP765" i="15" s="1"/>
  <c r="DO765" i="15"/>
  <c r="DK749" i="15"/>
  <c r="DP749" i="15" s="1"/>
  <c r="DO749" i="15"/>
  <c r="DK762" i="15"/>
  <c r="DP762" i="15" s="1"/>
  <c r="DO762" i="15"/>
  <c r="DK724" i="15"/>
  <c r="DP724" i="15" s="1"/>
  <c r="DO724" i="15"/>
  <c r="DO599" i="15"/>
  <c r="DO48" i="15" s="1"/>
  <c r="DL47" i="15"/>
  <c r="DL48" i="15" s="1"/>
  <c r="DL49" i="15" s="1"/>
  <c r="DL50" i="15" s="1"/>
  <c r="DL51" i="15" s="1"/>
  <c r="DL52" i="15" s="1"/>
  <c r="DL53" i="15" s="1"/>
  <c r="DL54" i="15" s="1"/>
  <c r="DL55" i="15" s="1"/>
  <c r="DL56" i="15" s="1"/>
  <c r="DL57" i="15" s="1"/>
  <c r="DL58" i="15" s="1"/>
  <c r="DL59" i="15" s="1"/>
  <c r="DL60" i="15" s="1"/>
  <c r="DL61" i="15" s="1"/>
  <c r="DL62" i="15" s="1"/>
  <c r="DL63" i="15" s="1"/>
  <c r="DL64" i="15" s="1"/>
  <c r="DL65" i="15" s="1"/>
  <c r="DL66" i="15" s="1"/>
  <c r="DL67" i="15" s="1"/>
  <c r="DL68" i="15" s="1"/>
  <c r="DL69" i="15" s="1"/>
  <c r="DL70" i="15" s="1"/>
  <c r="DL71" i="15" s="1"/>
  <c r="DL72" i="15" s="1"/>
  <c r="DL73" i="15" s="1"/>
  <c r="DL74" i="15" s="1"/>
  <c r="DL75" i="15" s="1"/>
  <c r="DL76" i="15" s="1"/>
  <c r="DL77" i="15" s="1"/>
  <c r="DL78" i="15" s="1"/>
  <c r="DL79" i="15" s="1"/>
  <c r="DL80" i="15" s="1"/>
  <c r="DL81" i="15" s="1"/>
  <c r="DL82" i="15" s="1"/>
  <c r="DL83" i="15" s="1"/>
  <c r="DL84" i="15" s="1"/>
  <c r="DL85" i="15" s="1"/>
  <c r="DL86" i="15" s="1"/>
  <c r="DL87" i="15" s="1"/>
  <c r="DL88" i="15" s="1"/>
  <c r="DL89" i="15" s="1"/>
  <c r="DX46" i="15"/>
  <c r="DK669" i="15"/>
  <c r="DK693" i="15"/>
  <c r="DK655" i="15"/>
  <c r="DK652" i="15"/>
  <c r="DK672" i="15"/>
  <c r="DK647" i="15"/>
  <c r="DK642" i="15"/>
  <c r="DK694" i="15"/>
  <c r="DK696" i="15"/>
  <c r="DK671" i="15"/>
  <c r="DK644" i="15"/>
  <c r="DK685" i="15"/>
  <c r="DK679" i="15"/>
  <c r="DK662" i="15"/>
  <c r="DK680" i="15"/>
  <c r="DK686" i="15"/>
  <c r="DK681" i="15"/>
  <c r="DK651" i="15"/>
  <c r="DK650" i="15"/>
  <c r="DK656" i="15"/>
  <c r="DK663" i="15"/>
  <c r="DK687" i="15"/>
  <c r="DK659" i="15"/>
  <c r="DK689" i="15"/>
  <c r="DK675" i="15"/>
  <c r="DK674" i="15"/>
  <c r="DK654" i="15"/>
  <c r="DK661" i="15"/>
  <c r="DK695" i="15"/>
  <c r="DK658" i="15"/>
  <c r="DK665" i="15"/>
  <c r="DK641" i="15"/>
  <c r="DK666" i="15"/>
  <c r="DK678" i="15"/>
  <c r="DK643" i="15"/>
  <c r="DK684" i="15"/>
  <c r="DK660" i="15"/>
  <c r="DK646" i="15"/>
  <c r="DK670" i="15"/>
  <c r="DK677" i="15"/>
  <c r="DK667" i="15"/>
  <c r="DK668" i="15"/>
  <c r="DK673" i="15"/>
  <c r="DK657" i="15"/>
  <c r="DK692" i="15"/>
  <c r="DK649" i="15"/>
  <c r="DK664" i="15"/>
  <c r="DK682" i="15"/>
  <c r="DK653" i="15"/>
  <c r="DK648" i="15"/>
  <c r="DK688" i="15"/>
  <c r="DK645" i="15"/>
  <c r="DK690" i="15"/>
  <c r="DK691" i="15"/>
  <c r="DK683" i="15"/>
  <c r="DK676" i="15"/>
  <c r="CK1099" i="15"/>
  <c r="CO1099" i="15"/>
  <c r="CT1099" i="15" s="1"/>
  <c r="CJ1098" i="15"/>
  <c r="CK1100" i="15"/>
  <c r="CO1100" i="15"/>
  <c r="CT1100" i="15" s="1"/>
  <c r="AH541" i="15"/>
  <c r="AK541" i="15" s="1"/>
  <c r="AL541" i="15" s="1"/>
  <c r="AJ540" i="15"/>
  <c r="AK540" i="15" s="1"/>
  <c r="AL540" i="15" s="1"/>
  <c r="AG543" i="15"/>
  <c r="AG543" i="17"/>
  <c r="DK632" i="15"/>
  <c r="DK626" i="15"/>
  <c r="DK603" i="15"/>
  <c r="DK625" i="15"/>
  <c r="DK624" i="15"/>
  <c r="DK586" i="15"/>
  <c r="DK592" i="15"/>
  <c r="DK591" i="15"/>
  <c r="DK616" i="15"/>
  <c r="DK637" i="15"/>
  <c r="DK582" i="15"/>
  <c r="DK584" i="15"/>
  <c r="AO542" i="17"/>
  <c r="DK614" i="15"/>
  <c r="DK615" i="15"/>
  <c r="DK585" i="15"/>
  <c r="DK587" i="15"/>
  <c r="DK618" i="15"/>
  <c r="DK633" i="15"/>
  <c r="DK627" i="15"/>
  <c r="DK599" i="15"/>
  <c r="DK620" i="15"/>
  <c r="DK575" i="15"/>
  <c r="DK581" i="15"/>
  <c r="DK598" i="15"/>
  <c r="DK607" i="15"/>
  <c r="DK579" i="15"/>
  <c r="DK622" i="15"/>
  <c r="DK631" i="15"/>
  <c r="DK577" i="15"/>
  <c r="DK639" i="15"/>
  <c r="DK590" i="15"/>
  <c r="DK606" i="15"/>
  <c r="DK574" i="15"/>
  <c r="DK635" i="15"/>
  <c r="DK640" i="15"/>
  <c r="DK634" i="15"/>
  <c r="DK621" i="15"/>
  <c r="DK604" i="15"/>
  <c r="DK600" i="15"/>
  <c r="DK611" i="15"/>
  <c r="DK580" i="15"/>
  <c r="DK629" i="15"/>
  <c r="DK594" i="15"/>
  <c r="DK601" i="15"/>
  <c r="DK630" i="15"/>
  <c r="AP542" i="17"/>
  <c r="DK593" i="15"/>
  <c r="DK609" i="15"/>
  <c r="DK608" i="15"/>
  <c r="DK619" i="15"/>
  <c r="DK596" i="15"/>
  <c r="DK572" i="15"/>
  <c r="DK595" i="15"/>
  <c r="DK628" i="15"/>
  <c r="DK636" i="15"/>
  <c r="DK589" i="15"/>
  <c r="AP542" i="15"/>
  <c r="DK623" i="15"/>
  <c r="DK605" i="15"/>
  <c r="DK578" i="15"/>
  <c r="DK602" i="15"/>
  <c r="DK597" i="15"/>
  <c r="DK613" i="15"/>
  <c r="DK588" i="15"/>
  <c r="DK617" i="15"/>
  <c r="DK610" i="15"/>
  <c r="DK583" i="15"/>
  <c r="DK612" i="15"/>
  <c r="DK638" i="15"/>
  <c r="DK576" i="15"/>
  <c r="DK571" i="15"/>
  <c r="DK573" i="15"/>
  <c r="AO543" i="15"/>
  <c r="DP586" i="15" l="1"/>
  <c r="DP35" i="15" s="1"/>
  <c r="DQ35" i="15" s="1"/>
  <c r="DP591" i="15"/>
  <c r="DP40" i="15" s="1"/>
  <c r="DQ40" i="15" s="1"/>
  <c r="DP592" i="15"/>
  <c r="DP41" i="15" s="1"/>
  <c r="DQ41" i="15" s="1"/>
  <c r="DP585" i="15"/>
  <c r="DP34" i="15" s="1"/>
  <c r="DQ34" i="15" s="1"/>
  <c r="DP574" i="15"/>
  <c r="DP23" i="15" s="1"/>
  <c r="DQ23" i="15" s="1"/>
  <c r="DP578" i="15"/>
  <c r="DP27" i="15" s="1"/>
  <c r="DQ27" i="15" s="1"/>
  <c r="DP589" i="15"/>
  <c r="DP38" i="15" s="1"/>
  <c r="DQ38" i="15" s="1"/>
  <c r="DP593" i="15"/>
  <c r="DP42" i="15" s="1"/>
  <c r="DQ42" i="15" s="1"/>
  <c r="DP577" i="15"/>
  <c r="DP26" i="15" s="1"/>
  <c r="DQ26" i="15" s="1"/>
  <c r="DP571" i="15"/>
  <c r="DP20" i="15" s="1"/>
  <c r="DQ20" i="15" s="1"/>
  <c r="DP596" i="15"/>
  <c r="DP45" i="15" s="1"/>
  <c r="DQ45" i="15" s="1"/>
  <c r="DP579" i="15"/>
  <c r="DP28" i="15" s="1"/>
  <c r="DQ28" i="15" s="1"/>
  <c r="DP573" i="15"/>
  <c r="DP22" i="15" s="1"/>
  <c r="DQ22" i="15" s="1"/>
  <c r="DP576" i="15"/>
  <c r="DP25" i="15" s="1"/>
  <c r="DQ25" i="15" s="1"/>
  <c r="DP590" i="15"/>
  <c r="DP39" i="15" s="1"/>
  <c r="DQ39" i="15" s="1"/>
  <c r="DP575" i="15"/>
  <c r="DP24" i="15" s="1"/>
  <c r="DQ24" i="15" s="1"/>
  <c r="DP582" i="15"/>
  <c r="DP31" i="15" s="1"/>
  <c r="DQ31" i="15" s="1"/>
  <c r="DP594" i="15"/>
  <c r="DP43" i="15" s="1"/>
  <c r="DQ43" i="15" s="1"/>
  <c r="DP583" i="15"/>
  <c r="DP32" i="15" s="1"/>
  <c r="DQ32" i="15" s="1"/>
  <c r="DP580" i="15"/>
  <c r="DP29" i="15" s="1"/>
  <c r="DQ29" i="15" s="1"/>
  <c r="DP595" i="15"/>
  <c r="DP44" i="15" s="1"/>
  <c r="DQ44" i="15" s="1"/>
  <c r="DP572" i="15"/>
  <c r="DP21" i="15" s="1"/>
  <c r="DQ21" i="15" s="1"/>
  <c r="DP588" i="15"/>
  <c r="DP37" i="15" s="1"/>
  <c r="DQ37" i="15" s="1"/>
  <c r="DP587" i="15"/>
  <c r="DP36" i="15" s="1"/>
  <c r="DQ36" i="15" s="1"/>
  <c r="DP584" i="15"/>
  <c r="DP33" i="15" s="1"/>
  <c r="DQ33" i="15" s="1"/>
  <c r="DP581" i="15"/>
  <c r="DP30" i="15" s="1"/>
  <c r="DQ30" i="15" s="1"/>
  <c r="DP598" i="15"/>
  <c r="DP47" i="15" s="1"/>
  <c r="DP597" i="15"/>
  <c r="DP46" i="15" s="1"/>
  <c r="DQ46" i="15" s="1"/>
  <c r="DP624" i="15"/>
  <c r="DP73" i="15" s="1"/>
  <c r="DQ73" i="15" s="1"/>
  <c r="DP645" i="15"/>
  <c r="DP94" i="15" s="1"/>
  <c r="DQ94" i="15" s="1"/>
  <c r="DR94" i="15" s="1"/>
  <c r="DP609" i="15"/>
  <c r="DP58" i="15" s="1"/>
  <c r="DQ58" i="15" s="1"/>
  <c r="DP603" i="15"/>
  <c r="DP52" i="15" s="1"/>
  <c r="DQ52" i="15" s="1"/>
  <c r="DP611" i="15"/>
  <c r="DP60" i="15" s="1"/>
  <c r="DQ60" i="15" s="1"/>
  <c r="DP690" i="15"/>
  <c r="DP139" i="15" s="1"/>
  <c r="DQ139" i="15" s="1"/>
  <c r="DR139" i="15" s="1"/>
  <c r="DP653" i="15"/>
  <c r="DP102" i="15" s="1"/>
  <c r="DQ102" i="15" s="1"/>
  <c r="DR102" i="15" s="1"/>
  <c r="DP664" i="15"/>
  <c r="DP113" i="15" s="1"/>
  <c r="DQ113" i="15" s="1"/>
  <c r="DR113" i="15" s="1"/>
  <c r="DP638" i="15"/>
  <c r="DP87" i="15" s="1"/>
  <c r="DQ87" i="15" s="1"/>
  <c r="DP640" i="15"/>
  <c r="DP89" i="15" s="1"/>
  <c r="DQ89" i="15" s="1"/>
  <c r="DR89" i="15" s="1"/>
  <c r="DP602" i="15"/>
  <c r="DP51" i="15" s="1"/>
  <c r="DQ51" i="15" s="1"/>
  <c r="DP606" i="15"/>
  <c r="DP55" i="15" s="1"/>
  <c r="DQ55" i="15" s="1"/>
  <c r="DP642" i="15"/>
  <c r="DP91" i="15" s="1"/>
  <c r="DQ91" i="15" s="1"/>
  <c r="DR91" i="15" s="1"/>
  <c r="DP676" i="15"/>
  <c r="DP125" i="15" s="1"/>
  <c r="DQ125" i="15" s="1"/>
  <c r="DR125" i="15" s="1"/>
  <c r="DP682" i="15"/>
  <c r="DP131" i="15" s="1"/>
  <c r="DQ131" i="15" s="1"/>
  <c r="DR131" i="15" s="1"/>
  <c r="DP692" i="15"/>
  <c r="DP141" i="15" s="1"/>
  <c r="DQ141" i="15" s="1"/>
  <c r="DR141" i="15" s="1"/>
  <c r="DP667" i="15"/>
  <c r="DP116" i="15" s="1"/>
  <c r="DQ116" i="15" s="1"/>
  <c r="DR116" i="15" s="1"/>
  <c r="DP670" i="15"/>
  <c r="DP119" i="15" s="1"/>
  <c r="DQ119" i="15" s="1"/>
  <c r="DR119" i="15" s="1"/>
  <c r="DP684" i="15"/>
  <c r="DP133" i="15" s="1"/>
  <c r="DQ133" i="15" s="1"/>
  <c r="DR133" i="15" s="1"/>
  <c r="DP641" i="15"/>
  <c r="DP90" i="15" s="1"/>
  <c r="DQ90" i="15" s="1"/>
  <c r="DR90" i="15" s="1"/>
  <c r="DP661" i="15"/>
  <c r="DP110" i="15" s="1"/>
  <c r="DQ110" i="15" s="1"/>
  <c r="DR110" i="15" s="1"/>
  <c r="DP615" i="15"/>
  <c r="DP64" i="15" s="1"/>
  <c r="DQ64" i="15" s="1"/>
  <c r="DP675" i="15"/>
  <c r="DP124" i="15" s="1"/>
  <c r="DQ124" i="15" s="1"/>
  <c r="DR124" i="15" s="1"/>
  <c r="DP616" i="15"/>
  <c r="DP65" i="15" s="1"/>
  <c r="DQ65" i="15" s="1"/>
  <c r="DP663" i="15"/>
  <c r="DP112" i="15" s="1"/>
  <c r="DQ112" i="15" s="1"/>
  <c r="DR112" i="15" s="1"/>
  <c r="DP656" i="15"/>
  <c r="DP105" i="15" s="1"/>
  <c r="DQ105" i="15" s="1"/>
  <c r="DR105" i="15" s="1"/>
  <c r="DP632" i="15"/>
  <c r="DP81" i="15" s="1"/>
  <c r="DQ81" i="15" s="1"/>
  <c r="DP629" i="15"/>
  <c r="DP78" i="15" s="1"/>
  <c r="DQ78" i="15" s="1"/>
  <c r="DP680" i="15"/>
  <c r="DP129" i="15" s="1"/>
  <c r="DQ129" i="15" s="1"/>
  <c r="DR129" i="15" s="1"/>
  <c r="DP679" i="15"/>
  <c r="DP128" i="15" s="1"/>
  <c r="DQ128" i="15" s="1"/>
  <c r="DR128" i="15" s="1"/>
  <c r="DP652" i="15"/>
  <c r="DP101" i="15" s="1"/>
  <c r="DQ101" i="15" s="1"/>
  <c r="DR101" i="15" s="1"/>
  <c r="DP655" i="15"/>
  <c r="DP104" i="15" s="1"/>
  <c r="DQ104" i="15" s="1"/>
  <c r="DR104" i="15" s="1"/>
  <c r="DP693" i="15"/>
  <c r="DP142" i="15" s="1"/>
  <c r="DQ142" i="15" s="1"/>
  <c r="DR142" i="15" s="1"/>
  <c r="DP669" i="15"/>
  <c r="DP118" i="15" s="1"/>
  <c r="DQ118" i="15" s="1"/>
  <c r="DR118" i="15" s="1"/>
  <c r="DP683" i="15"/>
  <c r="DP132" i="15" s="1"/>
  <c r="DQ132" i="15" s="1"/>
  <c r="DR132" i="15" s="1"/>
  <c r="DP620" i="15"/>
  <c r="DP69" i="15" s="1"/>
  <c r="DQ69" i="15" s="1"/>
  <c r="DP673" i="15"/>
  <c r="DP122" i="15" s="1"/>
  <c r="DQ122" i="15" s="1"/>
  <c r="DR122" i="15" s="1"/>
  <c r="DP677" i="15"/>
  <c r="DP126" i="15" s="1"/>
  <c r="DQ126" i="15" s="1"/>
  <c r="DR126" i="15" s="1"/>
  <c r="DP660" i="15"/>
  <c r="DP109" i="15" s="1"/>
  <c r="DQ109" i="15" s="1"/>
  <c r="DR109" i="15" s="1"/>
  <c r="DP678" i="15"/>
  <c r="DP127" i="15" s="1"/>
  <c r="DQ127" i="15" s="1"/>
  <c r="DR127" i="15" s="1"/>
  <c r="DP658" i="15"/>
  <c r="DP107" i="15" s="1"/>
  <c r="DQ107" i="15" s="1"/>
  <c r="DR107" i="15" s="1"/>
  <c r="DP613" i="15"/>
  <c r="DP62" i="15" s="1"/>
  <c r="DQ62" i="15" s="1"/>
  <c r="DP674" i="15"/>
  <c r="DP123" i="15" s="1"/>
  <c r="DQ123" i="15" s="1"/>
  <c r="DR123" i="15" s="1"/>
  <c r="DP659" i="15"/>
  <c r="DP108" i="15" s="1"/>
  <c r="DQ108" i="15" s="1"/>
  <c r="DR108" i="15" s="1"/>
  <c r="DP637" i="15"/>
  <c r="DP86" i="15" s="1"/>
  <c r="DQ86" i="15" s="1"/>
  <c r="DP627" i="15"/>
  <c r="DP76" i="15" s="1"/>
  <c r="DQ76" i="15" s="1"/>
  <c r="DP639" i="15"/>
  <c r="DP88" i="15" s="1"/>
  <c r="DQ88" i="15" s="1"/>
  <c r="DP686" i="15"/>
  <c r="DP135" i="15" s="1"/>
  <c r="DQ135" i="15" s="1"/>
  <c r="DR135" i="15" s="1"/>
  <c r="DP662" i="15"/>
  <c r="DP111" i="15" s="1"/>
  <c r="DQ111" i="15" s="1"/>
  <c r="DR111" i="15" s="1"/>
  <c r="DP647" i="15"/>
  <c r="DP96" i="15" s="1"/>
  <c r="DQ96" i="15" s="1"/>
  <c r="DR96" i="15" s="1"/>
  <c r="DP630" i="15"/>
  <c r="DP79" i="15" s="1"/>
  <c r="DQ79" i="15" s="1"/>
  <c r="DP644" i="15"/>
  <c r="DP93" i="15" s="1"/>
  <c r="DQ93" i="15" s="1"/>
  <c r="DR93" i="15" s="1"/>
  <c r="DP671" i="15"/>
  <c r="DP120" i="15" s="1"/>
  <c r="DQ120" i="15" s="1"/>
  <c r="DR120" i="15" s="1"/>
  <c r="DP696" i="15"/>
  <c r="DP145" i="15" s="1"/>
  <c r="DQ145" i="15" s="1"/>
  <c r="DR145" i="15" s="1"/>
  <c r="DP605" i="15"/>
  <c r="DP54" i="15" s="1"/>
  <c r="DQ54" i="15" s="1"/>
  <c r="DP694" i="15"/>
  <c r="DP143" i="15" s="1"/>
  <c r="DQ143" i="15" s="1"/>
  <c r="DR143" i="15" s="1"/>
  <c r="DP623" i="15"/>
  <c r="DP72" i="15" s="1"/>
  <c r="DQ72" i="15" s="1"/>
  <c r="DP648" i="15"/>
  <c r="DP97" i="15" s="1"/>
  <c r="DQ97" i="15" s="1"/>
  <c r="DR97" i="15" s="1"/>
  <c r="DP601" i="15"/>
  <c r="DP50" i="15" s="1"/>
  <c r="DQ50" i="15" s="1"/>
  <c r="DP691" i="15"/>
  <c r="DP140" i="15" s="1"/>
  <c r="DQ140" i="15" s="1"/>
  <c r="DR140" i="15" s="1"/>
  <c r="DP688" i="15"/>
  <c r="DP137" i="15" s="1"/>
  <c r="DQ137" i="15" s="1"/>
  <c r="DR137" i="15" s="1"/>
  <c r="DP610" i="15"/>
  <c r="DP59" i="15" s="1"/>
  <c r="DQ59" i="15" s="1"/>
  <c r="DP626" i="15"/>
  <c r="DP75" i="15" s="1"/>
  <c r="DQ75" i="15" s="1"/>
  <c r="DP649" i="15"/>
  <c r="DP98" i="15" s="1"/>
  <c r="DQ98" i="15" s="1"/>
  <c r="DR98" i="15" s="1"/>
  <c r="DP657" i="15"/>
  <c r="DP106" i="15" s="1"/>
  <c r="DQ106" i="15" s="1"/>
  <c r="DR106" i="15" s="1"/>
  <c r="DP668" i="15"/>
  <c r="DP117" i="15" s="1"/>
  <c r="DQ117" i="15" s="1"/>
  <c r="DR117" i="15" s="1"/>
  <c r="DP635" i="15"/>
  <c r="DP84" i="15" s="1"/>
  <c r="DQ84" i="15" s="1"/>
  <c r="DP618" i="15"/>
  <c r="DP67" i="15" s="1"/>
  <c r="DQ67" i="15" s="1"/>
  <c r="DP646" i="15"/>
  <c r="DP95" i="15" s="1"/>
  <c r="DQ95" i="15" s="1"/>
  <c r="DR95" i="15" s="1"/>
  <c r="DP628" i="15"/>
  <c r="DP77" i="15" s="1"/>
  <c r="DQ77" i="15" s="1"/>
  <c r="DP643" i="15"/>
  <c r="DP92" i="15" s="1"/>
  <c r="DQ92" i="15" s="1"/>
  <c r="DR92" i="15" s="1"/>
  <c r="DP666" i="15"/>
  <c r="DP115" i="15" s="1"/>
  <c r="DQ115" i="15" s="1"/>
  <c r="DR115" i="15" s="1"/>
  <c r="DP665" i="15"/>
  <c r="DP114" i="15" s="1"/>
  <c r="DQ114" i="15" s="1"/>
  <c r="DR114" i="15" s="1"/>
  <c r="DP695" i="15"/>
  <c r="DP144" i="15" s="1"/>
  <c r="DQ144" i="15" s="1"/>
  <c r="DR144" i="15" s="1"/>
  <c r="DP631" i="15"/>
  <c r="DP80" i="15" s="1"/>
  <c r="DQ80" i="15" s="1"/>
  <c r="DP604" i="15"/>
  <c r="DP53" i="15" s="1"/>
  <c r="DQ53" i="15" s="1"/>
  <c r="DP654" i="15"/>
  <c r="DP103" i="15" s="1"/>
  <c r="DQ103" i="15" s="1"/>
  <c r="DR103" i="15" s="1"/>
  <c r="DP617" i="15"/>
  <c r="DP66" i="15" s="1"/>
  <c r="DQ66" i="15" s="1"/>
  <c r="DP689" i="15"/>
  <c r="DP138" i="15" s="1"/>
  <c r="DQ138" i="15" s="1"/>
  <c r="DR138" i="15" s="1"/>
  <c r="DP608" i="15"/>
  <c r="DP57" i="15" s="1"/>
  <c r="DQ57" i="15" s="1"/>
  <c r="DP634" i="15"/>
  <c r="DP83" i="15" s="1"/>
  <c r="DQ83" i="15" s="1"/>
  <c r="DP687" i="15"/>
  <c r="DP136" i="15" s="1"/>
  <c r="DQ136" i="15" s="1"/>
  <c r="DR136" i="15" s="1"/>
  <c r="DP621" i="15"/>
  <c r="DP70" i="15" s="1"/>
  <c r="DQ70" i="15" s="1"/>
  <c r="DP650" i="15"/>
  <c r="DP99" i="15" s="1"/>
  <c r="DQ99" i="15" s="1"/>
  <c r="DR99" i="15" s="1"/>
  <c r="DP619" i="15"/>
  <c r="DP68" i="15" s="1"/>
  <c r="DQ68" i="15" s="1"/>
  <c r="DP651" i="15"/>
  <c r="DP100" i="15" s="1"/>
  <c r="DQ100" i="15" s="1"/>
  <c r="DR100" i="15" s="1"/>
  <c r="DP681" i="15"/>
  <c r="DP130" i="15" s="1"/>
  <c r="DQ130" i="15" s="1"/>
  <c r="DR130" i="15" s="1"/>
  <c r="DP600" i="15"/>
  <c r="DP49" i="15" s="1"/>
  <c r="DQ49" i="15" s="1"/>
  <c r="DP625" i="15"/>
  <c r="DP74" i="15" s="1"/>
  <c r="DQ74" i="15" s="1"/>
  <c r="DP607" i="15"/>
  <c r="DP56" i="15" s="1"/>
  <c r="DQ56" i="15" s="1"/>
  <c r="DP614" i="15"/>
  <c r="DP63" i="15" s="1"/>
  <c r="DQ63" i="15" s="1"/>
  <c r="DP685" i="15"/>
  <c r="DP134" i="15" s="1"/>
  <c r="DQ134" i="15" s="1"/>
  <c r="DR134" i="15" s="1"/>
  <c r="DP636" i="15"/>
  <c r="DP85" i="15" s="1"/>
  <c r="DQ85" i="15" s="1"/>
  <c r="DP672" i="15"/>
  <c r="DP121" i="15" s="1"/>
  <c r="DQ121" i="15" s="1"/>
  <c r="DR121" i="15" s="1"/>
  <c r="DP622" i="15"/>
  <c r="DP71" i="15" s="1"/>
  <c r="DQ71" i="15" s="1"/>
  <c r="DP633" i="15"/>
  <c r="DP82" i="15" s="1"/>
  <c r="DQ82" i="15" s="1"/>
  <c r="DP612" i="15"/>
  <c r="DP61" i="15" s="1"/>
  <c r="DQ61" i="15" s="1"/>
  <c r="DP599" i="15"/>
  <c r="DP48" i="15" s="1"/>
  <c r="DQ48" i="15" s="1"/>
  <c r="DQ47" i="15"/>
  <c r="CK1098" i="15"/>
  <c r="CO1098" i="15"/>
  <c r="CT1098" i="15" s="1"/>
  <c r="CJ1097" i="15"/>
  <c r="AM538" i="15"/>
  <c r="AN538" i="15" s="1"/>
  <c r="AH539" i="15"/>
  <c r="AK539" i="15" s="1"/>
  <c r="AL539" i="15" s="1"/>
  <c r="AJ538" i="15"/>
  <c r="AG544" i="15"/>
  <c r="AG544" i="17"/>
  <c r="AP543" i="17"/>
  <c r="AO543" i="17"/>
  <c r="AP543" i="15"/>
  <c r="AO544" i="15"/>
  <c r="CK1097" i="15" l="1"/>
  <c r="CO1097" i="15"/>
  <c r="CT1097" i="15" s="1"/>
  <c r="AJ539" i="15"/>
  <c r="AM539" i="15"/>
  <c r="AN539" i="15" s="1"/>
  <c r="AM540" i="15"/>
  <c r="AN540" i="15" s="1"/>
  <c r="AH542" i="15"/>
  <c r="AK542" i="15" s="1"/>
  <c r="AL542" i="15" s="1"/>
  <c r="AM541" i="15"/>
  <c r="AN541" i="15" s="1"/>
  <c r="AJ541" i="15"/>
  <c r="AG545" i="15"/>
  <c r="AG545" i="17"/>
  <c r="AI548" i="15"/>
  <c r="AO544" i="17"/>
  <c r="AI545" i="15"/>
  <c r="AI547" i="15"/>
  <c r="AP544" i="15"/>
  <c r="AP544" i="17"/>
  <c r="AO545" i="15"/>
  <c r="AI546" i="15"/>
  <c r="AI549" i="15"/>
  <c r="AH543" i="15" l="1"/>
  <c r="AK543" i="15" s="1"/>
  <c r="AL543" i="15" s="1"/>
  <c r="AJ542" i="15"/>
  <c r="AM542" i="15"/>
  <c r="AN542" i="15" s="1"/>
  <c r="AG546" i="17"/>
  <c r="AG546" i="15"/>
  <c r="AI548" i="17"/>
  <c r="AP545" i="15"/>
  <c r="AP545" i="17"/>
  <c r="AH545" i="17"/>
  <c r="AI545" i="17"/>
  <c r="AO545" i="17"/>
  <c r="AO546" i="15"/>
  <c r="AH545" i="15"/>
  <c r="AI547" i="17"/>
  <c r="AI546" i="17"/>
  <c r="AI549" i="17"/>
  <c r="AL549" i="17" l="1"/>
  <c r="AM549" i="17" s="1"/>
  <c r="AN549" i="17" s="1"/>
  <c r="AL547" i="17"/>
  <c r="AM547" i="17" s="1"/>
  <c r="AN547" i="17" s="1"/>
  <c r="AH548" i="17"/>
  <c r="AL545" i="17"/>
  <c r="AM545" i="17" s="1"/>
  <c r="AN545" i="17" s="1"/>
  <c r="AH546" i="17"/>
  <c r="AL546" i="17"/>
  <c r="AM546" i="17" s="1"/>
  <c r="AN546" i="17" s="1"/>
  <c r="AH547" i="17"/>
  <c r="AH549" i="17"/>
  <c r="AL548" i="17"/>
  <c r="AM548" i="17" s="1"/>
  <c r="AN548" i="17" s="1"/>
  <c r="AG547" i="15"/>
  <c r="AG547" i="17"/>
  <c r="AO546" i="17"/>
  <c r="AP546" i="15"/>
  <c r="AP546" i="17"/>
  <c r="AO547" i="15"/>
  <c r="AH544" i="15" l="1"/>
  <c r="AK544" i="15" s="1"/>
  <c r="AL544" i="15" s="1"/>
  <c r="AM543" i="15"/>
  <c r="AN543" i="15" s="1"/>
  <c r="AJ543" i="15"/>
  <c r="AJ545" i="15"/>
  <c r="AK545" i="15" s="1"/>
  <c r="AL545" i="15" s="1"/>
  <c r="AH546" i="15"/>
  <c r="AK546" i="15" s="1"/>
  <c r="AL546" i="15" s="1"/>
  <c r="AG548" i="17"/>
  <c r="AG548" i="15"/>
  <c r="AP547" i="17"/>
  <c r="AP547" i="15"/>
  <c r="AO548" i="15"/>
  <c r="AO547" i="17"/>
  <c r="AJ544" i="15" l="1"/>
  <c r="AM544" i="15"/>
  <c r="AN544" i="15" s="1"/>
  <c r="AM545" i="15"/>
  <c r="AN545" i="15" s="1"/>
  <c r="AG549" i="17"/>
  <c r="AG549" i="15"/>
  <c r="AP548" i="15"/>
  <c r="AO549" i="15"/>
  <c r="AO548" i="17"/>
  <c r="AP548" i="17"/>
  <c r="AM546" i="15" l="1"/>
  <c r="AN546" i="15" s="1"/>
  <c r="AH547" i="15"/>
  <c r="AK547" i="15" s="1"/>
  <c r="AL547" i="15" s="1"/>
  <c r="AJ546" i="15"/>
  <c r="AG550" i="17"/>
  <c r="AG550" i="15"/>
  <c r="AI551" i="15"/>
  <c r="AP549" i="17"/>
  <c r="AP549" i="15"/>
  <c r="AI554" i="15"/>
  <c r="AI553" i="15"/>
  <c r="AI550" i="15"/>
  <c r="AO549" i="17"/>
  <c r="AO550" i="15"/>
  <c r="AI552" i="15"/>
  <c r="AG551" i="15" l="1"/>
  <c r="AG551" i="17"/>
  <c r="AP550" i="15"/>
  <c r="AI552" i="17"/>
  <c r="AI554" i="17"/>
  <c r="AI551" i="17"/>
  <c r="AI553" i="17"/>
  <c r="AP550" i="17"/>
  <c r="AI550" i="17"/>
  <c r="AH550" i="17"/>
  <c r="AH550" i="15"/>
  <c r="AO550" i="17"/>
  <c r="AO551" i="15"/>
  <c r="AM547" i="15" l="1"/>
  <c r="AN547" i="15" s="1"/>
  <c r="AH548" i="15"/>
  <c r="AK548" i="15" s="1"/>
  <c r="AL548" i="15" s="1"/>
  <c r="AJ547" i="15"/>
  <c r="AL550" i="17"/>
  <c r="AM550" i="17" s="1"/>
  <c r="AN550" i="17" s="1"/>
  <c r="AH551" i="17"/>
  <c r="AH553" i="17"/>
  <c r="AL552" i="17"/>
  <c r="AM552" i="17" s="1"/>
  <c r="AN552" i="17" s="1"/>
  <c r="AL553" i="17"/>
  <c r="AM553" i="17" s="1"/>
  <c r="AN553" i="17" s="1"/>
  <c r="AH554" i="17"/>
  <c r="AL551" i="17"/>
  <c r="AM551" i="17" s="1"/>
  <c r="AN551" i="17" s="1"/>
  <c r="AH552" i="17"/>
  <c r="AL554" i="17"/>
  <c r="AM554" i="17" s="1"/>
  <c r="AN554" i="17" s="1"/>
  <c r="AG552" i="17"/>
  <c r="AG552" i="15"/>
  <c r="AP551" i="17"/>
  <c r="AO552" i="15"/>
  <c r="AP551" i="15"/>
  <c r="AO551" i="17"/>
  <c r="AJ550" i="15" l="1"/>
  <c r="AK550" i="15" s="1"/>
  <c r="AL550" i="15" s="1"/>
  <c r="AH551" i="15"/>
  <c r="AK551" i="15" s="1"/>
  <c r="AL551" i="15" s="1"/>
  <c r="AG553" i="15"/>
  <c r="AG553" i="17"/>
  <c r="AP552" i="17"/>
  <c r="AO552" i="17"/>
  <c r="AP552" i="15"/>
  <c r="AO553" i="15"/>
  <c r="AH549" i="15" l="1"/>
  <c r="AK549" i="15" s="1"/>
  <c r="AL549" i="15" s="1"/>
  <c r="AM548" i="15"/>
  <c r="AN548" i="15" s="1"/>
  <c r="AJ548" i="15"/>
  <c r="AG554" i="17"/>
  <c r="AG554" i="15"/>
  <c r="AO554" i="15"/>
  <c r="AP553" i="15"/>
  <c r="AO553" i="17"/>
  <c r="AP553" i="17"/>
  <c r="AM551" i="15" l="1"/>
  <c r="AN551" i="15" s="1"/>
  <c r="AH552" i="15"/>
  <c r="AK552" i="15" s="1"/>
  <c r="AL552" i="15" s="1"/>
  <c r="AJ551" i="15"/>
  <c r="AM549" i="15"/>
  <c r="AN549" i="15" s="1"/>
  <c r="AJ549" i="15"/>
  <c r="AM550" i="15"/>
  <c r="AN550" i="15" s="1"/>
  <c r="AG555" i="15"/>
  <c r="AG555" i="17"/>
  <c r="AO554" i="17"/>
  <c r="AP554" i="17"/>
  <c r="AI555" i="15"/>
  <c r="AP554" i="15"/>
  <c r="AI557" i="15"/>
  <c r="AG556" i="17" l="1"/>
  <c r="AG556" i="15"/>
  <c r="AI556" i="15"/>
  <c r="AI558" i="15"/>
  <c r="AP555" i="17"/>
  <c r="AO556" i="15"/>
  <c r="AI555" i="17"/>
  <c r="AI559" i="15"/>
  <c r="AH555" i="17"/>
  <c r="AI557" i="17"/>
  <c r="AO555" i="17"/>
  <c r="AO555" i="15"/>
  <c r="AI558" i="17"/>
  <c r="AI556" i="17"/>
  <c r="AP555" i="15"/>
  <c r="AH555" i="15"/>
  <c r="AI559" i="17"/>
  <c r="AM552" i="15" l="1"/>
  <c r="AN552" i="15" s="1"/>
  <c r="AH553" i="15"/>
  <c r="AK553" i="15" s="1"/>
  <c r="AL553" i="15" s="1"/>
  <c r="AJ552" i="15"/>
  <c r="AL559" i="17"/>
  <c r="AM559" i="17" s="1"/>
  <c r="AN559" i="17" s="1"/>
  <c r="AL558" i="17"/>
  <c r="AM558" i="17" s="1"/>
  <c r="AN558" i="17" s="1"/>
  <c r="AH559" i="17"/>
  <c r="AL557" i="17"/>
  <c r="AM557" i="17" s="1"/>
  <c r="AN557" i="17" s="1"/>
  <c r="AH558" i="17"/>
  <c r="AL555" i="17"/>
  <c r="AM555" i="17" s="1"/>
  <c r="AN555" i="17" s="1"/>
  <c r="AH556" i="17"/>
  <c r="AH557" i="17"/>
  <c r="AL556" i="17"/>
  <c r="AM556" i="17" s="1"/>
  <c r="AN556" i="17" s="1"/>
  <c r="AG557" i="15"/>
  <c r="AG557" i="17"/>
  <c r="AO556" i="17"/>
  <c r="AP556" i="15"/>
  <c r="AO557" i="15"/>
  <c r="AP556" i="17"/>
  <c r="AJ555" i="15" l="1"/>
  <c r="AK555" i="15" s="1"/>
  <c r="AL555" i="15" s="1"/>
  <c r="AH556" i="15"/>
  <c r="AK556" i="15" s="1"/>
  <c r="AL556" i="15" s="1"/>
  <c r="AG558" i="17"/>
  <c r="AG558" i="15"/>
  <c r="AO558" i="15"/>
  <c r="AO557" i="17"/>
  <c r="AP557" i="15"/>
  <c r="AP557" i="17"/>
  <c r="AH554" i="15" l="1"/>
  <c r="AK554" i="15" s="1"/>
  <c r="AL554" i="15" s="1"/>
  <c r="AM553" i="15"/>
  <c r="AN553" i="15" s="1"/>
  <c r="AJ553" i="15"/>
  <c r="AG559" i="15"/>
  <c r="AG559" i="17"/>
  <c r="AO559" i="15"/>
  <c r="AP558" i="15"/>
  <c r="AO558" i="17"/>
  <c r="AP558" i="17"/>
  <c r="AH557" i="15" l="1"/>
  <c r="AK557" i="15" s="1"/>
  <c r="AL557" i="15" s="1"/>
  <c r="AM556" i="15"/>
  <c r="AN556" i="15" s="1"/>
  <c r="AJ556" i="15"/>
  <c r="AJ554" i="15"/>
  <c r="AM554" i="15"/>
  <c r="AN554" i="15" s="1"/>
  <c r="AM555" i="15"/>
  <c r="AN555" i="15" s="1"/>
  <c r="AG560" i="17"/>
  <c r="AG560" i="15"/>
  <c r="AP559" i="17"/>
  <c r="AO559" i="17"/>
  <c r="AP559" i="15"/>
  <c r="AI563" i="15"/>
  <c r="AO560" i="15"/>
  <c r="AI562" i="15"/>
  <c r="AI564" i="15"/>
  <c r="AG561" i="15" l="1"/>
  <c r="AG561" i="17"/>
  <c r="AH560" i="15"/>
  <c r="AI563" i="17"/>
  <c r="AO560" i="17"/>
  <c r="AI561" i="17"/>
  <c r="AP560" i="15"/>
  <c r="AI561" i="15"/>
  <c r="AH560" i="17"/>
  <c r="AO561" i="15"/>
  <c r="AI564" i="17"/>
  <c r="AI562" i="17"/>
  <c r="AI560" i="15"/>
  <c r="AP560" i="17"/>
  <c r="AI560" i="17"/>
  <c r="AH558" i="15" l="1"/>
  <c r="AK558" i="15" s="1"/>
  <c r="AL558" i="15" s="1"/>
  <c r="AM557" i="15"/>
  <c r="AN557" i="15" s="1"/>
  <c r="AJ557" i="15"/>
  <c r="AL562" i="17"/>
  <c r="AM562" i="17" s="1"/>
  <c r="AN562" i="17" s="1"/>
  <c r="AH563" i="17"/>
  <c r="AH561" i="17"/>
  <c r="AL560" i="17"/>
  <c r="AM560" i="17" s="1"/>
  <c r="AN560" i="17" s="1"/>
  <c r="AL564" i="17"/>
  <c r="AM564" i="17" s="1"/>
  <c r="AL561" i="17"/>
  <c r="AM561" i="17" s="1"/>
  <c r="AN561" i="17" s="1"/>
  <c r="AH562" i="17"/>
  <c r="AL563" i="17"/>
  <c r="AM563" i="17" s="1"/>
  <c r="AN563" i="17" s="1"/>
  <c r="AH564" i="17"/>
  <c r="AG562" i="17"/>
  <c r="AG562" i="15"/>
  <c r="AO561" i="17"/>
  <c r="AP561" i="15"/>
  <c r="AO562" i="15"/>
  <c r="AP561" i="17"/>
  <c r="AJ560" i="15" l="1"/>
  <c r="AK560" i="15" s="1"/>
  <c r="AL560" i="15" s="1"/>
  <c r="AH561" i="15"/>
  <c r="AK561" i="15" s="1"/>
  <c r="AL561" i="15" s="1"/>
  <c r="AN564" i="17"/>
  <c r="AV39" i="17"/>
  <c r="AV74" i="17"/>
  <c r="AV85" i="17"/>
  <c r="AV41" i="17"/>
  <c r="AV76" i="17"/>
  <c r="AV26" i="17"/>
  <c r="AV37" i="17"/>
  <c r="AV72" i="17"/>
  <c r="AV23" i="17"/>
  <c r="AV49" i="17"/>
  <c r="AV68" i="17"/>
  <c r="AV25" i="17"/>
  <c r="AV51" i="17"/>
  <c r="AV86" i="17"/>
  <c r="AV65" i="17"/>
  <c r="AV84" i="17"/>
  <c r="AV67" i="17"/>
  <c r="AV29" i="17"/>
  <c r="AV32" i="17"/>
  <c r="AV43" i="17"/>
  <c r="AV78" i="17"/>
  <c r="AV34" i="17"/>
  <c r="AV61" i="17"/>
  <c r="AV55" i="17"/>
  <c r="AV90" i="17"/>
  <c r="AV20" i="17"/>
  <c r="AV57" i="17"/>
  <c r="AV91" i="17"/>
  <c r="AV42" i="17"/>
  <c r="AV53" i="17"/>
  <c r="AV88" i="17"/>
  <c r="AV44" i="17"/>
  <c r="AV22" i="17"/>
  <c r="AV58" i="17"/>
  <c r="AV69" i="17"/>
  <c r="AV60" i="17"/>
  <c r="AV36" i="17"/>
  <c r="AV63" i="17"/>
  <c r="AV54" i="17"/>
  <c r="AV48" i="17"/>
  <c r="AV59" i="17"/>
  <c r="AV50" i="17"/>
  <c r="AV77" i="17"/>
  <c r="AV71" i="17"/>
  <c r="AV46" i="17"/>
  <c r="AV73" i="17"/>
  <c r="AV31" i="17"/>
  <c r="AV87" i="17"/>
  <c r="AV30" i="17"/>
  <c r="AV62" i="17"/>
  <c r="AV89" i="17"/>
  <c r="AV45" i="17"/>
  <c r="AV81" i="17"/>
  <c r="AV24" i="17"/>
  <c r="AV56" i="17"/>
  <c r="AV83" i="17"/>
  <c r="AV33" i="17"/>
  <c r="AV52" i="17"/>
  <c r="AV79" i="17"/>
  <c r="AV35" i="17"/>
  <c r="AV70" i="17"/>
  <c r="AV64" i="17"/>
  <c r="AV75" i="17"/>
  <c r="AV21" i="17"/>
  <c r="AV66" i="17"/>
  <c r="AV28" i="17"/>
  <c r="AV80" i="17"/>
  <c r="AV27" i="17"/>
  <c r="AV47" i="17"/>
  <c r="AV82" i="17"/>
  <c r="AV38" i="17"/>
  <c r="AV40" i="17"/>
  <c r="AV93" i="17"/>
  <c r="AV92" i="17"/>
  <c r="AV94" i="17"/>
  <c r="AV99" i="17"/>
  <c r="AV98" i="17"/>
  <c r="AV95" i="17"/>
  <c r="AV97" i="17"/>
  <c r="AV96" i="17"/>
  <c r="AV102" i="17"/>
  <c r="AV103" i="17"/>
  <c r="AV104" i="17"/>
  <c r="AV101" i="17"/>
  <c r="AV100" i="17"/>
  <c r="AV107" i="17"/>
  <c r="AV106" i="17"/>
  <c r="AV105" i="17"/>
  <c r="AV109" i="17"/>
  <c r="AV108" i="17"/>
  <c r="AV110" i="17"/>
  <c r="AV113" i="17"/>
  <c r="AV114" i="17"/>
  <c r="AV112" i="17"/>
  <c r="AV111" i="17"/>
  <c r="AV115" i="17"/>
  <c r="AV116" i="17"/>
  <c r="AV119" i="17"/>
  <c r="AV118" i="17"/>
  <c r="AV117" i="17"/>
  <c r="AV124" i="17"/>
  <c r="AV120" i="17"/>
  <c r="AV122" i="17"/>
  <c r="AV121" i="17"/>
  <c r="AV123" i="17"/>
  <c r="AV128" i="17"/>
  <c r="AV129" i="17"/>
  <c r="AV125" i="17"/>
  <c r="AV126" i="17"/>
  <c r="AV127" i="17"/>
  <c r="AV134" i="17"/>
  <c r="AV130" i="17"/>
  <c r="AV132" i="17"/>
  <c r="AV133" i="17"/>
  <c r="AV131" i="17"/>
  <c r="AV136" i="17"/>
  <c r="AV138" i="17"/>
  <c r="AV137" i="17"/>
  <c r="AV139" i="17"/>
  <c r="AV135" i="17"/>
  <c r="AV140" i="17"/>
  <c r="AV142" i="17"/>
  <c r="AV141" i="17"/>
  <c r="AV143" i="17"/>
  <c r="AV144" i="17"/>
  <c r="AV146" i="17"/>
  <c r="AV149" i="17"/>
  <c r="AV148" i="17"/>
  <c r="AV145" i="17"/>
  <c r="AV147" i="17"/>
  <c r="AV150" i="17"/>
  <c r="AV152" i="17"/>
  <c r="AV151" i="17"/>
  <c r="AG563" i="15"/>
  <c r="AG563" i="17"/>
  <c r="AO562" i="17"/>
  <c r="AP562" i="17"/>
  <c r="AO563" i="15"/>
  <c r="AP562" i="15"/>
  <c r="AM558" i="15" l="1"/>
  <c r="AN558" i="15" s="1"/>
  <c r="AH559" i="15"/>
  <c r="AK559" i="15" s="1"/>
  <c r="AL559" i="15" s="1"/>
  <c r="AJ558" i="15"/>
  <c r="AW150" i="17"/>
  <c r="AY150" i="17"/>
  <c r="AX150" i="17"/>
  <c r="AY149" i="17"/>
  <c r="AW149" i="17"/>
  <c r="AX149" i="17"/>
  <c r="AY141" i="17"/>
  <c r="AW141" i="17"/>
  <c r="DL141" i="17"/>
  <c r="AX141" i="17"/>
  <c r="AW139" i="17"/>
  <c r="AY139" i="17"/>
  <c r="DL139" i="17"/>
  <c r="AX139" i="17"/>
  <c r="DL131" i="17"/>
  <c r="AY131" i="17"/>
  <c r="AY134" i="17"/>
  <c r="DL134" i="17"/>
  <c r="DL129" i="17"/>
  <c r="AY129" i="17"/>
  <c r="DL122" i="17"/>
  <c r="AY122" i="17"/>
  <c r="DL118" i="17"/>
  <c r="AY118" i="17"/>
  <c r="AY111" i="17"/>
  <c r="DL111" i="17"/>
  <c r="AY110" i="17"/>
  <c r="DL110" i="17"/>
  <c r="DL106" i="17"/>
  <c r="AY106" i="17"/>
  <c r="AY104" i="17"/>
  <c r="DL104" i="17"/>
  <c r="AY97" i="17"/>
  <c r="DL97" i="17"/>
  <c r="AY94" i="17"/>
  <c r="DL94" i="17"/>
  <c r="DL38" i="17"/>
  <c r="AY38" i="17"/>
  <c r="AY80" i="17"/>
  <c r="DL80" i="17"/>
  <c r="DL75" i="17"/>
  <c r="AY75" i="17"/>
  <c r="DL79" i="17"/>
  <c r="AY79" i="17"/>
  <c r="AY56" i="17"/>
  <c r="DL56" i="17"/>
  <c r="DL89" i="17"/>
  <c r="AY89" i="17"/>
  <c r="AY31" i="17"/>
  <c r="DL77" i="17"/>
  <c r="AY77" i="17"/>
  <c r="AY54" i="17"/>
  <c r="DL54" i="17"/>
  <c r="DL69" i="17"/>
  <c r="AY69" i="17"/>
  <c r="AY88" i="17"/>
  <c r="DL88" i="17"/>
  <c r="DL57" i="17"/>
  <c r="AY57" i="17"/>
  <c r="DL61" i="17"/>
  <c r="AY61" i="17"/>
  <c r="DL32" i="17"/>
  <c r="AY32" i="17"/>
  <c r="DL65" i="17"/>
  <c r="AY65" i="17"/>
  <c r="AY68" i="17"/>
  <c r="DL68" i="17"/>
  <c r="DL37" i="17"/>
  <c r="AY37" i="17"/>
  <c r="DL85" i="17"/>
  <c r="AY85" i="17"/>
  <c r="AG564" i="15"/>
  <c r="AX147" i="17"/>
  <c r="AY147" i="17"/>
  <c r="AW147" i="17"/>
  <c r="AX146" i="17"/>
  <c r="AW146" i="17"/>
  <c r="AY146" i="17"/>
  <c r="AY142" i="17"/>
  <c r="AW142" i="17"/>
  <c r="DL142" i="17"/>
  <c r="AX142" i="17"/>
  <c r="AY137" i="17"/>
  <c r="DL137" i="17"/>
  <c r="DL133" i="17"/>
  <c r="AY133" i="17"/>
  <c r="DL127" i="17"/>
  <c r="AY127" i="17"/>
  <c r="DL128" i="17"/>
  <c r="AY128" i="17"/>
  <c r="DL120" i="17"/>
  <c r="AY120" i="17"/>
  <c r="AY119" i="17"/>
  <c r="DL119" i="17"/>
  <c r="AY112" i="17"/>
  <c r="DL112" i="17"/>
  <c r="DL108" i="17"/>
  <c r="AY108" i="17"/>
  <c r="AY107" i="17"/>
  <c r="DL107" i="17"/>
  <c r="AY103" i="17"/>
  <c r="DL103" i="17"/>
  <c r="AY95" i="17"/>
  <c r="DL95" i="17"/>
  <c r="DL92" i="17"/>
  <c r="AY92" i="17"/>
  <c r="AY82" i="17"/>
  <c r="DL82" i="17"/>
  <c r="DM28" i="17"/>
  <c r="AY28" i="17"/>
  <c r="DP28" i="17" s="1"/>
  <c r="AY64" i="17"/>
  <c r="DL64" i="17"/>
  <c r="AY52" i="17"/>
  <c r="DL52" i="17"/>
  <c r="DM24" i="17"/>
  <c r="AY24" i="17"/>
  <c r="DP24" i="17" s="1"/>
  <c r="AY62" i="17"/>
  <c r="DL62" i="17"/>
  <c r="DL73" i="17"/>
  <c r="AY73" i="17"/>
  <c r="AY50" i="17"/>
  <c r="DL50" i="17"/>
  <c r="DL63" i="17"/>
  <c r="AY63" i="17"/>
  <c r="AY58" i="17"/>
  <c r="DL58" i="17"/>
  <c r="DL53" i="17"/>
  <c r="AY53" i="17"/>
  <c r="DM20" i="17"/>
  <c r="AW20" i="17"/>
  <c r="DN20" i="17" s="1"/>
  <c r="AX20" i="17"/>
  <c r="DO20" i="17" s="1"/>
  <c r="AY20" i="17"/>
  <c r="DP20" i="17" s="1"/>
  <c r="DL34" i="17"/>
  <c r="AY34" i="17"/>
  <c r="DM29" i="17"/>
  <c r="AY29" i="17"/>
  <c r="DP29" i="17" s="1"/>
  <c r="AY86" i="17"/>
  <c r="DL86" i="17"/>
  <c r="DL49" i="17"/>
  <c r="AY49" i="17"/>
  <c r="DM26" i="17"/>
  <c r="AY26" i="17"/>
  <c r="DP26" i="17" s="1"/>
  <c r="AY74" i="17"/>
  <c r="DL74" i="17"/>
  <c r="AY151" i="17"/>
  <c r="AW151" i="17"/>
  <c r="AX151" i="17"/>
  <c r="DM145" i="17"/>
  <c r="AY145" i="17"/>
  <c r="DP145" i="17" s="1"/>
  <c r="AW145" i="17"/>
  <c r="DN145" i="17" s="1"/>
  <c r="AX145" i="17"/>
  <c r="DO145" i="17" s="1"/>
  <c r="DL145" i="17"/>
  <c r="DV145" i="17" s="1"/>
  <c r="DL144" i="17"/>
  <c r="DV144" i="17" s="1"/>
  <c r="AX144" i="17"/>
  <c r="DO144" i="17" s="1"/>
  <c r="DM144" i="17"/>
  <c r="AW144" i="17"/>
  <c r="DN144" i="17" s="1"/>
  <c r="AY144" i="17"/>
  <c r="DP144" i="17" s="1"/>
  <c r="DL140" i="17"/>
  <c r="AX140" i="17"/>
  <c r="AW140" i="17"/>
  <c r="AY140" i="17"/>
  <c r="AX138" i="17"/>
  <c r="DL138" i="17"/>
  <c r="AY138" i="17"/>
  <c r="AW138" i="17"/>
  <c r="AY132" i="17"/>
  <c r="DL132" i="17"/>
  <c r="DL126" i="17"/>
  <c r="AY126" i="17"/>
  <c r="DL123" i="17"/>
  <c r="AY123" i="17"/>
  <c r="DL124" i="17"/>
  <c r="AY124" i="17"/>
  <c r="DL116" i="17"/>
  <c r="AY116" i="17"/>
  <c r="DL114" i="17"/>
  <c r="AY114" i="17"/>
  <c r="AY109" i="17"/>
  <c r="DL109" i="17"/>
  <c r="DL100" i="17"/>
  <c r="AY100" i="17"/>
  <c r="AY102" i="17"/>
  <c r="DL102" i="17"/>
  <c r="DL98" i="17"/>
  <c r="AY98" i="17"/>
  <c r="DL93" i="17"/>
  <c r="AY93" i="17"/>
  <c r="DL47" i="17"/>
  <c r="AY47" i="17"/>
  <c r="AY66" i="17"/>
  <c r="DL66" i="17"/>
  <c r="AY70" i="17"/>
  <c r="DL70" i="17"/>
  <c r="DL33" i="17"/>
  <c r="AY33" i="17"/>
  <c r="DL81" i="17"/>
  <c r="AY81" i="17"/>
  <c r="DM30" i="17"/>
  <c r="AY30" i="17"/>
  <c r="DP30" i="17" s="1"/>
  <c r="AY46" i="17"/>
  <c r="DL46" i="17"/>
  <c r="DL59" i="17"/>
  <c r="AY59" i="17"/>
  <c r="DL36" i="17"/>
  <c r="AY36" i="17"/>
  <c r="DM22" i="17"/>
  <c r="AY22" i="17"/>
  <c r="DP22" i="17" s="1"/>
  <c r="DL42" i="17"/>
  <c r="AY42" i="17"/>
  <c r="DL90" i="17"/>
  <c r="AY90" i="17"/>
  <c r="AY78" i="17"/>
  <c r="DL78" i="17"/>
  <c r="DL67" i="17"/>
  <c r="AY67" i="17"/>
  <c r="DL51" i="17"/>
  <c r="AY51" i="17"/>
  <c r="DM23" i="17"/>
  <c r="AY23" i="17"/>
  <c r="DP23" i="17" s="1"/>
  <c r="AY76" i="17"/>
  <c r="DL76" i="17"/>
  <c r="DL39" i="17"/>
  <c r="AY39" i="17"/>
  <c r="AG564" i="17"/>
  <c r="AW152" i="17"/>
  <c r="AY152" i="17"/>
  <c r="AX152" i="17"/>
  <c r="AX148" i="17"/>
  <c r="AW148" i="17"/>
  <c r="AY148" i="17"/>
  <c r="AY143" i="17"/>
  <c r="DP143" i="17" s="1"/>
  <c r="DM143" i="17"/>
  <c r="AW143" i="17"/>
  <c r="DN143" i="17" s="1"/>
  <c r="DL143" i="17"/>
  <c r="DV143" i="17" s="1"/>
  <c r="AX143" i="17"/>
  <c r="DO143" i="17" s="1"/>
  <c r="AY135" i="17"/>
  <c r="DL135" i="17"/>
  <c r="DL136" i="17"/>
  <c r="AY136" i="17"/>
  <c r="DL130" i="17"/>
  <c r="AY130" i="17"/>
  <c r="AY125" i="17"/>
  <c r="DL125" i="17"/>
  <c r="AY121" i="17"/>
  <c r="DL121" i="17"/>
  <c r="AY117" i="17"/>
  <c r="DL117" i="17"/>
  <c r="DL115" i="17"/>
  <c r="AY115" i="17"/>
  <c r="AY113" i="17"/>
  <c r="DL113" i="17"/>
  <c r="AY105" i="17"/>
  <c r="DL105" i="17"/>
  <c r="AY101" i="17"/>
  <c r="DL101" i="17"/>
  <c r="AY96" i="17"/>
  <c r="DL96" i="17"/>
  <c r="AY99" i="17"/>
  <c r="DL99" i="17"/>
  <c r="DL40" i="17"/>
  <c r="AY40" i="17"/>
  <c r="DM27" i="17"/>
  <c r="AY27" i="17"/>
  <c r="DP27" i="17" s="1"/>
  <c r="DM21" i="17"/>
  <c r="AY21" i="17"/>
  <c r="DP21" i="17" s="1"/>
  <c r="DL21" i="17"/>
  <c r="DL22" i="17" s="1"/>
  <c r="DL23" i="17" s="1"/>
  <c r="DL24" i="17" s="1"/>
  <c r="DL25" i="17" s="1"/>
  <c r="DL26" i="17" s="1"/>
  <c r="DL27" i="17" s="1"/>
  <c r="DL28" i="17" s="1"/>
  <c r="DL29" i="17" s="1"/>
  <c r="DL30" i="17" s="1"/>
  <c r="DL31" i="17" s="1"/>
  <c r="DL35" i="17"/>
  <c r="AY35" i="17"/>
  <c r="DL83" i="17"/>
  <c r="AY83" i="17"/>
  <c r="DL45" i="17"/>
  <c r="AY45" i="17"/>
  <c r="DL87" i="17"/>
  <c r="AY87" i="17"/>
  <c r="DL71" i="17"/>
  <c r="AY71" i="17"/>
  <c r="AY48" i="17"/>
  <c r="DL48" i="17"/>
  <c r="AY60" i="17"/>
  <c r="DL60" i="17"/>
  <c r="DL44" i="17"/>
  <c r="AY44" i="17"/>
  <c r="DL91" i="17"/>
  <c r="AY91" i="17"/>
  <c r="DL55" i="17"/>
  <c r="AY55" i="17"/>
  <c r="DL43" i="17"/>
  <c r="AY43" i="17"/>
  <c r="AY84" i="17"/>
  <c r="DL84" i="17"/>
  <c r="DM25" i="17"/>
  <c r="AY25" i="17"/>
  <c r="DP25" i="17" s="1"/>
  <c r="AY72" i="17"/>
  <c r="DL72" i="17"/>
  <c r="DL41" i="17"/>
  <c r="AY41" i="17"/>
  <c r="AP563" i="15"/>
  <c r="AO563" i="17"/>
  <c r="AP563" i="17"/>
  <c r="AO564" i="15"/>
  <c r="AJ559" i="15" l="1"/>
  <c r="AM559" i="15"/>
  <c r="AN559" i="15" s="1"/>
  <c r="AM560" i="15"/>
  <c r="AN560" i="15" s="1"/>
  <c r="AH562" i="15"/>
  <c r="AK562" i="15" s="1"/>
  <c r="AL562" i="15" s="1"/>
  <c r="AM561" i="15"/>
  <c r="AN561" i="15" s="1"/>
  <c r="AJ561" i="15"/>
  <c r="AW21" i="17"/>
  <c r="DN21" i="17" s="1"/>
  <c r="DQ21" i="17" s="1"/>
  <c r="AX21" i="17"/>
  <c r="DO21" i="17" s="1"/>
  <c r="DQ145" i="17"/>
  <c r="DQ144" i="17"/>
  <c r="DQ20" i="17"/>
  <c r="DQ143" i="17"/>
  <c r="DX21" i="17"/>
  <c r="EA21" i="17" s="1"/>
  <c r="EB21" i="17" s="1"/>
  <c r="DX99" i="17"/>
  <c r="EA99" i="17" s="1"/>
  <c r="DM99" i="17"/>
  <c r="DV99" i="17"/>
  <c r="DV105" i="17"/>
  <c r="DM105" i="17"/>
  <c r="DX105" i="17"/>
  <c r="EA105" i="17" s="1"/>
  <c r="DX115" i="17"/>
  <c r="EA115" i="17" s="1"/>
  <c r="DV115" i="17"/>
  <c r="DM115" i="17"/>
  <c r="DX27" i="17"/>
  <c r="EA27" i="17" s="1"/>
  <c r="EB27" i="17" s="1"/>
  <c r="EX27" i="17"/>
  <c r="DV40" i="17"/>
  <c r="DM40" i="17"/>
  <c r="DX40" i="17"/>
  <c r="EA40" i="17" s="1"/>
  <c r="DV130" i="17"/>
  <c r="DM130" i="17"/>
  <c r="DV136" i="17"/>
  <c r="DM136" i="17"/>
  <c r="DX143" i="17"/>
  <c r="EX143" i="17"/>
  <c r="DX76" i="17"/>
  <c r="EA76" i="17" s="1"/>
  <c r="DV76" i="17"/>
  <c r="DM76" i="17"/>
  <c r="DX23" i="17"/>
  <c r="EA23" i="17" s="1"/>
  <c r="EB23" i="17" s="1"/>
  <c r="EX23" i="17"/>
  <c r="DV51" i="17"/>
  <c r="DM51" i="17"/>
  <c r="DX51" i="17"/>
  <c r="EA51" i="17" s="1"/>
  <c r="DV42" i="17"/>
  <c r="DM42" i="17"/>
  <c r="DX42" i="17"/>
  <c r="EA42" i="17" s="1"/>
  <c r="DV59" i="17"/>
  <c r="DM59" i="17"/>
  <c r="DX59" i="17"/>
  <c r="EA59" i="17" s="1"/>
  <c r="EX30" i="17"/>
  <c r="DV98" i="17"/>
  <c r="DM98" i="17"/>
  <c r="DX98" i="17"/>
  <c r="EA98" i="17" s="1"/>
  <c r="DV100" i="17"/>
  <c r="DM100" i="17"/>
  <c r="DX100" i="17"/>
  <c r="EA100" i="17" s="1"/>
  <c r="DV132" i="17"/>
  <c r="DM132" i="17"/>
  <c r="DX145" i="17"/>
  <c r="EX145" i="17"/>
  <c r="DX50" i="17"/>
  <c r="EA50" i="17" s="1"/>
  <c r="DV50" i="17"/>
  <c r="DM50" i="17"/>
  <c r="DX24" i="17"/>
  <c r="EA24" i="17" s="1"/>
  <c r="EB24" i="17" s="1"/>
  <c r="EX24" i="17"/>
  <c r="DX92" i="17"/>
  <c r="EA92" i="17" s="1"/>
  <c r="DV92" i="17"/>
  <c r="DM92" i="17"/>
  <c r="DV95" i="17"/>
  <c r="DM95" i="17"/>
  <c r="DX95" i="17"/>
  <c r="EA95" i="17" s="1"/>
  <c r="DV103" i="17"/>
  <c r="DM103" i="17"/>
  <c r="DX103" i="17"/>
  <c r="EA103" i="17" s="1"/>
  <c r="DX107" i="17"/>
  <c r="EA107" i="17" s="1"/>
  <c r="DV107" i="17"/>
  <c r="DM107" i="17"/>
  <c r="DX127" i="17"/>
  <c r="EA127" i="17" s="1"/>
  <c r="DV127" i="17"/>
  <c r="DM127" i="17"/>
  <c r="DX68" i="17"/>
  <c r="EA68" i="17" s="1"/>
  <c r="DM68" i="17"/>
  <c r="DV68" i="17"/>
  <c r="DV65" i="17"/>
  <c r="DM65" i="17"/>
  <c r="DX65" i="17"/>
  <c r="EA65" i="17" s="1"/>
  <c r="DV61" i="17"/>
  <c r="DM61" i="17"/>
  <c r="DX61" i="17"/>
  <c r="EA61" i="17" s="1"/>
  <c r="DV69" i="17"/>
  <c r="DM69" i="17"/>
  <c r="DX69" i="17"/>
  <c r="EA69" i="17" s="1"/>
  <c r="DV97" i="17"/>
  <c r="DM97" i="17"/>
  <c r="DX97" i="17"/>
  <c r="EA97" i="17" s="1"/>
  <c r="DV111" i="17"/>
  <c r="DM111" i="17"/>
  <c r="DX111" i="17"/>
  <c r="EA111" i="17" s="1"/>
  <c r="DV134" i="17"/>
  <c r="DM134" i="17"/>
  <c r="DX72" i="17"/>
  <c r="EA72" i="17" s="1"/>
  <c r="DV72" i="17"/>
  <c r="DM72" i="17"/>
  <c r="EX25" i="17"/>
  <c r="DV55" i="17"/>
  <c r="DM55" i="17"/>
  <c r="DX55" i="17"/>
  <c r="EA55" i="17" s="1"/>
  <c r="DV44" i="17"/>
  <c r="DM44" i="17"/>
  <c r="DX44" i="17"/>
  <c r="EA44" i="17" s="1"/>
  <c r="DV87" i="17"/>
  <c r="DM87" i="17"/>
  <c r="DX87" i="17"/>
  <c r="EA87" i="17" s="1"/>
  <c r="DV83" i="17"/>
  <c r="DM83" i="17"/>
  <c r="DX83" i="17"/>
  <c r="EA83" i="17" s="1"/>
  <c r="DX84" i="17"/>
  <c r="EA84" i="17" s="1"/>
  <c r="DV84" i="17"/>
  <c r="DM84" i="17"/>
  <c r="DX48" i="17"/>
  <c r="EA48" i="17" s="1"/>
  <c r="DV48" i="17"/>
  <c r="DM48" i="17"/>
  <c r="EX21" i="17"/>
  <c r="DV101" i="17"/>
  <c r="DX101" i="17"/>
  <c r="EA101" i="17" s="1"/>
  <c r="DM101" i="17"/>
  <c r="DV113" i="17"/>
  <c r="DM113" i="17"/>
  <c r="DX113" i="17"/>
  <c r="EA113" i="17" s="1"/>
  <c r="DV41" i="17"/>
  <c r="DM41" i="17"/>
  <c r="DX41" i="17"/>
  <c r="EA41" i="17" s="1"/>
  <c r="DX60" i="17"/>
  <c r="EA60" i="17" s="1"/>
  <c r="DM60" i="17"/>
  <c r="DV60" i="17"/>
  <c r="DV96" i="17"/>
  <c r="DM96" i="17"/>
  <c r="DX96" i="17"/>
  <c r="EA96" i="17" s="1"/>
  <c r="DX117" i="17"/>
  <c r="EA117" i="17" s="1"/>
  <c r="DM117" i="17"/>
  <c r="DV117" i="17"/>
  <c r="DX121" i="17"/>
  <c r="EA121" i="17" s="1"/>
  <c r="DV121" i="17"/>
  <c r="DM121" i="17"/>
  <c r="DX125" i="17"/>
  <c r="EA125" i="17" s="1"/>
  <c r="DM125" i="17"/>
  <c r="DV125" i="17"/>
  <c r="DV135" i="17"/>
  <c r="DM135" i="17"/>
  <c r="DX78" i="17"/>
  <c r="EA78" i="17" s="1"/>
  <c r="DV78" i="17"/>
  <c r="DM78" i="17"/>
  <c r="DX22" i="17"/>
  <c r="EA22" i="17" s="1"/>
  <c r="EB22" i="17" s="1"/>
  <c r="EX22" i="17"/>
  <c r="DV36" i="17"/>
  <c r="DM36" i="17"/>
  <c r="DX36" i="17"/>
  <c r="EA36" i="17" s="1"/>
  <c r="DX70" i="17"/>
  <c r="EA70" i="17" s="1"/>
  <c r="DM70" i="17"/>
  <c r="DV70" i="17"/>
  <c r="DX66" i="17"/>
  <c r="EA66" i="17" s="1"/>
  <c r="DM66" i="17"/>
  <c r="DV66" i="17"/>
  <c r="DX109" i="17"/>
  <c r="EA109" i="17" s="1"/>
  <c r="DM109" i="17"/>
  <c r="DV109" i="17"/>
  <c r="DX123" i="17"/>
  <c r="EA123" i="17" s="1"/>
  <c r="DV123" i="17"/>
  <c r="DM123" i="17"/>
  <c r="DV138" i="17"/>
  <c r="DM138" i="17"/>
  <c r="EX144" i="17"/>
  <c r="DX144" i="17"/>
  <c r="DX52" i="17"/>
  <c r="EA52" i="17" s="1"/>
  <c r="DV52" i="17"/>
  <c r="DM52" i="17"/>
  <c r="DX28" i="17"/>
  <c r="EA28" i="17" s="1"/>
  <c r="EB28" i="17" s="1"/>
  <c r="EX28" i="17"/>
  <c r="DX120" i="17"/>
  <c r="EA120" i="17" s="1"/>
  <c r="DM120" i="17"/>
  <c r="DV120" i="17"/>
  <c r="DM128" i="17"/>
  <c r="DV128" i="17"/>
  <c r="DX128" i="17"/>
  <c r="EA128" i="17" s="1"/>
  <c r="DV133" i="17"/>
  <c r="DM133" i="17"/>
  <c r="DV85" i="17"/>
  <c r="DM85" i="17"/>
  <c r="DX85" i="17"/>
  <c r="EA85" i="17" s="1"/>
  <c r="DV37" i="17"/>
  <c r="DM37" i="17"/>
  <c r="DX37" i="17"/>
  <c r="EA37" i="17" s="1"/>
  <c r="DV32" i="17"/>
  <c r="DM32" i="17"/>
  <c r="DX32" i="17"/>
  <c r="EA32" i="17" s="1"/>
  <c r="DV57" i="17"/>
  <c r="DM57" i="17"/>
  <c r="DX57" i="17"/>
  <c r="EA57" i="17" s="1"/>
  <c r="DV77" i="17"/>
  <c r="DM77" i="17"/>
  <c r="DX77" i="17"/>
  <c r="EA77" i="17" s="1"/>
  <c r="DM31" i="17"/>
  <c r="DX31" i="17" s="1"/>
  <c r="EA31" i="17" s="1"/>
  <c r="DV89" i="17"/>
  <c r="DX89" i="17"/>
  <c r="EA89" i="17" s="1"/>
  <c r="DM89" i="17"/>
  <c r="DV79" i="17"/>
  <c r="DM79" i="17"/>
  <c r="DX79" i="17"/>
  <c r="EA79" i="17" s="1"/>
  <c r="DV75" i="17"/>
  <c r="DM75" i="17"/>
  <c r="DX75" i="17"/>
  <c r="EA75" i="17" s="1"/>
  <c r="DV38" i="17"/>
  <c r="DM38" i="17"/>
  <c r="DX38" i="17"/>
  <c r="EA38" i="17" s="1"/>
  <c r="DM118" i="17"/>
  <c r="DV118" i="17"/>
  <c r="DX118" i="17"/>
  <c r="EA118" i="17" s="1"/>
  <c r="DV122" i="17"/>
  <c r="DM122" i="17"/>
  <c r="DX122" i="17"/>
  <c r="EA122" i="17" s="1"/>
  <c r="DM131" i="17"/>
  <c r="DV131" i="17"/>
  <c r="DV71" i="17"/>
  <c r="DM71" i="17"/>
  <c r="DX71" i="17"/>
  <c r="EA71" i="17" s="1"/>
  <c r="DX30" i="17"/>
  <c r="EA30" i="17" s="1"/>
  <c r="EB30" i="17" s="1"/>
  <c r="DV81" i="17"/>
  <c r="DM81" i="17"/>
  <c r="DX81" i="17"/>
  <c r="EA81" i="17" s="1"/>
  <c r="DV33" i="17"/>
  <c r="DM33" i="17"/>
  <c r="DX33" i="17"/>
  <c r="EA33" i="17" s="1"/>
  <c r="DV47" i="17"/>
  <c r="DM47" i="17"/>
  <c r="DX47" i="17"/>
  <c r="EA47" i="17" s="1"/>
  <c r="DX93" i="17"/>
  <c r="EA93" i="17" s="1"/>
  <c r="DM93" i="17"/>
  <c r="DV93" i="17"/>
  <c r="DV114" i="17"/>
  <c r="DM114" i="17"/>
  <c r="DX114" i="17"/>
  <c r="EA114" i="17" s="1"/>
  <c r="DX116" i="17"/>
  <c r="EA116" i="17" s="1"/>
  <c r="DV116" i="17"/>
  <c r="DM116" i="17"/>
  <c r="DX124" i="17"/>
  <c r="EA124" i="17" s="1"/>
  <c r="DV124" i="17"/>
  <c r="DM124" i="17"/>
  <c r="DM126" i="17"/>
  <c r="DX126" i="17"/>
  <c r="EA126" i="17" s="1"/>
  <c r="DV126" i="17"/>
  <c r="DM140" i="17"/>
  <c r="DV140" i="17"/>
  <c r="DX74" i="17"/>
  <c r="EA74" i="17" s="1"/>
  <c r="DV74" i="17"/>
  <c r="DM74" i="17"/>
  <c r="DX26" i="17"/>
  <c r="EA26" i="17" s="1"/>
  <c r="EB26" i="17" s="1"/>
  <c r="EX26" i="17"/>
  <c r="DV49" i="17"/>
  <c r="DM49" i="17"/>
  <c r="DX49" i="17"/>
  <c r="EA49" i="17" s="1"/>
  <c r="DX58" i="17"/>
  <c r="EA58" i="17" s="1"/>
  <c r="DM58" i="17"/>
  <c r="DV58" i="17"/>
  <c r="DV63" i="17"/>
  <c r="DM63" i="17"/>
  <c r="DX63" i="17"/>
  <c r="EA63" i="17" s="1"/>
  <c r="DX62" i="17"/>
  <c r="EA62" i="17" s="1"/>
  <c r="DM62" i="17"/>
  <c r="DV62" i="17"/>
  <c r="DX82" i="17"/>
  <c r="EA82" i="17" s="1"/>
  <c r="DV82" i="17"/>
  <c r="DM82" i="17"/>
  <c r="DV112" i="17"/>
  <c r="DM112" i="17"/>
  <c r="DX112" i="17"/>
  <c r="EA112" i="17" s="1"/>
  <c r="DX88" i="17"/>
  <c r="EA88" i="17" s="1"/>
  <c r="DM88" i="17"/>
  <c r="DV88" i="17"/>
  <c r="DX54" i="17"/>
  <c r="EA54" i="17" s="1"/>
  <c r="DV54" i="17"/>
  <c r="DM54" i="17"/>
  <c r="DX56" i="17"/>
  <c r="EA56" i="17" s="1"/>
  <c r="DV56" i="17"/>
  <c r="DM56" i="17"/>
  <c r="DX80" i="17"/>
  <c r="EA80" i="17" s="1"/>
  <c r="DV80" i="17"/>
  <c r="DM80" i="17"/>
  <c r="DX94" i="17"/>
  <c r="EA94" i="17" s="1"/>
  <c r="DM94" i="17"/>
  <c r="DV94" i="17"/>
  <c r="DV104" i="17"/>
  <c r="DM104" i="17"/>
  <c r="DX104" i="17"/>
  <c r="EA104" i="17" s="1"/>
  <c r="DV110" i="17"/>
  <c r="DM110" i="17"/>
  <c r="DX110" i="17"/>
  <c r="EA110" i="17" s="1"/>
  <c r="DX25" i="17"/>
  <c r="EA25" i="17" s="1"/>
  <c r="EB25" i="17" s="1"/>
  <c r="DV43" i="17"/>
  <c r="DM43" i="17"/>
  <c r="DX43" i="17"/>
  <c r="EA43" i="17" s="1"/>
  <c r="DV91" i="17"/>
  <c r="DX91" i="17"/>
  <c r="EA91" i="17" s="1"/>
  <c r="DM91" i="17"/>
  <c r="DV45" i="17"/>
  <c r="DM45" i="17"/>
  <c r="DX45" i="17"/>
  <c r="EA45" i="17" s="1"/>
  <c r="DV35" i="17"/>
  <c r="DM35" i="17"/>
  <c r="DX35" i="17"/>
  <c r="EA35" i="17" s="1"/>
  <c r="DV39" i="17"/>
  <c r="DM39" i="17"/>
  <c r="DX39" i="17"/>
  <c r="EA39" i="17" s="1"/>
  <c r="DV67" i="17"/>
  <c r="DM67" i="17"/>
  <c r="DX67" i="17"/>
  <c r="EA67" i="17" s="1"/>
  <c r="DX90" i="17"/>
  <c r="EA90" i="17" s="1"/>
  <c r="DV90" i="17"/>
  <c r="DM90" i="17"/>
  <c r="DX46" i="17"/>
  <c r="EA46" i="17" s="1"/>
  <c r="DV46" i="17"/>
  <c r="DM46" i="17"/>
  <c r="DV102" i="17"/>
  <c r="DM102" i="17"/>
  <c r="DX102" i="17"/>
  <c r="EA102" i="17" s="1"/>
  <c r="DX86" i="17"/>
  <c r="EA86" i="17" s="1"/>
  <c r="DV86" i="17"/>
  <c r="DM86" i="17"/>
  <c r="DX29" i="17"/>
  <c r="EA29" i="17" s="1"/>
  <c r="EB29" i="17" s="1"/>
  <c r="EX29" i="17"/>
  <c r="DV34" i="17"/>
  <c r="DM34" i="17"/>
  <c r="DX34" i="17"/>
  <c r="EA34" i="17" s="1"/>
  <c r="DX20" i="17"/>
  <c r="EX20" i="17"/>
  <c r="DV53" i="17"/>
  <c r="DM53" i="17"/>
  <c r="DX53" i="17"/>
  <c r="EA53" i="17" s="1"/>
  <c r="DV73" i="17"/>
  <c r="DM73" i="17"/>
  <c r="DX73" i="17"/>
  <c r="EA73" i="17" s="1"/>
  <c r="DX64" i="17"/>
  <c r="EA64" i="17" s="1"/>
  <c r="DM64" i="17"/>
  <c r="DV64" i="17"/>
  <c r="DV108" i="17"/>
  <c r="DM108" i="17"/>
  <c r="DX108" i="17"/>
  <c r="EA108" i="17" s="1"/>
  <c r="DX119" i="17"/>
  <c r="EA119" i="17" s="1"/>
  <c r="DV119" i="17"/>
  <c r="DM119" i="17"/>
  <c r="DV137" i="17"/>
  <c r="DM137" i="17"/>
  <c r="DV142" i="17"/>
  <c r="DM142" i="17"/>
  <c r="DV106" i="17"/>
  <c r="DM106" i="17"/>
  <c r="DX106" i="17"/>
  <c r="EA106" i="17" s="1"/>
  <c r="DV129" i="17"/>
  <c r="DM129" i="17"/>
  <c r="DV139" i="17"/>
  <c r="DM139" i="17"/>
  <c r="DV141" i="17"/>
  <c r="DM141" i="17"/>
  <c r="AP564" i="17"/>
  <c r="AO564" i="17"/>
  <c r="AP564" i="15"/>
  <c r="DV31" i="17" l="1"/>
  <c r="DV30" i="17"/>
  <c r="DV28" i="17"/>
  <c r="DV22" i="17"/>
  <c r="DV29" i="17"/>
  <c r="DV27" i="17"/>
  <c r="DV24" i="17"/>
  <c r="DV25" i="17"/>
  <c r="DV23" i="17"/>
  <c r="AW22" i="17"/>
  <c r="DN22" i="17" s="1"/>
  <c r="DQ22" i="17" s="1"/>
  <c r="AX22" i="17"/>
  <c r="DO22" i="17" s="1"/>
  <c r="DV26" i="17"/>
  <c r="DN106" i="17"/>
  <c r="DO106" i="17" s="1"/>
  <c r="DP106" i="17" s="1"/>
  <c r="DQ106" i="17" s="1"/>
  <c r="EX106" i="17"/>
  <c r="EB106" i="17"/>
  <c r="EB91" i="17"/>
  <c r="EX91" i="17"/>
  <c r="DN91" i="17"/>
  <c r="DO91" i="17" s="1"/>
  <c r="DP91" i="17" s="1"/>
  <c r="DQ91" i="17" s="1"/>
  <c r="EB32" i="17"/>
  <c r="EX32" i="17"/>
  <c r="DN32" i="17"/>
  <c r="DO32" i="17" s="1"/>
  <c r="DP32" i="17" s="1"/>
  <c r="DQ32" i="17" s="1"/>
  <c r="EX69" i="17"/>
  <c r="EB69" i="17"/>
  <c r="DN69" i="17"/>
  <c r="DO69" i="17" s="1"/>
  <c r="DP69" i="17" s="1"/>
  <c r="DQ69" i="17" s="1"/>
  <c r="EX105" i="17"/>
  <c r="EB105" i="17"/>
  <c r="DN105" i="17"/>
  <c r="DO105" i="17" s="1"/>
  <c r="DP105" i="17" s="1"/>
  <c r="DQ105" i="17" s="1"/>
  <c r="DV20" i="17"/>
  <c r="EA20" i="17"/>
  <c r="EB20" i="17" s="1"/>
  <c r="DN86" i="17"/>
  <c r="DO86" i="17" s="1"/>
  <c r="DP86" i="17" s="1"/>
  <c r="DQ86" i="17" s="1"/>
  <c r="EX86" i="17"/>
  <c r="EB86" i="17"/>
  <c r="EB45" i="17"/>
  <c r="DN45" i="17"/>
  <c r="DO45" i="17" s="1"/>
  <c r="DP45" i="17" s="1"/>
  <c r="DQ45" i="17" s="1"/>
  <c r="EX45" i="17"/>
  <c r="EX139" i="17"/>
  <c r="DX139" i="17"/>
  <c r="DN139" i="17"/>
  <c r="DO139" i="17" s="1"/>
  <c r="DP139" i="17" s="1"/>
  <c r="DQ139" i="17" s="1"/>
  <c r="EX137" i="17"/>
  <c r="DX137" i="17"/>
  <c r="DN137" i="17"/>
  <c r="DO137" i="17" s="1"/>
  <c r="DP137" i="17" s="1"/>
  <c r="DQ137" i="17" s="1"/>
  <c r="EB73" i="17"/>
  <c r="EX73" i="17"/>
  <c r="DN73" i="17"/>
  <c r="DO73" i="17" s="1"/>
  <c r="DP73" i="17" s="1"/>
  <c r="DQ73" i="17" s="1"/>
  <c r="DN102" i="17"/>
  <c r="DO102" i="17" s="1"/>
  <c r="DP102" i="17" s="1"/>
  <c r="DQ102" i="17" s="1"/>
  <c r="EX102" i="17"/>
  <c r="EB102" i="17"/>
  <c r="EB35" i="17"/>
  <c r="DN35" i="17"/>
  <c r="DO35" i="17" s="1"/>
  <c r="DP35" i="17" s="1"/>
  <c r="DQ35" i="17" s="1"/>
  <c r="EX35" i="17"/>
  <c r="DN104" i="17"/>
  <c r="DO104" i="17" s="1"/>
  <c r="DP104" i="17" s="1"/>
  <c r="DQ104" i="17" s="1"/>
  <c r="EB104" i="17"/>
  <c r="EX104" i="17"/>
  <c r="DN56" i="17"/>
  <c r="DO56" i="17" s="1"/>
  <c r="DP56" i="17" s="1"/>
  <c r="DQ56" i="17" s="1"/>
  <c r="EX56" i="17"/>
  <c r="EB56" i="17"/>
  <c r="EB49" i="17"/>
  <c r="EX49" i="17"/>
  <c r="DN49" i="17"/>
  <c r="DO49" i="17" s="1"/>
  <c r="DP49" i="17" s="1"/>
  <c r="DQ49" i="17" s="1"/>
  <c r="EB47" i="17"/>
  <c r="DN47" i="17"/>
  <c r="DO47" i="17" s="1"/>
  <c r="DP47" i="17" s="1"/>
  <c r="DQ47" i="17" s="1"/>
  <c r="EX47" i="17"/>
  <c r="DX131" i="17"/>
  <c r="DN131" i="17"/>
  <c r="DO131" i="17" s="1"/>
  <c r="DP131" i="17" s="1"/>
  <c r="DQ131" i="17" s="1"/>
  <c r="EX131" i="17"/>
  <c r="EB38" i="17"/>
  <c r="EX38" i="17"/>
  <c r="DN38" i="17"/>
  <c r="DO38" i="17" s="1"/>
  <c r="DP38" i="17" s="1"/>
  <c r="DQ38" i="17" s="1"/>
  <c r="EB89" i="17"/>
  <c r="DN89" i="17"/>
  <c r="DO89" i="17" s="1"/>
  <c r="DP89" i="17" s="1"/>
  <c r="DQ89" i="17" s="1"/>
  <c r="EX89" i="17"/>
  <c r="EB31" i="17"/>
  <c r="EX31" i="17"/>
  <c r="EB37" i="17"/>
  <c r="DN37" i="17"/>
  <c r="DO37" i="17" s="1"/>
  <c r="DP37" i="17" s="1"/>
  <c r="DQ37" i="17" s="1"/>
  <c r="EX37" i="17"/>
  <c r="DN123" i="17"/>
  <c r="DO123" i="17" s="1"/>
  <c r="DP123" i="17" s="1"/>
  <c r="DQ123" i="17" s="1"/>
  <c r="EX123" i="17"/>
  <c r="EB123" i="17"/>
  <c r="EX109" i="17"/>
  <c r="EB109" i="17"/>
  <c r="DN109" i="17"/>
  <c r="DO109" i="17" s="1"/>
  <c r="DP109" i="17" s="1"/>
  <c r="DQ109" i="17" s="1"/>
  <c r="DN121" i="17"/>
  <c r="DO121" i="17" s="1"/>
  <c r="DP121" i="17" s="1"/>
  <c r="DQ121" i="17" s="1"/>
  <c r="EX121" i="17"/>
  <c r="EB121" i="17"/>
  <c r="DN117" i="17"/>
  <c r="DO117" i="17" s="1"/>
  <c r="DP117" i="17" s="1"/>
  <c r="DQ117" i="17" s="1"/>
  <c r="EX117" i="17"/>
  <c r="EB117" i="17"/>
  <c r="EX113" i="17"/>
  <c r="EB113" i="17"/>
  <c r="DN113" i="17"/>
  <c r="DO113" i="17" s="1"/>
  <c r="DP113" i="17" s="1"/>
  <c r="DQ113" i="17" s="1"/>
  <c r="EB44" i="17"/>
  <c r="EX44" i="17"/>
  <c r="DN44" i="17"/>
  <c r="DO44" i="17" s="1"/>
  <c r="DP44" i="17" s="1"/>
  <c r="DQ44" i="17" s="1"/>
  <c r="DX134" i="17"/>
  <c r="DN134" i="17"/>
  <c r="DO134" i="17" s="1"/>
  <c r="DP134" i="17" s="1"/>
  <c r="DQ134" i="17" s="1"/>
  <c r="EX134" i="17"/>
  <c r="EX61" i="17"/>
  <c r="EB61" i="17"/>
  <c r="DN61" i="17"/>
  <c r="DO61" i="17" s="1"/>
  <c r="DP61" i="17" s="1"/>
  <c r="DQ61" i="17" s="1"/>
  <c r="EX132" i="17"/>
  <c r="DX132" i="17"/>
  <c r="DN132" i="17"/>
  <c r="DO132" i="17" s="1"/>
  <c r="DP132" i="17" s="1"/>
  <c r="DQ132" i="17" s="1"/>
  <c r="EB40" i="17"/>
  <c r="EX40" i="17"/>
  <c r="DN40" i="17"/>
  <c r="DO40" i="17" s="1"/>
  <c r="DP40" i="17" s="1"/>
  <c r="DQ40" i="17" s="1"/>
  <c r="EX99" i="17"/>
  <c r="EB99" i="17"/>
  <c r="DN99" i="17"/>
  <c r="DO99" i="17" s="1"/>
  <c r="DP99" i="17" s="1"/>
  <c r="DQ99" i="17" s="1"/>
  <c r="EB34" i="17"/>
  <c r="DN34" i="17"/>
  <c r="DO34" i="17" s="1"/>
  <c r="DP34" i="17" s="1"/>
  <c r="DQ34" i="17" s="1"/>
  <c r="EX34" i="17"/>
  <c r="DN80" i="17"/>
  <c r="DO80" i="17" s="1"/>
  <c r="DP80" i="17" s="1"/>
  <c r="DQ80" i="17" s="1"/>
  <c r="EX80" i="17"/>
  <c r="EB80" i="17"/>
  <c r="DN112" i="17"/>
  <c r="DO112" i="17" s="1"/>
  <c r="DP112" i="17" s="1"/>
  <c r="DQ112" i="17" s="1"/>
  <c r="EB112" i="17"/>
  <c r="EX112" i="17"/>
  <c r="EX58" i="17"/>
  <c r="EB58" i="17"/>
  <c r="DN58" i="17"/>
  <c r="DO58" i="17" s="1"/>
  <c r="DP58" i="17" s="1"/>
  <c r="DQ58" i="17" s="1"/>
  <c r="EB93" i="17"/>
  <c r="EX93" i="17"/>
  <c r="DN93" i="17"/>
  <c r="DO93" i="17" s="1"/>
  <c r="DP93" i="17" s="1"/>
  <c r="DQ93" i="17" s="1"/>
  <c r="EB71" i="17"/>
  <c r="EX71" i="17"/>
  <c r="DN71" i="17"/>
  <c r="DO71" i="17" s="1"/>
  <c r="DP71" i="17" s="1"/>
  <c r="DQ71" i="17" s="1"/>
  <c r="EB120" i="17"/>
  <c r="DN120" i="17"/>
  <c r="DO120" i="17" s="1"/>
  <c r="DP120" i="17" s="1"/>
  <c r="DQ120" i="17" s="1"/>
  <c r="EX120" i="17"/>
  <c r="EB87" i="17"/>
  <c r="EX87" i="17"/>
  <c r="DN87" i="17"/>
  <c r="DO87" i="17" s="1"/>
  <c r="DP87" i="17" s="1"/>
  <c r="DQ87" i="17" s="1"/>
  <c r="DX130" i="17"/>
  <c r="DN130" i="17"/>
  <c r="DO130" i="17" s="1"/>
  <c r="DP130" i="17" s="1"/>
  <c r="DQ130" i="17" s="1"/>
  <c r="EX130" i="17"/>
  <c r="EX141" i="17"/>
  <c r="DN141" i="17"/>
  <c r="DO141" i="17" s="1"/>
  <c r="DP141" i="17" s="1"/>
  <c r="DQ141" i="17" s="1"/>
  <c r="DX141" i="17"/>
  <c r="DX129" i="17"/>
  <c r="DN129" i="17"/>
  <c r="DO129" i="17" s="1"/>
  <c r="DP129" i="17" s="1"/>
  <c r="DQ129" i="17" s="1"/>
  <c r="EX129" i="17"/>
  <c r="EX142" i="17"/>
  <c r="DX142" i="17"/>
  <c r="DN142" i="17"/>
  <c r="DO142" i="17" s="1"/>
  <c r="DP142" i="17" s="1"/>
  <c r="DQ142" i="17" s="1"/>
  <c r="DN119" i="17"/>
  <c r="DO119" i="17" s="1"/>
  <c r="DP119" i="17" s="1"/>
  <c r="DQ119" i="17" s="1"/>
  <c r="EB119" i="17"/>
  <c r="EX119" i="17"/>
  <c r="DN108" i="17"/>
  <c r="DO108" i="17" s="1"/>
  <c r="DP108" i="17" s="1"/>
  <c r="DQ108" i="17" s="1"/>
  <c r="EX108" i="17"/>
  <c r="EB108" i="17"/>
  <c r="DN46" i="17"/>
  <c r="DO46" i="17" s="1"/>
  <c r="DP46" i="17" s="1"/>
  <c r="DQ46" i="17" s="1"/>
  <c r="EX46" i="17"/>
  <c r="EB46" i="17"/>
  <c r="DN90" i="17"/>
  <c r="DO90" i="17" s="1"/>
  <c r="DP90" i="17" s="1"/>
  <c r="DQ90" i="17" s="1"/>
  <c r="EB90" i="17"/>
  <c r="EX90" i="17"/>
  <c r="EX67" i="17"/>
  <c r="EB67" i="17"/>
  <c r="DN67" i="17"/>
  <c r="DO67" i="17" s="1"/>
  <c r="DP67" i="17" s="1"/>
  <c r="DQ67" i="17" s="1"/>
  <c r="EX63" i="17"/>
  <c r="EB63" i="17"/>
  <c r="DN63" i="17"/>
  <c r="DO63" i="17" s="1"/>
  <c r="DP63" i="17" s="1"/>
  <c r="DQ63" i="17" s="1"/>
  <c r="DN74" i="17"/>
  <c r="DO74" i="17" s="1"/>
  <c r="DP74" i="17" s="1"/>
  <c r="DQ74" i="17" s="1"/>
  <c r="EX74" i="17"/>
  <c r="EB74" i="17"/>
  <c r="EB126" i="17"/>
  <c r="EX126" i="17"/>
  <c r="DN126" i="17"/>
  <c r="DO126" i="17" s="1"/>
  <c r="DP126" i="17" s="1"/>
  <c r="DQ126" i="17" s="1"/>
  <c r="EB116" i="17"/>
  <c r="EX116" i="17"/>
  <c r="DN116" i="17"/>
  <c r="DO116" i="17" s="1"/>
  <c r="DP116" i="17" s="1"/>
  <c r="DQ116" i="17" s="1"/>
  <c r="EB114" i="17"/>
  <c r="DN114" i="17"/>
  <c r="DO114" i="17" s="1"/>
  <c r="DP114" i="17" s="1"/>
  <c r="DQ114" i="17" s="1"/>
  <c r="EX114" i="17"/>
  <c r="EB81" i="17"/>
  <c r="EX81" i="17"/>
  <c r="DN81" i="17"/>
  <c r="DO81" i="17" s="1"/>
  <c r="DP81" i="17" s="1"/>
  <c r="DQ81" i="17" s="1"/>
  <c r="EB122" i="17"/>
  <c r="EX122" i="17"/>
  <c r="DN122" i="17"/>
  <c r="DO122" i="17" s="1"/>
  <c r="DP122" i="17" s="1"/>
  <c r="DQ122" i="17" s="1"/>
  <c r="EB118" i="17"/>
  <c r="EX118" i="17"/>
  <c r="DN118" i="17"/>
  <c r="DO118" i="17" s="1"/>
  <c r="DP118" i="17" s="1"/>
  <c r="DQ118" i="17" s="1"/>
  <c r="EB79" i="17"/>
  <c r="DN79" i="17"/>
  <c r="DO79" i="17" s="1"/>
  <c r="DP79" i="17" s="1"/>
  <c r="DQ79" i="17" s="1"/>
  <c r="EX79" i="17"/>
  <c r="EB57" i="17"/>
  <c r="EX57" i="17"/>
  <c r="DN57" i="17"/>
  <c r="DO57" i="17" s="1"/>
  <c r="DP57" i="17" s="1"/>
  <c r="DQ57" i="17" s="1"/>
  <c r="DX138" i="17"/>
  <c r="DN138" i="17"/>
  <c r="DO138" i="17" s="1"/>
  <c r="DP138" i="17" s="1"/>
  <c r="DQ138" i="17" s="1"/>
  <c r="EX138" i="17"/>
  <c r="EX70" i="17"/>
  <c r="EB70" i="17"/>
  <c r="DN70" i="17"/>
  <c r="DO70" i="17" s="1"/>
  <c r="DP70" i="17" s="1"/>
  <c r="DQ70" i="17" s="1"/>
  <c r="DN125" i="17"/>
  <c r="DO125" i="17" s="1"/>
  <c r="DP125" i="17" s="1"/>
  <c r="DQ125" i="17" s="1"/>
  <c r="EX125" i="17"/>
  <c r="EB125" i="17"/>
  <c r="EB41" i="17"/>
  <c r="EX41" i="17"/>
  <c r="DN41" i="17"/>
  <c r="DO41" i="17" s="1"/>
  <c r="DP41" i="17" s="1"/>
  <c r="DQ41" i="17" s="1"/>
  <c r="EX101" i="17"/>
  <c r="EB101" i="17"/>
  <c r="DN101" i="17"/>
  <c r="DO101" i="17" s="1"/>
  <c r="DP101" i="17" s="1"/>
  <c r="DQ101" i="17" s="1"/>
  <c r="DN84" i="17"/>
  <c r="DO84" i="17" s="1"/>
  <c r="DP84" i="17" s="1"/>
  <c r="DQ84" i="17" s="1"/>
  <c r="EX84" i="17"/>
  <c r="EB84" i="17"/>
  <c r="EB83" i="17"/>
  <c r="DN83" i="17"/>
  <c r="DO83" i="17" s="1"/>
  <c r="DP83" i="17" s="1"/>
  <c r="DQ83" i="17" s="1"/>
  <c r="EX83" i="17"/>
  <c r="EX97" i="17"/>
  <c r="EB97" i="17"/>
  <c r="DN97" i="17"/>
  <c r="DO97" i="17" s="1"/>
  <c r="DP97" i="17" s="1"/>
  <c r="DQ97" i="17" s="1"/>
  <c r="EX68" i="17"/>
  <c r="EB68" i="17"/>
  <c r="DN68" i="17"/>
  <c r="DO68" i="17" s="1"/>
  <c r="DP68" i="17" s="1"/>
  <c r="DQ68" i="17" s="1"/>
  <c r="EX107" i="17"/>
  <c r="EB107" i="17"/>
  <c r="DN107" i="17"/>
  <c r="DO107" i="17" s="1"/>
  <c r="DP107" i="17" s="1"/>
  <c r="DQ107" i="17" s="1"/>
  <c r="EX103" i="17"/>
  <c r="EB103" i="17"/>
  <c r="DN103" i="17"/>
  <c r="DO103" i="17" s="1"/>
  <c r="DP103" i="17" s="1"/>
  <c r="DQ103" i="17" s="1"/>
  <c r="DN50" i="17"/>
  <c r="DO50" i="17" s="1"/>
  <c r="DP50" i="17" s="1"/>
  <c r="DQ50" i="17" s="1"/>
  <c r="EX50" i="17"/>
  <c r="EB50" i="17"/>
  <c r="DN98" i="17"/>
  <c r="DO98" i="17" s="1"/>
  <c r="DP98" i="17" s="1"/>
  <c r="DQ98" i="17" s="1"/>
  <c r="EB98" i="17"/>
  <c r="EX98" i="17"/>
  <c r="EB42" i="17"/>
  <c r="DN42" i="17"/>
  <c r="DO42" i="17" s="1"/>
  <c r="DP42" i="17" s="1"/>
  <c r="DQ42" i="17" s="1"/>
  <c r="EX42" i="17"/>
  <c r="EX64" i="17"/>
  <c r="EB64" i="17"/>
  <c r="DN64" i="17"/>
  <c r="DO64" i="17" s="1"/>
  <c r="DP64" i="17" s="1"/>
  <c r="DQ64" i="17" s="1"/>
  <c r="EB39" i="17"/>
  <c r="DN39" i="17"/>
  <c r="DO39" i="17" s="1"/>
  <c r="DP39" i="17" s="1"/>
  <c r="DQ39" i="17" s="1"/>
  <c r="EX39" i="17"/>
  <c r="EB43" i="17"/>
  <c r="DN43" i="17"/>
  <c r="DO43" i="17" s="1"/>
  <c r="DP43" i="17" s="1"/>
  <c r="DQ43" i="17" s="1"/>
  <c r="EX43" i="17"/>
  <c r="DN110" i="17"/>
  <c r="DO110" i="17" s="1"/>
  <c r="DP110" i="17" s="1"/>
  <c r="DQ110" i="17" s="1"/>
  <c r="EX110" i="17"/>
  <c r="EB110" i="17"/>
  <c r="EB36" i="17"/>
  <c r="EX36" i="17"/>
  <c r="DN36" i="17"/>
  <c r="DO36" i="17" s="1"/>
  <c r="DP36" i="17" s="1"/>
  <c r="DQ36" i="17" s="1"/>
  <c r="EX95" i="17"/>
  <c r="EB95" i="17"/>
  <c r="DN95" i="17"/>
  <c r="DO95" i="17" s="1"/>
  <c r="DP95" i="17" s="1"/>
  <c r="DQ95" i="17" s="1"/>
  <c r="EB51" i="17"/>
  <c r="EX51" i="17"/>
  <c r="DN51" i="17"/>
  <c r="DO51" i="17" s="1"/>
  <c r="DP51" i="17" s="1"/>
  <c r="DQ51" i="17" s="1"/>
  <c r="DN115" i="17"/>
  <c r="DO115" i="17" s="1"/>
  <c r="DP115" i="17" s="1"/>
  <c r="DQ115" i="17" s="1"/>
  <c r="EX115" i="17"/>
  <c r="EB115" i="17"/>
  <c r="EB53" i="17"/>
  <c r="EX53" i="17"/>
  <c r="DN53" i="17"/>
  <c r="DO53" i="17" s="1"/>
  <c r="DP53" i="17" s="1"/>
  <c r="DQ53" i="17" s="1"/>
  <c r="DN94" i="17"/>
  <c r="DO94" i="17" s="1"/>
  <c r="DP94" i="17" s="1"/>
  <c r="DQ94" i="17" s="1"/>
  <c r="EX94" i="17"/>
  <c r="EB94" i="17"/>
  <c r="DN54" i="17"/>
  <c r="DO54" i="17" s="1"/>
  <c r="DP54" i="17" s="1"/>
  <c r="DQ54" i="17" s="1"/>
  <c r="EX54" i="17"/>
  <c r="EB54" i="17"/>
  <c r="DN88" i="17"/>
  <c r="DO88" i="17" s="1"/>
  <c r="DP88" i="17" s="1"/>
  <c r="DQ88" i="17" s="1"/>
  <c r="EB88" i="17"/>
  <c r="EX88" i="17"/>
  <c r="DN82" i="17"/>
  <c r="DO82" i="17" s="1"/>
  <c r="DP82" i="17" s="1"/>
  <c r="DQ82" i="17" s="1"/>
  <c r="EX82" i="17"/>
  <c r="EB82" i="17"/>
  <c r="EX62" i="17"/>
  <c r="EB62" i="17"/>
  <c r="DN62" i="17"/>
  <c r="DO62" i="17" s="1"/>
  <c r="DP62" i="17" s="1"/>
  <c r="DQ62" i="17" s="1"/>
  <c r="DX140" i="17"/>
  <c r="DN140" i="17"/>
  <c r="DO140" i="17" s="1"/>
  <c r="DP140" i="17" s="1"/>
  <c r="DQ140" i="17" s="1"/>
  <c r="EX140" i="17"/>
  <c r="EB124" i="17"/>
  <c r="EX124" i="17"/>
  <c r="DN124" i="17"/>
  <c r="DO124" i="17" s="1"/>
  <c r="DP124" i="17" s="1"/>
  <c r="DQ124" i="17" s="1"/>
  <c r="EB33" i="17"/>
  <c r="EX33" i="17"/>
  <c r="DN33" i="17"/>
  <c r="DO33" i="17" s="1"/>
  <c r="DP33" i="17" s="1"/>
  <c r="DQ33" i="17" s="1"/>
  <c r="EB75" i="17"/>
  <c r="EX75" i="17"/>
  <c r="DN75" i="17"/>
  <c r="DO75" i="17" s="1"/>
  <c r="DP75" i="17" s="1"/>
  <c r="DQ75" i="17" s="1"/>
  <c r="EB77" i="17"/>
  <c r="DN77" i="17"/>
  <c r="DO77" i="17" s="1"/>
  <c r="DP77" i="17" s="1"/>
  <c r="DQ77" i="17" s="1"/>
  <c r="EX77" i="17"/>
  <c r="EB85" i="17"/>
  <c r="EX85" i="17"/>
  <c r="DN85" i="17"/>
  <c r="DO85" i="17" s="1"/>
  <c r="DP85" i="17" s="1"/>
  <c r="DQ85" i="17" s="1"/>
  <c r="DX133" i="17"/>
  <c r="DN133" i="17"/>
  <c r="DO133" i="17" s="1"/>
  <c r="DP133" i="17" s="1"/>
  <c r="DQ133" i="17" s="1"/>
  <c r="EX133" i="17"/>
  <c r="EB128" i="17"/>
  <c r="EX128" i="17"/>
  <c r="DN128" i="17"/>
  <c r="DO128" i="17" s="1"/>
  <c r="DP128" i="17" s="1"/>
  <c r="DQ128" i="17" s="1"/>
  <c r="DN52" i="17"/>
  <c r="DO52" i="17" s="1"/>
  <c r="DP52" i="17" s="1"/>
  <c r="DQ52" i="17" s="1"/>
  <c r="EX52" i="17"/>
  <c r="EB52" i="17"/>
  <c r="EX66" i="17"/>
  <c r="EB66" i="17"/>
  <c r="DN66" i="17"/>
  <c r="DO66" i="17" s="1"/>
  <c r="DP66" i="17" s="1"/>
  <c r="DQ66" i="17" s="1"/>
  <c r="DN78" i="17"/>
  <c r="DO78" i="17" s="1"/>
  <c r="DP78" i="17" s="1"/>
  <c r="DQ78" i="17" s="1"/>
  <c r="EX78" i="17"/>
  <c r="EB78" i="17"/>
  <c r="EX135" i="17"/>
  <c r="DX135" i="17"/>
  <c r="DN135" i="17"/>
  <c r="DO135" i="17" s="1"/>
  <c r="DP135" i="17" s="1"/>
  <c r="DQ135" i="17" s="1"/>
  <c r="DN96" i="17"/>
  <c r="DO96" i="17" s="1"/>
  <c r="DP96" i="17" s="1"/>
  <c r="DQ96" i="17" s="1"/>
  <c r="EB96" i="17"/>
  <c r="EX96" i="17"/>
  <c r="EX60" i="17"/>
  <c r="EB60" i="17"/>
  <c r="DN60" i="17"/>
  <c r="DO60" i="17" s="1"/>
  <c r="DP60" i="17" s="1"/>
  <c r="DQ60" i="17" s="1"/>
  <c r="DN48" i="17"/>
  <c r="DO48" i="17" s="1"/>
  <c r="DP48" i="17" s="1"/>
  <c r="DQ48" i="17" s="1"/>
  <c r="EX48" i="17"/>
  <c r="EB48" i="17"/>
  <c r="EB55" i="17"/>
  <c r="EX55" i="17"/>
  <c r="DN55" i="17"/>
  <c r="DO55" i="17" s="1"/>
  <c r="DP55" i="17" s="1"/>
  <c r="DQ55" i="17" s="1"/>
  <c r="DN72" i="17"/>
  <c r="DO72" i="17" s="1"/>
  <c r="DP72" i="17" s="1"/>
  <c r="DQ72" i="17" s="1"/>
  <c r="EX72" i="17"/>
  <c r="EB72" i="17"/>
  <c r="EX111" i="17"/>
  <c r="EB111" i="17"/>
  <c r="DN111" i="17"/>
  <c r="DO111" i="17" s="1"/>
  <c r="DP111" i="17" s="1"/>
  <c r="DQ111" i="17" s="1"/>
  <c r="EX65" i="17"/>
  <c r="EB65" i="17"/>
  <c r="DN65" i="17"/>
  <c r="DO65" i="17" s="1"/>
  <c r="DP65" i="17" s="1"/>
  <c r="DQ65" i="17" s="1"/>
  <c r="DN127" i="17"/>
  <c r="DO127" i="17" s="1"/>
  <c r="DP127" i="17" s="1"/>
  <c r="DQ127" i="17" s="1"/>
  <c r="EX127" i="17"/>
  <c r="EB127" i="17"/>
  <c r="DN92" i="17"/>
  <c r="DO92" i="17" s="1"/>
  <c r="DP92" i="17" s="1"/>
  <c r="DQ92" i="17" s="1"/>
  <c r="EX92" i="17"/>
  <c r="EB92" i="17"/>
  <c r="DN100" i="17"/>
  <c r="DO100" i="17" s="1"/>
  <c r="DP100" i="17" s="1"/>
  <c r="DQ100" i="17" s="1"/>
  <c r="EX100" i="17"/>
  <c r="EB100" i="17"/>
  <c r="EX59" i="17"/>
  <c r="EB59" i="17"/>
  <c r="DN59" i="17"/>
  <c r="DO59" i="17" s="1"/>
  <c r="DP59" i="17" s="1"/>
  <c r="DQ59" i="17" s="1"/>
  <c r="DN76" i="17"/>
  <c r="DO76" i="17" s="1"/>
  <c r="DP76" i="17" s="1"/>
  <c r="DQ76" i="17" s="1"/>
  <c r="EX76" i="17"/>
  <c r="EB76" i="17"/>
  <c r="DX136" i="17"/>
  <c r="DN136" i="17"/>
  <c r="DO136" i="17" s="1"/>
  <c r="DP136" i="17" s="1"/>
  <c r="DQ136" i="17" s="1"/>
  <c r="EX136" i="17"/>
  <c r="DV21" i="17"/>
  <c r="AM562" i="15" l="1"/>
  <c r="AN562" i="15" s="1"/>
  <c r="AH563" i="15"/>
  <c r="AK563" i="15" s="1"/>
  <c r="AL563" i="15" s="1"/>
  <c r="AJ562" i="15"/>
  <c r="AX23" i="17"/>
  <c r="DO23" i="17" s="1"/>
  <c r="AW23" i="17"/>
  <c r="DN23" i="17" s="1"/>
  <c r="DQ23" i="17" s="1"/>
  <c r="ED29" i="17"/>
  <c r="FK30" i="17"/>
  <c r="ED26" i="17"/>
  <c r="EJ23" i="17"/>
  <c r="EN25" i="17"/>
  <c r="EQ22" i="17"/>
  <c r="EQ24" i="17"/>
  <c r="FI22" i="17"/>
  <c r="EJ24" i="17"/>
  <c r="EN29" i="17"/>
  <c r="EN21" i="17"/>
  <c r="FL30" i="17"/>
  <c r="FJ30" i="17"/>
  <c r="EM23" i="17"/>
  <c r="FG30" i="17"/>
  <c r="ED23" i="17"/>
  <c r="EM29" i="17"/>
  <c r="EQ23" i="17"/>
  <c r="FL22" i="17"/>
  <c r="FL29" i="17"/>
  <c r="EL27" i="17"/>
  <c r="FB29" i="17"/>
  <c r="FI24" i="17"/>
  <c r="EL23" i="17"/>
  <c r="FI26" i="17"/>
  <c r="EF29" i="17"/>
  <c r="EK27" i="17"/>
  <c r="EP29" i="17"/>
  <c r="EP22" i="17"/>
  <c r="FB27" i="17"/>
  <c r="FL24" i="17"/>
  <c r="FJ26" i="17"/>
  <c r="EH24" i="17"/>
  <c r="ED24" i="17"/>
  <c r="EZ28" i="17"/>
  <c r="FH26" i="17"/>
  <c r="FK23" i="17"/>
  <c r="EN23" i="17"/>
  <c r="FF24" i="17"/>
  <c r="EG22" i="17"/>
  <c r="EG28" i="17"/>
  <c r="EN26" i="17"/>
  <c r="EF24" i="17"/>
  <c r="FB20" i="17"/>
  <c r="EZ23" i="17"/>
  <c r="EE23" i="17"/>
  <c r="FC27" i="17"/>
  <c r="FE21" i="17"/>
  <c r="EM28" i="17"/>
  <c r="FF30" i="17"/>
  <c r="FL20" i="17"/>
  <c r="FF23" i="17"/>
  <c r="FF25" i="17"/>
  <c r="EE26" i="17"/>
  <c r="FM21" i="17"/>
  <c r="FM28" i="17"/>
  <c r="ED28" i="17"/>
  <c r="FE29" i="17"/>
  <c r="FG22" i="17"/>
  <c r="FI25" i="17"/>
  <c r="EL28" i="17"/>
  <c r="EH30" i="17"/>
  <c r="FH28" i="17"/>
  <c r="EZ22" i="17"/>
  <c r="FI30" i="17"/>
  <c r="EM30" i="17"/>
  <c r="FE27" i="17"/>
  <c r="EK23" i="17"/>
  <c r="FK29" i="17"/>
  <c r="FG20" i="17"/>
  <c r="EI29" i="17"/>
  <c r="EI26" i="17"/>
  <c r="EH27" i="17"/>
  <c r="EQ21" i="17"/>
  <c r="EZ29" i="17"/>
  <c r="FF21" i="17"/>
  <c r="FA28" i="17"/>
  <c r="FE26" i="17"/>
  <c r="FC24" i="17"/>
  <c r="FJ25" i="17"/>
  <c r="FG24" i="17"/>
  <c r="FG29" i="17"/>
  <c r="EP28" i="17"/>
  <c r="EO22" i="17"/>
  <c r="FD21" i="17"/>
  <c r="EJ22" i="17"/>
  <c r="FA30" i="17"/>
  <c r="EP26" i="17"/>
  <c r="FE23" i="17"/>
  <c r="EO28" i="17"/>
  <c r="EH21" i="17"/>
  <c r="FI28" i="17"/>
  <c r="FC26" i="17"/>
  <c r="FI27" i="17"/>
  <c r="EM22" i="17"/>
  <c r="FK21" i="17"/>
  <c r="FH29" i="17"/>
  <c r="ED25" i="17"/>
  <c r="FK24" i="17"/>
  <c r="FF20" i="17"/>
  <c r="EF25" i="17"/>
  <c r="FA20" i="17"/>
  <c r="EO27" i="17"/>
  <c r="FH20" i="17"/>
  <c r="EE28" i="17"/>
  <c r="FG27" i="17"/>
  <c r="EF26" i="17"/>
  <c r="EO26" i="17"/>
  <c r="FC29" i="17"/>
  <c r="FL28" i="17"/>
  <c r="EQ30" i="17"/>
  <c r="FM25" i="17"/>
  <c r="EO30" i="17"/>
  <c r="EF28" i="17"/>
  <c r="FB26" i="17"/>
  <c r="EL25" i="17"/>
  <c r="EJ25" i="17"/>
  <c r="EE25" i="17"/>
  <c r="EG29" i="17"/>
  <c r="EE27" i="17"/>
  <c r="FD27" i="17"/>
  <c r="EK21" i="17"/>
  <c r="FC22" i="17"/>
  <c r="FH21" i="17"/>
  <c r="EI27" i="17"/>
  <c r="EK30" i="17"/>
  <c r="FC21" i="17"/>
  <c r="EK29" i="17"/>
  <c r="EI22" i="17"/>
  <c r="EQ28" i="17"/>
  <c r="FH23" i="17"/>
  <c r="EO24" i="17"/>
  <c r="FC25" i="17"/>
  <c r="FD26" i="17"/>
  <c r="EG23" i="17"/>
  <c r="FD22" i="17"/>
  <c r="EN24" i="17"/>
  <c r="EN28" i="17"/>
  <c r="EJ21" i="17"/>
  <c r="EO23" i="17"/>
  <c r="EF30" i="17"/>
  <c r="EI28" i="17"/>
  <c r="FA23" i="17"/>
  <c r="FG28" i="17"/>
  <c r="FE30" i="17"/>
  <c r="FI20" i="17"/>
  <c r="FH24" i="17"/>
  <c r="EP23" i="17"/>
  <c r="FL25" i="17"/>
  <c r="FJ20" i="17"/>
  <c r="EE30" i="17"/>
  <c r="EZ20" i="17"/>
  <c r="EK28" i="17"/>
  <c r="EP21" i="17"/>
  <c r="FF29" i="17"/>
  <c r="FD23" i="17"/>
  <c r="FJ23" i="17"/>
  <c r="FA26" i="17"/>
  <c r="FA22" i="17"/>
  <c r="EH26" i="17"/>
  <c r="FH27" i="17"/>
  <c r="EE22" i="17"/>
  <c r="FM27" i="17"/>
  <c r="FM26" i="17"/>
  <c r="EO25" i="17"/>
  <c r="EG30" i="17"/>
  <c r="FJ29" i="17"/>
  <c r="EI25" i="17"/>
  <c r="FG25" i="17"/>
  <c r="EG25" i="17"/>
  <c r="FJ22" i="17"/>
  <c r="ED22" i="17"/>
  <c r="FI23" i="17"/>
  <c r="EH23" i="17"/>
  <c r="FM22" i="17"/>
  <c r="FC23" i="17"/>
  <c r="EM24" i="17"/>
  <c r="FD28" i="17"/>
  <c r="EI23" i="17"/>
  <c r="EZ30" i="17"/>
  <c r="FK28" i="17"/>
  <c r="FL23" i="17"/>
  <c r="FB25" i="17"/>
  <c r="EF21" i="17"/>
  <c r="EL21" i="17"/>
  <c r="FD20" i="17"/>
  <c r="EQ27" i="17"/>
  <c r="FL27" i="17"/>
  <c r="EZ21" i="17"/>
  <c r="FF27" i="17"/>
  <c r="FE20" i="17"/>
  <c r="FA24" i="17"/>
  <c r="FH30" i="17"/>
  <c r="EE29" i="17"/>
  <c r="EH22" i="17"/>
  <c r="FE24" i="17"/>
  <c r="FD30" i="17"/>
  <c r="EK25" i="17"/>
  <c r="EJ29" i="17"/>
  <c r="FK22" i="17"/>
  <c r="EO29" i="17"/>
  <c r="FB23" i="17"/>
  <c r="FD25" i="17"/>
  <c r="FL21" i="17"/>
  <c r="EM26" i="17"/>
  <c r="EL22" i="17"/>
  <c r="ED21" i="17"/>
  <c r="EK26" i="17"/>
  <c r="FA21" i="17"/>
  <c r="FD29" i="17"/>
  <c r="EP30" i="17"/>
  <c r="EG26" i="17"/>
  <c r="FJ28" i="17"/>
  <c r="EQ26" i="17"/>
  <c r="FD24" i="17"/>
  <c r="EP24" i="17"/>
  <c r="EF22" i="17"/>
  <c r="EM27" i="17"/>
  <c r="FK26" i="17"/>
  <c r="FJ21" i="17"/>
  <c r="FH25" i="17"/>
  <c r="ED27" i="17"/>
  <c r="FJ24" i="17"/>
  <c r="EI24" i="17"/>
  <c r="FA25" i="17"/>
  <c r="FG23" i="17"/>
  <c r="EL29" i="17"/>
  <c r="EZ26" i="17"/>
  <c r="FG26" i="17"/>
  <c r="EG21" i="17"/>
  <c r="FL26" i="17"/>
  <c r="EK24" i="17"/>
  <c r="FH22" i="17"/>
  <c r="FF26" i="17"/>
  <c r="EI21" i="17"/>
  <c r="EN30" i="17"/>
  <c r="FC20" i="17"/>
  <c r="EL26" i="17"/>
  <c r="FM29" i="17"/>
  <c r="FB30" i="17"/>
  <c r="EJ30" i="17"/>
  <c r="EP27" i="17"/>
  <c r="FF28" i="17"/>
  <c r="EM25" i="17"/>
  <c r="FM24" i="17"/>
  <c r="EL30" i="17"/>
  <c r="EE24" i="17"/>
  <c r="EH29" i="17"/>
  <c r="EG24" i="17"/>
  <c r="EH28" i="17"/>
  <c r="FK20" i="17"/>
  <c r="FF22" i="17"/>
  <c r="FI29" i="17"/>
  <c r="EI30" i="17"/>
  <c r="FE22" i="17"/>
  <c r="FB28" i="17"/>
  <c r="EG27" i="17"/>
  <c r="EQ25" i="17"/>
  <c r="EF23" i="17"/>
  <c r="FM23" i="17"/>
  <c r="FG21" i="17"/>
  <c r="FK27" i="17"/>
  <c r="FC28" i="17"/>
  <c r="FB21" i="17"/>
  <c r="EJ28" i="17"/>
  <c r="FM30" i="17"/>
  <c r="EO21" i="17"/>
  <c r="EZ24" i="17"/>
  <c r="FA29" i="17"/>
  <c r="EP25" i="17"/>
  <c r="EM21" i="17"/>
  <c r="FJ27" i="17"/>
  <c r="FE28" i="17"/>
  <c r="EZ27" i="17"/>
  <c r="EF27" i="17"/>
  <c r="EQ29" i="17"/>
  <c r="FA27" i="17"/>
  <c r="FB24" i="17"/>
  <c r="EZ25" i="17"/>
  <c r="EE21" i="17"/>
  <c r="FB22" i="17"/>
  <c r="EN27" i="17"/>
  <c r="EJ26" i="17"/>
  <c r="FK25" i="17"/>
  <c r="EL24" i="17"/>
  <c r="FE25" i="17"/>
  <c r="EN22" i="17"/>
  <c r="FC30" i="17"/>
  <c r="ED30" i="17"/>
  <c r="EK22" i="17"/>
  <c r="EH25" i="17"/>
  <c r="FI21" i="17"/>
  <c r="EJ27" i="17"/>
  <c r="DT28" i="17" l="1"/>
  <c r="DS26" i="17"/>
  <c r="DS27" i="17"/>
  <c r="DS30" i="17"/>
  <c r="DT30" i="17"/>
  <c r="DT26" i="17"/>
  <c r="DS28" i="17"/>
  <c r="DS25" i="17"/>
  <c r="DT23" i="17"/>
  <c r="DS23" i="17"/>
  <c r="DS22" i="17"/>
  <c r="DT21" i="17"/>
  <c r="DT29" i="17"/>
  <c r="DS24" i="17"/>
  <c r="DS21" i="17"/>
  <c r="DT24" i="17"/>
  <c r="DS29" i="17"/>
  <c r="DT25" i="17"/>
  <c r="DT22" i="17"/>
  <c r="DT27" i="17"/>
  <c r="AX24" i="17"/>
  <c r="DO24" i="17" s="1"/>
  <c r="AW24" i="17"/>
  <c r="AW25" i="17" s="1"/>
  <c r="DU22" i="17" l="1"/>
  <c r="AH564" i="15"/>
  <c r="AK564" i="15" s="1"/>
  <c r="AL564" i="15" s="1"/>
  <c r="AM563" i="15"/>
  <c r="AN563" i="15" s="1"/>
  <c r="AJ563" i="15"/>
  <c r="DU23" i="17"/>
  <c r="DU21" i="17"/>
  <c r="DN24" i="17"/>
  <c r="DQ24" i="17" s="1"/>
  <c r="DU24" i="17" s="1"/>
  <c r="AX25" i="17"/>
  <c r="DO25" i="17" s="1"/>
  <c r="DN25" i="17"/>
  <c r="DQ25" i="17" s="1"/>
  <c r="AX26" i="17"/>
  <c r="DO26" i="17" s="1"/>
  <c r="AW26" i="17"/>
  <c r="AJ564" i="15" l="1"/>
  <c r="AM564" i="15"/>
  <c r="AN564" i="15" s="1"/>
  <c r="DU25" i="17"/>
  <c r="DN26" i="17"/>
  <c r="DQ26" i="17" s="1"/>
  <c r="DU26" i="17" s="1"/>
  <c r="AX27" i="17"/>
  <c r="DO27" i="17" s="1"/>
  <c r="AW27" i="17"/>
  <c r="AV28" i="15" l="1"/>
  <c r="AV50" i="15"/>
  <c r="AV122" i="15"/>
  <c r="AV96" i="15"/>
  <c r="AV76" i="15"/>
  <c r="AV27" i="15"/>
  <c r="AV41" i="15"/>
  <c r="AV42" i="15"/>
  <c r="AV84" i="15"/>
  <c r="AV59" i="15"/>
  <c r="AV125" i="15"/>
  <c r="AV110" i="15"/>
  <c r="AV70" i="15"/>
  <c r="AV108" i="15"/>
  <c r="AV93" i="15"/>
  <c r="AV75" i="15"/>
  <c r="AV98" i="15"/>
  <c r="AV77" i="15"/>
  <c r="AV87" i="15"/>
  <c r="AV92" i="15"/>
  <c r="AV102" i="15"/>
  <c r="AV74" i="15"/>
  <c r="AV129" i="15"/>
  <c r="AV23" i="15"/>
  <c r="AV91" i="15"/>
  <c r="AV81" i="15"/>
  <c r="AV88" i="15"/>
  <c r="AV34" i="15"/>
  <c r="AV29" i="15"/>
  <c r="AV82" i="15"/>
  <c r="AV69" i="15"/>
  <c r="AV89" i="15"/>
  <c r="AV97" i="15"/>
  <c r="AV130" i="15"/>
  <c r="AV117" i="15"/>
  <c r="AV26" i="15"/>
  <c r="AV85" i="15"/>
  <c r="AV114" i="15"/>
  <c r="AV99" i="15"/>
  <c r="AV58" i="15"/>
  <c r="AV83" i="15"/>
  <c r="AV48" i="15"/>
  <c r="AV119" i="15"/>
  <c r="AV38" i="15"/>
  <c r="AV94" i="15"/>
  <c r="AV79" i="15"/>
  <c r="AV137" i="15"/>
  <c r="AV47" i="15"/>
  <c r="AV71" i="15"/>
  <c r="AV63" i="15"/>
  <c r="AV73" i="15"/>
  <c r="AV90" i="15"/>
  <c r="AV121" i="15"/>
  <c r="AV107" i="15"/>
  <c r="AV120" i="15"/>
  <c r="AV78" i="15"/>
  <c r="AV104" i="15"/>
  <c r="AV95" i="15"/>
  <c r="AV105" i="15"/>
  <c r="AV64" i="15"/>
  <c r="AV101" i="15"/>
  <c r="AV126" i="15"/>
  <c r="AV118" i="15"/>
  <c r="AV103" i="15"/>
  <c r="AV80" i="15"/>
  <c r="AV109" i="15"/>
  <c r="AV106" i="15"/>
  <c r="AV138" i="15"/>
  <c r="AV124" i="15"/>
  <c r="AV127" i="15"/>
  <c r="AV151" i="15"/>
  <c r="AX151" i="15" s="1"/>
  <c r="AV55" i="15"/>
  <c r="AV68" i="15"/>
  <c r="AV148" i="15"/>
  <c r="AX148" i="15" s="1"/>
  <c r="AV24" i="15"/>
  <c r="AV56" i="15"/>
  <c r="AV144" i="15"/>
  <c r="AV113" i="15"/>
  <c r="AV116" i="15"/>
  <c r="AV146" i="15"/>
  <c r="AY146" i="15" s="1"/>
  <c r="AV142" i="15"/>
  <c r="AV128" i="15"/>
  <c r="AV135" i="15"/>
  <c r="AV141" i="15"/>
  <c r="AV39" i="15"/>
  <c r="AV65" i="15"/>
  <c r="AV57" i="15"/>
  <c r="AV31" i="15"/>
  <c r="AV51" i="15"/>
  <c r="AV49" i="15"/>
  <c r="AV53" i="15"/>
  <c r="AV43" i="15"/>
  <c r="AV147" i="15"/>
  <c r="AW147" i="15" s="1"/>
  <c r="AV145" i="15"/>
  <c r="AV149" i="15"/>
  <c r="AW149" i="15" s="1"/>
  <c r="AV44" i="15"/>
  <c r="AV21" i="15"/>
  <c r="AV35" i="15"/>
  <c r="AV36" i="15"/>
  <c r="AV54" i="15"/>
  <c r="AV112" i="15"/>
  <c r="AV86" i="15"/>
  <c r="AV131" i="15"/>
  <c r="AV136" i="15"/>
  <c r="AV60" i="15"/>
  <c r="AV32" i="15"/>
  <c r="AV143" i="15"/>
  <c r="AV52" i="15"/>
  <c r="AV45" i="15"/>
  <c r="AV100" i="15"/>
  <c r="AV111" i="15"/>
  <c r="AV115" i="15"/>
  <c r="AV134" i="15"/>
  <c r="AV139" i="15"/>
  <c r="AV123" i="15"/>
  <c r="AV132" i="15"/>
  <c r="AV133" i="15"/>
  <c r="AV66" i="15"/>
  <c r="AV152" i="15"/>
  <c r="AX152" i="15" s="1"/>
  <c r="AV46" i="15"/>
  <c r="AV67" i="15"/>
  <c r="AV30" i="15"/>
  <c r="AV22" i="15"/>
  <c r="AV62" i="15"/>
  <c r="AV25" i="15"/>
  <c r="AV72" i="15"/>
  <c r="AV140" i="15"/>
  <c r="AV150" i="15"/>
  <c r="AX150" i="15" s="1"/>
  <c r="AV20" i="15"/>
  <c r="AV33" i="15"/>
  <c r="AV37" i="15"/>
  <c r="AV40" i="15"/>
  <c r="AV61" i="15"/>
  <c r="DN27" i="17"/>
  <c r="DQ27" i="17" s="1"/>
  <c r="DU27" i="17" s="1"/>
  <c r="AW28" i="17"/>
  <c r="AX28" i="17"/>
  <c r="DO28" i="17" s="1"/>
  <c r="AY28" i="15" l="1"/>
  <c r="AY27" i="15"/>
  <c r="DX109" i="15"/>
  <c r="AY117" i="15"/>
  <c r="AY42" i="15"/>
  <c r="AY87" i="15"/>
  <c r="AY122" i="15"/>
  <c r="AY41" i="15"/>
  <c r="DX122" i="15"/>
  <c r="AY50" i="15"/>
  <c r="AY77" i="15"/>
  <c r="AY82" i="15"/>
  <c r="AY93" i="15"/>
  <c r="AY88" i="15"/>
  <c r="AY84" i="15"/>
  <c r="AY76" i="15"/>
  <c r="DX91" i="15"/>
  <c r="DX102" i="15"/>
  <c r="AY85" i="15"/>
  <c r="DX98" i="15"/>
  <c r="DX75" i="15"/>
  <c r="AY45" i="15"/>
  <c r="AY121" i="15"/>
  <c r="DX94" i="15"/>
  <c r="DX96" i="15"/>
  <c r="AY70" i="15"/>
  <c r="DX110" i="15"/>
  <c r="AY96" i="15"/>
  <c r="AX147" i="15"/>
  <c r="AY67" i="15"/>
  <c r="DX121" i="15"/>
  <c r="AY71" i="15"/>
  <c r="AY102" i="15"/>
  <c r="AY94" i="15"/>
  <c r="AY112" i="15"/>
  <c r="DX85" i="15"/>
  <c r="AY98" i="15"/>
  <c r="AY142" i="15"/>
  <c r="DX104" i="15"/>
  <c r="AY101" i="15"/>
  <c r="DX71" i="15"/>
  <c r="AY83" i="15"/>
  <c r="AY97" i="15"/>
  <c r="AY29" i="15"/>
  <c r="AX144" i="15"/>
  <c r="JV171" i="10" s="1"/>
  <c r="DX80" i="15"/>
  <c r="DX70" i="15"/>
  <c r="DX83" i="15"/>
  <c r="DX76" i="15"/>
  <c r="DX97" i="15"/>
  <c r="DX84" i="15"/>
  <c r="AY91" i="15"/>
  <c r="AY21" i="15"/>
  <c r="AY68" i="15"/>
  <c r="DX101" i="15"/>
  <c r="AY60" i="15"/>
  <c r="AY80" i="15"/>
  <c r="AY51" i="15"/>
  <c r="AX142" i="15"/>
  <c r="JV169" i="10" s="1"/>
  <c r="AW144" i="15"/>
  <c r="DX68" i="15"/>
  <c r="AY147" i="15"/>
  <c r="AW142" i="15"/>
  <c r="AY144" i="15"/>
  <c r="DX124" i="15"/>
  <c r="AY104" i="15"/>
  <c r="DX112" i="15"/>
  <c r="AY39" i="15"/>
  <c r="AY124" i="15"/>
  <c r="AY133" i="15"/>
  <c r="DX134" i="15"/>
  <c r="AY134" i="15"/>
  <c r="AX139" i="15"/>
  <c r="AW20" i="15"/>
  <c r="DX133" i="15"/>
  <c r="AY110" i="15"/>
  <c r="AW141" i="15"/>
  <c r="AY78" i="15"/>
  <c r="AW138" i="15"/>
  <c r="AY90" i="15"/>
  <c r="AY75" i="15"/>
  <c r="DX117" i="15"/>
  <c r="DX88" i="15"/>
  <c r="AY125" i="15"/>
  <c r="AY105" i="15"/>
  <c r="AY69" i="15"/>
  <c r="DX125" i="15"/>
  <c r="DX69" i="15"/>
  <c r="DX77" i="15"/>
  <c r="DX126" i="15"/>
  <c r="DX108" i="15"/>
  <c r="AY59" i="15"/>
  <c r="AY148" i="15"/>
  <c r="AY74" i="15"/>
  <c r="DX86" i="15"/>
  <c r="AY114" i="15"/>
  <c r="AY108" i="15"/>
  <c r="AY35" i="15"/>
  <c r="DL145" i="15"/>
  <c r="AY128" i="15"/>
  <c r="AY127" i="15"/>
  <c r="DX87" i="15"/>
  <c r="DX93" i="15"/>
  <c r="AY129" i="15"/>
  <c r="AY73" i="15"/>
  <c r="AY119" i="15"/>
  <c r="AY132" i="15"/>
  <c r="DX115" i="15"/>
  <c r="AY99" i="15"/>
  <c r="DX129" i="15"/>
  <c r="AY118" i="15"/>
  <c r="DX119" i="15"/>
  <c r="DX99" i="15"/>
  <c r="AY106" i="15"/>
  <c r="DX120" i="15"/>
  <c r="DX106" i="15"/>
  <c r="AY120" i="15"/>
  <c r="DX105" i="15"/>
  <c r="DX118" i="15"/>
  <c r="DX73" i="15"/>
  <c r="AY137" i="15"/>
  <c r="AY30" i="15"/>
  <c r="AY95" i="15"/>
  <c r="AY126" i="15"/>
  <c r="DX74" i="15"/>
  <c r="AY150" i="15"/>
  <c r="AW139" i="15"/>
  <c r="AY86" i="15"/>
  <c r="DX114" i="15"/>
  <c r="DX82" i="15"/>
  <c r="AY81" i="15"/>
  <c r="AY145" i="15"/>
  <c r="AY113" i="15"/>
  <c r="AW148" i="15"/>
  <c r="DX127" i="15"/>
  <c r="DX95" i="15"/>
  <c r="AY107" i="15"/>
  <c r="AY48" i="15"/>
  <c r="AY79" i="15"/>
  <c r="DX100" i="15"/>
  <c r="AY130" i="15"/>
  <c r="DX72" i="15"/>
  <c r="DX81" i="15"/>
  <c r="AX145" i="15"/>
  <c r="JV172" i="10" s="1"/>
  <c r="DX113" i="15"/>
  <c r="AY109" i="15"/>
  <c r="DX107" i="15"/>
  <c r="AY63" i="15"/>
  <c r="DX79" i="15"/>
  <c r="AY72" i="15"/>
  <c r="AY66" i="15"/>
  <c r="AY139" i="15"/>
  <c r="AY100" i="15"/>
  <c r="DX130" i="15"/>
  <c r="AW145" i="15"/>
  <c r="AY49" i="15"/>
  <c r="AY65" i="15"/>
  <c r="DX128" i="15"/>
  <c r="AY103" i="15"/>
  <c r="AY92" i="15"/>
  <c r="AW150" i="15"/>
  <c r="AY62" i="15"/>
  <c r="AY46" i="15"/>
  <c r="AY136" i="15"/>
  <c r="AY34" i="15"/>
  <c r="AX146" i="15"/>
  <c r="AY55" i="15"/>
  <c r="DX103" i="15"/>
  <c r="AY64" i="15"/>
  <c r="DX92" i="15"/>
  <c r="AY58" i="15"/>
  <c r="AY40" i="15"/>
  <c r="AY52" i="15"/>
  <c r="AY89" i="15"/>
  <c r="AY44" i="15"/>
  <c r="AY141" i="15"/>
  <c r="AW146" i="15"/>
  <c r="AY138" i="15"/>
  <c r="AY33" i="15"/>
  <c r="AY32" i="15"/>
  <c r="DX78" i="15"/>
  <c r="DX90" i="15"/>
  <c r="AY47" i="15"/>
  <c r="AY38" i="15"/>
  <c r="DX132" i="15"/>
  <c r="AY115" i="15"/>
  <c r="AY26" i="15"/>
  <c r="DX89" i="15"/>
  <c r="AY23" i="15"/>
  <c r="AY54" i="15"/>
  <c r="AY43" i="15"/>
  <c r="AX141" i="15"/>
  <c r="AY56" i="15"/>
  <c r="AX138" i="15"/>
  <c r="DX67" i="15"/>
  <c r="AY31" i="15"/>
  <c r="AY37" i="15"/>
  <c r="AW140" i="15"/>
  <c r="DX123" i="15"/>
  <c r="AY111" i="15"/>
  <c r="AX143" i="15"/>
  <c r="JV170" i="10" s="1"/>
  <c r="JP170" i="10"/>
  <c r="DX131" i="15"/>
  <c r="AY36" i="15"/>
  <c r="DX135" i="15"/>
  <c r="DX116" i="15"/>
  <c r="AY116" i="15"/>
  <c r="DX111" i="15"/>
  <c r="AY131" i="15"/>
  <c r="AY151" i="15"/>
  <c r="AY152" i="15"/>
  <c r="AY57" i="15"/>
  <c r="AY135" i="15"/>
  <c r="AX20" i="15"/>
  <c r="AX149" i="15"/>
  <c r="AY20" i="15"/>
  <c r="AY61" i="15"/>
  <c r="AY25" i="15"/>
  <c r="AW151" i="15"/>
  <c r="AW152" i="15"/>
  <c r="AY123" i="15"/>
  <c r="AY140" i="15"/>
  <c r="AY149" i="15"/>
  <c r="AY24" i="15"/>
  <c r="AX140" i="15"/>
  <c r="AY22" i="15"/>
  <c r="AW143" i="15"/>
  <c r="AY53" i="15"/>
  <c r="AY143" i="15"/>
  <c r="EX20" i="15"/>
  <c r="DK20" i="15"/>
  <c r="JP47" i="10"/>
  <c r="JQ47" i="10" s="1"/>
  <c r="B13" i="20" s="1"/>
  <c r="EX30" i="15"/>
  <c r="DK30" i="15"/>
  <c r="JP57" i="10"/>
  <c r="JP49" i="10"/>
  <c r="DK22" i="15"/>
  <c r="EX22" i="15"/>
  <c r="EX28" i="15"/>
  <c r="DK28" i="15"/>
  <c r="JP55" i="10"/>
  <c r="EX23" i="15"/>
  <c r="JP50" i="10"/>
  <c r="DK23" i="15"/>
  <c r="EX144" i="15"/>
  <c r="DK144" i="15"/>
  <c r="DU144" i="15" s="1"/>
  <c r="DV144" i="15" s="1"/>
  <c r="JP171" i="10"/>
  <c r="EX24" i="15"/>
  <c r="DK24" i="15"/>
  <c r="JP51" i="10"/>
  <c r="DK26" i="15"/>
  <c r="JP53" i="10"/>
  <c r="EX26" i="15"/>
  <c r="JP54" i="10"/>
  <c r="EX27" i="15"/>
  <c r="DK27" i="15"/>
  <c r="JP172" i="10"/>
  <c r="DK145" i="15"/>
  <c r="DU145" i="15" s="1"/>
  <c r="DV145" i="15" s="1"/>
  <c r="EX145" i="15"/>
  <c r="JP52" i="10"/>
  <c r="EX25" i="15"/>
  <c r="DK25" i="15"/>
  <c r="EX29" i="15"/>
  <c r="DK29" i="15"/>
  <c r="JP56" i="10"/>
  <c r="DN28" i="17"/>
  <c r="DQ28" i="17" s="1"/>
  <c r="DU28" i="17" s="1"/>
  <c r="AW29" i="17"/>
  <c r="AX29" i="17"/>
  <c r="DO29" i="17" s="1"/>
  <c r="JQ51" i="10" l="1"/>
  <c r="B17" i="20" s="1"/>
  <c r="DX21" i="15"/>
  <c r="JQ53" i="10"/>
  <c r="B19" i="20" s="1"/>
  <c r="JQ55" i="10"/>
  <c r="B21" i="20" s="1"/>
  <c r="JQ56" i="10"/>
  <c r="B22" i="20" s="1"/>
  <c r="JQ50" i="10"/>
  <c r="B16" i="20" s="1"/>
  <c r="JQ57" i="10"/>
  <c r="B23" i="20" s="1"/>
  <c r="JQ54" i="10"/>
  <c r="B20" i="20" s="1"/>
  <c r="JQ52" i="10"/>
  <c r="B18" i="20" s="1"/>
  <c r="DS145" i="15"/>
  <c r="DT145" i="15" s="1"/>
  <c r="JX172" i="10" s="1"/>
  <c r="DS144" i="15"/>
  <c r="DT144" i="15" s="1"/>
  <c r="JX171" i="10" s="1"/>
  <c r="EX21" i="15"/>
  <c r="JP48" i="10"/>
  <c r="JQ48" i="10" s="1"/>
  <c r="B14" i="20" s="1"/>
  <c r="JZ171" i="10"/>
  <c r="JS172" i="10"/>
  <c r="DK21" i="15"/>
  <c r="AX21" i="15"/>
  <c r="AW21" i="15"/>
  <c r="JY172" i="10"/>
  <c r="JR172" i="10"/>
  <c r="EX143" i="15"/>
  <c r="DK143" i="15"/>
  <c r="DU143" i="15" s="1"/>
  <c r="DV143" i="15" s="1"/>
  <c r="JQ172" i="10"/>
  <c r="JQ171" i="10"/>
  <c r="DK88" i="15"/>
  <c r="JP115" i="10"/>
  <c r="EX88" i="15"/>
  <c r="JP144" i="10"/>
  <c r="EX117" i="15"/>
  <c r="DK117" i="15"/>
  <c r="DU117" i="15" s="1"/>
  <c r="DV117" i="15" s="1"/>
  <c r="EA117" i="15" s="1"/>
  <c r="EB117" i="15" s="1"/>
  <c r="JP113" i="10"/>
  <c r="DK86" i="15"/>
  <c r="EX86" i="15"/>
  <c r="JP133" i="10"/>
  <c r="DK106" i="15"/>
  <c r="DU106" i="15" s="1"/>
  <c r="DV106" i="15" s="1"/>
  <c r="EA106" i="15" s="1"/>
  <c r="EB106" i="15" s="1"/>
  <c r="EX106" i="15"/>
  <c r="JP104" i="10"/>
  <c r="EX77" i="15"/>
  <c r="DK77" i="15"/>
  <c r="JP127" i="10"/>
  <c r="EX100" i="15"/>
  <c r="DK100" i="15"/>
  <c r="DU100" i="15" s="1"/>
  <c r="DV100" i="15" s="1"/>
  <c r="EA100" i="15" s="1"/>
  <c r="EB100" i="15" s="1"/>
  <c r="DK67" i="15"/>
  <c r="EX67" i="15"/>
  <c r="JP94" i="10"/>
  <c r="DK72" i="15"/>
  <c r="JP99" i="10"/>
  <c r="EX72" i="15"/>
  <c r="JP148" i="10"/>
  <c r="EX121" i="15"/>
  <c r="DK121" i="15"/>
  <c r="DU121" i="15" s="1"/>
  <c r="DV121" i="15" s="1"/>
  <c r="EA121" i="15" s="1"/>
  <c r="EB121" i="15" s="1"/>
  <c r="JP122" i="10"/>
  <c r="EX95" i="15"/>
  <c r="DK95" i="15"/>
  <c r="DU95" i="15" s="1"/>
  <c r="DV95" i="15" s="1"/>
  <c r="EA95" i="15" s="1"/>
  <c r="EB95" i="15" s="1"/>
  <c r="JP68" i="10"/>
  <c r="EX41" i="15"/>
  <c r="DK41" i="15"/>
  <c r="JP86" i="10"/>
  <c r="EX59" i="15"/>
  <c r="DK59" i="15"/>
  <c r="EX140" i="15"/>
  <c r="DK140" i="15"/>
  <c r="DU140" i="15" s="1"/>
  <c r="DV140" i="15" s="1"/>
  <c r="JP167" i="10"/>
  <c r="DK94" i="15"/>
  <c r="DU94" i="15" s="1"/>
  <c r="DV94" i="15" s="1"/>
  <c r="EA94" i="15" s="1"/>
  <c r="EB94" i="15" s="1"/>
  <c r="JP121" i="10"/>
  <c r="EX94" i="15"/>
  <c r="EX90" i="15"/>
  <c r="JP117" i="10"/>
  <c r="DK90" i="15"/>
  <c r="DU90" i="15" s="1"/>
  <c r="DV90" i="15" s="1"/>
  <c r="EA90" i="15" s="1"/>
  <c r="EB90" i="15" s="1"/>
  <c r="EX78" i="15"/>
  <c r="JP105" i="10"/>
  <c r="DK78" i="15"/>
  <c r="JP145" i="10"/>
  <c r="EX118" i="15"/>
  <c r="DK118" i="15"/>
  <c r="DU118" i="15" s="1"/>
  <c r="DV118" i="15" s="1"/>
  <c r="EA118" i="15" s="1"/>
  <c r="EB118" i="15" s="1"/>
  <c r="DK96" i="15"/>
  <c r="DU96" i="15" s="1"/>
  <c r="DV96" i="15" s="1"/>
  <c r="EA96" i="15" s="1"/>
  <c r="EB96" i="15" s="1"/>
  <c r="JP123" i="10"/>
  <c r="EX96" i="15"/>
  <c r="EX98" i="15"/>
  <c r="JP125" i="10"/>
  <c r="DK98" i="15"/>
  <c r="DU98" i="15" s="1"/>
  <c r="DV98" i="15" s="1"/>
  <c r="EA98" i="15" s="1"/>
  <c r="EB98" i="15" s="1"/>
  <c r="EX45" i="15"/>
  <c r="DK45" i="15"/>
  <c r="JP72" i="10"/>
  <c r="DK92" i="15"/>
  <c r="DU92" i="15" s="1"/>
  <c r="DV92" i="15" s="1"/>
  <c r="EA92" i="15" s="1"/>
  <c r="EB92" i="15" s="1"/>
  <c r="JP119" i="10"/>
  <c r="EX92" i="15"/>
  <c r="EX142" i="15"/>
  <c r="JP169" i="10"/>
  <c r="DK142" i="15"/>
  <c r="DU142" i="15" s="1"/>
  <c r="DV142" i="15" s="1"/>
  <c r="EX82" i="15"/>
  <c r="JP109" i="10"/>
  <c r="DK82" i="15"/>
  <c r="DK130" i="15"/>
  <c r="DU130" i="15" s="1"/>
  <c r="DV130" i="15" s="1"/>
  <c r="JP157" i="10"/>
  <c r="EX130" i="15"/>
  <c r="DK139" i="15"/>
  <c r="DU139" i="15" s="1"/>
  <c r="DV139" i="15" s="1"/>
  <c r="JP166" i="10"/>
  <c r="EX139" i="15"/>
  <c r="DK58" i="15"/>
  <c r="JP85" i="10"/>
  <c r="EX58" i="15"/>
  <c r="DK70" i="15"/>
  <c r="JP97" i="10"/>
  <c r="EX70" i="15"/>
  <c r="JP153" i="10"/>
  <c r="DK126" i="15"/>
  <c r="DU126" i="15" s="1"/>
  <c r="DV126" i="15" s="1"/>
  <c r="EA126" i="15" s="1"/>
  <c r="EB126" i="15" s="1"/>
  <c r="EX126" i="15"/>
  <c r="JP95" i="10"/>
  <c r="EX68" i="15"/>
  <c r="DK68" i="15"/>
  <c r="EX113" i="15"/>
  <c r="DK113" i="15"/>
  <c r="DU113" i="15" s="1"/>
  <c r="DV113" i="15" s="1"/>
  <c r="EA113" i="15" s="1"/>
  <c r="EB113" i="15" s="1"/>
  <c r="JP140" i="10"/>
  <c r="EX141" i="15"/>
  <c r="JP168" i="10"/>
  <c r="DK141" i="15"/>
  <c r="DU141" i="15" s="1"/>
  <c r="DV141" i="15" s="1"/>
  <c r="DK93" i="15"/>
  <c r="DU93" i="15" s="1"/>
  <c r="DV93" i="15" s="1"/>
  <c r="EA93" i="15" s="1"/>
  <c r="EB93" i="15" s="1"/>
  <c r="JP120" i="10"/>
  <c r="EX93" i="15"/>
  <c r="JP106" i="10"/>
  <c r="EX79" i="15"/>
  <c r="DK79" i="15"/>
  <c r="EX71" i="15"/>
  <c r="DK71" i="15"/>
  <c r="JP98" i="10"/>
  <c r="EX135" i="15"/>
  <c r="JP162" i="10"/>
  <c r="DK135" i="15"/>
  <c r="DU135" i="15" s="1"/>
  <c r="DV135" i="15" s="1"/>
  <c r="DK65" i="15"/>
  <c r="JP92" i="10"/>
  <c r="EX65" i="15"/>
  <c r="JP156" i="10"/>
  <c r="EX129" i="15"/>
  <c r="DK129" i="15"/>
  <c r="DU129" i="15" s="1"/>
  <c r="DV129" i="15" s="1"/>
  <c r="DK125" i="15"/>
  <c r="DU125" i="15" s="1"/>
  <c r="DV125" i="15" s="1"/>
  <c r="EA125" i="15" s="1"/>
  <c r="EB125" i="15" s="1"/>
  <c r="JP152" i="10"/>
  <c r="EX125" i="15"/>
  <c r="EX55" i="15"/>
  <c r="DK55" i="15"/>
  <c r="JP82" i="10"/>
  <c r="JP77" i="10"/>
  <c r="EX50" i="15"/>
  <c r="DK50" i="15"/>
  <c r="JP163" i="10"/>
  <c r="EX136" i="15"/>
  <c r="DK136" i="15"/>
  <c r="DU136" i="15" s="1"/>
  <c r="DV136" i="15" s="1"/>
  <c r="DK134" i="15"/>
  <c r="DU134" i="15" s="1"/>
  <c r="DV134" i="15" s="1"/>
  <c r="JP161" i="10"/>
  <c r="EX134" i="15"/>
  <c r="JP93" i="10"/>
  <c r="DK66" i="15"/>
  <c r="EX66" i="15"/>
  <c r="DK46" i="15"/>
  <c r="JP73" i="10"/>
  <c r="EX46" i="15"/>
  <c r="EX42" i="15"/>
  <c r="DK42" i="15"/>
  <c r="JP69" i="10"/>
  <c r="EX87" i="15"/>
  <c r="DK87" i="15"/>
  <c r="JP114" i="10"/>
  <c r="JP128" i="10"/>
  <c r="EX101" i="15"/>
  <c r="DK101" i="15"/>
  <c r="DU101" i="15" s="1"/>
  <c r="DV101" i="15" s="1"/>
  <c r="EA101" i="15" s="1"/>
  <c r="EB101" i="15" s="1"/>
  <c r="DK80" i="15"/>
  <c r="JP107" i="10"/>
  <c r="EX80" i="15"/>
  <c r="DK116" i="15"/>
  <c r="DU116" i="15" s="1"/>
  <c r="DV116" i="15" s="1"/>
  <c r="EA116" i="15" s="1"/>
  <c r="EB116" i="15" s="1"/>
  <c r="JP143" i="10"/>
  <c r="EX116" i="15"/>
  <c r="JP81" i="10"/>
  <c r="EX54" i="15"/>
  <c r="DK54" i="15"/>
  <c r="DK81" i="15"/>
  <c r="JP108" i="10"/>
  <c r="EX81" i="15"/>
  <c r="JP96" i="10"/>
  <c r="EX69" i="15"/>
  <c r="DK69" i="15"/>
  <c r="EX115" i="15"/>
  <c r="DK115" i="15"/>
  <c r="DU115" i="15" s="1"/>
  <c r="DV115" i="15" s="1"/>
  <c r="EA115" i="15" s="1"/>
  <c r="EB115" i="15" s="1"/>
  <c r="JP142" i="10"/>
  <c r="DK102" i="15"/>
  <c r="DU102" i="15" s="1"/>
  <c r="DV102" i="15" s="1"/>
  <c r="EA102" i="15" s="1"/>
  <c r="EB102" i="15" s="1"/>
  <c r="JP129" i="10"/>
  <c r="EX102" i="15"/>
  <c r="DK48" i="15"/>
  <c r="JP75" i="10"/>
  <c r="EX48" i="15"/>
  <c r="EX74" i="15"/>
  <c r="JP101" i="10"/>
  <c r="DK74" i="15"/>
  <c r="JP91" i="10"/>
  <c r="DK64" i="15"/>
  <c r="EX64" i="15"/>
  <c r="DK124" i="15"/>
  <c r="DU124" i="15" s="1"/>
  <c r="DV124" i="15" s="1"/>
  <c r="EA124" i="15" s="1"/>
  <c r="EB124" i="15" s="1"/>
  <c r="JP151" i="10"/>
  <c r="EX124" i="15"/>
  <c r="JP70" i="10"/>
  <c r="EX43" i="15"/>
  <c r="DK43" i="15"/>
  <c r="DK131" i="15"/>
  <c r="DU131" i="15" s="1"/>
  <c r="DV131" i="15" s="1"/>
  <c r="JP158" i="10"/>
  <c r="EX131" i="15"/>
  <c r="DK60" i="15"/>
  <c r="JP87" i="10"/>
  <c r="EX60" i="15"/>
  <c r="JP79" i="10"/>
  <c r="DK52" i="15"/>
  <c r="EX52" i="15"/>
  <c r="JP160" i="10"/>
  <c r="EX133" i="15"/>
  <c r="DK133" i="15"/>
  <c r="DU133" i="15" s="1"/>
  <c r="DV133" i="15" s="1"/>
  <c r="DK61" i="15"/>
  <c r="JP88" i="10"/>
  <c r="EX61" i="15"/>
  <c r="EX47" i="15"/>
  <c r="DK47" i="15"/>
  <c r="JP74" i="10"/>
  <c r="EX63" i="15"/>
  <c r="DK63" i="15"/>
  <c r="JP90" i="10"/>
  <c r="DK120" i="15"/>
  <c r="DU120" i="15" s="1"/>
  <c r="DV120" i="15" s="1"/>
  <c r="EA120" i="15" s="1"/>
  <c r="EB120" i="15" s="1"/>
  <c r="JP147" i="10"/>
  <c r="EX120" i="15"/>
  <c r="JP71" i="10"/>
  <c r="EX44" i="15"/>
  <c r="DK44" i="15"/>
  <c r="EX110" i="15"/>
  <c r="JP137" i="10"/>
  <c r="DK110" i="15"/>
  <c r="DU110" i="15" s="1"/>
  <c r="DV110" i="15" s="1"/>
  <c r="EA110" i="15" s="1"/>
  <c r="EB110" i="15" s="1"/>
  <c r="DK111" i="15"/>
  <c r="DU111" i="15" s="1"/>
  <c r="DV111" i="15" s="1"/>
  <c r="EA111" i="15" s="1"/>
  <c r="EB111" i="15" s="1"/>
  <c r="JP138" i="10"/>
  <c r="EX111" i="15"/>
  <c r="JP89" i="10"/>
  <c r="DK62" i="15"/>
  <c r="EX62" i="15"/>
  <c r="DK73" i="15"/>
  <c r="JP100" i="10"/>
  <c r="EX73" i="15"/>
  <c r="DK56" i="15"/>
  <c r="JP83" i="10"/>
  <c r="EX56" i="15"/>
  <c r="JP103" i="10"/>
  <c r="EX76" i="15"/>
  <c r="DK76" i="15"/>
  <c r="EX114" i="15"/>
  <c r="JP141" i="10"/>
  <c r="DK114" i="15"/>
  <c r="DU114" i="15" s="1"/>
  <c r="DV114" i="15" s="1"/>
  <c r="EA114" i="15" s="1"/>
  <c r="EB114" i="15" s="1"/>
  <c r="DK99" i="15"/>
  <c r="DU99" i="15" s="1"/>
  <c r="DV99" i="15" s="1"/>
  <c r="EA99" i="15" s="1"/>
  <c r="EB99" i="15" s="1"/>
  <c r="JP126" i="10"/>
  <c r="EX99" i="15"/>
  <c r="DK109" i="15"/>
  <c r="DU109" i="15" s="1"/>
  <c r="DV109" i="15" s="1"/>
  <c r="EA109" i="15" s="1"/>
  <c r="EB109" i="15" s="1"/>
  <c r="JP136" i="10"/>
  <c r="EX109" i="15"/>
  <c r="DK49" i="15"/>
  <c r="JP76" i="10"/>
  <c r="EX49" i="15"/>
  <c r="EX91" i="15"/>
  <c r="DK91" i="15"/>
  <c r="DU91" i="15" s="1"/>
  <c r="DV91" i="15" s="1"/>
  <c r="EA91" i="15" s="1"/>
  <c r="EB91" i="15" s="1"/>
  <c r="JP118" i="10"/>
  <c r="EX89" i="15"/>
  <c r="JP116" i="10"/>
  <c r="DK89" i="15"/>
  <c r="JP124" i="10"/>
  <c r="EX97" i="15"/>
  <c r="DK97" i="15"/>
  <c r="DU97" i="15" s="1"/>
  <c r="DV97" i="15" s="1"/>
  <c r="EA97" i="15" s="1"/>
  <c r="EB97" i="15" s="1"/>
  <c r="JP150" i="10"/>
  <c r="EX123" i="15"/>
  <c r="DK123" i="15"/>
  <c r="DU123" i="15" s="1"/>
  <c r="DV123" i="15" s="1"/>
  <c r="EA123" i="15" s="1"/>
  <c r="EB123" i="15" s="1"/>
  <c r="DK138" i="15"/>
  <c r="DU138" i="15" s="1"/>
  <c r="DV138" i="15" s="1"/>
  <c r="JP165" i="10"/>
  <c r="EX138" i="15"/>
  <c r="DK128" i="15"/>
  <c r="DU128" i="15" s="1"/>
  <c r="DV128" i="15" s="1"/>
  <c r="EA128" i="15" s="1"/>
  <c r="EB128" i="15" s="1"/>
  <c r="JP155" i="10"/>
  <c r="EX128" i="15"/>
  <c r="EX57" i="15"/>
  <c r="DK57" i="15"/>
  <c r="JP84" i="10"/>
  <c r="DK119" i="15"/>
  <c r="DU119" i="15" s="1"/>
  <c r="DV119" i="15" s="1"/>
  <c r="EA119" i="15" s="1"/>
  <c r="EB119" i="15" s="1"/>
  <c r="JP146" i="10"/>
  <c r="EX119" i="15"/>
  <c r="EX107" i="15"/>
  <c r="DK107" i="15"/>
  <c r="DU107" i="15" s="1"/>
  <c r="DV107" i="15" s="1"/>
  <c r="EA107" i="15" s="1"/>
  <c r="EB107" i="15" s="1"/>
  <c r="JP134" i="10"/>
  <c r="JP154" i="10"/>
  <c r="EX127" i="15"/>
  <c r="DK127" i="15"/>
  <c r="DU127" i="15" s="1"/>
  <c r="DV127" i="15" s="1"/>
  <c r="EA127" i="15" s="1"/>
  <c r="EB127" i="15" s="1"/>
  <c r="JP78" i="10"/>
  <c r="EX51" i="15"/>
  <c r="DK51" i="15"/>
  <c r="JP80" i="10"/>
  <c r="EX53" i="15"/>
  <c r="DK53" i="15"/>
  <c r="JP102" i="10"/>
  <c r="EX75" i="15"/>
  <c r="DK75" i="15"/>
  <c r="DK112" i="15"/>
  <c r="DU112" i="15" s="1"/>
  <c r="DV112" i="15" s="1"/>
  <c r="EA112" i="15" s="1"/>
  <c r="EB112" i="15" s="1"/>
  <c r="JP139" i="10"/>
  <c r="EX112" i="15"/>
  <c r="EX137" i="15"/>
  <c r="DK137" i="15"/>
  <c r="DU137" i="15" s="1"/>
  <c r="DV137" i="15" s="1"/>
  <c r="JP164" i="10"/>
  <c r="DK104" i="15"/>
  <c r="DU104" i="15" s="1"/>
  <c r="DV104" i="15" s="1"/>
  <c r="EA104" i="15" s="1"/>
  <c r="EB104" i="15" s="1"/>
  <c r="JP131" i="10"/>
  <c r="EX104" i="15"/>
  <c r="DK105" i="15"/>
  <c r="DU105" i="15" s="1"/>
  <c r="DV105" i="15" s="1"/>
  <c r="EA105" i="15" s="1"/>
  <c r="EB105" i="15" s="1"/>
  <c r="JP132" i="10"/>
  <c r="EX105" i="15"/>
  <c r="DK84" i="15"/>
  <c r="JP111" i="10"/>
  <c r="EX84" i="15"/>
  <c r="JP149" i="10"/>
  <c r="DK122" i="15"/>
  <c r="DU122" i="15" s="1"/>
  <c r="DV122" i="15" s="1"/>
  <c r="EA122" i="15" s="1"/>
  <c r="EB122" i="15" s="1"/>
  <c r="EX122" i="15"/>
  <c r="DK108" i="15"/>
  <c r="DU108" i="15" s="1"/>
  <c r="DV108" i="15" s="1"/>
  <c r="EA108" i="15" s="1"/>
  <c r="EB108" i="15" s="1"/>
  <c r="JP135" i="10"/>
  <c r="EX108" i="15"/>
  <c r="DK85" i="15"/>
  <c r="JP112" i="10"/>
  <c r="EX85" i="15"/>
  <c r="EX132" i="15"/>
  <c r="JP159" i="10"/>
  <c r="DK132" i="15"/>
  <c r="DU132" i="15" s="1"/>
  <c r="DV132" i="15" s="1"/>
  <c r="JP110" i="10"/>
  <c r="EX83" i="15"/>
  <c r="DK83" i="15"/>
  <c r="EX103" i="15"/>
  <c r="DK103" i="15"/>
  <c r="DU103" i="15" s="1"/>
  <c r="DV103" i="15" s="1"/>
  <c r="EA103" i="15" s="1"/>
  <c r="EB103" i="15" s="1"/>
  <c r="JP130" i="10"/>
  <c r="DN29" i="17"/>
  <c r="DQ29" i="17" s="1"/>
  <c r="DU29" i="17" s="1"/>
  <c r="AW30" i="17"/>
  <c r="AX30" i="17"/>
  <c r="DO30" i="17" s="1"/>
  <c r="DX22" i="15" l="1"/>
  <c r="JW172" i="10"/>
  <c r="JQ49" i="10"/>
  <c r="B15" i="20" s="1"/>
  <c r="DS103" i="15"/>
  <c r="DT103" i="15" s="1"/>
  <c r="DS122" i="15"/>
  <c r="DT122" i="15" s="1"/>
  <c r="DS105" i="15"/>
  <c r="DT105" i="15" s="1"/>
  <c r="DS104" i="15"/>
  <c r="DT104" i="15" s="1"/>
  <c r="DS107" i="15"/>
  <c r="DT107" i="15" s="1"/>
  <c r="DS123" i="15"/>
  <c r="DT123" i="15" s="1"/>
  <c r="DS114" i="15"/>
  <c r="DT114" i="15" s="1"/>
  <c r="DS102" i="15"/>
  <c r="DT102" i="15" s="1"/>
  <c r="DS115" i="15"/>
  <c r="DT115" i="15" s="1"/>
  <c r="DS136" i="15"/>
  <c r="DT136" i="15" s="1"/>
  <c r="DS113" i="15"/>
  <c r="DT113" i="15" s="1"/>
  <c r="DS130" i="15"/>
  <c r="DT130" i="15" s="1"/>
  <c r="DS96" i="15"/>
  <c r="DT96" i="15" s="1"/>
  <c r="DS90" i="15"/>
  <c r="DT90" i="15" s="1"/>
  <c r="DS95" i="15"/>
  <c r="DT95" i="15" s="1"/>
  <c r="DS143" i="15"/>
  <c r="DT143" i="15" s="1"/>
  <c r="JX170" i="10" s="1"/>
  <c r="DS132" i="15"/>
  <c r="DT132" i="15" s="1"/>
  <c r="DS108" i="15"/>
  <c r="DT108" i="15" s="1"/>
  <c r="DS119" i="15"/>
  <c r="DT119" i="15" s="1"/>
  <c r="DS111" i="15"/>
  <c r="DT111" i="15" s="1"/>
  <c r="DS124" i="15"/>
  <c r="DT124" i="15" s="1"/>
  <c r="DS139" i="15"/>
  <c r="DT139" i="15" s="1"/>
  <c r="JX166" i="10" s="1"/>
  <c r="DS118" i="15"/>
  <c r="DT118" i="15" s="1"/>
  <c r="DS106" i="15"/>
  <c r="DT106" i="15" s="1"/>
  <c r="DS137" i="15"/>
  <c r="DT137" i="15" s="1"/>
  <c r="DS109" i="15"/>
  <c r="DT109" i="15" s="1"/>
  <c r="DS110" i="15"/>
  <c r="DT110" i="15" s="1"/>
  <c r="DS116" i="15"/>
  <c r="DT116" i="15" s="1"/>
  <c r="DS135" i="15"/>
  <c r="DT135" i="15" s="1"/>
  <c r="DS93" i="15"/>
  <c r="DT93" i="15" s="1"/>
  <c r="DS142" i="15"/>
  <c r="DT142" i="15" s="1"/>
  <c r="DS98" i="15"/>
  <c r="DT98" i="15" s="1"/>
  <c r="DS140" i="15"/>
  <c r="DT140" i="15" s="1"/>
  <c r="JX167" i="10" s="1"/>
  <c r="DS112" i="15"/>
  <c r="DT112" i="15" s="1"/>
  <c r="DS127" i="15"/>
  <c r="DT127" i="15" s="1"/>
  <c r="DS128" i="15"/>
  <c r="DT128" i="15" s="1"/>
  <c r="DS138" i="15"/>
  <c r="DT138" i="15" s="1"/>
  <c r="JX165" i="10" s="1"/>
  <c r="DS97" i="15"/>
  <c r="DT97" i="15" s="1"/>
  <c r="DS91" i="15"/>
  <c r="DT91" i="15" s="1"/>
  <c r="DS99" i="15"/>
  <c r="DT99" i="15" s="1"/>
  <c r="DS120" i="15"/>
  <c r="DT120" i="15" s="1"/>
  <c r="DS133" i="15"/>
  <c r="DT133" i="15" s="1"/>
  <c r="DS131" i="15"/>
  <c r="DT131" i="15" s="1"/>
  <c r="DS101" i="15"/>
  <c r="DT101" i="15" s="1"/>
  <c r="DS134" i="15"/>
  <c r="DT134" i="15" s="1"/>
  <c r="DS125" i="15"/>
  <c r="DT125" i="15" s="1"/>
  <c r="DS141" i="15"/>
  <c r="DT141" i="15" s="1"/>
  <c r="JX168" i="10" s="1"/>
  <c r="DS126" i="15"/>
  <c r="DT126" i="15" s="1"/>
  <c r="DS92" i="15"/>
  <c r="DT92" i="15" s="1"/>
  <c r="DS94" i="15"/>
  <c r="DT94" i="15" s="1"/>
  <c r="DS121" i="15"/>
  <c r="DT121" i="15" s="1"/>
  <c r="DS100" i="15"/>
  <c r="DT100" i="15" s="1"/>
  <c r="DS117" i="15"/>
  <c r="DT117" i="15" s="1"/>
  <c r="DD20" i="15"/>
  <c r="DE20" i="15"/>
  <c r="JU47" i="10"/>
  <c r="JT47" i="10"/>
  <c r="E13" i="20" s="1"/>
  <c r="JS47" i="10"/>
  <c r="D13" i="20" s="1"/>
  <c r="JR47" i="10"/>
  <c r="C13" i="20" s="1"/>
  <c r="JY171" i="10"/>
  <c r="JW171" i="10"/>
  <c r="JZ172" i="10"/>
  <c r="JT172" i="10"/>
  <c r="JU172" i="10"/>
  <c r="AW22" i="15"/>
  <c r="AW23" i="15" s="1"/>
  <c r="JT171" i="10"/>
  <c r="JU171" i="10"/>
  <c r="JS171" i="10"/>
  <c r="JR171" i="10"/>
  <c r="JQ87" i="10"/>
  <c r="B53" i="20" s="1"/>
  <c r="AX22" i="15"/>
  <c r="JQ149" i="10"/>
  <c r="B115" i="20" s="1"/>
  <c r="JQ130" i="10"/>
  <c r="B96" i="20" s="1"/>
  <c r="JQ118" i="10"/>
  <c r="B84" i="20" s="1"/>
  <c r="JQ139" i="10"/>
  <c r="B105" i="20" s="1"/>
  <c r="JQ146" i="10"/>
  <c r="B112" i="20" s="1"/>
  <c r="DS129" i="15"/>
  <c r="DT129" i="15" s="1"/>
  <c r="JY170" i="10"/>
  <c r="JT170" i="10"/>
  <c r="JR170" i="10"/>
  <c r="JQ89" i="10"/>
  <c r="B55" i="20" s="1"/>
  <c r="JU170" i="10"/>
  <c r="JS170" i="10"/>
  <c r="JQ159" i="10"/>
  <c r="B125" i="20" s="1"/>
  <c r="JZ170" i="10"/>
  <c r="JQ70" i="10"/>
  <c r="B36" i="20" s="1"/>
  <c r="JQ168" i="10"/>
  <c r="JQ158" i="10"/>
  <c r="B124" i="20" s="1"/>
  <c r="JQ135" i="10"/>
  <c r="B101" i="20" s="1"/>
  <c r="JQ84" i="10"/>
  <c r="B50" i="20" s="1"/>
  <c r="JQ126" i="10"/>
  <c r="B92" i="20" s="1"/>
  <c r="JQ141" i="10"/>
  <c r="B107" i="20" s="1"/>
  <c r="JQ100" i="10"/>
  <c r="B66" i="20" s="1"/>
  <c r="JQ96" i="10"/>
  <c r="B62" i="20" s="1"/>
  <c r="JQ145" i="10"/>
  <c r="B111" i="20" s="1"/>
  <c r="JQ154" i="10"/>
  <c r="B120" i="20" s="1"/>
  <c r="JQ74" i="10"/>
  <c r="B40" i="20" s="1"/>
  <c r="JQ107" i="10"/>
  <c r="B73" i="20" s="1"/>
  <c r="JQ128" i="10"/>
  <c r="B94" i="20" s="1"/>
  <c r="JQ163" i="10"/>
  <c r="JQ116" i="10"/>
  <c r="B82" i="20" s="1"/>
  <c r="JQ114" i="10"/>
  <c r="B80" i="20" s="1"/>
  <c r="JQ98" i="10"/>
  <c r="B64" i="20" s="1"/>
  <c r="JQ88" i="10"/>
  <c r="B54" i="20" s="1"/>
  <c r="JQ111" i="10"/>
  <c r="B77" i="20" s="1"/>
  <c r="JQ134" i="10"/>
  <c r="B100" i="20" s="1"/>
  <c r="JQ124" i="10"/>
  <c r="B90" i="20" s="1"/>
  <c r="JQ151" i="10"/>
  <c r="B117" i="20" s="1"/>
  <c r="JQ73" i="10"/>
  <c r="B39" i="20" s="1"/>
  <c r="JQ162" i="10"/>
  <c r="B128" i="20" s="1"/>
  <c r="JQ143" i="10"/>
  <c r="B109" i="20" s="1"/>
  <c r="JQ69" i="10"/>
  <c r="B35" i="20" s="1"/>
  <c r="JQ102" i="10"/>
  <c r="B68" i="20" s="1"/>
  <c r="JQ90" i="10"/>
  <c r="B56" i="20" s="1"/>
  <c r="JQ120" i="10"/>
  <c r="B86" i="20" s="1"/>
  <c r="JQ78" i="10"/>
  <c r="B44" i="20" s="1"/>
  <c r="JQ83" i="10"/>
  <c r="B49" i="20" s="1"/>
  <c r="JQ129" i="10"/>
  <c r="B95" i="20" s="1"/>
  <c r="JQ106" i="10"/>
  <c r="B72" i="20" s="1"/>
  <c r="JQ95" i="10"/>
  <c r="B61" i="20" s="1"/>
  <c r="JQ155" i="10"/>
  <c r="B121" i="20" s="1"/>
  <c r="JQ108" i="10"/>
  <c r="B74" i="20" s="1"/>
  <c r="JQ110" i="10"/>
  <c r="B76" i="20" s="1"/>
  <c r="JQ80" i="10"/>
  <c r="B46" i="20" s="1"/>
  <c r="JQ123" i="10"/>
  <c r="B89" i="20" s="1"/>
  <c r="JQ164" i="10"/>
  <c r="JQ105" i="10"/>
  <c r="B71" i="20" s="1"/>
  <c r="JQ112" i="10"/>
  <c r="B78" i="20" s="1"/>
  <c r="JQ76" i="10"/>
  <c r="B42" i="20" s="1"/>
  <c r="JQ131" i="10"/>
  <c r="B97" i="20" s="1"/>
  <c r="JQ136" i="10"/>
  <c r="B102" i="20" s="1"/>
  <c r="JQ147" i="10"/>
  <c r="B113" i="20" s="1"/>
  <c r="JQ75" i="10"/>
  <c r="B41" i="20" s="1"/>
  <c r="JQ92" i="10"/>
  <c r="B58" i="20" s="1"/>
  <c r="JQ166" i="10"/>
  <c r="JQ109" i="10"/>
  <c r="B75" i="20" s="1"/>
  <c r="JZ169" i="10"/>
  <c r="JU169" i="10"/>
  <c r="JR169" i="10"/>
  <c r="JX169" i="10"/>
  <c r="JY169" i="10"/>
  <c r="JQ167" i="10"/>
  <c r="JQ104" i="10"/>
  <c r="B70" i="20" s="1"/>
  <c r="JR165" i="10"/>
  <c r="JY165" i="10"/>
  <c r="JU165" i="10"/>
  <c r="JV165" i="10" s="1"/>
  <c r="JZ165" i="10"/>
  <c r="JQ150" i="10"/>
  <c r="B116" i="20" s="1"/>
  <c r="JQ138" i="10"/>
  <c r="B104" i="20" s="1"/>
  <c r="JQ71" i="10"/>
  <c r="B37" i="20" s="1"/>
  <c r="JQ160" i="10"/>
  <c r="B126" i="20" s="1"/>
  <c r="JQ142" i="10"/>
  <c r="B108" i="20" s="1"/>
  <c r="JQ161" i="10"/>
  <c r="B127" i="20" s="1"/>
  <c r="JQ152" i="10"/>
  <c r="B118" i="20" s="1"/>
  <c r="JQ140" i="10"/>
  <c r="B106" i="20" s="1"/>
  <c r="JQ153" i="10"/>
  <c r="B119" i="20" s="1"/>
  <c r="JQ97" i="10"/>
  <c r="B63" i="20" s="1"/>
  <c r="JR166" i="10"/>
  <c r="JZ166" i="10"/>
  <c r="JY166" i="10"/>
  <c r="JU166" i="10"/>
  <c r="JV166" i="10" s="1"/>
  <c r="JQ72" i="10"/>
  <c r="B38" i="20" s="1"/>
  <c r="JQ121" i="10"/>
  <c r="B87" i="20" s="1"/>
  <c r="JQ113" i="10"/>
  <c r="B79" i="20" s="1"/>
  <c r="JQ144" i="10"/>
  <c r="B110" i="20" s="1"/>
  <c r="JQ115" i="10"/>
  <c r="B81" i="20" s="1"/>
  <c r="JQ132" i="10"/>
  <c r="B98" i="20" s="1"/>
  <c r="JQ165" i="10"/>
  <c r="JQ103" i="10"/>
  <c r="B69" i="20" s="1"/>
  <c r="JQ137" i="10"/>
  <c r="B103" i="20" s="1"/>
  <c r="JQ79" i="10"/>
  <c r="B45" i="20" s="1"/>
  <c r="JQ101" i="10"/>
  <c r="B67" i="20" s="1"/>
  <c r="JQ77" i="10"/>
  <c r="B43" i="20" s="1"/>
  <c r="JZ168" i="10"/>
  <c r="JR168" i="10"/>
  <c r="JU168" i="10"/>
  <c r="JV168" i="10" s="1"/>
  <c r="JY168" i="10"/>
  <c r="JQ85" i="10"/>
  <c r="B51" i="20" s="1"/>
  <c r="JQ170" i="10"/>
  <c r="JQ169" i="10"/>
  <c r="JQ125" i="10"/>
  <c r="B91" i="20" s="1"/>
  <c r="JU167" i="10"/>
  <c r="JV167" i="10" s="1"/>
  <c r="JY167" i="10"/>
  <c r="JR167" i="10"/>
  <c r="JZ167" i="10"/>
  <c r="JQ122" i="10"/>
  <c r="B88" i="20" s="1"/>
  <c r="JQ91" i="10"/>
  <c r="B57" i="20" s="1"/>
  <c r="JQ81" i="10"/>
  <c r="B47" i="20" s="1"/>
  <c r="JQ93" i="10"/>
  <c r="B59" i="20" s="1"/>
  <c r="JQ82" i="10"/>
  <c r="B48" i="20" s="1"/>
  <c r="JQ156" i="10"/>
  <c r="B122" i="20" s="1"/>
  <c r="JQ157" i="10"/>
  <c r="B123" i="20" s="1"/>
  <c r="JQ119" i="10"/>
  <c r="B85" i="20" s="1"/>
  <c r="JQ117" i="10"/>
  <c r="B83" i="20" s="1"/>
  <c r="JQ86" i="10"/>
  <c r="B52" i="20" s="1"/>
  <c r="JQ148" i="10"/>
  <c r="B114" i="20" s="1"/>
  <c r="JQ99" i="10"/>
  <c r="B65" i="20" s="1"/>
  <c r="JQ94" i="10"/>
  <c r="B60" i="20" s="1"/>
  <c r="JQ127" i="10"/>
  <c r="B93" i="20" s="1"/>
  <c r="JQ133" i="10"/>
  <c r="B99" i="20" s="1"/>
  <c r="DN30" i="17"/>
  <c r="DQ30" i="17" s="1"/>
  <c r="DU30" i="17" s="1"/>
  <c r="AW31" i="17"/>
  <c r="DN31" i="17" s="1"/>
  <c r="AX31" i="17"/>
  <c r="JW165" i="10" l="1"/>
  <c r="JW170" i="10"/>
  <c r="JW168" i="10"/>
  <c r="JW169" i="10"/>
  <c r="JW166" i="10"/>
  <c r="DX23" i="15"/>
  <c r="DR20" i="15"/>
  <c r="JW167" i="10"/>
  <c r="DO31" i="17"/>
  <c r="DP31" i="17" s="1"/>
  <c r="DQ31" i="17" s="1"/>
  <c r="F13" i="20"/>
  <c r="DD23" i="15"/>
  <c r="DE23" i="15"/>
  <c r="DD21" i="15"/>
  <c r="DE21" i="15"/>
  <c r="JR48" i="10"/>
  <c r="C14" i="20" s="1"/>
  <c r="AX23" i="15"/>
  <c r="JU48" i="10"/>
  <c r="JT48" i="10"/>
  <c r="E14" i="20" s="1"/>
  <c r="JS48" i="10"/>
  <c r="D14" i="20" s="1"/>
  <c r="JT167" i="10"/>
  <c r="JS167" i="10"/>
  <c r="JT166" i="10"/>
  <c r="JS168" i="10"/>
  <c r="JT169" i="10"/>
  <c r="AX24" i="15"/>
  <c r="AW24" i="15"/>
  <c r="JS165" i="10"/>
  <c r="JT165" i="10"/>
  <c r="JT168" i="10"/>
  <c r="JS166" i="10"/>
  <c r="JS169" i="10"/>
  <c r="AW32" i="17"/>
  <c r="AX32" i="17"/>
  <c r="DX24" i="15" l="1"/>
  <c r="DR23" i="15"/>
  <c r="DR21" i="15"/>
  <c r="JV47" i="10"/>
  <c r="G13" i="20" s="1"/>
  <c r="F14" i="20"/>
  <c r="DD24" i="15"/>
  <c r="DE24" i="15"/>
  <c r="DD22" i="15"/>
  <c r="DE22" i="15"/>
  <c r="JS49" i="10"/>
  <c r="D15" i="20" s="1"/>
  <c r="JT49" i="10"/>
  <c r="E15" i="20" s="1"/>
  <c r="JR49" i="10"/>
  <c r="C15" i="20" s="1"/>
  <c r="JT50" i="10"/>
  <c r="E16" i="20" s="1"/>
  <c r="JS50" i="10"/>
  <c r="D16" i="20" s="1"/>
  <c r="JR50" i="10"/>
  <c r="C16" i="20" s="1"/>
  <c r="AW25" i="15"/>
  <c r="AX25" i="15"/>
  <c r="AW33" i="17"/>
  <c r="AX33" i="17"/>
  <c r="DX25" i="15" l="1"/>
  <c r="DR22" i="15"/>
  <c r="DR24" i="15"/>
  <c r="JV48" i="10"/>
  <c r="G14" i="20" s="1"/>
  <c r="DD25" i="15"/>
  <c r="DE25" i="15"/>
  <c r="JU49" i="10"/>
  <c r="JT51" i="10"/>
  <c r="E17" i="20" s="1"/>
  <c r="JR51" i="10"/>
  <c r="C17" i="20" s="1"/>
  <c r="JS51" i="10"/>
  <c r="D17" i="20" s="1"/>
  <c r="AW26" i="15"/>
  <c r="AX26" i="15"/>
  <c r="JU50" i="10"/>
  <c r="AX34" i="17"/>
  <c r="AW34" i="17"/>
  <c r="DX26" i="15" l="1"/>
  <c r="DR25" i="15"/>
  <c r="F16" i="20"/>
  <c r="JV50" i="10"/>
  <c r="G16" i="20" s="1"/>
  <c r="F15" i="20"/>
  <c r="JV49" i="10"/>
  <c r="G15" i="20" s="1"/>
  <c r="DD26" i="15"/>
  <c r="DE26" i="15"/>
  <c r="AX27" i="15"/>
  <c r="AW27" i="15"/>
  <c r="JS52" i="10"/>
  <c r="D18" i="20" s="1"/>
  <c r="JR52" i="10"/>
  <c r="C18" i="20" s="1"/>
  <c r="JT52" i="10"/>
  <c r="E18" i="20" s="1"/>
  <c r="JU51" i="10"/>
  <c r="AX35" i="17"/>
  <c r="AW35" i="17"/>
  <c r="DX27" i="15" l="1"/>
  <c r="DR26" i="15"/>
  <c r="F17" i="20"/>
  <c r="JV51" i="10"/>
  <c r="G17" i="20" s="1"/>
  <c r="DD27" i="15"/>
  <c r="DE27" i="15"/>
  <c r="AW28" i="15"/>
  <c r="AX28" i="15"/>
  <c r="JU52" i="10"/>
  <c r="JR53" i="10"/>
  <c r="C19" i="20" s="1"/>
  <c r="JT53" i="10"/>
  <c r="E19" i="20" s="1"/>
  <c r="JS53" i="10"/>
  <c r="D19" i="20" s="1"/>
  <c r="AW36" i="17"/>
  <c r="AX36" i="17"/>
  <c r="DX28" i="15" l="1"/>
  <c r="DR27" i="15"/>
  <c r="F18" i="20"/>
  <c r="JV52" i="10"/>
  <c r="G18" i="20" s="1"/>
  <c r="DD28" i="15"/>
  <c r="DE28" i="15"/>
  <c r="JU53" i="10"/>
  <c r="JS54" i="10"/>
  <c r="D20" i="20" s="1"/>
  <c r="JT54" i="10"/>
  <c r="E20" i="20" s="1"/>
  <c r="JR54" i="10"/>
  <c r="C20" i="20" s="1"/>
  <c r="AW29" i="15"/>
  <c r="AX29" i="15"/>
  <c r="AW37" i="17"/>
  <c r="AX37" i="17"/>
  <c r="DX29" i="15" l="1"/>
  <c r="DR28" i="15"/>
  <c r="F19" i="20"/>
  <c r="JV53" i="10"/>
  <c r="G19" i="20" s="1"/>
  <c r="DD29" i="15"/>
  <c r="DE29" i="15"/>
  <c r="JR55" i="10"/>
  <c r="C21" i="20" s="1"/>
  <c r="JT55" i="10"/>
  <c r="E21" i="20" s="1"/>
  <c r="JS55" i="10"/>
  <c r="D21" i="20" s="1"/>
  <c r="AX30" i="15"/>
  <c r="AW30" i="15"/>
  <c r="JU54" i="10"/>
  <c r="AW38" i="17"/>
  <c r="AX38" i="17"/>
  <c r="DX30" i="15" l="1"/>
  <c r="DR29" i="15"/>
  <c r="F20" i="20"/>
  <c r="JV54" i="10"/>
  <c r="G20" i="20" s="1"/>
  <c r="DD30" i="15"/>
  <c r="DE30" i="15"/>
  <c r="JT56" i="10"/>
  <c r="E22" i="20" s="1"/>
  <c r="JR56" i="10"/>
  <c r="C22" i="20" s="1"/>
  <c r="JS56" i="10"/>
  <c r="D22" i="20" s="1"/>
  <c r="JP58" i="10"/>
  <c r="JQ58" i="10" s="1"/>
  <c r="B24" i="20" s="1"/>
  <c r="DK31" i="15"/>
  <c r="EX31" i="15"/>
  <c r="AX31" i="15"/>
  <c r="AW31" i="15"/>
  <c r="JU55" i="10"/>
  <c r="AX39" i="17"/>
  <c r="AW39" i="17"/>
  <c r="DX31" i="15" l="1"/>
  <c r="DR30" i="15"/>
  <c r="F21" i="20"/>
  <c r="JV55" i="10"/>
  <c r="G21" i="20" s="1"/>
  <c r="DD31" i="15"/>
  <c r="DE31" i="15"/>
  <c r="JU56" i="10"/>
  <c r="AW32" i="15"/>
  <c r="AX32" i="15"/>
  <c r="JP59" i="10"/>
  <c r="JQ59" i="10" s="1"/>
  <c r="B25" i="20" s="1"/>
  <c r="EX32" i="15"/>
  <c r="DK32" i="15"/>
  <c r="JR57" i="10"/>
  <c r="C23" i="20" s="1"/>
  <c r="JS57" i="10"/>
  <c r="D23" i="20" s="1"/>
  <c r="JT57" i="10"/>
  <c r="E23" i="20" s="1"/>
  <c r="AW40" i="17"/>
  <c r="AX40" i="17"/>
  <c r="DX32" i="15" l="1"/>
  <c r="DR31" i="15"/>
  <c r="F22" i="20"/>
  <c r="JV56" i="10"/>
  <c r="G22" i="20" s="1"/>
  <c r="DD32" i="15"/>
  <c r="DE32" i="15"/>
  <c r="JU57" i="10"/>
  <c r="DK33" i="15"/>
  <c r="JP60" i="10"/>
  <c r="JQ60" i="10" s="1"/>
  <c r="B26" i="20" s="1"/>
  <c r="EX33" i="15"/>
  <c r="AW33" i="15"/>
  <c r="AX33" i="15"/>
  <c r="JR58" i="10"/>
  <c r="C24" i="20" s="1"/>
  <c r="JU58" i="10"/>
  <c r="AW41" i="17"/>
  <c r="AX41" i="17"/>
  <c r="DX33" i="15" l="1"/>
  <c r="DR32" i="15"/>
  <c r="F24" i="20"/>
  <c r="JV58" i="10"/>
  <c r="G24" i="20" s="1"/>
  <c r="F23" i="20"/>
  <c r="JV57" i="10"/>
  <c r="G23" i="20" s="1"/>
  <c r="DD33" i="15"/>
  <c r="DE33" i="15"/>
  <c r="JP62" i="10"/>
  <c r="DK35" i="15"/>
  <c r="EX35" i="15"/>
  <c r="JT58" i="10"/>
  <c r="E24" i="20" s="1"/>
  <c r="JS58" i="10"/>
  <c r="D24" i="20" s="1"/>
  <c r="JP61" i="10"/>
  <c r="EX34" i="15"/>
  <c r="DK34" i="15"/>
  <c r="AW34" i="15"/>
  <c r="AX34" i="15"/>
  <c r="JU59" i="10"/>
  <c r="JR59" i="10"/>
  <c r="C25" i="20" s="1"/>
  <c r="AX42" i="17"/>
  <c r="AW42" i="17"/>
  <c r="DX34" i="15" l="1"/>
  <c r="DR33" i="15"/>
  <c r="F25" i="20"/>
  <c r="JV59" i="10"/>
  <c r="G25" i="20" s="1"/>
  <c r="DD34" i="15"/>
  <c r="DE34" i="15"/>
  <c r="JU61" i="10"/>
  <c r="JS59" i="10"/>
  <c r="D25" i="20" s="1"/>
  <c r="JT59" i="10"/>
  <c r="E25" i="20" s="1"/>
  <c r="JR61" i="10"/>
  <c r="C27" i="20" s="1"/>
  <c r="JU60" i="10"/>
  <c r="JR60" i="10"/>
  <c r="C26" i="20" s="1"/>
  <c r="AX35" i="15"/>
  <c r="AW35" i="15"/>
  <c r="JQ62" i="10"/>
  <c r="B28" i="20" s="1"/>
  <c r="JQ61" i="10"/>
  <c r="B27" i="20" s="1"/>
  <c r="AW43" i="17"/>
  <c r="AX43" i="17"/>
  <c r="FA64" i="17"/>
  <c r="FA59" i="17"/>
  <c r="EH104" i="17"/>
  <c r="FH38" i="17"/>
  <c r="FB117" i="17"/>
  <c r="FI91" i="17"/>
  <c r="EI126" i="17"/>
  <c r="EO69" i="17"/>
  <c r="FE99" i="17"/>
  <c r="EI39" i="17"/>
  <c r="FB128" i="17"/>
  <c r="EH68" i="17"/>
  <c r="FH32" i="17"/>
  <c r="EQ122" i="17"/>
  <c r="FC121" i="17"/>
  <c r="FG53" i="17"/>
  <c r="EP70" i="17"/>
  <c r="FD55" i="17"/>
  <c r="FB40" i="17"/>
  <c r="FL137" i="17"/>
  <c r="EL33" i="17"/>
  <c r="FL103" i="17"/>
  <c r="EZ108" i="17"/>
  <c r="FK32" i="17"/>
  <c r="FH104" i="17"/>
  <c r="EZ74" i="17"/>
  <c r="FB72" i="17"/>
  <c r="FL61" i="17"/>
  <c r="EK111" i="17"/>
  <c r="FA60" i="17"/>
  <c r="ED59" i="17"/>
  <c r="EM62" i="17"/>
  <c r="FF108" i="17"/>
  <c r="FG91" i="17"/>
  <c r="FJ85" i="17"/>
  <c r="EN43" i="17"/>
  <c r="FJ107" i="17"/>
  <c r="EK50" i="17"/>
  <c r="FJ57" i="17"/>
  <c r="EL46" i="17"/>
  <c r="EN41" i="17"/>
  <c r="EH39" i="17"/>
  <c r="EO83" i="17"/>
  <c r="EL88" i="17"/>
  <c r="EN83" i="17"/>
  <c r="FM66" i="17"/>
  <c r="FG59" i="17"/>
  <c r="FF97" i="17"/>
  <c r="FA136" i="17"/>
  <c r="EK88" i="17"/>
  <c r="ED32" i="17"/>
  <c r="EJ71" i="17"/>
  <c r="ED71" i="17"/>
  <c r="EZ64" i="17"/>
  <c r="FK60" i="17"/>
  <c r="EP63" i="17"/>
  <c r="EI33" i="17"/>
  <c r="EM124" i="17"/>
  <c r="FD105" i="17"/>
  <c r="FE129" i="17"/>
  <c r="EQ111" i="17"/>
  <c r="FH67" i="17"/>
  <c r="FL121" i="17"/>
  <c r="FF86" i="15"/>
  <c r="FK86" i="17"/>
  <c r="FE137" i="17"/>
  <c r="FB60" i="17"/>
  <c r="FB133" i="17"/>
  <c r="EN67" i="17"/>
  <c r="FB135" i="15"/>
  <c r="FC100" i="17"/>
  <c r="EL110" i="17"/>
  <c r="EP78" i="17"/>
  <c r="FI81" i="17"/>
  <c r="FC65" i="17"/>
  <c r="FC76" i="17"/>
  <c r="EZ93" i="17"/>
  <c r="EK108" i="17"/>
  <c r="EI75" i="17"/>
  <c r="FK129" i="17"/>
  <c r="EN38" i="17"/>
  <c r="FK39" i="17"/>
  <c r="FB92" i="17"/>
  <c r="EE126" i="17"/>
  <c r="EQ53" i="17"/>
  <c r="EF122" i="17"/>
  <c r="FD96" i="17"/>
  <c r="EH105" i="17"/>
  <c r="EH37" i="17"/>
  <c r="EN77" i="17"/>
  <c r="FJ82" i="17"/>
  <c r="FE91" i="17"/>
  <c r="FG118" i="17"/>
  <c r="FK101" i="17"/>
  <c r="EH64" i="17"/>
  <c r="ED100" i="17"/>
  <c r="EP105" i="17"/>
  <c r="EI42" i="17"/>
  <c r="EP31" i="17"/>
  <c r="EK74" i="17"/>
  <c r="FM93" i="17"/>
  <c r="EO60" i="17"/>
  <c r="EG76" i="17"/>
  <c r="FC137" i="17"/>
  <c r="FF81" i="15"/>
  <c r="EZ72" i="17"/>
  <c r="EF124" i="17"/>
  <c r="EP84" i="17"/>
  <c r="EZ39" i="17"/>
  <c r="EL37" i="17"/>
  <c r="EH126" i="17"/>
  <c r="FD108" i="17"/>
  <c r="FA112" i="17"/>
  <c r="FL58" i="17"/>
  <c r="ED79" i="17"/>
  <c r="EP77" i="17"/>
  <c r="EP61" i="17"/>
  <c r="FH73" i="17"/>
  <c r="FJ72" i="17"/>
  <c r="EQ68" i="17"/>
  <c r="EZ116" i="17"/>
  <c r="FI62" i="17"/>
  <c r="FK65" i="17"/>
  <c r="FA127" i="17"/>
  <c r="EK97" i="17"/>
  <c r="EN124" i="17"/>
  <c r="EF125" i="17"/>
  <c r="EG80" i="17"/>
  <c r="FI107" i="17"/>
  <c r="FD126" i="17"/>
  <c r="EZ78" i="17"/>
  <c r="FK108" i="17"/>
  <c r="FG105" i="17"/>
  <c r="FE44" i="17"/>
  <c r="FG133" i="17"/>
  <c r="FF141" i="17"/>
  <c r="EO119" i="17"/>
  <c r="FI105" i="17"/>
  <c r="FK134" i="17"/>
  <c r="FJ103" i="17"/>
  <c r="EO35" i="17"/>
  <c r="EZ48" i="17"/>
  <c r="FE90" i="15"/>
  <c r="FF52" i="17"/>
  <c r="FI38" i="17"/>
  <c r="EJ120" i="17"/>
  <c r="EI67" i="17"/>
  <c r="FJ76" i="17"/>
  <c r="FA34" i="17"/>
  <c r="FC57" i="17"/>
  <c r="FM119" i="17"/>
  <c r="FJ132" i="17"/>
  <c r="FI115" i="17"/>
  <c r="FC127" i="17"/>
  <c r="EG42" i="17"/>
  <c r="FD76" i="17"/>
  <c r="FM112" i="17"/>
  <c r="EK75" i="17"/>
  <c r="EO20" i="17"/>
  <c r="FJ70" i="17"/>
  <c r="FE82" i="17"/>
  <c r="EL76" i="17"/>
  <c r="FI72" i="17"/>
  <c r="FD38" i="17"/>
  <c r="EQ97" i="17"/>
  <c r="FC139" i="17"/>
  <c r="EE61" i="17"/>
  <c r="FB131" i="17"/>
  <c r="EO93" i="17"/>
  <c r="EG74" i="17"/>
  <c r="EL75" i="17"/>
  <c r="FI82" i="17"/>
  <c r="EL98" i="17"/>
  <c r="FB84" i="17"/>
  <c r="FM90" i="17"/>
  <c r="FC97" i="17"/>
  <c r="FG90" i="17"/>
  <c r="FD89" i="17"/>
  <c r="FF124" i="17"/>
  <c r="EN90" i="17"/>
  <c r="EO85" i="17"/>
  <c r="FC33" i="17"/>
  <c r="FA91" i="17"/>
  <c r="FK126" i="17"/>
  <c r="EE20" i="17"/>
  <c r="EI106" i="17"/>
  <c r="FI51" i="17"/>
  <c r="FG94" i="17"/>
  <c r="EN75" i="17"/>
  <c r="EG67" i="17"/>
  <c r="FG115" i="17"/>
  <c r="ED43" i="17"/>
  <c r="EQ86" i="17"/>
  <c r="FL135" i="17"/>
  <c r="EK117" i="17"/>
  <c r="EH52" i="17"/>
  <c r="FE57" i="15"/>
  <c r="EI61" i="17"/>
  <c r="EL96" i="17"/>
  <c r="EK92" i="17"/>
  <c r="EO108" i="17"/>
  <c r="EF74" i="17"/>
  <c r="FA93" i="17"/>
  <c r="FL71" i="17"/>
  <c r="FH36" i="17"/>
  <c r="EK81" i="17"/>
  <c r="EI51" i="17"/>
  <c r="FJ95" i="17"/>
  <c r="EM60" i="17"/>
  <c r="FL141" i="15"/>
  <c r="FC61" i="17"/>
  <c r="EN105" i="17"/>
  <c r="EM80" i="17"/>
  <c r="FI36" i="17"/>
  <c r="EJ115" i="17"/>
  <c r="EM76" i="17"/>
  <c r="FG82" i="17"/>
  <c r="FA54" i="17"/>
  <c r="EN42" i="17"/>
  <c r="FM113" i="17"/>
  <c r="FG48" i="17"/>
  <c r="EK126" i="17"/>
  <c r="FL49" i="17"/>
  <c r="FM60" i="17"/>
  <c r="EF63" i="17"/>
  <c r="EM66" i="17"/>
  <c r="FB76" i="17"/>
  <c r="FM116" i="17"/>
  <c r="FD92" i="17"/>
  <c r="FH48" i="17"/>
  <c r="EQ109" i="17"/>
  <c r="FE119" i="15"/>
  <c r="EP95" i="17"/>
  <c r="FF85" i="17"/>
  <c r="EI86" i="17"/>
  <c r="EN58" i="17"/>
  <c r="EP124" i="17"/>
  <c r="FJ126" i="17"/>
  <c r="FF49" i="17"/>
  <c r="EN115" i="17"/>
  <c r="ED72" i="17"/>
  <c r="EO121" i="17"/>
  <c r="EK31" i="17"/>
  <c r="EM20" i="17"/>
  <c r="EP68" i="17"/>
  <c r="EF31" i="17"/>
  <c r="FI128" i="17"/>
  <c r="FI120" i="17"/>
  <c r="FL35" i="17"/>
  <c r="FH126" i="17"/>
  <c r="FA116" i="17"/>
  <c r="EF44" i="17"/>
  <c r="EF76" i="17"/>
  <c r="FH71" i="17"/>
  <c r="EE52" i="17"/>
  <c r="FF69" i="17"/>
  <c r="FI33" i="17"/>
  <c r="EM52" i="17"/>
  <c r="FA107" i="17"/>
  <c r="FC52" i="17"/>
  <c r="FC124" i="17"/>
  <c r="EQ55" i="17"/>
  <c r="EN46" i="17"/>
  <c r="FB20" i="15"/>
  <c r="EK118" i="17"/>
  <c r="FA51" i="17"/>
  <c r="EF43" i="17"/>
  <c r="FC102" i="17"/>
  <c r="FG79" i="17"/>
  <c r="FL138" i="17"/>
  <c r="EL124" i="17"/>
  <c r="FD100" i="17"/>
  <c r="FI66" i="17"/>
  <c r="FM37" i="17"/>
  <c r="FH108" i="17"/>
  <c r="EH90" i="17"/>
  <c r="FC111" i="17"/>
  <c r="EZ63" i="17"/>
  <c r="EM119" i="17"/>
  <c r="EG115" i="17"/>
  <c r="FD112" i="17"/>
  <c r="EL92" i="17"/>
  <c r="EP67" i="17"/>
  <c r="FL82" i="17"/>
  <c r="EE68" i="17"/>
  <c r="FJ52" i="17"/>
  <c r="FL42" i="17"/>
  <c r="FH130" i="17"/>
  <c r="FB82" i="17"/>
  <c r="EO88" i="17"/>
  <c r="EJ51" i="17"/>
  <c r="FE135" i="17"/>
  <c r="EQ115" i="17"/>
  <c r="FI75" i="17"/>
  <c r="FL46" i="17"/>
  <c r="ED77" i="17"/>
  <c r="FG81" i="17"/>
  <c r="FI39" i="17"/>
  <c r="EN49" i="17"/>
  <c r="FB110" i="17"/>
  <c r="EE77" i="17"/>
  <c r="ED39" i="17"/>
  <c r="FH107" i="17"/>
  <c r="FG99" i="17"/>
  <c r="EE112" i="17"/>
  <c r="FD54" i="17"/>
  <c r="EQ71" i="17"/>
  <c r="ED57" i="17"/>
  <c r="FD95" i="17"/>
  <c r="EN95" i="17"/>
  <c r="FB91" i="17"/>
  <c r="EJ106" i="17"/>
  <c r="FE107" i="17"/>
  <c r="EI89" i="17"/>
  <c r="EO123" i="17"/>
  <c r="EH112" i="17"/>
  <c r="FH45" i="17"/>
  <c r="EL67" i="17"/>
  <c r="FB125" i="15"/>
  <c r="FB45" i="17"/>
  <c r="EP81" i="17"/>
  <c r="EZ106" i="17"/>
  <c r="FE98" i="17"/>
  <c r="FM39" i="17"/>
  <c r="FJ54" i="17"/>
  <c r="EL39" i="17"/>
  <c r="FB79" i="17"/>
  <c r="FH85" i="17"/>
  <c r="EI98" i="17"/>
  <c r="FM41" i="17"/>
  <c r="ED46" i="17"/>
  <c r="ED125" i="15"/>
  <c r="EZ47" i="17"/>
  <c r="FK84" i="17"/>
  <c r="EG98" i="17"/>
  <c r="EF39" i="17"/>
  <c r="EO113" i="17"/>
  <c r="FD128" i="17"/>
  <c r="FH137" i="17"/>
  <c r="EP79" i="17"/>
  <c r="EN71" i="17"/>
  <c r="EK78" i="17"/>
  <c r="ED112" i="17"/>
  <c r="FI137" i="17"/>
  <c r="FC98" i="17"/>
  <c r="EG72" i="17"/>
  <c r="EP107" i="17"/>
  <c r="FC103" i="17"/>
  <c r="EZ98" i="17"/>
  <c r="EL72" i="17"/>
  <c r="FC67" i="17"/>
  <c r="FG87" i="17"/>
  <c r="EZ61" i="17"/>
  <c r="EQ105" i="17"/>
  <c r="EF96" i="17"/>
  <c r="EZ101" i="17"/>
  <c r="EO125" i="17"/>
  <c r="EL94" i="17"/>
  <c r="FK43" i="17"/>
  <c r="EN126" i="17"/>
  <c r="EL114" i="17"/>
  <c r="EI62" i="17"/>
  <c r="EQ70" i="17"/>
  <c r="EF70" i="17"/>
  <c r="FC112" i="17"/>
  <c r="EE84" i="17"/>
  <c r="FD120" i="17"/>
  <c r="EG51" i="17"/>
  <c r="EP39" i="17"/>
  <c r="FF74" i="17"/>
  <c r="EZ55" i="17"/>
  <c r="FA96" i="17"/>
  <c r="FE116" i="17"/>
  <c r="FK34" i="17"/>
  <c r="EJ100" i="17"/>
  <c r="EE100" i="17"/>
  <c r="EP103" i="17"/>
  <c r="FK58" i="17"/>
  <c r="FM32" i="17"/>
  <c r="FG136" i="17"/>
  <c r="EZ111" i="17"/>
  <c r="EZ71" i="17"/>
  <c r="FD66" i="17"/>
  <c r="EZ94" i="17"/>
  <c r="FF38" i="17"/>
  <c r="FH59" i="17"/>
  <c r="FM109" i="17"/>
  <c r="FM98" i="17"/>
  <c r="FC115" i="17"/>
  <c r="FH129" i="17"/>
  <c r="ED101" i="17"/>
  <c r="EE58" i="17"/>
  <c r="FA84" i="17"/>
  <c r="FH79" i="17"/>
  <c r="EE92" i="17"/>
  <c r="FG40" i="17"/>
  <c r="FK70" i="17"/>
  <c r="FF123" i="17"/>
  <c r="ED67" i="17"/>
  <c r="EZ103" i="17"/>
  <c r="FJ58" i="17"/>
  <c r="EN59" i="17"/>
  <c r="EO105" i="17"/>
  <c r="FC93" i="17"/>
  <c r="EO82" i="17"/>
  <c r="EF33" i="17"/>
  <c r="EK44" i="17"/>
  <c r="EQ36" i="17"/>
  <c r="FH70" i="17"/>
  <c r="EL65" i="17"/>
  <c r="EI83" i="17"/>
  <c r="EO98" i="17"/>
  <c r="FB113" i="17"/>
  <c r="FG56" i="17"/>
  <c r="EH88" i="17"/>
  <c r="EZ60" i="17"/>
  <c r="EP59" i="17"/>
  <c r="FC62" i="17"/>
  <c r="EG75" i="17"/>
  <c r="EO46" i="17"/>
  <c r="EG45" i="17"/>
  <c r="FF130" i="17"/>
  <c r="FF114" i="17"/>
  <c r="FK93" i="17"/>
  <c r="EH51" i="17"/>
  <c r="FA47" i="17"/>
  <c r="EH97" i="17"/>
  <c r="FC109" i="17"/>
  <c r="EZ85" i="17"/>
  <c r="EK94" i="17"/>
  <c r="FL73" i="17"/>
  <c r="FE136" i="17"/>
  <c r="EK66" i="17"/>
  <c r="FB125" i="17"/>
  <c r="FA28" i="15"/>
  <c r="FE49" i="17"/>
  <c r="EG90" i="17"/>
  <c r="FK97" i="15"/>
  <c r="EQ80" i="17"/>
  <c r="EN121" i="17"/>
  <c r="FI69" i="17"/>
  <c r="EF53" i="17"/>
  <c r="EF119" i="17"/>
  <c r="FE127" i="17"/>
  <c r="EK61" i="17"/>
  <c r="EE78" i="17"/>
  <c r="FB139" i="15"/>
  <c r="FA42" i="17"/>
  <c r="EZ50" i="17"/>
  <c r="FL53" i="17"/>
  <c r="FI68" i="17"/>
  <c r="EE45" i="17"/>
  <c r="EJ97" i="17"/>
  <c r="FB104" i="17"/>
  <c r="EK90" i="17"/>
  <c r="EJ41" i="17"/>
  <c r="FA110" i="17"/>
  <c r="FM45" i="17"/>
  <c r="EZ124" i="17"/>
  <c r="EI115" i="17"/>
  <c r="EN50" i="17"/>
  <c r="FB32" i="17"/>
  <c r="FA99" i="17"/>
  <c r="FF89" i="17"/>
  <c r="FE76" i="17"/>
  <c r="FL105" i="17"/>
  <c r="FE50" i="17"/>
  <c r="EE40" i="17"/>
  <c r="EJ46" i="17"/>
  <c r="EE57" i="17"/>
  <c r="EE128" i="17"/>
  <c r="FA114" i="17"/>
  <c r="FF54" i="17"/>
  <c r="EG65" i="17"/>
  <c r="FE70" i="17"/>
  <c r="EM72" i="17"/>
  <c r="EP42" i="17"/>
  <c r="EM88" i="17"/>
  <c r="EI71" i="17"/>
  <c r="EO41" i="17"/>
  <c r="FD80" i="15"/>
  <c r="FD40" i="17"/>
  <c r="FF111" i="17"/>
  <c r="EK69" i="17"/>
  <c r="EQ99" i="17"/>
  <c r="FB80" i="17"/>
  <c r="FG74" i="17"/>
  <c r="FG134" i="17"/>
  <c r="EL78" i="17"/>
  <c r="EM68" i="17"/>
  <c r="EQ90" i="17"/>
  <c r="FD132" i="17"/>
  <c r="FE84" i="17"/>
  <c r="FJ140" i="17"/>
  <c r="ED88" i="17"/>
  <c r="EM49" i="17"/>
  <c r="FG121" i="17"/>
  <c r="EJ105" i="17"/>
  <c r="EJ127" i="17"/>
  <c r="EN127" i="17"/>
  <c r="EJ40" i="17"/>
  <c r="EQ64" i="17"/>
  <c r="FD118" i="17"/>
  <c r="EH94" i="17"/>
  <c r="EG55" i="17"/>
  <c r="FE141" i="15"/>
  <c r="ED92" i="17"/>
  <c r="EE93" i="17"/>
  <c r="EZ31" i="17"/>
  <c r="EM44" i="17"/>
  <c r="EQ52" i="17"/>
  <c r="EH44" i="17"/>
  <c r="FD34" i="17"/>
  <c r="EJ76" i="17"/>
  <c r="FD62" i="17"/>
  <c r="FD121" i="17"/>
  <c r="EG122" i="17"/>
  <c r="FK81" i="17"/>
  <c r="FA50" i="17"/>
  <c r="FM126" i="17"/>
  <c r="FF140" i="17"/>
  <c r="EO118" i="17"/>
  <c r="FK130" i="17"/>
  <c r="FA48" i="17"/>
  <c r="EZ92" i="17"/>
  <c r="EG71" i="17"/>
  <c r="FB59" i="17"/>
  <c r="ED126" i="17"/>
  <c r="FD122" i="17"/>
  <c r="FC55" i="17"/>
  <c r="FG43" i="17"/>
  <c r="FD65" i="17"/>
  <c r="FG120" i="17"/>
  <c r="FF51" i="17"/>
  <c r="FG112" i="17"/>
  <c r="EJ86" i="17"/>
  <c r="FB127" i="17"/>
  <c r="ED52" i="17"/>
  <c r="FI67" i="17"/>
  <c r="EE46" i="17"/>
  <c r="EG57" i="17"/>
  <c r="EH124" i="17"/>
  <c r="EO42" i="17"/>
  <c r="EM128" i="17"/>
  <c r="EK40" i="17"/>
  <c r="FK116" i="17"/>
  <c r="FC107" i="17"/>
  <c r="FE96" i="17"/>
  <c r="EE90" i="17"/>
  <c r="FB103" i="17"/>
  <c r="FK88" i="17"/>
  <c r="EE91" i="17"/>
  <c r="EE47" i="17"/>
  <c r="EF62" i="17"/>
  <c r="FC86" i="17"/>
  <c r="ED48" i="17"/>
  <c r="EJ69" i="17"/>
  <c r="EG91" i="17"/>
  <c r="EF57" i="17"/>
  <c r="FD53" i="17"/>
  <c r="FK95" i="17"/>
  <c r="FG58" i="17"/>
  <c r="FA92" i="17"/>
  <c r="EL116" i="17"/>
  <c r="EG87" i="17"/>
  <c r="EF73" i="17"/>
  <c r="FM85" i="17"/>
  <c r="FB65" i="17"/>
  <c r="EG121" i="17"/>
  <c r="ED89" i="17"/>
  <c r="EL125" i="17"/>
  <c r="ED86" i="17"/>
  <c r="FE138" i="17"/>
  <c r="FM128" i="17"/>
  <c r="FK132" i="17"/>
  <c r="FE25" i="15"/>
  <c r="EQ125" i="17"/>
  <c r="FM48" i="17"/>
  <c r="FH127" i="17"/>
  <c r="EK121" i="17"/>
  <c r="FL141" i="17"/>
  <c r="EL63" i="17"/>
  <c r="EH38" i="17"/>
  <c r="FL136" i="17"/>
  <c r="EJ112" i="15"/>
  <c r="EI70" i="17"/>
  <c r="FD98" i="17"/>
  <c r="EK42" i="17"/>
  <c r="EZ56" i="17"/>
  <c r="FA37" i="17"/>
  <c r="EZ59" i="17"/>
  <c r="EP101" i="17"/>
  <c r="EQ79" i="17"/>
  <c r="FH47" i="17"/>
  <c r="FF112" i="17"/>
  <c r="FA74" i="17"/>
  <c r="EO91" i="17"/>
  <c r="FE108" i="15"/>
  <c r="EZ125" i="17"/>
  <c r="EE75" i="17"/>
  <c r="EG52" i="17"/>
  <c r="FL57" i="17"/>
  <c r="FB107" i="17"/>
  <c r="EG102" i="17"/>
  <c r="FH84" i="17"/>
  <c r="FE80" i="17"/>
  <c r="EO49" i="17"/>
  <c r="EI95" i="17"/>
  <c r="FG71" i="17"/>
  <c r="FC34" i="17"/>
  <c r="EN104" i="15"/>
  <c r="FE130" i="17"/>
  <c r="FF129" i="17"/>
  <c r="ED99" i="17"/>
  <c r="FE125" i="17"/>
  <c r="EN45" i="17"/>
  <c r="EP76" i="17"/>
  <c r="EH89" i="17"/>
  <c r="FM61" i="17"/>
  <c r="FF25" i="15"/>
  <c r="FK44" i="17"/>
  <c r="EL128" i="17"/>
  <c r="FG44" i="17"/>
  <c r="FE123" i="17"/>
  <c r="EK123" i="17"/>
  <c r="EN119" i="17"/>
  <c r="EG85" i="17"/>
  <c r="FE22" i="15"/>
  <c r="EJ96" i="17"/>
  <c r="EI73" i="17"/>
  <c r="EH93" i="17"/>
  <c r="EL50" i="17"/>
  <c r="EJ44" i="17"/>
  <c r="FG57" i="15"/>
  <c r="EJ33" i="17"/>
  <c r="ED83" i="17"/>
  <c r="FK111" i="15"/>
  <c r="FB54" i="17"/>
  <c r="FL117" i="17"/>
  <c r="FA140" i="17"/>
  <c r="FE94" i="17"/>
  <c r="FK43" i="15"/>
  <c r="FK135" i="17"/>
  <c r="EN113" i="15"/>
  <c r="FG90" i="15"/>
  <c r="EN31" i="17"/>
  <c r="FD44" i="15"/>
  <c r="FM69" i="17"/>
  <c r="FB62" i="17"/>
  <c r="EN107" i="17"/>
  <c r="FF121" i="15"/>
  <c r="FJ133" i="17"/>
  <c r="FC92" i="17"/>
  <c r="EK104" i="17"/>
  <c r="FJ44" i="17"/>
  <c r="FC129" i="15"/>
  <c r="EF91" i="17"/>
  <c r="FM50" i="17"/>
  <c r="FB97" i="17"/>
  <c r="EM122" i="17"/>
  <c r="FJ101" i="17"/>
  <c r="FD91" i="17"/>
  <c r="FJ135" i="17"/>
  <c r="EI72" i="17"/>
  <c r="FD41" i="17"/>
  <c r="FB79" i="15"/>
  <c r="EE111" i="17"/>
  <c r="EI116" i="17"/>
  <c r="ED54" i="17"/>
  <c r="FI89" i="15"/>
  <c r="FG92" i="15"/>
  <c r="EG107" i="15"/>
  <c r="FH41" i="17"/>
  <c r="FG130" i="17"/>
  <c r="ED127" i="17"/>
  <c r="FD62" i="15"/>
  <c r="FA59" i="15"/>
  <c r="EP34" i="17"/>
  <c r="FG137" i="15"/>
  <c r="FC82" i="15"/>
  <c r="FI84" i="15"/>
  <c r="FG31" i="17"/>
  <c r="FB121" i="17"/>
  <c r="EG127" i="17"/>
  <c r="ED120" i="17"/>
  <c r="FC125" i="17"/>
  <c r="EO68" i="17"/>
  <c r="FE89" i="17"/>
  <c r="FK61" i="17"/>
  <c r="FI53" i="17"/>
  <c r="FC75" i="17"/>
  <c r="EJ103" i="15"/>
  <c r="EZ121" i="17"/>
  <c r="FD68" i="17"/>
  <c r="FB34" i="17"/>
  <c r="EF119" i="15"/>
  <c r="EH106" i="15"/>
  <c r="EP57" i="17"/>
  <c r="FD45" i="15"/>
  <c r="FH124" i="15"/>
  <c r="FI113" i="15"/>
  <c r="FK91" i="15"/>
  <c r="FG68" i="17"/>
  <c r="FK29" i="15"/>
  <c r="FF73" i="17"/>
  <c r="EN73" i="17"/>
  <c r="FL63" i="17"/>
  <c r="FB140" i="17"/>
  <c r="FE57" i="17"/>
  <c r="FL101" i="17"/>
  <c r="FJ121" i="17"/>
  <c r="FH55" i="17"/>
  <c r="EI101" i="17"/>
  <c r="EZ35" i="17"/>
  <c r="EJ54" i="17"/>
  <c r="FD141" i="15"/>
  <c r="EE71" i="17"/>
  <c r="FI127" i="15"/>
  <c r="EL57" i="17"/>
  <c r="FM122" i="17"/>
  <c r="FC78" i="17"/>
  <c r="FI98" i="17"/>
  <c r="EH59" i="17"/>
  <c r="EE67" i="17"/>
  <c r="EO50" i="17"/>
  <c r="FD58" i="15"/>
  <c r="EQ106" i="15"/>
  <c r="FC117" i="17"/>
  <c r="EH67" i="17"/>
  <c r="FM54" i="17"/>
  <c r="EK47" i="17"/>
  <c r="EZ95" i="17"/>
  <c r="EK62" i="17"/>
  <c r="EP102" i="17"/>
  <c r="EL117" i="17"/>
  <c r="FM115" i="17"/>
  <c r="FK123" i="15"/>
  <c r="FF93" i="15"/>
  <c r="EK59" i="17"/>
  <c r="FL79" i="17"/>
  <c r="FJ75" i="17"/>
  <c r="FI101" i="17"/>
  <c r="FJ67" i="17"/>
  <c r="FI117" i="17"/>
  <c r="FA66" i="15"/>
  <c r="EO37" i="17"/>
  <c r="FJ90" i="17"/>
  <c r="EH93" i="15"/>
  <c r="EM106" i="17"/>
  <c r="FD70" i="15"/>
  <c r="FF42" i="15"/>
  <c r="FJ68" i="17"/>
  <c r="EQ120" i="17"/>
  <c r="FJ105" i="17"/>
  <c r="EN94" i="17"/>
  <c r="FI43" i="15"/>
  <c r="FD48" i="15"/>
  <c r="FD83" i="15"/>
  <c r="FA126" i="17"/>
  <c r="EI91" i="17"/>
  <c r="EF106" i="15"/>
  <c r="EF102" i="17"/>
  <c r="FB31" i="17"/>
  <c r="FJ113" i="17"/>
  <c r="FH66" i="17"/>
  <c r="EI43" i="17"/>
  <c r="EE88" i="17"/>
  <c r="EP52" i="17"/>
  <c r="FM96" i="17"/>
  <c r="EE118" i="17"/>
  <c r="EI59" i="17"/>
  <c r="EO65" i="17"/>
  <c r="FE40" i="17"/>
  <c r="EP110" i="17"/>
  <c r="FA101" i="17"/>
  <c r="EP87" i="17"/>
  <c r="FI136" i="17"/>
  <c r="FE77" i="17"/>
  <c r="EQ118" i="17"/>
  <c r="EZ112" i="17"/>
  <c r="EM39" i="17"/>
  <c r="EH20" i="17"/>
  <c r="FD83" i="17"/>
  <c r="FE115" i="17"/>
  <c r="EL62" i="17"/>
  <c r="EH90" i="15"/>
  <c r="FM101" i="17"/>
  <c r="FF119" i="17"/>
  <c r="FJ77" i="17"/>
  <c r="FC47" i="17"/>
  <c r="FH68" i="17"/>
  <c r="FG73" i="17"/>
  <c r="EQ42" i="17"/>
  <c r="EH111" i="17"/>
  <c r="FA95" i="17"/>
  <c r="EJ49" i="17"/>
  <c r="FF27" i="15"/>
  <c r="EN32" i="17"/>
  <c r="FE133" i="17"/>
  <c r="FE33" i="17"/>
  <c r="FI103" i="17"/>
  <c r="FA128" i="17"/>
  <c r="FI63" i="17"/>
  <c r="EI74" i="17"/>
  <c r="EL52" i="17"/>
  <c r="FI114" i="17"/>
  <c r="FG26" i="15"/>
  <c r="FK140" i="17"/>
  <c r="FF137" i="17"/>
  <c r="FL115" i="15"/>
  <c r="EP86" i="17"/>
  <c r="FH28" i="15"/>
  <c r="FM33" i="17"/>
  <c r="FC123" i="17"/>
  <c r="EG84" i="17"/>
  <c r="FG114" i="17"/>
  <c r="EI38" i="17"/>
  <c r="ED53" i="17"/>
  <c r="FI112" i="17"/>
  <c r="FB43" i="17"/>
  <c r="EF58" i="17"/>
  <c r="FJ81" i="17"/>
  <c r="FE60" i="17"/>
  <c r="EH123" i="17"/>
  <c r="EJ78" i="17"/>
  <c r="ED31" i="17"/>
  <c r="EN118" i="17"/>
  <c r="FE56" i="17"/>
  <c r="FA46" i="17"/>
  <c r="FG119" i="17"/>
  <c r="FH47" i="15"/>
  <c r="FK48" i="17"/>
  <c r="FE128" i="17"/>
  <c r="FG89" i="17"/>
  <c r="FI132" i="17"/>
  <c r="FD23" i="15"/>
  <c r="EO53" i="17"/>
  <c r="FD78" i="17"/>
  <c r="FL22" i="15"/>
  <c r="FM106" i="15"/>
  <c r="FD116" i="17"/>
  <c r="EN51" i="17"/>
  <c r="EL99" i="17"/>
  <c r="EO39" i="17"/>
  <c r="ED116" i="17"/>
  <c r="EG103" i="17"/>
  <c r="FG125" i="17"/>
  <c r="FC104" i="17"/>
  <c r="EI66" i="17"/>
  <c r="EH60" i="17"/>
  <c r="FF116" i="17"/>
  <c r="FA94" i="17"/>
  <c r="FC41" i="15"/>
  <c r="EH108" i="17"/>
  <c r="FM118" i="17"/>
  <c r="FH63" i="17"/>
  <c r="FA35" i="17"/>
  <c r="FH43" i="17"/>
  <c r="FF88" i="17"/>
  <c r="EQ59" i="17"/>
  <c r="EM94" i="17"/>
  <c r="FG96" i="17"/>
  <c r="EQ110" i="17"/>
  <c r="FK128" i="17"/>
  <c r="FJ30" i="15"/>
  <c r="FE138" i="15"/>
  <c r="FM62" i="17"/>
  <c r="FB111" i="17"/>
  <c r="EL83" i="17"/>
  <c r="EZ113" i="17"/>
  <c r="FL66" i="17"/>
  <c r="EO63" i="17"/>
  <c r="FF62" i="17"/>
  <c r="EG46" i="17"/>
  <c r="EF112" i="17"/>
  <c r="EN120" i="17"/>
  <c r="EG33" i="17"/>
  <c r="FC131" i="17"/>
  <c r="FF34" i="17"/>
  <c r="ED128" i="17"/>
  <c r="EK101" i="17"/>
  <c r="EE60" i="17"/>
  <c r="FK79" i="17"/>
  <c r="EK51" i="17"/>
  <c r="FJ40" i="17"/>
  <c r="EH41" i="17"/>
  <c r="FJ73" i="17"/>
  <c r="FH88" i="17"/>
  <c r="FB112" i="15"/>
  <c r="EN125" i="17"/>
  <c r="EO114" i="17"/>
  <c r="FD59" i="15"/>
  <c r="EQ104" i="17"/>
  <c r="EO34" i="17"/>
  <c r="FJ53" i="17"/>
  <c r="EE107" i="17"/>
  <c r="EH128" i="17"/>
  <c r="EM63" i="17"/>
  <c r="FA81" i="15"/>
  <c r="FM115" i="15"/>
  <c r="EK107" i="17"/>
  <c r="EG89" i="17"/>
  <c r="FD79" i="15"/>
  <c r="FG113" i="15"/>
  <c r="FJ29" i="15"/>
  <c r="FD41" i="15"/>
  <c r="FM92" i="15"/>
  <c r="EE118" i="15"/>
  <c r="EF46" i="17"/>
  <c r="FB46" i="17"/>
  <c r="FG101" i="17"/>
  <c r="FK74" i="15"/>
  <c r="FK137" i="17"/>
  <c r="FJ74" i="17"/>
  <c r="FE131" i="17"/>
  <c r="FC86" i="15"/>
  <c r="EJ99" i="15"/>
  <c r="FB123" i="17"/>
  <c r="FK47" i="17"/>
  <c r="FA137" i="15"/>
  <c r="EQ119" i="15"/>
  <c r="EI120" i="17"/>
  <c r="EO45" i="17"/>
  <c r="EK95" i="17"/>
  <c r="FB77" i="15"/>
  <c r="EP113" i="17"/>
  <c r="FE62" i="15"/>
  <c r="EN104" i="17"/>
  <c r="FC22" i="15"/>
  <c r="EM61" i="17"/>
  <c r="EL56" i="17"/>
  <c r="EP89" i="17"/>
  <c r="EE114" i="15"/>
  <c r="EO120" i="15"/>
  <c r="EP56" i="17"/>
  <c r="EF69" i="17"/>
  <c r="EN125" i="15"/>
  <c r="EK123" i="15"/>
  <c r="FE141" i="17"/>
  <c r="FC80" i="17"/>
  <c r="EJ102" i="17"/>
  <c r="EM111" i="15"/>
  <c r="FH42" i="17"/>
  <c r="FJ117" i="17"/>
  <c r="EZ91" i="17"/>
  <c r="FJ139" i="17"/>
  <c r="FK124" i="17"/>
  <c r="FH70" i="15"/>
  <c r="EF100" i="17"/>
  <c r="FL108" i="17"/>
  <c r="EF61" i="17"/>
  <c r="FJ78" i="15"/>
  <c r="FJ21" i="15"/>
  <c r="EI101" i="15"/>
  <c r="EK79" i="17"/>
  <c r="EQ39" i="17"/>
  <c r="EM117" i="17"/>
  <c r="FG64" i="17"/>
  <c r="EF113" i="17"/>
  <c r="EN47" i="17"/>
  <c r="EO125" i="15"/>
  <c r="EM95" i="17"/>
  <c r="EN116" i="17"/>
  <c r="EF68" i="17"/>
  <c r="ED124" i="17"/>
  <c r="FF113" i="15"/>
  <c r="FC104" i="15"/>
  <c r="FL104" i="15"/>
  <c r="EO105" i="15"/>
  <c r="FA117" i="17"/>
  <c r="FA43" i="17"/>
  <c r="FC73" i="15"/>
  <c r="EJ63" i="17"/>
  <c r="FD86" i="15"/>
  <c r="EF93" i="17"/>
  <c r="EH103" i="17"/>
  <c r="EG40" i="17"/>
  <c r="EH108" i="15"/>
  <c r="FH74" i="17"/>
  <c r="EM57" i="17"/>
  <c r="FE103" i="17"/>
  <c r="EM91" i="15"/>
  <c r="EQ114" i="15"/>
  <c r="EE55" i="17"/>
  <c r="FB89" i="17"/>
  <c r="FE122" i="15"/>
  <c r="FJ31" i="17"/>
  <c r="FJ118" i="17"/>
  <c r="FG98" i="17"/>
  <c r="FF98" i="17"/>
  <c r="FH24" i="15"/>
  <c r="FK131" i="15"/>
  <c r="EM64" i="17"/>
  <c r="FK74" i="17"/>
  <c r="FG77" i="15"/>
  <c r="FJ49" i="17"/>
  <c r="EZ107" i="17"/>
  <c r="EI93" i="17"/>
  <c r="FI31" i="17"/>
  <c r="FG42" i="17"/>
  <c r="EP109" i="17"/>
  <c r="FD35" i="17"/>
  <c r="FC131" i="15"/>
  <c r="EM32" i="17"/>
  <c r="FG30" i="15"/>
  <c r="EF115" i="17"/>
  <c r="EK63" i="17"/>
  <c r="FB116" i="15"/>
  <c r="FF65" i="17"/>
  <c r="EL104" i="17"/>
  <c r="FF70" i="17"/>
  <c r="EH55" i="17"/>
  <c r="EK76" i="17"/>
  <c r="EO31" i="17"/>
  <c r="EI97" i="17"/>
  <c r="EF111" i="17"/>
  <c r="FA55" i="17"/>
  <c r="FF122" i="17"/>
  <c r="FI74" i="17"/>
  <c r="FB66" i="17"/>
  <c r="EI40" i="17"/>
  <c r="FL90" i="17"/>
  <c r="FA49" i="17"/>
  <c r="EZ46" i="17"/>
  <c r="EG113" i="17"/>
  <c r="FL77" i="17"/>
  <c r="EP60" i="17"/>
  <c r="EJ45" i="17"/>
  <c r="EJ89" i="17"/>
  <c r="EI77" i="17"/>
  <c r="EZ52" i="17"/>
  <c r="EQ116" i="17"/>
  <c r="FC110" i="17"/>
  <c r="EQ31" i="17"/>
  <c r="FH115" i="17"/>
  <c r="EL51" i="17"/>
  <c r="FL88" i="17"/>
  <c r="EM78" i="17"/>
  <c r="EI107" i="17"/>
  <c r="FL39" i="17"/>
  <c r="EO100" i="17"/>
  <c r="EM113" i="17"/>
  <c r="FA87" i="17"/>
  <c r="EL38" i="17"/>
  <c r="EE89" i="17"/>
  <c r="EP104" i="17"/>
  <c r="EN78" i="17"/>
  <c r="EI119" i="17"/>
  <c r="FK38" i="17"/>
  <c r="EJ92" i="17"/>
  <c r="FG41" i="17"/>
  <c r="EK87" i="17"/>
  <c r="EO111" i="17"/>
  <c r="EK102" i="17"/>
  <c r="FG141" i="17"/>
  <c r="FC24" i="15"/>
  <c r="FI56" i="17"/>
  <c r="FJ83" i="17"/>
  <c r="FE73" i="17"/>
  <c r="EG93" i="17"/>
  <c r="EO86" i="17"/>
  <c r="EE41" i="17"/>
  <c r="FL120" i="17"/>
  <c r="FK112" i="17"/>
  <c r="FJ106" i="17"/>
  <c r="FI130" i="17"/>
  <c r="EM50" i="17"/>
  <c r="EI100" i="17"/>
  <c r="FF44" i="17"/>
  <c r="EH92" i="17"/>
  <c r="EJ94" i="17"/>
  <c r="FH122" i="17"/>
  <c r="FF104" i="17"/>
  <c r="EF84" i="17"/>
  <c r="EJ37" i="17"/>
  <c r="FD101" i="17"/>
  <c r="FB26" i="15"/>
  <c r="FC35" i="17"/>
  <c r="FL74" i="17"/>
  <c r="EK46" i="17"/>
  <c r="EK37" i="17"/>
  <c r="EH113" i="17"/>
  <c r="EP98" i="17"/>
  <c r="EI50" i="17"/>
  <c r="FD99" i="17"/>
  <c r="EF92" i="15"/>
  <c r="FB136" i="17"/>
  <c r="ED102" i="17"/>
  <c r="FE100" i="15"/>
  <c r="EN33" i="17"/>
  <c r="FJ43" i="17"/>
  <c r="FA86" i="17"/>
  <c r="EP33" i="17"/>
  <c r="FL69" i="17"/>
  <c r="EJ66" i="17"/>
  <c r="EO118" i="15"/>
  <c r="FI34" i="17"/>
  <c r="EM118" i="17"/>
  <c r="EM45" i="17"/>
  <c r="FG103" i="17"/>
  <c r="EF88" i="17"/>
  <c r="FB132" i="17"/>
  <c r="FJ114" i="17"/>
  <c r="FE93" i="17"/>
  <c r="FE90" i="17"/>
  <c r="FL67" i="17"/>
  <c r="FC108" i="17"/>
  <c r="FB53" i="17"/>
  <c r="FJ84" i="17"/>
  <c r="ED103" i="17"/>
  <c r="FL59" i="17"/>
  <c r="FE55" i="15"/>
  <c r="FE67" i="15"/>
  <c r="EL20" i="17"/>
  <c r="EH47" i="17"/>
  <c r="EK125" i="17"/>
  <c r="ED74" i="17"/>
  <c r="FI95" i="17"/>
  <c r="EE32" i="17"/>
  <c r="FK37" i="17"/>
  <c r="EZ67" i="17"/>
  <c r="EZ115" i="17"/>
  <c r="EP120" i="17"/>
  <c r="EN48" i="17"/>
  <c r="EH119" i="17"/>
  <c r="EQ123" i="17"/>
  <c r="FC53" i="17"/>
  <c r="EJ31" i="17"/>
  <c r="EJ32" i="17"/>
  <c r="EF37" i="17"/>
  <c r="FB95" i="17"/>
  <c r="FJ102" i="17"/>
  <c r="EJ82" i="17"/>
  <c r="EJ114" i="17"/>
  <c r="EM40" i="17"/>
  <c r="FC31" i="17"/>
  <c r="EI87" i="17"/>
  <c r="FK97" i="17"/>
  <c r="FG131" i="17"/>
  <c r="EQ58" i="17"/>
  <c r="EJ119" i="17"/>
  <c r="FF44" i="15"/>
  <c r="FE59" i="15"/>
  <c r="EQ102" i="15"/>
  <c r="FK125" i="17"/>
  <c r="FG77" i="17"/>
  <c r="FH78" i="15"/>
  <c r="FF90" i="15"/>
  <c r="EK77" i="17"/>
  <c r="FD92" i="15"/>
  <c r="FJ55" i="17"/>
  <c r="EH124" i="15"/>
  <c r="FK128" i="15"/>
  <c r="EK106" i="15"/>
  <c r="FM71" i="17"/>
  <c r="FE108" i="17"/>
  <c r="EL89" i="17"/>
  <c r="EH61" i="17"/>
  <c r="FI108" i="17"/>
  <c r="FC70" i="17"/>
  <c r="FC85" i="17"/>
  <c r="FK57" i="17"/>
  <c r="FK26" i="15"/>
  <c r="FM97" i="17"/>
  <c r="EL120" i="17"/>
  <c r="FI26" i="15"/>
  <c r="EO127" i="17"/>
  <c r="EH81" i="17"/>
  <c r="EI121" i="17"/>
  <c r="FE71" i="17"/>
  <c r="FB83" i="17"/>
  <c r="FA91" i="15"/>
  <c r="FH110" i="17"/>
  <c r="FJ61" i="15"/>
  <c r="EH97" i="15"/>
  <c r="FB63" i="17"/>
  <c r="EF55" i="17"/>
  <c r="EJ107" i="15"/>
  <c r="EI94" i="17"/>
  <c r="FM121" i="17"/>
  <c r="FF102" i="15"/>
  <c r="EM47" i="17"/>
  <c r="FA77" i="17"/>
  <c r="EL127" i="17"/>
  <c r="EH99" i="17"/>
  <c r="FE41" i="17"/>
  <c r="FC82" i="17"/>
  <c r="FG95" i="17"/>
  <c r="FF123" i="15"/>
  <c r="EZ123" i="17"/>
  <c r="EG56" i="17"/>
  <c r="FG126" i="17"/>
  <c r="FE121" i="17"/>
  <c r="FC88" i="17"/>
  <c r="FH80" i="15"/>
  <c r="FM78" i="17"/>
  <c r="FA111" i="17"/>
  <c r="FH141" i="15"/>
  <c r="FB62" i="15"/>
  <c r="FG129" i="15"/>
  <c r="EN99" i="17"/>
  <c r="EM48" i="17"/>
  <c r="FH95" i="15"/>
  <c r="EF86" i="17"/>
  <c r="FK71" i="15"/>
  <c r="EM87" i="17"/>
  <c r="EQ37" i="17"/>
  <c r="EO106" i="17"/>
  <c r="FA72" i="17"/>
  <c r="EZ70" i="17"/>
  <c r="FJ61" i="17"/>
  <c r="EK94" i="15"/>
  <c r="ED63" i="17"/>
  <c r="FL116" i="17"/>
  <c r="FA138" i="17"/>
  <c r="FM31" i="17"/>
  <c r="FF134" i="17"/>
  <c r="EH70" i="17"/>
  <c r="FI85" i="17"/>
  <c r="EL112" i="17"/>
  <c r="FF81" i="17"/>
  <c r="EZ38" i="17"/>
  <c r="FB50" i="17"/>
  <c r="FH112" i="15"/>
  <c r="EL53" i="17"/>
  <c r="EM54" i="17"/>
  <c r="FB77" i="17"/>
  <c r="FD55" i="15"/>
  <c r="FG85" i="15"/>
  <c r="FB39" i="17"/>
  <c r="FJ54" i="15"/>
  <c r="EG60" i="17"/>
  <c r="ED95" i="17"/>
  <c r="FG113" i="17"/>
  <c r="FA89" i="15"/>
  <c r="EJ118" i="15"/>
  <c r="EI102" i="17"/>
  <c r="EH109" i="17"/>
  <c r="FH100" i="17"/>
  <c r="FH116" i="17"/>
  <c r="FA108" i="15"/>
  <c r="EE49" i="17"/>
  <c r="FG72" i="15"/>
  <c r="EG110" i="17"/>
  <c r="FG39" i="17"/>
  <c r="FK118" i="17"/>
  <c r="EN91" i="15"/>
  <c r="FL130" i="17"/>
  <c r="EJ68" i="17"/>
  <c r="EI118" i="17"/>
  <c r="EG95" i="17"/>
  <c r="FB129" i="17"/>
  <c r="FA27" i="15"/>
  <c r="EQ69" i="17"/>
  <c r="FI117" i="15"/>
  <c r="EE108" i="15"/>
  <c r="FA36" i="17"/>
  <c r="EI55" i="17"/>
  <c r="EK108" i="15"/>
  <c r="FH76" i="17"/>
  <c r="EJ84" i="17"/>
  <c r="FD102" i="17"/>
  <c r="EH76" i="17"/>
  <c r="EK109" i="17"/>
  <c r="FA132" i="17"/>
  <c r="FE105" i="17"/>
  <c r="FA115" i="17"/>
  <c r="EI69" i="17"/>
  <c r="EN37" i="17"/>
  <c r="FL62" i="17"/>
  <c r="FH83" i="17"/>
  <c r="EI109" i="17"/>
  <c r="EN65" i="17"/>
  <c r="FL110" i="17"/>
  <c r="EK67" i="17"/>
  <c r="EJ103" i="17"/>
  <c r="FI80" i="17"/>
  <c r="EG43" i="17"/>
  <c r="FK98" i="17"/>
  <c r="EM125" i="17"/>
  <c r="FM100" i="17"/>
  <c r="FL44" i="17"/>
  <c r="EM81" i="17"/>
  <c r="FF133" i="17"/>
  <c r="EM127" i="17"/>
  <c r="FF57" i="17"/>
  <c r="FG107" i="17"/>
  <c r="EE39" i="17"/>
  <c r="FF106" i="17"/>
  <c r="EQ124" i="17"/>
  <c r="EG32" i="17"/>
  <c r="EM70" i="17"/>
  <c r="FH44" i="17"/>
  <c r="EM38" i="17"/>
  <c r="EP117" i="17"/>
  <c r="FH98" i="17"/>
  <c r="EG77" i="17"/>
  <c r="FD81" i="17"/>
  <c r="EH71" i="17"/>
  <c r="FF90" i="17"/>
  <c r="EJ58" i="17"/>
  <c r="EP90" i="17"/>
  <c r="FI94" i="17"/>
  <c r="FI79" i="17"/>
  <c r="EO75" i="17"/>
  <c r="EE70" i="17"/>
  <c r="EI44" i="17"/>
  <c r="FD85" i="17"/>
  <c r="FD77" i="17"/>
  <c r="EI108" i="17"/>
  <c r="EE79" i="17"/>
  <c r="EZ34" i="17"/>
  <c r="EE113" i="17"/>
  <c r="FD73" i="17"/>
  <c r="EO38" i="17"/>
  <c r="EN88" i="17"/>
  <c r="FH125" i="17"/>
  <c r="EF104" i="17"/>
  <c r="FF66" i="17"/>
  <c r="ED34" i="17"/>
  <c r="FB44" i="17"/>
  <c r="EQ75" i="17"/>
  <c r="FH78" i="17"/>
  <c r="EF50" i="17"/>
  <c r="EQ128" i="17"/>
  <c r="FD129" i="17"/>
  <c r="FF113" i="17"/>
  <c r="EN35" i="17"/>
  <c r="FC130" i="17"/>
  <c r="EN92" i="17"/>
  <c r="FI77" i="17"/>
  <c r="EI88" i="17"/>
  <c r="FD138" i="17"/>
  <c r="FL111" i="17"/>
  <c r="FL85" i="17"/>
  <c r="FG116" i="17"/>
  <c r="FI118" i="17"/>
  <c r="EI76" i="17"/>
  <c r="FE85" i="17"/>
  <c r="EF112" i="15"/>
  <c r="FD93" i="17"/>
  <c r="FC59" i="17"/>
  <c r="EM98" i="15"/>
  <c r="ED61" i="17"/>
  <c r="FK80" i="17"/>
  <c r="EO128" i="17"/>
  <c r="FD117" i="17"/>
  <c r="EM111" i="17"/>
  <c r="FL97" i="17"/>
  <c r="EI34" i="17"/>
  <c r="FH50" i="17"/>
  <c r="EI105" i="17"/>
  <c r="FF51" i="15"/>
  <c r="FG78" i="17"/>
  <c r="FC42" i="17"/>
  <c r="FI131" i="17"/>
  <c r="FG92" i="17"/>
  <c r="ED58" i="17"/>
  <c r="EL121" i="17"/>
  <c r="EH127" i="17"/>
  <c r="EP125" i="17"/>
  <c r="EN87" i="17"/>
  <c r="FD94" i="17"/>
  <c r="FH31" i="17"/>
  <c r="EP20" i="17"/>
  <c r="FE74" i="15"/>
  <c r="FL122" i="17"/>
  <c r="EZ117" i="17"/>
  <c r="FG104" i="17"/>
  <c r="FK51" i="17"/>
  <c r="FK64" i="17"/>
  <c r="EE83" i="17"/>
  <c r="FB96" i="17"/>
  <c r="EL87" i="17"/>
  <c r="EH96" i="17"/>
  <c r="EF65" i="17"/>
  <c r="FG63" i="17"/>
  <c r="EK60" i="17"/>
  <c r="FF130" i="15"/>
  <c r="EH82" i="17"/>
  <c r="FG81" i="15"/>
  <c r="ED91" i="17"/>
  <c r="FI48" i="17"/>
  <c r="FG80" i="15"/>
  <c r="FJ78" i="17"/>
  <c r="FL129" i="17"/>
  <c r="EG117" i="17"/>
  <c r="FC132" i="17"/>
  <c r="FB57" i="17"/>
  <c r="EH43" i="17"/>
  <c r="ED121" i="17"/>
  <c r="FL133" i="15"/>
  <c r="FJ59" i="17"/>
  <c r="FH41" i="15"/>
  <c r="FG66" i="17"/>
  <c r="FJ97" i="17"/>
  <c r="EG36" i="17"/>
  <c r="FC64" i="17"/>
  <c r="FE101" i="15"/>
  <c r="FE117" i="15"/>
  <c r="EJ77" i="17"/>
  <c r="FE101" i="17"/>
  <c r="FA56" i="15"/>
  <c r="EM110" i="15"/>
  <c r="FC102" i="15"/>
  <c r="FA75" i="17"/>
  <c r="FA40" i="17"/>
  <c r="FI90" i="17"/>
  <c r="EN100" i="15"/>
  <c r="EO66" i="17"/>
  <c r="EI52" i="17"/>
  <c r="FD67" i="17"/>
  <c r="FL98" i="15"/>
  <c r="FH62" i="15"/>
  <c r="FA78" i="15"/>
  <c r="ED107" i="17"/>
  <c r="EG96" i="17"/>
  <c r="FC136" i="15"/>
  <c r="FD60" i="17"/>
  <c r="FA114" i="15"/>
  <c r="EL43" i="17"/>
  <c r="EL106" i="17"/>
  <c r="EH122" i="17"/>
  <c r="EO127" i="15"/>
  <c r="EH56" i="17"/>
  <c r="EM122" i="15"/>
  <c r="EP118" i="17"/>
  <c r="FK89" i="15"/>
  <c r="FE105" i="15"/>
  <c r="FJ115" i="17"/>
  <c r="ED65" i="17"/>
  <c r="EG50" i="17"/>
  <c r="EL61" i="17"/>
  <c r="EE56" i="17"/>
  <c r="FK65" i="15"/>
  <c r="EP104" i="15"/>
  <c r="FM107" i="15"/>
  <c r="FA119" i="17"/>
  <c r="FM107" i="17"/>
  <c r="EM65" i="17"/>
  <c r="EM43" i="17"/>
  <c r="EZ102" i="17"/>
  <c r="FI138" i="17"/>
  <c r="FM80" i="17"/>
  <c r="FD110" i="17"/>
  <c r="FC101" i="15"/>
  <c r="EL100" i="17"/>
  <c r="FL119" i="15"/>
  <c r="FB109" i="17"/>
  <c r="ED118" i="17"/>
  <c r="FJ92" i="15"/>
  <c r="FF122" i="15"/>
  <c r="FI57" i="17"/>
  <c r="FH64" i="17"/>
  <c r="EJ98" i="17"/>
  <c r="ED90" i="15"/>
  <c r="FJ68" i="15"/>
  <c r="EQ20" i="17"/>
  <c r="EZ128" i="17"/>
  <c r="FF35" i="17"/>
  <c r="ED98" i="17"/>
  <c r="FE87" i="15"/>
  <c r="FF95" i="17"/>
  <c r="FD64" i="17"/>
  <c r="EI104" i="15"/>
  <c r="EK96" i="17"/>
  <c r="FK85" i="17"/>
  <c r="FM76" i="17"/>
  <c r="EM85" i="17"/>
  <c r="FA83" i="17"/>
  <c r="FM108" i="17"/>
  <c r="FB94" i="17"/>
  <c r="FC136" i="17"/>
  <c r="FH43" i="15"/>
  <c r="FF53" i="17"/>
  <c r="FA54" i="15"/>
  <c r="EN57" i="17"/>
  <c r="FC43" i="17"/>
  <c r="EL103" i="17"/>
  <c r="EN97" i="15"/>
  <c r="EK110" i="17"/>
  <c r="EQ114" i="17"/>
  <c r="EG105" i="17"/>
  <c r="FE46" i="17"/>
  <c r="FD106" i="17"/>
  <c r="FG114" i="15"/>
  <c r="FK22" i="15"/>
  <c r="FF109" i="17"/>
  <c r="EG97" i="17"/>
  <c r="FA117" i="15"/>
  <c r="FH72" i="17"/>
  <c r="FC134" i="15"/>
  <c r="FH84" i="15"/>
  <c r="FC114" i="15"/>
  <c r="EI117" i="17"/>
  <c r="EZ80" i="17"/>
  <c r="FB141" i="17"/>
  <c r="FI88" i="17"/>
  <c r="EP85" i="17"/>
  <c r="EJ67" i="17"/>
  <c r="EM89" i="17"/>
  <c r="EN116" i="15"/>
  <c r="FB124" i="17"/>
  <c r="EG116" i="17"/>
  <c r="EP93" i="17"/>
  <c r="FK109" i="17"/>
  <c r="FD36" i="17"/>
  <c r="FB75" i="17"/>
  <c r="EK114" i="17"/>
  <c r="FF132" i="17"/>
  <c r="FB94" i="15"/>
  <c r="ED114" i="17"/>
  <c r="EJ122" i="17"/>
  <c r="FB35" i="17"/>
  <c r="FD140" i="17"/>
  <c r="FI92" i="17"/>
  <c r="EN98" i="17"/>
  <c r="EO56" i="17"/>
  <c r="FL114" i="15"/>
  <c r="EJ85" i="17"/>
  <c r="EM120" i="17"/>
  <c r="FG132" i="15"/>
  <c r="FI76" i="15"/>
  <c r="FH61" i="17"/>
  <c r="FG46" i="17"/>
  <c r="FJ47" i="17"/>
  <c r="FL132" i="15"/>
  <c r="EO74" i="17"/>
  <c r="EI92" i="17"/>
  <c r="FE91" i="15"/>
  <c r="FI124" i="17"/>
  <c r="FL138" i="15"/>
  <c r="FD109" i="15"/>
  <c r="EZ62" i="17"/>
  <c r="FK55" i="17"/>
  <c r="FC66" i="15"/>
  <c r="FD88" i="15"/>
  <c r="FC72" i="17"/>
  <c r="FC89" i="17"/>
  <c r="FA135" i="17"/>
  <c r="FJ104" i="17"/>
  <c r="FG55" i="17"/>
  <c r="FH111" i="17"/>
  <c r="EF103" i="17"/>
  <c r="FA65" i="17"/>
  <c r="FA26" i="15"/>
  <c r="EH77" i="17"/>
  <c r="FI76" i="17"/>
  <c r="FH103" i="17"/>
  <c r="EK86" i="17"/>
  <c r="FK101" i="15"/>
  <c r="FB138" i="17"/>
  <c r="FK73" i="17"/>
  <c r="FB57" i="15"/>
  <c r="FG62" i="15"/>
  <c r="FJ86" i="17"/>
  <c r="FM110" i="17"/>
  <c r="FM87" i="17"/>
  <c r="FM104" i="17"/>
  <c r="FD79" i="17"/>
  <c r="FD138" i="15"/>
  <c r="FM110" i="15"/>
  <c r="FK121" i="17"/>
  <c r="FG23" i="15"/>
  <c r="FL47" i="15"/>
  <c r="FH72" i="15"/>
  <c r="FE66" i="15"/>
  <c r="EO124" i="17"/>
  <c r="FA109" i="15"/>
  <c r="EM34" i="17"/>
  <c r="FD112" i="15"/>
  <c r="FK51" i="15"/>
  <c r="FF71" i="15"/>
  <c r="EO102" i="17"/>
  <c r="FB30" i="15"/>
  <c r="FF49" i="15"/>
  <c r="FK78" i="17"/>
  <c r="EI103" i="17"/>
  <c r="FM91" i="17"/>
  <c r="FL56" i="17"/>
  <c r="FG140" i="15"/>
  <c r="FH112" i="17"/>
  <c r="FG135" i="17"/>
  <c r="FD50" i="17"/>
  <c r="EE125" i="17"/>
  <c r="FK110" i="17"/>
  <c r="EP62" i="17"/>
  <c r="EE104" i="17"/>
  <c r="FB119" i="17"/>
  <c r="EH66" i="17"/>
  <c r="EE110" i="17"/>
  <c r="FE38" i="17"/>
  <c r="FG94" i="15"/>
  <c r="EP49" i="17"/>
  <c r="ED93" i="15"/>
  <c r="EJ88" i="17"/>
  <c r="FL57" i="15"/>
  <c r="EO67" i="17"/>
  <c r="EE119" i="17"/>
  <c r="FC54" i="15"/>
  <c r="FM103" i="15"/>
  <c r="FE102" i="17"/>
  <c r="FI22" i="15"/>
  <c r="EJ93" i="17"/>
  <c r="EL32" i="17"/>
  <c r="EE65" i="17"/>
  <c r="EQ126" i="17"/>
  <c r="FK86" i="15"/>
  <c r="FM108" i="15"/>
  <c r="EO104" i="17"/>
  <c r="FC51" i="17"/>
  <c r="EH83" i="17"/>
  <c r="FK75" i="17"/>
  <c r="EZ97" i="17"/>
  <c r="FB109" i="15"/>
  <c r="EM126" i="17"/>
  <c r="EI37" i="17"/>
  <c r="FB74" i="17"/>
  <c r="FD86" i="17"/>
  <c r="FC101" i="17"/>
  <c r="ED55" i="17"/>
  <c r="FF76" i="17"/>
  <c r="EI100" i="15"/>
  <c r="FF92" i="17"/>
  <c r="FI67" i="15"/>
  <c r="EJ91" i="17"/>
  <c r="EK100" i="17"/>
  <c r="FB86" i="17"/>
  <c r="FA105" i="17"/>
  <c r="EJ50" i="17"/>
  <c r="FG25" i="15"/>
  <c r="FL75" i="15"/>
  <c r="FD48" i="17"/>
  <c r="EI82" i="17"/>
  <c r="EE76" i="17"/>
  <c r="EN105" i="15"/>
  <c r="EI81" i="17"/>
  <c r="FL54" i="15"/>
  <c r="FG88" i="17"/>
  <c r="FL83" i="17"/>
  <c r="FL42" i="15"/>
  <c r="FK141" i="17"/>
  <c r="FK104" i="17"/>
  <c r="EH109" i="15"/>
  <c r="FK76" i="15"/>
  <c r="EH104" i="15"/>
  <c r="FI68" i="15"/>
  <c r="FK46" i="17"/>
  <c r="FI71" i="15"/>
  <c r="FE114" i="15"/>
  <c r="EJ117" i="15"/>
  <c r="FI65" i="17"/>
  <c r="EP125" i="15"/>
  <c r="EI110" i="15"/>
  <c r="FJ89" i="15"/>
  <c r="EG123" i="15"/>
  <c r="FD71" i="17"/>
  <c r="FF55" i="15"/>
  <c r="FC116" i="15"/>
  <c r="FB38" i="17"/>
  <c r="EP102" i="15"/>
  <c r="EL66" i="17"/>
  <c r="FK27" i="15"/>
  <c r="EF35" i="17"/>
  <c r="EF80" i="17"/>
  <c r="FF68" i="17"/>
  <c r="FB116" i="17"/>
  <c r="FI93" i="17"/>
  <c r="EM112" i="15"/>
  <c r="FI102" i="17"/>
  <c r="FG124" i="17"/>
  <c r="EN114" i="17"/>
  <c r="FC95" i="15"/>
  <c r="FF69" i="15"/>
  <c r="FB118" i="17"/>
  <c r="FF56" i="17"/>
  <c r="FD139" i="17"/>
  <c r="FA90" i="17"/>
  <c r="FF77" i="17"/>
  <c r="ED123" i="15"/>
  <c r="FK40" i="17"/>
  <c r="EP47" i="17"/>
  <c r="FL72" i="15"/>
  <c r="FI59" i="15"/>
  <c r="EO112" i="15"/>
  <c r="ED80" i="17"/>
  <c r="FD103" i="17"/>
  <c r="FI105" i="15"/>
  <c r="EE99" i="17"/>
  <c r="EI20" i="17"/>
  <c r="FC60" i="17"/>
  <c r="FL78" i="15"/>
  <c r="EM55" i="17"/>
  <c r="FF60" i="15"/>
  <c r="FF40" i="17"/>
  <c r="FK30" i="15"/>
  <c r="FH30" i="15"/>
  <c r="FI70" i="17"/>
  <c r="FH141" i="17"/>
  <c r="FF43" i="15"/>
  <c r="FD74" i="17"/>
  <c r="EK120" i="17"/>
  <c r="EN79" i="17"/>
  <c r="FG45" i="15"/>
  <c r="FK105" i="15"/>
  <c r="EO109" i="17"/>
  <c r="EM99" i="15"/>
  <c r="FL64" i="15"/>
  <c r="FE53" i="17"/>
  <c r="EM128" i="15"/>
  <c r="FH132" i="15"/>
  <c r="FC81" i="15"/>
  <c r="FA68" i="15"/>
  <c r="FB133" i="15"/>
  <c r="EO113" i="15"/>
  <c r="EJ112" i="17"/>
  <c r="FL43" i="15"/>
  <c r="FF87" i="15"/>
  <c r="FK94" i="15"/>
  <c r="FG131" i="15"/>
  <c r="FA72" i="15"/>
  <c r="FK54" i="17"/>
  <c r="FE113" i="15"/>
  <c r="FA124" i="17"/>
  <c r="EH36" i="17"/>
  <c r="EF128" i="15"/>
  <c r="FE124" i="15"/>
  <c r="FL112" i="17"/>
  <c r="FF67" i="17"/>
  <c r="EK85" i="17"/>
  <c r="EM95" i="15"/>
  <c r="FH22" i="15"/>
  <c r="FL66" i="15"/>
  <c r="EN102" i="17"/>
  <c r="EJ104" i="17"/>
  <c r="FI66" i="15"/>
  <c r="EH106" i="17"/>
  <c r="FJ136" i="17"/>
  <c r="FC135" i="17"/>
  <c r="FI111" i="15"/>
  <c r="FI141" i="15"/>
  <c r="EI64" i="17"/>
  <c r="EH123" i="15"/>
  <c r="EN102" i="15"/>
  <c r="ED108" i="15"/>
  <c r="FG52" i="15"/>
  <c r="EO110" i="15"/>
  <c r="EI85" i="17"/>
  <c r="EO81" i="17"/>
  <c r="FK24" i="15"/>
  <c r="EN72" i="17"/>
  <c r="FD45" i="17"/>
  <c r="EI95" i="15"/>
  <c r="EJ57" i="17"/>
  <c r="EF94" i="17"/>
  <c r="FA23" i="15"/>
  <c r="FJ131" i="15"/>
  <c r="FD131" i="17"/>
  <c r="FL133" i="17"/>
  <c r="FD74" i="15"/>
  <c r="FG110" i="17"/>
  <c r="FJ47" i="15"/>
  <c r="FF67" i="15"/>
  <c r="EZ88" i="17"/>
  <c r="EH50" i="17"/>
  <c r="ED128" i="15"/>
  <c r="FI119" i="17"/>
  <c r="EF66" i="17"/>
  <c r="FK41" i="17"/>
  <c r="FJ141" i="17"/>
  <c r="FI61" i="17"/>
  <c r="FF73" i="15"/>
  <c r="FI44" i="15"/>
  <c r="EJ101" i="17"/>
  <c r="FL83" i="15"/>
  <c r="FH109" i="15"/>
  <c r="FE135" i="15"/>
  <c r="FF126" i="17"/>
  <c r="FD43" i="17"/>
  <c r="EK114" i="15"/>
  <c r="FF83" i="15"/>
  <c r="EE43" i="17"/>
  <c r="FJ73" i="15"/>
  <c r="EH120" i="15"/>
  <c r="FI25" i="15"/>
  <c r="FA105" i="15"/>
  <c r="FD118" i="15"/>
  <c r="FE111" i="17"/>
  <c r="FI104" i="17"/>
  <c r="EG41" i="17"/>
  <c r="EN84" i="17"/>
  <c r="FA136" i="15"/>
  <c r="FJ96" i="17"/>
  <c r="EH117" i="17"/>
  <c r="EN62" i="17"/>
  <c r="EJ47" i="17"/>
  <c r="FB61" i="15"/>
  <c r="FF125" i="17"/>
  <c r="FF57" i="15"/>
  <c r="EE33" i="17"/>
  <c r="EG82" i="17"/>
  <c r="EL99" i="15"/>
  <c r="EL79" i="17"/>
  <c r="FD50" i="15"/>
  <c r="FA29" i="15"/>
  <c r="FB67" i="17"/>
  <c r="EM92" i="17"/>
  <c r="FM51" i="17"/>
  <c r="FE84" i="15"/>
  <c r="EG127" i="15"/>
  <c r="EH122" i="15"/>
  <c r="EK35" i="17"/>
  <c r="FL80" i="15"/>
  <c r="EH111" i="15"/>
  <c r="FD115" i="15"/>
  <c r="EK83" i="17"/>
  <c r="FA60" i="15"/>
  <c r="EN108" i="15"/>
  <c r="FB52" i="17"/>
  <c r="FM72" i="17"/>
  <c r="FK87" i="15"/>
  <c r="FD51" i="15"/>
  <c r="FM35" i="17"/>
  <c r="FF36" i="17"/>
  <c r="FE63" i="17"/>
  <c r="FJ63" i="17"/>
  <c r="FL40" i="17"/>
  <c r="FC28" i="15"/>
  <c r="FD25" i="15"/>
  <c r="EK82" i="17"/>
  <c r="FE75" i="15"/>
  <c r="EL85" i="17"/>
  <c r="EE51" i="17"/>
  <c r="EP50" i="17"/>
  <c r="FM100" i="15"/>
  <c r="EG101" i="15"/>
  <c r="ED95" i="15"/>
  <c r="EQ73" i="17"/>
  <c r="FJ131" i="17"/>
  <c r="FM113" i="15"/>
  <c r="EH115" i="15"/>
  <c r="FJ115" i="15"/>
  <c r="FC25" i="15"/>
  <c r="EG91" i="15"/>
  <c r="FE49" i="15"/>
  <c r="FF72" i="15"/>
  <c r="EO115" i="15"/>
  <c r="FL81" i="15"/>
  <c r="EN74" i="17"/>
  <c r="EP108" i="15"/>
  <c r="FH56" i="15"/>
  <c r="EZ41" i="17"/>
  <c r="FH117" i="17"/>
  <c r="EO48" i="17"/>
  <c r="EH125" i="17"/>
  <c r="FI57" i="15"/>
  <c r="EM114" i="15"/>
  <c r="FA68" i="17"/>
  <c r="FI63" i="15"/>
  <c r="FI54" i="15"/>
  <c r="EI114" i="17"/>
  <c r="FH63" i="15"/>
  <c r="FB75" i="15"/>
  <c r="FL92" i="17"/>
  <c r="FI100" i="17"/>
  <c r="EL84" i="17"/>
  <c r="FK57" i="15"/>
  <c r="FK112" i="15"/>
  <c r="FJ65" i="15"/>
  <c r="EI120" i="15"/>
  <c r="EN93" i="15"/>
  <c r="FC87" i="17"/>
  <c r="FB29" i="15"/>
  <c r="EK124" i="15"/>
  <c r="EO58" i="17"/>
  <c r="EQ60" i="17"/>
  <c r="FD114" i="17"/>
  <c r="FJ71" i="15"/>
  <c r="EZ54" i="17"/>
  <c r="FE29" i="15"/>
  <c r="FC52" i="15"/>
  <c r="FD124" i="15"/>
  <c r="EO95" i="17"/>
  <c r="FE30" i="15"/>
  <c r="ED44" i="17"/>
  <c r="EL98" i="15"/>
  <c r="EN39" i="17"/>
  <c r="EI90" i="15"/>
  <c r="EM108" i="15"/>
  <c r="FE125" i="15"/>
  <c r="FA46" i="15"/>
  <c r="FK119" i="15"/>
  <c r="FJ123" i="15"/>
  <c r="FC72" i="15"/>
  <c r="FC30" i="15"/>
  <c r="FH122" i="15"/>
  <c r="FG120" i="15"/>
  <c r="FA128" i="15"/>
  <c r="FE21" i="15"/>
  <c r="EZ81" i="17"/>
  <c r="FF126" i="15"/>
  <c r="EH96" i="15"/>
  <c r="FD87" i="17"/>
  <c r="EP48" i="17"/>
  <c r="FD32" i="17"/>
  <c r="FH97" i="17"/>
  <c r="EQ87" i="17"/>
  <c r="EM118" i="15"/>
  <c r="EL77" i="17"/>
  <c r="EG125" i="15"/>
  <c r="FA52" i="15"/>
  <c r="FG50" i="15"/>
  <c r="EJ128" i="17"/>
  <c r="FA74" i="15"/>
  <c r="EQ92" i="17"/>
  <c r="ED37" i="17"/>
  <c r="EO98" i="15"/>
  <c r="FH108" i="15"/>
  <c r="FE92" i="15"/>
  <c r="FD69" i="17"/>
  <c r="FG100" i="15"/>
  <c r="FF92" i="15"/>
  <c r="ED81" i="17"/>
  <c r="FE81" i="15"/>
  <c r="FA58" i="17"/>
  <c r="ED103" i="15"/>
  <c r="FC111" i="15"/>
  <c r="FM118" i="15"/>
  <c r="FH113" i="17"/>
  <c r="FD129" i="15"/>
  <c r="FF78" i="17"/>
  <c r="EL95" i="17"/>
  <c r="EG61" i="17"/>
  <c r="EE121" i="15"/>
  <c r="FG129" i="17"/>
  <c r="EN40" i="17"/>
  <c r="FH60" i="15"/>
  <c r="FB43" i="15"/>
  <c r="FG79" i="15"/>
  <c r="ED104" i="15"/>
  <c r="EG100" i="15"/>
  <c r="FG41" i="15"/>
  <c r="EO110" i="17"/>
  <c r="FJ52" i="15"/>
  <c r="FI42" i="17"/>
  <c r="EL107" i="17"/>
  <c r="FG37" i="17"/>
  <c r="FK129" i="15"/>
  <c r="EP126" i="17"/>
  <c r="EI63" i="17"/>
  <c r="EH120" i="17"/>
  <c r="FM65" i="17"/>
  <c r="EO43" i="17"/>
  <c r="FA122" i="15"/>
  <c r="FF79" i="17"/>
  <c r="EL49" i="17"/>
  <c r="EQ116" i="15"/>
  <c r="FL118" i="15"/>
  <c r="FK111" i="17"/>
  <c r="EI45" i="17"/>
  <c r="ED118" i="15"/>
  <c r="EK100" i="15"/>
  <c r="FD120" i="15"/>
  <c r="FD21" i="15"/>
  <c r="FD90" i="15"/>
  <c r="FB59" i="15"/>
  <c r="FB132" i="15"/>
  <c r="EP73" i="17"/>
  <c r="FI128" i="15"/>
  <c r="FK121" i="15"/>
  <c r="FL127" i="15"/>
  <c r="EF64" i="17"/>
  <c r="EH102" i="15"/>
  <c r="EI53" i="17"/>
  <c r="FJ88" i="15"/>
  <c r="FB24" i="15"/>
  <c r="EP94" i="15"/>
  <c r="EF67" i="17"/>
  <c r="FJ112" i="17"/>
  <c r="EI124" i="17"/>
  <c r="FG138" i="17"/>
  <c r="EI79" i="17"/>
  <c r="EP36" i="17"/>
  <c r="EJ56" i="17"/>
  <c r="EN20" i="17"/>
  <c r="EJ121" i="17"/>
  <c r="EN95" i="15"/>
  <c r="FG54" i="17"/>
  <c r="FJ132" i="15"/>
  <c r="FJ119" i="15"/>
  <c r="FJ99" i="15"/>
  <c r="FJ77" i="15"/>
  <c r="FA55" i="15"/>
  <c r="ED117" i="15"/>
  <c r="FC56" i="15"/>
  <c r="FJ98" i="15"/>
  <c r="FH128" i="17"/>
  <c r="FD47" i="15"/>
  <c r="FA69" i="17"/>
  <c r="FK36" i="17"/>
  <c r="FI75" i="15"/>
  <c r="EE122" i="15"/>
  <c r="FI120" i="15"/>
  <c r="FC83" i="15"/>
  <c r="FA116" i="15"/>
  <c r="FL130" i="15"/>
  <c r="EM116" i="17"/>
  <c r="ED104" i="17"/>
  <c r="EQ103" i="15"/>
  <c r="EQ94" i="15"/>
  <c r="FK80" i="15"/>
  <c r="FA102" i="15"/>
  <c r="FE39" i="17"/>
  <c r="FD60" i="15"/>
  <c r="FL84" i="15"/>
  <c r="EQ119" i="17"/>
  <c r="EH48" i="17"/>
  <c r="FG125" i="15"/>
  <c r="FG78" i="15"/>
  <c r="FL132" i="17"/>
  <c r="FA122" i="17"/>
  <c r="FL51" i="17"/>
  <c r="EE101" i="17"/>
  <c r="EJ48" i="17"/>
  <c r="FB74" i="15"/>
  <c r="EO103" i="17"/>
  <c r="EF99" i="17"/>
  <c r="ED85" i="17"/>
  <c r="FG140" i="17"/>
  <c r="EH101" i="17"/>
  <c r="EJ107" i="17"/>
  <c r="FL87" i="17"/>
  <c r="EP82" i="17"/>
  <c r="EI78" i="17"/>
  <c r="FD65" i="15"/>
  <c r="EN123" i="15"/>
  <c r="FL119" i="17"/>
  <c r="FI61" i="15"/>
  <c r="EE98" i="15"/>
  <c r="FL121" i="15"/>
  <c r="FH119" i="15"/>
  <c r="EN110" i="17"/>
  <c r="EJ101" i="15"/>
  <c r="FF135" i="17"/>
  <c r="FI54" i="17"/>
  <c r="EG59" i="17"/>
  <c r="FA25" i="15"/>
  <c r="FI45" i="17"/>
  <c r="FB45" i="15"/>
  <c r="EK58" i="17"/>
  <c r="FL120" i="15"/>
  <c r="ED75" i="17"/>
  <c r="FJ51" i="17"/>
  <c r="EI127" i="17"/>
  <c r="EM121" i="15"/>
  <c r="EF105" i="17"/>
  <c r="FF47" i="15"/>
  <c r="FB50" i="15"/>
  <c r="FB25" i="15"/>
  <c r="FJ123" i="17"/>
  <c r="EI36" i="17"/>
  <c r="FE27" i="15"/>
  <c r="FK56" i="17"/>
  <c r="FK20" i="15"/>
  <c r="EM100" i="15"/>
  <c r="FD91" i="15"/>
  <c r="FK28" i="15"/>
  <c r="EJ110" i="17"/>
  <c r="FJ100" i="17"/>
  <c r="EI97" i="15"/>
  <c r="EK39" i="17"/>
  <c r="ED66" i="17"/>
  <c r="FH138" i="17"/>
  <c r="EK64" i="17"/>
  <c r="FG32" i="17"/>
  <c r="FL91" i="17"/>
  <c r="EK118" i="15"/>
  <c r="EN55" i="17"/>
  <c r="FJ69" i="17"/>
  <c r="ED105" i="17"/>
  <c r="EQ41" i="17"/>
  <c r="FG59" i="15"/>
  <c r="FJ62" i="17"/>
  <c r="FH126" i="15"/>
  <c r="FJ103" i="15"/>
  <c r="EK102" i="15"/>
  <c r="EE102" i="17"/>
  <c r="FL139" i="17"/>
  <c r="FI90" i="15"/>
  <c r="FA141" i="15"/>
  <c r="FB58" i="15"/>
  <c r="FC103" i="15"/>
  <c r="EZ65" i="17"/>
  <c r="EH95" i="15"/>
  <c r="EH91" i="15"/>
  <c r="FK139" i="17"/>
  <c r="EE62" i="17"/>
  <c r="FJ48" i="17"/>
  <c r="EO121" i="15"/>
  <c r="EJ104" i="15"/>
  <c r="FI77" i="15"/>
  <c r="FK66" i="17"/>
  <c r="EP54" i="17"/>
  <c r="FC44" i="15"/>
  <c r="EI80" i="17"/>
  <c r="EK68" i="17"/>
  <c r="EK70" i="17"/>
  <c r="EM107" i="17"/>
  <c r="FB111" i="15"/>
  <c r="FG62" i="17"/>
  <c r="FG104" i="15"/>
  <c r="EN93" i="17"/>
  <c r="EL58" i="17"/>
  <c r="FI101" i="15"/>
  <c r="EJ42" i="17"/>
  <c r="FD57" i="15"/>
  <c r="EE110" i="15"/>
  <c r="FH133" i="17"/>
  <c r="FK99" i="17"/>
  <c r="FA102" i="17"/>
  <c r="EG34" i="17"/>
  <c r="EN36" i="17"/>
  <c r="EL108" i="17"/>
  <c r="FH132" i="17"/>
  <c r="FK115" i="17"/>
  <c r="FM106" i="17"/>
  <c r="FB55" i="15"/>
  <c r="ED114" i="15"/>
  <c r="EP80" i="17"/>
  <c r="FE136" i="15"/>
  <c r="EF56" i="17"/>
  <c r="EQ100" i="17"/>
  <c r="EK119" i="15"/>
  <c r="FL134" i="15"/>
  <c r="FA71" i="17"/>
  <c r="EI122" i="17"/>
  <c r="FH105" i="17"/>
  <c r="FG111" i="17"/>
  <c r="FE88" i="17"/>
  <c r="EP95" i="15"/>
  <c r="FI134" i="15"/>
  <c r="FH20" i="15"/>
  <c r="EN61" i="17"/>
  <c r="FA103" i="15"/>
  <c r="EH73" i="17"/>
  <c r="FH97" i="15"/>
  <c r="FI96" i="17"/>
  <c r="FJ97" i="15"/>
  <c r="FC99" i="15"/>
  <c r="FC56" i="17"/>
  <c r="EN115" i="15"/>
  <c r="FD72" i="17"/>
  <c r="FM90" i="15"/>
  <c r="FC78" i="15"/>
  <c r="FA131" i="17"/>
  <c r="FL65" i="17"/>
  <c r="FA21" i="15"/>
  <c r="FJ113" i="15"/>
  <c r="EQ124" i="15"/>
  <c r="FG98" i="15"/>
  <c r="FA118" i="17"/>
  <c r="EJ55" i="17"/>
  <c r="FC97" i="15"/>
  <c r="EZ53" i="17"/>
  <c r="FC32" i="17"/>
  <c r="EM123" i="15"/>
  <c r="FC60" i="15"/>
  <c r="FI49" i="15"/>
  <c r="EF99" i="15"/>
  <c r="FL80" i="17"/>
  <c r="EE98" i="17"/>
  <c r="FM120" i="15"/>
  <c r="FA113" i="17"/>
  <c r="EO97" i="17"/>
  <c r="FB137" i="15"/>
  <c r="FB42" i="17"/>
  <c r="FD26" i="15"/>
  <c r="FC128" i="17"/>
  <c r="FB65" i="15"/>
  <c r="FC21" i="15"/>
  <c r="EM93" i="15"/>
  <c r="EQ107" i="15"/>
  <c r="FL70" i="17"/>
  <c r="FA131" i="15"/>
  <c r="EZ109" i="17"/>
  <c r="EH57" i="17"/>
  <c r="EJ114" i="15"/>
  <c r="FA125" i="17"/>
  <c r="EL105" i="15"/>
  <c r="FA66" i="17"/>
  <c r="EG124" i="17"/>
  <c r="EZ40" i="17"/>
  <c r="FA80" i="15"/>
  <c r="FH137" i="15"/>
  <c r="EM117" i="15"/>
  <c r="EN128" i="17"/>
  <c r="FI99" i="17"/>
  <c r="EN109" i="17"/>
  <c r="FJ33" i="17"/>
  <c r="FM91" i="15"/>
  <c r="FI97" i="15"/>
  <c r="EJ79" i="17"/>
  <c r="FI84" i="17"/>
  <c r="EG104" i="15"/>
  <c r="FK102" i="15"/>
  <c r="FK138" i="17"/>
  <c r="EQ98" i="17"/>
  <c r="FH79" i="15"/>
  <c r="FB69" i="17"/>
  <c r="EO78" i="17"/>
  <c r="EK71" i="17"/>
  <c r="EK106" i="17"/>
  <c r="EZ82" i="17"/>
  <c r="FD75" i="17"/>
  <c r="FL51" i="15"/>
  <c r="FA103" i="17"/>
  <c r="EK91" i="17"/>
  <c r="EO120" i="17"/>
  <c r="FH53" i="15"/>
  <c r="FE112" i="17"/>
  <c r="FE80" i="15"/>
  <c r="EE115" i="17"/>
  <c r="ED111" i="15"/>
  <c r="EN111" i="15"/>
  <c r="FF94" i="15"/>
  <c r="FD133" i="17"/>
  <c r="EZ49" i="17"/>
  <c r="FA120" i="15"/>
  <c r="EO90" i="17"/>
  <c r="EQ83" i="17"/>
  <c r="ED111" i="17"/>
  <c r="EP127" i="17"/>
  <c r="EK103" i="17"/>
  <c r="EZ127" i="17"/>
  <c r="EQ93" i="17"/>
  <c r="FG34" i="17"/>
  <c r="EF75" i="17"/>
  <c r="FB115" i="17"/>
  <c r="FJ80" i="15"/>
  <c r="FJ44" i="15"/>
  <c r="EO107" i="15"/>
  <c r="FI110" i="17"/>
  <c r="EF49" i="17"/>
  <c r="EO102" i="15"/>
  <c r="FF80" i="15"/>
  <c r="FG96" i="15"/>
  <c r="FL28" i="15"/>
  <c r="EN82" i="17"/>
  <c r="FE134" i="15"/>
  <c r="FM120" i="17"/>
  <c r="FD66" i="15"/>
  <c r="FI52" i="15"/>
  <c r="FE32" i="17"/>
  <c r="FM79" i="17"/>
  <c r="FF65" i="15"/>
  <c r="EG83" i="17"/>
  <c r="FF33" i="17"/>
  <c r="FI64" i="17"/>
  <c r="FC29" i="15"/>
  <c r="EQ117" i="15"/>
  <c r="FC130" i="15"/>
  <c r="FC98" i="15"/>
  <c r="FG50" i="17"/>
  <c r="FE51" i="17"/>
  <c r="FB66" i="15"/>
  <c r="EQ100" i="15"/>
  <c r="EF45" i="17"/>
  <c r="EO114" i="15"/>
  <c r="EP46" i="17"/>
  <c r="EM98" i="17"/>
  <c r="ED115" i="15"/>
  <c r="EQ65" i="17"/>
  <c r="FG128" i="17"/>
  <c r="FH99" i="15"/>
  <c r="FF64" i="15"/>
  <c r="EO96" i="15"/>
  <c r="FC62" i="15"/>
  <c r="FE31" i="17"/>
  <c r="FF86" i="17"/>
  <c r="FI112" i="15"/>
  <c r="FK141" i="15"/>
  <c r="FF103" i="17"/>
  <c r="FH61" i="15"/>
  <c r="FM58" i="17"/>
  <c r="FE131" i="15"/>
  <c r="FB104" i="15"/>
  <c r="EJ116" i="17"/>
  <c r="FL30" i="15"/>
  <c r="FE31" i="15"/>
  <c r="EM100" i="17"/>
  <c r="FA44" i="17"/>
  <c r="FG121" i="15"/>
  <c r="EJ113" i="15"/>
  <c r="EF100" i="15"/>
  <c r="EL126" i="17"/>
  <c r="FD22" i="15"/>
  <c r="ED49" i="17"/>
  <c r="EH63" i="17"/>
  <c r="EK41" i="17"/>
  <c r="FL47" i="17"/>
  <c r="EI99" i="17"/>
  <c r="FA110" i="15"/>
  <c r="FE134" i="17"/>
  <c r="EF116" i="17"/>
  <c r="FL96" i="17"/>
  <c r="EO126" i="15"/>
  <c r="FJ38" i="17"/>
  <c r="EZ90" i="17"/>
  <c r="EI119" i="15"/>
  <c r="EF40" i="17"/>
  <c r="FC26" i="15"/>
  <c r="FJ41" i="15"/>
  <c r="FA45" i="17"/>
  <c r="FL71" i="15"/>
  <c r="FB99" i="15"/>
  <c r="FL113" i="17"/>
  <c r="EL90" i="15"/>
  <c r="ED112" i="15"/>
  <c r="FI127" i="17"/>
  <c r="FD100" i="15"/>
  <c r="FJ138" i="17"/>
  <c r="EL119" i="17"/>
  <c r="EH87" i="17"/>
  <c r="EZ68" i="17"/>
  <c r="FM46" i="17"/>
  <c r="EG109" i="15"/>
  <c r="FI106" i="17"/>
  <c r="EJ91" i="15"/>
  <c r="EO77" i="17"/>
  <c r="FC40" i="17"/>
  <c r="FK92" i="17"/>
  <c r="EH114" i="17"/>
  <c r="FH93" i="17"/>
  <c r="FL99" i="15"/>
  <c r="EG105" i="15"/>
  <c r="EG39" i="17"/>
  <c r="EN106" i="17"/>
  <c r="FA89" i="17"/>
  <c r="FJ110" i="17"/>
  <c r="FG52" i="17"/>
  <c r="FA135" i="15"/>
  <c r="FI138" i="15"/>
  <c r="FL56" i="15"/>
  <c r="FJ120" i="17"/>
  <c r="FE54" i="15"/>
  <c r="EI118" i="15"/>
  <c r="EE97" i="15"/>
  <c r="EL113" i="17"/>
  <c r="FM103" i="17"/>
  <c r="FF29" i="15"/>
  <c r="FM121" i="15"/>
  <c r="EL102" i="15"/>
  <c r="FL55" i="15"/>
  <c r="FH54" i="15"/>
  <c r="EQ49" i="17"/>
  <c r="FA61" i="15"/>
  <c r="EH33" i="17"/>
  <c r="FJ42" i="17"/>
  <c r="FK67" i="17"/>
  <c r="FG51" i="17"/>
  <c r="EK73" i="17"/>
  <c r="EI58" i="17"/>
  <c r="FL129" i="15"/>
  <c r="FL126" i="15"/>
  <c r="FC42" i="15"/>
  <c r="FA73" i="17"/>
  <c r="FD137" i="17"/>
  <c r="EP98" i="15"/>
  <c r="FJ85" i="15"/>
  <c r="FF109" i="15"/>
  <c r="FL64" i="17"/>
  <c r="EN54" i="17"/>
  <c r="EM97" i="15"/>
  <c r="FE88" i="15"/>
  <c r="FM124" i="15"/>
  <c r="FI58" i="15"/>
  <c r="EN81" i="17"/>
  <c r="EN44" i="17"/>
  <c r="FI20" i="15"/>
  <c r="FG75" i="17"/>
  <c r="FL72" i="17"/>
  <c r="EL118" i="17"/>
  <c r="FJ92" i="17"/>
  <c r="EF123" i="17"/>
  <c r="EN127" i="15"/>
  <c r="EO84" i="17"/>
  <c r="EF51" i="17"/>
  <c r="FK87" i="17"/>
  <c r="FD68" i="15"/>
  <c r="EE99" i="15"/>
  <c r="EF34" i="17"/>
  <c r="FK45" i="17"/>
  <c r="FM77" i="17"/>
  <c r="FL139" i="15"/>
  <c r="EK20" i="17"/>
  <c r="EP37" i="17"/>
  <c r="FD49" i="15"/>
  <c r="FK25" i="15"/>
  <c r="EM103" i="15"/>
  <c r="EN121" i="15"/>
  <c r="FF139" i="17"/>
  <c r="EM121" i="17"/>
  <c r="FF41" i="17"/>
  <c r="FD108" i="15"/>
  <c r="FD33" i="17"/>
  <c r="EH65" i="17"/>
  <c r="EK52" i="17"/>
  <c r="ED68" i="17"/>
  <c r="EI92" i="15"/>
  <c r="EM83" i="17"/>
  <c r="FG22" i="15"/>
  <c r="FL101" i="15"/>
  <c r="EJ72" i="17"/>
  <c r="EF79" i="17"/>
  <c r="EH45" i="17"/>
  <c r="ED115" i="17"/>
  <c r="FL88" i="15"/>
  <c r="FH65" i="15"/>
  <c r="FG54" i="15"/>
  <c r="FC73" i="17"/>
  <c r="FI126" i="17"/>
  <c r="FF59" i="15"/>
  <c r="EL100" i="15"/>
  <c r="EK45" i="17"/>
  <c r="FM117" i="17"/>
  <c r="FA93" i="15"/>
  <c r="EL111" i="15"/>
  <c r="EP123" i="17"/>
  <c r="FL93" i="17"/>
  <c r="FG71" i="15"/>
  <c r="FF112" i="15"/>
  <c r="FK106" i="17"/>
  <c r="FE42" i="15"/>
  <c r="EJ120" i="15"/>
  <c r="FD72" i="15"/>
  <c r="EI49" i="17"/>
  <c r="EM90" i="17"/>
  <c r="EP90" i="15"/>
  <c r="FK119" i="17"/>
  <c r="FE137" i="15"/>
  <c r="FI91" i="15"/>
  <c r="EP111" i="15"/>
  <c r="FJ23" i="15"/>
  <c r="FD84" i="15"/>
  <c r="EI31" i="17"/>
  <c r="EP116" i="15"/>
  <c r="FE58" i="17"/>
  <c r="EE116" i="15"/>
  <c r="EI93" i="15"/>
  <c r="EG66" i="17"/>
  <c r="FB106" i="17"/>
  <c r="FA101" i="15"/>
  <c r="FH123" i="15"/>
  <c r="FG135" i="15"/>
  <c r="FI122" i="15"/>
  <c r="FG82" i="15"/>
  <c r="FI28" i="15"/>
  <c r="ED108" i="17"/>
  <c r="FB55" i="17"/>
  <c r="FG93" i="17"/>
  <c r="FG49" i="17"/>
  <c r="FM127" i="15"/>
  <c r="FH120" i="17"/>
  <c r="EF95" i="15"/>
  <c r="FB108" i="15"/>
  <c r="EM115" i="15"/>
  <c r="FJ64" i="15"/>
  <c r="FG124" i="15"/>
  <c r="EI128" i="17"/>
  <c r="FG106" i="15"/>
  <c r="FE89" i="15"/>
  <c r="EL119" i="15"/>
  <c r="FB113" i="15"/>
  <c r="FH109" i="17"/>
  <c r="ED94" i="15"/>
  <c r="FG66" i="15"/>
  <c r="FJ51" i="15"/>
  <c r="FE20" i="15"/>
  <c r="EM93" i="17"/>
  <c r="FA39" i="17"/>
  <c r="FD127" i="17"/>
  <c r="FB73" i="15"/>
  <c r="EN123" i="17"/>
  <c r="ED99" i="15"/>
  <c r="EG112" i="15"/>
  <c r="ED117" i="17"/>
  <c r="FI99" i="15"/>
  <c r="FI78" i="17"/>
  <c r="FL36" i="17"/>
  <c r="FL43" i="17"/>
  <c r="EF102" i="15"/>
  <c r="EF123" i="15"/>
  <c r="FE109" i="17"/>
  <c r="FG21" i="15"/>
  <c r="EE37" i="17"/>
  <c r="FJ94" i="17"/>
  <c r="FL24" i="15"/>
  <c r="FF77" i="15"/>
  <c r="FJ45" i="17"/>
  <c r="EH127" i="15"/>
  <c r="FJ121" i="15"/>
  <c r="FE37" i="17"/>
  <c r="EI46" i="17"/>
  <c r="FI97" i="17"/>
  <c r="FA97" i="15"/>
  <c r="EM102" i="17"/>
  <c r="FB141" i="15"/>
  <c r="ED106" i="17"/>
  <c r="FA100" i="15"/>
  <c r="FK76" i="17"/>
  <c r="EM114" i="17"/>
  <c r="FF96" i="17"/>
  <c r="EN63" i="17"/>
  <c r="EE114" i="17"/>
  <c r="EE66" i="17"/>
  <c r="FA47" i="15"/>
  <c r="FE92" i="17"/>
  <c r="EI48" i="17"/>
  <c r="FE83" i="15"/>
  <c r="EF107" i="17"/>
  <c r="FI47" i="17"/>
  <c r="FH131" i="17"/>
  <c r="EJ65" i="17"/>
  <c r="EG44" i="17"/>
  <c r="EE108" i="17"/>
  <c r="FI85" i="15"/>
  <c r="EP113" i="15"/>
  <c r="FA30" i="15"/>
  <c r="EH98" i="15"/>
  <c r="FD97" i="15"/>
  <c r="EM123" i="17"/>
  <c r="FE104" i="17"/>
  <c r="FI125" i="15"/>
  <c r="FK56" i="15"/>
  <c r="EZ36" i="17"/>
  <c r="FL52" i="15"/>
  <c r="ED40" i="17"/>
  <c r="EL59" i="17"/>
  <c r="FB51" i="15"/>
  <c r="FI93" i="15"/>
  <c r="EM33" i="17"/>
  <c r="FE42" i="17"/>
  <c r="EH75" i="17"/>
  <c r="FC94" i="17"/>
  <c r="FM125" i="17"/>
  <c r="EM77" i="17"/>
  <c r="FM86" i="17"/>
  <c r="EF59" i="17"/>
  <c r="ED113" i="15"/>
  <c r="EK32" i="17"/>
  <c r="FM102" i="17"/>
  <c r="FB135" i="17"/>
  <c r="EL112" i="15"/>
  <c r="FA137" i="17"/>
  <c r="ED110" i="15"/>
  <c r="FL27" i="15"/>
  <c r="FA32" i="17"/>
  <c r="FI141" i="17"/>
  <c r="FB28" i="15"/>
  <c r="FL48" i="17"/>
  <c r="FA52" i="17"/>
  <c r="EE64" i="17"/>
  <c r="EP32" i="17"/>
  <c r="EL111" i="17"/>
  <c r="FI121" i="17"/>
  <c r="FG70" i="17"/>
  <c r="EZ120" i="17"/>
  <c r="FK46" i="15"/>
  <c r="FK68" i="15"/>
  <c r="FH54" i="17"/>
  <c r="FD90" i="17"/>
  <c r="FK50" i="17"/>
  <c r="FB117" i="15"/>
  <c r="FE113" i="17"/>
  <c r="FD46" i="15"/>
  <c r="FF97" i="15"/>
  <c r="FF75" i="15"/>
  <c r="EH62" i="17"/>
  <c r="FG57" i="17"/>
  <c r="FF87" i="17"/>
  <c r="EO51" i="17"/>
  <c r="FH46" i="17"/>
  <c r="FG111" i="15"/>
  <c r="EG99" i="17"/>
  <c r="EG118" i="17"/>
  <c r="FH136" i="15"/>
  <c r="EK93" i="17"/>
  <c r="EQ101" i="17"/>
  <c r="FH77" i="17"/>
  <c r="FA82" i="17"/>
  <c r="FB71" i="17"/>
  <c r="FD81" i="15"/>
  <c r="FA58" i="15"/>
  <c r="EJ36" i="17"/>
  <c r="EK33" i="17"/>
  <c r="FA108" i="17"/>
  <c r="EQ78" i="17"/>
  <c r="FM49" i="17"/>
  <c r="EM91" i="17"/>
  <c r="EQ128" i="15"/>
  <c r="EI113" i="17"/>
  <c r="FM95" i="17"/>
  <c r="FG86" i="15"/>
  <c r="EG126" i="17"/>
  <c r="FM55" i="17"/>
  <c r="FB103" i="15"/>
  <c r="FG67" i="17"/>
  <c r="FJ114" i="15"/>
  <c r="EN68" i="17"/>
  <c r="FC67" i="15"/>
  <c r="FB134" i="17"/>
  <c r="FL32" i="17"/>
  <c r="EL94" i="15"/>
  <c r="EF107" i="15"/>
  <c r="FH90" i="15"/>
  <c r="EE113" i="15"/>
  <c r="FJ25" i="15"/>
  <c r="EJ119" i="15"/>
  <c r="EF117" i="15"/>
  <c r="FK82" i="15"/>
  <c r="EK91" i="15"/>
  <c r="EH118" i="17"/>
  <c r="EG122" i="15"/>
  <c r="EF128" i="17"/>
  <c r="ED76" i="17"/>
  <c r="FJ46" i="17"/>
  <c r="FE122" i="17"/>
  <c r="EJ109" i="17"/>
  <c r="FG103" i="15"/>
  <c r="FC27" i="15"/>
  <c r="EG110" i="15"/>
  <c r="EF82" i="17"/>
  <c r="EK48" i="17"/>
  <c r="FF102" i="17"/>
  <c r="EP40" i="17"/>
  <c r="FJ88" i="17"/>
  <c r="EG123" i="17"/>
  <c r="ED123" i="17"/>
  <c r="FA88" i="17"/>
  <c r="FF140" i="15"/>
  <c r="FF136" i="17"/>
  <c r="FL92" i="15"/>
  <c r="EO99" i="15"/>
  <c r="FH117" i="15"/>
  <c r="FC45" i="15"/>
  <c r="EQ57" i="17"/>
  <c r="EK121" i="15"/>
  <c r="FJ70" i="15"/>
  <c r="EK97" i="15"/>
  <c r="FK123" i="17"/>
  <c r="EL40" i="17"/>
  <c r="FJ127" i="15"/>
  <c r="FE47" i="17"/>
  <c r="FH62" i="17"/>
  <c r="EJ124" i="15"/>
  <c r="FH99" i="17"/>
  <c r="EM59" i="17"/>
  <c r="FH86" i="15"/>
  <c r="EH80" i="17"/>
  <c r="EQ74" i="17"/>
  <c r="EN66" i="17"/>
  <c r="EL109" i="17"/>
  <c r="EJ99" i="17"/>
  <c r="EF108" i="17"/>
  <c r="EQ62" i="17"/>
  <c r="EM105" i="17"/>
  <c r="EG69" i="17"/>
  <c r="FL97" i="15"/>
  <c r="FB23" i="15"/>
  <c r="FJ34" i="17"/>
  <c r="EQ46" i="17"/>
  <c r="FF95" i="15"/>
  <c r="EM110" i="17"/>
  <c r="EO100" i="15"/>
  <c r="EL108" i="15"/>
  <c r="EH113" i="15"/>
  <c r="EH98" i="17"/>
  <c r="FH45" i="15"/>
  <c r="FB37" i="17"/>
  <c r="FE106" i="17"/>
  <c r="FH37" i="17"/>
  <c r="FJ65" i="17"/>
  <c r="FF66" i="15"/>
  <c r="FJ87" i="15"/>
  <c r="FE107" i="15"/>
  <c r="EG63" i="17"/>
  <c r="FE43" i="17"/>
  <c r="FJ59" i="15"/>
  <c r="FB90" i="15"/>
  <c r="EK125" i="15"/>
  <c r="EO79" i="17"/>
  <c r="FF45" i="17"/>
  <c r="EN114" i="15"/>
  <c r="EQ51" i="17"/>
  <c r="EN108" i="17"/>
  <c r="FG139" i="17"/>
  <c r="EI125" i="17"/>
  <c r="FC119" i="15"/>
  <c r="FG132" i="17"/>
  <c r="FG112" i="15"/>
  <c r="EP88" i="17"/>
  <c r="EH69" i="17"/>
  <c r="FF125" i="15"/>
  <c r="EG53" i="17"/>
  <c r="EK115" i="15"/>
  <c r="EQ105" i="15"/>
  <c r="FJ130" i="15"/>
  <c r="FG108" i="15"/>
  <c r="FL109" i="17"/>
  <c r="FF58" i="15"/>
  <c r="FA49" i="15"/>
  <c r="EK34" i="17"/>
  <c r="FG24" i="15"/>
  <c r="FI129" i="17"/>
  <c r="ED64" i="17"/>
  <c r="FE65" i="17"/>
  <c r="FF62" i="15"/>
  <c r="FA33" i="17"/>
  <c r="EF121" i="15"/>
  <c r="EF127" i="17"/>
  <c r="FL107" i="17"/>
  <c r="FE35" i="17"/>
  <c r="ED97" i="17"/>
  <c r="FA106" i="15"/>
  <c r="FG69" i="15"/>
  <c r="FK88" i="15"/>
  <c r="FA134" i="15"/>
  <c r="FL55" i="17"/>
  <c r="FJ37" i="17"/>
  <c r="EZ104" i="17"/>
  <c r="EK99" i="17"/>
  <c r="EF103" i="15"/>
  <c r="FK98" i="15"/>
  <c r="FD131" i="15"/>
  <c r="FM123" i="15"/>
  <c r="EI94" i="15"/>
  <c r="EE127" i="17"/>
  <c r="EK112" i="17"/>
  <c r="EP112" i="17"/>
  <c r="FC45" i="17"/>
  <c r="FF124" i="15"/>
  <c r="EE54" i="17"/>
  <c r="EH102" i="17"/>
  <c r="EE31" i="17"/>
  <c r="FE97" i="17"/>
  <c r="FH35" i="17"/>
  <c r="FF99" i="15"/>
  <c r="FH52" i="15"/>
  <c r="FJ110" i="15"/>
  <c r="FJ76" i="15"/>
  <c r="EE69" i="17"/>
  <c r="EP75" i="17"/>
  <c r="FF32" i="17"/>
  <c r="EE123" i="17"/>
  <c r="FE79" i="17"/>
  <c r="FD119" i="17"/>
  <c r="EZ44" i="17"/>
  <c r="FI79" i="15"/>
  <c r="FM127" i="17"/>
  <c r="FE28" i="15"/>
  <c r="FF48" i="17"/>
  <c r="EH31" i="17"/>
  <c r="EL74" i="17"/>
  <c r="EJ102" i="15"/>
  <c r="EH40" i="17"/>
  <c r="FA127" i="15"/>
  <c r="FK49" i="17"/>
  <c r="FB85" i="15"/>
  <c r="EE126" i="15"/>
  <c r="EO47" i="17"/>
  <c r="EJ53" i="17"/>
  <c r="FH130" i="15"/>
  <c r="ED78" i="17"/>
  <c r="FL50" i="15"/>
  <c r="FG76" i="17"/>
  <c r="FG83" i="15"/>
  <c r="FF121" i="17"/>
  <c r="FJ91" i="17"/>
  <c r="EJ97" i="15"/>
  <c r="EQ121" i="15"/>
  <c r="FD27" i="15"/>
  <c r="FA129" i="15"/>
  <c r="FD54" i="15"/>
  <c r="EZ122" i="17"/>
  <c r="FI134" i="17"/>
  <c r="FL131" i="17"/>
  <c r="FD119" i="15"/>
  <c r="FG130" i="15"/>
  <c r="ED84" i="17"/>
  <c r="FM52" i="17"/>
  <c r="EO33" i="17"/>
  <c r="FI107" i="15"/>
  <c r="EZ58" i="17"/>
  <c r="FF37" i="17"/>
  <c r="FG95" i="15"/>
  <c r="FA106" i="17"/>
  <c r="FH52" i="17"/>
  <c r="EP55" i="17"/>
  <c r="EQ103" i="17"/>
  <c r="FJ22" i="15"/>
  <c r="FI92" i="15"/>
  <c r="FC46" i="15"/>
  <c r="FE79" i="15"/>
  <c r="FB52" i="15"/>
  <c r="EP91" i="15"/>
  <c r="EH35" i="17"/>
  <c r="EL106" i="15"/>
  <c r="EK65" i="17"/>
  <c r="FG105" i="15"/>
  <c r="FD71" i="15"/>
  <c r="FH121" i="15"/>
  <c r="FM42" i="17"/>
  <c r="FL52" i="17"/>
  <c r="FH83" i="15"/>
  <c r="FJ64" i="17"/>
  <c r="FE96" i="15"/>
  <c r="EE87" i="17"/>
  <c r="FE81" i="17"/>
  <c r="FJ48" i="15"/>
  <c r="EH95" i="17"/>
  <c r="EQ67" i="17"/>
  <c r="FH60" i="17"/>
  <c r="FJ62" i="15"/>
  <c r="FF53" i="15"/>
  <c r="FL126" i="17"/>
  <c r="FA141" i="17"/>
  <c r="FI113" i="17"/>
  <c r="FD134" i="15"/>
  <c r="FD67" i="15"/>
  <c r="EJ121" i="15"/>
  <c r="FK47" i="15"/>
  <c r="FD135" i="15"/>
  <c r="FA139" i="17"/>
  <c r="FL29" i="15"/>
  <c r="FC77" i="15"/>
  <c r="EM120" i="15"/>
  <c r="FH134" i="17"/>
  <c r="EI47" i="17"/>
  <c r="FJ27" i="15"/>
  <c r="FE116" i="15"/>
  <c r="FK77" i="17"/>
  <c r="FL76" i="15"/>
  <c r="FC48" i="15"/>
  <c r="FB58" i="17"/>
  <c r="FK136" i="17"/>
  <c r="FE74" i="17"/>
  <c r="FI83" i="15"/>
  <c r="EQ108" i="17"/>
  <c r="FF45" i="15"/>
  <c r="FJ72" i="15"/>
  <c r="FA50" i="15"/>
  <c r="EK127" i="17"/>
  <c r="FG137" i="17"/>
  <c r="FI83" i="17"/>
  <c r="FB121" i="15"/>
  <c r="FE133" i="15"/>
  <c r="FE94" i="15"/>
  <c r="EF118" i="15"/>
  <c r="FK134" i="15"/>
  <c r="FK117" i="17"/>
  <c r="FK55" i="15"/>
  <c r="FB71" i="15"/>
  <c r="FF138" i="15"/>
  <c r="EG124" i="15"/>
  <c r="FL125" i="15"/>
  <c r="FC107" i="15"/>
  <c r="FA100" i="17"/>
  <c r="FK71" i="17"/>
  <c r="EZ69" i="17"/>
  <c r="FJ119" i="17"/>
  <c r="FI58" i="17"/>
  <c r="EF38" i="17"/>
  <c r="FH95" i="17"/>
  <c r="FB41" i="17"/>
  <c r="FI59" i="17"/>
  <c r="EM97" i="17"/>
  <c r="EZ66" i="17"/>
  <c r="FG109" i="17"/>
  <c r="FF119" i="15"/>
  <c r="FF118" i="17"/>
  <c r="EG120" i="17"/>
  <c r="FF26" i="15"/>
  <c r="FM97" i="15"/>
  <c r="FH67" i="15"/>
  <c r="EG125" i="17"/>
  <c r="EE50" i="17"/>
  <c r="EP117" i="15"/>
  <c r="FC87" i="15"/>
  <c r="FD28" i="15"/>
  <c r="FG126" i="15"/>
  <c r="FF116" i="15"/>
  <c r="FC69" i="15"/>
  <c r="EK95" i="15"/>
  <c r="EH121" i="15"/>
  <c r="EE117" i="17"/>
  <c r="EJ62" i="17"/>
  <c r="EN117" i="15"/>
  <c r="FB48" i="15"/>
  <c r="EF127" i="15"/>
  <c r="FH102" i="15"/>
  <c r="EH110" i="15"/>
  <c r="FK117" i="15"/>
  <c r="EF89" i="17"/>
  <c r="FI53" i="15"/>
  <c r="FL128" i="15"/>
  <c r="FD107" i="17"/>
  <c r="FJ26" i="15"/>
  <c r="EO104" i="15"/>
  <c r="FL137" i="15"/>
  <c r="EH116" i="15"/>
  <c r="FG91" i="15"/>
  <c r="EQ35" i="17"/>
  <c r="FH125" i="15"/>
  <c r="FJ80" i="17"/>
  <c r="FD70" i="17"/>
  <c r="ED41" i="17"/>
  <c r="FD136" i="17"/>
  <c r="EM74" i="17"/>
  <c r="FB64" i="17"/>
  <c r="EE34" i="17"/>
  <c r="EO59" i="17"/>
  <c r="EQ81" i="17"/>
  <c r="EI84" i="17"/>
  <c r="FG119" i="15"/>
  <c r="FB128" i="15"/>
  <c r="FH69" i="17"/>
  <c r="FD73" i="15"/>
  <c r="FB114" i="17"/>
  <c r="EE48" i="17"/>
  <c r="FF46" i="15"/>
  <c r="FD43" i="15"/>
  <c r="EE117" i="15"/>
  <c r="EJ123" i="15"/>
  <c r="FF89" i="15"/>
  <c r="EI126" i="15"/>
  <c r="FL87" i="15"/>
  <c r="FD130" i="15"/>
  <c r="FK126" i="15"/>
  <c r="FK63" i="15"/>
  <c r="EO62" i="17"/>
  <c r="FH69" i="15"/>
  <c r="FJ122" i="17"/>
  <c r="FL69" i="15"/>
  <c r="FF78" i="15"/>
  <c r="FJ35" i="17"/>
  <c r="ED36" i="17"/>
  <c r="FL140" i="15"/>
  <c r="FA38" i="17"/>
  <c r="FF101" i="15"/>
  <c r="FM116" i="15"/>
  <c r="EK119" i="17"/>
  <c r="FH96" i="17"/>
  <c r="FG36" i="17"/>
  <c r="FE55" i="17"/>
  <c r="FJ125" i="15"/>
  <c r="FL44" i="15"/>
  <c r="FK23" i="15"/>
  <c r="EH119" i="15"/>
  <c r="FJ39" i="17"/>
  <c r="FG76" i="15"/>
  <c r="FI136" i="15"/>
  <c r="EG70" i="17"/>
  <c r="FC58" i="15"/>
  <c r="FE71" i="15"/>
  <c r="FL59" i="15"/>
  <c r="FE106" i="15"/>
  <c r="FG107" i="15"/>
  <c r="EO116" i="15"/>
  <c r="FD132" i="15"/>
  <c r="EI112" i="17"/>
  <c r="EN111" i="17"/>
  <c r="FB127" i="15"/>
  <c r="FJ109" i="15"/>
  <c r="FK72" i="17"/>
  <c r="FG117" i="15"/>
  <c r="EL124" i="15"/>
  <c r="EF115" i="15"/>
  <c r="FB80" i="15"/>
  <c r="FA76" i="15"/>
  <c r="FA81" i="17"/>
  <c r="EF91" i="15"/>
  <c r="FK133" i="15"/>
  <c r="EH49" i="17"/>
  <c r="EO73" i="17"/>
  <c r="EP44" i="17"/>
  <c r="FD135" i="17"/>
  <c r="FL50" i="17"/>
  <c r="EK96" i="15"/>
  <c r="FA65" i="15"/>
  <c r="FK130" i="15"/>
  <c r="FH64" i="15"/>
  <c r="FL104" i="17"/>
  <c r="ED35" i="17"/>
  <c r="FL99" i="17"/>
  <c r="FL131" i="15"/>
  <c r="FD130" i="17"/>
  <c r="EI54" i="17"/>
  <c r="FG86" i="17"/>
  <c r="EO57" i="17"/>
  <c r="FE100" i="17"/>
  <c r="EG47" i="17"/>
  <c r="FA57" i="17"/>
  <c r="FI123" i="17"/>
  <c r="EM96" i="17"/>
  <c r="FC58" i="17"/>
  <c r="EJ116" i="15"/>
  <c r="FL65" i="15"/>
  <c r="FB78" i="17"/>
  <c r="EP38" i="17"/>
  <c r="EG88" i="17"/>
  <c r="FK125" i="15"/>
  <c r="EE81" i="17"/>
  <c r="FD125" i="17"/>
  <c r="EK122" i="17"/>
  <c r="EP123" i="15"/>
  <c r="FH81" i="15"/>
  <c r="FH98" i="15"/>
  <c r="FJ124" i="17"/>
  <c r="FC89" i="15"/>
  <c r="FH139" i="15"/>
  <c r="FK66" i="15"/>
  <c r="EN117" i="17"/>
  <c r="EE36" i="17"/>
  <c r="EQ77" i="17"/>
  <c r="FE72" i="15"/>
  <c r="EP118" i="15"/>
  <c r="FF60" i="17"/>
  <c r="EN100" i="17"/>
  <c r="EM37" i="17"/>
  <c r="FK103" i="17"/>
  <c r="FH86" i="17"/>
  <c r="EF20" i="17"/>
  <c r="FB112" i="17"/>
  <c r="EI32" i="17"/>
  <c r="FC106" i="17"/>
  <c r="FH56" i="17"/>
  <c r="EE72" i="17"/>
  <c r="FG58" i="15"/>
  <c r="EG111" i="15"/>
  <c r="EJ87" i="17"/>
  <c r="EG79" i="17"/>
  <c r="EH54" i="17"/>
  <c r="EQ91" i="17"/>
  <c r="FA61" i="17"/>
  <c r="EF87" i="17"/>
  <c r="EH116" i="17"/>
  <c r="EG117" i="15"/>
  <c r="FB61" i="17"/>
  <c r="EN122" i="17"/>
  <c r="EQ50" i="17"/>
  <c r="EE59" i="17"/>
  <c r="EK84" i="17"/>
  <c r="EF117" i="17"/>
  <c r="EP92" i="15"/>
  <c r="ED70" i="17"/>
  <c r="EE63" i="17"/>
  <c r="EJ70" i="17"/>
  <c r="FC140" i="17"/>
  <c r="FK78" i="15"/>
  <c r="FF39" i="17"/>
  <c r="EL116" i="15"/>
  <c r="FM73" i="17"/>
  <c r="FF64" i="17"/>
  <c r="EP53" i="17"/>
  <c r="FA118" i="15"/>
  <c r="EI124" i="15"/>
  <c r="EE96" i="17"/>
  <c r="EM58" i="17"/>
  <c r="EP114" i="17"/>
  <c r="FB139" i="17"/>
  <c r="ED82" i="17"/>
  <c r="EE103" i="17"/>
  <c r="EE122" i="17"/>
  <c r="EN76" i="17"/>
  <c r="EI104" i="17"/>
  <c r="EI108" i="15"/>
  <c r="EQ110" i="15"/>
  <c r="FD80" i="17"/>
  <c r="FG72" i="17"/>
  <c r="FF129" i="15"/>
  <c r="EL35" i="17"/>
  <c r="FJ137" i="17"/>
  <c r="FI87" i="15"/>
  <c r="FB130" i="17"/>
  <c r="EP83" i="17"/>
  <c r="FC79" i="17"/>
  <c r="FB82" i="15"/>
  <c r="FM81" i="17"/>
  <c r="FK96" i="17"/>
  <c r="FE120" i="17"/>
  <c r="EQ113" i="17"/>
  <c r="EL90" i="17"/>
  <c r="EL60" i="17"/>
  <c r="EZ96" i="17"/>
  <c r="EK36" i="17"/>
  <c r="FG33" i="17"/>
  <c r="FJ93" i="17"/>
  <c r="EQ48" i="17"/>
  <c r="FI87" i="17"/>
  <c r="EQ38" i="17"/>
  <c r="EF83" i="17"/>
  <c r="FB105" i="17"/>
  <c r="FB76" i="15"/>
  <c r="FM92" i="17"/>
  <c r="FI109" i="17"/>
  <c r="FK81" i="15"/>
  <c r="FG29" i="15"/>
  <c r="FD141" i="17"/>
  <c r="FG101" i="15"/>
  <c r="EQ47" i="17"/>
  <c r="FE121" i="15"/>
  <c r="FB47" i="17"/>
  <c r="EO92" i="17"/>
  <c r="ED96" i="17"/>
  <c r="FH135" i="15"/>
  <c r="FL102" i="17"/>
  <c r="FC95" i="17"/>
  <c r="FH80" i="17"/>
  <c r="EE94" i="17"/>
  <c r="FG127" i="17"/>
  <c r="FD47" i="17"/>
  <c r="EG90" i="15"/>
  <c r="FC55" i="15"/>
  <c r="EP124" i="15"/>
  <c r="FD63" i="15"/>
  <c r="FI55" i="15"/>
  <c r="EP66" i="17"/>
  <c r="FE50" i="15"/>
  <c r="EJ61" i="17"/>
  <c r="EO119" i="15"/>
  <c r="FE140" i="15"/>
  <c r="FM57" i="17"/>
  <c r="FA112" i="15"/>
  <c r="FD61" i="17"/>
  <c r="EH78" i="17"/>
  <c r="FG69" i="17"/>
  <c r="FD133" i="15"/>
  <c r="EN112" i="17"/>
  <c r="EP91" i="17"/>
  <c r="EO122" i="15"/>
  <c r="FJ60" i="17"/>
  <c r="EG106" i="17"/>
  <c r="FI30" i="15"/>
  <c r="EK105" i="15"/>
  <c r="FL127" i="17"/>
  <c r="FC138" i="17"/>
  <c r="FA62" i="17"/>
  <c r="EO94" i="17"/>
  <c r="FF85" i="15"/>
  <c r="FJ141" i="15"/>
  <c r="FB86" i="15"/>
  <c r="FF114" i="15"/>
  <c r="EE93" i="15"/>
  <c r="FB120" i="15"/>
  <c r="FK136" i="15"/>
  <c r="FC113" i="15"/>
  <c r="FL134" i="17"/>
  <c r="EP112" i="15"/>
  <c r="FJ112" i="15"/>
  <c r="FJ95" i="15"/>
  <c r="FL60" i="17"/>
  <c r="EQ90" i="15"/>
  <c r="FG27" i="15"/>
  <c r="FC134" i="17"/>
  <c r="EQ122" i="15"/>
  <c r="EI116" i="15"/>
  <c r="FG60" i="15"/>
  <c r="EJ74" i="17"/>
  <c r="EG114" i="17"/>
  <c r="FA97" i="17"/>
  <c r="EG54" i="17"/>
  <c r="EJ111" i="17"/>
  <c r="FD125" i="15"/>
  <c r="EL95" i="15"/>
  <c r="EH32" i="17"/>
  <c r="EE95" i="17"/>
  <c r="FI139" i="17"/>
  <c r="EI35" i="17"/>
  <c r="FM93" i="15"/>
  <c r="EF96" i="15"/>
  <c r="FL41" i="17"/>
  <c r="FC37" i="17"/>
  <c r="EN122" i="15"/>
  <c r="EN90" i="15"/>
  <c r="FF74" i="15"/>
  <c r="FF131" i="15"/>
  <c r="FG85" i="17"/>
  <c r="EL123" i="15"/>
  <c r="EL93" i="15"/>
  <c r="EJ124" i="17"/>
  <c r="FL116" i="15"/>
  <c r="FC133" i="17"/>
  <c r="ED119" i="15"/>
  <c r="FI139" i="15"/>
  <c r="FG84" i="15"/>
  <c r="FA121" i="17"/>
  <c r="FK103" i="15"/>
  <c r="FG44" i="15"/>
  <c r="FA64" i="15"/>
  <c r="FD82" i="17"/>
  <c r="FL73" i="15"/>
  <c r="EH72" i="17"/>
  <c r="FH74" i="15"/>
  <c r="FJ94" i="15"/>
  <c r="EN103" i="17"/>
  <c r="FA76" i="17"/>
  <c r="FA45" i="15"/>
  <c r="FI115" i="15"/>
  <c r="EI60" i="17"/>
  <c r="EL102" i="17"/>
  <c r="FJ100" i="15"/>
  <c r="FF46" i="17"/>
  <c r="FB33" i="17"/>
  <c r="EL113" i="15"/>
  <c r="FH49" i="15"/>
  <c r="EJ92" i="15"/>
  <c r="FD122" i="15"/>
  <c r="FC84" i="17"/>
  <c r="EN96" i="15"/>
  <c r="FB93" i="17"/>
  <c r="FL25" i="15"/>
  <c r="FM105" i="17"/>
  <c r="EL109" i="15"/>
  <c r="FJ134" i="15"/>
  <c r="EF47" i="17"/>
  <c r="ED119" i="17"/>
  <c r="FI41" i="17"/>
  <c r="FC129" i="17"/>
  <c r="EI123" i="15"/>
  <c r="FK33" i="17"/>
  <c r="EJ39" i="17"/>
  <c r="EE121" i="17"/>
  <c r="FE54" i="17"/>
  <c r="FJ98" i="17"/>
  <c r="FI29" i="15"/>
  <c r="EM124" i="15"/>
  <c r="FA99" i="15"/>
  <c r="FB70" i="15"/>
  <c r="EM109" i="17"/>
  <c r="FC39" i="17"/>
  <c r="FL89" i="17"/>
  <c r="FC48" i="17"/>
  <c r="EP109" i="15"/>
  <c r="FA77" i="15"/>
  <c r="FK90" i="17"/>
  <c r="EP96" i="15"/>
  <c r="FC44" i="17"/>
  <c r="ED116" i="15"/>
  <c r="EF122" i="15"/>
  <c r="FH104" i="15"/>
  <c r="FK135" i="15"/>
  <c r="FJ86" i="15"/>
  <c r="EN86" i="17"/>
  <c r="EF110" i="17"/>
  <c r="FC139" i="15"/>
  <c r="EF60" i="17"/>
  <c r="EG101" i="17"/>
  <c r="ED101" i="15"/>
  <c r="EP110" i="15"/>
  <c r="FA20" i="15"/>
  <c r="FB41" i="15"/>
  <c r="FD140" i="15"/>
  <c r="FJ140" i="15"/>
  <c r="FJ69" i="15"/>
  <c r="FI50" i="17"/>
  <c r="EE120" i="17"/>
  <c r="FJ125" i="17"/>
  <c r="FC50" i="17"/>
  <c r="EF98" i="15"/>
  <c r="EH58" i="17"/>
  <c r="EI68" i="17"/>
  <c r="EL128" i="15"/>
  <c r="FH40" i="17"/>
  <c r="EG128" i="15"/>
  <c r="FE85" i="15"/>
  <c r="FD104" i="15"/>
  <c r="FB49" i="15"/>
  <c r="FK52" i="15"/>
  <c r="EH94" i="15"/>
  <c r="EG49" i="17"/>
  <c r="FK127" i="15"/>
  <c r="FJ129" i="17"/>
  <c r="FC57" i="15"/>
  <c r="FC46" i="17"/>
  <c r="EP35" i="17"/>
  <c r="FB120" i="17"/>
  <c r="EK92" i="15"/>
  <c r="FF117" i="15"/>
  <c r="ED90" i="17"/>
  <c r="EM127" i="15"/>
  <c r="FK107" i="17"/>
  <c r="FA130" i="17"/>
  <c r="FI88" i="15"/>
  <c r="FF75" i="17"/>
  <c r="FK131" i="17"/>
  <c r="EF97" i="17"/>
  <c r="FH21" i="15"/>
  <c r="FA80" i="17"/>
  <c r="EH74" i="17"/>
  <c r="EP99" i="15"/>
  <c r="FL113" i="15"/>
  <c r="EP103" i="15"/>
  <c r="EK90" i="15"/>
  <c r="FM94" i="15"/>
  <c r="FF127" i="15"/>
  <c r="FL63" i="15"/>
  <c r="EO109" i="15"/>
  <c r="EI96" i="15"/>
  <c r="FA129" i="17"/>
  <c r="FB138" i="15"/>
  <c r="EK117" i="15"/>
  <c r="FJ122" i="15"/>
  <c r="FF108" i="15"/>
  <c r="FA107" i="15"/>
  <c r="EJ125" i="15"/>
  <c r="EM92" i="15"/>
  <c r="EF110" i="15"/>
  <c r="ED127" i="15"/>
  <c r="EE125" i="15"/>
  <c r="EF101" i="15"/>
  <c r="EF92" i="17"/>
  <c r="EN103" i="15"/>
  <c r="EZ126" i="17"/>
  <c r="FF48" i="15"/>
  <c r="ED94" i="17"/>
  <c r="FL105" i="15"/>
  <c r="EH53" i="17"/>
  <c r="EJ90" i="15"/>
  <c r="FI125" i="17"/>
  <c r="ED92" i="15"/>
  <c r="EH85" i="17"/>
  <c r="EO128" i="15"/>
  <c r="FI45" i="15"/>
  <c r="FK132" i="15"/>
  <c r="EF78" i="17"/>
  <c r="FE124" i="17"/>
  <c r="FF20" i="15"/>
  <c r="FI109" i="15"/>
  <c r="FF68" i="15"/>
  <c r="EE86" i="17"/>
  <c r="EZ89" i="17"/>
  <c r="FE119" i="17"/>
  <c r="FB70" i="17"/>
  <c r="FM112" i="15"/>
  <c r="FD24" i="15"/>
  <c r="EQ120" i="15"/>
  <c r="FI46" i="17"/>
  <c r="FM44" i="17"/>
  <c r="EO80" i="17"/>
  <c r="EN97" i="17"/>
  <c r="EF120" i="17"/>
  <c r="FG133" i="15"/>
  <c r="FC133" i="15"/>
  <c r="EE100" i="15"/>
  <c r="ED69" i="17"/>
  <c r="EM104" i="17"/>
  <c r="EM103" i="17"/>
  <c r="FJ90" i="15"/>
  <c r="FK92" i="15"/>
  <c r="FJ101" i="15"/>
  <c r="FH92" i="17"/>
  <c r="FI72" i="15"/>
  <c r="FH51" i="15"/>
  <c r="EZ110" i="17"/>
  <c r="FK58" i="15"/>
  <c r="FM122" i="15"/>
  <c r="FJ118" i="15"/>
  <c r="FB69" i="15"/>
  <c r="EO122" i="17"/>
  <c r="EF90" i="17"/>
  <c r="FB90" i="17"/>
  <c r="FI133" i="17"/>
  <c r="ED100" i="15"/>
  <c r="EF48" i="17"/>
  <c r="EF85" i="17"/>
  <c r="EK49" i="17"/>
  <c r="FG97" i="17"/>
  <c r="FG70" i="15"/>
  <c r="FA62" i="15"/>
  <c r="EN124" i="15"/>
  <c r="EP93" i="15"/>
  <c r="FM98" i="15"/>
  <c r="EP115" i="17"/>
  <c r="FJ53" i="15"/>
  <c r="EJ60" i="17"/>
  <c r="FG139" i="15"/>
  <c r="FB93" i="15"/>
  <c r="ED120" i="15"/>
  <c r="EG121" i="15"/>
  <c r="FD115" i="17"/>
  <c r="FB46" i="15"/>
  <c r="FD105" i="15"/>
  <c r="FA95" i="15"/>
  <c r="EO70" i="17"/>
  <c r="FE93" i="15"/>
  <c r="FH66" i="15"/>
  <c r="EN109" i="15"/>
  <c r="EZ118" i="17"/>
  <c r="EG38" i="17"/>
  <c r="FB108" i="17"/>
  <c r="FJ20" i="15"/>
  <c r="EQ63" i="17"/>
  <c r="EL36" i="17"/>
  <c r="FA96" i="15"/>
  <c r="EF118" i="17"/>
  <c r="EF42" i="17"/>
  <c r="EN52" i="17"/>
  <c r="FJ104" i="15"/>
  <c r="FK138" i="15"/>
  <c r="EF109" i="15"/>
  <c r="FL67" i="15"/>
  <c r="FK62" i="17"/>
  <c r="FL106" i="17"/>
  <c r="FJ42" i="15"/>
  <c r="FH59" i="15"/>
  <c r="FI52" i="17"/>
  <c r="FA85" i="15"/>
  <c r="FD78" i="15"/>
  <c r="EN92" i="15"/>
  <c r="FD46" i="17"/>
  <c r="FE64" i="15"/>
  <c r="EE107" i="15"/>
  <c r="FC118" i="17"/>
  <c r="FG61" i="17"/>
  <c r="FE114" i="17"/>
  <c r="FI62" i="15"/>
  <c r="FJ66" i="17"/>
  <c r="FK110" i="15"/>
  <c r="FH49" i="17"/>
  <c r="FM117" i="15"/>
  <c r="FK139" i="15"/>
  <c r="FC65" i="15"/>
  <c r="ED105" i="15"/>
  <c r="EP119" i="15"/>
  <c r="EQ106" i="17"/>
  <c r="FJ117" i="15"/>
  <c r="EH99" i="15"/>
  <c r="EI105" i="15"/>
  <c r="EM42" i="17"/>
  <c r="EL34" i="17"/>
  <c r="FH119" i="17"/>
  <c r="EO36" i="17"/>
  <c r="FI40" i="17"/>
  <c r="FL95" i="17"/>
  <c r="FH77" i="15"/>
  <c r="FF120" i="15"/>
  <c r="EQ97" i="15"/>
  <c r="FB95" i="15"/>
  <c r="FC74" i="17"/>
  <c r="FD49" i="17"/>
  <c r="EH128" i="15"/>
  <c r="EO95" i="15"/>
  <c r="FL68" i="17"/>
  <c r="FC122" i="17"/>
  <c r="FC113" i="17"/>
  <c r="FA133" i="15"/>
  <c r="ED20" i="17"/>
  <c r="EI57" i="17"/>
  <c r="FG123" i="17"/>
  <c r="FK122" i="15"/>
  <c r="EG62" i="17"/>
  <c r="FK120" i="15"/>
  <c r="EL42" i="17"/>
  <c r="EM105" i="15"/>
  <c r="EZ75" i="17"/>
  <c r="FJ134" i="17"/>
  <c r="EJ111" i="15"/>
  <c r="EJ106" i="15"/>
  <c r="FA63" i="15"/>
  <c r="ED96" i="15"/>
  <c r="FB68" i="15"/>
  <c r="EG103" i="15"/>
  <c r="FK77" i="15"/>
  <c r="FL90" i="15"/>
  <c r="FC63" i="17"/>
  <c r="EO71" i="17"/>
  <c r="FE75" i="17"/>
  <c r="FH34" i="17"/>
  <c r="FM70" i="17"/>
  <c r="FE132" i="15"/>
  <c r="FL111" i="15"/>
  <c r="FD98" i="15"/>
  <c r="FL38" i="17"/>
  <c r="FC100" i="15"/>
  <c r="FE87" i="17"/>
  <c r="FB64" i="15"/>
  <c r="EK124" i="17"/>
  <c r="EE115" i="15"/>
  <c r="FL53" i="15"/>
  <c r="EO52" i="17"/>
  <c r="EP121" i="15"/>
  <c r="FC119" i="17"/>
  <c r="FH48" i="15"/>
  <c r="FA70" i="17"/>
  <c r="FF80" i="17"/>
  <c r="FH116" i="15"/>
  <c r="FA22" i="15"/>
  <c r="EH34" i="17"/>
  <c r="FL128" i="17"/>
  <c r="FH115" i="15"/>
  <c r="EN106" i="15"/>
  <c r="FI32" i="17"/>
  <c r="EE109" i="17"/>
  <c r="FG46" i="15"/>
  <c r="EE53" i="17"/>
  <c r="EL93" i="17"/>
  <c r="FF55" i="17"/>
  <c r="EL97" i="17"/>
  <c r="EP107" i="15"/>
  <c r="EM115" i="17"/>
  <c r="EF120" i="15"/>
  <c r="FM105" i="15"/>
  <c r="FD103" i="15"/>
  <c r="EK53" i="17"/>
  <c r="EN99" i="15"/>
  <c r="FF61" i="17"/>
  <c r="FK53" i="17"/>
  <c r="FM83" i="17"/>
  <c r="EZ37" i="17"/>
  <c r="FC50" i="15"/>
  <c r="EQ108" i="15"/>
  <c r="FK122" i="17"/>
  <c r="EM86" i="17"/>
  <c r="FJ133" i="15"/>
  <c r="FA139" i="15"/>
  <c r="EZ86" i="17"/>
  <c r="ED73" i="17"/>
  <c r="FL115" i="17"/>
  <c r="FM64" i="17"/>
  <c r="EL68" i="17"/>
  <c r="EK38" i="17"/>
  <c r="FL75" i="17"/>
  <c r="EN96" i="17"/>
  <c r="FL84" i="17"/>
  <c r="FI37" i="17"/>
  <c r="FB27" i="15"/>
  <c r="FD139" i="15"/>
  <c r="FM47" i="17"/>
  <c r="EL73" i="17"/>
  <c r="EH121" i="17"/>
  <c r="ED50" i="17"/>
  <c r="FG89" i="15"/>
  <c r="FF98" i="15"/>
  <c r="EO40" i="17"/>
  <c r="FL100" i="15"/>
  <c r="FC141" i="17"/>
  <c r="FH140" i="15"/>
  <c r="EL69" i="17"/>
  <c r="FK83" i="15"/>
  <c r="FG88" i="15"/>
  <c r="FL112" i="15"/>
  <c r="FA44" i="15"/>
  <c r="FF84" i="17"/>
  <c r="EH118" i="15"/>
  <c r="FE26" i="15"/>
  <c r="FB98" i="15"/>
  <c r="FC88" i="15"/>
  <c r="EM71" i="17"/>
  <c r="EO93" i="15"/>
  <c r="EJ123" i="17"/>
  <c r="FF43" i="17"/>
  <c r="FA73" i="15"/>
  <c r="FM123" i="17"/>
  <c r="EF72" i="17"/>
  <c r="EM108" i="17"/>
  <c r="EP41" i="17"/>
  <c r="FC69" i="17"/>
  <c r="EJ118" i="17"/>
  <c r="EJ34" i="17"/>
  <c r="EZ83" i="17"/>
  <c r="FA126" i="15"/>
  <c r="FD106" i="15"/>
  <c r="FF82" i="17"/>
  <c r="FB118" i="15"/>
  <c r="FI64" i="15"/>
  <c r="FM99" i="17"/>
  <c r="FJ43" i="15"/>
  <c r="EH105" i="15"/>
  <c r="FL78" i="17"/>
  <c r="FL79" i="15"/>
  <c r="FL109" i="15"/>
  <c r="FJ120" i="15"/>
  <c r="EQ34" i="17"/>
  <c r="EG126" i="15"/>
  <c r="FI86" i="17"/>
  <c r="EH115" i="17"/>
  <c r="FA84" i="15"/>
  <c r="EZ43" i="17"/>
  <c r="ED93" i="17"/>
  <c r="EN113" i="17"/>
  <c r="EK116" i="17"/>
  <c r="FE98" i="15"/>
  <c r="EH86" i="17"/>
  <c r="FH58" i="15"/>
  <c r="FL136" i="15"/>
  <c r="EZ84" i="17"/>
  <c r="FL94" i="15"/>
  <c r="EN94" i="15"/>
  <c r="EZ76" i="17"/>
  <c r="FI60" i="17"/>
  <c r="FM88" i="17"/>
  <c r="FA92" i="15"/>
  <c r="FH82" i="17"/>
  <c r="FF128" i="17"/>
  <c r="FD57" i="17"/>
  <c r="FK105" i="17"/>
  <c r="FK69" i="17"/>
  <c r="EG107" i="17"/>
  <c r="FJ107" i="15"/>
  <c r="EE105" i="17"/>
  <c r="FF107" i="17"/>
  <c r="EO116" i="17"/>
  <c r="EL44" i="17"/>
  <c r="FC96" i="15"/>
  <c r="FL21" i="15"/>
  <c r="EM35" i="17"/>
  <c r="EE97" i="17"/>
  <c r="EE120" i="15"/>
  <c r="FE130" i="15"/>
  <c r="FE52" i="15"/>
  <c r="FJ75" i="15"/>
  <c r="FH75" i="15"/>
  <c r="FA88" i="15"/>
  <c r="FD58" i="17"/>
  <c r="EJ20" i="17"/>
  <c r="FH44" i="15"/>
  <c r="EP121" i="17"/>
  <c r="FB107" i="15"/>
  <c r="FI41" i="15"/>
  <c r="EJ35" i="17"/>
  <c r="FA78" i="17"/>
  <c r="FH139" i="17"/>
  <c r="ED87" i="17"/>
  <c r="EQ95" i="15"/>
  <c r="FH33" i="17"/>
  <c r="ED38" i="17"/>
  <c r="EL45" i="17"/>
  <c r="EJ108" i="17"/>
  <c r="FF131" i="17"/>
  <c r="FG110" i="15"/>
  <c r="FB83" i="15"/>
  <c r="EF95" i="17"/>
  <c r="FC140" i="15"/>
  <c r="EN60" i="17"/>
  <c r="FH94" i="17"/>
  <c r="FJ108" i="15"/>
  <c r="FH134" i="15"/>
  <c r="EQ101" i="15"/>
  <c r="EP97" i="17"/>
  <c r="FH100" i="15"/>
  <c r="EP122" i="15"/>
  <c r="EH92" i="15"/>
  <c r="FA41" i="15"/>
  <c r="FE48" i="17"/>
  <c r="FC83" i="17"/>
  <c r="FG65" i="17"/>
  <c r="FL81" i="17"/>
  <c r="FK64" i="15"/>
  <c r="FE109" i="15"/>
  <c r="FI44" i="17"/>
  <c r="FI86" i="15"/>
  <c r="FE68" i="17"/>
  <c r="EG108" i="15"/>
  <c r="FC110" i="15"/>
  <c r="EL127" i="15"/>
  <c r="EM84" i="17"/>
  <c r="EZ73" i="17"/>
  <c r="FC93" i="15"/>
  <c r="EL123" i="17"/>
  <c r="FC63" i="15"/>
  <c r="FF47" i="17"/>
  <c r="FM67" i="17"/>
  <c r="FK67" i="15"/>
  <c r="FC80" i="15"/>
  <c r="FB122" i="15"/>
  <c r="EQ76" i="17"/>
  <c r="EP122" i="17"/>
  <c r="EQ98" i="15"/>
  <c r="EO64" i="17"/>
  <c r="FD109" i="17"/>
  <c r="FC71" i="17"/>
  <c r="FH23" i="15"/>
  <c r="FL123" i="15"/>
  <c r="ED122" i="17"/>
  <c r="EG20" i="17"/>
  <c r="FI50" i="15"/>
  <c r="ED97" i="15"/>
  <c r="FH42" i="15"/>
  <c r="FH96" i="15"/>
  <c r="EE73" i="17"/>
  <c r="FK114" i="17"/>
  <c r="FG75" i="15"/>
  <c r="EZ42" i="17"/>
  <c r="EP43" i="17"/>
  <c r="FC91" i="17"/>
  <c r="FL46" i="15"/>
  <c r="FI95" i="15"/>
  <c r="ED42" i="17"/>
  <c r="FD121" i="15"/>
  <c r="FK31" i="17"/>
  <c r="EE35" i="17"/>
  <c r="ED102" i="15"/>
  <c r="FJ63" i="15"/>
  <c r="ED45" i="17"/>
  <c r="FJ79" i="17"/>
  <c r="EG112" i="17"/>
  <c r="FH113" i="15"/>
  <c r="EQ126" i="15"/>
  <c r="FH118" i="17"/>
  <c r="FD31" i="17"/>
  <c r="FK109" i="15"/>
  <c r="EM67" i="17"/>
  <c r="EQ95" i="17"/>
  <c r="EM101" i="17"/>
  <c r="FM114" i="17"/>
  <c r="FK70" i="15"/>
  <c r="FH25" i="15"/>
  <c r="FF120" i="17"/>
  <c r="FF104" i="15"/>
  <c r="FG61" i="15"/>
  <c r="EM79" i="17"/>
  <c r="EG120" i="15"/>
  <c r="FF96" i="15"/>
  <c r="FL140" i="17"/>
  <c r="EJ126" i="17"/>
  <c r="EG114" i="15"/>
  <c r="EO111" i="15"/>
  <c r="FK52" i="17"/>
  <c r="EK56" i="17"/>
  <c r="ED51" i="17"/>
  <c r="EJ98" i="15"/>
  <c r="FI80" i="15"/>
  <c r="EP105" i="15"/>
  <c r="EM56" i="17"/>
  <c r="FI46" i="15"/>
  <c r="FL61" i="15"/>
  <c r="FA119" i="15"/>
  <c r="FM95" i="15"/>
  <c r="FM104" i="15"/>
  <c r="FI124" i="15"/>
  <c r="FA125" i="15"/>
  <c r="FJ137" i="15"/>
  <c r="FG42" i="15"/>
  <c r="FL125" i="17"/>
  <c r="FE126" i="15"/>
  <c r="FK63" i="17"/>
  <c r="FK102" i="17"/>
  <c r="FI137" i="15"/>
  <c r="FK108" i="15"/>
  <c r="FE69" i="15"/>
  <c r="EE123" i="15"/>
  <c r="FC126" i="17"/>
  <c r="ED122" i="15"/>
  <c r="EF104" i="15"/>
  <c r="FK45" i="15"/>
  <c r="EI125" i="15"/>
  <c r="FE132" i="17"/>
  <c r="FD61" i="15"/>
  <c r="EN56" i="17"/>
  <c r="EH100" i="17"/>
  <c r="EN107" i="15"/>
  <c r="FL31" i="17"/>
  <c r="EP106" i="15"/>
  <c r="FB87" i="17"/>
  <c r="FE97" i="15"/>
  <c r="EG64" i="17"/>
  <c r="EM104" i="15"/>
  <c r="FD107" i="15"/>
  <c r="FA57" i="15"/>
  <c r="EP45" i="17"/>
  <c r="FD20" i="15"/>
  <c r="FD77" i="15"/>
  <c r="FM128" i="15"/>
  <c r="FB85" i="17"/>
  <c r="FC90" i="17"/>
  <c r="EL92" i="15"/>
  <c r="EE85" i="17"/>
  <c r="FJ71" i="17"/>
  <c r="EF81" i="17"/>
  <c r="FH106" i="17"/>
  <c r="FD127" i="15"/>
  <c r="FJ81" i="15"/>
  <c r="FK68" i="17"/>
  <c r="EH84" i="17"/>
  <c r="FH76" i="15"/>
  <c r="ED121" i="15"/>
  <c r="FG108" i="17"/>
  <c r="FE78" i="17"/>
  <c r="FG28" i="15"/>
  <c r="FA134" i="17"/>
  <c r="EK105" i="17"/>
  <c r="FD75" i="15"/>
  <c r="EZ33" i="17"/>
  <c r="FM94" i="17"/>
  <c r="EZ45" i="17"/>
  <c r="EQ85" i="17"/>
  <c r="FH55" i="15"/>
  <c r="FK133" i="17"/>
  <c r="EJ73" i="17"/>
  <c r="FE118" i="17"/>
  <c r="EI113" i="15"/>
  <c r="FF139" i="15"/>
  <c r="EH107" i="15"/>
  <c r="FK49" i="15"/>
  <c r="FB129" i="15"/>
  <c r="FD123" i="15"/>
  <c r="FH75" i="17"/>
  <c r="FK99" i="15"/>
  <c r="FC61" i="15"/>
  <c r="EF111" i="15"/>
  <c r="FE64" i="17"/>
  <c r="FB106" i="15"/>
  <c r="FG116" i="15"/>
  <c r="FL62" i="15"/>
  <c r="FH92" i="15"/>
  <c r="FL82" i="15"/>
  <c r="FI118" i="15"/>
  <c r="FD126" i="15"/>
  <c r="EK98" i="15"/>
  <c r="EZ119" i="17"/>
  <c r="EO55" i="17"/>
  <c r="FK104" i="15"/>
  <c r="FF110" i="15"/>
  <c r="EK128" i="17"/>
  <c r="FB48" i="17"/>
  <c r="EE124" i="15"/>
  <c r="FC118" i="15"/>
  <c r="EF52" i="17"/>
  <c r="FL123" i="17"/>
  <c r="EK113" i="17"/>
  <c r="FI103" i="15"/>
  <c r="FJ45" i="15"/>
  <c r="EF125" i="15"/>
  <c r="FC112" i="15"/>
  <c r="EM69" i="17"/>
  <c r="ED109" i="17"/>
  <c r="FC109" i="15"/>
  <c r="EK99" i="15"/>
  <c r="FL94" i="17"/>
  <c r="FI98" i="15"/>
  <c r="FH88" i="15"/>
  <c r="FL77" i="15"/>
  <c r="FA56" i="17"/>
  <c r="FG118" i="15"/>
  <c r="FG87" i="15"/>
  <c r="FF82" i="15"/>
  <c r="FA111" i="15"/>
  <c r="FI119" i="15"/>
  <c r="FI135" i="17"/>
  <c r="EG108" i="17"/>
  <c r="EH101" i="15"/>
  <c r="FA123" i="17"/>
  <c r="FD42" i="15"/>
  <c r="FI55" i="17"/>
  <c r="EK93" i="15"/>
  <c r="EF77" i="17"/>
  <c r="EI123" i="17"/>
  <c r="FK83" i="17"/>
  <c r="FE67" i="17"/>
  <c r="FM53" i="17"/>
  <c r="FC59" i="15"/>
  <c r="FJ116" i="17"/>
  <c r="EQ111" i="15"/>
  <c r="FE59" i="17"/>
  <c r="EH91" i="17"/>
  <c r="EQ115" i="15"/>
  <c r="EQ40" i="17"/>
  <c r="FI108" i="15"/>
  <c r="FH91" i="15"/>
  <c r="EK72" i="17"/>
  <c r="FM119" i="15"/>
  <c r="FL117" i="15"/>
  <c r="FJ111" i="17"/>
  <c r="FL89" i="15"/>
  <c r="FB134" i="15"/>
  <c r="EP72" i="17"/>
  <c r="FB119" i="15"/>
  <c r="EL115" i="17"/>
  <c r="EJ75" i="17"/>
  <c r="EQ107" i="17"/>
  <c r="EQ96" i="15"/>
  <c r="EZ79" i="17"/>
  <c r="EI65" i="17"/>
  <c r="ED126" i="15"/>
  <c r="FC68" i="15"/>
  <c r="FB124" i="15"/>
  <c r="EJ125" i="17"/>
  <c r="FA94" i="15"/>
  <c r="FF137" i="15"/>
  <c r="FI35" i="17"/>
  <c r="FE127" i="15"/>
  <c r="FI78" i="15"/>
  <c r="FD96" i="15"/>
  <c r="FL118" i="17"/>
  <c r="EI110" i="17"/>
  <c r="ED33" i="17"/>
  <c r="EF32" i="17"/>
  <c r="FC64" i="15"/>
  <c r="EQ91" i="15"/>
  <c r="FI106" i="15"/>
  <c r="FC105" i="15"/>
  <c r="EO117" i="17"/>
  <c r="EP99" i="17"/>
  <c r="EO54" i="17"/>
  <c r="FI122" i="17"/>
  <c r="EP64" i="17"/>
  <c r="FF132" i="15"/>
  <c r="EK107" i="15"/>
  <c r="FB91" i="15"/>
  <c r="FJ124" i="15"/>
  <c r="FG117" i="17"/>
  <c r="FK35" i="17"/>
  <c r="FG60" i="17"/>
  <c r="FI96" i="15"/>
  <c r="FC94" i="15"/>
  <c r="EN101" i="15"/>
  <c r="FA67" i="17"/>
  <c r="EQ96" i="17"/>
  <c r="EP128" i="17"/>
  <c r="FI47" i="15"/>
  <c r="EQ33" i="17"/>
  <c r="EN110" i="15"/>
  <c r="FB63" i="15"/>
  <c r="FB101" i="15"/>
  <c r="FK53" i="15"/>
  <c r="EG118" i="15"/>
  <c r="FE53" i="15"/>
  <c r="EQ94" i="17"/>
  <c r="EG92" i="17"/>
  <c r="FF28" i="15"/>
  <c r="FA120" i="17"/>
  <c r="FF107" i="15"/>
  <c r="FD117" i="15"/>
  <c r="FB53" i="15"/>
  <c r="FE117" i="17"/>
  <c r="EF114" i="17"/>
  <c r="FI140" i="17"/>
  <c r="FG38" i="17"/>
  <c r="EG37" i="17"/>
  <c r="FA53" i="15"/>
  <c r="FF76" i="15"/>
  <c r="FG56" i="15"/>
  <c r="FJ99" i="17"/>
  <c r="FB51" i="17"/>
  <c r="FM38" i="17"/>
  <c r="EL101" i="15"/>
  <c r="FG35" i="17"/>
  <c r="EP116" i="17"/>
  <c r="FF134" i="15"/>
  <c r="FL107" i="15"/>
  <c r="FD113" i="17"/>
  <c r="EG99" i="15"/>
  <c r="FJ106" i="15"/>
  <c r="FF91" i="15"/>
  <c r="EF126" i="15"/>
  <c r="FB68" i="17"/>
  <c r="FH120" i="15"/>
  <c r="FC92" i="15"/>
  <c r="EM31" i="17"/>
  <c r="EL117" i="15"/>
  <c r="FF105" i="17"/>
  <c r="FA53" i="17"/>
  <c r="FD69" i="15"/>
  <c r="FC68" i="17"/>
  <c r="EI121" i="15"/>
  <c r="EN89" i="17"/>
  <c r="EP92" i="17"/>
  <c r="FM82" i="17"/>
  <c r="EL41" i="17"/>
  <c r="FE24" i="15"/>
  <c r="FI42" i="15"/>
  <c r="EG128" i="17"/>
  <c r="EG94" i="15"/>
  <c r="FK60" i="15"/>
  <c r="EF71" i="17"/>
  <c r="FF138" i="17"/>
  <c r="FK73" i="15"/>
  <c r="FB22" i="15"/>
  <c r="EL107" i="15"/>
  <c r="EE95" i="15"/>
  <c r="FJ87" i="17"/>
  <c r="FE76" i="15"/>
  <c r="FF115" i="17"/>
  <c r="EL54" i="17"/>
  <c r="FG138" i="15"/>
  <c r="EH126" i="15"/>
  <c r="FG49" i="15"/>
  <c r="EL104" i="15"/>
  <c r="FA69" i="15"/>
  <c r="EJ38" i="17"/>
  <c r="EG116" i="15"/>
  <c r="FF115" i="15"/>
  <c r="FG64" i="15"/>
  <c r="FC53" i="15"/>
  <c r="EI96" i="17"/>
  <c r="EO112" i="17"/>
  <c r="FF88" i="15"/>
  <c r="EG92" i="15"/>
  <c r="EQ54" i="17"/>
  <c r="FA83" i="15"/>
  <c r="EE92" i="15"/>
  <c r="FH51" i="17"/>
  <c r="FD52" i="17"/>
  <c r="EO99" i="17"/>
  <c r="EO72" i="17"/>
  <c r="FF110" i="17"/>
  <c r="EO124" i="15"/>
  <c r="EJ105" i="15"/>
  <c r="EJ95" i="17"/>
  <c r="EM116" i="15"/>
  <c r="FA98" i="17"/>
  <c r="FF72" i="17"/>
  <c r="FJ127" i="17"/>
  <c r="FD134" i="17"/>
  <c r="FC135" i="15"/>
  <c r="FA79" i="15"/>
  <c r="FK79" i="15"/>
  <c r="FC71" i="15"/>
  <c r="EH117" i="15"/>
  <c r="FA75" i="15"/>
  <c r="ED124" i="15"/>
  <c r="FM111" i="15"/>
  <c r="FI129" i="15"/>
  <c r="FE56" i="15"/>
  <c r="FI82" i="15"/>
  <c r="FH133" i="15"/>
  <c r="EG106" i="15"/>
  <c r="FC90" i="15"/>
  <c r="EJ94" i="15"/>
  <c r="FD42" i="17"/>
  <c r="FB92" i="15"/>
  <c r="FH90" i="17"/>
  <c r="FL68" i="15"/>
  <c r="FK59" i="17"/>
  <c r="FM101" i="15"/>
  <c r="FL124" i="17"/>
  <c r="FA70" i="15"/>
  <c r="FJ139" i="15"/>
  <c r="ED110" i="17"/>
  <c r="FA43" i="15"/>
  <c r="FI140" i="15"/>
  <c r="FK94" i="17"/>
  <c r="EQ99" i="15"/>
  <c r="FA121" i="15"/>
  <c r="EG119" i="15"/>
  <c r="EJ43" i="17"/>
  <c r="FJ24" i="15"/>
  <c r="EG102" i="15"/>
  <c r="FE45" i="17"/>
  <c r="FL34" i="17"/>
  <c r="FD93" i="15"/>
  <c r="FD87" i="15"/>
  <c r="FC54" i="17"/>
  <c r="FI27" i="15"/>
  <c r="FJ111" i="15"/>
  <c r="FC120" i="17"/>
  <c r="EQ61" i="17"/>
  <c r="EE109" i="15"/>
  <c r="FH124" i="17"/>
  <c r="EZ77" i="17"/>
  <c r="EN120" i="15"/>
  <c r="FE120" i="15"/>
  <c r="EF113" i="15"/>
  <c r="FM74" i="17"/>
  <c r="EL122" i="17"/>
  <c r="EH46" i="17"/>
  <c r="FA71" i="15"/>
  <c r="FB81" i="17"/>
  <c r="FG45" i="17"/>
  <c r="FC96" i="17"/>
  <c r="EM107" i="15"/>
  <c r="FB126" i="17"/>
  <c r="FG83" i="17"/>
  <c r="FE140" i="17"/>
  <c r="ED109" i="15"/>
  <c r="FH58" i="17"/>
  <c r="FD56" i="17"/>
  <c r="EL105" i="17"/>
  <c r="EQ93" i="15"/>
  <c r="EQ104" i="15"/>
  <c r="FJ84" i="15"/>
  <c r="FC106" i="15"/>
  <c r="EG78" i="17"/>
  <c r="FD113" i="15"/>
  <c r="FH103" i="15"/>
  <c r="FI104" i="15"/>
  <c r="FF54" i="15"/>
  <c r="FF93" i="17"/>
  <c r="FF111" i="15"/>
  <c r="EE82" i="17"/>
  <c r="EH100" i="15"/>
  <c r="FH87" i="17"/>
  <c r="EH125" i="15"/>
  <c r="FM40" i="17"/>
  <c r="ED91" i="15"/>
  <c r="EL103" i="15"/>
  <c r="FG122" i="17"/>
  <c r="FI71" i="17"/>
  <c r="FE86" i="15"/>
  <c r="FL98" i="17"/>
  <c r="FG65" i="15"/>
  <c r="FH50" i="15"/>
  <c r="FC115" i="15"/>
  <c r="EQ117" i="17"/>
  <c r="ED113" i="17"/>
  <c r="EM75" i="17"/>
  <c r="FL23" i="15"/>
  <c r="EK98" i="17"/>
  <c r="FK93" i="15"/>
  <c r="FL58" i="15"/>
  <c r="EM90" i="15"/>
  <c r="FC114" i="17"/>
  <c r="FB130" i="15"/>
  <c r="FF135" i="15"/>
  <c r="FK61" i="15"/>
  <c r="FE73" i="15"/>
  <c r="FE77" i="15"/>
  <c r="EK113" i="15"/>
  <c r="FE129" i="15"/>
  <c r="FK100" i="15"/>
  <c r="EO76" i="17"/>
  <c r="EJ81" i="17"/>
  <c r="EE106" i="17"/>
  <c r="EQ32" i="17"/>
  <c r="EL80" i="17"/>
  <c r="FG31" i="15"/>
  <c r="FI131" i="15"/>
  <c r="FE83" i="17"/>
  <c r="FA48" i="15"/>
  <c r="EZ100" i="17"/>
  <c r="EO106" i="15"/>
  <c r="FB110" i="15"/>
  <c r="FC20" i="15"/>
  <c r="FG97" i="15"/>
  <c r="FH128" i="15"/>
  <c r="FG73" i="15"/>
  <c r="EP65" i="17"/>
  <c r="ED62" i="17"/>
  <c r="EI111" i="17"/>
  <c r="FM34" i="17"/>
  <c r="FG106" i="17"/>
  <c r="FE34" i="17"/>
  <c r="FI110" i="15"/>
  <c r="EM53" i="17"/>
  <c r="EG35" i="17"/>
  <c r="EE119" i="15"/>
  <c r="EM73" i="17"/>
  <c r="FG84" i="17"/>
  <c r="EF101" i="17"/>
  <c r="FF83" i="17"/>
  <c r="FG100" i="17"/>
  <c r="FJ36" i="17"/>
  <c r="EO107" i="17"/>
  <c r="FB105" i="15"/>
  <c r="FF50" i="17"/>
  <c r="EL96" i="15"/>
  <c r="EM94" i="15"/>
  <c r="FI133" i="15"/>
  <c r="EL115" i="15"/>
  <c r="FM56" i="17"/>
  <c r="FH110" i="15"/>
  <c r="EK127" i="15"/>
  <c r="EF41" i="17"/>
  <c r="FC32" i="15"/>
  <c r="FH94" i="15"/>
  <c r="FJ130" i="17"/>
  <c r="FM75" i="17"/>
  <c r="EQ92" i="15"/>
  <c r="FI121" i="15"/>
  <c r="FH89" i="15"/>
  <c r="FC108" i="15"/>
  <c r="FH91" i="17"/>
  <c r="FL37" i="17"/>
  <c r="EJ109" i="15"/>
  <c r="FB60" i="15"/>
  <c r="FI70" i="15"/>
  <c r="EN69" i="17"/>
  <c r="FA87" i="15"/>
  <c r="FJ49" i="15"/>
  <c r="FL76" i="17"/>
  <c r="FE95" i="17"/>
  <c r="FF59" i="17"/>
  <c r="FK118" i="15"/>
  <c r="FD110" i="15"/>
  <c r="FC84" i="15"/>
  <c r="FM124" i="17"/>
  <c r="FD94" i="15"/>
  <c r="EJ80" i="17"/>
  <c r="EN98" i="15"/>
  <c r="FJ74" i="15"/>
  <c r="EF97" i="15"/>
  <c r="EE112" i="15"/>
  <c r="EJ113" i="17"/>
  <c r="EO44" i="17"/>
  <c r="FG63" i="15"/>
  <c r="FG51" i="15"/>
  <c r="FI51" i="15"/>
  <c r="EJ128" i="15"/>
  <c r="FG141" i="15"/>
  <c r="EE103" i="15"/>
  <c r="EP101" i="15"/>
  <c r="EL122" i="15"/>
  <c r="EI117" i="15"/>
  <c r="FK95" i="15"/>
  <c r="EQ102" i="17"/>
  <c r="EK109" i="15"/>
  <c r="EQ45" i="17"/>
  <c r="FC76" i="15"/>
  <c r="FG43" i="15"/>
  <c r="FL95" i="15"/>
  <c r="FA24" i="15"/>
  <c r="EO90" i="15"/>
  <c r="EQ121" i="17"/>
  <c r="EH103" i="15"/>
  <c r="EK57" i="17"/>
  <c r="FF56" i="15"/>
  <c r="FE82" i="15"/>
  <c r="FC38" i="17"/>
  <c r="FJ56" i="17"/>
  <c r="EE116" i="17"/>
  <c r="FJ32" i="15"/>
  <c r="FJ105" i="15"/>
  <c r="FL102" i="15"/>
  <c r="FK120" i="17"/>
  <c r="FG123" i="15"/>
  <c r="FD124" i="17"/>
  <c r="FE43" i="15"/>
  <c r="FE78" i="15"/>
  <c r="FE139" i="17"/>
  <c r="FB131" i="15"/>
  <c r="EF121" i="17"/>
  <c r="FM125" i="15"/>
  <c r="EE124" i="17"/>
  <c r="FD89" i="15"/>
  <c r="FA85" i="17"/>
  <c r="EP128" i="15"/>
  <c r="EQ43" i="17"/>
  <c r="FD95" i="15"/>
  <c r="EJ108" i="15"/>
  <c r="FB115" i="15"/>
  <c r="FA138" i="15"/>
  <c r="FH138" i="15"/>
  <c r="FH82" i="15"/>
  <c r="FH135" i="17"/>
  <c r="FC125" i="15"/>
  <c r="FH65" i="17"/>
  <c r="FD39" i="17"/>
  <c r="EN128" i="15"/>
  <c r="FD101" i="15"/>
  <c r="FK42" i="17"/>
  <c r="FG47" i="15"/>
  <c r="EK126" i="15"/>
  <c r="EG58" i="17"/>
  <c r="FL86" i="15"/>
  <c r="FK113" i="17"/>
  <c r="FB102" i="15"/>
  <c r="FK107" i="15"/>
  <c r="FE63" i="15"/>
  <c r="FH57" i="17"/>
  <c r="EN34" i="17"/>
  <c r="FD32" i="15"/>
  <c r="FA31" i="17"/>
  <c r="FL48" i="15"/>
  <c r="FI123" i="15"/>
  <c r="FM102" i="15"/>
  <c r="FE128" i="15"/>
  <c r="FL108" i="15"/>
  <c r="EP114" i="15"/>
  <c r="FK140" i="15"/>
  <c r="EQ127" i="15"/>
  <c r="FF31" i="17"/>
  <c r="FI94" i="15"/>
  <c r="EM82" i="17"/>
  <c r="FC132" i="15"/>
  <c r="EM125" i="15"/>
  <c r="EL91" i="17"/>
  <c r="FI102" i="15"/>
  <c r="FM89" i="17"/>
  <c r="EL101" i="17"/>
  <c r="FJ116" i="15"/>
  <c r="EE74" i="17"/>
  <c r="EL71" i="17"/>
  <c r="FG74" i="15"/>
  <c r="FG80" i="17"/>
  <c r="EQ112" i="15"/>
  <c r="EK112" i="15"/>
  <c r="FK59" i="15"/>
  <c r="EI91" i="15"/>
  <c r="FJ79" i="15"/>
  <c r="ED107" i="15"/>
  <c r="EN112" i="15"/>
  <c r="FH101" i="17"/>
  <c r="EJ83" i="17"/>
  <c r="FM84" i="17"/>
  <c r="FD111" i="17"/>
  <c r="EJ100" i="15"/>
  <c r="EO92" i="15"/>
  <c r="FI31" i="15"/>
  <c r="EJ64" i="17"/>
  <c r="FB36" i="17"/>
  <c r="EF98" i="17"/>
  <c r="FJ96" i="15"/>
  <c r="EI98" i="15"/>
  <c r="FC121" i="15"/>
  <c r="EM101" i="15"/>
  <c r="FK82" i="17"/>
  <c r="FF52" i="15"/>
  <c r="FJ82" i="15"/>
  <c r="EI56" i="17"/>
  <c r="EG119" i="17"/>
  <c r="FF79" i="15"/>
  <c r="FB32" i="15"/>
  <c r="EJ95" i="15"/>
  <c r="FE33" i="15"/>
  <c r="FH32" i="15"/>
  <c r="FJ33" i="15"/>
  <c r="FE126" i="17"/>
  <c r="FE111" i="15"/>
  <c r="EQ123" i="15"/>
  <c r="FC23" i="15"/>
  <c r="FC123" i="15"/>
  <c r="FK115" i="15"/>
  <c r="EQ56" i="17"/>
  <c r="EK80" i="17"/>
  <c r="FA90" i="15"/>
  <c r="FL110" i="15"/>
  <c r="FM109" i="15"/>
  <c r="EK122" i="15"/>
  <c r="EF109" i="17"/>
  <c r="FI24" i="15"/>
  <c r="FH102" i="17"/>
  <c r="FJ135" i="15"/>
  <c r="FE61" i="17"/>
  <c r="FD99" i="15"/>
  <c r="FC49" i="15"/>
  <c r="EE44" i="17"/>
  <c r="FK137" i="15"/>
  <c r="EP115" i="15"/>
  <c r="FA104" i="15"/>
  <c r="FG68" i="15"/>
  <c r="FK31" i="15"/>
  <c r="EK115" i="17"/>
  <c r="EI107" i="15"/>
  <c r="EK116" i="15"/>
  <c r="FC117" i="15"/>
  <c r="EE106" i="15"/>
  <c r="EP127" i="15"/>
  <c r="FC77" i="17"/>
  <c r="EG109" i="17"/>
  <c r="EO117" i="15"/>
  <c r="FF23" i="15"/>
  <c r="EL110" i="15"/>
  <c r="FE32" i="15"/>
  <c r="FC137" i="15"/>
  <c r="EL82" i="17"/>
  <c r="EJ96" i="15"/>
  <c r="FH46" i="15"/>
  <c r="FF32" i="15"/>
  <c r="EP71" i="17"/>
  <c r="FF103" i="15"/>
  <c r="EM102" i="15"/>
  <c r="FH114" i="15"/>
  <c r="EQ66" i="17"/>
  <c r="EK104" i="15"/>
  <c r="FM96" i="15"/>
  <c r="FB42" i="15"/>
  <c r="FD31" i="15"/>
  <c r="EH114" i="15"/>
  <c r="FI73" i="17"/>
  <c r="FA133" i="17"/>
  <c r="EG81" i="17"/>
  <c r="FK72" i="15"/>
  <c r="FF128" i="15"/>
  <c r="ED125" i="17"/>
  <c r="FB44" i="15"/>
  <c r="FE62" i="17"/>
  <c r="FC105" i="17"/>
  <c r="EI41" i="17"/>
  <c r="FG47" i="17"/>
  <c r="EO101" i="17"/>
  <c r="EO123" i="15"/>
  <c r="EZ32" i="17"/>
  <c r="FE36" i="17"/>
  <c r="EM119" i="15"/>
  <c r="FL33" i="17"/>
  <c r="EE105" i="15"/>
  <c r="FH106" i="15"/>
  <c r="FI74" i="15"/>
  <c r="FA86" i="15"/>
  <c r="FK91" i="17"/>
  <c r="EL97" i="15"/>
  <c r="EF90" i="15"/>
  <c r="EO97" i="15"/>
  <c r="FI49" i="17"/>
  <c r="FC85" i="15"/>
  <c r="EZ57" i="17"/>
  <c r="EK54" i="17"/>
  <c r="FB49" i="17"/>
  <c r="FI81" i="15"/>
  <c r="ED98" i="15"/>
  <c r="EG115" i="15"/>
  <c r="FI56" i="15"/>
  <c r="EL86" i="17"/>
  <c r="FC41" i="17"/>
  <c r="EH42" i="17"/>
  <c r="FK48" i="15"/>
  <c r="EG48" i="17"/>
  <c r="EP58" i="17"/>
  <c r="EP119" i="17"/>
  <c r="EM112" i="17"/>
  <c r="FK69" i="15"/>
  <c r="FE44" i="15"/>
  <c r="EQ113" i="15"/>
  <c r="FF50" i="15"/>
  <c r="FB87" i="15"/>
  <c r="EN91" i="17"/>
  <c r="EN53" i="17"/>
  <c r="EJ93" i="15"/>
  <c r="EI102" i="15"/>
  <c r="FL124" i="15"/>
  <c r="FJ46" i="15"/>
  <c r="EE101" i="15"/>
  <c r="FL70" i="15"/>
  <c r="FB89" i="15"/>
  <c r="EE42" i="17"/>
  <c r="FG109" i="15"/>
  <c r="FB96" i="15"/>
  <c r="EE127" i="15"/>
  <c r="FL93" i="15"/>
  <c r="FE47" i="15"/>
  <c r="FC120" i="15"/>
  <c r="FB56" i="15"/>
  <c r="FJ89" i="17"/>
  <c r="FJ102" i="15"/>
  <c r="FF63" i="17"/>
  <c r="FL31" i="15"/>
  <c r="EN64" i="17"/>
  <c r="FG134" i="15"/>
  <c r="FI21" i="15"/>
  <c r="FI116" i="17"/>
  <c r="FC116" i="17"/>
  <c r="EO115" i="17"/>
  <c r="FJ109" i="17"/>
  <c r="EO87" i="17"/>
  <c r="EK55" i="17"/>
  <c r="FA124" i="15"/>
  <c r="FD56" i="15"/>
  <c r="EO91" i="15"/>
  <c r="FJ28" i="15"/>
  <c r="FF33" i="15"/>
  <c r="EL55" i="17"/>
  <c r="FE61" i="15"/>
  <c r="EN119" i="15"/>
  <c r="FC74" i="15"/>
  <c r="FC51" i="15"/>
  <c r="EE80" i="17"/>
  <c r="EF36" i="17"/>
  <c r="FL45" i="15"/>
  <c r="FJ138" i="15"/>
  <c r="FH101" i="15"/>
  <c r="FA82" i="15"/>
  <c r="EF93" i="15"/>
  <c r="FB122" i="17"/>
  <c r="EE104" i="15"/>
  <c r="EO103" i="15"/>
  <c r="EQ118" i="15"/>
  <c r="EI128" i="15"/>
  <c r="FI111" i="17"/>
  <c r="EO108" i="15"/>
  <c r="EE90" i="15"/>
  <c r="FL135" i="15"/>
  <c r="EI90" i="17"/>
  <c r="EZ51" i="17"/>
  <c r="FF136" i="15"/>
  <c r="FB136" i="15"/>
  <c r="EL91" i="15"/>
  <c r="EK128" i="15"/>
  <c r="FE70" i="15"/>
  <c r="FD59" i="17"/>
  <c r="FK21" i="15"/>
  <c r="FB101" i="17"/>
  <c r="FE60" i="15"/>
  <c r="FI43" i="17"/>
  <c r="EM96" i="15"/>
  <c r="FF30" i="15"/>
  <c r="FH39" i="17"/>
  <c r="EQ72" i="17"/>
  <c r="FJ56" i="15"/>
  <c r="FM20" i="17"/>
  <c r="FF42" i="17"/>
  <c r="EM99" i="17"/>
  <c r="ED106" i="15"/>
  <c r="FE103" i="15"/>
  <c r="FI60" i="15"/>
  <c r="EI122" i="15"/>
  <c r="FG67" i="15"/>
  <c r="FH105" i="15"/>
  <c r="FD123" i="17"/>
  <c r="EQ44" i="17"/>
  <c r="EO61" i="17"/>
  <c r="FI33" i="15"/>
  <c r="FG55" i="15"/>
  <c r="FI114" i="15"/>
  <c r="FH121" i="17"/>
  <c r="EP106" i="17"/>
  <c r="FC138" i="15"/>
  <c r="EP100" i="17"/>
  <c r="EG113" i="15"/>
  <c r="EH107" i="17"/>
  <c r="FA113" i="15"/>
  <c r="FI89" i="17"/>
  <c r="FA79" i="17"/>
  <c r="EL47" i="17"/>
  <c r="EI127" i="15"/>
  <c r="FB114" i="15"/>
  <c r="FA104" i="17"/>
  <c r="FD44" i="17"/>
  <c r="FJ60" i="15"/>
  <c r="FA123" i="15"/>
  <c r="FC122" i="15"/>
  <c r="EP120" i="15"/>
  <c r="FK42" i="15"/>
  <c r="EH110" i="17"/>
  <c r="EH112" i="15"/>
  <c r="FB56" i="17"/>
  <c r="FK62" i="15"/>
  <c r="FC141" i="15"/>
  <c r="FD84" i="17"/>
  <c r="FJ126" i="15"/>
  <c r="FD76" i="15"/>
  <c r="EG111" i="17"/>
  <c r="EJ127" i="15"/>
  <c r="EP111" i="17"/>
  <c r="FA51" i="15"/>
  <c r="FI48" i="15"/>
  <c r="FK75" i="15"/>
  <c r="EP96" i="17"/>
  <c r="FK32" i="15"/>
  <c r="ED47" i="17"/>
  <c r="FD116" i="15"/>
  <c r="EL125" i="15"/>
  <c r="FC43" i="15"/>
  <c r="FM126" i="15"/>
  <c r="FK106" i="15"/>
  <c r="EQ88" i="17"/>
  <c r="FF127" i="17"/>
  <c r="FF84" i="15"/>
  <c r="FK124" i="15"/>
  <c r="FE66" i="17"/>
  <c r="FA42" i="15"/>
  <c r="FL20" i="15"/>
  <c r="FC128" i="15"/>
  <c r="FG48" i="15"/>
  <c r="FF106" i="15"/>
  <c r="FK113" i="15"/>
  <c r="FB102" i="17"/>
  <c r="EN80" i="17"/>
  <c r="FE110" i="17"/>
  <c r="FL85" i="15"/>
  <c r="EO126" i="17"/>
  <c r="FE112" i="15"/>
  <c r="EK120" i="15"/>
  <c r="FM63" i="17"/>
  <c r="EI115" i="15"/>
  <c r="FA140" i="15"/>
  <c r="EK110" i="15"/>
  <c r="FJ55" i="15"/>
  <c r="EF105" i="15"/>
  <c r="EP69" i="17"/>
  <c r="FK116" i="15"/>
  <c r="FK96" i="15"/>
  <c r="FH53" i="17"/>
  <c r="FD29" i="15"/>
  <c r="FA67" i="15"/>
  <c r="FK54" i="15"/>
  <c r="FI135" i="15"/>
  <c r="FH29" i="15"/>
  <c r="FJ129" i="15"/>
  <c r="FG136" i="15"/>
  <c r="FA109" i="17"/>
  <c r="EN118" i="15"/>
  <c r="EE38" i="17"/>
  <c r="EE128" i="15"/>
  <c r="FH26" i="15"/>
  <c r="FG93" i="15"/>
  <c r="EI112" i="15"/>
  <c r="FJ128" i="17"/>
  <c r="FK50" i="15"/>
  <c r="FD85" i="15"/>
  <c r="EM106" i="15"/>
  <c r="FC99" i="17"/>
  <c r="FF141" i="15"/>
  <c r="FH85" i="15"/>
  <c r="EP74" i="17"/>
  <c r="EL48" i="17"/>
  <c r="FE123" i="15"/>
  <c r="EQ84" i="17"/>
  <c r="FE72" i="17"/>
  <c r="FJ136" i="15"/>
  <c r="EL126" i="15"/>
  <c r="FC127" i="15"/>
  <c r="FE68" i="15"/>
  <c r="FD52" i="15"/>
  <c r="EK101" i="15"/>
  <c r="FC36" i="17"/>
  <c r="ED60" i="17"/>
  <c r="EN85" i="17"/>
  <c r="FH68" i="15"/>
  <c r="FB84" i="15"/>
  <c r="FH87" i="15"/>
  <c r="FK100" i="17"/>
  <c r="FG102" i="17"/>
  <c r="EL114" i="15"/>
  <c r="FE65" i="15"/>
  <c r="EG98" i="15"/>
  <c r="EL121" i="15"/>
  <c r="FF101" i="17"/>
  <c r="FF91" i="17"/>
  <c r="FD136" i="15"/>
  <c r="FK85" i="15"/>
  <c r="FB21" i="15"/>
  <c r="FB123" i="15"/>
  <c r="FB81" i="15"/>
  <c r="EJ115" i="15"/>
  <c r="EM41" i="17"/>
  <c r="FH123" i="17"/>
  <c r="EL64" i="17"/>
  <c r="FD64" i="15"/>
  <c r="EL120" i="15"/>
  <c r="FE41" i="15"/>
  <c r="FB73" i="17"/>
  <c r="EL31" i="17"/>
  <c r="FL114" i="17"/>
  <c r="FF41" i="15"/>
  <c r="FA32" i="15"/>
  <c r="FJ31" i="15"/>
  <c r="EQ112" i="17"/>
  <c r="FG99" i="15"/>
  <c r="FC91" i="15"/>
  <c r="FF105" i="15"/>
  <c r="FD30" i="15"/>
  <c r="EM126" i="15"/>
  <c r="FF63" i="15"/>
  <c r="FE110" i="15"/>
  <c r="EP126" i="15"/>
  <c r="EM46" i="17"/>
  <c r="FF21" i="15"/>
  <c r="FK114" i="15"/>
  <c r="EG94" i="17"/>
  <c r="FJ50" i="15"/>
  <c r="FL122" i="15"/>
  <c r="FK44" i="15"/>
  <c r="EQ89" i="17"/>
  <c r="FI73" i="15"/>
  <c r="FB47" i="15"/>
  <c r="FC70" i="15"/>
  <c r="EP108" i="17"/>
  <c r="FL49" i="15"/>
  <c r="FF133" i="15"/>
  <c r="FG115" i="15"/>
  <c r="FI130" i="15"/>
  <c r="FF118" i="15"/>
  <c r="FD51" i="17"/>
  <c r="FI132" i="15"/>
  <c r="FL54" i="17"/>
  <c r="EO101" i="15"/>
  <c r="EZ87" i="17"/>
  <c r="FL96" i="15"/>
  <c r="EF108" i="15"/>
  <c r="FJ41" i="17"/>
  <c r="FB97" i="15"/>
  <c r="EJ59" i="17"/>
  <c r="FK84" i="15"/>
  <c r="FA41" i="17"/>
  <c r="EH79" i="17"/>
  <c r="FE52" i="17"/>
  <c r="EI99" i="15"/>
  <c r="EF54" i="17"/>
  <c r="EN101" i="17"/>
  <c r="FH129" i="15"/>
  <c r="EG68" i="17"/>
  <c r="FB88" i="15"/>
  <c r="FH57" i="15"/>
  <c r="FJ83" i="15"/>
  <c r="FL45" i="17"/>
  <c r="FF100" i="17"/>
  <c r="FK33" i="15"/>
  <c r="FA33" i="15"/>
  <c r="FB33" i="15"/>
  <c r="FG33" i="15"/>
  <c r="EM109" i="15"/>
  <c r="FD104" i="17"/>
  <c r="FJ32" i="17"/>
  <c r="EF124" i="15"/>
  <c r="EE91" i="15"/>
  <c r="FI69" i="15"/>
  <c r="FL32" i="15"/>
  <c r="FF35" i="15"/>
  <c r="FH33" i="15"/>
  <c r="FC33" i="15"/>
  <c r="FG32" i="15"/>
  <c r="FL60" i="15"/>
  <c r="EK111" i="15"/>
  <c r="FD88" i="17"/>
  <c r="FC75" i="15"/>
  <c r="FL103" i="15"/>
  <c r="EF94" i="15"/>
  <c r="FL106" i="15"/>
  <c r="FM114" i="15"/>
  <c r="EG100" i="17"/>
  <c r="FH107" i="15"/>
  <c r="FG128" i="15"/>
  <c r="FI23" i="15"/>
  <c r="FI126" i="15"/>
  <c r="EG73" i="17"/>
  <c r="FB67" i="15"/>
  <c r="EL70" i="17"/>
  <c r="FC126" i="15"/>
  <c r="FL74" i="15"/>
  <c r="FG127" i="15"/>
  <c r="FK89" i="17"/>
  <c r="FJ66" i="15"/>
  <c r="EK103" i="15"/>
  <c r="FH71" i="15"/>
  <c r="FE118" i="15"/>
  <c r="EQ109" i="15"/>
  <c r="FH136" i="17"/>
  <c r="EK89" i="17"/>
  <c r="FD97" i="17"/>
  <c r="FF24" i="15"/>
  <c r="FA132" i="15"/>
  <c r="FM111" i="17"/>
  <c r="FB137" i="17"/>
  <c r="FM36" i="17"/>
  <c r="EP97" i="15"/>
  <c r="EG93" i="15"/>
  <c r="EF106" i="17"/>
  <c r="EG95" i="15"/>
  <c r="ED56" i="17"/>
  <c r="EZ114" i="17"/>
  <c r="FD82" i="15"/>
  <c r="EN126" i="15"/>
  <c r="EL81" i="17"/>
  <c r="EJ110" i="15"/>
  <c r="FB78" i="15"/>
  <c r="FJ91" i="15"/>
  <c r="FH127" i="15"/>
  <c r="FM99" i="15"/>
  <c r="EO94" i="15"/>
  <c r="FI116" i="15"/>
  <c r="FB54" i="15"/>
  <c r="FH31" i="15"/>
  <c r="EN70" i="17"/>
  <c r="FL41" i="15"/>
  <c r="FC66" i="17"/>
  <c r="FA63" i="17"/>
  <c r="FH73" i="15"/>
  <c r="EP100" i="15"/>
  <c r="FG102" i="15"/>
  <c r="EI103" i="15"/>
  <c r="FA130" i="15"/>
  <c r="EG97" i="15"/>
  <c r="FJ58" i="15"/>
  <c r="FM68" i="17"/>
  <c r="FF94" i="17"/>
  <c r="EG96" i="15"/>
  <c r="FA115" i="15"/>
  <c r="EF116" i="15"/>
  <c r="EM113" i="15"/>
  <c r="EJ52" i="17"/>
  <c r="FF58" i="17"/>
  <c r="FB100" i="15"/>
  <c r="FK41" i="15"/>
  <c r="FG53" i="15"/>
  <c r="FH114" i="17"/>
  <c r="FD114" i="15"/>
  <c r="FE139" i="15"/>
  <c r="FD37" i="17"/>
  <c r="FF22" i="15"/>
  <c r="FB31" i="15"/>
  <c r="EI109" i="15"/>
  <c r="EI114" i="15"/>
  <c r="FE48" i="15"/>
  <c r="EO32" i="17"/>
  <c r="EQ127" i="17"/>
  <c r="EG31" i="17"/>
  <c r="EP94" i="17"/>
  <c r="EK43" i="17"/>
  <c r="FE102" i="15"/>
  <c r="FJ50" i="17"/>
  <c r="FD63" i="17"/>
  <c r="FH111" i="15"/>
  <c r="FI65" i="15"/>
  <c r="FB88" i="17"/>
  <c r="EO89" i="17"/>
  <c r="EQ125" i="15"/>
  <c r="FJ128" i="15"/>
  <c r="FE99" i="15"/>
  <c r="FH131" i="15"/>
  <c r="FC79" i="15"/>
  <c r="EI111" i="15"/>
  <c r="FG20" i="15"/>
  <c r="FH93" i="15"/>
  <c r="EO96" i="17"/>
  <c r="EE94" i="15"/>
  <c r="FD128" i="15"/>
  <c r="FF100" i="15"/>
  <c r="FE23" i="15"/>
  <c r="EE102" i="15"/>
  <c r="FG122" i="15"/>
  <c r="FJ93" i="15"/>
  <c r="FB126" i="15"/>
  <c r="EJ117" i="17"/>
  <c r="FL86" i="17"/>
  <c r="FA98" i="15"/>
  <c r="FE115" i="15"/>
  <c r="EI106" i="15"/>
  <c r="FB98" i="17"/>
  <c r="FM43" i="17"/>
  <c r="FF61" i="15"/>
  <c r="FF99" i="17"/>
  <c r="EZ99" i="17"/>
  <c r="FE104" i="15"/>
  <c r="EM36" i="17"/>
  <c r="FF71" i="17"/>
  <c r="FK127" i="17"/>
  <c r="FB140" i="15"/>
  <c r="FF70" i="15"/>
  <c r="FE95" i="15"/>
  <c r="FC124" i="15"/>
  <c r="EG86" i="17"/>
  <c r="FE58" i="15"/>
  <c r="FC47" i="15"/>
  <c r="FA31" i="15"/>
  <c r="FJ57" i="15"/>
  <c r="FI32" i="15"/>
  <c r="EQ82" i="17"/>
  <c r="EJ122" i="15"/>
  <c r="EZ105" i="17"/>
  <c r="EG104" i="17"/>
  <c r="FD111" i="15"/>
  <c r="FL91" i="15"/>
  <c r="FL26" i="15"/>
  <c r="EP51" i="17"/>
  <c r="FC31" i="15"/>
  <c r="FB100" i="17"/>
  <c r="EF126" i="17"/>
  <c r="FI100" i="15"/>
  <c r="FB99" i="17"/>
  <c r="FB72" i="15"/>
  <c r="FE45" i="15"/>
  <c r="EF114" i="15"/>
  <c r="EE96" i="15"/>
  <c r="EL118" i="15"/>
  <c r="FE69" i="17"/>
  <c r="FD137" i="15"/>
  <c r="FK90" i="15"/>
  <c r="FF31" i="15"/>
  <c r="FJ108" i="17"/>
  <c r="FM59" i="17"/>
  <c r="FF117" i="17"/>
  <c r="FE46" i="15"/>
  <c r="FH81" i="17"/>
  <c r="FH118" i="15"/>
  <c r="FC49" i="17"/>
  <c r="FE51" i="15"/>
  <c r="FC81" i="17"/>
  <c r="EJ126" i="15"/>
  <c r="FD102" i="15"/>
  <c r="EJ90" i="17"/>
  <c r="FL100" i="17"/>
  <c r="EM51" i="17"/>
  <c r="EE111" i="15"/>
  <c r="FD53" i="15"/>
  <c r="FH140" i="17"/>
  <c r="FH27" i="15"/>
  <c r="FE86" i="17"/>
  <c r="FH89" i="17"/>
  <c r="FJ67" i="15"/>
  <c r="FL33" i="15"/>
  <c r="FE34" i="15"/>
  <c r="FD33" i="15"/>
  <c r="FB35" i="15"/>
  <c r="FI35" i="15"/>
  <c r="FB34" i="15"/>
  <c r="FJ34" i="15"/>
  <c r="FK34" i="15"/>
  <c r="FG35" i="15"/>
  <c r="FD34" i="15"/>
  <c r="FJ35" i="15"/>
  <c r="FC35" i="15"/>
  <c r="FK35" i="15"/>
  <c r="FF34" i="15"/>
  <c r="FD35" i="15"/>
  <c r="FH35" i="15"/>
  <c r="FA34" i="15"/>
  <c r="FL34" i="15"/>
  <c r="FA35" i="15"/>
  <c r="FI34" i="15"/>
  <c r="FH34" i="15"/>
  <c r="FC34" i="15"/>
  <c r="FG34" i="15"/>
  <c r="FL35" i="15"/>
  <c r="FE35" i="15"/>
  <c r="DT20" i="17" l="1"/>
  <c r="DS20" i="17"/>
  <c r="DU20" i="17" s="1"/>
  <c r="DX35" i="15"/>
  <c r="DR34" i="15"/>
  <c r="JV61" i="10" s="1"/>
  <c r="JV60" i="10"/>
  <c r="G26" i="20" s="1"/>
  <c r="F26" i="20"/>
  <c r="F27" i="20"/>
  <c r="DD35" i="15"/>
  <c r="DE35" i="15"/>
  <c r="JU62" i="10"/>
  <c r="JP63" i="10"/>
  <c r="JQ63" i="10" s="1"/>
  <c r="B29" i="20" s="1"/>
  <c r="DK36" i="15"/>
  <c r="EX36" i="15"/>
  <c r="JS61" i="10"/>
  <c r="D27" i="20" s="1"/>
  <c r="EX37" i="15"/>
  <c r="JP64" i="10"/>
  <c r="DK37" i="15"/>
  <c r="JR62" i="10"/>
  <c r="C28" i="20" s="1"/>
  <c r="JT60" i="10"/>
  <c r="E26" i="20" s="1"/>
  <c r="JS60" i="10"/>
  <c r="D26" i="20" s="1"/>
  <c r="JT61" i="10"/>
  <c r="E27" i="20" s="1"/>
  <c r="AX36" i="15"/>
  <c r="AW36" i="15"/>
  <c r="AX44" i="17"/>
  <c r="AW44" i="17"/>
  <c r="FK36" i="15"/>
  <c r="FF37" i="15"/>
  <c r="DX36" i="15" l="1"/>
  <c r="DR35" i="15"/>
  <c r="JV62" i="10" s="1"/>
  <c r="JQ64" i="10"/>
  <c r="B30" i="20" s="1"/>
  <c r="F28" i="20"/>
  <c r="G27" i="20"/>
  <c r="DD36" i="15"/>
  <c r="DE36" i="15"/>
  <c r="JU63" i="10"/>
  <c r="JS62" i="10"/>
  <c r="D28" i="20" s="1"/>
  <c r="JT62" i="10"/>
  <c r="E28" i="20" s="1"/>
  <c r="EX38" i="15"/>
  <c r="DK38" i="15"/>
  <c r="JP65" i="10"/>
  <c r="JQ65" i="10" s="1"/>
  <c r="B31" i="20" s="1"/>
  <c r="AX37" i="15"/>
  <c r="AW37" i="15"/>
  <c r="AX45" i="17"/>
  <c r="AW45" i="17"/>
  <c r="FH37" i="15"/>
  <c r="FD37" i="15"/>
  <c r="FL37" i="15"/>
  <c r="FC36" i="15"/>
  <c r="FB37" i="15"/>
  <c r="FJ36" i="15"/>
  <c r="FD36" i="15"/>
  <c r="FK37" i="15"/>
  <c r="FI37" i="15"/>
  <c r="FA36" i="15"/>
  <c r="FG36" i="15"/>
  <c r="FF36" i="15"/>
  <c r="FE38" i="15"/>
  <c r="FJ37" i="15"/>
  <c r="FE36" i="15"/>
  <c r="FG37" i="15"/>
  <c r="FE37" i="15"/>
  <c r="FA37" i="15"/>
  <c r="FH36" i="15"/>
  <c r="FL36" i="15"/>
  <c r="FB36" i="15"/>
  <c r="FC37" i="15"/>
  <c r="FI36" i="15"/>
  <c r="DX37" i="15" l="1"/>
  <c r="DR36" i="15"/>
  <c r="JV63" i="10" s="1"/>
  <c r="F29" i="20"/>
  <c r="G28" i="20"/>
  <c r="DD37" i="15"/>
  <c r="DE37" i="15"/>
  <c r="JR63" i="10"/>
  <c r="C29" i="20" s="1"/>
  <c r="JT63" i="10"/>
  <c r="E29" i="20" s="1"/>
  <c r="JR64" i="10"/>
  <c r="C30" i="20" s="1"/>
  <c r="JS63" i="10"/>
  <c r="D29" i="20" s="1"/>
  <c r="JP66" i="10"/>
  <c r="JQ66" i="10" s="1"/>
  <c r="B32" i="20" s="1"/>
  <c r="EX39" i="15"/>
  <c r="DK39" i="15"/>
  <c r="AX38" i="15"/>
  <c r="AW38" i="15"/>
  <c r="AW46" i="17"/>
  <c r="AX46" i="17"/>
  <c r="FJ38" i="15"/>
  <c r="FL38" i="15"/>
  <c r="FH38" i="15"/>
  <c r="FE39" i="15"/>
  <c r="FD38" i="15"/>
  <c r="FK38" i="15"/>
  <c r="FI38" i="15"/>
  <c r="FF38" i="15"/>
  <c r="FB38" i="15"/>
  <c r="FA38" i="15"/>
  <c r="FG38" i="15"/>
  <c r="FC38" i="15"/>
  <c r="DX38" i="15" l="1"/>
  <c r="DR37" i="15"/>
  <c r="G29" i="20"/>
  <c r="DD38" i="15"/>
  <c r="DE38" i="15"/>
  <c r="JU64" i="10"/>
  <c r="JT64" i="10"/>
  <c r="E30" i="20" s="1"/>
  <c r="DK40" i="15"/>
  <c r="EX40" i="15"/>
  <c r="JP67" i="10"/>
  <c r="JS64" i="10"/>
  <c r="D30" i="20" s="1"/>
  <c r="AX39" i="15"/>
  <c r="AW39" i="15"/>
  <c r="AW47" i="17"/>
  <c r="AX47" i="17"/>
  <c r="FH39" i="15"/>
  <c r="FD39" i="15"/>
  <c r="FC39" i="15"/>
  <c r="FI39" i="15"/>
  <c r="FK39" i="15"/>
  <c r="FJ39" i="15"/>
  <c r="FB39" i="15"/>
  <c r="FA39" i="15"/>
  <c r="FB40" i="15"/>
  <c r="FF39" i="15"/>
  <c r="FG39" i="15"/>
  <c r="FL39" i="15"/>
  <c r="DX39" i="15" l="1"/>
  <c r="DR38" i="15"/>
  <c r="JV64" i="10"/>
  <c r="G30" i="20" s="1"/>
  <c r="F30" i="20"/>
  <c r="DD39" i="15"/>
  <c r="DE39" i="15"/>
  <c r="JR65" i="10"/>
  <c r="C31" i="20" s="1"/>
  <c r="JU65" i="10"/>
  <c r="DI21" i="15"/>
  <c r="JT65" i="10"/>
  <c r="E31" i="20" s="1"/>
  <c r="JS65" i="10"/>
  <c r="D31" i="20" s="1"/>
  <c r="JQ68" i="10"/>
  <c r="B34" i="20" s="1"/>
  <c r="JQ67" i="10"/>
  <c r="B33" i="20" s="1"/>
  <c r="AX40" i="15"/>
  <c r="AW40" i="15"/>
  <c r="AX48" i="17"/>
  <c r="AW48" i="17"/>
  <c r="FA40" i="15"/>
  <c r="FE40" i="15"/>
  <c r="FD40" i="15"/>
  <c r="FI40" i="15"/>
  <c r="FG40" i="15"/>
  <c r="FK40" i="15"/>
  <c r="FH40" i="15"/>
  <c r="FC40" i="15"/>
  <c r="FL40" i="15"/>
  <c r="FF40" i="15"/>
  <c r="FJ40" i="15"/>
  <c r="DX40" i="15" l="1"/>
  <c r="DR39" i="15"/>
  <c r="DX50" i="15"/>
  <c r="JV65" i="10"/>
  <c r="G31" i="20" s="1"/>
  <c r="F31" i="20"/>
  <c r="DD40" i="15"/>
  <c r="DE40" i="15"/>
  <c r="JR66" i="10"/>
  <c r="C32" i="20" s="1"/>
  <c r="JU66" i="10"/>
  <c r="JR67" i="10"/>
  <c r="C33" i="20" s="1"/>
  <c r="JS66" i="10"/>
  <c r="D32" i="20" s="1"/>
  <c r="DG21" i="15"/>
  <c r="DH21" i="15"/>
  <c r="JT66" i="10"/>
  <c r="E32" i="20" s="1"/>
  <c r="AW41" i="15"/>
  <c r="AX41" i="15"/>
  <c r="AW49" i="17"/>
  <c r="AX49" i="17"/>
  <c r="DX41" i="15" l="1"/>
  <c r="DR40" i="15"/>
  <c r="EA50" i="15"/>
  <c r="EB50" i="15" s="1"/>
  <c r="JV66" i="10"/>
  <c r="G32" i="20" s="1"/>
  <c r="F32" i="20"/>
  <c r="DD41" i="15"/>
  <c r="DE41" i="15"/>
  <c r="JU67" i="10"/>
  <c r="JH38" i="10"/>
  <c r="C10" i="14" s="1"/>
  <c r="JR68" i="10"/>
  <c r="C34" i="20" s="1"/>
  <c r="JS68" i="10"/>
  <c r="D34" i="20" s="1"/>
  <c r="JT68" i="10"/>
  <c r="E34" i="20" s="1"/>
  <c r="JS67" i="10"/>
  <c r="D33" i="20" s="1"/>
  <c r="JT67" i="10"/>
  <c r="E33" i="20" s="1"/>
  <c r="AW42" i="15"/>
  <c r="AX42" i="15"/>
  <c r="AX50" i="17"/>
  <c r="AW50" i="17"/>
  <c r="EO50" i="15"/>
  <c r="DX52" i="15" l="1"/>
  <c r="EA52" i="15" s="1"/>
  <c r="EB52" i="15" s="1"/>
  <c r="DX51" i="15"/>
  <c r="EA51" i="15" s="1"/>
  <c r="EB51" i="15" s="1"/>
  <c r="DX42" i="15"/>
  <c r="DR41" i="15"/>
  <c r="DX53" i="15"/>
  <c r="JV67" i="10"/>
  <c r="G33" i="20" s="1"/>
  <c r="F33" i="20"/>
  <c r="DD42" i="15"/>
  <c r="DE42" i="15"/>
  <c r="JU68" i="10"/>
  <c r="JU69" i="10"/>
  <c r="JR69" i="10"/>
  <c r="C35" i="20" s="1"/>
  <c r="JT69" i="10"/>
  <c r="E35" i="20" s="1"/>
  <c r="JS69" i="10"/>
  <c r="D35" i="20" s="1"/>
  <c r="AW43" i="15"/>
  <c r="AX43" i="15"/>
  <c r="AW51" i="17"/>
  <c r="AX51" i="17"/>
  <c r="EF50" i="15"/>
  <c r="EK50" i="15"/>
  <c r="ED50" i="15"/>
  <c r="EI50" i="15"/>
  <c r="EJ50" i="15"/>
  <c r="EM50" i="15"/>
  <c r="EP50" i="15"/>
  <c r="EE50" i="15"/>
  <c r="EN50" i="15"/>
  <c r="EP52" i="15"/>
  <c r="FM50" i="15"/>
  <c r="EL50" i="15"/>
  <c r="EH50" i="15"/>
  <c r="EG50" i="15"/>
  <c r="EH51" i="15"/>
  <c r="EQ50" i="15"/>
  <c r="EP51" i="15"/>
  <c r="DS50" i="15" l="1"/>
  <c r="DT50" i="15" s="1"/>
  <c r="DX43" i="15"/>
  <c r="DR42" i="15"/>
  <c r="EA53" i="15"/>
  <c r="EB53" i="15" s="1"/>
  <c r="F35" i="20"/>
  <c r="F34" i="20"/>
  <c r="JV68" i="10"/>
  <c r="G34" i="20" s="1"/>
  <c r="DD43" i="15"/>
  <c r="DE43" i="15"/>
  <c r="JU70" i="10"/>
  <c r="JR70" i="10"/>
  <c r="C36" i="20" s="1"/>
  <c r="JS70" i="10"/>
  <c r="D36" i="20" s="1"/>
  <c r="JT70" i="10"/>
  <c r="E36" i="20" s="1"/>
  <c r="AX44" i="15"/>
  <c r="AW44" i="15"/>
  <c r="AW52" i="17"/>
  <c r="AX52" i="17"/>
  <c r="EM51" i="15"/>
  <c r="EJ52" i="15"/>
  <c r="EE52" i="15"/>
  <c r="EQ51" i="15"/>
  <c r="EQ52" i="15"/>
  <c r="EF52" i="15"/>
  <c r="EF51" i="15"/>
  <c r="EK52" i="15"/>
  <c r="EJ51" i="15"/>
  <c r="EH52" i="15"/>
  <c r="FM52" i="15"/>
  <c r="ED51" i="15"/>
  <c r="ED53" i="15"/>
  <c r="EI51" i="15"/>
  <c r="EK51" i="15"/>
  <c r="EG52" i="15"/>
  <c r="FM51" i="15"/>
  <c r="EO51" i="15"/>
  <c r="EG51" i="15"/>
  <c r="EL52" i="15"/>
  <c r="EL51" i="15"/>
  <c r="EN51" i="15"/>
  <c r="EN52" i="15"/>
  <c r="ED52" i="15"/>
  <c r="EO52" i="15"/>
  <c r="EI52" i="15"/>
  <c r="EM52" i="15"/>
  <c r="EE51" i="15"/>
  <c r="DS52" i="15" l="1"/>
  <c r="DT52" i="15" s="1"/>
  <c r="DS51" i="15"/>
  <c r="DT51" i="15" s="1"/>
  <c r="DX55" i="15"/>
  <c r="EA55" i="15" s="1"/>
  <c r="EB55" i="15" s="1"/>
  <c r="DX54" i="15"/>
  <c r="EA54" i="15" s="1"/>
  <c r="EB54" i="15" s="1"/>
  <c r="DX44" i="15"/>
  <c r="DR43" i="15"/>
  <c r="DX56" i="15"/>
  <c r="JV69" i="10"/>
  <c r="G35" i="20" s="1"/>
  <c r="F36" i="20"/>
  <c r="DD44" i="15"/>
  <c r="DE44" i="15"/>
  <c r="JR71" i="10"/>
  <c r="C37" i="20" s="1"/>
  <c r="JS71" i="10"/>
  <c r="D37" i="20" s="1"/>
  <c r="JT71" i="10"/>
  <c r="E37" i="20" s="1"/>
  <c r="AW45" i="15"/>
  <c r="AX45" i="15"/>
  <c r="AW53" i="17"/>
  <c r="AX53" i="17"/>
  <c r="EO54" i="15"/>
  <c r="EN54" i="15"/>
  <c r="EK55" i="15"/>
  <c r="EP54" i="15"/>
  <c r="EP53" i="15"/>
  <c r="EH54" i="15"/>
  <c r="ED54" i="15"/>
  <c r="FM53" i="15"/>
  <c r="EF54" i="15"/>
  <c r="EG53" i="15"/>
  <c r="EM53" i="15"/>
  <c r="EK53" i="15"/>
  <c r="EE54" i="15"/>
  <c r="EO53" i="15"/>
  <c r="EI53" i="15"/>
  <c r="EE53" i="15"/>
  <c r="EQ53" i="15"/>
  <c r="EF53" i="15"/>
  <c r="EG54" i="15"/>
  <c r="EH53" i="15"/>
  <c r="EJ54" i="15"/>
  <c r="EO55" i="15"/>
  <c r="EI54" i="15"/>
  <c r="EN53" i="15"/>
  <c r="EJ53" i="15"/>
  <c r="EL53" i="15"/>
  <c r="EI55" i="15"/>
  <c r="DX45" i="15" l="1"/>
  <c r="DR44" i="15"/>
  <c r="DS53" i="15"/>
  <c r="EA56" i="15"/>
  <c r="EB56" i="15" s="1"/>
  <c r="JV70" i="10"/>
  <c r="G36" i="20" s="1"/>
  <c r="JU71" i="10"/>
  <c r="F37" i="20" s="1"/>
  <c r="DD45" i="15"/>
  <c r="DE45" i="15"/>
  <c r="JU72" i="10"/>
  <c r="JR72" i="10"/>
  <c r="C38" i="20" s="1"/>
  <c r="JT72" i="10"/>
  <c r="E38" i="20" s="1"/>
  <c r="JS72" i="10"/>
  <c r="D38" i="20" s="1"/>
  <c r="AW46" i="15"/>
  <c r="AX46" i="15"/>
  <c r="AW54" i="17"/>
  <c r="AX54" i="17"/>
  <c r="EF55" i="15"/>
  <c r="EL54" i="15"/>
  <c r="EM55" i="15"/>
  <c r="EN55" i="15"/>
  <c r="EP55" i="15"/>
  <c r="EG55" i="15"/>
  <c r="FM55" i="15"/>
  <c r="EK54" i="15"/>
  <c r="EQ54" i="15"/>
  <c r="EM54" i="15"/>
  <c r="EH55" i="15"/>
  <c r="EE55" i="15"/>
  <c r="EJ55" i="15"/>
  <c r="EQ55" i="15"/>
  <c r="ED55" i="15"/>
  <c r="FM54" i="15"/>
  <c r="EL55" i="15"/>
  <c r="FM56" i="15"/>
  <c r="DS54" i="15" l="1"/>
  <c r="DT54" i="15" s="1"/>
  <c r="DS55" i="15"/>
  <c r="DT55" i="15" s="1"/>
  <c r="DT53" i="15"/>
  <c r="DR45" i="15"/>
  <c r="DX58" i="15"/>
  <c r="EA58" i="15" s="1"/>
  <c r="EB58" i="15" s="1"/>
  <c r="DX57" i="15"/>
  <c r="EA57" i="15" s="1"/>
  <c r="EB57" i="15" s="1"/>
  <c r="DX47" i="15"/>
  <c r="EA47" i="15" s="1"/>
  <c r="EB47" i="15" s="1"/>
  <c r="F38" i="20"/>
  <c r="JV71" i="10"/>
  <c r="G37" i="20" s="1"/>
  <c r="DD46" i="15"/>
  <c r="DE46" i="15"/>
  <c r="JU73" i="10"/>
  <c r="JR73" i="10"/>
  <c r="C39" i="20" s="1"/>
  <c r="JS73" i="10"/>
  <c r="D39" i="20" s="1"/>
  <c r="JT73" i="10"/>
  <c r="E39" i="20" s="1"/>
  <c r="AW47" i="15"/>
  <c r="AX47" i="15"/>
  <c r="AW55" i="17"/>
  <c r="AX55" i="17"/>
  <c r="ED56" i="15"/>
  <c r="EN56" i="15"/>
  <c r="EM56" i="15"/>
  <c r="FM57" i="15"/>
  <c r="EE57" i="15"/>
  <c r="EK58" i="15"/>
  <c r="EJ58" i="15"/>
  <c r="EQ57" i="15"/>
  <c r="EL56" i="15"/>
  <c r="EH56" i="15"/>
  <c r="EO56" i="15"/>
  <c r="EM47" i="15"/>
  <c r="EJ56" i="15"/>
  <c r="EF57" i="15"/>
  <c r="EK56" i="15"/>
  <c r="EQ58" i="15"/>
  <c r="ED57" i="15"/>
  <c r="EF56" i="15"/>
  <c r="EG56" i="15"/>
  <c r="EE56" i="15"/>
  <c r="EP47" i="15"/>
  <c r="EQ56" i="15"/>
  <c r="FM58" i="15"/>
  <c r="EP56" i="15"/>
  <c r="EI56" i="15"/>
  <c r="EN57" i="15"/>
  <c r="DS56" i="15" l="1"/>
  <c r="DT56" i="15" s="1"/>
  <c r="DR46" i="15"/>
  <c r="DX60" i="15"/>
  <c r="EA60" i="15" s="1"/>
  <c r="EB60" i="15" s="1"/>
  <c r="DX59" i="15"/>
  <c r="EA59" i="15" s="1"/>
  <c r="EB59" i="15" s="1"/>
  <c r="DX49" i="15"/>
  <c r="EA49" i="15" s="1"/>
  <c r="EB49" i="15" s="1"/>
  <c r="DX48" i="15"/>
  <c r="EA48" i="15" s="1"/>
  <c r="EB48" i="15" s="1"/>
  <c r="JV72" i="10"/>
  <c r="G38" i="20" s="1"/>
  <c r="DX61" i="15"/>
  <c r="F39" i="20"/>
  <c r="DD47" i="15"/>
  <c r="DE47" i="15"/>
  <c r="JU74" i="10"/>
  <c r="JR74" i="10"/>
  <c r="C40" i="20" s="1"/>
  <c r="JS74" i="10"/>
  <c r="D40" i="20" s="1"/>
  <c r="JT74" i="10"/>
  <c r="E40" i="20" s="1"/>
  <c r="AW48" i="15"/>
  <c r="AX48" i="15"/>
  <c r="AW56" i="17"/>
  <c r="AX56" i="17"/>
  <c r="EL57" i="15"/>
  <c r="EP57" i="15"/>
  <c r="EG47" i="15"/>
  <c r="EI58" i="15"/>
  <c r="EL47" i="15"/>
  <c r="ED58" i="15"/>
  <c r="EF47" i="15"/>
  <c r="EQ47" i="15"/>
  <c r="EL58" i="15"/>
  <c r="EL48" i="15"/>
  <c r="EP49" i="15"/>
  <c r="EN48" i="15"/>
  <c r="EN49" i="15"/>
  <c r="EQ48" i="15"/>
  <c r="ED47" i="15"/>
  <c r="EO48" i="15"/>
  <c r="EE47" i="15"/>
  <c r="EI49" i="15"/>
  <c r="EF49" i="15"/>
  <c r="EH59" i="15"/>
  <c r="EG48" i="15"/>
  <c r="EM48" i="15"/>
  <c r="EJ48" i="15"/>
  <c r="EO58" i="15"/>
  <c r="EJ57" i="15"/>
  <c r="EP58" i="15"/>
  <c r="EO47" i="15"/>
  <c r="EI57" i="15"/>
  <c r="EK57" i="15"/>
  <c r="EN58" i="15"/>
  <c r="FM47" i="15"/>
  <c r="EI48" i="15"/>
  <c r="EI47" i="15"/>
  <c r="ED48" i="15"/>
  <c r="EK47" i="15"/>
  <c r="EG58" i="15"/>
  <c r="EM49" i="15"/>
  <c r="EQ49" i="15"/>
  <c r="EE48" i="15"/>
  <c r="EN59" i="15"/>
  <c r="EO57" i="15"/>
  <c r="EH48" i="15"/>
  <c r="FM48" i="15"/>
  <c r="ED49" i="15"/>
  <c r="EM60" i="15"/>
  <c r="EP48" i="15"/>
  <c r="EK48" i="15"/>
  <c r="EM57" i="15"/>
  <c r="EE49" i="15"/>
  <c r="EK49" i="15"/>
  <c r="EH58" i="15"/>
  <c r="EF48" i="15"/>
  <c r="EH60" i="15"/>
  <c r="EO49" i="15"/>
  <c r="FM49" i="15"/>
  <c r="EN47" i="15"/>
  <c r="EM58" i="15"/>
  <c r="EJ49" i="15"/>
  <c r="EG57" i="15"/>
  <c r="EF58" i="15"/>
  <c r="EJ47" i="15"/>
  <c r="EH47" i="15"/>
  <c r="EE58" i="15"/>
  <c r="EI59" i="15"/>
  <c r="EH57" i="15"/>
  <c r="EH49" i="15"/>
  <c r="EG49" i="15"/>
  <c r="DS57" i="15" l="1"/>
  <c r="DT57" i="15" s="1"/>
  <c r="DS47" i="15"/>
  <c r="JW74" i="10" s="1"/>
  <c r="H40" i="20" s="1"/>
  <c r="DS48" i="15"/>
  <c r="JW75" i="10" s="1"/>
  <c r="H41" i="20" s="1"/>
  <c r="DR47" i="15"/>
  <c r="DS58" i="15"/>
  <c r="JV73" i="10"/>
  <c r="G39" i="20" s="1"/>
  <c r="EA61" i="15"/>
  <c r="EB61" i="15" s="1"/>
  <c r="F40" i="20"/>
  <c r="DD48" i="15"/>
  <c r="DE48" i="15"/>
  <c r="JU75" i="10"/>
  <c r="JR75" i="10"/>
  <c r="C41" i="20" s="1"/>
  <c r="JT75" i="10"/>
  <c r="E41" i="20" s="1"/>
  <c r="JS75" i="10"/>
  <c r="D41" i="20" s="1"/>
  <c r="AW49" i="15"/>
  <c r="AX49" i="15"/>
  <c r="AX57" i="17"/>
  <c r="AW57" i="17"/>
  <c r="EL49" i="15"/>
  <c r="ED59" i="15"/>
  <c r="FM59" i="15"/>
  <c r="EJ60" i="15"/>
  <c r="ED60" i="15"/>
  <c r="ED61" i="15"/>
  <c r="EK59" i="15"/>
  <c r="EL60" i="15"/>
  <c r="EQ59" i="15"/>
  <c r="EG59" i="15"/>
  <c r="EQ60" i="15"/>
  <c r="EF59" i="15"/>
  <c r="FM60" i="15"/>
  <c r="EJ59" i="15"/>
  <c r="EF60" i="15"/>
  <c r="EK60" i="15"/>
  <c r="EG60" i="15"/>
  <c r="EL59" i="15"/>
  <c r="EP59" i="15"/>
  <c r="EO59" i="15"/>
  <c r="EM59" i="15"/>
  <c r="EN60" i="15"/>
  <c r="EE59" i="15"/>
  <c r="EP60" i="15"/>
  <c r="EI60" i="15"/>
  <c r="EO60" i="15"/>
  <c r="EE60" i="15"/>
  <c r="DS49" i="15" l="1"/>
  <c r="DS60" i="15"/>
  <c r="DT60" i="15" s="1"/>
  <c r="DS59" i="15"/>
  <c r="DT59" i="15" s="1"/>
  <c r="DT58" i="15"/>
  <c r="DT47" i="15"/>
  <c r="JX74" i="10" s="1"/>
  <c r="I40" i="20" s="1"/>
  <c r="DT49" i="15"/>
  <c r="JX76" i="10" s="1"/>
  <c r="I42" i="20" s="1"/>
  <c r="DR48" i="15"/>
  <c r="DT48" i="15"/>
  <c r="JX75" i="10" s="1"/>
  <c r="I41" i="20" s="1"/>
  <c r="DX63" i="15"/>
  <c r="EA63" i="15" s="1"/>
  <c r="EB63" i="15" s="1"/>
  <c r="DX62" i="15"/>
  <c r="EA62" i="15" s="1"/>
  <c r="EB62" i="15" s="1"/>
  <c r="JV74" i="10"/>
  <c r="G40" i="20" s="1"/>
  <c r="DX64" i="15"/>
  <c r="F41" i="20"/>
  <c r="DD49" i="15"/>
  <c r="DE49" i="15"/>
  <c r="JU76" i="10"/>
  <c r="JW76" i="10"/>
  <c r="H42" i="20" s="1"/>
  <c r="JR76" i="10"/>
  <c r="C42" i="20" s="1"/>
  <c r="JS76" i="10"/>
  <c r="D42" i="20" s="1"/>
  <c r="JT76" i="10"/>
  <c r="E42" i="20" s="1"/>
  <c r="AX50" i="15"/>
  <c r="AW50" i="15"/>
  <c r="AX58" i="17"/>
  <c r="AW58" i="17"/>
  <c r="EJ61" i="15"/>
  <c r="EF61" i="15"/>
  <c r="FM61" i="15"/>
  <c r="EE61" i="15"/>
  <c r="EP61" i="15"/>
  <c r="EQ61" i="15"/>
  <c r="EH61" i="15"/>
  <c r="EG61" i="15"/>
  <c r="EL61" i="15"/>
  <c r="EK61" i="15"/>
  <c r="EO61" i="15"/>
  <c r="EH62" i="15"/>
  <c r="EI63" i="15"/>
  <c r="EH63" i="15"/>
  <c r="EM61" i="15"/>
  <c r="EN61" i="15"/>
  <c r="EQ63" i="15"/>
  <c r="EJ62" i="15"/>
  <c r="EI61" i="15"/>
  <c r="EF62" i="15"/>
  <c r="EG63" i="15"/>
  <c r="DS61" i="15" l="1"/>
  <c r="DT61" i="15" s="1"/>
  <c r="DU47" i="15"/>
  <c r="DV47" i="15" s="1"/>
  <c r="JZ74" i="10" s="1"/>
  <c r="K40" i="20" s="1"/>
  <c r="DR49" i="15"/>
  <c r="DU49" i="15" s="1"/>
  <c r="DV49" i="15" s="1"/>
  <c r="JZ76" i="10" s="1"/>
  <c r="K42" i="20" s="1"/>
  <c r="DU48" i="15"/>
  <c r="JV75" i="10"/>
  <c r="G41" i="20" s="1"/>
  <c r="EA64" i="15"/>
  <c r="EB64" i="15" s="1"/>
  <c r="F42" i="20"/>
  <c r="DD50" i="15"/>
  <c r="DE50" i="15"/>
  <c r="JU77" i="10"/>
  <c r="JX77" i="10"/>
  <c r="I43" i="20" s="1"/>
  <c r="JR77" i="10"/>
  <c r="C43" i="20" s="1"/>
  <c r="JT77" i="10"/>
  <c r="E43" i="20" s="1"/>
  <c r="JS77" i="10"/>
  <c r="D43" i="20" s="1"/>
  <c r="JW77" i="10"/>
  <c r="H43" i="20" s="1"/>
  <c r="AX51" i="15"/>
  <c r="AW51" i="15"/>
  <c r="AX59" i="17"/>
  <c r="AW59" i="17"/>
  <c r="ED62" i="15"/>
  <c r="EP62" i="15"/>
  <c r="EQ62" i="15"/>
  <c r="ED63" i="15"/>
  <c r="EE62" i="15"/>
  <c r="FM62" i="15"/>
  <c r="EG64" i="15"/>
  <c r="EL64" i="15"/>
  <c r="EK62" i="15"/>
  <c r="EF63" i="15"/>
  <c r="EO62" i="15"/>
  <c r="EE63" i="15"/>
  <c r="EN63" i="15"/>
  <c r="EG62" i="15"/>
  <c r="EM62" i="15"/>
  <c r="EJ63" i="15"/>
  <c r="EL62" i="15"/>
  <c r="EI62" i="15"/>
  <c r="EL63" i="15"/>
  <c r="EN62" i="15"/>
  <c r="EM63" i="15"/>
  <c r="FM63" i="15"/>
  <c r="EO63" i="15"/>
  <c r="EK63" i="15"/>
  <c r="EP63" i="15"/>
  <c r="EE64" i="15"/>
  <c r="DR50" i="15" l="1"/>
  <c r="DU50" i="15" s="1"/>
  <c r="DV50" i="15" s="1"/>
  <c r="JZ77" i="10" s="1"/>
  <c r="K43" i="20" s="1"/>
  <c r="DS63" i="15"/>
  <c r="DT63" i="15" s="1"/>
  <c r="DS62" i="15"/>
  <c r="DT62" i="15" s="1"/>
  <c r="JY74" i="10"/>
  <c r="KD74" i="10" s="1"/>
  <c r="JY76" i="10"/>
  <c r="KD76" i="10" s="1"/>
  <c r="DV48" i="15"/>
  <c r="JZ75" i="10" s="1"/>
  <c r="K41" i="20" s="1"/>
  <c r="JY75" i="10"/>
  <c r="DX66" i="15"/>
  <c r="EA66" i="15" s="1"/>
  <c r="EB66" i="15" s="1"/>
  <c r="DX65" i="15"/>
  <c r="EA65" i="15" s="1"/>
  <c r="EB65" i="15" s="1"/>
  <c r="JV76" i="10"/>
  <c r="G42" i="20" s="1"/>
  <c r="F43" i="20"/>
  <c r="DD51" i="15"/>
  <c r="DE51" i="15"/>
  <c r="JU78" i="10"/>
  <c r="JW78" i="10"/>
  <c r="H44" i="20" s="1"/>
  <c r="JX78" i="10"/>
  <c r="I44" i="20" s="1"/>
  <c r="JR78" i="10"/>
  <c r="C44" i="20" s="1"/>
  <c r="JS78" i="10"/>
  <c r="D44" i="20" s="1"/>
  <c r="JT78" i="10"/>
  <c r="E44" i="20" s="1"/>
  <c r="AX52" i="15"/>
  <c r="AW52" i="15"/>
  <c r="AW60" i="17"/>
  <c r="AX60" i="17"/>
  <c r="EQ64" i="15"/>
  <c r="FM66" i="15"/>
  <c r="EK64" i="15"/>
  <c r="EF66" i="15"/>
  <c r="EG66" i="15"/>
  <c r="EI64" i="15"/>
  <c r="KG76" i="10"/>
  <c r="KG74" i="10"/>
  <c r="EE66" i="15"/>
  <c r="EO64" i="15"/>
  <c r="FM64" i="15"/>
  <c r="ED64" i="15"/>
  <c r="EI66" i="15"/>
  <c r="EJ66" i="15"/>
  <c r="EP64" i="15"/>
  <c r="EM66" i="15"/>
  <c r="EJ64" i="15"/>
  <c r="EH64" i="15"/>
  <c r="EF64" i="15"/>
  <c r="EH66" i="15"/>
  <c r="EQ66" i="15"/>
  <c r="EP66" i="15"/>
  <c r="ED66" i="15"/>
  <c r="EK66" i="15"/>
  <c r="EL66" i="15"/>
  <c r="EM64" i="15"/>
  <c r="EN64" i="15"/>
  <c r="EL65" i="15"/>
  <c r="EN66" i="15"/>
  <c r="EO66" i="15"/>
  <c r="JY77" i="10" l="1"/>
  <c r="KD77" i="10" s="1"/>
  <c r="DS64" i="15"/>
  <c r="DT64" i="15" s="1"/>
  <c r="DR51" i="15"/>
  <c r="DU51" i="15" s="1"/>
  <c r="DV51" i="15" s="1"/>
  <c r="JZ78" i="10" s="1"/>
  <c r="K44" i="20" s="1"/>
  <c r="J40" i="20"/>
  <c r="J42" i="20"/>
  <c r="J41" i="20"/>
  <c r="KD75" i="10"/>
  <c r="JV77" i="10"/>
  <c r="G43" i="20" s="1"/>
  <c r="DS66" i="15"/>
  <c r="F44" i="20"/>
  <c r="DD52" i="15"/>
  <c r="DE52" i="15"/>
  <c r="JU79" i="10"/>
  <c r="JX79" i="10"/>
  <c r="I45" i="20" s="1"/>
  <c r="JW79" i="10"/>
  <c r="H45" i="20" s="1"/>
  <c r="JR79" i="10"/>
  <c r="C45" i="20" s="1"/>
  <c r="JS79" i="10"/>
  <c r="D45" i="20" s="1"/>
  <c r="JT79" i="10"/>
  <c r="E45" i="20" s="1"/>
  <c r="AW53" i="15"/>
  <c r="AX53" i="15"/>
  <c r="AX61" i="17"/>
  <c r="AW61" i="17"/>
  <c r="KJ74" i="10"/>
  <c r="EI65" i="15"/>
  <c r="EJ65" i="15"/>
  <c r="EF65" i="15"/>
  <c r="EE65" i="15"/>
  <c r="EM65" i="15"/>
  <c r="EH65" i="15"/>
  <c r="FM65" i="15"/>
  <c r="KG75" i="10"/>
  <c r="EQ65" i="15"/>
  <c r="EG65" i="15"/>
  <c r="EO65" i="15"/>
  <c r="ED65" i="15"/>
  <c r="KG77" i="10"/>
  <c r="EK65" i="15"/>
  <c r="EP65" i="15"/>
  <c r="EN65" i="15"/>
  <c r="KJ76" i="10"/>
  <c r="JY78" i="10" l="1"/>
  <c r="J44" i="20" s="1"/>
  <c r="J43" i="20"/>
  <c r="DS65" i="15"/>
  <c r="DT65" i="15" s="1"/>
  <c r="DR52" i="15"/>
  <c r="DU52" i="15" s="1"/>
  <c r="DV52" i="15" s="1"/>
  <c r="JZ79" i="10" s="1"/>
  <c r="K45" i="20" s="1"/>
  <c r="LC74" i="10"/>
  <c r="LF74" i="10" s="1"/>
  <c r="LC76" i="10"/>
  <c r="LF76" i="10" s="1"/>
  <c r="JV78" i="10"/>
  <c r="G44" i="20" s="1"/>
  <c r="DT66" i="15"/>
  <c r="F45" i="20"/>
  <c r="DD53" i="15"/>
  <c r="DE53" i="15"/>
  <c r="JU80" i="10"/>
  <c r="JW80" i="10"/>
  <c r="H46" i="20" s="1"/>
  <c r="JX80" i="10"/>
  <c r="I46" i="20" s="1"/>
  <c r="JR80" i="10"/>
  <c r="C46" i="20" s="1"/>
  <c r="JT80" i="10"/>
  <c r="E46" i="20" s="1"/>
  <c r="JS80" i="10"/>
  <c r="D46" i="20" s="1"/>
  <c r="AX54" i="15"/>
  <c r="AW54" i="15"/>
  <c r="AX62" i="17"/>
  <c r="AW62" i="17"/>
  <c r="KJ77" i="10"/>
  <c r="KJ75" i="10"/>
  <c r="LC77" i="10" l="1"/>
  <c r="LF77" i="10" s="1"/>
  <c r="KD78" i="10"/>
  <c r="JY79" i="10"/>
  <c r="J45" i="20" s="1"/>
  <c r="DR53" i="15"/>
  <c r="DU53" i="15" s="1"/>
  <c r="DV53" i="15" s="1"/>
  <c r="JZ80" i="10" s="1"/>
  <c r="K46" i="20" s="1"/>
  <c r="LC75" i="10"/>
  <c r="LF75" i="10" s="1"/>
  <c r="JV79" i="10"/>
  <c r="G45" i="20" s="1"/>
  <c r="F46" i="20"/>
  <c r="DD54" i="15"/>
  <c r="DE54" i="15"/>
  <c r="JU81" i="10"/>
  <c r="JX81" i="10"/>
  <c r="I47" i="20" s="1"/>
  <c r="JW81" i="10"/>
  <c r="H47" i="20" s="1"/>
  <c r="JR81" i="10"/>
  <c r="C47" i="20" s="1"/>
  <c r="JT81" i="10"/>
  <c r="E47" i="20" s="1"/>
  <c r="JS81" i="10"/>
  <c r="D47" i="20" s="1"/>
  <c r="AX55" i="15"/>
  <c r="AW55" i="15"/>
  <c r="AW63" i="17"/>
  <c r="AX63" i="17"/>
  <c r="KG78" i="10"/>
  <c r="KD79" i="10" l="1"/>
  <c r="DR54" i="15"/>
  <c r="DU54" i="15" s="1"/>
  <c r="DV54" i="15" s="1"/>
  <c r="JZ81" i="10" s="1"/>
  <c r="K47" i="20" s="1"/>
  <c r="JY80" i="10"/>
  <c r="J46" i="20" s="1"/>
  <c r="JV80" i="10"/>
  <c r="G46" i="20" s="1"/>
  <c r="F47" i="20"/>
  <c r="DD55" i="15"/>
  <c r="DE55" i="15"/>
  <c r="JU82" i="10"/>
  <c r="JW82" i="10"/>
  <c r="H48" i="20" s="1"/>
  <c r="JX82" i="10"/>
  <c r="I48" i="20" s="1"/>
  <c r="JR82" i="10"/>
  <c r="C48" i="20" s="1"/>
  <c r="JS82" i="10"/>
  <c r="D48" i="20" s="1"/>
  <c r="JT82" i="10"/>
  <c r="E48" i="20" s="1"/>
  <c r="AX56" i="15"/>
  <c r="AW56" i="15"/>
  <c r="AX64" i="17"/>
  <c r="AW64" i="17"/>
  <c r="KG79" i="10"/>
  <c r="KJ78" i="10"/>
  <c r="LC78" i="10" l="1"/>
  <c r="LF78" i="10" s="1"/>
  <c r="JY81" i="10"/>
  <c r="J47" i="20" s="1"/>
  <c r="KD80" i="10"/>
  <c r="DR55" i="15"/>
  <c r="DU55" i="15" s="1"/>
  <c r="DV55" i="15" s="1"/>
  <c r="JZ82" i="10" s="1"/>
  <c r="K48" i="20" s="1"/>
  <c r="JV81" i="10"/>
  <c r="G47" i="20" s="1"/>
  <c r="F48" i="20"/>
  <c r="DD56" i="15"/>
  <c r="DE56" i="15"/>
  <c r="JU83" i="10"/>
  <c r="JX83" i="10"/>
  <c r="I49" i="20" s="1"/>
  <c r="JW83" i="10"/>
  <c r="H49" i="20" s="1"/>
  <c r="JR83" i="10"/>
  <c r="C49" i="20" s="1"/>
  <c r="JS83" i="10"/>
  <c r="D49" i="20" s="1"/>
  <c r="JT83" i="10"/>
  <c r="E49" i="20" s="1"/>
  <c r="AW57" i="15"/>
  <c r="AX57" i="15"/>
  <c r="AX65" i="17"/>
  <c r="AW65" i="17"/>
  <c r="KJ79" i="10"/>
  <c r="KG80" i="10"/>
  <c r="LC79" i="10" l="1"/>
  <c r="LF79" i="10" s="1"/>
  <c r="KD81" i="10"/>
  <c r="DR56" i="15"/>
  <c r="DU56" i="15" s="1"/>
  <c r="DV56" i="15" s="1"/>
  <c r="JZ83" i="10" s="1"/>
  <c r="K49" i="20" s="1"/>
  <c r="JY82" i="10"/>
  <c r="KD82" i="10" s="1"/>
  <c r="JV82" i="10"/>
  <c r="G48" i="20" s="1"/>
  <c r="F49" i="20"/>
  <c r="DD57" i="15"/>
  <c r="DE57" i="15"/>
  <c r="JU84" i="10"/>
  <c r="JR84" i="10"/>
  <c r="C50" i="20" s="1"/>
  <c r="JX84" i="10"/>
  <c r="I50" i="20" s="1"/>
  <c r="JW84" i="10"/>
  <c r="H50" i="20" s="1"/>
  <c r="JT84" i="10"/>
  <c r="E50" i="20" s="1"/>
  <c r="JS84" i="10"/>
  <c r="D50" i="20" s="1"/>
  <c r="AW58" i="15"/>
  <c r="AX58" i="15"/>
  <c r="AW66" i="17"/>
  <c r="AX66" i="17"/>
  <c r="KG82" i="10"/>
  <c r="KJ80" i="10"/>
  <c r="KG81" i="10"/>
  <c r="LC80" i="10" l="1"/>
  <c r="LF80" i="10" s="1"/>
  <c r="JY83" i="10"/>
  <c r="J49" i="20" s="1"/>
  <c r="J48" i="20"/>
  <c r="DR57" i="15"/>
  <c r="DU57" i="15" s="1"/>
  <c r="DV57" i="15" s="1"/>
  <c r="JZ84" i="10" s="1"/>
  <c r="K50" i="20" s="1"/>
  <c r="JV83" i="10"/>
  <c r="G49" i="20" s="1"/>
  <c r="F50" i="20"/>
  <c r="DD58" i="15"/>
  <c r="DE58" i="15"/>
  <c r="JU85" i="10"/>
  <c r="JX85" i="10"/>
  <c r="I51" i="20" s="1"/>
  <c r="JW85" i="10"/>
  <c r="H51" i="20" s="1"/>
  <c r="JR85" i="10"/>
  <c r="C51" i="20" s="1"/>
  <c r="JT85" i="10"/>
  <c r="E51" i="20" s="1"/>
  <c r="JS85" i="10"/>
  <c r="D51" i="20" s="1"/>
  <c r="AX59" i="15"/>
  <c r="AW59" i="15"/>
  <c r="AX67" i="17"/>
  <c r="AW67" i="17"/>
  <c r="KJ81" i="10"/>
  <c r="KJ82" i="10"/>
  <c r="LC81" i="10" l="1"/>
  <c r="LF81" i="10" s="1"/>
  <c r="LC82" i="10"/>
  <c r="LF82" i="10" s="1"/>
  <c r="JY84" i="10"/>
  <c r="J50" i="20" s="1"/>
  <c r="KD83" i="10"/>
  <c r="DR58" i="15"/>
  <c r="DU58" i="15" s="1"/>
  <c r="DV58" i="15" s="1"/>
  <c r="JZ85" i="10" s="1"/>
  <c r="K51" i="20" s="1"/>
  <c r="JV84" i="10"/>
  <c r="G50" i="20" s="1"/>
  <c r="F51" i="20"/>
  <c r="DD59" i="15"/>
  <c r="DE59" i="15"/>
  <c r="JU86" i="10"/>
  <c r="JW86" i="10"/>
  <c r="H52" i="20" s="1"/>
  <c r="JX86" i="10"/>
  <c r="I52" i="20" s="1"/>
  <c r="JR86" i="10"/>
  <c r="C52" i="20" s="1"/>
  <c r="JS86" i="10"/>
  <c r="D52" i="20" s="1"/>
  <c r="JT86" i="10"/>
  <c r="E52" i="20" s="1"/>
  <c r="AX60" i="15"/>
  <c r="AW60" i="15"/>
  <c r="AX68" i="17"/>
  <c r="AW68" i="17"/>
  <c r="KG83" i="10"/>
  <c r="JY85" i="10" l="1"/>
  <c r="J51" i="20" s="1"/>
  <c r="KD84" i="10"/>
  <c r="DR59" i="15"/>
  <c r="DU59" i="15" s="1"/>
  <c r="DV59" i="15" s="1"/>
  <c r="JZ86" i="10" s="1"/>
  <c r="K52" i="20" s="1"/>
  <c r="JV85" i="10"/>
  <c r="G51" i="20" s="1"/>
  <c r="F52" i="20"/>
  <c r="DD60" i="15"/>
  <c r="DE60" i="15"/>
  <c r="JU87" i="10"/>
  <c r="JW87" i="10"/>
  <c r="H53" i="20" s="1"/>
  <c r="JX87" i="10"/>
  <c r="I53" i="20" s="1"/>
  <c r="JR87" i="10"/>
  <c r="C53" i="20" s="1"/>
  <c r="JT87" i="10"/>
  <c r="E53" i="20" s="1"/>
  <c r="JS87" i="10"/>
  <c r="D53" i="20" s="1"/>
  <c r="AX61" i="15"/>
  <c r="AW61" i="15"/>
  <c r="AX69" i="17"/>
  <c r="AW69" i="17"/>
  <c r="KJ83" i="10"/>
  <c r="KG84" i="10"/>
  <c r="LC83" i="10" l="1"/>
  <c r="LF83" i="10" s="1"/>
  <c r="KD85" i="10"/>
  <c r="JY86" i="10"/>
  <c r="KD86" i="10" s="1"/>
  <c r="DR60" i="15"/>
  <c r="DU60" i="15" s="1"/>
  <c r="DV60" i="15" s="1"/>
  <c r="JZ87" i="10" s="1"/>
  <c r="K53" i="20" s="1"/>
  <c r="JV86" i="10"/>
  <c r="G52" i="20" s="1"/>
  <c r="F53" i="20"/>
  <c r="DD61" i="15"/>
  <c r="DE61" i="15"/>
  <c r="JU88" i="10"/>
  <c r="JW88" i="10"/>
  <c r="H54" i="20" s="1"/>
  <c r="JX88" i="10"/>
  <c r="I54" i="20" s="1"/>
  <c r="JR88" i="10"/>
  <c r="C54" i="20" s="1"/>
  <c r="JS88" i="10"/>
  <c r="D54" i="20" s="1"/>
  <c r="JT88" i="10"/>
  <c r="E54" i="20" s="1"/>
  <c r="AX62" i="15"/>
  <c r="AW62" i="15"/>
  <c r="AW70" i="17"/>
  <c r="AX70" i="17"/>
  <c r="KG85" i="10"/>
  <c r="KJ84" i="10"/>
  <c r="KG86" i="10"/>
  <c r="LC84" i="10" l="1"/>
  <c r="LF84" i="10" s="1"/>
  <c r="J52" i="20"/>
  <c r="JY87" i="10"/>
  <c r="J53" i="20" s="1"/>
  <c r="DR61" i="15"/>
  <c r="DU61" i="15" s="1"/>
  <c r="DV61" i="15" s="1"/>
  <c r="JZ88" i="10" s="1"/>
  <c r="K54" i="20" s="1"/>
  <c r="JV87" i="10"/>
  <c r="G53" i="20" s="1"/>
  <c r="F54" i="20"/>
  <c r="DD62" i="15"/>
  <c r="DE62" i="15"/>
  <c r="JX89" i="10"/>
  <c r="I55" i="20" s="1"/>
  <c r="JW89" i="10"/>
  <c r="H55" i="20" s="1"/>
  <c r="JR89" i="10"/>
  <c r="C55" i="20" s="1"/>
  <c r="JU89" i="10"/>
  <c r="JT89" i="10"/>
  <c r="E55" i="20" s="1"/>
  <c r="JS89" i="10"/>
  <c r="D55" i="20" s="1"/>
  <c r="AX63" i="15"/>
  <c r="AW63" i="15"/>
  <c r="AW71" i="17"/>
  <c r="AX71" i="17"/>
  <c r="KJ85" i="10"/>
  <c r="KJ86" i="10"/>
  <c r="LC86" i="10" l="1"/>
  <c r="LF86" i="10" s="1"/>
  <c r="LC85" i="10"/>
  <c r="LF85" i="10" s="1"/>
  <c r="JV88" i="10"/>
  <c r="G54" i="20" s="1"/>
  <c r="JY88" i="10"/>
  <c r="J54" i="20" s="1"/>
  <c r="KD87" i="10"/>
  <c r="DR62" i="15"/>
  <c r="DU62" i="15" s="1"/>
  <c r="DV62" i="15" s="1"/>
  <c r="JZ89" i="10" s="1"/>
  <c r="K55" i="20" s="1"/>
  <c r="F55" i="20"/>
  <c r="DD63" i="15"/>
  <c r="DE63" i="15"/>
  <c r="JU90" i="10"/>
  <c r="JX90" i="10"/>
  <c r="I56" i="20" s="1"/>
  <c r="JW90" i="10"/>
  <c r="H56" i="20" s="1"/>
  <c r="JR90" i="10"/>
  <c r="C56" i="20" s="1"/>
  <c r="JT90" i="10"/>
  <c r="E56" i="20" s="1"/>
  <c r="JS90" i="10"/>
  <c r="D56" i="20" s="1"/>
  <c r="AX64" i="15"/>
  <c r="AW64" i="15"/>
  <c r="AX72" i="17"/>
  <c r="AW72" i="17"/>
  <c r="KG87" i="10"/>
  <c r="DR63" i="15" l="1"/>
  <c r="DU63" i="15" s="1"/>
  <c r="DV63" i="15" s="1"/>
  <c r="JZ90" i="10" s="1"/>
  <c r="K56" i="20" s="1"/>
  <c r="JV89" i="10"/>
  <c r="G55" i="20" s="1"/>
  <c r="JY89" i="10"/>
  <c r="J55" i="20" s="1"/>
  <c r="F56" i="20"/>
  <c r="DD64" i="15"/>
  <c r="DE64" i="15"/>
  <c r="JW91" i="10"/>
  <c r="H57" i="20" s="1"/>
  <c r="JR91" i="10"/>
  <c r="C57" i="20" s="1"/>
  <c r="JX91" i="10"/>
  <c r="I57" i="20" s="1"/>
  <c r="JU91" i="10"/>
  <c r="JT91" i="10"/>
  <c r="E57" i="20" s="1"/>
  <c r="JS91" i="10"/>
  <c r="D57" i="20" s="1"/>
  <c r="AX65" i="15"/>
  <c r="AW65" i="15"/>
  <c r="AW73" i="17"/>
  <c r="AX73" i="17"/>
  <c r="KJ87" i="10"/>
  <c r="LC87" i="10" l="1"/>
  <c r="LF87" i="10" s="1"/>
  <c r="JY90" i="10"/>
  <c r="J56" i="20" s="1"/>
  <c r="JV90" i="10"/>
  <c r="G56" i="20" s="1"/>
  <c r="DR64" i="15"/>
  <c r="DU64" i="15" s="1"/>
  <c r="DV64" i="15" s="1"/>
  <c r="JZ91" i="10" s="1"/>
  <c r="K57" i="20" s="1"/>
  <c r="F57" i="20"/>
  <c r="DD65" i="15"/>
  <c r="DE65" i="15"/>
  <c r="JU92" i="10"/>
  <c r="JX92" i="10"/>
  <c r="I58" i="20" s="1"/>
  <c r="JR92" i="10"/>
  <c r="C58" i="20" s="1"/>
  <c r="JW92" i="10"/>
  <c r="H58" i="20" s="1"/>
  <c r="JT92" i="10"/>
  <c r="E58" i="20" s="1"/>
  <c r="JS92" i="10"/>
  <c r="D58" i="20" s="1"/>
  <c r="AX66" i="15"/>
  <c r="AW66" i="15"/>
  <c r="AW74" i="17"/>
  <c r="AX74" i="17"/>
  <c r="JY91" i="10" l="1"/>
  <c r="J57" i="20" s="1"/>
  <c r="DR65" i="15"/>
  <c r="DU65" i="15" s="1"/>
  <c r="DV65" i="15" s="1"/>
  <c r="JZ92" i="10" s="1"/>
  <c r="K58" i="20" s="1"/>
  <c r="JV91" i="10"/>
  <c r="G57" i="20" s="1"/>
  <c r="F58" i="20"/>
  <c r="DD66" i="15"/>
  <c r="DE66" i="15"/>
  <c r="JU93" i="10"/>
  <c r="JX93" i="10"/>
  <c r="I59" i="20" s="1"/>
  <c r="JR93" i="10"/>
  <c r="C59" i="20" s="1"/>
  <c r="JW93" i="10"/>
  <c r="H59" i="20" s="1"/>
  <c r="JS93" i="10"/>
  <c r="D59" i="20" s="1"/>
  <c r="JT93" i="10"/>
  <c r="E59" i="20" s="1"/>
  <c r="AX67" i="15"/>
  <c r="AW67" i="15"/>
  <c r="AX75" i="17"/>
  <c r="AW75" i="17"/>
  <c r="JV92" i="10" l="1"/>
  <c r="G58" i="20" s="1"/>
  <c r="JY92" i="10"/>
  <c r="J58" i="20" s="1"/>
  <c r="DR66" i="15"/>
  <c r="DU66" i="15" s="1"/>
  <c r="DV66" i="15" s="1"/>
  <c r="JZ93" i="10" s="1"/>
  <c r="K59" i="20" s="1"/>
  <c r="F59" i="20"/>
  <c r="DD67" i="15"/>
  <c r="DE67" i="15"/>
  <c r="JR94" i="10"/>
  <c r="C60" i="20" s="1"/>
  <c r="JU94" i="10"/>
  <c r="JS94" i="10"/>
  <c r="D60" i="20" s="1"/>
  <c r="JT94" i="10"/>
  <c r="E60" i="20" s="1"/>
  <c r="AX68" i="15"/>
  <c r="AW68" i="15"/>
  <c r="AX76" i="17"/>
  <c r="AW76" i="17"/>
  <c r="JY93" i="10" l="1"/>
  <c r="J59" i="20" s="1"/>
  <c r="JV93" i="10"/>
  <c r="G59" i="20" s="1"/>
  <c r="DR67" i="15"/>
  <c r="JV94" i="10" s="1"/>
  <c r="F60" i="20"/>
  <c r="DD68" i="15"/>
  <c r="DE68" i="15"/>
  <c r="JR95" i="10"/>
  <c r="C61" i="20" s="1"/>
  <c r="JU95" i="10"/>
  <c r="JT95" i="10"/>
  <c r="E61" i="20" s="1"/>
  <c r="JS95" i="10"/>
  <c r="D61" i="20" s="1"/>
  <c r="AW69" i="15"/>
  <c r="AX69" i="15"/>
  <c r="AX77" i="17"/>
  <c r="AW77" i="17"/>
  <c r="DR68" i="15" l="1"/>
  <c r="JV95" i="10" s="1"/>
  <c r="G60" i="20"/>
  <c r="F61" i="20"/>
  <c r="DD69" i="15"/>
  <c r="DE69" i="15"/>
  <c r="JU96" i="10"/>
  <c r="JR96" i="10"/>
  <c r="C62" i="20" s="1"/>
  <c r="JS96" i="10"/>
  <c r="D62" i="20" s="1"/>
  <c r="JT96" i="10"/>
  <c r="E62" i="20" s="1"/>
  <c r="AW70" i="15"/>
  <c r="AX70" i="15"/>
  <c r="AW78" i="17"/>
  <c r="AX78" i="17"/>
  <c r="DR69" i="15" l="1"/>
  <c r="JV96" i="10" s="1"/>
  <c r="G61" i="20"/>
  <c r="F62" i="20"/>
  <c r="DD70" i="15"/>
  <c r="DE70" i="15"/>
  <c r="JR97" i="10"/>
  <c r="C63" i="20" s="1"/>
  <c r="JU97" i="10"/>
  <c r="JS97" i="10"/>
  <c r="D63" i="20" s="1"/>
  <c r="JT97" i="10"/>
  <c r="E63" i="20" s="1"/>
  <c r="AW71" i="15"/>
  <c r="AX71" i="15"/>
  <c r="AX79" i="17"/>
  <c r="AW79" i="17"/>
  <c r="DR70" i="15" l="1"/>
  <c r="JV97" i="10" s="1"/>
  <c r="G62" i="20"/>
  <c r="F63" i="20"/>
  <c r="DD71" i="15"/>
  <c r="DE71" i="15"/>
  <c r="JR98" i="10"/>
  <c r="C64" i="20" s="1"/>
  <c r="JU98" i="10"/>
  <c r="JT98" i="10"/>
  <c r="E64" i="20" s="1"/>
  <c r="JS98" i="10"/>
  <c r="D64" i="20" s="1"/>
  <c r="AX72" i="15"/>
  <c r="AW72" i="15"/>
  <c r="AW80" i="17"/>
  <c r="AX80" i="17"/>
  <c r="DR71" i="15" l="1"/>
  <c r="JV98" i="10" s="1"/>
  <c r="G63" i="20"/>
  <c r="F64" i="20"/>
  <c r="DD72" i="15"/>
  <c r="DE72" i="15"/>
  <c r="JR99" i="10"/>
  <c r="C65" i="20" s="1"/>
  <c r="JU99" i="10"/>
  <c r="JS99" i="10"/>
  <c r="D65" i="20" s="1"/>
  <c r="JT99" i="10"/>
  <c r="E65" i="20" s="1"/>
  <c r="AX73" i="15"/>
  <c r="AW73" i="15"/>
  <c r="AX81" i="17"/>
  <c r="AW81" i="17"/>
  <c r="DR72" i="15" l="1"/>
  <c r="JV99" i="10" s="1"/>
  <c r="G64" i="20"/>
  <c r="F65" i="20"/>
  <c r="DD73" i="15"/>
  <c r="DE73" i="15"/>
  <c r="JU100" i="10"/>
  <c r="JR100" i="10"/>
  <c r="C66" i="20" s="1"/>
  <c r="JS100" i="10"/>
  <c r="D66" i="20" s="1"/>
  <c r="JT100" i="10"/>
  <c r="E66" i="20" s="1"/>
  <c r="AX74" i="15"/>
  <c r="AW74" i="15"/>
  <c r="AW82" i="17"/>
  <c r="AX82" i="17"/>
  <c r="DR73" i="15" l="1"/>
  <c r="JV100" i="10" s="1"/>
  <c r="G65" i="20"/>
  <c r="F66" i="20"/>
  <c r="DD74" i="15"/>
  <c r="DE74" i="15"/>
  <c r="JU101" i="10"/>
  <c r="JR101" i="10"/>
  <c r="C67" i="20" s="1"/>
  <c r="JT101" i="10"/>
  <c r="E67" i="20" s="1"/>
  <c r="JS101" i="10"/>
  <c r="D67" i="20" s="1"/>
  <c r="AX75" i="15"/>
  <c r="AW75" i="15"/>
  <c r="AW83" i="17"/>
  <c r="AX83" i="17"/>
  <c r="DR74" i="15" l="1"/>
  <c r="JV101" i="10" s="1"/>
  <c r="G66" i="20"/>
  <c r="F67" i="20"/>
  <c r="DD75" i="15"/>
  <c r="DE75" i="15"/>
  <c r="JU102" i="10"/>
  <c r="JR102" i="10"/>
  <c r="C68" i="20" s="1"/>
  <c r="JS102" i="10"/>
  <c r="D68" i="20" s="1"/>
  <c r="JT102" i="10"/>
  <c r="E68" i="20" s="1"/>
  <c r="AW76" i="15"/>
  <c r="AX76" i="15"/>
  <c r="AW84" i="17"/>
  <c r="AX84" i="17"/>
  <c r="DR75" i="15" l="1"/>
  <c r="JV102" i="10" s="1"/>
  <c r="G67" i="20"/>
  <c r="F68" i="20"/>
  <c r="DD76" i="15"/>
  <c r="DE76" i="15"/>
  <c r="JU103" i="10"/>
  <c r="JR103" i="10"/>
  <c r="C69" i="20" s="1"/>
  <c r="JS103" i="10"/>
  <c r="D69" i="20" s="1"/>
  <c r="JT103" i="10"/>
  <c r="E69" i="20" s="1"/>
  <c r="AX77" i="15"/>
  <c r="AW77" i="15"/>
  <c r="AX85" i="17"/>
  <c r="AW85" i="17"/>
  <c r="DR76" i="15" l="1"/>
  <c r="JV103" i="10" s="1"/>
  <c r="G68" i="20"/>
  <c r="F69" i="20"/>
  <c r="DD77" i="15"/>
  <c r="DE77" i="15"/>
  <c r="JR104" i="10"/>
  <c r="C70" i="20" s="1"/>
  <c r="JU104" i="10"/>
  <c r="JT104" i="10"/>
  <c r="E70" i="20" s="1"/>
  <c r="JS104" i="10"/>
  <c r="D70" i="20" s="1"/>
  <c r="AW78" i="15"/>
  <c r="AX78" i="15"/>
  <c r="AX86" i="17"/>
  <c r="AW86" i="17"/>
  <c r="DR77" i="15" l="1"/>
  <c r="JV104" i="10" s="1"/>
  <c r="G69" i="20"/>
  <c r="F70" i="20"/>
  <c r="DD78" i="15"/>
  <c r="DE78" i="15"/>
  <c r="JU105" i="10"/>
  <c r="JR105" i="10"/>
  <c r="C71" i="20" s="1"/>
  <c r="JT105" i="10"/>
  <c r="E71" i="20" s="1"/>
  <c r="JS105" i="10"/>
  <c r="D71" i="20" s="1"/>
  <c r="AX79" i="15"/>
  <c r="AW79" i="15"/>
  <c r="AW87" i="17"/>
  <c r="AX87" i="17"/>
  <c r="DR78" i="15" l="1"/>
  <c r="JV105" i="10" s="1"/>
  <c r="G70" i="20"/>
  <c r="F71" i="20"/>
  <c r="DD79" i="15"/>
  <c r="DE79" i="15"/>
  <c r="JU106" i="10"/>
  <c r="JR106" i="10"/>
  <c r="C72" i="20" s="1"/>
  <c r="JS106" i="10"/>
  <c r="D72" i="20" s="1"/>
  <c r="JT106" i="10"/>
  <c r="E72" i="20" s="1"/>
  <c r="AX80" i="15"/>
  <c r="AW80" i="15"/>
  <c r="AW88" i="17"/>
  <c r="AX88" i="17"/>
  <c r="DR79" i="15" l="1"/>
  <c r="JV106" i="10" s="1"/>
  <c r="G71" i="20"/>
  <c r="F72" i="20"/>
  <c r="DD80" i="15"/>
  <c r="DE80" i="15"/>
  <c r="JU107" i="10"/>
  <c r="JR107" i="10"/>
  <c r="C73" i="20" s="1"/>
  <c r="JT107" i="10"/>
  <c r="E73" i="20" s="1"/>
  <c r="JS107" i="10"/>
  <c r="D73" i="20" s="1"/>
  <c r="AW81" i="15"/>
  <c r="AX81" i="15"/>
  <c r="AX89" i="17"/>
  <c r="AW89" i="17"/>
  <c r="DR80" i="15" l="1"/>
  <c r="JV107" i="10" s="1"/>
  <c r="G72" i="20"/>
  <c r="F73" i="20"/>
  <c r="DD81" i="15"/>
  <c r="DE81" i="15"/>
  <c r="JU108" i="10"/>
  <c r="JR108" i="10"/>
  <c r="C74" i="20" s="1"/>
  <c r="JS108" i="10"/>
  <c r="D74" i="20" s="1"/>
  <c r="JT108" i="10"/>
  <c r="E74" i="20" s="1"/>
  <c r="AW82" i="15"/>
  <c r="AX82" i="15"/>
  <c r="AW90" i="17"/>
  <c r="AX90" i="17"/>
  <c r="DR81" i="15" l="1"/>
  <c r="JV108" i="10" s="1"/>
  <c r="G73" i="20"/>
  <c r="F74" i="20"/>
  <c r="DD82" i="15"/>
  <c r="DE82" i="15"/>
  <c r="JR109" i="10"/>
  <c r="C75" i="20" s="1"/>
  <c r="JU109" i="10"/>
  <c r="JT109" i="10"/>
  <c r="E75" i="20" s="1"/>
  <c r="JS109" i="10"/>
  <c r="D75" i="20" s="1"/>
  <c r="AX83" i="15"/>
  <c r="AW83" i="15"/>
  <c r="AW91" i="17"/>
  <c r="AX91" i="17"/>
  <c r="DR82" i="15" l="1"/>
  <c r="JV109" i="10" s="1"/>
  <c r="G74" i="20"/>
  <c r="F75" i="20"/>
  <c r="DD83" i="15"/>
  <c r="DE83" i="15"/>
  <c r="JU110" i="10"/>
  <c r="JR110" i="10"/>
  <c r="C76" i="20" s="1"/>
  <c r="JT110" i="10"/>
  <c r="E76" i="20" s="1"/>
  <c r="JS110" i="10"/>
  <c r="D76" i="20" s="1"/>
  <c r="AX84" i="15"/>
  <c r="AW84" i="15"/>
  <c r="AW92" i="17"/>
  <c r="AX92" i="17"/>
  <c r="DR83" i="15" l="1"/>
  <c r="JV110" i="10" s="1"/>
  <c r="G75" i="20"/>
  <c r="F76" i="20"/>
  <c r="DD84" i="15"/>
  <c r="DE84" i="15"/>
  <c r="JR111" i="10"/>
  <c r="C77" i="20" s="1"/>
  <c r="JU111" i="10"/>
  <c r="JT111" i="10"/>
  <c r="E77" i="20" s="1"/>
  <c r="JS111" i="10"/>
  <c r="D77" i="20" s="1"/>
  <c r="AX85" i="15"/>
  <c r="AW85" i="15"/>
  <c r="AW93" i="17"/>
  <c r="AX93" i="17"/>
  <c r="DR84" i="15" l="1"/>
  <c r="JV111" i="10" s="1"/>
  <c r="G76" i="20"/>
  <c r="F77" i="20"/>
  <c r="DD85" i="15"/>
  <c r="DE85" i="15"/>
  <c r="JR112" i="10"/>
  <c r="C78" i="20" s="1"/>
  <c r="JU112" i="10"/>
  <c r="JT112" i="10"/>
  <c r="E78" i="20" s="1"/>
  <c r="JS112" i="10"/>
  <c r="D78" i="20" s="1"/>
  <c r="AX86" i="15"/>
  <c r="AW86" i="15"/>
  <c r="AW94" i="17"/>
  <c r="AX94" i="17"/>
  <c r="DR85" i="15" l="1"/>
  <c r="JV112" i="10" s="1"/>
  <c r="G77" i="20"/>
  <c r="F78" i="20"/>
  <c r="DD86" i="15"/>
  <c r="DE86" i="15"/>
  <c r="JR113" i="10"/>
  <c r="C79" i="20" s="1"/>
  <c r="JU113" i="10"/>
  <c r="JS113" i="10"/>
  <c r="D79" i="20" s="1"/>
  <c r="JT113" i="10"/>
  <c r="E79" i="20" s="1"/>
  <c r="AX87" i="15"/>
  <c r="AW87" i="15"/>
  <c r="AW95" i="17"/>
  <c r="AX95" i="17"/>
  <c r="DR86" i="15" l="1"/>
  <c r="JV113" i="10" s="1"/>
  <c r="F79" i="20"/>
  <c r="G78" i="20"/>
  <c r="DD87" i="15"/>
  <c r="DE87" i="15"/>
  <c r="JR114" i="10"/>
  <c r="C80" i="20" s="1"/>
  <c r="JU114" i="10"/>
  <c r="JS114" i="10"/>
  <c r="D80" i="20" s="1"/>
  <c r="JT114" i="10"/>
  <c r="E80" i="20" s="1"/>
  <c r="AW88" i="15"/>
  <c r="AX88" i="15"/>
  <c r="AW96" i="17"/>
  <c r="AX96" i="17"/>
  <c r="DR87" i="15" l="1"/>
  <c r="JV114" i="10" s="1"/>
  <c r="G79" i="20"/>
  <c r="F80" i="20"/>
  <c r="DD88" i="15"/>
  <c r="DE88" i="15"/>
  <c r="JR115" i="10"/>
  <c r="C81" i="20" s="1"/>
  <c r="JU115" i="10"/>
  <c r="JT115" i="10"/>
  <c r="E81" i="20" s="1"/>
  <c r="JS115" i="10"/>
  <c r="D81" i="20" s="1"/>
  <c r="AW89" i="15"/>
  <c r="AX89" i="15"/>
  <c r="AW97" i="17"/>
  <c r="AX97" i="17"/>
  <c r="DR88" i="15" l="1"/>
  <c r="JV115" i="10" s="1"/>
  <c r="F81" i="20"/>
  <c r="G80" i="20"/>
  <c r="DD89" i="15"/>
  <c r="DE89" i="15"/>
  <c r="JU116" i="10"/>
  <c r="JZ116" i="10"/>
  <c r="K82" i="20" s="1"/>
  <c r="JX116" i="10"/>
  <c r="I82" i="20" s="1"/>
  <c r="JW116" i="10"/>
  <c r="H82" i="20" s="1"/>
  <c r="JR116" i="10"/>
  <c r="C82" i="20" s="1"/>
  <c r="JS116" i="10"/>
  <c r="D82" i="20" s="1"/>
  <c r="JT116" i="10"/>
  <c r="E82" i="20" s="1"/>
  <c r="JY116" i="10"/>
  <c r="J82" i="20" s="1"/>
  <c r="AW90" i="15"/>
  <c r="AX90" i="15"/>
  <c r="AW98" i="17"/>
  <c r="AX98" i="17"/>
  <c r="G81" i="20" l="1"/>
  <c r="F82" i="20"/>
  <c r="JV116" i="10"/>
  <c r="DD90" i="15"/>
  <c r="DE90" i="15"/>
  <c r="JU117" i="10"/>
  <c r="JW117" i="10"/>
  <c r="H83" i="20" s="1"/>
  <c r="JZ117" i="10"/>
  <c r="K83" i="20" s="1"/>
  <c r="JX117" i="10"/>
  <c r="I83" i="20" s="1"/>
  <c r="JR117" i="10"/>
  <c r="C83" i="20" s="1"/>
  <c r="JY117" i="10"/>
  <c r="J83" i="20" s="1"/>
  <c r="JT117" i="10"/>
  <c r="E83" i="20" s="1"/>
  <c r="JS117" i="10"/>
  <c r="D83" i="20" s="1"/>
  <c r="AX91" i="15"/>
  <c r="AW91" i="15"/>
  <c r="AX99" i="17"/>
  <c r="AW99" i="17"/>
  <c r="G82" i="20" l="1"/>
  <c r="F83" i="20"/>
  <c r="JV117" i="10"/>
  <c r="DD91" i="15"/>
  <c r="DE91" i="15"/>
  <c r="JZ118" i="10"/>
  <c r="K84" i="20" s="1"/>
  <c r="JW118" i="10"/>
  <c r="H84" i="20" s="1"/>
  <c r="JX118" i="10"/>
  <c r="I84" i="20" s="1"/>
  <c r="JU118" i="10"/>
  <c r="JR118" i="10"/>
  <c r="C84" i="20" s="1"/>
  <c r="JY118" i="10"/>
  <c r="J84" i="20" s="1"/>
  <c r="JS118" i="10"/>
  <c r="D84" i="20" s="1"/>
  <c r="JT118" i="10"/>
  <c r="E84" i="20" s="1"/>
  <c r="AW92" i="15"/>
  <c r="AX92" i="15"/>
  <c r="AW100" i="17"/>
  <c r="AX100" i="17"/>
  <c r="G83" i="20" l="1"/>
  <c r="F84" i="20"/>
  <c r="JV118" i="10"/>
  <c r="DD92" i="15"/>
  <c r="DE92" i="15"/>
  <c r="JX119" i="10"/>
  <c r="I85" i="20" s="1"/>
  <c r="JW119" i="10"/>
  <c r="H85" i="20" s="1"/>
  <c r="JZ119" i="10"/>
  <c r="K85" i="20" s="1"/>
  <c r="JR119" i="10"/>
  <c r="C85" i="20" s="1"/>
  <c r="JU119" i="10"/>
  <c r="JS119" i="10"/>
  <c r="D85" i="20" s="1"/>
  <c r="JY119" i="10"/>
  <c r="J85" i="20" s="1"/>
  <c r="JT119" i="10"/>
  <c r="E85" i="20" s="1"/>
  <c r="AX93" i="15"/>
  <c r="AW93" i="15"/>
  <c r="AW101" i="17"/>
  <c r="AX101" i="17"/>
  <c r="G84" i="20" l="1"/>
  <c r="F85" i="20"/>
  <c r="JV119" i="10"/>
  <c r="DD93" i="15"/>
  <c r="DE93" i="15"/>
  <c r="JX120" i="10"/>
  <c r="I86" i="20" s="1"/>
  <c r="JZ120" i="10"/>
  <c r="K86" i="20" s="1"/>
  <c r="JW120" i="10"/>
  <c r="H86" i="20" s="1"/>
  <c r="JU120" i="10"/>
  <c r="JR120" i="10"/>
  <c r="C86" i="20" s="1"/>
  <c r="JY120" i="10"/>
  <c r="J86" i="20" s="1"/>
  <c r="JT120" i="10"/>
  <c r="E86" i="20" s="1"/>
  <c r="JS120" i="10"/>
  <c r="D86" i="20" s="1"/>
  <c r="AW94" i="15"/>
  <c r="AX94" i="15"/>
  <c r="AW102" i="17"/>
  <c r="AX102" i="17"/>
  <c r="F86" i="20" l="1"/>
  <c r="JV120" i="10"/>
  <c r="G85" i="20"/>
  <c r="DD94" i="15"/>
  <c r="DE94" i="15"/>
  <c r="JU121" i="10"/>
  <c r="JW121" i="10"/>
  <c r="H87" i="20" s="1"/>
  <c r="JX121" i="10"/>
  <c r="I87" i="20" s="1"/>
  <c r="JZ121" i="10"/>
  <c r="K87" i="20" s="1"/>
  <c r="JR121" i="10"/>
  <c r="C87" i="20" s="1"/>
  <c r="JT121" i="10"/>
  <c r="E87" i="20" s="1"/>
  <c r="JS121" i="10"/>
  <c r="D87" i="20" s="1"/>
  <c r="JY121" i="10"/>
  <c r="J87" i="20" s="1"/>
  <c r="AX95" i="15"/>
  <c r="AW95" i="15"/>
  <c r="AW103" i="17"/>
  <c r="AX103" i="17"/>
  <c r="G86" i="20" l="1"/>
  <c r="F87" i="20"/>
  <c r="JV121" i="10"/>
  <c r="DD95" i="15"/>
  <c r="DE95" i="15"/>
  <c r="JU122" i="10"/>
  <c r="JX122" i="10"/>
  <c r="I88" i="20" s="1"/>
  <c r="JW122" i="10"/>
  <c r="H88" i="20" s="1"/>
  <c r="JZ122" i="10"/>
  <c r="K88" i="20" s="1"/>
  <c r="JR122" i="10"/>
  <c r="C88" i="20" s="1"/>
  <c r="JT122" i="10"/>
  <c r="E88" i="20" s="1"/>
  <c r="JS122" i="10"/>
  <c r="D88" i="20" s="1"/>
  <c r="JY122" i="10"/>
  <c r="J88" i="20" s="1"/>
  <c r="AX96" i="15"/>
  <c r="AW96" i="15"/>
  <c r="AW104" i="17"/>
  <c r="AX104" i="17"/>
  <c r="G87" i="20" l="1"/>
  <c r="F88" i="20"/>
  <c r="JV122" i="10"/>
  <c r="DD96" i="15"/>
  <c r="DE96" i="15"/>
  <c r="JU123" i="10"/>
  <c r="JR123" i="10"/>
  <c r="C89" i="20" s="1"/>
  <c r="JX123" i="10"/>
  <c r="I89" i="20" s="1"/>
  <c r="JZ123" i="10"/>
  <c r="K89" i="20" s="1"/>
  <c r="JY123" i="10"/>
  <c r="J89" i="20" s="1"/>
  <c r="JS123" i="10"/>
  <c r="D89" i="20" s="1"/>
  <c r="JW123" i="10"/>
  <c r="H89" i="20" s="1"/>
  <c r="JT123" i="10"/>
  <c r="E89" i="20" s="1"/>
  <c r="AX97" i="15"/>
  <c r="AW97" i="15"/>
  <c r="AW105" i="17"/>
  <c r="AX105" i="17"/>
  <c r="G88" i="20" l="1"/>
  <c r="F89" i="20"/>
  <c r="JV123" i="10"/>
  <c r="DD97" i="15"/>
  <c r="DE97" i="15"/>
  <c r="JZ124" i="10"/>
  <c r="K90" i="20" s="1"/>
  <c r="JW124" i="10"/>
  <c r="H90" i="20" s="1"/>
  <c r="JX124" i="10"/>
  <c r="I90" i="20" s="1"/>
  <c r="JR124" i="10"/>
  <c r="C90" i="20" s="1"/>
  <c r="JU124" i="10"/>
  <c r="JT124" i="10"/>
  <c r="E90" i="20" s="1"/>
  <c r="JS124" i="10"/>
  <c r="D90" i="20" s="1"/>
  <c r="JY124" i="10"/>
  <c r="J90" i="20" s="1"/>
  <c r="AW98" i="15"/>
  <c r="AX98" i="15"/>
  <c r="AW106" i="17"/>
  <c r="AX106" i="17"/>
  <c r="G89" i="20" l="1"/>
  <c r="F90" i="20"/>
  <c r="JV124" i="10"/>
  <c r="DD98" i="15"/>
  <c r="DE98" i="15"/>
  <c r="JU125" i="10"/>
  <c r="JW125" i="10"/>
  <c r="H91" i="20" s="1"/>
  <c r="JR125" i="10"/>
  <c r="C91" i="20" s="1"/>
  <c r="JZ125" i="10"/>
  <c r="K91" i="20" s="1"/>
  <c r="JX125" i="10"/>
  <c r="I91" i="20" s="1"/>
  <c r="JS125" i="10"/>
  <c r="D91" i="20" s="1"/>
  <c r="JT125" i="10"/>
  <c r="E91" i="20" s="1"/>
  <c r="JY125" i="10"/>
  <c r="J91" i="20" s="1"/>
  <c r="AX99" i="15"/>
  <c r="AW99" i="15"/>
  <c r="AX107" i="17"/>
  <c r="AW107" i="17"/>
  <c r="G90" i="20" l="1"/>
  <c r="F91" i="20"/>
  <c r="JV125" i="10"/>
  <c r="DD99" i="15"/>
  <c r="DE99" i="15"/>
  <c r="JX126" i="10"/>
  <c r="I92" i="20" s="1"/>
  <c r="JZ126" i="10"/>
  <c r="K92" i="20" s="1"/>
  <c r="JR126" i="10"/>
  <c r="C92" i="20" s="1"/>
  <c r="JU126" i="10"/>
  <c r="JT126" i="10"/>
  <c r="E92" i="20" s="1"/>
  <c r="JY126" i="10"/>
  <c r="J92" i="20" s="1"/>
  <c r="JW126" i="10"/>
  <c r="H92" i="20" s="1"/>
  <c r="JS126" i="10"/>
  <c r="D92" i="20" s="1"/>
  <c r="AW100" i="15"/>
  <c r="AX100" i="15"/>
  <c r="AW108" i="17"/>
  <c r="AX108" i="17"/>
  <c r="G91" i="20" l="1"/>
  <c r="F92" i="20"/>
  <c r="JV126" i="10"/>
  <c r="DD100" i="15"/>
  <c r="DE100" i="15"/>
  <c r="JX127" i="10"/>
  <c r="I93" i="20" s="1"/>
  <c r="JW127" i="10"/>
  <c r="H93" i="20" s="1"/>
  <c r="JZ127" i="10"/>
  <c r="K93" i="20" s="1"/>
  <c r="JU127" i="10"/>
  <c r="JR127" i="10"/>
  <c r="C93" i="20" s="1"/>
  <c r="JY127" i="10"/>
  <c r="J93" i="20" s="1"/>
  <c r="JS127" i="10"/>
  <c r="D93" i="20" s="1"/>
  <c r="JT127" i="10"/>
  <c r="E93" i="20" s="1"/>
  <c r="AX101" i="15"/>
  <c r="AW101" i="15"/>
  <c r="AW109" i="17"/>
  <c r="AX109" i="17"/>
  <c r="G92" i="20" l="1"/>
  <c r="F93" i="20"/>
  <c r="JV127" i="10"/>
  <c r="DD101" i="15"/>
  <c r="DE101" i="15"/>
  <c r="JU128" i="10"/>
  <c r="JX128" i="10"/>
  <c r="I94" i="20" s="1"/>
  <c r="JW128" i="10"/>
  <c r="H94" i="20" s="1"/>
  <c r="JR128" i="10"/>
  <c r="C94" i="20" s="1"/>
  <c r="JZ128" i="10"/>
  <c r="K94" i="20" s="1"/>
  <c r="JT128" i="10"/>
  <c r="E94" i="20" s="1"/>
  <c r="JS128" i="10"/>
  <c r="D94" i="20" s="1"/>
  <c r="JY128" i="10"/>
  <c r="J94" i="20" s="1"/>
  <c r="AW102" i="15"/>
  <c r="AX102" i="15"/>
  <c r="AW110" i="17"/>
  <c r="AX110" i="17"/>
  <c r="G93" i="20" l="1"/>
  <c r="F94" i="20"/>
  <c r="JV128" i="10"/>
  <c r="DD102" i="15"/>
  <c r="DE102" i="15"/>
  <c r="JU129" i="10"/>
  <c r="JW129" i="10"/>
  <c r="H95" i="20" s="1"/>
  <c r="JX129" i="10"/>
  <c r="I95" i="20" s="1"/>
  <c r="JZ129" i="10"/>
  <c r="K95" i="20" s="1"/>
  <c r="JR129" i="10"/>
  <c r="C95" i="20" s="1"/>
  <c r="JS129" i="10"/>
  <c r="D95" i="20" s="1"/>
  <c r="JT129" i="10"/>
  <c r="E95" i="20" s="1"/>
  <c r="JY129" i="10"/>
  <c r="J95" i="20" s="1"/>
  <c r="AW103" i="15"/>
  <c r="AX103" i="15"/>
  <c r="AW111" i="17"/>
  <c r="AX111" i="17"/>
  <c r="G94" i="20" l="1"/>
  <c r="F95" i="20"/>
  <c r="JV129" i="10"/>
  <c r="DD103" i="15"/>
  <c r="DE103" i="15"/>
  <c r="JU130" i="10"/>
  <c r="JW130" i="10"/>
  <c r="H96" i="20" s="1"/>
  <c r="JX130" i="10"/>
  <c r="I96" i="20" s="1"/>
  <c r="JR130" i="10"/>
  <c r="C96" i="20" s="1"/>
  <c r="JZ130" i="10"/>
  <c r="K96" i="20" s="1"/>
  <c r="JT130" i="10"/>
  <c r="E96" i="20" s="1"/>
  <c r="JS130" i="10"/>
  <c r="D96" i="20" s="1"/>
  <c r="JY130" i="10"/>
  <c r="J96" i="20" s="1"/>
  <c r="AW104" i="15"/>
  <c r="AX104" i="15"/>
  <c r="AW112" i="17"/>
  <c r="AX112" i="17"/>
  <c r="G95" i="20" l="1"/>
  <c r="F96" i="20"/>
  <c r="JV130" i="10"/>
  <c r="DD104" i="15"/>
  <c r="DE104" i="15"/>
  <c r="JU131" i="10"/>
  <c r="JX131" i="10"/>
  <c r="I97" i="20" s="1"/>
  <c r="JW131" i="10"/>
  <c r="H97" i="20" s="1"/>
  <c r="JR131" i="10"/>
  <c r="C97" i="20" s="1"/>
  <c r="JZ131" i="10"/>
  <c r="K97" i="20" s="1"/>
  <c r="JY131" i="10"/>
  <c r="J97" i="20" s="1"/>
  <c r="JT131" i="10"/>
  <c r="E97" i="20" s="1"/>
  <c r="JS131" i="10"/>
  <c r="D97" i="20" s="1"/>
  <c r="AW105" i="15"/>
  <c r="AX105" i="15"/>
  <c r="AX113" i="17"/>
  <c r="AW113" i="17"/>
  <c r="F97" i="20" l="1"/>
  <c r="G96" i="20"/>
  <c r="DD105" i="15"/>
  <c r="DE105" i="15"/>
  <c r="JV131" i="10"/>
  <c r="JW132" i="10"/>
  <c r="H98" i="20" s="1"/>
  <c r="JU132" i="10"/>
  <c r="JX132" i="10"/>
  <c r="I98" i="20" s="1"/>
  <c r="JR132" i="10"/>
  <c r="C98" i="20" s="1"/>
  <c r="JZ132" i="10"/>
  <c r="K98" i="20" s="1"/>
  <c r="JY132" i="10"/>
  <c r="J98" i="20" s="1"/>
  <c r="JS132" i="10"/>
  <c r="D98" i="20" s="1"/>
  <c r="JT132" i="10"/>
  <c r="E98" i="20" s="1"/>
  <c r="AX106" i="15"/>
  <c r="AW106" i="15"/>
  <c r="AW114" i="17"/>
  <c r="AX114" i="17"/>
  <c r="G97" i="20" l="1"/>
  <c r="F98" i="20"/>
  <c r="JV132" i="10"/>
  <c r="DD106" i="15"/>
  <c r="DE106" i="15"/>
  <c r="JX133" i="10"/>
  <c r="I99" i="20" s="1"/>
  <c r="JW133" i="10"/>
  <c r="H99" i="20" s="1"/>
  <c r="JZ133" i="10"/>
  <c r="K99" i="20" s="1"/>
  <c r="JR133" i="10"/>
  <c r="C99" i="20" s="1"/>
  <c r="JU133" i="10"/>
  <c r="JT133" i="10"/>
  <c r="E99" i="20" s="1"/>
  <c r="JY133" i="10"/>
  <c r="J99" i="20" s="1"/>
  <c r="JS133" i="10"/>
  <c r="D99" i="20" s="1"/>
  <c r="AX107" i="15"/>
  <c r="AW107" i="15"/>
  <c r="AW115" i="17"/>
  <c r="AX115" i="17"/>
  <c r="G98" i="20" l="1"/>
  <c r="F99" i="20"/>
  <c r="JV133" i="10"/>
  <c r="DD107" i="15"/>
  <c r="DE107" i="15"/>
  <c r="JX134" i="10"/>
  <c r="I100" i="20" s="1"/>
  <c r="JW134" i="10"/>
  <c r="H100" i="20" s="1"/>
  <c r="JZ134" i="10"/>
  <c r="K100" i="20" s="1"/>
  <c r="JR134" i="10"/>
  <c r="C100" i="20" s="1"/>
  <c r="JS134" i="10"/>
  <c r="D100" i="20" s="1"/>
  <c r="JT134" i="10"/>
  <c r="E100" i="20" s="1"/>
  <c r="JY134" i="10"/>
  <c r="J100" i="20" s="1"/>
  <c r="AX108" i="15"/>
  <c r="AW108" i="15"/>
  <c r="AW116" i="17"/>
  <c r="AX116" i="17"/>
  <c r="G99" i="20" l="1"/>
  <c r="JU134" i="10"/>
  <c r="DD108" i="15"/>
  <c r="DE108" i="15"/>
  <c r="JU135" i="10"/>
  <c r="JX135" i="10"/>
  <c r="I101" i="20" s="1"/>
  <c r="JW135" i="10"/>
  <c r="H101" i="20" s="1"/>
  <c r="JZ135" i="10"/>
  <c r="K101" i="20" s="1"/>
  <c r="JR135" i="10"/>
  <c r="C101" i="20" s="1"/>
  <c r="JS135" i="10"/>
  <c r="D101" i="20" s="1"/>
  <c r="JT135" i="10"/>
  <c r="E101" i="20" s="1"/>
  <c r="JY135" i="10"/>
  <c r="J101" i="20" s="1"/>
  <c r="AW109" i="15"/>
  <c r="AX109" i="15"/>
  <c r="AW117" i="17"/>
  <c r="AX117" i="17"/>
  <c r="F101" i="20" l="1"/>
  <c r="F100" i="20"/>
  <c r="JV134" i="10"/>
  <c r="G100" i="20" s="1"/>
  <c r="DD109" i="15"/>
  <c r="DE109" i="15"/>
  <c r="JV135" i="10"/>
  <c r="JU136" i="10"/>
  <c r="JX136" i="10"/>
  <c r="I102" i="20" s="1"/>
  <c r="JW136" i="10"/>
  <c r="H102" i="20" s="1"/>
  <c r="JZ136" i="10"/>
  <c r="K102" i="20" s="1"/>
  <c r="JR136" i="10"/>
  <c r="C102" i="20" s="1"/>
  <c r="JT136" i="10"/>
  <c r="E102" i="20" s="1"/>
  <c r="JY136" i="10"/>
  <c r="J102" i="20" s="1"/>
  <c r="JS136" i="10"/>
  <c r="D102" i="20" s="1"/>
  <c r="AX110" i="15"/>
  <c r="AW110" i="15"/>
  <c r="AW118" i="17"/>
  <c r="AX118" i="17"/>
  <c r="G101" i="20" l="1"/>
  <c r="F102" i="20"/>
  <c r="JV136" i="10"/>
  <c r="DD110" i="15"/>
  <c r="DE110" i="15"/>
  <c r="JU137" i="10"/>
  <c r="JZ137" i="10"/>
  <c r="K103" i="20" s="1"/>
  <c r="JR137" i="10"/>
  <c r="C103" i="20" s="1"/>
  <c r="JW137" i="10"/>
  <c r="H103" i="20" s="1"/>
  <c r="JX137" i="10"/>
  <c r="I103" i="20" s="1"/>
  <c r="JY137" i="10"/>
  <c r="J103" i="20" s="1"/>
  <c r="JS137" i="10"/>
  <c r="D103" i="20" s="1"/>
  <c r="JT137" i="10"/>
  <c r="E103" i="20" s="1"/>
  <c r="AW111" i="15"/>
  <c r="AX111" i="15"/>
  <c r="AW119" i="17"/>
  <c r="AX119" i="17"/>
  <c r="G102" i="20" l="1"/>
  <c r="F103" i="20"/>
  <c r="JV137" i="10"/>
  <c r="DD111" i="15"/>
  <c r="DE111" i="15"/>
  <c r="JU138" i="10"/>
  <c r="JX138" i="10"/>
  <c r="I104" i="20" s="1"/>
  <c r="JZ138" i="10"/>
  <c r="K104" i="20" s="1"/>
  <c r="JR138" i="10"/>
  <c r="C104" i="20" s="1"/>
  <c r="JW138" i="10"/>
  <c r="H104" i="20" s="1"/>
  <c r="JS138" i="10"/>
  <c r="D104" i="20" s="1"/>
  <c r="JT138" i="10"/>
  <c r="E104" i="20" s="1"/>
  <c r="JY138" i="10"/>
  <c r="J104" i="20" s="1"/>
  <c r="AX112" i="15"/>
  <c r="AW112" i="15"/>
  <c r="AW120" i="17"/>
  <c r="AX120" i="17"/>
  <c r="G103" i="20" l="1"/>
  <c r="F104" i="20"/>
  <c r="JV138" i="10"/>
  <c r="DD112" i="15"/>
  <c r="DE112" i="15"/>
  <c r="JW139" i="10"/>
  <c r="H105" i="20" s="1"/>
  <c r="JX139" i="10"/>
  <c r="I105" i="20" s="1"/>
  <c r="JZ139" i="10"/>
  <c r="K105" i="20" s="1"/>
  <c r="JU139" i="10"/>
  <c r="JR139" i="10"/>
  <c r="C105" i="20" s="1"/>
  <c r="JT139" i="10"/>
  <c r="E105" i="20" s="1"/>
  <c r="JS139" i="10"/>
  <c r="D105" i="20" s="1"/>
  <c r="JY139" i="10"/>
  <c r="J105" i="20" s="1"/>
  <c r="AW113" i="15"/>
  <c r="AX113" i="15"/>
  <c r="AX121" i="17"/>
  <c r="AW121" i="17"/>
  <c r="G104" i="20" l="1"/>
  <c r="F105" i="20"/>
  <c r="JV139" i="10"/>
  <c r="DD113" i="15"/>
  <c r="DE113" i="15"/>
  <c r="JZ140" i="10"/>
  <c r="K106" i="20" s="1"/>
  <c r="JR140" i="10"/>
  <c r="C106" i="20" s="1"/>
  <c r="JX140" i="10"/>
  <c r="I106" i="20" s="1"/>
  <c r="JU140" i="10"/>
  <c r="JT140" i="10"/>
  <c r="E106" i="20" s="1"/>
  <c r="JY140" i="10"/>
  <c r="J106" i="20" s="1"/>
  <c r="JW140" i="10"/>
  <c r="H106" i="20" s="1"/>
  <c r="JS140" i="10"/>
  <c r="D106" i="20" s="1"/>
  <c r="AX114" i="15"/>
  <c r="AW114" i="15"/>
  <c r="AX122" i="17"/>
  <c r="AW122" i="17"/>
  <c r="G105" i="20" l="1"/>
  <c r="F106" i="20"/>
  <c r="JV140" i="10"/>
  <c r="DD114" i="15"/>
  <c r="DE114" i="15"/>
  <c r="JX141" i="10"/>
  <c r="I107" i="20" s="1"/>
  <c r="JW141" i="10"/>
  <c r="H107" i="20" s="1"/>
  <c r="JZ141" i="10"/>
  <c r="K107" i="20" s="1"/>
  <c r="JR141" i="10"/>
  <c r="C107" i="20" s="1"/>
  <c r="JS141" i="10"/>
  <c r="D107" i="20" s="1"/>
  <c r="JY141" i="10"/>
  <c r="J107" i="20" s="1"/>
  <c r="JT141" i="10"/>
  <c r="E107" i="20" s="1"/>
  <c r="AW115" i="15"/>
  <c r="AX115" i="15"/>
  <c r="AX123" i="17"/>
  <c r="AW123" i="17"/>
  <c r="G106" i="20" l="1"/>
  <c r="JU141" i="10"/>
  <c r="DD115" i="15"/>
  <c r="DE115" i="15"/>
  <c r="JU142" i="10"/>
  <c r="JX142" i="10"/>
  <c r="I108" i="20" s="1"/>
  <c r="JR142" i="10"/>
  <c r="C108" i="20" s="1"/>
  <c r="JW142" i="10"/>
  <c r="H108" i="20" s="1"/>
  <c r="JZ142" i="10"/>
  <c r="K108" i="20" s="1"/>
  <c r="JY142" i="10"/>
  <c r="J108" i="20" s="1"/>
  <c r="JT142" i="10"/>
  <c r="E108" i="20" s="1"/>
  <c r="JS142" i="10"/>
  <c r="D108" i="20" s="1"/>
  <c r="AX116" i="15"/>
  <c r="AW116" i="15"/>
  <c r="AW124" i="17"/>
  <c r="AX124" i="17"/>
  <c r="F108" i="20" l="1"/>
  <c r="JV142" i="10"/>
  <c r="F107" i="20"/>
  <c r="JV141" i="10"/>
  <c r="G107" i="20" s="1"/>
  <c r="DD116" i="15"/>
  <c r="DE116" i="15"/>
  <c r="JU143" i="10"/>
  <c r="JX143" i="10"/>
  <c r="I109" i="20" s="1"/>
  <c r="JZ143" i="10"/>
  <c r="K109" i="20" s="1"/>
  <c r="JR143" i="10"/>
  <c r="C109" i="20" s="1"/>
  <c r="JW143" i="10"/>
  <c r="H109" i="20" s="1"/>
  <c r="JY143" i="10"/>
  <c r="J109" i="20" s="1"/>
  <c r="JS143" i="10"/>
  <c r="D109" i="20" s="1"/>
  <c r="JT143" i="10"/>
  <c r="E109" i="20" s="1"/>
  <c r="AW117" i="15"/>
  <c r="AX117" i="15"/>
  <c r="AW125" i="17"/>
  <c r="AX125" i="17"/>
  <c r="G108" i="20" l="1"/>
  <c r="F109" i="20"/>
  <c r="JV143" i="10"/>
  <c r="DD117" i="15"/>
  <c r="DE117" i="15"/>
  <c r="JU144" i="10"/>
  <c r="JR144" i="10"/>
  <c r="C110" i="20" s="1"/>
  <c r="JX144" i="10"/>
  <c r="I110" i="20" s="1"/>
  <c r="JZ144" i="10"/>
  <c r="K110" i="20" s="1"/>
  <c r="JW144" i="10"/>
  <c r="H110" i="20" s="1"/>
  <c r="JS144" i="10"/>
  <c r="D110" i="20" s="1"/>
  <c r="JY144" i="10"/>
  <c r="J110" i="20" s="1"/>
  <c r="JT144" i="10"/>
  <c r="E110" i="20" s="1"/>
  <c r="AX118" i="15"/>
  <c r="AW118" i="15"/>
  <c r="AX126" i="17"/>
  <c r="AW126" i="17"/>
  <c r="G109" i="20" l="1"/>
  <c r="F110" i="20"/>
  <c r="JV144" i="10"/>
  <c r="DD118" i="15"/>
  <c r="DE118" i="15"/>
  <c r="JU145" i="10"/>
  <c r="JX145" i="10"/>
  <c r="I111" i="20" s="1"/>
  <c r="JZ145" i="10"/>
  <c r="K111" i="20" s="1"/>
  <c r="JR145" i="10"/>
  <c r="C111" i="20" s="1"/>
  <c r="JW145" i="10"/>
  <c r="H111" i="20" s="1"/>
  <c r="JT145" i="10"/>
  <c r="E111" i="20" s="1"/>
  <c r="JY145" i="10"/>
  <c r="J111" i="20" s="1"/>
  <c r="JS145" i="10"/>
  <c r="D111" i="20" s="1"/>
  <c r="AW119" i="15"/>
  <c r="AX119" i="15"/>
  <c r="AW127" i="17"/>
  <c r="AX127" i="17"/>
  <c r="G110" i="20" l="1"/>
  <c r="F111" i="20"/>
  <c r="JV145" i="10"/>
  <c r="DD119" i="15"/>
  <c r="DE119" i="15"/>
  <c r="JU146" i="10"/>
  <c r="JW146" i="10"/>
  <c r="H112" i="20" s="1"/>
  <c r="JR146" i="10"/>
  <c r="C112" i="20" s="1"/>
  <c r="JZ146" i="10"/>
  <c r="K112" i="20" s="1"/>
  <c r="JX146" i="10"/>
  <c r="I112" i="20" s="1"/>
  <c r="JT146" i="10"/>
  <c r="E112" i="20" s="1"/>
  <c r="JS146" i="10"/>
  <c r="D112" i="20" s="1"/>
  <c r="JY146" i="10"/>
  <c r="J112" i="20" s="1"/>
  <c r="AX120" i="15"/>
  <c r="AW120" i="15"/>
  <c r="AX128" i="17"/>
  <c r="AW128" i="17"/>
  <c r="G111" i="20" l="1"/>
  <c r="F112" i="20"/>
  <c r="JV146" i="10"/>
  <c r="DD120" i="15"/>
  <c r="DE120" i="15"/>
  <c r="JU147" i="10"/>
  <c r="JW147" i="10"/>
  <c r="H113" i="20" s="1"/>
  <c r="JR147" i="10"/>
  <c r="C113" i="20" s="1"/>
  <c r="JX147" i="10"/>
  <c r="I113" i="20" s="1"/>
  <c r="JZ147" i="10"/>
  <c r="K113" i="20" s="1"/>
  <c r="JY147" i="10"/>
  <c r="J113" i="20" s="1"/>
  <c r="JT147" i="10"/>
  <c r="E113" i="20" s="1"/>
  <c r="JS147" i="10"/>
  <c r="D113" i="20" s="1"/>
  <c r="AW121" i="15"/>
  <c r="AX121" i="15"/>
  <c r="AX129" i="17"/>
  <c r="AW129" i="17"/>
  <c r="G112" i="20" l="1"/>
  <c r="F113" i="20"/>
  <c r="JV147" i="10"/>
  <c r="DD121" i="15"/>
  <c r="DE121" i="15"/>
  <c r="JX148" i="10"/>
  <c r="I114" i="20" s="1"/>
  <c r="JU148" i="10"/>
  <c r="JR148" i="10"/>
  <c r="C114" i="20" s="1"/>
  <c r="JZ148" i="10"/>
  <c r="K114" i="20" s="1"/>
  <c r="JW148" i="10"/>
  <c r="H114" i="20" s="1"/>
  <c r="JT148" i="10"/>
  <c r="E114" i="20" s="1"/>
  <c r="JS148" i="10"/>
  <c r="D114" i="20" s="1"/>
  <c r="JY148" i="10"/>
  <c r="J114" i="20" s="1"/>
  <c r="AW122" i="15"/>
  <c r="AX122" i="15"/>
  <c r="AX130" i="17"/>
  <c r="AW130" i="17"/>
  <c r="G113" i="20" l="1"/>
  <c r="F114" i="20"/>
  <c r="JV148" i="10"/>
  <c r="DD122" i="15"/>
  <c r="DE122" i="15"/>
  <c r="JZ149" i="10"/>
  <c r="K115" i="20" s="1"/>
  <c r="JX149" i="10"/>
  <c r="I115" i="20" s="1"/>
  <c r="JW149" i="10"/>
  <c r="H115" i="20" s="1"/>
  <c r="JU149" i="10"/>
  <c r="JR149" i="10"/>
  <c r="C115" i="20" s="1"/>
  <c r="JT149" i="10"/>
  <c r="E115" i="20" s="1"/>
  <c r="JY149" i="10"/>
  <c r="J115" i="20" s="1"/>
  <c r="JS149" i="10"/>
  <c r="D115" i="20" s="1"/>
  <c r="AX123" i="15"/>
  <c r="AW123" i="15"/>
  <c r="AW131" i="17"/>
  <c r="AX131" i="17"/>
  <c r="G114" i="20" l="1"/>
  <c r="F115" i="20"/>
  <c r="JV149" i="10"/>
  <c r="DD123" i="15"/>
  <c r="DE123" i="15"/>
  <c r="JX150" i="10"/>
  <c r="I116" i="20" s="1"/>
  <c r="JZ150" i="10"/>
  <c r="K116" i="20" s="1"/>
  <c r="JR150" i="10"/>
  <c r="C116" i="20" s="1"/>
  <c r="JU150" i="10"/>
  <c r="JY150" i="10"/>
  <c r="J116" i="20" s="1"/>
  <c r="JW150" i="10"/>
  <c r="H116" i="20" s="1"/>
  <c r="JS150" i="10"/>
  <c r="D116" i="20" s="1"/>
  <c r="JT150" i="10"/>
  <c r="E116" i="20" s="1"/>
  <c r="AX124" i="15"/>
  <c r="AW124" i="15"/>
  <c r="AW132" i="17"/>
  <c r="AX132" i="17"/>
  <c r="F116" i="20" l="1"/>
  <c r="JV150" i="10"/>
  <c r="G115" i="20"/>
  <c r="DD124" i="15"/>
  <c r="DE124" i="15"/>
  <c r="JZ151" i="10"/>
  <c r="K117" i="20" s="1"/>
  <c r="JW151" i="10"/>
  <c r="H117" i="20" s="1"/>
  <c r="JX151" i="10"/>
  <c r="I117" i="20" s="1"/>
  <c r="JU151" i="10"/>
  <c r="JR151" i="10"/>
  <c r="C117" i="20" s="1"/>
  <c r="JT151" i="10"/>
  <c r="E117" i="20" s="1"/>
  <c r="JY151" i="10"/>
  <c r="J117" i="20" s="1"/>
  <c r="JS151" i="10"/>
  <c r="D117" i="20" s="1"/>
  <c r="AX125" i="15"/>
  <c r="AW125" i="15"/>
  <c r="AX133" i="17"/>
  <c r="AW133" i="17"/>
  <c r="G116" i="20" l="1"/>
  <c r="F117" i="20"/>
  <c r="JV151" i="10"/>
  <c r="DD125" i="15"/>
  <c r="DE125" i="15"/>
  <c r="JU152" i="10"/>
  <c r="JZ152" i="10"/>
  <c r="K118" i="20" s="1"/>
  <c r="JX152" i="10"/>
  <c r="I118" i="20" s="1"/>
  <c r="JR152" i="10"/>
  <c r="C118" i="20" s="1"/>
  <c r="JY152" i="10"/>
  <c r="J118" i="20" s="1"/>
  <c r="JW152" i="10"/>
  <c r="H118" i="20" s="1"/>
  <c r="JS152" i="10"/>
  <c r="D118" i="20" s="1"/>
  <c r="JT152" i="10"/>
  <c r="E118" i="20" s="1"/>
  <c r="AX126" i="15"/>
  <c r="AW126" i="15"/>
  <c r="AW134" i="17"/>
  <c r="AX134" i="17"/>
  <c r="G117" i="20" l="1"/>
  <c r="F118" i="20"/>
  <c r="JV152" i="10"/>
  <c r="DD126" i="15"/>
  <c r="DE126" i="15"/>
  <c r="JU153" i="10"/>
  <c r="JX153" i="10"/>
  <c r="I119" i="20" s="1"/>
  <c r="JW153" i="10"/>
  <c r="H119" i="20" s="1"/>
  <c r="JR153" i="10"/>
  <c r="C119" i="20" s="1"/>
  <c r="JZ153" i="10"/>
  <c r="K119" i="20" s="1"/>
  <c r="JY153" i="10"/>
  <c r="J119" i="20" s="1"/>
  <c r="JT153" i="10"/>
  <c r="E119" i="20" s="1"/>
  <c r="JS153" i="10"/>
  <c r="D119" i="20" s="1"/>
  <c r="AW127" i="15"/>
  <c r="AX127" i="15"/>
  <c r="AX135" i="17"/>
  <c r="AW135" i="17"/>
  <c r="G118" i="20" l="1"/>
  <c r="F119" i="20"/>
  <c r="JV153" i="10"/>
  <c r="DD127" i="15"/>
  <c r="DE127" i="15"/>
  <c r="JW154" i="10"/>
  <c r="H120" i="20" s="1"/>
  <c r="JX154" i="10"/>
  <c r="I120" i="20" s="1"/>
  <c r="JR154" i="10"/>
  <c r="C120" i="20" s="1"/>
  <c r="JZ154" i="10"/>
  <c r="K120" i="20" s="1"/>
  <c r="JU154" i="10"/>
  <c r="JY154" i="10"/>
  <c r="J120" i="20" s="1"/>
  <c r="JS154" i="10"/>
  <c r="D120" i="20" s="1"/>
  <c r="JT154" i="10"/>
  <c r="E120" i="20" s="1"/>
  <c r="AX128" i="15"/>
  <c r="AW128" i="15"/>
  <c r="AW136" i="17"/>
  <c r="AX136" i="17"/>
  <c r="G119" i="20" l="1"/>
  <c r="F120" i="20"/>
  <c r="JV154" i="10"/>
  <c r="DD128" i="15"/>
  <c r="DE128" i="15"/>
  <c r="JU155" i="10"/>
  <c r="JZ155" i="10"/>
  <c r="K121" i="20" s="1"/>
  <c r="JW155" i="10"/>
  <c r="H121" i="20" s="1"/>
  <c r="JX155" i="10"/>
  <c r="I121" i="20" s="1"/>
  <c r="JR155" i="10"/>
  <c r="C121" i="20" s="1"/>
  <c r="JY155" i="10"/>
  <c r="J121" i="20" s="1"/>
  <c r="JT155" i="10"/>
  <c r="E121" i="20" s="1"/>
  <c r="JS155" i="10"/>
  <c r="D121" i="20" s="1"/>
  <c r="AW129" i="15"/>
  <c r="AX129" i="15"/>
  <c r="AX137" i="17"/>
  <c r="AW137" i="17"/>
  <c r="G120" i="20" l="1"/>
  <c r="F121" i="20"/>
  <c r="JV155" i="10"/>
  <c r="DD129" i="15"/>
  <c r="DE129" i="15"/>
  <c r="JU156" i="10"/>
  <c r="JW156" i="10"/>
  <c r="H122" i="20" s="1"/>
  <c r="JR156" i="10"/>
  <c r="C122" i="20" s="1"/>
  <c r="JZ156" i="10"/>
  <c r="K122" i="20" s="1"/>
  <c r="JT156" i="10"/>
  <c r="E122" i="20" s="1"/>
  <c r="JY156" i="10"/>
  <c r="J122" i="20" s="1"/>
  <c r="JX156" i="10"/>
  <c r="I122" i="20" s="1"/>
  <c r="JS156" i="10"/>
  <c r="D122" i="20" s="1"/>
  <c r="AW130" i="15"/>
  <c r="AX130" i="15"/>
  <c r="T92" i="2"/>
  <c r="S105" i="2" s="1"/>
  <c r="T105" i="2" s="1"/>
  <c r="T116" i="2" s="1"/>
  <c r="V92" i="2"/>
  <c r="G121" i="20" l="1"/>
  <c r="F122" i="20"/>
  <c r="JV156" i="10"/>
  <c r="DD130" i="15"/>
  <c r="DE130" i="15"/>
  <c r="JU157" i="10"/>
  <c r="JW157" i="10"/>
  <c r="H123" i="20" s="1"/>
  <c r="JR157" i="10"/>
  <c r="C123" i="20" s="1"/>
  <c r="JZ157" i="10"/>
  <c r="K123" i="20" s="1"/>
  <c r="JT157" i="10"/>
  <c r="E123" i="20" s="1"/>
  <c r="JY157" i="10"/>
  <c r="J123" i="20" s="1"/>
  <c r="JX157" i="10"/>
  <c r="I123" i="20" s="1"/>
  <c r="JS157" i="10"/>
  <c r="D123" i="20" s="1"/>
  <c r="AX131" i="15"/>
  <c r="AW131" i="15"/>
  <c r="O107" i="23"/>
  <c r="N42" i="23"/>
  <c r="N43" i="23" s="1"/>
  <c r="N44" i="23" s="1"/>
  <c r="N45" i="23" s="1"/>
  <c r="N46" i="23" s="1"/>
  <c r="N107" i="23"/>
  <c r="O31" i="23"/>
  <c r="M107" i="23"/>
  <c r="T87" i="23"/>
  <c r="S100" i="23" s="1"/>
  <c r="O42" i="23"/>
  <c r="O43" i="23" s="1"/>
  <c r="O44" i="23" s="1"/>
  <c r="O45" i="23" s="1"/>
  <c r="O46" i="23" s="1"/>
  <c r="S116" i="2"/>
  <c r="R32" i="23" l="1"/>
  <c r="G122" i="20"/>
  <c r="F123" i="20"/>
  <c r="JV157" i="10"/>
  <c r="DD131" i="15"/>
  <c r="DE131" i="15"/>
  <c r="JU158" i="10"/>
  <c r="JX158" i="10"/>
  <c r="I124" i="20" s="1"/>
  <c r="JR158" i="10"/>
  <c r="C124" i="20" s="1"/>
  <c r="JZ158" i="10"/>
  <c r="K124" i="20" s="1"/>
  <c r="JW158" i="10"/>
  <c r="H124" i="20" s="1"/>
  <c r="JS158" i="10"/>
  <c r="D124" i="20" s="1"/>
  <c r="JY158" i="10"/>
  <c r="J124" i="20" s="1"/>
  <c r="JT158" i="10"/>
  <c r="E124" i="20" s="1"/>
  <c r="AW132" i="15"/>
  <c r="AX132" i="15"/>
  <c r="T100" i="23"/>
  <c r="T111" i="23" s="1"/>
  <c r="S118" i="23"/>
  <c r="T107" i="23"/>
  <c r="T118" i="23" s="1"/>
  <c r="R33" i="23"/>
  <c r="U32" i="23"/>
  <c r="V32" i="23"/>
  <c r="V41" i="23" s="1"/>
  <c r="T32" i="23"/>
  <c r="S130" i="2"/>
  <c r="S132" i="2"/>
  <c r="S131" i="2"/>
  <c r="S128" i="2"/>
  <c r="S133" i="2"/>
  <c r="S127" i="2"/>
  <c r="S129" i="2"/>
  <c r="S126" i="2"/>
  <c r="S125" i="2"/>
  <c r="F124" i="20" l="1"/>
  <c r="JV158" i="10"/>
  <c r="G123" i="20"/>
  <c r="DD132" i="15"/>
  <c r="DE132" i="15"/>
  <c r="JU159" i="10"/>
  <c r="JZ159" i="10"/>
  <c r="K125" i="20" s="1"/>
  <c r="JR159" i="10"/>
  <c r="C125" i="20" s="1"/>
  <c r="JW159" i="10"/>
  <c r="H125" i="20" s="1"/>
  <c r="JT159" i="10"/>
  <c r="E125" i="20" s="1"/>
  <c r="JY159" i="10"/>
  <c r="J125" i="20" s="1"/>
  <c r="JX159" i="10"/>
  <c r="I125" i="20" s="1"/>
  <c r="JS159" i="10"/>
  <c r="D125" i="20" s="1"/>
  <c r="AX133" i="15"/>
  <c r="AW133" i="15"/>
  <c r="S111" i="23"/>
  <c r="T41" i="23"/>
  <c r="U41" i="23"/>
  <c r="R34" i="23"/>
  <c r="V33" i="23"/>
  <c r="V42" i="23" s="1"/>
  <c r="U33" i="23"/>
  <c r="T33" i="23"/>
  <c r="T126" i="2"/>
  <c r="N126" i="2"/>
  <c r="O126" i="2" s="1"/>
  <c r="Q126" i="2" s="1"/>
  <c r="T131" i="2"/>
  <c r="N131" i="2"/>
  <c r="O131" i="2" s="1"/>
  <c r="Q131" i="2" s="1"/>
  <c r="T129" i="2"/>
  <c r="N129" i="2"/>
  <c r="O129" i="2" s="1"/>
  <c r="Q129" i="2" s="1"/>
  <c r="T127" i="2"/>
  <c r="N127" i="2"/>
  <c r="O127" i="2" s="1"/>
  <c r="Q127" i="2" s="1"/>
  <c r="N132" i="2"/>
  <c r="O132" i="2" s="1"/>
  <c r="Q132" i="2" s="1"/>
  <c r="T132" i="2"/>
  <c r="T128" i="2"/>
  <c r="N128" i="2"/>
  <c r="O128" i="2" s="1"/>
  <c r="Q128" i="2" s="1"/>
  <c r="T125" i="2"/>
  <c r="N125" i="2"/>
  <c r="O125" i="2" s="1"/>
  <c r="Q125" i="2" s="1"/>
  <c r="T133" i="2"/>
  <c r="N133" i="2"/>
  <c r="O133" i="2" s="1"/>
  <c r="Q133" i="2" s="1"/>
  <c r="T130" i="2"/>
  <c r="N130" i="2"/>
  <c r="O130" i="2" s="1"/>
  <c r="Q130" i="2" s="1"/>
  <c r="G124" i="20" l="1"/>
  <c r="F125" i="20"/>
  <c r="JV159" i="10"/>
  <c r="DD133" i="15"/>
  <c r="DE133" i="15"/>
  <c r="JU160" i="10"/>
  <c r="JW160" i="10"/>
  <c r="H126" i="20" s="1"/>
  <c r="JR160" i="10"/>
  <c r="C126" i="20" s="1"/>
  <c r="JZ160" i="10"/>
  <c r="K126" i="20" s="1"/>
  <c r="JY160" i="10"/>
  <c r="J126" i="20" s="1"/>
  <c r="JX160" i="10"/>
  <c r="I126" i="20" s="1"/>
  <c r="JT160" i="10"/>
  <c r="E126" i="20" s="1"/>
  <c r="JS160" i="10"/>
  <c r="D126" i="20" s="1"/>
  <c r="AX134" i="15"/>
  <c r="AW134" i="15"/>
  <c r="T42" i="23"/>
  <c r="U42" i="23"/>
  <c r="R35" i="23"/>
  <c r="U34" i="23"/>
  <c r="T34" i="23"/>
  <c r="V34" i="23"/>
  <c r="V43" i="23" s="1"/>
  <c r="M41" i="23"/>
  <c r="N41" i="23"/>
  <c r="S142" i="2"/>
  <c r="T142" i="2"/>
  <c r="T154" i="2" s="1"/>
  <c r="T146" i="2"/>
  <c r="T158" i="2" s="1"/>
  <c r="S146" i="2"/>
  <c r="S143" i="2"/>
  <c r="T143" i="2"/>
  <c r="T155" i="2" s="1"/>
  <c r="S145" i="2"/>
  <c r="T145" i="2"/>
  <c r="T157" i="2" s="1"/>
  <c r="T144" i="2"/>
  <c r="T156" i="2" s="1"/>
  <c r="S144" i="2"/>
  <c r="T141" i="2"/>
  <c r="T153" i="2" s="1"/>
  <c r="S141" i="2"/>
  <c r="T140" i="2"/>
  <c r="T152" i="2" s="1"/>
  <c r="S140" i="2"/>
  <c r="S147" i="2"/>
  <c r="T147" i="2"/>
  <c r="G125" i="20" l="1"/>
  <c r="F126" i="20"/>
  <c r="JV160" i="10"/>
  <c r="DD134" i="15"/>
  <c r="DE134" i="15"/>
  <c r="JW161" i="10"/>
  <c r="H127" i="20" s="1"/>
  <c r="JX161" i="10"/>
  <c r="I127" i="20" s="1"/>
  <c r="JZ161" i="10"/>
  <c r="K127" i="20" s="1"/>
  <c r="JR161" i="10"/>
  <c r="C127" i="20" s="1"/>
  <c r="JU161" i="10"/>
  <c r="JT161" i="10"/>
  <c r="E127" i="20" s="1"/>
  <c r="JS161" i="10"/>
  <c r="D127" i="20" s="1"/>
  <c r="JY161" i="10"/>
  <c r="J127" i="20" s="1"/>
  <c r="AX135" i="15"/>
  <c r="AW135" i="15"/>
  <c r="M42" i="23"/>
  <c r="T52" i="23" s="1"/>
  <c r="T60" i="23" s="1"/>
  <c r="T51" i="23"/>
  <c r="T59" i="23" s="1"/>
  <c r="U43" i="23"/>
  <c r="T43" i="23"/>
  <c r="R36" i="23"/>
  <c r="T35" i="23"/>
  <c r="U35" i="23"/>
  <c r="V35" i="23"/>
  <c r="V44" i="23" s="1"/>
  <c r="S153" i="2"/>
  <c r="T168" i="2" s="1"/>
  <c r="S158" i="2"/>
  <c r="G31" i="2" s="1"/>
  <c r="S155" i="2"/>
  <c r="G28" i="2" s="1"/>
  <c r="S154" i="2"/>
  <c r="T169" i="2" s="1"/>
  <c r="H30" i="2"/>
  <c r="U172" i="2"/>
  <c r="H32" i="2"/>
  <c r="T159" i="2"/>
  <c r="G32" i="2"/>
  <c r="S159" i="2"/>
  <c r="U168" i="2"/>
  <c r="H26" i="2"/>
  <c r="S157" i="2"/>
  <c r="H31" i="2"/>
  <c r="U173" i="2"/>
  <c r="U167" i="2"/>
  <c r="U179" i="2" s="1"/>
  <c r="H25" i="2"/>
  <c r="S152" i="2"/>
  <c r="S156" i="2"/>
  <c r="U170" i="2"/>
  <c r="H28" i="2"/>
  <c r="H27" i="2"/>
  <c r="U169" i="2"/>
  <c r="H29" i="2"/>
  <c r="U171" i="2"/>
  <c r="P67" i="23" l="1"/>
  <c r="P68" i="23" s="1"/>
  <c r="G126" i="20"/>
  <c r="F127" i="20"/>
  <c r="JV161" i="10"/>
  <c r="DD135" i="15"/>
  <c r="DE135" i="15"/>
  <c r="JU162" i="10"/>
  <c r="JX162" i="10"/>
  <c r="I128" i="20" s="1"/>
  <c r="JR162" i="10"/>
  <c r="C128" i="20" s="1"/>
  <c r="JZ162" i="10"/>
  <c r="K128" i="20" s="1"/>
  <c r="JW162" i="10"/>
  <c r="H128" i="20" s="1"/>
  <c r="JY162" i="10"/>
  <c r="J128" i="20" s="1"/>
  <c r="JS162" i="10"/>
  <c r="D128" i="20" s="1"/>
  <c r="JT162" i="10"/>
  <c r="E128" i="20" s="1"/>
  <c r="AX136" i="15"/>
  <c r="AW136" i="15"/>
  <c r="G26" i="2"/>
  <c r="T170" i="2"/>
  <c r="Q170" i="2" s="1"/>
  <c r="R170" i="2" s="1"/>
  <c r="T182" i="2" s="1"/>
  <c r="U182" i="2" s="1"/>
  <c r="M43" i="23"/>
  <c r="T53" i="23" s="1"/>
  <c r="T61" i="23" s="1"/>
  <c r="U44" i="23"/>
  <c r="T44" i="23"/>
  <c r="R37" i="23"/>
  <c r="O54" i="23"/>
  <c r="T36" i="23"/>
  <c r="U36" i="23"/>
  <c r="V36" i="23"/>
  <c r="V45" i="23" s="1"/>
  <c r="Q169" i="2"/>
  <c r="R169" i="2" s="1"/>
  <c r="T181" i="2" s="1"/>
  <c r="U181" i="2" s="1"/>
  <c r="T173" i="2"/>
  <c r="G27" i="2"/>
  <c r="G29" i="2"/>
  <c r="T171" i="2"/>
  <c r="G25" i="2"/>
  <c r="T167" i="2"/>
  <c r="T179" i="2" s="1"/>
  <c r="G30" i="2"/>
  <c r="T172" i="2"/>
  <c r="Q67" i="23" l="1"/>
  <c r="R67" i="23" s="1"/>
  <c r="T67" i="23" s="1"/>
  <c r="O77" i="23" s="1"/>
  <c r="T77" i="23" s="1"/>
  <c r="P69" i="23"/>
  <c r="P70" i="23" s="1"/>
  <c r="P71" i="23" s="1"/>
  <c r="P72" i="23" s="1"/>
  <c r="Q68" i="23"/>
  <c r="R68" i="23" s="1"/>
  <c r="T68" i="23" s="1"/>
  <c r="O78" i="23" s="1"/>
  <c r="S78" i="23" s="1"/>
  <c r="M44" i="23"/>
  <c r="T54" i="23" s="1"/>
  <c r="T62" i="23" s="1"/>
  <c r="G127" i="20"/>
  <c r="F128" i="20"/>
  <c r="JV162" i="10"/>
  <c r="DD136" i="15"/>
  <c r="DE136" i="15"/>
  <c r="JU163" i="10"/>
  <c r="JR163" i="10"/>
  <c r="JY163" i="10"/>
  <c r="JX163" i="10"/>
  <c r="JZ163" i="10"/>
  <c r="JW163" i="10"/>
  <c r="JT163" i="10"/>
  <c r="JS163" i="10"/>
  <c r="AW137" i="15"/>
  <c r="AX137" i="15"/>
  <c r="Q171" i="2"/>
  <c r="R171" i="2" s="1"/>
  <c r="T183" i="2" s="1"/>
  <c r="U183" i="2" s="1"/>
  <c r="T45" i="23"/>
  <c r="U45" i="23"/>
  <c r="R38" i="23"/>
  <c r="O53" i="23"/>
  <c r="V37" i="23"/>
  <c r="V46" i="23" s="1"/>
  <c r="T37" i="23"/>
  <c r="U37" i="23"/>
  <c r="Q172" i="2"/>
  <c r="R172" i="2" s="1"/>
  <c r="T184" i="2" s="1"/>
  <c r="U184" i="2" s="1"/>
  <c r="Q168" i="2"/>
  <c r="R168" i="2" s="1"/>
  <c r="T180" i="2" s="1"/>
  <c r="U180" i="2" s="1"/>
  <c r="Q173" i="2"/>
  <c r="R173" i="2" s="1"/>
  <c r="T185" i="2" s="1"/>
  <c r="U185" i="2" s="1"/>
  <c r="S77" i="23" l="1"/>
  <c r="Q69" i="23"/>
  <c r="R69" i="23" s="1"/>
  <c r="T69" i="23" s="1"/>
  <c r="O79" i="23" s="1"/>
  <c r="S79" i="23" s="1"/>
  <c r="Q70" i="23"/>
  <c r="R70" i="23" s="1"/>
  <c r="T70" i="23" s="1"/>
  <c r="O80" i="23" s="1"/>
  <c r="S80" i="23" s="1"/>
  <c r="T78" i="23"/>
  <c r="M45" i="23"/>
  <c r="T55" i="23" s="1"/>
  <c r="T63" i="23" s="1"/>
  <c r="Q71" i="23" s="1"/>
  <c r="R71" i="23" s="1"/>
  <c r="T71" i="23" s="1"/>
  <c r="O81" i="23" s="1"/>
  <c r="G128" i="20"/>
  <c r="JV163" i="10"/>
  <c r="DK155" i="15"/>
  <c r="DN221" i="15"/>
  <c r="DO221" i="15" s="1"/>
  <c r="DN230" i="15"/>
  <c r="DN176" i="15"/>
  <c r="DK160" i="15"/>
  <c r="DN209" i="15"/>
  <c r="DO209" i="15" s="1"/>
  <c r="DN167" i="15"/>
  <c r="DK159" i="15"/>
  <c r="DN179" i="15"/>
  <c r="DN181" i="15"/>
  <c r="DN220" i="15"/>
  <c r="DO220" i="15" s="1"/>
  <c r="DN228" i="15"/>
  <c r="DN214" i="15"/>
  <c r="DO214" i="15" s="1"/>
  <c r="DN226" i="15"/>
  <c r="DO226" i="15" s="1"/>
  <c r="DN190" i="15"/>
  <c r="DN217" i="15"/>
  <c r="DO217" i="15" s="1"/>
  <c r="DN175" i="15"/>
  <c r="DN202" i="15"/>
  <c r="DO202" i="15" s="1"/>
  <c r="DN194" i="15"/>
  <c r="DN224" i="15"/>
  <c r="DO224" i="15" s="1"/>
  <c r="DN166" i="15"/>
  <c r="DN165" i="15"/>
  <c r="DN183" i="15"/>
  <c r="DN196" i="15"/>
  <c r="DN232" i="15"/>
  <c r="DN223" i="15"/>
  <c r="DO223" i="15" s="1"/>
  <c r="DN201" i="15"/>
  <c r="DO201" i="15" s="1"/>
  <c r="DN187" i="15"/>
  <c r="DK161" i="15"/>
  <c r="DN199" i="15"/>
  <c r="DO199" i="15" s="1"/>
  <c r="DN198" i="15"/>
  <c r="DO198" i="15" s="1"/>
  <c r="DN189" i="15"/>
  <c r="DK158" i="15"/>
  <c r="DN210" i="15"/>
  <c r="DO210" i="15" s="1"/>
  <c r="DK152" i="15"/>
  <c r="DN208" i="15"/>
  <c r="DO208" i="15" s="1"/>
  <c r="DN188" i="15"/>
  <c r="DN233" i="15"/>
  <c r="DN182" i="15"/>
  <c r="DM147" i="15"/>
  <c r="DN185" i="15"/>
  <c r="DN215" i="15"/>
  <c r="DO215" i="15" s="1"/>
  <c r="DN174" i="15"/>
  <c r="DN164" i="15"/>
  <c r="DK156" i="15"/>
  <c r="DN195" i="15"/>
  <c r="DN204" i="15"/>
  <c r="DO204" i="15" s="1"/>
  <c r="DN192" i="15"/>
  <c r="DN186" i="15"/>
  <c r="DN203" i="15"/>
  <c r="DO203" i="15" s="1"/>
  <c r="DN212" i="15"/>
  <c r="DO212" i="15" s="1"/>
  <c r="DK154" i="15"/>
  <c r="DN171" i="15"/>
  <c r="DN177" i="15"/>
  <c r="DN213" i="15"/>
  <c r="DO213" i="15" s="1"/>
  <c r="DN206" i="15"/>
  <c r="DO206" i="15" s="1"/>
  <c r="DN197" i="15"/>
  <c r="DN205" i="15"/>
  <c r="DO205" i="15" s="1"/>
  <c r="DK162" i="15"/>
  <c r="DN178" i="15"/>
  <c r="DN184" i="15"/>
  <c r="DN168" i="15"/>
  <c r="DN229" i="15"/>
  <c r="DN207" i="15"/>
  <c r="DO207" i="15" s="1"/>
  <c r="DN173" i="15"/>
  <c r="DN169" i="15"/>
  <c r="DN180" i="15"/>
  <c r="DN172" i="15"/>
  <c r="DN191" i="15"/>
  <c r="DN222" i="15"/>
  <c r="DO222" i="15" s="1"/>
  <c r="DN200" i="15"/>
  <c r="DO200" i="15" s="1"/>
  <c r="DN227" i="15"/>
  <c r="DN218" i="15"/>
  <c r="DO218" i="15" s="1"/>
  <c r="DN216" i="15"/>
  <c r="DO216" i="15" s="1"/>
  <c r="DK148" i="15"/>
  <c r="DK150" i="15"/>
  <c r="DN170" i="15"/>
  <c r="DN193" i="15"/>
  <c r="DK149" i="15"/>
  <c r="DN163" i="15"/>
  <c r="DN225" i="15"/>
  <c r="DO225" i="15" s="1"/>
  <c r="DN211" i="15"/>
  <c r="DO211" i="15" s="1"/>
  <c r="DK151" i="15"/>
  <c r="DK157" i="15"/>
  <c r="DK153" i="15"/>
  <c r="DM146" i="15"/>
  <c r="DN231" i="15"/>
  <c r="DN219" i="15"/>
  <c r="DO219" i="15" s="1"/>
  <c r="JU164" i="10"/>
  <c r="JV164" i="10" s="1"/>
  <c r="JR164" i="10"/>
  <c r="JW164" i="10"/>
  <c r="JX164" i="10"/>
  <c r="JY164" i="10"/>
  <c r="JZ164" i="10"/>
  <c r="JT164" i="10"/>
  <c r="JS164" i="10"/>
  <c r="U46" i="23"/>
  <c r="T46" i="23"/>
  <c r="T38" i="23"/>
  <c r="V38" i="23"/>
  <c r="V47" i="23" s="1"/>
  <c r="R39" i="23"/>
  <c r="U38" i="23"/>
  <c r="T189" i="2"/>
  <c r="T201" i="2" s="1"/>
  <c r="G39" i="2" s="1"/>
  <c r="T194" i="2"/>
  <c r="U194" i="2" s="1"/>
  <c r="U206" i="2" s="1"/>
  <c r="H44" i="2" s="1"/>
  <c r="T191" i="2"/>
  <c r="U191" i="2" s="1"/>
  <c r="U203" i="2" s="1"/>
  <c r="H41" i="2" s="1"/>
  <c r="T190" i="2"/>
  <c r="T202" i="2" s="1"/>
  <c r="G40" i="2" s="1"/>
  <c r="T193" i="2"/>
  <c r="U193" i="2" s="1"/>
  <c r="U205" i="2" s="1"/>
  <c r="H43" i="2" s="1"/>
  <c r="T192" i="2"/>
  <c r="U192" i="2" s="1"/>
  <c r="U204" i="2" s="1"/>
  <c r="H42" i="2" s="1"/>
  <c r="T188" i="2"/>
  <c r="U188" i="2" s="1"/>
  <c r="U200" i="2" s="1"/>
  <c r="H38" i="2" s="1"/>
  <c r="T195" i="2"/>
  <c r="U195" i="2" s="1"/>
  <c r="U207" i="2" s="1"/>
  <c r="T79" i="23" l="1"/>
  <c r="T80" i="23"/>
  <c r="B38" i="2"/>
  <c r="B39" i="2" s="1"/>
  <c r="B44" i="2"/>
  <c r="I39" i="2"/>
  <c r="I40" i="2"/>
  <c r="B43" i="2"/>
  <c r="B45" i="2"/>
  <c r="M46" i="23"/>
  <c r="T56" i="23" s="1"/>
  <c r="T64" i="23" s="1"/>
  <c r="Q72" i="23" s="1"/>
  <c r="R72" i="23" s="1"/>
  <c r="T72" i="23" s="1"/>
  <c r="O82" i="23" s="1"/>
  <c r="B42" i="2"/>
  <c r="EV157" i="15"/>
  <c r="DL157" i="15"/>
  <c r="JS190" i="10"/>
  <c r="JW190" i="10"/>
  <c r="JZ190" i="10"/>
  <c r="EY163" i="15"/>
  <c r="JT190" i="10"/>
  <c r="DO163" i="15"/>
  <c r="JX190" i="10"/>
  <c r="JU190" i="10"/>
  <c r="JY190" i="10"/>
  <c r="JR190" i="10"/>
  <c r="EV150" i="15"/>
  <c r="DL150" i="15"/>
  <c r="JX199" i="10"/>
  <c r="JU199" i="10"/>
  <c r="JY199" i="10"/>
  <c r="JZ199" i="10"/>
  <c r="DO172" i="15"/>
  <c r="JR199" i="10"/>
  <c r="JT199" i="10"/>
  <c r="JS199" i="10"/>
  <c r="JW199" i="10"/>
  <c r="JR205" i="10"/>
  <c r="JW205" i="10"/>
  <c r="JY205" i="10"/>
  <c r="JS205" i="10"/>
  <c r="JT205" i="10"/>
  <c r="JU205" i="10"/>
  <c r="DO178" i="15"/>
  <c r="JX205" i="10"/>
  <c r="JZ205" i="10"/>
  <c r="EV154" i="15"/>
  <c r="DL154" i="15"/>
  <c r="JX219" i="10"/>
  <c r="JR219" i="10"/>
  <c r="JS219" i="10"/>
  <c r="JY219" i="10"/>
  <c r="JW219" i="10"/>
  <c r="JZ219" i="10"/>
  <c r="JU219" i="10"/>
  <c r="JT219" i="10"/>
  <c r="DO192" i="15"/>
  <c r="JT191" i="10"/>
  <c r="JZ191" i="10"/>
  <c r="JS191" i="10"/>
  <c r="JW191" i="10"/>
  <c r="EY164" i="15"/>
  <c r="JX191" i="10"/>
  <c r="JU191" i="10"/>
  <c r="JY191" i="10"/>
  <c r="DO164" i="15"/>
  <c r="JR191" i="10"/>
  <c r="EX147" i="15"/>
  <c r="JP174" i="10"/>
  <c r="DN147" i="15"/>
  <c r="DX147" i="15"/>
  <c r="JT216" i="10"/>
  <c r="DO189" i="15"/>
  <c r="JW216" i="10"/>
  <c r="JU216" i="10"/>
  <c r="JY216" i="10"/>
  <c r="JR216" i="10"/>
  <c r="JS216" i="10"/>
  <c r="JZ216" i="10"/>
  <c r="JX216" i="10"/>
  <c r="JU214" i="10"/>
  <c r="JT214" i="10"/>
  <c r="JY214" i="10"/>
  <c r="JX214" i="10"/>
  <c r="JW214" i="10"/>
  <c r="DO187" i="15"/>
  <c r="JZ214" i="10"/>
  <c r="JR214" i="10"/>
  <c r="JS214" i="10"/>
  <c r="DO196" i="15"/>
  <c r="JX223" i="10"/>
  <c r="JS223" i="10"/>
  <c r="JY223" i="10"/>
  <c r="JW223" i="10"/>
  <c r="JZ223" i="10"/>
  <c r="JU223" i="10"/>
  <c r="JR223" i="10"/>
  <c r="JT223" i="10"/>
  <c r="EV159" i="15"/>
  <c r="DL159" i="15"/>
  <c r="DO176" i="15"/>
  <c r="JW203" i="10"/>
  <c r="JZ203" i="10"/>
  <c r="JU203" i="10"/>
  <c r="JX203" i="10"/>
  <c r="JS203" i="10"/>
  <c r="JT203" i="10"/>
  <c r="JY203" i="10"/>
  <c r="JR203" i="10"/>
  <c r="DL151" i="15"/>
  <c r="EV151" i="15"/>
  <c r="DL149" i="15"/>
  <c r="EV149" i="15"/>
  <c r="DV148" i="15"/>
  <c r="JZ175" i="10" s="1"/>
  <c r="DL148" i="15"/>
  <c r="EV148" i="15"/>
  <c r="JX207" i="10"/>
  <c r="JS207" i="10"/>
  <c r="JW207" i="10"/>
  <c r="DO180" i="15"/>
  <c r="JZ207" i="10"/>
  <c r="JR207" i="10"/>
  <c r="JY207" i="10"/>
  <c r="JT207" i="10"/>
  <c r="JU207" i="10"/>
  <c r="EV162" i="15"/>
  <c r="DL162" i="15"/>
  <c r="JR201" i="10"/>
  <c r="JY201" i="10"/>
  <c r="DO174" i="15"/>
  <c r="JZ201" i="10"/>
  <c r="JW201" i="10"/>
  <c r="JS201" i="10"/>
  <c r="JU201" i="10"/>
  <c r="JT201" i="10"/>
  <c r="JX201" i="10"/>
  <c r="JW209" i="10"/>
  <c r="JR209" i="10"/>
  <c r="JS209" i="10"/>
  <c r="DO182" i="15"/>
  <c r="JZ209" i="10"/>
  <c r="JX209" i="10"/>
  <c r="JT209" i="10"/>
  <c r="JY209" i="10"/>
  <c r="JU209" i="10"/>
  <c r="EV152" i="15"/>
  <c r="DL152" i="15"/>
  <c r="JY210" i="10"/>
  <c r="JS210" i="10"/>
  <c r="JR210" i="10"/>
  <c r="DO183" i="15"/>
  <c r="JU210" i="10"/>
  <c r="JX210" i="10"/>
  <c r="JZ210" i="10"/>
  <c r="JW210" i="10"/>
  <c r="JT210" i="10"/>
  <c r="JZ221" i="10"/>
  <c r="JS221" i="10"/>
  <c r="JY221" i="10"/>
  <c r="JT221" i="10"/>
  <c r="JU221" i="10"/>
  <c r="JX221" i="10"/>
  <c r="JW221" i="10"/>
  <c r="JR221" i="10"/>
  <c r="DO194" i="15"/>
  <c r="JZ217" i="10"/>
  <c r="JW217" i="10"/>
  <c r="JX217" i="10"/>
  <c r="JS217" i="10"/>
  <c r="JY217" i="10"/>
  <c r="DO190" i="15"/>
  <c r="JT217" i="10"/>
  <c r="JR217" i="10"/>
  <c r="JU217" i="10"/>
  <c r="JY194" i="10"/>
  <c r="JS194" i="10"/>
  <c r="JW194" i="10"/>
  <c r="DO167" i="15"/>
  <c r="JT194" i="10"/>
  <c r="JZ194" i="10"/>
  <c r="JR194" i="10"/>
  <c r="JX194" i="10"/>
  <c r="JU194" i="10"/>
  <c r="EX146" i="15"/>
  <c r="JP173" i="10"/>
  <c r="JQ173" i="10" s="1"/>
  <c r="DN146" i="15"/>
  <c r="DX146" i="15"/>
  <c r="DO193" i="15"/>
  <c r="JT220" i="10"/>
  <c r="JR220" i="10"/>
  <c r="JS220" i="10"/>
  <c r="JY220" i="10"/>
  <c r="JZ220" i="10"/>
  <c r="JW220" i="10"/>
  <c r="JU220" i="10"/>
  <c r="JX220" i="10"/>
  <c r="JS196" i="10"/>
  <c r="DO169" i="15"/>
  <c r="JW196" i="10"/>
  <c r="JX196" i="10"/>
  <c r="JR196" i="10"/>
  <c r="JU196" i="10"/>
  <c r="JY196" i="10"/>
  <c r="JT196" i="10"/>
  <c r="JZ196" i="10"/>
  <c r="JS195" i="10"/>
  <c r="JX195" i="10"/>
  <c r="DO168" i="15"/>
  <c r="JZ195" i="10"/>
  <c r="JT195" i="10"/>
  <c r="JY195" i="10"/>
  <c r="JU195" i="10"/>
  <c r="JR195" i="10"/>
  <c r="JW195" i="10"/>
  <c r="JS204" i="10"/>
  <c r="JW204" i="10"/>
  <c r="JR204" i="10"/>
  <c r="JY204" i="10"/>
  <c r="DO177" i="15"/>
  <c r="JZ204" i="10"/>
  <c r="JX204" i="10"/>
  <c r="JU204" i="10"/>
  <c r="JT204" i="10"/>
  <c r="JZ222" i="10"/>
  <c r="JS222" i="10"/>
  <c r="JW222" i="10"/>
  <c r="JR222" i="10"/>
  <c r="DO195" i="15"/>
  <c r="JU222" i="10"/>
  <c r="JT222" i="10"/>
  <c r="JX222" i="10"/>
  <c r="JY222" i="10"/>
  <c r="JR192" i="10"/>
  <c r="JX192" i="10"/>
  <c r="JS192" i="10"/>
  <c r="JY192" i="10"/>
  <c r="JU192" i="10"/>
  <c r="DO165" i="15"/>
  <c r="EY165" i="15"/>
  <c r="JZ192" i="10"/>
  <c r="JW192" i="10"/>
  <c r="JT192" i="10"/>
  <c r="JW208" i="10"/>
  <c r="JU208" i="10"/>
  <c r="JS208" i="10"/>
  <c r="JX208" i="10"/>
  <c r="JR208" i="10"/>
  <c r="JY208" i="10"/>
  <c r="JT208" i="10"/>
  <c r="DO181" i="15"/>
  <c r="JZ208" i="10"/>
  <c r="EV153" i="15"/>
  <c r="DL153" i="15"/>
  <c r="DO170" i="15"/>
  <c r="JR197" i="10"/>
  <c r="JT197" i="10"/>
  <c r="JS197" i="10"/>
  <c r="JY197" i="10"/>
  <c r="JU197" i="10"/>
  <c r="JX197" i="10"/>
  <c r="JW197" i="10"/>
  <c r="JZ197" i="10"/>
  <c r="JY218" i="10"/>
  <c r="JZ218" i="10"/>
  <c r="JS218" i="10"/>
  <c r="JX218" i="10"/>
  <c r="DO191" i="15"/>
  <c r="JR218" i="10"/>
  <c r="JW218" i="10"/>
  <c r="JU218" i="10"/>
  <c r="JT218" i="10"/>
  <c r="JY200" i="10"/>
  <c r="DO173" i="15"/>
  <c r="JX200" i="10"/>
  <c r="JZ200" i="10"/>
  <c r="JU200" i="10"/>
  <c r="JR200" i="10"/>
  <c r="JT200" i="10"/>
  <c r="JS200" i="10"/>
  <c r="JW200" i="10"/>
  <c r="JR211" i="10"/>
  <c r="JT211" i="10"/>
  <c r="JX211" i="10"/>
  <c r="JZ211" i="10"/>
  <c r="JW211" i="10"/>
  <c r="DO184" i="15"/>
  <c r="JU211" i="10"/>
  <c r="JS211" i="10"/>
  <c r="JY211" i="10"/>
  <c r="JX224" i="10"/>
  <c r="JZ224" i="10"/>
  <c r="DO197" i="15"/>
  <c r="JT224" i="10"/>
  <c r="JU224" i="10"/>
  <c r="JY224" i="10"/>
  <c r="JS224" i="10"/>
  <c r="JR224" i="10"/>
  <c r="JW224" i="10"/>
  <c r="JT198" i="10"/>
  <c r="JY198" i="10"/>
  <c r="JX198" i="10"/>
  <c r="JU198" i="10"/>
  <c r="JS198" i="10"/>
  <c r="JZ198" i="10"/>
  <c r="JW198" i="10"/>
  <c r="DO171" i="15"/>
  <c r="JR198" i="10"/>
  <c r="JS213" i="10"/>
  <c r="JT213" i="10"/>
  <c r="JW213" i="10"/>
  <c r="JU213" i="10"/>
  <c r="DO186" i="15"/>
  <c r="JZ213" i="10"/>
  <c r="JX213" i="10"/>
  <c r="JR213" i="10"/>
  <c r="JY213" i="10"/>
  <c r="EV156" i="15"/>
  <c r="DL156" i="15"/>
  <c r="JW212" i="10"/>
  <c r="JZ212" i="10"/>
  <c r="JU212" i="10"/>
  <c r="DO185" i="15"/>
  <c r="JR212" i="10"/>
  <c r="JT212" i="10"/>
  <c r="JS212" i="10"/>
  <c r="JX212" i="10"/>
  <c r="JY212" i="10"/>
  <c r="JW215" i="10"/>
  <c r="JT215" i="10"/>
  <c r="JS215" i="10"/>
  <c r="DO188" i="15"/>
  <c r="JY215" i="10"/>
  <c r="JX215" i="10"/>
  <c r="JR215" i="10"/>
  <c r="JU215" i="10"/>
  <c r="JZ215" i="10"/>
  <c r="EV158" i="15"/>
  <c r="DL158" i="15"/>
  <c r="DL161" i="15"/>
  <c r="EV161" i="15"/>
  <c r="JX193" i="10"/>
  <c r="JY193" i="10"/>
  <c r="DO166" i="15"/>
  <c r="JT193" i="10"/>
  <c r="JS193" i="10"/>
  <c r="JW193" i="10"/>
  <c r="JU193" i="10"/>
  <c r="JR193" i="10"/>
  <c r="JZ193" i="10"/>
  <c r="DO175" i="15"/>
  <c r="JW202" i="10"/>
  <c r="JR202" i="10"/>
  <c r="JU202" i="10"/>
  <c r="JS202" i="10"/>
  <c r="JT202" i="10"/>
  <c r="JZ202" i="10"/>
  <c r="JX202" i="10"/>
  <c r="JY202" i="10"/>
  <c r="JU206" i="10"/>
  <c r="JT206" i="10"/>
  <c r="JR206" i="10"/>
  <c r="DO179" i="15"/>
  <c r="JY206" i="10"/>
  <c r="JS206" i="10"/>
  <c r="JZ206" i="10"/>
  <c r="JW206" i="10"/>
  <c r="JX206" i="10"/>
  <c r="EV160" i="15"/>
  <c r="DL160" i="15"/>
  <c r="EV155" i="15"/>
  <c r="DL155" i="15"/>
  <c r="U189" i="2"/>
  <c r="U201" i="2" s="1"/>
  <c r="H39" i="2" s="1"/>
  <c r="T205" i="2"/>
  <c r="G43" i="2" s="1"/>
  <c r="T206" i="2"/>
  <c r="G44" i="2" s="1"/>
  <c r="DP45" i="18"/>
  <c r="DP40" i="18"/>
  <c r="DP43" i="18"/>
  <c r="T207" i="2"/>
  <c r="U190" i="2"/>
  <c r="U202" i="2" s="1"/>
  <c r="H40" i="2" s="1"/>
  <c r="DP44" i="18"/>
  <c r="U39" i="23"/>
  <c r="V39" i="23"/>
  <c r="V48" i="23" s="1"/>
  <c r="O52" i="23"/>
  <c r="T39" i="23"/>
  <c r="T81" i="23"/>
  <c r="S81" i="23"/>
  <c r="T47" i="23"/>
  <c r="T57" i="23" s="1"/>
  <c r="U47" i="23"/>
  <c r="T203" i="2"/>
  <c r="G41" i="2" s="1"/>
  <c r="T200" i="2"/>
  <c r="G38" i="2" s="1"/>
  <c r="T204" i="2"/>
  <c r="G42" i="2" s="1"/>
  <c r="DO42" i="18" l="1"/>
  <c r="DR42" i="18" s="1"/>
  <c r="DO41" i="18"/>
  <c r="DR41" i="18" s="1"/>
  <c r="I41" i="2"/>
  <c r="I42" i="2"/>
  <c r="I43" i="2"/>
  <c r="I44" i="2"/>
  <c r="A45" i="2" s="1"/>
  <c r="B41" i="2"/>
  <c r="JF42" i="18"/>
  <c r="JE42" i="18" s="1"/>
  <c r="JF43" i="18"/>
  <c r="JE43" i="18" s="1"/>
  <c r="I38" i="2"/>
  <c r="A39" i="2" s="1"/>
  <c r="DP41" i="18"/>
  <c r="B40" i="2"/>
  <c r="JZ173" i="10"/>
  <c r="JT173" i="10"/>
  <c r="JS173" i="10"/>
  <c r="JW173" i="10"/>
  <c r="JX173" i="10"/>
  <c r="JU173" i="10"/>
  <c r="JY173" i="10"/>
  <c r="JR173" i="10"/>
  <c r="JU174" i="10"/>
  <c r="JS174" i="10"/>
  <c r="JZ174" i="10"/>
  <c r="JT174" i="10"/>
  <c r="JW174" i="10"/>
  <c r="JX174" i="10"/>
  <c r="JR174" i="10"/>
  <c r="JY174" i="10"/>
  <c r="JQ174" i="10"/>
  <c r="JQ175" i="10"/>
  <c r="JF38" i="18"/>
  <c r="JF41" i="18"/>
  <c r="JE41" i="18" s="1"/>
  <c r="DP42" i="18"/>
  <c r="DO40" i="18"/>
  <c r="T82" i="23"/>
  <c r="S82" i="23"/>
  <c r="T48" i="23"/>
  <c r="U48" i="23"/>
  <c r="A40" i="2" l="1"/>
  <c r="A41" i="2"/>
  <c r="DO44" i="18"/>
  <c r="DR44" i="18" s="1"/>
  <c r="DN44" i="18" s="1"/>
  <c r="JF44" i="18"/>
  <c r="JE44" i="18" s="1"/>
  <c r="A42" i="2"/>
  <c r="DO45" i="18"/>
  <c r="DR45" i="18" s="1"/>
  <c r="A43" i="2"/>
  <c r="A44" i="2"/>
  <c r="D96" i="2"/>
  <c r="DO43" i="18"/>
  <c r="DR43" i="18" s="1"/>
  <c r="DN43" i="18" s="1"/>
  <c r="DO46" i="18"/>
  <c r="D89" i="2"/>
  <c r="DN42" i="18"/>
  <c r="DN41" i="18"/>
  <c r="DR40" i="18"/>
  <c r="DN40" i="18" s="1"/>
  <c r="JF39" i="18"/>
  <c r="JE39" i="18" s="1"/>
  <c r="EF41" i="18"/>
  <c r="DZ42" i="18" s="1"/>
  <c r="EF81" i="18" s="1"/>
  <c r="JF40" i="18"/>
  <c r="JE40" i="18" s="1"/>
  <c r="S89" i="23"/>
  <c r="V89" i="23" s="1"/>
  <c r="S90" i="23"/>
  <c r="S93" i="23"/>
  <c r="S88" i="23"/>
  <c r="S91" i="23"/>
  <c r="S92" i="23"/>
  <c r="DG41" i="18" l="1"/>
  <c r="DJ41" i="18" s="1"/>
  <c r="DG40" i="18"/>
  <c r="DJ40" i="18" s="1"/>
  <c r="DL36" i="18" s="1"/>
  <c r="DG42" i="18"/>
  <c r="DJ42" i="18" s="1"/>
  <c r="DG43" i="18"/>
  <c r="DJ43" i="18" s="1"/>
  <c r="DG45" i="18"/>
  <c r="DJ45" i="18" s="1"/>
  <c r="DG44" i="18"/>
  <c r="DJ44" i="18" s="1"/>
  <c r="DG46" i="18"/>
  <c r="DJ46" i="18" s="1"/>
  <c r="DR46" i="18"/>
  <c r="DN46" i="18" s="1"/>
  <c r="DN45" i="18"/>
  <c r="JI38" i="18"/>
  <c r="EF42" i="18"/>
  <c r="DZ43" i="18" s="1"/>
  <c r="EF82" i="18" s="1"/>
  <c r="T89" i="23"/>
  <c r="S102" i="23" s="1"/>
  <c r="T102" i="23" s="1"/>
  <c r="T113" i="23" s="1"/>
  <c r="V93" i="23"/>
  <c r="T93" i="23"/>
  <c r="S106" i="23" s="1"/>
  <c r="T92" i="23"/>
  <c r="S105" i="23" s="1"/>
  <c r="V92" i="23"/>
  <c r="T90" i="23"/>
  <c r="S103" i="23" s="1"/>
  <c r="V90" i="23"/>
  <c r="V91" i="23"/>
  <c r="T91" i="23"/>
  <c r="S104" i="23" s="1"/>
  <c r="T88" i="23"/>
  <c r="S101" i="23" s="1"/>
  <c r="T101" i="23" s="1"/>
  <c r="V88" i="23"/>
  <c r="DL40" i="18"/>
  <c r="DL42" i="18"/>
  <c r="DL41" i="18"/>
  <c r="DL43" i="18"/>
  <c r="DL45" i="18"/>
  <c r="DL44" i="18"/>
  <c r="DL46" i="18"/>
  <c r="DH40" i="18" l="1"/>
  <c r="DQ41" i="18"/>
  <c r="DQ42" i="18"/>
  <c r="DQ45" i="18"/>
  <c r="DQ44" i="18"/>
  <c r="DG51" i="18"/>
  <c r="DH45" i="18" s="1"/>
  <c r="EF43" i="18"/>
  <c r="DZ44" i="18" s="1"/>
  <c r="DQ43" i="18"/>
  <c r="S113" i="23"/>
  <c r="S115" i="23"/>
  <c r="T104" i="23"/>
  <c r="T115" i="23" s="1"/>
  <c r="T105" i="23"/>
  <c r="T116" i="23" s="1"/>
  <c r="S116" i="23"/>
  <c r="S117" i="23"/>
  <c r="T106" i="23"/>
  <c r="T117" i="23" s="1"/>
  <c r="T112" i="23"/>
  <c r="S112" i="23"/>
  <c r="T103" i="23"/>
  <c r="T114" i="23" s="1"/>
  <c r="S114" i="23"/>
  <c r="DH43" i="18" l="1"/>
  <c r="DH46" i="18"/>
  <c r="DH42" i="18"/>
  <c r="DH41" i="18"/>
  <c r="DH44" i="18"/>
  <c r="EF44" i="18"/>
  <c r="DZ45" i="18" s="1"/>
  <c r="S126" i="23"/>
  <c r="S127" i="23"/>
  <c r="S125" i="23"/>
  <c r="S129" i="23"/>
  <c r="S133" i="23"/>
  <c r="S128" i="23"/>
  <c r="S130" i="23"/>
  <c r="S131" i="23"/>
  <c r="S132" i="23"/>
  <c r="EF45" i="18" l="1"/>
  <c r="DZ46" i="18" s="1"/>
  <c r="N131" i="23"/>
  <c r="O131" i="23" s="1"/>
  <c r="Q131" i="23" s="1"/>
  <c r="T131" i="23"/>
  <c r="T129" i="23"/>
  <c r="N129" i="23"/>
  <c r="O129" i="23" s="1"/>
  <c r="Q129" i="23" s="1"/>
  <c r="N130" i="23"/>
  <c r="O130" i="23" s="1"/>
  <c r="Q130" i="23" s="1"/>
  <c r="T130" i="23"/>
  <c r="T125" i="23"/>
  <c r="N125" i="23"/>
  <c r="O125" i="23" s="1"/>
  <c r="Q125" i="23" s="1"/>
  <c r="T128" i="23"/>
  <c r="N128" i="23"/>
  <c r="O128" i="23" s="1"/>
  <c r="Q128" i="23" s="1"/>
  <c r="T127" i="23"/>
  <c r="N127" i="23"/>
  <c r="O127" i="23" s="1"/>
  <c r="Q127" i="23" s="1"/>
  <c r="T132" i="23"/>
  <c r="N132" i="23"/>
  <c r="O132" i="23" s="1"/>
  <c r="Q132" i="23" s="1"/>
  <c r="T133" i="23"/>
  <c r="N133" i="23"/>
  <c r="O133" i="23" s="1"/>
  <c r="Q133" i="23" s="1"/>
  <c r="T126" i="23"/>
  <c r="N126" i="23"/>
  <c r="O126" i="23" s="1"/>
  <c r="Q126" i="23" s="1"/>
  <c r="EF46" i="18" l="1"/>
  <c r="EF47" i="18" s="1"/>
  <c r="EM79" i="18" s="1"/>
  <c r="EN79" i="18" s="1"/>
  <c r="EO79" i="18" s="1"/>
  <c r="T142" i="23"/>
  <c r="T154" i="23" s="1"/>
  <c r="S142" i="23"/>
  <c r="T140" i="23"/>
  <c r="T152" i="23" s="1"/>
  <c r="S140" i="23"/>
  <c r="T144" i="23"/>
  <c r="T156" i="23" s="1"/>
  <c r="S144" i="23"/>
  <c r="S141" i="23"/>
  <c r="T141" i="23"/>
  <c r="T153" i="23" s="1"/>
  <c r="S147" i="23"/>
  <c r="T147" i="23"/>
  <c r="T143" i="23"/>
  <c r="T155" i="23" s="1"/>
  <c r="S143" i="23"/>
  <c r="S145" i="23"/>
  <c r="T145" i="23"/>
  <c r="T157" i="23" s="1"/>
  <c r="S146" i="23"/>
  <c r="T146" i="23"/>
  <c r="T158" i="23" s="1"/>
  <c r="EM75" i="18" l="1"/>
  <c r="EN75" i="18" s="1"/>
  <c r="EO75" i="18" s="1"/>
  <c r="EM64" i="18"/>
  <c r="EN64" i="18" s="1"/>
  <c r="EO64" i="18" s="1"/>
  <c r="EM82" i="18"/>
  <c r="EN82" i="18" s="1"/>
  <c r="EO82" i="18" s="1"/>
  <c r="EM51" i="18"/>
  <c r="EN51" i="18" s="1"/>
  <c r="EO51" i="18" s="1"/>
  <c r="EM84" i="18"/>
  <c r="EN84" i="18" s="1"/>
  <c r="EO84" i="18" s="1"/>
  <c r="EM56" i="18"/>
  <c r="EN56" i="18" s="1"/>
  <c r="EO56" i="18" s="1"/>
  <c r="EM52" i="18"/>
  <c r="EN52" i="18" s="1"/>
  <c r="EO52" i="18" s="1"/>
  <c r="EM48" i="18"/>
  <c r="EN48" i="18" s="1"/>
  <c r="EO48" i="18" s="1"/>
  <c r="EM77" i="18"/>
  <c r="EN77" i="18" s="1"/>
  <c r="EO77" i="18" s="1"/>
  <c r="EM78" i="18"/>
  <c r="EN78" i="18" s="1"/>
  <c r="EO78" i="18" s="1"/>
  <c r="EM45" i="18"/>
  <c r="EN45" i="18" s="1"/>
  <c r="EO45" i="18" s="1"/>
  <c r="EM55" i="18"/>
  <c r="EN55" i="18" s="1"/>
  <c r="EO55" i="18" s="1"/>
  <c r="EM72" i="18"/>
  <c r="EN72" i="18" s="1"/>
  <c r="EO72" i="18" s="1"/>
  <c r="EM73" i="18"/>
  <c r="EN73" i="18" s="1"/>
  <c r="EO73" i="18" s="1"/>
  <c r="EM47" i="18"/>
  <c r="EN47" i="18" s="1"/>
  <c r="EO47" i="18" s="1"/>
  <c r="EM43" i="18"/>
  <c r="EN43" i="18" s="1"/>
  <c r="EO43" i="18" s="1"/>
  <c r="EM70" i="18"/>
  <c r="EN70" i="18" s="1"/>
  <c r="EO70" i="18" s="1"/>
  <c r="EM46" i="18"/>
  <c r="EN46" i="18" s="1"/>
  <c r="EO46" i="18" s="1"/>
  <c r="EM71" i="18"/>
  <c r="EN71" i="18" s="1"/>
  <c r="EO71" i="18" s="1"/>
  <c r="EM87" i="18"/>
  <c r="EN87" i="18" s="1"/>
  <c r="EO87" i="18" s="1"/>
  <c r="EM85" i="18"/>
  <c r="EN85" i="18" s="1"/>
  <c r="EO85" i="18" s="1"/>
  <c r="EM69" i="18"/>
  <c r="EN69" i="18" s="1"/>
  <c r="EO69" i="18" s="1"/>
  <c r="EM49" i="18"/>
  <c r="EN49" i="18" s="1"/>
  <c r="EO49" i="18" s="1"/>
  <c r="EM83" i="18"/>
  <c r="EN83" i="18" s="1"/>
  <c r="EO83" i="18" s="1"/>
  <c r="EM74" i="18"/>
  <c r="EN74" i="18" s="1"/>
  <c r="EO74" i="18" s="1"/>
  <c r="EM63" i="18"/>
  <c r="EN63" i="18" s="1"/>
  <c r="EO63" i="18" s="1"/>
  <c r="EM66" i="18"/>
  <c r="EN66" i="18" s="1"/>
  <c r="EO66" i="18" s="1"/>
  <c r="EM80" i="18"/>
  <c r="EN80" i="18" s="1"/>
  <c r="EO80" i="18" s="1"/>
  <c r="EM76" i="18"/>
  <c r="EN76" i="18" s="1"/>
  <c r="EO76" i="18" s="1"/>
  <c r="EM68" i="18"/>
  <c r="EN68" i="18" s="1"/>
  <c r="EO68" i="18" s="1"/>
  <c r="EM62" i="18"/>
  <c r="EN62" i="18" s="1"/>
  <c r="EO62" i="18" s="1"/>
  <c r="EM41" i="18"/>
  <c r="EN41" i="18" s="1"/>
  <c r="EO41" i="18" s="1"/>
  <c r="EM65" i="18"/>
  <c r="EN65" i="18" s="1"/>
  <c r="EO65" i="18" s="1"/>
  <c r="EM57" i="18"/>
  <c r="EN57" i="18" s="1"/>
  <c r="EO57" i="18" s="1"/>
  <c r="EM54" i="18"/>
  <c r="EN54" i="18" s="1"/>
  <c r="EO54" i="18" s="1"/>
  <c r="EM42" i="18"/>
  <c r="EN42" i="18" s="1"/>
  <c r="EO42" i="18" s="1"/>
  <c r="EM61" i="18"/>
  <c r="EN61" i="18" s="1"/>
  <c r="EO61" i="18" s="1"/>
  <c r="EM60" i="18"/>
  <c r="EN60" i="18" s="1"/>
  <c r="EO60" i="18" s="1"/>
  <c r="EM44" i="18"/>
  <c r="EN44" i="18" s="1"/>
  <c r="EO44" i="18" s="1"/>
  <c r="EM50" i="18"/>
  <c r="EN50" i="18" s="1"/>
  <c r="EO50" i="18" s="1"/>
  <c r="EM86" i="18"/>
  <c r="EN86" i="18" s="1"/>
  <c r="EO86" i="18" s="1"/>
  <c r="EM67" i="18"/>
  <c r="EN67" i="18" s="1"/>
  <c r="EO67" i="18" s="1"/>
  <c r="EM59" i="18"/>
  <c r="EN59" i="18" s="1"/>
  <c r="EO59" i="18" s="1"/>
  <c r="EM53" i="18"/>
  <c r="EN53" i="18" s="1"/>
  <c r="EO53" i="18" s="1"/>
  <c r="EM58" i="18"/>
  <c r="EN58" i="18" s="1"/>
  <c r="EO58" i="18" s="1"/>
  <c r="EM81" i="18"/>
  <c r="EN81" i="18" s="1"/>
  <c r="EO81" i="18" s="1"/>
  <c r="DZ47" i="18"/>
  <c r="S156" i="23"/>
  <c r="T171" i="23" s="1"/>
  <c r="S154" i="23"/>
  <c r="G27" i="23" s="1"/>
  <c r="G58" i="23" s="1"/>
  <c r="S155" i="23"/>
  <c r="G28" i="23" s="1"/>
  <c r="G59" i="23" s="1"/>
  <c r="S152" i="23"/>
  <c r="T167" i="23" s="1"/>
  <c r="T179" i="23" s="1"/>
  <c r="U173" i="23"/>
  <c r="H31" i="23"/>
  <c r="U168" i="23"/>
  <c r="H26" i="23"/>
  <c r="S158" i="23"/>
  <c r="U170" i="23"/>
  <c r="H28" i="23"/>
  <c r="S153" i="23"/>
  <c r="H25" i="23"/>
  <c r="U167" i="23"/>
  <c r="U179" i="23" s="1"/>
  <c r="U172" i="23"/>
  <c r="H30" i="23"/>
  <c r="T159" i="23"/>
  <c r="H32" i="23"/>
  <c r="S157" i="23"/>
  <c r="G32" i="23"/>
  <c r="G63" i="23" s="1"/>
  <c r="S159" i="23"/>
  <c r="H29" i="23"/>
  <c r="U171" i="23"/>
  <c r="U169" i="23"/>
  <c r="H27" i="23"/>
  <c r="H59" i="23" l="1"/>
  <c r="H58" i="23"/>
  <c r="EP41" i="18"/>
  <c r="EQ41" i="18" s="1"/>
  <c r="EP87" i="18"/>
  <c r="EQ87" i="18" s="1"/>
  <c r="EP69" i="18"/>
  <c r="EP51" i="18"/>
  <c r="EP44" i="18"/>
  <c r="EP67" i="18"/>
  <c r="EP46" i="18"/>
  <c r="EP71" i="18"/>
  <c r="EP63" i="18"/>
  <c r="EP85" i="18"/>
  <c r="EP45" i="18"/>
  <c r="EP49" i="18"/>
  <c r="EP78" i="18"/>
  <c r="EP74" i="18"/>
  <c r="EP79" i="18"/>
  <c r="EP54" i="18"/>
  <c r="EP73" i="18"/>
  <c r="EP80" i="18"/>
  <c r="EP86" i="18"/>
  <c r="EP50" i="18"/>
  <c r="EP48" i="18"/>
  <c r="EP65" i="18"/>
  <c r="EP55" i="18"/>
  <c r="EP57" i="18"/>
  <c r="EP43" i="18"/>
  <c r="EP66" i="18"/>
  <c r="EP59" i="18"/>
  <c r="EP64" i="18"/>
  <c r="EP61" i="18"/>
  <c r="EP72" i="18"/>
  <c r="EP75" i="18"/>
  <c r="EP58" i="18"/>
  <c r="EP60" i="18"/>
  <c r="EP68" i="18"/>
  <c r="EP47" i="18"/>
  <c r="EP77" i="18"/>
  <c r="EP81" i="18"/>
  <c r="EP52" i="18"/>
  <c r="EP42" i="18"/>
  <c r="EP84" i="18"/>
  <c r="EP83" i="18"/>
  <c r="EP70" i="18"/>
  <c r="EP82" i="18"/>
  <c r="EP53" i="18"/>
  <c r="EP76" i="18"/>
  <c r="EP62" i="18"/>
  <c r="EP56" i="18"/>
  <c r="T170" i="23"/>
  <c r="Q171" i="23" s="1"/>
  <c r="R171" i="23" s="1"/>
  <c r="T183" i="23" s="1"/>
  <c r="U183" i="23" s="1"/>
  <c r="T169" i="23"/>
  <c r="G25" i="23"/>
  <c r="G56" i="23" s="1"/>
  <c r="H56" i="23" s="1"/>
  <c r="G29" i="23"/>
  <c r="G60" i="23" s="1"/>
  <c r="H60" i="23" s="1"/>
  <c r="T168" i="23"/>
  <c r="Q168" i="23" s="1"/>
  <c r="R168" i="23" s="1"/>
  <c r="T180" i="23" s="1"/>
  <c r="U180" i="23" s="1"/>
  <c r="G26" i="23"/>
  <c r="G57" i="23" s="1"/>
  <c r="H57" i="23" s="1"/>
  <c r="G30" i="23"/>
  <c r="G61" i="23" s="1"/>
  <c r="H61" i="23" s="1"/>
  <c r="T172" i="23"/>
  <c r="Q172" i="23" s="1"/>
  <c r="R172" i="23" s="1"/>
  <c r="T184" i="23" s="1"/>
  <c r="U184" i="23" s="1"/>
  <c r="T173" i="23"/>
  <c r="G31" i="23"/>
  <c r="G62" i="23" s="1"/>
  <c r="H62" i="23" s="1"/>
  <c r="EQ43" i="18" l="1"/>
  <c r="EQ53" i="18"/>
  <c r="EQ60" i="18"/>
  <c r="EQ62" i="18"/>
  <c r="EQ67" i="18"/>
  <c r="EQ66" i="18"/>
  <c r="EQ50" i="18"/>
  <c r="EQ45" i="18"/>
  <c r="EQ73" i="18"/>
  <c r="EQ77" i="18"/>
  <c r="EQ47" i="18"/>
  <c r="EQ72" i="18"/>
  <c r="EQ84" i="18"/>
  <c r="EQ64" i="18"/>
  <c r="EQ74" i="18"/>
  <c r="EQ86" i="18"/>
  <c r="EQ79" i="18"/>
  <c r="EQ48" i="18"/>
  <c r="EQ70" i="18"/>
  <c r="EQ78" i="18"/>
  <c r="EQ68" i="18"/>
  <c r="EQ69" i="18"/>
  <c r="EQ58" i="18"/>
  <c r="EQ49" i="18"/>
  <c r="EQ57" i="18"/>
  <c r="EQ54" i="18"/>
  <c r="EQ63" i="18"/>
  <c r="EQ51" i="18"/>
  <c r="EQ71" i="18"/>
  <c r="EQ76" i="18"/>
  <c r="EQ75" i="18"/>
  <c r="EQ46" i="18"/>
  <c r="EQ52" i="18"/>
  <c r="EQ44" i="18"/>
  <c r="EQ85" i="18"/>
  <c r="EQ55" i="18"/>
  <c r="EQ82" i="18"/>
  <c r="EQ81" i="18"/>
  <c r="EQ61" i="18"/>
  <c r="EQ65" i="18"/>
  <c r="EQ56" i="18"/>
  <c r="EQ59" i="18"/>
  <c r="EQ80" i="18"/>
  <c r="EQ83" i="18"/>
  <c r="EQ42" i="18"/>
  <c r="Q170" i="23"/>
  <c r="R170" i="23" s="1"/>
  <c r="T182" i="23" s="1"/>
  <c r="U182" i="23" s="1"/>
  <c r="Q169" i="23"/>
  <c r="R169" i="23" s="1"/>
  <c r="T181" i="23" s="1"/>
  <c r="U181" i="23" s="1"/>
  <c r="Q173" i="23"/>
  <c r="R173" i="23" s="1"/>
  <c r="T185" i="23" s="1"/>
  <c r="U185" i="23" s="1"/>
  <c r="ER61" i="18" l="1"/>
  <c r="ER47" i="18"/>
  <c r="ER46" i="18"/>
  <c r="ER76" i="18"/>
  <c r="ER69" i="18"/>
  <c r="ER50" i="18"/>
  <c r="ER63" i="18"/>
  <c r="ER45" i="18"/>
  <c r="ER40" i="18"/>
  <c r="ER54" i="18"/>
  <c r="ER71" i="18"/>
  <c r="ER53" i="18"/>
  <c r="ER82" i="18"/>
  <c r="ER73" i="18"/>
  <c r="ER85" i="18"/>
  <c r="ER66" i="18"/>
  <c r="ER77" i="18"/>
  <c r="ER83" i="18"/>
  <c r="ER87" i="18"/>
  <c r="ER70" i="18"/>
  <c r="ER80" i="18"/>
  <c r="ER42" i="18"/>
  <c r="ER56" i="18"/>
  <c r="ER74" i="18"/>
  <c r="ER67" i="18"/>
  <c r="ER62" i="18"/>
  <c r="ER75" i="18"/>
  <c r="ER81" i="18"/>
  <c r="ER49" i="18"/>
  <c r="ER44" i="18"/>
  <c r="ER84" i="18"/>
  <c r="ER48" i="18"/>
  <c r="ER57" i="18"/>
  <c r="ER55" i="18"/>
  <c r="ER51" i="18"/>
  <c r="ER52" i="18"/>
  <c r="ER65" i="18"/>
  <c r="ER72" i="18"/>
  <c r="ER60" i="18"/>
  <c r="ER41" i="18"/>
  <c r="ER79" i="18"/>
  <c r="ER86" i="18"/>
  <c r="ER64" i="18"/>
  <c r="ER59" i="18"/>
  <c r="ER78" i="18"/>
  <c r="ER43" i="18"/>
  <c r="ER68" i="18"/>
  <c r="ER58" i="18"/>
  <c r="T189" i="23"/>
  <c r="U189" i="23" s="1"/>
  <c r="U201" i="23" s="1"/>
  <c r="T195" i="23"/>
  <c r="T207" i="23" s="1"/>
  <c r="A32" i="23" s="1"/>
  <c r="T190" i="23"/>
  <c r="U190" i="23" s="1"/>
  <c r="U202" i="23" s="1"/>
  <c r="T192" i="23"/>
  <c r="T194" i="23"/>
  <c r="T193" i="23"/>
  <c r="T188" i="23"/>
  <c r="T191" i="23"/>
  <c r="EV52" i="18" l="1"/>
  <c r="KE52" i="18" s="1"/>
  <c r="EV74" i="18"/>
  <c r="KE74" i="18" s="1"/>
  <c r="EV66" i="18"/>
  <c r="KE66" i="18" s="1"/>
  <c r="EV45" i="18"/>
  <c r="KE45" i="18" s="1"/>
  <c r="EV76" i="18"/>
  <c r="KE76" i="18" s="1"/>
  <c r="EV59" i="18"/>
  <c r="KE59" i="18" s="1"/>
  <c r="EV68" i="18"/>
  <c r="KE68" i="18" s="1"/>
  <c r="EV60" i="18"/>
  <c r="KE60" i="18" s="1"/>
  <c r="EV84" i="18"/>
  <c r="KE84" i="18" s="1"/>
  <c r="EV56" i="18"/>
  <c r="KE56" i="18" s="1"/>
  <c r="EV87" i="18"/>
  <c r="KE87" i="18" s="1"/>
  <c r="EV44" i="18"/>
  <c r="KE44" i="18" s="1"/>
  <c r="EV42" i="18"/>
  <c r="KE42" i="18" s="1"/>
  <c r="EV83" i="18"/>
  <c r="KE83" i="18" s="1"/>
  <c r="EV73" i="18"/>
  <c r="KE73" i="18" s="1"/>
  <c r="EV67" i="18"/>
  <c r="KE67" i="18" s="1"/>
  <c r="EV69" i="18"/>
  <c r="KE69" i="18" s="1"/>
  <c r="EV61" i="18"/>
  <c r="KE61" i="18" s="1"/>
  <c r="EV47" i="18"/>
  <c r="KE47" i="18" s="1"/>
  <c r="EV50" i="18"/>
  <c r="KE50" i="18" s="1"/>
  <c r="EV54" i="18"/>
  <c r="KE54" i="18" s="1"/>
  <c r="EV72" i="18"/>
  <c r="KE72" i="18" s="1"/>
  <c r="EV75" i="18"/>
  <c r="KE75" i="18" s="1"/>
  <c r="EV51" i="18"/>
  <c r="KE51" i="18" s="1"/>
  <c r="EV85" i="18"/>
  <c r="EV71" i="18"/>
  <c r="KE71" i="18" s="1"/>
  <c r="EV63" i="18"/>
  <c r="KE63" i="18" s="1"/>
  <c r="EV46" i="18"/>
  <c r="EV55" i="18"/>
  <c r="KE55" i="18" s="1"/>
  <c r="EV53" i="18"/>
  <c r="KE53" i="18" s="1"/>
  <c r="EV62" i="18"/>
  <c r="KE62" i="18" s="1"/>
  <c r="EV86" i="18"/>
  <c r="KE86" i="18" s="1"/>
  <c r="EV81" i="18"/>
  <c r="KE81" i="18" s="1"/>
  <c r="EV64" i="18"/>
  <c r="KE64" i="18" s="1"/>
  <c r="EV48" i="18"/>
  <c r="KE48" i="18" s="1"/>
  <c r="EV70" i="18"/>
  <c r="KE70" i="18" s="1"/>
  <c r="EV43" i="18"/>
  <c r="EV41" i="18"/>
  <c r="EV78" i="18"/>
  <c r="KE78" i="18" s="1"/>
  <c r="EV65" i="18"/>
  <c r="KE65" i="18" s="1"/>
  <c r="EV57" i="18"/>
  <c r="KE57" i="18" s="1"/>
  <c r="EV49" i="18"/>
  <c r="KE49" i="18" s="1"/>
  <c r="EV80" i="18"/>
  <c r="KE80" i="18" s="1"/>
  <c r="EV77" i="18"/>
  <c r="KE77" i="18" s="1"/>
  <c r="EV82" i="18"/>
  <c r="KE82" i="18" s="1"/>
  <c r="EV40" i="18"/>
  <c r="EV79" i="18"/>
  <c r="KE79" i="18" s="1"/>
  <c r="EV58" i="18"/>
  <c r="KE58" i="18" s="1"/>
  <c r="B40" i="23"/>
  <c r="B39" i="23"/>
  <c r="U195" i="23"/>
  <c r="U207" i="23" s="1"/>
  <c r="B32" i="23" s="1"/>
  <c r="H72" i="23" s="1"/>
  <c r="T202" i="23"/>
  <c r="T201" i="23"/>
  <c r="U188" i="23"/>
  <c r="U200" i="23" s="1"/>
  <c r="T200" i="23"/>
  <c r="T205" i="23"/>
  <c r="U193" i="23"/>
  <c r="U205" i="23" s="1"/>
  <c r="T206" i="23"/>
  <c r="U194" i="23"/>
  <c r="U206" i="23" s="1"/>
  <c r="T203" i="23"/>
  <c r="U191" i="23"/>
  <c r="U203" i="23" s="1"/>
  <c r="T204" i="23"/>
  <c r="U192" i="23"/>
  <c r="U204" i="23" s="1"/>
  <c r="FU60" i="18"/>
  <c r="KH57" i="18"/>
  <c r="FU63" i="18"/>
  <c r="FU72" i="18"/>
  <c r="FU82" i="18"/>
  <c r="FU45" i="18"/>
  <c r="FU53" i="18"/>
  <c r="KH63" i="18"/>
  <c r="KH87" i="18"/>
  <c r="FU56" i="18"/>
  <c r="KH73" i="18"/>
  <c r="KH69" i="18"/>
  <c r="FU54" i="18"/>
  <c r="KH76" i="18"/>
  <c r="FU49" i="18"/>
  <c r="KH66" i="18"/>
  <c r="KH86" i="18"/>
  <c r="KH79" i="18"/>
  <c r="FU78" i="18"/>
  <c r="FU68" i="18"/>
  <c r="FU74" i="18"/>
  <c r="FU79" i="18"/>
  <c r="FU43" i="18"/>
  <c r="KH72" i="18"/>
  <c r="FU51" i="18"/>
  <c r="KH45" i="18"/>
  <c r="KH44" i="18"/>
  <c r="KH80" i="18"/>
  <c r="FU87" i="18"/>
  <c r="KH59" i="18"/>
  <c r="FU65" i="18"/>
  <c r="KH49" i="18"/>
  <c r="FU59" i="18"/>
  <c r="KH60" i="18"/>
  <c r="KH47" i="18"/>
  <c r="KH42" i="18"/>
  <c r="KH74" i="18"/>
  <c r="KH75" i="18"/>
  <c r="FU61" i="18"/>
  <c r="KH56" i="18"/>
  <c r="FU57" i="18"/>
  <c r="FU41" i="18"/>
  <c r="KH64" i="18"/>
  <c r="KH83" i="18"/>
  <c r="KH67" i="18"/>
  <c r="FU58" i="18"/>
  <c r="KH81" i="18"/>
  <c r="KH51" i="18"/>
  <c r="FU62" i="18"/>
  <c r="FU69" i="18"/>
  <c r="KH65" i="18"/>
  <c r="KH78" i="18"/>
  <c r="FU76" i="18"/>
  <c r="KH58" i="18"/>
  <c r="FU67" i="18"/>
  <c r="FU64" i="18"/>
  <c r="FU81" i="18"/>
  <c r="FU84" i="18"/>
  <c r="FU73" i="18"/>
  <c r="KH70" i="18"/>
  <c r="FU80" i="18"/>
  <c r="FU47" i="18"/>
  <c r="KH52" i="18"/>
  <c r="FU46" i="18"/>
  <c r="KH71" i="18"/>
  <c r="FU48" i="18"/>
  <c r="FU77" i="18"/>
  <c r="FU70" i="18"/>
  <c r="FU40" i="18"/>
  <c r="KH84" i="18"/>
  <c r="KH77" i="18"/>
  <c r="KH53" i="18"/>
  <c r="FU55" i="18"/>
  <c r="FU50" i="18"/>
  <c r="KH62" i="18"/>
  <c r="KH68" i="18"/>
  <c r="FU52" i="18"/>
  <c r="FU85" i="18"/>
  <c r="KH82" i="18"/>
  <c r="FU71" i="18"/>
  <c r="KH55" i="18"/>
  <c r="FU86" i="18"/>
  <c r="KH54" i="18"/>
  <c r="KH50" i="18"/>
  <c r="FU75" i="18"/>
  <c r="FU44" i="18"/>
  <c r="FU42" i="18"/>
  <c r="FU66" i="18"/>
  <c r="FU83" i="18"/>
  <c r="KH48" i="18"/>
  <c r="KH61" i="18"/>
  <c r="KE41" i="18" l="1"/>
  <c r="KE43" i="18"/>
  <c r="KE46" i="18"/>
  <c r="KE40" i="18"/>
  <c r="KE85" i="18"/>
  <c r="B58" i="23"/>
  <c r="C67" i="23" s="1"/>
  <c r="B59" i="23"/>
  <c r="C68" i="23" s="1"/>
  <c r="B43" i="23"/>
  <c r="A41" i="23"/>
  <c r="B42" i="23"/>
  <c r="B44" i="23"/>
  <c r="A39" i="23"/>
  <c r="B41" i="23"/>
  <c r="A43" i="23"/>
  <c r="A42" i="23"/>
  <c r="A44" i="23"/>
  <c r="B38" i="23"/>
  <c r="A40" i="23"/>
  <c r="A38" i="23"/>
  <c r="C50" i="23"/>
  <c r="A50" i="23"/>
  <c r="B54" i="23"/>
  <c r="B53" i="23"/>
  <c r="B31" i="23"/>
  <c r="A31" i="23"/>
  <c r="G71" i="23" s="1"/>
  <c r="KK67" i="18"/>
  <c r="GF73" i="18"/>
  <c r="GF81" i="18"/>
  <c r="KK73" i="18"/>
  <c r="GF49" i="18"/>
  <c r="GF68" i="18"/>
  <c r="KK42" i="18"/>
  <c r="KK45" i="18"/>
  <c r="GF78" i="18"/>
  <c r="GF53" i="18"/>
  <c r="KH41" i="18"/>
  <c r="KK53" i="18"/>
  <c r="KK49" i="18"/>
  <c r="KK77" i="18"/>
  <c r="KK47" i="18"/>
  <c r="KK83" i="18"/>
  <c r="KK61" i="18"/>
  <c r="KK68" i="18"/>
  <c r="KK86" i="18"/>
  <c r="KK60" i="18"/>
  <c r="GF51" i="18"/>
  <c r="GF69" i="18"/>
  <c r="KH43" i="18"/>
  <c r="GF64" i="18"/>
  <c r="GF71" i="18"/>
  <c r="GF72" i="18"/>
  <c r="KK84" i="18"/>
  <c r="GF60" i="18"/>
  <c r="KK70" i="18"/>
  <c r="GF41" i="18"/>
  <c r="GF56" i="18"/>
  <c r="GF61" i="18"/>
  <c r="KH46" i="18"/>
  <c r="KK75" i="18"/>
  <c r="GF50" i="18"/>
  <c r="KK76" i="18"/>
  <c r="GF70" i="18"/>
  <c r="GF55" i="18"/>
  <c r="KK56" i="18"/>
  <c r="KK52" i="18"/>
  <c r="GF62" i="18"/>
  <c r="KK79" i="18"/>
  <c r="KK80" i="18"/>
  <c r="KK55" i="18"/>
  <c r="GF57" i="18"/>
  <c r="KK65" i="18"/>
  <c r="KH85" i="18"/>
  <c r="KK74" i="18"/>
  <c r="GF74" i="18"/>
  <c r="KK63" i="18"/>
  <c r="GF45" i="18"/>
  <c r="KK54" i="18"/>
  <c r="KK78" i="18"/>
  <c r="KK57" i="18"/>
  <c r="GF67" i="18"/>
  <c r="GF42" i="18"/>
  <c r="GF76" i="18"/>
  <c r="KK81" i="18"/>
  <c r="KK69" i="18"/>
  <c r="KK51" i="18"/>
  <c r="KH40" i="18"/>
  <c r="GF65" i="18"/>
  <c r="KK58" i="18"/>
  <c r="KK87" i="18"/>
  <c r="KK44" i="18"/>
  <c r="GF66" i="18"/>
  <c r="GF84" i="18"/>
  <c r="GF40" i="18"/>
  <c r="GF79" i="18"/>
  <c r="KK71" i="18"/>
  <c r="GF58" i="18"/>
  <c r="GF77" i="18"/>
  <c r="GF63" i="18"/>
  <c r="GF44" i="18"/>
  <c r="KK82" i="18"/>
  <c r="GF52" i="18"/>
  <c r="GF47" i="18"/>
  <c r="GF54" i="18"/>
  <c r="KK72" i="18"/>
  <c r="GF46" i="18"/>
  <c r="GF75" i="18"/>
  <c r="GF43" i="18"/>
  <c r="GF48" i="18"/>
  <c r="KK50" i="18"/>
  <c r="KK66" i="18"/>
  <c r="GF59" i="18"/>
  <c r="GF80" i="18"/>
  <c r="GF83" i="18"/>
  <c r="KK48" i="18"/>
  <c r="GF82" i="18"/>
  <c r="KK62" i="18"/>
  <c r="KK59" i="18"/>
  <c r="KK64" i="18"/>
  <c r="HL76" i="18" l="1"/>
  <c r="LL75" i="24"/>
  <c r="LM75" i="24" s="1"/>
  <c r="HD76" i="18"/>
  <c r="GO76" i="18"/>
  <c r="GO83" i="18"/>
  <c r="GE83" i="18"/>
  <c r="GV83" i="18" s="1"/>
  <c r="LL82" i="24"/>
  <c r="LM82" i="24" s="1"/>
  <c r="HD83" i="18"/>
  <c r="LL44" i="24"/>
  <c r="LM44" i="24" s="1"/>
  <c r="GO45" i="18"/>
  <c r="HL45" i="18"/>
  <c r="HD45" i="18"/>
  <c r="LL58" i="24"/>
  <c r="LM58" i="24" s="1"/>
  <c r="HL59" i="18"/>
  <c r="GO59" i="18"/>
  <c r="HD59" i="18"/>
  <c r="HD56" i="18"/>
  <c r="HL56" i="18"/>
  <c r="LL55" i="24"/>
  <c r="LM55" i="24" s="1"/>
  <c r="GO56" i="18"/>
  <c r="LL67" i="24"/>
  <c r="LM67" i="24" s="1"/>
  <c r="HD68" i="18"/>
  <c r="HL68" i="18"/>
  <c r="GO68" i="18"/>
  <c r="HD61" i="18"/>
  <c r="GO61" i="18"/>
  <c r="HL61" i="18"/>
  <c r="LL60" i="24"/>
  <c r="LM60" i="24" s="1"/>
  <c r="LL51" i="24"/>
  <c r="LM51" i="24" s="1"/>
  <c r="HD52" i="18"/>
  <c r="HL52" i="18"/>
  <c r="GO52" i="18"/>
  <c r="HL67" i="18"/>
  <c r="LL66" i="24"/>
  <c r="LM66" i="24" s="1"/>
  <c r="GO67" i="18"/>
  <c r="HD67" i="18"/>
  <c r="HL44" i="18"/>
  <c r="HD44" i="18"/>
  <c r="LL43" i="24"/>
  <c r="LM43" i="24" s="1"/>
  <c r="GO44" i="18"/>
  <c r="HD60" i="18"/>
  <c r="HL60" i="18"/>
  <c r="GO60" i="18"/>
  <c r="LL59" i="24"/>
  <c r="LM59" i="24" s="1"/>
  <c r="LL83" i="24"/>
  <c r="LM83" i="24" s="1"/>
  <c r="GO84" i="18"/>
  <c r="GE84" i="18"/>
  <c r="GV84" i="18" s="1"/>
  <c r="HD84" i="18"/>
  <c r="HL74" i="18"/>
  <c r="GO74" i="18"/>
  <c r="HD74" i="18"/>
  <c r="LL73" i="24"/>
  <c r="LM73" i="24" s="1"/>
  <c r="HD66" i="18"/>
  <c r="HL66" i="18"/>
  <c r="LL65" i="24"/>
  <c r="LM65" i="24" s="1"/>
  <c r="GO66" i="18"/>
  <c r="HL69" i="18"/>
  <c r="GO69" i="18"/>
  <c r="HD69" i="18"/>
  <c r="LL68" i="24"/>
  <c r="LM68" i="24" s="1"/>
  <c r="HD42" i="18"/>
  <c r="HL42" i="18"/>
  <c r="GO42" i="18"/>
  <c r="LL41" i="24"/>
  <c r="LM41" i="24" s="1"/>
  <c r="GO73" i="18"/>
  <c r="HD73" i="18"/>
  <c r="LL72" i="24"/>
  <c r="LM72" i="24" s="1"/>
  <c r="HL73" i="18"/>
  <c r="H71" i="23"/>
  <c r="G77" i="23"/>
  <c r="G85" i="23"/>
  <c r="G83" i="23"/>
  <c r="G81" i="23"/>
  <c r="G79" i="23"/>
  <c r="G84" i="23"/>
  <c r="G82" i="23"/>
  <c r="G80" i="23"/>
  <c r="G78" i="23"/>
  <c r="B55" i="23"/>
  <c r="HO34" i="18"/>
  <c r="HO37" i="18" s="1"/>
  <c r="B63" i="23"/>
  <c r="C72" i="23" s="1"/>
  <c r="B61" i="23"/>
  <c r="C70" i="23" s="1"/>
  <c r="B62" i="23"/>
  <c r="C71" i="23" s="1"/>
  <c r="GE79" i="18"/>
  <c r="GV79" i="18" s="1"/>
  <c r="GE78" i="18"/>
  <c r="GV78" i="18" s="1"/>
  <c r="GE80" i="18"/>
  <c r="GV80" i="18" s="1"/>
  <c r="GE82" i="18"/>
  <c r="GV82" i="18" s="1"/>
  <c r="GE81" i="18"/>
  <c r="GV81" i="18" s="1"/>
  <c r="GE41" i="18"/>
  <c r="GO62" i="18"/>
  <c r="HL62" i="18"/>
  <c r="HD62" i="18"/>
  <c r="LL61" i="24"/>
  <c r="LM61" i="24" s="1"/>
  <c r="HL77" i="18"/>
  <c r="HD77" i="18"/>
  <c r="LL76" i="24"/>
  <c r="LM76" i="24" s="1"/>
  <c r="GO77" i="18"/>
  <c r="HL46" i="18"/>
  <c r="HD46" i="18"/>
  <c r="LL45" i="24"/>
  <c r="LM45" i="24" s="1"/>
  <c r="GO46" i="18"/>
  <c r="HD75" i="18"/>
  <c r="LL74" i="24"/>
  <c r="LM74" i="24" s="1"/>
  <c r="GO75" i="18"/>
  <c r="HL75" i="18"/>
  <c r="HL64" i="18"/>
  <c r="LL63" i="24"/>
  <c r="LM63" i="24" s="1"/>
  <c r="GO64" i="18"/>
  <c r="HD64" i="18"/>
  <c r="HD65" i="18"/>
  <c r="GO65" i="18"/>
  <c r="HL65" i="18"/>
  <c r="LL64" i="24"/>
  <c r="LM64" i="24" s="1"/>
  <c r="LL48" i="24"/>
  <c r="LM48" i="24" s="1"/>
  <c r="HD49" i="18"/>
  <c r="HL49" i="18"/>
  <c r="GO49" i="18"/>
  <c r="LL46" i="24"/>
  <c r="LM46" i="24" s="1"/>
  <c r="GO47" i="18"/>
  <c r="HL47" i="18"/>
  <c r="HD47" i="18"/>
  <c r="HL57" i="18"/>
  <c r="HD57" i="18"/>
  <c r="GO57" i="18"/>
  <c r="LL56" i="24"/>
  <c r="LM56" i="24" s="1"/>
  <c r="GO81" i="18"/>
  <c r="HL81" i="18"/>
  <c r="HD81" i="18"/>
  <c r="LL80" i="24"/>
  <c r="LM80" i="24" s="1"/>
  <c r="HL70" i="18"/>
  <c r="GO70" i="18"/>
  <c r="LL69" i="24"/>
  <c r="LM69" i="24" s="1"/>
  <c r="HD70" i="18"/>
  <c r="HL79" i="18"/>
  <c r="LL78" i="24"/>
  <c r="LM78" i="24" s="1"/>
  <c r="GO79" i="18"/>
  <c r="HD79" i="18"/>
  <c r="GO55" i="18"/>
  <c r="LL54" i="24"/>
  <c r="LM54" i="24" s="1"/>
  <c r="HL55" i="18"/>
  <c r="HD55" i="18"/>
  <c r="LL42" i="24"/>
  <c r="LM42" i="24" s="1"/>
  <c r="GO43" i="18"/>
  <c r="HL43" i="18"/>
  <c r="HD43" i="18"/>
  <c r="HD72" i="18"/>
  <c r="HL72" i="18"/>
  <c r="GO72" i="18"/>
  <c r="LL71" i="24"/>
  <c r="LM71" i="24" s="1"/>
  <c r="LL77" i="24"/>
  <c r="LM77" i="24" s="1"/>
  <c r="HL78" i="18"/>
  <c r="GO78" i="18"/>
  <c r="HD78" i="18"/>
  <c r="GO82" i="18"/>
  <c r="HD82" i="18"/>
  <c r="HL82" i="18"/>
  <c r="LL81" i="24"/>
  <c r="LM81" i="24" s="1"/>
  <c r="HD58" i="18"/>
  <c r="LL57" i="24"/>
  <c r="LM57" i="24" s="1"/>
  <c r="GO58" i="18"/>
  <c r="HL58" i="18"/>
  <c r="HD41" i="18"/>
  <c r="HL41" i="18"/>
  <c r="GO41" i="18"/>
  <c r="LL40" i="24"/>
  <c r="LM40" i="24" s="1"/>
  <c r="LL50" i="24"/>
  <c r="LM50" i="24" s="1"/>
  <c r="HL51" i="18"/>
  <c r="HD51" i="18"/>
  <c r="GO51" i="18"/>
  <c r="HD48" i="18"/>
  <c r="GO48" i="18"/>
  <c r="HL48" i="18"/>
  <c r="LL47" i="24"/>
  <c r="LM47" i="24" s="1"/>
  <c r="HL40" i="18"/>
  <c r="GO40" i="18"/>
  <c r="GU40" i="18"/>
  <c r="HD40" i="18"/>
  <c r="LL39" i="24"/>
  <c r="LM39" i="24" s="1"/>
  <c r="LL49" i="24"/>
  <c r="LM49" i="24" s="1"/>
  <c r="HL50" i="18"/>
  <c r="HD50" i="18"/>
  <c r="GO50" i="18"/>
  <c r="LL70" i="24"/>
  <c r="LM70" i="24" s="1"/>
  <c r="GO71" i="18"/>
  <c r="HL71" i="18"/>
  <c r="HD71" i="18"/>
  <c r="HD54" i="18"/>
  <c r="HL54" i="18"/>
  <c r="LL53" i="24"/>
  <c r="LM53" i="24" s="1"/>
  <c r="GO54" i="18"/>
  <c r="HD53" i="18"/>
  <c r="GO53" i="18"/>
  <c r="HL53" i="18"/>
  <c r="LL52" i="24"/>
  <c r="LM52" i="24" s="1"/>
  <c r="HL80" i="18"/>
  <c r="LL79" i="24"/>
  <c r="LM79" i="24" s="1"/>
  <c r="GO80" i="18"/>
  <c r="HD80" i="18"/>
  <c r="LL62" i="24"/>
  <c r="LM62" i="24" s="1"/>
  <c r="HD63" i="18"/>
  <c r="HL63" i="18"/>
  <c r="GO63" i="18"/>
  <c r="B57" i="23"/>
  <c r="C66" i="23" s="1"/>
  <c r="B60" i="23"/>
  <c r="C69" i="23" s="1"/>
  <c r="A61" i="23"/>
  <c r="B70" i="23" s="1"/>
  <c r="A78" i="23" s="1"/>
  <c r="C42" i="23"/>
  <c r="C61" i="23" s="1"/>
  <c r="A60" i="23"/>
  <c r="B69" i="23" s="1"/>
  <c r="A77" i="23" s="1"/>
  <c r="C77" i="23" s="1"/>
  <c r="C41" i="23"/>
  <c r="C60" i="23" s="1"/>
  <c r="A59" i="23"/>
  <c r="B68" i="23" s="1"/>
  <c r="A76" i="23" s="1"/>
  <c r="C76" i="23" s="1"/>
  <c r="C40" i="23"/>
  <c r="C59" i="23" s="1"/>
  <c r="A63" i="23"/>
  <c r="B72" i="23" s="1"/>
  <c r="A80" i="23" s="1"/>
  <c r="C44" i="23"/>
  <c r="C63" i="23" s="1"/>
  <c r="C43" i="23"/>
  <c r="C62" i="23" s="1"/>
  <c r="A62" i="23"/>
  <c r="B71" i="23" s="1"/>
  <c r="A79" i="23" s="1"/>
  <c r="C39" i="23"/>
  <c r="C58" i="23" s="1"/>
  <c r="A58" i="23"/>
  <c r="B67" i="23" s="1"/>
  <c r="A75" i="23" s="1"/>
  <c r="C75" i="23" s="1"/>
  <c r="C38" i="23"/>
  <c r="A57" i="23"/>
  <c r="B66" i="23" s="1"/>
  <c r="A74" i="23" s="1"/>
  <c r="C31" i="23"/>
  <c r="C55" i="23" s="1"/>
  <c r="A55" i="23"/>
  <c r="C54" i="23"/>
  <c r="A54" i="23"/>
  <c r="C51" i="23"/>
  <c r="A51" i="23"/>
  <c r="C53" i="23"/>
  <c r="A53" i="23"/>
  <c r="C52" i="23"/>
  <c r="A52" i="23"/>
  <c r="C49" i="23"/>
  <c r="KK85" i="18"/>
  <c r="KK41" i="18"/>
  <c r="KK46" i="18"/>
  <c r="KK43" i="18"/>
  <c r="HP83" i="18" l="1"/>
  <c r="GE85" i="18"/>
  <c r="HP85" i="18" s="1"/>
  <c r="HO85" i="18" s="1"/>
  <c r="HP84" i="18"/>
  <c r="HP81" i="18"/>
  <c r="HP79" i="18"/>
  <c r="GE42" i="18"/>
  <c r="HP82" i="18"/>
  <c r="HP80" i="18"/>
  <c r="HP78" i="18"/>
  <c r="C57" i="23"/>
  <c r="C80" i="23"/>
  <c r="C79" i="23"/>
  <c r="C78" i="23"/>
  <c r="C74" i="23"/>
  <c r="GT41" i="18"/>
  <c r="GU41" i="18"/>
  <c r="HP41" i="18"/>
  <c r="HQ41" i="18" s="1"/>
  <c r="A72" i="23"/>
  <c r="B80" i="23" s="1"/>
  <c r="A67" i="23"/>
  <c r="B75" i="23" s="1"/>
  <c r="C66" i="19" l="1"/>
  <c r="HQ84" i="18"/>
  <c r="HR84" i="18"/>
  <c r="HQ85" i="18"/>
  <c r="HR85" i="18"/>
  <c r="GE86" i="18"/>
  <c r="GE87" i="18" s="1"/>
  <c r="HP87" i="18" s="1"/>
  <c r="HS90" i="18" s="1"/>
  <c r="HO90" i="18" s="1"/>
  <c r="GU42" i="18"/>
  <c r="GT42" i="18"/>
  <c r="HP42" i="18"/>
  <c r="HS42" i="18" s="1"/>
  <c r="HQ81" i="18"/>
  <c r="HR83" i="18"/>
  <c r="HQ82" i="18"/>
  <c r="HQ83" i="18"/>
  <c r="HS85" i="18"/>
  <c r="HS84" i="18"/>
  <c r="HS83" i="18"/>
  <c r="HQ79" i="18"/>
  <c r="HR80" i="18"/>
  <c r="HQ80" i="18"/>
  <c r="HS82" i="18"/>
  <c r="HR81" i="18"/>
  <c r="HS81" i="18"/>
  <c r="HR82" i="18"/>
  <c r="GE43" i="18"/>
  <c r="HR41" i="18"/>
  <c r="HS41" i="18"/>
  <c r="C71" i="19" l="1"/>
  <c r="HO84" i="18"/>
  <c r="HR89" i="18"/>
  <c r="HQ88" i="18"/>
  <c r="HP86" i="18"/>
  <c r="HQ86" i="18" s="1"/>
  <c r="HR42" i="18"/>
  <c r="HQ42" i="18"/>
  <c r="HO83" i="18"/>
  <c r="HO81" i="18"/>
  <c r="HO82" i="18"/>
  <c r="GE44" i="18"/>
  <c r="GU43" i="18"/>
  <c r="HP43" i="18"/>
  <c r="GT43" i="18"/>
  <c r="C63" i="19" l="1"/>
  <c r="C65" i="19"/>
  <c r="C62" i="19"/>
  <c r="C64" i="19"/>
  <c r="HO86" i="18"/>
  <c r="HS86" i="18"/>
  <c r="HR88" i="18"/>
  <c r="HS87" i="18"/>
  <c r="HO87" i="18" s="1"/>
  <c r="HR87" i="18"/>
  <c r="HS89" i="18"/>
  <c r="HO89" i="18" s="1"/>
  <c r="HR86" i="18"/>
  <c r="HS88" i="18"/>
  <c r="HQ87" i="18"/>
  <c r="HR43" i="18"/>
  <c r="HS43" i="18"/>
  <c r="HQ43" i="18"/>
  <c r="GE45" i="18"/>
  <c r="HP44" i="18"/>
  <c r="GU44" i="18"/>
  <c r="GT44" i="18"/>
  <c r="C68" i="19" l="1"/>
  <c r="C70" i="19"/>
  <c r="C67" i="19"/>
  <c r="HO88" i="18"/>
  <c r="GE46" i="18"/>
  <c r="HP45" i="18"/>
  <c r="GU45" i="18"/>
  <c r="GT45" i="18"/>
  <c r="HR44" i="18"/>
  <c r="HQ44" i="18"/>
  <c r="HS44" i="18"/>
  <c r="C69" i="19" l="1"/>
  <c r="HS45" i="18"/>
  <c r="HQ45" i="18"/>
  <c r="HR45" i="18"/>
  <c r="GE47" i="18"/>
  <c r="GT46" i="18"/>
  <c r="GU46" i="18"/>
  <c r="HP46" i="18"/>
  <c r="GE48" i="18" l="1"/>
  <c r="HP47" i="18"/>
  <c r="GU47" i="18"/>
  <c r="GT47" i="18"/>
  <c r="HQ46" i="18"/>
  <c r="HS46" i="18"/>
  <c r="HR46" i="18"/>
  <c r="HS47" i="18" l="1"/>
  <c r="HR47" i="18"/>
  <c r="HQ47" i="18"/>
  <c r="GE49" i="18"/>
  <c r="GU48" i="18"/>
  <c r="GT48" i="18"/>
  <c r="HP48" i="18"/>
  <c r="HR48" i="18" l="1"/>
  <c r="HS48" i="18"/>
  <c r="HQ48" i="18"/>
  <c r="GE50" i="18"/>
  <c r="GU49" i="18"/>
  <c r="HP49" i="18"/>
  <c r="GT49" i="18"/>
  <c r="HQ49" i="18" l="1"/>
  <c r="HR49" i="18"/>
  <c r="HS49" i="18"/>
  <c r="GE51" i="18"/>
  <c r="GU50" i="18"/>
  <c r="HP50" i="18"/>
  <c r="GT50" i="18"/>
  <c r="GE52" i="18" l="1"/>
  <c r="GU51" i="18"/>
  <c r="HP51" i="18"/>
  <c r="GT51" i="18"/>
  <c r="HR50" i="18"/>
  <c r="HQ50" i="18"/>
  <c r="HS50" i="18"/>
  <c r="HS51" i="18" l="1"/>
  <c r="HR51" i="18"/>
  <c r="HQ51" i="18"/>
  <c r="GE53" i="18"/>
  <c r="GU52" i="18"/>
  <c r="GT52" i="18"/>
  <c r="HP52" i="18"/>
  <c r="GE54" i="18" l="1"/>
  <c r="GU53" i="18"/>
  <c r="GT53" i="18"/>
  <c r="HP53" i="18"/>
  <c r="HQ52" i="18"/>
  <c r="HS52" i="18"/>
  <c r="HR52" i="18"/>
  <c r="HR53" i="18" l="1"/>
  <c r="HS53" i="18"/>
  <c r="HQ53" i="18"/>
  <c r="GE55" i="18"/>
  <c r="HP54" i="18"/>
  <c r="GT54" i="18"/>
  <c r="GU54" i="18"/>
  <c r="HS54" i="18" l="1"/>
  <c r="HR54" i="18"/>
  <c r="HQ54" i="18"/>
  <c r="GE56" i="18"/>
  <c r="GT55" i="18"/>
  <c r="HP55" i="18"/>
  <c r="GU55" i="18"/>
  <c r="HR55" i="18" l="1"/>
  <c r="HQ55" i="18"/>
  <c r="HS55" i="18"/>
  <c r="GE57" i="18"/>
  <c r="GU56" i="18"/>
  <c r="HP56" i="18"/>
  <c r="GT56" i="18"/>
  <c r="HR56" i="18" l="1"/>
  <c r="HS56" i="18"/>
  <c r="HQ56" i="18"/>
  <c r="GE58" i="18"/>
  <c r="GU57" i="18"/>
  <c r="HP57" i="18"/>
  <c r="GT57" i="18"/>
  <c r="GE59" i="18" l="1"/>
  <c r="GT58" i="18"/>
  <c r="GU58" i="18"/>
  <c r="HP58" i="18"/>
  <c r="HQ57" i="18"/>
  <c r="HS57" i="18"/>
  <c r="HR57" i="18"/>
  <c r="HQ58" i="18" l="1"/>
  <c r="HR58" i="18"/>
  <c r="HS58" i="18"/>
  <c r="GE60" i="18"/>
  <c r="HP59" i="18"/>
  <c r="GU59" i="18"/>
  <c r="GT59" i="18"/>
  <c r="GE61" i="18" l="1"/>
  <c r="HP60" i="18"/>
  <c r="GU60" i="18"/>
  <c r="GT60" i="18"/>
  <c r="HS59" i="18"/>
  <c r="HR59" i="18"/>
  <c r="HQ59" i="18"/>
  <c r="GE62" i="18" l="1"/>
  <c r="HQ60" i="18"/>
  <c r="HS60" i="18"/>
  <c r="HR60" i="18"/>
  <c r="GU61" i="18"/>
  <c r="GT61" i="18"/>
  <c r="HP61" i="18"/>
  <c r="GE63" i="18" l="1"/>
  <c r="HP62" i="18"/>
  <c r="HR62" i="18" s="1"/>
  <c r="GU62" i="18"/>
  <c r="GT62" i="18"/>
  <c r="HR61" i="18"/>
  <c r="HS61" i="18"/>
  <c r="HQ61" i="18"/>
  <c r="HS62" i="18" l="1"/>
  <c r="HQ62" i="18"/>
  <c r="GE64" i="18"/>
  <c r="GT63" i="18"/>
  <c r="GU63" i="18"/>
  <c r="HP63" i="18"/>
  <c r="GE65" i="18" l="1"/>
  <c r="GU64" i="18"/>
  <c r="GT64" i="18"/>
  <c r="HP64" i="18"/>
  <c r="HQ63" i="18"/>
  <c r="HR63" i="18"/>
  <c r="HS63" i="18"/>
  <c r="HR64" i="18" l="1"/>
  <c r="HQ64" i="18"/>
  <c r="HS64" i="18"/>
  <c r="GE66" i="18"/>
  <c r="GT65" i="18"/>
  <c r="HP65" i="18"/>
  <c r="GU65" i="18"/>
  <c r="HS65" i="18" l="1"/>
  <c r="HQ65" i="18"/>
  <c r="HR65" i="18"/>
  <c r="GE67" i="18"/>
  <c r="HP66" i="18"/>
  <c r="GU66" i="18"/>
  <c r="GT66" i="18"/>
  <c r="HQ66" i="18" l="1"/>
  <c r="HR66" i="18"/>
  <c r="HS66" i="18"/>
  <c r="GE68" i="18"/>
  <c r="GT67" i="18"/>
  <c r="GU67" i="18"/>
  <c r="HP67" i="18"/>
  <c r="GE69" i="18" l="1"/>
  <c r="GE70" i="18" s="1"/>
  <c r="GE71" i="18" s="1"/>
  <c r="GE72" i="18" s="1"/>
  <c r="HP68" i="18"/>
  <c r="GT68" i="18"/>
  <c r="GU68" i="18"/>
  <c r="HQ67" i="18"/>
  <c r="HR67" i="18"/>
  <c r="HS67" i="18"/>
  <c r="GE73" i="18" l="1"/>
  <c r="GT72" i="18"/>
  <c r="HP72" i="18"/>
  <c r="GU72" i="18"/>
  <c r="GU71" i="18"/>
  <c r="GT71" i="18"/>
  <c r="HP71" i="18"/>
  <c r="HP70" i="18"/>
  <c r="GT70" i="18"/>
  <c r="GU70" i="18"/>
  <c r="HS68" i="18"/>
  <c r="HQ68" i="18"/>
  <c r="HR68" i="18"/>
  <c r="HP69" i="18"/>
  <c r="GT69" i="18"/>
  <c r="GU69" i="18"/>
  <c r="GE74" i="18" l="1"/>
  <c r="GU73" i="18"/>
  <c r="GT73" i="18"/>
  <c r="HP73" i="18"/>
  <c r="HQ73" i="18" s="1"/>
  <c r="HQ72" i="18"/>
  <c r="HQ71" i="18"/>
  <c r="HR72" i="18"/>
  <c r="HS69" i="18"/>
  <c r="HQ69" i="18"/>
  <c r="HR69" i="18"/>
  <c r="HS70" i="18"/>
  <c r="HS71" i="18"/>
  <c r="HR70" i="18"/>
  <c r="HQ70" i="18"/>
  <c r="HR71" i="18"/>
  <c r="HS72" i="18"/>
  <c r="HR73" i="18" l="1"/>
  <c r="HS73" i="18"/>
  <c r="GE75" i="18"/>
  <c r="GT74" i="18"/>
  <c r="HP74" i="18"/>
  <c r="GU74" i="18"/>
  <c r="HR74" i="18" l="1"/>
  <c r="HQ74" i="18"/>
  <c r="HS74" i="18"/>
  <c r="GE76" i="18"/>
  <c r="GE77" i="18" s="1"/>
  <c r="HP75" i="18"/>
  <c r="EA23" i="15"/>
  <c r="EB23" i="15" s="1"/>
  <c r="HP77" i="18" l="1"/>
  <c r="HQ75" i="18"/>
  <c r="HS75" i="18"/>
  <c r="HR75" i="18"/>
  <c r="HP76" i="18"/>
  <c r="EA21" i="15"/>
  <c r="EB21" i="15" s="1"/>
  <c r="ED23" i="15"/>
  <c r="FM23" i="15"/>
  <c r="EM23" i="15"/>
  <c r="EH23" i="15"/>
  <c r="EJ23" i="15"/>
  <c r="EO23" i="15"/>
  <c r="EP23" i="15"/>
  <c r="EE23" i="15"/>
  <c r="EF23" i="15"/>
  <c r="EN23" i="15"/>
  <c r="EQ23" i="15"/>
  <c r="EK23" i="15"/>
  <c r="EL23" i="15"/>
  <c r="EG23" i="15"/>
  <c r="EI23" i="15"/>
  <c r="HQ78" i="18" l="1"/>
  <c r="HS80" i="18"/>
  <c r="HO80" i="18" s="1"/>
  <c r="HR79" i="18"/>
  <c r="HQ76" i="18"/>
  <c r="HR76" i="18"/>
  <c r="HS76" i="18"/>
  <c r="HR77" i="18"/>
  <c r="HQ77" i="18"/>
  <c r="HR78" i="18"/>
  <c r="HS77" i="18"/>
  <c r="HS78" i="18"/>
  <c r="HS79" i="18"/>
  <c r="DS23" i="15"/>
  <c r="EK21" i="15"/>
  <c r="EJ21" i="15"/>
  <c r="FM21" i="15"/>
  <c r="EM21" i="15"/>
  <c r="EF21" i="15"/>
  <c r="EO21" i="15"/>
  <c r="EG21" i="15"/>
  <c r="EN21" i="15"/>
  <c r="EI21" i="15"/>
  <c r="EE21" i="15"/>
  <c r="EQ21" i="15"/>
  <c r="EP21" i="15"/>
  <c r="EH21" i="15"/>
  <c r="ED21" i="15"/>
  <c r="EL21" i="15"/>
  <c r="C61" i="19" l="1"/>
  <c r="HO79" i="18"/>
  <c r="HO78" i="18"/>
  <c r="DS21" i="15"/>
  <c r="DT21" i="15" s="1"/>
  <c r="DT23" i="15"/>
  <c r="JW50" i="10"/>
  <c r="H16" i="20" s="1"/>
  <c r="EA22" i="15"/>
  <c r="EB22" i="15" s="1"/>
  <c r="EL22" i="15"/>
  <c r="C59" i="19" l="1"/>
  <c r="C60" i="19"/>
  <c r="JW48" i="10"/>
  <c r="H14" i="20" s="1"/>
  <c r="JX50" i="10"/>
  <c r="I16" i="20" s="1"/>
  <c r="DU23" i="15"/>
  <c r="JX48" i="10"/>
  <c r="I14" i="20" s="1"/>
  <c r="DU21" i="15"/>
  <c r="EI22" i="15"/>
  <c r="EM22" i="15"/>
  <c r="EE22" i="15"/>
  <c r="EN22" i="15"/>
  <c r="EH22" i="15"/>
  <c r="EG22" i="15"/>
  <c r="EP22" i="15"/>
  <c r="EQ22" i="15"/>
  <c r="ED22" i="15"/>
  <c r="EJ22" i="15"/>
  <c r="EK22" i="15"/>
  <c r="EF22" i="15"/>
  <c r="EO22" i="15"/>
  <c r="FM22" i="15"/>
  <c r="DS22" i="15" l="1"/>
  <c r="JW49" i="10" s="1"/>
  <c r="H15" i="20" s="1"/>
  <c r="JY50" i="10"/>
  <c r="DV23" i="15"/>
  <c r="JZ50" i="10" s="1"/>
  <c r="K16" i="20" s="1"/>
  <c r="DV21" i="15"/>
  <c r="JZ48" i="10" s="1"/>
  <c r="K14" i="20" s="1"/>
  <c r="JY48" i="10"/>
  <c r="EA24" i="15"/>
  <c r="EB24" i="15" s="1"/>
  <c r="EO24" i="15"/>
  <c r="DT22" i="15" l="1"/>
  <c r="JX49" i="10" s="1"/>
  <c r="I15" i="20" s="1"/>
  <c r="KD50" i="10"/>
  <c r="J16" i="20"/>
  <c r="J14" i="20"/>
  <c r="KD48" i="10"/>
  <c r="KG48" i="10"/>
  <c r="EK24" i="15"/>
  <c r="EM24" i="15"/>
  <c r="EE24" i="15"/>
  <c r="KG50" i="10"/>
  <c r="EF24" i="15"/>
  <c r="EN24" i="15"/>
  <c r="EH24" i="15"/>
  <c r="EP24" i="15"/>
  <c r="EL24" i="15"/>
  <c r="EQ24" i="15"/>
  <c r="ED24" i="15"/>
  <c r="EI24" i="15"/>
  <c r="EG24" i="15"/>
  <c r="EJ24" i="15"/>
  <c r="FM24" i="15"/>
  <c r="DU22" i="15" l="1"/>
  <c r="DV22" i="15" s="1"/>
  <c r="JZ49" i="10" s="1"/>
  <c r="K15" i="20" s="1"/>
  <c r="DS24" i="15"/>
  <c r="JW51" i="10" s="1"/>
  <c r="H17" i="20" s="1"/>
  <c r="EA25" i="15"/>
  <c r="EB25" i="15" s="1"/>
  <c r="EK25" i="15"/>
  <c r="KJ50" i="10"/>
  <c r="KJ48" i="10"/>
  <c r="DT24" i="15" l="1"/>
  <c r="JX51" i="10" s="1"/>
  <c r="I17" i="20" s="1"/>
  <c r="JY49" i="10"/>
  <c r="J15" i="20" s="1"/>
  <c r="LC50" i="10"/>
  <c r="LF50" i="10" s="1"/>
  <c r="LC48" i="10"/>
  <c r="LF48" i="10" s="1"/>
  <c r="EL25" i="15"/>
  <c r="EO25" i="15"/>
  <c r="EM25" i="15"/>
  <c r="EH25" i="15"/>
  <c r="EG25" i="15"/>
  <c r="EP25" i="15"/>
  <c r="FM25" i="15"/>
  <c r="EE25" i="15"/>
  <c r="EI25" i="15"/>
  <c r="EN25" i="15"/>
  <c r="EF25" i="15"/>
  <c r="EJ25" i="15"/>
  <c r="ED25" i="15"/>
  <c r="EQ25" i="15"/>
  <c r="DU24" i="15" l="1"/>
  <c r="DV24" i="15" s="1"/>
  <c r="JZ51" i="10" s="1"/>
  <c r="K17" i="20" s="1"/>
  <c r="KD49" i="10"/>
  <c r="DS25" i="15"/>
  <c r="JW52" i="10" s="1"/>
  <c r="H18" i="20" s="1"/>
  <c r="EA26" i="15"/>
  <c r="EB26" i="15" s="1"/>
  <c r="KG49" i="10"/>
  <c r="EP26" i="15"/>
  <c r="JY51" i="10" l="1"/>
  <c r="J17" i="20" s="1"/>
  <c r="DT25" i="15"/>
  <c r="JX52" i="10" s="1"/>
  <c r="I18" i="20" s="1"/>
  <c r="EQ26" i="15"/>
  <c r="EM26" i="15"/>
  <c r="EJ26" i="15"/>
  <c r="EL26" i="15"/>
  <c r="KJ49" i="10"/>
  <c r="ED26" i="15"/>
  <c r="EG26" i="15"/>
  <c r="EO26" i="15"/>
  <c r="EN26" i="15"/>
  <c r="EF26" i="15"/>
  <c r="EE26" i="15"/>
  <c r="EK26" i="15"/>
  <c r="EI26" i="15"/>
  <c r="EH26" i="15"/>
  <c r="FM26" i="15"/>
  <c r="KD51" i="10" l="1"/>
  <c r="LC49" i="10"/>
  <c r="LF49" i="10" s="1"/>
  <c r="DU25" i="15"/>
  <c r="DV25" i="15" s="1"/>
  <c r="JZ52" i="10" s="1"/>
  <c r="K18" i="20" s="1"/>
  <c r="DS26" i="15"/>
  <c r="DT26" i="15" s="1"/>
  <c r="KG51" i="10"/>
  <c r="JY52" i="10" l="1"/>
  <c r="KD52" i="10" s="1"/>
  <c r="JW53" i="10"/>
  <c r="H19" i="20" s="1"/>
  <c r="JX53" i="10"/>
  <c r="I19" i="20" s="1"/>
  <c r="DU26" i="15"/>
  <c r="EA27" i="15"/>
  <c r="EB27" i="15" s="1"/>
  <c r="KG52" i="10"/>
  <c r="KJ51" i="10"/>
  <c r="EN27" i="15"/>
  <c r="LC51" i="10" l="1"/>
  <c r="LF51" i="10" s="1"/>
  <c r="J18" i="20"/>
  <c r="DV26" i="15"/>
  <c r="JZ53" i="10" s="1"/>
  <c r="K19" i="20" s="1"/>
  <c r="JY53" i="10"/>
  <c r="EJ27" i="15"/>
  <c r="EE27" i="15"/>
  <c r="ED27" i="15"/>
  <c r="EL27" i="15"/>
  <c r="EP27" i="15"/>
  <c r="EF27" i="15"/>
  <c r="KJ52" i="10"/>
  <c r="EQ27" i="15"/>
  <c r="EM27" i="15"/>
  <c r="FM27" i="15"/>
  <c r="EO27" i="15"/>
  <c r="EG27" i="15"/>
  <c r="EK27" i="15"/>
  <c r="EH27" i="15"/>
  <c r="EI27" i="15"/>
  <c r="DS27" i="15" l="1"/>
  <c r="DT27" i="15" s="1"/>
  <c r="JX54" i="10" s="1"/>
  <c r="I20" i="20" s="1"/>
  <c r="LC52" i="10"/>
  <c r="LF52" i="10" s="1"/>
  <c r="J19" i="20"/>
  <c r="KD53" i="10"/>
  <c r="KG53" i="10"/>
  <c r="JW54" i="10" l="1"/>
  <c r="H20" i="20" s="1"/>
  <c r="DU27" i="15"/>
  <c r="DV27" i="15" s="1"/>
  <c r="JZ54" i="10" s="1"/>
  <c r="K20" i="20" s="1"/>
  <c r="EA28" i="15"/>
  <c r="EB28" i="15" s="1"/>
  <c r="KJ53" i="10"/>
  <c r="EK28" i="15"/>
  <c r="LC53" i="10" l="1"/>
  <c r="LF53" i="10" s="1"/>
  <c r="JY54" i="10"/>
  <c r="J20" i="20" s="1"/>
  <c r="EM28" i="15"/>
  <c r="EE28" i="15"/>
  <c r="EL28" i="15"/>
  <c r="FM28" i="15"/>
  <c r="ED28" i="15"/>
  <c r="EP28" i="15"/>
  <c r="EF28" i="15"/>
  <c r="EH28" i="15"/>
  <c r="EJ28" i="15"/>
  <c r="EG28" i="15"/>
  <c r="EI28" i="15"/>
  <c r="EO28" i="15"/>
  <c r="EN28" i="15"/>
  <c r="EQ28" i="15"/>
  <c r="DS28" i="15" l="1"/>
  <c r="DT28" i="15" s="1"/>
  <c r="JX55" i="10" s="1"/>
  <c r="I21" i="20" s="1"/>
  <c r="KD54" i="10"/>
  <c r="KG54" i="10"/>
  <c r="JW55" i="10" l="1"/>
  <c r="H21" i="20" s="1"/>
  <c r="DU28" i="15"/>
  <c r="DV28" i="15" s="1"/>
  <c r="JZ55" i="10" s="1"/>
  <c r="K21" i="20" s="1"/>
  <c r="EA29" i="15"/>
  <c r="EB29" i="15" s="1"/>
  <c r="KJ54" i="10"/>
  <c r="EJ29" i="15"/>
  <c r="LC54" i="10" l="1"/>
  <c r="LF54" i="10" s="1"/>
  <c r="JY55" i="10"/>
  <c r="J21" i="20" s="1"/>
  <c r="EF29" i="15"/>
  <c r="EL29" i="15"/>
  <c r="EO29" i="15"/>
  <c r="EG29" i="15"/>
  <c r="EI29" i="15"/>
  <c r="ED29" i="15"/>
  <c r="EH29" i="15"/>
  <c r="EK29" i="15"/>
  <c r="EM29" i="15"/>
  <c r="FM29" i="15"/>
  <c r="EP29" i="15"/>
  <c r="EN29" i="15"/>
  <c r="EE29" i="15"/>
  <c r="EQ29" i="15"/>
  <c r="DS29" i="15" l="1"/>
  <c r="JW56" i="10" s="1"/>
  <c r="H22" i="20" s="1"/>
  <c r="KD55" i="10"/>
  <c r="KG55" i="10"/>
  <c r="DT29" i="15" l="1"/>
  <c r="JX56" i="10" s="1"/>
  <c r="I22" i="20" s="1"/>
  <c r="EA30" i="15"/>
  <c r="EB30" i="15" s="1"/>
  <c r="KJ55" i="10"/>
  <c r="EG30" i="15"/>
  <c r="DU29" i="15" l="1"/>
  <c r="DV29" i="15" s="1"/>
  <c r="JZ56" i="10" s="1"/>
  <c r="K22" i="20" s="1"/>
  <c r="LC55" i="10"/>
  <c r="LF55" i="10" s="1"/>
  <c r="EO30" i="15"/>
  <c r="EQ30" i="15"/>
  <c r="EJ30" i="15"/>
  <c r="EP30" i="15"/>
  <c r="FM30" i="15"/>
  <c r="EK30" i="15"/>
  <c r="EI30" i="15"/>
  <c r="EE30" i="15"/>
  <c r="EM30" i="15"/>
  <c r="ED30" i="15"/>
  <c r="EF30" i="15"/>
  <c r="EH30" i="15"/>
  <c r="EL30" i="15"/>
  <c r="EN30" i="15"/>
  <c r="JY56" i="10" l="1"/>
  <c r="KD56" i="10" s="1"/>
  <c r="DS30" i="15"/>
  <c r="JW57" i="10" s="1"/>
  <c r="H23" i="20" s="1"/>
  <c r="KG56" i="10"/>
  <c r="J22" i="20" l="1"/>
  <c r="DT30" i="15"/>
  <c r="JX57" i="10" s="1"/>
  <c r="I23" i="20" s="1"/>
  <c r="KJ56" i="10"/>
  <c r="DU30" i="15" l="1"/>
  <c r="DV30" i="15" s="1"/>
  <c r="JZ57" i="10" s="1"/>
  <c r="K23" i="20" s="1"/>
  <c r="LC56" i="10"/>
  <c r="LF56" i="10" s="1"/>
  <c r="EA32" i="15"/>
  <c r="EB32" i="15" s="1"/>
  <c r="EI32" i="15"/>
  <c r="JY57" i="10" l="1"/>
  <c r="J23" i="20" s="1"/>
  <c r="EJ32" i="15"/>
  <c r="EH32" i="15"/>
  <c r="EQ32" i="15"/>
  <c r="EG32" i="15"/>
  <c r="EK32" i="15"/>
  <c r="EM32" i="15"/>
  <c r="EL32" i="15"/>
  <c r="ED32" i="15"/>
  <c r="FM32" i="15"/>
  <c r="EN32" i="15"/>
  <c r="EF32" i="15"/>
  <c r="EE32" i="15"/>
  <c r="EO32" i="15"/>
  <c r="EP32" i="15"/>
  <c r="DS32" i="15" l="1"/>
  <c r="DT32" i="15" s="1"/>
  <c r="JX59" i="10" s="1"/>
  <c r="I25" i="20" s="1"/>
  <c r="KD57" i="10"/>
  <c r="EA31" i="15"/>
  <c r="EB31" i="15" s="1"/>
  <c r="KG57" i="10"/>
  <c r="EO31" i="15"/>
  <c r="JW59" i="10" l="1"/>
  <c r="H25" i="20" s="1"/>
  <c r="DU32" i="15"/>
  <c r="EP31" i="15"/>
  <c r="EK31" i="15"/>
  <c r="EE31" i="15"/>
  <c r="EQ31" i="15"/>
  <c r="EI31" i="15"/>
  <c r="EF31" i="15"/>
  <c r="EJ31" i="15"/>
  <c r="EG31" i="15"/>
  <c r="KJ57" i="10"/>
  <c r="EL31" i="15"/>
  <c r="EH31" i="15"/>
  <c r="ED31" i="15"/>
  <c r="EN31" i="15"/>
  <c r="FM31" i="15"/>
  <c r="EM31" i="15"/>
  <c r="DS31" i="15" l="1"/>
  <c r="DT31" i="15" s="1"/>
  <c r="JX58" i="10" s="1"/>
  <c r="I24" i="20" s="1"/>
  <c r="LC57" i="10"/>
  <c r="LF57" i="10" s="1"/>
  <c r="DV32" i="15"/>
  <c r="JZ59" i="10" s="1"/>
  <c r="K25" i="20" s="1"/>
  <c r="JY59" i="10"/>
  <c r="JW58" i="10" l="1"/>
  <c r="H24" i="20" s="1"/>
  <c r="J25" i="20"/>
  <c r="KD59" i="10"/>
  <c r="DU31" i="15"/>
  <c r="KG59" i="10"/>
  <c r="DV31" i="15" l="1"/>
  <c r="JZ58" i="10" s="1"/>
  <c r="K24" i="20" s="1"/>
  <c r="JY58" i="10"/>
  <c r="EA33" i="15"/>
  <c r="EB33" i="15" s="1"/>
  <c r="KJ59" i="10"/>
  <c r="EG33" i="15"/>
  <c r="LC59" i="10" l="1"/>
  <c r="LF59" i="10" s="1"/>
  <c r="J24" i="20"/>
  <c r="KD58" i="10"/>
  <c r="EL33" i="15"/>
  <c r="EJ33" i="15"/>
  <c r="EN33" i="15"/>
  <c r="KG58" i="10"/>
  <c r="FM33" i="15"/>
  <c r="ED33" i="15"/>
  <c r="EF33" i="15"/>
  <c r="EH33" i="15"/>
  <c r="EM33" i="15"/>
  <c r="EQ33" i="15"/>
  <c r="EE33" i="15"/>
  <c r="EO33" i="15"/>
  <c r="EP33" i="15"/>
  <c r="EI33" i="15"/>
  <c r="EK33" i="15"/>
  <c r="DS33" i="15" l="1"/>
  <c r="JW60" i="10" s="1"/>
  <c r="H26" i="20" s="1"/>
  <c r="KJ58" i="10"/>
  <c r="DT33" i="15" l="1"/>
  <c r="JX60" i="10" s="1"/>
  <c r="I26" i="20" s="1"/>
  <c r="LC58" i="10"/>
  <c r="LF58" i="10" s="1"/>
  <c r="EA34" i="15"/>
  <c r="EB34" i="15" s="1"/>
  <c r="EP34" i="15"/>
  <c r="DU33" i="15" l="1"/>
  <c r="DV33" i="15" s="1"/>
  <c r="JZ60" i="10" s="1"/>
  <c r="K26" i="20" s="1"/>
  <c r="EE34" i="15"/>
  <c r="EF34" i="15"/>
  <c r="FM34" i="15"/>
  <c r="ED34" i="15"/>
  <c r="EO34" i="15"/>
  <c r="EH34" i="15"/>
  <c r="EN34" i="15"/>
  <c r="EJ34" i="15"/>
  <c r="EK34" i="15"/>
  <c r="EI34" i="15"/>
  <c r="EQ34" i="15"/>
  <c r="EM34" i="15"/>
  <c r="EG34" i="15"/>
  <c r="EL34" i="15"/>
  <c r="JY60" i="10" l="1"/>
  <c r="J26" i="20" s="1"/>
  <c r="DS34" i="15"/>
  <c r="JW61" i="10" s="1"/>
  <c r="H27" i="20" s="1"/>
  <c r="EA35" i="15"/>
  <c r="EB35" i="15" s="1"/>
  <c r="FM35" i="15"/>
  <c r="KD60" i="10" l="1"/>
  <c r="DT34" i="15"/>
  <c r="JX61" i="10" s="1"/>
  <c r="I27" i="20" s="1"/>
  <c r="EM35" i="15"/>
  <c r="EH35" i="15"/>
  <c r="EO35" i="15"/>
  <c r="EG35" i="15"/>
  <c r="ED35" i="15"/>
  <c r="EP35" i="15"/>
  <c r="EI35" i="15"/>
  <c r="KG60" i="10"/>
  <c r="EF35" i="15"/>
  <c r="EE35" i="15"/>
  <c r="EJ35" i="15"/>
  <c r="EN35" i="15"/>
  <c r="EK35" i="15"/>
  <c r="EQ35" i="15"/>
  <c r="EL35" i="15"/>
  <c r="DU34" i="15" l="1"/>
  <c r="DV34" i="15" s="1"/>
  <c r="JZ61" i="10" s="1"/>
  <c r="K27" i="20" s="1"/>
  <c r="DS35" i="15"/>
  <c r="DT35" i="15" s="1"/>
  <c r="EA36" i="15"/>
  <c r="EB36" i="15" s="1"/>
  <c r="KJ60" i="10"/>
  <c r="EE36" i="15"/>
  <c r="LC60" i="10" l="1"/>
  <c r="LF60" i="10" s="1"/>
  <c r="JY61" i="10"/>
  <c r="J27" i="20" s="1"/>
  <c r="JW62" i="10"/>
  <c r="H28" i="20" s="1"/>
  <c r="JX62" i="10"/>
  <c r="I28" i="20" s="1"/>
  <c r="DU35" i="15"/>
  <c r="ED36" i="15"/>
  <c r="FM36" i="15"/>
  <c r="EJ36" i="15"/>
  <c r="EI36" i="15"/>
  <c r="EM36" i="15"/>
  <c r="EP36" i="15"/>
  <c r="EN36" i="15"/>
  <c r="EO36" i="15"/>
  <c r="EG36" i="15"/>
  <c r="EH36" i="15"/>
  <c r="EQ36" i="15"/>
  <c r="EL36" i="15"/>
  <c r="EK36" i="15"/>
  <c r="EF36" i="15"/>
  <c r="KD61" i="10" l="1"/>
  <c r="DS36" i="15"/>
  <c r="DT36" i="15" s="1"/>
  <c r="DV35" i="15"/>
  <c r="JZ62" i="10" s="1"/>
  <c r="K28" i="20" s="1"/>
  <c r="JY62" i="10"/>
  <c r="EA37" i="15"/>
  <c r="EB37" i="15" s="1"/>
  <c r="KG61" i="10"/>
  <c r="EH37" i="15"/>
  <c r="JW63" i="10" l="1"/>
  <c r="H29" i="20" s="1"/>
  <c r="JX63" i="10"/>
  <c r="I29" i="20" s="1"/>
  <c r="DU36" i="15"/>
  <c r="J28" i="20"/>
  <c r="KD62" i="10"/>
  <c r="EP37" i="15"/>
  <c r="EJ37" i="15"/>
  <c r="FM37" i="15"/>
  <c r="EM37" i="15"/>
  <c r="EI37" i="15"/>
  <c r="EN37" i="15"/>
  <c r="EG37" i="15"/>
  <c r="KG62" i="10"/>
  <c r="EQ37" i="15"/>
  <c r="ED37" i="15"/>
  <c r="EK37" i="15"/>
  <c r="EE37" i="15"/>
  <c r="EL37" i="15"/>
  <c r="EF37" i="15"/>
  <c r="EO37" i="15"/>
  <c r="KJ61" i="10"/>
  <c r="LC61" i="10" l="1"/>
  <c r="LF61" i="10" s="1"/>
  <c r="DS37" i="15"/>
  <c r="JW64" i="10" s="1"/>
  <c r="H30" i="20" s="1"/>
  <c r="DV36" i="15"/>
  <c r="JZ63" i="10" s="1"/>
  <c r="K29" i="20" s="1"/>
  <c r="JY63" i="10"/>
  <c r="EA38" i="15"/>
  <c r="EB38" i="15" s="1"/>
  <c r="KJ62" i="10"/>
  <c r="EL38" i="15"/>
  <c r="DT37" i="15" l="1"/>
  <c r="JX64" i="10" s="1"/>
  <c r="I30" i="20" s="1"/>
  <c r="LC62" i="10"/>
  <c r="LF62" i="10" s="1"/>
  <c r="J29" i="20"/>
  <c r="KD63" i="10"/>
  <c r="EF38" i="15"/>
  <c r="EE38" i="15"/>
  <c r="EP38" i="15"/>
  <c r="EG38" i="15"/>
  <c r="EO38" i="15"/>
  <c r="EQ38" i="15"/>
  <c r="EM38" i="15"/>
  <c r="EH38" i="15"/>
  <c r="ED38" i="15"/>
  <c r="KG63" i="10"/>
  <c r="EI38" i="15"/>
  <c r="EJ38" i="15"/>
  <c r="EN38" i="15"/>
  <c r="FM38" i="15"/>
  <c r="EK38" i="15"/>
  <c r="DU37" i="15" l="1"/>
  <c r="DV37" i="15" s="1"/>
  <c r="JZ64" i="10" s="1"/>
  <c r="K30" i="20" s="1"/>
  <c r="DS38" i="15"/>
  <c r="JW65" i="10" s="1"/>
  <c r="H31" i="20" s="1"/>
  <c r="EA39" i="15"/>
  <c r="EB39" i="15" s="1"/>
  <c r="KJ63" i="10"/>
  <c r="EP39" i="15"/>
  <c r="JY64" i="10" l="1"/>
  <c r="J30" i="20" s="1"/>
  <c r="DT38" i="15"/>
  <c r="JX65" i="10" s="1"/>
  <c r="I31" i="20" s="1"/>
  <c r="LC63" i="10"/>
  <c r="LF63" i="10" s="1"/>
  <c r="EQ39" i="15"/>
  <c r="EM39" i="15"/>
  <c r="EI39" i="15"/>
  <c r="EF39" i="15"/>
  <c r="ED39" i="15"/>
  <c r="EJ39" i="15"/>
  <c r="EL39" i="15"/>
  <c r="EK39" i="15"/>
  <c r="EN39" i="15"/>
  <c r="EG39" i="15"/>
  <c r="EO39" i="15"/>
  <c r="EE39" i="15"/>
  <c r="EH39" i="15"/>
  <c r="FM39" i="15"/>
  <c r="KD64" i="10" l="1"/>
  <c r="DU38" i="15"/>
  <c r="DV38" i="15" s="1"/>
  <c r="JZ65" i="10" s="1"/>
  <c r="K31" i="20" s="1"/>
  <c r="DS39" i="15"/>
  <c r="DT39" i="15" s="1"/>
  <c r="EA42" i="15"/>
  <c r="EB42" i="15" s="1"/>
  <c r="KG64" i="10"/>
  <c r="EF42" i="15"/>
  <c r="JW66" i="10" l="1"/>
  <c r="H32" i="20" s="1"/>
  <c r="JY65" i="10"/>
  <c r="J31" i="20" s="1"/>
  <c r="JX66" i="10"/>
  <c r="I32" i="20" s="1"/>
  <c r="DU39" i="15"/>
  <c r="KJ64" i="10"/>
  <c r="EL42" i="15"/>
  <c r="EN42" i="15"/>
  <c r="EK42" i="15"/>
  <c r="EM42" i="15"/>
  <c r="ED42" i="15"/>
  <c r="FM42" i="15"/>
  <c r="EJ42" i="15"/>
  <c r="EP42" i="15"/>
  <c r="EI42" i="15"/>
  <c r="EQ42" i="15"/>
  <c r="EG42" i="15"/>
  <c r="EE42" i="15"/>
  <c r="EO42" i="15"/>
  <c r="EH42" i="15"/>
  <c r="LC64" i="10" l="1"/>
  <c r="LF64" i="10" s="1"/>
  <c r="KD65" i="10"/>
  <c r="DS42" i="15"/>
  <c r="JW69" i="10" s="1"/>
  <c r="H35" i="20" s="1"/>
  <c r="DV39" i="15"/>
  <c r="JZ66" i="10" s="1"/>
  <c r="K32" i="20" s="1"/>
  <c r="JY66" i="10"/>
  <c r="EA40" i="15"/>
  <c r="EB40" i="15" s="1"/>
  <c r="KG65" i="10"/>
  <c r="EE40" i="15"/>
  <c r="DT42" i="15" l="1"/>
  <c r="JX69" i="10" s="1"/>
  <c r="I35" i="20" s="1"/>
  <c r="J32" i="20"/>
  <c r="KD66" i="10"/>
  <c r="EK40" i="15"/>
  <c r="EP40" i="15"/>
  <c r="EQ40" i="15"/>
  <c r="EF40" i="15"/>
  <c r="KJ65" i="10"/>
  <c r="EJ40" i="15"/>
  <c r="EO40" i="15"/>
  <c r="EG40" i="15"/>
  <c r="EM40" i="15"/>
  <c r="EH40" i="15"/>
  <c r="KG66" i="10"/>
  <c r="ED40" i="15"/>
  <c r="EN40" i="15"/>
  <c r="EL40" i="15"/>
  <c r="FM40" i="15"/>
  <c r="EI40" i="15"/>
  <c r="LC65" i="10" l="1"/>
  <c r="LF65" i="10" s="1"/>
  <c r="DU42" i="15"/>
  <c r="DV42" i="15" s="1"/>
  <c r="JZ69" i="10" s="1"/>
  <c r="K35" i="20" s="1"/>
  <c r="DS40" i="15"/>
  <c r="DT40" i="15" s="1"/>
  <c r="JX67" i="10" s="1"/>
  <c r="I33" i="20" s="1"/>
  <c r="EA41" i="15"/>
  <c r="EB41" i="15" s="1"/>
  <c r="KJ66" i="10"/>
  <c r="EL41" i="15"/>
  <c r="JY69" i="10" l="1"/>
  <c r="KD69" i="10" s="1"/>
  <c r="JW67" i="10"/>
  <c r="H33" i="20" s="1"/>
  <c r="LC66" i="10"/>
  <c r="LF66" i="10" s="1"/>
  <c r="DU40" i="15"/>
  <c r="DV40" i="15" s="1"/>
  <c r="JZ67" i="10" s="1"/>
  <c r="K33" i="20" s="1"/>
  <c r="KG69" i="10"/>
  <c r="ED41" i="15"/>
  <c r="EN41" i="15"/>
  <c r="EO41" i="15"/>
  <c r="EM41" i="15"/>
  <c r="EF41" i="15"/>
  <c r="EH41" i="15"/>
  <c r="EE41" i="15"/>
  <c r="EK41" i="15"/>
  <c r="EJ41" i="15"/>
  <c r="EI41" i="15"/>
  <c r="EP41" i="15"/>
  <c r="EQ41" i="15"/>
  <c r="EG41" i="15"/>
  <c r="FM41" i="15"/>
  <c r="J35" i="20" l="1"/>
  <c r="DS41" i="15"/>
  <c r="JW68" i="10" s="1"/>
  <c r="H34" i="20" s="1"/>
  <c r="JY67" i="10"/>
  <c r="J33" i="20" s="1"/>
  <c r="EA43" i="15"/>
  <c r="EB43" i="15" s="1"/>
  <c r="KJ69" i="10"/>
  <c r="EP43" i="15"/>
  <c r="LC69" i="10" l="1"/>
  <c r="LF69" i="10" s="1"/>
  <c r="DT41" i="15"/>
  <c r="DU41" i="15" s="1"/>
  <c r="KD67" i="10"/>
  <c r="EK43" i="15"/>
  <c r="FM43" i="15"/>
  <c r="EQ43" i="15"/>
  <c r="EN43" i="15"/>
  <c r="EH43" i="15"/>
  <c r="EF43" i="15"/>
  <c r="EI43" i="15"/>
  <c r="ED43" i="15"/>
  <c r="KG67" i="10"/>
  <c r="EO43" i="15"/>
  <c r="EM43" i="15"/>
  <c r="EE43" i="15"/>
  <c r="EG43" i="15"/>
  <c r="EL43" i="15"/>
  <c r="EJ43" i="15"/>
  <c r="JX68" i="10" l="1"/>
  <c r="I34" i="20" s="1"/>
  <c r="DS43" i="15"/>
  <c r="JW70" i="10" s="1"/>
  <c r="H36" i="20" s="1"/>
  <c r="DV41" i="15"/>
  <c r="JZ68" i="10" s="1"/>
  <c r="K34" i="20" s="1"/>
  <c r="JY68" i="10"/>
  <c r="EA44" i="15"/>
  <c r="EB44" i="15" s="1"/>
  <c r="KJ67" i="10"/>
  <c r="EQ44" i="15"/>
  <c r="DT43" i="15" l="1"/>
  <c r="JX70" i="10" s="1"/>
  <c r="I36" i="20" s="1"/>
  <c r="LC67" i="10"/>
  <c r="LF67" i="10" s="1"/>
  <c r="J34" i="20"/>
  <c r="KD68" i="10"/>
  <c r="EN44" i="15"/>
  <c r="EE44" i="15"/>
  <c r="EL44" i="15"/>
  <c r="ED44" i="15"/>
  <c r="EP44" i="15"/>
  <c r="EH44" i="15"/>
  <c r="EK44" i="15"/>
  <c r="EJ44" i="15"/>
  <c r="EI44" i="15"/>
  <c r="EG44" i="15"/>
  <c r="EM44" i="15"/>
  <c r="EF44" i="15"/>
  <c r="EO44" i="15"/>
  <c r="FM44" i="15"/>
  <c r="KG68" i="10"/>
  <c r="DS44" i="15" l="1"/>
  <c r="DT44" i="15" s="1"/>
  <c r="JX71" i="10" s="1"/>
  <c r="I37" i="20" s="1"/>
  <c r="DU43" i="15"/>
  <c r="DV43" i="15" s="1"/>
  <c r="JZ70" i="10" s="1"/>
  <c r="K36" i="20" s="1"/>
  <c r="EA45" i="15"/>
  <c r="EB45" i="15" s="1"/>
  <c r="KJ68" i="10"/>
  <c r="EH45" i="15"/>
  <c r="JW71" i="10" l="1"/>
  <c r="H37" i="20" s="1"/>
  <c r="JY70" i="10"/>
  <c r="J36" i="20" s="1"/>
  <c r="LC68" i="10"/>
  <c r="LF68" i="10" s="1"/>
  <c r="DU44" i="15"/>
  <c r="EO45" i="15"/>
  <c r="EK45" i="15"/>
  <c r="EQ45" i="15"/>
  <c r="EI45" i="15"/>
  <c r="EP45" i="15"/>
  <c r="ED45" i="15"/>
  <c r="EJ45" i="15"/>
  <c r="EN45" i="15"/>
  <c r="EE45" i="15"/>
  <c r="EM45" i="15"/>
  <c r="EL45" i="15"/>
  <c r="EG45" i="15"/>
  <c r="FM45" i="15"/>
  <c r="EF45" i="15"/>
  <c r="DS45" i="15" l="1"/>
  <c r="DT45" i="15" s="1"/>
  <c r="KD70" i="10"/>
  <c r="DV44" i="15"/>
  <c r="JZ71" i="10" s="1"/>
  <c r="K37" i="20" s="1"/>
  <c r="JY71" i="10"/>
  <c r="J37" i="20" s="1"/>
  <c r="EA20" i="15"/>
  <c r="EB20" i="15" s="1"/>
  <c r="KG70" i="10"/>
  <c r="EK20" i="15"/>
  <c r="JW72" i="10" l="1"/>
  <c r="H38" i="20" s="1"/>
  <c r="KD71" i="10"/>
  <c r="JX72" i="10"/>
  <c r="I38" i="20" s="1"/>
  <c r="DU45" i="15"/>
  <c r="KJ70" i="10"/>
  <c r="EL20" i="15"/>
  <c r="EM20" i="15"/>
  <c r="EI20" i="15"/>
  <c r="FM20" i="15"/>
  <c r="EF20" i="15"/>
  <c r="EP20" i="15"/>
  <c r="EO20" i="15"/>
  <c r="EQ20" i="15"/>
  <c r="ED20" i="15"/>
  <c r="EE20" i="15"/>
  <c r="EH20" i="15"/>
  <c r="EG20" i="15"/>
  <c r="EN20" i="15"/>
  <c r="KG71" i="10"/>
  <c r="EJ20" i="15"/>
  <c r="LC70" i="10" l="1"/>
  <c r="LF70" i="10" s="1"/>
  <c r="DT20" i="15"/>
  <c r="JX47" i="10" s="1"/>
  <c r="I13" i="20" s="1"/>
  <c r="DS20" i="15"/>
  <c r="JW47" i="10" s="1"/>
  <c r="H13" i="20" s="1"/>
  <c r="DV45" i="15"/>
  <c r="JZ72" i="10" s="1"/>
  <c r="K38" i="20" s="1"/>
  <c r="JY72" i="10"/>
  <c r="KJ71" i="10"/>
  <c r="DU20" i="15" l="1"/>
  <c r="JY47" i="10" s="1"/>
  <c r="LC71" i="10"/>
  <c r="LF71" i="10" s="1"/>
  <c r="J38" i="20"/>
  <c r="KD72" i="10"/>
  <c r="KG72" i="10"/>
  <c r="DV20" i="15" l="1"/>
  <c r="JZ47" i="10" s="1"/>
  <c r="K13" i="20" s="1"/>
  <c r="J13" i="20"/>
  <c r="KD47" i="10"/>
  <c r="KG47" i="10"/>
  <c r="KJ72" i="10"/>
  <c r="LC72" i="10" l="1"/>
  <c r="LF72" i="10" s="1"/>
  <c r="EA46" i="15"/>
  <c r="EB46" i="15" s="1"/>
  <c r="KJ47" i="10"/>
  <c r="EE46" i="15"/>
  <c r="LC47" i="10" l="1"/>
  <c r="LF47" i="10" s="1"/>
  <c r="EN46" i="15"/>
  <c r="EJ46" i="15"/>
  <c r="EG46" i="15"/>
  <c r="EL46" i="15"/>
  <c r="EP46" i="15"/>
  <c r="EO46" i="15"/>
  <c r="FM46" i="15"/>
  <c r="EK46" i="15"/>
  <c r="EQ46" i="15"/>
  <c r="EH46" i="15"/>
  <c r="EM46" i="15"/>
  <c r="EF46" i="15"/>
  <c r="ED46" i="15"/>
  <c r="EI46" i="15"/>
  <c r="DS46" i="15" l="1"/>
  <c r="DT46" i="15" l="1"/>
  <c r="JW73" i="10"/>
  <c r="H39" i="20" s="1"/>
  <c r="JX73" i="10" l="1"/>
  <c r="I39" i="20" s="1"/>
  <c r="DU46" i="15"/>
  <c r="DV46" i="15" l="1"/>
  <c r="JZ73" i="10" s="1"/>
  <c r="K39" i="20" s="1"/>
  <c r="JY73" i="10"/>
  <c r="J39" i="20" l="1"/>
  <c r="KD73" i="10"/>
  <c r="KG73" i="10"/>
  <c r="D59" i="2" l="1"/>
  <c r="G61" i="2"/>
  <c r="G62" i="2" s="1"/>
  <c r="KJ73" i="10"/>
  <c r="LC73" i="10" l="1"/>
  <c r="LF73" i="10" s="1"/>
  <c r="G65" i="2"/>
  <c r="D68" i="2" s="1"/>
  <c r="E69" i="2" l="1"/>
  <c r="G73" i="2"/>
  <c r="G76" i="2" s="1"/>
  <c r="D79" i="2" s="1"/>
  <c r="E79" i="2" s="1"/>
  <c r="E70" i="2"/>
  <c r="D78" i="2"/>
  <c r="E78" i="2" s="1"/>
  <c r="F82" i="2" l="1"/>
  <c r="B22" i="23"/>
  <c r="B25" i="23" s="1"/>
  <c r="H65" i="23" s="1"/>
  <c r="F81" i="2"/>
  <c r="F83" i="2"/>
  <c r="E27" i="23" l="1"/>
  <c r="E29" i="23" s="1"/>
  <c r="B26" i="23" s="1"/>
  <c r="H66" i="23" s="1"/>
  <c r="F87" i="2"/>
  <c r="G88" i="2" s="1"/>
  <c r="G89" i="2" s="1"/>
  <c r="H48" i="23" s="1"/>
  <c r="B49" i="23"/>
  <c r="E28" i="23" l="1"/>
  <c r="G90" i="2"/>
  <c r="J90" i="2" s="1"/>
  <c r="G93" i="2" s="1"/>
  <c r="L49" i="2"/>
  <c r="J89" i="2"/>
  <c r="E31" i="23"/>
  <c r="E32" i="23" s="1"/>
  <c r="B27" i="23" s="1"/>
  <c r="H67" i="23" s="1"/>
  <c r="B50" i="23"/>
  <c r="A68" i="23" s="1"/>
  <c r="B76" i="23" s="1"/>
  <c r="G94" i="2" l="1"/>
  <c r="G92" i="2"/>
  <c r="G95" i="2"/>
  <c r="E33" i="23"/>
  <c r="E34" i="23" s="1"/>
  <c r="B28" i="23" s="1"/>
  <c r="H68" i="23" s="1"/>
  <c r="H85" i="23" s="1"/>
  <c r="B51" i="23"/>
  <c r="A71" i="23" s="1"/>
  <c r="B79" i="23" s="1"/>
  <c r="A69" i="23" l="1"/>
  <c r="B77" i="23" s="1"/>
  <c r="A70" i="23"/>
  <c r="B78" i="23" s="1"/>
  <c r="G96" i="2"/>
  <c r="H49" i="23" s="1"/>
  <c r="H79" i="23"/>
  <c r="H80" i="23"/>
  <c r="H84" i="23"/>
  <c r="H82" i="23"/>
  <c r="H83" i="23"/>
  <c r="H77" i="23"/>
  <c r="H81" i="23"/>
  <c r="H78" i="23"/>
  <c r="B52" i="23"/>
  <c r="A66" i="23" s="1"/>
  <c r="B74" i="23" s="1"/>
  <c r="G99" i="2" l="1"/>
  <c r="G100" i="2" s="1"/>
  <c r="H50" i="23" s="1"/>
  <c r="E79" i="28" l="1"/>
  <c r="H79" i="28" s="1"/>
  <c r="H90" i="28" s="1"/>
  <c r="AM117" i="28" l="1"/>
  <c r="AM115" i="28"/>
  <c r="AM118" i="28"/>
  <c r="AM114" i="28"/>
  <c r="AM116" i="28"/>
  <c r="AM119" i="28"/>
  <c r="AM113" i="28"/>
  <c r="H100" i="28"/>
  <c r="H113" i="28" s="1"/>
  <c r="H107" i="28"/>
  <c r="H120" i="28" s="1"/>
  <c r="H106" i="28"/>
  <c r="H119" i="28" s="1"/>
  <c r="H105" i="28"/>
  <c r="H118" i="28" s="1"/>
  <c r="H104" i="28"/>
  <c r="H117" i="28" s="1"/>
  <c r="H103" i="28"/>
  <c r="H116" i="28" s="1"/>
  <c r="H102" i="28"/>
  <c r="H115" i="28" s="1"/>
  <c r="H101" i="28"/>
  <c r="H114" i="28" s="1"/>
  <c r="AM127" i="28" l="1"/>
  <c r="AM134" i="28"/>
  <c r="AM132" i="28"/>
  <c r="AM130" i="28"/>
  <c r="AM128" i="28"/>
  <c r="AL140" i="28" s="1"/>
  <c r="AM133" i="28"/>
  <c r="AM131" i="28"/>
  <c r="AM129" i="28"/>
  <c r="H134" i="28"/>
  <c r="J134" i="28" s="1"/>
  <c r="H132" i="28"/>
  <c r="J132" i="28" s="1"/>
  <c r="H130" i="28"/>
  <c r="J130" i="28" s="1"/>
  <c r="H128" i="28"/>
  <c r="H133" i="28"/>
  <c r="J133" i="28" s="1"/>
  <c r="H131" i="28"/>
  <c r="J131" i="28" s="1"/>
  <c r="H129" i="28"/>
  <c r="J129" i="28" s="1"/>
  <c r="H127" i="28"/>
  <c r="J127" i="28" s="1"/>
  <c r="O126" i="28" s="1"/>
  <c r="AO127" i="28" l="1"/>
  <c r="AU127" i="28" s="1"/>
  <c r="AY127" i="28" s="1"/>
  <c r="AM139" i="28" s="1"/>
  <c r="AL139" i="28"/>
  <c r="N27" i="27" s="1"/>
  <c r="AO129" i="28"/>
  <c r="AU129" i="28" s="1"/>
  <c r="AL141" i="28"/>
  <c r="AO130" i="28"/>
  <c r="AU130" i="28" s="1"/>
  <c r="AL142" i="28"/>
  <c r="AO131" i="28"/>
  <c r="AU131" i="28" s="1"/>
  <c r="AL143" i="28"/>
  <c r="AO132" i="28"/>
  <c r="AU132" i="28" s="1"/>
  <c r="AL144" i="28"/>
  <c r="AO133" i="28"/>
  <c r="AU133" i="28" s="1"/>
  <c r="AL145" i="28"/>
  <c r="AO134" i="28"/>
  <c r="AU134" i="28" s="1"/>
  <c r="AL146" i="28"/>
  <c r="P127" i="28"/>
  <c r="R127" i="28" s="1"/>
  <c r="T127" i="28" s="1"/>
  <c r="X127" i="28" s="1"/>
  <c r="H139" i="28" s="1"/>
  <c r="O125" i="28"/>
  <c r="P129" i="28" s="1"/>
  <c r="P132" i="28"/>
  <c r="AO128" i="28"/>
  <c r="J128" i="28"/>
  <c r="G140" i="28"/>
  <c r="G141" i="28"/>
  <c r="G142" i="28"/>
  <c r="G143" i="28"/>
  <c r="G144" i="28"/>
  <c r="G139" i="28"/>
  <c r="G145" i="28"/>
  <c r="G146" i="28"/>
  <c r="AW127" i="28" l="1"/>
  <c r="O37" i="27"/>
  <c r="O27" i="27"/>
  <c r="ES10" i="24" s="1"/>
  <c r="EB40" i="24" s="1"/>
  <c r="N37" i="27"/>
  <c r="P128" i="28"/>
  <c r="R128" i="28" s="1"/>
  <c r="T128" i="28" s="1"/>
  <c r="V128" i="28" s="1"/>
  <c r="X128" i="28" s="1"/>
  <c r="R132" i="28"/>
  <c r="R129" i="28"/>
  <c r="T129" i="28" s="1"/>
  <c r="V129" i="28" s="1"/>
  <c r="X129" i="28" s="1"/>
  <c r="H141" i="28" s="1"/>
  <c r="V127" i="28"/>
  <c r="P131" i="28"/>
  <c r="P134" i="28"/>
  <c r="P130" i="28"/>
  <c r="P133" i="28"/>
  <c r="AW130" i="28"/>
  <c r="AY130" i="28" s="1"/>
  <c r="AM142" i="28" s="1"/>
  <c r="AW134" i="28"/>
  <c r="AY134" i="28" s="1"/>
  <c r="AM146" i="28" s="1"/>
  <c r="AW131" i="28"/>
  <c r="AY131" i="28" s="1"/>
  <c r="AM143" i="28" s="1"/>
  <c r="AW133" i="28"/>
  <c r="AY133" i="28" s="1"/>
  <c r="AM145" i="28" s="1"/>
  <c r="AW132" i="28"/>
  <c r="AY132" i="28" s="1"/>
  <c r="AM144" i="28" s="1"/>
  <c r="AW129" i="28"/>
  <c r="AY129" i="28" s="1"/>
  <c r="AM141" i="28" s="1"/>
  <c r="AU128" i="28"/>
  <c r="ER10" i="24"/>
  <c r="EC40" i="24" s="1"/>
  <c r="ER10" i="18"/>
  <c r="ES10" i="18" l="1"/>
  <c r="EB40" i="18" s="1"/>
  <c r="ED40" i="18" s="1"/>
  <c r="O39" i="27"/>
  <c r="N39" i="27" s="1"/>
  <c r="EV10" i="18"/>
  <c r="EX10" i="18"/>
  <c r="G97" i="23"/>
  <c r="G110" i="23" s="1"/>
  <c r="GG14" i="24"/>
  <c r="F97" i="23"/>
  <c r="F110" i="23" s="1"/>
  <c r="G119" i="23" s="1"/>
  <c r="G38" i="23" s="1"/>
  <c r="DO40" i="24" s="1"/>
  <c r="DR40" i="24" s="1"/>
  <c r="GF14" i="24"/>
  <c r="EC40" i="18"/>
  <c r="HP25" i="18" s="1"/>
  <c r="J140" i="28"/>
  <c r="H140" i="28" s="1"/>
  <c r="T132" i="28"/>
  <c r="R131" i="28"/>
  <c r="T131" i="28" s="1"/>
  <c r="V131" i="28" s="1"/>
  <c r="X131" i="28" s="1"/>
  <c r="H143" i="28" s="1"/>
  <c r="R133" i="28"/>
  <c r="T133" i="28" s="1"/>
  <c r="V133" i="28" s="1"/>
  <c r="X133" i="28" s="1"/>
  <c r="H145" i="28" s="1"/>
  <c r="R130" i="28"/>
  <c r="T130" i="28" s="1"/>
  <c r="V130" i="28" s="1"/>
  <c r="X130" i="28" s="1"/>
  <c r="H142" i="28" s="1"/>
  <c r="R134" i="28"/>
  <c r="BA129" i="28"/>
  <c r="O29" i="27"/>
  <c r="ES12" i="24" s="1"/>
  <c r="EB42" i="24" s="1"/>
  <c r="BA133" i="28"/>
  <c r="O33" i="27"/>
  <c r="N33" i="27" s="1"/>
  <c r="ER16" i="24" s="1"/>
  <c r="EC46" i="24" s="1"/>
  <c r="BA134" i="28"/>
  <c r="BA130" i="28"/>
  <c r="O30" i="27"/>
  <c r="ES13" i="24" s="1"/>
  <c r="EB43" i="24" s="1"/>
  <c r="BA132" i="28"/>
  <c r="O32" i="27"/>
  <c r="ES15" i="18" s="1"/>
  <c r="EB45" i="18" s="1"/>
  <c r="HO30" i="18" s="1"/>
  <c r="BA131" i="28"/>
  <c r="O31" i="27"/>
  <c r="ES14" i="24" s="1"/>
  <c r="EB44" i="24" s="1"/>
  <c r="AW128" i="28"/>
  <c r="AY128" i="28" s="1"/>
  <c r="AO140" i="28" s="1"/>
  <c r="AM140" i="28" s="1"/>
  <c r="EU10" i="24"/>
  <c r="HO25" i="18"/>
  <c r="EU10" i="18" l="1"/>
  <c r="GG16" i="24"/>
  <c r="O40" i="27"/>
  <c r="N40" i="27" s="1"/>
  <c r="O43" i="27"/>
  <c r="N43" i="27" s="1"/>
  <c r="O38" i="27"/>
  <c r="GG15" i="24" s="1"/>
  <c r="O41" i="27"/>
  <c r="N41" i="27" s="1"/>
  <c r="HQ25" i="18"/>
  <c r="H119" i="23"/>
  <c r="H38" i="23" s="1"/>
  <c r="DP40" i="24" s="1"/>
  <c r="JF38" i="24" s="1"/>
  <c r="O28" i="27"/>
  <c r="ES11" i="24" s="1"/>
  <c r="EB41" i="24" s="1"/>
  <c r="DN40" i="24"/>
  <c r="G99" i="23"/>
  <c r="G112" i="23" s="1"/>
  <c r="V132" i="28"/>
  <c r="X132" i="28" s="1"/>
  <c r="H144" i="28" s="1"/>
  <c r="T134" i="28"/>
  <c r="V134" i="28" s="1"/>
  <c r="X134" i="28" s="1"/>
  <c r="H146" i="28" s="1"/>
  <c r="ES12" i="18"/>
  <c r="EB42" i="18" s="1"/>
  <c r="N29" i="27"/>
  <c r="ER12" i="24" s="1"/>
  <c r="EU12" i="24" s="1"/>
  <c r="ES15" i="24"/>
  <c r="EB45" i="24" s="1"/>
  <c r="ES16" i="24"/>
  <c r="EB46" i="24" s="1"/>
  <c r="ES16" i="18"/>
  <c r="ED46" i="18" s="1"/>
  <c r="BA128" i="28"/>
  <c r="N32" i="27"/>
  <c r="N31" i="27"/>
  <c r="ER14" i="24" s="1"/>
  <c r="EU14" i="24" s="1"/>
  <c r="ES14" i="18"/>
  <c r="EB44" i="18" s="1"/>
  <c r="HO29" i="18" s="1"/>
  <c r="ES13" i="18"/>
  <c r="N30" i="27"/>
  <c r="ER13" i="18" s="1"/>
  <c r="ER16" i="18"/>
  <c r="ED45" i="18"/>
  <c r="GG20" i="24" l="1"/>
  <c r="GG17" i="24"/>
  <c r="GG18" i="24"/>
  <c r="O42" i="27"/>
  <c r="N42" i="27" s="1"/>
  <c r="ED42" i="18"/>
  <c r="EV16" i="18"/>
  <c r="EX16" i="18"/>
  <c r="EV13" i="18"/>
  <c r="EX13" i="18"/>
  <c r="F99" i="23"/>
  <c r="F112" i="23" s="1"/>
  <c r="G121" i="23" s="1"/>
  <c r="G40" i="23" s="1"/>
  <c r="DO42" i="24" s="1"/>
  <c r="DR42" i="24" s="1"/>
  <c r="DN42" i="24" s="1"/>
  <c r="GF16" i="24"/>
  <c r="EB43" i="18"/>
  <c r="HO28" i="18" s="1"/>
  <c r="EU16" i="18"/>
  <c r="N38" i="27"/>
  <c r="G98" i="23"/>
  <c r="G111" i="23" s="1"/>
  <c r="G101" i="23"/>
  <c r="G114" i="23" s="1"/>
  <c r="G100" i="23"/>
  <c r="G113" i="23" s="1"/>
  <c r="G103" i="23"/>
  <c r="G116" i="23" s="1"/>
  <c r="HO27" i="18"/>
  <c r="EU13" i="18"/>
  <c r="EC43" i="18"/>
  <c r="HP28" i="18" s="1"/>
  <c r="ER14" i="18"/>
  <c r="EC44" i="24"/>
  <c r="EC42" i="24"/>
  <c r="ED44" i="18"/>
  <c r="ER12" i="18"/>
  <c r="ER13" i="24"/>
  <c r="ES11" i="18"/>
  <c r="EB41" i="18" s="1"/>
  <c r="HO26" i="18" s="1"/>
  <c r="N28" i="27"/>
  <c r="ER11" i="18" s="1"/>
  <c r="ER15" i="18"/>
  <c r="ER15" i="24"/>
  <c r="G102" i="23" l="1"/>
  <c r="G115" i="23" s="1"/>
  <c r="GG19" i="24"/>
  <c r="HQ28" i="18"/>
  <c r="EU42" i="18"/>
  <c r="EU40" i="18"/>
  <c r="EU44" i="18"/>
  <c r="EU43" i="18"/>
  <c r="EU41" i="18"/>
  <c r="EV15" i="18"/>
  <c r="EX15" i="18"/>
  <c r="EV11" i="18"/>
  <c r="EX11" i="18"/>
  <c r="EV12" i="18"/>
  <c r="EX12" i="18"/>
  <c r="EV14" i="18"/>
  <c r="EX14" i="18"/>
  <c r="H121" i="23"/>
  <c r="H40" i="23" s="1"/>
  <c r="DP42" i="24" s="1"/>
  <c r="JF40" i="24" s="1"/>
  <c r="JE40" i="24" s="1"/>
  <c r="ED43" i="18"/>
  <c r="F102" i="23"/>
  <c r="F115" i="23" s="1"/>
  <c r="H124" i="23" s="1"/>
  <c r="H43" i="23" s="1"/>
  <c r="DP45" i="24" s="1"/>
  <c r="GF19" i="24"/>
  <c r="F100" i="23"/>
  <c r="F113" i="23" s="1"/>
  <c r="H122" i="23" s="1"/>
  <c r="H41" i="23" s="1"/>
  <c r="DP43" i="24" s="1"/>
  <c r="GF17" i="24"/>
  <c r="F103" i="23"/>
  <c r="F116" i="23" s="1"/>
  <c r="G125" i="23" s="1"/>
  <c r="G44" i="23" s="1"/>
  <c r="DO46" i="24" s="1"/>
  <c r="GF20" i="24"/>
  <c r="F101" i="23"/>
  <c r="F114" i="23" s="1"/>
  <c r="H123" i="23" s="1"/>
  <c r="H42" i="23" s="1"/>
  <c r="DP44" i="24" s="1"/>
  <c r="GF18" i="24"/>
  <c r="F98" i="23"/>
  <c r="F111" i="23" s="1"/>
  <c r="G120" i="23" s="1"/>
  <c r="G39" i="23" s="1"/>
  <c r="DO41" i="24" s="1"/>
  <c r="DR41" i="24" s="1"/>
  <c r="DN41" i="24" s="1"/>
  <c r="GF15" i="24"/>
  <c r="EC41" i="18"/>
  <c r="HP26" i="18" s="1"/>
  <c r="HQ26" i="18" s="1"/>
  <c r="EC44" i="18"/>
  <c r="HP29" i="18" s="1"/>
  <c r="EU14" i="18"/>
  <c r="ED41" i="18"/>
  <c r="EC42" i="18"/>
  <c r="HP27" i="18" s="1"/>
  <c r="HQ27" i="18" s="1"/>
  <c r="EU12" i="18"/>
  <c r="EU11" i="18"/>
  <c r="EC43" i="24"/>
  <c r="EU13" i="24"/>
  <c r="EC45" i="18"/>
  <c r="HP30" i="18" s="1"/>
  <c r="EU15" i="18"/>
  <c r="ER11" i="24"/>
  <c r="EU11" i="24" s="1"/>
  <c r="EU15" i="24"/>
  <c r="EC45" i="24"/>
  <c r="EU51" i="18" l="1"/>
  <c r="EX51" i="18" s="1"/>
  <c r="FR51" i="18" s="1"/>
  <c r="EW51" i="18" s="1"/>
  <c r="EZ51" i="18" s="1"/>
  <c r="EU45" i="18"/>
  <c r="EU46" i="18"/>
  <c r="EX46" i="18" s="1"/>
  <c r="FR46" i="18" s="1"/>
  <c r="EW46" i="18" s="1"/>
  <c r="EZ46" i="18" s="1"/>
  <c r="EU73" i="18"/>
  <c r="EX73" i="18" s="1"/>
  <c r="FR73" i="18" s="1"/>
  <c r="EW73" i="18" s="1"/>
  <c r="EZ73" i="18" s="1"/>
  <c r="EU87" i="18"/>
  <c r="EX87" i="18" s="1"/>
  <c r="FR87" i="18" s="1"/>
  <c r="EW87" i="18" s="1"/>
  <c r="EZ87" i="18" s="1"/>
  <c r="EU78" i="18"/>
  <c r="EX78" i="18" s="1"/>
  <c r="FR78" i="18" s="1"/>
  <c r="EW78" i="18" s="1"/>
  <c r="EZ78" i="18" s="1"/>
  <c r="EU74" i="18"/>
  <c r="EX74" i="18" s="1"/>
  <c r="FR74" i="18" s="1"/>
  <c r="EW74" i="18" s="1"/>
  <c r="EZ74" i="18" s="1"/>
  <c r="EU49" i="18"/>
  <c r="EX49" i="18" s="1"/>
  <c r="FR49" i="18" s="1"/>
  <c r="EW49" i="18" s="1"/>
  <c r="EZ49" i="18" s="1"/>
  <c r="EU55" i="18"/>
  <c r="EU82" i="18"/>
  <c r="EX82" i="18" s="1"/>
  <c r="FR82" i="18" s="1"/>
  <c r="EW82" i="18" s="1"/>
  <c r="EZ82" i="18" s="1"/>
  <c r="EU60" i="18"/>
  <c r="EX60" i="18" s="1"/>
  <c r="FR60" i="18" s="1"/>
  <c r="EW60" i="18" s="1"/>
  <c r="EZ60" i="18" s="1"/>
  <c r="EU83" i="18"/>
  <c r="EX83" i="18" s="1"/>
  <c r="FR83" i="18" s="1"/>
  <c r="EW83" i="18" s="1"/>
  <c r="EZ83" i="18" s="1"/>
  <c r="EU59" i="18"/>
  <c r="EX59" i="18" s="1"/>
  <c r="FR59" i="18" s="1"/>
  <c r="EW59" i="18" s="1"/>
  <c r="EZ59" i="18" s="1"/>
  <c r="EU56" i="18"/>
  <c r="EX56" i="18" s="1"/>
  <c r="FR56" i="18" s="1"/>
  <c r="EW56" i="18" s="1"/>
  <c r="EZ56" i="18" s="1"/>
  <c r="EU47" i="18"/>
  <c r="EX47" i="18" s="1"/>
  <c r="FR47" i="18" s="1"/>
  <c r="EW47" i="18" s="1"/>
  <c r="EZ47" i="18" s="1"/>
  <c r="EU81" i="18"/>
  <c r="EX81" i="18" s="1"/>
  <c r="FR81" i="18" s="1"/>
  <c r="EW81" i="18" s="1"/>
  <c r="EZ81" i="18" s="1"/>
  <c r="EU63" i="18"/>
  <c r="EX63" i="18" s="1"/>
  <c r="FR63" i="18" s="1"/>
  <c r="EW63" i="18" s="1"/>
  <c r="EZ63" i="18" s="1"/>
  <c r="EU57" i="18"/>
  <c r="EX57" i="18" s="1"/>
  <c r="FR57" i="18" s="1"/>
  <c r="EW57" i="18" s="1"/>
  <c r="EZ57" i="18" s="1"/>
  <c r="EU53" i="18"/>
  <c r="EX53" i="18" s="1"/>
  <c r="FR53" i="18" s="1"/>
  <c r="EW53" i="18" s="1"/>
  <c r="EZ53" i="18" s="1"/>
  <c r="EU72" i="18"/>
  <c r="EX72" i="18" s="1"/>
  <c r="FR72" i="18" s="1"/>
  <c r="EW72" i="18" s="1"/>
  <c r="EZ72" i="18" s="1"/>
  <c r="EU77" i="18"/>
  <c r="EX77" i="18" s="1"/>
  <c r="FR77" i="18" s="1"/>
  <c r="EW77" i="18" s="1"/>
  <c r="EZ77" i="18" s="1"/>
  <c r="EU64" i="18"/>
  <c r="EX64" i="18" s="1"/>
  <c r="FR64" i="18" s="1"/>
  <c r="EW64" i="18" s="1"/>
  <c r="EZ64" i="18" s="1"/>
  <c r="EU61" i="18"/>
  <c r="EX61" i="18" s="1"/>
  <c r="FR61" i="18" s="1"/>
  <c r="EW61" i="18" s="1"/>
  <c r="EZ61" i="18" s="1"/>
  <c r="EU58" i="18"/>
  <c r="EX58" i="18" s="1"/>
  <c r="FR58" i="18" s="1"/>
  <c r="EW58" i="18" s="1"/>
  <c r="EZ58" i="18" s="1"/>
  <c r="EU75" i="18"/>
  <c r="EX75" i="18" s="1"/>
  <c r="FR75" i="18" s="1"/>
  <c r="EW75" i="18" s="1"/>
  <c r="EZ75" i="18" s="1"/>
  <c r="EU50" i="18"/>
  <c r="EX50" i="18" s="1"/>
  <c r="FR50" i="18" s="1"/>
  <c r="EW50" i="18" s="1"/>
  <c r="EZ50" i="18" s="1"/>
  <c r="EU48" i="18"/>
  <c r="EX48" i="18" s="1"/>
  <c r="FR48" i="18" s="1"/>
  <c r="EW48" i="18" s="1"/>
  <c r="EZ48" i="18" s="1"/>
  <c r="EU71" i="18"/>
  <c r="EX71" i="18" s="1"/>
  <c r="FR71" i="18" s="1"/>
  <c r="EW71" i="18" s="1"/>
  <c r="EZ71" i="18" s="1"/>
  <c r="EU65" i="18"/>
  <c r="EU66" i="18"/>
  <c r="EX66" i="18" s="1"/>
  <c r="FR66" i="18" s="1"/>
  <c r="EW66" i="18" s="1"/>
  <c r="EZ66" i="18" s="1"/>
  <c r="EU86" i="18"/>
  <c r="EX86" i="18" s="1"/>
  <c r="FR86" i="18" s="1"/>
  <c r="EW86" i="18" s="1"/>
  <c r="EZ86" i="18" s="1"/>
  <c r="EU80" i="18"/>
  <c r="EX80" i="18" s="1"/>
  <c r="FR80" i="18" s="1"/>
  <c r="EW80" i="18" s="1"/>
  <c r="EZ80" i="18" s="1"/>
  <c r="EU68" i="18"/>
  <c r="EX68" i="18" s="1"/>
  <c r="FR68" i="18" s="1"/>
  <c r="EW68" i="18" s="1"/>
  <c r="EZ68" i="18" s="1"/>
  <c r="EU62" i="18"/>
  <c r="EX62" i="18" s="1"/>
  <c r="FR62" i="18" s="1"/>
  <c r="EW62" i="18" s="1"/>
  <c r="EZ62" i="18" s="1"/>
  <c r="EU69" i="18"/>
  <c r="EX69" i="18" s="1"/>
  <c r="FR69" i="18" s="1"/>
  <c r="EW69" i="18" s="1"/>
  <c r="EZ69" i="18" s="1"/>
  <c r="EU84" i="18"/>
  <c r="EX84" i="18" s="1"/>
  <c r="EU54" i="18"/>
  <c r="EX54" i="18" s="1"/>
  <c r="FR54" i="18" s="1"/>
  <c r="EW54" i="18" s="1"/>
  <c r="EZ54" i="18" s="1"/>
  <c r="EU52" i="18"/>
  <c r="EX52" i="18" s="1"/>
  <c r="FR52" i="18" s="1"/>
  <c r="EW52" i="18" s="1"/>
  <c r="EZ52" i="18" s="1"/>
  <c r="EU85" i="18"/>
  <c r="EX85" i="18" s="1"/>
  <c r="FR85" i="18" s="1"/>
  <c r="EW85" i="18" s="1"/>
  <c r="EZ85" i="18" s="1"/>
  <c r="EU79" i="18"/>
  <c r="EX79" i="18" s="1"/>
  <c r="FR79" i="18" s="1"/>
  <c r="EW79" i="18" s="1"/>
  <c r="EZ79" i="18" s="1"/>
  <c r="EU70" i="18"/>
  <c r="EX70" i="18" s="1"/>
  <c r="FR70" i="18" s="1"/>
  <c r="EW70" i="18" s="1"/>
  <c r="EZ70" i="18" s="1"/>
  <c r="EU67" i="18"/>
  <c r="EX67" i="18" s="1"/>
  <c r="FR67" i="18" s="1"/>
  <c r="EW67" i="18" s="1"/>
  <c r="EZ67" i="18" s="1"/>
  <c r="EU76" i="18"/>
  <c r="EX76" i="18" s="1"/>
  <c r="FR76" i="18" s="1"/>
  <c r="EW76" i="18" s="1"/>
  <c r="EZ76" i="18" s="1"/>
  <c r="EC46" i="18"/>
  <c r="G124" i="23"/>
  <c r="G43" i="23" s="1"/>
  <c r="DO45" i="24" s="1"/>
  <c r="DR45" i="24" s="1"/>
  <c r="DN45" i="24" s="1"/>
  <c r="H125" i="23"/>
  <c r="H44" i="23" s="1"/>
  <c r="DP46" i="24" s="1"/>
  <c r="JF44" i="24" s="1"/>
  <c r="JE44" i="24" s="1"/>
  <c r="G122" i="23"/>
  <c r="G41" i="23" s="1"/>
  <c r="DO43" i="24" s="1"/>
  <c r="DR43" i="24" s="1"/>
  <c r="DN43" i="24" s="1"/>
  <c r="H120" i="23"/>
  <c r="H39" i="23" s="1"/>
  <c r="DP41" i="24" s="1"/>
  <c r="HQ29" i="18"/>
  <c r="G123" i="23"/>
  <c r="G42" i="23" s="1"/>
  <c r="DO44" i="24" s="1"/>
  <c r="DR44" i="24" s="1"/>
  <c r="DN44" i="24" s="1"/>
  <c r="EX40" i="18"/>
  <c r="FR40" i="18" s="1"/>
  <c r="EW40" i="18" s="1"/>
  <c r="EZ40" i="18" s="1"/>
  <c r="FR84" i="18"/>
  <c r="EW84" i="18" s="1"/>
  <c r="EZ84" i="18" s="1"/>
  <c r="EX65" i="18"/>
  <c r="FR65" i="18" s="1"/>
  <c r="EW65" i="18" s="1"/>
  <c r="EZ65" i="18" s="1"/>
  <c r="EX44" i="18"/>
  <c r="FR44" i="18" s="1"/>
  <c r="EW44" i="18" s="1"/>
  <c r="EZ44" i="18" s="1"/>
  <c r="EX43" i="18"/>
  <c r="FR43" i="18" s="1"/>
  <c r="EW43" i="18" s="1"/>
  <c r="EZ43" i="18" s="1"/>
  <c r="EX42" i="18"/>
  <c r="FR42" i="18" s="1"/>
  <c r="EW42" i="18" s="1"/>
  <c r="EZ42" i="18" s="1"/>
  <c r="EX41" i="18"/>
  <c r="FR41" i="18" s="1"/>
  <c r="EW41" i="18" s="1"/>
  <c r="EZ41" i="18" s="1"/>
  <c r="EX45" i="18"/>
  <c r="FR45" i="18" s="1"/>
  <c r="EW45" i="18" s="1"/>
  <c r="EZ45" i="18" s="1"/>
  <c r="EX55" i="18"/>
  <c r="FR55" i="18" s="1"/>
  <c r="EW55" i="18" s="1"/>
  <c r="EZ55" i="18" s="1"/>
  <c r="DR46" i="24"/>
  <c r="DN46" i="24"/>
  <c r="JF41" i="24"/>
  <c r="JE41" i="24" s="1"/>
  <c r="JF42" i="24"/>
  <c r="JE42" i="24" s="1"/>
  <c r="JF43" i="24"/>
  <c r="JE43" i="24" s="1"/>
  <c r="EC41" i="24"/>
  <c r="HO38" i="18"/>
  <c r="HQ30" i="18"/>
  <c r="HO38" i="24"/>
  <c r="EY58" i="18"/>
  <c r="FT62" i="18"/>
  <c r="EY46" i="18"/>
  <c r="EY67" i="18"/>
  <c r="FT79" i="18"/>
  <c r="FT70" i="18"/>
  <c r="FT85" i="18"/>
  <c r="FT56" i="18"/>
  <c r="FT80" i="18"/>
  <c r="FT55" i="18"/>
  <c r="EY83" i="18"/>
  <c r="FT44" i="18"/>
  <c r="EY69" i="18"/>
  <c r="FT60" i="18"/>
  <c r="EY87" i="18"/>
  <c r="FT58" i="18"/>
  <c r="FT61" i="18"/>
  <c r="EY54" i="18"/>
  <c r="FT49" i="18"/>
  <c r="EY71" i="18"/>
  <c r="FT74" i="18"/>
  <c r="FT53" i="18"/>
  <c r="FT81" i="18"/>
  <c r="EY74" i="18"/>
  <c r="FT83" i="18"/>
  <c r="EY44" i="18"/>
  <c r="FT64" i="18"/>
  <c r="FT75" i="18"/>
  <c r="EY45" i="18"/>
  <c r="FT51" i="18"/>
  <c r="FT54" i="18"/>
  <c r="FT82" i="18"/>
  <c r="FT71" i="18"/>
  <c r="FT52" i="18"/>
  <c r="FT57" i="18"/>
  <c r="EY63" i="18"/>
  <c r="FT72" i="18"/>
  <c r="FT48" i="18"/>
  <c r="EY41" i="18"/>
  <c r="FT46" i="18"/>
  <c r="FT66" i="18"/>
  <c r="FT42" i="18"/>
  <c r="FT77" i="18"/>
  <c r="EY65" i="18"/>
  <c r="EY84" i="18"/>
  <c r="FT86" i="18"/>
  <c r="EY52" i="18"/>
  <c r="EY78" i="18"/>
  <c r="FT63" i="18"/>
  <c r="EY68" i="18"/>
  <c r="EY62" i="18"/>
  <c r="FT84" i="18"/>
  <c r="EY79" i="18"/>
  <c r="EY49" i="18"/>
  <c r="EY40" i="18"/>
  <c r="FT40" i="18"/>
  <c r="FT78" i="18"/>
  <c r="FT45" i="18"/>
  <c r="EY42" i="18"/>
  <c r="FT41" i="18"/>
  <c r="EY82" i="18"/>
  <c r="EY85" i="18"/>
  <c r="FT76" i="18"/>
  <c r="EY73" i="18"/>
  <c r="FT67" i="18"/>
  <c r="FT73" i="18"/>
  <c r="FT50" i="18"/>
  <c r="EY86" i="18"/>
  <c r="EY80" i="18"/>
  <c r="FT65" i="18"/>
  <c r="FT69" i="18"/>
  <c r="EY70" i="18"/>
  <c r="FT47" i="18"/>
  <c r="EY56" i="18"/>
  <c r="FT68" i="18"/>
  <c r="FT43" i="18"/>
  <c r="FT59" i="18"/>
  <c r="C10" i="19" l="1"/>
  <c r="DQ46" i="18"/>
  <c r="HP31" i="18"/>
  <c r="HQ31" i="18" s="1"/>
  <c r="DG43" i="24"/>
  <c r="DJ43" i="24" s="1"/>
  <c r="DG44" i="24"/>
  <c r="DJ44" i="24" s="1"/>
  <c r="DG40" i="24"/>
  <c r="DH40" i="24" s="1"/>
  <c r="DG45" i="24"/>
  <c r="DJ45" i="24" s="1"/>
  <c r="DG42" i="24"/>
  <c r="DJ42" i="24" s="1"/>
  <c r="DG46" i="24"/>
  <c r="DJ46" i="24" s="1"/>
  <c r="DG41" i="24"/>
  <c r="DJ41" i="24" s="1"/>
  <c r="JF39" i="24"/>
  <c r="JE39" i="24" s="1"/>
  <c r="JI38" i="24" s="1"/>
  <c r="EF41" i="24"/>
  <c r="FL52" i="18"/>
  <c r="FD46" i="18"/>
  <c r="KM44" i="18"/>
  <c r="KM84" i="18"/>
  <c r="FC73" i="18"/>
  <c r="FL69" i="18"/>
  <c r="GG41" i="18"/>
  <c r="KO41" i="18"/>
  <c r="KO82" i="18"/>
  <c r="KV69" i="18"/>
  <c r="FB82" i="18"/>
  <c r="FB52" i="18"/>
  <c r="KN86" i="18"/>
  <c r="KN63" i="18"/>
  <c r="FM78" i="18"/>
  <c r="FD84" i="18"/>
  <c r="KL73" i="18"/>
  <c r="FE73" i="18"/>
  <c r="GG65" i="18"/>
  <c r="GG50" i="18"/>
  <c r="FM69" i="18"/>
  <c r="EY51" i="18"/>
  <c r="KL74" i="18"/>
  <c r="KM82" i="18"/>
  <c r="KM63" i="18"/>
  <c r="EY75" i="18"/>
  <c r="KO84" i="18"/>
  <c r="FC65" i="18"/>
  <c r="KV40" i="18"/>
  <c r="KM40" i="18"/>
  <c r="KL78" i="18"/>
  <c r="FC74" i="18"/>
  <c r="EY77" i="18"/>
  <c r="FB63" i="18"/>
  <c r="FE65" i="18"/>
  <c r="FC56" i="18"/>
  <c r="KV45" i="18"/>
  <c r="FL73" i="18"/>
  <c r="FM54" i="18"/>
  <c r="FL42" i="18"/>
  <c r="FE87" i="18"/>
  <c r="FM41" i="18"/>
  <c r="KV49" i="18"/>
  <c r="FD65" i="18"/>
  <c r="FM87" i="18"/>
  <c r="FL68" i="18"/>
  <c r="KN46" i="18"/>
  <c r="KM54" i="18"/>
  <c r="KM85" i="18"/>
  <c r="GG45" i="18"/>
  <c r="FL87" i="18"/>
  <c r="FM83" i="18"/>
  <c r="FM58" i="18"/>
  <c r="GG82" i="18"/>
  <c r="FF52" i="18"/>
  <c r="FC71" i="18"/>
  <c r="FE69" i="18"/>
  <c r="EY81" i="18"/>
  <c r="KM69" i="18"/>
  <c r="KO40" i="18"/>
  <c r="KL71" i="18"/>
  <c r="KM46" i="18"/>
  <c r="KO67" i="18"/>
  <c r="KV86" i="18"/>
  <c r="KV87" i="18"/>
  <c r="EY61" i="18"/>
  <c r="FB69" i="18"/>
  <c r="FC70" i="18"/>
  <c r="FE85" i="18"/>
  <c r="KV62" i="18"/>
  <c r="KV84" i="18"/>
  <c r="FF69" i="18"/>
  <c r="KV46" i="18"/>
  <c r="FB85" i="18"/>
  <c r="KL87" i="18"/>
  <c r="KO74" i="18"/>
  <c r="FF49" i="18"/>
  <c r="FL62" i="18"/>
  <c r="FB40" i="18"/>
  <c r="FF71" i="18"/>
  <c r="FB41" i="18"/>
  <c r="FF84" i="18"/>
  <c r="GG64" i="18"/>
  <c r="KL45" i="18"/>
  <c r="FL58" i="18"/>
  <c r="FB70" i="18"/>
  <c r="KL52" i="18"/>
  <c r="KN79" i="18"/>
  <c r="KL63" i="18"/>
  <c r="FE46" i="18"/>
  <c r="GG67" i="18"/>
  <c r="KV58" i="18"/>
  <c r="FF65" i="18"/>
  <c r="KK40" i="18"/>
  <c r="GG56" i="18"/>
  <c r="KM56" i="18"/>
  <c r="FB73" i="18"/>
  <c r="FD71" i="18"/>
  <c r="KN82" i="18"/>
  <c r="GG47" i="18"/>
  <c r="FF67" i="18"/>
  <c r="FD45" i="18"/>
  <c r="KV44" i="18"/>
  <c r="FB54" i="18"/>
  <c r="EY55" i="18"/>
  <c r="KO79" i="18"/>
  <c r="KO78" i="18"/>
  <c r="KV68" i="18"/>
  <c r="KV65" i="18"/>
  <c r="KV56" i="18"/>
  <c r="FL41" i="18"/>
  <c r="FC41" i="18"/>
  <c r="KV67" i="18"/>
  <c r="KM74" i="18"/>
  <c r="FM79" i="18"/>
  <c r="KM52" i="18"/>
  <c r="EY64" i="18"/>
  <c r="FL80" i="18"/>
  <c r="FD67" i="18"/>
  <c r="FE84" i="18"/>
  <c r="FF42" i="18"/>
  <c r="FM44" i="18"/>
  <c r="GG84" i="18"/>
  <c r="GG69" i="18"/>
  <c r="FE52" i="18"/>
  <c r="FY52" i="18"/>
  <c r="EY76" i="18"/>
  <c r="FE49" i="18"/>
  <c r="KL62" i="18"/>
  <c r="FE79" i="18"/>
  <c r="GG70" i="18"/>
  <c r="FD85" i="18"/>
  <c r="FE58" i="18"/>
  <c r="FF83" i="18"/>
  <c r="FE70" i="18"/>
  <c r="KL42" i="18"/>
  <c r="FM67" i="18"/>
  <c r="FD74" i="18"/>
  <c r="FE62" i="18"/>
  <c r="FD86" i="18"/>
  <c r="KM49" i="18"/>
  <c r="KL68" i="18"/>
  <c r="FC86" i="18"/>
  <c r="GG58" i="18"/>
  <c r="FF85" i="18"/>
  <c r="GG74" i="18"/>
  <c r="GG54" i="18"/>
  <c r="KV42" i="18"/>
  <c r="KN40" i="18"/>
  <c r="FL83" i="18"/>
  <c r="GG66" i="18"/>
  <c r="FM68" i="18"/>
  <c r="KO86" i="18"/>
  <c r="FE80" i="18"/>
  <c r="KV63" i="18"/>
  <c r="FL40" i="18"/>
  <c r="KO52" i="18"/>
  <c r="KO49" i="18"/>
  <c r="KV52" i="18"/>
  <c r="KO80" i="18"/>
  <c r="KL83" i="18"/>
  <c r="KL65" i="18"/>
  <c r="FM80" i="18"/>
  <c r="FF74" i="18"/>
  <c r="KL85" i="18"/>
  <c r="GG81" i="18"/>
  <c r="KN83" i="18"/>
  <c r="KV71" i="18"/>
  <c r="FD56" i="18"/>
  <c r="KO68" i="18"/>
  <c r="EY47" i="18"/>
  <c r="KL67" i="18"/>
  <c r="FD73" i="18"/>
  <c r="KO58" i="18"/>
  <c r="GG49" i="18"/>
  <c r="KM83" i="18"/>
  <c r="FC78" i="18"/>
  <c r="FC69" i="18"/>
  <c r="FM56" i="18"/>
  <c r="FF86" i="18"/>
  <c r="FB62" i="18"/>
  <c r="FB65" i="18"/>
  <c r="KO70" i="18"/>
  <c r="KL58" i="18"/>
  <c r="FF80" i="18"/>
  <c r="EY66" i="18"/>
  <c r="FB87" i="18"/>
  <c r="KM86" i="18"/>
  <c r="KL44" i="18"/>
  <c r="KL69" i="18"/>
  <c r="KN56" i="18"/>
  <c r="EY43" i="18"/>
  <c r="GG79" i="18"/>
  <c r="FC83" i="18"/>
  <c r="FL54" i="18"/>
  <c r="KL84" i="18"/>
  <c r="FL49" i="18"/>
  <c r="KN78" i="18"/>
  <c r="KL49" i="18"/>
  <c r="FE44" i="18"/>
  <c r="FF63" i="18"/>
  <c r="KN45" i="18"/>
  <c r="KV83" i="18"/>
  <c r="KV74" i="18"/>
  <c r="KM87" i="18"/>
  <c r="GG63" i="18"/>
  <c r="FW56" i="18"/>
  <c r="KM41" i="18"/>
  <c r="KO56" i="18"/>
  <c r="GG43" i="18"/>
  <c r="KM45" i="18"/>
  <c r="GG46" i="18"/>
  <c r="FD87" i="18"/>
  <c r="KN58" i="18"/>
  <c r="KN71" i="18"/>
  <c r="FB86" i="18"/>
  <c r="FF45" i="18"/>
  <c r="KN70" i="18"/>
  <c r="FC54" i="18"/>
  <c r="KN65" i="18"/>
  <c r="KL41" i="18"/>
  <c r="FC80" i="18"/>
  <c r="FD49" i="18"/>
  <c r="KO42" i="18"/>
  <c r="FD70" i="18"/>
  <c r="FF58" i="18"/>
  <c r="KM70" i="18"/>
  <c r="FM49" i="18"/>
  <c r="GG71" i="18"/>
  <c r="FL70" i="18"/>
  <c r="KN52" i="18"/>
  <c r="KV41" i="18"/>
  <c r="FF79" i="18"/>
  <c r="FE71" i="18"/>
  <c r="FC52" i="18"/>
  <c r="FL78" i="18"/>
  <c r="FF41" i="18"/>
  <c r="KM71" i="18"/>
  <c r="FM63" i="18"/>
  <c r="FL85" i="18"/>
  <c r="FM73" i="18"/>
  <c r="FE74" i="18"/>
  <c r="FE78" i="18"/>
  <c r="KL80" i="18"/>
  <c r="FC49" i="18"/>
  <c r="FD68" i="18"/>
  <c r="KL82" i="18"/>
  <c r="KO44" i="18"/>
  <c r="GG59" i="18"/>
  <c r="FD63" i="18"/>
  <c r="FC63" i="18"/>
  <c r="FC62" i="18"/>
  <c r="FF82" i="18"/>
  <c r="KO46" i="18"/>
  <c r="FB78" i="18"/>
  <c r="KO85" i="18"/>
  <c r="KL70" i="18"/>
  <c r="KO87" i="18"/>
  <c r="FF40" i="18"/>
  <c r="KM58" i="18"/>
  <c r="KM80" i="18"/>
  <c r="FF73" i="18"/>
  <c r="FM45" i="18"/>
  <c r="FF56" i="18"/>
  <c r="FM86" i="18"/>
  <c r="FE42" i="18"/>
  <c r="KV73" i="18"/>
  <c r="FD54" i="18"/>
  <c r="FD62" i="18"/>
  <c r="FL63" i="18"/>
  <c r="FE86" i="18"/>
  <c r="KN41" i="18"/>
  <c r="GG44" i="18"/>
  <c r="KN44" i="18"/>
  <c r="FB84" i="18"/>
  <c r="FD58" i="18"/>
  <c r="FL56" i="18"/>
  <c r="KL86" i="18"/>
  <c r="GG72" i="18"/>
  <c r="FD52" i="18"/>
  <c r="FM42" i="18"/>
  <c r="FF87" i="18"/>
  <c r="GG77" i="18"/>
  <c r="FC87" i="18"/>
  <c r="FM52" i="18"/>
  <c r="KO69" i="18"/>
  <c r="FD80" i="18"/>
  <c r="GG62" i="18"/>
  <c r="FD44" i="18"/>
  <c r="KM79" i="18"/>
  <c r="KO83" i="18"/>
  <c r="GG76" i="18"/>
  <c r="FB67" i="18"/>
  <c r="FD42" i="18"/>
  <c r="FD79" i="18"/>
  <c r="KN73" i="18"/>
  <c r="KO63" i="18"/>
  <c r="FE82" i="18"/>
  <c r="KO54" i="18"/>
  <c r="KN74" i="18"/>
  <c r="FB74" i="18"/>
  <c r="KM42" i="18"/>
  <c r="FC68" i="18"/>
  <c r="FM40" i="18"/>
  <c r="FD82" i="18"/>
  <c r="KM73" i="18"/>
  <c r="FL84" i="18"/>
  <c r="FD40" i="18"/>
  <c r="EY59" i="18"/>
  <c r="FB46" i="18"/>
  <c r="KL56" i="18"/>
  <c r="GG53" i="18"/>
  <c r="GG57" i="18"/>
  <c r="KM67" i="18"/>
  <c r="FE83" i="18"/>
  <c r="FD83" i="18"/>
  <c r="FB49" i="18"/>
  <c r="FE45" i="18"/>
  <c r="KN62" i="18"/>
  <c r="FB68" i="18"/>
  <c r="FF70" i="18"/>
  <c r="FC44" i="18"/>
  <c r="FB42" i="18"/>
  <c r="FC82" i="18"/>
  <c r="KV79" i="18"/>
  <c r="FC79" i="18"/>
  <c r="FM65" i="18"/>
  <c r="GG60" i="18"/>
  <c r="KN68" i="18"/>
  <c r="FE63" i="18"/>
  <c r="GG83" i="18"/>
  <c r="KO45" i="18"/>
  <c r="FC84" i="18"/>
  <c r="KN85" i="18"/>
  <c r="FL44" i="18"/>
  <c r="KV85" i="18"/>
  <c r="KN84" i="18"/>
  <c r="KV82" i="18"/>
  <c r="FB56" i="18"/>
  <c r="FL45" i="18"/>
  <c r="FF68" i="18"/>
  <c r="FE54" i="18"/>
  <c r="FB45" i="18"/>
  <c r="KM65" i="18"/>
  <c r="FM74" i="18"/>
  <c r="FL65" i="18"/>
  <c r="FM71" i="18"/>
  <c r="FB44" i="18"/>
  <c r="FB71" i="18"/>
  <c r="FL82" i="18"/>
  <c r="KV54" i="18"/>
  <c r="KN42" i="18"/>
  <c r="GG73" i="18"/>
  <c r="FC45" i="18"/>
  <c r="FL67" i="18"/>
  <c r="GG55" i="18"/>
  <c r="KL40" i="18"/>
  <c r="FD78" i="18"/>
  <c r="FB79" i="18"/>
  <c r="FF54" i="18"/>
  <c r="FE68" i="18"/>
  <c r="KL46" i="18"/>
  <c r="FM70" i="18"/>
  <c r="KN80" i="18"/>
  <c r="GG78" i="18"/>
  <c r="FM46" i="18"/>
  <c r="GG51" i="18"/>
  <c r="GG40" i="18"/>
  <c r="FY87" i="18"/>
  <c r="KN87" i="18"/>
  <c r="GG48" i="18"/>
  <c r="KO62" i="18"/>
  <c r="FD69" i="18"/>
  <c r="FE41" i="18"/>
  <c r="FE56" i="18"/>
  <c r="GG52" i="18"/>
  <c r="KV78" i="18"/>
  <c r="FD41" i="18"/>
  <c r="GG75" i="18"/>
  <c r="GG68" i="18"/>
  <c r="FB58" i="18"/>
  <c r="FL71" i="18"/>
  <c r="FC85" i="18"/>
  <c r="FC42" i="18"/>
  <c r="GG61" i="18"/>
  <c r="KV80" i="18"/>
  <c r="FL74" i="18"/>
  <c r="FC46" i="18"/>
  <c r="FM82" i="18"/>
  <c r="KM78" i="18"/>
  <c r="EY50" i="18"/>
  <c r="FE67" i="18"/>
  <c r="GG80" i="18"/>
  <c r="KO65" i="18"/>
  <c r="FL46" i="18"/>
  <c r="EY60" i="18"/>
  <c r="KN67" i="18"/>
  <c r="KO73" i="18"/>
  <c r="FE40" i="18"/>
  <c r="EY72" i="18"/>
  <c r="FC40" i="18"/>
  <c r="FM85" i="18"/>
  <c r="FC67" i="18"/>
  <c r="KN49" i="18"/>
  <c r="KN69" i="18"/>
  <c r="FF78" i="18"/>
  <c r="FM62" i="18"/>
  <c r="FF46" i="18"/>
  <c r="FM84" i="18"/>
  <c r="KV70" i="18"/>
  <c r="FB83" i="18"/>
  <c r="EY57" i="18"/>
  <c r="KO71" i="18"/>
  <c r="KN54" i="18"/>
  <c r="FF62" i="18"/>
  <c r="GG42" i="18"/>
  <c r="FC58" i="18"/>
  <c r="KL79" i="18"/>
  <c r="FL86" i="18"/>
  <c r="FX56" i="18"/>
  <c r="KL54" i="18"/>
  <c r="EY53" i="18"/>
  <c r="FB80" i="18"/>
  <c r="FF44" i="18"/>
  <c r="FL79" i="18"/>
  <c r="EY48" i="18"/>
  <c r="KM68" i="18"/>
  <c r="KM62" i="18"/>
  <c r="LD56" i="18" l="1"/>
  <c r="LD52" i="18"/>
  <c r="LD69" i="18"/>
  <c r="LD87" i="18"/>
  <c r="LG87" i="18" s="1"/>
  <c r="LD84" i="18"/>
  <c r="LD68" i="18"/>
  <c r="DJ40" i="24"/>
  <c r="DL36" i="24" s="1"/>
  <c r="DG51" i="24"/>
  <c r="DH44" i="24" s="1"/>
  <c r="EF42" i="24"/>
  <c r="DZ42" i="24"/>
  <c r="EF81" i="24" s="1"/>
  <c r="GC67" i="18"/>
  <c r="GV67" i="18" s="1"/>
  <c r="LD73" i="18"/>
  <c r="LD44" i="18"/>
  <c r="LD42" i="18"/>
  <c r="GC48" i="18"/>
  <c r="GV48" i="18" s="1"/>
  <c r="GC73" i="18"/>
  <c r="GV73" i="18" s="1"/>
  <c r="LD82" i="18"/>
  <c r="GC53" i="18"/>
  <c r="GV53" i="18" s="1"/>
  <c r="GC61" i="18"/>
  <c r="GV61" i="18" s="1"/>
  <c r="GC70" i="18"/>
  <c r="GV70" i="18" s="1"/>
  <c r="LD54" i="18"/>
  <c r="GC68" i="18"/>
  <c r="GV68" i="18" s="1"/>
  <c r="LD58" i="18"/>
  <c r="LD71" i="18"/>
  <c r="GC76" i="18"/>
  <c r="GV76" i="18" s="1"/>
  <c r="LD67" i="18"/>
  <c r="GC57" i="18"/>
  <c r="GV57" i="18" s="1"/>
  <c r="GC83" i="18"/>
  <c r="LD86" i="18"/>
  <c r="LG86" i="18" s="1"/>
  <c r="GC52" i="18"/>
  <c r="GV52" i="18" s="1"/>
  <c r="GC51" i="18"/>
  <c r="GV51" i="18" s="1"/>
  <c r="GC50" i="18"/>
  <c r="GV50" i="18" s="1"/>
  <c r="GC65" i="18"/>
  <c r="GV65" i="18" s="1"/>
  <c r="GC79" i="18"/>
  <c r="GC41" i="18"/>
  <c r="GV41" i="18" s="1"/>
  <c r="GC54" i="18"/>
  <c r="GV54" i="18" s="1"/>
  <c r="GC56" i="18"/>
  <c r="GV56" i="18" s="1"/>
  <c r="GC64" i="18"/>
  <c r="GV64" i="18" s="1"/>
  <c r="LD70" i="18"/>
  <c r="GC60" i="18"/>
  <c r="GV60" i="18" s="1"/>
  <c r="LD49" i="18"/>
  <c r="LD46" i="18"/>
  <c r="GC59" i="18"/>
  <c r="GV59" i="18" s="1"/>
  <c r="GC49" i="18"/>
  <c r="GV49" i="18" s="1"/>
  <c r="LD80" i="18"/>
  <c r="GC43" i="18"/>
  <c r="GV43" i="18" s="1"/>
  <c r="GC71" i="18"/>
  <c r="GV71" i="18" s="1"/>
  <c r="GC66" i="18"/>
  <c r="GV66" i="18" s="1"/>
  <c r="LD74" i="18"/>
  <c r="LD79" i="18"/>
  <c r="GC55" i="18"/>
  <c r="GV55" i="18" s="1"/>
  <c r="LD62" i="18"/>
  <c r="LD41" i="18"/>
  <c r="GC62" i="18"/>
  <c r="GV62" i="18" s="1"/>
  <c r="GC42" i="18"/>
  <c r="GV42" i="18" s="1"/>
  <c r="GC46" i="18"/>
  <c r="GV46" i="18" s="1"/>
  <c r="LD40" i="18"/>
  <c r="GC75" i="18"/>
  <c r="GV75" i="18" s="1"/>
  <c r="LD78" i="18"/>
  <c r="GC69" i="18"/>
  <c r="GV69" i="18" s="1"/>
  <c r="LD63" i="18"/>
  <c r="GC77" i="18"/>
  <c r="GV77" i="18" s="1"/>
  <c r="GC63" i="18"/>
  <c r="GV63" i="18" s="1"/>
  <c r="GC44" i="18"/>
  <c r="GV44" i="18" s="1"/>
  <c r="GC47" i="18"/>
  <c r="GV47" i="18" s="1"/>
  <c r="GC74" i="18"/>
  <c r="GV74" i="18" s="1"/>
  <c r="GC45" i="18"/>
  <c r="GV45" i="18" s="1"/>
  <c r="LD85" i="18"/>
  <c r="LG85" i="18" s="1"/>
  <c r="GC84" i="18"/>
  <c r="LD83" i="18"/>
  <c r="GC58" i="18"/>
  <c r="GV58" i="18" s="1"/>
  <c r="GC81" i="18"/>
  <c r="GC72" i="18"/>
  <c r="GV72" i="18" s="1"/>
  <c r="LD45" i="18"/>
  <c r="LD65" i="18"/>
  <c r="GC82" i="18"/>
  <c r="GC78" i="18"/>
  <c r="GC80" i="18"/>
  <c r="FZ52" i="18"/>
  <c r="FL76" i="18"/>
  <c r="FB64" i="18"/>
  <c r="FW58" i="18"/>
  <c r="FB48" i="18"/>
  <c r="FW69" i="18"/>
  <c r="GB63" i="18"/>
  <c r="FD50" i="18"/>
  <c r="FY86" i="18"/>
  <c r="FM48" i="18"/>
  <c r="FV46" i="18"/>
  <c r="FY82" i="18"/>
  <c r="FZ83" i="18"/>
  <c r="FZ65" i="18"/>
  <c r="FZ86" i="18"/>
  <c r="KM47" i="18"/>
  <c r="FW65" i="18"/>
  <c r="FX49" i="18"/>
  <c r="KL48" i="18"/>
  <c r="GB44" i="18"/>
  <c r="FB51" i="18"/>
  <c r="FV56" i="18"/>
  <c r="FF81" i="18"/>
  <c r="KL76" i="18"/>
  <c r="DL43" i="24"/>
  <c r="FE81" i="18"/>
  <c r="FL66" i="18"/>
  <c r="FY79" i="18"/>
  <c r="FX83" i="18"/>
  <c r="GB86" i="18"/>
  <c r="FX78" i="18"/>
  <c r="GA63" i="18"/>
  <c r="FM53" i="18"/>
  <c r="KO50" i="18"/>
  <c r="GB80" i="18"/>
  <c r="KO48" i="18"/>
  <c r="FL77" i="18"/>
  <c r="FX70" i="18"/>
  <c r="FX82" i="18"/>
  <c r="FX67" i="18"/>
  <c r="KL75" i="18"/>
  <c r="GB62" i="18"/>
  <c r="FB47" i="18"/>
  <c r="KN47" i="18"/>
  <c r="FB53" i="18"/>
  <c r="KM64" i="18"/>
  <c r="FC61" i="18"/>
  <c r="FV62" i="18"/>
  <c r="FL47" i="18"/>
  <c r="KL57" i="18"/>
  <c r="FZ82" i="18"/>
  <c r="FL75" i="18"/>
  <c r="FC77" i="18"/>
  <c r="KN43" i="18"/>
  <c r="FV68" i="18"/>
  <c r="FZ63" i="18"/>
  <c r="FE55" i="18"/>
  <c r="FZ56" i="18"/>
  <c r="GB46" i="18"/>
  <c r="KV47" i="18"/>
  <c r="KO60" i="18"/>
  <c r="FL51" i="18"/>
  <c r="DL40" i="24"/>
  <c r="GB71" i="18"/>
  <c r="FX85" i="18"/>
  <c r="FE77" i="18"/>
  <c r="FL61" i="18"/>
  <c r="FZ58" i="18"/>
  <c r="FL81" i="18"/>
  <c r="FY80" i="18"/>
  <c r="FX71" i="18"/>
  <c r="GB49" i="18"/>
  <c r="FD66" i="18"/>
  <c r="FL48" i="18"/>
  <c r="FY45" i="18"/>
  <c r="FF60" i="18"/>
  <c r="FE48" i="18"/>
  <c r="FX65" i="18"/>
  <c r="KV66" i="18"/>
  <c r="FX84" i="18"/>
  <c r="KM57" i="18"/>
  <c r="FL50" i="18"/>
  <c r="FC59" i="18"/>
  <c r="FB81" i="18"/>
  <c r="FM66" i="18"/>
  <c r="FE53" i="18"/>
  <c r="KO47" i="18"/>
  <c r="FW68" i="18"/>
  <c r="KL64" i="18"/>
  <c r="FZ54" i="18"/>
  <c r="FD64" i="18"/>
  <c r="FW84" i="18"/>
  <c r="GB73" i="18"/>
  <c r="FZ62" i="18"/>
  <c r="FW85" i="18"/>
  <c r="FD76" i="18"/>
  <c r="FW54" i="18"/>
  <c r="FF75" i="18"/>
  <c r="KM77" i="18"/>
  <c r="KV43" i="18"/>
  <c r="FD75" i="18"/>
  <c r="FZ79" i="18"/>
  <c r="KN75" i="18"/>
  <c r="FX62" i="18"/>
  <c r="GA83" i="18"/>
  <c r="GA56" i="18"/>
  <c r="FZ45" i="18"/>
  <c r="KN57" i="18"/>
  <c r="FB77" i="18"/>
  <c r="FV52" i="18"/>
  <c r="FE75" i="18"/>
  <c r="FY78" i="18"/>
  <c r="GB78" i="18"/>
  <c r="FX45" i="18"/>
  <c r="FX73" i="18"/>
  <c r="FM77" i="18"/>
  <c r="FY70" i="18"/>
  <c r="FF77" i="18"/>
  <c r="FL72" i="18"/>
  <c r="FM64" i="18"/>
  <c r="KO53" i="18"/>
  <c r="FV86" i="18"/>
  <c r="GK52" i="18"/>
  <c r="GB40" i="18"/>
  <c r="GA78" i="18"/>
  <c r="FZ44" i="18"/>
  <c r="FB66" i="18"/>
  <c r="FW45" i="18"/>
  <c r="FV79" i="18"/>
  <c r="GB56" i="18"/>
  <c r="FE66" i="18"/>
  <c r="FC81" i="18"/>
  <c r="FW79" i="18"/>
  <c r="FX40" i="18"/>
  <c r="FV58" i="18"/>
  <c r="GB58" i="18"/>
  <c r="FY41" i="18"/>
  <c r="FL57" i="18"/>
  <c r="FV48" i="18"/>
  <c r="KM75" i="18"/>
  <c r="FY83" i="18"/>
  <c r="FX63" i="18"/>
  <c r="KM51" i="18"/>
  <c r="KL43" i="18"/>
  <c r="FW42" i="18"/>
  <c r="KV60" i="18"/>
  <c r="GB74" i="18"/>
  <c r="FC60" i="18"/>
  <c r="KM48" i="18"/>
  <c r="GA46" i="18"/>
  <c r="FY85" i="18"/>
  <c r="FE51" i="18"/>
  <c r="FF51" i="18"/>
  <c r="FW41" i="18"/>
  <c r="GB82" i="18"/>
  <c r="FL53" i="18"/>
  <c r="FY74" i="18"/>
  <c r="KM53" i="18"/>
  <c r="FW44" i="18"/>
  <c r="GB83" i="18"/>
  <c r="FD51" i="18"/>
  <c r="KO72" i="18"/>
  <c r="FX54" i="18"/>
  <c r="FV74" i="18"/>
  <c r="FY58" i="18"/>
  <c r="FZ42" i="18"/>
  <c r="FF72" i="18"/>
  <c r="FY71" i="18"/>
  <c r="GB45" i="18"/>
  <c r="KV76" i="18"/>
  <c r="FD72" i="18"/>
  <c r="GA87" i="18"/>
  <c r="FY44" i="18"/>
  <c r="FL64" i="18"/>
  <c r="KO77" i="18"/>
  <c r="GA40" i="18"/>
  <c r="KM59" i="18"/>
  <c r="FE61" i="18"/>
  <c r="FW60" i="18"/>
  <c r="FB43" i="18"/>
  <c r="KL77" i="18"/>
  <c r="KV61" i="18"/>
  <c r="FZ85" i="18"/>
  <c r="FD53" i="18"/>
  <c r="FY62" i="18"/>
  <c r="FW74" i="18"/>
  <c r="KM61" i="18"/>
  <c r="GA82" i="18"/>
  <c r="FV69" i="18"/>
  <c r="GA49" i="18"/>
  <c r="FE57" i="18"/>
  <c r="FZ46" i="18"/>
  <c r="FB50" i="18"/>
  <c r="FF76" i="18"/>
  <c r="GB41" i="18"/>
  <c r="GB68" i="18"/>
  <c r="FF48" i="18"/>
  <c r="FZ48" i="18" s="1"/>
  <c r="KN50" i="18"/>
  <c r="KM72" i="18"/>
  <c r="KO66" i="18"/>
  <c r="GA74" i="18"/>
  <c r="FB55" i="18"/>
  <c r="KV77" i="18"/>
  <c r="FC43" i="18"/>
  <c r="GB70" i="18"/>
  <c r="FC48" i="18"/>
  <c r="KO64" i="18"/>
  <c r="KN61" i="18"/>
  <c r="FW70" i="18"/>
  <c r="KO75" i="18"/>
  <c r="FB61" i="18"/>
  <c r="FV70" i="18"/>
  <c r="FE50" i="18"/>
  <c r="KL72" i="18"/>
  <c r="FW52" i="18"/>
  <c r="KM55" i="18"/>
  <c r="GB79" i="18"/>
  <c r="FX68" i="18"/>
  <c r="GB53" i="18"/>
  <c r="FZ40" i="18"/>
  <c r="FZ80" i="18"/>
  <c r="FM75" i="18"/>
  <c r="FW86" i="18"/>
  <c r="FW78" i="18"/>
  <c r="KV48" i="18"/>
  <c r="GB84" i="18"/>
  <c r="GB65" i="18"/>
  <c r="KV59" i="18"/>
  <c r="FV78" i="18"/>
  <c r="FD55" i="18"/>
  <c r="FV67" i="18"/>
  <c r="KM76" i="18"/>
  <c r="GB87" i="18"/>
  <c r="KL61" i="18"/>
  <c r="FZ67" i="18"/>
  <c r="FD60" i="18"/>
  <c r="GB52" i="18"/>
  <c r="GA62" i="18"/>
  <c r="DL46" i="24"/>
  <c r="FM61" i="18"/>
  <c r="FF61" i="18"/>
  <c r="FC50" i="18"/>
  <c r="FX42" i="18"/>
  <c r="KO76" i="18"/>
  <c r="GA42" i="18"/>
  <c r="FW82" i="18"/>
  <c r="FY68" i="18"/>
  <c r="FZ78" i="18"/>
  <c r="KN76" i="18"/>
  <c r="FW67" i="18"/>
  <c r="FZ71" i="18"/>
  <c r="KO57" i="18"/>
  <c r="FY73" i="18"/>
  <c r="FM59" i="18"/>
  <c r="FV73" i="18"/>
  <c r="GB75" i="18"/>
  <c r="FM47" i="18"/>
  <c r="GB47" i="18" s="1"/>
  <c r="FY84" i="18"/>
  <c r="GA85" i="18"/>
  <c r="FC57" i="18"/>
  <c r="FY49" i="18"/>
  <c r="FV41" i="18"/>
  <c r="FY69" i="18"/>
  <c r="FW40" i="18"/>
  <c r="FC55" i="18"/>
  <c r="FW62" i="18"/>
  <c r="KM60" i="18"/>
  <c r="FF57" i="18"/>
  <c r="FC76" i="18"/>
  <c r="KM66" i="18"/>
  <c r="FV87" i="18"/>
  <c r="KO51" i="18"/>
  <c r="KN72" i="18"/>
  <c r="FD81" i="18"/>
  <c r="FV82" i="18"/>
  <c r="FL60" i="18"/>
  <c r="KL55" i="18"/>
  <c r="FE76" i="18"/>
  <c r="DL44" i="24"/>
  <c r="KN66" i="18"/>
  <c r="FZ74" i="18"/>
  <c r="FD59" i="18"/>
  <c r="KL81" i="18"/>
  <c r="DL41" i="24"/>
  <c r="KL53" i="18"/>
  <c r="FW63" i="18"/>
  <c r="FY54" i="18"/>
  <c r="FM50" i="18"/>
  <c r="FB60" i="18"/>
  <c r="FB75" i="18"/>
  <c r="GJ56" i="18"/>
  <c r="FW83" i="18"/>
  <c r="FV84" i="18"/>
  <c r="FB76" i="18"/>
  <c r="FZ84" i="18"/>
  <c r="KN59" i="18"/>
  <c r="GA71" i="18"/>
  <c r="FZ49" i="18"/>
  <c r="GA44" i="18"/>
  <c r="GB67" i="18"/>
  <c r="FY63" i="18"/>
  <c r="FY67" i="18"/>
  <c r="FW71" i="18"/>
  <c r="KL50" i="18"/>
  <c r="KV53" i="18"/>
  <c r="KO55" i="18"/>
  <c r="FE64" i="18"/>
  <c r="FF43" i="18"/>
  <c r="GA80" i="18"/>
  <c r="KV55" i="18"/>
  <c r="FX55" i="18"/>
  <c r="FL43" i="18"/>
  <c r="FF66" i="18"/>
  <c r="GA52" i="18"/>
  <c r="KV51" i="18"/>
  <c r="KO43" i="18"/>
  <c r="FL59" i="18"/>
  <c r="FM81" i="18"/>
  <c r="KN60" i="18"/>
  <c r="FC75" i="18"/>
  <c r="FZ41" i="18"/>
  <c r="KN81" i="18"/>
  <c r="FD57" i="18"/>
  <c r="GB54" i="18"/>
  <c r="FX74" i="18"/>
  <c r="FV80" i="18"/>
  <c r="FV44" i="18"/>
  <c r="KL60" i="18"/>
  <c r="FZ69" i="18"/>
  <c r="FC64" i="18"/>
  <c r="FZ68" i="18"/>
  <c r="KV57" i="18"/>
  <c r="FD47" i="18"/>
  <c r="FV49" i="18"/>
  <c r="KM50" i="18"/>
  <c r="KL47" i="18"/>
  <c r="FX69" i="18"/>
  <c r="FC53" i="18"/>
  <c r="GA86" i="18"/>
  <c r="FD43" i="18"/>
  <c r="GA41" i="18"/>
  <c r="FD48" i="18"/>
  <c r="FD61" i="18"/>
  <c r="FF64" i="18"/>
  <c r="FW49" i="18"/>
  <c r="FX79" i="18"/>
  <c r="GB85" i="18"/>
  <c r="FC66" i="18"/>
  <c r="GA67" i="18"/>
  <c r="KO59" i="18"/>
  <c r="GA70" i="18"/>
  <c r="FV45" i="18"/>
  <c r="FX41" i="18"/>
  <c r="KL66" i="18"/>
  <c r="KV72" i="18"/>
  <c r="FM55" i="18"/>
  <c r="FL55" i="18"/>
  <c r="FV40" i="18"/>
  <c r="FX52" i="18"/>
  <c r="KM81" i="18"/>
  <c r="FZ70" i="18"/>
  <c r="FE72" i="18"/>
  <c r="GA54" i="18"/>
  <c r="FM76" i="18"/>
  <c r="FV71" i="18"/>
  <c r="FY56" i="18"/>
  <c r="KM43" i="18"/>
  <c r="KN55" i="18"/>
  <c r="FX46" i="18"/>
  <c r="FF55" i="18"/>
  <c r="FV65" i="18"/>
  <c r="FE43" i="18"/>
  <c r="KV75" i="18"/>
  <c r="FW87" i="18"/>
  <c r="KL51" i="18"/>
  <c r="KV81" i="18"/>
  <c r="GA69" i="18"/>
  <c r="FE60" i="18"/>
  <c r="GI56" i="18"/>
  <c r="FY65" i="18"/>
  <c r="FE47" i="18"/>
  <c r="GB69" i="18"/>
  <c r="GA68" i="18"/>
  <c r="FX81" i="18"/>
  <c r="FX44" i="18"/>
  <c r="FF59" i="18"/>
  <c r="FX87" i="18"/>
  <c r="FC47" i="18"/>
  <c r="FB72" i="18"/>
  <c r="KO61" i="18"/>
  <c r="GB42" i="18"/>
  <c r="FB57" i="18"/>
  <c r="FB59" i="18"/>
  <c r="FM57" i="18"/>
  <c r="FX86" i="18"/>
  <c r="FW80" i="18"/>
  <c r="GA65" i="18"/>
  <c r="KO81" i="18"/>
  <c r="DL45" i="24"/>
  <c r="FZ73" i="18"/>
  <c r="FF47" i="18"/>
  <c r="FM60" i="18"/>
  <c r="FX80" i="18"/>
  <c r="FM43" i="18"/>
  <c r="GA79" i="18"/>
  <c r="FC72" i="18"/>
  <c r="FC51" i="18"/>
  <c r="FY40" i="18"/>
  <c r="GA45" i="18"/>
  <c r="KN53" i="18"/>
  <c r="FZ87" i="18"/>
  <c r="KN64" i="18"/>
  <c r="GA58" i="18"/>
  <c r="FX58" i="18"/>
  <c r="FY46" i="18"/>
  <c r="KV64" i="18"/>
  <c r="FY42" i="18"/>
  <c r="FM51" i="18"/>
  <c r="KN51" i="18"/>
  <c r="FE59" i="18"/>
  <c r="FF50" i="18"/>
  <c r="FW73" i="18"/>
  <c r="KN48" i="18"/>
  <c r="FM72" i="18"/>
  <c r="FV42" i="18"/>
  <c r="DL42" i="24"/>
  <c r="KL59" i="18"/>
  <c r="GA73" i="18"/>
  <c r="FD77" i="18"/>
  <c r="KV50" i="18"/>
  <c r="FV66" i="18"/>
  <c r="KN77" i="18"/>
  <c r="FV83" i="18"/>
  <c r="FW46" i="18"/>
  <c r="FV85" i="18"/>
  <c r="GA84" i="18"/>
  <c r="FV54" i="18"/>
  <c r="FF53" i="18"/>
  <c r="FV63" i="18"/>
  <c r="DH46" i="24" l="1"/>
  <c r="DH43" i="24"/>
  <c r="DH45" i="24"/>
  <c r="DH41" i="24"/>
  <c r="DH42" i="24"/>
  <c r="LD66" i="18"/>
  <c r="LD60" i="18"/>
  <c r="LD50" i="18"/>
  <c r="LD48" i="18"/>
  <c r="LD53" i="18"/>
  <c r="LD81" i="18"/>
  <c r="LD51" i="18"/>
  <c r="LD72" i="18"/>
  <c r="LD55" i="18"/>
  <c r="LD47" i="18"/>
  <c r="LD75" i="18"/>
  <c r="DQ46" i="24"/>
  <c r="DQ45" i="24"/>
  <c r="DQ43" i="24"/>
  <c r="DQ42" i="24"/>
  <c r="DQ44" i="24"/>
  <c r="DZ43" i="24"/>
  <c r="EF82" i="24" s="1"/>
  <c r="EF43" i="24"/>
  <c r="GX56" i="18"/>
  <c r="GY56" i="18"/>
  <c r="DQ41" i="24"/>
  <c r="LD64" i="18"/>
  <c r="LD77" i="18"/>
  <c r="LD76" i="18"/>
  <c r="LD59" i="18"/>
  <c r="LD57" i="18"/>
  <c r="LD61" i="18"/>
  <c r="LD43" i="18"/>
  <c r="FZ53" i="18"/>
  <c r="FY55" i="18"/>
  <c r="FX75" i="18"/>
  <c r="FY60" i="18"/>
  <c r="GM46" i="18"/>
  <c r="GM42" i="18"/>
  <c r="GM65" i="18"/>
  <c r="GA60" i="18"/>
  <c r="GJ67" i="18"/>
  <c r="GN56" i="18"/>
  <c r="GN49" i="18"/>
  <c r="GL56" i="18"/>
  <c r="GN53" i="18"/>
  <c r="GJ45" i="18"/>
  <c r="GJ58" i="18"/>
  <c r="GI60" i="18"/>
  <c r="FV76" i="18"/>
  <c r="GM41" i="18"/>
  <c r="GM40" i="18"/>
  <c r="GH84" i="18"/>
  <c r="GL83" i="18"/>
  <c r="FW48" i="18"/>
  <c r="GH44" i="18"/>
  <c r="FV55" i="18"/>
  <c r="GL65" i="18"/>
  <c r="GL69" i="18"/>
  <c r="FV57" i="18"/>
  <c r="GJ54" i="18"/>
  <c r="GH62" i="18"/>
  <c r="GJ74" i="18"/>
  <c r="GM80" i="18"/>
  <c r="GM79" i="18"/>
  <c r="GA75" i="18"/>
  <c r="GM78" i="18"/>
  <c r="GN83" i="18"/>
  <c r="GK74" i="18"/>
  <c r="GK65" i="18"/>
  <c r="GJ44" i="18"/>
  <c r="FY72" i="18"/>
  <c r="GJ68" i="18"/>
  <c r="FZ61" i="18"/>
  <c r="GI58" i="18"/>
  <c r="GB61" i="18"/>
  <c r="FX77" i="18"/>
  <c r="GB64" i="18"/>
  <c r="GH58" i="18"/>
  <c r="FV64" i="18"/>
  <c r="FZ66" i="18"/>
  <c r="GL63" i="18"/>
  <c r="GK40" i="18"/>
  <c r="FW72" i="18"/>
  <c r="GA51" i="18"/>
  <c r="FV51" i="18"/>
  <c r="FV81" i="18"/>
  <c r="GJ49" i="18"/>
  <c r="GK78" i="18"/>
  <c r="GI40" i="18"/>
  <c r="GJ78" i="18"/>
  <c r="GH49" i="18"/>
  <c r="GI67" i="18"/>
  <c r="GA61" i="18"/>
  <c r="GN58" i="18"/>
  <c r="GL78" i="18"/>
  <c r="GK42" i="18"/>
  <c r="GB60" i="18"/>
  <c r="GA53" i="18"/>
  <c r="GN47" i="18"/>
  <c r="GJ69" i="18"/>
  <c r="GI70" i="18"/>
  <c r="FZ72" i="18"/>
  <c r="GL82" i="18"/>
  <c r="FY75" i="18"/>
  <c r="FW76" i="18"/>
  <c r="GK49" i="18"/>
  <c r="GJ79" i="18"/>
  <c r="GM73" i="18"/>
  <c r="GL79" i="18"/>
  <c r="FZ64" i="18"/>
  <c r="GM70" i="18"/>
  <c r="FY77" i="18"/>
  <c r="GN63" i="18"/>
  <c r="GJ73" i="18"/>
  <c r="FZ47" i="18"/>
  <c r="GL52" i="18"/>
  <c r="FX66" i="18"/>
  <c r="GM82" i="18"/>
  <c r="GJ70" i="18"/>
  <c r="GJ46" i="18"/>
  <c r="FZ57" i="18"/>
  <c r="FW61" i="18"/>
  <c r="GN80" i="18"/>
  <c r="GL45" i="18"/>
  <c r="FZ43" i="18"/>
  <c r="GH69" i="18"/>
  <c r="FZ60" i="18"/>
  <c r="FY57" i="18"/>
  <c r="GN70" i="18"/>
  <c r="GI45" i="18"/>
  <c r="FV59" i="18"/>
  <c r="GK58" i="18"/>
  <c r="GM67" i="18"/>
  <c r="FX50" i="18"/>
  <c r="FV72" i="18"/>
  <c r="FX47" i="18"/>
  <c r="GK70" i="18"/>
  <c r="FV77" i="18"/>
  <c r="GB51" i="18"/>
  <c r="GN68" i="18"/>
  <c r="FX61" i="18"/>
  <c r="GH67" i="18"/>
  <c r="GI73" i="18"/>
  <c r="FZ76" i="18"/>
  <c r="GI83" i="18"/>
  <c r="FY64" i="18"/>
  <c r="GJ41" i="18"/>
  <c r="GN54" i="18"/>
  <c r="GB72" i="18"/>
  <c r="FV53" i="18"/>
  <c r="FY50" i="18"/>
  <c r="GJ82" i="18"/>
  <c r="GH40" i="18"/>
  <c r="GK68" i="18"/>
  <c r="GN65" i="18"/>
  <c r="GI63" i="18"/>
  <c r="GH41" i="18"/>
  <c r="GJ84" i="18"/>
  <c r="GL44" i="18"/>
  <c r="GM54" i="18"/>
  <c r="FW57" i="18"/>
  <c r="GK56" i="18"/>
  <c r="FX43" i="18"/>
  <c r="FW81" i="18"/>
  <c r="FY48" i="18"/>
  <c r="GM45" i="18"/>
  <c r="FV47" i="18"/>
  <c r="GM84" i="18"/>
  <c r="FY53" i="18"/>
  <c r="GL42" i="18"/>
  <c r="GB57" i="18"/>
  <c r="GI46" i="18"/>
  <c r="GI52" i="18"/>
  <c r="GK69" i="18"/>
  <c r="GL67" i="18"/>
  <c r="GH82" i="18"/>
  <c r="GA64" i="18"/>
  <c r="GI42" i="18"/>
  <c r="FX48" i="18"/>
  <c r="FZ77" i="18"/>
  <c r="GN67" i="18"/>
  <c r="GB50" i="18"/>
  <c r="FX51" i="18"/>
  <c r="GL70" i="18"/>
  <c r="GL73" i="18"/>
  <c r="GN62" i="18"/>
  <c r="GA43" i="18"/>
  <c r="FZ75" i="18"/>
  <c r="GB48" i="18"/>
  <c r="GM52" i="18"/>
  <c r="FX60" i="18"/>
  <c r="GK80" i="18"/>
  <c r="GJ42" i="18"/>
  <c r="FV60" i="18"/>
  <c r="GK63" i="18"/>
  <c r="GI69" i="18"/>
  <c r="FZ50" i="18"/>
  <c r="GL48" i="18"/>
  <c r="GI78" i="18"/>
  <c r="FZ55" i="18"/>
  <c r="GA59" i="18"/>
  <c r="FZ51" i="18"/>
  <c r="GM63" i="18"/>
  <c r="GN45" i="18"/>
  <c r="GI62" i="18"/>
  <c r="FV75" i="18"/>
  <c r="FW55" i="18"/>
  <c r="GM68" i="18"/>
  <c r="GI68" i="18"/>
  <c r="GM74" i="18"/>
  <c r="GH66" i="18"/>
  <c r="GH83" i="18"/>
  <c r="FZ59" i="18"/>
  <c r="FX64" i="18"/>
  <c r="GH73" i="18"/>
  <c r="GK44" i="18"/>
  <c r="FW59" i="18"/>
  <c r="GJ71" i="18"/>
  <c r="GH46" i="18"/>
  <c r="GN74" i="18"/>
  <c r="GH52" i="18"/>
  <c r="FX59" i="18"/>
  <c r="GM49" i="18"/>
  <c r="GH54" i="18"/>
  <c r="FX72" i="18"/>
  <c r="GH48" i="18"/>
  <c r="GL41" i="18"/>
  <c r="GK54" i="18"/>
  <c r="GL71" i="18"/>
  <c r="FW51" i="18"/>
  <c r="GA50" i="18"/>
  <c r="GN69" i="18"/>
  <c r="GN79" i="18"/>
  <c r="GI41" i="18"/>
  <c r="GN42" i="18"/>
  <c r="GA66" i="18"/>
  <c r="GI71" i="18"/>
  <c r="FY43" i="18"/>
  <c r="GN82" i="18"/>
  <c r="GJ63" i="18"/>
  <c r="GL58" i="18"/>
  <c r="GM44" i="18"/>
  <c r="GM83" i="18"/>
  <c r="GM69" i="18"/>
  <c r="GM71" i="18"/>
  <c r="GJ40" i="18"/>
  <c r="GA81" i="18"/>
  <c r="GK82" i="18"/>
  <c r="FV61" i="18"/>
  <c r="FW43" i="18"/>
  <c r="GI80" i="18"/>
  <c r="GL49" i="18"/>
  <c r="GJ81" i="18"/>
  <c r="GA48" i="18"/>
  <c r="FW66" i="18"/>
  <c r="GM62" i="18"/>
  <c r="GJ80" i="18"/>
  <c r="GN52" i="18"/>
  <c r="GH74" i="18"/>
  <c r="GI44" i="18"/>
  <c r="GM56" i="18"/>
  <c r="GK73" i="18"/>
  <c r="FX53" i="18"/>
  <c r="GA47" i="18"/>
  <c r="FV50" i="18"/>
  <c r="FY66" i="18"/>
  <c r="GJ62" i="18"/>
  <c r="FW53" i="18"/>
  <c r="GA72" i="18"/>
  <c r="GK84" i="18"/>
  <c r="GJ65" i="18"/>
  <c r="GL40" i="18"/>
  <c r="GH63" i="18"/>
  <c r="GI82" i="18"/>
  <c r="GN78" i="18"/>
  <c r="GN40" i="18"/>
  <c r="GL84" i="18"/>
  <c r="GK79" i="18"/>
  <c r="FX57" i="18"/>
  <c r="GN84" i="18"/>
  <c r="FW64" i="18"/>
  <c r="GL46" i="18"/>
  <c r="FY61" i="18"/>
  <c r="FW75" i="18"/>
  <c r="GB43" i="18"/>
  <c r="GH78" i="18"/>
  <c r="GH71" i="18"/>
  <c r="GI74" i="18"/>
  <c r="FY51" i="18"/>
  <c r="GL80" i="18"/>
  <c r="GI54" i="18"/>
  <c r="GI49" i="18"/>
  <c r="GN41" i="18"/>
  <c r="FW50" i="18"/>
  <c r="GA77" i="18"/>
  <c r="GJ83" i="18"/>
  <c r="GK67" i="18"/>
  <c r="GI79" i="18"/>
  <c r="FW77" i="18"/>
  <c r="GK46" i="18"/>
  <c r="GI84" i="18"/>
  <c r="GK45" i="18"/>
  <c r="GH68" i="18"/>
  <c r="GK41" i="18"/>
  <c r="GK83" i="18"/>
  <c r="GH42" i="18"/>
  <c r="GK62" i="18"/>
  <c r="GJ52" i="18"/>
  <c r="GH65" i="18"/>
  <c r="FY59" i="18"/>
  <c r="GH56" i="18"/>
  <c r="FV43" i="18"/>
  <c r="GA76" i="18"/>
  <c r="FY47" i="18"/>
  <c r="FY81" i="18"/>
  <c r="GB55" i="18"/>
  <c r="GL62" i="18"/>
  <c r="GH80" i="18"/>
  <c r="FW47" i="18"/>
  <c r="GH70" i="18"/>
  <c r="GM58" i="18"/>
  <c r="GN46" i="18"/>
  <c r="GA57" i="18"/>
  <c r="GL74" i="18"/>
  <c r="GH79" i="18"/>
  <c r="FX76" i="18"/>
  <c r="GB59" i="18"/>
  <c r="GB66" i="18"/>
  <c r="GN71" i="18"/>
  <c r="GL54" i="18"/>
  <c r="GI65" i="18"/>
  <c r="GB76" i="18"/>
  <c r="GA55" i="18"/>
  <c r="GK71" i="18"/>
  <c r="GB81" i="18"/>
  <c r="GB77" i="18"/>
  <c r="GH45" i="18"/>
  <c r="GN44" i="18"/>
  <c r="GL68" i="18"/>
  <c r="FY76" i="18"/>
  <c r="GN75" i="18"/>
  <c r="FZ81" i="18"/>
  <c r="GN73" i="18"/>
  <c r="GJ55" i="18"/>
  <c r="HA52" i="18" l="1"/>
  <c r="HC69" i="18"/>
  <c r="GY52" i="18"/>
  <c r="HA69" i="18"/>
  <c r="GR69" i="18"/>
  <c r="GW69" i="18" s="1"/>
  <c r="HC68" i="18"/>
  <c r="GR56" i="18"/>
  <c r="GW56" i="18" s="1"/>
  <c r="GR52" i="18"/>
  <c r="GW52" i="18" s="1"/>
  <c r="GY69" i="18"/>
  <c r="GX52" i="18"/>
  <c r="HA68" i="18"/>
  <c r="HC52" i="18"/>
  <c r="HC56" i="18"/>
  <c r="GR68" i="18"/>
  <c r="GW68" i="18" s="1"/>
  <c r="HA56" i="18"/>
  <c r="GR84" i="18"/>
  <c r="GW84" i="18" s="1"/>
  <c r="GY68" i="18"/>
  <c r="GX68" i="18"/>
  <c r="GX69" i="18"/>
  <c r="HB44" i="18"/>
  <c r="HB54" i="18"/>
  <c r="HB42" i="18"/>
  <c r="HB73" i="18"/>
  <c r="HB67" i="18"/>
  <c r="GS84" i="18"/>
  <c r="LE84" i="18" s="1"/>
  <c r="LG84" i="18" s="1"/>
  <c r="HB46" i="18"/>
  <c r="HB63" i="18"/>
  <c r="HB74" i="18"/>
  <c r="HB41" i="18"/>
  <c r="HB62" i="18"/>
  <c r="HB52" i="18"/>
  <c r="GS52" i="18"/>
  <c r="HF52" i="18" s="1"/>
  <c r="HB71" i="18"/>
  <c r="HB65" i="18"/>
  <c r="HB69" i="18"/>
  <c r="GS69" i="18"/>
  <c r="HF69" i="18" s="1"/>
  <c r="HB40" i="18"/>
  <c r="HB56" i="18"/>
  <c r="GS56" i="18"/>
  <c r="LE56" i="18" s="1"/>
  <c r="LG56" i="18" s="1"/>
  <c r="HB58" i="18"/>
  <c r="HB68" i="18"/>
  <c r="GS68" i="18"/>
  <c r="LE68" i="18" s="1"/>
  <c r="LG68" i="18" s="1"/>
  <c r="HB70" i="18"/>
  <c r="HB45" i="18"/>
  <c r="HB49" i="18"/>
  <c r="GC40" i="18"/>
  <c r="GV40" i="18" s="1"/>
  <c r="DZ44" i="24"/>
  <c r="EF44" i="24"/>
  <c r="HC40" i="18"/>
  <c r="GY55" i="18"/>
  <c r="GY63" i="18"/>
  <c r="HA67" i="18"/>
  <c r="GX46" i="18"/>
  <c r="GY40" i="18"/>
  <c r="HC62" i="18"/>
  <c r="GX58" i="18"/>
  <c r="HA73" i="18"/>
  <c r="HA41" i="18"/>
  <c r="HA40" i="18"/>
  <c r="HA48" i="18"/>
  <c r="HA71" i="18"/>
  <c r="GX49" i="18"/>
  <c r="GX54" i="18"/>
  <c r="GY44" i="18"/>
  <c r="GY67" i="18"/>
  <c r="GY58" i="18"/>
  <c r="HC49" i="18"/>
  <c r="GR45" i="18"/>
  <c r="GZ45" i="18" s="1"/>
  <c r="HA70" i="18"/>
  <c r="GY62" i="18"/>
  <c r="HA49" i="18"/>
  <c r="GX73" i="18"/>
  <c r="GY54" i="18"/>
  <c r="HC41" i="18"/>
  <c r="GX67" i="18"/>
  <c r="GX62" i="18"/>
  <c r="HC54" i="18"/>
  <c r="GY71" i="18"/>
  <c r="HC65" i="18"/>
  <c r="GY70" i="18"/>
  <c r="HC47" i="18"/>
  <c r="GY73" i="18"/>
  <c r="GX40" i="18"/>
  <c r="GX41" i="18"/>
  <c r="GR49" i="18"/>
  <c r="GZ49" i="18" s="1"/>
  <c r="HA58" i="18"/>
  <c r="GX45" i="18"/>
  <c r="GX42" i="18"/>
  <c r="HA62" i="18"/>
  <c r="HA54" i="18"/>
  <c r="GY42" i="18"/>
  <c r="GY45" i="18"/>
  <c r="HC73" i="18"/>
  <c r="GX63" i="18"/>
  <c r="HC67" i="18"/>
  <c r="HC71" i="18"/>
  <c r="HC46" i="18"/>
  <c r="GX74" i="18"/>
  <c r="HC53" i="18"/>
  <c r="HA74" i="18"/>
  <c r="HA46" i="18"/>
  <c r="HA65" i="18"/>
  <c r="GR42" i="18"/>
  <c r="GZ42" i="18" s="1"/>
  <c r="GY74" i="18"/>
  <c r="GX44" i="18"/>
  <c r="GY46" i="18"/>
  <c r="GY41" i="18"/>
  <c r="GX60" i="18"/>
  <c r="GR40" i="18"/>
  <c r="GZ40" i="18" s="1"/>
  <c r="HC74" i="18"/>
  <c r="HC42" i="18"/>
  <c r="HA63" i="18"/>
  <c r="HA44" i="18"/>
  <c r="HA42" i="18"/>
  <c r="GX70" i="18"/>
  <c r="HC45" i="18"/>
  <c r="GX71" i="18"/>
  <c r="GX65" i="18"/>
  <c r="GY65" i="18"/>
  <c r="HC70" i="18"/>
  <c r="GY49" i="18"/>
  <c r="HC63" i="18"/>
  <c r="HC44" i="18"/>
  <c r="HA45" i="18"/>
  <c r="HC58" i="18"/>
  <c r="GR46" i="18"/>
  <c r="GZ46" i="18" s="1"/>
  <c r="GR44" i="18"/>
  <c r="GZ44" i="18" s="1"/>
  <c r="GR41" i="18"/>
  <c r="GZ41" i="18" s="1"/>
  <c r="GZ56" i="18"/>
  <c r="GR71" i="18"/>
  <c r="GW71" i="18" s="1"/>
  <c r="GS71" i="18"/>
  <c r="GR54" i="18"/>
  <c r="GW54" i="18" s="1"/>
  <c r="GS54" i="18"/>
  <c r="GS74" i="18"/>
  <c r="GR74" i="18"/>
  <c r="GW74" i="18" s="1"/>
  <c r="GS44" i="18"/>
  <c r="GQ44" i="18"/>
  <c r="GR70" i="18"/>
  <c r="GW70" i="18" s="1"/>
  <c r="GS70" i="18"/>
  <c r="GS49" i="18"/>
  <c r="GQ42" i="18"/>
  <c r="GS42" i="18"/>
  <c r="GR79" i="18"/>
  <c r="GW79" i="18" s="1"/>
  <c r="GS79" i="18"/>
  <c r="GS82" i="18"/>
  <c r="GR82" i="18"/>
  <c r="GW82" i="18" s="1"/>
  <c r="GS40" i="18"/>
  <c r="GQ40" i="18"/>
  <c r="GR63" i="18"/>
  <c r="GW63" i="18" s="1"/>
  <c r="GS63" i="18"/>
  <c r="GS73" i="18"/>
  <c r="GR73" i="18"/>
  <c r="GW73" i="18" s="1"/>
  <c r="GR78" i="18"/>
  <c r="GW78" i="18" s="1"/>
  <c r="GS78" i="18"/>
  <c r="GS67" i="18"/>
  <c r="GR67" i="18"/>
  <c r="GW67" i="18" s="1"/>
  <c r="GQ41" i="18"/>
  <c r="GS41" i="18"/>
  <c r="GS62" i="18"/>
  <c r="GR62" i="18"/>
  <c r="GW62" i="18" s="1"/>
  <c r="GS46" i="18"/>
  <c r="GQ46" i="18"/>
  <c r="GS80" i="18"/>
  <c r="GR80" i="18"/>
  <c r="GW80" i="18" s="1"/>
  <c r="GS45" i="18"/>
  <c r="GQ45" i="18"/>
  <c r="GR58" i="18"/>
  <c r="GW58" i="18" s="1"/>
  <c r="GS58" i="18"/>
  <c r="GS65" i="18"/>
  <c r="GR65" i="18"/>
  <c r="GW65" i="18" s="1"/>
  <c r="GR83" i="18"/>
  <c r="GW83" i="18" s="1"/>
  <c r="GS83" i="18"/>
  <c r="GH50" i="18"/>
  <c r="GK55" i="18"/>
  <c r="GK81" i="18"/>
  <c r="GI50" i="18"/>
  <c r="GM66" i="18"/>
  <c r="GN81" i="18"/>
  <c r="GH51" i="18"/>
  <c r="GM47" i="18"/>
  <c r="GL61" i="18"/>
  <c r="GH77" i="18"/>
  <c r="GN77" i="18"/>
  <c r="GI81" i="18"/>
  <c r="GJ61" i="18"/>
  <c r="GI59" i="18"/>
  <c r="GK72" i="18"/>
  <c r="GJ59" i="18"/>
  <c r="GH72" i="18"/>
  <c r="GJ51" i="18"/>
  <c r="GJ57" i="18"/>
  <c r="GI47" i="18"/>
  <c r="GM51" i="18"/>
  <c r="GK76" i="18"/>
  <c r="GJ66" i="18"/>
  <c r="GK64" i="18"/>
  <c r="GJ77" i="18"/>
  <c r="GH64" i="18"/>
  <c r="GJ60" i="18"/>
  <c r="GH76" i="18"/>
  <c r="GN55" i="18"/>
  <c r="GH61" i="18"/>
  <c r="GI61" i="18"/>
  <c r="GK47" i="18"/>
  <c r="GL59" i="18"/>
  <c r="GN50" i="18"/>
  <c r="GL53" i="18"/>
  <c r="GJ72" i="18"/>
  <c r="GM50" i="18"/>
  <c r="GL76" i="18"/>
  <c r="GK50" i="18"/>
  <c r="GK61" i="18"/>
  <c r="GI72" i="18"/>
  <c r="GM57" i="18"/>
  <c r="GM72" i="18"/>
  <c r="GH60" i="18"/>
  <c r="GI55" i="18"/>
  <c r="GJ43" i="18"/>
  <c r="GM81" i="18"/>
  <c r="GN57" i="18"/>
  <c r="GL66" i="18"/>
  <c r="GK59" i="18"/>
  <c r="GM48" i="18"/>
  <c r="GL43" i="18"/>
  <c r="GL57" i="18"/>
  <c r="GL75" i="18"/>
  <c r="GN51" i="18"/>
  <c r="GH47" i="18"/>
  <c r="GN61" i="18"/>
  <c r="GI75" i="18"/>
  <c r="GH53" i="18"/>
  <c r="GH43" i="18"/>
  <c r="GL50" i="18"/>
  <c r="GH81" i="18"/>
  <c r="GI64" i="18"/>
  <c r="GM60" i="18"/>
  <c r="GI51" i="18"/>
  <c r="GL55" i="18"/>
  <c r="GM59" i="18"/>
  <c r="GH59" i="18"/>
  <c r="GK48" i="18"/>
  <c r="GL81" i="18"/>
  <c r="GN76" i="18"/>
  <c r="GK53" i="18"/>
  <c r="GL60" i="18"/>
  <c r="GK57" i="18"/>
  <c r="GI76" i="18"/>
  <c r="GJ53" i="18"/>
  <c r="GI48" i="18"/>
  <c r="GM43" i="18"/>
  <c r="GI66" i="18"/>
  <c r="GH55" i="18"/>
  <c r="GM61" i="18"/>
  <c r="GM55" i="18"/>
  <c r="GN60" i="18"/>
  <c r="GJ48" i="18"/>
  <c r="GM77" i="18"/>
  <c r="GL47" i="18"/>
  <c r="GJ75" i="18"/>
  <c r="GJ47" i="18"/>
  <c r="GK77" i="18"/>
  <c r="GI43" i="18"/>
  <c r="GN72" i="18"/>
  <c r="GL51" i="18"/>
  <c r="GL64" i="18"/>
  <c r="GN64" i="18"/>
  <c r="GK66" i="18"/>
  <c r="GH57" i="18"/>
  <c r="GN59" i="18"/>
  <c r="GJ50" i="18"/>
  <c r="GM76" i="18"/>
  <c r="GN48" i="18"/>
  <c r="GK51" i="18"/>
  <c r="GL77" i="18"/>
  <c r="GN66" i="18"/>
  <c r="GI53" i="18"/>
  <c r="GK43" i="18"/>
  <c r="GH75" i="18"/>
  <c r="GJ76" i="18"/>
  <c r="GM53" i="18"/>
  <c r="GM75" i="18"/>
  <c r="GN43" i="18"/>
  <c r="GK75" i="18"/>
  <c r="GI57" i="18"/>
  <c r="GM64" i="18"/>
  <c r="GJ64" i="18"/>
  <c r="GI77" i="18"/>
  <c r="GK60" i="18"/>
  <c r="GL72" i="18"/>
  <c r="HA47" i="18" l="1"/>
  <c r="HA53" i="18"/>
  <c r="HC50" i="18"/>
  <c r="GY66" i="18"/>
  <c r="GY51" i="18"/>
  <c r="GR48" i="18"/>
  <c r="GZ48" i="18" s="1"/>
  <c r="GQ48" i="18"/>
  <c r="GR66" i="18"/>
  <c r="GW66" i="18" s="1"/>
  <c r="HC51" i="18"/>
  <c r="GY72" i="18"/>
  <c r="GZ52" i="18"/>
  <c r="HM52" i="18" s="1"/>
  <c r="HO52" i="18" s="1"/>
  <c r="GX72" i="18"/>
  <c r="GX66" i="18"/>
  <c r="GX47" i="18"/>
  <c r="GX50" i="18"/>
  <c r="HC60" i="18"/>
  <c r="GZ69" i="18"/>
  <c r="GR55" i="18"/>
  <c r="GW55" i="18" s="1"/>
  <c r="GY50" i="18"/>
  <c r="GY48" i="18"/>
  <c r="HC72" i="18"/>
  <c r="HA51" i="18"/>
  <c r="GX51" i="18"/>
  <c r="HC48" i="18"/>
  <c r="GR50" i="18"/>
  <c r="GZ50" i="18" s="1"/>
  <c r="GY60" i="18"/>
  <c r="GR53" i="18"/>
  <c r="GW53" i="18" s="1"/>
  <c r="HA66" i="18"/>
  <c r="GZ84" i="18"/>
  <c r="GZ68" i="18"/>
  <c r="HF68" i="18"/>
  <c r="GX55" i="18"/>
  <c r="HC55" i="18"/>
  <c r="HA50" i="18"/>
  <c r="GR72" i="18"/>
  <c r="GW72" i="18" s="1"/>
  <c r="GR60" i="18"/>
  <c r="GW60" i="18" s="1"/>
  <c r="GY53" i="18"/>
  <c r="GY47" i="18"/>
  <c r="GR81" i="18"/>
  <c r="GW81" i="18" s="1"/>
  <c r="GX53" i="18"/>
  <c r="HA72" i="18"/>
  <c r="GX48" i="18"/>
  <c r="GR75" i="18"/>
  <c r="GW75" i="18" s="1"/>
  <c r="GR51" i="18"/>
  <c r="GZ51" i="18" s="1"/>
  <c r="HA55" i="18"/>
  <c r="HC66" i="18"/>
  <c r="GQ47" i="18"/>
  <c r="GR47" i="18"/>
  <c r="GZ47" i="18" s="1"/>
  <c r="HA60" i="18"/>
  <c r="LE69" i="18"/>
  <c r="LG69" i="18" s="1"/>
  <c r="LE52" i="18"/>
  <c r="LG52" i="18" s="1"/>
  <c r="HF56" i="18"/>
  <c r="HM56" i="18" s="1"/>
  <c r="HO56" i="18" s="1"/>
  <c r="HB57" i="18"/>
  <c r="HB59" i="18"/>
  <c r="HB66" i="18"/>
  <c r="GS66" i="18"/>
  <c r="LE66" i="18" s="1"/>
  <c r="LG66" i="18" s="1"/>
  <c r="HB64" i="18"/>
  <c r="HB53" i="18"/>
  <c r="GS53" i="18"/>
  <c r="HF53" i="18" s="1"/>
  <c r="HB50" i="18"/>
  <c r="GS50" i="18"/>
  <c r="HF50" i="18" s="1"/>
  <c r="HB60" i="18"/>
  <c r="GS60" i="18"/>
  <c r="HF60" i="18" s="1"/>
  <c r="GS81" i="18"/>
  <c r="HF81" i="18" s="1"/>
  <c r="GS75" i="18"/>
  <c r="HF75" i="18" s="1"/>
  <c r="HB72" i="18"/>
  <c r="GS72" i="18"/>
  <c r="LE72" i="18" s="1"/>
  <c r="LG72" i="18" s="1"/>
  <c r="HB61" i="18"/>
  <c r="HB47" i="18"/>
  <c r="GS47" i="18"/>
  <c r="HF47" i="18" s="1"/>
  <c r="HB43" i="18"/>
  <c r="HB48" i="18"/>
  <c r="GS48" i="18"/>
  <c r="HF48" i="18" s="1"/>
  <c r="HB51" i="18"/>
  <c r="GS51" i="18"/>
  <c r="LE51" i="18" s="1"/>
  <c r="LG51" i="18" s="1"/>
  <c r="HB55" i="18"/>
  <c r="GS55" i="18"/>
  <c r="HF55" i="18" s="1"/>
  <c r="GW42" i="18"/>
  <c r="GW45" i="18"/>
  <c r="HM69" i="18"/>
  <c r="HO69" i="18" s="1"/>
  <c r="GW50" i="18"/>
  <c r="EF45" i="24"/>
  <c r="DZ45" i="24"/>
  <c r="GW40" i="18"/>
  <c r="GW46" i="18"/>
  <c r="GW41" i="18"/>
  <c r="GW49" i="18"/>
  <c r="GZ73" i="18"/>
  <c r="GW48" i="18"/>
  <c r="GX43" i="18"/>
  <c r="HA59" i="18"/>
  <c r="HA64" i="18"/>
  <c r="GX59" i="18"/>
  <c r="GY57" i="18"/>
  <c r="GX64" i="18"/>
  <c r="HC43" i="18"/>
  <c r="HC57" i="18"/>
  <c r="HA61" i="18"/>
  <c r="GY59" i="18"/>
  <c r="GY61" i="18"/>
  <c r="HA57" i="18"/>
  <c r="GY64" i="18"/>
  <c r="GX57" i="18"/>
  <c r="HA43" i="18"/>
  <c r="HC59" i="18"/>
  <c r="HC64" i="18"/>
  <c r="GX61" i="18"/>
  <c r="GY43" i="18"/>
  <c r="HC61" i="18"/>
  <c r="GZ74" i="18"/>
  <c r="GZ62" i="18"/>
  <c r="GZ54" i="18"/>
  <c r="GZ80" i="18"/>
  <c r="GZ63" i="18"/>
  <c r="GW44" i="18"/>
  <c r="GZ79" i="18"/>
  <c r="GR43" i="18"/>
  <c r="GZ43" i="18" s="1"/>
  <c r="GZ67" i="18"/>
  <c r="GZ58" i="18"/>
  <c r="GZ78" i="18"/>
  <c r="LE45" i="18"/>
  <c r="LG45" i="18" s="1"/>
  <c r="HF45" i="18"/>
  <c r="LE63" i="18"/>
  <c r="LG63" i="18" s="1"/>
  <c r="HF63" i="18"/>
  <c r="HF79" i="18"/>
  <c r="LE79" i="18"/>
  <c r="LG79" i="18" s="1"/>
  <c r="HF62" i="18"/>
  <c r="LE62" i="18"/>
  <c r="LG62" i="18" s="1"/>
  <c r="HF73" i="18"/>
  <c r="LE73" i="18"/>
  <c r="LG73" i="18" s="1"/>
  <c r="LE49" i="18"/>
  <c r="LG49" i="18" s="1"/>
  <c r="HF49" i="18"/>
  <c r="HF54" i="18"/>
  <c r="LE54" i="18"/>
  <c r="LG54" i="18" s="1"/>
  <c r="GS57" i="18"/>
  <c r="GR57" i="18"/>
  <c r="GW57" i="18" s="1"/>
  <c r="GR77" i="18"/>
  <c r="GW77" i="18" s="1"/>
  <c r="GS77" i="18"/>
  <c r="GZ65" i="18"/>
  <c r="LE65" i="18"/>
  <c r="LG65" i="18" s="1"/>
  <c r="HF65" i="18"/>
  <c r="HF46" i="18"/>
  <c r="LE46" i="18"/>
  <c r="LG46" i="18" s="1"/>
  <c r="HF78" i="18"/>
  <c r="LE78" i="18"/>
  <c r="LG78" i="18" s="1"/>
  <c r="GZ83" i="18"/>
  <c r="GZ55" i="18"/>
  <c r="GZ53" i="18"/>
  <c r="HF42" i="18"/>
  <c r="LE42" i="18"/>
  <c r="LG42" i="18" s="1"/>
  <c r="HF70" i="18"/>
  <c r="LE70" i="18"/>
  <c r="LG70" i="18" s="1"/>
  <c r="HF74" i="18"/>
  <c r="LE74" i="18"/>
  <c r="LG74" i="18" s="1"/>
  <c r="LE71" i="18"/>
  <c r="LG71" i="18" s="1"/>
  <c r="HF71" i="18"/>
  <c r="GZ70" i="18"/>
  <c r="GQ43" i="18"/>
  <c r="GS43" i="18"/>
  <c r="LE44" i="18"/>
  <c r="LG44" i="18" s="1"/>
  <c r="HF44" i="18"/>
  <c r="GS61" i="18"/>
  <c r="GR61" i="18"/>
  <c r="GW61" i="18" s="1"/>
  <c r="GZ82" i="18"/>
  <c r="HF58" i="18"/>
  <c r="LE58" i="18"/>
  <c r="LG58" i="18" s="1"/>
  <c r="LE82" i="18"/>
  <c r="LG82" i="18" s="1"/>
  <c r="HF82" i="18"/>
  <c r="HF83" i="18"/>
  <c r="LE83" i="18"/>
  <c r="LG83" i="18" s="1"/>
  <c r="HF80" i="18"/>
  <c r="LE80" i="18"/>
  <c r="LG80" i="18" s="1"/>
  <c r="HF41" i="18"/>
  <c r="LE41" i="18"/>
  <c r="LG41" i="18" s="1"/>
  <c r="LE67" i="18"/>
  <c r="LG67" i="18" s="1"/>
  <c r="HF67" i="18"/>
  <c r="HF40" i="18"/>
  <c r="LE40" i="18"/>
  <c r="LG40" i="18" s="1"/>
  <c r="GZ71" i="18"/>
  <c r="GS64" i="18"/>
  <c r="GR64" i="18"/>
  <c r="GW64" i="18" s="1"/>
  <c r="GS76" i="18"/>
  <c r="GR76" i="18"/>
  <c r="GW76" i="18" s="1"/>
  <c r="GS59" i="18"/>
  <c r="GR59" i="18"/>
  <c r="GW59" i="18" s="1"/>
  <c r="GZ66" i="18" l="1"/>
  <c r="GZ75" i="18"/>
  <c r="HM68" i="18"/>
  <c r="HO68" i="18" s="1"/>
  <c r="C49" i="19" s="1"/>
  <c r="GZ60" i="18"/>
  <c r="GW51" i="18"/>
  <c r="GW47" i="18"/>
  <c r="HM47" i="18" s="1"/>
  <c r="HO47" i="18" s="1"/>
  <c r="GZ81" i="18"/>
  <c r="HM81" i="18" s="1"/>
  <c r="GZ72" i="18"/>
  <c r="LE81" i="18"/>
  <c r="LG81" i="18" s="1"/>
  <c r="LE48" i="18"/>
  <c r="LG48" i="18" s="1"/>
  <c r="HF66" i="18"/>
  <c r="HM66" i="18" s="1"/>
  <c r="HO66" i="18" s="1"/>
  <c r="HM40" i="18"/>
  <c r="HO40" i="18" s="1"/>
  <c r="LE50" i="18"/>
  <c r="LG50" i="18" s="1"/>
  <c r="C33" i="19"/>
  <c r="C37" i="19"/>
  <c r="C50" i="19"/>
  <c r="LE55" i="18"/>
  <c r="LG55" i="18" s="1"/>
  <c r="LE75" i="18"/>
  <c r="LG75" i="18" s="1"/>
  <c r="HM50" i="18"/>
  <c r="HO50" i="18" s="1"/>
  <c r="HM49" i="18"/>
  <c r="HO49" i="18" s="1"/>
  <c r="HM46" i="18"/>
  <c r="HO46" i="18" s="1"/>
  <c r="HM41" i="18"/>
  <c r="HO41" i="18" s="1"/>
  <c r="LE47" i="18"/>
  <c r="LG47" i="18" s="1"/>
  <c r="HF51" i="18"/>
  <c r="HM42" i="18"/>
  <c r="HO42" i="18" s="1"/>
  <c r="LE53" i="18"/>
  <c r="LG53" i="18" s="1"/>
  <c r="HF72" i="18"/>
  <c r="LE60" i="18"/>
  <c r="LG60" i="18" s="1"/>
  <c r="HM67" i="18"/>
  <c r="HO67" i="18" s="1"/>
  <c r="HM75" i="18"/>
  <c r="HO75" i="18" s="1"/>
  <c r="HM78" i="18"/>
  <c r="HM45" i="18"/>
  <c r="HO45" i="18" s="1"/>
  <c r="HM48" i="18"/>
  <c r="HO48" i="18" s="1"/>
  <c r="HM73" i="18"/>
  <c r="HO73" i="18" s="1"/>
  <c r="GW43" i="18"/>
  <c r="HM60" i="18"/>
  <c r="HO60" i="18" s="1"/>
  <c r="HM74" i="18"/>
  <c r="HO74" i="18" s="1"/>
  <c r="DZ46" i="24"/>
  <c r="EF46" i="24"/>
  <c r="HM62" i="18"/>
  <c r="HO62" i="18" s="1"/>
  <c r="HM55" i="18"/>
  <c r="HO55" i="18" s="1"/>
  <c r="HM58" i="18"/>
  <c r="HO58" i="18" s="1"/>
  <c r="HM44" i="18"/>
  <c r="HO44" i="18" s="1"/>
  <c r="HM71" i="18"/>
  <c r="HO71" i="18" s="1"/>
  <c r="HM63" i="18"/>
  <c r="HO63" i="18" s="1"/>
  <c r="HM80" i="18"/>
  <c r="HM54" i="18"/>
  <c r="HO54" i="18" s="1"/>
  <c r="HM53" i="18"/>
  <c r="HO53" i="18" s="1"/>
  <c r="HM79" i="18"/>
  <c r="HM65" i="18"/>
  <c r="HO65" i="18" s="1"/>
  <c r="HM82" i="18"/>
  <c r="HM70" i="18"/>
  <c r="HO70" i="18" s="1"/>
  <c r="GZ77" i="18"/>
  <c r="HF76" i="18"/>
  <c r="LE76" i="18"/>
  <c r="LG76" i="18" s="1"/>
  <c r="GZ61" i="18"/>
  <c r="GZ76" i="18"/>
  <c r="HF57" i="18"/>
  <c r="LE57" i="18"/>
  <c r="LG57" i="18" s="1"/>
  <c r="GZ64" i="18"/>
  <c r="GZ57" i="18"/>
  <c r="HF59" i="18"/>
  <c r="LE59" i="18"/>
  <c r="LG59" i="18" s="1"/>
  <c r="LE64" i="18"/>
  <c r="LG64" i="18" s="1"/>
  <c r="HF64" i="18"/>
  <c r="LE61" i="18"/>
  <c r="LG61" i="18" s="1"/>
  <c r="HF61" i="18"/>
  <c r="LE43" i="18"/>
  <c r="LG43" i="18" s="1"/>
  <c r="HF43" i="18"/>
  <c r="HF77" i="18"/>
  <c r="LE77" i="18"/>
  <c r="LG77" i="18" s="1"/>
  <c r="GZ59" i="18"/>
  <c r="HM72" i="18" l="1"/>
  <c r="HO72" i="18" s="1"/>
  <c r="C53" i="19" s="1"/>
  <c r="HM51" i="18"/>
  <c r="HO51" i="18" s="1"/>
  <c r="C32" i="19" s="1"/>
  <c r="C21" i="19"/>
  <c r="C46" i="19"/>
  <c r="C41" i="19"/>
  <c r="C34" i="19"/>
  <c r="C28" i="19"/>
  <c r="C39" i="19"/>
  <c r="C54" i="19"/>
  <c r="C56" i="19"/>
  <c r="C22" i="19"/>
  <c r="C47" i="19"/>
  <c r="C35" i="19"/>
  <c r="C52" i="19"/>
  <c r="C36" i="19"/>
  <c r="C55" i="19"/>
  <c r="C29" i="19"/>
  <c r="C48" i="19"/>
  <c r="C23" i="19"/>
  <c r="C27" i="19"/>
  <c r="C43" i="19"/>
  <c r="C30" i="19"/>
  <c r="C26" i="19"/>
  <c r="C51" i="19"/>
  <c r="C44" i="19"/>
  <c r="C25" i="19"/>
  <c r="C31" i="19"/>
  <c r="HM43" i="18"/>
  <c r="HO43" i="18" s="1"/>
  <c r="EF47" i="24"/>
  <c r="DZ47" i="24"/>
  <c r="HM59" i="18"/>
  <c r="HO59" i="18" s="1"/>
  <c r="HM57" i="18"/>
  <c r="HO57" i="18" s="1"/>
  <c r="HM76" i="18"/>
  <c r="HO76" i="18" s="1"/>
  <c r="HM77" i="18"/>
  <c r="HO77" i="18" s="1"/>
  <c r="HM64" i="18"/>
  <c r="HO64" i="18" s="1"/>
  <c r="HM61" i="18"/>
  <c r="HO61" i="18" s="1"/>
  <c r="C38" i="19" l="1"/>
  <c r="C45" i="19"/>
  <c r="C40" i="19"/>
  <c r="C24" i="19"/>
  <c r="C42" i="19"/>
  <c r="C58" i="19"/>
  <c r="C57" i="19"/>
  <c r="EM74" i="24"/>
  <c r="EN74" i="24" s="1"/>
  <c r="EO74" i="24" s="1"/>
  <c r="EM50" i="24"/>
  <c r="EN50" i="24" s="1"/>
  <c r="EO50" i="24" s="1"/>
  <c r="EM51" i="24"/>
  <c r="EN51" i="24" s="1"/>
  <c r="EO51" i="24" s="1"/>
  <c r="EM58" i="24"/>
  <c r="EN58" i="24" s="1"/>
  <c r="EO58" i="24" s="1"/>
  <c r="EM81" i="24"/>
  <c r="EN81" i="24" s="1"/>
  <c r="EO81" i="24" s="1"/>
  <c r="EM65" i="24"/>
  <c r="EN65" i="24" s="1"/>
  <c r="EO65" i="24" s="1"/>
  <c r="EM69" i="24"/>
  <c r="EN69" i="24" s="1"/>
  <c r="EO69" i="24" s="1"/>
  <c r="EM75" i="24"/>
  <c r="EN75" i="24" s="1"/>
  <c r="EO75" i="24" s="1"/>
  <c r="EM57" i="24"/>
  <c r="EN57" i="24" s="1"/>
  <c r="EO57" i="24" s="1"/>
  <c r="EM85" i="24"/>
  <c r="EN85" i="24" s="1"/>
  <c r="EO85" i="24" s="1"/>
  <c r="EM48" i="24"/>
  <c r="EN48" i="24" s="1"/>
  <c r="EO48" i="24" s="1"/>
  <c r="EM70" i="24"/>
  <c r="EN70" i="24" s="1"/>
  <c r="EO70" i="24" s="1"/>
  <c r="EM82" i="24"/>
  <c r="EN82" i="24" s="1"/>
  <c r="EO82" i="24" s="1"/>
  <c r="EM53" i="24"/>
  <c r="EN53" i="24" s="1"/>
  <c r="EO53" i="24" s="1"/>
  <c r="EM49" i="24"/>
  <c r="EN49" i="24" s="1"/>
  <c r="EO49" i="24" s="1"/>
  <c r="EM41" i="24"/>
  <c r="EN41" i="24" s="1"/>
  <c r="EO41" i="24" s="1"/>
  <c r="EM84" i="24"/>
  <c r="EN84" i="24" s="1"/>
  <c r="EO84" i="24" s="1"/>
  <c r="EM71" i="24"/>
  <c r="EN71" i="24" s="1"/>
  <c r="EO71" i="24" s="1"/>
  <c r="EM60" i="24"/>
  <c r="EN60" i="24" s="1"/>
  <c r="EO60" i="24" s="1"/>
  <c r="EM63" i="24"/>
  <c r="EN63" i="24" s="1"/>
  <c r="EO63" i="24" s="1"/>
  <c r="EM44" i="24"/>
  <c r="EN44" i="24" s="1"/>
  <c r="EO44" i="24" s="1"/>
  <c r="EM62" i="24"/>
  <c r="EN62" i="24" s="1"/>
  <c r="EO62" i="24" s="1"/>
  <c r="EM77" i="24"/>
  <c r="EN77" i="24" s="1"/>
  <c r="EO77" i="24" s="1"/>
  <c r="EM42" i="24"/>
  <c r="EN42" i="24" s="1"/>
  <c r="EO42" i="24" s="1"/>
  <c r="EM68" i="24"/>
  <c r="EN68" i="24" s="1"/>
  <c r="EO68" i="24" s="1"/>
  <c r="EM43" i="24"/>
  <c r="EN43" i="24" s="1"/>
  <c r="EO43" i="24" s="1"/>
  <c r="EM61" i="24"/>
  <c r="EN61" i="24" s="1"/>
  <c r="EO61" i="24" s="1"/>
  <c r="EM67" i="24"/>
  <c r="EN67" i="24" s="1"/>
  <c r="EO67" i="24" s="1"/>
  <c r="EM46" i="24"/>
  <c r="EN46" i="24" s="1"/>
  <c r="EO46" i="24" s="1"/>
  <c r="EM87" i="24"/>
  <c r="EN87" i="24" s="1"/>
  <c r="EO87" i="24" s="1"/>
  <c r="EM78" i="24"/>
  <c r="EN78" i="24" s="1"/>
  <c r="EO78" i="24" s="1"/>
  <c r="EM86" i="24"/>
  <c r="EN86" i="24" s="1"/>
  <c r="EO86" i="24" s="1"/>
  <c r="EM64" i="24"/>
  <c r="EN64" i="24" s="1"/>
  <c r="EO64" i="24" s="1"/>
  <c r="EM45" i="24"/>
  <c r="EN45" i="24" s="1"/>
  <c r="EO45" i="24" s="1"/>
  <c r="EM52" i="24"/>
  <c r="EN52" i="24" s="1"/>
  <c r="EO52" i="24" s="1"/>
  <c r="EM47" i="24"/>
  <c r="EN47" i="24" s="1"/>
  <c r="EO47" i="24" s="1"/>
  <c r="EM73" i="24"/>
  <c r="EN73" i="24" s="1"/>
  <c r="EO73" i="24" s="1"/>
  <c r="EM79" i="24"/>
  <c r="EN79" i="24" s="1"/>
  <c r="EO79" i="24" s="1"/>
  <c r="EM72" i="24"/>
  <c r="EN72" i="24" s="1"/>
  <c r="EO72" i="24" s="1"/>
  <c r="EM76" i="24"/>
  <c r="EN76" i="24" s="1"/>
  <c r="EO76" i="24" s="1"/>
  <c r="EM80" i="24"/>
  <c r="EN80" i="24" s="1"/>
  <c r="EO80" i="24" s="1"/>
  <c r="EM59" i="24"/>
  <c r="EN59" i="24" s="1"/>
  <c r="EO59" i="24" s="1"/>
  <c r="EM83" i="24"/>
  <c r="EN83" i="24" s="1"/>
  <c r="EO83" i="24" s="1"/>
  <c r="EM56" i="24"/>
  <c r="EN56" i="24" s="1"/>
  <c r="EO56" i="24" s="1"/>
  <c r="EM55" i="24"/>
  <c r="EN55" i="24" s="1"/>
  <c r="EO55" i="24" s="1"/>
  <c r="EM54" i="24"/>
  <c r="EN54" i="24" s="1"/>
  <c r="EO54" i="24" s="1"/>
  <c r="EM66" i="24"/>
  <c r="EN66" i="24" s="1"/>
  <c r="EO66" i="24" s="1"/>
  <c r="EP47" i="24" l="1"/>
  <c r="EP71" i="24"/>
  <c r="EP64" i="24"/>
  <c r="EP69" i="24"/>
  <c r="EP80" i="24"/>
  <c r="EP48" i="24"/>
  <c r="EP87" i="24"/>
  <c r="EQ87" i="24" s="1"/>
  <c r="EP56" i="24"/>
  <c r="EP77" i="24"/>
  <c r="EP58" i="24"/>
  <c r="EP73" i="24"/>
  <c r="EP78" i="24"/>
  <c r="EP74" i="24"/>
  <c r="EP44" i="24"/>
  <c r="EP50" i="24"/>
  <c r="EP54" i="24"/>
  <c r="EP75" i="24"/>
  <c r="EP68" i="24"/>
  <c r="EP85" i="24"/>
  <c r="EP65" i="24"/>
  <c r="EP84" i="24"/>
  <c r="EP63" i="24"/>
  <c r="EP66" i="24"/>
  <c r="EP70" i="24"/>
  <c r="EP72" i="24"/>
  <c r="EP57" i="24"/>
  <c r="EQ57" i="24" s="1"/>
  <c r="EP45" i="24"/>
  <c r="EP60" i="24"/>
  <c r="EP81" i="24"/>
  <c r="EP42" i="24"/>
  <c r="EP67" i="24"/>
  <c r="EP82" i="24"/>
  <c r="EP83" i="24"/>
  <c r="EQ83" i="24" s="1"/>
  <c r="EP76" i="24"/>
  <c r="EP53" i="24"/>
  <c r="EP51" i="24"/>
  <c r="EP61" i="24"/>
  <c r="EP62" i="24"/>
  <c r="EQ62" i="24" s="1"/>
  <c r="EP41" i="24"/>
  <c r="EQ41" i="24" s="1"/>
  <c r="EP49" i="24"/>
  <c r="EP43" i="24"/>
  <c r="EP79" i="24"/>
  <c r="EP55" i="24"/>
  <c r="EP46" i="24"/>
  <c r="EP52" i="24"/>
  <c r="EP86" i="24"/>
  <c r="EP59" i="24"/>
  <c r="EQ46" i="24" l="1"/>
  <c r="EQ79" i="24"/>
  <c r="EQ76" i="24"/>
  <c r="EQ63" i="24"/>
  <c r="EQ70" i="24"/>
  <c r="EQ67" i="24"/>
  <c r="EQ43" i="24"/>
  <c r="EQ73" i="24"/>
  <c r="EQ59" i="24"/>
  <c r="EQ53" i="24"/>
  <c r="EQ42" i="24"/>
  <c r="EQ68" i="24"/>
  <c r="EQ55" i="24"/>
  <c r="EQ86" i="24"/>
  <c r="EQ49" i="24"/>
  <c r="EQ52" i="24"/>
  <c r="EQ72" i="24"/>
  <c r="EQ51" i="24"/>
  <c r="EQ82" i="24"/>
  <c r="EQ60" i="24"/>
  <c r="EQ65" i="24"/>
  <c r="EQ54" i="24"/>
  <c r="EQ78" i="24"/>
  <c r="EQ56" i="24"/>
  <c r="EQ69" i="24"/>
  <c r="EQ45" i="24"/>
  <c r="EQ66" i="24"/>
  <c r="EQ85" i="24"/>
  <c r="EQ50" i="24"/>
  <c r="EQ64" i="24"/>
  <c r="EQ44" i="24"/>
  <c r="EQ58" i="24"/>
  <c r="EQ48" i="24"/>
  <c r="EQ71" i="24"/>
  <c r="EQ61" i="24"/>
  <c r="EQ81" i="24"/>
  <c r="EQ84" i="24"/>
  <c r="EQ75" i="24"/>
  <c r="EQ74" i="24"/>
  <c r="EQ77" i="24"/>
  <c r="EQ80" i="24"/>
  <c r="EQ47" i="24"/>
  <c r="ER53" i="24" l="1"/>
  <c r="EU53" i="24" s="1"/>
  <c r="EX53" i="24" s="1"/>
  <c r="FR53" i="24" s="1"/>
  <c r="EW53" i="24" s="1"/>
  <c r="ER77" i="24"/>
  <c r="EU77" i="24" s="1"/>
  <c r="EX77" i="24" s="1"/>
  <c r="FR77" i="24" s="1"/>
  <c r="EW77" i="24" s="1"/>
  <c r="ER57" i="24"/>
  <c r="EU57" i="24" s="1"/>
  <c r="EX57" i="24" s="1"/>
  <c r="FR57" i="24" s="1"/>
  <c r="EW57" i="24" s="1"/>
  <c r="ER65" i="24"/>
  <c r="ER80" i="24"/>
  <c r="ER71" i="24"/>
  <c r="ER76" i="24"/>
  <c r="ER54" i="24"/>
  <c r="ER85" i="24"/>
  <c r="ER83" i="24"/>
  <c r="ER86" i="24"/>
  <c r="ER42" i="24"/>
  <c r="ER70" i="24"/>
  <c r="ER66" i="24"/>
  <c r="ER78" i="24"/>
  <c r="ER64" i="24"/>
  <c r="ER58" i="24"/>
  <c r="ER82" i="24"/>
  <c r="ER55" i="24"/>
  <c r="ER44" i="24"/>
  <c r="ER49" i="24"/>
  <c r="ER68" i="24"/>
  <c r="ER62" i="24"/>
  <c r="ER67" i="24"/>
  <c r="ER73" i="24"/>
  <c r="ER63" i="24"/>
  <c r="ER75" i="24"/>
  <c r="ER48" i="24"/>
  <c r="ER51" i="24"/>
  <c r="ER52" i="24"/>
  <c r="ER46" i="24"/>
  <c r="ER41" i="24"/>
  <c r="ER45" i="24"/>
  <c r="ER47" i="24"/>
  <c r="ER84" i="24"/>
  <c r="ER61" i="24"/>
  <c r="ER60" i="24"/>
  <c r="ER74" i="24"/>
  <c r="ER40" i="24"/>
  <c r="ER69" i="24"/>
  <c r="ER50" i="24"/>
  <c r="ER79" i="24"/>
  <c r="ER43" i="24"/>
  <c r="ER87" i="24"/>
  <c r="ER81" i="24"/>
  <c r="ER59" i="24"/>
  <c r="ER72" i="24"/>
  <c r="ER56" i="24"/>
  <c r="FT57" i="24"/>
  <c r="FT77" i="24"/>
  <c r="FT53" i="24"/>
  <c r="EV53" i="24" l="1"/>
  <c r="KE53" i="24" s="1"/>
  <c r="EV57" i="24"/>
  <c r="KE57" i="24" s="1"/>
  <c r="EV77" i="24"/>
  <c r="KE77" i="24" s="1"/>
  <c r="EV41" i="24"/>
  <c r="KE41" i="24" s="1"/>
  <c r="EU41" i="24"/>
  <c r="EX41" i="24" s="1"/>
  <c r="FR41" i="24" s="1"/>
  <c r="EW41" i="24" s="1"/>
  <c r="EV81" i="24"/>
  <c r="KE81" i="24" s="1"/>
  <c r="EU81" i="24"/>
  <c r="EX81" i="24" s="1"/>
  <c r="FR81" i="24" s="1"/>
  <c r="EW81" i="24" s="1"/>
  <c r="EU50" i="24"/>
  <c r="EX50" i="24" s="1"/>
  <c r="FR50" i="24" s="1"/>
  <c r="EW50" i="24" s="1"/>
  <c r="EV50" i="24"/>
  <c r="KE50" i="24" s="1"/>
  <c r="EU60" i="24"/>
  <c r="EX60" i="24" s="1"/>
  <c r="FR60" i="24" s="1"/>
  <c r="EW60" i="24" s="1"/>
  <c r="EV60" i="24"/>
  <c r="KE60" i="24" s="1"/>
  <c r="EU45" i="24"/>
  <c r="EX45" i="24" s="1"/>
  <c r="FR45" i="24" s="1"/>
  <c r="EW45" i="24" s="1"/>
  <c r="EV45" i="24"/>
  <c r="KE45" i="24" s="1"/>
  <c r="EU51" i="24"/>
  <c r="EX51" i="24" s="1"/>
  <c r="FR51" i="24" s="1"/>
  <c r="EW51" i="24" s="1"/>
  <c r="EV51" i="24"/>
  <c r="KE51" i="24" s="1"/>
  <c r="EV73" i="24"/>
  <c r="KE73" i="24" s="1"/>
  <c r="EU73" i="24"/>
  <c r="EX73" i="24" s="1"/>
  <c r="FR73" i="24" s="1"/>
  <c r="EW73" i="24" s="1"/>
  <c r="EU49" i="24"/>
  <c r="EX49" i="24" s="1"/>
  <c r="FR49" i="24" s="1"/>
  <c r="EW49" i="24" s="1"/>
  <c r="EV49" i="24"/>
  <c r="KE49" i="24" s="1"/>
  <c r="EU58" i="24"/>
  <c r="EX58" i="24" s="1"/>
  <c r="FR58" i="24" s="1"/>
  <c r="EW58" i="24" s="1"/>
  <c r="EV58" i="24"/>
  <c r="KE58" i="24" s="1"/>
  <c r="EV70" i="24"/>
  <c r="KE70" i="24" s="1"/>
  <c r="EU70" i="24"/>
  <c r="EX70" i="24" s="1"/>
  <c r="FR70" i="24" s="1"/>
  <c r="EW70" i="24" s="1"/>
  <c r="EU85" i="24"/>
  <c r="EX85" i="24" s="1"/>
  <c r="FR85" i="24" s="1"/>
  <c r="EW85" i="24" s="1"/>
  <c r="EV85" i="24"/>
  <c r="KE85" i="24" s="1"/>
  <c r="EV80" i="24"/>
  <c r="KE80" i="24" s="1"/>
  <c r="EU80" i="24"/>
  <c r="EX80" i="24" s="1"/>
  <c r="FR80" i="24" s="1"/>
  <c r="EW80" i="24" s="1"/>
  <c r="EU87" i="24"/>
  <c r="EX87" i="24" s="1"/>
  <c r="FR87" i="24" s="1"/>
  <c r="EW87" i="24" s="1"/>
  <c r="EV87" i="24"/>
  <c r="KE87" i="24" s="1"/>
  <c r="EU48" i="24"/>
  <c r="EX48" i="24" s="1"/>
  <c r="FR48" i="24" s="1"/>
  <c r="EW48" i="24" s="1"/>
  <c r="EV48" i="24"/>
  <c r="KE48" i="24" s="1"/>
  <c r="EU67" i="24"/>
  <c r="EX67" i="24" s="1"/>
  <c r="FR67" i="24" s="1"/>
  <c r="EW67" i="24" s="1"/>
  <c r="EV67" i="24"/>
  <c r="KE67" i="24" s="1"/>
  <c r="EU44" i="24"/>
  <c r="EX44" i="24" s="1"/>
  <c r="FR44" i="24" s="1"/>
  <c r="EW44" i="24" s="1"/>
  <c r="EV44" i="24"/>
  <c r="KE44" i="24" s="1"/>
  <c r="EU64" i="24"/>
  <c r="EX64" i="24" s="1"/>
  <c r="FR64" i="24" s="1"/>
  <c r="EW64" i="24" s="1"/>
  <c r="EV64" i="24"/>
  <c r="KE64" i="24" s="1"/>
  <c r="EV42" i="24"/>
  <c r="KE42" i="24" s="1"/>
  <c r="EU42" i="24"/>
  <c r="EX42" i="24" s="1"/>
  <c r="FR42" i="24" s="1"/>
  <c r="EW42" i="24" s="1"/>
  <c r="EV54" i="24"/>
  <c r="KE54" i="24" s="1"/>
  <c r="EU54" i="24"/>
  <c r="EX54" i="24" s="1"/>
  <c r="FR54" i="24" s="1"/>
  <c r="EW54" i="24" s="1"/>
  <c r="EU65" i="24"/>
  <c r="EX65" i="24" s="1"/>
  <c r="FR65" i="24" s="1"/>
  <c r="EW65" i="24" s="1"/>
  <c r="EV65" i="24"/>
  <c r="KE65" i="24" s="1"/>
  <c r="EU69" i="24"/>
  <c r="EX69" i="24" s="1"/>
  <c r="FR69" i="24" s="1"/>
  <c r="EW69" i="24" s="1"/>
  <c r="EV69" i="24"/>
  <c r="KE69" i="24" s="1"/>
  <c r="EU72" i="24"/>
  <c r="EX72" i="24" s="1"/>
  <c r="FR72" i="24" s="1"/>
  <c r="EW72" i="24" s="1"/>
  <c r="EV72" i="24"/>
  <c r="KE72" i="24" s="1"/>
  <c r="EU43" i="24"/>
  <c r="EX43" i="24" s="1"/>
  <c r="FR43" i="24" s="1"/>
  <c r="EW43" i="24" s="1"/>
  <c r="EV43" i="24"/>
  <c r="KE43" i="24" s="1"/>
  <c r="EU40" i="24"/>
  <c r="EX40" i="24" s="1"/>
  <c r="FR40" i="24" s="1"/>
  <c r="EW40" i="24" s="1"/>
  <c r="EV40" i="24"/>
  <c r="KE40" i="24" s="1"/>
  <c r="EV84" i="24"/>
  <c r="KE84" i="24" s="1"/>
  <c r="EU84" i="24"/>
  <c r="EX84" i="24" s="1"/>
  <c r="FR84" i="24" s="1"/>
  <c r="EW84" i="24" s="1"/>
  <c r="EV46" i="24"/>
  <c r="KE46" i="24" s="1"/>
  <c r="EU46" i="24"/>
  <c r="EX46" i="24" s="1"/>
  <c r="FR46" i="24" s="1"/>
  <c r="EW46" i="24" s="1"/>
  <c r="EV75" i="24"/>
  <c r="KE75" i="24" s="1"/>
  <c r="EU75" i="24"/>
  <c r="EX75" i="24" s="1"/>
  <c r="FR75" i="24" s="1"/>
  <c r="EW75" i="24" s="1"/>
  <c r="EU62" i="24"/>
  <c r="EX62" i="24" s="1"/>
  <c r="FR62" i="24" s="1"/>
  <c r="EW62" i="24" s="1"/>
  <c r="EV62" i="24"/>
  <c r="KE62" i="24" s="1"/>
  <c r="EU55" i="24"/>
  <c r="EX55" i="24" s="1"/>
  <c r="FR55" i="24" s="1"/>
  <c r="EW55" i="24" s="1"/>
  <c r="EV55" i="24"/>
  <c r="KE55" i="24" s="1"/>
  <c r="EU78" i="24"/>
  <c r="EX78" i="24" s="1"/>
  <c r="FR78" i="24" s="1"/>
  <c r="EW78" i="24" s="1"/>
  <c r="EV78" i="24"/>
  <c r="KE78" i="24" s="1"/>
  <c r="EV86" i="24"/>
  <c r="KE86" i="24" s="1"/>
  <c r="EU86" i="24"/>
  <c r="EX86" i="24" s="1"/>
  <c r="FR86" i="24" s="1"/>
  <c r="EW86" i="24" s="1"/>
  <c r="EV76" i="24"/>
  <c r="KE76" i="24" s="1"/>
  <c r="EU76" i="24"/>
  <c r="EX76" i="24" s="1"/>
  <c r="FR76" i="24" s="1"/>
  <c r="EW76" i="24" s="1"/>
  <c r="EV56" i="24"/>
  <c r="KE56" i="24" s="1"/>
  <c r="EU56" i="24"/>
  <c r="EX56" i="24" s="1"/>
  <c r="FR56" i="24" s="1"/>
  <c r="EW56" i="24" s="1"/>
  <c r="EV61" i="24"/>
  <c r="KE61" i="24" s="1"/>
  <c r="EU61" i="24"/>
  <c r="EX61" i="24" s="1"/>
  <c r="FR61" i="24" s="1"/>
  <c r="EW61" i="24" s="1"/>
  <c r="EU59" i="24"/>
  <c r="EX59" i="24" s="1"/>
  <c r="FR59" i="24" s="1"/>
  <c r="EW59" i="24" s="1"/>
  <c r="EV59" i="24"/>
  <c r="KE59" i="24" s="1"/>
  <c r="EV79" i="24"/>
  <c r="KE79" i="24" s="1"/>
  <c r="EU79" i="24"/>
  <c r="EX79" i="24" s="1"/>
  <c r="FR79" i="24" s="1"/>
  <c r="EW79" i="24" s="1"/>
  <c r="EU74" i="24"/>
  <c r="EX74" i="24" s="1"/>
  <c r="FR74" i="24" s="1"/>
  <c r="EW74" i="24" s="1"/>
  <c r="EV74" i="24"/>
  <c r="KE74" i="24" s="1"/>
  <c r="EU47" i="24"/>
  <c r="EX47" i="24" s="1"/>
  <c r="FR47" i="24" s="1"/>
  <c r="EW47" i="24" s="1"/>
  <c r="EV47" i="24"/>
  <c r="KE47" i="24" s="1"/>
  <c r="EU52" i="24"/>
  <c r="EX52" i="24" s="1"/>
  <c r="FR52" i="24" s="1"/>
  <c r="EW52" i="24" s="1"/>
  <c r="EV52" i="24"/>
  <c r="KE52" i="24" s="1"/>
  <c r="EU63" i="24"/>
  <c r="EX63" i="24" s="1"/>
  <c r="FR63" i="24" s="1"/>
  <c r="EW63" i="24" s="1"/>
  <c r="EV63" i="24"/>
  <c r="KE63" i="24" s="1"/>
  <c r="EV68" i="24"/>
  <c r="KE68" i="24" s="1"/>
  <c r="EU68" i="24"/>
  <c r="EX68" i="24" s="1"/>
  <c r="FR68" i="24" s="1"/>
  <c r="EW68" i="24" s="1"/>
  <c r="EV82" i="24"/>
  <c r="KE82" i="24" s="1"/>
  <c r="EU82" i="24"/>
  <c r="EX82" i="24" s="1"/>
  <c r="FR82" i="24" s="1"/>
  <c r="EW82" i="24" s="1"/>
  <c r="EV66" i="24"/>
  <c r="KE66" i="24" s="1"/>
  <c r="EU66" i="24"/>
  <c r="EX66" i="24" s="1"/>
  <c r="FR66" i="24" s="1"/>
  <c r="EW66" i="24" s="1"/>
  <c r="EU83" i="24"/>
  <c r="EX83" i="24" s="1"/>
  <c r="FR83" i="24" s="1"/>
  <c r="EW83" i="24" s="1"/>
  <c r="EV83" i="24"/>
  <c r="KE83" i="24" s="1"/>
  <c r="EU71" i="24"/>
  <c r="EX71" i="24" s="1"/>
  <c r="FR71" i="24" s="1"/>
  <c r="EW71" i="24" s="1"/>
  <c r="EV71" i="24"/>
  <c r="KE71" i="24" s="1"/>
  <c r="GG57" i="24"/>
  <c r="GG53" i="24"/>
  <c r="GG77" i="24"/>
  <c r="KH80" i="24"/>
  <c r="FT73" i="24"/>
  <c r="KH70" i="24"/>
  <c r="FT54" i="24"/>
  <c r="EY73" i="24"/>
  <c r="FT70" i="24"/>
  <c r="FU70" i="24"/>
  <c r="KH81" i="24"/>
  <c r="KH84" i="24"/>
  <c r="KH69" i="24"/>
  <c r="KH42" i="24"/>
  <c r="EY65" i="24"/>
  <c r="EY48" i="24"/>
  <c r="FT64" i="24"/>
  <c r="KH50" i="24"/>
  <c r="FT66" i="24"/>
  <c r="FT58" i="24"/>
  <c r="FU86" i="24"/>
  <c r="FT51" i="24"/>
  <c r="FU43" i="24"/>
  <c r="EY44" i="24"/>
  <c r="KH79" i="24"/>
  <c r="FT45" i="24"/>
  <c r="EY49" i="24"/>
  <c r="EY57" i="24"/>
  <c r="FU60" i="24"/>
  <c r="KH77" i="24"/>
  <c r="EY40" i="24"/>
  <c r="FU75" i="24"/>
  <c r="FT59" i="24"/>
  <c r="FU47" i="24"/>
  <c r="FT69" i="24"/>
  <c r="KH60" i="24"/>
  <c r="FU62" i="24"/>
  <c r="FT83" i="24"/>
  <c r="EY63" i="24"/>
  <c r="KH55" i="24"/>
  <c r="FU68" i="24"/>
  <c r="FT79" i="24"/>
  <c r="FU79" i="24"/>
  <c r="FU40" i="24"/>
  <c r="KH47" i="24"/>
  <c r="FT52" i="24"/>
  <c r="FT75" i="24"/>
  <c r="FU58" i="24"/>
  <c r="FU81" i="24"/>
  <c r="KH43" i="24"/>
  <c r="FU67" i="24"/>
  <c r="KH59" i="24"/>
  <c r="KH64" i="24"/>
  <c r="FU55" i="24"/>
  <c r="FU41" i="24"/>
  <c r="FU44" i="24"/>
  <c r="EY86" i="24"/>
  <c r="FU74" i="24"/>
  <c r="FU51" i="24"/>
  <c r="FT85" i="24"/>
  <c r="EY81" i="24"/>
  <c r="KH45" i="24"/>
  <c r="EY78" i="24"/>
  <c r="FT71" i="24"/>
  <c r="FU66" i="24"/>
  <c r="FU57" i="24"/>
  <c r="FT43" i="24"/>
  <c r="KH48" i="24"/>
  <c r="EY70" i="24"/>
  <c r="KH87" i="24"/>
  <c r="KH41" i="24"/>
  <c r="FT61" i="24"/>
  <c r="KH62" i="24"/>
  <c r="FU61" i="24"/>
  <c r="EY51" i="24"/>
  <c r="FU78" i="24"/>
  <c r="FT68" i="24"/>
  <c r="EY42" i="24"/>
  <c r="KH58" i="24"/>
  <c r="FT46" i="24"/>
  <c r="KH85" i="24"/>
  <c r="EY60" i="24"/>
  <c r="FU59" i="24"/>
  <c r="FU83" i="24"/>
  <c r="FT56" i="24"/>
  <c r="FT62" i="24"/>
  <c r="KH67" i="24"/>
  <c r="FT50" i="24"/>
  <c r="KH57" i="24"/>
  <c r="KH54" i="24"/>
  <c r="EY46" i="24"/>
  <c r="FU73" i="24"/>
  <c r="FU49" i="24"/>
  <c r="FT49" i="24"/>
  <c r="EY72" i="24"/>
  <c r="FU72" i="24"/>
  <c r="EY55" i="24"/>
  <c r="KH49" i="24"/>
  <c r="EY77" i="24"/>
  <c r="FU46" i="24"/>
  <c r="FU80" i="24"/>
  <c r="FU54" i="24"/>
  <c r="FU42" i="24"/>
  <c r="FU87" i="24"/>
  <c r="KH86" i="24"/>
  <c r="EY62" i="24"/>
  <c r="FT84" i="24"/>
  <c r="FU76" i="24"/>
  <c r="FU52" i="24"/>
  <c r="KH40" i="24"/>
  <c r="EY53" i="24"/>
  <c r="FU82" i="24"/>
  <c r="FT65" i="24"/>
  <c r="FU50" i="24"/>
  <c r="FU85" i="24"/>
  <c r="FT67" i="24"/>
  <c r="FT55" i="24"/>
  <c r="FU84" i="24"/>
  <c r="FT42" i="24"/>
  <c r="KH68" i="24"/>
  <c r="KH56" i="24"/>
  <c r="KH53" i="24"/>
  <c r="KH72" i="24"/>
  <c r="FT47" i="24"/>
  <c r="EY85" i="24"/>
  <c r="FT74" i="24"/>
  <c r="KH66" i="24"/>
  <c r="KH61" i="24"/>
  <c r="FU63" i="24"/>
  <c r="FT60" i="24"/>
  <c r="KH71" i="24"/>
  <c r="KH44" i="24"/>
  <c r="FU56" i="24"/>
  <c r="FU64" i="24"/>
  <c r="FT72" i="24"/>
  <c r="FT40" i="24"/>
  <c r="EY87" i="24"/>
  <c r="EY79" i="24"/>
  <c r="KH73" i="24"/>
  <c r="FT76" i="24"/>
  <c r="FU71" i="24"/>
  <c r="FT44" i="24"/>
  <c r="FU45" i="24"/>
  <c r="EY80" i="24"/>
  <c r="FU48" i="24"/>
  <c r="KH74" i="24"/>
  <c r="FT48" i="24"/>
  <c r="KH75" i="24"/>
  <c r="FT80" i="24"/>
  <c r="KH78" i="24"/>
  <c r="KH46" i="24"/>
  <c r="FT63" i="24"/>
  <c r="KH76" i="24"/>
  <c r="EY52" i="24"/>
  <c r="FU77" i="24"/>
  <c r="KH83" i="24"/>
  <c r="FT41" i="24"/>
  <c r="FT86" i="24"/>
  <c r="KH52" i="24"/>
  <c r="FT81" i="24"/>
  <c r="KH82" i="24"/>
  <c r="FU65" i="24"/>
  <c r="EY82" i="24"/>
  <c r="FT78" i="24"/>
  <c r="FU53" i="24"/>
  <c r="FT82" i="24"/>
  <c r="FU69" i="24"/>
  <c r="KH51" i="24"/>
  <c r="KH65" i="24"/>
  <c r="KH63" i="24"/>
  <c r="MO47" i="24" l="1"/>
  <c r="MO92" i="24"/>
  <c r="MO39" i="24"/>
  <c r="GG66" i="24"/>
  <c r="GG64" i="24"/>
  <c r="GG63" i="24"/>
  <c r="GG71" i="24"/>
  <c r="GG58" i="24"/>
  <c r="GG48" i="24"/>
  <c r="GG75" i="24"/>
  <c r="GG67" i="24"/>
  <c r="GG40" i="24"/>
  <c r="GG79" i="24"/>
  <c r="GG73" i="24"/>
  <c r="GG42" i="24"/>
  <c r="GG59" i="24"/>
  <c r="GG81" i="24"/>
  <c r="GG44" i="24"/>
  <c r="GG55" i="24"/>
  <c r="GG83" i="24"/>
  <c r="GG78" i="24"/>
  <c r="GG80" i="24"/>
  <c r="GG61" i="24"/>
  <c r="GG43" i="24"/>
  <c r="GG47" i="24"/>
  <c r="GG54" i="24"/>
  <c r="GG76" i="24"/>
  <c r="GG62" i="24"/>
  <c r="GG50" i="24"/>
  <c r="GG70" i="24"/>
  <c r="GG52" i="24"/>
  <c r="GG41" i="24"/>
  <c r="GG82" i="24"/>
  <c r="GG72" i="24"/>
  <c r="GG84" i="24"/>
  <c r="GG56" i="24"/>
  <c r="GG69" i="24"/>
  <c r="GG49" i="24"/>
  <c r="GG60" i="24"/>
  <c r="GG68" i="24"/>
  <c r="GG74" i="24"/>
  <c r="GG45" i="24"/>
  <c r="GG65" i="24"/>
  <c r="GG51" i="24"/>
  <c r="GG46" i="24"/>
  <c r="EY47" i="24"/>
  <c r="KM55" i="24"/>
  <c r="KK56" i="24"/>
  <c r="KK63" i="24"/>
  <c r="FE44" i="24"/>
  <c r="FE49" i="24"/>
  <c r="FD78" i="24"/>
  <c r="KN87" i="24"/>
  <c r="FB70" i="24"/>
  <c r="GF58" i="24"/>
  <c r="FM51" i="24"/>
  <c r="FM53" i="24"/>
  <c r="KM77" i="24"/>
  <c r="FM63" i="24"/>
  <c r="FM57" i="24"/>
  <c r="KN82" i="24"/>
  <c r="FD46" i="24"/>
  <c r="GF57" i="24"/>
  <c r="FC63" i="24"/>
  <c r="KN52" i="24"/>
  <c r="FM80" i="24"/>
  <c r="KV57" i="24"/>
  <c r="FC65" i="24"/>
  <c r="GF66" i="24"/>
  <c r="GF42" i="24"/>
  <c r="FD81" i="24"/>
  <c r="FF80" i="24"/>
  <c r="KK57" i="24"/>
  <c r="EY75" i="24"/>
  <c r="KN80" i="24"/>
  <c r="FM52" i="24"/>
  <c r="FD57" i="24"/>
  <c r="GF63" i="24"/>
  <c r="EY84" i="24"/>
  <c r="FE82" i="24"/>
  <c r="KK60" i="24"/>
  <c r="KM46" i="24"/>
  <c r="FB80" i="24"/>
  <c r="GF70" i="24"/>
  <c r="FB51" i="24"/>
  <c r="FB77" i="24"/>
  <c r="FC40" i="24"/>
  <c r="GF40" i="24"/>
  <c r="KK72" i="24"/>
  <c r="FB46" i="24"/>
  <c r="GF83" i="24"/>
  <c r="FF44" i="24"/>
  <c r="EY58" i="24"/>
  <c r="KV86" i="24"/>
  <c r="GF45" i="24"/>
  <c r="FD70" i="24"/>
  <c r="GF62" i="24"/>
  <c r="FF65" i="24"/>
  <c r="FD49" i="24"/>
  <c r="FF78" i="24"/>
  <c r="KK47" i="24"/>
  <c r="GF80" i="24"/>
  <c r="KK59" i="24"/>
  <c r="EY61" i="24"/>
  <c r="FB42" i="24"/>
  <c r="KN70" i="24"/>
  <c r="FF73" i="24"/>
  <c r="KM44" i="24"/>
  <c r="EY64" i="24"/>
  <c r="FC62" i="24"/>
  <c r="FD85" i="24"/>
  <c r="KL44" i="24"/>
  <c r="KO60" i="24"/>
  <c r="GF73" i="24"/>
  <c r="KK81" i="24"/>
  <c r="GF55" i="24"/>
  <c r="KO63" i="24"/>
  <c r="KO77" i="24"/>
  <c r="GF76" i="24"/>
  <c r="FM79" i="24"/>
  <c r="KL62" i="24"/>
  <c r="KN72" i="24"/>
  <c r="FD87" i="24"/>
  <c r="KO42" i="24"/>
  <c r="FC80" i="24"/>
  <c r="KK71" i="24"/>
  <c r="FE40" i="24"/>
  <c r="EY56" i="24"/>
  <c r="FD82" i="24"/>
  <c r="FF62" i="24"/>
  <c r="FD51" i="24"/>
  <c r="KL77" i="24"/>
  <c r="FF49" i="24"/>
  <c r="KK66" i="24"/>
  <c r="FB40" i="24"/>
  <c r="FB79" i="24"/>
  <c r="KL52" i="24"/>
  <c r="KV85" i="24"/>
  <c r="KM70" i="24"/>
  <c r="KN63" i="24"/>
  <c r="GF49" i="24"/>
  <c r="FM72" i="24"/>
  <c r="GF52" i="24"/>
  <c r="KM40" i="24"/>
  <c r="GF61" i="24"/>
  <c r="KM79" i="24"/>
  <c r="GF43" i="24"/>
  <c r="KK46" i="24"/>
  <c r="FF77" i="24"/>
  <c r="FB63" i="24"/>
  <c r="FC72" i="24"/>
  <c r="FX87" i="24"/>
  <c r="KN60" i="24"/>
  <c r="KK48" i="24"/>
  <c r="EY83" i="24"/>
  <c r="KL87" i="24"/>
  <c r="KM85" i="24"/>
  <c r="KO78" i="24"/>
  <c r="GF82" i="24"/>
  <c r="FF55" i="24"/>
  <c r="EY66" i="24"/>
  <c r="KN57" i="24"/>
  <c r="EY68" i="24"/>
  <c r="FM78" i="24"/>
  <c r="GF59" i="24"/>
  <c r="FM81" i="24"/>
  <c r="KO51" i="24"/>
  <c r="KL53" i="24"/>
  <c r="KK65" i="24"/>
  <c r="FF70" i="24"/>
  <c r="KN79" i="24"/>
  <c r="KM48" i="24"/>
  <c r="KL65" i="24"/>
  <c r="FE79" i="24"/>
  <c r="KL82" i="24"/>
  <c r="KK55" i="24"/>
  <c r="KK75" i="24"/>
  <c r="KM63" i="24"/>
  <c r="FB65" i="24"/>
  <c r="FE52" i="24"/>
  <c r="FC78" i="24"/>
  <c r="FM82" i="24"/>
  <c r="GF60" i="24"/>
  <c r="KK53" i="24"/>
  <c r="KN77" i="24"/>
  <c r="GF64" i="24"/>
  <c r="KO73" i="24"/>
  <c r="KV60" i="24"/>
  <c r="KK49" i="24"/>
  <c r="KN51" i="24"/>
  <c r="KV52" i="24"/>
  <c r="KL46" i="24"/>
  <c r="GF65" i="24"/>
  <c r="FM40" i="24"/>
  <c r="FD77" i="24"/>
  <c r="KK79" i="24"/>
  <c r="FC86" i="24"/>
  <c r="FD42" i="24"/>
  <c r="FD52" i="24"/>
  <c r="FC87" i="24"/>
  <c r="KN85" i="24"/>
  <c r="KM72" i="24"/>
  <c r="KM80" i="24"/>
  <c r="FE51" i="24"/>
  <c r="KK50" i="24"/>
  <c r="GF46" i="24"/>
  <c r="FC46" i="24"/>
  <c r="FB53" i="24"/>
  <c r="KL60" i="24"/>
  <c r="FM46" i="24"/>
  <c r="KK43" i="24"/>
  <c r="EY67" i="24"/>
  <c r="KL85" i="24"/>
  <c r="KL49" i="24"/>
  <c r="FF85" i="24"/>
  <c r="KN86" i="24"/>
  <c r="KK58" i="24"/>
  <c r="FB85" i="24"/>
  <c r="FB44" i="24"/>
  <c r="FC70" i="24"/>
  <c r="FE85" i="24"/>
  <c r="FE70" i="24"/>
  <c r="GF69" i="24"/>
  <c r="KM53" i="24"/>
  <c r="EY69" i="24"/>
  <c r="GF50" i="24"/>
  <c r="KK83" i="24"/>
  <c r="GF78" i="24"/>
  <c r="KV40" i="24"/>
  <c r="KK40" i="24"/>
  <c r="KK51" i="24"/>
  <c r="FE65" i="24"/>
  <c r="FF60" i="24"/>
  <c r="FC73" i="24"/>
  <c r="KN65" i="24"/>
  <c r="KO81" i="24"/>
  <c r="KL51" i="24"/>
  <c r="KM87" i="24"/>
  <c r="FF86" i="24"/>
  <c r="KO70" i="24"/>
  <c r="FM62" i="24"/>
  <c r="FD40" i="24"/>
  <c r="KK69" i="24"/>
  <c r="KL48" i="24"/>
  <c r="FD86" i="24"/>
  <c r="KM82" i="24"/>
  <c r="KM42" i="24"/>
  <c r="FC60" i="24"/>
  <c r="KO48" i="24"/>
  <c r="KL57" i="24"/>
  <c r="KV55" i="24"/>
  <c r="KL72" i="24"/>
  <c r="FM73" i="24"/>
  <c r="FB55" i="24"/>
  <c r="EY41" i="24"/>
  <c r="KN78" i="24"/>
  <c r="KK44" i="24"/>
  <c r="KL63" i="24"/>
  <c r="FE63" i="24"/>
  <c r="EY76" i="24"/>
  <c r="FE78" i="24"/>
  <c r="KV65" i="24"/>
  <c r="FB87" i="24"/>
  <c r="FE46" i="24"/>
  <c r="FE42" i="24"/>
  <c r="FE57" i="24"/>
  <c r="KM81" i="24"/>
  <c r="FM85" i="24"/>
  <c r="FF63" i="24"/>
  <c r="EY59" i="24"/>
  <c r="KO79" i="24"/>
  <c r="GF56" i="24"/>
  <c r="FB48" i="24"/>
  <c r="FD72" i="24"/>
  <c r="FE87" i="24"/>
  <c r="KK85" i="24"/>
  <c r="KO40" i="24"/>
  <c r="FC85" i="24"/>
  <c r="KM78" i="24"/>
  <c r="KV72" i="24"/>
  <c r="FC55" i="24"/>
  <c r="KV44" i="24"/>
  <c r="FE62" i="24"/>
  <c r="FF52" i="24"/>
  <c r="FC79" i="24"/>
  <c r="FD73" i="24"/>
  <c r="FD44" i="24"/>
  <c r="GF54" i="24"/>
  <c r="KM49" i="24"/>
  <c r="KN55" i="24"/>
  <c r="KV80" i="24"/>
  <c r="FM48" i="24"/>
  <c r="FF82" i="24"/>
  <c r="KV49" i="24"/>
  <c r="EY71" i="24"/>
  <c r="FB81" i="24"/>
  <c r="KK70" i="24"/>
  <c r="KO46" i="24"/>
  <c r="KL70" i="24"/>
  <c r="GF74" i="24"/>
  <c r="KK86" i="24"/>
  <c r="FB72" i="24"/>
  <c r="FF46" i="24"/>
  <c r="FZ46" i="24" s="1"/>
  <c r="KM73" i="24"/>
  <c r="FD53" i="24"/>
  <c r="FB86" i="24"/>
  <c r="FD65" i="24"/>
  <c r="KL42" i="24"/>
  <c r="FM60" i="24"/>
  <c r="KV78" i="24"/>
  <c r="GF67" i="24"/>
  <c r="FE72" i="24"/>
  <c r="KK73" i="24"/>
  <c r="KN81" i="24"/>
  <c r="KO49" i="24"/>
  <c r="KK68" i="24"/>
  <c r="KO87" i="24"/>
  <c r="GF75" i="24"/>
  <c r="GF48" i="24"/>
  <c r="FM49" i="24"/>
  <c r="KV62" i="24"/>
  <c r="KK61" i="24"/>
  <c r="KV51" i="24"/>
  <c r="FB49" i="24"/>
  <c r="FF79" i="24"/>
  <c r="FE86" i="24"/>
  <c r="KM52" i="24"/>
  <c r="KO55" i="24"/>
  <c r="FD55" i="24"/>
  <c r="KV70" i="24"/>
  <c r="FB73" i="24"/>
  <c r="KM86" i="24"/>
  <c r="KN48" i="24"/>
  <c r="FE81" i="24"/>
  <c r="FB62" i="24"/>
  <c r="KV82" i="24"/>
  <c r="FB57" i="24"/>
  <c r="FM44" i="24"/>
  <c r="FE77" i="24"/>
  <c r="KN46" i="24"/>
  <c r="FM86" i="24"/>
  <c r="KO86" i="24"/>
  <c r="KM51" i="24"/>
  <c r="KO53" i="24"/>
  <c r="KN44" i="24"/>
  <c r="KO82" i="24"/>
  <c r="KM57" i="24"/>
  <c r="FF51" i="24"/>
  <c r="KK77" i="24"/>
  <c r="KM62" i="24"/>
  <c r="FC77" i="24"/>
  <c r="KV46" i="24"/>
  <c r="GF84" i="24"/>
  <c r="KL73" i="24"/>
  <c r="KV53" i="24"/>
  <c r="KO57" i="24"/>
  <c r="KM60" i="24"/>
  <c r="EY74" i="24"/>
  <c r="FE60" i="24"/>
  <c r="FF57" i="24"/>
  <c r="KM65" i="24"/>
  <c r="KK67" i="24"/>
  <c r="KL78" i="24"/>
  <c r="KL55" i="24"/>
  <c r="KN42" i="24"/>
  <c r="KK42" i="24"/>
  <c r="FM77" i="24"/>
  <c r="KV81" i="24"/>
  <c r="KK74" i="24"/>
  <c r="GF71" i="24"/>
  <c r="KN73" i="24"/>
  <c r="FD79" i="24"/>
  <c r="FF48" i="24"/>
  <c r="FY62" i="24"/>
  <c r="KV73" i="24"/>
  <c r="FF72" i="24"/>
  <c r="FD48" i="24"/>
  <c r="KN53" i="24"/>
  <c r="KK54" i="24"/>
  <c r="FC82" i="24"/>
  <c r="KK80" i="24"/>
  <c r="KO80" i="24"/>
  <c r="FC44" i="24"/>
  <c r="GF77" i="24"/>
  <c r="FB82" i="24"/>
  <c r="KN62" i="24"/>
  <c r="KO62" i="24"/>
  <c r="FC51" i="24"/>
  <c r="FE48" i="24"/>
  <c r="GF51" i="24"/>
  <c r="FE80" i="24"/>
  <c r="FC42" i="24"/>
  <c r="KK78" i="24"/>
  <c r="KV79" i="24"/>
  <c r="GF72" i="24"/>
  <c r="EY43" i="24"/>
  <c r="KK52" i="24"/>
  <c r="FD60" i="24"/>
  <c r="KK64" i="24"/>
  <c r="FF42" i="24"/>
  <c r="KV48" i="24"/>
  <c r="KO65" i="24"/>
  <c r="KV63" i="24"/>
  <c r="FB78" i="24"/>
  <c r="KV87" i="24"/>
  <c r="FF81" i="24"/>
  <c r="FE55" i="24"/>
  <c r="KO52" i="24"/>
  <c r="FM70" i="24"/>
  <c r="KL80" i="24"/>
  <c r="FC49" i="24"/>
  <c r="KV77" i="24"/>
  <c r="FF40" i="24"/>
  <c r="FE53" i="24"/>
  <c r="FC57" i="24"/>
  <c r="KL40" i="24"/>
  <c r="KV42" i="24"/>
  <c r="GF44" i="24"/>
  <c r="KL81" i="24"/>
  <c r="FM42" i="24"/>
  <c r="KN49" i="24"/>
  <c r="FF87" i="24"/>
  <c r="FF53" i="24"/>
  <c r="KN40" i="24"/>
  <c r="FE73" i="24"/>
  <c r="KK76" i="24"/>
  <c r="EY45" i="24"/>
  <c r="GF53" i="24"/>
  <c r="KO85" i="24"/>
  <c r="GF68" i="24"/>
  <c r="FC48" i="24"/>
  <c r="FM55" i="24"/>
  <c r="KO44" i="24"/>
  <c r="KK87" i="24"/>
  <c r="FB60" i="24"/>
  <c r="FD63" i="24"/>
  <c r="GF41" i="24"/>
  <c r="FM65" i="24"/>
  <c r="GF47" i="24"/>
  <c r="GF81" i="24"/>
  <c r="KK84" i="24"/>
  <c r="FC53" i="24"/>
  <c r="FD80" i="24"/>
  <c r="FC81" i="24"/>
  <c r="KL79" i="24"/>
  <c r="EY50" i="24"/>
  <c r="KK41" i="24"/>
  <c r="FC52" i="24"/>
  <c r="FD62" i="24"/>
  <c r="FM87" i="24"/>
  <c r="GF79" i="24"/>
  <c r="FB52" i="24"/>
  <c r="KO72" i="24"/>
  <c r="EY54" i="24"/>
  <c r="KK82" i="24"/>
  <c r="KK45" i="24"/>
  <c r="KL86" i="24"/>
  <c r="KK62" i="24"/>
  <c r="HD53" i="24" l="1"/>
  <c r="GO53" i="24"/>
  <c r="LL110" i="24"/>
  <c r="LM110" i="24" s="1"/>
  <c r="LL121" i="24"/>
  <c r="LM121" i="24" s="1"/>
  <c r="HD64" i="24"/>
  <c r="GO64" i="24"/>
  <c r="LL112" i="24"/>
  <c r="LM112" i="24" s="1"/>
  <c r="GO55" i="24"/>
  <c r="HD55" i="24"/>
  <c r="GO44" i="24"/>
  <c r="HD44" i="24"/>
  <c r="LL101" i="24"/>
  <c r="LM101" i="24" s="1"/>
  <c r="LD85" i="24"/>
  <c r="LG85" i="24" s="1"/>
  <c r="GO43" i="24"/>
  <c r="HD43" i="24"/>
  <c r="LL100" i="24"/>
  <c r="LM100" i="24" s="1"/>
  <c r="GO59" i="24"/>
  <c r="LL116" i="24"/>
  <c r="LM116" i="24" s="1"/>
  <c r="HD59" i="24"/>
  <c r="LD86" i="24"/>
  <c r="LG86" i="24" s="1"/>
  <c r="LD46" i="24"/>
  <c r="LL119" i="24"/>
  <c r="LM119" i="24" s="1"/>
  <c r="HD62" i="24"/>
  <c r="GO62" i="24"/>
  <c r="GO81" i="24"/>
  <c r="HD81" i="24"/>
  <c r="LL138" i="24"/>
  <c r="LM138" i="24" s="1"/>
  <c r="GE81" i="24"/>
  <c r="HD46" i="24"/>
  <c r="GO46" i="24"/>
  <c r="LL103" i="24"/>
  <c r="LM103" i="24" s="1"/>
  <c r="GO79" i="24"/>
  <c r="HD79" i="24"/>
  <c r="LL136" i="24"/>
  <c r="LM136" i="24" s="1"/>
  <c r="LD44" i="24"/>
  <c r="LL134" i="24"/>
  <c r="LM134" i="24" s="1"/>
  <c r="HD77" i="24"/>
  <c r="GO77" i="24"/>
  <c r="HD56" i="24"/>
  <c r="GO56" i="24"/>
  <c r="LL113" i="24"/>
  <c r="LM113" i="24" s="1"/>
  <c r="HD78" i="24"/>
  <c r="GO78" i="24"/>
  <c r="LL135" i="24"/>
  <c r="LM135" i="24" s="1"/>
  <c r="LL111" i="24"/>
  <c r="LM111" i="24" s="1"/>
  <c r="GO54" i="24"/>
  <c r="HD54" i="24"/>
  <c r="GO52" i="24"/>
  <c r="LL109" i="24"/>
  <c r="LM109" i="24" s="1"/>
  <c r="HD52" i="24"/>
  <c r="LD42" i="24"/>
  <c r="LD49" i="24"/>
  <c r="GO74" i="24"/>
  <c r="LL131" i="24"/>
  <c r="LM131" i="24" s="1"/>
  <c r="HD74" i="24"/>
  <c r="HD60" i="24"/>
  <c r="LL117" i="24"/>
  <c r="LM117" i="24" s="1"/>
  <c r="GO60" i="24"/>
  <c r="HD83" i="24"/>
  <c r="GE83" i="24"/>
  <c r="LL140" i="24"/>
  <c r="LM140" i="24" s="1"/>
  <c r="GO83" i="24"/>
  <c r="LL132" i="24"/>
  <c r="LM132" i="24" s="1"/>
  <c r="GO75" i="24"/>
  <c r="HD75" i="24"/>
  <c r="HD69" i="24"/>
  <c r="LL126" i="24"/>
  <c r="LM126" i="24" s="1"/>
  <c r="GO69" i="24"/>
  <c r="GO70" i="24"/>
  <c r="HD70" i="24"/>
  <c r="LL127" i="24"/>
  <c r="LM127" i="24" s="1"/>
  <c r="GE82" i="24"/>
  <c r="HP82" i="24" s="1"/>
  <c r="LL139" i="24"/>
  <c r="LM139" i="24" s="1"/>
  <c r="GO82" i="24"/>
  <c r="HD82" i="24"/>
  <c r="LL122" i="24"/>
  <c r="LM122" i="24" s="1"/>
  <c r="HD65" i="24"/>
  <c r="GO65" i="24"/>
  <c r="HD68" i="24"/>
  <c r="LL125" i="24"/>
  <c r="LM125" i="24" s="1"/>
  <c r="GO68" i="24"/>
  <c r="LD52" i="24"/>
  <c r="LL108" i="24"/>
  <c r="LM108" i="24" s="1"/>
  <c r="HD51" i="24"/>
  <c r="GO51" i="24"/>
  <c r="LD72" i="24"/>
  <c r="LD53" i="24"/>
  <c r="LD77" i="24"/>
  <c r="HD45" i="24"/>
  <c r="GO45" i="24"/>
  <c r="LL102" i="24"/>
  <c r="LM102" i="24" s="1"/>
  <c r="HD67" i="24"/>
  <c r="GO67" i="24"/>
  <c r="LL124" i="24"/>
  <c r="LM124" i="24" s="1"/>
  <c r="GE80" i="24"/>
  <c r="GO80" i="24"/>
  <c r="HD80" i="24"/>
  <c r="LL137" i="24"/>
  <c r="LM137" i="24" s="1"/>
  <c r="GV40" i="24"/>
  <c r="LL129" i="24"/>
  <c r="LM129" i="24" s="1"/>
  <c r="GO72" i="24"/>
  <c r="HD72" i="24"/>
  <c r="LD62" i="24"/>
  <c r="LL98" i="24"/>
  <c r="LM98" i="24" s="1"/>
  <c r="HD41" i="24"/>
  <c r="GE41" i="24"/>
  <c r="GO41" i="24"/>
  <c r="LD81" i="24"/>
  <c r="LD80" i="24"/>
  <c r="GO42" i="24"/>
  <c r="LL99" i="24"/>
  <c r="LM99" i="24" s="1"/>
  <c r="HD42" i="24"/>
  <c r="LL133" i="24"/>
  <c r="LM133" i="24" s="1"/>
  <c r="HD76" i="24"/>
  <c r="GO76" i="24"/>
  <c r="LD79" i="24"/>
  <c r="HD49" i="24"/>
  <c r="GO49" i="24"/>
  <c r="LL106" i="24"/>
  <c r="LM106" i="24" s="1"/>
  <c r="LD63" i="24"/>
  <c r="HD57" i="24"/>
  <c r="GO57" i="24"/>
  <c r="LL114" i="24"/>
  <c r="LM114" i="24" s="1"/>
  <c r="HD73" i="24"/>
  <c r="LL130" i="24"/>
  <c r="LM130" i="24" s="1"/>
  <c r="GO73" i="24"/>
  <c r="HD66" i="24"/>
  <c r="GO66" i="24"/>
  <c r="LL123" i="24"/>
  <c r="LM123" i="24" s="1"/>
  <c r="LD51" i="24"/>
  <c r="LD40" i="24"/>
  <c r="HD63" i="24"/>
  <c r="GO63" i="24"/>
  <c r="LL120" i="24"/>
  <c r="LM120" i="24" s="1"/>
  <c r="HD84" i="24"/>
  <c r="LL141" i="24"/>
  <c r="LM141" i="24" s="1"/>
  <c r="GO84" i="24"/>
  <c r="GE84" i="24"/>
  <c r="HD58" i="24"/>
  <c r="GO58" i="24"/>
  <c r="LL115" i="24"/>
  <c r="LM115" i="24" s="1"/>
  <c r="HD71" i="24"/>
  <c r="LL128" i="24"/>
  <c r="LM128" i="24" s="1"/>
  <c r="GO71" i="24"/>
  <c r="LD70" i="24"/>
  <c r="GO61" i="24"/>
  <c r="HD61" i="24"/>
  <c r="LL118" i="24"/>
  <c r="LM118" i="24" s="1"/>
  <c r="LD55" i="24"/>
  <c r="LD60" i="24"/>
  <c r="LD48" i="24"/>
  <c r="HD47" i="24"/>
  <c r="LL104" i="24"/>
  <c r="LM104" i="24" s="1"/>
  <c r="GO47" i="24"/>
  <c r="LD57" i="24"/>
  <c r="LD73" i="24"/>
  <c r="LD82" i="24"/>
  <c r="LL105" i="24"/>
  <c r="LM105" i="24" s="1"/>
  <c r="GO48" i="24"/>
  <c r="HD48" i="24"/>
  <c r="LD65" i="24"/>
  <c r="HD40" i="24"/>
  <c r="GO40" i="24"/>
  <c r="GU40" i="24"/>
  <c r="LL97" i="24"/>
  <c r="LM97" i="24" s="1"/>
  <c r="GO50" i="24"/>
  <c r="HD50" i="24"/>
  <c r="LL107" i="24"/>
  <c r="LM107" i="24" s="1"/>
  <c r="LD87" i="24"/>
  <c r="LG87" i="24" s="1"/>
  <c r="LD78" i="24"/>
  <c r="MO53" i="24"/>
  <c r="MO55" i="24"/>
  <c r="MO95" i="24"/>
  <c r="MO72" i="24"/>
  <c r="MO42" i="24"/>
  <c r="MO61" i="24"/>
  <c r="MO101" i="24"/>
  <c r="MO80" i="24"/>
  <c r="MO50" i="24"/>
  <c r="MO100" i="24"/>
  <c r="MO40" i="24"/>
  <c r="MO51" i="24"/>
  <c r="MO86" i="24"/>
  <c r="MO49" i="24"/>
  <c r="MO96" i="24"/>
  <c r="MO70" i="24"/>
  <c r="MO48" i="24"/>
  <c r="MO90" i="24"/>
  <c r="MO77" i="24"/>
  <c r="MO89" i="24"/>
  <c r="MO88" i="24"/>
  <c r="MO45" i="24"/>
  <c r="MO63" i="24"/>
  <c r="MO98" i="24"/>
  <c r="MO69" i="24"/>
  <c r="MO91" i="24"/>
  <c r="MO81" i="24"/>
  <c r="MO71" i="24"/>
  <c r="MO75" i="24"/>
  <c r="MO87" i="24"/>
  <c r="MO94" i="24"/>
  <c r="MO83" i="24"/>
  <c r="MO64" i="24"/>
  <c r="MO73" i="24"/>
  <c r="MO41" i="24"/>
  <c r="MO99" i="24"/>
  <c r="MO84" i="24"/>
  <c r="MO76" i="24"/>
  <c r="MO62" i="24"/>
  <c r="MO67" i="24"/>
  <c r="MO59" i="24"/>
  <c r="MO68" i="24"/>
  <c r="MO60" i="24"/>
  <c r="MO54" i="24"/>
  <c r="MO82" i="24"/>
  <c r="MO43" i="24"/>
  <c r="MO85" i="24"/>
  <c r="MO79" i="24"/>
  <c r="MO56" i="24"/>
  <c r="MO52" i="24"/>
  <c r="MO58" i="24"/>
  <c r="MO44" i="24"/>
  <c r="MO74" i="24"/>
  <c r="MO57" i="24"/>
  <c r="MO93" i="24"/>
  <c r="MO78" i="24"/>
  <c r="MO46" i="24"/>
  <c r="MO97" i="24"/>
  <c r="MO65" i="24"/>
  <c r="MO66" i="24"/>
  <c r="GK62" i="24"/>
  <c r="GL46" i="24"/>
  <c r="KM76" i="24"/>
  <c r="FC76" i="24"/>
  <c r="FD76" i="24"/>
  <c r="FD83" i="24"/>
  <c r="KM83" i="24"/>
  <c r="FF83" i="24"/>
  <c r="FM47" i="24"/>
  <c r="FD47" i="24"/>
  <c r="KM47" i="24"/>
  <c r="FY70" i="24"/>
  <c r="FM45" i="24"/>
  <c r="FD71" i="24"/>
  <c r="FW49" i="24"/>
  <c r="KL43" i="24"/>
  <c r="KV43" i="24"/>
  <c r="FM74" i="24"/>
  <c r="KV74" i="24"/>
  <c r="FD56" i="24"/>
  <c r="FX42" i="24"/>
  <c r="FW40" i="24"/>
  <c r="FZ79" i="24"/>
  <c r="FM64" i="24"/>
  <c r="FZ51" i="24"/>
  <c r="FV53" i="24"/>
  <c r="FM71" i="24"/>
  <c r="FC64" i="24"/>
  <c r="FD74" i="24"/>
  <c r="FZ83" i="24"/>
  <c r="FW60" i="24"/>
  <c r="FW87" i="24"/>
  <c r="FY81" i="24"/>
  <c r="FW77" i="24"/>
  <c r="FF43" i="24"/>
  <c r="FM66" i="24"/>
  <c r="FV46" i="24"/>
  <c r="FX85" i="24"/>
  <c r="FF56" i="24"/>
  <c r="GB72" i="24"/>
  <c r="GB48" i="24"/>
  <c r="FV65" i="24"/>
  <c r="FB43" i="24"/>
  <c r="KO61" i="24"/>
  <c r="KL84" i="24"/>
  <c r="KN50" i="24"/>
  <c r="KV61" i="24"/>
  <c r="FV79" i="24"/>
  <c r="FB61" i="24"/>
  <c r="KO43" i="24"/>
  <c r="KM43" i="24"/>
  <c r="FY60" i="24"/>
  <c r="KM69" i="24"/>
  <c r="FF68" i="24"/>
  <c r="FB64" i="24"/>
  <c r="FV77" i="24"/>
  <c r="FV82" i="24"/>
  <c r="FZ55" i="24"/>
  <c r="KV54" i="24"/>
  <c r="FC54" i="24"/>
  <c r="KL59" i="24"/>
  <c r="FY63" i="24"/>
  <c r="KL68" i="24"/>
  <c r="KV69" i="24"/>
  <c r="FV78" i="24"/>
  <c r="KO58" i="24"/>
  <c r="FX86" i="24"/>
  <c r="KO75" i="24"/>
  <c r="KV84" i="24"/>
  <c r="FV42" i="24"/>
  <c r="FZ80" i="24"/>
  <c r="GB52" i="24"/>
  <c r="FV80" i="24"/>
  <c r="FZ62" i="24"/>
  <c r="FV73" i="24"/>
  <c r="GB70" i="24"/>
  <c r="FM56" i="24"/>
  <c r="GB77" i="24"/>
  <c r="FF69" i="24"/>
  <c r="KM50" i="24"/>
  <c r="FY87" i="24"/>
  <c r="FD59" i="24"/>
  <c r="GB79" i="24"/>
  <c r="KO64" i="24"/>
  <c r="FC69" i="24"/>
  <c r="FZ57" i="24"/>
  <c r="FW70" i="24"/>
  <c r="FB75" i="24"/>
  <c r="FF75" i="24"/>
  <c r="FB74" i="24"/>
  <c r="KL64" i="24"/>
  <c r="KV64" i="24"/>
  <c r="KO67" i="24"/>
  <c r="FX44" i="24"/>
  <c r="KO59" i="24"/>
  <c r="KN56" i="24"/>
  <c r="FX70" i="24"/>
  <c r="FC75" i="24"/>
  <c r="FV61" i="24"/>
  <c r="FX72" i="24"/>
  <c r="GB44" i="24"/>
  <c r="FD75" i="24"/>
  <c r="FV85" i="24"/>
  <c r="FF74" i="24"/>
  <c r="KL74" i="24"/>
  <c r="GB62" i="24"/>
  <c r="FZ68" i="24"/>
  <c r="FV72" i="24"/>
  <c r="FF50" i="24"/>
  <c r="FE76" i="24"/>
  <c r="FY76" i="24" s="1"/>
  <c r="FM76" i="24"/>
  <c r="FB76" i="24"/>
  <c r="KN83" i="24"/>
  <c r="KV83" i="24"/>
  <c r="FC83" i="24"/>
  <c r="KN47" i="24"/>
  <c r="KV47" i="24"/>
  <c r="GB46" i="24"/>
  <c r="FE71" i="24"/>
  <c r="KO54" i="24"/>
  <c r="FW78" i="24"/>
  <c r="KL54" i="24"/>
  <c r="FZ65" i="24"/>
  <c r="FX62" i="24"/>
  <c r="FX79" i="24"/>
  <c r="FM61" i="24"/>
  <c r="GB61" i="24" s="1"/>
  <c r="FB41" i="24"/>
  <c r="FX51" i="24"/>
  <c r="KL45" i="24"/>
  <c r="FD69" i="24"/>
  <c r="FC61" i="24"/>
  <c r="FX78" i="24"/>
  <c r="GB85" i="24"/>
  <c r="KO68" i="24"/>
  <c r="FE84" i="24"/>
  <c r="FF66" i="24"/>
  <c r="FW83" i="24"/>
  <c r="KO84" i="24"/>
  <c r="FC66" i="24"/>
  <c r="FB67" i="24"/>
  <c r="GB86" i="24"/>
  <c r="KN67" i="24"/>
  <c r="FY80" i="24"/>
  <c r="KN61" i="24"/>
  <c r="KO50" i="24"/>
  <c r="FY44" i="24"/>
  <c r="FM84" i="24"/>
  <c r="KO45" i="24"/>
  <c r="FV51" i="24"/>
  <c r="FX83" i="24"/>
  <c r="GB65" i="24"/>
  <c r="FW55" i="24"/>
  <c r="FY79" i="24"/>
  <c r="GB84" i="24"/>
  <c r="FY85" i="24"/>
  <c r="FX65" i="24"/>
  <c r="KM68" i="24"/>
  <c r="FE56" i="24"/>
  <c r="FX81" i="24"/>
  <c r="FY55" i="24"/>
  <c r="FZ78" i="24"/>
  <c r="FC50" i="24"/>
  <c r="KV75" i="24"/>
  <c r="FM58" i="24"/>
  <c r="KN69" i="24"/>
  <c r="GB76" i="24"/>
  <c r="GB74" i="24"/>
  <c r="FY52" i="24"/>
  <c r="FX82" i="24"/>
  <c r="FY71" i="24"/>
  <c r="KO69" i="24"/>
  <c r="FC56" i="24"/>
  <c r="GB63" i="24"/>
  <c r="FF59" i="24"/>
  <c r="FE74" i="24"/>
  <c r="FD50" i="24"/>
  <c r="FZ77" i="24"/>
  <c r="GB73" i="24"/>
  <c r="GB60" i="24"/>
  <c r="FV55" i="24"/>
  <c r="KN41" i="24"/>
  <c r="KN71" i="24"/>
  <c r="FF58" i="24"/>
  <c r="FM69" i="24"/>
  <c r="FV76" i="24"/>
  <c r="GB87" i="24"/>
  <c r="FX55" i="24"/>
  <c r="FE54" i="24"/>
  <c r="KV58" i="24"/>
  <c r="FY51" i="24"/>
  <c r="GB81" i="24"/>
  <c r="FE66" i="24"/>
  <c r="GB57" i="24"/>
  <c r="KM67" i="24"/>
  <c r="FD64" i="24"/>
  <c r="FE58" i="24"/>
  <c r="FD68" i="24"/>
  <c r="FD58" i="24"/>
  <c r="FD67" i="24"/>
  <c r="KM59" i="24"/>
  <c r="FB68" i="24"/>
  <c r="FE75" i="24"/>
  <c r="FC58" i="24"/>
  <c r="FW58" i="24" s="1"/>
  <c r="GB40" i="24"/>
  <c r="FF45" i="24"/>
  <c r="KV68" i="24"/>
  <c r="KL66" i="24"/>
  <c r="FZ63" i="24"/>
  <c r="FC45" i="24"/>
  <c r="FZ49" i="24"/>
  <c r="FZ70" i="24"/>
  <c r="KV59" i="24"/>
  <c r="FF76" i="24"/>
  <c r="KL76" i="24"/>
  <c r="KN76" i="24"/>
  <c r="FB83" i="24"/>
  <c r="FV83" i="24" s="1"/>
  <c r="KL83" i="24"/>
  <c r="FF47" i="24"/>
  <c r="FZ47" i="24" s="1"/>
  <c r="KO47" i="24"/>
  <c r="FC47" i="24"/>
  <c r="FW47" i="24" s="1"/>
  <c r="FF61" i="24"/>
  <c r="FZ61" i="24" s="1"/>
  <c r="FM54" i="24"/>
  <c r="KM66" i="24"/>
  <c r="FZ42" i="24"/>
  <c r="FE43" i="24"/>
  <c r="FM41" i="24"/>
  <c r="FF67" i="24"/>
  <c r="GB55" i="24"/>
  <c r="FE69" i="24"/>
  <c r="GB80" i="24"/>
  <c r="FY73" i="24"/>
  <c r="GB78" i="24"/>
  <c r="FX73" i="24"/>
  <c r="FC74" i="24"/>
  <c r="FW51" i="24"/>
  <c r="FX76" i="24"/>
  <c r="FC71" i="24"/>
  <c r="GB71" i="24"/>
  <c r="KN66" i="24"/>
  <c r="FF84" i="24"/>
  <c r="FB66" i="24"/>
  <c r="FV81" i="24"/>
  <c r="FB58" i="24"/>
  <c r="FW80" i="24"/>
  <c r="FC43" i="24"/>
  <c r="FX63" i="24"/>
  <c r="FD45" i="24"/>
  <c r="GB42" i="24"/>
  <c r="FW76" i="24"/>
  <c r="FB71" i="24"/>
  <c r="FW73" i="24"/>
  <c r="KM84" i="24"/>
  <c r="FV87" i="24"/>
  <c r="FV60" i="24"/>
  <c r="FV49" i="24"/>
  <c r="FE50" i="24"/>
  <c r="KL75" i="24"/>
  <c r="FX52" i="24"/>
  <c r="FX45" i="24"/>
  <c r="FZ82" i="24"/>
  <c r="FZ76" i="24"/>
  <c r="FE64" i="24"/>
  <c r="FY40" i="24"/>
  <c r="FX46" i="24"/>
  <c r="FM50" i="24"/>
  <c r="KV56" i="24"/>
  <c r="FW72" i="24"/>
  <c r="FY49" i="24"/>
  <c r="FF64" i="24"/>
  <c r="FF54" i="24"/>
  <c r="FY46" i="24"/>
  <c r="FD43" i="24"/>
  <c r="FX43" i="24" s="1"/>
  <c r="KN75" i="24"/>
  <c r="KN68" i="24"/>
  <c r="KO66" i="24"/>
  <c r="GB47" i="24"/>
  <c r="FW63" i="24"/>
  <c r="FX53" i="24"/>
  <c r="FM43" i="24"/>
  <c r="FW46" i="24"/>
  <c r="FY43" i="24"/>
  <c r="FY82" i="24"/>
  <c r="KL67" i="24"/>
  <c r="FW65" i="24"/>
  <c r="FY56" i="24"/>
  <c r="KL56" i="24"/>
  <c r="FC67" i="24"/>
  <c r="KL50" i="24"/>
  <c r="KM74" i="24"/>
  <c r="GB53" i="24"/>
  <c r="KM58" i="24"/>
  <c r="FY48" i="24"/>
  <c r="KL41" i="24"/>
  <c r="FE68" i="24"/>
  <c r="KM61" i="24"/>
  <c r="FV67" i="24"/>
  <c r="FD66" i="24"/>
  <c r="KO71" i="24"/>
  <c r="KV45" i="24"/>
  <c r="KM64" i="24"/>
  <c r="KV71" i="24"/>
  <c r="KM41" i="24"/>
  <c r="FV40" i="24"/>
  <c r="FW82" i="24"/>
  <c r="FW52" i="24"/>
  <c r="KV76" i="24"/>
  <c r="KO76" i="24"/>
  <c r="FM83" i="24"/>
  <c r="KO83" i="24"/>
  <c r="FE83" i="24"/>
  <c r="FY83" i="24" s="1"/>
  <c r="FB47" i="24"/>
  <c r="FV47" i="24" s="1"/>
  <c r="FE47" i="24"/>
  <c r="KL47" i="24"/>
  <c r="FV70" i="24"/>
  <c r="FW81" i="24"/>
  <c r="FV52" i="24"/>
  <c r="FY57" i="24"/>
  <c r="FY65" i="24"/>
  <c r="FZ85" i="24"/>
  <c r="KN59" i="24"/>
  <c r="FX57" i="24"/>
  <c r="FZ81" i="24"/>
  <c r="FW86" i="24"/>
  <c r="FE61" i="24"/>
  <c r="FZ52" i="24"/>
  <c r="FX47" i="24"/>
  <c r="FZ86" i="24"/>
  <c r="FX77" i="24"/>
  <c r="FW62" i="24"/>
  <c r="KN74" i="24"/>
  <c r="FW48" i="24"/>
  <c r="FB56" i="24"/>
  <c r="FB69" i="24"/>
  <c r="FZ73" i="24"/>
  <c r="FV44" i="24"/>
  <c r="KL69" i="24"/>
  <c r="FV57" i="24"/>
  <c r="FV86" i="24"/>
  <c r="FE41" i="24"/>
  <c r="GB82" i="24"/>
  <c r="FX80" i="24"/>
  <c r="KL61" i="24"/>
  <c r="FZ87" i="24"/>
  <c r="KN84" i="24"/>
  <c r="KN54" i="24"/>
  <c r="FW44" i="24"/>
  <c r="FZ40" i="24"/>
  <c r="FY77" i="24"/>
  <c r="FX49" i="24"/>
  <c r="FZ72" i="24"/>
  <c r="FX48" i="24"/>
  <c r="KV66" i="24"/>
  <c r="KN64" i="24"/>
  <c r="FE59" i="24"/>
  <c r="FM67" i="24"/>
  <c r="KO56" i="24"/>
  <c r="FX60" i="24"/>
  <c r="KV50" i="24"/>
  <c r="GB83" i="24"/>
  <c r="FZ60" i="24"/>
  <c r="FE67" i="24"/>
  <c r="KL58" i="24"/>
  <c r="KM54" i="24"/>
  <c r="FZ44" i="24"/>
  <c r="FY42" i="24"/>
  <c r="KO41" i="24"/>
  <c r="GB51" i="24"/>
  <c r="KN43" i="24"/>
  <c r="FY78" i="24"/>
  <c r="FB84" i="24"/>
  <c r="FM68" i="24"/>
  <c r="FM59" i="24"/>
  <c r="FB50" i="24"/>
  <c r="FV50" i="24" s="1"/>
  <c r="FD84" i="24"/>
  <c r="FV62" i="24"/>
  <c r="FV63" i="24"/>
  <c r="KM71" i="24"/>
  <c r="FC41" i="24"/>
  <c r="FC84" i="24"/>
  <c r="GB43" i="24"/>
  <c r="FZ48" i="24"/>
  <c r="GB50" i="24"/>
  <c r="FX40" i="24"/>
  <c r="FY86" i="24"/>
  <c r="FB45" i="24"/>
  <c r="KV41" i="24"/>
  <c r="FC59" i="24"/>
  <c r="KO74" i="24"/>
  <c r="FY53" i="24"/>
  <c r="KM56" i="24"/>
  <c r="FY72" i="24"/>
  <c r="FV48" i="24"/>
  <c r="FE45" i="24"/>
  <c r="FY45" i="24" s="1"/>
  <c r="KN58" i="24"/>
  <c r="FW79" i="24"/>
  <c r="KL71" i="24"/>
  <c r="FW85" i="24"/>
  <c r="KM75" i="24"/>
  <c r="KV67" i="24"/>
  <c r="GB45" i="24"/>
  <c r="FB59" i="24"/>
  <c r="FF71" i="24"/>
  <c r="FB54" i="24"/>
  <c r="FD61" i="24"/>
  <c r="FD54" i="24"/>
  <c r="KM45" i="24"/>
  <c r="FD41" i="24"/>
  <c r="FV45" i="24"/>
  <c r="FW53" i="24"/>
  <c r="FM75" i="24"/>
  <c r="FW57" i="24"/>
  <c r="FC68" i="24"/>
  <c r="FF41" i="24"/>
  <c r="KN45" i="24"/>
  <c r="FW42" i="24"/>
  <c r="GB49" i="24"/>
  <c r="FZ53" i="24"/>
  <c r="FV54" i="24"/>
  <c r="LD47" i="24" l="1"/>
  <c r="LD83" i="24"/>
  <c r="LD76" i="24"/>
  <c r="GJ46" i="24"/>
  <c r="GN46" i="24"/>
  <c r="HC46" i="24" s="1"/>
  <c r="GH78" i="24"/>
  <c r="GH47" i="24"/>
  <c r="GJ60" i="24"/>
  <c r="GY60" i="24" s="1"/>
  <c r="GI47" i="24"/>
  <c r="GX47" i="24" s="1"/>
  <c r="GI62" i="24"/>
  <c r="GX62" i="24" s="1"/>
  <c r="GI78" i="24"/>
  <c r="GK60" i="24"/>
  <c r="GN62" i="24"/>
  <c r="HC62" i="24" s="1"/>
  <c r="LD61" i="24"/>
  <c r="GL78" i="24"/>
  <c r="GN60" i="24"/>
  <c r="HC60" i="24" s="1"/>
  <c r="GJ47" i="24"/>
  <c r="GY47" i="24" s="1"/>
  <c r="GL63" i="24"/>
  <c r="HA63" i="24" s="1"/>
  <c r="GJ62" i="24"/>
  <c r="GY62" i="24" s="1"/>
  <c r="LD59" i="24"/>
  <c r="LD66" i="24"/>
  <c r="LD75" i="24"/>
  <c r="LD45" i="24"/>
  <c r="LD54" i="24"/>
  <c r="LD84" i="24"/>
  <c r="LD41" i="24"/>
  <c r="LD64" i="24"/>
  <c r="LD58" i="24"/>
  <c r="LD43" i="24"/>
  <c r="LD56" i="24"/>
  <c r="LD71" i="24"/>
  <c r="LD67" i="24"/>
  <c r="LD74" i="24"/>
  <c r="LD69" i="24"/>
  <c r="LD68" i="24"/>
  <c r="LD50" i="24"/>
  <c r="HA46" i="24"/>
  <c r="GY46" i="24"/>
  <c r="GE42" i="24"/>
  <c r="GV41" i="24"/>
  <c r="GU41" i="24"/>
  <c r="GT41" i="24"/>
  <c r="HP41" i="24"/>
  <c r="HP84" i="24"/>
  <c r="HP83" i="24"/>
  <c r="HP81" i="24"/>
  <c r="LP125" i="24"/>
  <c r="LP102" i="24"/>
  <c r="LP118" i="24"/>
  <c r="LP80" i="24"/>
  <c r="LP139" i="24"/>
  <c r="LP146" i="24"/>
  <c r="LP69" i="24"/>
  <c r="LP83" i="24"/>
  <c r="LP93" i="24"/>
  <c r="LP48" i="24"/>
  <c r="LP151" i="24"/>
  <c r="LP161" i="24"/>
  <c r="LT161" i="24" s="1"/>
  <c r="LP144" i="24"/>
  <c r="LP67" i="24"/>
  <c r="LP104" i="24"/>
  <c r="LP74" i="24"/>
  <c r="LP122" i="24"/>
  <c r="LP84" i="24"/>
  <c r="LP61" i="24"/>
  <c r="LP121" i="24"/>
  <c r="LP65" i="24"/>
  <c r="LP79" i="24"/>
  <c r="LP58" i="24"/>
  <c r="LP137" i="24"/>
  <c r="LP130" i="24"/>
  <c r="LP112" i="24"/>
  <c r="LP110" i="24"/>
  <c r="LP138" i="24"/>
  <c r="LP86" i="24"/>
  <c r="LP114" i="24"/>
  <c r="LP95" i="24"/>
  <c r="LP52" i="24"/>
  <c r="LP63" i="24"/>
  <c r="LP153" i="24"/>
  <c r="LP98" i="24"/>
  <c r="LP39" i="24"/>
  <c r="LP103" i="24"/>
  <c r="LP49" i="24"/>
  <c r="LP152" i="24"/>
  <c r="LP41" i="24"/>
  <c r="LP155" i="24"/>
  <c r="LP141" i="24"/>
  <c r="LP147" i="24"/>
  <c r="LP40" i="24"/>
  <c r="LT40" i="24" s="1"/>
  <c r="LP55" i="24"/>
  <c r="LP51" i="24"/>
  <c r="LP117" i="24"/>
  <c r="LT117" i="24" s="1"/>
  <c r="LP46" i="24"/>
  <c r="LP85" i="24"/>
  <c r="LP76" i="24"/>
  <c r="LP99" i="24"/>
  <c r="LP149" i="24"/>
  <c r="LP50" i="24"/>
  <c r="LP57" i="24"/>
  <c r="LP87" i="24"/>
  <c r="LP92" i="24"/>
  <c r="LP71" i="24"/>
  <c r="LP113" i="24"/>
  <c r="LT113" i="24" s="1"/>
  <c r="LP128" i="24"/>
  <c r="LP64" i="24"/>
  <c r="LP62" i="24"/>
  <c r="LP150" i="24"/>
  <c r="LP140" i="24"/>
  <c r="LP145" i="24"/>
  <c r="LP154" i="24"/>
  <c r="LP53" i="24"/>
  <c r="LP89" i="24"/>
  <c r="LP101" i="24"/>
  <c r="LP81" i="24"/>
  <c r="LP124" i="24"/>
  <c r="LP60" i="24"/>
  <c r="LT60" i="24" s="1"/>
  <c r="LP82" i="24"/>
  <c r="LT82" i="24" s="1"/>
  <c r="LP123" i="24"/>
  <c r="LP72" i="24"/>
  <c r="LP94" i="24"/>
  <c r="LT94" i="24" s="1"/>
  <c r="LP42" i="24"/>
  <c r="LP111" i="24"/>
  <c r="LP75" i="24"/>
  <c r="LT75" i="24" s="1"/>
  <c r="LP43" i="24"/>
  <c r="LP134" i="24"/>
  <c r="LP135" i="24"/>
  <c r="LP159" i="24"/>
  <c r="LP142" i="24"/>
  <c r="LP96" i="24"/>
  <c r="LP66" i="24"/>
  <c r="LP158" i="24"/>
  <c r="LP44" i="24"/>
  <c r="LP133" i="24"/>
  <c r="LP126" i="24"/>
  <c r="LP47" i="24"/>
  <c r="LP156" i="24"/>
  <c r="LP70" i="24"/>
  <c r="LP120" i="24"/>
  <c r="LP119" i="24"/>
  <c r="LP78" i="24"/>
  <c r="LP127" i="24"/>
  <c r="LP157" i="24"/>
  <c r="LP54" i="24"/>
  <c r="LP59" i="24"/>
  <c r="LT59" i="24" s="1"/>
  <c r="LP91" i="24"/>
  <c r="LT91" i="24" s="1"/>
  <c r="LP77" i="24"/>
  <c r="LP68" i="24"/>
  <c r="LP148" i="24"/>
  <c r="LP116" i="24"/>
  <c r="LP136" i="24"/>
  <c r="LP106" i="24"/>
  <c r="LP115" i="24"/>
  <c r="LP108" i="24"/>
  <c r="LP56" i="24"/>
  <c r="LP132" i="24"/>
  <c r="LP143" i="24"/>
  <c r="LP100" i="24"/>
  <c r="LT100" i="24" s="1"/>
  <c r="LP88" i="24"/>
  <c r="LP90" i="24"/>
  <c r="LP131" i="24"/>
  <c r="LP45" i="24"/>
  <c r="LP160" i="24"/>
  <c r="LP73" i="24"/>
  <c r="LP129" i="24"/>
  <c r="LP97" i="24"/>
  <c r="LP105" i="24"/>
  <c r="LP107" i="24"/>
  <c r="LP109" i="24"/>
  <c r="HP80" i="24"/>
  <c r="GI60" i="24"/>
  <c r="GL62" i="24"/>
  <c r="GK78" i="24"/>
  <c r="GK46" i="24"/>
  <c r="GL47" i="24"/>
  <c r="GH55" i="24"/>
  <c r="GI55" i="24"/>
  <c r="GI53" i="24"/>
  <c r="GH73" i="24"/>
  <c r="GK56" i="24"/>
  <c r="GH67" i="24"/>
  <c r="GL42" i="24"/>
  <c r="GJ70" i="24"/>
  <c r="GK55" i="24"/>
  <c r="GN40" i="24"/>
  <c r="GH79" i="24"/>
  <c r="GI58" i="24"/>
  <c r="GN48" i="24"/>
  <c r="GH54" i="24"/>
  <c r="GK76" i="24"/>
  <c r="GK51" i="24"/>
  <c r="GN83" i="24"/>
  <c r="GK49" i="24"/>
  <c r="GL77" i="24"/>
  <c r="GK71" i="24"/>
  <c r="GH53" i="24"/>
  <c r="GI57" i="24"/>
  <c r="GJ82" i="24"/>
  <c r="GJ57" i="24"/>
  <c r="GI81" i="24"/>
  <c r="GH42" i="24"/>
  <c r="GI72" i="24"/>
  <c r="GK65" i="24"/>
  <c r="GH81" i="24"/>
  <c r="GN52" i="24"/>
  <c r="GI40" i="24"/>
  <c r="GJ48" i="24"/>
  <c r="GJ83" i="24"/>
  <c r="GN81" i="24"/>
  <c r="GI77" i="24"/>
  <c r="GK43" i="24"/>
  <c r="GN43" i="24"/>
  <c r="GH82" i="24"/>
  <c r="GH83" i="24"/>
  <c r="GK72" i="24"/>
  <c r="GN53" i="24"/>
  <c r="GJ80" i="24"/>
  <c r="GJ52" i="24"/>
  <c r="GI63" i="24"/>
  <c r="GL60" i="24"/>
  <c r="GH60" i="24"/>
  <c r="GH46" i="24"/>
  <c r="GK63" i="24"/>
  <c r="GN47" i="24"/>
  <c r="GH62" i="24"/>
  <c r="GH44" i="24"/>
  <c r="GH61" i="24"/>
  <c r="GI52" i="24"/>
  <c r="GK52" i="24"/>
  <c r="GI44" i="24"/>
  <c r="GL76" i="24"/>
  <c r="GH49" i="24"/>
  <c r="GK42" i="24"/>
  <c r="GL49" i="24"/>
  <c r="GL61" i="24"/>
  <c r="GH48" i="24"/>
  <c r="GH52" i="24"/>
  <c r="GN51" i="24"/>
  <c r="GJ40" i="24"/>
  <c r="GH51" i="24"/>
  <c r="GL73" i="24"/>
  <c r="GL57" i="24"/>
  <c r="GH80" i="24"/>
  <c r="GK79" i="24"/>
  <c r="GJ65" i="24"/>
  <c r="GN79" i="24"/>
  <c r="GI65" i="24"/>
  <c r="GI42" i="24"/>
  <c r="GN77" i="24"/>
  <c r="GJ53" i="24"/>
  <c r="GI76" i="24"/>
  <c r="GL80" i="24"/>
  <c r="GN61" i="24"/>
  <c r="GJ51" i="24"/>
  <c r="GK81" i="24"/>
  <c r="GJ42" i="24"/>
  <c r="GL55" i="24"/>
  <c r="GJ77" i="24"/>
  <c r="GN49" i="24"/>
  <c r="GH72" i="24"/>
  <c r="GH50" i="24"/>
  <c r="GK57" i="24"/>
  <c r="GJ76" i="24"/>
  <c r="GH70" i="24"/>
  <c r="GI49" i="24"/>
  <c r="GJ73" i="24"/>
  <c r="GN50" i="24"/>
  <c r="GK80" i="24"/>
  <c r="GI48" i="24"/>
  <c r="GI83" i="24"/>
  <c r="GJ45" i="24"/>
  <c r="GH45" i="24"/>
  <c r="GJ49" i="24"/>
  <c r="GN72" i="24"/>
  <c r="GN63" i="24"/>
  <c r="GL53" i="24"/>
  <c r="GN73" i="24"/>
  <c r="GN82" i="24"/>
  <c r="GJ55" i="24"/>
  <c r="GI73" i="24"/>
  <c r="GI79" i="24"/>
  <c r="GH77" i="24"/>
  <c r="GJ44" i="24"/>
  <c r="GK40" i="24"/>
  <c r="GJ81" i="24"/>
  <c r="GH76" i="24"/>
  <c r="GN84" i="24"/>
  <c r="GK70" i="24"/>
  <c r="GI82" i="24"/>
  <c r="GJ72" i="24"/>
  <c r="GK48" i="24"/>
  <c r="GH57" i="24"/>
  <c r="GK77" i="24"/>
  <c r="GK73" i="24"/>
  <c r="GN76" i="24"/>
  <c r="GL70" i="24"/>
  <c r="GN80" i="24"/>
  <c r="GI46" i="24"/>
  <c r="GH63" i="24"/>
  <c r="GJ63" i="24"/>
  <c r="GN78" i="24"/>
  <c r="GI80" i="24"/>
  <c r="GL48" i="24"/>
  <c r="GL40" i="24"/>
  <c r="GH65" i="24"/>
  <c r="GJ43" i="24"/>
  <c r="GK53" i="24"/>
  <c r="GN74" i="24"/>
  <c r="GK83" i="24"/>
  <c r="GI70" i="24"/>
  <c r="GN42" i="24"/>
  <c r="GN71" i="24"/>
  <c r="GK44" i="24"/>
  <c r="GL83" i="24"/>
  <c r="GL72" i="24"/>
  <c r="GN70" i="24"/>
  <c r="GH40" i="24"/>
  <c r="GJ78" i="24"/>
  <c r="GL65" i="24"/>
  <c r="GI51" i="24"/>
  <c r="GL51" i="24"/>
  <c r="GN57" i="24"/>
  <c r="GL68" i="24"/>
  <c r="GN55" i="24"/>
  <c r="GK45" i="24"/>
  <c r="GN45" i="24"/>
  <c r="GL44" i="24"/>
  <c r="GN65" i="24"/>
  <c r="GL81" i="24"/>
  <c r="GL79" i="24"/>
  <c r="GJ79" i="24"/>
  <c r="GN44" i="24"/>
  <c r="GL52" i="24"/>
  <c r="GK82" i="24"/>
  <c r="GL82" i="24"/>
  <c r="FZ84" i="24"/>
  <c r="FV66" i="24"/>
  <c r="FW68" i="24"/>
  <c r="FX41" i="24"/>
  <c r="FV58" i="24"/>
  <c r="FX75" i="24"/>
  <c r="FX68" i="24"/>
  <c r="FY74" i="24"/>
  <c r="FY54" i="24"/>
  <c r="FV75" i="24"/>
  <c r="FW66" i="24"/>
  <c r="FZ75" i="24"/>
  <c r="GB58" i="24"/>
  <c r="FX61" i="24"/>
  <c r="FZ74" i="24"/>
  <c r="FX67" i="24"/>
  <c r="FW61" i="24"/>
  <c r="FY50" i="24"/>
  <c r="FX66" i="24"/>
  <c r="FY47" i="24"/>
  <c r="FZ45" i="24"/>
  <c r="FZ58" i="24"/>
  <c r="GB68" i="24"/>
  <c r="FY61" i="24"/>
  <c r="FY41" i="24"/>
  <c r="GB54" i="24"/>
  <c r="FV41" i="24"/>
  <c r="FV69" i="24"/>
  <c r="FY64" i="24"/>
  <c r="FV74" i="24"/>
  <c r="FV64" i="24"/>
  <c r="GB67" i="24"/>
  <c r="FZ66" i="24"/>
  <c r="FZ59" i="24"/>
  <c r="FV68" i="24"/>
  <c r="FY69" i="24"/>
  <c r="FW59" i="24"/>
  <c r="FW75" i="24"/>
  <c r="FX58" i="24"/>
  <c r="GB69" i="24"/>
  <c r="FZ64" i="24"/>
  <c r="FX54" i="24"/>
  <c r="FY75" i="24"/>
  <c r="FW45" i="24"/>
  <c r="FY66" i="24"/>
  <c r="FY58" i="24"/>
  <c r="FY68" i="24"/>
  <c r="FX64" i="24"/>
  <c r="FY67" i="24"/>
  <c r="FZ56" i="24"/>
  <c r="FW64" i="24"/>
  <c r="GB41" i="24"/>
  <c r="FW54" i="24"/>
  <c r="FV84" i="24"/>
  <c r="FV56" i="24"/>
  <c r="FW74" i="24"/>
  <c r="FX84" i="24"/>
  <c r="FW69" i="24"/>
  <c r="FW43" i="24"/>
  <c r="FY84" i="24"/>
  <c r="GB56" i="24"/>
  <c r="FW41" i="24"/>
  <c r="FW84" i="24"/>
  <c r="FZ43" i="24"/>
  <c r="FZ50" i="24"/>
  <c r="GB75" i="24"/>
  <c r="FW71" i="24"/>
  <c r="FZ69" i="24"/>
  <c r="FX71" i="24"/>
  <c r="FV71" i="24"/>
  <c r="FY59" i="24"/>
  <c r="FW50" i="24"/>
  <c r="FX50" i="24"/>
  <c r="FX69" i="24"/>
  <c r="FZ41" i="24"/>
  <c r="FV59" i="24"/>
  <c r="GB66" i="24"/>
  <c r="FW56" i="24"/>
  <c r="FW67" i="24"/>
  <c r="FZ71" i="24"/>
  <c r="FZ67" i="24"/>
  <c r="FX59" i="24"/>
  <c r="FZ54" i="24"/>
  <c r="GB64" i="24"/>
  <c r="FX74" i="24"/>
  <c r="FX56" i="24"/>
  <c r="FV43" i="24"/>
  <c r="GB59" i="24"/>
  <c r="GI54" i="24" l="1"/>
  <c r="GJ64" i="24"/>
  <c r="GK68" i="24"/>
  <c r="GL45" i="24"/>
  <c r="GK47" i="24"/>
  <c r="GR47" i="24" s="1"/>
  <c r="GZ47" i="24" s="1"/>
  <c r="GL67" i="24"/>
  <c r="GK59" i="24"/>
  <c r="GK58" i="24"/>
  <c r="GJ74" i="24"/>
  <c r="GK64" i="24"/>
  <c r="GJ68" i="24"/>
  <c r="GY68" i="24" s="1"/>
  <c r="GK84" i="24"/>
  <c r="GK75" i="24"/>
  <c r="GL84" i="24"/>
  <c r="GH84" i="24"/>
  <c r="GJ61" i="24"/>
  <c r="GY61" i="24" s="1"/>
  <c r="GN58" i="24"/>
  <c r="GN64" i="24"/>
  <c r="GN59" i="24"/>
  <c r="HC59" i="24" s="1"/>
  <c r="GN75" i="24"/>
  <c r="GN56" i="24"/>
  <c r="GK41" i="24"/>
  <c r="GL75" i="24"/>
  <c r="GI61" i="24"/>
  <c r="GJ67" i="24"/>
  <c r="GJ41" i="24"/>
  <c r="GY41" i="24" s="1"/>
  <c r="GI67" i="24"/>
  <c r="GL43" i="24"/>
  <c r="HA43" i="24" s="1"/>
  <c r="GL64" i="24"/>
  <c r="GK61" i="24"/>
  <c r="GK50" i="24"/>
  <c r="GR50" i="24" s="1"/>
  <c r="GZ50" i="24" s="1"/>
  <c r="GI45" i="24"/>
  <c r="GX45" i="24" s="1"/>
  <c r="GJ75" i="24"/>
  <c r="GI68" i="24"/>
  <c r="GI43" i="24"/>
  <c r="GX43" i="24" s="1"/>
  <c r="GL54" i="24"/>
  <c r="HA54" i="24" s="1"/>
  <c r="GL59" i="24"/>
  <c r="GI41" i="24"/>
  <c r="GL41" i="24"/>
  <c r="HA41" i="24" s="1"/>
  <c r="GL58" i="24"/>
  <c r="GJ59" i="24"/>
  <c r="GN54" i="24"/>
  <c r="GH58" i="24"/>
  <c r="GR58" i="24" s="1"/>
  <c r="GZ58" i="24" s="1"/>
  <c r="GI74" i="24"/>
  <c r="GX74" i="24" s="1"/>
  <c r="GN68" i="24"/>
  <c r="GN67" i="24"/>
  <c r="HC67" i="24" s="1"/>
  <c r="GN69" i="24"/>
  <c r="HC69" i="24" s="1"/>
  <c r="GN66" i="24"/>
  <c r="HC66" i="24" s="1"/>
  <c r="GI71" i="24"/>
  <c r="GH68" i="24"/>
  <c r="GJ66" i="24"/>
  <c r="GY66" i="24" s="1"/>
  <c r="GL56" i="24"/>
  <c r="HA56" i="24" s="1"/>
  <c r="GI66" i="24"/>
  <c r="GX66" i="24" s="1"/>
  <c r="GJ69" i="24"/>
  <c r="GY69" i="24" s="1"/>
  <c r="GH71" i="24"/>
  <c r="GI59" i="24"/>
  <c r="GJ71" i="24"/>
  <c r="GI69" i="24"/>
  <c r="GX69" i="24" s="1"/>
  <c r="GK74" i="24"/>
  <c r="GH66" i="24"/>
  <c r="GN41" i="24"/>
  <c r="GI64" i="24"/>
  <c r="GH43" i="24"/>
  <c r="GR43" i="24" s="1"/>
  <c r="GZ43" i="24" s="1"/>
  <c r="GK66" i="24"/>
  <c r="GH64" i="24"/>
  <c r="GK54" i="24"/>
  <c r="GJ54" i="24"/>
  <c r="GY54" i="24" s="1"/>
  <c r="GH74" i="24"/>
  <c r="GJ56" i="24"/>
  <c r="GY56" i="24" s="1"/>
  <c r="GH41" i="24"/>
  <c r="GK67" i="24"/>
  <c r="GR67" i="24" s="1"/>
  <c r="GZ67" i="24" s="1"/>
  <c r="GJ50" i="24"/>
  <c r="GY50" i="24" s="1"/>
  <c r="GJ84" i="24"/>
  <c r="GL74" i="24"/>
  <c r="HA74" i="24" s="1"/>
  <c r="GH75" i="24"/>
  <c r="GR75" i="24" s="1"/>
  <c r="GZ75" i="24" s="1"/>
  <c r="GH56" i="24"/>
  <c r="GI56" i="24"/>
  <c r="GK69" i="24"/>
  <c r="GI50" i="24"/>
  <c r="GX50" i="24" s="1"/>
  <c r="GJ58" i="24"/>
  <c r="GY58" i="24" s="1"/>
  <c r="GH69" i="24"/>
  <c r="GL50" i="24"/>
  <c r="GI84" i="24"/>
  <c r="GH59" i="24"/>
  <c r="GI75" i="24"/>
  <c r="GL71" i="24"/>
  <c r="LT45" i="24"/>
  <c r="LT109" i="24"/>
  <c r="LT133" i="24"/>
  <c r="LT47" i="24"/>
  <c r="LT160" i="24"/>
  <c r="LT158" i="24"/>
  <c r="LT73" i="24"/>
  <c r="LT136" i="24"/>
  <c r="LT120" i="24"/>
  <c r="GS78" i="24"/>
  <c r="LE78" i="24" s="1"/>
  <c r="LG78" i="24" s="1"/>
  <c r="GY63" i="24"/>
  <c r="GR63" i="24"/>
  <c r="GZ63" i="24" s="1"/>
  <c r="GS63" i="24"/>
  <c r="LE63" i="24" s="1"/>
  <c r="LG63" i="24" s="1"/>
  <c r="GX46" i="24"/>
  <c r="HC63" i="24"/>
  <c r="GS62" i="24"/>
  <c r="HF62" i="24" s="1"/>
  <c r="GR62" i="24"/>
  <c r="GZ62" i="24" s="1"/>
  <c r="HC47" i="24"/>
  <c r="GR46" i="24"/>
  <c r="GZ46" i="24" s="1"/>
  <c r="GQ46" i="24"/>
  <c r="GS46" i="24"/>
  <c r="HF46" i="24" s="1"/>
  <c r="GR60" i="24"/>
  <c r="GZ60" i="24" s="1"/>
  <c r="GS60" i="24"/>
  <c r="HF60" i="24" s="1"/>
  <c r="HA60" i="24"/>
  <c r="GX63" i="24"/>
  <c r="GS47" i="24"/>
  <c r="LE47" i="24" s="1"/>
  <c r="LG47" i="24" s="1"/>
  <c r="HA47" i="24"/>
  <c r="GR78" i="24"/>
  <c r="GZ78" i="24" s="1"/>
  <c r="HA62" i="24"/>
  <c r="GX60" i="24"/>
  <c r="LT85" i="24"/>
  <c r="LT62" i="24"/>
  <c r="LT68" i="24"/>
  <c r="LT154" i="24"/>
  <c r="LT124" i="24"/>
  <c r="LT129" i="24"/>
  <c r="LT143" i="24"/>
  <c r="LT57" i="24"/>
  <c r="LT88" i="24"/>
  <c r="LT103" i="24"/>
  <c r="LT97" i="24"/>
  <c r="LT116" i="24"/>
  <c r="LT127" i="24"/>
  <c r="LT92" i="24"/>
  <c r="LT54" i="24"/>
  <c r="LT64" i="24"/>
  <c r="LT138" i="24"/>
  <c r="LT70" i="24"/>
  <c r="LT132" i="24"/>
  <c r="LT51" i="24"/>
  <c r="LT79" i="24"/>
  <c r="LT90" i="24"/>
  <c r="LT148" i="24"/>
  <c r="LT56" i="24"/>
  <c r="LT66" i="24"/>
  <c r="LT111" i="24"/>
  <c r="LT50" i="24"/>
  <c r="LT101" i="24"/>
  <c r="LT145" i="24"/>
  <c r="LT78" i="24"/>
  <c r="LT140" i="24"/>
  <c r="LT152" i="24"/>
  <c r="LT119" i="24"/>
  <c r="LT115" i="24"/>
  <c r="LT42" i="24"/>
  <c r="LT105" i="24"/>
  <c r="LT157" i="24"/>
  <c r="LT77" i="24"/>
  <c r="LT123" i="24"/>
  <c r="LT121" i="24"/>
  <c r="LT131" i="24"/>
  <c r="LT81" i="24"/>
  <c r="HC72" i="24"/>
  <c r="GX49" i="24"/>
  <c r="GQ40" i="24"/>
  <c r="GS40" i="24"/>
  <c r="GR40" i="24"/>
  <c r="GW40" i="24" s="1"/>
  <c r="GS70" i="24"/>
  <c r="GR70" i="24"/>
  <c r="GZ70" i="24" s="1"/>
  <c r="GY48" i="24"/>
  <c r="HA70" i="24"/>
  <c r="GX40" i="24"/>
  <c r="HA52" i="24"/>
  <c r="GX67" i="24"/>
  <c r="HC52" i="24"/>
  <c r="GX71" i="24"/>
  <c r="GS81" i="24"/>
  <c r="GR81" i="24"/>
  <c r="GW81" i="24" s="1"/>
  <c r="HC44" i="24"/>
  <c r="HC70" i="24"/>
  <c r="GY49" i="24"/>
  <c r="HC56" i="24"/>
  <c r="GX72" i="24"/>
  <c r="GS72" i="24"/>
  <c r="GR72" i="24"/>
  <c r="GZ72" i="24" s="1"/>
  <c r="GS42" i="24"/>
  <c r="GQ42" i="24"/>
  <c r="GR42" i="24"/>
  <c r="GW42" i="24" s="1"/>
  <c r="HA72" i="24"/>
  <c r="HC49" i="24"/>
  <c r="GQ45" i="24"/>
  <c r="GR45" i="24"/>
  <c r="GZ45" i="24" s="1"/>
  <c r="GY57" i="24"/>
  <c r="GY52" i="24"/>
  <c r="HA55" i="24"/>
  <c r="GY42" i="24"/>
  <c r="GX57" i="24"/>
  <c r="GS53" i="24"/>
  <c r="GR53" i="24"/>
  <c r="GZ53" i="24" s="1"/>
  <c r="GS57" i="24"/>
  <c r="GR57" i="24"/>
  <c r="GZ57" i="24" s="1"/>
  <c r="HA58" i="24"/>
  <c r="GX64" i="24"/>
  <c r="GY51" i="24"/>
  <c r="HC68" i="24"/>
  <c r="HC65" i="24"/>
  <c r="GY45" i="24"/>
  <c r="HC61" i="24"/>
  <c r="GX56" i="24"/>
  <c r="GX59" i="24"/>
  <c r="HA71" i="24"/>
  <c r="GQ41" i="24"/>
  <c r="GR41" i="24"/>
  <c r="HA44" i="24"/>
  <c r="HC53" i="24"/>
  <c r="GY72" i="24"/>
  <c r="GY53" i="24"/>
  <c r="GS64" i="24"/>
  <c r="GR64" i="24"/>
  <c r="GZ64" i="24" s="1"/>
  <c r="GY64" i="24"/>
  <c r="GY71" i="24"/>
  <c r="GR56" i="24"/>
  <c r="GZ56" i="24" s="1"/>
  <c r="GX42" i="24"/>
  <c r="HC45" i="24"/>
  <c r="HC71" i="24"/>
  <c r="HC64" i="24"/>
  <c r="GX65" i="24"/>
  <c r="HC42" i="24"/>
  <c r="GX48" i="24"/>
  <c r="GY65" i="24"/>
  <c r="GS83" i="24"/>
  <c r="GR83" i="24"/>
  <c r="GW83" i="24" s="1"/>
  <c r="GR54" i="24"/>
  <c r="GZ54" i="24" s="1"/>
  <c r="HC55" i="24"/>
  <c r="GX41" i="24"/>
  <c r="GY59" i="24"/>
  <c r="HC48" i="24"/>
  <c r="HA64" i="24"/>
  <c r="GX70" i="24"/>
  <c r="GS80" i="24"/>
  <c r="GR80" i="24"/>
  <c r="GW80" i="24" s="1"/>
  <c r="GX58" i="24"/>
  <c r="HC54" i="24"/>
  <c r="HA57" i="24"/>
  <c r="GS79" i="24"/>
  <c r="GR79" i="24"/>
  <c r="GS76" i="24"/>
  <c r="GR76" i="24"/>
  <c r="GZ76" i="24" s="1"/>
  <c r="HA73" i="24"/>
  <c r="HC40" i="24"/>
  <c r="HA68" i="24"/>
  <c r="GS51" i="24"/>
  <c r="GR51" i="24"/>
  <c r="GZ51" i="24" s="1"/>
  <c r="GX68" i="24"/>
  <c r="HC57" i="24"/>
  <c r="GS82" i="24"/>
  <c r="GR82" i="24"/>
  <c r="GW82" i="24" s="1"/>
  <c r="GY40" i="24"/>
  <c r="GY70" i="24"/>
  <c r="HC50" i="24"/>
  <c r="HC51" i="24"/>
  <c r="HC74" i="24"/>
  <c r="GS52" i="24"/>
  <c r="GR52" i="24"/>
  <c r="GZ52" i="24" s="1"/>
  <c r="HA42" i="24"/>
  <c r="HA51" i="24"/>
  <c r="HA45" i="24"/>
  <c r="GQ48" i="24"/>
  <c r="GS48" i="24"/>
  <c r="GR48" i="24"/>
  <c r="GZ48" i="24" s="1"/>
  <c r="HA61" i="24"/>
  <c r="HA50" i="24"/>
  <c r="GX51" i="24"/>
  <c r="HA49" i="24"/>
  <c r="GQ43" i="24"/>
  <c r="HC41" i="24"/>
  <c r="GY44" i="24"/>
  <c r="HC43" i="24"/>
  <c r="GS73" i="24"/>
  <c r="GR73" i="24"/>
  <c r="GZ73" i="24" s="1"/>
  <c r="HA65" i="24"/>
  <c r="GY43" i="24"/>
  <c r="GS49" i="24"/>
  <c r="GR49" i="24"/>
  <c r="GZ49" i="24" s="1"/>
  <c r="HC58" i="24"/>
  <c r="GS77" i="24"/>
  <c r="GR77" i="24"/>
  <c r="GZ77" i="24" s="1"/>
  <c r="GY73" i="24"/>
  <c r="GX53" i="24"/>
  <c r="GY74" i="24"/>
  <c r="GX55" i="24"/>
  <c r="GX73" i="24"/>
  <c r="GS65" i="24"/>
  <c r="GR65" i="24"/>
  <c r="GZ65" i="24" s="1"/>
  <c r="GX44" i="24"/>
  <c r="GX54" i="24"/>
  <c r="GY55" i="24"/>
  <c r="HA67" i="24"/>
  <c r="HA40" i="24"/>
  <c r="GX52" i="24"/>
  <c r="GS55" i="24"/>
  <c r="GR55" i="24"/>
  <c r="GZ55" i="24" s="1"/>
  <c r="HC73" i="24"/>
  <c r="GR61" i="24"/>
  <c r="GZ61" i="24" s="1"/>
  <c r="HA53" i="24"/>
  <c r="HA48" i="24"/>
  <c r="GY67" i="24"/>
  <c r="HA59" i="24"/>
  <c r="GS44" i="24"/>
  <c r="GQ44" i="24"/>
  <c r="GR44" i="24"/>
  <c r="GZ44" i="24" s="1"/>
  <c r="LT156" i="24"/>
  <c r="LT44" i="24"/>
  <c r="LT142" i="24"/>
  <c r="LT43" i="24"/>
  <c r="LT89" i="24"/>
  <c r="LT128" i="24"/>
  <c r="LT87" i="24"/>
  <c r="LT99" i="24"/>
  <c r="LT147" i="24"/>
  <c r="LT98" i="24"/>
  <c r="LT95" i="24"/>
  <c r="LT110" i="24"/>
  <c r="LT58" i="24"/>
  <c r="LT61" i="24"/>
  <c r="LT104" i="24"/>
  <c r="LT151" i="24"/>
  <c r="LT69" i="24"/>
  <c r="LT118" i="24"/>
  <c r="HQ81" i="24"/>
  <c r="HS87" i="24"/>
  <c r="HO87" i="24" s="1"/>
  <c r="HR85" i="24"/>
  <c r="HQ84" i="24"/>
  <c r="HR84" i="24"/>
  <c r="HS84" i="24"/>
  <c r="HS86" i="24"/>
  <c r="HS85" i="24"/>
  <c r="HR86" i="24"/>
  <c r="HQ85" i="24"/>
  <c r="HQ82" i="24"/>
  <c r="LT106" i="24"/>
  <c r="LT107" i="24"/>
  <c r="LT159" i="24"/>
  <c r="LT72" i="24"/>
  <c r="LT53" i="24"/>
  <c r="LT149" i="24"/>
  <c r="LT150" i="24"/>
  <c r="LT76" i="24"/>
  <c r="LT141" i="24"/>
  <c r="LT49" i="24"/>
  <c r="LT153" i="24"/>
  <c r="LT114" i="24"/>
  <c r="LT112" i="24"/>
  <c r="LT83" i="24"/>
  <c r="LT84" i="24"/>
  <c r="LT67" i="24"/>
  <c r="LT48" i="24"/>
  <c r="LT146" i="24"/>
  <c r="LT102" i="24"/>
  <c r="LT126" i="24"/>
  <c r="LT135" i="24"/>
  <c r="LT71" i="24"/>
  <c r="LT55" i="24"/>
  <c r="LT155" i="24"/>
  <c r="LT63" i="24"/>
  <c r="LT86" i="24"/>
  <c r="LT130" i="24"/>
  <c r="LT65" i="24"/>
  <c r="LT122" i="24"/>
  <c r="LT144" i="24"/>
  <c r="LT93" i="24"/>
  <c r="LT139" i="24"/>
  <c r="LT125" i="24"/>
  <c r="HQ83" i="24"/>
  <c r="HS83" i="24"/>
  <c r="HR83" i="24"/>
  <c r="HR41" i="24"/>
  <c r="HS41" i="24"/>
  <c r="HQ41" i="24"/>
  <c r="GU42" i="24"/>
  <c r="HP42" i="24"/>
  <c r="GV42" i="24"/>
  <c r="GT42" i="24"/>
  <c r="GE43" i="24"/>
  <c r="LT108" i="24"/>
  <c r="LT96" i="24"/>
  <c r="LT134" i="24"/>
  <c r="LT46" i="24"/>
  <c r="LT41" i="24"/>
  <c r="LT39" i="24"/>
  <c r="LT52" i="24"/>
  <c r="LT137" i="24"/>
  <c r="LT74" i="24"/>
  <c r="LT80" i="24"/>
  <c r="HR82" i="24"/>
  <c r="GL69" i="24"/>
  <c r="GL66" i="24"/>
  <c r="GS71" i="24" l="1"/>
  <c r="HF71" i="24" s="1"/>
  <c r="GS67" i="24"/>
  <c r="HF67" i="24" s="1"/>
  <c r="GR71" i="24"/>
  <c r="GZ71" i="24" s="1"/>
  <c r="GS41" i="24"/>
  <c r="GR68" i="24"/>
  <c r="GZ68" i="24" s="1"/>
  <c r="GR74" i="24"/>
  <c r="GZ74" i="24" s="1"/>
  <c r="GR84" i="24"/>
  <c r="GW84" i="24" s="1"/>
  <c r="GQ47" i="24"/>
  <c r="GS68" i="24"/>
  <c r="GS59" i="24"/>
  <c r="HF59" i="24" s="1"/>
  <c r="GS74" i="24"/>
  <c r="HF74" i="24" s="1"/>
  <c r="GS56" i="24"/>
  <c r="GR66" i="24"/>
  <c r="GZ66" i="24" s="1"/>
  <c r="GS61" i="24"/>
  <c r="HF61" i="24" s="1"/>
  <c r="GS75" i="24"/>
  <c r="LE75" i="24" s="1"/>
  <c r="LG75" i="24" s="1"/>
  <c r="GS43" i="24"/>
  <c r="GX61" i="24"/>
  <c r="GS84" i="24"/>
  <c r="LE84" i="24" s="1"/>
  <c r="LG84" i="24" s="1"/>
  <c r="GS54" i="24"/>
  <c r="LE54" i="24" s="1"/>
  <c r="LG54" i="24" s="1"/>
  <c r="GR59" i="24"/>
  <c r="GZ59" i="24" s="1"/>
  <c r="GS45" i="24"/>
  <c r="LE45" i="24" s="1"/>
  <c r="LG45" i="24" s="1"/>
  <c r="GS58" i="24"/>
  <c r="LE58" i="24" s="1"/>
  <c r="LG58" i="24" s="1"/>
  <c r="GS50" i="24"/>
  <c r="HF50" i="24" s="1"/>
  <c r="GR69" i="24"/>
  <c r="GZ69" i="24" s="1"/>
  <c r="HF78" i="24"/>
  <c r="LE60" i="24"/>
  <c r="LG60" i="24" s="1"/>
  <c r="LE62" i="24"/>
  <c r="LG62" i="24" s="1"/>
  <c r="HF47" i="24"/>
  <c r="LE46" i="24"/>
  <c r="LG46" i="24" s="1"/>
  <c r="HF63" i="24"/>
  <c r="HA66" i="24"/>
  <c r="GS66" i="24"/>
  <c r="HA69" i="24"/>
  <c r="GS69" i="24"/>
  <c r="GZ40" i="24"/>
  <c r="GZ42" i="24"/>
  <c r="GZ81" i="24"/>
  <c r="GZ80" i="24"/>
  <c r="HO86" i="24"/>
  <c r="HO84" i="24"/>
  <c r="GZ83" i="24"/>
  <c r="HQ42" i="24"/>
  <c r="HS42" i="24"/>
  <c r="HR42" i="24"/>
  <c r="HO85" i="24"/>
  <c r="LE55" i="24"/>
  <c r="LG55" i="24" s="1"/>
  <c r="HF55" i="24"/>
  <c r="HF65" i="24"/>
  <c r="LE65" i="24"/>
  <c r="LG65" i="24" s="1"/>
  <c r="HF77" i="24"/>
  <c r="LE77" i="24"/>
  <c r="LG77" i="24" s="1"/>
  <c r="LE67" i="24"/>
  <c r="LG67" i="24" s="1"/>
  <c r="LE52" i="24"/>
  <c r="LG52" i="24" s="1"/>
  <c r="HF52" i="24"/>
  <c r="LE82" i="24"/>
  <c r="LG82" i="24" s="1"/>
  <c r="HF82" i="24"/>
  <c r="LE59" i="24"/>
  <c r="LG59" i="24" s="1"/>
  <c r="LE50" i="24"/>
  <c r="LG50" i="24" s="1"/>
  <c r="LE40" i="24"/>
  <c r="LG40" i="24" s="1"/>
  <c r="HF40" i="24"/>
  <c r="GE44" i="24"/>
  <c r="GU43" i="24"/>
  <c r="GV43" i="24"/>
  <c r="GT43" i="24"/>
  <c r="HP43" i="24"/>
  <c r="GW43" i="24"/>
  <c r="LE71" i="24"/>
  <c r="LG71" i="24" s="1"/>
  <c r="LE76" i="24"/>
  <c r="LG76" i="24" s="1"/>
  <c r="HF76" i="24"/>
  <c r="GZ84" i="24"/>
  <c r="HF83" i="24"/>
  <c r="LE83" i="24"/>
  <c r="LG83" i="24" s="1"/>
  <c r="GZ41" i="24"/>
  <c r="GW41" i="24"/>
  <c r="HF57" i="24"/>
  <c r="LE57" i="24"/>
  <c r="LG57" i="24" s="1"/>
  <c r="HF45" i="24"/>
  <c r="HF42" i="24"/>
  <c r="LE42" i="24"/>
  <c r="LG42" i="24" s="1"/>
  <c r="LE74" i="24"/>
  <c r="LG74" i="24" s="1"/>
  <c r="HF70" i="24"/>
  <c r="LE70" i="24"/>
  <c r="LG70" i="24" s="1"/>
  <c r="HO83" i="24"/>
  <c r="LE48" i="24"/>
  <c r="LG48" i="24" s="1"/>
  <c r="HF48" i="24"/>
  <c r="LE51" i="24"/>
  <c r="LG51" i="24" s="1"/>
  <c r="HF51" i="24"/>
  <c r="HF80" i="24"/>
  <c r="LE80" i="24"/>
  <c r="LG80" i="24" s="1"/>
  <c r="HF54" i="24"/>
  <c r="HF41" i="24"/>
  <c r="LE41" i="24"/>
  <c r="LG41" i="24" s="1"/>
  <c r="HF81" i="24"/>
  <c r="LE81" i="24"/>
  <c r="LG81" i="24" s="1"/>
  <c r="GZ82" i="24"/>
  <c r="LW105" i="24"/>
  <c r="LW122" i="24"/>
  <c r="LW138" i="24"/>
  <c r="LW90" i="24"/>
  <c r="LW98" i="24"/>
  <c r="LW57" i="24"/>
  <c r="LW116" i="24"/>
  <c r="LW129" i="24"/>
  <c r="LW96" i="24"/>
  <c r="LW64" i="24"/>
  <c r="LW68" i="24"/>
  <c r="LW119" i="24"/>
  <c r="LW134" i="24"/>
  <c r="LW78" i="24"/>
  <c r="LW114" i="24"/>
  <c r="LW112" i="24"/>
  <c r="LW120" i="24"/>
  <c r="LW104" i="24"/>
  <c r="LW65" i="24"/>
  <c r="LW81" i="24"/>
  <c r="LW161" i="24"/>
  <c r="LZ161" i="24" s="1"/>
  <c r="LW86" i="24"/>
  <c r="LW147" i="24"/>
  <c r="LW41" i="24"/>
  <c r="LW153" i="24"/>
  <c r="LW151" i="24"/>
  <c r="LW99" i="24"/>
  <c r="LW58" i="24"/>
  <c r="LW62" i="24"/>
  <c r="LW77" i="24"/>
  <c r="LZ77" i="24" s="1"/>
  <c r="LW54" i="24"/>
  <c r="LW108" i="24"/>
  <c r="LW141" i="24"/>
  <c r="LW137" i="24"/>
  <c r="LW159" i="24"/>
  <c r="LW50" i="24"/>
  <c r="LW144" i="24"/>
  <c r="LW43" i="24"/>
  <c r="LW42" i="24"/>
  <c r="LW91" i="24"/>
  <c r="LW79" i="24"/>
  <c r="LW53" i="24"/>
  <c r="LW109" i="24"/>
  <c r="LW61" i="24"/>
  <c r="LW60" i="24"/>
  <c r="LW82" i="24"/>
  <c r="LW44" i="24"/>
  <c r="LW117" i="24"/>
  <c r="LW126" i="24"/>
  <c r="LW158" i="24"/>
  <c r="LW94" i="24"/>
  <c r="LW115" i="24"/>
  <c r="LW107" i="24"/>
  <c r="LW132" i="24"/>
  <c r="LW149" i="24"/>
  <c r="LW92" i="24"/>
  <c r="LW101" i="24"/>
  <c r="LW124" i="24"/>
  <c r="LW146" i="24"/>
  <c r="LZ146" i="24" s="1"/>
  <c r="LW88" i="24"/>
  <c r="LW143" i="24"/>
  <c r="LZ143" i="24" s="1"/>
  <c r="LW73" i="24"/>
  <c r="LW40" i="24"/>
  <c r="LW83" i="24"/>
  <c r="LW123" i="24"/>
  <c r="LW125" i="24"/>
  <c r="LW155" i="24"/>
  <c r="LW46" i="24"/>
  <c r="LW97" i="24"/>
  <c r="LW131" i="24"/>
  <c r="LW103" i="24"/>
  <c r="LW70" i="24"/>
  <c r="LW157" i="24"/>
  <c r="LW150" i="24"/>
  <c r="LZ150" i="24" s="1"/>
  <c r="LW55" i="24"/>
  <c r="LW45" i="24"/>
  <c r="LW140" i="24"/>
  <c r="LW106" i="24"/>
  <c r="LW80" i="24"/>
  <c r="LW113" i="24"/>
  <c r="LW52" i="24"/>
  <c r="LW102" i="24"/>
  <c r="LW59" i="24"/>
  <c r="LW51" i="24"/>
  <c r="LW135" i="24"/>
  <c r="LW142" i="24"/>
  <c r="LW72" i="24"/>
  <c r="LW111" i="24"/>
  <c r="LW136" i="24"/>
  <c r="LW152" i="24"/>
  <c r="LW133" i="24"/>
  <c r="LW127" i="24"/>
  <c r="LW118" i="24"/>
  <c r="LW69" i="24"/>
  <c r="LW89" i="24"/>
  <c r="LW156" i="24"/>
  <c r="LW67" i="24"/>
  <c r="LW74" i="24"/>
  <c r="LW93" i="24"/>
  <c r="LW48" i="24"/>
  <c r="LW148" i="24"/>
  <c r="LW100" i="24"/>
  <c r="LW39" i="24"/>
  <c r="LW47" i="24"/>
  <c r="LW110" i="24"/>
  <c r="LW75" i="24"/>
  <c r="LW66" i="24"/>
  <c r="LW71" i="24"/>
  <c r="LW128" i="24"/>
  <c r="LW154" i="24"/>
  <c r="LW56" i="24"/>
  <c r="LW130" i="24"/>
  <c r="LW87" i="24"/>
  <c r="LW160" i="24"/>
  <c r="LW139" i="24"/>
  <c r="LW84" i="24"/>
  <c r="LW85" i="24"/>
  <c r="LW121" i="24"/>
  <c r="LW49" i="24"/>
  <c r="LW95" i="24"/>
  <c r="LW145" i="24"/>
  <c r="LW63" i="24"/>
  <c r="LZ63" i="24" s="1"/>
  <c r="LW76" i="24"/>
  <c r="LE44" i="24"/>
  <c r="LG44" i="24" s="1"/>
  <c r="HF44" i="24"/>
  <c r="LE49" i="24"/>
  <c r="LG49" i="24" s="1"/>
  <c r="HF49" i="24"/>
  <c r="HF73" i="24"/>
  <c r="LE73" i="24"/>
  <c r="LG73" i="24" s="1"/>
  <c r="LE43" i="24"/>
  <c r="LG43" i="24" s="1"/>
  <c r="HF43" i="24"/>
  <c r="HM82" i="24"/>
  <c r="HF79" i="24"/>
  <c r="LE79" i="24"/>
  <c r="LG79" i="24" s="1"/>
  <c r="GZ79" i="24"/>
  <c r="HF56" i="24"/>
  <c r="LE56" i="24"/>
  <c r="LG56" i="24" s="1"/>
  <c r="LE64" i="24"/>
  <c r="LG64" i="24" s="1"/>
  <c r="HF64" i="24"/>
  <c r="LE53" i="24"/>
  <c r="LG53" i="24" s="1"/>
  <c r="HF53" i="24"/>
  <c r="HF72" i="24"/>
  <c r="LE72" i="24"/>
  <c r="LG72" i="24" s="1"/>
  <c r="HF68" i="24"/>
  <c r="LE68" i="24"/>
  <c r="LG68" i="24" s="1"/>
  <c r="HM40" i="24"/>
  <c r="HO40" i="24" s="1"/>
  <c r="HF75" i="24" l="1"/>
  <c r="LE61" i="24"/>
  <c r="LG61" i="24" s="1"/>
  <c r="HF58" i="24"/>
  <c r="HM42" i="24"/>
  <c r="HO42" i="24" s="1"/>
  <c r="LZ39" i="24"/>
  <c r="LZ121" i="24"/>
  <c r="LZ67" i="24"/>
  <c r="LZ93" i="24"/>
  <c r="LZ47" i="24"/>
  <c r="LZ140" i="24"/>
  <c r="LE69" i="24"/>
  <c r="LG69" i="24" s="1"/>
  <c r="HF69" i="24"/>
  <c r="HF66" i="24"/>
  <c r="LE66" i="24"/>
  <c r="LG66" i="24" s="1"/>
  <c r="LZ137" i="24"/>
  <c r="LZ111" i="24"/>
  <c r="LZ145" i="24"/>
  <c r="LZ113" i="24"/>
  <c r="LZ115" i="24"/>
  <c r="LZ87" i="24"/>
  <c r="LZ128" i="24"/>
  <c r="LZ118" i="24"/>
  <c r="LZ107" i="24"/>
  <c r="LZ49" i="24"/>
  <c r="LZ89" i="24"/>
  <c r="LZ80" i="24"/>
  <c r="LZ40" i="24"/>
  <c r="LZ45" i="24"/>
  <c r="LZ69" i="24"/>
  <c r="HM81" i="24"/>
  <c r="LZ104" i="24"/>
  <c r="LZ97" i="24"/>
  <c r="LZ131" i="24"/>
  <c r="HM80" i="24"/>
  <c r="LZ95" i="24"/>
  <c r="LZ133" i="24"/>
  <c r="LZ160" i="24"/>
  <c r="LZ100" i="24"/>
  <c r="LZ152" i="24"/>
  <c r="LZ156" i="24"/>
  <c r="LZ139" i="24"/>
  <c r="LZ59" i="24"/>
  <c r="LZ76" i="24"/>
  <c r="LZ56" i="24"/>
  <c r="LZ103" i="24"/>
  <c r="LZ85" i="24"/>
  <c r="LZ110" i="24"/>
  <c r="LZ52" i="24"/>
  <c r="LZ130" i="24"/>
  <c r="LZ157" i="24"/>
  <c r="LZ72" i="24"/>
  <c r="LZ142" i="24"/>
  <c r="LZ106" i="24"/>
  <c r="LZ125" i="24"/>
  <c r="LZ84" i="24"/>
  <c r="LZ51" i="24"/>
  <c r="LZ61" i="24"/>
  <c r="LZ66" i="24"/>
  <c r="LZ71" i="24"/>
  <c r="LZ154" i="24"/>
  <c r="LZ102" i="24"/>
  <c r="LZ158" i="24"/>
  <c r="LZ53" i="24"/>
  <c r="LZ148" i="24"/>
  <c r="LZ48" i="24"/>
  <c r="LZ127" i="24"/>
  <c r="LZ70" i="24"/>
  <c r="LZ46" i="24"/>
  <c r="LZ83" i="24"/>
  <c r="LZ88" i="24"/>
  <c r="LZ92" i="24"/>
  <c r="LZ117" i="24"/>
  <c r="LZ91" i="24"/>
  <c r="LZ50" i="24"/>
  <c r="LZ108" i="24"/>
  <c r="LZ58" i="24"/>
  <c r="LZ41" i="24"/>
  <c r="LZ81" i="24"/>
  <c r="LZ112" i="24"/>
  <c r="LZ129" i="24"/>
  <c r="LZ90" i="24"/>
  <c r="HM41" i="24"/>
  <c r="HO41" i="24" s="1"/>
  <c r="HS43" i="24"/>
  <c r="HQ43" i="24"/>
  <c r="HR43" i="24"/>
  <c r="GV44" i="24"/>
  <c r="GT44" i="24"/>
  <c r="GW44" i="24"/>
  <c r="GU44" i="24"/>
  <c r="HP44" i="24"/>
  <c r="GE45" i="24"/>
  <c r="LZ55" i="24"/>
  <c r="LZ155" i="24"/>
  <c r="LZ149" i="24"/>
  <c r="LZ94" i="24"/>
  <c r="LZ44" i="24"/>
  <c r="LZ109" i="24"/>
  <c r="LZ42" i="24"/>
  <c r="LZ159" i="24"/>
  <c r="LZ54" i="24"/>
  <c r="LZ99" i="24"/>
  <c r="LZ147" i="24"/>
  <c r="LZ65" i="24"/>
  <c r="LZ114" i="24"/>
  <c r="LZ68" i="24"/>
  <c r="LZ116" i="24"/>
  <c r="LZ138" i="24"/>
  <c r="HM43" i="24"/>
  <c r="HO43" i="24" s="1"/>
  <c r="LZ74" i="24"/>
  <c r="LZ75" i="24"/>
  <c r="LZ73" i="24"/>
  <c r="LZ124" i="24"/>
  <c r="LZ132" i="24"/>
  <c r="LZ82" i="24"/>
  <c r="LZ43" i="24"/>
  <c r="LZ151" i="24"/>
  <c r="LZ86" i="24"/>
  <c r="LZ78" i="24"/>
  <c r="LZ64" i="24"/>
  <c r="LZ57" i="24"/>
  <c r="LZ122" i="24"/>
  <c r="LZ135" i="24"/>
  <c r="LZ136" i="24"/>
  <c r="LZ123" i="24"/>
  <c r="LZ101" i="24"/>
  <c r="LZ126" i="24"/>
  <c r="LZ60" i="24"/>
  <c r="LZ79" i="24"/>
  <c r="LZ144" i="24"/>
  <c r="LZ141" i="24"/>
  <c r="LZ62" i="24"/>
  <c r="LZ153" i="24"/>
  <c r="LZ119" i="24"/>
  <c r="LZ120" i="24"/>
  <c r="LZ134" i="24"/>
  <c r="LZ96" i="24"/>
  <c r="LZ98" i="24"/>
  <c r="LZ105" i="24"/>
  <c r="MC63" i="24" l="1"/>
  <c r="ME63" i="24" s="1"/>
  <c r="MC85" i="24"/>
  <c r="ME85" i="24" s="1"/>
  <c r="MK85" i="24" s="1"/>
  <c r="MC49" i="24"/>
  <c r="ME49" i="24" s="1"/>
  <c r="MC145" i="24"/>
  <c r="ME145" i="24" s="1"/>
  <c r="MC99" i="24"/>
  <c r="ME99" i="24" s="1"/>
  <c r="MC76" i="24"/>
  <c r="ME76" i="24" s="1"/>
  <c r="MC123" i="24"/>
  <c r="ME123" i="24" s="1"/>
  <c r="MC73" i="24"/>
  <c r="ME73" i="24" s="1"/>
  <c r="MC101" i="24"/>
  <c r="ME101" i="24" s="1"/>
  <c r="MC150" i="24"/>
  <c r="ME150" i="24" s="1"/>
  <c r="MC57" i="24"/>
  <c r="ME57" i="24" s="1"/>
  <c r="MC56" i="24"/>
  <c r="ME56" i="24" s="1"/>
  <c r="MC67" i="24"/>
  <c r="ME67" i="24" s="1"/>
  <c r="MC113" i="24"/>
  <c r="ME113" i="24" s="1"/>
  <c r="MC75" i="24"/>
  <c r="ME75" i="24" s="1"/>
  <c r="MC61" i="24"/>
  <c r="ME61" i="24" s="1"/>
  <c r="MC116" i="24"/>
  <c r="ME116" i="24" s="1"/>
  <c r="MC74" i="24"/>
  <c r="ME74" i="24" s="1"/>
  <c r="MC55" i="24"/>
  <c r="ME55" i="24" s="1"/>
  <c r="MC77" i="24"/>
  <c r="ME77" i="24" s="1"/>
  <c r="MC92" i="24"/>
  <c r="ME92" i="24" s="1"/>
  <c r="MC50" i="24"/>
  <c r="ME50" i="24" s="1"/>
  <c r="MC135" i="24"/>
  <c r="ME135" i="24" s="1"/>
  <c r="MC144" i="24"/>
  <c r="ME144" i="24" s="1"/>
  <c r="MC90" i="24"/>
  <c r="ME90" i="24" s="1"/>
  <c r="MC142" i="24"/>
  <c r="ME142" i="24" s="1"/>
  <c r="MC54" i="24"/>
  <c r="ME54" i="24" s="1"/>
  <c r="MC147" i="24"/>
  <c r="ME147" i="24" s="1"/>
  <c r="MC108" i="24"/>
  <c r="ME108" i="24" s="1"/>
  <c r="MC70" i="24"/>
  <c r="ME70" i="24" s="1"/>
  <c r="MC122" i="24"/>
  <c r="ME122" i="24" s="1"/>
  <c r="MC119" i="24"/>
  <c r="ME119" i="24" s="1"/>
  <c r="MC98" i="24"/>
  <c r="ME98" i="24" s="1"/>
  <c r="MC58" i="24"/>
  <c r="ME58" i="24" s="1"/>
  <c r="MC125" i="24"/>
  <c r="ME125" i="24" s="1"/>
  <c r="MC84" i="24"/>
  <c r="ME84" i="24" s="1"/>
  <c r="MC59" i="24"/>
  <c r="ME59" i="24" s="1"/>
  <c r="MC117" i="24"/>
  <c r="ME117" i="24" s="1"/>
  <c r="MC88" i="24"/>
  <c r="ME88" i="24" s="1"/>
  <c r="MC156" i="24"/>
  <c r="ME156" i="24" s="1"/>
  <c r="MC133" i="24"/>
  <c r="ME133" i="24" s="1"/>
  <c r="MC121" i="24"/>
  <c r="ME121" i="24" s="1"/>
  <c r="MC39" i="24"/>
  <c r="ME39" i="24" s="1"/>
  <c r="MC105" i="24"/>
  <c r="ME105" i="24" s="1"/>
  <c r="MC81" i="24"/>
  <c r="ME81" i="24" s="1"/>
  <c r="MC149" i="24"/>
  <c r="ME149" i="24" s="1"/>
  <c r="MC118" i="24"/>
  <c r="ME118" i="24" s="1"/>
  <c r="MC51" i="24"/>
  <c r="ME51" i="24" s="1"/>
  <c r="MC114" i="24"/>
  <c r="ME114" i="24" s="1"/>
  <c r="MC112" i="24"/>
  <c r="ME112" i="24" s="1"/>
  <c r="MC152" i="24"/>
  <c r="ME152" i="24" s="1"/>
  <c r="MC109" i="24"/>
  <c r="ME109" i="24" s="1"/>
  <c r="MC100" i="24"/>
  <c r="ME100" i="24" s="1"/>
  <c r="MC107" i="24"/>
  <c r="ME107" i="24" s="1"/>
  <c r="MC128" i="24"/>
  <c r="ME128" i="24" s="1"/>
  <c r="MC103" i="24"/>
  <c r="ME103" i="24" s="1"/>
  <c r="MC129" i="24"/>
  <c r="ME129" i="24" s="1"/>
  <c r="MC82" i="24"/>
  <c r="ME82" i="24" s="1"/>
  <c r="MC60" i="24"/>
  <c r="ME60" i="24" s="1"/>
  <c r="MC153" i="24"/>
  <c r="ME153" i="24" s="1"/>
  <c r="MC155" i="24"/>
  <c r="ME155" i="24" s="1"/>
  <c r="MC143" i="24"/>
  <c r="ME143" i="24" s="1"/>
  <c r="MC45" i="24"/>
  <c r="ME45" i="24" s="1"/>
  <c r="GV45" i="24"/>
  <c r="HP45" i="24"/>
  <c r="GU45" i="24"/>
  <c r="GT45" i="24"/>
  <c r="GW45" i="24"/>
  <c r="GE46" i="24"/>
  <c r="HM44" i="24"/>
  <c r="HO44" i="24" s="1"/>
  <c r="MC140" i="24"/>
  <c r="ME140" i="24" s="1"/>
  <c r="MC44" i="24"/>
  <c r="ME44" i="24" s="1"/>
  <c r="MC80" i="24"/>
  <c r="ME80" i="24" s="1"/>
  <c r="MC139" i="24"/>
  <c r="ME139" i="24" s="1"/>
  <c r="MC137" i="24"/>
  <c r="ME137" i="24" s="1"/>
  <c r="MC136" i="24"/>
  <c r="ME136" i="24" s="1"/>
  <c r="MC141" i="24"/>
  <c r="ME141" i="24" s="1"/>
  <c r="MC154" i="24"/>
  <c r="ME154" i="24" s="1"/>
  <c r="MC102" i="24"/>
  <c r="ME102" i="24" s="1"/>
  <c r="MC160" i="24"/>
  <c r="ME160" i="24" s="1"/>
  <c r="MF160" i="24" s="1"/>
  <c r="MC106" i="24"/>
  <c r="ME106" i="24" s="1"/>
  <c r="MC71" i="24"/>
  <c r="ME71" i="24" s="1"/>
  <c r="MC151" i="24"/>
  <c r="ME151" i="24" s="1"/>
  <c r="MC87" i="24"/>
  <c r="ME87" i="24" s="1"/>
  <c r="MC86" i="24"/>
  <c r="ME86" i="24" s="1"/>
  <c r="MC46" i="24"/>
  <c r="ME46" i="24" s="1"/>
  <c r="MC95" i="24"/>
  <c r="ME95" i="24" s="1"/>
  <c r="MC68" i="24"/>
  <c r="ME68" i="24" s="1"/>
  <c r="MC130" i="24"/>
  <c r="ME130" i="24" s="1"/>
  <c r="MC94" i="24"/>
  <c r="ME94" i="24" s="1"/>
  <c r="MC104" i="24"/>
  <c r="ME104" i="24" s="1"/>
  <c r="MC69" i="24"/>
  <c r="ME69" i="24" s="1"/>
  <c r="MC93" i="24"/>
  <c r="ME93" i="24" s="1"/>
  <c r="MC66" i="24"/>
  <c r="ME66" i="24" s="1"/>
  <c r="MC43" i="24"/>
  <c r="ME43" i="24" s="1"/>
  <c r="MC53" i="24"/>
  <c r="ME53" i="24" s="1"/>
  <c r="MC83" i="24"/>
  <c r="ME83" i="24" s="1"/>
  <c r="MC110" i="24"/>
  <c r="ME110" i="24" s="1"/>
  <c r="MC138" i="24"/>
  <c r="ME138" i="24" s="1"/>
  <c r="MC134" i="24"/>
  <c r="ME134" i="24" s="1"/>
  <c r="HR44" i="24"/>
  <c r="HQ44" i="24"/>
  <c r="HS44" i="24"/>
  <c r="MC65" i="24"/>
  <c r="ME65" i="24" s="1"/>
  <c r="MC146" i="24"/>
  <c r="ME146" i="24" s="1"/>
  <c r="MC79" i="24"/>
  <c r="ME79" i="24" s="1"/>
  <c r="MC159" i="24"/>
  <c r="ME159" i="24" s="1"/>
  <c r="MF159" i="24" s="1"/>
  <c r="MC148" i="24"/>
  <c r="ME148" i="24" s="1"/>
  <c r="MC89" i="24"/>
  <c r="ME89" i="24" s="1"/>
  <c r="MC41" i="24"/>
  <c r="ME41" i="24" s="1"/>
  <c r="MC127" i="24"/>
  <c r="ME127" i="24" s="1"/>
  <c r="MC132" i="24"/>
  <c r="ME132" i="24" s="1"/>
  <c r="MC111" i="24"/>
  <c r="ME111" i="24" s="1"/>
  <c r="MC62" i="24"/>
  <c r="ME62" i="24" s="1"/>
  <c r="MC96" i="24"/>
  <c r="ME96" i="24" s="1"/>
  <c r="MC131" i="24"/>
  <c r="ME131" i="24" s="1"/>
  <c r="MC115" i="24"/>
  <c r="ME115" i="24" s="1"/>
  <c r="MC47" i="24"/>
  <c r="ME47" i="24" s="1"/>
  <c r="MC157" i="24"/>
  <c r="ME157" i="24" s="1"/>
  <c r="MC97" i="24"/>
  <c r="ME97" i="24" s="1"/>
  <c r="MC52" i="24"/>
  <c r="ME52" i="24" s="1"/>
  <c r="MC126" i="24"/>
  <c r="ME126" i="24" s="1"/>
  <c r="MC158" i="24"/>
  <c r="ME158" i="24" s="1"/>
  <c r="MC120" i="24"/>
  <c r="ME120" i="24" s="1"/>
  <c r="MC40" i="24"/>
  <c r="ME40" i="24" s="1"/>
  <c r="MC91" i="24"/>
  <c r="ME91" i="24" s="1"/>
  <c r="MC78" i="24"/>
  <c r="ME78" i="24" s="1"/>
  <c r="MC161" i="24"/>
  <c r="ME161" i="24" s="1"/>
  <c r="MF161" i="24" s="1"/>
  <c r="MC72" i="24"/>
  <c r="ME72" i="24" s="1"/>
  <c r="MC42" i="24"/>
  <c r="ME42" i="24" s="1"/>
  <c r="MC124" i="24"/>
  <c r="ME124" i="24" s="1"/>
  <c r="MC48" i="24"/>
  <c r="ME48" i="24" s="1"/>
  <c r="MC64" i="24"/>
  <c r="ME64" i="24" s="1"/>
  <c r="MD63" i="24" l="1"/>
  <c r="MF63" i="24" s="1"/>
  <c r="HM45" i="24"/>
  <c r="HO45" i="24" s="1"/>
  <c r="B35" i="25"/>
  <c r="MH63" i="24"/>
  <c r="MQ63" i="24" s="1"/>
  <c r="MR63" i="24" s="1"/>
  <c r="ML63" i="24"/>
  <c r="MX63" i="24" s="1"/>
  <c r="MJ85" i="24"/>
  <c r="MH85" i="24"/>
  <c r="MW85" i="24" s="1"/>
  <c r="MD85" i="24"/>
  <c r="MF85" i="24" s="1"/>
  <c r="MG85" i="24" s="1"/>
  <c r="MM85" i="24"/>
  <c r="ML85" i="24"/>
  <c r="MX85" i="24" s="1"/>
  <c r="ML78" i="24"/>
  <c r="MX78" i="24" s="1"/>
  <c r="MJ78" i="24"/>
  <c r="G50" i="25" s="1"/>
  <c r="MK78" i="24"/>
  <c r="MM78" i="24"/>
  <c r="I50" i="25" s="1"/>
  <c r="MH78" i="24"/>
  <c r="MW78" i="24" s="1"/>
  <c r="MD78" i="24"/>
  <c r="MF78" i="24" s="1"/>
  <c r="B50" i="25"/>
  <c r="MG157" i="24"/>
  <c r="MF157" i="24"/>
  <c r="MD96" i="24"/>
  <c r="MF96" i="24" s="1"/>
  <c r="MG96" i="24" s="1"/>
  <c r="MM96" i="24"/>
  <c r="MK96" i="24"/>
  <c r="MJ96" i="24"/>
  <c r="MH96" i="24"/>
  <c r="ML96" i="24"/>
  <c r="MX96" i="24" s="1"/>
  <c r="MG127" i="24"/>
  <c r="MF127" i="24"/>
  <c r="MG138" i="24"/>
  <c r="MF138" i="24"/>
  <c r="MH43" i="24"/>
  <c r="MD43" i="24"/>
  <c r="MF43" i="24" s="1"/>
  <c r="ML43" i="24"/>
  <c r="MK43" i="24" s="1"/>
  <c r="MP43" i="24" s="1"/>
  <c r="B15" i="25"/>
  <c r="MG104" i="24"/>
  <c r="MF104" i="24"/>
  <c r="ML95" i="24"/>
  <c r="MX95" i="24" s="1"/>
  <c r="MM95" i="24"/>
  <c r="MK95" i="24"/>
  <c r="MD95" i="24"/>
  <c r="MF95" i="24" s="1"/>
  <c r="MG95" i="24" s="1"/>
  <c r="MH95" i="24"/>
  <c r="MW95" i="24" s="1"/>
  <c r="MJ95" i="24"/>
  <c r="MG151" i="24"/>
  <c r="MF151" i="24"/>
  <c r="MG102" i="24"/>
  <c r="MF102" i="24"/>
  <c r="MG137" i="24"/>
  <c r="MF137" i="24"/>
  <c r="MG140" i="24"/>
  <c r="MF140" i="24"/>
  <c r="MH45" i="24"/>
  <c r="MQ45" i="24" s="1"/>
  <c r="MR45" i="24" s="1"/>
  <c r="B17" i="25"/>
  <c r="ML45" i="24"/>
  <c r="MK45" i="24" s="1"/>
  <c r="MP45" i="24" s="1"/>
  <c r="MD45" i="24"/>
  <c r="MF45" i="24" s="1"/>
  <c r="MH60" i="24"/>
  <c r="MW60" i="24" s="1"/>
  <c r="ML60" i="24"/>
  <c r="MX60" i="24" s="1"/>
  <c r="MD60" i="24"/>
  <c r="MF60" i="24" s="1"/>
  <c r="B32" i="25"/>
  <c r="MG128" i="24"/>
  <c r="MF128" i="24"/>
  <c r="MF152" i="24"/>
  <c r="MG152" i="24"/>
  <c r="MG118" i="24"/>
  <c r="MF118" i="24"/>
  <c r="MF39" i="24"/>
  <c r="B11" i="25"/>
  <c r="ML39" i="24"/>
  <c r="MH39" i="24"/>
  <c r="ML88" i="24"/>
  <c r="MX88" i="24" s="1"/>
  <c r="MM88" i="24"/>
  <c r="MK88" i="24"/>
  <c r="MJ88" i="24"/>
  <c r="MH88" i="24"/>
  <c r="MD88" i="24"/>
  <c r="MF88" i="24" s="1"/>
  <c r="MG88" i="24" s="1"/>
  <c r="MG125" i="24"/>
  <c r="MF125" i="24"/>
  <c r="MF122" i="24"/>
  <c r="MG122" i="24"/>
  <c r="B26" i="25"/>
  <c r="ML54" i="24"/>
  <c r="MH54" i="24"/>
  <c r="MD54" i="24"/>
  <c r="MF54" i="24" s="1"/>
  <c r="MG135" i="24"/>
  <c r="MF135" i="24"/>
  <c r="MH55" i="24"/>
  <c r="MD55" i="24"/>
  <c r="MF55" i="24" s="1"/>
  <c r="ML55" i="24"/>
  <c r="MX55" i="24" s="1"/>
  <c r="B27" i="25"/>
  <c r="ML75" i="24"/>
  <c r="MX75" i="24" s="1"/>
  <c r="MH75" i="24"/>
  <c r="MW75" i="24" s="1"/>
  <c r="B47" i="25"/>
  <c r="MD75" i="24"/>
  <c r="MF75" i="24" s="1"/>
  <c r="MD57" i="24"/>
  <c r="MF57" i="24" s="1"/>
  <c r="B29" i="25"/>
  <c r="ML57" i="24"/>
  <c r="MX57" i="24" s="1"/>
  <c r="MH57" i="24"/>
  <c r="MW57" i="24" s="1"/>
  <c r="MG123" i="24"/>
  <c r="MF123" i="24"/>
  <c r="B21" i="25"/>
  <c r="ML49" i="24"/>
  <c r="MK49" i="24" s="1"/>
  <c r="MP49" i="24" s="1"/>
  <c r="MD49" i="24"/>
  <c r="MF49" i="24" s="1"/>
  <c r="MH49" i="24"/>
  <c r="MG124" i="24"/>
  <c r="MF124" i="24"/>
  <c r="MF158" i="24"/>
  <c r="MG158" i="24"/>
  <c r="MD91" i="24"/>
  <c r="MF91" i="24" s="1"/>
  <c r="MG91" i="24" s="1"/>
  <c r="MM91" i="24"/>
  <c r="MH91" i="24"/>
  <c r="MQ91" i="24" s="1"/>
  <c r="MR91" i="24" s="1"/>
  <c r="MK91" i="24"/>
  <c r="MJ91" i="24"/>
  <c r="ML91" i="24"/>
  <c r="MX91" i="24" s="1"/>
  <c r="MH47" i="24"/>
  <c r="B19" i="25"/>
  <c r="ML47" i="24"/>
  <c r="MK47" i="24" s="1"/>
  <c r="MP47" i="24" s="1"/>
  <c r="MD47" i="24"/>
  <c r="MF47" i="24" s="1"/>
  <c r="MD62" i="24"/>
  <c r="MF62" i="24" s="1"/>
  <c r="MH62" i="24"/>
  <c r="B34" i="25"/>
  <c r="ML62" i="24"/>
  <c r="MX62" i="24" s="1"/>
  <c r="ML41" i="24"/>
  <c r="MK41" i="24" s="1"/>
  <c r="MP41" i="24" s="1"/>
  <c r="B13" i="25"/>
  <c r="MH41" i="24"/>
  <c r="MQ41" i="24" s="1"/>
  <c r="MR41" i="24" s="1"/>
  <c r="MD41" i="24"/>
  <c r="MF41" i="24" s="1"/>
  <c r="B51" i="25"/>
  <c r="ML79" i="24"/>
  <c r="MX79" i="24" s="1"/>
  <c r="MD79" i="24"/>
  <c r="MF79" i="24" s="1"/>
  <c r="MK79" i="24"/>
  <c r="MJ79" i="24"/>
  <c r="G51" i="25" s="1"/>
  <c r="MM79" i="24"/>
  <c r="I51" i="25" s="1"/>
  <c r="MH79" i="24"/>
  <c r="MW79" i="24" s="1"/>
  <c r="MF110" i="24"/>
  <c r="MG110" i="24"/>
  <c r="MH66" i="24"/>
  <c r="MW66" i="24" s="1"/>
  <c r="B38" i="25"/>
  <c r="ML66" i="24"/>
  <c r="MX66" i="24" s="1"/>
  <c r="MD66" i="24"/>
  <c r="MF66" i="24" s="1"/>
  <c r="MM94" i="24"/>
  <c r="MD94" i="24"/>
  <c r="MF94" i="24" s="1"/>
  <c r="MG94" i="24" s="1"/>
  <c r="ML94" i="24"/>
  <c r="MX94" i="24" s="1"/>
  <c r="MH94" i="24"/>
  <c r="MK94" i="24"/>
  <c r="MJ94" i="24"/>
  <c r="ML46" i="24"/>
  <c r="MK46" i="24" s="1"/>
  <c r="MP46" i="24" s="1"/>
  <c r="MH46" i="24"/>
  <c r="B18" i="25"/>
  <c r="MD46" i="24"/>
  <c r="MF46" i="24" s="1"/>
  <c r="ML71" i="24"/>
  <c r="MX71" i="24" s="1"/>
  <c r="MD71" i="24"/>
  <c r="MF71" i="24" s="1"/>
  <c r="B43" i="25"/>
  <c r="MH71" i="24"/>
  <c r="MG154" i="24"/>
  <c r="MF154" i="24"/>
  <c r="MF139" i="24"/>
  <c r="MG139" i="24"/>
  <c r="MG143" i="24"/>
  <c r="MF143" i="24"/>
  <c r="ML82" i="24"/>
  <c r="MX82" i="24" s="1"/>
  <c r="MD82" i="24"/>
  <c r="MF82" i="24" s="1"/>
  <c r="MK82" i="24"/>
  <c r="MJ82" i="24"/>
  <c r="G54" i="25" s="1"/>
  <c r="MH82" i="24"/>
  <c r="B54" i="25"/>
  <c r="MM82" i="24"/>
  <c r="I54" i="25" s="1"/>
  <c r="MG107" i="24"/>
  <c r="MF107" i="24"/>
  <c r="MG112" i="24"/>
  <c r="MF112" i="24"/>
  <c r="MF149" i="24"/>
  <c r="MG149" i="24"/>
  <c r="MF121" i="24"/>
  <c r="MG121" i="24"/>
  <c r="MG117" i="24"/>
  <c r="MF117" i="24"/>
  <c r="B30" i="25"/>
  <c r="MD58" i="24"/>
  <c r="MF58" i="24" s="1"/>
  <c r="ML58" i="24"/>
  <c r="MX58" i="24" s="1"/>
  <c r="MH58" i="24"/>
  <c r="MD70" i="24"/>
  <c r="MF70" i="24" s="1"/>
  <c r="MH70" i="24"/>
  <c r="MW70" i="24" s="1"/>
  <c r="B42" i="25"/>
  <c r="ML70" i="24"/>
  <c r="MX70" i="24" s="1"/>
  <c r="MF142" i="24"/>
  <c r="MG142" i="24"/>
  <c r="MD50" i="24"/>
  <c r="MF50" i="24" s="1"/>
  <c r="MH50" i="24"/>
  <c r="B22" i="25"/>
  <c r="ML50" i="24"/>
  <c r="MK50" i="24" s="1"/>
  <c r="MP50" i="24" s="1"/>
  <c r="ML74" i="24"/>
  <c r="MX74" i="24" s="1"/>
  <c r="MD74" i="24"/>
  <c r="MF74" i="24" s="1"/>
  <c r="MH74" i="24"/>
  <c r="MW74" i="24" s="1"/>
  <c r="B46" i="25"/>
  <c r="MG113" i="24"/>
  <c r="MF113" i="24"/>
  <c r="MG150" i="24"/>
  <c r="MF150" i="24"/>
  <c r="MM76" i="24"/>
  <c r="I48" i="25" s="1"/>
  <c r="ML76" i="24"/>
  <c r="MX76" i="24" s="1"/>
  <c r="B48" i="25"/>
  <c r="MK76" i="24"/>
  <c r="MH76" i="24"/>
  <c r="MW76" i="24" s="1"/>
  <c r="MD76" i="24"/>
  <c r="MF76" i="24" s="1"/>
  <c r="MJ76" i="24"/>
  <c r="G48" i="25" s="1"/>
  <c r="MI85" i="24"/>
  <c r="MH42" i="24"/>
  <c r="MD42" i="24"/>
  <c r="MF42" i="24" s="1"/>
  <c r="B14" i="25"/>
  <c r="ML42" i="24"/>
  <c r="MK42" i="24" s="1"/>
  <c r="MP42" i="24" s="1"/>
  <c r="MG126" i="24"/>
  <c r="MF126" i="24"/>
  <c r="MD64" i="24"/>
  <c r="MF64" i="24" s="1"/>
  <c r="B36" i="25"/>
  <c r="MH64" i="24"/>
  <c r="MW64" i="24" s="1"/>
  <c r="ML64" i="24"/>
  <c r="MX64" i="24" s="1"/>
  <c r="MH72" i="24"/>
  <c r="MD72" i="24"/>
  <c r="MF72" i="24" s="1"/>
  <c r="ML72" i="24"/>
  <c r="MX72" i="24" s="1"/>
  <c r="B44" i="25"/>
  <c r="MH40" i="24"/>
  <c r="MQ40" i="24" s="1"/>
  <c r="MR40" i="24" s="1"/>
  <c r="B12" i="25"/>
  <c r="ML40" i="24"/>
  <c r="MK40" i="24" s="1"/>
  <c r="MP40" i="24" s="1"/>
  <c r="MF40" i="24"/>
  <c r="MD52" i="24"/>
  <c r="MF52" i="24" s="1"/>
  <c r="MH52" i="24"/>
  <c r="ML52" i="24"/>
  <c r="B24" i="25"/>
  <c r="MF115" i="24"/>
  <c r="MG115" i="24"/>
  <c r="MF111" i="24"/>
  <c r="MG111" i="24"/>
  <c r="MM89" i="24"/>
  <c r="MK89" i="24"/>
  <c r="MH89" i="24"/>
  <c r="MQ89" i="24" s="1"/>
  <c r="MR89" i="24" s="1"/>
  <c r="MD89" i="24"/>
  <c r="MF89" i="24" s="1"/>
  <c r="MG89" i="24" s="1"/>
  <c r="MJ89" i="24"/>
  <c r="ML89" i="24"/>
  <c r="MX89" i="24" s="1"/>
  <c r="MF146" i="24"/>
  <c r="MG146" i="24"/>
  <c r="B55" i="25"/>
  <c r="MD83" i="24"/>
  <c r="MF83" i="24" s="1"/>
  <c r="MJ83" i="24"/>
  <c r="G55" i="25" s="1"/>
  <c r="MH83" i="24"/>
  <c r="ML83" i="24"/>
  <c r="MX83" i="24" s="1"/>
  <c r="MK83" i="24"/>
  <c r="MM83" i="24"/>
  <c r="I55" i="25" s="1"/>
  <c r="MH93" i="24"/>
  <c r="MJ93" i="24"/>
  <c r="MD93" i="24"/>
  <c r="MF93" i="24" s="1"/>
  <c r="MG93" i="24" s="1"/>
  <c r="ML93" i="24"/>
  <c r="MX93" i="24" s="1"/>
  <c r="MM93" i="24"/>
  <c r="MK93" i="24"/>
  <c r="MF130" i="24"/>
  <c r="MG130" i="24"/>
  <c r="MD86" i="24"/>
  <c r="MF86" i="24" s="1"/>
  <c r="MG86" i="24" s="1"/>
  <c r="MM86" i="24"/>
  <c r="MH86" i="24"/>
  <c r="MQ86" i="24" s="1"/>
  <c r="MR86" i="24" s="1"/>
  <c r="MJ86" i="24"/>
  <c r="ML86" i="24"/>
  <c r="MX86" i="24" s="1"/>
  <c r="MK86" i="24"/>
  <c r="MG106" i="24"/>
  <c r="MF106" i="24"/>
  <c r="MF141" i="24"/>
  <c r="MG141" i="24"/>
  <c r="MM80" i="24"/>
  <c r="I52" i="25" s="1"/>
  <c r="ML80" i="24"/>
  <c r="MX80" i="24" s="1"/>
  <c r="MK80" i="24"/>
  <c r="MD80" i="24"/>
  <c r="MF80" i="24" s="1"/>
  <c r="B52" i="25"/>
  <c r="MJ80" i="24"/>
  <c r="G52" i="25" s="1"/>
  <c r="MH80" i="24"/>
  <c r="GT46" i="24"/>
  <c r="GU46" i="24"/>
  <c r="GV46" i="24"/>
  <c r="GW46" i="24"/>
  <c r="HP46" i="24"/>
  <c r="GE47" i="24"/>
  <c r="HQ45" i="24"/>
  <c r="HR45" i="24"/>
  <c r="HS45" i="24"/>
  <c r="MG155" i="24"/>
  <c r="MF155" i="24"/>
  <c r="MG129" i="24"/>
  <c r="MF129" i="24"/>
  <c r="MM100" i="24"/>
  <c r="MD100" i="24"/>
  <c r="MF100" i="24" s="1"/>
  <c r="MG100" i="24" s="1"/>
  <c r="MJ100" i="24"/>
  <c r="MH100" i="24"/>
  <c r="MQ100" i="24" s="1"/>
  <c r="MR100" i="24" s="1"/>
  <c r="ML100" i="24"/>
  <c r="MX100" i="24" s="1"/>
  <c r="MK100" i="24"/>
  <c r="MG114" i="24"/>
  <c r="MF114" i="24"/>
  <c r="ML81" i="24"/>
  <c r="MX81" i="24" s="1"/>
  <c r="MM81" i="24"/>
  <c r="I53" i="25" s="1"/>
  <c r="MJ81" i="24"/>
  <c r="G53" i="25" s="1"/>
  <c r="B53" i="25"/>
  <c r="MH81" i="24"/>
  <c r="MK81" i="24"/>
  <c r="MD81" i="24"/>
  <c r="MF81" i="24" s="1"/>
  <c r="MG133" i="24"/>
  <c r="MF133" i="24"/>
  <c r="B31" i="25"/>
  <c r="MD59" i="24"/>
  <c r="MF59" i="24" s="1"/>
  <c r="ML59" i="24"/>
  <c r="MX59" i="24" s="1"/>
  <c r="MH59" i="24"/>
  <c r="MH98" i="24"/>
  <c r="MQ98" i="24" s="1"/>
  <c r="MR98" i="24" s="1"/>
  <c r="MJ98" i="24"/>
  <c r="MD98" i="24"/>
  <c r="MF98" i="24" s="1"/>
  <c r="MG98" i="24" s="1"/>
  <c r="MM98" i="24"/>
  <c r="MK98" i="24"/>
  <c r="ML98" i="24"/>
  <c r="MX98" i="24" s="1"/>
  <c r="MG108" i="24"/>
  <c r="MF108" i="24"/>
  <c r="MD90" i="24"/>
  <c r="MF90" i="24" s="1"/>
  <c r="MG90" i="24" s="1"/>
  <c r="MH90" i="24"/>
  <c r="MQ90" i="24" s="1"/>
  <c r="MR90" i="24" s="1"/>
  <c r="MJ90" i="24"/>
  <c r="MM90" i="24"/>
  <c r="ML90" i="24"/>
  <c r="MX90" i="24" s="1"/>
  <c r="MK90" i="24"/>
  <c r="ML92" i="24"/>
  <c r="MX92" i="24" s="1"/>
  <c r="MD92" i="24"/>
  <c r="MF92" i="24" s="1"/>
  <c r="MG92" i="24" s="1"/>
  <c r="MJ92" i="24"/>
  <c r="MK92" i="24"/>
  <c r="MH92" i="24"/>
  <c r="MI92" i="24" s="1"/>
  <c r="MM92" i="24"/>
  <c r="MF116" i="24"/>
  <c r="MG116" i="24"/>
  <c r="MD67" i="24"/>
  <c r="MF67" i="24" s="1"/>
  <c r="ML67" i="24"/>
  <c r="MX67" i="24" s="1"/>
  <c r="B39" i="25"/>
  <c r="MH67" i="24"/>
  <c r="MK101" i="24"/>
  <c r="MD101" i="24"/>
  <c r="MF101" i="24" s="1"/>
  <c r="MG101" i="24" s="1"/>
  <c r="MJ101" i="24"/>
  <c r="ML101" i="24"/>
  <c r="MX101" i="24" s="1"/>
  <c r="MM101" i="24"/>
  <c r="MH101" i="24"/>
  <c r="MH99" i="24"/>
  <c r="MW99" i="24" s="1"/>
  <c r="MM99" i="24"/>
  <c r="ML99" i="24"/>
  <c r="MX99" i="24" s="1"/>
  <c r="MJ99" i="24"/>
  <c r="MK99" i="24"/>
  <c r="MD99" i="24"/>
  <c r="MF99" i="24" s="1"/>
  <c r="MG99" i="24" s="1"/>
  <c r="MH48" i="24"/>
  <c r="MQ48" i="24" s="1"/>
  <c r="MR48" i="24" s="1"/>
  <c r="ML48" i="24"/>
  <c r="MK48" i="24" s="1"/>
  <c r="MP48" i="24" s="1"/>
  <c r="MD48" i="24"/>
  <c r="MF48" i="24" s="1"/>
  <c r="B20" i="25"/>
  <c r="MG120" i="24"/>
  <c r="MF120" i="24"/>
  <c r="MH97" i="24"/>
  <c r="MW97" i="24" s="1"/>
  <c r="MJ97" i="24"/>
  <c r="ML97" i="24"/>
  <c r="MX97" i="24" s="1"/>
  <c r="MD97" i="24"/>
  <c r="MF97" i="24" s="1"/>
  <c r="MG97" i="24" s="1"/>
  <c r="MK97" i="24"/>
  <c r="MM97" i="24"/>
  <c r="MG131" i="24"/>
  <c r="MF131" i="24"/>
  <c r="MG132" i="24"/>
  <c r="MF132" i="24"/>
  <c r="MG148" i="24"/>
  <c r="MF148" i="24"/>
  <c r="MD65" i="24"/>
  <c r="MF65" i="24" s="1"/>
  <c r="B37" i="25"/>
  <c r="ML65" i="24"/>
  <c r="MX65" i="24" s="1"/>
  <c r="MH65" i="24"/>
  <c r="MW65" i="24" s="1"/>
  <c r="MG134" i="24"/>
  <c r="MF134" i="24"/>
  <c r="MD53" i="24"/>
  <c r="MF53" i="24" s="1"/>
  <c r="MH53" i="24"/>
  <c r="ML53" i="24"/>
  <c r="B25" i="25"/>
  <c r="MD69" i="24"/>
  <c r="MF69" i="24" s="1"/>
  <c r="B41" i="25"/>
  <c r="ML69" i="24"/>
  <c r="MX69" i="24" s="1"/>
  <c r="MH69" i="24"/>
  <c r="MD68" i="24"/>
  <c r="MF68" i="24" s="1"/>
  <c r="B40" i="25"/>
  <c r="ML68" i="24"/>
  <c r="MX68" i="24" s="1"/>
  <c r="MH68" i="24"/>
  <c r="ML87" i="24"/>
  <c r="MX87" i="24" s="1"/>
  <c r="MK87" i="24"/>
  <c r="MD87" i="24"/>
  <c r="MF87" i="24" s="1"/>
  <c r="MG87" i="24" s="1"/>
  <c r="MM87" i="24"/>
  <c r="MH87" i="24"/>
  <c r="MW87" i="24" s="1"/>
  <c r="MJ87" i="24"/>
  <c r="MG136" i="24"/>
  <c r="MF136" i="24"/>
  <c r="B16" i="25"/>
  <c r="MD44" i="24"/>
  <c r="MF44" i="24" s="1"/>
  <c r="ML44" i="24"/>
  <c r="MK44" i="24" s="1"/>
  <c r="MP44" i="24" s="1"/>
  <c r="MH44" i="24"/>
  <c r="MF153" i="24"/>
  <c r="MG153" i="24"/>
  <c r="MG103" i="24"/>
  <c r="MF103" i="24"/>
  <c r="MG109" i="24"/>
  <c r="MF109" i="24"/>
  <c r="MH51" i="24"/>
  <c r="MQ51" i="24" s="1"/>
  <c r="MR51" i="24" s="1"/>
  <c r="B23" i="25"/>
  <c r="MD51" i="24"/>
  <c r="MF51" i="24" s="1"/>
  <c r="ML51" i="24"/>
  <c r="MK51" i="24" s="1"/>
  <c r="MP51" i="24" s="1"/>
  <c r="MF105" i="24"/>
  <c r="MG105" i="24"/>
  <c r="MG156" i="24"/>
  <c r="MF156" i="24"/>
  <c r="MH84" i="24"/>
  <c r="MW84" i="24" s="1"/>
  <c r="ML84" i="24"/>
  <c r="MX84" i="24" s="1"/>
  <c r="MM84" i="24"/>
  <c r="MD84" i="24"/>
  <c r="MF84" i="24" s="1"/>
  <c r="MG84" i="24" s="1"/>
  <c r="MK84" i="24"/>
  <c r="MJ84" i="24"/>
  <c r="MG119" i="24"/>
  <c r="MF119" i="24"/>
  <c r="MF147" i="24"/>
  <c r="MG147" i="24"/>
  <c r="MF144" i="24"/>
  <c r="MG144" i="24"/>
  <c r="MK77" i="24"/>
  <c r="B49" i="25"/>
  <c r="ML77" i="24"/>
  <c r="MX77" i="24" s="1"/>
  <c r="MD77" i="24"/>
  <c r="MF77" i="24" s="1"/>
  <c r="MJ77" i="24"/>
  <c r="G49" i="25" s="1"/>
  <c r="MH77" i="24"/>
  <c r="MQ77" i="24" s="1"/>
  <c r="MR77" i="24" s="1"/>
  <c r="MM77" i="24"/>
  <c r="I49" i="25" s="1"/>
  <c r="MH61" i="24"/>
  <c r="ML61" i="24"/>
  <c r="MX61" i="24" s="1"/>
  <c r="B33" i="25"/>
  <c r="MD61" i="24"/>
  <c r="MF61" i="24" s="1"/>
  <c r="ML56" i="24"/>
  <c r="MX56" i="24" s="1"/>
  <c r="MD56" i="24"/>
  <c r="MF56" i="24" s="1"/>
  <c r="MH56" i="24"/>
  <c r="MW56" i="24" s="1"/>
  <c r="B28" i="25"/>
  <c r="ML73" i="24"/>
  <c r="MX73" i="24" s="1"/>
  <c r="MH73" i="24"/>
  <c r="MW73" i="24" s="1"/>
  <c r="B45" i="25"/>
  <c r="MD73" i="24"/>
  <c r="MF73" i="24" s="1"/>
  <c r="MF145" i="24"/>
  <c r="MG145" i="24"/>
  <c r="C35" i="25"/>
  <c r="MP85" i="24"/>
  <c r="MT85" i="24" s="1"/>
  <c r="MU85" i="24" s="1"/>
  <c r="MW45" i="24"/>
  <c r="MV85" i="24"/>
  <c r="MI89" i="24" l="1"/>
  <c r="MK75" i="24"/>
  <c r="MP75" i="24" s="1"/>
  <c r="MT75" i="24" s="1"/>
  <c r="MU75" i="24" s="1"/>
  <c r="MK74" i="24"/>
  <c r="MP74" i="24" s="1"/>
  <c r="MK73" i="24"/>
  <c r="MP73" i="24" s="1"/>
  <c r="MK72" i="24"/>
  <c r="MP72" i="24" s="1"/>
  <c r="MK71" i="24"/>
  <c r="MP71" i="24" s="1"/>
  <c r="MK68" i="24"/>
  <c r="MP68" i="24" s="1"/>
  <c r="MK69" i="24"/>
  <c r="MP69" i="24" s="1"/>
  <c r="MK70" i="24"/>
  <c r="MP70" i="24" s="1"/>
  <c r="MK66" i="24"/>
  <c r="MP66" i="24" s="1"/>
  <c r="MK67" i="24"/>
  <c r="MK65" i="24"/>
  <c r="MP65" i="24" s="1"/>
  <c r="MK64" i="24"/>
  <c r="MP64" i="24" s="1"/>
  <c r="MK62" i="24"/>
  <c r="MP62" i="24" s="1"/>
  <c r="MT62" i="24" s="1"/>
  <c r="MU62" i="24" s="1"/>
  <c r="MK63" i="24"/>
  <c r="MP63" i="24" s="1"/>
  <c r="MT63" i="24" s="1"/>
  <c r="MU63" i="24" s="1"/>
  <c r="MK61" i="24"/>
  <c r="MP61" i="24" s="1"/>
  <c r="MI90" i="24"/>
  <c r="MP98" i="24"/>
  <c r="MT98" i="24" s="1"/>
  <c r="MU98" i="24" s="1"/>
  <c r="MP77" i="24"/>
  <c r="MT77" i="24" s="1"/>
  <c r="MU77" i="24" s="1"/>
  <c r="MP97" i="24"/>
  <c r="MT97" i="24" s="1"/>
  <c r="MU97" i="24" s="1"/>
  <c r="MI63" i="24"/>
  <c r="E35" i="25" s="1"/>
  <c r="MW63" i="24"/>
  <c r="MI48" i="24"/>
  <c r="E20" i="25" s="1"/>
  <c r="MQ85" i="24"/>
  <c r="MR85" i="24" s="1"/>
  <c r="MP101" i="24"/>
  <c r="MT101" i="24" s="1"/>
  <c r="MU101" i="24" s="1"/>
  <c r="MP78" i="24"/>
  <c r="MT78" i="24" s="1"/>
  <c r="MU78" i="24" s="1"/>
  <c r="MP67" i="24"/>
  <c r="H39" i="25" s="1"/>
  <c r="MP92" i="24"/>
  <c r="MT92" i="24" s="1"/>
  <c r="MU92" i="24" s="1"/>
  <c r="MP86" i="24"/>
  <c r="MT86" i="24" s="1"/>
  <c r="MU86" i="24" s="1"/>
  <c r="MK58" i="24"/>
  <c r="MP58" i="24" s="1"/>
  <c r="H30" i="25" s="1"/>
  <c r="MP95" i="24"/>
  <c r="MT95" i="24" s="1"/>
  <c r="MU95" i="24" s="1"/>
  <c r="MI51" i="24"/>
  <c r="E23" i="25" s="1"/>
  <c r="MP87" i="24"/>
  <c r="MT87" i="24" s="1"/>
  <c r="MU87" i="24" s="1"/>
  <c r="MK53" i="24"/>
  <c r="MP53" i="24" s="1"/>
  <c r="H25" i="25" s="1"/>
  <c r="MP99" i="24"/>
  <c r="MT99" i="24" s="1"/>
  <c r="MU99" i="24" s="1"/>
  <c r="MP90" i="24"/>
  <c r="MT90" i="24" s="1"/>
  <c r="MU90" i="24" s="1"/>
  <c r="MP80" i="24"/>
  <c r="MT80" i="24" s="1"/>
  <c r="MU80" i="24" s="1"/>
  <c r="MP81" i="24"/>
  <c r="MT81" i="24" s="1"/>
  <c r="MU81" i="24" s="1"/>
  <c r="MP82" i="24"/>
  <c r="H54" i="25" s="1"/>
  <c r="MK55" i="24"/>
  <c r="MP55" i="24" s="1"/>
  <c r="MT55" i="24" s="1"/>
  <c r="MU55" i="24" s="1"/>
  <c r="MT51" i="24"/>
  <c r="H23" i="25"/>
  <c r="MT44" i="24"/>
  <c r="H16" i="25"/>
  <c r="MT45" i="24"/>
  <c r="H17" i="25"/>
  <c r="MT43" i="24"/>
  <c r="H15" i="25"/>
  <c r="MT42" i="24"/>
  <c r="H14" i="25"/>
  <c r="MT50" i="24"/>
  <c r="H22" i="25"/>
  <c r="MI61" i="24"/>
  <c r="E33" i="25" s="1"/>
  <c r="MQ61" i="24"/>
  <c r="MR61" i="24" s="1"/>
  <c r="C25" i="25"/>
  <c r="MI101" i="24"/>
  <c r="MQ101" i="24"/>
  <c r="MR101" i="24" s="1"/>
  <c r="MI59" i="24"/>
  <c r="E31" i="25" s="1"/>
  <c r="MQ59" i="24"/>
  <c r="MR59" i="24" s="1"/>
  <c r="MP100" i="24"/>
  <c r="MT100" i="24" s="1"/>
  <c r="MU100" i="24" s="1"/>
  <c r="MG80" i="24"/>
  <c r="D52" i="25" s="1"/>
  <c r="C52" i="25"/>
  <c r="MI93" i="24"/>
  <c r="MQ93" i="24"/>
  <c r="MR93" i="24" s="1"/>
  <c r="MP89" i="24"/>
  <c r="MT89" i="24" s="1"/>
  <c r="MU89" i="24" s="1"/>
  <c r="C12" i="25"/>
  <c r="C36" i="25"/>
  <c r="MI71" i="24"/>
  <c r="E43" i="25" s="1"/>
  <c r="MQ71" i="24"/>
  <c r="MR71" i="24" s="1"/>
  <c r="MI46" i="24"/>
  <c r="E18" i="25" s="1"/>
  <c r="MQ46" i="24"/>
  <c r="MR46" i="24" s="1"/>
  <c r="MI94" i="24"/>
  <c r="MQ94" i="24"/>
  <c r="MR94" i="24" s="1"/>
  <c r="C38" i="25"/>
  <c r="C13" i="25"/>
  <c r="MT47" i="24"/>
  <c r="H19" i="25"/>
  <c r="MI47" i="24"/>
  <c r="E19" i="25" s="1"/>
  <c r="MQ47" i="24"/>
  <c r="MR47" i="24" s="1"/>
  <c r="MP91" i="24"/>
  <c r="MT91" i="24" s="1"/>
  <c r="MU91" i="24" s="1"/>
  <c r="MT49" i="24"/>
  <c r="H21" i="25"/>
  <c r="C47" i="25"/>
  <c r="C27" i="25"/>
  <c r="MI54" i="24"/>
  <c r="E26" i="25" s="1"/>
  <c r="MQ54" i="24"/>
  <c r="MR54" i="24" s="1"/>
  <c r="MW89" i="24"/>
  <c r="MW93" i="24"/>
  <c r="MW98" i="24"/>
  <c r="C32" i="25"/>
  <c r="C17" i="25"/>
  <c r="C33" i="25"/>
  <c r="MK56" i="24"/>
  <c r="MP56" i="24" s="1"/>
  <c r="MI77" i="24"/>
  <c r="E49" i="25" s="1"/>
  <c r="MI84" i="24"/>
  <c r="MQ84" i="24"/>
  <c r="MR84" i="24" s="1"/>
  <c r="C23" i="25"/>
  <c r="C16" i="25"/>
  <c r="C40" i="25"/>
  <c r="C37" i="25"/>
  <c r="MI67" i="24"/>
  <c r="E39" i="25" s="1"/>
  <c r="MQ67" i="24"/>
  <c r="MR67" i="24" s="1"/>
  <c r="C39" i="25"/>
  <c r="MI81" i="24"/>
  <c r="E53" i="25" s="1"/>
  <c r="MQ81" i="24"/>
  <c r="MR81" i="24" s="1"/>
  <c r="MI80" i="24"/>
  <c r="E52" i="25" s="1"/>
  <c r="MQ80" i="24"/>
  <c r="MR80" i="24" s="1"/>
  <c r="MI83" i="24"/>
  <c r="E55" i="25" s="1"/>
  <c r="MQ83" i="24"/>
  <c r="MR83" i="24" s="1"/>
  <c r="MI52" i="24"/>
  <c r="E24" i="25" s="1"/>
  <c r="MQ52" i="24"/>
  <c r="MR52" i="24" s="1"/>
  <c r="MI40" i="24"/>
  <c r="E12" i="25" s="1"/>
  <c r="MG76" i="24"/>
  <c r="D48" i="25" s="1"/>
  <c r="C48" i="25"/>
  <c r="C46" i="25"/>
  <c r="MI58" i="24"/>
  <c r="E30" i="25" s="1"/>
  <c r="MQ58" i="24"/>
  <c r="MR58" i="24" s="1"/>
  <c r="MG82" i="24"/>
  <c r="D54" i="25" s="1"/>
  <c r="C54" i="25"/>
  <c r="MT46" i="24"/>
  <c r="H18" i="25"/>
  <c r="MI62" i="24"/>
  <c r="E34" i="25" s="1"/>
  <c r="MQ62" i="24"/>
  <c r="MR62" i="24" s="1"/>
  <c r="C19" i="25"/>
  <c r="MI49" i="24"/>
  <c r="E21" i="25" s="1"/>
  <c r="MQ49" i="24"/>
  <c r="MR49" i="24" s="1"/>
  <c r="MI55" i="24"/>
  <c r="E27" i="25" s="1"/>
  <c r="MQ55" i="24"/>
  <c r="MR55" i="24" s="1"/>
  <c r="MW88" i="24"/>
  <c r="MQ88" i="24"/>
  <c r="MR88" i="24" s="1"/>
  <c r="MW59" i="24"/>
  <c r="MW55" i="24"/>
  <c r="MW77" i="24"/>
  <c r="MW58" i="24"/>
  <c r="MW86" i="24"/>
  <c r="C15" i="25"/>
  <c r="MW96" i="24"/>
  <c r="MQ96" i="24"/>
  <c r="MR96" i="24" s="1"/>
  <c r="MI56" i="24"/>
  <c r="E28" i="25" s="1"/>
  <c r="MQ56" i="24"/>
  <c r="MR56" i="24" s="1"/>
  <c r="C49" i="25"/>
  <c r="MG77" i="24"/>
  <c r="D49" i="25" s="1"/>
  <c r="MP84" i="24"/>
  <c r="MT84" i="24" s="1"/>
  <c r="MU84" i="24" s="1"/>
  <c r="MI68" i="24"/>
  <c r="E40" i="25" s="1"/>
  <c r="MQ68" i="24"/>
  <c r="MR68" i="24" s="1"/>
  <c r="C20" i="25"/>
  <c r="C45" i="25"/>
  <c r="MI73" i="24"/>
  <c r="E45" i="25" s="1"/>
  <c r="MQ73" i="24"/>
  <c r="MR73" i="24" s="1"/>
  <c r="C28" i="25"/>
  <c r="MI87" i="24"/>
  <c r="MQ87" i="24"/>
  <c r="MR87" i="24" s="1"/>
  <c r="MI69" i="24"/>
  <c r="E41" i="25" s="1"/>
  <c r="MQ69" i="24"/>
  <c r="MR69" i="24" s="1"/>
  <c r="C41" i="25"/>
  <c r="MI65" i="24"/>
  <c r="E37" i="25" s="1"/>
  <c r="MQ65" i="24"/>
  <c r="MR65" i="24" s="1"/>
  <c r="MT48" i="24"/>
  <c r="H20" i="25"/>
  <c r="MW92" i="24"/>
  <c r="MQ92" i="24"/>
  <c r="MR92" i="24" s="1"/>
  <c r="MI98" i="24"/>
  <c r="C31" i="25"/>
  <c r="MI100" i="24"/>
  <c r="GV47" i="24"/>
  <c r="GU47" i="24"/>
  <c r="HP47" i="24"/>
  <c r="GW47" i="24"/>
  <c r="GT47" i="24"/>
  <c r="GE48" i="24"/>
  <c r="MK52" i="24"/>
  <c r="MP52" i="24" s="1"/>
  <c r="C24" i="25"/>
  <c r="C44" i="25"/>
  <c r="MI64" i="24"/>
  <c r="E36" i="25" s="1"/>
  <c r="MQ64" i="24"/>
  <c r="MR64" i="24" s="1"/>
  <c r="C14" i="25"/>
  <c r="MI76" i="24"/>
  <c r="E48" i="25" s="1"/>
  <c r="MQ76" i="24"/>
  <c r="MR76" i="24" s="1"/>
  <c r="MI74" i="24"/>
  <c r="E46" i="25" s="1"/>
  <c r="MQ74" i="24"/>
  <c r="MR74" i="24" s="1"/>
  <c r="MI50" i="24"/>
  <c r="E22" i="25" s="1"/>
  <c r="MQ50" i="24"/>
  <c r="MR50" i="24" s="1"/>
  <c r="MI70" i="24"/>
  <c r="E42" i="25" s="1"/>
  <c r="MQ70" i="24"/>
  <c r="MR70" i="24" s="1"/>
  <c r="MI82" i="24"/>
  <c r="E54" i="25" s="1"/>
  <c r="MQ82" i="24"/>
  <c r="MR82" i="24" s="1"/>
  <c r="C18" i="25"/>
  <c r="MP79" i="24"/>
  <c r="MI41" i="24"/>
  <c r="E13" i="25" s="1"/>
  <c r="C34" i="25"/>
  <c r="MI91" i="24"/>
  <c r="C21" i="25"/>
  <c r="MK57" i="24"/>
  <c r="MP57" i="24" s="1"/>
  <c r="C29" i="25"/>
  <c r="MK54" i="24"/>
  <c r="MP54" i="24" s="1"/>
  <c r="MW71" i="24"/>
  <c r="MW101" i="24"/>
  <c r="MW80" i="24"/>
  <c r="MW67" i="24"/>
  <c r="MW69" i="24"/>
  <c r="MW68" i="24"/>
  <c r="MW83" i="24"/>
  <c r="MK39" i="24"/>
  <c r="MP39" i="24" s="1"/>
  <c r="MW91" i="24"/>
  <c r="C11" i="25"/>
  <c r="MK60" i="24"/>
  <c r="MP60" i="24" s="1"/>
  <c r="MI60" i="24"/>
  <c r="E32" i="25" s="1"/>
  <c r="MQ60" i="24"/>
  <c r="MR60" i="24" s="1"/>
  <c r="MI45" i="24"/>
  <c r="E17" i="25" s="1"/>
  <c r="MI43" i="24"/>
  <c r="E15" i="25" s="1"/>
  <c r="MQ43" i="24"/>
  <c r="MR43" i="24" s="1"/>
  <c r="MG78" i="24"/>
  <c r="D50" i="25" s="1"/>
  <c r="C50" i="25"/>
  <c r="MI44" i="24"/>
  <c r="E16" i="25" s="1"/>
  <c r="MQ44" i="24"/>
  <c r="MR44" i="24" s="1"/>
  <c r="MI53" i="24"/>
  <c r="E25" i="25" s="1"/>
  <c r="MQ53" i="24"/>
  <c r="MR53" i="24" s="1"/>
  <c r="MI97" i="24"/>
  <c r="MQ97" i="24"/>
  <c r="MR97" i="24" s="1"/>
  <c r="MI99" i="24"/>
  <c r="MQ99" i="24"/>
  <c r="MR99" i="24" s="1"/>
  <c r="MK59" i="24"/>
  <c r="MP59" i="24" s="1"/>
  <c r="C53" i="25"/>
  <c r="MG81" i="24"/>
  <c r="D53" i="25" s="1"/>
  <c r="HQ46" i="24"/>
  <c r="HR46" i="24"/>
  <c r="HS46" i="24"/>
  <c r="HM46" i="24"/>
  <c r="MI86" i="24"/>
  <c r="MP93" i="24"/>
  <c r="MT93" i="24" s="1"/>
  <c r="MU93" i="24" s="1"/>
  <c r="MP83" i="24"/>
  <c r="MG83" i="24"/>
  <c r="D55" i="25" s="1"/>
  <c r="C55" i="25"/>
  <c r="MT40" i="24"/>
  <c r="H12" i="25"/>
  <c r="MI72" i="24"/>
  <c r="E44" i="25" s="1"/>
  <c r="MQ72" i="24"/>
  <c r="MR72" i="24" s="1"/>
  <c r="MI42" i="24"/>
  <c r="E14" i="25" s="1"/>
  <c r="MQ42" i="24"/>
  <c r="MR42" i="24" s="1"/>
  <c r="MP76" i="24"/>
  <c r="C22" i="25"/>
  <c r="C42" i="25"/>
  <c r="C30" i="25"/>
  <c r="C43" i="25"/>
  <c r="MP94" i="24"/>
  <c r="MT94" i="24" s="1"/>
  <c r="MU94" i="24" s="1"/>
  <c r="MI66" i="24"/>
  <c r="E38" i="25" s="1"/>
  <c r="MQ66" i="24"/>
  <c r="MR66" i="24" s="1"/>
  <c r="MI79" i="24"/>
  <c r="E51" i="25" s="1"/>
  <c r="MQ79" i="24"/>
  <c r="MR79" i="24" s="1"/>
  <c r="MG79" i="24"/>
  <c r="D51" i="25" s="1"/>
  <c r="C51" i="25"/>
  <c r="MT41" i="24"/>
  <c r="H13" i="25"/>
  <c r="H34" i="25"/>
  <c r="MI57" i="24"/>
  <c r="E29" i="25" s="1"/>
  <c r="MQ57" i="24"/>
  <c r="MR57" i="24" s="1"/>
  <c r="MI75" i="24"/>
  <c r="E47" i="25" s="1"/>
  <c r="MQ75" i="24"/>
  <c r="MR75" i="24" s="1"/>
  <c r="C26" i="25"/>
  <c r="MI88" i="24"/>
  <c r="MP88" i="24"/>
  <c r="MT88" i="24" s="1"/>
  <c r="MU88" i="24" s="1"/>
  <c r="MW81" i="24"/>
  <c r="MW62" i="24"/>
  <c r="MW82" i="24"/>
  <c r="MW61" i="24"/>
  <c r="MW54" i="24"/>
  <c r="MW94" i="24"/>
  <c r="MW72" i="24"/>
  <c r="MI39" i="24"/>
  <c r="E11" i="25" s="1"/>
  <c r="MQ39" i="24"/>
  <c r="MR39" i="24" s="1"/>
  <c r="MW90" i="24"/>
  <c r="MW100" i="24"/>
  <c r="MI95" i="24"/>
  <c r="MQ95" i="24"/>
  <c r="MR95" i="24" s="1"/>
  <c r="MI96" i="24"/>
  <c r="MP96" i="24"/>
  <c r="MT96" i="24" s="1"/>
  <c r="MU96" i="24" s="1"/>
  <c r="MI78" i="24"/>
  <c r="E50" i="25" s="1"/>
  <c r="MQ78" i="24"/>
  <c r="MR78" i="24" s="1"/>
  <c r="MW40" i="24"/>
  <c r="MW39" i="24"/>
  <c r="MW41" i="24"/>
  <c r="MX53" i="24"/>
  <c r="MW42" i="24"/>
  <c r="MW53" i="24"/>
  <c r="MW52" i="24"/>
  <c r="MW47" i="24"/>
  <c r="MW49" i="24"/>
  <c r="MW51" i="24"/>
  <c r="MW48" i="24"/>
  <c r="MW46" i="24"/>
  <c r="MW50" i="24"/>
  <c r="MS65" i="24"/>
  <c r="MS63" i="24"/>
  <c r="MS97" i="24"/>
  <c r="MV94" i="24"/>
  <c r="MV84" i="24"/>
  <c r="MS40" i="24"/>
  <c r="MV100" i="24"/>
  <c r="MS86" i="24"/>
  <c r="MS57" i="24"/>
  <c r="MV77" i="24"/>
  <c r="MS74" i="24"/>
  <c r="MV99" i="24"/>
  <c r="MS77" i="24"/>
  <c r="MV97" i="24"/>
  <c r="MS70" i="24"/>
  <c r="MV87" i="24"/>
  <c r="MV55" i="24"/>
  <c r="MV95" i="24"/>
  <c r="MS66" i="24"/>
  <c r="MS76" i="24"/>
  <c r="MS64" i="24"/>
  <c r="MS60" i="24"/>
  <c r="MV80" i="24"/>
  <c r="MV92" i="24"/>
  <c r="MS41" i="24"/>
  <c r="MV81" i="24"/>
  <c r="MV89" i="24"/>
  <c r="MS87" i="24"/>
  <c r="MS85" i="24"/>
  <c r="MS72" i="24"/>
  <c r="MS56" i="24"/>
  <c r="MV78" i="24"/>
  <c r="MV90" i="24"/>
  <c r="MS98" i="24"/>
  <c r="MV91" i="24"/>
  <c r="MV63" i="24"/>
  <c r="MS91" i="24"/>
  <c r="MS73" i="24"/>
  <c r="MV62" i="24"/>
  <c r="MV101" i="24"/>
  <c r="MS89" i="24"/>
  <c r="MV96" i="24"/>
  <c r="MS84" i="24"/>
  <c r="MS96" i="24"/>
  <c r="MS53" i="24"/>
  <c r="MV88" i="24"/>
  <c r="MV75" i="24"/>
  <c r="MS100" i="24"/>
  <c r="MS79" i="24"/>
  <c r="MV98" i="24"/>
  <c r="MS99" i="24"/>
  <c r="MS45" i="24"/>
  <c r="MV86" i="24"/>
  <c r="MV93" i="24"/>
  <c r="MS95" i="24"/>
  <c r="MS75" i="24"/>
  <c r="MS42" i="24"/>
  <c r="MS39" i="24"/>
  <c r="MS78" i="24"/>
  <c r="MS90" i="24"/>
  <c r="MT67" i="24" l="1"/>
  <c r="MU67" i="24" s="1"/>
  <c r="H50" i="25"/>
  <c r="H49" i="25"/>
  <c r="H35" i="25"/>
  <c r="H27" i="25"/>
  <c r="H52" i="25"/>
  <c r="MT69" i="24"/>
  <c r="MU69" i="24" s="1"/>
  <c r="H41" i="25"/>
  <c r="H43" i="25"/>
  <c r="MT71" i="24"/>
  <c r="MU71" i="24" s="1"/>
  <c r="MT74" i="24"/>
  <c r="MU74" i="24" s="1"/>
  <c r="H46" i="25"/>
  <c r="MT58" i="24"/>
  <c r="MU58" i="24" s="1"/>
  <c r="MG72" i="24"/>
  <c r="D44" i="25" s="1"/>
  <c r="MG73" i="24"/>
  <c r="D45" i="25" s="1"/>
  <c r="MJ75" i="24"/>
  <c r="MG74" i="24"/>
  <c r="D46" i="25" s="1"/>
  <c r="MJ74" i="24"/>
  <c r="MG75" i="24"/>
  <c r="D47" i="25" s="1"/>
  <c r="MT53" i="24"/>
  <c r="MU53" i="24" s="1"/>
  <c r="MT70" i="24"/>
  <c r="MU70" i="24" s="1"/>
  <c r="H42" i="25"/>
  <c r="MG70" i="24"/>
  <c r="D42" i="25" s="1"/>
  <c r="HO46" i="24"/>
  <c r="MG65" i="24"/>
  <c r="D37" i="25" s="1"/>
  <c r="MG66" i="24"/>
  <c r="D38" i="25" s="1"/>
  <c r="MG64" i="24"/>
  <c r="D36" i="25" s="1"/>
  <c r="H53" i="25"/>
  <c r="MT61" i="24"/>
  <c r="MU61" i="24" s="1"/>
  <c r="H33" i="25"/>
  <c r="MT82" i="24"/>
  <c r="MU82" i="24" s="1"/>
  <c r="H47" i="25"/>
  <c r="MJ63" i="24"/>
  <c r="MJ62" i="24"/>
  <c r="MG63" i="24"/>
  <c r="D35" i="25" s="1"/>
  <c r="MG40" i="24"/>
  <c r="D12" i="25" s="1"/>
  <c r="MG41" i="24"/>
  <c r="D13" i="25" s="1"/>
  <c r="MG57" i="24"/>
  <c r="D29" i="25" s="1"/>
  <c r="MG45" i="24"/>
  <c r="D17" i="25" s="1"/>
  <c r="MG56" i="24"/>
  <c r="D28" i="25" s="1"/>
  <c r="MJ55" i="24"/>
  <c r="MG42" i="24"/>
  <c r="D14" i="25" s="1"/>
  <c r="MG53" i="24"/>
  <c r="D25" i="25" s="1"/>
  <c r="MG60" i="24"/>
  <c r="D32" i="25" s="1"/>
  <c r="MG39" i="24"/>
  <c r="D11" i="25" s="1"/>
  <c r="MT60" i="24"/>
  <c r="MU60" i="24" s="1"/>
  <c r="H32" i="25"/>
  <c r="MT57" i="24"/>
  <c r="MU57" i="24" s="1"/>
  <c r="H29" i="25"/>
  <c r="MT66" i="24"/>
  <c r="MU66" i="24" s="1"/>
  <c r="H38" i="25"/>
  <c r="MT65" i="24"/>
  <c r="MU65" i="24" s="1"/>
  <c r="H37" i="25"/>
  <c r="MT64" i="24"/>
  <c r="MU64" i="24" s="1"/>
  <c r="H36" i="25"/>
  <c r="MT73" i="24"/>
  <c r="MU73" i="24" s="1"/>
  <c r="H45" i="25"/>
  <c r="MT76" i="24"/>
  <c r="MU76" i="24" s="1"/>
  <c r="H48" i="25"/>
  <c r="MT59" i="24"/>
  <c r="MU59" i="24" s="1"/>
  <c r="H31" i="25"/>
  <c r="MT39" i="24"/>
  <c r="MU39" i="24" s="1"/>
  <c r="H11" i="25"/>
  <c r="MT54" i="24"/>
  <c r="MU54" i="24" s="1"/>
  <c r="H26" i="25"/>
  <c r="MT52" i="24"/>
  <c r="H24" i="25"/>
  <c r="HS47" i="24"/>
  <c r="HR47" i="24"/>
  <c r="HQ47" i="24"/>
  <c r="MT72" i="24"/>
  <c r="MU72" i="24" s="1"/>
  <c r="H44" i="25"/>
  <c r="GV48" i="24"/>
  <c r="HP48" i="24"/>
  <c r="GT48" i="24"/>
  <c r="GU48" i="24"/>
  <c r="GW48" i="24"/>
  <c r="GE49" i="24"/>
  <c r="MT83" i="24"/>
  <c r="MU83" i="24" s="1"/>
  <c r="H55" i="25"/>
  <c r="MT79" i="24"/>
  <c r="MU79" i="24" s="1"/>
  <c r="H51" i="25"/>
  <c r="HM47" i="24"/>
  <c r="MT68" i="24"/>
  <c r="MU68" i="24" s="1"/>
  <c r="H40" i="25"/>
  <c r="MT56" i="24"/>
  <c r="MU56" i="24" s="1"/>
  <c r="H28" i="25"/>
  <c r="MX54" i="24"/>
  <c r="MW43" i="24"/>
  <c r="MW44" i="24"/>
  <c r="MV70" i="24"/>
  <c r="MV53" i="24"/>
  <c r="MS47" i="24"/>
  <c r="MS71" i="24"/>
  <c r="MS101" i="24"/>
  <c r="MS62" i="24"/>
  <c r="MS52" i="24"/>
  <c r="MV65" i="24"/>
  <c r="MV79" i="24"/>
  <c r="MV64" i="24"/>
  <c r="MV73" i="24"/>
  <c r="MV61" i="24"/>
  <c r="MS49" i="24"/>
  <c r="MV66" i="24"/>
  <c r="MS50" i="24"/>
  <c r="MV60" i="24"/>
  <c r="MS58" i="24"/>
  <c r="MS48" i="24"/>
  <c r="MV58" i="24"/>
  <c r="MS81" i="24"/>
  <c r="MV59" i="24"/>
  <c r="MV56" i="24"/>
  <c r="MV54" i="24"/>
  <c r="MV71" i="24"/>
  <c r="MV74" i="24"/>
  <c r="MS68" i="24"/>
  <c r="MS67" i="24"/>
  <c r="MS82" i="24"/>
  <c r="MS51" i="24"/>
  <c r="MS54" i="24"/>
  <c r="MS94" i="24"/>
  <c r="MS46" i="24"/>
  <c r="MV76" i="24"/>
  <c r="MS55" i="24"/>
  <c r="MV69" i="24"/>
  <c r="MS83" i="24"/>
  <c r="MS93" i="24"/>
  <c r="MS61" i="24"/>
  <c r="MS80" i="24"/>
  <c r="MS59" i="24"/>
  <c r="MS69" i="24"/>
  <c r="MS92" i="24"/>
  <c r="MV67" i="24"/>
  <c r="MV82" i="24"/>
  <c r="MS88" i="24"/>
  <c r="MV68" i="24"/>
  <c r="MV57" i="24"/>
  <c r="MV72" i="24"/>
  <c r="MV83" i="24"/>
  <c r="MJ67" i="24" l="1"/>
  <c r="G39" i="25" s="1"/>
  <c r="MG51" i="24"/>
  <c r="D23" i="25" s="1"/>
  <c r="MG48" i="24"/>
  <c r="D20" i="25" s="1"/>
  <c r="MG50" i="24"/>
  <c r="D22" i="25" s="1"/>
  <c r="MJ58" i="24"/>
  <c r="G30" i="25" s="1"/>
  <c r="MJ71" i="24"/>
  <c r="G43" i="25" s="1"/>
  <c r="MJ69" i="24"/>
  <c r="G41" i="25" s="1"/>
  <c r="MJ73" i="24"/>
  <c r="MJ72" i="24"/>
  <c r="G47" i="25"/>
  <c r="MM75" i="24"/>
  <c r="I47" i="25" s="1"/>
  <c r="G46" i="25"/>
  <c r="MM74" i="24"/>
  <c r="I46" i="25" s="1"/>
  <c r="MJ53" i="24"/>
  <c r="MM53" i="24" s="1"/>
  <c r="I25" i="25" s="1"/>
  <c r="MJ70" i="24"/>
  <c r="G42" i="25" s="1"/>
  <c r="MJ68" i="24"/>
  <c r="MG68" i="24"/>
  <c r="D40" i="25" s="1"/>
  <c r="MG71" i="24"/>
  <c r="D43" i="25" s="1"/>
  <c r="MG69" i="24"/>
  <c r="D41" i="25" s="1"/>
  <c r="HO47" i="24"/>
  <c r="MJ66" i="24"/>
  <c r="MG67" i="24"/>
  <c r="D39" i="25" s="1"/>
  <c r="MJ65" i="24"/>
  <c r="MJ64" i="24"/>
  <c r="MJ61" i="24"/>
  <c r="G33" i="25" s="1"/>
  <c r="MG61" i="24"/>
  <c r="D33" i="25" s="1"/>
  <c r="MG62" i="24"/>
  <c r="D34" i="25" s="1"/>
  <c r="G34" i="25"/>
  <c r="G35" i="25"/>
  <c r="MM63" i="24"/>
  <c r="I35" i="25" s="1"/>
  <c r="MG52" i="24"/>
  <c r="D24" i="25" s="1"/>
  <c r="MJ54" i="24"/>
  <c r="MJ59" i="24"/>
  <c r="MG46" i="24"/>
  <c r="D18" i="25" s="1"/>
  <c r="MJ60" i="24"/>
  <c r="MG54" i="24"/>
  <c r="D26" i="25" s="1"/>
  <c r="MG59" i="24"/>
  <c r="D31" i="25" s="1"/>
  <c r="MG49" i="24"/>
  <c r="D21" i="25" s="1"/>
  <c r="MG58" i="24"/>
  <c r="D30" i="25" s="1"/>
  <c r="MJ57" i="24"/>
  <c r="MJ56" i="24"/>
  <c r="MG47" i="24"/>
  <c r="D19" i="25" s="1"/>
  <c r="MG55" i="24"/>
  <c r="D27" i="25" s="1"/>
  <c r="HM48" i="24"/>
  <c r="G27" i="25"/>
  <c r="GV49" i="24"/>
  <c r="GW49" i="24"/>
  <c r="GT49" i="24"/>
  <c r="HP49" i="24"/>
  <c r="GE50" i="24"/>
  <c r="GU49" i="24"/>
  <c r="HS48" i="24"/>
  <c r="HQ48" i="24"/>
  <c r="HR48" i="24"/>
  <c r="MX39" i="24"/>
  <c r="MS44" i="24"/>
  <c r="MS43" i="24"/>
  <c r="MM71" i="24" l="1"/>
  <c r="I43" i="25" s="1"/>
  <c r="MM69" i="24"/>
  <c r="I41" i="25" s="1"/>
  <c r="MM70" i="24"/>
  <c r="I42" i="25" s="1"/>
  <c r="G25" i="25"/>
  <c r="G44" i="25"/>
  <c r="MM72" i="24"/>
  <c r="I44" i="25" s="1"/>
  <c r="G45" i="25"/>
  <c r="MM73" i="24"/>
  <c r="I45" i="25" s="1"/>
  <c r="G40" i="25"/>
  <c r="MM68" i="24"/>
  <c r="I40" i="25" s="1"/>
  <c r="HO48" i="24"/>
  <c r="MM67" i="24"/>
  <c r="I39" i="25" s="1"/>
  <c r="G36" i="25"/>
  <c r="MM64" i="24"/>
  <c r="I36" i="25" s="1"/>
  <c r="G37" i="25"/>
  <c r="MM65" i="24"/>
  <c r="I37" i="25" s="1"/>
  <c r="G38" i="25"/>
  <c r="MM66" i="24"/>
  <c r="I38" i="25" s="1"/>
  <c r="MM58" i="24"/>
  <c r="I30" i="25" s="1"/>
  <c r="MM62" i="24"/>
  <c r="I34" i="25" s="1"/>
  <c r="MM61" i="24"/>
  <c r="I33" i="25" s="1"/>
  <c r="MM55" i="24"/>
  <c r="I27" i="25" s="1"/>
  <c r="MG43" i="24"/>
  <c r="D15" i="25" s="1"/>
  <c r="MG44" i="24"/>
  <c r="D16" i="25" s="1"/>
  <c r="G29" i="25"/>
  <c r="MM57" i="24"/>
  <c r="I29" i="25" s="1"/>
  <c r="GW50" i="24"/>
  <c r="HP50" i="24"/>
  <c r="GT50" i="24"/>
  <c r="GE51" i="24"/>
  <c r="GV50" i="24"/>
  <c r="GU50" i="24"/>
  <c r="G31" i="25"/>
  <c r="MM59" i="24"/>
  <c r="I31" i="25" s="1"/>
  <c r="HS49" i="24"/>
  <c r="HR49" i="24"/>
  <c r="HQ49" i="24"/>
  <c r="G26" i="25"/>
  <c r="MM54" i="24"/>
  <c r="I26" i="25" s="1"/>
  <c r="HM49" i="24"/>
  <c r="G28" i="25"/>
  <c r="MM56" i="24"/>
  <c r="I28" i="25" s="1"/>
  <c r="G32" i="25"/>
  <c r="MM60" i="24"/>
  <c r="I32" i="25" s="1"/>
  <c r="MV39" i="24"/>
  <c r="HO49" i="24" l="1"/>
  <c r="MJ39" i="24"/>
  <c r="HM50" i="24"/>
  <c r="HS50" i="24"/>
  <c r="HQ50" i="24"/>
  <c r="HR50" i="24"/>
  <c r="GW51" i="24"/>
  <c r="GT51" i="24"/>
  <c r="HP51" i="24"/>
  <c r="GE52" i="24"/>
  <c r="GU51" i="24"/>
  <c r="GV51" i="24"/>
  <c r="HO50" i="24" l="1"/>
  <c r="HM51" i="24"/>
  <c r="GU52" i="24"/>
  <c r="GV52" i="24"/>
  <c r="HP52" i="24"/>
  <c r="GT52" i="24"/>
  <c r="GE53" i="24"/>
  <c r="GW52" i="24"/>
  <c r="HQ51" i="24"/>
  <c r="HR51" i="24"/>
  <c r="HS51" i="24"/>
  <c r="G11" i="25"/>
  <c r="MM39" i="24"/>
  <c r="I11" i="25" s="1"/>
  <c r="HO51" i="24" l="1"/>
  <c r="HM52" i="24"/>
  <c r="HR52" i="24"/>
  <c r="HS52" i="24"/>
  <c r="HQ52" i="24"/>
  <c r="GW53" i="24"/>
  <c r="GE54" i="24"/>
  <c r="GT53" i="24"/>
  <c r="GU53" i="24"/>
  <c r="HP53" i="24"/>
  <c r="GV53" i="24"/>
  <c r="HO52" i="24" l="1"/>
  <c r="GW54" i="24"/>
  <c r="GV54" i="24"/>
  <c r="HP54" i="24"/>
  <c r="GT54" i="24"/>
  <c r="GE55" i="24"/>
  <c r="GU54" i="24"/>
  <c r="HM53" i="24"/>
  <c r="HR53" i="24"/>
  <c r="HQ53" i="24"/>
  <c r="HS53" i="24"/>
  <c r="HO53" i="24" l="1"/>
  <c r="HM54" i="24"/>
  <c r="HR54" i="24"/>
  <c r="HQ54" i="24"/>
  <c r="HS54" i="24"/>
  <c r="GE56" i="24"/>
  <c r="GU55" i="24"/>
  <c r="GW55" i="24"/>
  <c r="GT55" i="24"/>
  <c r="GV55" i="24"/>
  <c r="HP55" i="24"/>
  <c r="HO54" i="24" l="1"/>
  <c r="HM55" i="24"/>
  <c r="HR55" i="24"/>
  <c r="HS55" i="24"/>
  <c r="HQ55" i="24"/>
  <c r="GE57" i="24"/>
  <c r="GW56" i="24"/>
  <c r="GU56" i="24"/>
  <c r="GV56" i="24"/>
  <c r="HP56" i="24"/>
  <c r="GT56" i="24"/>
  <c r="HO55" i="24" l="1"/>
  <c r="HM56" i="24"/>
  <c r="HS56" i="24"/>
  <c r="HQ56" i="24"/>
  <c r="HR56" i="24"/>
  <c r="GE58" i="24"/>
  <c r="HP57" i="24"/>
  <c r="GW57" i="24"/>
  <c r="GV57" i="24"/>
  <c r="GT57" i="24"/>
  <c r="GU57" i="24"/>
  <c r="HO56" i="24" l="1"/>
  <c r="HQ57" i="24"/>
  <c r="HR57" i="24"/>
  <c r="HS57" i="24"/>
  <c r="HM57" i="24"/>
  <c r="GE59" i="24"/>
  <c r="GE60" i="24" s="1"/>
  <c r="GV58" i="24"/>
  <c r="GU58" i="24"/>
  <c r="GW58" i="24"/>
  <c r="HP58" i="24"/>
  <c r="GT58" i="24"/>
  <c r="GT60" i="24" l="1"/>
  <c r="GE61" i="24"/>
  <c r="HP60" i="24"/>
  <c r="GU60" i="24"/>
  <c r="GW60" i="24"/>
  <c r="GV60" i="24"/>
  <c r="HO57" i="24"/>
  <c r="HM58" i="24"/>
  <c r="HR58" i="24"/>
  <c r="HS58" i="24"/>
  <c r="HQ58" i="24"/>
  <c r="HP59" i="24"/>
  <c r="GW59" i="24"/>
  <c r="GT59" i="24"/>
  <c r="GV59" i="24"/>
  <c r="GU59" i="24"/>
  <c r="GE62" i="24" l="1"/>
  <c r="GE63" i="24" s="1"/>
  <c r="GT61" i="24"/>
  <c r="HP61" i="24"/>
  <c r="HQ61" i="24" s="1"/>
  <c r="GV61" i="24"/>
  <c r="GW61" i="24"/>
  <c r="GU61" i="24"/>
  <c r="HM60" i="24"/>
  <c r="HO58" i="24"/>
  <c r="HM59" i="24"/>
  <c r="HS59" i="24"/>
  <c r="HR59" i="24"/>
  <c r="HQ59" i="24"/>
  <c r="HS60" i="24"/>
  <c r="HQ60" i="24"/>
  <c r="HR60" i="24"/>
  <c r="GE64" i="24" l="1"/>
  <c r="GV63" i="24"/>
  <c r="GU63" i="24"/>
  <c r="GW63" i="24"/>
  <c r="HP63" i="24"/>
  <c r="GT63" i="24"/>
  <c r="HS61" i="24"/>
  <c r="HR61" i="24"/>
  <c r="HM61" i="24"/>
  <c r="GW62" i="24"/>
  <c r="GT62" i="24"/>
  <c r="HP62" i="24"/>
  <c r="GV62" i="24"/>
  <c r="GU62" i="24"/>
  <c r="HO59" i="24"/>
  <c r="HO60" i="24"/>
  <c r="HM63" i="24" l="1"/>
  <c r="GE65" i="24"/>
  <c r="GV64" i="24"/>
  <c r="HP64" i="24"/>
  <c r="HQ64" i="24" s="1"/>
  <c r="GU64" i="24"/>
  <c r="GW64" i="24"/>
  <c r="GT64" i="24"/>
  <c r="HO61" i="24"/>
  <c r="HR62" i="24"/>
  <c r="HQ62" i="24"/>
  <c r="HQ63" i="24"/>
  <c r="HR63" i="24"/>
  <c r="HS63" i="24"/>
  <c r="HS62" i="24"/>
  <c r="HM62" i="24"/>
  <c r="HS64" i="24" l="1"/>
  <c r="HR64" i="24"/>
  <c r="HM64" i="24"/>
  <c r="GW65" i="24"/>
  <c r="GE66" i="24"/>
  <c r="GV65" i="24"/>
  <c r="HP65" i="24"/>
  <c r="GU65" i="24"/>
  <c r="GT65" i="24"/>
  <c r="HO63" i="24"/>
  <c r="HO62" i="24"/>
  <c r="HO64" i="24" l="1"/>
  <c r="HM65" i="24"/>
  <c r="GW66" i="24"/>
  <c r="GE67" i="24"/>
  <c r="GT66" i="24"/>
  <c r="GV66" i="24"/>
  <c r="HP66" i="24"/>
  <c r="GU66" i="24"/>
  <c r="HQ65" i="24"/>
  <c r="HR65" i="24"/>
  <c r="HS65" i="24"/>
  <c r="HO65" i="24" l="1"/>
  <c r="HM66" i="24"/>
  <c r="GV67" i="24"/>
  <c r="GW67" i="24"/>
  <c r="HP67" i="24"/>
  <c r="GE68" i="24"/>
  <c r="GE69" i="24" s="1"/>
  <c r="GT67" i="24"/>
  <c r="GU67" i="24"/>
  <c r="HS66" i="24"/>
  <c r="HR66" i="24"/>
  <c r="HQ66" i="24"/>
  <c r="GV69" i="24" l="1"/>
  <c r="GT69" i="24"/>
  <c r="HP69" i="24"/>
  <c r="GU69" i="24"/>
  <c r="GE70" i="24"/>
  <c r="GW69" i="24"/>
  <c r="HO66" i="24"/>
  <c r="HS67" i="24"/>
  <c r="HR67" i="24"/>
  <c r="HQ67" i="24"/>
  <c r="HM67" i="24"/>
  <c r="GW68" i="24"/>
  <c r="GT68" i="24"/>
  <c r="HP68" i="24"/>
  <c r="GU68" i="24"/>
  <c r="GV68" i="24"/>
  <c r="HM69" i="24" l="1"/>
  <c r="GV70" i="24"/>
  <c r="GE71" i="24"/>
  <c r="HP70" i="24"/>
  <c r="HQ70" i="24" s="1"/>
  <c r="GT70" i="24"/>
  <c r="GW70" i="24"/>
  <c r="GU70" i="24"/>
  <c r="HO67" i="24"/>
  <c r="HM68" i="24"/>
  <c r="HQ68" i="24"/>
  <c r="HR68" i="24"/>
  <c r="HS68" i="24"/>
  <c r="HR69" i="24"/>
  <c r="HS69" i="24"/>
  <c r="HQ69" i="24"/>
  <c r="HS70" i="24"/>
  <c r="HR70" i="24" l="1"/>
  <c r="GE72" i="24"/>
  <c r="GU71" i="24"/>
  <c r="GV71" i="24"/>
  <c r="GT71" i="24"/>
  <c r="GW71" i="24"/>
  <c r="HP71" i="24"/>
  <c r="HM70" i="24"/>
  <c r="HO68" i="24"/>
  <c r="HO69" i="24"/>
  <c r="MU45" i="24"/>
  <c r="HO70" i="24" l="1"/>
  <c r="HM71" i="24"/>
  <c r="HQ71" i="24"/>
  <c r="HR71" i="24"/>
  <c r="HS71" i="24"/>
  <c r="GV72" i="24"/>
  <c r="GW72" i="24"/>
  <c r="GE73" i="24"/>
  <c r="HP72" i="24"/>
  <c r="GU72" i="24"/>
  <c r="GT72" i="24"/>
  <c r="MU42" i="24"/>
  <c r="MX42" i="24"/>
  <c r="MX45" i="24"/>
  <c r="HO71" i="24" l="1"/>
  <c r="HS72" i="24"/>
  <c r="HQ72" i="24"/>
  <c r="HR72" i="24"/>
  <c r="GE74" i="24"/>
  <c r="GV73" i="24"/>
  <c r="GW73" i="24"/>
  <c r="HP73" i="24"/>
  <c r="GT73" i="24"/>
  <c r="GU73" i="24"/>
  <c r="HM72" i="24"/>
  <c r="MU50" i="24"/>
  <c r="MX50" i="24"/>
  <c r="MV45" i="24"/>
  <c r="MV42" i="24"/>
  <c r="MV50" i="24"/>
  <c r="MJ45" i="24" l="1"/>
  <c r="HO72" i="24"/>
  <c r="HR73" i="24"/>
  <c r="HQ73" i="24"/>
  <c r="HS73" i="24"/>
  <c r="HM73" i="24"/>
  <c r="GE75" i="24"/>
  <c r="GU74" i="24"/>
  <c r="HP74" i="24"/>
  <c r="GW74" i="24"/>
  <c r="GV74" i="24"/>
  <c r="GT74" i="24"/>
  <c r="MJ42" i="24"/>
  <c r="MM42" i="24" s="1"/>
  <c r="I14" i="25" s="1"/>
  <c r="MJ50" i="24"/>
  <c r="MM50" i="24" s="1"/>
  <c r="I22" i="25" s="1"/>
  <c r="MU43" i="24"/>
  <c r="MX43" i="24"/>
  <c r="MM45" i="24" l="1"/>
  <c r="I17" i="25" s="1"/>
  <c r="G17" i="25"/>
  <c r="HO73" i="24"/>
  <c r="HM74" i="24"/>
  <c r="HS74" i="24"/>
  <c r="HR74" i="24"/>
  <c r="HQ74" i="24"/>
  <c r="GE76" i="24"/>
  <c r="GW75" i="24"/>
  <c r="HM75" i="24" s="1"/>
  <c r="HP75" i="24"/>
  <c r="G14" i="25"/>
  <c r="G22" i="25"/>
  <c r="MU47" i="24"/>
  <c r="MV43" i="24"/>
  <c r="MX47" i="24"/>
  <c r="HO74" i="24" l="1"/>
  <c r="HQ75" i="24"/>
  <c r="HR75" i="24"/>
  <c r="HS75" i="24"/>
  <c r="GE77" i="24"/>
  <c r="GW76" i="24"/>
  <c r="HM76" i="24" s="1"/>
  <c r="HP76" i="24"/>
  <c r="MJ43" i="24"/>
  <c r="G15" i="25" s="1"/>
  <c r="MU51" i="24"/>
  <c r="MX51" i="24"/>
  <c r="MV47" i="24"/>
  <c r="MV51" i="24"/>
  <c r="MJ47" i="24" l="1"/>
  <c r="G19" i="25" s="1"/>
  <c r="HO75" i="24"/>
  <c r="HS76" i="24"/>
  <c r="HQ76" i="24"/>
  <c r="HR76" i="24"/>
  <c r="HP77" i="24"/>
  <c r="GW77" i="24"/>
  <c r="HM77" i="24" s="1"/>
  <c r="GE78" i="24"/>
  <c r="MM43" i="24"/>
  <c r="I15" i="25" s="1"/>
  <c r="MJ51" i="24"/>
  <c r="MM51" i="24" s="1"/>
  <c r="I23" i="25" s="1"/>
  <c r="MU41" i="24"/>
  <c r="MX41" i="24"/>
  <c r="MM47" i="24" l="1"/>
  <c r="I19" i="25" s="1"/>
  <c r="HO76" i="24"/>
  <c r="GE79" i="24"/>
  <c r="GW78" i="24"/>
  <c r="HM78" i="24" s="1"/>
  <c r="HP78" i="24"/>
  <c r="HQ77" i="24"/>
  <c r="HR77" i="24"/>
  <c r="HS77" i="24"/>
  <c r="G23" i="25"/>
  <c r="MU49" i="24"/>
  <c r="MX49" i="24"/>
  <c r="MV41" i="24"/>
  <c r="MV49" i="24"/>
  <c r="HO77" i="24" l="1"/>
  <c r="HR78" i="24"/>
  <c r="HQ78" i="24"/>
  <c r="HS78" i="24"/>
  <c r="HP79" i="24"/>
  <c r="GW79" i="24"/>
  <c r="HM79" i="24" s="1"/>
  <c r="MJ41" i="24"/>
  <c r="MM41" i="24" s="1"/>
  <c r="I13" i="25" s="1"/>
  <c r="MJ49" i="24"/>
  <c r="MM49" i="24" s="1"/>
  <c r="I21" i="25" s="1"/>
  <c r="MU46" i="24"/>
  <c r="MX46" i="24"/>
  <c r="HO78" i="24" l="1"/>
  <c r="HQ80" i="24"/>
  <c r="HS82" i="24"/>
  <c r="HO82" i="24" s="1"/>
  <c r="HR81" i="24"/>
  <c r="HS79" i="24"/>
  <c r="HS80" i="24"/>
  <c r="HR80" i="24"/>
  <c r="HR79" i="24"/>
  <c r="HS81" i="24"/>
  <c r="HQ79" i="24"/>
  <c r="G13" i="25"/>
  <c r="G21" i="25"/>
  <c r="MU40" i="24"/>
  <c r="MX40" i="24"/>
  <c r="MV46" i="24"/>
  <c r="MJ46" i="24" l="1"/>
  <c r="G18" i="25" s="1"/>
  <c r="HO79" i="24"/>
  <c r="HO81" i="24"/>
  <c r="HO80" i="24"/>
  <c r="MM46" i="24"/>
  <c r="I18" i="25" s="1"/>
  <c r="MU44" i="24"/>
  <c r="MV40" i="24"/>
  <c r="MX44" i="24"/>
  <c r="MJ40" i="24" l="1"/>
  <c r="MM40" i="24" s="1"/>
  <c r="I12" i="25" s="1"/>
  <c r="MU48" i="24"/>
  <c r="MX48" i="24"/>
  <c r="MV44" i="24"/>
  <c r="MV48" i="24"/>
  <c r="MJ44" i="24" l="1"/>
  <c r="MM44" i="24" s="1"/>
  <c r="I16" i="25" s="1"/>
  <c r="G12" i="25"/>
  <c r="MJ48" i="24"/>
  <c r="G20" i="25" s="1"/>
  <c r="G16" i="25" l="1"/>
  <c r="MM48" i="24"/>
  <c r="I20" i="25" l="1"/>
  <c r="MU52" i="24"/>
  <c r="MX52" i="24"/>
  <c r="MV52" i="24"/>
  <c r="MJ52" i="24" l="1"/>
  <c r="MM52" i="24" s="1"/>
  <c r="G24" i="25" l="1"/>
  <c r="MM37" i="24"/>
  <c r="I24" i="25"/>
  <c r="I56" i="25" s="1"/>
  <c r="I57" i="25" l="1"/>
  <c r="I58" i="25" s="1"/>
  <c r="MN36" i="24"/>
  <c r="MM36" i="24"/>
  <c r="NI38" i="24"/>
  <c r="NI41" i="24" s="1"/>
  <c r="NK40" i="24" s="1"/>
  <c r="B2" i="25" s="1"/>
  <c r="MO36" i="24" l="1"/>
  <c r="EA67" i="15" l="1"/>
  <c r="EB67" i="15" s="1"/>
  <c r="EA68" i="15"/>
  <c r="EB68" i="15" s="1"/>
  <c r="EA69" i="15"/>
  <c r="EB69" i="15" s="1"/>
  <c r="EA70" i="15"/>
  <c r="EB70" i="15" s="1"/>
  <c r="EA71" i="15"/>
  <c r="EB71" i="15" s="1"/>
  <c r="EA72" i="15"/>
  <c r="EB72" i="15" s="1"/>
  <c r="EA73" i="15"/>
  <c r="EB73" i="15" s="1"/>
  <c r="EA74" i="15"/>
  <c r="EB74" i="15" s="1"/>
  <c r="EA75" i="15"/>
  <c r="EB75" i="15" s="1"/>
  <c r="EA76" i="15"/>
  <c r="EB76" i="15" s="1"/>
  <c r="EA77" i="15"/>
  <c r="EB77" i="15" s="1"/>
  <c r="EA78" i="15"/>
  <c r="EB78" i="15" s="1"/>
  <c r="EA79" i="15"/>
  <c r="EB79" i="15" s="1"/>
  <c r="EA80" i="15"/>
  <c r="EB80" i="15" s="1"/>
  <c r="EA81" i="15"/>
  <c r="EB81" i="15" s="1"/>
  <c r="EA82" i="15"/>
  <c r="EB82" i="15" s="1"/>
  <c r="EA83" i="15"/>
  <c r="EB83" i="15" s="1"/>
  <c r="EA84" i="15"/>
  <c r="EB84" i="15" s="1"/>
  <c r="EA85" i="15"/>
  <c r="EB85" i="15" s="1"/>
  <c r="EA86" i="15"/>
  <c r="EB86" i="15" s="1"/>
  <c r="EL71" i="15"/>
  <c r="EJ76" i="15"/>
  <c r="EL79" i="15"/>
  <c r="EI67" i="15"/>
  <c r="EM71" i="15"/>
  <c r="EE72" i="15"/>
  <c r="EG67" i="15"/>
  <c r="EQ79" i="15"/>
  <c r="EJ67" i="15"/>
  <c r="EM76" i="15"/>
  <c r="EG79" i="15"/>
  <c r="EJ85" i="15"/>
  <c r="EJ71" i="15"/>
  <c r="EE67" i="15"/>
  <c r="EL72" i="15"/>
  <c r="ED68" i="15"/>
  <c r="EE71" i="15"/>
  <c r="EL76" i="15"/>
  <c r="EQ71" i="15"/>
  <c r="EK79" i="15"/>
  <c r="EG85" i="15"/>
  <c r="EQ67" i="15"/>
  <c r="EG71" i="15"/>
  <c r="ED79" i="15"/>
  <c r="EM79" i="15"/>
  <c r="EO67" i="15"/>
  <c r="EG76" i="15"/>
  <c r="EI79" i="15"/>
  <c r="EM67" i="15"/>
  <c r="EF79" i="15"/>
  <c r="EO79" i="15"/>
  <c r="ED67" i="15"/>
  <c r="EL85" i="15"/>
  <c r="EJ79" i="15"/>
  <c r="EP79" i="15"/>
  <c r="EF72" i="15"/>
  <c r="EL67" i="15"/>
  <c r="EE76" i="15"/>
  <c r="EM85" i="15"/>
  <c r="EQ76" i="15"/>
  <c r="FM68" i="15"/>
  <c r="EE85" i="15"/>
  <c r="EN72" i="15"/>
  <c r="EG72" i="15"/>
  <c r="EQ85" i="15"/>
  <c r="EA87" i="15" l="1"/>
  <c r="EB87" i="15" s="1"/>
  <c r="EA88" i="15"/>
  <c r="EB88" i="15" s="1"/>
  <c r="EN74" i="15"/>
  <c r="EG83" i="15"/>
  <c r="ED73" i="15"/>
  <c r="EK72" i="15"/>
  <c r="EE80" i="15"/>
  <c r="EE69" i="15"/>
  <c r="EL73" i="15"/>
  <c r="EQ75" i="15"/>
  <c r="EJ77" i="15"/>
  <c r="EK76" i="15"/>
  <c r="FM80" i="15"/>
  <c r="EJ69" i="15"/>
  <c r="EQ82" i="15"/>
  <c r="EM81" i="15"/>
  <c r="FM71" i="15"/>
  <c r="FM78" i="15"/>
  <c r="EO73" i="15"/>
  <c r="FM74" i="15"/>
  <c r="EI72" i="15"/>
  <c r="EO85" i="15"/>
  <c r="EN79" i="15"/>
  <c r="FM81" i="15"/>
  <c r="EH75" i="15"/>
  <c r="EK74" i="15"/>
  <c r="EO68" i="15"/>
  <c r="EH70" i="15"/>
  <c r="EG69" i="15"/>
  <c r="EI73" i="15"/>
  <c r="FM75" i="15"/>
  <c r="EE68" i="15"/>
  <c r="EL84" i="15"/>
  <c r="EJ83" i="15"/>
  <c r="EP78" i="15"/>
  <c r="EE87" i="15"/>
  <c r="EE88" i="15"/>
  <c r="EQ86" i="15"/>
  <c r="EN86" i="15"/>
  <c r="EP67" i="15"/>
  <c r="ED82" i="15"/>
  <c r="EE73" i="15"/>
  <c r="ED76" i="15"/>
  <c r="EO75" i="15"/>
  <c r="EH68" i="15"/>
  <c r="EF80" i="15"/>
  <c r="EF69" i="15"/>
  <c r="EN73" i="15"/>
  <c r="ED72" i="15"/>
  <c r="EP85" i="15"/>
  <c r="EK84" i="15"/>
  <c r="EL74" i="15"/>
  <c r="EK70" i="15"/>
  <c r="EE82" i="15"/>
  <c r="FM72" i="15"/>
  <c r="EE84" i="15"/>
  <c r="EE83" i="15"/>
  <c r="EH78" i="15"/>
  <c r="EN71" i="15"/>
  <c r="EO81" i="15"/>
  <c r="EE74" i="15"/>
  <c r="EN84" i="15"/>
  <c r="EP84" i="15"/>
  <c r="EO69" i="15"/>
  <c r="EJ73" i="15"/>
  <c r="ED86" i="15"/>
  <c r="EJ75" i="15"/>
  <c r="EQ73" i="15"/>
  <c r="ED83" i="15"/>
  <c r="EJ70" i="15"/>
  <c r="EF82" i="15"/>
  <c r="EF81" i="15"/>
  <c r="EK67" i="15"/>
  <c r="EN68" i="15"/>
  <c r="EI75" i="15"/>
  <c r="EO70" i="15"/>
  <c r="EO82" i="15"/>
  <c r="EJ86" i="15"/>
  <c r="EG77" i="15"/>
  <c r="EF75" i="15"/>
  <c r="EO80" i="15"/>
  <c r="EE81" i="15"/>
  <c r="EJ84" i="15"/>
  <c r="EH74" i="15"/>
  <c r="EM84" i="15"/>
  <c r="FM83" i="15"/>
  <c r="EO72" i="15"/>
  <c r="EK75" i="15"/>
  <c r="EN80" i="15"/>
  <c r="EN69" i="15"/>
  <c r="EM83" i="15"/>
  <c r="EN78" i="15"/>
  <c r="EH77" i="15"/>
  <c r="EF85" i="15"/>
  <c r="ED78" i="15"/>
  <c r="EE70" i="15"/>
  <c r="EH82" i="15"/>
  <c r="EH81" i="15"/>
  <c r="EO74" i="15"/>
  <c r="EN77" i="15"/>
  <c r="EQ81" i="15"/>
  <c r="EM72" i="15"/>
  <c r="ED84" i="15"/>
  <c r="EL75" i="15"/>
  <c r="EM77" i="15"/>
  <c r="EK85" i="15"/>
  <c r="EQ84" i="15"/>
  <c r="EN82" i="15"/>
  <c r="EN83" i="15"/>
  <c r="EL82" i="15"/>
  <c r="EL81" i="15"/>
  <c r="FM67" i="15"/>
  <c r="EP68" i="15"/>
  <c r="EL80" i="15"/>
  <c r="FM79" i="15"/>
  <c r="EF74" i="15"/>
  <c r="EJ78" i="15"/>
  <c r="EP74" i="15"/>
  <c r="EG80" i="15"/>
  <c r="EQ69" i="15"/>
  <c r="EH73" i="15"/>
  <c r="FM76" i="15"/>
  <c r="EG68" i="15"/>
  <c r="EF71" i="15"/>
  <c r="EI80" i="15"/>
  <c r="EI69" i="15"/>
  <c r="EE75" i="15"/>
  <c r="EP81" i="15"/>
  <c r="ED71" i="15"/>
  <c r="EK69" i="15"/>
  <c r="EJ74" i="15"/>
  <c r="EK68" i="15"/>
  <c r="EP76" i="15"/>
  <c r="EN81" i="15"/>
  <c r="EP73" i="15"/>
  <c r="EL77" i="15"/>
  <c r="EI68" i="15"/>
  <c r="EO71" i="15"/>
  <c r="ED80" i="15"/>
  <c r="EL83" i="15"/>
  <c r="EK78" i="15"/>
  <c r="EP77" i="15"/>
  <c r="EQ72" i="15"/>
  <c r="EI71" i="15"/>
  <c r="EG70" i="15"/>
  <c r="EP82" i="15"/>
  <c r="FM85" i="15"/>
  <c r="EO84" i="15"/>
  <c r="EQ74" i="15"/>
  <c r="EP69" i="15"/>
  <c r="EJ81" i="15"/>
  <c r="EL68" i="15"/>
  <c r="EI70" i="15"/>
  <c r="EI82" i="15"/>
  <c r="EI81" i="15"/>
  <c r="EG86" i="15"/>
  <c r="EN76" i="15"/>
  <c r="EI85" i="15"/>
  <c r="EQ70" i="15"/>
  <c r="FM77" i="15"/>
  <c r="EO78" i="15"/>
  <c r="EE77" i="15"/>
  <c r="EF76" i="15"/>
  <c r="EP86" i="15"/>
  <c r="EP83" i="15"/>
  <c r="EM74" i="15"/>
  <c r="EJ80" i="15"/>
  <c r="EM69" i="15"/>
  <c r="EP72" i="15"/>
  <c r="EH79" i="15"/>
  <c r="FM70" i="15"/>
  <c r="FM82" i="15"/>
  <c r="EK73" i="15"/>
  <c r="EM73" i="15"/>
  <c r="EH86" i="15"/>
  <c r="EO86" i="15"/>
  <c r="ED85" i="15"/>
  <c r="EO83" i="15"/>
  <c r="EM78" i="15"/>
  <c r="EP80" i="15"/>
  <c r="EJ72" i="15"/>
  <c r="EI74" i="15"/>
  <c r="EL70" i="15"/>
  <c r="EL78" i="15"/>
  <c r="EG81" i="15"/>
  <c r="EK86" i="15"/>
  <c r="EF86" i="15"/>
  <c r="EH72" i="15"/>
  <c r="EP70" i="15"/>
  <c r="EK82" i="15"/>
  <c r="EK81" i="15"/>
  <c r="EQ68" i="15"/>
  <c r="EN67" i="15"/>
  <c r="EK80" i="15"/>
  <c r="EH69" i="15"/>
  <c r="ED74" i="15"/>
  <c r="EM68" i="15"/>
  <c r="EN70" i="15"/>
  <c r="EE86" i="15"/>
  <c r="EH71" i="15"/>
  <c r="EH84" i="15"/>
  <c r="EH83" i="15"/>
  <c r="EI76" i="15"/>
  <c r="EJ82" i="15"/>
  <c r="ED81" i="15"/>
  <c r="ED75" i="15"/>
  <c r="EM80" i="15"/>
  <c r="EQ80" i="15"/>
  <c r="ED69" i="15"/>
  <c r="EF73" i="15"/>
  <c r="FM86" i="15"/>
  <c r="EL69" i="15"/>
  <c r="EI86" i="15"/>
  <c r="EG75" i="15"/>
  <c r="ED77" i="15"/>
  <c r="EG73" i="15"/>
  <c r="EQ83" i="15"/>
  <c r="EF78" i="15"/>
  <c r="EK77" i="15"/>
  <c r="EK71" i="15"/>
  <c r="EF68" i="15"/>
  <c r="EF84" i="15"/>
  <c r="EK83" i="15"/>
  <c r="EI78" i="15"/>
  <c r="EL86" i="15"/>
  <c r="EN75" i="15"/>
  <c r="EO76" i="15"/>
  <c r="EF70" i="15"/>
  <c r="EP71" i="15"/>
  <c r="EE79" i="15"/>
  <c r="EG74" i="15"/>
  <c r="EG82" i="15"/>
  <c r="EF77" i="15"/>
  <c r="EG84" i="15"/>
  <c r="EF83" i="15"/>
  <c r="EE78" i="15"/>
  <c r="EO77" i="15"/>
  <c r="EM86" i="15"/>
  <c r="EF67" i="15"/>
  <c r="EI84" i="15"/>
  <c r="EI83" i="15"/>
  <c r="EP75" i="15"/>
  <c r="FM73" i="15"/>
  <c r="EH85" i="15"/>
  <c r="EG78" i="15"/>
  <c r="EJ68" i="15"/>
  <c r="EH80" i="15"/>
  <c r="EM75" i="15"/>
  <c r="EN85" i="15"/>
  <c r="EH67" i="15"/>
  <c r="ED70" i="15"/>
  <c r="EI77" i="15"/>
  <c r="FM69" i="15"/>
  <c r="EQ78" i="15"/>
  <c r="EQ77" i="15"/>
  <c r="EH76" i="15"/>
  <c r="FM84" i="15"/>
  <c r="EM70" i="15"/>
  <c r="EM82" i="15"/>
  <c r="DS79" i="15" l="1"/>
  <c r="DS86" i="15"/>
  <c r="DS71" i="15"/>
  <c r="JW98" i="10" s="1"/>
  <c r="H64" i="20" s="1"/>
  <c r="DS69" i="15"/>
  <c r="JW96" i="10" s="1"/>
  <c r="H62" i="20" s="1"/>
  <c r="DS68" i="15"/>
  <c r="DS72" i="15"/>
  <c r="DS85" i="15"/>
  <c r="DT85" i="15" s="1"/>
  <c r="DS78" i="15"/>
  <c r="DT78" i="15" s="1"/>
  <c r="DS75" i="15"/>
  <c r="DT75" i="15" s="1"/>
  <c r="DS74" i="15"/>
  <c r="DT74" i="15" s="1"/>
  <c r="JX101" i="10" s="1"/>
  <c r="I67" i="20" s="1"/>
  <c r="DS81" i="15"/>
  <c r="DT81" i="15" s="1"/>
  <c r="DS67" i="15"/>
  <c r="DT67" i="15" s="1"/>
  <c r="DS80" i="15"/>
  <c r="DS70" i="15"/>
  <c r="DT70" i="15" s="1"/>
  <c r="DS76" i="15"/>
  <c r="DT76" i="15" s="1"/>
  <c r="JX103" i="10" s="1"/>
  <c r="I69" i="20" s="1"/>
  <c r="DS82" i="15"/>
  <c r="DT82" i="15" s="1"/>
  <c r="DS83" i="15"/>
  <c r="DS73" i="15"/>
  <c r="DT73" i="15" s="1"/>
  <c r="DS84" i="15"/>
  <c r="DT84" i="15" s="1"/>
  <c r="DS77" i="15"/>
  <c r="DT77" i="15" s="1"/>
  <c r="JX104" i="10" s="1"/>
  <c r="I70" i="20" s="1"/>
  <c r="JW102" i="10"/>
  <c r="H68" i="20" s="1"/>
  <c r="DT80" i="15"/>
  <c r="JW107" i="10"/>
  <c r="H73" i="20" s="1"/>
  <c r="JW101" i="10"/>
  <c r="H67" i="20" s="1"/>
  <c r="DT68" i="15"/>
  <c r="JW95" i="10"/>
  <c r="H61" i="20" s="1"/>
  <c r="JW111" i="10"/>
  <c r="H77" i="20" s="1"/>
  <c r="DT69" i="15"/>
  <c r="JW113" i="10"/>
  <c r="H79" i="20" s="1"/>
  <c r="DT86" i="15"/>
  <c r="JX113" i="10" s="1"/>
  <c r="I79" i="20" s="1"/>
  <c r="JW104" i="10"/>
  <c r="H70" i="20" s="1"/>
  <c r="JW100" i="10"/>
  <c r="H66" i="20" s="1"/>
  <c r="DT83" i="15"/>
  <c r="JW110" i="10"/>
  <c r="H76" i="20" s="1"/>
  <c r="JW103" i="10"/>
  <c r="H69" i="20" s="1"/>
  <c r="DT79" i="15"/>
  <c r="JW106" i="10"/>
  <c r="H72" i="20" s="1"/>
  <c r="EM88" i="15"/>
  <c r="EH88" i="15"/>
  <c r="EQ87" i="15"/>
  <c r="EK88" i="15"/>
  <c r="EQ88" i="15"/>
  <c r="EI88" i="15"/>
  <c r="EI87" i="15"/>
  <c r="EN87" i="15"/>
  <c r="EM87" i="15"/>
  <c r="EJ87" i="15"/>
  <c r="EF88" i="15"/>
  <c r="ED87" i="15"/>
  <c r="EP88" i="15"/>
  <c r="FM88" i="15"/>
  <c r="EJ88" i="15"/>
  <c r="EO87" i="15"/>
  <c r="EK87" i="15"/>
  <c r="EN88" i="15"/>
  <c r="EP87" i="15"/>
  <c r="EO88" i="15"/>
  <c r="EH87" i="15"/>
  <c r="EG87" i="15"/>
  <c r="FM87" i="15"/>
  <c r="EL88" i="15"/>
  <c r="EL87" i="15"/>
  <c r="ED88" i="15"/>
  <c r="EF87" i="15"/>
  <c r="EG88" i="15"/>
  <c r="JW112" i="10" l="1"/>
  <c r="H78" i="20" s="1"/>
  <c r="JW108" i="10"/>
  <c r="H74" i="20" s="1"/>
  <c r="DT71" i="15"/>
  <c r="DU71" i="15" s="1"/>
  <c r="JX102" i="10"/>
  <c r="I68" i="20" s="1"/>
  <c r="DU75" i="15"/>
  <c r="JY102" i="10" s="1"/>
  <c r="J68" i="20" s="1"/>
  <c r="JW97" i="10"/>
  <c r="H63" i="20" s="1"/>
  <c r="DU77" i="15"/>
  <c r="DV77" i="15" s="1"/>
  <c r="JZ104" i="10" s="1"/>
  <c r="K70" i="20" s="1"/>
  <c r="JW109" i="10"/>
  <c r="H75" i="20" s="1"/>
  <c r="JW105" i="10"/>
  <c r="H71" i="20" s="1"/>
  <c r="JW94" i="10"/>
  <c r="H60" i="20" s="1"/>
  <c r="DU76" i="15"/>
  <c r="DV76" i="15" s="1"/>
  <c r="JZ103" i="10" s="1"/>
  <c r="K69" i="20" s="1"/>
  <c r="DT72" i="15"/>
  <c r="JX99" i="10" s="1"/>
  <c r="I65" i="20" s="1"/>
  <c r="JW99" i="10"/>
  <c r="H65" i="20" s="1"/>
  <c r="DU86" i="15"/>
  <c r="JY113" i="10" s="1"/>
  <c r="J79" i="20" s="1"/>
  <c r="DS87" i="15"/>
  <c r="DS88" i="15"/>
  <c r="DU83" i="15"/>
  <c r="JX110" i="10"/>
  <c r="I76" i="20" s="1"/>
  <c r="DU85" i="15"/>
  <c r="JX112" i="10"/>
  <c r="I78" i="20" s="1"/>
  <c r="DU79" i="15"/>
  <c r="JX106" i="10"/>
  <c r="I72" i="20" s="1"/>
  <c r="DU80" i="15"/>
  <c r="JX107" i="10"/>
  <c r="I73" i="20" s="1"/>
  <c r="DU81" i="15"/>
  <c r="JX108" i="10"/>
  <c r="I74" i="20" s="1"/>
  <c r="DU69" i="15"/>
  <c r="JX96" i="10"/>
  <c r="I62" i="20" s="1"/>
  <c r="DU74" i="15"/>
  <c r="DU78" i="15"/>
  <c r="JX105" i="10"/>
  <c r="I71" i="20" s="1"/>
  <c r="DU67" i="15"/>
  <c r="JX94" i="10"/>
  <c r="I60" i="20" s="1"/>
  <c r="JY103" i="10"/>
  <c r="J69" i="20" s="1"/>
  <c r="DU73" i="15"/>
  <c r="JX100" i="10"/>
  <c r="I66" i="20" s="1"/>
  <c r="DU70" i="15"/>
  <c r="JX97" i="10"/>
  <c r="I63" i="20" s="1"/>
  <c r="JX98" i="10"/>
  <c r="I64" i="20" s="1"/>
  <c r="DU82" i="15"/>
  <c r="JX109" i="10"/>
  <c r="I75" i="20" s="1"/>
  <c r="DU84" i="15"/>
  <c r="JX111" i="10"/>
  <c r="I77" i="20" s="1"/>
  <c r="DU68" i="15"/>
  <c r="JX95" i="10"/>
  <c r="I61" i="20" s="1"/>
  <c r="DV75" i="15"/>
  <c r="JZ102" i="10" s="1"/>
  <c r="K68" i="20" s="1"/>
  <c r="EA89" i="15"/>
  <c r="EB89" i="15" s="1"/>
  <c r="EE89" i="15"/>
  <c r="DV86" i="15" l="1"/>
  <c r="JZ113" i="10" s="1"/>
  <c r="K79" i="20" s="1"/>
  <c r="JY104" i="10"/>
  <c r="J70" i="20" s="1"/>
  <c r="DU72" i="15"/>
  <c r="JY99" i="10" s="1"/>
  <c r="J65" i="20" s="1"/>
  <c r="DV68" i="15"/>
  <c r="JZ95" i="10" s="1"/>
  <c r="K61" i="20" s="1"/>
  <c r="JY95" i="10"/>
  <c r="J61" i="20" s="1"/>
  <c r="DV82" i="15"/>
  <c r="JZ109" i="10" s="1"/>
  <c r="K75" i="20" s="1"/>
  <c r="JY109" i="10"/>
  <c r="J75" i="20" s="1"/>
  <c r="JY97" i="10"/>
  <c r="J63" i="20" s="1"/>
  <c r="DV70" i="15"/>
  <c r="JZ97" i="10" s="1"/>
  <c r="K63" i="20" s="1"/>
  <c r="JY100" i="10"/>
  <c r="J66" i="20" s="1"/>
  <c r="DV73" i="15"/>
  <c r="JZ100" i="10" s="1"/>
  <c r="K66" i="20" s="1"/>
  <c r="JY94" i="10"/>
  <c r="J60" i="20" s="1"/>
  <c r="DV67" i="15"/>
  <c r="JZ94" i="10" s="1"/>
  <c r="K60" i="20" s="1"/>
  <c r="DV81" i="15"/>
  <c r="JZ108" i="10" s="1"/>
  <c r="K74" i="20" s="1"/>
  <c r="JY108" i="10"/>
  <c r="J74" i="20" s="1"/>
  <c r="JY106" i="10"/>
  <c r="J72" i="20" s="1"/>
  <c r="DV79" i="15"/>
  <c r="JZ106" i="10" s="1"/>
  <c r="K72" i="20" s="1"/>
  <c r="DV83" i="15"/>
  <c r="JZ110" i="10" s="1"/>
  <c r="K76" i="20" s="1"/>
  <c r="JY110" i="10"/>
  <c r="J76" i="20" s="1"/>
  <c r="JY111" i="10"/>
  <c r="J77" i="20" s="1"/>
  <c r="DV84" i="15"/>
  <c r="JZ111" i="10" s="1"/>
  <c r="K77" i="20" s="1"/>
  <c r="JY98" i="10"/>
  <c r="J64" i="20" s="1"/>
  <c r="DV71" i="15"/>
  <c r="JZ98" i="10" s="1"/>
  <c r="K64" i="20" s="1"/>
  <c r="JY105" i="10"/>
  <c r="J71" i="20" s="1"/>
  <c r="DV78" i="15"/>
  <c r="JZ105" i="10" s="1"/>
  <c r="K71" i="20" s="1"/>
  <c r="JW115" i="10"/>
  <c r="H81" i="20" s="1"/>
  <c r="DT88" i="15"/>
  <c r="JX115" i="10" s="1"/>
  <c r="I81" i="20" s="1"/>
  <c r="DV74" i="15"/>
  <c r="JZ101" i="10" s="1"/>
  <c r="K67" i="20" s="1"/>
  <c r="JY101" i="10"/>
  <c r="J67" i="20" s="1"/>
  <c r="JY96" i="10"/>
  <c r="J62" i="20" s="1"/>
  <c r="DV69" i="15"/>
  <c r="JZ96" i="10" s="1"/>
  <c r="K62" i="20" s="1"/>
  <c r="DV80" i="15"/>
  <c r="JZ107" i="10" s="1"/>
  <c r="K73" i="20" s="1"/>
  <c r="JY107" i="10"/>
  <c r="J73" i="20" s="1"/>
  <c r="JY112" i="10"/>
  <c r="J78" i="20" s="1"/>
  <c r="DV85" i="15"/>
  <c r="JZ112" i="10" s="1"/>
  <c r="K78" i="20" s="1"/>
  <c r="DT87" i="15"/>
  <c r="JW114" i="10"/>
  <c r="H80" i="20" s="1"/>
  <c r="EF89" i="15"/>
  <c r="EM89" i="15"/>
  <c r="EP89" i="15"/>
  <c r="EH89" i="15"/>
  <c r="EI89" i="15"/>
  <c r="EG89" i="15"/>
  <c r="ED89" i="15"/>
  <c r="EO89" i="15"/>
  <c r="EK89" i="15"/>
  <c r="EN89" i="15"/>
  <c r="EL89" i="15"/>
  <c r="EQ89" i="15"/>
  <c r="EJ89" i="15"/>
  <c r="FM89" i="15"/>
  <c r="DV72" i="15" l="1"/>
  <c r="JZ99" i="10" s="1"/>
  <c r="K65" i="20" s="1"/>
  <c r="DU88" i="15"/>
  <c r="DV88" i="15" s="1"/>
  <c r="JZ115" i="10" s="1"/>
  <c r="K81" i="20" s="1"/>
  <c r="DS89" i="15"/>
  <c r="DT89" i="15" s="1"/>
  <c r="DU89" i="15" s="1"/>
  <c r="DV89" i="15" s="1"/>
  <c r="DU87" i="15"/>
  <c r="JX114" i="10"/>
  <c r="I80" i="20" s="1"/>
  <c r="JY115" i="10" l="1"/>
  <c r="J81" i="20" s="1"/>
  <c r="JY114" i="10"/>
  <c r="J80" i="20" s="1"/>
  <c r="DV87" i="15"/>
  <c r="JZ114" i="10" s="1"/>
  <c r="K80" i="20" s="1"/>
  <c r="DY20" i="15"/>
  <c r="DY21" i="15" l="1"/>
  <c r="JO57" i="10" s="1"/>
  <c r="JO56" i="10"/>
  <c r="DY22" i="15" l="1"/>
  <c r="JJ43" i="10" l="1"/>
  <c r="JQ43" i="10" s="1"/>
  <c r="B7" i="20" s="1"/>
  <c r="JO58" i="10"/>
  <c r="JK55" i="10" l="1"/>
  <c r="JJ55" i="10"/>
  <c r="B1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bribri</author>
  </authors>
  <commentList>
    <comment ref="I23" authorId="0" shapeId="0" xr:uid="{00000000-0006-0000-0D00-000001000000}">
      <text>
        <r>
          <rPr>
            <b/>
            <sz val="9"/>
            <color indexed="81"/>
            <rFont val="Tahoma"/>
            <family val="2"/>
          </rPr>
          <t>Docente con anno di prova ?
I docenti all'atto dell'immissione in ruolo, effettuano l'anno di prova durante il quale la retribuzione corrisponde alla fascia zero.
Ciò è in contrasto con la normativa europea in quanto la retribuzione percepita durante l'anno di prova, andrebbe equiparata all'anzianità effettivamente maturata.
Se si vuole che durante l'anno di prova, il docente percepisca la retribuzione corrispondente alla anzianità maturata, scegliere NO.
L'opzione influisce solo se trattasi di docente. Gli ata durante il periodo di prova, percepiscono la retribuzione in base alla loro anzianità maturata.</t>
        </r>
      </text>
    </comment>
    <comment ref="I25" authorId="0" shapeId="0" xr:uid="{00000000-0006-0000-0D00-000002000000}">
      <text>
        <r>
          <rPr>
            <b/>
            <sz val="9"/>
            <color indexed="81"/>
            <rFont val="Tahoma"/>
            <family val="2"/>
          </rPr>
          <t>Riconosci la fascia 3/8 anni…
Dal 01/09/2010 la fascia 3/8 anni non esiste più - ed è stata sostituita dalla fascia 0/8 anni
Se si vuole riconoscere la fascia 3/8 anni (che è più vantagiosa economicamente rispetto alla 0/8) scegliere: SI.
La scelta influisce SOLO se la data di decorrenza della ricostruzione parte dal 01/09/2010 o data successiva</t>
        </r>
      </text>
    </comment>
    <comment ref="G27" authorId="0" shapeId="0" xr:uid="{00000000-0006-0000-0D00-000003000000}">
      <text>
        <r>
          <rPr>
            <b/>
            <sz val="9"/>
            <color indexed="81"/>
            <rFont val="Tahoma"/>
            <family val="2"/>
          </rPr>
          <t>Prescrizione data…
La data di prescrizione è la data dalla quale bisogna partire per conteggiare le differenze retributive spettanti.
Per esempio se il ricorso è stato depositato il 1 settembre 2020 - e la sentenza dice che le somme sono soggette a prescrizione quinquennale decorrenti a ritroso dalla data di deposito del ricorso, allora come data di prescrizione andrà inserita: 01/09/2015. La data di prescrizione andrà inserita solo se espressamente richiamata in sentenza.</t>
        </r>
      </text>
    </comment>
    <comment ref="H29" authorId="0" shapeId="0" xr:uid="{00000000-0006-0000-0D00-000004000000}">
      <text>
        <r>
          <rPr>
            <b/>
            <sz val="9"/>
            <color indexed="81"/>
            <rFont val="Tahoma"/>
            <family val="2"/>
          </rPr>
          <t xml:space="preserve">
Decorrenza della ricostruzione
La data di decorrenza della ricostruzione, di solito coincide con la data di decorrenza della ricostruzione fatta al sidi (data di immissione in ruolo).
Nel caso in cui la sentenza ordini una data di decorrenza diversa, andrà ovviamente rispettata la sentenza ed inserita tale data.</t>
        </r>
      </text>
    </comment>
    <comment ref="L32" authorId="0" shapeId="0" xr:uid="{00000000-0006-0000-0D00-000005000000}">
      <text>
        <r>
          <rPr>
            <b/>
            <sz val="9"/>
            <color indexed="81"/>
            <rFont val="Tahoma"/>
            <family val="2"/>
          </rPr>
          <t>Anzianità da riconoscere per intero.
In questo spazio deve essere inserita l'anzianità che si vuole riconoscere interamente all'interessato.
Di solito tale anzianità viene indicata in sentenza. 
Per esempio se l'interessato ha avuto un pre ruolo di 7 anni continuativi (dal 1 settembre al 31 agosto), all'atto dell'immissione in ruolo il SIDI riconosce:
6 anni ai fini giuridici ed economici- e 
1 anno  ai soli fini economici. 
Quindi nello specifico esempio andrà inserito nello spazio: 
anni 7,  mesi 0,  giorni 0,</t>
        </r>
      </text>
    </comment>
    <comment ref="J38" authorId="0" shapeId="0" xr:uid="{00000000-0006-0000-0D00-000006000000}">
      <text>
        <r>
          <rPr>
            <b/>
            <sz val="9"/>
            <color indexed="81"/>
            <rFont val="Tahoma"/>
            <family val="2"/>
          </rPr>
          <t>Anzianità precedentemente riconsociuta nella vecchia ricostruzione.
In questo spazio deve essere inserita l'anzianità risultante nella prima ricostruzione fatta al SIDI. 
In questo modo il software potrà calcolare le differenze retributive spettanti tra quanto percepito con la ricostruzione fatta al sidi, e quando dovrebbe percepire l'interessato se gli fosse stata riconosciuta l'intera anzianità.
Di solito le anzianità da inserire si prendono dal decreto di ricostruzione del SIDI, nella sezione che indica: anzianità giuridica economica, ed anzianità solo economica.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bribri</author>
  </authors>
  <commentList>
    <comment ref="I23" authorId="0" shapeId="0" xr:uid="{00000000-0006-0000-1700-000001000000}">
      <text>
        <r>
          <rPr>
            <b/>
            <sz val="9"/>
            <color indexed="81"/>
            <rFont val="Tahoma"/>
            <family val="2"/>
          </rPr>
          <t>Docente con anno di prova ?
I docenti all'atto dell'immissione in ruolo, effettuano l'anno di prova durante il quale la retribuzione corrisponde alla fascia zero.
Ciò è in contrasto con la normativa europea in quanto la retribuzione percepita durante l'anno di prova, andrebbe equiparata all'anzianità effettivamente maturata.
Se si vuole che durante l'anno di prova, il docente percepisca la retribuzione corrispondente alla anzianità maturata, scegliere NO.
L'opzione influisce solo se trattasi di docente. Gli ata durante il periodo di prova, percepiscono la retribuzione in base alla loro anzianità maturata.</t>
        </r>
      </text>
    </comment>
    <comment ref="I25" authorId="0" shapeId="0" xr:uid="{00000000-0006-0000-1700-000002000000}">
      <text>
        <r>
          <rPr>
            <b/>
            <sz val="9"/>
            <color indexed="81"/>
            <rFont val="Tahoma"/>
            <family val="2"/>
          </rPr>
          <t>Riconosci la fascia 3/8 anni…
Dal 01/09/2010 la fascia 3/8 anni non esiste più - ed è stata sostituita dalla fascia 0/8 anni
Se si vuole riconoscere la fascia 3/8 anni (che è più vantagiosa economicamente rispetto alla 0/8) scegliere: SI.
La scelta influisce SOLO se la data di decorrenza della ricostruzione parte dal 01/09/2010 o data successiva</t>
        </r>
      </text>
    </comment>
    <comment ref="G27" authorId="0" shapeId="0" xr:uid="{00000000-0006-0000-1700-000003000000}">
      <text>
        <r>
          <rPr>
            <b/>
            <sz val="9"/>
            <color indexed="81"/>
            <rFont val="Tahoma"/>
            <family val="2"/>
          </rPr>
          <t>Prescrizione data…
La data di prescrizione è la data dalla quale bisogna partire per conteggiare le differenze retributive spettanti.
Per esempio se il ricorso è stato depositato il 1 settembre 2020 - e la sentenza dice che le somme sono soggette a prescrizione quinquennale decorrenti a ritroso dalla data di deposito del ricorso, allora come data di prescrizione andrà inserita: 01/09/2015. La data di prescrizione andrà inserita solo se espressamente richiamata in sentenza.</t>
        </r>
      </text>
    </comment>
    <comment ref="H29" authorId="0" shapeId="0" xr:uid="{00000000-0006-0000-1700-000004000000}">
      <text>
        <r>
          <rPr>
            <b/>
            <sz val="9"/>
            <color indexed="81"/>
            <rFont val="Tahoma"/>
            <family val="2"/>
          </rPr>
          <t xml:space="preserve">
Decorrenza della ricostruzione
La data di decorrenza della ricostruzione, di solito coincide con la data di decorrenza della ricostruzione fatta al sidi (data di immissione in ruolo).
Nel caso in cui la sentenza ordini una data di decorrenza diversa, andrà ovviamente rispettata la sentenza ed inserita tale data.</t>
        </r>
      </text>
    </comment>
    <comment ref="L32" authorId="0" shapeId="0" xr:uid="{00000000-0006-0000-1700-000005000000}">
      <text>
        <r>
          <rPr>
            <b/>
            <sz val="9"/>
            <color indexed="81"/>
            <rFont val="Tahoma"/>
            <family val="2"/>
          </rPr>
          <t>Anzianità da riconoscere per intero.
In questo spazio deve essere inserita l'anzianità che si vuole riconoscere interamente all'interessato.
Di solito tale anzianità viene indicata in sentenza. 
Per esempio se l'interessato ha avuto un pre ruolo di 7 anni continuativi (dal 1 settembre al 31 agosto), all'atto dell'immissione in ruolo il SIDI riconosce:
6 anni ai fini giuridici ed economici- e 
1 anno  ai soli fini economici. 
Quindi nello specifico esempio andrà inserito nello spazio: 
anni 7,  mesi 0,  giorni 0,</t>
        </r>
      </text>
    </comment>
    <comment ref="J38" authorId="0" shapeId="0" xr:uid="{00000000-0006-0000-1700-000006000000}">
      <text>
        <r>
          <rPr>
            <b/>
            <sz val="9"/>
            <color indexed="81"/>
            <rFont val="Tahoma"/>
            <family val="2"/>
          </rPr>
          <t>Anzianità precedentemente riconsociuta nella vecchia ricostruzione.
In questo spazio deve essere inserita l'anzianità risultante nella prima ricostruzione fatta al SIDI. 
In questo modo il software potrà calcolare le differenze retributive spettanti tra quanto percepito con la ricostruzione fatta al sidi, e quando dovrebbe percepire l'interessato se gli fosse stata riconosciuta l'intera anzianità.
Di solito le anzianità da inserire si prendono dal decreto di ricostruzione del SIDI, nella sezione che indica: anzianità giuridica economica, ed anzianità solo economica.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Utente</author>
  </authors>
  <commentList>
    <comment ref="M26" authorId="0" shapeId="0" xr:uid="{00000000-0006-0000-1800-000001000000}">
      <text>
        <r>
          <rPr>
            <b/>
            <sz val="9"/>
            <color indexed="81"/>
            <rFont val="Tahoma"/>
            <family val="2"/>
          </rPr>
          <t xml:space="preserve">INSERIRE I 4 ANNI SCOLASTICI CHE COMPONGONO IL QUADRIENNIO:
prendere i 4 anni scolastici ad incarico annuale (dal 1 settembre al 31 agosto e partendo dal più vecchio) e inserirli in questi spazi.
N.B. SONO VALIDI SOLO GLI ANNI ESPLETATI DOPO LA DATA DI CONSEGUIMENTO DEL TITOLO DI STUDIO </t>
        </r>
      </text>
    </comment>
    <comment ref="L34" authorId="0" shapeId="0" xr:uid="{00000000-0006-0000-1800-000002000000}">
      <text>
        <r>
          <rPr>
            <b/>
            <sz val="9"/>
            <color indexed="81"/>
            <rFont val="Tahoma"/>
            <family val="2"/>
          </rPr>
          <t xml:space="preserve">
INSERIRE IL QUINTO ANNO
Il quinto anno deve essere un anno scolastico (successivo dopo i 4 anni di cui sopra) ad orario di cattedra.
Per orario di cattedra si intende un orario settimanale di almeno 12 ore per i docenti primaria. E 18 ore per i docenti media e superiore.
Oppure un orario inferiore se giusitifcato da ragioni strutturali con apposito decreto del dirigente.
Da tale quinto anno si avrà la decorrenza della ricostruzione</t>
        </r>
      </text>
    </comment>
    <comment ref="M44" authorId="0" shapeId="0" xr:uid="{00000000-0006-0000-1800-000003000000}">
      <text>
        <r>
          <rPr>
            <b/>
            <sz val="9"/>
            <color indexed="81"/>
            <rFont val="Tahoma"/>
            <family val="2"/>
          </rPr>
          <t xml:space="preserve">
EVENTUALI ANNI DA AGGIUNGERE:
se per esempio l'ultimo anno scolastico del quadriennio è 2009/2010 - e il quinto anno risulta 01/09/2020… si dovrà individuare se tra l'anno scolastico 2010/2011 e 2019/2020, vi sono ulteriori anni scolastici ad incarico annuale ossia del 01/09 al 31/08.
Nel caso esistano, si dovrà inserire il totale di tali anni nell'apposita casella.
n.b. di solito si inserisce solo il totale anni per esempio: 1, 2, 3, etc.
La casella: MESI diventa utile se l'anno è per esempio il 2012/2013 - oppure 2013/2014 - In questo caso per causa blocco 2013, in presenza dall'a.s. 2013/2014 dovremmo inserire  8 mesi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<sst xmlns="http://schemas.openxmlformats.org/spreadsheetml/2006/main" count="15067" uniqueCount="701">
  <si>
    <t>Personale Docente:</t>
  </si>
  <si>
    <t>Docenti laureati istituti sec. di II grado ed equiparati</t>
  </si>
  <si>
    <t>Voci retributive raggruppate per 
Posizione assicurativa</t>
  </si>
  <si>
    <t>Voce unica</t>
  </si>
  <si>
    <t>Nuova PA</t>
  </si>
  <si>
    <t>Decorrenza</t>
  </si>
  <si>
    <t>Fasce retributive</t>
  </si>
  <si>
    <t>Emolumenti contrattuali</t>
  </si>
  <si>
    <t>TOTALE
(senza 13^)</t>
  </si>
  <si>
    <t>TOTALE
(comprensivo della 13^)</t>
  </si>
  <si>
    <t>Retrib. Fisse e Cont.va</t>
  </si>
  <si>
    <t>Retrib.ne Base per il 18%</t>
  </si>
  <si>
    <t>Retr. Access.</t>
  </si>
  <si>
    <t>Imponibile contributivo
+18%  e acc.</t>
  </si>
  <si>
    <t>Dal</t>
  </si>
  <si>
    <t>Al</t>
  </si>
  <si>
    <t>Stipendio
annuo</t>
  </si>
  <si>
    <t>Indennità funzione</t>
  </si>
  <si>
    <t>art. 7 L. 438/92</t>
  </si>
  <si>
    <t>I.I.S.</t>
  </si>
  <si>
    <t>Vacanza contr.le</t>
  </si>
  <si>
    <r>
      <t xml:space="preserve">13^ da
</t>
    </r>
    <r>
      <rPr>
        <b/>
        <sz val="8"/>
        <rFont val="Tahoma"/>
        <family val="2"/>
      </rPr>
      <t>col.(d) a (f)</t>
    </r>
  </si>
  <si>
    <t>Retribuzione Professionale Docenti</t>
  </si>
  <si>
    <t>(a)</t>
  </si>
  <si>
    <t>(b)</t>
  </si>
  <si>
    <t>(c)</t>
  </si>
  <si>
    <t>(d)</t>
  </si>
  <si>
    <t>(e)</t>
  </si>
  <si>
    <t>(f)</t>
  </si>
  <si>
    <t>(g)</t>
  </si>
  <si>
    <t>(h)</t>
  </si>
  <si>
    <t>(i)</t>
  </si>
  <si>
    <t>(l)</t>
  </si>
  <si>
    <t>(m)</t>
  </si>
  <si>
    <t>(d)+(e)+(f)+(g)+(h)</t>
  </si>
  <si>
    <t>(d)+(e)+(f)+(h)</t>
  </si>
  <si>
    <t>Da</t>
  </si>
  <si>
    <t>A</t>
  </si>
  <si>
    <t>RETRIBUZIONE PROFESSIONALE DOCENTI*</t>
  </si>
  <si>
    <t>*Voce accessoria</t>
  </si>
  <si>
    <t>DocenteLaureatoSuperioren!</t>
  </si>
  <si>
    <t>13^ da
col.(d) a (f)</t>
  </si>
  <si>
    <t>a</t>
  </si>
  <si>
    <t>b</t>
  </si>
  <si>
    <t>d</t>
  </si>
  <si>
    <t>e</t>
  </si>
  <si>
    <t>f</t>
  </si>
  <si>
    <t>g</t>
  </si>
  <si>
    <t>h</t>
  </si>
  <si>
    <t>i</t>
  </si>
  <si>
    <t>j</t>
  </si>
  <si>
    <t>k</t>
  </si>
  <si>
    <t>l</t>
  </si>
  <si>
    <t>m</t>
  </si>
  <si>
    <t>c</t>
  </si>
  <si>
    <t>p</t>
  </si>
  <si>
    <t>anni</t>
  </si>
  <si>
    <t>differenziale fascia 3/8 anni</t>
  </si>
  <si>
    <t>differenziale ex fascia 3/8 anni</t>
  </si>
  <si>
    <t>Docenti scuola media ed equiparati</t>
  </si>
  <si>
    <t>DocenteScuolaMediam!</t>
  </si>
  <si>
    <t>Docenti diplomati istituti di sec. II grado  ed equiparati</t>
  </si>
  <si>
    <t>\</t>
  </si>
  <si>
    <t>DocenteDiplomaton!</t>
  </si>
  <si>
    <t>Docenti scuola materna ed elementare ed equiparati----&gt; dal 1/1/2006 Docenti scuola dell'infanzia e primaria ed equiparati (anche personale educativo)</t>
  </si>
  <si>
    <t xml:space="preserve"> </t>
  </si>
  <si>
    <t>Personale ATA:</t>
  </si>
  <si>
    <t>Ausiliari ed equiparati --&gt; dal 1-1-1995 Collaboratori scolastici</t>
  </si>
  <si>
    <t xml:space="preserve">CIA pers. ATA (art. 25 c.c.n.i. 31 agosto 1999) </t>
  </si>
  <si>
    <t xml:space="preserve">COMPENSO INDIVIDUALE ACCESSORIO PER IL PERSONALE ATA*
(art. 25 C.C.N.I. 31 agosto 1999) </t>
  </si>
  <si>
    <t>Collaboratore tecnico, cuoco, infermiere --&gt; dal 1-1-1995 Assistente tecnico, cuoco, infermiere</t>
  </si>
  <si>
    <t xml:space="preserve">da moltiplicare per il numero dei posti docente in organico di diritto </t>
  </si>
  <si>
    <t>Complessità organizzativa nelle scuole con più di 35 posti docente in organico di diritto</t>
  </si>
  <si>
    <t>spettante in misura unica</t>
  </si>
  <si>
    <t>d) Istituti verticalizzati</t>
  </si>
  <si>
    <t>da moltiplicare per il numero dei convitti annessi all'istituto</t>
  </si>
  <si>
    <t>c) Convitti annessi</t>
  </si>
  <si>
    <t>spettante in misura unica indipendentemente dall'esistenza di più situazioni di cui alla lettera b).</t>
  </si>
  <si>
    <t>b)Istituti di secondo grado aggragati ed istituti tecnici, professionali e d'arte con laboratori con reparti di lavorazione</t>
  </si>
  <si>
    <t>da moltiplicare per il numero delle aziende funzionanti presso l'istituto.</t>
  </si>
  <si>
    <t xml:space="preserve">a) Aziende agraria </t>
  </si>
  <si>
    <t>Particolari tipologie di istituzioni scolastiche: parte variabile</t>
  </si>
  <si>
    <t>Misura tabellare annua lorda.</t>
  </si>
  <si>
    <t>Parametro base in misura fissa:</t>
  </si>
  <si>
    <t>Note</t>
  </si>
  <si>
    <t>Tipologia di parametro</t>
  </si>
  <si>
    <t>INDENNITA' D'AMMINISTRAZIONE*
(parte fissa e parte variabile)</t>
  </si>
  <si>
    <t>Vedi tabella</t>
  </si>
  <si>
    <t>Direttore dei servizi generali e amministrativi</t>
  </si>
  <si>
    <t>DocentePrimarian!</t>
  </si>
  <si>
    <t>CollaboratoreScolasticon!</t>
  </si>
  <si>
    <t>DSGAn!</t>
  </si>
  <si>
    <t>AssstenteAmministrativon!</t>
  </si>
  <si>
    <t>data</t>
  </si>
  <si>
    <t>mesi</t>
  </si>
  <si>
    <t>giorni</t>
  </si>
  <si>
    <t>da 3 a 8</t>
  </si>
  <si>
    <t>da 9 a 14</t>
  </si>
  <si>
    <t>da 15 a 20</t>
  </si>
  <si>
    <t>da 21 a 27</t>
  </si>
  <si>
    <t>da 28 a 34</t>
  </si>
  <si>
    <t>da 35</t>
  </si>
  <si>
    <t xml:space="preserve">da 0 a 2 </t>
  </si>
  <si>
    <t>n rigo</t>
  </si>
  <si>
    <t>bl aa 2013</t>
  </si>
  <si>
    <t>dal</t>
  </si>
  <si>
    <t>al</t>
  </si>
  <si>
    <t>gg</t>
  </si>
  <si>
    <t>aa</t>
  </si>
  <si>
    <t>mm</t>
  </si>
  <si>
    <t>progressivo</t>
  </si>
  <si>
    <t>com dal al</t>
  </si>
  <si>
    <t>com dal</t>
  </si>
  <si>
    <t>gg inm comune con la data di sopra</t>
  </si>
  <si>
    <t>max</t>
  </si>
  <si>
    <t>gg -ggcomune</t>
  </si>
  <si>
    <t>blocco anno</t>
  </si>
  <si>
    <t>giorni da togliere se 2013</t>
  </si>
  <si>
    <t>in caso di blocco 2013</t>
  </si>
  <si>
    <t>gg da togliere PER IL 2013</t>
  </si>
  <si>
    <t>PASSAGGI DI FASCIA</t>
  </si>
  <si>
    <t>GG</t>
  </si>
  <si>
    <t>DATA AL:</t>
  </si>
  <si>
    <t>(3-8)</t>
  </si>
  <si>
    <t>(9-14)</t>
  </si>
  <si>
    <t>(15-20)</t>
  </si>
  <si>
    <t>(21-27)</t>
  </si>
  <si>
    <t>(28-34)</t>
  </si>
  <si>
    <t>scatti</t>
  </si>
  <si>
    <t>risultanza iqnaudramento</t>
  </si>
  <si>
    <t>date fisse per il ccnl scuola</t>
  </si>
  <si>
    <t>ulteriori eventuali altre data da aggiungere</t>
  </si>
  <si>
    <t xml:space="preserve">risultanza di tutte le date dopo il </t>
  </si>
  <si>
    <t>risultanza ordinata</t>
  </si>
  <si>
    <t/>
  </si>
  <si>
    <t>risultanza ordinata e ripulita</t>
  </si>
  <si>
    <t>fascia</t>
  </si>
  <si>
    <t>inquadramento nelle fasc 0 3 9 15 21 28 e 35</t>
  </si>
  <si>
    <t>area stipendi:</t>
  </si>
  <si>
    <t>AF</t>
  </si>
  <si>
    <t>AG</t>
  </si>
  <si>
    <t>AH</t>
  </si>
  <si>
    <t>AI</t>
  </si>
  <si>
    <t>AJ</t>
  </si>
  <si>
    <t>AK</t>
  </si>
  <si>
    <t>AL</t>
  </si>
  <si>
    <t>AQ</t>
  </si>
  <si>
    <t>AM</t>
  </si>
  <si>
    <t>AN</t>
  </si>
  <si>
    <t>AO</t>
  </si>
  <si>
    <t>AP</t>
  </si>
  <si>
    <t>foglio1!</t>
  </si>
  <si>
    <t>indice</t>
  </si>
  <si>
    <t>EU</t>
  </si>
  <si>
    <t>FA</t>
  </si>
  <si>
    <t>FB</t>
  </si>
  <si>
    <t>FC</t>
  </si>
  <si>
    <t>FD</t>
  </si>
  <si>
    <t>FE</t>
  </si>
  <si>
    <t>FL</t>
  </si>
  <si>
    <t>FM</t>
  </si>
  <si>
    <t>FN</t>
  </si>
  <si>
    <t>rpd/cia</t>
  </si>
  <si>
    <t>campo1</t>
  </si>
  <si>
    <t>campo2</t>
  </si>
  <si>
    <t>articolo</t>
  </si>
  <si>
    <t>ass ad pers 3/8 anni</t>
  </si>
  <si>
    <t>ev</t>
  </si>
  <si>
    <t>0-2 anni</t>
  </si>
  <si>
    <t>3-8 anni</t>
  </si>
  <si>
    <t>9-14 anni</t>
  </si>
  <si>
    <t>15-20 anni</t>
  </si>
  <si>
    <t>21-27 anni</t>
  </si>
  <si>
    <t>28-34 anni</t>
  </si>
  <si>
    <t>35 anni</t>
  </si>
  <si>
    <t>con decorrenza dalla data:</t>
  </si>
  <si>
    <t xml:space="preserve"> Fascia:</t>
  </si>
  <si>
    <t xml:space="preserve"> Stipendio annuo lordo euro:
annuo</t>
  </si>
  <si>
    <t>I.I.S. annuo lordo euro:</t>
  </si>
  <si>
    <t xml:space="preserve">  Indennita di Vacanza contr.le - annuo lordo euro:</t>
  </si>
  <si>
    <t xml:space="preserve">assegno ad personam ex fascia 3/8 anni - annuo lordo euro: </t>
  </si>
  <si>
    <t>rpd/cia - annuo lordo euro:</t>
  </si>
  <si>
    <t xml:space="preserve">PRIMA PREPARAZIONE A CONCATENA </t>
  </si>
  <si>
    <t xml:space="preserve"> Stipendio annuo lordo euro:</t>
  </si>
  <si>
    <t>TOTALE EURO:</t>
  </si>
  <si>
    <t>TOTALE ANNUO LORDO EURO</t>
  </si>
  <si>
    <t>Indennita di Vacanza contr.le - annuo lordo euro:</t>
  </si>
  <si>
    <t xml:space="preserve">DAL: </t>
  </si>
  <si>
    <t xml:space="preserve"> - AL:</t>
  </si>
  <si>
    <t xml:space="preserve"> - ANNI:</t>
  </si>
  <si>
    <t>PERIODI DAL AL</t>
  </si>
  <si>
    <t xml:space="preserve"> -GIORNI:</t>
  </si>
  <si>
    <t xml:space="preserve"> - MESI:</t>
  </si>
  <si>
    <t>TUTTI PERIODI OGGETTO DEL PROVVEDIMENTO</t>
  </si>
  <si>
    <t>considerato che spetta la fascia 0/2 anni in data:</t>
  </si>
  <si>
    <t>GLI EFFETTI DEL PRESENTE DECRETO SONO LIMITATI ALLA DATA DEL:</t>
  </si>
  <si>
    <t xml:space="preserve">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LO STIPENDIO VA  RAPPORTATO ALLE EFFETTIVE ORE DI SERVIZIO PRESTATE. IL PRESENTE DECRETO SARA’ INVIATO ALLA RAGIONERIA PROVINCIALE  DELLO STATO PER QUANTO DI COMPETENZA .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t>
  </si>
  <si>
    <t>data ultima</t>
  </si>
  <si>
    <t>periodi a tempo determinato dal al</t>
  </si>
  <si>
    <t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t>
  </si>
  <si>
    <t xml:space="preserve">
</t>
  </si>
  <si>
    <t>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t>
  </si>
  <si>
    <t xml:space="preserve">PRESCRIZIONE DATA: </t>
  </si>
  <si>
    <t>PRESCRIZIONE</t>
  </si>
  <si>
    <t xml:space="preserve">
Per effetto della sentenza oggetto del presente provvedimento, al ricorrente, durante i periodi a tempo determinato di seguito riportati,  spetta la medesima progressione spettante ai pari colleghi di ruolo.
PERIODI A TEMPO DETERMINATO:
</t>
  </si>
  <si>
    <t xml:space="preserve">
LE DIFFERENZE RETRIBUTIVE SPETTANTI SARANNO CALCOLATE SULLA BASE DELLA ECCEPITA PRESCRIZIONE.
OSSIA SONO PRESCRITTE LE SOMME MATURATE PRIMA DEL:</t>
  </si>
  <si>
    <t>prescrizione</t>
  </si>
  <si>
    <t>PERIODI A TEMPO DETERMINATO</t>
  </si>
  <si>
    <t>RETRIBUZIONI DEL PROFILO CON LA FASCIA ZERO</t>
  </si>
  <si>
    <t>TOTALE A FASCIA ZERO</t>
  </si>
  <si>
    <t>TOTALE RETRIBUZIONE CON RICOSTRUZIONE</t>
  </si>
  <si>
    <t>numero giorni</t>
  </si>
  <si>
    <t>differenze spettanti nel periodo</t>
  </si>
  <si>
    <t>inserimenti di date che devono spezzettare i periodi inseriti</t>
  </si>
  <si>
    <t>inserire i periodi a t.d.</t>
  </si>
  <si>
    <t>prescrizione:</t>
  </si>
  <si>
    <t>fascia3/8</t>
  </si>
  <si>
    <t>fascia9/14</t>
  </si>
  <si>
    <t>fascia15/2</t>
  </si>
  <si>
    <t>fascia21/27</t>
  </si>
  <si>
    <t>fascia28/34</t>
  </si>
  <si>
    <t>oltre35</t>
  </si>
  <si>
    <t>periodi da spezzettare</t>
  </si>
  <si>
    <t>riporto ordinato dei periodi</t>
  </si>
  <si>
    <t>ar</t>
  </si>
  <si>
    <t>as</t>
  </si>
  <si>
    <t>av</t>
  </si>
  <si>
    <t>aw</t>
  </si>
  <si>
    <t>az</t>
  </si>
  <si>
    <t>ba</t>
  </si>
  <si>
    <t>orario</t>
  </si>
  <si>
    <t>anzianita anni</t>
  </si>
  <si>
    <t>n.giorni</t>
  </si>
  <si>
    <t>retribuzione</t>
  </si>
  <si>
    <t>AE</t>
  </si>
  <si>
    <t>AR</t>
  </si>
  <si>
    <t>Foglio1!</t>
  </si>
  <si>
    <t>totale retribuzione che sarebbe spettatata</t>
  </si>
  <si>
    <t>totale retribuzione effettivamente percepita</t>
  </si>
  <si>
    <t>COEF ANZIANITA</t>
  </si>
  <si>
    <t>CALCOLO CON PROGRESSIONE</t>
  </si>
  <si>
    <t>CALCOLO FASCIA ZERO</t>
  </si>
  <si>
    <t>DIFFERENZA SPETTANTE IN BASE AL N.DEI GIORNI E ALLE ORE</t>
  </si>
  <si>
    <t>E</t>
  </si>
  <si>
    <t xml:space="preserve">  </t>
  </si>
  <si>
    <t>periodi da spezzettare filtrati</t>
  </si>
  <si>
    <t xml:space="preserve">periodi dal filtrati </t>
  </si>
  <si>
    <t>periodi dal</t>
  </si>
  <si>
    <t>SPEZ2</t>
  </si>
  <si>
    <t>SPEZ3</t>
  </si>
  <si>
    <t>SPEZ4</t>
  </si>
  <si>
    <t>INDICE</t>
  </si>
  <si>
    <t>SPEZ</t>
  </si>
  <si>
    <t>DAL</t>
  </si>
  <si>
    <t>SP1</t>
  </si>
  <si>
    <t>SP2</t>
  </si>
  <si>
    <t>SP3</t>
  </si>
  <si>
    <t>SP4</t>
  </si>
  <si>
    <t>ind piccolo</t>
  </si>
  <si>
    <t>ore</t>
  </si>
  <si>
    <t>anzianità che sarebbe spettata</t>
  </si>
  <si>
    <t>SCELTA DELLA QUALIFICA E TABELLA STIPENDI DEL PROFILO</t>
  </si>
  <si>
    <t>TABELLA RELATIVA A</t>
  </si>
  <si>
    <t>LA PROGRESSIONE DEVE ARRIVARE FINO ALLA DATA DEL</t>
  </si>
  <si>
    <t>ANNO DI PROVA -SI/NO</t>
  </si>
  <si>
    <t>RICONOSCI FASCIA 3/8</t>
  </si>
  <si>
    <t>RICONOSCI FASCIA 3/8 - SI/NO</t>
  </si>
  <si>
    <t>INSERISCI ANNO DI PROVA</t>
  </si>
  <si>
    <t>NO</t>
  </si>
  <si>
    <t>FASCIA</t>
  </si>
  <si>
    <t>DECOR</t>
  </si>
  <si>
    <t>DECORRENZA BUONA</t>
  </si>
  <si>
    <t>DATA</t>
  </si>
  <si>
    <t>ANNI</t>
  </si>
  <si>
    <t>FASCE</t>
  </si>
  <si>
    <t>BUONE</t>
  </si>
  <si>
    <t>INQ FASCE BUONA</t>
  </si>
  <si>
    <t>INQ FASCE BUONO</t>
  </si>
  <si>
    <t>DECORRENZA DELLA DATA A TEMPO INDETERMINATO:</t>
  </si>
  <si>
    <t>risultanza ordinata e ripulita-  BUONA</t>
  </si>
  <si>
    <t>EW</t>
  </si>
  <si>
    <t>EV</t>
  </si>
  <si>
    <t>FO</t>
  </si>
  <si>
    <t>foglio1ti!</t>
  </si>
  <si>
    <t>PERIODI A TEMPO INDETERMINATO</t>
  </si>
  <si>
    <t>DocenteLaureatoSuperiore</t>
  </si>
  <si>
    <t>DocenteScuolaMedia</t>
  </si>
  <si>
    <t>DocenteDiplomato</t>
  </si>
  <si>
    <t>DocentePrimaria</t>
  </si>
  <si>
    <t>CollaboratoreScolastico</t>
  </si>
  <si>
    <t>AssstenteAmministrativo</t>
  </si>
  <si>
    <t>DSGA</t>
  </si>
  <si>
    <t>FF</t>
  </si>
  <si>
    <t>RET+IIS</t>
  </si>
  <si>
    <t>Posizione economica</t>
  </si>
  <si>
    <t>posizione economica:</t>
  </si>
  <si>
    <t>dal:</t>
  </si>
  <si>
    <t>ulteriore -&gt;</t>
  </si>
  <si>
    <t>C.C.N.L. COMPARTO SCUOLA</t>
  </si>
  <si>
    <t>CCNL COMPARTO SCUOLA</t>
  </si>
  <si>
    <t>C.C.N.L. COMPARTO SCUOLA 1998/01</t>
  </si>
  <si>
    <t>C.C.N.L. COMPARTO SCUOLA 2002/05</t>
  </si>
  <si>
    <t>C.C.N.L. COMPARTO  SCUOLA 2006/09</t>
  </si>
  <si>
    <t>C.C.N.L. COMPARTO SCUOLA 2011</t>
  </si>
  <si>
    <t>C.C.N.L. COMPARTO  SCUOLA 2016/18</t>
  </si>
  <si>
    <t>C.C.N.L. COMPARTO  SCUOLA del Dicembre 2022</t>
  </si>
  <si>
    <t>DIFFERENZIALE EX FASCIA 3/8 ANNI</t>
  </si>
  <si>
    <t>FG</t>
  </si>
  <si>
    <t>Articolo 1
Per effetto della sentenza oggetto del presente provvedimento, si dispone a favore 
del ricorrente:                                                                                         
la liquidazione della somma di euro:</t>
  </si>
  <si>
    <t>DIFFERENZE SPETTANTI</t>
  </si>
  <si>
    <t>SU ORE</t>
  </si>
  <si>
    <t>totale retribuzione che sarebbe spettata ANNUO LORDO</t>
  </si>
  <si>
    <t>totale retribuzione effettivamente percepita ANNUO LORDO</t>
  </si>
  <si>
    <t>Totale differenze retributive EURO:</t>
  </si>
  <si>
    <t xml:space="preserve"> + 13.ma EURO:</t>
  </si>
  <si>
    <t xml:space="preserve">    Totale complessivo EURO:</t>
  </si>
  <si>
    <t xml:space="preserve">
IL PRESENTE PROVVEDIMENTO SARA' INVIATO ALLA RAGIONERIA TERRITORIALE DELLO STATO PER QUANTO DI COMPETENZA</t>
  </si>
  <si>
    <t xml:space="preserve">
 IL DIRIGENTE SCOLASTICO</t>
  </si>
  <si>
    <t>PROSPETTO CONTEGGIO ALLEGATO AL DECRETO DI LIQUIDAZIONE SOMME SPETTANTI</t>
  </si>
  <si>
    <t xml:space="preserve">
Secondo provvedimento
DECRETO DI LIQUIDAZIONE SOMME SPETTANTI
                                                                                    INTESTAZIONE
Decreto n              - Prot.                    Data:
Il Dirigente Scolastico
Vista la Sentenza n:              del Tribunale di:  
                                        DECRETA    </t>
  </si>
  <si>
    <t xml:space="preserve">VISTI  i contratti collettivi nazionali del Lavoro Comparto Scuola sottoscritti il 29.11.2007 
VISTI  i contratti collettivi nazionali del Lavoro Comparto Scuola sottoscritti il 04.08.2011 
VISTO il C.C.N.L comparto scuola 2016-2018 
VISTO il C.C.N.L. comparto scuola sottoscritto DICEMBRE 2022
VISTO il D.P.R. n. 122 del 04 settembre 2013 con riferimento all’art.1 comma 1, lett.b, che sancisce il BLOCCO dell'anno 2013 che sarà considerato non utile ai fini della progressione di carriera  
Visto il C.C.N.L. comparto scuola 2016/2018 e ss.mm e ii.
Visto il C.C.N.L comparto scuola 2019/2022 sottoscritto il DICEMBRE/2022
VISTO lo stato matricolare della suddetta                              . Che si allega e dal quale risulta che la dipendente ha prestato i seguenti servizi a tempo determinato ed oggetto di riconoscimento in sentenza:
</t>
  </si>
  <si>
    <t xml:space="preserve">VISTO IL RICORSO N.                             DEL:                               
presentato da:                             nato a :                            c.f.                          
VISTA LA SENTENZA N.                          DEL                             - del Tribunale di:       
con la quale si riconosce il diritto del ricorrente ad ottenere, durante i periodi non di ruolo,  la stessa progressione giuridica economica  riservata al personale di ruolo
</t>
  </si>
  <si>
    <t>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t>
  </si>
  <si>
    <t>PROGRESSIONE:</t>
  </si>
  <si>
    <t xml:space="preserve">
INTESTAZIONE SCUOLA
INTESTAZIONE SCUOLA
Decreto n.                   Prot. N     data
Il Dirigente Scolastico
</t>
  </si>
  <si>
    <t>DECRETA</t>
  </si>
  <si>
    <t>VISTI  i contratti collettivi nazionali del Lavoro Comparto Scuola sottoscritti il 29.11.2007 
VISTI  i contratti collettivi nazionali del Lavoro Comparto Scuola sottoscritti il 04.08.2011 
VISTO il C.C.N.L comparto scuola 2016-2018 VISTO il D.P.R. n. 122 del 04 settembre 2013 con riferimento all’art.1 comma 1, lett.b, che sancisce il BLOCCO dell'anno 2013 che sarà considerato non utile ai fini della progressione di carriera  
Visto il C.C.N.L. comparto scuola 2016/2018 e ss.mm e ii.
Visto il C.C.N.L comparto scuola 2019/2022 sottoscritto il dicembre/2022</t>
  </si>
  <si>
    <t>anzianita giuridica economica</t>
  </si>
  <si>
    <t>anzianita solo economica</t>
  </si>
  <si>
    <t>tetto</t>
  </si>
  <si>
    <t>anzianita g.ec</t>
  </si>
  <si>
    <t>decorrenza data</t>
  </si>
  <si>
    <t>raggiungimento tetto</t>
  </si>
  <si>
    <t>anzianita totale alla data: aa mm gg</t>
  </si>
  <si>
    <t>raggiungimento tetto corretto</t>
  </si>
  <si>
    <t>inquadramento prima del raggiungimento tetto</t>
  </si>
  <si>
    <t>inquadramento al raggiungimento tetto</t>
  </si>
  <si>
    <t>posttetto</t>
  </si>
  <si>
    <t>pretetto</t>
  </si>
  <si>
    <t>inq fasce buono</t>
  </si>
  <si>
    <t>progressione della ricostruzione al sidi</t>
  </si>
  <si>
    <t>INQ FASCE BUONA della ricostruzione al sidi</t>
  </si>
  <si>
    <t>anz g.e.</t>
  </si>
  <si>
    <t>anz econ</t>
  </si>
  <si>
    <t>prescrizione data:</t>
  </si>
  <si>
    <t>Foglio1ti!</t>
  </si>
  <si>
    <t>CALCOLO DIFFERENZE SPETTANTI PERIODI A TEMPO INDTERMINATO</t>
  </si>
  <si>
    <t>FASCIA ANZIANITA</t>
  </si>
  <si>
    <t>TUTTE LE DECORRENZE TRA I DUE PROSPETTI</t>
  </si>
  <si>
    <t>FINE1</t>
  </si>
  <si>
    <t>INIZIO2</t>
  </si>
  <si>
    <t>INIZIO1</t>
  </si>
  <si>
    <t>DECORRENZA DAL</t>
  </si>
  <si>
    <t>RETRIBUZIONE TOTALE</t>
  </si>
  <si>
    <t>Decorrenza dal:</t>
  </si>
  <si>
    <t xml:space="preserve"> D.P.R. 399/88 - </t>
  </si>
  <si>
    <t xml:space="preserve"> C.C.N.L. DEL 01/08/1996 -</t>
  </si>
  <si>
    <t xml:space="preserve"> C.C.N.L. DEL 26/05/1999 -</t>
  </si>
  <si>
    <t xml:space="preserve"> C.C.N.L. DEL 15/03/2002 -</t>
  </si>
  <si>
    <t xml:space="preserve"> C.C.N.L. DEL 24/07/2003 -</t>
  </si>
  <si>
    <t xml:space="preserve"> C.C.N.L. DEL 07/12/2005 -</t>
  </si>
  <si>
    <t xml:space="preserve"> C.C.N.L. DEL 29/11/2007 -</t>
  </si>
  <si>
    <t xml:space="preserve"> C.C.N.L. 2007 - BIENNIO ECONOMICO 2008/09 -</t>
  </si>
  <si>
    <t xml:space="preserve"> C.C.N.L. DEL 04/08/2011 -</t>
  </si>
  <si>
    <t xml:space="preserve"> C.C.N.L. DEL 06/12/2022 -</t>
  </si>
  <si>
    <t xml:space="preserve">                                                        I.I.S. annuo lordo             euro:</t>
  </si>
  <si>
    <t xml:space="preserve">               Indennita di Vacanza contr.le -     annuo lordo    euro :</t>
  </si>
  <si>
    <t xml:space="preserve">assegno ad personam ex fascia 3/8 anni - annuo lordo   euro: </t>
  </si>
  <si>
    <t xml:space="preserve">                                rpd/cia - annuo lordo                             euro:</t>
  </si>
  <si>
    <t xml:space="preserve">
                              Stipendio annuo lordo                            euro:</t>
  </si>
  <si>
    <t xml:space="preserve">
TOTALE ANNUO LORDO EURO</t>
  </si>
  <si>
    <t>ARTICOLO</t>
  </si>
  <si>
    <t>PRESCRIZIONE:</t>
  </si>
  <si>
    <t xml:space="preserve">PRESCRITTI </t>
  </si>
  <si>
    <t>GIORNI PRESCRITTI</t>
  </si>
  <si>
    <t>n gg prescritt</t>
  </si>
  <si>
    <t xml:space="preserve">n. giorni prescritti </t>
  </si>
  <si>
    <t>decorrenza</t>
  </si>
  <si>
    <t>progressivo giorni effettivi</t>
  </si>
  <si>
    <t>totale giorni effettivi</t>
  </si>
  <si>
    <t>MESI</t>
  </si>
  <si>
    <t>GIORNI</t>
  </si>
  <si>
    <t>su ore</t>
  </si>
  <si>
    <t>Prescrizione data:</t>
  </si>
  <si>
    <t>QUALIFICA:</t>
  </si>
  <si>
    <t>ore settimanali</t>
  </si>
  <si>
    <t xml:space="preserve">      pari a :</t>
  </si>
  <si>
    <t>Inserisci nel prospetto sottostante i periodi di servizio a tempo determinato da riconoscere ai fini della progressione.
Di solito vanno inseriti i servizi a tempo determinato come indicati nella sentenza oppure nel ricorso, o ancora come riportati nel certificato di servizio.
Di solito l'ultimo periodo da inserire, non deve superare la data del ricorso.
La prescrizione non incide sui periodi da inserire</t>
  </si>
  <si>
    <t>(se la sentenza prevede la prescrizione, inserire tale data. Inserendo la prescrizione, tutte le somme maturate prima di tale data, saranno considerate prescritte)</t>
  </si>
  <si>
    <t>blocco anno 2013 ?</t>
  </si>
  <si>
    <t>SI</t>
  </si>
  <si>
    <t>VEDI IL CALCOLO ED IL PROVVEDIMENTO DELLE DIFFERENZE SPETTANTI</t>
  </si>
  <si>
    <t>TORNA AL FOGLIO DATI</t>
  </si>
  <si>
    <t>DOPO AVER INSERITO TUTTI I DATI CLICCA SU: VAI AL DECRETO</t>
  </si>
  <si>
    <t>VAI AL DECRETO</t>
  </si>
  <si>
    <t>TORNA</t>
  </si>
  <si>
    <t>********** N.B. I DATI MANCANTI VANNO PRESI DALLA RICOSTRUZIONE DI CARRIERA FATTA AL SIDI   *****************  Visto il contratto individuale di lavoro a tempo indeterminato, debitamente approvato dagli organi di controllo, stipulato tra il dirigente dell'ufficio scolastico regionale del ----------              e NOMINATIVO  dal quale risulta che l’interessato nata a ------------------  il  ----------    (c.f. --------------) è stato
assunto in prova con rapporto di lavoro a tempo indeterminato nell’area professionale  ---------------------------   , con decorrenza giuridica dal gg/mm/aaaa ed economica dal gg/mm/aaaa, quale vincitrice di concorso per soli titoli - Considerato che, come da allegata documentazione, il periodo di prova risulta superato con esito favorevole il  gg/mm/aaaa         ;
Vista l'unita documentata istanza con la quale la predetta chiede il riconoscimento di: - anni             mesi              giorni                 di servizio non di ruolo prestato nelle istituzioni scolastiche statali, nei   seguenti periodi: (INSERIRE I PERIODI NON DI RUOLO RIPORTATI SULLA RICOSTRUZIONE DI CARRIERA)</t>
  </si>
  <si>
    <t>Qualifica:</t>
  </si>
  <si>
    <t>Anzianità da riconoscere per intero alla data della decorrenza:</t>
  </si>
  <si>
    <t>Decorrenza della ricostruzione:</t>
  </si>
  <si>
    <t>Anzianità precedentemente riconosciuta nella vecchia ricostruzione</t>
  </si>
  <si>
    <t>anzianità giuridica economica:</t>
  </si>
  <si>
    <t>anzianità solo economica:</t>
  </si>
  <si>
    <t>blocco 2013</t>
  </si>
  <si>
    <t>SE DOCENTE:
Docente con anno di prova?
 (ossia primo anno con retribuzione di fascia zero)</t>
  </si>
  <si>
    <t>Riconosci la fascia 3/8 anni nella nuova ricostruzione ?</t>
  </si>
  <si>
    <t>inq fasce buona con primo anno a zero</t>
  </si>
  <si>
    <t>raggiungimento 21 anni</t>
  </si>
  <si>
    <t>1e2&lt;2013 e 3&gt;2013</t>
  </si>
  <si>
    <t>1&lt;2013  2e3&gt;2013</t>
  </si>
  <si>
    <t>1o2o3 =2013</t>
  </si>
  <si>
    <t>raggiungimento 21 anni corretto</t>
  </si>
  <si>
    <t>28 anni</t>
  </si>
  <si>
    <t>raggiungimento 28 anni corretto</t>
  </si>
  <si>
    <t>ragg 35 anni corretto</t>
  </si>
  <si>
    <t>VEDI IL PROSPETTO DELLE DIFFERENZE RETRIBUTIVE</t>
  </si>
  <si>
    <t>AB31</t>
  </si>
  <si>
    <t>AZ300</t>
  </si>
  <si>
    <t>totale</t>
  </si>
  <si>
    <t>diff 3/8</t>
  </si>
  <si>
    <t>BG</t>
  </si>
  <si>
    <t>NUOVA RIC retribuzione totale</t>
  </si>
  <si>
    <t>VECCHIA RIC retribuzione totale</t>
  </si>
  <si>
    <t>NUOVA RIC fascia anzianita</t>
  </si>
  <si>
    <t>VECCHIA RIC fascia anzianita</t>
  </si>
  <si>
    <t>VECCHIA RICOSTR</t>
  </si>
  <si>
    <t>NUOVA RIC</t>
  </si>
  <si>
    <t>stip VEC.ric</t>
  </si>
  <si>
    <t>stip NUO ric</t>
  </si>
  <si>
    <t>ex 3-8 v</t>
  </si>
  <si>
    <t>ex 3-8 n</t>
  </si>
  <si>
    <t xml:space="preserve">ARTICOLO 1
Per effetto della sentenza n.                           Del Tribunale di:             
Si dispone a favore di:
</t>
  </si>
  <si>
    <t>IL DIRIGENTE SCOLASTICO</t>
  </si>
  <si>
    <t>Il presente provvedimento viene inviato alla Ragioneria Territoriale per quanto di competenza.</t>
  </si>
  <si>
    <t>ex fascia 3-8 anni</t>
  </si>
  <si>
    <t>riconosci ex 3/8</t>
  </si>
  <si>
    <t>tot euro:</t>
  </si>
  <si>
    <t>13.ma euro:</t>
  </si>
  <si>
    <t>TOTALE EURO</t>
  </si>
  <si>
    <t>CALCOLO PER UNA NUOVA RICOSTRUZIONE</t>
  </si>
  <si>
    <t>Schema per calcolare una nuova ricostruzione e quantificare le differenze spettanti tra la vecchia ricostruzione e la nuova ricostruzione.
Inserisci i dati richiesti nei campi sottostanti:</t>
  </si>
  <si>
    <t>Vai al calcolo delle differenze spettanti per i periodi pre ruolo</t>
  </si>
  <si>
    <r>
      <rPr>
        <b/>
        <sz val="16"/>
        <color rgb="FFFF0000"/>
        <rFont val="Calibri"/>
        <family val="2"/>
        <scheme val="minor"/>
      </rPr>
      <t>Per calcolare le differenze retributive spettanti durante i periodi a tempo determinato e pre ruolo.</t>
    </r>
    <r>
      <rPr>
        <sz val="11"/>
        <color theme="1"/>
        <rFont val="Calibri"/>
        <family val="2"/>
        <scheme val="minor"/>
      </rPr>
      <t xml:space="preserve">
Questa parte del programma si usa per calcolare la progressione economica spettante DURANTE I PERIODI NON DI RUOLO.
Verranno quantificate le differenze retributive maturate dall'interessato, tra quanto percepito durante i periodi non di ruolo (dove la retribuzione era corrispondente alla fascia zero anni) - e quanto invece avrebbe dovuto percepire se avesse percepito la retribuzione corrispondente alla fascia di anzianità maturata nel tempo.
PER CALCOLARE INVECE LA PROGRESSIONE SPETTANTE DURANTE I PERIODI DI RUOLO - CLICCARE SULL'ALTRA OPZIONE</t>
    </r>
  </si>
  <si>
    <t>Per calcolare la progressione spettante durante i periodi di ruolo - ovvero per calcolare una nuova ricostruzione della carriera - clicca qui</t>
  </si>
  <si>
    <t>bi</t>
  </si>
  <si>
    <t>bj</t>
  </si>
  <si>
    <t>bk</t>
  </si>
  <si>
    <t>bl</t>
  </si>
  <si>
    <t>bm</t>
  </si>
  <si>
    <t>bn</t>
  </si>
  <si>
    <t xml:space="preserve">ore </t>
  </si>
  <si>
    <t xml:space="preserve">dal </t>
  </si>
  <si>
    <t>suore</t>
  </si>
  <si>
    <t>Progressione Risultante</t>
  </si>
  <si>
    <t>Cambia Progressione</t>
  </si>
  <si>
    <t>?</t>
  </si>
  <si>
    <t xml:space="preserve"> - Anni:</t>
  </si>
  <si>
    <t xml:space="preserve"> - Mesi:</t>
  </si>
  <si>
    <t xml:space="preserve"> - Giorni:</t>
  </si>
  <si>
    <t>anz ec.</t>
  </si>
  <si>
    <t>anni+</t>
  </si>
  <si>
    <t>mesi+</t>
  </si>
  <si>
    <t>giorni+</t>
  </si>
  <si>
    <t>prog solo g.ec tenendo conto 2013</t>
  </si>
  <si>
    <t>prog buona solo giur.econ effettiva conto 2013</t>
  </si>
  <si>
    <t>senza anno di prova</t>
  </si>
  <si>
    <t>con anno di prova</t>
  </si>
  <si>
    <t>aa-</t>
  </si>
  <si>
    <t>mm-</t>
  </si>
  <si>
    <t>gg-</t>
  </si>
  <si>
    <t>meno</t>
  </si>
  <si>
    <t>raggiungimento dei 21 anni con l'anz econ:</t>
  </si>
  <si>
    <t>21 anni =</t>
  </si>
  <si>
    <t>se l anz e &gt;15 e  i 21 anni raggiungono nell anno 2012 la data esce sbagliata</t>
  </si>
  <si>
    <t>se docente allora vi e anno di prova</t>
  </si>
  <si>
    <t>riconosci fascia 3-8</t>
  </si>
  <si>
    <t>se la data è dal 01/09/2010 in poi</t>
  </si>
  <si>
    <t>i 3 anni appartengono alla fascia 0-8</t>
  </si>
  <si>
    <t>se vuoi riconoscere la fascia 3-8 porta a 100000 la data sottostante</t>
  </si>
  <si>
    <t>Volendo è possibile cambiare la PROGRESSIONE RISULTANTE, inserendo nello schema di sotto, la nuova progressione che andrà a sostituire la progressione risultante. Se si vuole lasciare la PROGRESSIONE RISULTANTE, ricordarsi di cancellare i dati nello spazi gialli sottostanti</t>
  </si>
  <si>
    <t>Volendo è possibile cambiare la PROGRESSIONE RISULTANTE, inserendo nello schema di sotto, la nuova progressione che andrà a sostituire la progressione risultante. Se si vuole lasciare la PROGRESSIONE RISULTANTE, ricordarsi di cancellare i dati negli spazi gialli sottostanti</t>
  </si>
  <si>
    <t>ANZ GIORNI:</t>
  </si>
  <si>
    <t>0-8 anni</t>
  </si>
  <si>
    <t>anno di prova</t>
  </si>
  <si>
    <t>anzianita</t>
  </si>
  <si>
    <t>se doc con a di prova</t>
  </si>
  <si>
    <t>qual</t>
  </si>
  <si>
    <t>2013?</t>
  </si>
  <si>
    <t>SCARICA E LEGGI IL SUPPORTO FORMATIVO - CLICCA SU:</t>
  </si>
  <si>
    <t>http://dsga.altervista.org/alterpages/files/Supportocarrieralex.pdf</t>
  </si>
  <si>
    <t>3*8</t>
  </si>
  <si>
    <t>anz</t>
  </si>
  <si>
    <t xml:space="preserve"> VISTO IL RICORSO N.                             DEL:                               
presentato da:                             nato a :                            c.f.                          
VISTA LA SENTENZA N.                          DEL                             - del Tribunale di:       
con la quale si riconosce il diritto del ricorrente ad ottenere ad una nuova ricostruzione di carriera che, annullando e sostituendo la precedente ricostruzione emessa dal sidi, riconosca all'interessato la maggiore anzianità come da sentenza con relativa liquidazione delle differenze retributive spettanti.
</t>
  </si>
  <si>
    <t xml:space="preserve">
il presente decreto annulla e sostituisce il precedente prot n   del  
INTESTAZIONE SCUOLA
INTESTAZIONE SCUOLA
Decreto n.                   Prot. N     data
Il Dirigente Scolastico
</t>
  </si>
  <si>
    <t>***N.B. ******* LA PARTE BIANCA DI FIANCO, DEVE ESSERE SELEZIONATA CON IL MOUSE E COPIATA SU UN FOGLIO WORD IN BIANCO.
INFINE PERFEZIONARE E COMPLETARE IL DECRETO DRETTAMENTE SUL FOGLIO WORD</t>
  </si>
  <si>
    <t>RISERVATO A PRESCRIZIONE</t>
  </si>
  <si>
    <t>FASCIA ANZIANITA NUOVA RICOSTR</t>
  </si>
  <si>
    <t>All'interessata dovranno essere liquidate le differenze retributive maturate nei limiti della prescrizione eccepita, considerando prescritte le somme antecedenti il:</t>
  </si>
  <si>
    <t>ez</t>
  </si>
  <si>
    <t>date fisse</t>
  </si>
  <si>
    <t xml:space="preserve">anni </t>
  </si>
  <si>
    <t>anz g.e</t>
  </si>
  <si>
    <t>anz ec</t>
  </si>
  <si>
    <t>prgressione</t>
  </si>
  <si>
    <t>progressione alternativa</t>
  </si>
  <si>
    <t xml:space="preserve">fascia </t>
  </si>
  <si>
    <t>date fisse+date fascia</t>
  </si>
  <si>
    <t>date fisse+date fasce</t>
  </si>
  <si>
    <t>date fisse + date fasce ordinate</t>
  </si>
  <si>
    <t>progressione di riferimento</t>
  </si>
  <si>
    <t>9-14anni</t>
  </si>
  <si>
    <t>15-20anni</t>
  </si>
  <si>
    <t>21-27anni</t>
  </si>
  <si>
    <t>28-34anni</t>
  </si>
  <si>
    <t>35anni</t>
  </si>
  <si>
    <t>0-2anni</t>
  </si>
  <si>
    <t>3-8anni</t>
  </si>
  <si>
    <t>ab</t>
  </si>
  <si>
    <t>ac</t>
  </si>
  <si>
    <t>ad</t>
  </si>
  <si>
    <t>ex 3-8anni</t>
  </si>
  <si>
    <t>ae</t>
  </si>
  <si>
    <t>af</t>
  </si>
  <si>
    <t>ag</t>
  </si>
  <si>
    <t>ah</t>
  </si>
  <si>
    <t>aj</t>
  </si>
  <si>
    <t>ak</t>
  </si>
  <si>
    <t>ai</t>
  </si>
  <si>
    <t>aq</t>
  </si>
  <si>
    <t>rpd / cia</t>
  </si>
  <si>
    <t>Foglio1tibis!</t>
  </si>
  <si>
    <t>Carriera Religione</t>
  </si>
  <si>
    <t>qualifica</t>
  </si>
  <si>
    <t>Insegnante Religione Primaria</t>
  </si>
  <si>
    <t>Insegnante Religione Scuola media e superiore</t>
  </si>
  <si>
    <t>DocentelaureatoSuperiore</t>
  </si>
  <si>
    <t>2006/2007</t>
  </si>
  <si>
    <t>1996/1997</t>
  </si>
  <si>
    <t>2010/2011</t>
  </si>
  <si>
    <t>2012/2013</t>
  </si>
  <si>
    <t>Inserire il quinto anno da quando decorre la ricostruzione</t>
  </si>
  <si>
    <t>1/9/2000</t>
  </si>
  <si>
    <t>5 anno</t>
  </si>
  <si>
    <t>1/9/2013</t>
  </si>
  <si>
    <t>Inserire i primi 4 anni scolastici che compongono il quadriennio</t>
  </si>
  <si>
    <t>Numero totale degli eventuali anni che eccedono il quadriennio:</t>
  </si>
  <si>
    <t>riepilogo:</t>
  </si>
  <si>
    <t xml:space="preserve">n. anni prima della decorrenza della ricostruzione: </t>
  </si>
  <si>
    <t>data di decorrenza della ricostruzione:</t>
  </si>
  <si>
    <t>2013/2014</t>
  </si>
  <si>
    <t>tot mesi</t>
  </si>
  <si>
    <t>mesi=</t>
  </si>
  <si>
    <t>anzianità giuridica economica</t>
  </si>
  <si>
    <t>anzianità solo economica</t>
  </si>
  <si>
    <t>2008/2009</t>
  </si>
  <si>
    <t>g.e.</t>
  </si>
  <si>
    <t>ec</t>
  </si>
  <si>
    <t>2011/2012</t>
  </si>
  <si>
    <t>2007/2008</t>
  </si>
  <si>
    <t>2009/2010</t>
  </si>
  <si>
    <t>anni=</t>
  </si>
  <si>
    <t>giorni=</t>
  </si>
  <si>
    <t>4aa=gg</t>
  </si>
  <si>
    <t>giorni da calcolare per due terzi</t>
  </si>
  <si>
    <t>due terzi:</t>
  </si>
  <si>
    <t>1 terzo=</t>
  </si>
  <si>
    <t>4a+2terzi=</t>
  </si>
  <si>
    <t>ossia anni</t>
  </si>
  <si>
    <t>ossia mesi</t>
  </si>
  <si>
    <t>aa ec=</t>
  </si>
  <si>
    <t>mm ec</t>
  </si>
  <si>
    <t>gg ec</t>
  </si>
  <si>
    <t>intestazione								
INTESTAZIONE								
INTESTAZIONE								
DECRETO N.                                                                                      Data:    								
IL DIRIGENTE SCOLASTICO</t>
  </si>
  <si>
    <t xml:space="preserve">VISTO l’art. 53 – ultimo comma- della Legge 11.07.1980 n. 312, che così stabilisce testualmente: Ai docenti di religione dopo quattro anni di insegnamento si applica una progressione economica di carriera con classi di stipendio corrispondenti all’80% di quelle attribuite ai docenti laureati di ruolo con l’obbligo di costituzione e accettazione di posto orario con trattamento di cattedra.;								
VISTO il D.P.R. 2.6.1981, n. 271;								
VISTO il D.P.R. 25.6.1983, n. 345;								
VISTO l’art. 2 – co. 8 – del D.P.R. 10.4.1987, n. 209, che stabilisce che i docenti di religione di scuola secondaria, con effetto dal 01.01.1987, hanno diritto ad un trattamento economico corrispondente a quello dei docenti laureati della scuola secondaria superiore;	</t>
  </si>
  <si>
    <t xml:space="preserve">VISTA la C.M. 466 del 01.12.1998, che chiarisce che, per gli inquadramenti dal 01.09.1996 in poi, si procede secondo le disposizioni già impartite dal D.L. 19 giugno 1970 n. 370, art. 3, co 1 e 2, con il riconoscimento per intero dei primi quattro anni e, per la parte eccedente, 2/3 ai fini giuridici ed economici e 1/3 ai soli fini economici e che, pertanto, al momento della ricostruzione carriera si sommeranno i 4 anni + i 2/3 dell’eccedente per individuare l’anzianità valida per l’ inserimento nei gradoni e quella, invece, utile ai soli fini economici, ai sensi del comma 3 dell’ art. 4 del D.P.R. 399/88, verrà accantonata e utilizzata solo al raggiungimento del 16° e del 18° anno a seconda del tipo di scuola;	</t>
  </si>
  <si>
    <t xml:space="preserve">VISTO il C.C.N.L. sottoscritto il 26.05.1999;								
VISTA la Circolare Ministeriale 3 gennaio 2001, n. 2, che precisa che, qualora i docenti di scuola secondaria ritornino ad aver un posto con orario cattedra, si provvederà a riconoscere il periodo di servizio durante il quale non c'è stata progressione di carriera, valutandolo agli effetti della carriera nella misura di due terzi ai fini giuridici ed economici e di un terzo ai soli fini economici, aggiungendo i primi all’anzianità maturata al momento della perdita dell’orario di cattedra;								
VISTO il C.C.N.L. sottoscritto il 15.03.2001;
VISTO il C.C.N.L. sottoscritto il 24.07.2003;
VISTO il C.C.N.L. sottoscritto il 07.12.2005;
VISTA la sequenza contrattuale del 14/02/2008;
VISTO IL C.C.N.L. sottoscritto il 04/ agosto 2011
VISTO E CONSIDERATO il blocco per l'annualità 2013
VISTO IL C.C.N.L. 2016/2018	
VISTO IL C.C.N.L. SOTTOSCRITTO A DICEMBRE 2022		</t>
  </si>
  <si>
    <t>1/9/2009</t>
  </si>
  <si>
    <t>N ART</t>
  </si>
  <si>
    <t xml:space="preserve">ARTICOLO </t>
  </si>
  <si>
    <t>Con decorrenza dal:</t>
  </si>
  <si>
    <t>Retribuzione euro:</t>
  </si>
  <si>
    <t>I.V.C. euro:</t>
  </si>
  <si>
    <t>R.P.D. euro:</t>
  </si>
  <si>
    <t>Fascia ex 3/8 anni euro:</t>
  </si>
  <si>
    <t xml:space="preserve">_________________________________________________________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LO STIPENDIO VA RAPPORTATO ALLE EFFETTIVE ORE DI SERVIZIO PRESTATE.							
IL PRESENTE DECRETO SARA’ INVIATO ALLA RAGIONERIA PROVINCIALE DELLO STATO PER QUANTO DI COMPETENZA .							
NELLE MORE DI QUANTO SOPRA, SE NE DISPONE IN VIA PROVVISORIA L’ESECUZIONE AI SENSI DELL’ART. 8 DEL D.L. 06/09/1972 N. 504, CONVERTITO CON MODIFICAZIONI NELLA L. 01/11/1972, N. 625 E DELL’ART. 172 DELLA L. 11/07/80 N. 312.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	</t>
  </si>
  <si>
    <t xml:space="preserve">VISTI i certificati di servizio, prestato dal__ docente ______________________________, nat_ a ____________________  il _____________ Cod. Fisc. ____________________ , dai quali risulta che _l_ docente ha maturato il diritto alla progressione di carriera per compiuto quadriennio, in qua-lità di incaricat_ per l’insegnamento della religione cattolica.														</t>
  </si>
  <si>
    <t>Considerato che l'interessata è:</t>
  </si>
  <si>
    <t xml:space="preserve"> E ai soli fini economici Anni:</t>
  </si>
  <si>
    <t>ha effettuato il quadriennio previsto con i seguenti incarichi annuali:</t>
  </si>
  <si>
    <t>VEDI IL DECRETO</t>
  </si>
  <si>
    <t>1/9/1996</t>
  </si>
  <si>
    <t>1997/1998</t>
  </si>
  <si>
    <t>1/9/1997</t>
  </si>
  <si>
    <t>1998/1999</t>
  </si>
  <si>
    <t>1/9/1998</t>
  </si>
  <si>
    <t>1999/2000</t>
  </si>
  <si>
    <t>1/9/1999</t>
  </si>
  <si>
    <t>2000/2001</t>
  </si>
  <si>
    <t>2001/2002</t>
  </si>
  <si>
    <t>1/9/2001</t>
  </si>
  <si>
    <t>2002/2003</t>
  </si>
  <si>
    <t>1/9/2002</t>
  </si>
  <si>
    <t>2003/2004</t>
  </si>
  <si>
    <t>1/9/2003</t>
  </si>
  <si>
    <t>2004/2005</t>
  </si>
  <si>
    <t>1/9/2004</t>
  </si>
  <si>
    <t>2005/2006</t>
  </si>
  <si>
    <t>1/9/2005</t>
  </si>
  <si>
    <t>1/9/2006</t>
  </si>
  <si>
    <t>1/9/2007</t>
  </si>
  <si>
    <t>1/9/2008</t>
  </si>
  <si>
    <t>1/9/2010</t>
  </si>
  <si>
    <t>1/9/2011</t>
  </si>
  <si>
    <t>1/9/2012</t>
  </si>
  <si>
    <t>2014/2015</t>
  </si>
  <si>
    <t>1/9/2014</t>
  </si>
  <si>
    <t>2015/2016</t>
  </si>
  <si>
    <t>1/9/2015</t>
  </si>
  <si>
    <t>2016/2017</t>
  </si>
  <si>
    <t>1/9/2016</t>
  </si>
  <si>
    <t>2017/2018</t>
  </si>
  <si>
    <t>1/9/2017</t>
  </si>
  <si>
    <t>2018/2019</t>
  </si>
  <si>
    <t>1/9/2018</t>
  </si>
  <si>
    <t>2019/2020</t>
  </si>
  <si>
    <t>1/9/2019</t>
  </si>
  <si>
    <t>2020/2021</t>
  </si>
  <si>
    <t>1/9/2020</t>
  </si>
  <si>
    <t>2021/2022</t>
  </si>
  <si>
    <t>1/9/2021</t>
  </si>
  <si>
    <t>2022/2023</t>
  </si>
  <si>
    <t>1/9/2022</t>
  </si>
  <si>
    <t>2023/2024</t>
  </si>
  <si>
    <t>1/9/2023</t>
  </si>
  <si>
    <t>2024/2025</t>
  </si>
  <si>
    <t>1/9/2024</t>
  </si>
  <si>
    <t>quadiriennio:</t>
  </si>
  <si>
    <t>1 a.b.</t>
  </si>
  <si>
    <t>2 a.b.</t>
  </si>
  <si>
    <t>3 a.b.</t>
  </si>
  <si>
    <t>4 a.b.</t>
  </si>
  <si>
    <t>inserire gli anni scolastici validi ai fini dell'attribuzione degli aumenti biennali, compresi gli eventuali anni che includono il 2013.</t>
  </si>
  <si>
    <t>aumenti biennali dal al</t>
  </si>
  <si>
    <t>date fisse ccnl</t>
  </si>
  <si>
    <t>decorrenze a.b.</t>
  </si>
  <si>
    <t>1/1/20200</t>
  </si>
  <si>
    <t>calcolo degli ab</t>
  </si>
  <si>
    <t>1AB</t>
  </si>
  <si>
    <t>2AB</t>
  </si>
  <si>
    <t>3AB</t>
  </si>
  <si>
    <t>4AB</t>
  </si>
  <si>
    <t>1 A.B.</t>
  </si>
  <si>
    <t>2 A.B.</t>
  </si>
  <si>
    <t>3 A.B.</t>
  </si>
  <si>
    <t>4 A.B.</t>
  </si>
  <si>
    <t>5AB</t>
  </si>
  <si>
    <t>5 A.B.</t>
  </si>
  <si>
    <t>DECORRENZA A.B.</t>
  </si>
  <si>
    <t>%</t>
  </si>
  <si>
    <t>%AB</t>
  </si>
  <si>
    <t>VALORE AB</t>
  </si>
  <si>
    <t>VISTO che l'interessato:                                                                    è docente di religione incaricato annuale.
VISTO che durante i periodi non coperti da ricostruzione, spettano gli aumenti biennali previsti dalla normativa vigente
Si emana il presente provvedimento di attribuzione degli aumenti biennali</t>
  </si>
  <si>
    <t xml:space="preserve">_________________________________________________________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IL PRESENTE DECRETO SARA' INVIATO ALLARAGIONERIA TERRITORIALE ER I CONTROLLI DI COMPETENZE
LO STIPENDIO VA RAPPORTATO ALLE EFFETTIVE ORE DI SERVIZIO PRESTATE.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	</t>
  </si>
  <si>
    <t>QUALIFICA SCELTA:</t>
  </si>
  <si>
    <t>(per cambiare qualifica torna al foglio principale)</t>
  </si>
  <si>
    <t>AGGIUSTADATA</t>
  </si>
  <si>
    <t>***N.B. ******* IL DECRETO DI FIANCO PER ESSERE LEGGIBILE IN OGNI SUA PARTE, DEVE ESSERE RICOPIATO SU UN FOGLIO WORD.
SELEZIONARE CON IL MOUSE LA PARTE SCRITTA DI FIANCO E FARE IL COPIA E INCOLLA SU UN FOGLIO WORD .
INFINE PERFEZIONARE E COMPLETARE IL DECRETO DIRETTAMENTE SUL FOGLIO WORD</t>
  </si>
  <si>
    <t>se si desidera effettuare solo gli aumenti biennali - clicca qui</t>
  </si>
  <si>
    <t>se si desidera effettuare la ricostruzione, compilare i dati sottostanti</t>
  </si>
  <si>
    <t>AUMENTI BIENNALI</t>
  </si>
  <si>
    <t>VEDI IL DECRETO DI ATTRIBUZIONE AUMENTI BIENNALI</t>
  </si>
  <si>
    <t>TORNA AL FOGLIO PRINCIPALE</t>
  </si>
  <si>
    <t>VEDI ISTRUZIONI PER RICOSTRUZIONI E AUMENTI BIENNALI</t>
  </si>
  <si>
    <r>
      <rPr>
        <b/>
        <sz val="11"/>
        <color theme="1"/>
        <rFont val="Calibri"/>
        <family val="2"/>
        <scheme val="minor"/>
      </rPr>
      <t>FACCIAMO DEGLI ESEMPI</t>
    </r>
    <r>
      <rPr>
        <sz val="11"/>
        <color theme="1"/>
        <rFont val="Calibri"/>
        <family val="2"/>
        <scheme val="minor"/>
      </rPr>
      <t xml:space="preserve">
DOCENTE SCUOLA SUPERIORE - CHIEDE RICOSTRUZIONE + AUMENTI BIENNALI -  IL TITOLO DI STUDIO E' STATO CONSEGUITO IL 10/10/2018
EFFETTUA I SEGUENTI ANNI SCOLASTICI:
1 - DAL 01/09/2016  AL 31/08/2017   - ORARIO 18/18
2 - DAL 01/09/2017  AL 31/08/2018   - ORARIO 18/18
3 - DAL 01/09/2018  AL 30/06/2019   - ORARIO 18/18
4 - DAL 01/09/2019  AL 31/08/2020   - ORARIO 18/18
5 - DAL 01/09/2020  AL 31/08/2021   - ORARIO 18/18
6 - DAL 01/09/2021  AL 31/08/2022   - ORARIO 18/18
7 - DAL 01/09/2022  AL 31/08/2023   - ORARIO 18/18
8 - DAL 01/09/2023  AL 31/08/2024   - ORARIO 12/18
9 - DAL 01/09/2024  AL 30/06/2025   - ORARIO 18/18
10 - DAL 01/09/2025  AL 31/08/2026   - ORARIO 18/18
</t>
    </r>
  </si>
  <si>
    <t>N.B.:  nella casella di sopra: "Numero totale degli aventuali anni che eccedono il quadriennio"   gli anni che eccedono il quadriennio, in questo caso, è solo 1 - ed è l'anno 2023/2024</t>
  </si>
  <si>
    <t>SEMPRE PER L'ESEMPIO RIPORTATO, ECCO COME INSERIRE I DATI NEL SOFTWARE  PER UNA RICOSTRUZIONE:</t>
  </si>
  <si>
    <t>SEMPRE PER L'ESEMPIO RIPORTATO, ECCO COME INSERIRE I DATI NEL SOFTWARE  PER GLI AUMENTI BIENNALI</t>
  </si>
  <si>
    <r>
      <rPr>
        <b/>
        <sz val="11"/>
        <color theme="1"/>
        <rFont val="Calibri"/>
        <family val="2"/>
        <scheme val="minor"/>
      </rPr>
      <t>PER EFFETTUARE GLI AUMENTI BIENNALI…......</t>
    </r>
    <r>
      <rPr>
        <sz val="11"/>
        <color theme="1"/>
        <rFont val="Calibri"/>
        <family val="2"/>
        <scheme val="minor"/>
      </rPr>
      <t xml:space="preserve">
Per effettuare gli aumenti biennali,  gli anni scolastici da prendere in considerazione sono sempre gli stessi rispondenti ai requisiti di sopra. Però gli aumenti biennali NON devono superare l'anno di decorrenza di un eventuale ricostruzione.
In sostanza gli anni scolastici che usiamo per calcolare gli aumenti biennali, non devono essere coperti da ricostruzione. (ovvero per uno stesso anno scolastico l'interessato non può avere due benefici: aumento biennale e ricostruzione)
Nell'esempio di sopra prenderemo gli anni scolastici VALIDI e fino ad arrivare all'anno scolastico 2022/23 (dall'a.s. 2024/25 decorre la ricostruzione)
Quindi gli aumenti biennali da riconoscere sono i seguenti anni scolastici: 2019/2020 - 2020/2021 - 2021/2022 - 2022/2023 -  (devono essere tutti ad incarico annuale cioè dal 1 settembre al 31 agosto, devono essere stati espletati in presenza di titolo di studio, non devono superare la data di decorrenza della ricostruzione)</t>
    </r>
  </si>
  <si>
    <t>TORNA AL CALCOLO DEGLI AUMENTI BIENNALI</t>
  </si>
  <si>
    <t>TORNA AL CALCOLO PER LA RICOSTRUZIONE</t>
  </si>
  <si>
    <r>
      <rPr>
        <b/>
        <sz val="11"/>
        <color theme="1"/>
        <rFont val="Calibri"/>
        <family val="2"/>
        <scheme val="minor"/>
      </rPr>
      <t>Docenti di religione incaricati annuali - DIRITTO ALLA RICOSTRUZIONE E DIRITTO AGLI AUMENTI BIENNALI
                        ------------------------  DIRITTO ALLA RICOSTRUZIONE ----------------------------------------</t>
    </r>
    <r>
      <rPr>
        <sz val="11"/>
        <color theme="1"/>
        <rFont val="Calibri"/>
        <family val="2"/>
        <scheme val="minor"/>
      </rPr>
      <t xml:space="preserve">
il docente di religione supplente e incaricato annuale, matura il diritto alla ricostruzione nel caso in cui:
1 - deve aver effettuato 4 anni scolastici ad incarico annuale (di solito dal 1 settembre al 31 agosto) - QUANUNQUE SIA L'ORARIO SETTIMANALE  .
2 - dopo i quattro anni di cui sopra, deve aver effettuato un ulteriore anno ad orario di cattedra - OSSIA 18 ORE SETTIMANALI SE DOCENTE MEDIA SUPERIORE - oppure ALMENO 12 ORE SETTIMANALI SE DOCENTE PRIMARIA... oppure orari settimanali diversi da quelli di sopra, purchè fatti in presenza di  ragioni strutturali certficati dalla scuola.
N.B. TUTTI I REQUISITI DI CUI SOPRA SONO VALIDI SOLO SE IN PRESENZA DI TITOLO DI STUDIO VALIDO
</t>
    </r>
  </si>
  <si>
    <r>
      <rPr>
        <b/>
        <sz val="11"/>
        <color theme="1"/>
        <rFont val="Calibri"/>
        <family val="2"/>
        <scheme val="minor"/>
      </rPr>
      <t>PER FARE LA RICOSTRUZIONE DI CARRIERA.....</t>
    </r>
    <r>
      <rPr>
        <sz val="11"/>
        <color theme="1"/>
        <rFont val="Calibri"/>
        <family val="2"/>
        <scheme val="minor"/>
      </rPr>
      <t xml:space="preserve">
Nell'esempio di sopra,  il titolo di studio è stato conseguito il 10/10/2018 - Quindi si prendono in considerazione solo gli anni scolastici dal 2018/2019 in poi. E da qui in poi prenderemo i primi 4 anni dal 1 settembre al 31 agosto .
Tali 4 anni risulteranno essere :  - 2019/20 - 2020/21 - 2021/22 - 2022/23 (sono tutti dal 1/9 al 31/8)
Poi dovremmo individuare il quinto anno in cui l'interessato ha avuto l'orario di cattedra che sarebbe 18/18 (per i docenti di scuola elementare si segue lo stesso criterio, cambia solo l'orario di cattedra che deve essere di almeno 12 ore settimanali)
Tale quinto anno è il 2024/2025 - questo è anche l'anno da cui decorrerà la ricostruzione
IN QUESTO CASO QUINDI, PER FARE LA RICOSTRUZIONE, INSERIREMO NEL SOFTWARE I 4 ANNI DI CUI SOPRA - E POI COME QUINTO ANNO, INSERIREMO PER L'APPUNTO LA DATA DEL 01/09/2024 
(RICORDARSI CHE PER GLI AUMENTI BIENNALI GLI ANNI DA VALUTARE SARANNO QUELLI NON COPERTI DA RICOSTRUZIONE - OSSIA SI DOVRANNO FERMARE AL QUINTO ANNO CHE IN QUESTO CASO CORRISPONDE AL 2024/25)
</t>
    </r>
  </si>
  <si>
    <t>Se oltre ai 4 anni del quadriennio, vi sono ulteriori anni ad incarico annuale effettuati PRIMA della decorrenza della ricostruzione (5 anno), inserire il totale di tali anni nello spazio sottostante (si inseriscono anche gli eventuali anni che comprendono il 2013</t>
  </si>
  <si>
    <r>
      <rPr>
        <b/>
        <sz val="14"/>
        <color theme="1"/>
        <rFont val="Calibri"/>
        <family val="2"/>
        <scheme val="minor"/>
      </rPr>
      <t xml:space="preserve">Requisiti per ottenere il beneficio alla ricostruzione della carriera dei docenti di religione incaricati annuali.
</t>
    </r>
    <r>
      <rPr>
        <b/>
        <sz val="11"/>
        <color theme="1"/>
        <rFont val="Calibri"/>
        <family val="2"/>
        <scheme val="minor"/>
      </rPr>
      <t xml:space="preserve">
I docenti di religione incaricati annuali, ossia non di ruolo, per poter chiedere la ricostruzione della carriera devono avere questi requisiti:
1) Titolo di studio valido per l'insegnamento della religione
2) 4 anni come incaricati annuali (dal 1 settembre al 31 agosto) espletati dopo il conseguimento del titolo di studio (non importa l'orario settimanale assegnato)
3) Successivamente ai 4 anni di cui sopra, devono aver fatto un anno scolastico ad orario di cattedra, e cioè: almeno 12 ore settimanali nella scuola primaria - oppure 18 ore settimanali nella scuola media e superiore, oppure orario inferiore se certificato da ragioni strutturali.
Durante il periodo coperto da ricostruzione, se deve mantenere l'orario di cattedra. In caso contrario la ricostruzione si interrompe e si congela mantenendo l'anzianità raggiunta in quell'istante. Ed i periodi successivi saranno utili alla maturazione degli aumenti biennali. 
Una volta eventualmente ripreso l'orario di cattedra, la ricostruzione riprende da tale anno, mentre gli anni scolastici precedenti in cui l'orario di cattedra si era perso, saranno valutati ai fini guiridici ed economici per due terzi - ed ai soli fini economici per un terzo
</t>
    </r>
  </si>
  <si>
    <t>calcolo degli a.b. spettanti:</t>
  </si>
  <si>
    <t>Gli anni scolastici validi ai fini degli aumenti biennali, devono essere anni scolastici come incaricato annuale (1 settembre / 31 agosto).  E inoltre NON devono essere coperti da ricostruzione della carriera. 
Ovvero in presenza di ricostruzione, gli anni da prendere per calcolare gli aumenti biennali NON possono andare oltre la data di decorrenza della ricostruzione.</t>
  </si>
  <si>
    <r>
      <rPr>
        <b/>
        <sz val="11"/>
        <color theme="1"/>
        <rFont val="Calibri"/>
        <family val="2"/>
        <scheme val="minor"/>
      </rPr>
      <t xml:space="preserve">                       -------------------------------DIRITTO AGLI AUMENTI BIENNALI ----------------------------------------</t>
    </r>
    <r>
      <rPr>
        <sz val="11"/>
        <color theme="1"/>
        <rFont val="Calibri"/>
        <family val="2"/>
        <scheme val="minor"/>
      </rPr>
      <t xml:space="preserve">
I due diritti: ricostruzione e aumenti biennali, sono indipendenti tra di loro. Possono maturare indipendentemente l'uno dall'altro.
Il diritto agli aumenti biennali si matura in presenza di:
1 - anni scolastici validi come incaricato annuale. </t>
    </r>
    <r>
      <rPr>
        <b/>
        <sz val="11"/>
        <color theme="1"/>
        <rFont val="Calibri"/>
        <family val="2"/>
        <scheme val="minor"/>
      </rPr>
      <t>(</t>
    </r>
    <r>
      <rPr>
        <sz val="11"/>
        <color theme="1"/>
        <rFont val="Calibri"/>
        <family val="2"/>
        <scheme val="minor"/>
      </rPr>
      <t>di solito dal 1 settembre al 31 agosto - non influisce l'orario settimanale)
2 - gli anni scolastici di cui sopra, non devono essere compresi nella ricostruzione chiesta come incaricato annuale
3 - gli anni scolastici devono essere stati espletati in presenza di titolo di studio valido</t>
    </r>
  </si>
  <si>
    <t>6 A.B.</t>
  </si>
  <si>
    <t>7 A.B.</t>
  </si>
  <si>
    <t>8 A.B.</t>
  </si>
  <si>
    <t>9 A.B.</t>
  </si>
  <si>
    <t>10 A.B.</t>
  </si>
  <si>
    <t>6AB</t>
  </si>
  <si>
    <t>7AB</t>
  </si>
  <si>
    <t>8AB</t>
  </si>
  <si>
    <t>9AB</t>
  </si>
  <si>
    <t>10AB</t>
  </si>
  <si>
    <t>dati facoltativi:</t>
  </si>
  <si>
    <t>INTESTAZIONE SCUOLA:</t>
  </si>
  <si>
    <t>CODICE FISCALE:</t>
  </si>
  <si>
    <t>NOMINATIVO: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</si>
</sst>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2]\ #,##0.00;\-[$€-2]\ #,##0.00"/>
    <numFmt numFmtId="165" formatCode="[$L.-410]\ #,##0"/>
    <numFmt numFmtId="166" formatCode="dd\ mmmm\ yyyy"/>
    <numFmt numFmtId="167" formatCode="[$€-2]\ #,##0.00_ ;\-[$€-2]\ #,##0.00\ "/>
  </numFmts>
  <fonts count="76" x14ac:knownFonts="1">
    <font>
      <sz val="11"/>
      <color theme="1"/>
      <name val="Calibri"/>
      <family val="2"/>
      <scheme val="minor"/>
    </font>
    <font>
      <sz val="10"/>
      <color rgb="FF000000"/>
      <name val="Arial"/>
      <family val="2"/>
    </font>
    <font>
      <b/>
      <sz val="10"/>
      <name val="Tahoma"/>
      <family val="2"/>
    </font>
    <font>
      <sz val="10"/>
      <name val="Arial"/>
      <family val="2"/>
    </font>
    <font>
      <b/>
      <sz val="10"/>
      <name val="Arial"/>
      <family val="2"/>
    </font>
    <font>
      <sz val="10"/>
      <name val="Tahoma"/>
      <family val="2"/>
    </font>
    <font>
      <b/>
      <sz val="8"/>
      <name val="Tahoma"/>
      <family val="2"/>
    </font>
    <font>
      <b/>
      <sz val="9"/>
      <name val="Tahoma"/>
      <family val="2"/>
    </font>
    <font>
      <sz val="8"/>
      <name val="Tahoma"/>
      <family val="2"/>
    </font>
    <font>
      <b/>
      <sz val="12"/>
      <name val="Tahoma"/>
      <family val="2"/>
    </font>
    <font>
      <b/>
      <sz val="18"/>
      <name val="Tahoma"/>
      <family val="2"/>
    </font>
    <font>
      <sz val="12"/>
      <name val="Tahoma"/>
      <family val="2"/>
    </font>
    <font>
      <sz val="6"/>
      <color theme="1"/>
      <name val="Calibri"/>
      <family val="2"/>
      <scheme val="minor"/>
    </font>
    <font>
      <i/>
      <sz val="10"/>
      <name val="Arial"/>
      <family val="2"/>
    </font>
    <font>
      <i/>
      <sz val="10"/>
      <name val="Tahoma"/>
      <family val="2"/>
    </font>
    <font>
      <i/>
      <sz val="8"/>
      <name val="Tahoma"/>
      <family val="2"/>
    </font>
    <font>
      <i/>
      <sz val="10"/>
      <color rgb="FF000000"/>
      <name val="Arial"/>
      <family val="2"/>
    </font>
    <font>
      <sz val="11"/>
      <name val="Calibri"/>
      <family val="2"/>
    </font>
    <font>
      <u/>
      <sz val="8"/>
      <name val="Tahoma"/>
      <family val="2"/>
    </font>
    <font>
      <b/>
      <sz val="11"/>
      <color rgb="FFFF0000"/>
      <name val="Calibri"/>
      <family val="2"/>
      <scheme val="minor"/>
    </font>
    <font>
      <sz val="11"/>
      <color rgb="FFFF0000"/>
      <name val="Calibri"/>
      <family val="2"/>
      <scheme val="minor"/>
    </font>
    <font>
      <b/>
      <sz val="28"/>
      <color theme="1"/>
      <name val="Calibri"/>
      <family val="2"/>
      <scheme val="minor"/>
    </font>
    <font>
      <b/>
      <sz val="20"/>
      <color theme="1"/>
      <name val="Calibri"/>
      <family val="2"/>
      <scheme val="minor"/>
    </font>
    <font>
      <b/>
      <sz val="11"/>
      <color rgb="FFC00000"/>
      <name val="Calibri"/>
      <family val="2"/>
      <scheme val="minor"/>
    </font>
    <font>
      <sz val="22"/>
      <color theme="1"/>
      <name val="Calibri"/>
      <family val="2"/>
      <scheme val="minor"/>
    </font>
    <font>
      <sz val="8"/>
      <color theme="1"/>
      <name val="Calibri"/>
      <family val="2"/>
      <scheme val="minor"/>
    </font>
    <font>
      <b/>
      <sz val="16"/>
      <color theme="1"/>
      <name val="Calibri"/>
      <family val="2"/>
      <scheme val="minor"/>
    </font>
    <font>
      <sz val="11"/>
      <color rgb="FFC00000"/>
      <name val="Calibri"/>
      <family val="2"/>
      <scheme val="minor"/>
    </font>
    <font>
      <b/>
      <sz val="12"/>
      <color theme="3"/>
      <name val="Calibri"/>
      <family val="2"/>
      <scheme val="minor"/>
    </font>
    <font>
      <b/>
      <sz val="14"/>
      <color rgb="FFC00000"/>
      <name val="Calibri"/>
      <family val="2"/>
      <scheme val="minor"/>
    </font>
    <font>
      <b/>
      <sz val="14"/>
      <color theme="1"/>
      <name val="Calibri"/>
      <family val="2"/>
      <scheme val="minor"/>
    </font>
    <font>
      <b/>
      <sz val="11"/>
      <color theme="1"/>
      <name val="Calibri"/>
      <family val="2"/>
      <scheme val="minor"/>
    </font>
    <font>
      <b/>
      <sz val="12"/>
      <color theme="1"/>
      <name val="Calibri"/>
      <family val="2"/>
      <scheme val="minor"/>
    </font>
    <font>
      <sz val="8"/>
      <color theme="1"/>
      <name val="Arial"/>
      <family val="2"/>
    </font>
    <font>
      <b/>
      <sz val="18"/>
      <color theme="1"/>
      <name val="Calibri"/>
      <family val="2"/>
      <scheme val="minor"/>
    </font>
    <font>
      <b/>
      <sz val="11"/>
      <color theme="4" tint="-0.499984740745262"/>
      <name val="Calibri"/>
      <family val="2"/>
      <scheme val="minor"/>
    </font>
    <font>
      <sz val="11"/>
      <name val="Calibri"/>
      <family val="2"/>
      <scheme val="minor"/>
    </font>
    <font>
      <sz val="7"/>
      <color theme="1"/>
      <name val="Calibri"/>
      <family val="2"/>
      <scheme val="minor"/>
    </font>
    <font>
      <b/>
      <sz val="11"/>
      <name val="Calibri"/>
      <family val="2"/>
      <scheme val="minor"/>
    </font>
    <font>
      <u/>
      <sz val="11"/>
      <color theme="10"/>
      <name val="Calibri"/>
      <family val="2"/>
      <scheme val="minor"/>
    </font>
    <font>
      <u/>
      <sz val="14"/>
      <color rgb="FF002060"/>
      <name val="Calibri"/>
      <family val="2"/>
      <scheme val="minor"/>
    </font>
    <font>
      <u/>
      <sz val="48"/>
      <color theme="10"/>
      <name val="Calibri"/>
      <family val="2"/>
      <scheme val="minor"/>
    </font>
    <font>
      <b/>
      <u/>
      <sz val="14"/>
      <color rgb="FF002060"/>
      <name val="Calibri"/>
      <family val="2"/>
      <scheme val="minor"/>
    </font>
    <font>
      <b/>
      <u/>
      <sz val="12"/>
      <color theme="10"/>
      <name val="Calibri"/>
      <family val="2"/>
      <scheme val="minor"/>
    </font>
    <font>
      <sz val="1"/>
      <color theme="1"/>
      <name val="Calibri"/>
      <family val="2"/>
      <scheme val="minor"/>
    </font>
    <font>
      <u/>
      <sz val="36"/>
      <color theme="10"/>
      <name val="Calibri"/>
      <family val="2"/>
      <scheme val="minor"/>
    </font>
    <font>
      <u/>
      <sz val="20"/>
      <color theme="10"/>
      <name val="Arial"/>
      <family val="2"/>
    </font>
    <font>
      <sz val="20"/>
      <color theme="1"/>
      <name val="Arial"/>
      <family val="2"/>
    </font>
    <font>
      <b/>
      <sz val="22"/>
      <color rgb="FFFF0000"/>
      <name val="Calibri"/>
      <family val="2"/>
      <scheme val="minor"/>
    </font>
    <font>
      <b/>
      <u/>
      <sz val="14"/>
      <color theme="10"/>
      <name val="Calibri"/>
      <family val="2"/>
      <scheme val="minor"/>
    </font>
    <font>
      <b/>
      <sz val="14"/>
      <color rgb="FFFF0000"/>
      <name val="Calibri"/>
      <family val="2"/>
      <scheme val="minor"/>
    </font>
    <font>
      <b/>
      <u/>
      <sz val="11"/>
      <color theme="10"/>
      <name val="Calibri"/>
      <family val="2"/>
      <scheme val="minor"/>
    </font>
    <font>
      <b/>
      <sz val="16"/>
      <color rgb="FFFF0000"/>
      <name val="Calibri"/>
      <family val="2"/>
      <scheme val="minor"/>
    </font>
    <font>
      <b/>
      <sz val="8"/>
      <color theme="1"/>
      <name val="Calibri"/>
      <family val="2"/>
      <scheme val="minor"/>
    </font>
    <font>
      <b/>
      <sz val="10"/>
      <color theme="1"/>
      <name val="Calibri"/>
      <family val="2"/>
      <scheme val="minor"/>
    </font>
    <font>
      <sz val="10"/>
      <color rgb="FFFFC000"/>
      <name val="Calibri"/>
      <family val="2"/>
      <scheme val="minor"/>
    </font>
    <font>
      <b/>
      <sz val="9"/>
      <color indexed="81"/>
      <name val="Tahoma"/>
      <family val="2"/>
    </font>
    <font>
      <b/>
      <sz val="10"/>
      <color theme="0" tint="-0.499984740745262"/>
      <name val="Calibri"/>
      <family val="2"/>
      <scheme val="minor"/>
    </font>
    <font>
      <sz val="11"/>
      <color rgb="FFFFC000"/>
      <name val="Calibri"/>
      <family val="2"/>
      <scheme val="minor"/>
    </font>
    <font>
      <b/>
      <sz val="12"/>
      <color theme="3" tint="-0.249977111117893"/>
      <name val="Arial"/>
      <family val="2"/>
    </font>
    <font>
      <sz val="5"/>
      <color theme="1"/>
      <name val="Calibri"/>
      <family val="2"/>
      <scheme val="minor"/>
    </font>
    <font>
      <b/>
      <sz val="11"/>
      <color theme="1" tint="0.499984740745262"/>
      <name val="Calibri"/>
      <family val="2"/>
      <scheme val="minor"/>
    </font>
    <font>
      <b/>
      <sz val="12"/>
      <color theme="1"/>
      <name val="Arial"/>
      <family val="2"/>
    </font>
    <font>
      <u/>
      <sz val="26"/>
      <color theme="10"/>
      <name val="Calibri"/>
      <family val="2"/>
      <scheme val="minor"/>
    </font>
    <font>
      <u/>
      <sz val="24"/>
      <color theme="10"/>
      <name val="Calibri"/>
      <family val="2"/>
      <scheme val="minor"/>
    </font>
    <font>
      <b/>
      <sz val="16"/>
      <color rgb="FFC00000"/>
      <name val="Calibri"/>
      <family val="2"/>
      <scheme val="minor"/>
    </font>
    <font>
      <u/>
      <sz val="20"/>
      <color theme="10"/>
      <name val="Calibri"/>
      <family val="2"/>
      <scheme val="minor"/>
    </font>
    <font>
      <b/>
      <u/>
      <sz val="16"/>
      <color theme="10"/>
      <name val="Calibri"/>
      <family val="2"/>
      <scheme val="minor"/>
    </font>
    <font>
      <b/>
      <u/>
      <sz val="18"/>
      <color theme="10"/>
      <name val="Calibri"/>
      <family val="2"/>
      <scheme val="minor"/>
    </font>
    <font>
      <sz val="10"/>
      <color rgb="FFC00000"/>
      <name val="Calibri"/>
      <family val="2"/>
      <scheme val="minor"/>
    </font>
    <font>
      <b/>
      <sz val="10"/>
      <color rgb="FFC00000"/>
      <name val="Calibri"/>
      <family val="2"/>
      <scheme val="minor"/>
    </font>
    <font>
      <b/>
      <sz val="10"/>
      <color theme="9" tint="-0.249977111117893"/>
      <name val="Calibri"/>
      <family val="2"/>
      <scheme val="minor"/>
    </font>
    <font>
      <b/>
      <sz val="11"/>
      <color theme="9" tint="-0.249977111117893"/>
      <name val="Calibri"/>
      <family val="2"/>
      <scheme val="minor"/>
    </font>
    <font>
      <sz val="1"/>
      <color theme="9" tint="-0.249977111117893"/>
      <name val="Calibri"/>
      <family val="2"/>
      <scheme val="minor"/>
    </font>
    <font>
      <b/>
      <sz val="1"/>
      <color theme="9" tint="-0.249977111117893"/>
      <name val="Calibri"/>
      <family val="2"/>
      <scheme val="minor"/>
    </font>
    <font>
      <sz val="11"/>
      <color theme="1" tint="4.9989318521683403E-2"/>
      <name val="Calibri"/>
      <family val="2"/>
      <scheme val="minor"/>
    </font>
  </fonts>
  <fills count="16">
    <fill>
      <patternFill patternType="none"/>
    </fill>
    <fill>
      <patternFill patternType="gray125"/>
    </fill>
    <fill>
      <patternFill patternType="solid">
        <fgColor indexed="22"/>
        <bgColor indexed="22"/>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FF99"/>
        <bgColor indexed="64"/>
      </patternFill>
    </fill>
    <fill>
      <patternFill patternType="solid">
        <fgColor theme="4" tint="0.59999389629810485"/>
        <bgColor indexed="64"/>
      </patternFill>
    </fill>
    <fill>
      <patternFill patternType="solid">
        <fgColor rgb="FFFFCCFF"/>
        <bgColor indexed="64"/>
      </patternFill>
    </fill>
    <fill>
      <patternFill patternType="solid">
        <fgColor rgb="FFCCECFF"/>
        <bgColor indexed="64"/>
      </patternFill>
    </fill>
    <fill>
      <patternFill patternType="solid">
        <fgColor rgb="FFFFFF66"/>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99FFCC"/>
        <bgColor indexed="64"/>
      </patternFill>
    </fill>
    <fill>
      <patternFill patternType="solid">
        <fgColor theme="9" tint="0.59999389629810485"/>
        <bgColor indexed="64"/>
      </patternFill>
    </fill>
    <fill>
      <patternFill patternType="solid">
        <fgColor theme="2"/>
        <bgColor indexed="64"/>
      </patternFill>
    </fill>
  </fills>
  <borders count="79">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top/>
      <bottom style="hair">
        <color indexed="8"/>
      </bottom>
      <diagonal/>
    </border>
    <border>
      <left/>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thin">
        <color indexed="8"/>
      </bottom>
      <diagonal/>
    </border>
    <border>
      <left style="thin">
        <color indexed="8"/>
      </left>
      <right/>
      <top style="hair">
        <color indexed="8"/>
      </top>
      <bottom/>
      <diagonal/>
    </border>
    <border>
      <left/>
      <right/>
      <top style="hair">
        <color indexed="8"/>
      </top>
      <bottom/>
      <diagonal/>
    </border>
    <border>
      <left style="thin">
        <color indexed="8"/>
      </left>
      <right style="thin">
        <color indexed="8"/>
      </right>
      <top style="hair">
        <color indexed="8"/>
      </top>
      <bottom/>
      <diagonal/>
    </border>
    <border>
      <left style="thin">
        <color indexed="8"/>
      </left>
      <right/>
      <top/>
      <bottom/>
      <diagonal/>
    </border>
    <border>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style="thin">
        <color indexed="8"/>
      </right>
      <top/>
      <bottom/>
      <diagonal/>
    </border>
    <border>
      <left/>
      <right style="thin">
        <color indexed="8"/>
      </right>
      <top style="thin">
        <color indexed="8"/>
      </top>
      <bottom style="hair">
        <color indexed="8"/>
      </bottom>
      <diagonal/>
    </border>
    <border>
      <left/>
      <right style="thin">
        <color indexed="8"/>
      </right>
      <top style="hair">
        <color indexed="8"/>
      </top>
      <bottom style="hair">
        <color indexed="8"/>
      </bottom>
      <diagonal/>
    </border>
    <border>
      <left/>
      <right style="thin">
        <color indexed="8"/>
      </right>
      <top style="hair">
        <color indexed="8"/>
      </top>
      <bottom/>
      <diagonal/>
    </border>
    <border>
      <left/>
      <right style="thin">
        <color indexed="8"/>
      </right>
      <top style="hair">
        <color indexed="8"/>
      </top>
      <bottom style="thin">
        <color indexed="8"/>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0" fontId="1" fillId="0" borderId="0"/>
    <xf numFmtId="0" fontId="3" fillId="0" borderId="0"/>
    <xf numFmtId="0" fontId="39" fillId="0" borderId="0" applyNumberFormat="0" applyFill="0" applyBorder="0" applyAlignment="0" applyProtection="0"/>
  </cellStyleXfs>
  <cellXfs count="732">
    <xf numFmtId="0" fontId="0" fillId="0" borderId="0" xfId="0"/>
    <xf numFmtId="0" fontId="2" fillId="0" borderId="2" xfId="1" applyFont="1" applyBorder="1" applyAlignment="1">
      <alignment horizontal="left"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4" fillId="0" borderId="5" xfId="1" applyFont="1" applyBorder="1" applyAlignment="1">
      <alignment horizontal="center" vertical="center" wrapText="1"/>
    </xf>
    <xf numFmtId="0" fontId="5" fillId="0" borderId="0" xfId="1" applyFont="1" applyAlignment="1">
      <alignment horizontal="left" vertical="center"/>
    </xf>
    <xf numFmtId="0" fontId="5" fillId="0" borderId="0" xfId="1" applyFont="1"/>
    <xf numFmtId="0" fontId="1" fillId="0" borderId="0" xfId="1"/>
    <xf numFmtId="0" fontId="2" fillId="0" borderId="6" xfId="1" applyFont="1" applyBorder="1" applyAlignment="1">
      <alignment horizontal="center" vertical="center"/>
    </xf>
    <xf numFmtId="0" fontId="2" fillId="0" borderId="7" xfId="1" applyFont="1" applyBorder="1" applyAlignment="1">
      <alignment horizontal="left"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0" xfId="1" applyFont="1" applyAlignment="1">
      <alignment horizontal="center" vertical="center"/>
    </xf>
    <xf numFmtId="0" fontId="4" fillId="0" borderId="9" xfId="1" applyFont="1" applyBorder="1" applyAlignment="1">
      <alignment horizontal="center" vertical="center" wrapText="1"/>
    </xf>
    <xf numFmtId="0" fontId="6" fillId="0" borderId="4" xfId="1" applyFont="1" applyBorder="1" applyAlignment="1">
      <alignment horizontal="center" vertical="center"/>
    </xf>
    <xf numFmtId="0" fontId="2" fillId="0" borderId="5" xfId="1" applyFont="1" applyBorder="1" applyAlignment="1">
      <alignment horizontal="center" vertical="center" shrinkToFit="1"/>
    </xf>
    <xf numFmtId="0" fontId="5" fillId="0" borderId="0" xfId="1" applyFont="1" applyAlignment="1">
      <alignment horizontal="center"/>
    </xf>
    <xf numFmtId="0" fontId="2" fillId="0" borderId="13" xfId="1" applyFont="1" applyBorder="1" applyAlignment="1">
      <alignment horizontal="center" vertical="center" wrapText="1"/>
    </xf>
    <xf numFmtId="0" fontId="2" fillId="0" borderId="9" xfId="1" applyFont="1" applyBorder="1" applyAlignment="1">
      <alignment horizontal="center" vertical="center" wrapText="1"/>
    </xf>
    <xf numFmtId="0" fontId="8" fillId="0" borderId="9"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5" xfId="1" applyFont="1" applyBorder="1" applyAlignment="1">
      <alignment horizontal="center" vertical="center" wrapText="1"/>
    </xf>
    <xf numFmtId="0" fontId="8" fillId="0" borderId="0" xfId="1" applyFont="1" applyAlignment="1">
      <alignment horizontal="center" vertical="center"/>
    </xf>
    <xf numFmtId="0" fontId="8" fillId="0" borderId="13" xfId="1" applyFont="1" applyBorder="1" applyAlignment="1">
      <alignment horizontal="center" vertical="center" shrinkToFit="1"/>
    </xf>
    <xf numFmtId="0" fontId="8" fillId="0" borderId="0" xfId="1" applyFont="1" applyAlignment="1">
      <alignment horizontal="center" vertical="top" wrapText="1"/>
    </xf>
    <xf numFmtId="0" fontId="8" fillId="0" borderId="0" xfId="1" applyFont="1" applyAlignment="1">
      <alignment vertical="top"/>
    </xf>
    <xf numFmtId="14" fontId="5" fillId="0" borderId="1" xfId="1" applyNumberFormat="1" applyFont="1" applyBorder="1" applyAlignment="1">
      <alignment horizontal="center" vertical="center"/>
    </xf>
    <xf numFmtId="0" fontId="5" fillId="0" borderId="2" xfId="1" applyFont="1" applyBorder="1" applyAlignment="1">
      <alignment horizontal="center" vertical="center"/>
    </xf>
    <xf numFmtId="164" fontId="2" fillId="0" borderId="5" xfId="1" applyNumberFormat="1" applyFont="1" applyBorder="1" applyAlignment="1">
      <alignment horizontal="right" vertical="center" shrinkToFit="1"/>
    </xf>
    <xf numFmtId="164" fontId="9" fillId="0" borderId="5" xfId="1" applyNumberFormat="1" applyFont="1" applyBorder="1" applyAlignment="1">
      <alignment horizontal="right" vertical="center" shrinkToFit="1"/>
    </xf>
    <xf numFmtId="164" fontId="9" fillId="2" borderId="14" xfId="1" applyNumberFormat="1" applyFont="1" applyFill="1" applyBorder="1" applyAlignment="1">
      <alignment horizontal="right" vertical="center" shrinkToFit="1"/>
    </xf>
    <xf numFmtId="164" fontId="9" fillId="0" borderId="0" xfId="1" applyNumberFormat="1" applyFont="1" applyAlignment="1">
      <alignment horizontal="right" vertical="center"/>
    </xf>
    <xf numFmtId="0" fontId="5" fillId="0" borderId="15" xfId="1" applyFont="1" applyBorder="1" applyAlignment="1">
      <alignment horizontal="center" vertical="center"/>
    </xf>
    <xf numFmtId="0" fontId="5" fillId="0" borderId="16" xfId="1" applyFont="1" applyBorder="1" applyAlignment="1">
      <alignment horizontal="center" vertical="center"/>
    </xf>
    <xf numFmtId="165" fontId="8" fillId="0" borderId="17" xfId="1" applyNumberFormat="1" applyFont="1" applyBorder="1" applyAlignment="1">
      <alignment horizontal="right" vertical="center" shrinkToFit="1"/>
    </xf>
    <xf numFmtId="165" fontId="8" fillId="0" borderId="16" xfId="1" applyNumberFormat="1" applyFont="1" applyBorder="1" applyAlignment="1">
      <alignment horizontal="right" vertical="center" shrinkToFit="1"/>
    </xf>
    <xf numFmtId="165" fontId="8" fillId="0" borderId="18" xfId="1" applyNumberFormat="1" applyFont="1" applyBorder="1" applyAlignment="1">
      <alignment horizontal="right" vertical="center" shrinkToFit="1"/>
    </xf>
    <xf numFmtId="165" fontId="8" fillId="0" borderId="0" xfId="1" applyNumberFormat="1" applyFont="1" applyAlignment="1">
      <alignment horizontal="right" vertical="center"/>
    </xf>
    <xf numFmtId="14" fontId="5" fillId="0" borderId="19" xfId="1" applyNumberFormat="1" applyFont="1" applyBorder="1" applyAlignment="1">
      <alignment horizontal="center" vertical="center"/>
    </xf>
    <xf numFmtId="0" fontId="5" fillId="0" borderId="20" xfId="1" applyFont="1" applyBorder="1" applyAlignment="1">
      <alignment horizontal="center" vertical="center"/>
    </xf>
    <xf numFmtId="164" fontId="2" fillId="0" borderId="21" xfId="1" applyNumberFormat="1" applyFont="1" applyBorder="1" applyAlignment="1">
      <alignment horizontal="right" vertical="center" shrinkToFit="1"/>
    </xf>
    <xf numFmtId="164" fontId="9" fillId="0" borderId="21" xfId="1" applyNumberFormat="1" applyFont="1" applyBorder="1" applyAlignment="1">
      <alignment horizontal="right" vertical="center" shrinkToFit="1"/>
    </xf>
    <xf numFmtId="0" fontId="5" fillId="0" borderId="22" xfId="1" applyFont="1" applyBorder="1" applyAlignment="1">
      <alignment horizontal="center" vertical="center"/>
    </xf>
    <xf numFmtId="0" fontId="5" fillId="0" borderId="0" xfId="1" applyFont="1" applyAlignment="1">
      <alignment horizontal="center" vertical="center"/>
    </xf>
    <xf numFmtId="165" fontId="8" fillId="0" borderId="9" xfId="1" applyNumberFormat="1" applyFont="1" applyBorder="1" applyAlignment="1">
      <alignment horizontal="right" vertical="center" shrinkToFit="1"/>
    </xf>
    <xf numFmtId="0" fontId="5" fillId="0" borderId="6" xfId="1" applyFont="1" applyBorder="1" applyAlignment="1">
      <alignment horizontal="center" vertical="center"/>
    </xf>
    <xf numFmtId="0" fontId="5" fillId="0" borderId="7" xfId="1" applyFont="1" applyBorder="1" applyAlignment="1">
      <alignment horizontal="center" vertical="center"/>
    </xf>
    <xf numFmtId="165" fontId="8" fillId="0" borderId="7" xfId="1" applyNumberFormat="1" applyFont="1" applyBorder="1" applyAlignment="1">
      <alignment horizontal="right" vertical="center" shrinkToFit="1"/>
    </xf>
    <xf numFmtId="165" fontId="8" fillId="0" borderId="23" xfId="1" applyNumberFormat="1" applyFont="1" applyBorder="1" applyAlignment="1">
      <alignment horizontal="right" vertical="center" shrinkToFit="1"/>
    </xf>
    <xf numFmtId="164" fontId="9" fillId="2" borderId="24" xfId="1" applyNumberFormat="1" applyFont="1" applyFill="1" applyBorder="1" applyAlignment="1">
      <alignment horizontal="right" vertical="center" shrinkToFit="1"/>
    </xf>
    <xf numFmtId="165" fontId="8" fillId="0" borderId="8" xfId="1" applyNumberFormat="1" applyFont="1" applyBorder="1" applyAlignment="1">
      <alignment horizontal="right" vertical="center" shrinkToFit="1"/>
    </xf>
    <xf numFmtId="0" fontId="5" fillId="0" borderId="7" xfId="1" applyFont="1" applyBorder="1"/>
    <xf numFmtId="165" fontId="8" fillId="0" borderId="0" xfId="1" applyNumberFormat="1" applyFont="1" applyAlignment="1">
      <alignment horizontal="right" vertical="center" shrinkToFit="1"/>
    </xf>
    <xf numFmtId="0" fontId="2" fillId="0" borderId="0" xfId="1" applyFont="1" applyAlignment="1">
      <alignment horizontal="center" vertical="center" wrapText="1"/>
    </xf>
    <xf numFmtId="14" fontId="8" fillId="0" borderId="25" xfId="1" applyNumberFormat="1" applyFont="1" applyBorder="1" applyAlignment="1">
      <alignment horizontal="center" vertical="center" shrinkToFit="1"/>
    </xf>
    <xf numFmtId="14" fontId="5" fillId="0" borderId="26" xfId="1" applyNumberFormat="1" applyFont="1" applyBorder="1" applyAlignment="1">
      <alignment horizontal="center" vertical="center"/>
    </xf>
    <xf numFmtId="0" fontId="5" fillId="0" borderId="27" xfId="1" applyFont="1" applyBorder="1" applyAlignment="1">
      <alignment horizontal="center" vertical="center"/>
    </xf>
    <xf numFmtId="164" fontId="2" fillId="0" borderId="25" xfId="1" applyNumberFormat="1" applyFont="1" applyBorder="1" applyAlignment="1">
      <alignment horizontal="right" vertical="center" shrinkToFit="1"/>
    </xf>
    <xf numFmtId="164" fontId="9" fillId="2" borderId="28" xfId="1" applyNumberFormat="1" applyFont="1" applyFill="1" applyBorder="1" applyAlignment="1">
      <alignment horizontal="right" vertical="center" shrinkToFit="1"/>
    </xf>
    <xf numFmtId="14" fontId="8" fillId="0" borderId="29" xfId="1" applyNumberFormat="1" applyFont="1" applyBorder="1" applyAlignment="1">
      <alignment horizontal="center" vertical="center" shrinkToFit="1"/>
    </xf>
    <xf numFmtId="0" fontId="5" fillId="0" borderId="30" xfId="1" applyFont="1" applyBorder="1" applyAlignment="1">
      <alignment horizontal="center" vertical="center"/>
    </xf>
    <xf numFmtId="0" fontId="5" fillId="0" borderId="31" xfId="1" applyFont="1" applyBorder="1" applyAlignment="1">
      <alignment horizontal="center" vertical="center"/>
    </xf>
    <xf numFmtId="165" fontId="8" fillId="0" borderId="32" xfId="1" applyNumberFormat="1" applyFont="1" applyBorder="1" applyAlignment="1">
      <alignment horizontal="right" vertical="center" shrinkToFit="1"/>
    </xf>
    <xf numFmtId="165" fontId="8" fillId="0" borderId="33" xfId="1" applyNumberFormat="1" applyFont="1" applyBorder="1" applyAlignment="1">
      <alignment horizontal="right" vertical="center" shrinkToFit="1"/>
    </xf>
    <xf numFmtId="165" fontId="8" fillId="0" borderId="31" xfId="1" applyNumberFormat="1" applyFont="1" applyBorder="1" applyAlignment="1">
      <alignment horizontal="right" vertical="center" shrinkToFit="1"/>
    </xf>
    <xf numFmtId="166" fontId="9" fillId="0" borderId="29" xfId="1" applyNumberFormat="1" applyFont="1" applyBorder="1" applyAlignment="1">
      <alignment horizontal="center" textRotation="90" shrinkToFit="1"/>
    </xf>
    <xf numFmtId="14" fontId="5" fillId="0" borderId="34" xfId="1" applyNumberFormat="1" applyFont="1" applyBorder="1" applyAlignment="1">
      <alignment horizontal="center" vertical="center"/>
    </xf>
    <xf numFmtId="0" fontId="5" fillId="0" borderId="35" xfId="1" applyFont="1" applyBorder="1" applyAlignment="1">
      <alignment horizontal="center" vertical="center"/>
    </xf>
    <xf numFmtId="166" fontId="9" fillId="0" borderId="32" xfId="1" applyNumberFormat="1" applyFont="1" applyBorder="1" applyAlignment="1">
      <alignment horizontal="center" textRotation="90" shrinkToFit="1"/>
    </xf>
    <xf numFmtId="0" fontId="5" fillId="0" borderId="36" xfId="1" applyFont="1" applyBorder="1" applyAlignment="1">
      <alignment horizontal="center" vertical="center"/>
    </xf>
    <xf numFmtId="0" fontId="5" fillId="0" borderId="37" xfId="1" applyFont="1" applyBorder="1" applyAlignment="1">
      <alignment horizontal="center" vertical="center"/>
    </xf>
    <xf numFmtId="166" fontId="9" fillId="0" borderId="29" xfId="1" applyNumberFormat="1" applyFont="1" applyBorder="1" applyAlignment="1">
      <alignment horizontal="center" vertical="center" textRotation="90" shrinkToFit="1"/>
    </xf>
    <xf numFmtId="166" fontId="9" fillId="0" borderId="32" xfId="1" applyNumberFormat="1" applyFont="1" applyBorder="1" applyAlignment="1">
      <alignment horizontal="center" vertical="center" textRotation="90" shrinkToFit="1"/>
    </xf>
    <xf numFmtId="0" fontId="5" fillId="0" borderId="0" xfId="2" applyFont="1"/>
    <xf numFmtId="164" fontId="5" fillId="0" borderId="0" xfId="2" applyNumberFormat="1" applyFont="1"/>
    <xf numFmtId="0" fontId="11" fillId="0" borderId="0" xfId="1" applyFont="1" applyAlignment="1">
      <alignment horizontal="center" vertical="center" textRotation="78"/>
    </xf>
    <xf numFmtId="0" fontId="2" fillId="0" borderId="38" xfId="1" applyFont="1" applyBorder="1" applyAlignment="1">
      <alignment horizontal="center" vertical="center"/>
    </xf>
    <xf numFmtId="0" fontId="2" fillId="0" borderId="39" xfId="1" applyFont="1" applyBorder="1" applyAlignment="1">
      <alignment horizontal="center" vertical="center"/>
    </xf>
    <xf numFmtId="0" fontId="2" fillId="0" borderId="40" xfId="1" applyFont="1" applyBorder="1" applyAlignment="1">
      <alignment horizontal="center" vertical="center"/>
    </xf>
    <xf numFmtId="0" fontId="2" fillId="0" borderId="26" xfId="1" applyFont="1" applyBorder="1"/>
    <xf numFmtId="0" fontId="2" fillId="0" borderId="39" xfId="1" applyFont="1" applyBorder="1"/>
    <xf numFmtId="0" fontId="2" fillId="0" borderId="40" xfId="1" applyFont="1" applyBorder="1"/>
    <xf numFmtId="14" fontId="2" fillId="0" borderId="41" xfId="1" applyNumberFormat="1" applyFont="1" applyBorder="1" applyAlignment="1">
      <alignment horizontal="center" shrinkToFit="1"/>
    </xf>
    <xf numFmtId="14" fontId="2" fillId="0" borderId="38" xfId="1" applyNumberFormat="1" applyFont="1" applyBorder="1" applyAlignment="1">
      <alignment shrinkToFit="1"/>
    </xf>
    <xf numFmtId="14" fontId="2" fillId="0" borderId="41" xfId="1" applyNumberFormat="1" applyFont="1" applyBorder="1" applyAlignment="1">
      <alignment shrinkToFit="1"/>
    </xf>
    <xf numFmtId="14" fontId="5" fillId="0" borderId="0" xfId="1" applyNumberFormat="1" applyFont="1"/>
    <xf numFmtId="14" fontId="2" fillId="0" borderId="25" xfId="1" applyNumberFormat="1" applyFont="1" applyBorder="1" applyAlignment="1">
      <alignment horizontal="center" vertical="center" textRotation="90" wrapText="1"/>
    </xf>
    <xf numFmtId="14" fontId="5" fillId="0" borderId="27" xfId="1" applyNumberFormat="1" applyFont="1" applyBorder="1" applyAlignment="1">
      <alignment horizontal="center" vertical="center"/>
    </xf>
    <xf numFmtId="0" fontId="5" fillId="0" borderId="42" xfId="1" applyFont="1" applyBorder="1" applyAlignment="1">
      <alignment horizontal="center" vertical="center"/>
    </xf>
    <xf numFmtId="0" fontId="5" fillId="0" borderId="29" xfId="1" applyFont="1" applyBorder="1" applyAlignment="1">
      <alignment horizontal="center" vertical="center" textRotation="90" wrapText="1"/>
    </xf>
    <xf numFmtId="0" fontId="5" fillId="0" borderId="43" xfId="1" applyFont="1" applyBorder="1" applyAlignment="1">
      <alignment horizontal="center" vertical="center"/>
    </xf>
    <xf numFmtId="165" fontId="5" fillId="0" borderId="32" xfId="1" applyNumberFormat="1" applyFont="1" applyBorder="1" applyAlignment="1">
      <alignment horizontal="right" vertical="center" shrinkToFit="1"/>
    </xf>
    <xf numFmtId="0" fontId="5" fillId="0" borderId="32" xfId="1" applyFont="1" applyBorder="1" applyAlignment="1">
      <alignment horizontal="center" vertical="center" textRotation="90" wrapText="1"/>
    </xf>
    <xf numFmtId="0" fontId="3" fillId="0" borderId="4" xfId="1" applyFont="1" applyBorder="1"/>
    <xf numFmtId="165" fontId="8" fillId="0" borderId="4" xfId="1" applyNumberFormat="1" applyFont="1" applyBorder="1" applyAlignment="1">
      <alignment horizontal="right" vertical="center" shrinkToFit="1"/>
    </xf>
    <xf numFmtId="165" fontId="8" fillId="0" borderId="44" xfId="1" applyNumberFormat="1" applyFont="1" applyBorder="1" applyAlignment="1">
      <alignment horizontal="right" vertical="center" shrinkToFit="1"/>
    </xf>
    <xf numFmtId="14" fontId="8" fillId="0" borderId="5" xfId="1" applyNumberFormat="1" applyFont="1" applyBorder="1" applyAlignment="1">
      <alignment horizontal="center" vertical="center" shrinkToFit="1"/>
    </xf>
    <xf numFmtId="14" fontId="8" fillId="0" borderId="4" xfId="1" applyNumberFormat="1" applyFont="1" applyBorder="1" applyAlignment="1">
      <alignment horizontal="center" vertical="center" shrinkToFit="1"/>
    </xf>
    <xf numFmtId="0" fontId="2" fillId="0" borderId="10" xfId="1" applyFont="1" applyBorder="1" applyAlignment="1">
      <alignment horizontal="center" vertical="center"/>
    </xf>
    <xf numFmtId="0" fontId="2" fillId="0" borderId="2" xfId="1" applyFont="1" applyBorder="1" applyAlignment="1">
      <alignment horizontal="center" vertical="center" textRotation="90" wrapText="1"/>
    </xf>
    <xf numFmtId="0" fontId="6" fillId="0" borderId="5" xfId="1" applyFont="1" applyBorder="1" applyAlignment="1">
      <alignment horizontal="center" vertical="center" wrapText="1"/>
    </xf>
    <xf numFmtId="0" fontId="2" fillId="0" borderId="5" xfId="1" applyFont="1" applyBorder="1" applyAlignment="1">
      <alignment horizontal="center" vertical="center" wrapText="1"/>
    </xf>
    <xf numFmtId="0" fontId="7" fillId="0" borderId="5" xfId="1" applyFont="1" applyBorder="1" applyAlignment="1">
      <alignment horizontal="center" vertical="center" wrapText="1"/>
    </xf>
    <xf numFmtId="0" fontId="3" fillId="0" borderId="11" xfId="1" applyFont="1" applyBorder="1"/>
    <xf numFmtId="0" fontId="3" fillId="0" borderId="3" xfId="1" applyFont="1" applyBorder="1"/>
    <xf numFmtId="0" fontId="3" fillId="0" borderId="12" xfId="1" applyFont="1" applyBorder="1"/>
    <xf numFmtId="0" fontId="3" fillId="0" borderId="7" xfId="1" applyFont="1" applyBorder="1"/>
    <xf numFmtId="0" fontId="3" fillId="0" borderId="8" xfId="1" applyFont="1" applyBorder="1"/>
    <xf numFmtId="0" fontId="3" fillId="0" borderId="9" xfId="1" applyFont="1" applyBorder="1"/>
    <xf numFmtId="0" fontId="0" fillId="0" borderId="41" xfId="0" applyBorder="1" applyAlignment="1">
      <alignment wrapText="1"/>
    </xf>
    <xf numFmtId="14" fontId="0" fillId="0" borderId="0" xfId="0" applyNumberFormat="1"/>
    <xf numFmtId="0" fontId="12" fillId="0" borderId="0" xfId="0" applyFont="1"/>
    <xf numFmtId="2" fontId="0" fillId="0" borderId="0" xfId="0" applyNumberFormat="1"/>
    <xf numFmtId="14" fontId="5" fillId="0" borderId="22" xfId="1" applyNumberFormat="1" applyFont="1" applyBorder="1" applyAlignment="1">
      <alignment horizontal="center" vertical="center"/>
    </xf>
    <xf numFmtId="164" fontId="2" fillId="0" borderId="4" xfId="1" applyNumberFormat="1" applyFont="1" applyBorder="1" applyAlignment="1">
      <alignment horizontal="right" vertical="center" shrinkToFit="1"/>
    </xf>
    <xf numFmtId="164" fontId="2" fillId="0" borderId="0" xfId="1" applyNumberFormat="1" applyFont="1" applyAlignment="1">
      <alignment horizontal="right" vertical="center" shrinkToFit="1"/>
    </xf>
    <xf numFmtId="164" fontId="9" fillId="0" borderId="4" xfId="1" applyNumberFormat="1" applyFont="1" applyBorder="1" applyAlignment="1">
      <alignment horizontal="right" vertical="center" shrinkToFit="1"/>
    </xf>
    <xf numFmtId="164" fontId="9" fillId="2" borderId="4" xfId="1" applyNumberFormat="1" applyFont="1" applyFill="1" applyBorder="1" applyAlignment="1">
      <alignment horizontal="right" vertical="center" shrinkToFit="1"/>
    </xf>
    <xf numFmtId="164" fontId="9" fillId="2" borderId="45" xfId="1" applyNumberFormat="1" applyFont="1" applyFill="1" applyBorder="1" applyAlignment="1">
      <alignment horizontal="right" vertical="center" shrinkToFit="1"/>
    </xf>
    <xf numFmtId="165" fontId="8" fillId="0" borderId="46" xfId="1" applyNumberFormat="1" applyFont="1" applyBorder="1" applyAlignment="1">
      <alignment horizontal="right" vertical="center" shrinkToFit="1"/>
    </xf>
    <xf numFmtId="164" fontId="9" fillId="2" borderId="46" xfId="1" applyNumberFormat="1" applyFont="1" applyFill="1" applyBorder="1" applyAlignment="1">
      <alignment horizontal="right" vertical="center" shrinkToFit="1"/>
    </xf>
    <xf numFmtId="164" fontId="9" fillId="2" borderId="47" xfId="1" applyNumberFormat="1" applyFont="1" applyFill="1" applyBorder="1" applyAlignment="1">
      <alignment horizontal="right" vertical="center" shrinkToFit="1"/>
    </xf>
    <xf numFmtId="165" fontId="8" fillId="0" borderId="48" xfId="1" applyNumberFormat="1" applyFont="1" applyBorder="1" applyAlignment="1">
      <alignment horizontal="right" vertical="center" shrinkToFit="1"/>
    </xf>
    <xf numFmtId="14" fontId="5" fillId="0" borderId="26" xfId="2" applyNumberFormat="1" applyFont="1" applyBorder="1" applyAlignment="1">
      <alignment horizontal="center" vertical="center"/>
    </xf>
    <xf numFmtId="0" fontId="5" fillId="0" borderId="27" xfId="2" applyFont="1" applyBorder="1" applyAlignment="1">
      <alignment horizontal="center" vertical="center"/>
    </xf>
    <xf numFmtId="164" fontId="2" fillId="0" borderId="25" xfId="2" applyNumberFormat="1" applyFont="1" applyBorder="1" applyAlignment="1">
      <alignment horizontal="right" vertical="center" shrinkToFit="1"/>
    </xf>
    <xf numFmtId="164" fontId="9" fillId="2" borderId="28" xfId="2" applyNumberFormat="1" applyFont="1" applyFill="1" applyBorder="1" applyAlignment="1">
      <alignment horizontal="right" vertical="center" shrinkToFit="1"/>
    </xf>
    <xf numFmtId="164" fontId="9" fillId="0" borderId="0" xfId="2" applyNumberFormat="1" applyFont="1" applyAlignment="1">
      <alignment horizontal="right" vertical="center"/>
    </xf>
    <xf numFmtId="0" fontId="5" fillId="0" borderId="30" xfId="2" applyFont="1" applyBorder="1" applyAlignment="1">
      <alignment horizontal="center" vertical="center"/>
    </xf>
    <xf numFmtId="0" fontId="5" fillId="0" borderId="31" xfId="2" applyFont="1" applyBorder="1" applyAlignment="1">
      <alignment horizontal="center" vertical="center"/>
    </xf>
    <xf numFmtId="165" fontId="8" fillId="0" borderId="32" xfId="2" applyNumberFormat="1" applyFont="1" applyBorder="1" applyAlignment="1">
      <alignment horizontal="right" vertical="center" shrinkToFit="1"/>
    </xf>
    <xf numFmtId="165" fontId="8" fillId="0" borderId="33" xfId="2" applyNumberFormat="1" applyFont="1" applyBorder="1" applyAlignment="1">
      <alignment horizontal="right" vertical="center" shrinkToFit="1"/>
    </xf>
    <xf numFmtId="165" fontId="8" fillId="0" borderId="31" xfId="2" applyNumberFormat="1" applyFont="1" applyBorder="1" applyAlignment="1">
      <alignment horizontal="right" vertical="center" shrinkToFit="1"/>
    </xf>
    <xf numFmtId="165" fontId="8" fillId="0" borderId="0" xfId="2" applyNumberFormat="1" applyFont="1" applyAlignment="1">
      <alignment horizontal="right" vertical="center"/>
    </xf>
    <xf numFmtId="14" fontId="5" fillId="0" borderId="34" xfId="2" applyNumberFormat="1" applyFont="1" applyBorder="1" applyAlignment="1">
      <alignment horizontal="center" vertical="center"/>
    </xf>
    <xf numFmtId="0" fontId="5" fillId="0" borderId="35" xfId="2" applyFont="1" applyBorder="1" applyAlignment="1">
      <alignment horizontal="center" vertical="center"/>
    </xf>
    <xf numFmtId="0" fontId="5" fillId="0" borderId="36" xfId="2" applyFont="1" applyBorder="1" applyAlignment="1">
      <alignment horizontal="center" vertical="center"/>
    </xf>
    <xf numFmtId="0" fontId="5" fillId="0" borderId="37" xfId="2" applyFont="1" applyBorder="1" applyAlignment="1">
      <alignment horizontal="center" vertical="center"/>
    </xf>
    <xf numFmtId="0" fontId="11" fillId="0" borderId="0" xfId="2" applyFont="1" applyAlignment="1">
      <alignment horizontal="center" vertical="center" textRotation="78"/>
    </xf>
    <xf numFmtId="0" fontId="5" fillId="0" borderId="0" xfId="2" applyFont="1" applyAlignment="1">
      <alignment horizontal="center" vertical="center"/>
    </xf>
    <xf numFmtId="165" fontId="8" fillId="0" borderId="0" xfId="2" applyNumberFormat="1" applyFont="1" applyAlignment="1">
      <alignment horizontal="right" vertical="center" shrinkToFit="1"/>
    </xf>
    <xf numFmtId="14" fontId="2" fillId="0" borderId="41" xfId="2" applyNumberFormat="1" applyFont="1" applyBorder="1" applyAlignment="1">
      <alignment horizontal="center" shrinkToFit="1"/>
    </xf>
    <xf numFmtId="14" fontId="2" fillId="0" borderId="38" xfId="2" applyNumberFormat="1" applyFont="1" applyBorder="1" applyAlignment="1">
      <alignment shrinkToFit="1"/>
    </xf>
    <xf numFmtId="14" fontId="2" fillId="0" borderId="41" xfId="2" applyNumberFormat="1" applyFont="1" applyBorder="1" applyAlignment="1">
      <alignment shrinkToFit="1"/>
    </xf>
    <xf numFmtId="14" fontId="5" fillId="0" borderId="27" xfId="2" applyNumberFormat="1" applyFont="1" applyBorder="1" applyAlignment="1">
      <alignment horizontal="center" vertical="center"/>
    </xf>
    <xf numFmtId="0" fontId="5" fillId="0" borderId="42" xfId="2" applyFont="1" applyBorder="1" applyAlignment="1">
      <alignment horizontal="center" vertical="center"/>
    </xf>
    <xf numFmtId="0" fontId="5" fillId="0" borderId="43" xfId="2" applyFont="1" applyBorder="1" applyAlignment="1">
      <alignment horizontal="center" vertical="center"/>
    </xf>
    <xf numFmtId="165" fontId="5" fillId="0" borderId="32" xfId="2" applyNumberFormat="1" applyFont="1" applyBorder="1" applyAlignment="1">
      <alignment horizontal="right" vertical="center" shrinkToFit="1"/>
    </xf>
    <xf numFmtId="166" fontId="9" fillId="0" borderId="29" xfId="2" applyNumberFormat="1" applyFont="1" applyBorder="1" applyAlignment="1">
      <alignment horizontal="center" textRotation="90" shrinkToFit="1"/>
    </xf>
    <xf numFmtId="166" fontId="9" fillId="0" borderId="29" xfId="2" applyNumberFormat="1" applyFont="1" applyBorder="1" applyAlignment="1">
      <alignment horizontal="center" vertical="center" textRotation="90" shrinkToFit="1"/>
    </xf>
    <xf numFmtId="0" fontId="2" fillId="0" borderId="1" xfId="1" applyFont="1" applyBorder="1" applyAlignment="1">
      <alignment horizontal="right" vertical="center" shrinkToFit="1"/>
    </xf>
    <xf numFmtId="0" fontId="2" fillId="0" borderId="2" xfId="1" applyFont="1" applyBorder="1" applyAlignment="1">
      <alignment horizontal="left" vertical="center" wrapText="1"/>
    </xf>
    <xf numFmtId="0" fontId="2" fillId="0" borderId="1" xfId="1" applyFont="1" applyBorder="1" applyAlignment="1">
      <alignment horizontal="center" vertical="center" wrapText="1"/>
    </xf>
    <xf numFmtId="166" fontId="10" fillId="0" borderId="4" xfId="1" applyNumberFormat="1" applyFont="1" applyBorder="1" applyAlignment="1">
      <alignment horizontal="center" vertical="center" textRotation="90"/>
    </xf>
    <xf numFmtId="166" fontId="9" fillId="0" borderId="4" xfId="1" applyNumberFormat="1" applyFont="1" applyBorder="1" applyAlignment="1">
      <alignment horizontal="center" vertical="center" textRotation="90"/>
    </xf>
    <xf numFmtId="166" fontId="9" fillId="0" borderId="4" xfId="1" applyNumberFormat="1" applyFont="1" applyBorder="1" applyAlignment="1">
      <alignment horizontal="center" vertical="center" textRotation="90" shrinkToFit="1"/>
    </xf>
    <xf numFmtId="14" fontId="8" fillId="0" borderId="25" xfId="2" applyNumberFormat="1" applyFont="1" applyBorder="1" applyAlignment="1">
      <alignment horizontal="center" vertical="center" shrinkToFit="1"/>
    </xf>
    <xf numFmtId="14" fontId="8" fillId="0" borderId="29" xfId="2" applyNumberFormat="1" applyFont="1" applyBorder="1" applyAlignment="1">
      <alignment horizontal="center" vertical="center" shrinkToFit="1"/>
    </xf>
    <xf numFmtId="166" fontId="9" fillId="0" borderId="32" xfId="2" applyNumberFormat="1" applyFont="1" applyBorder="1" applyAlignment="1">
      <alignment horizontal="center" textRotation="90" shrinkToFit="1"/>
    </xf>
    <xf numFmtId="166" fontId="9" fillId="0" borderId="32" xfId="2" applyNumberFormat="1" applyFont="1" applyBorder="1" applyAlignment="1">
      <alignment horizontal="center" vertical="center" textRotation="90" shrinkToFit="1"/>
    </xf>
    <xf numFmtId="0" fontId="2" fillId="0" borderId="38" xfId="2" applyFont="1" applyBorder="1" applyAlignment="1">
      <alignment horizontal="center" vertical="center"/>
    </xf>
    <xf numFmtId="0" fontId="2" fillId="0" borderId="39" xfId="2" applyFont="1" applyBorder="1" applyAlignment="1">
      <alignment horizontal="center" vertical="center"/>
    </xf>
    <xf numFmtId="0" fontId="2" fillId="0" borderId="40" xfId="2" applyFont="1" applyBorder="1" applyAlignment="1">
      <alignment horizontal="center" vertical="center"/>
    </xf>
    <xf numFmtId="14" fontId="2" fillId="0" borderId="25" xfId="2" applyNumberFormat="1" applyFont="1" applyBorder="1" applyAlignment="1">
      <alignment horizontal="center" vertical="center" textRotation="90" wrapText="1"/>
    </xf>
    <xf numFmtId="0" fontId="5" fillId="0" borderId="29" xfId="2" applyFont="1" applyBorder="1" applyAlignment="1">
      <alignment horizontal="center" vertical="center" textRotation="90" wrapText="1"/>
    </xf>
    <xf numFmtId="0" fontId="5" fillId="0" borderId="32" xfId="2" applyFont="1" applyBorder="1" applyAlignment="1">
      <alignment horizontal="center" vertical="center" textRotation="90" wrapText="1"/>
    </xf>
    <xf numFmtId="0" fontId="3" fillId="0" borderId="2" xfId="1" applyFont="1" applyBorder="1"/>
    <xf numFmtId="0" fontId="3" fillId="0" borderId="6" xfId="1" applyFont="1" applyBorder="1"/>
    <xf numFmtId="0" fontId="2" fillId="0" borderId="26" xfId="2" applyFont="1" applyBorder="1"/>
    <xf numFmtId="0" fontId="2" fillId="0" borderId="39" xfId="2" applyFont="1" applyBorder="1"/>
    <xf numFmtId="0" fontId="2" fillId="0" borderId="40" xfId="2" applyFont="1" applyBorder="1"/>
    <xf numFmtId="14" fontId="5" fillId="0" borderId="0" xfId="2" applyNumberFormat="1" applyFont="1"/>
    <xf numFmtId="0" fontId="13" fillId="0" borderId="4" xfId="1" applyFont="1" applyBorder="1"/>
    <xf numFmtId="0" fontId="14" fillId="0" borderId="22" xfId="1" applyFont="1" applyBorder="1" applyAlignment="1">
      <alignment horizontal="center" vertical="center"/>
    </xf>
    <xf numFmtId="0" fontId="14" fillId="0" borderId="0" xfId="1" applyFont="1" applyAlignment="1">
      <alignment horizontal="center" vertical="center"/>
    </xf>
    <xf numFmtId="165" fontId="15" fillId="0" borderId="4" xfId="1" applyNumberFormat="1" applyFont="1" applyBorder="1" applyAlignment="1">
      <alignment horizontal="right" vertical="center" shrinkToFit="1"/>
    </xf>
    <xf numFmtId="165" fontId="15" fillId="0" borderId="0" xfId="1" applyNumberFormat="1" applyFont="1" applyAlignment="1">
      <alignment horizontal="right" vertical="center" shrinkToFit="1"/>
    </xf>
    <xf numFmtId="165" fontId="15" fillId="0" borderId="0" xfId="1" applyNumberFormat="1" applyFont="1" applyAlignment="1">
      <alignment horizontal="right" vertical="center"/>
    </xf>
    <xf numFmtId="0" fontId="14" fillId="0" borderId="0" xfId="1" applyFont="1"/>
    <xf numFmtId="0" fontId="16" fillId="0" borderId="0" xfId="1" applyFont="1"/>
    <xf numFmtId="164" fontId="17" fillId="0" borderId="0" xfId="2" applyNumberFormat="1" applyFont="1"/>
    <xf numFmtId="166" fontId="9" fillId="0" borderId="9" xfId="1" applyNumberFormat="1" applyFont="1" applyBorder="1" applyAlignment="1">
      <alignment horizontal="center" vertical="center" textRotation="90"/>
    </xf>
    <xf numFmtId="0" fontId="5" fillId="0" borderId="49" xfId="1" applyFont="1" applyBorder="1" applyAlignment="1">
      <alignment horizontal="center" vertical="center"/>
    </xf>
    <xf numFmtId="165" fontId="8" fillId="0" borderId="29" xfId="1" applyNumberFormat="1" applyFont="1" applyBorder="1" applyAlignment="1">
      <alignment horizontal="right" vertical="center" shrinkToFit="1"/>
    </xf>
    <xf numFmtId="0" fontId="3" fillId="0" borderId="0" xfId="1" applyFont="1"/>
    <xf numFmtId="165" fontId="18" fillId="0" borderId="32" xfId="1" applyNumberFormat="1" applyFont="1" applyBorder="1" applyAlignment="1">
      <alignment horizontal="right" vertical="center" shrinkToFit="1"/>
    </xf>
    <xf numFmtId="165" fontId="18" fillId="0" borderId="29" xfId="1" applyNumberFormat="1" applyFont="1" applyBorder="1" applyAlignment="1">
      <alignment horizontal="right" vertical="center" shrinkToFit="1"/>
    </xf>
    <xf numFmtId="166" fontId="9" fillId="0" borderId="0" xfId="1" applyNumberFormat="1" applyFont="1" applyAlignment="1">
      <alignment vertical="center" textRotation="90"/>
    </xf>
    <xf numFmtId="14" fontId="5" fillId="0" borderId="0" xfId="1" applyNumberFormat="1" applyFont="1" applyAlignment="1">
      <alignment vertical="center"/>
    </xf>
    <xf numFmtId="0" fontId="5" fillId="0" borderId="0" xfId="1" applyFont="1" applyAlignment="1">
      <alignment vertical="center"/>
    </xf>
    <xf numFmtId="164" fontId="2" fillId="0" borderId="0" xfId="1" applyNumberFormat="1" applyFont="1" applyAlignment="1">
      <alignment vertical="center"/>
    </xf>
    <xf numFmtId="164" fontId="9" fillId="0" borderId="0" xfId="1" applyNumberFormat="1" applyFont="1" applyAlignment="1">
      <alignment vertical="center"/>
    </xf>
    <xf numFmtId="165" fontId="8" fillId="0" borderId="0" xfId="1" applyNumberFormat="1" applyFont="1" applyAlignment="1">
      <alignment vertical="center"/>
    </xf>
    <xf numFmtId="0" fontId="2" fillId="0" borderId="38" xfId="1" applyFont="1" applyBorder="1" applyAlignment="1">
      <alignment horizontal="center" vertical="center" wrapText="1"/>
    </xf>
    <xf numFmtId="0" fontId="1" fillId="0" borderId="39" xfId="1" applyBorder="1" applyAlignment="1">
      <alignment horizontal="center" vertical="center" wrapText="1"/>
    </xf>
    <xf numFmtId="0" fontId="1" fillId="0" borderId="40" xfId="1" applyBorder="1" applyAlignment="1">
      <alignment horizontal="center" vertical="center" wrapText="1"/>
    </xf>
    <xf numFmtId="14" fontId="2" fillId="0" borderId="26" xfId="1" applyNumberFormat="1" applyFont="1" applyBorder="1" applyAlignment="1">
      <alignment horizontal="center" vertical="center" textRotation="90"/>
    </xf>
    <xf numFmtId="0" fontId="5" fillId="0" borderId="50" xfId="1" applyFont="1" applyBorder="1" applyAlignment="1">
      <alignment horizontal="center" vertical="center"/>
    </xf>
    <xf numFmtId="0" fontId="5" fillId="0" borderId="36" xfId="1" applyFont="1" applyBorder="1" applyAlignment="1">
      <alignment horizontal="center" vertical="center" textRotation="90"/>
    </xf>
    <xf numFmtId="0" fontId="5" fillId="0" borderId="51" xfId="1" applyFont="1" applyBorder="1" applyAlignment="1">
      <alignment horizontal="center" vertical="center"/>
    </xf>
    <xf numFmtId="0" fontId="8" fillId="0" borderId="32" xfId="1" applyFont="1" applyBorder="1" applyAlignment="1">
      <alignment vertical="top" wrapText="1"/>
    </xf>
    <xf numFmtId="0" fontId="5" fillId="0" borderId="51" xfId="1" applyFont="1" applyBorder="1"/>
    <xf numFmtId="0" fontId="5" fillId="0" borderId="37" xfId="1" applyFont="1" applyBorder="1"/>
    <xf numFmtId="0" fontId="5" fillId="0" borderId="36" xfId="1" applyFont="1" applyBorder="1"/>
    <xf numFmtId="0" fontId="8" fillId="0" borderId="25" xfId="1" applyFont="1" applyBorder="1" applyAlignment="1">
      <alignment vertical="top" wrapText="1"/>
    </xf>
    <xf numFmtId="0" fontId="5" fillId="0" borderId="50" xfId="1" applyFont="1" applyBorder="1"/>
    <xf numFmtId="0" fontId="5" fillId="0" borderId="27" xfId="1" applyFont="1" applyBorder="1"/>
    <xf numFmtId="14" fontId="5" fillId="0" borderId="26" xfId="1" applyNumberFormat="1" applyFont="1" applyBorder="1" applyAlignment="1">
      <alignment horizontal="left" vertical="center" wrapText="1"/>
    </xf>
    <xf numFmtId="0" fontId="5" fillId="0" borderId="51" xfId="1" applyFont="1" applyBorder="1" applyAlignment="1">
      <alignment vertical="top" wrapText="1"/>
    </xf>
    <xf numFmtId="165" fontId="5" fillId="0" borderId="37" xfId="1" applyNumberFormat="1" applyFont="1" applyBorder="1" applyAlignment="1">
      <alignment horizontal="right" vertical="center"/>
    </xf>
    <xf numFmtId="0" fontId="5" fillId="0" borderId="37" xfId="1" applyFont="1" applyBorder="1" applyAlignment="1">
      <alignment horizontal="left" vertical="center"/>
    </xf>
    <xf numFmtId="0" fontId="5" fillId="0" borderId="36" xfId="1" applyFont="1" applyBorder="1" applyAlignment="1">
      <alignment horizontal="left" vertical="center"/>
    </xf>
    <xf numFmtId="0" fontId="5" fillId="0" borderId="50" xfId="1" applyFont="1" applyBorder="1" applyAlignment="1">
      <alignment vertical="top" wrapText="1"/>
    </xf>
    <xf numFmtId="164" fontId="2" fillId="0" borderId="27" xfId="1" applyNumberFormat="1" applyFont="1" applyBorder="1" applyAlignment="1">
      <alignment horizontal="right" vertical="center"/>
    </xf>
    <xf numFmtId="164" fontId="2" fillId="0" borderId="27" xfId="1" applyNumberFormat="1" applyFont="1" applyBorder="1" applyAlignment="1">
      <alignment horizontal="center" vertical="center"/>
    </xf>
    <xf numFmtId="0" fontId="5" fillId="0" borderId="27" xfId="1" applyFont="1" applyBorder="1" applyAlignment="1">
      <alignment horizontal="left" vertical="center"/>
    </xf>
    <xf numFmtId="14" fontId="5" fillId="0" borderId="26" xfId="1" applyNumberFormat="1" applyFont="1" applyBorder="1" applyAlignment="1">
      <alignment horizontal="left" vertical="center"/>
    </xf>
    <xf numFmtId="0" fontId="5" fillId="0" borderId="32" xfId="1" applyFont="1" applyBorder="1" applyAlignment="1">
      <alignment vertical="top" wrapText="1"/>
    </xf>
    <xf numFmtId="0" fontId="5" fillId="0" borderId="52" xfId="1" applyFont="1" applyBorder="1" applyAlignment="1">
      <alignment horizontal="left" vertical="center" wrapText="1"/>
    </xf>
    <xf numFmtId="0" fontId="5" fillId="0" borderId="0" xfId="1" applyFont="1" applyAlignment="1">
      <alignment horizontal="left" vertical="center" wrapText="1"/>
    </xf>
    <xf numFmtId="0" fontId="5" fillId="0" borderId="49" xfId="1" applyFont="1" applyBorder="1" applyAlignment="1">
      <alignment horizontal="left" vertical="center" wrapText="1"/>
    </xf>
    <xf numFmtId="0" fontId="5" fillId="0" borderId="25" xfId="1" applyFont="1" applyBorder="1" applyAlignment="1">
      <alignment vertical="top" wrapText="1"/>
    </xf>
    <xf numFmtId="0" fontId="5" fillId="0" borderId="50" xfId="1" applyFont="1" applyBorder="1" applyAlignment="1">
      <alignment horizontal="left" vertical="center" wrapText="1"/>
    </xf>
    <xf numFmtId="0" fontId="5" fillId="0" borderId="27" xfId="1" applyFont="1" applyBorder="1" applyAlignment="1">
      <alignment horizontal="left" vertical="center" wrapText="1"/>
    </xf>
    <xf numFmtId="0" fontId="2" fillId="0" borderId="41" xfId="1" applyFont="1" applyBorder="1" applyAlignment="1">
      <alignment horizontal="center" vertical="center"/>
    </xf>
    <xf numFmtId="14" fontId="2" fillId="0" borderId="32" xfId="1" applyNumberFormat="1" applyFont="1" applyBorder="1" applyAlignment="1">
      <alignment shrinkToFit="1"/>
    </xf>
    <xf numFmtId="14" fontId="2" fillId="0" borderId="36" xfId="1" applyNumberFormat="1" applyFont="1" applyBorder="1" applyAlignment="1">
      <alignment shrinkToFit="1"/>
    </xf>
    <xf numFmtId="14" fontId="2" fillId="0" borderId="32" xfId="1" applyNumberFormat="1" applyFont="1" applyBorder="1" applyAlignment="1">
      <alignment horizontal="center" shrinkToFit="1"/>
    </xf>
    <xf numFmtId="14" fontId="5" fillId="0" borderId="49" xfId="1" applyNumberFormat="1" applyFont="1" applyBorder="1" applyAlignment="1">
      <alignment horizontal="left" vertical="center" wrapText="1"/>
    </xf>
    <xf numFmtId="0" fontId="1" fillId="0" borderId="40" xfId="1" applyBorder="1" applyAlignment="1">
      <alignment wrapText="1"/>
    </xf>
    <xf numFmtId="0" fontId="5" fillId="0" borderId="39" xfId="1" applyFont="1" applyBorder="1" applyAlignment="1">
      <alignment vertical="center" wrapText="1"/>
    </xf>
    <xf numFmtId="0" fontId="2" fillId="0" borderId="39" xfId="1" applyFont="1" applyBorder="1" applyAlignment="1">
      <alignment horizontal="center" vertical="center" wrapText="1"/>
    </xf>
    <xf numFmtId="165" fontId="8" fillId="0" borderId="5" xfId="1" applyNumberFormat="1" applyFont="1" applyBorder="1" applyAlignment="1">
      <alignment horizontal="right" vertical="center" shrinkToFit="1"/>
    </xf>
    <xf numFmtId="165" fontId="8" fillId="0" borderId="13" xfId="1" applyNumberFormat="1" applyFont="1" applyBorder="1" applyAlignment="1">
      <alignment horizontal="right" vertical="center" shrinkToFit="1"/>
    </xf>
    <xf numFmtId="164" fontId="2" fillId="0" borderId="13" xfId="1" applyNumberFormat="1" applyFont="1" applyBorder="1" applyAlignment="1">
      <alignment horizontal="right" vertical="center" shrinkToFit="1"/>
    </xf>
    <xf numFmtId="16" fontId="0" fillId="0" borderId="0" xfId="0" applyNumberFormat="1"/>
    <xf numFmtId="1" fontId="0" fillId="0" borderId="0" xfId="0" applyNumberFormat="1"/>
    <xf numFmtId="0" fontId="0" fillId="3" borderId="41" xfId="0" applyFill="1" applyBorder="1"/>
    <xf numFmtId="14" fontId="0" fillId="3" borderId="41" xfId="0" applyNumberFormat="1" applyFill="1" applyBorder="1"/>
    <xf numFmtId="0" fontId="0" fillId="4" borderId="41" xfId="0" applyFill="1" applyBorder="1"/>
    <xf numFmtId="14" fontId="0" fillId="4" borderId="41" xfId="0" applyNumberFormat="1" applyFill="1" applyBorder="1"/>
    <xf numFmtId="0" fontId="19" fillId="0" borderId="0" xfId="0" applyFont="1"/>
    <xf numFmtId="0" fontId="0" fillId="0" borderId="41" xfId="0" applyBorder="1"/>
    <xf numFmtId="14" fontId="0" fillId="0" borderId="41" xfId="0" applyNumberFormat="1" applyBorder="1"/>
    <xf numFmtId="0" fontId="0" fillId="3" borderId="0" xfId="0" applyFill="1"/>
    <xf numFmtId="0" fontId="0" fillId="0" borderId="0" xfId="0" applyAlignment="1">
      <alignment horizontal="right"/>
    </xf>
    <xf numFmtId="14" fontId="0" fillId="0" borderId="0" xfId="0" applyNumberFormat="1" applyAlignment="1">
      <alignment horizontal="right"/>
    </xf>
    <xf numFmtId="14" fontId="0" fillId="0" borderId="0" xfId="0" applyNumberFormat="1" applyAlignment="1">
      <alignment horizontal="center"/>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1" fontId="0" fillId="0" borderId="59" xfId="0" applyNumberFormat="1" applyBorder="1"/>
    <xf numFmtId="0" fontId="0" fillId="0" borderId="59" xfId="0" applyBorder="1"/>
    <xf numFmtId="0" fontId="0" fillId="0" borderId="60" xfId="0" applyBorder="1"/>
    <xf numFmtId="14" fontId="20" fillId="0" borderId="0" xfId="0" applyNumberFormat="1" applyFont="1"/>
    <xf numFmtId="14" fontId="0" fillId="0" borderId="56" xfId="0" applyNumberFormat="1" applyBorder="1"/>
    <xf numFmtId="14" fontId="0" fillId="0" borderId="58" xfId="0" applyNumberFormat="1" applyBorder="1"/>
    <xf numFmtId="43" fontId="0" fillId="0" borderId="0" xfId="0" applyNumberFormat="1"/>
    <xf numFmtId="0" fontId="0" fillId="0" borderId="0" xfId="0" applyAlignment="1">
      <alignment wrapText="1"/>
    </xf>
    <xf numFmtId="0" fontId="0" fillId="0" borderId="61" xfId="0" applyBorder="1"/>
    <xf numFmtId="0" fontId="0" fillId="0" borderId="62" xfId="0" applyBorder="1"/>
    <xf numFmtId="166" fontId="9" fillId="0" borderId="0" xfId="2" applyNumberFormat="1" applyFont="1" applyAlignment="1">
      <alignment horizontal="center" vertical="center" textRotation="90" shrinkToFit="1"/>
    </xf>
    <xf numFmtId="166" fontId="9" fillId="0" borderId="0" xfId="1" applyNumberFormat="1" applyFont="1" applyAlignment="1">
      <alignment horizontal="center" vertical="center" textRotation="90" shrinkToFit="1"/>
    </xf>
    <xf numFmtId="165" fontId="18" fillId="0" borderId="0" xfId="1" applyNumberFormat="1" applyFont="1" applyAlignment="1">
      <alignment horizontal="right" vertical="center" shrinkToFit="1"/>
    </xf>
    <xf numFmtId="0" fontId="1" fillId="5" borderId="0" xfId="0" applyFont="1" applyFill="1" applyAlignment="1">
      <alignment vertical="center" wrapText="1"/>
    </xf>
    <xf numFmtId="14" fontId="0" fillId="3" borderId="0" xfId="0" applyNumberFormat="1" applyFill="1"/>
    <xf numFmtId="0" fontId="0" fillId="3" borderId="63" xfId="0" applyFill="1" applyBorder="1" applyAlignment="1">
      <alignment wrapText="1"/>
    </xf>
    <xf numFmtId="0" fontId="0" fillId="3" borderId="41" xfId="0" applyFill="1" applyBorder="1" applyAlignment="1">
      <alignment wrapText="1"/>
    </xf>
    <xf numFmtId="14" fontId="23" fillId="3" borderId="0" xfId="0" applyNumberFormat="1" applyFont="1" applyFill="1"/>
    <xf numFmtId="167" fontId="5" fillId="0" borderId="0" xfId="1" applyNumberFormat="1" applyFont="1"/>
    <xf numFmtId="167" fontId="5" fillId="0" borderId="0" xfId="2" applyNumberFormat="1" applyFont="1"/>
    <xf numFmtId="0" fontId="19" fillId="3" borderId="41" xfId="0" applyFont="1" applyFill="1" applyBorder="1"/>
    <xf numFmtId="14" fontId="19" fillId="3" borderId="41" xfId="0" applyNumberFormat="1" applyFont="1" applyFill="1" applyBorder="1"/>
    <xf numFmtId="1" fontId="0" fillId="0" borderId="41" xfId="0" applyNumberFormat="1" applyBorder="1"/>
    <xf numFmtId="0" fontId="0" fillId="0" borderId="0" xfId="0" applyAlignment="1">
      <alignment horizontal="center"/>
    </xf>
    <xf numFmtId="0" fontId="25" fillId="0" borderId="41" xfId="0" applyFont="1" applyBorder="1" applyAlignment="1">
      <alignment wrapText="1"/>
    </xf>
    <xf numFmtId="2" fontId="0" fillId="0" borderId="41" xfId="0" applyNumberFormat="1" applyBorder="1"/>
    <xf numFmtId="0" fontId="0" fillId="6" borderId="41" xfId="0" applyFill="1" applyBorder="1"/>
    <xf numFmtId="1" fontId="0" fillId="6" borderId="41" xfId="0" applyNumberFormat="1" applyFill="1" applyBorder="1"/>
    <xf numFmtId="14" fontId="0" fillId="6" borderId="41" xfId="0" applyNumberFormat="1" applyFill="1" applyBorder="1"/>
    <xf numFmtId="2" fontId="0" fillId="6" borderId="41" xfId="0" applyNumberFormat="1" applyFill="1" applyBorder="1"/>
    <xf numFmtId="0" fontId="26" fillId="0" borderId="0" xfId="0" applyFont="1"/>
    <xf numFmtId="14" fontId="27" fillId="3" borderId="0" xfId="0" applyNumberFormat="1" applyFont="1" applyFill="1"/>
    <xf numFmtId="0" fontId="23" fillId="3" borderId="0" xfId="0" applyFont="1" applyFill="1"/>
    <xf numFmtId="0" fontId="23" fillId="3" borderId="41" xfId="0" applyFont="1" applyFill="1" applyBorder="1"/>
    <xf numFmtId="14" fontId="23" fillId="3" borderId="41" xfId="0" applyNumberFormat="1" applyFont="1" applyFill="1" applyBorder="1"/>
    <xf numFmtId="0" fontId="28" fillId="3" borderId="41" xfId="0" applyFont="1" applyFill="1" applyBorder="1"/>
    <xf numFmtId="14" fontId="28" fillId="3" borderId="41" xfId="0" applyNumberFormat="1" applyFont="1" applyFill="1" applyBorder="1"/>
    <xf numFmtId="0" fontId="29" fillId="0" borderId="0" xfId="0" applyFont="1"/>
    <xf numFmtId="0" fontId="23" fillId="3" borderId="29" xfId="0" applyFont="1" applyFill="1" applyBorder="1"/>
    <xf numFmtId="0" fontId="27" fillId="3" borderId="41" xfId="0" applyFont="1" applyFill="1" applyBorder="1"/>
    <xf numFmtId="14" fontId="27" fillId="3" borderId="41" xfId="0" applyNumberFormat="1" applyFont="1" applyFill="1" applyBorder="1"/>
    <xf numFmtId="0" fontId="23" fillId="0" borderId="0" xfId="0" applyFont="1"/>
    <xf numFmtId="1" fontId="27" fillId="3" borderId="41" xfId="0" applyNumberFormat="1" applyFont="1" applyFill="1" applyBorder="1"/>
    <xf numFmtId="0" fontId="27" fillId="3" borderId="29" xfId="0" applyFont="1" applyFill="1" applyBorder="1"/>
    <xf numFmtId="14" fontId="27" fillId="3" borderId="29" xfId="0" applyNumberFormat="1" applyFont="1" applyFill="1" applyBorder="1"/>
    <xf numFmtId="0" fontId="0" fillId="0" borderId="54" xfId="0" applyBorder="1" applyAlignment="1">
      <alignment wrapText="1"/>
    </xf>
    <xf numFmtId="14" fontId="23" fillId="3" borderId="62" xfId="0" applyNumberFormat="1" applyFont="1" applyFill="1" applyBorder="1"/>
    <xf numFmtId="14" fontId="23" fillId="3" borderId="63" xfId="0" applyNumberFormat="1" applyFont="1" applyFill="1" applyBorder="1"/>
    <xf numFmtId="14" fontId="0" fillId="0" borderId="55" xfId="0" applyNumberFormat="1" applyBorder="1"/>
    <xf numFmtId="14" fontId="0" fillId="0" borderId="57" xfId="0" applyNumberFormat="1" applyBorder="1"/>
    <xf numFmtId="0" fontId="30" fillId="3" borderId="0" xfId="0" applyFont="1" applyFill="1" applyAlignment="1">
      <alignment horizontal="center"/>
    </xf>
    <xf numFmtId="14" fontId="30" fillId="3" borderId="0" xfId="0" applyNumberFormat="1" applyFont="1" applyFill="1" applyAlignment="1">
      <alignment horizontal="center"/>
    </xf>
    <xf numFmtId="14" fontId="0" fillId="0" borderId="0" xfId="0" applyNumberFormat="1" applyAlignment="1">
      <alignment wrapText="1"/>
    </xf>
    <xf numFmtId="14" fontId="31" fillId="3" borderId="0" xfId="0" applyNumberFormat="1" applyFont="1" applyFill="1"/>
    <xf numFmtId="0" fontId="0" fillId="3" borderId="0" xfId="0" applyFill="1" applyAlignment="1">
      <alignment wrapText="1"/>
    </xf>
    <xf numFmtId="0" fontId="32" fillId="3" borderId="0" xfId="0" applyFont="1" applyFill="1" applyAlignment="1">
      <alignment wrapText="1"/>
    </xf>
    <xf numFmtId="0" fontId="32" fillId="3" borderId="0" xfId="0" applyFont="1" applyFill="1"/>
    <xf numFmtId="0" fontId="1" fillId="3" borderId="0" xfId="0" applyFont="1" applyFill="1" applyAlignment="1">
      <alignment vertical="center" wrapText="1"/>
    </xf>
    <xf numFmtId="14" fontId="0" fillId="3" borderId="41" xfId="0" applyNumberFormat="1" applyFill="1" applyBorder="1" applyAlignment="1">
      <alignment wrapText="1"/>
    </xf>
    <xf numFmtId="0" fontId="0" fillId="4" borderId="0" xfId="0" applyFill="1"/>
    <xf numFmtId="0" fontId="0" fillId="4" borderId="0" xfId="0" applyFill="1" applyAlignment="1">
      <alignment wrapText="1"/>
    </xf>
    <xf numFmtId="0" fontId="33" fillId="4" borderId="41" xfId="0" applyFont="1" applyFill="1" applyBorder="1" applyAlignment="1">
      <alignment horizontal="center" wrapText="1"/>
    </xf>
    <xf numFmtId="14" fontId="33" fillId="4" borderId="41" xfId="0" applyNumberFormat="1" applyFont="1" applyFill="1" applyBorder="1" applyAlignment="1">
      <alignment horizontal="center" wrapText="1"/>
    </xf>
    <xf numFmtId="0" fontId="0" fillId="6" borderId="0" xfId="0" applyFill="1" applyAlignment="1">
      <alignment wrapText="1"/>
    </xf>
    <xf numFmtId="0" fontId="0" fillId="6" borderId="0" xfId="0" applyFill="1"/>
    <xf numFmtId="0" fontId="0" fillId="0" borderId="57" xfId="0" applyBorder="1" applyAlignment="1">
      <alignment horizontal="center"/>
    </xf>
    <xf numFmtId="1" fontId="0" fillId="0" borderId="56" xfId="0" applyNumberFormat="1" applyBorder="1"/>
    <xf numFmtId="1" fontId="0" fillId="0" borderId="58" xfId="0" applyNumberFormat="1" applyBorder="1"/>
    <xf numFmtId="14" fontId="0" fillId="0" borderId="59" xfId="0" applyNumberFormat="1" applyBorder="1"/>
    <xf numFmtId="1" fontId="0" fillId="0" borderId="53" xfId="0" applyNumberFormat="1" applyBorder="1"/>
    <xf numFmtId="14" fontId="0" fillId="0" borderId="54" xfId="0" applyNumberFormat="1" applyBorder="1"/>
    <xf numFmtId="1" fontId="0" fillId="0" borderId="55" xfId="0" applyNumberFormat="1" applyBorder="1"/>
    <xf numFmtId="1" fontId="0" fillId="0" borderId="57" xfId="0" applyNumberFormat="1" applyBorder="1"/>
    <xf numFmtId="1" fontId="0" fillId="0" borderId="60" xfId="0" applyNumberFormat="1" applyBorder="1"/>
    <xf numFmtId="0" fontId="34" fillId="0" borderId="0" xfId="0" applyFont="1"/>
    <xf numFmtId="0" fontId="27" fillId="3" borderId="41" xfId="0" applyFont="1" applyFill="1" applyBorder="1" applyAlignment="1">
      <alignment wrapText="1"/>
    </xf>
    <xf numFmtId="0" fontId="0" fillId="3" borderId="38" xfId="0" applyFill="1" applyBorder="1"/>
    <xf numFmtId="1" fontId="0" fillId="0" borderId="54" xfId="0" applyNumberFormat="1" applyBorder="1"/>
    <xf numFmtId="0" fontId="22" fillId="6" borderId="0" xfId="0" applyFont="1" applyFill="1"/>
    <xf numFmtId="14" fontId="0" fillId="6" borderId="0" xfId="0" applyNumberFormat="1" applyFill="1"/>
    <xf numFmtId="14" fontId="0" fillId="6" borderId="0" xfId="0" applyNumberFormat="1" applyFill="1" applyAlignment="1">
      <alignment wrapText="1"/>
    </xf>
    <xf numFmtId="0" fontId="0" fillId="6" borderId="41" xfId="0" applyFill="1" applyBorder="1" applyAlignment="1">
      <alignment wrapText="1"/>
    </xf>
    <xf numFmtId="14" fontId="0" fillId="6" borderId="41" xfId="0" applyNumberFormat="1" applyFill="1" applyBorder="1" applyAlignment="1">
      <alignment wrapText="1"/>
    </xf>
    <xf numFmtId="0" fontId="0" fillId="4" borderId="41" xfId="0" applyFill="1" applyBorder="1" applyAlignment="1">
      <alignment wrapText="1"/>
    </xf>
    <xf numFmtId="0" fontId="30" fillId="7" borderId="0" xfId="0" applyFont="1" applyFill="1"/>
    <xf numFmtId="14" fontId="30" fillId="7" borderId="0" xfId="0" applyNumberFormat="1" applyFont="1" applyFill="1"/>
    <xf numFmtId="0" fontId="0" fillId="0" borderId="0" xfId="0" applyAlignment="1">
      <alignment horizontal="left"/>
    </xf>
    <xf numFmtId="14" fontId="19" fillId="7" borderId="0" xfId="0" applyNumberFormat="1" applyFont="1" applyFill="1"/>
    <xf numFmtId="49" fontId="0" fillId="3" borderId="41" xfId="0" applyNumberFormat="1" applyFill="1" applyBorder="1"/>
    <xf numFmtId="0" fontId="19" fillId="3" borderId="0" xfId="0" applyFont="1" applyFill="1"/>
    <xf numFmtId="0" fontId="35" fillId="3" borderId="0" xfId="0" applyFont="1" applyFill="1"/>
    <xf numFmtId="0" fontId="35" fillId="3" borderId="41" xfId="0" applyFont="1" applyFill="1" applyBorder="1"/>
    <xf numFmtId="0" fontId="37" fillId="0" borderId="0" xfId="0" applyFont="1"/>
    <xf numFmtId="0" fontId="0" fillId="8" borderId="0" xfId="0" applyFill="1"/>
    <xf numFmtId="0" fontId="0" fillId="9" borderId="0" xfId="0" applyFill="1"/>
    <xf numFmtId="0" fontId="0" fillId="9" borderId="41" xfId="0" applyFill="1" applyBorder="1"/>
    <xf numFmtId="14" fontId="4" fillId="6" borderId="41" xfId="0" applyNumberFormat="1" applyFont="1" applyFill="1" applyBorder="1" applyAlignment="1" applyProtection="1">
      <alignment horizontal="center" vertical="center"/>
      <protection locked="0"/>
    </xf>
    <xf numFmtId="0" fontId="23" fillId="9" borderId="0" xfId="0" applyFont="1" applyFill="1"/>
    <xf numFmtId="0" fontId="23" fillId="6" borderId="41" xfId="0" applyFont="1" applyFill="1" applyBorder="1" applyAlignment="1">
      <alignment horizontal="left"/>
    </xf>
    <xf numFmtId="0" fontId="23" fillId="6" borderId="64" xfId="0" applyFont="1" applyFill="1" applyBorder="1" applyAlignment="1">
      <alignment horizontal="left"/>
    </xf>
    <xf numFmtId="0" fontId="23" fillId="6" borderId="57" xfId="0" applyFont="1" applyFill="1" applyBorder="1"/>
    <xf numFmtId="0" fontId="23" fillId="6" borderId="56" xfId="0" applyFont="1" applyFill="1" applyBorder="1"/>
    <xf numFmtId="0" fontId="23" fillId="6" borderId="0" xfId="0" applyFont="1" applyFill="1" applyAlignment="1">
      <alignment horizontal="right" vertical="center"/>
    </xf>
    <xf numFmtId="0" fontId="23" fillId="6" borderId="58" xfId="0" applyFont="1" applyFill="1" applyBorder="1"/>
    <xf numFmtId="0" fontId="23" fillId="6" borderId="59" xfId="0" applyFont="1" applyFill="1" applyBorder="1" applyAlignment="1">
      <alignment horizontal="right" vertical="center"/>
    </xf>
    <xf numFmtId="0" fontId="23" fillId="6" borderId="60" xfId="0" applyFont="1" applyFill="1" applyBorder="1"/>
    <xf numFmtId="0" fontId="0" fillId="3" borderId="53" xfId="0" applyFill="1" applyBorder="1"/>
    <xf numFmtId="0" fontId="0" fillId="3" borderId="56" xfId="0" applyFill="1" applyBorder="1"/>
    <xf numFmtId="0" fontId="0" fillId="3" borderId="66" xfId="0" applyFill="1" applyBorder="1"/>
    <xf numFmtId="0" fontId="0" fillId="3" borderId="58" xfId="0" applyFill="1" applyBorder="1"/>
    <xf numFmtId="0" fontId="0" fillId="3" borderId="67" xfId="0" applyFill="1" applyBorder="1"/>
    <xf numFmtId="0" fontId="0" fillId="3" borderId="68" xfId="0" applyFill="1" applyBorder="1"/>
    <xf numFmtId="0" fontId="0" fillId="3" borderId="69" xfId="0" applyFill="1" applyBorder="1"/>
    <xf numFmtId="0" fontId="0" fillId="3" borderId="70" xfId="0" applyFill="1" applyBorder="1"/>
    <xf numFmtId="0" fontId="38" fillId="6" borderId="55" xfId="0" applyFont="1" applyFill="1" applyBorder="1"/>
    <xf numFmtId="0" fontId="0" fillId="4" borderId="71" xfId="0" applyFill="1" applyBorder="1"/>
    <xf numFmtId="0" fontId="0" fillId="4" borderId="65" xfId="0" applyFill="1" applyBorder="1"/>
    <xf numFmtId="0" fontId="0" fillId="3" borderId="72" xfId="0" applyFill="1" applyBorder="1"/>
    <xf numFmtId="0" fontId="0" fillId="3" borderId="73" xfId="0" applyFill="1" applyBorder="1"/>
    <xf numFmtId="0" fontId="0" fillId="9" borderId="57" xfId="0" applyFill="1" applyBorder="1"/>
    <xf numFmtId="0" fontId="0" fillId="9" borderId="56" xfId="0" applyFill="1" applyBorder="1"/>
    <xf numFmtId="0" fontId="0" fillId="9" borderId="58" xfId="0" applyFill="1" applyBorder="1"/>
    <xf numFmtId="0" fontId="0" fillId="9" borderId="59" xfId="0" applyFill="1" applyBorder="1"/>
    <xf numFmtId="0" fontId="0" fillId="9" borderId="60" xfId="0" applyFill="1" applyBorder="1"/>
    <xf numFmtId="1" fontId="0" fillId="3" borderId="41" xfId="0" applyNumberFormat="1" applyFill="1" applyBorder="1"/>
    <xf numFmtId="0" fontId="0" fillId="9" borderId="53" xfId="0" applyFill="1" applyBorder="1"/>
    <xf numFmtId="0" fontId="23" fillId="9" borderId="54" xfId="0" applyFont="1" applyFill="1" applyBorder="1"/>
    <xf numFmtId="0" fontId="0" fillId="9" borderId="54" xfId="0" applyFill="1" applyBorder="1"/>
    <xf numFmtId="0" fontId="4" fillId="10" borderId="41" xfId="0" applyFont="1" applyFill="1" applyBorder="1" applyAlignment="1" applyProtection="1">
      <alignment horizontal="center" vertical="center"/>
      <protection locked="0"/>
    </xf>
    <xf numFmtId="0" fontId="0" fillId="3" borderId="0" xfId="0" applyFill="1" applyProtection="1">
      <protection locked="0"/>
    </xf>
    <xf numFmtId="14" fontId="0" fillId="10" borderId="0" xfId="0" applyNumberFormat="1" applyFill="1" applyProtection="1">
      <protection locked="0"/>
    </xf>
    <xf numFmtId="0" fontId="44" fillId="9" borderId="0" xfId="0" applyFont="1" applyFill="1"/>
    <xf numFmtId="14" fontId="44" fillId="9" borderId="0" xfId="0" applyNumberFormat="1" applyFont="1" applyFill="1"/>
    <xf numFmtId="0" fontId="0" fillId="8" borderId="53" xfId="0" applyFill="1" applyBorder="1"/>
    <xf numFmtId="0" fontId="0" fillId="8" borderId="54" xfId="0" applyFill="1" applyBorder="1"/>
    <xf numFmtId="0" fontId="0" fillId="8" borderId="58" xfId="0" applyFill="1" applyBorder="1"/>
    <xf numFmtId="0" fontId="0" fillId="8" borderId="59" xfId="0" applyFill="1" applyBorder="1"/>
    <xf numFmtId="0" fontId="0" fillId="8" borderId="60" xfId="0" applyFill="1" applyBorder="1"/>
    <xf numFmtId="0" fontId="0" fillId="8" borderId="57" xfId="0" applyFill="1" applyBorder="1"/>
    <xf numFmtId="0" fontId="0" fillId="8" borderId="56" xfId="0" applyFill="1" applyBorder="1"/>
    <xf numFmtId="0" fontId="44" fillId="8" borderId="0" xfId="0" applyFont="1" applyFill="1"/>
    <xf numFmtId="0" fontId="0" fillId="3" borderId="75" xfId="0" applyFill="1" applyBorder="1" applyProtection="1">
      <protection locked="0"/>
    </xf>
    <xf numFmtId="0" fontId="0" fillId="3" borderId="41" xfId="0" applyFill="1" applyBorder="1" applyProtection="1">
      <protection locked="0"/>
    </xf>
    <xf numFmtId="0" fontId="31" fillId="3" borderId="41" xfId="0" applyFont="1" applyFill="1" applyBorder="1" applyAlignment="1" applyProtection="1">
      <alignment horizontal="left"/>
      <protection locked="0"/>
    </xf>
    <xf numFmtId="14" fontId="0" fillId="3" borderId="59" xfId="0" applyNumberFormat="1" applyFill="1" applyBorder="1"/>
    <xf numFmtId="0" fontId="31" fillId="3" borderId="0" xfId="0" applyFont="1" applyFill="1"/>
    <xf numFmtId="0" fontId="0" fillId="3" borderId="74" xfId="0" applyFill="1" applyBorder="1"/>
    <xf numFmtId="0" fontId="47" fillId="3" borderId="76" xfId="0" applyFont="1" applyFill="1" applyBorder="1" applyAlignment="1">
      <alignment horizontal="center" wrapText="1"/>
    </xf>
    <xf numFmtId="0" fontId="0" fillId="3" borderId="75" xfId="0" applyFill="1" applyBorder="1"/>
    <xf numFmtId="14" fontId="19" fillId="3" borderId="0" xfId="0" applyNumberFormat="1" applyFont="1" applyFill="1"/>
    <xf numFmtId="0" fontId="50" fillId="8" borderId="0" xfId="0" applyFont="1" applyFill="1"/>
    <xf numFmtId="1" fontId="0" fillId="6" borderId="49" xfId="0" applyNumberFormat="1" applyFill="1" applyBorder="1"/>
    <xf numFmtId="14" fontId="0" fillId="0" borderId="53" xfId="0" applyNumberFormat="1" applyBorder="1"/>
    <xf numFmtId="0" fontId="23" fillId="6" borderId="0" xfId="0" applyFont="1" applyFill="1"/>
    <xf numFmtId="0" fontId="23" fillId="6" borderId="41" xfId="0" applyFont="1" applyFill="1" applyBorder="1"/>
    <xf numFmtId="14" fontId="23" fillId="6" borderId="41" xfId="0" applyNumberFormat="1" applyFont="1" applyFill="1" applyBorder="1"/>
    <xf numFmtId="14" fontId="12" fillId="0" borderId="0" xfId="0" applyNumberFormat="1" applyFont="1"/>
    <xf numFmtId="22" fontId="0" fillId="8" borderId="0" xfId="0" applyNumberFormat="1" applyFill="1"/>
    <xf numFmtId="0" fontId="0" fillId="8" borderId="41" xfId="0" applyFill="1" applyBorder="1"/>
    <xf numFmtId="14" fontId="53" fillId="0" borderId="41" xfId="0" applyNumberFormat="1" applyFont="1" applyBorder="1"/>
    <xf numFmtId="0" fontId="55" fillId="8" borderId="0" xfId="0" applyFont="1" applyFill="1"/>
    <xf numFmtId="14" fontId="55" fillId="8" borderId="0" xfId="0" applyNumberFormat="1" applyFont="1" applyFill="1"/>
    <xf numFmtId="0" fontId="55" fillId="8" borderId="57" xfId="0" applyFont="1" applyFill="1" applyBorder="1"/>
    <xf numFmtId="0" fontId="31" fillId="11" borderId="0" xfId="0" applyFont="1" applyFill="1" applyAlignment="1">
      <alignment horizontal="center"/>
    </xf>
    <xf numFmtId="0" fontId="31" fillId="11" borderId="54" xfId="0" applyFont="1" applyFill="1" applyBorder="1" applyAlignment="1">
      <alignment horizontal="center"/>
    </xf>
    <xf numFmtId="0" fontId="23" fillId="4" borderId="54" xfId="0" applyFont="1" applyFill="1" applyBorder="1"/>
    <xf numFmtId="0" fontId="23" fillId="4" borderId="55" xfId="0" applyFont="1" applyFill="1" applyBorder="1"/>
    <xf numFmtId="0" fontId="23" fillId="4" borderId="0" xfId="0" applyFont="1" applyFill="1"/>
    <xf numFmtId="0" fontId="23" fillId="4" borderId="57" xfId="0" applyFont="1" applyFill="1" applyBorder="1"/>
    <xf numFmtId="14" fontId="53" fillId="0" borderId="66" xfId="0" applyNumberFormat="1" applyFont="1" applyBorder="1"/>
    <xf numFmtId="14" fontId="53" fillId="0" borderId="40" xfId="0" applyNumberFormat="1" applyFont="1" applyBorder="1"/>
    <xf numFmtId="0" fontId="0" fillId="3" borderId="54" xfId="0" applyFill="1" applyBorder="1" applyProtection="1">
      <protection locked="0"/>
    </xf>
    <xf numFmtId="14" fontId="0" fillId="0" borderId="0" xfId="0" applyNumberFormat="1" applyAlignment="1">
      <alignment horizontal="left"/>
    </xf>
    <xf numFmtId="0" fontId="25" fillId="0" borderId="53" xfId="0" applyFont="1" applyBorder="1"/>
    <xf numFmtId="0" fontId="25" fillId="0" borderId="54" xfId="0" applyFont="1" applyBorder="1"/>
    <xf numFmtId="0" fontId="25" fillId="0" borderId="55" xfId="0" applyFont="1" applyBorder="1"/>
    <xf numFmtId="0" fontId="25" fillId="0" borderId="0" xfId="0" applyFont="1"/>
    <xf numFmtId="14" fontId="57" fillId="12" borderId="41" xfId="0" applyNumberFormat="1" applyFont="1" applyFill="1" applyBorder="1"/>
    <xf numFmtId="0" fontId="54" fillId="10" borderId="41" xfId="0" applyFont="1" applyFill="1" applyBorder="1" applyProtection="1">
      <protection locked="0"/>
    </xf>
    <xf numFmtId="14" fontId="54" fillId="10" borderId="41" xfId="0" applyNumberFormat="1" applyFont="1" applyFill="1" applyBorder="1" applyProtection="1">
      <protection locked="0"/>
    </xf>
    <xf numFmtId="14" fontId="58" fillId="8" borderId="0" xfId="0" applyNumberFormat="1" applyFont="1" applyFill="1"/>
    <xf numFmtId="0" fontId="0" fillId="0" borderId="56" xfId="0" applyBorder="1" applyAlignment="1">
      <alignment wrapText="1"/>
    </xf>
    <xf numFmtId="0" fontId="0" fillId="0" borderId="25" xfId="0" applyBorder="1"/>
    <xf numFmtId="0" fontId="0" fillId="0" borderId="29" xfId="0" applyBorder="1"/>
    <xf numFmtId="0" fontId="0" fillId="0" borderId="32" xfId="0" applyBorder="1"/>
    <xf numFmtId="0" fontId="58" fillId="8" borderId="57" xfId="0" applyFont="1" applyFill="1" applyBorder="1"/>
    <xf numFmtId="0" fontId="58" fillId="8" borderId="0" xfId="0" applyFont="1" applyFill="1"/>
    <xf numFmtId="0" fontId="0" fillId="3" borderId="54" xfId="0" applyFill="1" applyBorder="1"/>
    <xf numFmtId="0" fontId="0" fillId="3" borderId="55" xfId="0" applyFill="1" applyBorder="1"/>
    <xf numFmtId="0" fontId="0" fillId="3" borderId="60" xfId="0" applyFill="1" applyBorder="1"/>
    <xf numFmtId="14" fontId="0" fillId="0" borderId="60" xfId="0" applyNumberFormat="1" applyBorder="1"/>
    <xf numFmtId="0" fontId="29" fillId="0" borderId="0" xfId="0" applyFont="1" applyAlignment="1">
      <alignment horizontal="left"/>
    </xf>
    <xf numFmtId="0" fontId="0" fillId="0" borderId="41" xfId="0" applyBorder="1" applyAlignment="1">
      <alignment horizontal="left" wrapText="1"/>
    </xf>
    <xf numFmtId="0" fontId="0" fillId="13" borderId="0" xfId="0" applyFill="1"/>
    <xf numFmtId="0" fontId="60" fillId="13" borderId="0" xfId="0" applyFont="1" applyFill="1"/>
    <xf numFmtId="0" fontId="0" fillId="4" borderId="54" xfId="0" applyFill="1" applyBorder="1"/>
    <xf numFmtId="0" fontId="0" fillId="4" borderId="55" xfId="0" applyFill="1" applyBorder="1"/>
    <xf numFmtId="0" fontId="0" fillId="4" borderId="58" xfId="0" applyFill="1" applyBorder="1"/>
    <xf numFmtId="0" fontId="0" fillId="4" borderId="59" xfId="0" applyFill="1" applyBorder="1"/>
    <xf numFmtId="0" fontId="0" fillId="4" borderId="60" xfId="0" applyFill="1" applyBorder="1"/>
    <xf numFmtId="0" fontId="30" fillId="4" borderId="0" xfId="0" applyFont="1" applyFill="1" applyAlignment="1">
      <alignment horizontal="center"/>
    </xf>
    <xf numFmtId="0" fontId="31" fillId="4" borderId="0" xfId="0" applyFont="1" applyFill="1" applyAlignment="1">
      <alignment horizontal="center"/>
    </xf>
    <xf numFmtId="0" fontId="26" fillId="4" borderId="0" xfId="0" applyFont="1" applyFill="1" applyAlignment="1">
      <alignment horizontal="center"/>
    </xf>
    <xf numFmtId="0" fontId="19" fillId="4" borderId="0" xfId="0" applyFont="1" applyFill="1"/>
    <xf numFmtId="0" fontId="0" fillId="13" borderId="41" xfId="0" applyFill="1" applyBorder="1"/>
    <xf numFmtId="0" fontId="0" fillId="13" borderId="53" xfId="0" applyFill="1" applyBorder="1"/>
    <xf numFmtId="0" fontId="0" fillId="13" borderId="54" xfId="0" applyFill="1" applyBorder="1"/>
    <xf numFmtId="0" fontId="0" fillId="4" borderId="78" xfId="0" applyFill="1" applyBorder="1"/>
    <xf numFmtId="0" fontId="0" fillId="4" borderId="66" xfId="0" applyFill="1" applyBorder="1"/>
    <xf numFmtId="0" fontId="0" fillId="4" borderId="64" xfId="0" applyFill="1" applyBorder="1"/>
    <xf numFmtId="0" fontId="0" fillId="4" borderId="67" xfId="0" applyFill="1" applyBorder="1"/>
    <xf numFmtId="16" fontId="0" fillId="13" borderId="0" xfId="0" applyNumberFormat="1" applyFill="1"/>
    <xf numFmtId="0" fontId="0" fillId="13" borderId="0" xfId="0" applyFill="1" applyAlignment="1">
      <alignment horizontal="center"/>
    </xf>
    <xf numFmtId="0" fontId="61" fillId="4" borderId="0" xfId="0" applyFont="1" applyFill="1" applyAlignment="1">
      <alignment horizontal="center"/>
    </xf>
    <xf numFmtId="0" fontId="61" fillId="4" borderId="57" xfId="0" applyFont="1" applyFill="1" applyBorder="1" applyAlignment="1">
      <alignment horizontal="center"/>
    </xf>
    <xf numFmtId="0" fontId="0" fillId="14" borderId="0" xfId="0" applyFill="1"/>
    <xf numFmtId="0" fontId="0" fillId="4" borderId="41" xfId="0" applyFill="1" applyBorder="1" applyAlignment="1">
      <alignment horizontal="center"/>
    </xf>
    <xf numFmtId="0" fontId="65" fillId="14" borderId="0" xfId="0" applyFont="1" applyFill="1"/>
    <xf numFmtId="0" fontId="0" fillId="0" borderId="0" xfId="0" applyAlignment="1">
      <alignment horizontal="right" wrapText="1"/>
    </xf>
    <xf numFmtId="14" fontId="0" fillId="4" borderId="72" xfId="0" applyNumberFormat="1" applyFill="1" applyBorder="1" applyAlignment="1">
      <alignment horizontal="center"/>
    </xf>
    <xf numFmtId="14" fontId="0" fillId="4" borderId="66" xfId="0" applyNumberFormat="1" applyFill="1" applyBorder="1" applyAlignment="1">
      <alignment horizontal="center"/>
    </xf>
    <xf numFmtId="14" fontId="0" fillId="4" borderId="72" xfId="0" applyNumberFormat="1" applyFill="1" applyBorder="1"/>
    <xf numFmtId="14" fontId="0" fillId="4" borderId="73" xfId="0" applyNumberFormat="1" applyFill="1" applyBorder="1"/>
    <xf numFmtId="14" fontId="0" fillId="4" borderId="67" xfId="0" applyNumberFormat="1" applyFill="1" applyBorder="1" applyAlignment="1">
      <alignment horizontal="center"/>
    </xf>
    <xf numFmtId="0" fontId="0" fillId="14" borderId="0" xfId="0" applyFill="1" applyAlignment="1">
      <alignment horizontal="left"/>
    </xf>
    <xf numFmtId="0" fontId="0" fillId="6" borderId="53" xfId="0" applyFill="1" applyBorder="1"/>
    <xf numFmtId="0" fontId="0" fillId="6" borderId="54" xfId="0" applyFill="1" applyBorder="1"/>
    <xf numFmtId="0" fontId="0" fillId="6" borderId="55" xfId="0" applyFill="1" applyBorder="1"/>
    <xf numFmtId="0" fontId="0" fillId="6" borderId="56" xfId="0" applyFill="1" applyBorder="1"/>
    <xf numFmtId="0" fontId="0" fillId="6" borderId="57" xfId="0" applyFill="1" applyBorder="1"/>
    <xf numFmtId="0" fontId="0" fillId="6" borderId="58" xfId="0" applyFill="1" applyBorder="1"/>
    <xf numFmtId="0" fontId="0" fillId="6" borderId="59" xfId="0" applyFill="1" applyBorder="1"/>
    <xf numFmtId="0" fontId="0" fillId="6" borderId="60" xfId="0" applyFill="1" applyBorder="1"/>
    <xf numFmtId="0" fontId="0" fillId="0" borderId="0" xfId="0" applyAlignment="1">
      <alignment vertical="top" wrapText="1"/>
    </xf>
    <xf numFmtId="0" fontId="47" fillId="3" borderId="0" xfId="0" applyFont="1" applyFill="1" applyAlignment="1">
      <alignment horizontal="center" wrapText="1"/>
    </xf>
    <xf numFmtId="0" fontId="0" fillId="0" borderId="0" xfId="0" applyAlignment="1">
      <alignment horizontal="left" vertical="top" wrapText="1"/>
    </xf>
    <xf numFmtId="0" fontId="0" fillId="4" borderId="53" xfId="0" applyFill="1" applyBorder="1"/>
    <xf numFmtId="0" fontId="0" fillId="4" borderId="54" xfId="0" applyFill="1" applyBorder="1" applyAlignment="1">
      <alignment horizontal="left"/>
    </xf>
    <xf numFmtId="0" fontId="0" fillId="4" borderId="41" xfId="0" applyFill="1" applyBorder="1" applyProtection="1">
      <protection locked="0"/>
    </xf>
    <xf numFmtId="0" fontId="0" fillId="14" borderId="0" xfId="0" applyFill="1" applyProtection="1">
      <protection locked="0"/>
    </xf>
    <xf numFmtId="0" fontId="39" fillId="14" borderId="0" xfId="3" applyFill="1" applyProtection="1">
      <protection locked="0"/>
    </xf>
    <xf numFmtId="0" fontId="29" fillId="6" borderId="0" xfId="0" applyFont="1" applyFill="1"/>
    <xf numFmtId="0" fontId="0" fillId="6" borderId="0" xfId="0" applyFill="1" applyProtection="1">
      <protection locked="0"/>
    </xf>
    <xf numFmtId="0" fontId="62" fillId="6" borderId="77" xfId="0" applyFont="1" applyFill="1" applyBorder="1" applyAlignment="1" applyProtection="1">
      <alignment horizontal="center"/>
      <protection locked="0"/>
    </xf>
    <xf numFmtId="0" fontId="69" fillId="14" borderId="0" xfId="0" applyFont="1" applyFill="1"/>
    <xf numFmtId="0" fontId="69" fillId="14" borderId="0" xfId="0" applyFont="1" applyFill="1" applyAlignment="1">
      <alignment horizontal="left"/>
    </xf>
    <xf numFmtId="14" fontId="69" fillId="14" borderId="0" xfId="0" applyNumberFormat="1" applyFont="1" applyFill="1"/>
    <xf numFmtId="0" fontId="69" fillId="4" borderId="55" xfId="0" applyFont="1" applyFill="1" applyBorder="1" applyAlignment="1">
      <alignment horizontal="left"/>
    </xf>
    <xf numFmtId="0" fontId="70" fillId="14" borderId="0" xfId="0" applyFont="1" applyFill="1"/>
    <xf numFmtId="0" fontId="23" fillId="14" borderId="0" xfId="0" applyFont="1" applyFill="1"/>
    <xf numFmtId="14" fontId="23" fillId="14" borderId="0" xfId="0" applyNumberFormat="1" applyFont="1" applyFill="1"/>
    <xf numFmtId="14" fontId="71" fillId="14" borderId="0" xfId="0" applyNumberFormat="1" applyFont="1" applyFill="1"/>
    <xf numFmtId="0" fontId="72" fillId="14" borderId="0" xfId="0" applyFont="1" applyFill="1"/>
    <xf numFmtId="14" fontId="72" fillId="14" borderId="0" xfId="0" applyNumberFormat="1" applyFont="1" applyFill="1"/>
    <xf numFmtId="1" fontId="72" fillId="14" borderId="0" xfId="0" applyNumberFormat="1" applyFont="1" applyFill="1"/>
    <xf numFmtId="0" fontId="73" fillId="14" borderId="0" xfId="0" applyFont="1" applyFill="1"/>
    <xf numFmtId="14" fontId="73" fillId="14" borderId="0" xfId="0" applyNumberFormat="1" applyFont="1" applyFill="1" applyAlignment="1">
      <alignment horizontal="left"/>
    </xf>
    <xf numFmtId="14" fontId="73" fillId="14" borderId="0" xfId="0" applyNumberFormat="1" applyFont="1" applyFill="1"/>
    <xf numFmtId="14" fontId="74" fillId="14" borderId="0" xfId="0" applyNumberFormat="1" applyFont="1" applyFill="1"/>
    <xf numFmtId="14" fontId="73" fillId="14" borderId="0" xfId="0" applyNumberFormat="1" applyFont="1" applyFill="1" applyAlignment="1">
      <alignment horizontal="center"/>
    </xf>
    <xf numFmtId="0" fontId="73" fillId="14" borderId="0" xfId="0" applyFont="1" applyFill="1" applyAlignment="1">
      <alignment horizontal="center"/>
    </xf>
    <xf numFmtId="0" fontId="74" fillId="14" borderId="0" xfId="0" applyFont="1" applyFill="1"/>
    <xf numFmtId="1" fontId="73" fillId="14" borderId="0" xfId="0" applyNumberFormat="1" applyFont="1" applyFill="1"/>
    <xf numFmtId="0" fontId="73" fillId="14" borderId="0" xfId="0" applyFont="1" applyFill="1" applyAlignment="1">
      <alignment horizontal="left"/>
    </xf>
    <xf numFmtId="166" fontId="9" fillId="0" borderId="29" xfId="1" applyNumberFormat="1" applyFont="1" applyBorder="1" applyAlignment="1">
      <alignment horizontal="center" vertical="center" textRotation="90" shrinkToFit="1"/>
    </xf>
    <xf numFmtId="166" fontId="9" fillId="0" borderId="32" xfId="1" applyNumberFormat="1" applyFont="1" applyBorder="1" applyAlignment="1">
      <alignment horizontal="center" vertical="center" textRotation="90" shrinkToFit="1"/>
    </xf>
    <xf numFmtId="14" fontId="8" fillId="0" borderId="25" xfId="1" applyNumberFormat="1" applyFont="1" applyBorder="1" applyAlignment="1">
      <alignment horizontal="center" vertical="center" shrinkToFit="1"/>
    </xf>
    <xf numFmtId="14" fontId="8" fillId="0" borderId="29" xfId="1" applyNumberFormat="1" applyFont="1" applyBorder="1" applyAlignment="1">
      <alignment horizontal="center" vertical="center" shrinkToFit="1"/>
    </xf>
    <xf numFmtId="0" fontId="2" fillId="0" borderId="38" xfId="1" applyFont="1" applyBorder="1" applyAlignment="1">
      <alignment horizontal="center" vertical="center" wrapText="1"/>
    </xf>
    <xf numFmtId="0" fontId="2" fillId="0" borderId="39" xfId="1" applyFont="1" applyBorder="1" applyAlignment="1">
      <alignment horizontal="center" vertical="center" wrapText="1"/>
    </xf>
    <xf numFmtId="0" fontId="2" fillId="0" borderId="40" xfId="1" applyFont="1" applyBorder="1" applyAlignment="1">
      <alignment horizontal="center" vertical="center" wrapText="1"/>
    </xf>
    <xf numFmtId="14" fontId="2" fillId="0" borderId="26" xfId="1" applyNumberFormat="1" applyFont="1" applyBorder="1" applyAlignment="1">
      <alignment horizontal="center" vertical="center" textRotation="90" wrapText="1"/>
    </xf>
    <xf numFmtId="14" fontId="2" fillId="0" borderId="27" xfId="1" applyNumberFormat="1" applyFont="1" applyBorder="1" applyAlignment="1">
      <alignment horizontal="center" vertical="center" textRotation="90" wrapText="1"/>
    </xf>
    <xf numFmtId="14" fontId="2" fillId="0" borderId="50" xfId="1" applyNumberFormat="1" applyFont="1" applyBorder="1" applyAlignment="1">
      <alignment horizontal="center" vertical="center" textRotation="90" wrapText="1"/>
    </xf>
    <xf numFmtId="14" fontId="2" fillId="0" borderId="36" xfId="1" applyNumberFormat="1" applyFont="1" applyBorder="1" applyAlignment="1">
      <alignment horizontal="center" vertical="center" textRotation="90" wrapText="1"/>
    </xf>
    <xf numFmtId="14" fontId="2" fillId="0" borderId="37" xfId="1" applyNumberFormat="1" applyFont="1" applyBorder="1" applyAlignment="1">
      <alignment horizontal="center" vertical="center" textRotation="90" wrapText="1"/>
    </xf>
    <xf numFmtId="14" fontId="2" fillId="0" borderId="51" xfId="1" applyNumberFormat="1" applyFont="1" applyBorder="1" applyAlignment="1">
      <alignment horizontal="center" vertical="center" textRotation="90" wrapText="1"/>
    </xf>
    <xf numFmtId="166" fontId="9" fillId="0" borderId="4" xfId="1" applyNumberFormat="1" applyFont="1" applyBorder="1" applyAlignment="1">
      <alignment horizontal="center" vertical="center" textRotation="90" shrinkToFit="1"/>
    </xf>
    <xf numFmtId="0" fontId="3" fillId="0" borderId="4" xfId="1" applyFont="1" applyBorder="1"/>
    <xf numFmtId="0" fontId="3" fillId="0" borderId="9" xfId="1" applyFont="1" applyBorder="1"/>
    <xf numFmtId="166" fontId="9" fillId="0" borderId="29" xfId="1" applyNumberFormat="1" applyFont="1" applyBorder="1" applyAlignment="1">
      <alignment horizontal="center" textRotation="90" shrinkToFit="1"/>
    </xf>
    <xf numFmtId="166" fontId="9" fillId="0" borderId="32" xfId="1" applyNumberFormat="1" applyFont="1" applyBorder="1" applyAlignment="1">
      <alignment horizontal="center" textRotation="90" shrinkToFit="1"/>
    </xf>
    <xf numFmtId="14" fontId="8" fillId="0" borderId="5" xfId="1" applyNumberFormat="1" applyFont="1" applyBorder="1" applyAlignment="1">
      <alignment horizontal="center" vertical="center" shrinkToFit="1"/>
    </xf>
    <xf numFmtId="166" fontId="9" fillId="0" borderId="4" xfId="1" applyNumberFormat="1" applyFont="1" applyBorder="1" applyAlignment="1">
      <alignment horizontal="center" vertical="center" textRotation="90"/>
    </xf>
    <xf numFmtId="166" fontId="10" fillId="0" borderId="4" xfId="1" applyNumberFormat="1" applyFont="1" applyBorder="1" applyAlignment="1">
      <alignment horizontal="center" vertical="center" textRotation="90"/>
    </xf>
    <xf numFmtId="0" fontId="7" fillId="0" borderId="5" xfId="1" applyFont="1" applyBorder="1" applyAlignment="1">
      <alignment horizontal="center" vertical="center" wrapText="1"/>
    </xf>
    <xf numFmtId="0" fontId="8" fillId="0" borderId="10" xfId="1" applyFont="1" applyBorder="1" applyAlignment="1">
      <alignment horizontal="center" vertical="center" wrapText="1"/>
    </xf>
    <xf numFmtId="0" fontId="3" fillId="0" borderId="11" xfId="1" applyFont="1" applyBorder="1"/>
    <xf numFmtId="0" fontId="2" fillId="0" borderId="1" xfId="1" applyFont="1" applyBorder="1" applyAlignment="1">
      <alignment horizontal="right" vertical="center" shrinkToFit="1"/>
    </xf>
    <xf numFmtId="0" fontId="3" fillId="0" borderId="2" xfId="1" applyFont="1" applyBorder="1"/>
    <xf numFmtId="0" fontId="2" fillId="0" borderId="1" xfId="1" applyFont="1" applyBorder="1" applyAlignment="1">
      <alignment horizontal="center" vertical="center" wrapText="1"/>
    </xf>
    <xf numFmtId="0" fontId="3" fillId="0" borderId="3" xfId="1" applyFont="1" applyBorder="1"/>
    <xf numFmtId="0" fontId="3" fillId="0" borderId="6" xfId="1" applyFont="1" applyBorder="1"/>
    <xf numFmtId="0" fontId="3" fillId="0" borderId="7" xfId="1" applyFont="1" applyBorder="1"/>
    <xf numFmtId="0" fontId="3" fillId="0" borderId="8" xfId="1" applyFont="1" applyBorder="1"/>
    <xf numFmtId="0" fontId="2" fillId="0" borderId="10" xfId="1" applyFont="1" applyBorder="1" applyAlignment="1">
      <alignment horizontal="center" vertical="center"/>
    </xf>
    <xf numFmtId="0" fontId="2" fillId="0" borderId="2" xfId="1" applyFont="1" applyBorder="1" applyAlignment="1">
      <alignment horizontal="center" vertical="center" textRotation="90" wrapText="1"/>
    </xf>
    <xf numFmtId="0" fontId="3" fillId="0" borderId="12" xfId="1" applyFont="1" applyBorder="1"/>
    <xf numFmtId="0" fontId="6" fillId="0" borderId="5"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left" vertical="center" wrapText="1"/>
    </xf>
    <xf numFmtId="14" fontId="8" fillId="0" borderId="4" xfId="1" applyNumberFormat="1" applyFont="1" applyBorder="1" applyAlignment="1">
      <alignment horizontal="center" vertical="center" shrinkToFit="1"/>
    </xf>
    <xf numFmtId="0" fontId="2" fillId="0" borderId="38" xfId="1" applyFont="1" applyBorder="1" applyAlignment="1">
      <alignment horizontal="center" vertical="center"/>
    </xf>
    <xf numFmtId="0" fontId="2" fillId="0" borderId="39" xfId="1" applyFont="1" applyBorder="1" applyAlignment="1">
      <alignment horizontal="center" vertical="center"/>
    </xf>
    <xf numFmtId="0" fontId="2" fillId="0" borderId="40" xfId="1" applyFont="1" applyBorder="1" applyAlignment="1">
      <alignment horizontal="center" vertical="center"/>
    </xf>
    <xf numFmtId="14" fontId="2" fillId="0" borderId="25" xfId="1" applyNumberFormat="1" applyFont="1" applyBorder="1" applyAlignment="1">
      <alignment horizontal="center" vertical="center" textRotation="90" wrapText="1"/>
    </xf>
    <xf numFmtId="0" fontId="5" fillId="0" borderId="29" xfId="1" applyFont="1" applyBorder="1" applyAlignment="1">
      <alignment horizontal="center" vertical="center" textRotation="90" wrapText="1"/>
    </xf>
    <xf numFmtId="0" fontId="5" fillId="0" borderId="32" xfId="1" applyFont="1" applyBorder="1" applyAlignment="1">
      <alignment horizontal="center" vertical="center" textRotation="90" wrapText="1"/>
    </xf>
    <xf numFmtId="0" fontId="39" fillId="4" borderId="58" xfId="3" applyFill="1" applyBorder="1" applyAlignment="1" applyProtection="1">
      <protection locked="0"/>
    </xf>
    <xf numFmtId="0" fontId="59" fillId="4" borderId="59" xfId="0" applyFont="1" applyFill="1" applyBorder="1" applyProtection="1">
      <protection locked="0"/>
    </xf>
    <xf numFmtId="0" fontId="59" fillId="4" borderId="60" xfId="0" applyFont="1" applyFill="1" applyBorder="1" applyProtection="1">
      <protection locked="0"/>
    </xf>
    <xf numFmtId="0" fontId="43" fillId="9" borderId="0" xfId="3" applyFont="1" applyFill="1" applyAlignment="1"/>
    <xf numFmtId="0" fontId="43" fillId="0" borderId="0" xfId="3" applyFont="1" applyAlignment="1"/>
    <xf numFmtId="0" fontId="23" fillId="9" borderId="0" xfId="0" applyFont="1" applyFill="1" applyAlignment="1">
      <alignment horizontal="center" vertical="center"/>
    </xf>
    <xf numFmtId="0" fontId="23" fillId="0" borderId="0" xfId="0" applyFont="1" applyAlignment="1">
      <alignment horizontal="center" vertical="center"/>
    </xf>
    <xf numFmtId="0" fontId="23" fillId="9" borderId="0" xfId="0" applyFont="1" applyFill="1"/>
    <xf numFmtId="0" fontId="23" fillId="0" borderId="0" xfId="0" applyFont="1"/>
    <xf numFmtId="0" fontId="0" fillId="10" borderId="0" xfId="0" applyFill="1" applyProtection="1">
      <protection locked="0"/>
    </xf>
    <xf numFmtId="0" fontId="0" fillId="0" borderId="0" xfId="0" applyProtection="1">
      <protection locked="0"/>
    </xf>
    <xf numFmtId="0" fontId="38" fillId="6" borderId="53" xfId="0" applyFont="1" applyFill="1" applyBorder="1" applyAlignment="1">
      <alignment horizontal="right" vertical="center" wrapText="1"/>
    </xf>
    <xf numFmtId="0" fontId="38" fillId="0" borderId="54" xfId="0" applyFont="1" applyBorder="1" applyAlignment="1">
      <alignment wrapText="1"/>
    </xf>
    <xf numFmtId="0" fontId="36" fillId="0" borderId="54" xfId="0" applyFont="1" applyBorder="1" applyAlignment="1">
      <alignment wrapText="1"/>
    </xf>
    <xf numFmtId="0" fontId="38" fillId="0" borderId="56" xfId="0" applyFont="1" applyBorder="1" applyAlignment="1">
      <alignment wrapText="1"/>
    </xf>
    <xf numFmtId="0" fontId="38" fillId="0" borderId="0" xfId="0" applyFont="1" applyAlignment="1">
      <alignment wrapText="1"/>
    </xf>
    <xf numFmtId="0" fontId="36" fillId="0" borderId="0" xfId="0" applyFont="1" applyAlignment="1">
      <alignment wrapText="1"/>
    </xf>
    <xf numFmtId="0" fontId="0" fillId="9" borderId="0" xfId="0" applyFill="1" applyAlignment="1">
      <alignment vertical="center" wrapText="1"/>
    </xf>
    <xf numFmtId="0" fontId="0" fillId="0" borderId="0" xfId="0" applyAlignment="1">
      <alignment vertical="center" wrapText="1"/>
    </xf>
    <xf numFmtId="0" fontId="49" fillId="6" borderId="53" xfId="3" applyFont="1" applyFill="1" applyBorder="1" applyAlignment="1" applyProtection="1">
      <alignment wrapText="1"/>
      <protection locked="0"/>
    </xf>
    <xf numFmtId="0" fontId="49" fillId="6" borderId="54" xfId="3" applyFont="1" applyFill="1" applyBorder="1" applyAlignment="1" applyProtection="1">
      <alignment wrapText="1"/>
      <protection locked="0"/>
    </xf>
    <xf numFmtId="0" fontId="49" fillId="6" borderId="55" xfId="3" applyFont="1" applyFill="1" applyBorder="1" applyAlignment="1" applyProtection="1">
      <alignment wrapText="1"/>
      <protection locked="0"/>
    </xf>
    <xf numFmtId="0" fontId="49" fillId="6" borderId="56" xfId="3" applyFont="1" applyFill="1" applyBorder="1" applyAlignment="1" applyProtection="1">
      <alignment wrapText="1"/>
      <protection locked="0"/>
    </xf>
    <xf numFmtId="0" fontId="49" fillId="6" borderId="0" xfId="3" applyFont="1" applyFill="1" applyBorder="1" applyAlignment="1" applyProtection="1">
      <alignment wrapText="1"/>
      <protection locked="0"/>
    </xf>
    <xf numFmtId="0" fontId="49" fillId="6" borderId="57" xfId="3" applyFont="1" applyFill="1" applyBorder="1" applyAlignment="1" applyProtection="1">
      <alignment wrapText="1"/>
      <protection locked="0"/>
    </xf>
    <xf numFmtId="0" fontId="49" fillId="6" borderId="58" xfId="3" applyFont="1" applyFill="1" applyBorder="1" applyAlignment="1" applyProtection="1">
      <alignment wrapText="1"/>
      <protection locked="0"/>
    </xf>
    <xf numFmtId="0" fontId="49" fillId="6" borderId="59" xfId="3" applyFont="1" applyFill="1" applyBorder="1" applyAlignment="1" applyProtection="1">
      <alignment wrapText="1"/>
      <protection locked="0"/>
    </xf>
    <xf numFmtId="0" fontId="49" fillId="6" borderId="60" xfId="3" applyFont="1" applyFill="1" applyBorder="1" applyAlignment="1" applyProtection="1">
      <alignment wrapText="1"/>
      <protection locked="0"/>
    </xf>
    <xf numFmtId="0" fontId="38" fillId="6" borderId="57" xfId="0" applyFont="1" applyFill="1" applyBorder="1" applyAlignment="1">
      <alignment horizontal="center" vertical="center" wrapText="1"/>
    </xf>
    <xf numFmtId="0" fontId="36" fillId="0" borderId="57" xfId="0" applyFont="1" applyBorder="1" applyAlignment="1">
      <alignment horizontal="center" vertical="center" wrapText="1"/>
    </xf>
    <xf numFmtId="0" fontId="0" fillId="4" borderId="53" xfId="0" applyFill="1" applyBorder="1" applyAlignment="1">
      <alignment wrapText="1"/>
    </xf>
    <xf numFmtId="0" fontId="0" fillId="0" borderId="54" xfId="0" applyBorder="1" applyAlignment="1">
      <alignment wrapText="1"/>
    </xf>
    <xf numFmtId="0" fontId="0" fillId="0" borderId="55" xfId="0" applyBorder="1" applyAlignment="1">
      <alignment wrapText="1"/>
    </xf>
    <xf numFmtId="0" fontId="0" fillId="0" borderId="56" xfId="0" applyBorder="1" applyAlignment="1">
      <alignment wrapText="1"/>
    </xf>
    <xf numFmtId="0" fontId="0" fillId="0" borderId="0" xfId="0" applyAlignment="1">
      <alignment wrapText="1"/>
    </xf>
    <xf numFmtId="0" fontId="0" fillId="0" borderId="57" xfId="0" applyBorder="1" applyAlignment="1">
      <alignment wrapText="1"/>
    </xf>
    <xf numFmtId="0" fontId="25" fillId="9" borderId="54" xfId="0" applyFont="1" applyFill="1"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0" fillId="0" borderId="0" xfId="0" applyAlignment="1">
      <alignment horizontal="center" vertical="center" wrapText="1"/>
    </xf>
    <xf numFmtId="0" fontId="0" fillId="0" borderId="57"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24" fillId="0" borderId="38" xfId="0" applyFont="1" applyBorder="1"/>
    <xf numFmtId="0" fontId="24" fillId="0" borderId="39" xfId="0" applyFont="1" applyBorder="1"/>
    <xf numFmtId="0" fontId="24" fillId="0" borderId="40" xfId="0" applyFont="1" applyBorder="1"/>
    <xf numFmtId="0" fontId="21" fillId="0" borderId="0" xfId="0" applyFont="1" applyAlignment="1">
      <alignment wrapText="1"/>
    </xf>
    <xf numFmtId="0" fontId="22" fillId="3" borderId="0" xfId="0" applyFont="1" applyFill="1" applyAlignment="1">
      <alignment wrapText="1"/>
    </xf>
    <xf numFmtId="0" fontId="22" fillId="3" borderId="59" xfId="0" applyFont="1" applyFill="1" applyBorder="1" applyAlignment="1">
      <alignment wrapText="1"/>
    </xf>
    <xf numFmtId="14" fontId="0" fillId="0" borderId="0" xfId="0" applyNumberFormat="1" applyAlignment="1">
      <alignment wrapText="1"/>
    </xf>
    <xf numFmtId="0" fontId="0" fillId="0" borderId="0" xfId="0" applyAlignment="1">
      <alignment horizontal="center"/>
    </xf>
    <xf numFmtId="0" fontId="0" fillId="0" borderId="0" xfId="0"/>
    <xf numFmtId="0" fontId="0" fillId="0" borderId="53" xfId="0" applyBorder="1"/>
    <xf numFmtId="0" fontId="0" fillId="0" borderId="54" xfId="0" applyBorder="1"/>
    <xf numFmtId="0" fontId="0" fillId="0" borderId="55" xfId="0" applyBorder="1"/>
    <xf numFmtId="0" fontId="40" fillId="6" borderId="0" xfId="3" applyFont="1" applyFill="1" applyAlignment="1">
      <alignment horizontal="center" wrapText="1"/>
    </xf>
    <xf numFmtId="0" fontId="0" fillId="0" borderId="0" xfId="0" applyAlignment="1">
      <alignment horizontal="center" wrapText="1"/>
    </xf>
    <xf numFmtId="0" fontId="42" fillId="6" borderId="0" xfId="3" applyFont="1" applyFill="1" applyAlignment="1">
      <alignment wrapText="1"/>
    </xf>
    <xf numFmtId="0" fontId="45" fillId="3" borderId="0" xfId="3" applyFont="1" applyFill="1" applyAlignment="1" applyProtection="1">
      <protection locked="0"/>
    </xf>
    <xf numFmtId="0" fontId="45" fillId="0" borderId="0" xfId="3" applyFont="1" applyAlignment="1" applyProtection="1">
      <protection locked="0"/>
    </xf>
    <xf numFmtId="0" fontId="0" fillId="4" borderId="37" xfId="0" applyFill="1" applyBorder="1" applyAlignment="1">
      <alignment wrapText="1"/>
    </xf>
    <xf numFmtId="0" fontId="0" fillId="3" borderId="0" xfId="0" applyFill="1"/>
    <xf numFmtId="0" fontId="0" fillId="4" borderId="0" xfId="0" applyFill="1" applyAlignment="1">
      <alignment wrapText="1"/>
    </xf>
    <xf numFmtId="0" fontId="31" fillId="4" borderId="0" xfId="0" applyFont="1" applyFill="1" applyAlignment="1">
      <alignment wrapText="1"/>
    </xf>
    <xf numFmtId="0" fontId="39" fillId="3" borderId="58" xfId="3" applyFill="1" applyBorder="1" applyAlignment="1" applyProtection="1">
      <protection locked="0"/>
    </xf>
    <xf numFmtId="0" fontId="59" fillId="3" borderId="59" xfId="0" applyFont="1" applyFill="1" applyBorder="1" applyProtection="1">
      <protection locked="0"/>
    </xf>
    <xf numFmtId="0" fontId="0" fillId="3" borderId="59" xfId="0" applyFill="1" applyBorder="1"/>
    <xf numFmtId="0" fontId="53" fillId="8" borderId="53" xfId="0" applyFont="1" applyFill="1" applyBorder="1" applyAlignment="1">
      <alignment wrapText="1"/>
    </xf>
    <xf numFmtId="0" fontId="53" fillId="0" borderId="54" xfId="0" applyFont="1" applyBorder="1" applyAlignment="1">
      <alignment wrapText="1"/>
    </xf>
    <xf numFmtId="0" fontId="53" fillId="0" borderId="55" xfId="0" applyFont="1" applyBorder="1" applyAlignment="1">
      <alignment wrapText="1"/>
    </xf>
    <xf numFmtId="0" fontId="53" fillId="0" borderId="56" xfId="0" applyFont="1" applyBorder="1" applyAlignment="1">
      <alignment wrapText="1"/>
    </xf>
    <xf numFmtId="0" fontId="53" fillId="0" borderId="0" xfId="0" applyFont="1" applyAlignment="1">
      <alignment wrapText="1"/>
    </xf>
    <xf numFmtId="0" fontId="53" fillId="0" borderId="57" xfId="0" applyFont="1" applyBorder="1" applyAlignment="1">
      <alignment wrapText="1"/>
    </xf>
    <xf numFmtId="0" fontId="0" fillId="8" borderId="0" xfId="0" applyFill="1" applyAlignment="1">
      <alignment wrapText="1"/>
    </xf>
    <xf numFmtId="0" fontId="51" fillId="0" borderId="53" xfId="3" applyFont="1" applyFill="1" applyBorder="1" applyAlignment="1" applyProtection="1">
      <protection locked="0"/>
    </xf>
    <xf numFmtId="0" fontId="51" fillId="0" borderId="54" xfId="3" applyFont="1" applyFill="1" applyBorder="1" applyAlignment="1" applyProtection="1">
      <protection locked="0"/>
    </xf>
    <xf numFmtId="0" fontId="51" fillId="0" borderId="55" xfId="3" applyFont="1" applyFill="1" applyBorder="1" applyAlignment="1" applyProtection="1">
      <protection locked="0"/>
    </xf>
    <xf numFmtId="0" fontId="51" fillId="0" borderId="58" xfId="3" applyFont="1" applyFill="1" applyBorder="1" applyAlignment="1" applyProtection="1">
      <protection locked="0"/>
    </xf>
    <xf numFmtId="0" fontId="51" fillId="0" borderId="59" xfId="3" applyFont="1" applyFill="1" applyBorder="1" applyAlignment="1" applyProtection="1">
      <protection locked="0"/>
    </xf>
    <xf numFmtId="0" fontId="51" fillId="0" borderId="60" xfId="3" applyFont="1" applyFill="1" applyBorder="1" applyAlignment="1" applyProtection="1">
      <protection locked="0"/>
    </xf>
    <xf numFmtId="0" fontId="49" fillId="8" borderId="0" xfId="3" applyFont="1" applyFill="1" applyBorder="1" applyAlignment="1">
      <alignment horizontal="center" vertical="center"/>
    </xf>
    <xf numFmtId="0" fontId="49" fillId="0" borderId="0" xfId="3" applyFont="1" applyBorder="1" applyAlignment="1">
      <alignment horizontal="center" vertical="center"/>
    </xf>
    <xf numFmtId="0" fontId="49" fillId="0" borderId="59" xfId="3" applyFont="1" applyBorder="1" applyAlignment="1">
      <alignment horizontal="center" vertical="center"/>
    </xf>
    <xf numFmtId="0" fontId="31" fillId="8" borderId="56" xfId="0" applyFont="1" applyFill="1" applyBorder="1"/>
    <xf numFmtId="0" fontId="31" fillId="0" borderId="0" xfId="0" applyFont="1"/>
    <xf numFmtId="0" fontId="0" fillId="8" borderId="74" xfId="0" applyFill="1" applyBorder="1"/>
    <xf numFmtId="0" fontId="0" fillId="0" borderId="76" xfId="0" applyBorder="1"/>
    <xf numFmtId="0" fontId="0" fillId="8" borderId="74" xfId="0" applyFill="1" applyBorder="1" applyAlignment="1">
      <alignment wrapText="1"/>
    </xf>
    <xf numFmtId="0" fontId="0" fillId="0" borderId="76" xfId="0" applyBorder="1" applyAlignment="1">
      <alignment wrapText="1"/>
    </xf>
    <xf numFmtId="0" fontId="0" fillId="0" borderId="75" xfId="0" applyBorder="1" applyAlignment="1">
      <alignment wrapText="1"/>
    </xf>
    <xf numFmtId="0" fontId="0" fillId="8" borderId="53" xfId="0" applyFill="1" applyBorder="1"/>
    <xf numFmtId="0" fontId="0" fillId="0" borderId="75" xfId="0" applyBorder="1"/>
    <xf numFmtId="0" fontId="0" fillId="8" borderId="56" xfId="0" applyFill="1" applyBorder="1"/>
    <xf numFmtId="0" fontId="0" fillId="3" borderId="56" xfId="0" applyFill="1" applyBorder="1" applyProtection="1">
      <protection locked="0"/>
    </xf>
    <xf numFmtId="0" fontId="0" fillId="3" borderId="0" xfId="0" applyFill="1" applyProtection="1">
      <protection locked="0"/>
    </xf>
    <xf numFmtId="14" fontId="0" fillId="3" borderId="0" xfId="0" applyNumberFormat="1" applyFill="1" applyAlignment="1" applyProtection="1">
      <alignment horizontal="left"/>
      <protection locked="0"/>
    </xf>
    <xf numFmtId="0" fontId="0" fillId="3" borderId="0" xfId="0" applyFill="1" applyAlignment="1" applyProtection="1">
      <alignment horizontal="left"/>
      <protection locked="0"/>
    </xf>
    <xf numFmtId="0" fontId="46" fillId="3" borderId="53" xfId="3" applyFont="1" applyFill="1" applyBorder="1" applyAlignment="1">
      <alignment horizontal="center" wrapText="1"/>
    </xf>
    <xf numFmtId="0" fontId="46" fillId="0" borderId="54" xfId="3" applyFont="1" applyBorder="1" applyAlignment="1">
      <alignment horizontal="center" wrapText="1"/>
    </xf>
    <xf numFmtId="0" fontId="46" fillId="0" borderId="55" xfId="3" applyFont="1" applyBorder="1" applyAlignment="1">
      <alignment horizontal="center" wrapText="1"/>
    </xf>
    <xf numFmtId="0" fontId="46" fillId="3" borderId="76" xfId="3" applyFont="1" applyFill="1" applyBorder="1" applyAlignment="1">
      <alignment horizontal="center" wrapText="1"/>
    </xf>
    <xf numFmtId="0" fontId="46" fillId="0" borderId="76" xfId="3" applyFont="1" applyBorder="1" applyAlignment="1">
      <alignment horizontal="center" wrapText="1"/>
    </xf>
    <xf numFmtId="0" fontId="31" fillId="3" borderId="0" xfId="0" applyFont="1" applyFill="1" applyAlignment="1">
      <alignment horizontal="center" wrapText="1"/>
    </xf>
    <xf numFmtId="0" fontId="31" fillId="0" borderId="0" xfId="0" applyFont="1" applyAlignment="1">
      <alignment horizontal="center" wrapText="1"/>
    </xf>
    <xf numFmtId="0" fontId="48" fillId="6" borderId="37" xfId="0" applyFont="1" applyFill="1" applyBorder="1"/>
    <xf numFmtId="0" fontId="0" fillId="0" borderId="37" xfId="0" applyBorder="1"/>
    <xf numFmtId="0" fontId="0" fillId="6" borderId="37" xfId="0" applyFill="1" applyBorder="1"/>
    <xf numFmtId="0" fontId="41" fillId="3" borderId="53" xfId="3" applyFont="1" applyFill="1" applyBorder="1" applyAlignment="1">
      <alignment horizontal="center" wrapText="1"/>
    </xf>
    <xf numFmtId="0" fontId="41" fillId="0" borderId="54" xfId="3" applyFont="1" applyBorder="1" applyAlignment="1">
      <alignment horizontal="center" wrapText="1"/>
    </xf>
    <xf numFmtId="0" fontId="41" fillId="0" borderId="55" xfId="3" applyFont="1" applyBorder="1" applyAlignment="1">
      <alignment horizontal="center" wrapText="1"/>
    </xf>
    <xf numFmtId="0" fontId="41" fillId="0" borderId="56" xfId="3" applyFont="1" applyBorder="1" applyAlignment="1">
      <alignment horizontal="center" wrapText="1"/>
    </xf>
    <xf numFmtId="0" fontId="41" fillId="0" borderId="0" xfId="3" applyFont="1" applyBorder="1" applyAlignment="1">
      <alignment horizontal="center" wrapText="1"/>
    </xf>
    <xf numFmtId="0" fontId="41" fillId="0" borderId="57" xfId="3" applyFont="1" applyBorder="1" applyAlignment="1">
      <alignment horizontal="center" wrapText="1"/>
    </xf>
    <xf numFmtId="0" fontId="41" fillId="0" borderId="58" xfId="3" applyFont="1" applyBorder="1" applyAlignment="1">
      <alignment horizontal="center" wrapText="1"/>
    </xf>
    <xf numFmtId="0" fontId="41" fillId="0" borderId="59" xfId="3" applyFont="1" applyBorder="1" applyAlignment="1">
      <alignment horizontal="center" wrapText="1"/>
    </xf>
    <xf numFmtId="0" fontId="41" fillId="0" borderId="60" xfId="3" applyFont="1" applyBorder="1" applyAlignment="1">
      <alignment horizontal="center" wrapText="1"/>
    </xf>
    <xf numFmtId="0" fontId="31" fillId="4" borderId="0" xfId="0" applyFont="1" applyFill="1" applyAlignment="1">
      <alignment horizontal="center"/>
    </xf>
    <xf numFmtId="0" fontId="31" fillId="0" borderId="0" xfId="0" applyFont="1" applyAlignment="1">
      <alignment horizontal="center"/>
    </xf>
    <xf numFmtId="0" fontId="0" fillId="4" borderId="56" xfId="0" applyFill="1" applyBorder="1"/>
    <xf numFmtId="0" fontId="0" fillId="4" borderId="0" xfId="0" applyFill="1"/>
    <xf numFmtId="0" fontId="0" fillId="4" borderId="58" xfId="0" applyFill="1" applyBorder="1"/>
    <xf numFmtId="0" fontId="0" fillId="4" borderId="59" xfId="0" applyFill="1" applyBorder="1"/>
    <xf numFmtId="0" fontId="64" fillId="6" borderId="0" xfId="3" applyFont="1" applyFill="1" applyAlignment="1" applyProtection="1">
      <alignment horizontal="center" wrapText="1"/>
      <protection locked="0"/>
    </xf>
    <xf numFmtId="0" fontId="68" fillId="4" borderId="0" xfId="3" applyFont="1" applyFill="1" applyAlignment="1" applyProtection="1">
      <protection locked="0"/>
    </xf>
    <xf numFmtId="0" fontId="0" fillId="6" borderId="74" xfId="0" applyFill="1" applyBorder="1" applyAlignment="1" applyProtection="1">
      <alignment wrapText="1"/>
      <protection locked="0"/>
    </xf>
    <xf numFmtId="0" fontId="0" fillId="6" borderId="75" xfId="0" applyFill="1" applyBorder="1" applyAlignment="1" applyProtection="1">
      <alignment wrapText="1"/>
      <protection locked="0"/>
    </xf>
    <xf numFmtId="0" fontId="31" fillId="4" borderId="53" xfId="0" applyFont="1" applyFill="1" applyBorder="1" applyAlignment="1">
      <alignment wrapText="1"/>
    </xf>
    <xf numFmtId="0" fontId="31" fillId="4" borderId="54" xfId="0" applyFont="1" applyFill="1" applyBorder="1" applyAlignment="1">
      <alignment wrapText="1"/>
    </xf>
    <xf numFmtId="0" fontId="0" fillId="4" borderId="54" xfId="0" applyFill="1" applyBorder="1" applyAlignment="1">
      <alignment wrapText="1"/>
    </xf>
    <xf numFmtId="0" fontId="0" fillId="4" borderId="56" xfId="0" applyFill="1" applyBorder="1" applyAlignment="1">
      <alignment wrapText="1"/>
    </xf>
    <xf numFmtId="0" fontId="0" fillId="13" borderId="0" xfId="0" applyFill="1" applyAlignment="1">
      <alignment wrapText="1"/>
    </xf>
    <xf numFmtId="0" fontId="0" fillId="6" borderId="41" xfId="0" applyFill="1" applyBorder="1" applyProtection="1">
      <protection locked="0"/>
    </xf>
    <xf numFmtId="0" fontId="51" fillId="13" borderId="0" xfId="3" applyFont="1" applyFill="1" applyAlignment="1" applyProtection="1">
      <protection locked="0"/>
    </xf>
    <xf numFmtId="0" fontId="51" fillId="0" borderId="0" xfId="3" applyFont="1" applyAlignment="1" applyProtection="1">
      <protection locked="0"/>
    </xf>
    <xf numFmtId="0" fontId="31" fillId="13" borderId="0" xfId="0" applyFont="1" applyFill="1"/>
    <xf numFmtId="0" fontId="0" fillId="6" borderId="76" xfId="0" applyFill="1" applyBorder="1" applyAlignment="1" applyProtection="1">
      <alignment wrapText="1"/>
      <protection locked="0"/>
    </xf>
    <xf numFmtId="0" fontId="0" fillId="0" borderId="76" xfId="0" applyBorder="1" applyProtection="1">
      <protection locked="0"/>
    </xf>
    <xf numFmtId="0" fontId="0" fillId="0" borderId="75" xfId="0" applyBorder="1" applyProtection="1">
      <protection locked="0"/>
    </xf>
    <xf numFmtId="0" fontId="67" fillId="4" borderId="0" xfId="3" applyFont="1" applyFill="1" applyAlignment="1" applyProtection="1">
      <alignment horizontal="center"/>
      <protection locked="0"/>
    </xf>
    <xf numFmtId="0" fontId="0" fillId="4" borderId="38" xfId="0" applyFill="1" applyBorder="1"/>
    <xf numFmtId="0" fontId="0" fillId="0" borderId="39" xfId="0" applyBorder="1"/>
    <xf numFmtId="0" fontId="0" fillId="0" borderId="40" xfId="0" applyBorder="1"/>
    <xf numFmtId="0" fontId="23" fillId="4" borderId="0" xfId="0" applyFont="1" applyFill="1" applyAlignment="1">
      <alignment wrapText="1"/>
    </xf>
    <xf numFmtId="0" fontId="0" fillId="4" borderId="58" xfId="0" applyFill="1" applyBorder="1" applyAlignment="1">
      <alignment wrapText="1"/>
    </xf>
    <xf numFmtId="0" fontId="0" fillId="4" borderId="59" xfId="0" applyFill="1" applyBorder="1" applyAlignment="1">
      <alignment wrapText="1"/>
    </xf>
    <xf numFmtId="0" fontId="0" fillId="4" borderId="60" xfId="0" applyFill="1" applyBorder="1" applyAlignment="1">
      <alignment wrapText="1"/>
    </xf>
    <xf numFmtId="0" fontId="51" fillId="14" borderId="49" xfId="3" applyFont="1" applyFill="1" applyBorder="1" applyAlignment="1" applyProtection="1">
      <alignment wrapText="1"/>
      <protection locked="0"/>
    </xf>
    <xf numFmtId="0" fontId="51" fillId="0" borderId="0" xfId="3" applyFont="1" applyAlignment="1" applyProtection="1">
      <alignment wrapText="1"/>
      <protection locked="0"/>
    </xf>
    <xf numFmtId="0" fontId="51" fillId="0" borderId="49" xfId="3" applyFont="1" applyBorder="1" applyAlignment="1" applyProtection="1">
      <alignment wrapText="1"/>
      <protection locked="0"/>
    </xf>
    <xf numFmtId="0" fontId="39" fillId="14" borderId="0" xfId="3" applyFill="1" applyAlignment="1" applyProtection="1">
      <protection locked="0"/>
    </xf>
    <xf numFmtId="0" fontId="39" fillId="0" borderId="0" xfId="3" applyAlignment="1" applyProtection="1">
      <protection locked="0"/>
    </xf>
    <xf numFmtId="0" fontId="63" fillId="3" borderId="74" xfId="3" applyFont="1" applyFill="1" applyBorder="1" applyAlignment="1">
      <alignment horizontal="center" wrapText="1"/>
    </xf>
    <xf numFmtId="0" fontId="63" fillId="3" borderId="76" xfId="3" applyFont="1" applyFill="1" applyBorder="1" applyAlignment="1">
      <alignment horizontal="center" wrapText="1"/>
    </xf>
    <xf numFmtId="0" fontId="63" fillId="3" borderId="75" xfId="3" applyFont="1" applyFill="1" applyBorder="1" applyAlignment="1">
      <alignment horizontal="center" wrapText="1"/>
    </xf>
    <xf numFmtId="0" fontId="66" fillId="3" borderId="74" xfId="3" applyFont="1" applyFill="1" applyBorder="1" applyAlignment="1">
      <alignment horizontal="center" wrapText="1"/>
    </xf>
    <xf numFmtId="0" fontId="66" fillId="3" borderId="76" xfId="3" applyFont="1" applyFill="1" applyBorder="1" applyAlignment="1">
      <alignment horizontal="center" wrapText="1"/>
    </xf>
    <xf numFmtId="0" fontId="66" fillId="3" borderId="75" xfId="3" applyFont="1" applyFill="1" applyBorder="1" applyAlignment="1">
      <alignment horizontal="center" wrapText="1"/>
    </xf>
    <xf numFmtId="0" fontId="46" fillId="3" borderId="0" xfId="3" applyFont="1" applyFill="1" applyBorder="1" applyAlignment="1">
      <alignment horizontal="center" wrapText="1"/>
    </xf>
    <xf numFmtId="0" fontId="39" fillId="6" borderId="0" xfId="3" applyFill="1" applyAlignment="1" applyProtection="1">
      <protection locked="0"/>
    </xf>
    <xf numFmtId="0" fontId="0" fillId="13" borderId="55" xfId="0" applyFill="1" applyBorder="1"/>
    <xf numFmtId="0" fontId="0" fillId="13" borderId="57" xfId="0" applyFill="1" applyBorder="1"/>
    <xf numFmtId="0" fontId="0" fillId="13" borderId="60" xfId="0" applyFill="1" applyBorder="1"/>
    <xf numFmtId="0" fontId="19" fillId="13" borderId="53" xfId="0" applyFont="1" applyFill="1" applyBorder="1"/>
    <xf numFmtId="0" fontId="31" fillId="15" borderId="56" xfId="0" applyFont="1" applyFill="1" applyBorder="1" applyAlignment="1">
      <alignment horizontal="right"/>
    </xf>
    <xf numFmtId="0" fontId="31" fillId="15" borderId="0" xfId="0" applyFont="1" applyFill="1" applyBorder="1" applyAlignment="1">
      <alignment horizontal="right"/>
    </xf>
    <xf numFmtId="0" fontId="31" fillId="15" borderId="58" xfId="0" applyFont="1" applyFill="1" applyBorder="1" applyAlignment="1">
      <alignment horizontal="right"/>
    </xf>
    <xf numFmtId="0" fontId="31" fillId="15" borderId="59" xfId="0" applyFont="1" applyFill="1" applyBorder="1" applyAlignment="1">
      <alignment horizontal="right"/>
    </xf>
    <xf numFmtId="0" fontId="75" fillId="0" borderId="41" xfId="0" applyFont="1" applyFill="1" applyBorder="1" applyAlignment="1" applyProtection="1">
      <protection locked="0"/>
    </xf>
  </cellXfs>
  <cellStyles count="4">
    <cellStyle name="Collegamento ipertestuale" xfId="3" builtinId="8"/>
    <cellStyle name="Normale" xfId="0" builtinId="0"/>
    <cellStyle name="Normale 2" xfId="1" xr:uid="{00000000-0005-0000-0000-000002000000}"/>
    <cellStyle name="Normale 3" xfId="2" xr:uid="{00000000-0005-0000-0000-000003000000}"/>
  </cellStyles>
  <dxfs count="978">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lor rgb="FFFFFFFF"/>
      </font>
      <fill>
        <patternFill patternType="none"/>
      </fill>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lor rgb="FFFFFFFF"/>
      </font>
      <fill>
        <patternFill patternType="none"/>
      </fill>
    </dxf>
    <dxf>
      <font>
        <condense val="0"/>
        <extend val="0"/>
        <color indexed="9"/>
      </font>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s>
  <tableStyles count="0" defaultTableStyle="TableStyleMedium2" defaultPivotStyle="PivotStyleLight16"/>
  <colors>
    <mruColors>
      <color rgb="FFFFFF99"/>
      <color rgb="FF99FFCC"/>
      <color rgb="FF66FF99"/>
      <color rgb="FFFFFF66"/>
      <color rgb="FFFFFF00"/>
      <color rgb="FFCCE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76200</xdr:colOff>
      <xdr:row>1</xdr:row>
      <xdr:rowOff>7620</xdr:rowOff>
    </xdr:from>
    <xdr:ext cx="5910722" cy="937629"/>
    <xdr:sp macro="" textlink="">
      <xdr:nvSpPr>
        <xdr:cNvPr id="2" name="Rettangolo 1">
          <a:extLst>
            <a:ext uri="{FF2B5EF4-FFF2-40B4-BE49-F238E27FC236}">
              <a16:creationId xmlns:a16="http://schemas.microsoft.com/office/drawing/2014/main" id="{00000000-0008-0000-0700-000002000000}"/>
            </a:ext>
          </a:extLst>
        </xdr:cNvPr>
        <xdr:cNvSpPr/>
      </xdr:nvSpPr>
      <xdr:spPr>
        <a:xfrm>
          <a:off x="335280" y="190500"/>
          <a:ext cx="5910722" cy="937629"/>
        </a:xfrm>
        <a:prstGeom prst="rect">
          <a:avLst/>
        </a:prstGeom>
        <a:noFill/>
      </xdr:spPr>
      <xdr:txBody>
        <a:bodyPr wrap="none" lIns="91440" tIns="45720" rIns="91440" bIns="45720">
          <a:spAutoFit/>
        </a:bodyPr>
        <a:lstStyle/>
        <a:p>
          <a:pPr algn="ctr"/>
          <a:r>
            <a:rPr lang="it-IT"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CarrieraLex</a:t>
          </a:r>
          <a:r>
            <a:rPr lang="it-IT"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2022/23</a:t>
          </a:r>
          <a:endParaRPr lang="it-IT"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561975</xdr:colOff>
      <xdr:row>37</xdr:row>
      <xdr:rowOff>38100</xdr:rowOff>
    </xdr:from>
    <xdr:to>
      <xdr:col>13</xdr:col>
      <xdr:colOff>85726</xdr:colOff>
      <xdr:row>68</xdr:row>
      <xdr:rowOff>180975</xdr:rowOff>
    </xdr:to>
    <xdr:pic>
      <xdr:nvPicPr>
        <xdr:cNvPr id="2" name="Immagine 1">
          <a:extLst>
            <a:ext uri="{FF2B5EF4-FFF2-40B4-BE49-F238E27FC236}">
              <a16:creationId xmlns:a16="http://schemas.microsoft.com/office/drawing/2014/main" id="{902F1521-7F43-FD76-4324-297663F2A376}"/>
            </a:ext>
          </a:extLst>
        </xdr:cNvPr>
        <xdr:cNvPicPr>
          <a:picLocks noChangeAspect="1"/>
        </xdr:cNvPicPr>
      </xdr:nvPicPr>
      <xdr:blipFill rotWithShape="1">
        <a:blip xmlns:r="http://schemas.openxmlformats.org/officeDocument/2006/relationships" r:embed="rId1"/>
        <a:srcRect l="32270" t="25296" r="12020" b="12684"/>
        <a:stretch/>
      </xdr:blipFill>
      <xdr:spPr>
        <a:xfrm>
          <a:off x="1171575" y="15963900"/>
          <a:ext cx="6791326" cy="6048375"/>
        </a:xfrm>
        <a:prstGeom prst="rect">
          <a:avLst/>
        </a:prstGeom>
      </xdr:spPr>
    </xdr:pic>
    <xdr:clientData/>
  </xdr:twoCellAnchor>
  <xdr:twoCellAnchor editAs="oneCell">
    <xdr:from>
      <xdr:col>1</xdr:col>
      <xdr:colOff>571500</xdr:colOff>
      <xdr:row>79</xdr:row>
      <xdr:rowOff>152400</xdr:rowOff>
    </xdr:from>
    <xdr:to>
      <xdr:col>17</xdr:col>
      <xdr:colOff>9525</xdr:colOff>
      <xdr:row>111</xdr:row>
      <xdr:rowOff>38099</xdr:rowOff>
    </xdr:to>
    <xdr:pic>
      <xdr:nvPicPr>
        <xdr:cNvPr id="3" name="Immagine 2">
          <a:extLst>
            <a:ext uri="{FF2B5EF4-FFF2-40B4-BE49-F238E27FC236}">
              <a16:creationId xmlns:a16="http://schemas.microsoft.com/office/drawing/2014/main" id="{3CA3D80F-3379-7CAB-E7A7-7F59CE7FA2F1}"/>
            </a:ext>
          </a:extLst>
        </xdr:cNvPr>
        <xdr:cNvPicPr>
          <a:picLocks noChangeAspect="1"/>
        </xdr:cNvPicPr>
      </xdr:nvPicPr>
      <xdr:blipFill rotWithShape="1">
        <a:blip xmlns:r="http://schemas.openxmlformats.org/officeDocument/2006/relationships" r:embed="rId2"/>
        <a:srcRect l="5703" t="24415" r="21474" b="14248"/>
        <a:stretch/>
      </xdr:blipFill>
      <xdr:spPr>
        <a:xfrm>
          <a:off x="1181100" y="24174450"/>
          <a:ext cx="8877300" cy="5981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396240</xdr:colOff>
      <xdr:row>1</xdr:row>
      <xdr:rowOff>144780</xdr:rowOff>
    </xdr:from>
    <xdr:to>
      <xdr:col>11</xdr:col>
      <xdr:colOff>533400</xdr:colOff>
      <xdr:row>1</xdr:row>
      <xdr:rowOff>1539240</xdr:rowOff>
    </xdr:to>
    <xdr:sp macro="" textlink="">
      <xdr:nvSpPr>
        <xdr:cNvPr id="2" name="Fumetto 2 1">
          <a:extLst>
            <a:ext uri="{FF2B5EF4-FFF2-40B4-BE49-F238E27FC236}">
              <a16:creationId xmlns:a16="http://schemas.microsoft.com/office/drawing/2014/main" id="{00000000-0008-0000-0B00-000002000000}"/>
            </a:ext>
          </a:extLst>
        </xdr:cNvPr>
        <xdr:cNvSpPr/>
      </xdr:nvSpPr>
      <xdr:spPr>
        <a:xfrm>
          <a:off x="7810500" y="2430780"/>
          <a:ext cx="3794760" cy="1394460"/>
        </a:xfrm>
        <a:prstGeom prst="wedgeRoundRectCallout">
          <a:avLst>
            <a:gd name="adj1" fmla="val -85367"/>
            <a:gd name="adj2" fmla="val 2988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che rappresenta il decreto,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twoCellAnchor>
    <xdr:from>
      <xdr:col>6</xdr:col>
      <xdr:colOff>327660</xdr:colOff>
      <xdr:row>19</xdr:row>
      <xdr:rowOff>1813560</xdr:rowOff>
    </xdr:from>
    <xdr:to>
      <xdr:col>10</xdr:col>
      <xdr:colOff>342900</xdr:colOff>
      <xdr:row>20</xdr:row>
      <xdr:rowOff>1310640</xdr:rowOff>
    </xdr:to>
    <xdr:sp macro="" textlink="">
      <xdr:nvSpPr>
        <xdr:cNvPr id="4" name="Fumetto 2 3">
          <a:extLst>
            <a:ext uri="{FF2B5EF4-FFF2-40B4-BE49-F238E27FC236}">
              <a16:creationId xmlns:a16="http://schemas.microsoft.com/office/drawing/2014/main" id="{00000000-0008-0000-0B00-000004000000}"/>
            </a:ext>
          </a:extLst>
        </xdr:cNvPr>
        <xdr:cNvSpPr/>
      </xdr:nvSpPr>
      <xdr:spPr>
        <a:xfrm>
          <a:off x="7741920" y="1813560"/>
          <a:ext cx="24536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che rappresente il decreto,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twoCellAnchor>
    <xdr:from>
      <xdr:col>6</xdr:col>
      <xdr:colOff>327660</xdr:colOff>
      <xdr:row>35</xdr:row>
      <xdr:rowOff>1813560</xdr:rowOff>
    </xdr:from>
    <xdr:to>
      <xdr:col>10</xdr:col>
      <xdr:colOff>342900</xdr:colOff>
      <xdr:row>36</xdr:row>
      <xdr:rowOff>1310640</xdr:rowOff>
    </xdr:to>
    <xdr:sp macro="" textlink="">
      <xdr:nvSpPr>
        <xdr:cNvPr id="5" name="Fumetto 2 4">
          <a:extLst>
            <a:ext uri="{FF2B5EF4-FFF2-40B4-BE49-F238E27FC236}">
              <a16:creationId xmlns:a16="http://schemas.microsoft.com/office/drawing/2014/main" id="{00000000-0008-0000-0B00-000005000000}"/>
            </a:ext>
          </a:extLst>
        </xdr:cNvPr>
        <xdr:cNvSpPr/>
      </xdr:nvSpPr>
      <xdr:spPr>
        <a:xfrm>
          <a:off x="7741920" y="1813560"/>
          <a:ext cx="24536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che rappresente il decreto,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342900</xdr:colOff>
      <xdr:row>7</xdr:row>
      <xdr:rowOff>960120</xdr:rowOff>
    </xdr:from>
    <xdr:to>
      <xdr:col>17</xdr:col>
      <xdr:colOff>358140</xdr:colOff>
      <xdr:row>10</xdr:row>
      <xdr:rowOff>586740</xdr:rowOff>
    </xdr:to>
    <xdr:sp macro="" textlink="">
      <xdr:nvSpPr>
        <xdr:cNvPr id="2" name="Fumetto 2 1">
          <a:extLst>
            <a:ext uri="{FF2B5EF4-FFF2-40B4-BE49-F238E27FC236}">
              <a16:creationId xmlns:a16="http://schemas.microsoft.com/office/drawing/2014/main" id="{00000000-0008-0000-0C00-000002000000}"/>
            </a:ext>
          </a:extLst>
        </xdr:cNvPr>
        <xdr:cNvSpPr/>
      </xdr:nvSpPr>
      <xdr:spPr>
        <a:xfrm>
          <a:off x="7078980" y="5905500"/>
          <a:ext cx="24536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389820</xdr:colOff>
      <xdr:row>1</xdr:row>
      <xdr:rowOff>106495</xdr:rowOff>
    </xdr:from>
    <xdr:ext cx="5910722" cy="937629"/>
    <xdr:sp macro="" textlink="">
      <xdr:nvSpPr>
        <xdr:cNvPr id="2" name="Rettangolo 1">
          <a:extLst>
            <a:ext uri="{FF2B5EF4-FFF2-40B4-BE49-F238E27FC236}">
              <a16:creationId xmlns:a16="http://schemas.microsoft.com/office/drawing/2014/main" id="{00000000-0008-0000-0D00-000002000000}"/>
            </a:ext>
          </a:extLst>
        </xdr:cNvPr>
        <xdr:cNvSpPr/>
      </xdr:nvSpPr>
      <xdr:spPr>
        <a:xfrm>
          <a:off x="389820" y="289375"/>
          <a:ext cx="5910722" cy="937629"/>
        </a:xfrm>
        <a:prstGeom prst="rect">
          <a:avLst/>
        </a:prstGeom>
        <a:noFill/>
      </xdr:spPr>
      <xdr:txBody>
        <a:bodyPr wrap="none" lIns="91440" tIns="45720" rIns="91440" bIns="45720">
          <a:spAutoFit/>
        </a:bodyPr>
        <a:lstStyle/>
        <a:p>
          <a:pPr algn="ctr"/>
          <a:r>
            <a:rPr lang="it-IT"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CarrieraLex</a:t>
          </a:r>
          <a:r>
            <a:rPr lang="it-IT"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2022/23</a:t>
          </a:r>
          <a:endParaRPr lang="it-IT"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5</xdr:col>
      <xdr:colOff>266700</xdr:colOff>
      <xdr:row>3</xdr:row>
      <xdr:rowOff>632460</xdr:rowOff>
    </xdr:from>
    <xdr:to>
      <xdr:col>9</xdr:col>
      <xdr:colOff>281940</xdr:colOff>
      <xdr:row>3</xdr:row>
      <xdr:rowOff>2415540</xdr:rowOff>
    </xdr:to>
    <xdr:sp macro="" textlink="">
      <xdr:nvSpPr>
        <xdr:cNvPr id="2" name="Fumetto 2 1">
          <a:extLst>
            <a:ext uri="{FF2B5EF4-FFF2-40B4-BE49-F238E27FC236}">
              <a16:creationId xmlns:a16="http://schemas.microsoft.com/office/drawing/2014/main" id="{00000000-0008-0000-1200-000002000000}"/>
            </a:ext>
          </a:extLst>
        </xdr:cNvPr>
        <xdr:cNvSpPr/>
      </xdr:nvSpPr>
      <xdr:spPr>
        <a:xfrm>
          <a:off x="7269480" y="4937760"/>
          <a:ext cx="24536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1</xdr:row>
      <xdr:rowOff>0</xdr:rowOff>
    </xdr:from>
    <xdr:to>
      <xdr:col>18</xdr:col>
      <xdr:colOff>15240</xdr:colOff>
      <xdr:row>3</xdr:row>
      <xdr:rowOff>116205</xdr:rowOff>
    </xdr:to>
    <xdr:sp macro="" textlink="">
      <xdr:nvSpPr>
        <xdr:cNvPr id="2" name="Fumetto 2 1">
          <a:extLst>
            <a:ext uri="{FF2B5EF4-FFF2-40B4-BE49-F238E27FC236}">
              <a16:creationId xmlns:a16="http://schemas.microsoft.com/office/drawing/2014/main" id="{00000000-0008-0000-1600-000002000000}"/>
            </a:ext>
          </a:extLst>
        </xdr:cNvPr>
        <xdr:cNvSpPr/>
      </xdr:nvSpPr>
      <xdr:spPr>
        <a:xfrm>
          <a:off x="8039100" y="2981325"/>
          <a:ext cx="24536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389820</xdr:colOff>
      <xdr:row>1</xdr:row>
      <xdr:rowOff>106495</xdr:rowOff>
    </xdr:from>
    <xdr:ext cx="5910722" cy="937629"/>
    <xdr:sp macro="" textlink="">
      <xdr:nvSpPr>
        <xdr:cNvPr id="2" name="Rettangolo 1">
          <a:extLst>
            <a:ext uri="{FF2B5EF4-FFF2-40B4-BE49-F238E27FC236}">
              <a16:creationId xmlns:a16="http://schemas.microsoft.com/office/drawing/2014/main" id="{EDA26BAF-6F18-4166-8920-A777458BE1EC}"/>
            </a:ext>
          </a:extLst>
        </xdr:cNvPr>
        <xdr:cNvSpPr/>
      </xdr:nvSpPr>
      <xdr:spPr>
        <a:xfrm>
          <a:off x="389820" y="296995"/>
          <a:ext cx="5910722" cy="937629"/>
        </a:xfrm>
        <a:prstGeom prst="rect">
          <a:avLst/>
        </a:prstGeom>
        <a:noFill/>
      </xdr:spPr>
      <xdr:txBody>
        <a:bodyPr wrap="none" lIns="91440" tIns="45720" rIns="91440" bIns="45720">
          <a:spAutoFit/>
        </a:bodyPr>
        <a:lstStyle/>
        <a:p>
          <a:pPr algn="ctr"/>
          <a:r>
            <a:rPr lang="it-IT"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CarrieraLex</a:t>
          </a:r>
          <a:r>
            <a:rPr lang="it-IT"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2022/23</a:t>
          </a:r>
          <a:endParaRPr lang="it-IT"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5</xdr:col>
      <xdr:colOff>266700</xdr:colOff>
      <xdr:row>3</xdr:row>
      <xdr:rowOff>632460</xdr:rowOff>
    </xdr:from>
    <xdr:to>
      <xdr:col>9</xdr:col>
      <xdr:colOff>281940</xdr:colOff>
      <xdr:row>3</xdr:row>
      <xdr:rowOff>2415540</xdr:rowOff>
    </xdr:to>
    <xdr:sp macro="" textlink="">
      <xdr:nvSpPr>
        <xdr:cNvPr id="2" name="Fumetto 2 1">
          <a:extLst>
            <a:ext uri="{FF2B5EF4-FFF2-40B4-BE49-F238E27FC236}">
              <a16:creationId xmlns:a16="http://schemas.microsoft.com/office/drawing/2014/main" id="{2087031F-3FE7-4F74-BE66-EA3DA68BBC3F}"/>
            </a:ext>
          </a:extLst>
        </xdr:cNvPr>
        <xdr:cNvSpPr/>
      </xdr:nvSpPr>
      <xdr:spPr>
        <a:xfrm>
          <a:off x="7067550" y="4928235"/>
          <a:ext cx="23774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266700</xdr:colOff>
      <xdr:row>3</xdr:row>
      <xdr:rowOff>632460</xdr:rowOff>
    </xdr:from>
    <xdr:to>
      <xdr:col>9</xdr:col>
      <xdr:colOff>281940</xdr:colOff>
      <xdr:row>3</xdr:row>
      <xdr:rowOff>2415540</xdr:rowOff>
    </xdr:to>
    <xdr:sp macro="" textlink="">
      <xdr:nvSpPr>
        <xdr:cNvPr id="2" name="Fumetto 2 1">
          <a:extLst>
            <a:ext uri="{FF2B5EF4-FFF2-40B4-BE49-F238E27FC236}">
              <a16:creationId xmlns:a16="http://schemas.microsoft.com/office/drawing/2014/main" id="{201EAEDA-F76A-49EA-B805-B323919AB44B}"/>
            </a:ext>
          </a:extLst>
        </xdr:cNvPr>
        <xdr:cNvSpPr/>
      </xdr:nvSpPr>
      <xdr:spPr>
        <a:xfrm>
          <a:off x="7067550" y="4928235"/>
          <a:ext cx="23774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ribri/Desktop/CARRIERALEX%20ccnl20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enteScuolaMedia"/>
      <sheetName val="DSGA"/>
      <sheetName val="ResponsabileAmministrativo"/>
      <sheetName val="AssistenteAmministrativo"/>
      <sheetName val="AssstenteTecnico"/>
      <sheetName val="DocenteDiplomato"/>
      <sheetName val="CollaboratoreTecnico"/>
      <sheetName val="DocenteLaureatoSuperiore"/>
      <sheetName val="DocentePrimaria"/>
      <sheetName val="front utenteextra"/>
      <sheetName val="esempi"/>
      <sheetName val="principaleextra"/>
      <sheetName val="Foglio1extra"/>
      <sheetName val="Foglio1extran"/>
      <sheetName val="DocentePrimarian"/>
      <sheetName val="dec. da copiare e incollare"/>
      <sheetName val="stampadifferenzeextra"/>
      <sheetName val="ARTICOLATOextra"/>
      <sheetName val="CollaboratoreScolastico"/>
      <sheetName val="DECRETOextra"/>
      <sheetName val="CODADECRETOextra"/>
      <sheetName val="aggiusta dal 1 1 96"/>
      <sheetName val="Foglio6"/>
      <sheetName val="DEC REL. T.I."/>
      <sheetName val="DECRETO"/>
      <sheetName val="Foglio7"/>
      <sheetName val="DEC REL. INC. ANN."/>
      <sheetName val="Foglio8"/>
      <sheetName val="front utente"/>
      <sheetName val="calcolaopzione1"/>
      <sheetName val="calcoloperiodi1"/>
      <sheetName val="Foglio2"/>
      <sheetName val="Foglio9"/>
      <sheetName val="dati"/>
      <sheetName val="Foglio10"/>
      <sheetName val="verimacro"/>
      <sheetName val="Foglio11"/>
      <sheetName val="Foglio12"/>
      <sheetName val="calcoladifferenzespettanti"/>
      <sheetName val="dipt.i."/>
      <sheetName val="Foglio13"/>
      <sheetName val="principale"/>
      <sheetName val="calcoloperiodi"/>
      <sheetName val="Foglio5"/>
      <sheetName val="399"/>
      <sheetName val="COMPARAZIONE"/>
      <sheetName val="Foglio4"/>
      <sheetName val="tabella sintetica"/>
      <sheetName val="differenzespettanti"/>
      <sheetName val="Foglio1"/>
      <sheetName val="Foglio3"/>
      <sheetName val="TAB"/>
      <sheetName val="pre 1-1-1996"/>
      <sheetName val="DocenteLaureatoSuperioren"/>
      <sheetName val="CollaboratoreTecnicon"/>
      <sheetName val="DocenteDiplomaton"/>
      <sheetName val="AssstenteTecnicon"/>
      <sheetName val="AssstenteAmministrativon"/>
      <sheetName val="DSGAn"/>
      <sheetName val="DocenteScuolaMediam"/>
      <sheetName val="CollaboratoreScolasticon"/>
      <sheetName val="Foglio1n"/>
      <sheetName val="Foglio2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
          <cell r="L6">
            <v>1</v>
          </cell>
        </row>
      </sheetData>
      <sheetData sheetId="28" refreshError="1"/>
      <sheetData sheetId="29" refreshError="1"/>
      <sheetData sheetId="30" refreshError="1"/>
      <sheetData sheetId="31">
        <row r="10">
          <cell r="G10">
            <v>8</v>
          </cell>
        </row>
        <row r="25">
          <cell r="A25">
            <v>8</v>
          </cell>
          <cell r="D25" t="str">
            <v>Doc. laureato 1° Grado</v>
          </cell>
          <cell r="I25">
            <v>39692</v>
          </cell>
        </row>
        <row r="27">
          <cell r="I27">
            <v>39692</v>
          </cell>
        </row>
        <row r="29">
          <cell r="B29">
            <v>0</v>
          </cell>
          <cell r="D29">
            <v>41275</v>
          </cell>
        </row>
        <row r="97">
          <cell r="J97">
            <v>40057</v>
          </cell>
        </row>
        <row r="98">
          <cell r="I98">
            <v>0</v>
          </cell>
          <cell r="L98">
            <v>0</v>
          </cell>
        </row>
        <row r="104">
          <cell r="R104">
            <v>0</v>
          </cell>
        </row>
        <row r="111">
          <cell r="M111">
            <v>51737</v>
          </cell>
        </row>
        <row r="123">
          <cell r="AA123">
            <v>40057</v>
          </cell>
          <cell r="AB123">
            <v>0</v>
          </cell>
          <cell r="AC123">
            <v>1</v>
          </cell>
        </row>
        <row r="180">
          <cell r="J180">
            <v>32874</v>
          </cell>
        </row>
        <row r="181">
          <cell r="E181">
            <v>0</v>
          </cell>
        </row>
        <row r="200">
          <cell r="AB200">
            <v>1080</v>
          </cell>
        </row>
        <row r="201">
          <cell r="AB201">
            <v>3240</v>
          </cell>
        </row>
        <row r="202">
          <cell r="AB202">
            <v>5400</v>
          </cell>
        </row>
        <row r="203">
          <cell r="AB203">
            <v>7560</v>
          </cell>
        </row>
        <row r="204">
          <cell r="AB204">
            <v>10080</v>
          </cell>
        </row>
        <row r="205">
          <cell r="AB205">
            <v>12600</v>
          </cell>
        </row>
        <row r="229">
          <cell r="C229">
            <v>41868</v>
          </cell>
        </row>
        <row r="230">
          <cell r="C230">
            <v>100000</v>
          </cell>
        </row>
        <row r="231">
          <cell r="C231">
            <v>100000</v>
          </cell>
        </row>
        <row r="232">
          <cell r="C232">
            <v>100000</v>
          </cell>
        </row>
        <row r="233">
          <cell r="C233">
            <v>100000</v>
          </cell>
        </row>
        <row r="234">
          <cell r="C234">
            <v>100000</v>
          </cell>
        </row>
      </sheetData>
      <sheetData sheetId="32">
        <row r="25">
          <cell r="C25">
            <v>0</v>
          </cell>
          <cell r="G25">
            <v>0</v>
          </cell>
        </row>
        <row r="26">
          <cell r="C26">
            <v>0</v>
          </cell>
          <cell r="G26">
            <v>0</v>
          </cell>
        </row>
        <row r="27">
          <cell r="C27">
            <v>0</v>
          </cell>
          <cell r="G27">
            <v>0</v>
          </cell>
        </row>
        <row r="28">
          <cell r="C28">
            <v>0</v>
          </cell>
          <cell r="G28">
            <v>0</v>
          </cell>
        </row>
        <row r="29">
          <cell r="C29">
            <v>0</v>
          </cell>
          <cell r="G29">
            <v>0</v>
          </cell>
        </row>
        <row r="30">
          <cell r="C30">
            <v>0</v>
          </cell>
          <cell r="G30">
            <v>0</v>
          </cell>
        </row>
        <row r="31">
          <cell r="C31">
            <v>0</v>
          </cell>
          <cell r="G31">
            <v>0</v>
          </cell>
        </row>
        <row r="32">
          <cell r="C32">
            <v>0</v>
          </cell>
          <cell r="G32">
            <v>0</v>
          </cell>
        </row>
        <row r="33">
          <cell r="C33">
            <v>0</v>
          </cell>
          <cell r="G33">
            <v>0</v>
          </cell>
        </row>
        <row r="34">
          <cell r="C34">
            <v>0</v>
          </cell>
          <cell r="G34">
            <v>0</v>
          </cell>
        </row>
        <row r="35">
          <cell r="C35">
            <v>0</v>
          </cell>
          <cell r="G35">
            <v>0</v>
          </cell>
        </row>
        <row r="36">
          <cell r="C36">
            <v>0</v>
          </cell>
          <cell r="G36">
            <v>0</v>
          </cell>
        </row>
        <row r="37">
          <cell r="C37">
            <v>0</v>
          </cell>
          <cell r="G37">
            <v>0</v>
          </cell>
        </row>
        <row r="38">
          <cell r="C38">
            <v>0</v>
          </cell>
          <cell r="G38">
            <v>0</v>
          </cell>
        </row>
        <row r="39">
          <cell r="C39">
            <v>0</v>
          </cell>
          <cell r="G39">
            <v>0</v>
          </cell>
        </row>
        <row r="40">
          <cell r="C40">
            <v>0</v>
          </cell>
          <cell r="G40">
            <v>0</v>
          </cell>
        </row>
        <row r="41">
          <cell r="C41">
            <v>0</v>
          </cell>
          <cell r="G41">
            <v>0</v>
          </cell>
        </row>
        <row r="42">
          <cell r="C42">
            <v>0</v>
          </cell>
          <cell r="G42">
            <v>0</v>
          </cell>
        </row>
        <row r="43">
          <cell r="C43">
            <v>0</v>
          </cell>
          <cell r="G43">
            <v>0</v>
          </cell>
        </row>
        <row r="44">
          <cell r="C44">
            <v>0</v>
          </cell>
          <cell r="G44">
            <v>0</v>
          </cell>
        </row>
        <row r="45">
          <cell r="C45">
            <v>0</v>
          </cell>
          <cell r="G45">
            <v>0</v>
          </cell>
        </row>
        <row r="46">
          <cell r="C46">
            <v>0</v>
          </cell>
          <cell r="G46">
            <v>0</v>
          </cell>
        </row>
        <row r="47">
          <cell r="C47">
            <v>0</v>
          </cell>
          <cell r="G47">
            <v>0</v>
          </cell>
        </row>
        <row r="48">
          <cell r="C48">
            <v>0</v>
          </cell>
          <cell r="G48">
            <v>0</v>
          </cell>
        </row>
        <row r="49">
          <cell r="C49">
            <v>0</v>
          </cell>
          <cell r="G49">
            <v>0</v>
          </cell>
        </row>
        <row r="50">
          <cell r="C50">
            <v>0</v>
          </cell>
          <cell r="G50">
            <v>0</v>
          </cell>
        </row>
        <row r="51">
          <cell r="C51">
            <v>0</v>
          </cell>
          <cell r="G51">
            <v>0</v>
          </cell>
        </row>
        <row r="52">
          <cell r="C52">
            <v>0</v>
          </cell>
          <cell r="G52">
            <v>0</v>
          </cell>
        </row>
        <row r="53">
          <cell r="C53">
            <v>0</v>
          </cell>
          <cell r="G53">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8">
          <cell r="G8">
            <v>20973.22</v>
          </cell>
        </row>
        <row r="71">
          <cell r="D71">
            <v>35065</v>
          </cell>
          <cell r="E71">
            <v>8741.0330170895595</v>
          </cell>
        </row>
        <row r="72">
          <cell r="D72">
            <v>36100</v>
          </cell>
          <cell r="E72">
            <v>10011.516988849695</v>
          </cell>
        </row>
        <row r="73">
          <cell r="D73">
            <v>36312</v>
          </cell>
          <cell r="E73">
            <v>10253.218817623576</v>
          </cell>
        </row>
        <row r="74">
          <cell r="D74">
            <v>36708</v>
          </cell>
          <cell r="E74">
            <v>10451.538266873938</v>
          </cell>
        </row>
        <row r="75">
          <cell r="D75">
            <v>36892</v>
          </cell>
          <cell r="E75">
            <v>10786.202337483925</v>
          </cell>
        </row>
        <row r="76">
          <cell r="D76">
            <v>37257</v>
          </cell>
          <cell r="E76">
            <v>11221.802337483925</v>
          </cell>
        </row>
        <row r="77">
          <cell r="D77">
            <v>37622</v>
          </cell>
          <cell r="E77">
            <v>18128.79</v>
          </cell>
        </row>
        <row r="78">
          <cell r="D78">
            <v>37987</v>
          </cell>
          <cell r="E78">
            <v>18566.91</v>
          </cell>
        </row>
        <row r="79">
          <cell r="D79">
            <v>38384</v>
          </cell>
          <cell r="E79">
            <v>19082.5</v>
          </cell>
        </row>
        <row r="80">
          <cell r="D80">
            <v>38718</v>
          </cell>
          <cell r="E80">
            <v>19170.939999999999</v>
          </cell>
        </row>
        <row r="81">
          <cell r="D81">
            <v>39083</v>
          </cell>
          <cell r="E81">
            <v>19535.740000000002</v>
          </cell>
        </row>
        <row r="82">
          <cell r="D82">
            <v>39114</v>
          </cell>
          <cell r="E82">
            <v>20068.419999999998</v>
          </cell>
        </row>
        <row r="83">
          <cell r="D83">
            <v>39448</v>
          </cell>
          <cell r="E83">
            <v>20197.18</v>
          </cell>
        </row>
        <row r="84">
          <cell r="D84">
            <v>39539</v>
          </cell>
          <cell r="E84">
            <v>20300.14</v>
          </cell>
        </row>
        <row r="85">
          <cell r="D85">
            <v>39630</v>
          </cell>
          <cell r="E85">
            <v>20368.900000000001</v>
          </cell>
        </row>
        <row r="86">
          <cell r="D86">
            <v>39814</v>
          </cell>
          <cell r="E86">
            <v>20973.22</v>
          </cell>
        </row>
        <row r="87">
          <cell r="D87">
            <v>40269</v>
          </cell>
          <cell r="E87">
            <v>21067.54</v>
          </cell>
        </row>
        <row r="88">
          <cell r="D88">
            <v>40360</v>
          </cell>
          <cell r="E88">
            <v>21130.54</v>
          </cell>
        </row>
        <row r="89">
          <cell r="D89">
            <v>40422</v>
          </cell>
          <cell r="E89">
            <v>21130.54</v>
          </cell>
        </row>
        <row r="90">
          <cell r="D90">
            <v>42370</v>
          </cell>
          <cell r="E90">
            <v>21213.37</v>
          </cell>
        </row>
        <row r="91">
          <cell r="D91">
            <v>42736</v>
          </cell>
          <cell r="E91">
            <v>21380.17</v>
          </cell>
        </row>
        <row r="92">
          <cell r="D92">
            <v>43160</v>
          </cell>
          <cell r="E92">
            <v>21850.57</v>
          </cell>
        </row>
        <row r="93">
          <cell r="D93">
            <v>43191</v>
          </cell>
          <cell r="E93">
            <v>21850.57</v>
          </cell>
        </row>
        <row r="94">
          <cell r="D94">
            <v>43466</v>
          </cell>
          <cell r="E94">
            <v>22053.32</v>
          </cell>
        </row>
        <row r="95">
          <cell r="D95">
            <v>43831</v>
          </cell>
          <cell r="E95">
            <v>22223.72</v>
          </cell>
        </row>
        <row r="96">
          <cell r="D96">
            <v>44197</v>
          </cell>
          <cell r="E96">
            <v>22678.52</v>
          </cell>
        </row>
        <row r="97">
          <cell r="D97">
            <v>44562</v>
          </cell>
          <cell r="E97">
            <v>22678.52</v>
          </cell>
        </row>
        <row r="98">
          <cell r="D98">
            <v>0</v>
          </cell>
          <cell r="E98">
            <v>0</v>
          </cell>
        </row>
      </sheetData>
      <sheetData sheetId="46">
        <row r="34">
          <cell r="AJ34">
            <v>1</v>
          </cell>
          <cell r="AK34">
            <v>36342</v>
          </cell>
          <cell r="AL34">
            <v>37257</v>
          </cell>
          <cell r="AM34">
            <v>37622</v>
          </cell>
          <cell r="AN34">
            <v>38718</v>
          </cell>
          <cell r="AO34">
            <v>43160</v>
          </cell>
        </row>
        <row r="35">
          <cell r="AJ35">
            <v>0</v>
          </cell>
          <cell r="AK35">
            <v>0</v>
          </cell>
          <cell r="AL35">
            <v>0</v>
          </cell>
          <cell r="AM35">
            <v>0</v>
          </cell>
          <cell r="AN35">
            <v>0</v>
          </cell>
          <cell r="AO35">
            <v>0</v>
          </cell>
        </row>
      </sheetData>
      <sheetData sheetId="47">
        <row r="9">
          <cell r="K9">
            <v>31656</v>
          </cell>
        </row>
        <row r="11">
          <cell r="K11">
            <v>44742</v>
          </cell>
        </row>
        <row r="66">
          <cell r="K66" t="str">
            <v>indennità vacanza contrattuale annuo lordo</v>
          </cell>
        </row>
        <row r="67">
          <cell r="K67" t="str">
            <v>ART. 67 -RATEO SPETTANTE PER IL MANCATO PASSAGGIO DI GRADONE NELL'ANNO 96 / 97 - IMPORTO ANNUO LORDO DA CORRISPONDERE PER  L'INTERA PERMANENZA NELLA FASCIA DI ANZIANITA':</v>
          </cell>
        </row>
        <row r="68">
          <cell r="K68" t="str">
            <v>assegno ad personam</v>
          </cell>
        </row>
      </sheetData>
      <sheetData sheetId="48" refreshError="1"/>
      <sheetData sheetId="49">
        <row r="1561">
          <cell r="G1561">
            <v>36342</v>
          </cell>
          <cell r="H1561">
            <v>36526</v>
          </cell>
          <cell r="I1561">
            <v>36892</v>
          </cell>
          <cell r="J1561">
            <v>37257</v>
          </cell>
          <cell r="K1561">
            <v>37622</v>
          </cell>
          <cell r="L1561">
            <v>37987</v>
          </cell>
          <cell r="M1561">
            <v>38353</v>
          </cell>
          <cell r="N1561">
            <v>38718</v>
          </cell>
          <cell r="O1561">
            <v>39083</v>
          </cell>
          <cell r="P1561">
            <v>43160</v>
          </cell>
        </row>
        <row r="1562">
          <cell r="G1562">
            <v>594.96</v>
          </cell>
          <cell r="H1562">
            <v>594.96</v>
          </cell>
          <cell r="I1562">
            <v>1338.6562824399489</v>
          </cell>
          <cell r="J1562">
            <v>1578.6562824399489</v>
          </cell>
          <cell r="K1562">
            <v>1710.6</v>
          </cell>
          <cell r="L1562">
            <v>1857.84</v>
          </cell>
          <cell r="M1562">
            <v>1857.84</v>
          </cell>
          <cell r="N1562">
            <v>1968</v>
          </cell>
          <cell r="O1562">
            <v>1968</v>
          </cell>
          <cell r="P1562">
            <v>2094</v>
          </cell>
        </row>
        <row r="1563">
          <cell r="G1563">
            <v>594.96</v>
          </cell>
          <cell r="H1563">
            <v>594.96</v>
          </cell>
          <cell r="I1563">
            <v>1667.1228702608623</v>
          </cell>
          <cell r="J1563">
            <v>1955.1228702608623</v>
          </cell>
          <cell r="K1563">
            <v>2111.16</v>
          </cell>
          <cell r="L1563">
            <v>2287.8000000000002</v>
          </cell>
          <cell r="M1563">
            <v>2287.8000000000002</v>
          </cell>
          <cell r="N1563">
            <v>2424</v>
          </cell>
          <cell r="O1563">
            <v>2424</v>
          </cell>
          <cell r="P1563">
            <v>2577.6</v>
          </cell>
        </row>
        <row r="1564">
          <cell r="G1564">
            <v>594.96</v>
          </cell>
          <cell r="H1564">
            <v>594.96</v>
          </cell>
          <cell r="I1564">
            <v>1865.4423195112252</v>
          </cell>
          <cell r="J1564">
            <v>2333.4423195112249</v>
          </cell>
          <cell r="K1564">
            <v>2585.4</v>
          </cell>
          <cell r="L1564">
            <v>2870.04</v>
          </cell>
          <cell r="M1564">
            <v>2870.04</v>
          </cell>
          <cell r="N1564">
            <v>3090</v>
          </cell>
          <cell r="O1564">
            <v>3090</v>
          </cell>
          <cell r="P1564">
            <v>3278.4</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hyperlink" Target="http://dsga.altervista.org/alterpages/files/Supportocarrieralex.pdf" TargetMode="External"/><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hyperlink" Target="http://dsga.altervista.org/alterpages/files/Supportocarrieralex.pdf" TargetMode="External"/><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dsga.altervista.org/alterpages/files/Supportocarrieralex.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59"/>
  <dimension ref="A1:Z1360"/>
  <sheetViews>
    <sheetView showGridLines="0" workbookViewId="0">
      <pane ySplit="5" topLeftCell="A592" activePane="bottomLeft" state="frozen"/>
      <selection activeCell="L16" sqref="L16"/>
      <selection pane="bottomLeft" activeCell="F600" sqref="F600"/>
    </sheetView>
  </sheetViews>
  <sheetFormatPr defaultColWidth="14.42578125" defaultRowHeight="15" customHeight="1" x14ac:dyDescent="0.2"/>
  <cols>
    <col min="1"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26" width="8.7109375" style="8" customWidth="1"/>
    <col min="27" max="16384" width="14.42578125" style="8"/>
  </cols>
  <sheetData>
    <row r="1" spans="1:26" ht="16.5" customHeight="1" x14ac:dyDescent="0.2">
      <c r="A1" s="152" t="s">
        <v>66</v>
      </c>
      <c r="B1" s="168"/>
      <c r="C1" s="153" t="s">
        <v>88</v>
      </c>
      <c r="D1" s="168"/>
      <c r="E1" s="168"/>
      <c r="F1" s="168"/>
      <c r="G1" s="168"/>
      <c r="H1" s="168"/>
      <c r="I1" s="168"/>
      <c r="J1" s="168"/>
      <c r="K1" s="168"/>
      <c r="L1" s="106"/>
      <c r="M1" s="4"/>
      <c r="N1" s="154" t="s">
        <v>2</v>
      </c>
      <c r="O1" s="168"/>
      <c r="P1" s="106"/>
      <c r="Q1" s="5" t="s">
        <v>3</v>
      </c>
      <c r="R1" s="6">
        <v>67</v>
      </c>
      <c r="S1" s="7"/>
      <c r="T1" s="7"/>
      <c r="U1" s="7"/>
      <c r="V1" s="7"/>
      <c r="W1" s="7"/>
      <c r="X1" s="7"/>
      <c r="Y1" s="7"/>
      <c r="Z1" s="7"/>
    </row>
    <row r="2" spans="1:26" ht="12" customHeight="1" x14ac:dyDescent="0.2">
      <c r="A2" s="9">
        <v>6</v>
      </c>
      <c r="B2" s="10"/>
      <c r="C2" s="108"/>
      <c r="D2" s="108"/>
      <c r="E2" s="108"/>
      <c r="F2" s="108"/>
      <c r="G2" s="108"/>
      <c r="H2" s="108"/>
      <c r="I2" s="108"/>
      <c r="J2" s="108"/>
      <c r="K2" s="108"/>
      <c r="L2" s="109"/>
      <c r="M2" s="13"/>
      <c r="N2" s="169"/>
      <c r="O2" s="108"/>
      <c r="P2" s="109"/>
      <c r="Q2" s="14" t="s">
        <v>4</v>
      </c>
      <c r="R2" s="6"/>
      <c r="S2" s="7"/>
      <c r="T2" s="7"/>
      <c r="U2" s="7"/>
      <c r="V2" s="7"/>
      <c r="W2" s="7"/>
      <c r="X2" s="7"/>
      <c r="Y2" s="7"/>
      <c r="Z2" s="7"/>
    </row>
    <row r="3" spans="1:26" ht="12.75" customHeight="1" x14ac:dyDescent="0.2">
      <c r="A3" s="100" t="s">
        <v>5</v>
      </c>
      <c r="B3" s="105"/>
      <c r="C3" s="101" t="s">
        <v>6</v>
      </c>
      <c r="D3" s="106"/>
      <c r="E3" s="100" t="s">
        <v>7</v>
      </c>
      <c r="F3" s="107"/>
      <c r="G3" s="107"/>
      <c r="H3" s="107"/>
      <c r="I3" s="107"/>
      <c r="J3" s="105"/>
      <c r="K3" s="102" t="s">
        <v>8</v>
      </c>
      <c r="L3" s="102" t="s">
        <v>9</v>
      </c>
      <c r="M3" s="15"/>
      <c r="N3" s="103" t="s">
        <v>10</v>
      </c>
      <c r="O3" s="103" t="s">
        <v>11</v>
      </c>
      <c r="P3" s="16" t="s">
        <v>12</v>
      </c>
      <c r="Q3" s="104" t="s">
        <v>13</v>
      </c>
      <c r="R3" s="7"/>
      <c r="S3" s="7"/>
      <c r="T3" s="7"/>
      <c r="U3" s="7"/>
      <c r="V3" s="7"/>
      <c r="W3" s="7"/>
      <c r="X3" s="7"/>
      <c r="Y3" s="7"/>
      <c r="Z3" s="7"/>
    </row>
    <row r="4" spans="1:26" ht="34.5" customHeight="1" x14ac:dyDescent="0.2">
      <c r="A4" s="18" t="s">
        <v>14</v>
      </c>
      <c r="B4" s="18" t="s">
        <v>15</v>
      </c>
      <c r="C4" s="108"/>
      <c r="D4" s="109"/>
      <c r="E4" s="19" t="s">
        <v>16</v>
      </c>
      <c r="F4" s="19" t="s">
        <v>17</v>
      </c>
      <c r="G4" s="19" t="s">
        <v>18</v>
      </c>
      <c r="H4" s="19" t="s">
        <v>19</v>
      </c>
      <c r="I4" s="19" t="s">
        <v>20</v>
      </c>
      <c r="J4" s="19" t="s">
        <v>21</v>
      </c>
      <c r="K4" s="110"/>
      <c r="L4" s="110"/>
      <c r="M4" s="4"/>
      <c r="N4" s="110"/>
      <c r="O4" s="110"/>
      <c r="P4" s="20" t="s">
        <v>87</v>
      </c>
      <c r="Q4" s="110"/>
      <c r="R4" s="7"/>
      <c r="S4" s="7"/>
      <c r="T4" s="7"/>
      <c r="U4" s="7"/>
      <c r="V4" s="7"/>
      <c r="W4" s="7"/>
      <c r="X4" s="7"/>
      <c r="Y4" s="7"/>
      <c r="Z4" s="7"/>
    </row>
    <row r="5" spans="1:26" ht="10.5" customHeight="1" x14ac:dyDescent="0.2">
      <c r="A5" s="21" t="s">
        <v>23</v>
      </c>
      <c r="B5" s="22" t="s">
        <v>24</v>
      </c>
      <c r="C5" s="22" t="s">
        <v>25</v>
      </c>
      <c r="D5" s="105"/>
      <c r="E5" s="21" t="s">
        <v>26</v>
      </c>
      <c r="F5" s="21" t="s">
        <v>27</v>
      </c>
      <c r="G5" s="21" t="s">
        <v>28</v>
      </c>
      <c r="H5" s="21" t="s">
        <v>29</v>
      </c>
      <c r="I5" s="21" t="s">
        <v>30</v>
      </c>
      <c r="J5" s="21" t="s">
        <v>31</v>
      </c>
      <c r="K5" s="21" t="s">
        <v>32</v>
      </c>
      <c r="L5" s="21" t="s">
        <v>33</v>
      </c>
      <c r="M5" s="24"/>
      <c r="N5" s="25" t="s">
        <v>34</v>
      </c>
      <c r="O5" s="25" t="s">
        <v>35</v>
      </c>
      <c r="P5" s="21"/>
      <c r="Q5" s="21"/>
      <c r="R5" s="27"/>
      <c r="S5" s="27"/>
      <c r="T5" s="27"/>
      <c r="U5" s="27"/>
      <c r="V5" s="27"/>
      <c r="W5" s="27"/>
      <c r="X5" s="27"/>
      <c r="Y5" s="27"/>
      <c r="Z5" s="27"/>
    </row>
    <row r="6" spans="1:26" ht="12.75" customHeight="1" x14ac:dyDescent="0.2">
      <c r="A6" s="98">
        <v>32994</v>
      </c>
      <c r="B6" s="98">
        <v>33177</v>
      </c>
      <c r="C6" s="28" t="s">
        <v>36</v>
      </c>
      <c r="D6" s="29">
        <v>0</v>
      </c>
      <c r="E6" s="30">
        <v>0</v>
      </c>
      <c r="F6" s="30">
        <v>0</v>
      </c>
      <c r="G6" s="30">
        <v>0</v>
      </c>
      <c r="H6" s="30">
        <v>0</v>
      </c>
      <c r="I6" s="30">
        <v>0</v>
      </c>
      <c r="J6" s="30">
        <v>0</v>
      </c>
      <c r="K6" s="31">
        <v>0</v>
      </c>
      <c r="L6" s="32">
        <v>0</v>
      </c>
      <c r="M6" s="33"/>
      <c r="N6" s="30">
        <v>0</v>
      </c>
      <c r="O6" s="30">
        <v>0</v>
      </c>
      <c r="P6" s="30"/>
      <c r="Q6" s="30">
        <f>(N6+O6*0.18+J6)+(IF((P6-O6*0.18)&gt;0,(P6-O6*0.18),0))</f>
        <v>0</v>
      </c>
      <c r="R6" s="7"/>
      <c r="S6" s="7"/>
      <c r="T6" s="7"/>
      <c r="U6" s="7"/>
      <c r="V6" s="7"/>
      <c r="W6" s="7"/>
      <c r="X6" s="7"/>
      <c r="Y6" s="7"/>
      <c r="Z6" s="7"/>
    </row>
    <row r="7" spans="1:26" ht="9" customHeight="1" x14ac:dyDescent="0.2">
      <c r="A7" s="95"/>
      <c r="B7" s="95"/>
      <c r="C7" s="34" t="s">
        <v>37</v>
      </c>
      <c r="D7" s="35">
        <v>0</v>
      </c>
      <c r="E7" s="36">
        <v>0</v>
      </c>
      <c r="F7" s="36">
        <v>0</v>
      </c>
      <c r="G7" s="36">
        <v>0</v>
      </c>
      <c r="H7" s="36">
        <v>0</v>
      </c>
      <c r="I7" s="36">
        <v>0</v>
      </c>
      <c r="J7" s="37">
        <v>0</v>
      </c>
      <c r="K7" s="36">
        <v>0</v>
      </c>
      <c r="L7" s="38">
        <v>0</v>
      </c>
      <c r="M7" s="39"/>
      <c r="N7" s="36">
        <v>0</v>
      </c>
      <c r="O7" s="36">
        <v>0</v>
      </c>
      <c r="P7" s="36">
        <v>0</v>
      </c>
      <c r="Q7" s="36">
        <f>Q6*1936.27</f>
        <v>0</v>
      </c>
      <c r="R7" s="7"/>
      <c r="S7" s="7"/>
      <c r="T7" s="7"/>
      <c r="U7" s="7"/>
      <c r="V7" s="7"/>
      <c r="W7" s="7"/>
      <c r="X7" s="7"/>
      <c r="Y7" s="7"/>
      <c r="Z7" s="7"/>
    </row>
    <row r="8" spans="1:26" ht="12.75" customHeight="1" x14ac:dyDescent="0.2">
      <c r="A8" s="155">
        <v>32994</v>
      </c>
      <c r="B8" s="155">
        <v>33177</v>
      </c>
      <c r="C8" s="40" t="s">
        <v>36</v>
      </c>
      <c r="D8" s="41">
        <v>1</v>
      </c>
      <c r="E8" s="42">
        <v>0</v>
      </c>
      <c r="F8" s="42">
        <v>0</v>
      </c>
      <c r="G8" s="42">
        <v>0</v>
      </c>
      <c r="H8" s="42">
        <v>0</v>
      </c>
      <c r="I8" s="42">
        <v>0</v>
      </c>
      <c r="J8" s="42">
        <v>0</v>
      </c>
      <c r="K8" s="43">
        <v>0</v>
      </c>
      <c r="L8" s="32">
        <v>0</v>
      </c>
      <c r="M8" s="33"/>
      <c r="N8" s="30">
        <v>0</v>
      </c>
      <c r="O8" s="30">
        <v>0</v>
      </c>
      <c r="P8" s="30"/>
      <c r="Q8" s="30">
        <f>(N8+O8*0.18+J8)+(IF((P8-O8*0.18)&gt;0,(P8-O8*0.18),0))</f>
        <v>0</v>
      </c>
      <c r="R8" s="7"/>
      <c r="S8" s="7"/>
      <c r="T8" s="7"/>
      <c r="U8" s="7"/>
      <c r="V8" s="7"/>
      <c r="W8" s="7"/>
      <c r="X8" s="7"/>
      <c r="Y8" s="7"/>
      <c r="Z8" s="7"/>
    </row>
    <row r="9" spans="1:26" ht="9" customHeight="1" x14ac:dyDescent="0.2">
      <c r="A9" s="95"/>
      <c r="B9" s="95"/>
      <c r="C9" s="34" t="s">
        <v>37</v>
      </c>
      <c r="D9" s="35">
        <v>2</v>
      </c>
      <c r="E9" s="36">
        <v>0</v>
      </c>
      <c r="F9" s="36">
        <v>0</v>
      </c>
      <c r="G9" s="36">
        <v>0</v>
      </c>
      <c r="H9" s="36">
        <v>0</v>
      </c>
      <c r="I9" s="36">
        <v>0</v>
      </c>
      <c r="J9" s="37">
        <v>0</v>
      </c>
      <c r="K9" s="36">
        <v>0</v>
      </c>
      <c r="L9" s="38">
        <v>0</v>
      </c>
      <c r="M9" s="39"/>
      <c r="N9" s="36">
        <v>0</v>
      </c>
      <c r="O9" s="36">
        <v>0</v>
      </c>
      <c r="P9" s="36">
        <v>0</v>
      </c>
      <c r="Q9" s="36">
        <f>Q8*1936.27</f>
        <v>0</v>
      </c>
      <c r="R9" s="7"/>
      <c r="S9" s="7"/>
      <c r="T9" s="7"/>
      <c r="U9" s="7"/>
      <c r="V9" s="7"/>
      <c r="W9" s="7"/>
      <c r="X9" s="7"/>
      <c r="Y9" s="7"/>
      <c r="Z9" s="7"/>
    </row>
    <row r="10" spans="1:26" ht="12.75" customHeight="1" x14ac:dyDescent="0.2">
      <c r="A10" s="95"/>
      <c r="B10" s="95"/>
      <c r="C10" s="40" t="s">
        <v>36</v>
      </c>
      <c r="D10" s="41">
        <v>3</v>
      </c>
      <c r="E10" s="42">
        <v>0</v>
      </c>
      <c r="F10" s="42">
        <v>0</v>
      </c>
      <c r="G10" s="42">
        <v>0</v>
      </c>
      <c r="H10" s="42">
        <v>0</v>
      </c>
      <c r="I10" s="42">
        <v>0</v>
      </c>
      <c r="J10" s="42">
        <v>0</v>
      </c>
      <c r="K10" s="43">
        <v>0</v>
      </c>
      <c r="L10" s="32">
        <v>0</v>
      </c>
      <c r="M10" s="33"/>
      <c r="N10" s="30">
        <v>0</v>
      </c>
      <c r="O10" s="30">
        <v>0</v>
      </c>
      <c r="P10" s="30"/>
      <c r="Q10" s="30">
        <f>(N10+O10*0.18+J10)+(IF((P10-O10*0.18)&gt;0,(P10-O10*0.18),0))</f>
        <v>0</v>
      </c>
      <c r="R10" s="7"/>
      <c r="S10" s="7"/>
      <c r="T10" s="7"/>
      <c r="U10" s="7"/>
      <c r="V10" s="7"/>
      <c r="W10" s="7"/>
      <c r="X10" s="7"/>
      <c r="Y10" s="7"/>
      <c r="Z10" s="7"/>
    </row>
    <row r="11" spans="1:26" ht="9" customHeight="1" x14ac:dyDescent="0.2">
      <c r="A11" s="95"/>
      <c r="B11" s="95"/>
      <c r="C11" s="34" t="s">
        <v>37</v>
      </c>
      <c r="D11" s="35">
        <v>4</v>
      </c>
      <c r="E11" s="36">
        <v>0</v>
      </c>
      <c r="F11" s="36">
        <v>0</v>
      </c>
      <c r="G11" s="36">
        <v>0</v>
      </c>
      <c r="H11" s="36">
        <v>0</v>
      </c>
      <c r="I11" s="36">
        <v>0</v>
      </c>
      <c r="J11" s="37">
        <v>0</v>
      </c>
      <c r="K11" s="36">
        <v>0</v>
      </c>
      <c r="L11" s="38">
        <v>0</v>
      </c>
      <c r="M11" s="39"/>
      <c r="N11" s="36">
        <v>0</v>
      </c>
      <c r="O11" s="36">
        <v>0</v>
      </c>
      <c r="P11" s="36">
        <v>0</v>
      </c>
      <c r="Q11" s="36">
        <f>Q10*1936.27</f>
        <v>0</v>
      </c>
      <c r="R11" s="7"/>
      <c r="S11" s="7"/>
      <c r="T11" s="7"/>
      <c r="U11" s="7"/>
      <c r="V11" s="7"/>
      <c r="W11" s="7"/>
      <c r="X11" s="7"/>
      <c r="Y11" s="7"/>
      <c r="Z11" s="7"/>
    </row>
    <row r="12" spans="1:26" ht="12.75" customHeight="1" x14ac:dyDescent="0.2">
      <c r="A12" s="95"/>
      <c r="B12" s="95"/>
      <c r="C12" s="40" t="s">
        <v>36</v>
      </c>
      <c r="D12" s="41">
        <v>5</v>
      </c>
      <c r="E12" s="42">
        <v>0</v>
      </c>
      <c r="F12" s="42">
        <v>0</v>
      </c>
      <c r="G12" s="42">
        <v>0</v>
      </c>
      <c r="H12" s="42">
        <v>0</v>
      </c>
      <c r="I12" s="42">
        <v>0</v>
      </c>
      <c r="J12" s="42">
        <v>0</v>
      </c>
      <c r="K12" s="43">
        <v>0</v>
      </c>
      <c r="L12" s="32">
        <v>0</v>
      </c>
      <c r="M12" s="33"/>
      <c r="N12" s="30">
        <v>0</v>
      </c>
      <c r="O12" s="30">
        <v>0</v>
      </c>
      <c r="P12" s="30"/>
      <c r="Q12" s="30">
        <f>(N12+O12*0.18+J12)+(IF((P12-O12*0.18)&gt;0,(P12-O12*0.18),0))</f>
        <v>0</v>
      </c>
      <c r="R12" s="7"/>
      <c r="S12" s="7"/>
      <c r="T12" s="7"/>
      <c r="U12" s="7"/>
      <c r="V12" s="7"/>
      <c r="W12" s="7"/>
      <c r="X12" s="7"/>
      <c r="Y12" s="7"/>
      <c r="Z12" s="7"/>
    </row>
    <row r="13" spans="1:26" ht="9" customHeight="1" x14ac:dyDescent="0.2">
      <c r="A13" s="95"/>
      <c r="B13" s="95"/>
      <c r="C13" s="34" t="s">
        <v>37</v>
      </c>
      <c r="D13" s="35">
        <v>6</v>
      </c>
      <c r="E13" s="36">
        <v>0</v>
      </c>
      <c r="F13" s="36">
        <v>0</v>
      </c>
      <c r="G13" s="36">
        <v>0</v>
      </c>
      <c r="H13" s="36">
        <v>0</v>
      </c>
      <c r="I13" s="36">
        <v>0</v>
      </c>
      <c r="J13" s="37">
        <v>0</v>
      </c>
      <c r="K13" s="36">
        <v>0</v>
      </c>
      <c r="L13" s="38">
        <v>0</v>
      </c>
      <c r="M13" s="39"/>
      <c r="N13" s="36">
        <v>0</v>
      </c>
      <c r="O13" s="36">
        <v>0</v>
      </c>
      <c r="P13" s="36">
        <v>0</v>
      </c>
      <c r="Q13" s="36">
        <f>Q12*1936.27</f>
        <v>0</v>
      </c>
      <c r="R13" s="7"/>
      <c r="S13" s="7"/>
      <c r="T13" s="7"/>
      <c r="U13" s="7"/>
      <c r="V13" s="7"/>
      <c r="W13" s="7"/>
      <c r="X13" s="7"/>
      <c r="Y13" s="7"/>
      <c r="Z13" s="7"/>
    </row>
    <row r="14" spans="1:26" ht="12.75" customHeight="1" x14ac:dyDescent="0.2">
      <c r="A14" s="95"/>
      <c r="B14" s="95"/>
      <c r="C14" s="40" t="s">
        <v>36</v>
      </c>
      <c r="D14" s="41">
        <v>7</v>
      </c>
      <c r="E14" s="42">
        <v>0</v>
      </c>
      <c r="F14" s="42">
        <v>0</v>
      </c>
      <c r="G14" s="42">
        <v>0</v>
      </c>
      <c r="H14" s="42">
        <v>0</v>
      </c>
      <c r="I14" s="42">
        <v>0</v>
      </c>
      <c r="J14" s="42">
        <v>0</v>
      </c>
      <c r="K14" s="43">
        <v>0</v>
      </c>
      <c r="L14" s="32">
        <v>0</v>
      </c>
      <c r="M14" s="33"/>
      <c r="N14" s="30">
        <v>0</v>
      </c>
      <c r="O14" s="30">
        <v>0</v>
      </c>
      <c r="P14" s="30"/>
      <c r="Q14" s="30">
        <f>(N14+O14*0.18+J14)+(IF((P14-O14*0.18)&gt;0,(P14-O14*0.18),0))</f>
        <v>0</v>
      </c>
      <c r="R14" s="7"/>
      <c r="S14" s="7"/>
      <c r="T14" s="7"/>
      <c r="U14" s="7"/>
      <c r="V14" s="7"/>
      <c r="W14" s="7"/>
      <c r="X14" s="7"/>
      <c r="Y14" s="7"/>
      <c r="Z14" s="7"/>
    </row>
    <row r="15" spans="1:26" ht="9" customHeight="1" x14ac:dyDescent="0.2">
      <c r="A15" s="95"/>
      <c r="B15" s="95"/>
      <c r="C15" s="34" t="s">
        <v>37</v>
      </c>
      <c r="D15" s="35">
        <v>8</v>
      </c>
      <c r="E15" s="36">
        <v>0</v>
      </c>
      <c r="F15" s="36">
        <v>0</v>
      </c>
      <c r="G15" s="36">
        <v>0</v>
      </c>
      <c r="H15" s="36">
        <v>0</v>
      </c>
      <c r="I15" s="36">
        <v>0</v>
      </c>
      <c r="J15" s="37">
        <v>0</v>
      </c>
      <c r="K15" s="36">
        <v>0</v>
      </c>
      <c r="L15" s="38">
        <v>0</v>
      </c>
      <c r="M15" s="39"/>
      <c r="N15" s="36">
        <v>0</v>
      </c>
      <c r="O15" s="36">
        <v>0</v>
      </c>
      <c r="P15" s="36">
        <v>0</v>
      </c>
      <c r="Q15" s="36">
        <f>Q14*1936.27</f>
        <v>0</v>
      </c>
      <c r="R15" s="7"/>
      <c r="S15" s="7"/>
      <c r="T15" s="7"/>
      <c r="U15" s="7"/>
      <c r="V15" s="7"/>
      <c r="W15" s="7"/>
      <c r="X15" s="7"/>
      <c r="Y15" s="7"/>
      <c r="Z15" s="7"/>
    </row>
    <row r="16" spans="1:26" ht="12.75" customHeight="1" x14ac:dyDescent="0.2">
      <c r="A16" s="95"/>
      <c r="B16" s="95"/>
      <c r="C16" s="40" t="s">
        <v>36</v>
      </c>
      <c r="D16" s="41">
        <v>9</v>
      </c>
      <c r="E16" s="42">
        <v>0</v>
      </c>
      <c r="F16" s="42">
        <v>0</v>
      </c>
      <c r="G16" s="42">
        <v>0</v>
      </c>
      <c r="H16" s="42">
        <v>0</v>
      </c>
      <c r="I16" s="42">
        <v>0</v>
      </c>
      <c r="J16" s="42">
        <v>0</v>
      </c>
      <c r="K16" s="43">
        <v>0</v>
      </c>
      <c r="L16" s="32">
        <v>0</v>
      </c>
      <c r="M16" s="33"/>
      <c r="N16" s="30">
        <v>0</v>
      </c>
      <c r="O16" s="30">
        <v>0</v>
      </c>
      <c r="P16" s="30"/>
      <c r="Q16" s="30">
        <f>(N16+O16*0.18+J16)+(IF((P16-O16*0.18)&gt;0,(P16-O16*0.18),0))</f>
        <v>0</v>
      </c>
      <c r="R16" s="7"/>
      <c r="S16" s="7"/>
      <c r="T16" s="7"/>
      <c r="U16" s="7"/>
      <c r="V16" s="7"/>
      <c r="W16" s="7"/>
      <c r="X16" s="7"/>
      <c r="Y16" s="7"/>
      <c r="Z16" s="7"/>
    </row>
    <row r="17" spans="1:26" ht="9" customHeight="1" x14ac:dyDescent="0.2">
      <c r="A17" s="95"/>
      <c r="B17" s="95"/>
      <c r="C17" s="34" t="s">
        <v>37</v>
      </c>
      <c r="D17" s="35">
        <v>10</v>
      </c>
      <c r="E17" s="36">
        <v>0</v>
      </c>
      <c r="F17" s="36">
        <v>0</v>
      </c>
      <c r="G17" s="36">
        <v>0</v>
      </c>
      <c r="H17" s="36">
        <v>0</v>
      </c>
      <c r="I17" s="36">
        <v>0</v>
      </c>
      <c r="J17" s="37">
        <v>0</v>
      </c>
      <c r="K17" s="36">
        <v>0</v>
      </c>
      <c r="L17" s="38">
        <v>0</v>
      </c>
      <c r="M17" s="39"/>
      <c r="N17" s="36">
        <v>0</v>
      </c>
      <c r="O17" s="36">
        <v>0</v>
      </c>
      <c r="P17" s="36">
        <v>0</v>
      </c>
      <c r="Q17" s="36">
        <f>Q16*1936.27</f>
        <v>0</v>
      </c>
      <c r="R17" s="7"/>
      <c r="S17" s="7"/>
      <c r="T17" s="7"/>
      <c r="U17" s="7"/>
      <c r="V17" s="7"/>
      <c r="W17" s="7"/>
      <c r="X17" s="7"/>
      <c r="Y17" s="7"/>
      <c r="Z17" s="7"/>
    </row>
    <row r="18" spans="1:26" ht="12.75" customHeight="1" x14ac:dyDescent="0.2">
      <c r="A18" s="95"/>
      <c r="B18" s="95"/>
      <c r="C18" s="40" t="s">
        <v>36</v>
      </c>
      <c r="D18" s="41">
        <v>11</v>
      </c>
      <c r="E18" s="42">
        <v>0</v>
      </c>
      <c r="F18" s="42">
        <v>0</v>
      </c>
      <c r="G18" s="42">
        <v>0</v>
      </c>
      <c r="H18" s="42">
        <v>0</v>
      </c>
      <c r="I18" s="42">
        <v>0</v>
      </c>
      <c r="J18" s="42">
        <v>0</v>
      </c>
      <c r="K18" s="43">
        <v>0</v>
      </c>
      <c r="L18" s="32">
        <v>0</v>
      </c>
      <c r="M18" s="33"/>
      <c r="N18" s="30">
        <v>0</v>
      </c>
      <c r="O18" s="30">
        <v>0</v>
      </c>
      <c r="P18" s="30"/>
      <c r="Q18" s="30">
        <f>(N18+O18*0.18+J18)+(IF((P18-O18*0.18)&gt;0,(P18-O18*0.18),0))</f>
        <v>0</v>
      </c>
      <c r="R18" s="7"/>
      <c r="S18" s="7"/>
      <c r="T18" s="7"/>
      <c r="U18" s="7"/>
      <c r="V18" s="7"/>
      <c r="W18" s="7"/>
      <c r="X18" s="7"/>
      <c r="Y18" s="7"/>
      <c r="Z18" s="7"/>
    </row>
    <row r="19" spans="1:26" ht="9" customHeight="1" x14ac:dyDescent="0.2">
      <c r="A19" s="95"/>
      <c r="B19" s="95"/>
      <c r="C19" s="34" t="s">
        <v>37</v>
      </c>
      <c r="D19" s="35">
        <v>12</v>
      </c>
      <c r="E19" s="36">
        <v>0</v>
      </c>
      <c r="F19" s="36">
        <v>0</v>
      </c>
      <c r="G19" s="36">
        <v>0</v>
      </c>
      <c r="H19" s="36">
        <v>0</v>
      </c>
      <c r="I19" s="36">
        <v>0</v>
      </c>
      <c r="J19" s="37">
        <v>0</v>
      </c>
      <c r="K19" s="36">
        <v>0</v>
      </c>
      <c r="L19" s="38">
        <v>0</v>
      </c>
      <c r="M19" s="39"/>
      <c r="N19" s="36">
        <v>0</v>
      </c>
      <c r="O19" s="36">
        <v>0</v>
      </c>
      <c r="P19" s="36">
        <v>0</v>
      </c>
      <c r="Q19" s="36">
        <f>Q18*1936.27</f>
        <v>0</v>
      </c>
      <c r="R19" s="7"/>
      <c r="S19" s="7"/>
      <c r="T19" s="7"/>
      <c r="U19" s="7"/>
      <c r="V19" s="7"/>
      <c r="W19" s="7"/>
      <c r="X19" s="7"/>
      <c r="Y19" s="7"/>
      <c r="Z19" s="7"/>
    </row>
    <row r="20" spans="1:26" ht="12.75" customHeight="1" x14ac:dyDescent="0.2">
      <c r="A20" s="95"/>
      <c r="B20" s="95"/>
      <c r="C20" s="40" t="s">
        <v>36</v>
      </c>
      <c r="D20" s="41">
        <v>13</v>
      </c>
      <c r="E20" s="42">
        <v>0</v>
      </c>
      <c r="F20" s="42">
        <v>0</v>
      </c>
      <c r="G20" s="42">
        <v>0</v>
      </c>
      <c r="H20" s="42">
        <v>0</v>
      </c>
      <c r="I20" s="42">
        <v>0</v>
      </c>
      <c r="J20" s="42">
        <v>0</v>
      </c>
      <c r="K20" s="43">
        <v>0</v>
      </c>
      <c r="L20" s="32">
        <v>0</v>
      </c>
      <c r="M20" s="33"/>
      <c r="N20" s="30">
        <v>0</v>
      </c>
      <c r="O20" s="30">
        <v>0</v>
      </c>
      <c r="P20" s="30"/>
      <c r="Q20" s="30">
        <f>(N20+O20*0.18+J20)+(IF((P20-O20*0.18)&gt;0,(P20-O20*0.18),0))</f>
        <v>0</v>
      </c>
      <c r="R20" s="7"/>
      <c r="S20" s="7"/>
      <c r="T20" s="7"/>
      <c r="U20" s="7"/>
      <c r="V20" s="7"/>
      <c r="W20" s="7"/>
      <c r="X20" s="7"/>
      <c r="Y20" s="7"/>
      <c r="Z20" s="7"/>
    </row>
    <row r="21" spans="1:26" ht="9" customHeight="1" x14ac:dyDescent="0.2">
      <c r="A21" s="95"/>
      <c r="B21" s="95"/>
      <c r="C21" s="34" t="s">
        <v>37</v>
      </c>
      <c r="D21" s="35">
        <v>14</v>
      </c>
      <c r="E21" s="36">
        <v>0</v>
      </c>
      <c r="F21" s="36">
        <v>0</v>
      </c>
      <c r="G21" s="36">
        <v>0</v>
      </c>
      <c r="H21" s="36">
        <v>0</v>
      </c>
      <c r="I21" s="36">
        <v>0</v>
      </c>
      <c r="J21" s="37">
        <v>0</v>
      </c>
      <c r="K21" s="36">
        <v>0</v>
      </c>
      <c r="L21" s="38">
        <v>0</v>
      </c>
      <c r="M21" s="39"/>
      <c r="N21" s="36">
        <v>0</v>
      </c>
      <c r="O21" s="36">
        <v>0</v>
      </c>
      <c r="P21" s="36">
        <v>0</v>
      </c>
      <c r="Q21" s="36">
        <f>Q20*1936.27</f>
        <v>0</v>
      </c>
      <c r="R21" s="7"/>
      <c r="S21" s="7"/>
      <c r="T21" s="7"/>
      <c r="U21" s="7"/>
      <c r="V21" s="7"/>
      <c r="W21" s="7"/>
      <c r="X21" s="7"/>
      <c r="Y21" s="7"/>
      <c r="Z21" s="7"/>
    </row>
    <row r="22" spans="1:26" ht="12.75" customHeight="1" x14ac:dyDescent="0.2">
      <c r="A22" s="95"/>
      <c r="B22" s="95"/>
      <c r="C22" s="40" t="s">
        <v>36</v>
      </c>
      <c r="D22" s="41">
        <v>15</v>
      </c>
      <c r="E22" s="42">
        <v>0</v>
      </c>
      <c r="F22" s="42">
        <v>0</v>
      </c>
      <c r="G22" s="42">
        <v>0</v>
      </c>
      <c r="H22" s="42">
        <v>0</v>
      </c>
      <c r="I22" s="42">
        <v>0</v>
      </c>
      <c r="J22" s="42">
        <v>0</v>
      </c>
      <c r="K22" s="43">
        <v>0</v>
      </c>
      <c r="L22" s="32">
        <v>0</v>
      </c>
      <c r="M22" s="33"/>
      <c r="N22" s="30">
        <v>0</v>
      </c>
      <c r="O22" s="30">
        <v>0</v>
      </c>
      <c r="P22" s="30"/>
      <c r="Q22" s="30">
        <f>(N22+O22*0.18+J22)+(IF((P22-O22*0.18)&gt;0,(P22-O22*0.18),0))</f>
        <v>0</v>
      </c>
      <c r="R22" s="7"/>
      <c r="S22" s="7"/>
      <c r="T22" s="7"/>
      <c r="U22" s="7"/>
      <c r="V22" s="7"/>
      <c r="W22" s="7"/>
      <c r="X22" s="7"/>
      <c r="Y22" s="7"/>
      <c r="Z22" s="7"/>
    </row>
    <row r="23" spans="1:26" ht="9" customHeight="1" x14ac:dyDescent="0.2">
      <c r="A23" s="95"/>
      <c r="B23" s="95"/>
      <c r="C23" s="34" t="s">
        <v>37</v>
      </c>
      <c r="D23" s="35">
        <v>16</v>
      </c>
      <c r="E23" s="36">
        <v>0</v>
      </c>
      <c r="F23" s="36">
        <v>0</v>
      </c>
      <c r="G23" s="36">
        <v>0</v>
      </c>
      <c r="H23" s="36">
        <v>0</v>
      </c>
      <c r="I23" s="36">
        <v>0</v>
      </c>
      <c r="J23" s="37">
        <v>0</v>
      </c>
      <c r="K23" s="36">
        <v>0</v>
      </c>
      <c r="L23" s="38">
        <v>0</v>
      </c>
      <c r="M23" s="39"/>
      <c r="N23" s="36">
        <v>0</v>
      </c>
      <c r="O23" s="36">
        <v>0</v>
      </c>
      <c r="P23" s="36">
        <v>0</v>
      </c>
      <c r="Q23" s="36">
        <f>Q22*1936.27</f>
        <v>0</v>
      </c>
      <c r="R23" s="7"/>
      <c r="S23" s="7"/>
      <c r="T23" s="7"/>
      <c r="U23" s="7"/>
      <c r="V23" s="7"/>
      <c r="W23" s="7"/>
      <c r="X23" s="7"/>
      <c r="Y23" s="7"/>
      <c r="Z23" s="7"/>
    </row>
    <row r="24" spans="1:26" ht="12.75" customHeight="1" x14ac:dyDescent="0.2">
      <c r="A24" s="95"/>
      <c r="B24" s="95"/>
      <c r="C24" s="40" t="s">
        <v>36</v>
      </c>
      <c r="D24" s="41">
        <v>17</v>
      </c>
      <c r="E24" s="42">
        <v>0</v>
      </c>
      <c r="F24" s="42">
        <v>0</v>
      </c>
      <c r="G24" s="42">
        <v>0</v>
      </c>
      <c r="H24" s="42">
        <v>0</v>
      </c>
      <c r="I24" s="42">
        <v>0</v>
      </c>
      <c r="J24" s="42">
        <v>0</v>
      </c>
      <c r="K24" s="43">
        <v>0</v>
      </c>
      <c r="L24" s="32">
        <v>0</v>
      </c>
      <c r="M24" s="33"/>
      <c r="N24" s="30">
        <v>0</v>
      </c>
      <c r="O24" s="30">
        <v>0</v>
      </c>
      <c r="P24" s="30"/>
      <c r="Q24" s="30">
        <f>(N24+O24*0.18+J24)+(IF((P24-O24*0.18)&gt;0,(P24-O24*0.18),0))</f>
        <v>0</v>
      </c>
      <c r="R24" s="7"/>
      <c r="S24" s="7"/>
      <c r="T24" s="7"/>
      <c r="U24" s="7"/>
      <c r="V24" s="7"/>
      <c r="W24" s="7"/>
      <c r="X24" s="7"/>
      <c r="Y24" s="7"/>
      <c r="Z24" s="7"/>
    </row>
    <row r="25" spans="1:26" ht="9" customHeight="1" x14ac:dyDescent="0.2">
      <c r="A25" s="95"/>
      <c r="B25" s="95"/>
      <c r="C25" s="34" t="s">
        <v>37</v>
      </c>
      <c r="D25" s="35">
        <v>17</v>
      </c>
      <c r="E25" s="36">
        <v>0</v>
      </c>
      <c r="F25" s="36">
        <v>0</v>
      </c>
      <c r="G25" s="36">
        <v>0</v>
      </c>
      <c r="H25" s="36">
        <v>0</v>
      </c>
      <c r="I25" s="36">
        <v>0</v>
      </c>
      <c r="J25" s="37">
        <v>0</v>
      </c>
      <c r="K25" s="36">
        <v>0</v>
      </c>
      <c r="L25" s="38">
        <v>0</v>
      </c>
      <c r="M25" s="39"/>
      <c r="N25" s="36">
        <v>0</v>
      </c>
      <c r="O25" s="36">
        <v>0</v>
      </c>
      <c r="P25" s="36">
        <v>0</v>
      </c>
      <c r="Q25" s="36">
        <f>Q24*1936.27</f>
        <v>0</v>
      </c>
      <c r="R25" s="7"/>
      <c r="S25" s="7"/>
      <c r="T25" s="7"/>
      <c r="U25" s="7"/>
      <c r="V25" s="7"/>
      <c r="W25" s="7"/>
      <c r="X25" s="7"/>
      <c r="Y25" s="7"/>
      <c r="Z25" s="7"/>
    </row>
    <row r="26" spans="1:26" ht="12.75" customHeight="1" x14ac:dyDescent="0.2">
      <c r="A26" s="95"/>
      <c r="B26" s="95"/>
      <c r="C26" s="40" t="s">
        <v>36</v>
      </c>
      <c r="D26" s="41">
        <v>18</v>
      </c>
      <c r="E26" s="42">
        <v>0</v>
      </c>
      <c r="F26" s="42">
        <v>0</v>
      </c>
      <c r="G26" s="42">
        <v>0</v>
      </c>
      <c r="H26" s="42">
        <v>0</v>
      </c>
      <c r="I26" s="42">
        <v>0</v>
      </c>
      <c r="J26" s="42">
        <v>0</v>
      </c>
      <c r="K26" s="43">
        <v>0</v>
      </c>
      <c r="L26" s="32">
        <v>0</v>
      </c>
      <c r="M26" s="33"/>
      <c r="N26" s="30">
        <v>0</v>
      </c>
      <c r="O26" s="30">
        <v>0</v>
      </c>
      <c r="P26" s="30"/>
      <c r="Q26" s="30">
        <f>(N26+O26*0.18+J26)+(IF((P26-O26*0.18)&gt;0,(P26-O26*0.18),0))</f>
        <v>0</v>
      </c>
      <c r="R26" s="7"/>
      <c r="S26" s="7"/>
      <c r="T26" s="7"/>
      <c r="U26" s="7"/>
      <c r="V26" s="7"/>
      <c r="W26" s="7"/>
      <c r="X26" s="7"/>
      <c r="Y26" s="7"/>
      <c r="Z26" s="7"/>
    </row>
    <row r="27" spans="1:26" ht="9" customHeight="1" x14ac:dyDescent="0.2">
      <c r="A27" s="95"/>
      <c r="B27" s="95"/>
      <c r="C27" s="34" t="s">
        <v>37</v>
      </c>
      <c r="D27" s="35">
        <v>19</v>
      </c>
      <c r="E27" s="36">
        <v>0</v>
      </c>
      <c r="F27" s="36">
        <v>0</v>
      </c>
      <c r="G27" s="36">
        <v>0</v>
      </c>
      <c r="H27" s="36">
        <v>0</v>
      </c>
      <c r="I27" s="36">
        <v>0</v>
      </c>
      <c r="J27" s="37">
        <v>0</v>
      </c>
      <c r="K27" s="36">
        <v>0</v>
      </c>
      <c r="L27" s="38">
        <v>0</v>
      </c>
      <c r="M27" s="39"/>
      <c r="N27" s="36">
        <v>0</v>
      </c>
      <c r="O27" s="36">
        <v>0</v>
      </c>
      <c r="P27" s="36">
        <v>0</v>
      </c>
      <c r="Q27" s="36">
        <f>Q26*1936.27</f>
        <v>0</v>
      </c>
      <c r="R27" s="7"/>
      <c r="S27" s="7"/>
      <c r="T27" s="7"/>
      <c r="U27" s="7"/>
      <c r="V27" s="7"/>
      <c r="W27" s="7"/>
      <c r="X27" s="7"/>
      <c r="Y27" s="7"/>
      <c r="Z27" s="7"/>
    </row>
    <row r="28" spans="1:26" ht="12.75" customHeight="1" x14ac:dyDescent="0.2">
      <c r="A28" s="95"/>
      <c r="B28" s="95"/>
      <c r="C28" s="40" t="s">
        <v>36</v>
      </c>
      <c r="D28" s="41">
        <v>20</v>
      </c>
      <c r="E28" s="42">
        <v>0</v>
      </c>
      <c r="F28" s="42">
        <v>0</v>
      </c>
      <c r="G28" s="42">
        <v>0</v>
      </c>
      <c r="H28" s="42">
        <v>0</v>
      </c>
      <c r="I28" s="42">
        <v>0</v>
      </c>
      <c r="J28" s="42">
        <v>0</v>
      </c>
      <c r="K28" s="43">
        <v>0</v>
      </c>
      <c r="L28" s="32">
        <v>0</v>
      </c>
      <c r="M28" s="33"/>
      <c r="N28" s="30">
        <v>0</v>
      </c>
      <c r="O28" s="30">
        <v>0</v>
      </c>
      <c r="P28" s="30"/>
      <c r="Q28" s="30">
        <f>(N28+O28*0.18+J28)+(IF((P28-O28*0.18)&gt;0,(P28-O28*0.18),0))</f>
        <v>0</v>
      </c>
      <c r="R28" s="7"/>
      <c r="S28" s="7"/>
      <c r="T28" s="7"/>
      <c r="U28" s="7"/>
      <c r="V28" s="7"/>
      <c r="W28" s="7"/>
      <c r="X28" s="7"/>
      <c r="Y28" s="7"/>
      <c r="Z28" s="7"/>
    </row>
    <row r="29" spans="1:26" ht="9" customHeight="1" x14ac:dyDescent="0.2">
      <c r="A29" s="95"/>
      <c r="B29" s="95"/>
      <c r="C29" s="34" t="s">
        <v>37</v>
      </c>
      <c r="D29" s="35">
        <v>21</v>
      </c>
      <c r="E29" s="36">
        <v>0</v>
      </c>
      <c r="F29" s="36">
        <v>0</v>
      </c>
      <c r="G29" s="36">
        <v>0</v>
      </c>
      <c r="H29" s="36">
        <v>0</v>
      </c>
      <c r="I29" s="36">
        <v>0</v>
      </c>
      <c r="J29" s="37">
        <v>0</v>
      </c>
      <c r="K29" s="36">
        <v>0</v>
      </c>
      <c r="L29" s="38">
        <v>0</v>
      </c>
      <c r="M29" s="39"/>
      <c r="N29" s="36">
        <v>0</v>
      </c>
      <c r="O29" s="36">
        <v>0</v>
      </c>
      <c r="P29" s="36">
        <v>0</v>
      </c>
      <c r="Q29" s="36">
        <f>Q28*1936.27</f>
        <v>0</v>
      </c>
      <c r="R29" s="7"/>
      <c r="S29" s="7"/>
      <c r="T29" s="7"/>
      <c r="U29" s="7"/>
      <c r="V29" s="7"/>
      <c r="W29" s="7"/>
      <c r="X29" s="7"/>
      <c r="Y29" s="7"/>
      <c r="Z29" s="7"/>
    </row>
    <row r="30" spans="1:26" ht="12.75" customHeight="1" x14ac:dyDescent="0.2">
      <c r="A30" s="95"/>
      <c r="B30" s="95"/>
      <c r="C30" s="40" t="s">
        <v>36</v>
      </c>
      <c r="D30" s="41">
        <v>22</v>
      </c>
      <c r="E30" s="42">
        <v>0</v>
      </c>
      <c r="F30" s="42">
        <v>0</v>
      </c>
      <c r="G30" s="42">
        <v>0</v>
      </c>
      <c r="H30" s="42">
        <v>0</v>
      </c>
      <c r="I30" s="42">
        <v>0</v>
      </c>
      <c r="J30" s="42">
        <v>0</v>
      </c>
      <c r="K30" s="43">
        <v>0</v>
      </c>
      <c r="L30" s="32">
        <v>0</v>
      </c>
      <c r="M30" s="33"/>
      <c r="N30" s="30">
        <v>0</v>
      </c>
      <c r="O30" s="30">
        <v>0</v>
      </c>
      <c r="P30" s="30"/>
      <c r="Q30" s="30">
        <f>(N30+O30*0.18+J30)+(IF((P30-O30*0.18)&gt;0,(P30-O30*0.18),0))</f>
        <v>0</v>
      </c>
      <c r="R30" s="7"/>
      <c r="S30" s="7"/>
      <c r="T30" s="7"/>
      <c r="U30" s="7"/>
      <c r="V30" s="7"/>
      <c r="W30" s="7"/>
      <c r="X30" s="7"/>
      <c r="Y30" s="7"/>
      <c r="Z30" s="7"/>
    </row>
    <row r="31" spans="1:26" ht="9" customHeight="1" x14ac:dyDescent="0.2">
      <c r="A31" s="95"/>
      <c r="B31" s="95"/>
      <c r="C31" s="34" t="s">
        <v>37</v>
      </c>
      <c r="D31" s="35">
        <v>23</v>
      </c>
      <c r="E31" s="36">
        <v>0</v>
      </c>
      <c r="F31" s="36">
        <v>0</v>
      </c>
      <c r="G31" s="36">
        <v>0</v>
      </c>
      <c r="H31" s="36">
        <v>0</v>
      </c>
      <c r="I31" s="36">
        <v>0</v>
      </c>
      <c r="J31" s="37">
        <v>0</v>
      </c>
      <c r="K31" s="36">
        <v>0</v>
      </c>
      <c r="L31" s="38">
        <v>0</v>
      </c>
      <c r="M31" s="39"/>
      <c r="N31" s="36">
        <v>0</v>
      </c>
      <c r="O31" s="36">
        <v>0</v>
      </c>
      <c r="P31" s="36">
        <v>0</v>
      </c>
      <c r="Q31" s="36">
        <f>Q30*1936.27</f>
        <v>0</v>
      </c>
      <c r="R31" s="7"/>
      <c r="S31" s="7"/>
      <c r="T31" s="7"/>
      <c r="U31" s="7"/>
      <c r="V31" s="7"/>
      <c r="W31" s="7"/>
      <c r="X31" s="7"/>
      <c r="Y31" s="7"/>
      <c r="Z31" s="7"/>
    </row>
    <row r="32" spans="1:26" ht="12.75" customHeight="1" x14ac:dyDescent="0.2">
      <c r="A32" s="95"/>
      <c r="B32" s="95"/>
      <c r="C32" s="40" t="s">
        <v>36</v>
      </c>
      <c r="D32" s="41">
        <v>24</v>
      </c>
      <c r="E32" s="42">
        <v>0</v>
      </c>
      <c r="F32" s="42">
        <v>0</v>
      </c>
      <c r="G32" s="42">
        <v>0</v>
      </c>
      <c r="H32" s="42">
        <v>0</v>
      </c>
      <c r="I32" s="42">
        <v>0</v>
      </c>
      <c r="J32" s="42">
        <v>0</v>
      </c>
      <c r="K32" s="43">
        <v>0</v>
      </c>
      <c r="L32" s="32">
        <v>0</v>
      </c>
      <c r="M32" s="33"/>
      <c r="N32" s="30">
        <v>0</v>
      </c>
      <c r="O32" s="30">
        <v>0</v>
      </c>
      <c r="P32" s="30"/>
      <c r="Q32" s="30">
        <f>(N32+O32*0.18+J32)+(IF((P32-O32*0.18)&gt;0,(P32-O32*0.18),0))</f>
        <v>0</v>
      </c>
      <c r="R32" s="7"/>
      <c r="S32" s="7"/>
      <c r="T32" s="7"/>
      <c r="U32" s="7"/>
      <c r="V32" s="7"/>
      <c r="W32" s="7"/>
      <c r="X32" s="7"/>
      <c r="Y32" s="7"/>
      <c r="Z32" s="7"/>
    </row>
    <row r="33" spans="1:26" ht="9" customHeight="1" x14ac:dyDescent="0.2">
      <c r="A33" s="95"/>
      <c r="B33" s="95"/>
      <c r="C33" s="34" t="s">
        <v>37</v>
      </c>
      <c r="D33" s="35">
        <v>25</v>
      </c>
      <c r="E33" s="36">
        <v>0</v>
      </c>
      <c r="F33" s="36">
        <v>0</v>
      </c>
      <c r="G33" s="36">
        <v>0</v>
      </c>
      <c r="H33" s="36">
        <v>0</v>
      </c>
      <c r="I33" s="36">
        <v>0</v>
      </c>
      <c r="J33" s="37">
        <v>0</v>
      </c>
      <c r="K33" s="36">
        <v>0</v>
      </c>
      <c r="L33" s="38">
        <v>0</v>
      </c>
      <c r="M33" s="39"/>
      <c r="N33" s="36">
        <v>0</v>
      </c>
      <c r="O33" s="36">
        <v>0</v>
      </c>
      <c r="P33" s="36">
        <v>0</v>
      </c>
      <c r="Q33" s="36">
        <f>Q32*1936.27</f>
        <v>0</v>
      </c>
      <c r="R33" s="7"/>
      <c r="S33" s="7"/>
      <c r="T33" s="7"/>
      <c r="U33" s="7"/>
      <c r="V33" s="7"/>
      <c r="W33" s="7"/>
      <c r="X33" s="7"/>
      <c r="Y33" s="7"/>
      <c r="Z33" s="7"/>
    </row>
    <row r="34" spans="1:26" ht="12.75" customHeight="1" x14ac:dyDescent="0.2">
      <c r="A34" s="95"/>
      <c r="B34" s="95"/>
      <c r="C34" s="40" t="s">
        <v>36</v>
      </c>
      <c r="D34" s="41">
        <v>26</v>
      </c>
      <c r="E34" s="42">
        <v>0</v>
      </c>
      <c r="F34" s="42">
        <v>0</v>
      </c>
      <c r="G34" s="42">
        <v>0</v>
      </c>
      <c r="H34" s="42">
        <v>0</v>
      </c>
      <c r="I34" s="42">
        <v>0</v>
      </c>
      <c r="J34" s="42">
        <v>0</v>
      </c>
      <c r="K34" s="43">
        <v>0</v>
      </c>
      <c r="L34" s="32">
        <v>0</v>
      </c>
      <c r="M34" s="33"/>
      <c r="N34" s="30">
        <v>0</v>
      </c>
      <c r="O34" s="30">
        <v>0</v>
      </c>
      <c r="P34" s="30"/>
      <c r="Q34" s="30">
        <f>(N34+O34*0.18+J34)+(IF((P34-O34*0.18)&gt;0,(P34-O34*0.18),0))</f>
        <v>0</v>
      </c>
      <c r="R34" s="7"/>
      <c r="S34" s="7"/>
      <c r="T34" s="7"/>
      <c r="U34" s="7"/>
      <c r="V34" s="7"/>
      <c r="W34" s="7"/>
      <c r="X34" s="7"/>
      <c r="Y34" s="7"/>
      <c r="Z34" s="7"/>
    </row>
    <row r="35" spans="1:26" ht="9" customHeight="1" x14ac:dyDescent="0.2">
      <c r="A35" s="95"/>
      <c r="B35" s="95"/>
      <c r="C35" s="34" t="s">
        <v>37</v>
      </c>
      <c r="D35" s="35">
        <v>27</v>
      </c>
      <c r="E35" s="36">
        <v>0</v>
      </c>
      <c r="F35" s="36">
        <v>0</v>
      </c>
      <c r="G35" s="36">
        <v>0</v>
      </c>
      <c r="H35" s="36">
        <v>0</v>
      </c>
      <c r="I35" s="36">
        <v>0</v>
      </c>
      <c r="J35" s="37">
        <v>0</v>
      </c>
      <c r="K35" s="36">
        <v>0</v>
      </c>
      <c r="L35" s="38">
        <v>0</v>
      </c>
      <c r="M35" s="39"/>
      <c r="N35" s="36">
        <v>0</v>
      </c>
      <c r="O35" s="36">
        <v>0</v>
      </c>
      <c r="P35" s="36">
        <v>0</v>
      </c>
      <c r="Q35" s="36">
        <f>Q34*1936.27</f>
        <v>0</v>
      </c>
      <c r="R35" s="7"/>
      <c r="S35" s="7"/>
      <c r="T35" s="7"/>
      <c r="U35" s="7"/>
      <c r="V35" s="7"/>
      <c r="W35" s="7"/>
      <c r="X35" s="7"/>
      <c r="Y35" s="7"/>
      <c r="Z35" s="7"/>
    </row>
    <row r="36" spans="1:26" ht="12.75" customHeight="1" x14ac:dyDescent="0.2">
      <c r="A36" s="95"/>
      <c r="B36" s="95"/>
      <c r="C36" s="40" t="s">
        <v>36</v>
      </c>
      <c r="D36" s="41">
        <v>28</v>
      </c>
      <c r="E36" s="42">
        <v>0</v>
      </c>
      <c r="F36" s="42">
        <v>0</v>
      </c>
      <c r="G36" s="42">
        <v>0</v>
      </c>
      <c r="H36" s="42">
        <v>0</v>
      </c>
      <c r="I36" s="42">
        <v>0</v>
      </c>
      <c r="J36" s="42">
        <v>0</v>
      </c>
      <c r="K36" s="43">
        <v>0</v>
      </c>
      <c r="L36" s="32">
        <v>0</v>
      </c>
      <c r="M36" s="33"/>
      <c r="N36" s="30">
        <v>0</v>
      </c>
      <c r="O36" s="30">
        <v>0</v>
      </c>
      <c r="P36" s="30"/>
      <c r="Q36" s="30">
        <f>(N36+O36*0.18+J36)+(IF((P36-O36*0.18)&gt;0,(P36-O36*0.18),0))</f>
        <v>0</v>
      </c>
      <c r="R36" s="7"/>
      <c r="S36" s="7"/>
      <c r="T36" s="7"/>
      <c r="U36" s="7"/>
      <c r="V36" s="7"/>
      <c r="W36" s="7"/>
      <c r="X36" s="7"/>
      <c r="Y36" s="7"/>
      <c r="Z36" s="7"/>
    </row>
    <row r="37" spans="1:26" ht="9" customHeight="1" x14ac:dyDescent="0.2">
      <c r="A37" s="95"/>
      <c r="B37" s="95"/>
      <c r="C37" s="34" t="s">
        <v>37</v>
      </c>
      <c r="D37" s="35">
        <v>29</v>
      </c>
      <c r="E37" s="36">
        <v>0</v>
      </c>
      <c r="F37" s="36">
        <v>0</v>
      </c>
      <c r="G37" s="36">
        <v>0</v>
      </c>
      <c r="H37" s="36">
        <v>0</v>
      </c>
      <c r="I37" s="36">
        <v>0</v>
      </c>
      <c r="J37" s="37">
        <v>0</v>
      </c>
      <c r="K37" s="36">
        <v>0</v>
      </c>
      <c r="L37" s="38">
        <v>0</v>
      </c>
      <c r="M37" s="39"/>
      <c r="N37" s="36">
        <v>0</v>
      </c>
      <c r="O37" s="36">
        <v>0</v>
      </c>
      <c r="P37" s="36">
        <v>0</v>
      </c>
      <c r="Q37" s="36">
        <f>Q36*1936.27</f>
        <v>0</v>
      </c>
      <c r="R37" s="7"/>
      <c r="S37" s="7"/>
      <c r="T37" s="7"/>
      <c r="U37" s="7"/>
      <c r="V37" s="7"/>
      <c r="W37" s="7"/>
      <c r="X37" s="7"/>
      <c r="Y37" s="7"/>
      <c r="Z37" s="7"/>
    </row>
    <row r="38" spans="1:26" ht="12.75" customHeight="1" x14ac:dyDescent="0.2">
      <c r="A38" s="95"/>
      <c r="B38" s="95"/>
      <c r="C38" s="40" t="s">
        <v>36</v>
      </c>
      <c r="D38" s="41">
        <v>30</v>
      </c>
      <c r="E38" s="42">
        <v>0</v>
      </c>
      <c r="F38" s="42">
        <v>0</v>
      </c>
      <c r="G38" s="42">
        <v>0</v>
      </c>
      <c r="H38" s="42">
        <v>0</v>
      </c>
      <c r="I38" s="42">
        <v>0</v>
      </c>
      <c r="J38" s="42">
        <v>0</v>
      </c>
      <c r="K38" s="43">
        <v>0</v>
      </c>
      <c r="L38" s="32">
        <v>0</v>
      </c>
      <c r="M38" s="33"/>
      <c r="N38" s="30">
        <v>0</v>
      </c>
      <c r="O38" s="30">
        <v>0</v>
      </c>
      <c r="P38" s="30"/>
      <c r="Q38" s="30">
        <f>(N38+O38*0.18+J38)+(IF((P38-O38*0.18)&gt;0,(P38-O38*0.18),0))</f>
        <v>0</v>
      </c>
      <c r="R38" s="7"/>
      <c r="S38" s="7"/>
      <c r="T38" s="7"/>
      <c r="U38" s="7"/>
      <c r="V38" s="7"/>
      <c r="W38" s="7"/>
      <c r="X38" s="7"/>
      <c r="Y38" s="7"/>
      <c r="Z38" s="7"/>
    </row>
    <row r="39" spans="1:26" ht="9" customHeight="1" x14ac:dyDescent="0.2">
      <c r="A39" s="95"/>
      <c r="B39" s="95"/>
      <c r="C39" s="34" t="s">
        <v>37</v>
      </c>
      <c r="D39" s="35">
        <v>33</v>
      </c>
      <c r="E39" s="36">
        <v>0</v>
      </c>
      <c r="F39" s="36">
        <v>0</v>
      </c>
      <c r="G39" s="36">
        <v>0</v>
      </c>
      <c r="H39" s="36">
        <v>0</v>
      </c>
      <c r="I39" s="36">
        <v>0</v>
      </c>
      <c r="J39" s="37">
        <v>0</v>
      </c>
      <c r="K39" s="36">
        <v>0</v>
      </c>
      <c r="L39" s="38">
        <v>0</v>
      </c>
      <c r="M39" s="39"/>
      <c r="N39" s="36">
        <v>0</v>
      </c>
      <c r="O39" s="36">
        <v>0</v>
      </c>
      <c r="P39" s="36">
        <v>0</v>
      </c>
      <c r="Q39" s="36">
        <f>Q38*1936.27</f>
        <v>0</v>
      </c>
      <c r="R39" s="7"/>
      <c r="S39" s="7"/>
      <c r="T39" s="7"/>
      <c r="U39" s="7"/>
      <c r="V39" s="7"/>
      <c r="W39" s="7"/>
      <c r="X39" s="7"/>
      <c r="Y39" s="7"/>
      <c r="Z39" s="7"/>
    </row>
    <row r="40" spans="1:26" ht="12.75" customHeight="1" x14ac:dyDescent="0.2">
      <c r="A40" s="95"/>
      <c r="B40" s="95"/>
      <c r="C40" s="40" t="s">
        <v>36</v>
      </c>
      <c r="D40" s="41">
        <v>34</v>
      </c>
      <c r="E40" s="42">
        <v>0</v>
      </c>
      <c r="F40" s="42">
        <v>0</v>
      </c>
      <c r="G40" s="42">
        <v>0</v>
      </c>
      <c r="H40" s="42">
        <v>0</v>
      </c>
      <c r="I40" s="42">
        <v>0</v>
      </c>
      <c r="J40" s="42">
        <v>0</v>
      </c>
      <c r="K40" s="43">
        <v>0</v>
      </c>
      <c r="L40" s="32">
        <v>0</v>
      </c>
      <c r="M40" s="33"/>
      <c r="N40" s="30">
        <v>0</v>
      </c>
      <c r="O40" s="30">
        <v>0</v>
      </c>
      <c r="P40" s="30"/>
      <c r="Q40" s="30">
        <f>(N40+O40*0.18+J40)+(IF((P40-O40*0.18)&gt;0,(P40-O40*0.18),0))</f>
        <v>0</v>
      </c>
      <c r="R40" s="7"/>
      <c r="S40" s="7"/>
      <c r="T40" s="7"/>
      <c r="U40" s="7"/>
      <c r="V40" s="7"/>
      <c r="W40" s="7"/>
      <c r="X40" s="7"/>
      <c r="Y40" s="7"/>
      <c r="Z40" s="7"/>
    </row>
    <row r="41" spans="1:26" ht="9" customHeight="1" x14ac:dyDescent="0.2">
      <c r="A41" s="95"/>
      <c r="B41" s="95"/>
      <c r="C41" s="34" t="s">
        <v>37</v>
      </c>
      <c r="D41" s="35">
        <v>35</v>
      </c>
      <c r="E41" s="36">
        <v>0</v>
      </c>
      <c r="F41" s="36">
        <v>0</v>
      </c>
      <c r="G41" s="36">
        <v>0</v>
      </c>
      <c r="H41" s="36">
        <v>0</v>
      </c>
      <c r="I41" s="36">
        <v>0</v>
      </c>
      <c r="J41" s="37">
        <v>0</v>
      </c>
      <c r="K41" s="36">
        <v>0</v>
      </c>
      <c r="L41" s="38">
        <v>0</v>
      </c>
      <c r="M41" s="39"/>
      <c r="N41" s="36">
        <v>0</v>
      </c>
      <c r="O41" s="36">
        <v>0</v>
      </c>
      <c r="P41" s="36">
        <v>0</v>
      </c>
      <c r="Q41" s="36">
        <f>Q40*1936.27</f>
        <v>0</v>
      </c>
      <c r="R41" s="7"/>
      <c r="S41" s="7"/>
      <c r="T41" s="7"/>
      <c r="U41" s="7"/>
      <c r="V41" s="7"/>
      <c r="W41" s="7"/>
      <c r="X41" s="7"/>
      <c r="Y41" s="7"/>
      <c r="Z41" s="7"/>
    </row>
    <row r="42" spans="1:26" ht="12.75" customHeight="1" x14ac:dyDescent="0.2">
      <c r="A42" s="95"/>
      <c r="B42" s="95"/>
      <c r="C42" s="40" t="s">
        <v>36</v>
      </c>
      <c r="D42" s="41">
        <v>36</v>
      </c>
      <c r="E42" s="42">
        <v>0</v>
      </c>
      <c r="F42" s="42">
        <v>0</v>
      </c>
      <c r="G42" s="42">
        <v>0</v>
      </c>
      <c r="H42" s="42">
        <v>0</v>
      </c>
      <c r="I42" s="42">
        <v>0</v>
      </c>
      <c r="J42" s="42">
        <v>0</v>
      </c>
      <c r="K42" s="43">
        <v>0</v>
      </c>
      <c r="L42" s="32">
        <v>0</v>
      </c>
      <c r="M42" s="33"/>
      <c r="N42" s="30">
        <v>0</v>
      </c>
      <c r="O42" s="30">
        <v>0</v>
      </c>
      <c r="P42" s="30"/>
      <c r="Q42" s="30">
        <f>(N42+O42*0.18+J42)+(IF((P42-O42*0.18)&gt;0,(P42-O42*0.18),0))</f>
        <v>0</v>
      </c>
      <c r="R42" s="7"/>
      <c r="S42" s="7"/>
      <c r="T42" s="7"/>
      <c r="U42" s="7"/>
      <c r="V42" s="7"/>
      <c r="W42" s="7"/>
      <c r="X42" s="7"/>
      <c r="Y42" s="7"/>
      <c r="Z42" s="7"/>
    </row>
    <row r="43" spans="1:26" ht="9" customHeight="1" x14ac:dyDescent="0.2">
      <c r="A43" s="95"/>
      <c r="B43" s="95"/>
      <c r="C43" s="34" t="s">
        <v>37</v>
      </c>
      <c r="D43" s="35">
        <v>37</v>
      </c>
      <c r="E43" s="36">
        <v>0</v>
      </c>
      <c r="F43" s="36">
        <v>0</v>
      </c>
      <c r="G43" s="36">
        <v>0</v>
      </c>
      <c r="H43" s="36">
        <v>0</v>
      </c>
      <c r="I43" s="36">
        <v>0</v>
      </c>
      <c r="J43" s="37">
        <v>0</v>
      </c>
      <c r="K43" s="36">
        <v>0</v>
      </c>
      <c r="L43" s="38">
        <v>0</v>
      </c>
      <c r="M43" s="39"/>
      <c r="N43" s="36">
        <v>0</v>
      </c>
      <c r="O43" s="36">
        <v>0</v>
      </c>
      <c r="P43" s="36">
        <v>0</v>
      </c>
      <c r="Q43" s="36">
        <f>Q42*1936.27</f>
        <v>0</v>
      </c>
      <c r="R43" s="7"/>
      <c r="S43" s="7"/>
      <c r="T43" s="7"/>
      <c r="U43" s="7"/>
      <c r="V43" s="7"/>
      <c r="W43" s="7"/>
      <c r="X43" s="7"/>
      <c r="Y43" s="7"/>
      <c r="Z43" s="7"/>
    </row>
    <row r="44" spans="1:26" ht="12.75" customHeight="1" x14ac:dyDescent="0.2">
      <c r="A44" s="95"/>
      <c r="B44" s="95"/>
      <c r="C44" s="40" t="s">
        <v>36</v>
      </c>
      <c r="D44" s="41">
        <v>38</v>
      </c>
      <c r="E44" s="42">
        <v>0</v>
      </c>
      <c r="F44" s="42">
        <v>0</v>
      </c>
      <c r="G44" s="42">
        <v>0</v>
      </c>
      <c r="H44" s="42">
        <v>0</v>
      </c>
      <c r="I44" s="42">
        <v>0</v>
      </c>
      <c r="J44" s="42">
        <v>0</v>
      </c>
      <c r="K44" s="43">
        <v>0</v>
      </c>
      <c r="L44" s="32">
        <v>0</v>
      </c>
      <c r="M44" s="33"/>
      <c r="N44" s="30">
        <v>0</v>
      </c>
      <c r="O44" s="30">
        <v>0</v>
      </c>
      <c r="P44" s="30"/>
      <c r="Q44" s="30">
        <f>(N44+O44*0.18+J44)+(IF((P44-O44*0.18)&gt;0,(P44-O44*0.18),0))</f>
        <v>0</v>
      </c>
      <c r="R44" s="7"/>
      <c r="S44" s="7"/>
      <c r="T44" s="7"/>
      <c r="U44" s="7"/>
      <c r="V44" s="7"/>
      <c r="W44" s="7"/>
      <c r="X44" s="7"/>
      <c r="Y44" s="7"/>
      <c r="Z44" s="7"/>
    </row>
    <row r="45" spans="1:26" ht="9" customHeight="1" x14ac:dyDescent="0.2">
      <c r="A45" s="95"/>
      <c r="B45" s="95"/>
      <c r="C45" s="34" t="s">
        <v>37</v>
      </c>
      <c r="D45" s="35">
        <v>39</v>
      </c>
      <c r="E45" s="36">
        <v>0</v>
      </c>
      <c r="F45" s="36">
        <v>0</v>
      </c>
      <c r="G45" s="36">
        <v>0</v>
      </c>
      <c r="H45" s="36">
        <v>0</v>
      </c>
      <c r="I45" s="36">
        <v>0</v>
      </c>
      <c r="J45" s="37">
        <v>0</v>
      </c>
      <c r="K45" s="36">
        <v>0</v>
      </c>
      <c r="L45" s="38">
        <v>0</v>
      </c>
      <c r="M45" s="39"/>
      <c r="N45" s="36">
        <v>0</v>
      </c>
      <c r="O45" s="36">
        <v>0</v>
      </c>
      <c r="P45" s="36">
        <v>0</v>
      </c>
      <c r="Q45" s="36">
        <f>Q44*1936.27</f>
        <v>0</v>
      </c>
      <c r="R45" s="7"/>
      <c r="S45" s="7"/>
      <c r="T45" s="7"/>
      <c r="U45" s="7"/>
      <c r="V45" s="7"/>
      <c r="W45" s="7"/>
      <c r="X45" s="7"/>
      <c r="Y45" s="7"/>
      <c r="Z45" s="7"/>
    </row>
    <row r="46" spans="1:26" ht="12.75" customHeight="1" x14ac:dyDescent="0.2">
      <c r="A46" s="95"/>
      <c r="B46" s="95"/>
      <c r="C46" s="40" t="s">
        <v>36</v>
      </c>
      <c r="D46" s="41">
        <v>40</v>
      </c>
      <c r="E46" s="42">
        <v>0</v>
      </c>
      <c r="F46" s="42">
        <v>0</v>
      </c>
      <c r="G46" s="42">
        <v>0</v>
      </c>
      <c r="H46" s="42">
        <v>0</v>
      </c>
      <c r="I46" s="42">
        <v>0</v>
      </c>
      <c r="J46" s="42">
        <v>0</v>
      </c>
      <c r="K46" s="43">
        <v>0</v>
      </c>
      <c r="L46" s="32">
        <v>0</v>
      </c>
      <c r="M46" s="33"/>
      <c r="N46" s="30">
        <v>0</v>
      </c>
      <c r="O46" s="30">
        <v>0</v>
      </c>
      <c r="P46" s="30"/>
      <c r="Q46" s="30">
        <f>(N46+O46*0.18+J46)+(IF((P46-O46*0.18)&gt;0,(P46-O46*0.18),0))</f>
        <v>0</v>
      </c>
      <c r="R46" s="7"/>
      <c r="S46" s="7"/>
      <c r="T46" s="7"/>
      <c r="U46" s="7"/>
      <c r="V46" s="7"/>
      <c r="W46" s="7"/>
      <c r="X46" s="7"/>
      <c r="Y46" s="7"/>
      <c r="Z46" s="7"/>
    </row>
    <row r="47" spans="1:26" ht="9" customHeight="1" x14ac:dyDescent="0.2">
      <c r="A47" s="110"/>
      <c r="B47" s="110"/>
      <c r="C47" s="47"/>
      <c r="D47" s="48"/>
      <c r="E47" s="46">
        <v>0</v>
      </c>
      <c r="F47" s="46">
        <v>0</v>
      </c>
      <c r="G47" s="46">
        <v>0</v>
      </c>
      <c r="H47" s="46">
        <v>0</v>
      </c>
      <c r="I47" s="46">
        <v>0</v>
      </c>
      <c r="J47" s="49">
        <v>0</v>
      </c>
      <c r="K47" s="46">
        <v>0</v>
      </c>
      <c r="L47" s="38">
        <v>0</v>
      </c>
      <c r="M47" s="39"/>
      <c r="N47" s="46">
        <v>0</v>
      </c>
      <c r="O47" s="46">
        <v>0</v>
      </c>
      <c r="P47" s="46">
        <v>0</v>
      </c>
      <c r="Q47" s="36">
        <f>Q46*1936.27</f>
        <v>0</v>
      </c>
      <c r="R47" s="7"/>
      <c r="S47" s="7"/>
      <c r="T47" s="7"/>
      <c r="U47" s="7"/>
      <c r="V47" s="7"/>
      <c r="W47" s="7"/>
      <c r="X47" s="7"/>
      <c r="Y47" s="7"/>
      <c r="Z47" s="7"/>
    </row>
    <row r="48" spans="1:26" ht="12.75" customHeight="1" x14ac:dyDescent="0.2">
      <c r="A48" s="98">
        <v>33178</v>
      </c>
      <c r="B48" s="98">
        <v>33358</v>
      </c>
      <c r="C48" s="28" t="s">
        <v>36</v>
      </c>
      <c r="D48" s="29">
        <v>0</v>
      </c>
      <c r="E48" s="30">
        <v>0</v>
      </c>
      <c r="F48" s="30">
        <v>0</v>
      </c>
      <c r="G48" s="30">
        <v>0</v>
      </c>
      <c r="H48" s="30">
        <v>0</v>
      </c>
      <c r="I48" s="30">
        <v>0</v>
      </c>
      <c r="J48" s="30">
        <v>0</v>
      </c>
      <c r="K48" s="31">
        <v>0</v>
      </c>
      <c r="L48" s="32">
        <v>0</v>
      </c>
      <c r="M48" s="33"/>
      <c r="N48" s="30">
        <v>0</v>
      </c>
      <c r="O48" s="30">
        <v>0</v>
      </c>
      <c r="P48" s="30"/>
      <c r="Q48" s="30">
        <f>(N48+O48*0.18+J48)+(IF((P48-O48*0.18)&gt;0,(P48-O48*0.18),0))</f>
        <v>0</v>
      </c>
      <c r="R48" s="7"/>
      <c r="S48" s="7"/>
      <c r="T48" s="7"/>
      <c r="U48" s="7"/>
      <c r="V48" s="7"/>
      <c r="W48" s="7"/>
      <c r="X48" s="7"/>
      <c r="Y48" s="7"/>
      <c r="Z48" s="7"/>
    </row>
    <row r="49" spans="1:26" ht="9" customHeight="1" x14ac:dyDescent="0.2">
      <c r="A49" s="95"/>
      <c r="B49" s="95"/>
      <c r="C49" s="34" t="s">
        <v>37</v>
      </c>
      <c r="D49" s="35">
        <v>0</v>
      </c>
      <c r="E49" s="36">
        <v>0</v>
      </c>
      <c r="F49" s="36">
        <v>0</v>
      </c>
      <c r="G49" s="36">
        <v>0</v>
      </c>
      <c r="H49" s="36">
        <v>0</v>
      </c>
      <c r="I49" s="36">
        <v>0</v>
      </c>
      <c r="J49" s="37">
        <v>0</v>
      </c>
      <c r="K49" s="36">
        <v>0</v>
      </c>
      <c r="L49" s="38">
        <v>0</v>
      </c>
      <c r="M49" s="39"/>
      <c r="N49" s="36">
        <v>0</v>
      </c>
      <c r="O49" s="36">
        <v>0</v>
      </c>
      <c r="P49" s="36">
        <v>0</v>
      </c>
      <c r="Q49" s="36">
        <f>Q48*1936.27</f>
        <v>0</v>
      </c>
      <c r="R49" s="7"/>
      <c r="S49" s="7"/>
      <c r="T49" s="7"/>
      <c r="U49" s="7"/>
      <c r="V49" s="7"/>
      <c r="W49" s="7"/>
      <c r="X49" s="7"/>
      <c r="Y49" s="7"/>
      <c r="Z49" s="7"/>
    </row>
    <row r="50" spans="1:26" ht="12.75" customHeight="1" x14ac:dyDescent="0.2">
      <c r="A50" s="155">
        <v>33178</v>
      </c>
      <c r="B50" s="155">
        <v>33358</v>
      </c>
      <c r="C50" s="40" t="s">
        <v>36</v>
      </c>
      <c r="D50" s="41">
        <v>1</v>
      </c>
      <c r="E50" s="42">
        <v>0</v>
      </c>
      <c r="F50" s="42">
        <v>0</v>
      </c>
      <c r="G50" s="42">
        <v>0</v>
      </c>
      <c r="H50" s="42">
        <v>0</v>
      </c>
      <c r="I50" s="42">
        <v>0</v>
      </c>
      <c r="J50" s="42">
        <v>0</v>
      </c>
      <c r="K50" s="43">
        <v>0</v>
      </c>
      <c r="L50" s="32">
        <v>0</v>
      </c>
      <c r="M50" s="33"/>
      <c r="N50" s="30">
        <v>0</v>
      </c>
      <c r="O50" s="30">
        <v>0</v>
      </c>
      <c r="P50" s="30"/>
      <c r="Q50" s="30">
        <f>(N50+O50*0.18+J50)+(IF((P50-O50*0.18)&gt;0,(P50-O50*0.18),0))</f>
        <v>0</v>
      </c>
      <c r="R50" s="7"/>
      <c r="S50" s="7"/>
      <c r="T50" s="7"/>
      <c r="U50" s="7"/>
      <c r="V50" s="7"/>
      <c r="W50" s="7"/>
      <c r="X50" s="7"/>
      <c r="Y50" s="7"/>
      <c r="Z50" s="7"/>
    </row>
    <row r="51" spans="1:26" ht="9" customHeight="1" x14ac:dyDescent="0.2">
      <c r="A51" s="95"/>
      <c r="B51" s="95"/>
      <c r="C51" s="34" t="s">
        <v>37</v>
      </c>
      <c r="D51" s="35">
        <v>2</v>
      </c>
      <c r="E51" s="36">
        <v>0</v>
      </c>
      <c r="F51" s="36">
        <v>0</v>
      </c>
      <c r="G51" s="36">
        <v>0</v>
      </c>
      <c r="H51" s="36">
        <v>0</v>
      </c>
      <c r="I51" s="36">
        <v>0</v>
      </c>
      <c r="J51" s="37">
        <v>0</v>
      </c>
      <c r="K51" s="36">
        <v>0</v>
      </c>
      <c r="L51" s="38">
        <v>0</v>
      </c>
      <c r="M51" s="39"/>
      <c r="N51" s="36">
        <v>0</v>
      </c>
      <c r="O51" s="36">
        <v>0</v>
      </c>
      <c r="P51" s="36">
        <v>0</v>
      </c>
      <c r="Q51" s="36">
        <f>Q50*1936.27</f>
        <v>0</v>
      </c>
      <c r="R51" s="7"/>
      <c r="S51" s="7"/>
      <c r="T51" s="7"/>
      <c r="U51" s="7"/>
      <c r="V51" s="7"/>
      <c r="W51" s="7"/>
      <c r="X51" s="7"/>
      <c r="Y51" s="7"/>
      <c r="Z51" s="7"/>
    </row>
    <row r="52" spans="1:26" ht="12.75" customHeight="1" x14ac:dyDescent="0.2">
      <c r="A52" s="95"/>
      <c r="B52" s="95"/>
      <c r="C52" s="40" t="s">
        <v>36</v>
      </c>
      <c r="D52" s="41">
        <v>3</v>
      </c>
      <c r="E52" s="42">
        <v>0</v>
      </c>
      <c r="F52" s="42">
        <v>0</v>
      </c>
      <c r="G52" s="42">
        <v>0</v>
      </c>
      <c r="H52" s="42">
        <v>0</v>
      </c>
      <c r="I52" s="42">
        <v>0</v>
      </c>
      <c r="J52" s="42">
        <v>0</v>
      </c>
      <c r="K52" s="43">
        <v>0</v>
      </c>
      <c r="L52" s="32">
        <v>0</v>
      </c>
      <c r="M52" s="33"/>
      <c r="N52" s="30">
        <v>0</v>
      </c>
      <c r="O52" s="30">
        <v>0</v>
      </c>
      <c r="P52" s="30"/>
      <c r="Q52" s="30">
        <f>(N52+O52*0.18+J52)+(IF((P52-O52*0.18)&gt;0,(P52-O52*0.18),0))</f>
        <v>0</v>
      </c>
      <c r="R52" s="7"/>
      <c r="S52" s="7"/>
      <c r="T52" s="7"/>
      <c r="U52" s="7"/>
      <c r="V52" s="7"/>
      <c r="W52" s="7"/>
      <c r="X52" s="7"/>
      <c r="Y52" s="7"/>
      <c r="Z52" s="7"/>
    </row>
    <row r="53" spans="1:26" ht="9" customHeight="1" x14ac:dyDescent="0.2">
      <c r="A53" s="95"/>
      <c r="B53" s="95"/>
      <c r="C53" s="34" t="s">
        <v>37</v>
      </c>
      <c r="D53" s="35">
        <v>4</v>
      </c>
      <c r="E53" s="36">
        <v>0</v>
      </c>
      <c r="F53" s="36">
        <v>0</v>
      </c>
      <c r="G53" s="36">
        <v>0</v>
      </c>
      <c r="H53" s="36">
        <v>0</v>
      </c>
      <c r="I53" s="36">
        <v>0</v>
      </c>
      <c r="J53" s="37">
        <v>0</v>
      </c>
      <c r="K53" s="36">
        <v>0</v>
      </c>
      <c r="L53" s="38">
        <v>0</v>
      </c>
      <c r="M53" s="39"/>
      <c r="N53" s="36">
        <v>0</v>
      </c>
      <c r="O53" s="36">
        <v>0</v>
      </c>
      <c r="P53" s="36">
        <v>0</v>
      </c>
      <c r="Q53" s="36">
        <f>Q52*1936.27</f>
        <v>0</v>
      </c>
      <c r="R53" s="7"/>
      <c r="S53" s="7"/>
      <c r="T53" s="7"/>
      <c r="U53" s="7"/>
      <c r="V53" s="7"/>
      <c r="W53" s="7"/>
      <c r="X53" s="7"/>
      <c r="Y53" s="7"/>
      <c r="Z53" s="7"/>
    </row>
    <row r="54" spans="1:26" ht="12.75" customHeight="1" x14ac:dyDescent="0.2">
      <c r="A54" s="95"/>
      <c r="B54" s="95"/>
      <c r="C54" s="40" t="s">
        <v>36</v>
      </c>
      <c r="D54" s="41">
        <v>5</v>
      </c>
      <c r="E54" s="42">
        <v>0</v>
      </c>
      <c r="F54" s="42">
        <v>0</v>
      </c>
      <c r="G54" s="42">
        <v>0</v>
      </c>
      <c r="H54" s="42">
        <v>0</v>
      </c>
      <c r="I54" s="42">
        <v>0</v>
      </c>
      <c r="J54" s="42">
        <v>0</v>
      </c>
      <c r="K54" s="43">
        <v>0</v>
      </c>
      <c r="L54" s="32">
        <v>0</v>
      </c>
      <c r="M54" s="33"/>
      <c r="N54" s="30">
        <v>0</v>
      </c>
      <c r="O54" s="30">
        <v>0</v>
      </c>
      <c r="P54" s="30"/>
      <c r="Q54" s="30">
        <f>(N54+O54*0.18+J54)+(IF((P54-O54*0.18)&gt;0,(P54-O54*0.18),0))</f>
        <v>0</v>
      </c>
      <c r="R54" s="7"/>
      <c r="S54" s="7"/>
      <c r="T54" s="7"/>
      <c r="U54" s="7"/>
      <c r="V54" s="7"/>
      <c r="W54" s="7"/>
      <c r="X54" s="7"/>
      <c r="Y54" s="7"/>
      <c r="Z54" s="7"/>
    </row>
    <row r="55" spans="1:26" ht="9" customHeight="1" x14ac:dyDescent="0.2">
      <c r="A55" s="95"/>
      <c r="B55" s="95"/>
      <c r="C55" s="34" t="s">
        <v>37</v>
      </c>
      <c r="D55" s="35">
        <v>6</v>
      </c>
      <c r="E55" s="36">
        <v>0</v>
      </c>
      <c r="F55" s="36">
        <v>0</v>
      </c>
      <c r="G55" s="36">
        <v>0</v>
      </c>
      <c r="H55" s="36">
        <v>0</v>
      </c>
      <c r="I55" s="36">
        <v>0</v>
      </c>
      <c r="J55" s="37">
        <v>0</v>
      </c>
      <c r="K55" s="36">
        <v>0</v>
      </c>
      <c r="L55" s="38">
        <v>0</v>
      </c>
      <c r="M55" s="39"/>
      <c r="N55" s="36">
        <v>0</v>
      </c>
      <c r="O55" s="36">
        <v>0</v>
      </c>
      <c r="P55" s="36">
        <v>0</v>
      </c>
      <c r="Q55" s="36">
        <f>Q54*1936.27</f>
        <v>0</v>
      </c>
      <c r="R55" s="7"/>
      <c r="S55" s="7"/>
      <c r="T55" s="7"/>
      <c r="U55" s="7"/>
      <c r="V55" s="7"/>
      <c r="W55" s="7"/>
      <c r="X55" s="7"/>
      <c r="Y55" s="7"/>
      <c r="Z55" s="7"/>
    </row>
    <row r="56" spans="1:26" ht="12.75" customHeight="1" x14ac:dyDescent="0.2">
      <c r="A56" s="95"/>
      <c r="B56" s="95"/>
      <c r="C56" s="40" t="s">
        <v>36</v>
      </c>
      <c r="D56" s="41">
        <v>7</v>
      </c>
      <c r="E56" s="42">
        <v>0</v>
      </c>
      <c r="F56" s="42">
        <v>0</v>
      </c>
      <c r="G56" s="42">
        <v>0</v>
      </c>
      <c r="H56" s="42">
        <v>0</v>
      </c>
      <c r="I56" s="42">
        <v>0</v>
      </c>
      <c r="J56" s="42">
        <v>0</v>
      </c>
      <c r="K56" s="43">
        <v>0</v>
      </c>
      <c r="L56" s="32">
        <v>0</v>
      </c>
      <c r="M56" s="33"/>
      <c r="N56" s="30">
        <v>0</v>
      </c>
      <c r="O56" s="30">
        <v>0</v>
      </c>
      <c r="P56" s="30"/>
      <c r="Q56" s="30">
        <f>(N56+O56*0.18+J56)+(IF((P56-O56*0.18)&gt;0,(P56-O56*0.18),0))</f>
        <v>0</v>
      </c>
      <c r="R56" s="7"/>
      <c r="S56" s="7"/>
      <c r="T56" s="7"/>
      <c r="U56" s="7"/>
      <c r="V56" s="7"/>
      <c r="W56" s="7"/>
      <c r="X56" s="7"/>
      <c r="Y56" s="7"/>
      <c r="Z56" s="7"/>
    </row>
    <row r="57" spans="1:26" ht="9" customHeight="1" x14ac:dyDescent="0.2">
      <c r="A57" s="95"/>
      <c r="B57" s="95"/>
      <c r="C57" s="34" t="s">
        <v>37</v>
      </c>
      <c r="D57" s="35">
        <v>8</v>
      </c>
      <c r="E57" s="36">
        <v>0</v>
      </c>
      <c r="F57" s="36">
        <v>0</v>
      </c>
      <c r="G57" s="36">
        <v>0</v>
      </c>
      <c r="H57" s="36">
        <v>0</v>
      </c>
      <c r="I57" s="36">
        <v>0</v>
      </c>
      <c r="J57" s="37">
        <v>0</v>
      </c>
      <c r="K57" s="36">
        <v>0</v>
      </c>
      <c r="L57" s="38">
        <v>0</v>
      </c>
      <c r="M57" s="39"/>
      <c r="N57" s="36">
        <v>0</v>
      </c>
      <c r="O57" s="36">
        <v>0</v>
      </c>
      <c r="P57" s="36">
        <v>0</v>
      </c>
      <c r="Q57" s="36">
        <f>Q56*1936.27</f>
        <v>0</v>
      </c>
      <c r="R57" s="7"/>
      <c r="S57" s="7"/>
      <c r="T57" s="7"/>
      <c r="U57" s="7"/>
      <c r="V57" s="7"/>
      <c r="W57" s="7"/>
      <c r="X57" s="7"/>
      <c r="Y57" s="7"/>
      <c r="Z57" s="7"/>
    </row>
    <row r="58" spans="1:26" ht="12.75" customHeight="1" x14ac:dyDescent="0.2">
      <c r="A58" s="95"/>
      <c r="B58" s="95"/>
      <c r="C58" s="40" t="s">
        <v>36</v>
      </c>
      <c r="D58" s="41">
        <v>9</v>
      </c>
      <c r="E58" s="42">
        <v>0</v>
      </c>
      <c r="F58" s="42">
        <v>0</v>
      </c>
      <c r="G58" s="42">
        <v>0</v>
      </c>
      <c r="H58" s="42">
        <v>0</v>
      </c>
      <c r="I58" s="42">
        <v>0</v>
      </c>
      <c r="J58" s="42">
        <v>0</v>
      </c>
      <c r="K58" s="43">
        <v>0</v>
      </c>
      <c r="L58" s="32">
        <v>0</v>
      </c>
      <c r="M58" s="33"/>
      <c r="N58" s="30">
        <v>0</v>
      </c>
      <c r="O58" s="30">
        <v>0</v>
      </c>
      <c r="P58" s="30"/>
      <c r="Q58" s="30">
        <f>(N58+O58*0.18+J58)+(IF((P58-O58*0.18)&gt;0,(P58-O58*0.18),0))</f>
        <v>0</v>
      </c>
      <c r="R58" s="7"/>
      <c r="S58" s="7"/>
      <c r="T58" s="7"/>
      <c r="U58" s="7"/>
      <c r="V58" s="7"/>
      <c r="W58" s="7"/>
      <c r="X58" s="7"/>
      <c r="Y58" s="7"/>
      <c r="Z58" s="7"/>
    </row>
    <row r="59" spans="1:26" ht="9" customHeight="1" x14ac:dyDescent="0.2">
      <c r="A59" s="95"/>
      <c r="B59" s="95"/>
      <c r="C59" s="34" t="s">
        <v>37</v>
      </c>
      <c r="D59" s="35">
        <v>10</v>
      </c>
      <c r="E59" s="36">
        <v>0</v>
      </c>
      <c r="F59" s="36">
        <v>0</v>
      </c>
      <c r="G59" s="36">
        <v>0</v>
      </c>
      <c r="H59" s="36">
        <v>0</v>
      </c>
      <c r="I59" s="36">
        <v>0</v>
      </c>
      <c r="J59" s="37">
        <v>0</v>
      </c>
      <c r="K59" s="36">
        <v>0</v>
      </c>
      <c r="L59" s="38">
        <v>0</v>
      </c>
      <c r="M59" s="39"/>
      <c r="N59" s="36">
        <v>0</v>
      </c>
      <c r="O59" s="36">
        <v>0</v>
      </c>
      <c r="P59" s="36">
        <v>0</v>
      </c>
      <c r="Q59" s="36">
        <f>Q58*1936.27</f>
        <v>0</v>
      </c>
      <c r="R59" s="7"/>
      <c r="S59" s="7"/>
      <c r="T59" s="7"/>
      <c r="U59" s="7"/>
      <c r="V59" s="7"/>
      <c r="W59" s="7"/>
      <c r="X59" s="7"/>
      <c r="Y59" s="7"/>
      <c r="Z59" s="7"/>
    </row>
    <row r="60" spans="1:26" ht="12.75" customHeight="1" x14ac:dyDescent="0.2">
      <c r="A60" s="95"/>
      <c r="B60" s="95"/>
      <c r="C60" s="40" t="s">
        <v>36</v>
      </c>
      <c r="D60" s="41">
        <v>11</v>
      </c>
      <c r="E60" s="42">
        <v>0</v>
      </c>
      <c r="F60" s="42">
        <v>0</v>
      </c>
      <c r="G60" s="42">
        <v>0</v>
      </c>
      <c r="H60" s="42">
        <v>0</v>
      </c>
      <c r="I60" s="42">
        <v>0</v>
      </c>
      <c r="J60" s="42">
        <v>0</v>
      </c>
      <c r="K60" s="43">
        <v>0</v>
      </c>
      <c r="L60" s="32">
        <v>0</v>
      </c>
      <c r="M60" s="33"/>
      <c r="N60" s="30">
        <v>0</v>
      </c>
      <c r="O60" s="30">
        <v>0</v>
      </c>
      <c r="P60" s="30"/>
      <c r="Q60" s="30">
        <f>(N60+O60*0.18+J60)+(IF((P60-O60*0.18)&gt;0,(P60-O60*0.18),0))</f>
        <v>0</v>
      </c>
      <c r="R60" s="7"/>
      <c r="S60" s="7"/>
      <c r="T60" s="7"/>
      <c r="U60" s="7"/>
      <c r="V60" s="7"/>
      <c r="W60" s="7"/>
      <c r="X60" s="7"/>
      <c r="Y60" s="7"/>
      <c r="Z60" s="7"/>
    </row>
    <row r="61" spans="1:26" ht="9" customHeight="1" x14ac:dyDescent="0.2">
      <c r="A61" s="95"/>
      <c r="B61" s="95"/>
      <c r="C61" s="34" t="s">
        <v>37</v>
      </c>
      <c r="D61" s="35">
        <v>12</v>
      </c>
      <c r="E61" s="36">
        <v>0</v>
      </c>
      <c r="F61" s="36">
        <v>0</v>
      </c>
      <c r="G61" s="36">
        <v>0</v>
      </c>
      <c r="H61" s="36">
        <v>0</v>
      </c>
      <c r="I61" s="36">
        <v>0</v>
      </c>
      <c r="J61" s="37">
        <v>0</v>
      </c>
      <c r="K61" s="36">
        <v>0</v>
      </c>
      <c r="L61" s="38">
        <v>0</v>
      </c>
      <c r="M61" s="39"/>
      <c r="N61" s="36">
        <v>0</v>
      </c>
      <c r="O61" s="36">
        <v>0</v>
      </c>
      <c r="P61" s="36">
        <v>0</v>
      </c>
      <c r="Q61" s="36">
        <f>Q60*1936.27</f>
        <v>0</v>
      </c>
      <c r="R61" s="7"/>
      <c r="S61" s="7"/>
      <c r="T61" s="7"/>
      <c r="U61" s="7"/>
      <c r="V61" s="7"/>
      <c r="W61" s="7"/>
      <c r="X61" s="7"/>
      <c r="Y61" s="7"/>
      <c r="Z61" s="7"/>
    </row>
    <row r="62" spans="1:26" ht="12.75" customHeight="1" x14ac:dyDescent="0.2">
      <c r="A62" s="95"/>
      <c r="B62" s="95"/>
      <c r="C62" s="40" t="s">
        <v>36</v>
      </c>
      <c r="D62" s="41">
        <v>13</v>
      </c>
      <c r="E62" s="42">
        <v>0</v>
      </c>
      <c r="F62" s="42">
        <v>0</v>
      </c>
      <c r="G62" s="42">
        <v>0</v>
      </c>
      <c r="H62" s="42">
        <v>0</v>
      </c>
      <c r="I62" s="42">
        <v>0</v>
      </c>
      <c r="J62" s="42">
        <v>0</v>
      </c>
      <c r="K62" s="43">
        <v>0</v>
      </c>
      <c r="L62" s="32">
        <v>0</v>
      </c>
      <c r="M62" s="33"/>
      <c r="N62" s="30">
        <v>0</v>
      </c>
      <c r="O62" s="30">
        <v>0</v>
      </c>
      <c r="P62" s="30"/>
      <c r="Q62" s="30">
        <f>(N62+O62*0.18+J62)+(IF((P62-O62*0.18)&gt;0,(P62-O62*0.18),0))</f>
        <v>0</v>
      </c>
      <c r="R62" s="7"/>
      <c r="S62" s="7"/>
      <c r="T62" s="7"/>
      <c r="U62" s="7"/>
      <c r="V62" s="7"/>
      <c r="W62" s="7"/>
      <c r="X62" s="7"/>
      <c r="Y62" s="7"/>
      <c r="Z62" s="7"/>
    </row>
    <row r="63" spans="1:26" ht="9" customHeight="1" x14ac:dyDescent="0.2">
      <c r="A63" s="95"/>
      <c r="B63" s="95"/>
      <c r="C63" s="34" t="s">
        <v>37</v>
      </c>
      <c r="D63" s="35">
        <v>14</v>
      </c>
      <c r="E63" s="36">
        <v>0</v>
      </c>
      <c r="F63" s="36">
        <v>0</v>
      </c>
      <c r="G63" s="36">
        <v>0</v>
      </c>
      <c r="H63" s="36">
        <v>0</v>
      </c>
      <c r="I63" s="36">
        <v>0</v>
      </c>
      <c r="J63" s="37">
        <v>0</v>
      </c>
      <c r="K63" s="36">
        <v>0</v>
      </c>
      <c r="L63" s="38">
        <v>0</v>
      </c>
      <c r="M63" s="39"/>
      <c r="N63" s="36">
        <v>0</v>
      </c>
      <c r="O63" s="36">
        <v>0</v>
      </c>
      <c r="P63" s="36">
        <v>0</v>
      </c>
      <c r="Q63" s="36">
        <f>Q62*1936.27</f>
        <v>0</v>
      </c>
      <c r="R63" s="7"/>
      <c r="S63" s="7"/>
      <c r="T63" s="7"/>
      <c r="U63" s="7"/>
      <c r="V63" s="7"/>
      <c r="W63" s="7"/>
      <c r="X63" s="7"/>
      <c r="Y63" s="7"/>
      <c r="Z63" s="7"/>
    </row>
    <row r="64" spans="1:26" ht="12.75" customHeight="1" x14ac:dyDescent="0.2">
      <c r="A64" s="95"/>
      <c r="B64" s="95"/>
      <c r="C64" s="40" t="s">
        <v>36</v>
      </c>
      <c r="D64" s="41">
        <v>15</v>
      </c>
      <c r="E64" s="42">
        <v>0</v>
      </c>
      <c r="F64" s="42">
        <v>0</v>
      </c>
      <c r="G64" s="42">
        <v>0</v>
      </c>
      <c r="H64" s="42">
        <v>0</v>
      </c>
      <c r="I64" s="42">
        <v>0</v>
      </c>
      <c r="J64" s="42">
        <v>0</v>
      </c>
      <c r="K64" s="43">
        <v>0</v>
      </c>
      <c r="L64" s="32">
        <v>0</v>
      </c>
      <c r="M64" s="33"/>
      <c r="N64" s="30">
        <v>0</v>
      </c>
      <c r="O64" s="30">
        <v>0</v>
      </c>
      <c r="P64" s="30"/>
      <c r="Q64" s="30">
        <f>(N64+O64*0.18+J64)+(IF((P64-O64*0.18)&gt;0,(P64-O64*0.18),0))</f>
        <v>0</v>
      </c>
      <c r="R64" s="7"/>
      <c r="S64" s="7"/>
      <c r="T64" s="7"/>
      <c r="U64" s="7"/>
      <c r="V64" s="7"/>
      <c r="W64" s="7"/>
      <c r="X64" s="7"/>
      <c r="Y64" s="7"/>
      <c r="Z64" s="7"/>
    </row>
    <row r="65" spans="1:26" ht="9" customHeight="1" x14ac:dyDescent="0.2">
      <c r="A65" s="95"/>
      <c r="B65" s="95"/>
      <c r="C65" s="34" t="s">
        <v>37</v>
      </c>
      <c r="D65" s="35">
        <v>16</v>
      </c>
      <c r="E65" s="36">
        <v>0</v>
      </c>
      <c r="F65" s="36">
        <v>0</v>
      </c>
      <c r="G65" s="36">
        <v>0</v>
      </c>
      <c r="H65" s="36">
        <v>0</v>
      </c>
      <c r="I65" s="36">
        <v>0</v>
      </c>
      <c r="J65" s="37">
        <v>0</v>
      </c>
      <c r="K65" s="36">
        <v>0</v>
      </c>
      <c r="L65" s="38">
        <v>0</v>
      </c>
      <c r="M65" s="39"/>
      <c r="N65" s="36">
        <v>0</v>
      </c>
      <c r="O65" s="36">
        <v>0</v>
      </c>
      <c r="P65" s="36">
        <v>0</v>
      </c>
      <c r="Q65" s="36">
        <f>Q64*1936.27</f>
        <v>0</v>
      </c>
      <c r="R65" s="7"/>
      <c r="S65" s="7"/>
      <c r="T65" s="7"/>
      <c r="U65" s="7"/>
      <c r="V65" s="7"/>
      <c r="W65" s="7"/>
      <c r="X65" s="7"/>
      <c r="Y65" s="7"/>
      <c r="Z65" s="7"/>
    </row>
    <row r="66" spans="1:26" ht="12.75" customHeight="1" x14ac:dyDescent="0.2">
      <c r="A66" s="95"/>
      <c r="B66" s="95"/>
      <c r="C66" s="40" t="s">
        <v>36</v>
      </c>
      <c r="D66" s="41">
        <v>17</v>
      </c>
      <c r="E66" s="42">
        <v>0</v>
      </c>
      <c r="F66" s="42">
        <v>0</v>
      </c>
      <c r="G66" s="42">
        <v>0</v>
      </c>
      <c r="H66" s="42">
        <v>0</v>
      </c>
      <c r="I66" s="42">
        <v>0</v>
      </c>
      <c r="J66" s="42">
        <v>0</v>
      </c>
      <c r="K66" s="43">
        <v>0</v>
      </c>
      <c r="L66" s="32">
        <v>0</v>
      </c>
      <c r="M66" s="33"/>
      <c r="N66" s="30">
        <v>0</v>
      </c>
      <c r="O66" s="30">
        <v>0</v>
      </c>
      <c r="P66" s="30"/>
      <c r="Q66" s="30">
        <f>(N66+O66*0.18+J66)+(IF((P66-O66*0.18)&gt;0,(P66-O66*0.18),0))</f>
        <v>0</v>
      </c>
      <c r="R66" s="7"/>
      <c r="S66" s="7"/>
      <c r="T66" s="7"/>
      <c r="U66" s="7"/>
      <c r="V66" s="7"/>
      <c r="W66" s="7"/>
      <c r="X66" s="7"/>
      <c r="Y66" s="7"/>
      <c r="Z66" s="7"/>
    </row>
    <row r="67" spans="1:26" ht="9" customHeight="1" x14ac:dyDescent="0.2">
      <c r="A67" s="95"/>
      <c r="B67" s="95"/>
      <c r="C67" s="34" t="s">
        <v>37</v>
      </c>
      <c r="D67" s="35">
        <v>17</v>
      </c>
      <c r="E67" s="36">
        <v>0</v>
      </c>
      <c r="F67" s="36">
        <v>0</v>
      </c>
      <c r="G67" s="36">
        <v>0</v>
      </c>
      <c r="H67" s="36">
        <v>0</v>
      </c>
      <c r="I67" s="36">
        <v>0</v>
      </c>
      <c r="J67" s="37">
        <v>0</v>
      </c>
      <c r="K67" s="36">
        <v>0</v>
      </c>
      <c r="L67" s="38">
        <v>0</v>
      </c>
      <c r="M67" s="39"/>
      <c r="N67" s="36">
        <v>0</v>
      </c>
      <c r="O67" s="36">
        <v>0</v>
      </c>
      <c r="P67" s="36">
        <v>0</v>
      </c>
      <c r="Q67" s="36">
        <f>Q66*1936.27</f>
        <v>0</v>
      </c>
      <c r="R67" s="7"/>
      <c r="S67" s="7"/>
      <c r="T67" s="7"/>
      <c r="U67" s="7"/>
      <c r="V67" s="7"/>
      <c r="W67" s="7"/>
      <c r="X67" s="7"/>
      <c r="Y67" s="7"/>
      <c r="Z67" s="7"/>
    </row>
    <row r="68" spans="1:26" ht="12.75" customHeight="1" x14ac:dyDescent="0.2">
      <c r="A68" s="95"/>
      <c r="B68" s="95"/>
      <c r="C68" s="40" t="s">
        <v>36</v>
      </c>
      <c r="D68" s="41">
        <v>18</v>
      </c>
      <c r="E68" s="42">
        <v>0</v>
      </c>
      <c r="F68" s="42">
        <v>0</v>
      </c>
      <c r="G68" s="42">
        <v>0</v>
      </c>
      <c r="H68" s="42">
        <v>0</v>
      </c>
      <c r="I68" s="42">
        <v>0</v>
      </c>
      <c r="J68" s="42">
        <v>0</v>
      </c>
      <c r="K68" s="43">
        <v>0</v>
      </c>
      <c r="L68" s="32">
        <v>0</v>
      </c>
      <c r="M68" s="33"/>
      <c r="N68" s="30">
        <v>0</v>
      </c>
      <c r="O68" s="30">
        <v>0</v>
      </c>
      <c r="P68" s="30"/>
      <c r="Q68" s="30">
        <f>(N68+O68*0.18+J68)+(IF((P68-O68*0.18)&gt;0,(P68-O68*0.18),0))</f>
        <v>0</v>
      </c>
      <c r="R68" s="7"/>
      <c r="S68" s="7"/>
      <c r="T68" s="7"/>
      <c r="U68" s="7"/>
      <c r="V68" s="7"/>
      <c r="W68" s="7"/>
      <c r="X68" s="7"/>
      <c r="Y68" s="7"/>
      <c r="Z68" s="7"/>
    </row>
    <row r="69" spans="1:26" ht="9" customHeight="1" x14ac:dyDescent="0.2">
      <c r="A69" s="95"/>
      <c r="B69" s="95"/>
      <c r="C69" s="34" t="s">
        <v>37</v>
      </c>
      <c r="D69" s="35">
        <v>19</v>
      </c>
      <c r="E69" s="36">
        <v>0</v>
      </c>
      <c r="F69" s="36">
        <v>0</v>
      </c>
      <c r="G69" s="36">
        <v>0</v>
      </c>
      <c r="H69" s="36">
        <v>0</v>
      </c>
      <c r="I69" s="36">
        <v>0</v>
      </c>
      <c r="J69" s="37">
        <v>0</v>
      </c>
      <c r="K69" s="36">
        <v>0</v>
      </c>
      <c r="L69" s="38">
        <v>0</v>
      </c>
      <c r="M69" s="39"/>
      <c r="N69" s="36">
        <v>0</v>
      </c>
      <c r="O69" s="36">
        <v>0</v>
      </c>
      <c r="P69" s="36">
        <v>0</v>
      </c>
      <c r="Q69" s="36">
        <f>Q68*1936.27</f>
        <v>0</v>
      </c>
      <c r="R69" s="7"/>
      <c r="S69" s="7"/>
      <c r="T69" s="7"/>
      <c r="U69" s="7"/>
      <c r="V69" s="7"/>
      <c r="W69" s="7"/>
      <c r="X69" s="7"/>
      <c r="Y69" s="7"/>
      <c r="Z69" s="7"/>
    </row>
    <row r="70" spans="1:26" ht="12.75" customHeight="1" x14ac:dyDescent="0.2">
      <c r="A70" s="95"/>
      <c r="B70" s="95"/>
      <c r="C70" s="40" t="s">
        <v>36</v>
      </c>
      <c r="D70" s="41">
        <v>20</v>
      </c>
      <c r="E70" s="42">
        <v>0</v>
      </c>
      <c r="F70" s="42">
        <v>0</v>
      </c>
      <c r="G70" s="42">
        <v>0</v>
      </c>
      <c r="H70" s="42">
        <v>0</v>
      </c>
      <c r="I70" s="42">
        <v>0</v>
      </c>
      <c r="J70" s="42">
        <v>0</v>
      </c>
      <c r="K70" s="43">
        <v>0</v>
      </c>
      <c r="L70" s="32">
        <v>0</v>
      </c>
      <c r="M70" s="33"/>
      <c r="N70" s="30">
        <v>0</v>
      </c>
      <c r="O70" s="30">
        <v>0</v>
      </c>
      <c r="P70" s="30"/>
      <c r="Q70" s="30">
        <f>(N70+O70*0.18+J70)+(IF((P70-O70*0.18)&gt;0,(P70-O70*0.18),0))</f>
        <v>0</v>
      </c>
      <c r="R70" s="7"/>
      <c r="S70" s="7"/>
      <c r="T70" s="7"/>
      <c r="U70" s="7"/>
      <c r="V70" s="7"/>
      <c r="W70" s="7"/>
      <c r="X70" s="7"/>
      <c r="Y70" s="7"/>
      <c r="Z70" s="7"/>
    </row>
    <row r="71" spans="1:26" ht="9" customHeight="1" x14ac:dyDescent="0.2">
      <c r="A71" s="95"/>
      <c r="B71" s="95"/>
      <c r="C71" s="34" t="s">
        <v>37</v>
      </c>
      <c r="D71" s="35">
        <v>21</v>
      </c>
      <c r="E71" s="36">
        <v>0</v>
      </c>
      <c r="F71" s="36">
        <v>0</v>
      </c>
      <c r="G71" s="36">
        <v>0</v>
      </c>
      <c r="H71" s="36">
        <v>0</v>
      </c>
      <c r="I71" s="36">
        <v>0</v>
      </c>
      <c r="J71" s="37">
        <v>0</v>
      </c>
      <c r="K71" s="36">
        <v>0</v>
      </c>
      <c r="L71" s="38">
        <v>0</v>
      </c>
      <c r="M71" s="39"/>
      <c r="N71" s="36">
        <v>0</v>
      </c>
      <c r="O71" s="36">
        <v>0</v>
      </c>
      <c r="P71" s="36">
        <v>0</v>
      </c>
      <c r="Q71" s="36">
        <f>Q70*1936.27</f>
        <v>0</v>
      </c>
      <c r="R71" s="7"/>
      <c r="S71" s="7"/>
      <c r="T71" s="7"/>
      <c r="U71" s="7"/>
      <c r="V71" s="7"/>
      <c r="W71" s="7"/>
      <c r="X71" s="7"/>
      <c r="Y71" s="7"/>
      <c r="Z71" s="7"/>
    </row>
    <row r="72" spans="1:26" ht="12.75" customHeight="1" x14ac:dyDescent="0.2">
      <c r="A72" s="95"/>
      <c r="B72" s="95"/>
      <c r="C72" s="40" t="s">
        <v>36</v>
      </c>
      <c r="D72" s="41">
        <v>22</v>
      </c>
      <c r="E72" s="42">
        <v>0</v>
      </c>
      <c r="F72" s="42">
        <v>0</v>
      </c>
      <c r="G72" s="42">
        <v>0</v>
      </c>
      <c r="H72" s="42">
        <v>0</v>
      </c>
      <c r="I72" s="42">
        <v>0</v>
      </c>
      <c r="J72" s="42">
        <v>0</v>
      </c>
      <c r="K72" s="43">
        <v>0</v>
      </c>
      <c r="L72" s="32">
        <v>0</v>
      </c>
      <c r="M72" s="33"/>
      <c r="N72" s="30">
        <v>0</v>
      </c>
      <c r="O72" s="30">
        <v>0</v>
      </c>
      <c r="P72" s="30"/>
      <c r="Q72" s="30">
        <f>(N72+O72*0.18+J72)+(IF((P72-O72*0.18)&gt;0,(P72-O72*0.18),0))</f>
        <v>0</v>
      </c>
      <c r="R72" s="7"/>
      <c r="S72" s="7"/>
      <c r="T72" s="7"/>
      <c r="U72" s="7"/>
      <c r="V72" s="7"/>
      <c r="W72" s="7"/>
      <c r="X72" s="7"/>
      <c r="Y72" s="7"/>
      <c r="Z72" s="7"/>
    </row>
    <row r="73" spans="1:26" ht="9" customHeight="1" x14ac:dyDescent="0.2">
      <c r="A73" s="95"/>
      <c r="B73" s="95"/>
      <c r="C73" s="34" t="s">
        <v>37</v>
      </c>
      <c r="D73" s="35">
        <v>23</v>
      </c>
      <c r="E73" s="36">
        <v>0</v>
      </c>
      <c r="F73" s="36">
        <v>0</v>
      </c>
      <c r="G73" s="36">
        <v>0</v>
      </c>
      <c r="H73" s="36">
        <v>0</v>
      </c>
      <c r="I73" s="36">
        <v>0</v>
      </c>
      <c r="J73" s="37">
        <v>0</v>
      </c>
      <c r="K73" s="36">
        <v>0</v>
      </c>
      <c r="L73" s="38">
        <v>0</v>
      </c>
      <c r="M73" s="39"/>
      <c r="N73" s="36">
        <v>0</v>
      </c>
      <c r="O73" s="36">
        <v>0</v>
      </c>
      <c r="P73" s="36">
        <v>0</v>
      </c>
      <c r="Q73" s="36">
        <f>Q72*1936.27</f>
        <v>0</v>
      </c>
      <c r="R73" s="7"/>
      <c r="S73" s="7"/>
      <c r="T73" s="7"/>
      <c r="U73" s="7"/>
      <c r="V73" s="7"/>
      <c r="W73" s="7"/>
      <c r="X73" s="7"/>
      <c r="Y73" s="7"/>
      <c r="Z73" s="7"/>
    </row>
    <row r="74" spans="1:26" ht="12.75" customHeight="1" x14ac:dyDescent="0.2">
      <c r="A74" s="95"/>
      <c r="B74" s="95"/>
      <c r="C74" s="40" t="s">
        <v>36</v>
      </c>
      <c r="D74" s="41">
        <v>24</v>
      </c>
      <c r="E74" s="42">
        <v>0</v>
      </c>
      <c r="F74" s="42">
        <v>0</v>
      </c>
      <c r="G74" s="42">
        <v>0</v>
      </c>
      <c r="H74" s="42">
        <v>0</v>
      </c>
      <c r="I74" s="42">
        <v>0</v>
      </c>
      <c r="J74" s="42">
        <v>0</v>
      </c>
      <c r="K74" s="43">
        <v>0</v>
      </c>
      <c r="L74" s="32">
        <v>0</v>
      </c>
      <c r="M74" s="33"/>
      <c r="N74" s="30">
        <v>0</v>
      </c>
      <c r="O74" s="30">
        <v>0</v>
      </c>
      <c r="P74" s="30"/>
      <c r="Q74" s="30">
        <f>(N74+O74*0.18+J74)+(IF((P74-O74*0.18)&gt;0,(P74-O74*0.18),0))</f>
        <v>0</v>
      </c>
      <c r="R74" s="7"/>
      <c r="S74" s="7"/>
      <c r="T74" s="7"/>
      <c r="U74" s="7"/>
      <c r="V74" s="7"/>
      <c r="W74" s="7"/>
      <c r="X74" s="7"/>
      <c r="Y74" s="7"/>
      <c r="Z74" s="7"/>
    </row>
    <row r="75" spans="1:26" ht="9" customHeight="1" x14ac:dyDescent="0.2">
      <c r="A75" s="95"/>
      <c r="B75" s="95"/>
      <c r="C75" s="34" t="s">
        <v>37</v>
      </c>
      <c r="D75" s="35">
        <v>25</v>
      </c>
      <c r="E75" s="36">
        <v>0</v>
      </c>
      <c r="F75" s="36">
        <v>0</v>
      </c>
      <c r="G75" s="36">
        <v>0</v>
      </c>
      <c r="H75" s="36">
        <v>0</v>
      </c>
      <c r="I75" s="36">
        <v>0</v>
      </c>
      <c r="J75" s="37">
        <v>0</v>
      </c>
      <c r="K75" s="36">
        <v>0</v>
      </c>
      <c r="L75" s="38">
        <v>0</v>
      </c>
      <c r="M75" s="39"/>
      <c r="N75" s="36">
        <v>0</v>
      </c>
      <c r="O75" s="36">
        <v>0</v>
      </c>
      <c r="P75" s="36">
        <v>0</v>
      </c>
      <c r="Q75" s="36">
        <f>Q74*1936.27</f>
        <v>0</v>
      </c>
      <c r="R75" s="7"/>
      <c r="S75" s="7"/>
      <c r="T75" s="7"/>
      <c r="U75" s="7"/>
      <c r="V75" s="7"/>
      <c r="W75" s="7"/>
      <c r="X75" s="7"/>
      <c r="Y75" s="7"/>
      <c r="Z75" s="7"/>
    </row>
    <row r="76" spans="1:26" ht="12.75" customHeight="1" x14ac:dyDescent="0.2">
      <c r="A76" s="95"/>
      <c r="B76" s="95"/>
      <c r="C76" s="40" t="s">
        <v>36</v>
      </c>
      <c r="D76" s="41">
        <v>26</v>
      </c>
      <c r="E76" s="42">
        <v>0</v>
      </c>
      <c r="F76" s="42">
        <v>0</v>
      </c>
      <c r="G76" s="42">
        <v>0</v>
      </c>
      <c r="H76" s="42">
        <v>0</v>
      </c>
      <c r="I76" s="42">
        <v>0</v>
      </c>
      <c r="J76" s="42">
        <v>0</v>
      </c>
      <c r="K76" s="43">
        <v>0</v>
      </c>
      <c r="L76" s="32">
        <v>0</v>
      </c>
      <c r="M76" s="33"/>
      <c r="N76" s="30">
        <v>0</v>
      </c>
      <c r="O76" s="30">
        <v>0</v>
      </c>
      <c r="P76" s="30"/>
      <c r="Q76" s="30">
        <f>(N76+O76*0.18+J76)+(IF((P76-O76*0.18)&gt;0,(P76-O76*0.18),0))</f>
        <v>0</v>
      </c>
      <c r="R76" s="7"/>
      <c r="S76" s="7"/>
      <c r="T76" s="7"/>
      <c r="U76" s="7"/>
      <c r="V76" s="7"/>
      <c r="W76" s="7"/>
      <c r="X76" s="7"/>
      <c r="Y76" s="7"/>
      <c r="Z76" s="7"/>
    </row>
    <row r="77" spans="1:26" ht="9" customHeight="1" x14ac:dyDescent="0.2">
      <c r="A77" s="95"/>
      <c r="B77" s="95"/>
      <c r="C77" s="34" t="s">
        <v>37</v>
      </c>
      <c r="D77" s="35">
        <v>27</v>
      </c>
      <c r="E77" s="36">
        <v>0</v>
      </c>
      <c r="F77" s="36">
        <v>0</v>
      </c>
      <c r="G77" s="36">
        <v>0</v>
      </c>
      <c r="H77" s="36">
        <v>0</v>
      </c>
      <c r="I77" s="36">
        <v>0</v>
      </c>
      <c r="J77" s="37">
        <v>0</v>
      </c>
      <c r="K77" s="36">
        <v>0</v>
      </c>
      <c r="L77" s="38">
        <v>0</v>
      </c>
      <c r="M77" s="39"/>
      <c r="N77" s="36">
        <v>0</v>
      </c>
      <c r="O77" s="36">
        <v>0</v>
      </c>
      <c r="P77" s="36">
        <v>0</v>
      </c>
      <c r="Q77" s="36">
        <f>Q76*1936.27</f>
        <v>0</v>
      </c>
      <c r="R77" s="7"/>
      <c r="S77" s="7"/>
      <c r="T77" s="7"/>
      <c r="U77" s="7"/>
      <c r="V77" s="7"/>
      <c r="W77" s="7"/>
      <c r="X77" s="7"/>
      <c r="Y77" s="7"/>
      <c r="Z77" s="7"/>
    </row>
    <row r="78" spans="1:26" ht="12.75" customHeight="1" x14ac:dyDescent="0.2">
      <c r="A78" s="95"/>
      <c r="B78" s="95"/>
      <c r="C78" s="40" t="s">
        <v>36</v>
      </c>
      <c r="D78" s="41">
        <v>28</v>
      </c>
      <c r="E78" s="42">
        <v>0</v>
      </c>
      <c r="F78" s="42">
        <v>0</v>
      </c>
      <c r="G78" s="42">
        <v>0</v>
      </c>
      <c r="H78" s="42">
        <v>0</v>
      </c>
      <c r="I78" s="42">
        <v>0</v>
      </c>
      <c r="J78" s="42">
        <v>0</v>
      </c>
      <c r="K78" s="43">
        <v>0</v>
      </c>
      <c r="L78" s="32">
        <v>0</v>
      </c>
      <c r="M78" s="33"/>
      <c r="N78" s="30">
        <v>0</v>
      </c>
      <c r="O78" s="30">
        <v>0</v>
      </c>
      <c r="P78" s="30"/>
      <c r="Q78" s="30">
        <f>(N78+O78*0.18+J78)+(IF((P78-O78*0.18)&gt;0,(P78-O78*0.18),0))</f>
        <v>0</v>
      </c>
      <c r="R78" s="7"/>
      <c r="S78" s="7"/>
      <c r="T78" s="7"/>
      <c r="U78" s="7"/>
      <c r="V78" s="7"/>
      <c r="W78" s="7"/>
      <c r="X78" s="7"/>
      <c r="Y78" s="7"/>
      <c r="Z78" s="7"/>
    </row>
    <row r="79" spans="1:26" ht="9" customHeight="1" x14ac:dyDescent="0.2">
      <c r="A79" s="95"/>
      <c r="B79" s="95"/>
      <c r="C79" s="34" t="s">
        <v>37</v>
      </c>
      <c r="D79" s="35">
        <v>29</v>
      </c>
      <c r="E79" s="36">
        <v>0</v>
      </c>
      <c r="F79" s="36">
        <v>0</v>
      </c>
      <c r="G79" s="36">
        <v>0</v>
      </c>
      <c r="H79" s="36">
        <v>0</v>
      </c>
      <c r="I79" s="36">
        <v>0</v>
      </c>
      <c r="J79" s="37">
        <v>0</v>
      </c>
      <c r="K79" s="36">
        <v>0</v>
      </c>
      <c r="L79" s="38">
        <v>0</v>
      </c>
      <c r="M79" s="39"/>
      <c r="N79" s="36">
        <v>0</v>
      </c>
      <c r="O79" s="36">
        <v>0</v>
      </c>
      <c r="P79" s="36">
        <v>0</v>
      </c>
      <c r="Q79" s="36">
        <f>Q78*1936.27</f>
        <v>0</v>
      </c>
      <c r="R79" s="7"/>
      <c r="S79" s="7"/>
      <c r="T79" s="7"/>
      <c r="U79" s="7"/>
      <c r="V79" s="7"/>
      <c r="W79" s="7"/>
      <c r="X79" s="7"/>
      <c r="Y79" s="7"/>
      <c r="Z79" s="7"/>
    </row>
    <row r="80" spans="1:26" ht="12.75" customHeight="1" x14ac:dyDescent="0.2">
      <c r="A80" s="95"/>
      <c r="B80" s="95"/>
      <c r="C80" s="40" t="s">
        <v>36</v>
      </c>
      <c r="D80" s="41">
        <v>30</v>
      </c>
      <c r="E80" s="42">
        <v>0</v>
      </c>
      <c r="F80" s="42">
        <v>0</v>
      </c>
      <c r="G80" s="42">
        <v>0</v>
      </c>
      <c r="H80" s="42">
        <v>0</v>
      </c>
      <c r="I80" s="42">
        <v>0</v>
      </c>
      <c r="J80" s="42">
        <v>0</v>
      </c>
      <c r="K80" s="43">
        <v>0</v>
      </c>
      <c r="L80" s="32">
        <v>0</v>
      </c>
      <c r="M80" s="33"/>
      <c r="N80" s="30">
        <v>0</v>
      </c>
      <c r="O80" s="30">
        <v>0</v>
      </c>
      <c r="P80" s="30"/>
      <c r="Q80" s="30">
        <f>(N80+O80*0.18+J80)+(IF((P80-O80*0.18)&gt;0,(P80-O80*0.18),0))</f>
        <v>0</v>
      </c>
      <c r="R80" s="7"/>
      <c r="S80" s="7"/>
      <c r="T80" s="7"/>
      <c r="U80" s="7"/>
      <c r="V80" s="7"/>
      <c r="W80" s="7"/>
      <c r="X80" s="7"/>
      <c r="Y80" s="7"/>
      <c r="Z80" s="7"/>
    </row>
    <row r="81" spans="1:26" ht="9" customHeight="1" x14ac:dyDescent="0.2">
      <c r="A81" s="95"/>
      <c r="B81" s="95"/>
      <c r="C81" s="34" t="s">
        <v>37</v>
      </c>
      <c r="D81" s="35">
        <v>33</v>
      </c>
      <c r="E81" s="36">
        <v>0</v>
      </c>
      <c r="F81" s="36">
        <v>0</v>
      </c>
      <c r="G81" s="36">
        <v>0</v>
      </c>
      <c r="H81" s="36">
        <v>0</v>
      </c>
      <c r="I81" s="36">
        <v>0</v>
      </c>
      <c r="J81" s="37">
        <v>0</v>
      </c>
      <c r="K81" s="36">
        <v>0</v>
      </c>
      <c r="L81" s="38">
        <v>0</v>
      </c>
      <c r="M81" s="39"/>
      <c r="N81" s="36">
        <v>0</v>
      </c>
      <c r="O81" s="36">
        <v>0</v>
      </c>
      <c r="P81" s="36">
        <v>0</v>
      </c>
      <c r="Q81" s="36">
        <f>Q80*1936.27</f>
        <v>0</v>
      </c>
      <c r="R81" s="7"/>
      <c r="S81" s="7"/>
      <c r="T81" s="7"/>
      <c r="U81" s="7"/>
      <c r="V81" s="7"/>
      <c r="W81" s="7"/>
      <c r="X81" s="7"/>
      <c r="Y81" s="7"/>
      <c r="Z81" s="7"/>
    </row>
    <row r="82" spans="1:26" ht="12.75" customHeight="1" x14ac:dyDescent="0.2">
      <c r="A82" s="95"/>
      <c r="B82" s="95"/>
      <c r="C82" s="40" t="s">
        <v>36</v>
      </c>
      <c r="D82" s="41">
        <v>34</v>
      </c>
      <c r="E82" s="42">
        <v>0</v>
      </c>
      <c r="F82" s="42">
        <v>0</v>
      </c>
      <c r="G82" s="42">
        <v>0</v>
      </c>
      <c r="H82" s="42">
        <v>0</v>
      </c>
      <c r="I82" s="42">
        <v>0</v>
      </c>
      <c r="J82" s="42">
        <v>0</v>
      </c>
      <c r="K82" s="43">
        <v>0</v>
      </c>
      <c r="L82" s="32">
        <v>0</v>
      </c>
      <c r="M82" s="33"/>
      <c r="N82" s="30">
        <v>0</v>
      </c>
      <c r="O82" s="30">
        <v>0</v>
      </c>
      <c r="P82" s="30"/>
      <c r="Q82" s="30">
        <f>(N82+O82*0.18+J82)+(IF((P82-O82*0.18)&gt;0,(P82-O82*0.18),0))</f>
        <v>0</v>
      </c>
      <c r="R82" s="7"/>
      <c r="S82" s="7"/>
      <c r="T82" s="7"/>
      <c r="U82" s="7"/>
      <c r="V82" s="7"/>
      <c r="W82" s="7"/>
      <c r="X82" s="7"/>
      <c r="Y82" s="7"/>
      <c r="Z82" s="7"/>
    </row>
    <row r="83" spans="1:26" ht="9" customHeight="1" x14ac:dyDescent="0.2">
      <c r="A83" s="95"/>
      <c r="B83" s="95"/>
      <c r="C83" s="34" t="s">
        <v>37</v>
      </c>
      <c r="D83" s="35">
        <v>35</v>
      </c>
      <c r="E83" s="36">
        <v>0</v>
      </c>
      <c r="F83" s="36">
        <v>0</v>
      </c>
      <c r="G83" s="36">
        <v>0</v>
      </c>
      <c r="H83" s="36">
        <v>0</v>
      </c>
      <c r="I83" s="36">
        <v>0</v>
      </c>
      <c r="J83" s="37">
        <v>0</v>
      </c>
      <c r="K83" s="36">
        <v>0</v>
      </c>
      <c r="L83" s="38">
        <v>0</v>
      </c>
      <c r="M83" s="39"/>
      <c r="N83" s="36">
        <v>0</v>
      </c>
      <c r="O83" s="36">
        <v>0</v>
      </c>
      <c r="P83" s="36">
        <v>0</v>
      </c>
      <c r="Q83" s="36">
        <f>Q82*1936.27</f>
        <v>0</v>
      </c>
      <c r="R83" s="7"/>
      <c r="S83" s="7"/>
      <c r="T83" s="7"/>
      <c r="U83" s="7"/>
      <c r="V83" s="7"/>
      <c r="W83" s="7"/>
      <c r="X83" s="7"/>
      <c r="Y83" s="7"/>
      <c r="Z83" s="7"/>
    </row>
    <row r="84" spans="1:26" ht="12.75" customHeight="1" x14ac:dyDescent="0.2">
      <c r="A84" s="95"/>
      <c r="B84" s="95"/>
      <c r="C84" s="40" t="s">
        <v>36</v>
      </c>
      <c r="D84" s="41">
        <v>36</v>
      </c>
      <c r="E84" s="42">
        <v>0</v>
      </c>
      <c r="F84" s="42">
        <v>0</v>
      </c>
      <c r="G84" s="42">
        <v>0</v>
      </c>
      <c r="H84" s="42">
        <v>0</v>
      </c>
      <c r="I84" s="42">
        <v>0</v>
      </c>
      <c r="J84" s="42">
        <v>0</v>
      </c>
      <c r="K84" s="43">
        <v>0</v>
      </c>
      <c r="L84" s="32">
        <v>0</v>
      </c>
      <c r="M84" s="33"/>
      <c r="N84" s="30">
        <v>0</v>
      </c>
      <c r="O84" s="30">
        <v>0</v>
      </c>
      <c r="P84" s="30"/>
      <c r="Q84" s="30">
        <f>(N84+O84*0.18+J84)+(IF((P84-O84*0.18)&gt;0,(P84-O84*0.18),0))</f>
        <v>0</v>
      </c>
      <c r="R84" s="7"/>
      <c r="S84" s="7"/>
      <c r="T84" s="7"/>
      <c r="U84" s="7"/>
      <c r="V84" s="7"/>
      <c r="W84" s="7"/>
      <c r="X84" s="7"/>
      <c r="Y84" s="7"/>
      <c r="Z84" s="7"/>
    </row>
    <row r="85" spans="1:26" ht="9" customHeight="1" x14ac:dyDescent="0.2">
      <c r="A85" s="95"/>
      <c r="B85" s="95"/>
      <c r="C85" s="34" t="s">
        <v>37</v>
      </c>
      <c r="D85" s="35">
        <v>37</v>
      </c>
      <c r="E85" s="36">
        <v>0</v>
      </c>
      <c r="F85" s="36">
        <v>0</v>
      </c>
      <c r="G85" s="36">
        <v>0</v>
      </c>
      <c r="H85" s="36">
        <v>0</v>
      </c>
      <c r="I85" s="36">
        <v>0</v>
      </c>
      <c r="J85" s="37">
        <v>0</v>
      </c>
      <c r="K85" s="36">
        <v>0</v>
      </c>
      <c r="L85" s="38">
        <v>0</v>
      </c>
      <c r="M85" s="39"/>
      <c r="N85" s="36">
        <v>0</v>
      </c>
      <c r="O85" s="36">
        <v>0</v>
      </c>
      <c r="P85" s="36">
        <v>0</v>
      </c>
      <c r="Q85" s="36">
        <f>Q84*1936.27</f>
        <v>0</v>
      </c>
      <c r="R85" s="7"/>
      <c r="S85" s="7"/>
      <c r="T85" s="7"/>
      <c r="U85" s="7"/>
      <c r="V85" s="7"/>
      <c r="W85" s="7"/>
      <c r="X85" s="7"/>
      <c r="Y85" s="7"/>
      <c r="Z85" s="7"/>
    </row>
    <row r="86" spans="1:26" ht="12.75" customHeight="1" x14ac:dyDescent="0.2">
      <c r="A86" s="95"/>
      <c r="B86" s="95"/>
      <c r="C86" s="40" t="s">
        <v>36</v>
      </c>
      <c r="D86" s="41">
        <v>38</v>
      </c>
      <c r="E86" s="42">
        <v>0</v>
      </c>
      <c r="F86" s="42">
        <v>0</v>
      </c>
      <c r="G86" s="42">
        <v>0</v>
      </c>
      <c r="H86" s="42">
        <v>0</v>
      </c>
      <c r="I86" s="42">
        <v>0</v>
      </c>
      <c r="J86" s="42">
        <v>0</v>
      </c>
      <c r="K86" s="43">
        <v>0</v>
      </c>
      <c r="L86" s="32">
        <v>0</v>
      </c>
      <c r="M86" s="33"/>
      <c r="N86" s="30">
        <v>0</v>
      </c>
      <c r="O86" s="30">
        <v>0</v>
      </c>
      <c r="P86" s="30"/>
      <c r="Q86" s="30">
        <f>(N86+O86*0.18+J86)+(IF((P86-O86*0.18)&gt;0,(P86-O86*0.18),0))</f>
        <v>0</v>
      </c>
      <c r="R86" s="7"/>
      <c r="S86" s="7"/>
      <c r="T86" s="7"/>
      <c r="U86" s="7"/>
      <c r="V86" s="7"/>
      <c r="W86" s="7"/>
      <c r="X86" s="7"/>
      <c r="Y86" s="7"/>
      <c r="Z86" s="7"/>
    </row>
    <row r="87" spans="1:26" ht="9" customHeight="1" x14ac:dyDescent="0.2">
      <c r="A87" s="95"/>
      <c r="B87" s="95"/>
      <c r="C87" s="34" t="s">
        <v>37</v>
      </c>
      <c r="D87" s="35">
        <v>39</v>
      </c>
      <c r="E87" s="36">
        <v>0</v>
      </c>
      <c r="F87" s="36">
        <v>0</v>
      </c>
      <c r="G87" s="36">
        <v>0</v>
      </c>
      <c r="H87" s="36">
        <v>0</v>
      </c>
      <c r="I87" s="36">
        <v>0</v>
      </c>
      <c r="J87" s="37">
        <v>0</v>
      </c>
      <c r="K87" s="36">
        <v>0</v>
      </c>
      <c r="L87" s="38">
        <v>0</v>
      </c>
      <c r="M87" s="39"/>
      <c r="N87" s="36">
        <v>0</v>
      </c>
      <c r="O87" s="36">
        <v>0</v>
      </c>
      <c r="P87" s="36">
        <v>0</v>
      </c>
      <c r="Q87" s="36">
        <f>Q86*1936.27</f>
        <v>0</v>
      </c>
      <c r="R87" s="7"/>
      <c r="S87" s="7"/>
      <c r="T87" s="7"/>
      <c r="U87" s="7"/>
      <c r="V87" s="7"/>
      <c r="W87" s="7"/>
      <c r="X87" s="7"/>
      <c r="Y87" s="7"/>
      <c r="Z87" s="7"/>
    </row>
    <row r="88" spans="1:26" ht="12.75" customHeight="1" x14ac:dyDescent="0.2">
      <c r="A88" s="95"/>
      <c r="B88" s="95"/>
      <c r="C88" s="40" t="s">
        <v>36</v>
      </c>
      <c r="D88" s="41">
        <v>40</v>
      </c>
      <c r="E88" s="42">
        <v>0</v>
      </c>
      <c r="F88" s="42">
        <v>0</v>
      </c>
      <c r="G88" s="42">
        <v>0</v>
      </c>
      <c r="H88" s="42">
        <v>0</v>
      </c>
      <c r="I88" s="42">
        <v>0</v>
      </c>
      <c r="J88" s="42">
        <v>0</v>
      </c>
      <c r="K88" s="43">
        <v>0</v>
      </c>
      <c r="L88" s="32">
        <v>0</v>
      </c>
      <c r="M88" s="33"/>
      <c r="N88" s="30">
        <v>0</v>
      </c>
      <c r="O88" s="30">
        <v>0</v>
      </c>
      <c r="P88" s="30"/>
      <c r="Q88" s="30">
        <f>(N88+O88*0.18+J88)+(IF((P88-O88*0.18)&gt;0,(P88-O88*0.18),0))</f>
        <v>0</v>
      </c>
      <c r="R88" s="7"/>
      <c r="S88" s="7"/>
      <c r="T88" s="7"/>
      <c r="U88" s="7"/>
      <c r="V88" s="7"/>
      <c r="W88" s="7"/>
      <c r="X88" s="7"/>
      <c r="Y88" s="7"/>
      <c r="Z88" s="7"/>
    </row>
    <row r="89" spans="1:26" ht="9" customHeight="1" x14ac:dyDescent="0.2">
      <c r="A89" s="110"/>
      <c r="B89" s="110"/>
      <c r="C89" s="47"/>
      <c r="D89" s="48"/>
      <c r="E89" s="46">
        <v>0</v>
      </c>
      <c r="F89" s="46">
        <v>0</v>
      </c>
      <c r="G89" s="46">
        <v>0</v>
      </c>
      <c r="H89" s="46">
        <v>0</v>
      </c>
      <c r="I89" s="46">
        <v>0</v>
      </c>
      <c r="J89" s="49">
        <v>0</v>
      </c>
      <c r="K89" s="46">
        <v>0</v>
      </c>
      <c r="L89" s="38">
        <v>0</v>
      </c>
      <c r="M89" s="39"/>
      <c r="N89" s="36">
        <v>0</v>
      </c>
      <c r="O89" s="36">
        <v>0</v>
      </c>
      <c r="P89" s="36">
        <v>0</v>
      </c>
      <c r="Q89" s="36">
        <f>Q88*1936.27</f>
        <v>0</v>
      </c>
      <c r="R89" s="7"/>
      <c r="S89" s="7"/>
      <c r="T89" s="7"/>
      <c r="U89" s="7"/>
      <c r="V89" s="7"/>
      <c r="W89" s="7"/>
      <c r="X89" s="7"/>
      <c r="Y89" s="7"/>
      <c r="Z89" s="7"/>
    </row>
    <row r="90" spans="1:26" ht="12.75" customHeight="1" x14ac:dyDescent="0.2">
      <c r="A90" s="98">
        <v>33359</v>
      </c>
      <c r="B90" s="98">
        <v>33542</v>
      </c>
      <c r="C90" s="28" t="s">
        <v>36</v>
      </c>
      <c r="D90" s="29">
        <v>0</v>
      </c>
      <c r="E90" s="30">
        <v>0</v>
      </c>
      <c r="F90" s="30">
        <v>0</v>
      </c>
      <c r="G90" s="30">
        <v>0</v>
      </c>
      <c r="H90" s="30">
        <v>0</v>
      </c>
      <c r="I90" s="30">
        <v>0</v>
      </c>
      <c r="J90" s="30">
        <v>0</v>
      </c>
      <c r="K90" s="31">
        <v>0</v>
      </c>
      <c r="L90" s="32">
        <v>0</v>
      </c>
      <c r="M90" s="33"/>
      <c r="N90" s="30">
        <v>0</v>
      </c>
      <c r="O90" s="30">
        <v>0</v>
      </c>
      <c r="P90" s="30"/>
      <c r="Q90" s="30">
        <f>(N90+O90*0.18+J90)+(IF((P90-O90*0.18)&gt;0,(P90-O90*0.18),0))</f>
        <v>0</v>
      </c>
      <c r="R90" s="7"/>
      <c r="S90" s="7"/>
      <c r="T90" s="7"/>
      <c r="U90" s="7"/>
      <c r="V90" s="7"/>
      <c r="W90" s="7"/>
      <c r="X90" s="7"/>
      <c r="Y90" s="7"/>
      <c r="Z90" s="7"/>
    </row>
    <row r="91" spans="1:26" ht="9" customHeight="1" x14ac:dyDescent="0.2">
      <c r="A91" s="95"/>
      <c r="B91" s="95"/>
      <c r="C91" s="34" t="s">
        <v>37</v>
      </c>
      <c r="D91" s="35">
        <v>0</v>
      </c>
      <c r="E91" s="36">
        <v>0</v>
      </c>
      <c r="F91" s="36">
        <v>0</v>
      </c>
      <c r="G91" s="36">
        <v>0</v>
      </c>
      <c r="H91" s="36">
        <v>0</v>
      </c>
      <c r="I91" s="36">
        <v>0</v>
      </c>
      <c r="J91" s="37">
        <v>0</v>
      </c>
      <c r="K91" s="36">
        <v>0</v>
      </c>
      <c r="L91" s="38">
        <v>0</v>
      </c>
      <c r="M91" s="39"/>
      <c r="N91" s="36">
        <v>0</v>
      </c>
      <c r="O91" s="36">
        <v>0</v>
      </c>
      <c r="P91" s="36">
        <v>0</v>
      </c>
      <c r="Q91" s="36">
        <f>Q90*1936.27</f>
        <v>0</v>
      </c>
      <c r="R91" s="7"/>
      <c r="S91" s="7"/>
      <c r="T91" s="7"/>
      <c r="U91" s="7"/>
      <c r="V91" s="7"/>
      <c r="W91" s="7"/>
      <c r="X91" s="7"/>
      <c r="Y91" s="7"/>
      <c r="Z91" s="7"/>
    </row>
    <row r="92" spans="1:26" ht="12.75" customHeight="1" x14ac:dyDescent="0.2">
      <c r="A92" s="155">
        <v>33359</v>
      </c>
      <c r="B92" s="155">
        <v>33542</v>
      </c>
      <c r="C92" s="40" t="s">
        <v>36</v>
      </c>
      <c r="D92" s="41">
        <v>1</v>
      </c>
      <c r="E92" s="42">
        <v>0</v>
      </c>
      <c r="F92" s="42">
        <v>0</v>
      </c>
      <c r="G92" s="42">
        <v>0</v>
      </c>
      <c r="H92" s="42">
        <v>0</v>
      </c>
      <c r="I92" s="42">
        <v>0</v>
      </c>
      <c r="J92" s="42">
        <v>0</v>
      </c>
      <c r="K92" s="43">
        <v>0</v>
      </c>
      <c r="L92" s="32">
        <v>0</v>
      </c>
      <c r="M92" s="33"/>
      <c r="N92" s="30">
        <v>0</v>
      </c>
      <c r="O92" s="30">
        <v>0</v>
      </c>
      <c r="P92" s="30"/>
      <c r="Q92" s="30">
        <f>(N92+O92*0.18+J92)+(IF((P92-O92*0.18)&gt;0,(P92-O92*0.18),0))</f>
        <v>0</v>
      </c>
      <c r="R92" s="7"/>
      <c r="S92" s="7"/>
      <c r="T92" s="7"/>
      <c r="U92" s="7"/>
      <c r="V92" s="7"/>
      <c r="W92" s="7"/>
      <c r="X92" s="7"/>
      <c r="Y92" s="7"/>
      <c r="Z92" s="7"/>
    </row>
    <row r="93" spans="1:26" ht="9" customHeight="1" x14ac:dyDescent="0.2">
      <c r="A93" s="95"/>
      <c r="B93" s="95"/>
      <c r="C93" s="34" t="s">
        <v>37</v>
      </c>
      <c r="D93" s="35">
        <v>2</v>
      </c>
      <c r="E93" s="36">
        <v>0</v>
      </c>
      <c r="F93" s="36">
        <v>0</v>
      </c>
      <c r="G93" s="36">
        <v>0</v>
      </c>
      <c r="H93" s="36">
        <v>0</v>
      </c>
      <c r="I93" s="36">
        <v>0</v>
      </c>
      <c r="J93" s="37">
        <v>0</v>
      </c>
      <c r="K93" s="36">
        <v>0</v>
      </c>
      <c r="L93" s="38">
        <v>0</v>
      </c>
      <c r="M93" s="39"/>
      <c r="N93" s="36">
        <v>0</v>
      </c>
      <c r="O93" s="36">
        <v>0</v>
      </c>
      <c r="P93" s="36">
        <v>0</v>
      </c>
      <c r="Q93" s="36">
        <f>Q92*1936.27</f>
        <v>0</v>
      </c>
      <c r="R93" s="7"/>
      <c r="S93" s="7"/>
      <c r="T93" s="7"/>
      <c r="U93" s="7"/>
      <c r="V93" s="7"/>
      <c r="W93" s="7"/>
      <c r="X93" s="7"/>
      <c r="Y93" s="7"/>
      <c r="Z93" s="7"/>
    </row>
    <row r="94" spans="1:26" ht="12.75" customHeight="1" x14ac:dyDescent="0.2">
      <c r="A94" s="95"/>
      <c r="B94" s="95"/>
      <c r="C94" s="40" t="s">
        <v>36</v>
      </c>
      <c r="D94" s="41">
        <v>3</v>
      </c>
      <c r="E94" s="42">
        <v>0</v>
      </c>
      <c r="F94" s="42">
        <v>0</v>
      </c>
      <c r="G94" s="42">
        <v>0</v>
      </c>
      <c r="H94" s="42">
        <v>0</v>
      </c>
      <c r="I94" s="42">
        <v>0</v>
      </c>
      <c r="J94" s="42">
        <v>0</v>
      </c>
      <c r="K94" s="43">
        <v>0</v>
      </c>
      <c r="L94" s="32">
        <v>0</v>
      </c>
      <c r="M94" s="33"/>
      <c r="N94" s="30">
        <v>0</v>
      </c>
      <c r="O94" s="30">
        <v>0</v>
      </c>
      <c r="P94" s="30"/>
      <c r="Q94" s="30">
        <f>(N94+O94*0.18+J94)+(IF((P94-O94*0.18)&gt;0,(P94-O94*0.18),0))</f>
        <v>0</v>
      </c>
      <c r="R94" s="7"/>
      <c r="S94" s="7"/>
      <c r="T94" s="7"/>
      <c r="U94" s="7"/>
      <c r="V94" s="7"/>
      <c r="W94" s="7"/>
      <c r="X94" s="7"/>
      <c r="Y94" s="7"/>
      <c r="Z94" s="7"/>
    </row>
    <row r="95" spans="1:26" ht="9" customHeight="1" x14ac:dyDescent="0.2">
      <c r="A95" s="95"/>
      <c r="B95" s="95"/>
      <c r="C95" s="34" t="s">
        <v>37</v>
      </c>
      <c r="D95" s="35">
        <v>4</v>
      </c>
      <c r="E95" s="36">
        <v>0</v>
      </c>
      <c r="F95" s="36">
        <v>0</v>
      </c>
      <c r="G95" s="36">
        <v>0</v>
      </c>
      <c r="H95" s="36">
        <v>0</v>
      </c>
      <c r="I95" s="36">
        <v>0</v>
      </c>
      <c r="J95" s="37">
        <v>0</v>
      </c>
      <c r="K95" s="36">
        <v>0</v>
      </c>
      <c r="L95" s="38">
        <v>0</v>
      </c>
      <c r="M95" s="39"/>
      <c r="N95" s="36">
        <v>0</v>
      </c>
      <c r="O95" s="36">
        <v>0</v>
      </c>
      <c r="P95" s="36">
        <v>0</v>
      </c>
      <c r="Q95" s="36">
        <f>Q94*1936.27</f>
        <v>0</v>
      </c>
      <c r="R95" s="7"/>
      <c r="S95" s="7"/>
      <c r="T95" s="7"/>
      <c r="U95" s="7"/>
      <c r="V95" s="7"/>
      <c r="W95" s="7"/>
      <c r="X95" s="7"/>
      <c r="Y95" s="7"/>
      <c r="Z95" s="7"/>
    </row>
    <row r="96" spans="1:26" ht="12.75" customHeight="1" x14ac:dyDescent="0.2">
      <c r="A96" s="95"/>
      <c r="B96" s="95"/>
      <c r="C96" s="40" t="s">
        <v>36</v>
      </c>
      <c r="D96" s="41">
        <v>5</v>
      </c>
      <c r="E96" s="42">
        <v>0</v>
      </c>
      <c r="F96" s="42">
        <v>0</v>
      </c>
      <c r="G96" s="42">
        <v>0</v>
      </c>
      <c r="H96" s="42">
        <v>0</v>
      </c>
      <c r="I96" s="42">
        <v>0</v>
      </c>
      <c r="J96" s="42">
        <v>0</v>
      </c>
      <c r="K96" s="43">
        <v>0</v>
      </c>
      <c r="L96" s="32">
        <v>0</v>
      </c>
      <c r="M96" s="33"/>
      <c r="N96" s="30">
        <v>0</v>
      </c>
      <c r="O96" s="30">
        <v>0</v>
      </c>
      <c r="P96" s="30"/>
      <c r="Q96" s="30">
        <f>(N96+O96*0.18+J96)+(IF((P96-O96*0.18)&gt;0,(P96-O96*0.18),0))</f>
        <v>0</v>
      </c>
      <c r="R96" s="7"/>
      <c r="S96" s="7"/>
      <c r="T96" s="7"/>
      <c r="U96" s="7"/>
      <c r="V96" s="7"/>
      <c r="W96" s="7"/>
      <c r="X96" s="7"/>
      <c r="Y96" s="7"/>
      <c r="Z96" s="7"/>
    </row>
    <row r="97" spans="1:26" ht="9" customHeight="1" x14ac:dyDescent="0.2">
      <c r="A97" s="95"/>
      <c r="B97" s="95"/>
      <c r="C97" s="34" t="s">
        <v>37</v>
      </c>
      <c r="D97" s="35">
        <v>6</v>
      </c>
      <c r="E97" s="36">
        <v>0</v>
      </c>
      <c r="F97" s="36">
        <v>0</v>
      </c>
      <c r="G97" s="36">
        <v>0</v>
      </c>
      <c r="H97" s="36">
        <v>0</v>
      </c>
      <c r="I97" s="36">
        <v>0</v>
      </c>
      <c r="J97" s="37">
        <v>0</v>
      </c>
      <c r="K97" s="36">
        <v>0</v>
      </c>
      <c r="L97" s="38">
        <v>0</v>
      </c>
      <c r="M97" s="39"/>
      <c r="N97" s="36">
        <v>0</v>
      </c>
      <c r="O97" s="36">
        <v>0</v>
      </c>
      <c r="P97" s="36">
        <v>0</v>
      </c>
      <c r="Q97" s="36">
        <f>Q96*1936.27</f>
        <v>0</v>
      </c>
      <c r="R97" s="7"/>
      <c r="S97" s="7"/>
      <c r="T97" s="7"/>
      <c r="U97" s="7"/>
      <c r="V97" s="7"/>
      <c r="W97" s="7"/>
      <c r="X97" s="7"/>
      <c r="Y97" s="7"/>
      <c r="Z97" s="7"/>
    </row>
    <row r="98" spans="1:26" ht="12.75" customHeight="1" x14ac:dyDescent="0.2">
      <c r="A98" s="95"/>
      <c r="B98" s="95"/>
      <c r="C98" s="40" t="s">
        <v>36</v>
      </c>
      <c r="D98" s="41">
        <v>7</v>
      </c>
      <c r="E98" s="42">
        <v>0</v>
      </c>
      <c r="F98" s="42">
        <v>0</v>
      </c>
      <c r="G98" s="42">
        <v>0</v>
      </c>
      <c r="H98" s="42">
        <v>0</v>
      </c>
      <c r="I98" s="42">
        <v>0</v>
      </c>
      <c r="J98" s="42">
        <v>0</v>
      </c>
      <c r="K98" s="43">
        <v>0</v>
      </c>
      <c r="L98" s="32">
        <v>0</v>
      </c>
      <c r="M98" s="33"/>
      <c r="N98" s="30">
        <v>0</v>
      </c>
      <c r="O98" s="30">
        <v>0</v>
      </c>
      <c r="P98" s="30"/>
      <c r="Q98" s="30">
        <f>(N98+O98*0.18+J98)+(IF((P98-O98*0.18)&gt;0,(P98-O98*0.18),0))</f>
        <v>0</v>
      </c>
      <c r="R98" s="7"/>
      <c r="S98" s="7"/>
      <c r="T98" s="7"/>
      <c r="U98" s="7"/>
      <c r="V98" s="7"/>
      <c r="W98" s="7"/>
      <c r="X98" s="7"/>
      <c r="Y98" s="7"/>
      <c r="Z98" s="7"/>
    </row>
    <row r="99" spans="1:26" ht="9" customHeight="1" x14ac:dyDescent="0.2">
      <c r="A99" s="95"/>
      <c r="B99" s="95"/>
      <c r="C99" s="34" t="s">
        <v>37</v>
      </c>
      <c r="D99" s="35">
        <v>8</v>
      </c>
      <c r="E99" s="36">
        <v>0</v>
      </c>
      <c r="F99" s="36">
        <v>0</v>
      </c>
      <c r="G99" s="36">
        <v>0</v>
      </c>
      <c r="H99" s="36">
        <v>0</v>
      </c>
      <c r="I99" s="36">
        <v>0</v>
      </c>
      <c r="J99" s="37">
        <v>0</v>
      </c>
      <c r="K99" s="36">
        <v>0</v>
      </c>
      <c r="L99" s="38">
        <v>0</v>
      </c>
      <c r="M99" s="39"/>
      <c r="N99" s="36">
        <v>0</v>
      </c>
      <c r="O99" s="36">
        <v>0</v>
      </c>
      <c r="P99" s="36">
        <v>0</v>
      </c>
      <c r="Q99" s="36">
        <f>Q98*1936.27</f>
        <v>0</v>
      </c>
      <c r="R99" s="7"/>
      <c r="S99" s="7"/>
      <c r="T99" s="7"/>
      <c r="U99" s="7"/>
      <c r="V99" s="7"/>
      <c r="W99" s="7"/>
      <c r="X99" s="7"/>
      <c r="Y99" s="7"/>
      <c r="Z99" s="7"/>
    </row>
    <row r="100" spans="1:26" ht="12.75" customHeight="1" x14ac:dyDescent="0.2">
      <c r="A100" s="95"/>
      <c r="B100" s="95"/>
      <c r="C100" s="40" t="s">
        <v>36</v>
      </c>
      <c r="D100" s="41">
        <v>9</v>
      </c>
      <c r="E100" s="42">
        <v>0</v>
      </c>
      <c r="F100" s="42">
        <v>0</v>
      </c>
      <c r="G100" s="42">
        <v>0</v>
      </c>
      <c r="H100" s="42">
        <v>0</v>
      </c>
      <c r="I100" s="42">
        <v>0</v>
      </c>
      <c r="J100" s="42">
        <v>0</v>
      </c>
      <c r="K100" s="43">
        <v>0</v>
      </c>
      <c r="L100" s="32">
        <v>0</v>
      </c>
      <c r="M100" s="33"/>
      <c r="N100" s="30">
        <v>0</v>
      </c>
      <c r="O100" s="30">
        <v>0</v>
      </c>
      <c r="P100" s="30"/>
      <c r="Q100" s="30">
        <f>(N100+O100*0.18+J100)+(IF((P100-O100*0.18)&gt;0,(P100-O100*0.18),0))</f>
        <v>0</v>
      </c>
      <c r="R100" s="7"/>
      <c r="S100" s="7"/>
      <c r="T100" s="7"/>
      <c r="U100" s="7"/>
      <c r="V100" s="7"/>
      <c r="W100" s="7"/>
      <c r="X100" s="7"/>
      <c r="Y100" s="7"/>
      <c r="Z100" s="7"/>
    </row>
    <row r="101" spans="1:26" ht="9" customHeight="1" x14ac:dyDescent="0.2">
      <c r="A101" s="95"/>
      <c r="B101" s="95"/>
      <c r="C101" s="34" t="s">
        <v>37</v>
      </c>
      <c r="D101" s="35">
        <v>10</v>
      </c>
      <c r="E101" s="36">
        <v>0</v>
      </c>
      <c r="F101" s="36">
        <v>0</v>
      </c>
      <c r="G101" s="36">
        <v>0</v>
      </c>
      <c r="H101" s="36">
        <v>0</v>
      </c>
      <c r="I101" s="36">
        <v>0</v>
      </c>
      <c r="J101" s="37">
        <v>0</v>
      </c>
      <c r="K101" s="36">
        <v>0</v>
      </c>
      <c r="L101" s="38">
        <v>0</v>
      </c>
      <c r="M101" s="39"/>
      <c r="N101" s="36">
        <v>0</v>
      </c>
      <c r="O101" s="36">
        <v>0</v>
      </c>
      <c r="P101" s="36">
        <v>0</v>
      </c>
      <c r="Q101" s="36">
        <f>Q100*1936.27</f>
        <v>0</v>
      </c>
      <c r="R101" s="7"/>
      <c r="S101" s="7"/>
      <c r="T101" s="7"/>
      <c r="U101" s="7"/>
      <c r="V101" s="7"/>
      <c r="W101" s="7"/>
      <c r="X101" s="7"/>
      <c r="Y101" s="7"/>
      <c r="Z101" s="7"/>
    </row>
    <row r="102" spans="1:26" ht="12.75" customHeight="1" x14ac:dyDescent="0.2">
      <c r="A102" s="95"/>
      <c r="B102" s="95"/>
      <c r="C102" s="40" t="s">
        <v>36</v>
      </c>
      <c r="D102" s="41">
        <v>11</v>
      </c>
      <c r="E102" s="42">
        <v>0</v>
      </c>
      <c r="F102" s="42">
        <v>0</v>
      </c>
      <c r="G102" s="42">
        <v>0</v>
      </c>
      <c r="H102" s="42">
        <v>0</v>
      </c>
      <c r="I102" s="42">
        <v>0</v>
      </c>
      <c r="J102" s="42">
        <v>0</v>
      </c>
      <c r="K102" s="43">
        <v>0</v>
      </c>
      <c r="L102" s="32">
        <v>0</v>
      </c>
      <c r="M102" s="33"/>
      <c r="N102" s="30">
        <v>0</v>
      </c>
      <c r="O102" s="30">
        <v>0</v>
      </c>
      <c r="P102" s="30"/>
      <c r="Q102" s="30">
        <f>(N102+O102*0.18+J102)+(IF((P102-O102*0.18)&gt;0,(P102-O102*0.18),0))</f>
        <v>0</v>
      </c>
      <c r="R102" s="7"/>
      <c r="S102" s="7"/>
      <c r="T102" s="7"/>
      <c r="U102" s="7"/>
      <c r="V102" s="7"/>
      <c r="W102" s="7"/>
      <c r="X102" s="7"/>
      <c r="Y102" s="7"/>
      <c r="Z102" s="7"/>
    </row>
    <row r="103" spans="1:26" ht="9" customHeight="1" x14ac:dyDescent="0.2">
      <c r="A103" s="95"/>
      <c r="B103" s="95"/>
      <c r="C103" s="34" t="s">
        <v>37</v>
      </c>
      <c r="D103" s="35">
        <v>12</v>
      </c>
      <c r="E103" s="36">
        <v>0</v>
      </c>
      <c r="F103" s="36">
        <v>0</v>
      </c>
      <c r="G103" s="36">
        <v>0</v>
      </c>
      <c r="H103" s="36">
        <v>0</v>
      </c>
      <c r="I103" s="36">
        <v>0</v>
      </c>
      <c r="J103" s="37">
        <v>0</v>
      </c>
      <c r="K103" s="36">
        <v>0</v>
      </c>
      <c r="L103" s="38">
        <v>0</v>
      </c>
      <c r="M103" s="39"/>
      <c r="N103" s="36">
        <v>0</v>
      </c>
      <c r="O103" s="36">
        <v>0</v>
      </c>
      <c r="P103" s="36">
        <v>0</v>
      </c>
      <c r="Q103" s="36">
        <f>Q102*1936.27</f>
        <v>0</v>
      </c>
      <c r="R103" s="7"/>
      <c r="S103" s="7"/>
      <c r="T103" s="7"/>
      <c r="U103" s="7"/>
      <c r="V103" s="7"/>
      <c r="W103" s="7"/>
      <c r="X103" s="7"/>
      <c r="Y103" s="7"/>
      <c r="Z103" s="7"/>
    </row>
    <row r="104" spans="1:26" ht="12.75" customHeight="1" x14ac:dyDescent="0.2">
      <c r="A104" s="95"/>
      <c r="B104" s="95"/>
      <c r="C104" s="40" t="s">
        <v>36</v>
      </c>
      <c r="D104" s="41">
        <v>13</v>
      </c>
      <c r="E104" s="42">
        <v>0</v>
      </c>
      <c r="F104" s="42">
        <v>0</v>
      </c>
      <c r="G104" s="42">
        <v>0</v>
      </c>
      <c r="H104" s="42">
        <v>0</v>
      </c>
      <c r="I104" s="42">
        <v>0</v>
      </c>
      <c r="J104" s="42">
        <v>0</v>
      </c>
      <c r="K104" s="43">
        <v>0</v>
      </c>
      <c r="L104" s="32">
        <v>0</v>
      </c>
      <c r="M104" s="33"/>
      <c r="N104" s="30">
        <v>0</v>
      </c>
      <c r="O104" s="30">
        <v>0</v>
      </c>
      <c r="P104" s="30"/>
      <c r="Q104" s="30">
        <f>(N104+O104*0.18+J104)+(IF((P104-O104*0.18)&gt;0,(P104-O104*0.18),0))</f>
        <v>0</v>
      </c>
      <c r="R104" s="7"/>
      <c r="S104" s="7"/>
      <c r="T104" s="7"/>
      <c r="U104" s="7"/>
      <c r="V104" s="7"/>
      <c r="W104" s="7"/>
      <c r="X104" s="7"/>
      <c r="Y104" s="7"/>
      <c r="Z104" s="7"/>
    </row>
    <row r="105" spans="1:26" ht="9" customHeight="1" x14ac:dyDescent="0.2">
      <c r="A105" s="95"/>
      <c r="B105" s="95"/>
      <c r="C105" s="34" t="s">
        <v>37</v>
      </c>
      <c r="D105" s="35">
        <v>14</v>
      </c>
      <c r="E105" s="36">
        <v>0</v>
      </c>
      <c r="F105" s="36">
        <v>0</v>
      </c>
      <c r="G105" s="36">
        <v>0</v>
      </c>
      <c r="H105" s="36">
        <v>0</v>
      </c>
      <c r="I105" s="36">
        <v>0</v>
      </c>
      <c r="J105" s="37">
        <v>0</v>
      </c>
      <c r="K105" s="36">
        <v>0</v>
      </c>
      <c r="L105" s="38">
        <v>0</v>
      </c>
      <c r="M105" s="39"/>
      <c r="N105" s="36">
        <v>0</v>
      </c>
      <c r="O105" s="36">
        <v>0</v>
      </c>
      <c r="P105" s="36">
        <v>0</v>
      </c>
      <c r="Q105" s="36">
        <f>Q104*1936.27</f>
        <v>0</v>
      </c>
      <c r="R105" s="7"/>
      <c r="S105" s="7"/>
      <c r="T105" s="7"/>
      <c r="U105" s="7"/>
      <c r="V105" s="7"/>
      <c r="W105" s="7"/>
      <c r="X105" s="7"/>
      <c r="Y105" s="7"/>
      <c r="Z105" s="7"/>
    </row>
    <row r="106" spans="1:26" ht="12.75" customHeight="1" x14ac:dyDescent="0.2">
      <c r="A106" s="95"/>
      <c r="B106" s="95"/>
      <c r="C106" s="40" t="s">
        <v>36</v>
      </c>
      <c r="D106" s="41">
        <v>15</v>
      </c>
      <c r="E106" s="42">
        <v>0</v>
      </c>
      <c r="F106" s="42">
        <v>0</v>
      </c>
      <c r="G106" s="42">
        <v>0</v>
      </c>
      <c r="H106" s="42">
        <v>0</v>
      </c>
      <c r="I106" s="42">
        <v>0</v>
      </c>
      <c r="J106" s="42">
        <v>0</v>
      </c>
      <c r="K106" s="43">
        <v>0</v>
      </c>
      <c r="L106" s="32">
        <v>0</v>
      </c>
      <c r="M106" s="33"/>
      <c r="N106" s="30">
        <v>0</v>
      </c>
      <c r="O106" s="30">
        <v>0</v>
      </c>
      <c r="P106" s="30"/>
      <c r="Q106" s="30">
        <f>(N106+O106*0.18+J106)+(IF((P106-O106*0.18)&gt;0,(P106-O106*0.18),0))</f>
        <v>0</v>
      </c>
      <c r="R106" s="7"/>
      <c r="S106" s="7"/>
      <c r="T106" s="7"/>
      <c r="U106" s="7"/>
      <c r="V106" s="7"/>
      <c r="W106" s="7"/>
      <c r="X106" s="7"/>
      <c r="Y106" s="7"/>
      <c r="Z106" s="7"/>
    </row>
    <row r="107" spans="1:26" ht="9" customHeight="1" x14ac:dyDescent="0.2">
      <c r="A107" s="95"/>
      <c r="B107" s="95"/>
      <c r="C107" s="34" t="s">
        <v>37</v>
      </c>
      <c r="D107" s="35">
        <v>16</v>
      </c>
      <c r="E107" s="36">
        <v>0</v>
      </c>
      <c r="F107" s="36">
        <v>0</v>
      </c>
      <c r="G107" s="36">
        <v>0</v>
      </c>
      <c r="H107" s="36">
        <v>0</v>
      </c>
      <c r="I107" s="36">
        <v>0</v>
      </c>
      <c r="J107" s="37">
        <v>0</v>
      </c>
      <c r="K107" s="36">
        <v>0</v>
      </c>
      <c r="L107" s="38">
        <v>0</v>
      </c>
      <c r="M107" s="39"/>
      <c r="N107" s="36">
        <v>0</v>
      </c>
      <c r="O107" s="36">
        <v>0</v>
      </c>
      <c r="P107" s="36">
        <v>0</v>
      </c>
      <c r="Q107" s="36">
        <f>Q106*1936.27</f>
        <v>0</v>
      </c>
      <c r="R107" s="7"/>
      <c r="S107" s="7"/>
      <c r="T107" s="7"/>
      <c r="U107" s="7"/>
      <c r="V107" s="7"/>
      <c r="W107" s="7"/>
      <c r="X107" s="7"/>
      <c r="Y107" s="7"/>
      <c r="Z107" s="7"/>
    </row>
    <row r="108" spans="1:26" ht="12.75" customHeight="1" x14ac:dyDescent="0.2">
      <c r="A108" s="95"/>
      <c r="B108" s="95"/>
      <c r="C108" s="40" t="s">
        <v>36</v>
      </c>
      <c r="D108" s="41">
        <v>17</v>
      </c>
      <c r="E108" s="42">
        <v>0</v>
      </c>
      <c r="F108" s="42">
        <v>0</v>
      </c>
      <c r="G108" s="42">
        <v>0</v>
      </c>
      <c r="H108" s="42">
        <v>0</v>
      </c>
      <c r="I108" s="42">
        <v>0</v>
      </c>
      <c r="J108" s="42">
        <v>0</v>
      </c>
      <c r="K108" s="43">
        <v>0</v>
      </c>
      <c r="L108" s="32">
        <v>0</v>
      </c>
      <c r="M108" s="33"/>
      <c r="N108" s="30">
        <v>0</v>
      </c>
      <c r="O108" s="30">
        <v>0</v>
      </c>
      <c r="P108" s="30"/>
      <c r="Q108" s="30">
        <f>(N108+O108*0.18+J108)+(IF((P108-O108*0.18)&gt;0,(P108-O108*0.18),0))</f>
        <v>0</v>
      </c>
      <c r="R108" s="7"/>
      <c r="S108" s="7"/>
      <c r="T108" s="7"/>
      <c r="U108" s="7"/>
      <c r="V108" s="7"/>
      <c r="W108" s="7"/>
      <c r="X108" s="7"/>
      <c r="Y108" s="7"/>
      <c r="Z108" s="7"/>
    </row>
    <row r="109" spans="1:26" ht="9" customHeight="1" x14ac:dyDescent="0.2">
      <c r="A109" s="95"/>
      <c r="B109" s="95"/>
      <c r="C109" s="34" t="s">
        <v>37</v>
      </c>
      <c r="D109" s="35">
        <v>17</v>
      </c>
      <c r="E109" s="36">
        <v>0</v>
      </c>
      <c r="F109" s="36">
        <v>0</v>
      </c>
      <c r="G109" s="36">
        <v>0</v>
      </c>
      <c r="H109" s="36">
        <v>0</v>
      </c>
      <c r="I109" s="36">
        <v>0</v>
      </c>
      <c r="J109" s="37">
        <v>0</v>
      </c>
      <c r="K109" s="36">
        <v>0</v>
      </c>
      <c r="L109" s="38">
        <v>0</v>
      </c>
      <c r="M109" s="39"/>
      <c r="N109" s="36">
        <v>0</v>
      </c>
      <c r="O109" s="36">
        <v>0</v>
      </c>
      <c r="P109" s="36">
        <v>0</v>
      </c>
      <c r="Q109" s="36">
        <f>Q108*1936.27</f>
        <v>0</v>
      </c>
      <c r="R109" s="7"/>
      <c r="S109" s="7"/>
      <c r="T109" s="7"/>
      <c r="U109" s="7"/>
      <c r="V109" s="7"/>
      <c r="W109" s="7"/>
      <c r="X109" s="7"/>
      <c r="Y109" s="7"/>
      <c r="Z109" s="7"/>
    </row>
    <row r="110" spans="1:26" ht="12.75" customHeight="1" x14ac:dyDescent="0.2">
      <c r="A110" s="95"/>
      <c r="B110" s="95"/>
      <c r="C110" s="40" t="s">
        <v>36</v>
      </c>
      <c r="D110" s="41">
        <v>18</v>
      </c>
      <c r="E110" s="42">
        <v>0</v>
      </c>
      <c r="F110" s="42">
        <v>0</v>
      </c>
      <c r="G110" s="42">
        <v>0</v>
      </c>
      <c r="H110" s="42">
        <v>0</v>
      </c>
      <c r="I110" s="42">
        <v>0</v>
      </c>
      <c r="J110" s="42">
        <v>0</v>
      </c>
      <c r="K110" s="43">
        <v>0</v>
      </c>
      <c r="L110" s="32">
        <v>0</v>
      </c>
      <c r="M110" s="33"/>
      <c r="N110" s="30">
        <v>0</v>
      </c>
      <c r="O110" s="30">
        <v>0</v>
      </c>
      <c r="P110" s="30"/>
      <c r="Q110" s="30">
        <f>(N110+O110*0.18+J110)+(IF((P110-O110*0.18)&gt;0,(P110-O110*0.18),0))</f>
        <v>0</v>
      </c>
      <c r="R110" s="7"/>
      <c r="S110" s="7"/>
      <c r="T110" s="7"/>
      <c r="U110" s="7"/>
      <c r="V110" s="7"/>
      <c r="W110" s="7"/>
      <c r="X110" s="7"/>
      <c r="Y110" s="7"/>
      <c r="Z110" s="7"/>
    </row>
    <row r="111" spans="1:26" ht="9" customHeight="1" x14ac:dyDescent="0.2">
      <c r="A111" s="95"/>
      <c r="B111" s="95"/>
      <c r="C111" s="34" t="s">
        <v>37</v>
      </c>
      <c r="D111" s="35">
        <v>19</v>
      </c>
      <c r="E111" s="36">
        <v>0</v>
      </c>
      <c r="F111" s="36">
        <v>0</v>
      </c>
      <c r="G111" s="36">
        <v>0</v>
      </c>
      <c r="H111" s="36">
        <v>0</v>
      </c>
      <c r="I111" s="36">
        <v>0</v>
      </c>
      <c r="J111" s="37">
        <v>0</v>
      </c>
      <c r="K111" s="36">
        <v>0</v>
      </c>
      <c r="L111" s="38">
        <v>0</v>
      </c>
      <c r="M111" s="39"/>
      <c r="N111" s="36">
        <v>0</v>
      </c>
      <c r="O111" s="36">
        <v>0</v>
      </c>
      <c r="P111" s="36">
        <v>0</v>
      </c>
      <c r="Q111" s="36">
        <f>Q110*1936.27</f>
        <v>0</v>
      </c>
      <c r="R111" s="7"/>
      <c r="S111" s="7"/>
      <c r="T111" s="7"/>
      <c r="U111" s="7"/>
      <c r="V111" s="7"/>
      <c r="W111" s="7"/>
      <c r="X111" s="7"/>
      <c r="Y111" s="7"/>
      <c r="Z111" s="7"/>
    </row>
    <row r="112" spans="1:26" ht="12.75" customHeight="1" x14ac:dyDescent="0.2">
      <c r="A112" s="95"/>
      <c r="B112" s="95"/>
      <c r="C112" s="40" t="s">
        <v>36</v>
      </c>
      <c r="D112" s="41">
        <v>20</v>
      </c>
      <c r="E112" s="42">
        <v>0</v>
      </c>
      <c r="F112" s="42">
        <v>0</v>
      </c>
      <c r="G112" s="42">
        <v>0</v>
      </c>
      <c r="H112" s="42">
        <v>0</v>
      </c>
      <c r="I112" s="42">
        <v>0</v>
      </c>
      <c r="J112" s="42">
        <v>0</v>
      </c>
      <c r="K112" s="43">
        <v>0</v>
      </c>
      <c r="L112" s="32">
        <v>0</v>
      </c>
      <c r="M112" s="33"/>
      <c r="N112" s="30">
        <v>0</v>
      </c>
      <c r="O112" s="30">
        <v>0</v>
      </c>
      <c r="P112" s="30"/>
      <c r="Q112" s="30">
        <f>(N112+O112*0.18+J112)+(IF((P112-O112*0.18)&gt;0,(P112-O112*0.18),0))</f>
        <v>0</v>
      </c>
      <c r="R112" s="7"/>
      <c r="S112" s="7"/>
      <c r="T112" s="7"/>
      <c r="U112" s="7"/>
      <c r="V112" s="7"/>
      <c r="W112" s="7"/>
      <c r="X112" s="7"/>
      <c r="Y112" s="7"/>
      <c r="Z112" s="7"/>
    </row>
    <row r="113" spans="1:26" ht="9" customHeight="1" x14ac:dyDescent="0.2">
      <c r="A113" s="95"/>
      <c r="B113" s="95"/>
      <c r="C113" s="34" t="s">
        <v>37</v>
      </c>
      <c r="D113" s="35">
        <v>21</v>
      </c>
      <c r="E113" s="36">
        <v>0</v>
      </c>
      <c r="F113" s="36">
        <v>0</v>
      </c>
      <c r="G113" s="36">
        <v>0</v>
      </c>
      <c r="H113" s="36">
        <v>0</v>
      </c>
      <c r="I113" s="36">
        <v>0</v>
      </c>
      <c r="J113" s="37">
        <v>0</v>
      </c>
      <c r="K113" s="36">
        <v>0</v>
      </c>
      <c r="L113" s="38">
        <v>0</v>
      </c>
      <c r="M113" s="39"/>
      <c r="N113" s="36">
        <v>0</v>
      </c>
      <c r="O113" s="36">
        <v>0</v>
      </c>
      <c r="P113" s="36">
        <v>0</v>
      </c>
      <c r="Q113" s="36">
        <f>Q112*1936.27</f>
        <v>0</v>
      </c>
      <c r="R113" s="7"/>
      <c r="S113" s="7"/>
      <c r="T113" s="7"/>
      <c r="U113" s="7"/>
      <c r="V113" s="7"/>
      <c r="W113" s="7"/>
      <c r="X113" s="7"/>
      <c r="Y113" s="7"/>
      <c r="Z113" s="7"/>
    </row>
    <row r="114" spans="1:26" ht="12.75" customHeight="1" x14ac:dyDescent="0.2">
      <c r="A114" s="95"/>
      <c r="B114" s="95"/>
      <c r="C114" s="40" t="s">
        <v>36</v>
      </c>
      <c r="D114" s="41">
        <v>22</v>
      </c>
      <c r="E114" s="42">
        <v>0</v>
      </c>
      <c r="F114" s="42">
        <v>0</v>
      </c>
      <c r="G114" s="42">
        <v>0</v>
      </c>
      <c r="H114" s="42">
        <v>0</v>
      </c>
      <c r="I114" s="42">
        <v>0</v>
      </c>
      <c r="J114" s="42">
        <v>0</v>
      </c>
      <c r="K114" s="43">
        <v>0</v>
      </c>
      <c r="L114" s="32">
        <v>0</v>
      </c>
      <c r="M114" s="33"/>
      <c r="N114" s="30">
        <v>0</v>
      </c>
      <c r="O114" s="30">
        <v>0</v>
      </c>
      <c r="P114" s="30"/>
      <c r="Q114" s="30">
        <f>(N114+O114*0.18+J114)+(IF((P114-O114*0.18)&gt;0,(P114-O114*0.18),0))</f>
        <v>0</v>
      </c>
      <c r="R114" s="7"/>
      <c r="S114" s="7"/>
      <c r="T114" s="7"/>
      <c r="U114" s="7"/>
      <c r="V114" s="7"/>
      <c r="W114" s="7"/>
      <c r="X114" s="7"/>
      <c r="Y114" s="7"/>
      <c r="Z114" s="7"/>
    </row>
    <row r="115" spans="1:26" ht="9" customHeight="1" x14ac:dyDescent="0.2">
      <c r="A115" s="95"/>
      <c r="B115" s="95"/>
      <c r="C115" s="34" t="s">
        <v>37</v>
      </c>
      <c r="D115" s="35">
        <v>23</v>
      </c>
      <c r="E115" s="36">
        <v>0</v>
      </c>
      <c r="F115" s="36">
        <v>0</v>
      </c>
      <c r="G115" s="36">
        <v>0</v>
      </c>
      <c r="H115" s="36">
        <v>0</v>
      </c>
      <c r="I115" s="36">
        <v>0</v>
      </c>
      <c r="J115" s="37">
        <v>0</v>
      </c>
      <c r="K115" s="36">
        <v>0</v>
      </c>
      <c r="L115" s="38">
        <v>0</v>
      </c>
      <c r="M115" s="39"/>
      <c r="N115" s="36">
        <v>0</v>
      </c>
      <c r="O115" s="36">
        <v>0</v>
      </c>
      <c r="P115" s="36">
        <v>0</v>
      </c>
      <c r="Q115" s="36">
        <f>Q114*1936.27</f>
        <v>0</v>
      </c>
      <c r="R115" s="7"/>
      <c r="S115" s="7"/>
      <c r="T115" s="7"/>
      <c r="U115" s="7"/>
      <c r="V115" s="7"/>
      <c r="W115" s="7"/>
      <c r="X115" s="7"/>
      <c r="Y115" s="7"/>
      <c r="Z115" s="7"/>
    </row>
    <row r="116" spans="1:26" ht="12.75" customHeight="1" x14ac:dyDescent="0.2">
      <c r="A116" s="95"/>
      <c r="B116" s="95"/>
      <c r="C116" s="40" t="s">
        <v>36</v>
      </c>
      <c r="D116" s="41">
        <v>24</v>
      </c>
      <c r="E116" s="42">
        <v>0</v>
      </c>
      <c r="F116" s="42">
        <v>0</v>
      </c>
      <c r="G116" s="42">
        <v>0</v>
      </c>
      <c r="H116" s="42">
        <v>0</v>
      </c>
      <c r="I116" s="42">
        <v>0</v>
      </c>
      <c r="J116" s="42">
        <v>0</v>
      </c>
      <c r="K116" s="43">
        <v>0</v>
      </c>
      <c r="L116" s="32">
        <v>0</v>
      </c>
      <c r="M116" s="33"/>
      <c r="N116" s="30">
        <v>0</v>
      </c>
      <c r="O116" s="30">
        <v>0</v>
      </c>
      <c r="P116" s="30"/>
      <c r="Q116" s="30">
        <f>(N116+O116*0.18+J116)+(IF((P116-O116*0.18)&gt;0,(P116-O116*0.18),0))</f>
        <v>0</v>
      </c>
      <c r="R116" s="7"/>
      <c r="S116" s="7"/>
      <c r="T116" s="7"/>
      <c r="U116" s="7"/>
      <c r="V116" s="7"/>
      <c r="W116" s="7"/>
      <c r="X116" s="7"/>
      <c r="Y116" s="7"/>
      <c r="Z116" s="7"/>
    </row>
    <row r="117" spans="1:26" ht="9" customHeight="1" x14ac:dyDescent="0.2">
      <c r="A117" s="95"/>
      <c r="B117" s="95"/>
      <c r="C117" s="34" t="s">
        <v>37</v>
      </c>
      <c r="D117" s="35">
        <v>25</v>
      </c>
      <c r="E117" s="36">
        <v>0</v>
      </c>
      <c r="F117" s="36">
        <v>0</v>
      </c>
      <c r="G117" s="36">
        <v>0</v>
      </c>
      <c r="H117" s="36">
        <v>0</v>
      </c>
      <c r="I117" s="36">
        <v>0</v>
      </c>
      <c r="J117" s="37">
        <v>0</v>
      </c>
      <c r="K117" s="36">
        <v>0</v>
      </c>
      <c r="L117" s="38">
        <v>0</v>
      </c>
      <c r="M117" s="39"/>
      <c r="N117" s="36">
        <v>0</v>
      </c>
      <c r="O117" s="36">
        <v>0</v>
      </c>
      <c r="P117" s="36">
        <v>0</v>
      </c>
      <c r="Q117" s="36">
        <f>Q116*1936.27</f>
        <v>0</v>
      </c>
      <c r="R117" s="7"/>
      <c r="S117" s="7"/>
      <c r="T117" s="7"/>
      <c r="U117" s="7"/>
      <c r="V117" s="7"/>
      <c r="W117" s="7"/>
      <c r="X117" s="7"/>
      <c r="Y117" s="7"/>
      <c r="Z117" s="7"/>
    </row>
    <row r="118" spans="1:26" ht="12.75" customHeight="1" x14ac:dyDescent="0.2">
      <c r="A118" s="95"/>
      <c r="B118" s="95"/>
      <c r="C118" s="40" t="s">
        <v>36</v>
      </c>
      <c r="D118" s="41">
        <v>26</v>
      </c>
      <c r="E118" s="42">
        <v>0</v>
      </c>
      <c r="F118" s="42">
        <v>0</v>
      </c>
      <c r="G118" s="42">
        <v>0</v>
      </c>
      <c r="H118" s="42">
        <v>0</v>
      </c>
      <c r="I118" s="42">
        <v>0</v>
      </c>
      <c r="J118" s="42">
        <v>0</v>
      </c>
      <c r="K118" s="43">
        <v>0</v>
      </c>
      <c r="L118" s="32">
        <v>0</v>
      </c>
      <c r="M118" s="33"/>
      <c r="N118" s="30">
        <v>0</v>
      </c>
      <c r="O118" s="30">
        <v>0</v>
      </c>
      <c r="P118" s="30"/>
      <c r="Q118" s="30">
        <f>(N118+O118*0.18+J118)+(IF((P118-O118*0.18)&gt;0,(P118-O118*0.18),0))</f>
        <v>0</v>
      </c>
      <c r="R118" s="7"/>
      <c r="S118" s="7"/>
      <c r="T118" s="7"/>
      <c r="U118" s="7"/>
      <c r="V118" s="7"/>
      <c r="W118" s="7"/>
      <c r="X118" s="7"/>
      <c r="Y118" s="7"/>
      <c r="Z118" s="7"/>
    </row>
    <row r="119" spans="1:26" ht="9" customHeight="1" x14ac:dyDescent="0.2">
      <c r="A119" s="95"/>
      <c r="B119" s="95"/>
      <c r="C119" s="34" t="s">
        <v>37</v>
      </c>
      <c r="D119" s="35">
        <v>27</v>
      </c>
      <c r="E119" s="36">
        <v>0</v>
      </c>
      <c r="F119" s="36">
        <v>0</v>
      </c>
      <c r="G119" s="36">
        <v>0</v>
      </c>
      <c r="H119" s="36">
        <v>0</v>
      </c>
      <c r="I119" s="36">
        <v>0</v>
      </c>
      <c r="J119" s="37">
        <v>0</v>
      </c>
      <c r="K119" s="36">
        <v>0</v>
      </c>
      <c r="L119" s="38">
        <v>0</v>
      </c>
      <c r="M119" s="39"/>
      <c r="N119" s="36">
        <v>0</v>
      </c>
      <c r="O119" s="36">
        <v>0</v>
      </c>
      <c r="P119" s="36">
        <v>0</v>
      </c>
      <c r="Q119" s="36">
        <f>Q118*1936.27</f>
        <v>0</v>
      </c>
      <c r="R119" s="7"/>
      <c r="S119" s="7"/>
      <c r="T119" s="7"/>
      <c r="U119" s="7"/>
      <c r="V119" s="7"/>
      <c r="W119" s="7"/>
      <c r="X119" s="7"/>
      <c r="Y119" s="7"/>
      <c r="Z119" s="7"/>
    </row>
    <row r="120" spans="1:26" ht="12.75" customHeight="1" x14ac:dyDescent="0.2">
      <c r="A120" s="95"/>
      <c r="B120" s="95"/>
      <c r="C120" s="40" t="s">
        <v>36</v>
      </c>
      <c r="D120" s="41">
        <v>28</v>
      </c>
      <c r="E120" s="42">
        <v>0</v>
      </c>
      <c r="F120" s="42">
        <v>0</v>
      </c>
      <c r="G120" s="42">
        <v>0</v>
      </c>
      <c r="H120" s="42">
        <v>0</v>
      </c>
      <c r="I120" s="42">
        <v>0</v>
      </c>
      <c r="J120" s="42">
        <v>0</v>
      </c>
      <c r="K120" s="43">
        <v>0</v>
      </c>
      <c r="L120" s="32">
        <v>0</v>
      </c>
      <c r="M120" s="33"/>
      <c r="N120" s="30">
        <v>0</v>
      </c>
      <c r="O120" s="30">
        <v>0</v>
      </c>
      <c r="P120" s="30"/>
      <c r="Q120" s="30">
        <f>(N120+O120*0.18+J120)+(IF((P120-O120*0.18)&gt;0,(P120-O120*0.18),0))</f>
        <v>0</v>
      </c>
      <c r="R120" s="7"/>
      <c r="S120" s="7"/>
      <c r="T120" s="7"/>
      <c r="U120" s="7"/>
      <c r="V120" s="7"/>
      <c r="W120" s="7"/>
      <c r="X120" s="7"/>
      <c r="Y120" s="7"/>
      <c r="Z120" s="7"/>
    </row>
    <row r="121" spans="1:26" ht="9" customHeight="1" x14ac:dyDescent="0.2">
      <c r="A121" s="95"/>
      <c r="B121" s="95"/>
      <c r="C121" s="34" t="s">
        <v>37</v>
      </c>
      <c r="D121" s="35">
        <v>29</v>
      </c>
      <c r="E121" s="36">
        <v>0</v>
      </c>
      <c r="F121" s="36">
        <v>0</v>
      </c>
      <c r="G121" s="36">
        <v>0</v>
      </c>
      <c r="H121" s="36">
        <v>0</v>
      </c>
      <c r="I121" s="36">
        <v>0</v>
      </c>
      <c r="J121" s="37">
        <v>0</v>
      </c>
      <c r="K121" s="36">
        <v>0</v>
      </c>
      <c r="L121" s="38">
        <v>0</v>
      </c>
      <c r="M121" s="39"/>
      <c r="N121" s="36">
        <v>0</v>
      </c>
      <c r="O121" s="36">
        <v>0</v>
      </c>
      <c r="P121" s="36">
        <v>0</v>
      </c>
      <c r="Q121" s="36">
        <f>Q120*1936.27</f>
        <v>0</v>
      </c>
      <c r="R121" s="7"/>
      <c r="S121" s="7"/>
      <c r="T121" s="7"/>
      <c r="U121" s="7"/>
      <c r="V121" s="7"/>
      <c r="W121" s="7"/>
      <c r="X121" s="7"/>
      <c r="Y121" s="7"/>
      <c r="Z121" s="7"/>
    </row>
    <row r="122" spans="1:26" ht="12.75" customHeight="1" x14ac:dyDescent="0.2">
      <c r="A122" s="95"/>
      <c r="B122" s="95"/>
      <c r="C122" s="40" t="s">
        <v>36</v>
      </c>
      <c r="D122" s="41">
        <v>30</v>
      </c>
      <c r="E122" s="42">
        <v>0</v>
      </c>
      <c r="F122" s="42">
        <v>0</v>
      </c>
      <c r="G122" s="42">
        <v>0</v>
      </c>
      <c r="H122" s="42">
        <v>0</v>
      </c>
      <c r="I122" s="42">
        <v>0</v>
      </c>
      <c r="J122" s="42">
        <v>0</v>
      </c>
      <c r="K122" s="43">
        <v>0</v>
      </c>
      <c r="L122" s="32">
        <v>0</v>
      </c>
      <c r="M122" s="33"/>
      <c r="N122" s="30">
        <v>0</v>
      </c>
      <c r="O122" s="30">
        <v>0</v>
      </c>
      <c r="P122" s="30"/>
      <c r="Q122" s="30">
        <f>(N122+O122*0.18+J122)+(IF((P122-O122*0.18)&gt;0,(P122-O122*0.18),0))</f>
        <v>0</v>
      </c>
      <c r="R122" s="7"/>
      <c r="S122" s="7"/>
      <c r="T122" s="7"/>
      <c r="U122" s="7"/>
      <c r="V122" s="7"/>
      <c r="W122" s="7"/>
      <c r="X122" s="7"/>
      <c r="Y122" s="7"/>
      <c r="Z122" s="7"/>
    </row>
    <row r="123" spans="1:26" ht="9" customHeight="1" x14ac:dyDescent="0.2">
      <c r="A123" s="95"/>
      <c r="B123" s="95"/>
      <c r="C123" s="34" t="s">
        <v>37</v>
      </c>
      <c r="D123" s="35">
        <v>33</v>
      </c>
      <c r="E123" s="36">
        <v>0</v>
      </c>
      <c r="F123" s="36">
        <v>0</v>
      </c>
      <c r="G123" s="36">
        <v>0</v>
      </c>
      <c r="H123" s="36">
        <v>0</v>
      </c>
      <c r="I123" s="36">
        <v>0</v>
      </c>
      <c r="J123" s="37">
        <v>0</v>
      </c>
      <c r="K123" s="36">
        <v>0</v>
      </c>
      <c r="L123" s="38">
        <v>0</v>
      </c>
      <c r="M123" s="39"/>
      <c r="N123" s="36">
        <v>0</v>
      </c>
      <c r="O123" s="36">
        <v>0</v>
      </c>
      <c r="P123" s="36">
        <v>0</v>
      </c>
      <c r="Q123" s="36">
        <f>Q122*1936.27</f>
        <v>0</v>
      </c>
      <c r="R123" s="7"/>
      <c r="S123" s="7"/>
      <c r="T123" s="7"/>
      <c r="U123" s="7"/>
      <c r="V123" s="7"/>
      <c r="W123" s="7"/>
      <c r="X123" s="7"/>
      <c r="Y123" s="7"/>
      <c r="Z123" s="7"/>
    </row>
    <row r="124" spans="1:26" ht="12.75" customHeight="1" x14ac:dyDescent="0.2">
      <c r="A124" s="95"/>
      <c r="B124" s="95"/>
      <c r="C124" s="40" t="s">
        <v>36</v>
      </c>
      <c r="D124" s="41">
        <v>34</v>
      </c>
      <c r="E124" s="42">
        <v>0</v>
      </c>
      <c r="F124" s="42">
        <v>0</v>
      </c>
      <c r="G124" s="42">
        <v>0</v>
      </c>
      <c r="H124" s="42">
        <v>0</v>
      </c>
      <c r="I124" s="42">
        <v>0</v>
      </c>
      <c r="J124" s="42">
        <v>0</v>
      </c>
      <c r="K124" s="43">
        <v>0</v>
      </c>
      <c r="L124" s="32">
        <v>0</v>
      </c>
      <c r="M124" s="33"/>
      <c r="N124" s="30">
        <v>0</v>
      </c>
      <c r="O124" s="30">
        <v>0</v>
      </c>
      <c r="P124" s="30"/>
      <c r="Q124" s="30">
        <f>(N124+O124*0.18+J124)+(IF((P124-O124*0.18)&gt;0,(P124-O124*0.18),0))</f>
        <v>0</v>
      </c>
      <c r="R124" s="7"/>
      <c r="S124" s="7"/>
      <c r="T124" s="7"/>
      <c r="U124" s="7"/>
      <c r="V124" s="7"/>
      <c r="W124" s="7"/>
      <c r="X124" s="7"/>
      <c r="Y124" s="7"/>
      <c r="Z124" s="7"/>
    </row>
    <row r="125" spans="1:26" ht="9" customHeight="1" x14ac:dyDescent="0.2">
      <c r="A125" s="95"/>
      <c r="B125" s="95"/>
      <c r="C125" s="34" t="s">
        <v>37</v>
      </c>
      <c r="D125" s="35">
        <v>35</v>
      </c>
      <c r="E125" s="36">
        <v>0</v>
      </c>
      <c r="F125" s="36">
        <v>0</v>
      </c>
      <c r="G125" s="36">
        <v>0</v>
      </c>
      <c r="H125" s="36">
        <v>0</v>
      </c>
      <c r="I125" s="36">
        <v>0</v>
      </c>
      <c r="J125" s="37">
        <v>0</v>
      </c>
      <c r="K125" s="36">
        <v>0</v>
      </c>
      <c r="L125" s="38">
        <v>0</v>
      </c>
      <c r="M125" s="39"/>
      <c r="N125" s="36">
        <v>0</v>
      </c>
      <c r="O125" s="36">
        <v>0</v>
      </c>
      <c r="P125" s="36">
        <v>0</v>
      </c>
      <c r="Q125" s="36">
        <f>Q124*1936.27</f>
        <v>0</v>
      </c>
      <c r="R125" s="7"/>
      <c r="S125" s="7"/>
      <c r="T125" s="7"/>
      <c r="U125" s="7"/>
      <c r="V125" s="7"/>
      <c r="W125" s="7"/>
      <c r="X125" s="7"/>
      <c r="Y125" s="7"/>
      <c r="Z125" s="7"/>
    </row>
    <row r="126" spans="1:26" ht="12.75" customHeight="1" x14ac:dyDescent="0.2">
      <c r="A126" s="95"/>
      <c r="B126" s="95"/>
      <c r="C126" s="40" t="s">
        <v>36</v>
      </c>
      <c r="D126" s="41">
        <v>36</v>
      </c>
      <c r="E126" s="42">
        <v>0</v>
      </c>
      <c r="F126" s="42">
        <v>0</v>
      </c>
      <c r="G126" s="42">
        <v>0</v>
      </c>
      <c r="H126" s="42">
        <v>0</v>
      </c>
      <c r="I126" s="42">
        <v>0</v>
      </c>
      <c r="J126" s="42">
        <v>0</v>
      </c>
      <c r="K126" s="43">
        <v>0</v>
      </c>
      <c r="L126" s="32">
        <v>0</v>
      </c>
      <c r="M126" s="33"/>
      <c r="N126" s="30">
        <v>0</v>
      </c>
      <c r="O126" s="30">
        <v>0</v>
      </c>
      <c r="P126" s="30"/>
      <c r="Q126" s="30">
        <f>(N126+O126*0.18+J126)+(IF((P126-O126*0.18)&gt;0,(P126-O126*0.18),0))</f>
        <v>0</v>
      </c>
      <c r="R126" s="7"/>
      <c r="S126" s="7"/>
      <c r="T126" s="7"/>
      <c r="U126" s="7"/>
      <c r="V126" s="7"/>
      <c r="W126" s="7"/>
      <c r="X126" s="7"/>
      <c r="Y126" s="7"/>
      <c r="Z126" s="7"/>
    </row>
    <row r="127" spans="1:26" ht="9" customHeight="1" x14ac:dyDescent="0.2">
      <c r="A127" s="95"/>
      <c r="B127" s="95"/>
      <c r="C127" s="34" t="s">
        <v>37</v>
      </c>
      <c r="D127" s="35">
        <v>37</v>
      </c>
      <c r="E127" s="36">
        <v>0</v>
      </c>
      <c r="F127" s="36">
        <v>0</v>
      </c>
      <c r="G127" s="36">
        <v>0</v>
      </c>
      <c r="H127" s="36">
        <v>0</v>
      </c>
      <c r="I127" s="36">
        <v>0</v>
      </c>
      <c r="J127" s="37">
        <v>0</v>
      </c>
      <c r="K127" s="36">
        <v>0</v>
      </c>
      <c r="L127" s="38">
        <v>0</v>
      </c>
      <c r="M127" s="39"/>
      <c r="N127" s="36">
        <v>0</v>
      </c>
      <c r="O127" s="36">
        <v>0</v>
      </c>
      <c r="P127" s="36">
        <v>0</v>
      </c>
      <c r="Q127" s="36">
        <f>Q126*1936.27</f>
        <v>0</v>
      </c>
      <c r="R127" s="7"/>
      <c r="S127" s="7"/>
      <c r="T127" s="7"/>
      <c r="U127" s="7"/>
      <c r="V127" s="7"/>
      <c r="W127" s="7"/>
      <c r="X127" s="7"/>
      <c r="Y127" s="7"/>
      <c r="Z127" s="7"/>
    </row>
    <row r="128" spans="1:26" ht="12.75" customHeight="1" x14ac:dyDescent="0.2">
      <c r="A128" s="95"/>
      <c r="B128" s="95"/>
      <c r="C128" s="40" t="s">
        <v>36</v>
      </c>
      <c r="D128" s="41">
        <v>38</v>
      </c>
      <c r="E128" s="42">
        <v>0</v>
      </c>
      <c r="F128" s="42">
        <v>0</v>
      </c>
      <c r="G128" s="42">
        <v>0</v>
      </c>
      <c r="H128" s="42">
        <v>0</v>
      </c>
      <c r="I128" s="42">
        <v>0</v>
      </c>
      <c r="J128" s="42">
        <v>0</v>
      </c>
      <c r="K128" s="43">
        <v>0</v>
      </c>
      <c r="L128" s="32">
        <v>0</v>
      </c>
      <c r="M128" s="33"/>
      <c r="N128" s="30">
        <v>0</v>
      </c>
      <c r="O128" s="30">
        <v>0</v>
      </c>
      <c r="P128" s="30"/>
      <c r="Q128" s="30">
        <f>(N128+O128*0.18+J128)+(IF((P128-O128*0.18)&gt;0,(P128-O128*0.18),0))</f>
        <v>0</v>
      </c>
      <c r="R128" s="7"/>
      <c r="S128" s="7"/>
      <c r="T128" s="7"/>
      <c r="U128" s="7"/>
      <c r="V128" s="7"/>
      <c r="W128" s="7"/>
      <c r="X128" s="7"/>
      <c r="Y128" s="7"/>
      <c r="Z128" s="7"/>
    </row>
    <row r="129" spans="1:26" ht="9" customHeight="1" x14ac:dyDescent="0.2">
      <c r="A129" s="95"/>
      <c r="B129" s="95"/>
      <c r="C129" s="34" t="s">
        <v>37</v>
      </c>
      <c r="D129" s="35">
        <v>39</v>
      </c>
      <c r="E129" s="36">
        <v>0</v>
      </c>
      <c r="F129" s="36">
        <v>0</v>
      </c>
      <c r="G129" s="36">
        <v>0</v>
      </c>
      <c r="H129" s="36">
        <v>0</v>
      </c>
      <c r="I129" s="36">
        <v>0</v>
      </c>
      <c r="J129" s="37">
        <v>0</v>
      </c>
      <c r="K129" s="36">
        <v>0</v>
      </c>
      <c r="L129" s="38">
        <v>0</v>
      </c>
      <c r="M129" s="39"/>
      <c r="N129" s="36">
        <v>0</v>
      </c>
      <c r="O129" s="36">
        <v>0</v>
      </c>
      <c r="P129" s="36">
        <v>0</v>
      </c>
      <c r="Q129" s="36">
        <f>Q128*1936.27</f>
        <v>0</v>
      </c>
      <c r="R129" s="7"/>
      <c r="S129" s="7"/>
      <c r="T129" s="7"/>
      <c r="U129" s="7"/>
      <c r="V129" s="7"/>
      <c r="W129" s="7"/>
      <c r="X129" s="7"/>
      <c r="Y129" s="7"/>
      <c r="Z129" s="7"/>
    </row>
    <row r="130" spans="1:26" ht="12.75" customHeight="1" x14ac:dyDescent="0.2">
      <c r="A130" s="95"/>
      <c r="B130" s="95"/>
      <c r="C130" s="40" t="s">
        <v>36</v>
      </c>
      <c r="D130" s="41">
        <v>40</v>
      </c>
      <c r="E130" s="42">
        <v>0</v>
      </c>
      <c r="F130" s="42">
        <v>0</v>
      </c>
      <c r="G130" s="42">
        <v>0</v>
      </c>
      <c r="H130" s="42">
        <v>0</v>
      </c>
      <c r="I130" s="42">
        <v>0</v>
      </c>
      <c r="J130" s="42">
        <v>0</v>
      </c>
      <c r="K130" s="43">
        <v>0</v>
      </c>
      <c r="L130" s="32">
        <v>0</v>
      </c>
      <c r="M130" s="33"/>
      <c r="N130" s="30">
        <v>0</v>
      </c>
      <c r="O130" s="30">
        <v>0</v>
      </c>
      <c r="P130" s="30"/>
      <c r="Q130" s="30">
        <f>(N130+O130*0.18+J130)+(IF((P130-O130*0.18)&gt;0,(P130-O130*0.18),0))</f>
        <v>0</v>
      </c>
      <c r="R130" s="7"/>
      <c r="S130" s="7"/>
      <c r="T130" s="7"/>
      <c r="U130" s="7"/>
      <c r="V130" s="7"/>
      <c r="W130" s="7"/>
      <c r="X130" s="7"/>
      <c r="Y130" s="7"/>
      <c r="Z130" s="7"/>
    </row>
    <row r="131" spans="1:26" ht="9" customHeight="1" x14ac:dyDescent="0.2">
      <c r="A131" s="110"/>
      <c r="B131" s="110"/>
      <c r="C131" s="47"/>
      <c r="D131" s="48"/>
      <c r="E131" s="46">
        <v>0</v>
      </c>
      <c r="F131" s="46">
        <v>0</v>
      </c>
      <c r="G131" s="46">
        <v>0</v>
      </c>
      <c r="H131" s="46">
        <v>0</v>
      </c>
      <c r="I131" s="46">
        <v>0</v>
      </c>
      <c r="J131" s="49">
        <v>0</v>
      </c>
      <c r="K131" s="46">
        <v>0</v>
      </c>
      <c r="L131" s="38">
        <v>0</v>
      </c>
      <c r="M131" s="39"/>
      <c r="N131" s="36">
        <v>0</v>
      </c>
      <c r="O131" s="36">
        <v>0</v>
      </c>
      <c r="P131" s="36">
        <v>0</v>
      </c>
      <c r="Q131" s="36">
        <f>Q130*1936.27</f>
        <v>0</v>
      </c>
      <c r="R131" s="7"/>
      <c r="S131" s="7"/>
      <c r="T131" s="7"/>
      <c r="U131" s="7"/>
      <c r="V131" s="7"/>
      <c r="W131" s="7"/>
      <c r="X131" s="7"/>
      <c r="Y131" s="7"/>
      <c r="Z131" s="7"/>
    </row>
    <row r="132" spans="1:26" ht="12.75" customHeight="1" x14ac:dyDescent="0.2">
      <c r="A132" s="98">
        <v>33543</v>
      </c>
      <c r="B132" s="98">
        <v>33969</v>
      </c>
      <c r="C132" s="28" t="s">
        <v>36</v>
      </c>
      <c r="D132" s="29">
        <v>0</v>
      </c>
      <c r="E132" s="30">
        <v>0</v>
      </c>
      <c r="F132" s="30">
        <v>0</v>
      </c>
      <c r="G132" s="30">
        <v>0</v>
      </c>
      <c r="H132" s="30">
        <v>0</v>
      </c>
      <c r="I132" s="30">
        <v>0</v>
      </c>
      <c r="J132" s="30">
        <v>0</v>
      </c>
      <c r="K132" s="31">
        <v>0</v>
      </c>
      <c r="L132" s="32">
        <v>0</v>
      </c>
      <c r="M132" s="33"/>
      <c r="N132" s="30">
        <v>0</v>
      </c>
      <c r="O132" s="30">
        <v>0</v>
      </c>
      <c r="P132" s="30"/>
      <c r="Q132" s="30">
        <f>(N132+O132*0.18+J132)+(IF((P132-O132*0.18)&gt;0,(P132-O132*0.18),0))</f>
        <v>0</v>
      </c>
      <c r="R132" s="7"/>
      <c r="S132" s="7"/>
      <c r="T132" s="7"/>
      <c r="U132" s="7"/>
      <c r="V132" s="7"/>
      <c r="W132" s="7"/>
      <c r="X132" s="7"/>
      <c r="Y132" s="7"/>
      <c r="Z132" s="7"/>
    </row>
    <row r="133" spans="1:26" ht="9" customHeight="1" x14ac:dyDescent="0.2">
      <c r="A133" s="95"/>
      <c r="B133" s="95"/>
      <c r="C133" s="34" t="s">
        <v>37</v>
      </c>
      <c r="D133" s="35">
        <v>0</v>
      </c>
      <c r="E133" s="36">
        <v>0</v>
      </c>
      <c r="F133" s="36">
        <v>0</v>
      </c>
      <c r="G133" s="36">
        <v>0</v>
      </c>
      <c r="H133" s="36">
        <v>0</v>
      </c>
      <c r="I133" s="36">
        <v>0</v>
      </c>
      <c r="J133" s="37">
        <v>0</v>
      </c>
      <c r="K133" s="36">
        <v>0</v>
      </c>
      <c r="L133" s="38">
        <v>0</v>
      </c>
      <c r="M133" s="39"/>
      <c r="N133" s="36">
        <v>0</v>
      </c>
      <c r="O133" s="36">
        <v>0</v>
      </c>
      <c r="P133" s="36">
        <v>0</v>
      </c>
      <c r="Q133" s="36">
        <f>Q132*1936.27</f>
        <v>0</v>
      </c>
      <c r="R133" s="7"/>
      <c r="S133" s="7"/>
      <c r="T133" s="7"/>
      <c r="U133" s="7"/>
      <c r="V133" s="7"/>
      <c r="W133" s="7"/>
      <c r="X133" s="7"/>
      <c r="Y133" s="7"/>
      <c r="Z133" s="7"/>
    </row>
    <row r="134" spans="1:26" ht="12.75" customHeight="1" x14ac:dyDescent="0.2">
      <c r="A134" s="155">
        <v>33543</v>
      </c>
      <c r="B134" s="155">
        <v>33969</v>
      </c>
      <c r="C134" s="40" t="s">
        <v>36</v>
      </c>
      <c r="D134" s="41">
        <v>1</v>
      </c>
      <c r="E134" s="42">
        <v>0</v>
      </c>
      <c r="F134" s="42">
        <v>0</v>
      </c>
      <c r="G134" s="42">
        <v>0</v>
      </c>
      <c r="H134" s="42">
        <v>0</v>
      </c>
      <c r="I134" s="42">
        <v>0</v>
      </c>
      <c r="J134" s="42">
        <v>0</v>
      </c>
      <c r="K134" s="43">
        <v>0</v>
      </c>
      <c r="L134" s="32">
        <v>0</v>
      </c>
      <c r="M134" s="33"/>
      <c r="N134" s="30">
        <v>0</v>
      </c>
      <c r="O134" s="30">
        <v>0</v>
      </c>
      <c r="P134" s="30"/>
      <c r="Q134" s="30">
        <f>(N134+O134*0.18+J134)+(IF((P134-O134*0.18)&gt;0,(P134-O134*0.18),0))</f>
        <v>0</v>
      </c>
      <c r="R134" s="7"/>
      <c r="S134" s="7"/>
      <c r="T134" s="7"/>
      <c r="U134" s="7"/>
      <c r="V134" s="7"/>
      <c r="W134" s="7"/>
      <c r="X134" s="7"/>
      <c r="Y134" s="7"/>
      <c r="Z134" s="7"/>
    </row>
    <row r="135" spans="1:26" ht="9" customHeight="1" x14ac:dyDescent="0.2">
      <c r="A135" s="95"/>
      <c r="B135" s="95"/>
      <c r="C135" s="34" t="s">
        <v>37</v>
      </c>
      <c r="D135" s="35">
        <v>2</v>
      </c>
      <c r="E135" s="36">
        <v>0</v>
      </c>
      <c r="F135" s="36">
        <v>0</v>
      </c>
      <c r="G135" s="36">
        <v>0</v>
      </c>
      <c r="H135" s="36">
        <v>0</v>
      </c>
      <c r="I135" s="36">
        <v>0</v>
      </c>
      <c r="J135" s="37">
        <v>0</v>
      </c>
      <c r="K135" s="36">
        <v>0</v>
      </c>
      <c r="L135" s="38">
        <v>0</v>
      </c>
      <c r="M135" s="39"/>
      <c r="N135" s="36">
        <v>0</v>
      </c>
      <c r="O135" s="36">
        <v>0</v>
      </c>
      <c r="P135" s="36">
        <v>0</v>
      </c>
      <c r="Q135" s="36">
        <f>Q134*1936.27</f>
        <v>0</v>
      </c>
      <c r="R135" s="7"/>
      <c r="S135" s="7"/>
      <c r="T135" s="7"/>
      <c r="U135" s="7"/>
      <c r="V135" s="7"/>
      <c r="W135" s="7"/>
      <c r="X135" s="7"/>
      <c r="Y135" s="7"/>
      <c r="Z135" s="7"/>
    </row>
    <row r="136" spans="1:26" ht="12.75" customHeight="1" x14ac:dyDescent="0.2">
      <c r="A136" s="95"/>
      <c r="B136" s="95"/>
      <c r="C136" s="40" t="s">
        <v>36</v>
      </c>
      <c r="D136" s="41">
        <v>3</v>
      </c>
      <c r="E136" s="42">
        <v>0</v>
      </c>
      <c r="F136" s="42">
        <v>0</v>
      </c>
      <c r="G136" s="42">
        <v>0</v>
      </c>
      <c r="H136" s="42">
        <v>0</v>
      </c>
      <c r="I136" s="42">
        <v>0</v>
      </c>
      <c r="J136" s="42">
        <v>0</v>
      </c>
      <c r="K136" s="43">
        <v>0</v>
      </c>
      <c r="L136" s="32">
        <v>0</v>
      </c>
      <c r="M136" s="33"/>
      <c r="N136" s="30">
        <v>0</v>
      </c>
      <c r="O136" s="30">
        <v>0</v>
      </c>
      <c r="P136" s="30"/>
      <c r="Q136" s="30">
        <f>(N136+O136*0.18+J136)+(IF((P136-O136*0.18)&gt;0,(P136-O136*0.18),0))</f>
        <v>0</v>
      </c>
      <c r="R136" s="7"/>
      <c r="S136" s="7"/>
      <c r="T136" s="7"/>
      <c r="U136" s="7"/>
      <c r="V136" s="7"/>
      <c r="W136" s="7"/>
      <c r="X136" s="7"/>
      <c r="Y136" s="7"/>
      <c r="Z136" s="7"/>
    </row>
    <row r="137" spans="1:26" ht="9" customHeight="1" x14ac:dyDescent="0.2">
      <c r="A137" s="95"/>
      <c r="B137" s="95"/>
      <c r="C137" s="34" t="s">
        <v>37</v>
      </c>
      <c r="D137" s="35">
        <v>4</v>
      </c>
      <c r="E137" s="36">
        <v>0</v>
      </c>
      <c r="F137" s="36">
        <v>0</v>
      </c>
      <c r="G137" s="36">
        <v>0</v>
      </c>
      <c r="H137" s="36">
        <v>0</v>
      </c>
      <c r="I137" s="36">
        <v>0</v>
      </c>
      <c r="J137" s="37">
        <v>0</v>
      </c>
      <c r="K137" s="36">
        <v>0</v>
      </c>
      <c r="L137" s="38">
        <v>0</v>
      </c>
      <c r="M137" s="39"/>
      <c r="N137" s="36">
        <v>0</v>
      </c>
      <c r="O137" s="36">
        <v>0</v>
      </c>
      <c r="P137" s="36">
        <v>0</v>
      </c>
      <c r="Q137" s="36">
        <f>Q136*1936.27</f>
        <v>0</v>
      </c>
      <c r="R137" s="7"/>
      <c r="S137" s="7"/>
      <c r="T137" s="7"/>
      <c r="U137" s="7"/>
      <c r="V137" s="7"/>
      <c r="W137" s="7"/>
      <c r="X137" s="7"/>
      <c r="Y137" s="7"/>
      <c r="Z137" s="7"/>
    </row>
    <row r="138" spans="1:26" ht="12.75" customHeight="1" x14ac:dyDescent="0.2">
      <c r="A138" s="95"/>
      <c r="B138" s="95"/>
      <c r="C138" s="40" t="s">
        <v>36</v>
      </c>
      <c r="D138" s="41">
        <v>5</v>
      </c>
      <c r="E138" s="42">
        <v>0</v>
      </c>
      <c r="F138" s="42">
        <v>0</v>
      </c>
      <c r="G138" s="42">
        <v>0</v>
      </c>
      <c r="H138" s="42">
        <v>0</v>
      </c>
      <c r="I138" s="42">
        <v>0</v>
      </c>
      <c r="J138" s="42">
        <v>0</v>
      </c>
      <c r="K138" s="43">
        <v>0</v>
      </c>
      <c r="L138" s="32">
        <v>0</v>
      </c>
      <c r="M138" s="33"/>
      <c r="N138" s="30">
        <v>0</v>
      </c>
      <c r="O138" s="30">
        <v>0</v>
      </c>
      <c r="P138" s="30"/>
      <c r="Q138" s="30">
        <f>(N138+O138*0.18+J138)+(IF((P138-O138*0.18)&gt;0,(P138-O138*0.18),0))</f>
        <v>0</v>
      </c>
      <c r="R138" s="7"/>
      <c r="S138" s="7"/>
      <c r="T138" s="7"/>
      <c r="U138" s="7"/>
      <c r="V138" s="7"/>
      <c r="W138" s="7"/>
      <c r="X138" s="7"/>
      <c r="Y138" s="7"/>
      <c r="Z138" s="7"/>
    </row>
    <row r="139" spans="1:26" ht="9" customHeight="1" x14ac:dyDescent="0.2">
      <c r="A139" s="95"/>
      <c r="B139" s="95"/>
      <c r="C139" s="34" t="s">
        <v>37</v>
      </c>
      <c r="D139" s="35">
        <v>6</v>
      </c>
      <c r="E139" s="36">
        <v>0</v>
      </c>
      <c r="F139" s="36">
        <v>0</v>
      </c>
      <c r="G139" s="36">
        <v>0</v>
      </c>
      <c r="H139" s="36">
        <v>0</v>
      </c>
      <c r="I139" s="36">
        <v>0</v>
      </c>
      <c r="J139" s="37">
        <v>0</v>
      </c>
      <c r="K139" s="36">
        <v>0</v>
      </c>
      <c r="L139" s="38">
        <v>0</v>
      </c>
      <c r="M139" s="39"/>
      <c r="N139" s="36">
        <v>0</v>
      </c>
      <c r="O139" s="36">
        <v>0</v>
      </c>
      <c r="P139" s="36">
        <v>0</v>
      </c>
      <c r="Q139" s="36">
        <f>Q138*1936.27</f>
        <v>0</v>
      </c>
      <c r="R139" s="7"/>
      <c r="S139" s="7"/>
      <c r="T139" s="7"/>
      <c r="U139" s="7"/>
      <c r="V139" s="7"/>
      <c r="W139" s="7"/>
      <c r="X139" s="7"/>
      <c r="Y139" s="7"/>
      <c r="Z139" s="7"/>
    </row>
    <row r="140" spans="1:26" ht="12.75" customHeight="1" x14ac:dyDescent="0.2">
      <c r="A140" s="95"/>
      <c r="B140" s="95"/>
      <c r="C140" s="40" t="s">
        <v>36</v>
      </c>
      <c r="D140" s="41">
        <v>7</v>
      </c>
      <c r="E140" s="42">
        <v>0</v>
      </c>
      <c r="F140" s="42">
        <v>0</v>
      </c>
      <c r="G140" s="42">
        <v>0</v>
      </c>
      <c r="H140" s="42">
        <v>0</v>
      </c>
      <c r="I140" s="42">
        <v>0</v>
      </c>
      <c r="J140" s="42">
        <v>0</v>
      </c>
      <c r="K140" s="43">
        <v>0</v>
      </c>
      <c r="L140" s="32">
        <v>0</v>
      </c>
      <c r="M140" s="33"/>
      <c r="N140" s="30">
        <v>0</v>
      </c>
      <c r="O140" s="30">
        <v>0</v>
      </c>
      <c r="P140" s="30"/>
      <c r="Q140" s="30">
        <f>(N140+O140*0.18+J140)+(IF((P140-O140*0.18)&gt;0,(P140-O140*0.18),0))</f>
        <v>0</v>
      </c>
      <c r="R140" s="7"/>
      <c r="S140" s="7"/>
      <c r="T140" s="7"/>
      <c r="U140" s="7"/>
      <c r="V140" s="7"/>
      <c r="W140" s="7"/>
      <c r="X140" s="7"/>
      <c r="Y140" s="7"/>
      <c r="Z140" s="7"/>
    </row>
    <row r="141" spans="1:26" ht="9" customHeight="1" x14ac:dyDescent="0.2">
      <c r="A141" s="95"/>
      <c r="B141" s="95"/>
      <c r="C141" s="34" t="s">
        <v>37</v>
      </c>
      <c r="D141" s="35">
        <v>8</v>
      </c>
      <c r="E141" s="36">
        <v>0</v>
      </c>
      <c r="F141" s="36">
        <v>0</v>
      </c>
      <c r="G141" s="36">
        <v>0</v>
      </c>
      <c r="H141" s="36">
        <v>0</v>
      </c>
      <c r="I141" s="36">
        <v>0</v>
      </c>
      <c r="J141" s="37">
        <v>0</v>
      </c>
      <c r="K141" s="36">
        <v>0</v>
      </c>
      <c r="L141" s="38">
        <v>0</v>
      </c>
      <c r="M141" s="39"/>
      <c r="N141" s="36">
        <v>0</v>
      </c>
      <c r="O141" s="36">
        <v>0</v>
      </c>
      <c r="P141" s="36">
        <v>0</v>
      </c>
      <c r="Q141" s="36">
        <f>Q140*1936.27</f>
        <v>0</v>
      </c>
      <c r="R141" s="7"/>
      <c r="S141" s="7"/>
      <c r="T141" s="7"/>
      <c r="U141" s="7"/>
      <c r="V141" s="7"/>
      <c r="W141" s="7"/>
      <c r="X141" s="7"/>
      <c r="Y141" s="7"/>
      <c r="Z141" s="7"/>
    </row>
    <row r="142" spans="1:26" ht="12.75" customHeight="1" x14ac:dyDescent="0.2">
      <c r="A142" s="95"/>
      <c r="B142" s="95"/>
      <c r="C142" s="40" t="s">
        <v>36</v>
      </c>
      <c r="D142" s="41">
        <v>9</v>
      </c>
      <c r="E142" s="42">
        <v>0</v>
      </c>
      <c r="F142" s="42">
        <v>0</v>
      </c>
      <c r="G142" s="42">
        <v>0</v>
      </c>
      <c r="H142" s="42">
        <v>0</v>
      </c>
      <c r="I142" s="42">
        <v>0</v>
      </c>
      <c r="J142" s="42">
        <v>0</v>
      </c>
      <c r="K142" s="43">
        <v>0</v>
      </c>
      <c r="L142" s="32">
        <v>0</v>
      </c>
      <c r="M142" s="33"/>
      <c r="N142" s="30">
        <v>0</v>
      </c>
      <c r="O142" s="30">
        <v>0</v>
      </c>
      <c r="P142" s="30"/>
      <c r="Q142" s="30">
        <f>(N142+O142*0.18+J142)+(IF((P142-O142*0.18)&gt;0,(P142-O142*0.18),0))</f>
        <v>0</v>
      </c>
      <c r="R142" s="7"/>
      <c r="S142" s="7"/>
      <c r="T142" s="7"/>
      <c r="U142" s="7"/>
      <c r="V142" s="7"/>
      <c r="W142" s="7"/>
      <c r="X142" s="7"/>
      <c r="Y142" s="7"/>
      <c r="Z142" s="7"/>
    </row>
    <row r="143" spans="1:26" ht="9" customHeight="1" x14ac:dyDescent="0.2">
      <c r="A143" s="95"/>
      <c r="B143" s="95"/>
      <c r="C143" s="34" t="s">
        <v>37</v>
      </c>
      <c r="D143" s="35">
        <v>10</v>
      </c>
      <c r="E143" s="36">
        <v>0</v>
      </c>
      <c r="F143" s="36">
        <v>0</v>
      </c>
      <c r="G143" s="36">
        <v>0</v>
      </c>
      <c r="H143" s="36">
        <v>0</v>
      </c>
      <c r="I143" s="36">
        <v>0</v>
      </c>
      <c r="J143" s="37">
        <v>0</v>
      </c>
      <c r="K143" s="36">
        <v>0</v>
      </c>
      <c r="L143" s="38">
        <v>0</v>
      </c>
      <c r="M143" s="39"/>
      <c r="N143" s="36">
        <v>0</v>
      </c>
      <c r="O143" s="36">
        <v>0</v>
      </c>
      <c r="P143" s="36">
        <v>0</v>
      </c>
      <c r="Q143" s="36">
        <f>Q142*1936.27</f>
        <v>0</v>
      </c>
      <c r="R143" s="7"/>
      <c r="S143" s="7"/>
      <c r="T143" s="7"/>
      <c r="U143" s="7"/>
      <c r="V143" s="7"/>
      <c r="W143" s="7"/>
      <c r="X143" s="7"/>
      <c r="Y143" s="7"/>
      <c r="Z143" s="7"/>
    </row>
    <row r="144" spans="1:26" ht="12.75" customHeight="1" x14ac:dyDescent="0.2">
      <c r="A144" s="95"/>
      <c r="B144" s="95"/>
      <c r="C144" s="40" t="s">
        <v>36</v>
      </c>
      <c r="D144" s="41">
        <v>11</v>
      </c>
      <c r="E144" s="42">
        <v>0</v>
      </c>
      <c r="F144" s="42">
        <v>0</v>
      </c>
      <c r="G144" s="42">
        <v>0</v>
      </c>
      <c r="H144" s="42">
        <v>0</v>
      </c>
      <c r="I144" s="42">
        <v>0</v>
      </c>
      <c r="J144" s="42">
        <v>0</v>
      </c>
      <c r="K144" s="43">
        <v>0</v>
      </c>
      <c r="L144" s="32">
        <v>0</v>
      </c>
      <c r="M144" s="33"/>
      <c r="N144" s="30">
        <v>0</v>
      </c>
      <c r="O144" s="30">
        <v>0</v>
      </c>
      <c r="P144" s="30"/>
      <c r="Q144" s="30">
        <f>(N144+O144*0.18+J144)+(IF((P144-O144*0.18)&gt;0,(P144-O144*0.18),0))</f>
        <v>0</v>
      </c>
      <c r="R144" s="7"/>
      <c r="S144" s="7"/>
      <c r="T144" s="7"/>
      <c r="U144" s="7"/>
      <c r="V144" s="7"/>
      <c r="W144" s="7"/>
      <c r="X144" s="7"/>
      <c r="Y144" s="7"/>
      <c r="Z144" s="7"/>
    </row>
    <row r="145" spans="1:26" ht="9" customHeight="1" x14ac:dyDescent="0.2">
      <c r="A145" s="95"/>
      <c r="B145" s="95"/>
      <c r="C145" s="34" t="s">
        <v>37</v>
      </c>
      <c r="D145" s="35">
        <v>12</v>
      </c>
      <c r="E145" s="36">
        <v>0</v>
      </c>
      <c r="F145" s="36">
        <v>0</v>
      </c>
      <c r="G145" s="36">
        <v>0</v>
      </c>
      <c r="H145" s="36">
        <v>0</v>
      </c>
      <c r="I145" s="36">
        <v>0</v>
      </c>
      <c r="J145" s="37">
        <v>0</v>
      </c>
      <c r="K145" s="36">
        <v>0</v>
      </c>
      <c r="L145" s="38">
        <v>0</v>
      </c>
      <c r="M145" s="39"/>
      <c r="N145" s="36">
        <v>0</v>
      </c>
      <c r="O145" s="36">
        <v>0</v>
      </c>
      <c r="P145" s="36">
        <v>0</v>
      </c>
      <c r="Q145" s="36">
        <f>Q144*1936.27</f>
        <v>0</v>
      </c>
      <c r="R145" s="7"/>
      <c r="S145" s="7"/>
      <c r="T145" s="7"/>
      <c r="U145" s="7"/>
      <c r="V145" s="7"/>
      <c r="W145" s="7"/>
      <c r="X145" s="7"/>
      <c r="Y145" s="7"/>
      <c r="Z145" s="7"/>
    </row>
    <row r="146" spans="1:26" ht="12.75" customHeight="1" x14ac:dyDescent="0.2">
      <c r="A146" s="95"/>
      <c r="B146" s="95"/>
      <c r="C146" s="40" t="s">
        <v>36</v>
      </c>
      <c r="D146" s="41">
        <v>13</v>
      </c>
      <c r="E146" s="42">
        <v>0</v>
      </c>
      <c r="F146" s="42">
        <v>0</v>
      </c>
      <c r="G146" s="42">
        <v>0</v>
      </c>
      <c r="H146" s="42">
        <v>0</v>
      </c>
      <c r="I146" s="42">
        <v>0</v>
      </c>
      <c r="J146" s="42">
        <v>0</v>
      </c>
      <c r="K146" s="43">
        <v>0</v>
      </c>
      <c r="L146" s="32">
        <v>0</v>
      </c>
      <c r="M146" s="33"/>
      <c r="N146" s="30">
        <v>0</v>
      </c>
      <c r="O146" s="30">
        <v>0</v>
      </c>
      <c r="P146" s="30"/>
      <c r="Q146" s="30">
        <f>(N146+O146*0.18+J146)+(IF((P146-O146*0.18)&gt;0,(P146-O146*0.18),0))</f>
        <v>0</v>
      </c>
      <c r="R146" s="7"/>
      <c r="S146" s="7"/>
      <c r="T146" s="7"/>
      <c r="U146" s="7"/>
      <c r="V146" s="7"/>
      <c r="W146" s="7"/>
      <c r="X146" s="7"/>
      <c r="Y146" s="7"/>
      <c r="Z146" s="7"/>
    </row>
    <row r="147" spans="1:26" ht="9" customHeight="1" x14ac:dyDescent="0.2">
      <c r="A147" s="95"/>
      <c r="B147" s="95"/>
      <c r="C147" s="34" t="s">
        <v>37</v>
      </c>
      <c r="D147" s="35">
        <v>14</v>
      </c>
      <c r="E147" s="36">
        <v>0</v>
      </c>
      <c r="F147" s="36">
        <v>0</v>
      </c>
      <c r="G147" s="36">
        <v>0</v>
      </c>
      <c r="H147" s="36">
        <v>0</v>
      </c>
      <c r="I147" s="36">
        <v>0</v>
      </c>
      <c r="J147" s="37">
        <v>0</v>
      </c>
      <c r="K147" s="36">
        <v>0</v>
      </c>
      <c r="L147" s="38">
        <v>0</v>
      </c>
      <c r="M147" s="39"/>
      <c r="N147" s="36">
        <v>0</v>
      </c>
      <c r="O147" s="36">
        <v>0</v>
      </c>
      <c r="P147" s="36">
        <v>0</v>
      </c>
      <c r="Q147" s="36">
        <f>Q146*1936.27</f>
        <v>0</v>
      </c>
      <c r="R147" s="7"/>
      <c r="S147" s="7"/>
      <c r="T147" s="7"/>
      <c r="U147" s="7"/>
      <c r="V147" s="7"/>
      <c r="W147" s="7"/>
      <c r="X147" s="7"/>
      <c r="Y147" s="7"/>
      <c r="Z147" s="7"/>
    </row>
    <row r="148" spans="1:26" ht="12.75" customHeight="1" x14ac:dyDescent="0.2">
      <c r="A148" s="95"/>
      <c r="B148" s="95"/>
      <c r="C148" s="40" t="s">
        <v>36</v>
      </c>
      <c r="D148" s="41">
        <v>15</v>
      </c>
      <c r="E148" s="42">
        <v>0</v>
      </c>
      <c r="F148" s="42">
        <v>0</v>
      </c>
      <c r="G148" s="42">
        <v>0</v>
      </c>
      <c r="H148" s="42">
        <v>0</v>
      </c>
      <c r="I148" s="42">
        <v>0</v>
      </c>
      <c r="J148" s="42">
        <v>0</v>
      </c>
      <c r="K148" s="43">
        <v>0</v>
      </c>
      <c r="L148" s="32">
        <v>0</v>
      </c>
      <c r="M148" s="33"/>
      <c r="N148" s="30">
        <v>0</v>
      </c>
      <c r="O148" s="30">
        <v>0</v>
      </c>
      <c r="P148" s="30"/>
      <c r="Q148" s="30">
        <f>(N148+O148*0.18+J148)+(IF((P148-O148*0.18)&gt;0,(P148-O148*0.18),0))</f>
        <v>0</v>
      </c>
      <c r="R148" s="7"/>
      <c r="S148" s="7"/>
      <c r="T148" s="7"/>
      <c r="U148" s="7"/>
      <c r="V148" s="7"/>
      <c r="W148" s="7"/>
      <c r="X148" s="7"/>
      <c r="Y148" s="7"/>
      <c r="Z148" s="7"/>
    </row>
    <row r="149" spans="1:26" ht="9" customHeight="1" x14ac:dyDescent="0.2">
      <c r="A149" s="95"/>
      <c r="B149" s="95"/>
      <c r="C149" s="34" t="s">
        <v>37</v>
      </c>
      <c r="D149" s="35">
        <v>16</v>
      </c>
      <c r="E149" s="36">
        <v>0</v>
      </c>
      <c r="F149" s="36">
        <v>0</v>
      </c>
      <c r="G149" s="36">
        <v>0</v>
      </c>
      <c r="H149" s="36">
        <v>0</v>
      </c>
      <c r="I149" s="36">
        <v>0</v>
      </c>
      <c r="J149" s="37">
        <v>0</v>
      </c>
      <c r="K149" s="36">
        <v>0</v>
      </c>
      <c r="L149" s="38">
        <v>0</v>
      </c>
      <c r="M149" s="39"/>
      <c r="N149" s="36">
        <v>0</v>
      </c>
      <c r="O149" s="36">
        <v>0</v>
      </c>
      <c r="P149" s="36">
        <v>0</v>
      </c>
      <c r="Q149" s="36">
        <f>Q148*1936.27</f>
        <v>0</v>
      </c>
      <c r="R149" s="7"/>
      <c r="S149" s="7"/>
      <c r="T149" s="7"/>
      <c r="U149" s="7"/>
      <c r="V149" s="7"/>
      <c r="W149" s="7"/>
      <c r="X149" s="7"/>
      <c r="Y149" s="7"/>
      <c r="Z149" s="7"/>
    </row>
    <row r="150" spans="1:26" ht="12.75" customHeight="1" x14ac:dyDescent="0.2">
      <c r="A150" s="95"/>
      <c r="B150" s="95"/>
      <c r="C150" s="40" t="s">
        <v>36</v>
      </c>
      <c r="D150" s="41">
        <v>17</v>
      </c>
      <c r="E150" s="42">
        <v>0</v>
      </c>
      <c r="F150" s="42">
        <v>0</v>
      </c>
      <c r="G150" s="42">
        <v>0</v>
      </c>
      <c r="H150" s="42">
        <v>0</v>
      </c>
      <c r="I150" s="42">
        <v>0</v>
      </c>
      <c r="J150" s="42">
        <v>0</v>
      </c>
      <c r="K150" s="43">
        <v>0</v>
      </c>
      <c r="L150" s="32">
        <v>0</v>
      </c>
      <c r="M150" s="33"/>
      <c r="N150" s="30">
        <v>0</v>
      </c>
      <c r="O150" s="30">
        <v>0</v>
      </c>
      <c r="P150" s="30"/>
      <c r="Q150" s="30">
        <f>(N150+O150*0.18+J150)+(IF((P150-O150*0.18)&gt;0,(P150-O150*0.18),0))</f>
        <v>0</v>
      </c>
      <c r="R150" s="7"/>
      <c r="S150" s="7"/>
      <c r="T150" s="7"/>
      <c r="U150" s="7"/>
      <c r="V150" s="7"/>
      <c r="W150" s="7"/>
      <c r="X150" s="7"/>
      <c r="Y150" s="7"/>
      <c r="Z150" s="7"/>
    </row>
    <row r="151" spans="1:26" ht="9" customHeight="1" x14ac:dyDescent="0.2">
      <c r="A151" s="95"/>
      <c r="B151" s="95"/>
      <c r="C151" s="34" t="s">
        <v>37</v>
      </c>
      <c r="D151" s="35">
        <v>17</v>
      </c>
      <c r="E151" s="36">
        <v>0</v>
      </c>
      <c r="F151" s="36">
        <v>0</v>
      </c>
      <c r="G151" s="36">
        <v>0</v>
      </c>
      <c r="H151" s="36">
        <v>0</v>
      </c>
      <c r="I151" s="36">
        <v>0</v>
      </c>
      <c r="J151" s="37">
        <v>0</v>
      </c>
      <c r="K151" s="36">
        <v>0</v>
      </c>
      <c r="L151" s="38">
        <v>0</v>
      </c>
      <c r="M151" s="39"/>
      <c r="N151" s="36">
        <v>0</v>
      </c>
      <c r="O151" s="36">
        <v>0</v>
      </c>
      <c r="P151" s="36">
        <v>0</v>
      </c>
      <c r="Q151" s="36">
        <f>Q150*1936.27</f>
        <v>0</v>
      </c>
      <c r="R151" s="7"/>
      <c r="S151" s="7"/>
      <c r="T151" s="7"/>
      <c r="U151" s="7"/>
      <c r="V151" s="7"/>
      <c r="W151" s="7"/>
      <c r="X151" s="7"/>
      <c r="Y151" s="7"/>
      <c r="Z151" s="7"/>
    </row>
    <row r="152" spans="1:26" ht="12.75" customHeight="1" x14ac:dyDescent="0.2">
      <c r="A152" s="95"/>
      <c r="B152" s="95"/>
      <c r="C152" s="40" t="s">
        <v>36</v>
      </c>
      <c r="D152" s="41">
        <v>18</v>
      </c>
      <c r="E152" s="42">
        <v>0</v>
      </c>
      <c r="F152" s="42">
        <v>0</v>
      </c>
      <c r="G152" s="42">
        <v>0</v>
      </c>
      <c r="H152" s="42">
        <v>0</v>
      </c>
      <c r="I152" s="42">
        <v>0</v>
      </c>
      <c r="J152" s="42">
        <v>0</v>
      </c>
      <c r="K152" s="43">
        <v>0</v>
      </c>
      <c r="L152" s="32">
        <v>0</v>
      </c>
      <c r="M152" s="33"/>
      <c r="N152" s="30">
        <v>0</v>
      </c>
      <c r="O152" s="30">
        <v>0</v>
      </c>
      <c r="P152" s="30"/>
      <c r="Q152" s="30">
        <f>(N152+O152*0.18+J152)+(IF((P152-O152*0.18)&gt;0,(P152-O152*0.18),0))</f>
        <v>0</v>
      </c>
      <c r="R152" s="7"/>
      <c r="S152" s="7"/>
      <c r="T152" s="7"/>
      <c r="U152" s="7"/>
      <c r="V152" s="7"/>
      <c r="W152" s="7"/>
      <c r="X152" s="7"/>
      <c r="Y152" s="7"/>
      <c r="Z152" s="7"/>
    </row>
    <row r="153" spans="1:26" ht="9" customHeight="1" x14ac:dyDescent="0.2">
      <c r="A153" s="95"/>
      <c r="B153" s="95"/>
      <c r="C153" s="34" t="s">
        <v>37</v>
      </c>
      <c r="D153" s="35">
        <v>19</v>
      </c>
      <c r="E153" s="36">
        <v>0</v>
      </c>
      <c r="F153" s="36">
        <v>0</v>
      </c>
      <c r="G153" s="36">
        <v>0</v>
      </c>
      <c r="H153" s="36">
        <v>0</v>
      </c>
      <c r="I153" s="36">
        <v>0</v>
      </c>
      <c r="J153" s="37">
        <v>0</v>
      </c>
      <c r="K153" s="36">
        <v>0</v>
      </c>
      <c r="L153" s="38">
        <v>0</v>
      </c>
      <c r="M153" s="39"/>
      <c r="N153" s="36">
        <v>0</v>
      </c>
      <c r="O153" s="36">
        <v>0</v>
      </c>
      <c r="P153" s="36">
        <v>0</v>
      </c>
      <c r="Q153" s="36">
        <f>Q152*1936.27</f>
        <v>0</v>
      </c>
      <c r="R153" s="7"/>
      <c r="S153" s="7"/>
      <c r="T153" s="7"/>
      <c r="U153" s="7"/>
      <c r="V153" s="7"/>
      <c r="W153" s="7"/>
      <c r="X153" s="7"/>
      <c r="Y153" s="7"/>
      <c r="Z153" s="7"/>
    </row>
    <row r="154" spans="1:26" ht="12.75" customHeight="1" x14ac:dyDescent="0.2">
      <c r="A154" s="95"/>
      <c r="B154" s="95"/>
      <c r="C154" s="40" t="s">
        <v>36</v>
      </c>
      <c r="D154" s="41">
        <v>20</v>
      </c>
      <c r="E154" s="42">
        <v>0</v>
      </c>
      <c r="F154" s="42">
        <v>0</v>
      </c>
      <c r="G154" s="42">
        <v>0</v>
      </c>
      <c r="H154" s="42">
        <v>0</v>
      </c>
      <c r="I154" s="42">
        <v>0</v>
      </c>
      <c r="J154" s="42">
        <v>0</v>
      </c>
      <c r="K154" s="43">
        <v>0</v>
      </c>
      <c r="L154" s="32">
        <v>0</v>
      </c>
      <c r="M154" s="33"/>
      <c r="N154" s="30">
        <v>0</v>
      </c>
      <c r="O154" s="30">
        <v>0</v>
      </c>
      <c r="P154" s="30"/>
      <c r="Q154" s="30">
        <f>(N154+O154*0.18+J154)+(IF((P154-O154*0.18)&gt;0,(P154-O154*0.18),0))</f>
        <v>0</v>
      </c>
      <c r="R154" s="7"/>
      <c r="S154" s="7"/>
      <c r="T154" s="7"/>
      <c r="U154" s="7"/>
      <c r="V154" s="7"/>
      <c r="W154" s="7"/>
      <c r="X154" s="7"/>
      <c r="Y154" s="7"/>
      <c r="Z154" s="7"/>
    </row>
    <row r="155" spans="1:26" ht="9" customHeight="1" x14ac:dyDescent="0.2">
      <c r="A155" s="95"/>
      <c r="B155" s="95"/>
      <c r="C155" s="34" t="s">
        <v>37</v>
      </c>
      <c r="D155" s="35">
        <v>21</v>
      </c>
      <c r="E155" s="36">
        <v>0</v>
      </c>
      <c r="F155" s="36">
        <v>0</v>
      </c>
      <c r="G155" s="36">
        <v>0</v>
      </c>
      <c r="H155" s="36">
        <v>0</v>
      </c>
      <c r="I155" s="36">
        <v>0</v>
      </c>
      <c r="J155" s="37">
        <v>0</v>
      </c>
      <c r="K155" s="36">
        <v>0</v>
      </c>
      <c r="L155" s="38">
        <v>0</v>
      </c>
      <c r="M155" s="39"/>
      <c r="N155" s="36">
        <v>0</v>
      </c>
      <c r="O155" s="36">
        <v>0</v>
      </c>
      <c r="P155" s="36">
        <v>0</v>
      </c>
      <c r="Q155" s="36">
        <f>Q154*1936.27</f>
        <v>0</v>
      </c>
      <c r="R155" s="7"/>
      <c r="S155" s="7"/>
      <c r="T155" s="7"/>
      <c r="U155" s="7"/>
      <c r="V155" s="7"/>
      <c r="W155" s="7"/>
      <c r="X155" s="7"/>
      <c r="Y155" s="7"/>
      <c r="Z155" s="7"/>
    </row>
    <row r="156" spans="1:26" ht="12.75" customHeight="1" x14ac:dyDescent="0.2">
      <c r="A156" s="95"/>
      <c r="B156" s="95"/>
      <c r="C156" s="40" t="s">
        <v>36</v>
      </c>
      <c r="D156" s="41">
        <v>22</v>
      </c>
      <c r="E156" s="42">
        <v>0</v>
      </c>
      <c r="F156" s="42">
        <v>0</v>
      </c>
      <c r="G156" s="42">
        <v>0</v>
      </c>
      <c r="H156" s="42">
        <v>0</v>
      </c>
      <c r="I156" s="42">
        <v>0</v>
      </c>
      <c r="J156" s="42">
        <v>0</v>
      </c>
      <c r="K156" s="43">
        <v>0</v>
      </c>
      <c r="L156" s="32">
        <v>0</v>
      </c>
      <c r="M156" s="33"/>
      <c r="N156" s="30">
        <v>0</v>
      </c>
      <c r="O156" s="30">
        <v>0</v>
      </c>
      <c r="P156" s="30"/>
      <c r="Q156" s="30">
        <f>(N156+O156*0.18+J156)+(IF((P156-O156*0.18)&gt;0,(P156-O156*0.18),0))</f>
        <v>0</v>
      </c>
      <c r="R156" s="7"/>
      <c r="S156" s="7"/>
      <c r="T156" s="7"/>
      <c r="U156" s="7"/>
      <c r="V156" s="7"/>
      <c r="W156" s="7"/>
      <c r="X156" s="7"/>
      <c r="Y156" s="7"/>
      <c r="Z156" s="7"/>
    </row>
    <row r="157" spans="1:26" ht="9" customHeight="1" x14ac:dyDescent="0.2">
      <c r="A157" s="95"/>
      <c r="B157" s="95"/>
      <c r="C157" s="34" t="s">
        <v>37</v>
      </c>
      <c r="D157" s="35">
        <v>23</v>
      </c>
      <c r="E157" s="36">
        <v>0</v>
      </c>
      <c r="F157" s="36">
        <v>0</v>
      </c>
      <c r="G157" s="36">
        <v>0</v>
      </c>
      <c r="H157" s="36">
        <v>0</v>
      </c>
      <c r="I157" s="36">
        <v>0</v>
      </c>
      <c r="J157" s="37">
        <v>0</v>
      </c>
      <c r="K157" s="36">
        <v>0</v>
      </c>
      <c r="L157" s="38">
        <v>0</v>
      </c>
      <c r="M157" s="39"/>
      <c r="N157" s="36">
        <v>0</v>
      </c>
      <c r="O157" s="36">
        <v>0</v>
      </c>
      <c r="P157" s="36">
        <v>0</v>
      </c>
      <c r="Q157" s="36">
        <f>Q156*1936.27</f>
        <v>0</v>
      </c>
      <c r="R157" s="7"/>
      <c r="S157" s="7"/>
      <c r="T157" s="7"/>
      <c r="U157" s="7"/>
      <c r="V157" s="7"/>
      <c r="W157" s="7"/>
      <c r="X157" s="7"/>
      <c r="Y157" s="7"/>
      <c r="Z157" s="7"/>
    </row>
    <row r="158" spans="1:26" ht="12.75" customHeight="1" x14ac:dyDescent="0.2">
      <c r="A158" s="95"/>
      <c r="B158" s="95"/>
      <c r="C158" s="40" t="s">
        <v>36</v>
      </c>
      <c r="D158" s="41">
        <v>24</v>
      </c>
      <c r="E158" s="42">
        <v>0</v>
      </c>
      <c r="F158" s="42">
        <v>0</v>
      </c>
      <c r="G158" s="42">
        <v>0</v>
      </c>
      <c r="H158" s="42">
        <v>0</v>
      </c>
      <c r="I158" s="42">
        <v>0</v>
      </c>
      <c r="J158" s="42">
        <v>0</v>
      </c>
      <c r="K158" s="43">
        <v>0</v>
      </c>
      <c r="L158" s="32">
        <v>0</v>
      </c>
      <c r="M158" s="33"/>
      <c r="N158" s="30">
        <v>0</v>
      </c>
      <c r="O158" s="30">
        <v>0</v>
      </c>
      <c r="P158" s="30"/>
      <c r="Q158" s="30">
        <f>(N158+O158*0.18+J158)+(IF((P158-O158*0.18)&gt;0,(P158-O158*0.18),0))</f>
        <v>0</v>
      </c>
      <c r="R158" s="7"/>
      <c r="S158" s="7"/>
      <c r="T158" s="7"/>
      <c r="U158" s="7"/>
      <c r="V158" s="7"/>
      <c r="W158" s="7"/>
      <c r="X158" s="7"/>
      <c r="Y158" s="7"/>
      <c r="Z158" s="7"/>
    </row>
    <row r="159" spans="1:26" ht="9" customHeight="1" x14ac:dyDescent="0.2">
      <c r="A159" s="95"/>
      <c r="B159" s="95"/>
      <c r="C159" s="34" t="s">
        <v>37</v>
      </c>
      <c r="D159" s="35">
        <v>25</v>
      </c>
      <c r="E159" s="36">
        <v>0</v>
      </c>
      <c r="F159" s="36">
        <v>0</v>
      </c>
      <c r="G159" s="36">
        <v>0</v>
      </c>
      <c r="H159" s="36">
        <v>0</v>
      </c>
      <c r="I159" s="36">
        <v>0</v>
      </c>
      <c r="J159" s="37">
        <v>0</v>
      </c>
      <c r="K159" s="36">
        <v>0</v>
      </c>
      <c r="L159" s="38">
        <v>0</v>
      </c>
      <c r="M159" s="39"/>
      <c r="N159" s="36">
        <v>0</v>
      </c>
      <c r="O159" s="36">
        <v>0</v>
      </c>
      <c r="P159" s="36">
        <v>0</v>
      </c>
      <c r="Q159" s="36">
        <f>Q158*1936.27</f>
        <v>0</v>
      </c>
      <c r="R159" s="7"/>
      <c r="S159" s="7"/>
      <c r="T159" s="7"/>
      <c r="U159" s="7"/>
      <c r="V159" s="7"/>
      <c r="W159" s="7"/>
      <c r="X159" s="7"/>
      <c r="Y159" s="7"/>
      <c r="Z159" s="7"/>
    </row>
    <row r="160" spans="1:26" ht="12.75" customHeight="1" x14ac:dyDescent="0.2">
      <c r="A160" s="95"/>
      <c r="B160" s="95"/>
      <c r="C160" s="40" t="s">
        <v>36</v>
      </c>
      <c r="D160" s="41">
        <v>26</v>
      </c>
      <c r="E160" s="42">
        <v>0</v>
      </c>
      <c r="F160" s="42">
        <v>0</v>
      </c>
      <c r="G160" s="42">
        <v>0</v>
      </c>
      <c r="H160" s="42">
        <v>0</v>
      </c>
      <c r="I160" s="42">
        <v>0</v>
      </c>
      <c r="J160" s="42">
        <v>0</v>
      </c>
      <c r="K160" s="43">
        <v>0</v>
      </c>
      <c r="L160" s="32">
        <v>0</v>
      </c>
      <c r="M160" s="33"/>
      <c r="N160" s="30">
        <v>0</v>
      </c>
      <c r="O160" s="30">
        <v>0</v>
      </c>
      <c r="P160" s="30"/>
      <c r="Q160" s="30">
        <f>(N160+O160*0.18+J160)+(IF((P160-O160*0.18)&gt;0,(P160-O160*0.18),0))</f>
        <v>0</v>
      </c>
      <c r="R160" s="7"/>
      <c r="S160" s="7"/>
      <c r="T160" s="7"/>
      <c r="U160" s="7"/>
      <c r="V160" s="7"/>
      <c r="W160" s="7"/>
      <c r="X160" s="7"/>
      <c r="Y160" s="7"/>
      <c r="Z160" s="7"/>
    </row>
    <row r="161" spans="1:26" ht="9" customHeight="1" x14ac:dyDescent="0.2">
      <c r="A161" s="95"/>
      <c r="B161" s="95"/>
      <c r="C161" s="34" t="s">
        <v>37</v>
      </c>
      <c r="D161" s="35">
        <v>27</v>
      </c>
      <c r="E161" s="36">
        <v>0</v>
      </c>
      <c r="F161" s="36">
        <v>0</v>
      </c>
      <c r="G161" s="36">
        <v>0</v>
      </c>
      <c r="H161" s="36">
        <v>0</v>
      </c>
      <c r="I161" s="36">
        <v>0</v>
      </c>
      <c r="J161" s="37">
        <v>0</v>
      </c>
      <c r="K161" s="36">
        <v>0</v>
      </c>
      <c r="L161" s="38">
        <v>0</v>
      </c>
      <c r="M161" s="39"/>
      <c r="N161" s="36">
        <v>0</v>
      </c>
      <c r="O161" s="36">
        <v>0</v>
      </c>
      <c r="P161" s="36">
        <v>0</v>
      </c>
      <c r="Q161" s="36">
        <f>Q160*1936.27</f>
        <v>0</v>
      </c>
      <c r="R161" s="7"/>
      <c r="S161" s="7"/>
      <c r="T161" s="7"/>
      <c r="U161" s="7"/>
      <c r="V161" s="7"/>
      <c r="W161" s="7"/>
      <c r="X161" s="7"/>
      <c r="Y161" s="7"/>
      <c r="Z161" s="7"/>
    </row>
    <row r="162" spans="1:26" ht="12.75" customHeight="1" x14ac:dyDescent="0.2">
      <c r="A162" s="95"/>
      <c r="B162" s="95"/>
      <c r="C162" s="40" t="s">
        <v>36</v>
      </c>
      <c r="D162" s="41">
        <v>28</v>
      </c>
      <c r="E162" s="42">
        <v>0</v>
      </c>
      <c r="F162" s="42">
        <v>0</v>
      </c>
      <c r="G162" s="42">
        <v>0</v>
      </c>
      <c r="H162" s="42">
        <v>0</v>
      </c>
      <c r="I162" s="42">
        <v>0</v>
      </c>
      <c r="J162" s="42">
        <v>0</v>
      </c>
      <c r="K162" s="43">
        <v>0</v>
      </c>
      <c r="L162" s="32">
        <v>0</v>
      </c>
      <c r="M162" s="33"/>
      <c r="N162" s="30">
        <v>0</v>
      </c>
      <c r="O162" s="30">
        <v>0</v>
      </c>
      <c r="P162" s="30"/>
      <c r="Q162" s="30">
        <f>(N162+O162*0.18+J162)+(IF((P162-O162*0.18)&gt;0,(P162-O162*0.18),0))</f>
        <v>0</v>
      </c>
      <c r="R162" s="7"/>
      <c r="S162" s="7"/>
      <c r="T162" s="7"/>
      <c r="U162" s="7"/>
      <c r="V162" s="7"/>
      <c r="W162" s="7"/>
      <c r="X162" s="7"/>
      <c r="Y162" s="7"/>
      <c r="Z162" s="7"/>
    </row>
    <row r="163" spans="1:26" ht="9" customHeight="1" x14ac:dyDescent="0.2">
      <c r="A163" s="95"/>
      <c r="B163" s="95"/>
      <c r="C163" s="34" t="s">
        <v>37</v>
      </c>
      <c r="D163" s="35">
        <v>29</v>
      </c>
      <c r="E163" s="36">
        <v>0</v>
      </c>
      <c r="F163" s="36">
        <v>0</v>
      </c>
      <c r="G163" s="36">
        <v>0</v>
      </c>
      <c r="H163" s="36">
        <v>0</v>
      </c>
      <c r="I163" s="36">
        <v>0</v>
      </c>
      <c r="J163" s="37">
        <v>0</v>
      </c>
      <c r="K163" s="36">
        <v>0</v>
      </c>
      <c r="L163" s="38">
        <v>0</v>
      </c>
      <c r="M163" s="39"/>
      <c r="N163" s="36">
        <v>0</v>
      </c>
      <c r="O163" s="36">
        <v>0</v>
      </c>
      <c r="P163" s="36">
        <v>0</v>
      </c>
      <c r="Q163" s="36">
        <f>Q162*1936.27</f>
        <v>0</v>
      </c>
      <c r="R163" s="7"/>
      <c r="S163" s="7"/>
      <c r="T163" s="7"/>
      <c r="U163" s="7"/>
      <c r="V163" s="7"/>
      <c r="W163" s="7"/>
      <c r="X163" s="7"/>
      <c r="Y163" s="7"/>
      <c r="Z163" s="7"/>
    </row>
    <row r="164" spans="1:26" ht="12.75" customHeight="1" x14ac:dyDescent="0.2">
      <c r="A164" s="95"/>
      <c r="B164" s="95"/>
      <c r="C164" s="40" t="s">
        <v>36</v>
      </c>
      <c r="D164" s="41">
        <v>30</v>
      </c>
      <c r="E164" s="42">
        <v>0</v>
      </c>
      <c r="F164" s="42">
        <v>0</v>
      </c>
      <c r="G164" s="42">
        <v>0</v>
      </c>
      <c r="H164" s="42">
        <v>0</v>
      </c>
      <c r="I164" s="42">
        <v>0</v>
      </c>
      <c r="J164" s="42">
        <v>0</v>
      </c>
      <c r="K164" s="43">
        <v>0</v>
      </c>
      <c r="L164" s="32">
        <v>0</v>
      </c>
      <c r="M164" s="33"/>
      <c r="N164" s="30">
        <v>0</v>
      </c>
      <c r="O164" s="30">
        <v>0</v>
      </c>
      <c r="P164" s="30"/>
      <c r="Q164" s="30">
        <f>(N164+O164*0.18+J164)+(IF((P164-O164*0.18)&gt;0,(P164-O164*0.18),0))</f>
        <v>0</v>
      </c>
      <c r="R164" s="7"/>
      <c r="S164" s="7"/>
      <c r="T164" s="7"/>
      <c r="U164" s="7"/>
      <c r="V164" s="7"/>
      <c r="W164" s="7"/>
      <c r="X164" s="7"/>
      <c r="Y164" s="7"/>
      <c r="Z164" s="7"/>
    </row>
    <row r="165" spans="1:26" ht="9" customHeight="1" x14ac:dyDescent="0.2">
      <c r="A165" s="95"/>
      <c r="B165" s="95"/>
      <c r="C165" s="34" t="s">
        <v>37</v>
      </c>
      <c r="D165" s="35">
        <v>33</v>
      </c>
      <c r="E165" s="36">
        <v>0</v>
      </c>
      <c r="F165" s="36">
        <v>0</v>
      </c>
      <c r="G165" s="36">
        <v>0</v>
      </c>
      <c r="H165" s="36">
        <v>0</v>
      </c>
      <c r="I165" s="36">
        <v>0</v>
      </c>
      <c r="J165" s="37">
        <v>0</v>
      </c>
      <c r="K165" s="36">
        <v>0</v>
      </c>
      <c r="L165" s="38">
        <v>0</v>
      </c>
      <c r="M165" s="39"/>
      <c r="N165" s="36">
        <v>0</v>
      </c>
      <c r="O165" s="36">
        <v>0</v>
      </c>
      <c r="P165" s="36">
        <v>0</v>
      </c>
      <c r="Q165" s="36">
        <f>Q164*1936.27</f>
        <v>0</v>
      </c>
      <c r="R165" s="7"/>
      <c r="S165" s="7"/>
      <c r="T165" s="7"/>
      <c r="U165" s="7"/>
      <c r="V165" s="7"/>
      <c r="W165" s="7"/>
      <c r="X165" s="7"/>
      <c r="Y165" s="7"/>
      <c r="Z165" s="7"/>
    </row>
    <row r="166" spans="1:26" ht="12.75" customHeight="1" x14ac:dyDescent="0.2">
      <c r="A166" s="95"/>
      <c r="B166" s="95"/>
      <c r="C166" s="40" t="s">
        <v>36</v>
      </c>
      <c r="D166" s="41">
        <v>34</v>
      </c>
      <c r="E166" s="42">
        <v>0</v>
      </c>
      <c r="F166" s="42">
        <v>0</v>
      </c>
      <c r="G166" s="42">
        <v>0</v>
      </c>
      <c r="H166" s="42">
        <v>0</v>
      </c>
      <c r="I166" s="42">
        <v>0</v>
      </c>
      <c r="J166" s="42">
        <v>0</v>
      </c>
      <c r="K166" s="43">
        <v>0</v>
      </c>
      <c r="L166" s="32">
        <v>0</v>
      </c>
      <c r="M166" s="33"/>
      <c r="N166" s="30">
        <v>0</v>
      </c>
      <c r="O166" s="30">
        <v>0</v>
      </c>
      <c r="P166" s="30"/>
      <c r="Q166" s="30">
        <f>(N166+O166*0.18+J166)+(IF((P166-O166*0.18)&gt;0,(P166-O166*0.18),0))</f>
        <v>0</v>
      </c>
      <c r="R166" s="7"/>
      <c r="S166" s="7"/>
      <c r="T166" s="7"/>
      <c r="U166" s="7"/>
      <c r="V166" s="7"/>
      <c r="W166" s="7"/>
      <c r="X166" s="7"/>
      <c r="Y166" s="7"/>
      <c r="Z166" s="7"/>
    </row>
    <row r="167" spans="1:26" ht="9" customHeight="1" x14ac:dyDescent="0.2">
      <c r="A167" s="95"/>
      <c r="B167" s="95"/>
      <c r="C167" s="34" t="s">
        <v>37</v>
      </c>
      <c r="D167" s="35">
        <v>35</v>
      </c>
      <c r="E167" s="36">
        <v>0</v>
      </c>
      <c r="F167" s="36">
        <v>0</v>
      </c>
      <c r="G167" s="36">
        <v>0</v>
      </c>
      <c r="H167" s="36">
        <v>0</v>
      </c>
      <c r="I167" s="36">
        <v>0</v>
      </c>
      <c r="J167" s="37">
        <v>0</v>
      </c>
      <c r="K167" s="36">
        <v>0</v>
      </c>
      <c r="L167" s="38">
        <v>0</v>
      </c>
      <c r="M167" s="39"/>
      <c r="N167" s="36">
        <v>0</v>
      </c>
      <c r="O167" s="36">
        <v>0</v>
      </c>
      <c r="P167" s="36">
        <v>0</v>
      </c>
      <c r="Q167" s="36">
        <f>Q166*1936.27</f>
        <v>0</v>
      </c>
      <c r="R167" s="7"/>
      <c r="S167" s="7"/>
      <c r="T167" s="7"/>
      <c r="U167" s="7"/>
      <c r="V167" s="7"/>
      <c r="W167" s="7"/>
      <c r="X167" s="7"/>
      <c r="Y167" s="7"/>
      <c r="Z167" s="7"/>
    </row>
    <row r="168" spans="1:26" ht="12.75" customHeight="1" x14ac:dyDescent="0.2">
      <c r="A168" s="95"/>
      <c r="B168" s="95"/>
      <c r="C168" s="40" t="s">
        <v>36</v>
      </c>
      <c r="D168" s="41">
        <v>36</v>
      </c>
      <c r="E168" s="42">
        <v>0</v>
      </c>
      <c r="F168" s="42">
        <v>0</v>
      </c>
      <c r="G168" s="42">
        <v>0</v>
      </c>
      <c r="H168" s="42">
        <v>0</v>
      </c>
      <c r="I168" s="42">
        <v>0</v>
      </c>
      <c r="J168" s="42">
        <v>0</v>
      </c>
      <c r="K168" s="43">
        <v>0</v>
      </c>
      <c r="L168" s="32">
        <v>0</v>
      </c>
      <c r="M168" s="33"/>
      <c r="N168" s="30">
        <v>0</v>
      </c>
      <c r="O168" s="30">
        <v>0</v>
      </c>
      <c r="P168" s="30"/>
      <c r="Q168" s="30">
        <f>(N168+O168*0.18+J168)+(IF((P168-O168*0.18)&gt;0,(P168-O168*0.18),0))</f>
        <v>0</v>
      </c>
      <c r="R168" s="7"/>
      <c r="S168" s="7"/>
      <c r="T168" s="7"/>
      <c r="U168" s="7"/>
      <c r="V168" s="7"/>
      <c r="W168" s="7"/>
      <c r="X168" s="7"/>
      <c r="Y168" s="7"/>
      <c r="Z168" s="7"/>
    </row>
    <row r="169" spans="1:26" ht="9" customHeight="1" x14ac:dyDescent="0.2">
      <c r="A169" s="95"/>
      <c r="B169" s="95"/>
      <c r="C169" s="34" t="s">
        <v>37</v>
      </c>
      <c r="D169" s="35">
        <v>37</v>
      </c>
      <c r="E169" s="36">
        <v>0</v>
      </c>
      <c r="F169" s="36">
        <v>0</v>
      </c>
      <c r="G169" s="36">
        <v>0</v>
      </c>
      <c r="H169" s="36">
        <v>0</v>
      </c>
      <c r="I169" s="36">
        <v>0</v>
      </c>
      <c r="J169" s="37">
        <v>0</v>
      </c>
      <c r="K169" s="36">
        <v>0</v>
      </c>
      <c r="L169" s="38">
        <v>0</v>
      </c>
      <c r="M169" s="39"/>
      <c r="N169" s="36">
        <v>0</v>
      </c>
      <c r="O169" s="36">
        <v>0</v>
      </c>
      <c r="P169" s="36">
        <v>0</v>
      </c>
      <c r="Q169" s="36">
        <f>Q168*1936.27</f>
        <v>0</v>
      </c>
      <c r="R169" s="7"/>
      <c r="S169" s="7"/>
      <c r="T169" s="7"/>
      <c r="U169" s="7"/>
      <c r="V169" s="7"/>
      <c r="W169" s="7"/>
      <c r="X169" s="7"/>
      <c r="Y169" s="7"/>
      <c r="Z169" s="7"/>
    </row>
    <row r="170" spans="1:26" ht="12.75" customHeight="1" x14ac:dyDescent="0.2">
      <c r="A170" s="95"/>
      <c r="B170" s="95"/>
      <c r="C170" s="40" t="s">
        <v>36</v>
      </c>
      <c r="D170" s="41">
        <v>38</v>
      </c>
      <c r="E170" s="42">
        <v>0</v>
      </c>
      <c r="F170" s="42">
        <v>0</v>
      </c>
      <c r="G170" s="42">
        <v>0</v>
      </c>
      <c r="H170" s="42">
        <v>0</v>
      </c>
      <c r="I170" s="42">
        <v>0</v>
      </c>
      <c r="J170" s="42">
        <v>0</v>
      </c>
      <c r="K170" s="43">
        <v>0</v>
      </c>
      <c r="L170" s="32">
        <v>0</v>
      </c>
      <c r="M170" s="33"/>
      <c r="N170" s="30">
        <v>0</v>
      </c>
      <c r="O170" s="30">
        <v>0</v>
      </c>
      <c r="P170" s="30"/>
      <c r="Q170" s="30">
        <f>(N170+O170*0.18+J170)+(IF((P170-O170*0.18)&gt;0,(P170-O170*0.18),0))</f>
        <v>0</v>
      </c>
      <c r="R170" s="7"/>
      <c r="S170" s="7"/>
      <c r="T170" s="7"/>
      <c r="U170" s="7"/>
      <c r="V170" s="7"/>
      <c r="W170" s="7"/>
      <c r="X170" s="7"/>
      <c r="Y170" s="7"/>
      <c r="Z170" s="7"/>
    </row>
    <row r="171" spans="1:26" ht="9" customHeight="1" x14ac:dyDescent="0.2">
      <c r="A171" s="95"/>
      <c r="B171" s="95"/>
      <c r="C171" s="34" t="s">
        <v>37</v>
      </c>
      <c r="D171" s="35">
        <v>39</v>
      </c>
      <c r="E171" s="36">
        <v>0</v>
      </c>
      <c r="F171" s="36">
        <v>0</v>
      </c>
      <c r="G171" s="36">
        <v>0</v>
      </c>
      <c r="H171" s="36">
        <v>0</v>
      </c>
      <c r="I171" s="36">
        <v>0</v>
      </c>
      <c r="J171" s="37">
        <v>0</v>
      </c>
      <c r="K171" s="36">
        <v>0</v>
      </c>
      <c r="L171" s="38">
        <v>0</v>
      </c>
      <c r="M171" s="39"/>
      <c r="N171" s="36">
        <v>0</v>
      </c>
      <c r="O171" s="36">
        <v>0</v>
      </c>
      <c r="P171" s="36">
        <v>0</v>
      </c>
      <c r="Q171" s="36">
        <f>Q170*1936.27</f>
        <v>0</v>
      </c>
      <c r="R171" s="7"/>
      <c r="S171" s="7"/>
      <c r="T171" s="7"/>
      <c r="U171" s="7"/>
      <c r="V171" s="7"/>
      <c r="W171" s="7"/>
      <c r="X171" s="7"/>
      <c r="Y171" s="7"/>
      <c r="Z171" s="7"/>
    </row>
    <row r="172" spans="1:26" ht="12.75" customHeight="1" x14ac:dyDescent="0.2">
      <c r="A172" s="95"/>
      <c r="B172" s="95"/>
      <c r="C172" s="40" t="s">
        <v>36</v>
      </c>
      <c r="D172" s="41">
        <v>40</v>
      </c>
      <c r="E172" s="42">
        <v>0</v>
      </c>
      <c r="F172" s="42">
        <v>0</v>
      </c>
      <c r="G172" s="42">
        <v>0</v>
      </c>
      <c r="H172" s="42">
        <v>0</v>
      </c>
      <c r="I172" s="42">
        <v>0</v>
      </c>
      <c r="J172" s="42">
        <v>0</v>
      </c>
      <c r="K172" s="43">
        <v>0</v>
      </c>
      <c r="L172" s="32">
        <v>0</v>
      </c>
      <c r="M172" s="33"/>
      <c r="N172" s="30">
        <v>0</v>
      </c>
      <c r="O172" s="30">
        <v>0</v>
      </c>
      <c r="P172" s="30"/>
      <c r="Q172" s="30">
        <f>(N172+O172*0.18+J172)+(IF((P172-O172*0.18)&gt;0,(P172-O172*0.18),0))</f>
        <v>0</v>
      </c>
      <c r="R172" s="7"/>
      <c r="S172" s="7"/>
      <c r="T172" s="7"/>
      <c r="U172" s="7"/>
      <c r="V172" s="7"/>
      <c r="W172" s="7"/>
      <c r="X172" s="7"/>
      <c r="Y172" s="7"/>
      <c r="Z172" s="7"/>
    </row>
    <row r="173" spans="1:26" ht="9" customHeight="1" x14ac:dyDescent="0.2">
      <c r="A173" s="110"/>
      <c r="B173" s="110"/>
      <c r="C173" s="47"/>
      <c r="D173" s="48"/>
      <c r="E173" s="46">
        <v>0</v>
      </c>
      <c r="F173" s="46">
        <v>0</v>
      </c>
      <c r="G173" s="46">
        <v>0</v>
      </c>
      <c r="H173" s="46">
        <v>0</v>
      </c>
      <c r="I173" s="46">
        <v>0</v>
      </c>
      <c r="J173" s="49">
        <v>0</v>
      </c>
      <c r="K173" s="46">
        <v>0</v>
      </c>
      <c r="L173" s="38">
        <v>0</v>
      </c>
      <c r="M173" s="39"/>
      <c r="N173" s="36">
        <v>0</v>
      </c>
      <c r="O173" s="36">
        <v>0</v>
      </c>
      <c r="P173" s="36">
        <v>0</v>
      </c>
      <c r="Q173" s="36">
        <f>Q172*1936.27</f>
        <v>0</v>
      </c>
      <c r="R173" s="7"/>
      <c r="S173" s="7"/>
      <c r="T173" s="7"/>
      <c r="U173" s="7"/>
      <c r="V173" s="7"/>
      <c r="W173" s="7"/>
      <c r="X173" s="7"/>
      <c r="Y173" s="7"/>
      <c r="Z173" s="7"/>
    </row>
    <row r="174" spans="1:26" ht="12.75" customHeight="1" x14ac:dyDescent="0.2">
      <c r="A174" s="98">
        <v>33970</v>
      </c>
      <c r="B174" s="98">
        <v>34424</v>
      </c>
      <c r="C174" s="28" t="s">
        <v>36</v>
      </c>
      <c r="D174" s="29">
        <v>0</v>
      </c>
      <c r="E174" s="30">
        <v>0</v>
      </c>
      <c r="F174" s="30">
        <v>0</v>
      </c>
      <c r="G174" s="30">
        <v>0</v>
      </c>
      <c r="H174" s="30">
        <v>0</v>
      </c>
      <c r="I174" s="30">
        <v>0</v>
      </c>
      <c r="J174" s="30">
        <v>0</v>
      </c>
      <c r="K174" s="31">
        <v>0</v>
      </c>
      <c r="L174" s="32">
        <v>0</v>
      </c>
      <c r="M174" s="33"/>
      <c r="N174" s="30">
        <v>0</v>
      </c>
      <c r="O174" s="30">
        <v>0</v>
      </c>
      <c r="P174" s="30"/>
      <c r="Q174" s="30">
        <f>(N174+O174*0.18+J174)+(IF((P174-O174*0.18)&gt;0,(P174-O174*0.18),0))</f>
        <v>0</v>
      </c>
      <c r="R174" s="7"/>
      <c r="S174" s="7"/>
      <c r="T174" s="7"/>
      <c r="U174" s="7"/>
      <c r="V174" s="7"/>
      <c r="W174" s="7"/>
      <c r="X174" s="7"/>
      <c r="Y174" s="7"/>
      <c r="Z174" s="7"/>
    </row>
    <row r="175" spans="1:26" ht="9" customHeight="1" x14ac:dyDescent="0.2">
      <c r="A175" s="95"/>
      <c r="B175" s="95"/>
      <c r="C175" s="34" t="s">
        <v>37</v>
      </c>
      <c r="D175" s="35">
        <v>0</v>
      </c>
      <c r="E175" s="36">
        <v>0</v>
      </c>
      <c r="F175" s="36">
        <v>0</v>
      </c>
      <c r="G175" s="36">
        <v>0</v>
      </c>
      <c r="H175" s="36">
        <v>0</v>
      </c>
      <c r="I175" s="36">
        <v>0</v>
      </c>
      <c r="J175" s="37">
        <v>0</v>
      </c>
      <c r="K175" s="36">
        <v>0</v>
      </c>
      <c r="L175" s="38">
        <v>0</v>
      </c>
      <c r="M175" s="39"/>
      <c r="N175" s="36">
        <v>0</v>
      </c>
      <c r="O175" s="36">
        <v>0</v>
      </c>
      <c r="P175" s="36">
        <v>0</v>
      </c>
      <c r="Q175" s="36">
        <f>Q174*1936.27</f>
        <v>0</v>
      </c>
      <c r="R175" s="7"/>
      <c r="S175" s="7"/>
      <c r="T175" s="7"/>
      <c r="U175" s="7"/>
      <c r="V175" s="7"/>
      <c r="W175" s="7"/>
      <c r="X175" s="7"/>
      <c r="Y175" s="7"/>
      <c r="Z175" s="7"/>
    </row>
    <row r="176" spans="1:26" ht="12.75" customHeight="1" x14ac:dyDescent="0.2">
      <c r="A176" s="155">
        <v>33970</v>
      </c>
      <c r="B176" s="155">
        <v>34424</v>
      </c>
      <c r="C176" s="40" t="s">
        <v>36</v>
      </c>
      <c r="D176" s="41">
        <v>1</v>
      </c>
      <c r="E176" s="42">
        <v>0</v>
      </c>
      <c r="F176" s="42">
        <v>0</v>
      </c>
      <c r="G176" s="42">
        <v>0</v>
      </c>
      <c r="H176" s="42">
        <v>0</v>
      </c>
      <c r="I176" s="42">
        <v>0</v>
      </c>
      <c r="J176" s="42">
        <v>0</v>
      </c>
      <c r="K176" s="43">
        <v>0</v>
      </c>
      <c r="L176" s="32">
        <v>0</v>
      </c>
      <c r="M176" s="33"/>
      <c r="N176" s="30">
        <v>0</v>
      </c>
      <c r="O176" s="30">
        <v>0</v>
      </c>
      <c r="P176" s="30"/>
      <c r="Q176" s="30">
        <f>(N176+O176*0.18+J176)+(IF((P176-O176*0.18)&gt;0,(P176-O176*0.18),0))</f>
        <v>0</v>
      </c>
      <c r="R176" s="7"/>
      <c r="S176" s="7"/>
      <c r="T176" s="7"/>
      <c r="U176" s="7"/>
      <c r="V176" s="7"/>
      <c r="W176" s="7"/>
      <c r="X176" s="7"/>
      <c r="Y176" s="7"/>
      <c r="Z176" s="7"/>
    </row>
    <row r="177" spans="1:26" ht="9" customHeight="1" x14ac:dyDescent="0.2">
      <c r="A177" s="95"/>
      <c r="B177" s="95"/>
      <c r="C177" s="34" t="s">
        <v>37</v>
      </c>
      <c r="D177" s="35">
        <v>2</v>
      </c>
      <c r="E177" s="36">
        <v>0</v>
      </c>
      <c r="F177" s="36">
        <v>0</v>
      </c>
      <c r="G177" s="36">
        <v>0</v>
      </c>
      <c r="H177" s="36">
        <v>0</v>
      </c>
      <c r="I177" s="36">
        <v>0</v>
      </c>
      <c r="J177" s="37">
        <v>0</v>
      </c>
      <c r="K177" s="36">
        <v>0</v>
      </c>
      <c r="L177" s="38">
        <v>0</v>
      </c>
      <c r="M177" s="39"/>
      <c r="N177" s="36">
        <v>0</v>
      </c>
      <c r="O177" s="36">
        <v>0</v>
      </c>
      <c r="P177" s="36">
        <v>0</v>
      </c>
      <c r="Q177" s="36">
        <f>Q176*1936.27</f>
        <v>0</v>
      </c>
      <c r="R177" s="7"/>
      <c r="S177" s="7"/>
      <c r="T177" s="7"/>
      <c r="U177" s="7"/>
      <c r="V177" s="7"/>
      <c r="W177" s="7"/>
      <c r="X177" s="7"/>
      <c r="Y177" s="7"/>
      <c r="Z177" s="7"/>
    </row>
    <row r="178" spans="1:26" ht="12.75" customHeight="1" x14ac:dyDescent="0.2">
      <c r="A178" s="95"/>
      <c r="B178" s="95"/>
      <c r="C178" s="40" t="s">
        <v>36</v>
      </c>
      <c r="D178" s="41">
        <v>3</v>
      </c>
      <c r="E178" s="42">
        <v>0</v>
      </c>
      <c r="F178" s="42">
        <v>0</v>
      </c>
      <c r="G178" s="42">
        <v>0</v>
      </c>
      <c r="H178" s="42">
        <v>0</v>
      </c>
      <c r="I178" s="42">
        <v>0</v>
      </c>
      <c r="J178" s="42">
        <v>0</v>
      </c>
      <c r="K178" s="43">
        <v>0</v>
      </c>
      <c r="L178" s="32">
        <v>0</v>
      </c>
      <c r="M178" s="33"/>
      <c r="N178" s="30">
        <v>0</v>
      </c>
      <c r="O178" s="30">
        <v>0</v>
      </c>
      <c r="P178" s="30"/>
      <c r="Q178" s="30">
        <f>(N178+O178*0.18+J178)+(IF((P178-O178*0.18)&gt;0,(P178-O178*0.18),0))</f>
        <v>0</v>
      </c>
      <c r="R178" s="7"/>
      <c r="S178" s="7"/>
      <c r="T178" s="7"/>
      <c r="U178" s="7"/>
      <c r="V178" s="7"/>
      <c r="W178" s="7"/>
      <c r="X178" s="7"/>
      <c r="Y178" s="7"/>
      <c r="Z178" s="7"/>
    </row>
    <row r="179" spans="1:26" ht="9" customHeight="1" x14ac:dyDescent="0.2">
      <c r="A179" s="95"/>
      <c r="B179" s="95"/>
      <c r="C179" s="34" t="s">
        <v>37</v>
      </c>
      <c r="D179" s="35">
        <v>4</v>
      </c>
      <c r="E179" s="36">
        <v>0</v>
      </c>
      <c r="F179" s="36">
        <v>0</v>
      </c>
      <c r="G179" s="36">
        <v>0</v>
      </c>
      <c r="H179" s="36">
        <v>0</v>
      </c>
      <c r="I179" s="36">
        <v>0</v>
      </c>
      <c r="J179" s="37">
        <v>0</v>
      </c>
      <c r="K179" s="36">
        <v>0</v>
      </c>
      <c r="L179" s="38">
        <v>0</v>
      </c>
      <c r="M179" s="39"/>
      <c r="N179" s="36">
        <v>0</v>
      </c>
      <c r="O179" s="36">
        <v>0</v>
      </c>
      <c r="P179" s="36">
        <v>0</v>
      </c>
      <c r="Q179" s="36">
        <f>Q178*1936.27</f>
        <v>0</v>
      </c>
      <c r="R179" s="7"/>
      <c r="S179" s="7"/>
      <c r="T179" s="7"/>
      <c r="U179" s="7"/>
      <c r="V179" s="7"/>
      <c r="W179" s="7"/>
      <c r="X179" s="7"/>
      <c r="Y179" s="7"/>
      <c r="Z179" s="7"/>
    </row>
    <row r="180" spans="1:26" ht="12.75" customHeight="1" x14ac:dyDescent="0.2">
      <c r="A180" s="95"/>
      <c r="B180" s="95"/>
      <c r="C180" s="40" t="s">
        <v>36</v>
      </c>
      <c r="D180" s="41">
        <v>5</v>
      </c>
      <c r="E180" s="42">
        <v>0</v>
      </c>
      <c r="F180" s="42">
        <v>0</v>
      </c>
      <c r="G180" s="42">
        <v>0</v>
      </c>
      <c r="H180" s="42">
        <v>0</v>
      </c>
      <c r="I180" s="42">
        <v>0</v>
      </c>
      <c r="J180" s="42">
        <v>0</v>
      </c>
      <c r="K180" s="43">
        <v>0</v>
      </c>
      <c r="L180" s="32">
        <v>0</v>
      </c>
      <c r="M180" s="33"/>
      <c r="N180" s="30">
        <v>0</v>
      </c>
      <c r="O180" s="30">
        <v>0</v>
      </c>
      <c r="P180" s="30"/>
      <c r="Q180" s="30">
        <f>(N180+O180*0.18+J180)+(IF((P180-O180*0.18)&gt;0,(P180-O180*0.18),0))</f>
        <v>0</v>
      </c>
      <c r="R180" s="7"/>
      <c r="S180" s="7"/>
      <c r="T180" s="7"/>
      <c r="U180" s="7"/>
      <c r="V180" s="7"/>
      <c r="W180" s="7"/>
      <c r="X180" s="7"/>
      <c r="Y180" s="7"/>
      <c r="Z180" s="7"/>
    </row>
    <row r="181" spans="1:26" ht="9" customHeight="1" x14ac:dyDescent="0.2">
      <c r="A181" s="95"/>
      <c r="B181" s="95"/>
      <c r="C181" s="34" t="s">
        <v>37</v>
      </c>
      <c r="D181" s="35">
        <v>6</v>
      </c>
      <c r="E181" s="36">
        <v>0</v>
      </c>
      <c r="F181" s="36">
        <v>0</v>
      </c>
      <c r="G181" s="36">
        <v>0</v>
      </c>
      <c r="H181" s="36">
        <v>0</v>
      </c>
      <c r="I181" s="36">
        <v>0</v>
      </c>
      <c r="J181" s="37">
        <v>0</v>
      </c>
      <c r="K181" s="36">
        <v>0</v>
      </c>
      <c r="L181" s="38">
        <v>0</v>
      </c>
      <c r="M181" s="39"/>
      <c r="N181" s="36">
        <v>0</v>
      </c>
      <c r="O181" s="36">
        <v>0</v>
      </c>
      <c r="P181" s="36">
        <v>0</v>
      </c>
      <c r="Q181" s="36">
        <f>Q180*1936.27</f>
        <v>0</v>
      </c>
      <c r="R181" s="7"/>
      <c r="S181" s="7"/>
      <c r="T181" s="7"/>
      <c r="U181" s="7"/>
      <c r="V181" s="7"/>
      <c r="W181" s="7"/>
      <c r="X181" s="7"/>
      <c r="Y181" s="7"/>
      <c r="Z181" s="7"/>
    </row>
    <row r="182" spans="1:26" ht="12.75" customHeight="1" x14ac:dyDescent="0.2">
      <c r="A182" s="95"/>
      <c r="B182" s="95"/>
      <c r="C182" s="40" t="s">
        <v>36</v>
      </c>
      <c r="D182" s="41">
        <v>7</v>
      </c>
      <c r="E182" s="42">
        <v>0</v>
      </c>
      <c r="F182" s="42">
        <v>0</v>
      </c>
      <c r="G182" s="42">
        <v>0</v>
      </c>
      <c r="H182" s="42">
        <v>0</v>
      </c>
      <c r="I182" s="42">
        <v>0</v>
      </c>
      <c r="J182" s="42">
        <v>0</v>
      </c>
      <c r="K182" s="43">
        <v>0</v>
      </c>
      <c r="L182" s="32">
        <v>0</v>
      </c>
      <c r="M182" s="33"/>
      <c r="N182" s="30">
        <v>0</v>
      </c>
      <c r="O182" s="30">
        <v>0</v>
      </c>
      <c r="P182" s="30"/>
      <c r="Q182" s="30">
        <f>(N182+O182*0.18+J182)+(IF((P182-O182*0.18)&gt;0,(P182-O182*0.18),0))</f>
        <v>0</v>
      </c>
      <c r="R182" s="7"/>
      <c r="S182" s="7"/>
      <c r="T182" s="7"/>
      <c r="U182" s="7"/>
      <c r="V182" s="7"/>
      <c r="W182" s="7"/>
      <c r="X182" s="7"/>
      <c r="Y182" s="7"/>
      <c r="Z182" s="7"/>
    </row>
    <row r="183" spans="1:26" ht="9" customHeight="1" x14ac:dyDescent="0.2">
      <c r="A183" s="95"/>
      <c r="B183" s="95"/>
      <c r="C183" s="34" t="s">
        <v>37</v>
      </c>
      <c r="D183" s="35">
        <v>8</v>
      </c>
      <c r="E183" s="36">
        <v>0</v>
      </c>
      <c r="F183" s="36">
        <v>0</v>
      </c>
      <c r="G183" s="36">
        <v>0</v>
      </c>
      <c r="H183" s="36">
        <v>0</v>
      </c>
      <c r="I183" s="36">
        <v>0</v>
      </c>
      <c r="J183" s="37">
        <v>0</v>
      </c>
      <c r="K183" s="36">
        <v>0</v>
      </c>
      <c r="L183" s="38">
        <v>0</v>
      </c>
      <c r="M183" s="39"/>
      <c r="N183" s="36">
        <v>0</v>
      </c>
      <c r="O183" s="36">
        <v>0</v>
      </c>
      <c r="P183" s="36">
        <v>0</v>
      </c>
      <c r="Q183" s="36">
        <f>Q182*1936.27</f>
        <v>0</v>
      </c>
      <c r="R183" s="7"/>
      <c r="S183" s="7"/>
      <c r="T183" s="7"/>
      <c r="U183" s="7"/>
      <c r="V183" s="7"/>
      <c r="W183" s="7"/>
      <c r="X183" s="7"/>
      <c r="Y183" s="7"/>
      <c r="Z183" s="7"/>
    </row>
    <row r="184" spans="1:26" ht="12.75" customHeight="1" x14ac:dyDescent="0.2">
      <c r="A184" s="95"/>
      <c r="B184" s="95"/>
      <c r="C184" s="40" t="s">
        <v>36</v>
      </c>
      <c r="D184" s="41">
        <v>9</v>
      </c>
      <c r="E184" s="42">
        <v>0</v>
      </c>
      <c r="F184" s="42">
        <v>0</v>
      </c>
      <c r="G184" s="42">
        <v>0</v>
      </c>
      <c r="H184" s="42">
        <v>0</v>
      </c>
      <c r="I184" s="42">
        <v>0</v>
      </c>
      <c r="J184" s="42">
        <v>0</v>
      </c>
      <c r="K184" s="43">
        <v>0</v>
      </c>
      <c r="L184" s="32">
        <v>0</v>
      </c>
      <c r="M184" s="33"/>
      <c r="N184" s="30">
        <v>0</v>
      </c>
      <c r="O184" s="30">
        <v>0</v>
      </c>
      <c r="P184" s="30"/>
      <c r="Q184" s="30">
        <f>(N184+O184*0.18+J184)+(IF((P184-O184*0.18)&gt;0,(P184-O184*0.18),0))</f>
        <v>0</v>
      </c>
      <c r="R184" s="7"/>
      <c r="S184" s="7"/>
      <c r="T184" s="7"/>
      <c r="U184" s="7"/>
      <c r="V184" s="7"/>
      <c r="W184" s="7"/>
      <c r="X184" s="7"/>
      <c r="Y184" s="7"/>
      <c r="Z184" s="7"/>
    </row>
    <row r="185" spans="1:26" ht="9" customHeight="1" x14ac:dyDescent="0.2">
      <c r="A185" s="95"/>
      <c r="B185" s="95"/>
      <c r="C185" s="34" t="s">
        <v>37</v>
      </c>
      <c r="D185" s="35">
        <v>10</v>
      </c>
      <c r="E185" s="36">
        <v>0</v>
      </c>
      <c r="F185" s="36">
        <v>0</v>
      </c>
      <c r="G185" s="36">
        <v>0</v>
      </c>
      <c r="H185" s="36">
        <v>0</v>
      </c>
      <c r="I185" s="36">
        <v>0</v>
      </c>
      <c r="J185" s="37">
        <v>0</v>
      </c>
      <c r="K185" s="36">
        <v>0</v>
      </c>
      <c r="L185" s="38">
        <v>0</v>
      </c>
      <c r="M185" s="39"/>
      <c r="N185" s="36">
        <v>0</v>
      </c>
      <c r="O185" s="36">
        <v>0</v>
      </c>
      <c r="P185" s="36">
        <v>0</v>
      </c>
      <c r="Q185" s="36">
        <f>Q184*1936.27</f>
        <v>0</v>
      </c>
      <c r="R185" s="7"/>
      <c r="S185" s="7"/>
      <c r="T185" s="7"/>
      <c r="U185" s="7"/>
      <c r="V185" s="7"/>
      <c r="W185" s="7"/>
      <c r="X185" s="7"/>
      <c r="Y185" s="7"/>
      <c r="Z185" s="7"/>
    </row>
    <row r="186" spans="1:26" ht="12.75" customHeight="1" x14ac:dyDescent="0.2">
      <c r="A186" s="95"/>
      <c r="B186" s="95"/>
      <c r="C186" s="40" t="s">
        <v>36</v>
      </c>
      <c r="D186" s="41">
        <v>11</v>
      </c>
      <c r="E186" s="42">
        <v>0</v>
      </c>
      <c r="F186" s="42">
        <v>0</v>
      </c>
      <c r="G186" s="42">
        <v>0</v>
      </c>
      <c r="H186" s="42">
        <v>0</v>
      </c>
      <c r="I186" s="42">
        <v>0</v>
      </c>
      <c r="J186" s="42">
        <v>0</v>
      </c>
      <c r="K186" s="43">
        <v>0</v>
      </c>
      <c r="L186" s="32">
        <v>0</v>
      </c>
      <c r="M186" s="33"/>
      <c r="N186" s="30">
        <v>0</v>
      </c>
      <c r="O186" s="30">
        <v>0</v>
      </c>
      <c r="P186" s="30"/>
      <c r="Q186" s="30">
        <f>(N186+O186*0.18+J186)+(IF((P186-O186*0.18)&gt;0,(P186-O186*0.18),0))</f>
        <v>0</v>
      </c>
      <c r="R186" s="7"/>
      <c r="S186" s="7"/>
      <c r="T186" s="7"/>
      <c r="U186" s="7"/>
      <c r="V186" s="7"/>
      <c r="W186" s="7"/>
      <c r="X186" s="7"/>
      <c r="Y186" s="7"/>
      <c r="Z186" s="7"/>
    </row>
    <row r="187" spans="1:26" ht="9" customHeight="1" x14ac:dyDescent="0.2">
      <c r="A187" s="95"/>
      <c r="B187" s="95"/>
      <c r="C187" s="34" t="s">
        <v>37</v>
      </c>
      <c r="D187" s="35">
        <v>12</v>
      </c>
      <c r="E187" s="36">
        <v>0</v>
      </c>
      <c r="F187" s="36">
        <v>0</v>
      </c>
      <c r="G187" s="36">
        <v>0</v>
      </c>
      <c r="H187" s="36">
        <v>0</v>
      </c>
      <c r="I187" s="36">
        <v>0</v>
      </c>
      <c r="J187" s="37">
        <v>0</v>
      </c>
      <c r="K187" s="36">
        <v>0</v>
      </c>
      <c r="L187" s="38">
        <v>0</v>
      </c>
      <c r="M187" s="39"/>
      <c r="N187" s="36">
        <v>0</v>
      </c>
      <c r="O187" s="36">
        <v>0</v>
      </c>
      <c r="P187" s="36">
        <v>0</v>
      </c>
      <c r="Q187" s="36">
        <f>Q186*1936.27</f>
        <v>0</v>
      </c>
      <c r="R187" s="7"/>
      <c r="S187" s="7"/>
      <c r="T187" s="7"/>
      <c r="U187" s="7"/>
      <c r="V187" s="7"/>
      <c r="W187" s="7"/>
      <c r="X187" s="7"/>
      <c r="Y187" s="7"/>
      <c r="Z187" s="7"/>
    </row>
    <row r="188" spans="1:26" ht="12.75" customHeight="1" x14ac:dyDescent="0.2">
      <c r="A188" s="95"/>
      <c r="B188" s="95"/>
      <c r="C188" s="40" t="s">
        <v>36</v>
      </c>
      <c r="D188" s="41">
        <v>13</v>
      </c>
      <c r="E188" s="42">
        <v>0</v>
      </c>
      <c r="F188" s="42">
        <v>0</v>
      </c>
      <c r="G188" s="42">
        <v>0</v>
      </c>
      <c r="H188" s="42">
        <v>0</v>
      </c>
      <c r="I188" s="42">
        <v>0</v>
      </c>
      <c r="J188" s="42">
        <v>0</v>
      </c>
      <c r="K188" s="43">
        <v>0</v>
      </c>
      <c r="L188" s="32">
        <v>0</v>
      </c>
      <c r="M188" s="33"/>
      <c r="N188" s="30">
        <v>0</v>
      </c>
      <c r="O188" s="30">
        <v>0</v>
      </c>
      <c r="P188" s="30"/>
      <c r="Q188" s="30">
        <f>(N188+O188*0.18+J188)+(IF((P188-O188*0.18)&gt;0,(P188-O188*0.18),0))</f>
        <v>0</v>
      </c>
      <c r="R188" s="7"/>
      <c r="S188" s="7"/>
      <c r="T188" s="7"/>
      <c r="U188" s="7"/>
      <c r="V188" s="7"/>
      <c r="W188" s="7"/>
      <c r="X188" s="7"/>
      <c r="Y188" s="7"/>
      <c r="Z188" s="7"/>
    </row>
    <row r="189" spans="1:26" ht="9" customHeight="1" x14ac:dyDescent="0.2">
      <c r="A189" s="95"/>
      <c r="B189" s="95"/>
      <c r="C189" s="34" t="s">
        <v>37</v>
      </c>
      <c r="D189" s="35">
        <v>14</v>
      </c>
      <c r="E189" s="36">
        <v>0</v>
      </c>
      <c r="F189" s="36">
        <v>0</v>
      </c>
      <c r="G189" s="36">
        <v>0</v>
      </c>
      <c r="H189" s="36">
        <v>0</v>
      </c>
      <c r="I189" s="36">
        <v>0</v>
      </c>
      <c r="J189" s="37">
        <v>0</v>
      </c>
      <c r="K189" s="36">
        <v>0</v>
      </c>
      <c r="L189" s="38">
        <v>0</v>
      </c>
      <c r="M189" s="39"/>
      <c r="N189" s="36">
        <v>0</v>
      </c>
      <c r="O189" s="36">
        <v>0</v>
      </c>
      <c r="P189" s="36">
        <v>0</v>
      </c>
      <c r="Q189" s="36">
        <f>Q188*1936.27</f>
        <v>0</v>
      </c>
      <c r="R189" s="7"/>
      <c r="S189" s="7"/>
      <c r="T189" s="7"/>
      <c r="U189" s="7"/>
      <c r="V189" s="7"/>
      <c r="W189" s="7"/>
      <c r="X189" s="7"/>
      <c r="Y189" s="7"/>
      <c r="Z189" s="7"/>
    </row>
    <row r="190" spans="1:26" ht="12.75" customHeight="1" x14ac:dyDescent="0.2">
      <c r="A190" s="95"/>
      <c r="B190" s="95"/>
      <c r="C190" s="40" t="s">
        <v>36</v>
      </c>
      <c r="D190" s="41">
        <v>15</v>
      </c>
      <c r="E190" s="42">
        <v>0</v>
      </c>
      <c r="F190" s="42">
        <v>0</v>
      </c>
      <c r="G190" s="42">
        <v>0</v>
      </c>
      <c r="H190" s="42">
        <v>0</v>
      </c>
      <c r="I190" s="42">
        <v>0</v>
      </c>
      <c r="J190" s="42">
        <v>0</v>
      </c>
      <c r="K190" s="43">
        <v>0</v>
      </c>
      <c r="L190" s="32">
        <v>0</v>
      </c>
      <c r="M190" s="33"/>
      <c r="N190" s="30">
        <v>0</v>
      </c>
      <c r="O190" s="30">
        <v>0</v>
      </c>
      <c r="P190" s="30"/>
      <c r="Q190" s="30">
        <f>(N190+O190*0.18+J190)+(IF((P190-O190*0.18)&gt;0,(P190-O190*0.18),0))</f>
        <v>0</v>
      </c>
      <c r="R190" s="7"/>
      <c r="S190" s="7"/>
      <c r="T190" s="7"/>
      <c r="U190" s="7"/>
      <c r="V190" s="7"/>
      <c r="W190" s="7"/>
      <c r="X190" s="7"/>
      <c r="Y190" s="7"/>
      <c r="Z190" s="7"/>
    </row>
    <row r="191" spans="1:26" ht="9" customHeight="1" x14ac:dyDescent="0.2">
      <c r="A191" s="95"/>
      <c r="B191" s="95"/>
      <c r="C191" s="34" t="s">
        <v>37</v>
      </c>
      <c r="D191" s="35">
        <v>16</v>
      </c>
      <c r="E191" s="36">
        <v>0</v>
      </c>
      <c r="F191" s="36">
        <v>0</v>
      </c>
      <c r="G191" s="36">
        <v>0</v>
      </c>
      <c r="H191" s="36">
        <v>0</v>
      </c>
      <c r="I191" s="36">
        <v>0</v>
      </c>
      <c r="J191" s="37">
        <v>0</v>
      </c>
      <c r="K191" s="36">
        <v>0</v>
      </c>
      <c r="L191" s="38">
        <v>0</v>
      </c>
      <c r="M191" s="39"/>
      <c r="N191" s="36">
        <v>0</v>
      </c>
      <c r="O191" s="36">
        <v>0</v>
      </c>
      <c r="P191" s="36">
        <v>0</v>
      </c>
      <c r="Q191" s="36">
        <f>Q190*1936.27</f>
        <v>0</v>
      </c>
      <c r="R191" s="7"/>
      <c r="S191" s="7"/>
      <c r="T191" s="7"/>
      <c r="U191" s="7"/>
      <c r="V191" s="7"/>
      <c r="W191" s="7"/>
      <c r="X191" s="7"/>
      <c r="Y191" s="7"/>
      <c r="Z191" s="7"/>
    </row>
    <row r="192" spans="1:26" ht="12.75" customHeight="1" x14ac:dyDescent="0.2">
      <c r="A192" s="95"/>
      <c r="B192" s="95"/>
      <c r="C192" s="40" t="s">
        <v>36</v>
      </c>
      <c r="D192" s="41">
        <v>17</v>
      </c>
      <c r="E192" s="42">
        <v>0</v>
      </c>
      <c r="F192" s="42">
        <v>0</v>
      </c>
      <c r="G192" s="42">
        <v>0</v>
      </c>
      <c r="H192" s="42">
        <v>0</v>
      </c>
      <c r="I192" s="42">
        <v>0</v>
      </c>
      <c r="J192" s="42">
        <v>0</v>
      </c>
      <c r="K192" s="43">
        <v>0</v>
      </c>
      <c r="L192" s="32">
        <v>0</v>
      </c>
      <c r="M192" s="33"/>
      <c r="N192" s="30">
        <v>0</v>
      </c>
      <c r="O192" s="30">
        <v>0</v>
      </c>
      <c r="P192" s="30"/>
      <c r="Q192" s="30">
        <f>(N192+O192*0.18+J192)+(IF((P192-O192*0.18)&gt;0,(P192-O192*0.18),0))</f>
        <v>0</v>
      </c>
      <c r="R192" s="7"/>
      <c r="S192" s="7"/>
      <c r="T192" s="7"/>
      <c r="U192" s="7"/>
      <c r="V192" s="7"/>
      <c r="W192" s="7"/>
      <c r="X192" s="7"/>
      <c r="Y192" s="7"/>
      <c r="Z192" s="7"/>
    </row>
    <row r="193" spans="1:26" ht="9" customHeight="1" x14ac:dyDescent="0.2">
      <c r="A193" s="95"/>
      <c r="B193" s="95"/>
      <c r="C193" s="34" t="s">
        <v>37</v>
      </c>
      <c r="D193" s="35">
        <v>17</v>
      </c>
      <c r="E193" s="36">
        <v>0</v>
      </c>
      <c r="F193" s="36">
        <v>0</v>
      </c>
      <c r="G193" s="36">
        <v>0</v>
      </c>
      <c r="H193" s="36">
        <v>0</v>
      </c>
      <c r="I193" s="36">
        <v>0</v>
      </c>
      <c r="J193" s="37">
        <v>0</v>
      </c>
      <c r="K193" s="36">
        <v>0</v>
      </c>
      <c r="L193" s="38">
        <v>0</v>
      </c>
      <c r="M193" s="39"/>
      <c r="N193" s="36">
        <v>0</v>
      </c>
      <c r="O193" s="36">
        <v>0</v>
      </c>
      <c r="P193" s="36">
        <v>0</v>
      </c>
      <c r="Q193" s="36">
        <f>Q192*1936.27</f>
        <v>0</v>
      </c>
      <c r="R193" s="7"/>
      <c r="S193" s="7"/>
      <c r="T193" s="7"/>
      <c r="U193" s="7"/>
      <c r="V193" s="7"/>
      <c r="W193" s="7"/>
      <c r="X193" s="7"/>
      <c r="Y193" s="7"/>
      <c r="Z193" s="7"/>
    </row>
    <row r="194" spans="1:26" ht="12.75" customHeight="1" x14ac:dyDescent="0.2">
      <c r="A194" s="95"/>
      <c r="B194" s="95"/>
      <c r="C194" s="40" t="s">
        <v>36</v>
      </c>
      <c r="D194" s="41">
        <v>18</v>
      </c>
      <c r="E194" s="42">
        <v>0</v>
      </c>
      <c r="F194" s="42">
        <v>0</v>
      </c>
      <c r="G194" s="42">
        <v>0</v>
      </c>
      <c r="H194" s="42">
        <v>0</v>
      </c>
      <c r="I194" s="42">
        <v>0</v>
      </c>
      <c r="J194" s="42">
        <v>0</v>
      </c>
      <c r="K194" s="43">
        <v>0</v>
      </c>
      <c r="L194" s="32">
        <v>0</v>
      </c>
      <c r="M194" s="33"/>
      <c r="N194" s="30">
        <v>0</v>
      </c>
      <c r="O194" s="30">
        <v>0</v>
      </c>
      <c r="P194" s="30"/>
      <c r="Q194" s="30">
        <f>(N194+O194*0.18+J194)+(IF((P194-O194*0.18)&gt;0,(P194-O194*0.18),0))</f>
        <v>0</v>
      </c>
      <c r="R194" s="7"/>
      <c r="S194" s="7"/>
      <c r="T194" s="7"/>
      <c r="U194" s="7"/>
      <c r="V194" s="7"/>
      <c r="W194" s="7"/>
      <c r="X194" s="7"/>
      <c r="Y194" s="7"/>
      <c r="Z194" s="7"/>
    </row>
    <row r="195" spans="1:26" ht="9" customHeight="1" x14ac:dyDescent="0.2">
      <c r="A195" s="95"/>
      <c r="B195" s="95"/>
      <c r="C195" s="34" t="s">
        <v>37</v>
      </c>
      <c r="D195" s="35">
        <v>19</v>
      </c>
      <c r="E195" s="36">
        <v>0</v>
      </c>
      <c r="F195" s="36">
        <v>0</v>
      </c>
      <c r="G195" s="36">
        <v>0</v>
      </c>
      <c r="H195" s="36">
        <v>0</v>
      </c>
      <c r="I195" s="36">
        <v>0</v>
      </c>
      <c r="J195" s="37">
        <v>0</v>
      </c>
      <c r="K195" s="36">
        <v>0</v>
      </c>
      <c r="L195" s="38">
        <v>0</v>
      </c>
      <c r="M195" s="39"/>
      <c r="N195" s="36">
        <v>0</v>
      </c>
      <c r="O195" s="36">
        <v>0</v>
      </c>
      <c r="P195" s="36">
        <v>0</v>
      </c>
      <c r="Q195" s="36">
        <f>Q194*1936.27</f>
        <v>0</v>
      </c>
      <c r="R195" s="7"/>
      <c r="S195" s="7"/>
      <c r="T195" s="7"/>
      <c r="U195" s="7"/>
      <c r="V195" s="7"/>
      <c r="W195" s="7"/>
      <c r="X195" s="7"/>
      <c r="Y195" s="7"/>
      <c r="Z195" s="7"/>
    </row>
    <row r="196" spans="1:26" ht="12.75" customHeight="1" x14ac:dyDescent="0.2">
      <c r="A196" s="95"/>
      <c r="B196" s="95"/>
      <c r="C196" s="40" t="s">
        <v>36</v>
      </c>
      <c r="D196" s="41">
        <v>20</v>
      </c>
      <c r="E196" s="42">
        <v>0</v>
      </c>
      <c r="F196" s="42">
        <v>0</v>
      </c>
      <c r="G196" s="42">
        <v>0</v>
      </c>
      <c r="H196" s="42">
        <v>0</v>
      </c>
      <c r="I196" s="42">
        <v>0</v>
      </c>
      <c r="J196" s="42">
        <v>0</v>
      </c>
      <c r="K196" s="43">
        <v>0</v>
      </c>
      <c r="L196" s="32">
        <v>0</v>
      </c>
      <c r="M196" s="33"/>
      <c r="N196" s="30">
        <v>0</v>
      </c>
      <c r="O196" s="30">
        <v>0</v>
      </c>
      <c r="P196" s="30"/>
      <c r="Q196" s="30">
        <f>(N196+O196*0.18+J196)+(IF((P196-O196*0.18)&gt;0,(P196-O196*0.18),0))</f>
        <v>0</v>
      </c>
      <c r="R196" s="7"/>
      <c r="S196" s="7"/>
      <c r="T196" s="7"/>
      <c r="U196" s="7"/>
      <c r="V196" s="7"/>
      <c r="W196" s="7"/>
      <c r="X196" s="7"/>
      <c r="Y196" s="7"/>
      <c r="Z196" s="7"/>
    </row>
    <row r="197" spans="1:26" ht="9" customHeight="1" x14ac:dyDescent="0.2">
      <c r="A197" s="95"/>
      <c r="B197" s="95"/>
      <c r="C197" s="34" t="s">
        <v>37</v>
      </c>
      <c r="D197" s="35">
        <v>21</v>
      </c>
      <c r="E197" s="36">
        <v>0</v>
      </c>
      <c r="F197" s="36">
        <v>0</v>
      </c>
      <c r="G197" s="36">
        <v>0</v>
      </c>
      <c r="H197" s="36">
        <v>0</v>
      </c>
      <c r="I197" s="36">
        <v>0</v>
      </c>
      <c r="J197" s="37">
        <v>0</v>
      </c>
      <c r="K197" s="36">
        <v>0</v>
      </c>
      <c r="L197" s="38">
        <v>0</v>
      </c>
      <c r="M197" s="39"/>
      <c r="N197" s="36">
        <v>0</v>
      </c>
      <c r="O197" s="36">
        <v>0</v>
      </c>
      <c r="P197" s="36">
        <v>0</v>
      </c>
      <c r="Q197" s="36">
        <f>Q196*1936.27</f>
        <v>0</v>
      </c>
      <c r="R197" s="7"/>
      <c r="S197" s="7"/>
      <c r="T197" s="7"/>
      <c r="U197" s="7"/>
      <c r="V197" s="7"/>
      <c r="W197" s="7"/>
      <c r="X197" s="7"/>
      <c r="Y197" s="7"/>
      <c r="Z197" s="7"/>
    </row>
    <row r="198" spans="1:26" ht="12.75" customHeight="1" x14ac:dyDescent="0.2">
      <c r="A198" s="95"/>
      <c r="B198" s="95"/>
      <c r="C198" s="40" t="s">
        <v>36</v>
      </c>
      <c r="D198" s="41">
        <v>22</v>
      </c>
      <c r="E198" s="42">
        <v>0</v>
      </c>
      <c r="F198" s="42">
        <v>0</v>
      </c>
      <c r="G198" s="42">
        <v>0</v>
      </c>
      <c r="H198" s="42">
        <v>0</v>
      </c>
      <c r="I198" s="42">
        <v>0</v>
      </c>
      <c r="J198" s="42">
        <v>0</v>
      </c>
      <c r="K198" s="43">
        <v>0</v>
      </c>
      <c r="L198" s="32">
        <v>0</v>
      </c>
      <c r="M198" s="33"/>
      <c r="N198" s="30">
        <v>0</v>
      </c>
      <c r="O198" s="30">
        <v>0</v>
      </c>
      <c r="P198" s="30"/>
      <c r="Q198" s="30">
        <f>(N198+O198*0.18+J198)+(IF((P198-O198*0.18)&gt;0,(P198-O198*0.18),0))</f>
        <v>0</v>
      </c>
      <c r="R198" s="7"/>
      <c r="S198" s="7"/>
      <c r="T198" s="7"/>
      <c r="U198" s="7"/>
      <c r="V198" s="7"/>
      <c r="W198" s="7"/>
      <c r="X198" s="7"/>
      <c r="Y198" s="7"/>
      <c r="Z198" s="7"/>
    </row>
    <row r="199" spans="1:26" ht="9" customHeight="1" x14ac:dyDescent="0.2">
      <c r="A199" s="95"/>
      <c r="B199" s="95"/>
      <c r="C199" s="34" t="s">
        <v>37</v>
      </c>
      <c r="D199" s="35">
        <v>23</v>
      </c>
      <c r="E199" s="36">
        <v>0</v>
      </c>
      <c r="F199" s="36">
        <v>0</v>
      </c>
      <c r="G199" s="36">
        <v>0</v>
      </c>
      <c r="H199" s="36">
        <v>0</v>
      </c>
      <c r="I199" s="36">
        <v>0</v>
      </c>
      <c r="J199" s="37">
        <v>0</v>
      </c>
      <c r="K199" s="36">
        <v>0</v>
      </c>
      <c r="L199" s="38">
        <v>0</v>
      </c>
      <c r="M199" s="39"/>
      <c r="N199" s="36">
        <v>0</v>
      </c>
      <c r="O199" s="36">
        <v>0</v>
      </c>
      <c r="P199" s="36">
        <v>0</v>
      </c>
      <c r="Q199" s="36">
        <f>Q198*1936.27</f>
        <v>0</v>
      </c>
      <c r="R199" s="7"/>
      <c r="S199" s="7"/>
      <c r="T199" s="7"/>
      <c r="U199" s="7"/>
      <c r="V199" s="7"/>
      <c r="W199" s="7"/>
      <c r="X199" s="7"/>
      <c r="Y199" s="7"/>
      <c r="Z199" s="7"/>
    </row>
    <row r="200" spans="1:26" ht="12.75" customHeight="1" x14ac:dyDescent="0.2">
      <c r="A200" s="95"/>
      <c r="B200" s="95"/>
      <c r="C200" s="40" t="s">
        <v>36</v>
      </c>
      <c r="D200" s="41">
        <v>24</v>
      </c>
      <c r="E200" s="42">
        <v>0</v>
      </c>
      <c r="F200" s="42">
        <v>0</v>
      </c>
      <c r="G200" s="42">
        <v>0</v>
      </c>
      <c r="H200" s="42">
        <v>0</v>
      </c>
      <c r="I200" s="42">
        <v>0</v>
      </c>
      <c r="J200" s="42">
        <v>0</v>
      </c>
      <c r="K200" s="43">
        <v>0</v>
      </c>
      <c r="L200" s="32">
        <v>0</v>
      </c>
      <c r="M200" s="33"/>
      <c r="N200" s="30">
        <v>0</v>
      </c>
      <c r="O200" s="30">
        <v>0</v>
      </c>
      <c r="P200" s="30"/>
      <c r="Q200" s="30">
        <f>(N200+O200*0.18+J200)+(IF((P200-O200*0.18)&gt;0,(P200-O200*0.18),0))</f>
        <v>0</v>
      </c>
      <c r="R200" s="7"/>
      <c r="S200" s="7"/>
      <c r="T200" s="7"/>
      <c r="U200" s="7"/>
      <c r="V200" s="7"/>
      <c r="W200" s="7"/>
      <c r="X200" s="7"/>
      <c r="Y200" s="7"/>
      <c r="Z200" s="7"/>
    </row>
    <row r="201" spans="1:26" ht="9" customHeight="1" x14ac:dyDescent="0.2">
      <c r="A201" s="95"/>
      <c r="B201" s="95"/>
      <c r="C201" s="34" t="s">
        <v>37</v>
      </c>
      <c r="D201" s="35">
        <v>25</v>
      </c>
      <c r="E201" s="36">
        <v>0</v>
      </c>
      <c r="F201" s="36">
        <v>0</v>
      </c>
      <c r="G201" s="36">
        <v>0</v>
      </c>
      <c r="H201" s="36">
        <v>0</v>
      </c>
      <c r="I201" s="36">
        <v>0</v>
      </c>
      <c r="J201" s="37">
        <v>0</v>
      </c>
      <c r="K201" s="36">
        <v>0</v>
      </c>
      <c r="L201" s="38">
        <v>0</v>
      </c>
      <c r="M201" s="39"/>
      <c r="N201" s="36">
        <v>0</v>
      </c>
      <c r="O201" s="36">
        <v>0</v>
      </c>
      <c r="P201" s="36">
        <v>0</v>
      </c>
      <c r="Q201" s="36">
        <f>Q200*1936.27</f>
        <v>0</v>
      </c>
      <c r="R201" s="7"/>
      <c r="S201" s="7"/>
      <c r="T201" s="7"/>
      <c r="U201" s="7"/>
      <c r="V201" s="7"/>
      <c r="W201" s="7"/>
      <c r="X201" s="7"/>
      <c r="Y201" s="7"/>
      <c r="Z201" s="7"/>
    </row>
    <row r="202" spans="1:26" ht="12.75" customHeight="1" x14ac:dyDescent="0.2">
      <c r="A202" s="95"/>
      <c r="B202" s="95"/>
      <c r="C202" s="40" t="s">
        <v>36</v>
      </c>
      <c r="D202" s="41">
        <v>26</v>
      </c>
      <c r="E202" s="42">
        <v>0</v>
      </c>
      <c r="F202" s="42">
        <v>0</v>
      </c>
      <c r="G202" s="42">
        <v>0</v>
      </c>
      <c r="H202" s="42">
        <v>0</v>
      </c>
      <c r="I202" s="42">
        <v>0</v>
      </c>
      <c r="J202" s="42">
        <v>0</v>
      </c>
      <c r="K202" s="43">
        <v>0</v>
      </c>
      <c r="L202" s="32">
        <v>0</v>
      </c>
      <c r="M202" s="33"/>
      <c r="N202" s="30">
        <v>0</v>
      </c>
      <c r="O202" s="30">
        <v>0</v>
      </c>
      <c r="P202" s="30"/>
      <c r="Q202" s="30">
        <f>(N202+O202*0.18+J202)+(IF((P202-O202*0.18)&gt;0,(P202-O202*0.18),0))</f>
        <v>0</v>
      </c>
      <c r="R202" s="7"/>
      <c r="S202" s="7"/>
      <c r="T202" s="7"/>
      <c r="U202" s="7"/>
      <c r="V202" s="7"/>
      <c r="W202" s="7"/>
      <c r="X202" s="7"/>
      <c r="Y202" s="7"/>
      <c r="Z202" s="7"/>
    </row>
    <row r="203" spans="1:26" ht="9" customHeight="1" x14ac:dyDescent="0.2">
      <c r="A203" s="95"/>
      <c r="B203" s="95"/>
      <c r="C203" s="34" t="s">
        <v>37</v>
      </c>
      <c r="D203" s="35">
        <v>27</v>
      </c>
      <c r="E203" s="36">
        <v>0</v>
      </c>
      <c r="F203" s="36">
        <v>0</v>
      </c>
      <c r="G203" s="36">
        <v>0</v>
      </c>
      <c r="H203" s="36">
        <v>0</v>
      </c>
      <c r="I203" s="36">
        <v>0</v>
      </c>
      <c r="J203" s="37">
        <v>0</v>
      </c>
      <c r="K203" s="36">
        <v>0</v>
      </c>
      <c r="L203" s="38">
        <v>0</v>
      </c>
      <c r="M203" s="39"/>
      <c r="N203" s="36">
        <v>0</v>
      </c>
      <c r="O203" s="36">
        <v>0</v>
      </c>
      <c r="P203" s="36">
        <v>0</v>
      </c>
      <c r="Q203" s="36">
        <f>Q202*1936.27</f>
        <v>0</v>
      </c>
      <c r="R203" s="7"/>
      <c r="S203" s="7"/>
      <c r="T203" s="7"/>
      <c r="U203" s="7"/>
      <c r="V203" s="7"/>
      <c r="W203" s="7"/>
      <c r="X203" s="7"/>
      <c r="Y203" s="7"/>
      <c r="Z203" s="7"/>
    </row>
    <row r="204" spans="1:26" ht="12.75" customHeight="1" x14ac:dyDescent="0.2">
      <c r="A204" s="95"/>
      <c r="B204" s="95"/>
      <c r="C204" s="40" t="s">
        <v>36</v>
      </c>
      <c r="D204" s="41">
        <v>28</v>
      </c>
      <c r="E204" s="42">
        <v>0</v>
      </c>
      <c r="F204" s="42">
        <v>0</v>
      </c>
      <c r="G204" s="42">
        <v>0</v>
      </c>
      <c r="H204" s="42">
        <v>0</v>
      </c>
      <c r="I204" s="42">
        <v>0</v>
      </c>
      <c r="J204" s="42">
        <v>0</v>
      </c>
      <c r="K204" s="43">
        <v>0</v>
      </c>
      <c r="L204" s="32">
        <v>0</v>
      </c>
      <c r="M204" s="33"/>
      <c r="N204" s="30">
        <v>0</v>
      </c>
      <c r="O204" s="30">
        <v>0</v>
      </c>
      <c r="P204" s="30"/>
      <c r="Q204" s="30">
        <f>(N204+O204*0.18+J204)+(IF((P204-O204*0.18)&gt;0,(P204-O204*0.18),0))</f>
        <v>0</v>
      </c>
      <c r="R204" s="7"/>
      <c r="S204" s="7"/>
      <c r="T204" s="7"/>
      <c r="U204" s="7"/>
      <c r="V204" s="7"/>
      <c r="W204" s="7"/>
      <c r="X204" s="7"/>
      <c r="Y204" s="7"/>
      <c r="Z204" s="7"/>
    </row>
    <row r="205" spans="1:26" ht="9" customHeight="1" x14ac:dyDescent="0.2">
      <c r="A205" s="95"/>
      <c r="B205" s="95"/>
      <c r="C205" s="34" t="s">
        <v>37</v>
      </c>
      <c r="D205" s="35">
        <v>29</v>
      </c>
      <c r="E205" s="36">
        <v>0</v>
      </c>
      <c r="F205" s="36">
        <v>0</v>
      </c>
      <c r="G205" s="36">
        <v>0</v>
      </c>
      <c r="H205" s="36">
        <v>0</v>
      </c>
      <c r="I205" s="36">
        <v>0</v>
      </c>
      <c r="J205" s="37">
        <v>0</v>
      </c>
      <c r="K205" s="36">
        <v>0</v>
      </c>
      <c r="L205" s="38">
        <v>0</v>
      </c>
      <c r="M205" s="39"/>
      <c r="N205" s="36">
        <v>0</v>
      </c>
      <c r="O205" s="36">
        <v>0</v>
      </c>
      <c r="P205" s="36">
        <v>0</v>
      </c>
      <c r="Q205" s="36">
        <f>Q204*1936.27</f>
        <v>0</v>
      </c>
      <c r="R205" s="7"/>
      <c r="S205" s="7"/>
      <c r="T205" s="7"/>
      <c r="U205" s="7"/>
      <c r="V205" s="7"/>
      <c r="W205" s="7"/>
      <c r="X205" s="7"/>
      <c r="Y205" s="7"/>
      <c r="Z205" s="7"/>
    </row>
    <row r="206" spans="1:26" ht="12.75" customHeight="1" x14ac:dyDescent="0.2">
      <c r="A206" s="95"/>
      <c r="B206" s="95"/>
      <c r="C206" s="40" t="s">
        <v>36</v>
      </c>
      <c r="D206" s="41">
        <v>30</v>
      </c>
      <c r="E206" s="42">
        <v>0</v>
      </c>
      <c r="F206" s="42">
        <v>0</v>
      </c>
      <c r="G206" s="42">
        <v>0</v>
      </c>
      <c r="H206" s="42">
        <v>0</v>
      </c>
      <c r="I206" s="42">
        <v>0</v>
      </c>
      <c r="J206" s="42">
        <v>0</v>
      </c>
      <c r="K206" s="43">
        <v>0</v>
      </c>
      <c r="L206" s="32">
        <v>0</v>
      </c>
      <c r="M206" s="33"/>
      <c r="N206" s="30">
        <v>0</v>
      </c>
      <c r="O206" s="30">
        <v>0</v>
      </c>
      <c r="P206" s="30"/>
      <c r="Q206" s="30">
        <f>(N206+O206*0.18+J206)+(IF((P206-O206*0.18)&gt;0,(P206-O206*0.18),0))</f>
        <v>0</v>
      </c>
      <c r="R206" s="7"/>
      <c r="S206" s="7"/>
      <c r="T206" s="7"/>
      <c r="U206" s="7"/>
      <c r="V206" s="7"/>
      <c r="W206" s="7"/>
      <c r="X206" s="7"/>
      <c r="Y206" s="7"/>
      <c r="Z206" s="7"/>
    </row>
    <row r="207" spans="1:26" ht="9" customHeight="1" x14ac:dyDescent="0.2">
      <c r="A207" s="95"/>
      <c r="B207" s="95"/>
      <c r="C207" s="34" t="s">
        <v>37</v>
      </c>
      <c r="D207" s="35">
        <v>33</v>
      </c>
      <c r="E207" s="36">
        <v>0</v>
      </c>
      <c r="F207" s="36">
        <v>0</v>
      </c>
      <c r="G207" s="36">
        <v>0</v>
      </c>
      <c r="H207" s="36">
        <v>0</v>
      </c>
      <c r="I207" s="36">
        <v>0</v>
      </c>
      <c r="J207" s="37">
        <v>0</v>
      </c>
      <c r="K207" s="36">
        <v>0</v>
      </c>
      <c r="L207" s="38">
        <v>0</v>
      </c>
      <c r="M207" s="39"/>
      <c r="N207" s="36">
        <v>0</v>
      </c>
      <c r="O207" s="36">
        <v>0</v>
      </c>
      <c r="P207" s="36">
        <v>0</v>
      </c>
      <c r="Q207" s="36">
        <f>Q206*1936.27</f>
        <v>0</v>
      </c>
      <c r="R207" s="7"/>
      <c r="S207" s="7"/>
      <c r="T207" s="7"/>
      <c r="U207" s="7"/>
      <c r="V207" s="7"/>
      <c r="W207" s="7"/>
      <c r="X207" s="7"/>
      <c r="Y207" s="7"/>
      <c r="Z207" s="7"/>
    </row>
    <row r="208" spans="1:26" ht="12.75" customHeight="1" x14ac:dyDescent="0.2">
      <c r="A208" s="95"/>
      <c r="B208" s="95"/>
      <c r="C208" s="40" t="s">
        <v>36</v>
      </c>
      <c r="D208" s="41">
        <v>34</v>
      </c>
      <c r="E208" s="42">
        <v>0</v>
      </c>
      <c r="F208" s="42">
        <v>0</v>
      </c>
      <c r="G208" s="42">
        <v>0</v>
      </c>
      <c r="H208" s="42">
        <v>0</v>
      </c>
      <c r="I208" s="42">
        <v>0</v>
      </c>
      <c r="J208" s="42">
        <v>0</v>
      </c>
      <c r="K208" s="43">
        <v>0</v>
      </c>
      <c r="L208" s="32">
        <v>0</v>
      </c>
      <c r="M208" s="33"/>
      <c r="N208" s="30">
        <v>0</v>
      </c>
      <c r="O208" s="30">
        <v>0</v>
      </c>
      <c r="P208" s="30"/>
      <c r="Q208" s="30">
        <f>(N208+O208*0.18+J208)+(IF((P208-O208*0.18)&gt;0,(P208-O208*0.18),0))</f>
        <v>0</v>
      </c>
      <c r="R208" s="7"/>
      <c r="S208" s="7"/>
      <c r="T208" s="7"/>
      <c r="U208" s="7"/>
      <c r="V208" s="7"/>
      <c r="W208" s="7"/>
      <c r="X208" s="7"/>
      <c r="Y208" s="7"/>
      <c r="Z208" s="7"/>
    </row>
    <row r="209" spans="1:26" ht="9" customHeight="1" x14ac:dyDescent="0.2">
      <c r="A209" s="95"/>
      <c r="B209" s="95"/>
      <c r="C209" s="34" t="s">
        <v>37</v>
      </c>
      <c r="D209" s="35">
        <v>35</v>
      </c>
      <c r="E209" s="36">
        <v>0</v>
      </c>
      <c r="F209" s="36">
        <v>0</v>
      </c>
      <c r="G209" s="36">
        <v>0</v>
      </c>
      <c r="H209" s="36">
        <v>0</v>
      </c>
      <c r="I209" s="36">
        <v>0</v>
      </c>
      <c r="J209" s="37">
        <v>0</v>
      </c>
      <c r="K209" s="36">
        <v>0</v>
      </c>
      <c r="L209" s="38">
        <v>0</v>
      </c>
      <c r="M209" s="39"/>
      <c r="N209" s="36">
        <v>0</v>
      </c>
      <c r="O209" s="36">
        <v>0</v>
      </c>
      <c r="P209" s="36">
        <v>0</v>
      </c>
      <c r="Q209" s="36">
        <f>Q208*1936.27</f>
        <v>0</v>
      </c>
      <c r="R209" s="7"/>
      <c r="S209" s="7"/>
      <c r="T209" s="7"/>
      <c r="U209" s="7"/>
      <c r="V209" s="7"/>
      <c r="W209" s="7"/>
      <c r="X209" s="7"/>
      <c r="Y209" s="7"/>
      <c r="Z209" s="7"/>
    </row>
    <row r="210" spans="1:26" ht="12.75" customHeight="1" x14ac:dyDescent="0.2">
      <c r="A210" s="95"/>
      <c r="B210" s="95"/>
      <c r="C210" s="40" t="s">
        <v>36</v>
      </c>
      <c r="D210" s="41">
        <v>36</v>
      </c>
      <c r="E210" s="42">
        <v>0</v>
      </c>
      <c r="F210" s="42">
        <v>0</v>
      </c>
      <c r="G210" s="42">
        <v>0</v>
      </c>
      <c r="H210" s="42">
        <v>0</v>
      </c>
      <c r="I210" s="42">
        <v>0</v>
      </c>
      <c r="J210" s="42">
        <v>0</v>
      </c>
      <c r="K210" s="43">
        <v>0</v>
      </c>
      <c r="L210" s="32">
        <v>0</v>
      </c>
      <c r="M210" s="33"/>
      <c r="N210" s="30">
        <v>0</v>
      </c>
      <c r="O210" s="30">
        <v>0</v>
      </c>
      <c r="P210" s="30"/>
      <c r="Q210" s="30">
        <f>(N210+O210*0.18+J210)+(IF((P210-O210*0.18)&gt;0,(P210-O210*0.18),0))</f>
        <v>0</v>
      </c>
      <c r="R210" s="7"/>
      <c r="S210" s="7"/>
      <c r="T210" s="7"/>
      <c r="U210" s="7"/>
      <c r="V210" s="7"/>
      <c r="W210" s="7"/>
      <c r="X210" s="7"/>
      <c r="Y210" s="7"/>
      <c r="Z210" s="7"/>
    </row>
    <row r="211" spans="1:26" ht="9" customHeight="1" x14ac:dyDescent="0.2">
      <c r="A211" s="95"/>
      <c r="B211" s="95"/>
      <c r="C211" s="34" t="s">
        <v>37</v>
      </c>
      <c r="D211" s="35">
        <v>37</v>
      </c>
      <c r="E211" s="36">
        <v>0</v>
      </c>
      <c r="F211" s="36">
        <v>0</v>
      </c>
      <c r="G211" s="36">
        <v>0</v>
      </c>
      <c r="H211" s="36">
        <v>0</v>
      </c>
      <c r="I211" s="36">
        <v>0</v>
      </c>
      <c r="J211" s="37">
        <v>0</v>
      </c>
      <c r="K211" s="36">
        <v>0</v>
      </c>
      <c r="L211" s="38">
        <v>0</v>
      </c>
      <c r="M211" s="39"/>
      <c r="N211" s="36">
        <v>0</v>
      </c>
      <c r="O211" s="36">
        <v>0</v>
      </c>
      <c r="P211" s="36">
        <v>0</v>
      </c>
      <c r="Q211" s="36">
        <f>Q210*1936.27</f>
        <v>0</v>
      </c>
      <c r="R211" s="7"/>
      <c r="S211" s="7"/>
      <c r="T211" s="7"/>
      <c r="U211" s="7"/>
      <c r="V211" s="7"/>
      <c r="W211" s="7"/>
      <c r="X211" s="7"/>
      <c r="Y211" s="7"/>
      <c r="Z211" s="7"/>
    </row>
    <row r="212" spans="1:26" ht="12.75" customHeight="1" x14ac:dyDescent="0.2">
      <c r="A212" s="95"/>
      <c r="B212" s="95"/>
      <c r="C212" s="40" t="s">
        <v>36</v>
      </c>
      <c r="D212" s="41">
        <v>38</v>
      </c>
      <c r="E212" s="42">
        <v>0</v>
      </c>
      <c r="F212" s="42">
        <v>0</v>
      </c>
      <c r="G212" s="42">
        <v>0</v>
      </c>
      <c r="H212" s="42">
        <v>0</v>
      </c>
      <c r="I212" s="42">
        <v>0</v>
      </c>
      <c r="J212" s="42">
        <v>0</v>
      </c>
      <c r="K212" s="43">
        <v>0</v>
      </c>
      <c r="L212" s="32">
        <v>0</v>
      </c>
      <c r="M212" s="33"/>
      <c r="N212" s="30">
        <v>0</v>
      </c>
      <c r="O212" s="30">
        <v>0</v>
      </c>
      <c r="P212" s="30"/>
      <c r="Q212" s="30">
        <f>(N212+O212*0.18+J212)+(IF((P212-O212*0.18)&gt;0,(P212-O212*0.18),0))</f>
        <v>0</v>
      </c>
      <c r="R212" s="7"/>
      <c r="S212" s="7"/>
      <c r="T212" s="7"/>
      <c r="U212" s="7"/>
      <c r="V212" s="7"/>
      <c r="W212" s="7"/>
      <c r="X212" s="7"/>
      <c r="Y212" s="7"/>
      <c r="Z212" s="7"/>
    </row>
    <row r="213" spans="1:26" ht="9" customHeight="1" x14ac:dyDescent="0.2">
      <c r="A213" s="95"/>
      <c r="B213" s="95"/>
      <c r="C213" s="34" t="s">
        <v>37</v>
      </c>
      <c r="D213" s="35">
        <v>39</v>
      </c>
      <c r="E213" s="36">
        <v>0</v>
      </c>
      <c r="F213" s="36">
        <v>0</v>
      </c>
      <c r="G213" s="36">
        <v>0</v>
      </c>
      <c r="H213" s="36">
        <v>0</v>
      </c>
      <c r="I213" s="36">
        <v>0</v>
      </c>
      <c r="J213" s="37">
        <v>0</v>
      </c>
      <c r="K213" s="36">
        <v>0</v>
      </c>
      <c r="L213" s="38">
        <v>0</v>
      </c>
      <c r="M213" s="39"/>
      <c r="N213" s="36">
        <v>0</v>
      </c>
      <c r="O213" s="36">
        <v>0</v>
      </c>
      <c r="P213" s="36">
        <v>0</v>
      </c>
      <c r="Q213" s="36">
        <f>Q212*1936.27</f>
        <v>0</v>
      </c>
      <c r="R213" s="7"/>
      <c r="S213" s="7"/>
      <c r="T213" s="7"/>
      <c r="U213" s="7"/>
      <c r="V213" s="7"/>
      <c r="W213" s="7"/>
      <c r="X213" s="7"/>
      <c r="Y213" s="7"/>
      <c r="Z213" s="7"/>
    </row>
    <row r="214" spans="1:26" ht="12.75" customHeight="1" x14ac:dyDescent="0.2">
      <c r="A214" s="95"/>
      <c r="B214" s="95"/>
      <c r="C214" s="40" t="s">
        <v>36</v>
      </c>
      <c r="D214" s="41">
        <v>40</v>
      </c>
      <c r="E214" s="42">
        <v>0</v>
      </c>
      <c r="F214" s="42">
        <v>0</v>
      </c>
      <c r="G214" s="42">
        <v>0</v>
      </c>
      <c r="H214" s="42">
        <v>0</v>
      </c>
      <c r="I214" s="42">
        <v>0</v>
      </c>
      <c r="J214" s="42">
        <v>0</v>
      </c>
      <c r="K214" s="43">
        <v>0</v>
      </c>
      <c r="L214" s="32">
        <v>0</v>
      </c>
      <c r="M214" s="33"/>
      <c r="N214" s="30">
        <v>0</v>
      </c>
      <c r="O214" s="30">
        <v>0</v>
      </c>
      <c r="P214" s="30"/>
      <c r="Q214" s="30">
        <f>(N214+O214*0.18+J214)+(IF((P214-O214*0.18)&gt;0,(P214-O214*0.18),0))</f>
        <v>0</v>
      </c>
      <c r="R214" s="7"/>
      <c r="S214" s="7"/>
      <c r="T214" s="7"/>
      <c r="U214" s="7"/>
      <c r="V214" s="7"/>
      <c r="W214" s="7"/>
      <c r="X214" s="7"/>
      <c r="Y214" s="7"/>
      <c r="Z214" s="7"/>
    </row>
    <row r="215" spans="1:26" ht="9" customHeight="1" x14ac:dyDescent="0.2">
      <c r="A215" s="110"/>
      <c r="B215" s="110"/>
      <c r="C215" s="47"/>
      <c r="D215" s="48"/>
      <c r="E215" s="46">
        <v>0</v>
      </c>
      <c r="F215" s="46">
        <v>0</v>
      </c>
      <c r="G215" s="46">
        <v>0</v>
      </c>
      <c r="H215" s="46">
        <v>0</v>
      </c>
      <c r="I215" s="46">
        <v>0</v>
      </c>
      <c r="J215" s="49">
        <v>0</v>
      </c>
      <c r="K215" s="46">
        <v>0</v>
      </c>
      <c r="L215" s="38">
        <v>0</v>
      </c>
      <c r="M215" s="39"/>
      <c r="N215" s="36">
        <v>0</v>
      </c>
      <c r="O215" s="36">
        <v>0</v>
      </c>
      <c r="P215" s="36">
        <v>0</v>
      </c>
      <c r="Q215" s="36">
        <f>Q214*1936.27</f>
        <v>0</v>
      </c>
      <c r="R215" s="7"/>
      <c r="S215" s="7"/>
      <c r="T215" s="7"/>
      <c r="U215" s="7"/>
      <c r="V215" s="7"/>
      <c r="W215" s="7"/>
      <c r="X215" s="7"/>
      <c r="Y215" s="7"/>
      <c r="Z215" s="7"/>
    </row>
    <row r="216" spans="1:26" ht="12.75" customHeight="1" x14ac:dyDescent="0.2">
      <c r="A216" s="98">
        <v>34425</v>
      </c>
      <c r="B216" s="98">
        <v>34515</v>
      </c>
      <c r="C216" s="28" t="s">
        <v>36</v>
      </c>
      <c r="D216" s="29">
        <v>0</v>
      </c>
      <c r="E216" s="30">
        <v>0</v>
      </c>
      <c r="F216" s="30">
        <v>0</v>
      </c>
      <c r="G216" s="30">
        <v>0</v>
      </c>
      <c r="H216" s="30">
        <v>0</v>
      </c>
      <c r="I216" s="30">
        <v>0</v>
      </c>
      <c r="J216" s="30">
        <v>0</v>
      </c>
      <c r="K216" s="31">
        <v>0</v>
      </c>
      <c r="L216" s="32">
        <v>0</v>
      </c>
      <c r="M216" s="33"/>
      <c r="N216" s="30">
        <v>0</v>
      </c>
      <c r="O216" s="30">
        <v>0</v>
      </c>
      <c r="P216" s="30"/>
      <c r="Q216" s="30">
        <f>(N216+O216*0.18+J216)+(IF((P216-O216*0.18)&gt;0,(P216-O216*0.18),0))</f>
        <v>0</v>
      </c>
      <c r="R216" s="7"/>
      <c r="S216" s="7"/>
      <c r="T216" s="7"/>
      <c r="U216" s="7"/>
      <c r="V216" s="7"/>
      <c r="W216" s="7"/>
      <c r="X216" s="7"/>
      <c r="Y216" s="7"/>
      <c r="Z216" s="7"/>
    </row>
    <row r="217" spans="1:26" ht="9" customHeight="1" x14ac:dyDescent="0.2">
      <c r="A217" s="95"/>
      <c r="B217" s="95"/>
      <c r="C217" s="34" t="s">
        <v>37</v>
      </c>
      <c r="D217" s="35">
        <v>0</v>
      </c>
      <c r="E217" s="36">
        <v>0</v>
      </c>
      <c r="F217" s="36">
        <v>0</v>
      </c>
      <c r="G217" s="36">
        <v>0</v>
      </c>
      <c r="H217" s="36">
        <v>0</v>
      </c>
      <c r="I217" s="36">
        <v>0</v>
      </c>
      <c r="J217" s="37">
        <v>0</v>
      </c>
      <c r="K217" s="36">
        <v>0</v>
      </c>
      <c r="L217" s="38">
        <v>0</v>
      </c>
      <c r="M217" s="39"/>
      <c r="N217" s="36">
        <v>0</v>
      </c>
      <c r="O217" s="36">
        <v>0</v>
      </c>
      <c r="P217" s="36">
        <v>0</v>
      </c>
      <c r="Q217" s="36">
        <f>Q216*1936.27</f>
        <v>0</v>
      </c>
      <c r="R217" s="7"/>
      <c r="S217" s="7"/>
      <c r="T217" s="7"/>
      <c r="U217" s="7"/>
      <c r="V217" s="7"/>
      <c r="W217" s="7"/>
      <c r="X217" s="7"/>
      <c r="Y217" s="7"/>
      <c r="Z217" s="7"/>
    </row>
    <row r="218" spans="1:26" ht="12.75" customHeight="1" x14ac:dyDescent="0.2">
      <c r="A218" s="155">
        <v>34425</v>
      </c>
      <c r="B218" s="155">
        <v>34515</v>
      </c>
      <c r="C218" s="40" t="s">
        <v>36</v>
      </c>
      <c r="D218" s="41">
        <v>1</v>
      </c>
      <c r="E218" s="42">
        <v>0</v>
      </c>
      <c r="F218" s="42">
        <v>0</v>
      </c>
      <c r="G218" s="42">
        <v>0</v>
      </c>
      <c r="H218" s="42">
        <v>0</v>
      </c>
      <c r="I218" s="42">
        <v>0</v>
      </c>
      <c r="J218" s="42">
        <v>0</v>
      </c>
      <c r="K218" s="43">
        <v>0</v>
      </c>
      <c r="L218" s="32">
        <v>0</v>
      </c>
      <c r="M218" s="33"/>
      <c r="N218" s="30">
        <v>0</v>
      </c>
      <c r="O218" s="30">
        <v>0</v>
      </c>
      <c r="P218" s="30"/>
      <c r="Q218" s="30">
        <f>(N218+O218*0.18+J218)+(IF((P218-O218*0.18)&gt;0,(P218-O218*0.18),0))</f>
        <v>0</v>
      </c>
      <c r="R218" s="7"/>
      <c r="S218" s="7"/>
      <c r="T218" s="7"/>
      <c r="U218" s="7"/>
      <c r="V218" s="7"/>
      <c r="W218" s="7"/>
      <c r="X218" s="7"/>
      <c r="Y218" s="7"/>
      <c r="Z218" s="7"/>
    </row>
    <row r="219" spans="1:26" ht="9" customHeight="1" x14ac:dyDescent="0.2">
      <c r="A219" s="95"/>
      <c r="B219" s="95"/>
      <c r="C219" s="34" t="s">
        <v>37</v>
      </c>
      <c r="D219" s="35">
        <v>2</v>
      </c>
      <c r="E219" s="36">
        <v>0</v>
      </c>
      <c r="F219" s="36">
        <v>0</v>
      </c>
      <c r="G219" s="36">
        <v>0</v>
      </c>
      <c r="H219" s="36">
        <v>0</v>
      </c>
      <c r="I219" s="36">
        <v>0</v>
      </c>
      <c r="J219" s="37">
        <v>0</v>
      </c>
      <c r="K219" s="36">
        <v>0</v>
      </c>
      <c r="L219" s="38">
        <v>0</v>
      </c>
      <c r="M219" s="39"/>
      <c r="N219" s="36">
        <v>0</v>
      </c>
      <c r="O219" s="36">
        <v>0</v>
      </c>
      <c r="P219" s="36">
        <v>0</v>
      </c>
      <c r="Q219" s="36">
        <f>Q218*1936.27</f>
        <v>0</v>
      </c>
      <c r="R219" s="7"/>
      <c r="S219" s="7"/>
      <c r="T219" s="7"/>
      <c r="U219" s="7"/>
      <c r="V219" s="7"/>
      <c r="W219" s="7"/>
      <c r="X219" s="7"/>
      <c r="Y219" s="7"/>
      <c r="Z219" s="7"/>
    </row>
    <row r="220" spans="1:26" ht="12.75" customHeight="1" x14ac:dyDescent="0.2">
      <c r="A220" s="95"/>
      <c r="B220" s="95"/>
      <c r="C220" s="40" t="s">
        <v>36</v>
      </c>
      <c r="D220" s="41">
        <v>3</v>
      </c>
      <c r="E220" s="42">
        <v>0</v>
      </c>
      <c r="F220" s="42">
        <v>0</v>
      </c>
      <c r="G220" s="42">
        <v>0</v>
      </c>
      <c r="H220" s="42">
        <v>0</v>
      </c>
      <c r="I220" s="42">
        <v>0</v>
      </c>
      <c r="J220" s="42">
        <v>0</v>
      </c>
      <c r="K220" s="43">
        <v>0</v>
      </c>
      <c r="L220" s="32">
        <v>0</v>
      </c>
      <c r="M220" s="33"/>
      <c r="N220" s="30">
        <v>0</v>
      </c>
      <c r="O220" s="30">
        <v>0</v>
      </c>
      <c r="P220" s="30"/>
      <c r="Q220" s="30">
        <f>(N220+O220*0.18+J220)+(IF((P220-O220*0.18)&gt;0,(P220-O220*0.18),0))</f>
        <v>0</v>
      </c>
      <c r="R220" s="7"/>
      <c r="S220" s="7"/>
      <c r="T220" s="7"/>
      <c r="U220" s="7"/>
      <c r="V220" s="7"/>
      <c r="W220" s="7"/>
      <c r="X220" s="7"/>
      <c r="Y220" s="7"/>
      <c r="Z220" s="7"/>
    </row>
    <row r="221" spans="1:26" ht="9" customHeight="1" x14ac:dyDescent="0.2">
      <c r="A221" s="95"/>
      <c r="B221" s="95"/>
      <c r="C221" s="34" t="s">
        <v>37</v>
      </c>
      <c r="D221" s="35">
        <v>4</v>
      </c>
      <c r="E221" s="36">
        <v>0</v>
      </c>
      <c r="F221" s="36">
        <v>0</v>
      </c>
      <c r="G221" s="36">
        <v>0</v>
      </c>
      <c r="H221" s="36">
        <v>0</v>
      </c>
      <c r="I221" s="36">
        <v>0</v>
      </c>
      <c r="J221" s="37">
        <v>0</v>
      </c>
      <c r="K221" s="36">
        <v>0</v>
      </c>
      <c r="L221" s="38">
        <v>0</v>
      </c>
      <c r="M221" s="39"/>
      <c r="N221" s="36">
        <v>0</v>
      </c>
      <c r="O221" s="36">
        <v>0</v>
      </c>
      <c r="P221" s="36">
        <v>0</v>
      </c>
      <c r="Q221" s="36">
        <f>Q220*1936.27</f>
        <v>0</v>
      </c>
      <c r="R221" s="7"/>
      <c r="S221" s="7"/>
      <c r="T221" s="7"/>
      <c r="U221" s="7"/>
      <c r="V221" s="7"/>
      <c r="W221" s="7"/>
      <c r="X221" s="7"/>
      <c r="Y221" s="7"/>
      <c r="Z221" s="7"/>
    </row>
    <row r="222" spans="1:26" ht="12.75" customHeight="1" x14ac:dyDescent="0.2">
      <c r="A222" s="95"/>
      <c r="B222" s="95"/>
      <c r="C222" s="40" t="s">
        <v>36</v>
      </c>
      <c r="D222" s="41">
        <v>5</v>
      </c>
      <c r="E222" s="42">
        <v>0</v>
      </c>
      <c r="F222" s="42">
        <v>0</v>
      </c>
      <c r="G222" s="42">
        <v>0</v>
      </c>
      <c r="H222" s="42">
        <v>0</v>
      </c>
      <c r="I222" s="42">
        <v>0</v>
      </c>
      <c r="J222" s="42">
        <v>0</v>
      </c>
      <c r="K222" s="43">
        <v>0</v>
      </c>
      <c r="L222" s="32">
        <v>0</v>
      </c>
      <c r="M222" s="33"/>
      <c r="N222" s="30">
        <v>0</v>
      </c>
      <c r="O222" s="30">
        <v>0</v>
      </c>
      <c r="P222" s="30"/>
      <c r="Q222" s="30">
        <f>(N222+O222*0.18+J222)+(IF((P222-O222*0.18)&gt;0,(P222-O222*0.18),0))</f>
        <v>0</v>
      </c>
      <c r="R222" s="7"/>
      <c r="S222" s="7"/>
      <c r="T222" s="7"/>
      <c r="U222" s="7"/>
      <c r="V222" s="7"/>
      <c r="W222" s="7"/>
      <c r="X222" s="7"/>
      <c r="Y222" s="7"/>
      <c r="Z222" s="7"/>
    </row>
    <row r="223" spans="1:26" ht="9" customHeight="1" x14ac:dyDescent="0.2">
      <c r="A223" s="95"/>
      <c r="B223" s="95"/>
      <c r="C223" s="34" t="s">
        <v>37</v>
      </c>
      <c r="D223" s="35">
        <v>6</v>
      </c>
      <c r="E223" s="36">
        <v>0</v>
      </c>
      <c r="F223" s="36">
        <v>0</v>
      </c>
      <c r="G223" s="36">
        <v>0</v>
      </c>
      <c r="H223" s="36">
        <v>0</v>
      </c>
      <c r="I223" s="36">
        <v>0</v>
      </c>
      <c r="J223" s="37">
        <v>0</v>
      </c>
      <c r="K223" s="36">
        <v>0</v>
      </c>
      <c r="L223" s="38">
        <v>0</v>
      </c>
      <c r="M223" s="39"/>
      <c r="N223" s="36">
        <v>0</v>
      </c>
      <c r="O223" s="36">
        <v>0</v>
      </c>
      <c r="P223" s="36">
        <v>0</v>
      </c>
      <c r="Q223" s="36">
        <f>Q222*1936.27</f>
        <v>0</v>
      </c>
      <c r="R223" s="7"/>
      <c r="S223" s="7"/>
      <c r="T223" s="7"/>
      <c r="U223" s="7"/>
      <c r="V223" s="7"/>
      <c r="W223" s="7"/>
      <c r="X223" s="7"/>
      <c r="Y223" s="7"/>
      <c r="Z223" s="7"/>
    </row>
    <row r="224" spans="1:26" ht="12.75" customHeight="1" x14ac:dyDescent="0.2">
      <c r="A224" s="95"/>
      <c r="B224" s="95"/>
      <c r="C224" s="40" t="s">
        <v>36</v>
      </c>
      <c r="D224" s="41">
        <v>7</v>
      </c>
      <c r="E224" s="42">
        <v>0</v>
      </c>
      <c r="F224" s="42">
        <v>0</v>
      </c>
      <c r="G224" s="42">
        <v>0</v>
      </c>
      <c r="H224" s="42">
        <v>0</v>
      </c>
      <c r="I224" s="42">
        <v>0</v>
      </c>
      <c r="J224" s="42">
        <v>0</v>
      </c>
      <c r="K224" s="43">
        <v>0</v>
      </c>
      <c r="L224" s="32">
        <v>0</v>
      </c>
      <c r="M224" s="33"/>
      <c r="N224" s="30">
        <v>0</v>
      </c>
      <c r="O224" s="30">
        <v>0</v>
      </c>
      <c r="P224" s="30"/>
      <c r="Q224" s="30">
        <f>(N224+O224*0.18+J224)+(IF((P224-O224*0.18)&gt;0,(P224-O224*0.18),0))</f>
        <v>0</v>
      </c>
      <c r="R224" s="7"/>
      <c r="S224" s="7"/>
      <c r="T224" s="7"/>
      <c r="U224" s="7"/>
      <c r="V224" s="7"/>
      <c r="W224" s="7"/>
      <c r="X224" s="7"/>
      <c r="Y224" s="7"/>
      <c r="Z224" s="7"/>
    </row>
    <row r="225" spans="1:26" ht="9" customHeight="1" x14ac:dyDescent="0.2">
      <c r="A225" s="95"/>
      <c r="B225" s="95"/>
      <c r="C225" s="34" t="s">
        <v>37</v>
      </c>
      <c r="D225" s="35">
        <v>8</v>
      </c>
      <c r="E225" s="36">
        <v>0</v>
      </c>
      <c r="F225" s="36">
        <v>0</v>
      </c>
      <c r="G225" s="36">
        <v>0</v>
      </c>
      <c r="H225" s="36">
        <v>0</v>
      </c>
      <c r="I225" s="36">
        <v>0</v>
      </c>
      <c r="J225" s="37">
        <v>0</v>
      </c>
      <c r="K225" s="36">
        <v>0</v>
      </c>
      <c r="L225" s="38">
        <v>0</v>
      </c>
      <c r="M225" s="39"/>
      <c r="N225" s="36">
        <v>0</v>
      </c>
      <c r="O225" s="36">
        <v>0</v>
      </c>
      <c r="P225" s="36">
        <v>0</v>
      </c>
      <c r="Q225" s="36">
        <f>Q224*1936.27</f>
        <v>0</v>
      </c>
      <c r="R225" s="7"/>
      <c r="S225" s="7"/>
      <c r="T225" s="7"/>
      <c r="U225" s="7"/>
      <c r="V225" s="7"/>
      <c r="W225" s="7"/>
      <c r="X225" s="7"/>
      <c r="Y225" s="7"/>
      <c r="Z225" s="7"/>
    </row>
    <row r="226" spans="1:26" ht="12.75" customHeight="1" x14ac:dyDescent="0.2">
      <c r="A226" s="95"/>
      <c r="B226" s="95"/>
      <c r="C226" s="40" t="s">
        <v>36</v>
      </c>
      <c r="D226" s="41">
        <v>9</v>
      </c>
      <c r="E226" s="42">
        <v>0</v>
      </c>
      <c r="F226" s="42">
        <v>0</v>
      </c>
      <c r="G226" s="42">
        <v>0</v>
      </c>
      <c r="H226" s="42">
        <v>0</v>
      </c>
      <c r="I226" s="42">
        <v>0</v>
      </c>
      <c r="J226" s="42">
        <v>0</v>
      </c>
      <c r="K226" s="43">
        <v>0</v>
      </c>
      <c r="L226" s="32">
        <v>0</v>
      </c>
      <c r="M226" s="33"/>
      <c r="N226" s="30">
        <v>0</v>
      </c>
      <c r="O226" s="30">
        <v>0</v>
      </c>
      <c r="P226" s="30"/>
      <c r="Q226" s="30">
        <f>(N226+O226*0.18+J226)+(IF((P226-O226*0.18)&gt;0,(P226-O226*0.18),0))</f>
        <v>0</v>
      </c>
      <c r="R226" s="7"/>
      <c r="S226" s="7"/>
      <c r="T226" s="7"/>
      <c r="U226" s="7"/>
      <c r="V226" s="7"/>
      <c r="W226" s="7"/>
      <c r="X226" s="7"/>
      <c r="Y226" s="7"/>
      <c r="Z226" s="7"/>
    </row>
    <row r="227" spans="1:26" ht="9" customHeight="1" x14ac:dyDescent="0.2">
      <c r="A227" s="95"/>
      <c r="B227" s="95"/>
      <c r="C227" s="34" t="s">
        <v>37</v>
      </c>
      <c r="D227" s="35">
        <v>10</v>
      </c>
      <c r="E227" s="36">
        <v>0</v>
      </c>
      <c r="F227" s="36">
        <v>0</v>
      </c>
      <c r="G227" s="36">
        <v>0</v>
      </c>
      <c r="H227" s="36">
        <v>0</v>
      </c>
      <c r="I227" s="36">
        <v>0</v>
      </c>
      <c r="J227" s="37">
        <v>0</v>
      </c>
      <c r="K227" s="36">
        <v>0</v>
      </c>
      <c r="L227" s="38">
        <v>0</v>
      </c>
      <c r="M227" s="39"/>
      <c r="N227" s="36">
        <v>0</v>
      </c>
      <c r="O227" s="36">
        <v>0</v>
      </c>
      <c r="P227" s="36">
        <v>0</v>
      </c>
      <c r="Q227" s="36">
        <f>Q226*1936.27</f>
        <v>0</v>
      </c>
      <c r="R227" s="7"/>
      <c r="S227" s="7"/>
      <c r="T227" s="7"/>
      <c r="U227" s="7"/>
      <c r="V227" s="7"/>
      <c r="W227" s="7"/>
      <c r="X227" s="7"/>
      <c r="Y227" s="7"/>
      <c r="Z227" s="7"/>
    </row>
    <row r="228" spans="1:26" ht="12.75" customHeight="1" x14ac:dyDescent="0.2">
      <c r="A228" s="95"/>
      <c r="B228" s="95"/>
      <c r="C228" s="40" t="s">
        <v>36</v>
      </c>
      <c r="D228" s="41">
        <v>11</v>
      </c>
      <c r="E228" s="42">
        <v>0</v>
      </c>
      <c r="F228" s="42">
        <v>0</v>
      </c>
      <c r="G228" s="42">
        <v>0</v>
      </c>
      <c r="H228" s="42">
        <v>0</v>
      </c>
      <c r="I228" s="42">
        <v>0</v>
      </c>
      <c r="J228" s="42">
        <v>0</v>
      </c>
      <c r="K228" s="43">
        <v>0</v>
      </c>
      <c r="L228" s="32">
        <v>0</v>
      </c>
      <c r="M228" s="33"/>
      <c r="N228" s="30">
        <v>0</v>
      </c>
      <c r="O228" s="30">
        <v>0</v>
      </c>
      <c r="P228" s="30"/>
      <c r="Q228" s="30">
        <f>(N228+O228*0.18+J228)+(IF((P228-O228*0.18)&gt;0,(P228-O228*0.18),0))</f>
        <v>0</v>
      </c>
      <c r="R228" s="7"/>
      <c r="S228" s="7"/>
      <c r="T228" s="7"/>
      <c r="U228" s="7"/>
      <c r="V228" s="7"/>
      <c r="W228" s="7"/>
      <c r="X228" s="7"/>
      <c r="Y228" s="7"/>
      <c r="Z228" s="7"/>
    </row>
    <row r="229" spans="1:26" ht="9" customHeight="1" x14ac:dyDescent="0.2">
      <c r="A229" s="95"/>
      <c r="B229" s="95"/>
      <c r="C229" s="34" t="s">
        <v>37</v>
      </c>
      <c r="D229" s="35">
        <v>12</v>
      </c>
      <c r="E229" s="36">
        <v>0</v>
      </c>
      <c r="F229" s="36">
        <v>0</v>
      </c>
      <c r="G229" s="36">
        <v>0</v>
      </c>
      <c r="H229" s="36">
        <v>0</v>
      </c>
      <c r="I229" s="36">
        <v>0</v>
      </c>
      <c r="J229" s="37">
        <v>0</v>
      </c>
      <c r="K229" s="36">
        <v>0</v>
      </c>
      <c r="L229" s="38">
        <v>0</v>
      </c>
      <c r="M229" s="39"/>
      <c r="N229" s="36">
        <v>0</v>
      </c>
      <c r="O229" s="36">
        <v>0</v>
      </c>
      <c r="P229" s="36">
        <v>0</v>
      </c>
      <c r="Q229" s="36">
        <f>Q228*1936.27</f>
        <v>0</v>
      </c>
      <c r="R229" s="7"/>
      <c r="S229" s="7"/>
      <c r="T229" s="7"/>
      <c r="U229" s="7"/>
      <c r="V229" s="7"/>
      <c r="W229" s="7"/>
      <c r="X229" s="7"/>
      <c r="Y229" s="7"/>
      <c r="Z229" s="7"/>
    </row>
    <row r="230" spans="1:26" ht="12.75" customHeight="1" x14ac:dyDescent="0.2">
      <c r="A230" s="95"/>
      <c r="B230" s="95"/>
      <c r="C230" s="40" t="s">
        <v>36</v>
      </c>
      <c r="D230" s="41">
        <v>13</v>
      </c>
      <c r="E230" s="42">
        <v>0</v>
      </c>
      <c r="F230" s="42">
        <v>0</v>
      </c>
      <c r="G230" s="42">
        <v>0</v>
      </c>
      <c r="H230" s="42">
        <v>0</v>
      </c>
      <c r="I230" s="42">
        <v>0</v>
      </c>
      <c r="J230" s="42">
        <v>0</v>
      </c>
      <c r="K230" s="43">
        <v>0</v>
      </c>
      <c r="L230" s="32">
        <v>0</v>
      </c>
      <c r="M230" s="33"/>
      <c r="N230" s="30">
        <v>0</v>
      </c>
      <c r="O230" s="30">
        <v>0</v>
      </c>
      <c r="P230" s="30"/>
      <c r="Q230" s="30">
        <f>(N230+O230*0.18+J230)+(IF((P230-O230*0.18)&gt;0,(P230-O230*0.18),0))</f>
        <v>0</v>
      </c>
      <c r="R230" s="7"/>
      <c r="S230" s="7"/>
      <c r="T230" s="7"/>
      <c r="U230" s="7"/>
      <c r="V230" s="7"/>
      <c r="W230" s="7"/>
      <c r="X230" s="7"/>
      <c r="Y230" s="7"/>
      <c r="Z230" s="7"/>
    </row>
    <row r="231" spans="1:26" ht="9" customHeight="1" x14ac:dyDescent="0.2">
      <c r="A231" s="95"/>
      <c r="B231" s="95"/>
      <c r="C231" s="34" t="s">
        <v>37</v>
      </c>
      <c r="D231" s="35">
        <v>14</v>
      </c>
      <c r="E231" s="36">
        <v>0</v>
      </c>
      <c r="F231" s="36">
        <v>0</v>
      </c>
      <c r="G231" s="36">
        <v>0</v>
      </c>
      <c r="H231" s="36">
        <v>0</v>
      </c>
      <c r="I231" s="36">
        <v>0</v>
      </c>
      <c r="J231" s="37">
        <v>0</v>
      </c>
      <c r="K231" s="36">
        <v>0</v>
      </c>
      <c r="L231" s="38">
        <v>0</v>
      </c>
      <c r="M231" s="39"/>
      <c r="N231" s="36">
        <v>0</v>
      </c>
      <c r="O231" s="36">
        <v>0</v>
      </c>
      <c r="P231" s="36">
        <v>0</v>
      </c>
      <c r="Q231" s="36">
        <f>Q230*1936.27</f>
        <v>0</v>
      </c>
      <c r="R231" s="7"/>
      <c r="S231" s="7"/>
      <c r="T231" s="7"/>
      <c r="U231" s="7"/>
      <c r="V231" s="7"/>
      <c r="W231" s="7"/>
      <c r="X231" s="7"/>
      <c r="Y231" s="7"/>
      <c r="Z231" s="7"/>
    </row>
    <row r="232" spans="1:26" ht="12.75" customHeight="1" x14ac:dyDescent="0.2">
      <c r="A232" s="95"/>
      <c r="B232" s="95"/>
      <c r="C232" s="40" t="s">
        <v>36</v>
      </c>
      <c r="D232" s="41">
        <v>15</v>
      </c>
      <c r="E232" s="42">
        <v>0</v>
      </c>
      <c r="F232" s="42">
        <v>0</v>
      </c>
      <c r="G232" s="42">
        <v>0</v>
      </c>
      <c r="H232" s="42">
        <v>0</v>
      </c>
      <c r="I232" s="42">
        <v>0</v>
      </c>
      <c r="J232" s="42">
        <v>0</v>
      </c>
      <c r="K232" s="43">
        <v>0</v>
      </c>
      <c r="L232" s="32">
        <v>0</v>
      </c>
      <c r="M232" s="33"/>
      <c r="N232" s="30">
        <v>0</v>
      </c>
      <c r="O232" s="30">
        <v>0</v>
      </c>
      <c r="P232" s="30"/>
      <c r="Q232" s="30">
        <f>(N232+O232*0.18+J232)+(IF((P232-O232*0.18)&gt;0,(P232-O232*0.18),0))</f>
        <v>0</v>
      </c>
      <c r="R232" s="7"/>
      <c r="S232" s="7"/>
      <c r="T232" s="7"/>
      <c r="U232" s="7"/>
      <c r="V232" s="7"/>
      <c r="W232" s="7"/>
      <c r="X232" s="7"/>
      <c r="Y232" s="7"/>
      <c r="Z232" s="7"/>
    </row>
    <row r="233" spans="1:26" ht="9" customHeight="1" x14ac:dyDescent="0.2">
      <c r="A233" s="95"/>
      <c r="B233" s="95"/>
      <c r="C233" s="34" t="s">
        <v>37</v>
      </c>
      <c r="D233" s="35">
        <v>16</v>
      </c>
      <c r="E233" s="36">
        <v>0</v>
      </c>
      <c r="F233" s="36">
        <v>0</v>
      </c>
      <c r="G233" s="36">
        <v>0</v>
      </c>
      <c r="H233" s="36">
        <v>0</v>
      </c>
      <c r="I233" s="36">
        <v>0</v>
      </c>
      <c r="J233" s="37">
        <v>0</v>
      </c>
      <c r="K233" s="36">
        <v>0</v>
      </c>
      <c r="L233" s="38">
        <v>0</v>
      </c>
      <c r="M233" s="39"/>
      <c r="N233" s="36">
        <v>0</v>
      </c>
      <c r="O233" s="36">
        <v>0</v>
      </c>
      <c r="P233" s="36">
        <v>0</v>
      </c>
      <c r="Q233" s="36">
        <f>Q232*1936.27</f>
        <v>0</v>
      </c>
      <c r="R233" s="7"/>
      <c r="S233" s="7"/>
      <c r="T233" s="7"/>
      <c r="U233" s="7"/>
      <c r="V233" s="7"/>
      <c r="W233" s="7"/>
      <c r="X233" s="7"/>
      <c r="Y233" s="7"/>
      <c r="Z233" s="7"/>
    </row>
    <row r="234" spans="1:26" ht="12.75" customHeight="1" x14ac:dyDescent="0.2">
      <c r="A234" s="95"/>
      <c r="B234" s="95"/>
      <c r="C234" s="40" t="s">
        <v>36</v>
      </c>
      <c r="D234" s="41">
        <v>17</v>
      </c>
      <c r="E234" s="42">
        <v>0</v>
      </c>
      <c r="F234" s="42">
        <v>0</v>
      </c>
      <c r="G234" s="42">
        <v>0</v>
      </c>
      <c r="H234" s="42">
        <v>0</v>
      </c>
      <c r="I234" s="42">
        <v>0</v>
      </c>
      <c r="J234" s="42">
        <v>0</v>
      </c>
      <c r="K234" s="43">
        <v>0</v>
      </c>
      <c r="L234" s="32">
        <v>0</v>
      </c>
      <c r="M234" s="33"/>
      <c r="N234" s="30">
        <v>0</v>
      </c>
      <c r="O234" s="30">
        <v>0</v>
      </c>
      <c r="P234" s="30"/>
      <c r="Q234" s="30">
        <f>(N234+O234*0.18+J234)+(IF((P234-O234*0.18)&gt;0,(P234-O234*0.18),0))</f>
        <v>0</v>
      </c>
      <c r="R234" s="7"/>
      <c r="S234" s="7"/>
      <c r="T234" s="7"/>
      <c r="U234" s="7"/>
      <c r="V234" s="7"/>
      <c r="W234" s="7"/>
      <c r="X234" s="7"/>
      <c r="Y234" s="7"/>
      <c r="Z234" s="7"/>
    </row>
    <row r="235" spans="1:26" ht="9" customHeight="1" x14ac:dyDescent="0.2">
      <c r="A235" s="95"/>
      <c r="B235" s="95"/>
      <c r="C235" s="34" t="s">
        <v>37</v>
      </c>
      <c r="D235" s="35">
        <v>17</v>
      </c>
      <c r="E235" s="36">
        <v>0</v>
      </c>
      <c r="F235" s="36">
        <v>0</v>
      </c>
      <c r="G235" s="36">
        <v>0</v>
      </c>
      <c r="H235" s="36">
        <v>0</v>
      </c>
      <c r="I235" s="36">
        <v>0</v>
      </c>
      <c r="J235" s="37">
        <v>0</v>
      </c>
      <c r="K235" s="36">
        <v>0</v>
      </c>
      <c r="L235" s="38">
        <v>0</v>
      </c>
      <c r="M235" s="39"/>
      <c r="N235" s="36">
        <v>0</v>
      </c>
      <c r="O235" s="36">
        <v>0</v>
      </c>
      <c r="P235" s="36">
        <v>0</v>
      </c>
      <c r="Q235" s="36">
        <f>Q234*1936.27</f>
        <v>0</v>
      </c>
      <c r="R235" s="7"/>
      <c r="S235" s="7"/>
      <c r="T235" s="7"/>
      <c r="U235" s="7"/>
      <c r="V235" s="7"/>
      <c r="W235" s="7"/>
      <c r="X235" s="7"/>
      <c r="Y235" s="7"/>
      <c r="Z235" s="7"/>
    </row>
    <row r="236" spans="1:26" ht="12.75" customHeight="1" x14ac:dyDescent="0.2">
      <c r="A236" s="95"/>
      <c r="B236" s="95"/>
      <c r="C236" s="40" t="s">
        <v>36</v>
      </c>
      <c r="D236" s="41">
        <v>18</v>
      </c>
      <c r="E236" s="42">
        <v>0</v>
      </c>
      <c r="F236" s="42">
        <v>0</v>
      </c>
      <c r="G236" s="42">
        <v>0</v>
      </c>
      <c r="H236" s="42">
        <v>0</v>
      </c>
      <c r="I236" s="42">
        <v>0</v>
      </c>
      <c r="J236" s="42">
        <v>0</v>
      </c>
      <c r="K236" s="43">
        <v>0</v>
      </c>
      <c r="L236" s="32">
        <v>0</v>
      </c>
      <c r="M236" s="33"/>
      <c r="N236" s="30">
        <v>0</v>
      </c>
      <c r="O236" s="30">
        <v>0</v>
      </c>
      <c r="P236" s="30"/>
      <c r="Q236" s="30">
        <f>(N236+O236*0.18+J236)+(IF((P236-O236*0.18)&gt;0,(P236-O236*0.18),0))</f>
        <v>0</v>
      </c>
      <c r="R236" s="7"/>
      <c r="S236" s="7"/>
      <c r="T236" s="7"/>
      <c r="U236" s="7"/>
      <c r="V236" s="7"/>
      <c r="W236" s="7"/>
      <c r="X236" s="7"/>
      <c r="Y236" s="7"/>
      <c r="Z236" s="7"/>
    </row>
    <row r="237" spans="1:26" ht="9" customHeight="1" x14ac:dyDescent="0.2">
      <c r="A237" s="95"/>
      <c r="B237" s="95"/>
      <c r="C237" s="34" t="s">
        <v>37</v>
      </c>
      <c r="D237" s="35">
        <v>19</v>
      </c>
      <c r="E237" s="36">
        <v>0</v>
      </c>
      <c r="F237" s="36">
        <v>0</v>
      </c>
      <c r="G237" s="36">
        <v>0</v>
      </c>
      <c r="H237" s="36">
        <v>0</v>
      </c>
      <c r="I237" s="36">
        <v>0</v>
      </c>
      <c r="J237" s="37">
        <v>0</v>
      </c>
      <c r="K237" s="36">
        <v>0</v>
      </c>
      <c r="L237" s="38">
        <v>0</v>
      </c>
      <c r="M237" s="39"/>
      <c r="N237" s="36">
        <v>0</v>
      </c>
      <c r="O237" s="36">
        <v>0</v>
      </c>
      <c r="P237" s="36">
        <v>0</v>
      </c>
      <c r="Q237" s="36">
        <f>Q236*1936.27</f>
        <v>0</v>
      </c>
      <c r="R237" s="7"/>
      <c r="S237" s="7"/>
      <c r="T237" s="7"/>
      <c r="U237" s="7"/>
      <c r="V237" s="7"/>
      <c r="W237" s="7"/>
      <c r="X237" s="7"/>
      <c r="Y237" s="7"/>
      <c r="Z237" s="7"/>
    </row>
    <row r="238" spans="1:26" ht="12.75" customHeight="1" x14ac:dyDescent="0.2">
      <c r="A238" s="95"/>
      <c r="B238" s="95"/>
      <c r="C238" s="40" t="s">
        <v>36</v>
      </c>
      <c r="D238" s="41">
        <v>20</v>
      </c>
      <c r="E238" s="42">
        <v>0</v>
      </c>
      <c r="F238" s="42">
        <v>0</v>
      </c>
      <c r="G238" s="42">
        <v>0</v>
      </c>
      <c r="H238" s="42">
        <v>0</v>
      </c>
      <c r="I238" s="42">
        <v>0</v>
      </c>
      <c r="J238" s="42">
        <v>0</v>
      </c>
      <c r="K238" s="43">
        <v>0</v>
      </c>
      <c r="L238" s="32">
        <v>0</v>
      </c>
      <c r="M238" s="33"/>
      <c r="N238" s="30">
        <v>0</v>
      </c>
      <c r="O238" s="30">
        <v>0</v>
      </c>
      <c r="P238" s="30"/>
      <c r="Q238" s="30">
        <f>(N238+O238*0.18+J238)+(IF((P238-O238*0.18)&gt;0,(P238-O238*0.18),0))</f>
        <v>0</v>
      </c>
      <c r="R238" s="7"/>
      <c r="S238" s="7"/>
      <c r="T238" s="7"/>
      <c r="U238" s="7"/>
      <c r="V238" s="7"/>
      <c r="W238" s="7"/>
      <c r="X238" s="7"/>
      <c r="Y238" s="7"/>
      <c r="Z238" s="7"/>
    </row>
    <row r="239" spans="1:26" ht="9" customHeight="1" x14ac:dyDescent="0.2">
      <c r="A239" s="95"/>
      <c r="B239" s="95"/>
      <c r="C239" s="34" t="s">
        <v>37</v>
      </c>
      <c r="D239" s="35">
        <v>21</v>
      </c>
      <c r="E239" s="36">
        <v>0</v>
      </c>
      <c r="F239" s="36">
        <v>0</v>
      </c>
      <c r="G239" s="36">
        <v>0</v>
      </c>
      <c r="H239" s="36">
        <v>0</v>
      </c>
      <c r="I239" s="36">
        <v>0</v>
      </c>
      <c r="J239" s="37">
        <v>0</v>
      </c>
      <c r="K239" s="36">
        <v>0</v>
      </c>
      <c r="L239" s="38">
        <v>0</v>
      </c>
      <c r="M239" s="39"/>
      <c r="N239" s="36">
        <v>0</v>
      </c>
      <c r="O239" s="36">
        <v>0</v>
      </c>
      <c r="P239" s="36">
        <v>0</v>
      </c>
      <c r="Q239" s="36">
        <f>Q238*1936.27</f>
        <v>0</v>
      </c>
      <c r="R239" s="7"/>
      <c r="S239" s="7"/>
      <c r="T239" s="7"/>
      <c r="U239" s="7"/>
      <c r="V239" s="7"/>
      <c r="W239" s="7"/>
      <c r="X239" s="7"/>
      <c r="Y239" s="7"/>
      <c r="Z239" s="7"/>
    </row>
    <row r="240" spans="1:26" ht="12.75" customHeight="1" x14ac:dyDescent="0.2">
      <c r="A240" s="95"/>
      <c r="B240" s="95"/>
      <c r="C240" s="40" t="s">
        <v>36</v>
      </c>
      <c r="D240" s="41">
        <v>22</v>
      </c>
      <c r="E240" s="42">
        <v>0</v>
      </c>
      <c r="F240" s="42">
        <v>0</v>
      </c>
      <c r="G240" s="42">
        <v>0</v>
      </c>
      <c r="H240" s="42">
        <v>0</v>
      </c>
      <c r="I240" s="42">
        <v>0</v>
      </c>
      <c r="J240" s="42">
        <v>0</v>
      </c>
      <c r="K240" s="43">
        <v>0</v>
      </c>
      <c r="L240" s="32">
        <v>0</v>
      </c>
      <c r="M240" s="33"/>
      <c r="N240" s="30">
        <v>0</v>
      </c>
      <c r="O240" s="30">
        <v>0</v>
      </c>
      <c r="P240" s="30"/>
      <c r="Q240" s="30">
        <f>(N240+O240*0.18+J240)+(IF((P240-O240*0.18)&gt;0,(P240-O240*0.18),0))</f>
        <v>0</v>
      </c>
      <c r="R240" s="7"/>
      <c r="S240" s="7"/>
      <c r="T240" s="7"/>
      <c r="U240" s="7"/>
      <c r="V240" s="7"/>
      <c r="W240" s="7"/>
      <c r="X240" s="7"/>
      <c r="Y240" s="7"/>
      <c r="Z240" s="7"/>
    </row>
    <row r="241" spans="1:26" ht="9" customHeight="1" x14ac:dyDescent="0.2">
      <c r="A241" s="95"/>
      <c r="B241" s="95"/>
      <c r="C241" s="34" t="s">
        <v>37</v>
      </c>
      <c r="D241" s="35">
        <v>23</v>
      </c>
      <c r="E241" s="36">
        <v>0</v>
      </c>
      <c r="F241" s="36">
        <v>0</v>
      </c>
      <c r="G241" s="36">
        <v>0</v>
      </c>
      <c r="H241" s="36">
        <v>0</v>
      </c>
      <c r="I241" s="36">
        <v>0</v>
      </c>
      <c r="J241" s="37">
        <v>0</v>
      </c>
      <c r="K241" s="36">
        <v>0</v>
      </c>
      <c r="L241" s="38">
        <v>0</v>
      </c>
      <c r="M241" s="39"/>
      <c r="N241" s="36">
        <v>0</v>
      </c>
      <c r="O241" s="36">
        <v>0</v>
      </c>
      <c r="P241" s="36">
        <v>0</v>
      </c>
      <c r="Q241" s="36">
        <f>Q240*1936.27</f>
        <v>0</v>
      </c>
      <c r="R241" s="7"/>
      <c r="S241" s="7"/>
      <c r="T241" s="7"/>
      <c r="U241" s="7"/>
      <c r="V241" s="7"/>
      <c r="W241" s="7"/>
      <c r="X241" s="7"/>
      <c r="Y241" s="7"/>
      <c r="Z241" s="7"/>
    </row>
    <row r="242" spans="1:26" ht="12.75" customHeight="1" x14ac:dyDescent="0.2">
      <c r="A242" s="95"/>
      <c r="B242" s="95"/>
      <c r="C242" s="40" t="s">
        <v>36</v>
      </c>
      <c r="D242" s="41">
        <v>24</v>
      </c>
      <c r="E242" s="42">
        <v>0</v>
      </c>
      <c r="F242" s="42">
        <v>0</v>
      </c>
      <c r="G242" s="42">
        <v>0</v>
      </c>
      <c r="H242" s="42">
        <v>0</v>
      </c>
      <c r="I242" s="42">
        <v>0</v>
      </c>
      <c r="J242" s="42">
        <v>0</v>
      </c>
      <c r="K242" s="43">
        <v>0</v>
      </c>
      <c r="L242" s="32">
        <v>0</v>
      </c>
      <c r="M242" s="33"/>
      <c r="N242" s="30">
        <v>0</v>
      </c>
      <c r="O242" s="30">
        <v>0</v>
      </c>
      <c r="P242" s="30"/>
      <c r="Q242" s="30">
        <f>(N242+O242*0.18+J242)+(IF((P242-O242*0.18)&gt;0,(P242-O242*0.18),0))</f>
        <v>0</v>
      </c>
      <c r="R242" s="7"/>
      <c r="S242" s="7"/>
      <c r="T242" s="7"/>
      <c r="U242" s="7"/>
      <c r="V242" s="7"/>
      <c r="W242" s="7"/>
      <c r="X242" s="7"/>
      <c r="Y242" s="7"/>
      <c r="Z242" s="7"/>
    </row>
    <row r="243" spans="1:26" ht="9" customHeight="1" x14ac:dyDescent="0.2">
      <c r="A243" s="95"/>
      <c r="B243" s="95"/>
      <c r="C243" s="34" t="s">
        <v>37</v>
      </c>
      <c r="D243" s="35">
        <v>25</v>
      </c>
      <c r="E243" s="36">
        <v>0</v>
      </c>
      <c r="F243" s="36">
        <v>0</v>
      </c>
      <c r="G243" s="36">
        <v>0</v>
      </c>
      <c r="H243" s="36">
        <v>0</v>
      </c>
      <c r="I243" s="36">
        <v>0</v>
      </c>
      <c r="J243" s="37">
        <v>0</v>
      </c>
      <c r="K243" s="36">
        <v>0</v>
      </c>
      <c r="L243" s="38">
        <v>0</v>
      </c>
      <c r="M243" s="39"/>
      <c r="N243" s="36">
        <v>0</v>
      </c>
      <c r="O243" s="36">
        <v>0</v>
      </c>
      <c r="P243" s="36">
        <v>0</v>
      </c>
      <c r="Q243" s="36">
        <f>Q242*1936.27</f>
        <v>0</v>
      </c>
      <c r="R243" s="7"/>
      <c r="S243" s="7"/>
      <c r="T243" s="7"/>
      <c r="U243" s="7"/>
      <c r="V243" s="7"/>
      <c r="W243" s="7"/>
      <c r="X243" s="7"/>
      <c r="Y243" s="7"/>
      <c r="Z243" s="7"/>
    </row>
    <row r="244" spans="1:26" ht="12.75" customHeight="1" x14ac:dyDescent="0.2">
      <c r="A244" s="95"/>
      <c r="B244" s="95"/>
      <c r="C244" s="40" t="s">
        <v>36</v>
      </c>
      <c r="D244" s="41">
        <v>26</v>
      </c>
      <c r="E244" s="42">
        <v>0</v>
      </c>
      <c r="F244" s="42">
        <v>0</v>
      </c>
      <c r="G244" s="42">
        <v>0</v>
      </c>
      <c r="H244" s="42">
        <v>0</v>
      </c>
      <c r="I244" s="42">
        <v>0</v>
      </c>
      <c r="J244" s="42">
        <v>0</v>
      </c>
      <c r="K244" s="43">
        <v>0</v>
      </c>
      <c r="L244" s="32">
        <v>0</v>
      </c>
      <c r="M244" s="33"/>
      <c r="N244" s="30">
        <v>0</v>
      </c>
      <c r="O244" s="30">
        <v>0</v>
      </c>
      <c r="P244" s="30"/>
      <c r="Q244" s="30">
        <f>(N244+O244*0.18+J244)+(IF((P244-O244*0.18)&gt;0,(P244-O244*0.18),0))</f>
        <v>0</v>
      </c>
      <c r="R244" s="7"/>
      <c r="S244" s="7"/>
      <c r="T244" s="7"/>
      <c r="U244" s="7"/>
      <c r="V244" s="7"/>
      <c r="W244" s="7"/>
      <c r="X244" s="7"/>
      <c r="Y244" s="7"/>
      <c r="Z244" s="7"/>
    </row>
    <row r="245" spans="1:26" ht="9" customHeight="1" x14ac:dyDescent="0.2">
      <c r="A245" s="95"/>
      <c r="B245" s="95"/>
      <c r="C245" s="34" t="s">
        <v>37</v>
      </c>
      <c r="D245" s="35">
        <v>27</v>
      </c>
      <c r="E245" s="36">
        <v>0</v>
      </c>
      <c r="F245" s="36">
        <v>0</v>
      </c>
      <c r="G245" s="36">
        <v>0</v>
      </c>
      <c r="H245" s="36">
        <v>0</v>
      </c>
      <c r="I245" s="36">
        <v>0</v>
      </c>
      <c r="J245" s="37">
        <v>0</v>
      </c>
      <c r="K245" s="36">
        <v>0</v>
      </c>
      <c r="L245" s="38">
        <v>0</v>
      </c>
      <c r="M245" s="39"/>
      <c r="N245" s="36">
        <v>0</v>
      </c>
      <c r="O245" s="36">
        <v>0</v>
      </c>
      <c r="P245" s="36">
        <v>0</v>
      </c>
      <c r="Q245" s="36">
        <f>Q244*1936.27</f>
        <v>0</v>
      </c>
      <c r="R245" s="7"/>
      <c r="S245" s="7"/>
      <c r="T245" s="7"/>
      <c r="U245" s="7"/>
      <c r="V245" s="7"/>
      <c r="W245" s="7"/>
      <c r="X245" s="7"/>
      <c r="Y245" s="7"/>
      <c r="Z245" s="7"/>
    </row>
    <row r="246" spans="1:26" ht="12.75" customHeight="1" x14ac:dyDescent="0.2">
      <c r="A246" s="95"/>
      <c r="B246" s="95"/>
      <c r="C246" s="40" t="s">
        <v>36</v>
      </c>
      <c r="D246" s="41">
        <v>28</v>
      </c>
      <c r="E246" s="42">
        <v>0</v>
      </c>
      <c r="F246" s="42">
        <v>0</v>
      </c>
      <c r="G246" s="42">
        <v>0</v>
      </c>
      <c r="H246" s="42">
        <v>0</v>
      </c>
      <c r="I246" s="42">
        <v>0</v>
      </c>
      <c r="J246" s="42">
        <v>0</v>
      </c>
      <c r="K246" s="43">
        <v>0</v>
      </c>
      <c r="L246" s="32">
        <v>0</v>
      </c>
      <c r="M246" s="33"/>
      <c r="N246" s="30">
        <v>0</v>
      </c>
      <c r="O246" s="30">
        <v>0</v>
      </c>
      <c r="P246" s="30"/>
      <c r="Q246" s="30">
        <f>(N246+O246*0.18+J246)+(IF((P246-O246*0.18)&gt;0,(P246-O246*0.18),0))</f>
        <v>0</v>
      </c>
      <c r="R246" s="7"/>
      <c r="S246" s="7"/>
      <c r="T246" s="7"/>
      <c r="U246" s="7"/>
      <c r="V246" s="7"/>
      <c r="W246" s="7"/>
      <c r="X246" s="7"/>
      <c r="Y246" s="7"/>
      <c r="Z246" s="7"/>
    </row>
    <row r="247" spans="1:26" ht="9" customHeight="1" x14ac:dyDescent="0.2">
      <c r="A247" s="95"/>
      <c r="B247" s="95"/>
      <c r="C247" s="34" t="s">
        <v>37</v>
      </c>
      <c r="D247" s="35">
        <v>29</v>
      </c>
      <c r="E247" s="36">
        <v>0</v>
      </c>
      <c r="F247" s="36">
        <v>0</v>
      </c>
      <c r="G247" s="36">
        <v>0</v>
      </c>
      <c r="H247" s="36">
        <v>0</v>
      </c>
      <c r="I247" s="36">
        <v>0</v>
      </c>
      <c r="J247" s="37">
        <v>0</v>
      </c>
      <c r="K247" s="36">
        <v>0</v>
      </c>
      <c r="L247" s="38">
        <v>0</v>
      </c>
      <c r="M247" s="39"/>
      <c r="N247" s="36">
        <v>0</v>
      </c>
      <c r="O247" s="36">
        <v>0</v>
      </c>
      <c r="P247" s="36">
        <v>0</v>
      </c>
      <c r="Q247" s="36">
        <f>Q246*1936.27</f>
        <v>0</v>
      </c>
      <c r="R247" s="7"/>
      <c r="S247" s="7"/>
      <c r="T247" s="7"/>
      <c r="U247" s="7"/>
      <c r="V247" s="7"/>
      <c r="W247" s="7"/>
      <c r="X247" s="7"/>
      <c r="Y247" s="7"/>
      <c r="Z247" s="7"/>
    </row>
    <row r="248" spans="1:26" ht="12.75" customHeight="1" x14ac:dyDescent="0.2">
      <c r="A248" s="95"/>
      <c r="B248" s="95"/>
      <c r="C248" s="40" t="s">
        <v>36</v>
      </c>
      <c r="D248" s="41">
        <v>30</v>
      </c>
      <c r="E248" s="42">
        <v>0</v>
      </c>
      <c r="F248" s="42">
        <v>0</v>
      </c>
      <c r="G248" s="42">
        <v>0</v>
      </c>
      <c r="H248" s="42">
        <v>0</v>
      </c>
      <c r="I248" s="42">
        <v>0</v>
      </c>
      <c r="J248" s="42">
        <v>0</v>
      </c>
      <c r="K248" s="43">
        <v>0</v>
      </c>
      <c r="L248" s="32">
        <v>0</v>
      </c>
      <c r="M248" s="33"/>
      <c r="N248" s="30">
        <v>0</v>
      </c>
      <c r="O248" s="30">
        <v>0</v>
      </c>
      <c r="P248" s="30"/>
      <c r="Q248" s="30">
        <f>(N248+O248*0.18+J248)+(IF((P248-O248*0.18)&gt;0,(P248-O248*0.18),0))</f>
        <v>0</v>
      </c>
      <c r="R248" s="7"/>
      <c r="S248" s="7"/>
      <c r="T248" s="7"/>
      <c r="U248" s="7"/>
      <c r="V248" s="7"/>
      <c r="W248" s="7"/>
      <c r="X248" s="7"/>
      <c r="Y248" s="7"/>
      <c r="Z248" s="7"/>
    </row>
    <row r="249" spans="1:26" ht="9" customHeight="1" x14ac:dyDescent="0.2">
      <c r="A249" s="95"/>
      <c r="B249" s="95"/>
      <c r="C249" s="34" t="s">
        <v>37</v>
      </c>
      <c r="D249" s="35">
        <v>33</v>
      </c>
      <c r="E249" s="36">
        <v>0</v>
      </c>
      <c r="F249" s="36">
        <v>0</v>
      </c>
      <c r="G249" s="36">
        <v>0</v>
      </c>
      <c r="H249" s="36">
        <v>0</v>
      </c>
      <c r="I249" s="36">
        <v>0</v>
      </c>
      <c r="J249" s="37">
        <v>0</v>
      </c>
      <c r="K249" s="36">
        <v>0</v>
      </c>
      <c r="L249" s="38">
        <v>0</v>
      </c>
      <c r="M249" s="39"/>
      <c r="N249" s="36">
        <v>0</v>
      </c>
      <c r="O249" s="36">
        <v>0</v>
      </c>
      <c r="P249" s="36">
        <v>0</v>
      </c>
      <c r="Q249" s="36">
        <f>Q248*1936.27</f>
        <v>0</v>
      </c>
      <c r="R249" s="7"/>
      <c r="S249" s="7"/>
      <c r="T249" s="7"/>
      <c r="U249" s="7"/>
      <c r="V249" s="7"/>
      <c r="W249" s="7"/>
      <c r="X249" s="7"/>
      <c r="Y249" s="7"/>
      <c r="Z249" s="7"/>
    </row>
    <row r="250" spans="1:26" ht="12.75" customHeight="1" x14ac:dyDescent="0.2">
      <c r="A250" s="95"/>
      <c r="B250" s="95"/>
      <c r="C250" s="40" t="s">
        <v>36</v>
      </c>
      <c r="D250" s="41">
        <v>34</v>
      </c>
      <c r="E250" s="42">
        <v>0</v>
      </c>
      <c r="F250" s="42">
        <v>0</v>
      </c>
      <c r="G250" s="42">
        <v>0</v>
      </c>
      <c r="H250" s="42">
        <v>0</v>
      </c>
      <c r="I250" s="42">
        <v>0</v>
      </c>
      <c r="J250" s="42">
        <v>0</v>
      </c>
      <c r="K250" s="43">
        <v>0</v>
      </c>
      <c r="L250" s="32">
        <v>0</v>
      </c>
      <c r="M250" s="33"/>
      <c r="N250" s="30">
        <v>0</v>
      </c>
      <c r="O250" s="30">
        <v>0</v>
      </c>
      <c r="P250" s="30"/>
      <c r="Q250" s="30">
        <f>(N250+O250*0.18+J250)+(IF((P250-O250*0.18)&gt;0,(P250-O250*0.18),0))</f>
        <v>0</v>
      </c>
      <c r="R250" s="7"/>
      <c r="S250" s="7"/>
      <c r="T250" s="7"/>
      <c r="U250" s="7"/>
      <c r="V250" s="7"/>
      <c r="W250" s="7"/>
      <c r="X250" s="7"/>
      <c r="Y250" s="7"/>
      <c r="Z250" s="7"/>
    </row>
    <row r="251" spans="1:26" ht="9" customHeight="1" x14ac:dyDescent="0.2">
      <c r="A251" s="95"/>
      <c r="B251" s="95"/>
      <c r="C251" s="34" t="s">
        <v>37</v>
      </c>
      <c r="D251" s="35">
        <v>35</v>
      </c>
      <c r="E251" s="36">
        <v>0</v>
      </c>
      <c r="F251" s="36">
        <v>0</v>
      </c>
      <c r="G251" s="36">
        <v>0</v>
      </c>
      <c r="H251" s="36">
        <v>0</v>
      </c>
      <c r="I251" s="36">
        <v>0</v>
      </c>
      <c r="J251" s="37">
        <v>0</v>
      </c>
      <c r="K251" s="36">
        <v>0</v>
      </c>
      <c r="L251" s="38">
        <v>0</v>
      </c>
      <c r="M251" s="39"/>
      <c r="N251" s="36">
        <v>0</v>
      </c>
      <c r="O251" s="36">
        <v>0</v>
      </c>
      <c r="P251" s="36">
        <v>0</v>
      </c>
      <c r="Q251" s="36">
        <f>Q250*1936.27</f>
        <v>0</v>
      </c>
      <c r="R251" s="7"/>
      <c r="S251" s="7"/>
      <c r="T251" s="7"/>
      <c r="U251" s="7"/>
      <c r="V251" s="7"/>
      <c r="W251" s="7"/>
      <c r="X251" s="7"/>
      <c r="Y251" s="7"/>
      <c r="Z251" s="7"/>
    </row>
    <row r="252" spans="1:26" ht="12.75" customHeight="1" x14ac:dyDescent="0.2">
      <c r="A252" s="95"/>
      <c r="B252" s="95"/>
      <c r="C252" s="40" t="s">
        <v>36</v>
      </c>
      <c r="D252" s="41">
        <v>36</v>
      </c>
      <c r="E252" s="42">
        <v>0</v>
      </c>
      <c r="F252" s="42">
        <v>0</v>
      </c>
      <c r="G252" s="42">
        <v>0</v>
      </c>
      <c r="H252" s="42">
        <v>0</v>
      </c>
      <c r="I252" s="42">
        <v>0</v>
      </c>
      <c r="J252" s="42">
        <v>0</v>
      </c>
      <c r="K252" s="43">
        <v>0</v>
      </c>
      <c r="L252" s="32">
        <v>0</v>
      </c>
      <c r="M252" s="33"/>
      <c r="N252" s="30">
        <v>0</v>
      </c>
      <c r="O252" s="30">
        <v>0</v>
      </c>
      <c r="P252" s="30"/>
      <c r="Q252" s="30">
        <f>(N252+O252*0.18+J252)+(IF((P252-O252*0.18)&gt;0,(P252-O252*0.18),0))</f>
        <v>0</v>
      </c>
      <c r="R252" s="7"/>
      <c r="S252" s="7"/>
      <c r="T252" s="7"/>
      <c r="U252" s="7"/>
      <c r="V252" s="7"/>
      <c r="W252" s="7"/>
      <c r="X252" s="7"/>
      <c r="Y252" s="7"/>
      <c r="Z252" s="7"/>
    </row>
    <row r="253" spans="1:26" ht="9" customHeight="1" x14ac:dyDescent="0.2">
      <c r="A253" s="95"/>
      <c r="B253" s="95"/>
      <c r="C253" s="34" t="s">
        <v>37</v>
      </c>
      <c r="D253" s="35">
        <v>37</v>
      </c>
      <c r="E253" s="36">
        <v>0</v>
      </c>
      <c r="F253" s="36">
        <v>0</v>
      </c>
      <c r="G253" s="36">
        <v>0</v>
      </c>
      <c r="H253" s="36">
        <v>0</v>
      </c>
      <c r="I253" s="36">
        <v>0</v>
      </c>
      <c r="J253" s="37">
        <v>0</v>
      </c>
      <c r="K253" s="36">
        <v>0</v>
      </c>
      <c r="L253" s="38">
        <v>0</v>
      </c>
      <c r="M253" s="39"/>
      <c r="N253" s="36">
        <v>0</v>
      </c>
      <c r="O253" s="36">
        <v>0</v>
      </c>
      <c r="P253" s="36">
        <v>0</v>
      </c>
      <c r="Q253" s="36">
        <f>Q252*1936.27</f>
        <v>0</v>
      </c>
      <c r="R253" s="7"/>
      <c r="S253" s="7"/>
      <c r="T253" s="7"/>
      <c r="U253" s="7"/>
      <c r="V253" s="7"/>
      <c r="W253" s="7"/>
      <c r="X253" s="7"/>
      <c r="Y253" s="7"/>
      <c r="Z253" s="7"/>
    </row>
    <row r="254" spans="1:26" ht="12.75" customHeight="1" x14ac:dyDescent="0.2">
      <c r="A254" s="95"/>
      <c r="B254" s="95"/>
      <c r="C254" s="40" t="s">
        <v>36</v>
      </c>
      <c r="D254" s="41">
        <v>38</v>
      </c>
      <c r="E254" s="42">
        <v>0</v>
      </c>
      <c r="F254" s="42">
        <v>0</v>
      </c>
      <c r="G254" s="42">
        <v>0</v>
      </c>
      <c r="H254" s="42">
        <v>0</v>
      </c>
      <c r="I254" s="42">
        <v>0</v>
      </c>
      <c r="J254" s="42">
        <v>0</v>
      </c>
      <c r="K254" s="43">
        <v>0</v>
      </c>
      <c r="L254" s="32">
        <v>0</v>
      </c>
      <c r="M254" s="33"/>
      <c r="N254" s="30">
        <v>0</v>
      </c>
      <c r="O254" s="30">
        <v>0</v>
      </c>
      <c r="P254" s="30"/>
      <c r="Q254" s="30">
        <f>(N254+O254*0.18+J254)+(IF((P254-O254*0.18)&gt;0,(P254-O254*0.18),0))</f>
        <v>0</v>
      </c>
      <c r="R254" s="7"/>
      <c r="S254" s="7"/>
      <c r="T254" s="7"/>
      <c r="U254" s="7"/>
      <c r="V254" s="7"/>
      <c r="W254" s="7"/>
      <c r="X254" s="7"/>
      <c r="Y254" s="7"/>
      <c r="Z254" s="7"/>
    </row>
    <row r="255" spans="1:26" ht="9" customHeight="1" x14ac:dyDescent="0.2">
      <c r="A255" s="95"/>
      <c r="B255" s="95"/>
      <c r="C255" s="34" t="s">
        <v>37</v>
      </c>
      <c r="D255" s="35">
        <v>39</v>
      </c>
      <c r="E255" s="36">
        <v>0</v>
      </c>
      <c r="F255" s="36">
        <v>0</v>
      </c>
      <c r="G255" s="36">
        <v>0</v>
      </c>
      <c r="H255" s="36">
        <v>0</v>
      </c>
      <c r="I255" s="36">
        <v>0</v>
      </c>
      <c r="J255" s="37">
        <v>0</v>
      </c>
      <c r="K255" s="36">
        <v>0</v>
      </c>
      <c r="L255" s="38">
        <v>0</v>
      </c>
      <c r="M255" s="39"/>
      <c r="N255" s="36">
        <v>0</v>
      </c>
      <c r="O255" s="36">
        <v>0</v>
      </c>
      <c r="P255" s="36">
        <v>0</v>
      </c>
      <c r="Q255" s="36">
        <f>Q254*1936.27</f>
        <v>0</v>
      </c>
      <c r="R255" s="7"/>
      <c r="S255" s="7"/>
      <c r="T255" s="7"/>
      <c r="U255" s="7"/>
      <c r="V255" s="7"/>
      <c r="W255" s="7"/>
      <c r="X255" s="7"/>
      <c r="Y255" s="7"/>
      <c r="Z255" s="7"/>
    </row>
    <row r="256" spans="1:26" ht="12.75" customHeight="1" x14ac:dyDescent="0.2">
      <c r="A256" s="95"/>
      <c r="B256" s="95"/>
      <c r="C256" s="40" t="s">
        <v>36</v>
      </c>
      <c r="D256" s="41">
        <v>40</v>
      </c>
      <c r="E256" s="42">
        <v>0</v>
      </c>
      <c r="F256" s="42">
        <v>0</v>
      </c>
      <c r="G256" s="42">
        <v>0</v>
      </c>
      <c r="H256" s="42">
        <v>0</v>
      </c>
      <c r="I256" s="42">
        <v>0</v>
      </c>
      <c r="J256" s="42">
        <v>0</v>
      </c>
      <c r="K256" s="43">
        <v>0</v>
      </c>
      <c r="L256" s="32">
        <v>0</v>
      </c>
      <c r="M256" s="33"/>
      <c r="N256" s="30">
        <v>0</v>
      </c>
      <c r="O256" s="30">
        <v>0</v>
      </c>
      <c r="P256" s="30"/>
      <c r="Q256" s="30">
        <f>(N256+O256*0.18+J256)+(IF((P256-O256*0.18)&gt;0,(P256-O256*0.18),0))</f>
        <v>0</v>
      </c>
      <c r="R256" s="7"/>
      <c r="S256" s="7"/>
      <c r="T256" s="7"/>
      <c r="U256" s="7"/>
      <c r="V256" s="7"/>
      <c r="W256" s="7"/>
      <c r="X256" s="7"/>
      <c r="Y256" s="7"/>
      <c r="Z256" s="7"/>
    </row>
    <row r="257" spans="1:26" ht="9" customHeight="1" x14ac:dyDescent="0.2">
      <c r="A257" s="110"/>
      <c r="B257" s="110"/>
      <c r="C257" s="47"/>
      <c r="D257" s="48"/>
      <c r="E257" s="46">
        <v>0</v>
      </c>
      <c r="F257" s="46">
        <v>0</v>
      </c>
      <c r="G257" s="46">
        <v>0</v>
      </c>
      <c r="H257" s="46">
        <v>0</v>
      </c>
      <c r="I257" s="46">
        <v>0</v>
      </c>
      <c r="J257" s="49">
        <v>0</v>
      </c>
      <c r="K257" s="46">
        <v>0</v>
      </c>
      <c r="L257" s="38">
        <v>0</v>
      </c>
      <c r="M257" s="39"/>
      <c r="N257" s="36">
        <v>0</v>
      </c>
      <c r="O257" s="36">
        <v>0</v>
      </c>
      <c r="P257" s="36">
        <v>0</v>
      </c>
      <c r="Q257" s="36">
        <f>Q256*1936.27</f>
        <v>0</v>
      </c>
      <c r="R257" s="7"/>
      <c r="S257" s="7"/>
      <c r="T257" s="7"/>
      <c r="U257" s="7"/>
      <c r="V257" s="7"/>
      <c r="W257" s="7"/>
      <c r="X257" s="7"/>
      <c r="Y257" s="7"/>
      <c r="Z257" s="7"/>
    </row>
    <row r="258" spans="1:26" ht="12.75" customHeight="1" x14ac:dyDescent="0.2">
      <c r="A258" s="98">
        <v>34516</v>
      </c>
      <c r="B258" s="98">
        <v>34699</v>
      </c>
      <c r="C258" s="28" t="s">
        <v>36</v>
      </c>
      <c r="D258" s="29">
        <v>0</v>
      </c>
      <c r="E258" s="30">
        <v>0</v>
      </c>
      <c r="F258" s="30">
        <v>0</v>
      </c>
      <c r="G258" s="30">
        <v>0</v>
      </c>
      <c r="H258" s="30">
        <v>0</v>
      </c>
      <c r="I258" s="30">
        <v>0</v>
      </c>
      <c r="J258" s="30">
        <v>0</v>
      </c>
      <c r="K258" s="31">
        <v>0</v>
      </c>
      <c r="L258" s="32">
        <v>0</v>
      </c>
      <c r="M258" s="33"/>
      <c r="N258" s="30">
        <v>0</v>
      </c>
      <c r="O258" s="30">
        <v>0</v>
      </c>
      <c r="P258" s="30"/>
      <c r="Q258" s="30">
        <f>(N258+O258*0.18+J258)+(IF((P258-O258*0.18)&gt;0,(P258-O258*0.18),0))</f>
        <v>0</v>
      </c>
      <c r="R258" s="7"/>
      <c r="S258" s="7"/>
      <c r="T258" s="7"/>
      <c r="U258" s="7"/>
      <c r="V258" s="7"/>
      <c r="W258" s="7"/>
      <c r="X258" s="7"/>
      <c r="Y258" s="7"/>
      <c r="Z258" s="7"/>
    </row>
    <row r="259" spans="1:26" ht="9" customHeight="1" x14ac:dyDescent="0.2">
      <c r="A259" s="95"/>
      <c r="B259" s="95"/>
      <c r="C259" s="34" t="s">
        <v>37</v>
      </c>
      <c r="D259" s="35">
        <v>0</v>
      </c>
      <c r="E259" s="36">
        <v>0</v>
      </c>
      <c r="F259" s="36">
        <v>0</v>
      </c>
      <c r="G259" s="36">
        <v>0</v>
      </c>
      <c r="H259" s="36">
        <v>0</v>
      </c>
      <c r="I259" s="36">
        <v>0</v>
      </c>
      <c r="J259" s="37">
        <v>0</v>
      </c>
      <c r="K259" s="36">
        <v>0</v>
      </c>
      <c r="L259" s="38">
        <v>0</v>
      </c>
      <c r="M259" s="39"/>
      <c r="N259" s="36">
        <v>0</v>
      </c>
      <c r="O259" s="36">
        <v>0</v>
      </c>
      <c r="P259" s="36">
        <v>0</v>
      </c>
      <c r="Q259" s="36">
        <f>Q258*1936.27</f>
        <v>0</v>
      </c>
      <c r="R259" s="7"/>
      <c r="S259" s="7"/>
      <c r="T259" s="7"/>
      <c r="U259" s="7"/>
      <c r="V259" s="7"/>
      <c r="W259" s="7"/>
      <c r="X259" s="7"/>
      <c r="Y259" s="7"/>
      <c r="Z259" s="7"/>
    </row>
    <row r="260" spans="1:26" ht="12.75" customHeight="1" x14ac:dyDescent="0.2">
      <c r="A260" s="155">
        <v>34516</v>
      </c>
      <c r="B260" s="155">
        <v>34699</v>
      </c>
      <c r="C260" s="40" t="s">
        <v>36</v>
      </c>
      <c r="D260" s="41">
        <v>1</v>
      </c>
      <c r="E260" s="42">
        <v>0</v>
      </c>
      <c r="F260" s="42">
        <v>0</v>
      </c>
      <c r="G260" s="42">
        <v>0</v>
      </c>
      <c r="H260" s="42">
        <v>0</v>
      </c>
      <c r="I260" s="42">
        <v>0</v>
      </c>
      <c r="J260" s="42">
        <v>0</v>
      </c>
      <c r="K260" s="43">
        <v>0</v>
      </c>
      <c r="L260" s="32">
        <v>0</v>
      </c>
      <c r="M260" s="33"/>
      <c r="N260" s="30">
        <v>0</v>
      </c>
      <c r="O260" s="30">
        <v>0</v>
      </c>
      <c r="P260" s="30"/>
      <c r="Q260" s="30">
        <f>(N260+O260*0.18+J260)+(IF((P260-O260*0.18)&gt;0,(P260-O260*0.18),0))</f>
        <v>0</v>
      </c>
      <c r="R260" s="7"/>
      <c r="S260" s="7"/>
      <c r="T260" s="7"/>
      <c r="U260" s="7"/>
      <c r="V260" s="7"/>
      <c r="W260" s="7"/>
      <c r="X260" s="7"/>
      <c r="Y260" s="7"/>
      <c r="Z260" s="7"/>
    </row>
    <row r="261" spans="1:26" ht="9" customHeight="1" x14ac:dyDescent="0.2">
      <c r="A261" s="95"/>
      <c r="B261" s="95"/>
      <c r="C261" s="34" t="s">
        <v>37</v>
      </c>
      <c r="D261" s="35">
        <v>2</v>
      </c>
      <c r="E261" s="36">
        <v>0</v>
      </c>
      <c r="F261" s="36">
        <v>0</v>
      </c>
      <c r="G261" s="36">
        <v>0</v>
      </c>
      <c r="H261" s="36">
        <v>0</v>
      </c>
      <c r="I261" s="36">
        <v>0</v>
      </c>
      <c r="J261" s="37">
        <v>0</v>
      </c>
      <c r="K261" s="36">
        <v>0</v>
      </c>
      <c r="L261" s="38">
        <v>0</v>
      </c>
      <c r="M261" s="39"/>
      <c r="N261" s="36">
        <v>0</v>
      </c>
      <c r="O261" s="36">
        <v>0</v>
      </c>
      <c r="P261" s="36">
        <v>0</v>
      </c>
      <c r="Q261" s="36">
        <f>Q260*1936.27</f>
        <v>0</v>
      </c>
      <c r="R261" s="7"/>
      <c r="S261" s="7"/>
      <c r="T261" s="7"/>
      <c r="U261" s="7"/>
      <c r="V261" s="7"/>
      <c r="W261" s="7"/>
      <c r="X261" s="7"/>
      <c r="Y261" s="7"/>
      <c r="Z261" s="7"/>
    </row>
    <row r="262" spans="1:26" ht="12.75" customHeight="1" x14ac:dyDescent="0.2">
      <c r="A262" s="95"/>
      <c r="B262" s="95"/>
      <c r="C262" s="40" t="s">
        <v>36</v>
      </c>
      <c r="D262" s="41">
        <v>3</v>
      </c>
      <c r="E262" s="42">
        <v>0</v>
      </c>
      <c r="F262" s="42">
        <v>0</v>
      </c>
      <c r="G262" s="42">
        <v>0</v>
      </c>
      <c r="H262" s="42">
        <v>0</v>
      </c>
      <c r="I262" s="42">
        <v>0</v>
      </c>
      <c r="J262" s="42">
        <v>0</v>
      </c>
      <c r="K262" s="43">
        <v>0</v>
      </c>
      <c r="L262" s="32">
        <v>0</v>
      </c>
      <c r="M262" s="33"/>
      <c r="N262" s="30">
        <v>0</v>
      </c>
      <c r="O262" s="30">
        <v>0</v>
      </c>
      <c r="P262" s="30"/>
      <c r="Q262" s="30">
        <f>(N262+O262*0.18+J262)+(IF((P262-O262*0.18)&gt;0,(P262-O262*0.18),0))</f>
        <v>0</v>
      </c>
      <c r="R262" s="7"/>
      <c r="S262" s="7"/>
      <c r="T262" s="7"/>
      <c r="U262" s="7"/>
      <c r="V262" s="7"/>
      <c r="W262" s="7"/>
      <c r="X262" s="7"/>
      <c r="Y262" s="7"/>
      <c r="Z262" s="7"/>
    </row>
    <row r="263" spans="1:26" ht="9" customHeight="1" x14ac:dyDescent="0.2">
      <c r="A263" s="95"/>
      <c r="B263" s="95"/>
      <c r="C263" s="34" t="s">
        <v>37</v>
      </c>
      <c r="D263" s="35">
        <v>4</v>
      </c>
      <c r="E263" s="36">
        <v>0</v>
      </c>
      <c r="F263" s="36">
        <v>0</v>
      </c>
      <c r="G263" s="36">
        <v>0</v>
      </c>
      <c r="H263" s="36">
        <v>0</v>
      </c>
      <c r="I263" s="36">
        <v>0</v>
      </c>
      <c r="J263" s="37">
        <v>0</v>
      </c>
      <c r="K263" s="36">
        <v>0</v>
      </c>
      <c r="L263" s="38">
        <v>0</v>
      </c>
      <c r="M263" s="39"/>
      <c r="N263" s="36">
        <v>0</v>
      </c>
      <c r="O263" s="36">
        <v>0</v>
      </c>
      <c r="P263" s="36">
        <v>0</v>
      </c>
      <c r="Q263" s="36">
        <f>Q262*1936.27</f>
        <v>0</v>
      </c>
      <c r="R263" s="7"/>
      <c r="S263" s="7"/>
      <c r="T263" s="7"/>
      <c r="U263" s="7"/>
      <c r="V263" s="7"/>
      <c r="W263" s="7"/>
      <c r="X263" s="7"/>
      <c r="Y263" s="7"/>
      <c r="Z263" s="7"/>
    </row>
    <row r="264" spans="1:26" ht="12.75" customHeight="1" x14ac:dyDescent="0.2">
      <c r="A264" s="95"/>
      <c r="B264" s="95"/>
      <c r="C264" s="40" t="s">
        <v>36</v>
      </c>
      <c r="D264" s="41">
        <v>5</v>
      </c>
      <c r="E264" s="42">
        <v>0</v>
      </c>
      <c r="F264" s="42">
        <v>0</v>
      </c>
      <c r="G264" s="42">
        <v>0</v>
      </c>
      <c r="H264" s="42">
        <v>0</v>
      </c>
      <c r="I264" s="42">
        <v>0</v>
      </c>
      <c r="J264" s="42">
        <v>0</v>
      </c>
      <c r="K264" s="43">
        <v>0</v>
      </c>
      <c r="L264" s="32">
        <v>0</v>
      </c>
      <c r="M264" s="33"/>
      <c r="N264" s="30">
        <v>0</v>
      </c>
      <c r="O264" s="30">
        <v>0</v>
      </c>
      <c r="P264" s="30"/>
      <c r="Q264" s="30">
        <f>(N264+O264*0.18+J264)+(IF((P264-O264*0.18)&gt;0,(P264-O264*0.18),0))</f>
        <v>0</v>
      </c>
      <c r="R264" s="7"/>
      <c r="S264" s="7"/>
      <c r="T264" s="7"/>
      <c r="U264" s="7"/>
      <c r="V264" s="7"/>
      <c r="W264" s="7"/>
      <c r="X264" s="7"/>
      <c r="Y264" s="7"/>
      <c r="Z264" s="7"/>
    </row>
    <row r="265" spans="1:26" ht="9" customHeight="1" x14ac:dyDescent="0.2">
      <c r="A265" s="95"/>
      <c r="B265" s="95"/>
      <c r="C265" s="34" t="s">
        <v>37</v>
      </c>
      <c r="D265" s="35">
        <v>6</v>
      </c>
      <c r="E265" s="36">
        <v>0</v>
      </c>
      <c r="F265" s="36">
        <v>0</v>
      </c>
      <c r="G265" s="36">
        <v>0</v>
      </c>
      <c r="H265" s="36">
        <v>0</v>
      </c>
      <c r="I265" s="36">
        <v>0</v>
      </c>
      <c r="J265" s="37">
        <v>0</v>
      </c>
      <c r="K265" s="36">
        <v>0</v>
      </c>
      <c r="L265" s="38">
        <v>0</v>
      </c>
      <c r="M265" s="39"/>
      <c r="N265" s="36">
        <v>0</v>
      </c>
      <c r="O265" s="36">
        <v>0</v>
      </c>
      <c r="P265" s="36">
        <v>0</v>
      </c>
      <c r="Q265" s="36">
        <f>Q264*1936.27</f>
        <v>0</v>
      </c>
      <c r="R265" s="7"/>
      <c r="S265" s="7"/>
      <c r="T265" s="7"/>
      <c r="U265" s="7"/>
      <c r="V265" s="7"/>
      <c r="W265" s="7"/>
      <c r="X265" s="7"/>
      <c r="Y265" s="7"/>
      <c r="Z265" s="7"/>
    </row>
    <row r="266" spans="1:26" ht="12.75" customHeight="1" x14ac:dyDescent="0.2">
      <c r="A266" s="95"/>
      <c r="B266" s="95"/>
      <c r="C266" s="40" t="s">
        <v>36</v>
      </c>
      <c r="D266" s="41">
        <v>7</v>
      </c>
      <c r="E266" s="42">
        <v>0</v>
      </c>
      <c r="F266" s="42">
        <v>0</v>
      </c>
      <c r="G266" s="42">
        <v>0</v>
      </c>
      <c r="H266" s="42">
        <v>0</v>
      </c>
      <c r="I266" s="42">
        <v>0</v>
      </c>
      <c r="J266" s="42">
        <v>0</v>
      </c>
      <c r="K266" s="43">
        <v>0</v>
      </c>
      <c r="L266" s="32">
        <v>0</v>
      </c>
      <c r="M266" s="33"/>
      <c r="N266" s="30">
        <v>0</v>
      </c>
      <c r="O266" s="30">
        <v>0</v>
      </c>
      <c r="P266" s="30"/>
      <c r="Q266" s="30">
        <f>(N266+O266*0.18+J266)+(IF((P266-O266*0.18)&gt;0,(P266-O266*0.18),0))</f>
        <v>0</v>
      </c>
      <c r="R266" s="7"/>
      <c r="S266" s="7"/>
      <c r="T266" s="7"/>
      <c r="U266" s="7"/>
      <c r="V266" s="7"/>
      <c r="W266" s="7"/>
      <c r="X266" s="7"/>
      <c r="Y266" s="7"/>
      <c r="Z266" s="7"/>
    </row>
    <row r="267" spans="1:26" ht="9" customHeight="1" x14ac:dyDescent="0.2">
      <c r="A267" s="95"/>
      <c r="B267" s="95"/>
      <c r="C267" s="34" t="s">
        <v>37</v>
      </c>
      <c r="D267" s="35">
        <v>8</v>
      </c>
      <c r="E267" s="36">
        <v>0</v>
      </c>
      <c r="F267" s="36">
        <v>0</v>
      </c>
      <c r="G267" s="36">
        <v>0</v>
      </c>
      <c r="H267" s="36">
        <v>0</v>
      </c>
      <c r="I267" s="36">
        <v>0</v>
      </c>
      <c r="J267" s="37">
        <v>0</v>
      </c>
      <c r="K267" s="36">
        <v>0</v>
      </c>
      <c r="L267" s="38">
        <v>0</v>
      </c>
      <c r="M267" s="39"/>
      <c r="N267" s="36">
        <v>0</v>
      </c>
      <c r="O267" s="36">
        <v>0</v>
      </c>
      <c r="P267" s="36">
        <v>0</v>
      </c>
      <c r="Q267" s="36">
        <f>Q266*1936.27</f>
        <v>0</v>
      </c>
      <c r="R267" s="7"/>
      <c r="S267" s="7"/>
      <c r="T267" s="7"/>
      <c r="U267" s="7"/>
      <c r="V267" s="7"/>
      <c r="W267" s="7"/>
      <c r="X267" s="7"/>
      <c r="Y267" s="7"/>
      <c r="Z267" s="7"/>
    </row>
    <row r="268" spans="1:26" ht="12.75" customHeight="1" x14ac:dyDescent="0.2">
      <c r="A268" s="95"/>
      <c r="B268" s="95"/>
      <c r="C268" s="40" t="s">
        <v>36</v>
      </c>
      <c r="D268" s="41">
        <v>9</v>
      </c>
      <c r="E268" s="42">
        <v>0</v>
      </c>
      <c r="F268" s="42">
        <v>0</v>
      </c>
      <c r="G268" s="42">
        <v>0</v>
      </c>
      <c r="H268" s="42">
        <v>0</v>
      </c>
      <c r="I268" s="42">
        <v>0</v>
      </c>
      <c r="J268" s="42">
        <v>0</v>
      </c>
      <c r="K268" s="43">
        <v>0</v>
      </c>
      <c r="L268" s="32">
        <v>0</v>
      </c>
      <c r="M268" s="33"/>
      <c r="N268" s="30">
        <v>0</v>
      </c>
      <c r="O268" s="30">
        <v>0</v>
      </c>
      <c r="P268" s="30"/>
      <c r="Q268" s="30">
        <f>(N268+O268*0.18+J268)+(IF((P268-O268*0.18)&gt;0,(P268-O268*0.18),0))</f>
        <v>0</v>
      </c>
      <c r="R268" s="7"/>
      <c r="S268" s="7"/>
      <c r="T268" s="7"/>
      <c r="U268" s="7"/>
      <c r="V268" s="7"/>
      <c r="W268" s="7"/>
      <c r="X268" s="7"/>
      <c r="Y268" s="7"/>
      <c r="Z268" s="7"/>
    </row>
    <row r="269" spans="1:26" ht="9" customHeight="1" x14ac:dyDescent="0.2">
      <c r="A269" s="95"/>
      <c r="B269" s="95"/>
      <c r="C269" s="34" t="s">
        <v>37</v>
      </c>
      <c r="D269" s="35">
        <v>10</v>
      </c>
      <c r="E269" s="36">
        <v>0</v>
      </c>
      <c r="F269" s="36">
        <v>0</v>
      </c>
      <c r="G269" s="36">
        <v>0</v>
      </c>
      <c r="H269" s="36">
        <v>0</v>
      </c>
      <c r="I269" s="36">
        <v>0</v>
      </c>
      <c r="J269" s="37">
        <v>0</v>
      </c>
      <c r="K269" s="36">
        <v>0</v>
      </c>
      <c r="L269" s="38">
        <v>0</v>
      </c>
      <c r="M269" s="39"/>
      <c r="N269" s="36">
        <v>0</v>
      </c>
      <c r="O269" s="36">
        <v>0</v>
      </c>
      <c r="P269" s="36">
        <v>0</v>
      </c>
      <c r="Q269" s="36">
        <f>Q268*1936.27</f>
        <v>0</v>
      </c>
      <c r="R269" s="7"/>
      <c r="S269" s="7"/>
      <c r="T269" s="7"/>
      <c r="U269" s="7"/>
      <c r="V269" s="7"/>
      <c r="W269" s="7"/>
      <c r="X269" s="7"/>
      <c r="Y269" s="7"/>
      <c r="Z269" s="7"/>
    </row>
    <row r="270" spans="1:26" ht="12.75" customHeight="1" x14ac:dyDescent="0.2">
      <c r="A270" s="95"/>
      <c r="B270" s="95"/>
      <c r="C270" s="40" t="s">
        <v>36</v>
      </c>
      <c r="D270" s="41">
        <v>11</v>
      </c>
      <c r="E270" s="42">
        <v>0</v>
      </c>
      <c r="F270" s="42">
        <v>0</v>
      </c>
      <c r="G270" s="42">
        <v>0</v>
      </c>
      <c r="H270" s="42">
        <v>0</v>
      </c>
      <c r="I270" s="42">
        <v>0</v>
      </c>
      <c r="J270" s="42">
        <v>0</v>
      </c>
      <c r="K270" s="43">
        <v>0</v>
      </c>
      <c r="L270" s="32">
        <v>0</v>
      </c>
      <c r="M270" s="33"/>
      <c r="N270" s="30">
        <v>0</v>
      </c>
      <c r="O270" s="30">
        <v>0</v>
      </c>
      <c r="P270" s="30"/>
      <c r="Q270" s="30">
        <f>(N270+O270*0.18+J270)+(IF((P270-O270*0.18)&gt;0,(P270-O270*0.18),0))</f>
        <v>0</v>
      </c>
      <c r="R270" s="7"/>
      <c r="S270" s="7"/>
      <c r="T270" s="7"/>
      <c r="U270" s="7"/>
      <c r="V270" s="7"/>
      <c r="W270" s="7"/>
      <c r="X270" s="7"/>
      <c r="Y270" s="7"/>
      <c r="Z270" s="7"/>
    </row>
    <row r="271" spans="1:26" ht="9" customHeight="1" x14ac:dyDescent="0.2">
      <c r="A271" s="95"/>
      <c r="B271" s="95"/>
      <c r="C271" s="34" t="s">
        <v>37</v>
      </c>
      <c r="D271" s="35">
        <v>12</v>
      </c>
      <c r="E271" s="36">
        <v>0</v>
      </c>
      <c r="F271" s="36">
        <v>0</v>
      </c>
      <c r="G271" s="36">
        <v>0</v>
      </c>
      <c r="H271" s="36">
        <v>0</v>
      </c>
      <c r="I271" s="36">
        <v>0</v>
      </c>
      <c r="J271" s="37">
        <v>0</v>
      </c>
      <c r="K271" s="36">
        <v>0</v>
      </c>
      <c r="L271" s="38">
        <v>0</v>
      </c>
      <c r="M271" s="39"/>
      <c r="N271" s="36">
        <v>0</v>
      </c>
      <c r="O271" s="36">
        <v>0</v>
      </c>
      <c r="P271" s="36">
        <v>0</v>
      </c>
      <c r="Q271" s="36">
        <f>Q270*1936.27</f>
        <v>0</v>
      </c>
      <c r="R271" s="7"/>
      <c r="S271" s="7"/>
      <c r="T271" s="7"/>
      <c r="U271" s="7"/>
      <c r="V271" s="7"/>
      <c r="W271" s="7"/>
      <c r="X271" s="7"/>
      <c r="Y271" s="7"/>
      <c r="Z271" s="7"/>
    </row>
    <row r="272" spans="1:26" ht="12.75" customHeight="1" x14ac:dyDescent="0.2">
      <c r="A272" s="95"/>
      <c r="B272" s="95"/>
      <c r="C272" s="40" t="s">
        <v>36</v>
      </c>
      <c r="D272" s="41">
        <v>13</v>
      </c>
      <c r="E272" s="42">
        <v>0</v>
      </c>
      <c r="F272" s="42">
        <v>0</v>
      </c>
      <c r="G272" s="42">
        <v>0</v>
      </c>
      <c r="H272" s="42">
        <v>0</v>
      </c>
      <c r="I272" s="42">
        <v>0</v>
      </c>
      <c r="J272" s="42">
        <v>0</v>
      </c>
      <c r="K272" s="43">
        <v>0</v>
      </c>
      <c r="L272" s="32">
        <v>0</v>
      </c>
      <c r="M272" s="33"/>
      <c r="N272" s="30">
        <v>0</v>
      </c>
      <c r="O272" s="30">
        <v>0</v>
      </c>
      <c r="P272" s="30"/>
      <c r="Q272" s="30">
        <f>(N272+O272*0.18+J272)+(IF((P272-O272*0.18)&gt;0,(P272-O272*0.18),0))</f>
        <v>0</v>
      </c>
      <c r="R272" s="7"/>
      <c r="S272" s="7"/>
      <c r="T272" s="7"/>
      <c r="U272" s="7"/>
      <c r="V272" s="7"/>
      <c r="W272" s="7"/>
      <c r="X272" s="7"/>
      <c r="Y272" s="7"/>
      <c r="Z272" s="7"/>
    </row>
    <row r="273" spans="1:26" ht="9" customHeight="1" x14ac:dyDescent="0.2">
      <c r="A273" s="95"/>
      <c r="B273" s="95"/>
      <c r="C273" s="34" t="s">
        <v>37</v>
      </c>
      <c r="D273" s="35">
        <v>14</v>
      </c>
      <c r="E273" s="36">
        <v>0</v>
      </c>
      <c r="F273" s="36">
        <v>0</v>
      </c>
      <c r="G273" s="36">
        <v>0</v>
      </c>
      <c r="H273" s="36">
        <v>0</v>
      </c>
      <c r="I273" s="36">
        <v>0</v>
      </c>
      <c r="J273" s="37">
        <v>0</v>
      </c>
      <c r="K273" s="36">
        <v>0</v>
      </c>
      <c r="L273" s="38">
        <v>0</v>
      </c>
      <c r="M273" s="39"/>
      <c r="N273" s="36">
        <v>0</v>
      </c>
      <c r="O273" s="36">
        <v>0</v>
      </c>
      <c r="P273" s="36">
        <v>0</v>
      </c>
      <c r="Q273" s="36">
        <f>Q272*1936.27</f>
        <v>0</v>
      </c>
      <c r="R273" s="7"/>
      <c r="S273" s="7"/>
      <c r="T273" s="7"/>
      <c r="U273" s="7"/>
      <c r="V273" s="7"/>
      <c r="W273" s="7"/>
      <c r="X273" s="7"/>
      <c r="Y273" s="7"/>
      <c r="Z273" s="7"/>
    </row>
    <row r="274" spans="1:26" ht="12.75" customHeight="1" x14ac:dyDescent="0.2">
      <c r="A274" s="95"/>
      <c r="B274" s="95"/>
      <c r="C274" s="40" t="s">
        <v>36</v>
      </c>
      <c r="D274" s="41">
        <v>15</v>
      </c>
      <c r="E274" s="42">
        <v>0</v>
      </c>
      <c r="F274" s="42">
        <v>0</v>
      </c>
      <c r="G274" s="42">
        <v>0</v>
      </c>
      <c r="H274" s="42">
        <v>0</v>
      </c>
      <c r="I274" s="42">
        <v>0</v>
      </c>
      <c r="J274" s="42">
        <v>0</v>
      </c>
      <c r="K274" s="43">
        <v>0</v>
      </c>
      <c r="L274" s="32">
        <v>0</v>
      </c>
      <c r="M274" s="33"/>
      <c r="N274" s="30">
        <v>0</v>
      </c>
      <c r="O274" s="30">
        <v>0</v>
      </c>
      <c r="P274" s="30"/>
      <c r="Q274" s="30">
        <f>(N274+O274*0.18+J274)+(IF((P274-O274*0.18)&gt;0,(P274-O274*0.18),0))</f>
        <v>0</v>
      </c>
      <c r="R274" s="7"/>
      <c r="S274" s="7"/>
      <c r="T274" s="7"/>
      <c r="U274" s="7"/>
      <c r="V274" s="7"/>
      <c r="W274" s="7"/>
      <c r="X274" s="7"/>
      <c r="Y274" s="7"/>
      <c r="Z274" s="7"/>
    </row>
    <row r="275" spans="1:26" ht="9" customHeight="1" x14ac:dyDescent="0.2">
      <c r="A275" s="95"/>
      <c r="B275" s="95"/>
      <c r="C275" s="34" t="s">
        <v>37</v>
      </c>
      <c r="D275" s="35">
        <v>16</v>
      </c>
      <c r="E275" s="36">
        <v>0</v>
      </c>
      <c r="F275" s="36">
        <v>0</v>
      </c>
      <c r="G275" s="36">
        <v>0</v>
      </c>
      <c r="H275" s="36">
        <v>0</v>
      </c>
      <c r="I275" s="36">
        <v>0</v>
      </c>
      <c r="J275" s="37">
        <v>0</v>
      </c>
      <c r="K275" s="36">
        <v>0</v>
      </c>
      <c r="L275" s="38">
        <v>0</v>
      </c>
      <c r="M275" s="39"/>
      <c r="N275" s="36">
        <v>0</v>
      </c>
      <c r="O275" s="36">
        <v>0</v>
      </c>
      <c r="P275" s="36">
        <v>0</v>
      </c>
      <c r="Q275" s="36">
        <f>Q274*1936.27</f>
        <v>0</v>
      </c>
      <c r="R275" s="7"/>
      <c r="S275" s="7"/>
      <c r="T275" s="7"/>
      <c r="U275" s="7"/>
      <c r="V275" s="7"/>
      <c r="W275" s="7"/>
      <c r="X275" s="7"/>
      <c r="Y275" s="7"/>
      <c r="Z275" s="7"/>
    </row>
    <row r="276" spans="1:26" ht="12.75" customHeight="1" x14ac:dyDescent="0.2">
      <c r="A276" s="95"/>
      <c r="B276" s="95"/>
      <c r="C276" s="40" t="s">
        <v>36</v>
      </c>
      <c r="D276" s="41">
        <v>17</v>
      </c>
      <c r="E276" s="42">
        <v>0</v>
      </c>
      <c r="F276" s="42">
        <v>0</v>
      </c>
      <c r="G276" s="42">
        <v>0</v>
      </c>
      <c r="H276" s="42">
        <v>0</v>
      </c>
      <c r="I276" s="42">
        <v>0</v>
      </c>
      <c r="J276" s="42">
        <v>0</v>
      </c>
      <c r="K276" s="43">
        <v>0</v>
      </c>
      <c r="L276" s="32">
        <v>0</v>
      </c>
      <c r="M276" s="33"/>
      <c r="N276" s="30">
        <v>0</v>
      </c>
      <c r="O276" s="30">
        <v>0</v>
      </c>
      <c r="P276" s="30"/>
      <c r="Q276" s="30">
        <f>(N276+O276*0.18+J276)+(IF((P276-O276*0.18)&gt;0,(P276-O276*0.18),0))</f>
        <v>0</v>
      </c>
      <c r="R276" s="7"/>
      <c r="S276" s="7"/>
      <c r="T276" s="7"/>
      <c r="U276" s="7"/>
      <c r="V276" s="7"/>
      <c r="W276" s="7"/>
      <c r="X276" s="7"/>
      <c r="Y276" s="7"/>
      <c r="Z276" s="7"/>
    </row>
    <row r="277" spans="1:26" ht="9" customHeight="1" x14ac:dyDescent="0.2">
      <c r="A277" s="95"/>
      <c r="B277" s="95"/>
      <c r="C277" s="34" t="s">
        <v>37</v>
      </c>
      <c r="D277" s="35">
        <v>17</v>
      </c>
      <c r="E277" s="36">
        <v>0</v>
      </c>
      <c r="F277" s="36">
        <v>0</v>
      </c>
      <c r="G277" s="36">
        <v>0</v>
      </c>
      <c r="H277" s="36">
        <v>0</v>
      </c>
      <c r="I277" s="36">
        <v>0</v>
      </c>
      <c r="J277" s="37">
        <v>0</v>
      </c>
      <c r="K277" s="36">
        <v>0</v>
      </c>
      <c r="L277" s="38">
        <v>0</v>
      </c>
      <c r="M277" s="39"/>
      <c r="N277" s="36">
        <v>0</v>
      </c>
      <c r="O277" s="36">
        <v>0</v>
      </c>
      <c r="P277" s="36">
        <v>0</v>
      </c>
      <c r="Q277" s="36">
        <f>Q276*1936.27</f>
        <v>0</v>
      </c>
      <c r="R277" s="7"/>
      <c r="S277" s="7"/>
      <c r="T277" s="7"/>
      <c r="U277" s="7"/>
      <c r="V277" s="7"/>
      <c r="W277" s="7"/>
      <c r="X277" s="7"/>
      <c r="Y277" s="7"/>
      <c r="Z277" s="7"/>
    </row>
    <row r="278" spans="1:26" ht="12.75" customHeight="1" x14ac:dyDescent="0.2">
      <c r="A278" s="95"/>
      <c r="B278" s="95"/>
      <c r="C278" s="40" t="s">
        <v>36</v>
      </c>
      <c r="D278" s="41">
        <v>18</v>
      </c>
      <c r="E278" s="42">
        <v>0</v>
      </c>
      <c r="F278" s="42">
        <v>0</v>
      </c>
      <c r="G278" s="42">
        <v>0</v>
      </c>
      <c r="H278" s="42">
        <v>0</v>
      </c>
      <c r="I278" s="42">
        <v>0</v>
      </c>
      <c r="J278" s="42">
        <v>0</v>
      </c>
      <c r="K278" s="43">
        <v>0</v>
      </c>
      <c r="L278" s="32">
        <v>0</v>
      </c>
      <c r="M278" s="33"/>
      <c r="N278" s="30">
        <v>0</v>
      </c>
      <c r="O278" s="30">
        <v>0</v>
      </c>
      <c r="P278" s="30"/>
      <c r="Q278" s="30">
        <f>(N278+O278*0.18+J278)+(IF((P278-O278*0.18)&gt;0,(P278-O278*0.18),0))</f>
        <v>0</v>
      </c>
      <c r="R278" s="7"/>
      <c r="S278" s="7"/>
      <c r="T278" s="7"/>
      <c r="U278" s="7"/>
      <c r="V278" s="7"/>
      <c r="W278" s="7"/>
      <c r="X278" s="7"/>
      <c r="Y278" s="7"/>
      <c r="Z278" s="7"/>
    </row>
    <row r="279" spans="1:26" ht="9" customHeight="1" x14ac:dyDescent="0.2">
      <c r="A279" s="95"/>
      <c r="B279" s="95"/>
      <c r="C279" s="34" t="s">
        <v>37</v>
      </c>
      <c r="D279" s="35">
        <v>19</v>
      </c>
      <c r="E279" s="36">
        <v>0</v>
      </c>
      <c r="F279" s="36">
        <v>0</v>
      </c>
      <c r="G279" s="36">
        <v>0</v>
      </c>
      <c r="H279" s="36">
        <v>0</v>
      </c>
      <c r="I279" s="36">
        <v>0</v>
      </c>
      <c r="J279" s="37">
        <v>0</v>
      </c>
      <c r="K279" s="36">
        <v>0</v>
      </c>
      <c r="L279" s="38">
        <v>0</v>
      </c>
      <c r="M279" s="39"/>
      <c r="N279" s="36">
        <v>0</v>
      </c>
      <c r="O279" s="36">
        <v>0</v>
      </c>
      <c r="P279" s="36">
        <v>0</v>
      </c>
      <c r="Q279" s="36">
        <f>Q278*1936.27</f>
        <v>0</v>
      </c>
      <c r="R279" s="7"/>
      <c r="S279" s="7"/>
      <c r="T279" s="7"/>
      <c r="U279" s="7"/>
      <c r="V279" s="7"/>
      <c r="W279" s="7"/>
      <c r="X279" s="7"/>
      <c r="Y279" s="7"/>
      <c r="Z279" s="7"/>
    </row>
    <row r="280" spans="1:26" ht="12.75" customHeight="1" x14ac:dyDescent="0.2">
      <c r="A280" s="95"/>
      <c r="B280" s="95"/>
      <c r="C280" s="40" t="s">
        <v>36</v>
      </c>
      <c r="D280" s="41">
        <v>20</v>
      </c>
      <c r="E280" s="42">
        <v>0</v>
      </c>
      <c r="F280" s="42">
        <v>0</v>
      </c>
      <c r="G280" s="42">
        <v>0</v>
      </c>
      <c r="H280" s="42">
        <v>0</v>
      </c>
      <c r="I280" s="42">
        <v>0</v>
      </c>
      <c r="J280" s="42">
        <v>0</v>
      </c>
      <c r="K280" s="43">
        <v>0</v>
      </c>
      <c r="L280" s="32">
        <v>0</v>
      </c>
      <c r="M280" s="33"/>
      <c r="N280" s="30">
        <v>0</v>
      </c>
      <c r="O280" s="30">
        <v>0</v>
      </c>
      <c r="P280" s="30"/>
      <c r="Q280" s="30">
        <f>(N280+O280*0.18+J280)+(IF((P280-O280*0.18)&gt;0,(P280-O280*0.18),0))</f>
        <v>0</v>
      </c>
      <c r="R280" s="7"/>
      <c r="S280" s="7"/>
      <c r="T280" s="7"/>
      <c r="U280" s="7"/>
      <c r="V280" s="7"/>
      <c r="W280" s="7"/>
      <c r="X280" s="7"/>
      <c r="Y280" s="7"/>
      <c r="Z280" s="7"/>
    </row>
    <row r="281" spans="1:26" ht="9" customHeight="1" x14ac:dyDescent="0.2">
      <c r="A281" s="95"/>
      <c r="B281" s="95"/>
      <c r="C281" s="34" t="s">
        <v>37</v>
      </c>
      <c r="D281" s="35">
        <v>21</v>
      </c>
      <c r="E281" s="36">
        <v>0</v>
      </c>
      <c r="F281" s="36">
        <v>0</v>
      </c>
      <c r="G281" s="36">
        <v>0</v>
      </c>
      <c r="H281" s="36">
        <v>0</v>
      </c>
      <c r="I281" s="36">
        <v>0</v>
      </c>
      <c r="J281" s="37">
        <v>0</v>
      </c>
      <c r="K281" s="36">
        <v>0</v>
      </c>
      <c r="L281" s="38">
        <v>0</v>
      </c>
      <c r="M281" s="39"/>
      <c r="N281" s="36">
        <v>0</v>
      </c>
      <c r="O281" s="36">
        <v>0</v>
      </c>
      <c r="P281" s="36">
        <v>0</v>
      </c>
      <c r="Q281" s="36">
        <f>Q280*1936.27</f>
        <v>0</v>
      </c>
      <c r="R281" s="7"/>
      <c r="S281" s="7"/>
      <c r="T281" s="7"/>
      <c r="U281" s="7"/>
      <c r="V281" s="7"/>
      <c r="W281" s="7"/>
      <c r="X281" s="7"/>
      <c r="Y281" s="7"/>
      <c r="Z281" s="7"/>
    </row>
    <row r="282" spans="1:26" ht="12.75" customHeight="1" x14ac:dyDescent="0.2">
      <c r="A282" s="95"/>
      <c r="B282" s="95"/>
      <c r="C282" s="40" t="s">
        <v>36</v>
      </c>
      <c r="D282" s="41">
        <v>22</v>
      </c>
      <c r="E282" s="42">
        <v>0</v>
      </c>
      <c r="F282" s="42">
        <v>0</v>
      </c>
      <c r="G282" s="42">
        <v>0</v>
      </c>
      <c r="H282" s="42">
        <v>0</v>
      </c>
      <c r="I282" s="42">
        <v>0</v>
      </c>
      <c r="J282" s="42">
        <v>0</v>
      </c>
      <c r="K282" s="43">
        <v>0</v>
      </c>
      <c r="L282" s="32">
        <v>0</v>
      </c>
      <c r="M282" s="33"/>
      <c r="N282" s="30">
        <v>0</v>
      </c>
      <c r="O282" s="30">
        <v>0</v>
      </c>
      <c r="P282" s="30"/>
      <c r="Q282" s="30">
        <f>(N282+O282*0.18+J282)+(IF((P282-O282*0.18)&gt;0,(P282-O282*0.18),0))</f>
        <v>0</v>
      </c>
      <c r="R282" s="7"/>
      <c r="S282" s="7"/>
      <c r="T282" s="7"/>
      <c r="U282" s="7"/>
      <c r="V282" s="7"/>
      <c r="W282" s="7"/>
      <c r="X282" s="7"/>
      <c r="Y282" s="7"/>
      <c r="Z282" s="7"/>
    </row>
    <row r="283" spans="1:26" ht="9" customHeight="1" x14ac:dyDescent="0.2">
      <c r="A283" s="95"/>
      <c r="B283" s="95"/>
      <c r="C283" s="34" t="s">
        <v>37</v>
      </c>
      <c r="D283" s="35">
        <v>23</v>
      </c>
      <c r="E283" s="36">
        <v>0</v>
      </c>
      <c r="F283" s="36">
        <v>0</v>
      </c>
      <c r="G283" s="36">
        <v>0</v>
      </c>
      <c r="H283" s="36">
        <v>0</v>
      </c>
      <c r="I283" s="36">
        <v>0</v>
      </c>
      <c r="J283" s="37">
        <v>0</v>
      </c>
      <c r="K283" s="36">
        <v>0</v>
      </c>
      <c r="L283" s="38">
        <v>0</v>
      </c>
      <c r="M283" s="39"/>
      <c r="N283" s="36">
        <v>0</v>
      </c>
      <c r="O283" s="36">
        <v>0</v>
      </c>
      <c r="P283" s="36">
        <v>0</v>
      </c>
      <c r="Q283" s="36">
        <f>Q282*1936.27</f>
        <v>0</v>
      </c>
      <c r="R283" s="7"/>
      <c r="S283" s="7"/>
      <c r="T283" s="7"/>
      <c r="U283" s="7"/>
      <c r="V283" s="7"/>
      <c r="W283" s="7"/>
      <c r="X283" s="7"/>
      <c r="Y283" s="7"/>
      <c r="Z283" s="7"/>
    </row>
    <row r="284" spans="1:26" ht="12.75" customHeight="1" x14ac:dyDescent="0.2">
      <c r="A284" s="95"/>
      <c r="B284" s="95"/>
      <c r="C284" s="40" t="s">
        <v>36</v>
      </c>
      <c r="D284" s="41">
        <v>24</v>
      </c>
      <c r="E284" s="42">
        <v>0</v>
      </c>
      <c r="F284" s="42">
        <v>0</v>
      </c>
      <c r="G284" s="42">
        <v>0</v>
      </c>
      <c r="H284" s="42">
        <v>0</v>
      </c>
      <c r="I284" s="42">
        <v>0</v>
      </c>
      <c r="J284" s="42">
        <v>0</v>
      </c>
      <c r="K284" s="43">
        <v>0</v>
      </c>
      <c r="L284" s="32">
        <v>0</v>
      </c>
      <c r="M284" s="33"/>
      <c r="N284" s="30">
        <v>0</v>
      </c>
      <c r="O284" s="30">
        <v>0</v>
      </c>
      <c r="P284" s="30"/>
      <c r="Q284" s="30">
        <f>(N284+O284*0.18+J284)+(IF((P284-O284*0.18)&gt;0,(P284-O284*0.18),0))</f>
        <v>0</v>
      </c>
      <c r="R284" s="7"/>
      <c r="S284" s="7"/>
      <c r="T284" s="7"/>
      <c r="U284" s="7"/>
      <c r="V284" s="7"/>
      <c r="W284" s="7"/>
      <c r="X284" s="7"/>
      <c r="Y284" s="7"/>
      <c r="Z284" s="7"/>
    </row>
    <row r="285" spans="1:26" ht="9" customHeight="1" x14ac:dyDescent="0.2">
      <c r="A285" s="95"/>
      <c r="B285" s="95"/>
      <c r="C285" s="34" t="s">
        <v>37</v>
      </c>
      <c r="D285" s="35">
        <v>25</v>
      </c>
      <c r="E285" s="36">
        <v>0</v>
      </c>
      <c r="F285" s="36">
        <v>0</v>
      </c>
      <c r="G285" s="36">
        <v>0</v>
      </c>
      <c r="H285" s="36">
        <v>0</v>
      </c>
      <c r="I285" s="36">
        <v>0</v>
      </c>
      <c r="J285" s="37">
        <v>0</v>
      </c>
      <c r="K285" s="36">
        <v>0</v>
      </c>
      <c r="L285" s="38">
        <v>0</v>
      </c>
      <c r="M285" s="39"/>
      <c r="N285" s="36">
        <v>0</v>
      </c>
      <c r="O285" s="36">
        <v>0</v>
      </c>
      <c r="P285" s="36">
        <v>0</v>
      </c>
      <c r="Q285" s="36">
        <f>Q284*1936.27</f>
        <v>0</v>
      </c>
      <c r="R285" s="7"/>
      <c r="S285" s="7"/>
      <c r="T285" s="7"/>
      <c r="U285" s="7"/>
      <c r="V285" s="7"/>
      <c r="W285" s="7"/>
      <c r="X285" s="7"/>
      <c r="Y285" s="7"/>
      <c r="Z285" s="7"/>
    </row>
    <row r="286" spans="1:26" ht="12.75" customHeight="1" x14ac:dyDescent="0.2">
      <c r="A286" s="95"/>
      <c r="B286" s="95"/>
      <c r="C286" s="40" t="s">
        <v>36</v>
      </c>
      <c r="D286" s="41">
        <v>26</v>
      </c>
      <c r="E286" s="42">
        <v>0</v>
      </c>
      <c r="F286" s="42">
        <v>0</v>
      </c>
      <c r="G286" s="42">
        <v>0</v>
      </c>
      <c r="H286" s="42">
        <v>0</v>
      </c>
      <c r="I286" s="42">
        <v>0</v>
      </c>
      <c r="J286" s="42">
        <v>0</v>
      </c>
      <c r="K286" s="43">
        <v>0</v>
      </c>
      <c r="L286" s="32">
        <v>0</v>
      </c>
      <c r="M286" s="33"/>
      <c r="N286" s="30">
        <v>0</v>
      </c>
      <c r="O286" s="30">
        <v>0</v>
      </c>
      <c r="P286" s="30"/>
      <c r="Q286" s="30">
        <f>(N286+O286*0.18+J286)+(IF((P286-O286*0.18)&gt;0,(P286-O286*0.18),0))</f>
        <v>0</v>
      </c>
      <c r="R286" s="7"/>
      <c r="S286" s="7"/>
      <c r="T286" s="7"/>
      <c r="U286" s="7"/>
      <c r="V286" s="7"/>
      <c r="W286" s="7"/>
      <c r="X286" s="7"/>
      <c r="Y286" s="7"/>
      <c r="Z286" s="7"/>
    </row>
    <row r="287" spans="1:26" ht="9" customHeight="1" x14ac:dyDescent="0.2">
      <c r="A287" s="95"/>
      <c r="B287" s="95"/>
      <c r="C287" s="34" t="s">
        <v>37</v>
      </c>
      <c r="D287" s="35">
        <v>27</v>
      </c>
      <c r="E287" s="36">
        <v>0</v>
      </c>
      <c r="F287" s="36">
        <v>0</v>
      </c>
      <c r="G287" s="36">
        <v>0</v>
      </c>
      <c r="H287" s="36">
        <v>0</v>
      </c>
      <c r="I287" s="36">
        <v>0</v>
      </c>
      <c r="J287" s="37">
        <v>0</v>
      </c>
      <c r="K287" s="36">
        <v>0</v>
      </c>
      <c r="L287" s="38">
        <v>0</v>
      </c>
      <c r="M287" s="39"/>
      <c r="N287" s="36">
        <v>0</v>
      </c>
      <c r="O287" s="36">
        <v>0</v>
      </c>
      <c r="P287" s="36">
        <v>0</v>
      </c>
      <c r="Q287" s="36">
        <f>Q286*1936.27</f>
        <v>0</v>
      </c>
      <c r="R287" s="7"/>
      <c r="S287" s="7"/>
      <c r="T287" s="7"/>
      <c r="U287" s="7"/>
      <c r="V287" s="7"/>
      <c r="W287" s="7"/>
      <c r="X287" s="7"/>
      <c r="Y287" s="7"/>
      <c r="Z287" s="7"/>
    </row>
    <row r="288" spans="1:26" ht="12.75" customHeight="1" x14ac:dyDescent="0.2">
      <c r="A288" s="95"/>
      <c r="B288" s="95"/>
      <c r="C288" s="40" t="s">
        <v>36</v>
      </c>
      <c r="D288" s="41">
        <v>28</v>
      </c>
      <c r="E288" s="42">
        <v>0</v>
      </c>
      <c r="F288" s="42">
        <v>0</v>
      </c>
      <c r="G288" s="42">
        <v>0</v>
      </c>
      <c r="H288" s="42">
        <v>0</v>
      </c>
      <c r="I288" s="42">
        <v>0</v>
      </c>
      <c r="J288" s="42">
        <v>0</v>
      </c>
      <c r="K288" s="43">
        <v>0</v>
      </c>
      <c r="L288" s="32">
        <v>0</v>
      </c>
      <c r="M288" s="33"/>
      <c r="N288" s="30">
        <v>0</v>
      </c>
      <c r="O288" s="30">
        <v>0</v>
      </c>
      <c r="P288" s="30"/>
      <c r="Q288" s="30">
        <f>(N288+O288*0.18+J288)+(IF((P288-O288*0.18)&gt;0,(P288-O288*0.18),0))</f>
        <v>0</v>
      </c>
      <c r="R288" s="7"/>
      <c r="S288" s="7"/>
      <c r="T288" s="7"/>
      <c r="U288" s="7"/>
      <c r="V288" s="7"/>
      <c r="W288" s="7"/>
      <c r="X288" s="7"/>
      <c r="Y288" s="7"/>
      <c r="Z288" s="7"/>
    </row>
    <row r="289" spans="1:26" ht="9" customHeight="1" x14ac:dyDescent="0.2">
      <c r="A289" s="95"/>
      <c r="B289" s="95"/>
      <c r="C289" s="34" t="s">
        <v>37</v>
      </c>
      <c r="D289" s="35">
        <v>29</v>
      </c>
      <c r="E289" s="36">
        <v>0</v>
      </c>
      <c r="F289" s="36">
        <v>0</v>
      </c>
      <c r="G289" s="36">
        <v>0</v>
      </c>
      <c r="H289" s="36">
        <v>0</v>
      </c>
      <c r="I289" s="36">
        <v>0</v>
      </c>
      <c r="J289" s="37">
        <v>0</v>
      </c>
      <c r="K289" s="36">
        <v>0</v>
      </c>
      <c r="L289" s="38">
        <v>0</v>
      </c>
      <c r="M289" s="39"/>
      <c r="N289" s="36">
        <v>0</v>
      </c>
      <c r="O289" s="36">
        <v>0</v>
      </c>
      <c r="P289" s="36">
        <v>0</v>
      </c>
      <c r="Q289" s="36">
        <f>Q288*1936.27</f>
        <v>0</v>
      </c>
      <c r="R289" s="7"/>
      <c r="S289" s="7"/>
      <c r="T289" s="7"/>
      <c r="U289" s="7"/>
      <c r="V289" s="7"/>
      <c r="W289" s="7"/>
      <c r="X289" s="7"/>
      <c r="Y289" s="7"/>
      <c r="Z289" s="7"/>
    </row>
    <row r="290" spans="1:26" ht="12.75" customHeight="1" x14ac:dyDescent="0.2">
      <c r="A290" s="95"/>
      <c r="B290" s="95"/>
      <c r="C290" s="40" t="s">
        <v>36</v>
      </c>
      <c r="D290" s="41">
        <v>30</v>
      </c>
      <c r="E290" s="42">
        <v>0</v>
      </c>
      <c r="F290" s="42">
        <v>0</v>
      </c>
      <c r="G290" s="42">
        <v>0</v>
      </c>
      <c r="H290" s="42">
        <v>0</v>
      </c>
      <c r="I290" s="42">
        <v>0</v>
      </c>
      <c r="J290" s="42">
        <v>0</v>
      </c>
      <c r="K290" s="43">
        <v>0</v>
      </c>
      <c r="L290" s="32">
        <v>0</v>
      </c>
      <c r="M290" s="33"/>
      <c r="N290" s="30">
        <v>0</v>
      </c>
      <c r="O290" s="30">
        <v>0</v>
      </c>
      <c r="P290" s="30"/>
      <c r="Q290" s="30">
        <f>(N290+O290*0.18+J290)+(IF((P290-O290*0.18)&gt;0,(P290-O290*0.18),0))</f>
        <v>0</v>
      </c>
      <c r="R290" s="7"/>
      <c r="S290" s="7"/>
      <c r="T290" s="7"/>
      <c r="U290" s="7"/>
      <c r="V290" s="7"/>
      <c r="W290" s="7"/>
      <c r="X290" s="7"/>
      <c r="Y290" s="7"/>
      <c r="Z290" s="7"/>
    </row>
    <row r="291" spans="1:26" ht="9" customHeight="1" x14ac:dyDescent="0.2">
      <c r="A291" s="95"/>
      <c r="B291" s="95"/>
      <c r="C291" s="34" t="s">
        <v>37</v>
      </c>
      <c r="D291" s="35">
        <v>33</v>
      </c>
      <c r="E291" s="36">
        <v>0</v>
      </c>
      <c r="F291" s="36">
        <v>0</v>
      </c>
      <c r="G291" s="36">
        <v>0</v>
      </c>
      <c r="H291" s="36">
        <v>0</v>
      </c>
      <c r="I291" s="36">
        <v>0</v>
      </c>
      <c r="J291" s="37">
        <v>0</v>
      </c>
      <c r="K291" s="36">
        <v>0</v>
      </c>
      <c r="L291" s="38">
        <v>0</v>
      </c>
      <c r="M291" s="39"/>
      <c r="N291" s="36">
        <v>0</v>
      </c>
      <c r="O291" s="36">
        <v>0</v>
      </c>
      <c r="P291" s="36">
        <v>0</v>
      </c>
      <c r="Q291" s="36">
        <f>Q290*1936.27</f>
        <v>0</v>
      </c>
      <c r="R291" s="7"/>
      <c r="S291" s="7"/>
      <c r="T291" s="7"/>
      <c r="U291" s="7"/>
      <c r="V291" s="7"/>
      <c r="W291" s="7"/>
      <c r="X291" s="7"/>
      <c r="Y291" s="7"/>
      <c r="Z291" s="7"/>
    </row>
    <row r="292" spans="1:26" ht="12.75" customHeight="1" x14ac:dyDescent="0.2">
      <c r="A292" s="95"/>
      <c r="B292" s="95"/>
      <c r="C292" s="40" t="s">
        <v>36</v>
      </c>
      <c r="D292" s="41">
        <v>34</v>
      </c>
      <c r="E292" s="42">
        <v>0</v>
      </c>
      <c r="F292" s="42">
        <v>0</v>
      </c>
      <c r="G292" s="42">
        <v>0</v>
      </c>
      <c r="H292" s="42">
        <v>0</v>
      </c>
      <c r="I292" s="42">
        <v>0</v>
      </c>
      <c r="J292" s="42">
        <v>0</v>
      </c>
      <c r="K292" s="43">
        <v>0</v>
      </c>
      <c r="L292" s="32">
        <v>0</v>
      </c>
      <c r="M292" s="33"/>
      <c r="N292" s="30">
        <v>0</v>
      </c>
      <c r="O292" s="30">
        <v>0</v>
      </c>
      <c r="P292" s="30"/>
      <c r="Q292" s="30">
        <f>(N292+O292*0.18+J292)+(IF((P292-O292*0.18)&gt;0,(P292-O292*0.18),0))</f>
        <v>0</v>
      </c>
      <c r="R292" s="7"/>
      <c r="S292" s="7"/>
      <c r="T292" s="7"/>
      <c r="U292" s="7"/>
      <c r="V292" s="7"/>
      <c r="W292" s="7"/>
      <c r="X292" s="7"/>
      <c r="Y292" s="7"/>
      <c r="Z292" s="7"/>
    </row>
    <row r="293" spans="1:26" ht="9" customHeight="1" x14ac:dyDescent="0.2">
      <c r="A293" s="95"/>
      <c r="B293" s="95"/>
      <c r="C293" s="34" t="s">
        <v>37</v>
      </c>
      <c r="D293" s="35">
        <v>35</v>
      </c>
      <c r="E293" s="36">
        <v>0</v>
      </c>
      <c r="F293" s="36">
        <v>0</v>
      </c>
      <c r="G293" s="36">
        <v>0</v>
      </c>
      <c r="H293" s="36">
        <v>0</v>
      </c>
      <c r="I293" s="36">
        <v>0</v>
      </c>
      <c r="J293" s="37">
        <v>0</v>
      </c>
      <c r="K293" s="36">
        <v>0</v>
      </c>
      <c r="L293" s="38">
        <v>0</v>
      </c>
      <c r="M293" s="39"/>
      <c r="N293" s="36">
        <v>0</v>
      </c>
      <c r="O293" s="36">
        <v>0</v>
      </c>
      <c r="P293" s="36">
        <v>0</v>
      </c>
      <c r="Q293" s="36">
        <f>Q292*1936.27</f>
        <v>0</v>
      </c>
      <c r="R293" s="7"/>
      <c r="S293" s="7"/>
      <c r="T293" s="7"/>
      <c r="U293" s="7"/>
      <c r="V293" s="7"/>
      <c r="W293" s="7"/>
      <c r="X293" s="7"/>
      <c r="Y293" s="7"/>
      <c r="Z293" s="7"/>
    </row>
    <row r="294" spans="1:26" ht="12.75" customHeight="1" x14ac:dyDescent="0.2">
      <c r="A294" s="95"/>
      <c r="B294" s="95"/>
      <c r="C294" s="40" t="s">
        <v>36</v>
      </c>
      <c r="D294" s="41">
        <v>36</v>
      </c>
      <c r="E294" s="42">
        <v>0</v>
      </c>
      <c r="F294" s="42">
        <v>0</v>
      </c>
      <c r="G294" s="42">
        <v>0</v>
      </c>
      <c r="H294" s="42">
        <v>0</v>
      </c>
      <c r="I294" s="42">
        <v>0</v>
      </c>
      <c r="J294" s="42">
        <v>0</v>
      </c>
      <c r="K294" s="43">
        <v>0</v>
      </c>
      <c r="L294" s="32">
        <v>0</v>
      </c>
      <c r="M294" s="33"/>
      <c r="N294" s="30">
        <v>0</v>
      </c>
      <c r="O294" s="30">
        <v>0</v>
      </c>
      <c r="P294" s="30"/>
      <c r="Q294" s="30">
        <f>(N294+O294*0.18+J294)+(IF((P294-O294*0.18)&gt;0,(P294-O294*0.18),0))</f>
        <v>0</v>
      </c>
      <c r="R294" s="7"/>
      <c r="S294" s="7"/>
      <c r="T294" s="7"/>
      <c r="U294" s="7"/>
      <c r="V294" s="7"/>
      <c r="W294" s="7"/>
      <c r="X294" s="7"/>
      <c r="Y294" s="7"/>
      <c r="Z294" s="7"/>
    </row>
    <row r="295" spans="1:26" ht="9" customHeight="1" x14ac:dyDescent="0.2">
      <c r="A295" s="95"/>
      <c r="B295" s="95"/>
      <c r="C295" s="34" t="s">
        <v>37</v>
      </c>
      <c r="D295" s="35">
        <v>37</v>
      </c>
      <c r="E295" s="36">
        <v>0</v>
      </c>
      <c r="F295" s="36">
        <v>0</v>
      </c>
      <c r="G295" s="36">
        <v>0</v>
      </c>
      <c r="H295" s="36">
        <v>0</v>
      </c>
      <c r="I295" s="36">
        <v>0</v>
      </c>
      <c r="J295" s="37">
        <v>0</v>
      </c>
      <c r="K295" s="36">
        <v>0</v>
      </c>
      <c r="L295" s="38">
        <v>0</v>
      </c>
      <c r="M295" s="39"/>
      <c r="N295" s="36">
        <v>0</v>
      </c>
      <c r="O295" s="36">
        <v>0</v>
      </c>
      <c r="P295" s="36">
        <v>0</v>
      </c>
      <c r="Q295" s="36">
        <f>Q294*1936.27</f>
        <v>0</v>
      </c>
      <c r="R295" s="7"/>
      <c r="S295" s="7"/>
      <c r="T295" s="7"/>
      <c r="U295" s="7"/>
      <c r="V295" s="7"/>
      <c r="W295" s="7"/>
      <c r="X295" s="7"/>
      <c r="Y295" s="7"/>
      <c r="Z295" s="7"/>
    </row>
    <row r="296" spans="1:26" ht="12.75" customHeight="1" x14ac:dyDescent="0.2">
      <c r="A296" s="95"/>
      <c r="B296" s="95"/>
      <c r="C296" s="40" t="s">
        <v>36</v>
      </c>
      <c r="D296" s="41">
        <v>38</v>
      </c>
      <c r="E296" s="42">
        <v>0</v>
      </c>
      <c r="F296" s="42">
        <v>0</v>
      </c>
      <c r="G296" s="42">
        <v>0</v>
      </c>
      <c r="H296" s="42">
        <v>0</v>
      </c>
      <c r="I296" s="42">
        <v>0</v>
      </c>
      <c r="J296" s="42">
        <v>0</v>
      </c>
      <c r="K296" s="43">
        <v>0</v>
      </c>
      <c r="L296" s="32">
        <v>0</v>
      </c>
      <c r="M296" s="33"/>
      <c r="N296" s="30">
        <v>0</v>
      </c>
      <c r="O296" s="30">
        <v>0</v>
      </c>
      <c r="P296" s="30"/>
      <c r="Q296" s="30">
        <f>(N296+O296*0.18+J296)+(IF((P296-O296*0.18)&gt;0,(P296-O296*0.18),0))</f>
        <v>0</v>
      </c>
      <c r="R296" s="7"/>
      <c r="S296" s="7"/>
      <c r="T296" s="7"/>
      <c r="U296" s="7"/>
      <c r="V296" s="7"/>
      <c r="W296" s="7"/>
      <c r="X296" s="7"/>
      <c r="Y296" s="7"/>
      <c r="Z296" s="7"/>
    </row>
    <row r="297" spans="1:26" ht="9" customHeight="1" x14ac:dyDescent="0.2">
      <c r="A297" s="95"/>
      <c r="B297" s="95"/>
      <c r="C297" s="34" t="s">
        <v>37</v>
      </c>
      <c r="D297" s="35">
        <v>39</v>
      </c>
      <c r="E297" s="36">
        <v>0</v>
      </c>
      <c r="F297" s="36">
        <v>0</v>
      </c>
      <c r="G297" s="36">
        <v>0</v>
      </c>
      <c r="H297" s="36">
        <v>0</v>
      </c>
      <c r="I297" s="36">
        <v>0</v>
      </c>
      <c r="J297" s="37">
        <v>0</v>
      </c>
      <c r="K297" s="36">
        <v>0</v>
      </c>
      <c r="L297" s="38">
        <v>0</v>
      </c>
      <c r="M297" s="39"/>
      <c r="N297" s="36">
        <v>0</v>
      </c>
      <c r="O297" s="36">
        <v>0</v>
      </c>
      <c r="P297" s="36">
        <v>0</v>
      </c>
      <c r="Q297" s="36">
        <f>Q296*1936.27</f>
        <v>0</v>
      </c>
      <c r="R297" s="7"/>
      <c r="S297" s="7"/>
      <c r="T297" s="7"/>
      <c r="U297" s="7"/>
      <c r="V297" s="7"/>
      <c r="W297" s="7"/>
      <c r="X297" s="7"/>
      <c r="Y297" s="7"/>
      <c r="Z297" s="7"/>
    </row>
    <row r="298" spans="1:26" ht="12.75" customHeight="1" x14ac:dyDescent="0.2">
      <c r="A298" s="95"/>
      <c r="B298" s="95"/>
      <c r="C298" s="40" t="s">
        <v>36</v>
      </c>
      <c r="D298" s="41">
        <v>40</v>
      </c>
      <c r="E298" s="42">
        <v>0</v>
      </c>
      <c r="F298" s="42">
        <v>0</v>
      </c>
      <c r="G298" s="42">
        <v>0</v>
      </c>
      <c r="H298" s="42">
        <v>0</v>
      </c>
      <c r="I298" s="42">
        <v>0</v>
      </c>
      <c r="J298" s="42">
        <v>0</v>
      </c>
      <c r="K298" s="43">
        <v>0</v>
      </c>
      <c r="L298" s="32">
        <v>0</v>
      </c>
      <c r="M298" s="33"/>
      <c r="N298" s="30">
        <v>0</v>
      </c>
      <c r="O298" s="30">
        <v>0</v>
      </c>
      <c r="P298" s="30"/>
      <c r="Q298" s="30">
        <f>(N298+O298*0.18+J298)+(IF((P298-O298*0.18)&gt;0,(P298-O298*0.18),0))</f>
        <v>0</v>
      </c>
      <c r="R298" s="7"/>
      <c r="S298" s="7"/>
      <c r="T298" s="7"/>
      <c r="U298" s="7"/>
      <c r="V298" s="7"/>
      <c r="W298" s="7"/>
      <c r="X298" s="7"/>
      <c r="Y298" s="7"/>
      <c r="Z298" s="7"/>
    </row>
    <row r="299" spans="1:26" ht="9" customHeight="1" x14ac:dyDescent="0.2">
      <c r="A299" s="110"/>
      <c r="B299" s="110"/>
      <c r="C299" s="47"/>
      <c r="D299" s="48"/>
      <c r="E299" s="46">
        <v>0</v>
      </c>
      <c r="F299" s="46">
        <v>0</v>
      </c>
      <c r="G299" s="46">
        <v>0</v>
      </c>
      <c r="H299" s="46">
        <v>0</v>
      </c>
      <c r="I299" s="46">
        <v>0</v>
      </c>
      <c r="J299" s="49">
        <v>0</v>
      </c>
      <c r="K299" s="46">
        <v>0</v>
      </c>
      <c r="L299" s="38">
        <v>0</v>
      </c>
      <c r="M299" s="39"/>
      <c r="N299" s="36">
        <v>0</v>
      </c>
      <c r="O299" s="36">
        <v>0</v>
      </c>
      <c r="P299" s="36">
        <v>0</v>
      </c>
      <c r="Q299" s="36">
        <f>Q298*1936.27</f>
        <v>0</v>
      </c>
      <c r="R299" s="7"/>
      <c r="S299" s="7"/>
      <c r="T299" s="7"/>
      <c r="U299" s="7"/>
      <c r="V299" s="7"/>
      <c r="W299" s="7"/>
      <c r="X299" s="7"/>
      <c r="Y299" s="7"/>
      <c r="Z299" s="7"/>
    </row>
    <row r="300" spans="1:26" ht="12.75" customHeight="1" x14ac:dyDescent="0.2">
      <c r="A300" s="98">
        <v>34700</v>
      </c>
      <c r="B300" s="98">
        <v>35033</v>
      </c>
      <c r="C300" s="28" t="s">
        <v>36</v>
      </c>
      <c r="D300" s="29">
        <v>0</v>
      </c>
      <c r="E300" s="30">
        <v>0</v>
      </c>
      <c r="F300" s="30">
        <v>0</v>
      </c>
      <c r="G300" s="30">
        <v>0</v>
      </c>
      <c r="H300" s="30">
        <v>0</v>
      </c>
      <c r="I300" s="30">
        <v>0</v>
      </c>
      <c r="J300" s="30">
        <v>0</v>
      </c>
      <c r="K300" s="31">
        <v>0</v>
      </c>
      <c r="L300" s="120">
        <v>0</v>
      </c>
      <c r="M300" s="33"/>
      <c r="N300" s="30">
        <v>0</v>
      </c>
      <c r="O300" s="30">
        <v>0</v>
      </c>
      <c r="P300" s="30"/>
      <c r="Q300" s="30">
        <f>(N300+O300*0.18+J300)+(IF((P300-O300*0.18)&gt;0,(P300-O300*0.18),0))</f>
        <v>0</v>
      </c>
      <c r="R300" s="7"/>
      <c r="S300" s="7"/>
      <c r="T300" s="7"/>
      <c r="U300" s="7"/>
      <c r="V300" s="7"/>
      <c r="W300" s="7"/>
      <c r="X300" s="7"/>
      <c r="Y300" s="7"/>
      <c r="Z300" s="7"/>
    </row>
    <row r="301" spans="1:26" ht="9" customHeight="1" x14ac:dyDescent="0.2">
      <c r="A301" s="95"/>
      <c r="B301" s="95"/>
      <c r="C301" s="34" t="s">
        <v>37</v>
      </c>
      <c r="D301" s="35">
        <v>0</v>
      </c>
      <c r="E301" s="36">
        <v>0</v>
      </c>
      <c r="F301" s="36">
        <v>0</v>
      </c>
      <c r="G301" s="36">
        <v>0</v>
      </c>
      <c r="H301" s="36">
        <v>0</v>
      </c>
      <c r="I301" s="36">
        <v>0</v>
      </c>
      <c r="J301" s="37">
        <v>0</v>
      </c>
      <c r="K301" s="36">
        <v>0</v>
      </c>
      <c r="L301" s="121">
        <v>0</v>
      </c>
      <c r="M301" s="39"/>
      <c r="N301" s="36">
        <v>0</v>
      </c>
      <c r="O301" s="36">
        <v>0</v>
      </c>
      <c r="P301" s="36">
        <v>0</v>
      </c>
      <c r="Q301" s="36">
        <f>Q300*1936.27</f>
        <v>0</v>
      </c>
      <c r="R301" s="7"/>
      <c r="S301" s="7"/>
      <c r="T301" s="7"/>
      <c r="U301" s="7"/>
      <c r="V301" s="7"/>
      <c r="W301" s="7"/>
      <c r="X301" s="7"/>
      <c r="Y301" s="7"/>
      <c r="Z301" s="7"/>
    </row>
    <row r="302" spans="1:26" ht="12.75" customHeight="1" x14ac:dyDescent="0.2">
      <c r="A302" s="155">
        <v>34700</v>
      </c>
      <c r="B302" s="155">
        <v>35033</v>
      </c>
      <c r="C302" s="40" t="s">
        <v>36</v>
      </c>
      <c r="D302" s="41">
        <v>1</v>
      </c>
      <c r="E302" s="42">
        <v>0</v>
      </c>
      <c r="F302" s="42">
        <v>0</v>
      </c>
      <c r="G302" s="42">
        <v>0</v>
      </c>
      <c r="H302" s="42">
        <v>0</v>
      </c>
      <c r="I302" s="42">
        <v>0</v>
      </c>
      <c r="J302" s="42">
        <v>0</v>
      </c>
      <c r="K302" s="43">
        <v>0</v>
      </c>
      <c r="L302" s="122">
        <v>0</v>
      </c>
      <c r="M302" s="33"/>
      <c r="N302" s="30">
        <v>0</v>
      </c>
      <c r="O302" s="30">
        <v>0</v>
      </c>
      <c r="P302" s="30"/>
      <c r="Q302" s="30">
        <f>(N302+O302*0.18+J302)+(IF((P302-O302*0.18)&gt;0,(P302-O302*0.18),0))</f>
        <v>0</v>
      </c>
      <c r="R302" s="7"/>
      <c r="S302" s="7"/>
      <c r="T302" s="7"/>
      <c r="U302" s="7"/>
      <c r="V302" s="7"/>
      <c r="W302" s="7"/>
      <c r="X302" s="7"/>
      <c r="Y302" s="7"/>
      <c r="Z302" s="7"/>
    </row>
    <row r="303" spans="1:26" ht="9" customHeight="1" x14ac:dyDescent="0.2">
      <c r="A303" s="95"/>
      <c r="B303" s="95"/>
      <c r="C303" s="34" t="s">
        <v>37</v>
      </c>
      <c r="D303" s="35">
        <v>2</v>
      </c>
      <c r="E303" s="36">
        <v>0</v>
      </c>
      <c r="F303" s="36">
        <v>0</v>
      </c>
      <c r="G303" s="36">
        <v>0</v>
      </c>
      <c r="H303" s="36">
        <v>0</v>
      </c>
      <c r="I303" s="36">
        <v>0</v>
      </c>
      <c r="J303" s="37">
        <v>0</v>
      </c>
      <c r="K303" s="36">
        <v>0</v>
      </c>
      <c r="L303" s="121">
        <v>0</v>
      </c>
      <c r="M303" s="39"/>
      <c r="N303" s="36">
        <v>0</v>
      </c>
      <c r="O303" s="36">
        <v>0</v>
      </c>
      <c r="P303" s="36">
        <v>0</v>
      </c>
      <c r="Q303" s="36">
        <f>Q302*1936.27</f>
        <v>0</v>
      </c>
      <c r="R303" s="7"/>
      <c r="S303" s="7"/>
      <c r="T303" s="7"/>
      <c r="U303" s="7"/>
      <c r="V303" s="7"/>
      <c r="W303" s="7"/>
      <c r="X303" s="7"/>
      <c r="Y303" s="7"/>
      <c r="Z303" s="7"/>
    </row>
    <row r="304" spans="1:26" ht="12.75" customHeight="1" x14ac:dyDescent="0.2">
      <c r="A304" s="95"/>
      <c r="B304" s="95"/>
      <c r="C304" s="40" t="s">
        <v>36</v>
      </c>
      <c r="D304" s="41">
        <v>3</v>
      </c>
      <c r="E304" s="42">
        <v>0</v>
      </c>
      <c r="F304" s="42">
        <v>0</v>
      </c>
      <c r="G304" s="42">
        <v>0</v>
      </c>
      <c r="H304" s="42">
        <v>0</v>
      </c>
      <c r="I304" s="42">
        <v>0</v>
      </c>
      <c r="J304" s="42">
        <v>0</v>
      </c>
      <c r="K304" s="43">
        <v>0</v>
      </c>
      <c r="L304" s="122">
        <v>0</v>
      </c>
      <c r="M304" s="33"/>
      <c r="N304" s="30">
        <v>0</v>
      </c>
      <c r="O304" s="30">
        <v>0</v>
      </c>
      <c r="P304" s="30"/>
      <c r="Q304" s="30">
        <f>(N304+O304*0.18+J304)+(IF((P304-O304*0.18)&gt;0,(P304-O304*0.18),0))</f>
        <v>0</v>
      </c>
      <c r="R304" s="7"/>
      <c r="S304" s="7"/>
      <c r="T304" s="7"/>
      <c r="U304" s="7"/>
      <c r="V304" s="7"/>
      <c r="W304" s="7"/>
      <c r="X304" s="7"/>
      <c r="Y304" s="7"/>
      <c r="Z304" s="7"/>
    </row>
    <row r="305" spans="1:26" ht="9" customHeight="1" x14ac:dyDescent="0.2">
      <c r="A305" s="95"/>
      <c r="B305" s="95"/>
      <c r="C305" s="34" t="s">
        <v>37</v>
      </c>
      <c r="D305" s="35">
        <v>4</v>
      </c>
      <c r="E305" s="36">
        <v>0</v>
      </c>
      <c r="F305" s="36">
        <v>0</v>
      </c>
      <c r="G305" s="36">
        <v>0</v>
      </c>
      <c r="H305" s="36">
        <v>0</v>
      </c>
      <c r="I305" s="36">
        <v>0</v>
      </c>
      <c r="J305" s="37">
        <v>0</v>
      </c>
      <c r="K305" s="36">
        <v>0</v>
      </c>
      <c r="L305" s="121">
        <v>0</v>
      </c>
      <c r="M305" s="39"/>
      <c r="N305" s="36">
        <v>0</v>
      </c>
      <c r="O305" s="36">
        <v>0</v>
      </c>
      <c r="P305" s="36">
        <v>0</v>
      </c>
      <c r="Q305" s="36">
        <f>Q304*1936.27</f>
        <v>0</v>
      </c>
      <c r="R305" s="7"/>
      <c r="S305" s="7"/>
      <c r="T305" s="7"/>
      <c r="U305" s="7"/>
      <c r="V305" s="7"/>
      <c r="W305" s="7"/>
      <c r="X305" s="7"/>
      <c r="Y305" s="7"/>
      <c r="Z305" s="7"/>
    </row>
    <row r="306" spans="1:26" ht="12.75" customHeight="1" x14ac:dyDescent="0.2">
      <c r="A306" s="95"/>
      <c r="B306" s="95"/>
      <c r="C306" s="40" t="s">
        <v>36</v>
      </c>
      <c r="D306" s="41">
        <v>5</v>
      </c>
      <c r="E306" s="42">
        <v>0</v>
      </c>
      <c r="F306" s="42">
        <v>0</v>
      </c>
      <c r="G306" s="42">
        <v>0</v>
      </c>
      <c r="H306" s="42">
        <v>0</v>
      </c>
      <c r="I306" s="42">
        <v>0</v>
      </c>
      <c r="J306" s="42">
        <v>0</v>
      </c>
      <c r="K306" s="43">
        <v>0</v>
      </c>
      <c r="L306" s="122">
        <v>0</v>
      </c>
      <c r="M306" s="33"/>
      <c r="N306" s="30">
        <v>0</v>
      </c>
      <c r="O306" s="30">
        <v>0</v>
      </c>
      <c r="P306" s="30"/>
      <c r="Q306" s="30">
        <f>(N306+O306*0.18+J306)+(IF((P306-O306*0.18)&gt;0,(P306-O306*0.18),0))</f>
        <v>0</v>
      </c>
      <c r="R306" s="7"/>
      <c r="S306" s="7"/>
      <c r="T306" s="7"/>
      <c r="U306" s="7"/>
      <c r="V306" s="7"/>
      <c r="W306" s="7"/>
      <c r="X306" s="7"/>
      <c r="Y306" s="7"/>
      <c r="Z306" s="7"/>
    </row>
    <row r="307" spans="1:26" ht="9" customHeight="1" x14ac:dyDescent="0.2">
      <c r="A307" s="95"/>
      <c r="B307" s="95"/>
      <c r="C307" s="34" t="s">
        <v>37</v>
      </c>
      <c r="D307" s="35">
        <v>6</v>
      </c>
      <c r="E307" s="36">
        <v>0</v>
      </c>
      <c r="F307" s="36">
        <v>0</v>
      </c>
      <c r="G307" s="36">
        <v>0</v>
      </c>
      <c r="H307" s="36">
        <v>0</v>
      </c>
      <c r="I307" s="36">
        <v>0</v>
      </c>
      <c r="J307" s="37">
        <v>0</v>
      </c>
      <c r="K307" s="36">
        <v>0</v>
      </c>
      <c r="L307" s="121">
        <v>0</v>
      </c>
      <c r="M307" s="39"/>
      <c r="N307" s="36">
        <v>0</v>
      </c>
      <c r="O307" s="36">
        <v>0</v>
      </c>
      <c r="P307" s="36">
        <v>0</v>
      </c>
      <c r="Q307" s="36">
        <f>Q306*1936.27</f>
        <v>0</v>
      </c>
      <c r="R307" s="7"/>
      <c r="S307" s="7"/>
      <c r="T307" s="7"/>
      <c r="U307" s="7"/>
      <c r="V307" s="7"/>
      <c r="W307" s="7"/>
      <c r="X307" s="7"/>
      <c r="Y307" s="7"/>
      <c r="Z307" s="7"/>
    </row>
    <row r="308" spans="1:26" ht="12.75" customHeight="1" x14ac:dyDescent="0.2">
      <c r="A308" s="95"/>
      <c r="B308" s="95"/>
      <c r="C308" s="40" t="s">
        <v>36</v>
      </c>
      <c r="D308" s="41">
        <v>7</v>
      </c>
      <c r="E308" s="42">
        <v>0</v>
      </c>
      <c r="F308" s="42">
        <v>0</v>
      </c>
      <c r="G308" s="42">
        <v>0</v>
      </c>
      <c r="H308" s="42">
        <v>0</v>
      </c>
      <c r="I308" s="42">
        <v>0</v>
      </c>
      <c r="J308" s="42">
        <v>0</v>
      </c>
      <c r="K308" s="43">
        <v>0</v>
      </c>
      <c r="L308" s="122">
        <v>0</v>
      </c>
      <c r="M308" s="33"/>
      <c r="N308" s="30">
        <v>0</v>
      </c>
      <c r="O308" s="30">
        <v>0</v>
      </c>
      <c r="P308" s="30"/>
      <c r="Q308" s="30">
        <f>(N308+O308*0.18+J308)+(IF((P308-O308*0.18)&gt;0,(P308-O308*0.18),0))</f>
        <v>0</v>
      </c>
      <c r="R308" s="7"/>
      <c r="S308" s="7"/>
      <c r="T308" s="7"/>
      <c r="U308" s="7"/>
      <c r="V308" s="7"/>
      <c r="W308" s="7"/>
      <c r="X308" s="7"/>
      <c r="Y308" s="7"/>
      <c r="Z308" s="7"/>
    </row>
    <row r="309" spans="1:26" ht="9" customHeight="1" x14ac:dyDescent="0.2">
      <c r="A309" s="95"/>
      <c r="B309" s="95"/>
      <c r="C309" s="34" t="s">
        <v>37</v>
      </c>
      <c r="D309" s="35">
        <v>8</v>
      </c>
      <c r="E309" s="36">
        <v>0</v>
      </c>
      <c r="F309" s="36">
        <v>0</v>
      </c>
      <c r="G309" s="36">
        <v>0</v>
      </c>
      <c r="H309" s="36">
        <v>0</v>
      </c>
      <c r="I309" s="36">
        <v>0</v>
      </c>
      <c r="J309" s="37">
        <v>0</v>
      </c>
      <c r="K309" s="36">
        <v>0</v>
      </c>
      <c r="L309" s="121">
        <v>0</v>
      </c>
      <c r="M309" s="39"/>
      <c r="N309" s="36">
        <v>0</v>
      </c>
      <c r="O309" s="36">
        <v>0</v>
      </c>
      <c r="P309" s="36">
        <v>0</v>
      </c>
      <c r="Q309" s="36">
        <f>Q308*1936.27</f>
        <v>0</v>
      </c>
      <c r="R309" s="7"/>
      <c r="S309" s="7"/>
      <c r="T309" s="7"/>
      <c r="U309" s="7"/>
      <c r="V309" s="7"/>
      <c r="W309" s="7"/>
      <c r="X309" s="7"/>
      <c r="Y309" s="7"/>
      <c r="Z309" s="7"/>
    </row>
    <row r="310" spans="1:26" ht="12.75" customHeight="1" x14ac:dyDescent="0.2">
      <c r="A310" s="95"/>
      <c r="B310" s="95"/>
      <c r="C310" s="40" t="s">
        <v>36</v>
      </c>
      <c r="D310" s="41">
        <v>9</v>
      </c>
      <c r="E310" s="42">
        <v>0</v>
      </c>
      <c r="F310" s="42">
        <v>0</v>
      </c>
      <c r="G310" s="42">
        <v>0</v>
      </c>
      <c r="H310" s="42">
        <v>0</v>
      </c>
      <c r="I310" s="42">
        <v>0</v>
      </c>
      <c r="J310" s="42">
        <v>0</v>
      </c>
      <c r="K310" s="43">
        <v>0</v>
      </c>
      <c r="L310" s="122">
        <v>0</v>
      </c>
      <c r="M310" s="33"/>
      <c r="N310" s="30">
        <v>0</v>
      </c>
      <c r="O310" s="30">
        <v>0</v>
      </c>
      <c r="P310" s="30"/>
      <c r="Q310" s="30">
        <f>(N310+O310*0.18+J310)+(IF((P310-O310*0.18)&gt;0,(P310-O310*0.18),0))</f>
        <v>0</v>
      </c>
      <c r="R310" s="7"/>
      <c r="S310" s="7"/>
      <c r="T310" s="7"/>
      <c r="U310" s="7"/>
      <c r="V310" s="7"/>
      <c r="W310" s="7"/>
      <c r="X310" s="7"/>
      <c r="Y310" s="7"/>
      <c r="Z310" s="7"/>
    </row>
    <row r="311" spans="1:26" ht="9" customHeight="1" x14ac:dyDescent="0.2">
      <c r="A311" s="95"/>
      <c r="B311" s="95"/>
      <c r="C311" s="34" t="s">
        <v>37</v>
      </c>
      <c r="D311" s="35">
        <v>10</v>
      </c>
      <c r="E311" s="36">
        <v>0</v>
      </c>
      <c r="F311" s="36">
        <v>0</v>
      </c>
      <c r="G311" s="36">
        <v>0</v>
      </c>
      <c r="H311" s="36">
        <v>0</v>
      </c>
      <c r="I311" s="36">
        <v>0</v>
      </c>
      <c r="J311" s="37">
        <v>0</v>
      </c>
      <c r="K311" s="36">
        <v>0</v>
      </c>
      <c r="L311" s="121">
        <v>0</v>
      </c>
      <c r="M311" s="39"/>
      <c r="N311" s="36">
        <v>0</v>
      </c>
      <c r="O311" s="36">
        <v>0</v>
      </c>
      <c r="P311" s="36">
        <v>0</v>
      </c>
      <c r="Q311" s="36">
        <f>Q310*1936.27</f>
        <v>0</v>
      </c>
      <c r="R311" s="7"/>
      <c r="S311" s="7"/>
      <c r="T311" s="7"/>
      <c r="U311" s="7"/>
      <c r="V311" s="7"/>
      <c r="W311" s="7"/>
      <c r="X311" s="7"/>
      <c r="Y311" s="7"/>
      <c r="Z311" s="7"/>
    </row>
    <row r="312" spans="1:26" ht="12.75" customHeight="1" x14ac:dyDescent="0.2">
      <c r="A312" s="95"/>
      <c r="B312" s="95"/>
      <c r="C312" s="40" t="s">
        <v>36</v>
      </c>
      <c r="D312" s="41">
        <v>11</v>
      </c>
      <c r="E312" s="42">
        <v>0</v>
      </c>
      <c r="F312" s="42">
        <v>0</v>
      </c>
      <c r="G312" s="42">
        <v>0</v>
      </c>
      <c r="H312" s="42">
        <v>0</v>
      </c>
      <c r="I312" s="42">
        <v>0</v>
      </c>
      <c r="J312" s="42">
        <v>0</v>
      </c>
      <c r="K312" s="43">
        <v>0</v>
      </c>
      <c r="L312" s="122">
        <v>0</v>
      </c>
      <c r="M312" s="33"/>
      <c r="N312" s="30">
        <v>0</v>
      </c>
      <c r="O312" s="30">
        <v>0</v>
      </c>
      <c r="P312" s="30"/>
      <c r="Q312" s="30">
        <f>(N312+O312*0.18+J312)+(IF((P312-O312*0.18)&gt;0,(P312-O312*0.18),0))</f>
        <v>0</v>
      </c>
      <c r="R312" s="7"/>
      <c r="S312" s="7"/>
      <c r="T312" s="7"/>
      <c r="U312" s="7"/>
      <c r="V312" s="7"/>
      <c r="W312" s="7"/>
      <c r="X312" s="7"/>
      <c r="Y312" s="7"/>
      <c r="Z312" s="7"/>
    </row>
    <row r="313" spans="1:26" ht="9" customHeight="1" x14ac:dyDescent="0.2">
      <c r="A313" s="95"/>
      <c r="B313" s="95"/>
      <c r="C313" s="34" t="s">
        <v>37</v>
      </c>
      <c r="D313" s="35">
        <v>12</v>
      </c>
      <c r="E313" s="36">
        <v>0</v>
      </c>
      <c r="F313" s="36">
        <v>0</v>
      </c>
      <c r="G313" s="36">
        <v>0</v>
      </c>
      <c r="H313" s="36">
        <v>0</v>
      </c>
      <c r="I313" s="36">
        <v>0</v>
      </c>
      <c r="J313" s="37">
        <v>0</v>
      </c>
      <c r="K313" s="36">
        <v>0</v>
      </c>
      <c r="L313" s="121">
        <v>0</v>
      </c>
      <c r="M313" s="39"/>
      <c r="N313" s="36">
        <v>0</v>
      </c>
      <c r="O313" s="36">
        <v>0</v>
      </c>
      <c r="P313" s="36">
        <v>0</v>
      </c>
      <c r="Q313" s="36">
        <f>Q312*1936.27</f>
        <v>0</v>
      </c>
      <c r="R313" s="7"/>
      <c r="S313" s="7"/>
      <c r="T313" s="7"/>
      <c r="U313" s="7"/>
      <c r="V313" s="7"/>
      <c r="W313" s="7"/>
      <c r="X313" s="7"/>
      <c r="Y313" s="7"/>
      <c r="Z313" s="7"/>
    </row>
    <row r="314" spans="1:26" ht="12.75" customHeight="1" x14ac:dyDescent="0.2">
      <c r="A314" s="95"/>
      <c r="B314" s="95"/>
      <c r="C314" s="40" t="s">
        <v>36</v>
      </c>
      <c r="D314" s="41">
        <v>13</v>
      </c>
      <c r="E314" s="42">
        <v>0</v>
      </c>
      <c r="F314" s="42">
        <v>0</v>
      </c>
      <c r="G314" s="42">
        <v>0</v>
      </c>
      <c r="H314" s="42">
        <v>0</v>
      </c>
      <c r="I314" s="42">
        <v>0</v>
      </c>
      <c r="J314" s="42">
        <v>0</v>
      </c>
      <c r="K314" s="43">
        <v>0</v>
      </c>
      <c r="L314" s="122">
        <v>0</v>
      </c>
      <c r="M314" s="33"/>
      <c r="N314" s="30">
        <v>0</v>
      </c>
      <c r="O314" s="30">
        <v>0</v>
      </c>
      <c r="P314" s="30"/>
      <c r="Q314" s="30">
        <f>(N314+O314*0.18+J314)+(IF((P314-O314*0.18)&gt;0,(P314-O314*0.18),0))</f>
        <v>0</v>
      </c>
      <c r="R314" s="7"/>
      <c r="S314" s="7"/>
      <c r="T314" s="7"/>
      <c r="U314" s="7"/>
      <c r="V314" s="7"/>
      <c r="W314" s="7"/>
      <c r="X314" s="7"/>
      <c r="Y314" s="7"/>
      <c r="Z314" s="7"/>
    </row>
    <row r="315" spans="1:26" ht="9" customHeight="1" x14ac:dyDescent="0.2">
      <c r="A315" s="95"/>
      <c r="B315" s="95"/>
      <c r="C315" s="34" t="s">
        <v>37</v>
      </c>
      <c r="D315" s="35">
        <v>14</v>
      </c>
      <c r="E315" s="36">
        <v>0</v>
      </c>
      <c r="F315" s="36">
        <v>0</v>
      </c>
      <c r="G315" s="36">
        <v>0</v>
      </c>
      <c r="H315" s="36">
        <v>0</v>
      </c>
      <c r="I315" s="36">
        <v>0</v>
      </c>
      <c r="J315" s="37">
        <v>0</v>
      </c>
      <c r="K315" s="36">
        <v>0</v>
      </c>
      <c r="L315" s="121">
        <v>0</v>
      </c>
      <c r="M315" s="39"/>
      <c r="N315" s="36">
        <v>0</v>
      </c>
      <c r="O315" s="36">
        <v>0</v>
      </c>
      <c r="P315" s="36">
        <v>0</v>
      </c>
      <c r="Q315" s="36">
        <f>Q314*1936.27</f>
        <v>0</v>
      </c>
      <c r="R315" s="7"/>
      <c r="S315" s="7"/>
      <c r="T315" s="7"/>
      <c r="U315" s="7"/>
      <c r="V315" s="7"/>
      <c r="W315" s="7"/>
      <c r="X315" s="7"/>
      <c r="Y315" s="7"/>
      <c r="Z315" s="7"/>
    </row>
    <row r="316" spans="1:26" ht="12.75" customHeight="1" x14ac:dyDescent="0.2">
      <c r="A316" s="95"/>
      <c r="B316" s="95"/>
      <c r="C316" s="40" t="s">
        <v>36</v>
      </c>
      <c r="D316" s="41">
        <v>15</v>
      </c>
      <c r="E316" s="42">
        <v>0</v>
      </c>
      <c r="F316" s="42">
        <v>0</v>
      </c>
      <c r="G316" s="42">
        <v>0</v>
      </c>
      <c r="H316" s="42">
        <v>0</v>
      </c>
      <c r="I316" s="42">
        <v>0</v>
      </c>
      <c r="J316" s="42">
        <v>0</v>
      </c>
      <c r="K316" s="43">
        <v>0</v>
      </c>
      <c r="L316" s="122">
        <v>0</v>
      </c>
      <c r="M316" s="33"/>
      <c r="N316" s="30">
        <v>0</v>
      </c>
      <c r="O316" s="30">
        <v>0</v>
      </c>
      <c r="P316" s="30"/>
      <c r="Q316" s="30">
        <f>(N316+O316*0.18+J316)+(IF((P316-O316*0.18)&gt;0,(P316-O316*0.18),0))</f>
        <v>0</v>
      </c>
      <c r="R316" s="7"/>
      <c r="S316" s="7"/>
      <c r="T316" s="7"/>
      <c r="U316" s="7"/>
      <c r="V316" s="7"/>
      <c r="W316" s="7"/>
      <c r="X316" s="7"/>
      <c r="Y316" s="7"/>
      <c r="Z316" s="7"/>
    </row>
    <row r="317" spans="1:26" ht="9" customHeight="1" x14ac:dyDescent="0.2">
      <c r="A317" s="95"/>
      <c r="B317" s="95"/>
      <c r="C317" s="34" t="s">
        <v>37</v>
      </c>
      <c r="D317" s="35">
        <v>16</v>
      </c>
      <c r="E317" s="36">
        <v>0</v>
      </c>
      <c r="F317" s="36">
        <v>0</v>
      </c>
      <c r="G317" s="36">
        <v>0</v>
      </c>
      <c r="H317" s="36">
        <v>0</v>
      </c>
      <c r="I317" s="36">
        <v>0</v>
      </c>
      <c r="J317" s="37">
        <v>0</v>
      </c>
      <c r="K317" s="36">
        <v>0</v>
      </c>
      <c r="L317" s="121">
        <v>0</v>
      </c>
      <c r="M317" s="39"/>
      <c r="N317" s="36">
        <v>0</v>
      </c>
      <c r="O317" s="36">
        <v>0</v>
      </c>
      <c r="P317" s="36">
        <v>0</v>
      </c>
      <c r="Q317" s="36">
        <f>Q316*1936.27</f>
        <v>0</v>
      </c>
      <c r="R317" s="7"/>
      <c r="S317" s="7"/>
      <c r="T317" s="7"/>
      <c r="U317" s="7"/>
      <c r="V317" s="7"/>
      <c r="W317" s="7"/>
      <c r="X317" s="7"/>
      <c r="Y317" s="7"/>
      <c r="Z317" s="7"/>
    </row>
    <row r="318" spans="1:26" ht="12.75" customHeight="1" x14ac:dyDescent="0.2">
      <c r="A318" s="95"/>
      <c r="B318" s="95"/>
      <c r="C318" s="40" t="s">
        <v>36</v>
      </c>
      <c r="D318" s="41">
        <v>17</v>
      </c>
      <c r="E318" s="42">
        <v>0</v>
      </c>
      <c r="F318" s="42">
        <v>0</v>
      </c>
      <c r="G318" s="42">
        <v>0</v>
      </c>
      <c r="H318" s="42">
        <v>0</v>
      </c>
      <c r="I318" s="42">
        <v>0</v>
      </c>
      <c r="J318" s="42">
        <v>0</v>
      </c>
      <c r="K318" s="43">
        <v>0</v>
      </c>
      <c r="L318" s="122">
        <v>0</v>
      </c>
      <c r="M318" s="33"/>
      <c r="N318" s="30">
        <v>0</v>
      </c>
      <c r="O318" s="30">
        <v>0</v>
      </c>
      <c r="P318" s="30"/>
      <c r="Q318" s="30">
        <f>(N318+O318*0.18+J318)+(IF((P318-O318*0.18)&gt;0,(P318-O318*0.18),0))</f>
        <v>0</v>
      </c>
      <c r="R318" s="7"/>
      <c r="S318" s="7"/>
      <c r="T318" s="7"/>
      <c r="U318" s="7"/>
      <c r="V318" s="7"/>
      <c r="W318" s="7"/>
      <c r="X318" s="7"/>
      <c r="Y318" s="7"/>
      <c r="Z318" s="7"/>
    </row>
    <row r="319" spans="1:26" ht="9" customHeight="1" x14ac:dyDescent="0.2">
      <c r="A319" s="95"/>
      <c r="B319" s="95"/>
      <c r="C319" s="34" t="s">
        <v>37</v>
      </c>
      <c r="D319" s="35">
        <v>17</v>
      </c>
      <c r="E319" s="36">
        <v>0</v>
      </c>
      <c r="F319" s="36">
        <v>0</v>
      </c>
      <c r="G319" s="36">
        <v>0</v>
      </c>
      <c r="H319" s="36">
        <v>0</v>
      </c>
      <c r="I319" s="36">
        <v>0</v>
      </c>
      <c r="J319" s="37">
        <v>0</v>
      </c>
      <c r="K319" s="36">
        <v>0</v>
      </c>
      <c r="L319" s="121">
        <v>0</v>
      </c>
      <c r="M319" s="39"/>
      <c r="N319" s="36">
        <v>0</v>
      </c>
      <c r="O319" s="36">
        <v>0</v>
      </c>
      <c r="P319" s="36">
        <v>0</v>
      </c>
      <c r="Q319" s="36">
        <f>Q318*1936.27</f>
        <v>0</v>
      </c>
      <c r="R319" s="7"/>
      <c r="S319" s="7"/>
      <c r="T319" s="7"/>
      <c r="U319" s="7"/>
      <c r="V319" s="7"/>
      <c r="W319" s="7"/>
      <c r="X319" s="7"/>
      <c r="Y319" s="7"/>
      <c r="Z319" s="7"/>
    </row>
    <row r="320" spans="1:26" ht="12.75" customHeight="1" x14ac:dyDescent="0.2">
      <c r="A320" s="95"/>
      <c r="B320" s="95"/>
      <c r="C320" s="40" t="s">
        <v>36</v>
      </c>
      <c r="D320" s="41">
        <v>18</v>
      </c>
      <c r="E320" s="42">
        <v>0</v>
      </c>
      <c r="F320" s="42">
        <v>0</v>
      </c>
      <c r="G320" s="42">
        <v>0</v>
      </c>
      <c r="H320" s="42">
        <v>0</v>
      </c>
      <c r="I320" s="42">
        <v>0</v>
      </c>
      <c r="J320" s="42">
        <v>0</v>
      </c>
      <c r="K320" s="43">
        <v>0</v>
      </c>
      <c r="L320" s="122">
        <v>0</v>
      </c>
      <c r="M320" s="33"/>
      <c r="N320" s="30">
        <v>0</v>
      </c>
      <c r="O320" s="30">
        <v>0</v>
      </c>
      <c r="P320" s="30"/>
      <c r="Q320" s="30">
        <f>(N320+O320*0.18+J320)+(IF((P320-O320*0.18)&gt;0,(P320-O320*0.18),0))</f>
        <v>0</v>
      </c>
      <c r="R320" s="7"/>
      <c r="S320" s="7"/>
      <c r="T320" s="7"/>
      <c r="U320" s="7"/>
      <c r="V320" s="7"/>
      <c r="W320" s="7"/>
      <c r="X320" s="7"/>
      <c r="Y320" s="7"/>
      <c r="Z320" s="7"/>
    </row>
    <row r="321" spans="1:26" ht="9" customHeight="1" x14ac:dyDescent="0.2">
      <c r="A321" s="95"/>
      <c r="B321" s="95"/>
      <c r="C321" s="34" t="s">
        <v>37</v>
      </c>
      <c r="D321" s="35">
        <v>19</v>
      </c>
      <c r="E321" s="36">
        <v>0</v>
      </c>
      <c r="F321" s="36">
        <v>0</v>
      </c>
      <c r="G321" s="36">
        <v>0</v>
      </c>
      <c r="H321" s="36">
        <v>0</v>
      </c>
      <c r="I321" s="36">
        <v>0</v>
      </c>
      <c r="J321" s="37">
        <v>0</v>
      </c>
      <c r="K321" s="36">
        <v>0</v>
      </c>
      <c r="L321" s="121">
        <v>0</v>
      </c>
      <c r="M321" s="39"/>
      <c r="N321" s="36">
        <v>0</v>
      </c>
      <c r="O321" s="36">
        <v>0</v>
      </c>
      <c r="P321" s="36">
        <v>0</v>
      </c>
      <c r="Q321" s="36">
        <f>Q320*1936.27</f>
        <v>0</v>
      </c>
      <c r="R321" s="7"/>
      <c r="S321" s="7"/>
      <c r="T321" s="7"/>
      <c r="U321" s="7"/>
      <c r="V321" s="7"/>
      <c r="W321" s="7"/>
      <c r="X321" s="7"/>
      <c r="Y321" s="7"/>
      <c r="Z321" s="7"/>
    </row>
    <row r="322" spans="1:26" ht="12.75" customHeight="1" x14ac:dyDescent="0.2">
      <c r="A322" s="95"/>
      <c r="B322" s="95"/>
      <c r="C322" s="40" t="s">
        <v>36</v>
      </c>
      <c r="D322" s="41">
        <v>20</v>
      </c>
      <c r="E322" s="42">
        <v>0</v>
      </c>
      <c r="F322" s="42">
        <v>0</v>
      </c>
      <c r="G322" s="42">
        <v>0</v>
      </c>
      <c r="H322" s="42">
        <v>0</v>
      </c>
      <c r="I322" s="42">
        <v>0</v>
      </c>
      <c r="J322" s="42">
        <v>0</v>
      </c>
      <c r="K322" s="43">
        <v>0</v>
      </c>
      <c r="L322" s="122">
        <v>0</v>
      </c>
      <c r="M322" s="33"/>
      <c r="N322" s="30">
        <v>0</v>
      </c>
      <c r="O322" s="30">
        <v>0</v>
      </c>
      <c r="P322" s="30"/>
      <c r="Q322" s="30">
        <f>(N322+O322*0.18+J322)+(IF((P322-O322*0.18)&gt;0,(P322-O322*0.18),0))</f>
        <v>0</v>
      </c>
      <c r="R322" s="7"/>
      <c r="S322" s="7"/>
      <c r="T322" s="7"/>
      <c r="U322" s="7"/>
      <c r="V322" s="7"/>
      <c r="W322" s="7"/>
      <c r="X322" s="7"/>
      <c r="Y322" s="7"/>
      <c r="Z322" s="7"/>
    </row>
    <row r="323" spans="1:26" ht="9" customHeight="1" x14ac:dyDescent="0.2">
      <c r="A323" s="95"/>
      <c r="B323" s="95"/>
      <c r="C323" s="34" t="s">
        <v>37</v>
      </c>
      <c r="D323" s="35">
        <v>21</v>
      </c>
      <c r="E323" s="36">
        <v>0</v>
      </c>
      <c r="F323" s="36">
        <v>0</v>
      </c>
      <c r="G323" s="36">
        <v>0</v>
      </c>
      <c r="H323" s="36">
        <v>0</v>
      </c>
      <c r="I323" s="36">
        <v>0</v>
      </c>
      <c r="J323" s="37">
        <v>0</v>
      </c>
      <c r="K323" s="36">
        <v>0</v>
      </c>
      <c r="L323" s="121">
        <v>0</v>
      </c>
      <c r="M323" s="39"/>
      <c r="N323" s="36">
        <v>0</v>
      </c>
      <c r="O323" s="36">
        <v>0</v>
      </c>
      <c r="P323" s="36">
        <v>0</v>
      </c>
      <c r="Q323" s="36">
        <f>Q322*1936.27</f>
        <v>0</v>
      </c>
      <c r="R323" s="7"/>
      <c r="S323" s="7"/>
      <c r="T323" s="7"/>
      <c r="U323" s="7"/>
      <c r="V323" s="7"/>
      <c r="W323" s="7"/>
      <c r="X323" s="7"/>
      <c r="Y323" s="7"/>
      <c r="Z323" s="7"/>
    </row>
    <row r="324" spans="1:26" ht="12.75" customHeight="1" x14ac:dyDescent="0.2">
      <c r="A324" s="95"/>
      <c r="B324" s="95"/>
      <c r="C324" s="40" t="s">
        <v>36</v>
      </c>
      <c r="D324" s="41">
        <v>22</v>
      </c>
      <c r="E324" s="42">
        <v>0</v>
      </c>
      <c r="F324" s="42">
        <v>0</v>
      </c>
      <c r="G324" s="42">
        <v>0</v>
      </c>
      <c r="H324" s="42">
        <v>0</v>
      </c>
      <c r="I324" s="42">
        <v>0</v>
      </c>
      <c r="J324" s="42">
        <v>0</v>
      </c>
      <c r="K324" s="43">
        <v>0</v>
      </c>
      <c r="L324" s="122">
        <v>0</v>
      </c>
      <c r="M324" s="33"/>
      <c r="N324" s="30">
        <v>0</v>
      </c>
      <c r="O324" s="30">
        <v>0</v>
      </c>
      <c r="P324" s="30"/>
      <c r="Q324" s="30">
        <f>(N324+O324*0.18+J324)+(IF((P324-O324*0.18)&gt;0,(P324-O324*0.18),0))</f>
        <v>0</v>
      </c>
      <c r="R324" s="7"/>
      <c r="S324" s="7"/>
      <c r="T324" s="7"/>
      <c r="U324" s="7"/>
      <c r="V324" s="7"/>
      <c r="W324" s="7"/>
      <c r="X324" s="7"/>
      <c r="Y324" s="7"/>
      <c r="Z324" s="7"/>
    </row>
    <row r="325" spans="1:26" ht="9" customHeight="1" x14ac:dyDescent="0.2">
      <c r="A325" s="95"/>
      <c r="B325" s="95"/>
      <c r="C325" s="34" t="s">
        <v>37</v>
      </c>
      <c r="D325" s="35">
        <v>23</v>
      </c>
      <c r="E325" s="36">
        <v>0</v>
      </c>
      <c r="F325" s="36">
        <v>0</v>
      </c>
      <c r="G325" s="36">
        <v>0</v>
      </c>
      <c r="H325" s="36">
        <v>0</v>
      </c>
      <c r="I325" s="36">
        <v>0</v>
      </c>
      <c r="J325" s="37">
        <v>0</v>
      </c>
      <c r="K325" s="36">
        <v>0</v>
      </c>
      <c r="L325" s="121">
        <v>0</v>
      </c>
      <c r="M325" s="39"/>
      <c r="N325" s="36">
        <v>0</v>
      </c>
      <c r="O325" s="36">
        <v>0</v>
      </c>
      <c r="P325" s="36">
        <v>0</v>
      </c>
      <c r="Q325" s="36">
        <f>Q324*1936.27</f>
        <v>0</v>
      </c>
      <c r="R325" s="7"/>
      <c r="S325" s="7"/>
      <c r="T325" s="7"/>
      <c r="U325" s="7"/>
      <c r="V325" s="7"/>
      <c r="W325" s="7"/>
      <c r="X325" s="7"/>
      <c r="Y325" s="7"/>
      <c r="Z325" s="7"/>
    </row>
    <row r="326" spans="1:26" ht="12.75" customHeight="1" x14ac:dyDescent="0.2">
      <c r="A326" s="95"/>
      <c r="B326" s="95"/>
      <c r="C326" s="40" t="s">
        <v>36</v>
      </c>
      <c r="D326" s="41">
        <v>24</v>
      </c>
      <c r="E326" s="42">
        <v>0</v>
      </c>
      <c r="F326" s="42">
        <v>0</v>
      </c>
      <c r="G326" s="42">
        <v>0</v>
      </c>
      <c r="H326" s="42">
        <v>0</v>
      </c>
      <c r="I326" s="42">
        <v>0</v>
      </c>
      <c r="J326" s="42">
        <v>0</v>
      </c>
      <c r="K326" s="43">
        <v>0</v>
      </c>
      <c r="L326" s="122">
        <v>0</v>
      </c>
      <c r="M326" s="33"/>
      <c r="N326" s="30">
        <v>0</v>
      </c>
      <c r="O326" s="30">
        <v>0</v>
      </c>
      <c r="P326" s="30"/>
      <c r="Q326" s="30">
        <f>(N326+O326*0.18+J326)+(IF((P326-O326*0.18)&gt;0,(P326-O326*0.18),0))</f>
        <v>0</v>
      </c>
      <c r="R326" s="7"/>
      <c r="S326" s="7"/>
      <c r="T326" s="7"/>
      <c r="U326" s="7"/>
      <c r="V326" s="7"/>
      <c r="W326" s="7"/>
      <c r="X326" s="7"/>
      <c r="Y326" s="7"/>
      <c r="Z326" s="7"/>
    </row>
    <row r="327" spans="1:26" ht="9" customHeight="1" x14ac:dyDescent="0.2">
      <c r="A327" s="95"/>
      <c r="B327" s="95"/>
      <c r="C327" s="34" t="s">
        <v>37</v>
      </c>
      <c r="D327" s="35">
        <v>25</v>
      </c>
      <c r="E327" s="36">
        <v>0</v>
      </c>
      <c r="F327" s="36">
        <v>0</v>
      </c>
      <c r="G327" s="36">
        <v>0</v>
      </c>
      <c r="H327" s="36">
        <v>0</v>
      </c>
      <c r="I327" s="36">
        <v>0</v>
      </c>
      <c r="J327" s="37">
        <v>0</v>
      </c>
      <c r="K327" s="36">
        <v>0</v>
      </c>
      <c r="L327" s="121">
        <v>0</v>
      </c>
      <c r="M327" s="39"/>
      <c r="N327" s="36">
        <v>0</v>
      </c>
      <c r="O327" s="36">
        <v>0</v>
      </c>
      <c r="P327" s="36">
        <v>0</v>
      </c>
      <c r="Q327" s="36">
        <f>Q326*1936.27</f>
        <v>0</v>
      </c>
      <c r="R327" s="7"/>
      <c r="S327" s="7"/>
      <c r="T327" s="7"/>
      <c r="U327" s="7"/>
      <c r="V327" s="7"/>
      <c r="W327" s="7"/>
      <c r="X327" s="7"/>
      <c r="Y327" s="7"/>
      <c r="Z327" s="7"/>
    </row>
    <row r="328" spans="1:26" ht="12.75" customHeight="1" x14ac:dyDescent="0.2">
      <c r="A328" s="95"/>
      <c r="B328" s="95"/>
      <c r="C328" s="40" t="s">
        <v>36</v>
      </c>
      <c r="D328" s="41">
        <v>26</v>
      </c>
      <c r="E328" s="42">
        <v>0</v>
      </c>
      <c r="F328" s="42">
        <v>0</v>
      </c>
      <c r="G328" s="42">
        <v>0</v>
      </c>
      <c r="H328" s="42">
        <v>0</v>
      </c>
      <c r="I328" s="42">
        <v>0</v>
      </c>
      <c r="J328" s="42">
        <v>0</v>
      </c>
      <c r="K328" s="43">
        <v>0</v>
      </c>
      <c r="L328" s="122">
        <v>0</v>
      </c>
      <c r="M328" s="33"/>
      <c r="N328" s="30">
        <v>0</v>
      </c>
      <c r="O328" s="30">
        <v>0</v>
      </c>
      <c r="P328" s="30"/>
      <c r="Q328" s="30">
        <f>(N328+O328*0.18+J328)+(IF((P328-O328*0.18)&gt;0,(P328-O328*0.18),0))</f>
        <v>0</v>
      </c>
      <c r="R328" s="7"/>
      <c r="S328" s="7"/>
      <c r="T328" s="7"/>
      <c r="U328" s="7"/>
      <c r="V328" s="7"/>
      <c r="W328" s="7"/>
      <c r="X328" s="7"/>
      <c r="Y328" s="7"/>
      <c r="Z328" s="7"/>
    </row>
    <row r="329" spans="1:26" ht="9" customHeight="1" x14ac:dyDescent="0.2">
      <c r="A329" s="95"/>
      <c r="B329" s="95"/>
      <c r="C329" s="34" t="s">
        <v>37</v>
      </c>
      <c r="D329" s="35">
        <v>27</v>
      </c>
      <c r="E329" s="36">
        <v>0</v>
      </c>
      <c r="F329" s="36">
        <v>0</v>
      </c>
      <c r="G329" s="36">
        <v>0</v>
      </c>
      <c r="H329" s="36">
        <v>0</v>
      </c>
      <c r="I329" s="36">
        <v>0</v>
      </c>
      <c r="J329" s="37">
        <v>0</v>
      </c>
      <c r="K329" s="36">
        <v>0</v>
      </c>
      <c r="L329" s="121">
        <v>0</v>
      </c>
      <c r="M329" s="39"/>
      <c r="N329" s="36">
        <v>0</v>
      </c>
      <c r="O329" s="36">
        <v>0</v>
      </c>
      <c r="P329" s="36">
        <v>0</v>
      </c>
      <c r="Q329" s="36">
        <f>Q328*1936.27</f>
        <v>0</v>
      </c>
      <c r="R329" s="7"/>
      <c r="S329" s="7"/>
      <c r="T329" s="7"/>
      <c r="U329" s="7"/>
      <c r="V329" s="7"/>
      <c r="W329" s="7"/>
      <c r="X329" s="7"/>
      <c r="Y329" s="7"/>
      <c r="Z329" s="7"/>
    </row>
    <row r="330" spans="1:26" ht="12.75" customHeight="1" x14ac:dyDescent="0.2">
      <c r="A330" s="95"/>
      <c r="B330" s="95"/>
      <c r="C330" s="40" t="s">
        <v>36</v>
      </c>
      <c r="D330" s="41">
        <v>28</v>
      </c>
      <c r="E330" s="42">
        <v>0</v>
      </c>
      <c r="F330" s="42">
        <v>0</v>
      </c>
      <c r="G330" s="42">
        <v>0</v>
      </c>
      <c r="H330" s="42">
        <v>0</v>
      </c>
      <c r="I330" s="42">
        <v>0</v>
      </c>
      <c r="J330" s="42">
        <v>0</v>
      </c>
      <c r="K330" s="43">
        <v>0</v>
      </c>
      <c r="L330" s="122">
        <v>0</v>
      </c>
      <c r="M330" s="33"/>
      <c r="N330" s="30">
        <v>0</v>
      </c>
      <c r="O330" s="30">
        <v>0</v>
      </c>
      <c r="P330" s="30"/>
      <c r="Q330" s="30">
        <f>(N330+O330*0.18+J330)+(IF((P330-O330*0.18)&gt;0,(P330-O330*0.18),0))</f>
        <v>0</v>
      </c>
      <c r="R330" s="7"/>
      <c r="S330" s="7"/>
      <c r="T330" s="7"/>
      <c r="U330" s="7"/>
      <c r="V330" s="7"/>
      <c r="W330" s="7"/>
      <c r="X330" s="7"/>
      <c r="Y330" s="7"/>
      <c r="Z330" s="7"/>
    </row>
    <row r="331" spans="1:26" ht="9" customHeight="1" x14ac:dyDescent="0.2">
      <c r="A331" s="95"/>
      <c r="B331" s="95"/>
      <c r="C331" s="34" t="s">
        <v>37</v>
      </c>
      <c r="D331" s="35">
        <v>29</v>
      </c>
      <c r="E331" s="36">
        <v>0</v>
      </c>
      <c r="F331" s="36">
        <v>0</v>
      </c>
      <c r="G331" s="36">
        <v>0</v>
      </c>
      <c r="H331" s="36">
        <v>0</v>
      </c>
      <c r="I331" s="36">
        <v>0</v>
      </c>
      <c r="J331" s="37">
        <v>0</v>
      </c>
      <c r="K331" s="36">
        <v>0</v>
      </c>
      <c r="L331" s="121">
        <v>0</v>
      </c>
      <c r="M331" s="39"/>
      <c r="N331" s="36">
        <v>0</v>
      </c>
      <c r="O331" s="36">
        <v>0</v>
      </c>
      <c r="P331" s="36">
        <v>0</v>
      </c>
      <c r="Q331" s="36">
        <f>Q330*1936.27</f>
        <v>0</v>
      </c>
      <c r="R331" s="7"/>
      <c r="S331" s="7"/>
      <c r="T331" s="7"/>
      <c r="U331" s="7"/>
      <c r="V331" s="7"/>
      <c r="W331" s="7"/>
      <c r="X331" s="7"/>
      <c r="Y331" s="7"/>
      <c r="Z331" s="7"/>
    </row>
    <row r="332" spans="1:26" ht="12.75" customHeight="1" x14ac:dyDescent="0.2">
      <c r="A332" s="95"/>
      <c r="B332" s="95"/>
      <c r="C332" s="40" t="s">
        <v>36</v>
      </c>
      <c r="D332" s="41">
        <v>30</v>
      </c>
      <c r="E332" s="42">
        <v>0</v>
      </c>
      <c r="F332" s="42">
        <v>0</v>
      </c>
      <c r="G332" s="42">
        <v>0</v>
      </c>
      <c r="H332" s="42">
        <v>0</v>
      </c>
      <c r="I332" s="42">
        <v>0</v>
      </c>
      <c r="J332" s="42">
        <v>0</v>
      </c>
      <c r="K332" s="43">
        <v>0</v>
      </c>
      <c r="L332" s="122">
        <v>0</v>
      </c>
      <c r="M332" s="33"/>
      <c r="N332" s="30">
        <v>0</v>
      </c>
      <c r="O332" s="30">
        <v>0</v>
      </c>
      <c r="P332" s="30"/>
      <c r="Q332" s="30">
        <f>(N332+O332*0.18+J332)+(IF((P332-O332*0.18)&gt;0,(P332-O332*0.18),0))</f>
        <v>0</v>
      </c>
      <c r="R332" s="7"/>
      <c r="S332" s="7"/>
      <c r="T332" s="7"/>
      <c r="U332" s="7"/>
      <c r="V332" s="7"/>
      <c r="W332" s="7"/>
      <c r="X332" s="7"/>
      <c r="Y332" s="7"/>
      <c r="Z332" s="7"/>
    </row>
    <row r="333" spans="1:26" ht="9" customHeight="1" x14ac:dyDescent="0.2">
      <c r="A333" s="95"/>
      <c r="B333" s="95"/>
      <c r="C333" s="34" t="s">
        <v>37</v>
      </c>
      <c r="D333" s="35">
        <v>33</v>
      </c>
      <c r="E333" s="36">
        <v>0</v>
      </c>
      <c r="F333" s="36">
        <v>0</v>
      </c>
      <c r="G333" s="36">
        <v>0</v>
      </c>
      <c r="H333" s="36">
        <v>0</v>
      </c>
      <c r="I333" s="36">
        <v>0</v>
      </c>
      <c r="J333" s="37">
        <v>0</v>
      </c>
      <c r="K333" s="36">
        <v>0</v>
      </c>
      <c r="L333" s="121">
        <v>0</v>
      </c>
      <c r="M333" s="39"/>
      <c r="N333" s="36">
        <v>0</v>
      </c>
      <c r="O333" s="36">
        <v>0</v>
      </c>
      <c r="P333" s="36">
        <v>0</v>
      </c>
      <c r="Q333" s="36">
        <f>Q332*1936.27</f>
        <v>0</v>
      </c>
      <c r="R333" s="7"/>
      <c r="S333" s="7"/>
      <c r="T333" s="7"/>
      <c r="U333" s="7"/>
      <c r="V333" s="7"/>
      <c r="W333" s="7"/>
      <c r="X333" s="7"/>
      <c r="Y333" s="7"/>
      <c r="Z333" s="7"/>
    </row>
    <row r="334" spans="1:26" ht="12.75" customHeight="1" x14ac:dyDescent="0.2">
      <c r="A334" s="95"/>
      <c r="B334" s="95"/>
      <c r="C334" s="40" t="s">
        <v>36</v>
      </c>
      <c r="D334" s="41">
        <v>34</v>
      </c>
      <c r="E334" s="42">
        <v>0</v>
      </c>
      <c r="F334" s="42">
        <v>0</v>
      </c>
      <c r="G334" s="42">
        <v>0</v>
      </c>
      <c r="H334" s="42">
        <v>0</v>
      </c>
      <c r="I334" s="42">
        <v>0</v>
      </c>
      <c r="J334" s="42">
        <v>0</v>
      </c>
      <c r="K334" s="43">
        <v>0</v>
      </c>
      <c r="L334" s="122">
        <v>0</v>
      </c>
      <c r="M334" s="33"/>
      <c r="N334" s="30">
        <v>0</v>
      </c>
      <c r="O334" s="30">
        <v>0</v>
      </c>
      <c r="P334" s="30"/>
      <c r="Q334" s="30">
        <f>(N334+O334*0.18+J334)+(IF((P334-O334*0.18)&gt;0,(P334-O334*0.18),0))</f>
        <v>0</v>
      </c>
      <c r="R334" s="7"/>
      <c r="S334" s="7"/>
      <c r="T334" s="7"/>
      <c r="U334" s="7"/>
      <c r="V334" s="7"/>
      <c r="W334" s="7"/>
      <c r="X334" s="7"/>
      <c r="Y334" s="7"/>
      <c r="Z334" s="7"/>
    </row>
    <row r="335" spans="1:26" ht="9" customHeight="1" x14ac:dyDescent="0.2">
      <c r="A335" s="95"/>
      <c r="B335" s="95"/>
      <c r="C335" s="34" t="s">
        <v>37</v>
      </c>
      <c r="D335" s="35">
        <v>35</v>
      </c>
      <c r="E335" s="36">
        <v>0</v>
      </c>
      <c r="F335" s="36">
        <v>0</v>
      </c>
      <c r="G335" s="36">
        <v>0</v>
      </c>
      <c r="H335" s="36">
        <v>0</v>
      </c>
      <c r="I335" s="36">
        <v>0</v>
      </c>
      <c r="J335" s="37">
        <v>0</v>
      </c>
      <c r="K335" s="36">
        <v>0</v>
      </c>
      <c r="L335" s="121">
        <v>0</v>
      </c>
      <c r="M335" s="39"/>
      <c r="N335" s="36">
        <v>0</v>
      </c>
      <c r="O335" s="36">
        <v>0</v>
      </c>
      <c r="P335" s="36">
        <v>0</v>
      </c>
      <c r="Q335" s="36">
        <f>Q334*1936.27</f>
        <v>0</v>
      </c>
      <c r="R335" s="7"/>
      <c r="S335" s="7"/>
      <c r="T335" s="7"/>
      <c r="U335" s="7"/>
      <c r="V335" s="7"/>
      <c r="W335" s="7"/>
      <c r="X335" s="7"/>
      <c r="Y335" s="7"/>
      <c r="Z335" s="7"/>
    </row>
    <row r="336" spans="1:26" ht="12.75" customHeight="1" x14ac:dyDescent="0.2">
      <c r="A336" s="95"/>
      <c r="B336" s="95"/>
      <c r="C336" s="40" t="s">
        <v>36</v>
      </c>
      <c r="D336" s="41">
        <v>36</v>
      </c>
      <c r="E336" s="42">
        <v>0</v>
      </c>
      <c r="F336" s="42">
        <v>0</v>
      </c>
      <c r="G336" s="42">
        <v>0</v>
      </c>
      <c r="H336" s="42">
        <v>0</v>
      </c>
      <c r="I336" s="42">
        <v>0</v>
      </c>
      <c r="J336" s="42">
        <v>0</v>
      </c>
      <c r="K336" s="43">
        <v>0</v>
      </c>
      <c r="L336" s="122">
        <v>0</v>
      </c>
      <c r="M336" s="33"/>
      <c r="N336" s="30">
        <v>0</v>
      </c>
      <c r="O336" s="30">
        <v>0</v>
      </c>
      <c r="P336" s="30"/>
      <c r="Q336" s="30">
        <f>(N336+O336*0.18+J336)+(IF((P336-O336*0.18)&gt;0,(P336-O336*0.18),0))</f>
        <v>0</v>
      </c>
      <c r="R336" s="7"/>
      <c r="S336" s="7"/>
      <c r="T336" s="7"/>
      <c r="U336" s="7"/>
      <c r="V336" s="7"/>
      <c r="W336" s="7"/>
      <c r="X336" s="7"/>
      <c r="Y336" s="7"/>
      <c r="Z336" s="7"/>
    </row>
    <row r="337" spans="1:26" ht="9" customHeight="1" x14ac:dyDescent="0.2">
      <c r="A337" s="95"/>
      <c r="B337" s="95"/>
      <c r="C337" s="34" t="s">
        <v>37</v>
      </c>
      <c r="D337" s="35">
        <v>37</v>
      </c>
      <c r="E337" s="36">
        <v>0</v>
      </c>
      <c r="F337" s="36">
        <v>0</v>
      </c>
      <c r="G337" s="36">
        <v>0</v>
      </c>
      <c r="H337" s="36">
        <v>0</v>
      </c>
      <c r="I337" s="36">
        <v>0</v>
      </c>
      <c r="J337" s="37">
        <v>0</v>
      </c>
      <c r="K337" s="36">
        <v>0</v>
      </c>
      <c r="L337" s="121">
        <v>0</v>
      </c>
      <c r="M337" s="39"/>
      <c r="N337" s="36">
        <v>0</v>
      </c>
      <c r="O337" s="36">
        <v>0</v>
      </c>
      <c r="P337" s="36">
        <v>0</v>
      </c>
      <c r="Q337" s="36">
        <f>Q336*1936.27</f>
        <v>0</v>
      </c>
      <c r="R337" s="7"/>
      <c r="S337" s="7"/>
      <c r="T337" s="7"/>
      <c r="U337" s="7"/>
      <c r="V337" s="7"/>
      <c r="W337" s="7"/>
      <c r="X337" s="7"/>
      <c r="Y337" s="7"/>
      <c r="Z337" s="7"/>
    </row>
    <row r="338" spans="1:26" ht="12.75" customHeight="1" x14ac:dyDescent="0.2">
      <c r="A338" s="95"/>
      <c r="B338" s="95"/>
      <c r="C338" s="40" t="s">
        <v>36</v>
      </c>
      <c r="D338" s="41">
        <v>38</v>
      </c>
      <c r="E338" s="42">
        <v>0</v>
      </c>
      <c r="F338" s="42">
        <v>0</v>
      </c>
      <c r="G338" s="42">
        <v>0</v>
      </c>
      <c r="H338" s="42">
        <v>0</v>
      </c>
      <c r="I338" s="42">
        <v>0</v>
      </c>
      <c r="J338" s="42">
        <v>0</v>
      </c>
      <c r="K338" s="43">
        <v>0</v>
      </c>
      <c r="L338" s="122">
        <v>0</v>
      </c>
      <c r="M338" s="33"/>
      <c r="N338" s="30">
        <v>0</v>
      </c>
      <c r="O338" s="30">
        <v>0</v>
      </c>
      <c r="P338" s="30"/>
      <c r="Q338" s="30">
        <f>(N338+O338*0.18+J338)+(IF((P338-O338*0.18)&gt;0,(P338-O338*0.18),0))</f>
        <v>0</v>
      </c>
      <c r="R338" s="7"/>
      <c r="S338" s="7"/>
      <c r="T338" s="7"/>
      <c r="U338" s="7"/>
      <c r="V338" s="7"/>
      <c r="W338" s="7"/>
      <c r="X338" s="7"/>
      <c r="Y338" s="7"/>
      <c r="Z338" s="7"/>
    </row>
    <row r="339" spans="1:26" ht="9" customHeight="1" x14ac:dyDescent="0.2">
      <c r="A339" s="95"/>
      <c r="B339" s="95"/>
      <c r="C339" s="34" t="s">
        <v>37</v>
      </c>
      <c r="D339" s="35">
        <v>39</v>
      </c>
      <c r="E339" s="36">
        <v>0</v>
      </c>
      <c r="F339" s="36">
        <v>0</v>
      </c>
      <c r="G339" s="36">
        <v>0</v>
      </c>
      <c r="H339" s="36">
        <v>0</v>
      </c>
      <c r="I339" s="36">
        <v>0</v>
      </c>
      <c r="J339" s="37">
        <v>0</v>
      </c>
      <c r="K339" s="36">
        <v>0</v>
      </c>
      <c r="L339" s="121">
        <v>0</v>
      </c>
      <c r="M339" s="39"/>
      <c r="N339" s="36">
        <v>0</v>
      </c>
      <c r="O339" s="36">
        <v>0</v>
      </c>
      <c r="P339" s="36">
        <v>0</v>
      </c>
      <c r="Q339" s="36">
        <f>Q338*1936.27</f>
        <v>0</v>
      </c>
      <c r="R339" s="7"/>
      <c r="S339" s="7"/>
      <c r="T339" s="7"/>
      <c r="U339" s="7"/>
      <c r="V339" s="7"/>
      <c r="W339" s="7"/>
      <c r="X339" s="7"/>
      <c r="Y339" s="7"/>
      <c r="Z339" s="7"/>
    </row>
    <row r="340" spans="1:26" ht="12.75" customHeight="1" x14ac:dyDescent="0.2">
      <c r="A340" s="95"/>
      <c r="B340" s="95"/>
      <c r="C340" s="40" t="s">
        <v>36</v>
      </c>
      <c r="D340" s="41">
        <v>40</v>
      </c>
      <c r="E340" s="42">
        <v>0</v>
      </c>
      <c r="F340" s="42">
        <v>0</v>
      </c>
      <c r="G340" s="42">
        <v>0</v>
      </c>
      <c r="H340" s="42">
        <v>0</v>
      </c>
      <c r="I340" s="42">
        <v>0</v>
      </c>
      <c r="J340" s="42">
        <v>0</v>
      </c>
      <c r="K340" s="43">
        <v>0</v>
      </c>
      <c r="L340" s="122">
        <v>0</v>
      </c>
      <c r="M340" s="33"/>
      <c r="N340" s="30">
        <v>0</v>
      </c>
      <c r="O340" s="30">
        <v>0</v>
      </c>
      <c r="P340" s="30"/>
      <c r="Q340" s="30">
        <f>(N340+O340*0.18+J340)+(IF((P340-O340*0.18)&gt;0,(P340-O340*0.18),0))</f>
        <v>0</v>
      </c>
      <c r="R340" s="7"/>
      <c r="S340" s="7"/>
      <c r="T340" s="7"/>
      <c r="U340" s="7"/>
      <c r="V340" s="7"/>
      <c r="W340" s="7"/>
      <c r="X340" s="7"/>
      <c r="Y340" s="7"/>
      <c r="Z340" s="7"/>
    </row>
    <row r="341" spans="1:26" ht="9" customHeight="1" x14ac:dyDescent="0.2">
      <c r="A341" s="110"/>
      <c r="B341" s="110"/>
      <c r="C341" s="47"/>
      <c r="D341" s="48"/>
      <c r="E341" s="46">
        <v>0</v>
      </c>
      <c r="F341" s="46">
        <v>0</v>
      </c>
      <c r="G341" s="46">
        <v>0</v>
      </c>
      <c r="H341" s="46">
        <v>0</v>
      </c>
      <c r="I341" s="46">
        <v>0</v>
      </c>
      <c r="J341" s="49">
        <v>0</v>
      </c>
      <c r="K341" s="46">
        <v>0</v>
      </c>
      <c r="L341" s="124">
        <v>0</v>
      </c>
      <c r="M341" s="39"/>
      <c r="N341" s="36">
        <v>0</v>
      </c>
      <c r="O341" s="36">
        <v>0</v>
      </c>
      <c r="P341" s="36">
        <v>0</v>
      </c>
      <c r="Q341" s="36">
        <f>Q340*1936.27</f>
        <v>0</v>
      </c>
      <c r="R341" s="7"/>
      <c r="S341" s="7"/>
      <c r="T341" s="7"/>
      <c r="U341" s="7"/>
      <c r="V341" s="7"/>
      <c r="W341" s="7"/>
      <c r="X341" s="7"/>
      <c r="Y341" s="7"/>
      <c r="Z341" s="7"/>
    </row>
    <row r="342" spans="1:26" ht="12.75" customHeight="1" x14ac:dyDescent="0.2">
      <c r="A342" s="98">
        <v>35034</v>
      </c>
      <c r="B342" s="98">
        <v>35064</v>
      </c>
      <c r="C342" s="28" t="s">
        <v>36</v>
      </c>
      <c r="D342" s="29">
        <v>0</v>
      </c>
      <c r="E342" s="30">
        <v>0</v>
      </c>
      <c r="F342" s="30">
        <v>0</v>
      </c>
      <c r="G342" s="30">
        <v>0</v>
      </c>
      <c r="H342" s="30">
        <v>0</v>
      </c>
      <c r="I342" s="30">
        <v>0</v>
      </c>
      <c r="J342" s="30">
        <v>0</v>
      </c>
      <c r="K342" s="31">
        <v>0</v>
      </c>
      <c r="L342" s="32">
        <v>0</v>
      </c>
      <c r="M342" s="33"/>
      <c r="N342" s="30">
        <v>0</v>
      </c>
      <c r="O342" s="30">
        <v>0</v>
      </c>
      <c r="P342" s="30"/>
      <c r="Q342" s="30">
        <f>(N342+O342*0.18+J342)+(IF((P342-O342*0.18)&gt;0,(P342-O342*0.18),0))</f>
        <v>0</v>
      </c>
      <c r="R342" s="7"/>
      <c r="S342" s="7"/>
      <c r="T342" s="7"/>
      <c r="U342" s="7"/>
      <c r="V342" s="7"/>
      <c r="W342" s="7"/>
      <c r="X342" s="7"/>
      <c r="Y342" s="7"/>
      <c r="Z342" s="7"/>
    </row>
    <row r="343" spans="1:26" ht="9" customHeight="1" x14ac:dyDescent="0.2">
      <c r="A343" s="95"/>
      <c r="B343" s="95"/>
      <c r="C343" s="34" t="s">
        <v>37</v>
      </c>
      <c r="D343" s="35">
        <v>0</v>
      </c>
      <c r="E343" s="36">
        <v>0</v>
      </c>
      <c r="F343" s="36">
        <v>0</v>
      </c>
      <c r="G343" s="36">
        <v>0</v>
      </c>
      <c r="H343" s="36">
        <v>0</v>
      </c>
      <c r="I343" s="36">
        <v>0</v>
      </c>
      <c r="J343" s="37">
        <v>0</v>
      </c>
      <c r="K343" s="36">
        <v>0</v>
      </c>
      <c r="L343" s="38">
        <v>0</v>
      </c>
      <c r="M343" s="39"/>
      <c r="N343" s="36">
        <v>0</v>
      </c>
      <c r="O343" s="36">
        <v>0</v>
      </c>
      <c r="P343" s="36">
        <v>0</v>
      </c>
      <c r="Q343" s="36">
        <f>Q342*1936.27</f>
        <v>0</v>
      </c>
      <c r="R343" s="7"/>
      <c r="S343" s="7"/>
      <c r="T343" s="7"/>
      <c r="U343" s="7"/>
      <c r="V343" s="7"/>
      <c r="W343" s="7"/>
      <c r="X343" s="7"/>
      <c r="Y343" s="7"/>
      <c r="Z343" s="7"/>
    </row>
    <row r="344" spans="1:26" ht="12.75" customHeight="1" x14ac:dyDescent="0.2">
      <c r="A344" s="155">
        <v>35034</v>
      </c>
      <c r="B344" s="155">
        <v>35064</v>
      </c>
      <c r="C344" s="40" t="s">
        <v>36</v>
      </c>
      <c r="D344" s="41">
        <v>1</v>
      </c>
      <c r="E344" s="42">
        <v>0</v>
      </c>
      <c r="F344" s="42">
        <v>0</v>
      </c>
      <c r="G344" s="42">
        <v>0</v>
      </c>
      <c r="H344" s="42">
        <v>0</v>
      </c>
      <c r="I344" s="42">
        <v>0</v>
      </c>
      <c r="J344" s="42">
        <v>0</v>
      </c>
      <c r="K344" s="43">
        <v>0</v>
      </c>
      <c r="L344" s="32">
        <v>0</v>
      </c>
      <c r="M344" s="33"/>
      <c r="N344" s="30">
        <v>0</v>
      </c>
      <c r="O344" s="30">
        <v>0</v>
      </c>
      <c r="P344" s="30"/>
      <c r="Q344" s="30">
        <f>(N344+O344*0.18+J344)+(IF((P344-O344*0.18)&gt;0,(P344-O344*0.18),0))</f>
        <v>0</v>
      </c>
      <c r="R344" s="7"/>
      <c r="S344" s="7"/>
      <c r="T344" s="7"/>
      <c r="U344" s="7"/>
      <c r="V344" s="7"/>
      <c r="W344" s="7"/>
      <c r="X344" s="7"/>
      <c r="Y344" s="7"/>
      <c r="Z344" s="7"/>
    </row>
    <row r="345" spans="1:26" ht="9" customHeight="1" x14ac:dyDescent="0.2">
      <c r="A345" s="95"/>
      <c r="B345" s="95"/>
      <c r="C345" s="34" t="s">
        <v>37</v>
      </c>
      <c r="D345" s="35">
        <v>2</v>
      </c>
      <c r="E345" s="36">
        <v>0</v>
      </c>
      <c r="F345" s="36">
        <v>0</v>
      </c>
      <c r="G345" s="36">
        <v>0</v>
      </c>
      <c r="H345" s="36">
        <v>0</v>
      </c>
      <c r="I345" s="36">
        <v>0</v>
      </c>
      <c r="J345" s="37">
        <v>0</v>
      </c>
      <c r="K345" s="36">
        <v>0</v>
      </c>
      <c r="L345" s="38">
        <v>0</v>
      </c>
      <c r="M345" s="39"/>
      <c r="N345" s="36">
        <v>0</v>
      </c>
      <c r="O345" s="36">
        <v>0</v>
      </c>
      <c r="P345" s="36">
        <v>0</v>
      </c>
      <c r="Q345" s="36">
        <f>Q344*1936.27</f>
        <v>0</v>
      </c>
      <c r="R345" s="7"/>
      <c r="S345" s="7"/>
      <c r="T345" s="7"/>
      <c r="U345" s="7"/>
      <c r="V345" s="7"/>
      <c r="W345" s="7"/>
      <c r="X345" s="7"/>
      <c r="Y345" s="7"/>
      <c r="Z345" s="7"/>
    </row>
    <row r="346" spans="1:26" ht="12.75" customHeight="1" x14ac:dyDescent="0.2">
      <c r="A346" s="95"/>
      <c r="B346" s="95"/>
      <c r="C346" s="40" t="s">
        <v>36</v>
      </c>
      <c r="D346" s="41">
        <v>3</v>
      </c>
      <c r="E346" s="42">
        <v>0</v>
      </c>
      <c r="F346" s="42">
        <v>0</v>
      </c>
      <c r="G346" s="42">
        <v>0</v>
      </c>
      <c r="H346" s="42">
        <v>0</v>
      </c>
      <c r="I346" s="42">
        <v>0</v>
      </c>
      <c r="J346" s="42">
        <v>0</v>
      </c>
      <c r="K346" s="43">
        <v>0</v>
      </c>
      <c r="L346" s="32">
        <v>0</v>
      </c>
      <c r="M346" s="33"/>
      <c r="N346" s="30">
        <v>0</v>
      </c>
      <c r="O346" s="30">
        <v>0</v>
      </c>
      <c r="P346" s="30"/>
      <c r="Q346" s="30">
        <f>(N346+O346*0.18+J346)+(IF((P346-O346*0.18)&gt;0,(P346-O346*0.18),0))</f>
        <v>0</v>
      </c>
      <c r="R346" s="7"/>
      <c r="S346" s="7"/>
      <c r="T346" s="7"/>
      <c r="U346" s="7"/>
      <c r="V346" s="7"/>
      <c r="W346" s="7"/>
      <c r="X346" s="7"/>
      <c r="Y346" s="7"/>
      <c r="Z346" s="7"/>
    </row>
    <row r="347" spans="1:26" ht="9" customHeight="1" x14ac:dyDescent="0.2">
      <c r="A347" s="95"/>
      <c r="B347" s="95"/>
      <c r="C347" s="34" t="s">
        <v>37</v>
      </c>
      <c r="D347" s="35">
        <v>4</v>
      </c>
      <c r="E347" s="36">
        <v>0</v>
      </c>
      <c r="F347" s="36">
        <v>0</v>
      </c>
      <c r="G347" s="36">
        <v>0</v>
      </c>
      <c r="H347" s="36">
        <v>0</v>
      </c>
      <c r="I347" s="36">
        <v>0</v>
      </c>
      <c r="J347" s="37">
        <v>0</v>
      </c>
      <c r="K347" s="36">
        <v>0</v>
      </c>
      <c r="L347" s="38">
        <v>0</v>
      </c>
      <c r="M347" s="39"/>
      <c r="N347" s="36">
        <v>0</v>
      </c>
      <c r="O347" s="36">
        <v>0</v>
      </c>
      <c r="P347" s="36">
        <v>0</v>
      </c>
      <c r="Q347" s="36">
        <f>Q346*1936.27</f>
        <v>0</v>
      </c>
      <c r="R347" s="7"/>
      <c r="S347" s="7"/>
      <c r="T347" s="7"/>
      <c r="U347" s="7"/>
      <c r="V347" s="7"/>
      <c r="W347" s="7"/>
      <c r="X347" s="7"/>
      <c r="Y347" s="7"/>
      <c r="Z347" s="7"/>
    </row>
    <row r="348" spans="1:26" ht="12.75" customHeight="1" x14ac:dyDescent="0.2">
      <c r="A348" s="95"/>
      <c r="B348" s="95"/>
      <c r="C348" s="40" t="s">
        <v>36</v>
      </c>
      <c r="D348" s="41">
        <v>5</v>
      </c>
      <c r="E348" s="42">
        <v>0</v>
      </c>
      <c r="F348" s="42">
        <v>0</v>
      </c>
      <c r="G348" s="42">
        <v>0</v>
      </c>
      <c r="H348" s="42">
        <v>0</v>
      </c>
      <c r="I348" s="42">
        <v>0</v>
      </c>
      <c r="J348" s="42">
        <v>0</v>
      </c>
      <c r="K348" s="43">
        <v>0</v>
      </c>
      <c r="L348" s="32">
        <v>0</v>
      </c>
      <c r="M348" s="33"/>
      <c r="N348" s="30">
        <v>0</v>
      </c>
      <c r="O348" s="30">
        <v>0</v>
      </c>
      <c r="P348" s="30"/>
      <c r="Q348" s="30">
        <f>(N348+O348*0.18+J348)+(IF((P348-O348*0.18)&gt;0,(P348-O348*0.18),0))</f>
        <v>0</v>
      </c>
      <c r="R348" s="7"/>
      <c r="S348" s="7"/>
      <c r="T348" s="7"/>
      <c r="U348" s="7"/>
      <c r="V348" s="7"/>
      <c r="W348" s="7"/>
      <c r="X348" s="7"/>
      <c r="Y348" s="7"/>
      <c r="Z348" s="7"/>
    </row>
    <row r="349" spans="1:26" ht="9" customHeight="1" x14ac:dyDescent="0.2">
      <c r="A349" s="95"/>
      <c r="B349" s="95"/>
      <c r="C349" s="34" t="s">
        <v>37</v>
      </c>
      <c r="D349" s="35">
        <v>6</v>
      </c>
      <c r="E349" s="36">
        <v>0</v>
      </c>
      <c r="F349" s="36">
        <v>0</v>
      </c>
      <c r="G349" s="36">
        <v>0</v>
      </c>
      <c r="H349" s="36">
        <v>0</v>
      </c>
      <c r="I349" s="36">
        <v>0</v>
      </c>
      <c r="J349" s="37">
        <v>0</v>
      </c>
      <c r="K349" s="36">
        <v>0</v>
      </c>
      <c r="L349" s="38">
        <v>0</v>
      </c>
      <c r="M349" s="39"/>
      <c r="N349" s="36">
        <v>0</v>
      </c>
      <c r="O349" s="36">
        <v>0</v>
      </c>
      <c r="P349" s="36">
        <v>0</v>
      </c>
      <c r="Q349" s="36">
        <f>Q348*1936.27</f>
        <v>0</v>
      </c>
      <c r="R349" s="7"/>
      <c r="S349" s="7"/>
      <c r="T349" s="7"/>
      <c r="U349" s="7"/>
      <c r="V349" s="7"/>
      <c r="W349" s="7"/>
      <c r="X349" s="7"/>
      <c r="Y349" s="7"/>
      <c r="Z349" s="7"/>
    </row>
    <row r="350" spans="1:26" ht="12.75" customHeight="1" x14ac:dyDescent="0.2">
      <c r="A350" s="95"/>
      <c r="B350" s="95"/>
      <c r="C350" s="40" t="s">
        <v>36</v>
      </c>
      <c r="D350" s="41">
        <v>7</v>
      </c>
      <c r="E350" s="42">
        <v>0</v>
      </c>
      <c r="F350" s="42">
        <v>0</v>
      </c>
      <c r="G350" s="42">
        <v>0</v>
      </c>
      <c r="H350" s="42">
        <v>0</v>
      </c>
      <c r="I350" s="42">
        <v>0</v>
      </c>
      <c r="J350" s="42">
        <v>0</v>
      </c>
      <c r="K350" s="43">
        <v>0</v>
      </c>
      <c r="L350" s="32">
        <v>0</v>
      </c>
      <c r="M350" s="33"/>
      <c r="N350" s="30">
        <v>0</v>
      </c>
      <c r="O350" s="30">
        <v>0</v>
      </c>
      <c r="P350" s="30"/>
      <c r="Q350" s="30">
        <f>(N350+O350*0.18+J350)+(IF((P350-O350*0.18)&gt;0,(P350-O350*0.18),0))</f>
        <v>0</v>
      </c>
      <c r="R350" s="7"/>
      <c r="S350" s="7"/>
      <c r="T350" s="7"/>
      <c r="U350" s="7"/>
      <c r="V350" s="7"/>
      <c r="W350" s="7"/>
      <c r="X350" s="7"/>
      <c r="Y350" s="7"/>
      <c r="Z350" s="7"/>
    </row>
    <row r="351" spans="1:26" ht="9" customHeight="1" x14ac:dyDescent="0.2">
      <c r="A351" s="95"/>
      <c r="B351" s="95"/>
      <c r="C351" s="34" t="s">
        <v>37</v>
      </c>
      <c r="D351" s="35">
        <v>8</v>
      </c>
      <c r="E351" s="36">
        <v>0</v>
      </c>
      <c r="F351" s="36">
        <v>0</v>
      </c>
      <c r="G351" s="36">
        <v>0</v>
      </c>
      <c r="H351" s="36">
        <v>0</v>
      </c>
      <c r="I351" s="36">
        <v>0</v>
      </c>
      <c r="J351" s="37">
        <v>0</v>
      </c>
      <c r="K351" s="36">
        <v>0</v>
      </c>
      <c r="L351" s="38">
        <v>0</v>
      </c>
      <c r="M351" s="39"/>
      <c r="N351" s="36">
        <v>0</v>
      </c>
      <c r="O351" s="36">
        <v>0</v>
      </c>
      <c r="P351" s="36">
        <v>0</v>
      </c>
      <c r="Q351" s="36">
        <f>Q350*1936.27</f>
        <v>0</v>
      </c>
      <c r="R351" s="7"/>
      <c r="S351" s="7"/>
      <c r="T351" s="7"/>
      <c r="U351" s="7"/>
      <c r="V351" s="7"/>
      <c r="W351" s="7"/>
      <c r="X351" s="7"/>
      <c r="Y351" s="7"/>
      <c r="Z351" s="7"/>
    </row>
    <row r="352" spans="1:26" ht="12.75" customHeight="1" x14ac:dyDescent="0.2">
      <c r="A352" s="95"/>
      <c r="B352" s="95"/>
      <c r="C352" s="40" t="s">
        <v>36</v>
      </c>
      <c r="D352" s="41">
        <v>9</v>
      </c>
      <c r="E352" s="42">
        <v>0</v>
      </c>
      <c r="F352" s="42">
        <v>0</v>
      </c>
      <c r="G352" s="42">
        <v>0</v>
      </c>
      <c r="H352" s="42">
        <v>0</v>
      </c>
      <c r="I352" s="42">
        <v>0</v>
      </c>
      <c r="J352" s="42">
        <v>0</v>
      </c>
      <c r="K352" s="43">
        <v>0</v>
      </c>
      <c r="L352" s="32">
        <v>0</v>
      </c>
      <c r="M352" s="33"/>
      <c r="N352" s="30">
        <v>0</v>
      </c>
      <c r="O352" s="30">
        <v>0</v>
      </c>
      <c r="P352" s="30"/>
      <c r="Q352" s="30">
        <f>(N352+O352*0.18+J352)+(IF((P352-O352*0.18)&gt;0,(P352-O352*0.18),0))</f>
        <v>0</v>
      </c>
      <c r="R352" s="7"/>
      <c r="S352" s="7"/>
      <c r="T352" s="7"/>
      <c r="U352" s="7"/>
      <c r="V352" s="7"/>
      <c r="W352" s="7"/>
      <c r="X352" s="7"/>
      <c r="Y352" s="7"/>
      <c r="Z352" s="7"/>
    </row>
    <row r="353" spans="1:26" ht="9" customHeight="1" x14ac:dyDescent="0.2">
      <c r="A353" s="95"/>
      <c r="B353" s="95"/>
      <c r="C353" s="34" t="s">
        <v>37</v>
      </c>
      <c r="D353" s="35">
        <v>10</v>
      </c>
      <c r="E353" s="36">
        <v>0</v>
      </c>
      <c r="F353" s="36">
        <v>0</v>
      </c>
      <c r="G353" s="36">
        <v>0</v>
      </c>
      <c r="H353" s="36">
        <v>0</v>
      </c>
      <c r="I353" s="36">
        <v>0</v>
      </c>
      <c r="J353" s="37">
        <v>0</v>
      </c>
      <c r="K353" s="36">
        <v>0</v>
      </c>
      <c r="L353" s="38">
        <v>0</v>
      </c>
      <c r="M353" s="39"/>
      <c r="N353" s="36">
        <v>0</v>
      </c>
      <c r="O353" s="36">
        <v>0</v>
      </c>
      <c r="P353" s="36">
        <v>0</v>
      </c>
      <c r="Q353" s="36">
        <f>Q352*1936.27</f>
        <v>0</v>
      </c>
      <c r="R353" s="7"/>
      <c r="S353" s="7"/>
      <c r="T353" s="7"/>
      <c r="U353" s="7"/>
      <c r="V353" s="7"/>
      <c r="W353" s="7"/>
      <c r="X353" s="7"/>
      <c r="Y353" s="7"/>
      <c r="Z353" s="7"/>
    </row>
    <row r="354" spans="1:26" ht="12.75" customHeight="1" x14ac:dyDescent="0.2">
      <c r="A354" s="95"/>
      <c r="B354" s="95"/>
      <c r="C354" s="40" t="s">
        <v>36</v>
      </c>
      <c r="D354" s="41">
        <v>11</v>
      </c>
      <c r="E354" s="42">
        <v>0</v>
      </c>
      <c r="F354" s="42">
        <v>0</v>
      </c>
      <c r="G354" s="42">
        <v>0</v>
      </c>
      <c r="H354" s="42">
        <v>0</v>
      </c>
      <c r="I354" s="42">
        <v>0</v>
      </c>
      <c r="J354" s="42">
        <v>0</v>
      </c>
      <c r="K354" s="43">
        <v>0</v>
      </c>
      <c r="L354" s="32">
        <v>0</v>
      </c>
      <c r="M354" s="33"/>
      <c r="N354" s="30">
        <v>0</v>
      </c>
      <c r="O354" s="30">
        <v>0</v>
      </c>
      <c r="P354" s="30"/>
      <c r="Q354" s="30">
        <f>(N354+O354*0.18+J354)+(IF((P354-O354*0.18)&gt;0,(P354-O354*0.18),0))</f>
        <v>0</v>
      </c>
      <c r="R354" s="7"/>
      <c r="S354" s="7"/>
      <c r="T354" s="7"/>
      <c r="U354" s="7"/>
      <c r="V354" s="7"/>
      <c r="W354" s="7"/>
      <c r="X354" s="7"/>
      <c r="Y354" s="7"/>
      <c r="Z354" s="7"/>
    </row>
    <row r="355" spans="1:26" ht="9" customHeight="1" x14ac:dyDescent="0.2">
      <c r="A355" s="95"/>
      <c r="B355" s="95"/>
      <c r="C355" s="34" t="s">
        <v>37</v>
      </c>
      <c r="D355" s="35">
        <v>12</v>
      </c>
      <c r="E355" s="36">
        <v>0</v>
      </c>
      <c r="F355" s="36">
        <v>0</v>
      </c>
      <c r="G355" s="36">
        <v>0</v>
      </c>
      <c r="H355" s="36">
        <v>0</v>
      </c>
      <c r="I355" s="36">
        <v>0</v>
      </c>
      <c r="J355" s="37">
        <v>0</v>
      </c>
      <c r="K355" s="36">
        <v>0</v>
      </c>
      <c r="L355" s="38">
        <v>0</v>
      </c>
      <c r="M355" s="39"/>
      <c r="N355" s="36">
        <v>0</v>
      </c>
      <c r="O355" s="36">
        <v>0</v>
      </c>
      <c r="P355" s="36">
        <v>0</v>
      </c>
      <c r="Q355" s="36">
        <f>Q354*1936.27</f>
        <v>0</v>
      </c>
      <c r="R355" s="7"/>
      <c r="S355" s="7"/>
      <c r="T355" s="7"/>
      <c r="U355" s="7"/>
      <c r="V355" s="7"/>
      <c r="W355" s="7"/>
      <c r="X355" s="7"/>
      <c r="Y355" s="7"/>
      <c r="Z355" s="7"/>
    </row>
    <row r="356" spans="1:26" ht="12.75" customHeight="1" x14ac:dyDescent="0.2">
      <c r="A356" s="95"/>
      <c r="B356" s="95"/>
      <c r="C356" s="40" t="s">
        <v>36</v>
      </c>
      <c r="D356" s="41">
        <v>13</v>
      </c>
      <c r="E356" s="42">
        <v>0</v>
      </c>
      <c r="F356" s="42">
        <v>0</v>
      </c>
      <c r="G356" s="42">
        <v>0</v>
      </c>
      <c r="H356" s="42">
        <v>0</v>
      </c>
      <c r="I356" s="42">
        <v>0</v>
      </c>
      <c r="J356" s="42">
        <v>0</v>
      </c>
      <c r="K356" s="43">
        <v>0</v>
      </c>
      <c r="L356" s="32">
        <v>0</v>
      </c>
      <c r="M356" s="33"/>
      <c r="N356" s="30">
        <v>0</v>
      </c>
      <c r="O356" s="30">
        <v>0</v>
      </c>
      <c r="P356" s="30"/>
      <c r="Q356" s="30">
        <f>(N356+O356*0.18+J356)+(IF((P356-O356*0.18)&gt;0,(P356-O356*0.18),0))</f>
        <v>0</v>
      </c>
      <c r="R356" s="7"/>
      <c r="S356" s="7"/>
      <c r="T356" s="7"/>
      <c r="U356" s="7"/>
      <c r="V356" s="7"/>
      <c r="W356" s="7"/>
      <c r="X356" s="7"/>
      <c r="Y356" s="7"/>
      <c r="Z356" s="7"/>
    </row>
    <row r="357" spans="1:26" ht="9" customHeight="1" x14ac:dyDescent="0.2">
      <c r="A357" s="95"/>
      <c r="B357" s="95"/>
      <c r="C357" s="34" t="s">
        <v>37</v>
      </c>
      <c r="D357" s="35">
        <v>14</v>
      </c>
      <c r="E357" s="36">
        <v>0</v>
      </c>
      <c r="F357" s="36">
        <v>0</v>
      </c>
      <c r="G357" s="36">
        <v>0</v>
      </c>
      <c r="H357" s="36">
        <v>0</v>
      </c>
      <c r="I357" s="36">
        <v>0</v>
      </c>
      <c r="J357" s="37">
        <v>0</v>
      </c>
      <c r="K357" s="36">
        <v>0</v>
      </c>
      <c r="L357" s="38">
        <v>0</v>
      </c>
      <c r="M357" s="39"/>
      <c r="N357" s="36">
        <v>0</v>
      </c>
      <c r="O357" s="36">
        <v>0</v>
      </c>
      <c r="P357" s="36">
        <v>0</v>
      </c>
      <c r="Q357" s="36">
        <f>Q356*1936.27</f>
        <v>0</v>
      </c>
      <c r="R357" s="7"/>
      <c r="S357" s="7"/>
      <c r="T357" s="7"/>
      <c r="U357" s="7"/>
      <c r="V357" s="7"/>
      <c r="W357" s="7"/>
      <c r="X357" s="7"/>
      <c r="Y357" s="7"/>
      <c r="Z357" s="7"/>
    </row>
    <row r="358" spans="1:26" ht="12.75" customHeight="1" x14ac:dyDescent="0.2">
      <c r="A358" s="95"/>
      <c r="B358" s="95"/>
      <c r="C358" s="40" t="s">
        <v>36</v>
      </c>
      <c r="D358" s="41">
        <v>15</v>
      </c>
      <c r="E358" s="42">
        <v>0</v>
      </c>
      <c r="F358" s="42">
        <v>0</v>
      </c>
      <c r="G358" s="42">
        <v>0</v>
      </c>
      <c r="H358" s="42">
        <v>0</v>
      </c>
      <c r="I358" s="42">
        <v>0</v>
      </c>
      <c r="J358" s="42">
        <v>0</v>
      </c>
      <c r="K358" s="43">
        <v>0</v>
      </c>
      <c r="L358" s="32">
        <v>0</v>
      </c>
      <c r="M358" s="33"/>
      <c r="N358" s="30">
        <v>0</v>
      </c>
      <c r="O358" s="30">
        <v>0</v>
      </c>
      <c r="P358" s="30"/>
      <c r="Q358" s="30">
        <f>(N358+O358*0.18+J358)+(IF((P358-O358*0.18)&gt;0,(P358-O358*0.18),0))</f>
        <v>0</v>
      </c>
      <c r="R358" s="7"/>
      <c r="S358" s="7"/>
      <c r="T358" s="7"/>
      <c r="U358" s="7"/>
      <c r="V358" s="7"/>
      <c r="W358" s="7"/>
      <c r="X358" s="7"/>
      <c r="Y358" s="7"/>
      <c r="Z358" s="7"/>
    </row>
    <row r="359" spans="1:26" ht="9" customHeight="1" x14ac:dyDescent="0.2">
      <c r="A359" s="95"/>
      <c r="B359" s="95"/>
      <c r="C359" s="34" t="s">
        <v>37</v>
      </c>
      <c r="D359" s="35">
        <v>16</v>
      </c>
      <c r="E359" s="36">
        <v>0</v>
      </c>
      <c r="F359" s="36">
        <v>0</v>
      </c>
      <c r="G359" s="36">
        <v>0</v>
      </c>
      <c r="H359" s="36">
        <v>0</v>
      </c>
      <c r="I359" s="36">
        <v>0</v>
      </c>
      <c r="J359" s="37">
        <v>0</v>
      </c>
      <c r="K359" s="36">
        <v>0</v>
      </c>
      <c r="L359" s="38">
        <v>0</v>
      </c>
      <c r="M359" s="39"/>
      <c r="N359" s="36">
        <v>0</v>
      </c>
      <c r="O359" s="36">
        <v>0</v>
      </c>
      <c r="P359" s="36">
        <v>0</v>
      </c>
      <c r="Q359" s="36">
        <f>Q358*1936.27</f>
        <v>0</v>
      </c>
      <c r="R359" s="7"/>
      <c r="S359" s="7"/>
      <c r="T359" s="7"/>
      <c r="U359" s="7"/>
      <c r="V359" s="7"/>
      <c r="W359" s="7"/>
      <c r="X359" s="7"/>
      <c r="Y359" s="7"/>
      <c r="Z359" s="7"/>
    </row>
    <row r="360" spans="1:26" ht="12.75" customHeight="1" x14ac:dyDescent="0.2">
      <c r="A360" s="95"/>
      <c r="B360" s="95"/>
      <c r="C360" s="40" t="s">
        <v>36</v>
      </c>
      <c r="D360" s="41">
        <v>17</v>
      </c>
      <c r="E360" s="42">
        <v>0</v>
      </c>
      <c r="F360" s="42">
        <v>0</v>
      </c>
      <c r="G360" s="42">
        <v>0</v>
      </c>
      <c r="H360" s="42">
        <v>0</v>
      </c>
      <c r="I360" s="42">
        <v>0</v>
      </c>
      <c r="J360" s="42">
        <v>0</v>
      </c>
      <c r="K360" s="43">
        <v>0</v>
      </c>
      <c r="L360" s="32">
        <v>0</v>
      </c>
      <c r="M360" s="33"/>
      <c r="N360" s="30">
        <v>0</v>
      </c>
      <c r="O360" s="30">
        <v>0</v>
      </c>
      <c r="P360" s="30"/>
      <c r="Q360" s="30">
        <f>(N360+O360*0.18+J360)+(IF((P360-O360*0.18)&gt;0,(P360-O360*0.18),0))</f>
        <v>0</v>
      </c>
      <c r="R360" s="7"/>
      <c r="S360" s="7"/>
      <c r="T360" s="7"/>
      <c r="U360" s="7"/>
      <c r="V360" s="7"/>
      <c r="W360" s="7"/>
      <c r="X360" s="7"/>
      <c r="Y360" s="7"/>
      <c r="Z360" s="7"/>
    </row>
    <row r="361" spans="1:26" ht="9" customHeight="1" x14ac:dyDescent="0.2">
      <c r="A361" s="95"/>
      <c r="B361" s="95"/>
      <c r="C361" s="34" t="s">
        <v>37</v>
      </c>
      <c r="D361" s="35">
        <v>17</v>
      </c>
      <c r="E361" s="36">
        <v>0</v>
      </c>
      <c r="F361" s="36">
        <v>0</v>
      </c>
      <c r="G361" s="36">
        <v>0</v>
      </c>
      <c r="H361" s="36">
        <v>0</v>
      </c>
      <c r="I361" s="36">
        <v>0</v>
      </c>
      <c r="J361" s="37">
        <v>0</v>
      </c>
      <c r="K361" s="36">
        <v>0</v>
      </c>
      <c r="L361" s="38">
        <v>0</v>
      </c>
      <c r="M361" s="39"/>
      <c r="N361" s="36">
        <v>0</v>
      </c>
      <c r="O361" s="36">
        <v>0</v>
      </c>
      <c r="P361" s="36">
        <v>0</v>
      </c>
      <c r="Q361" s="36">
        <f>Q360*1936.27</f>
        <v>0</v>
      </c>
      <c r="R361" s="7"/>
      <c r="S361" s="7"/>
      <c r="T361" s="7"/>
      <c r="U361" s="7"/>
      <c r="V361" s="7"/>
      <c r="W361" s="7"/>
      <c r="X361" s="7"/>
      <c r="Y361" s="7"/>
      <c r="Z361" s="7"/>
    </row>
    <row r="362" spans="1:26" ht="12.75" customHeight="1" x14ac:dyDescent="0.2">
      <c r="A362" s="95"/>
      <c r="B362" s="95"/>
      <c r="C362" s="40" t="s">
        <v>36</v>
      </c>
      <c r="D362" s="41">
        <v>18</v>
      </c>
      <c r="E362" s="42">
        <v>0</v>
      </c>
      <c r="F362" s="42">
        <v>0</v>
      </c>
      <c r="G362" s="42">
        <v>0</v>
      </c>
      <c r="H362" s="42">
        <v>0</v>
      </c>
      <c r="I362" s="42">
        <v>0</v>
      </c>
      <c r="J362" s="42">
        <v>0</v>
      </c>
      <c r="K362" s="43">
        <v>0</v>
      </c>
      <c r="L362" s="32">
        <v>0</v>
      </c>
      <c r="M362" s="33"/>
      <c r="N362" s="30">
        <v>0</v>
      </c>
      <c r="O362" s="30">
        <v>0</v>
      </c>
      <c r="P362" s="30"/>
      <c r="Q362" s="30">
        <f>(N362+O362*0.18+J362)+(IF((P362-O362*0.18)&gt;0,(P362-O362*0.18),0))</f>
        <v>0</v>
      </c>
      <c r="R362" s="7"/>
      <c r="S362" s="7"/>
      <c r="T362" s="7"/>
      <c r="U362" s="7"/>
      <c r="V362" s="7"/>
      <c r="W362" s="7"/>
      <c r="X362" s="7"/>
      <c r="Y362" s="7"/>
      <c r="Z362" s="7"/>
    </row>
    <row r="363" spans="1:26" ht="9" customHeight="1" x14ac:dyDescent="0.2">
      <c r="A363" s="95"/>
      <c r="B363" s="95"/>
      <c r="C363" s="34" t="s">
        <v>37</v>
      </c>
      <c r="D363" s="35">
        <v>19</v>
      </c>
      <c r="E363" s="36">
        <v>0</v>
      </c>
      <c r="F363" s="36">
        <v>0</v>
      </c>
      <c r="G363" s="36">
        <v>0</v>
      </c>
      <c r="H363" s="36">
        <v>0</v>
      </c>
      <c r="I363" s="36">
        <v>0</v>
      </c>
      <c r="J363" s="37">
        <v>0</v>
      </c>
      <c r="K363" s="36">
        <v>0</v>
      </c>
      <c r="L363" s="38">
        <v>0</v>
      </c>
      <c r="M363" s="39"/>
      <c r="N363" s="36">
        <v>0</v>
      </c>
      <c r="O363" s="36">
        <v>0</v>
      </c>
      <c r="P363" s="36">
        <v>0</v>
      </c>
      <c r="Q363" s="36">
        <f>Q362*1936.27</f>
        <v>0</v>
      </c>
      <c r="R363" s="7"/>
      <c r="S363" s="7"/>
      <c r="T363" s="7"/>
      <c r="U363" s="7"/>
      <c r="V363" s="7"/>
      <c r="W363" s="7"/>
      <c r="X363" s="7"/>
      <c r="Y363" s="7"/>
      <c r="Z363" s="7"/>
    </row>
    <row r="364" spans="1:26" ht="12.75" customHeight="1" x14ac:dyDescent="0.2">
      <c r="A364" s="95"/>
      <c r="B364" s="95"/>
      <c r="C364" s="40" t="s">
        <v>36</v>
      </c>
      <c r="D364" s="41">
        <v>20</v>
      </c>
      <c r="E364" s="42">
        <v>0</v>
      </c>
      <c r="F364" s="42">
        <v>0</v>
      </c>
      <c r="G364" s="42">
        <v>0</v>
      </c>
      <c r="H364" s="42">
        <v>0</v>
      </c>
      <c r="I364" s="42">
        <v>0</v>
      </c>
      <c r="J364" s="42">
        <v>0</v>
      </c>
      <c r="K364" s="43">
        <v>0</v>
      </c>
      <c r="L364" s="32">
        <v>0</v>
      </c>
      <c r="M364" s="33"/>
      <c r="N364" s="30">
        <v>0</v>
      </c>
      <c r="O364" s="30">
        <v>0</v>
      </c>
      <c r="P364" s="30"/>
      <c r="Q364" s="30">
        <f>(N364+O364*0.18+J364)+(IF((P364-O364*0.18)&gt;0,(P364-O364*0.18),0))</f>
        <v>0</v>
      </c>
      <c r="R364" s="7"/>
      <c r="S364" s="7"/>
      <c r="T364" s="7"/>
      <c r="U364" s="7"/>
      <c r="V364" s="7"/>
      <c r="W364" s="7"/>
      <c r="X364" s="7"/>
      <c r="Y364" s="7"/>
      <c r="Z364" s="7"/>
    </row>
    <row r="365" spans="1:26" ht="9" customHeight="1" x14ac:dyDescent="0.2">
      <c r="A365" s="95"/>
      <c r="B365" s="95"/>
      <c r="C365" s="34" t="s">
        <v>37</v>
      </c>
      <c r="D365" s="35">
        <v>21</v>
      </c>
      <c r="E365" s="36">
        <v>0</v>
      </c>
      <c r="F365" s="36">
        <v>0</v>
      </c>
      <c r="G365" s="36">
        <v>0</v>
      </c>
      <c r="H365" s="36">
        <v>0</v>
      </c>
      <c r="I365" s="36">
        <v>0</v>
      </c>
      <c r="J365" s="37">
        <v>0</v>
      </c>
      <c r="K365" s="36">
        <v>0</v>
      </c>
      <c r="L365" s="38">
        <v>0</v>
      </c>
      <c r="M365" s="39"/>
      <c r="N365" s="36">
        <v>0</v>
      </c>
      <c r="O365" s="36">
        <v>0</v>
      </c>
      <c r="P365" s="36">
        <v>0</v>
      </c>
      <c r="Q365" s="36">
        <f>Q364*1936.27</f>
        <v>0</v>
      </c>
      <c r="R365" s="7"/>
      <c r="S365" s="7"/>
      <c r="T365" s="7"/>
      <c r="U365" s="7"/>
      <c r="V365" s="7"/>
      <c r="W365" s="7"/>
      <c r="X365" s="7"/>
      <c r="Y365" s="7"/>
      <c r="Z365" s="7"/>
    </row>
    <row r="366" spans="1:26" ht="12.75" customHeight="1" x14ac:dyDescent="0.2">
      <c r="A366" s="95"/>
      <c r="B366" s="95"/>
      <c r="C366" s="40" t="s">
        <v>36</v>
      </c>
      <c r="D366" s="41">
        <v>22</v>
      </c>
      <c r="E366" s="42">
        <v>0</v>
      </c>
      <c r="F366" s="42">
        <v>0</v>
      </c>
      <c r="G366" s="42">
        <v>0</v>
      </c>
      <c r="H366" s="42">
        <v>0</v>
      </c>
      <c r="I366" s="42">
        <v>0</v>
      </c>
      <c r="J366" s="42">
        <v>0</v>
      </c>
      <c r="K366" s="43">
        <v>0</v>
      </c>
      <c r="L366" s="32">
        <v>0</v>
      </c>
      <c r="M366" s="33"/>
      <c r="N366" s="30">
        <v>0</v>
      </c>
      <c r="O366" s="30">
        <v>0</v>
      </c>
      <c r="P366" s="30"/>
      <c r="Q366" s="30">
        <f>(N366+O366*0.18+J366)+(IF((P366-O366*0.18)&gt;0,(P366-O366*0.18),0))</f>
        <v>0</v>
      </c>
      <c r="R366" s="7"/>
      <c r="S366" s="7"/>
      <c r="T366" s="7"/>
      <c r="U366" s="7"/>
      <c r="V366" s="7"/>
      <c r="W366" s="7"/>
      <c r="X366" s="7"/>
      <c r="Y366" s="7"/>
      <c r="Z366" s="7"/>
    </row>
    <row r="367" spans="1:26" ht="9" customHeight="1" x14ac:dyDescent="0.2">
      <c r="A367" s="95"/>
      <c r="B367" s="95"/>
      <c r="C367" s="34" t="s">
        <v>37</v>
      </c>
      <c r="D367" s="35">
        <v>23</v>
      </c>
      <c r="E367" s="36">
        <v>0</v>
      </c>
      <c r="F367" s="36">
        <v>0</v>
      </c>
      <c r="G367" s="36">
        <v>0</v>
      </c>
      <c r="H367" s="36">
        <v>0</v>
      </c>
      <c r="I367" s="36">
        <v>0</v>
      </c>
      <c r="J367" s="37">
        <v>0</v>
      </c>
      <c r="K367" s="36">
        <v>0</v>
      </c>
      <c r="L367" s="38">
        <v>0</v>
      </c>
      <c r="M367" s="39"/>
      <c r="N367" s="36">
        <v>0</v>
      </c>
      <c r="O367" s="36">
        <v>0</v>
      </c>
      <c r="P367" s="36">
        <v>0</v>
      </c>
      <c r="Q367" s="36">
        <f>Q366*1936.27</f>
        <v>0</v>
      </c>
      <c r="R367" s="7"/>
      <c r="S367" s="7"/>
      <c r="T367" s="7"/>
      <c r="U367" s="7"/>
      <c r="V367" s="7"/>
      <c r="W367" s="7"/>
      <c r="X367" s="7"/>
      <c r="Y367" s="7"/>
      <c r="Z367" s="7"/>
    </row>
    <row r="368" spans="1:26" ht="12.75" customHeight="1" x14ac:dyDescent="0.2">
      <c r="A368" s="95"/>
      <c r="B368" s="95"/>
      <c r="C368" s="40" t="s">
        <v>36</v>
      </c>
      <c r="D368" s="41">
        <v>24</v>
      </c>
      <c r="E368" s="42">
        <v>0</v>
      </c>
      <c r="F368" s="42">
        <v>0</v>
      </c>
      <c r="G368" s="42">
        <v>0</v>
      </c>
      <c r="H368" s="42">
        <v>0</v>
      </c>
      <c r="I368" s="42">
        <v>0</v>
      </c>
      <c r="J368" s="42">
        <v>0</v>
      </c>
      <c r="K368" s="43">
        <v>0</v>
      </c>
      <c r="L368" s="32">
        <v>0</v>
      </c>
      <c r="M368" s="33"/>
      <c r="N368" s="30">
        <v>0</v>
      </c>
      <c r="O368" s="30">
        <v>0</v>
      </c>
      <c r="P368" s="30"/>
      <c r="Q368" s="30">
        <f>(N368+O368*0.18+J368)+(IF((P368-O368*0.18)&gt;0,(P368-O368*0.18),0))</f>
        <v>0</v>
      </c>
      <c r="R368" s="7"/>
      <c r="S368" s="7"/>
      <c r="T368" s="7"/>
      <c r="U368" s="7"/>
      <c r="V368" s="7"/>
      <c r="W368" s="7"/>
      <c r="X368" s="7"/>
      <c r="Y368" s="7"/>
      <c r="Z368" s="7"/>
    </row>
    <row r="369" spans="1:26" ht="9" customHeight="1" x14ac:dyDescent="0.2">
      <c r="A369" s="95"/>
      <c r="B369" s="95"/>
      <c r="C369" s="34" t="s">
        <v>37</v>
      </c>
      <c r="D369" s="35">
        <v>25</v>
      </c>
      <c r="E369" s="36">
        <v>0</v>
      </c>
      <c r="F369" s="36">
        <v>0</v>
      </c>
      <c r="G369" s="36">
        <v>0</v>
      </c>
      <c r="H369" s="36">
        <v>0</v>
      </c>
      <c r="I369" s="36">
        <v>0</v>
      </c>
      <c r="J369" s="37">
        <v>0</v>
      </c>
      <c r="K369" s="36">
        <v>0</v>
      </c>
      <c r="L369" s="38">
        <v>0</v>
      </c>
      <c r="M369" s="39"/>
      <c r="N369" s="36">
        <v>0</v>
      </c>
      <c r="O369" s="36">
        <v>0</v>
      </c>
      <c r="P369" s="36">
        <v>0</v>
      </c>
      <c r="Q369" s="36">
        <f>Q368*1936.27</f>
        <v>0</v>
      </c>
      <c r="R369" s="7"/>
      <c r="S369" s="7"/>
      <c r="T369" s="7"/>
      <c r="U369" s="7"/>
      <c r="V369" s="7"/>
      <c r="W369" s="7"/>
      <c r="X369" s="7"/>
      <c r="Y369" s="7"/>
      <c r="Z369" s="7"/>
    </row>
    <row r="370" spans="1:26" ht="12.75" customHeight="1" x14ac:dyDescent="0.2">
      <c r="A370" s="95"/>
      <c r="B370" s="95"/>
      <c r="C370" s="40" t="s">
        <v>36</v>
      </c>
      <c r="D370" s="41">
        <v>26</v>
      </c>
      <c r="E370" s="42">
        <v>0</v>
      </c>
      <c r="F370" s="42">
        <v>0</v>
      </c>
      <c r="G370" s="42">
        <v>0</v>
      </c>
      <c r="H370" s="42">
        <v>0</v>
      </c>
      <c r="I370" s="42">
        <v>0</v>
      </c>
      <c r="J370" s="42">
        <v>0</v>
      </c>
      <c r="K370" s="43">
        <v>0</v>
      </c>
      <c r="L370" s="32">
        <v>0</v>
      </c>
      <c r="M370" s="33"/>
      <c r="N370" s="30">
        <v>0</v>
      </c>
      <c r="O370" s="30">
        <v>0</v>
      </c>
      <c r="P370" s="30"/>
      <c r="Q370" s="30">
        <f>(N370+O370*0.18+J370)+(IF((P370-O370*0.18)&gt;0,(P370-O370*0.18),0))</f>
        <v>0</v>
      </c>
      <c r="R370" s="7"/>
      <c r="S370" s="7"/>
      <c r="T370" s="7"/>
      <c r="U370" s="7"/>
      <c r="V370" s="7"/>
      <c r="W370" s="7"/>
      <c r="X370" s="7"/>
      <c r="Y370" s="7"/>
      <c r="Z370" s="7"/>
    </row>
    <row r="371" spans="1:26" ht="9" customHeight="1" x14ac:dyDescent="0.2">
      <c r="A371" s="95"/>
      <c r="B371" s="95"/>
      <c r="C371" s="34" t="s">
        <v>37</v>
      </c>
      <c r="D371" s="35">
        <v>27</v>
      </c>
      <c r="E371" s="36">
        <v>0</v>
      </c>
      <c r="F371" s="36">
        <v>0</v>
      </c>
      <c r="G371" s="36">
        <v>0</v>
      </c>
      <c r="H371" s="36">
        <v>0</v>
      </c>
      <c r="I371" s="36">
        <v>0</v>
      </c>
      <c r="J371" s="37">
        <v>0</v>
      </c>
      <c r="K371" s="36">
        <v>0</v>
      </c>
      <c r="L371" s="38">
        <v>0</v>
      </c>
      <c r="M371" s="39"/>
      <c r="N371" s="36">
        <v>0</v>
      </c>
      <c r="O371" s="36">
        <v>0</v>
      </c>
      <c r="P371" s="36">
        <v>0</v>
      </c>
      <c r="Q371" s="36">
        <f>Q370*1936.27</f>
        <v>0</v>
      </c>
      <c r="R371" s="7"/>
      <c r="S371" s="7"/>
      <c r="T371" s="7"/>
      <c r="U371" s="7"/>
      <c r="V371" s="7"/>
      <c r="W371" s="7"/>
      <c r="X371" s="7"/>
      <c r="Y371" s="7"/>
      <c r="Z371" s="7"/>
    </row>
    <row r="372" spans="1:26" ht="12.75" customHeight="1" x14ac:dyDescent="0.2">
      <c r="A372" s="95"/>
      <c r="B372" s="95"/>
      <c r="C372" s="40" t="s">
        <v>36</v>
      </c>
      <c r="D372" s="41">
        <v>28</v>
      </c>
      <c r="E372" s="42">
        <v>0</v>
      </c>
      <c r="F372" s="42">
        <v>0</v>
      </c>
      <c r="G372" s="42">
        <v>0</v>
      </c>
      <c r="H372" s="42">
        <v>0</v>
      </c>
      <c r="I372" s="42">
        <v>0</v>
      </c>
      <c r="J372" s="42">
        <v>0</v>
      </c>
      <c r="K372" s="43">
        <v>0</v>
      </c>
      <c r="L372" s="32">
        <v>0</v>
      </c>
      <c r="M372" s="33"/>
      <c r="N372" s="30">
        <v>0</v>
      </c>
      <c r="O372" s="30">
        <v>0</v>
      </c>
      <c r="P372" s="30"/>
      <c r="Q372" s="30">
        <f>(N372+O372*0.18+J372)+(IF((P372-O372*0.18)&gt;0,(P372-O372*0.18),0))</f>
        <v>0</v>
      </c>
      <c r="R372" s="7"/>
      <c r="S372" s="7"/>
      <c r="T372" s="7"/>
      <c r="U372" s="7"/>
      <c r="V372" s="7"/>
      <c r="W372" s="7"/>
      <c r="X372" s="7"/>
      <c r="Y372" s="7"/>
      <c r="Z372" s="7"/>
    </row>
    <row r="373" spans="1:26" ht="9" customHeight="1" x14ac:dyDescent="0.2">
      <c r="A373" s="95"/>
      <c r="B373" s="95"/>
      <c r="C373" s="34" t="s">
        <v>37</v>
      </c>
      <c r="D373" s="35">
        <v>29</v>
      </c>
      <c r="E373" s="36">
        <v>0</v>
      </c>
      <c r="F373" s="36">
        <v>0</v>
      </c>
      <c r="G373" s="36">
        <v>0</v>
      </c>
      <c r="H373" s="36">
        <v>0</v>
      </c>
      <c r="I373" s="36">
        <v>0</v>
      </c>
      <c r="J373" s="37">
        <v>0</v>
      </c>
      <c r="K373" s="36">
        <v>0</v>
      </c>
      <c r="L373" s="38">
        <v>0</v>
      </c>
      <c r="M373" s="39"/>
      <c r="N373" s="36">
        <v>0</v>
      </c>
      <c r="O373" s="36">
        <v>0</v>
      </c>
      <c r="P373" s="36">
        <v>0</v>
      </c>
      <c r="Q373" s="36">
        <f>Q372*1936.27</f>
        <v>0</v>
      </c>
      <c r="R373" s="7"/>
      <c r="S373" s="7"/>
      <c r="T373" s="7"/>
      <c r="U373" s="7"/>
      <c r="V373" s="7"/>
      <c r="W373" s="7"/>
      <c r="X373" s="7"/>
      <c r="Y373" s="7"/>
      <c r="Z373" s="7"/>
    </row>
    <row r="374" spans="1:26" ht="12.75" customHeight="1" x14ac:dyDescent="0.2">
      <c r="A374" s="95"/>
      <c r="B374" s="95"/>
      <c r="C374" s="40" t="s">
        <v>36</v>
      </c>
      <c r="D374" s="41">
        <v>30</v>
      </c>
      <c r="E374" s="42">
        <v>0</v>
      </c>
      <c r="F374" s="42">
        <v>0</v>
      </c>
      <c r="G374" s="42">
        <v>0</v>
      </c>
      <c r="H374" s="42">
        <v>0</v>
      </c>
      <c r="I374" s="42">
        <v>0</v>
      </c>
      <c r="J374" s="42">
        <v>0</v>
      </c>
      <c r="K374" s="43">
        <v>0</v>
      </c>
      <c r="L374" s="32">
        <v>0</v>
      </c>
      <c r="M374" s="33"/>
      <c r="N374" s="30">
        <v>0</v>
      </c>
      <c r="O374" s="30">
        <v>0</v>
      </c>
      <c r="P374" s="30"/>
      <c r="Q374" s="30">
        <f>(N374+O374*0.18+J374)+(IF((P374-O374*0.18)&gt;0,(P374-O374*0.18),0))</f>
        <v>0</v>
      </c>
      <c r="R374" s="7"/>
      <c r="S374" s="7"/>
      <c r="T374" s="7"/>
      <c r="U374" s="7"/>
      <c r="V374" s="7"/>
      <c r="W374" s="7"/>
      <c r="X374" s="7"/>
      <c r="Y374" s="7"/>
      <c r="Z374" s="7"/>
    </row>
    <row r="375" spans="1:26" ht="9" customHeight="1" x14ac:dyDescent="0.2">
      <c r="A375" s="95"/>
      <c r="B375" s="95"/>
      <c r="C375" s="34" t="s">
        <v>37</v>
      </c>
      <c r="D375" s="35">
        <v>33</v>
      </c>
      <c r="E375" s="36">
        <v>0</v>
      </c>
      <c r="F375" s="36">
        <v>0</v>
      </c>
      <c r="G375" s="36">
        <v>0</v>
      </c>
      <c r="H375" s="36">
        <v>0</v>
      </c>
      <c r="I375" s="36">
        <v>0</v>
      </c>
      <c r="J375" s="37">
        <v>0</v>
      </c>
      <c r="K375" s="36">
        <v>0</v>
      </c>
      <c r="L375" s="38">
        <v>0</v>
      </c>
      <c r="M375" s="39"/>
      <c r="N375" s="36">
        <v>0</v>
      </c>
      <c r="O375" s="36">
        <v>0</v>
      </c>
      <c r="P375" s="36">
        <v>0</v>
      </c>
      <c r="Q375" s="36">
        <f>Q374*1936.27</f>
        <v>0</v>
      </c>
      <c r="R375" s="7"/>
      <c r="S375" s="7"/>
      <c r="T375" s="7"/>
      <c r="U375" s="7"/>
      <c r="V375" s="7"/>
      <c r="W375" s="7"/>
      <c r="X375" s="7"/>
      <c r="Y375" s="7"/>
      <c r="Z375" s="7"/>
    </row>
    <row r="376" spans="1:26" ht="12.75" customHeight="1" x14ac:dyDescent="0.2">
      <c r="A376" s="95"/>
      <c r="B376" s="95"/>
      <c r="C376" s="40" t="s">
        <v>36</v>
      </c>
      <c r="D376" s="41">
        <v>34</v>
      </c>
      <c r="E376" s="42">
        <v>0</v>
      </c>
      <c r="F376" s="42">
        <v>0</v>
      </c>
      <c r="G376" s="42">
        <v>0</v>
      </c>
      <c r="H376" s="42">
        <v>0</v>
      </c>
      <c r="I376" s="42">
        <v>0</v>
      </c>
      <c r="J376" s="42">
        <v>0</v>
      </c>
      <c r="K376" s="43">
        <v>0</v>
      </c>
      <c r="L376" s="32">
        <v>0</v>
      </c>
      <c r="M376" s="33"/>
      <c r="N376" s="30">
        <v>0</v>
      </c>
      <c r="O376" s="30">
        <v>0</v>
      </c>
      <c r="P376" s="30"/>
      <c r="Q376" s="30">
        <f>(N376+O376*0.18+J376)+(IF((P376-O376*0.18)&gt;0,(P376-O376*0.18),0))</f>
        <v>0</v>
      </c>
      <c r="R376" s="7"/>
      <c r="S376" s="7"/>
      <c r="T376" s="7"/>
      <c r="U376" s="7"/>
      <c r="V376" s="7"/>
      <c r="W376" s="7"/>
      <c r="X376" s="7"/>
      <c r="Y376" s="7"/>
      <c r="Z376" s="7"/>
    </row>
    <row r="377" spans="1:26" ht="9" customHeight="1" x14ac:dyDescent="0.2">
      <c r="A377" s="95"/>
      <c r="B377" s="95"/>
      <c r="C377" s="34" t="s">
        <v>37</v>
      </c>
      <c r="D377" s="35">
        <v>35</v>
      </c>
      <c r="E377" s="36">
        <v>0</v>
      </c>
      <c r="F377" s="36">
        <v>0</v>
      </c>
      <c r="G377" s="36">
        <v>0</v>
      </c>
      <c r="H377" s="36">
        <v>0</v>
      </c>
      <c r="I377" s="36">
        <v>0</v>
      </c>
      <c r="J377" s="37">
        <v>0</v>
      </c>
      <c r="K377" s="36">
        <v>0</v>
      </c>
      <c r="L377" s="38">
        <v>0</v>
      </c>
      <c r="M377" s="39"/>
      <c r="N377" s="36">
        <v>0</v>
      </c>
      <c r="O377" s="36">
        <v>0</v>
      </c>
      <c r="P377" s="36">
        <v>0</v>
      </c>
      <c r="Q377" s="36">
        <f>Q376*1936.27</f>
        <v>0</v>
      </c>
      <c r="R377" s="7"/>
      <c r="S377" s="7"/>
      <c r="T377" s="7"/>
      <c r="U377" s="7"/>
      <c r="V377" s="7"/>
      <c r="W377" s="7"/>
      <c r="X377" s="7"/>
      <c r="Y377" s="7"/>
      <c r="Z377" s="7"/>
    </row>
    <row r="378" spans="1:26" ht="12.75" customHeight="1" x14ac:dyDescent="0.2">
      <c r="A378" s="95"/>
      <c r="B378" s="95"/>
      <c r="C378" s="40" t="s">
        <v>36</v>
      </c>
      <c r="D378" s="41">
        <v>36</v>
      </c>
      <c r="E378" s="42">
        <v>0</v>
      </c>
      <c r="F378" s="42">
        <v>0</v>
      </c>
      <c r="G378" s="42">
        <v>0</v>
      </c>
      <c r="H378" s="42">
        <v>0</v>
      </c>
      <c r="I378" s="42">
        <v>0</v>
      </c>
      <c r="J378" s="42">
        <v>0</v>
      </c>
      <c r="K378" s="43">
        <v>0</v>
      </c>
      <c r="L378" s="32">
        <v>0</v>
      </c>
      <c r="M378" s="33"/>
      <c r="N378" s="30">
        <v>0</v>
      </c>
      <c r="O378" s="30">
        <v>0</v>
      </c>
      <c r="P378" s="30"/>
      <c r="Q378" s="30">
        <f>(N378+O378*0.18+J378)+(IF((P378-O378*0.18)&gt;0,(P378-O378*0.18),0))</f>
        <v>0</v>
      </c>
      <c r="R378" s="7"/>
      <c r="S378" s="7"/>
      <c r="T378" s="7"/>
      <c r="U378" s="7"/>
      <c r="V378" s="7"/>
      <c r="W378" s="7"/>
      <c r="X378" s="7"/>
      <c r="Y378" s="7"/>
      <c r="Z378" s="7"/>
    </row>
    <row r="379" spans="1:26" ht="9" customHeight="1" x14ac:dyDescent="0.2">
      <c r="A379" s="95"/>
      <c r="B379" s="95"/>
      <c r="C379" s="34" t="s">
        <v>37</v>
      </c>
      <c r="D379" s="35">
        <v>37</v>
      </c>
      <c r="E379" s="36">
        <v>0</v>
      </c>
      <c r="F379" s="36">
        <v>0</v>
      </c>
      <c r="G379" s="36">
        <v>0</v>
      </c>
      <c r="H379" s="36">
        <v>0</v>
      </c>
      <c r="I379" s="36">
        <v>0</v>
      </c>
      <c r="J379" s="37">
        <v>0</v>
      </c>
      <c r="K379" s="36">
        <v>0</v>
      </c>
      <c r="L379" s="38">
        <v>0</v>
      </c>
      <c r="M379" s="39"/>
      <c r="N379" s="36">
        <v>0</v>
      </c>
      <c r="O379" s="36">
        <v>0</v>
      </c>
      <c r="P379" s="36">
        <v>0</v>
      </c>
      <c r="Q379" s="36">
        <f>Q378*1936.27</f>
        <v>0</v>
      </c>
      <c r="R379" s="7"/>
      <c r="S379" s="7"/>
      <c r="T379" s="7"/>
      <c r="U379" s="7"/>
      <c r="V379" s="7"/>
      <c r="W379" s="7"/>
      <c r="X379" s="7"/>
      <c r="Y379" s="7"/>
      <c r="Z379" s="7"/>
    </row>
    <row r="380" spans="1:26" ht="12.75" customHeight="1" x14ac:dyDescent="0.2">
      <c r="A380" s="95"/>
      <c r="B380" s="95"/>
      <c r="C380" s="40" t="s">
        <v>36</v>
      </c>
      <c r="D380" s="41">
        <v>38</v>
      </c>
      <c r="E380" s="42">
        <v>0</v>
      </c>
      <c r="F380" s="42">
        <v>0</v>
      </c>
      <c r="G380" s="42">
        <v>0</v>
      </c>
      <c r="H380" s="42">
        <v>0</v>
      </c>
      <c r="I380" s="42">
        <v>0</v>
      </c>
      <c r="J380" s="42">
        <v>0</v>
      </c>
      <c r="K380" s="43">
        <v>0</v>
      </c>
      <c r="L380" s="32">
        <v>0</v>
      </c>
      <c r="M380" s="33"/>
      <c r="N380" s="30">
        <v>0</v>
      </c>
      <c r="O380" s="30">
        <v>0</v>
      </c>
      <c r="P380" s="30"/>
      <c r="Q380" s="30">
        <f>(N380+O380*0.18+J380)+(IF((P380-O380*0.18)&gt;0,(P380-O380*0.18),0))</f>
        <v>0</v>
      </c>
      <c r="R380" s="7"/>
      <c r="S380" s="7"/>
      <c r="T380" s="7"/>
      <c r="U380" s="7"/>
      <c r="V380" s="7"/>
      <c r="W380" s="7"/>
      <c r="X380" s="7"/>
      <c r="Y380" s="7"/>
      <c r="Z380" s="7"/>
    </row>
    <row r="381" spans="1:26" ht="9" customHeight="1" x14ac:dyDescent="0.2">
      <c r="A381" s="95"/>
      <c r="B381" s="95"/>
      <c r="C381" s="34" t="s">
        <v>37</v>
      </c>
      <c r="D381" s="35">
        <v>39</v>
      </c>
      <c r="E381" s="36">
        <v>0</v>
      </c>
      <c r="F381" s="36">
        <v>0</v>
      </c>
      <c r="G381" s="36">
        <v>0</v>
      </c>
      <c r="H381" s="36">
        <v>0</v>
      </c>
      <c r="I381" s="36">
        <v>0</v>
      </c>
      <c r="J381" s="37">
        <v>0</v>
      </c>
      <c r="K381" s="36">
        <v>0</v>
      </c>
      <c r="L381" s="38">
        <v>0</v>
      </c>
      <c r="M381" s="39"/>
      <c r="N381" s="36">
        <v>0</v>
      </c>
      <c r="O381" s="36">
        <v>0</v>
      </c>
      <c r="P381" s="36">
        <v>0</v>
      </c>
      <c r="Q381" s="36">
        <f>Q380*1936.27</f>
        <v>0</v>
      </c>
      <c r="R381" s="7"/>
      <c r="S381" s="7"/>
      <c r="T381" s="7"/>
      <c r="U381" s="7"/>
      <c r="V381" s="7"/>
      <c r="W381" s="7"/>
      <c r="X381" s="7"/>
      <c r="Y381" s="7"/>
      <c r="Z381" s="7"/>
    </row>
    <row r="382" spans="1:26" ht="12.75" customHeight="1" x14ac:dyDescent="0.2">
      <c r="A382" s="95"/>
      <c r="B382" s="95"/>
      <c r="C382" s="40" t="s">
        <v>36</v>
      </c>
      <c r="D382" s="41">
        <v>40</v>
      </c>
      <c r="E382" s="42">
        <v>0</v>
      </c>
      <c r="F382" s="42">
        <v>0</v>
      </c>
      <c r="G382" s="42">
        <v>0</v>
      </c>
      <c r="H382" s="42">
        <v>0</v>
      </c>
      <c r="I382" s="42">
        <v>0</v>
      </c>
      <c r="J382" s="42">
        <v>0</v>
      </c>
      <c r="K382" s="43">
        <v>0</v>
      </c>
      <c r="L382" s="32">
        <v>0</v>
      </c>
      <c r="M382" s="33"/>
      <c r="N382" s="30">
        <v>0</v>
      </c>
      <c r="O382" s="30">
        <v>0</v>
      </c>
      <c r="P382" s="30"/>
      <c r="Q382" s="30">
        <f>(N382+O382*0.18+J382)+(IF((P382-O382*0.18)&gt;0,(P382-O382*0.18),0))</f>
        <v>0</v>
      </c>
      <c r="R382" s="7"/>
      <c r="S382" s="7"/>
      <c r="T382" s="7"/>
      <c r="U382" s="7"/>
      <c r="V382" s="7"/>
      <c r="W382" s="7"/>
      <c r="X382" s="7"/>
      <c r="Y382" s="7"/>
      <c r="Z382" s="7"/>
    </row>
    <row r="383" spans="1:26" ht="9" customHeight="1" x14ac:dyDescent="0.2">
      <c r="A383" s="110"/>
      <c r="B383" s="110"/>
      <c r="C383" s="47"/>
      <c r="D383" s="48"/>
      <c r="E383" s="46">
        <v>0</v>
      </c>
      <c r="F383" s="46">
        <v>0</v>
      </c>
      <c r="G383" s="46">
        <v>0</v>
      </c>
      <c r="H383" s="46">
        <v>0</v>
      </c>
      <c r="I383" s="46">
        <v>0</v>
      </c>
      <c r="J383" s="49">
        <v>0</v>
      </c>
      <c r="K383" s="46">
        <v>0</v>
      </c>
      <c r="L383" s="38">
        <v>0</v>
      </c>
      <c r="M383" s="39"/>
      <c r="N383" s="36">
        <v>0</v>
      </c>
      <c r="O383" s="36">
        <v>0</v>
      </c>
      <c r="P383" s="36">
        <v>0</v>
      </c>
      <c r="Q383" s="36">
        <f>Q382*1936.27</f>
        <v>0</v>
      </c>
      <c r="R383" s="7"/>
      <c r="S383" s="7"/>
      <c r="T383" s="7"/>
      <c r="U383" s="7"/>
      <c r="V383" s="7"/>
      <c r="W383" s="7"/>
      <c r="X383" s="7"/>
      <c r="Y383" s="7"/>
      <c r="Z383" s="7"/>
    </row>
    <row r="384" spans="1:26" ht="12.75" customHeight="1" x14ac:dyDescent="0.2">
      <c r="A384" s="98">
        <v>35065</v>
      </c>
      <c r="B384" s="98">
        <v>35369</v>
      </c>
      <c r="C384" s="28" t="s">
        <v>36</v>
      </c>
      <c r="D384" s="29">
        <v>0</v>
      </c>
      <c r="E384" s="30">
        <v>0</v>
      </c>
      <c r="F384" s="30">
        <v>0</v>
      </c>
      <c r="G384" s="30">
        <v>0</v>
      </c>
      <c r="H384" s="30">
        <v>0</v>
      </c>
      <c r="I384" s="30">
        <v>0</v>
      </c>
      <c r="J384" s="30">
        <v>0</v>
      </c>
      <c r="K384" s="31">
        <v>0</v>
      </c>
      <c r="L384" s="32">
        <v>0</v>
      </c>
      <c r="M384" s="33"/>
      <c r="N384" s="30">
        <v>0</v>
      </c>
      <c r="O384" s="30">
        <v>0</v>
      </c>
      <c r="P384" s="30"/>
      <c r="Q384" s="30">
        <f>(N384+O384*0.18+J384)+(IF((P384-O384*0.18)&gt;0,(P384-O384*0.18),0))</f>
        <v>0</v>
      </c>
      <c r="R384" s="7"/>
      <c r="S384" s="7"/>
      <c r="T384" s="7"/>
      <c r="U384" s="7"/>
      <c r="V384" s="7"/>
      <c r="W384" s="7"/>
      <c r="X384" s="7"/>
      <c r="Y384" s="7"/>
      <c r="Z384" s="7"/>
    </row>
    <row r="385" spans="1:26" ht="9" customHeight="1" x14ac:dyDescent="0.2">
      <c r="A385" s="95"/>
      <c r="B385" s="95"/>
      <c r="C385" s="34" t="s">
        <v>37</v>
      </c>
      <c r="D385" s="35">
        <v>2</v>
      </c>
      <c r="E385" s="36">
        <v>0</v>
      </c>
      <c r="F385" s="36">
        <v>0</v>
      </c>
      <c r="G385" s="36">
        <v>0</v>
      </c>
      <c r="H385" s="36">
        <v>0</v>
      </c>
      <c r="I385" s="36">
        <v>0</v>
      </c>
      <c r="J385" s="37">
        <v>0</v>
      </c>
      <c r="K385" s="36">
        <v>0</v>
      </c>
      <c r="L385" s="38">
        <v>0</v>
      </c>
      <c r="M385" s="39"/>
      <c r="N385" s="36">
        <v>0</v>
      </c>
      <c r="O385" s="36">
        <v>0</v>
      </c>
      <c r="P385" s="36">
        <v>0</v>
      </c>
      <c r="Q385" s="36">
        <f>Q384*1936.27</f>
        <v>0</v>
      </c>
      <c r="R385" s="7"/>
      <c r="S385" s="7"/>
      <c r="T385" s="7"/>
      <c r="U385" s="7"/>
      <c r="V385" s="7"/>
      <c r="W385" s="7"/>
      <c r="X385" s="7"/>
      <c r="Y385" s="7"/>
      <c r="Z385" s="7"/>
    </row>
    <row r="386" spans="1:26" ht="12.75" customHeight="1" x14ac:dyDescent="0.2">
      <c r="A386" s="156">
        <v>35065</v>
      </c>
      <c r="B386" s="156">
        <v>35369</v>
      </c>
      <c r="C386" s="40" t="s">
        <v>36</v>
      </c>
      <c r="D386" s="41">
        <v>3</v>
      </c>
      <c r="E386" s="42">
        <v>0</v>
      </c>
      <c r="F386" s="42">
        <v>0</v>
      </c>
      <c r="G386" s="42">
        <v>0</v>
      </c>
      <c r="H386" s="42">
        <v>0</v>
      </c>
      <c r="I386" s="42">
        <v>0</v>
      </c>
      <c r="J386" s="42">
        <v>0</v>
      </c>
      <c r="K386" s="43">
        <v>0</v>
      </c>
      <c r="L386" s="32">
        <v>0</v>
      </c>
      <c r="M386" s="33"/>
      <c r="N386" s="30">
        <v>0</v>
      </c>
      <c r="O386" s="30">
        <v>0</v>
      </c>
      <c r="P386" s="30"/>
      <c r="Q386" s="30">
        <f>(N386+O386*0.18+J386)+(IF((P386-O386*0.18)&gt;0,(P386-O386*0.18),0))</f>
        <v>0</v>
      </c>
      <c r="R386" s="7"/>
      <c r="S386" s="7"/>
      <c r="T386" s="7"/>
      <c r="U386" s="7"/>
      <c r="V386" s="7"/>
      <c r="W386" s="7"/>
      <c r="X386" s="7"/>
      <c r="Y386" s="7"/>
      <c r="Z386" s="7"/>
    </row>
    <row r="387" spans="1:26" ht="9" customHeight="1" x14ac:dyDescent="0.2">
      <c r="A387" s="95"/>
      <c r="B387" s="95"/>
      <c r="C387" s="34" t="s">
        <v>37</v>
      </c>
      <c r="D387" s="35">
        <v>8</v>
      </c>
      <c r="E387" s="36">
        <v>0</v>
      </c>
      <c r="F387" s="36">
        <v>0</v>
      </c>
      <c r="G387" s="36">
        <v>0</v>
      </c>
      <c r="H387" s="36">
        <v>0</v>
      </c>
      <c r="I387" s="36">
        <v>0</v>
      </c>
      <c r="J387" s="37">
        <v>0</v>
      </c>
      <c r="K387" s="36">
        <v>0</v>
      </c>
      <c r="L387" s="38">
        <v>0</v>
      </c>
      <c r="M387" s="39"/>
      <c r="N387" s="36">
        <v>0</v>
      </c>
      <c r="O387" s="36">
        <v>0</v>
      </c>
      <c r="P387" s="36">
        <v>0</v>
      </c>
      <c r="Q387" s="36">
        <f>Q386*1936.27</f>
        <v>0</v>
      </c>
      <c r="R387" s="7"/>
      <c r="S387" s="7"/>
      <c r="T387" s="7"/>
      <c r="U387" s="7"/>
      <c r="V387" s="7"/>
      <c r="W387" s="7"/>
      <c r="X387" s="7"/>
      <c r="Y387" s="7"/>
      <c r="Z387" s="7"/>
    </row>
    <row r="388" spans="1:26" ht="12.75" customHeight="1" x14ac:dyDescent="0.2">
      <c r="A388" s="95"/>
      <c r="B388" s="95"/>
      <c r="C388" s="40" t="s">
        <v>36</v>
      </c>
      <c r="D388" s="41">
        <v>9</v>
      </c>
      <c r="E388" s="42">
        <v>0</v>
      </c>
      <c r="F388" s="42">
        <v>0</v>
      </c>
      <c r="G388" s="42">
        <v>0</v>
      </c>
      <c r="H388" s="42">
        <v>0</v>
      </c>
      <c r="I388" s="42">
        <v>0</v>
      </c>
      <c r="J388" s="42">
        <v>0</v>
      </c>
      <c r="K388" s="43">
        <v>0</v>
      </c>
      <c r="L388" s="32">
        <v>0</v>
      </c>
      <c r="M388" s="33"/>
      <c r="N388" s="30">
        <v>0</v>
      </c>
      <c r="O388" s="30">
        <v>0</v>
      </c>
      <c r="P388" s="30"/>
      <c r="Q388" s="30">
        <f>(N388+O388*0.18+J388)+(IF((P388-O388*0.18)&gt;0,(P388-O388*0.18),0))</f>
        <v>0</v>
      </c>
      <c r="R388" s="7"/>
      <c r="S388" s="7"/>
      <c r="T388" s="7"/>
      <c r="U388" s="7"/>
      <c r="V388" s="7"/>
      <c r="W388" s="7"/>
      <c r="X388" s="7"/>
      <c r="Y388" s="7"/>
      <c r="Z388" s="7"/>
    </row>
    <row r="389" spans="1:26" ht="9" customHeight="1" x14ac:dyDescent="0.2">
      <c r="A389" s="95"/>
      <c r="B389" s="95"/>
      <c r="C389" s="34" t="s">
        <v>37</v>
      </c>
      <c r="D389" s="35">
        <v>14</v>
      </c>
      <c r="E389" s="36">
        <v>0</v>
      </c>
      <c r="F389" s="36">
        <v>0</v>
      </c>
      <c r="G389" s="36">
        <v>0</v>
      </c>
      <c r="H389" s="36">
        <v>0</v>
      </c>
      <c r="I389" s="36">
        <v>0</v>
      </c>
      <c r="J389" s="37">
        <v>0</v>
      </c>
      <c r="K389" s="36">
        <v>0</v>
      </c>
      <c r="L389" s="38">
        <v>0</v>
      </c>
      <c r="M389" s="39"/>
      <c r="N389" s="36">
        <v>0</v>
      </c>
      <c r="O389" s="36">
        <v>0</v>
      </c>
      <c r="P389" s="36">
        <v>0</v>
      </c>
      <c r="Q389" s="36">
        <f>Q388*1936.27</f>
        <v>0</v>
      </c>
      <c r="R389" s="7"/>
      <c r="S389" s="7"/>
      <c r="T389" s="7"/>
      <c r="U389" s="7"/>
      <c r="V389" s="7"/>
      <c r="W389" s="7"/>
      <c r="X389" s="7"/>
      <c r="Y389" s="7"/>
      <c r="Z389" s="7"/>
    </row>
    <row r="390" spans="1:26" ht="12.75" customHeight="1" x14ac:dyDescent="0.2">
      <c r="A390" s="95"/>
      <c r="B390" s="95"/>
      <c r="C390" s="40" t="s">
        <v>36</v>
      </c>
      <c r="D390" s="41">
        <v>15</v>
      </c>
      <c r="E390" s="42">
        <v>0</v>
      </c>
      <c r="F390" s="42">
        <v>0</v>
      </c>
      <c r="G390" s="42">
        <v>0</v>
      </c>
      <c r="H390" s="42">
        <v>0</v>
      </c>
      <c r="I390" s="42">
        <v>0</v>
      </c>
      <c r="J390" s="42">
        <v>0</v>
      </c>
      <c r="K390" s="43">
        <v>0</v>
      </c>
      <c r="L390" s="32">
        <v>0</v>
      </c>
      <c r="M390" s="33"/>
      <c r="N390" s="30">
        <v>0</v>
      </c>
      <c r="O390" s="30">
        <v>0</v>
      </c>
      <c r="P390" s="30"/>
      <c r="Q390" s="30">
        <f>(N390+O390*0.18+J390)+(IF((P390-O390*0.18)&gt;0,(P390-O390*0.18),0))</f>
        <v>0</v>
      </c>
      <c r="R390" s="7"/>
      <c r="S390" s="7"/>
      <c r="T390" s="7"/>
      <c r="U390" s="7"/>
      <c r="V390" s="7"/>
      <c r="W390" s="7"/>
      <c r="X390" s="7"/>
      <c r="Y390" s="7"/>
      <c r="Z390" s="7"/>
    </row>
    <row r="391" spans="1:26" ht="9" customHeight="1" x14ac:dyDescent="0.2">
      <c r="A391" s="95"/>
      <c r="B391" s="95"/>
      <c r="C391" s="34" t="s">
        <v>37</v>
      </c>
      <c r="D391" s="35">
        <v>20</v>
      </c>
      <c r="E391" s="36">
        <v>0</v>
      </c>
      <c r="F391" s="36">
        <v>0</v>
      </c>
      <c r="G391" s="36">
        <v>0</v>
      </c>
      <c r="H391" s="36">
        <v>0</v>
      </c>
      <c r="I391" s="36">
        <v>0</v>
      </c>
      <c r="J391" s="37">
        <v>0</v>
      </c>
      <c r="K391" s="36">
        <v>0</v>
      </c>
      <c r="L391" s="38">
        <v>0</v>
      </c>
      <c r="M391" s="39"/>
      <c r="N391" s="36">
        <v>0</v>
      </c>
      <c r="O391" s="36">
        <v>0</v>
      </c>
      <c r="P391" s="36">
        <v>0</v>
      </c>
      <c r="Q391" s="36">
        <f>Q390*1936.27</f>
        <v>0</v>
      </c>
      <c r="R391" s="7"/>
      <c r="S391" s="7"/>
      <c r="T391" s="7"/>
      <c r="U391" s="7"/>
      <c r="V391" s="7"/>
      <c r="W391" s="7"/>
      <c r="X391" s="7"/>
      <c r="Y391" s="7"/>
      <c r="Z391" s="7"/>
    </row>
    <row r="392" spans="1:26" ht="12.75" customHeight="1" x14ac:dyDescent="0.2">
      <c r="A392" s="95"/>
      <c r="B392" s="95"/>
      <c r="C392" s="40" t="s">
        <v>36</v>
      </c>
      <c r="D392" s="41">
        <v>21</v>
      </c>
      <c r="E392" s="42">
        <v>0</v>
      </c>
      <c r="F392" s="42">
        <v>0</v>
      </c>
      <c r="G392" s="42">
        <v>0</v>
      </c>
      <c r="H392" s="42">
        <v>0</v>
      </c>
      <c r="I392" s="42">
        <v>0</v>
      </c>
      <c r="J392" s="42">
        <v>0</v>
      </c>
      <c r="K392" s="43">
        <v>0</v>
      </c>
      <c r="L392" s="32">
        <v>0</v>
      </c>
      <c r="M392" s="33"/>
      <c r="N392" s="30">
        <v>0</v>
      </c>
      <c r="O392" s="30">
        <v>0</v>
      </c>
      <c r="P392" s="30"/>
      <c r="Q392" s="30">
        <f>(N392+O392*0.18+J392)+(IF((P392-O392*0.18)&gt;0,(P392-O392*0.18),0))</f>
        <v>0</v>
      </c>
      <c r="R392" s="7"/>
      <c r="S392" s="7"/>
      <c r="T392" s="7"/>
      <c r="U392" s="7"/>
      <c r="V392" s="7"/>
      <c r="W392" s="7"/>
      <c r="X392" s="7"/>
      <c r="Y392" s="7"/>
      <c r="Z392" s="7"/>
    </row>
    <row r="393" spans="1:26" ht="9" customHeight="1" x14ac:dyDescent="0.2">
      <c r="A393" s="95"/>
      <c r="B393" s="95"/>
      <c r="C393" s="34" t="s">
        <v>37</v>
      </c>
      <c r="D393" s="35">
        <v>27</v>
      </c>
      <c r="E393" s="36">
        <v>0</v>
      </c>
      <c r="F393" s="36">
        <v>0</v>
      </c>
      <c r="G393" s="36">
        <v>0</v>
      </c>
      <c r="H393" s="36">
        <v>0</v>
      </c>
      <c r="I393" s="36">
        <v>0</v>
      </c>
      <c r="J393" s="37">
        <v>0</v>
      </c>
      <c r="K393" s="36">
        <v>0</v>
      </c>
      <c r="L393" s="38">
        <v>0</v>
      </c>
      <c r="M393" s="39"/>
      <c r="N393" s="36">
        <v>0</v>
      </c>
      <c r="O393" s="36">
        <v>0</v>
      </c>
      <c r="P393" s="36">
        <v>0</v>
      </c>
      <c r="Q393" s="36">
        <f>Q392*1936.27</f>
        <v>0</v>
      </c>
      <c r="R393" s="7"/>
      <c r="S393" s="7"/>
      <c r="T393" s="7"/>
      <c r="U393" s="7"/>
      <c r="V393" s="7"/>
      <c r="W393" s="7"/>
      <c r="X393" s="7"/>
      <c r="Y393" s="7"/>
      <c r="Z393" s="7"/>
    </row>
    <row r="394" spans="1:26" ht="12.75" customHeight="1" x14ac:dyDescent="0.2">
      <c r="A394" s="95"/>
      <c r="B394" s="95"/>
      <c r="C394" s="40" t="s">
        <v>36</v>
      </c>
      <c r="D394" s="41">
        <v>28</v>
      </c>
      <c r="E394" s="42">
        <v>0</v>
      </c>
      <c r="F394" s="42">
        <v>0</v>
      </c>
      <c r="G394" s="42">
        <v>0</v>
      </c>
      <c r="H394" s="42">
        <v>0</v>
      </c>
      <c r="I394" s="42">
        <v>0</v>
      </c>
      <c r="J394" s="42">
        <v>0</v>
      </c>
      <c r="K394" s="43">
        <v>0</v>
      </c>
      <c r="L394" s="32">
        <v>0</v>
      </c>
      <c r="M394" s="33"/>
      <c r="N394" s="30">
        <v>0</v>
      </c>
      <c r="O394" s="30">
        <v>0</v>
      </c>
      <c r="P394" s="30"/>
      <c r="Q394" s="30">
        <f>(N394+O394*0.18+J394)+(IF((P394-O394*0.18)&gt;0,(P394-O394*0.18),0))</f>
        <v>0</v>
      </c>
      <c r="R394" s="7"/>
      <c r="S394" s="7"/>
      <c r="T394" s="7"/>
      <c r="U394" s="7"/>
      <c r="V394" s="7"/>
      <c r="W394" s="7"/>
      <c r="X394" s="7"/>
      <c r="Y394" s="7"/>
      <c r="Z394" s="7"/>
    </row>
    <row r="395" spans="1:26" ht="9" customHeight="1" x14ac:dyDescent="0.2">
      <c r="A395" s="95"/>
      <c r="B395" s="95"/>
      <c r="C395" s="34" t="s">
        <v>37</v>
      </c>
      <c r="D395" s="35">
        <v>34</v>
      </c>
      <c r="E395" s="36">
        <v>0</v>
      </c>
      <c r="F395" s="36">
        <v>0</v>
      </c>
      <c r="G395" s="36">
        <v>0</v>
      </c>
      <c r="H395" s="36">
        <v>0</v>
      </c>
      <c r="I395" s="36">
        <v>0</v>
      </c>
      <c r="J395" s="37">
        <v>0</v>
      </c>
      <c r="K395" s="36">
        <v>0</v>
      </c>
      <c r="L395" s="38">
        <v>0</v>
      </c>
      <c r="M395" s="39"/>
      <c r="N395" s="36">
        <v>0</v>
      </c>
      <c r="O395" s="36">
        <v>0</v>
      </c>
      <c r="P395" s="36">
        <v>0</v>
      </c>
      <c r="Q395" s="36">
        <f>Q394*1936.27</f>
        <v>0</v>
      </c>
      <c r="R395" s="7"/>
      <c r="S395" s="7"/>
      <c r="T395" s="7"/>
      <c r="U395" s="7"/>
      <c r="V395" s="7"/>
      <c r="W395" s="7"/>
      <c r="X395" s="7"/>
      <c r="Y395" s="7"/>
      <c r="Z395" s="7"/>
    </row>
    <row r="396" spans="1:26" ht="12.75" customHeight="1" x14ac:dyDescent="0.2">
      <c r="A396" s="95"/>
      <c r="B396" s="95"/>
      <c r="C396" s="40" t="s">
        <v>36</v>
      </c>
      <c r="D396" s="41">
        <v>35</v>
      </c>
      <c r="E396" s="42">
        <v>0</v>
      </c>
      <c r="F396" s="42">
        <v>0</v>
      </c>
      <c r="G396" s="42">
        <v>0</v>
      </c>
      <c r="H396" s="42">
        <v>0</v>
      </c>
      <c r="I396" s="42">
        <v>0</v>
      </c>
      <c r="J396" s="42">
        <v>0</v>
      </c>
      <c r="K396" s="43">
        <v>0</v>
      </c>
      <c r="L396" s="32">
        <v>0</v>
      </c>
      <c r="M396" s="33"/>
      <c r="N396" s="30">
        <v>0</v>
      </c>
      <c r="O396" s="30">
        <v>0</v>
      </c>
      <c r="P396" s="30"/>
      <c r="Q396" s="30">
        <f>(N396+O396*0.18+J396)+(IF((P396-O396*0.18)&gt;0,(P396-O396*0.18),0))</f>
        <v>0</v>
      </c>
      <c r="R396" s="7"/>
      <c r="S396" s="7"/>
      <c r="T396" s="7"/>
      <c r="U396" s="7"/>
      <c r="V396" s="7"/>
      <c r="W396" s="7"/>
      <c r="X396" s="7"/>
      <c r="Y396" s="7"/>
      <c r="Z396" s="7"/>
    </row>
    <row r="397" spans="1:26" ht="9" customHeight="1" x14ac:dyDescent="0.2">
      <c r="A397" s="110"/>
      <c r="B397" s="110"/>
      <c r="C397" s="47" t="s">
        <v>37</v>
      </c>
      <c r="D397" s="48"/>
      <c r="E397" s="46">
        <v>0</v>
      </c>
      <c r="F397" s="46">
        <v>0</v>
      </c>
      <c r="G397" s="46">
        <v>0</v>
      </c>
      <c r="H397" s="46">
        <v>0</v>
      </c>
      <c r="I397" s="46">
        <v>0</v>
      </c>
      <c r="J397" s="49">
        <v>0</v>
      </c>
      <c r="K397" s="46">
        <v>0</v>
      </c>
      <c r="L397" s="38">
        <v>0</v>
      </c>
      <c r="M397" s="39"/>
      <c r="N397" s="36">
        <v>0</v>
      </c>
      <c r="O397" s="36">
        <v>0</v>
      </c>
      <c r="P397" s="36">
        <v>0</v>
      </c>
      <c r="Q397" s="36">
        <f>Q396*1936.27</f>
        <v>0</v>
      </c>
      <c r="R397" s="7"/>
      <c r="S397" s="7"/>
      <c r="T397" s="7"/>
      <c r="U397" s="7"/>
      <c r="V397" s="7"/>
      <c r="W397" s="7"/>
      <c r="X397" s="7"/>
      <c r="Y397" s="7"/>
      <c r="Z397" s="7"/>
    </row>
    <row r="398" spans="1:26" ht="12.75" customHeight="1" x14ac:dyDescent="0.2">
      <c r="A398" s="98">
        <v>35370</v>
      </c>
      <c r="B398" s="98">
        <v>35611</v>
      </c>
      <c r="C398" s="28" t="s">
        <v>36</v>
      </c>
      <c r="D398" s="29">
        <v>0</v>
      </c>
      <c r="E398" s="30">
        <v>0</v>
      </c>
      <c r="F398" s="30">
        <v>0</v>
      </c>
      <c r="G398" s="30">
        <v>0</v>
      </c>
      <c r="H398" s="30">
        <v>0</v>
      </c>
      <c r="I398" s="30">
        <v>0</v>
      </c>
      <c r="J398" s="30">
        <v>0</v>
      </c>
      <c r="K398" s="31">
        <v>0</v>
      </c>
      <c r="L398" s="32">
        <v>0</v>
      </c>
      <c r="M398" s="33"/>
      <c r="N398" s="30">
        <v>0</v>
      </c>
      <c r="O398" s="30">
        <v>0</v>
      </c>
      <c r="P398" s="30"/>
      <c r="Q398" s="30">
        <f>(N398+O398*0.18+J398)+(IF((P398-O398*0.18)&gt;0,(P398-O398*0.18),0))</f>
        <v>0</v>
      </c>
      <c r="R398" s="7"/>
      <c r="S398" s="7"/>
      <c r="T398" s="7"/>
      <c r="U398" s="7"/>
      <c r="V398" s="7"/>
      <c r="W398" s="7"/>
      <c r="X398" s="7"/>
      <c r="Y398" s="7"/>
      <c r="Z398" s="7"/>
    </row>
    <row r="399" spans="1:26" ht="9" customHeight="1" x14ac:dyDescent="0.2">
      <c r="A399" s="95"/>
      <c r="B399" s="95"/>
      <c r="C399" s="34" t="s">
        <v>37</v>
      </c>
      <c r="D399" s="35">
        <v>2</v>
      </c>
      <c r="E399" s="36">
        <v>0</v>
      </c>
      <c r="F399" s="36">
        <v>0</v>
      </c>
      <c r="G399" s="36">
        <v>0</v>
      </c>
      <c r="H399" s="36">
        <v>0</v>
      </c>
      <c r="I399" s="36">
        <v>0</v>
      </c>
      <c r="J399" s="37">
        <v>0</v>
      </c>
      <c r="K399" s="36">
        <v>0</v>
      </c>
      <c r="L399" s="38">
        <v>0</v>
      </c>
      <c r="M399" s="39"/>
      <c r="N399" s="36">
        <v>0</v>
      </c>
      <c r="O399" s="36">
        <v>0</v>
      </c>
      <c r="P399" s="36">
        <v>0</v>
      </c>
      <c r="Q399" s="36">
        <f>Q398*1936.27</f>
        <v>0</v>
      </c>
      <c r="R399" s="7"/>
      <c r="S399" s="7"/>
      <c r="T399" s="7"/>
      <c r="U399" s="7"/>
      <c r="V399" s="7"/>
      <c r="W399" s="7"/>
      <c r="X399" s="7"/>
      <c r="Y399" s="7"/>
      <c r="Z399" s="7"/>
    </row>
    <row r="400" spans="1:26" ht="12.75" customHeight="1" x14ac:dyDescent="0.2">
      <c r="A400" s="156">
        <v>35370</v>
      </c>
      <c r="B400" s="156">
        <v>35611</v>
      </c>
      <c r="C400" s="40" t="s">
        <v>36</v>
      </c>
      <c r="D400" s="41">
        <v>3</v>
      </c>
      <c r="E400" s="42">
        <v>0</v>
      </c>
      <c r="F400" s="42">
        <v>0</v>
      </c>
      <c r="G400" s="42">
        <v>0</v>
      </c>
      <c r="H400" s="42">
        <v>0</v>
      </c>
      <c r="I400" s="42">
        <v>0</v>
      </c>
      <c r="J400" s="42">
        <v>0</v>
      </c>
      <c r="K400" s="43">
        <v>0</v>
      </c>
      <c r="L400" s="32">
        <v>0</v>
      </c>
      <c r="M400" s="33"/>
      <c r="N400" s="30">
        <v>0</v>
      </c>
      <c r="O400" s="30">
        <v>0</v>
      </c>
      <c r="P400" s="30"/>
      <c r="Q400" s="30">
        <f>(N400+O400*0.18+J400)+(IF((P400-O400*0.18)&gt;0,(P400-O400*0.18),0))</f>
        <v>0</v>
      </c>
      <c r="R400" s="7"/>
      <c r="S400" s="7"/>
      <c r="T400" s="7"/>
      <c r="U400" s="7"/>
      <c r="V400" s="7"/>
      <c r="W400" s="7"/>
      <c r="X400" s="7"/>
      <c r="Y400" s="7"/>
      <c r="Z400" s="7"/>
    </row>
    <row r="401" spans="1:26" ht="9" customHeight="1" x14ac:dyDescent="0.2">
      <c r="A401" s="95"/>
      <c r="B401" s="95"/>
      <c r="C401" s="34" t="s">
        <v>37</v>
      </c>
      <c r="D401" s="35">
        <v>8</v>
      </c>
      <c r="E401" s="36">
        <v>0</v>
      </c>
      <c r="F401" s="36">
        <v>0</v>
      </c>
      <c r="G401" s="36">
        <v>0</v>
      </c>
      <c r="H401" s="36">
        <v>0</v>
      </c>
      <c r="I401" s="36">
        <v>0</v>
      </c>
      <c r="J401" s="37">
        <v>0</v>
      </c>
      <c r="K401" s="36">
        <v>0</v>
      </c>
      <c r="L401" s="38">
        <v>0</v>
      </c>
      <c r="M401" s="39"/>
      <c r="N401" s="36">
        <v>0</v>
      </c>
      <c r="O401" s="36">
        <v>0</v>
      </c>
      <c r="P401" s="36">
        <v>0</v>
      </c>
      <c r="Q401" s="36">
        <f>Q400*1936.27</f>
        <v>0</v>
      </c>
      <c r="R401" s="7"/>
      <c r="S401" s="7"/>
      <c r="T401" s="7"/>
      <c r="U401" s="7"/>
      <c r="V401" s="7"/>
      <c r="W401" s="7"/>
      <c r="X401" s="7"/>
      <c r="Y401" s="7"/>
      <c r="Z401" s="7"/>
    </row>
    <row r="402" spans="1:26" ht="12.75" customHeight="1" x14ac:dyDescent="0.2">
      <c r="A402" s="95"/>
      <c r="B402" s="95"/>
      <c r="C402" s="40" t="s">
        <v>36</v>
      </c>
      <c r="D402" s="41">
        <v>9</v>
      </c>
      <c r="E402" s="42">
        <v>0</v>
      </c>
      <c r="F402" s="42">
        <v>0</v>
      </c>
      <c r="G402" s="42">
        <v>0</v>
      </c>
      <c r="H402" s="42">
        <v>0</v>
      </c>
      <c r="I402" s="42">
        <v>0</v>
      </c>
      <c r="J402" s="42">
        <v>0</v>
      </c>
      <c r="K402" s="43">
        <v>0</v>
      </c>
      <c r="L402" s="32">
        <v>0</v>
      </c>
      <c r="M402" s="33"/>
      <c r="N402" s="30">
        <v>0</v>
      </c>
      <c r="O402" s="30">
        <v>0</v>
      </c>
      <c r="P402" s="30"/>
      <c r="Q402" s="30">
        <f>(N402+O402*0.18+J402)+(IF((P402-O402*0.18)&gt;0,(P402-O402*0.18),0))</f>
        <v>0</v>
      </c>
      <c r="R402" s="7"/>
      <c r="S402" s="7"/>
      <c r="T402" s="7"/>
      <c r="U402" s="7"/>
      <c r="V402" s="7"/>
      <c r="W402" s="7"/>
      <c r="X402" s="7"/>
      <c r="Y402" s="7"/>
      <c r="Z402" s="7"/>
    </row>
    <row r="403" spans="1:26" ht="9" customHeight="1" x14ac:dyDescent="0.2">
      <c r="A403" s="95"/>
      <c r="B403" s="95"/>
      <c r="C403" s="34" t="s">
        <v>37</v>
      </c>
      <c r="D403" s="35">
        <v>14</v>
      </c>
      <c r="E403" s="36">
        <v>0</v>
      </c>
      <c r="F403" s="36">
        <v>0</v>
      </c>
      <c r="G403" s="36">
        <v>0</v>
      </c>
      <c r="H403" s="36">
        <v>0</v>
      </c>
      <c r="I403" s="36">
        <v>0</v>
      </c>
      <c r="J403" s="37">
        <v>0</v>
      </c>
      <c r="K403" s="36">
        <v>0</v>
      </c>
      <c r="L403" s="38">
        <v>0</v>
      </c>
      <c r="M403" s="39"/>
      <c r="N403" s="36">
        <v>0</v>
      </c>
      <c r="O403" s="36">
        <v>0</v>
      </c>
      <c r="P403" s="36">
        <v>0</v>
      </c>
      <c r="Q403" s="36">
        <f>Q402*1936.27</f>
        <v>0</v>
      </c>
      <c r="R403" s="7"/>
      <c r="S403" s="7"/>
      <c r="T403" s="7"/>
      <c r="U403" s="7"/>
      <c r="V403" s="7"/>
      <c r="W403" s="7"/>
      <c r="X403" s="7"/>
      <c r="Y403" s="7"/>
      <c r="Z403" s="7"/>
    </row>
    <row r="404" spans="1:26" ht="12.75" customHeight="1" x14ac:dyDescent="0.2">
      <c r="A404" s="95"/>
      <c r="B404" s="95"/>
      <c r="C404" s="40" t="s">
        <v>36</v>
      </c>
      <c r="D404" s="41">
        <v>15</v>
      </c>
      <c r="E404" s="42">
        <v>0</v>
      </c>
      <c r="F404" s="42">
        <v>0</v>
      </c>
      <c r="G404" s="42">
        <v>0</v>
      </c>
      <c r="H404" s="42">
        <v>0</v>
      </c>
      <c r="I404" s="42">
        <v>0</v>
      </c>
      <c r="J404" s="42">
        <v>0</v>
      </c>
      <c r="K404" s="43">
        <v>0</v>
      </c>
      <c r="L404" s="32">
        <v>0</v>
      </c>
      <c r="M404" s="33"/>
      <c r="N404" s="30">
        <v>0</v>
      </c>
      <c r="O404" s="30">
        <v>0</v>
      </c>
      <c r="P404" s="30"/>
      <c r="Q404" s="30">
        <f>(N404+O404*0.18+J404)+(IF((P404-O404*0.18)&gt;0,(P404-O404*0.18),0))</f>
        <v>0</v>
      </c>
      <c r="R404" s="7"/>
      <c r="S404" s="7"/>
      <c r="T404" s="7"/>
      <c r="U404" s="7"/>
      <c r="V404" s="7"/>
      <c r="W404" s="7"/>
      <c r="X404" s="7"/>
      <c r="Y404" s="7"/>
      <c r="Z404" s="7"/>
    </row>
    <row r="405" spans="1:26" ht="9" customHeight="1" x14ac:dyDescent="0.2">
      <c r="A405" s="95"/>
      <c r="B405" s="95"/>
      <c r="C405" s="34" t="s">
        <v>37</v>
      </c>
      <c r="D405" s="35">
        <v>20</v>
      </c>
      <c r="E405" s="36">
        <v>0</v>
      </c>
      <c r="F405" s="36">
        <v>0</v>
      </c>
      <c r="G405" s="36">
        <v>0</v>
      </c>
      <c r="H405" s="36">
        <v>0</v>
      </c>
      <c r="I405" s="36">
        <v>0</v>
      </c>
      <c r="J405" s="37">
        <v>0</v>
      </c>
      <c r="K405" s="36">
        <v>0</v>
      </c>
      <c r="L405" s="38">
        <v>0</v>
      </c>
      <c r="M405" s="39"/>
      <c r="N405" s="36">
        <v>0</v>
      </c>
      <c r="O405" s="36">
        <v>0</v>
      </c>
      <c r="P405" s="36">
        <v>0</v>
      </c>
      <c r="Q405" s="36">
        <f>Q404*1936.27</f>
        <v>0</v>
      </c>
      <c r="R405" s="7"/>
      <c r="S405" s="7"/>
      <c r="T405" s="7"/>
      <c r="U405" s="7"/>
      <c r="V405" s="7"/>
      <c r="W405" s="7"/>
      <c r="X405" s="7"/>
      <c r="Y405" s="7"/>
      <c r="Z405" s="7"/>
    </row>
    <row r="406" spans="1:26" ht="12.75" customHeight="1" x14ac:dyDescent="0.2">
      <c r="A406" s="95"/>
      <c r="B406" s="95"/>
      <c r="C406" s="40" t="s">
        <v>36</v>
      </c>
      <c r="D406" s="41">
        <v>21</v>
      </c>
      <c r="E406" s="42">
        <v>0</v>
      </c>
      <c r="F406" s="42">
        <v>0</v>
      </c>
      <c r="G406" s="42">
        <v>0</v>
      </c>
      <c r="H406" s="42">
        <v>0</v>
      </c>
      <c r="I406" s="42">
        <v>0</v>
      </c>
      <c r="J406" s="42">
        <v>0</v>
      </c>
      <c r="K406" s="43">
        <v>0</v>
      </c>
      <c r="L406" s="32">
        <v>0</v>
      </c>
      <c r="M406" s="33"/>
      <c r="N406" s="30">
        <v>0</v>
      </c>
      <c r="O406" s="30">
        <v>0</v>
      </c>
      <c r="P406" s="30"/>
      <c r="Q406" s="30">
        <f>(N406+O406*0.18+J406)+(IF((P406-O406*0.18)&gt;0,(P406-O406*0.18),0))</f>
        <v>0</v>
      </c>
      <c r="R406" s="7"/>
      <c r="S406" s="7"/>
      <c r="T406" s="7"/>
      <c r="U406" s="7"/>
      <c r="V406" s="7"/>
      <c r="W406" s="7"/>
      <c r="X406" s="7"/>
      <c r="Y406" s="7"/>
      <c r="Z406" s="7"/>
    </row>
    <row r="407" spans="1:26" ht="9" customHeight="1" x14ac:dyDescent="0.2">
      <c r="A407" s="95"/>
      <c r="B407" s="95"/>
      <c r="C407" s="34" t="s">
        <v>37</v>
      </c>
      <c r="D407" s="35">
        <v>27</v>
      </c>
      <c r="E407" s="36">
        <v>0</v>
      </c>
      <c r="F407" s="36">
        <v>0</v>
      </c>
      <c r="G407" s="36">
        <v>0</v>
      </c>
      <c r="H407" s="36">
        <v>0</v>
      </c>
      <c r="I407" s="36">
        <v>0</v>
      </c>
      <c r="J407" s="37">
        <v>0</v>
      </c>
      <c r="K407" s="36">
        <v>0</v>
      </c>
      <c r="L407" s="38">
        <v>0</v>
      </c>
      <c r="M407" s="39"/>
      <c r="N407" s="36">
        <v>0</v>
      </c>
      <c r="O407" s="36">
        <v>0</v>
      </c>
      <c r="P407" s="36">
        <v>0</v>
      </c>
      <c r="Q407" s="36">
        <f>Q406*1936.27</f>
        <v>0</v>
      </c>
      <c r="R407" s="7"/>
      <c r="S407" s="7"/>
      <c r="T407" s="7"/>
      <c r="U407" s="7"/>
      <c r="V407" s="7"/>
      <c r="W407" s="7"/>
      <c r="X407" s="7"/>
      <c r="Y407" s="7"/>
      <c r="Z407" s="7"/>
    </row>
    <row r="408" spans="1:26" ht="12.75" customHeight="1" x14ac:dyDescent="0.2">
      <c r="A408" s="95"/>
      <c r="B408" s="95"/>
      <c r="C408" s="40" t="s">
        <v>36</v>
      </c>
      <c r="D408" s="41">
        <v>28</v>
      </c>
      <c r="E408" s="42">
        <v>0</v>
      </c>
      <c r="F408" s="42">
        <v>0</v>
      </c>
      <c r="G408" s="42">
        <v>0</v>
      </c>
      <c r="H408" s="42">
        <v>0</v>
      </c>
      <c r="I408" s="42">
        <v>0</v>
      </c>
      <c r="J408" s="42">
        <v>0</v>
      </c>
      <c r="K408" s="43">
        <v>0</v>
      </c>
      <c r="L408" s="32">
        <v>0</v>
      </c>
      <c r="M408" s="33"/>
      <c r="N408" s="30">
        <v>0</v>
      </c>
      <c r="O408" s="30">
        <v>0</v>
      </c>
      <c r="P408" s="30"/>
      <c r="Q408" s="30">
        <f>(N408+O408*0.18+J408)+(IF((P408-O408*0.18)&gt;0,(P408-O408*0.18),0))</f>
        <v>0</v>
      </c>
      <c r="R408" s="7"/>
      <c r="S408" s="7"/>
      <c r="T408" s="7"/>
      <c r="U408" s="7"/>
      <c r="V408" s="7"/>
      <c r="W408" s="7"/>
      <c r="X408" s="7"/>
      <c r="Y408" s="7"/>
      <c r="Z408" s="7"/>
    </row>
    <row r="409" spans="1:26" ht="9" customHeight="1" x14ac:dyDescent="0.2">
      <c r="A409" s="95"/>
      <c r="B409" s="95"/>
      <c r="C409" s="34" t="s">
        <v>37</v>
      </c>
      <c r="D409" s="35">
        <v>34</v>
      </c>
      <c r="E409" s="36">
        <v>0</v>
      </c>
      <c r="F409" s="36">
        <v>0</v>
      </c>
      <c r="G409" s="36">
        <v>0</v>
      </c>
      <c r="H409" s="36">
        <v>0</v>
      </c>
      <c r="I409" s="36">
        <v>0</v>
      </c>
      <c r="J409" s="37">
        <v>0</v>
      </c>
      <c r="K409" s="36">
        <v>0</v>
      </c>
      <c r="L409" s="38">
        <v>0</v>
      </c>
      <c r="M409" s="39"/>
      <c r="N409" s="36">
        <v>0</v>
      </c>
      <c r="O409" s="36">
        <v>0</v>
      </c>
      <c r="P409" s="36">
        <v>0</v>
      </c>
      <c r="Q409" s="36">
        <f>Q408*1936.27</f>
        <v>0</v>
      </c>
      <c r="R409" s="7"/>
      <c r="S409" s="7"/>
      <c r="T409" s="7"/>
      <c r="U409" s="7"/>
      <c r="V409" s="7"/>
      <c r="W409" s="7"/>
      <c r="X409" s="7"/>
      <c r="Y409" s="7"/>
      <c r="Z409" s="7"/>
    </row>
    <row r="410" spans="1:26" ht="12.75" customHeight="1" x14ac:dyDescent="0.2">
      <c r="A410" s="95"/>
      <c r="B410" s="95"/>
      <c r="C410" s="40" t="s">
        <v>36</v>
      </c>
      <c r="D410" s="41">
        <v>35</v>
      </c>
      <c r="E410" s="42">
        <v>0</v>
      </c>
      <c r="F410" s="42">
        <v>0</v>
      </c>
      <c r="G410" s="42">
        <v>0</v>
      </c>
      <c r="H410" s="42">
        <v>0</v>
      </c>
      <c r="I410" s="42">
        <v>0</v>
      </c>
      <c r="J410" s="42">
        <v>0</v>
      </c>
      <c r="K410" s="43">
        <v>0</v>
      </c>
      <c r="L410" s="32">
        <v>0</v>
      </c>
      <c r="M410" s="33"/>
      <c r="N410" s="30">
        <v>0</v>
      </c>
      <c r="O410" s="30">
        <v>0</v>
      </c>
      <c r="P410" s="30"/>
      <c r="Q410" s="30">
        <f>(N410+O410*0.18+J410)+(IF((P410-O410*0.18)&gt;0,(P410-O410*0.18),0))</f>
        <v>0</v>
      </c>
      <c r="R410" s="7"/>
      <c r="S410" s="7"/>
      <c r="T410" s="7"/>
      <c r="U410" s="7"/>
      <c r="V410" s="7"/>
      <c r="W410" s="7"/>
      <c r="X410" s="7"/>
      <c r="Y410" s="7"/>
      <c r="Z410" s="7"/>
    </row>
    <row r="411" spans="1:26" ht="9" customHeight="1" x14ac:dyDescent="0.2">
      <c r="A411" s="110"/>
      <c r="B411" s="110"/>
      <c r="C411" s="47" t="s">
        <v>37</v>
      </c>
      <c r="D411" s="48"/>
      <c r="E411" s="46">
        <v>0</v>
      </c>
      <c r="F411" s="46">
        <v>0</v>
      </c>
      <c r="G411" s="46">
        <v>0</v>
      </c>
      <c r="H411" s="46">
        <v>0</v>
      </c>
      <c r="I411" s="46">
        <v>0</v>
      </c>
      <c r="J411" s="49">
        <v>0</v>
      </c>
      <c r="K411" s="46">
        <v>0</v>
      </c>
      <c r="L411" s="38">
        <v>0</v>
      </c>
      <c r="M411" s="39"/>
      <c r="N411" s="36">
        <v>0</v>
      </c>
      <c r="O411" s="36">
        <v>0</v>
      </c>
      <c r="P411" s="36">
        <v>0</v>
      </c>
      <c r="Q411" s="36">
        <f>Q410*1936.27</f>
        <v>0</v>
      </c>
      <c r="R411" s="7"/>
      <c r="S411" s="7"/>
      <c r="T411" s="7"/>
      <c r="U411" s="7"/>
      <c r="V411" s="7"/>
      <c r="W411" s="7"/>
      <c r="X411" s="7"/>
      <c r="Y411" s="7"/>
      <c r="Z411" s="7"/>
    </row>
    <row r="412" spans="1:26" ht="12.75" customHeight="1" x14ac:dyDescent="0.2">
      <c r="A412" s="98">
        <v>35612</v>
      </c>
      <c r="B412" s="98">
        <v>36099</v>
      </c>
      <c r="C412" s="28" t="s">
        <v>36</v>
      </c>
      <c r="D412" s="29">
        <v>0</v>
      </c>
      <c r="E412" s="30">
        <v>0</v>
      </c>
      <c r="F412" s="30">
        <v>0</v>
      </c>
      <c r="G412" s="30">
        <v>0</v>
      </c>
      <c r="H412" s="30">
        <v>0</v>
      </c>
      <c r="I412" s="30">
        <v>0</v>
      </c>
      <c r="J412" s="30">
        <v>0</v>
      </c>
      <c r="K412" s="31">
        <v>0</v>
      </c>
      <c r="L412" s="32">
        <v>0</v>
      </c>
      <c r="M412" s="33"/>
      <c r="N412" s="30">
        <v>0</v>
      </c>
      <c r="O412" s="30">
        <v>0</v>
      </c>
      <c r="P412" s="30"/>
      <c r="Q412" s="30">
        <f>(N412+O412*0.18+J412)+(IF((P412-O412*0.18)&gt;0,(P412-O412*0.18),0))</f>
        <v>0</v>
      </c>
      <c r="R412" s="7"/>
      <c r="S412" s="7"/>
      <c r="T412" s="7"/>
      <c r="U412" s="7"/>
      <c r="V412" s="7"/>
      <c r="W412" s="7"/>
      <c r="X412" s="7"/>
      <c r="Y412" s="7"/>
      <c r="Z412" s="7"/>
    </row>
    <row r="413" spans="1:26" ht="9" customHeight="1" x14ac:dyDescent="0.2">
      <c r="A413" s="95"/>
      <c r="B413" s="95"/>
      <c r="C413" s="34" t="s">
        <v>37</v>
      </c>
      <c r="D413" s="35">
        <v>2</v>
      </c>
      <c r="E413" s="36">
        <v>0</v>
      </c>
      <c r="F413" s="36">
        <v>0</v>
      </c>
      <c r="G413" s="36">
        <v>0</v>
      </c>
      <c r="H413" s="36">
        <v>0</v>
      </c>
      <c r="I413" s="36">
        <v>0</v>
      </c>
      <c r="J413" s="37">
        <v>0</v>
      </c>
      <c r="K413" s="36">
        <v>0</v>
      </c>
      <c r="L413" s="38">
        <v>0</v>
      </c>
      <c r="M413" s="39"/>
      <c r="N413" s="36">
        <v>0</v>
      </c>
      <c r="O413" s="36">
        <v>0</v>
      </c>
      <c r="P413" s="36">
        <v>0</v>
      </c>
      <c r="Q413" s="36">
        <f>Q412*1936.27</f>
        <v>0</v>
      </c>
      <c r="R413" s="7"/>
      <c r="S413" s="7"/>
      <c r="T413" s="7"/>
      <c r="U413" s="7"/>
      <c r="V413" s="7"/>
      <c r="W413" s="7"/>
      <c r="X413" s="7"/>
      <c r="Y413" s="7"/>
      <c r="Z413" s="7"/>
    </row>
    <row r="414" spans="1:26" ht="12.75" customHeight="1" x14ac:dyDescent="0.2">
      <c r="A414" s="156">
        <v>35612</v>
      </c>
      <c r="B414" s="156">
        <v>36099</v>
      </c>
      <c r="C414" s="40" t="s">
        <v>36</v>
      </c>
      <c r="D414" s="41">
        <v>3</v>
      </c>
      <c r="E414" s="42">
        <v>0</v>
      </c>
      <c r="F414" s="42">
        <v>0</v>
      </c>
      <c r="G414" s="42">
        <v>0</v>
      </c>
      <c r="H414" s="42">
        <v>0</v>
      </c>
      <c r="I414" s="42">
        <v>0</v>
      </c>
      <c r="J414" s="42">
        <v>0</v>
      </c>
      <c r="K414" s="43">
        <v>0</v>
      </c>
      <c r="L414" s="32">
        <v>0</v>
      </c>
      <c r="M414" s="33"/>
      <c r="N414" s="30">
        <v>0</v>
      </c>
      <c r="O414" s="30">
        <v>0</v>
      </c>
      <c r="P414" s="30"/>
      <c r="Q414" s="30">
        <f>(N414+O414*0.18+J414)+(IF((P414-O414*0.18)&gt;0,(P414-O414*0.18),0))</f>
        <v>0</v>
      </c>
      <c r="R414" s="7"/>
      <c r="S414" s="7"/>
      <c r="T414" s="7"/>
      <c r="U414" s="7"/>
      <c r="V414" s="7"/>
      <c r="W414" s="7"/>
      <c r="X414" s="7"/>
      <c r="Y414" s="7"/>
      <c r="Z414" s="7"/>
    </row>
    <row r="415" spans="1:26" ht="9" customHeight="1" x14ac:dyDescent="0.2">
      <c r="A415" s="95"/>
      <c r="B415" s="95"/>
      <c r="C415" s="34" t="s">
        <v>37</v>
      </c>
      <c r="D415" s="35">
        <v>8</v>
      </c>
      <c r="E415" s="36">
        <v>0</v>
      </c>
      <c r="F415" s="36">
        <v>0</v>
      </c>
      <c r="G415" s="36">
        <v>0</v>
      </c>
      <c r="H415" s="36">
        <v>0</v>
      </c>
      <c r="I415" s="36">
        <v>0</v>
      </c>
      <c r="J415" s="37">
        <v>0</v>
      </c>
      <c r="K415" s="36">
        <v>0</v>
      </c>
      <c r="L415" s="38">
        <v>0</v>
      </c>
      <c r="M415" s="39"/>
      <c r="N415" s="36">
        <v>0</v>
      </c>
      <c r="O415" s="36">
        <v>0</v>
      </c>
      <c r="P415" s="36">
        <v>0</v>
      </c>
      <c r="Q415" s="36">
        <f>Q414*1936.27</f>
        <v>0</v>
      </c>
      <c r="R415" s="7"/>
      <c r="S415" s="7"/>
      <c r="T415" s="7"/>
      <c r="U415" s="7"/>
      <c r="V415" s="7"/>
      <c r="W415" s="7"/>
      <c r="X415" s="7"/>
      <c r="Y415" s="7"/>
      <c r="Z415" s="7"/>
    </row>
    <row r="416" spans="1:26" ht="12.75" customHeight="1" x14ac:dyDescent="0.2">
      <c r="A416" s="95"/>
      <c r="B416" s="95"/>
      <c r="C416" s="40" t="s">
        <v>36</v>
      </c>
      <c r="D416" s="41">
        <v>9</v>
      </c>
      <c r="E416" s="42">
        <v>0</v>
      </c>
      <c r="F416" s="42">
        <v>0</v>
      </c>
      <c r="G416" s="42">
        <v>0</v>
      </c>
      <c r="H416" s="42">
        <v>0</v>
      </c>
      <c r="I416" s="42">
        <v>0</v>
      </c>
      <c r="J416" s="42">
        <v>0</v>
      </c>
      <c r="K416" s="43">
        <v>0</v>
      </c>
      <c r="L416" s="32">
        <v>0</v>
      </c>
      <c r="M416" s="33"/>
      <c r="N416" s="30">
        <v>0</v>
      </c>
      <c r="O416" s="30">
        <v>0</v>
      </c>
      <c r="P416" s="30"/>
      <c r="Q416" s="30">
        <f>(N416+O416*0.18+J416)+(IF((P416-O416*0.18)&gt;0,(P416-O416*0.18),0))</f>
        <v>0</v>
      </c>
      <c r="R416" s="7"/>
      <c r="S416" s="7"/>
      <c r="T416" s="7"/>
      <c r="U416" s="7"/>
      <c r="V416" s="7"/>
      <c r="W416" s="7"/>
      <c r="X416" s="7"/>
      <c r="Y416" s="7"/>
      <c r="Z416" s="7"/>
    </row>
    <row r="417" spans="1:26" ht="9" customHeight="1" x14ac:dyDescent="0.2">
      <c r="A417" s="95"/>
      <c r="B417" s="95"/>
      <c r="C417" s="34" t="s">
        <v>37</v>
      </c>
      <c r="D417" s="35">
        <v>14</v>
      </c>
      <c r="E417" s="36">
        <v>0</v>
      </c>
      <c r="F417" s="36">
        <v>0</v>
      </c>
      <c r="G417" s="36">
        <v>0</v>
      </c>
      <c r="H417" s="36">
        <v>0</v>
      </c>
      <c r="I417" s="36">
        <v>0</v>
      </c>
      <c r="J417" s="37">
        <v>0</v>
      </c>
      <c r="K417" s="36">
        <v>0</v>
      </c>
      <c r="L417" s="38">
        <v>0</v>
      </c>
      <c r="M417" s="39"/>
      <c r="N417" s="36">
        <v>0</v>
      </c>
      <c r="O417" s="36">
        <v>0</v>
      </c>
      <c r="P417" s="36">
        <v>0</v>
      </c>
      <c r="Q417" s="36">
        <f>Q416*1936.27</f>
        <v>0</v>
      </c>
      <c r="R417" s="7"/>
      <c r="S417" s="7"/>
      <c r="T417" s="7"/>
      <c r="U417" s="7"/>
      <c r="V417" s="7"/>
      <c r="W417" s="7"/>
      <c r="X417" s="7"/>
      <c r="Y417" s="7"/>
      <c r="Z417" s="7"/>
    </row>
    <row r="418" spans="1:26" ht="12.75" customHeight="1" x14ac:dyDescent="0.2">
      <c r="A418" s="95"/>
      <c r="B418" s="95"/>
      <c r="C418" s="40" t="s">
        <v>36</v>
      </c>
      <c r="D418" s="41">
        <v>15</v>
      </c>
      <c r="E418" s="42">
        <v>0</v>
      </c>
      <c r="F418" s="42">
        <v>0</v>
      </c>
      <c r="G418" s="42">
        <v>0</v>
      </c>
      <c r="H418" s="42">
        <v>0</v>
      </c>
      <c r="I418" s="42">
        <v>0</v>
      </c>
      <c r="J418" s="42">
        <v>0</v>
      </c>
      <c r="K418" s="43">
        <v>0</v>
      </c>
      <c r="L418" s="32">
        <v>0</v>
      </c>
      <c r="M418" s="33"/>
      <c r="N418" s="30">
        <v>0</v>
      </c>
      <c r="O418" s="30">
        <v>0</v>
      </c>
      <c r="P418" s="30"/>
      <c r="Q418" s="30">
        <f>(N418+O418*0.18+J418)+(IF((P418-O418*0.18)&gt;0,(P418-O418*0.18),0))</f>
        <v>0</v>
      </c>
      <c r="R418" s="7"/>
      <c r="S418" s="7"/>
      <c r="T418" s="7"/>
      <c r="U418" s="7"/>
      <c r="V418" s="7"/>
      <c r="W418" s="7"/>
      <c r="X418" s="7"/>
      <c r="Y418" s="7"/>
      <c r="Z418" s="7"/>
    </row>
    <row r="419" spans="1:26" ht="9" customHeight="1" x14ac:dyDescent="0.2">
      <c r="A419" s="95"/>
      <c r="B419" s="95"/>
      <c r="C419" s="34" t="s">
        <v>37</v>
      </c>
      <c r="D419" s="35">
        <v>20</v>
      </c>
      <c r="E419" s="36">
        <v>0</v>
      </c>
      <c r="F419" s="36">
        <v>0</v>
      </c>
      <c r="G419" s="36">
        <v>0</v>
      </c>
      <c r="H419" s="36">
        <v>0</v>
      </c>
      <c r="I419" s="36">
        <v>0</v>
      </c>
      <c r="J419" s="37">
        <v>0</v>
      </c>
      <c r="K419" s="36">
        <v>0</v>
      </c>
      <c r="L419" s="38">
        <v>0</v>
      </c>
      <c r="M419" s="39"/>
      <c r="N419" s="36">
        <v>0</v>
      </c>
      <c r="O419" s="36">
        <v>0</v>
      </c>
      <c r="P419" s="36">
        <v>0</v>
      </c>
      <c r="Q419" s="36">
        <f>Q418*1936.27</f>
        <v>0</v>
      </c>
      <c r="R419" s="7"/>
      <c r="S419" s="7"/>
      <c r="T419" s="7"/>
      <c r="U419" s="7"/>
      <c r="V419" s="7"/>
      <c r="W419" s="7"/>
      <c r="X419" s="7"/>
      <c r="Y419" s="7"/>
      <c r="Z419" s="7"/>
    </row>
    <row r="420" spans="1:26" ht="12.75" customHeight="1" x14ac:dyDescent="0.2">
      <c r="A420" s="95"/>
      <c r="B420" s="95"/>
      <c r="C420" s="40" t="s">
        <v>36</v>
      </c>
      <c r="D420" s="41">
        <v>21</v>
      </c>
      <c r="E420" s="42">
        <v>0</v>
      </c>
      <c r="F420" s="42">
        <v>0</v>
      </c>
      <c r="G420" s="42">
        <v>0</v>
      </c>
      <c r="H420" s="42">
        <v>0</v>
      </c>
      <c r="I420" s="42">
        <v>0</v>
      </c>
      <c r="J420" s="42">
        <v>0</v>
      </c>
      <c r="K420" s="43">
        <v>0</v>
      </c>
      <c r="L420" s="32">
        <v>0</v>
      </c>
      <c r="M420" s="33"/>
      <c r="N420" s="30">
        <v>0</v>
      </c>
      <c r="O420" s="30">
        <v>0</v>
      </c>
      <c r="P420" s="30"/>
      <c r="Q420" s="30">
        <f>(N420+O420*0.18+J420)+(IF((P420-O420*0.18)&gt;0,(P420-O420*0.18),0))</f>
        <v>0</v>
      </c>
      <c r="R420" s="7"/>
      <c r="S420" s="7"/>
      <c r="T420" s="7"/>
      <c r="U420" s="7"/>
      <c r="V420" s="7"/>
      <c r="W420" s="7"/>
      <c r="X420" s="7"/>
      <c r="Y420" s="7"/>
      <c r="Z420" s="7"/>
    </row>
    <row r="421" spans="1:26" ht="9" customHeight="1" x14ac:dyDescent="0.2">
      <c r="A421" s="95"/>
      <c r="B421" s="95"/>
      <c r="C421" s="34" t="s">
        <v>37</v>
      </c>
      <c r="D421" s="35">
        <v>27</v>
      </c>
      <c r="E421" s="36">
        <v>0</v>
      </c>
      <c r="F421" s="36">
        <v>0</v>
      </c>
      <c r="G421" s="36">
        <v>0</v>
      </c>
      <c r="H421" s="36">
        <v>0</v>
      </c>
      <c r="I421" s="36">
        <v>0</v>
      </c>
      <c r="J421" s="37">
        <v>0</v>
      </c>
      <c r="K421" s="36">
        <v>0</v>
      </c>
      <c r="L421" s="38">
        <v>0</v>
      </c>
      <c r="M421" s="39"/>
      <c r="N421" s="36">
        <v>0</v>
      </c>
      <c r="O421" s="36">
        <v>0</v>
      </c>
      <c r="P421" s="36">
        <v>0</v>
      </c>
      <c r="Q421" s="36">
        <f>Q420*1936.27</f>
        <v>0</v>
      </c>
      <c r="R421" s="7"/>
      <c r="S421" s="7"/>
      <c r="T421" s="7"/>
      <c r="U421" s="7"/>
      <c r="V421" s="7"/>
      <c r="W421" s="7"/>
      <c r="X421" s="7"/>
      <c r="Y421" s="7"/>
      <c r="Z421" s="7"/>
    </row>
    <row r="422" spans="1:26" ht="12.75" customHeight="1" x14ac:dyDescent="0.2">
      <c r="A422" s="95"/>
      <c r="B422" s="95"/>
      <c r="C422" s="40" t="s">
        <v>36</v>
      </c>
      <c r="D422" s="41">
        <v>28</v>
      </c>
      <c r="E422" s="42">
        <v>0</v>
      </c>
      <c r="F422" s="42">
        <v>0</v>
      </c>
      <c r="G422" s="42">
        <v>0</v>
      </c>
      <c r="H422" s="42">
        <v>0</v>
      </c>
      <c r="I422" s="42">
        <v>0</v>
      </c>
      <c r="J422" s="42">
        <v>0</v>
      </c>
      <c r="K422" s="43">
        <v>0</v>
      </c>
      <c r="L422" s="32">
        <v>0</v>
      </c>
      <c r="M422" s="33"/>
      <c r="N422" s="30">
        <v>0</v>
      </c>
      <c r="O422" s="30">
        <v>0</v>
      </c>
      <c r="P422" s="30"/>
      <c r="Q422" s="30">
        <f>(N422+O422*0.18+J422)+(IF((P422-O422*0.18)&gt;0,(P422-O422*0.18),0))</f>
        <v>0</v>
      </c>
      <c r="R422" s="7"/>
      <c r="S422" s="7"/>
      <c r="T422" s="7"/>
      <c r="U422" s="7"/>
      <c r="V422" s="7"/>
      <c r="W422" s="7"/>
      <c r="X422" s="7"/>
      <c r="Y422" s="7"/>
      <c r="Z422" s="7"/>
    </row>
    <row r="423" spans="1:26" ht="9" customHeight="1" x14ac:dyDescent="0.2">
      <c r="A423" s="95"/>
      <c r="B423" s="95"/>
      <c r="C423" s="34" t="s">
        <v>37</v>
      </c>
      <c r="D423" s="35">
        <v>34</v>
      </c>
      <c r="E423" s="36">
        <v>0</v>
      </c>
      <c r="F423" s="36">
        <v>0</v>
      </c>
      <c r="G423" s="36">
        <v>0</v>
      </c>
      <c r="H423" s="36">
        <v>0</v>
      </c>
      <c r="I423" s="36">
        <v>0</v>
      </c>
      <c r="J423" s="37">
        <v>0</v>
      </c>
      <c r="K423" s="36">
        <v>0</v>
      </c>
      <c r="L423" s="38">
        <v>0</v>
      </c>
      <c r="M423" s="39"/>
      <c r="N423" s="36">
        <v>0</v>
      </c>
      <c r="O423" s="36">
        <v>0</v>
      </c>
      <c r="P423" s="36">
        <v>0</v>
      </c>
      <c r="Q423" s="36">
        <f>Q422*1936.27</f>
        <v>0</v>
      </c>
      <c r="R423" s="7"/>
      <c r="S423" s="7"/>
      <c r="T423" s="7"/>
      <c r="U423" s="7"/>
      <c r="V423" s="7"/>
      <c r="W423" s="7"/>
      <c r="X423" s="7"/>
      <c r="Y423" s="7"/>
      <c r="Z423" s="7"/>
    </row>
    <row r="424" spans="1:26" ht="12.75" customHeight="1" x14ac:dyDescent="0.2">
      <c r="A424" s="95"/>
      <c r="B424" s="95"/>
      <c r="C424" s="40" t="s">
        <v>36</v>
      </c>
      <c r="D424" s="41">
        <v>35</v>
      </c>
      <c r="E424" s="42">
        <v>0</v>
      </c>
      <c r="F424" s="42">
        <v>0</v>
      </c>
      <c r="G424" s="42">
        <v>0</v>
      </c>
      <c r="H424" s="42">
        <v>0</v>
      </c>
      <c r="I424" s="42">
        <v>0</v>
      </c>
      <c r="J424" s="42">
        <v>0</v>
      </c>
      <c r="K424" s="43">
        <v>0</v>
      </c>
      <c r="L424" s="32">
        <v>0</v>
      </c>
      <c r="M424" s="33"/>
      <c r="N424" s="30">
        <v>0</v>
      </c>
      <c r="O424" s="30">
        <v>0</v>
      </c>
      <c r="P424" s="30"/>
      <c r="Q424" s="30">
        <f>(N424+O424*0.18+J424)+(IF((P424-O424*0.18)&gt;0,(P424-O424*0.18),0))</f>
        <v>0</v>
      </c>
      <c r="R424" s="7"/>
      <c r="S424" s="7"/>
      <c r="T424" s="7"/>
      <c r="U424" s="7"/>
      <c r="V424" s="7"/>
      <c r="W424" s="7"/>
      <c r="X424" s="7"/>
      <c r="Y424" s="7"/>
      <c r="Z424" s="7"/>
    </row>
    <row r="425" spans="1:26" ht="9" customHeight="1" x14ac:dyDescent="0.2">
      <c r="A425" s="110"/>
      <c r="B425" s="110"/>
      <c r="C425" s="47" t="s">
        <v>37</v>
      </c>
      <c r="D425" s="48"/>
      <c r="E425" s="46">
        <v>0</v>
      </c>
      <c r="F425" s="46">
        <v>0</v>
      </c>
      <c r="G425" s="46">
        <v>0</v>
      </c>
      <c r="H425" s="46">
        <v>0</v>
      </c>
      <c r="I425" s="46">
        <v>0</v>
      </c>
      <c r="J425" s="49">
        <v>0</v>
      </c>
      <c r="K425" s="46">
        <v>0</v>
      </c>
      <c r="L425" s="38">
        <v>0</v>
      </c>
      <c r="M425" s="39"/>
      <c r="N425" s="36">
        <v>0</v>
      </c>
      <c r="O425" s="36">
        <v>0</v>
      </c>
      <c r="P425" s="36">
        <v>0</v>
      </c>
      <c r="Q425" s="36">
        <f>Q424*1936.27</f>
        <v>0</v>
      </c>
      <c r="R425" s="7"/>
      <c r="S425" s="7"/>
      <c r="T425" s="7"/>
      <c r="U425" s="7"/>
      <c r="V425" s="7"/>
      <c r="W425" s="7"/>
      <c r="X425" s="7"/>
      <c r="Y425" s="7"/>
      <c r="Z425" s="7"/>
    </row>
    <row r="426" spans="1:26" ht="12.75" customHeight="1" x14ac:dyDescent="0.2">
      <c r="A426" s="98">
        <v>36100</v>
      </c>
      <c r="B426" s="98">
        <v>36311</v>
      </c>
      <c r="C426" s="28" t="s">
        <v>36</v>
      </c>
      <c r="D426" s="29">
        <v>0</v>
      </c>
      <c r="E426" s="30">
        <v>0</v>
      </c>
      <c r="F426" s="30">
        <v>0</v>
      </c>
      <c r="G426" s="30">
        <v>0</v>
      </c>
      <c r="H426" s="30">
        <v>0</v>
      </c>
      <c r="I426" s="30">
        <v>0</v>
      </c>
      <c r="J426" s="30">
        <v>0</v>
      </c>
      <c r="K426" s="31">
        <v>0</v>
      </c>
      <c r="L426" s="32">
        <v>0</v>
      </c>
      <c r="M426" s="33"/>
      <c r="N426" s="30">
        <v>0</v>
      </c>
      <c r="O426" s="30">
        <v>0</v>
      </c>
      <c r="P426" s="30"/>
      <c r="Q426" s="30">
        <f>(N426+O426*0.18+J426)+(IF((P426-O426*0.18)&gt;0,(P426-O426*0.18),0))</f>
        <v>0</v>
      </c>
      <c r="R426" s="7"/>
      <c r="S426" s="7"/>
      <c r="T426" s="7"/>
      <c r="U426" s="7"/>
      <c r="V426" s="7"/>
      <c r="W426" s="7"/>
      <c r="X426" s="7"/>
      <c r="Y426" s="7"/>
      <c r="Z426" s="7"/>
    </row>
    <row r="427" spans="1:26" ht="9" customHeight="1" x14ac:dyDescent="0.2">
      <c r="A427" s="95"/>
      <c r="B427" s="95"/>
      <c r="C427" s="34" t="s">
        <v>37</v>
      </c>
      <c r="D427" s="35">
        <v>2</v>
      </c>
      <c r="E427" s="36">
        <v>0</v>
      </c>
      <c r="F427" s="36">
        <v>0</v>
      </c>
      <c r="G427" s="36">
        <v>0</v>
      </c>
      <c r="H427" s="36">
        <v>0</v>
      </c>
      <c r="I427" s="36">
        <v>0</v>
      </c>
      <c r="J427" s="37">
        <v>0</v>
      </c>
      <c r="K427" s="36">
        <v>0</v>
      </c>
      <c r="L427" s="38">
        <v>0</v>
      </c>
      <c r="M427" s="39"/>
      <c r="N427" s="36">
        <v>0</v>
      </c>
      <c r="O427" s="36">
        <v>0</v>
      </c>
      <c r="P427" s="36">
        <v>0</v>
      </c>
      <c r="Q427" s="36">
        <f>Q426*1936.27</f>
        <v>0</v>
      </c>
      <c r="R427" s="7"/>
      <c r="S427" s="7"/>
      <c r="T427" s="7"/>
      <c r="U427" s="7"/>
      <c r="V427" s="7"/>
      <c r="W427" s="7"/>
      <c r="X427" s="7"/>
      <c r="Y427" s="7"/>
      <c r="Z427" s="7"/>
    </row>
    <row r="428" spans="1:26" ht="12.75" customHeight="1" x14ac:dyDescent="0.2">
      <c r="A428" s="156">
        <v>36100</v>
      </c>
      <c r="B428" s="156">
        <v>36311</v>
      </c>
      <c r="C428" s="40" t="s">
        <v>36</v>
      </c>
      <c r="D428" s="41">
        <v>3</v>
      </c>
      <c r="E428" s="42">
        <v>0</v>
      </c>
      <c r="F428" s="42">
        <v>0</v>
      </c>
      <c r="G428" s="42">
        <v>0</v>
      </c>
      <c r="H428" s="42">
        <v>0</v>
      </c>
      <c r="I428" s="42">
        <v>0</v>
      </c>
      <c r="J428" s="42">
        <v>0</v>
      </c>
      <c r="K428" s="43">
        <v>0</v>
      </c>
      <c r="L428" s="32">
        <v>0</v>
      </c>
      <c r="M428" s="33"/>
      <c r="N428" s="30">
        <v>0</v>
      </c>
      <c r="O428" s="30">
        <v>0</v>
      </c>
      <c r="P428" s="30"/>
      <c r="Q428" s="30">
        <f>(N428+O428*0.18+J428)+(IF((P428-O428*0.18)&gt;0,(P428-O428*0.18),0))</f>
        <v>0</v>
      </c>
      <c r="R428" s="7"/>
      <c r="S428" s="7"/>
      <c r="T428" s="7"/>
      <c r="U428" s="7"/>
      <c r="V428" s="7"/>
      <c r="W428" s="7"/>
      <c r="X428" s="7"/>
      <c r="Y428" s="7"/>
      <c r="Z428" s="7"/>
    </row>
    <row r="429" spans="1:26" ht="9" customHeight="1" x14ac:dyDescent="0.2">
      <c r="A429" s="95"/>
      <c r="B429" s="95"/>
      <c r="C429" s="34" t="s">
        <v>37</v>
      </c>
      <c r="D429" s="35">
        <v>8</v>
      </c>
      <c r="E429" s="36">
        <v>0</v>
      </c>
      <c r="F429" s="36">
        <v>0</v>
      </c>
      <c r="G429" s="36">
        <v>0</v>
      </c>
      <c r="H429" s="36">
        <v>0</v>
      </c>
      <c r="I429" s="36">
        <v>0</v>
      </c>
      <c r="J429" s="37">
        <v>0</v>
      </c>
      <c r="K429" s="36">
        <v>0</v>
      </c>
      <c r="L429" s="38">
        <v>0</v>
      </c>
      <c r="M429" s="39"/>
      <c r="N429" s="36">
        <v>0</v>
      </c>
      <c r="O429" s="36">
        <v>0</v>
      </c>
      <c r="P429" s="36">
        <v>0</v>
      </c>
      <c r="Q429" s="36">
        <f>Q428*1936.27</f>
        <v>0</v>
      </c>
      <c r="R429" s="7"/>
      <c r="S429" s="7"/>
      <c r="T429" s="7"/>
      <c r="U429" s="7"/>
      <c r="V429" s="7"/>
      <c r="W429" s="7"/>
      <c r="X429" s="7"/>
      <c r="Y429" s="7"/>
      <c r="Z429" s="7"/>
    </row>
    <row r="430" spans="1:26" ht="12.75" customHeight="1" x14ac:dyDescent="0.2">
      <c r="A430" s="95"/>
      <c r="B430" s="95"/>
      <c r="C430" s="40" t="s">
        <v>36</v>
      </c>
      <c r="D430" s="41">
        <v>9</v>
      </c>
      <c r="E430" s="42">
        <v>0</v>
      </c>
      <c r="F430" s="42">
        <v>0</v>
      </c>
      <c r="G430" s="42">
        <v>0</v>
      </c>
      <c r="H430" s="42">
        <v>0</v>
      </c>
      <c r="I430" s="42">
        <v>0</v>
      </c>
      <c r="J430" s="42">
        <v>0</v>
      </c>
      <c r="K430" s="43">
        <v>0</v>
      </c>
      <c r="L430" s="32">
        <v>0</v>
      </c>
      <c r="M430" s="33"/>
      <c r="N430" s="30">
        <v>0</v>
      </c>
      <c r="O430" s="30">
        <v>0</v>
      </c>
      <c r="P430" s="30"/>
      <c r="Q430" s="30">
        <f>(N430+O430*0.18+J430)+(IF((P430-O430*0.18)&gt;0,(P430-O430*0.18),0))</f>
        <v>0</v>
      </c>
      <c r="R430" s="7"/>
      <c r="S430" s="7"/>
      <c r="T430" s="7"/>
      <c r="U430" s="7"/>
      <c r="V430" s="7"/>
      <c r="W430" s="7"/>
      <c r="X430" s="7"/>
      <c r="Y430" s="7"/>
      <c r="Z430" s="7"/>
    </row>
    <row r="431" spans="1:26" ht="9" customHeight="1" x14ac:dyDescent="0.2">
      <c r="A431" s="95"/>
      <c r="B431" s="95"/>
      <c r="C431" s="34" t="s">
        <v>37</v>
      </c>
      <c r="D431" s="35">
        <v>14</v>
      </c>
      <c r="E431" s="36">
        <v>0</v>
      </c>
      <c r="F431" s="36">
        <v>0</v>
      </c>
      <c r="G431" s="36">
        <v>0</v>
      </c>
      <c r="H431" s="36">
        <v>0</v>
      </c>
      <c r="I431" s="36">
        <v>0</v>
      </c>
      <c r="J431" s="37">
        <v>0</v>
      </c>
      <c r="K431" s="36">
        <v>0</v>
      </c>
      <c r="L431" s="38">
        <v>0</v>
      </c>
      <c r="M431" s="39"/>
      <c r="N431" s="36">
        <v>0</v>
      </c>
      <c r="O431" s="36">
        <v>0</v>
      </c>
      <c r="P431" s="36">
        <v>0</v>
      </c>
      <c r="Q431" s="36">
        <f>Q430*1936.27</f>
        <v>0</v>
      </c>
      <c r="R431" s="7"/>
      <c r="S431" s="7"/>
      <c r="T431" s="7"/>
      <c r="U431" s="7"/>
      <c r="V431" s="7"/>
      <c r="W431" s="7"/>
      <c r="X431" s="7"/>
      <c r="Y431" s="7"/>
      <c r="Z431" s="7"/>
    </row>
    <row r="432" spans="1:26" ht="12.75" customHeight="1" x14ac:dyDescent="0.2">
      <c r="A432" s="95"/>
      <c r="B432" s="95"/>
      <c r="C432" s="40" t="s">
        <v>36</v>
      </c>
      <c r="D432" s="41">
        <v>15</v>
      </c>
      <c r="E432" s="42">
        <v>0</v>
      </c>
      <c r="F432" s="42">
        <v>0</v>
      </c>
      <c r="G432" s="42">
        <v>0</v>
      </c>
      <c r="H432" s="42">
        <v>0</v>
      </c>
      <c r="I432" s="42">
        <v>0</v>
      </c>
      <c r="J432" s="42">
        <v>0</v>
      </c>
      <c r="K432" s="43">
        <v>0</v>
      </c>
      <c r="L432" s="32">
        <v>0</v>
      </c>
      <c r="M432" s="33"/>
      <c r="N432" s="30">
        <v>0</v>
      </c>
      <c r="O432" s="30">
        <v>0</v>
      </c>
      <c r="P432" s="30"/>
      <c r="Q432" s="30">
        <f>(N432+O432*0.18+J432)+(IF((P432-O432*0.18)&gt;0,(P432-O432*0.18),0))</f>
        <v>0</v>
      </c>
      <c r="R432" s="7"/>
      <c r="S432" s="7"/>
      <c r="T432" s="7"/>
      <c r="U432" s="7"/>
      <c r="V432" s="7"/>
      <c r="W432" s="7"/>
      <c r="X432" s="7"/>
      <c r="Y432" s="7"/>
      <c r="Z432" s="7"/>
    </row>
    <row r="433" spans="1:26" ht="9" customHeight="1" x14ac:dyDescent="0.2">
      <c r="A433" s="95"/>
      <c r="B433" s="95"/>
      <c r="C433" s="34" t="s">
        <v>37</v>
      </c>
      <c r="D433" s="35">
        <v>20</v>
      </c>
      <c r="E433" s="36">
        <v>0</v>
      </c>
      <c r="F433" s="36">
        <v>0</v>
      </c>
      <c r="G433" s="36">
        <v>0</v>
      </c>
      <c r="H433" s="36">
        <v>0</v>
      </c>
      <c r="I433" s="36">
        <v>0</v>
      </c>
      <c r="J433" s="37">
        <v>0</v>
      </c>
      <c r="K433" s="36">
        <v>0</v>
      </c>
      <c r="L433" s="38">
        <v>0</v>
      </c>
      <c r="M433" s="39"/>
      <c r="N433" s="36">
        <v>0</v>
      </c>
      <c r="O433" s="36">
        <v>0</v>
      </c>
      <c r="P433" s="36">
        <v>0</v>
      </c>
      <c r="Q433" s="36">
        <f>Q432*1936.27</f>
        <v>0</v>
      </c>
      <c r="R433" s="7"/>
      <c r="S433" s="7"/>
      <c r="T433" s="7"/>
      <c r="U433" s="7"/>
      <c r="V433" s="7"/>
      <c r="W433" s="7"/>
      <c r="X433" s="7"/>
      <c r="Y433" s="7"/>
      <c r="Z433" s="7"/>
    </row>
    <row r="434" spans="1:26" ht="12.75" customHeight="1" x14ac:dyDescent="0.2">
      <c r="A434" s="95"/>
      <c r="B434" s="95"/>
      <c r="C434" s="40" t="s">
        <v>36</v>
      </c>
      <c r="D434" s="41">
        <v>21</v>
      </c>
      <c r="E434" s="42">
        <v>0</v>
      </c>
      <c r="F434" s="42">
        <v>0</v>
      </c>
      <c r="G434" s="42">
        <v>0</v>
      </c>
      <c r="H434" s="42">
        <v>0</v>
      </c>
      <c r="I434" s="42">
        <v>0</v>
      </c>
      <c r="J434" s="42">
        <v>0</v>
      </c>
      <c r="K434" s="43">
        <v>0</v>
      </c>
      <c r="L434" s="32">
        <v>0</v>
      </c>
      <c r="M434" s="33"/>
      <c r="N434" s="30">
        <v>0</v>
      </c>
      <c r="O434" s="30">
        <v>0</v>
      </c>
      <c r="P434" s="30"/>
      <c r="Q434" s="30">
        <f>(N434+O434*0.18+J434)+(IF((P434-O434*0.18)&gt;0,(P434-O434*0.18),0))</f>
        <v>0</v>
      </c>
      <c r="R434" s="7"/>
      <c r="S434" s="7"/>
      <c r="T434" s="7"/>
      <c r="U434" s="7"/>
      <c r="V434" s="7"/>
      <c r="W434" s="7"/>
      <c r="X434" s="7"/>
      <c r="Y434" s="7"/>
      <c r="Z434" s="7"/>
    </row>
    <row r="435" spans="1:26" ht="9" customHeight="1" x14ac:dyDescent="0.2">
      <c r="A435" s="95"/>
      <c r="B435" s="95"/>
      <c r="C435" s="34" t="s">
        <v>37</v>
      </c>
      <c r="D435" s="35">
        <v>27</v>
      </c>
      <c r="E435" s="36">
        <v>0</v>
      </c>
      <c r="F435" s="36">
        <v>0</v>
      </c>
      <c r="G435" s="36">
        <v>0</v>
      </c>
      <c r="H435" s="36">
        <v>0</v>
      </c>
      <c r="I435" s="36">
        <v>0</v>
      </c>
      <c r="J435" s="37">
        <v>0</v>
      </c>
      <c r="K435" s="36">
        <v>0</v>
      </c>
      <c r="L435" s="38">
        <v>0</v>
      </c>
      <c r="M435" s="39"/>
      <c r="N435" s="36">
        <v>0</v>
      </c>
      <c r="O435" s="36">
        <v>0</v>
      </c>
      <c r="P435" s="36">
        <v>0</v>
      </c>
      <c r="Q435" s="36">
        <f>Q434*1936.27</f>
        <v>0</v>
      </c>
      <c r="R435" s="7"/>
      <c r="S435" s="7"/>
      <c r="T435" s="7"/>
      <c r="U435" s="7"/>
      <c r="V435" s="7"/>
      <c r="W435" s="7"/>
      <c r="X435" s="7"/>
      <c r="Y435" s="7"/>
      <c r="Z435" s="7"/>
    </row>
    <row r="436" spans="1:26" ht="12.75" customHeight="1" x14ac:dyDescent="0.2">
      <c r="A436" s="95"/>
      <c r="B436" s="95"/>
      <c r="C436" s="40" t="s">
        <v>36</v>
      </c>
      <c r="D436" s="41">
        <v>28</v>
      </c>
      <c r="E436" s="42">
        <v>0</v>
      </c>
      <c r="F436" s="42">
        <v>0</v>
      </c>
      <c r="G436" s="42">
        <v>0</v>
      </c>
      <c r="H436" s="42">
        <v>0</v>
      </c>
      <c r="I436" s="42">
        <v>0</v>
      </c>
      <c r="J436" s="42">
        <v>0</v>
      </c>
      <c r="K436" s="43">
        <v>0</v>
      </c>
      <c r="L436" s="32">
        <v>0</v>
      </c>
      <c r="M436" s="33"/>
      <c r="N436" s="30">
        <v>0</v>
      </c>
      <c r="O436" s="30">
        <v>0</v>
      </c>
      <c r="P436" s="30"/>
      <c r="Q436" s="30">
        <f>(N436+O436*0.18+J436)+(IF((P436-O436*0.18)&gt;0,(P436-O436*0.18),0))</f>
        <v>0</v>
      </c>
      <c r="R436" s="7"/>
      <c r="S436" s="7"/>
      <c r="T436" s="7"/>
      <c r="U436" s="7"/>
      <c r="V436" s="7"/>
      <c r="W436" s="7"/>
      <c r="X436" s="7"/>
      <c r="Y436" s="7"/>
      <c r="Z436" s="7"/>
    </row>
    <row r="437" spans="1:26" ht="9" customHeight="1" x14ac:dyDescent="0.2">
      <c r="A437" s="95"/>
      <c r="B437" s="95"/>
      <c r="C437" s="34" t="s">
        <v>37</v>
      </c>
      <c r="D437" s="35">
        <v>34</v>
      </c>
      <c r="E437" s="36">
        <v>0</v>
      </c>
      <c r="F437" s="36">
        <v>0</v>
      </c>
      <c r="G437" s="36">
        <v>0</v>
      </c>
      <c r="H437" s="36">
        <v>0</v>
      </c>
      <c r="I437" s="36">
        <v>0</v>
      </c>
      <c r="J437" s="37">
        <v>0</v>
      </c>
      <c r="K437" s="36">
        <v>0</v>
      </c>
      <c r="L437" s="38">
        <v>0</v>
      </c>
      <c r="M437" s="39"/>
      <c r="N437" s="36">
        <v>0</v>
      </c>
      <c r="O437" s="36">
        <v>0</v>
      </c>
      <c r="P437" s="36">
        <v>0</v>
      </c>
      <c r="Q437" s="36">
        <f>Q436*1936.27</f>
        <v>0</v>
      </c>
      <c r="R437" s="7"/>
      <c r="S437" s="7"/>
      <c r="T437" s="7"/>
      <c r="U437" s="7"/>
      <c r="V437" s="7"/>
      <c r="W437" s="7"/>
      <c r="X437" s="7"/>
      <c r="Y437" s="7"/>
      <c r="Z437" s="7"/>
    </row>
    <row r="438" spans="1:26" ht="12.75" customHeight="1" x14ac:dyDescent="0.2">
      <c r="A438" s="95"/>
      <c r="B438" s="95"/>
      <c r="C438" s="40" t="s">
        <v>36</v>
      </c>
      <c r="D438" s="41">
        <v>35</v>
      </c>
      <c r="E438" s="42">
        <v>0</v>
      </c>
      <c r="F438" s="42">
        <v>0</v>
      </c>
      <c r="G438" s="42">
        <v>0</v>
      </c>
      <c r="H438" s="42">
        <v>0</v>
      </c>
      <c r="I438" s="42">
        <v>0</v>
      </c>
      <c r="J438" s="42">
        <v>0</v>
      </c>
      <c r="K438" s="43">
        <v>0</v>
      </c>
      <c r="L438" s="32">
        <v>0</v>
      </c>
      <c r="M438" s="33"/>
      <c r="N438" s="30">
        <v>0</v>
      </c>
      <c r="O438" s="30">
        <v>0</v>
      </c>
      <c r="P438" s="30"/>
      <c r="Q438" s="30">
        <f>(N438+O438*0.18+J438)+(IF((P438-O438*0.18)&gt;0,(P438-O438*0.18),0))</f>
        <v>0</v>
      </c>
      <c r="R438" s="7"/>
      <c r="S438" s="7"/>
      <c r="T438" s="7"/>
      <c r="U438" s="7"/>
      <c r="V438" s="7"/>
      <c r="W438" s="7"/>
      <c r="X438" s="7"/>
      <c r="Y438" s="7"/>
      <c r="Z438" s="7"/>
    </row>
    <row r="439" spans="1:26" ht="9" customHeight="1" x14ac:dyDescent="0.2">
      <c r="A439" s="110"/>
      <c r="B439" s="110"/>
      <c r="C439" s="47" t="s">
        <v>37</v>
      </c>
      <c r="D439" s="48"/>
      <c r="E439" s="46">
        <v>0</v>
      </c>
      <c r="F439" s="46">
        <v>0</v>
      </c>
      <c r="G439" s="46">
        <v>0</v>
      </c>
      <c r="H439" s="46">
        <v>0</v>
      </c>
      <c r="I439" s="46">
        <v>0</v>
      </c>
      <c r="J439" s="49">
        <v>0</v>
      </c>
      <c r="K439" s="46">
        <v>0</v>
      </c>
      <c r="L439" s="38">
        <v>0</v>
      </c>
      <c r="M439" s="39"/>
      <c r="N439" s="36">
        <v>0</v>
      </c>
      <c r="O439" s="36">
        <v>0</v>
      </c>
      <c r="P439" s="36">
        <v>0</v>
      </c>
      <c r="Q439" s="36">
        <f>Q438*1936.27</f>
        <v>0</v>
      </c>
      <c r="R439" s="7"/>
      <c r="S439" s="7"/>
      <c r="T439" s="7"/>
      <c r="U439" s="7"/>
      <c r="V439" s="7"/>
      <c r="W439" s="7"/>
      <c r="X439" s="7"/>
      <c r="Y439" s="7"/>
      <c r="Z439" s="7"/>
    </row>
    <row r="440" spans="1:26" ht="12.75" customHeight="1" x14ac:dyDescent="0.2">
      <c r="A440" s="98">
        <v>36312</v>
      </c>
      <c r="B440" s="98">
        <v>36707</v>
      </c>
      <c r="C440" s="28" t="s">
        <v>36</v>
      </c>
      <c r="D440" s="29">
        <v>0</v>
      </c>
      <c r="E440" s="30">
        <v>0</v>
      </c>
      <c r="F440" s="30">
        <v>0</v>
      </c>
      <c r="G440" s="30">
        <v>0</v>
      </c>
      <c r="H440" s="30">
        <v>0</v>
      </c>
      <c r="I440" s="30">
        <v>0</v>
      </c>
      <c r="J440" s="30">
        <v>0</v>
      </c>
      <c r="K440" s="31">
        <v>0</v>
      </c>
      <c r="L440" s="32">
        <v>0</v>
      </c>
      <c r="M440" s="33"/>
      <c r="N440" s="30">
        <v>0</v>
      </c>
      <c r="O440" s="30">
        <v>0</v>
      </c>
      <c r="P440" s="30"/>
      <c r="Q440" s="30">
        <f>(N440+O440*0.18+J440)+(IF((P440-O440*0.18)&gt;0,(P440-O440*0.18),0))</f>
        <v>0</v>
      </c>
      <c r="R440" s="7"/>
      <c r="S440" s="7"/>
      <c r="T440" s="7"/>
      <c r="U440" s="7"/>
      <c r="V440" s="7"/>
      <c r="W440" s="7"/>
      <c r="X440" s="7"/>
      <c r="Y440" s="7"/>
      <c r="Z440" s="7"/>
    </row>
    <row r="441" spans="1:26" ht="9" customHeight="1" x14ac:dyDescent="0.2">
      <c r="A441" s="95"/>
      <c r="B441" s="95"/>
      <c r="C441" s="34" t="s">
        <v>37</v>
      </c>
      <c r="D441" s="35">
        <v>2</v>
      </c>
      <c r="E441" s="36">
        <v>0</v>
      </c>
      <c r="F441" s="36">
        <v>0</v>
      </c>
      <c r="G441" s="36">
        <v>0</v>
      </c>
      <c r="H441" s="36">
        <v>0</v>
      </c>
      <c r="I441" s="36">
        <v>0</v>
      </c>
      <c r="J441" s="37">
        <v>0</v>
      </c>
      <c r="K441" s="36">
        <v>0</v>
      </c>
      <c r="L441" s="38">
        <v>0</v>
      </c>
      <c r="M441" s="39"/>
      <c r="N441" s="36">
        <v>0</v>
      </c>
      <c r="O441" s="36">
        <v>0</v>
      </c>
      <c r="P441" s="36">
        <v>0</v>
      </c>
      <c r="Q441" s="36">
        <f>Q440*1936.27</f>
        <v>0</v>
      </c>
      <c r="R441" s="7"/>
      <c r="S441" s="7"/>
      <c r="T441" s="7"/>
      <c r="U441" s="7"/>
      <c r="V441" s="7"/>
      <c r="W441" s="7"/>
      <c r="X441" s="7"/>
      <c r="Y441" s="7"/>
      <c r="Z441" s="7"/>
    </row>
    <row r="442" spans="1:26" ht="12.75" customHeight="1" x14ac:dyDescent="0.2">
      <c r="A442" s="156">
        <v>36312</v>
      </c>
      <c r="B442" s="156">
        <v>36707</v>
      </c>
      <c r="C442" s="40" t="s">
        <v>36</v>
      </c>
      <c r="D442" s="41">
        <v>3</v>
      </c>
      <c r="E442" s="42">
        <v>0</v>
      </c>
      <c r="F442" s="42">
        <v>0</v>
      </c>
      <c r="G442" s="42">
        <v>0</v>
      </c>
      <c r="H442" s="42">
        <v>0</v>
      </c>
      <c r="I442" s="42">
        <v>0</v>
      </c>
      <c r="J442" s="42">
        <v>0</v>
      </c>
      <c r="K442" s="43">
        <v>0</v>
      </c>
      <c r="L442" s="32">
        <v>0</v>
      </c>
      <c r="M442" s="33"/>
      <c r="N442" s="30">
        <v>0</v>
      </c>
      <c r="O442" s="30">
        <v>0</v>
      </c>
      <c r="P442" s="30"/>
      <c r="Q442" s="30">
        <f>(N442+O442*0.18+J442)+(IF((P442-O442*0.18)&gt;0,(P442-O442*0.18),0))</f>
        <v>0</v>
      </c>
      <c r="R442" s="7"/>
      <c r="S442" s="7"/>
      <c r="T442" s="7"/>
      <c r="U442" s="7"/>
      <c r="V442" s="7"/>
      <c r="W442" s="7"/>
      <c r="X442" s="7"/>
      <c r="Y442" s="7"/>
      <c r="Z442" s="7"/>
    </row>
    <row r="443" spans="1:26" ht="9" customHeight="1" x14ac:dyDescent="0.2">
      <c r="A443" s="95"/>
      <c r="B443" s="95"/>
      <c r="C443" s="34" t="s">
        <v>37</v>
      </c>
      <c r="D443" s="35">
        <v>8</v>
      </c>
      <c r="E443" s="36">
        <v>0</v>
      </c>
      <c r="F443" s="36">
        <v>0</v>
      </c>
      <c r="G443" s="36">
        <v>0</v>
      </c>
      <c r="H443" s="36">
        <v>0</v>
      </c>
      <c r="I443" s="36">
        <v>0</v>
      </c>
      <c r="J443" s="37">
        <v>0</v>
      </c>
      <c r="K443" s="36">
        <v>0</v>
      </c>
      <c r="L443" s="38">
        <v>0</v>
      </c>
      <c r="M443" s="39"/>
      <c r="N443" s="36">
        <v>0</v>
      </c>
      <c r="O443" s="36">
        <v>0</v>
      </c>
      <c r="P443" s="36">
        <v>0</v>
      </c>
      <c r="Q443" s="36">
        <f>Q442*1936.27</f>
        <v>0</v>
      </c>
      <c r="R443" s="7"/>
      <c r="S443" s="7"/>
      <c r="T443" s="7"/>
      <c r="U443" s="7"/>
      <c r="V443" s="7"/>
      <c r="W443" s="7"/>
      <c r="X443" s="7"/>
      <c r="Y443" s="7"/>
      <c r="Z443" s="7"/>
    </row>
    <row r="444" spans="1:26" ht="12.75" customHeight="1" x14ac:dyDescent="0.2">
      <c r="A444" s="95"/>
      <c r="B444" s="95"/>
      <c r="C444" s="40" t="s">
        <v>36</v>
      </c>
      <c r="D444" s="41">
        <v>9</v>
      </c>
      <c r="E444" s="42">
        <v>0</v>
      </c>
      <c r="F444" s="42">
        <v>0</v>
      </c>
      <c r="G444" s="42">
        <v>0</v>
      </c>
      <c r="H444" s="42">
        <v>0</v>
      </c>
      <c r="I444" s="42">
        <v>0</v>
      </c>
      <c r="J444" s="42">
        <v>0</v>
      </c>
      <c r="K444" s="43">
        <v>0</v>
      </c>
      <c r="L444" s="32">
        <v>0</v>
      </c>
      <c r="M444" s="33"/>
      <c r="N444" s="30">
        <v>0</v>
      </c>
      <c r="O444" s="30">
        <v>0</v>
      </c>
      <c r="P444" s="30"/>
      <c r="Q444" s="30">
        <f>(N444+O444*0.18+J444)+(IF((P444-O444*0.18)&gt;0,(P444-O444*0.18),0))</f>
        <v>0</v>
      </c>
      <c r="R444" s="7"/>
      <c r="S444" s="7"/>
      <c r="T444" s="7"/>
      <c r="U444" s="7"/>
      <c r="V444" s="7"/>
      <c r="W444" s="7"/>
      <c r="X444" s="7"/>
      <c r="Y444" s="7"/>
      <c r="Z444" s="7"/>
    </row>
    <row r="445" spans="1:26" ht="9" customHeight="1" x14ac:dyDescent="0.2">
      <c r="A445" s="95"/>
      <c r="B445" s="95"/>
      <c r="C445" s="34" t="s">
        <v>37</v>
      </c>
      <c r="D445" s="35">
        <v>14</v>
      </c>
      <c r="E445" s="36">
        <v>0</v>
      </c>
      <c r="F445" s="36">
        <v>0</v>
      </c>
      <c r="G445" s="36">
        <v>0</v>
      </c>
      <c r="H445" s="36">
        <v>0</v>
      </c>
      <c r="I445" s="36">
        <v>0</v>
      </c>
      <c r="J445" s="37">
        <v>0</v>
      </c>
      <c r="K445" s="36">
        <v>0</v>
      </c>
      <c r="L445" s="38">
        <v>0</v>
      </c>
      <c r="M445" s="39"/>
      <c r="N445" s="36">
        <v>0</v>
      </c>
      <c r="O445" s="36">
        <v>0</v>
      </c>
      <c r="P445" s="36">
        <v>0</v>
      </c>
      <c r="Q445" s="36">
        <f>Q444*1936.27</f>
        <v>0</v>
      </c>
      <c r="R445" s="7"/>
      <c r="S445" s="7"/>
      <c r="T445" s="7"/>
      <c r="U445" s="7"/>
      <c r="V445" s="7"/>
      <c r="W445" s="7"/>
      <c r="X445" s="7"/>
      <c r="Y445" s="7"/>
      <c r="Z445" s="7"/>
    </row>
    <row r="446" spans="1:26" ht="12.75" customHeight="1" x14ac:dyDescent="0.2">
      <c r="A446" s="95"/>
      <c r="B446" s="95"/>
      <c r="C446" s="40" t="s">
        <v>36</v>
      </c>
      <c r="D446" s="41">
        <v>15</v>
      </c>
      <c r="E446" s="42">
        <v>0</v>
      </c>
      <c r="F446" s="42">
        <v>0</v>
      </c>
      <c r="G446" s="42">
        <v>0</v>
      </c>
      <c r="H446" s="42">
        <v>0</v>
      </c>
      <c r="I446" s="42">
        <v>0</v>
      </c>
      <c r="J446" s="42">
        <v>0</v>
      </c>
      <c r="K446" s="43">
        <v>0</v>
      </c>
      <c r="L446" s="32">
        <v>0</v>
      </c>
      <c r="M446" s="33"/>
      <c r="N446" s="30">
        <v>0</v>
      </c>
      <c r="O446" s="30">
        <v>0</v>
      </c>
      <c r="P446" s="30"/>
      <c r="Q446" s="30">
        <f>(N446+O446*0.18+J446)+(IF((P446-O446*0.18)&gt;0,(P446-O446*0.18),0))</f>
        <v>0</v>
      </c>
      <c r="R446" s="7"/>
      <c r="S446" s="7"/>
      <c r="T446" s="7"/>
      <c r="U446" s="7"/>
      <c r="V446" s="7"/>
      <c r="W446" s="7"/>
      <c r="X446" s="7"/>
      <c r="Y446" s="7"/>
      <c r="Z446" s="7"/>
    </row>
    <row r="447" spans="1:26" ht="9" customHeight="1" x14ac:dyDescent="0.2">
      <c r="A447" s="95"/>
      <c r="B447" s="95"/>
      <c r="C447" s="34" t="s">
        <v>37</v>
      </c>
      <c r="D447" s="35">
        <v>20</v>
      </c>
      <c r="E447" s="36">
        <v>0</v>
      </c>
      <c r="F447" s="36">
        <v>0</v>
      </c>
      <c r="G447" s="36">
        <v>0</v>
      </c>
      <c r="H447" s="36">
        <v>0</v>
      </c>
      <c r="I447" s="36">
        <v>0</v>
      </c>
      <c r="J447" s="37">
        <v>0</v>
      </c>
      <c r="K447" s="36">
        <v>0</v>
      </c>
      <c r="L447" s="38">
        <v>0</v>
      </c>
      <c r="M447" s="39"/>
      <c r="N447" s="36">
        <v>0</v>
      </c>
      <c r="O447" s="36">
        <v>0</v>
      </c>
      <c r="P447" s="36">
        <v>0</v>
      </c>
      <c r="Q447" s="36">
        <f>Q446*1936.27</f>
        <v>0</v>
      </c>
      <c r="R447" s="7"/>
      <c r="S447" s="7"/>
      <c r="T447" s="7"/>
      <c r="U447" s="7"/>
      <c r="V447" s="7"/>
      <c r="W447" s="7"/>
      <c r="X447" s="7"/>
      <c r="Y447" s="7"/>
      <c r="Z447" s="7"/>
    </row>
    <row r="448" spans="1:26" ht="12.75" customHeight="1" x14ac:dyDescent="0.2">
      <c r="A448" s="95"/>
      <c r="B448" s="95"/>
      <c r="C448" s="40" t="s">
        <v>36</v>
      </c>
      <c r="D448" s="41">
        <v>21</v>
      </c>
      <c r="E448" s="42">
        <v>0</v>
      </c>
      <c r="F448" s="42">
        <v>0</v>
      </c>
      <c r="G448" s="42">
        <v>0</v>
      </c>
      <c r="H448" s="42">
        <v>0</v>
      </c>
      <c r="I448" s="42">
        <v>0</v>
      </c>
      <c r="J448" s="42">
        <v>0</v>
      </c>
      <c r="K448" s="43">
        <v>0</v>
      </c>
      <c r="L448" s="32">
        <v>0</v>
      </c>
      <c r="M448" s="33"/>
      <c r="N448" s="30">
        <v>0</v>
      </c>
      <c r="O448" s="30">
        <v>0</v>
      </c>
      <c r="P448" s="30"/>
      <c r="Q448" s="30">
        <f>(N448+O448*0.18+J448)+(IF((P448-O448*0.18)&gt;0,(P448-O448*0.18),0))</f>
        <v>0</v>
      </c>
      <c r="R448" s="7"/>
      <c r="S448" s="7"/>
      <c r="T448" s="7"/>
      <c r="U448" s="7"/>
      <c r="V448" s="7"/>
      <c r="W448" s="7"/>
      <c r="X448" s="7"/>
      <c r="Y448" s="7"/>
      <c r="Z448" s="7"/>
    </row>
    <row r="449" spans="1:26" ht="9" customHeight="1" x14ac:dyDescent="0.2">
      <c r="A449" s="95"/>
      <c r="B449" s="95"/>
      <c r="C449" s="34" t="s">
        <v>37</v>
      </c>
      <c r="D449" s="35">
        <v>27</v>
      </c>
      <c r="E449" s="36">
        <v>0</v>
      </c>
      <c r="F449" s="36">
        <v>0</v>
      </c>
      <c r="G449" s="36">
        <v>0</v>
      </c>
      <c r="H449" s="36">
        <v>0</v>
      </c>
      <c r="I449" s="36">
        <v>0</v>
      </c>
      <c r="J449" s="37">
        <v>0</v>
      </c>
      <c r="K449" s="36">
        <v>0</v>
      </c>
      <c r="L449" s="38">
        <v>0</v>
      </c>
      <c r="M449" s="39"/>
      <c r="N449" s="36">
        <v>0</v>
      </c>
      <c r="O449" s="36">
        <v>0</v>
      </c>
      <c r="P449" s="36">
        <v>0</v>
      </c>
      <c r="Q449" s="36">
        <f>Q448*1936.27</f>
        <v>0</v>
      </c>
      <c r="R449" s="7"/>
      <c r="S449" s="7"/>
      <c r="T449" s="7"/>
      <c r="U449" s="7"/>
      <c r="V449" s="7"/>
      <c r="W449" s="7"/>
      <c r="X449" s="7"/>
      <c r="Y449" s="7"/>
      <c r="Z449" s="7"/>
    </row>
    <row r="450" spans="1:26" ht="12.75" customHeight="1" x14ac:dyDescent="0.2">
      <c r="A450" s="95"/>
      <c r="B450" s="95"/>
      <c r="C450" s="40" t="s">
        <v>36</v>
      </c>
      <c r="D450" s="41">
        <v>28</v>
      </c>
      <c r="E450" s="42">
        <v>0</v>
      </c>
      <c r="F450" s="42">
        <v>0</v>
      </c>
      <c r="G450" s="42">
        <v>0</v>
      </c>
      <c r="H450" s="42">
        <v>0</v>
      </c>
      <c r="I450" s="42">
        <v>0</v>
      </c>
      <c r="J450" s="42">
        <v>0</v>
      </c>
      <c r="K450" s="43">
        <v>0</v>
      </c>
      <c r="L450" s="32">
        <v>0</v>
      </c>
      <c r="M450" s="33"/>
      <c r="N450" s="30">
        <v>0</v>
      </c>
      <c r="O450" s="30">
        <v>0</v>
      </c>
      <c r="P450" s="30"/>
      <c r="Q450" s="30">
        <f>(N450+O450*0.18+J450)+(IF((P450-O450*0.18)&gt;0,(P450-O450*0.18),0))</f>
        <v>0</v>
      </c>
      <c r="R450" s="7"/>
      <c r="S450" s="7"/>
      <c r="T450" s="7"/>
      <c r="U450" s="7"/>
      <c r="V450" s="7"/>
      <c r="W450" s="7"/>
      <c r="X450" s="7"/>
      <c r="Y450" s="7"/>
      <c r="Z450" s="7"/>
    </row>
    <row r="451" spans="1:26" ht="9" customHeight="1" x14ac:dyDescent="0.2">
      <c r="A451" s="95"/>
      <c r="B451" s="95"/>
      <c r="C451" s="34" t="s">
        <v>37</v>
      </c>
      <c r="D451" s="35">
        <v>34</v>
      </c>
      <c r="E451" s="36">
        <v>0</v>
      </c>
      <c r="F451" s="36">
        <v>0</v>
      </c>
      <c r="G451" s="36">
        <v>0</v>
      </c>
      <c r="H451" s="36">
        <v>0</v>
      </c>
      <c r="I451" s="36">
        <v>0</v>
      </c>
      <c r="J451" s="37">
        <v>0</v>
      </c>
      <c r="K451" s="36">
        <v>0</v>
      </c>
      <c r="L451" s="38">
        <v>0</v>
      </c>
      <c r="M451" s="39"/>
      <c r="N451" s="36">
        <v>0</v>
      </c>
      <c r="O451" s="36">
        <v>0</v>
      </c>
      <c r="P451" s="36">
        <v>0</v>
      </c>
      <c r="Q451" s="36">
        <f>Q450*1936.27</f>
        <v>0</v>
      </c>
      <c r="R451" s="7"/>
      <c r="S451" s="7"/>
      <c r="T451" s="7"/>
      <c r="U451" s="7"/>
      <c r="V451" s="7"/>
      <c r="W451" s="7"/>
      <c r="X451" s="7"/>
      <c r="Y451" s="7"/>
      <c r="Z451" s="7"/>
    </row>
    <row r="452" spans="1:26" ht="12.75" customHeight="1" x14ac:dyDescent="0.2">
      <c r="A452" s="95"/>
      <c r="B452" s="95"/>
      <c r="C452" s="40" t="s">
        <v>36</v>
      </c>
      <c r="D452" s="41">
        <v>35</v>
      </c>
      <c r="E452" s="42">
        <v>0</v>
      </c>
      <c r="F452" s="42">
        <v>0</v>
      </c>
      <c r="G452" s="42">
        <v>0</v>
      </c>
      <c r="H452" s="42">
        <v>0</v>
      </c>
      <c r="I452" s="42">
        <v>0</v>
      </c>
      <c r="J452" s="42">
        <v>0</v>
      </c>
      <c r="K452" s="43">
        <v>0</v>
      </c>
      <c r="L452" s="32">
        <v>0</v>
      </c>
      <c r="M452" s="33"/>
      <c r="N452" s="30">
        <v>0</v>
      </c>
      <c r="O452" s="30">
        <v>0</v>
      </c>
      <c r="P452" s="30"/>
      <c r="Q452" s="30">
        <f>(N452+O452*0.18+J452)+(IF((P452-O452*0.18)&gt;0,(P452-O452*0.18),0))</f>
        <v>0</v>
      </c>
      <c r="R452" s="7"/>
      <c r="S452" s="7"/>
      <c r="T452" s="7"/>
      <c r="U452" s="7"/>
      <c r="V452" s="7"/>
      <c r="W452" s="7"/>
      <c r="X452" s="7"/>
      <c r="Y452" s="7"/>
      <c r="Z452" s="7"/>
    </row>
    <row r="453" spans="1:26" ht="9" customHeight="1" x14ac:dyDescent="0.2">
      <c r="A453" s="110"/>
      <c r="B453" s="110"/>
      <c r="C453" s="47" t="s">
        <v>37</v>
      </c>
      <c r="D453" s="48"/>
      <c r="E453" s="46">
        <v>0</v>
      </c>
      <c r="F453" s="46">
        <v>0</v>
      </c>
      <c r="G453" s="46">
        <v>0</v>
      </c>
      <c r="H453" s="46">
        <v>0</v>
      </c>
      <c r="I453" s="46">
        <v>0</v>
      </c>
      <c r="J453" s="49">
        <v>0</v>
      </c>
      <c r="K453" s="46">
        <v>0</v>
      </c>
      <c r="L453" s="38">
        <v>0</v>
      </c>
      <c r="M453" s="39"/>
      <c r="N453" s="36">
        <v>0</v>
      </c>
      <c r="O453" s="36">
        <v>0</v>
      </c>
      <c r="P453" s="36">
        <v>0</v>
      </c>
      <c r="Q453" s="36">
        <f>Q452*1936.27</f>
        <v>0</v>
      </c>
      <c r="R453" s="7"/>
      <c r="S453" s="7"/>
      <c r="T453" s="7"/>
      <c r="U453" s="7"/>
      <c r="V453" s="7"/>
      <c r="W453" s="7"/>
      <c r="X453" s="7"/>
      <c r="Y453" s="7"/>
      <c r="Z453" s="7"/>
    </row>
    <row r="454" spans="1:26" ht="12.75" customHeight="1" x14ac:dyDescent="0.2">
      <c r="A454" s="98">
        <v>36708</v>
      </c>
      <c r="B454" s="98">
        <v>36769</v>
      </c>
      <c r="C454" s="28" t="s">
        <v>36</v>
      </c>
      <c r="D454" s="29">
        <v>0</v>
      </c>
      <c r="E454" s="30">
        <v>0</v>
      </c>
      <c r="F454" s="30">
        <v>0</v>
      </c>
      <c r="G454" s="30">
        <v>0</v>
      </c>
      <c r="H454" s="30">
        <v>0</v>
      </c>
      <c r="I454" s="30">
        <v>0</v>
      </c>
      <c r="J454" s="30">
        <v>0</v>
      </c>
      <c r="K454" s="31">
        <v>0</v>
      </c>
      <c r="L454" s="32">
        <v>0</v>
      </c>
      <c r="M454" s="33"/>
      <c r="N454" s="30">
        <v>0</v>
      </c>
      <c r="O454" s="30">
        <v>0</v>
      </c>
      <c r="P454" s="30"/>
      <c r="Q454" s="30">
        <f>(N454+O454*0.18+J454)+(IF((P454-O454*0.18)&gt;0,(P454-O454*0.18),0))</f>
        <v>0</v>
      </c>
      <c r="R454" s="7"/>
      <c r="S454" s="7"/>
      <c r="T454" s="7"/>
      <c r="U454" s="7"/>
      <c r="V454" s="7"/>
      <c r="W454" s="7"/>
      <c r="X454" s="7"/>
      <c r="Y454" s="7"/>
      <c r="Z454" s="7"/>
    </row>
    <row r="455" spans="1:26" ht="9" customHeight="1" x14ac:dyDescent="0.2">
      <c r="A455" s="95"/>
      <c r="B455" s="95"/>
      <c r="C455" s="34" t="s">
        <v>37</v>
      </c>
      <c r="D455" s="35">
        <v>2</v>
      </c>
      <c r="E455" s="36">
        <v>0</v>
      </c>
      <c r="F455" s="36">
        <v>0</v>
      </c>
      <c r="G455" s="36">
        <v>0</v>
      </c>
      <c r="H455" s="36">
        <v>0</v>
      </c>
      <c r="I455" s="36">
        <v>0</v>
      </c>
      <c r="J455" s="37">
        <v>0</v>
      </c>
      <c r="K455" s="36">
        <v>0</v>
      </c>
      <c r="L455" s="38">
        <v>0</v>
      </c>
      <c r="M455" s="39"/>
      <c r="N455" s="36">
        <v>0</v>
      </c>
      <c r="O455" s="36">
        <v>0</v>
      </c>
      <c r="P455" s="36">
        <v>0</v>
      </c>
      <c r="Q455" s="36">
        <f>Q454*1936.27</f>
        <v>0</v>
      </c>
      <c r="R455" s="7"/>
      <c r="S455" s="7"/>
      <c r="T455" s="7"/>
      <c r="U455" s="7"/>
      <c r="V455" s="7"/>
      <c r="W455" s="7"/>
      <c r="X455" s="7"/>
      <c r="Y455" s="7"/>
      <c r="Z455" s="7"/>
    </row>
    <row r="456" spans="1:26" ht="12.75" customHeight="1" x14ac:dyDescent="0.2">
      <c r="A456" s="156">
        <v>36708</v>
      </c>
      <c r="B456" s="156">
        <v>36769</v>
      </c>
      <c r="C456" s="40" t="s">
        <v>36</v>
      </c>
      <c r="D456" s="41">
        <v>3</v>
      </c>
      <c r="E456" s="42">
        <v>0</v>
      </c>
      <c r="F456" s="42">
        <v>0</v>
      </c>
      <c r="G456" s="42">
        <v>0</v>
      </c>
      <c r="H456" s="42">
        <v>0</v>
      </c>
      <c r="I456" s="42">
        <v>0</v>
      </c>
      <c r="J456" s="42">
        <v>0</v>
      </c>
      <c r="K456" s="43">
        <v>0</v>
      </c>
      <c r="L456" s="32">
        <v>0</v>
      </c>
      <c r="M456" s="33"/>
      <c r="N456" s="30">
        <v>0</v>
      </c>
      <c r="O456" s="30">
        <v>0</v>
      </c>
      <c r="P456" s="30"/>
      <c r="Q456" s="30">
        <f>(N456+O456*0.18+J456)+(IF((P456-O456*0.18)&gt;0,(P456-O456*0.18),0))</f>
        <v>0</v>
      </c>
      <c r="R456" s="7"/>
      <c r="S456" s="7"/>
      <c r="T456" s="7"/>
      <c r="U456" s="7"/>
      <c r="V456" s="7"/>
      <c r="W456" s="7"/>
      <c r="X456" s="7"/>
      <c r="Y456" s="7"/>
      <c r="Z456" s="7"/>
    </row>
    <row r="457" spans="1:26" ht="9" customHeight="1" x14ac:dyDescent="0.2">
      <c r="A457" s="95"/>
      <c r="B457" s="95"/>
      <c r="C457" s="34" t="s">
        <v>37</v>
      </c>
      <c r="D457" s="35">
        <v>8</v>
      </c>
      <c r="E457" s="36">
        <v>0</v>
      </c>
      <c r="F457" s="36">
        <v>0</v>
      </c>
      <c r="G457" s="36">
        <v>0</v>
      </c>
      <c r="H457" s="36">
        <v>0</v>
      </c>
      <c r="I457" s="36">
        <v>0</v>
      </c>
      <c r="J457" s="37">
        <v>0</v>
      </c>
      <c r="K457" s="36">
        <v>0</v>
      </c>
      <c r="L457" s="38">
        <v>0</v>
      </c>
      <c r="M457" s="39"/>
      <c r="N457" s="36">
        <v>0</v>
      </c>
      <c r="O457" s="36">
        <v>0</v>
      </c>
      <c r="P457" s="36">
        <v>0</v>
      </c>
      <c r="Q457" s="36">
        <f>Q456*1936.27</f>
        <v>0</v>
      </c>
      <c r="R457" s="7"/>
      <c r="S457" s="7"/>
      <c r="T457" s="7"/>
      <c r="U457" s="7"/>
      <c r="V457" s="7"/>
      <c r="W457" s="7"/>
      <c r="X457" s="7"/>
      <c r="Y457" s="7"/>
      <c r="Z457" s="7"/>
    </row>
    <row r="458" spans="1:26" ht="12.75" customHeight="1" x14ac:dyDescent="0.2">
      <c r="A458" s="95"/>
      <c r="B458" s="95"/>
      <c r="C458" s="40" t="s">
        <v>36</v>
      </c>
      <c r="D458" s="41">
        <v>9</v>
      </c>
      <c r="E458" s="42">
        <v>0</v>
      </c>
      <c r="F458" s="42">
        <v>0</v>
      </c>
      <c r="G458" s="42">
        <v>0</v>
      </c>
      <c r="H458" s="42">
        <v>0</v>
      </c>
      <c r="I458" s="42">
        <v>0</v>
      </c>
      <c r="J458" s="42">
        <v>0</v>
      </c>
      <c r="K458" s="43">
        <v>0</v>
      </c>
      <c r="L458" s="32">
        <v>0</v>
      </c>
      <c r="M458" s="33"/>
      <c r="N458" s="30">
        <v>0</v>
      </c>
      <c r="O458" s="30">
        <v>0</v>
      </c>
      <c r="P458" s="30"/>
      <c r="Q458" s="30">
        <f>(N458+O458*0.18+J458)+(IF((P458-O458*0.18)&gt;0,(P458-O458*0.18),0))</f>
        <v>0</v>
      </c>
      <c r="R458" s="7"/>
      <c r="S458" s="7"/>
      <c r="T458" s="7"/>
      <c r="U458" s="7"/>
      <c r="V458" s="7"/>
      <c r="W458" s="7"/>
      <c r="X458" s="7"/>
      <c r="Y458" s="7"/>
      <c r="Z458" s="7"/>
    </row>
    <row r="459" spans="1:26" ht="9" customHeight="1" x14ac:dyDescent="0.2">
      <c r="A459" s="95"/>
      <c r="B459" s="95"/>
      <c r="C459" s="34" t="s">
        <v>37</v>
      </c>
      <c r="D459" s="35">
        <v>14</v>
      </c>
      <c r="E459" s="36">
        <v>0</v>
      </c>
      <c r="F459" s="36">
        <v>0</v>
      </c>
      <c r="G459" s="36">
        <v>0</v>
      </c>
      <c r="H459" s="36">
        <v>0</v>
      </c>
      <c r="I459" s="36">
        <v>0</v>
      </c>
      <c r="J459" s="37">
        <v>0</v>
      </c>
      <c r="K459" s="36">
        <v>0</v>
      </c>
      <c r="L459" s="38">
        <v>0</v>
      </c>
      <c r="M459" s="39"/>
      <c r="N459" s="36">
        <v>0</v>
      </c>
      <c r="O459" s="36">
        <v>0</v>
      </c>
      <c r="P459" s="36">
        <v>0</v>
      </c>
      <c r="Q459" s="36">
        <f>Q458*1936.27</f>
        <v>0</v>
      </c>
      <c r="R459" s="7"/>
      <c r="S459" s="7"/>
      <c r="T459" s="7"/>
      <c r="U459" s="7"/>
      <c r="V459" s="7"/>
      <c r="W459" s="7"/>
      <c r="X459" s="7"/>
      <c r="Y459" s="7"/>
      <c r="Z459" s="7"/>
    </row>
    <row r="460" spans="1:26" ht="12.75" customHeight="1" x14ac:dyDescent="0.2">
      <c r="A460" s="95"/>
      <c r="B460" s="95"/>
      <c r="C460" s="40" t="s">
        <v>36</v>
      </c>
      <c r="D460" s="41">
        <v>15</v>
      </c>
      <c r="E460" s="42">
        <v>0</v>
      </c>
      <c r="F460" s="42">
        <v>0</v>
      </c>
      <c r="G460" s="42">
        <v>0</v>
      </c>
      <c r="H460" s="42">
        <v>0</v>
      </c>
      <c r="I460" s="42">
        <v>0</v>
      </c>
      <c r="J460" s="42">
        <v>0</v>
      </c>
      <c r="K460" s="43">
        <v>0</v>
      </c>
      <c r="L460" s="32">
        <v>0</v>
      </c>
      <c r="M460" s="33"/>
      <c r="N460" s="30">
        <v>0</v>
      </c>
      <c r="O460" s="30">
        <v>0</v>
      </c>
      <c r="P460" s="30"/>
      <c r="Q460" s="30">
        <f>(N460+O460*0.18+J460)+(IF((P460-O460*0.18)&gt;0,(P460-O460*0.18),0))</f>
        <v>0</v>
      </c>
      <c r="R460" s="7"/>
      <c r="S460" s="7"/>
      <c r="T460" s="7"/>
      <c r="U460" s="7"/>
      <c r="V460" s="7"/>
      <c r="W460" s="7"/>
      <c r="X460" s="7"/>
      <c r="Y460" s="7"/>
      <c r="Z460" s="7"/>
    </row>
    <row r="461" spans="1:26" ht="9" customHeight="1" x14ac:dyDescent="0.2">
      <c r="A461" s="95"/>
      <c r="B461" s="95"/>
      <c r="C461" s="34" t="s">
        <v>37</v>
      </c>
      <c r="D461" s="35">
        <v>20</v>
      </c>
      <c r="E461" s="36">
        <v>0</v>
      </c>
      <c r="F461" s="36">
        <v>0</v>
      </c>
      <c r="G461" s="36">
        <v>0</v>
      </c>
      <c r="H461" s="36">
        <v>0</v>
      </c>
      <c r="I461" s="36">
        <v>0</v>
      </c>
      <c r="J461" s="37">
        <v>0</v>
      </c>
      <c r="K461" s="36">
        <v>0</v>
      </c>
      <c r="L461" s="38">
        <v>0</v>
      </c>
      <c r="M461" s="39"/>
      <c r="N461" s="36">
        <v>0</v>
      </c>
      <c r="O461" s="36">
        <v>0</v>
      </c>
      <c r="P461" s="36">
        <v>0</v>
      </c>
      <c r="Q461" s="36">
        <f>Q460*1936.27</f>
        <v>0</v>
      </c>
      <c r="R461" s="7"/>
      <c r="S461" s="7"/>
      <c r="T461" s="7"/>
      <c r="U461" s="7"/>
      <c r="V461" s="7"/>
      <c r="W461" s="7"/>
      <c r="X461" s="7"/>
      <c r="Y461" s="7"/>
      <c r="Z461" s="7"/>
    </row>
    <row r="462" spans="1:26" ht="12.75" customHeight="1" x14ac:dyDescent="0.2">
      <c r="A462" s="95"/>
      <c r="B462" s="95"/>
      <c r="C462" s="40" t="s">
        <v>36</v>
      </c>
      <c r="D462" s="41">
        <v>21</v>
      </c>
      <c r="E462" s="42">
        <v>0</v>
      </c>
      <c r="F462" s="42">
        <v>0</v>
      </c>
      <c r="G462" s="42">
        <v>0</v>
      </c>
      <c r="H462" s="42">
        <v>0</v>
      </c>
      <c r="I462" s="42">
        <v>0</v>
      </c>
      <c r="J462" s="42">
        <v>0</v>
      </c>
      <c r="K462" s="43">
        <v>0</v>
      </c>
      <c r="L462" s="32">
        <v>0</v>
      </c>
      <c r="M462" s="33"/>
      <c r="N462" s="30">
        <v>0</v>
      </c>
      <c r="O462" s="30">
        <v>0</v>
      </c>
      <c r="P462" s="30"/>
      <c r="Q462" s="30">
        <f>(N462+O462*0.18+J462)+(IF((P462-O462*0.18)&gt;0,(P462-O462*0.18),0))</f>
        <v>0</v>
      </c>
      <c r="R462" s="7"/>
      <c r="S462" s="7"/>
      <c r="T462" s="7"/>
      <c r="U462" s="7"/>
      <c r="V462" s="7"/>
      <c r="W462" s="7"/>
      <c r="X462" s="7"/>
      <c r="Y462" s="7"/>
      <c r="Z462" s="7"/>
    </row>
    <row r="463" spans="1:26" ht="9" customHeight="1" x14ac:dyDescent="0.2">
      <c r="A463" s="95"/>
      <c r="B463" s="95"/>
      <c r="C463" s="34" t="s">
        <v>37</v>
      </c>
      <c r="D463" s="35">
        <v>27</v>
      </c>
      <c r="E463" s="36">
        <v>0</v>
      </c>
      <c r="F463" s="36">
        <v>0</v>
      </c>
      <c r="G463" s="36">
        <v>0</v>
      </c>
      <c r="H463" s="36">
        <v>0</v>
      </c>
      <c r="I463" s="36">
        <v>0</v>
      </c>
      <c r="J463" s="37">
        <v>0</v>
      </c>
      <c r="K463" s="36">
        <v>0</v>
      </c>
      <c r="L463" s="38">
        <v>0</v>
      </c>
      <c r="M463" s="39"/>
      <c r="N463" s="36">
        <v>0</v>
      </c>
      <c r="O463" s="36">
        <v>0</v>
      </c>
      <c r="P463" s="36">
        <v>0</v>
      </c>
      <c r="Q463" s="36">
        <f>Q462*1936.27</f>
        <v>0</v>
      </c>
      <c r="R463" s="7"/>
      <c r="S463" s="7"/>
      <c r="T463" s="7"/>
      <c r="U463" s="7"/>
      <c r="V463" s="7"/>
      <c r="W463" s="7"/>
      <c r="X463" s="7"/>
      <c r="Y463" s="7"/>
      <c r="Z463" s="7"/>
    </row>
    <row r="464" spans="1:26" ht="12.75" customHeight="1" x14ac:dyDescent="0.2">
      <c r="A464" s="95"/>
      <c r="B464" s="95"/>
      <c r="C464" s="40" t="s">
        <v>36</v>
      </c>
      <c r="D464" s="41">
        <v>28</v>
      </c>
      <c r="E464" s="42">
        <v>0</v>
      </c>
      <c r="F464" s="42">
        <v>0</v>
      </c>
      <c r="G464" s="42">
        <v>0</v>
      </c>
      <c r="H464" s="42">
        <v>0</v>
      </c>
      <c r="I464" s="42">
        <v>0</v>
      </c>
      <c r="J464" s="42">
        <v>0</v>
      </c>
      <c r="K464" s="43">
        <v>0</v>
      </c>
      <c r="L464" s="32">
        <v>0</v>
      </c>
      <c r="M464" s="33"/>
      <c r="N464" s="30">
        <v>0</v>
      </c>
      <c r="O464" s="30">
        <v>0</v>
      </c>
      <c r="P464" s="30"/>
      <c r="Q464" s="30">
        <f>(N464+O464*0.18+J464)+(IF((P464-O464*0.18)&gt;0,(P464-O464*0.18),0))</f>
        <v>0</v>
      </c>
      <c r="R464" s="7"/>
      <c r="S464" s="7"/>
      <c r="T464" s="7"/>
      <c r="U464" s="7"/>
      <c r="V464" s="7"/>
      <c r="W464" s="7"/>
      <c r="X464" s="7"/>
      <c r="Y464" s="7"/>
      <c r="Z464" s="7"/>
    </row>
    <row r="465" spans="1:26" ht="9" customHeight="1" x14ac:dyDescent="0.2">
      <c r="A465" s="95"/>
      <c r="B465" s="95"/>
      <c r="C465" s="34" t="s">
        <v>37</v>
      </c>
      <c r="D465" s="35">
        <v>34</v>
      </c>
      <c r="E465" s="36">
        <v>0</v>
      </c>
      <c r="F465" s="36">
        <v>0</v>
      </c>
      <c r="G465" s="36">
        <v>0</v>
      </c>
      <c r="H465" s="36">
        <v>0</v>
      </c>
      <c r="I465" s="36">
        <v>0</v>
      </c>
      <c r="J465" s="37">
        <v>0</v>
      </c>
      <c r="K465" s="36">
        <v>0</v>
      </c>
      <c r="L465" s="38">
        <v>0</v>
      </c>
      <c r="M465" s="39"/>
      <c r="N465" s="36">
        <v>0</v>
      </c>
      <c r="O465" s="36">
        <v>0</v>
      </c>
      <c r="P465" s="36">
        <v>0</v>
      </c>
      <c r="Q465" s="36">
        <f>Q464*1936.27</f>
        <v>0</v>
      </c>
      <c r="R465" s="7"/>
      <c r="S465" s="7"/>
      <c r="T465" s="7"/>
      <c r="U465" s="7"/>
      <c r="V465" s="7"/>
      <c r="W465" s="7"/>
      <c r="X465" s="7"/>
      <c r="Y465" s="7"/>
      <c r="Z465" s="7"/>
    </row>
    <row r="466" spans="1:26" ht="12.75" customHeight="1" x14ac:dyDescent="0.2">
      <c r="A466" s="95"/>
      <c r="B466" s="95"/>
      <c r="C466" s="40" t="s">
        <v>36</v>
      </c>
      <c r="D466" s="41">
        <v>35</v>
      </c>
      <c r="E466" s="42">
        <v>0</v>
      </c>
      <c r="F466" s="42">
        <v>0</v>
      </c>
      <c r="G466" s="42">
        <v>0</v>
      </c>
      <c r="H466" s="42">
        <v>0</v>
      </c>
      <c r="I466" s="42">
        <v>0</v>
      </c>
      <c r="J466" s="42">
        <v>0</v>
      </c>
      <c r="K466" s="43">
        <v>0</v>
      </c>
      <c r="L466" s="32">
        <v>0</v>
      </c>
      <c r="M466" s="33"/>
      <c r="N466" s="30">
        <v>0</v>
      </c>
      <c r="O466" s="30">
        <v>0</v>
      </c>
      <c r="P466" s="30"/>
      <c r="Q466" s="30">
        <f>(N466+O466*0.18+J466)+(IF((P466-O466*0.18)&gt;0,(P466-O466*0.18),0))</f>
        <v>0</v>
      </c>
      <c r="R466" s="7"/>
      <c r="S466" s="7"/>
      <c r="T466" s="7"/>
      <c r="U466" s="7"/>
      <c r="V466" s="7"/>
      <c r="W466" s="7"/>
      <c r="X466" s="7"/>
      <c r="Y466" s="7"/>
      <c r="Z466" s="7"/>
    </row>
    <row r="467" spans="1:26" ht="9" customHeight="1" x14ac:dyDescent="0.2">
      <c r="A467" s="110"/>
      <c r="B467" s="110"/>
      <c r="C467" s="47" t="s">
        <v>37</v>
      </c>
      <c r="D467" s="48"/>
      <c r="E467" s="46">
        <v>0</v>
      </c>
      <c r="F467" s="46">
        <v>0</v>
      </c>
      <c r="G467" s="46">
        <v>0</v>
      </c>
      <c r="H467" s="46">
        <v>0</v>
      </c>
      <c r="I467" s="46">
        <v>0</v>
      </c>
      <c r="J467" s="49">
        <v>0</v>
      </c>
      <c r="K467" s="46">
        <v>0</v>
      </c>
      <c r="L467" s="38">
        <v>0</v>
      </c>
      <c r="M467" s="39"/>
      <c r="N467" s="36">
        <v>0</v>
      </c>
      <c r="O467" s="36">
        <v>0</v>
      </c>
      <c r="P467" s="36">
        <v>0</v>
      </c>
      <c r="Q467" s="36">
        <f>Q466*1936.27</f>
        <v>0</v>
      </c>
      <c r="R467" s="7"/>
      <c r="S467" s="7"/>
      <c r="T467" s="7"/>
      <c r="U467" s="7"/>
      <c r="V467" s="7"/>
      <c r="W467" s="7"/>
      <c r="X467" s="7"/>
      <c r="Y467" s="7"/>
      <c r="Z467" s="7"/>
    </row>
    <row r="468" spans="1:26" ht="12.75" customHeight="1" x14ac:dyDescent="0.2">
      <c r="A468" s="98">
        <v>36708</v>
      </c>
      <c r="B468" s="98">
        <v>36769</v>
      </c>
      <c r="C468" s="28" t="s">
        <v>36</v>
      </c>
      <c r="D468" s="29">
        <v>0</v>
      </c>
      <c r="E468" s="30">
        <v>0</v>
      </c>
      <c r="F468" s="30">
        <v>0</v>
      </c>
      <c r="G468" s="30">
        <v>0</v>
      </c>
      <c r="H468" s="30">
        <v>0</v>
      </c>
      <c r="I468" s="30">
        <v>0</v>
      </c>
      <c r="J468" s="30">
        <v>0</v>
      </c>
      <c r="K468" s="31">
        <v>0</v>
      </c>
      <c r="L468" s="32">
        <v>0</v>
      </c>
      <c r="M468" s="33"/>
      <c r="N468" s="30">
        <v>0</v>
      </c>
      <c r="O468" s="30">
        <v>0</v>
      </c>
      <c r="P468" s="30"/>
      <c r="Q468" s="30">
        <f>(N468+O468*0.18+J468)+(IF((P468-O468*0.18)&gt;0,(P468-O468*0.18),0))</f>
        <v>0</v>
      </c>
      <c r="R468" s="7"/>
      <c r="S468" s="7"/>
      <c r="T468" s="7"/>
      <c r="U468" s="7"/>
      <c r="V468" s="7"/>
      <c r="W468" s="7"/>
      <c r="X468" s="7"/>
      <c r="Y468" s="7"/>
      <c r="Z468" s="7"/>
    </row>
    <row r="469" spans="1:26" ht="9" customHeight="1" x14ac:dyDescent="0.2">
      <c r="A469" s="95"/>
      <c r="B469" s="95"/>
      <c r="C469" s="34" t="s">
        <v>37</v>
      </c>
      <c r="D469" s="35">
        <v>2</v>
      </c>
      <c r="E469" s="36">
        <v>0</v>
      </c>
      <c r="F469" s="36">
        <v>0</v>
      </c>
      <c r="G469" s="36">
        <v>0</v>
      </c>
      <c r="H469" s="36">
        <v>0</v>
      </c>
      <c r="I469" s="36">
        <v>0</v>
      </c>
      <c r="J469" s="37">
        <v>0</v>
      </c>
      <c r="K469" s="36">
        <v>0</v>
      </c>
      <c r="L469" s="38">
        <v>0</v>
      </c>
      <c r="M469" s="39"/>
      <c r="N469" s="36">
        <v>0</v>
      </c>
      <c r="O469" s="36">
        <v>0</v>
      </c>
      <c r="P469" s="36">
        <v>0</v>
      </c>
      <c r="Q469" s="36">
        <f>Q468*1936.27</f>
        <v>0</v>
      </c>
      <c r="R469" s="7"/>
      <c r="S469" s="7"/>
      <c r="T469" s="7"/>
      <c r="U469" s="7"/>
      <c r="V469" s="7"/>
      <c r="W469" s="7"/>
      <c r="X469" s="7"/>
      <c r="Y469" s="7"/>
      <c r="Z469" s="7"/>
    </row>
    <row r="470" spans="1:26" ht="12.75" customHeight="1" x14ac:dyDescent="0.2">
      <c r="A470" s="156">
        <v>36708</v>
      </c>
      <c r="B470" s="156">
        <v>36769</v>
      </c>
      <c r="C470" s="40" t="s">
        <v>36</v>
      </c>
      <c r="D470" s="41">
        <v>3</v>
      </c>
      <c r="E470" s="42">
        <v>0</v>
      </c>
      <c r="F470" s="42">
        <v>0</v>
      </c>
      <c r="G470" s="42">
        <v>0</v>
      </c>
      <c r="H470" s="42">
        <v>0</v>
      </c>
      <c r="I470" s="42">
        <v>0</v>
      </c>
      <c r="J470" s="42">
        <v>0</v>
      </c>
      <c r="K470" s="43">
        <v>0</v>
      </c>
      <c r="L470" s="32">
        <v>0</v>
      </c>
      <c r="M470" s="33"/>
      <c r="N470" s="30">
        <v>0</v>
      </c>
      <c r="O470" s="30">
        <v>0</v>
      </c>
      <c r="P470" s="30"/>
      <c r="Q470" s="30">
        <f>(N470+O470*0.18+J470)+(IF((P470-O470*0.18)&gt;0,(P470-O470*0.18),0))</f>
        <v>0</v>
      </c>
      <c r="R470" s="7"/>
      <c r="S470" s="7"/>
      <c r="T470" s="7"/>
      <c r="U470" s="7"/>
      <c r="V470" s="7"/>
      <c r="W470" s="7"/>
      <c r="X470" s="7"/>
      <c r="Y470" s="7"/>
      <c r="Z470" s="7"/>
    </row>
    <row r="471" spans="1:26" ht="9" customHeight="1" x14ac:dyDescent="0.2">
      <c r="A471" s="95"/>
      <c r="B471" s="95"/>
      <c r="C471" s="34" t="s">
        <v>37</v>
      </c>
      <c r="D471" s="35">
        <v>8</v>
      </c>
      <c r="E471" s="36">
        <v>0</v>
      </c>
      <c r="F471" s="36">
        <v>0</v>
      </c>
      <c r="G471" s="36">
        <v>0</v>
      </c>
      <c r="H471" s="36">
        <v>0</v>
      </c>
      <c r="I471" s="36">
        <v>0</v>
      </c>
      <c r="J471" s="37">
        <v>0</v>
      </c>
      <c r="K471" s="36">
        <v>0</v>
      </c>
      <c r="L471" s="38">
        <v>0</v>
      </c>
      <c r="M471" s="39"/>
      <c r="N471" s="36">
        <v>0</v>
      </c>
      <c r="O471" s="36">
        <v>0</v>
      </c>
      <c r="P471" s="36">
        <v>0</v>
      </c>
      <c r="Q471" s="36">
        <f>Q470*1936.27</f>
        <v>0</v>
      </c>
      <c r="R471" s="7"/>
      <c r="S471" s="7"/>
      <c r="T471" s="7"/>
      <c r="U471" s="7"/>
      <c r="V471" s="7"/>
      <c r="W471" s="7"/>
      <c r="X471" s="7"/>
      <c r="Y471" s="7"/>
      <c r="Z471" s="7"/>
    </row>
    <row r="472" spans="1:26" ht="12.75" customHeight="1" x14ac:dyDescent="0.2">
      <c r="A472" s="95"/>
      <c r="B472" s="95"/>
      <c r="C472" s="40" t="s">
        <v>36</v>
      </c>
      <c r="D472" s="41">
        <v>9</v>
      </c>
      <c r="E472" s="42">
        <v>0</v>
      </c>
      <c r="F472" s="42">
        <v>0</v>
      </c>
      <c r="G472" s="42">
        <v>0</v>
      </c>
      <c r="H472" s="42">
        <v>0</v>
      </c>
      <c r="I472" s="42">
        <v>0</v>
      </c>
      <c r="J472" s="42">
        <v>0</v>
      </c>
      <c r="K472" s="43">
        <v>0</v>
      </c>
      <c r="L472" s="32">
        <v>0</v>
      </c>
      <c r="M472" s="33"/>
      <c r="N472" s="30">
        <v>0</v>
      </c>
      <c r="O472" s="30">
        <v>0</v>
      </c>
      <c r="P472" s="30"/>
      <c r="Q472" s="30">
        <f>(N472+O472*0.18+J472)+(IF((P472-O472*0.18)&gt;0,(P472-O472*0.18),0))</f>
        <v>0</v>
      </c>
      <c r="R472" s="7"/>
      <c r="S472" s="7"/>
      <c r="T472" s="7"/>
      <c r="U472" s="7"/>
      <c r="V472" s="7"/>
      <c r="W472" s="7"/>
      <c r="X472" s="7"/>
      <c r="Y472" s="7"/>
      <c r="Z472" s="7"/>
    </row>
    <row r="473" spans="1:26" ht="9" customHeight="1" x14ac:dyDescent="0.2">
      <c r="A473" s="95"/>
      <c r="B473" s="95"/>
      <c r="C473" s="34" t="s">
        <v>37</v>
      </c>
      <c r="D473" s="35">
        <v>14</v>
      </c>
      <c r="E473" s="36">
        <v>0</v>
      </c>
      <c r="F473" s="36">
        <v>0</v>
      </c>
      <c r="G473" s="36">
        <v>0</v>
      </c>
      <c r="H473" s="36">
        <v>0</v>
      </c>
      <c r="I473" s="36">
        <v>0</v>
      </c>
      <c r="J473" s="37">
        <v>0</v>
      </c>
      <c r="K473" s="36">
        <v>0</v>
      </c>
      <c r="L473" s="38">
        <v>0</v>
      </c>
      <c r="M473" s="39"/>
      <c r="N473" s="36">
        <v>0</v>
      </c>
      <c r="O473" s="36">
        <v>0</v>
      </c>
      <c r="P473" s="36">
        <v>0</v>
      </c>
      <c r="Q473" s="36">
        <f>Q472*1936.27</f>
        <v>0</v>
      </c>
      <c r="R473" s="7"/>
      <c r="S473" s="7"/>
      <c r="T473" s="7"/>
      <c r="U473" s="7"/>
      <c r="V473" s="7"/>
      <c r="W473" s="7"/>
      <c r="X473" s="7"/>
      <c r="Y473" s="7"/>
      <c r="Z473" s="7"/>
    </row>
    <row r="474" spans="1:26" ht="12.75" customHeight="1" x14ac:dyDescent="0.2">
      <c r="A474" s="95"/>
      <c r="B474" s="95"/>
      <c r="C474" s="40" t="s">
        <v>36</v>
      </c>
      <c r="D474" s="41">
        <v>15</v>
      </c>
      <c r="E474" s="42">
        <v>0</v>
      </c>
      <c r="F474" s="42">
        <v>0</v>
      </c>
      <c r="G474" s="42">
        <v>0</v>
      </c>
      <c r="H474" s="42">
        <v>0</v>
      </c>
      <c r="I474" s="42">
        <v>0</v>
      </c>
      <c r="J474" s="42">
        <v>0</v>
      </c>
      <c r="K474" s="43">
        <v>0</v>
      </c>
      <c r="L474" s="32">
        <v>0</v>
      </c>
      <c r="M474" s="33"/>
      <c r="N474" s="30">
        <v>0</v>
      </c>
      <c r="O474" s="30">
        <v>0</v>
      </c>
      <c r="P474" s="30"/>
      <c r="Q474" s="30">
        <f>(N474+O474*0.18+J474)+(IF((P474-O474*0.18)&gt;0,(P474-O474*0.18),0))</f>
        <v>0</v>
      </c>
      <c r="R474" s="7"/>
      <c r="S474" s="7"/>
      <c r="T474" s="7"/>
      <c r="U474" s="7"/>
      <c r="V474" s="7"/>
      <c r="W474" s="7"/>
      <c r="X474" s="7"/>
      <c r="Y474" s="7"/>
      <c r="Z474" s="7"/>
    </row>
    <row r="475" spans="1:26" ht="9" customHeight="1" x14ac:dyDescent="0.2">
      <c r="A475" s="95"/>
      <c r="B475" s="95"/>
      <c r="C475" s="34" t="s">
        <v>37</v>
      </c>
      <c r="D475" s="35">
        <v>20</v>
      </c>
      <c r="E475" s="36">
        <v>0</v>
      </c>
      <c r="F475" s="36">
        <v>0</v>
      </c>
      <c r="G475" s="36">
        <v>0</v>
      </c>
      <c r="H475" s="36">
        <v>0</v>
      </c>
      <c r="I475" s="36">
        <v>0</v>
      </c>
      <c r="J475" s="37">
        <v>0</v>
      </c>
      <c r="K475" s="36">
        <v>0</v>
      </c>
      <c r="L475" s="38">
        <v>0</v>
      </c>
      <c r="M475" s="39"/>
      <c r="N475" s="36">
        <v>0</v>
      </c>
      <c r="O475" s="36">
        <v>0</v>
      </c>
      <c r="P475" s="36">
        <v>0</v>
      </c>
      <c r="Q475" s="36">
        <f>Q474*1936.27</f>
        <v>0</v>
      </c>
      <c r="R475" s="7"/>
      <c r="S475" s="7"/>
      <c r="T475" s="7"/>
      <c r="U475" s="7"/>
      <c r="V475" s="7"/>
      <c r="W475" s="7"/>
      <c r="X475" s="7"/>
      <c r="Y475" s="7"/>
      <c r="Z475" s="7"/>
    </row>
    <row r="476" spans="1:26" ht="12.75" customHeight="1" x14ac:dyDescent="0.2">
      <c r="A476" s="95"/>
      <c r="B476" s="95"/>
      <c r="C476" s="40" t="s">
        <v>36</v>
      </c>
      <c r="D476" s="41">
        <v>21</v>
      </c>
      <c r="E476" s="42">
        <v>0</v>
      </c>
      <c r="F476" s="42">
        <v>0</v>
      </c>
      <c r="G476" s="42">
        <v>0</v>
      </c>
      <c r="H476" s="42">
        <v>0</v>
      </c>
      <c r="I476" s="42">
        <v>0</v>
      </c>
      <c r="J476" s="42">
        <v>0</v>
      </c>
      <c r="K476" s="43">
        <v>0</v>
      </c>
      <c r="L476" s="32">
        <v>0</v>
      </c>
      <c r="M476" s="33"/>
      <c r="N476" s="30">
        <v>0</v>
      </c>
      <c r="O476" s="30">
        <v>0</v>
      </c>
      <c r="P476" s="30"/>
      <c r="Q476" s="30">
        <f>(N476+O476*0.18+J476)+(IF((P476-O476*0.18)&gt;0,(P476-O476*0.18),0))</f>
        <v>0</v>
      </c>
      <c r="R476" s="7"/>
      <c r="S476" s="7"/>
      <c r="T476" s="7"/>
      <c r="U476" s="7"/>
      <c r="V476" s="7"/>
      <c r="W476" s="7"/>
      <c r="X476" s="7"/>
      <c r="Y476" s="7"/>
      <c r="Z476" s="7"/>
    </row>
    <row r="477" spans="1:26" ht="9" customHeight="1" x14ac:dyDescent="0.2">
      <c r="A477" s="95"/>
      <c r="B477" s="95"/>
      <c r="C477" s="34" t="s">
        <v>37</v>
      </c>
      <c r="D477" s="35">
        <v>27</v>
      </c>
      <c r="E477" s="36">
        <v>0</v>
      </c>
      <c r="F477" s="36">
        <v>0</v>
      </c>
      <c r="G477" s="36">
        <v>0</v>
      </c>
      <c r="H477" s="36">
        <v>0</v>
      </c>
      <c r="I477" s="36">
        <v>0</v>
      </c>
      <c r="J477" s="37">
        <v>0</v>
      </c>
      <c r="K477" s="36">
        <v>0</v>
      </c>
      <c r="L477" s="38">
        <v>0</v>
      </c>
      <c r="M477" s="39"/>
      <c r="N477" s="36">
        <v>0</v>
      </c>
      <c r="O477" s="36">
        <v>0</v>
      </c>
      <c r="P477" s="36">
        <v>0</v>
      </c>
      <c r="Q477" s="36">
        <f>Q476*1936.27</f>
        <v>0</v>
      </c>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9" customHeight="1" x14ac:dyDescent="0.2">
      <c r="A480" s="95"/>
      <c r="B480" s="95"/>
      <c r="C480" s="44"/>
      <c r="D480" s="45"/>
      <c r="E480" s="96"/>
      <c r="F480" s="96"/>
      <c r="G480" s="96"/>
      <c r="H480" s="96"/>
      <c r="I480" s="96"/>
      <c r="J480" s="54"/>
      <c r="K480" s="96"/>
      <c r="L480" s="96"/>
      <c r="M480" s="39"/>
      <c r="N480" s="96"/>
      <c r="O480" s="96"/>
      <c r="P480" s="96"/>
      <c r="Q480" s="96"/>
      <c r="R480" s="7"/>
      <c r="S480" s="7"/>
      <c r="T480" s="7"/>
      <c r="U480" s="7"/>
      <c r="V480" s="7"/>
      <c r="W480" s="7"/>
      <c r="X480" s="7"/>
      <c r="Y480" s="7"/>
      <c r="Z480" s="7"/>
    </row>
    <row r="481" spans="1:26" ht="9" customHeight="1" x14ac:dyDescent="0.2">
      <c r="A481" s="95"/>
      <c r="B481" s="95"/>
      <c r="C481" s="44"/>
      <c r="D481" s="45"/>
      <c r="E481" s="96"/>
      <c r="F481" s="96"/>
      <c r="G481" s="96"/>
      <c r="H481" s="96"/>
      <c r="I481" s="96"/>
      <c r="J481" s="54"/>
      <c r="K481" s="96"/>
      <c r="L481" s="96"/>
      <c r="M481" s="39"/>
      <c r="N481" s="96"/>
      <c r="O481" s="96"/>
      <c r="P481" s="96"/>
      <c r="Q481" s="96"/>
      <c r="R481" s="7"/>
      <c r="S481" s="7"/>
      <c r="T481" s="7"/>
      <c r="U481" s="7"/>
      <c r="V481" s="7"/>
      <c r="W481" s="7"/>
      <c r="X481" s="7"/>
      <c r="Y481" s="7"/>
      <c r="Z481" s="7"/>
    </row>
    <row r="482" spans="1:26" ht="12.75" customHeight="1" x14ac:dyDescent="0.2">
      <c r="A482" s="95"/>
      <c r="B482" s="95"/>
      <c r="C482" s="40" t="s">
        <v>36</v>
      </c>
      <c r="D482" s="41">
        <v>28</v>
      </c>
      <c r="E482" s="42">
        <v>0</v>
      </c>
      <c r="F482" s="42">
        <v>0</v>
      </c>
      <c r="G482" s="42">
        <v>0</v>
      </c>
      <c r="H482" s="42">
        <v>0</v>
      </c>
      <c r="I482" s="42">
        <v>0</v>
      </c>
      <c r="J482" s="42">
        <v>0</v>
      </c>
      <c r="K482" s="43">
        <v>0</v>
      </c>
      <c r="L482" s="32">
        <v>0</v>
      </c>
      <c r="M482" s="33"/>
      <c r="N482" s="30">
        <v>0</v>
      </c>
      <c r="O482" s="30">
        <v>0</v>
      </c>
      <c r="P482" s="30"/>
      <c r="Q482" s="30">
        <f>(N482+O482*0.18+J482)+(IF((P482-O482*0.18)&gt;0,(P482-O482*0.18),0))</f>
        <v>0</v>
      </c>
      <c r="R482" s="7"/>
      <c r="S482" s="7"/>
      <c r="T482" s="7"/>
      <c r="U482" s="7"/>
      <c r="V482" s="7"/>
      <c r="W482" s="7"/>
      <c r="X482" s="7"/>
      <c r="Y482" s="7"/>
      <c r="Z482" s="7"/>
    </row>
    <row r="483" spans="1:26" ht="9" customHeight="1" x14ac:dyDescent="0.2">
      <c r="A483" s="95"/>
      <c r="B483" s="95"/>
      <c r="C483" s="34" t="s">
        <v>37</v>
      </c>
      <c r="D483" s="35">
        <v>34</v>
      </c>
      <c r="E483" s="36">
        <v>0</v>
      </c>
      <c r="F483" s="36">
        <v>0</v>
      </c>
      <c r="G483" s="36">
        <v>0</v>
      </c>
      <c r="H483" s="36">
        <v>0</v>
      </c>
      <c r="I483" s="36">
        <v>0</v>
      </c>
      <c r="J483" s="37">
        <v>0</v>
      </c>
      <c r="K483" s="36">
        <v>0</v>
      </c>
      <c r="L483" s="38">
        <v>0</v>
      </c>
      <c r="M483" s="39"/>
      <c r="N483" s="36">
        <v>0</v>
      </c>
      <c r="O483" s="36">
        <v>0</v>
      </c>
      <c r="P483" s="36">
        <v>0</v>
      </c>
      <c r="Q483" s="36">
        <f>Q482*1936.27</f>
        <v>0</v>
      </c>
      <c r="R483" s="7"/>
      <c r="S483" s="7"/>
      <c r="T483" s="7"/>
      <c r="U483" s="7"/>
      <c r="V483" s="7"/>
      <c r="W483" s="7"/>
      <c r="X483" s="7"/>
      <c r="Y483" s="7"/>
      <c r="Z483" s="7"/>
    </row>
    <row r="484" spans="1:26" ht="12.75" customHeight="1" x14ac:dyDescent="0.2">
      <c r="A484" s="95"/>
      <c r="B484" s="95"/>
      <c r="C484" s="40" t="s">
        <v>36</v>
      </c>
      <c r="D484" s="41">
        <v>35</v>
      </c>
      <c r="E484" s="42">
        <v>0</v>
      </c>
      <c r="F484" s="42">
        <v>0</v>
      </c>
      <c r="G484" s="42">
        <v>0</v>
      </c>
      <c r="H484" s="42">
        <v>0</v>
      </c>
      <c r="I484" s="42">
        <v>0</v>
      </c>
      <c r="J484" s="42">
        <v>0</v>
      </c>
      <c r="K484" s="43">
        <v>0</v>
      </c>
      <c r="L484" s="32">
        <v>0</v>
      </c>
      <c r="M484" s="33"/>
      <c r="N484" s="30">
        <v>0</v>
      </c>
      <c r="O484" s="30">
        <v>0</v>
      </c>
      <c r="P484" s="30"/>
      <c r="Q484" s="30">
        <f>(N484+O484*0.18+J484)+(IF((P484-O484*0.18)&gt;0,(P484-O484*0.18),0))</f>
        <v>0</v>
      </c>
      <c r="R484" s="7"/>
      <c r="S484" s="7"/>
      <c r="T484" s="7"/>
      <c r="U484" s="7"/>
      <c r="V484" s="7"/>
      <c r="W484" s="7"/>
      <c r="X484" s="7"/>
      <c r="Y484" s="7"/>
      <c r="Z484" s="7"/>
    </row>
    <row r="485" spans="1:26" ht="9" customHeight="1" x14ac:dyDescent="0.2">
      <c r="A485" s="110"/>
      <c r="B485" s="110"/>
      <c r="C485" s="47" t="s">
        <v>37</v>
      </c>
      <c r="D485" s="48"/>
      <c r="E485" s="46">
        <v>0</v>
      </c>
      <c r="F485" s="46">
        <v>0</v>
      </c>
      <c r="G485" s="46">
        <v>0</v>
      </c>
      <c r="H485" s="46">
        <v>0</v>
      </c>
      <c r="I485" s="46">
        <v>0</v>
      </c>
      <c r="J485" s="49">
        <v>0</v>
      </c>
      <c r="K485" s="46">
        <v>0</v>
      </c>
      <c r="L485" s="38">
        <v>0</v>
      </c>
      <c r="M485" s="39"/>
      <c r="N485" s="36">
        <v>0</v>
      </c>
      <c r="O485" s="36">
        <v>0</v>
      </c>
      <c r="P485" s="36">
        <v>0</v>
      </c>
      <c r="Q485" s="36">
        <f>Q484*1936.27</f>
        <v>0</v>
      </c>
      <c r="R485" s="7"/>
      <c r="S485" s="7"/>
      <c r="T485" s="7"/>
      <c r="U485" s="7"/>
      <c r="V485" s="7"/>
      <c r="W485" s="7"/>
      <c r="X485" s="7"/>
      <c r="Y485" s="7"/>
      <c r="Z485" s="7"/>
    </row>
    <row r="486" spans="1:26" ht="9" customHeight="1" x14ac:dyDescent="0.2">
      <c r="A486" s="95"/>
      <c r="B486" s="95"/>
      <c r="C486" s="44"/>
      <c r="D486" s="45"/>
      <c r="E486" s="96"/>
      <c r="F486" s="96"/>
      <c r="G486" s="96"/>
      <c r="H486" s="96"/>
      <c r="I486" s="96"/>
      <c r="J486" s="54"/>
      <c r="K486" s="96"/>
      <c r="L486" s="96"/>
      <c r="M486" s="39"/>
      <c r="N486" s="96"/>
      <c r="O486" s="96"/>
      <c r="P486" s="96"/>
      <c r="Q486" s="96"/>
      <c r="R486" s="7"/>
      <c r="S486" s="7"/>
      <c r="T486" s="7"/>
      <c r="U486" s="7"/>
      <c r="V486" s="7"/>
      <c r="W486" s="7"/>
      <c r="X486" s="7"/>
      <c r="Y486" s="7"/>
      <c r="Z486" s="7"/>
    </row>
    <row r="487" spans="1:26" ht="9" customHeight="1" x14ac:dyDescent="0.2">
      <c r="A487" s="95"/>
      <c r="B487" s="95"/>
      <c r="C487" s="44"/>
      <c r="D487" s="45"/>
      <c r="E487" s="96"/>
      <c r="F487" s="96"/>
      <c r="G487" s="96"/>
      <c r="H487" s="96"/>
      <c r="I487" s="96"/>
      <c r="J487" s="54"/>
      <c r="K487" s="96"/>
      <c r="L487" s="96"/>
      <c r="M487" s="39"/>
      <c r="N487" s="96"/>
      <c r="O487" s="96"/>
      <c r="P487" s="96"/>
      <c r="Q487" s="96"/>
      <c r="R487" s="7"/>
      <c r="S487" s="7"/>
      <c r="T487" s="7"/>
      <c r="U487" s="7"/>
      <c r="V487" s="7"/>
      <c r="W487" s="7"/>
      <c r="X487" s="7"/>
      <c r="Y487" s="7"/>
      <c r="Z487" s="7"/>
    </row>
    <row r="488" spans="1:26" ht="9" customHeight="1" x14ac:dyDescent="0.2">
      <c r="A488" s="95"/>
      <c r="B488" s="95"/>
      <c r="C488" s="44"/>
      <c r="D488" s="45"/>
      <c r="E488" s="96"/>
      <c r="F488" s="96"/>
      <c r="G488" s="96"/>
      <c r="H488" s="96"/>
      <c r="I488" s="96"/>
      <c r="J488" s="54"/>
      <c r="K488" s="96"/>
      <c r="L488" s="96"/>
      <c r="M488" s="39"/>
      <c r="N488" s="96"/>
      <c r="O488" s="96"/>
      <c r="P488" s="96"/>
      <c r="Q488" s="96"/>
      <c r="R488" s="7"/>
      <c r="S488" s="7"/>
      <c r="T488" s="7"/>
      <c r="U488" s="7"/>
      <c r="V488" s="7"/>
      <c r="W488" s="7"/>
      <c r="X488" s="7"/>
      <c r="Y488" s="7"/>
      <c r="Z488" s="7"/>
    </row>
    <row r="489" spans="1:26" ht="9" customHeight="1" x14ac:dyDescent="0.2">
      <c r="A489" s="95"/>
      <c r="B489" s="95"/>
      <c r="C489" s="44"/>
      <c r="D489" s="45"/>
      <c r="E489" s="96"/>
      <c r="F489" s="96"/>
      <c r="G489" s="96"/>
      <c r="H489" s="96"/>
      <c r="I489" s="96"/>
      <c r="J489" s="54"/>
      <c r="K489" s="96"/>
      <c r="L489" s="96"/>
      <c r="M489" s="39"/>
      <c r="N489" s="96"/>
      <c r="O489" s="96"/>
      <c r="P489" s="96"/>
      <c r="Q489" s="96"/>
      <c r="R489" s="7"/>
      <c r="S489" s="7"/>
      <c r="T489" s="7"/>
      <c r="U489" s="7"/>
      <c r="V489" s="7"/>
      <c r="W489" s="7"/>
      <c r="X489" s="7"/>
      <c r="Y489" s="7"/>
      <c r="Z489" s="7"/>
    </row>
    <row r="490" spans="1:26" ht="9" customHeight="1" x14ac:dyDescent="0.2">
      <c r="A490" s="95"/>
      <c r="B490" s="95"/>
      <c r="C490" s="44"/>
      <c r="D490" s="45"/>
      <c r="E490" s="96"/>
      <c r="F490" s="96"/>
      <c r="G490" s="96"/>
      <c r="H490" s="96"/>
      <c r="I490" s="96"/>
      <c r="J490" s="54"/>
      <c r="K490" s="96"/>
      <c r="L490" s="96"/>
      <c r="M490" s="39"/>
      <c r="N490" s="96"/>
      <c r="O490" s="96"/>
      <c r="P490" s="96"/>
      <c r="Q490" s="96"/>
      <c r="R490" s="7"/>
      <c r="S490" s="7"/>
      <c r="T490" s="7"/>
      <c r="U490" s="7"/>
      <c r="V490" s="7"/>
      <c r="W490" s="7"/>
      <c r="X490" s="7"/>
      <c r="Y490" s="7"/>
      <c r="Z490" s="7"/>
    </row>
    <row r="491" spans="1:26" ht="9" customHeight="1" x14ac:dyDescent="0.2">
      <c r="A491" s="95"/>
      <c r="B491" s="95"/>
      <c r="C491" s="44"/>
      <c r="D491" s="45"/>
      <c r="E491" s="96"/>
      <c r="F491" s="96"/>
      <c r="G491" s="96"/>
      <c r="H491" s="96"/>
      <c r="I491" s="96"/>
      <c r="J491" s="54"/>
      <c r="K491" s="96"/>
      <c r="L491" s="96"/>
      <c r="M491" s="39"/>
      <c r="N491" s="96"/>
      <c r="O491" s="96"/>
      <c r="P491" s="96"/>
      <c r="Q491" s="96"/>
      <c r="R491" s="7"/>
      <c r="S491" s="7"/>
      <c r="T491" s="7"/>
      <c r="U491" s="7"/>
      <c r="V491" s="7"/>
      <c r="W491" s="7"/>
      <c r="X491" s="7"/>
      <c r="Y491" s="7"/>
      <c r="Z491" s="7"/>
    </row>
    <row r="492" spans="1:26" ht="9" customHeight="1" x14ac:dyDescent="0.2">
      <c r="A492" s="95"/>
      <c r="B492" s="95"/>
      <c r="C492" s="44"/>
      <c r="D492" s="45"/>
      <c r="E492" s="96"/>
      <c r="F492" s="96"/>
      <c r="G492" s="96"/>
      <c r="H492" s="96"/>
      <c r="I492" s="96"/>
      <c r="J492" s="54"/>
      <c r="K492" s="96"/>
      <c r="L492" s="96"/>
      <c r="M492" s="39"/>
      <c r="N492" s="96"/>
      <c r="O492" s="96"/>
      <c r="P492" s="96"/>
      <c r="Q492" s="96"/>
      <c r="R492" s="7"/>
      <c r="S492" s="7"/>
      <c r="T492" s="7"/>
      <c r="U492" s="7"/>
      <c r="V492" s="7"/>
      <c r="W492" s="7"/>
      <c r="X492" s="7"/>
      <c r="Y492" s="7"/>
      <c r="Z492" s="7"/>
    </row>
    <row r="493" spans="1:26" ht="9" customHeight="1" x14ac:dyDescent="0.2">
      <c r="A493" s="95"/>
      <c r="B493" s="95"/>
      <c r="C493" s="44"/>
      <c r="D493" s="45"/>
      <c r="E493" s="96"/>
      <c r="F493" s="96"/>
      <c r="G493" s="96"/>
      <c r="H493" s="96"/>
      <c r="I493" s="96"/>
      <c r="J493" s="54"/>
      <c r="K493" s="96"/>
      <c r="L493" s="96"/>
      <c r="M493" s="39"/>
      <c r="N493" s="96"/>
      <c r="O493" s="96"/>
      <c r="P493" s="96"/>
      <c r="Q493" s="96"/>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9" customHeight="1" x14ac:dyDescent="0.2">
      <c r="A500" s="95"/>
      <c r="B500" s="95"/>
      <c r="C500" s="44"/>
      <c r="D500" s="45"/>
      <c r="E500" s="96"/>
      <c r="F500" s="96"/>
      <c r="G500" s="96"/>
      <c r="H500" s="96"/>
      <c r="I500" s="96"/>
      <c r="J500" s="54"/>
      <c r="K500" s="96"/>
      <c r="L500" s="96"/>
      <c r="M500" s="39"/>
      <c r="N500" s="96"/>
      <c r="O500" s="96"/>
      <c r="P500" s="96"/>
      <c r="Q500" s="96"/>
      <c r="R500" s="7"/>
      <c r="S500" s="7"/>
      <c r="T500" s="7"/>
      <c r="U500" s="7"/>
      <c r="V500" s="7"/>
      <c r="W500" s="7"/>
      <c r="X500" s="7"/>
      <c r="Y500" s="7"/>
      <c r="Z500" s="7"/>
    </row>
    <row r="501" spans="1:26" ht="9" customHeight="1" x14ac:dyDescent="0.2">
      <c r="A501" s="95"/>
      <c r="B501" s="95"/>
      <c r="C501" s="44"/>
      <c r="D501" s="45"/>
      <c r="E501" s="96"/>
      <c r="F501" s="96"/>
      <c r="G501" s="96"/>
      <c r="H501" s="96"/>
      <c r="I501" s="96"/>
      <c r="J501" s="54"/>
      <c r="K501" s="96"/>
      <c r="L501" s="96"/>
      <c r="M501" s="39"/>
      <c r="N501" s="96"/>
      <c r="O501" s="96"/>
      <c r="P501" s="96"/>
      <c r="Q501" s="96"/>
      <c r="R501" s="7"/>
      <c r="S501" s="7"/>
      <c r="T501" s="7"/>
      <c r="U501" s="7"/>
      <c r="V501" s="7"/>
      <c r="W501" s="7"/>
      <c r="X501" s="7"/>
      <c r="Y501" s="7"/>
      <c r="Z501" s="7"/>
    </row>
    <row r="502" spans="1:26" ht="9" customHeight="1" x14ac:dyDescent="0.2">
      <c r="A502" s="95"/>
      <c r="B502" s="95"/>
      <c r="C502" s="44"/>
      <c r="D502" s="45"/>
      <c r="E502" s="96"/>
      <c r="F502" s="96"/>
      <c r="G502" s="96"/>
      <c r="H502" s="96"/>
      <c r="I502" s="96"/>
      <c r="J502" s="54"/>
      <c r="K502" s="96"/>
      <c r="L502" s="96"/>
      <c r="M502" s="39"/>
      <c r="N502" s="96"/>
      <c r="O502" s="96"/>
      <c r="P502" s="96"/>
      <c r="Q502" s="96"/>
      <c r="R502" s="7"/>
      <c r="S502" s="7"/>
      <c r="T502" s="7"/>
      <c r="U502" s="7"/>
      <c r="V502" s="7"/>
      <c r="W502" s="7"/>
      <c r="X502" s="7"/>
      <c r="Y502" s="7"/>
      <c r="Z502" s="7"/>
    </row>
    <row r="503" spans="1:26" ht="9" customHeight="1" x14ac:dyDescent="0.2">
      <c r="A503" s="95"/>
      <c r="B503" s="95"/>
      <c r="C503" s="44"/>
      <c r="D503" s="45"/>
      <c r="E503" s="96"/>
      <c r="F503" s="96"/>
      <c r="G503" s="96"/>
      <c r="H503" s="96"/>
      <c r="I503" s="96"/>
      <c r="J503" s="54"/>
      <c r="K503" s="96"/>
      <c r="L503" s="96"/>
      <c r="M503" s="39"/>
      <c r="N503" s="96"/>
      <c r="O503" s="96"/>
      <c r="P503" s="96"/>
      <c r="Q503" s="96"/>
      <c r="R503" s="7"/>
      <c r="S503" s="7"/>
      <c r="T503" s="7"/>
      <c r="U503" s="7"/>
      <c r="V503" s="7"/>
      <c r="W503" s="7"/>
      <c r="X503" s="7"/>
      <c r="Y503" s="7"/>
      <c r="Z503" s="7"/>
    </row>
    <row r="504" spans="1:26" ht="9" customHeight="1" x14ac:dyDescent="0.2">
      <c r="A504" s="95"/>
      <c r="B504" s="95"/>
      <c r="C504" s="44"/>
      <c r="D504" s="45"/>
      <c r="E504" s="96"/>
      <c r="F504" s="96"/>
      <c r="G504" s="96"/>
      <c r="H504" s="96"/>
      <c r="I504" s="96"/>
      <c r="J504" s="54"/>
      <c r="K504" s="96"/>
      <c r="L504" s="96"/>
      <c r="M504" s="39"/>
      <c r="N504" s="96"/>
      <c r="O504" s="96"/>
      <c r="P504" s="96"/>
      <c r="Q504" s="96"/>
      <c r="R504" s="7"/>
      <c r="S504" s="7"/>
      <c r="T504" s="7"/>
      <c r="U504" s="7"/>
      <c r="V504" s="7"/>
      <c r="W504" s="7"/>
      <c r="X504" s="7"/>
      <c r="Y504" s="7"/>
      <c r="Z504" s="7"/>
    </row>
    <row r="505" spans="1:26" ht="9" customHeight="1" x14ac:dyDescent="0.2">
      <c r="A505" s="95"/>
      <c r="B505" s="95"/>
      <c r="C505" s="44"/>
      <c r="D505" s="45"/>
      <c r="E505" s="96"/>
      <c r="F505" s="96"/>
      <c r="G505" s="96"/>
      <c r="H505" s="96"/>
      <c r="I505" s="96"/>
      <c r="J505" s="54"/>
      <c r="K505" s="96"/>
      <c r="L505" s="96"/>
      <c r="M505" s="39"/>
      <c r="N505" s="96"/>
      <c r="O505" s="96"/>
      <c r="P505" s="96"/>
      <c r="Q505" s="96"/>
      <c r="R505" s="7"/>
      <c r="S505" s="7"/>
      <c r="T505" s="7"/>
      <c r="U505" s="7"/>
      <c r="V505" s="7"/>
      <c r="W505" s="7"/>
      <c r="X505" s="7"/>
      <c r="Y505" s="7"/>
      <c r="Z505" s="7"/>
    </row>
    <row r="506" spans="1:26" ht="9" customHeight="1" x14ac:dyDescent="0.2">
      <c r="A506" s="95"/>
      <c r="B506" s="95"/>
      <c r="C506" s="44"/>
      <c r="D506" s="45"/>
      <c r="E506" s="96"/>
      <c r="F506" s="96"/>
      <c r="G506" s="96"/>
      <c r="H506" s="96"/>
      <c r="I506" s="96"/>
      <c r="J506" s="54"/>
      <c r="K506" s="96"/>
      <c r="L506" s="96"/>
      <c r="M506" s="39"/>
      <c r="N506" s="96"/>
      <c r="O506" s="96"/>
      <c r="P506" s="96"/>
      <c r="Q506" s="96"/>
      <c r="R506" s="7"/>
      <c r="S506" s="7"/>
      <c r="T506" s="7"/>
      <c r="U506" s="7"/>
      <c r="V506" s="7"/>
      <c r="W506" s="7"/>
      <c r="X506" s="7"/>
      <c r="Y506" s="7"/>
      <c r="Z506" s="7"/>
    </row>
    <row r="507" spans="1:26" ht="9" customHeight="1" x14ac:dyDescent="0.2">
      <c r="A507" s="95"/>
      <c r="B507" s="95"/>
      <c r="C507" s="44"/>
      <c r="D507" s="45"/>
      <c r="E507" s="96"/>
      <c r="F507" s="96"/>
      <c r="G507" s="96"/>
      <c r="H507" s="96"/>
      <c r="I507" s="96"/>
      <c r="J507" s="54"/>
      <c r="K507" s="96"/>
      <c r="L507" s="96"/>
      <c r="M507" s="39"/>
      <c r="N507" s="96"/>
      <c r="O507" s="96"/>
      <c r="P507" s="96"/>
      <c r="Q507" s="96"/>
      <c r="R507" s="7"/>
      <c r="S507" s="7"/>
      <c r="T507" s="7"/>
      <c r="U507" s="7"/>
      <c r="V507" s="7"/>
      <c r="W507" s="7"/>
      <c r="X507" s="7"/>
      <c r="Y507" s="7"/>
      <c r="Z507" s="7"/>
    </row>
    <row r="508" spans="1:26" ht="9" customHeight="1" x14ac:dyDescent="0.2">
      <c r="A508" s="95"/>
      <c r="B508" s="95"/>
      <c r="C508" s="44"/>
      <c r="D508" s="45"/>
      <c r="E508" s="96"/>
      <c r="F508" s="96"/>
      <c r="G508" s="96"/>
      <c r="H508" s="96"/>
      <c r="I508" s="96"/>
      <c r="J508" s="54"/>
      <c r="K508" s="96"/>
      <c r="L508" s="96"/>
      <c r="M508" s="39"/>
      <c r="N508" s="96"/>
      <c r="O508" s="96"/>
      <c r="P508" s="96"/>
      <c r="Q508" s="96"/>
      <c r="R508" s="7"/>
      <c r="S508" s="7"/>
      <c r="T508" s="7"/>
      <c r="U508" s="7"/>
      <c r="V508" s="7"/>
      <c r="W508" s="7"/>
      <c r="X508" s="7"/>
      <c r="Y508" s="7"/>
      <c r="Z508" s="7"/>
    </row>
    <row r="509" spans="1:26" ht="9" customHeight="1" x14ac:dyDescent="0.2">
      <c r="A509" s="95"/>
      <c r="B509" s="95"/>
      <c r="C509" s="44"/>
      <c r="D509" s="45"/>
      <c r="E509" s="96"/>
      <c r="F509" s="96"/>
      <c r="G509" s="96"/>
      <c r="H509" s="96"/>
      <c r="I509" s="96"/>
      <c r="J509" s="54"/>
      <c r="K509" s="96"/>
      <c r="L509" s="96"/>
      <c r="M509" s="39"/>
      <c r="N509" s="96"/>
      <c r="O509" s="96"/>
      <c r="P509" s="96"/>
      <c r="Q509" s="96"/>
      <c r="R509" s="7"/>
      <c r="S509" s="7"/>
      <c r="T509" s="7"/>
      <c r="U509" s="7"/>
      <c r="V509" s="7"/>
      <c r="W509" s="7"/>
      <c r="X509" s="7"/>
      <c r="Y509" s="7"/>
      <c r="Z509" s="7"/>
    </row>
    <row r="510" spans="1:26" ht="9" customHeight="1" x14ac:dyDescent="0.2">
      <c r="A510" s="95"/>
      <c r="B510" s="95"/>
      <c r="C510" s="44"/>
      <c r="D510" s="45"/>
      <c r="E510" s="96"/>
      <c r="F510" s="96"/>
      <c r="G510" s="96"/>
      <c r="H510" s="96"/>
      <c r="I510" s="96"/>
      <c r="J510" s="54"/>
      <c r="K510" s="96"/>
      <c r="L510" s="96"/>
      <c r="M510" s="39"/>
      <c r="N510" s="96"/>
      <c r="O510" s="96"/>
      <c r="P510" s="96"/>
      <c r="Q510" s="96"/>
      <c r="R510" s="7"/>
      <c r="S510" s="7"/>
      <c r="T510" s="7"/>
      <c r="U510" s="7"/>
      <c r="V510" s="7"/>
      <c r="W510" s="7"/>
      <c r="X510" s="7"/>
      <c r="Y510" s="7"/>
      <c r="Z510" s="7"/>
    </row>
    <row r="511" spans="1:26" ht="9" customHeight="1" x14ac:dyDescent="0.2">
      <c r="A511" s="95"/>
      <c r="B511" s="95"/>
      <c r="C511" s="44"/>
      <c r="D511" s="45"/>
      <c r="E511" s="96"/>
      <c r="F511" s="96"/>
      <c r="G511" s="96"/>
      <c r="H511" s="96"/>
      <c r="I511" s="96"/>
      <c r="J511" s="54"/>
      <c r="K511" s="96"/>
      <c r="L511" s="96"/>
      <c r="M511" s="39"/>
      <c r="N511" s="96"/>
      <c r="O511" s="96"/>
      <c r="P511" s="96"/>
      <c r="Q511" s="96"/>
      <c r="R511" s="7"/>
      <c r="S511" s="7"/>
      <c r="T511" s="7"/>
      <c r="U511" s="7"/>
      <c r="V511" s="7"/>
      <c r="W511" s="7"/>
      <c r="X511" s="7"/>
      <c r="Y511" s="7"/>
      <c r="Z511" s="7"/>
    </row>
    <row r="512" spans="1:26" ht="9" customHeight="1" x14ac:dyDescent="0.2">
      <c r="A512" s="95"/>
      <c r="B512" s="95"/>
      <c r="C512" s="44"/>
      <c r="D512" s="45"/>
      <c r="E512" s="96"/>
      <c r="F512" s="96"/>
      <c r="G512" s="96"/>
      <c r="H512" s="96"/>
      <c r="I512" s="96"/>
      <c r="J512" s="54"/>
      <c r="K512" s="96"/>
      <c r="L512" s="96"/>
      <c r="M512" s="39"/>
      <c r="N512" s="96"/>
      <c r="O512" s="96"/>
      <c r="P512" s="96"/>
      <c r="Q512" s="96"/>
      <c r="R512" s="7"/>
      <c r="S512" s="7"/>
      <c r="T512" s="7"/>
      <c r="U512" s="7"/>
      <c r="V512" s="7"/>
      <c r="W512" s="7"/>
      <c r="X512" s="7"/>
      <c r="Y512" s="7"/>
      <c r="Z512" s="7"/>
    </row>
    <row r="513" spans="1:26" ht="9" customHeight="1" x14ac:dyDescent="0.2">
      <c r="A513" s="95"/>
      <c r="B513" s="95"/>
      <c r="C513" s="44"/>
      <c r="D513" s="45"/>
      <c r="E513" s="96"/>
      <c r="F513" s="96"/>
      <c r="G513" s="96"/>
      <c r="H513" s="96"/>
      <c r="I513" s="96"/>
      <c r="J513" s="54"/>
      <c r="K513" s="96"/>
      <c r="L513" s="96"/>
      <c r="M513" s="39"/>
      <c r="N513" s="96"/>
      <c r="O513" s="96"/>
      <c r="P513" s="96"/>
      <c r="Q513" s="96"/>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9" customHeight="1" x14ac:dyDescent="0.2">
      <c r="A520" s="95"/>
      <c r="B520" s="95"/>
      <c r="C520" s="44"/>
      <c r="D520" s="45"/>
      <c r="E520" s="96"/>
      <c r="F520" s="96"/>
      <c r="G520" s="96"/>
      <c r="H520" s="96"/>
      <c r="I520" s="96"/>
      <c r="J520" s="54"/>
      <c r="K520" s="96"/>
      <c r="L520" s="96"/>
      <c r="M520" s="39"/>
      <c r="N520" s="96"/>
      <c r="O520" s="96"/>
      <c r="P520" s="96"/>
      <c r="Q520" s="96"/>
      <c r="R520" s="7"/>
      <c r="S520" s="7"/>
      <c r="T520" s="7"/>
      <c r="U520" s="7"/>
      <c r="V520" s="7"/>
      <c r="W520" s="7"/>
      <c r="X520" s="7"/>
      <c r="Y520" s="7"/>
      <c r="Z520" s="7"/>
    </row>
    <row r="521" spans="1:26" ht="9" customHeight="1" x14ac:dyDescent="0.2">
      <c r="A521" s="95"/>
      <c r="B521" s="95"/>
      <c r="C521" s="44"/>
      <c r="D521" s="45"/>
      <c r="E521" s="96"/>
      <c r="F521" s="96"/>
      <c r="G521" s="96"/>
      <c r="H521" s="96"/>
      <c r="I521" s="96"/>
      <c r="J521" s="54"/>
      <c r="K521" s="96"/>
      <c r="L521" s="96"/>
      <c r="M521" s="39"/>
      <c r="N521" s="96"/>
      <c r="O521" s="96"/>
      <c r="P521" s="96"/>
      <c r="Q521" s="96"/>
      <c r="R521" s="7"/>
      <c r="S521" s="7"/>
      <c r="T521" s="7"/>
      <c r="U521" s="7"/>
      <c r="V521" s="7"/>
      <c r="W521" s="7"/>
      <c r="X521" s="7"/>
      <c r="Y521" s="7"/>
      <c r="Z521" s="7"/>
    </row>
    <row r="522" spans="1:26" ht="9" customHeight="1" x14ac:dyDescent="0.2">
      <c r="A522" s="95"/>
      <c r="B522" s="95"/>
      <c r="C522" s="44"/>
      <c r="D522" s="45"/>
      <c r="E522" s="96"/>
      <c r="F522" s="96"/>
      <c r="G522" s="96"/>
      <c r="H522" s="96"/>
      <c r="I522" s="96"/>
      <c r="J522" s="54"/>
      <c r="K522" s="96"/>
      <c r="L522" s="96"/>
      <c r="M522" s="39"/>
      <c r="N522" s="96"/>
      <c r="O522" s="96"/>
      <c r="P522" s="96"/>
      <c r="Q522" s="96"/>
      <c r="R522" s="7"/>
      <c r="S522" s="7"/>
      <c r="T522" s="7"/>
      <c r="U522" s="7"/>
      <c r="V522" s="7"/>
      <c r="W522" s="7"/>
      <c r="X522" s="7"/>
      <c r="Y522" s="7"/>
      <c r="Z522" s="7"/>
    </row>
    <row r="523" spans="1:26" ht="9" customHeight="1" x14ac:dyDescent="0.2">
      <c r="A523" s="95"/>
      <c r="B523" s="95"/>
      <c r="C523" s="44"/>
      <c r="D523" s="45"/>
      <c r="E523" s="96"/>
      <c r="F523" s="96"/>
      <c r="G523" s="96"/>
      <c r="H523" s="96"/>
      <c r="I523" s="96"/>
      <c r="J523" s="54"/>
      <c r="K523" s="96"/>
      <c r="L523" s="96"/>
      <c r="M523" s="39"/>
      <c r="N523" s="96"/>
      <c r="O523" s="96"/>
      <c r="P523" s="96"/>
      <c r="Q523" s="96"/>
      <c r="R523" s="7"/>
      <c r="S523" s="7"/>
      <c r="T523" s="7"/>
      <c r="U523" s="7"/>
      <c r="V523" s="7"/>
      <c r="W523" s="7"/>
      <c r="X523" s="7"/>
      <c r="Y523" s="7"/>
      <c r="Z523" s="7"/>
    </row>
    <row r="524" spans="1:26" ht="9" customHeight="1" x14ac:dyDescent="0.2">
      <c r="A524" s="95"/>
      <c r="B524" s="95"/>
      <c r="C524" s="44"/>
      <c r="D524" s="45"/>
      <c r="E524" s="96"/>
      <c r="F524" s="96"/>
      <c r="G524" s="96"/>
      <c r="H524" s="96"/>
      <c r="I524" s="96"/>
      <c r="J524" s="54"/>
      <c r="K524" s="96"/>
      <c r="L524" s="96"/>
      <c r="M524" s="39"/>
      <c r="N524" s="96"/>
      <c r="O524" s="96"/>
      <c r="P524" s="96"/>
      <c r="Q524" s="96"/>
      <c r="R524" s="7"/>
      <c r="S524" s="7"/>
      <c r="T524" s="7"/>
      <c r="U524" s="7"/>
      <c r="V524" s="7"/>
      <c r="W524" s="7"/>
      <c r="X524" s="7"/>
      <c r="Y524" s="7"/>
      <c r="Z524" s="7"/>
    </row>
    <row r="525" spans="1:26" ht="9" customHeight="1" x14ac:dyDescent="0.2">
      <c r="A525" s="95"/>
      <c r="B525" s="95"/>
      <c r="C525" s="44"/>
      <c r="D525" s="45"/>
      <c r="E525" s="96"/>
      <c r="F525" s="96"/>
      <c r="G525" s="96"/>
      <c r="H525" s="96"/>
      <c r="I525" s="96"/>
      <c r="J525" s="54"/>
      <c r="K525" s="96"/>
      <c r="L525" s="96"/>
      <c r="M525" s="39"/>
      <c r="N525" s="96"/>
      <c r="O525" s="96"/>
      <c r="P525" s="96"/>
      <c r="Q525" s="96"/>
      <c r="R525" s="7"/>
      <c r="S525" s="7"/>
      <c r="T525" s="7"/>
      <c r="U525" s="7"/>
      <c r="V525" s="7"/>
      <c r="W525" s="7"/>
      <c r="X525" s="7"/>
      <c r="Y525" s="7"/>
      <c r="Z525" s="7"/>
    </row>
    <row r="526" spans="1:26" ht="9" customHeight="1" x14ac:dyDescent="0.2">
      <c r="A526" s="95"/>
      <c r="B526" s="95"/>
      <c r="C526" s="44"/>
      <c r="D526" s="45"/>
      <c r="E526" s="96"/>
      <c r="F526" s="96"/>
      <c r="G526" s="96"/>
      <c r="H526" s="96"/>
      <c r="I526" s="96"/>
      <c r="J526" s="54"/>
      <c r="K526" s="96"/>
      <c r="L526" s="96"/>
      <c r="M526" s="39"/>
      <c r="N526" s="96"/>
      <c r="O526" s="96"/>
      <c r="P526" s="96"/>
      <c r="Q526" s="96"/>
      <c r="R526" s="7"/>
      <c r="S526" s="7"/>
      <c r="T526" s="7"/>
      <c r="U526" s="7"/>
      <c r="V526" s="7"/>
      <c r="W526" s="7"/>
      <c r="X526" s="7"/>
      <c r="Y526" s="7"/>
      <c r="Z526" s="7"/>
    </row>
    <row r="527" spans="1:26" ht="9" customHeight="1" x14ac:dyDescent="0.2">
      <c r="A527" s="95"/>
      <c r="B527" s="95"/>
      <c r="C527" s="44"/>
      <c r="D527" s="45"/>
      <c r="E527" s="96"/>
      <c r="F527" s="96"/>
      <c r="G527" s="96"/>
      <c r="H527" s="96"/>
      <c r="I527" s="96"/>
      <c r="J527" s="54"/>
      <c r="K527" s="96"/>
      <c r="L527" s="96"/>
      <c r="M527" s="39"/>
      <c r="N527" s="96"/>
      <c r="O527" s="96"/>
      <c r="P527" s="96"/>
      <c r="Q527" s="96"/>
      <c r="R527" s="7"/>
      <c r="S527" s="7"/>
      <c r="T527" s="7"/>
      <c r="U527" s="7"/>
      <c r="V527" s="7"/>
      <c r="W527" s="7"/>
      <c r="X527" s="7"/>
      <c r="Y527" s="7"/>
      <c r="Z527" s="7"/>
    </row>
    <row r="528" spans="1:26" ht="9" customHeight="1" x14ac:dyDescent="0.2">
      <c r="A528" s="95"/>
      <c r="B528" s="95"/>
      <c r="C528" s="44"/>
      <c r="D528" s="45"/>
      <c r="E528" s="96"/>
      <c r="F528" s="96"/>
      <c r="G528" s="96"/>
      <c r="H528" s="96"/>
      <c r="I528" s="96"/>
      <c r="J528" s="54"/>
      <c r="K528" s="96"/>
      <c r="L528" s="96"/>
      <c r="M528" s="39"/>
      <c r="N528" s="96"/>
      <c r="O528" s="96"/>
      <c r="P528" s="96"/>
      <c r="Q528" s="96"/>
      <c r="R528" s="7"/>
      <c r="S528" s="7"/>
      <c r="T528" s="7"/>
      <c r="U528" s="7"/>
      <c r="V528" s="7"/>
      <c r="W528" s="7"/>
      <c r="X528" s="7"/>
      <c r="Y528" s="7"/>
      <c r="Z528" s="7"/>
    </row>
    <row r="529" spans="1:26" ht="9" customHeight="1" x14ac:dyDescent="0.2">
      <c r="A529" s="95"/>
      <c r="B529" s="95"/>
      <c r="C529" s="44"/>
      <c r="D529" s="45"/>
      <c r="E529" s="96"/>
      <c r="F529" s="96"/>
      <c r="G529" s="96"/>
      <c r="H529" s="96"/>
      <c r="I529" s="96"/>
      <c r="J529" s="54"/>
      <c r="K529" s="96"/>
      <c r="L529" s="96"/>
      <c r="M529" s="39"/>
      <c r="N529" s="96"/>
      <c r="O529" s="96"/>
      <c r="P529" s="96"/>
      <c r="Q529" s="96"/>
      <c r="R529" s="7"/>
      <c r="S529" s="7"/>
      <c r="T529" s="7"/>
      <c r="U529" s="7"/>
      <c r="V529" s="7"/>
      <c r="W529" s="7"/>
      <c r="X529" s="7"/>
      <c r="Y529" s="7"/>
      <c r="Z529" s="7"/>
    </row>
    <row r="530" spans="1:26" ht="9" customHeight="1" x14ac:dyDescent="0.2">
      <c r="A530" s="95"/>
      <c r="B530" s="95"/>
      <c r="C530" s="44"/>
      <c r="D530" s="45"/>
      <c r="E530" s="96"/>
      <c r="F530" s="96"/>
      <c r="G530" s="96"/>
      <c r="H530" s="96"/>
      <c r="I530" s="96"/>
      <c r="J530" s="54"/>
      <c r="K530" s="96"/>
      <c r="L530" s="96"/>
      <c r="M530" s="39"/>
      <c r="N530" s="96"/>
      <c r="O530" s="96"/>
      <c r="P530" s="96"/>
      <c r="Q530" s="96"/>
      <c r="R530" s="7"/>
      <c r="S530" s="7"/>
      <c r="T530" s="7"/>
      <c r="U530" s="7"/>
      <c r="V530" s="7"/>
      <c r="W530" s="7"/>
      <c r="X530" s="7"/>
      <c r="Y530" s="7"/>
      <c r="Z530" s="7"/>
    </row>
    <row r="531" spans="1:26" ht="9" customHeight="1" x14ac:dyDescent="0.2">
      <c r="A531" s="95"/>
      <c r="B531" s="95"/>
      <c r="C531" s="44"/>
      <c r="D531" s="45"/>
      <c r="E531" s="96"/>
      <c r="F531" s="96"/>
      <c r="G531" s="96"/>
      <c r="H531" s="96"/>
      <c r="I531" s="96"/>
      <c r="J531" s="54"/>
      <c r="K531" s="96"/>
      <c r="L531" s="96"/>
      <c r="M531" s="39"/>
      <c r="N531" s="96"/>
      <c r="O531" s="96"/>
      <c r="P531" s="96"/>
      <c r="Q531" s="96"/>
      <c r="R531" s="7"/>
      <c r="S531" s="7"/>
      <c r="T531" s="7"/>
      <c r="U531" s="7"/>
      <c r="V531" s="7"/>
      <c r="W531" s="7"/>
      <c r="X531" s="7"/>
      <c r="Y531" s="7"/>
      <c r="Z531" s="7"/>
    </row>
    <row r="532" spans="1:26" ht="9" customHeight="1" x14ac:dyDescent="0.2">
      <c r="A532" s="95"/>
      <c r="B532" s="95"/>
      <c r="C532" s="44"/>
      <c r="D532" s="45"/>
      <c r="E532" s="96"/>
      <c r="F532" s="96"/>
      <c r="G532" s="96"/>
      <c r="H532" s="96"/>
      <c r="I532" s="96"/>
      <c r="J532" s="54"/>
      <c r="K532" s="96"/>
      <c r="L532" s="96"/>
      <c r="M532" s="39"/>
      <c r="N532" s="96"/>
      <c r="O532" s="96"/>
      <c r="P532" s="96"/>
      <c r="Q532" s="96"/>
      <c r="R532" s="7"/>
      <c r="S532" s="7"/>
      <c r="T532" s="7"/>
      <c r="U532" s="7"/>
      <c r="V532" s="7"/>
      <c r="W532" s="7"/>
      <c r="X532" s="7"/>
      <c r="Y532" s="7"/>
      <c r="Z532" s="7"/>
    </row>
    <row r="533" spans="1:26" ht="9" customHeight="1" x14ac:dyDescent="0.2">
      <c r="A533" s="95"/>
      <c r="B533" s="95"/>
      <c r="C533" s="44"/>
      <c r="D533" s="45"/>
      <c r="E533" s="96"/>
      <c r="F533" s="96"/>
      <c r="G533" s="96"/>
      <c r="H533" s="96"/>
      <c r="I533" s="96"/>
      <c r="J533" s="54"/>
      <c r="K533" s="96"/>
      <c r="L533" s="96"/>
      <c r="M533" s="39"/>
      <c r="N533" s="96"/>
      <c r="O533" s="96"/>
      <c r="P533" s="96"/>
      <c r="Q533" s="96"/>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98">
        <v>36770</v>
      </c>
      <c r="B540" s="98">
        <v>36891</v>
      </c>
      <c r="C540" s="28" t="s">
        <v>36</v>
      </c>
      <c r="D540" s="29">
        <v>0</v>
      </c>
      <c r="E540" s="30">
        <v>11355.34</v>
      </c>
      <c r="F540" s="30">
        <v>0</v>
      </c>
      <c r="G540" s="30">
        <v>0</v>
      </c>
      <c r="H540" s="30">
        <v>6641.4</v>
      </c>
      <c r="I540" s="30">
        <v>0</v>
      </c>
      <c r="J540" s="30">
        <v>1499.73</v>
      </c>
      <c r="K540" s="31">
        <v>17996.740000000002</v>
      </c>
      <c r="L540" s="32">
        <v>19496.47</v>
      </c>
      <c r="M540" s="33"/>
      <c r="N540" s="30">
        <v>17996.740000000002</v>
      </c>
      <c r="O540" s="30">
        <v>11355.34</v>
      </c>
      <c r="P540" s="30"/>
      <c r="Q540" s="30">
        <f>(N540+O540*0.18+J540)+(IF((P540-O540*0.18)&gt;0,(P540-O540*0.18),0))</f>
        <v>21540.431200000003</v>
      </c>
      <c r="R540" s="7"/>
      <c r="S540" s="7"/>
      <c r="T540" s="7"/>
      <c r="U540" s="7"/>
      <c r="V540" s="7"/>
      <c r="W540" s="7"/>
      <c r="X540" s="7"/>
      <c r="Y540" s="7"/>
      <c r="Z540" s="7"/>
    </row>
    <row r="541" spans="1:26" ht="9" customHeight="1" x14ac:dyDescent="0.2">
      <c r="A541" s="95"/>
      <c r="B541" s="95"/>
      <c r="C541" s="34" t="s">
        <v>37</v>
      </c>
      <c r="D541" s="35">
        <v>2</v>
      </c>
      <c r="E541" s="36">
        <v>21987004</v>
      </c>
      <c r="F541" s="36">
        <v>0</v>
      </c>
      <c r="G541" s="36">
        <v>0</v>
      </c>
      <c r="H541" s="36">
        <v>12859544</v>
      </c>
      <c r="I541" s="36">
        <v>0</v>
      </c>
      <c r="J541" s="37">
        <v>2903882</v>
      </c>
      <c r="K541" s="36">
        <v>34846548</v>
      </c>
      <c r="L541" s="38">
        <v>37750430</v>
      </c>
      <c r="M541" s="39"/>
      <c r="N541" s="36">
        <v>34846548</v>
      </c>
      <c r="O541" s="36">
        <v>21987004</v>
      </c>
      <c r="P541" s="36">
        <v>0</v>
      </c>
      <c r="Q541" s="36">
        <f>Q540*1936.27</f>
        <v>41708090.719624005</v>
      </c>
      <c r="R541" s="7"/>
      <c r="S541" s="7"/>
      <c r="T541" s="7"/>
      <c r="U541" s="7"/>
      <c r="V541" s="7"/>
      <c r="W541" s="7"/>
      <c r="X541" s="7"/>
      <c r="Y541" s="7"/>
      <c r="Z541" s="7"/>
    </row>
    <row r="542" spans="1:26" ht="12.75" customHeight="1" x14ac:dyDescent="0.2">
      <c r="A542" s="156">
        <v>36770</v>
      </c>
      <c r="B542" s="156">
        <v>36891</v>
      </c>
      <c r="C542" s="40" t="s">
        <v>36</v>
      </c>
      <c r="D542" s="41">
        <v>3</v>
      </c>
      <c r="E542" s="42">
        <v>11877.47</v>
      </c>
      <c r="F542" s="42">
        <v>0</v>
      </c>
      <c r="G542" s="42">
        <v>0</v>
      </c>
      <c r="H542" s="42">
        <v>6641.4</v>
      </c>
      <c r="I542" s="42">
        <v>0</v>
      </c>
      <c r="J542" s="42">
        <v>1543.24</v>
      </c>
      <c r="K542" s="43">
        <v>18518.87</v>
      </c>
      <c r="L542" s="32">
        <v>20062.11</v>
      </c>
      <c r="M542" s="33"/>
      <c r="N542" s="30">
        <v>18518.87</v>
      </c>
      <c r="O542" s="30">
        <v>11877.47</v>
      </c>
      <c r="P542" s="30"/>
      <c r="Q542" s="30">
        <f>(N542+O542*0.18+J542)+(IF((P542-O542*0.18)&gt;0,(P542-O542*0.18),0))</f>
        <v>22200.054599999999</v>
      </c>
      <c r="R542" s="7"/>
      <c r="S542" s="7"/>
      <c r="T542" s="7"/>
      <c r="U542" s="7"/>
      <c r="V542" s="7"/>
      <c r="W542" s="7"/>
      <c r="X542" s="7"/>
      <c r="Y542" s="7"/>
      <c r="Z542" s="7"/>
    </row>
    <row r="543" spans="1:26" ht="9" customHeight="1" x14ac:dyDescent="0.2">
      <c r="A543" s="95"/>
      <c r="B543" s="95"/>
      <c r="C543" s="34" t="s">
        <v>37</v>
      </c>
      <c r="D543" s="35">
        <v>8</v>
      </c>
      <c r="E543" s="36">
        <v>22997989</v>
      </c>
      <c r="F543" s="36">
        <v>0</v>
      </c>
      <c r="G543" s="36">
        <v>0</v>
      </c>
      <c r="H543" s="36">
        <v>12859544</v>
      </c>
      <c r="I543" s="36">
        <v>0</v>
      </c>
      <c r="J543" s="37">
        <v>2988129</v>
      </c>
      <c r="K543" s="36">
        <v>35857532</v>
      </c>
      <c r="L543" s="38">
        <v>38845662</v>
      </c>
      <c r="M543" s="39"/>
      <c r="N543" s="36">
        <v>35857532</v>
      </c>
      <c r="O543" s="36">
        <v>22997989</v>
      </c>
      <c r="P543" s="36">
        <v>0</v>
      </c>
      <c r="Q543" s="36">
        <f>Q542*1936.27</f>
        <v>42985299.720341995</v>
      </c>
      <c r="R543" s="7"/>
      <c r="S543" s="7"/>
      <c r="T543" s="7"/>
      <c r="U543" s="7"/>
      <c r="V543" s="7"/>
      <c r="W543" s="7"/>
      <c r="X543" s="7"/>
      <c r="Y543" s="7"/>
      <c r="Z543" s="7"/>
    </row>
    <row r="544" spans="1:26" ht="12.75" customHeight="1" x14ac:dyDescent="0.2">
      <c r="A544" s="95"/>
      <c r="B544" s="95"/>
      <c r="C544" s="40" t="s">
        <v>36</v>
      </c>
      <c r="D544" s="41">
        <v>9</v>
      </c>
      <c r="E544" s="42">
        <v>13502.76</v>
      </c>
      <c r="F544" s="42">
        <v>0</v>
      </c>
      <c r="G544" s="42">
        <v>0</v>
      </c>
      <c r="H544" s="42">
        <v>6641.4</v>
      </c>
      <c r="I544" s="42">
        <v>0</v>
      </c>
      <c r="J544" s="42">
        <v>1678.68</v>
      </c>
      <c r="K544" s="43">
        <v>20144.16</v>
      </c>
      <c r="L544" s="32">
        <v>21822.84</v>
      </c>
      <c r="M544" s="33"/>
      <c r="N544" s="30">
        <v>20144.16</v>
      </c>
      <c r="O544" s="30">
        <v>13502.76</v>
      </c>
      <c r="P544" s="30"/>
      <c r="Q544" s="30">
        <f>(N544+O544*0.18+J544)+(IF((P544-O544*0.18)&gt;0,(P544-O544*0.18),0))</f>
        <v>24253.336800000001</v>
      </c>
      <c r="R544" s="7"/>
      <c r="S544" s="7"/>
      <c r="T544" s="7"/>
      <c r="U544" s="7"/>
      <c r="V544" s="7"/>
      <c r="W544" s="7"/>
      <c r="X544" s="7"/>
      <c r="Y544" s="7"/>
      <c r="Z544" s="7"/>
    </row>
    <row r="545" spans="1:26" ht="9" customHeight="1" x14ac:dyDescent="0.2">
      <c r="A545" s="95"/>
      <c r="B545" s="95"/>
      <c r="C545" s="34" t="s">
        <v>37</v>
      </c>
      <c r="D545" s="35">
        <v>14</v>
      </c>
      <c r="E545" s="36">
        <v>26144989</v>
      </c>
      <c r="F545" s="36">
        <v>0</v>
      </c>
      <c r="G545" s="36">
        <v>0</v>
      </c>
      <c r="H545" s="36">
        <v>12859544</v>
      </c>
      <c r="I545" s="36">
        <v>0</v>
      </c>
      <c r="J545" s="37">
        <v>3250378</v>
      </c>
      <c r="K545" s="36">
        <v>39004533</v>
      </c>
      <c r="L545" s="38">
        <v>42254910</v>
      </c>
      <c r="M545" s="39"/>
      <c r="N545" s="36">
        <v>39004533</v>
      </c>
      <c r="O545" s="36">
        <v>26144989</v>
      </c>
      <c r="P545" s="36">
        <v>0</v>
      </c>
      <c r="Q545" s="36">
        <f>Q544*1936.27</f>
        <v>46961008.445735998</v>
      </c>
      <c r="R545" s="7"/>
      <c r="S545" s="7"/>
      <c r="T545" s="7"/>
      <c r="U545" s="7"/>
      <c r="V545" s="7"/>
      <c r="W545" s="7"/>
      <c r="X545" s="7"/>
      <c r="Y545" s="7"/>
      <c r="Z545" s="7"/>
    </row>
    <row r="546" spans="1:26" ht="12.75" customHeight="1" x14ac:dyDescent="0.2">
      <c r="A546" s="95"/>
      <c r="B546" s="95"/>
      <c r="C546" s="40" t="s">
        <v>36</v>
      </c>
      <c r="D546" s="41">
        <v>15</v>
      </c>
      <c r="E546" s="42">
        <v>15398.68</v>
      </c>
      <c r="F546" s="42">
        <v>0</v>
      </c>
      <c r="G546" s="42">
        <v>0</v>
      </c>
      <c r="H546" s="42">
        <v>6641.4</v>
      </c>
      <c r="I546" s="42">
        <v>0</v>
      </c>
      <c r="J546" s="42">
        <v>1836.67</v>
      </c>
      <c r="K546" s="43">
        <v>22040.080000000002</v>
      </c>
      <c r="L546" s="32">
        <v>23876.75</v>
      </c>
      <c r="M546" s="33"/>
      <c r="N546" s="30">
        <v>22040.080000000002</v>
      </c>
      <c r="O546" s="30">
        <v>15398.68</v>
      </c>
      <c r="P546" s="30"/>
      <c r="Q546" s="30">
        <f>(N546+O546*0.18+J546)+(IF((P546-O546*0.18)&gt;0,(P546-O546*0.18),0))</f>
        <v>26648.5124</v>
      </c>
      <c r="R546" s="7"/>
      <c r="S546" s="7"/>
      <c r="T546" s="7"/>
      <c r="U546" s="7"/>
      <c r="V546" s="7"/>
      <c r="W546" s="7"/>
      <c r="X546" s="7"/>
      <c r="Y546" s="7"/>
      <c r="Z546" s="7"/>
    </row>
    <row r="547" spans="1:26" ht="9" customHeight="1" x14ac:dyDescent="0.2">
      <c r="A547" s="95"/>
      <c r="B547" s="95"/>
      <c r="C547" s="34" t="s">
        <v>37</v>
      </c>
      <c r="D547" s="35">
        <v>20</v>
      </c>
      <c r="E547" s="36">
        <v>29816002</v>
      </c>
      <c r="F547" s="36">
        <v>0</v>
      </c>
      <c r="G547" s="36">
        <v>0</v>
      </c>
      <c r="H547" s="36">
        <v>12859544</v>
      </c>
      <c r="I547" s="36">
        <v>0</v>
      </c>
      <c r="J547" s="37">
        <v>3556289</v>
      </c>
      <c r="K547" s="36">
        <v>42675546</v>
      </c>
      <c r="L547" s="38">
        <v>46231835</v>
      </c>
      <c r="M547" s="39"/>
      <c r="N547" s="36">
        <v>42675546</v>
      </c>
      <c r="O547" s="36">
        <v>29816002</v>
      </c>
      <c r="P547" s="36">
        <v>0</v>
      </c>
      <c r="Q547" s="36">
        <f>Q546*1936.27</f>
        <v>51598715.104747996</v>
      </c>
      <c r="R547" s="7"/>
      <c r="S547" s="7"/>
      <c r="T547" s="7"/>
      <c r="U547" s="7"/>
      <c r="V547" s="7"/>
      <c r="W547" s="7"/>
      <c r="X547" s="7"/>
      <c r="Y547" s="7"/>
      <c r="Z547" s="7"/>
    </row>
    <row r="548" spans="1:26" ht="12.75" customHeight="1" x14ac:dyDescent="0.2">
      <c r="A548" s="95"/>
      <c r="B548" s="95"/>
      <c r="C548" s="40" t="s">
        <v>36</v>
      </c>
      <c r="D548" s="41">
        <v>21</v>
      </c>
      <c r="E548" s="42">
        <v>17423.189999999999</v>
      </c>
      <c r="F548" s="42">
        <v>0</v>
      </c>
      <c r="G548" s="42">
        <v>0</v>
      </c>
      <c r="H548" s="42">
        <v>6641.4</v>
      </c>
      <c r="I548" s="42">
        <v>0</v>
      </c>
      <c r="J548" s="42">
        <v>2005.38</v>
      </c>
      <c r="K548" s="43">
        <v>24064.59</v>
      </c>
      <c r="L548" s="32">
        <v>26069.97</v>
      </c>
      <c r="M548" s="33"/>
      <c r="N548" s="30">
        <v>24064.59</v>
      </c>
      <c r="O548" s="30">
        <v>17423.189999999999</v>
      </c>
      <c r="P548" s="30"/>
      <c r="Q548" s="30">
        <f>(N548+O548*0.18+J548)+(IF((P548-O548*0.18)&gt;0,(P548-O548*0.18),0))</f>
        <v>29206.144199999999</v>
      </c>
      <c r="R548" s="7"/>
      <c r="S548" s="7"/>
      <c r="T548" s="7"/>
      <c r="U548" s="7"/>
      <c r="V548" s="7"/>
      <c r="W548" s="7"/>
      <c r="X548" s="7"/>
      <c r="Y548" s="7"/>
      <c r="Z548" s="7"/>
    </row>
    <row r="549" spans="1:26" ht="9" customHeight="1" x14ac:dyDescent="0.2">
      <c r="A549" s="95"/>
      <c r="B549" s="95"/>
      <c r="C549" s="34" t="s">
        <v>37</v>
      </c>
      <c r="D549" s="35">
        <v>27</v>
      </c>
      <c r="E549" s="36">
        <v>33736000</v>
      </c>
      <c r="F549" s="36">
        <v>0</v>
      </c>
      <c r="G549" s="36">
        <v>0</v>
      </c>
      <c r="H549" s="36">
        <v>12859544</v>
      </c>
      <c r="I549" s="36">
        <v>0</v>
      </c>
      <c r="J549" s="37">
        <v>3882957</v>
      </c>
      <c r="K549" s="36">
        <v>46595544</v>
      </c>
      <c r="L549" s="38">
        <v>50478501</v>
      </c>
      <c r="M549" s="39"/>
      <c r="N549" s="36">
        <v>46595544</v>
      </c>
      <c r="O549" s="36">
        <v>33736000</v>
      </c>
      <c r="P549" s="36">
        <v>0</v>
      </c>
      <c r="Q549" s="36">
        <f>Q548*1936.27</f>
        <v>56550980.830133997</v>
      </c>
      <c r="R549" s="7"/>
      <c r="S549" s="7"/>
      <c r="T549" s="7"/>
      <c r="U549" s="7"/>
      <c r="V549" s="7"/>
      <c r="W549" s="7"/>
      <c r="X549" s="7"/>
      <c r="Y549" s="7"/>
      <c r="Z549" s="7"/>
    </row>
    <row r="550" spans="1:26" ht="12.75" customHeight="1" x14ac:dyDescent="0.2">
      <c r="A550" s="95"/>
      <c r="B550" s="95"/>
      <c r="C550" s="40" t="s">
        <v>36</v>
      </c>
      <c r="D550" s="41">
        <v>28</v>
      </c>
      <c r="E550" s="42">
        <v>19510.71</v>
      </c>
      <c r="F550" s="42">
        <v>0</v>
      </c>
      <c r="G550" s="42">
        <v>0</v>
      </c>
      <c r="H550" s="42">
        <v>6641.4</v>
      </c>
      <c r="I550" s="42">
        <v>0</v>
      </c>
      <c r="J550" s="42">
        <v>2179.34</v>
      </c>
      <c r="K550" s="43">
        <v>26152.11</v>
      </c>
      <c r="L550" s="32">
        <v>28331.45</v>
      </c>
      <c r="M550" s="33"/>
      <c r="N550" s="30">
        <v>26152.11</v>
      </c>
      <c r="O550" s="30">
        <v>19510.71</v>
      </c>
      <c r="P550" s="30"/>
      <c r="Q550" s="30">
        <f>(N550+O550*0.18+J550)+(IF((P550-O550*0.18)&gt;0,(P550-O550*0.18),0))</f>
        <v>31843.377800000002</v>
      </c>
      <c r="R550" s="7"/>
      <c r="S550" s="7"/>
      <c r="T550" s="7"/>
      <c r="U550" s="7"/>
      <c r="V550" s="7"/>
      <c r="W550" s="7"/>
      <c r="X550" s="7"/>
      <c r="Y550" s="7"/>
      <c r="Z550" s="7"/>
    </row>
    <row r="551" spans="1:26" ht="9" customHeight="1" x14ac:dyDescent="0.2">
      <c r="A551" s="95"/>
      <c r="B551" s="95"/>
      <c r="C551" s="34" t="s">
        <v>37</v>
      </c>
      <c r="D551" s="35">
        <v>34</v>
      </c>
      <c r="E551" s="36">
        <v>37778002</v>
      </c>
      <c r="F551" s="36">
        <v>0</v>
      </c>
      <c r="G551" s="36">
        <v>0</v>
      </c>
      <c r="H551" s="36">
        <v>12859544</v>
      </c>
      <c r="I551" s="36">
        <v>0</v>
      </c>
      <c r="J551" s="37">
        <v>4219791</v>
      </c>
      <c r="K551" s="36">
        <v>50637546</v>
      </c>
      <c r="L551" s="38">
        <v>54857337</v>
      </c>
      <c r="M551" s="39"/>
      <c r="N551" s="36">
        <v>50637546</v>
      </c>
      <c r="O551" s="36">
        <v>37778002</v>
      </c>
      <c r="P551" s="36">
        <v>0</v>
      </c>
      <c r="Q551" s="36">
        <f>Q550*1936.27</f>
        <v>61657377.132806003</v>
      </c>
      <c r="R551" s="7"/>
      <c r="S551" s="7"/>
      <c r="T551" s="7"/>
      <c r="U551" s="7"/>
      <c r="V551" s="7"/>
      <c r="W551" s="7"/>
      <c r="X551" s="7"/>
      <c r="Y551" s="7"/>
      <c r="Z551" s="7"/>
    </row>
    <row r="552" spans="1:26" ht="12.75" customHeight="1" x14ac:dyDescent="0.2">
      <c r="A552" s="95"/>
      <c r="B552" s="95"/>
      <c r="C552" s="40" t="s">
        <v>36</v>
      </c>
      <c r="D552" s="41">
        <v>35</v>
      </c>
      <c r="E552" s="42">
        <v>21534.19</v>
      </c>
      <c r="F552" s="42">
        <v>0</v>
      </c>
      <c r="G552" s="42">
        <v>0</v>
      </c>
      <c r="H552" s="42">
        <v>6641.4</v>
      </c>
      <c r="I552" s="42">
        <v>0</v>
      </c>
      <c r="J552" s="42">
        <v>2347.9699999999998</v>
      </c>
      <c r="K552" s="43">
        <v>28175.59</v>
      </c>
      <c r="L552" s="32">
        <v>30523.56</v>
      </c>
      <c r="M552" s="33"/>
      <c r="N552" s="30">
        <v>28175.59</v>
      </c>
      <c r="O552" s="30">
        <v>21534.19</v>
      </c>
      <c r="P552" s="30"/>
      <c r="Q552" s="30">
        <f>(N552+O552*0.18+J552)+(IF((P552-O552*0.18)&gt;0,(P552-O552*0.18),0))</f>
        <v>34399.714200000002</v>
      </c>
      <c r="R552" s="7"/>
      <c r="S552" s="7"/>
      <c r="T552" s="7"/>
      <c r="U552" s="7"/>
      <c r="V552" s="7"/>
      <c r="W552" s="7"/>
      <c r="X552" s="7"/>
      <c r="Y552" s="7"/>
      <c r="Z552" s="7"/>
    </row>
    <row r="553" spans="1:26" ht="9" customHeight="1" x14ac:dyDescent="0.2">
      <c r="A553" s="110"/>
      <c r="B553" s="110"/>
      <c r="C553" s="47" t="s">
        <v>37</v>
      </c>
      <c r="D553" s="48"/>
      <c r="E553" s="46">
        <v>41696006</v>
      </c>
      <c r="F553" s="46">
        <v>0</v>
      </c>
      <c r="G553" s="46">
        <v>0</v>
      </c>
      <c r="H553" s="46">
        <v>12859544</v>
      </c>
      <c r="I553" s="46">
        <v>0</v>
      </c>
      <c r="J553" s="49">
        <v>4546304</v>
      </c>
      <c r="K553" s="46">
        <v>54555550</v>
      </c>
      <c r="L553" s="38">
        <v>59101854</v>
      </c>
      <c r="M553" s="39"/>
      <c r="N553" s="36">
        <v>54555550</v>
      </c>
      <c r="O553" s="36">
        <v>41696006</v>
      </c>
      <c r="P553" s="36">
        <v>0</v>
      </c>
      <c r="Q553" s="36">
        <f>Q552*1936.27</f>
        <v>66607134.614034005</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98">
        <v>36892</v>
      </c>
      <c r="B560" s="98">
        <v>37256</v>
      </c>
      <c r="C560" s="28" t="s">
        <v>36</v>
      </c>
      <c r="D560" s="29">
        <v>0</v>
      </c>
      <c r="E560" s="30">
        <v>11714.79</v>
      </c>
      <c r="F560" s="30">
        <v>0</v>
      </c>
      <c r="G560" s="30">
        <v>0</v>
      </c>
      <c r="H560" s="30">
        <v>6641.4</v>
      </c>
      <c r="I560" s="30">
        <v>0</v>
      </c>
      <c r="J560" s="30">
        <v>1529.68</v>
      </c>
      <c r="K560" s="31">
        <v>18356.189999999999</v>
      </c>
      <c r="L560" s="32">
        <v>19885.87</v>
      </c>
      <c r="M560" s="33"/>
      <c r="N560" s="30">
        <v>18356.189999999999</v>
      </c>
      <c r="O560" s="30">
        <v>11714.79</v>
      </c>
      <c r="P560" s="236"/>
      <c r="Q560" s="30">
        <f>(N560+O560*0.18+J560)+(IF((P560-O560*0.18)&gt;0,(P560-O560*0.18),0))</f>
        <v>21994.532199999998</v>
      </c>
      <c r="R560" s="7"/>
      <c r="S560" s="7"/>
      <c r="T560" s="7"/>
      <c r="U560" s="7"/>
      <c r="V560" s="7"/>
      <c r="W560" s="7"/>
      <c r="X560" s="7"/>
      <c r="Y560" s="7"/>
      <c r="Z560" s="7"/>
    </row>
    <row r="561" spans="1:26" ht="9" customHeight="1" x14ac:dyDescent="0.2">
      <c r="A561" s="95"/>
      <c r="B561" s="95"/>
      <c r="C561" s="34" t="s">
        <v>37</v>
      </c>
      <c r="D561" s="35">
        <v>2</v>
      </c>
      <c r="E561" s="36">
        <v>22682996</v>
      </c>
      <c r="F561" s="36">
        <v>0</v>
      </c>
      <c r="G561" s="36">
        <v>0</v>
      </c>
      <c r="H561" s="36">
        <v>12859544</v>
      </c>
      <c r="I561" s="36">
        <v>0</v>
      </c>
      <c r="J561" s="37">
        <v>2961873</v>
      </c>
      <c r="K561" s="36">
        <v>35542540</v>
      </c>
      <c r="L561" s="38">
        <v>38504414</v>
      </c>
      <c r="M561" s="39"/>
      <c r="N561" s="36">
        <v>35542540</v>
      </c>
      <c r="O561" s="36">
        <v>22682996</v>
      </c>
      <c r="P561" s="235"/>
      <c r="Q561" s="36">
        <f>Q560*1936.27</f>
        <v>42587352.862893999</v>
      </c>
      <c r="R561" s="7"/>
      <c r="S561" s="7"/>
      <c r="T561" s="7"/>
      <c r="U561" s="7"/>
      <c r="V561" s="7"/>
      <c r="W561" s="7"/>
      <c r="X561" s="7"/>
      <c r="Y561" s="7"/>
      <c r="Z561" s="7"/>
    </row>
    <row r="562" spans="1:26" ht="12.75" customHeight="1" x14ac:dyDescent="0.2">
      <c r="A562" s="156">
        <v>36892</v>
      </c>
      <c r="B562" s="156">
        <v>37256</v>
      </c>
      <c r="C562" s="40" t="s">
        <v>36</v>
      </c>
      <c r="D562" s="41">
        <v>3</v>
      </c>
      <c r="E562" s="42">
        <v>12249.32</v>
      </c>
      <c r="F562" s="42">
        <v>0</v>
      </c>
      <c r="G562" s="42">
        <v>0</v>
      </c>
      <c r="H562" s="42">
        <v>6641.4</v>
      </c>
      <c r="I562" s="42">
        <v>0</v>
      </c>
      <c r="J562" s="42">
        <v>1574.23</v>
      </c>
      <c r="K562" s="43">
        <v>18890.72</v>
      </c>
      <c r="L562" s="32">
        <v>20464.95</v>
      </c>
      <c r="M562" s="33"/>
      <c r="N562" s="30">
        <v>18890.72</v>
      </c>
      <c r="O562" s="30">
        <v>12249.32</v>
      </c>
      <c r="P562" s="236"/>
      <c r="Q562" s="30">
        <f>(N562+O562*0.18+J562)+(IF((P562-O562*0.18)&gt;0,(P562-O562*0.18),0))</f>
        <v>22669.827600000001</v>
      </c>
      <c r="R562" s="7"/>
      <c r="S562" s="7"/>
      <c r="T562" s="7"/>
      <c r="U562" s="7"/>
      <c r="V562" s="7"/>
      <c r="W562" s="7"/>
      <c r="X562" s="7"/>
      <c r="Y562" s="7"/>
      <c r="Z562" s="7"/>
    </row>
    <row r="563" spans="1:26" ht="9" customHeight="1" x14ac:dyDescent="0.2">
      <c r="A563" s="95"/>
      <c r="B563" s="95"/>
      <c r="C563" s="34" t="s">
        <v>37</v>
      </c>
      <c r="D563" s="35">
        <v>8</v>
      </c>
      <c r="E563" s="36">
        <v>23717991</v>
      </c>
      <c r="F563" s="36">
        <v>0</v>
      </c>
      <c r="G563" s="36">
        <v>0</v>
      </c>
      <c r="H563" s="36">
        <v>12859544</v>
      </c>
      <c r="I563" s="36">
        <v>0</v>
      </c>
      <c r="J563" s="37">
        <v>3048134</v>
      </c>
      <c r="K563" s="36">
        <v>36577534</v>
      </c>
      <c r="L563" s="38">
        <v>39625669</v>
      </c>
      <c r="M563" s="39"/>
      <c r="N563" s="36">
        <v>36577534</v>
      </c>
      <c r="O563" s="36">
        <v>23717991</v>
      </c>
      <c r="P563" s="235"/>
      <c r="Q563" s="36">
        <f>Q562*1936.27</f>
        <v>43894907.087052003</v>
      </c>
      <c r="R563" s="7"/>
      <c r="S563" s="7"/>
      <c r="T563" s="7"/>
      <c r="U563" s="7"/>
      <c r="V563" s="7"/>
      <c r="W563" s="7"/>
      <c r="X563" s="7"/>
      <c r="Y563" s="7"/>
      <c r="Z563" s="7"/>
    </row>
    <row r="564" spans="1:26" ht="12.75" customHeight="1" x14ac:dyDescent="0.2">
      <c r="A564" s="95"/>
      <c r="B564" s="95"/>
      <c r="C564" s="40" t="s">
        <v>36</v>
      </c>
      <c r="D564" s="41">
        <v>9</v>
      </c>
      <c r="E564" s="42">
        <v>13905.6</v>
      </c>
      <c r="F564" s="42">
        <v>0</v>
      </c>
      <c r="G564" s="42">
        <v>0</v>
      </c>
      <c r="H564" s="42">
        <v>6641.4</v>
      </c>
      <c r="I564" s="42">
        <v>0</v>
      </c>
      <c r="J564" s="42">
        <v>1712.25</v>
      </c>
      <c r="K564" s="43">
        <v>20547</v>
      </c>
      <c r="L564" s="32">
        <v>22259.25</v>
      </c>
      <c r="M564" s="33"/>
      <c r="N564" s="30">
        <v>20547</v>
      </c>
      <c r="O564" s="30">
        <v>13905.6</v>
      </c>
      <c r="P564" s="236"/>
      <c r="Q564" s="30">
        <f>(N564+O564*0.18+J564)+(IF((P564-O564*0.18)&gt;0,(P564-O564*0.18),0))</f>
        <v>24762.258000000002</v>
      </c>
      <c r="R564" s="7"/>
      <c r="S564" s="7"/>
      <c r="T564" s="7"/>
      <c r="U564" s="7"/>
      <c r="V564" s="7"/>
      <c r="W564" s="7"/>
      <c r="X564" s="7"/>
      <c r="Y564" s="7"/>
      <c r="Z564" s="7"/>
    </row>
    <row r="565" spans="1:26" ht="9" customHeight="1" x14ac:dyDescent="0.2">
      <c r="A565" s="95"/>
      <c r="B565" s="95"/>
      <c r="C565" s="34" t="s">
        <v>37</v>
      </c>
      <c r="D565" s="35">
        <v>14</v>
      </c>
      <c r="E565" s="36">
        <v>26924996</v>
      </c>
      <c r="F565" s="36">
        <v>0</v>
      </c>
      <c r="G565" s="36">
        <v>0</v>
      </c>
      <c r="H565" s="36">
        <v>12859544</v>
      </c>
      <c r="I565" s="36">
        <v>0</v>
      </c>
      <c r="J565" s="37">
        <v>3315378</v>
      </c>
      <c r="K565" s="36">
        <v>39784540</v>
      </c>
      <c r="L565" s="38">
        <v>43099918</v>
      </c>
      <c r="M565" s="39"/>
      <c r="N565" s="36">
        <v>39784540</v>
      </c>
      <c r="O565" s="36">
        <v>26924996</v>
      </c>
      <c r="P565" s="235"/>
      <c r="Q565" s="36">
        <f>Q564*1936.27</f>
        <v>47946417.297660001</v>
      </c>
      <c r="R565" s="7"/>
      <c r="S565" s="7"/>
      <c r="T565" s="7"/>
      <c r="U565" s="7"/>
      <c r="V565" s="7"/>
      <c r="W565" s="7"/>
      <c r="X565" s="7"/>
      <c r="Y565" s="7"/>
      <c r="Z565" s="7"/>
    </row>
    <row r="566" spans="1:26" ht="12.75" customHeight="1" x14ac:dyDescent="0.2">
      <c r="A566" s="95"/>
      <c r="B566" s="95"/>
      <c r="C566" s="40" t="s">
        <v>36</v>
      </c>
      <c r="D566" s="41">
        <v>15</v>
      </c>
      <c r="E566" s="42">
        <v>15838.7</v>
      </c>
      <c r="F566" s="42">
        <v>0</v>
      </c>
      <c r="G566" s="42">
        <v>0</v>
      </c>
      <c r="H566" s="42">
        <v>6641.4</v>
      </c>
      <c r="I566" s="42">
        <v>0</v>
      </c>
      <c r="J566" s="42">
        <v>1873.34</v>
      </c>
      <c r="K566" s="43">
        <v>22480.1</v>
      </c>
      <c r="L566" s="32">
        <v>24353.439999999999</v>
      </c>
      <c r="M566" s="33"/>
      <c r="N566" s="30">
        <v>22480.1</v>
      </c>
      <c r="O566" s="30">
        <v>15838.7</v>
      </c>
      <c r="P566" s="236"/>
      <c r="Q566" s="30">
        <f>(N566+O566*0.18+J566)+(IF((P566-O566*0.18)&gt;0,(P566-O566*0.18),0))</f>
        <v>27204.405999999999</v>
      </c>
      <c r="R566" s="7"/>
      <c r="S566" s="7"/>
      <c r="T566" s="7"/>
      <c r="U566" s="7"/>
      <c r="V566" s="7"/>
      <c r="W566" s="7"/>
      <c r="X566" s="7"/>
      <c r="Y566" s="7"/>
      <c r="Z566" s="7"/>
    </row>
    <row r="567" spans="1:26" ht="9" customHeight="1" x14ac:dyDescent="0.2">
      <c r="A567" s="95"/>
      <c r="B567" s="95"/>
      <c r="C567" s="34" t="s">
        <v>37</v>
      </c>
      <c r="D567" s="35">
        <v>20</v>
      </c>
      <c r="E567" s="36">
        <v>30668000</v>
      </c>
      <c r="F567" s="36">
        <v>0</v>
      </c>
      <c r="G567" s="36">
        <v>0</v>
      </c>
      <c r="H567" s="36">
        <v>12859544</v>
      </c>
      <c r="I567" s="36">
        <v>0</v>
      </c>
      <c r="J567" s="37">
        <v>3627292</v>
      </c>
      <c r="K567" s="36">
        <v>43527543</v>
      </c>
      <c r="L567" s="38">
        <v>47154835</v>
      </c>
      <c r="M567" s="39"/>
      <c r="N567" s="36">
        <v>43527543</v>
      </c>
      <c r="O567" s="36">
        <v>30668000</v>
      </c>
      <c r="P567" s="235"/>
      <c r="Q567" s="36">
        <f>Q566*1936.27</f>
        <v>52675075.205619998</v>
      </c>
      <c r="R567" s="7"/>
      <c r="S567" s="7"/>
      <c r="T567" s="7"/>
      <c r="U567" s="7"/>
      <c r="V567" s="7"/>
      <c r="W567" s="7"/>
      <c r="X567" s="7"/>
      <c r="Y567" s="7"/>
      <c r="Z567" s="7"/>
    </row>
    <row r="568" spans="1:26" ht="12.75" customHeight="1" x14ac:dyDescent="0.2">
      <c r="A568" s="95"/>
      <c r="B568" s="95"/>
      <c r="C568" s="40" t="s">
        <v>36</v>
      </c>
      <c r="D568" s="41">
        <v>21</v>
      </c>
      <c r="E568" s="42">
        <v>17906.59</v>
      </c>
      <c r="F568" s="42">
        <v>0</v>
      </c>
      <c r="G568" s="42">
        <v>0</v>
      </c>
      <c r="H568" s="42">
        <v>6641.4</v>
      </c>
      <c r="I568" s="42">
        <v>0</v>
      </c>
      <c r="J568" s="42">
        <v>2045.67</v>
      </c>
      <c r="K568" s="43">
        <v>24547.99</v>
      </c>
      <c r="L568" s="32">
        <v>26593.66</v>
      </c>
      <c r="M568" s="33"/>
      <c r="N568" s="30">
        <v>24547.99</v>
      </c>
      <c r="O568" s="30">
        <v>17906.59</v>
      </c>
      <c r="P568" s="236"/>
      <c r="Q568" s="30">
        <f>(N568+O568*0.18+J568)+(IF((P568-O568*0.18)&gt;0,(P568-O568*0.18),0))</f>
        <v>29816.8462</v>
      </c>
      <c r="R568" s="7"/>
      <c r="S568" s="7"/>
      <c r="T568" s="7"/>
      <c r="U568" s="7"/>
      <c r="V568" s="7"/>
      <c r="W568" s="7"/>
      <c r="X568" s="7"/>
      <c r="Y568" s="7"/>
      <c r="Z568" s="7"/>
    </row>
    <row r="569" spans="1:26" ht="9" customHeight="1" x14ac:dyDescent="0.2">
      <c r="A569" s="95"/>
      <c r="B569" s="95"/>
      <c r="C569" s="34" t="s">
        <v>37</v>
      </c>
      <c r="D569" s="35">
        <v>27</v>
      </c>
      <c r="E569" s="36">
        <v>34671993</v>
      </c>
      <c r="F569" s="36">
        <v>0</v>
      </c>
      <c r="G569" s="36">
        <v>0</v>
      </c>
      <c r="H569" s="36">
        <v>12859544</v>
      </c>
      <c r="I569" s="36">
        <v>0</v>
      </c>
      <c r="J569" s="37">
        <v>3960969</v>
      </c>
      <c r="K569" s="36">
        <v>47531537</v>
      </c>
      <c r="L569" s="38">
        <v>51492506</v>
      </c>
      <c r="M569" s="39"/>
      <c r="N569" s="36">
        <v>47531537</v>
      </c>
      <c r="O569" s="36">
        <v>34671993</v>
      </c>
      <c r="P569" s="235"/>
      <c r="Q569" s="36">
        <f>Q568*1936.27</f>
        <v>57733464.791674003</v>
      </c>
      <c r="R569" s="7"/>
      <c r="S569" s="7"/>
      <c r="T569" s="7"/>
      <c r="U569" s="7"/>
      <c r="V569" s="7"/>
      <c r="W569" s="7"/>
      <c r="X569" s="7"/>
      <c r="Y569" s="7"/>
      <c r="Z569" s="7"/>
    </row>
    <row r="570" spans="1:26" ht="12.75" customHeight="1" x14ac:dyDescent="0.2">
      <c r="A570" s="95"/>
      <c r="B570" s="95"/>
      <c r="C570" s="40" t="s">
        <v>36</v>
      </c>
      <c r="D570" s="41">
        <v>28</v>
      </c>
      <c r="E570" s="42">
        <v>20031.3</v>
      </c>
      <c r="F570" s="42">
        <v>0</v>
      </c>
      <c r="G570" s="42">
        <v>0</v>
      </c>
      <c r="H570" s="42">
        <v>6641.4</v>
      </c>
      <c r="I570" s="42">
        <v>0</v>
      </c>
      <c r="J570" s="42">
        <v>2222.73</v>
      </c>
      <c r="K570" s="43">
        <v>26672.7</v>
      </c>
      <c r="L570" s="32">
        <v>28895.43</v>
      </c>
      <c r="M570" s="33"/>
      <c r="N570" s="30">
        <v>26672.7</v>
      </c>
      <c r="O570" s="30">
        <v>20031.3</v>
      </c>
      <c r="P570" s="236"/>
      <c r="Q570" s="30">
        <f>(N570+O570*0.18+J570)+(IF((P570-O570*0.18)&gt;0,(P570-O570*0.18),0))</f>
        <v>32501.063999999998</v>
      </c>
      <c r="R570" s="7"/>
      <c r="S570" s="7"/>
      <c r="T570" s="7"/>
      <c r="U570" s="7"/>
      <c r="V570" s="7"/>
      <c r="W570" s="7"/>
      <c r="X570" s="7"/>
      <c r="Y570" s="7"/>
      <c r="Z570" s="7"/>
    </row>
    <row r="571" spans="1:26" ht="9" customHeight="1" x14ac:dyDescent="0.2">
      <c r="A571" s="95"/>
      <c r="B571" s="95"/>
      <c r="C571" s="34" t="s">
        <v>37</v>
      </c>
      <c r="D571" s="35">
        <v>34</v>
      </c>
      <c r="E571" s="36">
        <v>38786005</v>
      </c>
      <c r="F571" s="36">
        <v>0</v>
      </c>
      <c r="G571" s="36">
        <v>0</v>
      </c>
      <c r="H571" s="36">
        <v>12859544</v>
      </c>
      <c r="I571" s="36">
        <v>0</v>
      </c>
      <c r="J571" s="37">
        <v>4303805</v>
      </c>
      <c r="K571" s="36">
        <v>51645549</v>
      </c>
      <c r="L571" s="38">
        <v>55949354</v>
      </c>
      <c r="M571" s="39"/>
      <c r="N571" s="36">
        <v>51645549</v>
      </c>
      <c r="O571" s="36">
        <v>38786005</v>
      </c>
      <c r="P571" s="235"/>
      <c r="Q571" s="36">
        <f>Q570*1936.27</f>
        <v>62930835.19128</v>
      </c>
      <c r="R571" s="7"/>
      <c r="S571" s="7"/>
      <c r="T571" s="7"/>
      <c r="U571" s="7"/>
      <c r="V571" s="7"/>
      <c r="W571" s="7"/>
      <c r="X571" s="7"/>
      <c r="Y571" s="7"/>
      <c r="Z571" s="7"/>
    </row>
    <row r="572" spans="1:26" ht="12.75" customHeight="1" x14ac:dyDescent="0.2">
      <c r="A572" s="95"/>
      <c r="B572" s="95"/>
      <c r="C572" s="40" t="s">
        <v>36</v>
      </c>
      <c r="D572" s="41">
        <v>35</v>
      </c>
      <c r="E572" s="42">
        <v>22098.16</v>
      </c>
      <c r="F572" s="42">
        <v>0</v>
      </c>
      <c r="G572" s="42">
        <v>0</v>
      </c>
      <c r="H572" s="42">
        <v>6641.4</v>
      </c>
      <c r="I572" s="42">
        <v>0</v>
      </c>
      <c r="J572" s="42">
        <v>2394.96</v>
      </c>
      <c r="K572" s="43">
        <v>28739.56</v>
      </c>
      <c r="L572" s="32">
        <v>31134.52</v>
      </c>
      <c r="M572" s="33"/>
      <c r="N572" s="30">
        <v>28739.56</v>
      </c>
      <c r="O572" s="30">
        <v>22098.16</v>
      </c>
      <c r="P572" s="236"/>
      <c r="Q572" s="30">
        <f>(N572+O572*0.18+J572)+(IF((P572-O572*0.18)&gt;0,(P572-O572*0.18),0))</f>
        <v>35112.188800000004</v>
      </c>
      <c r="R572" s="7"/>
      <c r="S572" s="7"/>
      <c r="T572" s="7"/>
      <c r="U572" s="7"/>
      <c r="V572" s="7"/>
      <c r="W572" s="7"/>
      <c r="X572" s="7"/>
      <c r="Y572" s="7"/>
      <c r="Z572" s="7"/>
    </row>
    <row r="573" spans="1:26" ht="9" customHeight="1" x14ac:dyDescent="0.2">
      <c r="A573" s="110"/>
      <c r="B573" s="110"/>
      <c r="C573" s="47" t="s">
        <v>37</v>
      </c>
      <c r="D573" s="48"/>
      <c r="E573" s="46">
        <v>42788004</v>
      </c>
      <c r="F573" s="46">
        <v>0</v>
      </c>
      <c r="G573" s="46">
        <v>0</v>
      </c>
      <c r="H573" s="46">
        <v>12859544</v>
      </c>
      <c r="I573" s="46">
        <v>0</v>
      </c>
      <c r="J573" s="49">
        <v>4637289</v>
      </c>
      <c r="K573" s="46">
        <v>55647548</v>
      </c>
      <c r="L573" s="38">
        <v>60284837</v>
      </c>
      <c r="M573" s="39"/>
      <c r="N573" s="36">
        <v>55647548</v>
      </c>
      <c r="O573" s="36">
        <v>42788004</v>
      </c>
      <c r="P573" s="235"/>
      <c r="Q573" s="36">
        <f>Q572*1936.27</f>
        <v>67986677.807776004</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235"/>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235"/>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235"/>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235"/>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235"/>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235"/>
      <c r="Q579" s="96"/>
      <c r="R579" s="7"/>
      <c r="S579" s="7"/>
      <c r="T579" s="7"/>
      <c r="U579" s="7"/>
      <c r="V579" s="7"/>
      <c r="W579" s="7"/>
      <c r="X579" s="7"/>
      <c r="Y579" s="7"/>
      <c r="Z579" s="7"/>
    </row>
    <row r="580" spans="1:26" ht="12.75" customHeight="1" x14ac:dyDescent="0.2">
      <c r="A580" s="98">
        <v>37257</v>
      </c>
      <c r="B580" s="98">
        <v>37621</v>
      </c>
      <c r="C580" s="28" t="s">
        <v>36</v>
      </c>
      <c r="D580" s="29">
        <v>0</v>
      </c>
      <c r="E580" s="30">
        <v>12178.95</v>
      </c>
      <c r="F580" s="30">
        <v>0</v>
      </c>
      <c r="G580" s="30">
        <v>0</v>
      </c>
      <c r="H580" s="30">
        <v>6641.4</v>
      </c>
      <c r="I580" s="30">
        <v>0</v>
      </c>
      <c r="J580" s="30">
        <v>1568.36</v>
      </c>
      <c r="K580" s="31">
        <v>18820.349999999999</v>
      </c>
      <c r="L580" s="32">
        <v>20388.71</v>
      </c>
      <c r="M580" s="33"/>
      <c r="N580" s="30">
        <v>18820.349999999999</v>
      </c>
      <c r="O580" s="30">
        <v>12178.95</v>
      </c>
      <c r="P580" s="236"/>
      <c r="Q580" s="30">
        <f>(N580+O580*0.18+J580)+(IF((P580-O580*0.18)&gt;0,(P580-O580*0.18),0))</f>
        <v>22580.920999999998</v>
      </c>
      <c r="R580" s="7"/>
      <c r="S580" s="7"/>
      <c r="T580" s="7"/>
      <c r="U580" s="7"/>
      <c r="V580" s="7"/>
      <c r="W580" s="7"/>
      <c r="X580" s="7"/>
      <c r="Y580" s="7"/>
      <c r="Z580" s="7"/>
    </row>
    <row r="581" spans="1:26" ht="9" customHeight="1" x14ac:dyDescent="0.2">
      <c r="A581" s="95"/>
      <c r="B581" s="95"/>
      <c r="C581" s="34" t="s">
        <v>37</v>
      </c>
      <c r="D581" s="35">
        <v>2</v>
      </c>
      <c r="E581" s="36">
        <v>23581736</v>
      </c>
      <c r="F581" s="36">
        <v>0</v>
      </c>
      <c r="G581" s="36">
        <v>0</v>
      </c>
      <c r="H581" s="36">
        <v>12859544</v>
      </c>
      <c r="I581" s="36">
        <v>0</v>
      </c>
      <c r="J581" s="37">
        <v>3036768</v>
      </c>
      <c r="K581" s="36">
        <v>36441279</v>
      </c>
      <c r="L581" s="38">
        <v>39478048</v>
      </c>
      <c r="M581" s="39"/>
      <c r="N581" s="36">
        <v>36441279</v>
      </c>
      <c r="O581" s="36">
        <v>23581736</v>
      </c>
      <c r="P581" s="235"/>
      <c r="Q581" s="36">
        <f>Q580*1936.27</f>
        <v>43722759.90467</v>
      </c>
      <c r="R581" s="7"/>
      <c r="S581" s="7"/>
      <c r="T581" s="7"/>
      <c r="U581" s="7"/>
      <c r="V581" s="7"/>
      <c r="W581" s="7"/>
      <c r="X581" s="7"/>
      <c r="Y581" s="7"/>
      <c r="Z581" s="7"/>
    </row>
    <row r="582" spans="1:26" ht="12.75" customHeight="1" x14ac:dyDescent="0.2">
      <c r="A582" s="156">
        <v>37257</v>
      </c>
      <c r="B582" s="156">
        <v>37621</v>
      </c>
      <c r="C582" s="40" t="s">
        <v>36</v>
      </c>
      <c r="D582" s="41">
        <v>3</v>
      </c>
      <c r="E582" s="42">
        <v>12726.92</v>
      </c>
      <c r="F582" s="42">
        <v>0</v>
      </c>
      <c r="G582" s="42">
        <v>0</v>
      </c>
      <c r="H582" s="42">
        <v>6641.4</v>
      </c>
      <c r="I582" s="42">
        <v>0</v>
      </c>
      <c r="J582" s="42">
        <v>1614.03</v>
      </c>
      <c r="K582" s="43">
        <v>19368.32</v>
      </c>
      <c r="L582" s="32">
        <v>20982.35</v>
      </c>
      <c r="M582" s="33"/>
      <c r="N582" s="30">
        <v>19368.32</v>
      </c>
      <c r="O582" s="30">
        <v>12726.92</v>
      </c>
      <c r="P582" s="236"/>
      <c r="Q582" s="30">
        <f>(N582+O582*0.18+J582)+(IF((P582-O582*0.18)&gt;0,(P582-O582*0.18),0))</f>
        <v>23273.195599999999</v>
      </c>
      <c r="R582" s="7"/>
      <c r="S582" s="7"/>
      <c r="T582" s="7"/>
      <c r="U582" s="7"/>
      <c r="V582" s="7"/>
      <c r="W582" s="7"/>
      <c r="X582" s="7"/>
      <c r="Y582" s="7"/>
      <c r="Z582" s="7"/>
    </row>
    <row r="583" spans="1:26" ht="9" customHeight="1" x14ac:dyDescent="0.2">
      <c r="A583" s="95"/>
      <c r="B583" s="95"/>
      <c r="C583" s="34" t="s">
        <v>37</v>
      </c>
      <c r="D583" s="35">
        <v>8</v>
      </c>
      <c r="E583" s="36">
        <v>24642753</v>
      </c>
      <c r="F583" s="36">
        <v>0</v>
      </c>
      <c r="G583" s="36">
        <v>0</v>
      </c>
      <c r="H583" s="36">
        <v>12859544</v>
      </c>
      <c r="I583" s="36">
        <v>0</v>
      </c>
      <c r="J583" s="37">
        <v>3125198</v>
      </c>
      <c r="K583" s="36">
        <v>37502297</v>
      </c>
      <c r="L583" s="38">
        <v>40627495</v>
      </c>
      <c r="M583" s="39"/>
      <c r="N583" s="36">
        <v>37502297</v>
      </c>
      <c r="O583" s="36">
        <v>24642753</v>
      </c>
      <c r="P583" s="235"/>
      <c r="Q583" s="36">
        <f>Q582*1936.27</f>
        <v>45063190.444412</v>
      </c>
      <c r="R583" s="7"/>
      <c r="S583" s="7"/>
      <c r="T583" s="7"/>
      <c r="U583" s="7"/>
      <c r="V583" s="7"/>
      <c r="W583" s="7"/>
      <c r="X583" s="7"/>
      <c r="Y583" s="7"/>
      <c r="Z583" s="7"/>
    </row>
    <row r="584" spans="1:26" ht="12.75" customHeight="1" x14ac:dyDescent="0.2">
      <c r="A584" s="95"/>
      <c r="B584" s="95"/>
      <c r="C584" s="40" t="s">
        <v>36</v>
      </c>
      <c r="D584" s="41">
        <v>9</v>
      </c>
      <c r="E584" s="42">
        <v>14424.96</v>
      </c>
      <c r="F584" s="42">
        <v>0</v>
      </c>
      <c r="G584" s="42">
        <v>0</v>
      </c>
      <c r="H584" s="42">
        <v>6641.4</v>
      </c>
      <c r="I584" s="42">
        <v>0</v>
      </c>
      <c r="J584" s="42">
        <v>1755.53</v>
      </c>
      <c r="K584" s="43">
        <v>21066.36</v>
      </c>
      <c r="L584" s="32">
        <v>22821.89</v>
      </c>
      <c r="M584" s="33"/>
      <c r="N584" s="30">
        <v>21066.36</v>
      </c>
      <c r="O584" s="30">
        <v>14424.96</v>
      </c>
      <c r="P584" s="236"/>
      <c r="Q584" s="30">
        <f>(N584+O584*0.18+J584)+(IF((P584-O584*0.18)&gt;0,(P584-O584*0.18),0))</f>
        <v>25418.382799999999</v>
      </c>
      <c r="R584" s="7"/>
      <c r="S584" s="7"/>
      <c r="T584" s="7"/>
      <c r="U584" s="7"/>
      <c r="V584" s="7"/>
      <c r="W584" s="7"/>
      <c r="X584" s="7"/>
      <c r="Y584" s="7"/>
      <c r="Z584" s="7"/>
    </row>
    <row r="585" spans="1:26" ht="9" customHeight="1" x14ac:dyDescent="0.2">
      <c r="A585" s="95"/>
      <c r="B585" s="95"/>
      <c r="C585" s="34" t="s">
        <v>37</v>
      </c>
      <c r="D585" s="35">
        <v>14</v>
      </c>
      <c r="E585" s="36">
        <v>27930617</v>
      </c>
      <c r="F585" s="36">
        <v>0</v>
      </c>
      <c r="G585" s="36">
        <v>0</v>
      </c>
      <c r="H585" s="36">
        <v>12859544</v>
      </c>
      <c r="I585" s="36">
        <v>0</v>
      </c>
      <c r="J585" s="37">
        <v>3399180</v>
      </c>
      <c r="K585" s="36">
        <v>40790161</v>
      </c>
      <c r="L585" s="38">
        <v>44189341</v>
      </c>
      <c r="M585" s="39"/>
      <c r="N585" s="36">
        <v>40790161</v>
      </c>
      <c r="O585" s="36">
        <v>27930617</v>
      </c>
      <c r="P585" s="235"/>
      <c r="Q585" s="36">
        <f>Q584*1936.27</f>
        <v>49216852.064155996</v>
      </c>
      <c r="R585" s="7"/>
      <c r="S585" s="7"/>
      <c r="T585" s="7"/>
      <c r="U585" s="7"/>
      <c r="V585" s="7"/>
      <c r="W585" s="7"/>
      <c r="X585" s="7"/>
      <c r="Y585" s="7"/>
      <c r="Z585" s="7"/>
    </row>
    <row r="586" spans="1:26" ht="12.75" customHeight="1" x14ac:dyDescent="0.2">
      <c r="A586" s="95"/>
      <c r="B586" s="95"/>
      <c r="C586" s="40" t="s">
        <v>36</v>
      </c>
      <c r="D586" s="41">
        <v>15</v>
      </c>
      <c r="E586" s="42">
        <v>16406.78</v>
      </c>
      <c r="F586" s="42">
        <v>0</v>
      </c>
      <c r="G586" s="42">
        <v>0</v>
      </c>
      <c r="H586" s="42">
        <v>6641.4</v>
      </c>
      <c r="I586" s="42">
        <v>0</v>
      </c>
      <c r="J586" s="42">
        <v>1920.68</v>
      </c>
      <c r="K586" s="43">
        <v>23048.18</v>
      </c>
      <c r="L586" s="32">
        <v>24968.86</v>
      </c>
      <c r="M586" s="33"/>
      <c r="N586" s="30">
        <v>23048.18</v>
      </c>
      <c r="O586" s="30">
        <v>16406.78</v>
      </c>
      <c r="P586" s="236"/>
      <c r="Q586" s="30">
        <f>(N586+O586*0.18+J586)+(IF((P586-O586*0.18)&gt;0,(P586-O586*0.18),0))</f>
        <v>27922.080399999999</v>
      </c>
      <c r="R586" s="7"/>
      <c r="S586" s="7"/>
      <c r="T586" s="7"/>
      <c r="U586" s="7"/>
      <c r="V586" s="7"/>
      <c r="W586" s="7"/>
      <c r="X586" s="7"/>
      <c r="Y586" s="7"/>
      <c r="Z586" s="7"/>
    </row>
    <row r="587" spans="1:26" ht="9" customHeight="1" x14ac:dyDescent="0.2">
      <c r="A587" s="95"/>
      <c r="B587" s="95"/>
      <c r="C587" s="34" t="s">
        <v>37</v>
      </c>
      <c r="D587" s="35">
        <v>20</v>
      </c>
      <c r="E587" s="36">
        <v>31767956</v>
      </c>
      <c r="F587" s="36">
        <v>0</v>
      </c>
      <c r="G587" s="36">
        <v>0</v>
      </c>
      <c r="H587" s="36">
        <v>12859544</v>
      </c>
      <c r="I587" s="36">
        <v>0</v>
      </c>
      <c r="J587" s="37">
        <v>3718955</v>
      </c>
      <c r="K587" s="36">
        <v>44627499</v>
      </c>
      <c r="L587" s="38">
        <v>48346455</v>
      </c>
      <c r="M587" s="39"/>
      <c r="N587" s="36">
        <v>44627499</v>
      </c>
      <c r="O587" s="36">
        <v>31767956</v>
      </c>
      <c r="P587" s="235"/>
      <c r="Q587" s="36">
        <f>Q586*1936.27</f>
        <v>54064686.616108</v>
      </c>
      <c r="R587" s="7"/>
      <c r="S587" s="7"/>
      <c r="T587" s="7"/>
      <c r="U587" s="7"/>
      <c r="V587" s="7"/>
      <c r="W587" s="7"/>
      <c r="X587" s="7"/>
      <c r="Y587" s="7"/>
      <c r="Z587" s="7"/>
    </row>
    <row r="588" spans="1:26" ht="12.75" customHeight="1" x14ac:dyDescent="0.2">
      <c r="A588" s="95"/>
      <c r="B588" s="95"/>
      <c r="C588" s="40" t="s">
        <v>36</v>
      </c>
      <c r="D588" s="41">
        <v>21</v>
      </c>
      <c r="E588" s="42">
        <v>18526.75</v>
      </c>
      <c r="F588" s="42">
        <v>0</v>
      </c>
      <c r="G588" s="42">
        <v>0</v>
      </c>
      <c r="H588" s="42">
        <v>6641.4</v>
      </c>
      <c r="I588" s="42">
        <v>0</v>
      </c>
      <c r="J588" s="42">
        <v>2097.35</v>
      </c>
      <c r="K588" s="43">
        <v>25168.15</v>
      </c>
      <c r="L588" s="32">
        <v>27265.5</v>
      </c>
      <c r="M588" s="33"/>
      <c r="N588" s="30">
        <v>25168.15</v>
      </c>
      <c r="O588" s="30">
        <v>18526.75</v>
      </c>
      <c r="P588" s="236"/>
      <c r="Q588" s="30">
        <f>(N588+O588*0.18+J588)+(IF((P588-O588*0.18)&gt;0,(P588-O588*0.18),0))</f>
        <v>30600.314999999999</v>
      </c>
      <c r="R588" s="7"/>
      <c r="S588" s="7"/>
      <c r="T588" s="7"/>
      <c r="U588" s="7"/>
      <c r="V588" s="7"/>
      <c r="W588" s="7"/>
      <c r="X588" s="7"/>
      <c r="Y588" s="7"/>
      <c r="Z588" s="7"/>
    </row>
    <row r="589" spans="1:26" ht="9" customHeight="1" x14ac:dyDescent="0.2">
      <c r="A589" s="95"/>
      <c r="B589" s="95"/>
      <c r="C589" s="34" t="s">
        <v>37</v>
      </c>
      <c r="D589" s="35">
        <v>27</v>
      </c>
      <c r="E589" s="36">
        <v>35872790</v>
      </c>
      <c r="F589" s="36">
        <v>0</v>
      </c>
      <c r="G589" s="36">
        <v>0</v>
      </c>
      <c r="H589" s="36">
        <v>12859544</v>
      </c>
      <c r="I589" s="36">
        <v>0</v>
      </c>
      <c r="J589" s="37">
        <v>4061036</v>
      </c>
      <c r="K589" s="36">
        <v>48732334</v>
      </c>
      <c r="L589" s="38">
        <v>52793370</v>
      </c>
      <c r="M589" s="39"/>
      <c r="N589" s="36">
        <v>48732334</v>
      </c>
      <c r="O589" s="36">
        <v>35872790</v>
      </c>
      <c r="P589" s="235"/>
      <c r="Q589" s="36">
        <f>Q588*1936.27</f>
        <v>59250471.925049998</v>
      </c>
      <c r="R589" s="7"/>
      <c r="S589" s="7"/>
      <c r="T589" s="7"/>
      <c r="U589" s="7"/>
      <c r="V589" s="7"/>
      <c r="W589" s="7"/>
      <c r="X589" s="7"/>
      <c r="Y589" s="7"/>
      <c r="Z589" s="7"/>
    </row>
    <row r="590" spans="1:26" ht="12.75" customHeight="1" x14ac:dyDescent="0.2">
      <c r="A590" s="95"/>
      <c r="B590" s="95"/>
      <c r="C590" s="40" t="s">
        <v>36</v>
      </c>
      <c r="D590" s="41">
        <v>28</v>
      </c>
      <c r="E590" s="42">
        <v>20704.98</v>
      </c>
      <c r="F590" s="42">
        <v>0</v>
      </c>
      <c r="G590" s="42">
        <v>0</v>
      </c>
      <c r="H590" s="42">
        <v>6641.4</v>
      </c>
      <c r="I590" s="42">
        <v>0</v>
      </c>
      <c r="J590" s="42">
        <v>2278.87</v>
      </c>
      <c r="K590" s="43">
        <v>27346.38</v>
      </c>
      <c r="L590" s="32">
        <v>29625.25</v>
      </c>
      <c r="M590" s="33"/>
      <c r="N590" s="30">
        <v>27346.38</v>
      </c>
      <c r="O590" s="30">
        <v>20704.98</v>
      </c>
      <c r="P590" s="236"/>
      <c r="Q590" s="30">
        <f>(N590+O590*0.18+J590)+(IF((P590-O590*0.18)&gt;0,(P590-O590*0.18),0))</f>
        <v>33352.146400000005</v>
      </c>
      <c r="R590" s="7"/>
      <c r="S590" s="7"/>
      <c r="T590" s="7"/>
      <c r="U590" s="7"/>
      <c r="V590" s="7"/>
      <c r="W590" s="7"/>
      <c r="X590" s="7"/>
      <c r="Y590" s="7"/>
      <c r="Z590" s="7"/>
    </row>
    <row r="591" spans="1:26" ht="9" customHeight="1" x14ac:dyDescent="0.2">
      <c r="A591" s="95"/>
      <c r="B591" s="95"/>
      <c r="C591" s="34" t="s">
        <v>37</v>
      </c>
      <c r="D591" s="35">
        <v>34</v>
      </c>
      <c r="E591" s="36">
        <v>40090432</v>
      </c>
      <c r="F591" s="36">
        <v>0</v>
      </c>
      <c r="G591" s="36">
        <v>0</v>
      </c>
      <c r="H591" s="36">
        <v>12859544</v>
      </c>
      <c r="I591" s="36">
        <v>0</v>
      </c>
      <c r="J591" s="37">
        <v>4412508</v>
      </c>
      <c r="K591" s="36">
        <v>52949975</v>
      </c>
      <c r="L591" s="38">
        <v>57362483</v>
      </c>
      <c r="M591" s="39"/>
      <c r="N591" s="36">
        <v>52949975</v>
      </c>
      <c r="O591" s="36">
        <v>40090432</v>
      </c>
      <c r="P591" s="235"/>
      <c r="Q591" s="36">
        <f>Q590*1936.27</f>
        <v>64578760.50992801</v>
      </c>
      <c r="R591" s="7"/>
      <c r="S591" s="7"/>
      <c r="T591" s="7"/>
      <c r="U591" s="7"/>
      <c r="V591" s="7"/>
      <c r="W591" s="7"/>
      <c r="X591" s="7"/>
      <c r="Y591" s="7"/>
      <c r="Z591" s="7"/>
    </row>
    <row r="592" spans="1:26" ht="12.75" customHeight="1" x14ac:dyDescent="0.2">
      <c r="A592" s="95"/>
      <c r="B592" s="95"/>
      <c r="C592" s="40" t="s">
        <v>36</v>
      </c>
      <c r="D592" s="41">
        <v>35</v>
      </c>
      <c r="E592" s="42">
        <v>22823.919999999998</v>
      </c>
      <c r="F592" s="42">
        <v>0</v>
      </c>
      <c r="G592" s="42">
        <v>0</v>
      </c>
      <c r="H592" s="42">
        <v>6641.4</v>
      </c>
      <c r="I592" s="42">
        <v>0</v>
      </c>
      <c r="J592" s="42">
        <v>2455.44</v>
      </c>
      <c r="K592" s="43">
        <v>29465.32</v>
      </c>
      <c r="L592" s="32">
        <v>31920.76</v>
      </c>
      <c r="M592" s="33"/>
      <c r="N592" s="30">
        <v>29465.32</v>
      </c>
      <c r="O592" s="30">
        <v>22823.919999999998</v>
      </c>
      <c r="P592" s="236"/>
      <c r="Q592" s="30">
        <f>(N592+O592*0.18+J592)+(IF((P592-O592*0.18)&gt;0,(P592-O592*0.18),0))</f>
        <v>36029.065600000002</v>
      </c>
      <c r="R592" s="7"/>
      <c r="S592" s="7"/>
      <c r="T592" s="7"/>
      <c r="U592" s="7"/>
      <c r="V592" s="7"/>
      <c r="W592" s="7"/>
      <c r="X592" s="7"/>
      <c r="Y592" s="7"/>
      <c r="Z592" s="7"/>
    </row>
    <row r="593" spans="1:26" ht="9" customHeight="1" x14ac:dyDescent="0.2">
      <c r="A593" s="110"/>
      <c r="B593" s="110"/>
      <c r="C593" s="47" t="s">
        <v>37</v>
      </c>
      <c r="D593" s="48"/>
      <c r="E593" s="46">
        <v>44193272</v>
      </c>
      <c r="F593" s="46">
        <v>0</v>
      </c>
      <c r="G593" s="46">
        <v>0</v>
      </c>
      <c r="H593" s="46">
        <v>12859544</v>
      </c>
      <c r="I593" s="46">
        <v>0</v>
      </c>
      <c r="J593" s="49">
        <v>4754395</v>
      </c>
      <c r="K593" s="46">
        <v>57052815</v>
      </c>
      <c r="L593" s="38">
        <v>61807210</v>
      </c>
      <c r="M593" s="39"/>
      <c r="N593" s="36">
        <v>57052815</v>
      </c>
      <c r="O593" s="36">
        <v>44193272</v>
      </c>
      <c r="P593" s="235"/>
      <c r="Q593" s="36">
        <f>Q592*1936.27</f>
        <v>69761998.849312007</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235"/>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235"/>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235"/>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235"/>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235"/>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235"/>
      <c r="Q599" s="96"/>
      <c r="R599" s="7"/>
      <c r="S599" s="7"/>
      <c r="T599" s="7"/>
      <c r="U599" s="7"/>
      <c r="V599" s="7"/>
      <c r="W599" s="7"/>
      <c r="X599" s="7"/>
      <c r="Y599" s="7"/>
      <c r="Z599" s="7"/>
    </row>
    <row r="600" spans="1:26" ht="12.75" customHeight="1" x14ac:dyDescent="0.2">
      <c r="A600" s="98">
        <v>37622</v>
      </c>
      <c r="B600" s="98">
        <v>37986</v>
      </c>
      <c r="C600" s="28" t="s">
        <v>36</v>
      </c>
      <c r="D600" s="29">
        <v>0</v>
      </c>
      <c r="E600" s="30">
        <v>12655.23</v>
      </c>
      <c r="F600" s="30"/>
      <c r="G600" s="30">
        <v>0</v>
      </c>
      <c r="H600" s="30">
        <v>6641.4</v>
      </c>
      <c r="I600" s="30">
        <v>0</v>
      </c>
      <c r="J600" s="30">
        <v>1608.05</v>
      </c>
      <c r="K600" s="31">
        <v>19296.63</v>
      </c>
      <c r="L600" s="32">
        <v>20904.68</v>
      </c>
      <c r="M600" s="33"/>
      <c r="N600" s="30">
        <v>19296.63</v>
      </c>
      <c r="O600" s="30">
        <v>12655.23</v>
      </c>
      <c r="P600" s="236"/>
      <c r="Q600" s="30">
        <f>(N600+O600*0.18+J600)+(IF((P600-O600*0.18)&gt;0,(P600-O600*0.18),0))</f>
        <v>23182.6214</v>
      </c>
      <c r="R600" s="7"/>
      <c r="S600" s="7"/>
      <c r="T600" s="7"/>
      <c r="U600" s="7"/>
      <c r="V600" s="7"/>
      <c r="W600" s="7"/>
      <c r="X600" s="7"/>
      <c r="Y600" s="7"/>
      <c r="Z600" s="7"/>
    </row>
    <row r="601" spans="1:26" ht="9" customHeight="1" x14ac:dyDescent="0.2">
      <c r="A601" s="95"/>
      <c r="B601" s="95"/>
      <c r="C601" s="34" t="s">
        <v>37</v>
      </c>
      <c r="D601" s="35">
        <v>2</v>
      </c>
      <c r="E601" s="36">
        <v>24503942</v>
      </c>
      <c r="F601" s="36">
        <v>0</v>
      </c>
      <c r="G601" s="36">
        <v>0</v>
      </c>
      <c r="H601" s="36">
        <v>12859544</v>
      </c>
      <c r="I601" s="36">
        <v>0</v>
      </c>
      <c r="J601" s="37">
        <v>3113619</v>
      </c>
      <c r="K601" s="36">
        <v>37363486</v>
      </c>
      <c r="L601" s="38">
        <v>40477105</v>
      </c>
      <c r="M601" s="39"/>
      <c r="N601" s="36">
        <v>37363486</v>
      </c>
      <c r="O601" s="36">
        <v>24503942</v>
      </c>
      <c r="P601" s="235"/>
      <c r="Q601" s="36">
        <f>Q600*1936.27</f>
        <v>44887814.338178001</v>
      </c>
      <c r="R601" s="7"/>
      <c r="S601" s="7"/>
      <c r="T601" s="7"/>
      <c r="U601" s="7"/>
      <c r="V601" s="7"/>
      <c r="W601" s="7"/>
      <c r="X601" s="7"/>
      <c r="Y601" s="7"/>
      <c r="Z601" s="7"/>
    </row>
    <row r="602" spans="1:26" ht="12.75" customHeight="1" x14ac:dyDescent="0.2">
      <c r="A602" s="156">
        <v>37622</v>
      </c>
      <c r="B602" s="156">
        <v>37986</v>
      </c>
      <c r="C602" s="40" t="s">
        <v>36</v>
      </c>
      <c r="D602" s="41">
        <v>3</v>
      </c>
      <c r="E602" s="42">
        <v>13217</v>
      </c>
      <c r="F602" s="42">
        <v>0</v>
      </c>
      <c r="G602" s="42">
        <v>0</v>
      </c>
      <c r="H602" s="42">
        <v>6641.4</v>
      </c>
      <c r="I602" s="42">
        <v>0</v>
      </c>
      <c r="J602" s="42">
        <v>1654.87</v>
      </c>
      <c r="K602" s="43">
        <v>19858.400000000001</v>
      </c>
      <c r="L602" s="32">
        <v>21513.27</v>
      </c>
      <c r="M602" s="33"/>
      <c r="N602" s="30">
        <v>19858.400000000001</v>
      </c>
      <c r="O602" s="30">
        <v>13217</v>
      </c>
      <c r="P602" s="236"/>
      <c r="Q602" s="30">
        <f>(N602+O602*0.18+J602)+(IF((P602-O602*0.18)&gt;0,(P602-O602*0.18),0))</f>
        <v>23892.33</v>
      </c>
      <c r="R602" s="7"/>
      <c r="S602" s="7"/>
      <c r="T602" s="7"/>
      <c r="U602" s="7"/>
      <c r="V602" s="7"/>
      <c r="W602" s="7"/>
      <c r="X602" s="7"/>
      <c r="Y602" s="7"/>
      <c r="Z602" s="7"/>
    </row>
    <row r="603" spans="1:26" ht="9" customHeight="1" x14ac:dyDescent="0.2">
      <c r="A603" s="95"/>
      <c r="B603" s="95"/>
      <c r="C603" s="34" t="s">
        <v>37</v>
      </c>
      <c r="D603" s="35">
        <v>8</v>
      </c>
      <c r="E603" s="36">
        <v>25591681</v>
      </c>
      <c r="F603" s="36">
        <v>0</v>
      </c>
      <c r="G603" s="36">
        <v>0</v>
      </c>
      <c r="H603" s="36">
        <v>12859544</v>
      </c>
      <c r="I603" s="36">
        <v>0</v>
      </c>
      <c r="J603" s="37">
        <v>3204275</v>
      </c>
      <c r="K603" s="36">
        <v>38451224</v>
      </c>
      <c r="L603" s="38">
        <v>41655499</v>
      </c>
      <c r="M603" s="39"/>
      <c r="N603" s="36">
        <v>38451224</v>
      </c>
      <c r="O603" s="36">
        <v>25591681</v>
      </c>
      <c r="P603" s="235"/>
      <c r="Q603" s="36">
        <f>Q602*1936.27</f>
        <v>46262001.809100002</v>
      </c>
      <c r="R603" s="7"/>
      <c r="S603" s="7"/>
      <c r="T603" s="7"/>
      <c r="U603" s="7"/>
      <c r="V603" s="7"/>
      <c r="W603" s="7"/>
      <c r="X603" s="7"/>
      <c r="Y603" s="7"/>
      <c r="Z603" s="7"/>
    </row>
    <row r="604" spans="1:26" ht="12.75" customHeight="1" x14ac:dyDescent="0.2">
      <c r="A604" s="95"/>
      <c r="B604" s="95"/>
      <c r="C604" s="40" t="s">
        <v>36</v>
      </c>
      <c r="D604" s="41">
        <v>9</v>
      </c>
      <c r="E604" s="42">
        <v>14957.88</v>
      </c>
      <c r="F604" s="42">
        <v>0</v>
      </c>
      <c r="G604" s="42">
        <v>0</v>
      </c>
      <c r="H604" s="42">
        <v>6641.4</v>
      </c>
      <c r="I604" s="42">
        <v>0</v>
      </c>
      <c r="J604" s="42">
        <v>1799.94</v>
      </c>
      <c r="K604" s="43">
        <v>21599.279999999999</v>
      </c>
      <c r="L604" s="32">
        <v>23399.22</v>
      </c>
      <c r="M604" s="33"/>
      <c r="N604" s="30">
        <v>21599.279999999999</v>
      </c>
      <c r="O604" s="30">
        <v>14957.88</v>
      </c>
      <c r="P604" s="236"/>
      <c r="Q604" s="30">
        <f>(N604+O604*0.18+J604)+(IF((P604-O604*0.18)&gt;0,(P604-O604*0.18),0))</f>
        <v>26091.638399999996</v>
      </c>
      <c r="R604" s="7"/>
      <c r="S604" s="7"/>
      <c r="T604" s="7"/>
      <c r="U604" s="7"/>
      <c r="V604" s="7"/>
      <c r="W604" s="7"/>
      <c r="X604" s="7"/>
      <c r="Y604" s="7"/>
      <c r="Z604" s="7"/>
    </row>
    <row r="605" spans="1:26" ht="9" customHeight="1" x14ac:dyDescent="0.2">
      <c r="A605" s="95"/>
      <c r="B605" s="95"/>
      <c r="C605" s="34" t="s">
        <v>37</v>
      </c>
      <c r="D605" s="35">
        <v>14</v>
      </c>
      <c r="E605" s="36">
        <v>28962494</v>
      </c>
      <c r="F605" s="36">
        <v>0</v>
      </c>
      <c r="G605" s="36">
        <v>0</v>
      </c>
      <c r="H605" s="36">
        <v>12859544</v>
      </c>
      <c r="I605" s="36">
        <v>0</v>
      </c>
      <c r="J605" s="37">
        <v>3485170</v>
      </c>
      <c r="K605" s="36">
        <v>41822038</v>
      </c>
      <c r="L605" s="38">
        <v>45307208</v>
      </c>
      <c r="M605" s="39"/>
      <c r="N605" s="36">
        <v>41822038</v>
      </c>
      <c r="O605" s="36">
        <v>28962494</v>
      </c>
      <c r="P605" s="235"/>
      <c r="Q605" s="36">
        <f>Q604*1936.27</f>
        <v>50520456.684767991</v>
      </c>
      <c r="R605" s="7"/>
      <c r="S605" s="7"/>
      <c r="T605" s="7"/>
      <c r="U605" s="7"/>
      <c r="V605" s="7"/>
      <c r="W605" s="7"/>
      <c r="X605" s="7"/>
      <c r="Y605" s="7"/>
      <c r="Z605" s="7"/>
    </row>
    <row r="606" spans="1:26" ht="12.75" customHeight="1" x14ac:dyDescent="0.2">
      <c r="A606" s="95"/>
      <c r="B606" s="95"/>
      <c r="C606" s="40" t="s">
        <v>36</v>
      </c>
      <c r="D606" s="41">
        <v>15</v>
      </c>
      <c r="E606" s="42">
        <v>16989.62</v>
      </c>
      <c r="F606" s="42">
        <v>0</v>
      </c>
      <c r="G606" s="42">
        <v>0</v>
      </c>
      <c r="H606" s="42">
        <v>6641.4</v>
      </c>
      <c r="I606" s="42">
        <v>0</v>
      </c>
      <c r="J606" s="42">
        <v>1969.25</v>
      </c>
      <c r="K606" s="43">
        <v>23631.02</v>
      </c>
      <c r="L606" s="32">
        <v>25600.27</v>
      </c>
      <c r="M606" s="33"/>
      <c r="N606" s="30">
        <v>23631.02</v>
      </c>
      <c r="O606" s="30">
        <v>16989.62</v>
      </c>
      <c r="P606" s="236"/>
      <c r="Q606" s="30">
        <f>(N606+O606*0.18+J606)+(IF((P606-O606*0.18)&gt;0,(P606-O606*0.18),0))</f>
        <v>28658.401600000001</v>
      </c>
      <c r="R606" s="7"/>
      <c r="S606" s="7"/>
      <c r="T606" s="7"/>
      <c r="U606" s="7"/>
      <c r="V606" s="7"/>
      <c r="W606" s="7"/>
      <c r="X606" s="7"/>
      <c r="Y606" s="7"/>
      <c r="Z606" s="7"/>
    </row>
    <row r="607" spans="1:26" ht="9" customHeight="1" x14ac:dyDescent="0.2">
      <c r="A607" s="95"/>
      <c r="B607" s="95"/>
      <c r="C607" s="34" t="s">
        <v>37</v>
      </c>
      <c r="D607" s="35">
        <v>20</v>
      </c>
      <c r="E607" s="36">
        <v>32896492</v>
      </c>
      <c r="F607" s="36">
        <v>0</v>
      </c>
      <c r="G607" s="36">
        <v>0</v>
      </c>
      <c r="H607" s="36">
        <v>12859544</v>
      </c>
      <c r="I607" s="36">
        <v>0</v>
      </c>
      <c r="J607" s="37">
        <v>3813000</v>
      </c>
      <c r="K607" s="36">
        <v>45756035</v>
      </c>
      <c r="L607" s="38">
        <v>49569035</v>
      </c>
      <c r="M607" s="39"/>
      <c r="N607" s="36">
        <v>45756035</v>
      </c>
      <c r="O607" s="36">
        <v>32896492</v>
      </c>
      <c r="P607" s="235"/>
      <c r="Q607" s="36">
        <f>Q606*1936.27</f>
        <v>55490403.266032003</v>
      </c>
      <c r="R607" s="7"/>
      <c r="S607" s="7"/>
      <c r="T607" s="7"/>
      <c r="U607" s="7"/>
      <c r="V607" s="7"/>
      <c r="W607" s="7"/>
      <c r="X607" s="7"/>
      <c r="Y607" s="7"/>
      <c r="Z607" s="7"/>
    </row>
    <row r="608" spans="1:26" ht="12.75" customHeight="1" x14ac:dyDescent="0.2">
      <c r="A608" s="95"/>
      <c r="B608" s="95"/>
      <c r="C608" s="40" t="s">
        <v>36</v>
      </c>
      <c r="D608" s="41">
        <v>21</v>
      </c>
      <c r="E608" s="42">
        <v>19163.11</v>
      </c>
      <c r="F608" s="42">
        <v>0</v>
      </c>
      <c r="G608" s="42">
        <v>0</v>
      </c>
      <c r="H608" s="42">
        <v>6641.4</v>
      </c>
      <c r="I608" s="42">
        <v>0</v>
      </c>
      <c r="J608" s="42">
        <v>2150.38</v>
      </c>
      <c r="K608" s="43">
        <v>25804.51</v>
      </c>
      <c r="L608" s="32">
        <v>27954.89</v>
      </c>
      <c r="M608" s="33"/>
      <c r="N608" s="30">
        <v>25804.51</v>
      </c>
      <c r="O608" s="30">
        <v>19163.11</v>
      </c>
      <c r="P608" s="236"/>
      <c r="Q608" s="30">
        <f>(N608+O608*0.18+J608)+(IF((P608-O608*0.18)&gt;0,(P608-O608*0.18),0))</f>
        <v>31404.249800000001</v>
      </c>
      <c r="R608" s="7"/>
      <c r="S608" s="7"/>
      <c r="T608" s="7"/>
      <c r="U608" s="7"/>
      <c r="V608" s="7"/>
      <c r="W608" s="7"/>
      <c r="X608" s="7"/>
      <c r="Y608" s="7"/>
      <c r="Z608" s="7"/>
    </row>
    <row r="609" spans="1:26" ht="9" customHeight="1" x14ac:dyDescent="0.2">
      <c r="A609" s="95"/>
      <c r="B609" s="95"/>
      <c r="C609" s="34" t="s">
        <v>37</v>
      </c>
      <c r="D609" s="35">
        <v>27</v>
      </c>
      <c r="E609" s="36">
        <v>37104955</v>
      </c>
      <c r="F609" s="36">
        <v>0</v>
      </c>
      <c r="G609" s="36">
        <v>0</v>
      </c>
      <c r="H609" s="36">
        <v>12859544</v>
      </c>
      <c r="I609" s="36">
        <v>0</v>
      </c>
      <c r="J609" s="37">
        <v>4163716</v>
      </c>
      <c r="K609" s="36">
        <v>49964499</v>
      </c>
      <c r="L609" s="38">
        <v>54128215</v>
      </c>
      <c r="M609" s="39"/>
      <c r="N609" s="36">
        <v>49964499</v>
      </c>
      <c r="O609" s="36">
        <v>37104955</v>
      </c>
      <c r="P609" s="235"/>
      <c r="Q609" s="36">
        <f>Q608*1936.27</f>
        <v>60807106.760246001</v>
      </c>
      <c r="R609" s="7"/>
      <c r="S609" s="7"/>
      <c r="T609" s="7"/>
      <c r="U609" s="7"/>
      <c r="V609" s="7"/>
      <c r="W609" s="7"/>
      <c r="X609" s="7"/>
      <c r="Y609" s="7"/>
      <c r="Z609" s="7"/>
    </row>
    <row r="610" spans="1:26" ht="12.75" customHeight="1" x14ac:dyDescent="0.2">
      <c r="A610" s="95"/>
      <c r="B610" s="95"/>
      <c r="C610" s="40" t="s">
        <v>36</v>
      </c>
      <c r="D610" s="41">
        <v>28</v>
      </c>
      <c r="E610" s="42">
        <v>21396.3</v>
      </c>
      <c r="F610" s="42">
        <v>0</v>
      </c>
      <c r="G610" s="42">
        <v>0</v>
      </c>
      <c r="H610" s="42">
        <v>6641.4</v>
      </c>
      <c r="I610" s="42">
        <v>0</v>
      </c>
      <c r="J610" s="42">
        <v>2336.48</v>
      </c>
      <c r="K610" s="43">
        <v>28037.7</v>
      </c>
      <c r="L610" s="32">
        <v>30374.18</v>
      </c>
      <c r="M610" s="33"/>
      <c r="N610" s="30">
        <v>28037.7</v>
      </c>
      <c r="O610" s="30">
        <v>21396.3</v>
      </c>
      <c r="P610" s="236"/>
      <c r="Q610" s="30">
        <f>(N610+O610*0.18+J610)+(IF((P610-O610*0.18)&gt;0,(P610-O610*0.18),0))</f>
        <v>34225.514000000003</v>
      </c>
      <c r="R610" s="7"/>
      <c r="S610" s="7"/>
      <c r="T610" s="7"/>
      <c r="U610" s="7"/>
      <c r="V610" s="7"/>
      <c r="W610" s="7"/>
      <c r="X610" s="7"/>
      <c r="Y610" s="7"/>
      <c r="Z610" s="7"/>
    </row>
    <row r="611" spans="1:26" ht="9" customHeight="1" x14ac:dyDescent="0.2">
      <c r="A611" s="95"/>
      <c r="B611" s="95"/>
      <c r="C611" s="34" t="s">
        <v>37</v>
      </c>
      <c r="D611" s="35">
        <v>34</v>
      </c>
      <c r="E611" s="36">
        <v>41429014</v>
      </c>
      <c r="F611" s="36">
        <v>0</v>
      </c>
      <c r="G611" s="36">
        <v>0</v>
      </c>
      <c r="H611" s="36">
        <v>12859544</v>
      </c>
      <c r="I611" s="36">
        <v>0</v>
      </c>
      <c r="J611" s="37">
        <v>4524056</v>
      </c>
      <c r="K611" s="36">
        <v>54288557</v>
      </c>
      <c r="L611" s="38">
        <v>58812614</v>
      </c>
      <c r="M611" s="39"/>
      <c r="N611" s="36">
        <v>54288557</v>
      </c>
      <c r="O611" s="36">
        <v>41429014</v>
      </c>
      <c r="P611" s="235"/>
      <c r="Q611" s="36">
        <f>Q610*1936.27</f>
        <v>66269835.992780007</v>
      </c>
      <c r="R611" s="7"/>
      <c r="S611" s="7"/>
      <c r="T611" s="7"/>
      <c r="U611" s="7"/>
      <c r="V611" s="7"/>
      <c r="W611" s="7"/>
      <c r="X611" s="7"/>
      <c r="Y611" s="7"/>
      <c r="Z611" s="7"/>
    </row>
    <row r="612" spans="1:26" ht="12.75" customHeight="1" x14ac:dyDescent="0.2">
      <c r="A612" s="95"/>
      <c r="B612" s="95"/>
      <c r="C612" s="40" t="s">
        <v>36</v>
      </c>
      <c r="D612" s="41">
        <v>35</v>
      </c>
      <c r="E612" s="42">
        <v>23568.639999999999</v>
      </c>
      <c r="F612" s="42">
        <v>0</v>
      </c>
      <c r="G612" s="42">
        <v>0</v>
      </c>
      <c r="H612" s="42">
        <v>6641.4</v>
      </c>
      <c r="I612" s="42">
        <v>0</v>
      </c>
      <c r="J612" s="42">
        <v>2517.5</v>
      </c>
      <c r="K612" s="43">
        <v>30210.04</v>
      </c>
      <c r="L612" s="32">
        <v>32727.54</v>
      </c>
      <c r="M612" s="33"/>
      <c r="N612" s="30">
        <v>30210.04</v>
      </c>
      <c r="O612" s="30">
        <v>23568.639999999999</v>
      </c>
      <c r="P612" s="236"/>
      <c r="Q612" s="30">
        <f>(N612+O612*0.18+J612)+(IF((P612-O612*0.18)&gt;0,(P612-O612*0.18),0))</f>
        <v>36969.895199999999</v>
      </c>
      <c r="R612" s="7"/>
      <c r="S612" s="7"/>
      <c r="T612" s="7"/>
      <c r="U612" s="7"/>
      <c r="V612" s="7"/>
      <c r="W612" s="7"/>
      <c r="X612" s="7"/>
      <c r="Y612" s="7"/>
      <c r="Z612" s="7"/>
    </row>
    <row r="613" spans="1:26" ht="9" customHeight="1" x14ac:dyDescent="0.2">
      <c r="A613" s="110"/>
      <c r="B613" s="110"/>
      <c r="C613" s="47" t="s">
        <v>37</v>
      </c>
      <c r="D613" s="48"/>
      <c r="E613" s="46">
        <v>45635251</v>
      </c>
      <c r="F613" s="46">
        <v>0</v>
      </c>
      <c r="G613" s="46">
        <v>0</v>
      </c>
      <c r="H613" s="46">
        <v>12859544</v>
      </c>
      <c r="I613" s="46">
        <v>0</v>
      </c>
      <c r="J613" s="49">
        <v>4874560</v>
      </c>
      <c r="K613" s="46">
        <v>58494794</v>
      </c>
      <c r="L613" s="38">
        <v>63369354</v>
      </c>
      <c r="M613" s="39"/>
      <c r="N613" s="36">
        <v>58494794</v>
      </c>
      <c r="O613" s="36">
        <v>45635251</v>
      </c>
      <c r="P613" s="235"/>
      <c r="Q613" s="36">
        <f>Q612*1936.27</f>
        <v>71583698.978903994</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235"/>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235"/>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235"/>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235"/>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235"/>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235"/>
      <c r="Q619" s="96"/>
      <c r="R619" s="7"/>
      <c r="S619" s="7"/>
      <c r="T619" s="7"/>
      <c r="U619" s="7"/>
      <c r="V619" s="7"/>
      <c r="W619" s="7"/>
      <c r="X619" s="7"/>
      <c r="Y619" s="7"/>
      <c r="Z619" s="7"/>
    </row>
    <row r="620" spans="1:26" ht="12.75" customHeight="1" x14ac:dyDescent="0.2">
      <c r="A620" s="98">
        <v>37987</v>
      </c>
      <c r="B620" s="98">
        <v>38383</v>
      </c>
      <c r="C620" s="28" t="s">
        <v>36</v>
      </c>
      <c r="D620" s="29">
        <v>0</v>
      </c>
      <c r="E620" s="30">
        <v>13062.63</v>
      </c>
      <c r="F620" s="30">
        <v>0</v>
      </c>
      <c r="G620" s="30">
        <v>0</v>
      </c>
      <c r="H620" s="30">
        <v>6641.4</v>
      </c>
      <c r="I620" s="30">
        <v>0</v>
      </c>
      <c r="J620" s="30">
        <v>1642</v>
      </c>
      <c r="K620" s="31">
        <v>19704.03</v>
      </c>
      <c r="L620" s="32">
        <v>21346.03</v>
      </c>
      <c r="M620" s="33"/>
      <c r="N620" s="30">
        <v>19704.03</v>
      </c>
      <c r="O620" s="30">
        <v>13062.63</v>
      </c>
      <c r="P620" s="236"/>
      <c r="Q620" s="30">
        <f>(N620+O620*0.18+J620)+(IF((P620-O620*0.18)&gt;0,(P620-O620*0.18),0))</f>
        <v>23697.303399999997</v>
      </c>
      <c r="R620" s="7"/>
      <c r="S620" s="7"/>
      <c r="T620" s="7"/>
      <c r="U620" s="7"/>
      <c r="V620" s="7"/>
      <c r="W620" s="7"/>
      <c r="X620" s="7"/>
      <c r="Y620" s="7"/>
      <c r="Z620" s="7"/>
    </row>
    <row r="621" spans="1:26" ht="9" customHeight="1" x14ac:dyDescent="0.2">
      <c r="A621" s="95"/>
      <c r="B621" s="95"/>
      <c r="C621" s="34" t="s">
        <v>37</v>
      </c>
      <c r="D621" s="35">
        <v>2</v>
      </c>
      <c r="E621" s="36">
        <v>25292779</v>
      </c>
      <c r="F621" s="36">
        <v>0</v>
      </c>
      <c r="G621" s="36">
        <v>0</v>
      </c>
      <c r="H621" s="36">
        <v>12859544</v>
      </c>
      <c r="I621" s="36">
        <v>0</v>
      </c>
      <c r="J621" s="37">
        <v>3179355</v>
      </c>
      <c r="K621" s="36">
        <v>38152322</v>
      </c>
      <c r="L621" s="38">
        <v>41331678</v>
      </c>
      <c r="M621" s="39"/>
      <c r="N621" s="36">
        <v>38152322</v>
      </c>
      <c r="O621" s="36">
        <v>25292779</v>
      </c>
      <c r="P621" s="235"/>
      <c r="Q621" s="36">
        <f>Q620*1936.27</f>
        <v>45884377.654317997</v>
      </c>
      <c r="R621" s="7"/>
      <c r="S621" s="7"/>
      <c r="T621" s="7"/>
      <c r="U621" s="7"/>
      <c r="V621" s="7"/>
      <c r="W621" s="7"/>
      <c r="X621" s="7"/>
      <c r="Y621" s="7"/>
      <c r="Z621" s="7"/>
    </row>
    <row r="622" spans="1:26" ht="12.75" customHeight="1" x14ac:dyDescent="0.2">
      <c r="A622" s="156">
        <v>37987</v>
      </c>
      <c r="B622" s="156">
        <v>38383</v>
      </c>
      <c r="C622" s="40" t="s">
        <v>36</v>
      </c>
      <c r="D622" s="41">
        <v>3</v>
      </c>
      <c r="E622" s="42">
        <v>13636.28</v>
      </c>
      <c r="F622" s="42">
        <v>0</v>
      </c>
      <c r="G622" s="42">
        <v>0</v>
      </c>
      <c r="H622" s="42">
        <v>6641.4</v>
      </c>
      <c r="I622" s="42">
        <v>0</v>
      </c>
      <c r="J622" s="42">
        <v>1689.81</v>
      </c>
      <c r="K622" s="43">
        <v>20277.68</v>
      </c>
      <c r="L622" s="32">
        <v>21967.49</v>
      </c>
      <c r="M622" s="33"/>
      <c r="N622" s="30">
        <v>20277.68</v>
      </c>
      <c r="O622" s="30">
        <v>13636.28</v>
      </c>
      <c r="P622" s="236"/>
      <c r="Q622" s="30">
        <f>(N622+O622*0.18+J622)+(IF((P622-O622*0.18)&gt;0,(P622-O622*0.18),0))</f>
        <v>24422.020400000001</v>
      </c>
      <c r="R622" s="7"/>
      <c r="S622" s="7"/>
      <c r="T622" s="7"/>
      <c r="U622" s="7"/>
      <c r="V622" s="7"/>
      <c r="W622" s="7"/>
      <c r="X622" s="7"/>
      <c r="Y622" s="7"/>
      <c r="Z622" s="7"/>
    </row>
    <row r="623" spans="1:26" ht="9" customHeight="1" x14ac:dyDescent="0.2">
      <c r="A623" s="95"/>
      <c r="B623" s="95"/>
      <c r="C623" s="34" t="s">
        <v>37</v>
      </c>
      <c r="D623" s="35">
        <v>8</v>
      </c>
      <c r="E623" s="36">
        <v>26403520</v>
      </c>
      <c r="F623" s="36">
        <v>0</v>
      </c>
      <c r="G623" s="36">
        <v>0</v>
      </c>
      <c r="H623" s="36">
        <v>12859544</v>
      </c>
      <c r="I623" s="36">
        <v>0</v>
      </c>
      <c r="J623" s="37">
        <v>3271928</v>
      </c>
      <c r="K623" s="36">
        <v>39263063</v>
      </c>
      <c r="L623" s="38">
        <v>42534992</v>
      </c>
      <c r="M623" s="39"/>
      <c r="N623" s="36">
        <v>39263063</v>
      </c>
      <c r="O623" s="36">
        <v>26403520</v>
      </c>
      <c r="P623" s="235"/>
      <c r="Q623" s="36">
        <f>Q622*1936.27</f>
        <v>47287625.439908005</v>
      </c>
      <c r="R623" s="7"/>
      <c r="S623" s="7"/>
      <c r="T623" s="7"/>
      <c r="U623" s="7"/>
      <c r="V623" s="7"/>
      <c r="W623" s="7"/>
      <c r="X623" s="7"/>
      <c r="Y623" s="7"/>
      <c r="Z623" s="7"/>
    </row>
    <row r="624" spans="1:26" ht="12.75" customHeight="1" x14ac:dyDescent="0.2">
      <c r="A624" s="95"/>
      <c r="B624" s="95"/>
      <c r="C624" s="40" t="s">
        <v>36</v>
      </c>
      <c r="D624" s="41">
        <v>9</v>
      </c>
      <c r="E624" s="42">
        <v>15413.88</v>
      </c>
      <c r="F624" s="42">
        <v>0</v>
      </c>
      <c r="G624" s="42">
        <v>0</v>
      </c>
      <c r="H624" s="42">
        <v>6641.4</v>
      </c>
      <c r="I624" s="42">
        <v>0</v>
      </c>
      <c r="J624" s="42">
        <v>1837.94</v>
      </c>
      <c r="K624" s="43">
        <v>22055.279999999999</v>
      </c>
      <c r="L624" s="32">
        <v>23893.22</v>
      </c>
      <c r="M624" s="33"/>
      <c r="N624" s="30">
        <v>22055.279999999999</v>
      </c>
      <c r="O624" s="30">
        <v>15413.88</v>
      </c>
      <c r="P624" s="236"/>
      <c r="Q624" s="30">
        <f>(N624+O624*0.18+J624)+(IF((P624-O624*0.18)&gt;0,(P624-O624*0.18),0))</f>
        <v>26667.718399999998</v>
      </c>
      <c r="R624" s="7"/>
      <c r="S624" s="7"/>
      <c r="T624" s="7"/>
      <c r="U624" s="7"/>
      <c r="V624" s="7"/>
      <c r="W624" s="7"/>
      <c r="X624" s="7"/>
      <c r="Y624" s="7"/>
      <c r="Z624" s="7"/>
    </row>
    <row r="625" spans="1:26" ht="9" customHeight="1" x14ac:dyDescent="0.2">
      <c r="A625" s="95"/>
      <c r="B625" s="95"/>
      <c r="C625" s="34" t="s">
        <v>37</v>
      </c>
      <c r="D625" s="35">
        <v>14</v>
      </c>
      <c r="E625" s="36">
        <v>29845433</v>
      </c>
      <c r="F625" s="36">
        <v>0</v>
      </c>
      <c r="G625" s="36">
        <v>0</v>
      </c>
      <c r="H625" s="36">
        <v>12859544</v>
      </c>
      <c r="I625" s="36">
        <v>0</v>
      </c>
      <c r="J625" s="37">
        <v>3558748</v>
      </c>
      <c r="K625" s="36">
        <v>42704977</v>
      </c>
      <c r="L625" s="38">
        <v>46263725</v>
      </c>
      <c r="M625" s="39"/>
      <c r="N625" s="36">
        <v>42704977</v>
      </c>
      <c r="O625" s="36">
        <v>29845433</v>
      </c>
      <c r="P625" s="235"/>
      <c r="Q625" s="36">
        <f>Q624*1936.27</f>
        <v>51635903.106367998</v>
      </c>
      <c r="R625" s="7"/>
      <c r="S625" s="7"/>
      <c r="T625" s="7"/>
      <c r="U625" s="7"/>
      <c r="V625" s="7"/>
      <c r="W625" s="7"/>
      <c r="X625" s="7"/>
      <c r="Y625" s="7"/>
      <c r="Z625" s="7"/>
    </row>
    <row r="626" spans="1:26" ht="12.75" customHeight="1" x14ac:dyDescent="0.2">
      <c r="A626" s="95"/>
      <c r="B626" s="95"/>
      <c r="C626" s="40" t="s">
        <v>36</v>
      </c>
      <c r="D626" s="41">
        <v>15</v>
      </c>
      <c r="E626" s="42">
        <v>17488.580000000002</v>
      </c>
      <c r="F626" s="42">
        <v>0</v>
      </c>
      <c r="G626" s="42">
        <v>0</v>
      </c>
      <c r="H626" s="42">
        <v>6641.4</v>
      </c>
      <c r="I626" s="42">
        <v>0</v>
      </c>
      <c r="J626" s="42">
        <v>2010.83</v>
      </c>
      <c r="K626" s="43">
        <v>24129.98</v>
      </c>
      <c r="L626" s="32">
        <v>26140.81</v>
      </c>
      <c r="M626" s="33"/>
      <c r="N626" s="30">
        <v>24129.98</v>
      </c>
      <c r="O626" s="30">
        <v>17488.580000000002</v>
      </c>
      <c r="P626" s="236"/>
      <c r="Q626" s="30">
        <f>(N626+O626*0.18+J626)+(IF((P626-O626*0.18)&gt;0,(P626-O626*0.18),0))</f>
        <v>29288.754399999998</v>
      </c>
      <c r="R626" s="7"/>
      <c r="S626" s="7"/>
      <c r="T626" s="7"/>
      <c r="U626" s="7"/>
      <c r="V626" s="7"/>
      <c r="W626" s="7"/>
      <c r="X626" s="7"/>
      <c r="Y626" s="7"/>
      <c r="Z626" s="7"/>
    </row>
    <row r="627" spans="1:26" ht="9" customHeight="1" x14ac:dyDescent="0.2">
      <c r="A627" s="95"/>
      <c r="B627" s="95"/>
      <c r="C627" s="34" t="s">
        <v>37</v>
      </c>
      <c r="D627" s="35">
        <v>20</v>
      </c>
      <c r="E627" s="36">
        <v>33862613</v>
      </c>
      <c r="F627" s="36">
        <v>0</v>
      </c>
      <c r="G627" s="36">
        <v>0</v>
      </c>
      <c r="H627" s="36">
        <v>12859544</v>
      </c>
      <c r="I627" s="36">
        <v>0</v>
      </c>
      <c r="J627" s="37">
        <v>3893510</v>
      </c>
      <c r="K627" s="36">
        <v>46722156</v>
      </c>
      <c r="L627" s="38">
        <v>50615666</v>
      </c>
      <c r="M627" s="39"/>
      <c r="N627" s="36">
        <v>46722156</v>
      </c>
      <c r="O627" s="36">
        <v>33862613</v>
      </c>
      <c r="P627" s="235"/>
      <c r="Q627" s="36">
        <f>Q626*1936.27</f>
        <v>56710936.482087992</v>
      </c>
      <c r="R627" s="7"/>
      <c r="S627" s="7"/>
      <c r="T627" s="7"/>
      <c r="U627" s="7"/>
      <c r="V627" s="7"/>
      <c r="W627" s="7"/>
      <c r="X627" s="7"/>
      <c r="Y627" s="7"/>
      <c r="Z627" s="7"/>
    </row>
    <row r="628" spans="1:26" ht="12.75" customHeight="1" x14ac:dyDescent="0.2">
      <c r="A628" s="95"/>
      <c r="B628" s="95"/>
      <c r="C628" s="40" t="s">
        <v>36</v>
      </c>
      <c r="D628" s="41">
        <v>21</v>
      </c>
      <c r="E628" s="42">
        <v>19707.91</v>
      </c>
      <c r="F628" s="42">
        <v>0</v>
      </c>
      <c r="G628" s="42">
        <v>0</v>
      </c>
      <c r="H628" s="42">
        <v>6641.4</v>
      </c>
      <c r="I628" s="42">
        <v>0</v>
      </c>
      <c r="J628" s="42">
        <v>2195.7800000000002</v>
      </c>
      <c r="K628" s="43">
        <v>26349.31</v>
      </c>
      <c r="L628" s="32">
        <v>28545.09</v>
      </c>
      <c r="M628" s="33"/>
      <c r="N628" s="30">
        <v>26349.31</v>
      </c>
      <c r="O628" s="30">
        <v>19707.91</v>
      </c>
      <c r="P628" s="236"/>
      <c r="Q628" s="30">
        <f>(N628+O628*0.18+J628)+(IF((P628-O628*0.18)&gt;0,(P628-O628*0.18),0))</f>
        <v>32092.513800000001</v>
      </c>
      <c r="R628" s="7"/>
      <c r="S628" s="7"/>
      <c r="T628" s="7"/>
      <c r="U628" s="7"/>
      <c r="V628" s="7"/>
      <c r="W628" s="7"/>
      <c r="X628" s="7"/>
      <c r="Y628" s="7"/>
      <c r="Z628" s="7"/>
    </row>
    <row r="629" spans="1:26" ht="9" customHeight="1" x14ac:dyDescent="0.2">
      <c r="A629" s="95"/>
      <c r="B629" s="95"/>
      <c r="C629" s="34" t="s">
        <v>37</v>
      </c>
      <c r="D629" s="35">
        <v>27</v>
      </c>
      <c r="E629" s="36">
        <v>38159835</v>
      </c>
      <c r="F629" s="36">
        <v>0</v>
      </c>
      <c r="G629" s="36">
        <v>0</v>
      </c>
      <c r="H629" s="36">
        <v>12859544</v>
      </c>
      <c r="I629" s="36">
        <v>0</v>
      </c>
      <c r="J629" s="37">
        <v>4251623</v>
      </c>
      <c r="K629" s="36">
        <v>51019378</v>
      </c>
      <c r="L629" s="38">
        <v>55271001</v>
      </c>
      <c r="M629" s="39"/>
      <c r="N629" s="36">
        <v>51019378</v>
      </c>
      <c r="O629" s="36">
        <v>38159835</v>
      </c>
      <c r="P629" s="235"/>
      <c r="Q629" s="36">
        <f>Q628*1936.27</f>
        <v>62139771.695526004</v>
      </c>
      <c r="R629" s="7"/>
      <c r="S629" s="7"/>
      <c r="T629" s="7"/>
      <c r="U629" s="7"/>
      <c r="V629" s="7"/>
      <c r="W629" s="7"/>
      <c r="X629" s="7"/>
      <c r="Y629" s="7"/>
      <c r="Z629" s="7"/>
    </row>
    <row r="630" spans="1:26" ht="12.75" customHeight="1" x14ac:dyDescent="0.2">
      <c r="A630" s="95"/>
      <c r="B630" s="95"/>
      <c r="C630" s="40" t="s">
        <v>36</v>
      </c>
      <c r="D630" s="41">
        <v>28</v>
      </c>
      <c r="E630" s="42">
        <v>21988.26</v>
      </c>
      <c r="F630" s="42">
        <v>0</v>
      </c>
      <c r="G630" s="42">
        <v>0</v>
      </c>
      <c r="H630" s="42">
        <v>6641.4</v>
      </c>
      <c r="I630" s="42">
        <v>0</v>
      </c>
      <c r="J630" s="42">
        <v>2385.81</v>
      </c>
      <c r="K630" s="43">
        <v>28629.66</v>
      </c>
      <c r="L630" s="32">
        <v>31015.47</v>
      </c>
      <c r="M630" s="33"/>
      <c r="N630" s="30">
        <v>28629.66</v>
      </c>
      <c r="O630" s="30">
        <v>21988.26</v>
      </c>
      <c r="P630" s="236"/>
      <c r="Q630" s="30">
        <f>(N630+O630*0.18+J630)+(IF((P630-O630*0.18)&gt;0,(P630-O630*0.18),0))</f>
        <v>34973.356800000001</v>
      </c>
      <c r="R630" s="7"/>
      <c r="S630" s="7"/>
      <c r="T630" s="7"/>
      <c r="U630" s="7"/>
      <c r="V630" s="7"/>
      <c r="W630" s="7"/>
      <c r="X630" s="7"/>
      <c r="Y630" s="7"/>
      <c r="Z630" s="7"/>
    </row>
    <row r="631" spans="1:26" ht="9" customHeight="1" x14ac:dyDescent="0.2">
      <c r="A631" s="95"/>
      <c r="B631" s="95"/>
      <c r="C631" s="34" t="s">
        <v>37</v>
      </c>
      <c r="D631" s="35">
        <v>34</v>
      </c>
      <c r="E631" s="36">
        <v>42575208</v>
      </c>
      <c r="F631" s="36">
        <v>0</v>
      </c>
      <c r="G631" s="36">
        <v>0</v>
      </c>
      <c r="H631" s="36">
        <v>12859544</v>
      </c>
      <c r="I631" s="36">
        <v>0</v>
      </c>
      <c r="J631" s="37">
        <v>4619572</v>
      </c>
      <c r="K631" s="36">
        <v>55434752</v>
      </c>
      <c r="L631" s="38">
        <v>60054324</v>
      </c>
      <c r="M631" s="39"/>
      <c r="N631" s="36">
        <v>55434752</v>
      </c>
      <c r="O631" s="36">
        <v>42575208</v>
      </c>
      <c r="P631" s="235"/>
      <c r="Q631" s="36">
        <f>Q630*1936.27</f>
        <v>67717861.571135998</v>
      </c>
      <c r="R631" s="7"/>
      <c r="S631" s="7"/>
      <c r="T631" s="7"/>
      <c r="U631" s="7"/>
      <c r="V631" s="7"/>
      <c r="W631" s="7"/>
      <c r="X631" s="7"/>
      <c r="Y631" s="7"/>
      <c r="Z631" s="7"/>
    </row>
    <row r="632" spans="1:26" ht="12.75" customHeight="1" x14ac:dyDescent="0.2">
      <c r="A632" s="95"/>
      <c r="B632" s="95"/>
      <c r="C632" s="40" t="s">
        <v>36</v>
      </c>
      <c r="D632" s="41">
        <v>35</v>
      </c>
      <c r="E632" s="42">
        <v>24206.44</v>
      </c>
      <c r="F632" s="42">
        <v>0</v>
      </c>
      <c r="G632" s="42">
        <v>0</v>
      </c>
      <c r="H632" s="42">
        <v>6641.4</v>
      </c>
      <c r="I632" s="42">
        <v>0</v>
      </c>
      <c r="J632" s="42">
        <v>2570.65</v>
      </c>
      <c r="K632" s="43">
        <v>30847.84</v>
      </c>
      <c r="L632" s="32">
        <v>33418.49</v>
      </c>
      <c r="M632" s="33"/>
      <c r="N632" s="30">
        <v>30847.84</v>
      </c>
      <c r="O632" s="30">
        <v>24206.44</v>
      </c>
      <c r="P632" s="236"/>
      <c r="Q632" s="30">
        <f>(N632+O632*0.18+J632)+(IF((P632-O632*0.18)&gt;0,(P632-O632*0.18),0))</f>
        <v>37775.6492</v>
      </c>
      <c r="R632" s="7"/>
      <c r="S632" s="7"/>
      <c r="T632" s="7"/>
      <c r="U632" s="7"/>
      <c r="V632" s="7"/>
      <c r="W632" s="7"/>
      <c r="X632" s="7"/>
      <c r="Y632" s="7"/>
      <c r="Z632" s="7"/>
    </row>
    <row r="633" spans="1:26" ht="9" customHeight="1" x14ac:dyDescent="0.2">
      <c r="A633" s="110"/>
      <c r="B633" s="110"/>
      <c r="C633" s="47" t="s">
        <v>37</v>
      </c>
      <c r="D633" s="48"/>
      <c r="E633" s="46">
        <v>46870204</v>
      </c>
      <c r="F633" s="46">
        <v>0</v>
      </c>
      <c r="G633" s="46">
        <v>0</v>
      </c>
      <c r="H633" s="46">
        <v>12859544</v>
      </c>
      <c r="I633" s="46">
        <v>0</v>
      </c>
      <c r="J633" s="49">
        <v>4977472</v>
      </c>
      <c r="K633" s="46">
        <v>59729747</v>
      </c>
      <c r="L633" s="38">
        <v>64707220</v>
      </c>
      <c r="M633" s="39"/>
      <c r="N633" s="36">
        <v>59729747</v>
      </c>
      <c r="O633" s="36">
        <v>46870204</v>
      </c>
      <c r="P633" s="235"/>
      <c r="Q633" s="36">
        <f>Q632*1936.27</f>
        <v>73143856.276483998</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235"/>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235"/>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235"/>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235"/>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235"/>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235"/>
      <c r="Q639" s="96"/>
      <c r="R639" s="7"/>
      <c r="S639" s="7"/>
      <c r="T639" s="7"/>
      <c r="U639" s="7"/>
      <c r="V639" s="7"/>
      <c r="W639" s="7"/>
      <c r="X639" s="7"/>
      <c r="Y639" s="7"/>
      <c r="Z639" s="7"/>
    </row>
    <row r="640" spans="1:26" ht="12.75" customHeight="1" x14ac:dyDescent="0.2">
      <c r="A640" s="98">
        <v>38384</v>
      </c>
      <c r="B640" s="98">
        <v>38717</v>
      </c>
      <c r="C640" s="28" t="s">
        <v>36</v>
      </c>
      <c r="D640" s="29">
        <v>0</v>
      </c>
      <c r="E640" s="30">
        <v>13589.19</v>
      </c>
      <c r="F640" s="30">
        <v>0</v>
      </c>
      <c r="G640" s="30">
        <v>0</v>
      </c>
      <c r="H640" s="30">
        <v>6641.4</v>
      </c>
      <c r="I640" s="30">
        <v>0</v>
      </c>
      <c r="J640" s="30">
        <v>1685.88</v>
      </c>
      <c r="K640" s="31">
        <v>20230.59</v>
      </c>
      <c r="L640" s="32">
        <v>21916.47</v>
      </c>
      <c r="M640" s="33"/>
      <c r="N640" s="30">
        <v>20230.59</v>
      </c>
      <c r="O640" s="30">
        <v>13589.19</v>
      </c>
      <c r="P640" s="236"/>
      <c r="Q640" s="30">
        <f>(N640+O640*0.18+J640)+(IF((P640-O640*0.18)&gt;0,(P640-O640*0.18),0))</f>
        <v>24362.5242</v>
      </c>
      <c r="R640" s="7"/>
      <c r="S640" s="7"/>
      <c r="T640" s="7"/>
      <c r="U640" s="7"/>
      <c r="V640" s="7"/>
      <c r="W640" s="7"/>
      <c r="X640" s="7"/>
      <c r="Y640" s="7"/>
      <c r="Z640" s="7"/>
    </row>
    <row r="641" spans="1:26" ht="9" customHeight="1" x14ac:dyDescent="0.2">
      <c r="A641" s="95"/>
      <c r="B641" s="95"/>
      <c r="C641" s="34" t="s">
        <v>37</v>
      </c>
      <c r="D641" s="35">
        <v>2</v>
      </c>
      <c r="E641" s="36">
        <v>26312341</v>
      </c>
      <c r="F641" s="36">
        <v>0</v>
      </c>
      <c r="G641" s="36">
        <v>0</v>
      </c>
      <c r="H641" s="36">
        <v>12859544</v>
      </c>
      <c r="I641" s="36">
        <v>0</v>
      </c>
      <c r="J641" s="37">
        <v>3264319</v>
      </c>
      <c r="K641" s="36">
        <v>39171884</v>
      </c>
      <c r="L641" s="38">
        <v>42436203</v>
      </c>
      <c r="M641" s="39"/>
      <c r="N641" s="36">
        <v>39171884</v>
      </c>
      <c r="O641" s="36">
        <v>26312341</v>
      </c>
      <c r="P641" s="235"/>
      <c r="Q641" s="36">
        <f>Q640*1936.27</f>
        <v>47172424.732734002</v>
      </c>
      <c r="R641" s="7"/>
      <c r="S641" s="7"/>
      <c r="T641" s="7"/>
      <c r="U641" s="7"/>
      <c r="V641" s="7"/>
      <c r="W641" s="7"/>
      <c r="X641" s="7"/>
      <c r="Y641" s="7"/>
      <c r="Z641" s="7"/>
    </row>
    <row r="642" spans="1:26" ht="12.75" customHeight="1" x14ac:dyDescent="0.2">
      <c r="A642" s="156">
        <v>38384</v>
      </c>
      <c r="B642" s="156">
        <v>38717</v>
      </c>
      <c r="C642" s="40" t="s">
        <v>36</v>
      </c>
      <c r="D642" s="41">
        <v>3</v>
      </c>
      <c r="E642" s="42">
        <v>14178.2</v>
      </c>
      <c r="F642" s="42">
        <v>0</v>
      </c>
      <c r="G642" s="42">
        <v>0</v>
      </c>
      <c r="H642" s="42">
        <v>6641.4</v>
      </c>
      <c r="I642" s="42">
        <v>0</v>
      </c>
      <c r="J642" s="42">
        <v>1734.97</v>
      </c>
      <c r="K642" s="43">
        <v>20819.599999999999</v>
      </c>
      <c r="L642" s="32">
        <v>22554.57</v>
      </c>
      <c r="M642" s="33"/>
      <c r="N642" s="30">
        <v>20819.599999999999</v>
      </c>
      <c r="O642" s="30">
        <v>14178.2</v>
      </c>
      <c r="P642" s="236"/>
      <c r="Q642" s="30">
        <f>(N642+O642*0.18+J642)+(IF((P642-O642*0.18)&gt;0,(P642-O642*0.18),0))</f>
        <v>25106.646000000001</v>
      </c>
      <c r="R642" s="7"/>
      <c r="S642" s="7"/>
      <c r="T642" s="7"/>
      <c r="U642" s="7"/>
      <c r="V642" s="7"/>
      <c r="W642" s="7"/>
      <c r="X642" s="7"/>
      <c r="Y642" s="7"/>
      <c r="Z642" s="7"/>
    </row>
    <row r="643" spans="1:26" ht="9" customHeight="1" x14ac:dyDescent="0.2">
      <c r="A643" s="95"/>
      <c r="B643" s="95"/>
      <c r="C643" s="34" t="s">
        <v>37</v>
      </c>
      <c r="D643" s="35">
        <v>8</v>
      </c>
      <c r="E643" s="36">
        <v>27452823</v>
      </c>
      <c r="F643" s="36">
        <v>0</v>
      </c>
      <c r="G643" s="36">
        <v>0</v>
      </c>
      <c r="H643" s="36">
        <v>12859544</v>
      </c>
      <c r="I643" s="36">
        <v>0</v>
      </c>
      <c r="J643" s="37">
        <v>3359370</v>
      </c>
      <c r="K643" s="36">
        <v>40312367</v>
      </c>
      <c r="L643" s="38">
        <v>43671737</v>
      </c>
      <c r="M643" s="39"/>
      <c r="N643" s="36">
        <v>40312367</v>
      </c>
      <c r="O643" s="36">
        <v>27452823</v>
      </c>
      <c r="P643" s="235"/>
      <c r="Q643" s="36">
        <f>Q642*1936.27</f>
        <v>48613245.45042</v>
      </c>
      <c r="R643" s="7"/>
      <c r="S643" s="7"/>
      <c r="T643" s="7"/>
      <c r="U643" s="7"/>
      <c r="V643" s="7"/>
      <c r="W643" s="7"/>
      <c r="X643" s="7"/>
      <c r="Y643" s="7"/>
      <c r="Z643" s="7"/>
    </row>
    <row r="644" spans="1:26" ht="12.75" customHeight="1" x14ac:dyDescent="0.2">
      <c r="A644" s="95"/>
      <c r="B644" s="95"/>
      <c r="C644" s="40" t="s">
        <v>36</v>
      </c>
      <c r="D644" s="41">
        <v>9</v>
      </c>
      <c r="E644" s="42">
        <v>16003.32</v>
      </c>
      <c r="F644" s="42">
        <v>0</v>
      </c>
      <c r="G644" s="42">
        <v>0</v>
      </c>
      <c r="H644" s="42">
        <v>6641.4</v>
      </c>
      <c r="I644" s="42">
        <v>0</v>
      </c>
      <c r="J644" s="42">
        <v>1887.06</v>
      </c>
      <c r="K644" s="43">
        <v>22644.720000000001</v>
      </c>
      <c r="L644" s="32">
        <v>24531.78</v>
      </c>
      <c r="M644" s="33"/>
      <c r="N644" s="30">
        <v>22644.720000000001</v>
      </c>
      <c r="O644" s="30">
        <v>16003.32</v>
      </c>
      <c r="P644" s="236"/>
      <c r="Q644" s="30">
        <f>(N644+O644*0.18+J644)+(IF((P644-O644*0.18)&gt;0,(P644-O644*0.18),0))</f>
        <v>27412.377600000003</v>
      </c>
      <c r="R644" s="7"/>
      <c r="S644" s="7"/>
      <c r="T644" s="7"/>
      <c r="U644" s="7"/>
      <c r="V644" s="7"/>
      <c r="W644" s="7"/>
      <c r="X644" s="7"/>
      <c r="Y644" s="7"/>
      <c r="Z644" s="7"/>
    </row>
    <row r="645" spans="1:26" ht="9" customHeight="1" x14ac:dyDescent="0.2">
      <c r="A645" s="95"/>
      <c r="B645" s="95"/>
      <c r="C645" s="34" t="s">
        <v>37</v>
      </c>
      <c r="D645" s="35">
        <v>14</v>
      </c>
      <c r="E645" s="36">
        <v>30986748</v>
      </c>
      <c r="F645" s="36">
        <v>0</v>
      </c>
      <c r="G645" s="36">
        <v>0</v>
      </c>
      <c r="H645" s="36">
        <v>12859544</v>
      </c>
      <c r="I645" s="36">
        <v>0</v>
      </c>
      <c r="J645" s="37">
        <v>3653858</v>
      </c>
      <c r="K645" s="36">
        <v>43846292</v>
      </c>
      <c r="L645" s="38">
        <v>47500150</v>
      </c>
      <c r="M645" s="39"/>
      <c r="N645" s="36">
        <v>43846292</v>
      </c>
      <c r="O645" s="36">
        <v>30986748</v>
      </c>
      <c r="P645" s="235"/>
      <c r="Q645" s="36">
        <f>Q644*1936.27</f>
        <v>53077764.375552006</v>
      </c>
      <c r="R645" s="7"/>
      <c r="S645" s="7"/>
      <c r="T645" s="7"/>
      <c r="U645" s="7"/>
      <c r="V645" s="7"/>
      <c r="W645" s="7"/>
      <c r="X645" s="7"/>
      <c r="Y645" s="7"/>
      <c r="Z645" s="7"/>
    </row>
    <row r="646" spans="1:26" ht="12.75" customHeight="1" x14ac:dyDescent="0.2">
      <c r="A646" s="95"/>
      <c r="B646" s="95"/>
      <c r="C646" s="40" t="s">
        <v>36</v>
      </c>
      <c r="D646" s="41">
        <v>15</v>
      </c>
      <c r="E646" s="42">
        <v>18133.46</v>
      </c>
      <c r="F646" s="42">
        <v>0</v>
      </c>
      <c r="G646" s="42">
        <v>0</v>
      </c>
      <c r="H646" s="42">
        <v>6641.4</v>
      </c>
      <c r="I646" s="42">
        <v>0</v>
      </c>
      <c r="J646" s="42">
        <v>2064.5700000000002</v>
      </c>
      <c r="K646" s="43">
        <v>24774.86</v>
      </c>
      <c r="L646" s="32">
        <v>26839.43</v>
      </c>
      <c r="M646" s="33"/>
      <c r="N646" s="30">
        <v>24774.86</v>
      </c>
      <c r="O646" s="30">
        <v>18133.46</v>
      </c>
      <c r="P646" s="236"/>
      <c r="Q646" s="30">
        <f>(N646+O646*0.18+J646)+(IF((P646-O646*0.18)&gt;0,(P646-O646*0.18),0))</f>
        <v>30103.452799999999</v>
      </c>
      <c r="R646" s="7"/>
      <c r="S646" s="7"/>
      <c r="T646" s="7"/>
      <c r="U646" s="7"/>
      <c r="V646" s="7"/>
      <c r="W646" s="7"/>
      <c r="X646" s="7"/>
      <c r="Y646" s="7"/>
      <c r="Z646" s="7"/>
    </row>
    <row r="647" spans="1:26" ht="9" customHeight="1" x14ac:dyDescent="0.2">
      <c r="A647" s="95"/>
      <c r="B647" s="95"/>
      <c r="C647" s="34" t="s">
        <v>37</v>
      </c>
      <c r="D647" s="35">
        <v>20</v>
      </c>
      <c r="E647" s="36">
        <v>35111275</v>
      </c>
      <c r="F647" s="36">
        <v>0</v>
      </c>
      <c r="G647" s="36">
        <v>0</v>
      </c>
      <c r="H647" s="36">
        <v>12859544</v>
      </c>
      <c r="I647" s="36">
        <v>0</v>
      </c>
      <c r="J647" s="37">
        <v>3997565</v>
      </c>
      <c r="K647" s="36">
        <v>47970818</v>
      </c>
      <c r="L647" s="38">
        <v>51968383</v>
      </c>
      <c r="M647" s="39"/>
      <c r="N647" s="36">
        <v>47970818</v>
      </c>
      <c r="O647" s="36">
        <v>35111275</v>
      </c>
      <c r="P647" s="235"/>
      <c r="Q647" s="36">
        <f>Q646*1936.27</f>
        <v>58288412.553055994</v>
      </c>
      <c r="R647" s="7"/>
      <c r="S647" s="7"/>
      <c r="T647" s="7"/>
      <c r="U647" s="7"/>
      <c r="V647" s="7"/>
      <c r="W647" s="7"/>
      <c r="X647" s="7"/>
      <c r="Y647" s="7"/>
      <c r="Z647" s="7"/>
    </row>
    <row r="648" spans="1:26" ht="12.75" customHeight="1" x14ac:dyDescent="0.2">
      <c r="A648" s="95"/>
      <c r="B648" s="95"/>
      <c r="C648" s="40" t="s">
        <v>36</v>
      </c>
      <c r="D648" s="41">
        <v>21</v>
      </c>
      <c r="E648" s="42">
        <v>20412.07</v>
      </c>
      <c r="F648" s="42">
        <v>0</v>
      </c>
      <c r="G648" s="42">
        <v>0</v>
      </c>
      <c r="H648" s="42">
        <v>6641.4</v>
      </c>
      <c r="I648" s="42">
        <v>0</v>
      </c>
      <c r="J648" s="42">
        <v>2254.46</v>
      </c>
      <c r="K648" s="43">
        <v>27053.47</v>
      </c>
      <c r="L648" s="32">
        <v>29307.93</v>
      </c>
      <c r="M648" s="33"/>
      <c r="N648" s="30">
        <v>27053.47</v>
      </c>
      <c r="O648" s="30">
        <v>20412.07</v>
      </c>
      <c r="P648" s="236"/>
      <c r="Q648" s="30">
        <f>(N648+O648*0.18+J648)+(IF((P648-O648*0.18)&gt;0,(P648-O648*0.18),0))</f>
        <v>32982.102599999998</v>
      </c>
      <c r="R648" s="7"/>
      <c r="S648" s="7"/>
      <c r="T648" s="7"/>
      <c r="U648" s="7"/>
      <c r="V648" s="7"/>
      <c r="W648" s="7"/>
      <c r="X648" s="7"/>
      <c r="Y648" s="7"/>
      <c r="Z648" s="7"/>
    </row>
    <row r="649" spans="1:26" ht="9" customHeight="1" x14ac:dyDescent="0.2">
      <c r="A649" s="95"/>
      <c r="B649" s="95"/>
      <c r="C649" s="34" t="s">
        <v>37</v>
      </c>
      <c r="D649" s="35">
        <v>27</v>
      </c>
      <c r="E649" s="36">
        <v>39523279</v>
      </c>
      <c r="F649" s="36">
        <v>0</v>
      </c>
      <c r="G649" s="36">
        <v>0</v>
      </c>
      <c r="H649" s="36">
        <v>12859544</v>
      </c>
      <c r="I649" s="36">
        <v>0</v>
      </c>
      <c r="J649" s="37">
        <v>4365243</v>
      </c>
      <c r="K649" s="36">
        <v>52382822</v>
      </c>
      <c r="L649" s="38">
        <v>56748066</v>
      </c>
      <c r="M649" s="39"/>
      <c r="N649" s="36">
        <v>52382822</v>
      </c>
      <c r="O649" s="36">
        <v>39523279</v>
      </c>
      <c r="P649" s="235"/>
      <c r="Q649" s="36">
        <f>Q648*1936.27</f>
        <v>63862255.801301993</v>
      </c>
      <c r="R649" s="7"/>
      <c r="S649" s="7"/>
      <c r="T649" s="7"/>
      <c r="U649" s="7"/>
      <c r="V649" s="7"/>
      <c r="W649" s="7"/>
      <c r="X649" s="7"/>
      <c r="Y649" s="7"/>
      <c r="Z649" s="7"/>
    </row>
    <row r="650" spans="1:26" ht="12.75" customHeight="1" x14ac:dyDescent="0.2">
      <c r="A650" s="95"/>
      <c r="B650" s="95"/>
      <c r="C650" s="40" t="s">
        <v>36</v>
      </c>
      <c r="D650" s="41">
        <v>28</v>
      </c>
      <c r="E650" s="42">
        <v>22753.38</v>
      </c>
      <c r="F650" s="42">
        <v>0</v>
      </c>
      <c r="G650" s="42">
        <v>0</v>
      </c>
      <c r="H650" s="42">
        <v>6641.4</v>
      </c>
      <c r="I650" s="42">
        <v>0</v>
      </c>
      <c r="J650" s="42">
        <v>2449.5700000000002</v>
      </c>
      <c r="K650" s="43">
        <v>29394.78</v>
      </c>
      <c r="L650" s="32">
        <v>31844.35</v>
      </c>
      <c r="M650" s="33"/>
      <c r="N650" s="30">
        <v>29394.78</v>
      </c>
      <c r="O650" s="30">
        <v>22753.38</v>
      </c>
      <c r="P650" s="236"/>
      <c r="Q650" s="30">
        <f>(N650+O650*0.18+J650)+(IF((P650-O650*0.18)&gt;0,(P650-O650*0.18),0))</f>
        <v>35939.958399999996</v>
      </c>
      <c r="R650" s="7"/>
      <c r="S650" s="7"/>
      <c r="T650" s="7"/>
      <c r="U650" s="7"/>
      <c r="V650" s="7"/>
      <c r="W650" s="7"/>
      <c r="X650" s="7"/>
      <c r="Y650" s="7"/>
      <c r="Z650" s="7"/>
    </row>
    <row r="651" spans="1:26" ht="9" customHeight="1" x14ac:dyDescent="0.2">
      <c r="A651" s="95"/>
      <c r="B651" s="95"/>
      <c r="C651" s="34" t="s">
        <v>37</v>
      </c>
      <c r="D651" s="35">
        <v>34</v>
      </c>
      <c r="E651" s="36">
        <v>44056687</v>
      </c>
      <c r="F651" s="36">
        <v>0</v>
      </c>
      <c r="G651" s="36">
        <v>0</v>
      </c>
      <c r="H651" s="36">
        <v>12859544</v>
      </c>
      <c r="I651" s="36">
        <v>0</v>
      </c>
      <c r="J651" s="37">
        <v>4743029</v>
      </c>
      <c r="K651" s="36">
        <v>56916231</v>
      </c>
      <c r="L651" s="38">
        <v>61659260</v>
      </c>
      <c r="M651" s="39"/>
      <c r="N651" s="36">
        <v>56916231</v>
      </c>
      <c r="O651" s="36">
        <v>44056687</v>
      </c>
      <c r="P651" s="235"/>
      <c r="Q651" s="36">
        <f>Q650*1936.27</f>
        <v>69589463.251167998</v>
      </c>
      <c r="R651" s="7"/>
      <c r="S651" s="7"/>
      <c r="T651" s="7"/>
      <c r="U651" s="7"/>
      <c r="V651" s="7"/>
      <c r="W651" s="7"/>
      <c r="X651" s="7"/>
      <c r="Y651" s="7"/>
      <c r="Z651" s="7"/>
    </row>
    <row r="652" spans="1:26" ht="12.75" customHeight="1" x14ac:dyDescent="0.2">
      <c r="A652" s="95"/>
      <c r="B652" s="95"/>
      <c r="C652" s="40" t="s">
        <v>36</v>
      </c>
      <c r="D652" s="41">
        <v>35</v>
      </c>
      <c r="E652" s="42">
        <v>25030.84</v>
      </c>
      <c r="F652" s="42">
        <v>0</v>
      </c>
      <c r="G652" s="42">
        <v>0</v>
      </c>
      <c r="H652" s="42">
        <v>6641.4</v>
      </c>
      <c r="I652" s="42">
        <v>0</v>
      </c>
      <c r="J652" s="42">
        <v>2639.35</v>
      </c>
      <c r="K652" s="43">
        <v>31672.240000000002</v>
      </c>
      <c r="L652" s="32">
        <v>34311.589999999997</v>
      </c>
      <c r="M652" s="33"/>
      <c r="N652" s="30">
        <v>31672.240000000002</v>
      </c>
      <c r="O652" s="30">
        <v>25030.84</v>
      </c>
      <c r="P652" s="236"/>
      <c r="Q652" s="30">
        <f>(N652+O652*0.18+J652)+(IF((P652-O652*0.18)&gt;0,(P652-O652*0.18),0))</f>
        <v>38817.141199999998</v>
      </c>
      <c r="R652" s="7"/>
      <c r="S652" s="7"/>
      <c r="T652" s="7"/>
      <c r="U652" s="7"/>
      <c r="V652" s="7"/>
      <c r="W652" s="7"/>
      <c r="X652" s="7"/>
      <c r="Y652" s="7"/>
      <c r="Z652" s="7"/>
    </row>
    <row r="653" spans="1:26" ht="9" customHeight="1" x14ac:dyDescent="0.2">
      <c r="A653" s="110"/>
      <c r="B653" s="110"/>
      <c r="C653" s="47" t="s">
        <v>37</v>
      </c>
      <c r="D653" s="48"/>
      <c r="E653" s="46">
        <v>48466465</v>
      </c>
      <c r="F653" s="46">
        <v>0</v>
      </c>
      <c r="G653" s="46">
        <v>0</v>
      </c>
      <c r="H653" s="46">
        <v>12859544</v>
      </c>
      <c r="I653" s="46">
        <v>0</v>
      </c>
      <c r="J653" s="49">
        <v>5110494</v>
      </c>
      <c r="K653" s="46">
        <v>61326008</v>
      </c>
      <c r="L653" s="38">
        <v>66436502</v>
      </c>
      <c r="M653" s="39"/>
      <c r="N653" s="36">
        <v>61326008</v>
      </c>
      <c r="O653" s="36">
        <v>48466465</v>
      </c>
      <c r="P653" s="235"/>
      <c r="Q653" s="36">
        <f>Q652*1936.27</f>
        <v>75160465.991323993</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235"/>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235"/>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235"/>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235"/>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235"/>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235"/>
      <c r="Q659" s="96"/>
      <c r="R659" s="7"/>
      <c r="S659" s="7"/>
      <c r="T659" s="7"/>
      <c r="U659" s="7"/>
      <c r="V659" s="7"/>
      <c r="W659" s="7"/>
      <c r="X659" s="7"/>
      <c r="Y659" s="7"/>
      <c r="Z659" s="7"/>
    </row>
    <row r="660" spans="1:26" ht="12.75" customHeight="1" x14ac:dyDescent="0.2">
      <c r="A660" s="98">
        <v>38718</v>
      </c>
      <c r="B660" s="98">
        <v>39082</v>
      </c>
      <c r="C660" s="28" t="s">
        <v>36</v>
      </c>
      <c r="D660" s="29">
        <v>0</v>
      </c>
      <c r="E660" s="30">
        <v>13682.07</v>
      </c>
      <c r="F660" s="30">
        <v>0</v>
      </c>
      <c r="G660" s="30">
        <v>0</v>
      </c>
      <c r="H660" s="30">
        <v>6641.4</v>
      </c>
      <c r="I660" s="30">
        <v>0</v>
      </c>
      <c r="J660" s="30">
        <v>1693.62</v>
      </c>
      <c r="K660" s="31">
        <v>20323.47</v>
      </c>
      <c r="L660" s="32">
        <v>22017.09</v>
      </c>
      <c r="M660" s="33"/>
      <c r="N660" s="30">
        <v>20323.47</v>
      </c>
      <c r="O660" s="30">
        <v>13682.07</v>
      </c>
      <c r="P660" s="236"/>
      <c r="Q660" s="30">
        <f>(N660+O660*0.18+J660)+(IF((P660-O660*0.18)&gt;0,(P660-O660*0.18),0))</f>
        <v>24479.8626</v>
      </c>
      <c r="R660" s="7"/>
      <c r="S660" s="7"/>
      <c r="T660" s="7"/>
      <c r="U660" s="7"/>
      <c r="V660" s="7"/>
      <c r="W660" s="7"/>
      <c r="X660" s="7"/>
      <c r="Y660" s="7"/>
      <c r="Z660" s="7"/>
    </row>
    <row r="661" spans="1:26" ht="9" customHeight="1" x14ac:dyDescent="0.2">
      <c r="A661" s="95"/>
      <c r="B661" s="95"/>
      <c r="C661" s="34" t="s">
        <v>37</v>
      </c>
      <c r="D661" s="35">
        <v>2</v>
      </c>
      <c r="E661" s="36">
        <v>26492182</v>
      </c>
      <c r="F661" s="36">
        <v>0</v>
      </c>
      <c r="G661" s="36">
        <v>0</v>
      </c>
      <c r="H661" s="36">
        <v>12859544</v>
      </c>
      <c r="I661" s="36">
        <v>0</v>
      </c>
      <c r="J661" s="37">
        <v>3279306</v>
      </c>
      <c r="K661" s="36">
        <v>39351725</v>
      </c>
      <c r="L661" s="50">
        <v>42631031</v>
      </c>
      <c r="M661" s="39"/>
      <c r="N661" s="36">
        <v>39351725</v>
      </c>
      <c r="O661" s="36">
        <v>26492182</v>
      </c>
      <c r="P661" s="235"/>
      <c r="Q661" s="36">
        <f>Q660*1936.27</f>
        <v>47399623.556501999</v>
      </c>
      <c r="R661" s="7"/>
      <c r="S661" s="7"/>
      <c r="T661" s="7"/>
      <c r="U661" s="7"/>
      <c r="V661" s="7"/>
      <c r="W661" s="7"/>
      <c r="X661" s="7"/>
      <c r="Y661" s="7"/>
      <c r="Z661" s="7"/>
    </row>
    <row r="662" spans="1:26" ht="12.75" customHeight="1" x14ac:dyDescent="0.2">
      <c r="A662" s="156">
        <v>38718</v>
      </c>
      <c r="B662" s="156">
        <v>39082</v>
      </c>
      <c r="C662" s="40" t="s">
        <v>36</v>
      </c>
      <c r="D662" s="41">
        <v>3</v>
      </c>
      <c r="E662" s="30">
        <v>14273.72</v>
      </c>
      <c r="F662" s="30">
        <v>0</v>
      </c>
      <c r="G662" s="30">
        <v>0</v>
      </c>
      <c r="H662" s="30">
        <v>6641.4</v>
      </c>
      <c r="I662" s="30">
        <v>0</v>
      </c>
      <c r="J662" s="42">
        <v>1742.93</v>
      </c>
      <c r="K662" s="43">
        <v>20915.12</v>
      </c>
      <c r="L662" s="51">
        <v>22658.05</v>
      </c>
      <c r="M662" s="33"/>
      <c r="N662" s="30">
        <v>20915.12</v>
      </c>
      <c r="O662" s="30">
        <v>14273.72</v>
      </c>
      <c r="P662" s="236"/>
      <c r="Q662" s="30">
        <f>(N662+O662*0.18+J662)+(IF((P662-O662*0.18)&gt;0,(P662-O662*0.18),0))</f>
        <v>25227.319599999999</v>
      </c>
      <c r="R662" s="7"/>
      <c r="S662" s="7"/>
      <c r="T662" s="7"/>
      <c r="U662" s="7"/>
      <c r="V662" s="7"/>
      <c r="W662" s="7"/>
      <c r="X662" s="7"/>
      <c r="Y662" s="7"/>
      <c r="Z662" s="7"/>
    </row>
    <row r="663" spans="1:26" ht="9" customHeight="1" x14ac:dyDescent="0.2">
      <c r="A663" s="95"/>
      <c r="B663" s="95"/>
      <c r="C663" s="34" t="s">
        <v>37</v>
      </c>
      <c r="D663" s="35">
        <v>8</v>
      </c>
      <c r="E663" s="36">
        <v>27637776</v>
      </c>
      <c r="F663" s="36">
        <v>0</v>
      </c>
      <c r="G663" s="36">
        <v>0</v>
      </c>
      <c r="H663" s="36">
        <v>12859544</v>
      </c>
      <c r="I663" s="36">
        <v>0</v>
      </c>
      <c r="J663" s="37">
        <v>3374783</v>
      </c>
      <c r="K663" s="36">
        <v>40497319</v>
      </c>
      <c r="L663" s="50">
        <v>43872102</v>
      </c>
      <c r="M663" s="39"/>
      <c r="N663" s="36">
        <v>40497319</v>
      </c>
      <c r="O663" s="36">
        <v>27637776</v>
      </c>
      <c r="P663" s="235"/>
      <c r="Q663" s="36">
        <f>Q662*1936.27</f>
        <v>48846902.121891998</v>
      </c>
      <c r="R663" s="7"/>
      <c r="S663" s="7"/>
      <c r="T663" s="7"/>
      <c r="U663" s="7"/>
      <c r="V663" s="7"/>
      <c r="W663" s="7"/>
      <c r="X663" s="7"/>
      <c r="Y663" s="7"/>
      <c r="Z663" s="7"/>
    </row>
    <row r="664" spans="1:26" ht="12.75" customHeight="1" x14ac:dyDescent="0.2">
      <c r="A664" s="95"/>
      <c r="B664" s="95"/>
      <c r="C664" s="40" t="s">
        <v>36</v>
      </c>
      <c r="D664" s="41">
        <v>9</v>
      </c>
      <c r="E664" s="30">
        <v>16107.24</v>
      </c>
      <c r="F664" s="30">
        <v>0</v>
      </c>
      <c r="G664" s="30">
        <v>0</v>
      </c>
      <c r="H664" s="30">
        <v>6641.4</v>
      </c>
      <c r="I664" s="30">
        <v>0</v>
      </c>
      <c r="J664" s="42">
        <v>1895.72</v>
      </c>
      <c r="K664" s="43">
        <v>22748.639999999999</v>
      </c>
      <c r="L664" s="51">
        <v>24644.36</v>
      </c>
      <c r="M664" s="33"/>
      <c r="N664" s="30">
        <v>22748.639999999999</v>
      </c>
      <c r="O664" s="30">
        <v>16107.24</v>
      </c>
      <c r="P664" s="236"/>
      <c r="Q664" s="30">
        <f>(N664+O664*0.18+J664)+(IF((P664-O664*0.18)&gt;0,(P664-O664*0.18),0))</f>
        <v>27543.663199999999</v>
      </c>
      <c r="R664" s="7"/>
      <c r="S664" s="7"/>
      <c r="T664" s="7"/>
      <c r="U664" s="7"/>
      <c r="V664" s="7"/>
      <c r="W664" s="7"/>
      <c r="X664" s="7"/>
      <c r="Y664" s="7"/>
      <c r="Z664" s="7"/>
    </row>
    <row r="665" spans="1:26" ht="9" customHeight="1" x14ac:dyDescent="0.2">
      <c r="A665" s="95"/>
      <c r="B665" s="95"/>
      <c r="C665" s="34" t="s">
        <v>37</v>
      </c>
      <c r="D665" s="35">
        <v>14</v>
      </c>
      <c r="E665" s="36">
        <v>31187966</v>
      </c>
      <c r="F665" s="36">
        <v>0</v>
      </c>
      <c r="G665" s="36">
        <v>0</v>
      </c>
      <c r="H665" s="36">
        <v>12859544</v>
      </c>
      <c r="I665" s="36">
        <v>0</v>
      </c>
      <c r="J665" s="37">
        <v>3670626</v>
      </c>
      <c r="K665" s="36">
        <v>44047509</v>
      </c>
      <c r="L665" s="50">
        <v>47718135</v>
      </c>
      <c r="M665" s="39"/>
      <c r="N665" s="36">
        <v>44047509</v>
      </c>
      <c r="O665" s="36">
        <v>31187966</v>
      </c>
      <c r="P665" s="235"/>
      <c r="Q665" s="36">
        <f>Q664*1936.27</f>
        <v>53331968.744263999</v>
      </c>
      <c r="R665" s="7"/>
      <c r="S665" s="7"/>
      <c r="T665" s="7"/>
      <c r="U665" s="7"/>
      <c r="V665" s="7"/>
      <c r="W665" s="7"/>
      <c r="X665" s="7"/>
      <c r="Y665" s="7"/>
      <c r="Z665" s="7"/>
    </row>
    <row r="666" spans="1:26" ht="12.75" customHeight="1" x14ac:dyDescent="0.2">
      <c r="A666" s="95"/>
      <c r="B666" s="95"/>
      <c r="C666" s="40" t="s">
        <v>36</v>
      </c>
      <c r="D666" s="41">
        <v>15</v>
      </c>
      <c r="E666" s="30">
        <v>18247.099999999999</v>
      </c>
      <c r="F666" s="30">
        <v>0</v>
      </c>
      <c r="G666" s="30">
        <v>0</v>
      </c>
      <c r="H666" s="30">
        <v>6641.4</v>
      </c>
      <c r="I666" s="30">
        <v>0</v>
      </c>
      <c r="J666" s="42">
        <v>2074.04</v>
      </c>
      <c r="K666" s="43">
        <v>24888.5</v>
      </c>
      <c r="L666" s="51">
        <v>26962.54</v>
      </c>
      <c r="M666" s="33"/>
      <c r="N666" s="30">
        <v>24888.5</v>
      </c>
      <c r="O666" s="30">
        <v>18247.099999999999</v>
      </c>
      <c r="P666" s="236"/>
      <c r="Q666" s="30">
        <f>(N666+O666*0.18+J666)+(IF((P666-O666*0.18)&gt;0,(P666-O666*0.18),0))</f>
        <v>30247.018</v>
      </c>
      <c r="R666" s="7"/>
      <c r="S666" s="7"/>
      <c r="T666" s="7"/>
      <c r="U666" s="7"/>
      <c r="V666" s="7"/>
      <c r="W666" s="7"/>
      <c r="X666" s="7"/>
      <c r="Y666" s="7"/>
      <c r="Z666" s="7"/>
    </row>
    <row r="667" spans="1:26" ht="9" customHeight="1" x14ac:dyDescent="0.2">
      <c r="A667" s="95"/>
      <c r="B667" s="95"/>
      <c r="C667" s="34" t="s">
        <v>37</v>
      </c>
      <c r="D667" s="35">
        <v>20</v>
      </c>
      <c r="E667" s="36">
        <v>35331312</v>
      </c>
      <c r="F667" s="36">
        <v>0</v>
      </c>
      <c r="G667" s="36">
        <v>0</v>
      </c>
      <c r="H667" s="36">
        <v>12859544</v>
      </c>
      <c r="I667" s="36">
        <v>0</v>
      </c>
      <c r="J667" s="37">
        <v>4015901</v>
      </c>
      <c r="K667" s="36">
        <v>48190856</v>
      </c>
      <c r="L667" s="50">
        <v>52206757</v>
      </c>
      <c r="M667" s="39"/>
      <c r="N667" s="36">
        <v>48190856</v>
      </c>
      <c r="O667" s="36">
        <v>35331312</v>
      </c>
      <c r="P667" s="235"/>
      <c r="Q667" s="36">
        <f>Q666*1936.27</f>
        <v>58566393.542860001</v>
      </c>
      <c r="R667" s="7"/>
      <c r="S667" s="7"/>
      <c r="T667" s="7"/>
      <c r="U667" s="7"/>
      <c r="V667" s="7"/>
      <c r="W667" s="7"/>
      <c r="X667" s="7"/>
      <c r="Y667" s="7"/>
      <c r="Z667" s="7"/>
    </row>
    <row r="668" spans="1:26" ht="12.75" customHeight="1" x14ac:dyDescent="0.2">
      <c r="A668" s="95"/>
      <c r="B668" s="95"/>
      <c r="C668" s="40" t="s">
        <v>36</v>
      </c>
      <c r="D668" s="41">
        <v>21</v>
      </c>
      <c r="E668" s="30">
        <v>20536.27</v>
      </c>
      <c r="F668" s="30">
        <v>0</v>
      </c>
      <c r="G668" s="30">
        <v>0</v>
      </c>
      <c r="H668" s="30">
        <v>6641.4</v>
      </c>
      <c r="I668" s="30">
        <v>0</v>
      </c>
      <c r="J668" s="42">
        <v>2264.81</v>
      </c>
      <c r="K668" s="43">
        <v>27177.67</v>
      </c>
      <c r="L668" s="51">
        <v>29442.48</v>
      </c>
      <c r="M668" s="33"/>
      <c r="N668" s="30">
        <v>27177.67</v>
      </c>
      <c r="O668" s="30">
        <v>20536.27</v>
      </c>
      <c r="P668" s="236"/>
      <c r="Q668" s="30">
        <f>(N668+O668*0.18+J668)+(IF((P668-O668*0.18)&gt;0,(P668-O668*0.18),0))</f>
        <v>33139.008600000001</v>
      </c>
      <c r="R668" s="7"/>
      <c r="S668" s="7"/>
      <c r="T668" s="7"/>
      <c r="U668" s="7"/>
      <c r="V668" s="7"/>
      <c r="W668" s="7"/>
      <c r="X668" s="7"/>
      <c r="Y668" s="7"/>
      <c r="Z668" s="7"/>
    </row>
    <row r="669" spans="1:26" ht="9" customHeight="1" x14ac:dyDescent="0.2">
      <c r="A669" s="95"/>
      <c r="B669" s="95"/>
      <c r="C669" s="34" t="s">
        <v>37</v>
      </c>
      <c r="D669" s="35">
        <v>27</v>
      </c>
      <c r="E669" s="36">
        <v>39763764</v>
      </c>
      <c r="F669" s="36">
        <v>0</v>
      </c>
      <c r="G669" s="36">
        <v>0</v>
      </c>
      <c r="H669" s="36">
        <v>12859544</v>
      </c>
      <c r="I669" s="36">
        <v>0</v>
      </c>
      <c r="J669" s="37">
        <v>4385284</v>
      </c>
      <c r="K669" s="36">
        <v>52623307</v>
      </c>
      <c r="L669" s="50">
        <v>57008591</v>
      </c>
      <c r="M669" s="39"/>
      <c r="N669" s="36">
        <v>52623307</v>
      </c>
      <c r="O669" s="36">
        <v>39763764</v>
      </c>
      <c r="P669" s="235"/>
      <c r="Q669" s="36">
        <f>Q668*1936.27</f>
        <v>64166068.181922004</v>
      </c>
      <c r="R669" s="7"/>
      <c r="S669" s="7"/>
      <c r="T669" s="7"/>
      <c r="U669" s="7"/>
      <c r="V669" s="7"/>
      <c r="W669" s="7"/>
      <c r="X669" s="7"/>
      <c r="Y669" s="7"/>
      <c r="Z669" s="7"/>
    </row>
    <row r="670" spans="1:26" ht="12.75" customHeight="1" x14ac:dyDescent="0.2">
      <c r="A670" s="95"/>
      <c r="B670" s="95"/>
      <c r="C670" s="40" t="s">
        <v>36</v>
      </c>
      <c r="D670" s="41">
        <v>28</v>
      </c>
      <c r="E670" s="30">
        <v>22888.26</v>
      </c>
      <c r="F670" s="30">
        <v>0</v>
      </c>
      <c r="G670" s="30">
        <v>0</v>
      </c>
      <c r="H670" s="30">
        <v>6641.4</v>
      </c>
      <c r="I670" s="30">
        <v>0</v>
      </c>
      <c r="J670" s="42">
        <v>2460.81</v>
      </c>
      <c r="K670" s="43">
        <v>29529.66</v>
      </c>
      <c r="L670" s="51">
        <v>31990.47</v>
      </c>
      <c r="M670" s="33"/>
      <c r="N670" s="30">
        <v>29529.66</v>
      </c>
      <c r="O670" s="30">
        <v>22888.26</v>
      </c>
      <c r="P670" s="236"/>
      <c r="Q670" s="30">
        <f>(N670+O670*0.18+J670)+(IF((P670-O670*0.18)&gt;0,(P670-O670*0.18),0))</f>
        <v>36110.356799999994</v>
      </c>
      <c r="R670" s="7"/>
      <c r="S670" s="7"/>
      <c r="T670" s="7"/>
      <c r="U670" s="7"/>
      <c r="V670" s="7"/>
      <c r="W670" s="7"/>
      <c r="X670" s="7"/>
      <c r="Y670" s="7"/>
      <c r="Z670" s="7"/>
    </row>
    <row r="671" spans="1:26" ht="9" customHeight="1" x14ac:dyDescent="0.2">
      <c r="A671" s="95"/>
      <c r="B671" s="95"/>
      <c r="C671" s="34" t="s">
        <v>37</v>
      </c>
      <c r="D671" s="35">
        <v>34</v>
      </c>
      <c r="E671" s="36">
        <v>44317851</v>
      </c>
      <c r="F671" s="36">
        <v>0</v>
      </c>
      <c r="G671" s="36">
        <v>0</v>
      </c>
      <c r="H671" s="36">
        <v>12859544</v>
      </c>
      <c r="I671" s="36">
        <v>0</v>
      </c>
      <c r="J671" s="37">
        <v>4764793</v>
      </c>
      <c r="K671" s="36">
        <v>57177395</v>
      </c>
      <c r="L671" s="50">
        <v>61942187</v>
      </c>
      <c r="M671" s="39"/>
      <c r="N671" s="36">
        <v>57177395</v>
      </c>
      <c r="O671" s="36">
        <v>44317851</v>
      </c>
      <c r="P671" s="235"/>
      <c r="Q671" s="36">
        <f>Q670*1936.27</f>
        <v>69919400.561135992</v>
      </c>
      <c r="R671" s="7"/>
      <c r="S671" s="7"/>
      <c r="T671" s="7"/>
      <c r="U671" s="7"/>
      <c r="V671" s="7"/>
      <c r="W671" s="7"/>
      <c r="X671" s="7"/>
      <c r="Y671" s="7"/>
      <c r="Z671" s="7"/>
    </row>
    <row r="672" spans="1:26" ht="12.75" customHeight="1" x14ac:dyDescent="0.2">
      <c r="A672" s="95"/>
      <c r="B672" s="95"/>
      <c r="C672" s="40" t="s">
        <v>36</v>
      </c>
      <c r="D672" s="41">
        <v>35</v>
      </c>
      <c r="E672" s="30">
        <v>25176.16</v>
      </c>
      <c r="F672" s="30">
        <v>0</v>
      </c>
      <c r="G672" s="30">
        <v>0</v>
      </c>
      <c r="H672" s="30">
        <v>6641.4</v>
      </c>
      <c r="I672" s="30">
        <v>0</v>
      </c>
      <c r="J672" s="42">
        <v>2651.46</v>
      </c>
      <c r="K672" s="43">
        <v>31817.56</v>
      </c>
      <c r="L672" s="51">
        <v>34469.019999999997</v>
      </c>
      <c r="M672" s="33"/>
      <c r="N672" s="30">
        <v>31817.56</v>
      </c>
      <c r="O672" s="30">
        <v>25176.16</v>
      </c>
      <c r="P672" s="236"/>
      <c r="Q672" s="30">
        <f>(N672+O672*0.18+J672)+(IF((P672-O672*0.18)&gt;0,(P672-O672*0.18),0))</f>
        <v>39000.728799999997</v>
      </c>
      <c r="R672" s="7"/>
      <c r="S672" s="7"/>
      <c r="T672" s="7"/>
      <c r="U672" s="7"/>
      <c r="V672" s="7"/>
      <c r="W672" s="7"/>
      <c r="X672" s="7"/>
      <c r="Y672" s="7"/>
      <c r="Z672" s="7"/>
    </row>
    <row r="673" spans="1:26" ht="9" customHeight="1" x14ac:dyDescent="0.2">
      <c r="A673" s="110"/>
      <c r="B673" s="110"/>
      <c r="C673" s="47" t="s">
        <v>37</v>
      </c>
      <c r="D673" s="48"/>
      <c r="E673" s="36">
        <v>48747843</v>
      </c>
      <c r="F673" s="36">
        <v>0</v>
      </c>
      <c r="G673" s="36">
        <v>0</v>
      </c>
      <c r="H673" s="36">
        <v>12859544</v>
      </c>
      <c r="I673" s="36">
        <v>0</v>
      </c>
      <c r="J673" s="49">
        <v>5133942</v>
      </c>
      <c r="K673" s="46">
        <v>61607387</v>
      </c>
      <c r="L673" s="52">
        <v>66741329</v>
      </c>
      <c r="M673" s="39"/>
      <c r="N673" s="36">
        <v>61607387</v>
      </c>
      <c r="O673" s="36">
        <v>48747843</v>
      </c>
      <c r="P673" s="235"/>
      <c r="Q673" s="36">
        <f>Q672*1936.27</f>
        <v>75515941.153575987</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7"/>
      <c r="M674" s="39"/>
      <c r="N674" s="96"/>
      <c r="O674" s="96"/>
      <c r="P674" s="235"/>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7"/>
      <c r="M675" s="39"/>
      <c r="N675" s="96"/>
      <c r="O675" s="96"/>
      <c r="P675" s="235"/>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7"/>
      <c r="M676" s="39"/>
      <c r="N676" s="96"/>
      <c r="O676" s="96"/>
      <c r="P676" s="235"/>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7"/>
      <c r="M677" s="39"/>
      <c r="N677" s="96"/>
      <c r="O677" s="96"/>
      <c r="P677" s="235"/>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7"/>
      <c r="M678" s="39"/>
      <c r="N678" s="96"/>
      <c r="O678" s="96"/>
      <c r="P678" s="235"/>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7"/>
      <c r="M679" s="39"/>
      <c r="N679" s="96"/>
      <c r="O679" s="96"/>
      <c r="P679" s="235"/>
      <c r="Q679" s="96"/>
      <c r="R679" s="7"/>
      <c r="S679" s="7"/>
      <c r="T679" s="7"/>
      <c r="U679" s="7"/>
      <c r="V679" s="7"/>
      <c r="W679" s="7"/>
      <c r="X679" s="7"/>
      <c r="Y679" s="7"/>
      <c r="Z679" s="7"/>
    </row>
    <row r="680" spans="1:26" ht="12.75" customHeight="1" x14ac:dyDescent="0.2">
      <c r="A680" s="98">
        <v>39083</v>
      </c>
      <c r="B680" s="98">
        <v>39113</v>
      </c>
      <c r="C680" s="28" t="s">
        <v>36</v>
      </c>
      <c r="D680" s="29">
        <v>0</v>
      </c>
      <c r="E680" s="30">
        <v>14065.23</v>
      </c>
      <c r="F680" s="30">
        <v>0</v>
      </c>
      <c r="G680" s="30">
        <v>0</v>
      </c>
      <c r="H680" s="30">
        <v>6641.4</v>
      </c>
      <c r="I680" s="30">
        <v>0</v>
      </c>
      <c r="J680" s="30">
        <v>1725.55</v>
      </c>
      <c r="K680" s="31">
        <v>20706.63</v>
      </c>
      <c r="L680" s="32">
        <v>22432.18</v>
      </c>
      <c r="M680" s="33"/>
      <c r="N680" s="30">
        <v>20706.63</v>
      </c>
      <c r="O680" s="30">
        <v>14065.23</v>
      </c>
      <c r="P680" s="236"/>
      <c r="Q680" s="30">
        <f>(N680+O680*0.18+J680)+(IF((P680-O680*0.18)&gt;0,(P680-O680*0.18),0))</f>
        <v>24963.921399999999</v>
      </c>
      <c r="R680" s="7"/>
      <c r="S680" s="7"/>
      <c r="T680" s="7"/>
      <c r="U680" s="7"/>
      <c r="V680" s="7"/>
      <c r="W680" s="7"/>
      <c r="X680" s="7"/>
      <c r="Y680" s="7"/>
      <c r="Z680" s="7"/>
    </row>
    <row r="681" spans="1:26" ht="9" customHeight="1" x14ac:dyDescent="0.2">
      <c r="A681" s="95"/>
      <c r="B681" s="95"/>
      <c r="C681" s="34" t="s">
        <v>37</v>
      </c>
      <c r="D681" s="35">
        <v>2</v>
      </c>
      <c r="E681" s="36">
        <v>27234083</v>
      </c>
      <c r="F681" s="36">
        <v>0</v>
      </c>
      <c r="G681" s="36">
        <v>0</v>
      </c>
      <c r="H681" s="36">
        <v>12859544</v>
      </c>
      <c r="I681" s="36">
        <v>0</v>
      </c>
      <c r="J681" s="37">
        <v>3341131</v>
      </c>
      <c r="K681" s="36">
        <v>40093626</v>
      </c>
      <c r="L681" s="50">
        <v>43434757</v>
      </c>
      <c r="M681" s="39"/>
      <c r="N681" s="36">
        <v>40093626</v>
      </c>
      <c r="O681" s="36">
        <v>27234083</v>
      </c>
      <c r="P681" s="235"/>
      <c r="Q681" s="36">
        <f>Q680*1936.27</f>
        <v>48336892.089177996</v>
      </c>
      <c r="R681" s="7"/>
      <c r="S681" s="7"/>
      <c r="T681" s="7"/>
      <c r="U681" s="7"/>
      <c r="V681" s="7"/>
      <c r="W681" s="7"/>
      <c r="X681" s="7"/>
      <c r="Y681" s="7"/>
      <c r="Z681" s="7"/>
    </row>
    <row r="682" spans="1:26" ht="12.75" customHeight="1" x14ac:dyDescent="0.2">
      <c r="A682" s="156">
        <v>39083</v>
      </c>
      <c r="B682" s="156">
        <v>39113</v>
      </c>
      <c r="C682" s="40" t="s">
        <v>36</v>
      </c>
      <c r="D682" s="41">
        <v>3</v>
      </c>
      <c r="E682" s="30">
        <v>14668.16</v>
      </c>
      <c r="F682" s="30">
        <v>0</v>
      </c>
      <c r="G682" s="30">
        <v>0</v>
      </c>
      <c r="H682" s="30">
        <v>6641.4</v>
      </c>
      <c r="I682" s="30">
        <v>0</v>
      </c>
      <c r="J682" s="42">
        <v>1775.8</v>
      </c>
      <c r="K682" s="43">
        <v>21309.56</v>
      </c>
      <c r="L682" s="51">
        <v>23085.360000000001</v>
      </c>
      <c r="M682" s="33"/>
      <c r="N682" s="30">
        <v>21309.56</v>
      </c>
      <c r="O682" s="30">
        <v>14668.16</v>
      </c>
      <c r="P682" s="236"/>
      <c r="Q682" s="30">
        <f>(N682+O682*0.18+J682)+(IF((P682-O682*0.18)&gt;0,(P682-O682*0.18),0))</f>
        <v>25725.628800000002</v>
      </c>
      <c r="R682" s="7"/>
      <c r="S682" s="7"/>
      <c r="T682" s="7"/>
      <c r="U682" s="7"/>
      <c r="V682" s="7"/>
      <c r="W682" s="7"/>
      <c r="X682" s="7"/>
      <c r="Y682" s="7"/>
      <c r="Z682" s="7"/>
    </row>
    <row r="683" spans="1:26" ht="9" customHeight="1" x14ac:dyDescent="0.2">
      <c r="A683" s="95"/>
      <c r="B683" s="95"/>
      <c r="C683" s="34" t="s">
        <v>37</v>
      </c>
      <c r="D683" s="35">
        <v>8</v>
      </c>
      <c r="E683" s="36">
        <v>28401518</v>
      </c>
      <c r="F683" s="36">
        <v>0</v>
      </c>
      <c r="G683" s="36">
        <v>0</v>
      </c>
      <c r="H683" s="36">
        <v>12859544</v>
      </c>
      <c r="I683" s="36">
        <v>0</v>
      </c>
      <c r="J683" s="37">
        <v>3438428</v>
      </c>
      <c r="K683" s="36">
        <v>41261062</v>
      </c>
      <c r="L683" s="50">
        <v>44699490</v>
      </c>
      <c r="M683" s="39"/>
      <c r="N683" s="36">
        <v>41261062</v>
      </c>
      <c r="O683" s="36">
        <v>28401518</v>
      </c>
      <c r="P683" s="235"/>
      <c r="Q683" s="36">
        <f>Q682*1936.27</f>
        <v>49811763.276576005</v>
      </c>
      <c r="R683" s="7"/>
      <c r="S683" s="7"/>
      <c r="T683" s="7"/>
      <c r="U683" s="7"/>
      <c r="V683" s="7"/>
      <c r="W683" s="7"/>
      <c r="X683" s="7"/>
      <c r="Y683" s="7"/>
      <c r="Z683" s="7"/>
    </row>
    <row r="684" spans="1:26" ht="12.75" customHeight="1" x14ac:dyDescent="0.2">
      <c r="A684" s="95"/>
      <c r="B684" s="95"/>
      <c r="C684" s="40" t="s">
        <v>36</v>
      </c>
      <c r="D684" s="41">
        <v>9</v>
      </c>
      <c r="E684" s="30">
        <v>16536.240000000002</v>
      </c>
      <c r="F684" s="30">
        <v>0</v>
      </c>
      <c r="G684" s="30">
        <v>0</v>
      </c>
      <c r="H684" s="30">
        <v>6641.4</v>
      </c>
      <c r="I684" s="30">
        <v>0</v>
      </c>
      <c r="J684" s="42">
        <v>1931.47</v>
      </c>
      <c r="K684" s="43">
        <v>23177.64</v>
      </c>
      <c r="L684" s="51">
        <v>25109.11</v>
      </c>
      <c r="M684" s="33"/>
      <c r="N684" s="30">
        <v>23177.64</v>
      </c>
      <c r="O684" s="30">
        <v>16536.240000000002</v>
      </c>
      <c r="P684" s="236"/>
      <c r="Q684" s="30">
        <f>(N684+O684*0.18+J684)+(IF((P684-O684*0.18)&gt;0,(P684-O684*0.18),0))</f>
        <v>28085.6332</v>
      </c>
      <c r="R684" s="7"/>
      <c r="S684" s="7"/>
      <c r="T684" s="7"/>
      <c r="U684" s="7"/>
      <c r="V684" s="7"/>
      <c r="W684" s="7"/>
      <c r="X684" s="7"/>
      <c r="Y684" s="7"/>
      <c r="Z684" s="7"/>
    </row>
    <row r="685" spans="1:26" ht="9" customHeight="1" x14ac:dyDescent="0.2">
      <c r="A685" s="95"/>
      <c r="B685" s="95"/>
      <c r="C685" s="34" t="s">
        <v>37</v>
      </c>
      <c r="D685" s="35">
        <v>14</v>
      </c>
      <c r="E685" s="36">
        <v>32018625</v>
      </c>
      <c r="F685" s="36">
        <v>0</v>
      </c>
      <c r="G685" s="36">
        <v>0</v>
      </c>
      <c r="H685" s="36">
        <v>12859544</v>
      </c>
      <c r="I685" s="36">
        <v>0</v>
      </c>
      <c r="J685" s="37">
        <v>3739847</v>
      </c>
      <c r="K685" s="36">
        <v>44878169</v>
      </c>
      <c r="L685" s="50">
        <v>48618016</v>
      </c>
      <c r="M685" s="39"/>
      <c r="N685" s="36">
        <v>44878169</v>
      </c>
      <c r="O685" s="36">
        <v>32018625</v>
      </c>
      <c r="P685" s="235"/>
      <c r="Q685" s="36">
        <f>Q684*1936.27</f>
        <v>54381368.996164002</v>
      </c>
      <c r="R685" s="7"/>
      <c r="S685" s="7"/>
      <c r="T685" s="7"/>
      <c r="U685" s="7"/>
      <c r="V685" s="7"/>
      <c r="W685" s="7"/>
      <c r="X685" s="7"/>
      <c r="Y685" s="7"/>
      <c r="Z685" s="7"/>
    </row>
    <row r="686" spans="1:26" ht="12.75" customHeight="1" x14ac:dyDescent="0.2">
      <c r="A686" s="95"/>
      <c r="B686" s="95"/>
      <c r="C686" s="40" t="s">
        <v>36</v>
      </c>
      <c r="D686" s="41">
        <v>15</v>
      </c>
      <c r="E686" s="30">
        <v>18716.419999999998</v>
      </c>
      <c r="F686" s="30">
        <v>0</v>
      </c>
      <c r="G686" s="30">
        <v>0</v>
      </c>
      <c r="H686" s="30">
        <v>6641.4</v>
      </c>
      <c r="I686" s="30">
        <v>0</v>
      </c>
      <c r="J686" s="42">
        <v>2113.15</v>
      </c>
      <c r="K686" s="43">
        <v>25357.82</v>
      </c>
      <c r="L686" s="51">
        <v>27470.97</v>
      </c>
      <c r="M686" s="33"/>
      <c r="N686" s="30">
        <v>25357.82</v>
      </c>
      <c r="O686" s="30">
        <v>18716.419999999998</v>
      </c>
      <c r="P686" s="236"/>
      <c r="Q686" s="30">
        <f>(N686+O686*0.18+J686)+(IF((P686-O686*0.18)&gt;0,(P686-O686*0.18),0))</f>
        <v>30839.925600000002</v>
      </c>
      <c r="R686" s="7"/>
      <c r="S686" s="7"/>
      <c r="T686" s="7"/>
      <c r="U686" s="7"/>
      <c r="V686" s="7"/>
      <c r="W686" s="7"/>
      <c r="X686" s="7"/>
      <c r="Y686" s="7"/>
      <c r="Z686" s="7"/>
    </row>
    <row r="687" spans="1:26" ht="9" customHeight="1" x14ac:dyDescent="0.2">
      <c r="A687" s="95"/>
      <c r="B687" s="95"/>
      <c r="C687" s="34" t="s">
        <v>37</v>
      </c>
      <c r="D687" s="35">
        <v>20</v>
      </c>
      <c r="E687" s="36">
        <v>36240043</v>
      </c>
      <c r="F687" s="36">
        <v>0</v>
      </c>
      <c r="G687" s="36">
        <v>0</v>
      </c>
      <c r="H687" s="36">
        <v>12859544</v>
      </c>
      <c r="I687" s="36">
        <v>0</v>
      </c>
      <c r="J687" s="37">
        <v>4091629</v>
      </c>
      <c r="K687" s="36">
        <v>49099586</v>
      </c>
      <c r="L687" s="50">
        <v>53191215</v>
      </c>
      <c r="M687" s="39"/>
      <c r="N687" s="36">
        <v>49099586</v>
      </c>
      <c r="O687" s="36">
        <v>36240043</v>
      </c>
      <c r="P687" s="235"/>
      <c r="Q687" s="36">
        <f>Q686*1936.27</f>
        <v>59714422.741512001</v>
      </c>
      <c r="R687" s="7"/>
      <c r="S687" s="7"/>
      <c r="T687" s="7"/>
      <c r="U687" s="7"/>
      <c r="V687" s="7"/>
      <c r="W687" s="7"/>
      <c r="X687" s="7"/>
      <c r="Y687" s="7"/>
      <c r="Z687" s="7"/>
    </row>
    <row r="688" spans="1:26" ht="12.75" customHeight="1" x14ac:dyDescent="0.2">
      <c r="A688" s="95"/>
      <c r="B688" s="95"/>
      <c r="C688" s="40" t="s">
        <v>36</v>
      </c>
      <c r="D688" s="41">
        <v>21</v>
      </c>
      <c r="E688" s="30">
        <v>21048.67</v>
      </c>
      <c r="F688" s="30">
        <v>0</v>
      </c>
      <c r="G688" s="30">
        <v>0</v>
      </c>
      <c r="H688" s="30">
        <v>6641.4</v>
      </c>
      <c r="I688" s="30">
        <v>0</v>
      </c>
      <c r="J688" s="42">
        <v>2307.5100000000002</v>
      </c>
      <c r="K688" s="43">
        <v>27690.07</v>
      </c>
      <c r="L688" s="51">
        <v>29997.58</v>
      </c>
      <c r="M688" s="33"/>
      <c r="N688" s="30">
        <v>27690.07</v>
      </c>
      <c r="O688" s="30">
        <v>21048.67</v>
      </c>
      <c r="P688" s="236"/>
      <c r="Q688" s="30">
        <f>(N688+O688*0.18+J688)+(IF((P688-O688*0.18)&gt;0,(P688-O688*0.18),0))</f>
        <v>33786.340600000003</v>
      </c>
      <c r="R688" s="7"/>
      <c r="S688" s="7"/>
      <c r="T688" s="7"/>
      <c r="U688" s="7"/>
      <c r="V688" s="7"/>
      <c r="W688" s="7"/>
      <c r="X688" s="7"/>
      <c r="Y688" s="7"/>
      <c r="Z688" s="7"/>
    </row>
    <row r="689" spans="1:26" ht="9" customHeight="1" x14ac:dyDescent="0.2">
      <c r="A689" s="95"/>
      <c r="B689" s="95"/>
      <c r="C689" s="34" t="s">
        <v>37</v>
      </c>
      <c r="D689" s="35">
        <v>27</v>
      </c>
      <c r="E689" s="36">
        <v>40755908</v>
      </c>
      <c r="F689" s="36">
        <v>0</v>
      </c>
      <c r="G689" s="36">
        <v>0</v>
      </c>
      <c r="H689" s="36">
        <v>12859544</v>
      </c>
      <c r="I689" s="36">
        <v>0</v>
      </c>
      <c r="J689" s="37">
        <v>4467962</v>
      </c>
      <c r="K689" s="36">
        <v>53615452</v>
      </c>
      <c r="L689" s="50">
        <v>58083414</v>
      </c>
      <c r="M689" s="39"/>
      <c r="N689" s="36">
        <v>53615452</v>
      </c>
      <c r="O689" s="36">
        <v>40755908</v>
      </c>
      <c r="P689" s="235"/>
      <c r="Q689" s="36">
        <f>Q688*1936.27</f>
        <v>65419477.713562004</v>
      </c>
      <c r="R689" s="7"/>
      <c r="S689" s="7"/>
      <c r="T689" s="7"/>
      <c r="U689" s="7"/>
      <c r="V689" s="7"/>
      <c r="W689" s="7"/>
      <c r="X689" s="7"/>
      <c r="Y689" s="7"/>
      <c r="Z689" s="7"/>
    </row>
    <row r="690" spans="1:26" ht="12.75" customHeight="1" x14ac:dyDescent="0.2">
      <c r="A690" s="95"/>
      <c r="B690" s="95"/>
      <c r="C690" s="40" t="s">
        <v>36</v>
      </c>
      <c r="D690" s="41">
        <v>28</v>
      </c>
      <c r="E690" s="30">
        <v>23445.06</v>
      </c>
      <c r="F690" s="30">
        <v>0</v>
      </c>
      <c r="G690" s="30">
        <v>0</v>
      </c>
      <c r="H690" s="30">
        <v>6641.4</v>
      </c>
      <c r="I690" s="30">
        <v>0</v>
      </c>
      <c r="J690" s="42">
        <v>2507.21</v>
      </c>
      <c r="K690" s="43">
        <v>30086.46</v>
      </c>
      <c r="L690" s="51">
        <v>32593.67</v>
      </c>
      <c r="M690" s="33"/>
      <c r="N690" s="30">
        <v>30086.46</v>
      </c>
      <c r="O690" s="30">
        <v>23445.06</v>
      </c>
      <c r="P690" s="236"/>
      <c r="Q690" s="30">
        <f>(N690+O690*0.18+J690)+(IF((P690-O690*0.18)&gt;0,(P690-O690*0.18),0))</f>
        <v>36813.7808</v>
      </c>
      <c r="R690" s="7"/>
      <c r="S690" s="7"/>
      <c r="T690" s="7"/>
      <c r="U690" s="7"/>
      <c r="V690" s="7"/>
      <c r="W690" s="7"/>
      <c r="X690" s="7"/>
      <c r="Y690" s="7"/>
      <c r="Z690" s="7"/>
    </row>
    <row r="691" spans="1:26" ht="9" customHeight="1" x14ac:dyDescent="0.2">
      <c r="A691" s="95"/>
      <c r="B691" s="95"/>
      <c r="C691" s="34" t="s">
        <v>37</v>
      </c>
      <c r="D691" s="35">
        <v>34</v>
      </c>
      <c r="E691" s="36">
        <v>45395966</v>
      </c>
      <c r="F691" s="36">
        <v>0</v>
      </c>
      <c r="G691" s="36">
        <v>0</v>
      </c>
      <c r="H691" s="36">
        <v>12859544</v>
      </c>
      <c r="I691" s="36">
        <v>0</v>
      </c>
      <c r="J691" s="37">
        <v>4854636</v>
      </c>
      <c r="K691" s="36">
        <v>58255510</v>
      </c>
      <c r="L691" s="50">
        <v>63110145</v>
      </c>
      <c r="M691" s="39"/>
      <c r="N691" s="36">
        <v>58255510</v>
      </c>
      <c r="O691" s="36">
        <v>45395966</v>
      </c>
      <c r="P691" s="235"/>
      <c r="Q691" s="36">
        <f>Q690*1936.27</f>
        <v>71281419.349616006</v>
      </c>
      <c r="R691" s="7"/>
      <c r="S691" s="7"/>
      <c r="T691" s="7"/>
      <c r="U691" s="7"/>
      <c r="V691" s="7"/>
      <c r="W691" s="7"/>
      <c r="X691" s="7"/>
      <c r="Y691" s="7"/>
      <c r="Z691" s="7"/>
    </row>
    <row r="692" spans="1:26" ht="12.75" customHeight="1" x14ac:dyDescent="0.2">
      <c r="A692" s="95"/>
      <c r="B692" s="95"/>
      <c r="C692" s="40" t="s">
        <v>36</v>
      </c>
      <c r="D692" s="41">
        <v>35</v>
      </c>
      <c r="E692" s="30">
        <v>25776.16</v>
      </c>
      <c r="F692" s="30">
        <v>0</v>
      </c>
      <c r="G692" s="30">
        <v>0</v>
      </c>
      <c r="H692" s="30">
        <v>6641.4</v>
      </c>
      <c r="I692" s="30">
        <v>0</v>
      </c>
      <c r="J692" s="42">
        <v>2701.46</v>
      </c>
      <c r="K692" s="43">
        <v>32417.56</v>
      </c>
      <c r="L692" s="51">
        <v>35119.019999999997</v>
      </c>
      <c r="M692" s="33"/>
      <c r="N692" s="30">
        <v>32417.56</v>
      </c>
      <c r="O692" s="30">
        <v>25776.16</v>
      </c>
      <c r="P692" s="236"/>
      <c r="Q692" s="30">
        <f>(N692+O692*0.18+J692)+(IF((P692-O692*0.18)&gt;0,(P692-O692*0.18),0))</f>
        <v>39758.728799999997</v>
      </c>
      <c r="R692" s="7"/>
      <c r="S692" s="7"/>
      <c r="T692" s="7"/>
      <c r="U692" s="7"/>
      <c r="V692" s="7"/>
      <c r="W692" s="7"/>
      <c r="X692" s="7"/>
      <c r="Y692" s="7"/>
      <c r="Z692" s="7"/>
    </row>
    <row r="693" spans="1:26" ht="9" customHeight="1" x14ac:dyDescent="0.2">
      <c r="A693" s="110"/>
      <c r="B693" s="110"/>
      <c r="C693" s="47" t="s">
        <v>37</v>
      </c>
      <c r="D693" s="48"/>
      <c r="E693" s="36">
        <v>49909605</v>
      </c>
      <c r="F693" s="36">
        <v>0</v>
      </c>
      <c r="G693" s="36">
        <v>0</v>
      </c>
      <c r="H693" s="36">
        <v>12859544</v>
      </c>
      <c r="I693" s="36">
        <v>0</v>
      </c>
      <c r="J693" s="49">
        <v>5230756</v>
      </c>
      <c r="K693" s="46">
        <v>62769149</v>
      </c>
      <c r="L693" s="52">
        <v>67999905</v>
      </c>
      <c r="M693" s="39"/>
      <c r="N693" s="36">
        <v>62769149</v>
      </c>
      <c r="O693" s="36">
        <v>49909605</v>
      </c>
      <c r="P693" s="235"/>
      <c r="Q693" s="36">
        <f>Q692*1936.27</f>
        <v>76983633.813575998</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7"/>
      <c r="M694" s="39"/>
      <c r="N694" s="96"/>
      <c r="O694" s="96"/>
      <c r="P694" s="235"/>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7"/>
      <c r="M695" s="39"/>
      <c r="N695" s="96"/>
      <c r="O695" s="96"/>
      <c r="P695" s="235"/>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7"/>
      <c r="M696" s="39"/>
      <c r="N696" s="96"/>
      <c r="O696" s="96"/>
      <c r="P696" s="235"/>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7"/>
      <c r="M697" s="39"/>
      <c r="N697" s="96"/>
      <c r="O697" s="96"/>
      <c r="P697" s="235"/>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7"/>
      <c r="M698" s="39"/>
      <c r="N698" s="96"/>
      <c r="O698" s="96"/>
      <c r="P698" s="235"/>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7"/>
      <c r="M699" s="39"/>
      <c r="N699" s="96"/>
      <c r="O699" s="96"/>
      <c r="P699" s="235"/>
      <c r="Q699" s="96"/>
      <c r="R699" s="7"/>
      <c r="S699" s="7"/>
      <c r="T699" s="7"/>
      <c r="U699" s="7"/>
      <c r="V699" s="7"/>
      <c r="W699" s="7"/>
      <c r="X699" s="7"/>
      <c r="Y699" s="7"/>
      <c r="Z699" s="7"/>
    </row>
    <row r="700" spans="1:26" ht="12.75" customHeight="1" x14ac:dyDescent="0.2">
      <c r="A700" s="98">
        <v>39114</v>
      </c>
      <c r="B700" s="98">
        <v>39538</v>
      </c>
      <c r="C700" s="28" t="s">
        <v>36</v>
      </c>
      <c r="D700" s="29">
        <v>0</v>
      </c>
      <c r="E700" s="30">
        <v>14624.67</v>
      </c>
      <c r="F700" s="30">
        <v>0</v>
      </c>
      <c r="G700" s="30">
        <v>0</v>
      </c>
      <c r="H700" s="30">
        <v>6641.4</v>
      </c>
      <c r="I700" s="30">
        <v>0</v>
      </c>
      <c r="J700" s="30">
        <v>1772.17</v>
      </c>
      <c r="K700" s="31">
        <v>21266.07</v>
      </c>
      <c r="L700" s="32">
        <v>23038.240000000002</v>
      </c>
      <c r="M700" s="33"/>
      <c r="N700" s="30">
        <v>21266.07</v>
      </c>
      <c r="O700" s="30">
        <v>14624.67</v>
      </c>
      <c r="P700" s="236"/>
      <c r="Q700" s="30">
        <f>(N700+O700*0.18+J700)+(IF((P700-O700*0.18)&gt;0,(P700-O700*0.18),0))</f>
        <v>25670.6806</v>
      </c>
      <c r="R700" s="7"/>
      <c r="S700" s="7"/>
      <c r="T700" s="7"/>
      <c r="U700" s="7"/>
      <c r="V700" s="7"/>
      <c r="W700" s="7"/>
      <c r="X700" s="7"/>
      <c r="Y700" s="7"/>
      <c r="Z700" s="7"/>
    </row>
    <row r="701" spans="1:26" ht="9" customHeight="1" x14ac:dyDescent="0.2">
      <c r="A701" s="95"/>
      <c r="B701" s="95"/>
      <c r="C701" s="34" t="s">
        <v>37</v>
      </c>
      <c r="D701" s="35">
        <v>2</v>
      </c>
      <c r="E701" s="36">
        <v>28317310</v>
      </c>
      <c r="F701" s="36">
        <v>0</v>
      </c>
      <c r="G701" s="36">
        <v>0</v>
      </c>
      <c r="H701" s="36">
        <v>12859544</v>
      </c>
      <c r="I701" s="36">
        <v>0</v>
      </c>
      <c r="J701" s="37">
        <v>3431400</v>
      </c>
      <c r="K701" s="36">
        <v>41176853</v>
      </c>
      <c r="L701" s="50">
        <v>44608253</v>
      </c>
      <c r="M701" s="39"/>
      <c r="N701" s="36">
        <v>41176853</v>
      </c>
      <c r="O701" s="36">
        <v>28317310</v>
      </c>
      <c r="P701" s="235"/>
      <c r="Q701" s="36">
        <f>Q700*1936.27</f>
        <v>49705368.725361995</v>
      </c>
      <c r="R701" s="7"/>
      <c r="S701" s="7"/>
      <c r="T701" s="7"/>
      <c r="U701" s="7"/>
      <c r="V701" s="7"/>
      <c r="W701" s="7"/>
      <c r="X701" s="7"/>
      <c r="Y701" s="7"/>
      <c r="Z701" s="7"/>
    </row>
    <row r="702" spans="1:26" ht="12.75" customHeight="1" x14ac:dyDescent="0.2">
      <c r="A702" s="156">
        <v>39114</v>
      </c>
      <c r="B702" s="156">
        <v>39538</v>
      </c>
      <c r="C702" s="40" t="s">
        <v>36</v>
      </c>
      <c r="D702" s="41">
        <v>3</v>
      </c>
      <c r="E702" s="30">
        <v>15243.8</v>
      </c>
      <c r="F702" s="30">
        <v>0</v>
      </c>
      <c r="G702" s="30">
        <v>0</v>
      </c>
      <c r="H702" s="30">
        <v>6641.4</v>
      </c>
      <c r="I702" s="30">
        <v>0</v>
      </c>
      <c r="J702" s="42">
        <v>1823.77</v>
      </c>
      <c r="K702" s="43">
        <v>21885.200000000001</v>
      </c>
      <c r="L702" s="51">
        <v>23708.97</v>
      </c>
      <c r="M702" s="33"/>
      <c r="N702" s="30">
        <v>21885.200000000001</v>
      </c>
      <c r="O702" s="30">
        <v>15243.8</v>
      </c>
      <c r="P702" s="236"/>
      <c r="Q702" s="30">
        <f>(N702+O702*0.18+J702)+(IF((P702-O702*0.18)&gt;0,(P702-O702*0.18),0))</f>
        <v>26452.853999999999</v>
      </c>
      <c r="R702" s="7"/>
      <c r="S702" s="7"/>
      <c r="T702" s="7"/>
      <c r="U702" s="7"/>
      <c r="V702" s="7"/>
      <c r="W702" s="7"/>
      <c r="X702" s="7"/>
      <c r="Y702" s="7"/>
      <c r="Z702" s="7"/>
    </row>
    <row r="703" spans="1:26" ht="9" customHeight="1" x14ac:dyDescent="0.2">
      <c r="A703" s="95"/>
      <c r="B703" s="95"/>
      <c r="C703" s="34" t="s">
        <v>37</v>
      </c>
      <c r="D703" s="35">
        <v>8</v>
      </c>
      <c r="E703" s="36">
        <v>29516113</v>
      </c>
      <c r="F703" s="36">
        <v>0</v>
      </c>
      <c r="G703" s="36">
        <v>0</v>
      </c>
      <c r="H703" s="36">
        <v>12859544</v>
      </c>
      <c r="I703" s="36">
        <v>0</v>
      </c>
      <c r="J703" s="37">
        <v>3531311</v>
      </c>
      <c r="K703" s="36">
        <v>42375656</v>
      </c>
      <c r="L703" s="50">
        <v>45906967</v>
      </c>
      <c r="M703" s="39"/>
      <c r="N703" s="36">
        <v>42375656</v>
      </c>
      <c r="O703" s="36">
        <v>29516113</v>
      </c>
      <c r="P703" s="235"/>
      <c r="Q703" s="36">
        <f>Q702*1936.27</f>
        <v>51219867.614579998</v>
      </c>
      <c r="R703" s="7"/>
      <c r="S703" s="7"/>
      <c r="T703" s="7"/>
      <c r="U703" s="7"/>
      <c r="V703" s="7"/>
      <c r="W703" s="7"/>
      <c r="X703" s="7"/>
      <c r="Y703" s="7"/>
      <c r="Z703" s="7"/>
    </row>
    <row r="704" spans="1:26" ht="12.75" customHeight="1" x14ac:dyDescent="0.2">
      <c r="A704" s="95"/>
      <c r="B704" s="95"/>
      <c r="C704" s="40" t="s">
        <v>36</v>
      </c>
      <c r="D704" s="41">
        <v>9</v>
      </c>
      <c r="E704" s="30">
        <v>17162.400000000001</v>
      </c>
      <c r="F704" s="30">
        <v>0</v>
      </c>
      <c r="G704" s="30">
        <v>0</v>
      </c>
      <c r="H704" s="30">
        <v>6641.4</v>
      </c>
      <c r="I704" s="30">
        <v>0</v>
      </c>
      <c r="J704" s="42">
        <v>1983.65</v>
      </c>
      <c r="K704" s="43">
        <v>23803.8</v>
      </c>
      <c r="L704" s="51">
        <v>25787.45</v>
      </c>
      <c r="M704" s="33"/>
      <c r="N704" s="30">
        <v>23803.8</v>
      </c>
      <c r="O704" s="30">
        <v>17162.400000000001</v>
      </c>
      <c r="P704" s="236"/>
      <c r="Q704" s="30">
        <f>(N704+O704*0.18+J704)+(IF((P704-O704*0.18)&gt;0,(P704-O704*0.18),0))</f>
        <v>28876.682000000001</v>
      </c>
      <c r="R704" s="7"/>
      <c r="S704" s="7"/>
      <c r="T704" s="7"/>
      <c r="U704" s="7"/>
      <c r="V704" s="7"/>
      <c r="W704" s="7"/>
      <c r="X704" s="7"/>
      <c r="Y704" s="7"/>
      <c r="Z704" s="7"/>
    </row>
    <row r="705" spans="1:26" ht="9" customHeight="1" x14ac:dyDescent="0.2">
      <c r="A705" s="95"/>
      <c r="B705" s="95"/>
      <c r="C705" s="34" t="s">
        <v>37</v>
      </c>
      <c r="D705" s="35">
        <v>14</v>
      </c>
      <c r="E705" s="36">
        <v>33231040</v>
      </c>
      <c r="F705" s="36">
        <v>0</v>
      </c>
      <c r="G705" s="36">
        <v>0</v>
      </c>
      <c r="H705" s="36">
        <v>12859544</v>
      </c>
      <c r="I705" s="36">
        <v>0</v>
      </c>
      <c r="J705" s="37">
        <v>3840882</v>
      </c>
      <c r="K705" s="36">
        <v>46090584</v>
      </c>
      <c r="L705" s="50">
        <v>49931466</v>
      </c>
      <c r="M705" s="39"/>
      <c r="N705" s="36">
        <v>46090584</v>
      </c>
      <c r="O705" s="36">
        <v>33231040</v>
      </c>
      <c r="P705" s="235"/>
      <c r="Q705" s="36">
        <f>Q704*1936.27</f>
        <v>55913053.056139998</v>
      </c>
      <c r="R705" s="7"/>
      <c r="S705" s="7"/>
      <c r="T705" s="7"/>
      <c r="U705" s="7"/>
      <c r="V705" s="7"/>
      <c r="W705" s="7"/>
      <c r="X705" s="7"/>
      <c r="Y705" s="7"/>
      <c r="Z705" s="7"/>
    </row>
    <row r="706" spans="1:26" ht="12.75" customHeight="1" x14ac:dyDescent="0.2">
      <c r="A706" s="95"/>
      <c r="B706" s="95"/>
      <c r="C706" s="40" t="s">
        <v>36</v>
      </c>
      <c r="D706" s="41">
        <v>15</v>
      </c>
      <c r="E706" s="30">
        <v>19401.5</v>
      </c>
      <c r="F706" s="30">
        <v>0</v>
      </c>
      <c r="G706" s="30">
        <v>0</v>
      </c>
      <c r="H706" s="30">
        <v>6641.4</v>
      </c>
      <c r="I706" s="30">
        <v>0</v>
      </c>
      <c r="J706" s="42">
        <v>2170.2399999999998</v>
      </c>
      <c r="K706" s="43">
        <v>26042.9</v>
      </c>
      <c r="L706" s="51">
        <v>28213.14</v>
      </c>
      <c r="M706" s="33"/>
      <c r="N706" s="30">
        <v>26042.9</v>
      </c>
      <c r="O706" s="30">
        <v>19401.5</v>
      </c>
      <c r="P706" s="236"/>
      <c r="Q706" s="30">
        <f>(N706+O706*0.18+J706)+(IF((P706-O706*0.18)&gt;0,(P706-O706*0.18),0))</f>
        <v>31705.410000000003</v>
      </c>
      <c r="R706" s="7"/>
      <c r="S706" s="7"/>
      <c r="T706" s="7"/>
      <c r="U706" s="7"/>
      <c r="V706" s="7"/>
      <c r="W706" s="7"/>
      <c r="X706" s="7"/>
      <c r="Y706" s="7"/>
      <c r="Z706" s="7"/>
    </row>
    <row r="707" spans="1:26" ht="9" customHeight="1" x14ac:dyDescent="0.2">
      <c r="A707" s="95"/>
      <c r="B707" s="95"/>
      <c r="C707" s="34" t="s">
        <v>37</v>
      </c>
      <c r="D707" s="35">
        <v>20</v>
      </c>
      <c r="E707" s="36">
        <v>37566542</v>
      </c>
      <c r="F707" s="36">
        <v>0</v>
      </c>
      <c r="G707" s="36">
        <v>0</v>
      </c>
      <c r="H707" s="36">
        <v>12859544</v>
      </c>
      <c r="I707" s="36">
        <v>0</v>
      </c>
      <c r="J707" s="37">
        <v>4202171</v>
      </c>
      <c r="K707" s="36">
        <v>50426086</v>
      </c>
      <c r="L707" s="50">
        <v>54628257</v>
      </c>
      <c r="M707" s="39"/>
      <c r="N707" s="36">
        <v>50426086</v>
      </c>
      <c r="O707" s="36">
        <v>37566542</v>
      </c>
      <c r="P707" s="235"/>
      <c r="Q707" s="36">
        <f>Q706*1936.27</f>
        <v>61390234.220700003</v>
      </c>
      <c r="R707" s="7"/>
      <c r="S707" s="7"/>
      <c r="T707" s="7"/>
      <c r="U707" s="7"/>
      <c r="V707" s="7"/>
      <c r="W707" s="7"/>
      <c r="X707" s="7"/>
      <c r="Y707" s="7"/>
      <c r="Z707" s="7"/>
    </row>
    <row r="708" spans="1:26" ht="12.75" customHeight="1" x14ac:dyDescent="0.2">
      <c r="A708" s="95"/>
      <c r="B708" s="95"/>
      <c r="C708" s="40" t="s">
        <v>36</v>
      </c>
      <c r="D708" s="41">
        <v>21</v>
      </c>
      <c r="E708" s="30">
        <v>21796.75</v>
      </c>
      <c r="F708" s="30">
        <v>0</v>
      </c>
      <c r="G708" s="30">
        <v>0</v>
      </c>
      <c r="H708" s="30">
        <v>6641.4</v>
      </c>
      <c r="I708" s="30">
        <v>0</v>
      </c>
      <c r="J708" s="42">
        <v>2369.85</v>
      </c>
      <c r="K708" s="43">
        <v>28438.15</v>
      </c>
      <c r="L708" s="51">
        <v>30808</v>
      </c>
      <c r="M708" s="33"/>
      <c r="N708" s="30">
        <v>28438.15</v>
      </c>
      <c r="O708" s="30">
        <v>21796.75</v>
      </c>
      <c r="P708" s="236"/>
      <c r="Q708" s="30">
        <f>(N708+O708*0.18+J708)+(IF((P708-O708*0.18)&gt;0,(P708-O708*0.18),0))</f>
        <v>34731.415000000001</v>
      </c>
      <c r="R708" s="7"/>
      <c r="S708" s="7"/>
      <c r="T708" s="7"/>
      <c r="U708" s="7"/>
      <c r="V708" s="7"/>
      <c r="W708" s="7"/>
      <c r="X708" s="7"/>
      <c r="Y708" s="7"/>
      <c r="Z708" s="7"/>
    </row>
    <row r="709" spans="1:26" ht="9" customHeight="1" x14ac:dyDescent="0.2">
      <c r="A709" s="95"/>
      <c r="B709" s="95"/>
      <c r="C709" s="34" t="s">
        <v>37</v>
      </c>
      <c r="D709" s="35">
        <v>27</v>
      </c>
      <c r="E709" s="36">
        <v>42204393</v>
      </c>
      <c r="F709" s="36">
        <v>0</v>
      </c>
      <c r="G709" s="36">
        <v>0</v>
      </c>
      <c r="H709" s="36">
        <v>12859544</v>
      </c>
      <c r="I709" s="36">
        <v>0</v>
      </c>
      <c r="J709" s="37">
        <v>4588669</v>
      </c>
      <c r="K709" s="36">
        <v>55063937</v>
      </c>
      <c r="L709" s="50">
        <v>59652606</v>
      </c>
      <c r="M709" s="39"/>
      <c r="N709" s="36">
        <v>55063937</v>
      </c>
      <c r="O709" s="36">
        <v>42204393</v>
      </c>
      <c r="P709" s="235"/>
      <c r="Q709" s="36">
        <f>Q708*1936.27</f>
        <v>67249396.922049999</v>
      </c>
      <c r="R709" s="7"/>
      <c r="S709" s="7"/>
      <c r="T709" s="7"/>
      <c r="U709" s="7"/>
      <c r="V709" s="7"/>
      <c r="W709" s="7"/>
      <c r="X709" s="7"/>
      <c r="Y709" s="7"/>
      <c r="Z709" s="7"/>
    </row>
    <row r="710" spans="1:26" ht="12.75" customHeight="1" x14ac:dyDescent="0.2">
      <c r="A710" s="95"/>
      <c r="B710" s="95"/>
      <c r="C710" s="40" t="s">
        <v>36</v>
      </c>
      <c r="D710" s="41">
        <v>28</v>
      </c>
      <c r="E710" s="30">
        <v>24257.94</v>
      </c>
      <c r="F710" s="30">
        <v>0</v>
      </c>
      <c r="G710" s="30">
        <v>0</v>
      </c>
      <c r="H710" s="30">
        <v>6641.4</v>
      </c>
      <c r="I710" s="30">
        <v>0</v>
      </c>
      <c r="J710" s="42">
        <v>2574.9499999999998</v>
      </c>
      <c r="K710" s="43">
        <v>30899.34</v>
      </c>
      <c r="L710" s="51">
        <v>33474.29</v>
      </c>
      <c r="M710" s="33"/>
      <c r="N710" s="30">
        <v>30899.34</v>
      </c>
      <c r="O710" s="30">
        <v>24257.94</v>
      </c>
      <c r="P710" s="236"/>
      <c r="Q710" s="30">
        <f>(N710+O710*0.18+J710)+(IF((P710-O710*0.18)&gt;0,(P710-O710*0.18),0))</f>
        <v>37840.7192</v>
      </c>
      <c r="R710" s="7"/>
      <c r="S710" s="7"/>
      <c r="T710" s="7"/>
      <c r="U710" s="7"/>
      <c r="V710" s="7"/>
      <c r="W710" s="7"/>
      <c r="X710" s="7"/>
      <c r="Y710" s="7"/>
      <c r="Z710" s="7"/>
    </row>
    <row r="711" spans="1:26" ht="9" customHeight="1" x14ac:dyDescent="0.2">
      <c r="A711" s="95"/>
      <c r="B711" s="95"/>
      <c r="C711" s="34" t="s">
        <v>37</v>
      </c>
      <c r="D711" s="35">
        <v>34</v>
      </c>
      <c r="E711" s="36">
        <v>46969921</v>
      </c>
      <c r="F711" s="36">
        <v>0</v>
      </c>
      <c r="G711" s="36">
        <v>0</v>
      </c>
      <c r="H711" s="36">
        <v>12859544</v>
      </c>
      <c r="I711" s="36">
        <v>0</v>
      </c>
      <c r="J711" s="37">
        <v>4985798</v>
      </c>
      <c r="K711" s="36">
        <v>59829465</v>
      </c>
      <c r="L711" s="50">
        <v>64815263</v>
      </c>
      <c r="M711" s="39"/>
      <c r="N711" s="36">
        <v>59829465</v>
      </c>
      <c r="O711" s="36">
        <v>46969921</v>
      </c>
      <c r="P711" s="235"/>
      <c r="Q711" s="36">
        <f>Q710*1936.27</f>
        <v>73269849.365383998</v>
      </c>
      <c r="R711" s="7"/>
      <c r="S711" s="7"/>
      <c r="T711" s="7"/>
      <c r="U711" s="7"/>
      <c r="V711" s="7"/>
      <c r="W711" s="7"/>
      <c r="X711" s="7"/>
      <c r="Y711" s="7"/>
      <c r="Z711" s="7"/>
    </row>
    <row r="712" spans="1:26" ht="12.75" customHeight="1" x14ac:dyDescent="0.2">
      <c r="A712" s="95"/>
      <c r="B712" s="95"/>
      <c r="C712" s="40" t="s">
        <v>36</v>
      </c>
      <c r="D712" s="41">
        <v>35</v>
      </c>
      <c r="E712" s="30">
        <v>26651.919999999998</v>
      </c>
      <c r="F712" s="30">
        <v>0</v>
      </c>
      <c r="G712" s="30">
        <v>0</v>
      </c>
      <c r="H712" s="30">
        <v>6641.4</v>
      </c>
      <c r="I712" s="30">
        <v>0</v>
      </c>
      <c r="J712" s="42">
        <v>2774.44</v>
      </c>
      <c r="K712" s="43">
        <v>33293.32</v>
      </c>
      <c r="L712" s="51">
        <v>36067.760000000002</v>
      </c>
      <c r="M712" s="33"/>
      <c r="N712" s="30">
        <v>33293.32</v>
      </c>
      <c r="O712" s="30">
        <v>26651.919999999998</v>
      </c>
      <c r="P712" s="236"/>
      <c r="Q712" s="30">
        <f>(N712+O712*0.18+J712)+(IF((P712-O712*0.18)&gt;0,(P712-O712*0.18),0))</f>
        <v>40865.105600000003</v>
      </c>
      <c r="R712" s="7"/>
      <c r="S712" s="7"/>
      <c r="T712" s="7"/>
      <c r="U712" s="7"/>
      <c r="V712" s="7"/>
      <c r="W712" s="7"/>
      <c r="X712" s="7"/>
      <c r="Y712" s="7"/>
      <c r="Z712" s="7"/>
    </row>
    <row r="713" spans="1:26" ht="9" customHeight="1" x14ac:dyDescent="0.2">
      <c r="A713" s="110"/>
      <c r="B713" s="110"/>
      <c r="C713" s="47" t="s">
        <v>37</v>
      </c>
      <c r="D713" s="48"/>
      <c r="E713" s="46">
        <v>51605313</v>
      </c>
      <c r="F713" s="46">
        <v>0</v>
      </c>
      <c r="G713" s="46">
        <v>0</v>
      </c>
      <c r="H713" s="46">
        <v>12859544</v>
      </c>
      <c r="I713" s="46">
        <v>0</v>
      </c>
      <c r="J713" s="49">
        <v>5372065</v>
      </c>
      <c r="K713" s="46">
        <v>64464857</v>
      </c>
      <c r="L713" s="52">
        <v>69836922</v>
      </c>
      <c r="M713" s="39"/>
      <c r="N713" s="36">
        <v>64464857</v>
      </c>
      <c r="O713" s="36">
        <v>51605313</v>
      </c>
      <c r="P713" s="235"/>
      <c r="Q713" s="36">
        <f>Q712*1936.27</f>
        <v>79125878.020112008</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7"/>
      <c r="M714" s="39"/>
      <c r="N714" s="96"/>
      <c r="O714" s="96"/>
      <c r="P714" s="235"/>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7"/>
      <c r="M715" s="39"/>
      <c r="N715" s="96"/>
      <c r="O715" s="96"/>
      <c r="P715" s="235"/>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7"/>
      <c r="M716" s="39"/>
      <c r="N716" s="96"/>
      <c r="O716" s="96"/>
      <c r="P716" s="235"/>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7"/>
      <c r="M717" s="39"/>
      <c r="N717" s="96"/>
      <c r="O717" s="96"/>
      <c r="P717" s="235"/>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7"/>
      <c r="M718" s="39"/>
      <c r="N718" s="96"/>
      <c r="O718" s="96"/>
      <c r="P718" s="235"/>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7"/>
      <c r="M719" s="39"/>
      <c r="N719" s="96"/>
      <c r="O719" s="96"/>
      <c r="P719" s="235"/>
      <c r="Q719" s="96"/>
      <c r="R719" s="7"/>
      <c r="S719" s="7"/>
      <c r="T719" s="7"/>
      <c r="U719" s="7"/>
      <c r="V719" s="7"/>
      <c r="W719" s="7"/>
      <c r="X719" s="7"/>
      <c r="Y719" s="7"/>
      <c r="Z719" s="7"/>
    </row>
    <row r="720" spans="1:26" ht="12.75" customHeight="1" x14ac:dyDescent="0.2">
      <c r="A720" s="98">
        <v>39114</v>
      </c>
      <c r="B720" s="98">
        <v>39538</v>
      </c>
      <c r="C720" s="28" t="s">
        <v>36</v>
      </c>
      <c r="D720" s="29">
        <v>0</v>
      </c>
      <c r="E720" s="30">
        <v>14624.67</v>
      </c>
      <c r="F720" s="30">
        <v>0</v>
      </c>
      <c r="G720" s="30">
        <v>0</v>
      </c>
      <c r="H720" s="30">
        <v>6641.4</v>
      </c>
      <c r="I720" s="30">
        <v>0</v>
      </c>
      <c r="J720" s="30">
        <v>1772.17</v>
      </c>
      <c r="K720" s="31">
        <v>21266.07</v>
      </c>
      <c r="L720" s="32">
        <v>23038.240000000002</v>
      </c>
      <c r="M720" s="33"/>
      <c r="N720" s="30">
        <v>21266.07</v>
      </c>
      <c r="O720" s="30">
        <v>14624.67</v>
      </c>
      <c r="P720" s="236"/>
      <c r="Q720" s="30">
        <f>(N720+O720*0.18+J720)+(IF((P720-O720*0.18)&gt;0,(P720-O720*0.18),0))</f>
        <v>25670.6806</v>
      </c>
      <c r="R720" s="7"/>
      <c r="S720" s="7"/>
      <c r="T720" s="7"/>
      <c r="U720" s="7"/>
      <c r="V720" s="7"/>
      <c r="W720" s="7"/>
      <c r="X720" s="7"/>
      <c r="Y720" s="7"/>
      <c r="Z720" s="7"/>
    </row>
    <row r="721" spans="1:26" ht="9" customHeight="1" x14ac:dyDescent="0.2">
      <c r="A721" s="95"/>
      <c r="B721" s="95"/>
      <c r="C721" s="34" t="s">
        <v>37</v>
      </c>
      <c r="D721" s="35">
        <v>2</v>
      </c>
      <c r="E721" s="36">
        <v>28317310</v>
      </c>
      <c r="F721" s="36">
        <v>0</v>
      </c>
      <c r="G721" s="36">
        <v>0</v>
      </c>
      <c r="H721" s="36">
        <v>12859544</v>
      </c>
      <c r="I721" s="36">
        <v>0</v>
      </c>
      <c r="J721" s="37">
        <v>3431400</v>
      </c>
      <c r="K721" s="36">
        <v>41176853</v>
      </c>
      <c r="L721" s="50">
        <v>44608253</v>
      </c>
      <c r="M721" s="39"/>
      <c r="N721" s="36">
        <v>41176853</v>
      </c>
      <c r="O721" s="36">
        <v>28317310</v>
      </c>
      <c r="P721" s="235"/>
      <c r="Q721" s="36">
        <f>Q720*1936.27</f>
        <v>49705368.725361995</v>
      </c>
      <c r="R721" s="7"/>
      <c r="S721" s="7"/>
      <c r="T721" s="7"/>
      <c r="U721" s="7"/>
      <c r="V721" s="7"/>
      <c r="W721" s="7"/>
      <c r="X721" s="7"/>
      <c r="Y721" s="7"/>
      <c r="Z721" s="7"/>
    </row>
    <row r="722" spans="1:26" ht="12.75" customHeight="1" x14ac:dyDescent="0.2">
      <c r="A722" s="156">
        <v>39114</v>
      </c>
      <c r="B722" s="156">
        <v>39538</v>
      </c>
      <c r="C722" s="40" t="s">
        <v>36</v>
      </c>
      <c r="D722" s="41">
        <v>3</v>
      </c>
      <c r="E722" s="30">
        <v>15243.8</v>
      </c>
      <c r="F722" s="30">
        <v>0</v>
      </c>
      <c r="G722" s="30">
        <v>0</v>
      </c>
      <c r="H722" s="30">
        <v>6641.4</v>
      </c>
      <c r="I722" s="30">
        <v>0</v>
      </c>
      <c r="J722" s="42">
        <v>1823.77</v>
      </c>
      <c r="K722" s="43">
        <v>21885.200000000001</v>
      </c>
      <c r="L722" s="51">
        <v>23708.97</v>
      </c>
      <c r="M722" s="33"/>
      <c r="N722" s="30">
        <v>21885.200000000001</v>
      </c>
      <c r="O722" s="30">
        <v>15243.8</v>
      </c>
      <c r="P722" s="236"/>
      <c r="Q722" s="30">
        <f>(N722+O722*0.18+J722)+(IF((P722-O722*0.18)&gt;0,(P722-O722*0.18),0))</f>
        <v>26452.853999999999</v>
      </c>
      <c r="R722" s="7"/>
      <c r="S722" s="7"/>
      <c r="T722" s="7"/>
      <c r="U722" s="7"/>
      <c r="V722" s="7"/>
      <c r="W722" s="7"/>
      <c r="X722" s="7"/>
      <c r="Y722" s="7"/>
      <c r="Z722" s="7"/>
    </row>
    <row r="723" spans="1:26" ht="9" customHeight="1" x14ac:dyDescent="0.2">
      <c r="A723" s="95"/>
      <c r="B723" s="95"/>
      <c r="C723" s="34" t="s">
        <v>37</v>
      </c>
      <c r="D723" s="35">
        <v>8</v>
      </c>
      <c r="E723" s="36">
        <v>29516113</v>
      </c>
      <c r="F723" s="36">
        <v>0</v>
      </c>
      <c r="G723" s="36">
        <v>0</v>
      </c>
      <c r="H723" s="36">
        <v>12859544</v>
      </c>
      <c r="I723" s="36">
        <v>0</v>
      </c>
      <c r="J723" s="37">
        <v>3531311</v>
      </c>
      <c r="K723" s="36">
        <v>42375656</v>
      </c>
      <c r="L723" s="50">
        <v>45906967</v>
      </c>
      <c r="M723" s="39"/>
      <c r="N723" s="36">
        <v>42375656</v>
      </c>
      <c r="O723" s="36">
        <v>29516113</v>
      </c>
      <c r="P723" s="235"/>
      <c r="Q723" s="36">
        <f>Q722*1936.27</f>
        <v>51219867.614579998</v>
      </c>
      <c r="R723" s="7"/>
      <c r="S723" s="7"/>
      <c r="T723" s="7"/>
      <c r="U723" s="7"/>
      <c r="V723" s="7"/>
      <c r="W723" s="7"/>
      <c r="X723" s="7"/>
      <c r="Y723" s="7"/>
      <c r="Z723" s="7"/>
    </row>
    <row r="724" spans="1:26" ht="12.75" customHeight="1" x14ac:dyDescent="0.2">
      <c r="A724" s="95"/>
      <c r="B724" s="95"/>
      <c r="C724" s="40" t="s">
        <v>36</v>
      </c>
      <c r="D724" s="41">
        <v>9</v>
      </c>
      <c r="E724" s="30">
        <v>17162.400000000001</v>
      </c>
      <c r="F724" s="30">
        <v>0</v>
      </c>
      <c r="G724" s="30">
        <v>0</v>
      </c>
      <c r="H724" s="30">
        <v>6641.4</v>
      </c>
      <c r="I724" s="30">
        <v>0</v>
      </c>
      <c r="J724" s="42">
        <v>1983.65</v>
      </c>
      <c r="K724" s="43">
        <v>23803.8</v>
      </c>
      <c r="L724" s="51">
        <v>25787.45</v>
      </c>
      <c r="M724" s="33"/>
      <c r="N724" s="30">
        <v>23803.8</v>
      </c>
      <c r="O724" s="30">
        <v>17162.400000000001</v>
      </c>
      <c r="P724" s="236"/>
      <c r="Q724" s="30">
        <f>(N724+O724*0.18+J724)+(IF((P724-O724*0.18)&gt;0,(P724-O724*0.18),0))</f>
        <v>28876.682000000001</v>
      </c>
      <c r="R724" s="7"/>
      <c r="S724" s="7"/>
      <c r="T724" s="7"/>
      <c r="U724" s="7"/>
      <c r="V724" s="7"/>
      <c r="W724" s="7"/>
      <c r="X724" s="7"/>
      <c r="Y724" s="7"/>
      <c r="Z724" s="7"/>
    </row>
    <row r="725" spans="1:26" ht="9" customHeight="1" x14ac:dyDescent="0.2">
      <c r="A725" s="95"/>
      <c r="B725" s="95"/>
      <c r="C725" s="34" t="s">
        <v>37</v>
      </c>
      <c r="D725" s="35">
        <v>14</v>
      </c>
      <c r="E725" s="36">
        <v>33231040</v>
      </c>
      <c r="F725" s="36">
        <v>0</v>
      </c>
      <c r="G725" s="36">
        <v>0</v>
      </c>
      <c r="H725" s="36">
        <v>12859544</v>
      </c>
      <c r="I725" s="36">
        <v>0</v>
      </c>
      <c r="J725" s="37">
        <v>3840882</v>
      </c>
      <c r="K725" s="36">
        <v>46090584</v>
      </c>
      <c r="L725" s="50">
        <v>49931466</v>
      </c>
      <c r="M725" s="39"/>
      <c r="N725" s="36">
        <v>46090584</v>
      </c>
      <c r="O725" s="36">
        <v>33231040</v>
      </c>
      <c r="P725" s="235"/>
      <c r="Q725" s="36">
        <f>Q724*1936.27</f>
        <v>55913053.056139998</v>
      </c>
      <c r="R725" s="7"/>
      <c r="S725" s="7"/>
      <c r="T725" s="7"/>
      <c r="U725" s="7"/>
      <c r="V725" s="7"/>
      <c r="W725" s="7"/>
      <c r="X725" s="7"/>
      <c r="Y725" s="7"/>
      <c r="Z725" s="7"/>
    </row>
    <row r="726" spans="1:26" ht="12.75" customHeight="1" x14ac:dyDescent="0.2">
      <c r="A726" s="95"/>
      <c r="B726" s="95"/>
      <c r="C726" s="40" t="s">
        <v>36</v>
      </c>
      <c r="D726" s="41">
        <v>15</v>
      </c>
      <c r="E726" s="30">
        <v>19401.5</v>
      </c>
      <c r="F726" s="30">
        <v>0</v>
      </c>
      <c r="G726" s="30">
        <v>0</v>
      </c>
      <c r="H726" s="30">
        <v>6641.4</v>
      </c>
      <c r="I726" s="30">
        <v>0</v>
      </c>
      <c r="J726" s="42">
        <v>2170.2399999999998</v>
      </c>
      <c r="K726" s="43">
        <v>26042.9</v>
      </c>
      <c r="L726" s="51">
        <v>28213.14</v>
      </c>
      <c r="M726" s="33"/>
      <c r="N726" s="30">
        <v>26042.9</v>
      </c>
      <c r="O726" s="30">
        <v>19401.5</v>
      </c>
      <c r="P726" s="236"/>
      <c r="Q726" s="30">
        <f>(N726+O726*0.18+J726)+(IF((P726-O726*0.18)&gt;0,(P726-O726*0.18),0))</f>
        <v>31705.410000000003</v>
      </c>
      <c r="R726" s="7"/>
      <c r="S726" s="7"/>
      <c r="T726" s="7"/>
      <c r="U726" s="7"/>
      <c r="V726" s="7"/>
      <c r="W726" s="7"/>
      <c r="X726" s="7"/>
      <c r="Y726" s="7"/>
      <c r="Z726" s="7"/>
    </row>
    <row r="727" spans="1:26" ht="9" customHeight="1" x14ac:dyDescent="0.2">
      <c r="A727" s="95"/>
      <c r="B727" s="95"/>
      <c r="C727" s="34" t="s">
        <v>37</v>
      </c>
      <c r="D727" s="35">
        <v>20</v>
      </c>
      <c r="E727" s="36">
        <v>37566542</v>
      </c>
      <c r="F727" s="36">
        <v>0</v>
      </c>
      <c r="G727" s="36">
        <v>0</v>
      </c>
      <c r="H727" s="36">
        <v>12859544</v>
      </c>
      <c r="I727" s="36">
        <v>0</v>
      </c>
      <c r="J727" s="37">
        <v>4202171</v>
      </c>
      <c r="K727" s="36">
        <v>50426086</v>
      </c>
      <c r="L727" s="50">
        <v>54628257</v>
      </c>
      <c r="M727" s="39"/>
      <c r="N727" s="36">
        <v>50426086</v>
      </c>
      <c r="O727" s="36">
        <v>37566542</v>
      </c>
      <c r="P727" s="235"/>
      <c r="Q727" s="36">
        <f>Q726*1936.27</f>
        <v>61390234.220700003</v>
      </c>
      <c r="R727" s="7"/>
      <c r="S727" s="7"/>
      <c r="T727" s="7"/>
      <c r="U727" s="7"/>
      <c r="V727" s="7"/>
      <c r="W727" s="7"/>
      <c r="X727" s="7"/>
      <c r="Y727" s="7"/>
      <c r="Z727" s="7"/>
    </row>
    <row r="728" spans="1:26" ht="12.75" customHeight="1" x14ac:dyDescent="0.2">
      <c r="A728" s="95"/>
      <c r="B728" s="95"/>
      <c r="C728" s="40" t="s">
        <v>36</v>
      </c>
      <c r="D728" s="41">
        <v>21</v>
      </c>
      <c r="E728" s="30">
        <v>21796.75</v>
      </c>
      <c r="F728" s="30">
        <v>0</v>
      </c>
      <c r="G728" s="30">
        <v>0</v>
      </c>
      <c r="H728" s="30">
        <v>6641.4</v>
      </c>
      <c r="I728" s="30">
        <v>0</v>
      </c>
      <c r="J728" s="42">
        <v>2369.85</v>
      </c>
      <c r="K728" s="43">
        <v>28438.15</v>
      </c>
      <c r="L728" s="51">
        <v>30808</v>
      </c>
      <c r="M728" s="33"/>
      <c r="N728" s="30">
        <v>28438.15</v>
      </c>
      <c r="O728" s="30">
        <v>21796.75</v>
      </c>
      <c r="P728" s="236"/>
      <c r="Q728" s="30">
        <f>(N728+O728*0.18+J728)+(IF((P728-O728*0.18)&gt;0,(P728-O728*0.18),0))</f>
        <v>34731.415000000001</v>
      </c>
      <c r="R728" s="7"/>
      <c r="S728" s="7"/>
      <c r="T728" s="7"/>
      <c r="U728" s="7"/>
      <c r="V728" s="7"/>
      <c r="W728" s="7"/>
      <c r="X728" s="7"/>
      <c r="Y728" s="7"/>
      <c r="Z728" s="7"/>
    </row>
    <row r="729" spans="1:26" ht="9" customHeight="1" x14ac:dyDescent="0.2">
      <c r="A729" s="95"/>
      <c r="B729" s="95"/>
      <c r="C729" s="34" t="s">
        <v>37</v>
      </c>
      <c r="D729" s="35">
        <v>27</v>
      </c>
      <c r="E729" s="36">
        <v>42204393</v>
      </c>
      <c r="F729" s="36">
        <v>0</v>
      </c>
      <c r="G729" s="36">
        <v>0</v>
      </c>
      <c r="H729" s="36">
        <v>12859544</v>
      </c>
      <c r="I729" s="36">
        <v>0</v>
      </c>
      <c r="J729" s="37">
        <v>4588669</v>
      </c>
      <c r="K729" s="36">
        <v>55063937</v>
      </c>
      <c r="L729" s="50">
        <v>59652606</v>
      </c>
      <c r="M729" s="39"/>
      <c r="N729" s="36">
        <v>55063937</v>
      </c>
      <c r="O729" s="36">
        <v>42204393</v>
      </c>
      <c r="P729" s="235"/>
      <c r="Q729" s="36">
        <f>Q728*1936.27</f>
        <v>67249396.922049999</v>
      </c>
      <c r="R729" s="7"/>
      <c r="S729" s="7"/>
      <c r="T729" s="7"/>
      <c r="U729" s="7"/>
      <c r="V729" s="7"/>
      <c r="W729" s="7"/>
      <c r="X729" s="7"/>
      <c r="Y729" s="7"/>
      <c r="Z729" s="7"/>
    </row>
    <row r="730" spans="1:26" ht="12.75" customHeight="1" x14ac:dyDescent="0.2">
      <c r="A730" s="95"/>
      <c r="B730" s="95"/>
      <c r="C730" s="40" t="s">
        <v>36</v>
      </c>
      <c r="D730" s="41">
        <v>28</v>
      </c>
      <c r="E730" s="30">
        <v>24257.94</v>
      </c>
      <c r="F730" s="30">
        <v>0</v>
      </c>
      <c r="G730" s="30">
        <v>0</v>
      </c>
      <c r="H730" s="30">
        <v>6641.4</v>
      </c>
      <c r="I730" s="30">
        <v>0</v>
      </c>
      <c r="J730" s="42">
        <v>2574.9499999999998</v>
      </c>
      <c r="K730" s="43">
        <v>30899.34</v>
      </c>
      <c r="L730" s="51">
        <v>33474.29</v>
      </c>
      <c r="M730" s="33"/>
      <c r="N730" s="30">
        <v>30899.34</v>
      </c>
      <c r="O730" s="30">
        <v>24257.94</v>
      </c>
      <c r="P730" s="236"/>
      <c r="Q730" s="30">
        <f>(N730+O730*0.18+J730)+(IF((P730-O730*0.18)&gt;0,(P730-O730*0.18),0))</f>
        <v>37840.7192</v>
      </c>
      <c r="R730" s="7"/>
      <c r="S730" s="7"/>
      <c r="T730" s="7"/>
      <c r="U730" s="7"/>
      <c r="V730" s="7"/>
      <c r="W730" s="7"/>
      <c r="X730" s="7"/>
      <c r="Y730" s="7"/>
      <c r="Z730" s="7"/>
    </row>
    <row r="731" spans="1:26" ht="9" customHeight="1" x14ac:dyDescent="0.2">
      <c r="A731" s="95"/>
      <c r="B731" s="95"/>
      <c r="C731" s="34" t="s">
        <v>37</v>
      </c>
      <c r="D731" s="35">
        <v>34</v>
      </c>
      <c r="E731" s="36">
        <v>46969921</v>
      </c>
      <c r="F731" s="36">
        <v>0</v>
      </c>
      <c r="G731" s="36">
        <v>0</v>
      </c>
      <c r="H731" s="36">
        <v>12859544</v>
      </c>
      <c r="I731" s="36">
        <v>0</v>
      </c>
      <c r="J731" s="37">
        <v>4985798</v>
      </c>
      <c r="K731" s="36">
        <v>59829465</v>
      </c>
      <c r="L731" s="50">
        <v>64815263</v>
      </c>
      <c r="M731" s="39"/>
      <c r="N731" s="36">
        <v>59829465</v>
      </c>
      <c r="O731" s="36">
        <v>46969921</v>
      </c>
      <c r="P731" s="235"/>
      <c r="Q731" s="36">
        <f>Q730*1936.27</f>
        <v>73269849.365383998</v>
      </c>
      <c r="R731" s="7"/>
      <c r="S731" s="7"/>
      <c r="T731" s="7"/>
      <c r="U731" s="7"/>
      <c r="V731" s="7"/>
      <c r="W731" s="7"/>
      <c r="X731" s="7"/>
      <c r="Y731" s="7"/>
      <c r="Z731" s="7"/>
    </row>
    <row r="732" spans="1:26" ht="12.75" customHeight="1" x14ac:dyDescent="0.2">
      <c r="A732" s="95"/>
      <c r="B732" s="95"/>
      <c r="C732" s="40" t="s">
        <v>36</v>
      </c>
      <c r="D732" s="41">
        <v>35</v>
      </c>
      <c r="E732" s="30">
        <v>26651.919999999998</v>
      </c>
      <c r="F732" s="30">
        <v>0</v>
      </c>
      <c r="G732" s="30">
        <v>0</v>
      </c>
      <c r="H732" s="30">
        <v>6641.4</v>
      </c>
      <c r="I732" s="30">
        <v>0</v>
      </c>
      <c r="J732" s="42">
        <v>2774.44</v>
      </c>
      <c r="K732" s="43">
        <v>33293.32</v>
      </c>
      <c r="L732" s="51">
        <v>36067.760000000002</v>
      </c>
      <c r="M732" s="33"/>
      <c r="N732" s="30">
        <v>33293.32</v>
      </c>
      <c r="O732" s="30">
        <v>26651.919999999998</v>
      </c>
      <c r="P732" s="236"/>
      <c r="Q732" s="30">
        <f>(N732+O732*0.18+J732)+(IF((P732-O732*0.18)&gt;0,(P732-O732*0.18),0))</f>
        <v>40865.105600000003</v>
      </c>
      <c r="R732" s="7"/>
      <c r="S732" s="7"/>
      <c r="T732" s="7"/>
      <c r="U732" s="7"/>
      <c r="V732" s="7"/>
      <c r="W732" s="7"/>
      <c r="X732" s="7"/>
      <c r="Y732" s="7"/>
      <c r="Z732" s="7"/>
    </row>
    <row r="733" spans="1:26" ht="9" customHeight="1" x14ac:dyDescent="0.2">
      <c r="A733" s="110"/>
      <c r="B733" s="110"/>
      <c r="C733" s="47" t="s">
        <v>37</v>
      </c>
      <c r="D733" s="48"/>
      <c r="E733" s="46">
        <v>51605313</v>
      </c>
      <c r="F733" s="46">
        <v>0</v>
      </c>
      <c r="G733" s="46">
        <v>0</v>
      </c>
      <c r="H733" s="46">
        <v>12859544</v>
      </c>
      <c r="I733" s="46">
        <v>0</v>
      </c>
      <c r="J733" s="49">
        <v>5372065</v>
      </c>
      <c r="K733" s="46">
        <v>64464857</v>
      </c>
      <c r="L733" s="52">
        <v>69836922</v>
      </c>
      <c r="M733" s="39"/>
      <c r="N733" s="36">
        <v>64464857</v>
      </c>
      <c r="O733" s="36">
        <v>51605313</v>
      </c>
      <c r="P733" s="235"/>
      <c r="Q733" s="36">
        <f>Q732*1936.27</f>
        <v>79125878.020112008</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7"/>
      <c r="M734" s="39"/>
      <c r="N734" s="96"/>
      <c r="O734" s="96"/>
      <c r="P734" s="235"/>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7"/>
      <c r="M735" s="39"/>
      <c r="N735" s="96"/>
      <c r="O735" s="96"/>
      <c r="P735" s="235"/>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7"/>
      <c r="M736" s="39"/>
      <c r="N736" s="96"/>
      <c r="O736" s="96"/>
      <c r="P736" s="235"/>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7"/>
      <c r="M737" s="39"/>
      <c r="N737" s="96"/>
      <c r="O737" s="96"/>
      <c r="P737" s="235"/>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7"/>
      <c r="M738" s="39"/>
      <c r="N738" s="96"/>
      <c r="O738" s="96"/>
      <c r="P738" s="235"/>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7"/>
      <c r="M739" s="39"/>
      <c r="N739" s="96"/>
      <c r="O739" s="96"/>
      <c r="P739" s="235"/>
      <c r="Q739" s="96"/>
      <c r="R739" s="7"/>
      <c r="S739" s="7"/>
      <c r="T739" s="7"/>
      <c r="U739" s="7"/>
      <c r="V739" s="7"/>
      <c r="W739" s="7"/>
      <c r="X739" s="7"/>
      <c r="Y739" s="7"/>
      <c r="Z739" s="7"/>
    </row>
    <row r="740" spans="1:26" ht="12.75" customHeight="1" x14ac:dyDescent="0.2">
      <c r="A740" s="98">
        <v>39539</v>
      </c>
      <c r="B740" s="98">
        <v>39629</v>
      </c>
      <c r="C740" s="28" t="s">
        <v>36</v>
      </c>
      <c r="D740" s="29">
        <v>0</v>
      </c>
      <c r="E740" s="30">
        <v>14733.15</v>
      </c>
      <c r="F740" s="30">
        <v>0</v>
      </c>
      <c r="G740" s="30">
        <v>0</v>
      </c>
      <c r="H740" s="30">
        <v>6641.4</v>
      </c>
      <c r="I740" s="30">
        <v>0</v>
      </c>
      <c r="J740" s="30">
        <v>1781.21</v>
      </c>
      <c r="K740" s="31">
        <v>21374.55</v>
      </c>
      <c r="L740" s="32">
        <v>23155.759999999998</v>
      </c>
      <c r="M740" s="33"/>
      <c r="N740" s="30">
        <v>21374.55</v>
      </c>
      <c r="O740" s="30">
        <v>14733.15</v>
      </c>
      <c r="P740" s="236"/>
      <c r="Q740" s="30">
        <f>(N740+O740*0.18+J740)+(IF((P740-O740*0.18)&gt;0,(P740-O740*0.18),0))</f>
        <v>25807.726999999999</v>
      </c>
      <c r="R740" s="7"/>
      <c r="S740" s="7"/>
      <c r="T740" s="7"/>
      <c r="U740" s="7"/>
      <c r="V740" s="7"/>
      <c r="W740" s="7"/>
      <c r="X740" s="7"/>
      <c r="Y740" s="7"/>
      <c r="Z740" s="7"/>
    </row>
    <row r="741" spans="1:26" ht="9" customHeight="1" x14ac:dyDescent="0.2">
      <c r="A741" s="95"/>
      <c r="B741" s="95"/>
      <c r="C741" s="34" t="s">
        <v>37</v>
      </c>
      <c r="D741" s="35">
        <v>2</v>
      </c>
      <c r="E741" s="36">
        <v>28527356</v>
      </c>
      <c r="F741" s="36">
        <v>0</v>
      </c>
      <c r="G741" s="36">
        <v>0</v>
      </c>
      <c r="H741" s="36">
        <v>12859544</v>
      </c>
      <c r="I741" s="36">
        <v>0</v>
      </c>
      <c r="J741" s="37">
        <v>3448903</v>
      </c>
      <c r="K741" s="36">
        <v>41386900</v>
      </c>
      <c r="L741" s="50">
        <v>44835803</v>
      </c>
      <c r="M741" s="39"/>
      <c r="N741" s="36">
        <v>41386900</v>
      </c>
      <c r="O741" s="36">
        <v>28527356</v>
      </c>
      <c r="P741" s="235"/>
      <c r="Q741" s="36">
        <f>Q740*1936.27</f>
        <v>49970727.558289997</v>
      </c>
      <c r="R741" s="7"/>
      <c r="S741" s="7"/>
      <c r="T741" s="7"/>
      <c r="U741" s="7"/>
      <c r="V741" s="7"/>
      <c r="W741" s="7"/>
      <c r="X741" s="7"/>
      <c r="Y741" s="7"/>
      <c r="Z741" s="7"/>
    </row>
    <row r="742" spans="1:26" ht="12.75" customHeight="1" x14ac:dyDescent="0.2">
      <c r="A742" s="156">
        <v>39539</v>
      </c>
      <c r="B742" s="156">
        <v>39629</v>
      </c>
      <c r="C742" s="40" t="s">
        <v>36</v>
      </c>
      <c r="D742" s="41">
        <v>3</v>
      </c>
      <c r="E742" s="30">
        <v>15352.28</v>
      </c>
      <c r="F742" s="30">
        <v>0</v>
      </c>
      <c r="G742" s="30">
        <v>0</v>
      </c>
      <c r="H742" s="30">
        <v>6641.4</v>
      </c>
      <c r="I742" s="30">
        <v>0</v>
      </c>
      <c r="J742" s="42">
        <v>1832.81</v>
      </c>
      <c r="K742" s="43">
        <v>21993.68</v>
      </c>
      <c r="L742" s="51">
        <v>23826.49</v>
      </c>
      <c r="M742" s="33"/>
      <c r="N742" s="30">
        <v>21993.68</v>
      </c>
      <c r="O742" s="30">
        <v>15352.28</v>
      </c>
      <c r="P742" s="236"/>
      <c r="Q742" s="30">
        <f>(N742+O742*0.18+J742)+(IF((P742-O742*0.18)&gt;0,(P742-O742*0.18),0))</f>
        <v>26589.900400000002</v>
      </c>
      <c r="R742" s="7"/>
      <c r="S742" s="7"/>
      <c r="T742" s="7"/>
      <c r="U742" s="7"/>
      <c r="V742" s="7"/>
      <c r="W742" s="7"/>
      <c r="X742" s="7"/>
      <c r="Y742" s="7"/>
      <c r="Z742" s="7"/>
    </row>
    <row r="743" spans="1:26" ht="9" customHeight="1" x14ac:dyDescent="0.2">
      <c r="A743" s="95"/>
      <c r="B743" s="95"/>
      <c r="C743" s="34" t="s">
        <v>37</v>
      </c>
      <c r="D743" s="35">
        <v>8</v>
      </c>
      <c r="E743" s="36">
        <v>29726159</v>
      </c>
      <c r="F743" s="36">
        <v>0</v>
      </c>
      <c r="G743" s="36">
        <v>0</v>
      </c>
      <c r="H743" s="36">
        <v>12859544</v>
      </c>
      <c r="I743" s="36">
        <v>0</v>
      </c>
      <c r="J743" s="37">
        <v>3548815</v>
      </c>
      <c r="K743" s="36">
        <v>42585703</v>
      </c>
      <c r="L743" s="50">
        <v>46134518</v>
      </c>
      <c r="M743" s="39"/>
      <c r="N743" s="36">
        <v>42585703</v>
      </c>
      <c r="O743" s="36">
        <v>29726159</v>
      </c>
      <c r="P743" s="235"/>
      <c r="Q743" s="36">
        <f>Q742*1936.27</f>
        <v>51485226.447508007</v>
      </c>
      <c r="R743" s="7"/>
      <c r="S743" s="7"/>
      <c r="T743" s="7"/>
      <c r="U743" s="7"/>
      <c r="V743" s="7"/>
      <c r="W743" s="7"/>
      <c r="X743" s="7"/>
      <c r="Y743" s="7"/>
      <c r="Z743" s="7"/>
    </row>
    <row r="744" spans="1:26" ht="12.75" customHeight="1" x14ac:dyDescent="0.2">
      <c r="A744" s="95"/>
      <c r="B744" s="95"/>
      <c r="C744" s="40" t="s">
        <v>36</v>
      </c>
      <c r="D744" s="41">
        <v>9</v>
      </c>
      <c r="E744" s="30">
        <v>17270.88</v>
      </c>
      <c r="F744" s="30">
        <v>0</v>
      </c>
      <c r="G744" s="30">
        <v>0</v>
      </c>
      <c r="H744" s="30">
        <v>6641.4</v>
      </c>
      <c r="I744" s="30">
        <v>0</v>
      </c>
      <c r="J744" s="42">
        <v>1992.69</v>
      </c>
      <c r="K744" s="43">
        <v>23912.28</v>
      </c>
      <c r="L744" s="51">
        <v>25904.97</v>
      </c>
      <c r="M744" s="33"/>
      <c r="N744" s="30">
        <v>23912.28</v>
      </c>
      <c r="O744" s="30">
        <v>17270.88</v>
      </c>
      <c r="P744" s="236"/>
      <c r="Q744" s="30">
        <f>(N744+O744*0.18+J744)+(IF((P744-O744*0.18)&gt;0,(P744-O744*0.18),0))</f>
        <v>29013.728399999996</v>
      </c>
      <c r="R744" s="7"/>
      <c r="S744" s="7"/>
      <c r="T744" s="7"/>
      <c r="U744" s="7"/>
      <c r="V744" s="7"/>
      <c r="W744" s="7"/>
      <c r="X744" s="7"/>
      <c r="Y744" s="7"/>
      <c r="Z744" s="7"/>
    </row>
    <row r="745" spans="1:26" ht="9" customHeight="1" x14ac:dyDescent="0.2">
      <c r="A745" s="95"/>
      <c r="B745" s="95"/>
      <c r="C745" s="34" t="s">
        <v>37</v>
      </c>
      <c r="D745" s="35">
        <v>14</v>
      </c>
      <c r="E745" s="36">
        <v>33441087</v>
      </c>
      <c r="F745" s="36">
        <v>0</v>
      </c>
      <c r="G745" s="36">
        <v>0</v>
      </c>
      <c r="H745" s="36">
        <v>12859544</v>
      </c>
      <c r="I745" s="36">
        <v>0</v>
      </c>
      <c r="J745" s="37">
        <v>3858386</v>
      </c>
      <c r="K745" s="36">
        <v>46300630</v>
      </c>
      <c r="L745" s="50">
        <v>50159016</v>
      </c>
      <c r="M745" s="39"/>
      <c r="N745" s="36">
        <v>46300630</v>
      </c>
      <c r="O745" s="36">
        <v>33441087</v>
      </c>
      <c r="P745" s="235"/>
      <c r="Q745" s="36">
        <f>Q744*1936.27</f>
        <v>56178411.889067993</v>
      </c>
      <c r="R745" s="7"/>
      <c r="S745" s="7"/>
      <c r="T745" s="7"/>
      <c r="U745" s="7"/>
      <c r="V745" s="7"/>
      <c r="W745" s="7"/>
      <c r="X745" s="7"/>
      <c r="Y745" s="7"/>
      <c r="Z745" s="7"/>
    </row>
    <row r="746" spans="1:26" ht="12.75" customHeight="1" x14ac:dyDescent="0.2">
      <c r="A746" s="95"/>
      <c r="B746" s="95"/>
      <c r="C746" s="40" t="s">
        <v>36</v>
      </c>
      <c r="D746" s="41">
        <v>15</v>
      </c>
      <c r="E746" s="30">
        <v>19509.98</v>
      </c>
      <c r="F746" s="30">
        <v>0</v>
      </c>
      <c r="G746" s="30">
        <v>0</v>
      </c>
      <c r="H746" s="30">
        <v>6641.4</v>
      </c>
      <c r="I746" s="30">
        <v>0</v>
      </c>
      <c r="J746" s="42">
        <v>2179.2800000000002</v>
      </c>
      <c r="K746" s="43">
        <v>26151.38</v>
      </c>
      <c r="L746" s="51">
        <v>28330.66</v>
      </c>
      <c r="M746" s="33"/>
      <c r="N746" s="30">
        <v>26151.38</v>
      </c>
      <c r="O746" s="30">
        <v>19509.98</v>
      </c>
      <c r="P746" s="236"/>
      <c r="Q746" s="30">
        <f>(N746+O746*0.18+J746)+(IF((P746-O746*0.18)&gt;0,(P746-O746*0.18),0))</f>
        <v>31842.456399999999</v>
      </c>
      <c r="R746" s="7"/>
      <c r="S746" s="7"/>
      <c r="T746" s="7"/>
      <c r="U746" s="7"/>
      <c r="V746" s="7"/>
      <c r="W746" s="7"/>
      <c r="X746" s="7"/>
      <c r="Y746" s="7"/>
      <c r="Z746" s="7"/>
    </row>
    <row r="747" spans="1:26" ht="9" customHeight="1" x14ac:dyDescent="0.2">
      <c r="A747" s="95"/>
      <c r="B747" s="95"/>
      <c r="C747" s="34" t="s">
        <v>37</v>
      </c>
      <c r="D747" s="35">
        <v>20</v>
      </c>
      <c r="E747" s="36">
        <v>37776589</v>
      </c>
      <c r="F747" s="36">
        <v>0</v>
      </c>
      <c r="G747" s="36">
        <v>0</v>
      </c>
      <c r="H747" s="36">
        <v>12859544</v>
      </c>
      <c r="I747" s="36">
        <v>0</v>
      </c>
      <c r="J747" s="37">
        <v>4219674</v>
      </c>
      <c r="K747" s="36">
        <v>50636133</v>
      </c>
      <c r="L747" s="50">
        <v>54855807</v>
      </c>
      <c r="M747" s="39"/>
      <c r="N747" s="36">
        <v>50636133</v>
      </c>
      <c r="O747" s="36">
        <v>37776589</v>
      </c>
      <c r="P747" s="235"/>
      <c r="Q747" s="36">
        <f>Q746*1936.27</f>
        <v>61655593.053627998</v>
      </c>
      <c r="R747" s="7"/>
      <c r="S747" s="7"/>
      <c r="T747" s="7"/>
      <c r="U747" s="7"/>
      <c r="V747" s="7"/>
      <c r="W747" s="7"/>
      <c r="X747" s="7"/>
      <c r="Y747" s="7"/>
      <c r="Z747" s="7"/>
    </row>
    <row r="748" spans="1:26" ht="12.75" customHeight="1" x14ac:dyDescent="0.2">
      <c r="A748" s="95"/>
      <c r="B748" s="95"/>
      <c r="C748" s="40" t="s">
        <v>36</v>
      </c>
      <c r="D748" s="41">
        <v>21</v>
      </c>
      <c r="E748" s="30">
        <v>21905.23</v>
      </c>
      <c r="F748" s="30">
        <v>0</v>
      </c>
      <c r="G748" s="30">
        <v>0</v>
      </c>
      <c r="H748" s="30">
        <v>6641.4</v>
      </c>
      <c r="I748" s="30">
        <v>0</v>
      </c>
      <c r="J748" s="42">
        <v>2378.89</v>
      </c>
      <c r="K748" s="43">
        <v>28546.63</v>
      </c>
      <c r="L748" s="51">
        <v>30925.52</v>
      </c>
      <c r="M748" s="33"/>
      <c r="N748" s="30">
        <v>28546.63</v>
      </c>
      <c r="O748" s="30">
        <v>21905.23</v>
      </c>
      <c r="P748" s="236"/>
      <c r="Q748" s="30">
        <f>(N748+O748*0.18+J748)+(IF((P748-O748*0.18)&gt;0,(P748-O748*0.18),0))</f>
        <v>34868.4614</v>
      </c>
      <c r="R748" s="7"/>
      <c r="S748" s="7"/>
      <c r="T748" s="7"/>
      <c r="U748" s="7"/>
      <c r="V748" s="7"/>
      <c r="W748" s="7"/>
      <c r="X748" s="7"/>
      <c r="Y748" s="7"/>
      <c r="Z748" s="7"/>
    </row>
    <row r="749" spans="1:26" ht="9" customHeight="1" x14ac:dyDescent="0.2">
      <c r="A749" s="95"/>
      <c r="B749" s="95"/>
      <c r="C749" s="34" t="s">
        <v>37</v>
      </c>
      <c r="D749" s="35">
        <v>27</v>
      </c>
      <c r="E749" s="36">
        <v>42414440</v>
      </c>
      <c r="F749" s="36">
        <v>0</v>
      </c>
      <c r="G749" s="36">
        <v>0</v>
      </c>
      <c r="H749" s="36">
        <v>12859544</v>
      </c>
      <c r="I749" s="36">
        <v>0</v>
      </c>
      <c r="J749" s="37">
        <v>4606173</v>
      </c>
      <c r="K749" s="36">
        <v>55273983</v>
      </c>
      <c r="L749" s="50">
        <v>59880157</v>
      </c>
      <c r="M749" s="39"/>
      <c r="N749" s="36">
        <v>55273983</v>
      </c>
      <c r="O749" s="36">
        <v>42414440</v>
      </c>
      <c r="P749" s="235"/>
      <c r="Q749" s="36">
        <f>Q748*1936.27</f>
        <v>67514755.754978001</v>
      </c>
      <c r="R749" s="7"/>
      <c r="S749" s="7"/>
      <c r="T749" s="7"/>
      <c r="U749" s="7"/>
      <c r="V749" s="7"/>
      <c r="W749" s="7"/>
      <c r="X749" s="7"/>
      <c r="Y749" s="7"/>
      <c r="Z749" s="7"/>
    </row>
    <row r="750" spans="1:26" ht="12.75" customHeight="1" x14ac:dyDescent="0.2">
      <c r="A750" s="95"/>
      <c r="B750" s="95"/>
      <c r="C750" s="40" t="s">
        <v>36</v>
      </c>
      <c r="D750" s="41">
        <v>28</v>
      </c>
      <c r="E750" s="30">
        <v>24366.42</v>
      </c>
      <c r="F750" s="30">
        <v>0</v>
      </c>
      <c r="G750" s="30">
        <v>0</v>
      </c>
      <c r="H750" s="30">
        <v>6641.4</v>
      </c>
      <c r="I750" s="30">
        <v>0</v>
      </c>
      <c r="J750" s="42">
        <v>2583.9899999999998</v>
      </c>
      <c r="K750" s="43">
        <v>31007.82</v>
      </c>
      <c r="L750" s="51">
        <v>33591.81</v>
      </c>
      <c r="M750" s="33"/>
      <c r="N750" s="30">
        <v>31007.82</v>
      </c>
      <c r="O750" s="30">
        <v>24366.42</v>
      </c>
      <c r="P750" s="236"/>
      <c r="Q750" s="30">
        <f>(N750+O750*0.18+J750)+(IF((P750-O750*0.18)&gt;0,(P750-O750*0.18),0))</f>
        <v>37977.765599999999</v>
      </c>
      <c r="R750" s="7"/>
      <c r="S750" s="7"/>
      <c r="T750" s="7"/>
      <c r="U750" s="7"/>
      <c r="V750" s="7"/>
      <c r="W750" s="7"/>
      <c r="X750" s="7"/>
      <c r="Y750" s="7"/>
      <c r="Z750" s="7"/>
    </row>
    <row r="751" spans="1:26" ht="9" customHeight="1" x14ac:dyDescent="0.2">
      <c r="A751" s="95"/>
      <c r="B751" s="95"/>
      <c r="C751" s="34" t="s">
        <v>37</v>
      </c>
      <c r="D751" s="35">
        <v>34</v>
      </c>
      <c r="E751" s="36">
        <v>47179968</v>
      </c>
      <c r="F751" s="36">
        <v>0</v>
      </c>
      <c r="G751" s="36">
        <v>0</v>
      </c>
      <c r="H751" s="36">
        <v>12859544</v>
      </c>
      <c r="I751" s="36">
        <v>0</v>
      </c>
      <c r="J751" s="37">
        <v>5003302</v>
      </c>
      <c r="K751" s="36">
        <v>60039512</v>
      </c>
      <c r="L751" s="50">
        <v>65042814</v>
      </c>
      <c r="M751" s="39"/>
      <c r="N751" s="36">
        <v>60039512</v>
      </c>
      <c r="O751" s="36">
        <v>47179968</v>
      </c>
      <c r="P751" s="235"/>
      <c r="Q751" s="36">
        <f>Q750*1936.27</f>
        <v>73535208.198311999</v>
      </c>
      <c r="R751" s="7"/>
      <c r="S751" s="7"/>
      <c r="T751" s="7"/>
      <c r="U751" s="7"/>
      <c r="V751" s="7"/>
      <c r="W751" s="7"/>
      <c r="X751" s="7"/>
      <c r="Y751" s="7"/>
      <c r="Z751" s="7"/>
    </row>
    <row r="752" spans="1:26" ht="12.75" customHeight="1" x14ac:dyDescent="0.2">
      <c r="A752" s="95"/>
      <c r="B752" s="95"/>
      <c r="C752" s="40" t="s">
        <v>36</v>
      </c>
      <c r="D752" s="41">
        <v>35</v>
      </c>
      <c r="E752" s="30">
        <v>26760.400000000001</v>
      </c>
      <c r="F752" s="30">
        <v>0</v>
      </c>
      <c r="G752" s="30">
        <v>0</v>
      </c>
      <c r="H752" s="30">
        <v>6641.4</v>
      </c>
      <c r="I752" s="30">
        <v>0</v>
      </c>
      <c r="J752" s="42">
        <v>2783.48</v>
      </c>
      <c r="K752" s="43">
        <v>33401.800000000003</v>
      </c>
      <c r="L752" s="51">
        <v>36185.279999999999</v>
      </c>
      <c r="M752" s="33"/>
      <c r="N752" s="30">
        <v>33401.800000000003</v>
      </c>
      <c r="O752" s="30">
        <v>26760.400000000001</v>
      </c>
      <c r="P752" s="236"/>
      <c r="Q752" s="30">
        <f>(N752+O752*0.18+J752)+(IF((P752-O752*0.18)&gt;0,(P752-O752*0.18),0))</f>
        <v>41002.152000000009</v>
      </c>
      <c r="R752" s="7"/>
      <c r="S752" s="7"/>
      <c r="T752" s="7"/>
      <c r="U752" s="7"/>
      <c r="V752" s="7"/>
      <c r="W752" s="7"/>
      <c r="X752" s="7"/>
      <c r="Y752" s="7"/>
      <c r="Z752" s="7"/>
    </row>
    <row r="753" spans="1:26" ht="9" customHeight="1" x14ac:dyDescent="0.2">
      <c r="A753" s="110"/>
      <c r="B753" s="110"/>
      <c r="C753" s="47" t="s">
        <v>37</v>
      </c>
      <c r="D753" s="48"/>
      <c r="E753" s="36">
        <v>51815360</v>
      </c>
      <c r="F753" s="36">
        <v>0</v>
      </c>
      <c r="G753" s="36">
        <v>0</v>
      </c>
      <c r="H753" s="36">
        <v>12859544</v>
      </c>
      <c r="I753" s="36">
        <v>0</v>
      </c>
      <c r="J753" s="49">
        <v>5389569</v>
      </c>
      <c r="K753" s="46">
        <v>64674903</v>
      </c>
      <c r="L753" s="52">
        <v>70064472</v>
      </c>
      <c r="M753" s="39"/>
      <c r="N753" s="36">
        <v>64674903</v>
      </c>
      <c r="O753" s="36">
        <v>51815360</v>
      </c>
      <c r="P753" s="235"/>
      <c r="Q753" s="36">
        <f>Q752*1936.27</f>
        <v>79391236.85304001</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7"/>
      <c r="M754" s="39"/>
      <c r="N754" s="96"/>
      <c r="O754" s="96"/>
      <c r="P754" s="235"/>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7"/>
      <c r="M755" s="39"/>
      <c r="N755" s="96"/>
      <c r="O755" s="96"/>
      <c r="P755" s="235"/>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7"/>
      <c r="M756" s="39"/>
      <c r="N756" s="96"/>
      <c r="O756" s="96"/>
      <c r="P756" s="235"/>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7"/>
      <c r="M757" s="39"/>
      <c r="N757" s="96"/>
      <c r="O757" s="96"/>
      <c r="P757" s="235"/>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7"/>
      <c r="M758" s="39"/>
      <c r="N758" s="96"/>
      <c r="O758" s="96"/>
      <c r="P758" s="235"/>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7"/>
      <c r="M759" s="39"/>
      <c r="N759" s="96"/>
      <c r="O759" s="96"/>
      <c r="P759" s="235"/>
      <c r="Q759" s="96"/>
      <c r="R759" s="7"/>
      <c r="S759" s="7"/>
      <c r="T759" s="7"/>
      <c r="U759" s="7"/>
      <c r="V759" s="7"/>
      <c r="W759" s="7"/>
      <c r="X759" s="7"/>
      <c r="Y759" s="7"/>
      <c r="Z759" s="7"/>
    </row>
    <row r="760" spans="1:26" ht="12.75" customHeight="1" x14ac:dyDescent="0.2">
      <c r="A760" s="98">
        <v>39630</v>
      </c>
      <c r="B760" s="98">
        <v>39813</v>
      </c>
      <c r="C760" s="28" t="s">
        <v>36</v>
      </c>
      <c r="D760" s="29">
        <v>0</v>
      </c>
      <c r="E760" s="30">
        <v>14805.39</v>
      </c>
      <c r="F760" s="30">
        <v>0</v>
      </c>
      <c r="G760" s="30">
        <v>0</v>
      </c>
      <c r="H760" s="30">
        <v>6641.4</v>
      </c>
      <c r="I760" s="30">
        <v>0</v>
      </c>
      <c r="J760" s="30">
        <v>1787.23</v>
      </c>
      <c r="K760" s="31">
        <v>21446.79</v>
      </c>
      <c r="L760" s="32">
        <v>23234.02</v>
      </c>
      <c r="M760" s="33"/>
      <c r="N760" s="30">
        <v>21446.79</v>
      </c>
      <c r="O760" s="30">
        <v>14805.39</v>
      </c>
      <c r="P760" s="236"/>
      <c r="Q760" s="30">
        <f>(N760+O760*0.18+J760)+(IF((P760-O760*0.18)&gt;0,(P760-O760*0.18),0))</f>
        <v>25898.9902</v>
      </c>
      <c r="R760" s="7"/>
      <c r="S760" s="7"/>
      <c r="T760" s="7"/>
      <c r="U760" s="7"/>
      <c r="V760" s="7"/>
      <c r="W760" s="7"/>
      <c r="X760" s="7"/>
      <c r="Y760" s="7"/>
      <c r="Z760" s="7"/>
    </row>
    <row r="761" spans="1:26" ht="9" customHeight="1" x14ac:dyDescent="0.2">
      <c r="A761" s="95"/>
      <c r="B761" s="95"/>
      <c r="C761" s="34" t="s">
        <v>37</v>
      </c>
      <c r="D761" s="35">
        <v>2</v>
      </c>
      <c r="E761" s="36">
        <v>28667232</v>
      </c>
      <c r="F761" s="36">
        <v>0</v>
      </c>
      <c r="G761" s="36">
        <v>0</v>
      </c>
      <c r="H761" s="36">
        <v>12859544</v>
      </c>
      <c r="I761" s="36">
        <v>0</v>
      </c>
      <c r="J761" s="37">
        <v>3460560</v>
      </c>
      <c r="K761" s="36">
        <v>41526776</v>
      </c>
      <c r="L761" s="50">
        <v>44987336</v>
      </c>
      <c r="M761" s="39"/>
      <c r="N761" s="36">
        <v>41526776</v>
      </c>
      <c r="O761" s="36">
        <v>28667232</v>
      </c>
      <c r="P761" s="235"/>
      <c r="Q761" s="36">
        <f>Q760*1936.27</f>
        <v>50147437.754554003</v>
      </c>
      <c r="R761" s="7"/>
      <c r="S761" s="7"/>
      <c r="T761" s="7"/>
      <c r="U761" s="7"/>
      <c r="V761" s="7"/>
      <c r="W761" s="7"/>
      <c r="X761" s="7"/>
      <c r="Y761" s="7"/>
      <c r="Z761" s="7"/>
    </row>
    <row r="762" spans="1:26" ht="12.75" customHeight="1" x14ac:dyDescent="0.2">
      <c r="A762" s="156">
        <v>39630</v>
      </c>
      <c r="B762" s="156">
        <v>39813</v>
      </c>
      <c r="C762" s="40" t="s">
        <v>36</v>
      </c>
      <c r="D762" s="41">
        <v>3</v>
      </c>
      <c r="E762" s="30">
        <v>15424.52</v>
      </c>
      <c r="F762" s="30">
        <v>0</v>
      </c>
      <c r="G762" s="30">
        <v>0</v>
      </c>
      <c r="H762" s="30">
        <v>6641.4</v>
      </c>
      <c r="I762" s="30">
        <v>0</v>
      </c>
      <c r="J762" s="42">
        <v>1838.83</v>
      </c>
      <c r="K762" s="43">
        <v>22065.919999999998</v>
      </c>
      <c r="L762" s="51">
        <v>23904.75</v>
      </c>
      <c r="M762" s="33"/>
      <c r="N762" s="30">
        <v>22065.919999999998</v>
      </c>
      <c r="O762" s="30">
        <v>15424.52</v>
      </c>
      <c r="P762" s="236"/>
      <c r="Q762" s="30">
        <f>(N762+O762*0.18+J762)+(IF((P762-O762*0.18)&gt;0,(P762-O762*0.18),0))</f>
        <v>26681.1636</v>
      </c>
      <c r="R762" s="7"/>
      <c r="S762" s="7"/>
      <c r="T762" s="7"/>
      <c r="U762" s="7"/>
      <c r="V762" s="7"/>
      <c r="W762" s="7"/>
      <c r="X762" s="7"/>
      <c r="Y762" s="7"/>
      <c r="Z762" s="7"/>
    </row>
    <row r="763" spans="1:26" ht="9" customHeight="1" x14ac:dyDescent="0.2">
      <c r="A763" s="95"/>
      <c r="B763" s="95"/>
      <c r="C763" s="34" t="s">
        <v>37</v>
      </c>
      <c r="D763" s="35">
        <v>8</v>
      </c>
      <c r="E763" s="36">
        <v>29866035</v>
      </c>
      <c r="F763" s="36">
        <v>0</v>
      </c>
      <c r="G763" s="36">
        <v>0</v>
      </c>
      <c r="H763" s="36">
        <v>12859544</v>
      </c>
      <c r="I763" s="36">
        <v>0</v>
      </c>
      <c r="J763" s="37">
        <v>3560471</v>
      </c>
      <c r="K763" s="36">
        <v>42725579</v>
      </c>
      <c r="L763" s="50">
        <v>46286050</v>
      </c>
      <c r="M763" s="39"/>
      <c r="N763" s="36">
        <v>42725579</v>
      </c>
      <c r="O763" s="36">
        <v>29866035</v>
      </c>
      <c r="P763" s="235"/>
      <c r="Q763" s="36">
        <f>Q762*1936.27</f>
        <v>51661936.643771999</v>
      </c>
      <c r="R763" s="7"/>
      <c r="S763" s="7"/>
      <c r="T763" s="7"/>
      <c r="U763" s="7"/>
      <c r="V763" s="7"/>
      <c r="W763" s="7"/>
      <c r="X763" s="7"/>
      <c r="Y763" s="7"/>
      <c r="Z763" s="7"/>
    </row>
    <row r="764" spans="1:26" ht="12.75" customHeight="1" x14ac:dyDescent="0.2">
      <c r="A764" s="95"/>
      <c r="B764" s="95"/>
      <c r="C764" s="40" t="s">
        <v>36</v>
      </c>
      <c r="D764" s="41">
        <v>9</v>
      </c>
      <c r="E764" s="30">
        <v>17343.12</v>
      </c>
      <c r="F764" s="30">
        <v>0</v>
      </c>
      <c r="G764" s="30">
        <v>0</v>
      </c>
      <c r="H764" s="30">
        <v>6641.4</v>
      </c>
      <c r="I764" s="30">
        <v>0</v>
      </c>
      <c r="J764" s="42">
        <v>1998.71</v>
      </c>
      <c r="K764" s="43">
        <v>23984.52</v>
      </c>
      <c r="L764" s="51">
        <v>25983.23</v>
      </c>
      <c r="M764" s="33"/>
      <c r="N764" s="30">
        <v>23984.52</v>
      </c>
      <c r="O764" s="30">
        <v>17343.12</v>
      </c>
      <c r="P764" s="236"/>
      <c r="Q764" s="30">
        <f>(N764+O764*0.18+J764)+(IF((P764-O764*0.18)&gt;0,(P764-O764*0.18),0))</f>
        <v>29104.991600000001</v>
      </c>
      <c r="R764" s="7"/>
      <c r="S764" s="7"/>
      <c r="T764" s="7"/>
      <c r="U764" s="7"/>
      <c r="V764" s="7"/>
      <c r="W764" s="7"/>
      <c r="X764" s="7"/>
      <c r="Y764" s="7"/>
      <c r="Z764" s="7"/>
    </row>
    <row r="765" spans="1:26" ht="9" customHeight="1" x14ac:dyDescent="0.2">
      <c r="A765" s="95"/>
      <c r="B765" s="95"/>
      <c r="C765" s="34" t="s">
        <v>37</v>
      </c>
      <c r="D765" s="35">
        <v>14</v>
      </c>
      <c r="E765" s="36">
        <v>33580963</v>
      </c>
      <c r="F765" s="36">
        <v>0</v>
      </c>
      <c r="G765" s="36">
        <v>0</v>
      </c>
      <c r="H765" s="36">
        <v>12859544</v>
      </c>
      <c r="I765" s="36">
        <v>0</v>
      </c>
      <c r="J765" s="37">
        <v>3870042</v>
      </c>
      <c r="K765" s="36">
        <v>46440507</v>
      </c>
      <c r="L765" s="50">
        <v>50310549</v>
      </c>
      <c r="M765" s="39"/>
      <c r="N765" s="36">
        <v>46440507</v>
      </c>
      <c r="O765" s="36">
        <v>33580963</v>
      </c>
      <c r="P765" s="235"/>
      <c r="Q765" s="36">
        <f>Q764*1936.27</f>
        <v>56355122.085331999</v>
      </c>
      <c r="R765" s="7"/>
      <c r="S765" s="7"/>
      <c r="T765" s="7"/>
      <c r="U765" s="7"/>
      <c r="V765" s="7"/>
      <c r="W765" s="7"/>
      <c r="X765" s="7"/>
      <c r="Y765" s="7"/>
      <c r="Z765" s="7"/>
    </row>
    <row r="766" spans="1:26" ht="12.75" customHeight="1" x14ac:dyDescent="0.2">
      <c r="A766" s="95"/>
      <c r="B766" s="95"/>
      <c r="C766" s="40" t="s">
        <v>36</v>
      </c>
      <c r="D766" s="41">
        <v>15</v>
      </c>
      <c r="E766" s="30">
        <v>19582.22</v>
      </c>
      <c r="F766" s="30">
        <v>0</v>
      </c>
      <c r="G766" s="30">
        <v>0</v>
      </c>
      <c r="H766" s="30">
        <v>6641.4</v>
      </c>
      <c r="I766" s="30">
        <v>0</v>
      </c>
      <c r="J766" s="42">
        <v>2185.3000000000002</v>
      </c>
      <c r="K766" s="43">
        <v>26223.62</v>
      </c>
      <c r="L766" s="51">
        <v>28408.92</v>
      </c>
      <c r="M766" s="33"/>
      <c r="N766" s="30">
        <v>26223.62</v>
      </c>
      <c r="O766" s="30">
        <v>19582.22</v>
      </c>
      <c r="P766" s="236"/>
      <c r="Q766" s="30">
        <f>(N766+O766*0.18+J766)+(IF((P766-O766*0.18)&gt;0,(P766-O766*0.18),0))</f>
        <v>31933.7196</v>
      </c>
      <c r="R766" s="7"/>
      <c r="S766" s="7"/>
      <c r="T766" s="7"/>
      <c r="U766" s="7"/>
      <c r="V766" s="7"/>
      <c r="W766" s="7"/>
      <c r="X766" s="7"/>
      <c r="Y766" s="7"/>
      <c r="Z766" s="7"/>
    </row>
    <row r="767" spans="1:26" ht="9" customHeight="1" x14ac:dyDescent="0.2">
      <c r="A767" s="95"/>
      <c r="B767" s="95"/>
      <c r="C767" s="34" t="s">
        <v>37</v>
      </c>
      <c r="D767" s="35">
        <v>20</v>
      </c>
      <c r="E767" s="36">
        <v>37916465</v>
      </c>
      <c r="F767" s="36">
        <v>0</v>
      </c>
      <c r="G767" s="36">
        <v>0</v>
      </c>
      <c r="H767" s="36">
        <v>12859544</v>
      </c>
      <c r="I767" s="36">
        <v>0</v>
      </c>
      <c r="J767" s="37">
        <v>4231331</v>
      </c>
      <c r="K767" s="36">
        <v>50776009</v>
      </c>
      <c r="L767" s="50">
        <v>55007340</v>
      </c>
      <c r="M767" s="39"/>
      <c r="N767" s="36">
        <v>50776009</v>
      </c>
      <c r="O767" s="36">
        <v>37916465</v>
      </c>
      <c r="P767" s="235"/>
      <c r="Q767" s="36">
        <f>Q766*1936.27</f>
        <v>61832303.249891996</v>
      </c>
      <c r="R767" s="7"/>
      <c r="S767" s="7"/>
      <c r="T767" s="7"/>
      <c r="U767" s="7"/>
      <c r="V767" s="7"/>
      <c r="W767" s="7"/>
      <c r="X767" s="7"/>
      <c r="Y767" s="7"/>
      <c r="Z767" s="7"/>
    </row>
    <row r="768" spans="1:26" ht="12.75" customHeight="1" x14ac:dyDescent="0.2">
      <c r="A768" s="95"/>
      <c r="B768" s="95"/>
      <c r="C768" s="40" t="s">
        <v>36</v>
      </c>
      <c r="D768" s="41">
        <v>21</v>
      </c>
      <c r="E768" s="30">
        <v>21977.47</v>
      </c>
      <c r="F768" s="30">
        <v>0</v>
      </c>
      <c r="G768" s="30">
        <v>0</v>
      </c>
      <c r="H768" s="30">
        <v>6641.4</v>
      </c>
      <c r="I768" s="30">
        <v>0</v>
      </c>
      <c r="J768" s="42">
        <v>2384.91</v>
      </c>
      <c r="K768" s="43">
        <v>28618.87</v>
      </c>
      <c r="L768" s="51">
        <v>31003.78</v>
      </c>
      <c r="M768" s="33"/>
      <c r="N768" s="30">
        <v>28618.87</v>
      </c>
      <c r="O768" s="30">
        <v>21977.47</v>
      </c>
      <c r="P768" s="236"/>
      <c r="Q768" s="30">
        <f>(N768+O768*0.18+J768)+(IF((P768-O768*0.18)&gt;0,(P768-O768*0.18),0))</f>
        <v>34959.724600000001</v>
      </c>
      <c r="R768" s="7"/>
      <c r="S768" s="7"/>
      <c r="T768" s="7"/>
      <c r="U768" s="7"/>
      <c r="V768" s="7"/>
      <c r="W768" s="7"/>
      <c r="X768" s="7"/>
      <c r="Y768" s="7"/>
      <c r="Z768" s="7"/>
    </row>
    <row r="769" spans="1:26" ht="9" customHeight="1" x14ac:dyDescent="0.2">
      <c r="A769" s="95"/>
      <c r="B769" s="95"/>
      <c r="C769" s="34" t="s">
        <v>37</v>
      </c>
      <c r="D769" s="35">
        <v>27</v>
      </c>
      <c r="E769" s="36">
        <v>42554316</v>
      </c>
      <c r="F769" s="36">
        <v>0</v>
      </c>
      <c r="G769" s="36">
        <v>0</v>
      </c>
      <c r="H769" s="36">
        <v>12859544</v>
      </c>
      <c r="I769" s="36">
        <v>0</v>
      </c>
      <c r="J769" s="37">
        <v>4617830</v>
      </c>
      <c r="K769" s="36">
        <v>55413859</v>
      </c>
      <c r="L769" s="50">
        <v>60031689</v>
      </c>
      <c r="M769" s="39"/>
      <c r="N769" s="36">
        <v>55413859</v>
      </c>
      <c r="O769" s="36">
        <v>42554316</v>
      </c>
      <c r="P769" s="235"/>
      <c r="Q769" s="36">
        <f>Q768*1936.27</f>
        <v>67691465.951242</v>
      </c>
      <c r="R769" s="7"/>
      <c r="S769" s="7"/>
      <c r="T769" s="7"/>
      <c r="U769" s="7"/>
      <c r="V769" s="7"/>
      <c r="W769" s="7"/>
      <c r="X769" s="7"/>
      <c r="Y769" s="7"/>
      <c r="Z769" s="7"/>
    </row>
    <row r="770" spans="1:26" ht="12.75" customHeight="1" x14ac:dyDescent="0.2">
      <c r="A770" s="95"/>
      <c r="B770" s="95"/>
      <c r="C770" s="40" t="s">
        <v>36</v>
      </c>
      <c r="D770" s="41">
        <v>28</v>
      </c>
      <c r="E770" s="30">
        <v>24438.66</v>
      </c>
      <c r="F770" s="30">
        <v>0</v>
      </c>
      <c r="G770" s="30">
        <v>0</v>
      </c>
      <c r="H770" s="30">
        <v>6641.4</v>
      </c>
      <c r="I770" s="30">
        <v>0</v>
      </c>
      <c r="J770" s="42">
        <v>2590.0100000000002</v>
      </c>
      <c r="K770" s="43">
        <v>31080.06</v>
      </c>
      <c r="L770" s="51">
        <v>33670.07</v>
      </c>
      <c r="M770" s="33"/>
      <c r="N770" s="30">
        <v>31080.06</v>
      </c>
      <c r="O770" s="30">
        <v>24438.66</v>
      </c>
      <c r="P770" s="236"/>
      <c r="Q770" s="30">
        <f>(N770+O770*0.18+J770)+(IF((P770-O770*0.18)&gt;0,(P770-O770*0.18),0))</f>
        <v>38069.0288</v>
      </c>
      <c r="R770" s="7"/>
      <c r="S770" s="7"/>
      <c r="T770" s="7"/>
      <c r="U770" s="7"/>
      <c r="V770" s="7"/>
      <c r="W770" s="7"/>
      <c r="X770" s="7"/>
      <c r="Y770" s="7"/>
      <c r="Z770" s="7"/>
    </row>
    <row r="771" spans="1:26" ht="9" customHeight="1" x14ac:dyDescent="0.2">
      <c r="A771" s="95"/>
      <c r="B771" s="95"/>
      <c r="C771" s="34" t="s">
        <v>37</v>
      </c>
      <c r="D771" s="35">
        <v>34</v>
      </c>
      <c r="E771" s="36">
        <v>47319844</v>
      </c>
      <c r="F771" s="36">
        <v>0</v>
      </c>
      <c r="G771" s="36">
        <v>0</v>
      </c>
      <c r="H771" s="36">
        <v>12859544</v>
      </c>
      <c r="I771" s="36">
        <v>0</v>
      </c>
      <c r="J771" s="37">
        <v>5014959</v>
      </c>
      <c r="K771" s="36">
        <v>60179388</v>
      </c>
      <c r="L771" s="50">
        <v>65194346</v>
      </c>
      <c r="M771" s="39"/>
      <c r="N771" s="36">
        <v>60179388</v>
      </c>
      <c r="O771" s="36">
        <v>47319844</v>
      </c>
      <c r="P771" s="235"/>
      <c r="Q771" s="36">
        <f>Q770*1936.27</f>
        <v>73711918.394575998</v>
      </c>
      <c r="R771" s="7"/>
      <c r="S771" s="7"/>
      <c r="T771" s="7"/>
      <c r="U771" s="7"/>
      <c r="V771" s="7"/>
      <c r="W771" s="7"/>
      <c r="X771" s="7"/>
      <c r="Y771" s="7"/>
      <c r="Z771" s="7"/>
    </row>
    <row r="772" spans="1:26" ht="12.75" customHeight="1" x14ac:dyDescent="0.2">
      <c r="A772" s="95"/>
      <c r="B772" s="95"/>
      <c r="C772" s="40" t="s">
        <v>36</v>
      </c>
      <c r="D772" s="41">
        <v>35</v>
      </c>
      <c r="E772" s="30">
        <v>26832.639999999999</v>
      </c>
      <c r="F772" s="30">
        <v>0</v>
      </c>
      <c r="G772" s="30">
        <v>0</v>
      </c>
      <c r="H772" s="30">
        <v>6641.4</v>
      </c>
      <c r="I772" s="30">
        <v>0</v>
      </c>
      <c r="J772" s="42">
        <v>2789.5</v>
      </c>
      <c r="K772" s="43">
        <v>33474.04</v>
      </c>
      <c r="L772" s="51">
        <v>36263.54</v>
      </c>
      <c r="M772" s="33"/>
      <c r="N772" s="30">
        <v>33474.04</v>
      </c>
      <c r="O772" s="30">
        <v>26832.639999999999</v>
      </c>
      <c r="P772" s="236"/>
      <c r="Q772" s="30">
        <f>(N772+O772*0.18+J772)+(IF((P772-O772*0.18)&gt;0,(P772-O772*0.18),0))</f>
        <v>41093.415200000003</v>
      </c>
      <c r="R772" s="7"/>
      <c r="S772" s="7"/>
      <c r="T772" s="7"/>
      <c r="U772" s="7"/>
      <c r="V772" s="7"/>
      <c r="W772" s="7"/>
      <c r="X772" s="7"/>
      <c r="Y772" s="7"/>
      <c r="Z772" s="7"/>
    </row>
    <row r="773" spans="1:26" ht="9" customHeight="1" x14ac:dyDescent="0.2">
      <c r="A773" s="110"/>
      <c r="B773" s="110"/>
      <c r="C773" s="47" t="s">
        <v>37</v>
      </c>
      <c r="D773" s="48"/>
      <c r="E773" s="36">
        <v>51955236</v>
      </c>
      <c r="F773" s="36">
        <v>0</v>
      </c>
      <c r="G773" s="36">
        <v>0</v>
      </c>
      <c r="H773" s="36">
        <v>12859544</v>
      </c>
      <c r="I773" s="36">
        <v>0</v>
      </c>
      <c r="J773" s="49">
        <v>5401225</v>
      </c>
      <c r="K773" s="46">
        <v>64814779</v>
      </c>
      <c r="L773" s="52">
        <v>70216005</v>
      </c>
      <c r="M773" s="39"/>
      <c r="N773" s="36">
        <v>64814779</v>
      </c>
      <c r="O773" s="36">
        <v>51955236</v>
      </c>
      <c r="P773" s="235"/>
      <c r="Q773" s="36">
        <f>Q772*1936.27</f>
        <v>79567947.049304008</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7"/>
      <c r="M774" s="39"/>
      <c r="N774" s="96"/>
      <c r="O774" s="96"/>
      <c r="P774" s="235"/>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7"/>
      <c r="M775" s="39"/>
      <c r="N775" s="96"/>
      <c r="O775" s="96"/>
      <c r="P775" s="235"/>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7"/>
      <c r="M776" s="39"/>
      <c r="N776" s="96"/>
      <c r="O776" s="96"/>
      <c r="P776" s="235"/>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7"/>
      <c r="M777" s="39"/>
      <c r="N777" s="96"/>
      <c r="O777" s="96"/>
      <c r="P777" s="235"/>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7"/>
      <c r="M778" s="39"/>
      <c r="N778" s="96"/>
      <c r="O778" s="96"/>
      <c r="P778" s="235"/>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7"/>
      <c r="M779" s="39"/>
      <c r="N779" s="96"/>
      <c r="O779" s="96"/>
      <c r="P779" s="235"/>
      <c r="Q779" s="96"/>
      <c r="R779" s="7"/>
      <c r="S779" s="7"/>
      <c r="T779" s="7"/>
      <c r="U779" s="7"/>
      <c r="V779" s="7"/>
      <c r="W779" s="7"/>
      <c r="X779" s="7"/>
      <c r="Y779" s="7"/>
      <c r="Z779" s="7"/>
    </row>
    <row r="780" spans="1:26" ht="12.75" customHeight="1" x14ac:dyDescent="0.2">
      <c r="A780" s="98">
        <v>39814</v>
      </c>
      <c r="B780" s="98">
        <v>40268</v>
      </c>
      <c r="C780" s="28" t="s">
        <v>36</v>
      </c>
      <c r="D780" s="29">
        <v>0</v>
      </c>
      <c r="E780" s="30">
        <v>15431.67</v>
      </c>
      <c r="F780" s="30">
        <v>0</v>
      </c>
      <c r="G780" s="30">
        <v>0</v>
      </c>
      <c r="H780" s="30">
        <v>6641.4</v>
      </c>
      <c r="I780" s="30">
        <v>0</v>
      </c>
      <c r="J780" s="30">
        <v>1839.42</v>
      </c>
      <c r="K780" s="31">
        <v>22073.07</v>
      </c>
      <c r="L780" s="32">
        <v>23912.49</v>
      </c>
      <c r="M780" s="33"/>
      <c r="N780" s="30">
        <v>22073.07</v>
      </c>
      <c r="O780" s="30">
        <v>15431.67</v>
      </c>
      <c r="P780" s="236"/>
      <c r="Q780" s="30">
        <f>(N780+O780*0.18+J780)+(IF((P780-O780*0.18)&gt;0,(P780-O780*0.18),0))</f>
        <v>26690.190600000002</v>
      </c>
      <c r="R780" s="7"/>
      <c r="S780" s="7"/>
      <c r="T780" s="7"/>
      <c r="U780" s="7"/>
      <c r="V780" s="7"/>
      <c r="W780" s="7"/>
      <c r="X780" s="7"/>
      <c r="Y780" s="7"/>
      <c r="Z780" s="7"/>
    </row>
    <row r="781" spans="1:26" ht="9" customHeight="1" x14ac:dyDescent="0.2">
      <c r="A781" s="95"/>
      <c r="B781" s="95"/>
      <c r="C781" s="34" t="s">
        <v>37</v>
      </c>
      <c r="D781" s="35">
        <v>2</v>
      </c>
      <c r="E781" s="36">
        <v>29879880</v>
      </c>
      <c r="F781" s="36">
        <v>0</v>
      </c>
      <c r="G781" s="36">
        <v>0</v>
      </c>
      <c r="H781" s="36">
        <v>12859544</v>
      </c>
      <c r="I781" s="36">
        <v>0</v>
      </c>
      <c r="J781" s="37">
        <v>3561614</v>
      </c>
      <c r="K781" s="36">
        <v>42739423</v>
      </c>
      <c r="L781" s="50">
        <v>46301037</v>
      </c>
      <c r="M781" s="39"/>
      <c r="N781" s="36">
        <v>42739423</v>
      </c>
      <c r="O781" s="36">
        <v>29879880</v>
      </c>
      <c r="P781" s="235"/>
      <c r="Q781" s="36">
        <f>Q780*1936.27</f>
        <v>51679415.353062004</v>
      </c>
      <c r="R781" s="7"/>
      <c r="S781" s="7"/>
      <c r="T781" s="7"/>
      <c r="U781" s="7"/>
      <c r="V781" s="7"/>
      <c r="W781" s="7"/>
      <c r="X781" s="7"/>
      <c r="Y781" s="7"/>
      <c r="Z781" s="7"/>
    </row>
    <row r="782" spans="1:26" ht="12.75" customHeight="1" x14ac:dyDescent="0.2">
      <c r="A782" s="156">
        <v>39814</v>
      </c>
      <c r="B782" s="156">
        <v>40268</v>
      </c>
      <c r="C782" s="40" t="s">
        <v>36</v>
      </c>
      <c r="D782" s="41">
        <v>3</v>
      </c>
      <c r="E782" s="30">
        <v>16074.32</v>
      </c>
      <c r="F782" s="30">
        <v>0</v>
      </c>
      <c r="G782" s="30">
        <v>0</v>
      </c>
      <c r="H782" s="30">
        <v>6641.4</v>
      </c>
      <c r="I782" s="30">
        <v>0</v>
      </c>
      <c r="J782" s="42">
        <v>1892.98</v>
      </c>
      <c r="K782" s="43">
        <v>22715.72</v>
      </c>
      <c r="L782" s="51">
        <v>24608.7</v>
      </c>
      <c r="M782" s="33"/>
      <c r="N782" s="30">
        <v>22715.72</v>
      </c>
      <c r="O782" s="30">
        <v>16074.32</v>
      </c>
      <c r="P782" s="236"/>
      <c r="Q782" s="30">
        <f>(N782+O782*0.18+J782)+(IF((P782-O782*0.18)&gt;0,(P782-O782*0.18),0))</f>
        <v>27502.077600000001</v>
      </c>
      <c r="R782" s="7"/>
      <c r="S782" s="7"/>
      <c r="T782" s="7"/>
      <c r="U782" s="7"/>
      <c r="V782" s="7"/>
      <c r="W782" s="7"/>
      <c r="X782" s="7"/>
      <c r="Y782" s="7"/>
      <c r="Z782" s="7"/>
    </row>
    <row r="783" spans="1:26" ht="9" customHeight="1" x14ac:dyDescent="0.2">
      <c r="A783" s="95"/>
      <c r="B783" s="95"/>
      <c r="C783" s="34" t="s">
        <v>37</v>
      </c>
      <c r="D783" s="35">
        <v>8</v>
      </c>
      <c r="E783" s="36">
        <v>31124224</v>
      </c>
      <c r="F783" s="36">
        <v>0</v>
      </c>
      <c r="G783" s="36">
        <v>0</v>
      </c>
      <c r="H783" s="36">
        <v>12859544</v>
      </c>
      <c r="I783" s="36">
        <v>0</v>
      </c>
      <c r="J783" s="37">
        <v>3665320</v>
      </c>
      <c r="K783" s="36">
        <v>43983767</v>
      </c>
      <c r="L783" s="50">
        <v>47649088</v>
      </c>
      <c r="M783" s="39"/>
      <c r="N783" s="36">
        <v>43983767</v>
      </c>
      <c r="O783" s="36">
        <v>31124224</v>
      </c>
      <c r="P783" s="235"/>
      <c r="Q783" s="36">
        <f>Q782*1936.27</f>
        <v>53251447.794551998</v>
      </c>
      <c r="R783" s="7"/>
      <c r="S783" s="7"/>
      <c r="T783" s="7"/>
      <c r="U783" s="7"/>
      <c r="V783" s="7"/>
      <c r="W783" s="7"/>
      <c r="X783" s="7"/>
      <c r="Y783" s="7"/>
      <c r="Z783" s="7"/>
    </row>
    <row r="784" spans="1:26" ht="12.75" customHeight="1" x14ac:dyDescent="0.2">
      <c r="A784" s="95"/>
      <c r="B784" s="95"/>
      <c r="C784" s="40" t="s">
        <v>36</v>
      </c>
      <c r="D784" s="41">
        <v>9</v>
      </c>
      <c r="E784" s="30">
        <v>18065.759999999998</v>
      </c>
      <c r="F784" s="30">
        <v>0</v>
      </c>
      <c r="G784" s="30">
        <v>0</v>
      </c>
      <c r="H784" s="30">
        <v>6641.4</v>
      </c>
      <c r="I784" s="30">
        <v>0</v>
      </c>
      <c r="J784" s="42">
        <v>2058.9299999999998</v>
      </c>
      <c r="K784" s="43">
        <v>24707.16</v>
      </c>
      <c r="L784" s="51">
        <v>26766.09</v>
      </c>
      <c r="M784" s="33"/>
      <c r="N784" s="30">
        <v>24707.16</v>
      </c>
      <c r="O784" s="30">
        <v>18065.759999999998</v>
      </c>
      <c r="P784" s="236"/>
      <c r="Q784" s="30">
        <f>(N784+O784*0.18+J784)+(IF((P784-O784*0.18)&gt;0,(P784-O784*0.18),0))</f>
        <v>30017.926800000001</v>
      </c>
      <c r="R784" s="7"/>
      <c r="S784" s="7"/>
      <c r="T784" s="7"/>
      <c r="U784" s="7"/>
      <c r="V784" s="7"/>
      <c r="W784" s="7"/>
      <c r="X784" s="7"/>
      <c r="Y784" s="7"/>
      <c r="Z784" s="7"/>
    </row>
    <row r="785" spans="1:26" ht="9" customHeight="1" x14ac:dyDescent="0.2">
      <c r="A785" s="95"/>
      <c r="B785" s="95"/>
      <c r="C785" s="34" t="s">
        <v>37</v>
      </c>
      <c r="D785" s="35">
        <v>14</v>
      </c>
      <c r="E785" s="36">
        <v>34980189</v>
      </c>
      <c r="F785" s="36">
        <v>0</v>
      </c>
      <c r="G785" s="36">
        <v>0</v>
      </c>
      <c r="H785" s="36">
        <v>12859544</v>
      </c>
      <c r="I785" s="36">
        <v>0</v>
      </c>
      <c r="J785" s="37">
        <v>3986644</v>
      </c>
      <c r="K785" s="36">
        <v>47839733</v>
      </c>
      <c r="L785" s="50">
        <v>51826377</v>
      </c>
      <c r="M785" s="39"/>
      <c r="N785" s="36">
        <v>47839733</v>
      </c>
      <c r="O785" s="36">
        <v>34980189</v>
      </c>
      <c r="P785" s="235"/>
      <c r="Q785" s="36">
        <f>Q784*1936.27</f>
        <v>58122811.125036001</v>
      </c>
      <c r="R785" s="7"/>
      <c r="S785" s="7"/>
      <c r="T785" s="7"/>
      <c r="U785" s="7"/>
      <c r="V785" s="7"/>
      <c r="W785" s="7"/>
      <c r="X785" s="7"/>
      <c r="Y785" s="7"/>
      <c r="Z785" s="7"/>
    </row>
    <row r="786" spans="1:26" ht="12.75" customHeight="1" x14ac:dyDescent="0.2">
      <c r="A786" s="95"/>
      <c r="B786" s="95"/>
      <c r="C786" s="40" t="s">
        <v>36</v>
      </c>
      <c r="D786" s="41">
        <v>15</v>
      </c>
      <c r="E786" s="30">
        <v>20389.82</v>
      </c>
      <c r="F786" s="30">
        <v>0</v>
      </c>
      <c r="G786" s="30">
        <v>0</v>
      </c>
      <c r="H786" s="30">
        <v>6641.4</v>
      </c>
      <c r="I786" s="30">
        <v>0</v>
      </c>
      <c r="J786" s="42">
        <v>2252.6</v>
      </c>
      <c r="K786" s="43">
        <v>27031.22</v>
      </c>
      <c r="L786" s="51">
        <v>29283.82</v>
      </c>
      <c r="M786" s="33"/>
      <c r="N786" s="30">
        <v>27031.22</v>
      </c>
      <c r="O786" s="30">
        <v>20389.82</v>
      </c>
      <c r="P786" s="236"/>
      <c r="Q786" s="30">
        <f>(N786+O786*0.18+J786)+(IF((P786-O786*0.18)&gt;0,(P786-O786*0.18),0))</f>
        <v>32953.9876</v>
      </c>
      <c r="R786" s="7"/>
      <c r="S786" s="7"/>
      <c r="T786" s="7"/>
      <c r="U786" s="7"/>
      <c r="V786" s="7"/>
      <c r="W786" s="7"/>
      <c r="X786" s="7"/>
      <c r="Y786" s="7"/>
      <c r="Z786" s="7"/>
    </row>
    <row r="787" spans="1:26" ht="9" customHeight="1" x14ac:dyDescent="0.2">
      <c r="A787" s="95"/>
      <c r="B787" s="95"/>
      <c r="C787" s="34" t="s">
        <v>37</v>
      </c>
      <c r="D787" s="35">
        <v>20</v>
      </c>
      <c r="E787" s="36">
        <v>39480197</v>
      </c>
      <c r="F787" s="36">
        <v>0</v>
      </c>
      <c r="G787" s="36">
        <v>0</v>
      </c>
      <c r="H787" s="36">
        <v>12859544</v>
      </c>
      <c r="I787" s="36">
        <v>0</v>
      </c>
      <c r="J787" s="37">
        <v>4361642</v>
      </c>
      <c r="K787" s="36">
        <v>52339740</v>
      </c>
      <c r="L787" s="50">
        <v>56701382</v>
      </c>
      <c r="M787" s="39"/>
      <c r="N787" s="36">
        <v>52339740</v>
      </c>
      <c r="O787" s="36">
        <v>39480197</v>
      </c>
      <c r="P787" s="235"/>
      <c r="Q787" s="36">
        <f>Q786*1936.27</f>
        <v>63807817.570252001</v>
      </c>
      <c r="R787" s="7"/>
      <c r="S787" s="7"/>
      <c r="T787" s="7"/>
      <c r="U787" s="7"/>
      <c r="V787" s="7"/>
      <c r="W787" s="7"/>
      <c r="X787" s="7"/>
      <c r="Y787" s="7"/>
      <c r="Z787" s="7"/>
    </row>
    <row r="788" spans="1:26" ht="12.75" customHeight="1" x14ac:dyDescent="0.2">
      <c r="A788" s="95"/>
      <c r="B788" s="95"/>
      <c r="C788" s="40" t="s">
        <v>36</v>
      </c>
      <c r="D788" s="41">
        <v>21</v>
      </c>
      <c r="E788" s="30">
        <v>22875.91</v>
      </c>
      <c r="F788" s="30">
        <v>0</v>
      </c>
      <c r="G788" s="30">
        <v>0</v>
      </c>
      <c r="H788" s="30">
        <v>6641.4</v>
      </c>
      <c r="I788" s="30">
        <v>0</v>
      </c>
      <c r="J788" s="42">
        <v>2459.7800000000002</v>
      </c>
      <c r="K788" s="43">
        <v>29517.31</v>
      </c>
      <c r="L788" s="51">
        <v>31977.09</v>
      </c>
      <c r="M788" s="33"/>
      <c r="N788" s="30">
        <v>29517.31</v>
      </c>
      <c r="O788" s="30">
        <v>22875.91</v>
      </c>
      <c r="P788" s="236"/>
      <c r="Q788" s="30">
        <f>(N788+O788*0.18+J788)+(IF((P788-O788*0.18)&gt;0,(P788-O788*0.18),0))</f>
        <v>36094.753799999999</v>
      </c>
      <c r="R788" s="7"/>
      <c r="S788" s="7"/>
      <c r="T788" s="7"/>
      <c r="U788" s="7"/>
      <c r="V788" s="7"/>
      <c r="W788" s="7"/>
      <c r="X788" s="7"/>
      <c r="Y788" s="7"/>
      <c r="Z788" s="7"/>
    </row>
    <row r="789" spans="1:26" ht="9" customHeight="1" x14ac:dyDescent="0.2">
      <c r="A789" s="95"/>
      <c r="B789" s="95"/>
      <c r="C789" s="34" t="s">
        <v>37</v>
      </c>
      <c r="D789" s="35">
        <v>27</v>
      </c>
      <c r="E789" s="36">
        <v>44293938</v>
      </c>
      <c r="F789" s="36">
        <v>0</v>
      </c>
      <c r="G789" s="36">
        <v>0</v>
      </c>
      <c r="H789" s="36">
        <v>12859544</v>
      </c>
      <c r="I789" s="36">
        <v>0</v>
      </c>
      <c r="J789" s="37">
        <v>4762798</v>
      </c>
      <c r="K789" s="36">
        <v>57153482</v>
      </c>
      <c r="L789" s="50">
        <v>61916280</v>
      </c>
      <c r="M789" s="39"/>
      <c r="N789" s="36">
        <v>57153482</v>
      </c>
      <c r="O789" s="36">
        <v>44293938</v>
      </c>
      <c r="P789" s="235"/>
      <c r="Q789" s="36">
        <f>Q788*1936.27</f>
        <v>69889188.94032599</v>
      </c>
      <c r="R789" s="7"/>
      <c r="S789" s="7"/>
      <c r="T789" s="7"/>
      <c r="U789" s="7"/>
      <c r="V789" s="7"/>
      <c r="W789" s="7"/>
      <c r="X789" s="7"/>
      <c r="Y789" s="7"/>
      <c r="Z789" s="7"/>
    </row>
    <row r="790" spans="1:26" ht="12.75" customHeight="1" x14ac:dyDescent="0.2">
      <c r="A790" s="95"/>
      <c r="B790" s="95"/>
      <c r="C790" s="40" t="s">
        <v>36</v>
      </c>
      <c r="D790" s="41">
        <v>28</v>
      </c>
      <c r="E790" s="30">
        <v>25430.58</v>
      </c>
      <c r="F790" s="30">
        <v>0</v>
      </c>
      <c r="G790" s="30">
        <v>0</v>
      </c>
      <c r="H790" s="30">
        <v>6641.4</v>
      </c>
      <c r="I790" s="30">
        <v>0</v>
      </c>
      <c r="J790" s="42">
        <v>2672.67</v>
      </c>
      <c r="K790" s="43">
        <v>32071.98</v>
      </c>
      <c r="L790" s="51">
        <v>34744.65</v>
      </c>
      <c r="M790" s="33"/>
      <c r="N790" s="30">
        <v>32071.98</v>
      </c>
      <c r="O790" s="30">
        <v>25430.58</v>
      </c>
      <c r="P790" s="236"/>
      <c r="Q790" s="30">
        <f>(N790+O790*0.18+J790)+(IF((P790-O790*0.18)&gt;0,(P790-O790*0.18),0))</f>
        <v>39322.154399999999</v>
      </c>
      <c r="R790" s="7"/>
      <c r="S790" s="7"/>
      <c r="T790" s="7"/>
      <c r="U790" s="7"/>
      <c r="V790" s="7"/>
      <c r="W790" s="7"/>
      <c r="X790" s="7"/>
      <c r="Y790" s="7"/>
      <c r="Z790" s="7"/>
    </row>
    <row r="791" spans="1:26" ht="9" customHeight="1" x14ac:dyDescent="0.2">
      <c r="A791" s="95"/>
      <c r="B791" s="95"/>
      <c r="C791" s="34" t="s">
        <v>37</v>
      </c>
      <c r="D791" s="35">
        <v>34</v>
      </c>
      <c r="E791" s="36">
        <v>49240469</v>
      </c>
      <c r="F791" s="36">
        <v>0</v>
      </c>
      <c r="G791" s="36">
        <v>0</v>
      </c>
      <c r="H791" s="36">
        <v>12859544</v>
      </c>
      <c r="I791" s="36">
        <v>0</v>
      </c>
      <c r="J791" s="37">
        <v>5175011</v>
      </c>
      <c r="K791" s="36">
        <v>62100013</v>
      </c>
      <c r="L791" s="50">
        <v>67275023</v>
      </c>
      <c r="M791" s="39"/>
      <c r="N791" s="36">
        <v>62100013</v>
      </c>
      <c r="O791" s="36">
        <v>49240469</v>
      </c>
      <c r="P791" s="235"/>
      <c r="Q791" s="36">
        <f>Q790*1936.27</f>
        <v>76138307.900087997</v>
      </c>
      <c r="R791" s="7"/>
      <c r="S791" s="7"/>
      <c r="T791" s="7"/>
      <c r="U791" s="7"/>
      <c r="V791" s="7"/>
      <c r="W791" s="7"/>
      <c r="X791" s="7"/>
      <c r="Y791" s="7"/>
      <c r="Z791" s="7"/>
    </row>
    <row r="792" spans="1:26" ht="12.75" customHeight="1" x14ac:dyDescent="0.2">
      <c r="A792" s="95"/>
      <c r="B792" s="95"/>
      <c r="C792" s="40" t="s">
        <v>36</v>
      </c>
      <c r="D792" s="41">
        <v>35</v>
      </c>
      <c r="E792" s="30">
        <v>27915.4</v>
      </c>
      <c r="F792" s="30">
        <v>0</v>
      </c>
      <c r="G792" s="30">
        <v>0</v>
      </c>
      <c r="H792" s="30">
        <v>6641.4</v>
      </c>
      <c r="I792" s="30">
        <v>0</v>
      </c>
      <c r="J792" s="42">
        <v>2879.73</v>
      </c>
      <c r="K792" s="43">
        <v>34556.800000000003</v>
      </c>
      <c r="L792" s="51">
        <v>37436.53</v>
      </c>
      <c r="M792" s="33"/>
      <c r="N792" s="30">
        <v>34556.800000000003</v>
      </c>
      <c r="O792" s="30">
        <v>27915.4</v>
      </c>
      <c r="P792" s="236"/>
      <c r="Q792" s="30">
        <f>(N792+O792*0.18+J792)+(IF((P792-O792*0.18)&gt;0,(P792-O792*0.18),0))</f>
        <v>42461.302000000003</v>
      </c>
      <c r="R792" s="7"/>
      <c r="S792" s="7"/>
      <c r="T792" s="7"/>
      <c r="U792" s="7"/>
      <c r="V792" s="7"/>
      <c r="W792" s="7"/>
      <c r="X792" s="7"/>
      <c r="Y792" s="7"/>
      <c r="Z792" s="7"/>
    </row>
    <row r="793" spans="1:26" ht="9" customHeight="1" x14ac:dyDescent="0.2">
      <c r="A793" s="110"/>
      <c r="B793" s="110"/>
      <c r="C793" s="47" t="s">
        <v>37</v>
      </c>
      <c r="D793" s="48"/>
      <c r="E793" s="36">
        <v>54051752</v>
      </c>
      <c r="F793" s="36">
        <v>0</v>
      </c>
      <c r="G793" s="36">
        <v>0</v>
      </c>
      <c r="H793" s="36">
        <v>12859544</v>
      </c>
      <c r="I793" s="36">
        <v>0</v>
      </c>
      <c r="J793" s="49">
        <v>5575935</v>
      </c>
      <c r="K793" s="46">
        <v>66911295</v>
      </c>
      <c r="L793" s="52">
        <v>72487230</v>
      </c>
      <c r="M793" s="39"/>
      <c r="N793" s="36">
        <v>66911295</v>
      </c>
      <c r="O793" s="36">
        <v>54051752</v>
      </c>
      <c r="P793" s="235"/>
      <c r="Q793" s="36">
        <f>Q792*1936.27</f>
        <v>82216545.223540008</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7"/>
      <c r="M794" s="39"/>
      <c r="N794" s="96"/>
      <c r="O794" s="96"/>
      <c r="P794" s="235"/>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7"/>
      <c r="M795" s="39"/>
      <c r="N795" s="96"/>
      <c r="O795" s="96"/>
      <c r="P795" s="235"/>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7"/>
      <c r="M796" s="39"/>
      <c r="N796" s="96"/>
      <c r="O796" s="96"/>
      <c r="P796" s="235"/>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7"/>
      <c r="M797" s="39"/>
      <c r="N797" s="96"/>
      <c r="O797" s="96"/>
      <c r="P797" s="235"/>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7"/>
      <c r="M798" s="39"/>
      <c r="N798" s="96"/>
      <c r="O798" s="96"/>
      <c r="P798" s="235"/>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7"/>
      <c r="M799" s="39"/>
      <c r="N799" s="96"/>
      <c r="O799" s="96"/>
      <c r="P799" s="235"/>
      <c r="Q799" s="96"/>
      <c r="R799" s="7"/>
      <c r="S799" s="7"/>
      <c r="T799" s="7"/>
      <c r="U799" s="7"/>
      <c r="V799" s="7"/>
      <c r="W799" s="7"/>
      <c r="X799" s="7"/>
      <c r="Y799" s="7"/>
      <c r="Z799" s="7"/>
    </row>
    <row r="800" spans="1:26" ht="12.75" customHeight="1" x14ac:dyDescent="0.2">
      <c r="A800" s="98">
        <v>40269</v>
      </c>
      <c r="B800" s="98">
        <v>40359</v>
      </c>
      <c r="C800" s="28" t="s">
        <v>36</v>
      </c>
      <c r="D800" s="29">
        <v>0</v>
      </c>
      <c r="E800" s="30">
        <v>15431.67</v>
      </c>
      <c r="F800" s="30">
        <v>0</v>
      </c>
      <c r="G800" s="30">
        <v>0</v>
      </c>
      <c r="H800" s="30">
        <v>6641.4</v>
      </c>
      <c r="I800" s="30">
        <v>99.33</v>
      </c>
      <c r="J800" s="30">
        <v>1839.42</v>
      </c>
      <c r="K800" s="31">
        <v>22172.400000000001</v>
      </c>
      <c r="L800" s="32">
        <v>24011.82</v>
      </c>
      <c r="M800" s="33"/>
      <c r="N800" s="30">
        <v>22172.400000000001</v>
      </c>
      <c r="O800" s="30">
        <v>15531</v>
      </c>
      <c r="P800" s="236"/>
      <c r="Q800" s="30">
        <f>(N800+O800*0.18+J800)+(IF((P800-O800*0.18)&gt;0,(P800-O800*0.18),0))</f>
        <v>26807.4</v>
      </c>
      <c r="R800" s="7"/>
      <c r="S800" s="7"/>
      <c r="T800" s="7"/>
      <c r="U800" s="7"/>
      <c r="V800" s="7"/>
      <c r="W800" s="7"/>
      <c r="X800" s="7"/>
      <c r="Y800" s="7"/>
      <c r="Z800" s="7"/>
    </row>
    <row r="801" spans="1:26" ht="9" customHeight="1" x14ac:dyDescent="0.2">
      <c r="A801" s="95"/>
      <c r="B801" s="95"/>
      <c r="C801" s="34" t="s">
        <v>37</v>
      </c>
      <c r="D801" s="35">
        <v>2</v>
      </c>
      <c r="E801" s="36">
        <v>29879880</v>
      </c>
      <c r="F801" s="36">
        <v>0</v>
      </c>
      <c r="G801" s="36">
        <v>0</v>
      </c>
      <c r="H801" s="36">
        <v>12859544</v>
      </c>
      <c r="I801" s="36">
        <v>192330</v>
      </c>
      <c r="J801" s="37">
        <v>3561614</v>
      </c>
      <c r="K801" s="36">
        <v>42931753</v>
      </c>
      <c r="L801" s="50">
        <v>46493367</v>
      </c>
      <c r="M801" s="39"/>
      <c r="N801" s="36">
        <v>42931753</v>
      </c>
      <c r="O801" s="36">
        <v>30072209</v>
      </c>
      <c r="P801" s="235"/>
      <c r="Q801" s="36">
        <f>Q800*1936.27</f>
        <v>51906364.398000002</v>
      </c>
      <c r="R801" s="7"/>
      <c r="S801" s="7"/>
      <c r="T801" s="7"/>
      <c r="U801" s="7"/>
      <c r="V801" s="7"/>
      <c r="W801" s="7"/>
      <c r="X801" s="7"/>
      <c r="Y801" s="7"/>
      <c r="Z801" s="7"/>
    </row>
    <row r="802" spans="1:26" ht="12.75" customHeight="1" x14ac:dyDescent="0.2">
      <c r="A802" s="156">
        <v>40269</v>
      </c>
      <c r="B802" s="156">
        <v>40359</v>
      </c>
      <c r="C802" s="40" t="s">
        <v>36</v>
      </c>
      <c r="D802" s="41">
        <v>3</v>
      </c>
      <c r="E802" s="30">
        <v>16074.32</v>
      </c>
      <c r="F802" s="30">
        <v>0</v>
      </c>
      <c r="G802" s="30">
        <v>0</v>
      </c>
      <c r="H802" s="30">
        <v>6641.4</v>
      </c>
      <c r="I802" s="30">
        <v>99.33</v>
      </c>
      <c r="J802" s="42">
        <v>1892.98</v>
      </c>
      <c r="K802" s="43">
        <v>22815.05</v>
      </c>
      <c r="L802" s="51">
        <v>24708.03</v>
      </c>
      <c r="M802" s="33"/>
      <c r="N802" s="30">
        <v>22815.05</v>
      </c>
      <c r="O802" s="30">
        <v>16173.65</v>
      </c>
      <c r="P802" s="236"/>
      <c r="Q802" s="30">
        <f>(N802+O802*0.18+J802)+(IF((P802-O802*0.18)&gt;0,(P802-O802*0.18),0))</f>
        <v>27619.287</v>
      </c>
      <c r="R802" s="7"/>
      <c r="S802" s="7"/>
      <c r="T802" s="7"/>
      <c r="U802" s="7"/>
      <c r="V802" s="7"/>
      <c r="W802" s="7"/>
      <c r="X802" s="7"/>
      <c r="Y802" s="7"/>
      <c r="Z802" s="7"/>
    </row>
    <row r="803" spans="1:26" ht="9" customHeight="1" x14ac:dyDescent="0.2">
      <c r="A803" s="95"/>
      <c r="B803" s="95"/>
      <c r="C803" s="34" t="s">
        <v>37</v>
      </c>
      <c r="D803" s="35">
        <v>8</v>
      </c>
      <c r="E803" s="36">
        <v>31124224</v>
      </c>
      <c r="F803" s="36">
        <v>0</v>
      </c>
      <c r="G803" s="36">
        <v>0</v>
      </c>
      <c r="H803" s="36">
        <v>12859544</v>
      </c>
      <c r="I803" s="36">
        <v>192330</v>
      </c>
      <c r="J803" s="37">
        <v>3665320</v>
      </c>
      <c r="K803" s="36">
        <v>44176097</v>
      </c>
      <c r="L803" s="50">
        <v>47841417</v>
      </c>
      <c r="M803" s="39"/>
      <c r="N803" s="36">
        <v>44176097</v>
      </c>
      <c r="O803" s="36">
        <v>31316553</v>
      </c>
      <c r="P803" s="235"/>
      <c r="Q803" s="36">
        <f>Q802*1936.27</f>
        <v>53478396.839489996</v>
      </c>
      <c r="R803" s="7"/>
      <c r="S803" s="7"/>
      <c r="T803" s="7"/>
      <c r="U803" s="7"/>
      <c r="V803" s="7"/>
      <c r="W803" s="7"/>
      <c r="X803" s="7"/>
      <c r="Y803" s="7"/>
      <c r="Z803" s="7"/>
    </row>
    <row r="804" spans="1:26" ht="12.75" customHeight="1" x14ac:dyDescent="0.2">
      <c r="A804" s="95"/>
      <c r="B804" s="95"/>
      <c r="C804" s="40" t="s">
        <v>36</v>
      </c>
      <c r="D804" s="41">
        <v>9</v>
      </c>
      <c r="E804" s="30">
        <v>18065.759999999998</v>
      </c>
      <c r="F804" s="30">
        <v>0</v>
      </c>
      <c r="G804" s="30">
        <v>0</v>
      </c>
      <c r="H804" s="30">
        <v>6641.4</v>
      </c>
      <c r="I804" s="30">
        <v>99.33</v>
      </c>
      <c r="J804" s="42">
        <v>2058.9299999999998</v>
      </c>
      <c r="K804" s="43">
        <v>24806.49</v>
      </c>
      <c r="L804" s="51">
        <v>26865.42</v>
      </c>
      <c r="M804" s="33"/>
      <c r="N804" s="30">
        <v>24806.49</v>
      </c>
      <c r="O804" s="30">
        <v>18165.09</v>
      </c>
      <c r="P804" s="236"/>
      <c r="Q804" s="30">
        <f>(N804+O804*0.18+J804)+(IF((P804-O804*0.18)&gt;0,(P804-O804*0.18),0))</f>
        <v>30135.136200000001</v>
      </c>
      <c r="R804" s="7"/>
      <c r="S804" s="7"/>
      <c r="T804" s="7"/>
      <c r="U804" s="7"/>
      <c r="V804" s="7"/>
      <c r="W804" s="7"/>
      <c r="X804" s="7"/>
      <c r="Y804" s="7"/>
      <c r="Z804" s="7"/>
    </row>
    <row r="805" spans="1:26" ht="9" customHeight="1" x14ac:dyDescent="0.2">
      <c r="A805" s="95"/>
      <c r="B805" s="95"/>
      <c r="C805" s="34" t="s">
        <v>37</v>
      </c>
      <c r="D805" s="35">
        <v>14</v>
      </c>
      <c r="E805" s="36">
        <v>34980189</v>
      </c>
      <c r="F805" s="36">
        <v>0</v>
      </c>
      <c r="G805" s="36">
        <v>0</v>
      </c>
      <c r="H805" s="36">
        <v>12859544</v>
      </c>
      <c r="I805" s="36">
        <v>192330</v>
      </c>
      <c r="J805" s="37">
        <v>3986644</v>
      </c>
      <c r="K805" s="36">
        <v>48032062</v>
      </c>
      <c r="L805" s="50">
        <v>52018707</v>
      </c>
      <c r="M805" s="39"/>
      <c r="N805" s="36">
        <v>48032062</v>
      </c>
      <c r="O805" s="36">
        <v>35172519</v>
      </c>
      <c r="P805" s="235"/>
      <c r="Q805" s="36">
        <f>Q804*1936.27</f>
        <v>58349760.169973999</v>
      </c>
      <c r="R805" s="7"/>
      <c r="S805" s="7"/>
      <c r="T805" s="7"/>
      <c r="U805" s="7"/>
      <c r="V805" s="7"/>
      <c r="W805" s="7"/>
      <c r="X805" s="7"/>
      <c r="Y805" s="7"/>
      <c r="Z805" s="7"/>
    </row>
    <row r="806" spans="1:26" ht="12.75" customHeight="1" x14ac:dyDescent="0.2">
      <c r="A806" s="95"/>
      <c r="B806" s="95"/>
      <c r="C806" s="40" t="s">
        <v>36</v>
      </c>
      <c r="D806" s="41">
        <v>15</v>
      </c>
      <c r="E806" s="30">
        <v>20389.82</v>
      </c>
      <c r="F806" s="30">
        <v>0</v>
      </c>
      <c r="G806" s="30">
        <v>0</v>
      </c>
      <c r="H806" s="30">
        <v>6641.4</v>
      </c>
      <c r="I806" s="30">
        <v>99.33</v>
      </c>
      <c r="J806" s="42">
        <v>2252.6</v>
      </c>
      <c r="K806" s="43">
        <v>27130.55</v>
      </c>
      <c r="L806" s="51">
        <v>29383.15</v>
      </c>
      <c r="M806" s="33"/>
      <c r="N806" s="30">
        <v>27130.55</v>
      </c>
      <c r="O806" s="30">
        <v>20489.150000000001</v>
      </c>
      <c r="P806" s="236"/>
      <c r="Q806" s="30">
        <f>(N806+O806*0.18+J806)+(IF((P806-O806*0.18)&gt;0,(P806-O806*0.18),0))</f>
        <v>33071.197</v>
      </c>
      <c r="R806" s="7"/>
      <c r="S806" s="7"/>
      <c r="T806" s="7"/>
      <c r="U806" s="7"/>
      <c r="V806" s="7"/>
      <c r="W806" s="7"/>
      <c r="X806" s="7"/>
      <c r="Y806" s="7"/>
      <c r="Z806" s="7"/>
    </row>
    <row r="807" spans="1:26" ht="9" customHeight="1" x14ac:dyDescent="0.2">
      <c r="A807" s="95"/>
      <c r="B807" s="95"/>
      <c r="C807" s="34" t="s">
        <v>37</v>
      </c>
      <c r="D807" s="35">
        <v>20</v>
      </c>
      <c r="E807" s="36">
        <v>39480197</v>
      </c>
      <c r="F807" s="36">
        <v>0</v>
      </c>
      <c r="G807" s="36">
        <v>0</v>
      </c>
      <c r="H807" s="36">
        <v>12859544</v>
      </c>
      <c r="I807" s="36">
        <v>192330</v>
      </c>
      <c r="J807" s="37">
        <v>4361642</v>
      </c>
      <c r="K807" s="36">
        <v>52532070</v>
      </c>
      <c r="L807" s="50">
        <v>56893712</v>
      </c>
      <c r="M807" s="39"/>
      <c r="N807" s="36">
        <v>52532070</v>
      </c>
      <c r="O807" s="36">
        <v>39672526</v>
      </c>
      <c r="P807" s="235"/>
      <c r="Q807" s="36">
        <f>Q806*1936.27</f>
        <v>64034766.615189999</v>
      </c>
      <c r="R807" s="7"/>
      <c r="S807" s="7"/>
      <c r="T807" s="7"/>
      <c r="U807" s="7"/>
      <c r="V807" s="7"/>
      <c r="W807" s="7"/>
      <c r="X807" s="7"/>
      <c r="Y807" s="7"/>
      <c r="Z807" s="7"/>
    </row>
    <row r="808" spans="1:26" ht="12.75" customHeight="1" x14ac:dyDescent="0.2">
      <c r="A808" s="95"/>
      <c r="B808" s="95"/>
      <c r="C808" s="40" t="s">
        <v>36</v>
      </c>
      <c r="D808" s="41">
        <v>21</v>
      </c>
      <c r="E808" s="30">
        <v>22875.91</v>
      </c>
      <c r="F808" s="30">
        <v>0</v>
      </c>
      <c r="G808" s="30">
        <v>0</v>
      </c>
      <c r="H808" s="30">
        <v>6641.4</v>
      </c>
      <c r="I808" s="30">
        <v>99.33</v>
      </c>
      <c r="J808" s="42">
        <v>2459.7800000000002</v>
      </c>
      <c r="K808" s="43">
        <v>29616.639999999999</v>
      </c>
      <c r="L808" s="51">
        <v>32076.42</v>
      </c>
      <c r="M808" s="33"/>
      <c r="N808" s="30">
        <v>29616.639999999999</v>
      </c>
      <c r="O808" s="30">
        <v>22975.24</v>
      </c>
      <c r="P808" s="236"/>
      <c r="Q808" s="30">
        <f>(N808+O808*0.18+J808)+(IF((P808-O808*0.18)&gt;0,(P808-O808*0.18),0))</f>
        <v>36211.963199999998</v>
      </c>
      <c r="R808" s="7"/>
      <c r="S808" s="7"/>
      <c r="T808" s="7"/>
      <c r="U808" s="7"/>
      <c r="V808" s="7"/>
      <c r="W808" s="7"/>
      <c r="X808" s="7"/>
      <c r="Y808" s="7"/>
      <c r="Z808" s="7"/>
    </row>
    <row r="809" spans="1:26" ht="9" customHeight="1" x14ac:dyDescent="0.2">
      <c r="A809" s="95"/>
      <c r="B809" s="95"/>
      <c r="C809" s="34" t="s">
        <v>37</v>
      </c>
      <c r="D809" s="35">
        <v>27</v>
      </c>
      <c r="E809" s="36">
        <v>44293938</v>
      </c>
      <c r="F809" s="36">
        <v>0</v>
      </c>
      <c r="G809" s="36">
        <v>0</v>
      </c>
      <c r="H809" s="36">
        <v>12859544</v>
      </c>
      <c r="I809" s="36">
        <v>192330</v>
      </c>
      <c r="J809" s="37">
        <v>4762798</v>
      </c>
      <c r="K809" s="36">
        <v>57345812</v>
      </c>
      <c r="L809" s="50">
        <v>62108610</v>
      </c>
      <c r="M809" s="39"/>
      <c r="N809" s="36">
        <v>57345812</v>
      </c>
      <c r="O809" s="36">
        <v>44486268</v>
      </c>
      <c r="P809" s="235"/>
      <c r="Q809" s="36">
        <f>Q808*1936.27</f>
        <v>70116137.985264003</v>
      </c>
      <c r="R809" s="7"/>
      <c r="S809" s="7"/>
      <c r="T809" s="7"/>
      <c r="U809" s="7"/>
      <c r="V809" s="7"/>
      <c r="W809" s="7"/>
      <c r="X809" s="7"/>
      <c r="Y809" s="7"/>
      <c r="Z809" s="7"/>
    </row>
    <row r="810" spans="1:26" ht="12.75" customHeight="1" x14ac:dyDescent="0.2">
      <c r="A810" s="95"/>
      <c r="B810" s="95"/>
      <c r="C810" s="40" t="s">
        <v>36</v>
      </c>
      <c r="D810" s="41">
        <v>28</v>
      </c>
      <c r="E810" s="30">
        <v>25430.58</v>
      </c>
      <c r="F810" s="30">
        <v>0</v>
      </c>
      <c r="G810" s="30">
        <v>0</v>
      </c>
      <c r="H810" s="30">
        <v>6641.4</v>
      </c>
      <c r="I810" s="30">
        <v>99.33</v>
      </c>
      <c r="J810" s="42">
        <v>2672.67</v>
      </c>
      <c r="K810" s="43">
        <v>32171.31</v>
      </c>
      <c r="L810" s="51">
        <v>34843.980000000003</v>
      </c>
      <c r="M810" s="33"/>
      <c r="N810" s="30">
        <v>32171.31</v>
      </c>
      <c r="O810" s="30">
        <v>25529.91</v>
      </c>
      <c r="P810" s="236"/>
      <c r="Q810" s="30">
        <f>(N810+O810*0.18+J810)+(IF((P810-O810*0.18)&gt;0,(P810-O810*0.18),0))</f>
        <v>39439.363799999999</v>
      </c>
      <c r="R810" s="7"/>
      <c r="S810" s="7"/>
      <c r="T810" s="7"/>
      <c r="U810" s="7"/>
      <c r="V810" s="7"/>
      <c r="W810" s="7"/>
      <c r="X810" s="7"/>
      <c r="Y810" s="7"/>
      <c r="Z810" s="7"/>
    </row>
    <row r="811" spans="1:26" ht="9" customHeight="1" x14ac:dyDescent="0.2">
      <c r="A811" s="95"/>
      <c r="B811" s="95"/>
      <c r="C811" s="34" t="s">
        <v>37</v>
      </c>
      <c r="D811" s="35">
        <v>34</v>
      </c>
      <c r="E811" s="36">
        <v>49240469</v>
      </c>
      <c r="F811" s="36">
        <v>0</v>
      </c>
      <c r="G811" s="36">
        <v>0</v>
      </c>
      <c r="H811" s="36">
        <v>12859544</v>
      </c>
      <c r="I811" s="36">
        <v>192330</v>
      </c>
      <c r="J811" s="37">
        <v>5175011</v>
      </c>
      <c r="K811" s="36">
        <v>62292342</v>
      </c>
      <c r="L811" s="50">
        <v>67467353</v>
      </c>
      <c r="M811" s="39"/>
      <c r="N811" s="36">
        <v>62292342</v>
      </c>
      <c r="O811" s="36">
        <v>49432799</v>
      </c>
      <c r="P811" s="235"/>
      <c r="Q811" s="36">
        <f>Q810*1936.27</f>
        <v>76365256.945025995</v>
      </c>
      <c r="R811" s="7"/>
      <c r="S811" s="7"/>
      <c r="T811" s="7"/>
      <c r="U811" s="7"/>
      <c r="V811" s="7"/>
      <c r="W811" s="7"/>
      <c r="X811" s="7"/>
      <c r="Y811" s="7"/>
      <c r="Z811" s="7"/>
    </row>
    <row r="812" spans="1:26" ht="12.75" customHeight="1" x14ac:dyDescent="0.2">
      <c r="A812" s="95"/>
      <c r="B812" s="95"/>
      <c r="C812" s="40" t="s">
        <v>36</v>
      </c>
      <c r="D812" s="41">
        <v>35</v>
      </c>
      <c r="E812" s="30">
        <v>27915.4</v>
      </c>
      <c r="F812" s="30">
        <v>0</v>
      </c>
      <c r="G812" s="30">
        <v>0</v>
      </c>
      <c r="H812" s="30">
        <v>6641.4</v>
      </c>
      <c r="I812" s="30">
        <v>99.33</v>
      </c>
      <c r="J812" s="42">
        <v>2879.73</v>
      </c>
      <c r="K812" s="43">
        <v>34656.129999999997</v>
      </c>
      <c r="L812" s="51">
        <v>37535.86</v>
      </c>
      <c r="M812" s="33"/>
      <c r="N812" s="30">
        <v>34656.129999999997</v>
      </c>
      <c r="O812" s="30">
        <v>28014.73</v>
      </c>
      <c r="P812" s="236"/>
      <c r="Q812" s="30">
        <f>(N812+O812*0.18+J812)+(IF((P812-O812*0.18)&gt;0,(P812-O812*0.18),0))</f>
        <v>42578.511400000003</v>
      </c>
      <c r="R812" s="7"/>
      <c r="S812" s="7"/>
      <c r="T812" s="7"/>
      <c r="U812" s="7"/>
      <c r="V812" s="7"/>
      <c r="W812" s="7"/>
      <c r="X812" s="7"/>
      <c r="Y812" s="7"/>
      <c r="Z812" s="7"/>
    </row>
    <row r="813" spans="1:26" ht="9" customHeight="1" x14ac:dyDescent="0.2">
      <c r="A813" s="110"/>
      <c r="B813" s="110"/>
      <c r="C813" s="47" t="s">
        <v>37</v>
      </c>
      <c r="D813" s="48"/>
      <c r="E813" s="36">
        <v>54051752</v>
      </c>
      <c r="F813" s="36">
        <v>0</v>
      </c>
      <c r="G813" s="36">
        <v>0</v>
      </c>
      <c r="H813" s="36">
        <v>12859544</v>
      </c>
      <c r="I813" s="36">
        <v>192330</v>
      </c>
      <c r="J813" s="49">
        <v>5575935</v>
      </c>
      <c r="K813" s="46">
        <v>67103625</v>
      </c>
      <c r="L813" s="52">
        <v>72679560</v>
      </c>
      <c r="M813" s="39"/>
      <c r="N813" s="36">
        <v>67103625</v>
      </c>
      <c r="O813" s="36">
        <v>54244081</v>
      </c>
      <c r="P813" s="235"/>
      <c r="Q813" s="36">
        <f>Q812*1936.27</f>
        <v>82443494.268478006</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7"/>
      <c r="M814" s="39"/>
      <c r="N814" s="96"/>
      <c r="O814" s="96"/>
      <c r="P814" s="235"/>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7"/>
      <c r="M815" s="39"/>
      <c r="N815" s="96"/>
      <c r="O815" s="96"/>
      <c r="P815" s="235"/>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7"/>
      <c r="M816" s="39"/>
      <c r="N816" s="96"/>
      <c r="O816" s="96"/>
      <c r="P816" s="235"/>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7"/>
      <c r="M817" s="39"/>
      <c r="N817" s="96"/>
      <c r="O817" s="96"/>
      <c r="P817" s="235"/>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7"/>
      <c r="M818" s="39"/>
      <c r="N818" s="96"/>
      <c r="O818" s="96"/>
      <c r="P818" s="235"/>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7"/>
      <c r="M819" s="39"/>
      <c r="N819" s="96"/>
      <c r="O819" s="96"/>
      <c r="P819" s="235"/>
      <c r="Q819" s="96"/>
      <c r="R819" s="7"/>
      <c r="S819" s="7"/>
      <c r="T819" s="7"/>
      <c r="U819" s="7"/>
      <c r="V819" s="7"/>
      <c r="W819" s="7"/>
      <c r="X819" s="7"/>
      <c r="Y819" s="7"/>
      <c r="Z819" s="7"/>
    </row>
    <row r="820" spans="1:26" ht="12.75" customHeight="1" x14ac:dyDescent="0.2">
      <c r="A820" s="98">
        <v>40360</v>
      </c>
      <c r="B820" s="98">
        <v>40421</v>
      </c>
      <c r="C820" s="28" t="s">
        <v>36</v>
      </c>
      <c r="D820" s="29">
        <v>0</v>
      </c>
      <c r="E820" s="30">
        <v>15431.67</v>
      </c>
      <c r="F820" s="30">
        <v>0</v>
      </c>
      <c r="G820" s="30">
        <v>0</v>
      </c>
      <c r="H820" s="30">
        <v>6641.4</v>
      </c>
      <c r="I820" s="30">
        <v>165.55</v>
      </c>
      <c r="J820" s="30">
        <v>1839.42</v>
      </c>
      <c r="K820" s="31">
        <v>22238.62</v>
      </c>
      <c r="L820" s="32">
        <v>24078.04</v>
      </c>
      <c r="M820" s="33"/>
      <c r="N820" s="30">
        <v>22238.62</v>
      </c>
      <c r="O820" s="30">
        <v>15597.22</v>
      </c>
      <c r="P820" s="236"/>
      <c r="Q820" s="30">
        <f>(N820+O820*0.18+J820)+(IF((P820-O820*0.18)&gt;0,(P820-O820*0.18),0))</f>
        <v>26885.539599999996</v>
      </c>
      <c r="R820" s="7"/>
      <c r="S820" s="7"/>
      <c r="T820" s="7"/>
      <c r="U820" s="7"/>
      <c r="V820" s="7"/>
      <c r="W820" s="7"/>
      <c r="X820" s="7"/>
      <c r="Y820" s="7"/>
      <c r="Z820" s="7"/>
    </row>
    <row r="821" spans="1:26" ht="9" customHeight="1" x14ac:dyDescent="0.2">
      <c r="A821" s="95"/>
      <c r="B821" s="95"/>
      <c r="C821" s="34" t="s">
        <v>37</v>
      </c>
      <c r="D821" s="35">
        <v>2</v>
      </c>
      <c r="E821" s="36">
        <v>29879880</v>
      </c>
      <c r="F821" s="36">
        <v>0</v>
      </c>
      <c r="G821" s="36">
        <v>0</v>
      </c>
      <c r="H821" s="36">
        <v>12859544</v>
      </c>
      <c r="I821" s="36">
        <v>320549</v>
      </c>
      <c r="J821" s="37">
        <v>3561614</v>
      </c>
      <c r="K821" s="36">
        <v>43059973</v>
      </c>
      <c r="L821" s="50">
        <v>46621587</v>
      </c>
      <c r="M821" s="39"/>
      <c r="N821" s="36">
        <v>43059973</v>
      </c>
      <c r="O821" s="36">
        <v>30200429</v>
      </c>
      <c r="P821" s="235"/>
      <c r="Q821" s="36">
        <f>Q820*1936.27</f>
        <v>52057663.761291996</v>
      </c>
      <c r="R821" s="7"/>
      <c r="S821" s="7"/>
      <c r="T821" s="7"/>
      <c r="U821" s="7"/>
      <c r="V821" s="7"/>
      <c r="W821" s="7"/>
      <c r="X821" s="7"/>
      <c r="Y821" s="7"/>
      <c r="Z821" s="7"/>
    </row>
    <row r="822" spans="1:26" ht="12.75" customHeight="1" x14ac:dyDescent="0.2">
      <c r="A822" s="156">
        <v>40360</v>
      </c>
      <c r="B822" s="156">
        <v>40421</v>
      </c>
      <c r="C822" s="40" t="s">
        <v>36</v>
      </c>
      <c r="D822" s="41">
        <v>3</v>
      </c>
      <c r="E822" s="30">
        <v>16074.32</v>
      </c>
      <c r="F822" s="30">
        <v>0</v>
      </c>
      <c r="G822" s="30">
        <v>0</v>
      </c>
      <c r="H822" s="30">
        <v>6641.4</v>
      </c>
      <c r="I822" s="30">
        <v>165.55</v>
      </c>
      <c r="J822" s="42">
        <v>1892.98</v>
      </c>
      <c r="K822" s="43">
        <v>22881.27</v>
      </c>
      <c r="L822" s="51">
        <v>24774.25</v>
      </c>
      <c r="M822" s="33"/>
      <c r="N822" s="30">
        <v>22881.27</v>
      </c>
      <c r="O822" s="30">
        <v>16239.87</v>
      </c>
      <c r="P822" s="236"/>
      <c r="Q822" s="30">
        <f>(N822+O822*0.18+J822)+(IF((P822-O822*0.18)&gt;0,(P822-O822*0.18),0))</f>
        <v>27697.426599999999</v>
      </c>
      <c r="R822" s="7"/>
      <c r="S822" s="7"/>
      <c r="T822" s="7"/>
      <c r="U822" s="7"/>
      <c r="V822" s="7"/>
      <c r="W822" s="7"/>
      <c r="X822" s="7"/>
      <c r="Y822" s="7"/>
      <c r="Z822" s="7"/>
    </row>
    <row r="823" spans="1:26" ht="9" customHeight="1" x14ac:dyDescent="0.2">
      <c r="A823" s="95"/>
      <c r="B823" s="95"/>
      <c r="C823" s="34" t="s">
        <v>37</v>
      </c>
      <c r="D823" s="35">
        <v>8</v>
      </c>
      <c r="E823" s="36">
        <v>31124224</v>
      </c>
      <c r="F823" s="36">
        <v>0</v>
      </c>
      <c r="G823" s="36">
        <v>0</v>
      </c>
      <c r="H823" s="36">
        <v>12859544</v>
      </c>
      <c r="I823" s="36">
        <v>320549</v>
      </c>
      <c r="J823" s="37">
        <v>3665320</v>
      </c>
      <c r="K823" s="36">
        <v>44304317</v>
      </c>
      <c r="L823" s="50">
        <v>47969637</v>
      </c>
      <c r="M823" s="39"/>
      <c r="N823" s="36">
        <v>44304317</v>
      </c>
      <c r="O823" s="36">
        <v>31444773</v>
      </c>
      <c r="P823" s="235"/>
      <c r="Q823" s="36">
        <f>Q822*1936.27</f>
        <v>53629696.202781998</v>
      </c>
      <c r="R823" s="7"/>
      <c r="S823" s="7"/>
      <c r="T823" s="7"/>
      <c r="U823" s="7"/>
      <c r="V823" s="7"/>
      <c r="W823" s="7"/>
      <c r="X823" s="7"/>
      <c r="Y823" s="7"/>
      <c r="Z823" s="7"/>
    </row>
    <row r="824" spans="1:26" ht="12.75" customHeight="1" x14ac:dyDescent="0.2">
      <c r="A824" s="95"/>
      <c r="B824" s="95"/>
      <c r="C824" s="40" t="s">
        <v>36</v>
      </c>
      <c r="D824" s="41">
        <v>9</v>
      </c>
      <c r="E824" s="30">
        <v>18065.759999999998</v>
      </c>
      <c r="F824" s="30">
        <v>0</v>
      </c>
      <c r="G824" s="30">
        <v>0</v>
      </c>
      <c r="H824" s="30">
        <v>6641.4</v>
      </c>
      <c r="I824" s="30">
        <v>165.55</v>
      </c>
      <c r="J824" s="42">
        <v>2058.9299999999998</v>
      </c>
      <c r="K824" s="43">
        <v>24872.71</v>
      </c>
      <c r="L824" s="51">
        <v>26931.64</v>
      </c>
      <c r="M824" s="33"/>
      <c r="N824" s="30">
        <v>24872.71</v>
      </c>
      <c r="O824" s="30">
        <v>18231.310000000001</v>
      </c>
      <c r="P824" s="236"/>
      <c r="Q824" s="30">
        <f>(N824+O824*0.18+J824)+(IF((P824-O824*0.18)&gt;0,(P824-O824*0.18),0))</f>
        <v>30213.275799999999</v>
      </c>
      <c r="R824" s="7"/>
      <c r="S824" s="7"/>
      <c r="T824" s="7"/>
      <c r="U824" s="7"/>
      <c r="V824" s="7"/>
      <c r="W824" s="7"/>
      <c r="X824" s="7"/>
      <c r="Y824" s="7"/>
      <c r="Z824" s="7"/>
    </row>
    <row r="825" spans="1:26" ht="9" customHeight="1" x14ac:dyDescent="0.2">
      <c r="A825" s="95"/>
      <c r="B825" s="95"/>
      <c r="C825" s="34" t="s">
        <v>37</v>
      </c>
      <c r="D825" s="35">
        <v>14</v>
      </c>
      <c r="E825" s="36">
        <v>34980189</v>
      </c>
      <c r="F825" s="36">
        <v>0</v>
      </c>
      <c r="G825" s="36">
        <v>0</v>
      </c>
      <c r="H825" s="36">
        <v>12859544</v>
      </c>
      <c r="I825" s="36">
        <v>320549</v>
      </c>
      <c r="J825" s="37">
        <v>3986644</v>
      </c>
      <c r="K825" s="36">
        <v>48160282</v>
      </c>
      <c r="L825" s="50">
        <v>52146927</v>
      </c>
      <c r="M825" s="39"/>
      <c r="N825" s="36">
        <v>48160282</v>
      </c>
      <c r="O825" s="36">
        <v>35300739</v>
      </c>
      <c r="P825" s="235"/>
      <c r="Q825" s="36">
        <f>Q824*1936.27</f>
        <v>58501059.533266</v>
      </c>
      <c r="R825" s="7"/>
      <c r="S825" s="7"/>
      <c r="T825" s="7"/>
      <c r="U825" s="7"/>
      <c r="V825" s="7"/>
      <c r="W825" s="7"/>
      <c r="X825" s="7"/>
      <c r="Y825" s="7"/>
      <c r="Z825" s="7"/>
    </row>
    <row r="826" spans="1:26" ht="12.75" customHeight="1" x14ac:dyDescent="0.2">
      <c r="A826" s="95"/>
      <c r="B826" s="95"/>
      <c r="C826" s="40" t="s">
        <v>36</v>
      </c>
      <c r="D826" s="41">
        <v>15</v>
      </c>
      <c r="E826" s="30">
        <v>20389.82</v>
      </c>
      <c r="F826" s="30">
        <v>0</v>
      </c>
      <c r="G826" s="30">
        <v>0</v>
      </c>
      <c r="H826" s="30">
        <v>6641.4</v>
      </c>
      <c r="I826" s="30">
        <v>165.55</v>
      </c>
      <c r="J826" s="42">
        <v>2252.6</v>
      </c>
      <c r="K826" s="43">
        <v>27196.77</v>
      </c>
      <c r="L826" s="51">
        <v>29449.37</v>
      </c>
      <c r="M826" s="33"/>
      <c r="N826" s="30">
        <v>27196.77</v>
      </c>
      <c r="O826" s="30">
        <v>20555.37</v>
      </c>
      <c r="P826" s="236"/>
      <c r="Q826" s="30">
        <f>(N826+O826*0.18+J826)+(IF((P826-O826*0.18)&gt;0,(P826-O826*0.18),0))</f>
        <v>33149.336600000002</v>
      </c>
      <c r="R826" s="7"/>
      <c r="S826" s="7"/>
      <c r="T826" s="7"/>
      <c r="U826" s="7"/>
      <c r="V826" s="7"/>
      <c r="W826" s="7"/>
      <c r="X826" s="7"/>
      <c r="Y826" s="7"/>
      <c r="Z826" s="7"/>
    </row>
    <row r="827" spans="1:26" ht="9" customHeight="1" x14ac:dyDescent="0.2">
      <c r="A827" s="95"/>
      <c r="B827" s="95"/>
      <c r="C827" s="34" t="s">
        <v>37</v>
      </c>
      <c r="D827" s="35">
        <v>20</v>
      </c>
      <c r="E827" s="36">
        <v>39480197</v>
      </c>
      <c r="F827" s="36">
        <v>0</v>
      </c>
      <c r="G827" s="36">
        <v>0</v>
      </c>
      <c r="H827" s="36">
        <v>12859544</v>
      </c>
      <c r="I827" s="36">
        <v>320549</v>
      </c>
      <c r="J827" s="37">
        <v>4361642</v>
      </c>
      <c r="K827" s="36">
        <v>52660290</v>
      </c>
      <c r="L827" s="50">
        <v>57021932</v>
      </c>
      <c r="M827" s="39"/>
      <c r="N827" s="36">
        <v>52660290</v>
      </c>
      <c r="O827" s="36">
        <v>39800746</v>
      </c>
      <c r="P827" s="235"/>
      <c r="Q827" s="36">
        <f>Q826*1936.27</f>
        <v>64186065.978482001</v>
      </c>
      <c r="R827" s="7"/>
      <c r="S827" s="7"/>
      <c r="T827" s="7"/>
      <c r="U827" s="7"/>
      <c r="V827" s="7"/>
      <c r="W827" s="7"/>
      <c r="X827" s="7"/>
      <c r="Y827" s="7"/>
      <c r="Z827" s="7"/>
    </row>
    <row r="828" spans="1:26" ht="12.75" customHeight="1" x14ac:dyDescent="0.2">
      <c r="A828" s="95"/>
      <c r="B828" s="95"/>
      <c r="C828" s="40" t="s">
        <v>36</v>
      </c>
      <c r="D828" s="41">
        <v>21</v>
      </c>
      <c r="E828" s="30">
        <v>22875.91</v>
      </c>
      <c r="F828" s="30">
        <v>0</v>
      </c>
      <c r="G828" s="30">
        <v>0</v>
      </c>
      <c r="H828" s="30">
        <v>6641.4</v>
      </c>
      <c r="I828" s="30">
        <v>165.55</v>
      </c>
      <c r="J828" s="42">
        <v>2459.7800000000002</v>
      </c>
      <c r="K828" s="43">
        <v>29682.86</v>
      </c>
      <c r="L828" s="51">
        <v>32142.639999999999</v>
      </c>
      <c r="M828" s="33"/>
      <c r="N828" s="30">
        <v>29682.86</v>
      </c>
      <c r="O828" s="30">
        <v>23041.46</v>
      </c>
      <c r="P828" s="236"/>
      <c r="Q828" s="30">
        <f>(N828+O828*0.18+J828)+(IF((P828-O828*0.18)&gt;0,(P828-O828*0.18),0))</f>
        <v>36290.102800000001</v>
      </c>
      <c r="R828" s="7"/>
      <c r="S828" s="7"/>
      <c r="T828" s="7"/>
      <c r="U828" s="7"/>
      <c r="V828" s="7"/>
      <c r="W828" s="7"/>
      <c r="X828" s="7"/>
      <c r="Y828" s="7"/>
      <c r="Z828" s="7"/>
    </row>
    <row r="829" spans="1:26" ht="9" customHeight="1" x14ac:dyDescent="0.2">
      <c r="A829" s="95"/>
      <c r="B829" s="95"/>
      <c r="C829" s="34" t="s">
        <v>37</v>
      </c>
      <c r="D829" s="35">
        <v>27</v>
      </c>
      <c r="E829" s="36">
        <v>44293938</v>
      </c>
      <c r="F829" s="36">
        <v>0</v>
      </c>
      <c r="G829" s="36">
        <v>0</v>
      </c>
      <c r="H829" s="36">
        <v>12859544</v>
      </c>
      <c r="I829" s="36">
        <v>320549</v>
      </c>
      <c r="J829" s="37">
        <v>4762798</v>
      </c>
      <c r="K829" s="36">
        <v>57474031</v>
      </c>
      <c r="L829" s="50">
        <v>62236830</v>
      </c>
      <c r="M829" s="39"/>
      <c r="N829" s="36">
        <v>57474031</v>
      </c>
      <c r="O829" s="36">
        <v>44614488</v>
      </c>
      <c r="P829" s="235"/>
      <c r="Q829" s="36">
        <f>Q828*1936.27</f>
        <v>70267437.348555997</v>
      </c>
      <c r="R829" s="7"/>
      <c r="S829" s="7"/>
      <c r="T829" s="7"/>
      <c r="U829" s="7"/>
      <c r="V829" s="7"/>
      <c r="W829" s="7"/>
      <c r="X829" s="7"/>
      <c r="Y829" s="7"/>
      <c r="Z829" s="7"/>
    </row>
    <row r="830" spans="1:26" ht="12.75" customHeight="1" x14ac:dyDescent="0.2">
      <c r="A830" s="95"/>
      <c r="B830" s="95"/>
      <c r="C830" s="40" t="s">
        <v>36</v>
      </c>
      <c r="D830" s="41">
        <v>28</v>
      </c>
      <c r="E830" s="30">
        <v>25430.58</v>
      </c>
      <c r="F830" s="30">
        <v>0</v>
      </c>
      <c r="G830" s="30">
        <v>0</v>
      </c>
      <c r="H830" s="30">
        <v>6641.4</v>
      </c>
      <c r="I830" s="30">
        <v>165.55</v>
      </c>
      <c r="J830" s="42">
        <v>2672.67</v>
      </c>
      <c r="K830" s="43">
        <v>32237.53</v>
      </c>
      <c r="L830" s="51">
        <v>34910.199999999997</v>
      </c>
      <c r="M830" s="33"/>
      <c r="N830" s="30">
        <v>32237.53</v>
      </c>
      <c r="O830" s="30">
        <v>25596.13</v>
      </c>
      <c r="P830" s="236"/>
      <c r="Q830" s="30">
        <f>(N830+O830*0.18+J830)+(IF((P830-O830*0.18)&gt;0,(P830-O830*0.18),0))</f>
        <v>39517.503399999994</v>
      </c>
      <c r="R830" s="7"/>
      <c r="S830" s="7"/>
      <c r="T830" s="7"/>
      <c r="U830" s="7"/>
      <c r="V830" s="7"/>
      <c r="W830" s="7"/>
      <c r="X830" s="7"/>
      <c r="Y830" s="7"/>
      <c r="Z830" s="7"/>
    </row>
    <row r="831" spans="1:26" ht="9" customHeight="1" x14ac:dyDescent="0.2">
      <c r="A831" s="95"/>
      <c r="B831" s="95"/>
      <c r="C831" s="34" t="s">
        <v>37</v>
      </c>
      <c r="D831" s="35">
        <v>34</v>
      </c>
      <c r="E831" s="36">
        <v>49240469</v>
      </c>
      <c r="F831" s="36">
        <v>0</v>
      </c>
      <c r="G831" s="36">
        <v>0</v>
      </c>
      <c r="H831" s="36">
        <v>12859544</v>
      </c>
      <c r="I831" s="36">
        <v>320549</v>
      </c>
      <c r="J831" s="37">
        <v>5175011</v>
      </c>
      <c r="K831" s="36">
        <v>62420562</v>
      </c>
      <c r="L831" s="50">
        <v>67595573</v>
      </c>
      <c r="M831" s="39"/>
      <c r="N831" s="36">
        <v>62420562</v>
      </c>
      <c r="O831" s="36">
        <v>49561019</v>
      </c>
      <c r="P831" s="235"/>
      <c r="Q831" s="36">
        <f>Q830*1936.27</f>
        <v>76516556.308317989</v>
      </c>
      <c r="R831" s="7"/>
      <c r="S831" s="7"/>
      <c r="T831" s="7"/>
      <c r="U831" s="7"/>
      <c r="V831" s="7"/>
      <c r="W831" s="7"/>
      <c r="X831" s="7"/>
      <c r="Y831" s="7"/>
      <c r="Z831" s="7"/>
    </row>
    <row r="832" spans="1:26" ht="12.75" customHeight="1" x14ac:dyDescent="0.2">
      <c r="A832" s="95"/>
      <c r="B832" s="95"/>
      <c r="C832" s="40" t="s">
        <v>36</v>
      </c>
      <c r="D832" s="41">
        <v>35</v>
      </c>
      <c r="E832" s="30">
        <v>27915.4</v>
      </c>
      <c r="F832" s="30">
        <v>0</v>
      </c>
      <c r="G832" s="30">
        <v>0</v>
      </c>
      <c r="H832" s="30">
        <v>6641.4</v>
      </c>
      <c r="I832" s="30">
        <v>165.55</v>
      </c>
      <c r="J832" s="42">
        <v>2879.73</v>
      </c>
      <c r="K832" s="43">
        <v>34722.35</v>
      </c>
      <c r="L832" s="51">
        <v>37602.080000000002</v>
      </c>
      <c r="M832" s="33"/>
      <c r="N832" s="30">
        <v>34722.35</v>
      </c>
      <c r="O832" s="30">
        <v>28080.95</v>
      </c>
      <c r="P832" s="236"/>
      <c r="Q832" s="30">
        <f>(N832+O832*0.18+J832)+(IF((P832-O832*0.18)&gt;0,(P832-O832*0.18),0))</f>
        <v>42656.651000000005</v>
      </c>
      <c r="R832" s="7"/>
      <c r="S832" s="7"/>
      <c r="T832" s="7"/>
      <c r="U832" s="7"/>
      <c r="V832" s="7"/>
      <c r="W832" s="7"/>
      <c r="X832" s="7"/>
      <c r="Y832" s="7"/>
      <c r="Z832" s="7"/>
    </row>
    <row r="833" spans="1:26" ht="9" customHeight="1" x14ac:dyDescent="0.2">
      <c r="A833" s="110"/>
      <c r="B833" s="110"/>
      <c r="C833" s="47" t="s">
        <v>37</v>
      </c>
      <c r="D833" s="48"/>
      <c r="E833" s="46">
        <v>54051752</v>
      </c>
      <c r="F833" s="46">
        <v>0</v>
      </c>
      <c r="G833" s="46">
        <v>0</v>
      </c>
      <c r="H833" s="46">
        <v>12859544</v>
      </c>
      <c r="I833" s="46">
        <v>320549</v>
      </c>
      <c r="J833" s="49">
        <v>5575935</v>
      </c>
      <c r="K833" s="46">
        <v>67231845</v>
      </c>
      <c r="L833" s="52">
        <v>72807779</v>
      </c>
      <c r="M833" s="39"/>
      <c r="N833" s="46">
        <v>67231845</v>
      </c>
      <c r="O833" s="46">
        <v>54372301</v>
      </c>
      <c r="P833" s="235"/>
      <c r="Q833" s="46">
        <f>Q832*1936.27</f>
        <v>82594793.631770015</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7"/>
      <c r="M834" s="39"/>
      <c r="N834" s="96"/>
      <c r="O834" s="96"/>
      <c r="P834" s="235"/>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7"/>
      <c r="M835" s="39"/>
      <c r="N835" s="96"/>
      <c r="O835" s="96"/>
      <c r="P835" s="235"/>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7"/>
      <c r="M836" s="39"/>
      <c r="N836" s="96"/>
      <c r="O836" s="96"/>
      <c r="P836" s="235"/>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7"/>
      <c r="M837" s="39"/>
      <c r="N837" s="96"/>
      <c r="O837" s="96"/>
      <c r="P837" s="235"/>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7"/>
      <c r="M838" s="39"/>
      <c r="N838" s="96"/>
      <c r="O838" s="96"/>
      <c r="P838" s="235"/>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7"/>
      <c r="M839" s="39"/>
      <c r="N839" s="96"/>
      <c r="O839" s="96"/>
      <c r="P839" s="235"/>
      <c r="Q839" s="96"/>
      <c r="R839" s="7"/>
      <c r="S839" s="7"/>
      <c r="T839" s="7"/>
      <c r="U839" s="7"/>
      <c r="V839" s="7"/>
      <c r="W839" s="7"/>
      <c r="X839" s="7"/>
      <c r="Y839" s="7"/>
      <c r="Z839" s="7"/>
    </row>
    <row r="840" spans="1:26" ht="12.75" customHeight="1" x14ac:dyDescent="0.2">
      <c r="A840" s="98">
        <v>40422</v>
      </c>
      <c r="B840" s="98">
        <v>40543</v>
      </c>
      <c r="C840" s="28" t="s">
        <v>36</v>
      </c>
      <c r="D840" s="29">
        <v>0</v>
      </c>
      <c r="E840" s="30">
        <v>15431.67</v>
      </c>
      <c r="F840" s="30">
        <v>0</v>
      </c>
      <c r="G840" s="30">
        <v>0</v>
      </c>
      <c r="H840" s="30">
        <v>6641.4</v>
      </c>
      <c r="I840" s="30">
        <v>165.55</v>
      </c>
      <c r="J840" s="30">
        <v>1839.42</v>
      </c>
      <c r="K840" s="31">
        <v>22238.62</v>
      </c>
      <c r="L840" s="32">
        <v>24078.04</v>
      </c>
      <c r="M840" s="33"/>
      <c r="N840" s="30">
        <v>22238.62</v>
      </c>
      <c r="O840" s="30">
        <v>15597.22</v>
      </c>
      <c r="P840" s="236"/>
      <c r="Q840" s="30">
        <f>(N840+O840*0.18+J840)+(IF((P840-O840*0.18)&gt;0,(P840-O840*0.18),0))</f>
        <v>26885.539599999996</v>
      </c>
      <c r="R840" s="7"/>
      <c r="S840" s="7"/>
      <c r="T840" s="7"/>
      <c r="U840" s="7"/>
      <c r="V840" s="7"/>
      <c r="W840" s="7"/>
      <c r="X840" s="7"/>
      <c r="Y840" s="7"/>
      <c r="Z840" s="7"/>
    </row>
    <row r="841" spans="1:26" ht="9" customHeight="1" x14ac:dyDescent="0.2">
      <c r="A841" s="95"/>
      <c r="B841" s="95"/>
      <c r="C841" s="34" t="s">
        <v>37</v>
      </c>
      <c r="D841" s="35">
        <v>2</v>
      </c>
      <c r="E841" s="36">
        <v>29879880</v>
      </c>
      <c r="F841" s="36">
        <v>0</v>
      </c>
      <c r="G841" s="36">
        <v>0</v>
      </c>
      <c r="H841" s="36">
        <v>12859544</v>
      </c>
      <c r="I841" s="36">
        <v>320549</v>
      </c>
      <c r="J841" s="37">
        <v>3561614</v>
      </c>
      <c r="K841" s="36">
        <v>43059973</v>
      </c>
      <c r="L841" s="50">
        <v>46621587</v>
      </c>
      <c r="M841" s="39"/>
      <c r="N841" s="36">
        <v>43059973</v>
      </c>
      <c r="O841" s="36">
        <v>30200429</v>
      </c>
      <c r="P841" s="235"/>
      <c r="Q841" s="36">
        <f>Q840*1936.27</f>
        <v>52057663.761291996</v>
      </c>
      <c r="R841" s="7"/>
      <c r="S841" s="7"/>
      <c r="T841" s="7"/>
      <c r="U841" s="7"/>
      <c r="V841" s="7"/>
      <c r="W841" s="7"/>
      <c r="X841" s="7"/>
      <c r="Y841" s="7"/>
      <c r="Z841" s="7"/>
    </row>
    <row r="842" spans="1:26" ht="12.75" customHeight="1" x14ac:dyDescent="0.2">
      <c r="A842" s="156">
        <v>40422</v>
      </c>
      <c r="B842" s="156">
        <v>40543</v>
      </c>
      <c r="C842" s="40" t="s">
        <v>36</v>
      </c>
      <c r="D842" s="41">
        <v>3</v>
      </c>
      <c r="E842" s="30">
        <v>15431.67</v>
      </c>
      <c r="F842" s="30">
        <v>0</v>
      </c>
      <c r="G842" s="30">
        <v>0</v>
      </c>
      <c r="H842" s="30">
        <v>6641.4</v>
      </c>
      <c r="I842" s="30">
        <v>165.55</v>
      </c>
      <c r="J842" s="42">
        <v>1892.98</v>
      </c>
      <c r="K842" s="43">
        <v>22881.27</v>
      </c>
      <c r="L842" s="51">
        <v>24774.25</v>
      </c>
      <c r="M842" s="33"/>
      <c r="N842" s="30">
        <v>22881.27</v>
      </c>
      <c r="O842" s="30">
        <v>16239.87</v>
      </c>
      <c r="P842" s="236"/>
      <c r="Q842" s="30">
        <f>(N842+O842*0.18+J842)+(IF((P842-O842*0.18)&gt;0,(P842-O842*0.18),0))</f>
        <v>27697.426599999999</v>
      </c>
      <c r="R842" s="7"/>
      <c r="S842" s="7"/>
      <c r="T842" s="7"/>
      <c r="U842" s="7"/>
      <c r="V842" s="7"/>
      <c r="W842" s="7"/>
      <c r="X842" s="7"/>
      <c r="Y842" s="7"/>
      <c r="Z842" s="7"/>
    </row>
    <row r="843" spans="1:26" ht="9" customHeight="1" x14ac:dyDescent="0.2">
      <c r="A843" s="95"/>
      <c r="B843" s="95"/>
      <c r="C843" s="34" t="s">
        <v>37</v>
      </c>
      <c r="D843" s="35">
        <v>8</v>
      </c>
      <c r="E843" s="36">
        <v>29879880</v>
      </c>
      <c r="F843" s="36">
        <v>0</v>
      </c>
      <c r="G843" s="36">
        <v>0</v>
      </c>
      <c r="H843" s="36">
        <v>12859544</v>
      </c>
      <c r="I843" s="36">
        <v>320549</v>
      </c>
      <c r="J843" s="37">
        <v>3665320</v>
      </c>
      <c r="K843" s="36">
        <v>44304317</v>
      </c>
      <c r="L843" s="50">
        <v>47969637</v>
      </c>
      <c r="M843" s="39"/>
      <c r="N843" s="36">
        <v>44304317</v>
      </c>
      <c r="O843" s="36">
        <v>31444773</v>
      </c>
      <c r="P843" s="235"/>
      <c r="Q843" s="36">
        <f>Q842*1936.27</f>
        <v>53629696.202781998</v>
      </c>
      <c r="R843" s="7"/>
      <c r="S843" s="7"/>
      <c r="T843" s="7"/>
      <c r="U843" s="7"/>
      <c r="V843" s="7"/>
      <c r="W843" s="7"/>
      <c r="X843" s="7"/>
      <c r="Y843" s="7"/>
      <c r="Z843" s="7"/>
    </row>
    <row r="844" spans="1:26" ht="12.75" customHeight="1" x14ac:dyDescent="0.2">
      <c r="A844" s="95"/>
      <c r="B844" s="95"/>
      <c r="C844" s="40" t="s">
        <v>36</v>
      </c>
      <c r="D844" s="41">
        <v>9</v>
      </c>
      <c r="E844" s="30">
        <v>18065.759999999998</v>
      </c>
      <c r="F844" s="30">
        <v>0</v>
      </c>
      <c r="G844" s="30">
        <v>0</v>
      </c>
      <c r="H844" s="30">
        <v>6641.4</v>
      </c>
      <c r="I844" s="30">
        <v>165.55</v>
      </c>
      <c r="J844" s="42">
        <v>2058.9299999999998</v>
      </c>
      <c r="K844" s="43">
        <v>24872.71</v>
      </c>
      <c r="L844" s="51">
        <v>26931.64</v>
      </c>
      <c r="M844" s="33"/>
      <c r="N844" s="30">
        <v>24872.71</v>
      </c>
      <c r="O844" s="30">
        <v>18231.310000000001</v>
      </c>
      <c r="P844" s="236"/>
      <c r="Q844" s="30">
        <f>(N844+O844*0.18+J844)+(IF((P844-O844*0.18)&gt;0,(P844-O844*0.18),0))</f>
        <v>30213.275799999999</v>
      </c>
      <c r="R844" s="7"/>
      <c r="S844" s="7"/>
      <c r="T844" s="7"/>
      <c r="U844" s="7"/>
      <c r="V844" s="7"/>
      <c r="W844" s="7"/>
      <c r="X844" s="7"/>
      <c r="Y844" s="7"/>
      <c r="Z844" s="7"/>
    </row>
    <row r="845" spans="1:26" ht="9" customHeight="1" x14ac:dyDescent="0.2">
      <c r="A845" s="95"/>
      <c r="B845" s="95"/>
      <c r="C845" s="34" t="s">
        <v>37</v>
      </c>
      <c r="D845" s="35">
        <v>14</v>
      </c>
      <c r="E845" s="36">
        <v>34980189</v>
      </c>
      <c r="F845" s="36">
        <v>0</v>
      </c>
      <c r="G845" s="36">
        <v>0</v>
      </c>
      <c r="H845" s="36">
        <v>12859544</v>
      </c>
      <c r="I845" s="36">
        <v>320549</v>
      </c>
      <c r="J845" s="37">
        <v>3986644</v>
      </c>
      <c r="K845" s="36">
        <v>48160282</v>
      </c>
      <c r="L845" s="50">
        <v>52146927</v>
      </c>
      <c r="M845" s="39"/>
      <c r="N845" s="36">
        <v>48160282</v>
      </c>
      <c r="O845" s="36">
        <v>35300739</v>
      </c>
      <c r="P845" s="235"/>
      <c r="Q845" s="36">
        <f>Q844*1936.27</f>
        <v>58501059.533266</v>
      </c>
      <c r="R845" s="7"/>
      <c r="S845" s="7"/>
      <c r="T845" s="7"/>
      <c r="U845" s="7"/>
      <c r="V845" s="7"/>
      <c r="W845" s="7"/>
      <c r="X845" s="7"/>
      <c r="Y845" s="7"/>
      <c r="Z845" s="7"/>
    </row>
    <row r="846" spans="1:26" ht="12.75" customHeight="1" x14ac:dyDescent="0.2">
      <c r="A846" s="95"/>
      <c r="B846" s="95"/>
      <c r="C846" s="40" t="s">
        <v>36</v>
      </c>
      <c r="D846" s="41">
        <v>15</v>
      </c>
      <c r="E846" s="30">
        <v>20389.82</v>
      </c>
      <c r="F846" s="30">
        <v>0</v>
      </c>
      <c r="G846" s="30">
        <v>0</v>
      </c>
      <c r="H846" s="30">
        <v>6641.4</v>
      </c>
      <c r="I846" s="30">
        <v>165.55</v>
      </c>
      <c r="J846" s="42">
        <v>2252.6</v>
      </c>
      <c r="K846" s="43">
        <v>27196.77</v>
      </c>
      <c r="L846" s="51">
        <v>29449.37</v>
      </c>
      <c r="M846" s="33"/>
      <c r="N846" s="30">
        <v>27196.77</v>
      </c>
      <c r="O846" s="30">
        <v>20555.37</v>
      </c>
      <c r="P846" s="236"/>
      <c r="Q846" s="30">
        <f>(N846+O846*0.18+J846)+(IF((P846-O846*0.18)&gt;0,(P846-O846*0.18),0))</f>
        <v>33149.336600000002</v>
      </c>
      <c r="R846" s="7"/>
      <c r="S846" s="7"/>
      <c r="T846" s="7"/>
      <c r="U846" s="7"/>
      <c r="V846" s="7"/>
      <c r="W846" s="7"/>
      <c r="X846" s="7"/>
      <c r="Y846" s="7"/>
      <c r="Z846" s="7"/>
    </row>
    <row r="847" spans="1:26" ht="9" customHeight="1" x14ac:dyDescent="0.2">
      <c r="A847" s="95"/>
      <c r="B847" s="95"/>
      <c r="C847" s="34" t="s">
        <v>37</v>
      </c>
      <c r="D847" s="35">
        <v>20</v>
      </c>
      <c r="E847" s="36">
        <v>39480197</v>
      </c>
      <c r="F847" s="36">
        <v>0</v>
      </c>
      <c r="G847" s="36">
        <v>0</v>
      </c>
      <c r="H847" s="36">
        <v>12859544</v>
      </c>
      <c r="I847" s="36">
        <v>320549</v>
      </c>
      <c r="J847" s="37">
        <v>4361642</v>
      </c>
      <c r="K847" s="36">
        <v>52660290</v>
      </c>
      <c r="L847" s="50">
        <v>57021932</v>
      </c>
      <c r="M847" s="39"/>
      <c r="N847" s="36">
        <v>52660290</v>
      </c>
      <c r="O847" s="36">
        <v>39800746</v>
      </c>
      <c r="P847" s="235"/>
      <c r="Q847" s="36">
        <f>Q846*1936.27</f>
        <v>64186065.978482001</v>
      </c>
      <c r="R847" s="7"/>
      <c r="S847" s="7"/>
      <c r="T847" s="7"/>
      <c r="U847" s="7"/>
      <c r="V847" s="7"/>
      <c r="W847" s="7"/>
      <c r="X847" s="7"/>
      <c r="Y847" s="7"/>
      <c r="Z847" s="7"/>
    </row>
    <row r="848" spans="1:26" ht="12.75" customHeight="1" x14ac:dyDescent="0.2">
      <c r="A848" s="95"/>
      <c r="B848" s="95"/>
      <c r="C848" s="40" t="s">
        <v>36</v>
      </c>
      <c r="D848" s="41">
        <v>21</v>
      </c>
      <c r="E848" s="30">
        <v>22875.91</v>
      </c>
      <c r="F848" s="30">
        <v>0</v>
      </c>
      <c r="G848" s="30">
        <v>0</v>
      </c>
      <c r="H848" s="30">
        <v>6641.4</v>
      </c>
      <c r="I848" s="30">
        <v>165.55</v>
      </c>
      <c r="J848" s="42">
        <v>2459.7800000000002</v>
      </c>
      <c r="K848" s="43">
        <v>29682.86</v>
      </c>
      <c r="L848" s="51">
        <v>32142.639999999999</v>
      </c>
      <c r="M848" s="33"/>
      <c r="N848" s="30">
        <v>29682.86</v>
      </c>
      <c r="O848" s="30">
        <v>23041.46</v>
      </c>
      <c r="P848" s="236"/>
      <c r="Q848" s="30">
        <f>(N848+O848*0.18+J848)+(IF((P848-O848*0.18)&gt;0,(P848-O848*0.18),0))</f>
        <v>36290.102800000001</v>
      </c>
      <c r="R848" s="7"/>
      <c r="S848" s="7"/>
      <c r="T848" s="7"/>
      <c r="U848" s="7"/>
      <c r="V848" s="7"/>
      <c r="W848" s="7"/>
      <c r="X848" s="7"/>
      <c r="Y848" s="7"/>
      <c r="Z848" s="7"/>
    </row>
    <row r="849" spans="1:26" ht="9" customHeight="1" x14ac:dyDescent="0.2">
      <c r="A849" s="95"/>
      <c r="B849" s="95"/>
      <c r="C849" s="34" t="s">
        <v>37</v>
      </c>
      <c r="D849" s="35">
        <v>27</v>
      </c>
      <c r="E849" s="36">
        <v>44293938</v>
      </c>
      <c r="F849" s="36">
        <v>0</v>
      </c>
      <c r="G849" s="36">
        <v>0</v>
      </c>
      <c r="H849" s="36">
        <v>12859544</v>
      </c>
      <c r="I849" s="36">
        <v>320549</v>
      </c>
      <c r="J849" s="37">
        <v>4762798</v>
      </c>
      <c r="K849" s="36">
        <v>57474031</v>
      </c>
      <c r="L849" s="50">
        <v>62236830</v>
      </c>
      <c r="M849" s="39"/>
      <c r="N849" s="36">
        <v>57474031</v>
      </c>
      <c r="O849" s="36">
        <v>44614488</v>
      </c>
      <c r="P849" s="235"/>
      <c r="Q849" s="36">
        <f>Q848*1936.27</f>
        <v>70267437.348555997</v>
      </c>
      <c r="R849" s="7"/>
      <c r="S849" s="7"/>
      <c r="T849" s="7"/>
      <c r="U849" s="7"/>
      <c r="V849" s="7"/>
      <c r="W849" s="7"/>
      <c r="X849" s="7"/>
      <c r="Y849" s="7"/>
      <c r="Z849" s="7"/>
    </row>
    <row r="850" spans="1:26" ht="12.75" customHeight="1" x14ac:dyDescent="0.2">
      <c r="A850" s="95"/>
      <c r="B850" s="95"/>
      <c r="C850" s="40" t="s">
        <v>36</v>
      </c>
      <c r="D850" s="41">
        <v>28</v>
      </c>
      <c r="E850" s="30">
        <v>25430.58</v>
      </c>
      <c r="F850" s="30">
        <v>0</v>
      </c>
      <c r="G850" s="30">
        <v>0</v>
      </c>
      <c r="H850" s="30">
        <v>6641.4</v>
      </c>
      <c r="I850" s="30">
        <v>165.55</v>
      </c>
      <c r="J850" s="42">
        <v>2672.67</v>
      </c>
      <c r="K850" s="43">
        <v>32237.53</v>
      </c>
      <c r="L850" s="51">
        <v>34910.199999999997</v>
      </c>
      <c r="M850" s="33"/>
      <c r="N850" s="30">
        <v>32237.53</v>
      </c>
      <c r="O850" s="30">
        <v>25596.13</v>
      </c>
      <c r="P850" s="236"/>
      <c r="Q850" s="30">
        <f>(N850+O850*0.18+J850)+(IF((P850-O850*0.18)&gt;0,(P850-O850*0.18),0))</f>
        <v>39517.503399999994</v>
      </c>
      <c r="R850" s="7"/>
      <c r="S850" s="7"/>
      <c r="T850" s="7"/>
      <c r="U850" s="7"/>
      <c r="V850" s="7"/>
      <c r="W850" s="7"/>
      <c r="X850" s="7"/>
      <c r="Y850" s="7"/>
      <c r="Z850" s="7"/>
    </row>
    <row r="851" spans="1:26" ht="9" customHeight="1" x14ac:dyDescent="0.2">
      <c r="A851" s="95"/>
      <c r="B851" s="95"/>
      <c r="C851" s="34" t="s">
        <v>37</v>
      </c>
      <c r="D851" s="35">
        <v>34</v>
      </c>
      <c r="E851" s="36">
        <v>49240469</v>
      </c>
      <c r="F851" s="36">
        <v>0</v>
      </c>
      <c r="G851" s="36">
        <v>0</v>
      </c>
      <c r="H851" s="36">
        <v>12859544</v>
      </c>
      <c r="I851" s="36">
        <v>320549</v>
      </c>
      <c r="J851" s="37">
        <v>5175011</v>
      </c>
      <c r="K851" s="36">
        <v>62420562</v>
      </c>
      <c r="L851" s="50">
        <v>67595573</v>
      </c>
      <c r="M851" s="39"/>
      <c r="N851" s="36">
        <v>62420562</v>
      </c>
      <c r="O851" s="36">
        <v>49561019</v>
      </c>
      <c r="P851" s="235"/>
      <c r="Q851" s="36">
        <f>Q850*1936.27</f>
        <v>76516556.308317989</v>
      </c>
      <c r="R851" s="7"/>
      <c r="S851" s="7"/>
      <c r="T851" s="7"/>
      <c r="U851" s="7"/>
      <c r="V851" s="7"/>
      <c r="W851" s="7"/>
      <c r="X851" s="7"/>
      <c r="Y851" s="7"/>
      <c r="Z851" s="7"/>
    </row>
    <row r="852" spans="1:26" ht="12.75" customHeight="1" x14ac:dyDescent="0.2">
      <c r="A852" s="95"/>
      <c r="B852" s="95"/>
      <c r="C852" s="40" t="s">
        <v>36</v>
      </c>
      <c r="D852" s="41">
        <v>35</v>
      </c>
      <c r="E852" s="30">
        <v>27915.4</v>
      </c>
      <c r="F852" s="30">
        <v>0</v>
      </c>
      <c r="G852" s="30">
        <v>0</v>
      </c>
      <c r="H852" s="30">
        <v>6641.4</v>
      </c>
      <c r="I852" s="30">
        <v>165.55</v>
      </c>
      <c r="J852" s="42">
        <v>2879.73</v>
      </c>
      <c r="K852" s="43">
        <v>34722.35</v>
      </c>
      <c r="L852" s="51">
        <v>37602.080000000002</v>
      </c>
      <c r="M852" s="33"/>
      <c r="N852" s="30">
        <v>34722.35</v>
      </c>
      <c r="O852" s="30">
        <v>28080.95</v>
      </c>
      <c r="P852" s="236"/>
      <c r="Q852" s="30">
        <f>(N852+O852*0.18+J852)+(IF((P852-O852*0.18)&gt;0,(P852-O852*0.18),0))</f>
        <v>42656.651000000005</v>
      </c>
      <c r="R852" s="7"/>
      <c r="S852" s="7"/>
      <c r="T852" s="7"/>
      <c r="U852" s="7"/>
      <c r="V852" s="7"/>
      <c r="W852" s="7"/>
      <c r="X852" s="7"/>
      <c r="Y852" s="7"/>
      <c r="Z852" s="7"/>
    </row>
    <row r="853" spans="1:26" ht="9" customHeight="1" x14ac:dyDescent="0.2">
      <c r="A853" s="110"/>
      <c r="B853" s="110"/>
      <c r="C853" s="47" t="s">
        <v>37</v>
      </c>
      <c r="D853" s="48"/>
      <c r="E853" s="46">
        <v>54051752</v>
      </c>
      <c r="F853" s="46">
        <v>0</v>
      </c>
      <c r="G853" s="46">
        <v>0</v>
      </c>
      <c r="H853" s="46">
        <v>12859544</v>
      </c>
      <c r="I853" s="46">
        <v>320549</v>
      </c>
      <c r="J853" s="49">
        <v>5575935</v>
      </c>
      <c r="K853" s="46">
        <v>67231845</v>
      </c>
      <c r="L853" s="52">
        <v>72807779</v>
      </c>
      <c r="M853" s="39"/>
      <c r="N853" s="46">
        <v>67231845</v>
      </c>
      <c r="O853" s="46">
        <v>54372301</v>
      </c>
      <c r="P853" s="235"/>
      <c r="Q853" s="46">
        <f>Q852*1936.27</f>
        <v>82594793.631770015</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7"/>
      <c r="M854" s="39"/>
      <c r="N854" s="96"/>
      <c r="O854" s="96"/>
      <c r="P854" s="234"/>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7"/>
      <c r="M855" s="39"/>
      <c r="N855" s="96"/>
      <c r="O855" s="96"/>
      <c r="P855" s="234"/>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7"/>
      <c r="M856" s="39"/>
      <c r="N856" s="96"/>
      <c r="O856" s="96"/>
      <c r="P856" s="234"/>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7"/>
      <c r="M857" s="39"/>
      <c r="N857" s="96"/>
      <c r="O857" s="96"/>
      <c r="P857" s="234"/>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7"/>
      <c r="M858" s="39"/>
      <c r="N858" s="96"/>
      <c r="O858" s="96"/>
      <c r="P858" s="234"/>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7"/>
      <c r="M859" s="39"/>
      <c r="N859" s="96"/>
      <c r="O859" s="96"/>
      <c r="P859" s="234"/>
      <c r="Q859" s="96"/>
      <c r="R859" s="7"/>
      <c r="S859" s="7"/>
      <c r="T859" s="7"/>
      <c r="U859" s="7"/>
      <c r="V859" s="7"/>
      <c r="W859" s="7"/>
      <c r="X859" s="7"/>
      <c r="Y859" s="7"/>
      <c r="Z859" s="7"/>
    </row>
    <row r="860" spans="1:26" ht="12.75" customHeight="1" x14ac:dyDescent="0.2">
      <c r="A860" s="98">
        <v>40544</v>
      </c>
      <c r="B860" s="98">
        <v>42369</v>
      </c>
      <c r="C860" s="28" t="s">
        <v>36</v>
      </c>
      <c r="D860" s="29">
        <v>0</v>
      </c>
      <c r="E860" s="30">
        <v>15431.67</v>
      </c>
      <c r="F860" s="30">
        <v>0</v>
      </c>
      <c r="G860" s="30"/>
      <c r="H860" s="30">
        <v>6641.4</v>
      </c>
      <c r="I860" s="30">
        <v>165.55</v>
      </c>
      <c r="J860" s="30">
        <v>1853.22</v>
      </c>
      <c r="K860" s="30">
        <v>22238.62</v>
      </c>
      <c r="L860" s="32">
        <v>24091.84</v>
      </c>
      <c r="M860" s="33"/>
      <c r="N860" s="30">
        <v>22238.62</v>
      </c>
      <c r="O860" s="30">
        <v>15597.22</v>
      </c>
      <c r="P860" s="30"/>
      <c r="Q860" s="30">
        <v>26899.34</v>
      </c>
      <c r="R860" s="7"/>
      <c r="S860" s="7"/>
      <c r="T860" s="7"/>
      <c r="U860" s="7"/>
      <c r="V860" s="7"/>
      <c r="W860" s="7"/>
      <c r="X860" s="7"/>
      <c r="Y860" s="7"/>
      <c r="Z860" s="7"/>
    </row>
    <row r="861" spans="1:26" ht="9" customHeight="1" x14ac:dyDescent="0.2">
      <c r="A861" s="95"/>
      <c r="B861" s="95"/>
      <c r="C861" s="34" t="s">
        <v>37</v>
      </c>
      <c r="D861" s="35">
        <v>2</v>
      </c>
      <c r="E861" s="46">
        <v>29879880</v>
      </c>
      <c r="F861" s="36">
        <v>0</v>
      </c>
      <c r="G861" s="36">
        <v>0</v>
      </c>
      <c r="H861" s="46">
        <v>12859544</v>
      </c>
      <c r="I861" s="46">
        <v>320549</v>
      </c>
      <c r="J861" s="37">
        <v>3588334</v>
      </c>
      <c r="K861" s="46">
        <v>43059973</v>
      </c>
      <c r="L861" s="46">
        <v>46648307</v>
      </c>
      <c r="M861" s="39"/>
      <c r="N861" s="36">
        <v>43059973</v>
      </c>
      <c r="O861" s="36">
        <v>30200429</v>
      </c>
      <c r="P861" s="46"/>
      <c r="Q861" s="36">
        <v>52084385</v>
      </c>
      <c r="R861" s="7"/>
      <c r="S861" s="7"/>
      <c r="T861" s="7"/>
      <c r="U861" s="7"/>
      <c r="V861" s="7"/>
      <c r="W861" s="7"/>
      <c r="X861" s="7"/>
      <c r="Y861" s="7"/>
      <c r="Z861" s="7"/>
    </row>
    <row r="862" spans="1:26" ht="12.75" customHeight="1" x14ac:dyDescent="0.2">
      <c r="A862" s="156">
        <v>40544</v>
      </c>
      <c r="B862" s="156">
        <v>42369</v>
      </c>
      <c r="C862" s="40" t="s">
        <v>36</v>
      </c>
      <c r="D862" s="41">
        <v>3</v>
      </c>
      <c r="E862" s="30">
        <v>15431.67</v>
      </c>
      <c r="F862" s="30">
        <v>0</v>
      </c>
      <c r="G862" s="30">
        <v>0</v>
      </c>
      <c r="H862" s="30">
        <v>6641.4</v>
      </c>
      <c r="I862" s="30">
        <v>165.55</v>
      </c>
      <c r="J862" s="30">
        <v>1906.77</v>
      </c>
      <c r="K862" s="30">
        <v>22881.27</v>
      </c>
      <c r="L862" s="32">
        <v>24788.04</v>
      </c>
      <c r="M862" s="33"/>
      <c r="N862" s="30">
        <v>22881.27</v>
      </c>
      <c r="O862" s="30">
        <v>16239.87</v>
      </c>
      <c r="P862" s="30"/>
      <c r="Q862" s="30">
        <v>27711.22</v>
      </c>
      <c r="R862" s="7"/>
      <c r="S862" s="7"/>
      <c r="T862" s="7"/>
      <c r="U862" s="7"/>
      <c r="V862" s="7"/>
      <c r="W862" s="7"/>
      <c r="X862" s="7"/>
      <c r="Y862" s="7"/>
      <c r="Z862" s="7"/>
    </row>
    <row r="863" spans="1:26" ht="9" customHeight="1" x14ac:dyDescent="0.2">
      <c r="A863" s="95"/>
      <c r="B863" s="95"/>
      <c r="C863" s="34" t="s">
        <v>37</v>
      </c>
      <c r="D863" s="35">
        <v>8</v>
      </c>
      <c r="E863" s="36">
        <v>29879880</v>
      </c>
      <c r="F863" s="36">
        <v>0</v>
      </c>
      <c r="G863" s="36">
        <v>0</v>
      </c>
      <c r="H863" s="46">
        <v>12859544</v>
      </c>
      <c r="I863" s="46">
        <v>320549</v>
      </c>
      <c r="J863" s="37">
        <v>3692022</v>
      </c>
      <c r="K863" s="46">
        <v>44304317</v>
      </c>
      <c r="L863" s="46">
        <v>47996338</v>
      </c>
      <c r="M863" s="39"/>
      <c r="N863" s="36">
        <v>44304317</v>
      </c>
      <c r="O863" s="36">
        <v>31444773</v>
      </c>
      <c r="P863" s="46"/>
      <c r="Q863" s="36">
        <v>53656404</v>
      </c>
      <c r="R863" s="7"/>
      <c r="S863" s="7"/>
      <c r="T863" s="7"/>
      <c r="U863" s="7"/>
      <c r="V863" s="7"/>
      <c r="W863" s="7"/>
      <c r="X863" s="7"/>
      <c r="Y863" s="7"/>
      <c r="Z863" s="7"/>
    </row>
    <row r="864" spans="1:26" ht="12.75" customHeight="1" x14ac:dyDescent="0.2">
      <c r="A864" s="95"/>
      <c r="B864" s="95"/>
      <c r="C864" s="40" t="s">
        <v>36</v>
      </c>
      <c r="D864" s="41">
        <v>9</v>
      </c>
      <c r="E864" s="30">
        <v>18065.759999999998</v>
      </c>
      <c r="F864" s="30">
        <v>0</v>
      </c>
      <c r="G864" s="30">
        <v>0</v>
      </c>
      <c r="H864" s="30">
        <v>6641.4</v>
      </c>
      <c r="I864" s="30">
        <v>165.55</v>
      </c>
      <c r="J864" s="30">
        <v>2072.73</v>
      </c>
      <c r="K864" s="30">
        <v>24872.71</v>
      </c>
      <c r="L864" s="32">
        <v>26945.439999999999</v>
      </c>
      <c r="M864" s="33"/>
      <c r="N864" s="30">
        <v>24872.71</v>
      </c>
      <c r="O864" s="30">
        <v>18231.310000000001</v>
      </c>
      <c r="P864" s="30"/>
      <c r="Q864" s="30">
        <v>30227.08</v>
      </c>
      <c r="R864" s="7"/>
      <c r="S864" s="7"/>
      <c r="T864" s="7"/>
      <c r="U864" s="7"/>
      <c r="V864" s="7"/>
      <c r="W864" s="7"/>
      <c r="X864" s="7"/>
      <c r="Y864" s="7"/>
      <c r="Z864" s="7"/>
    </row>
    <row r="865" spans="1:26" ht="9" customHeight="1" x14ac:dyDescent="0.2">
      <c r="A865" s="95"/>
      <c r="B865" s="95"/>
      <c r="C865" s="34" t="s">
        <v>37</v>
      </c>
      <c r="D865" s="35">
        <v>14</v>
      </c>
      <c r="E865" s="46">
        <v>34980189</v>
      </c>
      <c r="F865" s="36">
        <v>0</v>
      </c>
      <c r="G865" s="36">
        <v>0</v>
      </c>
      <c r="H865" s="46">
        <v>12859544</v>
      </c>
      <c r="I865" s="46">
        <v>320549</v>
      </c>
      <c r="J865" s="37">
        <v>4013365</v>
      </c>
      <c r="K865" s="46">
        <v>48160282</v>
      </c>
      <c r="L865" s="46">
        <v>52173647</v>
      </c>
      <c r="M865" s="39"/>
      <c r="N865" s="36">
        <v>48160282</v>
      </c>
      <c r="O865" s="36">
        <v>35300739</v>
      </c>
      <c r="P865" s="46"/>
      <c r="Q865" s="36">
        <v>58527788</v>
      </c>
      <c r="R865" s="7"/>
      <c r="S865" s="7"/>
      <c r="T865" s="7"/>
      <c r="U865" s="7"/>
      <c r="V865" s="7"/>
      <c r="W865" s="7"/>
      <c r="X865" s="7"/>
      <c r="Y865" s="7"/>
      <c r="Z865" s="7"/>
    </row>
    <row r="866" spans="1:26" ht="12.75" customHeight="1" x14ac:dyDescent="0.2">
      <c r="A866" s="95"/>
      <c r="B866" s="95"/>
      <c r="C866" s="40" t="s">
        <v>36</v>
      </c>
      <c r="D866" s="41">
        <v>15</v>
      </c>
      <c r="E866" s="30">
        <v>20389.82</v>
      </c>
      <c r="F866" s="30">
        <v>0</v>
      </c>
      <c r="G866" s="30">
        <v>0</v>
      </c>
      <c r="H866" s="30">
        <v>6641.4</v>
      </c>
      <c r="I866" s="30">
        <v>165.55</v>
      </c>
      <c r="J866" s="30">
        <v>2266.4</v>
      </c>
      <c r="K866" s="30">
        <v>27196.77</v>
      </c>
      <c r="L866" s="32">
        <v>29463.17</v>
      </c>
      <c r="M866" s="33"/>
      <c r="N866" s="30">
        <v>27196.77</v>
      </c>
      <c r="O866" s="30">
        <v>20555.37</v>
      </c>
      <c r="P866" s="30"/>
      <c r="Q866" s="30">
        <v>33163.14</v>
      </c>
      <c r="R866" s="7"/>
      <c r="S866" s="7"/>
      <c r="T866" s="7"/>
      <c r="U866" s="7"/>
      <c r="V866" s="7"/>
      <c r="W866" s="7"/>
      <c r="X866" s="7"/>
      <c r="Y866" s="7"/>
      <c r="Z866" s="7"/>
    </row>
    <row r="867" spans="1:26" ht="9" customHeight="1" x14ac:dyDescent="0.2">
      <c r="A867" s="95"/>
      <c r="B867" s="95"/>
      <c r="C867" s="34" t="s">
        <v>37</v>
      </c>
      <c r="D867" s="35">
        <v>20</v>
      </c>
      <c r="E867" s="46">
        <v>39480197</v>
      </c>
      <c r="F867" s="36">
        <v>0</v>
      </c>
      <c r="G867" s="36">
        <v>0</v>
      </c>
      <c r="H867" s="46">
        <v>12859544</v>
      </c>
      <c r="I867" s="46">
        <v>320549</v>
      </c>
      <c r="J867" s="37">
        <v>4388362</v>
      </c>
      <c r="K867" s="46">
        <v>52660290</v>
      </c>
      <c r="L867" s="46">
        <v>57048652</v>
      </c>
      <c r="M867" s="39"/>
      <c r="N867" s="36">
        <v>52660290</v>
      </c>
      <c r="O867" s="36">
        <v>39800746</v>
      </c>
      <c r="P867" s="46"/>
      <c r="Q867" s="36">
        <v>64212793</v>
      </c>
      <c r="R867" s="7"/>
      <c r="S867" s="7"/>
      <c r="T867" s="7"/>
      <c r="U867" s="7"/>
      <c r="V867" s="7"/>
      <c r="W867" s="7"/>
      <c r="X867" s="7"/>
      <c r="Y867" s="7"/>
      <c r="Z867" s="7"/>
    </row>
    <row r="868" spans="1:26" ht="12.75" customHeight="1" x14ac:dyDescent="0.2">
      <c r="A868" s="95"/>
      <c r="B868" s="95"/>
      <c r="C868" s="40" t="s">
        <v>36</v>
      </c>
      <c r="D868" s="41">
        <v>21</v>
      </c>
      <c r="E868" s="30">
        <v>22875.91</v>
      </c>
      <c r="F868" s="30">
        <v>0</v>
      </c>
      <c r="G868" s="30">
        <v>0</v>
      </c>
      <c r="H868" s="30">
        <v>6641.4</v>
      </c>
      <c r="I868" s="30">
        <v>165.55</v>
      </c>
      <c r="J868" s="30">
        <v>2473.5700000000002</v>
      </c>
      <c r="K868" s="30">
        <v>29682.86</v>
      </c>
      <c r="L868" s="32">
        <v>32156.43</v>
      </c>
      <c r="M868" s="33"/>
      <c r="N868" s="30">
        <v>29682.86</v>
      </c>
      <c r="O868" s="30">
        <v>23041.46</v>
      </c>
      <c r="P868" s="30"/>
      <c r="Q868" s="30">
        <v>36303.89</v>
      </c>
      <c r="R868" s="7"/>
      <c r="S868" s="7"/>
      <c r="T868" s="7"/>
      <c r="U868" s="7"/>
      <c r="V868" s="7"/>
      <c r="W868" s="7"/>
      <c r="X868" s="7"/>
      <c r="Y868" s="7"/>
      <c r="Z868" s="7"/>
    </row>
    <row r="869" spans="1:26" ht="9" customHeight="1" x14ac:dyDescent="0.2">
      <c r="A869" s="95"/>
      <c r="B869" s="95"/>
      <c r="C869" s="34" t="s">
        <v>37</v>
      </c>
      <c r="D869" s="35">
        <v>27</v>
      </c>
      <c r="E869" s="46">
        <v>44293938</v>
      </c>
      <c r="F869" s="36">
        <v>0</v>
      </c>
      <c r="G869" s="36">
        <v>0</v>
      </c>
      <c r="H869" s="46">
        <v>12859544</v>
      </c>
      <c r="I869" s="46">
        <v>320549</v>
      </c>
      <c r="J869" s="37">
        <v>4789499</v>
      </c>
      <c r="K869" s="46">
        <v>57474031</v>
      </c>
      <c r="L869" s="46">
        <v>62263531</v>
      </c>
      <c r="M869" s="39"/>
      <c r="N869" s="36">
        <v>57474031</v>
      </c>
      <c r="O869" s="36">
        <v>44614488</v>
      </c>
      <c r="P869" s="46"/>
      <c r="Q869" s="36">
        <v>70294133</v>
      </c>
      <c r="R869" s="7"/>
      <c r="S869" s="7"/>
      <c r="T869" s="7"/>
      <c r="U869" s="7"/>
      <c r="V869" s="7"/>
      <c r="W869" s="7"/>
      <c r="X869" s="7"/>
      <c r="Y869" s="7"/>
      <c r="Z869" s="7"/>
    </row>
    <row r="870" spans="1:26" ht="12.75" customHeight="1" x14ac:dyDescent="0.2">
      <c r="A870" s="95"/>
      <c r="B870" s="95"/>
      <c r="C870" s="40" t="s">
        <v>36</v>
      </c>
      <c r="D870" s="41">
        <v>28</v>
      </c>
      <c r="E870" s="30">
        <v>25430.58</v>
      </c>
      <c r="F870" s="30">
        <v>0</v>
      </c>
      <c r="G870" s="30">
        <v>0</v>
      </c>
      <c r="H870" s="30">
        <v>6641.4</v>
      </c>
      <c r="I870" s="30">
        <v>165.55</v>
      </c>
      <c r="J870" s="30">
        <v>2686.46</v>
      </c>
      <c r="K870" s="30">
        <v>32237.53</v>
      </c>
      <c r="L870" s="32">
        <v>34923.99</v>
      </c>
      <c r="M870" s="33"/>
      <c r="N870" s="30">
        <v>32237.53</v>
      </c>
      <c r="O870" s="30">
        <v>25596.13</v>
      </c>
      <c r="P870" s="30"/>
      <c r="Q870" s="30">
        <v>39531.29</v>
      </c>
      <c r="R870" s="7"/>
      <c r="S870" s="7"/>
      <c r="T870" s="7"/>
      <c r="U870" s="7"/>
      <c r="V870" s="7"/>
      <c r="W870" s="7"/>
      <c r="X870" s="7"/>
      <c r="Y870" s="7"/>
      <c r="Z870" s="7"/>
    </row>
    <row r="871" spans="1:26" ht="9" customHeight="1" x14ac:dyDescent="0.2">
      <c r="A871" s="95"/>
      <c r="B871" s="95"/>
      <c r="C871" s="34" t="s">
        <v>37</v>
      </c>
      <c r="D871" s="35">
        <v>34</v>
      </c>
      <c r="E871" s="46">
        <v>49240469</v>
      </c>
      <c r="F871" s="36">
        <v>0</v>
      </c>
      <c r="G871" s="36">
        <v>0</v>
      </c>
      <c r="H871" s="46">
        <v>12859544</v>
      </c>
      <c r="I871" s="46">
        <v>320549</v>
      </c>
      <c r="J871" s="37">
        <v>5201712</v>
      </c>
      <c r="K871" s="46">
        <v>62420562</v>
      </c>
      <c r="L871" s="46">
        <v>67622274</v>
      </c>
      <c r="M871" s="39"/>
      <c r="N871" s="36">
        <v>62420562</v>
      </c>
      <c r="O871" s="36">
        <v>49561019</v>
      </c>
      <c r="P871" s="46"/>
      <c r="Q871" s="36">
        <v>76543251</v>
      </c>
      <c r="R871" s="7"/>
      <c r="S871" s="7"/>
      <c r="T871" s="7"/>
      <c r="U871" s="7"/>
      <c r="V871" s="7"/>
      <c r="W871" s="7"/>
      <c r="X871" s="7"/>
      <c r="Y871" s="7"/>
      <c r="Z871" s="7"/>
    </row>
    <row r="872" spans="1:26" ht="12.75" customHeight="1" x14ac:dyDescent="0.2">
      <c r="A872" s="95"/>
      <c r="B872" s="95"/>
      <c r="C872" s="40" t="s">
        <v>36</v>
      </c>
      <c r="D872" s="41">
        <v>35</v>
      </c>
      <c r="E872" s="30">
        <v>27915.4</v>
      </c>
      <c r="F872" s="30">
        <v>0</v>
      </c>
      <c r="G872" s="30">
        <v>0</v>
      </c>
      <c r="H872" s="30">
        <v>6641.4</v>
      </c>
      <c r="I872" s="30">
        <v>165.55</v>
      </c>
      <c r="J872" s="30">
        <v>2893.53</v>
      </c>
      <c r="K872" s="30">
        <v>34722.35</v>
      </c>
      <c r="L872" s="32">
        <v>37615.879999999997</v>
      </c>
      <c r="M872" s="33"/>
      <c r="N872" s="30">
        <v>34722.35</v>
      </c>
      <c r="O872" s="30">
        <v>28080.95</v>
      </c>
      <c r="P872" s="30"/>
      <c r="Q872" s="30">
        <v>42670.45</v>
      </c>
      <c r="R872" s="7"/>
      <c r="S872" s="7"/>
      <c r="T872" s="7"/>
      <c r="U872" s="7"/>
      <c r="V872" s="7"/>
      <c r="W872" s="7"/>
      <c r="X872" s="7"/>
      <c r="Y872" s="7"/>
      <c r="Z872" s="7"/>
    </row>
    <row r="873" spans="1:26" ht="9" customHeight="1" x14ac:dyDescent="0.2">
      <c r="A873" s="110"/>
      <c r="B873" s="110"/>
      <c r="C873" s="47" t="s">
        <v>37</v>
      </c>
      <c r="D873" s="48"/>
      <c r="E873" s="46">
        <v>54051752</v>
      </c>
      <c r="F873" s="46">
        <v>0</v>
      </c>
      <c r="G873" s="46">
        <v>0</v>
      </c>
      <c r="H873" s="46">
        <v>12859544</v>
      </c>
      <c r="I873" s="46">
        <v>320549</v>
      </c>
      <c r="J873" s="46">
        <v>5602655</v>
      </c>
      <c r="K873" s="46">
        <v>67231845</v>
      </c>
      <c r="L873" s="46">
        <v>72834500</v>
      </c>
      <c r="M873" s="39"/>
      <c r="N873" s="46">
        <v>67231845</v>
      </c>
      <c r="O873" s="46">
        <v>54372301</v>
      </c>
      <c r="P873" s="46"/>
      <c r="Q873" s="46">
        <v>82621512</v>
      </c>
      <c r="R873" s="7"/>
      <c r="S873" s="7"/>
      <c r="T873" s="7"/>
      <c r="U873" s="7"/>
      <c r="V873" s="7"/>
      <c r="W873" s="7"/>
      <c r="X873" s="7"/>
      <c r="Y873" s="7"/>
      <c r="Z873" s="7"/>
    </row>
    <row r="874" spans="1:26" ht="9" customHeight="1" x14ac:dyDescent="0.2">
      <c r="A874" s="95"/>
      <c r="B874" s="95"/>
      <c r="C874" s="44"/>
      <c r="D874" s="45"/>
      <c r="E874" s="96"/>
      <c r="F874" s="96"/>
      <c r="G874" s="96"/>
      <c r="H874" s="96"/>
      <c r="I874" s="96"/>
      <c r="J874" s="96"/>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96"/>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96"/>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96"/>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96"/>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96"/>
      <c r="K879" s="96"/>
      <c r="L879" s="96"/>
      <c r="M879" s="39"/>
      <c r="N879" s="96"/>
      <c r="O879" s="96"/>
      <c r="P879" s="96"/>
      <c r="Q879" s="96"/>
      <c r="R879" s="7"/>
      <c r="S879" s="7"/>
      <c r="T879" s="7"/>
      <c r="U879" s="7"/>
      <c r="V879" s="7"/>
      <c r="W879" s="7"/>
      <c r="X879" s="7"/>
      <c r="Y879" s="7"/>
      <c r="Z879" s="7"/>
    </row>
    <row r="880" spans="1:26" ht="12.75" customHeight="1" x14ac:dyDescent="0.2">
      <c r="A880" s="98">
        <v>42370</v>
      </c>
      <c r="B880" s="98">
        <v>42735</v>
      </c>
      <c r="C880" s="28" t="s">
        <v>36</v>
      </c>
      <c r="D880" s="29">
        <v>0</v>
      </c>
      <c r="E880" s="30">
        <v>15518.07</v>
      </c>
      <c r="F880" s="30">
        <v>0</v>
      </c>
      <c r="G880" s="30"/>
      <c r="H880" s="30">
        <v>6641.4</v>
      </c>
      <c r="I880" s="30">
        <v>165.55</v>
      </c>
      <c r="J880" s="30">
        <v>1860.42</v>
      </c>
      <c r="K880" s="30">
        <v>22325.02</v>
      </c>
      <c r="L880" s="32">
        <v>24185.439999999999</v>
      </c>
      <c r="M880" s="33"/>
      <c r="N880" s="30">
        <v>22325.02</v>
      </c>
      <c r="O880" s="30">
        <v>15683.62</v>
      </c>
      <c r="P880" s="30"/>
      <c r="Q880" s="30">
        <v>27008.49</v>
      </c>
      <c r="R880" s="7"/>
      <c r="S880" s="7"/>
      <c r="T880" s="7"/>
      <c r="U880" s="7"/>
      <c r="V880" s="7"/>
      <c r="W880" s="7"/>
      <c r="X880" s="7"/>
      <c r="Y880" s="7"/>
      <c r="Z880" s="7"/>
    </row>
    <row r="881" spans="1:26" ht="9" customHeight="1" x14ac:dyDescent="0.2">
      <c r="A881" s="95"/>
      <c r="B881" s="95"/>
      <c r="C881" s="34" t="s">
        <v>37</v>
      </c>
      <c r="D881" s="35">
        <v>8</v>
      </c>
      <c r="E881" s="46">
        <v>30047173</v>
      </c>
      <c r="F881" s="36">
        <v>0</v>
      </c>
      <c r="G881" s="36">
        <v>0</v>
      </c>
      <c r="H881" s="46">
        <v>12859544</v>
      </c>
      <c r="I881" s="46">
        <v>320549</v>
      </c>
      <c r="J881" s="37">
        <v>3602275</v>
      </c>
      <c r="K881" s="46">
        <v>43227266</v>
      </c>
      <c r="L881" s="46">
        <v>46829542</v>
      </c>
      <c r="M881" s="39"/>
      <c r="N881" s="36">
        <v>43227266</v>
      </c>
      <c r="O881" s="36">
        <v>30367723</v>
      </c>
      <c r="P881" s="46"/>
      <c r="Q881" s="36">
        <v>52295729</v>
      </c>
      <c r="R881" s="7"/>
      <c r="S881" s="7"/>
      <c r="T881" s="7"/>
      <c r="U881" s="7"/>
      <c r="V881" s="7"/>
      <c r="W881" s="7"/>
      <c r="X881" s="7"/>
      <c r="Y881" s="7"/>
      <c r="Z881" s="7"/>
    </row>
    <row r="882" spans="1:26" ht="12.75" customHeight="1" x14ac:dyDescent="0.2">
      <c r="A882" s="157">
        <v>42370</v>
      </c>
      <c r="B882" s="157">
        <v>42735</v>
      </c>
      <c r="C882" s="40" t="s">
        <v>36</v>
      </c>
      <c r="D882" s="41">
        <v>9</v>
      </c>
      <c r="E882" s="30">
        <v>18162.96</v>
      </c>
      <c r="F882" s="30">
        <v>0</v>
      </c>
      <c r="G882" s="30">
        <v>0</v>
      </c>
      <c r="H882" s="30">
        <v>6641.4</v>
      </c>
      <c r="I882" s="30">
        <v>165.55</v>
      </c>
      <c r="J882" s="30">
        <v>2080.83</v>
      </c>
      <c r="K882" s="30">
        <v>24969.91</v>
      </c>
      <c r="L882" s="32">
        <v>27050.74</v>
      </c>
      <c r="M882" s="33"/>
      <c r="N882" s="30">
        <v>24969.91</v>
      </c>
      <c r="O882" s="30">
        <v>18328.509999999998</v>
      </c>
      <c r="P882" s="30"/>
      <c r="Q882" s="30">
        <v>30349.87</v>
      </c>
      <c r="R882" s="7"/>
      <c r="S882" s="7"/>
      <c r="T882" s="7"/>
      <c r="U882" s="7"/>
      <c r="V882" s="7"/>
      <c r="W882" s="7"/>
      <c r="X882" s="7"/>
      <c r="Y882" s="7"/>
      <c r="Z882" s="7"/>
    </row>
    <row r="883" spans="1:26" ht="9" customHeight="1" x14ac:dyDescent="0.2">
      <c r="A883" s="95"/>
      <c r="B883" s="95"/>
      <c r="C883" s="34" t="s">
        <v>37</v>
      </c>
      <c r="D883" s="35">
        <v>14</v>
      </c>
      <c r="E883" s="46">
        <v>35168395</v>
      </c>
      <c r="F883" s="36">
        <v>0</v>
      </c>
      <c r="G883" s="36">
        <v>0</v>
      </c>
      <c r="H883" s="46">
        <v>12859544</v>
      </c>
      <c r="I883" s="46">
        <v>320549</v>
      </c>
      <c r="J883" s="37">
        <v>4029049</v>
      </c>
      <c r="K883" s="46">
        <v>48348488</v>
      </c>
      <c r="L883" s="46">
        <v>52377536</v>
      </c>
      <c r="M883" s="39"/>
      <c r="N883" s="36">
        <v>48348488</v>
      </c>
      <c r="O883" s="36">
        <v>35488944</v>
      </c>
      <c r="P883" s="46"/>
      <c r="Q883" s="36">
        <v>58765543</v>
      </c>
      <c r="R883" s="7"/>
      <c r="S883" s="7"/>
      <c r="T883" s="7"/>
      <c r="U883" s="7"/>
      <c r="V883" s="7"/>
      <c r="W883" s="7"/>
      <c r="X883" s="7"/>
      <c r="Y883" s="7"/>
      <c r="Z883" s="7"/>
    </row>
    <row r="884" spans="1:26" ht="12.75" customHeight="1" x14ac:dyDescent="0.2">
      <c r="A884" s="95"/>
      <c r="B884" s="95"/>
      <c r="C884" s="40" t="s">
        <v>36</v>
      </c>
      <c r="D884" s="41">
        <v>15</v>
      </c>
      <c r="E884" s="30">
        <v>20496.62</v>
      </c>
      <c r="F884" s="30">
        <v>0</v>
      </c>
      <c r="G884" s="30">
        <v>0</v>
      </c>
      <c r="H884" s="30">
        <v>6641.4</v>
      </c>
      <c r="I884" s="30">
        <v>165.55</v>
      </c>
      <c r="J884" s="30">
        <v>2275.3000000000002</v>
      </c>
      <c r="K884" s="30">
        <v>27303.57</v>
      </c>
      <c r="L884" s="32">
        <v>29578.87</v>
      </c>
      <c r="M884" s="33"/>
      <c r="N884" s="30">
        <v>27303.57</v>
      </c>
      <c r="O884" s="30">
        <v>20662.169999999998</v>
      </c>
      <c r="P884" s="30"/>
      <c r="Q884" s="30">
        <v>33298.06</v>
      </c>
      <c r="R884" s="7"/>
      <c r="S884" s="7"/>
      <c r="T884" s="7"/>
      <c r="U884" s="7"/>
      <c r="V884" s="7"/>
      <c r="W884" s="7"/>
      <c r="X884" s="7"/>
      <c r="Y884" s="7"/>
      <c r="Z884" s="7"/>
    </row>
    <row r="885" spans="1:26" ht="9" customHeight="1" x14ac:dyDescent="0.2">
      <c r="A885" s="95"/>
      <c r="B885" s="95"/>
      <c r="C885" s="34" t="s">
        <v>37</v>
      </c>
      <c r="D885" s="35">
        <v>20</v>
      </c>
      <c r="E885" s="46">
        <v>39686990</v>
      </c>
      <c r="F885" s="36">
        <v>0</v>
      </c>
      <c r="G885" s="36">
        <v>0</v>
      </c>
      <c r="H885" s="46">
        <v>12859544</v>
      </c>
      <c r="I885" s="46">
        <v>320549</v>
      </c>
      <c r="J885" s="37">
        <v>4405595</v>
      </c>
      <c r="K885" s="46">
        <v>52867083</v>
      </c>
      <c r="L885" s="46">
        <v>57272679</v>
      </c>
      <c r="M885" s="39"/>
      <c r="N885" s="36">
        <v>52867083</v>
      </c>
      <c r="O885" s="36">
        <v>40007540</v>
      </c>
      <c r="P885" s="46"/>
      <c r="Q885" s="36">
        <v>64474035</v>
      </c>
      <c r="R885" s="7"/>
      <c r="S885" s="7"/>
      <c r="T885" s="7"/>
      <c r="U885" s="7"/>
      <c r="V885" s="7"/>
      <c r="W885" s="7"/>
      <c r="X885" s="7"/>
      <c r="Y885" s="7"/>
      <c r="Z885" s="7"/>
    </row>
    <row r="886" spans="1:26" ht="12.75" customHeight="1" x14ac:dyDescent="0.2">
      <c r="A886" s="95"/>
      <c r="B886" s="95"/>
      <c r="C886" s="40" t="s">
        <v>36</v>
      </c>
      <c r="D886" s="41">
        <v>21</v>
      </c>
      <c r="E886" s="30">
        <v>22992.31</v>
      </c>
      <c r="F886" s="30">
        <v>0</v>
      </c>
      <c r="G886" s="30">
        <v>0</v>
      </c>
      <c r="H886" s="30">
        <v>6641.4</v>
      </c>
      <c r="I886" s="30">
        <v>165.55</v>
      </c>
      <c r="J886" s="30">
        <v>2483.27</v>
      </c>
      <c r="K886" s="30">
        <v>29799.26</v>
      </c>
      <c r="L886" s="32">
        <v>32282.53</v>
      </c>
      <c r="M886" s="33"/>
      <c r="N886" s="30">
        <v>29799.26</v>
      </c>
      <c r="O886" s="30">
        <v>23157.86</v>
      </c>
      <c r="P886" s="30"/>
      <c r="Q886" s="30">
        <v>36450.94</v>
      </c>
      <c r="R886" s="7"/>
      <c r="S886" s="7"/>
      <c r="T886" s="7"/>
      <c r="U886" s="7"/>
      <c r="V886" s="7"/>
      <c r="W886" s="7"/>
      <c r="X886" s="7"/>
      <c r="Y886" s="7"/>
      <c r="Z886" s="7"/>
    </row>
    <row r="887" spans="1:26" ht="9" customHeight="1" x14ac:dyDescent="0.2">
      <c r="A887" s="95"/>
      <c r="B887" s="95"/>
      <c r="C887" s="34" t="s">
        <v>37</v>
      </c>
      <c r="D887" s="35">
        <v>27</v>
      </c>
      <c r="E887" s="46">
        <v>44519320</v>
      </c>
      <c r="F887" s="36">
        <v>0</v>
      </c>
      <c r="G887" s="36">
        <v>0</v>
      </c>
      <c r="H887" s="46">
        <v>12859544</v>
      </c>
      <c r="I887" s="46">
        <v>320549</v>
      </c>
      <c r="J887" s="37">
        <v>4808281</v>
      </c>
      <c r="K887" s="46">
        <v>57699413</v>
      </c>
      <c r="L887" s="46">
        <v>62507694</v>
      </c>
      <c r="M887" s="39"/>
      <c r="N887" s="36">
        <v>57699413</v>
      </c>
      <c r="O887" s="36">
        <v>44839870</v>
      </c>
      <c r="P887" s="46"/>
      <c r="Q887" s="36">
        <v>70578862</v>
      </c>
      <c r="R887" s="7"/>
      <c r="S887" s="7"/>
      <c r="T887" s="7"/>
      <c r="U887" s="7"/>
      <c r="V887" s="7"/>
      <c r="W887" s="7"/>
      <c r="X887" s="7"/>
      <c r="Y887" s="7"/>
      <c r="Z887" s="7"/>
    </row>
    <row r="888" spans="1:26" ht="12.75" customHeight="1" x14ac:dyDescent="0.2">
      <c r="A888" s="95"/>
      <c r="B888" s="95"/>
      <c r="C888" s="40" t="s">
        <v>36</v>
      </c>
      <c r="D888" s="41">
        <v>28</v>
      </c>
      <c r="E888" s="30">
        <v>25556.58</v>
      </c>
      <c r="F888" s="30">
        <v>0</v>
      </c>
      <c r="G888" s="30">
        <v>0</v>
      </c>
      <c r="H888" s="30">
        <v>6641.4</v>
      </c>
      <c r="I888" s="30">
        <v>165.55</v>
      </c>
      <c r="J888" s="30">
        <v>2696.96</v>
      </c>
      <c r="K888" s="30">
        <v>32363.53</v>
      </c>
      <c r="L888" s="32">
        <v>35060.49</v>
      </c>
      <c r="M888" s="33"/>
      <c r="N888" s="30">
        <v>32363.53</v>
      </c>
      <c r="O888" s="30">
        <v>25722.13</v>
      </c>
      <c r="P888" s="30"/>
      <c r="Q888" s="30">
        <v>39690.47</v>
      </c>
      <c r="R888" s="7"/>
      <c r="S888" s="7"/>
      <c r="T888" s="7"/>
      <c r="U888" s="7"/>
      <c r="V888" s="7"/>
      <c r="W888" s="7"/>
      <c r="X888" s="7"/>
      <c r="Y888" s="7"/>
      <c r="Z888" s="7"/>
    </row>
    <row r="889" spans="1:26" ht="9" customHeight="1" x14ac:dyDescent="0.2">
      <c r="A889" s="95"/>
      <c r="B889" s="95"/>
      <c r="C889" s="34" t="s">
        <v>37</v>
      </c>
      <c r="D889" s="35">
        <v>34</v>
      </c>
      <c r="E889" s="46">
        <v>49484439</v>
      </c>
      <c r="F889" s="36">
        <v>0</v>
      </c>
      <c r="G889" s="36">
        <v>0</v>
      </c>
      <c r="H889" s="46">
        <v>12859544</v>
      </c>
      <c r="I889" s="46">
        <v>320549</v>
      </c>
      <c r="J889" s="37">
        <v>5222043</v>
      </c>
      <c r="K889" s="46">
        <v>62664532</v>
      </c>
      <c r="L889" s="46">
        <v>67886575</v>
      </c>
      <c r="M889" s="39"/>
      <c r="N889" s="36">
        <v>62664532</v>
      </c>
      <c r="O889" s="36">
        <v>49804989</v>
      </c>
      <c r="P889" s="46"/>
      <c r="Q889" s="36">
        <v>76851466</v>
      </c>
      <c r="R889" s="7"/>
      <c r="S889" s="7"/>
      <c r="T889" s="7"/>
      <c r="U889" s="7"/>
      <c r="V889" s="7"/>
      <c r="W889" s="7"/>
      <c r="X889" s="7"/>
      <c r="Y889" s="7"/>
      <c r="Z889" s="7"/>
    </row>
    <row r="890" spans="1:26" ht="12.75" customHeight="1" x14ac:dyDescent="0.2">
      <c r="A890" s="95"/>
      <c r="B890" s="95"/>
      <c r="C890" s="40" t="s">
        <v>36</v>
      </c>
      <c r="D890" s="41">
        <v>35</v>
      </c>
      <c r="E890" s="30">
        <v>28051</v>
      </c>
      <c r="F890" s="30">
        <v>0</v>
      </c>
      <c r="G890" s="30">
        <v>0</v>
      </c>
      <c r="H890" s="30">
        <v>6641.4</v>
      </c>
      <c r="I890" s="30">
        <v>165.55</v>
      </c>
      <c r="J890" s="30">
        <v>2904.83</v>
      </c>
      <c r="K890" s="30">
        <v>34857.949999999997</v>
      </c>
      <c r="L890" s="32">
        <v>37762.78</v>
      </c>
      <c r="M890" s="33"/>
      <c r="N890" s="30">
        <v>34857.949999999997</v>
      </c>
      <c r="O890" s="30">
        <v>28216.55</v>
      </c>
      <c r="P890" s="30"/>
      <c r="Q890" s="30">
        <v>42841.760000000002</v>
      </c>
      <c r="R890" s="7"/>
      <c r="S890" s="7"/>
      <c r="T890" s="7"/>
      <c r="U890" s="7"/>
      <c r="V890" s="7"/>
      <c r="W890" s="7"/>
      <c r="X890" s="7"/>
      <c r="Y890" s="7"/>
      <c r="Z890" s="7"/>
    </row>
    <row r="891" spans="1:26" ht="9" customHeight="1" x14ac:dyDescent="0.2">
      <c r="A891" s="110"/>
      <c r="B891" s="110"/>
      <c r="C891" s="47" t="s">
        <v>37</v>
      </c>
      <c r="D891" s="48"/>
      <c r="E891" s="46">
        <v>54314310</v>
      </c>
      <c r="F891" s="36">
        <v>0</v>
      </c>
      <c r="G891" s="36">
        <v>0</v>
      </c>
      <c r="H891" s="46">
        <v>12859544</v>
      </c>
      <c r="I891" s="46">
        <v>320549</v>
      </c>
      <c r="J891" s="46">
        <v>5624535</v>
      </c>
      <c r="K891" s="46">
        <v>67494403</v>
      </c>
      <c r="L891" s="46">
        <v>73118938</v>
      </c>
      <c r="M891" s="39"/>
      <c r="N891" s="46">
        <v>67494403</v>
      </c>
      <c r="O891" s="46">
        <v>54634859</v>
      </c>
      <c r="P891" s="46"/>
      <c r="Q891" s="46">
        <v>82953215</v>
      </c>
      <c r="R891" s="7"/>
      <c r="S891" s="7"/>
      <c r="T891" s="7"/>
      <c r="U891" s="7"/>
      <c r="V891" s="7"/>
      <c r="W891" s="7"/>
      <c r="X891" s="7"/>
      <c r="Y891" s="7"/>
      <c r="Z891" s="7"/>
    </row>
    <row r="892" spans="1:26" ht="9" customHeight="1" x14ac:dyDescent="0.2">
      <c r="A892" s="186"/>
      <c r="B892" s="186"/>
      <c r="C892" s="45"/>
      <c r="D892" s="45"/>
      <c r="E892" s="54"/>
      <c r="F892" s="54"/>
      <c r="G892" s="54"/>
      <c r="H892" s="54"/>
      <c r="I892" s="54"/>
      <c r="J892" s="54"/>
      <c r="K892" s="54"/>
      <c r="L892" s="54"/>
      <c r="M892" s="39"/>
      <c r="N892" s="54"/>
      <c r="O892" s="54"/>
      <c r="P892" s="54"/>
      <c r="Q892" s="54"/>
      <c r="R892" s="7"/>
      <c r="S892" s="7"/>
      <c r="T892" s="7"/>
      <c r="U892" s="7"/>
      <c r="V892" s="7"/>
      <c r="W892" s="7"/>
      <c r="X892" s="7"/>
      <c r="Y892" s="7"/>
      <c r="Z892" s="7"/>
    </row>
    <row r="893" spans="1:26" ht="9" customHeight="1" x14ac:dyDescent="0.2">
      <c r="A893" s="186"/>
      <c r="B893" s="186"/>
      <c r="C893" s="45"/>
      <c r="D893" s="45"/>
      <c r="E893" s="54"/>
      <c r="F893" s="54"/>
      <c r="G893" s="54"/>
      <c r="H893" s="54"/>
      <c r="I893" s="54"/>
      <c r="J893" s="54"/>
      <c r="K893" s="54"/>
      <c r="L893" s="54"/>
      <c r="M893" s="39"/>
      <c r="N893" s="54"/>
      <c r="O893" s="54"/>
      <c r="P893" s="54"/>
      <c r="Q893" s="54"/>
      <c r="R893" s="7"/>
      <c r="S893" s="7"/>
      <c r="T893" s="7"/>
      <c r="U893" s="7"/>
      <c r="V893" s="7"/>
      <c r="W893" s="7"/>
      <c r="X893" s="7"/>
      <c r="Y893" s="7"/>
      <c r="Z893" s="7"/>
    </row>
    <row r="894" spans="1:26" ht="9" customHeight="1" x14ac:dyDescent="0.2">
      <c r="A894" s="186"/>
      <c r="B894" s="186"/>
      <c r="C894" s="45"/>
      <c r="D894" s="45"/>
      <c r="E894" s="54"/>
      <c r="F894" s="54"/>
      <c r="G894" s="54"/>
      <c r="H894" s="54"/>
      <c r="I894" s="54"/>
      <c r="J894" s="54"/>
      <c r="K894" s="54"/>
      <c r="L894" s="54"/>
      <c r="M894" s="39"/>
      <c r="N894" s="54"/>
      <c r="O894" s="54"/>
      <c r="P894" s="54"/>
      <c r="Q894" s="54"/>
      <c r="R894" s="7"/>
      <c r="S894" s="7"/>
      <c r="T894" s="7"/>
      <c r="U894" s="7"/>
      <c r="V894" s="7"/>
      <c r="W894" s="7"/>
      <c r="X894" s="7"/>
      <c r="Y894" s="7"/>
      <c r="Z894" s="7"/>
    </row>
    <row r="895" spans="1:26" ht="9" customHeight="1" x14ac:dyDescent="0.2">
      <c r="A895" s="186"/>
      <c r="B895" s="186"/>
      <c r="C895" s="45"/>
      <c r="D895" s="45"/>
      <c r="E895" s="54"/>
      <c r="F895" s="54"/>
      <c r="G895" s="54"/>
      <c r="H895" s="54"/>
      <c r="I895" s="54"/>
      <c r="J895" s="54"/>
      <c r="K895" s="54"/>
      <c r="L895" s="54"/>
      <c r="M895" s="39"/>
      <c r="N895" s="54"/>
      <c r="O895" s="54"/>
      <c r="P895" s="54"/>
      <c r="Q895" s="54"/>
      <c r="R895" s="7"/>
      <c r="S895" s="7"/>
      <c r="T895" s="7"/>
      <c r="U895" s="7"/>
      <c r="V895" s="7"/>
      <c r="W895" s="7"/>
      <c r="X895" s="7"/>
      <c r="Y895" s="7"/>
      <c r="Z895" s="7"/>
    </row>
    <row r="896" spans="1:26" ht="9" customHeight="1" x14ac:dyDescent="0.2">
      <c r="A896" s="186"/>
      <c r="B896" s="186"/>
      <c r="C896" s="45"/>
      <c r="D896" s="45"/>
      <c r="E896" s="54"/>
      <c r="F896" s="54"/>
      <c r="G896" s="54"/>
      <c r="H896" s="54"/>
      <c r="I896" s="54"/>
      <c r="J896" s="54"/>
      <c r="K896" s="54"/>
      <c r="L896" s="54"/>
      <c r="M896" s="39"/>
      <c r="N896" s="54"/>
      <c r="O896" s="54"/>
      <c r="P896" s="54"/>
      <c r="Q896" s="54"/>
      <c r="R896" s="7"/>
      <c r="S896" s="7"/>
      <c r="T896" s="7"/>
      <c r="U896" s="7"/>
      <c r="V896" s="7"/>
      <c r="W896" s="7"/>
      <c r="X896" s="7"/>
      <c r="Y896" s="7"/>
      <c r="Z896" s="7"/>
    </row>
    <row r="897" spans="1:26" ht="9" customHeight="1" x14ac:dyDescent="0.2">
      <c r="A897" s="186"/>
      <c r="B897" s="186"/>
      <c r="C897" s="45"/>
      <c r="D897" s="45"/>
      <c r="E897" s="54"/>
      <c r="F897" s="54"/>
      <c r="G897" s="54"/>
      <c r="H897" s="54"/>
      <c r="I897" s="54"/>
      <c r="J897" s="54"/>
      <c r="K897" s="54"/>
      <c r="L897" s="54"/>
      <c r="M897" s="39"/>
      <c r="N897" s="54"/>
      <c r="O897" s="54"/>
      <c r="P897" s="54"/>
      <c r="Q897" s="54"/>
      <c r="R897" s="7"/>
      <c r="S897" s="7"/>
      <c r="T897" s="7"/>
      <c r="U897" s="7"/>
      <c r="V897" s="7"/>
      <c r="W897" s="7"/>
      <c r="X897" s="7"/>
      <c r="Y897" s="7"/>
      <c r="Z897" s="7"/>
    </row>
    <row r="898" spans="1:26" ht="9" customHeight="1" x14ac:dyDescent="0.2">
      <c r="A898" s="186"/>
      <c r="B898" s="186"/>
      <c r="C898" s="45"/>
      <c r="D898" s="45"/>
      <c r="E898" s="54"/>
      <c r="F898" s="54"/>
      <c r="G898" s="54"/>
      <c r="H898" s="54"/>
      <c r="I898" s="54"/>
      <c r="J898" s="54"/>
      <c r="K898" s="54"/>
      <c r="L898" s="54"/>
      <c r="M898" s="39"/>
      <c r="N898" s="54"/>
      <c r="O898" s="54"/>
      <c r="P898" s="54"/>
      <c r="Q898" s="54"/>
      <c r="R898" s="7"/>
      <c r="S898" s="7"/>
      <c r="T898" s="7"/>
      <c r="U898" s="7"/>
      <c r="V898" s="7"/>
      <c r="W898" s="7"/>
      <c r="X898" s="7"/>
      <c r="Y898" s="7"/>
      <c r="Z898" s="7"/>
    </row>
    <row r="899" spans="1:26" ht="9" customHeight="1" x14ac:dyDescent="0.2">
      <c r="A899" s="186"/>
      <c r="B899" s="186"/>
      <c r="C899" s="45"/>
      <c r="D899" s="45"/>
      <c r="E899" s="54"/>
      <c r="F899" s="54"/>
      <c r="G899" s="54"/>
      <c r="H899" s="54"/>
      <c r="I899" s="54"/>
      <c r="J899" s="54"/>
      <c r="K899" s="54"/>
      <c r="L899" s="54"/>
      <c r="M899" s="39"/>
      <c r="N899" s="54"/>
      <c r="O899" s="54"/>
      <c r="P899" s="54"/>
      <c r="Q899" s="54"/>
      <c r="R899" s="7"/>
      <c r="S899" s="7"/>
      <c r="T899" s="7"/>
      <c r="U899" s="7"/>
      <c r="V899" s="7"/>
      <c r="W899" s="7"/>
      <c r="X899" s="7"/>
      <c r="Y899" s="7"/>
      <c r="Z899" s="7"/>
    </row>
    <row r="900" spans="1:26" s="7" customFormat="1" ht="12.75" customHeight="1" x14ac:dyDescent="0.2">
      <c r="A900" s="56">
        <v>42736</v>
      </c>
      <c r="B900" s="56">
        <v>43159</v>
      </c>
      <c r="C900" s="57" t="s">
        <v>36</v>
      </c>
      <c r="D900" s="58">
        <v>0</v>
      </c>
      <c r="E900" s="59">
        <v>15694.47</v>
      </c>
      <c r="F900" s="59">
        <v>0</v>
      </c>
      <c r="G900" s="59"/>
      <c r="H900" s="59">
        <v>6641.4</v>
      </c>
      <c r="I900" s="59">
        <v>165.55</v>
      </c>
      <c r="J900" s="59">
        <v>1875.12</v>
      </c>
      <c r="K900" s="59">
        <v>22501.42</v>
      </c>
      <c r="L900" s="60">
        <v>24376.54</v>
      </c>
      <c r="M900" s="33"/>
      <c r="N900" s="59">
        <v>22501.42</v>
      </c>
      <c r="O900" s="59">
        <v>15860.02</v>
      </c>
      <c r="P900" s="59"/>
      <c r="Q900" s="59">
        <v>27231.34</v>
      </c>
      <c r="R900" s="59">
        <v>25356.22</v>
      </c>
    </row>
    <row r="901" spans="1:26" s="7" customFormat="1" ht="9" customHeight="1" x14ac:dyDescent="0.2">
      <c r="A901" s="61"/>
      <c r="B901" s="61"/>
      <c r="C901" s="62" t="s">
        <v>37</v>
      </c>
      <c r="D901" s="63">
        <v>8</v>
      </c>
      <c r="E901" s="64">
        <v>30388731</v>
      </c>
      <c r="F901" s="65">
        <v>0</v>
      </c>
      <c r="G901" s="65">
        <v>0</v>
      </c>
      <c r="H901" s="64">
        <v>12859544</v>
      </c>
      <c r="I901" s="64">
        <v>320549</v>
      </c>
      <c r="J901" s="66">
        <v>3630739</v>
      </c>
      <c r="K901" s="64">
        <v>43568825</v>
      </c>
      <c r="L901" s="64">
        <v>47199563</v>
      </c>
      <c r="M901" s="39"/>
      <c r="N901" s="65">
        <v>43568825</v>
      </c>
      <c r="O901" s="65">
        <v>30709281</v>
      </c>
      <c r="P901" s="64"/>
      <c r="Q901" s="65">
        <v>52727227</v>
      </c>
      <c r="R901" s="65">
        <v>49096488</v>
      </c>
    </row>
    <row r="902" spans="1:26" s="7" customFormat="1" ht="12.75" customHeight="1" x14ac:dyDescent="0.2">
      <c r="A902" s="67">
        <v>42736</v>
      </c>
      <c r="B902" s="67">
        <v>43159</v>
      </c>
      <c r="C902" s="68" t="s">
        <v>36</v>
      </c>
      <c r="D902" s="69">
        <v>9</v>
      </c>
      <c r="E902" s="59">
        <v>18359.759999999998</v>
      </c>
      <c r="F902" s="59">
        <v>0</v>
      </c>
      <c r="G902" s="59">
        <v>0</v>
      </c>
      <c r="H902" s="59">
        <v>6641.4</v>
      </c>
      <c r="I902" s="59">
        <v>165.55</v>
      </c>
      <c r="J902" s="59">
        <v>2097.23</v>
      </c>
      <c r="K902" s="59">
        <v>25166.71</v>
      </c>
      <c r="L902" s="60">
        <v>27263.94</v>
      </c>
      <c r="M902" s="33"/>
      <c r="N902" s="59">
        <v>25166.71</v>
      </c>
      <c r="O902" s="59">
        <v>18525.310000000001</v>
      </c>
      <c r="P902" s="59"/>
      <c r="Q902" s="59">
        <v>30598.5</v>
      </c>
      <c r="R902" s="59">
        <v>28501.27</v>
      </c>
    </row>
    <row r="903" spans="1:26" s="7" customFormat="1" ht="9" customHeight="1" x14ac:dyDescent="0.2">
      <c r="A903" s="67"/>
      <c r="B903" s="67"/>
      <c r="C903" s="62" t="s">
        <v>37</v>
      </c>
      <c r="D903" s="63">
        <v>14</v>
      </c>
      <c r="E903" s="64">
        <v>35549452</v>
      </c>
      <c r="F903" s="65">
        <v>0</v>
      </c>
      <c r="G903" s="65">
        <v>0</v>
      </c>
      <c r="H903" s="64">
        <v>12859544</v>
      </c>
      <c r="I903" s="64">
        <v>320549</v>
      </c>
      <c r="J903" s="66">
        <v>4060804</v>
      </c>
      <c r="K903" s="64">
        <v>48729546</v>
      </c>
      <c r="L903" s="64">
        <v>52790349</v>
      </c>
      <c r="M903" s="39"/>
      <c r="N903" s="65">
        <v>48729546</v>
      </c>
      <c r="O903" s="65">
        <v>35870002</v>
      </c>
      <c r="P903" s="64"/>
      <c r="Q903" s="65">
        <v>59246958</v>
      </c>
      <c r="R903" s="65">
        <v>55186154</v>
      </c>
    </row>
    <row r="904" spans="1:26" s="7" customFormat="1" ht="12.75" customHeight="1" x14ac:dyDescent="0.2">
      <c r="A904" s="67"/>
      <c r="B904" s="67"/>
      <c r="C904" s="68" t="s">
        <v>36</v>
      </c>
      <c r="D904" s="69">
        <v>15</v>
      </c>
      <c r="E904" s="59">
        <v>20711.419999999998</v>
      </c>
      <c r="F904" s="59">
        <v>0</v>
      </c>
      <c r="G904" s="59">
        <v>0</v>
      </c>
      <c r="H904" s="59">
        <v>6641.4</v>
      </c>
      <c r="I904" s="59">
        <v>165.55</v>
      </c>
      <c r="J904" s="59">
        <v>2293.1999999999998</v>
      </c>
      <c r="K904" s="59">
        <v>27518.37</v>
      </c>
      <c r="L904" s="60">
        <v>29811.57</v>
      </c>
      <c r="M904" s="33"/>
      <c r="N904" s="59">
        <v>27518.37</v>
      </c>
      <c r="O904" s="59">
        <v>20876.97</v>
      </c>
      <c r="P904" s="59"/>
      <c r="Q904" s="59">
        <v>33569.42</v>
      </c>
      <c r="R904" s="59">
        <v>31276.22</v>
      </c>
    </row>
    <row r="905" spans="1:26" s="7" customFormat="1" ht="9" customHeight="1" x14ac:dyDescent="0.2">
      <c r="A905" s="67"/>
      <c r="B905" s="67"/>
      <c r="C905" s="62" t="s">
        <v>37</v>
      </c>
      <c r="D905" s="63">
        <v>20</v>
      </c>
      <c r="E905" s="64">
        <v>40102901</v>
      </c>
      <c r="F905" s="65">
        <v>0</v>
      </c>
      <c r="G905" s="65">
        <v>0</v>
      </c>
      <c r="H905" s="64">
        <v>12859544</v>
      </c>
      <c r="I905" s="64">
        <v>320549</v>
      </c>
      <c r="J905" s="66">
        <v>4440254</v>
      </c>
      <c r="K905" s="64">
        <v>53282994</v>
      </c>
      <c r="L905" s="64">
        <v>57723249</v>
      </c>
      <c r="M905" s="39"/>
      <c r="N905" s="65">
        <v>53282994</v>
      </c>
      <c r="O905" s="65">
        <v>40423451</v>
      </c>
      <c r="P905" s="64"/>
      <c r="Q905" s="65">
        <v>64999461</v>
      </c>
      <c r="R905" s="65">
        <v>60559206</v>
      </c>
    </row>
    <row r="906" spans="1:26" s="7" customFormat="1" ht="12.75" customHeight="1" x14ac:dyDescent="0.2">
      <c r="A906" s="67"/>
      <c r="B906" s="67"/>
      <c r="C906" s="68" t="s">
        <v>36</v>
      </c>
      <c r="D906" s="69">
        <v>21</v>
      </c>
      <c r="E906" s="59">
        <v>23227.51</v>
      </c>
      <c r="F906" s="59">
        <v>0</v>
      </c>
      <c r="G906" s="59">
        <v>0</v>
      </c>
      <c r="H906" s="59">
        <v>6641.4</v>
      </c>
      <c r="I906" s="59">
        <v>165.55</v>
      </c>
      <c r="J906" s="59">
        <v>2502.87</v>
      </c>
      <c r="K906" s="59">
        <v>30034.46</v>
      </c>
      <c r="L906" s="60">
        <v>32537.33</v>
      </c>
      <c r="M906" s="33"/>
      <c r="N906" s="59">
        <v>30034.46</v>
      </c>
      <c r="O906" s="59">
        <v>23393.06</v>
      </c>
      <c r="P906" s="59"/>
      <c r="Q906" s="59">
        <v>36748.080000000002</v>
      </c>
      <c r="R906" s="59">
        <v>34245.21</v>
      </c>
    </row>
    <row r="907" spans="1:26" s="7" customFormat="1" ht="9" customHeight="1" x14ac:dyDescent="0.2">
      <c r="A907" s="67"/>
      <c r="B907" s="67"/>
      <c r="C907" s="62" t="s">
        <v>37</v>
      </c>
      <c r="D907" s="63">
        <v>27</v>
      </c>
      <c r="E907" s="64">
        <v>44974731</v>
      </c>
      <c r="F907" s="65">
        <v>0</v>
      </c>
      <c r="G907" s="65">
        <v>0</v>
      </c>
      <c r="H907" s="64">
        <v>12859544</v>
      </c>
      <c r="I907" s="64">
        <v>320549</v>
      </c>
      <c r="J907" s="66">
        <v>4846232</v>
      </c>
      <c r="K907" s="64">
        <v>58154824</v>
      </c>
      <c r="L907" s="64">
        <v>63001056</v>
      </c>
      <c r="M907" s="39"/>
      <c r="N907" s="65">
        <v>58154824</v>
      </c>
      <c r="O907" s="65">
        <v>45295280</v>
      </c>
      <c r="P907" s="64"/>
      <c r="Q907" s="65">
        <v>71154205</v>
      </c>
      <c r="R907" s="65">
        <v>66307973</v>
      </c>
    </row>
    <row r="908" spans="1:26" s="7" customFormat="1" ht="12.75" customHeight="1" x14ac:dyDescent="0.2">
      <c r="A908" s="67"/>
      <c r="B908" s="67"/>
      <c r="C908" s="68" t="s">
        <v>36</v>
      </c>
      <c r="D908" s="69">
        <v>28</v>
      </c>
      <c r="E908" s="59">
        <v>25812.18</v>
      </c>
      <c r="F908" s="59">
        <v>0</v>
      </c>
      <c r="G908" s="59">
        <v>0</v>
      </c>
      <c r="H908" s="59">
        <v>6641.4</v>
      </c>
      <c r="I908" s="59">
        <v>165.55</v>
      </c>
      <c r="J908" s="59">
        <v>2718.26</v>
      </c>
      <c r="K908" s="59">
        <v>32619.13</v>
      </c>
      <c r="L908" s="60">
        <v>35337.39</v>
      </c>
      <c r="M908" s="33"/>
      <c r="N908" s="59">
        <v>32619.13</v>
      </c>
      <c r="O908" s="59">
        <v>25977.73</v>
      </c>
      <c r="P908" s="59"/>
      <c r="Q908" s="59">
        <v>40013.379999999997</v>
      </c>
      <c r="R908" s="59">
        <v>37295.120000000003</v>
      </c>
    </row>
    <row r="909" spans="1:26" s="7" customFormat="1" ht="9" customHeight="1" x14ac:dyDescent="0.2">
      <c r="A909" s="67"/>
      <c r="B909" s="67"/>
      <c r="C909" s="62" t="s">
        <v>37</v>
      </c>
      <c r="D909" s="63">
        <v>34</v>
      </c>
      <c r="E909" s="64">
        <v>49979350</v>
      </c>
      <c r="F909" s="65">
        <v>0</v>
      </c>
      <c r="G909" s="65">
        <v>0</v>
      </c>
      <c r="H909" s="64">
        <v>12859544</v>
      </c>
      <c r="I909" s="64">
        <v>320549</v>
      </c>
      <c r="J909" s="66">
        <v>5263285</v>
      </c>
      <c r="K909" s="64">
        <v>63159443</v>
      </c>
      <c r="L909" s="64">
        <v>68422728</v>
      </c>
      <c r="M909" s="39"/>
      <c r="N909" s="65">
        <v>63159443</v>
      </c>
      <c r="O909" s="65">
        <v>50299899</v>
      </c>
      <c r="P909" s="64"/>
      <c r="Q909" s="65">
        <v>77476707</v>
      </c>
      <c r="R909" s="65">
        <v>72213422</v>
      </c>
    </row>
    <row r="910" spans="1:26" s="7" customFormat="1" ht="12.75" customHeight="1" x14ac:dyDescent="0.2">
      <c r="A910" s="67"/>
      <c r="B910" s="67"/>
      <c r="C910" s="68" t="s">
        <v>36</v>
      </c>
      <c r="D910" s="69">
        <v>35</v>
      </c>
      <c r="E910" s="59">
        <v>28327</v>
      </c>
      <c r="F910" s="59">
        <v>0</v>
      </c>
      <c r="G910" s="59">
        <v>0</v>
      </c>
      <c r="H910" s="59">
        <v>6641.4</v>
      </c>
      <c r="I910" s="59">
        <v>165.55</v>
      </c>
      <c r="J910" s="59">
        <v>2927.83</v>
      </c>
      <c r="K910" s="59">
        <v>35133.949999999997</v>
      </c>
      <c r="L910" s="60">
        <v>38061.78</v>
      </c>
      <c r="M910" s="33"/>
      <c r="N910" s="59">
        <v>35133.949999999997</v>
      </c>
      <c r="O910" s="59">
        <v>28492.55</v>
      </c>
      <c r="P910" s="59"/>
      <c r="Q910" s="59">
        <v>43190.44</v>
      </c>
      <c r="R910" s="59">
        <v>40262.61</v>
      </c>
    </row>
    <row r="911" spans="1:26" s="7" customFormat="1" ht="9" customHeight="1" x14ac:dyDescent="0.2">
      <c r="A911" s="70"/>
      <c r="B911" s="70"/>
      <c r="C911" s="71" t="s">
        <v>37</v>
      </c>
      <c r="D911" s="72"/>
      <c r="E911" s="64">
        <v>54848720</v>
      </c>
      <c r="F911" s="64">
        <v>0</v>
      </c>
      <c r="G911" s="64">
        <v>0</v>
      </c>
      <c r="H911" s="64">
        <v>12859544</v>
      </c>
      <c r="I911" s="64">
        <v>320549</v>
      </c>
      <c r="J911" s="64">
        <v>5669069</v>
      </c>
      <c r="K911" s="64">
        <v>68028813</v>
      </c>
      <c r="L911" s="64">
        <v>73697883</v>
      </c>
      <c r="M911" s="39"/>
      <c r="N911" s="64">
        <v>68028813</v>
      </c>
      <c r="O911" s="64">
        <v>55169270</v>
      </c>
      <c r="P911" s="64"/>
      <c r="Q911" s="64">
        <v>83628353</v>
      </c>
      <c r="R911" s="65">
        <v>77959284</v>
      </c>
    </row>
    <row r="912" spans="1:26" s="7" customFormat="1" ht="9" customHeight="1" x14ac:dyDescent="0.2">
      <c r="A912" s="67"/>
      <c r="B912" s="67"/>
      <c r="C912" s="184"/>
      <c r="D912" s="45"/>
      <c r="E912" s="185"/>
      <c r="F912" s="185"/>
      <c r="G912" s="185"/>
      <c r="H912" s="185"/>
      <c r="I912" s="185"/>
      <c r="J912" s="185"/>
      <c r="K912" s="185"/>
      <c r="L912" s="185"/>
      <c r="M912" s="39"/>
      <c r="N912" s="185"/>
      <c r="O912" s="185"/>
      <c r="P912" s="185"/>
      <c r="Q912" s="185"/>
      <c r="R912" s="185"/>
    </row>
    <row r="913" spans="1:18" s="7" customFormat="1" ht="9" customHeight="1" x14ac:dyDescent="0.2">
      <c r="A913" s="67"/>
      <c r="B913" s="67"/>
      <c r="C913" s="184"/>
      <c r="D913" s="45"/>
      <c r="E913" s="185"/>
      <c r="F913" s="185"/>
      <c r="G913" s="185"/>
      <c r="H913" s="185"/>
      <c r="I913" s="185"/>
      <c r="J913" s="185"/>
      <c r="K913" s="185"/>
      <c r="L913" s="185"/>
      <c r="M913" s="39"/>
      <c r="N913" s="185"/>
      <c r="O913" s="185"/>
      <c r="P913" s="185"/>
      <c r="Q913" s="185"/>
      <c r="R913" s="185"/>
    </row>
    <row r="914" spans="1:18" s="7" customFormat="1" ht="9" customHeight="1" x14ac:dyDescent="0.2">
      <c r="A914" s="67"/>
      <c r="B914" s="67"/>
      <c r="C914" s="184"/>
      <c r="D914" s="45"/>
      <c r="E914" s="185"/>
      <c r="F914" s="185"/>
      <c r="G914" s="185"/>
      <c r="H914" s="185"/>
      <c r="I914" s="185"/>
      <c r="J914" s="185"/>
      <c r="K914" s="185"/>
      <c r="L914" s="185"/>
      <c r="M914" s="39"/>
      <c r="N914" s="185"/>
      <c r="O914" s="185"/>
      <c r="P914" s="185"/>
      <c r="Q914" s="185"/>
      <c r="R914" s="185"/>
    </row>
    <row r="915" spans="1:18" s="7" customFormat="1" ht="9" customHeight="1" x14ac:dyDescent="0.2">
      <c r="A915" s="67"/>
      <c r="B915" s="67"/>
      <c r="C915" s="184"/>
      <c r="D915" s="45"/>
      <c r="E915" s="185"/>
      <c r="F915" s="185"/>
      <c r="G915" s="185"/>
      <c r="H915" s="185"/>
      <c r="I915" s="185"/>
      <c r="J915" s="185"/>
      <c r="K915" s="185"/>
      <c r="L915" s="185"/>
      <c r="M915" s="39"/>
      <c r="N915" s="185"/>
      <c r="O915" s="185"/>
      <c r="P915" s="185"/>
      <c r="Q915" s="185"/>
      <c r="R915" s="185"/>
    </row>
    <row r="916" spans="1:18" s="7" customFormat="1" ht="9" customHeight="1" x14ac:dyDescent="0.2">
      <c r="A916" s="67"/>
      <c r="B916" s="67"/>
      <c r="C916" s="184"/>
      <c r="D916" s="45"/>
      <c r="E916" s="185"/>
      <c r="F916" s="185"/>
      <c r="G916" s="185"/>
      <c r="H916" s="185"/>
      <c r="I916" s="185"/>
      <c r="J916" s="185"/>
      <c r="K916" s="185"/>
      <c r="L916" s="185"/>
      <c r="M916" s="39"/>
      <c r="N916" s="185"/>
      <c r="O916" s="185"/>
      <c r="P916" s="185"/>
      <c r="Q916" s="185"/>
      <c r="R916" s="185"/>
    </row>
    <row r="917" spans="1:18" s="7" customFormat="1" ht="9" customHeight="1" x14ac:dyDescent="0.2">
      <c r="A917" s="67"/>
      <c r="B917" s="67"/>
      <c r="C917" s="184"/>
      <c r="D917" s="45"/>
      <c r="E917" s="185"/>
      <c r="F917" s="185"/>
      <c r="G917" s="185"/>
      <c r="H917" s="185"/>
      <c r="I917" s="185"/>
      <c r="J917" s="185"/>
      <c r="K917" s="185"/>
      <c r="L917" s="185"/>
      <c r="M917" s="39"/>
      <c r="N917" s="185"/>
      <c r="O917" s="185"/>
      <c r="P917" s="185"/>
      <c r="Q917" s="185"/>
      <c r="R917" s="185"/>
    </row>
    <row r="918" spans="1:18" s="7" customFormat="1" ht="9" customHeight="1" x14ac:dyDescent="0.2">
      <c r="A918" s="67"/>
      <c r="B918" s="67"/>
      <c r="C918" s="184"/>
      <c r="D918" s="45"/>
      <c r="E918" s="185"/>
      <c r="F918" s="185"/>
      <c r="G918" s="185"/>
      <c r="H918" s="185"/>
      <c r="I918" s="185"/>
      <c r="J918" s="185"/>
      <c r="K918" s="185"/>
      <c r="L918" s="185"/>
      <c r="M918" s="39"/>
      <c r="N918" s="185"/>
      <c r="O918" s="185"/>
      <c r="P918" s="185"/>
      <c r="Q918" s="185"/>
      <c r="R918" s="185"/>
    </row>
    <row r="919" spans="1:18" s="7" customFormat="1" ht="9" customHeight="1" x14ac:dyDescent="0.2">
      <c r="A919" s="67"/>
      <c r="B919" s="67"/>
      <c r="C919" s="184"/>
      <c r="D919" s="45"/>
      <c r="E919" s="185"/>
      <c r="F919" s="185"/>
      <c r="G919" s="185"/>
      <c r="H919" s="185"/>
      <c r="I919" s="185"/>
      <c r="J919" s="185"/>
      <c r="K919" s="185"/>
      <c r="L919" s="185"/>
      <c r="M919" s="39"/>
      <c r="N919" s="185"/>
      <c r="O919" s="185"/>
      <c r="P919" s="185"/>
      <c r="Q919" s="185"/>
      <c r="R919" s="185"/>
    </row>
    <row r="920" spans="1:18" s="7" customFormat="1" ht="12.75" customHeight="1" x14ac:dyDescent="0.2">
      <c r="A920" s="56">
        <v>43160</v>
      </c>
      <c r="B920" s="56">
        <v>43190</v>
      </c>
      <c r="C920" s="57" t="s">
        <v>36</v>
      </c>
      <c r="D920" s="58">
        <v>0</v>
      </c>
      <c r="E920" s="59">
        <v>16187.67</v>
      </c>
      <c r="F920" s="59">
        <v>0</v>
      </c>
      <c r="G920" s="59"/>
      <c r="H920" s="59">
        <v>6641.4</v>
      </c>
      <c r="I920" s="59">
        <v>165.55</v>
      </c>
      <c r="J920" s="59">
        <v>1916.22</v>
      </c>
      <c r="K920" s="59">
        <v>22994.62</v>
      </c>
      <c r="L920" s="60">
        <v>24910.84</v>
      </c>
      <c r="M920" s="33"/>
      <c r="N920" s="59">
        <v>22994.62</v>
      </c>
      <c r="O920" s="59">
        <v>16353.22</v>
      </c>
      <c r="P920" s="59"/>
      <c r="Q920" s="59">
        <v>27854.42</v>
      </c>
      <c r="R920" s="59">
        <v>25938.2</v>
      </c>
    </row>
    <row r="921" spans="1:18" s="7" customFormat="1" ht="9" customHeight="1" x14ac:dyDescent="0.2">
      <c r="A921" s="61"/>
      <c r="B921" s="61"/>
      <c r="C921" s="62" t="s">
        <v>37</v>
      </c>
      <c r="D921" s="63">
        <v>8</v>
      </c>
      <c r="E921" s="64">
        <v>31343700</v>
      </c>
      <c r="F921" s="65">
        <v>0</v>
      </c>
      <c r="G921" s="65">
        <v>0</v>
      </c>
      <c r="H921" s="64">
        <v>12859544</v>
      </c>
      <c r="I921" s="64">
        <v>320549</v>
      </c>
      <c r="J921" s="66">
        <v>3710319</v>
      </c>
      <c r="K921" s="64">
        <v>44523793</v>
      </c>
      <c r="L921" s="64">
        <v>48234112</v>
      </c>
      <c r="M921" s="39"/>
      <c r="N921" s="65">
        <v>44523793</v>
      </c>
      <c r="O921" s="65">
        <v>31664249</v>
      </c>
      <c r="P921" s="64"/>
      <c r="Q921" s="65">
        <v>53933678</v>
      </c>
      <c r="R921" s="65">
        <v>50223359</v>
      </c>
    </row>
    <row r="922" spans="1:18" s="7" customFormat="1" ht="12.75" customHeight="1" x14ac:dyDescent="0.2">
      <c r="A922" s="73">
        <v>43160</v>
      </c>
      <c r="B922" s="73">
        <v>43190</v>
      </c>
      <c r="C922" s="68" t="s">
        <v>36</v>
      </c>
      <c r="D922" s="69">
        <v>9</v>
      </c>
      <c r="E922" s="59">
        <v>18905.759999999998</v>
      </c>
      <c r="F922" s="59">
        <v>0</v>
      </c>
      <c r="G922" s="59">
        <v>0</v>
      </c>
      <c r="H922" s="59">
        <v>6641.4</v>
      </c>
      <c r="I922" s="59">
        <v>165.55</v>
      </c>
      <c r="J922" s="59">
        <v>2142.73</v>
      </c>
      <c r="K922" s="59">
        <v>25712.71</v>
      </c>
      <c r="L922" s="60">
        <v>27855.439999999999</v>
      </c>
      <c r="M922" s="33"/>
      <c r="N922" s="59">
        <v>25712.71</v>
      </c>
      <c r="O922" s="59">
        <v>19071.310000000001</v>
      </c>
      <c r="P922" s="59"/>
      <c r="Q922" s="59">
        <v>31288.28</v>
      </c>
      <c r="R922" s="59">
        <v>29145.55</v>
      </c>
    </row>
    <row r="923" spans="1:18" s="7" customFormat="1" ht="9" customHeight="1" x14ac:dyDescent="0.2">
      <c r="A923" s="73"/>
      <c r="B923" s="73"/>
      <c r="C923" s="62" t="s">
        <v>37</v>
      </c>
      <c r="D923" s="63">
        <v>14</v>
      </c>
      <c r="E923" s="64">
        <v>36606656</v>
      </c>
      <c r="F923" s="65">
        <v>0</v>
      </c>
      <c r="G923" s="65">
        <v>0</v>
      </c>
      <c r="H923" s="64">
        <v>12859544</v>
      </c>
      <c r="I923" s="64">
        <v>320549</v>
      </c>
      <c r="J923" s="66">
        <v>4148904</v>
      </c>
      <c r="K923" s="64">
        <v>49786749</v>
      </c>
      <c r="L923" s="64">
        <v>53935653</v>
      </c>
      <c r="M923" s="39"/>
      <c r="N923" s="65">
        <v>49786749</v>
      </c>
      <c r="O923" s="65">
        <v>36927205</v>
      </c>
      <c r="P923" s="64"/>
      <c r="Q923" s="65">
        <v>60582558</v>
      </c>
      <c r="R923" s="65">
        <v>56433654</v>
      </c>
    </row>
    <row r="924" spans="1:18" s="7" customFormat="1" ht="12.75" customHeight="1" x14ac:dyDescent="0.2">
      <c r="A924" s="73"/>
      <c r="B924" s="73"/>
      <c r="C924" s="68" t="s">
        <v>36</v>
      </c>
      <c r="D924" s="69">
        <v>15</v>
      </c>
      <c r="E924" s="59">
        <v>21313.82</v>
      </c>
      <c r="F924" s="59">
        <v>0</v>
      </c>
      <c r="G924" s="59">
        <v>0</v>
      </c>
      <c r="H924" s="59">
        <v>6641.4</v>
      </c>
      <c r="I924" s="59">
        <v>165.55</v>
      </c>
      <c r="J924" s="59">
        <v>2343.4</v>
      </c>
      <c r="K924" s="59">
        <v>28120.77</v>
      </c>
      <c r="L924" s="60">
        <v>30464.17</v>
      </c>
      <c r="M924" s="33"/>
      <c r="N924" s="59">
        <v>28120.77</v>
      </c>
      <c r="O924" s="59">
        <v>21479.37</v>
      </c>
      <c r="P924" s="59"/>
      <c r="Q924" s="59">
        <v>34330.46</v>
      </c>
      <c r="R924" s="59">
        <v>31987.06</v>
      </c>
    </row>
    <row r="925" spans="1:18" s="7" customFormat="1" ht="9" customHeight="1" x14ac:dyDescent="0.2">
      <c r="A925" s="73"/>
      <c r="B925" s="73"/>
      <c r="C925" s="62" t="s">
        <v>37</v>
      </c>
      <c r="D925" s="63">
        <v>20</v>
      </c>
      <c r="E925" s="64">
        <v>41269310</v>
      </c>
      <c r="F925" s="65">
        <v>0</v>
      </c>
      <c r="G925" s="65">
        <v>0</v>
      </c>
      <c r="H925" s="64">
        <v>12859544</v>
      </c>
      <c r="I925" s="64">
        <v>320549</v>
      </c>
      <c r="J925" s="66">
        <v>4537455</v>
      </c>
      <c r="K925" s="64">
        <v>54449403</v>
      </c>
      <c r="L925" s="64">
        <v>58986858</v>
      </c>
      <c r="M925" s="39"/>
      <c r="N925" s="65">
        <v>54449403</v>
      </c>
      <c r="O925" s="65">
        <v>41589860</v>
      </c>
      <c r="P925" s="64"/>
      <c r="Q925" s="65">
        <v>66473040</v>
      </c>
      <c r="R925" s="65">
        <v>61935585</v>
      </c>
    </row>
    <row r="926" spans="1:18" s="7" customFormat="1" ht="12.75" customHeight="1" x14ac:dyDescent="0.2">
      <c r="A926" s="73"/>
      <c r="B926" s="73"/>
      <c r="C926" s="68" t="s">
        <v>36</v>
      </c>
      <c r="D926" s="69">
        <v>21</v>
      </c>
      <c r="E926" s="59">
        <v>23883.91</v>
      </c>
      <c r="F926" s="59">
        <v>0</v>
      </c>
      <c r="G926" s="59">
        <v>0</v>
      </c>
      <c r="H926" s="59">
        <v>6641.4</v>
      </c>
      <c r="I926" s="59">
        <v>165.55</v>
      </c>
      <c r="J926" s="59">
        <v>2557.5700000000002</v>
      </c>
      <c r="K926" s="59">
        <v>30690.86</v>
      </c>
      <c r="L926" s="60">
        <v>33248.43</v>
      </c>
      <c r="M926" s="33"/>
      <c r="N926" s="59">
        <v>30690.86</v>
      </c>
      <c r="O926" s="59">
        <v>24049.46</v>
      </c>
      <c r="P926" s="59"/>
      <c r="Q926" s="59">
        <v>37577.33</v>
      </c>
      <c r="R926" s="59">
        <v>35019.760000000002</v>
      </c>
    </row>
    <row r="927" spans="1:18" s="7" customFormat="1" ht="9" customHeight="1" x14ac:dyDescent="0.2">
      <c r="A927" s="73"/>
      <c r="B927" s="73"/>
      <c r="C927" s="62" t="s">
        <v>37</v>
      </c>
      <c r="D927" s="63">
        <v>27</v>
      </c>
      <c r="E927" s="64">
        <v>46245698</v>
      </c>
      <c r="F927" s="65">
        <v>0</v>
      </c>
      <c r="G927" s="65">
        <v>0</v>
      </c>
      <c r="H927" s="64">
        <v>12859544</v>
      </c>
      <c r="I927" s="64">
        <v>320549</v>
      </c>
      <c r="J927" s="66">
        <v>4952146</v>
      </c>
      <c r="K927" s="64">
        <v>59425791</v>
      </c>
      <c r="L927" s="64">
        <v>64377938</v>
      </c>
      <c r="M927" s="39"/>
      <c r="N927" s="65">
        <v>59425791</v>
      </c>
      <c r="O927" s="65">
        <v>46566248</v>
      </c>
      <c r="P927" s="64"/>
      <c r="Q927" s="65">
        <v>72759857</v>
      </c>
      <c r="R927" s="65">
        <v>67807711</v>
      </c>
    </row>
    <row r="928" spans="1:18" s="7" customFormat="1" ht="12.75" customHeight="1" x14ac:dyDescent="0.2">
      <c r="A928" s="73"/>
      <c r="B928" s="73"/>
      <c r="C928" s="68" t="s">
        <v>36</v>
      </c>
      <c r="D928" s="69">
        <v>28</v>
      </c>
      <c r="E928" s="59">
        <v>26534.58</v>
      </c>
      <c r="F928" s="59">
        <v>0</v>
      </c>
      <c r="G928" s="59">
        <v>0</v>
      </c>
      <c r="H928" s="59">
        <v>6641.4</v>
      </c>
      <c r="I928" s="59">
        <v>165.55</v>
      </c>
      <c r="J928" s="59">
        <v>2778.46</v>
      </c>
      <c r="K928" s="59">
        <v>33341.53</v>
      </c>
      <c r="L928" s="60">
        <v>36119.99</v>
      </c>
      <c r="M928" s="33"/>
      <c r="N928" s="59">
        <v>33341.53</v>
      </c>
      <c r="O928" s="59">
        <v>26700.13</v>
      </c>
      <c r="P928" s="59"/>
      <c r="Q928" s="59">
        <v>40926.01</v>
      </c>
      <c r="R928" s="59">
        <v>38147.550000000003</v>
      </c>
    </row>
    <row r="929" spans="1:18" s="7" customFormat="1" ht="9" customHeight="1" x14ac:dyDescent="0.2">
      <c r="A929" s="73"/>
      <c r="B929" s="73"/>
      <c r="C929" s="62" t="s">
        <v>37</v>
      </c>
      <c r="D929" s="63">
        <v>34</v>
      </c>
      <c r="E929" s="64">
        <v>51378111</v>
      </c>
      <c r="F929" s="65">
        <v>0</v>
      </c>
      <c r="G929" s="65">
        <v>0</v>
      </c>
      <c r="H929" s="64">
        <v>12859544</v>
      </c>
      <c r="I929" s="64">
        <v>320549</v>
      </c>
      <c r="J929" s="66">
        <v>5379849</v>
      </c>
      <c r="K929" s="64">
        <v>64558204</v>
      </c>
      <c r="L929" s="64">
        <v>69938053</v>
      </c>
      <c r="M929" s="39"/>
      <c r="N929" s="65">
        <v>64558204</v>
      </c>
      <c r="O929" s="65">
        <v>51698661</v>
      </c>
      <c r="P929" s="64"/>
      <c r="Q929" s="65">
        <v>79243805</v>
      </c>
      <c r="R929" s="65">
        <v>73863957</v>
      </c>
    </row>
    <row r="930" spans="1:18" s="7" customFormat="1" ht="12.75" customHeight="1" x14ac:dyDescent="0.2">
      <c r="A930" s="73"/>
      <c r="B930" s="73"/>
      <c r="C930" s="68" t="s">
        <v>36</v>
      </c>
      <c r="D930" s="69">
        <v>35</v>
      </c>
      <c r="E930" s="59">
        <v>29103.4</v>
      </c>
      <c r="F930" s="59">
        <v>0</v>
      </c>
      <c r="G930" s="59">
        <v>0</v>
      </c>
      <c r="H930" s="59">
        <v>6641.4</v>
      </c>
      <c r="I930" s="59">
        <v>165.55</v>
      </c>
      <c r="J930" s="59">
        <v>2992.53</v>
      </c>
      <c r="K930" s="59">
        <v>35910.35</v>
      </c>
      <c r="L930" s="60">
        <v>38902.879999999997</v>
      </c>
      <c r="M930" s="33"/>
      <c r="N930" s="59">
        <v>35910.35</v>
      </c>
      <c r="O930" s="59">
        <v>29268.95</v>
      </c>
      <c r="P930" s="59"/>
      <c r="Q930" s="59">
        <v>44171.29</v>
      </c>
      <c r="R930" s="59">
        <v>41178.76</v>
      </c>
    </row>
    <row r="931" spans="1:18" s="7" customFormat="1" ht="9" customHeight="1" x14ac:dyDescent="0.2">
      <c r="A931" s="74"/>
      <c r="B931" s="74"/>
      <c r="C931" s="71" t="s">
        <v>37</v>
      </c>
      <c r="D931" s="72"/>
      <c r="E931" s="64">
        <v>56352040</v>
      </c>
      <c r="F931" s="64">
        <v>0</v>
      </c>
      <c r="G931" s="64">
        <v>0</v>
      </c>
      <c r="H931" s="64">
        <v>12859544</v>
      </c>
      <c r="I931" s="64">
        <v>320549</v>
      </c>
      <c r="J931" s="64">
        <v>5794346</v>
      </c>
      <c r="K931" s="64">
        <v>69532133</v>
      </c>
      <c r="L931" s="64">
        <v>75326479</v>
      </c>
      <c r="M931" s="39"/>
      <c r="N931" s="64">
        <v>69532133</v>
      </c>
      <c r="O931" s="64">
        <v>56672590</v>
      </c>
      <c r="P931" s="64"/>
      <c r="Q931" s="64">
        <v>85527544</v>
      </c>
      <c r="R931" s="65">
        <v>79733198</v>
      </c>
    </row>
    <row r="932" spans="1:18" s="7" customFormat="1" ht="9" customHeight="1" x14ac:dyDescent="0.2">
      <c r="A932" s="73"/>
      <c r="B932" s="73"/>
      <c r="C932" s="184"/>
      <c r="D932" s="45"/>
      <c r="E932" s="185"/>
      <c r="F932" s="185"/>
      <c r="G932" s="185"/>
      <c r="H932" s="185"/>
      <c r="I932" s="185"/>
      <c r="J932" s="185"/>
      <c r="K932" s="185"/>
      <c r="L932" s="185"/>
      <c r="M932" s="39"/>
      <c r="N932" s="185"/>
      <c r="O932" s="185"/>
      <c r="P932" s="185"/>
      <c r="Q932" s="185"/>
      <c r="R932" s="185"/>
    </row>
    <row r="933" spans="1:18" s="7" customFormat="1" ht="9" customHeight="1" x14ac:dyDescent="0.2">
      <c r="A933" s="73"/>
      <c r="B933" s="73"/>
      <c r="C933" s="184"/>
      <c r="D933" s="45"/>
      <c r="E933" s="185"/>
      <c r="F933" s="185"/>
      <c r="G933" s="185"/>
      <c r="H933" s="185"/>
      <c r="I933" s="185"/>
      <c r="J933" s="185"/>
      <c r="K933" s="185"/>
      <c r="L933" s="185"/>
      <c r="M933" s="39"/>
      <c r="N933" s="185"/>
      <c r="O933" s="185"/>
      <c r="P933" s="185"/>
      <c r="Q933" s="185"/>
      <c r="R933" s="185"/>
    </row>
    <row r="934" spans="1:18" s="7" customFormat="1" ht="9" customHeight="1" x14ac:dyDescent="0.2">
      <c r="A934" s="73"/>
      <c r="B934" s="73"/>
      <c r="C934" s="184"/>
      <c r="D934" s="45"/>
      <c r="E934" s="185"/>
      <c r="F934" s="185"/>
      <c r="G934" s="185"/>
      <c r="H934" s="185"/>
      <c r="I934" s="185"/>
      <c r="J934" s="185"/>
      <c r="K934" s="185"/>
      <c r="L934" s="185"/>
      <c r="M934" s="39"/>
      <c r="N934" s="185"/>
      <c r="O934" s="185"/>
      <c r="P934" s="185"/>
      <c r="Q934" s="185"/>
      <c r="R934" s="185"/>
    </row>
    <row r="935" spans="1:18" s="7" customFormat="1" ht="9" customHeight="1" x14ac:dyDescent="0.2">
      <c r="A935" s="73"/>
      <c r="B935" s="73"/>
      <c r="C935" s="184"/>
      <c r="D935" s="45"/>
      <c r="E935" s="185"/>
      <c r="F935" s="185"/>
      <c r="G935" s="185"/>
      <c r="H935" s="185"/>
      <c r="I935" s="185"/>
      <c r="J935" s="185"/>
      <c r="K935" s="185"/>
      <c r="L935" s="185"/>
      <c r="M935" s="39"/>
      <c r="N935" s="185"/>
      <c r="O935" s="185"/>
      <c r="P935" s="185"/>
      <c r="Q935" s="185"/>
      <c r="R935" s="185"/>
    </row>
    <row r="936" spans="1:18" s="7" customFormat="1" ht="9" customHeight="1" x14ac:dyDescent="0.2">
      <c r="A936" s="73"/>
      <c r="B936" s="73"/>
      <c r="C936" s="184"/>
      <c r="D936" s="45"/>
      <c r="E936" s="185"/>
      <c r="F936" s="185"/>
      <c r="G936" s="185"/>
      <c r="H936" s="185"/>
      <c r="I936" s="185"/>
      <c r="J936" s="185"/>
      <c r="K936" s="185"/>
      <c r="L936" s="185"/>
      <c r="M936" s="39"/>
      <c r="N936" s="185"/>
      <c r="O936" s="185"/>
      <c r="P936" s="185"/>
      <c r="Q936" s="185"/>
      <c r="R936" s="185"/>
    </row>
    <row r="937" spans="1:18" s="7" customFormat="1" ht="9" customHeight="1" x14ac:dyDescent="0.2">
      <c r="A937" s="73"/>
      <c r="B937" s="73"/>
      <c r="C937" s="184"/>
      <c r="D937" s="45"/>
      <c r="E937" s="185"/>
      <c r="F937" s="185"/>
      <c r="G937" s="185"/>
      <c r="H937" s="185"/>
      <c r="I937" s="185"/>
      <c r="J937" s="185"/>
      <c r="K937" s="185"/>
      <c r="L937" s="185"/>
      <c r="M937" s="39"/>
      <c r="N937" s="185"/>
      <c r="O937" s="185"/>
      <c r="P937" s="185"/>
      <c r="Q937" s="185"/>
      <c r="R937" s="185"/>
    </row>
    <row r="938" spans="1:18" s="7" customFormat="1" ht="9" customHeight="1" x14ac:dyDescent="0.2">
      <c r="A938" s="73"/>
      <c r="B938" s="73"/>
      <c r="C938" s="184"/>
      <c r="D938" s="45"/>
      <c r="E938" s="185"/>
      <c r="F938" s="185"/>
      <c r="G938" s="185"/>
      <c r="H938" s="185"/>
      <c r="I938" s="185"/>
      <c r="J938" s="185"/>
      <c r="K938" s="185"/>
      <c r="L938" s="185"/>
      <c r="M938" s="39"/>
      <c r="N938" s="185"/>
      <c r="O938" s="185"/>
      <c r="P938" s="185"/>
      <c r="Q938" s="185"/>
      <c r="R938" s="185"/>
    </row>
    <row r="939" spans="1:18" s="7" customFormat="1" ht="9" customHeight="1" x14ac:dyDescent="0.2">
      <c r="A939" s="73"/>
      <c r="B939" s="73"/>
      <c r="C939" s="184"/>
      <c r="D939" s="45"/>
      <c r="E939" s="185"/>
      <c r="F939" s="185"/>
      <c r="G939" s="185"/>
      <c r="H939" s="185"/>
      <c r="I939" s="185"/>
      <c r="J939" s="185"/>
      <c r="K939" s="185"/>
      <c r="L939" s="185"/>
      <c r="M939" s="39"/>
      <c r="N939" s="185"/>
      <c r="O939" s="185"/>
      <c r="P939" s="185"/>
      <c r="Q939" s="185"/>
      <c r="R939" s="185"/>
    </row>
    <row r="940" spans="1:18" s="7" customFormat="1" ht="12.75" customHeight="1" x14ac:dyDescent="0.2">
      <c r="A940" s="56">
        <v>43191</v>
      </c>
      <c r="B940" s="56">
        <v>43465</v>
      </c>
      <c r="C940" s="57" t="s">
        <v>36</v>
      </c>
      <c r="D940" s="58">
        <v>0</v>
      </c>
      <c r="E940" s="59">
        <v>16353.22</v>
      </c>
      <c r="F940" s="59">
        <v>0</v>
      </c>
      <c r="G940" s="59"/>
      <c r="H940" s="59">
        <v>6641.4</v>
      </c>
      <c r="I940" s="59"/>
      <c r="J940" s="59">
        <v>1916.22</v>
      </c>
      <c r="K940" s="59">
        <v>22994.62</v>
      </c>
      <c r="L940" s="60">
        <v>24910.84</v>
      </c>
      <c r="M940" s="33"/>
      <c r="N940" s="59">
        <v>22994.62</v>
      </c>
      <c r="O940" s="59">
        <v>16353.22</v>
      </c>
      <c r="P940" s="59"/>
      <c r="Q940" s="59">
        <v>27854.42</v>
      </c>
      <c r="R940" s="59">
        <v>25938.2</v>
      </c>
    </row>
    <row r="941" spans="1:18" s="7" customFormat="1" ht="9" customHeight="1" x14ac:dyDescent="0.2">
      <c r="A941" s="61"/>
      <c r="B941" s="61"/>
      <c r="C941" s="62" t="s">
        <v>37</v>
      </c>
      <c r="D941" s="63">
        <v>8</v>
      </c>
      <c r="E941" s="64">
        <v>31664249</v>
      </c>
      <c r="F941" s="65">
        <v>0</v>
      </c>
      <c r="G941" s="65">
        <v>0</v>
      </c>
      <c r="H941" s="64">
        <v>12859544</v>
      </c>
      <c r="I941" s="64"/>
      <c r="J941" s="66">
        <v>3710319</v>
      </c>
      <c r="K941" s="64">
        <v>44523793</v>
      </c>
      <c r="L941" s="64">
        <v>48234112</v>
      </c>
      <c r="M941" s="39"/>
      <c r="N941" s="65">
        <v>44523793</v>
      </c>
      <c r="O941" s="65">
        <v>31664249</v>
      </c>
      <c r="P941" s="64"/>
      <c r="Q941" s="65">
        <v>53933678</v>
      </c>
      <c r="R941" s="65">
        <v>50223359</v>
      </c>
    </row>
    <row r="942" spans="1:18" s="7" customFormat="1" ht="12.75" customHeight="1" x14ac:dyDescent="0.2">
      <c r="A942" s="73">
        <v>43191</v>
      </c>
      <c r="B942" s="73">
        <f>B940</f>
        <v>43465</v>
      </c>
      <c r="C942" s="68" t="s">
        <v>36</v>
      </c>
      <c r="D942" s="69">
        <v>9</v>
      </c>
      <c r="E942" s="59">
        <v>19071.310000000001</v>
      </c>
      <c r="F942" s="59">
        <v>0</v>
      </c>
      <c r="G942" s="59">
        <v>0</v>
      </c>
      <c r="H942" s="59">
        <v>6641.4</v>
      </c>
      <c r="I942" s="59"/>
      <c r="J942" s="59">
        <v>2142.73</v>
      </c>
      <c r="K942" s="59">
        <v>25712.71</v>
      </c>
      <c r="L942" s="60">
        <v>27855.439999999999</v>
      </c>
      <c r="M942" s="33"/>
      <c r="N942" s="59">
        <v>25712.71</v>
      </c>
      <c r="O942" s="59">
        <v>19071.310000000001</v>
      </c>
      <c r="P942" s="59"/>
      <c r="Q942" s="59">
        <v>31288.28</v>
      </c>
      <c r="R942" s="59">
        <v>29145.55</v>
      </c>
    </row>
    <row r="943" spans="1:18" s="7" customFormat="1" ht="9" customHeight="1" x14ac:dyDescent="0.2">
      <c r="A943" s="73"/>
      <c r="B943" s="73"/>
      <c r="C943" s="62" t="s">
        <v>37</v>
      </c>
      <c r="D943" s="63">
        <v>14</v>
      </c>
      <c r="E943" s="64">
        <v>36927205</v>
      </c>
      <c r="F943" s="65">
        <v>0</v>
      </c>
      <c r="G943" s="65">
        <v>0</v>
      </c>
      <c r="H943" s="64">
        <v>12859544</v>
      </c>
      <c r="I943" s="64"/>
      <c r="J943" s="66">
        <v>4148904</v>
      </c>
      <c r="K943" s="64">
        <v>49786749</v>
      </c>
      <c r="L943" s="64">
        <v>53935653</v>
      </c>
      <c r="M943" s="39"/>
      <c r="N943" s="65">
        <v>49786749</v>
      </c>
      <c r="O943" s="65">
        <v>36927205</v>
      </c>
      <c r="P943" s="64"/>
      <c r="Q943" s="65">
        <v>60582558</v>
      </c>
      <c r="R943" s="65">
        <v>56433654</v>
      </c>
    </row>
    <row r="944" spans="1:18" s="7" customFormat="1" ht="12.75" customHeight="1" x14ac:dyDescent="0.2">
      <c r="A944" s="73"/>
      <c r="B944" s="73"/>
      <c r="C944" s="68" t="s">
        <v>36</v>
      </c>
      <c r="D944" s="69">
        <v>15</v>
      </c>
      <c r="E944" s="59">
        <v>21479.37</v>
      </c>
      <c r="F944" s="59">
        <v>0</v>
      </c>
      <c r="G944" s="59">
        <v>0</v>
      </c>
      <c r="H944" s="59">
        <v>6641.4</v>
      </c>
      <c r="I944" s="59"/>
      <c r="J944" s="59">
        <v>2343.4</v>
      </c>
      <c r="K944" s="59">
        <v>28120.77</v>
      </c>
      <c r="L944" s="60">
        <v>30464.17</v>
      </c>
      <c r="M944" s="33"/>
      <c r="N944" s="59">
        <v>28120.77</v>
      </c>
      <c r="O944" s="59">
        <v>21479.37</v>
      </c>
      <c r="P944" s="59"/>
      <c r="Q944" s="59">
        <v>34330.46</v>
      </c>
      <c r="R944" s="59">
        <v>31987.06</v>
      </c>
    </row>
    <row r="945" spans="1:18" s="7" customFormat="1" ht="9" customHeight="1" x14ac:dyDescent="0.2">
      <c r="A945" s="73"/>
      <c r="B945" s="73"/>
      <c r="C945" s="62" t="s">
        <v>37</v>
      </c>
      <c r="D945" s="63">
        <v>20</v>
      </c>
      <c r="E945" s="64">
        <v>41589860</v>
      </c>
      <c r="F945" s="65">
        <v>0</v>
      </c>
      <c r="G945" s="65">
        <v>0</v>
      </c>
      <c r="H945" s="64">
        <v>12859544</v>
      </c>
      <c r="I945" s="64"/>
      <c r="J945" s="66">
        <v>4537455</v>
      </c>
      <c r="K945" s="64">
        <v>54449403</v>
      </c>
      <c r="L945" s="64">
        <v>58986858</v>
      </c>
      <c r="M945" s="39"/>
      <c r="N945" s="65">
        <v>54449403</v>
      </c>
      <c r="O945" s="65">
        <v>41589860</v>
      </c>
      <c r="P945" s="64"/>
      <c r="Q945" s="65">
        <v>66473040</v>
      </c>
      <c r="R945" s="65">
        <v>61935585</v>
      </c>
    </row>
    <row r="946" spans="1:18" s="7" customFormat="1" ht="12.75" customHeight="1" x14ac:dyDescent="0.2">
      <c r="A946" s="73"/>
      <c r="B946" s="73"/>
      <c r="C946" s="68" t="s">
        <v>36</v>
      </c>
      <c r="D946" s="69">
        <v>21</v>
      </c>
      <c r="E946" s="59">
        <v>24049.46</v>
      </c>
      <c r="F946" s="59">
        <v>0</v>
      </c>
      <c r="G946" s="59">
        <v>0</v>
      </c>
      <c r="H946" s="59">
        <v>6641.4</v>
      </c>
      <c r="I946" s="59"/>
      <c r="J946" s="59">
        <v>2557.5700000000002</v>
      </c>
      <c r="K946" s="59">
        <v>30690.86</v>
      </c>
      <c r="L946" s="60">
        <v>33248.43</v>
      </c>
      <c r="M946" s="33"/>
      <c r="N946" s="59">
        <v>30690.86</v>
      </c>
      <c r="O946" s="59">
        <v>24049.46</v>
      </c>
      <c r="P946" s="59"/>
      <c r="Q946" s="59">
        <v>37577.33</v>
      </c>
      <c r="R946" s="59">
        <v>35019.760000000002</v>
      </c>
    </row>
    <row r="947" spans="1:18" s="7" customFormat="1" ht="9" customHeight="1" x14ac:dyDescent="0.2">
      <c r="A947" s="73"/>
      <c r="B947" s="73"/>
      <c r="C947" s="62" t="s">
        <v>37</v>
      </c>
      <c r="D947" s="63">
        <v>27</v>
      </c>
      <c r="E947" s="64">
        <v>46566248</v>
      </c>
      <c r="F947" s="65">
        <v>0</v>
      </c>
      <c r="G947" s="65">
        <v>0</v>
      </c>
      <c r="H947" s="64">
        <v>12859544</v>
      </c>
      <c r="I947" s="64"/>
      <c r="J947" s="66">
        <v>4952146</v>
      </c>
      <c r="K947" s="64">
        <v>59425791</v>
      </c>
      <c r="L947" s="64">
        <v>64377938</v>
      </c>
      <c r="M947" s="39"/>
      <c r="N947" s="65">
        <v>59425791</v>
      </c>
      <c r="O947" s="65">
        <v>46566248</v>
      </c>
      <c r="P947" s="64"/>
      <c r="Q947" s="65">
        <v>72759857</v>
      </c>
      <c r="R947" s="65">
        <v>67807711</v>
      </c>
    </row>
    <row r="948" spans="1:18" s="7" customFormat="1" ht="12.75" customHeight="1" x14ac:dyDescent="0.2">
      <c r="A948" s="73"/>
      <c r="B948" s="73"/>
      <c r="C948" s="68" t="s">
        <v>36</v>
      </c>
      <c r="D948" s="69">
        <v>28</v>
      </c>
      <c r="E948" s="59">
        <v>26700.13</v>
      </c>
      <c r="F948" s="59">
        <v>0</v>
      </c>
      <c r="G948" s="59">
        <v>0</v>
      </c>
      <c r="H948" s="59">
        <v>6641.4</v>
      </c>
      <c r="I948" s="59"/>
      <c r="J948" s="59">
        <v>2778.46</v>
      </c>
      <c r="K948" s="59">
        <v>33341.53</v>
      </c>
      <c r="L948" s="60">
        <v>36119.99</v>
      </c>
      <c r="M948" s="33"/>
      <c r="N948" s="59">
        <v>33341.53</v>
      </c>
      <c r="O948" s="59">
        <v>26700.13</v>
      </c>
      <c r="P948" s="59"/>
      <c r="Q948" s="59">
        <v>40926.01</v>
      </c>
      <c r="R948" s="59">
        <v>38147.550000000003</v>
      </c>
    </row>
    <row r="949" spans="1:18" s="7" customFormat="1" ht="9" customHeight="1" x14ac:dyDescent="0.2">
      <c r="A949" s="73"/>
      <c r="B949" s="73"/>
      <c r="C949" s="62" t="s">
        <v>37</v>
      </c>
      <c r="D949" s="63">
        <v>34</v>
      </c>
      <c r="E949" s="64">
        <v>51698661</v>
      </c>
      <c r="F949" s="65">
        <v>0</v>
      </c>
      <c r="G949" s="65">
        <v>0</v>
      </c>
      <c r="H949" s="64">
        <v>12859544</v>
      </c>
      <c r="I949" s="64"/>
      <c r="J949" s="66">
        <v>5379849</v>
      </c>
      <c r="K949" s="64">
        <v>64558204</v>
      </c>
      <c r="L949" s="64">
        <v>69938053</v>
      </c>
      <c r="M949" s="39"/>
      <c r="N949" s="65">
        <v>64558204</v>
      </c>
      <c r="O949" s="65">
        <v>51698661</v>
      </c>
      <c r="P949" s="64"/>
      <c r="Q949" s="65">
        <v>79243805</v>
      </c>
      <c r="R949" s="65">
        <v>73863957</v>
      </c>
    </row>
    <row r="950" spans="1:18" s="7" customFormat="1" ht="12.75" customHeight="1" x14ac:dyDescent="0.2">
      <c r="A950" s="73"/>
      <c r="B950" s="73"/>
      <c r="C950" s="68" t="s">
        <v>36</v>
      </c>
      <c r="D950" s="69">
        <v>35</v>
      </c>
      <c r="E950" s="59">
        <v>29268.95</v>
      </c>
      <c r="F950" s="59">
        <v>0</v>
      </c>
      <c r="G950" s="59"/>
      <c r="H950" s="59">
        <v>6641.4</v>
      </c>
      <c r="I950" s="59"/>
      <c r="J950" s="59">
        <v>2992.53</v>
      </c>
      <c r="K950" s="59">
        <v>35910.35</v>
      </c>
      <c r="L950" s="60">
        <v>38902.879999999997</v>
      </c>
      <c r="M950" s="33"/>
      <c r="N950" s="59">
        <v>35910.35</v>
      </c>
      <c r="O950" s="59">
        <v>29268.95</v>
      </c>
      <c r="P950" s="59"/>
      <c r="Q950" s="59">
        <v>44171.29</v>
      </c>
      <c r="R950" s="59">
        <v>41178.76</v>
      </c>
    </row>
    <row r="951" spans="1:18" s="7" customFormat="1" ht="9" customHeight="1" x14ac:dyDescent="0.2">
      <c r="A951" s="74"/>
      <c r="B951" s="74"/>
      <c r="C951" s="71" t="s">
        <v>37</v>
      </c>
      <c r="D951" s="72"/>
      <c r="E951" s="64">
        <v>56672590</v>
      </c>
      <c r="F951" s="64">
        <v>0</v>
      </c>
      <c r="G951" s="64"/>
      <c r="H951" s="64">
        <v>12859544</v>
      </c>
      <c r="I951" s="64"/>
      <c r="J951" s="64">
        <v>5794346</v>
      </c>
      <c r="K951" s="64">
        <v>69532133</v>
      </c>
      <c r="L951" s="64">
        <v>75326479</v>
      </c>
      <c r="M951" s="39"/>
      <c r="N951" s="64">
        <v>69532133</v>
      </c>
      <c r="O951" s="64">
        <v>56672590</v>
      </c>
      <c r="P951" s="64"/>
      <c r="Q951" s="64">
        <v>85527544</v>
      </c>
      <c r="R951" s="65">
        <v>79733198</v>
      </c>
    </row>
    <row r="952" spans="1:18" s="7" customFormat="1" ht="9" customHeight="1" x14ac:dyDescent="0.2">
      <c r="A952" s="73"/>
      <c r="B952" s="73"/>
      <c r="C952" s="184"/>
      <c r="D952" s="45"/>
      <c r="E952" s="185"/>
      <c r="F952" s="185"/>
      <c r="G952" s="185"/>
      <c r="H952" s="185"/>
      <c r="I952" s="185"/>
      <c r="J952" s="185"/>
      <c r="K952" s="185"/>
      <c r="L952" s="185"/>
      <c r="M952" s="39"/>
      <c r="N952" s="185"/>
      <c r="O952" s="185"/>
      <c r="P952" s="185"/>
      <c r="Q952" s="185"/>
      <c r="R952" s="185"/>
    </row>
    <row r="953" spans="1:18" s="7" customFormat="1" ht="9" customHeight="1" x14ac:dyDescent="0.2">
      <c r="A953" s="73"/>
      <c r="B953" s="73"/>
      <c r="C953" s="184"/>
      <c r="D953" s="45"/>
      <c r="E953" s="185"/>
      <c r="F953" s="185"/>
      <c r="G953" s="185"/>
      <c r="H953" s="185"/>
      <c r="I953" s="185"/>
      <c r="J953" s="185"/>
      <c r="K953" s="185"/>
      <c r="L953" s="185"/>
      <c r="M953" s="39"/>
      <c r="N953" s="185"/>
      <c r="O953" s="185"/>
      <c r="P953" s="185"/>
      <c r="Q953" s="185"/>
      <c r="R953" s="185"/>
    </row>
    <row r="954" spans="1:18" s="7" customFormat="1" ht="9" customHeight="1" x14ac:dyDescent="0.2">
      <c r="A954" s="73"/>
      <c r="B954" s="73"/>
      <c r="C954" s="184"/>
      <c r="D954" s="45"/>
      <c r="E954" s="185"/>
      <c r="F954" s="185"/>
      <c r="G954" s="185"/>
      <c r="H954" s="185"/>
      <c r="I954" s="185"/>
      <c r="J954" s="185"/>
      <c r="K954" s="185"/>
      <c r="L954" s="185"/>
      <c r="M954" s="39"/>
      <c r="N954" s="185"/>
      <c r="O954" s="185"/>
      <c r="P954" s="185"/>
      <c r="Q954" s="185"/>
      <c r="R954" s="185"/>
    </row>
    <row r="955" spans="1:18" s="7" customFormat="1" ht="9" customHeight="1" x14ac:dyDescent="0.2">
      <c r="A955" s="73"/>
      <c r="B955" s="73"/>
      <c r="C955" s="184"/>
      <c r="D955" s="45"/>
      <c r="E955" s="185"/>
      <c r="F955" s="185"/>
      <c r="G955" s="185"/>
      <c r="H955" s="185"/>
      <c r="I955" s="185"/>
      <c r="J955" s="185"/>
      <c r="K955" s="185"/>
      <c r="L955" s="185"/>
      <c r="M955" s="39"/>
      <c r="N955" s="185"/>
      <c r="O955" s="185"/>
      <c r="P955" s="185"/>
      <c r="Q955" s="185"/>
      <c r="R955" s="185"/>
    </row>
    <row r="956" spans="1:18" s="7" customFormat="1" ht="9" customHeight="1" x14ac:dyDescent="0.2">
      <c r="A956" s="73"/>
      <c r="B956" s="73"/>
      <c r="C956" s="184"/>
      <c r="D956" s="45"/>
      <c r="E956" s="185"/>
      <c r="F956" s="185"/>
      <c r="G956" s="185"/>
      <c r="H956" s="185"/>
      <c r="I956" s="185"/>
      <c r="J956" s="185"/>
      <c r="K956" s="185"/>
      <c r="L956" s="185"/>
      <c r="M956" s="39"/>
      <c r="N956" s="185"/>
      <c r="O956" s="185"/>
      <c r="P956" s="185"/>
      <c r="Q956" s="185"/>
      <c r="R956" s="185"/>
    </row>
    <row r="957" spans="1:18" s="7" customFormat="1" ht="9" customHeight="1" x14ac:dyDescent="0.2">
      <c r="A957" s="73"/>
      <c r="B957" s="73"/>
      <c r="C957" s="184"/>
      <c r="D957" s="45"/>
      <c r="E957" s="185"/>
      <c r="F957" s="185"/>
      <c r="G957" s="185"/>
      <c r="H957" s="185"/>
      <c r="I957" s="185"/>
      <c r="J957" s="185"/>
      <c r="K957" s="185"/>
      <c r="L957" s="185"/>
      <c r="M957" s="39"/>
      <c r="N957" s="185"/>
      <c r="O957" s="185"/>
      <c r="P957" s="185"/>
      <c r="Q957" s="185"/>
      <c r="R957" s="185"/>
    </row>
    <row r="958" spans="1:18" s="7" customFormat="1" ht="9" customHeight="1" x14ac:dyDescent="0.2">
      <c r="A958" s="73"/>
      <c r="B958" s="73"/>
      <c r="C958" s="184"/>
      <c r="D958" s="45"/>
      <c r="E958" s="185"/>
      <c r="F958" s="185"/>
      <c r="G958" s="185"/>
      <c r="H958" s="185"/>
      <c r="I958" s="185"/>
      <c r="J958" s="185"/>
      <c r="K958" s="185"/>
      <c r="L958" s="185"/>
      <c r="M958" s="39"/>
      <c r="N958" s="185"/>
      <c r="O958" s="185"/>
      <c r="P958" s="185"/>
      <c r="Q958" s="185"/>
      <c r="R958" s="185"/>
    </row>
    <row r="959" spans="1:18" s="7" customFormat="1" ht="9" customHeight="1" x14ac:dyDescent="0.2">
      <c r="A959" s="73"/>
      <c r="B959" s="73"/>
      <c r="C959" s="184"/>
      <c r="D959" s="45"/>
      <c r="E959" s="185"/>
      <c r="F959" s="185"/>
      <c r="G959" s="185"/>
      <c r="H959" s="185"/>
      <c r="I959" s="185"/>
      <c r="J959" s="185"/>
      <c r="K959" s="185"/>
      <c r="L959" s="185"/>
      <c r="M959" s="39"/>
      <c r="N959" s="185"/>
      <c r="O959" s="185"/>
      <c r="P959" s="185"/>
      <c r="Q959" s="185"/>
      <c r="R959" s="185"/>
    </row>
    <row r="960" spans="1:18" s="7" customFormat="1" ht="12.75" customHeight="1" x14ac:dyDescent="0.2">
      <c r="A960" s="56">
        <v>43466</v>
      </c>
      <c r="B960" s="56">
        <v>43830</v>
      </c>
      <c r="C960" s="57" t="s">
        <v>36</v>
      </c>
      <c r="D960" s="58">
        <v>0</v>
      </c>
      <c r="E960" s="59">
        <v>16353.22</v>
      </c>
      <c r="F960" s="59"/>
      <c r="G960" s="59"/>
      <c r="H960" s="59">
        <v>6641.4</v>
      </c>
      <c r="I960" s="59"/>
      <c r="J960" s="59">
        <v>1924.27</v>
      </c>
      <c r="K960" s="59">
        <v>23091.22</v>
      </c>
      <c r="L960" s="60">
        <v>25015.49</v>
      </c>
      <c r="M960" s="33"/>
      <c r="N960" s="59">
        <v>23091.22</v>
      </c>
      <c r="O960" s="59">
        <v>16449.82</v>
      </c>
      <c r="P960" s="59">
        <v>0</v>
      </c>
      <c r="Q960" s="59">
        <v>27976.46</v>
      </c>
      <c r="R960" s="59">
        <v>26052.19</v>
      </c>
    </row>
    <row r="961" spans="1:18" s="7" customFormat="1" ht="9" customHeight="1" x14ac:dyDescent="0.2">
      <c r="A961" s="61"/>
      <c r="B961" s="61"/>
      <c r="C961" s="62" t="s">
        <v>37</v>
      </c>
      <c r="D961" s="63">
        <v>8</v>
      </c>
      <c r="E961" s="64">
        <v>31664249</v>
      </c>
      <c r="F961" s="65"/>
      <c r="G961" s="65"/>
      <c r="H961" s="64">
        <v>12859544</v>
      </c>
      <c r="I961" s="64"/>
      <c r="J961" s="66">
        <v>3725906</v>
      </c>
      <c r="K961" s="66">
        <v>44710837</v>
      </c>
      <c r="L961" s="64">
        <v>48436743</v>
      </c>
      <c r="M961" s="39"/>
      <c r="N961" s="65">
        <v>44710837</v>
      </c>
      <c r="O961" s="65">
        <v>31851293</v>
      </c>
      <c r="P961" s="65">
        <v>0</v>
      </c>
      <c r="Q961" s="65">
        <v>54169980</v>
      </c>
      <c r="R961" s="65">
        <v>50444074</v>
      </c>
    </row>
    <row r="962" spans="1:18" s="7" customFormat="1" ht="12.75" customHeight="1" x14ac:dyDescent="0.2">
      <c r="A962" s="73">
        <f>A960</f>
        <v>43466</v>
      </c>
      <c r="B962" s="73">
        <f>B960</f>
        <v>43830</v>
      </c>
      <c r="C962" s="68" t="s">
        <v>36</v>
      </c>
      <c r="D962" s="69">
        <v>9</v>
      </c>
      <c r="E962" s="59">
        <v>19071.310000000001</v>
      </c>
      <c r="F962" s="59"/>
      <c r="G962" s="59"/>
      <c r="H962" s="59">
        <v>6641.4</v>
      </c>
      <c r="I962" s="59"/>
      <c r="J962" s="59">
        <v>2151.73</v>
      </c>
      <c r="K962" s="59">
        <v>16918.52</v>
      </c>
      <c r="L962" s="60">
        <v>19070.25</v>
      </c>
      <c r="M962" s="33"/>
      <c r="N962" s="59">
        <v>25820.71</v>
      </c>
      <c r="O962" s="59">
        <v>19179.310000000001</v>
      </c>
      <c r="P962" s="59">
        <v>0</v>
      </c>
      <c r="Q962" s="59">
        <v>31424.720000000001</v>
      </c>
      <c r="R962" s="59">
        <v>29272.99</v>
      </c>
    </row>
    <row r="963" spans="1:18" s="7" customFormat="1" ht="9" customHeight="1" x14ac:dyDescent="0.2">
      <c r="A963" s="73"/>
      <c r="B963" s="73"/>
      <c r="C963" s="62" t="s">
        <v>37</v>
      </c>
      <c r="D963" s="63">
        <v>14</v>
      </c>
      <c r="E963" s="64">
        <v>36927205</v>
      </c>
      <c r="F963" s="65"/>
      <c r="G963" s="65"/>
      <c r="H963" s="64">
        <v>12859544</v>
      </c>
      <c r="I963" s="64"/>
      <c r="J963" s="66">
        <v>4166330</v>
      </c>
      <c r="K963" s="64">
        <v>32758823</v>
      </c>
      <c r="L963" s="64">
        <v>36925153</v>
      </c>
      <c r="M963" s="39"/>
      <c r="N963" s="65">
        <v>49995866</v>
      </c>
      <c r="O963" s="65">
        <v>37136323</v>
      </c>
      <c r="P963" s="65">
        <v>0</v>
      </c>
      <c r="Q963" s="65">
        <v>60846743</v>
      </c>
      <c r="R963" s="65">
        <v>56680412</v>
      </c>
    </row>
    <row r="964" spans="1:18" s="7" customFormat="1" ht="12.75" customHeight="1" x14ac:dyDescent="0.2">
      <c r="A964" s="73"/>
      <c r="B964" s="73"/>
      <c r="C964" s="68" t="s">
        <v>36</v>
      </c>
      <c r="D964" s="69">
        <v>15</v>
      </c>
      <c r="E964" s="59">
        <v>21479.37</v>
      </c>
      <c r="F964" s="59"/>
      <c r="G964" s="59"/>
      <c r="H964" s="59">
        <v>6641.4</v>
      </c>
      <c r="I964" s="59"/>
      <c r="J964" s="59">
        <v>2353.2399999999998</v>
      </c>
      <c r="K964" s="59">
        <v>17933.73</v>
      </c>
      <c r="L964" s="60">
        <v>20286.97</v>
      </c>
      <c r="M964" s="33"/>
      <c r="N964" s="59">
        <v>28238.85</v>
      </c>
      <c r="O964" s="59">
        <v>21597.45</v>
      </c>
      <c r="P964" s="59">
        <v>0</v>
      </c>
      <c r="Q964" s="59">
        <v>34479.629999999997</v>
      </c>
      <c r="R964" s="59">
        <v>32126.39</v>
      </c>
    </row>
    <row r="965" spans="1:18" s="7" customFormat="1" ht="9" customHeight="1" x14ac:dyDescent="0.2">
      <c r="A965" s="73"/>
      <c r="B965" s="73"/>
      <c r="C965" s="62" t="s">
        <v>37</v>
      </c>
      <c r="D965" s="63">
        <v>20</v>
      </c>
      <c r="E965" s="64">
        <v>41589860</v>
      </c>
      <c r="F965" s="65"/>
      <c r="G965" s="65"/>
      <c r="H965" s="64">
        <v>12859544</v>
      </c>
      <c r="I965" s="64"/>
      <c r="J965" s="66">
        <v>4556508</v>
      </c>
      <c r="K965" s="64">
        <v>34724543</v>
      </c>
      <c r="L965" s="64">
        <v>39281051</v>
      </c>
      <c r="M965" s="39"/>
      <c r="N965" s="65">
        <v>54678038</v>
      </c>
      <c r="O965" s="65">
        <v>41818495</v>
      </c>
      <c r="P965" s="65">
        <v>0</v>
      </c>
      <c r="Q965" s="65">
        <v>66761873</v>
      </c>
      <c r="R965" s="65">
        <v>62205365</v>
      </c>
    </row>
    <row r="966" spans="1:18" s="7" customFormat="1" ht="12.75" customHeight="1" x14ac:dyDescent="0.2">
      <c r="A966" s="73"/>
      <c r="B966" s="73"/>
      <c r="C966" s="68" t="s">
        <v>36</v>
      </c>
      <c r="D966" s="69">
        <v>21</v>
      </c>
      <c r="E966" s="59">
        <v>24049.46</v>
      </c>
      <c r="F966" s="59">
        <v>0</v>
      </c>
      <c r="G966" s="59"/>
      <c r="H966" s="59">
        <v>6641.4</v>
      </c>
      <c r="I966" s="59"/>
      <c r="J966" s="59">
        <v>2568.31</v>
      </c>
      <c r="K966" s="59">
        <v>18921.79</v>
      </c>
      <c r="L966" s="60">
        <v>21490.1</v>
      </c>
      <c r="M966" s="33"/>
      <c r="N966" s="59">
        <v>30819.74</v>
      </c>
      <c r="O966" s="59">
        <v>24178.34</v>
      </c>
      <c r="P966" s="59">
        <v>0</v>
      </c>
      <c r="Q966" s="59">
        <v>37740.15</v>
      </c>
      <c r="R966" s="59">
        <v>35171.839999999997</v>
      </c>
    </row>
    <row r="967" spans="1:18" s="7" customFormat="1" ht="9" customHeight="1" x14ac:dyDescent="0.2">
      <c r="A967" s="73"/>
      <c r="B967" s="73"/>
      <c r="C967" s="62" t="s">
        <v>37</v>
      </c>
      <c r="D967" s="63">
        <v>27</v>
      </c>
      <c r="E967" s="64">
        <v>46566248</v>
      </c>
      <c r="F967" s="65">
        <v>0</v>
      </c>
      <c r="G967" s="65"/>
      <c r="H967" s="64">
        <v>12859544</v>
      </c>
      <c r="I967" s="64"/>
      <c r="J967" s="66">
        <v>4972942</v>
      </c>
      <c r="K967" s="64">
        <v>36637694</v>
      </c>
      <c r="L967" s="64">
        <v>41610636</v>
      </c>
      <c r="M967" s="39"/>
      <c r="N967" s="65">
        <v>59675338</v>
      </c>
      <c r="O967" s="65">
        <v>46815794</v>
      </c>
      <c r="P967" s="65">
        <v>0</v>
      </c>
      <c r="Q967" s="65">
        <v>73075120</v>
      </c>
      <c r="R967" s="65">
        <v>68102179</v>
      </c>
    </row>
    <row r="968" spans="1:18" s="7" customFormat="1" ht="12.75" customHeight="1" x14ac:dyDescent="0.2">
      <c r="A968" s="73"/>
      <c r="B968" s="73"/>
      <c r="C968" s="68" t="s">
        <v>36</v>
      </c>
      <c r="D968" s="69">
        <v>28</v>
      </c>
      <c r="E968" s="59">
        <v>26700.13</v>
      </c>
      <c r="F968" s="59">
        <v>0</v>
      </c>
      <c r="G968" s="59"/>
      <c r="H968" s="59">
        <v>6641.4</v>
      </c>
      <c r="I968" s="59"/>
      <c r="J968" s="59">
        <v>2790.13</v>
      </c>
      <c r="K968" s="59">
        <v>19673.080000000002</v>
      </c>
      <c r="L968" s="60">
        <v>22463.21</v>
      </c>
      <c r="M968" s="33"/>
      <c r="N968" s="59">
        <v>33481.57</v>
      </c>
      <c r="O968" s="59">
        <v>26840.17</v>
      </c>
      <c r="P968" s="59">
        <v>0</v>
      </c>
      <c r="Q968" s="59">
        <v>41102.93</v>
      </c>
      <c r="R968" s="59">
        <v>38312.800000000003</v>
      </c>
    </row>
    <row r="969" spans="1:18" s="7" customFormat="1" ht="9" customHeight="1" x14ac:dyDescent="0.2">
      <c r="A969" s="73"/>
      <c r="B969" s="73"/>
      <c r="C969" s="62" t="s">
        <v>37</v>
      </c>
      <c r="D969" s="63">
        <v>34</v>
      </c>
      <c r="E969" s="64">
        <v>51698661</v>
      </c>
      <c r="F969" s="65">
        <v>0</v>
      </c>
      <c r="G969" s="65"/>
      <c r="H969" s="64">
        <v>12859544</v>
      </c>
      <c r="I969" s="64"/>
      <c r="J969" s="66">
        <v>5402445</v>
      </c>
      <c r="K969" s="64">
        <v>38092395</v>
      </c>
      <c r="L969" s="64">
        <v>43494840</v>
      </c>
      <c r="M969" s="39"/>
      <c r="N969" s="65">
        <v>64829360</v>
      </c>
      <c r="O969" s="65">
        <v>51969816</v>
      </c>
      <c r="P969" s="65">
        <v>0</v>
      </c>
      <c r="Q969" s="65">
        <v>79586370</v>
      </c>
      <c r="R969" s="65">
        <v>74183925</v>
      </c>
    </row>
    <row r="970" spans="1:18" s="7" customFormat="1" ht="12.75" customHeight="1" x14ac:dyDescent="0.2">
      <c r="A970" s="73"/>
      <c r="B970" s="73"/>
      <c r="C970" s="68" t="s">
        <v>36</v>
      </c>
      <c r="D970" s="69">
        <v>35</v>
      </c>
      <c r="E970" s="59">
        <v>29268.95</v>
      </c>
      <c r="F970" s="59">
        <v>0</v>
      </c>
      <c r="G970" s="59"/>
      <c r="H970" s="59">
        <v>6641.4</v>
      </c>
      <c r="I970" s="59"/>
      <c r="J970" s="59">
        <v>3005.1</v>
      </c>
      <c r="K970" s="59">
        <v>20206.89</v>
      </c>
      <c r="L970" s="60">
        <v>23211.99</v>
      </c>
      <c r="M970" s="33"/>
      <c r="N970" s="59">
        <v>36061.19</v>
      </c>
      <c r="O970" s="59">
        <v>29419.79</v>
      </c>
      <c r="P970" s="59">
        <v>0</v>
      </c>
      <c r="Q970" s="59">
        <v>44361.85</v>
      </c>
      <c r="R970" s="59">
        <v>41356.75</v>
      </c>
    </row>
    <row r="971" spans="1:18" s="7" customFormat="1" ht="9" customHeight="1" x14ac:dyDescent="0.2">
      <c r="A971" s="74"/>
      <c r="B971" s="74"/>
      <c r="C971" s="71" t="s">
        <v>37</v>
      </c>
      <c r="D971" s="72"/>
      <c r="E971" s="64">
        <v>56672590</v>
      </c>
      <c r="F971" s="64">
        <v>0</v>
      </c>
      <c r="G971" s="64"/>
      <c r="H971" s="64">
        <v>12859544</v>
      </c>
      <c r="I971" s="64"/>
      <c r="J971" s="64">
        <v>5818685</v>
      </c>
      <c r="K971" s="64">
        <v>39125995</v>
      </c>
      <c r="L971" s="64">
        <v>44944680</v>
      </c>
      <c r="M971" s="39"/>
      <c r="N971" s="64">
        <v>69824200</v>
      </c>
      <c r="O971" s="65">
        <v>56964657</v>
      </c>
      <c r="P971" s="64">
        <v>0</v>
      </c>
      <c r="Q971" s="64">
        <v>85896519</v>
      </c>
      <c r="R971" s="65">
        <v>80077834</v>
      </c>
    </row>
    <row r="972" spans="1:18" s="7" customFormat="1" ht="9" customHeight="1" x14ac:dyDescent="0.2">
      <c r="A972" s="73"/>
      <c r="B972" s="73"/>
      <c r="C972" s="184"/>
      <c r="D972" s="45"/>
      <c r="E972" s="185"/>
      <c r="F972" s="185"/>
      <c r="G972" s="185"/>
      <c r="H972" s="185"/>
      <c r="I972" s="185"/>
      <c r="J972" s="185"/>
      <c r="K972" s="185"/>
      <c r="L972" s="185"/>
      <c r="M972" s="39"/>
      <c r="N972" s="185"/>
      <c r="O972" s="185"/>
      <c r="P972" s="185"/>
      <c r="Q972" s="185"/>
      <c r="R972" s="185"/>
    </row>
    <row r="973" spans="1:18" s="7" customFormat="1" ht="9" customHeight="1" x14ac:dyDescent="0.2">
      <c r="A973" s="73"/>
      <c r="B973" s="73"/>
      <c r="C973" s="184"/>
      <c r="D973" s="45"/>
      <c r="E973" s="185"/>
      <c r="F973" s="185"/>
      <c r="G973" s="185"/>
      <c r="H973" s="185"/>
      <c r="I973" s="185"/>
      <c r="J973" s="185"/>
      <c r="K973" s="185"/>
      <c r="L973" s="185"/>
      <c r="M973" s="39"/>
      <c r="N973" s="185"/>
      <c r="O973" s="185"/>
      <c r="P973" s="185"/>
      <c r="Q973" s="185"/>
      <c r="R973" s="185"/>
    </row>
    <row r="974" spans="1:18" s="7" customFormat="1" ht="9" customHeight="1" x14ac:dyDescent="0.2">
      <c r="A974" s="73"/>
      <c r="B974" s="73"/>
      <c r="C974" s="184"/>
      <c r="D974" s="45"/>
      <c r="E974" s="185"/>
      <c r="F974" s="185"/>
      <c r="G974" s="185"/>
      <c r="H974" s="185"/>
      <c r="I974" s="185"/>
      <c r="J974" s="185"/>
      <c r="K974" s="185"/>
      <c r="L974" s="185"/>
      <c r="M974" s="39"/>
      <c r="N974" s="185"/>
      <c r="O974" s="185"/>
      <c r="P974" s="185"/>
      <c r="Q974" s="185"/>
      <c r="R974" s="185"/>
    </row>
    <row r="975" spans="1:18" s="7" customFormat="1" ht="9" customHeight="1" x14ac:dyDescent="0.2">
      <c r="A975" s="73"/>
      <c r="B975" s="73"/>
      <c r="C975" s="184"/>
      <c r="D975" s="45"/>
      <c r="E975" s="185"/>
      <c r="F975" s="185"/>
      <c r="G975" s="185"/>
      <c r="H975" s="185"/>
      <c r="I975" s="185"/>
      <c r="J975" s="185"/>
      <c r="K975" s="185"/>
      <c r="L975" s="185"/>
      <c r="M975" s="39"/>
      <c r="N975" s="185"/>
      <c r="O975" s="185"/>
      <c r="P975" s="185"/>
      <c r="Q975" s="185"/>
      <c r="R975" s="185"/>
    </row>
    <row r="976" spans="1:18" s="7" customFormat="1" ht="9" customHeight="1" x14ac:dyDescent="0.2">
      <c r="A976" s="73"/>
      <c r="B976" s="73"/>
      <c r="C976" s="184"/>
      <c r="D976" s="45"/>
      <c r="E976" s="185"/>
      <c r="F976" s="185"/>
      <c r="G976" s="185"/>
      <c r="H976" s="185"/>
      <c r="I976" s="185"/>
      <c r="J976" s="185"/>
      <c r="K976" s="185"/>
      <c r="L976" s="185"/>
      <c r="M976" s="39"/>
      <c r="N976" s="185"/>
      <c r="O976" s="185"/>
      <c r="P976" s="185"/>
      <c r="Q976" s="185"/>
      <c r="R976" s="185"/>
    </row>
    <row r="977" spans="1:18" s="7" customFormat="1" ht="9" customHeight="1" x14ac:dyDescent="0.2">
      <c r="A977" s="73"/>
      <c r="B977" s="73"/>
      <c r="C977" s="184"/>
      <c r="D977" s="45"/>
      <c r="E977" s="185"/>
      <c r="F977" s="185"/>
      <c r="G977" s="185"/>
      <c r="H977" s="185"/>
      <c r="I977" s="185"/>
      <c r="J977" s="185"/>
      <c r="K977" s="185"/>
      <c r="L977" s="185"/>
      <c r="M977" s="39"/>
      <c r="N977" s="185"/>
      <c r="O977" s="185"/>
      <c r="P977" s="185"/>
      <c r="Q977" s="185"/>
      <c r="R977" s="185"/>
    </row>
    <row r="978" spans="1:18" s="7" customFormat="1" ht="9" customHeight="1" x14ac:dyDescent="0.2">
      <c r="A978" s="73"/>
      <c r="B978" s="73"/>
      <c r="C978" s="184"/>
      <c r="D978" s="45"/>
      <c r="E978" s="185"/>
      <c r="F978" s="185"/>
      <c r="G978" s="185"/>
      <c r="H978" s="185"/>
      <c r="I978" s="185"/>
      <c r="J978" s="185"/>
      <c r="K978" s="185"/>
      <c r="L978" s="185"/>
      <c r="M978" s="39"/>
      <c r="N978" s="185"/>
      <c r="O978" s="185"/>
      <c r="P978" s="185"/>
      <c r="Q978" s="185"/>
      <c r="R978" s="185"/>
    </row>
    <row r="979" spans="1:18" s="7" customFormat="1" ht="9" customHeight="1" x14ac:dyDescent="0.2">
      <c r="A979" s="73"/>
      <c r="B979" s="73"/>
      <c r="C979" s="184"/>
      <c r="D979" s="45"/>
      <c r="E979" s="185"/>
      <c r="F979" s="185"/>
      <c r="G979" s="185"/>
      <c r="H979" s="185"/>
      <c r="I979" s="185"/>
      <c r="J979" s="185"/>
      <c r="K979" s="185"/>
      <c r="L979" s="185"/>
      <c r="M979" s="39"/>
      <c r="N979" s="185"/>
      <c r="O979" s="185"/>
      <c r="P979" s="185"/>
      <c r="Q979" s="185"/>
      <c r="R979" s="185"/>
    </row>
    <row r="980" spans="1:18" s="7" customFormat="1" ht="12.75" customHeight="1" x14ac:dyDescent="0.2">
      <c r="A980" s="56">
        <v>43831</v>
      </c>
      <c r="B980" s="56">
        <v>44196</v>
      </c>
      <c r="C980" s="57" t="s">
        <v>36</v>
      </c>
      <c r="D980" s="58">
        <v>0</v>
      </c>
      <c r="E980" s="59">
        <v>16353.22</v>
      </c>
      <c r="F980" s="59">
        <v>0</v>
      </c>
      <c r="G980" s="59"/>
      <c r="H980" s="59">
        <v>6641.4</v>
      </c>
      <c r="I980" s="59"/>
      <c r="J980" s="59">
        <v>1929.63</v>
      </c>
      <c r="K980" s="59">
        <v>23155.54</v>
      </c>
      <c r="L980" s="60">
        <v>25085.17</v>
      </c>
      <c r="M980" s="33"/>
      <c r="N980" s="59">
        <v>23155.54</v>
      </c>
      <c r="O980" s="59">
        <v>16514.14</v>
      </c>
      <c r="P980" s="59">
        <v>0</v>
      </c>
      <c r="Q980" s="59">
        <v>28057.72</v>
      </c>
      <c r="R980" s="59">
        <v>26128.09</v>
      </c>
    </row>
    <row r="981" spans="1:18" s="7" customFormat="1" ht="9" customHeight="1" x14ac:dyDescent="0.2">
      <c r="A981" s="61"/>
      <c r="B981" s="61"/>
      <c r="C981" s="62" t="s">
        <v>37</v>
      </c>
      <c r="D981" s="63">
        <v>8</v>
      </c>
      <c r="E981" s="64">
        <v>31664249</v>
      </c>
      <c r="F981" s="65">
        <v>0</v>
      </c>
      <c r="G981" s="65"/>
      <c r="H981" s="64">
        <v>12859544</v>
      </c>
      <c r="I981" s="64"/>
      <c r="J981" s="66">
        <v>3736285</v>
      </c>
      <c r="K981" s="66">
        <v>44835377</v>
      </c>
      <c r="L981" s="64">
        <v>48571662</v>
      </c>
      <c r="M981" s="39"/>
      <c r="N981" s="65">
        <v>44835377</v>
      </c>
      <c r="O981" s="65">
        <v>31975834</v>
      </c>
      <c r="P981" s="65">
        <v>0</v>
      </c>
      <c r="Q981" s="65">
        <v>54327322</v>
      </c>
      <c r="R981" s="65">
        <v>50591037</v>
      </c>
    </row>
    <row r="982" spans="1:18" s="7" customFormat="1" ht="12.75" customHeight="1" x14ac:dyDescent="0.2">
      <c r="A982" s="73">
        <f>A980</f>
        <v>43831</v>
      </c>
      <c r="B982" s="73">
        <f>B980</f>
        <v>44196</v>
      </c>
      <c r="C982" s="68" t="s">
        <v>36</v>
      </c>
      <c r="D982" s="69">
        <v>9</v>
      </c>
      <c r="E982" s="59">
        <v>19071.310000000001</v>
      </c>
      <c r="F982" s="59">
        <v>0</v>
      </c>
      <c r="G982" s="59"/>
      <c r="H982" s="59">
        <v>6641.4</v>
      </c>
      <c r="I982" s="59"/>
      <c r="J982" s="59">
        <v>2157.73</v>
      </c>
      <c r="K982" s="59">
        <v>16918.52</v>
      </c>
      <c r="L982" s="60">
        <v>19076.25</v>
      </c>
      <c r="M982" s="33"/>
      <c r="N982" s="59">
        <v>25892.71</v>
      </c>
      <c r="O982" s="59">
        <v>19251.310000000001</v>
      </c>
      <c r="P982" s="59">
        <v>0</v>
      </c>
      <c r="Q982" s="59">
        <v>31515.68</v>
      </c>
      <c r="R982" s="59">
        <v>29357.95</v>
      </c>
    </row>
    <row r="983" spans="1:18" s="7" customFormat="1" ht="9" customHeight="1" x14ac:dyDescent="0.2">
      <c r="A983" s="73"/>
      <c r="B983" s="73"/>
      <c r="C983" s="62" t="s">
        <v>37</v>
      </c>
      <c r="D983" s="63">
        <v>14</v>
      </c>
      <c r="E983" s="64">
        <v>36927205</v>
      </c>
      <c r="F983" s="65">
        <v>0</v>
      </c>
      <c r="G983" s="65"/>
      <c r="H983" s="64">
        <v>12859544</v>
      </c>
      <c r="I983" s="64"/>
      <c r="J983" s="66">
        <v>4177948</v>
      </c>
      <c r="K983" s="64">
        <v>32758823</v>
      </c>
      <c r="L983" s="64">
        <v>36936771</v>
      </c>
      <c r="M983" s="39"/>
      <c r="N983" s="65">
        <v>50135278</v>
      </c>
      <c r="O983" s="65">
        <v>37275734</v>
      </c>
      <c r="P983" s="65">
        <v>0</v>
      </c>
      <c r="Q983" s="65">
        <v>61022866</v>
      </c>
      <c r="R983" s="65">
        <v>56844918</v>
      </c>
    </row>
    <row r="984" spans="1:18" s="7" customFormat="1" ht="12.75" customHeight="1" x14ac:dyDescent="0.2">
      <c r="A984" s="73"/>
      <c r="B984" s="73"/>
      <c r="C984" s="68" t="s">
        <v>36</v>
      </c>
      <c r="D984" s="69">
        <v>15</v>
      </c>
      <c r="E984" s="59">
        <v>21479.37</v>
      </c>
      <c r="F984" s="59">
        <v>0</v>
      </c>
      <c r="G984" s="59"/>
      <c r="H984" s="59">
        <v>6641.4</v>
      </c>
      <c r="I984" s="59"/>
      <c r="J984" s="59">
        <v>2359.8000000000002</v>
      </c>
      <c r="K984" s="59">
        <v>17933.73</v>
      </c>
      <c r="L984" s="60">
        <v>20293.53</v>
      </c>
      <c r="M984" s="33"/>
      <c r="N984" s="59">
        <v>28317.57</v>
      </c>
      <c r="O984" s="59">
        <v>21676.17</v>
      </c>
      <c r="P984" s="59">
        <v>0</v>
      </c>
      <c r="Q984" s="59">
        <v>34579.08</v>
      </c>
      <c r="R984" s="59">
        <v>32219.279999999999</v>
      </c>
    </row>
    <row r="985" spans="1:18" s="7" customFormat="1" ht="9" customHeight="1" x14ac:dyDescent="0.2">
      <c r="A985" s="73"/>
      <c r="B985" s="73"/>
      <c r="C985" s="62" t="s">
        <v>37</v>
      </c>
      <c r="D985" s="63">
        <v>20</v>
      </c>
      <c r="E985" s="64">
        <v>41589860</v>
      </c>
      <c r="F985" s="65">
        <v>0</v>
      </c>
      <c r="G985" s="65"/>
      <c r="H985" s="64">
        <v>12859544</v>
      </c>
      <c r="I985" s="64"/>
      <c r="J985" s="66">
        <v>4569210</v>
      </c>
      <c r="K985" s="64">
        <v>34724543</v>
      </c>
      <c r="L985" s="64">
        <v>39293753</v>
      </c>
      <c r="M985" s="39"/>
      <c r="N985" s="65">
        <v>54830461</v>
      </c>
      <c r="O985" s="65">
        <v>41970918</v>
      </c>
      <c r="P985" s="65">
        <v>0</v>
      </c>
      <c r="Q985" s="65">
        <v>66954435</v>
      </c>
      <c r="R985" s="65">
        <v>62385225</v>
      </c>
    </row>
    <row r="986" spans="1:18" s="7" customFormat="1" ht="12.75" customHeight="1" x14ac:dyDescent="0.2">
      <c r="A986" s="73"/>
      <c r="B986" s="73"/>
      <c r="C986" s="68" t="s">
        <v>36</v>
      </c>
      <c r="D986" s="69">
        <v>21</v>
      </c>
      <c r="E986" s="59">
        <v>24049.46</v>
      </c>
      <c r="F986" s="59">
        <v>0</v>
      </c>
      <c r="G986" s="59"/>
      <c r="H986" s="59">
        <v>6641.4</v>
      </c>
      <c r="I986" s="59"/>
      <c r="J986" s="59">
        <v>2575.4699999999998</v>
      </c>
      <c r="K986" s="59">
        <v>18921.79</v>
      </c>
      <c r="L986" s="60">
        <v>21497.26</v>
      </c>
      <c r="M986" s="33"/>
      <c r="N986" s="59">
        <v>30905.66</v>
      </c>
      <c r="O986" s="59">
        <v>24264.26</v>
      </c>
      <c r="P986" s="59">
        <v>0</v>
      </c>
      <c r="Q986" s="59">
        <v>37848.699999999997</v>
      </c>
      <c r="R986" s="59">
        <v>35273.230000000003</v>
      </c>
    </row>
    <row r="987" spans="1:18" s="7" customFormat="1" ht="9" customHeight="1" x14ac:dyDescent="0.2">
      <c r="A987" s="73"/>
      <c r="B987" s="73"/>
      <c r="C987" s="62" t="s">
        <v>37</v>
      </c>
      <c r="D987" s="63">
        <v>27</v>
      </c>
      <c r="E987" s="64">
        <v>46566248</v>
      </c>
      <c r="F987" s="65">
        <v>0</v>
      </c>
      <c r="G987" s="65"/>
      <c r="H987" s="64">
        <v>12859544</v>
      </c>
      <c r="I987" s="64"/>
      <c r="J987" s="66">
        <v>4986805</v>
      </c>
      <c r="K987" s="64">
        <v>36637694</v>
      </c>
      <c r="L987" s="64">
        <v>41624500</v>
      </c>
      <c r="M987" s="39"/>
      <c r="N987" s="65">
        <v>59841702</v>
      </c>
      <c r="O987" s="65">
        <v>46982159</v>
      </c>
      <c r="P987" s="65">
        <v>0</v>
      </c>
      <c r="Q987" s="65">
        <v>73285302</v>
      </c>
      <c r="R987" s="65">
        <v>68298497</v>
      </c>
    </row>
    <row r="988" spans="1:18" s="7" customFormat="1" ht="12.75" customHeight="1" x14ac:dyDescent="0.2">
      <c r="A988" s="73"/>
      <c r="B988" s="73"/>
      <c r="C988" s="68" t="s">
        <v>36</v>
      </c>
      <c r="D988" s="69">
        <v>28</v>
      </c>
      <c r="E988" s="59">
        <v>26700.13</v>
      </c>
      <c r="F988" s="59">
        <v>0</v>
      </c>
      <c r="G988" s="59"/>
      <c r="H988" s="59">
        <v>6641.4</v>
      </c>
      <c r="I988" s="59"/>
      <c r="J988" s="59">
        <v>2797.91</v>
      </c>
      <c r="K988" s="59">
        <v>19673.080000000002</v>
      </c>
      <c r="L988" s="60">
        <v>22470.99</v>
      </c>
      <c r="M988" s="33"/>
      <c r="N988" s="59">
        <v>33574.93</v>
      </c>
      <c r="O988" s="59">
        <v>26933.53</v>
      </c>
      <c r="P988" s="59">
        <v>0</v>
      </c>
      <c r="Q988" s="59">
        <v>41220.879999999997</v>
      </c>
      <c r="R988" s="59">
        <v>38422.97</v>
      </c>
    </row>
    <row r="989" spans="1:18" s="7" customFormat="1" ht="9" customHeight="1" x14ac:dyDescent="0.2">
      <c r="A989" s="73"/>
      <c r="B989" s="73"/>
      <c r="C989" s="62" t="s">
        <v>37</v>
      </c>
      <c r="D989" s="63">
        <v>34</v>
      </c>
      <c r="E989" s="64">
        <v>51698661</v>
      </c>
      <c r="F989" s="65">
        <v>0</v>
      </c>
      <c r="G989" s="65"/>
      <c r="H989" s="64">
        <v>12859544</v>
      </c>
      <c r="I989" s="64"/>
      <c r="J989" s="66">
        <v>5417509</v>
      </c>
      <c r="K989" s="64">
        <v>38092395</v>
      </c>
      <c r="L989" s="64">
        <v>43509904</v>
      </c>
      <c r="M989" s="39"/>
      <c r="N989" s="65">
        <v>65010130</v>
      </c>
      <c r="O989" s="65">
        <v>52150586</v>
      </c>
      <c r="P989" s="65">
        <v>0</v>
      </c>
      <c r="Q989" s="65">
        <v>79814753</v>
      </c>
      <c r="R989" s="65">
        <v>74397244</v>
      </c>
    </row>
    <row r="990" spans="1:18" s="7" customFormat="1" ht="12.75" customHeight="1" x14ac:dyDescent="0.2">
      <c r="A990" s="73"/>
      <c r="B990" s="73"/>
      <c r="C990" s="68" t="s">
        <v>36</v>
      </c>
      <c r="D990" s="69">
        <v>35</v>
      </c>
      <c r="E990" s="59">
        <v>29268.95</v>
      </c>
      <c r="F990" s="59">
        <v>0</v>
      </c>
      <c r="G990" s="59"/>
      <c r="H990" s="59">
        <v>6641.4</v>
      </c>
      <c r="I990" s="59"/>
      <c r="J990" s="59">
        <v>3013.48</v>
      </c>
      <c r="K990" s="59">
        <v>20206.89</v>
      </c>
      <c r="L990" s="60">
        <v>23220.37</v>
      </c>
      <c r="M990" s="33"/>
      <c r="N990" s="59">
        <v>36161.75</v>
      </c>
      <c r="O990" s="59">
        <v>29520.35</v>
      </c>
      <c r="P990" s="59">
        <v>0</v>
      </c>
      <c r="Q990" s="59">
        <v>44488.89</v>
      </c>
      <c r="R990" s="59">
        <v>41475.410000000003</v>
      </c>
    </row>
    <row r="991" spans="1:18" s="7" customFormat="1" ht="9" customHeight="1" x14ac:dyDescent="0.2">
      <c r="A991" s="74"/>
      <c r="B991" s="74"/>
      <c r="C991" s="71" t="s">
        <v>37</v>
      </c>
      <c r="D991" s="72"/>
      <c r="E991" s="64">
        <v>56672590</v>
      </c>
      <c r="F991" s="64">
        <v>0</v>
      </c>
      <c r="G991" s="64"/>
      <c r="H991" s="64">
        <v>12859544</v>
      </c>
      <c r="I991" s="64"/>
      <c r="J991" s="64">
        <v>5834911</v>
      </c>
      <c r="K991" s="64">
        <v>39125995</v>
      </c>
      <c r="L991" s="64">
        <v>44960906</v>
      </c>
      <c r="M991" s="39"/>
      <c r="N991" s="64">
        <v>70018912</v>
      </c>
      <c r="O991" s="64">
        <v>57159368</v>
      </c>
      <c r="P991" s="64">
        <v>0</v>
      </c>
      <c r="Q991" s="64">
        <v>86142503</v>
      </c>
      <c r="R991" s="64">
        <v>80307592</v>
      </c>
    </row>
    <row r="992" spans="1:18" s="7" customFormat="1" ht="9" customHeight="1" x14ac:dyDescent="0.2">
      <c r="A992" s="73"/>
      <c r="B992" s="73"/>
      <c r="C992" s="184"/>
      <c r="D992" s="45"/>
      <c r="E992" s="185"/>
      <c r="F992" s="185"/>
      <c r="G992" s="185"/>
      <c r="H992" s="185"/>
      <c r="I992" s="185"/>
      <c r="J992" s="185"/>
      <c r="K992" s="185"/>
      <c r="L992" s="185"/>
      <c r="M992" s="39"/>
      <c r="N992" s="185"/>
      <c r="O992" s="185"/>
      <c r="P992" s="185"/>
      <c r="Q992" s="185"/>
      <c r="R992" s="185"/>
    </row>
    <row r="993" spans="1:18" s="7" customFormat="1" ht="9" customHeight="1" x14ac:dyDescent="0.2">
      <c r="A993" s="73"/>
      <c r="B993" s="73"/>
      <c r="C993" s="184"/>
      <c r="D993" s="45"/>
      <c r="E993" s="185"/>
      <c r="F993" s="185"/>
      <c r="G993" s="185"/>
      <c r="H993" s="185"/>
      <c r="I993" s="185"/>
      <c r="J993" s="185"/>
      <c r="K993" s="185"/>
      <c r="L993" s="185"/>
      <c r="M993" s="39"/>
      <c r="N993" s="185"/>
      <c r="O993" s="185"/>
      <c r="P993" s="185"/>
      <c r="Q993" s="185"/>
      <c r="R993" s="185"/>
    </row>
    <row r="994" spans="1:18" s="7" customFormat="1" ht="9" customHeight="1" x14ac:dyDescent="0.2">
      <c r="A994" s="73"/>
      <c r="B994" s="73"/>
      <c r="C994" s="184"/>
      <c r="D994" s="45"/>
      <c r="E994" s="185"/>
      <c r="F994" s="185"/>
      <c r="G994" s="185"/>
      <c r="H994" s="185"/>
      <c r="I994" s="185"/>
      <c r="J994" s="185"/>
      <c r="K994" s="185"/>
      <c r="L994" s="185"/>
      <c r="M994" s="39"/>
      <c r="N994" s="185"/>
      <c r="O994" s="185"/>
      <c r="P994" s="185"/>
      <c r="Q994" s="185"/>
      <c r="R994" s="185"/>
    </row>
    <row r="995" spans="1:18" s="7" customFormat="1" ht="9" customHeight="1" x14ac:dyDescent="0.2">
      <c r="A995" s="73"/>
      <c r="B995" s="73"/>
      <c r="C995" s="184"/>
      <c r="D995" s="45"/>
      <c r="E995" s="185"/>
      <c r="F995" s="185"/>
      <c r="G995" s="185"/>
      <c r="H995" s="185"/>
      <c r="I995" s="185"/>
      <c r="J995" s="185"/>
      <c r="K995" s="185"/>
      <c r="L995" s="185"/>
      <c r="M995" s="39"/>
      <c r="N995" s="185"/>
      <c r="O995" s="185"/>
      <c r="P995" s="185"/>
      <c r="Q995" s="185"/>
      <c r="R995" s="185"/>
    </row>
    <row r="996" spans="1:18" s="7" customFormat="1" ht="9" customHeight="1" x14ac:dyDescent="0.2">
      <c r="A996" s="73"/>
      <c r="B996" s="73"/>
      <c r="C996" s="184"/>
      <c r="D996" s="45"/>
      <c r="E996" s="185"/>
      <c r="F996" s="185"/>
      <c r="G996" s="185"/>
      <c r="H996" s="185"/>
      <c r="I996" s="185"/>
      <c r="J996" s="185"/>
      <c r="K996" s="185"/>
      <c r="L996" s="185"/>
      <c r="M996" s="39"/>
      <c r="N996" s="185"/>
      <c r="O996" s="185"/>
      <c r="P996" s="185"/>
      <c r="Q996" s="185"/>
      <c r="R996" s="185"/>
    </row>
    <row r="997" spans="1:18" s="7" customFormat="1" ht="9" customHeight="1" x14ac:dyDescent="0.2">
      <c r="A997" s="73"/>
      <c r="B997" s="73"/>
      <c r="C997" s="184"/>
      <c r="D997" s="45"/>
      <c r="E997" s="185"/>
      <c r="F997" s="185"/>
      <c r="G997" s="185"/>
      <c r="H997" s="185"/>
      <c r="I997" s="185"/>
      <c r="J997" s="185"/>
      <c r="K997" s="185"/>
      <c r="L997" s="185"/>
      <c r="M997" s="39"/>
      <c r="N997" s="185"/>
      <c r="O997" s="185"/>
      <c r="P997" s="185"/>
      <c r="Q997" s="185"/>
      <c r="R997" s="185"/>
    </row>
    <row r="998" spans="1:18" s="7" customFormat="1" ht="9" customHeight="1" x14ac:dyDescent="0.2">
      <c r="A998" s="73"/>
      <c r="B998" s="73"/>
      <c r="C998" s="184"/>
      <c r="D998" s="45"/>
      <c r="E998" s="185"/>
      <c r="F998" s="185"/>
      <c r="G998" s="185"/>
      <c r="H998" s="185"/>
      <c r="I998" s="185"/>
      <c r="J998" s="185"/>
      <c r="K998" s="185"/>
      <c r="L998" s="185"/>
      <c r="M998" s="39"/>
      <c r="N998" s="185"/>
      <c r="O998" s="185"/>
      <c r="P998" s="185"/>
      <c r="Q998" s="185"/>
      <c r="R998" s="185"/>
    </row>
    <row r="999" spans="1:18" s="7" customFormat="1" ht="9" customHeight="1" x14ac:dyDescent="0.2">
      <c r="A999" s="73"/>
      <c r="B999" s="73"/>
      <c r="C999" s="184"/>
      <c r="D999" s="45"/>
      <c r="E999" s="185"/>
      <c r="F999" s="185"/>
      <c r="G999" s="185"/>
      <c r="H999" s="185"/>
      <c r="I999" s="185"/>
      <c r="J999" s="185"/>
      <c r="K999" s="185"/>
      <c r="L999" s="185"/>
      <c r="M999" s="39"/>
      <c r="N999" s="185"/>
      <c r="O999" s="185"/>
      <c r="P999" s="185"/>
      <c r="Q999" s="185"/>
      <c r="R999" s="185"/>
    </row>
    <row r="1000" spans="1:18" s="7" customFormat="1" ht="12.75" customHeight="1" x14ac:dyDescent="0.2">
      <c r="A1000" s="56">
        <v>44197</v>
      </c>
      <c r="B1000" s="56">
        <v>44561</v>
      </c>
      <c r="C1000" s="57" t="s">
        <v>36</v>
      </c>
      <c r="D1000" s="58">
        <v>0</v>
      </c>
      <c r="E1000" s="59">
        <v>16353.22</v>
      </c>
      <c r="F1000" s="59">
        <v>0</v>
      </c>
      <c r="G1000" s="59"/>
      <c r="H1000" s="59">
        <v>6641.4</v>
      </c>
      <c r="I1000" s="59"/>
      <c r="J1000" s="59">
        <v>1929.63</v>
      </c>
      <c r="K1000" s="59">
        <v>23155.54</v>
      </c>
      <c r="L1000" s="60">
        <v>25085.17</v>
      </c>
      <c r="M1000" s="33"/>
      <c r="N1000" s="59">
        <v>23155.54</v>
      </c>
      <c r="O1000" s="59">
        <v>16514.14</v>
      </c>
      <c r="P1000" s="59">
        <v>0</v>
      </c>
      <c r="Q1000" s="59">
        <v>28057.72</v>
      </c>
      <c r="R1000" s="59">
        <v>26128.09</v>
      </c>
    </row>
    <row r="1001" spans="1:18" s="7" customFormat="1" ht="9" customHeight="1" x14ac:dyDescent="0.2">
      <c r="A1001" s="61"/>
      <c r="B1001" s="61"/>
      <c r="C1001" s="62" t="s">
        <v>37</v>
      </c>
      <c r="D1001" s="63">
        <v>8</v>
      </c>
      <c r="E1001" s="64">
        <v>31664249</v>
      </c>
      <c r="F1001" s="65">
        <v>0</v>
      </c>
      <c r="G1001" s="65"/>
      <c r="H1001" s="64">
        <v>12859544</v>
      </c>
      <c r="I1001" s="64"/>
      <c r="J1001" s="66">
        <v>3736285</v>
      </c>
      <c r="K1001" s="66">
        <v>44835377</v>
      </c>
      <c r="L1001" s="64">
        <v>48571662</v>
      </c>
      <c r="M1001" s="39"/>
      <c r="N1001" s="65">
        <v>44835377</v>
      </c>
      <c r="O1001" s="65">
        <v>31975834</v>
      </c>
      <c r="P1001" s="65">
        <v>0</v>
      </c>
      <c r="Q1001" s="65">
        <v>54327322</v>
      </c>
      <c r="R1001" s="65">
        <v>50591037</v>
      </c>
    </row>
    <row r="1002" spans="1:18" s="7" customFormat="1" ht="12.75" customHeight="1" x14ac:dyDescent="0.2">
      <c r="A1002" s="73">
        <f>A1000</f>
        <v>44197</v>
      </c>
      <c r="B1002" s="73">
        <f>B1000</f>
        <v>44561</v>
      </c>
      <c r="C1002" s="68" t="s">
        <v>36</v>
      </c>
      <c r="D1002" s="69">
        <v>9</v>
      </c>
      <c r="E1002" s="59">
        <v>19071.310000000001</v>
      </c>
      <c r="F1002" s="59">
        <v>0</v>
      </c>
      <c r="G1002" s="59"/>
      <c r="H1002" s="59">
        <v>6641.4</v>
      </c>
      <c r="I1002" s="59"/>
      <c r="J1002" s="59">
        <v>2157.73</v>
      </c>
      <c r="K1002" s="59">
        <v>16918.52</v>
      </c>
      <c r="L1002" s="60">
        <v>19076.25</v>
      </c>
      <c r="M1002" s="33"/>
      <c r="N1002" s="59">
        <v>25892.71</v>
      </c>
      <c r="O1002" s="59">
        <v>19251.310000000001</v>
      </c>
      <c r="P1002" s="59">
        <v>0</v>
      </c>
      <c r="Q1002" s="59">
        <v>31515.68</v>
      </c>
      <c r="R1002" s="59">
        <v>29357.95</v>
      </c>
    </row>
    <row r="1003" spans="1:18" s="7" customFormat="1" ht="9" customHeight="1" x14ac:dyDescent="0.2">
      <c r="A1003" s="73"/>
      <c r="B1003" s="73"/>
      <c r="C1003" s="62" t="s">
        <v>37</v>
      </c>
      <c r="D1003" s="63">
        <v>14</v>
      </c>
      <c r="E1003" s="64">
        <v>36927205</v>
      </c>
      <c r="F1003" s="65">
        <v>0</v>
      </c>
      <c r="G1003" s="65"/>
      <c r="H1003" s="64">
        <v>12859544</v>
      </c>
      <c r="I1003" s="64"/>
      <c r="J1003" s="66">
        <v>4177948</v>
      </c>
      <c r="K1003" s="64">
        <v>32758823</v>
      </c>
      <c r="L1003" s="64">
        <v>36936771</v>
      </c>
      <c r="M1003" s="39"/>
      <c r="N1003" s="65">
        <v>50135278</v>
      </c>
      <c r="O1003" s="65">
        <v>37275734</v>
      </c>
      <c r="P1003" s="65">
        <v>0</v>
      </c>
      <c r="Q1003" s="65">
        <v>61022866</v>
      </c>
      <c r="R1003" s="65">
        <v>56844918</v>
      </c>
    </row>
    <row r="1004" spans="1:18" s="7" customFormat="1" ht="12.75" customHeight="1" x14ac:dyDescent="0.2">
      <c r="A1004" s="73"/>
      <c r="B1004" s="73"/>
      <c r="C1004" s="68" t="s">
        <v>36</v>
      </c>
      <c r="D1004" s="69">
        <v>15</v>
      </c>
      <c r="E1004" s="59">
        <v>21479.37</v>
      </c>
      <c r="F1004" s="59">
        <v>0</v>
      </c>
      <c r="G1004" s="59"/>
      <c r="H1004" s="59">
        <v>6641.4</v>
      </c>
      <c r="I1004" s="59"/>
      <c r="J1004" s="59">
        <v>2359.8000000000002</v>
      </c>
      <c r="K1004" s="59">
        <v>17933.73</v>
      </c>
      <c r="L1004" s="60">
        <v>20293.53</v>
      </c>
      <c r="M1004" s="33"/>
      <c r="N1004" s="59">
        <v>28317.57</v>
      </c>
      <c r="O1004" s="59">
        <v>21676.17</v>
      </c>
      <c r="P1004" s="59">
        <v>0</v>
      </c>
      <c r="Q1004" s="59">
        <v>34579.08</v>
      </c>
      <c r="R1004" s="59">
        <v>32219.279999999999</v>
      </c>
    </row>
    <row r="1005" spans="1:18" s="7" customFormat="1" ht="9" customHeight="1" x14ac:dyDescent="0.2">
      <c r="A1005" s="73"/>
      <c r="B1005" s="73"/>
      <c r="C1005" s="62" t="s">
        <v>37</v>
      </c>
      <c r="D1005" s="63">
        <v>20</v>
      </c>
      <c r="E1005" s="64">
        <v>41589860</v>
      </c>
      <c r="F1005" s="65">
        <v>0</v>
      </c>
      <c r="G1005" s="65"/>
      <c r="H1005" s="64">
        <v>12859544</v>
      </c>
      <c r="I1005" s="64"/>
      <c r="J1005" s="66">
        <v>4569210</v>
      </c>
      <c r="K1005" s="64">
        <v>34724543</v>
      </c>
      <c r="L1005" s="64">
        <v>39293753</v>
      </c>
      <c r="M1005" s="39"/>
      <c r="N1005" s="65">
        <v>54830461</v>
      </c>
      <c r="O1005" s="65">
        <v>41970918</v>
      </c>
      <c r="P1005" s="65">
        <v>0</v>
      </c>
      <c r="Q1005" s="65">
        <v>66954435</v>
      </c>
      <c r="R1005" s="65">
        <v>62385225</v>
      </c>
    </row>
    <row r="1006" spans="1:18" s="7" customFormat="1" ht="12.75" customHeight="1" x14ac:dyDescent="0.2">
      <c r="A1006" s="73"/>
      <c r="B1006" s="73"/>
      <c r="C1006" s="68" t="s">
        <v>36</v>
      </c>
      <c r="D1006" s="69">
        <v>21</v>
      </c>
      <c r="E1006" s="59">
        <v>24049.46</v>
      </c>
      <c r="F1006" s="59">
        <v>0</v>
      </c>
      <c r="G1006" s="59"/>
      <c r="H1006" s="59">
        <v>6641.4</v>
      </c>
      <c r="I1006" s="59"/>
      <c r="J1006" s="59">
        <v>2575.4699999999998</v>
      </c>
      <c r="K1006" s="59">
        <v>18921.79</v>
      </c>
      <c r="L1006" s="60">
        <v>21497.26</v>
      </c>
      <c r="M1006" s="33"/>
      <c r="N1006" s="59">
        <v>30905.66</v>
      </c>
      <c r="O1006" s="59">
        <v>24264.26</v>
      </c>
      <c r="P1006" s="59">
        <v>0</v>
      </c>
      <c r="Q1006" s="59">
        <v>37848.699999999997</v>
      </c>
      <c r="R1006" s="59">
        <v>35273.230000000003</v>
      </c>
    </row>
    <row r="1007" spans="1:18" s="7" customFormat="1" ht="9" customHeight="1" x14ac:dyDescent="0.2">
      <c r="A1007" s="73"/>
      <c r="B1007" s="73"/>
      <c r="C1007" s="62" t="s">
        <v>37</v>
      </c>
      <c r="D1007" s="63">
        <v>27</v>
      </c>
      <c r="E1007" s="64">
        <v>46566248</v>
      </c>
      <c r="F1007" s="65">
        <v>0</v>
      </c>
      <c r="G1007" s="65"/>
      <c r="H1007" s="64">
        <v>12859544</v>
      </c>
      <c r="I1007" s="64"/>
      <c r="J1007" s="66">
        <v>4986805</v>
      </c>
      <c r="K1007" s="64">
        <v>36637694</v>
      </c>
      <c r="L1007" s="64">
        <v>41624500</v>
      </c>
      <c r="M1007" s="39"/>
      <c r="N1007" s="65">
        <v>59841702</v>
      </c>
      <c r="O1007" s="65">
        <v>46982159</v>
      </c>
      <c r="P1007" s="65">
        <v>0</v>
      </c>
      <c r="Q1007" s="65">
        <v>73285302</v>
      </c>
      <c r="R1007" s="65">
        <v>68298497</v>
      </c>
    </row>
    <row r="1008" spans="1:18" s="7" customFormat="1" ht="12.75" customHeight="1" x14ac:dyDescent="0.2">
      <c r="A1008" s="73"/>
      <c r="B1008" s="73"/>
      <c r="C1008" s="68" t="s">
        <v>36</v>
      </c>
      <c r="D1008" s="69">
        <v>28</v>
      </c>
      <c r="E1008" s="59">
        <v>26700.13</v>
      </c>
      <c r="F1008" s="59">
        <v>0</v>
      </c>
      <c r="G1008" s="59"/>
      <c r="H1008" s="59">
        <v>6641.4</v>
      </c>
      <c r="I1008" s="59"/>
      <c r="J1008" s="59">
        <v>2797.91</v>
      </c>
      <c r="K1008" s="59">
        <v>19673.080000000002</v>
      </c>
      <c r="L1008" s="60">
        <v>22470.99</v>
      </c>
      <c r="M1008" s="33"/>
      <c r="N1008" s="59">
        <v>33574.93</v>
      </c>
      <c r="O1008" s="59">
        <v>26933.53</v>
      </c>
      <c r="P1008" s="59">
        <v>0</v>
      </c>
      <c r="Q1008" s="59">
        <v>41220.879999999997</v>
      </c>
      <c r="R1008" s="59">
        <v>38422.97</v>
      </c>
    </row>
    <row r="1009" spans="1:18" s="7" customFormat="1" ht="9" customHeight="1" x14ac:dyDescent="0.2">
      <c r="A1009" s="73"/>
      <c r="B1009" s="73"/>
      <c r="C1009" s="62" t="s">
        <v>37</v>
      </c>
      <c r="D1009" s="63">
        <v>34</v>
      </c>
      <c r="E1009" s="64">
        <v>51698661</v>
      </c>
      <c r="F1009" s="65">
        <v>0</v>
      </c>
      <c r="G1009" s="65"/>
      <c r="H1009" s="64">
        <v>12859544</v>
      </c>
      <c r="I1009" s="64"/>
      <c r="J1009" s="66">
        <v>5417509</v>
      </c>
      <c r="K1009" s="64">
        <v>38092395</v>
      </c>
      <c r="L1009" s="64">
        <v>43509904</v>
      </c>
      <c r="M1009" s="39"/>
      <c r="N1009" s="65">
        <v>65010130</v>
      </c>
      <c r="O1009" s="65">
        <v>52150586</v>
      </c>
      <c r="P1009" s="65">
        <v>0</v>
      </c>
      <c r="Q1009" s="65">
        <v>79814753</v>
      </c>
      <c r="R1009" s="65">
        <v>74397244</v>
      </c>
    </row>
    <row r="1010" spans="1:18" s="7" customFormat="1" ht="12.75" customHeight="1" x14ac:dyDescent="0.2">
      <c r="A1010" s="73"/>
      <c r="B1010" s="73"/>
      <c r="C1010" s="68" t="s">
        <v>36</v>
      </c>
      <c r="D1010" s="69">
        <v>35</v>
      </c>
      <c r="E1010" s="59">
        <v>29268.95</v>
      </c>
      <c r="F1010" s="59">
        <v>0</v>
      </c>
      <c r="G1010" s="59"/>
      <c r="H1010" s="59">
        <v>6641.4</v>
      </c>
      <c r="I1010" s="59"/>
      <c r="J1010" s="59">
        <v>3013.48</v>
      </c>
      <c r="K1010" s="59">
        <v>20206.89</v>
      </c>
      <c r="L1010" s="60">
        <v>23220.37</v>
      </c>
      <c r="M1010" s="33"/>
      <c r="N1010" s="59">
        <v>36161.75</v>
      </c>
      <c r="O1010" s="59">
        <v>29520.35</v>
      </c>
      <c r="P1010" s="59">
        <v>0</v>
      </c>
      <c r="Q1010" s="59">
        <v>44488.89</v>
      </c>
      <c r="R1010" s="59">
        <v>41475.410000000003</v>
      </c>
    </row>
    <row r="1011" spans="1:18" s="7" customFormat="1" ht="9" customHeight="1" x14ac:dyDescent="0.2">
      <c r="A1011" s="74"/>
      <c r="B1011" s="74"/>
      <c r="C1011" s="71" t="s">
        <v>37</v>
      </c>
      <c r="D1011" s="72"/>
      <c r="E1011" s="64">
        <v>56672590</v>
      </c>
      <c r="F1011" s="64">
        <v>0</v>
      </c>
      <c r="G1011" s="64"/>
      <c r="H1011" s="64">
        <v>12859544</v>
      </c>
      <c r="I1011" s="64"/>
      <c r="J1011" s="64">
        <v>5834911</v>
      </c>
      <c r="K1011" s="64">
        <v>39125995</v>
      </c>
      <c r="L1011" s="64">
        <v>44960906</v>
      </c>
      <c r="M1011" s="39"/>
      <c r="N1011" s="64">
        <v>70018912</v>
      </c>
      <c r="O1011" s="64">
        <v>57159368</v>
      </c>
      <c r="P1011" s="64">
        <v>0</v>
      </c>
      <c r="Q1011" s="64">
        <v>86142503</v>
      </c>
      <c r="R1011" s="64">
        <v>80307592</v>
      </c>
    </row>
    <row r="1012" spans="1:18" s="7" customFormat="1" ht="9" customHeight="1" x14ac:dyDescent="0.2">
      <c r="A1012" s="73"/>
      <c r="B1012" s="73"/>
      <c r="C1012" s="184"/>
      <c r="D1012" s="45"/>
      <c r="E1012" s="185"/>
      <c r="F1012" s="185"/>
      <c r="G1012" s="185"/>
      <c r="H1012" s="185"/>
      <c r="I1012" s="185"/>
      <c r="J1012" s="185"/>
      <c r="K1012" s="185"/>
      <c r="L1012" s="185"/>
      <c r="M1012" s="39"/>
      <c r="N1012" s="185"/>
      <c r="O1012" s="185"/>
      <c r="P1012" s="185"/>
      <c r="Q1012" s="185"/>
      <c r="R1012" s="185"/>
    </row>
    <row r="1013" spans="1:18" s="7" customFormat="1" ht="9" customHeight="1" x14ac:dyDescent="0.2">
      <c r="A1013" s="73"/>
      <c r="B1013" s="73"/>
      <c r="C1013" s="184"/>
      <c r="D1013" s="45"/>
      <c r="E1013" s="185"/>
      <c r="F1013" s="185"/>
      <c r="G1013" s="185"/>
      <c r="H1013" s="185"/>
      <c r="I1013" s="185"/>
      <c r="J1013" s="185"/>
      <c r="K1013" s="185"/>
      <c r="L1013" s="185"/>
      <c r="M1013" s="39"/>
      <c r="N1013" s="185"/>
      <c r="O1013" s="185"/>
      <c r="P1013" s="185"/>
      <c r="Q1013" s="185"/>
      <c r="R1013" s="185"/>
    </row>
    <row r="1014" spans="1:18" s="7" customFormat="1" ht="9" customHeight="1" x14ac:dyDescent="0.2">
      <c r="A1014" s="73"/>
      <c r="B1014" s="73"/>
      <c r="C1014" s="184"/>
      <c r="D1014" s="45"/>
      <c r="E1014" s="185"/>
      <c r="F1014" s="185"/>
      <c r="G1014" s="185"/>
      <c r="H1014" s="185"/>
      <c r="I1014" s="185"/>
      <c r="J1014" s="185"/>
      <c r="K1014" s="185"/>
      <c r="L1014" s="185"/>
      <c r="M1014" s="39"/>
      <c r="N1014" s="185"/>
      <c r="O1014" s="185"/>
      <c r="P1014" s="185"/>
      <c r="Q1014" s="185"/>
      <c r="R1014" s="185"/>
    </row>
    <row r="1015" spans="1:18" s="7" customFormat="1" ht="9" customHeight="1" x14ac:dyDescent="0.2">
      <c r="A1015" s="73"/>
      <c r="B1015" s="73"/>
      <c r="C1015" s="184"/>
      <c r="D1015" s="45"/>
      <c r="E1015" s="185"/>
      <c r="F1015" s="185"/>
      <c r="G1015" s="185"/>
      <c r="H1015" s="185"/>
      <c r="I1015" s="185"/>
      <c r="J1015" s="185"/>
      <c r="K1015" s="185"/>
      <c r="L1015" s="185"/>
      <c r="M1015" s="39"/>
      <c r="N1015" s="185"/>
      <c r="O1015" s="185"/>
      <c r="P1015" s="185"/>
      <c r="Q1015" s="185"/>
      <c r="R1015" s="185"/>
    </row>
    <row r="1016" spans="1:18" s="7" customFormat="1" ht="9" customHeight="1" x14ac:dyDescent="0.2">
      <c r="A1016" s="73"/>
      <c r="B1016" s="73"/>
      <c r="C1016" s="184"/>
      <c r="D1016" s="45"/>
      <c r="E1016" s="185"/>
      <c r="F1016" s="185"/>
      <c r="G1016" s="185"/>
      <c r="H1016" s="185"/>
      <c r="I1016" s="185"/>
      <c r="J1016" s="185"/>
      <c r="K1016" s="185"/>
      <c r="L1016" s="185"/>
      <c r="M1016" s="39"/>
      <c r="N1016" s="185"/>
      <c r="O1016" s="185"/>
      <c r="P1016" s="185"/>
      <c r="Q1016" s="185"/>
      <c r="R1016" s="185"/>
    </row>
    <row r="1017" spans="1:18" s="7" customFormat="1" ht="9" customHeight="1" x14ac:dyDescent="0.2">
      <c r="A1017" s="73"/>
      <c r="B1017" s="73"/>
      <c r="C1017" s="184"/>
      <c r="D1017" s="45"/>
      <c r="E1017" s="185"/>
      <c r="F1017" s="185"/>
      <c r="G1017" s="185"/>
      <c r="H1017" s="185"/>
      <c r="I1017" s="185"/>
      <c r="J1017" s="185"/>
      <c r="K1017" s="185"/>
      <c r="L1017" s="185"/>
      <c r="M1017" s="39"/>
      <c r="N1017" s="185"/>
      <c r="O1017" s="185"/>
      <c r="P1017" s="185"/>
      <c r="Q1017" s="185"/>
      <c r="R1017" s="185"/>
    </row>
    <row r="1018" spans="1:18" s="7" customFormat="1" ht="9" customHeight="1" x14ac:dyDescent="0.2">
      <c r="A1018" s="73"/>
      <c r="B1018" s="73"/>
      <c r="C1018" s="184"/>
      <c r="D1018" s="45"/>
      <c r="E1018" s="185"/>
      <c r="F1018" s="185"/>
      <c r="G1018" s="185"/>
      <c r="H1018" s="185"/>
      <c r="I1018" s="185"/>
      <c r="J1018" s="185"/>
      <c r="K1018" s="185"/>
      <c r="L1018" s="185"/>
      <c r="M1018" s="39"/>
      <c r="N1018" s="185"/>
      <c r="O1018" s="185"/>
      <c r="P1018" s="185"/>
      <c r="Q1018" s="185"/>
      <c r="R1018" s="185"/>
    </row>
    <row r="1019" spans="1:18" s="7" customFormat="1" ht="9" customHeight="1" x14ac:dyDescent="0.2">
      <c r="A1019" s="73"/>
      <c r="B1019" s="73"/>
      <c r="C1019" s="184"/>
      <c r="D1019" s="45"/>
      <c r="E1019" s="185"/>
      <c r="F1019" s="185"/>
      <c r="G1019" s="185"/>
      <c r="H1019" s="185"/>
      <c r="I1019" s="185"/>
      <c r="J1019" s="185"/>
      <c r="K1019" s="185"/>
      <c r="L1019" s="185"/>
      <c r="M1019" s="39"/>
      <c r="N1019" s="185"/>
      <c r="O1019" s="185"/>
      <c r="P1019" s="185"/>
      <c r="Q1019" s="185"/>
      <c r="R1019" s="185"/>
    </row>
    <row r="1020" spans="1:18" s="7" customFormat="1" ht="12.75" customHeight="1" x14ac:dyDescent="0.2">
      <c r="A1020" s="522">
        <v>44562</v>
      </c>
      <c r="B1020" s="522">
        <v>44652</v>
      </c>
      <c r="C1020" s="57" t="s">
        <v>36</v>
      </c>
      <c r="D1020" s="58">
        <v>0</v>
      </c>
      <c r="E1020" s="59">
        <v>16353.22</v>
      </c>
      <c r="F1020" s="59">
        <v>0</v>
      </c>
      <c r="G1020" s="59"/>
      <c r="H1020" s="59">
        <v>6641.4</v>
      </c>
      <c r="I1020" s="59"/>
      <c r="J1020" s="59">
        <v>1929.63</v>
      </c>
      <c r="K1020" s="59">
        <v>23155.54</v>
      </c>
      <c r="L1020" s="60">
        <v>25085.17</v>
      </c>
      <c r="M1020" s="33"/>
      <c r="N1020" s="59">
        <v>23155.54</v>
      </c>
      <c r="O1020" s="59">
        <v>16514.14</v>
      </c>
      <c r="P1020" s="59">
        <v>0</v>
      </c>
      <c r="Q1020" s="59">
        <v>28057.72</v>
      </c>
      <c r="R1020" s="59">
        <v>26128.09</v>
      </c>
    </row>
    <row r="1021" spans="1:18" s="7" customFormat="1" ht="9" customHeight="1" x14ac:dyDescent="0.2">
      <c r="A1021" s="523"/>
      <c r="B1021" s="523"/>
      <c r="C1021" s="62" t="s">
        <v>37</v>
      </c>
      <c r="D1021" s="63">
        <v>8</v>
      </c>
      <c r="E1021" s="64">
        <v>31664249</v>
      </c>
      <c r="F1021" s="65">
        <v>0</v>
      </c>
      <c r="G1021" s="65"/>
      <c r="H1021" s="64">
        <v>12859544</v>
      </c>
      <c r="I1021" s="64"/>
      <c r="J1021" s="66">
        <v>3736285</v>
      </c>
      <c r="K1021" s="66">
        <v>44835377</v>
      </c>
      <c r="L1021" s="64">
        <v>48571662</v>
      </c>
      <c r="M1021" s="39"/>
      <c r="N1021" s="65">
        <v>44835377</v>
      </c>
      <c r="O1021" s="65">
        <v>31975834</v>
      </c>
      <c r="P1021" s="65">
        <v>0</v>
      </c>
      <c r="Q1021" s="65">
        <v>54327322</v>
      </c>
      <c r="R1021" s="65">
        <v>50591037</v>
      </c>
    </row>
    <row r="1022" spans="1:18" s="7" customFormat="1" ht="12.75" customHeight="1" x14ac:dyDescent="0.2">
      <c r="A1022" s="520">
        <f>A1020</f>
        <v>44562</v>
      </c>
      <c r="B1022" s="520">
        <v>44651</v>
      </c>
      <c r="C1022" s="68" t="s">
        <v>36</v>
      </c>
      <c r="D1022" s="69">
        <v>9</v>
      </c>
      <c r="E1022" s="59">
        <v>19071.310000000001</v>
      </c>
      <c r="F1022" s="59">
        <v>0</v>
      </c>
      <c r="G1022" s="59"/>
      <c r="H1022" s="59">
        <v>6641.4</v>
      </c>
      <c r="I1022" s="59"/>
      <c r="J1022" s="59">
        <v>2157.73</v>
      </c>
      <c r="K1022" s="59">
        <v>16918.52</v>
      </c>
      <c r="L1022" s="60">
        <v>19076.25</v>
      </c>
      <c r="M1022" s="33"/>
      <c r="N1022" s="59">
        <v>25892.71</v>
      </c>
      <c r="O1022" s="59">
        <v>19251.310000000001</v>
      </c>
      <c r="P1022" s="59">
        <v>0</v>
      </c>
      <c r="Q1022" s="59">
        <v>31515.68</v>
      </c>
      <c r="R1022" s="59">
        <v>29357.95</v>
      </c>
    </row>
    <row r="1023" spans="1:18" s="7" customFormat="1" ht="9" customHeight="1" x14ac:dyDescent="0.2">
      <c r="A1023" s="520"/>
      <c r="B1023" s="520"/>
      <c r="C1023" s="62" t="s">
        <v>37</v>
      </c>
      <c r="D1023" s="63">
        <v>14</v>
      </c>
      <c r="E1023" s="64">
        <v>36927205</v>
      </c>
      <c r="F1023" s="65">
        <v>0</v>
      </c>
      <c r="G1023" s="65"/>
      <c r="H1023" s="64">
        <v>12859544</v>
      </c>
      <c r="I1023" s="64"/>
      <c r="J1023" s="66">
        <v>4177948</v>
      </c>
      <c r="K1023" s="64">
        <v>32758823</v>
      </c>
      <c r="L1023" s="64">
        <v>36936771</v>
      </c>
      <c r="M1023" s="39"/>
      <c r="N1023" s="65">
        <v>50135278</v>
      </c>
      <c r="O1023" s="65">
        <v>37275734</v>
      </c>
      <c r="P1023" s="65">
        <v>0</v>
      </c>
      <c r="Q1023" s="65">
        <v>61022866</v>
      </c>
      <c r="R1023" s="65">
        <v>56844918</v>
      </c>
    </row>
    <row r="1024" spans="1:18" s="7" customFormat="1" ht="12.75" customHeight="1" x14ac:dyDescent="0.2">
      <c r="A1024" s="520"/>
      <c r="B1024" s="520"/>
      <c r="C1024" s="68" t="s">
        <v>36</v>
      </c>
      <c r="D1024" s="69">
        <v>15</v>
      </c>
      <c r="E1024" s="59">
        <v>21479.37</v>
      </c>
      <c r="F1024" s="59">
        <v>0</v>
      </c>
      <c r="G1024" s="59"/>
      <c r="H1024" s="59">
        <v>6641.4</v>
      </c>
      <c r="I1024" s="59"/>
      <c r="J1024" s="59">
        <v>2359.8000000000002</v>
      </c>
      <c r="K1024" s="59">
        <v>17933.73</v>
      </c>
      <c r="L1024" s="60">
        <v>20293.53</v>
      </c>
      <c r="M1024" s="33"/>
      <c r="N1024" s="59">
        <v>28317.57</v>
      </c>
      <c r="O1024" s="59">
        <v>21676.17</v>
      </c>
      <c r="P1024" s="59">
        <v>0</v>
      </c>
      <c r="Q1024" s="59">
        <v>34579.08</v>
      </c>
      <c r="R1024" s="59">
        <v>32219.279999999999</v>
      </c>
    </row>
    <row r="1025" spans="1:18" s="7" customFormat="1" ht="9" customHeight="1" x14ac:dyDescent="0.2">
      <c r="A1025" s="520"/>
      <c r="B1025" s="520"/>
      <c r="C1025" s="62" t="s">
        <v>37</v>
      </c>
      <c r="D1025" s="63">
        <v>20</v>
      </c>
      <c r="E1025" s="64">
        <v>41589860</v>
      </c>
      <c r="F1025" s="65">
        <v>0</v>
      </c>
      <c r="G1025" s="65"/>
      <c r="H1025" s="64">
        <v>12859544</v>
      </c>
      <c r="I1025" s="64"/>
      <c r="J1025" s="66">
        <v>4569210</v>
      </c>
      <c r="K1025" s="64">
        <v>34724543</v>
      </c>
      <c r="L1025" s="64">
        <v>39293753</v>
      </c>
      <c r="M1025" s="39"/>
      <c r="N1025" s="65">
        <v>54830461</v>
      </c>
      <c r="O1025" s="65">
        <v>41970918</v>
      </c>
      <c r="P1025" s="65">
        <v>0</v>
      </c>
      <c r="Q1025" s="65">
        <v>66954435</v>
      </c>
      <c r="R1025" s="65">
        <v>62385225</v>
      </c>
    </row>
    <row r="1026" spans="1:18" s="7" customFormat="1" ht="12.75" customHeight="1" x14ac:dyDescent="0.2">
      <c r="A1026" s="520"/>
      <c r="B1026" s="520"/>
      <c r="C1026" s="68" t="s">
        <v>36</v>
      </c>
      <c r="D1026" s="69">
        <v>21</v>
      </c>
      <c r="E1026" s="59">
        <v>24049.46</v>
      </c>
      <c r="F1026" s="59">
        <v>0</v>
      </c>
      <c r="G1026" s="59"/>
      <c r="H1026" s="59">
        <v>6641.4</v>
      </c>
      <c r="I1026" s="59"/>
      <c r="J1026" s="59">
        <v>2575.4699999999998</v>
      </c>
      <c r="K1026" s="59">
        <v>18921.79</v>
      </c>
      <c r="L1026" s="60">
        <v>21497.26</v>
      </c>
      <c r="M1026" s="33"/>
      <c r="N1026" s="59">
        <v>30905.66</v>
      </c>
      <c r="O1026" s="59">
        <v>24264.26</v>
      </c>
      <c r="P1026" s="59">
        <v>0</v>
      </c>
      <c r="Q1026" s="59">
        <v>37848.699999999997</v>
      </c>
      <c r="R1026" s="59">
        <v>35273.230000000003</v>
      </c>
    </row>
    <row r="1027" spans="1:18" s="7" customFormat="1" ht="9" customHeight="1" x14ac:dyDescent="0.2">
      <c r="A1027" s="520"/>
      <c r="B1027" s="520"/>
      <c r="C1027" s="62" t="s">
        <v>37</v>
      </c>
      <c r="D1027" s="63">
        <v>27</v>
      </c>
      <c r="E1027" s="64">
        <v>46566248</v>
      </c>
      <c r="F1027" s="65">
        <v>0</v>
      </c>
      <c r="G1027" s="65"/>
      <c r="H1027" s="64">
        <v>12859544</v>
      </c>
      <c r="I1027" s="64"/>
      <c r="J1027" s="66">
        <v>4986805</v>
      </c>
      <c r="K1027" s="64">
        <v>36637694</v>
      </c>
      <c r="L1027" s="64">
        <v>41624500</v>
      </c>
      <c r="M1027" s="39"/>
      <c r="N1027" s="65">
        <v>59841702</v>
      </c>
      <c r="O1027" s="65">
        <v>46982159</v>
      </c>
      <c r="P1027" s="65">
        <v>0</v>
      </c>
      <c r="Q1027" s="65">
        <v>73285302</v>
      </c>
      <c r="R1027" s="65">
        <v>68298497</v>
      </c>
    </row>
    <row r="1028" spans="1:18" s="7" customFormat="1" ht="12.75" customHeight="1" x14ac:dyDescent="0.2">
      <c r="A1028" s="520"/>
      <c r="B1028" s="520"/>
      <c r="C1028" s="68" t="s">
        <v>36</v>
      </c>
      <c r="D1028" s="69">
        <v>28</v>
      </c>
      <c r="E1028" s="59">
        <v>26700.13</v>
      </c>
      <c r="F1028" s="59">
        <v>0</v>
      </c>
      <c r="G1028" s="59"/>
      <c r="H1028" s="59">
        <v>6641.4</v>
      </c>
      <c r="I1028" s="59"/>
      <c r="J1028" s="59">
        <v>2797.91</v>
      </c>
      <c r="K1028" s="59">
        <v>19673.080000000002</v>
      </c>
      <c r="L1028" s="60">
        <v>22470.99</v>
      </c>
      <c r="M1028" s="33"/>
      <c r="N1028" s="59">
        <v>33574.93</v>
      </c>
      <c r="O1028" s="59">
        <v>26933.53</v>
      </c>
      <c r="P1028" s="59">
        <v>0</v>
      </c>
      <c r="Q1028" s="59">
        <v>41220.879999999997</v>
      </c>
      <c r="R1028" s="59">
        <v>38422.97</v>
      </c>
    </row>
    <row r="1029" spans="1:18" s="7" customFormat="1" ht="9" customHeight="1" x14ac:dyDescent="0.2">
      <c r="A1029" s="520"/>
      <c r="B1029" s="520"/>
      <c r="C1029" s="62" t="s">
        <v>37</v>
      </c>
      <c r="D1029" s="63">
        <v>34</v>
      </c>
      <c r="E1029" s="64">
        <v>51698661</v>
      </c>
      <c r="F1029" s="65">
        <v>0</v>
      </c>
      <c r="G1029" s="65"/>
      <c r="H1029" s="64">
        <v>12859544</v>
      </c>
      <c r="I1029" s="64"/>
      <c r="J1029" s="66">
        <v>5417509</v>
      </c>
      <c r="K1029" s="64">
        <v>38092395</v>
      </c>
      <c r="L1029" s="64">
        <v>43509904</v>
      </c>
      <c r="M1029" s="39"/>
      <c r="N1029" s="65">
        <v>65010130</v>
      </c>
      <c r="O1029" s="65">
        <v>52150586</v>
      </c>
      <c r="P1029" s="65">
        <v>0</v>
      </c>
      <c r="Q1029" s="65">
        <v>79814753</v>
      </c>
      <c r="R1029" s="65">
        <v>74397244</v>
      </c>
    </row>
    <row r="1030" spans="1:18" s="7" customFormat="1" ht="12.75" customHeight="1" x14ac:dyDescent="0.2">
      <c r="A1030" s="520"/>
      <c r="B1030" s="520"/>
      <c r="C1030" s="68" t="s">
        <v>36</v>
      </c>
      <c r="D1030" s="69">
        <v>35</v>
      </c>
      <c r="E1030" s="59">
        <v>29268.95</v>
      </c>
      <c r="F1030" s="59">
        <v>0</v>
      </c>
      <c r="G1030" s="59"/>
      <c r="H1030" s="59">
        <v>6641.4</v>
      </c>
      <c r="I1030" s="59"/>
      <c r="J1030" s="59">
        <v>3013.48</v>
      </c>
      <c r="K1030" s="59">
        <v>20206.89</v>
      </c>
      <c r="L1030" s="60">
        <v>23220.37</v>
      </c>
      <c r="M1030" s="33"/>
      <c r="N1030" s="59">
        <v>36161.75</v>
      </c>
      <c r="O1030" s="59">
        <v>29520.35</v>
      </c>
      <c r="P1030" s="59">
        <v>0</v>
      </c>
      <c r="Q1030" s="59">
        <v>44488.89</v>
      </c>
      <c r="R1030" s="59">
        <v>41475.410000000003</v>
      </c>
    </row>
    <row r="1031" spans="1:18" s="7" customFormat="1" ht="9" customHeight="1" x14ac:dyDescent="0.2">
      <c r="A1031" s="521"/>
      <c r="B1031" s="521"/>
      <c r="C1031" s="71" t="s">
        <v>37</v>
      </c>
      <c r="D1031" s="72"/>
      <c r="E1031" s="64">
        <v>56672590</v>
      </c>
      <c r="F1031" s="64">
        <v>0</v>
      </c>
      <c r="G1031" s="64"/>
      <c r="H1031" s="64">
        <v>12859544</v>
      </c>
      <c r="I1031" s="64"/>
      <c r="J1031" s="64">
        <v>5834911</v>
      </c>
      <c r="K1031" s="64">
        <v>39125995</v>
      </c>
      <c r="L1031" s="64">
        <v>44960906</v>
      </c>
      <c r="M1031" s="39"/>
      <c r="N1031" s="64">
        <v>70018912</v>
      </c>
      <c r="O1031" s="64">
        <v>57159368</v>
      </c>
      <c r="P1031" s="64">
        <v>0</v>
      </c>
      <c r="Q1031" s="64">
        <v>86142503</v>
      </c>
      <c r="R1031" s="64">
        <v>80307592</v>
      </c>
    </row>
    <row r="1032" spans="1:18" s="7" customFormat="1" ht="9" customHeight="1" x14ac:dyDescent="0.2">
      <c r="A1032" s="95"/>
      <c r="B1032" s="95"/>
      <c r="C1032" s="184"/>
      <c r="D1032" s="45"/>
      <c r="E1032" s="185"/>
      <c r="F1032" s="185"/>
      <c r="G1032" s="185"/>
      <c r="H1032" s="185"/>
      <c r="I1032" s="185"/>
      <c r="J1032" s="185"/>
      <c r="K1032" s="185"/>
      <c r="L1032" s="185"/>
      <c r="M1032" s="39"/>
      <c r="N1032" s="185"/>
      <c r="O1032" s="185"/>
      <c r="P1032" s="185"/>
      <c r="Q1032" s="185"/>
      <c r="R1032" s="185"/>
    </row>
    <row r="1033" spans="1:18" s="7" customFormat="1" ht="9" customHeight="1" x14ac:dyDescent="0.2">
      <c r="A1033" s="95"/>
      <c r="B1033" s="95"/>
      <c r="C1033" s="184"/>
      <c r="D1033" s="45"/>
      <c r="E1033" s="185"/>
      <c r="F1033" s="185"/>
      <c r="G1033" s="185"/>
      <c r="H1033" s="185"/>
      <c r="I1033" s="185"/>
      <c r="J1033" s="185"/>
      <c r="K1033" s="185"/>
      <c r="L1033" s="185"/>
      <c r="M1033" s="39"/>
      <c r="N1033" s="185"/>
      <c r="O1033" s="185"/>
      <c r="P1033" s="185"/>
      <c r="Q1033" s="185"/>
      <c r="R1033" s="185"/>
    </row>
    <row r="1034" spans="1:18" s="7" customFormat="1" ht="9" customHeight="1" x14ac:dyDescent="0.2">
      <c r="A1034" s="95"/>
      <c r="B1034" s="95"/>
      <c r="C1034" s="184"/>
      <c r="D1034" s="45"/>
      <c r="E1034" s="185"/>
      <c r="F1034" s="185"/>
      <c r="G1034" s="185"/>
      <c r="H1034" s="185"/>
      <c r="I1034" s="185"/>
      <c r="J1034" s="185"/>
      <c r="K1034" s="185"/>
      <c r="L1034" s="185"/>
      <c r="M1034" s="39"/>
      <c r="N1034" s="185"/>
      <c r="O1034" s="185"/>
      <c r="P1034" s="185"/>
      <c r="Q1034" s="185"/>
      <c r="R1034" s="185"/>
    </row>
    <row r="1035" spans="1:18" s="7" customFormat="1" ht="9" customHeight="1" x14ac:dyDescent="0.2">
      <c r="A1035" s="95"/>
      <c r="B1035" s="95"/>
      <c r="C1035" s="184"/>
      <c r="D1035" s="45"/>
      <c r="E1035" s="185"/>
      <c r="F1035" s="185"/>
      <c r="G1035" s="185"/>
      <c r="H1035" s="185"/>
      <c r="I1035" s="185"/>
      <c r="J1035" s="185"/>
      <c r="K1035" s="185"/>
      <c r="L1035" s="185"/>
      <c r="M1035" s="39"/>
      <c r="N1035" s="185"/>
      <c r="O1035" s="185"/>
      <c r="P1035" s="185"/>
      <c r="Q1035" s="185"/>
      <c r="R1035" s="185"/>
    </row>
    <row r="1036" spans="1:18" s="7" customFormat="1" ht="9" customHeight="1" x14ac:dyDescent="0.2">
      <c r="A1036" s="95"/>
      <c r="B1036" s="95"/>
      <c r="C1036" s="184"/>
      <c r="D1036" s="45"/>
      <c r="E1036" s="185"/>
      <c r="F1036" s="185"/>
      <c r="G1036" s="185"/>
      <c r="H1036" s="185"/>
      <c r="I1036" s="185"/>
      <c r="J1036" s="185"/>
      <c r="K1036" s="185"/>
      <c r="L1036" s="185"/>
      <c r="M1036" s="39"/>
      <c r="N1036" s="185"/>
      <c r="O1036" s="185"/>
      <c r="P1036" s="185"/>
      <c r="Q1036" s="185"/>
      <c r="R1036" s="185"/>
    </row>
    <row r="1037" spans="1:18" s="7" customFormat="1" ht="9" customHeight="1" x14ac:dyDescent="0.2">
      <c r="A1037" s="95"/>
      <c r="B1037" s="95"/>
      <c r="C1037" s="184"/>
      <c r="D1037" s="45"/>
      <c r="E1037" s="185"/>
      <c r="F1037" s="185"/>
      <c r="G1037" s="185"/>
      <c r="H1037" s="185"/>
      <c r="I1037" s="185"/>
      <c r="J1037" s="185"/>
      <c r="K1037" s="185"/>
      <c r="L1037" s="185"/>
      <c r="M1037" s="39"/>
      <c r="N1037" s="185"/>
      <c r="O1037" s="185"/>
      <c r="P1037" s="185"/>
      <c r="Q1037" s="185"/>
      <c r="R1037" s="185"/>
    </row>
    <row r="1038" spans="1:18" s="7" customFormat="1" ht="9" customHeight="1" x14ac:dyDescent="0.2">
      <c r="A1038" s="95"/>
      <c r="B1038" s="95"/>
      <c r="C1038" s="184"/>
      <c r="D1038" s="45"/>
      <c r="E1038" s="185"/>
      <c r="F1038" s="185"/>
      <c r="G1038" s="185"/>
      <c r="H1038" s="185"/>
      <c r="I1038" s="185"/>
      <c r="J1038" s="185"/>
      <c r="K1038" s="185"/>
      <c r="L1038" s="185"/>
      <c r="M1038" s="39"/>
      <c r="N1038" s="185"/>
      <c r="O1038" s="185"/>
      <c r="P1038" s="185"/>
      <c r="Q1038" s="185"/>
      <c r="R1038" s="185"/>
    </row>
    <row r="1039" spans="1:18" s="7" customFormat="1" ht="9" customHeight="1" x14ac:dyDescent="0.2">
      <c r="A1039" s="95"/>
      <c r="B1039" s="95"/>
      <c r="C1039" s="184"/>
      <c r="D1039" s="45"/>
      <c r="E1039" s="185"/>
      <c r="F1039" s="185"/>
      <c r="G1039" s="185"/>
      <c r="H1039" s="185"/>
      <c r="I1039" s="185"/>
      <c r="J1039" s="185"/>
      <c r="K1039" s="185"/>
      <c r="L1039" s="185"/>
      <c r="M1039" s="39"/>
      <c r="N1039" s="185"/>
      <c r="O1039" s="185"/>
      <c r="P1039" s="185"/>
      <c r="Q1039" s="185"/>
      <c r="R1039" s="185"/>
    </row>
    <row r="1040" spans="1:18" s="7" customFormat="1" ht="12.75" customHeight="1" x14ac:dyDescent="0.2">
      <c r="A1040" s="522">
        <v>44652</v>
      </c>
      <c r="B1040" s="522">
        <v>44742</v>
      </c>
      <c r="C1040" s="57" t="s">
        <v>36</v>
      </c>
      <c r="D1040" s="58">
        <v>0</v>
      </c>
      <c r="E1040" s="59">
        <v>16353.22</v>
      </c>
      <c r="F1040" s="59">
        <v>0</v>
      </c>
      <c r="G1040" s="59"/>
      <c r="H1040" s="59">
        <v>6641.4</v>
      </c>
      <c r="I1040" s="59">
        <f>ROUND(           (  E1040+H1040) *0.003,2)</f>
        <v>68.98</v>
      </c>
      <c r="J1040" s="59">
        <v>1929.63</v>
      </c>
      <c r="K1040" s="59">
        <v>23155.54</v>
      </c>
      <c r="L1040" s="60">
        <v>25085.17</v>
      </c>
      <c r="M1040" s="33"/>
      <c r="N1040" s="59">
        <v>23155.54</v>
      </c>
      <c r="O1040" s="59">
        <v>16514.14</v>
      </c>
      <c r="P1040" s="59">
        <v>0</v>
      </c>
      <c r="Q1040" s="59">
        <v>28057.72</v>
      </c>
      <c r="R1040" s="59">
        <v>26128.09</v>
      </c>
    </row>
    <row r="1041" spans="1:18" s="7" customFormat="1" ht="9" customHeight="1" x14ac:dyDescent="0.2">
      <c r="A1041" s="523"/>
      <c r="B1041" s="523"/>
      <c r="C1041" s="62" t="s">
        <v>37</v>
      </c>
      <c r="D1041" s="63">
        <v>8</v>
      </c>
      <c r="E1041" s="64">
        <v>31664249</v>
      </c>
      <c r="F1041" s="65">
        <v>0</v>
      </c>
      <c r="G1041" s="65"/>
      <c r="H1041" s="64">
        <v>12859544</v>
      </c>
      <c r="I1041" s="64"/>
      <c r="J1041" s="66">
        <v>3736285</v>
      </c>
      <c r="K1041" s="66">
        <v>44835377</v>
      </c>
      <c r="L1041" s="64">
        <v>48571662</v>
      </c>
      <c r="M1041" s="39"/>
      <c r="N1041" s="65">
        <v>44835377</v>
      </c>
      <c r="O1041" s="65">
        <v>31975834</v>
      </c>
      <c r="P1041" s="65">
        <v>0</v>
      </c>
      <c r="Q1041" s="65">
        <v>54327322</v>
      </c>
      <c r="R1041" s="65">
        <v>50591037</v>
      </c>
    </row>
    <row r="1042" spans="1:18" s="7" customFormat="1" ht="12.75" customHeight="1" x14ac:dyDescent="0.2">
      <c r="A1042" s="520">
        <f>A1040</f>
        <v>44652</v>
      </c>
      <c r="B1042" s="520">
        <f>B1040</f>
        <v>44742</v>
      </c>
      <c r="C1042" s="68" t="s">
        <v>36</v>
      </c>
      <c r="D1042" s="69">
        <v>9</v>
      </c>
      <c r="E1042" s="59">
        <v>19071.310000000001</v>
      </c>
      <c r="F1042" s="59">
        <v>0</v>
      </c>
      <c r="G1042" s="59"/>
      <c r="H1042" s="59">
        <v>6641.4</v>
      </c>
      <c r="I1042" s="59">
        <f>ROUND(           (  E1042+H1042) *0.003,2)</f>
        <v>77.14</v>
      </c>
      <c r="J1042" s="59">
        <v>2157.73</v>
      </c>
      <c r="K1042" s="59">
        <v>16918.52</v>
      </c>
      <c r="L1042" s="60">
        <v>19076.25</v>
      </c>
      <c r="M1042" s="33"/>
      <c r="N1042" s="59">
        <v>25892.71</v>
      </c>
      <c r="O1042" s="59">
        <v>19251.310000000001</v>
      </c>
      <c r="P1042" s="59">
        <v>0</v>
      </c>
      <c r="Q1042" s="59">
        <v>31515.68</v>
      </c>
      <c r="R1042" s="59">
        <v>29357.95</v>
      </c>
    </row>
    <row r="1043" spans="1:18" s="7" customFormat="1" ht="9" customHeight="1" x14ac:dyDescent="0.2">
      <c r="A1043" s="520"/>
      <c r="B1043" s="520"/>
      <c r="C1043" s="62" t="s">
        <v>37</v>
      </c>
      <c r="D1043" s="63">
        <v>14</v>
      </c>
      <c r="E1043" s="64">
        <v>36927205</v>
      </c>
      <c r="F1043" s="65">
        <v>0</v>
      </c>
      <c r="G1043" s="65"/>
      <c r="H1043" s="64">
        <v>12859544</v>
      </c>
      <c r="I1043" s="64"/>
      <c r="J1043" s="66">
        <v>4177948</v>
      </c>
      <c r="K1043" s="64">
        <v>32758823</v>
      </c>
      <c r="L1043" s="64">
        <v>36936771</v>
      </c>
      <c r="M1043" s="39"/>
      <c r="N1043" s="65">
        <v>50135278</v>
      </c>
      <c r="O1043" s="65">
        <v>37275734</v>
      </c>
      <c r="P1043" s="65">
        <v>0</v>
      </c>
      <c r="Q1043" s="65">
        <v>61022866</v>
      </c>
      <c r="R1043" s="65">
        <v>56844918</v>
      </c>
    </row>
    <row r="1044" spans="1:18" s="7" customFormat="1" ht="12.75" customHeight="1" x14ac:dyDescent="0.2">
      <c r="A1044" s="520"/>
      <c r="B1044" s="520"/>
      <c r="C1044" s="68" t="s">
        <v>36</v>
      </c>
      <c r="D1044" s="69">
        <v>15</v>
      </c>
      <c r="E1044" s="59">
        <v>21479.37</v>
      </c>
      <c r="F1044" s="59">
        <v>0</v>
      </c>
      <c r="G1044" s="59"/>
      <c r="H1044" s="59">
        <v>6641.4</v>
      </c>
      <c r="I1044" s="59">
        <f>ROUND(           (  E1044+H1044) *0.003,2)</f>
        <v>84.36</v>
      </c>
      <c r="J1044" s="59">
        <v>2359.8000000000002</v>
      </c>
      <c r="K1044" s="59">
        <v>17933.73</v>
      </c>
      <c r="L1044" s="60">
        <v>20293.53</v>
      </c>
      <c r="M1044" s="33"/>
      <c r="N1044" s="59">
        <v>28317.57</v>
      </c>
      <c r="O1044" s="59">
        <v>21676.17</v>
      </c>
      <c r="P1044" s="59">
        <v>0</v>
      </c>
      <c r="Q1044" s="59">
        <v>34579.08</v>
      </c>
      <c r="R1044" s="59">
        <v>32219.279999999999</v>
      </c>
    </row>
    <row r="1045" spans="1:18" s="7" customFormat="1" ht="9" customHeight="1" x14ac:dyDescent="0.2">
      <c r="A1045" s="520"/>
      <c r="B1045" s="520"/>
      <c r="C1045" s="62" t="s">
        <v>37</v>
      </c>
      <c r="D1045" s="63">
        <v>20</v>
      </c>
      <c r="E1045" s="64">
        <v>41589860</v>
      </c>
      <c r="F1045" s="65">
        <v>0</v>
      </c>
      <c r="G1045" s="65"/>
      <c r="H1045" s="64">
        <v>12859544</v>
      </c>
      <c r="I1045" s="64"/>
      <c r="J1045" s="66">
        <v>4569210</v>
      </c>
      <c r="K1045" s="64">
        <v>34724543</v>
      </c>
      <c r="L1045" s="64">
        <v>39293753</v>
      </c>
      <c r="M1045" s="39"/>
      <c r="N1045" s="65">
        <v>54830461</v>
      </c>
      <c r="O1045" s="65">
        <v>41970918</v>
      </c>
      <c r="P1045" s="65">
        <v>0</v>
      </c>
      <c r="Q1045" s="65">
        <v>66954435</v>
      </c>
      <c r="R1045" s="65">
        <v>62385225</v>
      </c>
    </row>
    <row r="1046" spans="1:18" s="7" customFormat="1" ht="12.75" customHeight="1" x14ac:dyDescent="0.2">
      <c r="A1046" s="520"/>
      <c r="B1046" s="520"/>
      <c r="C1046" s="68" t="s">
        <v>36</v>
      </c>
      <c r="D1046" s="69">
        <v>21</v>
      </c>
      <c r="E1046" s="59">
        <v>24049.46</v>
      </c>
      <c r="F1046" s="59">
        <v>0</v>
      </c>
      <c r="G1046" s="59"/>
      <c r="H1046" s="59">
        <v>6641.4</v>
      </c>
      <c r="I1046" s="59">
        <f>ROUND(           (  E1046+H1046) *0.003,2)</f>
        <v>92.07</v>
      </c>
      <c r="J1046" s="59">
        <v>2575.4699999999998</v>
      </c>
      <c r="K1046" s="59">
        <v>18921.79</v>
      </c>
      <c r="L1046" s="60">
        <v>21497.26</v>
      </c>
      <c r="M1046" s="33"/>
      <c r="N1046" s="59">
        <v>30905.66</v>
      </c>
      <c r="O1046" s="59">
        <v>24264.26</v>
      </c>
      <c r="P1046" s="59">
        <v>0</v>
      </c>
      <c r="Q1046" s="59">
        <v>37848.699999999997</v>
      </c>
      <c r="R1046" s="59">
        <v>35273.230000000003</v>
      </c>
    </row>
    <row r="1047" spans="1:18" s="7" customFormat="1" ht="9" customHeight="1" x14ac:dyDescent="0.2">
      <c r="A1047" s="520"/>
      <c r="B1047" s="520"/>
      <c r="C1047" s="62" t="s">
        <v>37</v>
      </c>
      <c r="D1047" s="63">
        <v>27</v>
      </c>
      <c r="E1047" s="64">
        <v>46566248</v>
      </c>
      <c r="F1047" s="65">
        <v>0</v>
      </c>
      <c r="G1047" s="65"/>
      <c r="H1047" s="64">
        <v>12859544</v>
      </c>
      <c r="I1047" s="64"/>
      <c r="J1047" s="66">
        <v>4986805</v>
      </c>
      <c r="K1047" s="64">
        <v>36637694</v>
      </c>
      <c r="L1047" s="64">
        <v>41624500</v>
      </c>
      <c r="M1047" s="39"/>
      <c r="N1047" s="65">
        <v>59841702</v>
      </c>
      <c r="O1047" s="65">
        <v>46982159</v>
      </c>
      <c r="P1047" s="65">
        <v>0</v>
      </c>
      <c r="Q1047" s="65">
        <v>73285302</v>
      </c>
      <c r="R1047" s="65">
        <v>68298497</v>
      </c>
    </row>
    <row r="1048" spans="1:18" s="7" customFormat="1" ht="12.75" customHeight="1" x14ac:dyDescent="0.2">
      <c r="A1048" s="520"/>
      <c r="B1048" s="520"/>
      <c r="C1048" s="68" t="s">
        <v>36</v>
      </c>
      <c r="D1048" s="69">
        <v>28</v>
      </c>
      <c r="E1048" s="59">
        <v>26700.13</v>
      </c>
      <c r="F1048" s="59">
        <v>0</v>
      </c>
      <c r="G1048" s="59"/>
      <c r="H1048" s="59">
        <v>6641.4</v>
      </c>
      <c r="I1048" s="59">
        <f>ROUND(           (  E1048+H1048) *0.003,2)</f>
        <v>100.02</v>
      </c>
      <c r="J1048" s="59">
        <v>2797.91</v>
      </c>
      <c r="K1048" s="59">
        <v>19673.080000000002</v>
      </c>
      <c r="L1048" s="60">
        <v>22470.99</v>
      </c>
      <c r="M1048" s="33"/>
      <c r="N1048" s="59">
        <v>33574.93</v>
      </c>
      <c r="O1048" s="59">
        <v>26933.53</v>
      </c>
      <c r="P1048" s="59">
        <v>0</v>
      </c>
      <c r="Q1048" s="59">
        <v>41220.879999999997</v>
      </c>
      <c r="R1048" s="59">
        <v>38422.97</v>
      </c>
    </row>
    <row r="1049" spans="1:18" s="7" customFormat="1" ht="9" customHeight="1" x14ac:dyDescent="0.2">
      <c r="A1049" s="520"/>
      <c r="B1049" s="520"/>
      <c r="C1049" s="62" t="s">
        <v>37</v>
      </c>
      <c r="D1049" s="63">
        <v>34</v>
      </c>
      <c r="E1049" s="64">
        <v>51698661</v>
      </c>
      <c r="F1049" s="65">
        <v>0</v>
      </c>
      <c r="G1049" s="65"/>
      <c r="H1049" s="64">
        <v>12859544</v>
      </c>
      <c r="I1049" s="64"/>
      <c r="J1049" s="66">
        <v>5417509</v>
      </c>
      <c r="K1049" s="64">
        <v>38092395</v>
      </c>
      <c r="L1049" s="64">
        <v>43509904</v>
      </c>
      <c r="M1049" s="39"/>
      <c r="N1049" s="65">
        <v>65010130</v>
      </c>
      <c r="O1049" s="65">
        <v>52150586</v>
      </c>
      <c r="P1049" s="65">
        <v>0</v>
      </c>
      <c r="Q1049" s="65">
        <v>79814753</v>
      </c>
      <c r="R1049" s="65">
        <v>74397244</v>
      </c>
    </row>
    <row r="1050" spans="1:18" s="7" customFormat="1" ht="12.75" customHeight="1" x14ac:dyDescent="0.2">
      <c r="A1050" s="520"/>
      <c r="B1050" s="520"/>
      <c r="C1050" s="68" t="s">
        <v>36</v>
      </c>
      <c r="D1050" s="69">
        <v>35</v>
      </c>
      <c r="E1050" s="59">
        <v>29268.95</v>
      </c>
      <c r="F1050" s="59">
        <v>0</v>
      </c>
      <c r="G1050" s="59"/>
      <c r="H1050" s="59">
        <v>6641.4</v>
      </c>
      <c r="I1050" s="59">
        <f>ROUND(           (  E1050+H1050) *0.003,2)</f>
        <v>107.73</v>
      </c>
      <c r="J1050" s="59">
        <v>3013.48</v>
      </c>
      <c r="K1050" s="59">
        <v>20206.89</v>
      </c>
      <c r="L1050" s="60">
        <v>23220.37</v>
      </c>
      <c r="M1050" s="33"/>
      <c r="N1050" s="59">
        <v>36161.75</v>
      </c>
      <c r="O1050" s="59">
        <v>29520.35</v>
      </c>
      <c r="P1050" s="59">
        <v>0</v>
      </c>
      <c r="Q1050" s="59">
        <v>44488.89</v>
      </c>
      <c r="R1050" s="59">
        <v>41475.410000000003</v>
      </c>
    </row>
    <row r="1051" spans="1:18" s="7" customFormat="1" ht="9" customHeight="1" x14ac:dyDescent="0.2">
      <c r="A1051" s="521"/>
      <c r="B1051" s="521"/>
      <c r="C1051" s="71" t="s">
        <v>37</v>
      </c>
      <c r="D1051" s="72"/>
      <c r="E1051" s="64">
        <v>56672590</v>
      </c>
      <c r="F1051" s="64">
        <v>0</v>
      </c>
      <c r="G1051" s="64"/>
      <c r="H1051" s="64">
        <v>12859544</v>
      </c>
      <c r="I1051" s="64"/>
      <c r="J1051" s="64">
        <v>5834911</v>
      </c>
      <c r="K1051" s="64">
        <v>39125995</v>
      </c>
      <c r="L1051" s="64">
        <v>44960906</v>
      </c>
      <c r="M1051" s="39"/>
      <c r="N1051" s="64">
        <v>70018912</v>
      </c>
      <c r="O1051" s="64">
        <v>57159368</v>
      </c>
      <c r="P1051" s="64">
        <v>0</v>
      </c>
      <c r="Q1051" s="64">
        <v>86142503</v>
      </c>
      <c r="R1051" s="64">
        <v>80307592</v>
      </c>
    </row>
    <row r="1052" spans="1:18" s="7" customFormat="1" ht="9" customHeight="1" x14ac:dyDescent="0.2">
      <c r="A1052" s="95"/>
      <c r="B1052" s="95"/>
      <c r="C1052" s="184"/>
      <c r="D1052" s="45"/>
      <c r="E1052" s="185"/>
      <c r="F1052" s="185"/>
      <c r="G1052" s="185"/>
      <c r="H1052" s="185"/>
      <c r="I1052" s="96"/>
      <c r="J1052" s="185"/>
      <c r="K1052" s="185"/>
      <c r="L1052" s="185"/>
      <c r="M1052" s="39"/>
      <c r="N1052" s="185"/>
      <c r="O1052" s="185"/>
      <c r="P1052" s="185"/>
      <c r="Q1052" s="185"/>
      <c r="R1052" s="185"/>
    </row>
    <row r="1053" spans="1:18" s="7" customFormat="1" ht="9" customHeight="1" x14ac:dyDescent="0.2">
      <c r="A1053" s="95"/>
      <c r="B1053" s="95"/>
      <c r="C1053" s="184"/>
      <c r="D1053" s="45"/>
      <c r="E1053" s="185"/>
      <c r="F1053" s="185"/>
      <c r="G1053" s="185"/>
      <c r="H1053" s="185"/>
      <c r="I1053" s="96"/>
      <c r="J1053" s="185"/>
      <c r="K1053" s="185"/>
      <c r="L1053" s="185"/>
      <c r="M1053" s="39"/>
      <c r="N1053" s="185"/>
      <c r="O1053" s="185"/>
      <c r="P1053" s="185"/>
      <c r="Q1053" s="185"/>
      <c r="R1053" s="185"/>
    </row>
    <row r="1054" spans="1:18" s="7" customFormat="1" ht="9" customHeight="1" x14ac:dyDescent="0.2">
      <c r="A1054" s="95"/>
      <c r="B1054" s="95"/>
      <c r="C1054" s="184"/>
      <c r="D1054" s="45"/>
      <c r="E1054" s="185"/>
      <c r="F1054" s="185"/>
      <c r="G1054" s="185"/>
      <c r="H1054" s="185"/>
      <c r="I1054" s="96"/>
      <c r="J1054" s="185"/>
      <c r="K1054" s="185"/>
      <c r="L1054" s="185"/>
      <c r="M1054" s="39"/>
      <c r="N1054" s="185"/>
      <c r="O1054" s="185"/>
      <c r="P1054" s="185"/>
      <c r="Q1054" s="185"/>
      <c r="R1054" s="185"/>
    </row>
    <row r="1055" spans="1:18" s="7" customFormat="1" ht="9" customHeight="1" x14ac:dyDescent="0.2">
      <c r="A1055" s="95"/>
      <c r="B1055" s="95"/>
      <c r="C1055" s="184"/>
      <c r="D1055" s="45"/>
      <c r="E1055" s="185"/>
      <c r="F1055" s="185"/>
      <c r="G1055" s="185"/>
      <c r="H1055" s="185"/>
      <c r="I1055" s="96"/>
      <c r="J1055" s="185"/>
      <c r="K1055" s="185"/>
      <c r="L1055" s="185"/>
      <c r="M1055" s="39"/>
      <c r="N1055" s="185"/>
      <c r="O1055" s="185"/>
      <c r="P1055" s="185"/>
      <c r="Q1055" s="185"/>
      <c r="R1055" s="185"/>
    </row>
    <row r="1056" spans="1:18" s="7" customFormat="1" ht="9" customHeight="1" x14ac:dyDescent="0.2">
      <c r="A1056" s="95"/>
      <c r="B1056" s="95"/>
      <c r="C1056" s="184"/>
      <c r="D1056" s="45"/>
      <c r="E1056" s="185"/>
      <c r="F1056" s="185"/>
      <c r="G1056" s="185"/>
      <c r="H1056" s="185"/>
      <c r="I1056" s="96"/>
      <c r="J1056" s="185"/>
      <c r="K1056" s="185"/>
      <c r="L1056" s="185"/>
      <c r="M1056" s="39"/>
      <c r="N1056" s="185"/>
      <c r="O1056" s="185"/>
      <c r="P1056" s="185"/>
      <c r="Q1056" s="185"/>
      <c r="R1056" s="185"/>
    </row>
    <row r="1057" spans="1:18" s="7" customFormat="1" ht="9" customHeight="1" x14ac:dyDescent="0.2">
      <c r="A1057" s="95"/>
      <c r="B1057" s="95"/>
      <c r="C1057" s="184"/>
      <c r="D1057" s="45"/>
      <c r="E1057" s="185"/>
      <c r="F1057" s="185"/>
      <c r="G1057" s="185"/>
      <c r="H1057" s="185"/>
      <c r="I1057" s="96"/>
      <c r="J1057" s="185"/>
      <c r="K1057" s="185"/>
      <c r="L1057" s="185"/>
      <c r="M1057" s="39"/>
      <c r="N1057" s="185"/>
      <c r="O1057" s="185"/>
      <c r="P1057" s="185"/>
      <c r="Q1057" s="185"/>
      <c r="R1057" s="185"/>
    </row>
    <row r="1058" spans="1:18" s="7" customFormat="1" ht="9" customHeight="1" x14ac:dyDescent="0.2">
      <c r="A1058" s="95"/>
      <c r="B1058" s="95"/>
      <c r="C1058" s="184"/>
      <c r="D1058" s="45"/>
      <c r="E1058" s="185"/>
      <c r="F1058" s="185"/>
      <c r="G1058" s="185"/>
      <c r="H1058" s="185"/>
      <c r="I1058" s="96"/>
      <c r="J1058" s="185"/>
      <c r="K1058" s="185"/>
      <c r="L1058" s="185"/>
      <c r="M1058" s="39"/>
      <c r="N1058" s="185"/>
      <c r="O1058" s="185"/>
      <c r="P1058" s="185"/>
      <c r="Q1058" s="185"/>
      <c r="R1058" s="185"/>
    </row>
    <row r="1059" spans="1:18" s="7" customFormat="1" ht="9" customHeight="1" x14ac:dyDescent="0.2">
      <c r="A1059" s="95"/>
      <c r="B1059" s="95"/>
      <c r="C1059" s="184"/>
      <c r="D1059" s="45"/>
      <c r="E1059" s="185"/>
      <c r="F1059" s="185"/>
      <c r="G1059" s="185"/>
      <c r="H1059" s="185"/>
      <c r="I1059" s="96"/>
      <c r="J1059" s="185"/>
      <c r="K1059" s="185"/>
      <c r="L1059" s="185"/>
      <c r="M1059" s="39"/>
      <c r="N1059" s="185"/>
      <c r="O1059" s="185"/>
      <c r="P1059" s="185"/>
      <c r="Q1059" s="185"/>
      <c r="R1059" s="185"/>
    </row>
    <row r="1060" spans="1:18" s="7" customFormat="1" ht="12.75" customHeight="1" x14ac:dyDescent="0.2">
      <c r="A1060" s="522">
        <v>44743</v>
      </c>
      <c r="B1060" s="522">
        <v>45291</v>
      </c>
      <c r="C1060" s="57" t="s">
        <v>36</v>
      </c>
      <c r="D1060" s="58">
        <v>0</v>
      </c>
      <c r="E1060" s="59">
        <v>16353.22</v>
      </c>
      <c r="F1060" s="59">
        <v>0</v>
      </c>
      <c r="G1060" s="59"/>
      <c r="H1060" s="59">
        <v>6641.4</v>
      </c>
      <c r="I1060" s="59">
        <f>ROUND(           (  E1060+H1060) *0.005,2)</f>
        <v>114.97</v>
      </c>
      <c r="J1060" s="59">
        <v>1929.63</v>
      </c>
      <c r="K1060" s="59">
        <v>23155.54</v>
      </c>
      <c r="L1060" s="60">
        <v>25085.17</v>
      </c>
      <c r="M1060" s="33"/>
      <c r="N1060" s="59">
        <v>23155.54</v>
      </c>
      <c r="O1060" s="59">
        <v>16514.14</v>
      </c>
      <c r="P1060" s="59">
        <v>0</v>
      </c>
      <c r="Q1060" s="59">
        <v>28057.72</v>
      </c>
      <c r="R1060" s="59">
        <v>26128.09</v>
      </c>
    </row>
    <row r="1061" spans="1:18" s="7" customFormat="1" ht="9" customHeight="1" x14ac:dyDescent="0.2">
      <c r="A1061" s="523"/>
      <c r="B1061" s="523"/>
      <c r="C1061" s="62" t="s">
        <v>37</v>
      </c>
      <c r="D1061" s="63">
        <v>8</v>
      </c>
      <c r="E1061" s="64">
        <v>31664249</v>
      </c>
      <c r="F1061" s="65">
        <v>0</v>
      </c>
      <c r="G1061" s="65"/>
      <c r="H1061" s="64">
        <v>12859544</v>
      </c>
      <c r="I1061" s="64"/>
      <c r="J1061" s="66">
        <v>3736285</v>
      </c>
      <c r="K1061" s="66">
        <v>44835377</v>
      </c>
      <c r="L1061" s="64">
        <v>48571662</v>
      </c>
      <c r="M1061" s="39"/>
      <c r="N1061" s="65">
        <v>44835377</v>
      </c>
      <c r="O1061" s="65">
        <v>31975834</v>
      </c>
      <c r="P1061" s="65">
        <v>0</v>
      </c>
      <c r="Q1061" s="65">
        <v>54327322</v>
      </c>
      <c r="R1061" s="65">
        <v>50591037</v>
      </c>
    </row>
    <row r="1062" spans="1:18" s="7" customFormat="1" ht="12.75" customHeight="1" x14ac:dyDescent="0.2">
      <c r="A1062" s="520">
        <f>A1060</f>
        <v>44743</v>
      </c>
      <c r="B1062" s="520">
        <f>B1060</f>
        <v>45291</v>
      </c>
      <c r="C1062" s="68" t="s">
        <v>36</v>
      </c>
      <c r="D1062" s="69">
        <v>9</v>
      </c>
      <c r="E1062" s="59">
        <v>19071.310000000001</v>
      </c>
      <c r="F1062" s="59">
        <v>0</v>
      </c>
      <c r="G1062" s="59"/>
      <c r="H1062" s="59">
        <v>6641.4</v>
      </c>
      <c r="I1062" s="59">
        <f>ROUND(           (  E1062+H1062) *0.005,2)</f>
        <v>128.56</v>
      </c>
      <c r="J1062" s="59">
        <v>2157.73</v>
      </c>
      <c r="K1062" s="59">
        <v>16918.52</v>
      </c>
      <c r="L1062" s="60">
        <v>19076.25</v>
      </c>
      <c r="M1062" s="33"/>
      <c r="N1062" s="59">
        <v>25892.71</v>
      </c>
      <c r="O1062" s="59">
        <v>19251.310000000001</v>
      </c>
      <c r="P1062" s="59">
        <v>0</v>
      </c>
      <c r="Q1062" s="59">
        <v>31515.68</v>
      </c>
      <c r="R1062" s="59">
        <v>29357.95</v>
      </c>
    </row>
    <row r="1063" spans="1:18" s="7" customFormat="1" ht="9" customHeight="1" x14ac:dyDescent="0.2">
      <c r="A1063" s="520"/>
      <c r="B1063" s="520"/>
      <c r="C1063" s="62" t="s">
        <v>37</v>
      </c>
      <c r="D1063" s="63">
        <v>14</v>
      </c>
      <c r="E1063" s="64">
        <v>36927205</v>
      </c>
      <c r="F1063" s="65">
        <v>0</v>
      </c>
      <c r="G1063" s="65"/>
      <c r="H1063" s="64">
        <v>12859544</v>
      </c>
      <c r="I1063" s="64"/>
      <c r="J1063" s="66">
        <v>4177948</v>
      </c>
      <c r="K1063" s="64">
        <v>32758823</v>
      </c>
      <c r="L1063" s="64">
        <v>36936771</v>
      </c>
      <c r="M1063" s="39"/>
      <c r="N1063" s="65">
        <v>50135278</v>
      </c>
      <c r="O1063" s="65">
        <v>37275734</v>
      </c>
      <c r="P1063" s="65">
        <v>0</v>
      </c>
      <c r="Q1063" s="65">
        <v>61022866</v>
      </c>
      <c r="R1063" s="65">
        <v>56844918</v>
      </c>
    </row>
    <row r="1064" spans="1:18" s="7" customFormat="1" ht="12.75" customHeight="1" x14ac:dyDescent="0.2">
      <c r="A1064" s="520"/>
      <c r="B1064" s="520"/>
      <c r="C1064" s="68" t="s">
        <v>36</v>
      </c>
      <c r="D1064" s="69">
        <v>15</v>
      </c>
      <c r="E1064" s="59">
        <v>21479.37</v>
      </c>
      <c r="F1064" s="59">
        <v>0</v>
      </c>
      <c r="G1064" s="59"/>
      <c r="H1064" s="59">
        <v>6641.4</v>
      </c>
      <c r="I1064" s="59">
        <f>ROUND(           (  E1064+H1064) *0.005,2)</f>
        <v>140.6</v>
      </c>
      <c r="J1064" s="59">
        <v>2359.8000000000002</v>
      </c>
      <c r="K1064" s="59">
        <v>17933.73</v>
      </c>
      <c r="L1064" s="60">
        <v>20293.53</v>
      </c>
      <c r="M1064" s="33"/>
      <c r="N1064" s="59">
        <v>28317.57</v>
      </c>
      <c r="O1064" s="59">
        <v>21676.17</v>
      </c>
      <c r="P1064" s="59">
        <v>0</v>
      </c>
      <c r="Q1064" s="59">
        <v>34579.08</v>
      </c>
      <c r="R1064" s="59">
        <v>32219.279999999999</v>
      </c>
    </row>
    <row r="1065" spans="1:18" s="7" customFormat="1" ht="9" customHeight="1" x14ac:dyDescent="0.2">
      <c r="A1065" s="520"/>
      <c r="B1065" s="520"/>
      <c r="C1065" s="62" t="s">
        <v>37</v>
      </c>
      <c r="D1065" s="63">
        <v>20</v>
      </c>
      <c r="E1065" s="64">
        <v>41589860</v>
      </c>
      <c r="F1065" s="65">
        <v>0</v>
      </c>
      <c r="G1065" s="65"/>
      <c r="H1065" s="64">
        <v>12859544</v>
      </c>
      <c r="I1065" s="64"/>
      <c r="J1065" s="66">
        <v>4569210</v>
      </c>
      <c r="K1065" s="64">
        <v>34724543</v>
      </c>
      <c r="L1065" s="64">
        <v>39293753</v>
      </c>
      <c r="M1065" s="39"/>
      <c r="N1065" s="65">
        <v>54830461</v>
      </c>
      <c r="O1065" s="65">
        <v>41970918</v>
      </c>
      <c r="P1065" s="65">
        <v>0</v>
      </c>
      <c r="Q1065" s="65">
        <v>66954435</v>
      </c>
      <c r="R1065" s="65">
        <v>62385225</v>
      </c>
    </row>
    <row r="1066" spans="1:18" s="7" customFormat="1" ht="12.75" customHeight="1" x14ac:dyDescent="0.2">
      <c r="A1066" s="520"/>
      <c r="B1066" s="520"/>
      <c r="C1066" s="68" t="s">
        <v>36</v>
      </c>
      <c r="D1066" s="69">
        <v>21</v>
      </c>
      <c r="E1066" s="59">
        <v>24049.46</v>
      </c>
      <c r="F1066" s="59">
        <v>0</v>
      </c>
      <c r="G1066" s="59"/>
      <c r="H1066" s="59">
        <v>6641.4</v>
      </c>
      <c r="I1066" s="59">
        <f>ROUND(           (  E1066+H1066) *0.005,2)</f>
        <v>153.44999999999999</v>
      </c>
      <c r="J1066" s="59">
        <v>2575.4699999999998</v>
      </c>
      <c r="K1066" s="59">
        <v>18921.79</v>
      </c>
      <c r="L1066" s="60">
        <v>21497.26</v>
      </c>
      <c r="M1066" s="33"/>
      <c r="N1066" s="59">
        <v>30905.66</v>
      </c>
      <c r="O1066" s="59">
        <v>24264.26</v>
      </c>
      <c r="P1066" s="59">
        <v>0</v>
      </c>
      <c r="Q1066" s="59">
        <v>37848.699999999997</v>
      </c>
      <c r="R1066" s="59">
        <v>35273.230000000003</v>
      </c>
    </row>
    <row r="1067" spans="1:18" s="7" customFormat="1" ht="9" customHeight="1" x14ac:dyDescent="0.2">
      <c r="A1067" s="520"/>
      <c r="B1067" s="520"/>
      <c r="C1067" s="62" t="s">
        <v>37</v>
      </c>
      <c r="D1067" s="63">
        <v>27</v>
      </c>
      <c r="E1067" s="64">
        <v>46566248</v>
      </c>
      <c r="F1067" s="65">
        <v>0</v>
      </c>
      <c r="G1067" s="65"/>
      <c r="H1067" s="64">
        <v>12859544</v>
      </c>
      <c r="I1067" s="64"/>
      <c r="J1067" s="66">
        <v>4986805</v>
      </c>
      <c r="K1067" s="64">
        <v>36637694</v>
      </c>
      <c r="L1067" s="64">
        <v>41624500</v>
      </c>
      <c r="M1067" s="39"/>
      <c r="N1067" s="65">
        <v>59841702</v>
      </c>
      <c r="O1067" s="65">
        <v>46982159</v>
      </c>
      <c r="P1067" s="65">
        <v>0</v>
      </c>
      <c r="Q1067" s="65">
        <v>73285302</v>
      </c>
      <c r="R1067" s="65">
        <v>68298497</v>
      </c>
    </row>
    <row r="1068" spans="1:18" s="7" customFormat="1" ht="12.75" customHeight="1" x14ac:dyDescent="0.2">
      <c r="A1068" s="520"/>
      <c r="B1068" s="520"/>
      <c r="C1068" s="68" t="s">
        <v>36</v>
      </c>
      <c r="D1068" s="69">
        <v>28</v>
      </c>
      <c r="E1068" s="59">
        <v>26700.13</v>
      </c>
      <c r="F1068" s="59">
        <v>0</v>
      </c>
      <c r="G1068" s="59"/>
      <c r="H1068" s="59">
        <v>6641.4</v>
      </c>
      <c r="I1068" s="59">
        <f>ROUND(           (  E1068+H1068) *0.005,2)</f>
        <v>166.71</v>
      </c>
      <c r="J1068" s="59">
        <v>2797.91</v>
      </c>
      <c r="K1068" s="59">
        <v>19673.080000000002</v>
      </c>
      <c r="L1068" s="60">
        <v>22470.99</v>
      </c>
      <c r="M1068" s="33"/>
      <c r="N1068" s="59">
        <v>33574.93</v>
      </c>
      <c r="O1068" s="59">
        <v>26933.53</v>
      </c>
      <c r="P1068" s="59">
        <v>0</v>
      </c>
      <c r="Q1068" s="59">
        <v>41220.879999999997</v>
      </c>
      <c r="R1068" s="59">
        <v>38422.97</v>
      </c>
    </row>
    <row r="1069" spans="1:18" s="7" customFormat="1" ht="9" customHeight="1" x14ac:dyDescent="0.2">
      <c r="A1069" s="520"/>
      <c r="B1069" s="520"/>
      <c r="C1069" s="62" t="s">
        <v>37</v>
      </c>
      <c r="D1069" s="63">
        <v>34</v>
      </c>
      <c r="E1069" s="64">
        <v>51698661</v>
      </c>
      <c r="F1069" s="65">
        <v>0</v>
      </c>
      <c r="G1069" s="65"/>
      <c r="H1069" s="64">
        <v>12859544</v>
      </c>
      <c r="I1069" s="64"/>
      <c r="J1069" s="66">
        <v>5417509</v>
      </c>
      <c r="K1069" s="64">
        <v>38092395</v>
      </c>
      <c r="L1069" s="64">
        <v>43509904</v>
      </c>
      <c r="M1069" s="39"/>
      <c r="N1069" s="65">
        <v>65010130</v>
      </c>
      <c r="O1069" s="65">
        <v>52150586</v>
      </c>
      <c r="P1069" s="65">
        <v>0</v>
      </c>
      <c r="Q1069" s="65">
        <v>79814753</v>
      </c>
      <c r="R1069" s="65">
        <v>74397244</v>
      </c>
    </row>
    <row r="1070" spans="1:18" s="7" customFormat="1" ht="12.75" customHeight="1" x14ac:dyDescent="0.2">
      <c r="A1070" s="520"/>
      <c r="B1070" s="520"/>
      <c r="C1070" s="68" t="s">
        <v>36</v>
      </c>
      <c r="D1070" s="69">
        <v>35</v>
      </c>
      <c r="E1070" s="59">
        <v>29268.95</v>
      </c>
      <c r="F1070" s="59">
        <v>0</v>
      </c>
      <c r="G1070" s="59"/>
      <c r="H1070" s="59">
        <v>6641.4</v>
      </c>
      <c r="I1070" s="59">
        <f>ROUND(           (  E1070+H1070) *0.005,2)</f>
        <v>179.55</v>
      </c>
      <c r="J1070" s="59">
        <v>3013.48</v>
      </c>
      <c r="K1070" s="59">
        <v>20206.89</v>
      </c>
      <c r="L1070" s="60">
        <v>23220.37</v>
      </c>
      <c r="M1070" s="33"/>
      <c r="N1070" s="59">
        <v>36161.75</v>
      </c>
      <c r="O1070" s="59">
        <v>29520.35</v>
      </c>
      <c r="P1070" s="59">
        <v>0</v>
      </c>
      <c r="Q1070" s="59">
        <v>44488.89</v>
      </c>
      <c r="R1070" s="59">
        <v>41475.410000000003</v>
      </c>
    </row>
    <row r="1071" spans="1:18" s="7" customFormat="1" ht="9" customHeight="1" x14ac:dyDescent="0.2">
      <c r="A1071" s="521"/>
      <c r="B1071" s="521"/>
      <c r="C1071" s="71" t="s">
        <v>37</v>
      </c>
      <c r="D1071" s="72"/>
      <c r="E1071" s="64">
        <v>56672590</v>
      </c>
      <c r="F1071" s="64">
        <v>0</v>
      </c>
      <c r="G1071" s="64"/>
      <c r="H1071" s="64">
        <v>12859544</v>
      </c>
      <c r="I1071" s="64"/>
      <c r="J1071" s="64">
        <v>5834911</v>
      </c>
      <c r="K1071" s="64">
        <v>39125995</v>
      </c>
      <c r="L1071" s="64">
        <v>44960906</v>
      </c>
      <c r="M1071" s="39"/>
      <c r="N1071" s="64">
        <v>70018912</v>
      </c>
      <c r="O1071" s="64">
        <v>57159368</v>
      </c>
      <c r="P1071" s="64">
        <v>0</v>
      </c>
      <c r="Q1071" s="64">
        <v>86142503</v>
      </c>
      <c r="R1071" s="64">
        <v>80307592</v>
      </c>
    </row>
    <row r="1072" spans="1:18" s="7" customFormat="1" ht="9" customHeight="1" x14ac:dyDescent="0.2">
      <c r="A1072" s="73"/>
      <c r="B1072" s="73"/>
      <c r="C1072" s="184"/>
      <c r="D1072" s="45"/>
      <c r="E1072" s="185"/>
      <c r="F1072" s="185"/>
      <c r="G1072" s="185"/>
      <c r="H1072" s="185"/>
      <c r="I1072" s="185"/>
      <c r="J1072" s="185"/>
      <c r="K1072" s="185"/>
      <c r="L1072" s="185"/>
      <c r="M1072" s="39"/>
      <c r="N1072" s="185"/>
      <c r="O1072" s="185"/>
      <c r="P1072" s="185"/>
      <c r="Q1072" s="185"/>
      <c r="R1072" s="185"/>
    </row>
    <row r="1073" spans="1:18" s="7" customFormat="1" ht="9" customHeight="1" x14ac:dyDescent="0.2">
      <c r="A1073" s="73"/>
      <c r="B1073" s="73"/>
      <c r="C1073" s="184"/>
      <c r="D1073" s="45"/>
      <c r="E1073" s="185"/>
      <c r="F1073" s="185"/>
      <c r="G1073" s="185"/>
      <c r="H1073" s="185"/>
      <c r="I1073" s="185"/>
      <c r="J1073" s="185"/>
      <c r="K1073" s="185"/>
      <c r="L1073" s="185"/>
      <c r="M1073" s="39"/>
      <c r="N1073" s="185"/>
      <c r="O1073" s="185"/>
      <c r="P1073" s="185"/>
      <c r="Q1073" s="185"/>
      <c r="R1073" s="185"/>
    </row>
    <row r="1074" spans="1:18" s="7" customFormat="1" ht="9" customHeight="1" x14ac:dyDescent="0.2">
      <c r="A1074" s="73"/>
      <c r="B1074" s="73"/>
      <c r="C1074" s="184"/>
      <c r="D1074" s="45"/>
      <c r="E1074" s="185"/>
      <c r="F1074" s="185"/>
      <c r="G1074" s="185"/>
      <c r="H1074" s="185"/>
      <c r="I1074" s="185"/>
      <c r="J1074" s="185"/>
      <c r="K1074" s="185"/>
      <c r="L1074" s="185"/>
      <c r="M1074" s="39"/>
      <c r="N1074" s="185"/>
      <c r="O1074" s="185"/>
      <c r="P1074" s="185"/>
      <c r="Q1074" s="185"/>
      <c r="R1074" s="185"/>
    </row>
    <row r="1075" spans="1:18" s="7" customFormat="1" ht="9" customHeight="1" x14ac:dyDescent="0.2">
      <c r="A1075" s="73"/>
      <c r="B1075" s="73"/>
      <c r="C1075" s="184"/>
      <c r="D1075" s="45"/>
      <c r="E1075" s="185"/>
      <c r="F1075" s="185"/>
      <c r="G1075" s="185"/>
      <c r="H1075" s="185"/>
      <c r="I1075" s="185"/>
      <c r="J1075" s="185"/>
      <c r="K1075" s="185"/>
      <c r="L1075" s="185"/>
      <c r="M1075" s="39"/>
      <c r="N1075" s="185"/>
      <c r="O1075" s="185"/>
      <c r="P1075" s="185"/>
      <c r="Q1075" s="185"/>
      <c r="R1075" s="185"/>
    </row>
    <row r="1076" spans="1:18" s="7" customFormat="1" ht="9" customHeight="1" x14ac:dyDescent="0.2">
      <c r="A1076" s="73"/>
      <c r="B1076" s="73"/>
      <c r="C1076" s="184"/>
      <c r="D1076" s="45"/>
      <c r="E1076" s="185"/>
      <c r="F1076" s="185"/>
      <c r="G1076" s="185"/>
      <c r="H1076" s="185"/>
      <c r="I1076" s="185"/>
      <c r="J1076" s="185"/>
      <c r="K1076" s="185"/>
      <c r="L1076" s="185"/>
      <c r="M1076" s="39"/>
      <c r="N1076" s="185"/>
      <c r="O1076" s="185"/>
      <c r="P1076" s="185"/>
      <c r="Q1076" s="185"/>
      <c r="R1076" s="185"/>
    </row>
    <row r="1077" spans="1:18" s="7" customFormat="1" ht="9" customHeight="1" x14ac:dyDescent="0.2">
      <c r="A1077" s="73"/>
      <c r="B1077" s="73"/>
      <c r="C1077" s="184"/>
      <c r="D1077" s="45"/>
      <c r="E1077" s="185"/>
      <c r="F1077" s="185"/>
      <c r="G1077" s="185"/>
      <c r="H1077" s="185"/>
      <c r="I1077" s="185"/>
      <c r="J1077" s="185"/>
      <c r="K1077" s="185"/>
      <c r="L1077" s="185"/>
      <c r="M1077" s="39"/>
      <c r="N1077" s="185"/>
      <c r="O1077" s="185"/>
      <c r="P1077" s="185"/>
      <c r="Q1077" s="185"/>
      <c r="R1077" s="185"/>
    </row>
    <row r="1078" spans="1:18" s="7" customFormat="1" ht="9" customHeight="1" x14ac:dyDescent="0.2">
      <c r="A1078" s="73"/>
      <c r="B1078" s="73"/>
      <c r="C1078" s="184"/>
      <c r="D1078" s="45"/>
      <c r="E1078" s="185"/>
      <c r="F1078" s="185"/>
      <c r="G1078" s="185"/>
      <c r="H1078" s="185"/>
      <c r="I1078" s="185"/>
      <c r="J1078" s="185"/>
      <c r="K1078" s="185"/>
      <c r="L1078" s="185"/>
      <c r="M1078" s="39"/>
      <c r="N1078" s="185"/>
      <c r="O1078" s="185"/>
      <c r="P1078" s="185"/>
      <c r="Q1078" s="185"/>
      <c r="R1078" s="185"/>
    </row>
    <row r="1079" spans="1:18" s="7" customFormat="1" ht="9" customHeight="1" x14ac:dyDescent="0.2">
      <c r="A1079" s="73"/>
      <c r="B1079" s="73"/>
      <c r="C1079" s="184"/>
      <c r="D1079" s="45"/>
      <c r="E1079" s="185"/>
      <c r="F1079" s="185"/>
      <c r="G1079" s="185"/>
      <c r="H1079" s="185"/>
      <c r="I1079" s="185"/>
      <c r="J1079" s="185"/>
      <c r="K1079" s="185"/>
      <c r="L1079" s="185"/>
      <c r="M1079" s="39"/>
      <c r="N1079" s="185"/>
      <c r="O1079" s="185"/>
      <c r="P1079" s="185"/>
      <c r="Q1079" s="185"/>
      <c r="R1079" s="185"/>
    </row>
    <row r="1080" spans="1:18" s="7" customFormat="1" ht="12.75" customHeight="1" x14ac:dyDescent="0.2">
      <c r="A1080" s="56">
        <v>45292</v>
      </c>
      <c r="B1080" s="56">
        <v>45657</v>
      </c>
      <c r="C1080" s="57" t="s">
        <v>36</v>
      </c>
      <c r="D1080" s="58">
        <v>0</v>
      </c>
      <c r="E1080" s="59">
        <v>16353.22</v>
      </c>
      <c r="F1080" s="59">
        <v>0</v>
      </c>
      <c r="G1080" s="59"/>
      <c r="H1080" s="59">
        <v>6641.4</v>
      </c>
      <c r="I1080" s="59"/>
      <c r="J1080" s="59">
        <v>1929.63</v>
      </c>
      <c r="K1080" s="59">
        <v>23155.54</v>
      </c>
      <c r="L1080" s="60">
        <v>25085.17</v>
      </c>
      <c r="M1080" s="33"/>
      <c r="N1080" s="59">
        <v>23155.54</v>
      </c>
      <c r="O1080" s="59">
        <v>16514.14</v>
      </c>
      <c r="P1080" s="59">
        <v>0</v>
      </c>
      <c r="Q1080" s="59">
        <v>28057.72</v>
      </c>
      <c r="R1080" s="59">
        <v>26128.09</v>
      </c>
    </row>
    <row r="1081" spans="1:18" s="7" customFormat="1" ht="9" customHeight="1" x14ac:dyDescent="0.2">
      <c r="A1081" s="61"/>
      <c r="B1081" s="61"/>
      <c r="C1081" s="62" t="s">
        <v>37</v>
      </c>
      <c r="D1081" s="63">
        <v>8</v>
      </c>
      <c r="E1081" s="64">
        <v>31664249</v>
      </c>
      <c r="F1081" s="65">
        <v>0</v>
      </c>
      <c r="G1081" s="65"/>
      <c r="H1081" s="64">
        <v>12859544</v>
      </c>
      <c r="I1081" s="64"/>
      <c r="J1081" s="66">
        <v>3736285</v>
      </c>
      <c r="K1081" s="66">
        <v>44835377</v>
      </c>
      <c r="L1081" s="64">
        <v>48571662</v>
      </c>
      <c r="M1081" s="39"/>
      <c r="N1081" s="65">
        <v>44835377</v>
      </c>
      <c r="O1081" s="65">
        <v>31975834</v>
      </c>
      <c r="P1081" s="65">
        <v>0</v>
      </c>
      <c r="Q1081" s="65">
        <v>54327322</v>
      </c>
      <c r="R1081" s="65">
        <v>50591037</v>
      </c>
    </row>
    <row r="1082" spans="1:18" s="7" customFormat="1" ht="12.75" customHeight="1" x14ac:dyDescent="0.2">
      <c r="A1082" s="73">
        <f>A1080</f>
        <v>45292</v>
      </c>
      <c r="B1082" s="73">
        <f>B1080</f>
        <v>45657</v>
      </c>
      <c r="C1082" s="68" t="s">
        <v>36</v>
      </c>
      <c r="D1082" s="69">
        <v>9</v>
      </c>
      <c r="E1082" s="59">
        <v>19071.310000000001</v>
      </c>
      <c r="F1082" s="59">
        <v>0</v>
      </c>
      <c r="G1082" s="59"/>
      <c r="H1082" s="59">
        <v>6641.4</v>
      </c>
      <c r="I1082" s="59"/>
      <c r="J1082" s="59">
        <v>2157.73</v>
      </c>
      <c r="K1082" s="59">
        <v>16918.52</v>
      </c>
      <c r="L1082" s="60">
        <v>19076.25</v>
      </c>
      <c r="M1082" s="33"/>
      <c r="N1082" s="59">
        <v>25892.71</v>
      </c>
      <c r="O1082" s="59">
        <v>19251.310000000001</v>
      </c>
      <c r="P1082" s="59">
        <v>0</v>
      </c>
      <c r="Q1082" s="59">
        <v>31515.68</v>
      </c>
      <c r="R1082" s="59">
        <v>29357.95</v>
      </c>
    </row>
    <row r="1083" spans="1:18" s="7" customFormat="1" ht="9" customHeight="1" x14ac:dyDescent="0.2">
      <c r="A1083" s="73"/>
      <c r="B1083" s="73"/>
      <c r="C1083" s="62" t="s">
        <v>37</v>
      </c>
      <c r="D1083" s="63">
        <v>14</v>
      </c>
      <c r="E1083" s="64">
        <v>36927205</v>
      </c>
      <c r="F1083" s="65">
        <v>0</v>
      </c>
      <c r="G1083" s="65"/>
      <c r="H1083" s="64">
        <v>12859544</v>
      </c>
      <c r="I1083" s="64"/>
      <c r="J1083" s="66">
        <v>4177948</v>
      </c>
      <c r="K1083" s="64">
        <v>32758823</v>
      </c>
      <c r="L1083" s="64">
        <v>36936771</v>
      </c>
      <c r="M1083" s="39"/>
      <c r="N1083" s="65">
        <v>50135278</v>
      </c>
      <c r="O1083" s="65">
        <v>37275734</v>
      </c>
      <c r="P1083" s="65">
        <v>0</v>
      </c>
      <c r="Q1083" s="65">
        <v>61022866</v>
      </c>
      <c r="R1083" s="65">
        <v>56844918</v>
      </c>
    </row>
    <row r="1084" spans="1:18" s="7" customFormat="1" ht="12.75" customHeight="1" x14ac:dyDescent="0.2">
      <c r="A1084" s="73"/>
      <c r="B1084" s="73"/>
      <c r="C1084" s="68" t="s">
        <v>36</v>
      </c>
      <c r="D1084" s="69">
        <v>15</v>
      </c>
      <c r="E1084" s="59">
        <v>21479.37</v>
      </c>
      <c r="F1084" s="59">
        <v>0</v>
      </c>
      <c r="G1084" s="59"/>
      <c r="H1084" s="59">
        <v>6641.4</v>
      </c>
      <c r="I1084" s="59"/>
      <c r="J1084" s="59">
        <v>2359.8000000000002</v>
      </c>
      <c r="K1084" s="59">
        <v>17933.73</v>
      </c>
      <c r="L1084" s="60">
        <v>20293.53</v>
      </c>
      <c r="M1084" s="33"/>
      <c r="N1084" s="59">
        <v>28317.57</v>
      </c>
      <c r="O1084" s="59">
        <v>21676.17</v>
      </c>
      <c r="P1084" s="59">
        <v>0</v>
      </c>
      <c r="Q1084" s="59">
        <v>34579.08</v>
      </c>
      <c r="R1084" s="59">
        <v>32219.279999999999</v>
      </c>
    </row>
    <row r="1085" spans="1:18" s="7" customFormat="1" ht="9" customHeight="1" x14ac:dyDescent="0.2">
      <c r="A1085" s="73"/>
      <c r="B1085" s="73"/>
      <c r="C1085" s="62" t="s">
        <v>37</v>
      </c>
      <c r="D1085" s="63">
        <v>20</v>
      </c>
      <c r="E1085" s="64">
        <v>41589860</v>
      </c>
      <c r="F1085" s="65">
        <v>0</v>
      </c>
      <c r="G1085" s="65"/>
      <c r="H1085" s="64">
        <v>12859544</v>
      </c>
      <c r="I1085" s="64"/>
      <c r="J1085" s="66">
        <v>4569210</v>
      </c>
      <c r="K1085" s="64">
        <v>34724543</v>
      </c>
      <c r="L1085" s="64">
        <v>39293753</v>
      </c>
      <c r="M1085" s="39"/>
      <c r="N1085" s="65">
        <v>54830461</v>
      </c>
      <c r="O1085" s="65">
        <v>41970918</v>
      </c>
      <c r="P1085" s="65">
        <v>0</v>
      </c>
      <c r="Q1085" s="65">
        <v>66954435</v>
      </c>
      <c r="R1085" s="65">
        <v>62385225</v>
      </c>
    </row>
    <row r="1086" spans="1:18" s="7" customFormat="1" ht="12.75" customHeight="1" x14ac:dyDescent="0.2">
      <c r="A1086" s="73"/>
      <c r="B1086" s="73"/>
      <c r="C1086" s="68" t="s">
        <v>36</v>
      </c>
      <c r="D1086" s="69">
        <v>21</v>
      </c>
      <c r="E1086" s="59">
        <v>24049.46</v>
      </c>
      <c r="F1086" s="59">
        <v>0</v>
      </c>
      <c r="G1086" s="59"/>
      <c r="H1086" s="59">
        <v>6641.4</v>
      </c>
      <c r="I1086" s="59"/>
      <c r="J1086" s="59">
        <v>2575.4699999999998</v>
      </c>
      <c r="K1086" s="59">
        <v>18921.79</v>
      </c>
      <c r="L1086" s="60">
        <v>21497.26</v>
      </c>
      <c r="M1086" s="33"/>
      <c r="N1086" s="59">
        <v>30905.66</v>
      </c>
      <c r="O1086" s="59">
        <v>24264.26</v>
      </c>
      <c r="P1086" s="59">
        <v>0</v>
      </c>
      <c r="Q1086" s="59">
        <v>37848.699999999997</v>
      </c>
      <c r="R1086" s="59">
        <v>35273.230000000003</v>
      </c>
    </row>
    <row r="1087" spans="1:18" s="7" customFormat="1" ht="9" customHeight="1" x14ac:dyDescent="0.2">
      <c r="A1087" s="73"/>
      <c r="B1087" s="73"/>
      <c r="C1087" s="62" t="s">
        <v>37</v>
      </c>
      <c r="D1087" s="63">
        <v>27</v>
      </c>
      <c r="E1087" s="64">
        <v>46566248</v>
      </c>
      <c r="F1087" s="65">
        <v>0</v>
      </c>
      <c r="G1087" s="65"/>
      <c r="H1087" s="64">
        <v>12859544</v>
      </c>
      <c r="I1087" s="64"/>
      <c r="J1087" s="66">
        <v>4986805</v>
      </c>
      <c r="K1087" s="64">
        <v>36637694</v>
      </c>
      <c r="L1087" s="64">
        <v>41624500</v>
      </c>
      <c r="M1087" s="39"/>
      <c r="N1087" s="65">
        <v>59841702</v>
      </c>
      <c r="O1087" s="65">
        <v>46982159</v>
      </c>
      <c r="P1087" s="65">
        <v>0</v>
      </c>
      <c r="Q1087" s="65">
        <v>73285302</v>
      </c>
      <c r="R1087" s="65">
        <v>68298497</v>
      </c>
    </row>
    <row r="1088" spans="1:18" s="7" customFormat="1" ht="12.75" customHeight="1" x14ac:dyDescent="0.2">
      <c r="A1088" s="73"/>
      <c r="B1088" s="73"/>
      <c r="C1088" s="68" t="s">
        <v>36</v>
      </c>
      <c r="D1088" s="69">
        <v>28</v>
      </c>
      <c r="E1088" s="59">
        <v>26700.13</v>
      </c>
      <c r="F1088" s="59">
        <v>0</v>
      </c>
      <c r="G1088" s="59"/>
      <c r="H1088" s="59">
        <v>6641.4</v>
      </c>
      <c r="I1088" s="59"/>
      <c r="J1088" s="59">
        <v>2797.91</v>
      </c>
      <c r="K1088" s="59">
        <v>19673.080000000002</v>
      </c>
      <c r="L1088" s="60">
        <v>22470.99</v>
      </c>
      <c r="M1088" s="33"/>
      <c r="N1088" s="59">
        <v>33574.93</v>
      </c>
      <c r="O1088" s="59">
        <v>26933.53</v>
      </c>
      <c r="P1088" s="59">
        <v>0</v>
      </c>
      <c r="Q1088" s="59">
        <v>41220.879999999997</v>
      </c>
      <c r="R1088" s="59">
        <v>38422.97</v>
      </c>
    </row>
    <row r="1089" spans="1:18" s="7" customFormat="1" ht="9" customHeight="1" x14ac:dyDescent="0.2">
      <c r="A1089" s="73"/>
      <c r="B1089" s="73"/>
      <c r="C1089" s="62" t="s">
        <v>37</v>
      </c>
      <c r="D1089" s="63">
        <v>34</v>
      </c>
      <c r="E1089" s="64">
        <v>51698661</v>
      </c>
      <c r="F1089" s="65">
        <v>0</v>
      </c>
      <c r="G1089" s="65"/>
      <c r="H1089" s="64">
        <v>12859544</v>
      </c>
      <c r="I1089" s="64"/>
      <c r="J1089" s="66">
        <v>5417509</v>
      </c>
      <c r="K1089" s="64">
        <v>38092395</v>
      </c>
      <c r="L1089" s="64">
        <v>43509904</v>
      </c>
      <c r="M1089" s="39"/>
      <c r="N1089" s="65">
        <v>65010130</v>
      </c>
      <c r="O1089" s="65">
        <v>52150586</v>
      </c>
      <c r="P1089" s="65">
        <v>0</v>
      </c>
      <c r="Q1089" s="65">
        <v>79814753</v>
      </c>
      <c r="R1089" s="65">
        <v>74397244</v>
      </c>
    </row>
    <row r="1090" spans="1:18" s="7" customFormat="1" ht="12.75" customHeight="1" x14ac:dyDescent="0.2">
      <c r="A1090" s="73"/>
      <c r="B1090" s="73"/>
      <c r="C1090" s="68" t="s">
        <v>36</v>
      </c>
      <c r="D1090" s="69">
        <v>35</v>
      </c>
      <c r="E1090" s="59">
        <v>29268.95</v>
      </c>
      <c r="F1090" s="59">
        <v>0</v>
      </c>
      <c r="G1090" s="59"/>
      <c r="H1090" s="59">
        <v>6641.4</v>
      </c>
      <c r="I1090" s="59"/>
      <c r="J1090" s="59">
        <v>3013.48</v>
      </c>
      <c r="K1090" s="59">
        <v>20206.89</v>
      </c>
      <c r="L1090" s="60">
        <v>23220.37</v>
      </c>
      <c r="M1090" s="33"/>
      <c r="N1090" s="59">
        <v>36161.75</v>
      </c>
      <c r="O1090" s="59">
        <v>29520.35</v>
      </c>
      <c r="P1090" s="59">
        <v>0</v>
      </c>
      <c r="Q1090" s="59">
        <v>44488.89</v>
      </c>
      <c r="R1090" s="59">
        <v>41475.410000000003</v>
      </c>
    </row>
    <row r="1091" spans="1:18" s="7" customFormat="1" ht="9" customHeight="1" x14ac:dyDescent="0.2">
      <c r="A1091" s="74"/>
      <c r="B1091" s="74"/>
      <c r="C1091" s="71" t="s">
        <v>37</v>
      </c>
      <c r="D1091" s="72"/>
      <c r="E1091" s="64">
        <v>56672590</v>
      </c>
      <c r="F1091" s="64">
        <v>0</v>
      </c>
      <c r="G1091" s="64"/>
      <c r="H1091" s="64">
        <v>12859544</v>
      </c>
      <c r="I1091" s="64"/>
      <c r="J1091" s="64">
        <v>5834911</v>
      </c>
      <c r="K1091" s="64">
        <v>39125995</v>
      </c>
      <c r="L1091" s="64">
        <v>44960906</v>
      </c>
      <c r="M1091" s="39"/>
      <c r="N1091" s="64">
        <v>70018912</v>
      </c>
      <c r="O1091" s="64">
        <v>57159368</v>
      </c>
      <c r="P1091" s="64">
        <v>0</v>
      </c>
      <c r="Q1091" s="64">
        <v>86142503</v>
      </c>
      <c r="R1091" s="64">
        <v>80307592</v>
      </c>
    </row>
    <row r="1092" spans="1:18" s="7" customFormat="1" ht="9" customHeight="1" x14ac:dyDescent="0.2">
      <c r="A1092" s="267"/>
      <c r="B1092" s="267"/>
      <c r="C1092" s="45"/>
      <c r="D1092" s="45"/>
      <c r="E1092" s="54"/>
      <c r="F1092" s="54"/>
      <c r="G1092" s="54"/>
      <c r="H1092" s="54"/>
      <c r="I1092" s="54"/>
      <c r="J1092" s="54"/>
      <c r="K1092" s="54"/>
      <c r="L1092" s="54"/>
      <c r="M1092" s="39"/>
      <c r="N1092" s="54"/>
      <c r="O1092" s="54"/>
      <c r="P1092" s="54"/>
      <c r="Q1092" s="54"/>
      <c r="R1092" s="54"/>
    </row>
    <row r="1093" spans="1:18" s="7" customFormat="1" ht="9" customHeight="1" x14ac:dyDescent="0.2">
      <c r="A1093" s="267"/>
      <c r="B1093" s="267"/>
      <c r="C1093" s="45"/>
      <c r="D1093" s="45"/>
      <c r="E1093" s="54"/>
      <c r="F1093" s="54"/>
      <c r="G1093" s="54"/>
      <c r="H1093" s="54"/>
      <c r="I1093" s="54"/>
      <c r="J1093" s="54"/>
      <c r="K1093" s="54"/>
      <c r="L1093" s="54"/>
      <c r="M1093" s="39"/>
      <c r="N1093" s="54"/>
      <c r="O1093" s="54"/>
      <c r="P1093" s="54"/>
      <c r="Q1093" s="54"/>
      <c r="R1093" s="54"/>
    </row>
    <row r="1094" spans="1:18" s="7" customFormat="1" ht="9" customHeight="1" x14ac:dyDescent="0.2">
      <c r="A1094" s="267"/>
      <c r="B1094" s="267"/>
      <c r="C1094" s="45"/>
      <c r="D1094" s="45"/>
      <c r="E1094" s="54"/>
      <c r="F1094" s="54"/>
      <c r="G1094" s="54"/>
      <c r="H1094" s="54"/>
      <c r="I1094" s="54"/>
      <c r="J1094" s="54"/>
      <c r="K1094" s="54"/>
      <c r="L1094" s="54"/>
      <c r="M1094" s="39"/>
      <c r="N1094" s="54"/>
      <c r="O1094" s="54"/>
      <c r="P1094" s="54"/>
      <c r="Q1094" s="54"/>
      <c r="R1094" s="54"/>
    </row>
    <row r="1095" spans="1:18" s="7" customFormat="1" ht="9" customHeight="1" x14ac:dyDescent="0.2">
      <c r="A1095" s="267"/>
      <c r="B1095" s="267"/>
      <c r="C1095" s="45"/>
      <c r="D1095" s="45"/>
      <c r="E1095" s="54"/>
      <c r="F1095" s="54"/>
      <c r="G1095" s="54"/>
      <c r="H1095" s="54"/>
      <c r="I1095" s="54"/>
      <c r="J1095" s="54"/>
      <c r="K1095" s="54"/>
      <c r="L1095" s="54"/>
      <c r="M1095" s="39"/>
      <c r="N1095" s="54"/>
      <c r="O1095" s="54"/>
      <c r="P1095" s="54"/>
      <c r="Q1095" s="54"/>
      <c r="R1095" s="54"/>
    </row>
    <row r="1096" spans="1:18" s="7" customFormat="1" ht="9" customHeight="1" x14ac:dyDescent="0.2">
      <c r="A1096" s="267"/>
      <c r="B1096" s="267"/>
      <c r="C1096" s="45"/>
      <c r="D1096" s="45"/>
      <c r="E1096" s="54"/>
      <c r="F1096" s="54"/>
      <c r="G1096" s="54"/>
      <c r="H1096" s="54"/>
      <c r="I1096" s="54"/>
      <c r="J1096" s="54"/>
      <c r="K1096" s="54"/>
      <c r="L1096" s="54"/>
      <c r="M1096" s="39"/>
      <c r="N1096" s="54"/>
      <c r="O1096" s="54"/>
      <c r="P1096" s="54"/>
      <c r="Q1096" s="54"/>
      <c r="R1096" s="54"/>
    </row>
    <row r="1097" spans="1:18" s="7" customFormat="1" ht="9" customHeight="1" x14ac:dyDescent="0.2">
      <c r="A1097" s="267"/>
      <c r="B1097" s="267"/>
      <c r="C1097" s="45"/>
      <c r="D1097" s="45"/>
      <c r="E1097" s="54"/>
      <c r="F1097" s="54"/>
      <c r="G1097" s="54"/>
      <c r="H1097" s="54"/>
      <c r="I1097" s="54"/>
      <c r="J1097" s="54"/>
      <c r="K1097" s="54"/>
      <c r="L1097" s="54"/>
      <c r="M1097" s="39"/>
      <c r="N1097" s="54"/>
      <c r="O1097" s="54"/>
      <c r="P1097" s="54"/>
      <c r="Q1097" s="54"/>
      <c r="R1097" s="54"/>
    </row>
    <row r="1098" spans="1:18" s="7" customFormat="1" ht="9" customHeight="1" x14ac:dyDescent="0.2">
      <c r="A1098" s="267"/>
      <c r="B1098" s="267"/>
      <c r="C1098" s="45"/>
      <c r="D1098" s="45"/>
      <c r="E1098" s="54"/>
      <c r="F1098" s="54"/>
      <c r="G1098" s="54"/>
      <c r="H1098" s="54"/>
      <c r="I1098" s="54"/>
      <c r="J1098" s="54"/>
      <c r="K1098" s="54"/>
      <c r="L1098" s="54"/>
      <c r="M1098" s="39"/>
      <c r="N1098" s="54"/>
      <c r="O1098" s="54"/>
      <c r="P1098" s="54"/>
      <c r="Q1098" s="54"/>
      <c r="R1098" s="54"/>
    </row>
    <row r="1099" spans="1:18" s="7" customFormat="1" ht="9" customHeight="1" x14ac:dyDescent="0.2">
      <c r="A1099" s="267"/>
      <c r="B1099" s="267"/>
      <c r="C1099" s="45"/>
      <c r="D1099" s="45"/>
      <c r="E1099" s="54"/>
      <c r="F1099" s="54"/>
      <c r="G1099" s="54"/>
      <c r="H1099" s="54"/>
      <c r="I1099" s="54"/>
      <c r="J1099" s="54"/>
      <c r="K1099" s="54"/>
      <c r="L1099" s="54"/>
      <c r="M1099" s="39"/>
      <c r="N1099" s="54"/>
      <c r="O1099" s="54"/>
      <c r="P1099" s="54"/>
      <c r="Q1099" s="54"/>
      <c r="R1099" s="54"/>
    </row>
    <row r="1100" spans="1:18" s="7" customFormat="1" ht="9" customHeight="1" x14ac:dyDescent="0.2">
      <c r="A1100" s="267"/>
      <c r="B1100" s="267"/>
      <c r="C1100" s="45"/>
      <c r="D1100" s="45"/>
      <c r="E1100" s="54"/>
      <c r="F1100" s="54"/>
      <c r="G1100" s="54"/>
      <c r="H1100" s="54"/>
      <c r="I1100" s="54"/>
      <c r="J1100" s="54"/>
      <c r="K1100" s="54"/>
      <c r="L1100" s="54"/>
      <c r="M1100" s="39"/>
      <c r="N1100" s="54"/>
      <c r="O1100" s="54"/>
      <c r="P1100" s="54"/>
      <c r="Q1100" s="54"/>
      <c r="R1100" s="54"/>
    </row>
    <row r="1101" spans="1:18" s="7" customFormat="1" ht="9" customHeight="1" x14ac:dyDescent="0.2">
      <c r="A1101" s="267"/>
      <c r="B1101" s="267"/>
      <c r="C1101" s="45"/>
      <c r="D1101" s="45"/>
      <c r="E1101" s="54"/>
      <c r="F1101" s="54"/>
      <c r="G1101" s="54"/>
      <c r="H1101" s="54"/>
      <c r="I1101" s="54"/>
      <c r="J1101" s="54"/>
      <c r="K1101" s="54"/>
      <c r="L1101" s="54"/>
      <c r="M1101" s="39"/>
      <c r="N1101" s="54"/>
      <c r="O1101" s="54"/>
      <c r="P1101" s="54"/>
      <c r="Q1101" s="54"/>
      <c r="R1101" s="54"/>
    </row>
    <row r="1102" spans="1:18" s="7" customFormat="1" ht="9" customHeight="1" x14ac:dyDescent="0.2">
      <c r="A1102" s="267"/>
      <c r="B1102" s="267"/>
      <c r="C1102" s="45"/>
      <c r="D1102" s="45"/>
      <c r="E1102" s="54"/>
      <c r="F1102" s="54"/>
      <c r="G1102" s="54"/>
      <c r="H1102" s="54"/>
      <c r="I1102" s="54"/>
      <c r="J1102" s="54"/>
      <c r="K1102" s="54"/>
      <c r="L1102" s="54"/>
      <c r="M1102" s="39"/>
      <c r="N1102" s="54"/>
      <c r="O1102" s="54"/>
      <c r="P1102" s="54"/>
      <c r="Q1102" s="54"/>
      <c r="R1102" s="54"/>
    </row>
    <row r="1103" spans="1:18" s="7" customFormat="1" ht="9" customHeight="1" x14ac:dyDescent="0.2">
      <c r="A1103" s="267"/>
      <c r="B1103" s="267"/>
      <c r="C1103" s="45"/>
      <c r="D1103" s="45"/>
      <c r="E1103" s="54"/>
      <c r="F1103" s="54"/>
      <c r="G1103" s="54"/>
      <c r="H1103" s="54"/>
      <c r="I1103" s="54"/>
      <c r="J1103" s="54"/>
      <c r="K1103" s="54"/>
      <c r="L1103" s="54"/>
      <c r="M1103" s="39"/>
      <c r="N1103" s="54"/>
      <c r="O1103" s="54"/>
      <c r="P1103" s="54"/>
      <c r="Q1103" s="54"/>
      <c r="R1103" s="54"/>
    </row>
    <row r="1104" spans="1:18" s="7" customFormat="1" ht="9" customHeight="1" x14ac:dyDescent="0.2">
      <c r="A1104" s="267"/>
      <c r="B1104" s="267"/>
      <c r="C1104" s="45"/>
      <c r="D1104" s="45"/>
      <c r="E1104" s="54"/>
      <c r="F1104" s="54"/>
      <c r="G1104" s="54"/>
      <c r="H1104" s="54"/>
      <c r="I1104" s="54"/>
      <c r="J1104" s="54"/>
      <c r="K1104" s="54"/>
      <c r="L1104" s="54"/>
      <c r="M1104" s="39"/>
      <c r="N1104" s="54"/>
      <c r="O1104" s="54"/>
      <c r="P1104" s="54"/>
      <c r="Q1104" s="54"/>
      <c r="R1104" s="54"/>
    </row>
    <row r="1105" spans="1:18" s="7" customFormat="1" ht="9" customHeight="1" x14ac:dyDescent="0.2">
      <c r="A1105" s="267"/>
      <c r="B1105" s="267"/>
      <c r="C1105" s="45"/>
      <c r="D1105" s="45"/>
      <c r="E1105" s="54"/>
      <c r="F1105" s="54"/>
      <c r="G1105" s="54"/>
      <c r="H1105" s="54"/>
      <c r="I1105" s="54"/>
      <c r="J1105" s="54"/>
      <c r="K1105" s="54"/>
      <c r="L1105" s="54"/>
      <c r="M1105" s="39"/>
      <c r="N1105" s="54"/>
      <c r="O1105" s="54"/>
      <c r="P1105" s="54"/>
      <c r="Q1105" s="54"/>
      <c r="R1105" s="54"/>
    </row>
    <row r="1106" spans="1:18" s="7" customFormat="1" ht="9" customHeight="1" x14ac:dyDescent="0.2">
      <c r="A1106" s="267"/>
      <c r="B1106" s="267"/>
      <c r="C1106" s="45"/>
      <c r="D1106" s="45"/>
      <c r="E1106" s="54"/>
      <c r="F1106" s="54"/>
      <c r="G1106" s="54"/>
      <c r="H1106" s="54"/>
      <c r="I1106" s="54"/>
      <c r="J1106" s="54"/>
      <c r="K1106" s="54"/>
      <c r="L1106" s="54"/>
      <c r="M1106" s="39"/>
      <c r="N1106" s="54"/>
      <c r="O1106" s="54"/>
      <c r="P1106" s="54"/>
      <c r="Q1106" s="54"/>
      <c r="R1106" s="54"/>
    </row>
    <row r="1107" spans="1:18" s="7" customFormat="1" ht="9" customHeight="1" x14ac:dyDescent="0.2">
      <c r="A1107" s="267"/>
      <c r="B1107" s="267"/>
      <c r="C1107" s="45"/>
      <c r="D1107" s="45"/>
      <c r="E1107" s="54"/>
      <c r="F1107" s="54"/>
      <c r="G1107" s="54"/>
      <c r="H1107" s="54"/>
      <c r="I1107" s="54"/>
      <c r="J1107" s="54"/>
      <c r="K1107" s="54"/>
      <c r="L1107" s="54"/>
      <c r="M1107" s="39"/>
      <c r="N1107" s="54"/>
      <c r="O1107" s="54"/>
      <c r="P1107" s="54"/>
      <c r="Q1107" s="54"/>
      <c r="R1107" s="54"/>
    </row>
    <row r="1108" spans="1:18" s="7" customFormat="1" ht="9" customHeight="1" x14ac:dyDescent="0.2">
      <c r="A1108" s="77"/>
      <c r="B1108" s="77"/>
      <c r="C1108" s="45"/>
      <c r="D1108" s="45"/>
      <c r="E1108" s="45"/>
      <c r="F1108" s="45"/>
      <c r="G1108" s="45"/>
      <c r="H1108" s="45"/>
      <c r="I1108" s="54"/>
      <c r="J1108" s="54"/>
      <c r="K1108" s="54"/>
      <c r="L1108" s="54"/>
      <c r="M1108" s="54"/>
      <c r="N1108" s="117"/>
      <c r="O1108" s="117"/>
      <c r="P1108" s="117"/>
      <c r="R1108" s="192"/>
    </row>
    <row r="1109" spans="1:18" s="7" customFormat="1" ht="9" customHeight="1" x14ac:dyDescent="0.2">
      <c r="A1109" s="77"/>
      <c r="B1109" s="77"/>
      <c r="C1109" s="45"/>
      <c r="D1109" s="45"/>
      <c r="E1109" s="45"/>
      <c r="F1109" s="45"/>
      <c r="G1109" s="45"/>
      <c r="H1109" s="45"/>
      <c r="I1109" s="54"/>
      <c r="J1109" s="54"/>
      <c r="K1109" s="54"/>
      <c r="L1109" s="54"/>
      <c r="M1109" s="54"/>
      <c r="N1109" s="117"/>
      <c r="O1109" s="117"/>
      <c r="P1109" s="117"/>
      <c r="R1109" s="192"/>
    </row>
    <row r="1110" spans="1:18" s="7" customFormat="1" ht="9" customHeight="1" x14ac:dyDescent="0.2">
      <c r="A1110" s="77"/>
      <c r="B1110" s="77"/>
      <c r="C1110" s="45"/>
      <c r="D1110" s="45"/>
      <c r="E1110" s="45"/>
      <c r="F1110" s="45"/>
      <c r="G1110" s="45"/>
      <c r="H1110" s="45"/>
      <c r="I1110" s="54"/>
      <c r="J1110" s="54"/>
      <c r="K1110" s="54"/>
      <c r="L1110" s="54"/>
      <c r="M1110" s="54"/>
      <c r="N1110" s="117"/>
      <c r="O1110" s="117"/>
      <c r="P1110" s="117"/>
      <c r="R1110" s="192"/>
    </row>
    <row r="1111" spans="1:18" s="7" customFormat="1" ht="9" customHeight="1" x14ac:dyDescent="0.2">
      <c r="A1111" s="77"/>
      <c r="B1111" s="77"/>
      <c r="C1111" s="45"/>
      <c r="D1111" s="45"/>
      <c r="E1111" s="45"/>
      <c r="F1111" s="45"/>
      <c r="G1111" s="45"/>
      <c r="H1111" s="45"/>
      <c r="I1111" s="54"/>
      <c r="J1111" s="54"/>
      <c r="K1111" s="54"/>
      <c r="L1111" s="54"/>
      <c r="M1111" s="54"/>
      <c r="N1111" s="54"/>
      <c r="O1111" s="54"/>
      <c r="P1111" s="54"/>
      <c r="R1111" s="194"/>
    </row>
    <row r="1112" spans="1:18" s="7" customFormat="1" ht="9" customHeight="1" x14ac:dyDescent="0.2">
      <c r="A1112" s="77"/>
      <c r="B1112" s="77"/>
      <c r="C1112" s="45"/>
      <c r="D1112" s="45"/>
      <c r="E1112" s="45"/>
      <c r="F1112" s="45"/>
      <c r="G1112" s="45"/>
      <c r="H1112" s="45"/>
      <c r="I1112" s="54"/>
      <c r="J1112" s="54"/>
      <c r="K1112" s="54"/>
      <c r="L1112" s="54"/>
      <c r="M1112" s="54"/>
      <c r="N1112" s="117"/>
      <c r="O1112" s="117"/>
      <c r="P1112" s="117"/>
      <c r="R1112" s="192"/>
    </row>
    <row r="1113" spans="1:18" s="7" customFormat="1" ht="9" customHeight="1" x14ac:dyDescent="0.2">
      <c r="A1113" s="77"/>
      <c r="B1113" s="77"/>
      <c r="C1113" s="45"/>
      <c r="D1113" s="45"/>
      <c r="E1113" s="45"/>
      <c r="F1113" s="45"/>
      <c r="G1113" s="45"/>
      <c r="H1113" s="45"/>
      <c r="I1113" s="54"/>
      <c r="J1113" s="54"/>
      <c r="K1113" s="54"/>
      <c r="L1113" s="54"/>
      <c r="M1113" s="54"/>
      <c r="N1113" s="54"/>
      <c r="O1113" s="54"/>
      <c r="P1113" s="54"/>
      <c r="R1113" s="117"/>
    </row>
    <row r="1114" spans="1:18" s="7" customFormat="1" ht="28.5" customHeight="1" x14ac:dyDescent="0.2">
      <c r="B1114" s="195" t="s">
        <v>86</v>
      </c>
      <c r="C1114" s="233"/>
      <c r="D1114" s="233"/>
      <c r="E1114" s="233"/>
      <c r="F1114" s="233"/>
      <c r="G1114" s="233"/>
      <c r="H1114" s="233"/>
      <c r="I1114" s="233"/>
      <c r="J1114" s="233"/>
      <c r="K1114" s="232"/>
      <c r="L1114" s="231"/>
      <c r="R1114" s="54"/>
    </row>
    <row r="1115" spans="1:18" s="7" customFormat="1" ht="30.75" customHeight="1" x14ac:dyDescent="0.2">
      <c r="B1115" s="230" t="s">
        <v>85</v>
      </c>
      <c r="C1115" s="221"/>
      <c r="D1115" s="220"/>
      <c r="E1115" s="229">
        <v>36770</v>
      </c>
      <c r="F1115" s="229">
        <v>36892</v>
      </c>
      <c r="G1115" s="229">
        <v>37257</v>
      </c>
      <c r="H1115" s="229">
        <v>37622</v>
      </c>
      <c r="I1115" s="228">
        <v>38718</v>
      </c>
      <c r="J1115" s="228">
        <v>43160</v>
      </c>
      <c r="K1115" s="227"/>
      <c r="L1115" s="226" t="s">
        <v>84</v>
      </c>
      <c r="R1115" s="117"/>
    </row>
    <row r="1116" spans="1:18" s="7" customFormat="1" ht="89.25" x14ac:dyDescent="0.2">
      <c r="B1116" s="209" t="s">
        <v>83</v>
      </c>
      <c r="C1116" s="225"/>
      <c r="D1116" s="224"/>
      <c r="E1116" s="59">
        <v>1586.56</v>
      </c>
      <c r="F1116" s="59">
        <v>1586.56</v>
      </c>
      <c r="G1116" s="59">
        <v>1586.56</v>
      </c>
      <c r="H1116" s="59">
        <v>1586.56</v>
      </c>
      <c r="I1116" s="59">
        <v>1750</v>
      </c>
      <c r="J1116" s="59">
        <v>1828</v>
      </c>
      <c r="K1116" s="59"/>
      <c r="L1116" s="223" t="s">
        <v>82</v>
      </c>
      <c r="R1116" s="54"/>
    </row>
    <row r="1117" spans="1:18" s="7" customFormat="1" ht="12.75" x14ac:dyDescent="0.2">
      <c r="B1117" s="222"/>
      <c r="C1117" s="221"/>
      <c r="D1117" s="220"/>
      <c r="E1117" s="93">
        <v>3072009</v>
      </c>
      <c r="F1117" s="93">
        <v>3072009</v>
      </c>
      <c r="G1117" s="93">
        <v>3072009</v>
      </c>
      <c r="H1117" s="93">
        <v>3072009</v>
      </c>
      <c r="I1117" s="93">
        <v>3388473</v>
      </c>
      <c r="J1117" s="93">
        <v>3539502</v>
      </c>
      <c r="K1117" s="93"/>
      <c r="L1117" s="219"/>
      <c r="R1117" s="117"/>
    </row>
    <row r="1118" spans="1:18" s="7" customFormat="1" ht="12.75" x14ac:dyDescent="0.2">
      <c r="B1118" s="218" t="s">
        <v>81</v>
      </c>
      <c r="C1118" s="217"/>
      <c r="D1118" s="217"/>
      <c r="E1118" s="216"/>
      <c r="F1118" s="215"/>
      <c r="G1118" s="215"/>
      <c r="H1118" s="215"/>
      <c r="I1118" s="215"/>
      <c r="J1118" s="215"/>
      <c r="K1118" s="215"/>
      <c r="L1118" s="214"/>
      <c r="R1118" s="54"/>
    </row>
    <row r="1119" spans="1:18" s="7" customFormat="1" ht="4.5" customHeight="1" x14ac:dyDescent="0.2">
      <c r="B1119" s="213"/>
      <c r="C1119" s="212"/>
      <c r="D1119" s="212"/>
      <c r="E1119" s="72"/>
      <c r="F1119" s="211"/>
      <c r="G1119" s="211"/>
      <c r="H1119" s="211"/>
      <c r="I1119" s="211"/>
      <c r="J1119" s="211"/>
      <c r="K1119" s="211"/>
      <c r="L1119" s="210"/>
    </row>
    <row r="1120" spans="1:18" s="7" customFormat="1" ht="32.25" customHeight="1" x14ac:dyDescent="0.2">
      <c r="B1120" s="209" t="s">
        <v>80</v>
      </c>
      <c r="C1120" s="208"/>
      <c r="D1120" s="207"/>
      <c r="E1120" s="59">
        <v>1107.8</v>
      </c>
      <c r="F1120" s="59">
        <v>1107.8</v>
      </c>
      <c r="G1120" s="59">
        <v>1107.8</v>
      </c>
      <c r="H1120" s="59">
        <v>1107.8</v>
      </c>
      <c r="I1120" s="59">
        <v>1107.8</v>
      </c>
      <c r="J1120" s="59">
        <v>1185.8</v>
      </c>
      <c r="K1120" s="59"/>
      <c r="L1120" s="206" t="s">
        <v>79</v>
      </c>
    </row>
    <row r="1121" spans="1:26" s="7" customFormat="1" ht="32.25" customHeight="1" x14ac:dyDescent="0.2">
      <c r="B1121" s="205"/>
      <c r="C1121" s="204"/>
      <c r="D1121" s="203"/>
      <c r="E1121" s="93">
        <v>2145000</v>
      </c>
      <c r="F1121" s="93">
        <v>2145000</v>
      </c>
      <c r="G1121" s="93">
        <v>2145000</v>
      </c>
      <c r="H1121" s="93">
        <v>2145000</v>
      </c>
      <c r="I1121" s="93">
        <v>2145000</v>
      </c>
      <c r="J1121" s="93">
        <v>2296029</v>
      </c>
      <c r="K1121" s="93"/>
      <c r="L1121" s="202"/>
    </row>
    <row r="1122" spans="1:26" s="7" customFormat="1" ht="46.5" customHeight="1" x14ac:dyDescent="0.2">
      <c r="B1122" s="209" t="s">
        <v>78</v>
      </c>
      <c r="C1122" s="208"/>
      <c r="D1122" s="207"/>
      <c r="E1122" s="59">
        <v>553.9</v>
      </c>
      <c r="F1122" s="59">
        <v>553.9</v>
      </c>
      <c r="G1122" s="59">
        <v>553.9</v>
      </c>
      <c r="H1122" s="59">
        <v>553.9</v>
      </c>
      <c r="I1122" s="59">
        <v>553.9</v>
      </c>
      <c r="J1122" s="59">
        <v>631.9</v>
      </c>
      <c r="K1122" s="59"/>
      <c r="L1122" s="206" t="s">
        <v>77</v>
      </c>
    </row>
    <row r="1123" spans="1:26" s="7" customFormat="1" ht="46.5" customHeight="1" x14ac:dyDescent="0.2">
      <c r="B1123" s="205"/>
      <c r="C1123" s="204"/>
      <c r="D1123" s="203"/>
      <c r="E1123" s="93">
        <v>1072500</v>
      </c>
      <c r="F1123" s="93">
        <v>1072500</v>
      </c>
      <c r="G1123" s="93">
        <v>1072500</v>
      </c>
      <c r="H1123" s="93">
        <v>1072500</v>
      </c>
      <c r="I1123" s="93">
        <v>1072500</v>
      </c>
      <c r="J1123" s="93">
        <v>1223529</v>
      </c>
      <c r="K1123" s="93"/>
      <c r="L1123" s="202"/>
    </row>
    <row r="1124" spans="1:26" s="7" customFormat="1" ht="27" customHeight="1" x14ac:dyDescent="0.2">
      <c r="B1124" s="209" t="s">
        <v>76</v>
      </c>
      <c r="C1124" s="208"/>
      <c r="D1124" s="207"/>
      <c r="E1124" s="59">
        <v>738.53</v>
      </c>
      <c r="F1124" s="59">
        <v>738.53</v>
      </c>
      <c r="G1124" s="59">
        <v>738.53</v>
      </c>
      <c r="H1124" s="59">
        <v>738.53</v>
      </c>
      <c r="I1124" s="59">
        <v>738.53</v>
      </c>
      <c r="J1124" s="59">
        <v>816.53</v>
      </c>
      <c r="K1124" s="59"/>
      <c r="L1124" s="206" t="s">
        <v>75</v>
      </c>
    </row>
    <row r="1125" spans="1:26" s="7" customFormat="1" ht="27" customHeight="1" x14ac:dyDescent="0.2">
      <c r="B1125" s="205"/>
      <c r="C1125" s="204"/>
      <c r="D1125" s="203"/>
      <c r="E1125" s="93">
        <v>1429993</v>
      </c>
      <c r="F1125" s="93">
        <v>1429993</v>
      </c>
      <c r="G1125" s="93">
        <v>1429993</v>
      </c>
      <c r="H1125" s="93">
        <v>1429993</v>
      </c>
      <c r="I1125" s="93">
        <v>1429993</v>
      </c>
      <c r="J1125" s="93">
        <v>1581023</v>
      </c>
      <c r="K1125" s="93"/>
      <c r="L1125" s="202"/>
    </row>
    <row r="1126" spans="1:26" s="7" customFormat="1" ht="15" customHeight="1" x14ac:dyDescent="0.2">
      <c r="B1126" s="209" t="s">
        <v>74</v>
      </c>
      <c r="C1126" s="208"/>
      <c r="D1126" s="207"/>
      <c r="E1126" s="59">
        <v>553.9</v>
      </c>
      <c r="F1126" s="59">
        <v>553.9</v>
      </c>
      <c r="G1126" s="59">
        <v>553.9</v>
      </c>
      <c r="H1126" s="59">
        <v>553.9</v>
      </c>
      <c r="I1126" s="59">
        <v>553.9</v>
      </c>
      <c r="J1126" s="59">
        <v>631.9</v>
      </c>
      <c r="K1126" s="59"/>
      <c r="L1126" s="206" t="s">
        <v>73</v>
      </c>
    </row>
    <row r="1127" spans="1:26" s="7" customFormat="1" ht="12.75" x14ac:dyDescent="0.2">
      <c r="B1127" s="205"/>
      <c r="C1127" s="204"/>
      <c r="D1127" s="203"/>
      <c r="E1127" s="93">
        <v>1072500</v>
      </c>
      <c r="F1127" s="93">
        <v>1072500</v>
      </c>
      <c r="G1127" s="93">
        <v>1072500</v>
      </c>
      <c r="H1127" s="93">
        <v>1072500</v>
      </c>
      <c r="I1127" s="93">
        <v>1072500</v>
      </c>
      <c r="J1127" s="93">
        <v>1223529</v>
      </c>
      <c r="K1127" s="93"/>
      <c r="L1127" s="202"/>
    </row>
    <row r="1128" spans="1:26" s="7" customFormat="1" ht="39" customHeight="1" x14ac:dyDescent="0.2">
      <c r="B1128" s="209" t="s">
        <v>72</v>
      </c>
      <c r="C1128" s="208"/>
      <c r="D1128" s="207"/>
      <c r="E1128" s="59">
        <v>12.5</v>
      </c>
      <c r="F1128" s="59">
        <v>12.5</v>
      </c>
      <c r="G1128" s="59">
        <v>12.5</v>
      </c>
      <c r="H1128" s="59">
        <v>12.5</v>
      </c>
      <c r="I1128" s="59">
        <v>12.5</v>
      </c>
      <c r="J1128" s="59">
        <v>90.5</v>
      </c>
      <c r="K1128" s="59"/>
      <c r="L1128" s="206" t="s">
        <v>71</v>
      </c>
    </row>
    <row r="1129" spans="1:26" s="7" customFormat="1" ht="39" customHeight="1" x14ac:dyDescent="0.2">
      <c r="B1129" s="205"/>
      <c r="C1129" s="204"/>
      <c r="D1129" s="203"/>
      <c r="E1129" s="93">
        <v>24203</v>
      </c>
      <c r="F1129" s="93">
        <v>24203</v>
      </c>
      <c r="G1129" s="93">
        <v>24203</v>
      </c>
      <c r="H1129" s="93">
        <v>24203</v>
      </c>
      <c r="I1129" s="93">
        <v>24203</v>
      </c>
      <c r="J1129" s="93">
        <v>175232</v>
      </c>
      <c r="K1129" s="93"/>
      <c r="L1129" s="202"/>
    </row>
    <row r="1130" spans="1:26" s="7" customFormat="1" ht="12.75" x14ac:dyDescent="0.2"/>
    <row r="1131" spans="1:26" s="7" customFormat="1" ht="12.75" x14ac:dyDescent="0.2"/>
    <row r="1132" spans="1:26" s="7" customFormat="1" ht="12.75" x14ac:dyDescent="0.2"/>
    <row r="1133" spans="1:26" s="7" customFormat="1" ht="12.75" x14ac:dyDescent="0.2"/>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row r="1345" spans="1:26" ht="12.75" customHeight="1"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row>
    <row r="1346" spans="1:26" ht="12.75" customHeight="1"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row>
    <row r="1347" spans="1:26" ht="12.75" customHeight="1"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row>
    <row r="1348" spans="1:26" ht="12.75" customHeight="1"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row>
    <row r="1349" spans="1:26" ht="12.75" customHeight="1"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row>
    <row r="1350" spans="1:26" ht="12.75" customHeight="1"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row>
    <row r="1351" spans="1:26" ht="12.75" customHeight="1"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row>
    <row r="1352" spans="1:26" ht="12.75" customHeight="1"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row>
    <row r="1353" spans="1:26" ht="12.75" customHeight="1" x14ac:dyDescent="0.2">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row>
    <row r="1354" spans="1:26" ht="12.75" customHeight="1" x14ac:dyDescent="0.2">
      <c r="A1354" s="7"/>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row>
    <row r="1355" spans="1:26" ht="12.75" customHeight="1" x14ac:dyDescent="0.2">
      <c r="A1355" s="7"/>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row>
    <row r="1356" spans="1:26" ht="12.75" customHeight="1" x14ac:dyDescent="0.2">
      <c r="A1356" s="7"/>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row>
    <row r="1357" spans="1:26" ht="12.75" customHeight="1" x14ac:dyDescent="0.2">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row>
    <row r="1358" spans="1:26" ht="12.75" customHeight="1" x14ac:dyDescent="0.2">
      <c r="A1358" s="7"/>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row>
    <row r="1359" spans="1:26" ht="12.75" customHeight="1" x14ac:dyDescent="0.2">
      <c r="A1359" s="7"/>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row>
    <row r="1360" spans="1:26" ht="12.75" customHeight="1" x14ac:dyDescent="0.2">
      <c r="A1360" s="7"/>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row>
  </sheetData>
  <mergeCells count="12">
    <mergeCell ref="A1020:A1021"/>
    <mergeCell ref="B1020:B1021"/>
    <mergeCell ref="A1022:A1031"/>
    <mergeCell ref="B1022:B1031"/>
    <mergeCell ref="A1040:A1041"/>
    <mergeCell ref="B1040:B1041"/>
    <mergeCell ref="A1042:A1051"/>
    <mergeCell ref="B1042:B1051"/>
    <mergeCell ref="A1060:A1061"/>
    <mergeCell ref="B1060:B1061"/>
    <mergeCell ref="A1062:A1071"/>
    <mergeCell ref="B1062:B1071"/>
  </mergeCells>
  <conditionalFormatting sqref="E6:Q899">
    <cfRule type="cellIs" dxfId="977" priority="410" stopIfTrue="1" operator="equal">
      <formula>0</formula>
    </cfRule>
  </conditionalFormatting>
  <conditionalFormatting sqref="E1108:Q1112">
    <cfRule type="cellIs" dxfId="976" priority="409" stopIfTrue="1" operator="equal">
      <formula>0</formula>
    </cfRule>
  </conditionalFormatting>
  <conditionalFormatting sqref="M1108:Q1113">
    <cfRule type="cellIs" dxfId="975" priority="408" stopIfTrue="1" operator="equal">
      <formula>0</formula>
    </cfRule>
  </conditionalFormatting>
  <conditionalFormatting sqref="M1108:Q1113">
    <cfRule type="cellIs" dxfId="974" priority="407" stopIfTrue="1" operator="equal">
      <formula>0</formula>
    </cfRule>
  </conditionalFormatting>
  <conditionalFormatting sqref="M1108:Q1113">
    <cfRule type="cellIs" dxfId="973" priority="406" stopIfTrue="1" operator="equal">
      <formula>0</formula>
    </cfRule>
  </conditionalFormatting>
  <conditionalFormatting sqref="N1108:Q1110 N1112:Q1112">
    <cfRule type="cellIs" dxfId="972" priority="405" stopIfTrue="1" operator="equal">
      <formula>0</formula>
    </cfRule>
  </conditionalFormatting>
  <conditionalFormatting sqref="M1108:Q1113">
    <cfRule type="cellIs" dxfId="971" priority="404" stopIfTrue="1" operator="equal">
      <formula>0</formula>
    </cfRule>
  </conditionalFormatting>
  <conditionalFormatting sqref="N1108:Q1110 N1112:Q1112">
    <cfRule type="cellIs" dxfId="970" priority="403" stopIfTrue="1" operator="equal">
      <formula>0</formula>
    </cfRule>
  </conditionalFormatting>
  <conditionalFormatting sqref="N1108:Q1110 N1112:Q1112">
    <cfRule type="cellIs" dxfId="969" priority="402" stopIfTrue="1" operator="equal">
      <formula>0</formula>
    </cfRule>
  </conditionalFormatting>
  <conditionalFormatting sqref="M1108:Q1113">
    <cfRule type="cellIs" dxfId="968" priority="401" stopIfTrue="1" operator="equal">
      <formula>0</formula>
    </cfRule>
  </conditionalFormatting>
  <conditionalFormatting sqref="N1108:Q1110 N1112:Q1112">
    <cfRule type="cellIs" dxfId="967" priority="400" stopIfTrue="1" operator="equal">
      <formula>0</formula>
    </cfRule>
  </conditionalFormatting>
  <conditionalFormatting sqref="M1108:Q1113">
    <cfRule type="cellIs" dxfId="966" priority="399" stopIfTrue="1" operator="equal">
      <formula>0</formula>
    </cfRule>
  </conditionalFormatting>
  <conditionalFormatting sqref="N1108:Q1110 N1112:Q1112">
    <cfRule type="cellIs" dxfId="965" priority="398" stopIfTrue="1" operator="equal">
      <formula>0</formula>
    </cfRule>
  </conditionalFormatting>
  <conditionalFormatting sqref="M1108:Q1113">
    <cfRule type="cellIs" dxfId="964" priority="397" stopIfTrue="1" operator="equal">
      <formula>0</formula>
    </cfRule>
  </conditionalFormatting>
  <conditionalFormatting sqref="N1108:Q1110 N1112:Q1112">
    <cfRule type="cellIs" dxfId="963" priority="396" stopIfTrue="1" operator="equal">
      <formula>0</formula>
    </cfRule>
  </conditionalFormatting>
  <conditionalFormatting sqref="N1108:Q1110 N1112:Q1112">
    <cfRule type="cellIs" dxfId="962" priority="395" stopIfTrue="1" operator="equal">
      <formula>0</formula>
    </cfRule>
  </conditionalFormatting>
  <conditionalFormatting sqref="M1108:Q1113">
    <cfRule type="cellIs" dxfId="961" priority="394" stopIfTrue="1" operator="equal">
      <formula>0</formula>
    </cfRule>
  </conditionalFormatting>
  <conditionalFormatting sqref="N1108:Q1110 N1112:Q1112">
    <cfRule type="cellIs" dxfId="960" priority="393" stopIfTrue="1" operator="equal">
      <formula>0</formula>
    </cfRule>
  </conditionalFormatting>
  <conditionalFormatting sqref="M1108:Q1113">
    <cfRule type="cellIs" dxfId="959" priority="392" stopIfTrue="1" operator="equal">
      <formula>0</formula>
    </cfRule>
  </conditionalFormatting>
  <conditionalFormatting sqref="M1108:Q1113">
    <cfRule type="cellIs" dxfId="958" priority="391" stopIfTrue="1" operator="equal">
      <formula>0</formula>
    </cfRule>
  </conditionalFormatting>
  <conditionalFormatting sqref="N1108:Q1110 N1112:Q1112">
    <cfRule type="cellIs" dxfId="957" priority="390" stopIfTrue="1" operator="equal">
      <formula>0</formula>
    </cfRule>
  </conditionalFormatting>
  <conditionalFormatting sqref="M1108:Q1113">
    <cfRule type="cellIs" dxfId="956" priority="389" stopIfTrue="1" operator="equal">
      <formula>0</formula>
    </cfRule>
  </conditionalFormatting>
  <conditionalFormatting sqref="N1108:Q1110 N1112:Q1112">
    <cfRule type="cellIs" dxfId="955" priority="388" stopIfTrue="1" operator="equal">
      <formula>0</formula>
    </cfRule>
  </conditionalFormatting>
  <conditionalFormatting sqref="N1108:Q1110 N1112:Q1112">
    <cfRule type="cellIs" dxfId="954" priority="387" stopIfTrue="1" operator="equal">
      <formula>0</formula>
    </cfRule>
  </conditionalFormatting>
  <conditionalFormatting sqref="M1108:Q1113">
    <cfRule type="cellIs" dxfId="953" priority="386" stopIfTrue="1" operator="equal">
      <formula>0</formula>
    </cfRule>
  </conditionalFormatting>
  <conditionalFormatting sqref="N1108:Q1110 N1112:Q1112">
    <cfRule type="cellIs" dxfId="952" priority="385" stopIfTrue="1" operator="equal">
      <formula>0</formula>
    </cfRule>
  </conditionalFormatting>
  <conditionalFormatting sqref="M1108:Q1113">
    <cfRule type="cellIs" dxfId="951" priority="384" stopIfTrue="1" operator="equal">
      <formula>0</formula>
    </cfRule>
  </conditionalFormatting>
  <conditionalFormatting sqref="N1108:Q1110 N1112:Q1112">
    <cfRule type="cellIs" dxfId="950" priority="383" stopIfTrue="1" operator="equal">
      <formula>0</formula>
    </cfRule>
  </conditionalFormatting>
  <conditionalFormatting sqref="M1108:Q1113">
    <cfRule type="cellIs" dxfId="949" priority="382" stopIfTrue="1" operator="equal">
      <formula>0</formula>
    </cfRule>
  </conditionalFormatting>
  <conditionalFormatting sqref="N1108:Q1110 N1112:Q1112">
    <cfRule type="cellIs" dxfId="948" priority="381" stopIfTrue="1" operator="equal">
      <formula>0</formula>
    </cfRule>
  </conditionalFormatting>
  <conditionalFormatting sqref="N1108:Q1110 N1112:Q1112">
    <cfRule type="cellIs" dxfId="947" priority="380" stopIfTrue="1" operator="equal">
      <formula>0</formula>
    </cfRule>
  </conditionalFormatting>
  <conditionalFormatting sqref="M1108:Q1113">
    <cfRule type="cellIs" dxfId="946" priority="379" stopIfTrue="1" operator="equal">
      <formula>0</formula>
    </cfRule>
  </conditionalFormatting>
  <conditionalFormatting sqref="N1108:Q1110 N1112:Q1112">
    <cfRule type="cellIs" dxfId="945" priority="378" stopIfTrue="1" operator="equal">
      <formula>0</formula>
    </cfRule>
  </conditionalFormatting>
  <conditionalFormatting sqref="E1108:Q1113">
    <cfRule type="cellIs" dxfId="944" priority="377" stopIfTrue="1" operator="equal">
      <formula>0</formula>
    </cfRule>
  </conditionalFormatting>
  <conditionalFormatting sqref="M1108:Q1113">
    <cfRule type="cellIs" dxfId="943" priority="376" stopIfTrue="1" operator="equal">
      <formula>0</formula>
    </cfRule>
  </conditionalFormatting>
  <conditionalFormatting sqref="M1108:Q1113">
    <cfRule type="cellIs" dxfId="942" priority="375" stopIfTrue="1" operator="equal">
      <formula>0</formula>
    </cfRule>
  </conditionalFormatting>
  <conditionalFormatting sqref="N1108:Q1110 N1112:Q1112">
    <cfRule type="cellIs" dxfId="941" priority="374" stopIfTrue="1" operator="equal">
      <formula>0</formula>
    </cfRule>
  </conditionalFormatting>
  <conditionalFormatting sqref="M1108:Q1113">
    <cfRule type="cellIs" dxfId="940" priority="373" stopIfTrue="1" operator="equal">
      <formula>0</formula>
    </cfRule>
  </conditionalFormatting>
  <conditionalFormatting sqref="N1108:Q1110 N1112:Q1112">
    <cfRule type="cellIs" dxfId="939" priority="372" stopIfTrue="1" operator="equal">
      <formula>0</formula>
    </cfRule>
  </conditionalFormatting>
  <conditionalFormatting sqref="N1108:Q1110 N1112:Q1112">
    <cfRule type="cellIs" dxfId="938" priority="371" stopIfTrue="1" operator="equal">
      <formula>0</formula>
    </cfRule>
  </conditionalFormatting>
  <conditionalFormatting sqref="M1108:Q1113">
    <cfRule type="cellIs" dxfId="937" priority="370" stopIfTrue="1" operator="equal">
      <formula>0</formula>
    </cfRule>
  </conditionalFormatting>
  <conditionalFormatting sqref="N1108:Q1110 N1112:Q1112">
    <cfRule type="cellIs" dxfId="936" priority="369" stopIfTrue="1" operator="equal">
      <formula>0</formula>
    </cfRule>
  </conditionalFormatting>
  <conditionalFormatting sqref="M1108:Q1113">
    <cfRule type="cellIs" dxfId="935" priority="368" stopIfTrue="1" operator="equal">
      <formula>0</formula>
    </cfRule>
  </conditionalFormatting>
  <conditionalFormatting sqref="N1108:Q1110 N1112:Q1112">
    <cfRule type="cellIs" dxfId="934" priority="367" stopIfTrue="1" operator="equal">
      <formula>0</formula>
    </cfRule>
  </conditionalFormatting>
  <conditionalFormatting sqref="M1108:Q1113">
    <cfRule type="cellIs" dxfId="933" priority="366" stopIfTrue="1" operator="equal">
      <formula>0</formula>
    </cfRule>
  </conditionalFormatting>
  <conditionalFormatting sqref="N1108:Q1110 N1112:Q1112">
    <cfRule type="cellIs" dxfId="932" priority="365" stopIfTrue="1" operator="equal">
      <formula>0</formula>
    </cfRule>
  </conditionalFormatting>
  <conditionalFormatting sqref="N1108:Q1110 N1112:Q1112">
    <cfRule type="cellIs" dxfId="931" priority="364" stopIfTrue="1" operator="equal">
      <formula>0</formula>
    </cfRule>
  </conditionalFormatting>
  <conditionalFormatting sqref="M1108:Q1113">
    <cfRule type="cellIs" dxfId="930" priority="363" stopIfTrue="1" operator="equal">
      <formula>0</formula>
    </cfRule>
  </conditionalFormatting>
  <conditionalFormatting sqref="N1108:Q1110 N1112:Q1112">
    <cfRule type="cellIs" dxfId="929" priority="362" stopIfTrue="1" operator="equal">
      <formula>0</formula>
    </cfRule>
  </conditionalFormatting>
  <conditionalFormatting sqref="E1108:Q1113">
    <cfRule type="cellIs" dxfId="928" priority="361" stopIfTrue="1" operator="equal">
      <formula>0</formula>
    </cfRule>
  </conditionalFormatting>
  <conditionalFormatting sqref="M1108:Q1113">
    <cfRule type="cellIs" dxfId="927" priority="360" stopIfTrue="1" operator="equal">
      <formula>0</formula>
    </cfRule>
  </conditionalFormatting>
  <conditionalFormatting sqref="N1108:Q1110 N1112:Q1112">
    <cfRule type="cellIs" dxfId="926" priority="359" stopIfTrue="1" operator="equal">
      <formula>0</formula>
    </cfRule>
  </conditionalFormatting>
  <conditionalFormatting sqref="M1108:Q1113">
    <cfRule type="cellIs" dxfId="925" priority="358" stopIfTrue="1" operator="equal">
      <formula>0</formula>
    </cfRule>
  </conditionalFormatting>
  <conditionalFormatting sqref="N1108:Q1110 N1112:Q1112">
    <cfRule type="cellIs" dxfId="924" priority="357" stopIfTrue="1" operator="equal">
      <formula>0</formula>
    </cfRule>
  </conditionalFormatting>
  <conditionalFormatting sqref="N1108:Q1110 N1112:Q1112">
    <cfRule type="cellIs" dxfId="923" priority="356" stopIfTrue="1" operator="equal">
      <formula>0</formula>
    </cfRule>
  </conditionalFormatting>
  <conditionalFormatting sqref="M1108:Q1113">
    <cfRule type="cellIs" dxfId="922" priority="355" stopIfTrue="1" operator="equal">
      <formula>0</formula>
    </cfRule>
  </conditionalFormatting>
  <conditionalFormatting sqref="N1108:Q1110 N1112:Q1112">
    <cfRule type="cellIs" dxfId="921" priority="354" stopIfTrue="1" operator="equal">
      <formula>0</formula>
    </cfRule>
  </conditionalFormatting>
  <conditionalFormatting sqref="E1108:Q1113">
    <cfRule type="cellIs" dxfId="920" priority="353" stopIfTrue="1" operator="equal">
      <formula>0</formula>
    </cfRule>
  </conditionalFormatting>
  <conditionalFormatting sqref="N1108:Q1110 N1112:Q1112">
    <cfRule type="cellIs" dxfId="919" priority="352" stopIfTrue="1" operator="equal">
      <formula>0</formula>
    </cfRule>
  </conditionalFormatting>
  <conditionalFormatting sqref="M1108:Q1113">
    <cfRule type="cellIs" dxfId="918" priority="351" stopIfTrue="1" operator="equal">
      <formula>0</formula>
    </cfRule>
  </conditionalFormatting>
  <conditionalFormatting sqref="N1108:Q1110 N1112:Q1112">
    <cfRule type="cellIs" dxfId="917" priority="350" stopIfTrue="1" operator="equal">
      <formula>0</formula>
    </cfRule>
  </conditionalFormatting>
  <conditionalFormatting sqref="E1108:K1113">
    <cfRule type="cellIs" dxfId="916" priority="349" stopIfTrue="1" operator="equal">
      <formula>0</formula>
    </cfRule>
  </conditionalFormatting>
  <conditionalFormatting sqref="N1108:Q1110 N1112:Q1112">
    <cfRule type="cellIs" dxfId="915" priority="348" stopIfTrue="1" operator="equal">
      <formula>0</formula>
    </cfRule>
  </conditionalFormatting>
  <conditionalFormatting sqref="I1108:Q1113">
    <cfRule type="cellIs" dxfId="914" priority="347" stopIfTrue="1" operator="equal">
      <formula>0</formula>
    </cfRule>
  </conditionalFormatting>
  <conditionalFormatting sqref="N1108:Q1110 N1112:Q1112">
    <cfRule type="cellIs" dxfId="913" priority="346" stopIfTrue="1" operator="equal">
      <formula>0</formula>
    </cfRule>
  </conditionalFormatting>
  <conditionalFormatting sqref="Q1108:Q1113">
    <cfRule type="cellIs" dxfId="912" priority="345" stopIfTrue="1" operator="equal">
      <formula>0</formula>
    </cfRule>
  </conditionalFormatting>
  <conditionalFormatting sqref="Q1108:Q1113">
    <cfRule type="cellIs" dxfId="911" priority="344" stopIfTrue="1" operator="equal">
      <formula>0</formula>
    </cfRule>
  </conditionalFormatting>
  <conditionalFormatting sqref="Q1108:Q1113">
    <cfRule type="cellIs" dxfId="910" priority="343" stopIfTrue="1" operator="equal">
      <formula>0</formula>
    </cfRule>
  </conditionalFormatting>
  <conditionalFormatting sqref="Q1108:Q1110 Q1112 Q1114 S1116 S1118 S1120 S1122">
    <cfRule type="cellIs" dxfId="909" priority="342" stopIfTrue="1" operator="equal">
      <formula>0</formula>
    </cfRule>
  </conditionalFormatting>
  <conditionalFormatting sqref="Q1108:Q1113">
    <cfRule type="cellIs" dxfId="908" priority="341" stopIfTrue="1" operator="equal">
      <formula>0</formula>
    </cfRule>
  </conditionalFormatting>
  <conditionalFormatting sqref="Q1108:Q1110 Q1112 Q1114 S1116 S1118 S1120 S1122">
    <cfRule type="cellIs" dxfId="907" priority="340" stopIfTrue="1" operator="equal">
      <formula>0</formula>
    </cfRule>
  </conditionalFormatting>
  <conditionalFormatting sqref="Q1108:Q1110 Q1112 Q1114 S1116 S1118 S1120 S1122">
    <cfRule type="cellIs" dxfId="906" priority="339" stopIfTrue="1" operator="equal">
      <formula>0</formula>
    </cfRule>
  </conditionalFormatting>
  <conditionalFormatting sqref="Q1108:Q1113">
    <cfRule type="cellIs" dxfId="905" priority="338" stopIfTrue="1" operator="equal">
      <formula>0</formula>
    </cfRule>
  </conditionalFormatting>
  <conditionalFormatting sqref="Q1108:Q1110 Q1112 Q1114 S1116 S1118 S1120 S1122">
    <cfRule type="cellIs" dxfId="904" priority="337" stopIfTrue="1" operator="equal">
      <formula>0</formula>
    </cfRule>
  </conditionalFormatting>
  <conditionalFormatting sqref="Q1108:Q1113">
    <cfRule type="cellIs" dxfId="903" priority="336" stopIfTrue="1" operator="equal">
      <formula>0</formula>
    </cfRule>
  </conditionalFormatting>
  <conditionalFormatting sqref="Q1108:Q1110 Q1112 Q1114 S1116 S1118 S1120 S1122">
    <cfRule type="cellIs" dxfId="902" priority="335" stopIfTrue="1" operator="equal">
      <formula>0</formula>
    </cfRule>
  </conditionalFormatting>
  <conditionalFormatting sqref="Q1108:Q1113">
    <cfRule type="cellIs" dxfId="901" priority="334" stopIfTrue="1" operator="equal">
      <formula>0</formula>
    </cfRule>
  </conditionalFormatting>
  <conditionalFormatting sqref="Q1108:Q1110 Q1112 Q1114 S1116 S1118 S1120 S1122">
    <cfRule type="cellIs" dxfId="900" priority="333" stopIfTrue="1" operator="equal">
      <formula>0</formula>
    </cfRule>
  </conditionalFormatting>
  <conditionalFormatting sqref="Q1108:Q1110 Q1112 Q1114 S1116 S1118 S1120 S1122">
    <cfRule type="cellIs" dxfId="899" priority="332" stopIfTrue="1" operator="equal">
      <formula>0</formula>
    </cfRule>
  </conditionalFormatting>
  <conditionalFormatting sqref="Q1108:Q1113">
    <cfRule type="cellIs" dxfId="898" priority="331" stopIfTrue="1" operator="equal">
      <formula>0</formula>
    </cfRule>
  </conditionalFormatting>
  <conditionalFormatting sqref="Q1108:Q1110 Q1112 Q1114 S1116 S1118 S1120 S1122">
    <cfRule type="cellIs" dxfId="897" priority="330" stopIfTrue="1" operator="equal">
      <formula>0</formula>
    </cfRule>
  </conditionalFormatting>
  <conditionalFormatting sqref="Q1108:Q1113">
    <cfRule type="cellIs" dxfId="896" priority="329" stopIfTrue="1" operator="equal">
      <formula>0</formula>
    </cfRule>
  </conditionalFormatting>
  <conditionalFormatting sqref="Q1108:Q1113">
    <cfRule type="cellIs" dxfId="895" priority="328" stopIfTrue="1" operator="equal">
      <formula>0</formula>
    </cfRule>
  </conditionalFormatting>
  <conditionalFormatting sqref="Q1108:Q1110 Q1112 Q1114 S1116 S1118 S1120 S1122">
    <cfRule type="cellIs" dxfId="894" priority="327" stopIfTrue="1" operator="equal">
      <formula>0</formula>
    </cfRule>
  </conditionalFormatting>
  <conditionalFormatting sqref="Q1108:Q1113">
    <cfRule type="cellIs" dxfId="893" priority="326" stopIfTrue="1" operator="equal">
      <formula>0</formula>
    </cfRule>
  </conditionalFormatting>
  <conditionalFormatting sqref="Q1108:Q1110 Q1112 Q1114 S1116 S1118 S1120 S1122">
    <cfRule type="cellIs" dxfId="892" priority="325" stopIfTrue="1" operator="equal">
      <formula>0</formula>
    </cfRule>
  </conditionalFormatting>
  <conditionalFormatting sqref="Q1108:Q1110 Q1112 Q1114 S1116 S1118 S1120 S1122">
    <cfRule type="cellIs" dxfId="891" priority="324" stopIfTrue="1" operator="equal">
      <formula>0</formula>
    </cfRule>
  </conditionalFormatting>
  <conditionalFormatting sqref="Q1108:Q1113">
    <cfRule type="cellIs" dxfId="890" priority="323" stopIfTrue="1" operator="equal">
      <formula>0</formula>
    </cfRule>
  </conditionalFormatting>
  <conditionalFormatting sqref="Q1108:Q1110 Q1112 Q1114 S1116 S1118 S1120 S1122">
    <cfRule type="cellIs" dxfId="889" priority="322" stopIfTrue="1" operator="equal">
      <formula>0</formula>
    </cfRule>
  </conditionalFormatting>
  <conditionalFormatting sqref="Q1108:Q1113">
    <cfRule type="cellIs" dxfId="888" priority="321" stopIfTrue="1" operator="equal">
      <formula>0</formula>
    </cfRule>
  </conditionalFormatting>
  <conditionalFormatting sqref="Q1108:Q1110 Q1112 Q1114 S1116 S1118 S1120 S1122">
    <cfRule type="cellIs" dxfId="887" priority="320" stopIfTrue="1" operator="equal">
      <formula>0</formula>
    </cfRule>
  </conditionalFormatting>
  <conditionalFormatting sqref="Q1108:Q1113">
    <cfRule type="cellIs" dxfId="886" priority="319" stopIfTrue="1" operator="equal">
      <formula>0</formula>
    </cfRule>
  </conditionalFormatting>
  <conditionalFormatting sqref="Q1108:Q1110 Q1112 Q1114 S1116 S1118 S1120 S1122">
    <cfRule type="cellIs" dxfId="885" priority="318" stopIfTrue="1" operator="equal">
      <formula>0</formula>
    </cfRule>
  </conditionalFormatting>
  <conditionalFormatting sqref="Q1108:Q1110 Q1112 Q1114 S1116 S1118 S1120 S1122">
    <cfRule type="cellIs" dxfId="884" priority="317" stopIfTrue="1" operator="equal">
      <formula>0</formula>
    </cfRule>
  </conditionalFormatting>
  <conditionalFormatting sqref="Q1108:Q1113">
    <cfRule type="cellIs" dxfId="883" priority="316" stopIfTrue="1" operator="equal">
      <formula>0</formula>
    </cfRule>
  </conditionalFormatting>
  <conditionalFormatting sqref="Q1108:Q1110 Q1112 Q1114 S1116 S1118 S1120 S1122">
    <cfRule type="cellIs" dxfId="882" priority="315" stopIfTrue="1" operator="equal">
      <formula>0</formula>
    </cfRule>
  </conditionalFormatting>
  <conditionalFormatting sqref="Q1108:Q1113">
    <cfRule type="cellIs" dxfId="881" priority="314" stopIfTrue="1" operator="equal">
      <formula>0</formula>
    </cfRule>
  </conditionalFormatting>
  <conditionalFormatting sqref="Q1108:Q1113">
    <cfRule type="cellIs" dxfId="880" priority="313" stopIfTrue="1" operator="equal">
      <formula>0</formula>
    </cfRule>
  </conditionalFormatting>
  <conditionalFormatting sqref="Q1108:Q1110 Q1112 Q1114 S1116 S1118 S1120 S1122">
    <cfRule type="cellIs" dxfId="879" priority="312" stopIfTrue="1" operator="equal">
      <formula>0</formula>
    </cfRule>
  </conditionalFormatting>
  <conditionalFormatting sqref="Q1108:Q1113">
    <cfRule type="cellIs" dxfId="878" priority="311" stopIfTrue="1" operator="equal">
      <formula>0</formula>
    </cfRule>
  </conditionalFormatting>
  <conditionalFormatting sqref="Q1108:Q1110 Q1112 Q1114 S1116 S1118 S1120 S1122">
    <cfRule type="cellIs" dxfId="877" priority="310" stopIfTrue="1" operator="equal">
      <formula>0</formula>
    </cfRule>
  </conditionalFormatting>
  <conditionalFormatting sqref="Q1108:Q1110 Q1112 Q1114 S1116 S1118 S1120 S1122">
    <cfRule type="cellIs" dxfId="876" priority="309" stopIfTrue="1" operator="equal">
      <formula>0</formula>
    </cfRule>
  </conditionalFormatting>
  <conditionalFormatting sqref="Q1108:Q1113">
    <cfRule type="cellIs" dxfId="875" priority="308" stopIfTrue="1" operator="equal">
      <formula>0</formula>
    </cfRule>
  </conditionalFormatting>
  <conditionalFormatting sqref="Q1108:Q1110 Q1112 Q1114 S1116 S1118 S1120 S1122">
    <cfRule type="cellIs" dxfId="874" priority="307" stopIfTrue="1" operator="equal">
      <formula>0</formula>
    </cfRule>
  </conditionalFormatting>
  <conditionalFormatting sqref="Q1108:Q1113">
    <cfRule type="cellIs" dxfId="873" priority="306" stopIfTrue="1" operator="equal">
      <formula>0</formula>
    </cfRule>
  </conditionalFormatting>
  <conditionalFormatting sqref="Q1108:Q1110 Q1112 Q1114 S1116 S1118 S1120 S1122">
    <cfRule type="cellIs" dxfId="872" priority="305" stopIfTrue="1" operator="equal">
      <formula>0</formula>
    </cfRule>
  </conditionalFormatting>
  <conditionalFormatting sqref="Q1108:Q1113">
    <cfRule type="cellIs" dxfId="871" priority="304" stopIfTrue="1" operator="equal">
      <formula>0</formula>
    </cfRule>
  </conditionalFormatting>
  <conditionalFormatting sqref="Q1108:Q1110 Q1112 Q1114 S1116 S1118 S1120 S1122">
    <cfRule type="cellIs" dxfId="870" priority="303" stopIfTrue="1" operator="equal">
      <formula>0</formula>
    </cfRule>
  </conditionalFormatting>
  <conditionalFormatting sqref="Q1108:Q1110 Q1112 Q1114 S1116 S1118 S1120 S1122">
    <cfRule type="cellIs" dxfId="869" priority="302" stopIfTrue="1" operator="equal">
      <formula>0</formula>
    </cfRule>
  </conditionalFormatting>
  <conditionalFormatting sqref="Q1108:Q1113">
    <cfRule type="cellIs" dxfId="868" priority="301" stopIfTrue="1" operator="equal">
      <formula>0</formula>
    </cfRule>
  </conditionalFormatting>
  <conditionalFormatting sqref="Q1108:Q1110 Q1112 Q1114 S1116 S1118 S1120 S1122">
    <cfRule type="cellIs" dxfId="867" priority="300" stopIfTrue="1" operator="equal">
      <formula>0</formula>
    </cfRule>
  </conditionalFormatting>
  <conditionalFormatting sqref="Q1108:Q1113">
    <cfRule type="cellIs" dxfId="866" priority="299" stopIfTrue="1" operator="equal">
      <formula>0</formula>
    </cfRule>
  </conditionalFormatting>
  <conditionalFormatting sqref="Q1108:Q1110 Q1112 Q1114 S1116 S1118 S1120 S1122">
    <cfRule type="cellIs" dxfId="865" priority="298" stopIfTrue="1" operator="equal">
      <formula>0</formula>
    </cfRule>
  </conditionalFormatting>
  <conditionalFormatting sqref="Q1108:Q1113">
    <cfRule type="cellIs" dxfId="864" priority="297" stopIfTrue="1" operator="equal">
      <formula>0</formula>
    </cfRule>
  </conditionalFormatting>
  <conditionalFormatting sqref="Q1108:Q1110 Q1112 Q1114 S1116 S1118 S1120 S1122">
    <cfRule type="cellIs" dxfId="863" priority="296" stopIfTrue="1" operator="equal">
      <formula>0</formula>
    </cfRule>
  </conditionalFormatting>
  <conditionalFormatting sqref="Q1108:Q1110 Q1112 Q1114 S1116 S1118 S1120 S1122">
    <cfRule type="cellIs" dxfId="862" priority="295" stopIfTrue="1" operator="equal">
      <formula>0</formula>
    </cfRule>
  </conditionalFormatting>
  <conditionalFormatting sqref="Q1108:Q1113">
    <cfRule type="cellIs" dxfId="861" priority="294" stopIfTrue="1" operator="equal">
      <formula>0</formula>
    </cfRule>
  </conditionalFormatting>
  <conditionalFormatting sqref="Q1108:Q1110 Q1112 Q1114 S1116 S1118 S1120 S1122">
    <cfRule type="cellIs" dxfId="860" priority="293" stopIfTrue="1" operator="equal">
      <formula>0</formula>
    </cfRule>
  </conditionalFormatting>
  <conditionalFormatting sqref="P900 P902 P904 P906 P908 P910 P920 P922 P924 P926 P928 P930 P940 P942 P944 P946 P948 P950">
    <cfRule type="cellIs" dxfId="859" priority="278" stopIfTrue="1" operator="equal">
      <formula>0</formula>
    </cfRule>
  </conditionalFormatting>
  <conditionalFormatting sqref="F900:H919 J900:O919 Q900:Q919">
    <cfRule type="cellIs" dxfId="858" priority="292" stopIfTrue="1" operator="equal">
      <formula>0</formula>
    </cfRule>
  </conditionalFormatting>
  <conditionalFormatting sqref="F920:H939 J920:O939 Q920:Q939">
    <cfRule type="cellIs" dxfId="857" priority="290" stopIfTrue="1" operator="equal">
      <formula>0</formula>
    </cfRule>
  </conditionalFormatting>
  <conditionalFormatting sqref="N900:O900 N902:O902 N904:O904 N906:O906 N908:O908 N910:O910 Q910 Q908 Q906 Q904 Q902 Q900">
    <cfRule type="cellIs" dxfId="856" priority="291" stopIfTrue="1" operator="equal">
      <formula>0</formula>
    </cfRule>
  </conditionalFormatting>
  <conditionalFormatting sqref="N920:O920 N922:O922 N924:O924 N926:O926 N928:O928 N930:O930 Q930 Q928 Q926 Q924 Q922 Q920">
    <cfRule type="cellIs" dxfId="855" priority="289" stopIfTrue="1" operator="equal">
      <formula>0</formula>
    </cfRule>
  </conditionalFormatting>
  <conditionalFormatting sqref="F940:O959 Q940:Q959">
    <cfRule type="cellIs" dxfId="854" priority="288" stopIfTrue="1" operator="equal">
      <formula>0</formula>
    </cfRule>
  </conditionalFormatting>
  <conditionalFormatting sqref="N940:O940 N942:O942 N944:O944 N946:O946 N948:O948 N950:O950 Q950 Q948 Q946 Q944 Q942 Q940">
    <cfRule type="cellIs" dxfId="853" priority="287" stopIfTrue="1" operator="equal">
      <formula>0</formula>
    </cfRule>
  </conditionalFormatting>
  <conditionalFormatting sqref="I900:I939">
    <cfRule type="cellIs" dxfId="852" priority="286" stopIfTrue="1" operator="equal">
      <formula>0</formula>
    </cfRule>
  </conditionalFormatting>
  <conditionalFormatting sqref="P900:P959">
    <cfRule type="cellIs" dxfId="851" priority="279" stopIfTrue="1" operator="equal">
      <formula>0</formula>
    </cfRule>
  </conditionalFormatting>
  <conditionalFormatting sqref="P900 P902 P904 P906 P908 P910 P920 P922 P924 P926 P928 P930 P940 P942 P944 P946 P948 P950">
    <cfRule type="cellIs" dxfId="850" priority="280" stopIfTrue="1" operator="equal">
      <formula>0</formula>
    </cfRule>
  </conditionalFormatting>
  <conditionalFormatting sqref="E940:E959">
    <cfRule type="cellIs" dxfId="849" priority="285" stopIfTrue="1" operator="equal">
      <formula>0</formula>
    </cfRule>
  </conditionalFormatting>
  <conditionalFormatting sqref="P900 P902 P904 P906 P908 P910 P920 P922 P924 P926 P928 P930 P940 P942 P944 P946 P948 P950">
    <cfRule type="cellIs" dxfId="848" priority="283" stopIfTrue="1" operator="equal">
      <formula>0</formula>
    </cfRule>
  </conditionalFormatting>
  <conditionalFormatting sqref="P900:P959">
    <cfRule type="cellIs" dxfId="847" priority="282" stopIfTrue="1" operator="equal">
      <formula>0</formula>
    </cfRule>
  </conditionalFormatting>
  <conditionalFormatting sqref="P900 P902 P904 P906 P908 P910 P920 P922 P924 P926 P928 P930 P940 P942 P944 P946 P948 P950">
    <cfRule type="cellIs" dxfId="846" priority="281" stopIfTrue="1" operator="equal">
      <formula>0</formula>
    </cfRule>
  </conditionalFormatting>
  <conditionalFormatting sqref="P900:P959">
    <cfRule type="cellIs" dxfId="845" priority="284" stopIfTrue="1" operator="equal">
      <formula>0</formula>
    </cfRule>
  </conditionalFormatting>
  <conditionalFormatting sqref="E900:E939">
    <cfRule type="cellIs" dxfId="844" priority="277" stopIfTrue="1" operator="equal">
      <formula>0</formula>
    </cfRule>
  </conditionalFormatting>
  <conditionalFormatting sqref="F960:G979 Q960 I962:N962 J960:O961 I964:N964 J963:N963 I966:N966 J965:N965 I968:N968 J967:N967 I970:N970 J969:N969 J971:N979">
    <cfRule type="cellIs" dxfId="843" priority="276" stopIfTrue="1" operator="equal">
      <formula>0</formula>
    </cfRule>
  </conditionalFormatting>
  <conditionalFormatting sqref="Q960 N962 N964 N966 N968 N970 N960:O960">
    <cfRule type="cellIs" dxfId="842" priority="275" stopIfTrue="1" operator="equal">
      <formula>0</formula>
    </cfRule>
  </conditionalFormatting>
  <conditionalFormatting sqref="E960:E979">
    <cfRule type="cellIs" dxfId="841" priority="274" stopIfTrue="1" operator="equal">
      <formula>0</formula>
    </cfRule>
  </conditionalFormatting>
  <conditionalFormatting sqref="P960">
    <cfRule type="cellIs" dxfId="840" priority="273" stopIfTrue="1" operator="equal">
      <formula>0</formula>
    </cfRule>
  </conditionalFormatting>
  <conditionalFormatting sqref="P960">
    <cfRule type="cellIs" dxfId="839" priority="272" stopIfTrue="1" operator="equal">
      <formula>0</formula>
    </cfRule>
  </conditionalFormatting>
  <conditionalFormatting sqref="H960:H979">
    <cfRule type="cellIs" dxfId="838" priority="271" stopIfTrue="1" operator="equal">
      <formula>0</formula>
    </cfRule>
  </conditionalFormatting>
  <conditionalFormatting sqref="P961">
    <cfRule type="cellIs" dxfId="837" priority="270" stopIfTrue="1" operator="equal">
      <formula>0</formula>
    </cfRule>
  </conditionalFormatting>
  <conditionalFormatting sqref="P962 P964 P966 P968 P970">
    <cfRule type="cellIs" dxfId="836" priority="269" stopIfTrue="1" operator="equal">
      <formula>0</formula>
    </cfRule>
  </conditionalFormatting>
  <conditionalFormatting sqref="P962 P964 P966 P968 P970">
    <cfRule type="cellIs" dxfId="835" priority="268" stopIfTrue="1" operator="equal">
      <formula>0</formula>
    </cfRule>
  </conditionalFormatting>
  <conditionalFormatting sqref="P963 P965 P967 P969 P971:P979">
    <cfRule type="cellIs" dxfId="834" priority="267" stopIfTrue="1" operator="equal">
      <formula>0</formula>
    </cfRule>
  </conditionalFormatting>
  <conditionalFormatting sqref="Q961">
    <cfRule type="cellIs" dxfId="833" priority="266" stopIfTrue="1" operator="equal">
      <formula>0</formula>
    </cfRule>
  </conditionalFormatting>
  <conditionalFormatting sqref="Q962 Q964 Q966 Q968 Q970">
    <cfRule type="cellIs" dxfId="832" priority="265" stopIfTrue="1" operator="equal">
      <formula>0</formula>
    </cfRule>
  </conditionalFormatting>
  <conditionalFormatting sqref="Q962 Q964 Q966 Q968 Q970">
    <cfRule type="cellIs" dxfId="831" priority="264" stopIfTrue="1" operator="equal">
      <formula>0</formula>
    </cfRule>
  </conditionalFormatting>
  <conditionalFormatting sqref="Q963 Q965 Q967 Q969 Q971:Q979">
    <cfRule type="cellIs" dxfId="830" priority="263" stopIfTrue="1" operator="equal">
      <formula>0</formula>
    </cfRule>
  </conditionalFormatting>
  <conditionalFormatting sqref="I960">
    <cfRule type="cellIs" dxfId="829" priority="262" stopIfTrue="1" operator="equal">
      <formula>0</formula>
    </cfRule>
  </conditionalFormatting>
  <conditionalFormatting sqref="I961">
    <cfRule type="cellIs" dxfId="828" priority="261" stopIfTrue="1" operator="equal">
      <formula>0</formula>
    </cfRule>
  </conditionalFormatting>
  <conditionalFormatting sqref="I963">
    <cfRule type="cellIs" dxfId="827" priority="260" stopIfTrue="1" operator="equal">
      <formula>0</formula>
    </cfRule>
  </conditionalFormatting>
  <conditionalFormatting sqref="I965">
    <cfRule type="cellIs" dxfId="826" priority="259" stopIfTrue="1" operator="equal">
      <formula>0</formula>
    </cfRule>
  </conditionalFormatting>
  <conditionalFormatting sqref="I967">
    <cfRule type="cellIs" dxfId="825" priority="258" stopIfTrue="1" operator="equal">
      <formula>0</formula>
    </cfRule>
  </conditionalFormatting>
  <conditionalFormatting sqref="I969">
    <cfRule type="cellIs" dxfId="824" priority="257" stopIfTrue="1" operator="equal">
      <formula>0</formula>
    </cfRule>
  </conditionalFormatting>
  <conditionalFormatting sqref="I971:I979">
    <cfRule type="cellIs" dxfId="823" priority="256" stopIfTrue="1" operator="equal">
      <formula>0</formula>
    </cfRule>
  </conditionalFormatting>
  <conditionalFormatting sqref="F980:G999 Q980 I982:N982 J980:N981 I984:N984 J983:N983 I986:N986 J985:N985 I988:N988 J987:N987 I990:N990 J989:N989 J991:N999">
    <cfRule type="cellIs" dxfId="822" priority="255" stopIfTrue="1" operator="equal">
      <formula>0</formula>
    </cfRule>
  </conditionalFormatting>
  <conditionalFormatting sqref="Q980 N982 N984 N986 N988 N990 N980">
    <cfRule type="cellIs" dxfId="821" priority="254" stopIfTrue="1" operator="equal">
      <formula>0</formula>
    </cfRule>
  </conditionalFormatting>
  <conditionalFormatting sqref="E980:E999">
    <cfRule type="cellIs" dxfId="820" priority="253" stopIfTrue="1" operator="equal">
      <formula>0</formula>
    </cfRule>
  </conditionalFormatting>
  <conditionalFormatting sqref="P980">
    <cfRule type="cellIs" dxfId="819" priority="252" stopIfTrue="1" operator="equal">
      <formula>0</formula>
    </cfRule>
  </conditionalFormatting>
  <conditionalFormatting sqref="P980">
    <cfRule type="cellIs" dxfId="818" priority="251" stopIfTrue="1" operator="equal">
      <formula>0</formula>
    </cfRule>
  </conditionalFormatting>
  <conditionalFormatting sqref="H980:H999">
    <cfRule type="cellIs" dxfId="817" priority="250" stopIfTrue="1" operator="equal">
      <formula>0</formula>
    </cfRule>
  </conditionalFormatting>
  <conditionalFormatting sqref="P981">
    <cfRule type="cellIs" dxfId="816" priority="249" stopIfTrue="1" operator="equal">
      <formula>0</formula>
    </cfRule>
  </conditionalFormatting>
  <conditionalFormatting sqref="P982 P984 P986 P988 P990">
    <cfRule type="cellIs" dxfId="815" priority="248" stopIfTrue="1" operator="equal">
      <formula>0</formula>
    </cfRule>
  </conditionalFormatting>
  <conditionalFormatting sqref="P982 P984 P986 P988 P990">
    <cfRule type="cellIs" dxfId="814" priority="247" stopIfTrue="1" operator="equal">
      <formula>0</formula>
    </cfRule>
  </conditionalFormatting>
  <conditionalFormatting sqref="P983 P985 P987 P989 P991:P999">
    <cfRule type="cellIs" dxfId="813" priority="246" stopIfTrue="1" operator="equal">
      <formula>0</formula>
    </cfRule>
  </conditionalFormatting>
  <conditionalFormatting sqref="Q981">
    <cfRule type="cellIs" dxfId="812" priority="245" stopIfTrue="1" operator="equal">
      <formula>0</formula>
    </cfRule>
  </conditionalFormatting>
  <conditionalFormatting sqref="Q982 Q984 Q986 Q988 Q990">
    <cfRule type="cellIs" dxfId="811" priority="244" stopIfTrue="1" operator="equal">
      <formula>0</formula>
    </cfRule>
  </conditionalFormatting>
  <conditionalFormatting sqref="Q982 Q984 Q986 Q988 Q990">
    <cfRule type="cellIs" dxfId="810" priority="243" stopIfTrue="1" operator="equal">
      <formula>0</formula>
    </cfRule>
  </conditionalFormatting>
  <conditionalFormatting sqref="Q983 Q985 Q987 Q989 Q991:Q999">
    <cfRule type="cellIs" dxfId="809" priority="242" stopIfTrue="1" operator="equal">
      <formula>0</formula>
    </cfRule>
  </conditionalFormatting>
  <conditionalFormatting sqref="I980">
    <cfRule type="cellIs" dxfId="808" priority="241" stopIfTrue="1" operator="equal">
      <formula>0</formula>
    </cfRule>
  </conditionalFormatting>
  <conditionalFormatting sqref="I981">
    <cfRule type="cellIs" dxfId="807" priority="240" stopIfTrue="1" operator="equal">
      <formula>0</formula>
    </cfRule>
  </conditionalFormatting>
  <conditionalFormatting sqref="I983">
    <cfRule type="cellIs" dxfId="806" priority="239" stopIfTrue="1" operator="equal">
      <formula>0</formula>
    </cfRule>
  </conditionalFormatting>
  <conditionalFormatting sqref="I985">
    <cfRule type="cellIs" dxfId="805" priority="238" stopIfTrue="1" operator="equal">
      <formula>0</formula>
    </cfRule>
  </conditionalFormatting>
  <conditionalFormatting sqref="I987">
    <cfRule type="cellIs" dxfId="804" priority="237" stopIfTrue="1" operator="equal">
      <formula>0</formula>
    </cfRule>
  </conditionalFormatting>
  <conditionalFormatting sqref="I989">
    <cfRule type="cellIs" dxfId="803" priority="236" stopIfTrue="1" operator="equal">
      <formula>0</formula>
    </cfRule>
  </conditionalFormatting>
  <conditionalFormatting sqref="I991:I999">
    <cfRule type="cellIs" dxfId="802" priority="235" stopIfTrue="1" operator="equal">
      <formula>0</formula>
    </cfRule>
  </conditionalFormatting>
  <conditionalFormatting sqref="O962:O999">
    <cfRule type="cellIs" dxfId="801" priority="234" stopIfTrue="1" operator="equal">
      <formula>0</formula>
    </cfRule>
  </conditionalFormatting>
  <conditionalFormatting sqref="O962 O964 O966 O968 O970 O980 O982 O984 O986 O988 O990">
    <cfRule type="cellIs" dxfId="800" priority="233" stopIfTrue="1" operator="equal">
      <formula>0</formula>
    </cfRule>
  </conditionalFormatting>
  <conditionalFormatting sqref="R900:R999">
    <cfRule type="cellIs" dxfId="799" priority="231" stopIfTrue="1" operator="equal">
      <formula>0</formula>
    </cfRule>
  </conditionalFormatting>
  <conditionalFormatting sqref="R900 R902 R904 R906 R908 R910 R920 R922 R924 R926 R928 R930 R940 R942 R944 R946 R948 R950 R960 R962 R964 R966 R968 R970 R980 R982 R984 R986 R988 R990">
    <cfRule type="cellIs" dxfId="798" priority="232" stopIfTrue="1" operator="equal">
      <formula>0</formula>
    </cfRule>
  </conditionalFormatting>
  <conditionalFormatting sqref="R900:R999">
    <cfRule type="cellIs" dxfId="797" priority="230" stopIfTrue="1" operator="equal">
      <formula>0</formula>
    </cfRule>
  </conditionalFormatting>
  <conditionalFormatting sqref="R900 R902 R904 R906 R908 R910 R920 R922 R924 R926 R928 R930 R940 R942 R944 R946 R948 R950 R960 R962 R964 R966 R968 R970 R980 R982 R984 R986 R988 R990">
    <cfRule type="cellIs" dxfId="796" priority="229" stopIfTrue="1" operator="equal">
      <formula>0</formula>
    </cfRule>
  </conditionalFormatting>
  <conditionalFormatting sqref="R1113:R1118">
    <cfRule type="cellIs" dxfId="795" priority="227" stopIfTrue="1" operator="equal">
      <formula>0</formula>
    </cfRule>
  </conditionalFormatting>
  <conditionalFormatting sqref="R1113 R1115 R1117">
    <cfRule type="cellIs" dxfId="794" priority="228" stopIfTrue="1" operator="equal">
      <formula>0</formula>
    </cfRule>
  </conditionalFormatting>
  <conditionalFormatting sqref="R1108:R1112">
    <cfRule type="cellIs" dxfId="793" priority="225" stopIfTrue="1" operator="equal">
      <formula>0</formula>
    </cfRule>
  </conditionalFormatting>
  <conditionalFormatting sqref="R1108:R1110 R1112">
    <cfRule type="cellIs" dxfId="792" priority="226" stopIfTrue="1" operator="equal">
      <formula>0</formula>
    </cfRule>
  </conditionalFormatting>
  <conditionalFormatting sqref="R900:R919">
    <cfRule type="cellIs" dxfId="791" priority="224" stopIfTrue="1" operator="equal">
      <formula>0</formula>
    </cfRule>
  </conditionalFormatting>
  <conditionalFormatting sqref="R900 R902 R904 R906 R908 R910">
    <cfRule type="cellIs" dxfId="790" priority="223" stopIfTrue="1" operator="equal">
      <formula>0</formula>
    </cfRule>
  </conditionalFormatting>
  <conditionalFormatting sqref="R920:R939">
    <cfRule type="cellIs" dxfId="789" priority="222" stopIfTrue="1" operator="equal">
      <formula>0</formula>
    </cfRule>
  </conditionalFormatting>
  <conditionalFormatting sqref="R920 R930 R928 R926 R924 R922">
    <cfRule type="cellIs" dxfId="788" priority="221" stopIfTrue="1" operator="equal">
      <formula>0</formula>
    </cfRule>
  </conditionalFormatting>
  <conditionalFormatting sqref="R940:R959">
    <cfRule type="cellIs" dxfId="787" priority="220" stopIfTrue="1" operator="equal">
      <formula>0</formula>
    </cfRule>
  </conditionalFormatting>
  <conditionalFormatting sqref="R950 R948 R946 R944 R942 R940">
    <cfRule type="cellIs" dxfId="786" priority="219" stopIfTrue="1" operator="equal">
      <formula>0</formula>
    </cfRule>
  </conditionalFormatting>
  <conditionalFormatting sqref="R960">
    <cfRule type="cellIs" dxfId="785" priority="218" stopIfTrue="1" operator="equal">
      <formula>0</formula>
    </cfRule>
  </conditionalFormatting>
  <conditionalFormatting sqref="R960">
    <cfRule type="cellIs" dxfId="784" priority="217" stopIfTrue="1" operator="equal">
      <formula>0</formula>
    </cfRule>
  </conditionalFormatting>
  <conditionalFormatting sqref="R961">
    <cfRule type="cellIs" dxfId="783" priority="216" stopIfTrue="1" operator="equal">
      <formula>0</formula>
    </cfRule>
  </conditionalFormatting>
  <conditionalFormatting sqref="R962 R964 R966 R968 R970">
    <cfRule type="cellIs" dxfId="782" priority="215" stopIfTrue="1" operator="equal">
      <formula>0</formula>
    </cfRule>
  </conditionalFormatting>
  <conditionalFormatting sqref="R962 R964 R966 R968 R970">
    <cfRule type="cellIs" dxfId="781" priority="214" stopIfTrue="1" operator="equal">
      <formula>0</formula>
    </cfRule>
  </conditionalFormatting>
  <conditionalFormatting sqref="R963 R965 R967 R969 R971:R979">
    <cfRule type="cellIs" dxfId="780" priority="213" stopIfTrue="1" operator="equal">
      <formula>0</formula>
    </cfRule>
  </conditionalFormatting>
  <conditionalFormatting sqref="R980">
    <cfRule type="cellIs" dxfId="779" priority="212" stopIfTrue="1" operator="equal">
      <formula>0</formula>
    </cfRule>
  </conditionalFormatting>
  <conditionalFormatting sqref="R980">
    <cfRule type="cellIs" dxfId="778" priority="211" stopIfTrue="1" operator="equal">
      <formula>0</formula>
    </cfRule>
  </conditionalFormatting>
  <conditionalFormatting sqref="R981">
    <cfRule type="cellIs" dxfId="777" priority="210" stopIfTrue="1" operator="equal">
      <formula>0</formula>
    </cfRule>
  </conditionalFormatting>
  <conditionalFormatting sqref="R982 R984 R986 R988 R990">
    <cfRule type="cellIs" dxfId="776" priority="209" stopIfTrue="1" operator="equal">
      <formula>0</formula>
    </cfRule>
  </conditionalFormatting>
  <conditionalFormatting sqref="R982 R984 R986 R988 R990">
    <cfRule type="cellIs" dxfId="775" priority="208" stopIfTrue="1" operator="equal">
      <formula>0</formula>
    </cfRule>
  </conditionalFormatting>
  <conditionalFormatting sqref="R983 R985 R987 R989 R991:R999">
    <cfRule type="cellIs" dxfId="774" priority="207" stopIfTrue="1" operator="equal">
      <formula>0</formula>
    </cfRule>
  </conditionalFormatting>
  <conditionalFormatting sqref="F1000:G1019 Q1000 I1002:N1002 J1000:N1001 I1004:N1004 J1003:N1003 I1006:N1006 J1005:N1005 I1008:N1008 J1007:N1007 I1010:N1010 J1009:N1009 J1011:N1019">
    <cfRule type="cellIs" dxfId="773" priority="206" stopIfTrue="1" operator="equal">
      <formula>0</formula>
    </cfRule>
  </conditionalFormatting>
  <conditionalFormatting sqref="Q1000 N1002 N1004 N1006 N1008 N1010 N1000">
    <cfRule type="cellIs" dxfId="772" priority="205" stopIfTrue="1" operator="equal">
      <formula>0</formula>
    </cfRule>
  </conditionalFormatting>
  <conditionalFormatting sqref="E1000:E1019">
    <cfRule type="cellIs" dxfId="771" priority="204" stopIfTrue="1" operator="equal">
      <formula>0</formula>
    </cfRule>
  </conditionalFormatting>
  <conditionalFormatting sqref="P1000">
    <cfRule type="cellIs" dxfId="770" priority="203" stopIfTrue="1" operator="equal">
      <formula>0</formula>
    </cfRule>
  </conditionalFormatting>
  <conditionalFormatting sqref="P1000">
    <cfRule type="cellIs" dxfId="769" priority="202" stopIfTrue="1" operator="equal">
      <formula>0</formula>
    </cfRule>
  </conditionalFormatting>
  <conditionalFormatting sqref="H1000:H1019">
    <cfRule type="cellIs" dxfId="768" priority="201" stopIfTrue="1" operator="equal">
      <formula>0</formula>
    </cfRule>
  </conditionalFormatting>
  <conditionalFormatting sqref="P1001">
    <cfRule type="cellIs" dxfId="767" priority="200" stopIfTrue="1" operator="equal">
      <formula>0</formula>
    </cfRule>
  </conditionalFormatting>
  <conditionalFormatting sqref="P1002 P1004 P1006 P1008 P1010">
    <cfRule type="cellIs" dxfId="766" priority="199" stopIfTrue="1" operator="equal">
      <formula>0</formula>
    </cfRule>
  </conditionalFormatting>
  <conditionalFormatting sqref="P1002 P1004 P1006 P1008 P1010">
    <cfRule type="cellIs" dxfId="765" priority="198" stopIfTrue="1" operator="equal">
      <formula>0</formula>
    </cfRule>
  </conditionalFormatting>
  <conditionalFormatting sqref="P1003 P1005 P1007 P1009 P1011:P1019">
    <cfRule type="cellIs" dxfId="764" priority="197" stopIfTrue="1" operator="equal">
      <formula>0</formula>
    </cfRule>
  </conditionalFormatting>
  <conditionalFormatting sqref="Q1001">
    <cfRule type="cellIs" dxfId="763" priority="196" stopIfTrue="1" operator="equal">
      <formula>0</formula>
    </cfRule>
  </conditionalFormatting>
  <conditionalFormatting sqref="Q1002 Q1004 Q1006 Q1008 Q1010">
    <cfRule type="cellIs" dxfId="762" priority="195" stopIfTrue="1" operator="equal">
      <formula>0</formula>
    </cfRule>
  </conditionalFormatting>
  <conditionalFormatting sqref="Q1002 Q1004 Q1006 Q1008 Q1010">
    <cfRule type="cellIs" dxfId="761" priority="194" stopIfTrue="1" operator="equal">
      <formula>0</formula>
    </cfRule>
  </conditionalFormatting>
  <conditionalFormatting sqref="Q1003 Q1005 Q1007 Q1009 Q1011:Q1019">
    <cfRule type="cellIs" dxfId="760" priority="193" stopIfTrue="1" operator="equal">
      <formula>0</formula>
    </cfRule>
  </conditionalFormatting>
  <conditionalFormatting sqref="I1000">
    <cfRule type="cellIs" dxfId="759" priority="192" stopIfTrue="1" operator="equal">
      <formula>0</formula>
    </cfRule>
  </conditionalFormatting>
  <conditionalFormatting sqref="I1001">
    <cfRule type="cellIs" dxfId="758" priority="191" stopIfTrue="1" operator="equal">
      <formula>0</formula>
    </cfRule>
  </conditionalFormatting>
  <conditionalFormatting sqref="I1003">
    <cfRule type="cellIs" dxfId="757" priority="190" stopIfTrue="1" operator="equal">
      <formula>0</formula>
    </cfRule>
  </conditionalFormatting>
  <conditionalFormatting sqref="I1005">
    <cfRule type="cellIs" dxfId="756" priority="189" stopIfTrue="1" operator="equal">
      <formula>0</formula>
    </cfRule>
  </conditionalFormatting>
  <conditionalFormatting sqref="I1007">
    <cfRule type="cellIs" dxfId="755" priority="188" stopIfTrue="1" operator="equal">
      <formula>0</formula>
    </cfRule>
  </conditionalFormatting>
  <conditionalFormatting sqref="I1009">
    <cfRule type="cellIs" dxfId="754" priority="187" stopIfTrue="1" operator="equal">
      <formula>0</formula>
    </cfRule>
  </conditionalFormatting>
  <conditionalFormatting sqref="I1011:I1019">
    <cfRule type="cellIs" dxfId="753" priority="186" stopIfTrue="1" operator="equal">
      <formula>0</formula>
    </cfRule>
  </conditionalFormatting>
  <conditionalFormatting sqref="O1000:O1019">
    <cfRule type="cellIs" dxfId="752" priority="185" stopIfTrue="1" operator="equal">
      <formula>0</formula>
    </cfRule>
  </conditionalFormatting>
  <conditionalFormatting sqref="O1000 O1002 O1004 O1006 O1008 O1010">
    <cfRule type="cellIs" dxfId="751" priority="184" stopIfTrue="1" operator="equal">
      <formula>0</formula>
    </cfRule>
  </conditionalFormatting>
  <conditionalFormatting sqref="R1000:R1019">
    <cfRule type="cellIs" dxfId="750" priority="182" stopIfTrue="1" operator="equal">
      <formula>0</formula>
    </cfRule>
  </conditionalFormatting>
  <conditionalFormatting sqref="R1000 R1002 R1004 R1006 R1008 R1010">
    <cfRule type="cellIs" dxfId="749" priority="183" stopIfTrue="1" operator="equal">
      <formula>0</formula>
    </cfRule>
  </conditionalFormatting>
  <conditionalFormatting sqref="R1000:R1019">
    <cfRule type="cellIs" dxfId="748" priority="181" stopIfTrue="1" operator="equal">
      <formula>0</formula>
    </cfRule>
  </conditionalFormatting>
  <conditionalFormatting sqref="R1000 R1002 R1004 R1006 R1008 R1010">
    <cfRule type="cellIs" dxfId="747" priority="180" stopIfTrue="1" operator="equal">
      <formula>0</formula>
    </cfRule>
  </conditionalFormatting>
  <conditionalFormatting sqref="R1000">
    <cfRule type="cellIs" dxfId="746" priority="179" stopIfTrue="1" operator="equal">
      <formula>0</formula>
    </cfRule>
  </conditionalFormatting>
  <conditionalFormatting sqref="R1000">
    <cfRule type="cellIs" dxfId="745" priority="178" stopIfTrue="1" operator="equal">
      <formula>0</formula>
    </cfRule>
  </conditionalFormatting>
  <conditionalFormatting sqref="R1001">
    <cfRule type="cellIs" dxfId="744" priority="177" stopIfTrue="1" operator="equal">
      <formula>0</formula>
    </cfRule>
  </conditionalFormatting>
  <conditionalFormatting sqref="R1002 R1004 R1006 R1008 R1010">
    <cfRule type="cellIs" dxfId="743" priority="176" stopIfTrue="1" operator="equal">
      <formula>0</formula>
    </cfRule>
  </conditionalFormatting>
  <conditionalFormatting sqref="R1002 R1004 R1006 R1008 R1010">
    <cfRule type="cellIs" dxfId="742" priority="175" stopIfTrue="1" operator="equal">
      <formula>0</formula>
    </cfRule>
  </conditionalFormatting>
  <conditionalFormatting sqref="R1003 R1005 R1007 R1009 R1011:R1019">
    <cfRule type="cellIs" dxfId="741" priority="174" stopIfTrue="1" operator="equal">
      <formula>0</formula>
    </cfRule>
  </conditionalFormatting>
  <conditionalFormatting sqref="F1020:G1031 Q1020 I1022:N1022 J1020:N1021 I1024:N1024 J1023:N1023 I1026:N1026 J1025:N1025 I1028:N1028 J1027:N1027 I1030:N1030 J1029:N1029 J1031:N1031 J1092:N1107 F1092:G1107">
    <cfRule type="cellIs" dxfId="740" priority="173" stopIfTrue="1" operator="equal">
      <formula>0</formula>
    </cfRule>
  </conditionalFormatting>
  <conditionalFormatting sqref="Q1020 N1022 N1024 N1026 N1028 N1030 N1020">
    <cfRule type="cellIs" dxfId="739" priority="172" stopIfTrue="1" operator="equal">
      <formula>0</formula>
    </cfRule>
  </conditionalFormatting>
  <conditionalFormatting sqref="E1020:E1031 E1092:E1107">
    <cfRule type="cellIs" dxfId="738" priority="171" stopIfTrue="1" operator="equal">
      <formula>0</formula>
    </cfRule>
  </conditionalFormatting>
  <conditionalFormatting sqref="P1020">
    <cfRule type="cellIs" dxfId="737" priority="170" stopIfTrue="1" operator="equal">
      <formula>0</formula>
    </cfRule>
  </conditionalFormatting>
  <conditionalFormatting sqref="P1020">
    <cfRule type="cellIs" dxfId="736" priority="169" stopIfTrue="1" operator="equal">
      <formula>0</formula>
    </cfRule>
  </conditionalFormatting>
  <conditionalFormatting sqref="H1020:H1031 H1092:H1107">
    <cfRule type="cellIs" dxfId="735" priority="168" stopIfTrue="1" operator="equal">
      <formula>0</formula>
    </cfRule>
  </conditionalFormatting>
  <conditionalFormatting sqref="P1021">
    <cfRule type="cellIs" dxfId="734" priority="167" stopIfTrue="1" operator="equal">
      <formula>0</formula>
    </cfRule>
  </conditionalFormatting>
  <conditionalFormatting sqref="P1022 P1024 P1026 P1028 P1030">
    <cfRule type="cellIs" dxfId="733" priority="166" stopIfTrue="1" operator="equal">
      <formula>0</formula>
    </cfRule>
  </conditionalFormatting>
  <conditionalFormatting sqref="P1022 P1024 P1026 P1028 P1030">
    <cfRule type="cellIs" dxfId="732" priority="165" stopIfTrue="1" operator="equal">
      <formula>0</formula>
    </cfRule>
  </conditionalFormatting>
  <conditionalFormatting sqref="P1023 P1025 P1027 P1029 P1031 P1092:P1107">
    <cfRule type="cellIs" dxfId="731" priority="164" stopIfTrue="1" operator="equal">
      <formula>0</formula>
    </cfRule>
  </conditionalFormatting>
  <conditionalFormatting sqref="Q1021">
    <cfRule type="cellIs" dxfId="730" priority="163" stopIfTrue="1" operator="equal">
      <formula>0</formula>
    </cfRule>
  </conditionalFormatting>
  <conditionalFormatting sqref="Q1022 Q1024 Q1026 Q1028 Q1030">
    <cfRule type="cellIs" dxfId="729" priority="162" stopIfTrue="1" operator="equal">
      <formula>0</formula>
    </cfRule>
  </conditionalFormatting>
  <conditionalFormatting sqref="Q1022 Q1024 Q1026 Q1028 Q1030">
    <cfRule type="cellIs" dxfId="728" priority="161" stopIfTrue="1" operator="equal">
      <formula>0</formula>
    </cfRule>
  </conditionalFormatting>
  <conditionalFormatting sqref="Q1023 Q1025 Q1027 Q1029 Q1031 Q1092:Q1107">
    <cfRule type="cellIs" dxfId="727" priority="160" stopIfTrue="1" operator="equal">
      <formula>0</formula>
    </cfRule>
  </conditionalFormatting>
  <conditionalFormatting sqref="I1020">
    <cfRule type="cellIs" dxfId="726" priority="159" stopIfTrue="1" operator="equal">
      <formula>0</formula>
    </cfRule>
  </conditionalFormatting>
  <conditionalFormatting sqref="I1021">
    <cfRule type="cellIs" dxfId="725" priority="158" stopIfTrue="1" operator="equal">
      <formula>0</formula>
    </cfRule>
  </conditionalFormatting>
  <conditionalFormatting sqref="I1023">
    <cfRule type="cellIs" dxfId="724" priority="157" stopIfTrue="1" operator="equal">
      <formula>0</formula>
    </cfRule>
  </conditionalFormatting>
  <conditionalFormatting sqref="I1025">
    <cfRule type="cellIs" dxfId="723" priority="156" stopIfTrue="1" operator="equal">
      <formula>0</formula>
    </cfRule>
  </conditionalFormatting>
  <conditionalFormatting sqref="I1027">
    <cfRule type="cellIs" dxfId="722" priority="155" stopIfTrue="1" operator="equal">
      <formula>0</formula>
    </cfRule>
  </conditionalFormatting>
  <conditionalFormatting sqref="I1029">
    <cfRule type="cellIs" dxfId="721" priority="154" stopIfTrue="1" operator="equal">
      <formula>0</formula>
    </cfRule>
  </conditionalFormatting>
  <conditionalFormatting sqref="I1031 I1092:I1107">
    <cfRule type="cellIs" dxfId="720" priority="153" stopIfTrue="1" operator="equal">
      <formula>0</formula>
    </cfRule>
  </conditionalFormatting>
  <conditionalFormatting sqref="O1020:O1031 O1092:O1107">
    <cfRule type="cellIs" dxfId="719" priority="152" stopIfTrue="1" operator="equal">
      <formula>0</formula>
    </cfRule>
  </conditionalFormatting>
  <conditionalFormatting sqref="O1020 O1022 O1024 O1026 O1028 O1030">
    <cfRule type="cellIs" dxfId="718" priority="151" stopIfTrue="1" operator="equal">
      <formula>0</formula>
    </cfRule>
  </conditionalFormatting>
  <conditionalFormatting sqref="R1020:R1031 R1092:R1107">
    <cfRule type="cellIs" dxfId="717" priority="149" stopIfTrue="1" operator="equal">
      <formula>0</formula>
    </cfRule>
  </conditionalFormatting>
  <conditionalFormatting sqref="R1020 R1022 R1024 R1026 R1028 R1030">
    <cfRule type="cellIs" dxfId="716" priority="150" stopIfTrue="1" operator="equal">
      <formula>0</formula>
    </cfRule>
  </conditionalFormatting>
  <conditionalFormatting sqref="R1020:R1031 R1092:R1107">
    <cfRule type="cellIs" dxfId="715" priority="148" stopIfTrue="1" operator="equal">
      <formula>0</formula>
    </cfRule>
  </conditionalFormatting>
  <conditionalFormatting sqref="R1020 R1022 R1024 R1026 R1028 R1030">
    <cfRule type="cellIs" dxfId="714" priority="147" stopIfTrue="1" operator="equal">
      <formula>0</formula>
    </cfRule>
  </conditionalFormatting>
  <conditionalFormatting sqref="R1020">
    <cfRule type="cellIs" dxfId="713" priority="146" stopIfTrue="1" operator="equal">
      <formula>0</formula>
    </cfRule>
  </conditionalFormatting>
  <conditionalFormatting sqref="R1020">
    <cfRule type="cellIs" dxfId="712" priority="145" stopIfTrue="1" operator="equal">
      <formula>0</formula>
    </cfRule>
  </conditionalFormatting>
  <conditionalFormatting sqref="R1021">
    <cfRule type="cellIs" dxfId="711" priority="144" stopIfTrue="1" operator="equal">
      <formula>0</formula>
    </cfRule>
  </conditionalFormatting>
  <conditionalFormatting sqref="R1022 R1024 R1026 R1028 R1030">
    <cfRule type="cellIs" dxfId="710" priority="143" stopIfTrue="1" operator="equal">
      <formula>0</formula>
    </cfRule>
  </conditionalFormatting>
  <conditionalFormatting sqref="R1022 R1024 R1026 R1028 R1030">
    <cfRule type="cellIs" dxfId="709" priority="142" stopIfTrue="1" operator="equal">
      <formula>0</formula>
    </cfRule>
  </conditionalFormatting>
  <conditionalFormatting sqref="R1023 R1025 R1027 R1029 R1031 R1092:R1107">
    <cfRule type="cellIs" dxfId="708" priority="141" stopIfTrue="1" operator="equal">
      <formula>0</formula>
    </cfRule>
  </conditionalFormatting>
  <conditionalFormatting sqref="F1032:G1039 J1032:N1039">
    <cfRule type="cellIs" dxfId="707" priority="140" stopIfTrue="1" operator="equal">
      <formula>0</formula>
    </cfRule>
  </conditionalFormatting>
  <conditionalFormatting sqref="E1032:E1039">
    <cfRule type="cellIs" dxfId="706" priority="139" stopIfTrue="1" operator="equal">
      <formula>0</formula>
    </cfRule>
  </conditionalFormatting>
  <conditionalFormatting sqref="H1032:H1039">
    <cfRule type="cellIs" dxfId="705" priority="138" stopIfTrue="1" operator="equal">
      <formula>0</formula>
    </cfRule>
  </conditionalFormatting>
  <conditionalFormatting sqref="P1032:P1039">
    <cfRule type="cellIs" dxfId="704" priority="137" stopIfTrue="1" operator="equal">
      <formula>0</formula>
    </cfRule>
  </conditionalFormatting>
  <conditionalFormatting sqref="Q1032:Q1039">
    <cfRule type="cellIs" dxfId="703" priority="136" stopIfTrue="1" operator="equal">
      <formula>0</formula>
    </cfRule>
  </conditionalFormatting>
  <conditionalFormatting sqref="I1032:I1039">
    <cfRule type="cellIs" dxfId="702" priority="135" stopIfTrue="1" operator="equal">
      <formula>0</formula>
    </cfRule>
  </conditionalFormatting>
  <conditionalFormatting sqref="O1032:O1039">
    <cfRule type="cellIs" dxfId="701" priority="134" stopIfTrue="1" operator="equal">
      <formula>0</formula>
    </cfRule>
  </conditionalFormatting>
  <conditionalFormatting sqref="R1032:R1039">
    <cfRule type="cellIs" dxfId="700" priority="133" stopIfTrue="1" operator="equal">
      <formula>0</formula>
    </cfRule>
  </conditionalFormatting>
  <conditionalFormatting sqref="R1032:R1039">
    <cfRule type="cellIs" dxfId="699" priority="132" stopIfTrue="1" operator="equal">
      <formula>0</formula>
    </cfRule>
  </conditionalFormatting>
  <conditionalFormatting sqref="R1032:R1039">
    <cfRule type="cellIs" dxfId="698" priority="131" stopIfTrue="1" operator="equal">
      <formula>0</formula>
    </cfRule>
  </conditionalFormatting>
  <conditionalFormatting sqref="F1040:G1051 Q1040 J1040:N1051">
    <cfRule type="cellIs" dxfId="697" priority="130" stopIfTrue="1" operator="equal">
      <formula>0</formula>
    </cfRule>
  </conditionalFormatting>
  <conditionalFormatting sqref="Q1040 N1042 N1044 N1046 N1048 N1050 N1040">
    <cfRule type="cellIs" dxfId="696" priority="129" stopIfTrue="1" operator="equal">
      <formula>0</formula>
    </cfRule>
  </conditionalFormatting>
  <conditionalFormatting sqref="E1040:E1051">
    <cfRule type="cellIs" dxfId="695" priority="128" stopIfTrue="1" operator="equal">
      <formula>0</formula>
    </cfRule>
  </conditionalFormatting>
  <conditionalFormatting sqref="P1040">
    <cfRule type="cellIs" dxfId="694" priority="127" stopIfTrue="1" operator="equal">
      <formula>0</formula>
    </cfRule>
  </conditionalFormatting>
  <conditionalFormatting sqref="P1040">
    <cfRule type="cellIs" dxfId="693" priority="126" stopIfTrue="1" operator="equal">
      <formula>0</formula>
    </cfRule>
  </conditionalFormatting>
  <conditionalFormatting sqref="H1040:H1051">
    <cfRule type="cellIs" dxfId="692" priority="125" stopIfTrue="1" operator="equal">
      <formula>0</formula>
    </cfRule>
  </conditionalFormatting>
  <conditionalFormatting sqref="P1041">
    <cfRule type="cellIs" dxfId="691" priority="124" stopIfTrue="1" operator="equal">
      <formula>0</formula>
    </cfRule>
  </conditionalFormatting>
  <conditionalFormatting sqref="P1042 P1044 P1046 P1048 P1050">
    <cfRule type="cellIs" dxfId="690" priority="123" stopIfTrue="1" operator="equal">
      <formula>0</formula>
    </cfRule>
  </conditionalFormatting>
  <conditionalFormatting sqref="P1042 P1044 P1046 P1048 P1050">
    <cfRule type="cellIs" dxfId="689" priority="122" stopIfTrue="1" operator="equal">
      <formula>0</formula>
    </cfRule>
  </conditionalFormatting>
  <conditionalFormatting sqref="P1043 P1045 P1047 P1049 P1051">
    <cfRule type="cellIs" dxfId="688" priority="121" stopIfTrue="1" operator="equal">
      <formula>0</formula>
    </cfRule>
  </conditionalFormatting>
  <conditionalFormatting sqref="Q1041">
    <cfRule type="cellIs" dxfId="687" priority="120" stopIfTrue="1" operator="equal">
      <formula>0</formula>
    </cfRule>
  </conditionalFormatting>
  <conditionalFormatting sqref="Q1042 Q1044 Q1046 Q1048 Q1050">
    <cfRule type="cellIs" dxfId="686" priority="119" stopIfTrue="1" operator="equal">
      <formula>0</formula>
    </cfRule>
  </conditionalFormatting>
  <conditionalFormatting sqref="Q1042 Q1044 Q1046 Q1048 Q1050">
    <cfRule type="cellIs" dxfId="685" priority="118" stopIfTrue="1" operator="equal">
      <formula>0</formula>
    </cfRule>
  </conditionalFormatting>
  <conditionalFormatting sqref="Q1043 Q1045 Q1047 Q1049 Q1051">
    <cfRule type="cellIs" dxfId="684" priority="117" stopIfTrue="1" operator="equal">
      <formula>0</formula>
    </cfRule>
  </conditionalFormatting>
  <conditionalFormatting sqref="R1040:R1051">
    <cfRule type="cellIs" dxfId="683" priority="106" stopIfTrue="1" operator="equal">
      <formula>0</formula>
    </cfRule>
  </conditionalFormatting>
  <conditionalFormatting sqref="R1040:R1051">
    <cfRule type="cellIs" dxfId="682" priority="105" stopIfTrue="1" operator="equal">
      <formula>0</formula>
    </cfRule>
  </conditionalFormatting>
  <conditionalFormatting sqref="R1040">
    <cfRule type="cellIs" dxfId="681" priority="103" stopIfTrue="1" operator="equal">
      <formula>0</formula>
    </cfRule>
  </conditionalFormatting>
  <conditionalFormatting sqref="R1041">
    <cfRule type="cellIs" dxfId="680" priority="101" stopIfTrue="1" operator="equal">
      <formula>0</formula>
    </cfRule>
  </conditionalFormatting>
  <conditionalFormatting sqref="O1040:O1051">
    <cfRule type="cellIs" dxfId="679" priority="109" stopIfTrue="1" operator="equal">
      <formula>0</formula>
    </cfRule>
  </conditionalFormatting>
  <conditionalFormatting sqref="O1040 O1042 O1044 O1046 O1048 O1050">
    <cfRule type="cellIs" dxfId="678" priority="108" stopIfTrue="1" operator="equal">
      <formula>0</formula>
    </cfRule>
  </conditionalFormatting>
  <conditionalFormatting sqref="R1040 R1042 R1044 R1046 R1048 R1050">
    <cfRule type="cellIs" dxfId="677" priority="107" stopIfTrue="1" operator="equal">
      <formula>0</formula>
    </cfRule>
  </conditionalFormatting>
  <conditionalFormatting sqref="R1040 R1042 R1044 R1046 R1048 R1050">
    <cfRule type="cellIs" dxfId="676" priority="104" stopIfTrue="1" operator="equal">
      <formula>0</formula>
    </cfRule>
  </conditionalFormatting>
  <conditionalFormatting sqref="R1040">
    <cfRule type="cellIs" dxfId="675" priority="102" stopIfTrue="1" operator="equal">
      <formula>0</formula>
    </cfRule>
  </conditionalFormatting>
  <conditionalFormatting sqref="R1042 R1044 R1046 R1048 R1050">
    <cfRule type="cellIs" dxfId="674" priority="100" stopIfTrue="1" operator="equal">
      <formula>0</formula>
    </cfRule>
  </conditionalFormatting>
  <conditionalFormatting sqref="R1042 R1044 R1046 R1048 R1050">
    <cfRule type="cellIs" dxfId="673" priority="99" stopIfTrue="1" operator="equal">
      <formula>0</formula>
    </cfRule>
  </conditionalFormatting>
  <conditionalFormatting sqref="R1043 R1045 R1047 R1049 R1051">
    <cfRule type="cellIs" dxfId="672" priority="98" stopIfTrue="1" operator="equal">
      <formula>0</formula>
    </cfRule>
  </conditionalFormatting>
  <conditionalFormatting sqref="F1052:G1059 J1052:N1059">
    <cfRule type="cellIs" dxfId="671" priority="97" stopIfTrue="1" operator="equal">
      <formula>0</formula>
    </cfRule>
  </conditionalFormatting>
  <conditionalFormatting sqref="E1052:E1059">
    <cfRule type="cellIs" dxfId="670" priority="96" stopIfTrue="1" operator="equal">
      <formula>0</formula>
    </cfRule>
  </conditionalFormatting>
  <conditionalFormatting sqref="H1052:H1059">
    <cfRule type="cellIs" dxfId="669" priority="95" stopIfTrue="1" operator="equal">
      <formula>0</formula>
    </cfRule>
  </conditionalFormatting>
  <conditionalFormatting sqref="P1052:P1059">
    <cfRule type="cellIs" dxfId="668" priority="94" stopIfTrue="1" operator="equal">
      <formula>0</formula>
    </cfRule>
  </conditionalFormatting>
  <conditionalFormatting sqref="Q1052:Q1059">
    <cfRule type="cellIs" dxfId="667" priority="93" stopIfTrue="1" operator="equal">
      <formula>0</formula>
    </cfRule>
  </conditionalFormatting>
  <conditionalFormatting sqref="O1052:O1059">
    <cfRule type="cellIs" dxfId="666" priority="91" stopIfTrue="1" operator="equal">
      <formula>0</formula>
    </cfRule>
  </conditionalFormatting>
  <conditionalFormatting sqref="R1052:R1059">
    <cfRule type="cellIs" dxfId="665" priority="90" stopIfTrue="1" operator="equal">
      <formula>0</formula>
    </cfRule>
  </conditionalFormatting>
  <conditionalFormatting sqref="R1052:R1059">
    <cfRule type="cellIs" dxfId="664" priority="89" stopIfTrue="1" operator="equal">
      <formula>0</formula>
    </cfRule>
  </conditionalFormatting>
  <conditionalFormatting sqref="R1052:R1059">
    <cfRule type="cellIs" dxfId="663" priority="88" stopIfTrue="1" operator="equal">
      <formula>0</formula>
    </cfRule>
  </conditionalFormatting>
  <conditionalFormatting sqref="F1060:G1071 Q1060 J1060:N1071">
    <cfRule type="cellIs" dxfId="662" priority="87" stopIfTrue="1" operator="equal">
      <formula>0</formula>
    </cfRule>
  </conditionalFormatting>
  <conditionalFormatting sqref="Q1060 N1062 N1064 N1066 N1068 N1070 N1060">
    <cfRule type="cellIs" dxfId="661" priority="86" stopIfTrue="1" operator="equal">
      <formula>0</formula>
    </cfRule>
  </conditionalFormatting>
  <conditionalFormatting sqref="E1060:E1071">
    <cfRule type="cellIs" dxfId="660" priority="85" stopIfTrue="1" operator="equal">
      <formula>0</formula>
    </cfRule>
  </conditionalFormatting>
  <conditionalFormatting sqref="P1060">
    <cfRule type="cellIs" dxfId="659" priority="84" stopIfTrue="1" operator="equal">
      <formula>0</formula>
    </cfRule>
  </conditionalFormatting>
  <conditionalFormatting sqref="P1060">
    <cfRule type="cellIs" dxfId="658" priority="83" stopIfTrue="1" operator="equal">
      <formula>0</formula>
    </cfRule>
  </conditionalFormatting>
  <conditionalFormatting sqref="H1060:H1071">
    <cfRule type="cellIs" dxfId="657" priority="82" stopIfTrue="1" operator="equal">
      <formula>0</formula>
    </cfRule>
  </conditionalFormatting>
  <conditionalFormatting sqref="P1061">
    <cfRule type="cellIs" dxfId="656" priority="81" stopIfTrue="1" operator="equal">
      <formula>0</formula>
    </cfRule>
  </conditionalFormatting>
  <conditionalFormatting sqref="P1062 P1064 P1066 P1068 P1070">
    <cfRule type="cellIs" dxfId="655" priority="80" stopIfTrue="1" operator="equal">
      <formula>0</formula>
    </cfRule>
  </conditionalFormatting>
  <conditionalFormatting sqref="P1062 P1064 P1066 P1068 P1070">
    <cfRule type="cellIs" dxfId="654" priority="79" stopIfTrue="1" operator="equal">
      <formula>0</formula>
    </cfRule>
  </conditionalFormatting>
  <conditionalFormatting sqref="P1063 P1065 P1067 P1069 P1071">
    <cfRule type="cellIs" dxfId="653" priority="78" stopIfTrue="1" operator="equal">
      <formula>0</formula>
    </cfRule>
  </conditionalFormatting>
  <conditionalFormatting sqref="Q1061">
    <cfRule type="cellIs" dxfId="652" priority="77" stopIfTrue="1" operator="equal">
      <formula>0</formula>
    </cfRule>
  </conditionalFormatting>
  <conditionalFormatting sqref="Q1062 Q1064 Q1066 Q1068 Q1070">
    <cfRule type="cellIs" dxfId="651" priority="76" stopIfTrue="1" operator="equal">
      <formula>0</formula>
    </cfRule>
  </conditionalFormatting>
  <conditionalFormatting sqref="Q1062 Q1064 Q1066 Q1068 Q1070">
    <cfRule type="cellIs" dxfId="650" priority="75" stopIfTrue="1" operator="equal">
      <formula>0</formula>
    </cfRule>
  </conditionalFormatting>
  <conditionalFormatting sqref="Q1063 Q1065 Q1067 Q1069 Q1071">
    <cfRule type="cellIs" dxfId="649" priority="74" stopIfTrue="1" operator="equal">
      <formula>0</formula>
    </cfRule>
  </conditionalFormatting>
  <conditionalFormatting sqref="R1060:R1071">
    <cfRule type="cellIs" dxfId="648" priority="63" stopIfTrue="1" operator="equal">
      <formula>0</formula>
    </cfRule>
  </conditionalFormatting>
  <conditionalFormatting sqref="R1060:R1071">
    <cfRule type="cellIs" dxfId="647" priority="62" stopIfTrue="1" operator="equal">
      <formula>0</formula>
    </cfRule>
  </conditionalFormatting>
  <conditionalFormatting sqref="R1060">
    <cfRule type="cellIs" dxfId="646" priority="60" stopIfTrue="1" operator="equal">
      <formula>0</formula>
    </cfRule>
  </conditionalFormatting>
  <conditionalFormatting sqref="R1061">
    <cfRule type="cellIs" dxfId="645" priority="58" stopIfTrue="1" operator="equal">
      <formula>0</formula>
    </cfRule>
  </conditionalFormatting>
  <conditionalFormatting sqref="O1060:O1071">
    <cfRule type="cellIs" dxfId="644" priority="66" stopIfTrue="1" operator="equal">
      <formula>0</formula>
    </cfRule>
  </conditionalFormatting>
  <conditionalFormatting sqref="O1060 O1062 O1064 O1066 O1068 O1070">
    <cfRule type="cellIs" dxfId="643" priority="65" stopIfTrue="1" operator="equal">
      <formula>0</formula>
    </cfRule>
  </conditionalFormatting>
  <conditionalFormatting sqref="R1060 R1062 R1064 R1066 R1068 R1070">
    <cfRule type="cellIs" dxfId="642" priority="64" stopIfTrue="1" operator="equal">
      <formula>0</formula>
    </cfRule>
  </conditionalFormatting>
  <conditionalFormatting sqref="R1060 R1062 R1064 R1066 R1068 R1070">
    <cfRule type="cellIs" dxfId="641" priority="61" stopIfTrue="1" operator="equal">
      <formula>0</formula>
    </cfRule>
  </conditionalFormatting>
  <conditionalFormatting sqref="R1060">
    <cfRule type="cellIs" dxfId="640" priority="59" stopIfTrue="1" operator="equal">
      <formula>0</formula>
    </cfRule>
  </conditionalFormatting>
  <conditionalFormatting sqref="R1062 R1064 R1066 R1068 R1070">
    <cfRule type="cellIs" dxfId="639" priority="57" stopIfTrue="1" operator="equal">
      <formula>0</formula>
    </cfRule>
  </conditionalFormatting>
  <conditionalFormatting sqref="R1062 R1064 R1066 R1068 R1070">
    <cfRule type="cellIs" dxfId="638" priority="56" stopIfTrue="1" operator="equal">
      <formula>0</formula>
    </cfRule>
  </conditionalFormatting>
  <conditionalFormatting sqref="R1063 R1065 R1067 R1069 R1071">
    <cfRule type="cellIs" dxfId="637" priority="55" stopIfTrue="1" operator="equal">
      <formula>0</formula>
    </cfRule>
  </conditionalFormatting>
  <conditionalFormatting sqref="F1072:G1079 J1072:N1079">
    <cfRule type="cellIs" dxfId="636" priority="54" stopIfTrue="1" operator="equal">
      <formula>0</formula>
    </cfRule>
  </conditionalFormatting>
  <conditionalFormatting sqref="E1072:E1079">
    <cfRule type="cellIs" dxfId="635" priority="53" stopIfTrue="1" operator="equal">
      <formula>0</formula>
    </cfRule>
  </conditionalFormatting>
  <conditionalFormatting sqref="H1072:H1079">
    <cfRule type="cellIs" dxfId="634" priority="52" stopIfTrue="1" operator="equal">
      <formula>0</formula>
    </cfRule>
  </conditionalFormatting>
  <conditionalFormatting sqref="P1072:P1079">
    <cfRule type="cellIs" dxfId="633" priority="51" stopIfTrue="1" operator="equal">
      <formula>0</formula>
    </cfRule>
  </conditionalFormatting>
  <conditionalFormatting sqref="Q1072:Q1079">
    <cfRule type="cellIs" dxfId="632" priority="50" stopIfTrue="1" operator="equal">
      <formula>0</formula>
    </cfRule>
  </conditionalFormatting>
  <conditionalFormatting sqref="I1072:I1079">
    <cfRule type="cellIs" dxfId="631" priority="49" stopIfTrue="1" operator="equal">
      <formula>0</formula>
    </cfRule>
  </conditionalFormatting>
  <conditionalFormatting sqref="O1072:O1079">
    <cfRule type="cellIs" dxfId="630" priority="48" stopIfTrue="1" operator="equal">
      <formula>0</formula>
    </cfRule>
  </conditionalFormatting>
  <conditionalFormatting sqref="R1072:R1079">
    <cfRule type="cellIs" dxfId="629" priority="47" stopIfTrue="1" operator="equal">
      <formula>0</formula>
    </cfRule>
  </conditionalFormatting>
  <conditionalFormatting sqref="R1072:R1079">
    <cfRule type="cellIs" dxfId="628" priority="46" stopIfTrue="1" operator="equal">
      <formula>0</formula>
    </cfRule>
  </conditionalFormatting>
  <conditionalFormatting sqref="R1072:R1079">
    <cfRule type="cellIs" dxfId="627" priority="45" stopIfTrue="1" operator="equal">
      <formula>0</formula>
    </cfRule>
  </conditionalFormatting>
  <conditionalFormatting sqref="F1080:G1091 Q1080 I1082:N1082 J1080:N1081 I1084:N1084 J1083:N1083 I1086:N1086 J1085:N1085 I1088:N1088 J1087:N1087 I1090:N1090 J1089:N1089 J1091:N1091">
    <cfRule type="cellIs" dxfId="626" priority="44" stopIfTrue="1" operator="equal">
      <formula>0</formula>
    </cfRule>
  </conditionalFormatting>
  <conditionalFormatting sqref="Q1080 N1082 N1084 N1086 N1088 N1090 N1080">
    <cfRule type="cellIs" dxfId="625" priority="43" stopIfTrue="1" operator="equal">
      <formula>0</formula>
    </cfRule>
  </conditionalFormatting>
  <conditionalFormatting sqref="E1080:E1091">
    <cfRule type="cellIs" dxfId="624" priority="42" stopIfTrue="1" operator="equal">
      <formula>0</formula>
    </cfRule>
  </conditionalFormatting>
  <conditionalFormatting sqref="P1080">
    <cfRule type="cellIs" dxfId="623" priority="41" stopIfTrue="1" operator="equal">
      <formula>0</formula>
    </cfRule>
  </conditionalFormatting>
  <conditionalFormatting sqref="P1080">
    <cfRule type="cellIs" dxfId="622" priority="40" stopIfTrue="1" operator="equal">
      <formula>0</formula>
    </cfRule>
  </conditionalFormatting>
  <conditionalFormatting sqref="H1080:H1091">
    <cfRule type="cellIs" dxfId="621" priority="39" stopIfTrue="1" operator="equal">
      <formula>0</formula>
    </cfRule>
  </conditionalFormatting>
  <conditionalFormatting sqref="P1081">
    <cfRule type="cellIs" dxfId="620" priority="38" stopIfTrue="1" operator="equal">
      <formula>0</formula>
    </cfRule>
  </conditionalFormatting>
  <conditionalFormatting sqref="P1082 P1084 P1086 P1088 P1090">
    <cfRule type="cellIs" dxfId="619" priority="37" stopIfTrue="1" operator="equal">
      <formula>0</formula>
    </cfRule>
  </conditionalFormatting>
  <conditionalFormatting sqref="P1082 P1084 P1086 P1088 P1090">
    <cfRule type="cellIs" dxfId="618" priority="36" stopIfTrue="1" operator="equal">
      <formula>0</formula>
    </cfRule>
  </conditionalFormatting>
  <conditionalFormatting sqref="P1083 P1085 P1087 P1089 P1091">
    <cfRule type="cellIs" dxfId="617" priority="35" stopIfTrue="1" operator="equal">
      <formula>0</formula>
    </cfRule>
  </conditionalFormatting>
  <conditionalFormatting sqref="Q1081">
    <cfRule type="cellIs" dxfId="616" priority="34" stopIfTrue="1" operator="equal">
      <formula>0</formula>
    </cfRule>
  </conditionalFormatting>
  <conditionalFormatting sqref="Q1082 Q1084 Q1086 Q1088 Q1090">
    <cfRule type="cellIs" dxfId="615" priority="33" stopIfTrue="1" operator="equal">
      <formula>0</formula>
    </cfRule>
  </conditionalFormatting>
  <conditionalFormatting sqref="Q1082 Q1084 Q1086 Q1088 Q1090">
    <cfRule type="cellIs" dxfId="614" priority="32" stopIfTrue="1" operator="equal">
      <formula>0</formula>
    </cfRule>
  </conditionalFormatting>
  <conditionalFormatting sqref="Q1083 Q1085 Q1087 Q1089 Q1091">
    <cfRule type="cellIs" dxfId="613" priority="31" stopIfTrue="1" operator="equal">
      <formula>0</formula>
    </cfRule>
  </conditionalFormatting>
  <conditionalFormatting sqref="I1080">
    <cfRule type="cellIs" dxfId="612" priority="30" stopIfTrue="1" operator="equal">
      <formula>0</formula>
    </cfRule>
  </conditionalFormatting>
  <conditionalFormatting sqref="I1081">
    <cfRule type="cellIs" dxfId="611" priority="29" stopIfTrue="1" operator="equal">
      <formula>0</formula>
    </cfRule>
  </conditionalFormatting>
  <conditionalFormatting sqref="I1083">
    <cfRule type="cellIs" dxfId="610" priority="28" stopIfTrue="1" operator="equal">
      <formula>0</formula>
    </cfRule>
  </conditionalFormatting>
  <conditionalFormatting sqref="I1085">
    <cfRule type="cellIs" dxfId="609" priority="27" stopIfTrue="1" operator="equal">
      <formula>0</formula>
    </cfRule>
  </conditionalFormatting>
  <conditionalFormatting sqref="I1087">
    <cfRule type="cellIs" dxfId="608" priority="26" stopIfTrue="1" operator="equal">
      <formula>0</formula>
    </cfRule>
  </conditionalFormatting>
  <conditionalFormatting sqref="I1089">
    <cfRule type="cellIs" dxfId="607" priority="25" stopIfTrue="1" operator="equal">
      <formula>0</formula>
    </cfRule>
  </conditionalFormatting>
  <conditionalFormatting sqref="I1091">
    <cfRule type="cellIs" dxfId="606" priority="24" stopIfTrue="1" operator="equal">
      <formula>0</formula>
    </cfRule>
  </conditionalFormatting>
  <conditionalFormatting sqref="O1080:O1091">
    <cfRule type="cellIs" dxfId="605" priority="23" stopIfTrue="1" operator="equal">
      <formula>0</formula>
    </cfRule>
  </conditionalFormatting>
  <conditionalFormatting sqref="O1080 O1082 O1084 O1086 O1088 O1090">
    <cfRule type="cellIs" dxfId="604" priority="22" stopIfTrue="1" operator="equal">
      <formula>0</formula>
    </cfRule>
  </conditionalFormatting>
  <conditionalFormatting sqref="R1080:R1091">
    <cfRule type="cellIs" dxfId="603" priority="20" stopIfTrue="1" operator="equal">
      <formula>0</formula>
    </cfRule>
  </conditionalFormatting>
  <conditionalFormatting sqref="R1080 R1082 R1084 R1086 R1088 R1090">
    <cfRule type="cellIs" dxfId="602" priority="21" stopIfTrue="1" operator="equal">
      <formula>0</formula>
    </cfRule>
  </conditionalFormatting>
  <conditionalFormatting sqref="R1080:R1091">
    <cfRule type="cellIs" dxfId="601" priority="19" stopIfTrue="1" operator="equal">
      <formula>0</formula>
    </cfRule>
  </conditionalFormatting>
  <conditionalFormatting sqref="R1080 R1082 R1084 R1086 R1088 R1090">
    <cfRule type="cellIs" dxfId="600" priority="18" stopIfTrue="1" operator="equal">
      <formula>0</formula>
    </cfRule>
  </conditionalFormatting>
  <conditionalFormatting sqref="R1080">
    <cfRule type="cellIs" dxfId="599" priority="17" stopIfTrue="1" operator="equal">
      <formula>0</formula>
    </cfRule>
  </conditionalFormatting>
  <conditionalFormatting sqref="R1080">
    <cfRule type="cellIs" dxfId="598" priority="16" stopIfTrue="1" operator="equal">
      <formula>0</formula>
    </cfRule>
  </conditionalFormatting>
  <conditionalFormatting sqref="R1081">
    <cfRule type="cellIs" dxfId="597" priority="15" stopIfTrue="1" operator="equal">
      <formula>0</formula>
    </cfRule>
  </conditionalFormatting>
  <conditionalFormatting sqref="R1082 R1084 R1086 R1088 R1090">
    <cfRule type="cellIs" dxfId="596" priority="14" stopIfTrue="1" operator="equal">
      <formula>0</formula>
    </cfRule>
  </conditionalFormatting>
  <conditionalFormatting sqref="R1082 R1084 R1086 R1088 R1090">
    <cfRule type="cellIs" dxfId="595" priority="13" stopIfTrue="1" operator="equal">
      <formula>0</formula>
    </cfRule>
  </conditionalFormatting>
  <conditionalFormatting sqref="R1083 R1085 R1087 R1089 R1091">
    <cfRule type="cellIs" dxfId="594" priority="12" stopIfTrue="1" operator="equal">
      <formula>0</formula>
    </cfRule>
  </conditionalFormatting>
  <conditionalFormatting sqref="I1042 I1044 I1046 I1048 I1050">
    <cfRule type="cellIs" dxfId="593" priority="3" stopIfTrue="1" operator="equal">
      <formula>0</formula>
    </cfRule>
  </conditionalFormatting>
  <conditionalFormatting sqref="I1041">
    <cfRule type="cellIs" dxfId="592" priority="11" stopIfTrue="1" operator="equal">
      <formula>0</formula>
    </cfRule>
  </conditionalFormatting>
  <conditionalFormatting sqref="I1040">
    <cfRule type="cellIs" dxfId="591" priority="9" stopIfTrue="1" operator="equal">
      <formula>0</formula>
    </cfRule>
  </conditionalFormatting>
  <conditionalFormatting sqref="I1052:I1053">
    <cfRule type="cellIs" dxfId="590" priority="10" stopIfTrue="1" operator="equal">
      <formula>0</formula>
    </cfRule>
  </conditionalFormatting>
  <conditionalFormatting sqref="I1043 I1045 I1047 I1049 I1051">
    <cfRule type="cellIs" dxfId="589" priority="4" stopIfTrue="1" operator="equal">
      <formula>0</formula>
    </cfRule>
  </conditionalFormatting>
  <conditionalFormatting sqref="I1061 I1063 I1065 I1067 I1069 I1071">
    <cfRule type="cellIs" dxfId="588" priority="2" stopIfTrue="1" operator="equal">
      <formula>0</formula>
    </cfRule>
  </conditionalFormatting>
  <conditionalFormatting sqref="I1060 I1062 I1064 I1066 I1068 I1070">
    <cfRule type="cellIs" dxfId="587" priority="1" stopIfTrue="1" operator="equal">
      <formula>0</formula>
    </cfRule>
  </conditionalFormatting>
  <printOptions horizontalCentered="1"/>
  <pageMargins left="0.39370078740157483" right="0.39370078740157483" top="0.39370078740157483" bottom="0.39370078740157483" header="0" footer="0"/>
  <pageSetup paperSize="9" orientation="landscape"/>
  <headerFooter>
    <oddFooter>&amp;LPreparato da gstanizzi &amp;D&amp;RPagina &amp;P di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5"/>
  <dimension ref="B4:FO1100"/>
  <sheetViews>
    <sheetView topLeftCell="CX630" workbookViewId="0">
      <selection activeCell="DG640" sqref="DG640"/>
    </sheetView>
  </sheetViews>
  <sheetFormatPr defaultRowHeight="15" x14ac:dyDescent="0.25"/>
  <cols>
    <col min="5" max="6" width="12.28515625" customWidth="1"/>
    <col min="7" max="7" width="20.7109375" customWidth="1"/>
    <col min="8" max="8" width="10.5703125" bestFit="1" customWidth="1"/>
    <col min="9" max="9" width="12.28515625" customWidth="1"/>
    <col min="10" max="10" width="10.5703125" bestFit="1" customWidth="1"/>
    <col min="11" max="12" width="10.5703125" customWidth="1"/>
    <col min="13" max="13" width="15.7109375" customWidth="1"/>
    <col min="14" max="14" width="13.42578125" customWidth="1"/>
    <col min="15" max="15" width="10.5703125" bestFit="1" customWidth="1"/>
    <col min="16" max="26" width="10.5703125" customWidth="1"/>
    <col min="27" max="32" width="10.5703125" style="320" customWidth="1"/>
    <col min="33" max="33" width="10.5703125" customWidth="1"/>
    <col min="34" max="34" width="12" customWidth="1"/>
    <col min="35" max="35" width="11.7109375" customWidth="1"/>
    <col min="36" max="53" width="10.5703125" customWidth="1"/>
    <col min="54" max="54" width="10.7109375" customWidth="1"/>
    <col min="55" max="57" width="13" customWidth="1"/>
    <col min="58" max="60" width="10.5703125" customWidth="1"/>
    <col min="61" max="61" width="12.7109375" customWidth="1"/>
    <col min="62" max="62" width="12.85546875" customWidth="1"/>
    <col min="63" max="63" width="12.28515625" customWidth="1"/>
    <col min="64" max="64" width="14.5703125" customWidth="1"/>
    <col min="65" max="65" width="13.28515625" customWidth="1"/>
    <col min="66" max="66" width="10.5703125" bestFit="1" customWidth="1"/>
    <col min="67" max="67" width="10.7109375" bestFit="1" customWidth="1"/>
    <col min="68" max="68" width="10.5703125" bestFit="1" customWidth="1"/>
    <col min="69" max="69" width="16.140625" customWidth="1"/>
    <col min="70" max="70" width="12.42578125" customWidth="1"/>
    <col min="71" max="71" width="13.7109375" customWidth="1"/>
    <col min="72" max="72" width="13" customWidth="1"/>
    <col min="73" max="73" width="10.5703125" bestFit="1" customWidth="1"/>
    <col min="75" max="76" width="10.7109375" bestFit="1" customWidth="1"/>
    <col min="78" max="79" width="10.7109375" bestFit="1" customWidth="1"/>
    <col min="81" max="82" width="10.5703125" bestFit="1" customWidth="1"/>
    <col min="86" max="86" width="11.28515625" customWidth="1"/>
    <col min="88" max="88" width="12.140625" customWidth="1"/>
    <col min="89" max="89" width="12.5703125" customWidth="1"/>
    <col min="91" max="91" width="10.5703125" bestFit="1" customWidth="1"/>
    <col min="92" max="92" width="14.7109375" customWidth="1"/>
    <col min="93" max="93" width="12.7109375" customWidth="1"/>
    <col min="94" max="94" width="6.42578125" customWidth="1"/>
    <col min="95" max="95" width="7.42578125" customWidth="1"/>
    <col min="96" max="106" width="10.5703125" customWidth="1"/>
    <col min="107" max="107" width="12.28515625" customWidth="1"/>
    <col min="108" max="108" width="14.140625" customWidth="1"/>
    <col min="109" max="110" width="15.7109375" customWidth="1"/>
    <col min="111" max="114" width="10.5703125" customWidth="1"/>
    <col min="115" max="115" width="13.140625" customWidth="1"/>
    <col min="116" max="117" width="10.5703125" customWidth="1"/>
    <col min="118" max="119" width="11.28515625" customWidth="1"/>
    <col min="120" max="120" width="10.28515625" customWidth="1"/>
    <col min="121" max="121" width="8.5703125" customWidth="1"/>
    <col min="122" max="122" width="3.7109375" customWidth="1"/>
    <col min="123" max="123" width="13.140625" customWidth="1"/>
    <col min="124" max="124" width="10.85546875" customWidth="1"/>
    <col min="125" max="125" width="9.28515625" bestFit="1" customWidth="1"/>
    <col min="129" max="129" width="13.85546875" customWidth="1"/>
    <col min="130" max="130" width="10.5703125" bestFit="1" customWidth="1"/>
  </cols>
  <sheetData>
    <row r="4" spans="2:168" x14ac:dyDescent="0.25">
      <c r="I4" t="s">
        <v>65</v>
      </c>
    </row>
    <row r="5" spans="2:168" x14ac:dyDescent="0.25">
      <c r="I5" s="347" t="s">
        <v>379</v>
      </c>
      <c r="J5" s="347"/>
      <c r="K5" s="346">
        <f>L5</f>
        <v>7497</v>
      </c>
      <c r="L5">
        <f>Foglio7!CU38</f>
        <v>7497</v>
      </c>
    </row>
    <row r="6" spans="2:168" x14ac:dyDescent="0.25">
      <c r="I6" s="347" t="s">
        <v>273</v>
      </c>
      <c r="J6" s="347">
        <f>N6</f>
        <v>20</v>
      </c>
      <c r="K6" s="346"/>
      <c r="L6">
        <f>INT(L5/365)</f>
        <v>20</v>
      </c>
      <c r="M6">
        <f>IF(L7&gt;11,L6+1,L6)</f>
        <v>20</v>
      </c>
      <c r="N6">
        <f>M6</f>
        <v>20</v>
      </c>
    </row>
    <row r="7" spans="2:168" x14ac:dyDescent="0.25">
      <c r="B7" s="348" t="s">
        <v>285</v>
      </c>
      <c r="D7">
        <v>18</v>
      </c>
      <c r="G7" s="288" t="str">
        <f>fronttd!E9</f>
        <v>DocentePrimaria</v>
      </c>
      <c r="I7" s="347" t="s">
        <v>380</v>
      </c>
      <c r="J7" s="347">
        <f t="shared" ref="J7:J8" si="0">N7</f>
        <v>6</v>
      </c>
      <c r="K7" s="346"/>
      <c r="L7">
        <f>INT( (L5-  (L6*365))/30)</f>
        <v>6</v>
      </c>
      <c r="M7">
        <f>IF(L7&gt;11,L7-12,L7)</f>
        <v>6</v>
      </c>
      <c r="N7">
        <f>IF(L8&gt;29,M7+1,M7)</f>
        <v>6</v>
      </c>
    </row>
    <row r="8" spans="2:168" x14ac:dyDescent="0.25">
      <c r="B8" s="348" t="s">
        <v>286</v>
      </c>
      <c r="D8">
        <v>18</v>
      </c>
      <c r="I8" s="347" t="s">
        <v>381</v>
      </c>
      <c r="J8" s="347">
        <f t="shared" si="0"/>
        <v>17</v>
      </c>
      <c r="K8" s="346"/>
      <c r="L8">
        <f xml:space="preserve">  L5-((L6*365)+(L7*30))</f>
        <v>17</v>
      </c>
      <c r="M8">
        <f>L8</f>
        <v>17</v>
      </c>
      <c r="N8">
        <f>IF(M8&gt;29,L8-30,M8)</f>
        <v>17</v>
      </c>
      <c r="DL8" s="112">
        <f t="shared" ref="DL8" si="1">DN8</f>
        <v>36138</v>
      </c>
      <c r="DM8">
        <v>0</v>
      </c>
      <c r="DN8" s="112">
        <f>Foglio7!DG40</f>
        <v>36138</v>
      </c>
      <c r="DO8" s="112"/>
    </row>
    <row r="9" spans="2:168" x14ac:dyDescent="0.25">
      <c r="B9" s="348" t="s">
        <v>287</v>
      </c>
      <c r="D9">
        <v>18</v>
      </c>
      <c r="I9" s="345" t="s">
        <v>136</v>
      </c>
      <c r="J9" s="345" t="s">
        <v>377</v>
      </c>
      <c r="DL9" s="112">
        <f t="shared" ref="DL9:DL14" si="2">DN9</f>
        <v>37411</v>
      </c>
      <c r="DM9">
        <v>3</v>
      </c>
      <c r="DN9" s="112">
        <f>Foglio7!DG41</f>
        <v>37411</v>
      </c>
    </row>
    <row r="10" spans="2:168" x14ac:dyDescent="0.25">
      <c r="B10" s="348" t="s">
        <v>288</v>
      </c>
      <c r="D10">
        <v>24</v>
      </c>
      <c r="I10" s="344" t="s">
        <v>168</v>
      </c>
      <c r="J10" s="240" t="str">
        <f>Foglio7!JE38</f>
        <v xml:space="preserve">9/12/1998
</v>
      </c>
      <c r="DL10" s="112">
        <f t="shared" si="2"/>
        <v>40171</v>
      </c>
      <c r="DM10">
        <v>9</v>
      </c>
      <c r="DN10" s="112">
        <f>Foglio7!DG42</f>
        <v>40171</v>
      </c>
    </row>
    <row r="11" spans="2:168" x14ac:dyDescent="0.25">
      <c r="B11" s="348" t="s">
        <v>289</v>
      </c>
      <c r="D11">
        <v>36</v>
      </c>
      <c r="I11" s="344" t="s">
        <v>169</v>
      </c>
      <c r="J11" s="240" t="str">
        <f>Foglio7!JE39</f>
        <v xml:space="preserve">4/6/2002
</v>
      </c>
      <c r="DL11" s="112">
        <f t="shared" si="2"/>
        <v>42782</v>
      </c>
      <c r="DM11">
        <v>15</v>
      </c>
      <c r="DN11" s="112">
        <f>Foglio7!DG43</f>
        <v>42782</v>
      </c>
    </row>
    <row r="12" spans="2:168" x14ac:dyDescent="0.25">
      <c r="B12" s="348" t="s">
        <v>290</v>
      </c>
      <c r="D12">
        <v>36</v>
      </c>
      <c r="I12" s="344" t="s">
        <v>170</v>
      </c>
      <c r="J12" s="240" t="str">
        <f>Foglio7!JE40</f>
        <v xml:space="preserve">24/12/2009
</v>
      </c>
      <c r="DL12" s="112">
        <f t="shared" si="2"/>
        <v>100000</v>
      </c>
      <c r="DM12">
        <v>21</v>
      </c>
      <c r="DN12" s="112">
        <f>Foglio7!DG44</f>
        <v>100000</v>
      </c>
    </row>
    <row r="13" spans="2:168" x14ac:dyDescent="0.25">
      <c r="B13" s="348" t="s">
        <v>291</v>
      </c>
      <c r="D13">
        <v>36</v>
      </c>
      <c r="E13" s="320" t="s">
        <v>215</v>
      </c>
      <c r="G13" s="112"/>
      <c r="I13" s="344" t="s">
        <v>171</v>
      </c>
      <c r="J13" s="240" t="str">
        <f>Foglio7!JE41</f>
        <v xml:space="preserve">16/2/2017
</v>
      </c>
      <c r="DL13" s="112">
        <f t="shared" si="2"/>
        <v>100000</v>
      </c>
      <c r="DM13">
        <v>28</v>
      </c>
      <c r="DN13" s="112">
        <f>Foglio7!DG45</f>
        <v>100000</v>
      </c>
    </row>
    <row r="14" spans="2:168" x14ac:dyDescent="0.25">
      <c r="E14" s="335">
        <f>fronttd!E12</f>
        <v>0</v>
      </c>
      <c r="I14" s="344" t="s">
        <v>172</v>
      </c>
      <c r="J14" s="240" t="str">
        <f>Foglio7!JE42</f>
        <v/>
      </c>
      <c r="DL14" s="112">
        <f t="shared" si="2"/>
        <v>100000</v>
      </c>
      <c r="DM14">
        <v>35</v>
      </c>
      <c r="DN14" s="112">
        <f>Foglio7!DG46</f>
        <v>100000</v>
      </c>
    </row>
    <row r="15" spans="2:168" x14ac:dyDescent="0.25">
      <c r="I15" s="344" t="s">
        <v>173</v>
      </c>
      <c r="J15" s="240" t="str">
        <f>Foglio7!JE43</f>
        <v/>
      </c>
      <c r="DN15" s="112"/>
    </row>
    <row r="16" spans="2:168" x14ac:dyDescent="0.25">
      <c r="I16" s="344" t="s">
        <v>174</v>
      </c>
      <c r="J16" s="240" t="str">
        <f>Foglio7!JE44</f>
        <v/>
      </c>
      <c r="DI16" t="s">
        <v>372</v>
      </c>
      <c r="DK16" s="335">
        <f>E14</f>
        <v>0</v>
      </c>
      <c r="DY16" s="244"/>
      <c r="DZ16" s="244"/>
      <c r="EA16" s="244"/>
      <c r="EB16" s="244" t="s">
        <v>236</v>
      </c>
      <c r="EC16" s="244" t="s">
        <v>236</v>
      </c>
      <c r="ED16" s="244" t="s">
        <v>236</v>
      </c>
      <c r="EE16" s="244" t="s">
        <v>236</v>
      </c>
      <c r="EF16" s="244" t="s">
        <v>236</v>
      </c>
      <c r="EG16" s="244" t="s">
        <v>236</v>
      </c>
      <c r="EH16" s="244" t="s">
        <v>236</v>
      </c>
      <c r="EI16" s="244" t="s">
        <v>236</v>
      </c>
      <c r="EJ16" s="244" t="s">
        <v>236</v>
      </c>
      <c r="EK16" s="244" t="s">
        <v>236</v>
      </c>
      <c r="EL16" s="244" t="s">
        <v>236</v>
      </c>
      <c r="EM16" s="244" t="s">
        <v>236</v>
      </c>
      <c r="EN16" s="244" t="s">
        <v>236</v>
      </c>
      <c r="EO16" s="244" t="s">
        <v>236</v>
      </c>
      <c r="EP16" s="244"/>
      <c r="EU16" s="244"/>
      <c r="EV16" s="244"/>
      <c r="EW16" s="244"/>
      <c r="EX16" s="244" t="s">
        <v>236</v>
      </c>
      <c r="EY16" s="244" t="s">
        <v>236</v>
      </c>
      <c r="EZ16" s="244" t="s">
        <v>236</v>
      </c>
      <c r="FA16" s="244" t="s">
        <v>236</v>
      </c>
      <c r="FB16" s="244" t="s">
        <v>236</v>
      </c>
      <c r="FC16" s="244" t="s">
        <v>236</v>
      </c>
      <c r="FD16" s="244" t="s">
        <v>236</v>
      </c>
      <c r="FE16" s="244" t="s">
        <v>236</v>
      </c>
      <c r="FF16" s="244" t="s">
        <v>236</v>
      </c>
      <c r="FG16" s="244" t="s">
        <v>236</v>
      </c>
      <c r="FH16" s="244" t="s">
        <v>236</v>
      </c>
      <c r="FI16" s="244" t="s">
        <v>236</v>
      </c>
      <c r="FJ16" s="244" t="s">
        <v>236</v>
      </c>
      <c r="FK16" s="244" t="s">
        <v>236</v>
      </c>
      <c r="FL16" s="244"/>
    </row>
    <row r="17" spans="5:170" x14ac:dyDescent="0.25">
      <c r="I17" s="344"/>
      <c r="J17" s="239"/>
      <c r="DY17" s="244"/>
      <c r="DZ17" s="244"/>
      <c r="EA17" s="244"/>
      <c r="EB17" s="244" t="s">
        <v>234</v>
      </c>
      <c r="EC17" s="244" t="s">
        <v>139</v>
      </c>
      <c r="ED17" s="244" t="s">
        <v>140</v>
      </c>
      <c r="EE17" s="244" t="s">
        <v>141</v>
      </c>
      <c r="EF17" s="244" t="s">
        <v>142</v>
      </c>
      <c r="EG17" s="244" t="s">
        <v>143</v>
      </c>
      <c r="EH17" s="244" t="s">
        <v>144</v>
      </c>
      <c r="EI17" s="244" t="s">
        <v>145</v>
      </c>
      <c r="EJ17" s="244" t="s">
        <v>147</v>
      </c>
      <c r="EK17" s="244" t="s">
        <v>148</v>
      </c>
      <c r="EL17" s="244" t="s">
        <v>149</v>
      </c>
      <c r="EM17" s="244" t="s">
        <v>150</v>
      </c>
      <c r="EN17" s="244" t="s">
        <v>146</v>
      </c>
      <c r="EO17" s="244" t="s">
        <v>235</v>
      </c>
      <c r="EP17" s="244"/>
      <c r="EU17" s="244"/>
      <c r="EV17" s="244"/>
      <c r="EW17" s="244"/>
      <c r="EX17" s="244" t="s">
        <v>234</v>
      </c>
      <c r="EY17" s="244" t="s">
        <v>139</v>
      </c>
      <c r="EZ17" s="244" t="s">
        <v>140</v>
      </c>
      <c r="FA17" s="244" t="s">
        <v>141</v>
      </c>
      <c r="FB17" s="244" t="s">
        <v>142</v>
      </c>
      <c r="FC17" s="244" t="s">
        <v>143</v>
      </c>
      <c r="FD17" s="244" t="s">
        <v>144</v>
      </c>
      <c r="FE17" s="244" t="s">
        <v>145</v>
      </c>
      <c r="FF17" s="244" t="s">
        <v>147</v>
      </c>
      <c r="FG17" s="244" t="s">
        <v>148</v>
      </c>
      <c r="FH17" s="244" t="s">
        <v>149</v>
      </c>
      <c r="FI17" s="244" t="s">
        <v>150</v>
      </c>
      <c r="FJ17" s="244" t="s">
        <v>146</v>
      </c>
      <c r="FK17" s="244" t="s">
        <v>235</v>
      </c>
      <c r="FL17" s="244"/>
    </row>
    <row r="18" spans="5:170" ht="75" x14ac:dyDescent="0.25">
      <c r="AI18">
        <f ca="1">IF(AND(AB20&gt;AH21,AB20&lt;100000),"w",IF(AND(AC20&gt;AH21,AC20&lt;100000),"w",IF(AND(AD20&gt;AH21,AD20&lt;100000),"w",IF(AND(AE20&gt;AI20,AH21&lt;100000),AE20,"w"))))</f>
        <v>100000</v>
      </c>
      <c r="DJ18" s="244"/>
      <c r="DK18" s="244" t="s">
        <v>223</v>
      </c>
      <c r="DL18" s="244"/>
      <c r="DM18" s="244"/>
      <c r="DN18" s="244"/>
      <c r="DO18" s="244"/>
      <c r="DP18" s="244"/>
      <c r="DQ18" s="244"/>
      <c r="DR18" s="244"/>
      <c r="DS18" s="244"/>
      <c r="DT18" s="244"/>
      <c r="DU18" s="244"/>
      <c r="DV18" s="244"/>
      <c r="DY18" s="111" t="s">
        <v>239</v>
      </c>
      <c r="DZ18" s="244"/>
      <c r="EA18" s="244"/>
      <c r="EB18" s="111" t="s">
        <v>58</v>
      </c>
      <c r="EC18" s="111" t="s">
        <v>233</v>
      </c>
      <c r="ED18" s="111" t="s">
        <v>17</v>
      </c>
      <c r="EE18" s="111" t="s">
        <v>18</v>
      </c>
      <c r="EF18" s="111" t="s">
        <v>19</v>
      </c>
      <c r="EG18" s="111" t="s">
        <v>20</v>
      </c>
      <c r="EH18" s="111" t="s">
        <v>41</v>
      </c>
      <c r="EI18" s="111"/>
      <c r="EJ18" s="111"/>
      <c r="EK18" s="111"/>
      <c r="EL18" s="111"/>
      <c r="EM18" s="111"/>
      <c r="EN18" s="111" t="s">
        <v>22</v>
      </c>
      <c r="EO18" s="111"/>
      <c r="EP18" s="244"/>
      <c r="EU18" s="111" t="s">
        <v>239</v>
      </c>
      <c r="EV18" s="244"/>
      <c r="EW18" s="244"/>
      <c r="EX18" s="111" t="s">
        <v>58</v>
      </c>
      <c r="EY18" s="111" t="s">
        <v>233</v>
      </c>
      <c r="EZ18" s="111" t="s">
        <v>17</v>
      </c>
      <c r="FA18" s="111" t="s">
        <v>18</v>
      </c>
      <c r="FB18" s="111" t="s">
        <v>19</v>
      </c>
      <c r="FC18" s="111" t="s">
        <v>20</v>
      </c>
      <c r="FD18" s="111" t="s">
        <v>41</v>
      </c>
      <c r="FE18" s="111"/>
      <c r="FF18" s="111"/>
      <c r="FG18" s="111"/>
      <c r="FH18" s="111"/>
      <c r="FI18" s="111"/>
      <c r="FJ18" s="111" t="s">
        <v>22</v>
      </c>
      <c r="FK18" s="111"/>
      <c r="FL18" s="244"/>
    </row>
    <row r="19" spans="5:170" ht="70.150000000000006" customHeight="1" x14ac:dyDescent="0.45">
      <c r="F19" t="s">
        <v>214</v>
      </c>
      <c r="H19" t="s">
        <v>259</v>
      </c>
      <c r="J19" t="s">
        <v>382</v>
      </c>
      <c r="N19" t="s">
        <v>222</v>
      </c>
      <c r="R19" t="s">
        <v>105</v>
      </c>
      <c r="S19" t="s">
        <v>251</v>
      </c>
      <c r="T19" t="s">
        <v>248</v>
      </c>
      <c r="U19" t="s">
        <v>249</v>
      </c>
      <c r="V19" t="s">
        <v>250</v>
      </c>
      <c r="W19" t="s">
        <v>252</v>
      </c>
      <c r="X19" t="s">
        <v>106</v>
      </c>
      <c r="AA19" s="320" t="s">
        <v>253</v>
      </c>
      <c r="AB19" s="320" t="s">
        <v>254</v>
      </c>
      <c r="AC19" s="320" t="s">
        <v>255</v>
      </c>
      <c r="AD19" s="320" t="s">
        <v>256</v>
      </c>
      <c r="AE19" s="320" t="s">
        <v>257</v>
      </c>
      <c r="AF19" s="320" t="s">
        <v>145</v>
      </c>
      <c r="AR19" t="s">
        <v>251</v>
      </c>
      <c r="AU19" s="282" t="s">
        <v>258</v>
      </c>
      <c r="AV19" s="282" t="s">
        <v>105</v>
      </c>
      <c r="AW19" s="282" t="s">
        <v>106</v>
      </c>
      <c r="AX19" s="282" t="s">
        <v>259</v>
      </c>
      <c r="AY19" s="282"/>
      <c r="AZ19" s="282"/>
      <c r="BE19" s="263" t="s">
        <v>245</v>
      </c>
      <c r="BI19" s="244" t="s">
        <v>247</v>
      </c>
      <c r="BJ19" s="244"/>
      <c r="BK19" s="244" t="s">
        <v>246</v>
      </c>
      <c r="BL19" s="244" t="s">
        <v>106</v>
      </c>
      <c r="BM19" s="244"/>
      <c r="BN19" s="244"/>
      <c r="BQ19" s="244"/>
      <c r="BR19" s="244"/>
      <c r="BS19" s="244"/>
      <c r="BT19" s="244"/>
      <c r="BU19" s="244"/>
      <c r="BV19" s="244"/>
      <c r="BY19" s="245"/>
      <c r="BZ19" s="245"/>
      <c r="CA19" s="245"/>
      <c r="CB19" s="245"/>
      <c r="CC19" s="245"/>
      <c r="CD19" s="245"/>
      <c r="CE19" s="245"/>
      <c r="CF19" s="245"/>
      <c r="CG19" s="245"/>
      <c r="CH19" s="245"/>
      <c r="DD19" t="s">
        <v>374</v>
      </c>
      <c r="DI19" t="s">
        <v>203</v>
      </c>
      <c r="DJ19" s="112">
        <f>DK16</f>
        <v>0</v>
      </c>
      <c r="DL19" s="244"/>
      <c r="DM19" s="244" t="s">
        <v>105</v>
      </c>
      <c r="DN19" s="244" t="s">
        <v>106</v>
      </c>
      <c r="DO19" s="244" t="s">
        <v>230</v>
      </c>
      <c r="DP19" s="244"/>
      <c r="DQ19" s="111" t="s">
        <v>232</v>
      </c>
      <c r="DR19" s="111" t="s">
        <v>373</v>
      </c>
      <c r="DS19" s="111" t="s">
        <v>311</v>
      </c>
      <c r="DT19" s="111" t="s">
        <v>312</v>
      </c>
      <c r="DU19" s="280" t="s">
        <v>242</v>
      </c>
      <c r="DV19" s="111" t="s">
        <v>260</v>
      </c>
      <c r="DW19" s="111"/>
      <c r="DX19" s="111" t="s">
        <v>231</v>
      </c>
      <c r="DY19" s="311" t="s">
        <v>309</v>
      </c>
      <c r="EA19" s="607" t="s">
        <v>240</v>
      </c>
      <c r="EB19" s="608"/>
      <c r="EC19" s="608"/>
      <c r="ED19" s="608"/>
      <c r="EE19" s="608"/>
      <c r="EF19" s="608"/>
      <c r="EG19" s="608"/>
      <c r="EH19" s="608"/>
      <c r="EI19" s="608"/>
      <c r="EJ19" s="608"/>
      <c r="EK19" s="608"/>
      <c r="EL19" s="608"/>
      <c r="EM19" s="609"/>
      <c r="EN19" s="244"/>
      <c r="EO19" s="244"/>
      <c r="EP19" s="244"/>
      <c r="EQ19" s="244"/>
      <c r="ER19" s="244"/>
      <c r="EW19" s="607" t="s">
        <v>241</v>
      </c>
      <c r="EX19" s="608"/>
      <c r="EY19" s="608"/>
      <c r="EZ19" s="608"/>
      <c r="FA19" s="608"/>
      <c r="FB19" s="608"/>
      <c r="FC19" s="608"/>
      <c r="FD19" s="608"/>
      <c r="FE19" s="608"/>
      <c r="FF19" s="608"/>
      <c r="FG19" s="608"/>
      <c r="FH19" s="608"/>
      <c r="FI19" s="609"/>
      <c r="FJ19" s="244"/>
      <c r="FK19" s="244"/>
      <c r="FL19" s="244"/>
      <c r="FM19" s="244"/>
      <c r="FN19" s="244"/>
    </row>
    <row r="20" spans="5:170" ht="15.75" x14ac:dyDescent="0.25">
      <c r="E20" s="244"/>
      <c r="F20" s="240">
        <f>IF(fronttd!E22="","",fronttd!E22)</f>
        <v>36138</v>
      </c>
      <c r="G20" s="240">
        <f>IF(fronttd!F22="","",fronttd!F22)</f>
        <v>36280</v>
      </c>
      <c r="H20" s="380">
        <f>fronttd!G22</f>
        <v>9</v>
      </c>
      <c r="I20" s="380">
        <f>fronttd!H22</f>
        <v>18</v>
      </c>
      <c r="J20">
        <f>VLOOKUP(G7,B7:D13,3,FALSE)</f>
        <v>24</v>
      </c>
      <c r="L20">
        <v>20</v>
      </c>
      <c r="M20" s="112">
        <f ca="1">VLOOKUP(N20,$F$20:$G$137,1,FALSE)</f>
        <v>36138</v>
      </c>
      <c r="N20" s="112">
        <f ca="1">IF(Foglio7!GE40="",100000,Foglio7!GE40)</f>
        <v>36138</v>
      </c>
      <c r="O20" s="238">
        <v>20</v>
      </c>
      <c r="P20" s="238">
        <f ca="1">VLOOKUP(N20,$F$20:$L$141,7)</f>
        <v>20</v>
      </c>
      <c r="Q20" s="238">
        <f>L20</f>
        <v>20</v>
      </c>
      <c r="R20" s="112">
        <f>F20</f>
        <v>36138</v>
      </c>
      <c r="S20" s="238">
        <f ca="1">VLOOKUP(R20,$N$20:$O$146,2)</f>
        <v>20</v>
      </c>
      <c r="T20" s="112">
        <f ca="1">SMALL(INDIRECT(CONCATENATE("N",S20,":N",S20+4)),1)</f>
        <v>36138</v>
      </c>
      <c r="U20" s="112">
        <f ca="1">SMALL(INDIRECT(CONCATENATE("N",S20,":N",S20+4)),2)</f>
        <v>36312</v>
      </c>
      <c r="V20" s="112">
        <f ca="1">SMALL(INDIRECT(CONCATENATE("N",S20,":N",S20+4)),3)</f>
        <v>36708</v>
      </c>
      <c r="W20" s="112">
        <f ca="1">SMALL(INDIRECT(CONCATENATE("N",S20,":N",S20+4)),4)</f>
        <v>36770</v>
      </c>
      <c r="X20" s="112">
        <f>G20</f>
        <v>36280</v>
      </c>
      <c r="Y20" s="112"/>
      <c r="Z20" s="112"/>
      <c r="AA20" s="335">
        <f>IF(R20=0,100000,R20)</f>
        <v>36138</v>
      </c>
      <c r="AB20" s="335">
        <f t="shared" ref="AB20:AB22" ca="1" si="3">IF(AND(T20&gt;=R20,T20&lt;=X20),T20,100000)</f>
        <v>36138</v>
      </c>
      <c r="AC20" s="335">
        <f t="shared" ref="AC20:AC22" ca="1" si="4">IF(AND(U20&gt;=R20,U20&lt;=X20),U20,100000)</f>
        <v>100000</v>
      </c>
      <c r="AD20" s="335">
        <f t="shared" ref="AD20:AD22" ca="1" si="5">IF(AND(V20&gt;=R20,V20&lt;=X20),V20,100000)</f>
        <v>100000</v>
      </c>
      <c r="AE20" s="335">
        <f t="shared" ref="AE20:AE22" ca="1" si="6">IF(AND(W20&gt;=R20,W20&lt;=X20),W20,100000)</f>
        <v>100000</v>
      </c>
      <c r="AF20" s="335">
        <f>IF(X20&gt;0,X20,100000)</f>
        <v>36280</v>
      </c>
      <c r="AG20" s="238">
        <v>20</v>
      </c>
      <c r="AH20" s="112">
        <f ca="1">INDIRECT(CONCATENATE("AA",AG20))</f>
        <v>36138</v>
      </c>
      <c r="AI20" s="112">
        <f ca="1">IF(            INDIRECT(CONCATENATE( "AB",AG20))&lt;100000,       INDIRECT(CONCATENATE("AB",AG20))  -1,IF(   INDIRECT(CONCATENATE("AC",AG20))&lt;100000,   INDIRECT(CONCATENATE("AC",AG20))-1,IF(   INDIRECT(CONCATENATE("AD", AG20))&lt;100000, INDIRECT(CONCATENATE("AD",AG20))-1,IF(   INDIRECT(CONCATENATE("AE",AG20))&lt;100000,  INDIRECT(CONCATENATE("AE",G20)),INDIRECT(CONCATENATE("AF",AG20))                ))))</f>
        <v>36137</v>
      </c>
      <c r="AJ20" s="112">
        <f t="shared" ref="AJ20:AJ43" ca="1" si="7">IF(TYPE(AI20)=16,VLOOKUP(AH20,$F$20:$G$146,2),AI20)</f>
        <v>36137</v>
      </c>
      <c r="AK20" s="112">
        <f t="shared" ref="AK20:AK53" ca="1" si="8">IF(TYPE(AH20)=16,100000,AJ20)</f>
        <v>36137</v>
      </c>
      <c r="AL20" s="112"/>
      <c r="AM20" s="112">
        <f ca="1">AH20</f>
        <v>36138</v>
      </c>
      <c r="AN20" s="112">
        <f ca="1">AI20</f>
        <v>36137</v>
      </c>
      <c r="AO20" s="114">
        <f ca="1">INDIRECT(CONCATENATE("i",AG20))</f>
        <v>18</v>
      </c>
      <c r="AP20" s="114">
        <f ca="1">INDIRECT(CONCATENATE("J",AG20))</f>
        <v>24</v>
      </c>
      <c r="AQ20" s="112"/>
      <c r="AR20" s="238">
        <v>20</v>
      </c>
      <c r="AS20" s="112"/>
      <c r="AT20" s="112"/>
      <c r="AU20" s="283">
        <v>1</v>
      </c>
      <c r="AV20" s="284">
        <f ca="1">SMALL($AM$20:$AM$564,AU20)</f>
        <v>36138</v>
      </c>
      <c r="AW20" s="284">
        <f ca="1">VLOOKUP(AV20,$AM$20:$AP$564,2,FALSE)</f>
        <v>36137</v>
      </c>
      <c r="AX20" s="285">
        <f ca="1">VLOOKUP(AV20,$AM$20:$AP$564,3,FALSE)</f>
        <v>18</v>
      </c>
      <c r="AY20" s="285">
        <f ca="1">VLOOKUP(AV20,$AM$20:$AP$564,4,FALSE)</f>
        <v>24</v>
      </c>
      <c r="AZ20" s="284"/>
      <c r="BA20" s="112"/>
      <c r="BB20" s="112">
        <f ca="1">VLOOKUP(N20,$F$20:$G$130,2)</f>
        <v>36280</v>
      </c>
      <c r="BC20" s="114">
        <f ca="1">IF(N20&gt;=BB20,0,1)</f>
        <v>1</v>
      </c>
      <c r="BD20" s="114">
        <f ca="1">TYPE(M20)</f>
        <v>1</v>
      </c>
      <c r="BE20" s="112">
        <f ca="1">IF(AND(BC20=1,BD20=16),N20,100000)</f>
        <v>100000</v>
      </c>
      <c r="BF20" s="112"/>
      <c r="BG20" s="112"/>
      <c r="BH20" s="238">
        <v>1</v>
      </c>
      <c r="BI20" s="245">
        <f>IF(F20=0,100000,F20)</f>
        <v>36138</v>
      </c>
      <c r="BJ20" s="281">
        <f t="shared" ref="BJ20:BJ25" ca="1" si="9">TYPE(VLOOKUP(BK20,$N$20:$N$49,1,FALSE))</f>
        <v>1</v>
      </c>
      <c r="BK20" s="245">
        <f ca="1">SMALL($BI$20:$BI$154,BH20)</f>
        <v>36138</v>
      </c>
      <c r="BL20" s="245">
        <f ca="1">BK21-1</f>
        <v>36280</v>
      </c>
      <c r="BM20" s="245"/>
      <c r="BN20" s="245" t="s">
        <v>65</v>
      </c>
      <c r="BQ20" s="245"/>
      <c r="BR20" s="245"/>
      <c r="BS20" s="245"/>
      <c r="BT20" s="245"/>
      <c r="BU20" s="245"/>
      <c r="BV20" s="245"/>
      <c r="BY20" s="245"/>
      <c r="BZ20" s="245"/>
      <c r="CA20" s="245"/>
      <c r="CB20" s="245"/>
      <c r="CC20" s="245"/>
      <c r="CD20" s="245"/>
      <c r="CE20" s="245"/>
      <c r="CF20" s="245"/>
      <c r="CG20" s="245"/>
      <c r="CH20" s="245"/>
      <c r="CL20" s="112"/>
      <c r="CM20" s="112"/>
      <c r="CP20" s="112"/>
      <c r="CQ20" s="112"/>
      <c r="CR20" s="238"/>
      <c r="CS20" s="238"/>
      <c r="CT20" s="112"/>
      <c r="CU20" s="112"/>
      <c r="CV20" s="112"/>
      <c r="CW20" s="112" t="s">
        <v>224</v>
      </c>
      <c r="CX20" s="112" t="s">
        <v>225</v>
      </c>
      <c r="CY20" s="112" t="s">
        <v>226</v>
      </c>
      <c r="CZ20" s="112" t="s">
        <v>227</v>
      </c>
      <c r="DA20" s="112" t="s">
        <v>228</v>
      </c>
      <c r="DB20" s="112" t="s">
        <v>229</v>
      </c>
      <c r="DC20" s="112"/>
      <c r="DD20" s="238">
        <f t="shared" ref="DD20:DD38" ca="1" si="10">IF(AND(DM20&lt;$DJ$19,DN20&gt;$DJ$19),$DJ$19-DM20,0)</f>
        <v>0</v>
      </c>
      <c r="DE20" s="238">
        <f t="shared" ref="DE20:DE31" ca="1" si="11">IF(AND($DJ$19&gt;DM20,$DJ$19&gt;=DN20),DN20-DM20+1,0)</f>
        <v>0</v>
      </c>
      <c r="DF20" s="112"/>
      <c r="DG20" s="112"/>
      <c r="DH20" s="238"/>
      <c r="DI20" s="112">
        <f>MAX(G20:G146)</f>
        <v>44804</v>
      </c>
      <c r="DJ20" s="238"/>
      <c r="DK20" s="112">
        <f ca="1">IF(DM20=100000,0,DM20)</f>
        <v>36138</v>
      </c>
      <c r="DL20" s="278">
        <f t="shared" ref="DL20:DL45" ca="1" si="12">IF(DM20="","",DL19+"1")</f>
        <v>1</v>
      </c>
      <c r="DM20" s="245">
        <f ca="1">DM571</f>
        <v>36138</v>
      </c>
      <c r="DN20" s="245">
        <f t="shared" ref="DN20:DP20" ca="1" si="13">DN571</f>
        <v>36280</v>
      </c>
      <c r="DO20" s="245">
        <f t="shared" ca="1" si="13"/>
        <v>9</v>
      </c>
      <c r="DP20" s="245">
        <f t="shared" ca="1" si="13"/>
        <v>24</v>
      </c>
      <c r="DQ20" s="281">
        <f t="shared" ref="DQ20:DQ45" ca="1" si="14">IF(DP20="","",DN20-DM20+1)</f>
        <v>143</v>
      </c>
      <c r="DR20" s="278">
        <f t="shared" ref="DR20:DR45" ca="1" si="15">IF(DQ20="","",DD20+DE20)</f>
        <v>0</v>
      </c>
      <c r="DS20" s="244">
        <f t="shared" ref="DS20" ca="1" si="16">IF(DK20="",0,ED20+EE20+EF20+EG20+EH20+EI20+EK20+EL20+EN20+EO20+EP20)</f>
        <v>0</v>
      </c>
      <c r="DT20" s="244">
        <f t="shared" ref="DT20" ca="1" si="17">IF(DK20="",0,EZ20+FA20+FB20+FC20+FD20+FE20+FG20+FH20+FJ20+FK20+FL20+FM20)</f>
        <v>0</v>
      </c>
      <c r="DU20" s="244">
        <f t="shared" ref="DU20:DU45" ca="1" si="18">IF(OR(DK20="",DK20=0),"",ROUND((DS20-DT20)/365*(DQ20   -DR20      )*DO20/DP20,2))</f>
        <v>0</v>
      </c>
      <c r="DV20" s="244" t="str">
        <f t="shared" ref="DV20:DV45" ca="1" si="19">IF(DU20="","",IF(DX20=0,"0/2 anni",IF(DX20=3,"3/8 anni",IF(DX20=9,"9/14 anni",IF(DX20=15,"15/20 anni",IF(DX20=21,"21/27 anni",IF(DX20=28,"28/34 anni","oltre 34")))))))</f>
        <v>0/2 anni</v>
      </c>
      <c r="DW20" s="244"/>
      <c r="DX20" s="244">
        <f ca="1">VLOOKUP(DM20,$DL$8:$DM$14,2)</f>
        <v>0</v>
      </c>
      <c r="DY20" s="312" t="e">
        <f ca="1">ROUND(SUM(DU20:DU138),2)</f>
        <v>#REF!</v>
      </c>
      <c r="EA20" s="244">
        <f ca="1">IF(DX20=0,0,IF(DX20=3,1,IF(DX20=9,2,IF(DX20=15,3,IF(DX20=21,4,IF(DX20=28,5,IF(DX20=35,6)))))))</f>
        <v>0</v>
      </c>
      <c r="EB20" s="278">
        <f ca="1">VLOOKUP(DM20,Foglio1!$AB$31:$AN$261,13)-6+EA20</f>
        <v>87</v>
      </c>
      <c r="EC20" s="244"/>
      <c r="ED20" s="244">
        <f t="shared" ref="ED20:ED51" ca="1" si="20">INDIRECT(CONCATENATE(EB$16,EB$17,$EB20))</f>
        <v>0</v>
      </c>
      <c r="EE20" s="244">
        <f t="shared" ref="EE20:EE51" ca="1" si="21">INDIRECT(CONCATENATE(EC$16,EC$17,$EB20))</f>
        <v>0</v>
      </c>
      <c r="EF20" s="244">
        <f t="shared" ref="EF20:EF51" ca="1" si="22">INDIRECT(CONCATENATE(ED$16,ED$17,$EB20))</f>
        <v>0</v>
      </c>
      <c r="EG20" s="244">
        <f t="shared" ref="EG20:EG51" ca="1" si="23">INDIRECT(CONCATENATE(EE$16,EE$17,$EB20))</f>
        <v>0</v>
      </c>
      <c r="EH20" s="244">
        <f t="shared" ref="EH20:EH51" ca="1" si="24">INDIRECT(CONCATENATE(EF$16,EF$17,$EB20))</f>
        <v>0</v>
      </c>
      <c r="EI20" s="244">
        <f t="shared" ref="EI20:EI51" ca="1" si="25">INDIRECT(CONCATENATE(EG$16,EG$17,$EB20))</f>
        <v>0</v>
      </c>
      <c r="EJ20" s="244">
        <f t="shared" ref="EJ20:EJ51" ca="1" si="26">INDIRECT(CONCATENATE(EH$16,EH$17,$EB20))</f>
        <v>0</v>
      </c>
      <c r="EK20" s="244">
        <f t="shared" ref="EK20:EK51" ca="1" si="27">INDIRECT(CONCATENATE(EI$16,EI$17,$EB20))</f>
        <v>0</v>
      </c>
      <c r="EL20" s="244">
        <f t="shared" ref="EL20:EL51" ca="1" si="28">INDIRECT(CONCATENATE(EJ$16,EJ$17,$EB20))</f>
        <v>0</v>
      </c>
      <c r="EM20" s="244">
        <f t="shared" ref="EM20:EM51" ca="1" si="29">INDIRECT(CONCATENATE(EK$16,EK$17,$EB20))</f>
        <v>87</v>
      </c>
      <c r="EN20" s="244">
        <f t="shared" ref="EN20:EN51" ca="1" si="30">INDIRECT(CONCATENATE(EL$16,EL$17,$EB20))</f>
        <v>0</v>
      </c>
      <c r="EO20" s="244">
        <f t="shared" ref="EO20:EO51" ca="1" si="31">INDIRECT(CONCATENATE(EM$16,EM$17,$EB20))</f>
        <v>0</v>
      </c>
      <c r="EP20" s="244">
        <f t="shared" ref="EP20:EP51" ca="1" si="32">INDIRECT(CONCATENATE(EN$16,EN$17,$EB20))</f>
        <v>0</v>
      </c>
      <c r="EQ20" s="244">
        <f t="shared" ref="EQ20:EQ51" ca="1" si="33">INDIRECT(CONCATENATE(EO$16,EO$17,$EB20))</f>
        <v>0</v>
      </c>
      <c r="ER20" s="244"/>
      <c r="EW20" s="244">
        <v>0</v>
      </c>
      <c r="EX20" s="278">
        <f ca="1">VLOOKUP(DM20,Foglio1!$AB$31:$AN$261,13)-6+EW20</f>
        <v>87</v>
      </c>
      <c r="EY20" s="244"/>
      <c r="EZ20" s="244">
        <v>0</v>
      </c>
      <c r="FA20" s="244">
        <f t="shared" ref="FA20:FL20" ca="1" si="34">INDIRECT(CONCATENATE(EY$16,EY$17,$EX20))</f>
        <v>0</v>
      </c>
      <c r="FB20" s="244">
        <f t="shared" ca="1" si="34"/>
        <v>0</v>
      </c>
      <c r="FC20" s="244">
        <f t="shared" ca="1" si="34"/>
        <v>0</v>
      </c>
      <c r="FD20" s="244">
        <f t="shared" ca="1" si="34"/>
        <v>0</v>
      </c>
      <c r="FE20" s="244">
        <f t="shared" ca="1" si="34"/>
        <v>0</v>
      </c>
      <c r="FF20" s="244">
        <f t="shared" ca="1" si="34"/>
        <v>0</v>
      </c>
      <c r="FG20" s="244">
        <f t="shared" ca="1" si="34"/>
        <v>0</v>
      </c>
      <c r="FH20" s="244">
        <f t="shared" ca="1" si="34"/>
        <v>0</v>
      </c>
      <c r="FI20" s="244">
        <f t="shared" ca="1" si="34"/>
        <v>87</v>
      </c>
      <c r="FJ20" s="244">
        <f t="shared" ca="1" si="34"/>
        <v>0</v>
      </c>
      <c r="FK20" s="244">
        <f t="shared" ca="1" si="34"/>
        <v>0</v>
      </c>
      <c r="FL20" s="244">
        <f t="shared" ca="1" si="34"/>
        <v>0</v>
      </c>
      <c r="FM20" s="244">
        <f t="shared" ref="FM20:FM51" ca="1" si="35">INDIRECT(CONCATENATE(FK$16,FK$17,$EB20))</f>
        <v>0</v>
      </c>
      <c r="FN20" s="244"/>
    </row>
    <row r="21" spans="5:170" ht="15.75" x14ac:dyDescent="0.25">
      <c r="E21" s="244"/>
      <c r="F21" s="240">
        <f>IF(fronttd!E23="","",fronttd!E23)</f>
        <v>36281</v>
      </c>
      <c r="G21" s="240">
        <f>IF(fronttd!F23="","",fronttd!F23)</f>
        <v>36321</v>
      </c>
      <c r="H21" s="380">
        <f>fronttd!G23</f>
        <v>9</v>
      </c>
      <c r="I21" s="380">
        <f>fronttd!H23</f>
        <v>18</v>
      </c>
      <c r="J21">
        <f>J20</f>
        <v>24</v>
      </c>
      <c r="L21">
        <f>L20+1</f>
        <v>21</v>
      </c>
      <c r="M21" s="112" t="e">
        <f t="shared" ref="M21:M49" ca="1" si="36">VLOOKUP(N21,$F$20:$G$137,1,FALSE)</f>
        <v>#N/A</v>
      </c>
      <c r="N21" s="112">
        <f ca="1">IF(   OR(Foglio7!GE41="", Foglio7!GE41=N20),100000,Foglio7!GE41)</f>
        <v>36312</v>
      </c>
      <c r="O21" s="238">
        <f>O20+1</f>
        <v>21</v>
      </c>
      <c r="P21" s="238">
        <f t="shared" ref="P21:P49" ca="1" si="37">VLOOKUP(N21,$F$20:$L$141,7)</f>
        <v>21</v>
      </c>
      <c r="Q21" s="238">
        <f t="shared" ref="Q21:Q49" si="38">L21</f>
        <v>21</v>
      </c>
      <c r="R21" s="112">
        <f t="shared" ref="R21:R84" si="39">F21</f>
        <v>36281</v>
      </c>
      <c r="S21" s="238">
        <f t="shared" ref="S21:S84" ca="1" si="40">VLOOKUP(R21,$N$20:$O$146,2)</f>
        <v>20</v>
      </c>
      <c r="T21" s="112">
        <f ca="1">SMALL(INDIRECT(CONCATENATE("N",S21,":N",S21+4)),1)</f>
        <v>36138</v>
      </c>
      <c r="U21" s="112">
        <f ca="1">SMALL(INDIRECT(CONCATENATE("N",S21,":N",S21+4)),2)</f>
        <v>36312</v>
      </c>
      <c r="V21" s="112">
        <f ca="1">SMALL(INDIRECT(CONCATENATE("N",S21,":N",S21+4)),3)</f>
        <v>36708</v>
      </c>
      <c r="W21" s="112">
        <f ca="1">SMALL(INDIRECT(CONCATENATE("N",S21,":N",S21+4)),4)</f>
        <v>36770</v>
      </c>
      <c r="X21" s="112">
        <f t="shared" ref="X21:X84" si="41">G21</f>
        <v>36321</v>
      </c>
      <c r="Y21" s="112"/>
      <c r="Z21" s="112"/>
      <c r="AA21" s="335">
        <f t="shared" ref="AA21:AA84" si="42">IF(R21=0,100000,R21)</f>
        <v>36281</v>
      </c>
      <c r="AB21" s="335">
        <f t="shared" ca="1" si="3"/>
        <v>100000</v>
      </c>
      <c r="AC21" s="335">
        <f t="shared" ca="1" si="4"/>
        <v>36312</v>
      </c>
      <c r="AD21" s="335">
        <f t="shared" ca="1" si="5"/>
        <v>100000</v>
      </c>
      <c r="AE21" s="335">
        <f t="shared" ca="1" si="6"/>
        <v>100000</v>
      </c>
      <c r="AF21" s="335">
        <f t="shared" ref="AF21:AF84" si="43">IF(X21&gt;0,X21,100000)</f>
        <v>36321</v>
      </c>
      <c r="AG21" s="238">
        <f>AG20</f>
        <v>20</v>
      </c>
      <c r="AH21" s="112">
        <f ca="1">AI20+1</f>
        <v>36138</v>
      </c>
      <c r="AI21" s="112">
        <f ca="1">IF(INDIRECT(CONCATENATE("AC",AG20))&lt;100000,INDIRECT(CONCATENATE("AC",AG20))-1,IF(INDIRECT(CONCATENATE("AD",AG20))&lt;100000,INDIRECT(CONCATENATE("AD",AG20))-1,IF(INDIRECT(CONCATENATE("AE",AG20))&lt;100000,INDIRECT(CONCATENATE("AE",G20)),INDIRECT(CONCATENATE("AF",AG20)))))</f>
        <v>36280</v>
      </c>
      <c r="AJ21" s="112">
        <f t="shared" ca="1" si="7"/>
        <v>36280</v>
      </c>
      <c r="AK21" s="112">
        <f t="shared" ca="1" si="8"/>
        <v>36280</v>
      </c>
      <c r="AL21" s="238">
        <f t="shared" ref="AL21:AL44" ca="1" si="44">IF(AK21=AI20,0,1)</f>
        <v>1</v>
      </c>
      <c r="AM21" s="112">
        <f t="shared" ref="AM21:AM39" ca="1" si="45">IF(TYPE(AL21)=16,100000,IF(AL21=0,100000,AH21))</f>
        <v>36138</v>
      </c>
      <c r="AN21" s="112">
        <f ca="1">IF(AM21=100000,100000,AK21)</f>
        <v>36280</v>
      </c>
      <c r="AO21" s="114">
        <f t="shared" ref="AO21:AO84" ca="1" si="46">INDIRECT(CONCATENATE("i",AG21))</f>
        <v>18</v>
      </c>
      <c r="AP21" s="114">
        <f t="shared" ref="AP21:AP84" ca="1" si="47">INDIRECT(CONCATENATE("J",AG21))</f>
        <v>24</v>
      </c>
      <c r="AQ21" s="112"/>
      <c r="AR21" s="238">
        <f>AR20+1</f>
        <v>21</v>
      </c>
      <c r="AS21" s="112"/>
      <c r="AT21" s="112"/>
      <c r="AU21" s="283">
        <f>AU20+1</f>
        <v>2</v>
      </c>
      <c r="AV21" s="284">
        <f t="shared" ref="AV21:AV84" ca="1" si="48">SMALL($AM$20:$AM$564,AU21)</f>
        <v>36138</v>
      </c>
      <c r="AW21" s="284">
        <f t="shared" ref="AW21:AW28" ca="1" si="49" xml:space="preserve">           IF( VLOOKUP(AV21,$AM$20:$AP$564,2,FALSE)=AW20,VLOOKUP(AV21,$AM$20:$AP$564,2),VLOOKUP(AV21,$AM$20:$AP$564,2,FALSE))</f>
        <v>36280</v>
      </c>
      <c r="AX21" s="285">
        <f t="shared" ref="AX21:AX29" ca="1" si="50" xml:space="preserve">         IF( VLOOKUP(AV21,$AM$20:$AP$564,2,FALSE)=AW20, VLOOKUP(AV21,$AM$20:$AP$564,3),              VLOOKUP(AV21,$AM$20:$AP$564,3,FALSE))</f>
        <v>18</v>
      </c>
      <c r="AY21" s="285">
        <f t="shared" ref="AY21:AY69" ca="1" si="51">VLOOKUP(AV21,$AM$20:$AP$564,4,FALSE)</f>
        <v>24</v>
      </c>
      <c r="AZ21" s="284"/>
      <c r="BA21" s="112"/>
      <c r="BB21" s="112">
        <f t="shared" ref="BB21:BB45" ca="1" si="52">VLOOKUP(N21,$F$20:$G$130,2)</f>
        <v>36321</v>
      </c>
      <c r="BC21" s="114">
        <f t="shared" ref="BC21:BC45" ca="1" si="53">IF(N21&gt;=BB21,0,1)</f>
        <v>1</v>
      </c>
      <c r="BD21" s="114">
        <f ca="1">TYPE(M21)</f>
        <v>16</v>
      </c>
      <c r="BE21" s="112">
        <f t="shared" ref="BE21:BE84" ca="1" si="54">IF(AND(BC21=1,BD21=16),N21,100000)</f>
        <v>36312</v>
      </c>
      <c r="BF21" s="112"/>
      <c r="BG21" s="112"/>
      <c r="BH21" s="238">
        <f>BH20+1</f>
        <v>2</v>
      </c>
      <c r="BI21" s="245">
        <f t="shared" ref="BI21:BI84" si="55">IF(F21=0,100000,F21)</f>
        <v>36281</v>
      </c>
      <c r="BJ21" s="281">
        <f t="shared" ca="1" si="9"/>
        <v>16</v>
      </c>
      <c r="BK21" s="245">
        <f t="shared" ref="BK21:BK84" ca="1" si="56">SMALL($BI$20:$BI$154,BH21)</f>
        <v>36281</v>
      </c>
      <c r="BL21" s="245">
        <f t="shared" ref="BL21:BL84" ca="1" si="57">BK22-1</f>
        <v>36311</v>
      </c>
      <c r="BM21" s="245"/>
      <c r="BN21" s="245">
        <f ca="1">VLOOKUP(BK21,$F$20:$G$145,2)</f>
        <v>36321</v>
      </c>
      <c r="BQ21" s="245"/>
      <c r="BR21" s="245"/>
      <c r="BS21" s="245"/>
      <c r="BT21" s="245"/>
      <c r="BU21" s="245"/>
      <c r="BV21" s="245"/>
      <c r="BY21" s="245"/>
      <c r="BZ21" s="245"/>
      <c r="CA21" s="245"/>
      <c r="CB21" s="245"/>
      <c r="CC21" s="245"/>
      <c r="CD21" s="245"/>
      <c r="CE21" s="245"/>
      <c r="CF21" s="245"/>
      <c r="CG21" s="245"/>
      <c r="CH21" s="245"/>
      <c r="CL21" s="112"/>
      <c r="CM21" s="112"/>
      <c r="CP21" s="112"/>
      <c r="CQ21" s="112"/>
      <c r="CR21" s="238"/>
      <c r="CS21" s="238"/>
      <c r="CT21" s="112"/>
      <c r="CU21" s="112"/>
      <c r="CV21" s="112"/>
      <c r="CW21" s="112" t="s">
        <v>224</v>
      </c>
      <c r="CX21" s="112" t="s">
        <v>225</v>
      </c>
      <c r="CY21" s="112" t="s">
        <v>226</v>
      </c>
      <c r="CZ21" s="112" t="s">
        <v>227</v>
      </c>
      <c r="DA21" s="112" t="s">
        <v>228</v>
      </c>
      <c r="DB21" s="112" t="s">
        <v>229</v>
      </c>
      <c r="DC21" s="112"/>
      <c r="DD21" s="238">
        <f t="shared" ca="1" si="10"/>
        <v>0</v>
      </c>
      <c r="DE21" s="238">
        <f t="shared" ca="1" si="11"/>
        <v>0</v>
      </c>
      <c r="DF21" s="112"/>
      <c r="DG21" s="238">
        <f>DAY(DI20)</f>
        <v>31</v>
      </c>
      <c r="DH21" s="238">
        <f>MONTH(DI20)</f>
        <v>8</v>
      </c>
      <c r="DI21" s="238">
        <f>YEAR(DI20)</f>
        <v>2022</v>
      </c>
      <c r="DJ21" s="238"/>
      <c r="DK21" s="112">
        <f t="shared" ref="DK21:DK84" ca="1" si="58">IF(DM21=100000,0,DM21)</f>
        <v>36281</v>
      </c>
      <c r="DL21" s="278">
        <f t="shared" ca="1" si="12"/>
        <v>2</v>
      </c>
      <c r="DM21" s="245">
        <f t="shared" ref="DM21:DP21" ca="1" si="59">DM572</f>
        <v>36281</v>
      </c>
      <c r="DN21" s="245">
        <f t="shared" ca="1" si="59"/>
        <v>36311</v>
      </c>
      <c r="DO21" s="245">
        <f t="shared" ca="1" si="59"/>
        <v>9</v>
      </c>
      <c r="DP21" s="245">
        <f t="shared" ca="1" si="59"/>
        <v>24</v>
      </c>
      <c r="DQ21" s="281">
        <f t="shared" ca="1" si="14"/>
        <v>31</v>
      </c>
      <c r="DR21" s="278">
        <f t="shared" ca="1" si="15"/>
        <v>0</v>
      </c>
      <c r="DS21" s="244">
        <f t="shared" ref="DS21:DS84" ca="1" si="60">IF(OR(DK21="",  DK21=0,DK21=100000     ),"",ED21+EE21+EF21+EG21+EH21+EI21+EK21+EL21+EN21+EO21+EP21)</f>
        <v>0</v>
      </c>
      <c r="DT21" s="244">
        <f t="shared" ref="DT21:DT84" ca="1" si="61">IF(DS21="","",EZ21+FA21+FB21+FC21+FD21+FE21+FG21+FH21+FJ21+FK21+FL21+FM21)</f>
        <v>0</v>
      </c>
      <c r="DU21" s="244">
        <f t="shared" ca="1" si="18"/>
        <v>0</v>
      </c>
      <c r="DV21" s="244" t="str">
        <f t="shared" ca="1" si="19"/>
        <v>0/2 anni</v>
      </c>
      <c r="DW21" s="244"/>
      <c r="DX21" s="244">
        <f ca="1">IF(DL21="","",VLOOKUP(DM21,$DL$8:$DM$14,2))</f>
        <v>0</v>
      </c>
      <c r="DY21" s="312" t="e">
        <f ca="1">ROUND(DY20/12,2)</f>
        <v>#REF!</v>
      </c>
      <c r="EA21" s="244">
        <f t="shared" ref="EA21:EA84" ca="1" si="62">IF(DX21=0,0,IF(DX21=3,1,IF(DX21=9,2,IF(DX21=15,3,IF(DX21=21,4,IF(DX21=28,5,IF(DX21=35,6)))))))</f>
        <v>0</v>
      </c>
      <c r="EB21" s="278">
        <f ca="1">VLOOKUP(DM21,Foglio1!$AB$31:$AN$261,13)-6+EA21</f>
        <v>87</v>
      </c>
      <c r="EC21" s="244"/>
      <c r="ED21" s="244">
        <f t="shared" ca="1" si="20"/>
        <v>0</v>
      </c>
      <c r="EE21" s="244">
        <f t="shared" ca="1" si="21"/>
        <v>0</v>
      </c>
      <c r="EF21" s="244">
        <f t="shared" ca="1" si="22"/>
        <v>0</v>
      </c>
      <c r="EG21" s="244">
        <f t="shared" ca="1" si="23"/>
        <v>0</v>
      </c>
      <c r="EH21" s="244">
        <f t="shared" ca="1" si="24"/>
        <v>0</v>
      </c>
      <c r="EI21" s="244">
        <f t="shared" ca="1" si="25"/>
        <v>0</v>
      </c>
      <c r="EJ21" s="244">
        <f t="shared" ca="1" si="26"/>
        <v>0</v>
      </c>
      <c r="EK21" s="244">
        <f t="shared" ca="1" si="27"/>
        <v>0</v>
      </c>
      <c r="EL21" s="244">
        <f t="shared" ca="1" si="28"/>
        <v>0</v>
      </c>
      <c r="EM21" s="244">
        <f t="shared" ca="1" si="29"/>
        <v>87</v>
      </c>
      <c r="EN21" s="244">
        <f t="shared" ca="1" si="30"/>
        <v>0</v>
      </c>
      <c r="EO21" s="244">
        <f t="shared" ca="1" si="31"/>
        <v>0</v>
      </c>
      <c r="EP21" s="244">
        <f t="shared" ca="1" si="32"/>
        <v>0</v>
      </c>
      <c r="EQ21" s="244">
        <f t="shared" ca="1" si="33"/>
        <v>0</v>
      </c>
      <c r="ER21" s="244"/>
      <c r="EW21" s="244">
        <v>0</v>
      </c>
      <c r="EX21" s="278">
        <f ca="1">VLOOKUP(DM21,Foglio1!$AB$31:$AN$261,13)-6+EW21</f>
        <v>87</v>
      </c>
      <c r="EY21" s="244"/>
      <c r="EZ21" s="244">
        <v>0</v>
      </c>
      <c r="FA21" s="244">
        <f t="shared" ref="FA21:FA52" ca="1" si="63">INDIRECT(CONCATENATE(EY$16,EY$17,$EX21))</f>
        <v>0</v>
      </c>
      <c r="FB21" s="244">
        <f t="shared" ref="FB21:FB52" ca="1" si="64">INDIRECT(CONCATENATE(EZ$16,EZ$17,$EX21))</f>
        <v>0</v>
      </c>
      <c r="FC21" s="244">
        <f t="shared" ref="FC21:FC52" ca="1" si="65">INDIRECT(CONCATENATE(FA$16,FA$17,$EX21))</f>
        <v>0</v>
      </c>
      <c r="FD21" s="244">
        <f t="shared" ref="FD21:FD52" ca="1" si="66">INDIRECT(CONCATENATE(FB$16,FB$17,$EX21))</f>
        <v>0</v>
      </c>
      <c r="FE21" s="244">
        <f t="shared" ref="FE21:FE52" ca="1" si="67">INDIRECT(CONCATENATE(FC$16,FC$17,$EX21))</f>
        <v>0</v>
      </c>
      <c r="FF21" s="244">
        <f t="shared" ref="FF21:FF52" ca="1" si="68">INDIRECT(CONCATENATE(FD$16,FD$17,$EX21))</f>
        <v>0</v>
      </c>
      <c r="FG21" s="244">
        <f t="shared" ref="FG21:FG52" ca="1" si="69">INDIRECT(CONCATENATE(FE$16,FE$17,$EX21))</f>
        <v>0</v>
      </c>
      <c r="FH21" s="244">
        <f t="shared" ref="FH21:FH52" ca="1" si="70">INDIRECT(CONCATENATE(FF$16,FF$17,$EX21))</f>
        <v>0</v>
      </c>
      <c r="FI21" s="244">
        <f t="shared" ref="FI21:FI52" ca="1" si="71">INDIRECT(CONCATENATE(FG$16,FG$17,$EX21))</f>
        <v>87</v>
      </c>
      <c r="FJ21" s="244">
        <f t="shared" ref="FJ21:FJ52" ca="1" si="72">INDIRECT(CONCATENATE(FH$16,FH$17,$EX21))</f>
        <v>0</v>
      </c>
      <c r="FK21" s="244">
        <f t="shared" ref="FK21:FK52" ca="1" si="73">INDIRECT(CONCATENATE(FI$16,FI$17,$EX21))</f>
        <v>0</v>
      </c>
      <c r="FL21" s="244">
        <f t="shared" ref="FL21:FL52" ca="1" si="74">INDIRECT(CONCATENATE(FJ$16,FJ$17,$EX21))</f>
        <v>0</v>
      </c>
      <c r="FM21" s="244">
        <f t="shared" ca="1" si="35"/>
        <v>0</v>
      </c>
      <c r="FN21" s="244"/>
    </row>
    <row r="22" spans="5:170" ht="15.75" x14ac:dyDescent="0.25">
      <c r="E22" s="244"/>
      <c r="F22" s="240">
        <f>IF(fronttd!E24="","",fronttd!E24)</f>
        <v>36325</v>
      </c>
      <c r="G22" s="240">
        <f>IF(fronttd!F24="","",fronttd!F24)</f>
        <v>36325</v>
      </c>
      <c r="H22" s="380">
        <f>fronttd!G24</f>
        <v>9</v>
      </c>
      <c r="I22" s="380">
        <f>fronttd!H24</f>
        <v>18</v>
      </c>
      <c r="J22">
        <f t="shared" ref="J22:J85" si="75">J21</f>
        <v>24</v>
      </c>
      <c r="L22">
        <f t="shared" ref="L22:L85" si="76">L21+1</f>
        <v>22</v>
      </c>
      <c r="M22" s="112" t="e">
        <f t="shared" ca="1" si="36"/>
        <v>#N/A</v>
      </c>
      <c r="N22" s="112">
        <f ca="1">IF(   OR(Foglio7!GE42="", Foglio7!GE42=N21),100000,Foglio7!GE42)</f>
        <v>36708</v>
      </c>
      <c r="O22" s="238">
        <f t="shared" ref="O22:O85" si="77">O21+1</f>
        <v>22</v>
      </c>
      <c r="P22" s="238">
        <f t="shared" ca="1" si="37"/>
        <v>25</v>
      </c>
      <c r="Q22" s="238">
        <f t="shared" si="38"/>
        <v>22</v>
      </c>
      <c r="R22" s="112">
        <f t="shared" si="39"/>
        <v>36325</v>
      </c>
      <c r="S22" s="238">
        <f t="shared" ca="1" si="40"/>
        <v>21</v>
      </c>
      <c r="T22" s="112">
        <f ca="1">SMALL(INDIRECT(CONCATENATE("N",S22,":N",S22+4)),1)</f>
        <v>36312</v>
      </c>
      <c r="U22" s="112">
        <f ca="1">SMALL(INDIRECT(CONCATENATE("N",S22,":N",S22+4)),2)</f>
        <v>36708</v>
      </c>
      <c r="V22" s="112">
        <f ca="1">SMALL(INDIRECT(CONCATENATE("N",S22,":N",S22+4)),3)</f>
        <v>36770</v>
      </c>
      <c r="W22" s="112">
        <f ca="1">SMALL(INDIRECT(CONCATENATE("N",S22,":N",S22+4)),4)</f>
        <v>36892</v>
      </c>
      <c r="X22" s="112">
        <f t="shared" si="41"/>
        <v>36325</v>
      </c>
      <c r="Y22" s="112"/>
      <c r="Z22" s="112"/>
      <c r="AA22" s="335">
        <f t="shared" si="42"/>
        <v>36325</v>
      </c>
      <c r="AB22" s="335">
        <f t="shared" ca="1" si="3"/>
        <v>100000</v>
      </c>
      <c r="AC22" s="335">
        <f t="shared" ca="1" si="4"/>
        <v>100000</v>
      </c>
      <c r="AD22" s="335">
        <f t="shared" ca="1" si="5"/>
        <v>100000</v>
      </c>
      <c r="AE22" s="335">
        <f t="shared" ca="1" si="6"/>
        <v>100000</v>
      </c>
      <c r="AF22" s="335">
        <f t="shared" si="43"/>
        <v>36325</v>
      </c>
      <c r="AG22" s="238">
        <f>AG21</f>
        <v>20</v>
      </c>
      <c r="AH22" s="112">
        <f ca="1">AI21+1</f>
        <v>36281</v>
      </c>
      <c r="AI22" s="112">
        <f ca="1">IF(INDIRECT(CONCATENATE("AD",AG20))&lt;100000,INDIRECT(CONCATENATE("AD",AG20))-1,IF(INDIRECT(CONCATENATE("AE",AG20))&lt;100000,INDIRECT(CONCATENATE("AE",G20)),INDIRECT(CONCATENATE("AF",AG20))))</f>
        <v>36280</v>
      </c>
      <c r="AJ22" s="112">
        <f t="shared" ca="1" si="7"/>
        <v>36280</v>
      </c>
      <c r="AK22" s="112">
        <f t="shared" ca="1" si="8"/>
        <v>36280</v>
      </c>
      <c r="AL22" s="238">
        <f t="shared" ca="1" si="44"/>
        <v>0</v>
      </c>
      <c r="AM22" s="112">
        <f t="shared" ca="1" si="45"/>
        <v>100000</v>
      </c>
      <c r="AN22" s="112">
        <f ca="1">IF(AM22=100000,100000,AK22)</f>
        <v>100000</v>
      </c>
      <c r="AO22" s="114">
        <f t="shared" ca="1" si="46"/>
        <v>18</v>
      </c>
      <c r="AP22" s="114">
        <f t="shared" ca="1" si="47"/>
        <v>24</v>
      </c>
      <c r="AQ22" s="112"/>
      <c r="AR22" s="238">
        <f t="shared" ref="AR22:AR85" si="78">AR21+1</f>
        <v>22</v>
      </c>
      <c r="AS22" s="112"/>
      <c r="AT22" s="112"/>
      <c r="AU22" s="283">
        <f t="shared" ref="AU22:AU69" si="79">AU21+1</f>
        <v>3</v>
      </c>
      <c r="AV22" s="284">
        <f t="shared" ca="1" si="48"/>
        <v>36281</v>
      </c>
      <c r="AW22" s="284">
        <f t="shared" ca="1" si="49"/>
        <v>36311</v>
      </c>
      <c r="AX22" s="285">
        <f t="shared" ca="1" si="50"/>
        <v>18</v>
      </c>
      <c r="AY22" s="285">
        <f t="shared" ca="1" si="51"/>
        <v>24</v>
      </c>
      <c r="AZ22" s="284"/>
      <c r="BA22" s="112"/>
      <c r="BB22" s="112">
        <f t="shared" ca="1" si="52"/>
        <v>36769</v>
      </c>
      <c r="BC22" s="114">
        <f t="shared" ca="1" si="53"/>
        <v>1</v>
      </c>
      <c r="BD22" s="114">
        <f t="shared" ref="BD22:BD85" ca="1" si="80">TYPE(M22)</f>
        <v>16</v>
      </c>
      <c r="BE22" s="112">
        <f t="shared" ca="1" si="54"/>
        <v>36708</v>
      </c>
      <c r="BF22" s="112"/>
      <c r="BG22" s="112"/>
      <c r="BH22" s="238">
        <f t="shared" ref="BH22:BH85" si="81">BH21+1</f>
        <v>3</v>
      </c>
      <c r="BI22" s="245">
        <f t="shared" si="55"/>
        <v>36325</v>
      </c>
      <c r="BJ22" s="281">
        <f t="shared" ca="1" si="9"/>
        <v>1</v>
      </c>
      <c r="BK22" s="245">
        <f t="shared" ca="1" si="56"/>
        <v>36312</v>
      </c>
      <c r="BL22" s="245">
        <f t="shared" ca="1" si="57"/>
        <v>36324</v>
      </c>
      <c r="BM22" s="245"/>
      <c r="BN22" s="245">
        <f ca="1">VLOOKUP(BK22,$F$20:$G$145,2)</f>
        <v>36321</v>
      </c>
      <c r="BQ22" s="245"/>
      <c r="BR22" s="245"/>
      <c r="BS22" s="245"/>
      <c r="BT22" s="245"/>
      <c r="BU22" s="245"/>
      <c r="BV22" s="245"/>
      <c r="BY22" s="245"/>
      <c r="BZ22" s="245"/>
      <c r="CA22" s="245"/>
      <c r="CB22" s="245"/>
      <c r="CC22" s="245"/>
      <c r="CD22" s="245"/>
      <c r="CE22" s="245"/>
      <c r="CF22" s="245"/>
      <c r="CG22" s="245"/>
      <c r="CH22" s="245"/>
      <c r="CL22" s="112"/>
      <c r="CM22" s="112"/>
      <c r="CP22" s="112"/>
      <c r="CQ22" s="112"/>
      <c r="CR22" s="238"/>
      <c r="CS22" s="238"/>
      <c r="CT22" s="112"/>
      <c r="CU22" s="112"/>
      <c r="CV22" s="112"/>
      <c r="CW22" s="112" t="s">
        <v>224</v>
      </c>
      <c r="CX22" s="112" t="s">
        <v>225</v>
      </c>
      <c r="CY22" s="112" t="s">
        <v>226</v>
      </c>
      <c r="CZ22" s="112" t="s">
        <v>227</v>
      </c>
      <c r="DA22" s="112" t="s">
        <v>228</v>
      </c>
      <c r="DB22" s="112" t="s">
        <v>229</v>
      </c>
      <c r="DC22" s="112"/>
      <c r="DD22" s="238">
        <f t="shared" ca="1" si="10"/>
        <v>0</v>
      </c>
      <c r="DE22" s="238">
        <f t="shared" ca="1" si="11"/>
        <v>0</v>
      </c>
      <c r="DF22" s="112"/>
      <c r="DG22" s="238"/>
      <c r="DH22" s="238"/>
      <c r="DI22" s="112"/>
      <c r="DJ22" s="238"/>
      <c r="DK22" s="112">
        <f t="shared" ca="1" si="58"/>
        <v>36312</v>
      </c>
      <c r="DL22" s="278">
        <f t="shared" ca="1" si="12"/>
        <v>3</v>
      </c>
      <c r="DM22" s="245">
        <f t="shared" ref="DM22:DP22" ca="1" si="82">DM573</f>
        <v>36312</v>
      </c>
      <c r="DN22" s="245">
        <f t="shared" ca="1" si="82"/>
        <v>36321</v>
      </c>
      <c r="DO22" s="245">
        <f t="shared" ca="1" si="82"/>
        <v>9</v>
      </c>
      <c r="DP22" s="245">
        <f t="shared" ca="1" si="82"/>
        <v>24</v>
      </c>
      <c r="DQ22" s="281">
        <f t="shared" ca="1" si="14"/>
        <v>10</v>
      </c>
      <c r="DR22" s="278">
        <f t="shared" ca="1" si="15"/>
        <v>0</v>
      </c>
      <c r="DS22" s="244">
        <f t="shared" ca="1" si="60"/>
        <v>0</v>
      </c>
      <c r="DT22" s="244">
        <f t="shared" ca="1" si="61"/>
        <v>0</v>
      </c>
      <c r="DU22" s="244">
        <f t="shared" ca="1" si="18"/>
        <v>0</v>
      </c>
      <c r="DV22" s="244" t="str">
        <f t="shared" ca="1" si="19"/>
        <v>0/2 anni</v>
      </c>
      <c r="DW22" s="244"/>
      <c r="DX22" s="244">
        <f t="shared" ref="DX22:DX30" ca="1" si="83">IF(DL22="","",VLOOKUP(DM22,$DL$8:$DM$14,2))</f>
        <v>0</v>
      </c>
      <c r="DY22" s="312" t="e">
        <f ca="1">DY20+DY21</f>
        <v>#REF!</v>
      </c>
      <c r="EA22" s="244">
        <f t="shared" ca="1" si="62"/>
        <v>0</v>
      </c>
      <c r="EB22" s="278">
        <f ca="1">VLOOKUP(DM22,Foglio1!$AB$31:$AN$261,13)-6+EA22</f>
        <v>87</v>
      </c>
      <c r="EC22" s="244"/>
      <c r="ED22" s="244">
        <f t="shared" ca="1" si="20"/>
        <v>0</v>
      </c>
      <c r="EE22" s="244">
        <f t="shared" ca="1" si="21"/>
        <v>0</v>
      </c>
      <c r="EF22" s="244">
        <f t="shared" ca="1" si="22"/>
        <v>0</v>
      </c>
      <c r="EG22" s="244">
        <f t="shared" ca="1" si="23"/>
        <v>0</v>
      </c>
      <c r="EH22" s="244">
        <f t="shared" ca="1" si="24"/>
        <v>0</v>
      </c>
      <c r="EI22" s="244">
        <f t="shared" ca="1" si="25"/>
        <v>0</v>
      </c>
      <c r="EJ22" s="244">
        <f t="shared" ca="1" si="26"/>
        <v>0</v>
      </c>
      <c r="EK22" s="244">
        <f t="shared" ca="1" si="27"/>
        <v>0</v>
      </c>
      <c r="EL22" s="244">
        <f t="shared" ca="1" si="28"/>
        <v>0</v>
      </c>
      <c r="EM22" s="244">
        <f t="shared" ca="1" si="29"/>
        <v>87</v>
      </c>
      <c r="EN22" s="244">
        <f t="shared" ca="1" si="30"/>
        <v>0</v>
      </c>
      <c r="EO22" s="244">
        <f t="shared" ca="1" si="31"/>
        <v>0</v>
      </c>
      <c r="EP22" s="244">
        <f t="shared" ca="1" si="32"/>
        <v>0</v>
      </c>
      <c r="EQ22" s="244">
        <f t="shared" ca="1" si="33"/>
        <v>0</v>
      </c>
      <c r="ER22" s="244"/>
      <c r="EW22" s="244">
        <v>0</v>
      </c>
      <c r="EX22" s="278">
        <f ca="1">VLOOKUP(DM22,Foglio1!$AB$31:$AN$261,13)-6+EW22</f>
        <v>87</v>
      </c>
      <c r="EY22" s="244"/>
      <c r="EZ22" s="244">
        <v>0</v>
      </c>
      <c r="FA22" s="244">
        <f t="shared" ca="1" si="63"/>
        <v>0</v>
      </c>
      <c r="FB22" s="244">
        <f t="shared" ca="1" si="64"/>
        <v>0</v>
      </c>
      <c r="FC22" s="244">
        <f t="shared" ca="1" si="65"/>
        <v>0</v>
      </c>
      <c r="FD22" s="244">
        <f t="shared" ca="1" si="66"/>
        <v>0</v>
      </c>
      <c r="FE22" s="244">
        <f t="shared" ca="1" si="67"/>
        <v>0</v>
      </c>
      <c r="FF22" s="244">
        <f t="shared" ca="1" si="68"/>
        <v>0</v>
      </c>
      <c r="FG22" s="244">
        <f t="shared" ca="1" si="69"/>
        <v>0</v>
      </c>
      <c r="FH22" s="244">
        <f t="shared" ca="1" si="70"/>
        <v>0</v>
      </c>
      <c r="FI22" s="244">
        <f t="shared" ca="1" si="71"/>
        <v>87</v>
      </c>
      <c r="FJ22" s="244">
        <f t="shared" ca="1" si="72"/>
        <v>0</v>
      </c>
      <c r="FK22" s="244">
        <f t="shared" ca="1" si="73"/>
        <v>0</v>
      </c>
      <c r="FL22" s="244">
        <f t="shared" ca="1" si="74"/>
        <v>0</v>
      </c>
      <c r="FM22" s="244">
        <f t="shared" ca="1" si="35"/>
        <v>0</v>
      </c>
      <c r="FN22" s="244"/>
    </row>
    <row r="23" spans="5:170" x14ac:dyDescent="0.25">
      <c r="E23" s="244"/>
      <c r="F23" s="240">
        <f>IF(fronttd!E25="","",fronttd!E25)</f>
        <v>36432</v>
      </c>
      <c r="G23" s="240">
        <f>IF(fronttd!F25="","",fronttd!F25)</f>
        <v>36433</v>
      </c>
      <c r="H23" s="380">
        <f>fronttd!G25</f>
        <v>13</v>
      </c>
      <c r="I23" s="380">
        <f>fronttd!H25</f>
        <v>18</v>
      </c>
      <c r="J23">
        <f t="shared" si="75"/>
        <v>24</v>
      </c>
      <c r="L23">
        <f t="shared" si="76"/>
        <v>23</v>
      </c>
      <c r="M23" s="112" t="e">
        <f t="shared" ca="1" si="36"/>
        <v>#N/A</v>
      </c>
      <c r="N23" s="112">
        <f ca="1">IF(   OR(Foglio7!GE43="", Foglio7!GE43=N22),100000,Foglio7!GE43)</f>
        <v>36770</v>
      </c>
      <c r="O23" s="238">
        <f t="shared" si="77"/>
        <v>23</v>
      </c>
      <c r="P23" s="238">
        <f t="shared" ca="1" si="37"/>
        <v>25</v>
      </c>
      <c r="Q23" s="238">
        <f t="shared" si="38"/>
        <v>23</v>
      </c>
      <c r="R23" s="112">
        <f t="shared" si="39"/>
        <v>36432</v>
      </c>
      <c r="S23" s="238">
        <f t="shared" ca="1" si="40"/>
        <v>21</v>
      </c>
      <c r="T23" s="112">
        <f ca="1">SMALL(INDIRECT(CONCATENATE("N",S23,":N",S23+4)),1)</f>
        <v>36312</v>
      </c>
      <c r="U23" s="112">
        <f ca="1">SMALL(INDIRECT(CONCATENATE("N",S23,":N",S23+4)),2)</f>
        <v>36708</v>
      </c>
      <c r="V23" s="112">
        <f ca="1">SMALL(INDIRECT(CONCATENATE("N",S23,":N",S23+4)),3)</f>
        <v>36770</v>
      </c>
      <c r="W23" s="112">
        <f ca="1">SMALL(INDIRECT(CONCATENATE("N",S23,":N",S23+4)),4)</f>
        <v>36892</v>
      </c>
      <c r="X23" s="112">
        <f t="shared" si="41"/>
        <v>36433</v>
      </c>
      <c r="Y23" s="112"/>
      <c r="Z23" s="112"/>
      <c r="AA23" s="335">
        <f t="shared" si="42"/>
        <v>36432</v>
      </c>
      <c r="AB23" s="335">
        <f ca="1">IF(AND(T23&gt;=R23,T23&lt;=X23),T23,100000)</f>
        <v>100000</v>
      </c>
      <c r="AC23" s="335">
        <f ca="1">IF(AND(U23&gt;=R23,U23&lt;=X23),U23,100000)</f>
        <v>100000</v>
      </c>
      <c r="AD23" s="335">
        <f ca="1">IF(AND(V23&gt;=R23,V23&lt;=X23),V23,100000)</f>
        <v>100000</v>
      </c>
      <c r="AE23" s="335">
        <f ca="1">IF(AND(W23&gt;=R23,W23&lt;=X23),W23,100000)</f>
        <v>100000</v>
      </c>
      <c r="AF23" s="335">
        <f t="shared" si="43"/>
        <v>36433</v>
      </c>
      <c r="AG23" s="238">
        <f>AG22</f>
        <v>20</v>
      </c>
      <c r="AH23" s="112">
        <f ca="1">AI22+1</f>
        <v>36281</v>
      </c>
      <c r="AI23" s="112">
        <f ca="1">IF(INDIRECT(CONCATENATE("AE",AG20))&lt;100000,INDIRECT(CONCATENATE("AE",G20)),INDIRECT(CONCATENATE("AF",AG20)))</f>
        <v>36280</v>
      </c>
      <c r="AJ23" s="112">
        <f t="shared" ca="1" si="7"/>
        <v>36280</v>
      </c>
      <c r="AK23" s="112">
        <f t="shared" ca="1" si="8"/>
        <v>36280</v>
      </c>
      <c r="AL23" s="238">
        <f t="shared" ca="1" si="44"/>
        <v>0</v>
      </c>
      <c r="AM23" s="112">
        <f t="shared" ca="1" si="45"/>
        <v>100000</v>
      </c>
      <c r="AN23" s="112">
        <f t="shared" ref="AN23:AN86" ca="1" si="84">IF(AM23=100000,100000,AK23)</f>
        <v>100000</v>
      </c>
      <c r="AO23" s="114">
        <f t="shared" ca="1" si="46"/>
        <v>18</v>
      </c>
      <c r="AP23" s="114">
        <f t="shared" ca="1" si="47"/>
        <v>24</v>
      </c>
      <c r="AQ23" s="112"/>
      <c r="AR23" s="238">
        <f t="shared" si="78"/>
        <v>23</v>
      </c>
      <c r="AS23" s="112"/>
      <c r="AT23" s="112"/>
      <c r="AU23" s="283">
        <f t="shared" si="79"/>
        <v>4</v>
      </c>
      <c r="AV23" s="284">
        <f t="shared" ca="1" si="48"/>
        <v>36312</v>
      </c>
      <c r="AW23" s="284">
        <f t="shared" ca="1" si="49"/>
        <v>36321</v>
      </c>
      <c r="AX23" s="285">
        <f t="shared" ca="1" si="50"/>
        <v>18</v>
      </c>
      <c r="AY23" s="285">
        <f t="shared" ca="1" si="51"/>
        <v>24</v>
      </c>
      <c r="AZ23" s="284"/>
      <c r="BA23" s="112"/>
      <c r="BB23" s="112">
        <f t="shared" ca="1" si="52"/>
        <v>36769</v>
      </c>
      <c r="BC23" s="114">
        <f t="shared" ca="1" si="53"/>
        <v>0</v>
      </c>
      <c r="BD23" s="114">
        <f t="shared" ca="1" si="80"/>
        <v>16</v>
      </c>
      <c r="BE23" s="112">
        <f t="shared" ca="1" si="54"/>
        <v>100000</v>
      </c>
      <c r="BF23" s="112"/>
      <c r="BG23" s="112"/>
      <c r="BH23" s="238">
        <f t="shared" si="81"/>
        <v>4</v>
      </c>
      <c r="BI23" s="245">
        <f t="shared" si="55"/>
        <v>36432</v>
      </c>
      <c r="BJ23" s="281">
        <f t="shared" ca="1" si="9"/>
        <v>16</v>
      </c>
      <c r="BK23" s="245">
        <f t="shared" ca="1" si="56"/>
        <v>36325</v>
      </c>
      <c r="BL23" s="245">
        <f t="shared" ca="1" si="57"/>
        <v>36431</v>
      </c>
      <c r="BM23" s="245"/>
      <c r="BN23" s="245">
        <f ca="1">VLOOKUP(BK23,$F$20:$G$145,2)</f>
        <v>36325</v>
      </c>
      <c r="BQ23" s="245"/>
      <c r="BR23" s="245"/>
      <c r="BS23" s="245"/>
      <c r="BT23" s="245"/>
      <c r="BU23" s="245"/>
      <c r="BV23" s="245"/>
      <c r="BY23" s="245"/>
      <c r="BZ23" s="245"/>
      <c r="CA23" s="245"/>
      <c r="CB23" s="245"/>
      <c r="CC23" s="245"/>
      <c r="CD23" s="245"/>
      <c r="CE23" s="245"/>
      <c r="CF23" s="245"/>
      <c r="CG23" s="245"/>
      <c r="CH23" s="245"/>
      <c r="CL23" s="112"/>
      <c r="CM23" s="112"/>
      <c r="CP23" s="112"/>
      <c r="CQ23" s="112"/>
      <c r="CR23" s="238"/>
      <c r="CS23" s="238"/>
      <c r="CT23" s="112"/>
      <c r="CU23" s="112"/>
      <c r="CV23" s="112"/>
      <c r="CW23" s="112" t="s">
        <v>224</v>
      </c>
      <c r="CX23" s="112" t="s">
        <v>225</v>
      </c>
      <c r="CY23" s="112" t="s">
        <v>226</v>
      </c>
      <c r="CZ23" s="112" t="s">
        <v>227</v>
      </c>
      <c r="DA23" s="112" t="s">
        <v>228</v>
      </c>
      <c r="DB23" s="112" t="s">
        <v>229</v>
      </c>
      <c r="DC23" s="112"/>
      <c r="DD23" s="238">
        <f t="shared" ca="1" si="10"/>
        <v>0</v>
      </c>
      <c r="DE23" s="238">
        <f t="shared" ca="1" si="11"/>
        <v>0</v>
      </c>
      <c r="DF23" s="112"/>
      <c r="DG23" s="238"/>
      <c r="DH23" s="238"/>
      <c r="DI23" s="112"/>
      <c r="DJ23" s="238"/>
      <c r="DK23" s="112">
        <f t="shared" ca="1" si="58"/>
        <v>36325</v>
      </c>
      <c r="DL23" s="278">
        <f t="shared" ca="1" si="12"/>
        <v>4</v>
      </c>
      <c r="DM23" s="245">
        <f t="shared" ref="DM23:DP23" ca="1" si="85">DM574</f>
        <v>36325</v>
      </c>
      <c r="DN23" s="245">
        <f t="shared" ca="1" si="85"/>
        <v>36325</v>
      </c>
      <c r="DO23" s="245">
        <f t="shared" ca="1" si="85"/>
        <v>9</v>
      </c>
      <c r="DP23" s="245">
        <f t="shared" ca="1" si="85"/>
        <v>24</v>
      </c>
      <c r="DQ23" s="281">
        <f t="shared" ca="1" si="14"/>
        <v>1</v>
      </c>
      <c r="DR23" s="278">
        <f t="shared" ca="1" si="15"/>
        <v>0</v>
      </c>
      <c r="DS23" s="244">
        <f t="shared" ca="1" si="60"/>
        <v>0</v>
      </c>
      <c r="DT23" s="244">
        <f t="shared" ca="1" si="61"/>
        <v>0</v>
      </c>
      <c r="DU23" s="244">
        <f t="shared" ca="1" si="18"/>
        <v>0</v>
      </c>
      <c r="DV23" s="244" t="str">
        <f t="shared" ca="1" si="19"/>
        <v>0/2 anni</v>
      </c>
      <c r="DW23" s="244"/>
      <c r="DX23" s="244">
        <f t="shared" ca="1" si="83"/>
        <v>0</v>
      </c>
      <c r="EA23" s="244">
        <f t="shared" ca="1" si="62"/>
        <v>0</v>
      </c>
      <c r="EB23" s="278">
        <f ca="1">VLOOKUP(DM23,Foglio1!$AB$31:$AN$261,13)-6+EA23</f>
        <v>87</v>
      </c>
      <c r="EC23" s="244"/>
      <c r="ED23" s="244">
        <f t="shared" ca="1" si="20"/>
        <v>0</v>
      </c>
      <c r="EE23" s="244">
        <f t="shared" ca="1" si="21"/>
        <v>0</v>
      </c>
      <c r="EF23" s="244">
        <f t="shared" ca="1" si="22"/>
        <v>0</v>
      </c>
      <c r="EG23" s="244">
        <f t="shared" ca="1" si="23"/>
        <v>0</v>
      </c>
      <c r="EH23" s="244">
        <f t="shared" ca="1" si="24"/>
        <v>0</v>
      </c>
      <c r="EI23" s="244">
        <f t="shared" ca="1" si="25"/>
        <v>0</v>
      </c>
      <c r="EJ23" s="244">
        <f t="shared" ca="1" si="26"/>
        <v>0</v>
      </c>
      <c r="EK23" s="244">
        <f t="shared" ca="1" si="27"/>
        <v>0</v>
      </c>
      <c r="EL23" s="244">
        <f t="shared" ca="1" si="28"/>
        <v>0</v>
      </c>
      <c r="EM23" s="244">
        <f t="shared" ca="1" si="29"/>
        <v>87</v>
      </c>
      <c r="EN23" s="244">
        <f t="shared" ca="1" si="30"/>
        <v>0</v>
      </c>
      <c r="EO23" s="244">
        <f t="shared" ca="1" si="31"/>
        <v>0</v>
      </c>
      <c r="EP23" s="244">
        <f t="shared" ca="1" si="32"/>
        <v>0</v>
      </c>
      <c r="EQ23" s="244">
        <f t="shared" ca="1" si="33"/>
        <v>0</v>
      </c>
      <c r="ER23" s="244"/>
      <c r="EW23" s="244">
        <v>0</v>
      </c>
      <c r="EX23" s="278">
        <f ca="1">VLOOKUP(DM23,Foglio1!$AB$31:$AN$261,13)-6+EW23</f>
        <v>87</v>
      </c>
      <c r="EY23" s="244"/>
      <c r="EZ23" s="244">
        <v>0</v>
      </c>
      <c r="FA23" s="244">
        <f t="shared" ca="1" si="63"/>
        <v>0</v>
      </c>
      <c r="FB23" s="244">
        <f t="shared" ca="1" si="64"/>
        <v>0</v>
      </c>
      <c r="FC23" s="244">
        <f t="shared" ca="1" si="65"/>
        <v>0</v>
      </c>
      <c r="FD23" s="244">
        <f t="shared" ca="1" si="66"/>
        <v>0</v>
      </c>
      <c r="FE23" s="244">
        <f t="shared" ca="1" si="67"/>
        <v>0</v>
      </c>
      <c r="FF23" s="244">
        <f t="shared" ca="1" si="68"/>
        <v>0</v>
      </c>
      <c r="FG23" s="244">
        <f t="shared" ca="1" si="69"/>
        <v>0</v>
      </c>
      <c r="FH23" s="244">
        <f t="shared" ca="1" si="70"/>
        <v>0</v>
      </c>
      <c r="FI23" s="244">
        <f t="shared" ca="1" si="71"/>
        <v>87</v>
      </c>
      <c r="FJ23" s="244">
        <f t="shared" ca="1" si="72"/>
        <v>0</v>
      </c>
      <c r="FK23" s="244">
        <f t="shared" ca="1" si="73"/>
        <v>0</v>
      </c>
      <c r="FL23" s="244">
        <f t="shared" ca="1" si="74"/>
        <v>0</v>
      </c>
      <c r="FM23" s="244">
        <f t="shared" ca="1" si="35"/>
        <v>0</v>
      </c>
      <c r="FN23" s="244"/>
    </row>
    <row r="24" spans="5:170" x14ac:dyDescent="0.25">
      <c r="E24" s="244"/>
      <c r="F24" s="240">
        <f>IF(fronttd!E26="","",fronttd!E26)</f>
        <v>36434</v>
      </c>
      <c r="G24" s="240">
        <f>IF(fronttd!F26="","",fronttd!F26)</f>
        <v>36454</v>
      </c>
      <c r="H24" s="380">
        <f>fronttd!G26</f>
        <v>7</v>
      </c>
      <c r="I24" s="380">
        <f>fronttd!H26</f>
        <v>18</v>
      </c>
      <c r="J24">
        <f t="shared" si="75"/>
        <v>24</v>
      </c>
      <c r="L24">
        <f t="shared" si="76"/>
        <v>24</v>
      </c>
      <c r="M24" s="112" t="e">
        <f t="shared" ca="1" si="36"/>
        <v>#N/A</v>
      </c>
      <c r="N24" s="112">
        <f ca="1">IF(   OR(Foglio7!GE44="", Foglio7!GE44=N23),100000,Foglio7!GE44)</f>
        <v>36892</v>
      </c>
      <c r="O24" s="238">
        <f t="shared" si="77"/>
        <v>24</v>
      </c>
      <c r="P24" s="238">
        <f t="shared" ca="1" si="37"/>
        <v>26</v>
      </c>
      <c r="Q24" s="238">
        <f t="shared" si="38"/>
        <v>24</v>
      </c>
      <c r="R24" s="112">
        <f t="shared" si="39"/>
        <v>36434</v>
      </c>
      <c r="S24" s="238">
        <f t="shared" ca="1" si="40"/>
        <v>21</v>
      </c>
      <c r="T24" s="112">
        <f t="shared" ref="T24:T87" ca="1" si="86">SMALL(INDIRECT(CONCATENATE("N",S24,":N",S24+4)),1)</f>
        <v>36312</v>
      </c>
      <c r="U24" s="112">
        <f t="shared" ref="U24:U87" ca="1" si="87">SMALL(INDIRECT(CONCATENATE("N",S24,":N",S24+4)),2)</f>
        <v>36708</v>
      </c>
      <c r="V24" s="112">
        <f t="shared" ref="V24:V87" ca="1" si="88">SMALL(INDIRECT(CONCATENATE("N",S24,":N",S24+4)),3)</f>
        <v>36770</v>
      </c>
      <c r="W24" s="112">
        <f t="shared" ref="W24:W87" ca="1" si="89">SMALL(INDIRECT(CONCATENATE("N",S24,":N",S24+4)),4)</f>
        <v>36892</v>
      </c>
      <c r="X24" s="112">
        <f t="shared" si="41"/>
        <v>36454</v>
      </c>
      <c r="Y24" s="112"/>
      <c r="Z24" s="112"/>
      <c r="AA24" s="335">
        <f t="shared" si="42"/>
        <v>36434</v>
      </c>
      <c r="AB24" s="335">
        <f t="shared" ref="AB24:AB87" ca="1" si="90">IF(AND(T24&gt;=R24,T24&lt;=X24),T24,100000)</f>
        <v>100000</v>
      </c>
      <c r="AC24" s="335">
        <f t="shared" ref="AC24:AC87" ca="1" si="91">IF(AND(U24&gt;=R24,U24&lt;=X24),U24,100000)</f>
        <v>100000</v>
      </c>
      <c r="AD24" s="335">
        <f t="shared" ref="AD24:AD87" ca="1" si="92">IF(AND(V24&gt;=R24,V24&lt;=X24),V24,100000)</f>
        <v>100000</v>
      </c>
      <c r="AE24" s="335">
        <f t="shared" ref="AE24:AE87" ca="1" si="93">IF(AND(W24&gt;=R24,W24&lt;=X24),W24,100000)</f>
        <v>100000</v>
      </c>
      <c r="AF24" s="335">
        <f t="shared" si="43"/>
        <v>36454</v>
      </c>
      <c r="AG24" s="238">
        <f>AG23</f>
        <v>20</v>
      </c>
      <c r="AH24" s="112">
        <f ca="1">AI23+1</f>
        <v>36281</v>
      </c>
      <c r="AI24" s="112">
        <f ca="1">INDIRECT(CONCATENATE("AF",AG20))</f>
        <v>36280</v>
      </c>
      <c r="AJ24" s="112">
        <f t="shared" ca="1" si="7"/>
        <v>36280</v>
      </c>
      <c r="AK24" s="112">
        <f t="shared" ca="1" si="8"/>
        <v>36280</v>
      </c>
      <c r="AL24" s="238">
        <f t="shared" ca="1" si="44"/>
        <v>0</v>
      </c>
      <c r="AM24" s="112">
        <f t="shared" ca="1" si="45"/>
        <v>100000</v>
      </c>
      <c r="AN24" s="112">
        <f t="shared" ca="1" si="84"/>
        <v>100000</v>
      </c>
      <c r="AO24" s="114">
        <f t="shared" ca="1" si="46"/>
        <v>18</v>
      </c>
      <c r="AP24" s="114">
        <f t="shared" ca="1" si="47"/>
        <v>24</v>
      </c>
      <c r="AQ24" s="112"/>
      <c r="AR24" s="238">
        <f t="shared" si="78"/>
        <v>24</v>
      </c>
      <c r="AS24" s="112"/>
      <c r="AT24" s="112"/>
      <c r="AU24" s="283">
        <f t="shared" si="79"/>
        <v>5</v>
      </c>
      <c r="AV24" s="284">
        <f t="shared" ca="1" si="48"/>
        <v>36325</v>
      </c>
      <c r="AW24" s="284">
        <f t="shared" ca="1" si="49"/>
        <v>36325</v>
      </c>
      <c r="AX24" s="285">
        <f t="shared" ca="1" si="50"/>
        <v>18</v>
      </c>
      <c r="AY24" s="285">
        <f t="shared" ca="1" si="51"/>
        <v>24</v>
      </c>
      <c r="AZ24" s="284"/>
      <c r="BA24" s="112"/>
      <c r="BB24" s="112">
        <f t="shared" ca="1" si="52"/>
        <v>36920</v>
      </c>
      <c r="BC24" s="114">
        <f t="shared" ca="1" si="53"/>
        <v>1</v>
      </c>
      <c r="BD24" s="114">
        <f t="shared" ca="1" si="80"/>
        <v>16</v>
      </c>
      <c r="BE24" s="112">
        <f t="shared" ca="1" si="54"/>
        <v>36892</v>
      </c>
      <c r="BF24" s="112"/>
      <c r="BG24" s="112"/>
      <c r="BH24" s="238">
        <f t="shared" si="81"/>
        <v>5</v>
      </c>
      <c r="BI24" s="245">
        <f t="shared" si="55"/>
        <v>36434</v>
      </c>
      <c r="BJ24" s="281">
        <f t="shared" ca="1" si="9"/>
        <v>16</v>
      </c>
      <c r="BK24" s="245">
        <f t="shared" ca="1" si="56"/>
        <v>36432</v>
      </c>
      <c r="BL24" s="245">
        <f t="shared" ca="1" si="57"/>
        <v>36433</v>
      </c>
      <c r="BM24" s="245"/>
      <c r="BN24" s="245">
        <f ca="1">VLOOKUP(BK24,$F$20:$G$145,2)</f>
        <v>36433</v>
      </c>
      <c r="BQ24" s="245"/>
      <c r="BR24" s="245"/>
      <c r="BS24" s="245"/>
      <c r="BT24" s="245"/>
      <c r="BU24" s="245"/>
      <c r="BV24" s="245"/>
      <c r="BY24" s="245"/>
      <c r="BZ24" s="245"/>
      <c r="CA24" s="245"/>
      <c r="CB24" s="245"/>
      <c r="CC24" s="245"/>
      <c r="CD24" s="245"/>
      <c r="CE24" s="245"/>
      <c r="CF24" s="245"/>
      <c r="CG24" s="245"/>
      <c r="CH24" s="245"/>
      <c r="CL24" s="112"/>
      <c r="CM24" s="112"/>
      <c r="CP24" s="112"/>
      <c r="CQ24" s="112"/>
      <c r="CR24" s="238"/>
      <c r="CS24" s="238"/>
      <c r="CT24" s="112"/>
      <c r="CU24" s="112"/>
      <c r="CV24" s="112"/>
      <c r="CW24" s="112" t="s">
        <v>224</v>
      </c>
      <c r="CX24" s="112" t="s">
        <v>225</v>
      </c>
      <c r="CY24" s="112" t="s">
        <v>226</v>
      </c>
      <c r="CZ24" s="112" t="s">
        <v>227</v>
      </c>
      <c r="DA24" s="112" t="s">
        <v>228</v>
      </c>
      <c r="DB24" s="112" t="s">
        <v>229</v>
      </c>
      <c r="DC24" s="112"/>
      <c r="DD24" s="238">
        <f t="shared" ca="1" si="10"/>
        <v>0</v>
      </c>
      <c r="DE24" s="238">
        <f t="shared" ca="1" si="11"/>
        <v>0</v>
      </c>
      <c r="DF24" s="112"/>
      <c r="DG24" s="238"/>
      <c r="DH24" s="238"/>
      <c r="DI24" s="112"/>
      <c r="DJ24" s="238"/>
      <c r="DK24" s="112">
        <f t="shared" ca="1" si="58"/>
        <v>36432</v>
      </c>
      <c r="DL24" s="278">
        <f t="shared" ca="1" si="12"/>
        <v>5</v>
      </c>
      <c r="DM24" s="245">
        <f t="shared" ref="DM24:DP24" ca="1" si="94">DM575</f>
        <v>36432</v>
      </c>
      <c r="DN24" s="245">
        <f t="shared" ca="1" si="94"/>
        <v>36433</v>
      </c>
      <c r="DO24" s="245">
        <f t="shared" ca="1" si="94"/>
        <v>13</v>
      </c>
      <c r="DP24" s="245">
        <f t="shared" ca="1" si="94"/>
        <v>24</v>
      </c>
      <c r="DQ24" s="281">
        <f t="shared" ca="1" si="14"/>
        <v>2</v>
      </c>
      <c r="DR24" s="278">
        <f t="shared" ca="1" si="15"/>
        <v>0</v>
      </c>
      <c r="DS24" s="244">
        <f t="shared" ca="1" si="60"/>
        <v>0</v>
      </c>
      <c r="DT24" s="244">
        <f t="shared" ca="1" si="61"/>
        <v>0</v>
      </c>
      <c r="DU24" s="244">
        <f t="shared" ca="1" si="18"/>
        <v>0</v>
      </c>
      <c r="DV24" s="244" t="str">
        <f t="shared" ca="1" si="19"/>
        <v>0/2 anni</v>
      </c>
      <c r="DW24" s="244"/>
      <c r="DX24" s="244">
        <f t="shared" ca="1" si="83"/>
        <v>0</v>
      </c>
      <c r="EA24" s="244">
        <f t="shared" ca="1" si="62"/>
        <v>0</v>
      </c>
      <c r="EB24" s="278">
        <f ca="1">VLOOKUP(DM24,Foglio1!$AB$31:$AN$261,13)-6+EA24</f>
        <v>87</v>
      </c>
      <c r="EC24" s="244"/>
      <c r="ED24" s="244">
        <f t="shared" ca="1" si="20"/>
        <v>0</v>
      </c>
      <c r="EE24" s="244">
        <f t="shared" ca="1" si="21"/>
        <v>0</v>
      </c>
      <c r="EF24" s="244">
        <f t="shared" ca="1" si="22"/>
        <v>0</v>
      </c>
      <c r="EG24" s="244">
        <f t="shared" ca="1" si="23"/>
        <v>0</v>
      </c>
      <c r="EH24" s="244">
        <f t="shared" ca="1" si="24"/>
        <v>0</v>
      </c>
      <c r="EI24" s="244">
        <f t="shared" ca="1" si="25"/>
        <v>0</v>
      </c>
      <c r="EJ24" s="244">
        <f t="shared" ca="1" si="26"/>
        <v>0</v>
      </c>
      <c r="EK24" s="244">
        <f t="shared" ca="1" si="27"/>
        <v>0</v>
      </c>
      <c r="EL24" s="244">
        <f t="shared" ca="1" si="28"/>
        <v>0</v>
      </c>
      <c r="EM24" s="244">
        <f t="shared" ca="1" si="29"/>
        <v>87</v>
      </c>
      <c r="EN24" s="244">
        <f t="shared" ca="1" si="30"/>
        <v>0</v>
      </c>
      <c r="EO24" s="244">
        <f t="shared" ca="1" si="31"/>
        <v>0</v>
      </c>
      <c r="EP24" s="244">
        <f t="shared" ca="1" si="32"/>
        <v>0</v>
      </c>
      <c r="EQ24" s="244">
        <f t="shared" ca="1" si="33"/>
        <v>0</v>
      </c>
      <c r="ER24" s="244"/>
      <c r="EW24" s="244">
        <v>0</v>
      </c>
      <c r="EX24" s="278">
        <f ca="1">VLOOKUP(DM24,Foglio1!$AB$31:$AN$261,13)-6+EW24</f>
        <v>87</v>
      </c>
      <c r="EY24" s="244"/>
      <c r="EZ24" s="244">
        <v>0</v>
      </c>
      <c r="FA24" s="244">
        <f t="shared" ca="1" si="63"/>
        <v>0</v>
      </c>
      <c r="FB24" s="244">
        <f t="shared" ca="1" si="64"/>
        <v>0</v>
      </c>
      <c r="FC24" s="244">
        <f t="shared" ca="1" si="65"/>
        <v>0</v>
      </c>
      <c r="FD24" s="244">
        <f t="shared" ca="1" si="66"/>
        <v>0</v>
      </c>
      <c r="FE24" s="244">
        <f t="shared" ca="1" si="67"/>
        <v>0</v>
      </c>
      <c r="FF24" s="244">
        <f t="shared" ca="1" si="68"/>
        <v>0</v>
      </c>
      <c r="FG24" s="244">
        <f t="shared" ca="1" si="69"/>
        <v>0</v>
      </c>
      <c r="FH24" s="244">
        <f t="shared" ca="1" si="70"/>
        <v>0</v>
      </c>
      <c r="FI24" s="244">
        <f t="shared" ca="1" si="71"/>
        <v>87</v>
      </c>
      <c r="FJ24" s="244">
        <f t="shared" ca="1" si="72"/>
        <v>0</v>
      </c>
      <c r="FK24" s="244">
        <f t="shared" ca="1" si="73"/>
        <v>0</v>
      </c>
      <c r="FL24" s="244">
        <f t="shared" ca="1" si="74"/>
        <v>0</v>
      </c>
      <c r="FM24" s="244">
        <f t="shared" ca="1" si="35"/>
        <v>0</v>
      </c>
      <c r="FN24" s="244"/>
    </row>
    <row r="25" spans="5:170" x14ac:dyDescent="0.25">
      <c r="E25" s="244"/>
      <c r="F25" s="240">
        <f>IF(fronttd!E27="","",fronttd!E27)</f>
        <v>36456</v>
      </c>
      <c r="G25" s="240">
        <f>IF(fronttd!F27="","",fronttd!F27)</f>
        <v>36769</v>
      </c>
      <c r="H25" s="380">
        <f>fronttd!G27</f>
        <v>18</v>
      </c>
      <c r="I25" s="380">
        <f>fronttd!H27</f>
        <v>18</v>
      </c>
      <c r="J25">
        <f t="shared" si="75"/>
        <v>24</v>
      </c>
      <c r="L25">
        <f t="shared" si="76"/>
        <v>25</v>
      </c>
      <c r="M25" s="112" t="e">
        <f t="shared" ca="1" si="36"/>
        <v>#N/A</v>
      </c>
      <c r="N25" s="112">
        <f ca="1">IF(   OR(Foglio7!GE45="", Foglio7!GE45=N24),100000,Foglio7!GE45)</f>
        <v>37257</v>
      </c>
      <c r="O25" s="238">
        <f t="shared" si="77"/>
        <v>25</v>
      </c>
      <c r="P25" s="238">
        <f t="shared" ca="1" si="37"/>
        <v>32</v>
      </c>
      <c r="Q25" s="238">
        <f t="shared" si="38"/>
        <v>25</v>
      </c>
      <c r="R25" s="112">
        <f t="shared" si="39"/>
        <v>36456</v>
      </c>
      <c r="S25" s="238">
        <f t="shared" ca="1" si="40"/>
        <v>21</v>
      </c>
      <c r="T25" s="112">
        <f t="shared" ca="1" si="86"/>
        <v>36312</v>
      </c>
      <c r="U25" s="112">
        <f t="shared" ca="1" si="87"/>
        <v>36708</v>
      </c>
      <c r="V25" s="112">
        <f t="shared" ca="1" si="88"/>
        <v>36770</v>
      </c>
      <c r="W25" s="112">
        <f t="shared" ca="1" si="89"/>
        <v>36892</v>
      </c>
      <c r="X25" s="112">
        <f t="shared" si="41"/>
        <v>36769</v>
      </c>
      <c r="Y25" s="112"/>
      <c r="Z25" s="112"/>
      <c r="AA25" s="335">
        <f t="shared" si="42"/>
        <v>36456</v>
      </c>
      <c r="AB25" s="335">
        <f t="shared" ca="1" si="90"/>
        <v>100000</v>
      </c>
      <c r="AC25" s="335">
        <f t="shared" ca="1" si="91"/>
        <v>36708</v>
      </c>
      <c r="AD25" s="335">
        <f t="shared" ca="1" si="92"/>
        <v>100000</v>
      </c>
      <c r="AE25" s="335">
        <f t="shared" ca="1" si="93"/>
        <v>100000</v>
      </c>
      <c r="AF25" s="335">
        <f t="shared" si="43"/>
        <v>36769</v>
      </c>
      <c r="AG25" s="238">
        <f>AG24+1</f>
        <v>21</v>
      </c>
      <c r="AH25" s="112">
        <f ca="1">INDIRECT(CONCATENATE("AA",AG25))</f>
        <v>36281</v>
      </c>
      <c r="AI25" s="112">
        <f ca="1">IF(            INDIRECT(CONCATENATE( "AB",AG25))&lt;100000,       INDIRECT(CONCATENATE("AB",AG25))  -1,IF(   INDIRECT(CONCATENATE("AC",AG25))&lt;100000,   INDIRECT(CONCATENATE("AC",AG25))-1,IF(   INDIRECT(CONCATENATE("AD", AG25))&lt;100000, INDIRECT(CONCATENATE("AD",AG25))-1,IF(   INDIRECT(CONCATENATE("AE",AG25))&lt;100000,  INDIRECT(CONCATENATE("AE",G25)),INDIRECT(CONCATENATE("AF",AG25))                ))))</f>
        <v>36311</v>
      </c>
      <c r="AJ25" s="112">
        <f t="shared" ca="1" si="7"/>
        <v>36311</v>
      </c>
      <c r="AK25" s="112">
        <f t="shared" ca="1" si="8"/>
        <v>36311</v>
      </c>
      <c r="AL25" s="238">
        <f t="shared" ca="1" si="44"/>
        <v>1</v>
      </c>
      <c r="AM25" s="112">
        <f t="shared" ca="1" si="45"/>
        <v>36281</v>
      </c>
      <c r="AN25" s="112">
        <f t="shared" ca="1" si="84"/>
        <v>36311</v>
      </c>
      <c r="AO25" s="114">
        <f t="shared" ca="1" si="46"/>
        <v>18</v>
      </c>
      <c r="AP25" s="114">
        <f t="shared" ca="1" si="47"/>
        <v>24</v>
      </c>
      <c r="AQ25" s="112"/>
      <c r="AR25" s="238">
        <f t="shared" si="78"/>
        <v>25</v>
      </c>
      <c r="AS25" s="112"/>
      <c r="AT25" s="112"/>
      <c r="AU25" s="283">
        <f t="shared" si="79"/>
        <v>6</v>
      </c>
      <c r="AV25" s="284">
        <f t="shared" ca="1" si="48"/>
        <v>36432</v>
      </c>
      <c r="AW25" s="284">
        <f t="shared" ca="1" si="49"/>
        <v>36433</v>
      </c>
      <c r="AX25" s="285">
        <f t="shared" ca="1" si="50"/>
        <v>18</v>
      </c>
      <c r="AY25" s="285">
        <f t="shared" ca="1" si="51"/>
        <v>24</v>
      </c>
      <c r="AZ25" s="284"/>
      <c r="BA25" s="112"/>
      <c r="BB25" s="112">
        <f t="shared" ca="1" si="52"/>
        <v>37282</v>
      </c>
      <c r="BC25" s="114">
        <f t="shared" ca="1" si="53"/>
        <v>1</v>
      </c>
      <c r="BD25" s="114">
        <f t="shared" ca="1" si="80"/>
        <v>16</v>
      </c>
      <c r="BE25" s="112">
        <f t="shared" ca="1" si="54"/>
        <v>37257</v>
      </c>
      <c r="BF25" s="112"/>
      <c r="BG25" s="112"/>
      <c r="BH25" s="238">
        <f t="shared" si="81"/>
        <v>6</v>
      </c>
      <c r="BI25" s="245">
        <f t="shared" si="55"/>
        <v>36456</v>
      </c>
      <c r="BJ25" s="281">
        <f t="shared" ca="1" si="9"/>
        <v>16</v>
      </c>
      <c r="BK25" s="245">
        <f t="shared" ca="1" si="56"/>
        <v>36434</v>
      </c>
      <c r="BL25" s="245">
        <f t="shared" ca="1" si="57"/>
        <v>36455</v>
      </c>
      <c r="BM25" s="245"/>
      <c r="BN25" s="245">
        <f ca="1">VLOOKUP(BK25,$F$20:$G$145,2)</f>
        <v>36454</v>
      </c>
      <c r="BQ25" s="245"/>
      <c r="BR25" s="245"/>
      <c r="BS25" s="245"/>
      <c r="BT25" s="245"/>
      <c r="BU25" s="245"/>
      <c r="BV25" s="245"/>
      <c r="BY25" s="245"/>
      <c r="BZ25" s="245"/>
      <c r="CA25" s="245"/>
      <c r="CB25" s="245"/>
      <c r="CC25" s="245"/>
      <c r="CD25" s="245"/>
      <c r="CE25" s="245"/>
      <c r="CF25" s="245"/>
      <c r="CG25" s="245"/>
      <c r="CH25" s="245"/>
      <c r="CL25" s="112"/>
      <c r="CM25" s="112"/>
      <c r="CP25" s="112"/>
      <c r="CQ25" s="112"/>
      <c r="CR25" s="238"/>
      <c r="CS25" s="238"/>
      <c r="CT25" s="112"/>
      <c r="CU25" s="112"/>
      <c r="CV25" s="112"/>
      <c r="CW25" s="112" t="s">
        <v>224</v>
      </c>
      <c r="CX25" s="112" t="s">
        <v>225</v>
      </c>
      <c r="CY25" s="112" t="s">
        <v>226</v>
      </c>
      <c r="CZ25" s="112" t="s">
        <v>227</v>
      </c>
      <c r="DA25" s="112" t="s">
        <v>228</v>
      </c>
      <c r="DB25" s="112" t="s">
        <v>229</v>
      </c>
      <c r="DC25" s="112"/>
      <c r="DD25" s="238">
        <f t="shared" ca="1" si="10"/>
        <v>0</v>
      </c>
      <c r="DE25" s="238">
        <f t="shared" ca="1" si="11"/>
        <v>0</v>
      </c>
      <c r="DF25" s="112"/>
      <c r="DG25" s="238"/>
      <c r="DH25" s="238"/>
      <c r="DI25" s="112"/>
      <c r="DJ25" s="238"/>
      <c r="DK25" s="112">
        <f t="shared" ca="1" si="58"/>
        <v>36434</v>
      </c>
      <c r="DL25" s="278">
        <f t="shared" ca="1" si="12"/>
        <v>6</v>
      </c>
      <c r="DM25" s="245">
        <f t="shared" ref="DM25:DP25" ca="1" si="95">DM576</f>
        <v>36434</v>
      </c>
      <c r="DN25" s="245">
        <f t="shared" ca="1" si="95"/>
        <v>36454</v>
      </c>
      <c r="DO25" s="245">
        <f t="shared" ca="1" si="95"/>
        <v>7</v>
      </c>
      <c r="DP25" s="245">
        <f t="shared" ca="1" si="95"/>
        <v>24</v>
      </c>
      <c r="DQ25" s="281">
        <f t="shared" ca="1" si="14"/>
        <v>21</v>
      </c>
      <c r="DR25" s="278">
        <f t="shared" ca="1" si="15"/>
        <v>0</v>
      </c>
      <c r="DS25" s="244">
        <f t="shared" ca="1" si="60"/>
        <v>0</v>
      </c>
      <c r="DT25" s="244">
        <f t="shared" ca="1" si="61"/>
        <v>0</v>
      </c>
      <c r="DU25" s="244">
        <f t="shared" ca="1" si="18"/>
        <v>0</v>
      </c>
      <c r="DV25" s="244" t="str">
        <f t="shared" ca="1" si="19"/>
        <v>0/2 anni</v>
      </c>
      <c r="DW25" s="244"/>
      <c r="DX25" s="244">
        <f t="shared" ca="1" si="83"/>
        <v>0</v>
      </c>
      <c r="EA25" s="244">
        <f t="shared" ca="1" si="62"/>
        <v>0</v>
      </c>
      <c r="EB25" s="278">
        <f ca="1">VLOOKUP(DM25,Foglio1!$AB$31:$AN$261,13)-6+EA25</f>
        <v>87</v>
      </c>
      <c r="EC25" s="244"/>
      <c r="ED25" s="244">
        <f t="shared" ca="1" si="20"/>
        <v>0</v>
      </c>
      <c r="EE25" s="244">
        <f t="shared" ca="1" si="21"/>
        <v>0</v>
      </c>
      <c r="EF25" s="244">
        <f t="shared" ca="1" si="22"/>
        <v>0</v>
      </c>
      <c r="EG25" s="244">
        <f t="shared" ca="1" si="23"/>
        <v>0</v>
      </c>
      <c r="EH25" s="244">
        <f t="shared" ca="1" si="24"/>
        <v>0</v>
      </c>
      <c r="EI25" s="244">
        <f t="shared" ca="1" si="25"/>
        <v>0</v>
      </c>
      <c r="EJ25" s="244">
        <f t="shared" ca="1" si="26"/>
        <v>0</v>
      </c>
      <c r="EK25" s="244">
        <f t="shared" ca="1" si="27"/>
        <v>0</v>
      </c>
      <c r="EL25" s="244">
        <f t="shared" ca="1" si="28"/>
        <v>0</v>
      </c>
      <c r="EM25" s="244">
        <f t="shared" ca="1" si="29"/>
        <v>87</v>
      </c>
      <c r="EN25" s="244">
        <f t="shared" ca="1" si="30"/>
        <v>0</v>
      </c>
      <c r="EO25" s="244">
        <f t="shared" ca="1" si="31"/>
        <v>0</v>
      </c>
      <c r="EP25" s="244">
        <f t="shared" ca="1" si="32"/>
        <v>0</v>
      </c>
      <c r="EQ25" s="244">
        <f t="shared" ca="1" si="33"/>
        <v>0</v>
      </c>
      <c r="ER25" s="244"/>
      <c r="EW25" s="244">
        <v>0</v>
      </c>
      <c r="EX25" s="278">
        <f ca="1">VLOOKUP(DM25,Foglio1!$AB$31:$AN$261,13)-6+EW25</f>
        <v>87</v>
      </c>
      <c r="EY25" s="244"/>
      <c r="EZ25" s="244">
        <v>0</v>
      </c>
      <c r="FA25" s="244">
        <f t="shared" ca="1" si="63"/>
        <v>0</v>
      </c>
      <c r="FB25" s="244">
        <f t="shared" ca="1" si="64"/>
        <v>0</v>
      </c>
      <c r="FC25" s="244">
        <f t="shared" ca="1" si="65"/>
        <v>0</v>
      </c>
      <c r="FD25" s="244">
        <f t="shared" ca="1" si="66"/>
        <v>0</v>
      </c>
      <c r="FE25" s="244">
        <f t="shared" ca="1" si="67"/>
        <v>0</v>
      </c>
      <c r="FF25" s="244">
        <f t="shared" ca="1" si="68"/>
        <v>0</v>
      </c>
      <c r="FG25" s="244">
        <f t="shared" ca="1" si="69"/>
        <v>0</v>
      </c>
      <c r="FH25" s="244">
        <f t="shared" ca="1" si="70"/>
        <v>0</v>
      </c>
      <c r="FI25" s="244">
        <f t="shared" ca="1" si="71"/>
        <v>87</v>
      </c>
      <c r="FJ25" s="244">
        <f t="shared" ca="1" si="72"/>
        <v>0</v>
      </c>
      <c r="FK25" s="244">
        <f t="shared" ca="1" si="73"/>
        <v>0</v>
      </c>
      <c r="FL25" s="244">
        <f t="shared" ca="1" si="74"/>
        <v>0</v>
      </c>
      <c r="FM25" s="244">
        <f t="shared" ca="1" si="35"/>
        <v>0</v>
      </c>
      <c r="FN25" s="244"/>
    </row>
    <row r="26" spans="5:170" x14ac:dyDescent="0.25">
      <c r="E26" s="244"/>
      <c r="F26" s="240">
        <f>IF(fronttd!E28="","",fronttd!E28)</f>
        <v>36777</v>
      </c>
      <c r="G26" s="240">
        <f>IF(fronttd!F28="","",fronttd!F28)</f>
        <v>36920</v>
      </c>
      <c r="H26" s="380">
        <f>fronttd!G28</f>
        <v>18</v>
      </c>
      <c r="I26" s="380">
        <f>fronttd!H28</f>
        <v>18</v>
      </c>
      <c r="J26">
        <f t="shared" si="75"/>
        <v>24</v>
      </c>
      <c r="L26">
        <f t="shared" si="76"/>
        <v>26</v>
      </c>
      <c r="M26" s="112" t="e">
        <f t="shared" ca="1" si="36"/>
        <v>#N/A</v>
      </c>
      <c r="N26" s="112">
        <f ca="1">IF(   OR(Foglio7!GE46="", Foglio7!GE46=N25),100000,Foglio7!GE46)</f>
        <v>37411</v>
      </c>
      <c r="O26" s="238">
        <f t="shared" si="77"/>
        <v>26</v>
      </c>
      <c r="P26" s="238">
        <f t="shared" ca="1" si="37"/>
        <v>33</v>
      </c>
      <c r="Q26" s="238">
        <f t="shared" si="38"/>
        <v>26</v>
      </c>
      <c r="R26" s="112">
        <f t="shared" si="39"/>
        <v>36777</v>
      </c>
      <c r="S26" s="238">
        <f t="shared" ca="1" si="40"/>
        <v>23</v>
      </c>
      <c r="T26" s="112">
        <f t="shared" ca="1" si="86"/>
        <v>36770</v>
      </c>
      <c r="U26" s="112">
        <f t="shared" ca="1" si="87"/>
        <v>36892</v>
      </c>
      <c r="V26" s="112">
        <f t="shared" ca="1" si="88"/>
        <v>37257</v>
      </c>
      <c r="W26" s="112">
        <f t="shared" ca="1" si="89"/>
        <v>37411</v>
      </c>
      <c r="X26" s="112">
        <f t="shared" si="41"/>
        <v>36920</v>
      </c>
      <c r="Y26" s="112"/>
      <c r="Z26" s="112"/>
      <c r="AA26" s="335">
        <f t="shared" si="42"/>
        <v>36777</v>
      </c>
      <c r="AB26" s="335">
        <f t="shared" ca="1" si="90"/>
        <v>100000</v>
      </c>
      <c r="AC26" s="335">
        <f t="shared" ca="1" si="91"/>
        <v>36892</v>
      </c>
      <c r="AD26" s="335">
        <f t="shared" ca="1" si="92"/>
        <v>100000</v>
      </c>
      <c r="AE26" s="335">
        <f t="shared" ca="1" si="93"/>
        <v>100000</v>
      </c>
      <c r="AF26" s="335">
        <f t="shared" si="43"/>
        <v>36920</v>
      </c>
      <c r="AG26" s="238">
        <f>AG25</f>
        <v>21</v>
      </c>
      <c r="AH26" s="112">
        <f ca="1">AI25+1</f>
        <v>36312</v>
      </c>
      <c r="AI26" s="112">
        <f ca="1">IF(INDIRECT(CONCATENATE("AC",AG25))&lt;100000,INDIRECT(CONCATENATE("AC",AG25))-1,IF(INDIRECT(CONCATENATE("AD",AG25))&lt;100000,INDIRECT(CONCATENATE("AD",AG25))-1,IF(INDIRECT(CONCATENATE("AE",AG25))&lt;100000,INDIRECT(CONCATENATE("AE",G25)),INDIRECT(CONCATENATE("AF",AG25)))))</f>
        <v>36311</v>
      </c>
      <c r="AJ26" s="112">
        <f t="shared" ca="1" si="7"/>
        <v>36311</v>
      </c>
      <c r="AK26" s="112">
        <f t="shared" ca="1" si="8"/>
        <v>36311</v>
      </c>
      <c r="AL26" s="238">
        <f t="shared" ca="1" si="44"/>
        <v>0</v>
      </c>
      <c r="AM26" s="112">
        <f t="shared" ca="1" si="45"/>
        <v>100000</v>
      </c>
      <c r="AN26" s="112">
        <f t="shared" ca="1" si="84"/>
        <v>100000</v>
      </c>
      <c r="AO26" s="114">
        <f t="shared" ca="1" si="46"/>
        <v>18</v>
      </c>
      <c r="AP26" s="114">
        <f t="shared" ca="1" si="47"/>
        <v>24</v>
      </c>
      <c r="AQ26" s="112"/>
      <c r="AR26" s="238">
        <f t="shared" si="78"/>
        <v>26</v>
      </c>
      <c r="AS26" s="112"/>
      <c r="AT26" s="112"/>
      <c r="AU26" s="283">
        <f t="shared" si="79"/>
        <v>7</v>
      </c>
      <c r="AV26" s="284">
        <f t="shared" ca="1" si="48"/>
        <v>36434</v>
      </c>
      <c r="AW26" s="284">
        <f t="shared" ca="1" si="49"/>
        <v>36454</v>
      </c>
      <c r="AX26" s="285">
        <f t="shared" ca="1" si="50"/>
        <v>18</v>
      </c>
      <c r="AY26" s="285">
        <f t="shared" ca="1" si="51"/>
        <v>24</v>
      </c>
      <c r="AZ26" s="284"/>
      <c r="BA26" s="112"/>
      <c r="BB26" s="112">
        <f t="shared" ca="1" si="52"/>
        <v>37437</v>
      </c>
      <c r="BC26" s="114">
        <f t="shared" ca="1" si="53"/>
        <v>1</v>
      </c>
      <c r="BD26" s="114">
        <f t="shared" ca="1" si="80"/>
        <v>16</v>
      </c>
      <c r="BE26" s="112">
        <f t="shared" ca="1" si="54"/>
        <v>37411</v>
      </c>
      <c r="BF26" s="112"/>
      <c r="BG26" s="112"/>
      <c r="BH26" s="238">
        <f t="shared" si="81"/>
        <v>7</v>
      </c>
      <c r="BI26" s="245">
        <f t="shared" si="55"/>
        <v>36777</v>
      </c>
      <c r="BJ26" s="281">
        <f t="shared" ref="BJ26:BJ89" ca="1" si="96">TYPE(VLOOKUP(BK26,$N$20:$N$49,1,FALSE))</f>
        <v>16</v>
      </c>
      <c r="BK26" s="245">
        <f t="shared" ca="1" si="56"/>
        <v>36456</v>
      </c>
      <c r="BL26" s="245">
        <f t="shared" ca="1" si="57"/>
        <v>36707</v>
      </c>
      <c r="BM26" s="245"/>
      <c r="BN26" s="245">
        <f t="shared" ref="BN26:BN89" ca="1" si="97">VLOOKUP(BK26,$F$20:$G$145,2)</f>
        <v>36769</v>
      </c>
      <c r="BQ26" s="245"/>
      <c r="BR26" s="245"/>
      <c r="BS26" s="245"/>
      <c r="BT26" s="245"/>
      <c r="BU26" s="245"/>
      <c r="BV26" s="245"/>
      <c r="BY26" s="245"/>
      <c r="BZ26" s="245"/>
      <c r="CA26" s="245"/>
      <c r="CB26" s="245"/>
      <c r="CC26" s="245"/>
      <c r="CD26" s="245"/>
      <c r="CE26" s="245"/>
      <c r="CF26" s="245"/>
      <c r="CG26" s="245"/>
      <c r="CH26" s="245"/>
      <c r="CL26" s="112"/>
      <c r="CM26" s="112"/>
      <c r="CP26" s="112"/>
      <c r="CQ26" s="112"/>
      <c r="CR26" s="238"/>
      <c r="CS26" s="238"/>
      <c r="CT26" s="112"/>
      <c r="CU26" s="112"/>
      <c r="CV26" s="112"/>
      <c r="CW26" s="112" t="s">
        <v>224</v>
      </c>
      <c r="CX26" s="112" t="s">
        <v>225</v>
      </c>
      <c r="CY26" s="112" t="s">
        <v>226</v>
      </c>
      <c r="CZ26" s="112" t="s">
        <v>227</v>
      </c>
      <c r="DA26" s="112" t="s">
        <v>228</v>
      </c>
      <c r="DB26" s="112" t="s">
        <v>229</v>
      </c>
      <c r="DC26" s="112"/>
      <c r="DD26" s="238">
        <f t="shared" ca="1" si="10"/>
        <v>0</v>
      </c>
      <c r="DE26" s="238">
        <f t="shared" ca="1" si="11"/>
        <v>0</v>
      </c>
      <c r="DF26" s="112"/>
      <c r="DG26" s="238"/>
      <c r="DH26" s="238"/>
      <c r="DI26" s="112"/>
      <c r="DJ26" s="238"/>
      <c r="DK26" s="112">
        <f t="shared" ca="1" si="58"/>
        <v>36456</v>
      </c>
      <c r="DL26" s="278">
        <f t="shared" ca="1" si="12"/>
        <v>7</v>
      </c>
      <c r="DM26" s="245">
        <f t="shared" ref="DM26:DP26" ca="1" si="98">DM577</f>
        <v>36456</v>
      </c>
      <c r="DN26" s="245">
        <f t="shared" ca="1" si="98"/>
        <v>36707</v>
      </c>
      <c r="DO26" s="245">
        <f t="shared" ca="1" si="98"/>
        <v>18</v>
      </c>
      <c r="DP26" s="245">
        <f t="shared" ca="1" si="98"/>
        <v>24</v>
      </c>
      <c r="DQ26" s="281">
        <f t="shared" ca="1" si="14"/>
        <v>252</v>
      </c>
      <c r="DR26" s="278">
        <f t="shared" ca="1" si="15"/>
        <v>0</v>
      </c>
      <c r="DS26" s="244">
        <f t="shared" ca="1" si="60"/>
        <v>0</v>
      </c>
      <c r="DT26" s="244">
        <f t="shared" ca="1" si="61"/>
        <v>0</v>
      </c>
      <c r="DU26" s="244">
        <f t="shared" ca="1" si="18"/>
        <v>0</v>
      </c>
      <c r="DV26" s="244" t="str">
        <f t="shared" ca="1" si="19"/>
        <v>0/2 anni</v>
      </c>
      <c r="DW26" s="244"/>
      <c r="DX26" s="244">
        <f t="shared" ca="1" si="83"/>
        <v>0</v>
      </c>
      <c r="EA26" s="244">
        <f t="shared" ca="1" si="62"/>
        <v>0</v>
      </c>
      <c r="EB26" s="278">
        <f ca="1">VLOOKUP(DM26,Foglio1!$AB$31:$AN$261,13)-6+EA26</f>
        <v>87</v>
      </c>
      <c r="EC26" s="244"/>
      <c r="ED26" s="244">
        <f t="shared" ca="1" si="20"/>
        <v>0</v>
      </c>
      <c r="EE26" s="244">
        <f t="shared" ca="1" si="21"/>
        <v>0</v>
      </c>
      <c r="EF26" s="244">
        <f t="shared" ca="1" si="22"/>
        <v>0</v>
      </c>
      <c r="EG26" s="244">
        <f t="shared" ca="1" si="23"/>
        <v>0</v>
      </c>
      <c r="EH26" s="244">
        <f t="shared" ca="1" si="24"/>
        <v>0</v>
      </c>
      <c r="EI26" s="244">
        <f t="shared" ca="1" si="25"/>
        <v>0</v>
      </c>
      <c r="EJ26" s="244">
        <f t="shared" ca="1" si="26"/>
        <v>0</v>
      </c>
      <c r="EK26" s="244">
        <f t="shared" ca="1" si="27"/>
        <v>0</v>
      </c>
      <c r="EL26" s="244">
        <f t="shared" ca="1" si="28"/>
        <v>0</v>
      </c>
      <c r="EM26" s="244">
        <f t="shared" ca="1" si="29"/>
        <v>87</v>
      </c>
      <c r="EN26" s="244">
        <f t="shared" ca="1" si="30"/>
        <v>0</v>
      </c>
      <c r="EO26" s="244">
        <f t="shared" ca="1" si="31"/>
        <v>0</v>
      </c>
      <c r="EP26" s="244">
        <f t="shared" ca="1" si="32"/>
        <v>0</v>
      </c>
      <c r="EQ26" s="244">
        <f t="shared" ca="1" si="33"/>
        <v>0</v>
      </c>
      <c r="ER26" s="244"/>
      <c r="EW26" s="244">
        <v>0</v>
      </c>
      <c r="EX26" s="278">
        <f ca="1">VLOOKUP(DM26,Foglio1!$AB$31:$AN$261,13)-6+EW26</f>
        <v>87</v>
      </c>
      <c r="EY26" s="244"/>
      <c r="EZ26" s="244">
        <v>0</v>
      </c>
      <c r="FA26" s="244">
        <f t="shared" ca="1" si="63"/>
        <v>0</v>
      </c>
      <c r="FB26" s="244">
        <f t="shared" ca="1" si="64"/>
        <v>0</v>
      </c>
      <c r="FC26" s="244">
        <f t="shared" ca="1" si="65"/>
        <v>0</v>
      </c>
      <c r="FD26" s="244">
        <f t="shared" ca="1" si="66"/>
        <v>0</v>
      </c>
      <c r="FE26" s="244">
        <f t="shared" ca="1" si="67"/>
        <v>0</v>
      </c>
      <c r="FF26" s="244">
        <f t="shared" ca="1" si="68"/>
        <v>0</v>
      </c>
      <c r="FG26" s="244">
        <f t="shared" ca="1" si="69"/>
        <v>0</v>
      </c>
      <c r="FH26" s="244">
        <f t="shared" ca="1" si="70"/>
        <v>0</v>
      </c>
      <c r="FI26" s="244">
        <f t="shared" ca="1" si="71"/>
        <v>87</v>
      </c>
      <c r="FJ26" s="244">
        <f t="shared" ca="1" si="72"/>
        <v>0</v>
      </c>
      <c r="FK26" s="244">
        <f t="shared" ca="1" si="73"/>
        <v>0</v>
      </c>
      <c r="FL26" s="244">
        <f t="shared" ca="1" si="74"/>
        <v>0</v>
      </c>
      <c r="FM26" s="244">
        <f t="shared" ca="1" si="35"/>
        <v>0</v>
      </c>
      <c r="FN26" s="244"/>
    </row>
    <row r="27" spans="5:170" x14ac:dyDescent="0.25">
      <c r="E27" s="244"/>
      <c r="F27" s="240">
        <f>IF(fronttd!E29="","",fronttd!E29)</f>
        <v>36921</v>
      </c>
      <c r="G27" s="240">
        <f>IF(fronttd!F29="","",fronttd!F29)</f>
        <v>37072</v>
      </c>
      <c r="H27" s="380">
        <f>fronttd!G29</f>
        <v>18</v>
      </c>
      <c r="I27" s="380">
        <f>fronttd!H29</f>
        <v>18</v>
      </c>
      <c r="J27">
        <f t="shared" si="75"/>
        <v>24</v>
      </c>
      <c r="L27">
        <f t="shared" si="76"/>
        <v>27</v>
      </c>
      <c r="M27" s="112" t="e">
        <f t="shared" ca="1" si="36"/>
        <v>#N/A</v>
      </c>
      <c r="N27" s="112">
        <f ca="1">IF(   OR(Foglio7!GE47="", Foglio7!GE47=N26),100000,Foglio7!GE47)</f>
        <v>37622</v>
      </c>
      <c r="O27" s="238">
        <f t="shared" si="77"/>
        <v>27</v>
      </c>
      <c r="P27" s="238">
        <f t="shared" ca="1" si="37"/>
        <v>35</v>
      </c>
      <c r="Q27" s="238">
        <f t="shared" si="38"/>
        <v>27</v>
      </c>
      <c r="R27" s="112">
        <f t="shared" si="39"/>
        <v>36921</v>
      </c>
      <c r="S27" s="238">
        <f t="shared" ca="1" si="40"/>
        <v>24</v>
      </c>
      <c r="T27" s="112">
        <f t="shared" ca="1" si="86"/>
        <v>36892</v>
      </c>
      <c r="U27" s="112">
        <f t="shared" ca="1" si="87"/>
        <v>37257</v>
      </c>
      <c r="V27" s="112">
        <f t="shared" ca="1" si="88"/>
        <v>37411</v>
      </c>
      <c r="W27" s="112">
        <f t="shared" ca="1" si="89"/>
        <v>37622</v>
      </c>
      <c r="X27" s="112">
        <f t="shared" si="41"/>
        <v>37072</v>
      </c>
      <c r="Y27" s="112"/>
      <c r="Z27" s="112"/>
      <c r="AA27" s="335">
        <f t="shared" si="42"/>
        <v>36921</v>
      </c>
      <c r="AB27" s="335">
        <f t="shared" ca="1" si="90"/>
        <v>100000</v>
      </c>
      <c r="AC27" s="335">
        <f t="shared" ca="1" si="91"/>
        <v>100000</v>
      </c>
      <c r="AD27" s="335">
        <f t="shared" ca="1" si="92"/>
        <v>100000</v>
      </c>
      <c r="AE27" s="335">
        <f t="shared" ca="1" si="93"/>
        <v>100000</v>
      </c>
      <c r="AF27" s="335">
        <f t="shared" si="43"/>
        <v>37072</v>
      </c>
      <c r="AG27" s="238">
        <f>AG26</f>
        <v>21</v>
      </c>
      <c r="AH27" s="112">
        <f ca="1">AI26+1</f>
        <v>36312</v>
      </c>
      <c r="AI27" s="112">
        <f ca="1">IF(INDIRECT(CONCATENATE("AD",AG25))&lt;100000,INDIRECT(CONCATENATE("AD",AG25))-1,IF(INDIRECT(CONCATENATE("AE",AG25))&lt;100000,INDIRECT(CONCATENATE("AE",G25)),INDIRECT(CONCATENATE("AF",AG25))))</f>
        <v>36321</v>
      </c>
      <c r="AJ27" s="112">
        <f t="shared" ca="1" si="7"/>
        <v>36321</v>
      </c>
      <c r="AK27" s="112">
        <f t="shared" ca="1" si="8"/>
        <v>36321</v>
      </c>
      <c r="AL27" s="238">
        <f t="shared" ca="1" si="44"/>
        <v>1</v>
      </c>
      <c r="AM27" s="112">
        <f t="shared" ca="1" si="45"/>
        <v>36312</v>
      </c>
      <c r="AN27" s="112">
        <f t="shared" ca="1" si="84"/>
        <v>36321</v>
      </c>
      <c r="AO27" s="114">
        <f t="shared" ca="1" si="46"/>
        <v>18</v>
      </c>
      <c r="AP27" s="114">
        <f t="shared" ca="1" si="47"/>
        <v>24</v>
      </c>
      <c r="AQ27" s="112"/>
      <c r="AR27" s="238">
        <f t="shared" si="78"/>
        <v>27</v>
      </c>
      <c r="AS27" s="112"/>
      <c r="AT27" s="112"/>
      <c r="AU27" s="283">
        <f t="shared" si="79"/>
        <v>8</v>
      </c>
      <c r="AV27" s="284">
        <f t="shared" ca="1" si="48"/>
        <v>36456</v>
      </c>
      <c r="AW27" s="284">
        <f t="shared" ca="1" si="49"/>
        <v>36707</v>
      </c>
      <c r="AX27" s="285">
        <f t="shared" ca="1" si="50"/>
        <v>18</v>
      </c>
      <c r="AY27" s="285">
        <f t="shared" ca="1" si="51"/>
        <v>24</v>
      </c>
      <c r="AZ27" s="284"/>
      <c r="BA27" s="112"/>
      <c r="BB27" s="112">
        <f t="shared" ca="1" si="52"/>
        <v>37574</v>
      </c>
      <c r="BC27" s="114">
        <f t="shared" ca="1" si="53"/>
        <v>0</v>
      </c>
      <c r="BD27" s="114">
        <f t="shared" ca="1" si="80"/>
        <v>16</v>
      </c>
      <c r="BE27" s="112">
        <f t="shared" ca="1" si="54"/>
        <v>100000</v>
      </c>
      <c r="BF27" s="112"/>
      <c r="BG27" s="112"/>
      <c r="BH27" s="238">
        <f t="shared" si="81"/>
        <v>8</v>
      </c>
      <c r="BI27" s="245">
        <f t="shared" si="55"/>
        <v>36921</v>
      </c>
      <c r="BJ27" s="281">
        <f t="shared" ca="1" si="96"/>
        <v>1</v>
      </c>
      <c r="BK27" s="245">
        <f t="shared" ca="1" si="56"/>
        <v>36708</v>
      </c>
      <c r="BL27" s="245">
        <f t="shared" ca="1" si="57"/>
        <v>36776</v>
      </c>
      <c r="BM27" s="245"/>
      <c r="BN27" s="245">
        <f t="shared" ca="1" si="97"/>
        <v>36769</v>
      </c>
      <c r="BQ27" s="245"/>
      <c r="BR27" s="245"/>
      <c r="BS27" s="245"/>
      <c r="BT27" s="245"/>
      <c r="BU27" s="245"/>
      <c r="BV27" s="245"/>
      <c r="BY27" s="245"/>
      <c r="BZ27" s="245"/>
      <c r="CA27" s="245"/>
      <c r="CB27" s="245"/>
      <c r="CC27" s="245"/>
      <c r="CD27" s="245"/>
      <c r="CE27" s="245"/>
      <c r="CF27" s="245"/>
      <c r="CG27" s="245"/>
      <c r="CH27" s="245"/>
      <c r="CL27" s="112"/>
      <c r="CM27" s="112"/>
      <c r="CP27" s="112"/>
      <c r="CQ27" s="112"/>
      <c r="CR27" s="238"/>
      <c r="CS27" s="238"/>
      <c r="CT27" s="112"/>
      <c r="CU27" s="112"/>
      <c r="CV27" s="112"/>
      <c r="CW27" s="112" t="s">
        <v>224</v>
      </c>
      <c r="CX27" s="112" t="s">
        <v>225</v>
      </c>
      <c r="CY27" s="112" t="s">
        <v>226</v>
      </c>
      <c r="CZ27" s="112" t="s">
        <v>227</v>
      </c>
      <c r="DA27" s="112" t="s">
        <v>228</v>
      </c>
      <c r="DB27" s="112" t="s">
        <v>229</v>
      </c>
      <c r="DC27" s="112"/>
      <c r="DD27" s="238">
        <f t="shared" ca="1" si="10"/>
        <v>0</v>
      </c>
      <c r="DE27" s="238">
        <f t="shared" ca="1" si="11"/>
        <v>0</v>
      </c>
      <c r="DF27" s="112"/>
      <c r="DG27" s="238"/>
      <c r="DH27" s="238"/>
      <c r="DI27" s="112"/>
      <c r="DJ27" s="238"/>
      <c r="DK27" s="112">
        <f t="shared" ca="1" si="58"/>
        <v>36708</v>
      </c>
      <c r="DL27" s="278">
        <f t="shared" ca="1" si="12"/>
        <v>8</v>
      </c>
      <c r="DM27" s="245">
        <f t="shared" ref="DM27:DP27" ca="1" si="99">DM578</f>
        <v>36708</v>
      </c>
      <c r="DN27" s="245">
        <f t="shared" ca="1" si="99"/>
        <v>36769</v>
      </c>
      <c r="DO27" s="245">
        <f t="shared" ca="1" si="99"/>
        <v>18</v>
      </c>
      <c r="DP27" s="245">
        <f t="shared" ca="1" si="99"/>
        <v>24</v>
      </c>
      <c r="DQ27" s="281">
        <f t="shared" ca="1" si="14"/>
        <v>62</v>
      </c>
      <c r="DR27" s="278">
        <f t="shared" ca="1" si="15"/>
        <v>0</v>
      </c>
      <c r="DS27" s="244">
        <f t="shared" ca="1" si="60"/>
        <v>0</v>
      </c>
      <c r="DT27" s="244">
        <f t="shared" ca="1" si="61"/>
        <v>0</v>
      </c>
      <c r="DU27" s="244">
        <f t="shared" ca="1" si="18"/>
        <v>0</v>
      </c>
      <c r="DV27" s="244" t="str">
        <f t="shared" ca="1" si="19"/>
        <v>0/2 anni</v>
      </c>
      <c r="DW27" s="244"/>
      <c r="DX27" s="244">
        <f t="shared" ca="1" si="83"/>
        <v>0</v>
      </c>
      <c r="EA27" s="244">
        <f t="shared" ca="1" si="62"/>
        <v>0</v>
      </c>
      <c r="EB27" s="278">
        <f ca="1">VLOOKUP(DM27,Foglio1!$AB$31:$AN$261,13)-6+EA27</f>
        <v>87</v>
      </c>
      <c r="EC27" s="244"/>
      <c r="ED27" s="244">
        <f t="shared" ca="1" si="20"/>
        <v>0</v>
      </c>
      <c r="EE27" s="244">
        <f t="shared" ca="1" si="21"/>
        <v>0</v>
      </c>
      <c r="EF27" s="244">
        <f t="shared" ca="1" si="22"/>
        <v>0</v>
      </c>
      <c r="EG27" s="244">
        <f t="shared" ca="1" si="23"/>
        <v>0</v>
      </c>
      <c r="EH27" s="244">
        <f t="shared" ca="1" si="24"/>
        <v>0</v>
      </c>
      <c r="EI27" s="244">
        <f t="shared" ca="1" si="25"/>
        <v>0</v>
      </c>
      <c r="EJ27" s="244">
        <f t="shared" ca="1" si="26"/>
        <v>0</v>
      </c>
      <c r="EK27" s="244">
        <f t="shared" ca="1" si="27"/>
        <v>0</v>
      </c>
      <c r="EL27" s="244">
        <f t="shared" ca="1" si="28"/>
        <v>0</v>
      </c>
      <c r="EM27" s="244">
        <f t="shared" ca="1" si="29"/>
        <v>87</v>
      </c>
      <c r="EN27" s="244">
        <f t="shared" ca="1" si="30"/>
        <v>0</v>
      </c>
      <c r="EO27" s="244">
        <f t="shared" ca="1" si="31"/>
        <v>0</v>
      </c>
      <c r="EP27" s="244">
        <f t="shared" ca="1" si="32"/>
        <v>0</v>
      </c>
      <c r="EQ27" s="244">
        <f t="shared" ca="1" si="33"/>
        <v>0</v>
      </c>
      <c r="ER27" s="244"/>
      <c r="EW27" s="244">
        <v>0</v>
      </c>
      <c r="EX27" s="278">
        <f ca="1">VLOOKUP(DM27,Foglio1!$AB$31:$AN$261,13)-6+EW27</f>
        <v>87</v>
      </c>
      <c r="EY27" s="244"/>
      <c r="EZ27" s="244">
        <v>0</v>
      </c>
      <c r="FA27" s="244">
        <f t="shared" ca="1" si="63"/>
        <v>0</v>
      </c>
      <c r="FB27" s="244">
        <f t="shared" ca="1" si="64"/>
        <v>0</v>
      </c>
      <c r="FC27" s="244">
        <f t="shared" ca="1" si="65"/>
        <v>0</v>
      </c>
      <c r="FD27" s="244">
        <f t="shared" ca="1" si="66"/>
        <v>0</v>
      </c>
      <c r="FE27" s="244">
        <f t="shared" ca="1" si="67"/>
        <v>0</v>
      </c>
      <c r="FF27" s="244">
        <f t="shared" ca="1" si="68"/>
        <v>0</v>
      </c>
      <c r="FG27" s="244">
        <f t="shared" ca="1" si="69"/>
        <v>0</v>
      </c>
      <c r="FH27" s="244">
        <f t="shared" ca="1" si="70"/>
        <v>0</v>
      </c>
      <c r="FI27" s="244">
        <f t="shared" ca="1" si="71"/>
        <v>87</v>
      </c>
      <c r="FJ27" s="244">
        <f t="shared" ca="1" si="72"/>
        <v>0</v>
      </c>
      <c r="FK27" s="244">
        <f t="shared" ca="1" si="73"/>
        <v>0</v>
      </c>
      <c r="FL27" s="244">
        <f t="shared" ca="1" si="74"/>
        <v>0</v>
      </c>
      <c r="FM27" s="244">
        <f t="shared" ca="1" si="35"/>
        <v>0</v>
      </c>
      <c r="FN27" s="244"/>
    </row>
    <row r="28" spans="5:170" x14ac:dyDescent="0.25">
      <c r="E28" s="244"/>
      <c r="F28" s="240">
        <f>IF(fronttd!E30="","",fronttd!E30)</f>
        <v>37135</v>
      </c>
      <c r="G28" s="240">
        <f>IF(fronttd!F30="","",fronttd!F30)</f>
        <v>37437</v>
      </c>
      <c r="H28" s="380">
        <f>fronttd!G30</f>
        <v>8</v>
      </c>
      <c r="I28" s="380">
        <f>fronttd!H30</f>
        <v>18</v>
      </c>
      <c r="J28">
        <f t="shared" si="75"/>
        <v>24</v>
      </c>
      <c r="L28">
        <f t="shared" si="76"/>
        <v>28</v>
      </c>
      <c r="M28" s="112" t="e">
        <f t="shared" ca="1" si="36"/>
        <v>#N/A</v>
      </c>
      <c r="N28" s="112">
        <f ca="1">IF(   OR(Foglio7!GE48="", Foglio7!GE48=N27),100000,Foglio7!GE48)</f>
        <v>37987</v>
      </c>
      <c r="O28" s="238">
        <f t="shared" si="77"/>
        <v>28</v>
      </c>
      <c r="P28" s="238">
        <f t="shared" ca="1" si="37"/>
        <v>39</v>
      </c>
      <c r="Q28" s="238">
        <f t="shared" si="38"/>
        <v>28</v>
      </c>
      <c r="R28" s="112">
        <f t="shared" si="39"/>
        <v>37135</v>
      </c>
      <c r="S28" s="238">
        <f t="shared" ca="1" si="40"/>
        <v>24</v>
      </c>
      <c r="T28" s="112">
        <f t="shared" ca="1" si="86"/>
        <v>36892</v>
      </c>
      <c r="U28" s="112">
        <f t="shared" ca="1" si="87"/>
        <v>37257</v>
      </c>
      <c r="V28" s="112">
        <f t="shared" ca="1" si="88"/>
        <v>37411</v>
      </c>
      <c r="W28" s="112">
        <f t="shared" ca="1" si="89"/>
        <v>37622</v>
      </c>
      <c r="X28" s="112">
        <f t="shared" si="41"/>
        <v>37437</v>
      </c>
      <c r="Y28" s="112"/>
      <c r="Z28" s="112"/>
      <c r="AA28" s="335">
        <f t="shared" si="42"/>
        <v>37135</v>
      </c>
      <c r="AB28" s="335">
        <f t="shared" ca="1" si="90"/>
        <v>100000</v>
      </c>
      <c r="AC28" s="335">
        <f t="shared" ca="1" si="91"/>
        <v>37257</v>
      </c>
      <c r="AD28" s="335">
        <f t="shared" ca="1" si="92"/>
        <v>37411</v>
      </c>
      <c r="AE28" s="335">
        <f t="shared" ca="1" si="93"/>
        <v>100000</v>
      </c>
      <c r="AF28" s="335">
        <f t="shared" si="43"/>
        <v>37437</v>
      </c>
      <c r="AG28" s="238">
        <f>AG27</f>
        <v>21</v>
      </c>
      <c r="AH28" s="112">
        <f ca="1">AI27+1</f>
        <v>36322</v>
      </c>
      <c r="AI28" s="112">
        <f ca="1">IF(INDIRECT(CONCATENATE("AE",AG25))&lt;100000,INDIRECT(CONCATENATE("AE",G25)),INDIRECT(CONCATENATE("AF",AG25)))</f>
        <v>36321</v>
      </c>
      <c r="AJ28" s="112">
        <f t="shared" ca="1" si="7"/>
        <v>36321</v>
      </c>
      <c r="AK28" s="112">
        <f t="shared" ca="1" si="8"/>
        <v>36321</v>
      </c>
      <c r="AL28" s="238">
        <f t="shared" ca="1" si="44"/>
        <v>0</v>
      </c>
      <c r="AM28" s="112">
        <f t="shared" ca="1" si="45"/>
        <v>100000</v>
      </c>
      <c r="AN28" s="112">
        <f t="shared" ca="1" si="84"/>
        <v>100000</v>
      </c>
      <c r="AO28" s="114">
        <f t="shared" ca="1" si="46"/>
        <v>18</v>
      </c>
      <c r="AP28" s="114">
        <f t="shared" ca="1" si="47"/>
        <v>24</v>
      </c>
      <c r="AQ28" s="112"/>
      <c r="AR28" s="238">
        <f t="shared" si="78"/>
        <v>28</v>
      </c>
      <c r="AS28" s="112"/>
      <c r="AT28" s="112"/>
      <c r="AU28" s="283">
        <f t="shared" si="79"/>
        <v>9</v>
      </c>
      <c r="AV28" s="284">
        <f t="shared" ca="1" si="48"/>
        <v>36708</v>
      </c>
      <c r="AW28" s="284">
        <f t="shared" ca="1" si="49"/>
        <v>36769</v>
      </c>
      <c r="AX28" s="285">
        <f t="shared" ca="1" si="50"/>
        <v>18</v>
      </c>
      <c r="AY28" s="285">
        <f t="shared" ca="1" si="51"/>
        <v>24</v>
      </c>
      <c r="AZ28" s="284"/>
      <c r="BA28" s="112"/>
      <c r="BB28" s="112">
        <f t="shared" ca="1" si="52"/>
        <v>38168</v>
      </c>
      <c r="BC28" s="114">
        <f t="shared" ca="1" si="53"/>
        <v>1</v>
      </c>
      <c r="BD28" s="114">
        <f t="shared" ca="1" si="80"/>
        <v>16</v>
      </c>
      <c r="BE28" s="112">
        <f t="shared" ca="1" si="54"/>
        <v>37987</v>
      </c>
      <c r="BF28" s="112"/>
      <c r="BG28" s="112"/>
      <c r="BH28" s="238">
        <f t="shared" si="81"/>
        <v>9</v>
      </c>
      <c r="BI28" s="245">
        <f t="shared" si="55"/>
        <v>37135</v>
      </c>
      <c r="BJ28" s="281">
        <f t="shared" ca="1" si="96"/>
        <v>16</v>
      </c>
      <c r="BK28" s="245">
        <f t="shared" ca="1" si="56"/>
        <v>36777</v>
      </c>
      <c r="BL28" s="245">
        <f t="shared" ca="1" si="57"/>
        <v>36891</v>
      </c>
      <c r="BM28" s="245"/>
      <c r="BN28" s="245">
        <f t="shared" ca="1" si="97"/>
        <v>36920</v>
      </c>
      <c r="BQ28" s="245"/>
      <c r="BR28" s="245"/>
      <c r="BS28" s="245"/>
      <c r="BT28" s="245"/>
      <c r="BU28" s="245"/>
      <c r="BV28" s="245"/>
      <c r="BY28" s="245"/>
      <c r="BZ28" s="245"/>
      <c r="CA28" s="245"/>
      <c r="CB28" s="245"/>
      <c r="CC28" s="245"/>
      <c r="CD28" s="245"/>
      <c r="CE28" s="245"/>
      <c r="CF28" s="245"/>
      <c r="CG28" s="245"/>
      <c r="CH28" s="245"/>
      <c r="CL28" s="112"/>
      <c r="CM28" s="112"/>
      <c r="CP28" s="112"/>
      <c r="CQ28" s="112"/>
      <c r="CR28" s="238"/>
      <c r="CS28" s="238"/>
      <c r="CT28" s="112"/>
      <c r="CU28" s="112"/>
      <c r="CV28" s="112"/>
      <c r="CW28" s="112" t="s">
        <v>224</v>
      </c>
      <c r="CX28" s="112" t="s">
        <v>225</v>
      </c>
      <c r="CY28" s="112" t="s">
        <v>226</v>
      </c>
      <c r="CZ28" s="112" t="s">
        <v>227</v>
      </c>
      <c r="DA28" s="112" t="s">
        <v>228</v>
      </c>
      <c r="DB28" s="112" t="s">
        <v>229</v>
      </c>
      <c r="DC28" s="112"/>
      <c r="DD28" s="238">
        <f t="shared" ca="1" si="10"/>
        <v>0</v>
      </c>
      <c r="DE28" s="238">
        <f t="shared" ca="1" si="11"/>
        <v>0</v>
      </c>
      <c r="DF28" s="112"/>
      <c r="DG28" s="238"/>
      <c r="DH28" s="238"/>
      <c r="DI28" s="112"/>
      <c r="DJ28" s="238"/>
      <c r="DK28" s="112">
        <f t="shared" ca="1" si="58"/>
        <v>36777</v>
      </c>
      <c r="DL28" s="278">
        <f t="shared" ca="1" si="12"/>
        <v>9</v>
      </c>
      <c r="DM28" s="245">
        <f t="shared" ref="DM28:DP28" ca="1" si="100">DM579</f>
        <v>36777</v>
      </c>
      <c r="DN28" s="245">
        <f t="shared" ca="1" si="100"/>
        <v>36891</v>
      </c>
      <c r="DO28" s="245">
        <f t="shared" ca="1" si="100"/>
        <v>18</v>
      </c>
      <c r="DP28" s="245">
        <f t="shared" ca="1" si="100"/>
        <v>24</v>
      </c>
      <c r="DQ28" s="281">
        <f t="shared" ca="1" si="14"/>
        <v>115</v>
      </c>
      <c r="DR28" s="278">
        <f t="shared" ca="1" si="15"/>
        <v>0</v>
      </c>
      <c r="DS28" s="244">
        <f t="shared" ca="1" si="60"/>
        <v>0</v>
      </c>
      <c r="DT28" s="244">
        <f t="shared" ca="1" si="61"/>
        <v>0</v>
      </c>
      <c r="DU28" s="244">
        <f t="shared" ca="1" si="18"/>
        <v>0</v>
      </c>
      <c r="DV28" s="244" t="str">
        <f t="shared" ca="1" si="19"/>
        <v>0/2 anni</v>
      </c>
      <c r="DW28" s="244"/>
      <c r="DX28" s="244">
        <f t="shared" ca="1" si="83"/>
        <v>0</v>
      </c>
      <c r="EA28" s="244">
        <f t="shared" ca="1" si="62"/>
        <v>0</v>
      </c>
      <c r="EB28" s="278">
        <f ca="1">VLOOKUP(DM28,Foglio1!$AB$31:$AN$261,13)-6+EA28</f>
        <v>87</v>
      </c>
      <c r="EC28" s="244"/>
      <c r="ED28" s="244">
        <f t="shared" ca="1" si="20"/>
        <v>0</v>
      </c>
      <c r="EE28" s="244">
        <f t="shared" ca="1" si="21"/>
        <v>0</v>
      </c>
      <c r="EF28" s="244">
        <f t="shared" ca="1" si="22"/>
        <v>0</v>
      </c>
      <c r="EG28" s="244">
        <f t="shared" ca="1" si="23"/>
        <v>0</v>
      </c>
      <c r="EH28" s="244">
        <f t="shared" ca="1" si="24"/>
        <v>0</v>
      </c>
      <c r="EI28" s="244">
        <f t="shared" ca="1" si="25"/>
        <v>0</v>
      </c>
      <c r="EJ28" s="244">
        <f t="shared" ca="1" si="26"/>
        <v>0</v>
      </c>
      <c r="EK28" s="244">
        <f t="shared" ca="1" si="27"/>
        <v>0</v>
      </c>
      <c r="EL28" s="244">
        <f t="shared" ca="1" si="28"/>
        <v>0</v>
      </c>
      <c r="EM28" s="244">
        <f t="shared" ca="1" si="29"/>
        <v>87</v>
      </c>
      <c r="EN28" s="244">
        <f t="shared" ca="1" si="30"/>
        <v>0</v>
      </c>
      <c r="EO28" s="244">
        <f t="shared" ca="1" si="31"/>
        <v>0</v>
      </c>
      <c r="EP28" s="244">
        <f t="shared" ca="1" si="32"/>
        <v>0</v>
      </c>
      <c r="EQ28" s="244">
        <f t="shared" ca="1" si="33"/>
        <v>0</v>
      </c>
      <c r="ER28" s="244"/>
      <c r="EW28" s="244">
        <v>0</v>
      </c>
      <c r="EX28" s="278">
        <f ca="1">VLOOKUP(DM28,Foglio1!$AB$31:$AN$261,13)-6+EW28</f>
        <v>87</v>
      </c>
      <c r="EY28" s="244"/>
      <c r="EZ28" s="244">
        <v>0</v>
      </c>
      <c r="FA28" s="244">
        <f t="shared" ca="1" si="63"/>
        <v>0</v>
      </c>
      <c r="FB28" s="244">
        <f t="shared" ca="1" si="64"/>
        <v>0</v>
      </c>
      <c r="FC28" s="244">
        <f t="shared" ca="1" si="65"/>
        <v>0</v>
      </c>
      <c r="FD28" s="244">
        <f t="shared" ca="1" si="66"/>
        <v>0</v>
      </c>
      <c r="FE28" s="244">
        <f t="shared" ca="1" si="67"/>
        <v>0</v>
      </c>
      <c r="FF28" s="244">
        <f t="shared" ca="1" si="68"/>
        <v>0</v>
      </c>
      <c r="FG28" s="244">
        <f t="shared" ca="1" si="69"/>
        <v>0</v>
      </c>
      <c r="FH28" s="244">
        <f t="shared" ca="1" si="70"/>
        <v>0</v>
      </c>
      <c r="FI28" s="244">
        <f t="shared" ca="1" si="71"/>
        <v>87</v>
      </c>
      <c r="FJ28" s="244">
        <f t="shared" ca="1" si="72"/>
        <v>0</v>
      </c>
      <c r="FK28" s="244">
        <f t="shared" ca="1" si="73"/>
        <v>0</v>
      </c>
      <c r="FL28" s="244">
        <f t="shared" ca="1" si="74"/>
        <v>0</v>
      </c>
      <c r="FM28" s="244">
        <f t="shared" ca="1" si="35"/>
        <v>0</v>
      </c>
      <c r="FN28" s="244"/>
    </row>
    <row r="29" spans="5:170" x14ac:dyDescent="0.25">
      <c r="E29" s="244"/>
      <c r="F29" s="240">
        <f>IF(fronttd!E31="","",fronttd!E31)</f>
        <v>37167</v>
      </c>
      <c r="G29" s="240">
        <f>IF(fronttd!F31="","",fronttd!F31)</f>
        <v>37200</v>
      </c>
      <c r="H29" s="380">
        <f>fronttd!G31</f>
        <v>5</v>
      </c>
      <c r="I29" s="380">
        <f>fronttd!H31</f>
        <v>18</v>
      </c>
      <c r="J29">
        <f t="shared" si="75"/>
        <v>24</v>
      </c>
      <c r="L29">
        <f t="shared" si="76"/>
        <v>29</v>
      </c>
      <c r="M29" s="112" t="e">
        <f t="shared" ca="1" si="36"/>
        <v>#N/A</v>
      </c>
      <c r="N29" s="112">
        <f ca="1">IF(   OR(Foglio7!GE49="", Foglio7!GE49=N28),100000,Foglio7!GE49)</f>
        <v>38384</v>
      </c>
      <c r="O29" s="238">
        <f t="shared" si="77"/>
        <v>29</v>
      </c>
      <c r="P29" s="238">
        <f t="shared" ca="1" si="37"/>
        <v>40</v>
      </c>
      <c r="Q29" s="238">
        <f t="shared" si="38"/>
        <v>29</v>
      </c>
      <c r="R29" s="112">
        <f t="shared" si="39"/>
        <v>37167</v>
      </c>
      <c r="S29" s="238">
        <f t="shared" ca="1" si="40"/>
        <v>24</v>
      </c>
      <c r="T29" s="112">
        <f t="shared" ca="1" si="86"/>
        <v>36892</v>
      </c>
      <c r="U29" s="112">
        <f t="shared" ca="1" si="87"/>
        <v>37257</v>
      </c>
      <c r="V29" s="112">
        <f t="shared" ca="1" si="88"/>
        <v>37411</v>
      </c>
      <c r="W29" s="112">
        <f t="shared" ca="1" si="89"/>
        <v>37622</v>
      </c>
      <c r="X29" s="112">
        <f t="shared" si="41"/>
        <v>37200</v>
      </c>
      <c r="Y29" s="112"/>
      <c r="Z29" s="112"/>
      <c r="AA29" s="335">
        <f t="shared" si="42"/>
        <v>37167</v>
      </c>
      <c r="AB29" s="335">
        <f t="shared" ca="1" si="90"/>
        <v>100000</v>
      </c>
      <c r="AC29" s="335">
        <f t="shared" ca="1" si="91"/>
        <v>100000</v>
      </c>
      <c r="AD29" s="335">
        <f t="shared" ca="1" si="92"/>
        <v>100000</v>
      </c>
      <c r="AE29" s="335">
        <f t="shared" ca="1" si="93"/>
        <v>100000</v>
      </c>
      <c r="AF29" s="335">
        <f t="shared" si="43"/>
        <v>37200</v>
      </c>
      <c r="AG29" s="238">
        <f>AG28</f>
        <v>21</v>
      </c>
      <c r="AH29" s="112">
        <f ca="1">AI28+1</f>
        <v>36322</v>
      </c>
      <c r="AI29" s="112">
        <f ca="1">INDIRECT(CONCATENATE("AF",AG25))</f>
        <v>36321</v>
      </c>
      <c r="AJ29" s="112">
        <f t="shared" ca="1" si="7"/>
        <v>36321</v>
      </c>
      <c r="AK29" s="112">
        <f t="shared" ca="1" si="8"/>
        <v>36321</v>
      </c>
      <c r="AL29" s="238">
        <f t="shared" ca="1" si="44"/>
        <v>0</v>
      </c>
      <c r="AM29" s="112">
        <f t="shared" ca="1" si="45"/>
        <v>100000</v>
      </c>
      <c r="AN29" s="112">
        <f t="shared" ca="1" si="84"/>
        <v>100000</v>
      </c>
      <c r="AO29" s="114">
        <f t="shared" ca="1" si="46"/>
        <v>18</v>
      </c>
      <c r="AP29" s="114">
        <f t="shared" ca="1" si="47"/>
        <v>24</v>
      </c>
      <c r="AQ29" s="112"/>
      <c r="AR29" s="238">
        <f t="shared" si="78"/>
        <v>29</v>
      </c>
      <c r="AS29" s="112"/>
      <c r="AT29" s="112"/>
      <c r="AU29" s="283">
        <f t="shared" si="79"/>
        <v>10</v>
      </c>
      <c r="AV29" s="284">
        <f t="shared" ca="1" si="48"/>
        <v>36777</v>
      </c>
      <c r="AW29" s="284">
        <f ca="1" xml:space="preserve">           IF( VLOOKUP(AV29,$AM$20:$AP$564,2,FALSE)=AW28,VLOOKUP(AV29,$AM$20:$AP$564,2),VLOOKUP(AV29,$AM$20:$AP$564,2,FALSE))</f>
        <v>36891</v>
      </c>
      <c r="AX29" s="285">
        <f t="shared" ca="1" si="50"/>
        <v>18</v>
      </c>
      <c r="AY29" s="285">
        <f t="shared" ca="1" si="51"/>
        <v>24</v>
      </c>
      <c r="AZ29" s="284"/>
      <c r="BA29" s="112"/>
      <c r="BB29" s="112">
        <f t="shared" ca="1" si="52"/>
        <v>38551</v>
      </c>
      <c r="BC29" s="114">
        <f t="shared" ca="1" si="53"/>
        <v>1</v>
      </c>
      <c r="BD29" s="114">
        <f t="shared" ca="1" si="80"/>
        <v>16</v>
      </c>
      <c r="BE29" s="112">
        <f t="shared" ca="1" si="54"/>
        <v>38384</v>
      </c>
      <c r="BF29" s="112"/>
      <c r="BG29" s="112"/>
      <c r="BH29" s="238">
        <f t="shared" si="81"/>
        <v>10</v>
      </c>
      <c r="BI29" s="245">
        <f t="shared" si="55"/>
        <v>37167</v>
      </c>
      <c r="BJ29" s="281">
        <f t="shared" ca="1" si="96"/>
        <v>1</v>
      </c>
      <c r="BK29" s="245">
        <f t="shared" ca="1" si="56"/>
        <v>36892</v>
      </c>
      <c r="BL29" s="245">
        <f t="shared" ca="1" si="57"/>
        <v>36920</v>
      </c>
      <c r="BM29" s="245"/>
      <c r="BN29" s="245">
        <f t="shared" ca="1" si="97"/>
        <v>36920</v>
      </c>
      <c r="BQ29" s="245"/>
      <c r="BR29" s="245"/>
      <c r="BS29" s="245"/>
      <c r="BT29" s="245"/>
      <c r="BU29" s="245"/>
      <c r="BV29" s="245"/>
      <c r="BY29" s="245"/>
      <c r="BZ29" s="245"/>
      <c r="CA29" s="245"/>
      <c r="CB29" s="245"/>
      <c r="CC29" s="245"/>
      <c r="CD29" s="245"/>
      <c r="CE29" s="245"/>
      <c r="CF29" s="245"/>
      <c r="CG29" s="245"/>
      <c r="CH29" s="245"/>
      <c r="CL29" s="112"/>
      <c r="CM29" s="112"/>
      <c r="CP29" s="112"/>
      <c r="CQ29" s="112"/>
      <c r="CR29" s="238"/>
      <c r="CS29" s="238"/>
      <c r="CT29" s="112"/>
      <c r="CU29" s="112"/>
      <c r="CV29" s="112"/>
      <c r="CW29" s="112" t="s">
        <v>224</v>
      </c>
      <c r="CX29" s="112" t="s">
        <v>225</v>
      </c>
      <c r="CY29" s="112" t="s">
        <v>226</v>
      </c>
      <c r="CZ29" s="112" t="s">
        <v>227</v>
      </c>
      <c r="DA29" s="112" t="s">
        <v>228</v>
      </c>
      <c r="DB29" s="112" t="s">
        <v>229</v>
      </c>
      <c r="DC29" s="112"/>
      <c r="DD29" s="238">
        <f t="shared" ca="1" si="10"/>
        <v>0</v>
      </c>
      <c r="DE29" s="238">
        <f t="shared" ca="1" si="11"/>
        <v>0</v>
      </c>
      <c r="DF29" s="112"/>
      <c r="DG29" s="238"/>
      <c r="DH29" s="238"/>
      <c r="DI29" s="112"/>
      <c r="DJ29" s="238"/>
      <c r="DK29" s="112">
        <f t="shared" ca="1" si="58"/>
        <v>36892</v>
      </c>
      <c r="DL29" s="278">
        <f t="shared" ca="1" si="12"/>
        <v>10</v>
      </c>
      <c r="DM29" s="245">
        <f t="shared" ref="DM29:DP29" ca="1" si="101">DM580</f>
        <v>36892</v>
      </c>
      <c r="DN29" s="245">
        <f t="shared" ca="1" si="101"/>
        <v>36920</v>
      </c>
      <c r="DO29" s="245">
        <f t="shared" ca="1" si="101"/>
        <v>18</v>
      </c>
      <c r="DP29" s="245">
        <f t="shared" ca="1" si="101"/>
        <v>24</v>
      </c>
      <c r="DQ29" s="281">
        <f t="shared" ca="1" si="14"/>
        <v>29</v>
      </c>
      <c r="DR29" s="278">
        <f t="shared" ca="1" si="15"/>
        <v>0</v>
      </c>
      <c r="DS29" s="244">
        <f t="shared" ca="1" si="60"/>
        <v>0</v>
      </c>
      <c r="DT29" s="244">
        <f t="shared" ca="1" si="61"/>
        <v>0</v>
      </c>
      <c r="DU29" s="244">
        <f t="shared" ca="1" si="18"/>
        <v>0</v>
      </c>
      <c r="DV29" s="244" t="str">
        <f t="shared" ca="1" si="19"/>
        <v>0/2 anni</v>
      </c>
      <c r="DW29" s="244"/>
      <c r="DX29" s="244">
        <f t="shared" ca="1" si="83"/>
        <v>0</v>
      </c>
      <c r="EA29" s="244">
        <f t="shared" ca="1" si="62"/>
        <v>0</v>
      </c>
      <c r="EB29" s="278">
        <f ca="1">VLOOKUP(DM29,Foglio1!$AB$31:$AN$261,13)-6+EA29</f>
        <v>87</v>
      </c>
      <c r="EC29" s="244"/>
      <c r="ED29" s="244">
        <f t="shared" ca="1" si="20"/>
        <v>0</v>
      </c>
      <c r="EE29" s="244">
        <f t="shared" ca="1" si="21"/>
        <v>0</v>
      </c>
      <c r="EF29" s="244">
        <f t="shared" ca="1" si="22"/>
        <v>0</v>
      </c>
      <c r="EG29" s="244">
        <f t="shared" ca="1" si="23"/>
        <v>0</v>
      </c>
      <c r="EH29" s="244">
        <f t="shared" ca="1" si="24"/>
        <v>0</v>
      </c>
      <c r="EI29" s="244">
        <f t="shared" ca="1" si="25"/>
        <v>0</v>
      </c>
      <c r="EJ29" s="244">
        <f t="shared" ca="1" si="26"/>
        <v>0</v>
      </c>
      <c r="EK29" s="244">
        <f t="shared" ca="1" si="27"/>
        <v>0</v>
      </c>
      <c r="EL29" s="244">
        <f t="shared" ca="1" si="28"/>
        <v>0</v>
      </c>
      <c r="EM29" s="244">
        <f t="shared" ca="1" si="29"/>
        <v>87</v>
      </c>
      <c r="EN29" s="244">
        <f t="shared" ca="1" si="30"/>
        <v>0</v>
      </c>
      <c r="EO29" s="244">
        <f t="shared" ca="1" si="31"/>
        <v>0</v>
      </c>
      <c r="EP29" s="244">
        <f t="shared" ca="1" si="32"/>
        <v>0</v>
      </c>
      <c r="EQ29" s="244">
        <f t="shared" ca="1" si="33"/>
        <v>0</v>
      </c>
      <c r="ER29" s="244"/>
      <c r="EW29" s="244">
        <v>0</v>
      </c>
      <c r="EX29" s="278">
        <f ca="1">VLOOKUP(DM29,Foglio1!$AB$31:$AN$261,13)-6+EW29</f>
        <v>87</v>
      </c>
      <c r="EY29" s="244"/>
      <c r="EZ29" s="244">
        <v>0</v>
      </c>
      <c r="FA29" s="244">
        <f t="shared" ca="1" si="63"/>
        <v>0</v>
      </c>
      <c r="FB29" s="244">
        <f t="shared" ca="1" si="64"/>
        <v>0</v>
      </c>
      <c r="FC29" s="244">
        <f t="shared" ca="1" si="65"/>
        <v>0</v>
      </c>
      <c r="FD29" s="244">
        <f t="shared" ca="1" si="66"/>
        <v>0</v>
      </c>
      <c r="FE29" s="244">
        <f t="shared" ca="1" si="67"/>
        <v>0</v>
      </c>
      <c r="FF29" s="244">
        <f t="shared" ca="1" si="68"/>
        <v>0</v>
      </c>
      <c r="FG29" s="244">
        <f t="shared" ca="1" si="69"/>
        <v>0</v>
      </c>
      <c r="FH29" s="244">
        <f t="shared" ca="1" si="70"/>
        <v>0</v>
      </c>
      <c r="FI29" s="244">
        <f t="shared" ca="1" si="71"/>
        <v>87</v>
      </c>
      <c r="FJ29" s="244">
        <f t="shared" ca="1" si="72"/>
        <v>0</v>
      </c>
      <c r="FK29" s="244">
        <f t="shared" ca="1" si="73"/>
        <v>0</v>
      </c>
      <c r="FL29" s="244">
        <f t="shared" ca="1" si="74"/>
        <v>0</v>
      </c>
      <c r="FM29" s="244">
        <f t="shared" ca="1" si="35"/>
        <v>0</v>
      </c>
      <c r="FN29" s="244"/>
    </row>
    <row r="30" spans="5:170" x14ac:dyDescent="0.25">
      <c r="E30" s="244"/>
      <c r="F30" s="240">
        <f>IF(fronttd!E32="","",fronttd!E32)</f>
        <v>37167</v>
      </c>
      <c r="G30" s="240">
        <f>IF(fronttd!F32="","",fronttd!F32)</f>
        <v>37200</v>
      </c>
      <c r="H30" s="380">
        <f>fronttd!G32</f>
        <v>5</v>
      </c>
      <c r="I30" s="380">
        <f>fronttd!H32</f>
        <v>18</v>
      </c>
      <c r="J30">
        <f t="shared" si="75"/>
        <v>24</v>
      </c>
      <c r="L30">
        <f t="shared" si="76"/>
        <v>30</v>
      </c>
      <c r="M30" s="112" t="e">
        <f t="shared" ca="1" si="36"/>
        <v>#N/A</v>
      </c>
      <c r="N30" s="112">
        <f ca="1">IF(   OR(Foglio7!GE50="", Foglio7!GE50=N29),100000,Foglio7!GE50)</f>
        <v>38718</v>
      </c>
      <c r="O30" s="238">
        <f t="shared" si="77"/>
        <v>30</v>
      </c>
      <c r="P30" s="238">
        <f t="shared" ca="1" si="37"/>
        <v>41</v>
      </c>
      <c r="Q30" s="238">
        <f t="shared" si="38"/>
        <v>30</v>
      </c>
      <c r="R30" s="112">
        <f t="shared" si="39"/>
        <v>37167</v>
      </c>
      <c r="S30" s="238">
        <f t="shared" ca="1" si="40"/>
        <v>24</v>
      </c>
      <c r="T30" s="112">
        <f t="shared" ca="1" si="86"/>
        <v>36892</v>
      </c>
      <c r="U30" s="112">
        <f t="shared" ca="1" si="87"/>
        <v>37257</v>
      </c>
      <c r="V30" s="112">
        <f t="shared" ca="1" si="88"/>
        <v>37411</v>
      </c>
      <c r="W30" s="112">
        <f t="shared" ca="1" si="89"/>
        <v>37622</v>
      </c>
      <c r="X30" s="112">
        <f t="shared" si="41"/>
        <v>37200</v>
      </c>
      <c r="Y30" s="112"/>
      <c r="Z30" s="112"/>
      <c r="AA30" s="335">
        <f t="shared" si="42"/>
        <v>37167</v>
      </c>
      <c r="AB30" s="335">
        <f t="shared" ca="1" si="90"/>
        <v>100000</v>
      </c>
      <c r="AC30" s="335">
        <f t="shared" ca="1" si="91"/>
        <v>100000</v>
      </c>
      <c r="AD30" s="335">
        <f t="shared" ca="1" si="92"/>
        <v>100000</v>
      </c>
      <c r="AE30" s="335">
        <f t="shared" ca="1" si="93"/>
        <v>100000</v>
      </c>
      <c r="AF30" s="335">
        <f t="shared" si="43"/>
        <v>37200</v>
      </c>
      <c r="AG30" s="238">
        <f>AG29+1</f>
        <v>22</v>
      </c>
      <c r="AH30" s="112">
        <f ca="1">INDIRECT(CONCATENATE("AA",AG30))</f>
        <v>36325</v>
      </c>
      <c r="AI30" s="112">
        <f ca="1">IF(            INDIRECT(CONCATENATE( "AB",AG30))&lt;100000,       INDIRECT(CONCATENATE("AB",AG30))  -1,IF(   INDIRECT(CONCATENATE("AC",AG30))&lt;100000,   INDIRECT(CONCATENATE("AC",AG30))-1,IF(   INDIRECT(CONCATENATE("AD", AG30))&lt;100000, INDIRECT(CONCATENATE("AD",AG30))-1,IF(   INDIRECT(CONCATENATE("AE",AG30))&lt;100000,  INDIRECT(CONCATENATE("AE",G30)),INDIRECT(CONCATENATE("AF",AG30))                ))))</f>
        <v>36325</v>
      </c>
      <c r="AJ30" s="112">
        <f t="shared" ca="1" si="7"/>
        <v>36325</v>
      </c>
      <c r="AK30" s="112">
        <f t="shared" ca="1" si="8"/>
        <v>36325</v>
      </c>
      <c r="AL30" s="238">
        <f t="shared" ca="1" si="44"/>
        <v>1</v>
      </c>
      <c r="AM30" s="112">
        <f t="shared" ca="1" si="45"/>
        <v>36325</v>
      </c>
      <c r="AN30" s="112">
        <f t="shared" ca="1" si="84"/>
        <v>36325</v>
      </c>
      <c r="AO30" s="114">
        <f t="shared" ca="1" si="46"/>
        <v>18</v>
      </c>
      <c r="AP30" s="114">
        <f t="shared" ca="1" si="47"/>
        <v>24</v>
      </c>
      <c r="AQ30" s="112"/>
      <c r="AR30" s="238">
        <f t="shared" si="78"/>
        <v>30</v>
      </c>
      <c r="AS30" s="112"/>
      <c r="AT30" s="112"/>
      <c r="AU30" s="283">
        <f t="shared" si="79"/>
        <v>11</v>
      </c>
      <c r="AV30" s="284">
        <f t="shared" ca="1" si="48"/>
        <v>36892</v>
      </c>
      <c r="AW30" s="284">
        <f t="shared" ref="AW30:AW40" ca="1" si="102" xml:space="preserve">           IF( VLOOKUP(AV30,$AM$20:$AP$564,2,FALSE)=AW29,VLOOKUP(AV30,$AM$20:$AP$564,2),VLOOKUP(AV30,$AM$20:$AP$564,2,FALSE))</f>
        <v>36920</v>
      </c>
      <c r="AX30" s="285">
        <f t="shared" ref="AX30:AX40" ca="1" si="103" xml:space="preserve">         IF( VLOOKUP(AV30,$AM$20:$AP$564,2,FALSE)=AW29, VLOOKUP(AV30,$AM$20:$AP$564,3),              VLOOKUP(AV30,$AM$20:$AP$564,3,FALSE))</f>
        <v>18</v>
      </c>
      <c r="AY30" s="285">
        <f t="shared" ca="1" si="51"/>
        <v>24</v>
      </c>
      <c r="AZ30" s="284"/>
      <c r="BA30" s="112" t="s">
        <v>244</v>
      </c>
      <c r="BB30" s="112">
        <f t="shared" ca="1" si="52"/>
        <v>38919</v>
      </c>
      <c r="BC30" s="114">
        <f t="shared" ca="1" si="53"/>
        <v>1</v>
      </c>
      <c r="BD30" s="114">
        <f t="shared" ca="1" si="80"/>
        <v>16</v>
      </c>
      <c r="BE30" s="112">
        <f t="shared" ca="1" si="54"/>
        <v>38718</v>
      </c>
      <c r="BF30" s="112"/>
      <c r="BG30" s="112"/>
      <c r="BH30" s="238">
        <f t="shared" si="81"/>
        <v>11</v>
      </c>
      <c r="BI30" s="245">
        <f t="shared" si="55"/>
        <v>37167</v>
      </c>
      <c r="BJ30" s="281">
        <f t="shared" ca="1" si="96"/>
        <v>16</v>
      </c>
      <c r="BK30" s="245">
        <f t="shared" ca="1" si="56"/>
        <v>36921</v>
      </c>
      <c r="BL30" s="245">
        <f t="shared" ca="1" si="57"/>
        <v>37134</v>
      </c>
      <c r="BM30" s="245"/>
      <c r="BN30" s="245">
        <f t="shared" ca="1" si="97"/>
        <v>37072</v>
      </c>
      <c r="BQ30" s="245"/>
      <c r="BR30" s="245"/>
      <c r="BS30" s="245"/>
      <c r="BT30" s="245"/>
      <c r="BU30" s="245"/>
      <c r="BV30" s="245"/>
      <c r="BY30" s="245"/>
      <c r="BZ30" s="245"/>
      <c r="CA30" s="245"/>
      <c r="CB30" s="245"/>
      <c r="CC30" s="245"/>
      <c r="CD30" s="245"/>
      <c r="CE30" s="245"/>
      <c r="CF30" s="245"/>
      <c r="CG30" s="245"/>
      <c r="CH30" s="245"/>
      <c r="CL30" s="112"/>
      <c r="CM30" s="112"/>
      <c r="CP30" s="112"/>
      <c r="CQ30" s="112"/>
      <c r="CR30" s="238"/>
      <c r="CS30" s="238"/>
      <c r="CT30" s="112"/>
      <c r="CU30" s="112"/>
      <c r="CV30" s="112"/>
      <c r="CW30" s="112" t="s">
        <v>224</v>
      </c>
      <c r="CX30" s="112" t="s">
        <v>225</v>
      </c>
      <c r="CY30" s="112" t="s">
        <v>226</v>
      </c>
      <c r="CZ30" s="112" t="s">
        <v>227</v>
      </c>
      <c r="DA30" s="112" t="s">
        <v>228</v>
      </c>
      <c r="DB30" s="112" t="s">
        <v>229</v>
      </c>
      <c r="DC30" s="112"/>
      <c r="DD30" s="238">
        <f t="shared" ca="1" si="10"/>
        <v>0</v>
      </c>
      <c r="DE30" s="238">
        <f t="shared" ca="1" si="11"/>
        <v>0</v>
      </c>
      <c r="DF30" s="112"/>
      <c r="DG30" s="238"/>
      <c r="DH30" s="238"/>
      <c r="DI30" s="112"/>
      <c r="DJ30" s="238"/>
      <c r="DK30" s="112">
        <f t="shared" ca="1" si="58"/>
        <v>36921</v>
      </c>
      <c r="DL30" s="278">
        <f t="shared" ca="1" si="12"/>
        <v>11</v>
      </c>
      <c r="DM30" s="245">
        <f t="shared" ref="DM30:DP30" ca="1" si="104">DM581</f>
        <v>36921</v>
      </c>
      <c r="DN30" s="245">
        <f t="shared" ca="1" si="104"/>
        <v>37072</v>
      </c>
      <c r="DO30" s="245">
        <f t="shared" ca="1" si="104"/>
        <v>18</v>
      </c>
      <c r="DP30" s="245">
        <f t="shared" ca="1" si="104"/>
        <v>24</v>
      </c>
      <c r="DQ30" s="281">
        <f t="shared" ca="1" si="14"/>
        <v>152</v>
      </c>
      <c r="DR30" s="278">
        <f t="shared" ca="1" si="15"/>
        <v>0</v>
      </c>
      <c r="DS30" s="244">
        <f t="shared" ca="1" si="60"/>
        <v>0</v>
      </c>
      <c r="DT30" s="244">
        <f t="shared" ca="1" si="61"/>
        <v>0</v>
      </c>
      <c r="DU30" s="244">
        <f t="shared" ca="1" si="18"/>
        <v>0</v>
      </c>
      <c r="DV30" s="244" t="str">
        <f t="shared" ca="1" si="19"/>
        <v>0/2 anni</v>
      </c>
      <c r="DW30" s="244"/>
      <c r="DX30" s="244">
        <f t="shared" ca="1" si="83"/>
        <v>0</v>
      </c>
      <c r="EA30" s="244">
        <f t="shared" ca="1" si="62"/>
        <v>0</v>
      </c>
      <c r="EB30" s="278">
        <f ca="1">VLOOKUP(DM30,Foglio1!$AB$31:$AN$261,13)-6+EA30</f>
        <v>87</v>
      </c>
      <c r="EC30" s="244"/>
      <c r="ED30" s="244">
        <f t="shared" ca="1" si="20"/>
        <v>0</v>
      </c>
      <c r="EE30" s="244">
        <f t="shared" ca="1" si="21"/>
        <v>0</v>
      </c>
      <c r="EF30" s="244">
        <f t="shared" ca="1" si="22"/>
        <v>0</v>
      </c>
      <c r="EG30" s="244">
        <f t="shared" ca="1" si="23"/>
        <v>0</v>
      </c>
      <c r="EH30" s="244">
        <f t="shared" ca="1" si="24"/>
        <v>0</v>
      </c>
      <c r="EI30" s="244">
        <f t="shared" ca="1" si="25"/>
        <v>0</v>
      </c>
      <c r="EJ30" s="244">
        <f t="shared" ca="1" si="26"/>
        <v>0</v>
      </c>
      <c r="EK30" s="244">
        <f t="shared" ca="1" si="27"/>
        <v>0</v>
      </c>
      <c r="EL30" s="244">
        <f t="shared" ca="1" si="28"/>
        <v>0</v>
      </c>
      <c r="EM30" s="244">
        <f t="shared" ca="1" si="29"/>
        <v>87</v>
      </c>
      <c r="EN30" s="244">
        <f t="shared" ca="1" si="30"/>
        <v>0</v>
      </c>
      <c r="EO30" s="244">
        <f t="shared" ca="1" si="31"/>
        <v>0</v>
      </c>
      <c r="EP30" s="244">
        <f t="shared" ca="1" si="32"/>
        <v>0</v>
      </c>
      <c r="EQ30" s="244">
        <f t="shared" ca="1" si="33"/>
        <v>0</v>
      </c>
      <c r="ER30" s="244"/>
      <c r="EW30" s="244">
        <v>0</v>
      </c>
      <c r="EX30" s="278">
        <f ca="1">VLOOKUP(DM30,Foglio1!$AB$31:$AN$261,13)-6+EW30</f>
        <v>87</v>
      </c>
      <c r="EY30" s="244"/>
      <c r="EZ30" s="244">
        <v>0</v>
      </c>
      <c r="FA30" s="244">
        <f t="shared" ca="1" si="63"/>
        <v>0</v>
      </c>
      <c r="FB30" s="244">
        <f t="shared" ca="1" si="64"/>
        <v>0</v>
      </c>
      <c r="FC30" s="244">
        <f t="shared" ca="1" si="65"/>
        <v>0</v>
      </c>
      <c r="FD30" s="244">
        <f t="shared" ca="1" si="66"/>
        <v>0</v>
      </c>
      <c r="FE30" s="244">
        <f t="shared" ca="1" si="67"/>
        <v>0</v>
      </c>
      <c r="FF30" s="244">
        <f t="shared" ca="1" si="68"/>
        <v>0</v>
      </c>
      <c r="FG30" s="244">
        <f t="shared" ca="1" si="69"/>
        <v>0</v>
      </c>
      <c r="FH30" s="244">
        <f t="shared" ca="1" si="70"/>
        <v>0</v>
      </c>
      <c r="FI30" s="244">
        <f t="shared" ca="1" si="71"/>
        <v>87</v>
      </c>
      <c r="FJ30" s="244">
        <f t="shared" ca="1" si="72"/>
        <v>0</v>
      </c>
      <c r="FK30" s="244">
        <f t="shared" ca="1" si="73"/>
        <v>0</v>
      </c>
      <c r="FL30" s="244">
        <f t="shared" ca="1" si="74"/>
        <v>0</v>
      </c>
      <c r="FM30" s="244">
        <f t="shared" ca="1" si="35"/>
        <v>0</v>
      </c>
      <c r="FN30" s="244"/>
    </row>
    <row r="31" spans="5:170" x14ac:dyDescent="0.25">
      <c r="E31" s="244"/>
      <c r="F31" s="240">
        <f>IF(fronttd!E33="","",fronttd!E33)</f>
        <v>37201</v>
      </c>
      <c r="G31" s="240">
        <f>IF(fronttd!F33="","",fronttd!F33)</f>
        <v>37437</v>
      </c>
      <c r="H31" s="380">
        <f>fronttd!G33</f>
        <v>4</v>
      </c>
      <c r="I31" s="380">
        <f>fronttd!H33</f>
        <v>18</v>
      </c>
      <c r="J31">
        <f t="shared" si="75"/>
        <v>24</v>
      </c>
      <c r="L31">
        <f t="shared" si="76"/>
        <v>31</v>
      </c>
      <c r="M31" s="112" t="e">
        <f t="shared" ca="1" si="36"/>
        <v>#N/A</v>
      </c>
      <c r="N31" s="112">
        <f ca="1">IF(   OR(Foglio7!GE51="", Foglio7!GE51=N30),100000,Foglio7!GE51)</f>
        <v>39083</v>
      </c>
      <c r="O31" s="238">
        <f t="shared" si="77"/>
        <v>31</v>
      </c>
      <c r="P31" s="238">
        <f t="shared" ca="1" si="37"/>
        <v>42</v>
      </c>
      <c r="Q31" s="238">
        <f t="shared" si="38"/>
        <v>31</v>
      </c>
      <c r="R31" s="112">
        <f t="shared" si="39"/>
        <v>37201</v>
      </c>
      <c r="S31" s="238">
        <f t="shared" ca="1" si="40"/>
        <v>24</v>
      </c>
      <c r="T31" s="112">
        <f t="shared" ca="1" si="86"/>
        <v>36892</v>
      </c>
      <c r="U31" s="112">
        <f t="shared" ca="1" si="87"/>
        <v>37257</v>
      </c>
      <c r="V31" s="112">
        <f t="shared" ca="1" si="88"/>
        <v>37411</v>
      </c>
      <c r="W31" s="112">
        <f t="shared" ca="1" si="89"/>
        <v>37622</v>
      </c>
      <c r="X31" s="112">
        <f t="shared" si="41"/>
        <v>37437</v>
      </c>
      <c r="Y31" s="112"/>
      <c r="Z31" s="112"/>
      <c r="AA31" s="335">
        <f t="shared" si="42"/>
        <v>37201</v>
      </c>
      <c r="AB31" s="335">
        <f t="shared" ca="1" si="90"/>
        <v>100000</v>
      </c>
      <c r="AC31" s="335">
        <f t="shared" ca="1" si="91"/>
        <v>37257</v>
      </c>
      <c r="AD31" s="335">
        <f t="shared" ca="1" si="92"/>
        <v>37411</v>
      </c>
      <c r="AE31" s="335">
        <f t="shared" ca="1" si="93"/>
        <v>100000</v>
      </c>
      <c r="AF31" s="335">
        <f t="shared" si="43"/>
        <v>37437</v>
      </c>
      <c r="AG31" s="238">
        <f>AG30</f>
        <v>22</v>
      </c>
      <c r="AH31" s="112">
        <f ca="1">AI30+1</f>
        <v>36326</v>
      </c>
      <c r="AI31" s="112">
        <f ca="1">IF(INDIRECT(CONCATENATE("AC",AG30))&lt;100000,INDIRECT(CONCATENATE("AC",AG30))-1,IF(INDIRECT(CONCATENATE("AD",AG30))&lt;100000,INDIRECT(CONCATENATE("AD",AG30))-1,IF(INDIRECT(CONCATENATE("AE",AG30))&lt;100000,INDIRECT(CONCATENATE("AE",G30)),INDIRECT(CONCATENATE("AF",AG30)))))</f>
        <v>36325</v>
      </c>
      <c r="AJ31" s="112">
        <f t="shared" ca="1" si="7"/>
        <v>36325</v>
      </c>
      <c r="AK31" s="112">
        <f t="shared" ca="1" si="8"/>
        <v>36325</v>
      </c>
      <c r="AL31" s="238">
        <f t="shared" ca="1" si="44"/>
        <v>0</v>
      </c>
      <c r="AM31" s="112">
        <f t="shared" ca="1" si="45"/>
        <v>100000</v>
      </c>
      <c r="AN31" s="112">
        <f t="shared" ca="1" si="84"/>
        <v>100000</v>
      </c>
      <c r="AO31" s="114">
        <f t="shared" ca="1" si="46"/>
        <v>18</v>
      </c>
      <c r="AP31" s="114">
        <f t="shared" ca="1" si="47"/>
        <v>24</v>
      </c>
      <c r="AQ31" s="112"/>
      <c r="AR31" s="238">
        <f t="shared" si="78"/>
        <v>31</v>
      </c>
      <c r="AS31" s="112"/>
      <c r="AT31" s="112"/>
      <c r="AU31" s="283">
        <f t="shared" si="79"/>
        <v>12</v>
      </c>
      <c r="AV31" s="284">
        <f t="shared" ca="1" si="48"/>
        <v>36921</v>
      </c>
      <c r="AW31" s="284">
        <f t="shared" ca="1" si="102"/>
        <v>37072</v>
      </c>
      <c r="AX31" s="285">
        <f t="shared" ca="1" si="103"/>
        <v>18</v>
      </c>
      <c r="AY31" s="285">
        <f t="shared" ca="1" si="51"/>
        <v>24</v>
      </c>
      <c r="AZ31" s="284"/>
      <c r="BA31" s="112"/>
      <c r="BB31" s="112">
        <f t="shared" ca="1" si="52"/>
        <v>39277</v>
      </c>
      <c r="BC31" s="114">
        <f t="shared" ca="1" si="53"/>
        <v>1</v>
      </c>
      <c r="BD31" s="114">
        <f t="shared" ca="1" si="80"/>
        <v>16</v>
      </c>
      <c r="BE31" s="112">
        <f t="shared" ca="1" si="54"/>
        <v>39083</v>
      </c>
      <c r="BF31" s="112"/>
      <c r="BG31" s="112"/>
      <c r="BH31" s="238">
        <f t="shared" si="81"/>
        <v>12</v>
      </c>
      <c r="BI31" s="245">
        <f t="shared" si="55"/>
        <v>37201</v>
      </c>
      <c r="BJ31" s="281">
        <f t="shared" ca="1" si="96"/>
        <v>16</v>
      </c>
      <c r="BK31" s="245">
        <f t="shared" ca="1" si="56"/>
        <v>37135</v>
      </c>
      <c r="BL31" s="245">
        <f t="shared" ca="1" si="57"/>
        <v>37166</v>
      </c>
      <c r="BM31" s="245"/>
      <c r="BN31" s="245">
        <f t="shared" ca="1" si="97"/>
        <v>37437</v>
      </c>
      <c r="BQ31" s="245"/>
      <c r="BR31" s="245"/>
      <c r="BS31" s="245"/>
      <c r="BT31" s="245"/>
      <c r="BU31" s="245"/>
      <c r="BV31" s="245"/>
      <c r="BY31" s="245"/>
      <c r="BZ31" s="245"/>
      <c r="CA31" s="245"/>
      <c r="CB31" s="245"/>
      <c r="CC31" s="245"/>
      <c r="CD31" s="245"/>
      <c r="CE31" s="245"/>
      <c r="CF31" s="245"/>
      <c r="CG31" s="245"/>
      <c r="CH31" s="245"/>
      <c r="CL31" s="112"/>
      <c r="CM31" s="112"/>
      <c r="CP31" s="112"/>
      <c r="CQ31" s="112"/>
      <c r="CR31" s="238"/>
      <c r="CS31" s="238"/>
      <c r="CT31" s="112"/>
      <c r="CU31" s="112"/>
      <c r="CV31" s="112"/>
      <c r="CW31" s="112" t="s">
        <v>224</v>
      </c>
      <c r="CX31" s="112" t="s">
        <v>225</v>
      </c>
      <c r="CY31" s="112" t="s">
        <v>226</v>
      </c>
      <c r="CZ31" s="112" t="s">
        <v>227</v>
      </c>
      <c r="DA31" s="112" t="s">
        <v>228</v>
      </c>
      <c r="DB31" s="112" t="s">
        <v>229</v>
      </c>
      <c r="DC31" s="112"/>
      <c r="DD31" s="238">
        <f t="shared" ca="1" si="10"/>
        <v>0</v>
      </c>
      <c r="DE31" s="238">
        <f t="shared" ca="1" si="11"/>
        <v>0</v>
      </c>
      <c r="DF31" s="112"/>
      <c r="DG31" s="238"/>
      <c r="DH31" s="238"/>
      <c r="DI31" s="112"/>
      <c r="DJ31" s="238"/>
      <c r="DK31" s="112">
        <f t="shared" ca="1" si="58"/>
        <v>37135</v>
      </c>
      <c r="DL31" s="278">
        <f t="shared" ca="1" si="12"/>
        <v>12</v>
      </c>
      <c r="DM31" s="245">
        <f t="shared" ref="DM31:DP31" ca="1" si="105">DM582</f>
        <v>37135</v>
      </c>
      <c r="DN31" s="245">
        <f t="shared" ca="1" si="105"/>
        <v>37256</v>
      </c>
      <c r="DO31" s="245">
        <f t="shared" ca="1" si="105"/>
        <v>8</v>
      </c>
      <c r="DP31" s="245">
        <f t="shared" ca="1" si="105"/>
        <v>24</v>
      </c>
      <c r="DQ31" s="281">
        <f t="shared" ca="1" si="14"/>
        <v>122</v>
      </c>
      <c r="DR31" s="278">
        <f t="shared" ca="1" si="15"/>
        <v>0</v>
      </c>
      <c r="DS31" s="244">
        <f t="shared" ca="1" si="60"/>
        <v>0</v>
      </c>
      <c r="DT31" s="244">
        <f t="shared" ca="1" si="61"/>
        <v>0</v>
      </c>
      <c r="DU31" s="244">
        <f t="shared" ca="1" si="18"/>
        <v>0</v>
      </c>
      <c r="DV31" s="244" t="str">
        <f t="shared" ca="1" si="19"/>
        <v>0/2 anni</v>
      </c>
      <c r="DW31" s="244"/>
      <c r="DX31" s="244">
        <f t="shared" ref="DX31:DX94" ca="1" si="106">IF(DL31="","",VLOOKUP(DM31,$DL$8:$DM$14,2))</f>
        <v>0</v>
      </c>
      <c r="EA31" s="244">
        <f t="shared" ca="1" si="62"/>
        <v>0</v>
      </c>
      <c r="EB31" s="278">
        <f ca="1">VLOOKUP(DM31,Foglio1!$AB$31:$AN$261,13)-6+EA31</f>
        <v>87</v>
      </c>
      <c r="EC31" s="244"/>
      <c r="ED31" s="244">
        <f t="shared" ca="1" si="20"/>
        <v>0</v>
      </c>
      <c r="EE31" s="244">
        <f t="shared" ca="1" si="21"/>
        <v>0</v>
      </c>
      <c r="EF31" s="244">
        <f t="shared" ca="1" si="22"/>
        <v>0</v>
      </c>
      <c r="EG31" s="244">
        <f t="shared" ca="1" si="23"/>
        <v>0</v>
      </c>
      <c r="EH31" s="244">
        <f t="shared" ca="1" si="24"/>
        <v>0</v>
      </c>
      <c r="EI31" s="244">
        <f t="shared" ca="1" si="25"/>
        <v>0</v>
      </c>
      <c r="EJ31" s="244">
        <f t="shared" ca="1" si="26"/>
        <v>0</v>
      </c>
      <c r="EK31" s="244">
        <f t="shared" ca="1" si="27"/>
        <v>0</v>
      </c>
      <c r="EL31" s="244">
        <f t="shared" ca="1" si="28"/>
        <v>0</v>
      </c>
      <c r="EM31" s="244">
        <f t="shared" ca="1" si="29"/>
        <v>87</v>
      </c>
      <c r="EN31" s="244">
        <f t="shared" ca="1" si="30"/>
        <v>0</v>
      </c>
      <c r="EO31" s="244">
        <f t="shared" ca="1" si="31"/>
        <v>0</v>
      </c>
      <c r="EP31" s="244">
        <f t="shared" ca="1" si="32"/>
        <v>0</v>
      </c>
      <c r="EQ31" s="244">
        <f t="shared" ca="1" si="33"/>
        <v>0</v>
      </c>
      <c r="ER31" s="244"/>
      <c r="EW31" s="244">
        <v>0</v>
      </c>
      <c r="EX31" s="278">
        <f ca="1">VLOOKUP(DM31,Foglio1!$AB$31:$AN$261,13)-6+EW31</f>
        <v>87</v>
      </c>
      <c r="EY31" s="244"/>
      <c r="EZ31" s="244">
        <v>0</v>
      </c>
      <c r="FA31" s="244">
        <f t="shared" ca="1" si="63"/>
        <v>0</v>
      </c>
      <c r="FB31" s="244">
        <f t="shared" ca="1" si="64"/>
        <v>0</v>
      </c>
      <c r="FC31" s="244">
        <f t="shared" ca="1" si="65"/>
        <v>0</v>
      </c>
      <c r="FD31" s="244">
        <f t="shared" ca="1" si="66"/>
        <v>0</v>
      </c>
      <c r="FE31" s="244">
        <f t="shared" ca="1" si="67"/>
        <v>0</v>
      </c>
      <c r="FF31" s="244">
        <f t="shared" ca="1" si="68"/>
        <v>0</v>
      </c>
      <c r="FG31" s="244">
        <f t="shared" ca="1" si="69"/>
        <v>0</v>
      </c>
      <c r="FH31" s="244">
        <f t="shared" ca="1" si="70"/>
        <v>0</v>
      </c>
      <c r="FI31" s="244">
        <f t="shared" ca="1" si="71"/>
        <v>87</v>
      </c>
      <c r="FJ31" s="244">
        <f t="shared" ca="1" si="72"/>
        <v>0</v>
      </c>
      <c r="FK31" s="244">
        <f t="shared" ca="1" si="73"/>
        <v>0</v>
      </c>
      <c r="FL31" s="244">
        <f t="shared" ca="1" si="74"/>
        <v>0</v>
      </c>
      <c r="FM31" s="244">
        <f t="shared" ca="1" si="35"/>
        <v>0</v>
      </c>
      <c r="FN31" s="244"/>
    </row>
    <row r="32" spans="5:170" x14ac:dyDescent="0.25">
      <c r="E32" s="244"/>
      <c r="F32" s="240">
        <f>IF(fronttd!E34="","",fronttd!E34)</f>
        <v>37202</v>
      </c>
      <c r="G32" s="240">
        <f>IF(fronttd!F34="","",fronttd!F34)</f>
        <v>37282</v>
      </c>
      <c r="H32" s="380">
        <f>fronttd!G34</f>
        <v>6</v>
      </c>
      <c r="I32" s="380">
        <f>fronttd!H34</f>
        <v>18</v>
      </c>
      <c r="J32">
        <f t="shared" si="75"/>
        <v>24</v>
      </c>
      <c r="L32">
        <f t="shared" si="76"/>
        <v>32</v>
      </c>
      <c r="M32" s="112" t="e">
        <f t="shared" ca="1" si="36"/>
        <v>#N/A</v>
      </c>
      <c r="N32" s="112">
        <f ca="1">IF(   OR(Foglio7!GE52="", Foglio7!GE52=N31),100000,Foglio7!GE52)</f>
        <v>39114</v>
      </c>
      <c r="O32" s="238">
        <f t="shared" si="77"/>
        <v>32</v>
      </c>
      <c r="P32" s="238">
        <f t="shared" ca="1" si="37"/>
        <v>42</v>
      </c>
      <c r="Q32" s="238">
        <f t="shared" si="38"/>
        <v>32</v>
      </c>
      <c r="R32" s="112">
        <f t="shared" si="39"/>
        <v>37202</v>
      </c>
      <c r="S32" s="238">
        <f t="shared" ca="1" si="40"/>
        <v>24</v>
      </c>
      <c r="T32" s="112">
        <f t="shared" ca="1" si="86"/>
        <v>36892</v>
      </c>
      <c r="U32" s="112">
        <f t="shared" ca="1" si="87"/>
        <v>37257</v>
      </c>
      <c r="V32" s="112">
        <f t="shared" ca="1" si="88"/>
        <v>37411</v>
      </c>
      <c r="W32" s="112">
        <f t="shared" ca="1" si="89"/>
        <v>37622</v>
      </c>
      <c r="X32" s="112">
        <f t="shared" si="41"/>
        <v>37282</v>
      </c>
      <c r="Y32" s="112"/>
      <c r="Z32" s="112"/>
      <c r="AA32" s="335">
        <f t="shared" si="42"/>
        <v>37202</v>
      </c>
      <c r="AB32" s="335">
        <f t="shared" ca="1" si="90"/>
        <v>100000</v>
      </c>
      <c r="AC32" s="335">
        <f t="shared" ca="1" si="91"/>
        <v>37257</v>
      </c>
      <c r="AD32" s="335">
        <f t="shared" ca="1" si="92"/>
        <v>100000</v>
      </c>
      <c r="AE32" s="335">
        <f t="shared" ca="1" si="93"/>
        <v>100000</v>
      </c>
      <c r="AF32" s="335">
        <f t="shared" si="43"/>
        <v>37282</v>
      </c>
      <c r="AG32" s="238">
        <f>AG31</f>
        <v>22</v>
      </c>
      <c r="AH32" s="112">
        <f ca="1">AI31+1</f>
        <v>36326</v>
      </c>
      <c r="AI32" s="112">
        <f ca="1">IF(INDIRECT(CONCATENATE("AD",AG30))&lt;100000,INDIRECT(CONCATENATE("AD",AG30))-1,IF(INDIRECT(CONCATENATE("AE",AG30))&lt;100000,INDIRECT(CONCATENATE("AE",G30)),INDIRECT(CONCATENATE("AF",AG30))))</f>
        <v>36325</v>
      </c>
      <c r="AJ32" s="112">
        <f t="shared" ca="1" si="7"/>
        <v>36325</v>
      </c>
      <c r="AK32" s="112">
        <f t="shared" ca="1" si="8"/>
        <v>36325</v>
      </c>
      <c r="AL32" s="238">
        <f t="shared" ca="1" si="44"/>
        <v>0</v>
      </c>
      <c r="AM32" s="112">
        <f t="shared" ca="1" si="45"/>
        <v>100000</v>
      </c>
      <c r="AN32" s="112">
        <f t="shared" ca="1" si="84"/>
        <v>100000</v>
      </c>
      <c r="AO32" s="114">
        <f t="shared" ca="1" si="46"/>
        <v>18</v>
      </c>
      <c r="AP32" s="114">
        <f t="shared" ca="1" si="47"/>
        <v>24</v>
      </c>
      <c r="AQ32" s="112"/>
      <c r="AR32" s="238">
        <f t="shared" si="78"/>
        <v>32</v>
      </c>
      <c r="AS32" s="112"/>
      <c r="AT32" s="112"/>
      <c r="AU32" s="283">
        <f t="shared" si="79"/>
        <v>13</v>
      </c>
      <c r="AV32" s="284">
        <f t="shared" ca="1" si="48"/>
        <v>37135</v>
      </c>
      <c r="AW32" s="284">
        <f t="shared" ca="1" si="102"/>
        <v>37256</v>
      </c>
      <c r="AX32" s="285">
        <f t="shared" ca="1" si="103"/>
        <v>18</v>
      </c>
      <c r="AY32" s="285">
        <f t="shared" ca="1" si="51"/>
        <v>24</v>
      </c>
      <c r="AZ32" s="284"/>
      <c r="BA32" s="112"/>
      <c r="BB32" s="112">
        <f t="shared" ca="1" si="52"/>
        <v>39277</v>
      </c>
      <c r="BC32" s="114">
        <f t="shared" ca="1" si="53"/>
        <v>1</v>
      </c>
      <c r="BD32" s="114">
        <f t="shared" ca="1" si="80"/>
        <v>16</v>
      </c>
      <c r="BE32" s="112">
        <f t="shared" ca="1" si="54"/>
        <v>39114</v>
      </c>
      <c r="BF32" s="112"/>
      <c r="BG32" s="112"/>
      <c r="BH32" s="238">
        <f t="shared" si="81"/>
        <v>13</v>
      </c>
      <c r="BI32" s="245">
        <f t="shared" si="55"/>
        <v>37202</v>
      </c>
      <c r="BJ32" s="281">
        <f t="shared" ca="1" si="96"/>
        <v>16</v>
      </c>
      <c r="BK32" s="245">
        <f t="shared" ca="1" si="56"/>
        <v>37167</v>
      </c>
      <c r="BL32" s="245">
        <f t="shared" ca="1" si="57"/>
        <v>37166</v>
      </c>
      <c r="BM32" s="245"/>
      <c r="BN32" s="245">
        <f t="shared" ca="1" si="97"/>
        <v>37200</v>
      </c>
      <c r="BQ32" s="245"/>
      <c r="BR32" s="245"/>
      <c r="BS32" s="245"/>
      <c r="BT32" s="245"/>
      <c r="BU32" s="245"/>
      <c r="BV32" s="245"/>
      <c r="BY32" s="245"/>
      <c r="BZ32" s="245"/>
      <c r="CA32" s="245"/>
      <c r="CB32" s="245"/>
      <c r="CC32" s="245"/>
      <c r="CD32" s="245"/>
      <c r="CE32" s="245"/>
      <c r="CF32" s="245"/>
      <c r="CG32" s="245"/>
      <c r="CH32" s="245"/>
      <c r="CL32" s="112"/>
      <c r="CM32" s="112"/>
      <c r="CP32" s="112"/>
      <c r="CQ32" s="112"/>
      <c r="CR32" s="238"/>
      <c r="CS32" s="238"/>
      <c r="CT32" s="112"/>
      <c r="CU32" s="112"/>
      <c r="CV32" s="112"/>
      <c r="CW32" s="112" t="s">
        <v>224</v>
      </c>
      <c r="CX32" s="112" t="s">
        <v>225</v>
      </c>
      <c r="CY32" s="112" t="s">
        <v>226</v>
      </c>
      <c r="CZ32" s="112" t="s">
        <v>227</v>
      </c>
      <c r="DA32" s="112" t="s">
        <v>228</v>
      </c>
      <c r="DB32" s="112" t="s">
        <v>229</v>
      </c>
      <c r="DC32" s="112"/>
      <c r="DD32" s="238">
        <f t="shared" ca="1" si="10"/>
        <v>0</v>
      </c>
      <c r="DE32" s="238">
        <f ca="1">IF(AND($DJ$19&gt;DM32,$DJ$19&gt;=DN32),DN32-DM32+1,0)</f>
        <v>0</v>
      </c>
      <c r="DF32" s="112"/>
      <c r="DG32" s="238"/>
      <c r="DH32" s="238"/>
      <c r="DI32" s="112"/>
      <c r="DJ32" s="238"/>
      <c r="DK32" s="112">
        <f t="shared" ca="1" si="58"/>
        <v>37167</v>
      </c>
      <c r="DL32" s="278">
        <f t="shared" ca="1" si="12"/>
        <v>13</v>
      </c>
      <c r="DM32" s="245">
        <f t="shared" ref="DM32:DP32" ca="1" si="107">DM583</f>
        <v>37167</v>
      </c>
      <c r="DN32" s="245">
        <f t="shared" ca="1" si="107"/>
        <v>37200</v>
      </c>
      <c r="DO32" s="245">
        <f t="shared" ca="1" si="107"/>
        <v>5</v>
      </c>
      <c r="DP32" s="245">
        <f t="shared" ca="1" si="107"/>
        <v>24</v>
      </c>
      <c r="DQ32" s="281">
        <f t="shared" ca="1" si="14"/>
        <v>34</v>
      </c>
      <c r="DR32" s="278">
        <f t="shared" ca="1" si="15"/>
        <v>0</v>
      </c>
      <c r="DS32" s="244">
        <f t="shared" ca="1" si="60"/>
        <v>0</v>
      </c>
      <c r="DT32" s="244">
        <f t="shared" ca="1" si="61"/>
        <v>0</v>
      </c>
      <c r="DU32" s="244">
        <f t="shared" ca="1" si="18"/>
        <v>0</v>
      </c>
      <c r="DV32" s="244" t="str">
        <f t="shared" ca="1" si="19"/>
        <v>0/2 anni</v>
      </c>
      <c r="DW32" s="244"/>
      <c r="DX32" s="244">
        <f t="shared" ca="1" si="106"/>
        <v>0</v>
      </c>
      <c r="EA32" s="244">
        <f t="shared" ca="1" si="62"/>
        <v>0</v>
      </c>
      <c r="EB32" s="278">
        <f ca="1">VLOOKUP(DM32,Foglio1!$AB$31:$AN$261,13)-6+EA32</f>
        <v>87</v>
      </c>
      <c r="EC32" s="244"/>
      <c r="ED32" s="244">
        <f t="shared" ca="1" si="20"/>
        <v>0</v>
      </c>
      <c r="EE32" s="244">
        <f t="shared" ca="1" si="21"/>
        <v>0</v>
      </c>
      <c r="EF32" s="244">
        <f t="shared" ca="1" si="22"/>
        <v>0</v>
      </c>
      <c r="EG32" s="244">
        <f t="shared" ca="1" si="23"/>
        <v>0</v>
      </c>
      <c r="EH32" s="244">
        <f t="shared" ca="1" si="24"/>
        <v>0</v>
      </c>
      <c r="EI32" s="244">
        <f t="shared" ca="1" si="25"/>
        <v>0</v>
      </c>
      <c r="EJ32" s="244">
        <f t="shared" ca="1" si="26"/>
        <v>0</v>
      </c>
      <c r="EK32" s="244">
        <f t="shared" ca="1" si="27"/>
        <v>0</v>
      </c>
      <c r="EL32" s="244">
        <f t="shared" ca="1" si="28"/>
        <v>0</v>
      </c>
      <c r="EM32" s="244">
        <f t="shared" ca="1" si="29"/>
        <v>87</v>
      </c>
      <c r="EN32" s="244">
        <f t="shared" ca="1" si="30"/>
        <v>0</v>
      </c>
      <c r="EO32" s="244">
        <f t="shared" ca="1" si="31"/>
        <v>0</v>
      </c>
      <c r="EP32" s="244">
        <f t="shared" ca="1" si="32"/>
        <v>0</v>
      </c>
      <c r="EQ32" s="244">
        <f t="shared" ca="1" si="33"/>
        <v>0</v>
      </c>
      <c r="ER32" s="244"/>
      <c r="EW32" s="244">
        <v>0</v>
      </c>
      <c r="EX32" s="278">
        <f ca="1">VLOOKUP(DM32,Foglio1!$AB$31:$AN$261,13)-6+EW32</f>
        <v>87</v>
      </c>
      <c r="EY32" s="244"/>
      <c r="EZ32" s="244">
        <v>0</v>
      </c>
      <c r="FA32" s="244">
        <f t="shared" ca="1" si="63"/>
        <v>0</v>
      </c>
      <c r="FB32" s="244">
        <f t="shared" ca="1" si="64"/>
        <v>0</v>
      </c>
      <c r="FC32" s="244">
        <f t="shared" ca="1" si="65"/>
        <v>0</v>
      </c>
      <c r="FD32" s="244">
        <f t="shared" ca="1" si="66"/>
        <v>0</v>
      </c>
      <c r="FE32" s="244">
        <f t="shared" ca="1" si="67"/>
        <v>0</v>
      </c>
      <c r="FF32" s="244">
        <f t="shared" ca="1" si="68"/>
        <v>0</v>
      </c>
      <c r="FG32" s="244">
        <f t="shared" ca="1" si="69"/>
        <v>0</v>
      </c>
      <c r="FH32" s="244">
        <f t="shared" ca="1" si="70"/>
        <v>0</v>
      </c>
      <c r="FI32" s="244">
        <f t="shared" ca="1" si="71"/>
        <v>87</v>
      </c>
      <c r="FJ32" s="244">
        <f t="shared" ca="1" si="72"/>
        <v>0</v>
      </c>
      <c r="FK32" s="244">
        <f t="shared" ca="1" si="73"/>
        <v>0</v>
      </c>
      <c r="FL32" s="244">
        <f t="shared" ca="1" si="74"/>
        <v>0</v>
      </c>
      <c r="FM32" s="244">
        <f t="shared" ca="1" si="35"/>
        <v>0</v>
      </c>
      <c r="FN32" s="244"/>
    </row>
    <row r="33" spans="5:170" x14ac:dyDescent="0.25">
      <c r="E33" s="244"/>
      <c r="F33" s="240">
        <f>IF(fronttd!E35="","",fronttd!E35)</f>
        <v>37284</v>
      </c>
      <c r="G33" s="240">
        <f>IF(fronttd!F35="","",fronttd!F35)</f>
        <v>37437</v>
      </c>
      <c r="H33" s="380">
        <f>fronttd!G35</f>
        <v>5</v>
      </c>
      <c r="I33" s="380">
        <f>fronttd!H35</f>
        <v>18</v>
      </c>
      <c r="J33">
        <f t="shared" si="75"/>
        <v>24</v>
      </c>
      <c r="L33">
        <f t="shared" si="76"/>
        <v>33</v>
      </c>
      <c r="M33" s="112" t="e">
        <f t="shared" ca="1" si="36"/>
        <v>#N/A</v>
      </c>
      <c r="N33" s="112">
        <f ca="1">IF(   OR(Foglio7!GE53="", Foglio7!GE53=N32),100000,Foglio7!GE53)</f>
        <v>39264</v>
      </c>
      <c r="O33" s="238">
        <f t="shared" si="77"/>
        <v>33</v>
      </c>
      <c r="P33" s="238">
        <f t="shared" ca="1" si="37"/>
        <v>42</v>
      </c>
      <c r="Q33" s="238">
        <f t="shared" si="38"/>
        <v>33</v>
      </c>
      <c r="R33" s="112">
        <f t="shared" si="39"/>
        <v>37284</v>
      </c>
      <c r="S33" s="238">
        <f t="shared" ca="1" si="40"/>
        <v>25</v>
      </c>
      <c r="T33" s="112">
        <f t="shared" ca="1" si="86"/>
        <v>37257</v>
      </c>
      <c r="U33" s="112">
        <f t="shared" ca="1" si="87"/>
        <v>37411</v>
      </c>
      <c r="V33" s="112">
        <f t="shared" ca="1" si="88"/>
        <v>37622</v>
      </c>
      <c r="W33" s="112">
        <f t="shared" ca="1" si="89"/>
        <v>37987</v>
      </c>
      <c r="X33" s="112">
        <f t="shared" si="41"/>
        <v>37437</v>
      </c>
      <c r="Y33" s="112"/>
      <c r="Z33" s="112"/>
      <c r="AA33" s="335">
        <f t="shared" si="42"/>
        <v>37284</v>
      </c>
      <c r="AB33" s="335">
        <f ca="1">IF(AND(T33&gt;=R33,T33&lt;=X33),T33,100000)</f>
        <v>100000</v>
      </c>
      <c r="AC33" s="335">
        <f ca="1">IF(AND(U33&gt;=R33,U33&lt;=X33),U33,100000)</f>
        <v>37411</v>
      </c>
      <c r="AD33" s="335">
        <f ca="1">IF(AND(V33&gt;=R33,V33&lt;=X33),V33,100000)</f>
        <v>100000</v>
      </c>
      <c r="AE33" s="335">
        <f t="shared" ca="1" si="93"/>
        <v>100000</v>
      </c>
      <c r="AF33" s="335">
        <f t="shared" si="43"/>
        <v>37437</v>
      </c>
      <c r="AG33" s="238">
        <f>AG32</f>
        <v>22</v>
      </c>
      <c r="AH33" s="112">
        <f ca="1">AI32+1</f>
        <v>36326</v>
      </c>
      <c r="AI33" s="112">
        <f ca="1">IF(INDIRECT(CONCATENATE("AE",AG30))&lt;100000,INDIRECT(CONCATENATE("AE",G30)),INDIRECT(CONCATENATE("AF",AG30)))</f>
        <v>36325</v>
      </c>
      <c r="AJ33" s="112">
        <f t="shared" ca="1" si="7"/>
        <v>36325</v>
      </c>
      <c r="AK33" s="112">
        <f t="shared" ca="1" si="8"/>
        <v>36325</v>
      </c>
      <c r="AL33" s="238">
        <f t="shared" ca="1" si="44"/>
        <v>0</v>
      </c>
      <c r="AM33" s="112">
        <f t="shared" ca="1" si="45"/>
        <v>100000</v>
      </c>
      <c r="AN33" s="112">
        <f t="shared" ca="1" si="84"/>
        <v>100000</v>
      </c>
      <c r="AO33" s="114">
        <f t="shared" ca="1" si="46"/>
        <v>18</v>
      </c>
      <c r="AP33" s="114">
        <f t="shared" ca="1" si="47"/>
        <v>24</v>
      </c>
      <c r="AQ33" s="112"/>
      <c r="AR33" s="238">
        <f t="shared" si="78"/>
        <v>33</v>
      </c>
      <c r="AS33" s="112"/>
      <c r="AT33" s="112"/>
      <c r="AU33" s="283">
        <f t="shared" si="79"/>
        <v>14</v>
      </c>
      <c r="AV33" s="284">
        <f t="shared" ca="1" si="48"/>
        <v>37167</v>
      </c>
      <c r="AW33" s="284">
        <f t="shared" ca="1" si="102"/>
        <v>37200</v>
      </c>
      <c r="AX33" s="285">
        <f t="shared" ca="1" si="103"/>
        <v>18</v>
      </c>
      <c r="AY33" s="285">
        <f t="shared" ca="1" si="51"/>
        <v>24</v>
      </c>
      <c r="AZ33" s="284"/>
      <c r="BA33" s="112"/>
      <c r="BB33" s="112">
        <f t="shared" ca="1" si="52"/>
        <v>39277</v>
      </c>
      <c r="BC33" s="114">
        <f t="shared" ca="1" si="53"/>
        <v>1</v>
      </c>
      <c r="BD33" s="114">
        <f t="shared" ca="1" si="80"/>
        <v>16</v>
      </c>
      <c r="BE33" s="112">
        <f t="shared" ca="1" si="54"/>
        <v>39264</v>
      </c>
      <c r="BF33" s="112"/>
      <c r="BG33" s="112"/>
      <c r="BH33" s="238">
        <f t="shared" si="81"/>
        <v>14</v>
      </c>
      <c r="BI33" s="245">
        <f t="shared" si="55"/>
        <v>37284</v>
      </c>
      <c r="BJ33" s="281">
        <f t="shared" ca="1" si="96"/>
        <v>16</v>
      </c>
      <c r="BK33" s="245">
        <f t="shared" ca="1" si="56"/>
        <v>37167</v>
      </c>
      <c r="BL33" s="245">
        <f t="shared" ca="1" si="57"/>
        <v>37200</v>
      </c>
      <c r="BM33" s="245"/>
      <c r="BN33" s="245">
        <f t="shared" ca="1" si="97"/>
        <v>37200</v>
      </c>
      <c r="BQ33" s="245"/>
      <c r="BR33" s="245"/>
      <c r="BS33" s="245"/>
      <c r="BT33" s="245"/>
      <c r="BU33" s="245"/>
      <c r="BV33" s="245"/>
      <c r="BY33" s="245"/>
      <c r="BZ33" s="245"/>
      <c r="CA33" s="245"/>
      <c r="CB33" s="245"/>
      <c r="CC33" s="245"/>
      <c r="CD33" s="245"/>
      <c r="CE33" s="245"/>
      <c r="CF33" s="245"/>
      <c r="CG33" s="245"/>
      <c r="CH33" s="245"/>
      <c r="CL33" s="112"/>
      <c r="CM33" s="112"/>
      <c r="CP33" s="112"/>
      <c r="CQ33" s="112"/>
      <c r="CR33" s="238"/>
      <c r="CS33" s="238"/>
      <c r="CT33" s="112"/>
      <c r="CU33" s="112"/>
      <c r="CV33" s="112"/>
      <c r="CW33" s="112" t="s">
        <v>224</v>
      </c>
      <c r="CX33" s="112" t="s">
        <v>225</v>
      </c>
      <c r="CY33" s="112" t="s">
        <v>226</v>
      </c>
      <c r="CZ33" s="112" t="s">
        <v>227</v>
      </c>
      <c r="DA33" s="112" t="s">
        <v>228</v>
      </c>
      <c r="DB33" s="112" t="s">
        <v>229</v>
      </c>
      <c r="DC33" s="112"/>
      <c r="DD33" s="238">
        <f t="shared" ca="1" si="10"/>
        <v>0</v>
      </c>
      <c r="DE33" s="238">
        <f t="shared" ref="DE33:DE96" ca="1" si="108">IF(AND($DJ$19&gt;DM33,$DJ$19&gt;=DN33),DN33-DM33+1,0)</f>
        <v>0</v>
      </c>
      <c r="DF33" s="112"/>
      <c r="DG33" s="238"/>
      <c r="DH33" s="238"/>
      <c r="DI33" s="112"/>
      <c r="DJ33" s="238"/>
      <c r="DK33" s="112">
        <f t="shared" ca="1" si="58"/>
        <v>37167</v>
      </c>
      <c r="DL33" s="278">
        <f t="shared" ca="1" si="12"/>
        <v>14</v>
      </c>
      <c r="DM33" s="245">
        <f t="shared" ref="DM33:DP33" ca="1" si="109">DM584</f>
        <v>37167</v>
      </c>
      <c r="DN33" s="245">
        <f t="shared" ca="1" si="109"/>
        <v>37200</v>
      </c>
      <c r="DO33" s="245">
        <f t="shared" ca="1" si="109"/>
        <v>5</v>
      </c>
      <c r="DP33" s="245">
        <f t="shared" ca="1" si="109"/>
        <v>24</v>
      </c>
      <c r="DQ33" s="281">
        <f t="shared" ca="1" si="14"/>
        <v>34</v>
      </c>
      <c r="DR33" s="278">
        <f t="shared" ca="1" si="15"/>
        <v>0</v>
      </c>
      <c r="DS33" s="244">
        <f t="shared" ca="1" si="60"/>
        <v>0</v>
      </c>
      <c r="DT33" s="244">
        <f t="shared" ca="1" si="61"/>
        <v>0</v>
      </c>
      <c r="DU33" s="244">
        <f t="shared" ca="1" si="18"/>
        <v>0</v>
      </c>
      <c r="DV33" s="244" t="str">
        <f t="shared" ca="1" si="19"/>
        <v>0/2 anni</v>
      </c>
      <c r="DW33" s="244"/>
      <c r="DX33" s="244">
        <f t="shared" ca="1" si="106"/>
        <v>0</v>
      </c>
      <c r="EA33" s="244">
        <f t="shared" ca="1" si="62"/>
        <v>0</v>
      </c>
      <c r="EB33" s="278">
        <f ca="1">VLOOKUP(DM33,Foglio1!$AB$31:$AN$261,13)-6+EA33</f>
        <v>87</v>
      </c>
      <c r="EC33" s="244"/>
      <c r="ED33" s="244">
        <f t="shared" ca="1" si="20"/>
        <v>0</v>
      </c>
      <c r="EE33" s="244">
        <f t="shared" ca="1" si="21"/>
        <v>0</v>
      </c>
      <c r="EF33" s="244">
        <f t="shared" ca="1" si="22"/>
        <v>0</v>
      </c>
      <c r="EG33" s="244">
        <f t="shared" ca="1" si="23"/>
        <v>0</v>
      </c>
      <c r="EH33" s="244">
        <f t="shared" ca="1" si="24"/>
        <v>0</v>
      </c>
      <c r="EI33" s="244">
        <f t="shared" ca="1" si="25"/>
        <v>0</v>
      </c>
      <c r="EJ33" s="244">
        <f t="shared" ca="1" si="26"/>
        <v>0</v>
      </c>
      <c r="EK33" s="244">
        <f t="shared" ca="1" si="27"/>
        <v>0</v>
      </c>
      <c r="EL33" s="244">
        <f t="shared" ca="1" si="28"/>
        <v>0</v>
      </c>
      <c r="EM33" s="244">
        <f t="shared" ca="1" si="29"/>
        <v>87</v>
      </c>
      <c r="EN33" s="244">
        <f t="shared" ca="1" si="30"/>
        <v>0</v>
      </c>
      <c r="EO33" s="244">
        <f t="shared" ca="1" si="31"/>
        <v>0</v>
      </c>
      <c r="EP33" s="244">
        <f t="shared" ca="1" si="32"/>
        <v>0</v>
      </c>
      <c r="EQ33" s="244">
        <f t="shared" ca="1" si="33"/>
        <v>0</v>
      </c>
      <c r="ER33" s="244"/>
      <c r="EW33" s="244">
        <v>0</v>
      </c>
      <c r="EX33" s="278">
        <f ca="1">VLOOKUP(DM33,Foglio1!$AB$31:$AN$261,13)-6+EW33</f>
        <v>87</v>
      </c>
      <c r="EY33" s="244"/>
      <c r="EZ33" s="244">
        <v>0</v>
      </c>
      <c r="FA33" s="244">
        <f t="shared" ca="1" si="63"/>
        <v>0</v>
      </c>
      <c r="FB33" s="244">
        <f t="shared" ca="1" si="64"/>
        <v>0</v>
      </c>
      <c r="FC33" s="244">
        <f t="shared" ca="1" si="65"/>
        <v>0</v>
      </c>
      <c r="FD33" s="244">
        <f t="shared" ca="1" si="66"/>
        <v>0</v>
      </c>
      <c r="FE33" s="244">
        <f t="shared" ca="1" si="67"/>
        <v>0</v>
      </c>
      <c r="FF33" s="244">
        <f t="shared" ca="1" si="68"/>
        <v>0</v>
      </c>
      <c r="FG33" s="244">
        <f t="shared" ca="1" si="69"/>
        <v>0</v>
      </c>
      <c r="FH33" s="244">
        <f t="shared" ca="1" si="70"/>
        <v>0</v>
      </c>
      <c r="FI33" s="244">
        <f t="shared" ca="1" si="71"/>
        <v>87</v>
      </c>
      <c r="FJ33" s="244">
        <f t="shared" ca="1" si="72"/>
        <v>0</v>
      </c>
      <c r="FK33" s="244">
        <f t="shared" ca="1" si="73"/>
        <v>0</v>
      </c>
      <c r="FL33" s="244">
        <f t="shared" ca="1" si="74"/>
        <v>0</v>
      </c>
      <c r="FM33" s="244">
        <f t="shared" ca="1" si="35"/>
        <v>0</v>
      </c>
      <c r="FN33" s="244"/>
    </row>
    <row r="34" spans="5:170" x14ac:dyDescent="0.25">
      <c r="E34" s="244"/>
      <c r="F34" s="240">
        <f>IF(fronttd!E36="","",fronttd!E36)</f>
        <v>37537</v>
      </c>
      <c r="G34" s="240">
        <f>IF(fronttd!F36="","",fronttd!F36)</f>
        <v>37551</v>
      </c>
      <c r="H34" s="380">
        <f>fronttd!G36</f>
        <v>6</v>
      </c>
      <c r="I34" s="380">
        <f>fronttd!H36</f>
        <v>18</v>
      </c>
      <c r="J34">
        <f t="shared" si="75"/>
        <v>24</v>
      </c>
      <c r="L34">
        <f t="shared" si="76"/>
        <v>34</v>
      </c>
      <c r="M34" s="112" t="e">
        <f t="shared" ca="1" si="36"/>
        <v>#N/A</v>
      </c>
      <c r="N34" s="112">
        <f ca="1">IF(   OR(Foglio7!GE54="", Foglio7!GE54=N33),100000,Foglio7!GE54)</f>
        <v>39447</v>
      </c>
      <c r="O34" s="238">
        <f t="shared" si="77"/>
        <v>34</v>
      </c>
      <c r="P34" s="238">
        <f t="shared" ca="1" si="37"/>
        <v>43</v>
      </c>
      <c r="Q34" s="238">
        <f t="shared" si="38"/>
        <v>34</v>
      </c>
      <c r="R34" s="112">
        <f t="shared" si="39"/>
        <v>37537</v>
      </c>
      <c r="S34" s="238">
        <f t="shared" ca="1" si="40"/>
        <v>26</v>
      </c>
      <c r="T34" s="112">
        <f t="shared" ca="1" si="86"/>
        <v>37411</v>
      </c>
      <c r="U34" s="112">
        <f t="shared" ca="1" si="87"/>
        <v>37622</v>
      </c>
      <c r="V34" s="112">
        <f t="shared" ca="1" si="88"/>
        <v>37987</v>
      </c>
      <c r="W34" s="112">
        <f t="shared" ca="1" si="89"/>
        <v>38384</v>
      </c>
      <c r="X34" s="112">
        <f t="shared" si="41"/>
        <v>37551</v>
      </c>
      <c r="Y34" s="112"/>
      <c r="Z34" s="112"/>
      <c r="AA34" s="335">
        <f t="shared" si="42"/>
        <v>37537</v>
      </c>
      <c r="AB34" s="335">
        <f t="shared" ca="1" si="90"/>
        <v>100000</v>
      </c>
      <c r="AC34" s="335">
        <f t="shared" ca="1" si="91"/>
        <v>100000</v>
      </c>
      <c r="AD34" s="335">
        <f t="shared" ca="1" si="92"/>
        <v>100000</v>
      </c>
      <c r="AE34" s="335">
        <f t="shared" ca="1" si="93"/>
        <v>100000</v>
      </c>
      <c r="AF34" s="335">
        <f t="shared" si="43"/>
        <v>37551</v>
      </c>
      <c r="AG34" s="238">
        <f>AG33</f>
        <v>22</v>
      </c>
      <c r="AH34" s="112">
        <f ca="1">AI33+1</f>
        <v>36326</v>
      </c>
      <c r="AI34" s="112">
        <f ca="1">INDIRECT(CONCATENATE("AF",AG30))</f>
        <v>36325</v>
      </c>
      <c r="AJ34" s="112">
        <f t="shared" ca="1" si="7"/>
        <v>36325</v>
      </c>
      <c r="AK34" s="112">
        <f t="shared" ca="1" si="8"/>
        <v>36325</v>
      </c>
      <c r="AL34" s="238">
        <f t="shared" ca="1" si="44"/>
        <v>0</v>
      </c>
      <c r="AM34" s="112">
        <f t="shared" ca="1" si="45"/>
        <v>100000</v>
      </c>
      <c r="AN34" s="112">
        <f t="shared" ca="1" si="84"/>
        <v>100000</v>
      </c>
      <c r="AO34" s="114">
        <f t="shared" ca="1" si="46"/>
        <v>18</v>
      </c>
      <c r="AP34" s="114">
        <f t="shared" ca="1" si="47"/>
        <v>24</v>
      </c>
      <c r="AQ34" s="112"/>
      <c r="AR34" s="238">
        <f t="shared" si="78"/>
        <v>34</v>
      </c>
      <c r="AS34" s="112"/>
      <c r="AT34" s="112"/>
      <c r="AU34" s="283">
        <f t="shared" si="79"/>
        <v>15</v>
      </c>
      <c r="AV34" s="284">
        <f t="shared" ca="1" si="48"/>
        <v>37201</v>
      </c>
      <c r="AW34" s="284">
        <f t="shared" ca="1" si="102"/>
        <v>37256</v>
      </c>
      <c r="AX34" s="285">
        <f t="shared" ca="1" si="103"/>
        <v>18</v>
      </c>
      <c r="AY34" s="285">
        <f t="shared" ca="1" si="51"/>
        <v>24</v>
      </c>
      <c r="AZ34" s="284"/>
      <c r="BA34" s="112"/>
      <c r="BB34" s="112">
        <f t="shared" ca="1" si="52"/>
        <v>39629</v>
      </c>
      <c r="BC34" s="114">
        <f t="shared" ca="1" si="53"/>
        <v>1</v>
      </c>
      <c r="BD34" s="114">
        <f t="shared" ca="1" si="80"/>
        <v>16</v>
      </c>
      <c r="BE34" s="112">
        <f t="shared" ca="1" si="54"/>
        <v>39447</v>
      </c>
      <c r="BF34" s="112"/>
      <c r="BG34" s="112"/>
      <c r="BH34" s="238">
        <f t="shared" si="81"/>
        <v>15</v>
      </c>
      <c r="BI34" s="245">
        <f t="shared" si="55"/>
        <v>37537</v>
      </c>
      <c r="BJ34" s="281">
        <f t="shared" ca="1" si="96"/>
        <v>16</v>
      </c>
      <c r="BK34" s="245">
        <f t="shared" ca="1" si="56"/>
        <v>37201</v>
      </c>
      <c r="BL34" s="245">
        <f t="shared" ca="1" si="57"/>
        <v>37201</v>
      </c>
      <c r="BM34" s="245"/>
      <c r="BN34" s="245">
        <f t="shared" ca="1" si="97"/>
        <v>37437</v>
      </c>
      <c r="BQ34" s="245"/>
      <c r="BR34" s="245"/>
      <c r="BS34" s="245"/>
      <c r="BT34" s="245"/>
      <c r="BU34" s="245"/>
      <c r="BV34" s="245"/>
      <c r="BY34" s="245"/>
      <c r="BZ34" s="245"/>
      <c r="CA34" s="245"/>
      <c r="CB34" s="245"/>
      <c r="CC34" s="245"/>
      <c r="CD34" s="245"/>
      <c r="CE34" s="245"/>
      <c r="CF34" s="245"/>
      <c r="CG34" s="245"/>
      <c r="CH34" s="245"/>
      <c r="CL34" s="112"/>
      <c r="CM34" s="112"/>
      <c r="CP34" s="112"/>
      <c r="CQ34" s="112"/>
      <c r="CR34" s="238"/>
      <c r="CS34" s="238"/>
      <c r="CT34" s="112"/>
      <c r="CU34" s="112"/>
      <c r="CV34" s="112"/>
      <c r="CW34" s="112" t="s">
        <v>224</v>
      </c>
      <c r="CX34" s="112" t="s">
        <v>225</v>
      </c>
      <c r="CY34" s="112" t="s">
        <v>226</v>
      </c>
      <c r="CZ34" s="112" t="s">
        <v>227</v>
      </c>
      <c r="DA34" s="112" t="s">
        <v>228</v>
      </c>
      <c r="DB34" s="112" t="s">
        <v>229</v>
      </c>
      <c r="DC34" s="112"/>
      <c r="DD34" s="238">
        <f t="shared" ca="1" si="10"/>
        <v>0</v>
      </c>
      <c r="DE34" s="238">
        <f t="shared" ca="1" si="108"/>
        <v>0</v>
      </c>
      <c r="DF34" s="112"/>
      <c r="DG34" s="238"/>
      <c r="DH34" s="238"/>
      <c r="DI34" s="112"/>
      <c r="DJ34" s="238"/>
      <c r="DK34" s="112">
        <f t="shared" ca="1" si="58"/>
        <v>37201</v>
      </c>
      <c r="DL34" s="278">
        <f t="shared" ca="1" si="12"/>
        <v>15</v>
      </c>
      <c r="DM34" s="245">
        <f t="shared" ref="DM34:DP34" ca="1" si="110">DM585</f>
        <v>37201</v>
      </c>
      <c r="DN34" s="245">
        <f t="shared" ca="1" si="110"/>
        <v>37256</v>
      </c>
      <c r="DO34" s="245">
        <f t="shared" ca="1" si="110"/>
        <v>4</v>
      </c>
      <c r="DP34" s="245">
        <f t="shared" ca="1" si="110"/>
        <v>24</v>
      </c>
      <c r="DQ34" s="281">
        <f t="shared" ca="1" si="14"/>
        <v>56</v>
      </c>
      <c r="DR34" s="278">
        <f t="shared" ca="1" si="15"/>
        <v>0</v>
      </c>
      <c r="DS34" s="244">
        <f t="shared" ca="1" si="60"/>
        <v>0</v>
      </c>
      <c r="DT34" s="244">
        <f t="shared" ca="1" si="61"/>
        <v>0</v>
      </c>
      <c r="DU34" s="244">
        <f t="shared" ca="1" si="18"/>
        <v>0</v>
      </c>
      <c r="DV34" s="244" t="str">
        <f t="shared" ca="1" si="19"/>
        <v>0/2 anni</v>
      </c>
      <c r="DW34" s="244"/>
      <c r="DX34" s="244">
        <f t="shared" ca="1" si="106"/>
        <v>0</v>
      </c>
      <c r="EA34" s="244">
        <f t="shared" ca="1" si="62"/>
        <v>0</v>
      </c>
      <c r="EB34" s="278">
        <f ca="1">VLOOKUP(DM34,Foglio1!$AB$31:$AN$261,13)-6+EA34</f>
        <v>87</v>
      </c>
      <c r="EC34" s="244"/>
      <c r="ED34" s="244">
        <f t="shared" ca="1" si="20"/>
        <v>0</v>
      </c>
      <c r="EE34" s="244">
        <f t="shared" ca="1" si="21"/>
        <v>0</v>
      </c>
      <c r="EF34" s="244">
        <f t="shared" ca="1" si="22"/>
        <v>0</v>
      </c>
      <c r="EG34" s="244">
        <f t="shared" ca="1" si="23"/>
        <v>0</v>
      </c>
      <c r="EH34" s="244">
        <f t="shared" ca="1" si="24"/>
        <v>0</v>
      </c>
      <c r="EI34" s="244">
        <f t="shared" ca="1" si="25"/>
        <v>0</v>
      </c>
      <c r="EJ34" s="244">
        <f t="shared" ca="1" si="26"/>
        <v>0</v>
      </c>
      <c r="EK34" s="244">
        <f t="shared" ca="1" si="27"/>
        <v>0</v>
      </c>
      <c r="EL34" s="244">
        <f t="shared" ca="1" si="28"/>
        <v>0</v>
      </c>
      <c r="EM34" s="244">
        <f t="shared" ca="1" si="29"/>
        <v>87</v>
      </c>
      <c r="EN34" s="244">
        <f t="shared" ca="1" si="30"/>
        <v>0</v>
      </c>
      <c r="EO34" s="244">
        <f t="shared" ca="1" si="31"/>
        <v>0</v>
      </c>
      <c r="EP34" s="244">
        <f t="shared" ca="1" si="32"/>
        <v>0</v>
      </c>
      <c r="EQ34" s="244">
        <f t="shared" ca="1" si="33"/>
        <v>0</v>
      </c>
      <c r="ER34" s="244"/>
      <c r="EW34" s="244">
        <v>0</v>
      </c>
      <c r="EX34" s="278">
        <f ca="1">VLOOKUP(DM34,Foglio1!$AB$31:$AN$261,13)-6+EW34</f>
        <v>87</v>
      </c>
      <c r="EY34" s="244"/>
      <c r="EZ34" s="244">
        <v>0</v>
      </c>
      <c r="FA34" s="244">
        <f t="shared" ca="1" si="63"/>
        <v>0</v>
      </c>
      <c r="FB34" s="244">
        <f t="shared" ca="1" si="64"/>
        <v>0</v>
      </c>
      <c r="FC34" s="244">
        <f t="shared" ca="1" si="65"/>
        <v>0</v>
      </c>
      <c r="FD34" s="244">
        <f t="shared" ca="1" si="66"/>
        <v>0</v>
      </c>
      <c r="FE34" s="244">
        <f t="shared" ca="1" si="67"/>
        <v>0</v>
      </c>
      <c r="FF34" s="244">
        <f t="shared" ca="1" si="68"/>
        <v>0</v>
      </c>
      <c r="FG34" s="244">
        <f t="shared" ca="1" si="69"/>
        <v>0</v>
      </c>
      <c r="FH34" s="244">
        <f t="shared" ca="1" si="70"/>
        <v>0</v>
      </c>
      <c r="FI34" s="244">
        <f t="shared" ca="1" si="71"/>
        <v>87</v>
      </c>
      <c r="FJ34" s="244">
        <f t="shared" ca="1" si="72"/>
        <v>0</v>
      </c>
      <c r="FK34" s="244">
        <f t="shared" ca="1" si="73"/>
        <v>0</v>
      </c>
      <c r="FL34" s="244">
        <f t="shared" ca="1" si="74"/>
        <v>0</v>
      </c>
      <c r="FM34" s="244">
        <f t="shared" ca="1" si="35"/>
        <v>0</v>
      </c>
      <c r="FN34" s="244"/>
    </row>
    <row r="35" spans="5:170" x14ac:dyDescent="0.25">
      <c r="E35" s="244"/>
      <c r="F35" s="240">
        <f>IF(fronttd!E37="","",fronttd!E37)</f>
        <v>37540</v>
      </c>
      <c r="G35" s="240">
        <f>IF(fronttd!F37="","",fronttd!F37)</f>
        <v>37574</v>
      </c>
      <c r="H35" s="380">
        <f>fronttd!G37</f>
        <v>8</v>
      </c>
      <c r="I35" s="380">
        <f>fronttd!H37</f>
        <v>18</v>
      </c>
      <c r="J35">
        <f t="shared" si="75"/>
        <v>24</v>
      </c>
      <c r="L35">
        <f t="shared" si="76"/>
        <v>35</v>
      </c>
      <c r="M35" s="112" t="e">
        <f t="shared" ca="1" si="36"/>
        <v>#N/A</v>
      </c>
      <c r="N35" s="112">
        <f ca="1">IF(   OR(Foglio7!GE55="", Foglio7!GE55=N34),100000,Foglio7!GE55)</f>
        <v>39539</v>
      </c>
      <c r="O35" s="238">
        <f t="shared" si="77"/>
        <v>35</v>
      </c>
      <c r="P35" s="238">
        <f t="shared" ca="1" si="37"/>
        <v>43</v>
      </c>
      <c r="Q35" s="238">
        <f t="shared" si="38"/>
        <v>35</v>
      </c>
      <c r="R35" s="112">
        <f t="shared" si="39"/>
        <v>37540</v>
      </c>
      <c r="S35" s="238">
        <f t="shared" ca="1" si="40"/>
        <v>26</v>
      </c>
      <c r="T35" s="112">
        <f t="shared" ca="1" si="86"/>
        <v>37411</v>
      </c>
      <c r="U35" s="112">
        <f t="shared" ca="1" si="87"/>
        <v>37622</v>
      </c>
      <c r="V35" s="112">
        <f t="shared" ca="1" si="88"/>
        <v>37987</v>
      </c>
      <c r="W35" s="112">
        <f t="shared" ca="1" si="89"/>
        <v>38384</v>
      </c>
      <c r="X35" s="112">
        <f t="shared" si="41"/>
        <v>37574</v>
      </c>
      <c r="Y35" s="112"/>
      <c r="Z35" s="112"/>
      <c r="AA35" s="335">
        <f t="shared" si="42"/>
        <v>37540</v>
      </c>
      <c r="AB35" s="335">
        <f t="shared" ca="1" si="90"/>
        <v>100000</v>
      </c>
      <c r="AC35" s="335">
        <f t="shared" ca="1" si="91"/>
        <v>100000</v>
      </c>
      <c r="AD35" s="335">
        <f t="shared" ca="1" si="92"/>
        <v>100000</v>
      </c>
      <c r="AE35" s="335">
        <f t="shared" ca="1" si="93"/>
        <v>100000</v>
      </c>
      <c r="AF35" s="335">
        <f t="shared" si="43"/>
        <v>37574</v>
      </c>
      <c r="AG35" s="238">
        <f>AG34+1</f>
        <v>23</v>
      </c>
      <c r="AH35" s="112">
        <f ca="1">INDIRECT(CONCATENATE("AA",AG35))</f>
        <v>36432</v>
      </c>
      <c r="AI35" s="112">
        <f ca="1">IF(            INDIRECT(CONCATENATE( "AB",AG35))&lt;100000,       INDIRECT(CONCATENATE("AB",AG35))  -1,IF(   INDIRECT(CONCATENATE("AC",AG35))&lt;100000,   INDIRECT(CONCATENATE("AC",AG35))-1,IF(   INDIRECT(CONCATENATE("AD", AG35))&lt;100000, INDIRECT(CONCATENATE("AD",AG35))-1,IF(   INDIRECT(CONCATENATE("AE",AG35))&lt;100000,  INDIRECT(CONCATENATE("AE",G35)),INDIRECT(CONCATENATE("AF",AG35))                ))))</f>
        <v>36433</v>
      </c>
      <c r="AJ35" s="112">
        <f t="shared" ca="1" si="7"/>
        <v>36433</v>
      </c>
      <c r="AK35" s="112">
        <f t="shared" ca="1" si="8"/>
        <v>36433</v>
      </c>
      <c r="AL35" s="238">
        <f t="shared" ca="1" si="44"/>
        <v>1</v>
      </c>
      <c r="AM35" s="112">
        <f t="shared" ca="1" si="45"/>
        <v>36432</v>
      </c>
      <c r="AN35" s="112">
        <f t="shared" ca="1" si="84"/>
        <v>36433</v>
      </c>
      <c r="AO35" s="114">
        <f t="shared" ca="1" si="46"/>
        <v>18</v>
      </c>
      <c r="AP35" s="114">
        <f t="shared" ca="1" si="47"/>
        <v>24</v>
      </c>
      <c r="AQ35" s="112"/>
      <c r="AR35" s="238">
        <f t="shared" si="78"/>
        <v>35</v>
      </c>
      <c r="AS35" s="112"/>
      <c r="AT35" s="112"/>
      <c r="AU35" s="283">
        <f t="shared" si="79"/>
        <v>16</v>
      </c>
      <c r="AV35" s="284">
        <f t="shared" ca="1" si="48"/>
        <v>37202</v>
      </c>
      <c r="AW35" s="284">
        <f t="shared" ca="1" si="102"/>
        <v>36321</v>
      </c>
      <c r="AX35" s="285">
        <f t="shared" ca="1" si="103"/>
        <v>18</v>
      </c>
      <c r="AY35" s="285">
        <f t="shared" ca="1" si="51"/>
        <v>24</v>
      </c>
      <c r="AZ35" s="284"/>
      <c r="BA35" s="112"/>
      <c r="BB35" s="112">
        <f t="shared" ca="1" si="52"/>
        <v>39629</v>
      </c>
      <c r="BC35" s="114">
        <f t="shared" ca="1" si="53"/>
        <v>1</v>
      </c>
      <c r="BD35" s="114">
        <f t="shared" ca="1" si="80"/>
        <v>16</v>
      </c>
      <c r="BE35" s="112">
        <f t="shared" ca="1" si="54"/>
        <v>39539</v>
      </c>
      <c r="BF35" s="112"/>
      <c r="BG35" s="112"/>
      <c r="BH35" s="238">
        <f t="shared" si="81"/>
        <v>16</v>
      </c>
      <c r="BI35" s="245">
        <f t="shared" si="55"/>
        <v>37540</v>
      </c>
      <c r="BJ35" s="281">
        <f t="shared" ca="1" si="96"/>
        <v>16</v>
      </c>
      <c r="BK35" s="245">
        <f t="shared" ca="1" si="56"/>
        <v>37202</v>
      </c>
      <c r="BL35" s="245">
        <f t="shared" ca="1" si="57"/>
        <v>37256</v>
      </c>
      <c r="BM35" s="245"/>
      <c r="BN35" s="245">
        <f t="shared" ca="1" si="97"/>
        <v>37282</v>
      </c>
      <c r="BQ35" s="245"/>
      <c r="BR35" s="245"/>
      <c r="BS35" s="245"/>
      <c r="BT35" s="245"/>
      <c r="BU35" s="245"/>
      <c r="BV35" s="245"/>
      <c r="BY35" s="245"/>
      <c r="BZ35" s="245"/>
      <c r="CA35" s="245"/>
      <c r="CB35" s="245"/>
      <c r="CC35" s="245"/>
      <c r="CD35" s="245"/>
      <c r="CE35" s="245"/>
      <c r="CF35" s="245"/>
      <c r="CG35" s="245"/>
      <c r="CH35" s="245"/>
      <c r="CL35" s="112"/>
      <c r="CM35" s="112"/>
      <c r="CP35" s="112"/>
      <c r="CQ35" s="112"/>
      <c r="CR35" s="238"/>
      <c r="CS35" s="238"/>
      <c r="CT35" s="112"/>
      <c r="CU35" s="112"/>
      <c r="CV35" s="112"/>
      <c r="CW35" s="112" t="s">
        <v>224</v>
      </c>
      <c r="CX35" s="112" t="s">
        <v>225</v>
      </c>
      <c r="CY35" s="112" t="s">
        <v>226</v>
      </c>
      <c r="CZ35" s="112" t="s">
        <v>227</v>
      </c>
      <c r="DA35" s="112" t="s">
        <v>228</v>
      </c>
      <c r="DB35" s="112" t="s">
        <v>229</v>
      </c>
      <c r="DC35" s="112"/>
      <c r="DD35" s="238">
        <f t="shared" ca="1" si="10"/>
        <v>0</v>
      </c>
      <c r="DE35" s="238">
        <f t="shared" ca="1" si="108"/>
        <v>0</v>
      </c>
      <c r="DF35" s="112"/>
      <c r="DG35" s="238"/>
      <c r="DH35" s="238"/>
      <c r="DI35" s="112"/>
      <c r="DJ35" s="238"/>
      <c r="DK35" s="112">
        <f t="shared" ca="1" si="58"/>
        <v>37202</v>
      </c>
      <c r="DL35" s="278">
        <f t="shared" ca="1" si="12"/>
        <v>16</v>
      </c>
      <c r="DM35" s="245">
        <f t="shared" ref="DM35:DP35" ca="1" si="111">DM586</f>
        <v>37202</v>
      </c>
      <c r="DN35" s="245">
        <f t="shared" ca="1" si="111"/>
        <v>37256</v>
      </c>
      <c r="DO35" s="245">
        <f t="shared" ca="1" si="111"/>
        <v>6</v>
      </c>
      <c r="DP35" s="245">
        <f t="shared" ca="1" si="111"/>
        <v>24</v>
      </c>
      <c r="DQ35" s="281">
        <f t="shared" ca="1" si="14"/>
        <v>55</v>
      </c>
      <c r="DR35" s="278">
        <f t="shared" ca="1" si="15"/>
        <v>0</v>
      </c>
      <c r="DS35" s="244">
        <f t="shared" ca="1" si="60"/>
        <v>0</v>
      </c>
      <c r="DT35" s="244">
        <f t="shared" ca="1" si="61"/>
        <v>0</v>
      </c>
      <c r="DU35" s="244">
        <f t="shared" ca="1" si="18"/>
        <v>0</v>
      </c>
      <c r="DV35" s="244" t="str">
        <f t="shared" ca="1" si="19"/>
        <v>0/2 anni</v>
      </c>
      <c r="DW35" s="244"/>
      <c r="DX35" s="244">
        <f t="shared" ca="1" si="106"/>
        <v>0</v>
      </c>
      <c r="EA35" s="244">
        <f t="shared" ca="1" si="62"/>
        <v>0</v>
      </c>
      <c r="EB35" s="278">
        <f ca="1">VLOOKUP(DM35,Foglio1!$AB$31:$AN$261,13)-6+EA35</f>
        <v>87</v>
      </c>
      <c r="EC35" s="244"/>
      <c r="ED35" s="244">
        <f t="shared" ca="1" si="20"/>
        <v>0</v>
      </c>
      <c r="EE35" s="244">
        <f t="shared" ca="1" si="21"/>
        <v>0</v>
      </c>
      <c r="EF35" s="244">
        <f t="shared" ca="1" si="22"/>
        <v>0</v>
      </c>
      <c r="EG35" s="244">
        <f t="shared" ca="1" si="23"/>
        <v>0</v>
      </c>
      <c r="EH35" s="244">
        <f t="shared" ca="1" si="24"/>
        <v>0</v>
      </c>
      <c r="EI35" s="244">
        <f t="shared" ca="1" si="25"/>
        <v>0</v>
      </c>
      <c r="EJ35" s="244">
        <f t="shared" ca="1" si="26"/>
        <v>0</v>
      </c>
      <c r="EK35" s="244">
        <f t="shared" ca="1" si="27"/>
        <v>0</v>
      </c>
      <c r="EL35" s="244">
        <f t="shared" ca="1" si="28"/>
        <v>0</v>
      </c>
      <c r="EM35" s="244">
        <f t="shared" ca="1" si="29"/>
        <v>87</v>
      </c>
      <c r="EN35" s="244">
        <f t="shared" ca="1" si="30"/>
        <v>0</v>
      </c>
      <c r="EO35" s="244">
        <f t="shared" ca="1" si="31"/>
        <v>0</v>
      </c>
      <c r="EP35" s="244">
        <f t="shared" ca="1" si="32"/>
        <v>0</v>
      </c>
      <c r="EQ35" s="244">
        <f t="shared" ca="1" si="33"/>
        <v>0</v>
      </c>
      <c r="ER35" s="244"/>
      <c r="EW35" s="244">
        <v>0</v>
      </c>
      <c r="EX35" s="278">
        <f ca="1">VLOOKUP(DM35,Foglio1!$AB$31:$AN$261,13)-6+EW35</f>
        <v>87</v>
      </c>
      <c r="EY35" s="244"/>
      <c r="EZ35" s="244">
        <v>0</v>
      </c>
      <c r="FA35" s="244">
        <f t="shared" ca="1" si="63"/>
        <v>0</v>
      </c>
      <c r="FB35" s="244">
        <f t="shared" ca="1" si="64"/>
        <v>0</v>
      </c>
      <c r="FC35" s="244">
        <f t="shared" ca="1" si="65"/>
        <v>0</v>
      </c>
      <c r="FD35" s="244">
        <f t="shared" ca="1" si="66"/>
        <v>0</v>
      </c>
      <c r="FE35" s="244">
        <f t="shared" ca="1" si="67"/>
        <v>0</v>
      </c>
      <c r="FF35" s="244">
        <f t="shared" ca="1" si="68"/>
        <v>0</v>
      </c>
      <c r="FG35" s="244">
        <f t="shared" ca="1" si="69"/>
        <v>0</v>
      </c>
      <c r="FH35" s="244">
        <f t="shared" ca="1" si="70"/>
        <v>0</v>
      </c>
      <c r="FI35" s="244">
        <f t="shared" ca="1" si="71"/>
        <v>87</v>
      </c>
      <c r="FJ35" s="244">
        <f t="shared" ca="1" si="72"/>
        <v>0</v>
      </c>
      <c r="FK35" s="244">
        <f t="shared" ca="1" si="73"/>
        <v>0</v>
      </c>
      <c r="FL35" s="244">
        <f t="shared" ca="1" si="74"/>
        <v>0</v>
      </c>
      <c r="FM35" s="244">
        <f t="shared" ca="1" si="35"/>
        <v>0</v>
      </c>
      <c r="FN35" s="244"/>
    </row>
    <row r="36" spans="5:170" x14ac:dyDescent="0.25">
      <c r="E36" s="244"/>
      <c r="F36" s="240">
        <f>IF(fronttd!E38="","",fronttd!E38)</f>
        <v>37629</v>
      </c>
      <c r="G36" s="240">
        <f>IF(fronttd!F38="","",fronttd!F38)</f>
        <v>37663</v>
      </c>
      <c r="H36" s="380">
        <f>fronttd!G38</f>
        <v>16</v>
      </c>
      <c r="I36" s="380">
        <f>fronttd!H38</f>
        <v>18</v>
      </c>
      <c r="J36">
        <f t="shared" si="75"/>
        <v>24</v>
      </c>
      <c r="L36">
        <f t="shared" si="76"/>
        <v>36</v>
      </c>
      <c r="M36" s="112" t="e">
        <f t="shared" ca="1" si="36"/>
        <v>#N/A</v>
      </c>
      <c r="N36" s="112">
        <f ca="1">IF(   OR(Foglio7!GE56="", Foglio7!GE56=N35),100000,Foglio7!GE56)</f>
        <v>39630</v>
      </c>
      <c r="O36" s="238">
        <f t="shared" si="77"/>
        <v>36</v>
      </c>
      <c r="P36" s="238">
        <f t="shared" ca="1" si="37"/>
        <v>43</v>
      </c>
      <c r="Q36" s="238">
        <f t="shared" si="38"/>
        <v>36</v>
      </c>
      <c r="R36" s="112">
        <f t="shared" si="39"/>
        <v>37629</v>
      </c>
      <c r="S36" s="238">
        <f t="shared" ca="1" si="40"/>
        <v>27</v>
      </c>
      <c r="T36" s="112">
        <f t="shared" ca="1" si="86"/>
        <v>37622</v>
      </c>
      <c r="U36" s="112">
        <f t="shared" ca="1" si="87"/>
        <v>37987</v>
      </c>
      <c r="V36" s="112">
        <f t="shared" ca="1" si="88"/>
        <v>38384</v>
      </c>
      <c r="W36" s="112">
        <f t="shared" ca="1" si="89"/>
        <v>38718</v>
      </c>
      <c r="X36" s="112">
        <f t="shared" si="41"/>
        <v>37663</v>
      </c>
      <c r="Y36" s="112"/>
      <c r="Z36" s="112"/>
      <c r="AA36" s="335">
        <f t="shared" si="42"/>
        <v>37629</v>
      </c>
      <c r="AB36" s="335">
        <f t="shared" ca="1" si="90"/>
        <v>100000</v>
      </c>
      <c r="AC36" s="335">
        <f t="shared" ca="1" si="91"/>
        <v>100000</v>
      </c>
      <c r="AD36" s="335">
        <f t="shared" ca="1" si="92"/>
        <v>100000</v>
      </c>
      <c r="AE36" s="335">
        <f t="shared" ca="1" si="93"/>
        <v>100000</v>
      </c>
      <c r="AF36" s="335">
        <f t="shared" si="43"/>
        <v>37663</v>
      </c>
      <c r="AG36" s="238">
        <f>AG35</f>
        <v>23</v>
      </c>
      <c r="AH36" s="112">
        <f ca="1">AI35+1</f>
        <v>36434</v>
      </c>
      <c r="AI36" s="112">
        <f ca="1">IF(INDIRECT(CONCATENATE("AC",AG35))&lt;100000,INDIRECT(CONCATENATE("AC",AG35))-1,IF(INDIRECT(CONCATENATE("AD",AG35))&lt;100000,INDIRECT(CONCATENATE("AD",AG35))-1,IF(INDIRECT(CONCATENATE("AE",AG35))&lt;100000,INDIRECT(CONCATENATE("AE",G35)),INDIRECT(CONCATENATE("AF",AG35)))))</f>
        <v>36433</v>
      </c>
      <c r="AJ36" s="112">
        <f t="shared" ca="1" si="7"/>
        <v>36433</v>
      </c>
      <c r="AK36" s="112">
        <f t="shared" ca="1" si="8"/>
        <v>36433</v>
      </c>
      <c r="AL36" s="238">
        <f t="shared" ca="1" si="44"/>
        <v>0</v>
      </c>
      <c r="AM36" s="112">
        <f t="shared" ca="1" si="45"/>
        <v>100000</v>
      </c>
      <c r="AN36" s="112">
        <f t="shared" ca="1" si="84"/>
        <v>100000</v>
      </c>
      <c r="AO36" s="114">
        <f t="shared" ca="1" si="46"/>
        <v>18</v>
      </c>
      <c r="AP36" s="114">
        <f t="shared" ca="1" si="47"/>
        <v>24</v>
      </c>
      <c r="AQ36" s="112"/>
      <c r="AR36" s="238">
        <f t="shared" si="78"/>
        <v>36</v>
      </c>
      <c r="AS36" s="112"/>
      <c r="AT36" s="112"/>
      <c r="AU36" s="283">
        <f t="shared" si="79"/>
        <v>17</v>
      </c>
      <c r="AV36" s="284">
        <f t="shared" ca="1" si="48"/>
        <v>37257</v>
      </c>
      <c r="AW36" s="284">
        <f t="shared" ca="1" si="102"/>
        <v>37410</v>
      </c>
      <c r="AX36" s="285">
        <f t="shared" ca="1" si="103"/>
        <v>18</v>
      </c>
      <c r="AY36" s="285">
        <f t="shared" ca="1" si="51"/>
        <v>24</v>
      </c>
      <c r="AZ36" s="284"/>
      <c r="BA36" s="112"/>
      <c r="BB36" s="112">
        <f t="shared" ca="1" si="52"/>
        <v>39629</v>
      </c>
      <c r="BC36" s="114">
        <f t="shared" ca="1" si="53"/>
        <v>0</v>
      </c>
      <c r="BD36" s="114">
        <f t="shared" ca="1" si="80"/>
        <v>16</v>
      </c>
      <c r="BE36" s="112">
        <f t="shared" ca="1" si="54"/>
        <v>100000</v>
      </c>
      <c r="BF36" s="112"/>
      <c r="BG36" s="112"/>
      <c r="BH36" s="238">
        <f t="shared" si="81"/>
        <v>17</v>
      </c>
      <c r="BI36" s="245">
        <f t="shared" si="55"/>
        <v>37629</v>
      </c>
      <c r="BJ36" s="281">
        <f t="shared" ca="1" si="96"/>
        <v>1</v>
      </c>
      <c r="BK36" s="245">
        <f t="shared" ca="1" si="56"/>
        <v>37257</v>
      </c>
      <c r="BL36" s="245">
        <f t="shared" ca="1" si="57"/>
        <v>37283</v>
      </c>
      <c r="BM36" s="245"/>
      <c r="BN36" s="245">
        <f t="shared" ca="1" si="97"/>
        <v>37282</v>
      </c>
      <c r="BQ36" s="245"/>
      <c r="BR36" s="245"/>
      <c r="BS36" s="245"/>
      <c r="BT36" s="245"/>
      <c r="BU36" s="245"/>
      <c r="BV36" s="245"/>
      <c r="BY36" s="245"/>
      <c r="BZ36" s="245"/>
      <c r="CA36" s="245"/>
      <c r="CB36" s="245"/>
      <c r="CC36" s="245"/>
      <c r="CD36" s="245"/>
      <c r="CE36" s="245"/>
      <c r="CF36" s="245"/>
      <c r="CG36" s="245"/>
      <c r="CH36" s="245"/>
      <c r="CL36" s="112"/>
      <c r="CM36" s="112"/>
      <c r="CP36" s="112"/>
      <c r="CQ36" s="112"/>
      <c r="CR36" s="238"/>
      <c r="CS36" s="238"/>
      <c r="CT36" s="112"/>
      <c r="CU36" s="112"/>
      <c r="CV36" s="112"/>
      <c r="CW36" s="112" t="s">
        <v>224</v>
      </c>
      <c r="CX36" s="112" t="s">
        <v>225</v>
      </c>
      <c r="CY36" s="112" t="s">
        <v>226</v>
      </c>
      <c r="CZ36" s="112" t="s">
        <v>227</v>
      </c>
      <c r="DA36" s="112" t="s">
        <v>228</v>
      </c>
      <c r="DB36" s="112" t="s">
        <v>229</v>
      </c>
      <c r="DC36" s="112"/>
      <c r="DD36" s="238">
        <f t="shared" ca="1" si="10"/>
        <v>0</v>
      </c>
      <c r="DE36" s="238">
        <f t="shared" ca="1" si="108"/>
        <v>0</v>
      </c>
      <c r="DF36" s="112"/>
      <c r="DG36" s="238"/>
      <c r="DH36" s="238"/>
      <c r="DI36" s="112"/>
      <c r="DJ36" s="238"/>
      <c r="DK36" s="112">
        <f t="shared" ca="1" si="58"/>
        <v>37257</v>
      </c>
      <c r="DL36" s="278">
        <f t="shared" ca="1" si="12"/>
        <v>17</v>
      </c>
      <c r="DM36" s="245">
        <f t="shared" ref="DM36:DP36" ca="1" si="112">DM587</f>
        <v>37257</v>
      </c>
      <c r="DN36" s="245">
        <f t="shared" ca="1" si="112"/>
        <v>37410</v>
      </c>
      <c r="DO36" s="245">
        <f t="shared" ca="1" si="112"/>
        <v>8</v>
      </c>
      <c r="DP36" s="245">
        <f t="shared" ca="1" si="112"/>
        <v>24</v>
      </c>
      <c r="DQ36" s="281">
        <f t="shared" ca="1" si="14"/>
        <v>154</v>
      </c>
      <c r="DR36" s="278">
        <f t="shared" ca="1" si="15"/>
        <v>0</v>
      </c>
      <c r="DS36" s="244">
        <f t="shared" ca="1" si="60"/>
        <v>0</v>
      </c>
      <c r="DT36" s="244">
        <f t="shared" ca="1" si="61"/>
        <v>0</v>
      </c>
      <c r="DU36" s="244">
        <f t="shared" ca="1" si="18"/>
        <v>0</v>
      </c>
      <c r="DV36" s="244" t="str">
        <f t="shared" ca="1" si="19"/>
        <v>0/2 anni</v>
      </c>
      <c r="DW36" s="244"/>
      <c r="DX36" s="244">
        <f t="shared" ca="1" si="106"/>
        <v>0</v>
      </c>
      <c r="EA36" s="244">
        <f t="shared" ca="1" si="62"/>
        <v>0</v>
      </c>
      <c r="EB36" s="278">
        <f ca="1">VLOOKUP(DM36,Foglio1!$AB$31:$AN$261,13)-6+EA36</f>
        <v>87</v>
      </c>
      <c r="EC36" s="244"/>
      <c r="ED36" s="244">
        <f t="shared" ca="1" si="20"/>
        <v>0</v>
      </c>
      <c r="EE36" s="244">
        <f t="shared" ca="1" si="21"/>
        <v>0</v>
      </c>
      <c r="EF36" s="244">
        <f t="shared" ca="1" si="22"/>
        <v>0</v>
      </c>
      <c r="EG36" s="244">
        <f t="shared" ca="1" si="23"/>
        <v>0</v>
      </c>
      <c r="EH36" s="244">
        <f t="shared" ca="1" si="24"/>
        <v>0</v>
      </c>
      <c r="EI36" s="244">
        <f t="shared" ca="1" si="25"/>
        <v>0</v>
      </c>
      <c r="EJ36" s="244">
        <f t="shared" ca="1" si="26"/>
        <v>0</v>
      </c>
      <c r="EK36" s="244">
        <f t="shared" ca="1" si="27"/>
        <v>0</v>
      </c>
      <c r="EL36" s="244">
        <f t="shared" ca="1" si="28"/>
        <v>0</v>
      </c>
      <c r="EM36" s="244">
        <f t="shared" ca="1" si="29"/>
        <v>87</v>
      </c>
      <c r="EN36" s="244">
        <f t="shared" ca="1" si="30"/>
        <v>0</v>
      </c>
      <c r="EO36" s="244">
        <f t="shared" ca="1" si="31"/>
        <v>0</v>
      </c>
      <c r="EP36" s="244">
        <f t="shared" ca="1" si="32"/>
        <v>0</v>
      </c>
      <c r="EQ36" s="244">
        <f t="shared" ca="1" si="33"/>
        <v>0</v>
      </c>
      <c r="ER36" s="244"/>
      <c r="EW36" s="244">
        <v>0</v>
      </c>
      <c r="EX36" s="278">
        <f ca="1">VLOOKUP(DM36,Foglio1!$AB$31:$AN$261,13)-6+EW36</f>
        <v>87</v>
      </c>
      <c r="EY36" s="244"/>
      <c r="EZ36" s="244">
        <v>0</v>
      </c>
      <c r="FA36" s="244">
        <f t="shared" ca="1" si="63"/>
        <v>0</v>
      </c>
      <c r="FB36" s="244">
        <f t="shared" ca="1" si="64"/>
        <v>0</v>
      </c>
      <c r="FC36" s="244">
        <f t="shared" ca="1" si="65"/>
        <v>0</v>
      </c>
      <c r="FD36" s="244">
        <f t="shared" ca="1" si="66"/>
        <v>0</v>
      </c>
      <c r="FE36" s="244">
        <f t="shared" ca="1" si="67"/>
        <v>0</v>
      </c>
      <c r="FF36" s="244">
        <f t="shared" ca="1" si="68"/>
        <v>0</v>
      </c>
      <c r="FG36" s="244">
        <f t="shared" ca="1" si="69"/>
        <v>0</v>
      </c>
      <c r="FH36" s="244">
        <f t="shared" ca="1" si="70"/>
        <v>0</v>
      </c>
      <c r="FI36" s="244">
        <f t="shared" ca="1" si="71"/>
        <v>87</v>
      </c>
      <c r="FJ36" s="244">
        <f t="shared" ca="1" si="72"/>
        <v>0</v>
      </c>
      <c r="FK36" s="244">
        <f t="shared" ca="1" si="73"/>
        <v>0</v>
      </c>
      <c r="FL36" s="244">
        <f t="shared" ca="1" si="74"/>
        <v>0</v>
      </c>
      <c r="FM36" s="244">
        <f t="shared" ca="1" si="35"/>
        <v>0</v>
      </c>
      <c r="FN36" s="244"/>
    </row>
    <row r="37" spans="5:170" x14ac:dyDescent="0.25">
      <c r="E37" s="244"/>
      <c r="F37" s="240">
        <f>IF(fronttd!E39="","",fronttd!E39)</f>
        <v>37644</v>
      </c>
      <c r="G37" s="240">
        <f>IF(fronttd!F39="","",fronttd!F39)</f>
        <v>37783</v>
      </c>
      <c r="H37" s="380">
        <f>fronttd!G39</f>
        <v>2</v>
      </c>
      <c r="I37" s="380">
        <f>fronttd!H39</f>
        <v>18</v>
      </c>
      <c r="J37">
        <f t="shared" si="75"/>
        <v>24</v>
      </c>
      <c r="L37">
        <f t="shared" si="76"/>
        <v>37</v>
      </c>
      <c r="M37" s="112" t="e">
        <f t="shared" ca="1" si="36"/>
        <v>#N/A</v>
      </c>
      <c r="N37" s="112">
        <f ca="1">IF(   OR(Foglio7!GE57="", Foglio7!GE57=N36),100000,Foglio7!GE57)</f>
        <v>39814</v>
      </c>
      <c r="O37" s="238">
        <f t="shared" si="77"/>
        <v>37</v>
      </c>
      <c r="P37" s="238">
        <f t="shared" ca="1" si="37"/>
        <v>44</v>
      </c>
      <c r="Q37" s="238">
        <f t="shared" si="38"/>
        <v>37</v>
      </c>
      <c r="R37" s="112">
        <f t="shared" si="39"/>
        <v>37644</v>
      </c>
      <c r="S37" s="238">
        <f t="shared" ca="1" si="40"/>
        <v>27</v>
      </c>
      <c r="T37" s="112">
        <f t="shared" ca="1" si="86"/>
        <v>37622</v>
      </c>
      <c r="U37" s="112">
        <f t="shared" ca="1" si="87"/>
        <v>37987</v>
      </c>
      <c r="V37" s="112">
        <f t="shared" ca="1" si="88"/>
        <v>38384</v>
      </c>
      <c r="W37" s="112">
        <f t="shared" ca="1" si="89"/>
        <v>38718</v>
      </c>
      <c r="X37" s="112">
        <f t="shared" si="41"/>
        <v>37783</v>
      </c>
      <c r="Y37" s="112"/>
      <c r="Z37" s="112"/>
      <c r="AA37" s="335">
        <f t="shared" si="42"/>
        <v>37644</v>
      </c>
      <c r="AB37" s="335">
        <f t="shared" ca="1" si="90"/>
        <v>100000</v>
      </c>
      <c r="AC37" s="335">
        <f t="shared" ca="1" si="91"/>
        <v>100000</v>
      </c>
      <c r="AD37" s="335">
        <f t="shared" ca="1" si="92"/>
        <v>100000</v>
      </c>
      <c r="AE37" s="335">
        <f t="shared" ca="1" si="93"/>
        <v>100000</v>
      </c>
      <c r="AF37" s="335">
        <f t="shared" si="43"/>
        <v>37783</v>
      </c>
      <c r="AG37" s="238">
        <f>AG36</f>
        <v>23</v>
      </c>
      <c r="AH37" s="112">
        <f ca="1">AI36+1</f>
        <v>36434</v>
      </c>
      <c r="AI37" s="112">
        <f ca="1">IF(INDIRECT(CONCATENATE("AD",AG35))&lt;100000,INDIRECT(CONCATENATE("AD",AG35))-1,IF(INDIRECT(CONCATENATE("AE",AG35))&lt;100000,INDIRECT(CONCATENATE("AE",G35)),INDIRECT(CONCATENATE("AF",AG35))))</f>
        <v>36433</v>
      </c>
      <c r="AJ37" s="112">
        <f t="shared" ca="1" si="7"/>
        <v>36433</v>
      </c>
      <c r="AK37" s="112">
        <f t="shared" ca="1" si="8"/>
        <v>36433</v>
      </c>
      <c r="AL37" s="238">
        <f t="shared" ca="1" si="44"/>
        <v>0</v>
      </c>
      <c r="AM37" s="112">
        <f t="shared" ca="1" si="45"/>
        <v>100000</v>
      </c>
      <c r="AN37" s="112">
        <f t="shared" ca="1" si="84"/>
        <v>100000</v>
      </c>
      <c r="AO37" s="114">
        <f t="shared" ca="1" si="46"/>
        <v>18</v>
      </c>
      <c r="AP37" s="114">
        <f t="shared" ca="1" si="47"/>
        <v>24</v>
      </c>
      <c r="AQ37" s="112"/>
      <c r="AR37" s="238">
        <f t="shared" si="78"/>
        <v>37</v>
      </c>
      <c r="AS37" s="112"/>
      <c r="AT37" s="112"/>
      <c r="AU37" s="283">
        <f t="shared" si="79"/>
        <v>18</v>
      </c>
      <c r="AV37" s="284">
        <f t="shared" ca="1" si="48"/>
        <v>37257</v>
      </c>
      <c r="AW37" s="284">
        <f t="shared" ca="1" si="102"/>
        <v>36321</v>
      </c>
      <c r="AX37" s="285">
        <f t="shared" ca="1" si="103"/>
        <v>18</v>
      </c>
      <c r="AY37" s="285">
        <f t="shared" ca="1" si="51"/>
        <v>24</v>
      </c>
      <c r="AZ37" s="284"/>
      <c r="BA37" s="112"/>
      <c r="BB37" s="112">
        <f t="shared" ca="1" si="52"/>
        <v>39994</v>
      </c>
      <c r="BC37" s="114">
        <f t="shared" ca="1" si="53"/>
        <v>1</v>
      </c>
      <c r="BD37" s="114">
        <f t="shared" ca="1" si="80"/>
        <v>16</v>
      </c>
      <c r="BE37" s="112">
        <f t="shared" ca="1" si="54"/>
        <v>39814</v>
      </c>
      <c r="BF37" s="112"/>
      <c r="BG37" s="112"/>
      <c r="BH37" s="238">
        <f t="shared" si="81"/>
        <v>18</v>
      </c>
      <c r="BI37" s="245">
        <f t="shared" si="55"/>
        <v>37644</v>
      </c>
      <c r="BJ37" s="281">
        <f t="shared" ca="1" si="96"/>
        <v>16</v>
      </c>
      <c r="BK37" s="245">
        <f t="shared" ca="1" si="56"/>
        <v>37284</v>
      </c>
      <c r="BL37" s="245">
        <f t="shared" ca="1" si="57"/>
        <v>37410</v>
      </c>
      <c r="BM37" s="245"/>
      <c r="BN37" s="245">
        <f t="shared" ca="1" si="97"/>
        <v>37437</v>
      </c>
      <c r="BQ37" s="245"/>
      <c r="BR37" s="245"/>
      <c r="BS37" s="245"/>
      <c r="BT37" s="245"/>
      <c r="BU37" s="245"/>
      <c r="BV37" s="245"/>
      <c r="BY37" s="245"/>
      <c r="BZ37" s="245"/>
      <c r="CA37" s="245"/>
      <c r="CB37" s="245"/>
      <c r="CC37" s="245"/>
      <c r="CD37" s="245"/>
      <c r="CE37" s="245"/>
      <c r="CF37" s="245"/>
      <c r="CG37" s="245"/>
      <c r="CH37" s="245"/>
      <c r="CL37" s="112"/>
      <c r="CM37" s="112"/>
      <c r="CP37" s="112"/>
      <c r="CQ37" s="112"/>
      <c r="CR37" s="238"/>
      <c r="CS37" s="238"/>
      <c r="CT37" s="112"/>
      <c r="CU37" s="112"/>
      <c r="CV37" s="112"/>
      <c r="CW37" s="112" t="s">
        <v>224</v>
      </c>
      <c r="CX37" s="112" t="s">
        <v>225</v>
      </c>
      <c r="CY37" s="112" t="s">
        <v>226</v>
      </c>
      <c r="CZ37" s="112" t="s">
        <v>227</v>
      </c>
      <c r="DA37" s="112" t="s">
        <v>228</v>
      </c>
      <c r="DB37" s="112" t="s">
        <v>229</v>
      </c>
      <c r="DC37" s="112"/>
      <c r="DD37" s="238">
        <f t="shared" ca="1" si="10"/>
        <v>0</v>
      </c>
      <c r="DE37" s="238">
        <f t="shared" ca="1" si="108"/>
        <v>0</v>
      </c>
      <c r="DF37" s="112"/>
      <c r="DG37" s="238"/>
      <c r="DH37" s="238"/>
      <c r="DI37" s="112"/>
      <c r="DJ37" s="238"/>
      <c r="DK37" s="112">
        <f t="shared" ca="1" si="58"/>
        <v>37257</v>
      </c>
      <c r="DL37" s="278">
        <f t="shared" ca="1" si="12"/>
        <v>18</v>
      </c>
      <c r="DM37" s="245">
        <f t="shared" ref="DM37:DP37" ca="1" si="113">DM588</f>
        <v>37257</v>
      </c>
      <c r="DN37" s="245">
        <f t="shared" ca="1" si="113"/>
        <v>37410</v>
      </c>
      <c r="DO37" s="245">
        <f t="shared" ca="1" si="113"/>
        <v>8</v>
      </c>
      <c r="DP37" s="245">
        <f t="shared" ca="1" si="113"/>
        <v>24</v>
      </c>
      <c r="DQ37" s="281">
        <f t="shared" ca="1" si="14"/>
        <v>154</v>
      </c>
      <c r="DR37" s="278">
        <f t="shared" ca="1" si="15"/>
        <v>0</v>
      </c>
      <c r="DS37" s="244">
        <f t="shared" ca="1" si="60"/>
        <v>0</v>
      </c>
      <c r="DT37" s="244">
        <f t="shared" ca="1" si="61"/>
        <v>0</v>
      </c>
      <c r="DU37" s="244">
        <f t="shared" ca="1" si="18"/>
        <v>0</v>
      </c>
      <c r="DV37" s="244" t="str">
        <f t="shared" ca="1" si="19"/>
        <v>0/2 anni</v>
      </c>
      <c r="DW37" s="244"/>
      <c r="DX37" s="244">
        <f t="shared" ca="1" si="106"/>
        <v>0</v>
      </c>
      <c r="EA37" s="244">
        <f t="shared" ca="1" si="62"/>
        <v>0</v>
      </c>
      <c r="EB37" s="278">
        <f ca="1">VLOOKUP(DM37,Foglio1!$AB$31:$AN$261,13)-6+EA37</f>
        <v>87</v>
      </c>
      <c r="EC37" s="244"/>
      <c r="ED37" s="244">
        <f t="shared" ca="1" si="20"/>
        <v>0</v>
      </c>
      <c r="EE37" s="244">
        <f t="shared" ca="1" si="21"/>
        <v>0</v>
      </c>
      <c r="EF37" s="244">
        <f t="shared" ca="1" si="22"/>
        <v>0</v>
      </c>
      <c r="EG37" s="244">
        <f t="shared" ca="1" si="23"/>
        <v>0</v>
      </c>
      <c r="EH37" s="244">
        <f t="shared" ca="1" si="24"/>
        <v>0</v>
      </c>
      <c r="EI37" s="244">
        <f t="shared" ca="1" si="25"/>
        <v>0</v>
      </c>
      <c r="EJ37" s="244">
        <f t="shared" ca="1" si="26"/>
        <v>0</v>
      </c>
      <c r="EK37" s="244">
        <f t="shared" ca="1" si="27"/>
        <v>0</v>
      </c>
      <c r="EL37" s="244">
        <f t="shared" ca="1" si="28"/>
        <v>0</v>
      </c>
      <c r="EM37" s="244">
        <f t="shared" ca="1" si="29"/>
        <v>87</v>
      </c>
      <c r="EN37" s="244">
        <f t="shared" ca="1" si="30"/>
        <v>0</v>
      </c>
      <c r="EO37" s="244">
        <f t="shared" ca="1" si="31"/>
        <v>0</v>
      </c>
      <c r="EP37" s="244">
        <f t="shared" ca="1" si="32"/>
        <v>0</v>
      </c>
      <c r="EQ37" s="244">
        <f t="shared" ca="1" si="33"/>
        <v>0</v>
      </c>
      <c r="ER37" s="244"/>
      <c r="EW37" s="244">
        <v>0</v>
      </c>
      <c r="EX37" s="278">
        <f ca="1">VLOOKUP(DM37,Foglio1!$AB$31:$AN$261,13)-6+EW37</f>
        <v>87</v>
      </c>
      <c r="EY37" s="244"/>
      <c r="EZ37" s="244">
        <v>0</v>
      </c>
      <c r="FA37" s="244">
        <f t="shared" ca="1" si="63"/>
        <v>0</v>
      </c>
      <c r="FB37" s="244">
        <f t="shared" ca="1" si="64"/>
        <v>0</v>
      </c>
      <c r="FC37" s="244">
        <f t="shared" ca="1" si="65"/>
        <v>0</v>
      </c>
      <c r="FD37" s="244">
        <f t="shared" ca="1" si="66"/>
        <v>0</v>
      </c>
      <c r="FE37" s="244">
        <f t="shared" ca="1" si="67"/>
        <v>0</v>
      </c>
      <c r="FF37" s="244">
        <f t="shared" ca="1" si="68"/>
        <v>0</v>
      </c>
      <c r="FG37" s="244">
        <f t="shared" ca="1" si="69"/>
        <v>0</v>
      </c>
      <c r="FH37" s="244">
        <f t="shared" ca="1" si="70"/>
        <v>0</v>
      </c>
      <c r="FI37" s="244">
        <f t="shared" ca="1" si="71"/>
        <v>87</v>
      </c>
      <c r="FJ37" s="244">
        <f t="shared" ca="1" si="72"/>
        <v>0</v>
      </c>
      <c r="FK37" s="244">
        <f t="shared" ca="1" si="73"/>
        <v>0</v>
      </c>
      <c r="FL37" s="244">
        <f t="shared" ca="1" si="74"/>
        <v>0</v>
      </c>
      <c r="FM37" s="244">
        <f t="shared" ca="1" si="35"/>
        <v>0</v>
      </c>
      <c r="FN37" s="244"/>
    </row>
    <row r="38" spans="5:170" x14ac:dyDescent="0.25">
      <c r="E38" s="244"/>
      <c r="F38" s="240">
        <f>IF(fronttd!E40="","",fronttd!E40)</f>
        <v>37673</v>
      </c>
      <c r="G38" s="240">
        <f>IF(fronttd!F40="","",fronttd!F40)</f>
        <v>37786</v>
      </c>
      <c r="H38" s="380">
        <f>fronttd!G40</f>
        <v>16</v>
      </c>
      <c r="I38" s="380">
        <f>fronttd!H40</f>
        <v>18</v>
      </c>
      <c r="J38">
        <f t="shared" si="75"/>
        <v>24</v>
      </c>
      <c r="L38">
        <f t="shared" si="76"/>
        <v>38</v>
      </c>
      <c r="M38" s="112" t="e">
        <f t="shared" ca="1" si="36"/>
        <v>#N/A</v>
      </c>
      <c r="N38" s="112">
        <f ca="1">IF(   OR(Foglio7!GE58="", Foglio7!GE58=N37),100000,Foglio7!GE58)</f>
        <v>40171</v>
      </c>
      <c r="O38" s="238">
        <f t="shared" si="77"/>
        <v>38</v>
      </c>
      <c r="P38" s="238">
        <f t="shared" ca="1" si="37"/>
        <v>46</v>
      </c>
      <c r="Q38" s="238">
        <f t="shared" si="38"/>
        <v>38</v>
      </c>
      <c r="R38" s="112">
        <f t="shared" si="39"/>
        <v>37673</v>
      </c>
      <c r="S38" s="238">
        <f t="shared" ca="1" si="40"/>
        <v>27</v>
      </c>
      <c r="T38" s="112">
        <f t="shared" ca="1" si="86"/>
        <v>37622</v>
      </c>
      <c r="U38" s="112">
        <f t="shared" ca="1" si="87"/>
        <v>37987</v>
      </c>
      <c r="V38" s="112">
        <f t="shared" ca="1" si="88"/>
        <v>38384</v>
      </c>
      <c r="W38" s="112">
        <f t="shared" ca="1" si="89"/>
        <v>38718</v>
      </c>
      <c r="X38" s="112">
        <f t="shared" si="41"/>
        <v>37786</v>
      </c>
      <c r="Y38" s="112"/>
      <c r="Z38" s="112"/>
      <c r="AA38" s="335">
        <f t="shared" si="42"/>
        <v>37673</v>
      </c>
      <c r="AB38" s="335">
        <f t="shared" ca="1" si="90"/>
        <v>100000</v>
      </c>
      <c r="AC38" s="335">
        <f t="shared" ca="1" si="91"/>
        <v>100000</v>
      </c>
      <c r="AD38" s="335">
        <f t="shared" ca="1" si="92"/>
        <v>100000</v>
      </c>
      <c r="AE38" s="335">
        <f t="shared" ca="1" si="93"/>
        <v>100000</v>
      </c>
      <c r="AF38" s="335">
        <f t="shared" si="43"/>
        <v>37786</v>
      </c>
      <c r="AG38" s="238">
        <f>AG37</f>
        <v>23</v>
      </c>
      <c r="AH38" s="112">
        <f ca="1">AI37+1</f>
        <v>36434</v>
      </c>
      <c r="AI38" s="112">
        <f ca="1">IF(INDIRECT(CONCATENATE("AE",AG35))&lt;100000,INDIRECT(CONCATENATE("AE",G35)),INDIRECT(CONCATENATE("AF",AG35)))</f>
        <v>36433</v>
      </c>
      <c r="AJ38" s="112">
        <f t="shared" ca="1" si="7"/>
        <v>36433</v>
      </c>
      <c r="AK38" s="112">
        <f t="shared" ca="1" si="8"/>
        <v>36433</v>
      </c>
      <c r="AL38" s="238">
        <f t="shared" ca="1" si="44"/>
        <v>0</v>
      </c>
      <c r="AM38" s="112">
        <f t="shared" ca="1" si="45"/>
        <v>100000</v>
      </c>
      <c r="AN38" s="112">
        <f t="shared" ca="1" si="84"/>
        <v>100000</v>
      </c>
      <c r="AO38" s="114">
        <f t="shared" ca="1" si="46"/>
        <v>18</v>
      </c>
      <c r="AP38" s="114">
        <f t="shared" ca="1" si="47"/>
        <v>24</v>
      </c>
      <c r="AQ38" s="112"/>
      <c r="AR38" s="238">
        <f t="shared" si="78"/>
        <v>38</v>
      </c>
      <c r="AS38" s="112"/>
      <c r="AT38" s="112"/>
      <c r="AU38" s="283">
        <f t="shared" si="79"/>
        <v>19</v>
      </c>
      <c r="AV38" s="242">
        <f t="shared" ca="1" si="48"/>
        <v>37257</v>
      </c>
      <c r="AW38" s="242">
        <f t="shared" ca="1" si="102"/>
        <v>37410</v>
      </c>
      <c r="AX38" s="285">
        <f t="shared" ca="1" si="103"/>
        <v>18</v>
      </c>
      <c r="AY38" s="285">
        <f t="shared" ca="1" si="51"/>
        <v>24</v>
      </c>
      <c r="AZ38" s="284"/>
      <c r="BA38" s="112"/>
      <c r="BB38" s="112">
        <f t="shared" ca="1" si="52"/>
        <v>40421</v>
      </c>
      <c r="BC38" s="114">
        <f t="shared" ca="1" si="53"/>
        <v>1</v>
      </c>
      <c r="BD38" s="114">
        <f t="shared" ca="1" si="80"/>
        <v>16</v>
      </c>
      <c r="BE38" s="112">
        <f t="shared" ca="1" si="54"/>
        <v>40171</v>
      </c>
      <c r="BF38" s="112"/>
      <c r="BG38" s="112"/>
      <c r="BH38" s="238">
        <f t="shared" si="81"/>
        <v>19</v>
      </c>
      <c r="BI38" s="245">
        <f t="shared" si="55"/>
        <v>37673</v>
      </c>
      <c r="BJ38" s="281">
        <f t="shared" ca="1" si="96"/>
        <v>1</v>
      </c>
      <c r="BK38" s="245">
        <f t="shared" ca="1" si="56"/>
        <v>37411</v>
      </c>
      <c r="BL38" s="245">
        <f t="shared" ca="1" si="57"/>
        <v>37536</v>
      </c>
      <c r="BM38" s="245"/>
      <c r="BN38" s="245">
        <f t="shared" ca="1" si="97"/>
        <v>37437</v>
      </c>
      <c r="BQ38" s="245"/>
      <c r="BR38" s="245"/>
      <c r="BS38" s="245"/>
      <c r="BT38" s="245"/>
      <c r="BU38" s="245"/>
      <c r="BV38" s="245"/>
      <c r="BY38" s="245"/>
      <c r="BZ38" s="245"/>
      <c r="CA38" s="245"/>
      <c r="CB38" s="245"/>
      <c r="CC38" s="245"/>
      <c r="CD38" s="245"/>
      <c r="CE38" s="245"/>
      <c r="CF38" s="245"/>
      <c r="CG38" s="245"/>
      <c r="CH38" s="245"/>
      <c r="CL38" s="112"/>
      <c r="CM38" s="112"/>
      <c r="CP38" s="112"/>
      <c r="CQ38" s="112"/>
      <c r="CR38" s="238"/>
      <c r="CS38" s="238"/>
      <c r="CT38" s="112"/>
      <c r="CU38" s="112"/>
      <c r="CV38" s="112"/>
      <c r="CW38" s="112" t="s">
        <v>224</v>
      </c>
      <c r="CX38" s="112" t="s">
        <v>225</v>
      </c>
      <c r="CY38" s="112" t="s">
        <v>226</v>
      </c>
      <c r="CZ38" s="112" t="s">
        <v>227</v>
      </c>
      <c r="DA38" s="112" t="s">
        <v>228</v>
      </c>
      <c r="DB38" s="112" t="s">
        <v>229</v>
      </c>
      <c r="DC38" s="112"/>
      <c r="DD38" s="238">
        <f t="shared" ca="1" si="10"/>
        <v>0</v>
      </c>
      <c r="DE38" s="238">
        <f t="shared" ca="1" si="108"/>
        <v>0</v>
      </c>
      <c r="DF38" s="112"/>
      <c r="DG38" s="238"/>
      <c r="DH38" s="238"/>
      <c r="DI38" s="112"/>
      <c r="DJ38" s="238"/>
      <c r="DK38" s="112">
        <f t="shared" ca="1" si="58"/>
        <v>37257</v>
      </c>
      <c r="DL38" s="278">
        <f t="shared" ca="1" si="12"/>
        <v>19</v>
      </c>
      <c r="DM38" s="245">
        <f t="shared" ref="DM38:DP38" ca="1" si="114">DM589</f>
        <v>37257</v>
      </c>
      <c r="DN38" s="245">
        <f t="shared" ca="1" si="114"/>
        <v>37410</v>
      </c>
      <c r="DO38" s="245">
        <f t="shared" ca="1" si="114"/>
        <v>8</v>
      </c>
      <c r="DP38" s="245">
        <f t="shared" ca="1" si="114"/>
        <v>24</v>
      </c>
      <c r="DQ38" s="281">
        <f t="shared" ca="1" si="14"/>
        <v>154</v>
      </c>
      <c r="DR38" s="278">
        <f t="shared" ca="1" si="15"/>
        <v>0</v>
      </c>
      <c r="DS38" s="244">
        <f t="shared" ca="1" si="60"/>
        <v>0</v>
      </c>
      <c r="DT38" s="244">
        <f t="shared" ca="1" si="61"/>
        <v>0</v>
      </c>
      <c r="DU38" s="244">
        <f t="shared" ca="1" si="18"/>
        <v>0</v>
      </c>
      <c r="DV38" s="244" t="str">
        <f t="shared" ca="1" si="19"/>
        <v>0/2 anni</v>
      </c>
      <c r="DW38" s="244"/>
      <c r="DX38" s="244">
        <f t="shared" ca="1" si="106"/>
        <v>0</v>
      </c>
      <c r="EA38" s="244">
        <f t="shared" ca="1" si="62"/>
        <v>0</v>
      </c>
      <c r="EB38" s="278">
        <f ca="1">VLOOKUP(DM38,Foglio1!$AB$31:$AN$261,13)-6+EA38</f>
        <v>87</v>
      </c>
      <c r="EC38" s="244"/>
      <c r="ED38" s="244">
        <f t="shared" ca="1" si="20"/>
        <v>0</v>
      </c>
      <c r="EE38" s="244">
        <f t="shared" ca="1" si="21"/>
        <v>0</v>
      </c>
      <c r="EF38" s="244">
        <f t="shared" ca="1" si="22"/>
        <v>0</v>
      </c>
      <c r="EG38" s="244">
        <f t="shared" ca="1" si="23"/>
        <v>0</v>
      </c>
      <c r="EH38" s="244">
        <f t="shared" ca="1" si="24"/>
        <v>0</v>
      </c>
      <c r="EI38" s="244">
        <f t="shared" ca="1" si="25"/>
        <v>0</v>
      </c>
      <c r="EJ38" s="244">
        <f t="shared" ca="1" si="26"/>
        <v>0</v>
      </c>
      <c r="EK38" s="244">
        <f t="shared" ca="1" si="27"/>
        <v>0</v>
      </c>
      <c r="EL38" s="244">
        <f t="shared" ca="1" si="28"/>
        <v>0</v>
      </c>
      <c r="EM38" s="244">
        <f t="shared" ca="1" si="29"/>
        <v>87</v>
      </c>
      <c r="EN38" s="244">
        <f t="shared" ca="1" si="30"/>
        <v>0</v>
      </c>
      <c r="EO38" s="244">
        <f t="shared" ca="1" si="31"/>
        <v>0</v>
      </c>
      <c r="EP38" s="244">
        <f t="shared" ca="1" si="32"/>
        <v>0</v>
      </c>
      <c r="EQ38" s="244">
        <f t="shared" ca="1" si="33"/>
        <v>0</v>
      </c>
      <c r="ER38" s="244"/>
      <c r="EW38" s="244">
        <v>0</v>
      </c>
      <c r="EX38" s="278">
        <f ca="1">VLOOKUP(DM38,Foglio1!$AB$31:$AN$261,13)-6+EW38</f>
        <v>87</v>
      </c>
      <c r="EY38" s="244"/>
      <c r="EZ38" s="244">
        <v>0</v>
      </c>
      <c r="FA38" s="244">
        <f t="shared" ca="1" si="63"/>
        <v>0</v>
      </c>
      <c r="FB38" s="244">
        <f t="shared" ca="1" si="64"/>
        <v>0</v>
      </c>
      <c r="FC38" s="244">
        <f t="shared" ca="1" si="65"/>
        <v>0</v>
      </c>
      <c r="FD38" s="244">
        <f t="shared" ca="1" si="66"/>
        <v>0</v>
      </c>
      <c r="FE38" s="244">
        <f t="shared" ca="1" si="67"/>
        <v>0</v>
      </c>
      <c r="FF38" s="244">
        <f t="shared" ca="1" si="68"/>
        <v>0</v>
      </c>
      <c r="FG38" s="244">
        <f t="shared" ca="1" si="69"/>
        <v>0</v>
      </c>
      <c r="FH38" s="244">
        <f t="shared" ca="1" si="70"/>
        <v>0</v>
      </c>
      <c r="FI38" s="244">
        <f t="shared" ca="1" si="71"/>
        <v>87</v>
      </c>
      <c r="FJ38" s="244">
        <f t="shared" ca="1" si="72"/>
        <v>0</v>
      </c>
      <c r="FK38" s="244">
        <f t="shared" ca="1" si="73"/>
        <v>0</v>
      </c>
      <c r="FL38" s="244">
        <f t="shared" ca="1" si="74"/>
        <v>0</v>
      </c>
      <c r="FM38" s="244">
        <f t="shared" ca="1" si="35"/>
        <v>0</v>
      </c>
      <c r="FN38" s="244"/>
    </row>
    <row r="39" spans="5:170" x14ac:dyDescent="0.25">
      <c r="E39" s="244"/>
      <c r="F39" s="240">
        <f>IF(fronttd!E41="","",fronttd!E41)</f>
        <v>37865</v>
      </c>
      <c r="G39" s="240">
        <f>IF(fronttd!F41="","",fronttd!F41)</f>
        <v>38168</v>
      </c>
      <c r="H39" s="380">
        <f>fronttd!G41</f>
        <v>18</v>
      </c>
      <c r="I39" s="380">
        <f>fronttd!H41</f>
        <v>18</v>
      </c>
      <c r="J39">
        <f t="shared" si="75"/>
        <v>24</v>
      </c>
      <c r="L39">
        <f t="shared" si="76"/>
        <v>39</v>
      </c>
      <c r="M39" s="112" t="e">
        <f t="shared" ca="1" si="36"/>
        <v>#N/A</v>
      </c>
      <c r="N39" s="112">
        <f ca="1">IF(   OR(Foglio7!GE59="", Foglio7!GE59=N38),100000,Foglio7!GE59)</f>
        <v>100000</v>
      </c>
      <c r="O39" s="238">
        <f t="shared" si="77"/>
        <v>39</v>
      </c>
      <c r="P39" s="238">
        <f t="shared" ca="1" si="37"/>
        <v>63</v>
      </c>
      <c r="Q39" s="238">
        <f t="shared" si="38"/>
        <v>39</v>
      </c>
      <c r="R39" s="112">
        <f t="shared" si="39"/>
        <v>37865</v>
      </c>
      <c r="S39" s="238">
        <f t="shared" ca="1" si="40"/>
        <v>27</v>
      </c>
      <c r="T39" s="112">
        <f t="shared" ca="1" si="86"/>
        <v>37622</v>
      </c>
      <c r="U39" s="112">
        <f t="shared" ca="1" si="87"/>
        <v>37987</v>
      </c>
      <c r="V39" s="112">
        <f t="shared" ca="1" si="88"/>
        <v>38384</v>
      </c>
      <c r="W39" s="112">
        <f t="shared" ca="1" si="89"/>
        <v>38718</v>
      </c>
      <c r="X39" s="112">
        <f t="shared" si="41"/>
        <v>38168</v>
      </c>
      <c r="Y39" s="112"/>
      <c r="Z39" s="112"/>
      <c r="AA39" s="335">
        <f t="shared" si="42"/>
        <v>37865</v>
      </c>
      <c r="AB39" s="335">
        <f t="shared" ca="1" si="90"/>
        <v>100000</v>
      </c>
      <c r="AC39" s="335">
        <f t="shared" ca="1" si="91"/>
        <v>37987</v>
      </c>
      <c r="AD39" s="335">
        <f t="shared" ca="1" si="92"/>
        <v>100000</v>
      </c>
      <c r="AE39" s="335">
        <f t="shared" ca="1" si="93"/>
        <v>100000</v>
      </c>
      <c r="AF39" s="335">
        <f t="shared" si="43"/>
        <v>38168</v>
      </c>
      <c r="AG39" s="238">
        <f>AG38</f>
        <v>23</v>
      </c>
      <c r="AH39" s="112">
        <f ca="1">AI38+1</f>
        <v>36434</v>
      </c>
      <c r="AI39" s="112">
        <f ca="1">INDIRECT(CONCATENATE("AF",AG35))</f>
        <v>36433</v>
      </c>
      <c r="AJ39" s="112">
        <f t="shared" ca="1" si="7"/>
        <v>36433</v>
      </c>
      <c r="AK39" s="112">
        <f t="shared" ca="1" si="8"/>
        <v>36433</v>
      </c>
      <c r="AL39" s="238">
        <f t="shared" ca="1" si="44"/>
        <v>0</v>
      </c>
      <c r="AM39" s="112">
        <f t="shared" ca="1" si="45"/>
        <v>100000</v>
      </c>
      <c r="AN39" s="112">
        <f t="shared" ca="1" si="84"/>
        <v>100000</v>
      </c>
      <c r="AO39" s="114">
        <f t="shared" ca="1" si="46"/>
        <v>18</v>
      </c>
      <c r="AP39" s="114">
        <f t="shared" ca="1" si="47"/>
        <v>24</v>
      </c>
      <c r="AQ39" s="112"/>
      <c r="AR39" s="238">
        <f t="shared" si="78"/>
        <v>39</v>
      </c>
      <c r="AS39" s="112"/>
      <c r="AT39" s="112"/>
      <c r="AU39" s="283">
        <f t="shared" si="79"/>
        <v>20</v>
      </c>
      <c r="AV39" s="284">
        <f t="shared" ca="1" si="48"/>
        <v>37284</v>
      </c>
      <c r="AW39" s="284">
        <f t="shared" ca="1" si="102"/>
        <v>36321</v>
      </c>
      <c r="AX39" s="285">
        <f t="shared" ca="1" si="103"/>
        <v>18</v>
      </c>
      <c r="AY39" s="285">
        <f t="shared" ca="1" si="51"/>
        <v>24</v>
      </c>
      <c r="AZ39" s="284"/>
      <c r="BA39" s="112"/>
      <c r="BB39" s="112">
        <f t="shared" ca="1" si="52"/>
        <v>44804</v>
      </c>
      <c r="BC39" s="114">
        <f t="shared" ca="1" si="53"/>
        <v>0</v>
      </c>
      <c r="BD39" s="114">
        <f t="shared" ca="1" si="80"/>
        <v>16</v>
      </c>
      <c r="BE39" s="112">
        <f t="shared" ca="1" si="54"/>
        <v>100000</v>
      </c>
      <c r="BF39" s="112"/>
      <c r="BG39" s="112"/>
      <c r="BH39" s="238">
        <f t="shared" si="81"/>
        <v>20</v>
      </c>
      <c r="BI39" s="245">
        <f t="shared" si="55"/>
        <v>37865</v>
      </c>
      <c r="BJ39" s="281">
        <f t="shared" ca="1" si="96"/>
        <v>16</v>
      </c>
      <c r="BK39" s="245">
        <f t="shared" ca="1" si="56"/>
        <v>37537</v>
      </c>
      <c r="BL39" s="245">
        <f t="shared" ca="1" si="57"/>
        <v>37539</v>
      </c>
      <c r="BM39" s="245"/>
      <c r="BN39" s="245">
        <f t="shared" ca="1" si="97"/>
        <v>37551</v>
      </c>
      <c r="BQ39" s="245"/>
      <c r="BR39" s="245"/>
      <c r="BS39" s="245"/>
      <c r="BT39" s="245"/>
      <c r="BU39" s="245"/>
      <c r="BV39" s="245"/>
      <c r="BY39" s="245"/>
      <c r="BZ39" s="245"/>
      <c r="CA39" s="245"/>
      <c r="CB39" s="245"/>
      <c r="CC39" s="245"/>
      <c r="CD39" s="245"/>
      <c r="CE39" s="245"/>
      <c r="CF39" s="245"/>
      <c r="CG39" s="245"/>
      <c r="CH39" s="245"/>
      <c r="CL39" s="112"/>
      <c r="CM39" s="112"/>
      <c r="CP39" s="112"/>
      <c r="CQ39" s="112"/>
      <c r="CR39" s="238"/>
      <c r="CS39" s="238"/>
      <c r="CT39" s="112"/>
      <c r="CU39" s="112"/>
      <c r="CV39" s="112"/>
      <c r="CW39" s="112" t="s">
        <v>224</v>
      </c>
      <c r="CX39" s="112" t="s">
        <v>225</v>
      </c>
      <c r="CY39" s="112" t="s">
        <v>226</v>
      </c>
      <c r="CZ39" s="112" t="s">
        <v>227</v>
      </c>
      <c r="DA39" s="112" t="s">
        <v>228</v>
      </c>
      <c r="DB39" s="112" t="s">
        <v>229</v>
      </c>
      <c r="DC39" s="112"/>
      <c r="DD39" s="238">
        <f ca="1">IF(AND(DM39&lt;$DJ$19,DN39&gt;$DJ$19),$DJ$19-DM39,0)</f>
        <v>0</v>
      </c>
      <c r="DE39" s="238">
        <f t="shared" ca="1" si="108"/>
        <v>0</v>
      </c>
      <c r="DF39" s="112"/>
      <c r="DG39" s="238"/>
      <c r="DH39" s="238"/>
      <c r="DI39" s="112"/>
      <c r="DJ39" s="238"/>
      <c r="DK39" s="112">
        <f t="shared" ca="1" si="58"/>
        <v>37284</v>
      </c>
      <c r="DL39" s="278">
        <f t="shared" ca="1" si="12"/>
        <v>20</v>
      </c>
      <c r="DM39" s="245">
        <f t="shared" ref="DM39:DP39" ca="1" si="115">DM590</f>
        <v>37284</v>
      </c>
      <c r="DN39" s="245">
        <f t="shared" ca="1" si="115"/>
        <v>37410</v>
      </c>
      <c r="DO39" s="245">
        <f t="shared" ca="1" si="115"/>
        <v>5</v>
      </c>
      <c r="DP39" s="245">
        <f t="shared" ca="1" si="115"/>
        <v>24</v>
      </c>
      <c r="DQ39" s="281">
        <f t="shared" ca="1" si="14"/>
        <v>127</v>
      </c>
      <c r="DR39" s="278">
        <f t="shared" ca="1" si="15"/>
        <v>0</v>
      </c>
      <c r="DS39" s="244">
        <f t="shared" ca="1" si="60"/>
        <v>0</v>
      </c>
      <c r="DT39" s="244">
        <f t="shared" ca="1" si="61"/>
        <v>0</v>
      </c>
      <c r="DU39" s="244">
        <f t="shared" ca="1" si="18"/>
        <v>0</v>
      </c>
      <c r="DV39" s="244" t="str">
        <f t="shared" ca="1" si="19"/>
        <v>0/2 anni</v>
      </c>
      <c r="DW39" s="244"/>
      <c r="DX39" s="244">
        <f t="shared" ca="1" si="106"/>
        <v>0</v>
      </c>
      <c r="EA39" s="244">
        <f t="shared" ca="1" si="62"/>
        <v>0</v>
      </c>
      <c r="EB39" s="278">
        <f ca="1">VLOOKUP(DM39,Foglio1!$AB$31:$AN$261,13)-6+EA39</f>
        <v>87</v>
      </c>
      <c r="EC39" s="244"/>
      <c r="ED39" s="244">
        <f t="shared" ca="1" si="20"/>
        <v>0</v>
      </c>
      <c r="EE39" s="244">
        <f t="shared" ca="1" si="21"/>
        <v>0</v>
      </c>
      <c r="EF39" s="244">
        <f t="shared" ca="1" si="22"/>
        <v>0</v>
      </c>
      <c r="EG39" s="244">
        <f t="shared" ca="1" si="23"/>
        <v>0</v>
      </c>
      <c r="EH39" s="244">
        <f t="shared" ca="1" si="24"/>
        <v>0</v>
      </c>
      <c r="EI39" s="244">
        <f t="shared" ca="1" si="25"/>
        <v>0</v>
      </c>
      <c r="EJ39" s="244">
        <f t="shared" ca="1" si="26"/>
        <v>0</v>
      </c>
      <c r="EK39" s="244">
        <f t="shared" ca="1" si="27"/>
        <v>0</v>
      </c>
      <c r="EL39" s="244">
        <f t="shared" ca="1" si="28"/>
        <v>0</v>
      </c>
      <c r="EM39" s="244">
        <f t="shared" ca="1" si="29"/>
        <v>87</v>
      </c>
      <c r="EN39" s="244">
        <f t="shared" ca="1" si="30"/>
        <v>0</v>
      </c>
      <c r="EO39" s="244">
        <f t="shared" ca="1" si="31"/>
        <v>0</v>
      </c>
      <c r="EP39" s="244">
        <f t="shared" ca="1" si="32"/>
        <v>0</v>
      </c>
      <c r="EQ39" s="244">
        <f t="shared" ca="1" si="33"/>
        <v>0</v>
      </c>
      <c r="ER39" s="244"/>
      <c r="EW39" s="244">
        <v>0</v>
      </c>
      <c r="EX39" s="278">
        <f ca="1">VLOOKUP(DM39,Foglio1!$AB$31:$AN$261,13)-6+EW39</f>
        <v>87</v>
      </c>
      <c r="EY39" s="244"/>
      <c r="EZ39" s="244">
        <v>0</v>
      </c>
      <c r="FA39" s="244">
        <f t="shared" ca="1" si="63"/>
        <v>0</v>
      </c>
      <c r="FB39" s="244">
        <f t="shared" ca="1" si="64"/>
        <v>0</v>
      </c>
      <c r="FC39" s="244">
        <f t="shared" ca="1" si="65"/>
        <v>0</v>
      </c>
      <c r="FD39" s="244">
        <f t="shared" ca="1" si="66"/>
        <v>0</v>
      </c>
      <c r="FE39" s="244">
        <f t="shared" ca="1" si="67"/>
        <v>0</v>
      </c>
      <c r="FF39" s="244">
        <f t="shared" ca="1" si="68"/>
        <v>0</v>
      </c>
      <c r="FG39" s="244">
        <f t="shared" ca="1" si="69"/>
        <v>0</v>
      </c>
      <c r="FH39" s="244">
        <f t="shared" ca="1" si="70"/>
        <v>0</v>
      </c>
      <c r="FI39" s="244">
        <f t="shared" ca="1" si="71"/>
        <v>87</v>
      </c>
      <c r="FJ39" s="244">
        <f t="shared" ca="1" si="72"/>
        <v>0</v>
      </c>
      <c r="FK39" s="244">
        <f t="shared" ca="1" si="73"/>
        <v>0</v>
      </c>
      <c r="FL39" s="244">
        <f t="shared" ca="1" si="74"/>
        <v>0</v>
      </c>
      <c r="FM39" s="244">
        <f t="shared" ca="1" si="35"/>
        <v>0</v>
      </c>
      <c r="FN39" s="244"/>
    </row>
    <row r="40" spans="5:170" x14ac:dyDescent="0.25">
      <c r="E40" s="244"/>
      <c r="F40" s="240">
        <f>IF(fronttd!E42="","",fronttd!E42)</f>
        <v>38231</v>
      </c>
      <c r="G40" s="240">
        <f>IF(fronttd!F42="","",fronttd!F42)</f>
        <v>38551</v>
      </c>
      <c r="H40" s="380">
        <f>fronttd!G42</f>
        <v>18</v>
      </c>
      <c r="I40" s="380">
        <f>fronttd!H42</f>
        <v>18</v>
      </c>
      <c r="J40">
        <f t="shared" si="75"/>
        <v>24</v>
      </c>
      <c r="L40">
        <f t="shared" si="76"/>
        <v>40</v>
      </c>
      <c r="M40" s="112" t="e">
        <f t="shared" ca="1" si="36"/>
        <v>#N/A</v>
      </c>
      <c r="N40" s="112">
        <f ca="1">IF(   OR(Foglio7!GE60="", Foglio7!GE60=N39),100000,Foglio7!GE60)</f>
        <v>40360</v>
      </c>
      <c r="O40" s="238">
        <f t="shared" si="77"/>
        <v>40</v>
      </c>
      <c r="P40" s="238">
        <f t="shared" ca="1" si="37"/>
        <v>46</v>
      </c>
      <c r="Q40" s="238">
        <f t="shared" si="38"/>
        <v>40</v>
      </c>
      <c r="R40" s="112">
        <f t="shared" si="39"/>
        <v>38231</v>
      </c>
      <c r="S40" s="238">
        <f t="shared" ca="1" si="40"/>
        <v>28</v>
      </c>
      <c r="T40" s="112">
        <f t="shared" ca="1" si="86"/>
        <v>37987</v>
      </c>
      <c r="U40" s="112">
        <f t="shared" ca="1" si="87"/>
        <v>38384</v>
      </c>
      <c r="V40" s="112">
        <f t="shared" ca="1" si="88"/>
        <v>38718</v>
      </c>
      <c r="W40" s="112">
        <f t="shared" ca="1" si="89"/>
        <v>39083</v>
      </c>
      <c r="X40" s="112">
        <f t="shared" si="41"/>
        <v>38551</v>
      </c>
      <c r="Y40" s="112"/>
      <c r="Z40" s="112"/>
      <c r="AA40" s="335">
        <f t="shared" si="42"/>
        <v>38231</v>
      </c>
      <c r="AB40" s="335">
        <f t="shared" ca="1" si="90"/>
        <v>100000</v>
      </c>
      <c r="AC40" s="335">
        <f t="shared" ca="1" si="91"/>
        <v>38384</v>
      </c>
      <c r="AD40" s="335">
        <f t="shared" ca="1" si="92"/>
        <v>100000</v>
      </c>
      <c r="AE40" s="335">
        <f t="shared" ca="1" si="93"/>
        <v>100000</v>
      </c>
      <c r="AF40" s="335">
        <f t="shared" si="43"/>
        <v>38551</v>
      </c>
      <c r="AG40" s="238">
        <f>AG39+1</f>
        <v>24</v>
      </c>
      <c r="AH40" s="112">
        <f ca="1">INDIRECT(CONCATENATE("AA",AG40))</f>
        <v>36434</v>
      </c>
      <c r="AI40" s="112">
        <f ca="1">IF(            INDIRECT(CONCATENATE( "AB",AG40))&lt;100000,       INDIRECT(CONCATENATE("AB",AG40))  -1,IF(   INDIRECT(CONCATENATE("AC",AG40))&lt;100000,   INDIRECT(CONCATENATE("AC",AG40))-1,IF(   INDIRECT(CONCATENATE("AD", AG40))&lt;100000, INDIRECT(CONCATENATE("AD",AG40))-1,IF(   INDIRECT(CONCATENATE("AE",AG40))&lt;100000,  INDIRECT(CONCATENATE("AE",G40)),INDIRECT(CONCATENATE("AF",AG40))                ))))</f>
        <v>36454</v>
      </c>
      <c r="AJ40" s="112">
        <f t="shared" ca="1" si="7"/>
        <v>36454</v>
      </c>
      <c r="AK40" s="112">
        <f t="shared" ca="1" si="8"/>
        <v>36454</v>
      </c>
      <c r="AL40" s="238">
        <f t="shared" ca="1" si="44"/>
        <v>1</v>
      </c>
      <c r="AM40" s="112">
        <f ca="1">IF(TYPE(AL40)=16,100000,IF(AL40=0,100000,AH40))</f>
        <v>36434</v>
      </c>
      <c r="AN40" s="112">
        <f t="shared" ca="1" si="84"/>
        <v>36454</v>
      </c>
      <c r="AO40" s="114">
        <f t="shared" ca="1" si="46"/>
        <v>18</v>
      </c>
      <c r="AP40" s="114">
        <f t="shared" ca="1" si="47"/>
        <v>24</v>
      </c>
      <c r="AQ40" s="112"/>
      <c r="AR40" s="238">
        <f t="shared" si="78"/>
        <v>40</v>
      </c>
      <c r="AS40" s="112"/>
      <c r="AT40" s="112"/>
      <c r="AU40" s="283">
        <f t="shared" si="79"/>
        <v>21</v>
      </c>
      <c r="AV40" s="284">
        <f t="shared" ca="1" si="48"/>
        <v>37411</v>
      </c>
      <c r="AW40" s="284">
        <f t="shared" ca="1" si="102"/>
        <v>37437</v>
      </c>
      <c r="AX40" s="285">
        <f t="shared" ca="1" si="103"/>
        <v>18</v>
      </c>
      <c r="AY40" s="285">
        <f t="shared" ca="1" si="51"/>
        <v>24</v>
      </c>
      <c r="AZ40" s="284"/>
      <c r="BA40" s="112"/>
      <c r="BB40" s="112">
        <f t="shared" ca="1" si="52"/>
        <v>40421</v>
      </c>
      <c r="BC40" s="114">
        <f t="shared" ca="1" si="53"/>
        <v>1</v>
      </c>
      <c r="BD40" s="114">
        <f t="shared" ca="1" si="80"/>
        <v>16</v>
      </c>
      <c r="BE40" s="112">
        <f t="shared" ca="1" si="54"/>
        <v>40360</v>
      </c>
      <c r="BF40" s="112"/>
      <c r="BG40" s="112"/>
      <c r="BH40" s="238">
        <f t="shared" si="81"/>
        <v>21</v>
      </c>
      <c r="BI40" s="245">
        <f t="shared" si="55"/>
        <v>38231</v>
      </c>
      <c r="BJ40" s="281">
        <f t="shared" ca="1" si="96"/>
        <v>16</v>
      </c>
      <c r="BK40" s="245">
        <f t="shared" ca="1" si="56"/>
        <v>37540</v>
      </c>
      <c r="BL40" s="245">
        <f t="shared" ca="1" si="57"/>
        <v>37628</v>
      </c>
      <c r="BM40" s="245"/>
      <c r="BN40" s="245">
        <f t="shared" ca="1" si="97"/>
        <v>37574</v>
      </c>
      <c r="BQ40" s="245"/>
      <c r="BR40" s="245"/>
      <c r="BS40" s="245"/>
      <c r="BT40" s="245"/>
      <c r="BU40" s="245"/>
      <c r="BV40" s="245"/>
      <c r="BY40" s="245"/>
      <c r="BZ40" s="245"/>
      <c r="CA40" s="245"/>
      <c r="CB40" s="245"/>
      <c r="CC40" s="245"/>
      <c r="CD40" s="245"/>
      <c r="CE40" s="245"/>
      <c r="CF40" s="245"/>
      <c r="CG40" s="245"/>
      <c r="CH40" s="245"/>
      <c r="CL40" s="112"/>
      <c r="CM40" s="112"/>
      <c r="CP40" s="112"/>
      <c r="CQ40" s="112"/>
      <c r="CR40" s="238"/>
      <c r="CS40" s="238"/>
      <c r="CT40" s="112"/>
      <c r="CU40" s="112"/>
      <c r="CV40" s="112"/>
      <c r="CW40" s="112" t="s">
        <v>224</v>
      </c>
      <c r="CX40" s="112" t="s">
        <v>225</v>
      </c>
      <c r="CY40" s="112" t="s">
        <v>226</v>
      </c>
      <c r="CZ40" s="112" t="s">
        <v>227</v>
      </c>
      <c r="DA40" s="112" t="s">
        <v>228</v>
      </c>
      <c r="DB40" s="112" t="s">
        <v>229</v>
      </c>
      <c r="DC40" s="112"/>
      <c r="DD40" s="238">
        <f t="shared" ref="DD40:DD103" ca="1" si="116">IF(AND(DM40&lt;$DJ$19,DN40&gt;$DJ$19),$DJ$19-DM40,0)</f>
        <v>0</v>
      </c>
      <c r="DE40" s="238">
        <f t="shared" ca="1" si="108"/>
        <v>0</v>
      </c>
      <c r="DF40" s="112"/>
      <c r="DG40" s="238"/>
      <c r="DH40" s="238"/>
      <c r="DI40" s="112"/>
      <c r="DJ40" s="238"/>
      <c r="DK40" s="112">
        <f t="shared" ca="1" si="58"/>
        <v>37411</v>
      </c>
      <c r="DL40" s="278">
        <f t="shared" ca="1" si="12"/>
        <v>21</v>
      </c>
      <c r="DM40" s="245">
        <f t="shared" ref="DM40:DP40" ca="1" si="117">DM591</f>
        <v>37411</v>
      </c>
      <c r="DN40" s="245">
        <f t="shared" ca="1" si="117"/>
        <v>37437</v>
      </c>
      <c r="DO40" s="245">
        <f t="shared" ca="1" si="117"/>
        <v>8</v>
      </c>
      <c r="DP40" s="245">
        <f t="shared" ca="1" si="117"/>
        <v>24</v>
      </c>
      <c r="DQ40" s="281">
        <f t="shared" ca="1" si="14"/>
        <v>27</v>
      </c>
      <c r="DR40" s="278">
        <f t="shared" ca="1" si="15"/>
        <v>0</v>
      </c>
      <c r="DS40" s="244">
        <f t="shared" ca="1" si="60"/>
        <v>0</v>
      </c>
      <c r="DT40" s="244">
        <f t="shared" ca="1" si="61"/>
        <v>0</v>
      </c>
      <c r="DU40" s="244">
        <f t="shared" ca="1" si="18"/>
        <v>0</v>
      </c>
      <c r="DV40" s="244" t="str">
        <f t="shared" ca="1" si="19"/>
        <v>3/8 anni</v>
      </c>
      <c r="DW40" s="244"/>
      <c r="DX40" s="244">
        <f t="shared" ca="1" si="106"/>
        <v>3</v>
      </c>
      <c r="EA40" s="244">
        <f t="shared" ca="1" si="62"/>
        <v>1</v>
      </c>
      <c r="EB40" s="278">
        <f ca="1">VLOOKUP(DM40,Foglio1!$AB$31:$AN$261,13)-6+EA40</f>
        <v>88</v>
      </c>
      <c r="EC40" s="244"/>
      <c r="ED40" s="244">
        <f t="shared" ca="1" si="20"/>
        <v>0</v>
      </c>
      <c r="EE40" s="244">
        <f t="shared" ca="1" si="21"/>
        <v>0</v>
      </c>
      <c r="EF40" s="244">
        <f t="shared" ca="1" si="22"/>
        <v>0</v>
      </c>
      <c r="EG40" s="244">
        <f t="shared" ca="1" si="23"/>
        <v>0</v>
      </c>
      <c r="EH40" s="244">
        <f t="shared" ca="1" si="24"/>
        <v>0</v>
      </c>
      <c r="EI40" s="244">
        <f t="shared" ca="1" si="25"/>
        <v>0</v>
      </c>
      <c r="EJ40" s="244">
        <f t="shared" ca="1" si="26"/>
        <v>0</v>
      </c>
      <c r="EK40" s="244">
        <f t="shared" ca="1" si="27"/>
        <v>0</v>
      </c>
      <c r="EL40" s="244">
        <f t="shared" ca="1" si="28"/>
        <v>0</v>
      </c>
      <c r="EM40" s="244">
        <f t="shared" ca="1" si="29"/>
        <v>88</v>
      </c>
      <c r="EN40" s="244">
        <f t="shared" ca="1" si="30"/>
        <v>0</v>
      </c>
      <c r="EO40" s="244">
        <f t="shared" ca="1" si="31"/>
        <v>0</v>
      </c>
      <c r="EP40" s="244">
        <f t="shared" ca="1" si="32"/>
        <v>0</v>
      </c>
      <c r="EQ40" s="244">
        <f t="shared" ca="1" si="33"/>
        <v>0</v>
      </c>
      <c r="ER40" s="244"/>
      <c r="EW40" s="244">
        <v>0</v>
      </c>
      <c r="EX40" s="278">
        <f ca="1">VLOOKUP(DM40,Foglio1!$AB$31:$AN$261,13)-6+EW40</f>
        <v>87</v>
      </c>
      <c r="EY40" s="244"/>
      <c r="EZ40" s="244">
        <v>0</v>
      </c>
      <c r="FA40" s="244">
        <f t="shared" ca="1" si="63"/>
        <v>0</v>
      </c>
      <c r="FB40" s="244">
        <f t="shared" ca="1" si="64"/>
        <v>0</v>
      </c>
      <c r="FC40" s="244">
        <f t="shared" ca="1" si="65"/>
        <v>0</v>
      </c>
      <c r="FD40" s="244">
        <f t="shared" ca="1" si="66"/>
        <v>0</v>
      </c>
      <c r="FE40" s="244">
        <f t="shared" ca="1" si="67"/>
        <v>0</v>
      </c>
      <c r="FF40" s="244">
        <f t="shared" ca="1" si="68"/>
        <v>0</v>
      </c>
      <c r="FG40" s="244">
        <f t="shared" ca="1" si="69"/>
        <v>0</v>
      </c>
      <c r="FH40" s="244">
        <f t="shared" ca="1" si="70"/>
        <v>0</v>
      </c>
      <c r="FI40" s="244">
        <f t="shared" ca="1" si="71"/>
        <v>87</v>
      </c>
      <c r="FJ40" s="244">
        <f t="shared" ca="1" si="72"/>
        <v>0</v>
      </c>
      <c r="FK40" s="244">
        <f t="shared" ca="1" si="73"/>
        <v>0</v>
      </c>
      <c r="FL40" s="244">
        <f t="shared" ca="1" si="74"/>
        <v>0</v>
      </c>
      <c r="FM40" s="244">
        <f t="shared" ca="1" si="35"/>
        <v>0</v>
      </c>
      <c r="FN40" s="244"/>
    </row>
    <row r="41" spans="5:170" x14ac:dyDescent="0.25">
      <c r="E41" s="244"/>
      <c r="F41" s="240">
        <f>IF(fronttd!E43="","",fronttd!E43)</f>
        <v>38596</v>
      </c>
      <c r="G41" s="240">
        <f>IF(fronttd!F43="","",fronttd!F43)</f>
        <v>38919</v>
      </c>
      <c r="H41" s="380">
        <f>fronttd!G43</f>
        <v>18</v>
      </c>
      <c r="I41" s="380">
        <f>fronttd!H43</f>
        <v>18</v>
      </c>
      <c r="J41">
        <f t="shared" si="75"/>
        <v>24</v>
      </c>
      <c r="L41">
        <f t="shared" si="76"/>
        <v>41</v>
      </c>
      <c r="M41" s="112" t="e">
        <f t="shared" ca="1" si="36"/>
        <v>#N/A</v>
      </c>
      <c r="N41" s="112">
        <f ca="1">IF(   OR(Foglio7!GE61="", Foglio7!GE61=N40),100000,Foglio7!GE61)</f>
        <v>40422</v>
      </c>
      <c r="O41" s="238">
        <f t="shared" si="77"/>
        <v>41</v>
      </c>
      <c r="P41" s="238">
        <f t="shared" ca="1" si="37"/>
        <v>46</v>
      </c>
      <c r="Q41" s="238">
        <f t="shared" si="38"/>
        <v>41</v>
      </c>
      <c r="R41" s="112">
        <f t="shared" si="39"/>
        <v>38596</v>
      </c>
      <c r="S41" s="238">
        <f t="shared" ca="1" si="40"/>
        <v>29</v>
      </c>
      <c r="T41" s="112">
        <f t="shared" ca="1" si="86"/>
        <v>38384</v>
      </c>
      <c r="U41" s="112">
        <f t="shared" ca="1" si="87"/>
        <v>38718</v>
      </c>
      <c r="V41" s="112">
        <f t="shared" ca="1" si="88"/>
        <v>39083</v>
      </c>
      <c r="W41" s="112">
        <f t="shared" ca="1" si="89"/>
        <v>39114</v>
      </c>
      <c r="X41" s="112">
        <f t="shared" si="41"/>
        <v>38919</v>
      </c>
      <c r="Y41" s="112"/>
      <c r="Z41" s="112"/>
      <c r="AA41" s="335">
        <f t="shared" si="42"/>
        <v>38596</v>
      </c>
      <c r="AB41" s="335">
        <f t="shared" ca="1" si="90"/>
        <v>100000</v>
      </c>
      <c r="AC41" s="335">
        <f t="shared" ca="1" si="91"/>
        <v>38718</v>
      </c>
      <c r="AD41" s="335">
        <f t="shared" ca="1" si="92"/>
        <v>100000</v>
      </c>
      <c r="AE41" s="335">
        <f t="shared" ca="1" si="93"/>
        <v>100000</v>
      </c>
      <c r="AF41" s="335">
        <f t="shared" si="43"/>
        <v>38919</v>
      </c>
      <c r="AG41" s="238">
        <f>AG40</f>
        <v>24</v>
      </c>
      <c r="AH41" s="112">
        <f ca="1">AI40+1</f>
        <v>36455</v>
      </c>
      <c r="AI41" s="112">
        <f ca="1">IF(INDIRECT(CONCATENATE("AC",AG40))&lt;100000,INDIRECT(CONCATENATE("AC",AG40))-1,IF(INDIRECT(CONCATENATE("AD",AG40))&lt;100000,INDIRECT(CONCATENATE("AD",AG40))-1,IF(INDIRECT(CONCATENATE("AE",AG40))&lt;100000,INDIRECT(CONCATENATE("AE",G40)),INDIRECT(CONCATENATE("AF",AG40)))))</f>
        <v>36454</v>
      </c>
      <c r="AJ41" s="112">
        <f t="shared" ca="1" si="7"/>
        <v>36454</v>
      </c>
      <c r="AK41" s="112">
        <f t="shared" ca="1" si="8"/>
        <v>36454</v>
      </c>
      <c r="AL41" s="238">
        <f t="shared" ca="1" si="44"/>
        <v>0</v>
      </c>
      <c r="AM41" s="112">
        <f t="shared" ref="AM41:AM104" ca="1" si="118">IF(TYPE(AL41)=16,100000,IF(AL41=0,100000,AH41))</f>
        <v>100000</v>
      </c>
      <c r="AN41" s="112">
        <f t="shared" ca="1" si="84"/>
        <v>100000</v>
      </c>
      <c r="AO41" s="114">
        <f t="shared" ca="1" si="46"/>
        <v>18</v>
      </c>
      <c r="AP41" s="114">
        <f t="shared" ca="1" si="47"/>
        <v>24</v>
      </c>
      <c r="AQ41" s="112"/>
      <c r="AR41" s="238">
        <f t="shared" si="78"/>
        <v>41</v>
      </c>
      <c r="AS41" s="112"/>
      <c r="AT41" s="112"/>
      <c r="AU41" s="283">
        <f t="shared" si="79"/>
        <v>22</v>
      </c>
      <c r="AV41" s="284">
        <f t="shared" ca="1" si="48"/>
        <v>37411</v>
      </c>
      <c r="AW41" s="284">
        <f t="shared" ref="AW41:AW104" ca="1" si="119" xml:space="preserve">           IF( VLOOKUP(AV41,$AM$20:$AP$564,2,FALSE)=AW40,VLOOKUP(AV41,$AM$20:$AP$564,2),VLOOKUP(AV41,$AM$20:$AP$564,2,FALSE))</f>
        <v>37437</v>
      </c>
      <c r="AX41" s="285">
        <f t="shared" ref="AX41:AX104" ca="1" si="120" xml:space="preserve">         IF( VLOOKUP(AV41,$AM$20:$AP$564,2,FALSE)=AW40, VLOOKUP(AV41,$AM$20:$AP$564,3),              VLOOKUP(AV41,$AM$20:$AP$564,3,FALSE))</f>
        <v>18</v>
      </c>
      <c r="AY41" s="285">
        <f t="shared" ca="1" si="51"/>
        <v>24</v>
      </c>
      <c r="AZ41" s="282"/>
      <c r="BB41" s="112">
        <f t="shared" ca="1" si="52"/>
        <v>40421</v>
      </c>
      <c r="BC41" s="114">
        <f t="shared" ca="1" si="53"/>
        <v>0</v>
      </c>
      <c r="BD41" s="114">
        <f t="shared" ca="1" si="80"/>
        <v>16</v>
      </c>
      <c r="BE41" s="112">
        <f t="shared" ca="1" si="54"/>
        <v>100000</v>
      </c>
      <c r="BF41" s="112"/>
      <c r="BG41" s="112"/>
      <c r="BH41" s="238">
        <f t="shared" si="81"/>
        <v>22</v>
      </c>
      <c r="BI41" s="245">
        <f t="shared" si="55"/>
        <v>38596</v>
      </c>
      <c r="BJ41" s="281">
        <f t="shared" ca="1" si="96"/>
        <v>16</v>
      </c>
      <c r="BK41" s="245">
        <f t="shared" ca="1" si="56"/>
        <v>37629</v>
      </c>
      <c r="BL41" s="245">
        <f t="shared" ca="1" si="57"/>
        <v>37643</v>
      </c>
      <c r="BM41" s="244"/>
      <c r="BN41" s="245">
        <f t="shared" ca="1" si="97"/>
        <v>37663</v>
      </c>
      <c r="BQ41" s="245"/>
      <c r="BR41" s="245"/>
      <c r="BS41" s="245"/>
      <c r="BT41" s="245"/>
      <c r="BU41" s="245"/>
      <c r="BV41" s="245"/>
      <c r="BY41" s="245"/>
      <c r="BZ41" s="245"/>
      <c r="CA41" s="245"/>
      <c r="CB41" s="245"/>
      <c r="CC41" s="245"/>
      <c r="CD41" s="245"/>
      <c r="CE41" s="245"/>
      <c r="CF41" s="245"/>
      <c r="CG41" s="245"/>
      <c r="CH41" s="245"/>
      <c r="CL41" s="112"/>
      <c r="CM41" s="112"/>
      <c r="CP41" s="112"/>
      <c r="CQ41" s="112"/>
      <c r="CR41" s="238"/>
      <c r="CS41" s="238"/>
      <c r="CT41" s="112"/>
      <c r="CU41" s="112"/>
      <c r="CV41" s="112"/>
      <c r="CW41" s="112" t="s">
        <v>224</v>
      </c>
      <c r="CX41" s="112" t="s">
        <v>225</v>
      </c>
      <c r="CY41" s="112" t="s">
        <v>226</v>
      </c>
      <c r="CZ41" s="112" t="s">
        <v>227</v>
      </c>
      <c r="DA41" s="112" t="s">
        <v>228</v>
      </c>
      <c r="DB41" s="112" t="s">
        <v>229</v>
      </c>
      <c r="DC41" s="112"/>
      <c r="DD41" s="238">
        <f t="shared" ca="1" si="116"/>
        <v>0</v>
      </c>
      <c r="DE41" s="238">
        <f t="shared" ca="1" si="108"/>
        <v>0</v>
      </c>
      <c r="DF41" s="112"/>
      <c r="DG41" s="238"/>
      <c r="DH41" s="238"/>
      <c r="DI41" s="112"/>
      <c r="DJ41" s="238"/>
      <c r="DK41" s="112">
        <f t="shared" ca="1" si="58"/>
        <v>37411</v>
      </c>
      <c r="DL41" s="278">
        <f t="shared" ca="1" si="12"/>
        <v>22</v>
      </c>
      <c r="DM41" s="245">
        <f t="shared" ref="DM41:DP41" ca="1" si="121">DM592</f>
        <v>37411</v>
      </c>
      <c r="DN41" s="245">
        <f t="shared" ca="1" si="121"/>
        <v>37437</v>
      </c>
      <c r="DO41" s="245">
        <f t="shared" ca="1" si="121"/>
        <v>8</v>
      </c>
      <c r="DP41" s="245">
        <f t="shared" ca="1" si="121"/>
        <v>24</v>
      </c>
      <c r="DQ41" s="281">
        <f t="shared" ca="1" si="14"/>
        <v>27</v>
      </c>
      <c r="DR41" s="278">
        <f t="shared" ca="1" si="15"/>
        <v>0</v>
      </c>
      <c r="DS41" s="244">
        <f t="shared" ca="1" si="60"/>
        <v>0</v>
      </c>
      <c r="DT41" s="244">
        <f t="shared" ca="1" si="61"/>
        <v>0</v>
      </c>
      <c r="DU41" s="244">
        <f t="shared" ca="1" si="18"/>
        <v>0</v>
      </c>
      <c r="DV41" s="244" t="str">
        <f t="shared" ca="1" si="19"/>
        <v>3/8 anni</v>
      </c>
      <c r="DW41" s="244"/>
      <c r="DX41" s="244">
        <f t="shared" ca="1" si="106"/>
        <v>3</v>
      </c>
      <c r="EA41" s="244">
        <f t="shared" ca="1" si="62"/>
        <v>1</v>
      </c>
      <c r="EB41" s="278">
        <f ca="1">VLOOKUP(DM41,Foglio1!$AB$31:$AN$261,13)-6+EA41</f>
        <v>88</v>
      </c>
      <c r="EC41" s="244"/>
      <c r="ED41" s="244">
        <f t="shared" ca="1" si="20"/>
        <v>0</v>
      </c>
      <c r="EE41" s="244">
        <f t="shared" ca="1" si="21"/>
        <v>0</v>
      </c>
      <c r="EF41" s="244">
        <f t="shared" ca="1" si="22"/>
        <v>0</v>
      </c>
      <c r="EG41" s="244">
        <f t="shared" ca="1" si="23"/>
        <v>0</v>
      </c>
      <c r="EH41" s="244">
        <f t="shared" ca="1" si="24"/>
        <v>0</v>
      </c>
      <c r="EI41" s="244">
        <f t="shared" ca="1" si="25"/>
        <v>0</v>
      </c>
      <c r="EJ41" s="244">
        <f t="shared" ca="1" si="26"/>
        <v>0</v>
      </c>
      <c r="EK41" s="244">
        <f t="shared" ca="1" si="27"/>
        <v>0</v>
      </c>
      <c r="EL41" s="244">
        <f t="shared" ca="1" si="28"/>
        <v>0</v>
      </c>
      <c r="EM41" s="244">
        <f t="shared" ca="1" si="29"/>
        <v>88</v>
      </c>
      <c r="EN41" s="244">
        <f t="shared" ca="1" si="30"/>
        <v>0</v>
      </c>
      <c r="EO41" s="244">
        <f t="shared" ca="1" si="31"/>
        <v>0</v>
      </c>
      <c r="EP41" s="244">
        <f t="shared" ca="1" si="32"/>
        <v>0</v>
      </c>
      <c r="EQ41" s="244">
        <f t="shared" ca="1" si="33"/>
        <v>0</v>
      </c>
      <c r="ER41" s="244"/>
      <c r="EW41" s="244">
        <v>0</v>
      </c>
      <c r="EX41" s="278">
        <f ca="1">VLOOKUP(DM41,Foglio1!$AB$31:$AN$261,13)-6+EW41</f>
        <v>87</v>
      </c>
      <c r="EY41" s="244"/>
      <c r="EZ41" s="244">
        <v>0</v>
      </c>
      <c r="FA41" s="244">
        <f t="shared" ca="1" si="63"/>
        <v>0</v>
      </c>
      <c r="FB41" s="244">
        <f t="shared" ca="1" si="64"/>
        <v>0</v>
      </c>
      <c r="FC41" s="244">
        <f t="shared" ca="1" si="65"/>
        <v>0</v>
      </c>
      <c r="FD41" s="244">
        <f t="shared" ca="1" si="66"/>
        <v>0</v>
      </c>
      <c r="FE41" s="244">
        <f t="shared" ca="1" si="67"/>
        <v>0</v>
      </c>
      <c r="FF41" s="244">
        <f t="shared" ca="1" si="68"/>
        <v>0</v>
      </c>
      <c r="FG41" s="244">
        <f t="shared" ca="1" si="69"/>
        <v>0</v>
      </c>
      <c r="FH41" s="244">
        <f t="shared" ca="1" si="70"/>
        <v>0</v>
      </c>
      <c r="FI41" s="244">
        <f t="shared" ca="1" si="71"/>
        <v>87</v>
      </c>
      <c r="FJ41" s="244">
        <f t="shared" ca="1" si="72"/>
        <v>0</v>
      </c>
      <c r="FK41" s="244">
        <f t="shared" ca="1" si="73"/>
        <v>0</v>
      </c>
      <c r="FL41" s="244">
        <f t="shared" ca="1" si="74"/>
        <v>0</v>
      </c>
      <c r="FM41" s="244">
        <f t="shared" ca="1" si="35"/>
        <v>0</v>
      </c>
      <c r="FN41" s="244"/>
    </row>
    <row r="42" spans="5:170" x14ac:dyDescent="0.25">
      <c r="E42" s="244"/>
      <c r="F42" s="240">
        <f>IF(fronttd!E44="","",fronttd!E44)</f>
        <v>38961</v>
      </c>
      <c r="G42" s="240">
        <f>IF(fronttd!F44="","",fronttd!F44)</f>
        <v>39277</v>
      </c>
      <c r="H42" s="380">
        <f>fronttd!G44</f>
        <v>18</v>
      </c>
      <c r="I42" s="380">
        <f>fronttd!H44</f>
        <v>18</v>
      </c>
      <c r="J42">
        <f t="shared" si="75"/>
        <v>24</v>
      </c>
      <c r="L42">
        <f t="shared" si="76"/>
        <v>42</v>
      </c>
      <c r="M42" s="112" t="e">
        <f t="shared" ca="1" si="36"/>
        <v>#N/A</v>
      </c>
      <c r="N42" s="112">
        <f ca="1">IF(   OR(Foglio7!GE62="", Foglio7!GE62=N41),100000,Foglio7!GE62)</f>
        <v>40544</v>
      </c>
      <c r="O42" s="238">
        <f t="shared" si="77"/>
        <v>42</v>
      </c>
      <c r="P42" s="238">
        <f t="shared" ca="1" si="37"/>
        <v>48</v>
      </c>
      <c r="Q42" s="238">
        <f t="shared" si="38"/>
        <v>42</v>
      </c>
      <c r="R42" s="112">
        <f t="shared" si="39"/>
        <v>38961</v>
      </c>
      <c r="S42" s="238">
        <f t="shared" ca="1" si="40"/>
        <v>30</v>
      </c>
      <c r="T42" s="112">
        <f t="shared" ca="1" si="86"/>
        <v>38718</v>
      </c>
      <c r="U42" s="112">
        <f t="shared" ca="1" si="87"/>
        <v>39083</v>
      </c>
      <c r="V42" s="112">
        <f t="shared" ca="1" si="88"/>
        <v>39114</v>
      </c>
      <c r="W42" s="112">
        <f t="shared" ca="1" si="89"/>
        <v>39264</v>
      </c>
      <c r="X42" s="112">
        <f t="shared" si="41"/>
        <v>39277</v>
      </c>
      <c r="Y42" s="112"/>
      <c r="Z42" s="112"/>
      <c r="AA42" s="335">
        <f t="shared" si="42"/>
        <v>38961</v>
      </c>
      <c r="AB42" s="335">
        <f t="shared" ca="1" si="90"/>
        <v>100000</v>
      </c>
      <c r="AC42" s="335">
        <f t="shared" ca="1" si="91"/>
        <v>39083</v>
      </c>
      <c r="AD42" s="335">
        <f t="shared" ca="1" si="92"/>
        <v>39114</v>
      </c>
      <c r="AE42" s="335">
        <f t="shared" ca="1" si="93"/>
        <v>39264</v>
      </c>
      <c r="AF42" s="335">
        <f t="shared" si="43"/>
        <v>39277</v>
      </c>
      <c r="AG42" s="238">
        <f>AG41</f>
        <v>24</v>
      </c>
      <c r="AH42" s="112">
        <f ca="1">AI41+1</f>
        <v>36455</v>
      </c>
      <c r="AI42" s="112">
        <f ca="1">IF(INDIRECT(CONCATENATE("AD",AG40))&lt;100000,INDIRECT(CONCATENATE("AD",AG40))-1,IF(INDIRECT(CONCATENATE("AE",AG40))&lt;100000,INDIRECT(CONCATENATE("AE",G40)),INDIRECT(CONCATENATE("AF",AG40))))</f>
        <v>36454</v>
      </c>
      <c r="AJ42" s="112">
        <f t="shared" ca="1" si="7"/>
        <v>36454</v>
      </c>
      <c r="AK42" s="112">
        <f t="shared" ca="1" si="8"/>
        <v>36454</v>
      </c>
      <c r="AL42" s="238">
        <f t="shared" ca="1" si="44"/>
        <v>0</v>
      </c>
      <c r="AM42" s="112">
        <f t="shared" ca="1" si="118"/>
        <v>100000</v>
      </c>
      <c r="AN42" s="112">
        <f t="shared" ca="1" si="84"/>
        <v>100000</v>
      </c>
      <c r="AO42" s="114">
        <f t="shared" ca="1" si="46"/>
        <v>18</v>
      </c>
      <c r="AP42" s="114">
        <f t="shared" ca="1" si="47"/>
        <v>24</v>
      </c>
      <c r="AQ42" s="112"/>
      <c r="AR42" s="238">
        <f t="shared" si="78"/>
        <v>42</v>
      </c>
      <c r="AS42" s="112"/>
      <c r="AT42" s="112"/>
      <c r="AU42" s="283">
        <f t="shared" si="79"/>
        <v>23</v>
      </c>
      <c r="AV42" s="284">
        <f t="shared" ca="1" si="48"/>
        <v>37411</v>
      </c>
      <c r="AW42" s="284">
        <f t="shared" ca="1" si="119"/>
        <v>37437</v>
      </c>
      <c r="AX42" s="285">
        <f t="shared" ca="1" si="120"/>
        <v>18</v>
      </c>
      <c r="AY42" s="285">
        <f t="shared" ca="1" si="51"/>
        <v>24</v>
      </c>
      <c r="AZ42" s="282"/>
      <c r="BB42" s="112">
        <f t="shared" ca="1" si="52"/>
        <v>40739</v>
      </c>
      <c r="BC42" s="114">
        <f t="shared" ca="1" si="53"/>
        <v>1</v>
      </c>
      <c r="BD42" s="114">
        <f t="shared" ca="1" si="80"/>
        <v>16</v>
      </c>
      <c r="BE42" s="112">
        <f t="shared" ca="1" si="54"/>
        <v>40544</v>
      </c>
      <c r="BF42" s="112"/>
      <c r="BG42" s="112"/>
      <c r="BH42" s="238">
        <f t="shared" si="81"/>
        <v>23</v>
      </c>
      <c r="BI42" s="245">
        <f t="shared" si="55"/>
        <v>38961</v>
      </c>
      <c r="BJ42" s="281">
        <f t="shared" ca="1" si="96"/>
        <v>16</v>
      </c>
      <c r="BK42" s="245">
        <f t="shared" ca="1" si="56"/>
        <v>37644</v>
      </c>
      <c r="BL42" s="245">
        <f t="shared" ca="1" si="57"/>
        <v>37672</v>
      </c>
      <c r="BM42" s="244"/>
      <c r="BN42" s="245">
        <f t="shared" ca="1" si="97"/>
        <v>37783</v>
      </c>
      <c r="BQ42" s="245"/>
      <c r="BR42" s="245"/>
      <c r="BS42" s="245"/>
      <c r="BT42" s="245"/>
      <c r="BU42" s="245"/>
      <c r="BV42" s="245"/>
      <c r="BY42" s="245"/>
      <c r="BZ42" s="245"/>
      <c r="CA42" s="245"/>
      <c r="CB42" s="245"/>
      <c r="CC42" s="245"/>
      <c r="CD42" s="245"/>
      <c r="CE42" s="245"/>
      <c r="CF42" s="245"/>
      <c r="CG42" s="245"/>
      <c r="CH42" s="245"/>
      <c r="CL42" s="112"/>
      <c r="CM42" s="112"/>
      <c r="CP42" s="112"/>
      <c r="CQ42" s="112"/>
      <c r="CR42" s="238"/>
      <c r="CS42" s="238"/>
      <c r="CT42" s="112"/>
      <c r="CU42" s="112"/>
      <c r="CV42" s="112"/>
      <c r="CW42" s="112" t="s">
        <v>224</v>
      </c>
      <c r="CX42" s="112" t="s">
        <v>225</v>
      </c>
      <c r="CY42" s="112" t="s">
        <v>226</v>
      </c>
      <c r="CZ42" s="112" t="s">
        <v>227</v>
      </c>
      <c r="DA42" s="112" t="s">
        <v>228</v>
      </c>
      <c r="DB42" s="112" t="s">
        <v>229</v>
      </c>
      <c r="DC42" s="112"/>
      <c r="DD42" s="238">
        <f t="shared" ca="1" si="116"/>
        <v>0</v>
      </c>
      <c r="DE42" s="238">
        <f t="shared" ca="1" si="108"/>
        <v>0</v>
      </c>
      <c r="DF42" s="112"/>
      <c r="DG42" s="238"/>
      <c r="DH42" s="238"/>
      <c r="DI42" s="112"/>
      <c r="DJ42" s="238"/>
      <c r="DK42" s="112">
        <f t="shared" ca="1" si="58"/>
        <v>37411</v>
      </c>
      <c r="DL42" s="278">
        <f t="shared" ca="1" si="12"/>
        <v>23</v>
      </c>
      <c r="DM42" s="245">
        <f t="shared" ref="DM42:DP42" ca="1" si="122">DM593</f>
        <v>37411</v>
      </c>
      <c r="DN42" s="245">
        <f t="shared" ca="1" si="122"/>
        <v>37437</v>
      </c>
      <c r="DO42" s="245">
        <f t="shared" ca="1" si="122"/>
        <v>8</v>
      </c>
      <c r="DP42" s="245">
        <f t="shared" ca="1" si="122"/>
        <v>24</v>
      </c>
      <c r="DQ42" s="281">
        <f t="shared" ca="1" si="14"/>
        <v>27</v>
      </c>
      <c r="DR42" s="278">
        <f t="shared" ca="1" si="15"/>
        <v>0</v>
      </c>
      <c r="DS42" s="244">
        <f t="shared" ca="1" si="60"/>
        <v>0</v>
      </c>
      <c r="DT42" s="244">
        <f t="shared" ca="1" si="61"/>
        <v>0</v>
      </c>
      <c r="DU42" s="244">
        <f t="shared" ca="1" si="18"/>
        <v>0</v>
      </c>
      <c r="DV42" s="244" t="str">
        <f t="shared" ca="1" si="19"/>
        <v>3/8 anni</v>
      </c>
      <c r="DW42" s="244"/>
      <c r="DX42" s="244">
        <f t="shared" ca="1" si="106"/>
        <v>3</v>
      </c>
      <c r="EA42" s="244">
        <f t="shared" ca="1" si="62"/>
        <v>1</v>
      </c>
      <c r="EB42" s="278">
        <f ca="1">VLOOKUP(DM42,Foglio1!$AB$31:$AN$261,13)-6+EA42</f>
        <v>88</v>
      </c>
      <c r="EC42" s="244"/>
      <c r="ED42" s="244">
        <f t="shared" ca="1" si="20"/>
        <v>0</v>
      </c>
      <c r="EE42" s="244">
        <f t="shared" ca="1" si="21"/>
        <v>0</v>
      </c>
      <c r="EF42" s="244">
        <f t="shared" ca="1" si="22"/>
        <v>0</v>
      </c>
      <c r="EG42" s="244">
        <f t="shared" ca="1" si="23"/>
        <v>0</v>
      </c>
      <c r="EH42" s="244">
        <f t="shared" ca="1" si="24"/>
        <v>0</v>
      </c>
      <c r="EI42" s="244">
        <f t="shared" ca="1" si="25"/>
        <v>0</v>
      </c>
      <c r="EJ42" s="244">
        <f t="shared" ca="1" si="26"/>
        <v>0</v>
      </c>
      <c r="EK42" s="244">
        <f t="shared" ca="1" si="27"/>
        <v>0</v>
      </c>
      <c r="EL42" s="244">
        <f t="shared" ca="1" si="28"/>
        <v>0</v>
      </c>
      <c r="EM42" s="244">
        <f t="shared" ca="1" si="29"/>
        <v>88</v>
      </c>
      <c r="EN42" s="244">
        <f t="shared" ca="1" si="30"/>
        <v>0</v>
      </c>
      <c r="EO42" s="244">
        <f t="shared" ca="1" si="31"/>
        <v>0</v>
      </c>
      <c r="EP42" s="244">
        <f t="shared" ca="1" si="32"/>
        <v>0</v>
      </c>
      <c r="EQ42" s="244">
        <f t="shared" ca="1" si="33"/>
        <v>0</v>
      </c>
      <c r="ER42" s="244"/>
      <c r="EW42" s="244">
        <v>0</v>
      </c>
      <c r="EX42" s="278">
        <f ca="1">VLOOKUP(DM42,Foglio1!$AB$31:$AN$261,13)-6+EW42</f>
        <v>87</v>
      </c>
      <c r="EY42" s="244"/>
      <c r="EZ42" s="244">
        <v>0</v>
      </c>
      <c r="FA42" s="244">
        <f t="shared" ca="1" si="63"/>
        <v>0</v>
      </c>
      <c r="FB42" s="244">
        <f t="shared" ca="1" si="64"/>
        <v>0</v>
      </c>
      <c r="FC42" s="244">
        <f t="shared" ca="1" si="65"/>
        <v>0</v>
      </c>
      <c r="FD42" s="244">
        <f t="shared" ca="1" si="66"/>
        <v>0</v>
      </c>
      <c r="FE42" s="244">
        <f t="shared" ca="1" si="67"/>
        <v>0</v>
      </c>
      <c r="FF42" s="244">
        <f t="shared" ca="1" si="68"/>
        <v>0</v>
      </c>
      <c r="FG42" s="244">
        <f t="shared" ca="1" si="69"/>
        <v>0</v>
      </c>
      <c r="FH42" s="244">
        <f t="shared" ca="1" si="70"/>
        <v>0</v>
      </c>
      <c r="FI42" s="244">
        <f t="shared" ca="1" si="71"/>
        <v>87</v>
      </c>
      <c r="FJ42" s="244">
        <f t="shared" ca="1" si="72"/>
        <v>0</v>
      </c>
      <c r="FK42" s="244">
        <f t="shared" ca="1" si="73"/>
        <v>0</v>
      </c>
      <c r="FL42" s="244">
        <f t="shared" ca="1" si="74"/>
        <v>0</v>
      </c>
      <c r="FM42" s="244">
        <f t="shared" ca="1" si="35"/>
        <v>0</v>
      </c>
      <c r="FN42" s="244"/>
    </row>
    <row r="43" spans="5:170" x14ac:dyDescent="0.25">
      <c r="E43" s="244"/>
      <c r="F43" s="240">
        <f>IF(fronttd!E45="","",fronttd!E45)</f>
        <v>39338</v>
      </c>
      <c r="G43" s="240">
        <f>IF(fronttd!F45="","",fronttd!F45)</f>
        <v>39629</v>
      </c>
      <c r="H43" s="380">
        <f>fronttd!G45</f>
        <v>18</v>
      </c>
      <c r="I43" s="380">
        <f>fronttd!H45</f>
        <v>18</v>
      </c>
      <c r="J43">
        <f t="shared" si="75"/>
        <v>24</v>
      </c>
      <c r="L43">
        <f t="shared" si="76"/>
        <v>43</v>
      </c>
      <c r="M43" s="112" t="e">
        <f t="shared" ca="1" si="36"/>
        <v>#N/A</v>
      </c>
      <c r="N43" s="112">
        <f ca="1">IF(   OR(Foglio7!GE63="", Foglio7!GE63=N42),100000,Foglio7!GE63)</f>
        <v>42370</v>
      </c>
      <c r="O43" s="238">
        <f t="shared" si="77"/>
        <v>43</v>
      </c>
      <c r="P43" s="238">
        <f t="shared" ca="1" si="37"/>
        <v>57</v>
      </c>
      <c r="Q43" s="238">
        <f t="shared" si="38"/>
        <v>43</v>
      </c>
      <c r="R43" s="112">
        <f t="shared" si="39"/>
        <v>39338</v>
      </c>
      <c r="S43" s="238">
        <f t="shared" ca="1" si="40"/>
        <v>33</v>
      </c>
      <c r="T43" s="112">
        <f t="shared" ca="1" si="86"/>
        <v>39264</v>
      </c>
      <c r="U43" s="112">
        <f t="shared" ca="1" si="87"/>
        <v>39447</v>
      </c>
      <c r="V43" s="112">
        <f t="shared" ca="1" si="88"/>
        <v>39539</v>
      </c>
      <c r="W43" s="112">
        <f t="shared" ca="1" si="89"/>
        <v>39630</v>
      </c>
      <c r="X43" s="112">
        <f t="shared" si="41"/>
        <v>39629</v>
      </c>
      <c r="Y43" s="112"/>
      <c r="Z43" s="112"/>
      <c r="AA43" s="335">
        <f t="shared" si="42"/>
        <v>39338</v>
      </c>
      <c r="AB43" s="335">
        <f t="shared" ca="1" si="90"/>
        <v>100000</v>
      </c>
      <c r="AC43" s="335">
        <f t="shared" ca="1" si="91"/>
        <v>39447</v>
      </c>
      <c r="AD43" s="335">
        <f t="shared" ca="1" si="92"/>
        <v>39539</v>
      </c>
      <c r="AE43" s="335">
        <f t="shared" ca="1" si="93"/>
        <v>100000</v>
      </c>
      <c r="AF43" s="335">
        <f t="shared" si="43"/>
        <v>39629</v>
      </c>
      <c r="AG43" s="238">
        <f>AG42</f>
        <v>24</v>
      </c>
      <c r="AH43" s="112">
        <f ca="1">AI42+1</f>
        <v>36455</v>
      </c>
      <c r="AI43" s="112">
        <f ca="1">IF(INDIRECT(CONCATENATE("AE",AG40))&lt;100000,INDIRECT(CONCATENATE("AE",G40)),INDIRECT(CONCATENATE("AF",AG40)))</f>
        <v>36454</v>
      </c>
      <c r="AJ43" s="112">
        <f t="shared" ca="1" si="7"/>
        <v>36454</v>
      </c>
      <c r="AK43" s="112">
        <f t="shared" ca="1" si="8"/>
        <v>36454</v>
      </c>
      <c r="AL43" s="238">
        <f t="shared" ca="1" si="44"/>
        <v>0</v>
      </c>
      <c r="AM43" s="112">
        <f t="shared" ca="1" si="118"/>
        <v>100000</v>
      </c>
      <c r="AN43" s="112">
        <f t="shared" ca="1" si="84"/>
        <v>100000</v>
      </c>
      <c r="AO43" s="114">
        <f t="shared" ca="1" si="46"/>
        <v>18</v>
      </c>
      <c r="AP43" s="114">
        <f t="shared" ca="1" si="47"/>
        <v>24</v>
      </c>
      <c r="AQ43" s="112"/>
      <c r="AR43" s="238">
        <f t="shared" si="78"/>
        <v>43</v>
      </c>
      <c r="AS43" s="112"/>
      <c r="AT43" s="112"/>
      <c r="AU43" s="283">
        <f t="shared" si="79"/>
        <v>24</v>
      </c>
      <c r="AV43" s="284">
        <f t="shared" ca="1" si="48"/>
        <v>37537</v>
      </c>
      <c r="AW43" s="284">
        <f t="shared" ca="1" si="119"/>
        <v>37551</v>
      </c>
      <c r="AX43" s="285">
        <f t="shared" ca="1" si="120"/>
        <v>18</v>
      </c>
      <c r="AY43" s="285">
        <f t="shared" ca="1" si="51"/>
        <v>24</v>
      </c>
      <c r="AZ43" s="282"/>
      <c r="BB43" s="112">
        <f t="shared" ca="1" si="52"/>
        <v>42613</v>
      </c>
      <c r="BC43" s="114">
        <f t="shared" ca="1" si="53"/>
        <v>1</v>
      </c>
      <c r="BD43" s="114">
        <f t="shared" ca="1" si="80"/>
        <v>16</v>
      </c>
      <c r="BE43" s="112">
        <f t="shared" ca="1" si="54"/>
        <v>42370</v>
      </c>
      <c r="BF43" s="112"/>
      <c r="BG43" s="112"/>
      <c r="BH43" s="238">
        <f t="shared" si="81"/>
        <v>24</v>
      </c>
      <c r="BI43" s="245">
        <f t="shared" si="55"/>
        <v>39338</v>
      </c>
      <c r="BJ43" s="281">
        <f t="shared" ca="1" si="96"/>
        <v>16</v>
      </c>
      <c r="BK43" s="245">
        <f t="shared" ca="1" si="56"/>
        <v>37673</v>
      </c>
      <c r="BL43" s="245">
        <f t="shared" ca="1" si="57"/>
        <v>37864</v>
      </c>
      <c r="BM43" s="244"/>
      <c r="BN43" s="245">
        <f t="shared" ca="1" si="97"/>
        <v>37786</v>
      </c>
      <c r="BQ43" s="245"/>
      <c r="BR43" s="245"/>
      <c r="BS43" s="245"/>
      <c r="BT43" s="245"/>
      <c r="BU43" s="245"/>
      <c r="BV43" s="245"/>
      <c r="BY43" s="245"/>
      <c r="BZ43" s="245"/>
      <c r="CA43" s="245"/>
      <c r="CB43" s="245"/>
      <c r="CC43" s="245"/>
      <c r="CD43" s="245"/>
      <c r="CE43" s="245"/>
      <c r="CF43" s="245"/>
      <c r="CG43" s="245"/>
      <c r="CH43" s="245"/>
      <c r="CL43" s="112"/>
      <c r="CM43" s="112"/>
      <c r="CP43" s="112"/>
      <c r="CQ43" s="112"/>
      <c r="CR43" s="238"/>
      <c r="CS43" s="238"/>
      <c r="CT43" s="112"/>
      <c r="CU43" s="112"/>
      <c r="CV43" s="112"/>
      <c r="CW43" s="112" t="s">
        <v>224</v>
      </c>
      <c r="CX43" s="112" t="s">
        <v>225</v>
      </c>
      <c r="CY43" s="112" t="s">
        <v>226</v>
      </c>
      <c r="CZ43" s="112" t="s">
        <v>227</v>
      </c>
      <c r="DA43" s="112" t="s">
        <v>228</v>
      </c>
      <c r="DB43" s="112" t="s">
        <v>229</v>
      </c>
      <c r="DC43" s="112"/>
      <c r="DD43" s="238">
        <f t="shared" ca="1" si="116"/>
        <v>0</v>
      </c>
      <c r="DE43" s="238">
        <f t="shared" ca="1" si="108"/>
        <v>0</v>
      </c>
      <c r="DF43" s="112"/>
      <c r="DG43" s="238"/>
      <c r="DH43" s="238"/>
      <c r="DI43" s="112"/>
      <c r="DJ43" s="238"/>
      <c r="DK43" s="112">
        <f t="shared" ca="1" si="58"/>
        <v>37537</v>
      </c>
      <c r="DL43" s="278">
        <f t="shared" ca="1" si="12"/>
        <v>24</v>
      </c>
      <c r="DM43" s="245">
        <f t="shared" ref="DM43:DP43" ca="1" si="123">DM594</f>
        <v>37537</v>
      </c>
      <c r="DN43" s="245">
        <f t="shared" ca="1" si="123"/>
        <v>37551</v>
      </c>
      <c r="DO43" s="245">
        <f t="shared" ca="1" si="123"/>
        <v>6</v>
      </c>
      <c r="DP43" s="245">
        <f t="shared" ca="1" si="123"/>
        <v>24</v>
      </c>
      <c r="DQ43" s="281">
        <f t="shared" ca="1" si="14"/>
        <v>15</v>
      </c>
      <c r="DR43" s="278">
        <f t="shared" ca="1" si="15"/>
        <v>0</v>
      </c>
      <c r="DS43" s="244">
        <f t="shared" ca="1" si="60"/>
        <v>0</v>
      </c>
      <c r="DT43" s="244">
        <f t="shared" ca="1" si="61"/>
        <v>0</v>
      </c>
      <c r="DU43" s="244">
        <f t="shared" ca="1" si="18"/>
        <v>0</v>
      </c>
      <c r="DV43" s="244" t="str">
        <f t="shared" ca="1" si="19"/>
        <v>3/8 anni</v>
      </c>
      <c r="DW43" s="244"/>
      <c r="DX43" s="244">
        <f t="shared" ca="1" si="106"/>
        <v>3</v>
      </c>
      <c r="EA43" s="244">
        <f t="shared" ca="1" si="62"/>
        <v>1</v>
      </c>
      <c r="EB43" s="278">
        <f ca="1">VLOOKUP(DM43,Foglio1!$AB$31:$AN$261,13)-6+EA43</f>
        <v>88</v>
      </c>
      <c r="EC43" s="244"/>
      <c r="ED43" s="244">
        <f t="shared" ca="1" si="20"/>
        <v>0</v>
      </c>
      <c r="EE43" s="244">
        <f t="shared" ca="1" si="21"/>
        <v>0</v>
      </c>
      <c r="EF43" s="244">
        <f t="shared" ca="1" si="22"/>
        <v>0</v>
      </c>
      <c r="EG43" s="244">
        <f t="shared" ca="1" si="23"/>
        <v>0</v>
      </c>
      <c r="EH43" s="244">
        <f t="shared" ca="1" si="24"/>
        <v>0</v>
      </c>
      <c r="EI43" s="244">
        <f t="shared" ca="1" si="25"/>
        <v>0</v>
      </c>
      <c r="EJ43" s="244">
        <f t="shared" ca="1" si="26"/>
        <v>0</v>
      </c>
      <c r="EK43" s="244">
        <f t="shared" ca="1" si="27"/>
        <v>0</v>
      </c>
      <c r="EL43" s="244">
        <f t="shared" ca="1" si="28"/>
        <v>0</v>
      </c>
      <c r="EM43" s="244">
        <f t="shared" ca="1" si="29"/>
        <v>88</v>
      </c>
      <c r="EN43" s="244">
        <f t="shared" ca="1" si="30"/>
        <v>0</v>
      </c>
      <c r="EO43" s="244">
        <f t="shared" ca="1" si="31"/>
        <v>0</v>
      </c>
      <c r="EP43" s="244">
        <f t="shared" ca="1" si="32"/>
        <v>0</v>
      </c>
      <c r="EQ43" s="244">
        <f t="shared" ca="1" si="33"/>
        <v>0</v>
      </c>
      <c r="ER43" s="244"/>
      <c r="EW43" s="244">
        <v>0</v>
      </c>
      <c r="EX43" s="278">
        <f ca="1">VLOOKUP(DM43,Foglio1!$AB$31:$AN$261,13)-6+EW43</f>
        <v>87</v>
      </c>
      <c r="EY43" s="244"/>
      <c r="EZ43" s="244">
        <v>0</v>
      </c>
      <c r="FA43" s="244">
        <f t="shared" ca="1" si="63"/>
        <v>0</v>
      </c>
      <c r="FB43" s="244">
        <f t="shared" ca="1" si="64"/>
        <v>0</v>
      </c>
      <c r="FC43" s="244">
        <f t="shared" ca="1" si="65"/>
        <v>0</v>
      </c>
      <c r="FD43" s="244">
        <f t="shared" ca="1" si="66"/>
        <v>0</v>
      </c>
      <c r="FE43" s="244">
        <f t="shared" ca="1" si="67"/>
        <v>0</v>
      </c>
      <c r="FF43" s="244">
        <f t="shared" ca="1" si="68"/>
        <v>0</v>
      </c>
      <c r="FG43" s="244">
        <f t="shared" ca="1" si="69"/>
        <v>0</v>
      </c>
      <c r="FH43" s="244">
        <f t="shared" ca="1" si="70"/>
        <v>0</v>
      </c>
      <c r="FI43" s="244">
        <f t="shared" ca="1" si="71"/>
        <v>87</v>
      </c>
      <c r="FJ43" s="244">
        <f t="shared" ca="1" si="72"/>
        <v>0</v>
      </c>
      <c r="FK43" s="244">
        <f t="shared" ca="1" si="73"/>
        <v>0</v>
      </c>
      <c r="FL43" s="244">
        <f t="shared" ca="1" si="74"/>
        <v>0</v>
      </c>
      <c r="FM43" s="244">
        <f t="shared" ca="1" si="35"/>
        <v>0</v>
      </c>
      <c r="FN43" s="244"/>
    </row>
    <row r="44" spans="5:170" x14ac:dyDescent="0.25">
      <c r="E44" s="244"/>
      <c r="F44" s="240">
        <f>IF(fronttd!E46="","",fronttd!E46)</f>
        <v>39692</v>
      </c>
      <c r="G44" s="240">
        <f>IF(fronttd!F46="","",fronttd!F46)</f>
        <v>39994</v>
      </c>
      <c r="H44" s="380">
        <f>fronttd!G46</f>
        <v>18</v>
      </c>
      <c r="I44" s="380">
        <f>fronttd!H46</f>
        <v>18</v>
      </c>
      <c r="J44">
        <f t="shared" si="75"/>
        <v>24</v>
      </c>
      <c r="L44">
        <f t="shared" si="76"/>
        <v>44</v>
      </c>
      <c r="M44" s="112" t="e">
        <f t="shared" ca="1" si="36"/>
        <v>#N/A</v>
      </c>
      <c r="N44" s="112">
        <f ca="1">IF(   OR(Foglio7!GE64="", Foglio7!GE64=N43),100000,Foglio7!GE64)</f>
        <v>42736</v>
      </c>
      <c r="O44" s="238">
        <f t="shared" si="77"/>
        <v>44</v>
      </c>
      <c r="P44" s="238">
        <f t="shared" ca="1" si="37"/>
        <v>58</v>
      </c>
      <c r="Q44" s="238">
        <f t="shared" si="38"/>
        <v>44</v>
      </c>
      <c r="R44" s="112">
        <f t="shared" si="39"/>
        <v>39692</v>
      </c>
      <c r="S44" s="238">
        <f t="shared" ca="1" si="40"/>
        <v>36</v>
      </c>
      <c r="T44" s="112">
        <f t="shared" ca="1" si="86"/>
        <v>39630</v>
      </c>
      <c r="U44" s="112">
        <f t="shared" ca="1" si="87"/>
        <v>39814</v>
      </c>
      <c r="V44" s="112">
        <f t="shared" ca="1" si="88"/>
        <v>40171</v>
      </c>
      <c r="W44" s="112">
        <f t="shared" ca="1" si="89"/>
        <v>40360</v>
      </c>
      <c r="X44" s="112">
        <f t="shared" si="41"/>
        <v>39994</v>
      </c>
      <c r="Y44" s="112"/>
      <c r="Z44" s="112"/>
      <c r="AA44" s="335">
        <f t="shared" si="42"/>
        <v>39692</v>
      </c>
      <c r="AB44" s="335">
        <f t="shared" ca="1" si="90"/>
        <v>100000</v>
      </c>
      <c r="AC44" s="335">
        <f t="shared" ca="1" si="91"/>
        <v>39814</v>
      </c>
      <c r="AD44" s="335">
        <f t="shared" ca="1" si="92"/>
        <v>100000</v>
      </c>
      <c r="AE44" s="335">
        <f t="shared" ca="1" si="93"/>
        <v>100000</v>
      </c>
      <c r="AF44" s="335">
        <f t="shared" si="43"/>
        <v>39994</v>
      </c>
      <c r="AG44" s="238">
        <f>AG43</f>
        <v>24</v>
      </c>
      <c r="AH44" s="112">
        <f ca="1">AI43+1</f>
        <v>36455</v>
      </c>
      <c r="AI44" s="112">
        <f ca="1">INDIRECT(CONCATENATE("AF",AG40))</f>
        <v>36454</v>
      </c>
      <c r="AJ44" s="112">
        <f ca="1">IF(TYPE(AI44)=16,VLOOKUP(AH44,$F$20:$G$146,2),AI44)</f>
        <v>36454</v>
      </c>
      <c r="AK44" s="112">
        <f t="shared" ca="1" si="8"/>
        <v>36454</v>
      </c>
      <c r="AL44" s="238">
        <f t="shared" ca="1" si="44"/>
        <v>0</v>
      </c>
      <c r="AM44" s="112">
        <f t="shared" ca="1" si="118"/>
        <v>100000</v>
      </c>
      <c r="AN44" s="112">
        <f t="shared" ca="1" si="84"/>
        <v>100000</v>
      </c>
      <c r="AO44" s="114">
        <f t="shared" ca="1" si="46"/>
        <v>18</v>
      </c>
      <c r="AP44" s="114">
        <f t="shared" ca="1" si="47"/>
        <v>24</v>
      </c>
      <c r="AQ44" s="112"/>
      <c r="AR44" s="238">
        <f t="shared" si="78"/>
        <v>44</v>
      </c>
      <c r="AS44" s="112"/>
      <c r="AT44" s="112"/>
      <c r="AU44" s="283">
        <f t="shared" si="79"/>
        <v>25</v>
      </c>
      <c r="AV44" s="284">
        <f t="shared" ca="1" si="48"/>
        <v>37540</v>
      </c>
      <c r="AW44" s="284">
        <f t="shared" ca="1" si="119"/>
        <v>37574</v>
      </c>
      <c r="AX44" s="285">
        <f t="shared" ca="1" si="120"/>
        <v>18</v>
      </c>
      <c r="AY44" s="285">
        <f t="shared" ca="1" si="51"/>
        <v>24</v>
      </c>
      <c r="AZ44" s="282"/>
      <c r="BB44" s="112">
        <f t="shared" ca="1" si="52"/>
        <v>42978</v>
      </c>
      <c r="BC44" s="114">
        <f t="shared" ca="1" si="53"/>
        <v>1</v>
      </c>
      <c r="BD44" s="114">
        <f t="shared" ca="1" si="80"/>
        <v>16</v>
      </c>
      <c r="BE44" s="112">
        <f t="shared" ca="1" si="54"/>
        <v>42736</v>
      </c>
      <c r="BF44" s="112"/>
      <c r="BG44" s="112"/>
      <c r="BH44" s="238">
        <f t="shared" si="81"/>
        <v>25</v>
      </c>
      <c r="BI44" s="245">
        <f t="shared" si="55"/>
        <v>39692</v>
      </c>
      <c r="BJ44" s="281">
        <f t="shared" ca="1" si="96"/>
        <v>16</v>
      </c>
      <c r="BK44" s="245">
        <f t="shared" ca="1" si="56"/>
        <v>37865</v>
      </c>
      <c r="BL44" s="245">
        <f t="shared" ca="1" si="57"/>
        <v>37986</v>
      </c>
      <c r="BM44" s="244"/>
      <c r="BN44" s="245">
        <f t="shared" ca="1" si="97"/>
        <v>38168</v>
      </c>
      <c r="BQ44" s="245"/>
      <c r="BR44" s="245"/>
      <c r="BS44" s="245"/>
      <c r="BT44" s="245"/>
      <c r="BU44" s="245"/>
      <c r="BV44" s="245"/>
      <c r="BY44" s="245"/>
      <c r="BZ44" s="245"/>
      <c r="CA44" s="245"/>
      <c r="CB44" s="245"/>
      <c r="CC44" s="245"/>
      <c r="CD44" s="245"/>
      <c r="CE44" s="245"/>
      <c r="CF44" s="245"/>
      <c r="CG44" s="245"/>
      <c r="CH44" s="245"/>
      <c r="CL44" s="112"/>
      <c r="CM44" s="112"/>
      <c r="CP44" s="112"/>
      <c r="CQ44" s="112"/>
      <c r="CR44" s="238"/>
      <c r="CS44" s="238"/>
      <c r="CT44" s="112"/>
      <c r="CU44" s="112"/>
      <c r="CV44" s="112"/>
      <c r="CW44" s="112" t="s">
        <v>224</v>
      </c>
      <c r="CX44" s="112" t="s">
        <v>225</v>
      </c>
      <c r="CY44" s="112" t="s">
        <v>226</v>
      </c>
      <c r="CZ44" s="112" t="s">
        <v>227</v>
      </c>
      <c r="DA44" s="112" t="s">
        <v>228</v>
      </c>
      <c r="DB44" s="112" t="s">
        <v>229</v>
      </c>
      <c r="DC44" s="112"/>
      <c r="DD44" s="238">
        <f t="shared" ca="1" si="116"/>
        <v>0</v>
      </c>
      <c r="DE44" s="238">
        <f t="shared" ca="1" si="108"/>
        <v>0</v>
      </c>
      <c r="DF44" s="112"/>
      <c r="DG44" s="238"/>
      <c r="DH44" s="238"/>
      <c r="DI44" s="112"/>
      <c r="DJ44" s="238"/>
      <c r="DK44" s="112">
        <f t="shared" ca="1" si="58"/>
        <v>37540</v>
      </c>
      <c r="DL44" s="278">
        <f t="shared" ca="1" si="12"/>
        <v>25</v>
      </c>
      <c r="DM44" s="245">
        <f t="shared" ref="DM44:DP44" ca="1" si="124">DM595</f>
        <v>37540</v>
      </c>
      <c r="DN44" s="245">
        <f t="shared" ca="1" si="124"/>
        <v>37574</v>
      </c>
      <c r="DO44" s="245">
        <f t="shared" ca="1" si="124"/>
        <v>8</v>
      </c>
      <c r="DP44" s="245">
        <f t="shared" ca="1" si="124"/>
        <v>24</v>
      </c>
      <c r="DQ44" s="281">
        <f t="shared" ca="1" si="14"/>
        <v>35</v>
      </c>
      <c r="DR44" s="278">
        <f t="shared" ca="1" si="15"/>
        <v>0</v>
      </c>
      <c r="DS44" s="244">
        <f t="shared" ca="1" si="60"/>
        <v>0</v>
      </c>
      <c r="DT44" s="244">
        <f t="shared" ca="1" si="61"/>
        <v>0</v>
      </c>
      <c r="DU44" s="244">
        <f t="shared" ca="1" si="18"/>
        <v>0</v>
      </c>
      <c r="DV44" s="244" t="str">
        <f t="shared" ca="1" si="19"/>
        <v>3/8 anni</v>
      </c>
      <c r="DW44" s="244"/>
      <c r="DX44" s="244">
        <f t="shared" ca="1" si="106"/>
        <v>3</v>
      </c>
      <c r="EA44" s="244">
        <f t="shared" ca="1" si="62"/>
        <v>1</v>
      </c>
      <c r="EB44" s="278">
        <f ca="1">VLOOKUP(DM44,Foglio1!$AB$31:$AN$261,13)-6+EA44</f>
        <v>88</v>
      </c>
      <c r="EC44" s="244"/>
      <c r="ED44" s="244">
        <f t="shared" ca="1" si="20"/>
        <v>0</v>
      </c>
      <c r="EE44" s="244">
        <f t="shared" ca="1" si="21"/>
        <v>0</v>
      </c>
      <c r="EF44" s="244">
        <f t="shared" ca="1" si="22"/>
        <v>0</v>
      </c>
      <c r="EG44" s="244">
        <f t="shared" ca="1" si="23"/>
        <v>0</v>
      </c>
      <c r="EH44" s="244">
        <f t="shared" ca="1" si="24"/>
        <v>0</v>
      </c>
      <c r="EI44" s="244">
        <f t="shared" ca="1" si="25"/>
        <v>0</v>
      </c>
      <c r="EJ44" s="244">
        <f t="shared" ca="1" si="26"/>
        <v>0</v>
      </c>
      <c r="EK44" s="244">
        <f t="shared" ca="1" si="27"/>
        <v>0</v>
      </c>
      <c r="EL44" s="244">
        <f t="shared" ca="1" si="28"/>
        <v>0</v>
      </c>
      <c r="EM44" s="244">
        <f t="shared" ca="1" si="29"/>
        <v>88</v>
      </c>
      <c r="EN44" s="244">
        <f t="shared" ca="1" si="30"/>
        <v>0</v>
      </c>
      <c r="EO44" s="244">
        <f t="shared" ca="1" si="31"/>
        <v>0</v>
      </c>
      <c r="EP44" s="244">
        <f t="shared" ca="1" si="32"/>
        <v>0</v>
      </c>
      <c r="EQ44" s="244">
        <f t="shared" ca="1" si="33"/>
        <v>0</v>
      </c>
      <c r="ER44" s="244"/>
      <c r="EW44" s="244">
        <v>0</v>
      </c>
      <c r="EX44" s="278">
        <f ca="1">VLOOKUP(DM44,Foglio1!$AB$31:$AN$261,13)-6+EW44</f>
        <v>87</v>
      </c>
      <c r="EY44" s="244"/>
      <c r="EZ44" s="244">
        <v>0</v>
      </c>
      <c r="FA44" s="244">
        <f t="shared" ca="1" si="63"/>
        <v>0</v>
      </c>
      <c r="FB44" s="244">
        <f t="shared" ca="1" si="64"/>
        <v>0</v>
      </c>
      <c r="FC44" s="244">
        <f t="shared" ca="1" si="65"/>
        <v>0</v>
      </c>
      <c r="FD44" s="244">
        <f t="shared" ca="1" si="66"/>
        <v>0</v>
      </c>
      <c r="FE44" s="244">
        <f t="shared" ca="1" si="67"/>
        <v>0</v>
      </c>
      <c r="FF44" s="244">
        <f t="shared" ca="1" si="68"/>
        <v>0</v>
      </c>
      <c r="FG44" s="244">
        <f t="shared" ca="1" si="69"/>
        <v>0</v>
      </c>
      <c r="FH44" s="244">
        <f t="shared" ca="1" si="70"/>
        <v>0</v>
      </c>
      <c r="FI44" s="244">
        <f t="shared" ca="1" si="71"/>
        <v>87</v>
      </c>
      <c r="FJ44" s="244">
        <f t="shared" ca="1" si="72"/>
        <v>0</v>
      </c>
      <c r="FK44" s="244">
        <f t="shared" ca="1" si="73"/>
        <v>0</v>
      </c>
      <c r="FL44" s="244">
        <f t="shared" ca="1" si="74"/>
        <v>0</v>
      </c>
      <c r="FM44" s="244">
        <f t="shared" ca="1" si="35"/>
        <v>0</v>
      </c>
      <c r="FN44" s="244"/>
    </row>
    <row r="45" spans="5:170" x14ac:dyDescent="0.25">
      <c r="E45" s="244"/>
      <c r="F45" s="240">
        <f>IF(fronttd!E47="","",fronttd!E47)</f>
        <v>40063</v>
      </c>
      <c r="G45" s="240">
        <f>IF(fronttd!F47="","",fronttd!F47)</f>
        <v>40063</v>
      </c>
      <c r="H45" s="380">
        <f>fronttd!G47</f>
        <v>18</v>
      </c>
      <c r="I45" s="380">
        <f>fronttd!H47</f>
        <v>18</v>
      </c>
      <c r="J45">
        <f t="shared" si="75"/>
        <v>24</v>
      </c>
      <c r="L45">
        <f t="shared" si="76"/>
        <v>45</v>
      </c>
      <c r="M45" s="112" t="e">
        <f t="shared" ca="1" si="36"/>
        <v>#N/A</v>
      </c>
      <c r="N45" s="112">
        <f ca="1">IF(   OR(Foglio7!GE65="", Foglio7!GE65=N44),100000,Foglio7!GE65)</f>
        <v>42782</v>
      </c>
      <c r="O45" s="238">
        <f t="shared" si="77"/>
        <v>45</v>
      </c>
      <c r="P45" s="238">
        <f t="shared" ca="1" si="37"/>
        <v>58</v>
      </c>
      <c r="Q45" s="238">
        <f t="shared" si="38"/>
        <v>45</v>
      </c>
      <c r="R45" s="112">
        <f t="shared" si="39"/>
        <v>40063</v>
      </c>
      <c r="S45" s="238">
        <f t="shared" ca="1" si="40"/>
        <v>37</v>
      </c>
      <c r="T45" s="112">
        <f t="shared" ca="1" si="86"/>
        <v>39814</v>
      </c>
      <c r="U45" s="112">
        <f t="shared" ca="1" si="87"/>
        <v>40171</v>
      </c>
      <c r="V45" s="112">
        <f t="shared" ca="1" si="88"/>
        <v>40360</v>
      </c>
      <c r="W45" s="112">
        <f t="shared" ca="1" si="89"/>
        <v>40422</v>
      </c>
      <c r="X45" s="112">
        <f t="shared" si="41"/>
        <v>40063</v>
      </c>
      <c r="Y45" s="112"/>
      <c r="Z45" s="112"/>
      <c r="AA45" s="335">
        <f t="shared" si="42"/>
        <v>40063</v>
      </c>
      <c r="AB45" s="335">
        <f t="shared" ca="1" si="90"/>
        <v>100000</v>
      </c>
      <c r="AC45" s="335">
        <f t="shared" ca="1" si="91"/>
        <v>100000</v>
      </c>
      <c r="AD45" s="335">
        <f t="shared" ca="1" si="92"/>
        <v>100000</v>
      </c>
      <c r="AE45" s="335">
        <f t="shared" ca="1" si="93"/>
        <v>100000</v>
      </c>
      <c r="AF45" s="335">
        <f t="shared" si="43"/>
        <v>40063</v>
      </c>
      <c r="AG45" s="238">
        <f>AG44+1</f>
        <v>25</v>
      </c>
      <c r="AH45" s="112">
        <f ca="1">INDIRECT(CONCATENATE("AA",AG45))</f>
        <v>36456</v>
      </c>
      <c r="AI45" s="112">
        <f ca="1">IF(            INDIRECT(CONCATENATE( "AB",AG45))&lt;100000,       INDIRECT(CONCATENATE("AB",AG45))  -1,IF(   INDIRECT(CONCATENATE("AC",AG45))&lt;100000,   INDIRECT(CONCATENATE("AC",AG45))-1,IF(   INDIRECT(CONCATENATE("AD", AG45))&lt;100000, INDIRECT(CONCATENATE("AD",AG45))-1,IF(   INDIRECT(CONCATENATE("AE",AG45))&lt;100000,  INDIRECT(CONCATENATE("AE",G45)),INDIRECT(CONCATENATE("AF",AG45))                ))))</f>
        <v>36707</v>
      </c>
      <c r="AJ45" s="112">
        <f t="shared" ref="AJ45:AJ108" ca="1" si="125">IF(TYPE(AI45)=16,VLOOKUP(AH45,$F$20:$G$146,2),AI45)</f>
        <v>36707</v>
      </c>
      <c r="AK45" s="112">
        <f t="shared" ca="1" si="8"/>
        <v>36707</v>
      </c>
      <c r="AL45" s="238">
        <f ca="1">IF(AK45=AI44,0,1)</f>
        <v>1</v>
      </c>
      <c r="AM45" s="112">
        <f t="shared" ca="1" si="118"/>
        <v>36456</v>
      </c>
      <c r="AN45" s="112">
        <f t="shared" ca="1" si="84"/>
        <v>36707</v>
      </c>
      <c r="AO45" s="114">
        <f t="shared" ca="1" si="46"/>
        <v>18</v>
      </c>
      <c r="AP45" s="114">
        <f t="shared" ca="1" si="47"/>
        <v>24</v>
      </c>
      <c r="AQ45" s="112"/>
      <c r="AR45" s="238">
        <f t="shared" si="78"/>
        <v>45</v>
      </c>
      <c r="AS45" s="112"/>
      <c r="AT45" s="112"/>
      <c r="AU45" s="283">
        <f t="shared" si="79"/>
        <v>26</v>
      </c>
      <c r="AV45" s="284">
        <f t="shared" ca="1" si="48"/>
        <v>37629</v>
      </c>
      <c r="AW45" s="284">
        <f t="shared" ca="1" si="119"/>
        <v>37663</v>
      </c>
      <c r="AX45" s="285">
        <f t="shared" ca="1" si="120"/>
        <v>18</v>
      </c>
      <c r="AY45" s="285">
        <f t="shared" ca="1" si="51"/>
        <v>24</v>
      </c>
      <c r="AZ45" s="282"/>
      <c r="BB45" s="112">
        <f t="shared" ca="1" si="52"/>
        <v>42978</v>
      </c>
      <c r="BC45" s="114">
        <f t="shared" ca="1" si="53"/>
        <v>1</v>
      </c>
      <c r="BD45" s="114">
        <f t="shared" ca="1" si="80"/>
        <v>16</v>
      </c>
      <c r="BE45" s="112">
        <f t="shared" ca="1" si="54"/>
        <v>42782</v>
      </c>
      <c r="BF45" s="112"/>
      <c r="BG45" s="112"/>
      <c r="BH45" s="238">
        <f t="shared" si="81"/>
        <v>26</v>
      </c>
      <c r="BI45" s="245">
        <f t="shared" si="55"/>
        <v>40063</v>
      </c>
      <c r="BJ45" s="281">
        <f t="shared" ca="1" si="96"/>
        <v>1</v>
      </c>
      <c r="BK45" s="245">
        <f t="shared" ca="1" si="56"/>
        <v>37987</v>
      </c>
      <c r="BL45" s="245">
        <f t="shared" ca="1" si="57"/>
        <v>38230</v>
      </c>
      <c r="BM45" s="244"/>
      <c r="BN45" s="245">
        <f t="shared" ca="1" si="97"/>
        <v>38168</v>
      </c>
      <c r="BQ45" s="245"/>
      <c r="BR45" s="245"/>
      <c r="BS45" s="245"/>
      <c r="BT45" s="245"/>
      <c r="BU45" s="245"/>
      <c r="BV45" s="245"/>
      <c r="BY45" s="245"/>
      <c r="BZ45" s="245"/>
      <c r="CA45" s="245"/>
      <c r="CB45" s="245"/>
      <c r="CC45" s="245"/>
      <c r="CD45" s="245"/>
      <c r="CE45" s="245"/>
      <c r="CF45" s="245"/>
      <c r="CG45" s="245"/>
      <c r="CH45" s="245"/>
      <c r="CL45" s="112"/>
      <c r="CM45" s="112"/>
      <c r="CP45" s="112"/>
      <c r="CQ45" s="112"/>
      <c r="CR45" s="238"/>
      <c r="CS45" s="238"/>
      <c r="CT45" s="112"/>
      <c r="CU45" s="112"/>
      <c r="CV45" s="112"/>
      <c r="CW45" s="112" t="s">
        <v>224</v>
      </c>
      <c r="CX45" s="112" t="s">
        <v>225</v>
      </c>
      <c r="CY45" s="112" t="s">
        <v>226</v>
      </c>
      <c r="CZ45" s="112" t="s">
        <v>227</v>
      </c>
      <c r="DA45" s="112" t="s">
        <v>228</v>
      </c>
      <c r="DB45" s="112" t="s">
        <v>229</v>
      </c>
      <c r="DC45" s="112"/>
      <c r="DD45" s="238">
        <f t="shared" ca="1" si="116"/>
        <v>0</v>
      </c>
      <c r="DE45" s="238">
        <f t="shared" ca="1" si="108"/>
        <v>0</v>
      </c>
      <c r="DF45" s="112"/>
      <c r="DG45" s="238"/>
      <c r="DH45" s="238"/>
      <c r="DI45" s="112"/>
      <c r="DJ45" s="238"/>
      <c r="DK45" s="112">
        <f t="shared" ca="1" si="58"/>
        <v>37629</v>
      </c>
      <c r="DL45" s="278">
        <f t="shared" ca="1" si="12"/>
        <v>26</v>
      </c>
      <c r="DM45" s="245">
        <f t="shared" ref="DM45:DP45" ca="1" si="126">DM596</f>
        <v>37629</v>
      </c>
      <c r="DN45" s="245">
        <f t="shared" ca="1" si="126"/>
        <v>37663</v>
      </c>
      <c r="DO45" s="245">
        <f t="shared" ca="1" si="126"/>
        <v>16</v>
      </c>
      <c r="DP45" s="245">
        <f t="shared" ca="1" si="126"/>
        <v>24</v>
      </c>
      <c r="DQ45" s="281">
        <f t="shared" ca="1" si="14"/>
        <v>35</v>
      </c>
      <c r="DR45" s="278">
        <f t="shared" ca="1" si="15"/>
        <v>0</v>
      </c>
      <c r="DS45" s="244">
        <f t="shared" ca="1" si="60"/>
        <v>18865.349999999999</v>
      </c>
      <c r="DT45" s="244">
        <f t="shared" ca="1" si="61"/>
        <v>18414.099999999999</v>
      </c>
      <c r="DU45" s="244">
        <f t="shared" ca="1" si="18"/>
        <v>28.85</v>
      </c>
      <c r="DV45" s="244" t="str">
        <f t="shared" ca="1" si="19"/>
        <v>3/8 anni</v>
      </c>
      <c r="DW45" s="244"/>
      <c r="DX45" s="244">
        <f t="shared" ca="1" si="106"/>
        <v>3</v>
      </c>
      <c r="EA45" s="244">
        <f t="shared" ca="1" si="62"/>
        <v>1</v>
      </c>
      <c r="EB45" s="278">
        <f ca="1">VLOOKUP(DM45,Foglio1!$AB$31:$AN$261,13)-6+EA45</f>
        <v>95</v>
      </c>
      <c r="EC45" s="244"/>
      <c r="ED45" s="244">
        <f t="shared" ca="1" si="20"/>
        <v>0</v>
      </c>
      <c r="EE45" s="244">
        <f t="shared" ca="1" si="21"/>
        <v>10770.64</v>
      </c>
      <c r="EF45" s="244">
        <f t="shared" ca="1" si="22"/>
        <v>0</v>
      </c>
      <c r="EG45" s="244">
        <f t="shared" ca="1" si="23"/>
        <v>0</v>
      </c>
      <c r="EH45" s="244">
        <f t="shared" ca="1" si="24"/>
        <v>6384.11</v>
      </c>
      <c r="EI45" s="244">
        <f t="shared" ca="1" si="25"/>
        <v>0</v>
      </c>
      <c r="EJ45" s="244">
        <f t="shared" ca="1" si="26"/>
        <v>1429.56</v>
      </c>
      <c r="EK45" s="244">
        <f t="shared" ca="1" si="27"/>
        <v>0</v>
      </c>
      <c r="EL45" s="244">
        <f t="shared" ca="1" si="28"/>
        <v>0</v>
      </c>
      <c r="EM45" s="244">
        <f t="shared" ca="1" si="29"/>
        <v>95</v>
      </c>
      <c r="EN45" s="244">
        <f t="shared" ca="1" si="30"/>
        <v>0</v>
      </c>
      <c r="EO45" s="244">
        <f t="shared" ca="1" si="31"/>
        <v>0</v>
      </c>
      <c r="EP45" s="244">
        <f t="shared" ca="1" si="32"/>
        <v>1710.6</v>
      </c>
      <c r="EQ45" s="244">
        <f t="shared" ca="1" si="33"/>
        <v>0</v>
      </c>
      <c r="ER45" s="244"/>
      <c r="EW45" s="244">
        <v>0</v>
      </c>
      <c r="EX45" s="278">
        <f ca="1">VLOOKUP(DM45,Foglio1!$AB$31:$AN$261,13)-6+EW45</f>
        <v>94</v>
      </c>
      <c r="EY45" s="244"/>
      <c r="EZ45" s="244">
        <v>0</v>
      </c>
      <c r="FA45" s="244">
        <f t="shared" ca="1" si="63"/>
        <v>10319.39</v>
      </c>
      <c r="FB45" s="244">
        <f t="shared" ca="1" si="64"/>
        <v>0</v>
      </c>
      <c r="FC45" s="244">
        <f t="shared" ca="1" si="65"/>
        <v>0</v>
      </c>
      <c r="FD45" s="244">
        <f t="shared" ca="1" si="66"/>
        <v>6384.11</v>
      </c>
      <c r="FE45" s="244">
        <f t="shared" ca="1" si="67"/>
        <v>0</v>
      </c>
      <c r="FF45" s="244">
        <f t="shared" ca="1" si="68"/>
        <v>1391.96</v>
      </c>
      <c r="FG45" s="244">
        <f t="shared" ca="1" si="69"/>
        <v>0</v>
      </c>
      <c r="FH45" s="244">
        <f t="shared" ca="1" si="70"/>
        <v>0</v>
      </c>
      <c r="FI45" s="244">
        <f t="shared" ca="1" si="71"/>
        <v>94</v>
      </c>
      <c r="FJ45" s="244">
        <f t="shared" ca="1" si="72"/>
        <v>0</v>
      </c>
      <c r="FK45" s="244">
        <f t="shared" ca="1" si="73"/>
        <v>0</v>
      </c>
      <c r="FL45" s="244">
        <f t="shared" ca="1" si="74"/>
        <v>1710.6</v>
      </c>
      <c r="FM45" s="244">
        <f t="shared" ca="1" si="35"/>
        <v>0</v>
      </c>
      <c r="FN45" s="244"/>
    </row>
    <row r="46" spans="5:170" x14ac:dyDescent="0.25">
      <c r="E46" s="244"/>
      <c r="F46" s="240">
        <f>IF(fronttd!E48="","",fronttd!E48)</f>
        <v>40066</v>
      </c>
      <c r="G46" s="240">
        <f>IF(fronttd!F48="","",fronttd!F48)</f>
        <v>40421</v>
      </c>
      <c r="H46" s="380">
        <f>fronttd!G48</f>
        <v>18</v>
      </c>
      <c r="I46" s="380">
        <f>fronttd!H48</f>
        <v>18</v>
      </c>
      <c r="J46">
        <f t="shared" si="75"/>
        <v>24</v>
      </c>
      <c r="L46">
        <f t="shared" si="76"/>
        <v>46</v>
      </c>
      <c r="M46" s="112" t="e">
        <f t="shared" ca="1" si="36"/>
        <v>#N/A</v>
      </c>
      <c r="N46" s="112">
        <f ca="1">IF(   OR(Foglio7!GE66="", Foglio7!GE66=N45),100000,Foglio7!GE66)</f>
        <v>43160</v>
      </c>
      <c r="O46" s="238">
        <f t="shared" si="77"/>
        <v>46</v>
      </c>
      <c r="P46" s="238">
        <f t="shared" ca="1" si="37"/>
        <v>59</v>
      </c>
      <c r="Q46" s="238">
        <f t="shared" si="38"/>
        <v>46</v>
      </c>
      <c r="R46" s="112">
        <f t="shared" si="39"/>
        <v>40066</v>
      </c>
      <c r="S46" s="238">
        <f t="shared" ca="1" si="40"/>
        <v>37</v>
      </c>
      <c r="T46" s="112">
        <f t="shared" ca="1" si="86"/>
        <v>39814</v>
      </c>
      <c r="U46" s="112">
        <f t="shared" ca="1" si="87"/>
        <v>40171</v>
      </c>
      <c r="V46" s="112">
        <f t="shared" ca="1" si="88"/>
        <v>40360</v>
      </c>
      <c r="W46" s="112">
        <f t="shared" ca="1" si="89"/>
        <v>40422</v>
      </c>
      <c r="X46" s="112">
        <f t="shared" si="41"/>
        <v>40421</v>
      </c>
      <c r="Y46" s="112"/>
      <c r="Z46" s="112"/>
      <c r="AA46" s="335">
        <f t="shared" si="42"/>
        <v>40066</v>
      </c>
      <c r="AB46" s="335">
        <f t="shared" ca="1" si="90"/>
        <v>100000</v>
      </c>
      <c r="AC46" s="335">
        <f t="shared" ca="1" si="91"/>
        <v>40171</v>
      </c>
      <c r="AD46" s="335">
        <f t="shared" ca="1" si="92"/>
        <v>40360</v>
      </c>
      <c r="AE46" s="335">
        <f t="shared" ca="1" si="93"/>
        <v>100000</v>
      </c>
      <c r="AF46" s="335">
        <f t="shared" si="43"/>
        <v>40421</v>
      </c>
      <c r="AG46" s="238">
        <f>AG45</f>
        <v>25</v>
      </c>
      <c r="AH46" s="112">
        <f ca="1">AI45+1</f>
        <v>36708</v>
      </c>
      <c r="AI46" s="112">
        <f ca="1">IF(INDIRECT(CONCATENATE("AC",AG45))&lt;100000,INDIRECT(CONCATENATE("AC",AG45))-1,IF(INDIRECT(CONCATENATE("AD",AG45))&lt;100000,INDIRECT(CONCATENATE("AD",AG45))-1,IF(INDIRECT(CONCATENATE("AE",AG45))&lt;100000,INDIRECT(CONCATENATE("AE",G45)),INDIRECT(CONCATENATE("AF",AG45)))))</f>
        <v>36707</v>
      </c>
      <c r="AJ46" s="112">
        <f t="shared" ca="1" si="125"/>
        <v>36707</v>
      </c>
      <c r="AK46" s="112">
        <f t="shared" ca="1" si="8"/>
        <v>36707</v>
      </c>
      <c r="AL46" s="238">
        <f t="shared" ref="AL46:AL109" ca="1" si="127">IF(AK46=AI45,0,1)</f>
        <v>0</v>
      </c>
      <c r="AM46" s="112">
        <f t="shared" ca="1" si="118"/>
        <v>100000</v>
      </c>
      <c r="AN46" s="112">
        <f t="shared" ca="1" si="84"/>
        <v>100000</v>
      </c>
      <c r="AO46" s="114">
        <f t="shared" ca="1" si="46"/>
        <v>18</v>
      </c>
      <c r="AP46" s="114">
        <f t="shared" ca="1" si="47"/>
        <v>24</v>
      </c>
      <c r="AQ46" s="112"/>
      <c r="AR46" s="238">
        <f t="shared" si="78"/>
        <v>46</v>
      </c>
      <c r="AS46" s="112"/>
      <c r="AT46" s="112"/>
      <c r="AU46" s="283">
        <f t="shared" si="79"/>
        <v>27</v>
      </c>
      <c r="AV46" s="284">
        <f t="shared" ca="1" si="48"/>
        <v>37644</v>
      </c>
      <c r="AW46" s="284">
        <f t="shared" ca="1" si="119"/>
        <v>37783</v>
      </c>
      <c r="AX46" s="285">
        <f t="shared" ca="1" si="120"/>
        <v>18</v>
      </c>
      <c r="AY46" s="285">
        <f t="shared" ca="1" si="51"/>
        <v>24</v>
      </c>
      <c r="AZ46" s="282"/>
      <c r="BD46" s="114">
        <f t="shared" ca="1" si="80"/>
        <v>16</v>
      </c>
      <c r="BE46" s="112">
        <f t="shared" ca="1" si="54"/>
        <v>100000</v>
      </c>
      <c r="BF46" s="112"/>
      <c r="BG46" s="112"/>
      <c r="BH46" s="238">
        <f t="shared" si="81"/>
        <v>27</v>
      </c>
      <c r="BI46" s="245">
        <f t="shared" si="55"/>
        <v>40066</v>
      </c>
      <c r="BJ46" s="281">
        <f t="shared" ca="1" si="96"/>
        <v>16</v>
      </c>
      <c r="BK46" s="245">
        <f t="shared" ca="1" si="56"/>
        <v>38231</v>
      </c>
      <c r="BL46" s="245">
        <f t="shared" ca="1" si="57"/>
        <v>38383</v>
      </c>
      <c r="BM46" s="244"/>
      <c r="BN46" s="245">
        <f t="shared" ca="1" si="97"/>
        <v>38551</v>
      </c>
      <c r="BQ46" s="245"/>
      <c r="BR46" s="245"/>
      <c r="BS46" s="245"/>
      <c r="BT46" s="245"/>
      <c r="BU46" s="245"/>
      <c r="BV46" s="245"/>
      <c r="BY46" s="245"/>
      <c r="BZ46" s="245"/>
      <c r="CA46" s="245"/>
      <c r="CB46" s="245"/>
      <c r="CC46" s="245"/>
      <c r="CD46" s="245"/>
      <c r="CE46" s="245"/>
      <c r="CF46" s="245"/>
      <c r="CG46" s="245"/>
      <c r="CH46" s="245"/>
      <c r="CL46" s="112"/>
      <c r="CM46" s="112"/>
      <c r="CP46" s="112"/>
      <c r="CQ46" s="112"/>
      <c r="CR46" s="238"/>
      <c r="CS46" s="238"/>
      <c r="CT46" s="112"/>
      <c r="CU46" s="112"/>
      <c r="CV46" s="112"/>
      <c r="CW46" s="112" t="s">
        <v>224</v>
      </c>
      <c r="CX46" s="112" t="s">
        <v>225</v>
      </c>
      <c r="CY46" s="112" t="s">
        <v>226</v>
      </c>
      <c r="CZ46" s="112" t="s">
        <v>227</v>
      </c>
      <c r="DA46" s="112" t="s">
        <v>228</v>
      </c>
      <c r="DB46" s="112" t="s">
        <v>229</v>
      </c>
      <c r="DC46" s="112"/>
      <c r="DD46" s="238">
        <f t="shared" ca="1" si="116"/>
        <v>0</v>
      </c>
      <c r="DE46" s="238">
        <f t="shared" ca="1" si="108"/>
        <v>0</v>
      </c>
      <c r="DF46" s="112"/>
      <c r="DG46" s="238"/>
      <c r="DH46" s="238"/>
      <c r="DI46" s="112"/>
      <c r="DJ46" s="238"/>
      <c r="DK46" s="112">
        <f t="shared" ca="1" si="58"/>
        <v>37644</v>
      </c>
      <c r="DL46" s="278">
        <f ca="1">IF(DM46="","",DL45+"1")</f>
        <v>27</v>
      </c>
      <c r="DM46" s="245">
        <f t="shared" ref="DM46:DP46" ca="1" si="128">DM597</f>
        <v>37644</v>
      </c>
      <c r="DN46" s="245">
        <f t="shared" ca="1" si="128"/>
        <v>37783</v>
      </c>
      <c r="DO46" s="245">
        <f t="shared" ca="1" si="128"/>
        <v>2</v>
      </c>
      <c r="DP46" s="245">
        <f t="shared" ca="1" si="128"/>
        <v>24</v>
      </c>
      <c r="DQ46" s="281">
        <f ca="1">IF(DP46="","",DN46-DM46+1)</f>
        <v>140</v>
      </c>
      <c r="DR46" s="278">
        <f ca="1">IF(DQ46="","",DD46+DE46)</f>
        <v>0</v>
      </c>
      <c r="DS46" s="244">
        <f t="shared" ca="1" si="60"/>
        <v>18865.349999999999</v>
      </c>
      <c r="DT46" s="244">
        <f t="shared" ca="1" si="61"/>
        <v>18414.099999999999</v>
      </c>
      <c r="DU46" s="244">
        <f ca="1">IF(OR(DK46="",DK46=0),"",ROUND((DS46-DT46)/365*(DQ46   -DR46      )*DO46/DP46,2))</f>
        <v>14.42</v>
      </c>
      <c r="DV46" s="244" t="str">
        <f ca="1">IF(DU46="","",IF(DX46=0,"0/2 anni",IF(DX46=3,"3/8 anni",IF(DX46=9,"9/14 anni",IF(DX46=15,"15/20 anni",IF(DX46=21,"21/27 anni",IF(DX46=28,"28/34 anni","oltre 34")))))))</f>
        <v>3/8 anni</v>
      </c>
      <c r="DW46" s="244"/>
      <c r="DX46" s="244">
        <f ca="1">IF(DL46="","",VLOOKUP(DM46,$DL$8:$DM$14,2))</f>
        <v>3</v>
      </c>
      <c r="EA46" s="244">
        <f t="shared" ca="1" si="62"/>
        <v>1</v>
      </c>
      <c r="EB46" s="278">
        <f ca="1">VLOOKUP(DM46,Foglio1!$AB$31:$AN$261,13)-6+EA46</f>
        <v>95</v>
      </c>
      <c r="EC46" s="244"/>
      <c r="ED46" s="244">
        <f t="shared" ca="1" si="20"/>
        <v>0</v>
      </c>
      <c r="EE46" s="244">
        <f t="shared" ca="1" si="21"/>
        <v>10770.64</v>
      </c>
      <c r="EF46" s="244">
        <f t="shared" ca="1" si="22"/>
        <v>0</v>
      </c>
      <c r="EG46" s="244">
        <f t="shared" ca="1" si="23"/>
        <v>0</v>
      </c>
      <c r="EH46" s="244">
        <f t="shared" ca="1" si="24"/>
        <v>6384.11</v>
      </c>
      <c r="EI46" s="244">
        <f t="shared" ca="1" si="25"/>
        <v>0</v>
      </c>
      <c r="EJ46" s="244">
        <f t="shared" ca="1" si="26"/>
        <v>1429.56</v>
      </c>
      <c r="EK46" s="244">
        <f t="shared" ca="1" si="27"/>
        <v>0</v>
      </c>
      <c r="EL46" s="244">
        <f t="shared" ca="1" si="28"/>
        <v>0</v>
      </c>
      <c r="EM46" s="244">
        <f t="shared" ca="1" si="29"/>
        <v>95</v>
      </c>
      <c r="EN46" s="244">
        <f t="shared" ca="1" si="30"/>
        <v>0</v>
      </c>
      <c r="EO46" s="244">
        <f t="shared" ca="1" si="31"/>
        <v>0</v>
      </c>
      <c r="EP46" s="244">
        <f t="shared" ca="1" si="32"/>
        <v>1710.6</v>
      </c>
      <c r="EQ46" s="244">
        <f t="shared" ca="1" si="33"/>
        <v>0</v>
      </c>
      <c r="ER46" s="244"/>
      <c r="EW46" s="244">
        <v>0</v>
      </c>
      <c r="EX46" s="278">
        <f ca="1">VLOOKUP(DM46,Foglio1!$AB$31:$AN$261,13)-6+EW46</f>
        <v>94</v>
      </c>
      <c r="EY46" s="244"/>
      <c r="EZ46" s="244">
        <v>0</v>
      </c>
      <c r="FA46" s="244">
        <f t="shared" ca="1" si="63"/>
        <v>10319.39</v>
      </c>
      <c r="FB46" s="244">
        <f t="shared" ca="1" si="64"/>
        <v>0</v>
      </c>
      <c r="FC46" s="244">
        <f t="shared" ca="1" si="65"/>
        <v>0</v>
      </c>
      <c r="FD46" s="244">
        <f t="shared" ca="1" si="66"/>
        <v>6384.11</v>
      </c>
      <c r="FE46" s="244">
        <f t="shared" ca="1" si="67"/>
        <v>0</v>
      </c>
      <c r="FF46" s="244">
        <f t="shared" ca="1" si="68"/>
        <v>1391.96</v>
      </c>
      <c r="FG46" s="244">
        <f t="shared" ca="1" si="69"/>
        <v>0</v>
      </c>
      <c r="FH46" s="244">
        <f t="shared" ca="1" si="70"/>
        <v>0</v>
      </c>
      <c r="FI46" s="244">
        <f t="shared" ca="1" si="71"/>
        <v>94</v>
      </c>
      <c r="FJ46" s="244">
        <f t="shared" ca="1" si="72"/>
        <v>0</v>
      </c>
      <c r="FK46" s="244">
        <f t="shared" ca="1" si="73"/>
        <v>0</v>
      </c>
      <c r="FL46" s="244">
        <f t="shared" ca="1" si="74"/>
        <v>1710.6</v>
      </c>
      <c r="FM46" s="244">
        <f t="shared" ca="1" si="35"/>
        <v>0</v>
      </c>
      <c r="FN46" s="244"/>
    </row>
    <row r="47" spans="5:170" x14ac:dyDescent="0.25">
      <c r="E47" s="244"/>
      <c r="F47" s="240">
        <f>IF(fronttd!E49="","",fronttd!E49)</f>
        <v>40430</v>
      </c>
      <c r="G47" s="240">
        <f>IF(fronttd!F49="","",fronttd!F49)</f>
        <v>40739</v>
      </c>
      <c r="H47" s="380">
        <f>fronttd!G49</f>
        <v>7</v>
      </c>
      <c r="I47" s="380">
        <f>fronttd!H49</f>
        <v>18</v>
      </c>
      <c r="J47">
        <f t="shared" si="75"/>
        <v>24</v>
      </c>
      <c r="L47">
        <f t="shared" si="76"/>
        <v>47</v>
      </c>
      <c r="M47" s="112" t="e">
        <f t="shared" ca="1" si="36"/>
        <v>#N/A</v>
      </c>
      <c r="N47" s="112">
        <f ca="1">IF(   OR(Foglio7!GE67="", Foglio7!GE67=N46),100000,Foglio7!GE67)</f>
        <v>43191</v>
      </c>
      <c r="O47" s="238">
        <f t="shared" si="77"/>
        <v>47</v>
      </c>
      <c r="P47" s="238">
        <f t="shared" ca="1" si="37"/>
        <v>59</v>
      </c>
      <c r="Q47" s="238">
        <f t="shared" si="38"/>
        <v>47</v>
      </c>
      <c r="R47" s="112">
        <f t="shared" si="39"/>
        <v>40430</v>
      </c>
      <c r="S47" s="238">
        <f t="shared" ca="1" si="40"/>
        <v>38</v>
      </c>
      <c r="T47" s="112">
        <f t="shared" ca="1" si="86"/>
        <v>40171</v>
      </c>
      <c r="U47" s="112">
        <f t="shared" ca="1" si="87"/>
        <v>40360</v>
      </c>
      <c r="V47" s="112">
        <f t="shared" ca="1" si="88"/>
        <v>40422</v>
      </c>
      <c r="W47" s="112">
        <f t="shared" ca="1" si="89"/>
        <v>40544</v>
      </c>
      <c r="X47" s="112">
        <f t="shared" si="41"/>
        <v>40739</v>
      </c>
      <c r="Y47" s="112"/>
      <c r="Z47" s="112"/>
      <c r="AA47" s="335">
        <f t="shared" si="42"/>
        <v>40430</v>
      </c>
      <c r="AB47" s="335">
        <f t="shared" ca="1" si="90"/>
        <v>100000</v>
      </c>
      <c r="AC47" s="335">
        <f t="shared" ca="1" si="91"/>
        <v>100000</v>
      </c>
      <c r="AD47" s="335">
        <f t="shared" ca="1" si="92"/>
        <v>100000</v>
      </c>
      <c r="AE47" s="335">
        <f t="shared" ca="1" si="93"/>
        <v>40544</v>
      </c>
      <c r="AF47" s="335">
        <f t="shared" si="43"/>
        <v>40739</v>
      </c>
      <c r="AG47" s="238">
        <f>AG46</f>
        <v>25</v>
      </c>
      <c r="AH47" s="112">
        <f ca="1">AI46+1</f>
        <v>36708</v>
      </c>
      <c r="AI47" s="112">
        <f ca="1">IF(INDIRECT(CONCATENATE("AD",AG45))&lt;100000,INDIRECT(CONCATENATE("AD",AG45))-1,IF(INDIRECT(CONCATENATE("AE",AG45))&lt;100000,INDIRECT(CONCATENATE("AE",G45)),INDIRECT(CONCATENATE("AF",AG45))))</f>
        <v>36769</v>
      </c>
      <c r="AJ47" s="112">
        <f t="shared" ca="1" si="125"/>
        <v>36769</v>
      </c>
      <c r="AK47" s="112">
        <f t="shared" ca="1" si="8"/>
        <v>36769</v>
      </c>
      <c r="AL47" s="238">
        <f t="shared" ca="1" si="127"/>
        <v>1</v>
      </c>
      <c r="AM47" s="112">
        <f t="shared" ca="1" si="118"/>
        <v>36708</v>
      </c>
      <c r="AN47" s="112">
        <f t="shared" ca="1" si="84"/>
        <v>36769</v>
      </c>
      <c r="AO47" s="114">
        <f t="shared" ca="1" si="46"/>
        <v>18</v>
      </c>
      <c r="AP47" s="114">
        <f t="shared" ca="1" si="47"/>
        <v>24</v>
      </c>
      <c r="AQ47" s="112"/>
      <c r="AR47" s="238">
        <f t="shared" si="78"/>
        <v>47</v>
      </c>
      <c r="AS47" s="112"/>
      <c r="AT47" s="112"/>
      <c r="AU47" s="283">
        <f t="shared" si="79"/>
        <v>28</v>
      </c>
      <c r="AV47" s="284">
        <f t="shared" ca="1" si="48"/>
        <v>37673</v>
      </c>
      <c r="AW47" s="284">
        <f t="shared" ca="1" si="119"/>
        <v>37786</v>
      </c>
      <c r="AX47" s="285">
        <f t="shared" ca="1" si="120"/>
        <v>18</v>
      </c>
      <c r="AY47" s="285">
        <f t="shared" ca="1" si="51"/>
        <v>24</v>
      </c>
      <c r="AZ47" s="282"/>
      <c r="BD47" s="114">
        <f t="shared" ca="1" si="80"/>
        <v>16</v>
      </c>
      <c r="BE47" s="112">
        <f t="shared" ca="1" si="54"/>
        <v>100000</v>
      </c>
      <c r="BF47" s="112"/>
      <c r="BG47" s="112"/>
      <c r="BH47" s="238">
        <f t="shared" si="81"/>
        <v>28</v>
      </c>
      <c r="BI47" s="245">
        <f t="shared" si="55"/>
        <v>40430</v>
      </c>
      <c r="BJ47" s="281">
        <f t="shared" ca="1" si="96"/>
        <v>1</v>
      </c>
      <c r="BK47" s="245">
        <f t="shared" ca="1" si="56"/>
        <v>38384</v>
      </c>
      <c r="BL47" s="245">
        <f t="shared" ca="1" si="57"/>
        <v>38595</v>
      </c>
      <c r="BM47" s="244"/>
      <c r="BN47" s="245">
        <f t="shared" ca="1" si="97"/>
        <v>38551</v>
      </c>
      <c r="BQ47" s="245"/>
      <c r="BR47" s="245"/>
      <c r="BS47" s="245"/>
      <c r="BT47" s="245"/>
      <c r="BU47" s="245"/>
      <c r="BV47" s="245"/>
      <c r="BY47" s="245"/>
      <c r="BZ47" s="245"/>
      <c r="CA47" s="245"/>
      <c r="CB47" s="245"/>
      <c r="CC47" s="245"/>
      <c r="CD47" s="245"/>
      <c r="CE47" s="245"/>
      <c r="CF47" s="245"/>
      <c r="CG47" s="245"/>
      <c r="CH47" s="245"/>
      <c r="CL47" s="112"/>
      <c r="CM47" s="112"/>
      <c r="CP47" s="112"/>
      <c r="CQ47" s="112"/>
      <c r="CR47" s="238"/>
      <c r="CS47" s="238"/>
      <c r="CT47" s="112"/>
      <c r="CU47" s="112"/>
      <c r="CV47" s="112"/>
      <c r="CW47" s="112" t="s">
        <v>224</v>
      </c>
      <c r="CX47" s="112" t="s">
        <v>225</v>
      </c>
      <c r="CY47" s="112" t="s">
        <v>226</v>
      </c>
      <c r="CZ47" s="112" t="s">
        <v>227</v>
      </c>
      <c r="DA47" s="112" t="s">
        <v>228</v>
      </c>
      <c r="DB47" s="112" t="s">
        <v>229</v>
      </c>
      <c r="DC47" s="112"/>
      <c r="DD47" s="238">
        <f t="shared" ca="1" si="116"/>
        <v>0</v>
      </c>
      <c r="DE47" s="238">
        <f t="shared" ca="1" si="108"/>
        <v>0</v>
      </c>
      <c r="DF47" s="112"/>
      <c r="DG47" s="238"/>
      <c r="DH47" s="238"/>
      <c r="DI47" s="112"/>
      <c r="DJ47" s="238"/>
      <c r="DK47" s="112">
        <f t="shared" ca="1" si="58"/>
        <v>37673</v>
      </c>
      <c r="DL47" s="278">
        <f t="shared" ref="DL47:DL110" ca="1" si="129">IF(DM47="","",DL46+"1")</f>
        <v>28</v>
      </c>
      <c r="DM47" s="245">
        <f t="shared" ref="DM47:DP47" ca="1" si="130">DM598</f>
        <v>37673</v>
      </c>
      <c r="DN47" s="245">
        <f t="shared" ca="1" si="130"/>
        <v>37786</v>
      </c>
      <c r="DO47" s="245">
        <f t="shared" ca="1" si="130"/>
        <v>16</v>
      </c>
      <c r="DP47" s="245">
        <f t="shared" ca="1" si="130"/>
        <v>24</v>
      </c>
      <c r="DQ47" s="281">
        <f t="shared" ref="DQ47:DQ110" ca="1" si="131">IF(DP47="","",DN47-DM47+1)</f>
        <v>114</v>
      </c>
      <c r="DR47" s="278">
        <f t="shared" ref="DR47:DR110" ca="1" si="132">IF(DQ47="","",DD47+DE47)</f>
        <v>0</v>
      </c>
      <c r="DS47" s="244">
        <f t="shared" ca="1" si="60"/>
        <v>18865.349999999999</v>
      </c>
      <c r="DT47" s="244">
        <f t="shared" ca="1" si="61"/>
        <v>18414.099999999999</v>
      </c>
      <c r="DU47" s="244">
        <f t="shared" ref="DU47:DU110" ca="1" si="133">IF(OR(DK47="",DK47=0),"",ROUND((DS47-DT47)/365*(DQ47   -DR47      )*DO47/DP47,2))</f>
        <v>93.96</v>
      </c>
      <c r="DV47" s="244" t="str">
        <f t="shared" ref="DV47:DV110" ca="1" si="134">IF(DU47="","",IF(DX47=0,"0/2 anni",IF(DX47=3,"3/8 anni",IF(DX47=9,"9/14 anni",IF(DX47=15,"15/20 anni",IF(DX47=21,"21/27 anni",IF(DX47=28,"28/34 anni","oltre 34")))))))</f>
        <v>3/8 anni</v>
      </c>
      <c r="DW47" s="244"/>
      <c r="DX47" s="244">
        <f t="shared" ca="1" si="106"/>
        <v>3</v>
      </c>
      <c r="EA47" s="244">
        <f t="shared" ca="1" si="62"/>
        <v>1</v>
      </c>
      <c r="EB47" s="278">
        <f ca="1">VLOOKUP(DM47,Foglio1!$AB$31:$AN$261,13)-6+EA47</f>
        <v>95</v>
      </c>
      <c r="EC47" s="244"/>
      <c r="ED47" s="244">
        <f t="shared" ca="1" si="20"/>
        <v>0</v>
      </c>
      <c r="EE47" s="244">
        <f t="shared" ca="1" si="21"/>
        <v>10770.64</v>
      </c>
      <c r="EF47" s="244">
        <f t="shared" ca="1" si="22"/>
        <v>0</v>
      </c>
      <c r="EG47" s="244">
        <f t="shared" ca="1" si="23"/>
        <v>0</v>
      </c>
      <c r="EH47" s="244">
        <f t="shared" ca="1" si="24"/>
        <v>6384.11</v>
      </c>
      <c r="EI47" s="244">
        <f t="shared" ca="1" si="25"/>
        <v>0</v>
      </c>
      <c r="EJ47" s="244">
        <f t="shared" ca="1" si="26"/>
        <v>1429.56</v>
      </c>
      <c r="EK47" s="244">
        <f t="shared" ca="1" si="27"/>
        <v>0</v>
      </c>
      <c r="EL47" s="244">
        <f t="shared" ca="1" si="28"/>
        <v>0</v>
      </c>
      <c r="EM47" s="244">
        <f t="shared" ca="1" si="29"/>
        <v>95</v>
      </c>
      <c r="EN47" s="244">
        <f t="shared" ca="1" si="30"/>
        <v>0</v>
      </c>
      <c r="EO47" s="244">
        <f t="shared" ca="1" si="31"/>
        <v>0</v>
      </c>
      <c r="EP47" s="244">
        <f t="shared" ca="1" si="32"/>
        <v>1710.6</v>
      </c>
      <c r="EQ47" s="244">
        <f t="shared" ca="1" si="33"/>
        <v>0</v>
      </c>
      <c r="ER47" s="244"/>
      <c r="EW47" s="244">
        <v>0</v>
      </c>
      <c r="EX47" s="278">
        <f ca="1">VLOOKUP(DM47,Foglio1!$AB$31:$AN$261,13)-6+EW47</f>
        <v>94</v>
      </c>
      <c r="EY47" s="244"/>
      <c r="EZ47" s="244">
        <v>0</v>
      </c>
      <c r="FA47" s="244">
        <f t="shared" ca="1" si="63"/>
        <v>10319.39</v>
      </c>
      <c r="FB47" s="244">
        <f t="shared" ca="1" si="64"/>
        <v>0</v>
      </c>
      <c r="FC47" s="244">
        <f t="shared" ca="1" si="65"/>
        <v>0</v>
      </c>
      <c r="FD47" s="244">
        <f t="shared" ca="1" si="66"/>
        <v>6384.11</v>
      </c>
      <c r="FE47" s="244">
        <f t="shared" ca="1" si="67"/>
        <v>0</v>
      </c>
      <c r="FF47" s="244">
        <f t="shared" ca="1" si="68"/>
        <v>1391.96</v>
      </c>
      <c r="FG47" s="244">
        <f t="shared" ca="1" si="69"/>
        <v>0</v>
      </c>
      <c r="FH47" s="244">
        <f t="shared" ca="1" si="70"/>
        <v>0</v>
      </c>
      <c r="FI47" s="244">
        <f t="shared" ca="1" si="71"/>
        <v>94</v>
      </c>
      <c r="FJ47" s="244">
        <f t="shared" ca="1" si="72"/>
        <v>0</v>
      </c>
      <c r="FK47" s="244">
        <f t="shared" ca="1" si="73"/>
        <v>0</v>
      </c>
      <c r="FL47" s="244">
        <f t="shared" ca="1" si="74"/>
        <v>1710.6</v>
      </c>
      <c r="FM47" s="244">
        <f t="shared" ca="1" si="35"/>
        <v>0</v>
      </c>
      <c r="FN47" s="244"/>
    </row>
    <row r="48" spans="5:170" x14ac:dyDescent="0.25">
      <c r="E48" s="244"/>
      <c r="F48" s="240">
        <f>IF(fronttd!E50="","",fronttd!E50)</f>
        <v>40431</v>
      </c>
      <c r="G48" s="240">
        <f>IF(fronttd!F50="","",fronttd!F50)</f>
        <v>40739</v>
      </c>
      <c r="H48" s="380">
        <f>fronttd!G50</f>
        <v>9</v>
      </c>
      <c r="I48" s="380">
        <f>fronttd!H50</f>
        <v>18</v>
      </c>
      <c r="J48">
        <f t="shared" si="75"/>
        <v>24</v>
      </c>
      <c r="L48">
        <f t="shared" si="76"/>
        <v>48</v>
      </c>
      <c r="M48" s="112" t="e">
        <f t="shared" ca="1" si="36"/>
        <v>#N/A</v>
      </c>
      <c r="N48" s="112">
        <f ca="1">IF(   OR(Foglio7!GE68="", Foglio7!GE68=N47),100000,Foglio7!GE68)</f>
        <v>43466</v>
      </c>
      <c r="O48" s="238">
        <f t="shared" si="77"/>
        <v>48</v>
      </c>
      <c r="P48" s="238">
        <f t="shared" ca="1" si="37"/>
        <v>60</v>
      </c>
      <c r="Q48" s="238">
        <f t="shared" si="38"/>
        <v>48</v>
      </c>
      <c r="R48" s="112">
        <f t="shared" si="39"/>
        <v>40431</v>
      </c>
      <c r="S48" s="238">
        <f t="shared" ca="1" si="40"/>
        <v>38</v>
      </c>
      <c r="T48" s="112">
        <f t="shared" ca="1" si="86"/>
        <v>40171</v>
      </c>
      <c r="U48" s="112">
        <f t="shared" ca="1" si="87"/>
        <v>40360</v>
      </c>
      <c r="V48" s="112">
        <f t="shared" ca="1" si="88"/>
        <v>40422</v>
      </c>
      <c r="W48" s="112">
        <f t="shared" ca="1" si="89"/>
        <v>40544</v>
      </c>
      <c r="X48" s="112">
        <f t="shared" si="41"/>
        <v>40739</v>
      </c>
      <c r="Y48" s="112"/>
      <c r="Z48" s="112"/>
      <c r="AA48" s="335">
        <f t="shared" si="42"/>
        <v>40431</v>
      </c>
      <c r="AB48" s="335">
        <f t="shared" ca="1" si="90"/>
        <v>100000</v>
      </c>
      <c r="AC48" s="335">
        <f t="shared" ca="1" si="91"/>
        <v>100000</v>
      </c>
      <c r="AD48" s="335">
        <f t="shared" ca="1" si="92"/>
        <v>100000</v>
      </c>
      <c r="AE48" s="335">
        <f t="shared" ca="1" si="93"/>
        <v>40544</v>
      </c>
      <c r="AF48" s="335">
        <f t="shared" si="43"/>
        <v>40739</v>
      </c>
      <c r="AG48" s="238">
        <f>AG47</f>
        <v>25</v>
      </c>
      <c r="AH48" s="112">
        <f ca="1">AI47+1</f>
        <v>36770</v>
      </c>
      <c r="AI48" s="112">
        <f ca="1">IF(INDIRECT(CONCATENATE("AE",AG45))&lt;100000,INDIRECT(CONCATENATE("AE",G45)),INDIRECT(CONCATENATE("AF",AG45)))</f>
        <v>36769</v>
      </c>
      <c r="AJ48" s="112">
        <f t="shared" ca="1" si="125"/>
        <v>36769</v>
      </c>
      <c r="AK48" s="112">
        <f t="shared" ca="1" si="8"/>
        <v>36769</v>
      </c>
      <c r="AL48" s="238">
        <f t="shared" ca="1" si="127"/>
        <v>0</v>
      </c>
      <c r="AM48" s="112">
        <f t="shared" ca="1" si="118"/>
        <v>100000</v>
      </c>
      <c r="AN48" s="112">
        <f t="shared" ca="1" si="84"/>
        <v>100000</v>
      </c>
      <c r="AO48" s="114">
        <f t="shared" ca="1" si="46"/>
        <v>18</v>
      </c>
      <c r="AP48" s="114">
        <f t="shared" ca="1" si="47"/>
        <v>24</v>
      </c>
      <c r="AQ48" s="112"/>
      <c r="AR48" s="238">
        <f t="shared" si="78"/>
        <v>48</v>
      </c>
      <c r="AS48" s="112"/>
      <c r="AT48" s="112"/>
      <c r="AU48" s="283">
        <f t="shared" si="79"/>
        <v>29</v>
      </c>
      <c r="AV48" s="284">
        <f t="shared" ca="1" si="48"/>
        <v>37865</v>
      </c>
      <c r="AW48" s="284">
        <f t="shared" ca="1" si="119"/>
        <v>37986</v>
      </c>
      <c r="AX48" s="285">
        <f t="shared" ca="1" si="120"/>
        <v>18</v>
      </c>
      <c r="AY48" s="285">
        <f t="shared" ca="1" si="51"/>
        <v>24</v>
      </c>
      <c r="AZ48" s="282"/>
      <c r="BD48" s="114">
        <f t="shared" ca="1" si="80"/>
        <v>16</v>
      </c>
      <c r="BE48" s="112">
        <f t="shared" ca="1" si="54"/>
        <v>100000</v>
      </c>
      <c r="BF48" s="112"/>
      <c r="BG48" s="112"/>
      <c r="BH48" s="238">
        <f t="shared" si="81"/>
        <v>29</v>
      </c>
      <c r="BI48" s="245">
        <f t="shared" si="55"/>
        <v>40431</v>
      </c>
      <c r="BJ48" s="281">
        <f t="shared" ca="1" si="96"/>
        <v>16</v>
      </c>
      <c r="BK48" s="245">
        <f t="shared" ca="1" si="56"/>
        <v>38596</v>
      </c>
      <c r="BL48" s="245">
        <f t="shared" ca="1" si="57"/>
        <v>38717</v>
      </c>
      <c r="BM48" s="244"/>
      <c r="BN48" s="245">
        <f t="shared" ca="1" si="97"/>
        <v>38919</v>
      </c>
      <c r="BQ48" s="245"/>
      <c r="BR48" s="245"/>
      <c r="BS48" s="245"/>
      <c r="BT48" s="245"/>
      <c r="BU48" s="245"/>
      <c r="BV48" s="245"/>
      <c r="BY48" s="245"/>
      <c r="BZ48" s="245"/>
      <c r="CA48" s="245"/>
      <c r="CB48" s="245"/>
      <c r="CC48" s="245"/>
      <c r="CD48" s="245"/>
      <c r="CE48" s="245"/>
      <c r="CF48" s="245"/>
      <c r="CG48" s="245"/>
      <c r="CH48" s="245"/>
      <c r="CL48" s="112"/>
      <c r="CM48" s="112"/>
      <c r="CP48" s="112"/>
      <c r="CQ48" s="112"/>
      <c r="CR48" s="238"/>
      <c r="CS48" s="238"/>
      <c r="CT48" s="112"/>
      <c r="CU48" s="112"/>
      <c r="CV48" s="112"/>
      <c r="CW48" s="112" t="s">
        <v>224</v>
      </c>
      <c r="CX48" s="112" t="s">
        <v>225</v>
      </c>
      <c r="CY48" s="112" t="s">
        <v>226</v>
      </c>
      <c r="CZ48" s="112" t="s">
        <v>227</v>
      </c>
      <c r="DA48" s="112" t="s">
        <v>228</v>
      </c>
      <c r="DB48" s="112" t="s">
        <v>229</v>
      </c>
      <c r="DC48" s="112"/>
      <c r="DD48" s="238">
        <f t="shared" ca="1" si="116"/>
        <v>0</v>
      </c>
      <c r="DE48" s="238">
        <f t="shared" ca="1" si="108"/>
        <v>0</v>
      </c>
      <c r="DF48" s="112"/>
      <c r="DG48" s="238"/>
      <c r="DH48" s="238"/>
      <c r="DI48" s="112"/>
      <c r="DJ48" s="238"/>
      <c r="DK48" s="112">
        <f t="shared" ca="1" si="58"/>
        <v>37865</v>
      </c>
      <c r="DL48" s="278">
        <f t="shared" ca="1" si="129"/>
        <v>29</v>
      </c>
      <c r="DM48" s="245">
        <f t="shared" ref="DM48:DP48" ca="1" si="135">DM599</f>
        <v>37865</v>
      </c>
      <c r="DN48" s="245">
        <f t="shared" ca="1" si="135"/>
        <v>37986</v>
      </c>
      <c r="DO48" s="245">
        <f t="shared" ca="1" si="135"/>
        <v>18</v>
      </c>
      <c r="DP48" s="245">
        <f t="shared" ca="1" si="135"/>
        <v>24</v>
      </c>
      <c r="DQ48" s="281">
        <f t="shared" ca="1" si="131"/>
        <v>122</v>
      </c>
      <c r="DR48" s="278">
        <f t="shared" ca="1" si="132"/>
        <v>0</v>
      </c>
      <c r="DS48" s="244">
        <f t="shared" ca="1" si="60"/>
        <v>18865.349999999999</v>
      </c>
      <c r="DT48" s="244">
        <f t="shared" ca="1" si="61"/>
        <v>18414.099999999999</v>
      </c>
      <c r="DU48" s="244">
        <f t="shared" ca="1" si="133"/>
        <v>113.12</v>
      </c>
      <c r="DV48" s="244" t="str">
        <f t="shared" ca="1" si="134"/>
        <v>3/8 anni</v>
      </c>
      <c r="DW48" s="244"/>
      <c r="DX48" s="244">
        <f t="shared" ca="1" si="106"/>
        <v>3</v>
      </c>
      <c r="EA48" s="244">
        <f t="shared" ca="1" si="62"/>
        <v>1</v>
      </c>
      <c r="EB48" s="278">
        <f ca="1">VLOOKUP(DM48,Foglio1!$AB$31:$AN$261,13)-6+EA48</f>
        <v>95</v>
      </c>
      <c r="EC48" s="244"/>
      <c r="ED48" s="244">
        <f t="shared" ca="1" si="20"/>
        <v>0</v>
      </c>
      <c r="EE48" s="244">
        <f t="shared" ca="1" si="21"/>
        <v>10770.64</v>
      </c>
      <c r="EF48" s="244">
        <f t="shared" ca="1" si="22"/>
        <v>0</v>
      </c>
      <c r="EG48" s="244">
        <f t="shared" ca="1" si="23"/>
        <v>0</v>
      </c>
      <c r="EH48" s="244">
        <f t="shared" ca="1" si="24"/>
        <v>6384.11</v>
      </c>
      <c r="EI48" s="244">
        <f t="shared" ca="1" si="25"/>
        <v>0</v>
      </c>
      <c r="EJ48" s="244">
        <f t="shared" ca="1" si="26"/>
        <v>1429.56</v>
      </c>
      <c r="EK48" s="244">
        <f t="shared" ca="1" si="27"/>
        <v>0</v>
      </c>
      <c r="EL48" s="244">
        <f t="shared" ca="1" si="28"/>
        <v>0</v>
      </c>
      <c r="EM48" s="244">
        <f t="shared" ca="1" si="29"/>
        <v>95</v>
      </c>
      <c r="EN48" s="244">
        <f t="shared" ca="1" si="30"/>
        <v>0</v>
      </c>
      <c r="EO48" s="244">
        <f t="shared" ca="1" si="31"/>
        <v>0</v>
      </c>
      <c r="EP48" s="244">
        <f t="shared" ca="1" si="32"/>
        <v>1710.6</v>
      </c>
      <c r="EQ48" s="244">
        <f t="shared" ca="1" si="33"/>
        <v>0</v>
      </c>
      <c r="ER48" s="244"/>
      <c r="EW48" s="244">
        <v>0</v>
      </c>
      <c r="EX48" s="278">
        <f ca="1">VLOOKUP(DM48,Foglio1!$AB$31:$AN$261,13)-6+EW48</f>
        <v>94</v>
      </c>
      <c r="EY48" s="244"/>
      <c r="EZ48" s="244">
        <v>0</v>
      </c>
      <c r="FA48" s="244">
        <f t="shared" ca="1" si="63"/>
        <v>10319.39</v>
      </c>
      <c r="FB48" s="244">
        <f t="shared" ca="1" si="64"/>
        <v>0</v>
      </c>
      <c r="FC48" s="244">
        <f t="shared" ca="1" si="65"/>
        <v>0</v>
      </c>
      <c r="FD48" s="244">
        <f t="shared" ca="1" si="66"/>
        <v>6384.11</v>
      </c>
      <c r="FE48" s="244">
        <f t="shared" ca="1" si="67"/>
        <v>0</v>
      </c>
      <c r="FF48" s="244">
        <f t="shared" ca="1" si="68"/>
        <v>1391.96</v>
      </c>
      <c r="FG48" s="244">
        <f t="shared" ca="1" si="69"/>
        <v>0</v>
      </c>
      <c r="FH48" s="244">
        <f t="shared" ca="1" si="70"/>
        <v>0</v>
      </c>
      <c r="FI48" s="244">
        <f t="shared" ca="1" si="71"/>
        <v>94</v>
      </c>
      <c r="FJ48" s="244">
        <f t="shared" ca="1" si="72"/>
        <v>0</v>
      </c>
      <c r="FK48" s="244">
        <f t="shared" ca="1" si="73"/>
        <v>0</v>
      </c>
      <c r="FL48" s="244">
        <f t="shared" ca="1" si="74"/>
        <v>1710.6</v>
      </c>
      <c r="FM48" s="244">
        <f t="shared" ca="1" si="35"/>
        <v>0</v>
      </c>
      <c r="FN48" s="244"/>
    </row>
    <row r="49" spans="5:170" x14ac:dyDescent="0.25">
      <c r="E49" s="244"/>
      <c r="F49" s="240">
        <f>IF(fronttd!E51="","",fronttd!E51)</f>
        <v>40802</v>
      </c>
      <c r="G49" s="240">
        <f>IF(fronttd!F51="","",fronttd!F51)</f>
        <v>41090</v>
      </c>
      <c r="H49" s="380">
        <f>fronttd!G51</f>
        <v>18</v>
      </c>
      <c r="I49" s="380">
        <f>fronttd!H51</f>
        <v>18</v>
      </c>
      <c r="J49">
        <f t="shared" si="75"/>
        <v>24</v>
      </c>
      <c r="L49">
        <f t="shared" si="76"/>
        <v>49</v>
      </c>
      <c r="M49" s="112" t="e">
        <f t="shared" ca="1" si="36"/>
        <v>#N/A</v>
      </c>
      <c r="N49" s="112">
        <f ca="1">IF(   OR(Foglio7!GE69="", Foglio7!GE69=N48),100000,Foglio7!GE69)</f>
        <v>43831</v>
      </c>
      <c r="O49" s="238">
        <f t="shared" si="77"/>
        <v>49</v>
      </c>
      <c r="P49" s="238">
        <f t="shared" ca="1" si="37"/>
        <v>61</v>
      </c>
      <c r="Q49" s="238">
        <f t="shared" si="38"/>
        <v>49</v>
      </c>
      <c r="R49" s="112">
        <f t="shared" si="39"/>
        <v>40802</v>
      </c>
      <c r="S49" s="238">
        <f t="shared" ca="1" si="40"/>
        <v>38</v>
      </c>
      <c r="T49" s="112">
        <f t="shared" ca="1" si="86"/>
        <v>40171</v>
      </c>
      <c r="U49" s="112">
        <f t="shared" ca="1" si="87"/>
        <v>40360</v>
      </c>
      <c r="V49" s="112">
        <f t="shared" ca="1" si="88"/>
        <v>40422</v>
      </c>
      <c r="W49" s="112">
        <f t="shared" ca="1" si="89"/>
        <v>40544</v>
      </c>
      <c r="X49" s="112">
        <f t="shared" si="41"/>
        <v>41090</v>
      </c>
      <c r="Y49" s="112"/>
      <c r="Z49" s="112"/>
      <c r="AA49" s="335">
        <f t="shared" si="42"/>
        <v>40802</v>
      </c>
      <c r="AB49" s="335">
        <f t="shared" ca="1" si="90"/>
        <v>100000</v>
      </c>
      <c r="AC49" s="335">
        <f t="shared" ca="1" si="91"/>
        <v>100000</v>
      </c>
      <c r="AD49" s="335">
        <f t="shared" ca="1" si="92"/>
        <v>100000</v>
      </c>
      <c r="AE49" s="335">
        <f t="shared" ca="1" si="93"/>
        <v>100000</v>
      </c>
      <c r="AF49" s="335">
        <f t="shared" si="43"/>
        <v>41090</v>
      </c>
      <c r="AG49" s="238">
        <f>AG48</f>
        <v>25</v>
      </c>
      <c r="AH49" s="112">
        <f ca="1">AI48+1</f>
        <v>36770</v>
      </c>
      <c r="AI49" s="112">
        <f ca="1" xml:space="preserve">    IF(TYPE(AH49)=16,100000,         INDIRECT(CONCATENATE("AF",AG45)))</f>
        <v>36769</v>
      </c>
      <c r="AJ49" s="112">
        <f t="shared" ca="1" si="125"/>
        <v>36769</v>
      </c>
      <c r="AK49" s="112">
        <f t="shared" ca="1" si="8"/>
        <v>36769</v>
      </c>
      <c r="AL49" s="238">
        <f t="shared" ca="1" si="127"/>
        <v>0</v>
      </c>
      <c r="AM49" s="112">
        <f t="shared" ca="1" si="118"/>
        <v>100000</v>
      </c>
      <c r="AN49" s="112">
        <f t="shared" ca="1" si="84"/>
        <v>100000</v>
      </c>
      <c r="AO49" s="114">
        <f t="shared" ca="1" si="46"/>
        <v>18</v>
      </c>
      <c r="AP49" s="114">
        <f t="shared" ca="1" si="47"/>
        <v>24</v>
      </c>
      <c r="AQ49" s="112"/>
      <c r="AR49" s="238">
        <f t="shared" si="78"/>
        <v>49</v>
      </c>
      <c r="AS49" s="112"/>
      <c r="AT49" s="112"/>
      <c r="AU49" s="283">
        <f t="shared" si="79"/>
        <v>30</v>
      </c>
      <c r="AV49" s="284">
        <f t="shared" ca="1" si="48"/>
        <v>37987</v>
      </c>
      <c r="AW49" s="284">
        <f t="shared" ca="1" si="119"/>
        <v>38168</v>
      </c>
      <c r="AX49" s="285">
        <f t="shared" ca="1" si="120"/>
        <v>18</v>
      </c>
      <c r="AY49" s="285">
        <f t="shared" ca="1" si="51"/>
        <v>24</v>
      </c>
      <c r="AZ49" s="282"/>
      <c r="BD49" s="114">
        <f t="shared" ca="1" si="80"/>
        <v>16</v>
      </c>
      <c r="BE49" s="112">
        <f t="shared" ca="1" si="54"/>
        <v>100000</v>
      </c>
      <c r="BF49" s="112"/>
      <c r="BG49" s="112"/>
      <c r="BH49" s="238">
        <f t="shared" si="81"/>
        <v>30</v>
      </c>
      <c r="BI49" s="245">
        <f t="shared" si="55"/>
        <v>40802</v>
      </c>
      <c r="BJ49" s="281">
        <f t="shared" ca="1" si="96"/>
        <v>1</v>
      </c>
      <c r="BK49" s="245">
        <f t="shared" ca="1" si="56"/>
        <v>38718</v>
      </c>
      <c r="BL49" s="245">
        <f t="shared" ca="1" si="57"/>
        <v>38960</v>
      </c>
      <c r="BM49" s="244"/>
      <c r="BN49" s="245">
        <f t="shared" ca="1" si="97"/>
        <v>38919</v>
      </c>
      <c r="BQ49" s="245"/>
      <c r="BR49" s="245"/>
      <c r="BS49" s="245"/>
      <c r="BT49" s="245"/>
      <c r="BU49" s="245"/>
      <c r="BV49" s="245"/>
      <c r="BY49" s="245"/>
      <c r="BZ49" s="245"/>
      <c r="CA49" s="245"/>
      <c r="CB49" s="245"/>
      <c r="CC49" s="245"/>
      <c r="CD49" s="245"/>
      <c r="CE49" s="245"/>
      <c r="CF49" s="245"/>
      <c r="CG49" s="245"/>
      <c r="CH49" s="245"/>
      <c r="CL49" s="112"/>
      <c r="CM49" s="112"/>
      <c r="CP49" s="112"/>
      <c r="CQ49" s="112"/>
      <c r="CR49" s="238"/>
      <c r="CS49" s="238"/>
      <c r="CT49" s="112"/>
      <c r="CU49" s="112"/>
      <c r="CV49" s="112"/>
      <c r="CW49" s="112" t="s">
        <v>224</v>
      </c>
      <c r="CX49" s="112" t="s">
        <v>225</v>
      </c>
      <c r="CY49" s="112" t="s">
        <v>226</v>
      </c>
      <c r="CZ49" s="112" t="s">
        <v>227</v>
      </c>
      <c r="DA49" s="112" t="s">
        <v>228</v>
      </c>
      <c r="DB49" s="112" t="s">
        <v>229</v>
      </c>
      <c r="DC49" s="112"/>
      <c r="DD49" s="238">
        <f t="shared" ca="1" si="116"/>
        <v>0</v>
      </c>
      <c r="DE49" s="238">
        <f t="shared" ca="1" si="108"/>
        <v>0</v>
      </c>
      <c r="DF49" s="112"/>
      <c r="DG49" s="238"/>
      <c r="DH49" s="238"/>
      <c r="DI49" s="112"/>
      <c r="DJ49" s="238"/>
      <c r="DK49" s="112">
        <f t="shared" ca="1" si="58"/>
        <v>37987</v>
      </c>
      <c r="DL49" s="278">
        <f t="shared" ca="1" si="129"/>
        <v>30</v>
      </c>
      <c r="DM49" s="245">
        <f t="shared" ref="DM49:DP49" ca="1" si="136">DM600</f>
        <v>37987</v>
      </c>
      <c r="DN49" s="245">
        <f t="shared" ca="1" si="136"/>
        <v>38168</v>
      </c>
      <c r="DO49" s="245">
        <f t="shared" ca="1" si="136"/>
        <v>18</v>
      </c>
      <c r="DP49" s="245">
        <f t="shared" ca="1" si="136"/>
        <v>24</v>
      </c>
      <c r="DQ49" s="281">
        <f t="shared" ca="1" si="131"/>
        <v>182</v>
      </c>
      <c r="DR49" s="278">
        <f t="shared" ca="1" si="132"/>
        <v>0</v>
      </c>
      <c r="DS49" s="244">
        <f t="shared" ca="1" si="60"/>
        <v>19427.189999999999</v>
      </c>
      <c r="DT49" s="244">
        <f t="shared" ca="1" si="61"/>
        <v>18965.02</v>
      </c>
      <c r="DU49" s="244">
        <f t="shared" ca="1" si="133"/>
        <v>172.84</v>
      </c>
      <c r="DV49" s="244" t="str">
        <f t="shared" ca="1" si="134"/>
        <v>3/8 anni</v>
      </c>
      <c r="DW49" s="244"/>
      <c r="DX49" s="244">
        <f t="shared" ca="1" si="106"/>
        <v>3</v>
      </c>
      <c r="EA49" s="244">
        <f t="shared" ca="1" si="62"/>
        <v>1</v>
      </c>
      <c r="EB49" s="278">
        <f ca="1">VLOOKUP(DM49,Foglio1!$AB$31:$AN$261,13)-6+EA49</f>
        <v>102</v>
      </c>
      <c r="EC49" s="244"/>
      <c r="ED49" s="244">
        <f t="shared" ca="1" si="20"/>
        <v>0</v>
      </c>
      <c r="EE49" s="244">
        <f t="shared" ca="1" si="21"/>
        <v>11185.24</v>
      </c>
      <c r="EF49" s="244">
        <f t="shared" ca="1" si="22"/>
        <v>0</v>
      </c>
      <c r="EG49" s="244">
        <f t="shared" ca="1" si="23"/>
        <v>0</v>
      </c>
      <c r="EH49" s="244">
        <f t="shared" ca="1" si="24"/>
        <v>6384.11</v>
      </c>
      <c r="EI49" s="244">
        <f t="shared" ca="1" si="25"/>
        <v>0</v>
      </c>
      <c r="EJ49" s="244">
        <f t="shared" ca="1" si="26"/>
        <v>1464.11</v>
      </c>
      <c r="EK49" s="244">
        <f t="shared" ca="1" si="27"/>
        <v>0</v>
      </c>
      <c r="EL49" s="244">
        <f t="shared" ca="1" si="28"/>
        <v>0</v>
      </c>
      <c r="EM49" s="244">
        <f t="shared" ca="1" si="29"/>
        <v>102</v>
      </c>
      <c r="EN49" s="244">
        <f t="shared" ca="1" si="30"/>
        <v>0</v>
      </c>
      <c r="EO49" s="244">
        <f t="shared" ca="1" si="31"/>
        <v>0</v>
      </c>
      <c r="EP49" s="244">
        <f t="shared" ca="1" si="32"/>
        <v>1857.84</v>
      </c>
      <c r="EQ49" s="244">
        <f t="shared" ca="1" si="33"/>
        <v>0</v>
      </c>
      <c r="ER49" s="244"/>
      <c r="EW49" s="244">
        <v>0</v>
      </c>
      <c r="EX49" s="278">
        <f ca="1">VLOOKUP(DM49,Foglio1!$AB$31:$AN$261,13)-6+EW49</f>
        <v>101</v>
      </c>
      <c r="EY49" s="244"/>
      <c r="EZ49" s="244">
        <v>0</v>
      </c>
      <c r="FA49" s="244">
        <f t="shared" ca="1" si="63"/>
        <v>10723.07</v>
      </c>
      <c r="FB49" s="244">
        <f t="shared" ca="1" si="64"/>
        <v>0</v>
      </c>
      <c r="FC49" s="244">
        <f t="shared" ca="1" si="65"/>
        <v>0</v>
      </c>
      <c r="FD49" s="244">
        <f t="shared" ca="1" si="66"/>
        <v>6384.11</v>
      </c>
      <c r="FE49" s="244">
        <f t="shared" ca="1" si="67"/>
        <v>0</v>
      </c>
      <c r="FF49" s="244">
        <f t="shared" ca="1" si="68"/>
        <v>1425.6</v>
      </c>
      <c r="FG49" s="244">
        <f t="shared" ca="1" si="69"/>
        <v>0</v>
      </c>
      <c r="FH49" s="244">
        <f t="shared" ca="1" si="70"/>
        <v>0</v>
      </c>
      <c r="FI49" s="244">
        <f t="shared" ca="1" si="71"/>
        <v>101</v>
      </c>
      <c r="FJ49" s="244">
        <f t="shared" ca="1" si="72"/>
        <v>0</v>
      </c>
      <c r="FK49" s="244">
        <f t="shared" ca="1" si="73"/>
        <v>0</v>
      </c>
      <c r="FL49" s="244">
        <f t="shared" ca="1" si="74"/>
        <v>1857.84</v>
      </c>
      <c r="FM49" s="244">
        <f t="shared" ca="1" si="35"/>
        <v>0</v>
      </c>
      <c r="FN49" s="244"/>
    </row>
    <row r="50" spans="5:170" x14ac:dyDescent="0.25">
      <c r="E50" s="244"/>
      <c r="F50" s="240">
        <f>IF(fronttd!E52="","",fronttd!E52)</f>
        <v>41171</v>
      </c>
      <c r="G50" s="240">
        <f>IF(fronttd!F52="","",fronttd!F52)</f>
        <v>41471</v>
      </c>
      <c r="H50" s="380">
        <f>fronttd!G52</f>
        <v>7</v>
      </c>
      <c r="I50" s="380">
        <f>fronttd!H52</f>
        <v>18</v>
      </c>
      <c r="J50">
        <f t="shared" si="75"/>
        <v>24</v>
      </c>
      <c r="L50">
        <f t="shared" si="76"/>
        <v>50</v>
      </c>
      <c r="N50" s="112">
        <f ca="1">IF(   OR(Foglio7!GE70="", Foglio7!GE70=N49),100000,Foglio7!GE70)</f>
        <v>44197</v>
      </c>
      <c r="O50" s="238">
        <f t="shared" si="77"/>
        <v>50</v>
      </c>
      <c r="R50" s="112">
        <f t="shared" si="39"/>
        <v>41171</v>
      </c>
      <c r="S50" s="238">
        <f t="shared" ca="1" si="40"/>
        <v>38</v>
      </c>
      <c r="T50" s="112">
        <f t="shared" ca="1" si="86"/>
        <v>40171</v>
      </c>
      <c r="U50" s="112">
        <f t="shared" ca="1" si="87"/>
        <v>40360</v>
      </c>
      <c r="V50" s="112">
        <f t="shared" ca="1" si="88"/>
        <v>40422</v>
      </c>
      <c r="W50" s="112">
        <f t="shared" ca="1" si="89"/>
        <v>40544</v>
      </c>
      <c r="X50" s="112">
        <f t="shared" si="41"/>
        <v>41471</v>
      </c>
      <c r="Y50" s="112"/>
      <c r="Z50" s="112"/>
      <c r="AA50" s="335">
        <f t="shared" si="42"/>
        <v>41171</v>
      </c>
      <c r="AB50" s="335">
        <f t="shared" ca="1" si="90"/>
        <v>100000</v>
      </c>
      <c r="AC50" s="335">
        <f t="shared" ca="1" si="91"/>
        <v>100000</v>
      </c>
      <c r="AD50" s="335">
        <f t="shared" ca="1" si="92"/>
        <v>100000</v>
      </c>
      <c r="AE50" s="335">
        <f t="shared" ca="1" si="93"/>
        <v>100000</v>
      </c>
      <c r="AF50" s="335">
        <f t="shared" si="43"/>
        <v>41471</v>
      </c>
      <c r="AG50" s="238">
        <f>AG49+1</f>
        <v>26</v>
      </c>
      <c r="AH50" s="112">
        <f ca="1">INDIRECT(CONCATENATE("AA",AG50))</f>
        <v>36777</v>
      </c>
      <c r="AI50" s="112">
        <f ca="1">IF(            INDIRECT(CONCATENATE( "AB",AG50))&lt;100000,       INDIRECT(CONCATENATE("AB",AG50))  -1,IF(   INDIRECT(CONCATENATE("AC",AG50))&lt;100000,   INDIRECT(CONCATENATE("AC",AG50))-1,IF(   INDIRECT(CONCATENATE("AD", AG50))&lt;100000, INDIRECT(CONCATENATE("AD",AG50))-1,IF(   INDIRECT(CONCATENATE("AE",AG50))&lt;100000,  INDIRECT(CONCATENATE("AE",G50)),INDIRECT(CONCATENATE("AF",AG50))                ))))</f>
        <v>36891</v>
      </c>
      <c r="AJ50" s="112">
        <f t="shared" ca="1" si="125"/>
        <v>36891</v>
      </c>
      <c r="AK50" s="112">
        <f t="shared" ca="1" si="8"/>
        <v>36891</v>
      </c>
      <c r="AL50" s="238">
        <f t="shared" ca="1" si="127"/>
        <v>1</v>
      </c>
      <c r="AM50" s="112">
        <f t="shared" ca="1" si="118"/>
        <v>36777</v>
      </c>
      <c r="AN50" s="112">
        <f t="shared" ca="1" si="84"/>
        <v>36891</v>
      </c>
      <c r="AO50" s="114">
        <f t="shared" ca="1" si="46"/>
        <v>18</v>
      </c>
      <c r="AP50" s="114">
        <f t="shared" ca="1" si="47"/>
        <v>24</v>
      </c>
      <c r="AQ50" s="112"/>
      <c r="AR50" s="238">
        <f t="shared" si="78"/>
        <v>50</v>
      </c>
      <c r="AS50" s="112"/>
      <c r="AT50" s="112"/>
      <c r="AU50" s="283">
        <f t="shared" si="79"/>
        <v>31</v>
      </c>
      <c r="AV50" s="284">
        <f t="shared" ca="1" si="48"/>
        <v>38231</v>
      </c>
      <c r="AW50" s="284">
        <f t="shared" ca="1" si="119"/>
        <v>38383</v>
      </c>
      <c r="AX50" s="285">
        <f t="shared" ca="1" si="120"/>
        <v>18</v>
      </c>
      <c r="AY50" s="285">
        <f t="shared" ca="1" si="51"/>
        <v>24</v>
      </c>
      <c r="AZ50" s="282"/>
      <c r="BD50" s="114">
        <f t="shared" si="80"/>
        <v>1</v>
      </c>
      <c r="BE50" s="112">
        <f t="shared" si="54"/>
        <v>100000</v>
      </c>
      <c r="BH50" s="238">
        <f t="shared" si="81"/>
        <v>31</v>
      </c>
      <c r="BI50" s="245">
        <f t="shared" si="55"/>
        <v>41171</v>
      </c>
      <c r="BJ50" s="281">
        <f t="shared" ca="1" si="96"/>
        <v>16</v>
      </c>
      <c r="BK50" s="245">
        <f t="shared" ca="1" si="56"/>
        <v>38961</v>
      </c>
      <c r="BL50" s="245">
        <f t="shared" ca="1" si="57"/>
        <v>39082</v>
      </c>
      <c r="BM50" s="244"/>
      <c r="BN50" s="245">
        <f t="shared" ca="1" si="97"/>
        <v>39277</v>
      </c>
      <c r="BQ50" s="245"/>
      <c r="BR50" s="245"/>
      <c r="BS50" s="245"/>
      <c r="BT50" s="245"/>
      <c r="BU50" s="245"/>
      <c r="BV50" s="245"/>
      <c r="BY50" s="245"/>
      <c r="BZ50" s="245"/>
      <c r="CA50" s="245"/>
      <c r="CB50" s="245"/>
      <c r="CC50" s="245"/>
      <c r="CD50" s="245"/>
      <c r="CE50" s="245"/>
      <c r="CF50" s="245"/>
      <c r="CG50" s="245"/>
      <c r="CH50" s="245"/>
      <c r="CL50" s="112"/>
      <c r="CM50" s="112"/>
      <c r="CP50" s="112"/>
      <c r="CQ50" s="112"/>
      <c r="CR50" s="238"/>
      <c r="CS50" s="238"/>
      <c r="CT50" s="112"/>
      <c r="CU50" s="112"/>
      <c r="CV50" s="112"/>
      <c r="CW50" s="112" t="s">
        <v>224</v>
      </c>
      <c r="CX50" s="112" t="s">
        <v>225</v>
      </c>
      <c r="CY50" s="112" t="s">
        <v>226</v>
      </c>
      <c r="CZ50" s="112" t="s">
        <v>227</v>
      </c>
      <c r="DA50" s="112" t="s">
        <v>228</v>
      </c>
      <c r="DB50" s="112" t="s">
        <v>229</v>
      </c>
      <c r="DC50" s="112"/>
      <c r="DD50" s="238">
        <f t="shared" ca="1" si="116"/>
        <v>0</v>
      </c>
      <c r="DE50" s="238">
        <f t="shared" ca="1" si="108"/>
        <v>0</v>
      </c>
      <c r="DF50" s="112"/>
      <c r="DG50" s="238"/>
      <c r="DH50" s="238"/>
      <c r="DI50" s="112"/>
      <c r="DJ50" s="238"/>
      <c r="DK50" s="112">
        <f t="shared" ca="1" si="58"/>
        <v>38231</v>
      </c>
      <c r="DL50" s="278">
        <f t="shared" ca="1" si="129"/>
        <v>31</v>
      </c>
      <c r="DM50" s="245">
        <f t="shared" ref="DM50:DP50" ca="1" si="137">DM601</f>
        <v>38231</v>
      </c>
      <c r="DN50" s="245">
        <f t="shared" ca="1" si="137"/>
        <v>38383</v>
      </c>
      <c r="DO50" s="245">
        <f t="shared" ca="1" si="137"/>
        <v>18</v>
      </c>
      <c r="DP50" s="245">
        <f t="shared" ca="1" si="137"/>
        <v>24</v>
      </c>
      <c r="DQ50" s="281">
        <f t="shared" ca="1" si="131"/>
        <v>153</v>
      </c>
      <c r="DR50" s="278">
        <f t="shared" ca="1" si="132"/>
        <v>0</v>
      </c>
      <c r="DS50" s="244">
        <f t="shared" ca="1" si="60"/>
        <v>19427.189999999999</v>
      </c>
      <c r="DT50" s="244">
        <f t="shared" ca="1" si="61"/>
        <v>18965.02</v>
      </c>
      <c r="DU50" s="244">
        <f t="shared" ca="1" si="133"/>
        <v>145.30000000000001</v>
      </c>
      <c r="DV50" s="244" t="str">
        <f t="shared" ca="1" si="134"/>
        <v>3/8 anni</v>
      </c>
      <c r="DW50" s="244"/>
      <c r="DX50" s="244">
        <f t="shared" ca="1" si="106"/>
        <v>3</v>
      </c>
      <c r="EA50" s="244">
        <f t="shared" ca="1" si="62"/>
        <v>1</v>
      </c>
      <c r="EB50" s="278">
        <f ca="1">VLOOKUP(DM50,Foglio1!$AB$31:$AN$261,13)-6+EA50</f>
        <v>102</v>
      </c>
      <c r="EC50" s="244"/>
      <c r="ED50" s="244">
        <f t="shared" ca="1" si="20"/>
        <v>0</v>
      </c>
      <c r="EE50" s="244">
        <f t="shared" ca="1" si="21"/>
        <v>11185.24</v>
      </c>
      <c r="EF50" s="244">
        <f t="shared" ca="1" si="22"/>
        <v>0</v>
      </c>
      <c r="EG50" s="244">
        <f t="shared" ca="1" si="23"/>
        <v>0</v>
      </c>
      <c r="EH50" s="244">
        <f t="shared" ca="1" si="24"/>
        <v>6384.11</v>
      </c>
      <c r="EI50" s="244">
        <f t="shared" ca="1" si="25"/>
        <v>0</v>
      </c>
      <c r="EJ50" s="244">
        <f t="shared" ca="1" si="26"/>
        <v>1464.11</v>
      </c>
      <c r="EK50" s="244">
        <f t="shared" ca="1" si="27"/>
        <v>0</v>
      </c>
      <c r="EL50" s="244">
        <f t="shared" ca="1" si="28"/>
        <v>0</v>
      </c>
      <c r="EM50" s="244">
        <f t="shared" ca="1" si="29"/>
        <v>102</v>
      </c>
      <c r="EN50" s="244">
        <f t="shared" ca="1" si="30"/>
        <v>0</v>
      </c>
      <c r="EO50" s="244">
        <f t="shared" ca="1" si="31"/>
        <v>0</v>
      </c>
      <c r="EP50" s="244">
        <f t="shared" ca="1" si="32"/>
        <v>1857.84</v>
      </c>
      <c r="EQ50" s="244">
        <f t="shared" ca="1" si="33"/>
        <v>0</v>
      </c>
      <c r="ER50" s="244"/>
      <c r="EW50" s="244">
        <v>0</v>
      </c>
      <c r="EX50" s="278">
        <f ca="1">VLOOKUP(DM50,Foglio1!$AB$31:$AN$261,13)-6+EW50</f>
        <v>101</v>
      </c>
      <c r="EY50" s="244"/>
      <c r="EZ50" s="244">
        <v>0</v>
      </c>
      <c r="FA50" s="244">
        <f t="shared" ca="1" si="63"/>
        <v>10723.07</v>
      </c>
      <c r="FB50" s="244">
        <f t="shared" ca="1" si="64"/>
        <v>0</v>
      </c>
      <c r="FC50" s="244">
        <f t="shared" ca="1" si="65"/>
        <v>0</v>
      </c>
      <c r="FD50" s="244">
        <f t="shared" ca="1" si="66"/>
        <v>6384.11</v>
      </c>
      <c r="FE50" s="244">
        <f t="shared" ca="1" si="67"/>
        <v>0</v>
      </c>
      <c r="FF50" s="244">
        <f t="shared" ca="1" si="68"/>
        <v>1425.6</v>
      </c>
      <c r="FG50" s="244">
        <f t="shared" ca="1" si="69"/>
        <v>0</v>
      </c>
      <c r="FH50" s="244">
        <f t="shared" ca="1" si="70"/>
        <v>0</v>
      </c>
      <c r="FI50" s="244">
        <f t="shared" ca="1" si="71"/>
        <v>101</v>
      </c>
      <c r="FJ50" s="244">
        <f t="shared" ca="1" si="72"/>
        <v>0</v>
      </c>
      <c r="FK50" s="244">
        <f t="shared" ca="1" si="73"/>
        <v>0</v>
      </c>
      <c r="FL50" s="244">
        <f t="shared" ca="1" si="74"/>
        <v>1857.84</v>
      </c>
      <c r="FM50" s="244">
        <f t="shared" ca="1" si="35"/>
        <v>0</v>
      </c>
      <c r="FN50" s="244"/>
    </row>
    <row r="51" spans="5:170" x14ac:dyDescent="0.25">
      <c r="E51" s="244"/>
      <c r="F51" s="240">
        <f>IF(fronttd!E53="","",fronttd!E53)</f>
        <v>41178</v>
      </c>
      <c r="G51" s="240">
        <f>IF(fronttd!F53="","",fronttd!F53)</f>
        <v>41471</v>
      </c>
      <c r="H51" s="380">
        <f>fronttd!G53</f>
        <v>5</v>
      </c>
      <c r="I51" s="380">
        <f>fronttd!H53</f>
        <v>18</v>
      </c>
      <c r="J51">
        <f t="shared" si="75"/>
        <v>24</v>
      </c>
      <c r="L51">
        <f t="shared" si="76"/>
        <v>51</v>
      </c>
      <c r="N51" s="112">
        <f ca="1">IF(   OR(Foglio7!GE71="", Foglio7!GE71=N50),100000,Foglio7!GE71)</f>
        <v>44562</v>
      </c>
      <c r="O51" s="238">
        <f t="shared" si="77"/>
        <v>51</v>
      </c>
      <c r="R51" s="112">
        <f t="shared" si="39"/>
        <v>41178</v>
      </c>
      <c r="S51" s="238">
        <f t="shared" ca="1" si="40"/>
        <v>38</v>
      </c>
      <c r="T51" s="112">
        <f t="shared" ca="1" si="86"/>
        <v>40171</v>
      </c>
      <c r="U51" s="112">
        <f t="shared" ca="1" si="87"/>
        <v>40360</v>
      </c>
      <c r="V51" s="112">
        <f t="shared" ca="1" si="88"/>
        <v>40422</v>
      </c>
      <c r="W51" s="112">
        <f t="shared" ca="1" si="89"/>
        <v>40544</v>
      </c>
      <c r="X51" s="112">
        <f t="shared" si="41"/>
        <v>41471</v>
      </c>
      <c r="Y51" s="112"/>
      <c r="Z51" s="112"/>
      <c r="AA51" s="335">
        <f t="shared" si="42"/>
        <v>41178</v>
      </c>
      <c r="AB51" s="335">
        <f t="shared" ca="1" si="90"/>
        <v>100000</v>
      </c>
      <c r="AC51" s="335">
        <f t="shared" ca="1" si="91"/>
        <v>100000</v>
      </c>
      <c r="AD51" s="335">
        <f t="shared" ca="1" si="92"/>
        <v>100000</v>
      </c>
      <c r="AE51" s="335">
        <f t="shared" ca="1" si="93"/>
        <v>100000</v>
      </c>
      <c r="AF51" s="335">
        <f t="shared" si="43"/>
        <v>41471</v>
      </c>
      <c r="AG51" s="238">
        <f>AG50</f>
        <v>26</v>
      </c>
      <c r="AH51" s="112">
        <f ca="1">AI50+1</f>
        <v>36892</v>
      </c>
      <c r="AI51" s="112">
        <f ca="1">IF(INDIRECT(CONCATENATE("AC",AG50))&lt;100000,INDIRECT(CONCATENATE("AC",AG50))-1,IF(INDIRECT(CONCATENATE("AD",AG50))&lt;100000,INDIRECT(CONCATENATE("AD",AG50))-1,IF(INDIRECT(CONCATENATE("AE",AG50))&lt;100000,INDIRECT(CONCATENATE("AE",G50)),INDIRECT(CONCATENATE("AF",AG50)))))</f>
        <v>36891</v>
      </c>
      <c r="AJ51" s="112">
        <f t="shared" ca="1" si="125"/>
        <v>36891</v>
      </c>
      <c r="AK51" s="112">
        <f t="shared" ca="1" si="8"/>
        <v>36891</v>
      </c>
      <c r="AL51" s="238">
        <f t="shared" ca="1" si="127"/>
        <v>0</v>
      </c>
      <c r="AM51" s="112">
        <f t="shared" ca="1" si="118"/>
        <v>100000</v>
      </c>
      <c r="AN51" s="112">
        <f t="shared" ca="1" si="84"/>
        <v>100000</v>
      </c>
      <c r="AO51" s="114">
        <f t="shared" ca="1" si="46"/>
        <v>18</v>
      </c>
      <c r="AP51" s="114">
        <f t="shared" ca="1" si="47"/>
        <v>24</v>
      </c>
      <c r="AQ51" s="112"/>
      <c r="AR51" s="238">
        <f t="shared" si="78"/>
        <v>51</v>
      </c>
      <c r="AS51" s="112"/>
      <c r="AT51" s="112"/>
      <c r="AU51" s="283">
        <f t="shared" si="79"/>
        <v>32</v>
      </c>
      <c r="AV51" s="284">
        <f t="shared" ca="1" si="48"/>
        <v>38384</v>
      </c>
      <c r="AW51" s="284">
        <f t="shared" ca="1" si="119"/>
        <v>38551</v>
      </c>
      <c r="AX51" s="285">
        <f t="shared" ca="1" si="120"/>
        <v>18</v>
      </c>
      <c r="AY51" s="285">
        <f t="shared" ca="1" si="51"/>
        <v>24</v>
      </c>
      <c r="AZ51" s="282"/>
      <c r="BD51" s="114">
        <f t="shared" si="80"/>
        <v>1</v>
      </c>
      <c r="BE51" s="112">
        <f t="shared" si="54"/>
        <v>100000</v>
      </c>
      <c r="BH51" s="238">
        <f t="shared" si="81"/>
        <v>32</v>
      </c>
      <c r="BI51" s="245">
        <f t="shared" si="55"/>
        <v>41178</v>
      </c>
      <c r="BJ51" s="281">
        <f t="shared" ca="1" si="96"/>
        <v>1</v>
      </c>
      <c r="BK51" s="245">
        <f t="shared" ca="1" si="56"/>
        <v>39083</v>
      </c>
      <c r="BL51" s="245">
        <f t="shared" ca="1" si="57"/>
        <v>39113</v>
      </c>
      <c r="BM51" s="244"/>
      <c r="BN51" s="245">
        <f t="shared" ca="1" si="97"/>
        <v>39277</v>
      </c>
      <c r="BQ51" s="245"/>
      <c r="BR51" s="245"/>
      <c r="BS51" s="245"/>
      <c r="BT51" s="245"/>
      <c r="BU51" s="245"/>
      <c r="BV51" s="245"/>
      <c r="BY51" s="245"/>
      <c r="BZ51" s="245"/>
      <c r="CA51" s="245"/>
      <c r="CB51" s="245"/>
      <c r="CC51" s="245"/>
      <c r="CD51" s="245"/>
      <c r="CE51" s="245"/>
      <c r="CF51" s="245"/>
      <c r="CG51" s="245"/>
      <c r="CH51" s="245"/>
      <c r="CL51" s="112"/>
      <c r="CM51" s="112"/>
      <c r="CP51" s="112"/>
      <c r="CQ51" s="112"/>
      <c r="CR51" s="238"/>
      <c r="CS51" s="238"/>
      <c r="CT51" s="112"/>
      <c r="CU51" s="112"/>
      <c r="CV51" s="112"/>
      <c r="CW51" s="112" t="s">
        <v>224</v>
      </c>
      <c r="CX51" s="112" t="s">
        <v>225</v>
      </c>
      <c r="CY51" s="112" t="s">
        <v>226</v>
      </c>
      <c r="CZ51" s="112" t="s">
        <v>227</v>
      </c>
      <c r="DA51" s="112" t="s">
        <v>228</v>
      </c>
      <c r="DB51" s="112" t="s">
        <v>229</v>
      </c>
      <c r="DC51" s="112"/>
      <c r="DD51" s="238">
        <f t="shared" ca="1" si="116"/>
        <v>0</v>
      </c>
      <c r="DE51" s="238">
        <f t="shared" ca="1" si="108"/>
        <v>0</v>
      </c>
      <c r="DF51" s="112"/>
      <c r="DG51" s="238"/>
      <c r="DH51" s="238"/>
      <c r="DI51" s="112"/>
      <c r="DJ51" s="238"/>
      <c r="DK51" s="112">
        <f t="shared" ca="1" si="58"/>
        <v>38384</v>
      </c>
      <c r="DL51" s="278">
        <f t="shared" ca="1" si="129"/>
        <v>32</v>
      </c>
      <c r="DM51" s="245">
        <f t="shared" ref="DM51:DP51" ca="1" si="138">DM602</f>
        <v>38384</v>
      </c>
      <c r="DN51" s="245">
        <f t="shared" ca="1" si="138"/>
        <v>38551</v>
      </c>
      <c r="DO51" s="245">
        <f t="shared" ca="1" si="138"/>
        <v>18</v>
      </c>
      <c r="DP51" s="245">
        <f t="shared" ca="1" si="138"/>
        <v>24</v>
      </c>
      <c r="DQ51" s="281">
        <f t="shared" ca="1" si="131"/>
        <v>168</v>
      </c>
      <c r="DR51" s="278">
        <f t="shared" ca="1" si="132"/>
        <v>0</v>
      </c>
      <c r="DS51" s="244">
        <f t="shared" ca="1" si="60"/>
        <v>19914.990000000002</v>
      </c>
      <c r="DT51" s="244">
        <f t="shared" ca="1" si="61"/>
        <v>19439.98</v>
      </c>
      <c r="DU51" s="244">
        <f t="shared" ca="1" si="133"/>
        <v>163.98</v>
      </c>
      <c r="DV51" s="244" t="str">
        <f t="shared" ca="1" si="134"/>
        <v>3/8 anni</v>
      </c>
      <c r="DW51" s="244"/>
      <c r="DX51" s="244">
        <f t="shared" ca="1" si="106"/>
        <v>3</v>
      </c>
      <c r="EA51" s="244">
        <f t="shared" ca="1" si="62"/>
        <v>1</v>
      </c>
      <c r="EB51" s="278">
        <f ca="1">VLOOKUP(DM51,Foglio1!$AB$31:$AN$261,13)-6+EA51</f>
        <v>109</v>
      </c>
      <c r="EC51" s="244"/>
      <c r="ED51" s="244">
        <f t="shared" ca="1" si="20"/>
        <v>0</v>
      </c>
      <c r="EE51" s="244">
        <f t="shared" ca="1" si="21"/>
        <v>11673.04</v>
      </c>
      <c r="EF51" s="244">
        <f t="shared" ca="1" si="22"/>
        <v>0</v>
      </c>
      <c r="EG51" s="244">
        <f t="shared" ca="1" si="23"/>
        <v>0</v>
      </c>
      <c r="EH51" s="244">
        <f t="shared" ca="1" si="24"/>
        <v>6384.11</v>
      </c>
      <c r="EI51" s="244">
        <f t="shared" ca="1" si="25"/>
        <v>0</v>
      </c>
      <c r="EJ51" s="244">
        <f t="shared" ca="1" si="26"/>
        <v>1504.76</v>
      </c>
      <c r="EK51" s="244">
        <f t="shared" ca="1" si="27"/>
        <v>0</v>
      </c>
      <c r="EL51" s="244">
        <f t="shared" ca="1" si="28"/>
        <v>0</v>
      </c>
      <c r="EM51" s="244">
        <f t="shared" ca="1" si="29"/>
        <v>109</v>
      </c>
      <c r="EN51" s="244">
        <f t="shared" ca="1" si="30"/>
        <v>0</v>
      </c>
      <c r="EO51" s="244">
        <f t="shared" ca="1" si="31"/>
        <v>0</v>
      </c>
      <c r="EP51" s="244">
        <f t="shared" ca="1" si="32"/>
        <v>1857.84</v>
      </c>
      <c r="EQ51" s="244">
        <f t="shared" ca="1" si="33"/>
        <v>0</v>
      </c>
      <c r="ER51" s="244"/>
      <c r="EW51" s="244">
        <v>0</v>
      </c>
      <c r="EX51" s="278">
        <f ca="1">VLOOKUP(DM51,Foglio1!$AB$31:$AN$261,13)-6+EW51</f>
        <v>108</v>
      </c>
      <c r="EY51" s="244"/>
      <c r="EZ51" s="244">
        <v>0</v>
      </c>
      <c r="FA51" s="244">
        <f t="shared" ca="1" si="63"/>
        <v>11198.03</v>
      </c>
      <c r="FB51" s="244">
        <f t="shared" ca="1" si="64"/>
        <v>0</v>
      </c>
      <c r="FC51" s="244">
        <f t="shared" ca="1" si="65"/>
        <v>0</v>
      </c>
      <c r="FD51" s="244">
        <f t="shared" ca="1" si="66"/>
        <v>6384.11</v>
      </c>
      <c r="FE51" s="244">
        <f t="shared" ca="1" si="67"/>
        <v>0</v>
      </c>
      <c r="FF51" s="244">
        <f t="shared" ca="1" si="68"/>
        <v>1465.18</v>
      </c>
      <c r="FG51" s="244">
        <f t="shared" ca="1" si="69"/>
        <v>0</v>
      </c>
      <c r="FH51" s="244">
        <f t="shared" ca="1" si="70"/>
        <v>0</v>
      </c>
      <c r="FI51" s="244">
        <f t="shared" ca="1" si="71"/>
        <v>108</v>
      </c>
      <c r="FJ51" s="244">
        <f t="shared" ca="1" si="72"/>
        <v>0</v>
      </c>
      <c r="FK51" s="244">
        <f t="shared" ca="1" si="73"/>
        <v>0</v>
      </c>
      <c r="FL51" s="244">
        <f t="shared" ca="1" si="74"/>
        <v>1857.84</v>
      </c>
      <c r="FM51" s="244">
        <f t="shared" ca="1" si="35"/>
        <v>0</v>
      </c>
      <c r="FN51" s="244"/>
    </row>
    <row r="52" spans="5:170" x14ac:dyDescent="0.25">
      <c r="E52" s="244"/>
      <c r="F52" s="240">
        <f>IF(fronttd!E54="","",fronttd!E54)</f>
        <v>41184</v>
      </c>
      <c r="G52" s="240">
        <f>IF(fronttd!F54="","",fronttd!F54)</f>
        <v>41196</v>
      </c>
      <c r="H52" s="380">
        <f>fronttd!G54</f>
        <v>6</v>
      </c>
      <c r="I52" s="380">
        <f>fronttd!H54</f>
        <v>18</v>
      </c>
      <c r="J52">
        <f t="shared" si="75"/>
        <v>24</v>
      </c>
      <c r="L52">
        <f t="shared" si="76"/>
        <v>52</v>
      </c>
      <c r="N52" s="112">
        <f ca="1">IF(   OR(Foglio7!GE72="", Foglio7!GE72=N51),100000,Foglio7!GE72)</f>
        <v>44652</v>
      </c>
      <c r="O52" s="238">
        <f t="shared" si="77"/>
        <v>52</v>
      </c>
      <c r="R52" s="112">
        <f t="shared" si="39"/>
        <v>41184</v>
      </c>
      <c r="S52" s="238">
        <f t="shared" ca="1" si="40"/>
        <v>38</v>
      </c>
      <c r="T52" s="112">
        <f t="shared" ca="1" si="86"/>
        <v>40171</v>
      </c>
      <c r="U52" s="112">
        <f t="shared" ca="1" si="87"/>
        <v>40360</v>
      </c>
      <c r="V52" s="112">
        <f t="shared" ca="1" si="88"/>
        <v>40422</v>
      </c>
      <c r="W52" s="112">
        <f t="shared" ca="1" si="89"/>
        <v>40544</v>
      </c>
      <c r="X52" s="112">
        <f t="shared" si="41"/>
        <v>41196</v>
      </c>
      <c r="Y52" s="112"/>
      <c r="Z52" s="112"/>
      <c r="AA52" s="335">
        <f t="shared" si="42"/>
        <v>41184</v>
      </c>
      <c r="AB52" s="335">
        <f t="shared" ca="1" si="90"/>
        <v>100000</v>
      </c>
      <c r="AC52" s="335">
        <f t="shared" ca="1" si="91"/>
        <v>100000</v>
      </c>
      <c r="AD52" s="335">
        <f t="shared" ca="1" si="92"/>
        <v>100000</v>
      </c>
      <c r="AE52" s="335">
        <f t="shared" ca="1" si="93"/>
        <v>100000</v>
      </c>
      <c r="AF52" s="335">
        <f t="shared" si="43"/>
        <v>41196</v>
      </c>
      <c r="AG52" s="238">
        <f>AG51</f>
        <v>26</v>
      </c>
      <c r="AH52" s="112">
        <f ca="1">AI51+1</f>
        <v>36892</v>
      </c>
      <c r="AI52" s="112">
        <f ca="1">IF(INDIRECT(CONCATENATE("AD",AG50))&lt;100000,INDIRECT(CONCATENATE("AD",AG50))-1,IF(INDIRECT(CONCATENATE("AE",AG50))&lt;100000,INDIRECT(CONCATENATE("AE",G50)),INDIRECT(CONCATENATE("AF",AG50))))</f>
        <v>36920</v>
      </c>
      <c r="AJ52" s="112">
        <f t="shared" ca="1" si="125"/>
        <v>36920</v>
      </c>
      <c r="AK52" s="112">
        <f t="shared" ca="1" si="8"/>
        <v>36920</v>
      </c>
      <c r="AL52" s="238">
        <f t="shared" ca="1" si="127"/>
        <v>1</v>
      </c>
      <c r="AM52" s="112">
        <f t="shared" ca="1" si="118"/>
        <v>36892</v>
      </c>
      <c r="AN52" s="112">
        <f t="shared" ca="1" si="84"/>
        <v>36920</v>
      </c>
      <c r="AO52" s="114">
        <f t="shared" ca="1" si="46"/>
        <v>18</v>
      </c>
      <c r="AP52" s="114">
        <f t="shared" ca="1" si="47"/>
        <v>24</v>
      </c>
      <c r="AQ52" s="112"/>
      <c r="AR52" s="238">
        <f t="shared" si="78"/>
        <v>52</v>
      </c>
      <c r="AS52" s="112"/>
      <c r="AT52" s="112"/>
      <c r="AU52" s="283">
        <f t="shared" si="79"/>
        <v>33</v>
      </c>
      <c r="AV52" s="284">
        <f t="shared" ca="1" si="48"/>
        <v>38596</v>
      </c>
      <c r="AW52" s="284">
        <f t="shared" ca="1" si="119"/>
        <v>38717</v>
      </c>
      <c r="AX52" s="285">
        <f t="shared" ca="1" si="120"/>
        <v>18</v>
      </c>
      <c r="AY52" s="285">
        <f t="shared" ca="1" si="51"/>
        <v>24</v>
      </c>
      <c r="AZ52" s="282"/>
      <c r="BD52" s="114">
        <f t="shared" si="80"/>
        <v>1</v>
      </c>
      <c r="BE52" s="112">
        <f t="shared" si="54"/>
        <v>100000</v>
      </c>
      <c r="BH52" s="238">
        <f t="shared" si="81"/>
        <v>33</v>
      </c>
      <c r="BI52" s="245">
        <f t="shared" si="55"/>
        <v>41184</v>
      </c>
      <c r="BJ52" s="281">
        <f t="shared" ca="1" si="96"/>
        <v>1</v>
      </c>
      <c r="BK52" s="245">
        <f t="shared" ca="1" si="56"/>
        <v>39114</v>
      </c>
      <c r="BL52" s="245">
        <f t="shared" ca="1" si="57"/>
        <v>39263</v>
      </c>
      <c r="BM52" s="244"/>
      <c r="BN52" s="245">
        <f t="shared" ca="1" si="97"/>
        <v>39277</v>
      </c>
      <c r="BQ52" s="245"/>
      <c r="BR52" s="245"/>
      <c r="BS52" s="245"/>
      <c r="BT52" s="245"/>
      <c r="BU52" s="245"/>
      <c r="BV52" s="245"/>
      <c r="BY52" s="245"/>
      <c r="BZ52" s="245"/>
      <c r="CA52" s="245"/>
      <c r="CB52" s="245"/>
      <c r="CC52" s="245"/>
      <c r="CD52" s="245"/>
      <c r="CE52" s="245"/>
      <c r="CF52" s="245"/>
      <c r="CG52" s="245"/>
      <c r="CH52" s="245"/>
      <c r="CL52" s="112"/>
      <c r="CM52" s="112"/>
      <c r="CP52" s="112"/>
      <c r="CQ52" s="112"/>
      <c r="CR52" s="238"/>
      <c r="CS52" s="238"/>
      <c r="CT52" s="112"/>
      <c r="CU52" s="112"/>
      <c r="CV52" s="112"/>
      <c r="CW52" s="112" t="s">
        <v>224</v>
      </c>
      <c r="CX52" s="112" t="s">
        <v>225</v>
      </c>
      <c r="CY52" s="112" t="s">
        <v>226</v>
      </c>
      <c r="CZ52" s="112" t="s">
        <v>227</v>
      </c>
      <c r="DA52" s="112" t="s">
        <v>228</v>
      </c>
      <c r="DB52" s="112" t="s">
        <v>229</v>
      </c>
      <c r="DC52" s="112"/>
      <c r="DD52" s="238">
        <f t="shared" ca="1" si="116"/>
        <v>0</v>
      </c>
      <c r="DE52" s="238">
        <f t="shared" ca="1" si="108"/>
        <v>0</v>
      </c>
      <c r="DF52" s="112"/>
      <c r="DG52" s="238"/>
      <c r="DH52" s="238"/>
      <c r="DI52" s="112"/>
      <c r="DJ52" s="238"/>
      <c r="DK52" s="112">
        <f t="shared" ca="1" si="58"/>
        <v>38596</v>
      </c>
      <c r="DL52" s="278">
        <f t="shared" ca="1" si="129"/>
        <v>33</v>
      </c>
      <c r="DM52" s="245">
        <f t="shared" ref="DM52:DP52" ca="1" si="139">DM603</f>
        <v>38596</v>
      </c>
      <c r="DN52" s="245">
        <f t="shared" ca="1" si="139"/>
        <v>38717</v>
      </c>
      <c r="DO52" s="245">
        <f t="shared" ca="1" si="139"/>
        <v>18</v>
      </c>
      <c r="DP52" s="245">
        <f t="shared" ca="1" si="139"/>
        <v>24</v>
      </c>
      <c r="DQ52" s="281">
        <f t="shared" ca="1" si="131"/>
        <v>122</v>
      </c>
      <c r="DR52" s="278">
        <f t="shared" ca="1" si="132"/>
        <v>0</v>
      </c>
      <c r="DS52" s="244">
        <f t="shared" ca="1" si="60"/>
        <v>19914.990000000002</v>
      </c>
      <c r="DT52" s="244">
        <f t="shared" ca="1" si="61"/>
        <v>19439.98</v>
      </c>
      <c r="DU52" s="244">
        <f t="shared" ca="1" si="133"/>
        <v>119.08</v>
      </c>
      <c r="DV52" s="244" t="str">
        <f t="shared" ca="1" si="134"/>
        <v>3/8 anni</v>
      </c>
      <c r="DW52" s="244"/>
      <c r="DX52" s="244">
        <f t="shared" ca="1" si="106"/>
        <v>3</v>
      </c>
      <c r="EA52" s="244">
        <f t="shared" ca="1" si="62"/>
        <v>1</v>
      </c>
      <c r="EB52" s="278">
        <f ca="1">VLOOKUP(DM52,Foglio1!$AB$31:$AN$261,13)-6+EA52</f>
        <v>109</v>
      </c>
      <c r="EC52" s="244"/>
      <c r="ED52" s="244">
        <f t="shared" ref="ED52:ED83" ca="1" si="140">INDIRECT(CONCATENATE(EB$16,EB$17,$EB52))</f>
        <v>0</v>
      </c>
      <c r="EE52" s="244">
        <f t="shared" ref="EE52:EE83" ca="1" si="141">INDIRECT(CONCATENATE(EC$16,EC$17,$EB52))</f>
        <v>11673.04</v>
      </c>
      <c r="EF52" s="244">
        <f t="shared" ref="EF52:EF83" ca="1" si="142">INDIRECT(CONCATENATE(ED$16,ED$17,$EB52))</f>
        <v>0</v>
      </c>
      <c r="EG52" s="244">
        <f t="shared" ref="EG52:EG83" ca="1" si="143">INDIRECT(CONCATENATE(EE$16,EE$17,$EB52))</f>
        <v>0</v>
      </c>
      <c r="EH52" s="244">
        <f t="shared" ref="EH52:EH83" ca="1" si="144">INDIRECT(CONCATENATE(EF$16,EF$17,$EB52))</f>
        <v>6384.11</v>
      </c>
      <c r="EI52" s="244">
        <f t="shared" ref="EI52:EI83" ca="1" si="145">INDIRECT(CONCATENATE(EG$16,EG$17,$EB52))</f>
        <v>0</v>
      </c>
      <c r="EJ52" s="244">
        <f t="shared" ref="EJ52:EJ83" ca="1" si="146">INDIRECT(CONCATENATE(EH$16,EH$17,$EB52))</f>
        <v>1504.76</v>
      </c>
      <c r="EK52" s="244">
        <f t="shared" ref="EK52:EK83" ca="1" si="147">INDIRECT(CONCATENATE(EI$16,EI$17,$EB52))</f>
        <v>0</v>
      </c>
      <c r="EL52" s="244">
        <f t="shared" ref="EL52:EL83" ca="1" si="148">INDIRECT(CONCATENATE(EJ$16,EJ$17,$EB52))</f>
        <v>0</v>
      </c>
      <c r="EM52" s="244">
        <f t="shared" ref="EM52:EM83" ca="1" si="149">INDIRECT(CONCATENATE(EK$16,EK$17,$EB52))</f>
        <v>109</v>
      </c>
      <c r="EN52" s="244">
        <f t="shared" ref="EN52:EN83" ca="1" si="150">INDIRECT(CONCATENATE(EL$16,EL$17,$EB52))</f>
        <v>0</v>
      </c>
      <c r="EO52" s="244">
        <f t="shared" ref="EO52:EO83" ca="1" si="151">INDIRECT(CONCATENATE(EM$16,EM$17,$EB52))</f>
        <v>0</v>
      </c>
      <c r="EP52" s="244">
        <f t="shared" ref="EP52:EP83" ca="1" si="152">INDIRECT(CONCATENATE(EN$16,EN$17,$EB52))</f>
        <v>1857.84</v>
      </c>
      <c r="EQ52" s="244">
        <f t="shared" ref="EQ52:EQ83" ca="1" si="153">INDIRECT(CONCATENATE(EO$16,EO$17,$EB52))</f>
        <v>0</v>
      </c>
      <c r="ER52" s="244"/>
      <c r="EW52" s="244">
        <v>0</v>
      </c>
      <c r="EX52" s="278">
        <f ca="1">VLOOKUP(DM52,Foglio1!$AB$31:$AN$261,13)-6+EW52</f>
        <v>108</v>
      </c>
      <c r="EY52" s="244"/>
      <c r="EZ52" s="244">
        <v>0</v>
      </c>
      <c r="FA52" s="244">
        <f t="shared" ca="1" si="63"/>
        <v>11198.03</v>
      </c>
      <c r="FB52" s="244">
        <f t="shared" ca="1" si="64"/>
        <v>0</v>
      </c>
      <c r="FC52" s="244">
        <f t="shared" ca="1" si="65"/>
        <v>0</v>
      </c>
      <c r="FD52" s="244">
        <f t="shared" ca="1" si="66"/>
        <v>6384.11</v>
      </c>
      <c r="FE52" s="244">
        <f t="shared" ca="1" si="67"/>
        <v>0</v>
      </c>
      <c r="FF52" s="244">
        <f t="shared" ca="1" si="68"/>
        <v>1465.18</v>
      </c>
      <c r="FG52" s="244">
        <f t="shared" ca="1" si="69"/>
        <v>0</v>
      </c>
      <c r="FH52" s="244">
        <f t="shared" ca="1" si="70"/>
        <v>0</v>
      </c>
      <c r="FI52" s="244">
        <f t="shared" ca="1" si="71"/>
        <v>108</v>
      </c>
      <c r="FJ52" s="244">
        <f t="shared" ca="1" si="72"/>
        <v>0</v>
      </c>
      <c r="FK52" s="244">
        <f t="shared" ca="1" si="73"/>
        <v>0</v>
      </c>
      <c r="FL52" s="244">
        <f t="shared" ca="1" si="74"/>
        <v>1857.84</v>
      </c>
      <c r="FM52" s="244">
        <f t="shared" ref="FM52:FM83" ca="1" si="154">INDIRECT(CONCATENATE(FK$16,FK$17,$EB52))</f>
        <v>0</v>
      </c>
      <c r="FN52" s="244"/>
    </row>
    <row r="53" spans="5:170" x14ac:dyDescent="0.25">
      <c r="E53" s="244"/>
      <c r="F53" s="240">
        <f>IF(fronttd!E55="","",fronttd!E55)</f>
        <v>41197</v>
      </c>
      <c r="G53" s="240">
        <f>IF(fronttd!F55="","",fronttd!F55)</f>
        <v>41239</v>
      </c>
      <c r="H53" s="380">
        <f>fronttd!G55</f>
        <v>6</v>
      </c>
      <c r="I53" s="380">
        <f>fronttd!H55</f>
        <v>18</v>
      </c>
      <c r="J53">
        <f t="shared" si="75"/>
        <v>24</v>
      </c>
      <c r="L53">
        <f t="shared" si="76"/>
        <v>53</v>
      </c>
      <c r="N53" s="112">
        <f ca="1">IF(   OR(Foglio7!GE73="", Foglio7!GE73=N52),100000,Foglio7!GE73)</f>
        <v>44743</v>
      </c>
      <c r="O53" s="238">
        <f t="shared" si="77"/>
        <v>53</v>
      </c>
      <c r="R53" s="112">
        <f t="shared" si="39"/>
        <v>41197</v>
      </c>
      <c r="S53" s="238">
        <f t="shared" ca="1" si="40"/>
        <v>38</v>
      </c>
      <c r="T53" s="112">
        <f t="shared" ca="1" si="86"/>
        <v>40171</v>
      </c>
      <c r="U53" s="112">
        <f t="shared" ca="1" si="87"/>
        <v>40360</v>
      </c>
      <c r="V53" s="112">
        <f t="shared" ca="1" si="88"/>
        <v>40422</v>
      </c>
      <c r="W53" s="112">
        <f t="shared" ca="1" si="89"/>
        <v>40544</v>
      </c>
      <c r="X53" s="112">
        <f t="shared" si="41"/>
        <v>41239</v>
      </c>
      <c r="Y53" s="112"/>
      <c r="Z53" s="112"/>
      <c r="AA53" s="335">
        <f t="shared" si="42"/>
        <v>41197</v>
      </c>
      <c r="AB53" s="335">
        <f t="shared" ca="1" si="90"/>
        <v>100000</v>
      </c>
      <c r="AC53" s="335">
        <f t="shared" ca="1" si="91"/>
        <v>100000</v>
      </c>
      <c r="AD53" s="335">
        <f t="shared" ca="1" si="92"/>
        <v>100000</v>
      </c>
      <c r="AE53" s="335">
        <f t="shared" ca="1" si="93"/>
        <v>100000</v>
      </c>
      <c r="AF53" s="335">
        <f t="shared" si="43"/>
        <v>41239</v>
      </c>
      <c r="AG53" s="238">
        <f>AG52</f>
        <v>26</v>
      </c>
      <c r="AH53" s="112">
        <f ca="1">AI52+1</f>
        <v>36921</v>
      </c>
      <c r="AI53" s="112">
        <f ca="1">IF(INDIRECT(CONCATENATE("AE",AG50))&lt;100000,INDIRECT(CONCATENATE("AE",G50)),INDIRECT(CONCATENATE("AF",AG50)))</f>
        <v>36920</v>
      </c>
      <c r="AJ53" s="112">
        <f t="shared" ca="1" si="125"/>
        <v>36920</v>
      </c>
      <c r="AK53" s="112">
        <f t="shared" ca="1" si="8"/>
        <v>36920</v>
      </c>
      <c r="AL53" s="238">
        <f t="shared" ca="1" si="127"/>
        <v>0</v>
      </c>
      <c r="AM53" s="112">
        <f t="shared" ca="1" si="118"/>
        <v>100000</v>
      </c>
      <c r="AN53" s="112">
        <f t="shared" ca="1" si="84"/>
        <v>100000</v>
      </c>
      <c r="AO53" s="114">
        <f t="shared" ca="1" si="46"/>
        <v>18</v>
      </c>
      <c r="AP53" s="114">
        <f t="shared" ca="1" si="47"/>
        <v>24</v>
      </c>
      <c r="AQ53" s="112"/>
      <c r="AR53" s="238">
        <f t="shared" si="78"/>
        <v>53</v>
      </c>
      <c r="AS53" s="112"/>
      <c r="AT53" s="112"/>
      <c r="AU53" s="283">
        <f t="shared" si="79"/>
        <v>34</v>
      </c>
      <c r="AV53" s="284">
        <f t="shared" ca="1" si="48"/>
        <v>38718</v>
      </c>
      <c r="AW53" s="284">
        <f t="shared" ca="1" si="119"/>
        <v>38919</v>
      </c>
      <c r="AX53" s="285">
        <f t="shared" ca="1" si="120"/>
        <v>18</v>
      </c>
      <c r="AY53" s="285">
        <f t="shared" ca="1" si="51"/>
        <v>24</v>
      </c>
      <c r="AZ53" s="282"/>
      <c r="BD53" s="114">
        <f t="shared" si="80"/>
        <v>1</v>
      </c>
      <c r="BE53" s="112">
        <f t="shared" si="54"/>
        <v>100000</v>
      </c>
      <c r="BH53" s="238">
        <f t="shared" si="81"/>
        <v>34</v>
      </c>
      <c r="BI53" s="245">
        <f t="shared" si="55"/>
        <v>41197</v>
      </c>
      <c r="BJ53" s="281">
        <f t="shared" ca="1" si="96"/>
        <v>1</v>
      </c>
      <c r="BK53" s="245">
        <f t="shared" ca="1" si="56"/>
        <v>39264</v>
      </c>
      <c r="BL53" s="245">
        <f t="shared" ca="1" si="57"/>
        <v>39337</v>
      </c>
      <c r="BM53" s="244"/>
      <c r="BN53" s="245">
        <f t="shared" ca="1" si="97"/>
        <v>39277</v>
      </c>
      <c r="BQ53" s="245"/>
      <c r="BR53" s="245"/>
      <c r="BS53" s="245"/>
      <c r="BT53" s="245"/>
      <c r="BU53" s="245"/>
      <c r="BV53" s="245"/>
      <c r="BY53" s="245"/>
      <c r="BZ53" s="245"/>
      <c r="CA53" s="245"/>
      <c r="CB53" s="245"/>
      <c r="CC53" s="245"/>
      <c r="CD53" s="245"/>
      <c r="CE53" s="245"/>
      <c r="CF53" s="245"/>
      <c r="CG53" s="245"/>
      <c r="CH53" s="245"/>
      <c r="CL53" s="112"/>
      <c r="CM53" s="112"/>
      <c r="CP53" s="112"/>
      <c r="CQ53" s="112"/>
      <c r="CR53" s="238"/>
      <c r="CS53" s="238"/>
      <c r="CT53" s="112"/>
      <c r="CU53" s="112"/>
      <c r="CV53" s="112"/>
      <c r="CW53" s="112" t="s">
        <v>224</v>
      </c>
      <c r="CX53" s="112" t="s">
        <v>225</v>
      </c>
      <c r="CY53" s="112" t="s">
        <v>226</v>
      </c>
      <c r="CZ53" s="112" t="s">
        <v>227</v>
      </c>
      <c r="DA53" s="112" t="s">
        <v>228</v>
      </c>
      <c r="DB53" s="112" t="s">
        <v>229</v>
      </c>
      <c r="DC53" s="112"/>
      <c r="DD53" s="238">
        <f t="shared" ca="1" si="116"/>
        <v>0</v>
      </c>
      <c r="DE53" s="238">
        <f t="shared" ca="1" si="108"/>
        <v>0</v>
      </c>
      <c r="DF53" s="112"/>
      <c r="DG53" s="238"/>
      <c r="DH53" s="238"/>
      <c r="DI53" s="112"/>
      <c r="DJ53" s="238"/>
      <c r="DK53" s="112">
        <f t="shared" ca="1" si="58"/>
        <v>38718</v>
      </c>
      <c r="DL53" s="278">
        <f t="shared" ca="1" si="129"/>
        <v>34</v>
      </c>
      <c r="DM53" s="245">
        <f t="shared" ref="DM53:DP53" ca="1" si="155">DM604</f>
        <v>38718</v>
      </c>
      <c r="DN53" s="245">
        <f t="shared" ca="1" si="155"/>
        <v>38919</v>
      </c>
      <c r="DO53" s="245">
        <f t="shared" ca="1" si="155"/>
        <v>18</v>
      </c>
      <c r="DP53" s="245">
        <f t="shared" ca="1" si="155"/>
        <v>24</v>
      </c>
      <c r="DQ53" s="281">
        <f t="shared" ca="1" si="131"/>
        <v>202</v>
      </c>
      <c r="DR53" s="278">
        <f t="shared" ca="1" si="132"/>
        <v>0</v>
      </c>
      <c r="DS53" s="244">
        <f t="shared" ca="1" si="60"/>
        <v>20108.79</v>
      </c>
      <c r="DT53" s="244">
        <f t="shared" ca="1" si="61"/>
        <v>19631.62</v>
      </c>
      <c r="DU53" s="244">
        <f t="shared" ca="1" si="133"/>
        <v>198.06</v>
      </c>
      <c r="DV53" s="244" t="str">
        <f t="shared" ca="1" si="134"/>
        <v>3/8 anni</v>
      </c>
      <c r="DW53" s="244"/>
      <c r="DX53" s="244">
        <f t="shared" ca="1" si="106"/>
        <v>3</v>
      </c>
      <c r="EA53" s="244">
        <f t="shared" ca="1" si="62"/>
        <v>1</v>
      </c>
      <c r="EB53" s="278">
        <f ca="1">VLOOKUP(DM53,Foglio1!$AB$31:$AN$261,13)-6+EA53</f>
        <v>116</v>
      </c>
      <c r="EC53" s="244"/>
      <c r="ED53" s="244">
        <f t="shared" ca="1" si="140"/>
        <v>0</v>
      </c>
      <c r="EE53" s="244">
        <f t="shared" ca="1" si="141"/>
        <v>11756.68</v>
      </c>
      <c r="EF53" s="244">
        <f t="shared" ca="1" si="142"/>
        <v>0</v>
      </c>
      <c r="EG53" s="244">
        <f t="shared" ca="1" si="143"/>
        <v>0</v>
      </c>
      <c r="EH53" s="244">
        <f t="shared" ca="1" si="144"/>
        <v>6384.11</v>
      </c>
      <c r="EI53" s="244">
        <f t="shared" ca="1" si="145"/>
        <v>0</v>
      </c>
      <c r="EJ53" s="244">
        <f t="shared" ca="1" si="146"/>
        <v>1511.73</v>
      </c>
      <c r="EK53" s="244">
        <f t="shared" ca="1" si="147"/>
        <v>0</v>
      </c>
      <c r="EL53" s="244">
        <f t="shared" ca="1" si="148"/>
        <v>0</v>
      </c>
      <c r="EM53" s="244">
        <f t="shared" ca="1" si="149"/>
        <v>116</v>
      </c>
      <c r="EN53" s="244">
        <f t="shared" ca="1" si="150"/>
        <v>0</v>
      </c>
      <c r="EO53" s="244">
        <f t="shared" ca="1" si="151"/>
        <v>0</v>
      </c>
      <c r="EP53" s="244">
        <f t="shared" ca="1" si="152"/>
        <v>1968</v>
      </c>
      <c r="EQ53" s="244">
        <f t="shared" ca="1" si="153"/>
        <v>0</v>
      </c>
      <c r="ER53" s="244"/>
      <c r="EW53" s="244">
        <v>0</v>
      </c>
      <c r="EX53" s="278">
        <f ca="1">VLOOKUP(DM53,Foglio1!$AB$31:$AN$261,13)-6+EW53</f>
        <v>115</v>
      </c>
      <c r="EY53" s="244"/>
      <c r="EZ53" s="244">
        <v>0</v>
      </c>
      <c r="FA53" s="244">
        <f t="shared" ref="FA53:FA84" ca="1" si="156">INDIRECT(CONCATENATE(EY$16,EY$17,$EX53))</f>
        <v>11279.51</v>
      </c>
      <c r="FB53" s="244">
        <f t="shared" ref="FB53:FB84" ca="1" si="157">INDIRECT(CONCATENATE(EZ$16,EZ$17,$EX53))</f>
        <v>0</v>
      </c>
      <c r="FC53" s="244">
        <f t="shared" ref="FC53:FC84" ca="1" si="158">INDIRECT(CONCATENATE(FA$16,FA$17,$EX53))</f>
        <v>0</v>
      </c>
      <c r="FD53" s="244">
        <f t="shared" ref="FD53:FD84" ca="1" si="159">INDIRECT(CONCATENATE(FB$16,FB$17,$EX53))</f>
        <v>6384.11</v>
      </c>
      <c r="FE53" s="244">
        <f t="shared" ref="FE53:FE84" ca="1" si="160">INDIRECT(CONCATENATE(FC$16,FC$17,$EX53))</f>
        <v>0</v>
      </c>
      <c r="FF53" s="244">
        <f t="shared" ref="FF53:FF84" ca="1" si="161">INDIRECT(CONCATENATE(FD$16,FD$17,$EX53))</f>
        <v>1471.97</v>
      </c>
      <c r="FG53" s="244">
        <f t="shared" ref="FG53:FG84" ca="1" si="162">INDIRECT(CONCATENATE(FE$16,FE$17,$EX53))</f>
        <v>0</v>
      </c>
      <c r="FH53" s="244">
        <f t="shared" ref="FH53:FH84" ca="1" si="163">INDIRECT(CONCATENATE(FF$16,FF$17,$EX53))</f>
        <v>0</v>
      </c>
      <c r="FI53" s="244">
        <f t="shared" ref="FI53:FI84" ca="1" si="164">INDIRECT(CONCATENATE(FG$16,FG$17,$EX53))</f>
        <v>115</v>
      </c>
      <c r="FJ53" s="244">
        <f t="shared" ref="FJ53:FJ84" ca="1" si="165">INDIRECT(CONCATENATE(FH$16,FH$17,$EX53))</f>
        <v>0</v>
      </c>
      <c r="FK53" s="244">
        <f t="shared" ref="FK53:FK84" ca="1" si="166">INDIRECT(CONCATENATE(FI$16,FI$17,$EX53))</f>
        <v>0</v>
      </c>
      <c r="FL53" s="244">
        <f t="shared" ref="FL53:FL84" ca="1" si="167">INDIRECT(CONCATENATE(FJ$16,FJ$17,$EX53))</f>
        <v>1968</v>
      </c>
      <c r="FM53" s="244">
        <f t="shared" ca="1" si="154"/>
        <v>0</v>
      </c>
      <c r="FN53" s="244"/>
    </row>
    <row r="54" spans="5:170" x14ac:dyDescent="0.25">
      <c r="E54" s="244"/>
      <c r="F54" s="240">
        <f>IF(fronttd!E56="","",fronttd!E56)</f>
        <v>41240</v>
      </c>
      <c r="G54" s="240">
        <f>IF(fronttd!F56="","",fronttd!F56)</f>
        <v>41471</v>
      </c>
      <c r="H54" s="380">
        <f>fronttd!G56</f>
        <v>6</v>
      </c>
      <c r="I54" s="380">
        <f>fronttd!H56</f>
        <v>18</v>
      </c>
      <c r="J54">
        <f t="shared" si="75"/>
        <v>24</v>
      </c>
      <c r="L54">
        <f t="shared" si="76"/>
        <v>54</v>
      </c>
      <c r="N54" s="112">
        <f ca="1">IF(   OR(Foglio7!GE74="", Foglio7!GE74=N53),100000,Foglio7!GE74)</f>
        <v>100000</v>
      </c>
      <c r="O54" s="238">
        <f t="shared" si="77"/>
        <v>54</v>
      </c>
      <c r="R54" s="112">
        <f t="shared" si="39"/>
        <v>41240</v>
      </c>
      <c r="S54" s="238">
        <f t="shared" ca="1" si="40"/>
        <v>38</v>
      </c>
      <c r="T54" s="112">
        <f t="shared" ca="1" si="86"/>
        <v>40171</v>
      </c>
      <c r="U54" s="112">
        <f t="shared" ca="1" si="87"/>
        <v>40360</v>
      </c>
      <c r="V54" s="112">
        <f t="shared" ca="1" si="88"/>
        <v>40422</v>
      </c>
      <c r="W54" s="112">
        <f t="shared" ca="1" si="89"/>
        <v>40544</v>
      </c>
      <c r="X54" s="112">
        <f t="shared" si="41"/>
        <v>41471</v>
      </c>
      <c r="Y54" s="112"/>
      <c r="Z54" s="112"/>
      <c r="AA54" s="335">
        <f t="shared" si="42"/>
        <v>41240</v>
      </c>
      <c r="AB54" s="335">
        <f t="shared" ca="1" si="90"/>
        <v>100000</v>
      </c>
      <c r="AC54" s="335">
        <f t="shared" ca="1" si="91"/>
        <v>100000</v>
      </c>
      <c r="AD54" s="335">
        <f t="shared" ca="1" si="92"/>
        <v>100000</v>
      </c>
      <c r="AE54" s="335">
        <f t="shared" ca="1" si="93"/>
        <v>100000</v>
      </c>
      <c r="AF54" s="335">
        <f t="shared" si="43"/>
        <v>41471</v>
      </c>
      <c r="AG54" s="238">
        <f>AG53</f>
        <v>26</v>
      </c>
      <c r="AH54" s="112">
        <f ca="1">AI53+1</f>
        <v>36921</v>
      </c>
      <c r="AI54" s="112">
        <f ca="1">INDIRECT(CONCATENATE("AF",AG50))</f>
        <v>36920</v>
      </c>
      <c r="AJ54" s="112">
        <f t="shared" ca="1" si="125"/>
        <v>36920</v>
      </c>
      <c r="AK54" s="112">
        <f ca="1">IF(TYPE(AH54)=16,100000,AJ54)</f>
        <v>36920</v>
      </c>
      <c r="AL54" s="238">
        <f t="shared" ca="1" si="127"/>
        <v>0</v>
      </c>
      <c r="AM54" s="112">
        <f t="shared" ca="1" si="118"/>
        <v>100000</v>
      </c>
      <c r="AN54" s="112">
        <f t="shared" ca="1" si="84"/>
        <v>100000</v>
      </c>
      <c r="AO54" s="114">
        <f t="shared" ca="1" si="46"/>
        <v>18</v>
      </c>
      <c r="AP54" s="114">
        <f t="shared" ca="1" si="47"/>
        <v>24</v>
      </c>
      <c r="AQ54" s="112"/>
      <c r="AR54" s="238">
        <f t="shared" si="78"/>
        <v>54</v>
      </c>
      <c r="AS54" s="112"/>
      <c r="AT54" s="112"/>
      <c r="AU54" s="283">
        <f t="shared" si="79"/>
        <v>35</v>
      </c>
      <c r="AV54" s="284">
        <f t="shared" ca="1" si="48"/>
        <v>38961</v>
      </c>
      <c r="AW54" s="284">
        <f t="shared" ca="1" si="119"/>
        <v>39082</v>
      </c>
      <c r="AX54" s="285">
        <f t="shared" ca="1" si="120"/>
        <v>18</v>
      </c>
      <c r="AY54" s="285">
        <f t="shared" ca="1" si="51"/>
        <v>24</v>
      </c>
      <c r="AZ54" s="282"/>
      <c r="BD54" s="114">
        <f t="shared" si="80"/>
        <v>1</v>
      </c>
      <c r="BE54" s="112">
        <f t="shared" si="54"/>
        <v>100000</v>
      </c>
      <c r="BH54" s="238">
        <f t="shared" si="81"/>
        <v>35</v>
      </c>
      <c r="BI54" s="245">
        <f t="shared" si="55"/>
        <v>41240</v>
      </c>
      <c r="BJ54" s="281">
        <f t="shared" ca="1" si="96"/>
        <v>16</v>
      </c>
      <c r="BK54" s="245">
        <f t="shared" ca="1" si="56"/>
        <v>39338</v>
      </c>
      <c r="BL54" s="245">
        <f t="shared" ca="1" si="57"/>
        <v>39446</v>
      </c>
      <c r="BM54" s="244"/>
      <c r="BN54" s="245">
        <f t="shared" ca="1" si="97"/>
        <v>39629</v>
      </c>
      <c r="BQ54" s="245"/>
      <c r="BR54" s="245"/>
      <c r="BS54" s="245"/>
      <c r="BT54" s="245"/>
      <c r="BU54" s="245"/>
      <c r="BV54" s="245"/>
      <c r="BY54" s="245"/>
      <c r="BZ54" s="245"/>
      <c r="CA54" s="245"/>
      <c r="CB54" s="245"/>
      <c r="CC54" s="245"/>
      <c r="CD54" s="245"/>
      <c r="CE54" s="245"/>
      <c r="CF54" s="245"/>
      <c r="CG54" s="245"/>
      <c r="CH54" s="245"/>
      <c r="CL54" s="112"/>
      <c r="CM54" s="112"/>
      <c r="CP54" s="112"/>
      <c r="CQ54" s="112"/>
      <c r="CR54" s="238"/>
      <c r="CS54" s="238"/>
      <c r="CT54" s="112"/>
      <c r="CU54" s="112"/>
      <c r="CV54" s="112"/>
      <c r="CW54" s="112" t="s">
        <v>224</v>
      </c>
      <c r="CX54" s="112" t="s">
        <v>225</v>
      </c>
      <c r="CY54" s="112" t="s">
        <v>226</v>
      </c>
      <c r="CZ54" s="112" t="s">
        <v>227</v>
      </c>
      <c r="DA54" s="112" t="s">
        <v>228</v>
      </c>
      <c r="DB54" s="112" t="s">
        <v>229</v>
      </c>
      <c r="DC54" s="112"/>
      <c r="DD54" s="238">
        <f t="shared" ca="1" si="116"/>
        <v>0</v>
      </c>
      <c r="DE54" s="238">
        <f t="shared" ca="1" si="108"/>
        <v>0</v>
      </c>
      <c r="DF54" s="112"/>
      <c r="DG54" s="238"/>
      <c r="DH54" s="238"/>
      <c r="DI54" s="112"/>
      <c r="DJ54" s="238"/>
      <c r="DK54" s="112">
        <f t="shared" ca="1" si="58"/>
        <v>38961</v>
      </c>
      <c r="DL54" s="278">
        <f t="shared" ca="1" si="129"/>
        <v>35</v>
      </c>
      <c r="DM54" s="245">
        <f t="shared" ref="DM54:DP54" ca="1" si="168">DM605</f>
        <v>38961</v>
      </c>
      <c r="DN54" s="245">
        <f t="shared" ca="1" si="168"/>
        <v>39082</v>
      </c>
      <c r="DO54" s="245">
        <f t="shared" ca="1" si="168"/>
        <v>18</v>
      </c>
      <c r="DP54" s="245">
        <f t="shared" ca="1" si="168"/>
        <v>24</v>
      </c>
      <c r="DQ54" s="281">
        <f t="shared" ca="1" si="131"/>
        <v>122</v>
      </c>
      <c r="DR54" s="278">
        <f t="shared" ca="1" si="132"/>
        <v>0</v>
      </c>
      <c r="DS54" s="244">
        <f t="shared" ca="1" si="60"/>
        <v>20108.79</v>
      </c>
      <c r="DT54" s="244">
        <f t="shared" ca="1" si="61"/>
        <v>19631.62</v>
      </c>
      <c r="DU54" s="244">
        <f t="shared" ca="1" si="133"/>
        <v>119.62</v>
      </c>
      <c r="DV54" s="244" t="str">
        <f t="shared" ca="1" si="134"/>
        <v>3/8 anni</v>
      </c>
      <c r="DW54" s="244"/>
      <c r="DX54" s="244">
        <f t="shared" ca="1" si="106"/>
        <v>3</v>
      </c>
      <c r="EA54" s="244">
        <f t="shared" ca="1" si="62"/>
        <v>1</v>
      </c>
      <c r="EB54" s="278">
        <f ca="1">VLOOKUP(DM54,Foglio1!$AB$31:$AN$261,13)-6+EA54</f>
        <v>116</v>
      </c>
      <c r="EC54" s="244"/>
      <c r="ED54" s="244">
        <f t="shared" ca="1" si="140"/>
        <v>0</v>
      </c>
      <c r="EE54" s="244">
        <f t="shared" ca="1" si="141"/>
        <v>11756.68</v>
      </c>
      <c r="EF54" s="244">
        <f t="shared" ca="1" si="142"/>
        <v>0</v>
      </c>
      <c r="EG54" s="244">
        <f t="shared" ca="1" si="143"/>
        <v>0</v>
      </c>
      <c r="EH54" s="244">
        <f t="shared" ca="1" si="144"/>
        <v>6384.11</v>
      </c>
      <c r="EI54" s="244">
        <f t="shared" ca="1" si="145"/>
        <v>0</v>
      </c>
      <c r="EJ54" s="244">
        <f t="shared" ca="1" si="146"/>
        <v>1511.73</v>
      </c>
      <c r="EK54" s="244">
        <f t="shared" ca="1" si="147"/>
        <v>0</v>
      </c>
      <c r="EL54" s="244">
        <f t="shared" ca="1" si="148"/>
        <v>0</v>
      </c>
      <c r="EM54" s="244">
        <f t="shared" ca="1" si="149"/>
        <v>116</v>
      </c>
      <c r="EN54" s="244">
        <f t="shared" ca="1" si="150"/>
        <v>0</v>
      </c>
      <c r="EO54" s="244">
        <f t="shared" ca="1" si="151"/>
        <v>0</v>
      </c>
      <c r="EP54" s="244">
        <f t="shared" ca="1" si="152"/>
        <v>1968</v>
      </c>
      <c r="EQ54" s="244">
        <f t="shared" ca="1" si="153"/>
        <v>0</v>
      </c>
      <c r="ER54" s="244"/>
      <c r="EW54" s="244">
        <v>0</v>
      </c>
      <c r="EX54" s="278">
        <f ca="1">VLOOKUP(DM54,Foglio1!$AB$31:$AN$261,13)-6+EW54</f>
        <v>115</v>
      </c>
      <c r="EY54" s="244"/>
      <c r="EZ54" s="244">
        <v>0</v>
      </c>
      <c r="FA54" s="244">
        <f t="shared" ca="1" si="156"/>
        <v>11279.51</v>
      </c>
      <c r="FB54" s="244">
        <f t="shared" ca="1" si="157"/>
        <v>0</v>
      </c>
      <c r="FC54" s="244">
        <f t="shared" ca="1" si="158"/>
        <v>0</v>
      </c>
      <c r="FD54" s="244">
        <f t="shared" ca="1" si="159"/>
        <v>6384.11</v>
      </c>
      <c r="FE54" s="244">
        <f t="shared" ca="1" si="160"/>
        <v>0</v>
      </c>
      <c r="FF54" s="244">
        <f t="shared" ca="1" si="161"/>
        <v>1471.97</v>
      </c>
      <c r="FG54" s="244">
        <f t="shared" ca="1" si="162"/>
        <v>0</v>
      </c>
      <c r="FH54" s="244">
        <f t="shared" ca="1" si="163"/>
        <v>0</v>
      </c>
      <c r="FI54" s="244">
        <f t="shared" ca="1" si="164"/>
        <v>115</v>
      </c>
      <c r="FJ54" s="244">
        <f t="shared" ca="1" si="165"/>
        <v>0</v>
      </c>
      <c r="FK54" s="244">
        <f t="shared" ca="1" si="166"/>
        <v>0</v>
      </c>
      <c r="FL54" s="244">
        <f t="shared" ca="1" si="167"/>
        <v>1968</v>
      </c>
      <c r="FM54" s="244">
        <f t="shared" ca="1" si="154"/>
        <v>0</v>
      </c>
      <c r="FN54" s="244"/>
    </row>
    <row r="55" spans="5:170" x14ac:dyDescent="0.25">
      <c r="E55" s="244"/>
      <c r="F55" s="240">
        <f>IF(fronttd!E57="","",fronttd!E57)</f>
        <v>41530</v>
      </c>
      <c r="G55" s="240">
        <f>IF(fronttd!F57="","",fronttd!F57)</f>
        <v>41882</v>
      </c>
      <c r="H55" s="380">
        <f>fronttd!G57</f>
        <v>18</v>
      </c>
      <c r="I55" s="380">
        <f>fronttd!H57</f>
        <v>18</v>
      </c>
      <c r="J55">
        <f t="shared" si="75"/>
        <v>24</v>
      </c>
      <c r="L55">
        <f t="shared" si="76"/>
        <v>55</v>
      </c>
      <c r="N55" s="112">
        <f ca="1">IF(   OR(Foglio7!GE75="", Foglio7!GE75=N54),100000,Foglio7!GE75)</f>
        <v>100000</v>
      </c>
      <c r="O55" s="238">
        <f t="shared" si="77"/>
        <v>55</v>
      </c>
      <c r="R55" s="112">
        <f t="shared" si="39"/>
        <v>41530</v>
      </c>
      <c r="S55" s="238">
        <f t="shared" ca="1" si="40"/>
        <v>38</v>
      </c>
      <c r="T55" s="112">
        <f t="shared" ca="1" si="86"/>
        <v>40171</v>
      </c>
      <c r="U55" s="112">
        <f t="shared" ca="1" si="87"/>
        <v>40360</v>
      </c>
      <c r="V55" s="112">
        <f t="shared" ca="1" si="88"/>
        <v>40422</v>
      </c>
      <c r="W55" s="112">
        <f t="shared" ca="1" si="89"/>
        <v>40544</v>
      </c>
      <c r="X55" s="112">
        <f t="shared" si="41"/>
        <v>41882</v>
      </c>
      <c r="Y55" s="112"/>
      <c r="Z55" s="112"/>
      <c r="AA55" s="335">
        <f t="shared" si="42"/>
        <v>41530</v>
      </c>
      <c r="AB55" s="335">
        <f t="shared" ca="1" si="90"/>
        <v>100000</v>
      </c>
      <c r="AC55" s="335">
        <f t="shared" ca="1" si="91"/>
        <v>100000</v>
      </c>
      <c r="AD55" s="335">
        <f t="shared" ca="1" si="92"/>
        <v>100000</v>
      </c>
      <c r="AE55" s="335">
        <f t="shared" ca="1" si="93"/>
        <v>100000</v>
      </c>
      <c r="AF55" s="335">
        <f t="shared" si="43"/>
        <v>41882</v>
      </c>
      <c r="AG55" s="238">
        <f>AG54+1</f>
        <v>27</v>
      </c>
      <c r="AH55" s="112">
        <f ca="1">INDIRECT(CONCATENATE("AA",AG55))</f>
        <v>36921</v>
      </c>
      <c r="AI55" s="112">
        <f ca="1">IF(            INDIRECT(CONCATENATE( "AB",AG55))&lt;100000,       INDIRECT(CONCATENATE("AB",AG55))  -1,IF(   INDIRECT(CONCATENATE("AC",AG55))&lt;100000,   INDIRECT(CONCATENATE("AC",AG55))-1,IF(   INDIRECT(CONCATENATE("AD", AG55))&lt;100000, INDIRECT(CONCATENATE("AD",AG55))-1,IF(   INDIRECT(CONCATENATE("AE",AG55))&lt;100000,  INDIRECT(CONCATENATE("AE",G55)),INDIRECT(CONCATENATE("AF",AG55))                ))))</f>
        <v>37072</v>
      </c>
      <c r="AJ55" s="112">
        <f t="shared" ca="1" si="125"/>
        <v>37072</v>
      </c>
      <c r="AK55" s="112">
        <f t="shared" ref="AK55:AK118" ca="1" si="169">IF(TYPE(AH55)=16,100000,AJ55)</f>
        <v>37072</v>
      </c>
      <c r="AL55" s="238">
        <f t="shared" ca="1" si="127"/>
        <v>1</v>
      </c>
      <c r="AM55" s="112">
        <f t="shared" ca="1" si="118"/>
        <v>36921</v>
      </c>
      <c r="AN55" s="112">
        <f t="shared" ca="1" si="84"/>
        <v>37072</v>
      </c>
      <c r="AO55" s="114">
        <f t="shared" ca="1" si="46"/>
        <v>18</v>
      </c>
      <c r="AP55" s="114">
        <f t="shared" ca="1" si="47"/>
        <v>24</v>
      </c>
      <c r="AQ55" s="112"/>
      <c r="AR55" s="238">
        <f t="shared" si="78"/>
        <v>55</v>
      </c>
      <c r="AS55" s="112"/>
      <c r="AT55" s="112"/>
      <c r="AU55" s="283">
        <f t="shared" si="79"/>
        <v>36</v>
      </c>
      <c r="AV55" s="284">
        <f t="shared" ca="1" si="48"/>
        <v>39083</v>
      </c>
      <c r="AW55" s="284">
        <f t="shared" ca="1" si="119"/>
        <v>39113</v>
      </c>
      <c r="AX55" s="285">
        <f t="shared" ca="1" si="120"/>
        <v>18</v>
      </c>
      <c r="AY55" s="285">
        <f t="shared" ca="1" si="51"/>
        <v>24</v>
      </c>
      <c r="AZ55" s="282"/>
      <c r="BD55" s="114">
        <f t="shared" si="80"/>
        <v>1</v>
      </c>
      <c r="BE55" s="112">
        <f t="shared" si="54"/>
        <v>100000</v>
      </c>
      <c r="BH55" s="238">
        <f t="shared" si="81"/>
        <v>36</v>
      </c>
      <c r="BI55" s="245">
        <f t="shared" si="55"/>
        <v>41530</v>
      </c>
      <c r="BJ55" s="281">
        <f t="shared" ca="1" si="96"/>
        <v>1</v>
      </c>
      <c r="BK55" s="245">
        <f t="shared" ca="1" si="56"/>
        <v>39447</v>
      </c>
      <c r="BL55" s="245">
        <f t="shared" ca="1" si="57"/>
        <v>39538</v>
      </c>
      <c r="BM55" s="244"/>
      <c r="BN55" s="245">
        <f t="shared" ca="1" si="97"/>
        <v>39629</v>
      </c>
      <c r="BQ55" s="245"/>
      <c r="BR55" s="245"/>
      <c r="BS55" s="245"/>
      <c r="BT55" s="245"/>
      <c r="BU55" s="245"/>
      <c r="BV55" s="245"/>
      <c r="BY55" s="245"/>
      <c r="BZ55" s="245"/>
      <c r="CA55" s="245"/>
      <c r="CB55" s="245"/>
      <c r="CC55" s="245"/>
      <c r="CD55" s="245"/>
      <c r="CE55" s="245"/>
      <c r="CF55" s="245"/>
      <c r="CG55" s="245"/>
      <c r="CH55" s="245"/>
      <c r="CL55" s="112"/>
      <c r="CM55" s="112"/>
      <c r="CP55" s="112"/>
      <c r="CQ55" s="112"/>
      <c r="CR55" s="238"/>
      <c r="CS55" s="238"/>
      <c r="CT55" s="112"/>
      <c r="CU55" s="112"/>
      <c r="CV55" s="112"/>
      <c r="CW55" s="112" t="s">
        <v>224</v>
      </c>
      <c r="CX55" s="112" t="s">
        <v>225</v>
      </c>
      <c r="CY55" s="112" t="s">
        <v>226</v>
      </c>
      <c r="CZ55" s="112" t="s">
        <v>227</v>
      </c>
      <c r="DA55" s="112" t="s">
        <v>228</v>
      </c>
      <c r="DB55" s="112" t="s">
        <v>229</v>
      </c>
      <c r="DC55" s="112"/>
      <c r="DD55" s="238">
        <f t="shared" ca="1" si="116"/>
        <v>0</v>
      </c>
      <c r="DE55" s="238">
        <f t="shared" ca="1" si="108"/>
        <v>0</v>
      </c>
      <c r="DF55" s="112"/>
      <c r="DG55" s="238"/>
      <c r="DH55" s="238"/>
      <c r="DI55" s="112"/>
      <c r="DJ55" s="238"/>
      <c r="DK55" s="112">
        <f t="shared" ca="1" si="58"/>
        <v>39083</v>
      </c>
      <c r="DL55" s="278">
        <f t="shared" ca="1" si="129"/>
        <v>36</v>
      </c>
      <c r="DM55" s="245">
        <f t="shared" ref="DM55:DP55" ca="1" si="170">DM606</f>
        <v>39083</v>
      </c>
      <c r="DN55" s="245">
        <f t="shared" ca="1" si="170"/>
        <v>39113</v>
      </c>
      <c r="DO55" s="245">
        <f t="shared" ca="1" si="170"/>
        <v>18</v>
      </c>
      <c r="DP55" s="245">
        <f t="shared" ca="1" si="170"/>
        <v>24</v>
      </c>
      <c r="DQ55" s="281">
        <f t="shared" ca="1" si="131"/>
        <v>31</v>
      </c>
      <c r="DR55" s="278">
        <f t="shared" ca="1" si="132"/>
        <v>0</v>
      </c>
      <c r="DS55" s="244">
        <f t="shared" ca="1" si="60"/>
        <v>20454.03</v>
      </c>
      <c r="DT55" s="244">
        <f t="shared" ca="1" si="61"/>
        <v>19967.739999999998</v>
      </c>
      <c r="DU55" s="244">
        <f t="shared" ca="1" si="133"/>
        <v>30.98</v>
      </c>
      <c r="DV55" s="244" t="str">
        <f t="shared" ca="1" si="134"/>
        <v>3/8 anni</v>
      </c>
      <c r="DW55" s="244"/>
      <c r="DX55" s="244">
        <f t="shared" ca="1" si="106"/>
        <v>3</v>
      </c>
      <c r="EA55" s="244">
        <f t="shared" ca="1" si="62"/>
        <v>1</v>
      </c>
      <c r="EB55" s="278">
        <f ca="1">VLOOKUP(DM55,Foglio1!$AB$31:$AN$261,13)-6+EA55</f>
        <v>123</v>
      </c>
      <c r="EC55" s="244"/>
      <c r="ED55" s="244">
        <f t="shared" ca="1" si="140"/>
        <v>0</v>
      </c>
      <c r="EE55" s="244">
        <f t="shared" ca="1" si="141"/>
        <v>12101.92</v>
      </c>
      <c r="EF55" s="244">
        <f t="shared" ca="1" si="142"/>
        <v>0</v>
      </c>
      <c r="EG55" s="244">
        <f t="shared" ca="1" si="143"/>
        <v>0</v>
      </c>
      <c r="EH55" s="244">
        <f t="shared" ca="1" si="144"/>
        <v>6384.11</v>
      </c>
      <c r="EI55" s="244">
        <f t="shared" ca="1" si="145"/>
        <v>0</v>
      </c>
      <c r="EJ55" s="244">
        <f t="shared" ca="1" si="146"/>
        <v>1540.5</v>
      </c>
      <c r="EK55" s="244">
        <f t="shared" ca="1" si="147"/>
        <v>0</v>
      </c>
      <c r="EL55" s="244">
        <f t="shared" ca="1" si="148"/>
        <v>0</v>
      </c>
      <c r="EM55" s="244">
        <f t="shared" ca="1" si="149"/>
        <v>123</v>
      </c>
      <c r="EN55" s="244">
        <f t="shared" ca="1" si="150"/>
        <v>0</v>
      </c>
      <c r="EO55" s="244">
        <f t="shared" ca="1" si="151"/>
        <v>0</v>
      </c>
      <c r="EP55" s="244">
        <f t="shared" ca="1" si="152"/>
        <v>1968</v>
      </c>
      <c r="EQ55" s="244">
        <f t="shared" ca="1" si="153"/>
        <v>0</v>
      </c>
      <c r="ER55" s="244"/>
      <c r="EW55" s="244">
        <v>0</v>
      </c>
      <c r="EX55" s="278">
        <f ca="1">VLOOKUP(DM55,Foglio1!$AB$31:$AN$261,13)-6+EW55</f>
        <v>122</v>
      </c>
      <c r="EY55" s="244"/>
      <c r="EZ55" s="244">
        <v>0</v>
      </c>
      <c r="FA55" s="244">
        <f t="shared" ca="1" si="156"/>
        <v>11615.63</v>
      </c>
      <c r="FB55" s="244">
        <f t="shared" ca="1" si="157"/>
        <v>0</v>
      </c>
      <c r="FC55" s="244">
        <f t="shared" ca="1" si="158"/>
        <v>0</v>
      </c>
      <c r="FD55" s="244">
        <f t="shared" ca="1" si="159"/>
        <v>6384.11</v>
      </c>
      <c r="FE55" s="244">
        <f t="shared" ca="1" si="160"/>
        <v>0</v>
      </c>
      <c r="FF55" s="244">
        <f t="shared" ca="1" si="161"/>
        <v>1499.98</v>
      </c>
      <c r="FG55" s="244">
        <f t="shared" ca="1" si="162"/>
        <v>0</v>
      </c>
      <c r="FH55" s="244">
        <f t="shared" ca="1" si="163"/>
        <v>0</v>
      </c>
      <c r="FI55" s="244">
        <f t="shared" ca="1" si="164"/>
        <v>122</v>
      </c>
      <c r="FJ55" s="244">
        <f t="shared" ca="1" si="165"/>
        <v>0</v>
      </c>
      <c r="FK55" s="244">
        <f t="shared" ca="1" si="166"/>
        <v>0</v>
      </c>
      <c r="FL55" s="244">
        <f t="shared" ca="1" si="167"/>
        <v>1968</v>
      </c>
      <c r="FM55" s="244">
        <f t="shared" ca="1" si="154"/>
        <v>0</v>
      </c>
      <c r="FN55" s="244"/>
    </row>
    <row r="56" spans="5:170" x14ac:dyDescent="0.25">
      <c r="E56" s="244"/>
      <c r="F56" s="240">
        <f>IF(fronttd!E58="","",fronttd!E58)</f>
        <v>41915</v>
      </c>
      <c r="G56" s="240">
        <f>IF(fronttd!F58="","",fronttd!F58)</f>
        <v>42185</v>
      </c>
      <c r="H56" s="380">
        <f>fronttd!G58</f>
        <v>18</v>
      </c>
      <c r="I56" s="380">
        <f>fronttd!H58</f>
        <v>18</v>
      </c>
      <c r="J56">
        <f t="shared" si="75"/>
        <v>24</v>
      </c>
      <c r="L56">
        <f t="shared" si="76"/>
        <v>56</v>
      </c>
      <c r="N56" s="112">
        <f ca="1">IF(   OR(Foglio7!GE76="", Foglio7!GE76=N55),100000,Foglio7!GE76)</f>
        <v>100000</v>
      </c>
      <c r="O56" s="238">
        <f t="shared" si="77"/>
        <v>56</v>
      </c>
      <c r="R56" s="112">
        <f t="shared" si="39"/>
        <v>41915</v>
      </c>
      <c r="S56" s="238">
        <f t="shared" ca="1" si="40"/>
        <v>38</v>
      </c>
      <c r="T56" s="112">
        <f t="shared" ca="1" si="86"/>
        <v>40171</v>
      </c>
      <c r="U56" s="112">
        <f t="shared" ca="1" si="87"/>
        <v>40360</v>
      </c>
      <c r="V56" s="112">
        <f t="shared" ca="1" si="88"/>
        <v>40422</v>
      </c>
      <c r="W56" s="112">
        <f t="shared" ca="1" si="89"/>
        <v>40544</v>
      </c>
      <c r="X56" s="112">
        <f t="shared" si="41"/>
        <v>42185</v>
      </c>
      <c r="Y56" s="112"/>
      <c r="Z56" s="112"/>
      <c r="AA56" s="335">
        <f t="shared" si="42"/>
        <v>41915</v>
      </c>
      <c r="AB56" s="335">
        <f t="shared" ca="1" si="90"/>
        <v>100000</v>
      </c>
      <c r="AC56" s="335">
        <f t="shared" ca="1" si="91"/>
        <v>100000</v>
      </c>
      <c r="AD56" s="335">
        <f t="shared" ca="1" si="92"/>
        <v>100000</v>
      </c>
      <c r="AE56" s="335">
        <f t="shared" ca="1" si="93"/>
        <v>100000</v>
      </c>
      <c r="AF56" s="335">
        <f t="shared" si="43"/>
        <v>42185</v>
      </c>
      <c r="AG56" s="238">
        <f>AG55</f>
        <v>27</v>
      </c>
      <c r="AH56" s="112">
        <f ca="1">AI55+1</f>
        <v>37073</v>
      </c>
      <c r="AI56" s="112">
        <f ca="1">IF(INDIRECT(CONCATENATE("AC",AG55))&lt;100000,INDIRECT(CONCATENATE("AC",AG55))-1,IF(INDIRECT(CONCATENATE("AD",AG55))&lt;100000,INDIRECT(CONCATENATE("AD",AG55))-1,IF(INDIRECT(CONCATENATE("AE",AG55))&lt;100000,INDIRECT(CONCATENATE("AE",G55)),INDIRECT(CONCATENATE("AF",AG55)))))</f>
        <v>37072</v>
      </c>
      <c r="AJ56" s="112">
        <f t="shared" ca="1" si="125"/>
        <v>37072</v>
      </c>
      <c r="AK56" s="112">
        <f t="shared" ca="1" si="169"/>
        <v>37072</v>
      </c>
      <c r="AL56" s="238">
        <f t="shared" ca="1" si="127"/>
        <v>0</v>
      </c>
      <c r="AM56" s="112">
        <f t="shared" ca="1" si="118"/>
        <v>100000</v>
      </c>
      <c r="AN56" s="112">
        <f t="shared" ca="1" si="84"/>
        <v>100000</v>
      </c>
      <c r="AO56" s="114">
        <f t="shared" ca="1" si="46"/>
        <v>18</v>
      </c>
      <c r="AP56" s="114">
        <f t="shared" ca="1" si="47"/>
        <v>24</v>
      </c>
      <c r="AQ56" s="112"/>
      <c r="AR56" s="238">
        <f t="shared" si="78"/>
        <v>56</v>
      </c>
      <c r="AS56" s="112"/>
      <c r="AT56" s="112"/>
      <c r="AU56" s="283">
        <f t="shared" si="79"/>
        <v>37</v>
      </c>
      <c r="AV56" s="284">
        <f t="shared" ca="1" si="48"/>
        <v>39114</v>
      </c>
      <c r="AW56" s="284">
        <f t="shared" ca="1" si="119"/>
        <v>39277</v>
      </c>
      <c r="AX56" s="285">
        <f t="shared" ca="1" si="120"/>
        <v>18</v>
      </c>
      <c r="AY56" s="285">
        <f t="shared" ca="1" si="51"/>
        <v>24</v>
      </c>
      <c r="AZ56" s="282"/>
      <c r="BD56" s="114">
        <f t="shared" si="80"/>
        <v>1</v>
      </c>
      <c r="BE56" s="112">
        <f t="shared" si="54"/>
        <v>100000</v>
      </c>
      <c r="BH56" s="238">
        <f t="shared" si="81"/>
        <v>37</v>
      </c>
      <c r="BI56" s="245">
        <f t="shared" si="55"/>
        <v>41915</v>
      </c>
      <c r="BJ56" s="281">
        <f t="shared" ca="1" si="96"/>
        <v>1</v>
      </c>
      <c r="BK56" s="245">
        <f t="shared" ca="1" si="56"/>
        <v>39539</v>
      </c>
      <c r="BL56" s="245">
        <f t="shared" ca="1" si="57"/>
        <v>39691</v>
      </c>
      <c r="BM56" s="244"/>
      <c r="BN56" s="245">
        <f t="shared" ca="1" si="97"/>
        <v>39629</v>
      </c>
      <c r="BQ56" s="245"/>
      <c r="BR56" s="245"/>
      <c r="BS56" s="245"/>
      <c r="BT56" s="245"/>
      <c r="BU56" s="245"/>
      <c r="BV56" s="245"/>
      <c r="BY56" s="245"/>
      <c r="BZ56" s="245"/>
      <c r="CA56" s="245"/>
      <c r="CB56" s="245"/>
      <c r="CC56" s="245"/>
      <c r="CD56" s="245"/>
      <c r="CE56" s="245"/>
      <c r="CF56" s="245"/>
      <c r="CG56" s="245"/>
      <c r="CH56" s="245"/>
      <c r="CL56" s="112"/>
      <c r="CM56" s="112"/>
      <c r="CP56" s="112"/>
      <c r="CQ56" s="112"/>
      <c r="CR56" s="238"/>
      <c r="CS56" s="238"/>
      <c r="CT56" s="112"/>
      <c r="CU56" s="112"/>
      <c r="CV56" s="112"/>
      <c r="CW56" s="112" t="s">
        <v>224</v>
      </c>
      <c r="CX56" s="112" t="s">
        <v>225</v>
      </c>
      <c r="CY56" s="112" t="s">
        <v>226</v>
      </c>
      <c r="CZ56" s="112" t="s">
        <v>227</v>
      </c>
      <c r="DA56" s="112" t="s">
        <v>228</v>
      </c>
      <c r="DB56" s="112" t="s">
        <v>229</v>
      </c>
      <c r="DC56" s="112"/>
      <c r="DD56" s="238">
        <f t="shared" ca="1" si="116"/>
        <v>0</v>
      </c>
      <c r="DE56" s="238">
        <f t="shared" ca="1" si="108"/>
        <v>0</v>
      </c>
      <c r="DF56" s="112"/>
      <c r="DG56" s="238"/>
      <c r="DH56" s="238"/>
      <c r="DI56" s="112"/>
      <c r="DJ56" s="238"/>
      <c r="DK56" s="112">
        <f t="shared" ca="1" si="58"/>
        <v>39114</v>
      </c>
      <c r="DL56" s="278">
        <f t="shared" ca="1" si="129"/>
        <v>37</v>
      </c>
      <c r="DM56" s="245">
        <f t="shared" ref="DM56:DP56" ca="1" si="171">DM607</f>
        <v>39114</v>
      </c>
      <c r="DN56" s="245">
        <f t="shared" ca="1" si="171"/>
        <v>39264</v>
      </c>
      <c r="DO56" s="245">
        <f t="shared" ca="1" si="171"/>
        <v>18</v>
      </c>
      <c r="DP56" s="245">
        <f t="shared" ca="1" si="171"/>
        <v>24</v>
      </c>
      <c r="DQ56" s="281">
        <f t="shared" ca="1" si="131"/>
        <v>151</v>
      </c>
      <c r="DR56" s="278">
        <f t="shared" ca="1" si="132"/>
        <v>0</v>
      </c>
      <c r="DS56" s="244">
        <f t="shared" ca="1" si="60"/>
        <v>20958.03</v>
      </c>
      <c r="DT56" s="244">
        <f t="shared" ca="1" si="61"/>
        <v>20458.54</v>
      </c>
      <c r="DU56" s="244">
        <f t="shared" ca="1" si="133"/>
        <v>154.97999999999999</v>
      </c>
      <c r="DV56" s="244" t="str">
        <f t="shared" ca="1" si="134"/>
        <v>3/8 anni</v>
      </c>
      <c r="DW56" s="244"/>
      <c r="DX56" s="244">
        <f t="shared" ca="1" si="106"/>
        <v>3</v>
      </c>
      <c r="EA56" s="244">
        <f t="shared" ca="1" si="62"/>
        <v>1</v>
      </c>
      <c r="EB56" s="278">
        <f ca="1">VLOOKUP(DM56,Foglio1!$AB$31:$AN$261,13)-6+EA56</f>
        <v>130</v>
      </c>
      <c r="EC56" s="244"/>
      <c r="ED56" s="244">
        <f t="shared" ca="1" si="140"/>
        <v>0</v>
      </c>
      <c r="EE56" s="244">
        <f t="shared" ca="1" si="141"/>
        <v>12605.92</v>
      </c>
      <c r="EF56" s="244">
        <f t="shared" ca="1" si="142"/>
        <v>0</v>
      </c>
      <c r="EG56" s="244">
        <f t="shared" ca="1" si="143"/>
        <v>0</v>
      </c>
      <c r="EH56" s="244">
        <f t="shared" ca="1" si="144"/>
        <v>6384.11</v>
      </c>
      <c r="EI56" s="244">
        <f t="shared" ca="1" si="145"/>
        <v>0</v>
      </c>
      <c r="EJ56" s="244">
        <f t="shared" ca="1" si="146"/>
        <v>1582.5</v>
      </c>
      <c r="EK56" s="244">
        <f t="shared" ca="1" si="147"/>
        <v>0</v>
      </c>
      <c r="EL56" s="244">
        <f t="shared" ca="1" si="148"/>
        <v>0</v>
      </c>
      <c r="EM56" s="244">
        <f t="shared" ca="1" si="149"/>
        <v>130</v>
      </c>
      <c r="EN56" s="244">
        <f t="shared" ca="1" si="150"/>
        <v>0</v>
      </c>
      <c r="EO56" s="244">
        <f t="shared" ca="1" si="151"/>
        <v>0</v>
      </c>
      <c r="EP56" s="244">
        <f t="shared" ca="1" si="152"/>
        <v>1968</v>
      </c>
      <c r="EQ56" s="244">
        <f t="shared" ca="1" si="153"/>
        <v>0</v>
      </c>
      <c r="ER56" s="244"/>
      <c r="EW56" s="244">
        <v>0</v>
      </c>
      <c r="EX56" s="278">
        <f ca="1">VLOOKUP(DM56,Foglio1!$AB$31:$AN$261,13)-6+EW56</f>
        <v>129</v>
      </c>
      <c r="EY56" s="244"/>
      <c r="EZ56" s="244">
        <v>0</v>
      </c>
      <c r="FA56" s="244">
        <f t="shared" ca="1" si="156"/>
        <v>12106.43</v>
      </c>
      <c r="FB56" s="244">
        <f t="shared" ca="1" si="157"/>
        <v>0</v>
      </c>
      <c r="FC56" s="244">
        <f t="shared" ca="1" si="158"/>
        <v>0</v>
      </c>
      <c r="FD56" s="244">
        <f t="shared" ca="1" si="159"/>
        <v>6384.11</v>
      </c>
      <c r="FE56" s="244">
        <f t="shared" ca="1" si="160"/>
        <v>0</v>
      </c>
      <c r="FF56" s="244">
        <f t="shared" ca="1" si="161"/>
        <v>1540.88</v>
      </c>
      <c r="FG56" s="244">
        <f t="shared" ca="1" si="162"/>
        <v>0</v>
      </c>
      <c r="FH56" s="244">
        <f t="shared" ca="1" si="163"/>
        <v>0</v>
      </c>
      <c r="FI56" s="244">
        <f t="shared" ca="1" si="164"/>
        <v>129</v>
      </c>
      <c r="FJ56" s="244">
        <f t="shared" ca="1" si="165"/>
        <v>0</v>
      </c>
      <c r="FK56" s="244">
        <f t="shared" ca="1" si="166"/>
        <v>0</v>
      </c>
      <c r="FL56" s="244">
        <f t="shared" ca="1" si="167"/>
        <v>1968</v>
      </c>
      <c r="FM56" s="244">
        <f t="shared" ca="1" si="154"/>
        <v>0</v>
      </c>
      <c r="FN56" s="244"/>
    </row>
    <row r="57" spans="5:170" x14ac:dyDescent="0.25">
      <c r="E57" s="244"/>
      <c r="F57" s="240">
        <f>IF(fronttd!E59="","",fronttd!E59)</f>
        <v>42248</v>
      </c>
      <c r="G57" s="240">
        <f>IF(fronttd!F59="","",fronttd!F59)</f>
        <v>42613</v>
      </c>
      <c r="H57" s="380">
        <f>fronttd!G59</f>
        <v>18</v>
      </c>
      <c r="I57" s="380">
        <f>fronttd!H59</f>
        <v>18</v>
      </c>
      <c r="J57">
        <f t="shared" si="75"/>
        <v>24</v>
      </c>
      <c r="L57">
        <f t="shared" si="76"/>
        <v>57</v>
      </c>
      <c r="N57" s="112">
        <f ca="1">IF(   OR(Foglio7!GE77="", Foglio7!GE77=N56),100000,Foglio7!GE77)</f>
        <v>100000</v>
      </c>
      <c r="O57" s="238">
        <f t="shared" si="77"/>
        <v>57</v>
      </c>
      <c r="R57" s="112">
        <f t="shared" si="39"/>
        <v>42248</v>
      </c>
      <c r="S57" s="238">
        <f t="shared" ca="1" si="40"/>
        <v>38</v>
      </c>
      <c r="T57" s="112">
        <f t="shared" ca="1" si="86"/>
        <v>40171</v>
      </c>
      <c r="U57" s="112">
        <f t="shared" ca="1" si="87"/>
        <v>40360</v>
      </c>
      <c r="V57" s="112">
        <f t="shared" ca="1" si="88"/>
        <v>40422</v>
      </c>
      <c r="W57" s="112">
        <f t="shared" ca="1" si="89"/>
        <v>40544</v>
      </c>
      <c r="X57" s="112">
        <f t="shared" si="41"/>
        <v>42613</v>
      </c>
      <c r="Y57" s="112"/>
      <c r="Z57" s="112"/>
      <c r="AA57" s="335">
        <f t="shared" si="42"/>
        <v>42248</v>
      </c>
      <c r="AB57" s="335">
        <f t="shared" ca="1" si="90"/>
        <v>100000</v>
      </c>
      <c r="AC57" s="335">
        <f t="shared" ca="1" si="91"/>
        <v>100000</v>
      </c>
      <c r="AD57" s="335">
        <f t="shared" ca="1" si="92"/>
        <v>100000</v>
      </c>
      <c r="AE57" s="335">
        <f t="shared" ca="1" si="93"/>
        <v>100000</v>
      </c>
      <c r="AF57" s="335">
        <f t="shared" si="43"/>
        <v>42613</v>
      </c>
      <c r="AG57" s="238">
        <f>AG56</f>
        <v>27</v>
      </c>
      <c r="AH57" s="112">
        <f ca="1">AI56+1</f>
        <v>37073</v>
      </c>
      <c r="AI57" s="112">
        <f ca="1">IF(INDIRECT(CONCATENATE("AD",AG55))&lt;100000,INDIRECT(CONCATENATE("AD",AG55))-1,IF(INDIRECT(CONCATENATE("AE",AG55))&lt;100000,INDIRECT(CONCATENATE("AE",G55)),INDIRECT(CONCATENATE("AF",AG55))))</f>
        <v>37072</v>
      </c>
      <c r="AJ57" s="112">
        <f t="shared" ca="1" si="125"/>
        <v>37072</v>
      </c>
      <c r="AK57" s="112">
        <f t="shared" ca="1" si="169"/>
        <v>37072</v>
      </c>
      <c r="AL57" s="238">
        <f t="shared" ca="1" si="127"/>
        <v>0</v>
      </c>
      <c r="AM57" s="112">
        <f t="shared" ca="1" si="118"/>
        <v>100000</v>
      </c>
      <c r="AN57" s="112">
        <f t="shared" ca="1" si="84"/>
        <v>100000</v>
      </c>
      <c r="AO57" s="114">
        <f t="shared" ca="1" si="46"/>
        <v>18</v>
      </c>
      <c r="AP57" s="114">
        <f t="shared" ca="1" si="47"/>
        <v>24</v>
      </c>
      <c r="AQ57" s="112"/>
      <c r="AR57" s="238">
        <f t="shared" si="78"/>
        <v>57</v>
      </c>
      <c r="AS57" s="112"/>
      <c r="AT57" s="112"/>
      <c r="AU57" s="283">
        <f t="shared" si="79"/>
        <v>38</v>
      </c>
      <c r="AV57" s="284">
        <f t="shared" ca="1" si="48"/>
        <v>39338</v>
      </c>
      <c r="AW57" s="284">
        <f t="shared" ca="1" si="119"/>
        <v>39446</v>
      </c>
      <c r="AX57" s="285">
        <f t="shared" ca="1" si="120"/>
        <v>18</v>
      </c>
      <c r="AY57" s="285">
        <f t="shared" ca="1" si="51"/>
        <v>24</v>
      </c>
      <c r="AZ57" s="282"/>
      <c r="BD57" s="114">
        <f t="shared" si="80"/>
        <v>1</v>
      </c>
      <c r="BE57" s="112">
        <f t="shared" si="54"/>
        <v>100000</v>
      </c>
      <c r="BH57" s="238">
        <f t="shared" si="81"/>
        <v>38</v>
      </c>
      <c r="BI57" s="245">
        <f t="shared" si="55"/>
        <v>42248</v>
      </c>
      <c r="BJ57" s="281">
        <f t="shared" ca="1" si="96"/>
        <v>16</v>
      </c>
      <c r="BK57" s="245">
        <f t="shared" ca="1" si="56"/>
        <v>39692</v>
      </c>
      <c r="BL57" s="245">
        <f t="shared" ca="1" si="57"/>
        <v>39813</v>
      </c>
      <c r="BM57" s="244"/>
      <c r="BN57" s="245">
        <f t="shared" ca="1" si="97"/>
        <v>39994</v>
      </c>
      <c r="BQ57" s="245"/>
      <c r="BR57" s="245"/>
      <c r="BS57" s="245"/>
      <c r="BT57" s="245"/>
      <c r="BU57" s="245"/>
      <c r="BV57" s="245"/>
      <c r="BY57" s="245"/>
      <c r="BZ57" s="245"/>
      <c r="CA57" s="245"/>
      <c r="CB57" s="245"/>
      <c r="CC57" s="245"/>
      <c r="CD57" s="245"/>
      <c r="CE57" s="245"/>
      <c r="CF57" s="245"/>
      <c r="CG57" s="245"/>
      <c r="CH57" s="245"/>
      <c r="CL57" s="112"/>
      <c r="CM57" s="112"/>
      <c r="CP57" s="112"/>
      <c r="CQ57" s="112"/>
      <c r="CR57" s="238"/>
      <c r="CS57" s="238"/>
      <c r="CT57" s="112"/>
      <c r="CU57" s="112"/>
      <c r="CV57" s="112"/>
      <c r="CW57" s="112" t="s">
        <v>224</v>
      </c>
      <c r="CX57" s="112" t="s">
        <v>225</v>
      </c>
      <c r="CY57" s="112" t="s">
        <v>226</v>
      </c>
      <c r="CZ57" s="112" t="s">
        <v>227</v>
      </c>
      <c r="DA57" s="112" t="s">
        <v>228</v>
      </c>
      <c r="DB57" s="112" t="s">
        <v>229</v>
      </c>
      <c r="DC57" s="112"/>
      <c r="DD57" s="238">
        <f t="shared" ca="1" si="116"/>
        <v>0</v>
      </c>
      <c r="DE57" s="238">
        <f t="shared" ca="1" si="108"/>
        <v>0</v>
      </c>
      <c r="DF57" s="112"/>
      <c r="DG57" s="238"/>
      <c r="DH57" s="238"/>
      <c r="DI57" s="112"/>
      <c r="DJ57" s="238"/>
      <c r="DK57" s="112">
        <f t="shared" ca="1" si="58"/>
        <v>39264</v>
      </c>
      <c r="DL57" s="278">
        <f t="shared" ca="1" si="129"/>
        <v>38</v>
      </c>
      <c r="DM57" s="245">
        <f t="shared" ref="DM57:DP57" ca="1" si="172">DM608</f>
        <v>39264</v>
      </c>
      <c r="DN57" s="245">
        <f t="shared" ca="1" si="172"/>
        <v>39277</v>
      </c>
      <c r="DO57" s="245">
        <f t="shared" ca="1" si="172"/>
        <v>18</v>
      </c>
      <c r="DP57" s="245">
        <f t="shared" ca="1" si="172"/>
        <v>24</v>
      </c>
      <c r="DQ57" s="281">
        <f t="shared" ca="1" si="131"/>
        <v>14</v>
      </c>
      <c r="DR57" s="278">
        <f t="shared" ca="1" si="132"/>
        <v>0</v>
      </c>
      <c r="DS57" s="244">
        <f t="shared" ca="1" si="60"/>
        <v>20958.03</v>
      </c>
      <c r="DT57" s="244">
        <f t="shared" ca="1" si="61"/>
        <v>20458.54</v>
      </c>
      <c r="DU57" s="244">
        <f t="shared" ca="1" si="133"/>
        <v>14.37</v>
      </c>
      <c r="DV57" s="244" t="str">
        <f t="shared" ca="1" si="134"/>
        <v>3/8 anni</v>
      </c>
      <c r="DW57" s="244"/>
      <c r="DX57" s="244">
        <f t="shared" ca="1" si="106"/>
        <v>3</v>
      </c>
      <c r="EA57" s="244">
        <f t="shared" ca="1" si="62"/>
        <v>1</v>
      </c>
      <c r="EB57" s="278">
        <f ca="1">VLOOKUP(DM57,Foglio1!$AB$31:$AN$261,13)-6+EA57</f>
        <v>130</v>
      </c>
      <c r="EC57" s="244"/>
      <c r="ED57" s="244">
        <f t="shared" ca="1" si="140"/>
        <v>0</v>
      </c>
      <c r="EE57" s="244">
        <f t="shared" ca="1" si="141"/>
        <v>12605.92</v>
      </c>
      <c r="EF57" s="244">
        <f t="shared" ca="1" si="142"/>
        <v>0</v>
      </c>
      <c r="EG57" s="244">
        <f t="shared" ca="1" si="143"/>
        <v>0</v>
      </c>
      <c r="EH57" s="244">
        <f t="shared" ca="1" si="144"/>
        <v>6384.11</v>
      </c>
      <c r="EI57" s="244">
        <f t="shared" ca="1" si="145"/>
        <v>0</v>
      </c>
      <c r="EJ57" s="244">
        <f t="shared" ca="1" si="146"/>
        <v>1582.5</v>
      </c>
      <c r="EK57" s="244">
        <f t="shared" ca="1" si="147"/>
        <v>0</v>
      </c>
      <c r="EL57" s="244">
        <f t="shared" ca="1" si="148"/>
        <v>0</v>
      </c>
      <c r="EM57" s="244">
        <f t="shared" ca="1" si="149"/>
        <v>130</v>
      </c>
      <c r="EN57" s="244">
        <f t="shared" ca="1" si="150"/>
        <v>0</v>
      </c>
      <c r="EO57" s="244">
        <f t="shared" ca="1" si="151"/>
        <v>0</v>
      </c>
      <c r="EP57" s="244">
        <f t="shared" ca="1" si="152"/>
        <v>1968</v>
      </c>
      <c r="EQ57" s="244">
        <f t="shared" ca="1" si="153"/>
        <v>0</v>
      </c>
      <c r="ER57" s="244"/>
      <c r="EW57" s="244">
        <v>0</v>
      </c>
      <c r="EX57" s="278">
        <f ca="1">VLOOKUP(DM57,Foglio1!$AB$31:$AN$261,13)-6+EW57</f>
        <v>129</v>
      </c>
      <c r="EY57" s="244"/>
      <c r="EZ57" s="244">
        <v>0</v>
      </c>
      <c r="FA57" s="244">
        <f t="shared" ca="1" si="156"/>
        <v>12106.43</v>
      </c>
      <c r="FB57" s="244">
        <f t="shared" ca="1" si="157"/>
        <v>0</v>
      </c>
      <c r="FC57" s="244">
        <f t="shared" ca="1" si="158"/>
        <v>0</v>
      </c>
      <c r="FD57" s="244">
        <f t="shared" ca="1" si="159"/>
        <v>6384.11</v>
      </c>
      <c r="FE57" s="244">
        <f t="shared" ca="1" si="160"/>
        <v>0</v>
      </c>
      <c r="FF57" s="244">
        <f t="shared" ca="1" si="161"/>
        <v>1540.88</v>
      </c>
      <c r="FG57" s="244">
        <f t="shared" ca="1" si="162"/>
        <v>0</v>
      </c>
      <c r="FH57" s="244">
        <f t="shared" ca="1" si="163"/>
        <v>0</v>
      </c>
      <c r="FI57" s="244">
        <f t="shared" ca="1" si="164"/>
        <v>129</v>
      </c>
      <c r="FJ57" s="244">
        <f t="shared" ca="1" si="165"/>
        <v>0</v>
      </c>
      <c r="FK57" s="244">
        <f t="shared" ca="1" si="166"/>
        <v>0</v>
      </c>
      <c r="FL57" s="244">
        <f t="shared" ca="1" si="167"/>
        <v>1968</v>
      </c>
      <c r="FM57" s="244">
        <f t="shared" ca="1" si="154"/>
        <v>0</v>
      </c>
      <c r="FN57" s="244"/>
    </row>
    <row r="58" spans="5:170" x14ac:dyDescent="0.25">
      <c r="E58" s="244"/>
      <c r="F58" s="240">
        <f>IF(fronttd!E60="","",fronttd!E60)</f>
        <v>42614</v>
      </c>
      <c r="G58" s="240">
        <f>IF(fronttd!F60="","",fronttd!F60)</f>
        <v>42978</v>
      </c>
      <c r="H58" s="380">
        <f>fronttd!G60</f>
        <v>18</v>
      </c>
      <c r="I58" s="380">
        <f>fronttd!H60</f>
        <v>18</v>
      </c>
      <c r="J58">
        <f t="shared" si="75"/>
        <v>24</v>
      </c>
      <c r="L58">
        <f t="shared" si="76"/>
        <v>58</v>
      </c>
      <c r="O58" s="238">
        <f t="shared" si="77"/>
        <v>58</v>
      </c>
      <c r="R58" s="112">
        <f t="shared" si="39"/>
        <v>42614</v>
      </c>
      <c r="S58" s="238">
        <f t="shared" ca="1" si="40"/>
        <v>43</v>
      </c>
      <c r="T58" s="112">
        <f t="shared" ca="1" si="86"/>
        <v>42370</v>
      </c>
      <c r="U58" s="112">
        <f t="shared" ca="1" si="87"/>
        <v>42736</v>
      </c>
      <c r="V58" s="112">
        <f t="shared" ca="1" si="88"/>
        <v>42782</v>
      </c>
      <c r="W58" s="112">
        <f t="shared" ca="1" si="89"/>
        <v>43160</v>
      </c>
      <c r="X58" s="112">
        <f t="shared" si="41"/>
        <v>42978</v>
      </c>
      <c r="Y58" s="112"/>
      <c r="Z58" s="112"/>
      <c r="AA58" s="335">
        <f t="shared" si="42"/>
        <v>42614</v>
      </c>
      <c r="AB58" s="335">
        <f t="shared" ca="1" si="90"/>
        <v>100000</v>
      </c>
      <c r="AC58" s="335">
        <f t="shared" ca="1" si="91"/>
        <v>42736</v>
      </c>
      <c r="AD58" s="335">
        <f t="shared" ca="1" si="92"/>
        <v>42782</v>
      </c>
      <c r="AE58" s="335">
        <f t="shared" ca="1" si="93"/>
        <v>100000</v>
      </c>
      <c r="AF58" s="335">
        <f t="shared" si="43"/>
        <v>42978</v>
      </c>
      <c r="AG58" s="238">
        <f>AG57</f>
        <v>27</v>
      </c>
      <c r="AH58" s="112">
        <f ca="1">AI57+1</f>
        <v>37073</v>
      </c>
      <c r="AI58" s="112">
        <f ca="1">IF(INDIRECT(CONCATENATE("AE",AG55))&lt;100000,INDIRECT(CONCATENATE("AE",G55)),INDIRECT(CONCATENATE("AF",AG55)))</f>
        <v>37072</v>
      </c>
      <c r="AJ58" s="112">
        <f t="shared" ca="1" si="125"/>
        <v>37072</v>
      </c>
      <c r="AK58" s="112">
        <f t="shared" ca="1" si="169"/>
        <v>37072</v>
      </c>
      <c r="AL58" s="238">
        <f t="shared" ca="1" si="127"/>
        <v>0</v>
      </c>
      <c r="AM58" s="112">
        <f t="shared" ca="1" si="118"/>
        <v>100000</v>
      </c>
      <c r="AN58" s="112">
        <f t="shared" ca="1" si="84"/>
        <v>100000</v>
      </c>
      <c r="AO58" s="114">
        <f t="shared" ca="1" si="46"/>
        <v>18</v>
      </c>
      <c r="AP58" s="114">
        <f t="shared" ca="1" si="47"/>
        <v>24</v>
      </c>
      <c r="AQ58" s="112"/>
      <c r="AR58" s="238">
        <f t="shared" si="78"/>
        <v>58</v>
      </c>
      <c r="AS58" s="112"/>
      <c r="AT58" s="112"/>
      <c r="AU58" s="283">
        <f t="shared" si="79"/>
        <v>39</v>
      </c>
      <c r="AV58" s="284">
        <f t="shared" ca="1" si="48"/>
        <v>39447</v>
      </c>
      <c r="AW58" s="284">
        <f t="shared" ca="1" si="119"/>
        <v>39538</v>
      </c>
      <c r="AX58" s="285">
        <f t="shared" ca="1" si="120"/>
        <v>18</v>
      </c>
      <c r="AY58" s="285">
        <f t="shared" ca="1" si="51"/>
        <v>24</v>
      </c>
      <c r="AZ58" s="282"/>
      <c r="BD58" s="114">
        <f t="shared" si="80"/>
        <v>1</v>
      </c>
      <c r="BE58" s="112">
        <f t="shared" si="54"/>
        <v>100000</v>
      </c>
      <c r="BH58" s="238">
        <f t="shared" si="81"/>
        <v>39</v>
      </c>
      <c r="BI58" s="245">
        <f t="shared" si="55"/>
        <v>42614</v>
      </c>
      <c r="BJ58" s="281">
        <f t="shared" ca="1" si="96"/>
        <v>1</v>
      </c>
      <c r="BK58" s="245">
        <f t="shared" ca="1" si="56"/>
        <v>39814</v>
      </c>
      <c r="BL58" s="245">
        <f t="shared" ca="1" si="57"/>
        <v>40062</v>
      </c>
      <c r="BM58" s="244"/>
      <c r="BN58" s="245">
        <f t="shared" ca="1" si="97"/>
        <v>39994</v>
      </c>
      <c r="BQ58" s="245"/>
      <c r="BR58" s="245"/>
      <c r="BS58" s="245"/>
      <c r="BT58" s="245"/>
      <c r="BU58" s="245"/>
      <c r="BV58" s="245"/>
      <c r="BY58" s="245"/>
      <c r="BZ58" s="245"/>
      <c r="CA58" s="245"/>
      <c r="CB58" s="245"/>
      <c r="CC58" s="245"/>
      <c r="CD58" s="245"/>
      <c r="CE58" s="245"/>
      <c r="CF58" s="245"/>
      <c r="CG58" s="245"/>
      <c r="CH58" s="245"/>
      <c r="CL58" s="112"/>
      <c r="CM58" s="112"/>
      <c r="CP58" s="112"/>
      <c r="CQ58" s="112"/>
      <c r="CR58" s="238"/>
      <c r="CS58" s="238"/>
      <c r="CT58" s="112"/>
      <c r="CU58" s="112"/>
      <c r="CV58" s="112"/>
      <c r="CW58" s="112" t="s">
        <v>224</v>
      </c>
      <c r="CX58" s="112" t="s">
        <v>225</v>
      </c>
      <c r="CY58" s="112" t="s">
        <v>226</v>
      </c>
      <c r="CZ58" s="112" t="s">
        <v>227</v>
      </c>
      <c r="DA58" s="112" t="s">
        <v>228</v>
      </c>
      <c r="DB58" s="112" t="s">
        <v>229</v>
      </c>
      <c r="DC58" s="112"/>
      <c r="DD58" s="238">
        <f t="shared" ca="1" si="116"/>
        <v>0</v>
      </c>
      <c r="DE58" s="238">
        <f t="shared" ca="1" si="108"/>
        <v>0</v>
      </c>
      <c r="DF58" s="112"/>
      <c r="DG58" s="238"/>
      <c r="DH58" s="238"/>
      <c r="DI58" s="112"/>
      <c r="DJ58" s="238"/>
      <c r="DK58" s="112">
        <f t="shared" ca="1" si="58"/>
        <v>39338</v>
      </c>
      <c r="DL58" s="278">
        <f t="shared" ca="1" si="129"/>
        <v>39</v>
      </c>
      <c r="DM58" s="245">
        <f t="shared" ref="DM58:DP58" ca="1" si="173">DM609</f>
        <v>39338</v>
      </c>
      <c r="DN58" s="245">
        <f t="shared" ca="1" si="173"/>
        <v>39446</v>
      </c>
      <c r="DO58" s="245">
        <f t="shared" ca="1" si="173"/>
        <v>18</v>
      </c>
      <c r="DP58" s="245">
        <f t="shared" ca="1" si="173"/>
        <v>24</v>
      </c>
      <c r="DQ58" s="281">
        <f t="shared" ca="1" si="131"/>
        <v>109</v>
      </c>
      <c r="DR58" s="278">
        <f t="shared" ca="1" si="132"/>
        <v>0</v>
      </c>
      <c r="DS58" s="244">
        <f t="shared" ca="1" si="60"/>
        <v>20958.03</v>
      </c>
      <c r="DT58" s="244">
        <f t="shared" ca="1" si="61"/>
        <v>20458.54</v>
      </c>
      <c r="DU58" s="244">
        <f t="shared" ca="1" si="133"/>
        <v>111.87</v>
      </c>
      <c r="DV58" s="244" t="str">
        <f t="shared" ca="1" si="134"/>
        <v>3/8 anni</v>
      </c>
      <c r="DW58" s="244"/>
      <c r="DX58" s="244">
        <f t="shared" ca="1" si="106"/>
        <v>3</v>
      </c>
      <c r="EA58" s="244">
        <f t="shared" ca="1" si="62"/>
        <v>1</v>
      </c>
      <c r="EB58" s="278">
        <f ca="1">VLOOKUP(DM58,Foglio1!$AB$31:$AN$261,13)-6+EA58</f>
        <v>130</v>
      </c>
      <c r="EC58" s="244"/>
      <c r="ED58" s="244">
        <f t="shared" ca="1" si="140"/>
        <v>0</v>
      </c>
      <c r="EE58" s="244">
        <f t="shared" ca="1" si="141"/>
        <v>12605.92</v>
      </c>
      <c r="EF58" s="244">
        <f t="shared" ca="1" si="142"/>
        <v>0</v>
      </c>
      <c r="EG58" s="244">
        <f t="shared" ca="1" si="143"/>
        <v>0</v>
      </c>
      <c r="EH58" s="244">
        <f t="shared" ca="1" si="144"/>
        <v>6384.11</v>
      </c>
      <c r="EI58" s="244">
        <f t="shared" ca="1" si="145"/>
        <v>0</v>
      </c>
      <c r="EJ58" s="244">
        <f t="shared" ca="1" si="146"/>
        <v>1582.5</v>
      </c>
      <c r="EK58" s="244">
        <f t="shared" ca="1" si="147"/>
        <v>0</v>
      </c>
      <c r="EL58" s="244">
        <f t="shared" ca="1" si="148"/>
        <v>0</v>
      </c>
      <c r="EM58" s="244">
        <f t="shared" ca="1" si="149"/>
        <v>130</v>
      </c>
      <c r="EN58" s="244">
        <f t="shared" ca="1" si="150"/>
        <v>0</v>
      </c>
      <c r="EO58" s="244">
        <f t="shared" ca="1" si="151"/>
        <v>0</v>
      </c>
      <c r="EP58" s="244">
        <f t="shared" ca="1" si="152"/>
        <v>1968</v>
      </c>
      <c r="EQ58" s="244">
        <f t="shared" ca="1" si="153"/>
        <v>0</v>
      </c>
      <c r="ER58" s="244"/>
      <c r="EW58" s="244">
        <v>0</v>
      </c>
      <c r="EX58" s="278">
        <f ca="1">VLOOKUP(DM58,Foglio1!$AB$31:$AN$261,13)-6+EW58</f>
        <v>129</v>
      </c>
      <c r="EY58" s="244"/>
      <c r="EZ58" s="244">
        <v>0</v>
      </c>
      <c r="FA58" s="244">
        <f t="shared" ca="1" si="156"/>
        <v>12106.43</v>
      </c>
      <c r="FB58" s="244">
        <f t="shared" ca="1" si="157"/>
        <v>0</v>
      </c>
      <c r="FC58" s="244">
        <f t="shared" ca="1" si="158"/>
        <v>0</v>
      </c>
      <c r="FD58" s="244">
        <f t="shared" ca="1" si="159"/>
        <v>6384.11</v>
      </c>
      <c r="FE58" s="244">
        <f t="shared" ca="1" si="160"/>
        <v>0</v>
      </c>
      <c r="FF58" s="244">
        <f t="shared" ca="1" si="161"/>
        <v>1540.88</v>
      </c>
      <c r="FG58" s="244">
        <f t="shared" ca="1" si="162"/>
        <v>0</v>
      </c>
      <c r="FH58" s="244">
        <f t="shared" ca="1" si="163"/>
        <v>0</v>
      </c>
      <c r="FI58" s="244">
        <f t="shared" ca="1" si="164"/>
        <v>129</v>
      </c>
      <c r="FJ58" s="244">
        <f t="shared" ca="1" si="165"/>
        <v>0</v>
      </c>
      <c r="FK58" s="244">
        <f t="shared" ca="1" si="166"/>
        <v>0</v>
      </c>
      <c r="FL58" s="244">
        <f t="shared" ca="1" si="167"/>
        <v>1968</v>
      </c>
      <c r="FM58" s="244">
        <f t="shared" ca="1" si="154"/>
        <v>0</v>
      </c>
      <c r="FN58" s="244"/>
    </row>
    <row r="59" spans="5:170" x14ac:dyDescent="0.25">
      <c r="E59" s="244"/>
      <c r="F59" s="240">
        <f>IF(fronttd!E61="","",fronttd!E61)</f>
        <v>42979</v>
      </c>
      <c r="G59" s="240">
        <f>IF(fronttd!F61="","",fronttd!F61)</f>
        <v>43343</v>
      </c>
      <c r="H59" s="380">
        <f>fronttd!G61</f>
        <v>18</v>
      </c>
      <c r="I59" s="380">
        <f>fronttd!H61</f>
        <v>18</v>
      </c>
      <c r="J59">
        <f t="shared" si="75"/>
        <v>24</v>
      </c>
      <c r="L59">
        <f t="shared" si="76"/>
        <v>59</v>
      </c>
      <c r="O59" s="238">
        <f t="shared" si="77"/>
        <v>59</v>
      </c>
      <c r="R59" s="112">
        <f t="shared" si="39"/>
        <v>42979</v>
      </c>
      <c r="S59" s="238">
        <f t="shared" ca="1" si="40"/>
        <v>45</v>
      </c>
      <c r="T59" s="112">
        <f t="shared" ca="1" si="86"/>
        <v>42782</v>
      </c>
      <c r="U59" s="112">
        <f t="shared" ca="1" si="87"/>
        <v>43160</v>
      </c>
      <c r="V59" s="112">
        <f t="shared" ca="1" si="88"/>
        <v>43191</v>
      </c>
      <c r="W59" s="112">
        <f t="shared" ca="1" si="89"/>
        <v>43466</v>
      </c>
      <c r="X59" s="112">
        <f t="shared" si="41"/>
        <v>43343</v>
      </c>
      <c r="Y59" s="112"/>
      <c r="Z59" s="112"/>
      <c r="AA59" s="335">
        <f t="shared" si="42"/>
        <v>42979</v>
      </c>
      <c r="AB59" s="335">
        <f t="shared" ca="1" si="90"/>
        <v>100000</v>
      </c>
      <c r="AC59" s="335">
        <f t="shared" ca="1" si="91"/>
        <v>43160</v>
      </c>
      <c r="AD59" s="335">
        <f t="shared" ca="1" si="92"/>
        <v>43191</v>
      </c>
      <c r="AE59" s="335">
        <f t="shared" ca="1" si="93"/>
        <v>100000</v>
      </c>
      <c r="AF59" s="335">
        <f t="shared" si="43"/>
        <v>43343</v>
      </c>
      <c r="AG59" s="238">
        <f>AG58</f>
        <v>27</v>
      </c>
      <c r="AH59" s="112">
        <f ca="1">AI58+1</f>
        <v>37073</v>
      </c>
      <c r="AI59" s="112">
        <f ca="1">INDIRECT(CONCATENATE("AF",AG55))</f>
        <v>37072</v>
      </c>
      <c r="AJ59" s="112">
        <f t="shared" ca="1" si="125"/>
        <v>37072</v>
      </c>
      <c r="AK59" s="112">
        <f t="shared" ca="1" si="169"/>
        <v>37072</v>
      </c>
      <c r="AL59" s="238">
        <f t="shared" ca="1" si="127"/>
        <v>0</v>
      </c>
      <c r="AM59" s="112">
        <f t="shared" ca="1" si="118"/>
        <v>100000</v>
      </c>
      <c r="AN59" s="112">
        <f t="shared" ca="1" si="84"/>
        <v>100000</v>
      </c>
      <c r="AO59" s="114">
        <f t="shared" ca="1" si="46"/>
        <v>18</v>
      </c>
      <c r="AP59" s="114">
        <f t="shared" ca="1" si="47"/>
        <v>24</v>
      </c>
      <c r="AQ59" s="112"/>
      <c r="AR59" s="238">
        <f t="shared" si="78"/>
        <v>59</v>
      </c>
      <c r="AS59" s="112"/>
      <c r="AT59" s="112"/>
      <c r="AU59" s="283">
        <f t="shared" si="79"/>
        <v>40</v>
      </c>
      <c r="AV59" s="284">
        <f t="shared" ca="1" si="48"/>
        <v>39539</v>
      </c>
      <c r="AW59" s="284">
        <f t="shared" ca="1" si="119"/>
        <v>39629</v>
      </c>
      <c r="AX59" s="285">
        <f t="shared" ca="1" si="120"/>
        <v>18</v>
      </c>
      <c r="AY59" s="285">
        <f t="shared" ca="1" si="51"/>
        <v>24</v>
      </c>
      <c r="AZ59" s="282"/>
      <c r="BD59" s="114">
        <f t="shared" si="80"/>
        <v>1</v>
      </c>
      <c r="BE59" s="112">
        <f t="shared" si="54"/>
        <v>100000</v>
      </c>
      <c r="BH59" s="238">
        <f t="shared" si="81"/>
        <v>40</v>
      </c>
      <c r="BI59" s="245">
        <f t="shared" si="55"/>
        <v>42979</v>
      </c>
      <c r="BJ59" s="281">
        <f t="shared" ca="1" si="96"/>
        <v>16</v>
      </c>
      <c r="BK59" s="245">
        <f t="shared" ca="1" si="56"/>
        <v>40063</v>
      </c>
      <c r="BL59" s="245">
        <f t="shared" ca="1" si="57"/>
        <v>40065</v>
      </c>
      <c r="BM59" s="244"/>
      <c r="BN59" s="245">
        <f t="shared" ca="1" si="97"/>
        <v>40063</v>
      </c>
      <c r="BQ59" s="245"/>
      <c r="BR59" s="245"/>
      <c r="BS59" s="245"/>
      <c r="BT59" s="245"/>
      <c r="BU59" s="245"/>
      <c r="BV59" s="245"/>
      <c r="BY59" s="245"/>
      <c r="BZ59" s="245"/>
      <c r="CA59" s="245"/>
      <c r="CB59" s="245"/>
      <c r="CC59" s="245"/>
      <c r="CD59" s="245"/>
      <c r="CE59" s="245"/>
      <c r="CF59" s="245"/>
      <c r="CG59" s="245"/>
      <c r="CH59" s="245"/>
      <c r="CL59" s="112"/>
      <c r="CM59" s="112"/>
      <c r="CP59" s="112"/>
      <c r="CQ59" s="112"/>
      <c r="CR59" s="238"/>
      <c r="CS59" s="238"/>
      <c r="CT59" s="112"/>
      <c r="CU59" s="112"/>
      <c r="CV59" s="112"/>
      <c r="CW59" s="112" t="s">
        <v>224</v>
      </c>
      <c r="CX59" s="112" t="s">
        <v>225</v>
      </c>
      <c r="CY59" s="112" t="s">
        <v>226</v>
      </c>
      <c r="CZ59" s="112" t="s">
        <v>227</v>
      </c>
      <c r="DA59" s="112" t="s">
        <v>228</v>
      </c>
      <c r="DB59" s="112" t="s">
        <v>229</v>
      </c>
      <c r="DC59" s="112"/>
      <c r="DD59" s="238">
        <f t="shared" ca="1" si="116"/>
        <v>0</v>
      </c>
      <c r="DE59" s="238">
        <f t="shared" ca="1" si="108"/>
        <v>0</v>
      </c>
      <c r="DF59" s="112"/>
      <c r="DG59" s="238"/>
      <c r="DH59" s="238"/>
      <c r="DI59" s="112"/>
      <c r="DJ59" s="238"/>
      <c r="DK59" s="112">
        <f t="shared" ca="1" si="58"/>
        <v>39447</v>
      </c>
      <c r="DL59" s="278">
        <f t="shared" ca="1" si="129"/>
        <v>40</v>
      </c>
      <c r="DM59" s="245">
        <f t="shared" ref="DM59:DP59" ca="1" si="174">DM610</f>
        <v>39447</v>
      </c>
      <c r="DN59" s="245">
        <f t="shared" ca="1" si="174"/>
        <v>39538</v>
      </c>
      <c r="DO59" s="245">
        <f t="shared" ca="1" si="174"/>
        <v>18</v>
      </c>
      <c r="DP59" s="245">
        <f t="shared" ca="1" si="174"/>
        <v>24</v>
      </c>
      <c r="DQ59" s="281">
        <f t="shared" ca="1" si="131"/>
        <v>92</v>
      </c>
      <c r="DR59" s="278">
        <f t="shared" ca="1" si="132"/>
        <v>0</v>
      </c>
      <c r="DS59" s="244">
        <f t="shared" ca="1" si="60"/>
        <v>21080.07</v>
      </c>
      <c r="DT59" s="244">
        <f t="shared" ca="1" si="61"/>
        <v>20577.34</v>
      </c>
      <c r="DU59" s="244">
        <f t="shared" ca="1" si="133"/>
        <v>95.04</v>
      </c>
      <c r="DV59" s="244" t="str">
        <f t="shared" ca="1" si="134"/>
        <v>3/8 anni</v>
      </c>
      <c r="DW59" s="244"/>
      <c r="DX59" s="244">
        <f t="shared" ca="1" si="106"/>
        <v>3</v>
      </c>
      <c r="EA59" s="244">
        <f t="shared" ca="1" si="62"/>
        <v>1</v>
      </c>
      <c r="EB59" s="278">
        <f ca="1">VLOOKUP(DM59,Foglio1!$AB$31:$AN$261,13)-6+EA59</f>
        <v>137</v>
      </c>
      <c r="EC59" s="244"/>
      <c r="ED59" s="244">
        <f t="shared" ca="1" si="140"/>
        <v>0</v>
      </c>
      <c r="EE59" s="244">
        <f t="shared" ca="1" si="141"/>
        <v>12727.96</v>
      </c>
      <c r="EF59" s="244">
        <f t="shared" ca="1" si="142"/>
        <v>0</v>
      </c>
      <c r="EG59" s="244">
        <f t="shared" ca="1" si="143"/>
        <v>0</v>
      </c>
      <c r="EH59" s="244">
        <f t="shared" ca="1" si="144"/>
        <v>6384.11</v>
      </c>
      <c r="EI59" s="244">
        <f t="shared" ca="1" si="145"/>
        <v>0</v>
      </c>
      <c r="EJ59" s="244">
        <f t="shared" ca="1" si="146"/>
        <v>1592.67</v>
      </c>
      <c r="EK59" s="244">
        <f t="shared" ca="1" si="147"/>
        <v>0</v>
      </c>
      <c r="EL59" s="244">
        <f t="shared" ca="1" si="148"/>
        <v>0</v>
      </c>
      <c r="EM59" s="244">
        <f t="shared" ca="1" si="149"/>
        <v>137</v>
      </c>
      <c r="EN59" s="244">
        <f t="shared" ca="1" si="150"/>
        <v>0</v>
      </c>
      <c r="EO59" s="244">
        <f t="shared" ca="1" si="151"/>
        <v>0</v>
      </c>
      <c r="EP59" s="244">
        <f t="shared" ca="1" si="152"/>
        <v>1968</v>
      </c>
      <c r="EQ59" s="244">
        <f t="shared" ca="1" si="153"/>
        <v>0</v>
      </c>
      <c r="ER59" s="244"/>
      <c r="EW59" s="244">
        <v>0</v>
      </c>
      <c r="EX59" s="278">
        <f ca="1">VLOOKUP(DM59,Foglio1!$AB$31:$AN$261,13)-6+EW59</f>
        <v>136</v>
      </c>
      <c r="EY59" s="244"/>
      <c r="EZ59" s="244">
        <v>0</v>
      </c>
      <c r="FA59" s="244">
        <f t="shared" ca="1" si="156"/>
        <v>12225.23</v>
      </c>
      <c r="FB59" s="244">
        <f t="shared" ca="1" si="157"/>
        <v>0</v>
      </c>
      <c r="FC59" s="244">
        <f t="shared" ca="1" si="158"/>
        <v>0</v>
      </c>
      <c r="FD59" s="244">
        <f t="shared" ca="1" si="159"/>
        <v>6384.11</v>
      </c>
      <c r="FE59" s="244">
        <f t="shared" ca="1" si="160"/>
        <v>0</v>
      </c>
      <c r="FF59" s="244">
        <f t="shared" ca="1" si="161"/>
        <v>1550.78</v>
      </c>
      <c r="FG59" s="244">
        <f t="shared" ca="1" si="162"/>
        <v>0</v>
      </c>
      <c r="FH59" s="244">
        <f t="shared" ca="1" si="163"/>
        <v>0</v>
      </c>
      <c r="FI59" s="244">
        <f t="shared" ca="1" si="164"/>
        <v>136</v>
      </c>
      <c r="FJ59" s="244">
        <f t="shared" ca="1" si="165"/>
        <v>0</v>
      </c>
      <c r="FK59" s="244">
        <f t="shared" ca="1" si="166"/>
        <v>0</v>
      </c>
      <c r="FL59" s="244">
        <f t="shared" ca="1" si="167"/>
        <v>1968</v>
      </c>
      <c r="FM59" s="244">
        <f t="shared" ca="1" si="154"/>
        <v>0</v>
      </c>
      <c r="FN59" s="244"/>
    </row>
    <row r="60" spans="5:170" x14ac:dyDescent="0.25">
      <c r="E60" s="244"/>
      <c r="F60" s="240">
        <f>IF(fronttd!E62="","",fronttd!E62)</f>
        <v>43344</v>
      </c>
      <c r="G60" s="240">
        <f>IF(fronttd!F62="","",fronttd!F62)</f>
        <v>43708</v>
      </c>
      <c r="H60" s="380">
        <f>fronttd!G62</f>
        <v>18</v>
      </c>
      <c r="I60" s="380">
        <f>fronttd!H62</f>
        <v>18</v>
      </c>
      <c r="J60">
        <f t="shared" si="75"/>
        <v>24</v>
      </c>
      <c r="L60">
        <f t="shared" si="76"/>
        <v>60</v>
      </c>
      <c r="O60" s="238">
        <f t="shared" si="77"/>
        <v>60</v>
      </c>
      <c r="R60" s="112">
        <f t="shared" si="39"/>
        <v>43344</v>
      </c>
      <c r="S60" s="238">
        <f t="shared" ca="1" si="40"/>
        <v>47</v>
      </c>
      <c r="T60" s="112">
        <f t="shared" ca="1" si="86"/>
        <v>43191</v>
      </c>
      <c r="U60" s="112">
        <f t="shared" ca="1" si="87"/>
        <v>43466</v>
      </c>
      <c r="V60" s="112">
        <f t="shared" ca="1" si="88"/>
        <v>43831</v>
      </c>
      <c r="W60" s="112">
        <f t="shared" ca="1" si="89"/>
        <v>44197</v>
      </c>
      <c r="X60" s="112">
        <f t="shared" si="41"/>
        <v>43708</v>
      </c>
      <c r="Y60" s="112"/>
      <c r="Z60" s="112"/>
      <c r="AA60" s="335">
        <f t="shared" si="42"/>
        <v>43344</v>
      </c>
      <c r="AB60" s="335">
        <f t="shared" ca="1" si="90"/>
        <v>100000</v>
      </c>
      <c r="AC60" s="335">
        <f t="shared" ca="1" si="91"/>
        <v>43466</v>
      </c>
      <c r="AD60" s="335">
        <f t="shared" ca="1" si="92"/>
        <v>100000</v>
      </c>
      <c r="AE60" s="335">
        <f t="shared" ca="1" si="93"/>
        <v>100000</v>
      </c>
      <c r="AF60" s="335">
        <f t="shared" si="43"/>
        <v>43708</v>
      </c>
      <c r="AG60" s="238">
        <f>AG59+1</f>
        <v>28</v>
      </c>
      <c r="AH60" s="112">
        <f ca="1">INDIRECT(CONCATENATE("AA",AG60))</f>
        <v>37135</v>
      </c>
      <c r="AI60" s="112">
        <f ca="1">IF(            INDIRECT(CONCATENATE( "AB",AG60))&lt;100000,       INDIRECT(CONCATENATE("AB",AG60))  -1,IF(   INDIRECT(CONCATENATE("AC",AG60))&lt;100000,   INDIRECT(CONCATENATE("AC",AG60))-1,IF(   INDIRECT(CONCATENATE("AD", AG60))&lt;100000, INDIRECT(CONCATENATE("AD",AG60))-1,IF(   INDIRECT(CONCATENATE("AE",AG60))&lt;100000,  INDIRECT(CONCATENATE("AE",G60)),INDIRECT(CONCATENATE("AF",AG60))                ))))</f>
        <v>37256</v>
      </c>
      <c r="AJ60" s="112">
        <f t="shared" ca="1" si="125"/>
        <v>37256</v>
      </c>
      <c r="AK60" s="112">
        <f t="shared" ca="1" si="169"/>
        <v>37256</v>
      </c>
      <c r="AL60" s="238">
        <f t="shared" ca="1" si="127"/>
        <v>1</v>
      </c>
      <c r="AM60" s="112">
        <f t="shared" ca="1" si="118"/>
        <v>37135</v>
      </c>
      <c r="AN60" s="112">
        <f t="shared" ca="1" si="84"/>
        <v>37256</v>
      </c>
      <c r="AO60" s="114">
        <f t="shared" ca="1" si="46"/>
        <v>18</v>
      </c>
      <c r="AP60" s="114">
        <f t="shared" ca="1" si="47"/>
        <v>24</v>
      </c>
      <c r="AQ60" s="112"/>
      <c r="AR60" s="238">
        <f t="shared" si="78"/>
        <v>60</v>
      </c>
      <c r="AS60" s="112"/>
      <c r="AT60" s="112"/>
      <c r="AU60" s="283">
        <f t="shared" si="79"/>
        <v>41</v>
      </c>
      <c r="AV60" s="284">
        <f t="shared" ca="1" si="48"/>
        <v>39692</v>
      </c>
      <c r="AW60" s="284">
        <f t="shared" ca="1" si="119"/>
        <v>39813</v>
      </c>
      <c r="AX60" s="285">
        <f t="shared" ca="1" si="120"/>
        <v>18</v>
      </c>
      <c r="AY60" s="285">
        <f t="shared" ca="1" si="51"/>
        <v>24</v>
      </c>
      <c r="AZ60" s="282"/>
      <c r="BD60" s="114">
        <f t="shared" si="80"/>
        <v>1</v>
      </c>
      <c r="BE60" s="112">
        <f t="shared" si="54"/>
        <v>100000</v>
      </c>
      <c r="BH60" s="238">
        <f t="shared" si="81"/>
        <v>41</v>
      </c>
      <c r="BI60" s="245">
        <f t="shared" si="55"/>
        <v>43344</v>
      </c>
      <c r="BJ60" s="281">
        <f t="shared" ca="1" si="96"/>
        <v>16</v>
      </c>
      <c r="BK60" s="245">
        <f t="shared" ca="1" si="56"/>
        <v>40066</v>
      </c>
      <c r="BL60" s="245">
        <f t="shared" ca="1" si="57"/>
        <v>40170</v>
      </c>
      <c r="BM60" s="244"/>
      <c r="BN60" s="245">
        <f t="shared" ca="1" si="97"/>
        <v>40421</v>
      </c>
      <c r="BQ60" s="245"/>
      <c r="BR60" s="245"/>
      <c r="BS60" s="245"/>
      <c r="BT60" s="245"/>
      <c r="BU60" s="245"/>
      <c r="BV60" s="245"/>
      <c r="BY60" s="245"/>
      <c r="BZ60" s="245"/>
      <c r="CA60" s="245"/>
      <c r="CB60" s="245"/>
      <c r="CC60" s="245"/>
      <c r="CD60" s="245"/>
      <c r="CE60" s="245"/>
      <c r="CF60" s="245"/>
      <c r="CG60" s="245"/>
      <c r="CH60" s="245"/>
      <c r="CL60" s="112"/>
      <c r="CM60" s="112"/>
      <c r="CP60" s="112"/>
      <c r="CQ60" s="112"/>
      <c r="CR60" s="238"/>
      <c r="CS60" s="238"/>
      <c r="CT60" s="112"/>
      <c r="CU60" s="112"/>
      <c r="CV60" s="112"/>
      <c r="CW60" s="112" t="s">
        <v>224</v>
      </c>
      <c r="CX60" s="112" t="s">
        <v>225</v>
      </c>
      <c r="CY60" s="112" t="s">
        <v>226</v>
      </c>
      <c r="CZ60" s="112" t="s">
        <v>227</v>
      </c>
      <c r="DA60" s="112" t="s">
        <v>228</v>
      </c>
      <c r="DB60" s="112" t="s">
        <v>229</v>
      </c>
      <c r="DC60" s="112"/>
      <c r="DD60" s="238">
        <f t="shared" ca="1" si="116"/>
        <v>0</v>
      </c>
      <c r="DE60" s="238">
        <f t="shared" ca="1" si="108"/>
        <v>0</v>
      </c>
      <c r="DF60" s="112"/>
      <c r="DG60" s="238"/>
      <c r="DH60" s="238"/>
      <c r="DI60" s="112"/>
      <c r="DJ60" s="238"/>
      <c r="DK60" s="112">
        <f t="shared" ca="1" si="58"/>
        <v>39539</v>
      </c>
      <c r="DL60" s="278">
        <f t="shared" ca="1" si="129"/>
        <v>41</v>
      </c>
      <c r="DM60" s="245">
        <f t="shared" ref="DM60:DP60" ca="1" si="175">DM611</f>
        <v>39539</v>
      </c>
      <c r="DN60" s="245">
        <f t="shared" ca="1" si="175"/>
        <v>39629</v>
      </c>
      <c r="DO60" s="245">
        <f t="shared" ca="1" si="175"/>
        <v>18</v>
      </c>
      <c r="DP60" s="245">
        <f t="shared" ca="1" si="175"/>
        <v>24</v>
      </c>
      <c r="DQ60" s="281">
        <f t="shared" ca="1" si="131"/>
        <v>91</v>
      </c>
      <c r="DR60" s="278">
        <f t="shared" ca="1" si="132"/>
        <v>0</v>
      </c>
      <c r="DS60" s="244">
        <f t="shared" ca="1" si="60"/>
        <v>21174.989999999998</v>
      </c>
      <c r="DT60" s="244">
        <f t="shared" ca="1" si="61"/>
        <v>20672.259999999998</v>
      </c>
      <c r="DU60" s="244">
        <f t="shared" ca="1" si="133"/>
        <v>94</v>
      </c>
      <c r="DV60" s="244" t="str">
        <f t="shared" ca="1" si="134"/>
        <v>3/8 anni</v>
      </c>
      <c r="DW60" s="244"/>
      <c r="DX60" s="244">
        <f t="shared" ca="1" si="106"/>
        <v>3</v>
      </c>
      <c r="EA60" s="244">
        <f t="shared" ca="1" si="62"/>
        <v>1</v>
      </c>
      <c r="EB60" s="278">
        <f ca="1">VLOOKUP(DM60,Foglio1!$AB$31:$AN$261,13)-6+EA60</f>
        <v>144</v>
      </c>
      <c r="EC60" s="244"/>
      <c r="ED60" s="244">
        <f t="shared" ca="1" si="140"/>
        <v>0</v>
      </c>
      <c r="EE60" s="244">
        <f t="shared" ca="1" si="141"/>
        <v>12822.88</v>
      </c>
      <c r="EF60" s="244">
        <f t="shared" ca="1" si="142"/>
        <v>0</v>
      </c>
      <c r="EG60" s="244">
        <f t="shared" ca="1" si="143"/>
        <v>0</v>
      </c>
      <c r="EH60" s="244">
        <f t="shared" ca="1" si="144"/>
        <v>6384.11</v>
      </c>
      <c r="EI60" s="244">
        <f t="shared" ca="1" si="145"/>
        <v>0</v>
      </c>
      <c r="EJ60" s="244">
        <f t="shared" ca="1" si="146"/>
        <v>1600.58</v>
      </c>
      <c r="EK60" s="244">
        <f t="shared" ca="1" si="147"/>
        <v>0</v>
      </c>
      <c r="EL60" s="244">
        <f t="shared" ca="1" si="148"/>
        <v>0</v>
      </c>
      <c r="EM60" s="244">
        <f t="shared" ca="1" si="149"/>
        <v>144</v>
      </c>
      <c r="EN60" s="244">
        <f t="shared" ca="1" si="150"/>
        <v>0</v>
      </c>
      <c r="EO60" s="244">
        <f t="shared" ca="1" si="151"/>
        <v>0</v>
      </c>
      <c r="EP60" s="244">
        <f t="shared" ca="1" si="152"/>
        <v>1968</v>
      </c>
      <c r="EQ60" s="244">
        <f t="shared" ca="1" si="153"/>
        <v>0</v>
      </c>
      <c r="ER60" s="244"/>
      <c r="EW60" s="244">
        <v>0</v>
      </c>
      <c r="EX60" s="278">
        <f ca="1">VLOOKUP(DM60,Foglio1!$AB$31:$AN$261,13)-6+EW60</f>
        <v>143</v>
      </c>
      <c r="EY60" s="244"/>
      <c r="EZ60" s="244">
        <v>0</v>
      </c>
      <c r="FA60" s="244">
        <f t="shared" ca="1" si="156"/>
        <v>12320.15</v>
      </c>
      <c r="FB60" s="244">
        <f t="shared" ca="1" si="157"/>
        <v>0</v>
      </c>
      <c r="FC60" s="244">
        <f t="shared" ca="1" si="158"/>
        <v>0</v>
      </c>
      <c r="FD60" s="244">
        <f t="shared" ca="1" si="159"/>
        <v>6384.11</v>
      </c>
      <c r="FE60" s="244">
        <f t="shared" ca="1" si="160"/>
        <v>0</v>
      </c>
      <c r="FF60" s="244">
        <f t="shared" ca="1" si="161"/>
        <v>1558.69</v>
      </c>
      <c r="FG60" s="244">
        <f t="shared" ca="1" si="162"/>
        <v>0</v>
      </c>
      <c r="FH60" s="244">
        <f t="shared" ca="1" si="163"/>
        <v>0</v>
      </c>
      <c r="FI60" s="244">
        <f t="shared" ca="1" si="164"/>
        <v>143</v>
      </c>
      <c r="FJ60" s="244">
        <f t="shared" ca="1" si="165"/>
        <v>0</v>
      </c>
      <c r="FK60" s="244">
        <f t="shared" ca="1" si="166"/>
        <v>0</v>
      </c>
      <c r="FL60" s="244">
        <f t="shared" ca="1" si="167"/>
        <v>1968</v>
      </c>
      <c r="FM60" s="244">
        <f t="shared" ca="1" si="154"/>
        <v>0</v>
      </c>
      <c r="FN60" s="244"/>
    </row>
    <row r="61" spans="5:170" x14ac:dyDescent="0.25">
      <c r="E61" s="244"/>
      <c r="F61" s="240">
        <f>IF(fronttd!E63="","",fronttd!E63)</f>
        <v>43709</v>
      </c>
      <c r="G61" s="240">
        <f>IF(fronttd!F63="","",fronttd!F63)</f>
        <v>44074</v>
      </c>
      <c r="H61" s="380">
        <f>fronttd!G63</f>
        <v>18</v>
      </c>
      <c r="I61" s="380">
        <f>fronttd!H63</f>
        <v>18</v>
      </c>
      <c r="J61">
        <f t="shared" si="75"/>
        <v>24</v>
      </c>
      <c r="L61">
        <f t="shared" si="76"/>
        <v>61</v>
      </c>
      <c r="O61" s="238">
        <f t="shared" si="77"/>
        <v>61</v>
      </c>
      <c r="R61" s="112">
        <f t="shared" si="39"/>
        <v>43709</v>
      </c>
      <c r="S61" s="238">
        <f t="shared" ca="1" si="40"/>
        <v>48</v>
      </c>
      <c r="T61" s="112">
        <f t="shared" ca="1" si="86"/>
        <v>43466</v>
      </c>
      <c r="U61" s="112">
        <f t="shared" ca="1" si="87"/>
        <v>43831</v>
      </c>
      <c r="V61" s="112">
        <f t="shared" ca="1" si="88"/>
        <v>44197</v>
      </c>
      <c r="W61" s="112">
        <f t="shared" ca="1" si="89"/>
        <v>44562</v>
      </c>
      <c r="X61" s="112">
        <f t="shared" si="41"/>
        <v>44074</v>
      </c>
      <c r="Y61" s="112"/>
      <c r="Z61" s="112"/>
      <c r="AA61" s="335">
        <f t="shared" si="42"/>
        <v>43709</v>
      </c>
      <c r="AB61" s="335">
        <f t="shared" ca="1" si="90"/>
        <v>100000</v>
      </c>
      <c r="AC61" s="335">
        <f t="shared" ca="1" si="91"/>
        <v>43831</v>
      </c>
      <c r="AD61" s="335">
        <f t="shared" ca="1" si="92"/>
        <v>100000</v>
      </c>
      <c r="AE61" s="335">
        <f t="shared" ca="1" si="93"/>
        <v>100000</v>
      </c>
      <c r="AF61" s="335">
        <f t="shared" si="43"/>
        <v>44074</v>
      </c>
      <c r="AG61" s="238">
        <f>AG60</f>
        <v>28</v>
      </c>
      <c r="AH61" s="112">
        <f ca="1">AI60+1</f>
        <v>37257</v>
      </c>
      <c r="AI61" s="112">
        <f ca="1">IF(INDIRECT(CONCATENATE("AC",AG60))&lt;100000,INDIRECT(CONCATENATE("AC",AG60))-1,IF(INDIRECT(CONCATENATE("AD",AG60))&lt;100000,INDIRECT(CONCATENATE("AD",AG60))-1,IF(INDIRECT(CONCATENATE("AE",AG60))&lt;100000,INDIRECT(CONCATENATE("AE",G60)),INDIRECT(CONCATENATE("AF",AG60)))))</f>
        <v>37256</v>
      </c>
      <c r="AJ61" s="112">
        <f t="shared" ca="1" si="125"/>
        <v>37256</v>
      </c>
      <c r="AK61" s="112">
        <f t="shared" ca="1" si="169"/>
        <v>37256</v>
      </c>
      <c r="AL61" s="238">
        <f t="shared" ca="1" si="127"/>
        <v>0</v>
      </c>
      <c r="AM61" s="112">
        <f t="shared" ca="1" si="118"/>
        <v>100000</v>
      </c>
      <c r="AN61" s="112">
        <f t="shared" ca="1" si="84"/>
        <v>100000</v>
      </c>
      <c r="AO61" s="114">
        <f t="shared" ca="1" si="46"/>
        <v>18</v>
      </c>
      <c r="AP61" s="114">
        <f t="shared" ca="1" si="47"/>
        <v>24</v>
      </c>
      <c r="AQ61" s="112"/>
      <c r="AR61" s="238">
        <f t="shared" si="78"/>
        <v>61</v>
      </c>
      <c r="AS61" s="112"/>
      <c r="AT61" s="112"/>
      <c r="AU61" s="283">
        <f t="shared" si="79"/>
        <v>42</v>
      </c>
      <c r="AV61" s="284">
        <f t="shared" ca="1" si="48"/>
        <v>39814</v>
      </c>
      <c r="AW61" s="284">
        <f t="shared" ca="1" si="119"/>
        <v>39994</v>
      </c>
      <c r="AX61" s="285">
        <f t="shared" ca="1" si="120"/>
        <v>18</v>
      </c>
      <c r="AY61" s="285">
        <f t="shared" ca="1" si="51"/>
        <v>24</v>
      </c>
      <c r="AZ61" s="282"/>
      <c r="BD61" s="114">
        <f t="shared" si="80"/>
        <v>1</v>
      </c>
      <c r="BE61" s="112">
        <f t="shared" si="54"/>
        <v>100000</v>
      </c>
      <c r="BH61" s="238">
        <f t="shared" si="81"/>
        <v>42</v>
      </c>
      <c r="BI61" s="245">
        <f t="shared" si="55"/>
        <v>43709</v>
      </c>
      <c r="BJ61" s="281">
        <f t="shared" ca="1" si="96"/>
        <v>1</v>
      </c>
      <c r="BK61" s="245">
        <f t="shared" ca="1" si="56"/>
        <v>40171</v>
      </c>
      <c r="BL61" s="245">
        <f t="shared" ca="1" si="57"/>
        <v>40359</v>
      </c>
      <c r="BM61" s="244"/>
      <c r="BN61" s="245">
        <f t="shared" ca="1" si="97"/>
        <v>40421</v>
      </c>
      <c r="BQ61" s="245"/>
      <c r="BR61" s="245"/>
      <c r="BS61" s="245"/>
      <c r="BT61" s="245"/>
      <c r="BU61" s="245"/>
      <c r="BV61" s="245"/>
      <c r="BY61" s="245"/>
      <c r="BZ61" s="245"/>
      <c r="CA61" s="245"/>
      <c r="CB61" s="245"/>
      <c r="CC61" s="245"/>
      <c r="CD61" s="245"/>
      <c r="CE61" s="245"/>
      <c r="CF61" s="245"/>
      <c r="CG61" s="245"/>
      <c r="CH61" s="245"/>
      <c r="CL61" s="112"/>
      <c r="CM61" s="112"/>
      <c r="CP61" s="112"/>
      <c r="CQ61" s="112"/>
      <c r="CR61" s="238"/>
      <c r="CS61" s="238"/>
      <c r="CT61" s="112"/>
      <c r="CU61" s="112"/>
      <c r="CV61" s="112"/>
      <c r="CW61" s="112" t="s">
        <v>224</v>
      </c>
      <c r="CX61" s="112" t="s">
        <v>225</v>
      </c>
      <c r="CY61" s="112" t="s">
        <v>226</v>
      </c>
      <c r="CZ61" s="112" t="s">
        <v>227</v>
      </c>
      <c r="DA61" s="112" t="s">
        <v>228</v>
      </c>
      <c r="DB61" s="112" t="s">
        <v>229</v>
      </c>
      <c r="DC61" s="112"/>
      <c r="DD61" s="238">
        <f t="shared" ca="1" si="116"/>
        <v>0</v>
      </c>
      <c r="DE61" s="238">
        <f t="shared" ca="1" si="108"/>
        <v>0</v>
      </c>
      <c r="DF61" s="112"/>
      <c r="DG61" s="238"/>
      <c r="DH61" s="238"/>
      <c r="DI61" s="112"/>
      <c r="DJ61" s="238"/>
      <c r="DK61" s="112">
        <f t="shared" ca="1" si="58"/>
        <v>39692</v>
      </c>
      <c r="DL61" s="278">
        <f t="shared" ca="1" si="129"/>
        <v>42</v>
      </c>
      <c r="DM61" s="245">
        <f t="shared" ref="DM61:DP61" ca="1" si="176">DM612</f>
        <v>39692</v>
      </c>
      <c r="DN61" s="245">
        <f t="shared" ca="1" si="176"/>
        <v>39813</v>
      </c>
      <c r="DO61" s="245">
        <f t="shared" ca="1" si="176"/>
        <v>18</v>
      </c>
      <c r="DP61" s="245">
        <f t="shared" ca="1" si="176"/>
        <v>24</v>
      </c>
      <c r="DQ61" s="281">
        <f t="shared" ca="1" si="131"/>
        <v>122</v>
      </c>
      <c r="DR61" s="278">
        <f t="shared" ca="1" si="132"/>
        <v>0</v>
      </c>
      <c r="DS61" s="244">
        <f t="shared" ca="1" si="60"/>
        <v>21238.23</v>
      </c>
      <c r="DT61" s="244">
        <f t="shared" ca="1" si="61"/>
        <v>20735.5</v>
      </c>
      <c r="DU61" s="244">
        <f t="shared" ca="1" si="133"/>
        <v>126.03</v>
      </c>
      <c r="DV61" s="244" t="str">
        <f t="shared" ca="1" si="134"/>
        <v>3/8 anni</v>
      </c>
      <c r="DW61" s="244"/>
      <c r="DX61" s="244">
        <f t="shared" ca="1" si="106"/>
        <v>3</v>
      </c>
      <c r="EA61" s="244">
        <f t="shared" ca="1" si="62"/>
        <v>1</v>
      </c>
      <c r="EB61" s="278">
        <f ca="1">VLOOKUP(DM61,Foglio1!$AB$31:$AN$261,13)-6+EA61</f>
        <v>151</v>
      </c>
      <c r="EC61" s="244"/>
      <c r="ED61" s="244">
        <f t="shared" ca="1" si="140"/>
        <v>0</v>
      </c>
      <c r="EE61" s="244">
        <f t="shared" ca="1" si="141"/>
        <v>12886.12</v>
      </c>
      <c r="EF61" s="244">
        <f t="shared" ca="1" si="142"/>
        <v>0</v>
      </c>
      <c r="EG61" s="244">
        <f t="shared" ca="1" si="143"/>
        <v>0</v>
      </c>
      <c r="EH61" s="244">
        <f t="shared" ca="1" si="144"/>
        <v>6384.11</v>
      </c>
      <c r="EI61" s="244">
        <f t="shared" ca="1" si="145"/>
        <v>0</v>
      </c>
      <c r="EJ61" s="244">
        <f t="shared" ca="1" si="146"/>
        <v>1605.85</v>
      </c>
      <c r="EK61" s="244">
        <f t="shared" ca="1" si="147"/>
        <v>0</v>
      </c>
      <c r="EL61" s="244">
        <f t="shared" ca="1" si="148"/>
        <v>0</v>
      </c>
      <c r="EM61" s="244">
        <f t="shared" ca="1" si="149"/>
        <v>151</v>
      </c>
      <c r="EN61" s="244">
        <f t="shared" ca="1" si="150"/>
        <v>0</v>
      </c>
      <c r="EO61" s="244">
        <f t="shared" ca="1" si="151"/>
        <v>0</v>
      </c>
      <c r="EP61" s="244">
        <f t="shared" ca="1" si="152"/>
        <v>1968</v>
      </c>
      <c r="EQ61" s="244">
        <f t="shared" ca="1" si="153"/>
        <v>0</v>
      </c>
      <c r="ER61" s="244"/>
      <c r="EW61" s="244">
        <v>0</v>
      </c>
      <c r="EX61" s="278">
        <f ca="1">VLOOKUP(DM61,Foglio1!$AB$31:$AN$261,13)-6+EW61</f>
        <v>150</v>
      </c>
      <c r="EY61" s="244"/>
      <c r="EZ61" s="244">
        <v>0</v>
      </c>
      <c r="FA61" s="244">
        <f t="shared" ca="1" si="156"/>
        <v>12383.39</v>
      </c>
      <c r="FB61" s="244">
        <f t="shared" ca="1" si="157"/>
        <v>0</v>
      </c>
      <c r="FC61" s="244">
        <f t="shared" ca="1" si="158"/>
        <v>0</v>
      </c>
      <c r="FD61" s="244">
        <f t="shared" ca="1" si="159"/>
        <v>6384.11</v>
      </c>
      <c r="FE61" s="244">
        <f t="shared" ca="1" si="160"/>
        <v>0</v>
      </c>
      <c r="FF61" s="244">
        <f t="shared" ca="1" si="161"/>
        <v>1563.96</v>
      </c>
      <c r="FG61" s="244">
        <f t="shared" ca="1" si="162"/>
        <v>0</v>
      </c>
      <c r="FH61" s="244">
        <f t="shared" ca="1" si="163"/>
        <v>0</v>
      </c>
      <c r="FI61" s="244">
        <f t="shared" ca="1" si="164"/>
        <v>150</v>
      </c>
      <c r="FJ61" s="244">
        <f t="shared" ca="1" si="165"/>
        <v>0</v>
      </c>
      <c r="FK61" s="244">
        <f t="shared" ca="1" si="166"/>
        <v>0</v>
      </c>
      <c r="FL61" s="244">
        <f t="shared" ca="1" si="167"/>
        <v>1968</v>
      </c>
      <c r="FM61" s="244">
        <f t="shared" ca="1" si="154"/>
        <v>0</v>
      </c>
      <c r="FN61" s="244"/>
    </row>
    <row r="62" spans="5:170" x14ac:dyDescent="0.25">
      <c r="E62" s="244"/>
      <c r="F62" s="240">
        <f>IF(fronttd!E64="","",fronttd!E64)</f>
        <v>44075</v>
      </c>
      <c r="G62" s="240">
        <f>IF(fronttd!F64="","",fronttd!F64)</f>
        <v>44439</v>
      </c>
      <c r="H62" s="380">
        <f>fronttd!G64</f>
        <v>18</v>
      </c>
      <c r="I62" s="380">
        <f>fronttd!H64</f>
        <v>18</v>
      </c>
      <c r="J62">
        <f t="shared" si="75"/>
        <v>24</v>
      </c>
      <c r="L62">
        <f t="shared" si="76"/>
        <v>62</v>
      </c>
      <c r="O62" s="238">
        <f t="shared" si="77"/>
        <v>62</v>
      </c>
      <c r="R62" s="112">
        <f t="shared" si="39"/>
        <v>44075</v>
      </c>
      <c r="S62" s="238">
        <f t="shared" ca="1" si="40"/>
        <v>49</v>
      </c>
      <c r="T62" s="112">
        <f t="shared" ca="1" si="86"/>
        <v>43831</v>
      </c>
      <c r="U62" s="112">
        <f t="shared" ca="1" si="87"/>
        <v>44197</v>
      </c>
      <c r="V62" s="112">
        <f t="shared" ca="1" si="88"/>
        <v>44562</v>
      </c>
      <c r="W62" s="112">
        <f t="shared" ca="1" si="89"/>
        <v>44652</v>
      </c>
      <c r="X62" s="112">
        <f t="shared" si="41"/>
        <v>44439</v>
      </c>
      <c r="Y62" s="112"/>
      <c r="Z62" s="112"/>
      <c r="AA62" s="335">
        <f t="shared" si="42"/>
        <v>44075</v>
      </c>
      <c r="AB62" s="335">
        <f t="shared" ca="1" si="90"/>
        <v>100000</v>
      </c>
      <c r="AC62" s="335">
        <f t="shared" ca="1" si="91"/>
        <v>44197</v>
      </c>
      <c r="AD62" s="335">
        <f t="shared" ca="1" si="92"/>
        <v>100000</v>
      </c>
      <c r="AE62" s="335">
        <f t="shared" ca="1" si="93"/>
        <v>100000</v>
      </c>
      <c r="AF62" s="335">
        <f t="shared" si="43"/>
        <v>44439</v>
      </c>
      <c r="AG62" s="238">
        <f>AG61</f>
        <v>28</v>
      </c>
      <c r="AH62" s="112">
        <f ca="1">AI61+1</f>
        <v>37257</v>
      </c>
      <c r="AI62" s="112">
        <f ca="1">IF(INDIRECT(CONCATENATE("AD",AG60))&lt;100000,INDIRECT(CONCATENATE("AD",AG60))-1,IF(INDIRECT(CONCATENATE("AE",AG60))&lt;100000,INDIRECT(CONCATENATE("AE",G60)),INDIRECT(CONCATENATE("AF",AG60))))</f>
        <v>37410</v>
      </c>
      <c r="AJ62" s="112">
        <f t="shared" ca="1" si="125"/>
        <v>37410</v>
      </c>
      <c r="AK62" s="112">
        <f t="shared" ca="1" si="169"/>
        <v>37410</v>
      </c>
      <c r="AL62" s="238">
        <f t="shared" ca="1" si="127"/>
        <v>1</v>
      </c>
      <c r="AM62" s="112">
        <f t="shared" ca="1" si="118"/>
        <v>37257</v>
      </c>
      <c r="AN62" s="112">
        <f t="shared" ca="1" si="84"/>
        <v>37410</v>
      </c>
      <c r="AO62" s="114">
        <f t="shared" ca="1" si="46"/>
        <v>18</v>
      </c>
      <c r="AP62" s="114">
        <f t="shared" ca="1" si="47"/>
        <v>24</v>
      </c>
      <c r="AQ62" s="112"/>
      <c r="AR62" s="238">
        <f t="shared" si="78"/>
        <v>62</v>
      </c>
      <c r="AS62" s="112"/>
      <c r="AT62" s="112"/>
      <c r="AU62" s="283">
        <f t="shared" si="79"/>
        <v>43</v>
      </c>
      <c r="AV62" s="284">
        <f t="shared" ca="1" si="48"/>
        <v>40063</v>
      </c>
      <c r="AW62" s="284">
        <f t="shared" ca="1" si="119"/>
        <v>40063</v>
      </c>
      <c r="AX62" s="285">
        <f t="shared" ca="1" si="120"/>
        <v>18</v>
      </c>
      <c r="AY62" s="285">
        <f t="shared" ca="1" si="51"/>
        <v>24</v>
      </c>
      <c r="AZ62" s="282"/>
      <c r="BD62" s="114">
        <f t="shared" si="80"/>
        <v>1</v>
      </c>
      <c r="BE62" s="112">
        <f t="shared" si="54"/>
        <v>100000</v>
      </c>
      <c r="BH62" s="238">
        <f t="shared" si="81"/>
        <v>43</v>
      </c>
      <c r="BI62" s="245">
        <f t="shared" si="55"/>
        <v>44075</v>
      </c>
      <c r="BJ62" s="281">
        <f t="shared" ca="1" si="96"/>
        <v>1</v>
      </c>
      <c r="BK62" s="245">
        <f t="shared" ca="1" si="56"/>
        <v>40360</v>
      </c>
      <c r="BL62" s="245">
        <f t="shared" ca="1" si="57"/>
        <v>40429</v>
      </c>
      <c r="BM62" s="244"/>
      <c r="BN62" s="245">
        <f t="shared" ca="1" si="97"/>
        <v>40421</v>
      </c>
      <c r="BQ62" s="245"/>
      <c r="BR62" s="245"/>
      <c r="BS62" s="245"/>
      <c r="BT62" s="245"/>
      <c r="BU62" s="245"/>
      <c r="BV62" s="245"/>
      <c r="BY62" s="245"/>
      <c r="BZ62" s="245"/>
      <c r="CA62" s="245"/>
      <c r="CB62" s="245"/>
      <c r="CC62" s="245"/>
      <c r="CD62" s="245"/>
      <c r="CE62" s="245"/>
      <c r="CF62" s="245"/>
      <c r="CG62" s="245"/>
      <c r="CH62" s="245"/>
      <c r="CL62" s="112"/>
      <c r="CM62" s="112"/>
      <c r="CP62" s="112"/>
      <c r="CQ62" s="112"/>
      <c r="CR62" s="238"/>
      <c r="CS62" s="238"/>
      <c r="CT62" s="112"/>
      <c r="CU62" s="112"/>
      <c r="CV62" s="112"/>
      <c r="CW62" s="112" t="s">
        <v>224</v>
      </c>
      <c r="CX62" s="112" t="s">
        <v>225</v>
      </c>
      <c r="CY62" s="112" t="s">
        <v>226</v>
      </c>
      <c r="CZ62" s="112" t="s">
        <v>227</v>
      </c>
      <c r="DA62" s="112" t="s">
        <v>228</v>
      </c>
      <c r="DB62" s="112" t="s">
        <v>229</v>
      </c>
      <c r="DC62" s="112"/>
      <c r="DD62" s="238">
        <f t="shared" ca="1" si="116"/>
        <v>0</v>
      </c>
      <c r="DE62" s="238">
        <f t="shared" ca="1" si="108"/>
        <v>0</v>
      </c>
      <c r="DF62" s="112"/>
      <c r="DG62" s="238"/>
      <c r="DH62" s="238"/>
      <c r="DI62" s="112"/>
      <c r="DJ62" s="238"/>
      <c r="DK62" s="112">
        <f t="shared" ca="1" si="58"/>
        <v>39814</v>
      </c>
      <c r="DL62" s="278">
        <f t="shared" ca="1" si="129"/>
        <v>43</v>
      </c>
      <c r="DM62" s="245">
        <f t="shared" ref="DM62:DP62" ca="1" si="177">DM613</f>
        <v>39814</v>
      </c>
      <c r="DN62" s="245">
        <f t="shared" ca="1" si="177"/>
        <v>39994</v>
      </c>
      <c r="DO62" s="245">
        <f t="shared" ca="1" si="177"/>
        <v>18</v>
      </c>
      <c r="DP62" s="245">
        <f t="shared" ca="1" si="177"/>
        <v>24</v>
      </c>
      <c r="DQ62" s="281">
        <f t="shared" ca="1" si="131"/>
        <v>181</v>
      </c>
      <c r="DR62" s="278">
        <f t="shared" ca="1" si="132"/>
        <v>0</v>
      </c>
      <c r="DS62" s="244">
        <f t="shared" ca="1" si="60"/>
        <v>21814.35</v>
      </c>
      <c r="DT62" s="244">
        <f t="shared" ca="1" si="61"/>
        <v>21292.3</v>
      </c>
      <c r="DU62" s="244">
        <f t="shared" ca="1" si="133"/>
        <v>194.16</v>
      </c>
      <c r="DV62" s="244" t="str">
        <f t="shared" ca="1" si="134"/>
        <v>3/8 anni</v>
      </c>
      <c r="DW62" s="244"/>
      <c r="DX62" s="244">
        <f t="shared" ca="1" si="106"/>
        <v>3</v>
      </c>
      <c r="EA62" s="244">
        <f t="shared" ca="1" si="62"/>
        <v>1</v>
      </c>
      <c r="EB62" s="278">
        <f ca="1">VLOOKUP(DM62,Foglio1!$AB$31:$AN$261,13)-6+EA62</f>
        <v>158</v>
      </c>
      <c r="EC62" s="244"/>
      <c r="ED62" s="244">
        <f t="shared" ca="1" si="140"/>
        <v>0</v>
      </c>
      <c r="EE62" s="244">
        <f t="shared" ca="1" si="141"/>
        <v>13462.24</v>
      </c>
      <c r="EF62" s="244">
        <f t="shared" ca="1" si="142"/>
        <v>0</v>
      </c>
      <c r="EG62" s="244">
        <f t="shared" ca="1" si="143"/>
        <v>0</v>
      </c>
      <c r="EH62" s="244">
        <f t="shared" ca="1" si="144"/>
        <v>6384.11</v>
      </c>
      <c r="EI62" s="244">
        <f t="shared" ca="1" si="145"/>
        <v>0</v>
      </c>
      <c r="EJ62" s="244">
        <f t="shared" ca="1" si="146"/>
        <v>1653.86</v>
      </c>
      <c r="EK62" s="244">
        <f t="shared" ca="1" si="147"/>
        <v>0</v>
      </c>
      <c r="EL62" s="244">
        <f t="shared" ca="1" si="148"/>
        <v>0</v>
      </c>
      <c r="EM62" s="244">
        <f t="shared" ca="1" si="149"/>
        <v>158</v>
      </c>
      <c r="EN62" s="244">
        <f t="shared" ca="1" si="150"/>
        <v>0</v>
      </c>
      <c r="EO62" s="244">
        <f t="shared" ca="1" si="151"/>
        <v>0</v>
      </c>
      <c r="EP62" s="244">
        <f t="shared" ca="1" si="152"/>
        <v>1968</v>
      </c>
      <c r="EQ62" s="244">
        <f t="shared" ca="1" si="153"/>
        <v>0</v>
      </c>
      <c r="ER62" s="244"/>
      <c r="EW62" s="244">
        <v>0</v>
      </c>
      <c r="EX62" s="278">
        <f ca="1">VLOOKUP(DM62,Foglio1!$AB$31:$AN$261,13)-6+EW62</f>
        <v>157</v>
      </c>
      <c r="EY62" s="244"/>
      <c r="EZ62" s="244">
        <v>0</v>
      </c>
      <c r="FA62" s="244">
        <f t="shared" ca="1" si="156"/>
        <v>12940.19</v>
      </c>
      <c r="FB62" s="244">
        <f t="shared" ca="1" si="157"/>
        <v>0</v>
      </c>
      <c r="FC62" s="244">
        <f t="shared" ca="1" si="158"/>
        <v>0</v>
      </c>
      <c r="FD62" s="244">
        <f t="shared" ca="1" si="159"/>
        <v>6384.11</v>
      </c>
      <c r="FE62" s="244">
        <f t="shared" ca="1" si="160"/>
        <v>0</v>
      </c>
      <c r="FF62" s="244">
        <f t="shared" ca="1" si="161"/>
        <v>1610.36</v>
      </c>
      <c r="FG62" s="244">
        <f t="shared" ca="1" si="162"/>
        <v>0</v>
      </c>
      <c r="FH62" s="244">
        <f t="shared" ca="1" si="163"/>
        <v>0</v>
      </c>
      <c r="FI62" s="244">
        <f t="shared" ca="1" si="164"/>
        <v>157</v>
      </c>
      <c r="FJ62" s="244">
        <f t="shared" ca="1" si="165"/>
        <v>0</v>
      </c>
      <c r="FK62" s="244">
        <f t="shared" ca="1" si="166"/>
        <v>0</v>
      </c>
      <c r="FL62" s="244">
        <f t="shared" ca="1" si="167"/>
        <v>1968</v>
      </c>
      <c r="FM62" s="244">
        <f t="shared" ca="1" si="154"/>
        <v>0</v>
      </c>
      <c r="FN62" s="244"/>
    </row>
    <row r="63" spans="5:170" x14ac:dyDescent="0.25">
      <c r="E63" s="244"/>
      <c r="F63" s="240">
        <f>IF(fronttd!E65="","",fronttd!E65)</f>
        <v>44440</v>
      </c>
      <c r="G63" s="240">
        <f>IF(fronttd!F65="","",fronttd!F65)</f>
        <v>44804</v>
      </c>
      <c r="H63" s="380">
        <f>fronttd!G65</f>
        <v>18</v>
      </c>
      <c r="I63" s="380">
        <f>fronttd!H65</f>
        <v>18</v>
      </c>
      <c r="J63">
        <f t="shared" si="75"/>
        <v>24</v>
      </c>
      <c r="L63">
        <f t="shared" si="76"/>
        <v>63</v>
      </c>
      <c r="O63" s="238">
        <f t="shared" si="77"/>
        <v>63</v>
      </c>
      <c r="R63" s="112">
        <f t="shared" si="39"/>
        <v>44440</v>
      </c>
      <c r="S63" s="238">
        <f t="shared" ca="1" si="40"/>
        <v>50</v>
      </c>
      <c r="T63" s="112">
        <f t="shared" ca="1" si="86"/>
        <v>44197</v>
      </c>
      <c r="U63" s="112">
        <f t="shared" ca="1" si="87"/>
        <v>44562</v>
      </c>
      <c r="V63" s="112">
        <f t="shared" ca="1" si="88"/>
        <v>44652</v>
      </c>
      <c r="W63" s="112">
        <f t="shared" ca="1" si="89"/>
        <v>44743</v>
      </c>
      <c r="X63" s="112">
        <f t="shared" si="41"/>
        <v>44804</v>
      </c>
      <c r="Y63" s="112"/>
      <c r="Z63" s="112"/>
      <c r="AA63" s="335">
        <f t="shared" si="42"/>
        <v>44440</v>
      </c>
      <c r="AB63" s="335">
        <f t="shared" ca="1" si="90"/>
        <v>100000</v>
      </c>
      <c r="AC63" s="335">
        <f t="shared" ca="1" si="91"/>
        <v>44562</v>
      </c>
      <c r="AD63" s="335">
        <f t="shared" ca="1" si="92"/>
        <v>44652</v>
      </c>
      <c r="AE63" s="335">
        <f t="shared" ca="1" si="93"/>
        <v>44743</v>
      </c>
      <c r="AF63" s="335">
        <f t="shared" si="43"/>
        <v>44804</v>
      </c>
      <c r="AG63" s="238">
        <f>AG62</f>
        <v>28</v>
      </c>
      <c r="AH63" s="112">
        <f ca="1">AI62+1</f>
        <v>37411</v>
      </c>
      <c r="AI63" s="112">
        <f ca="1">IF(INDIRECT(CONCATENATE("AE",AG60))&lt;100000,INDIRECT(CONCATENATE("AE",G60)),INDIRECT(CONCATENATE("AF",AG60)))</f>
        <v>37437</v>
      </c>
      <c r="AJ63" s="112">
        <f t="shared" ca="1" si="125"/>
        <v>37437</v>
      </c>
      <c r="AK63" s="112">
        <f t="shared" ca="1" si="169"/>
        <v>37437</v>
      </c>
      <c r="AL63" s="238">
        <f t="shared" ca="1" si="127"/>
        <v>1</v>
      </c>
      <c r="AM63" s="112">
        <f t="shared" ca="1" si="118"/>
        <v>37411</v>
      </c>
      <c r="AN63" s="112">
        <f t="shared" ca="1" si="84"/>
        <v>37437</v>
      </c>
      <c r="AO63" s="114">
        <f t="shared" ca="1" si="46"/>
        <v>18</v>
      </c>
      <c r="AP63" s="114">
        <f t="shared" ca="1" si="47"/>
        <v>24</v>
      </c>
      <c r="AQ63" s="112"/>
      <c r="AR63" s="238">
        <f t="shared" si="78"/>
        <v>63</v>
      </c>
      <c r="AS63" s="112"/>
      <c r="AT63" s="112"/>
      <c r="AU63" s="283">
        <f t="shared" si="79"/>
        <v>44</v>
      </c>
      <c r="AV63" s="284">
        <f t="shared" ca="1" si="48"/>
        <v>40066</v>
      </c>
      <c r="AW63" s="284">
        <f t="shared" ca="1" si="119"/>
        <v>40170</v>
      </c>
      <c r="AX63" s="285">
        <f t="shared" ca="1" si="120"/>
        <v>18</v>
      </c>
      <c r="AY63" s="285">
        <f t="shared" ca="1" si="51"/>
        <v>24</v>
      </c>
      <c r="AZ63" s="282"/>
      <c r="BD63" s="114">
        <f t="shared" si="80"/>
        <v>1</v>
      </c>
      <c r="BE63" s="112">
        <f t="shared" si="54"/>
        <v>100000</v>
      </c>
      <c r="BH63" s="238">
        <f t="shared" si="81"/>
        <v>44</v>
      </c>
      <c r="BI63" s="245">
        <f t="shared" si="55"/>
        <v>44440</v>
      </c>
      <c r="BJ63" s="281">
        <f t="shared" ca="1" si="96"/>
        <v>16</v>
      </c>
      <c r="BK63" s="245">
        <f t="shared" ca="1" si="56"/>
        <v>40430</v>
      </c>
      <c r="BL63" s="245">
        <f t="shared" ca="1" si="57"/>
        <v>40430</v>
      </c>
      <c r="BM63" s="244"/>
      <c r="BN63" s="245">
        <f t="shared" ca="1" si="97"/>
        <v>40739</v>
      </c>
      <c r="BQ63" s="245"/>
      <c r="BR63" s="245"/>
      <c r="BS63" s="245"/>
      <c r="BT63" s="245"/>
      <c r="BU63" s="245"/>
      <c r="BV63" s="245"/>
      <c r="BY63" s="245"/>
      <c r="BZ63" s="245"/>
      <c r="CA63" s="245"/>
      <c r="CB63" s="245"/>
      <c r="CC63" s="245"/>
      <c r="CD63" s="245"/>
      <c r="CE63" s="245"/>
      <c r="CF63" s="245"/>
      <c r="CG63" s="245"/>
      <c r="CH63" s="245"/>
      <c r="CL63" s="112"/>
      <c r="CM63" s="112"/>
      <c r="CP63" s="112"/>
      <c r="CQ63" s="112"/>
      <c r="CR63" s="238"/>
      <c r="CS63" s="238"/>
      <c r="CT63" s="112"/>
      <c r="CU63" s="112"/>
      <c r="CV63" s="112"/>
      <c r="CW63" s="112" t="s">
        <v>224</v>
      </c>
      <c r="CX63" s="112" t="s">
        <v>225</v>
      </c>
      <c r="CY63" s="112" t="s">
        <v>226</v>
      </c>
      <c r="CZ63" s="112" t="s">
        <v>227</v>
      </c>
      <c r="DA63" s="112" t="s">
        <v>228</v>
      </c>
      <c r="DB63" s="112" t="s">
        <v>229</v>
      </c>
      <c r="DC63" s="112"/>
      <c r="DD63" s="238">
        <f t="shared" ca="1" si="116"/>
        <v>0</v>
      </c>
      <c r="DE63" s="238">
        <f t="shared" ca="1" si="108"/>
        <v>0</v>
      </c>
      <c r="DF63" s="112"/>
      <c r="DG63" s="238"/>
      <c r="DH63" s="238"/>
      <c r="DI63" s="112"/>
      <c r="DJ63" s="238"/>
      <c r="DK63" s="112">
        <f t="shared" ca="1" si="58"/>
        <v>40063</v>
      </c>
      <c r="DL63" s="278">
        <f t="shared" ca="1" si="129"/>
        <v>44</v>
      </c>
      <c r="DM63" s="245">
        <f t="shared" ref="DM63:DP63" ca="1" si="178">DM614</f>
        <v>40063</v>
      </c>
      <c r="DN63" s="245">
        <f t="shared" ca="1" si="178"/>
        <v>40063</v>
      </c>
      <c r="DO63" s="245">
        <f t="shared" ca="1" si="178"/>
        <v>18</v>
      </c>
      <c r="DP63" s="245">
        <f t="shared" ca="1" si="178"/>
        <v>24</v>
      </c>
      <c r="DQ63" s="281">
        <f t="shared" ca="1" si="131"/>
        <v>1</v>
      </c>
      <c r="DR63" s="278">
        <f t="shared" ca="1" si="132"/>
        <v>0</v>
      </c>
      <c r="DS63" s="244">
        <f t="shared" ca="1" si="60"/>
        <v>21814.35</v>
      </c>
      <c r="DT63" s="244">
        <f t="shared" ca="1" si="61"/>
        <v>21292.3</v>
      </c>
      <c r="DU63" s="244">
        <f t="shared" ca="1" si="133"/>
        <v>1.07</v>
      </c>
      <c r="DV63" s="244" t="str">
        <f t="shared" ca="1" si="134"/>
        <v>3/8 anni</v>
      </c>
      <c r="DW63" s="244"/>
      <c r="DX63" s="244">
        <f t="shared" ca="1" si="106"/>
        <v>3</v>
      </c>
      <c r="EA63" s="244">
        <f t="shared" ca="1" si="62"/>
        <v>1</v>
      </c>
      <c r="EB63" s="278">
        <f ca="1">VLOOKUP(DM63,Foglio1!$AB$31:$AN$261,13)-6+EA63</f>
        <v>158</v>
      </c>
      <c r="EC63" s="244"/>
      <c r="ED63" s="244">
        <f t="shared" ca="1" si="140"/>
        <v>0</v>
      </c>
      <c r="EE63" s="244">
        <f t="shared" ca="1" si="141"/>
        <v>13462.24</v>
      </c>
      <c r="EF63" s="244">
        <f t="shared" ca="1" si="142"/>
        <v>0</v>
      </c>
      <c r="EG63" s="244">
        <f t="shared" ca="1" si="143"/>
        <v>0</v>
      </c>
      <c r="EH63" s="244">
        <f t="shared" ca="1" si="144"/>
        <v>6384.11</v>
      </c>
      <c r="EI63" s="244">
        <f t="shared" ca="1" si="145"/>
        <v>0</v>
      </c>
      <c r="EJ63" s="244">
        <f t="shared" ca="1" si="146"/>
        <v>1653.86</v>
      </c>
      <c r="EK63" s="244">
        <f t="shared" ca="1" si="147"/>
        <v>0</v>
      </c>
      <c r="EL63" s="244">
        <f t="shared" ca="1" si="148"/>
        <v>0</v>
      </c>
      <c r="EM63" s="244">
        <f t="shared" ca="1" si="149"/>
        <v>158</v>
      </c>
      <c r="EN63" s="244">
        <f t="shared" ca="1" si="150"/>
        <v>0</v>
      </c>
      <c r="EO63" s="244">
        <f t="shared" ca="1" si="151"/>
        <v>0</v>
      </c>
      <c r="EP63" s="244">
        <f t="shared" ca="1" si="152"/>
        <v>1968</v>
      </c>
      <c r="EQ63" s="244">
        <f t="shared" ca="1" si="153"/>
        <v>0</v>
      </c>
      <c r="ER63" s="244"/>
      <c r="EW63" s="244">
        <v>0</v>
      </c>
      <c r="EX63" s="278">
        <f ca="1">VLOOKUP(DM63,Foglio1!$AB$31:$AN$261,13)-6+EW63</f>
        <v>157</v>
      </c>
      <c r="EY63" s="244"/>
      <c r="EZ63" s="244">
        <v>0</v>
      </c>
      <c r="FA63" s="244">
        <f t="shared" ca="1" si="156"/>
        <v>12940.19</v>
      </c>
      <c r="FB63" s="244">
        <f t="shared" ca="1" si="157"/>
        <v>0</v>
      </c>
      <c r="FC63" s="244">
        <f t="shared" ca="1" si="158"/>
        <v>0</v>
      </c>
      <c r="FD63" s="244">
        <f t="shared" ca="1" si="159"/>
        <v>6384.11</v>
      </c>
      <c r="FE63" s="244">
        <f t="shared" ca="1" si="160"/>
        <v>0</v>
      </c>
      <c r="FF63" s="244">
        <f t="shared" ca="1" si="161"/>
        <v>1610.36</v>
      </c>
      <c r="FG63" s="244">
        <f t="shared" ca="1" si="162"/>
        <v>0</v>
      </c>
      <c r="FH63" s="244">
        <f t="shared" ca="1" si="163"/>
        <v>0</v>
      </c>
      <c r="FI63" s="244">
        <f t="shared" ca="1" si="164"/>
        <v>157</v>
      </c>
      <c r="FJ63" s="244">
        <f t="shared" ca="1" si="165"/>
        <v>0</v>
      </c>
      <c r="FK63" s="244">
        <f t="shared" ca="1" si="166"/>
        <v>0</v>
      </c>
      <c r="FL63" s="244">
        <f t="shared" ca="1" si="167"/>
        <v>1968</v>
      </c>
      <c r="FM63" s="244">
        <f t="shared" ca="1" si="154"/>
        <v>0</v>
      </c>
      <c r="FN63" s="244"/>
    </row>
    <row r="64" spans="5:170" x14ac:dyDescent="0.25">
      <c r="E64" s="244"/>
      <c r="F64" s="240" t="str">
        <f>IF(fronttd!E66="","",fronttd!E66)</f>
        <v/>
      </c>
      <c r="G64" s="240" t="str">
        <f>IF(fronttd!F66="","",fronttd!F66)</f>
        <v/>
      </c>
      <c r="H64" s="380">
        <f>fronttd!G66</f>
        <v>0</v>
      </c>
      <c r="I64" s="380">
        <f>fronttd!H66</f>
        <v>0</v>
      </c>
      <c r="J64">
        <f t="shared" si="75"/>
        <v>24</v>
      </c>
      <c r="L64">
        <f t="shared" si="76"/>
        <v>64</v>
      </c>
      <c r="O64" s="238">
        <f t="shared" si="77"/>
        <v>64</v>
      </c>
      <c r="R64" s="112" t="str">
        <f t="shared" si="39"/>
        <v/>
      </c>
      <c r="S64" s="238" t="e">
        <f t="shared" ca="1" si="40"/>
        <v>#N/A</v>
      </c>
      <c r="T64" s="112" t="e">
        <f t="shared" ca="1" si="86"/>
        <v>#N/A</v>
      </c>
      <c r="U64" s="112" t="e">
        <f t="shared" ca="1" si="87"/>
        <v>#N/A</v>
      </c>
      <c r="V64" s="112" t="e">
        <f t="shared" ca="1" si="88"/>
        <v>#N/A</v>
      </c>
      <c r="W64" s="112" t="e">
        <f t="shared" ca="1" si="89"/>
        <v>#N/A</v>
      </c>
      <c r="X64" s="112" t="str">
        <f t="shared" si="41"/>
        <v/>
      </c>
      <c r="Y64" s="112"/>
      <c r="Z64" s="112"/>
      <c r="AA64" s="335" t="str">
        <f t="shared" si="42"/>
        <v/>
      </c>
      <c r="AB64" s="335" t="e">
        <f t="shared" ca="1" si="90"/>
        <v>#N/A</v>
      </c>
      <c r="AC64" s="335" t="e">
        <f t="shared" ca="1" si="91"/>
        <v>#N/A</v>
      </c>
      <c r="AD64" s="335" t="e">
        <f t="shared" ca="1" si="92"/>
        <v>#N/A</v>
      </c>
      <c r="AE64" s="335" t="e">
        <f t="shared" ca="1" si="93"/>
        <v>#N/A</v>
      </c>
      <c r="AF64" s="335" t="str">
        <f t="shared" si="43"/>
        <v/>
      </c>
      <c r="AG64" s="238">
        <f>AG63</f>
        <v>28</v>
      </c>
      <c r="AH64" s="112">
        <f ca="1">AI63+1</f>
        <v>37438</v>
      </c>
      <c r="AI64" s="112">
        <f ca="1">INDIRECT(CONCATENATE("AF",AG60))</f>
        <v>37437</v>
      </c>
      <c r="AJ64" s="112">
        <f t="shared" ca="1" si="125"/>
        <v>37437</v>
      </c>
      <c r="AK64" s="112">
        <f t="shared" ca="1" si="169"/>
        <v>37437</v>
      </c>
      <c r="AL64" s="238">
        <f t="shared" ca="1" si="127"/>
        <v>0</v>
      </c>
      <c r="AM64" s="112">
        <f t="shared" ca="1" si="118"/>
        <v>100000</v>
      </c>
      <c r="AN64" s="112">
        <f t="shared" ca="1" si="84"/>
        <v>100000</v>
      </c>
      <c r="AO64" s="114">
        <f t="shared" ca="1" si="46"/>
        <v>18</v>
      </c>
      <c r="AP64" s="114">
        <f t="shared" ca="1" si="47"/>
        <v>24</v>
      </c>
      <c r="AQ64" s="112"/>
      <c r="AR64" s="238">
        <f t="shared" si="78"/>
        <v>64</v>
      </c>
      <c r="AS64" s="112"/>
      <c r="AT64" s="112"/>
      <c r="AU64" s="283">
        <f t="shared" si="79"/>
        <v>45</v>
      </c>
      <c r="AV64" s="284">
        <f t="shared" ca="1" si="48"/>
        <v>40171</v>
      </c>
      <c r="AW64" s="284">
        <f t="shared" ca="1" si="119"/>
        <v>40359</v>
      </c>
      <c r="AX64" s="285">
        <f t="shared" ca="1" si="120"/>
        <v>18</v>
      </c>
      <c r="AY64" s="285">
        <f t="shared" ca="1" si="51"/>
        <v>24</v>
      </c>
      <c r="AZ64" s="282"/>
      <c r="BD64" s="114">
        <f t="shared" si="80"/>
        <v>1</v>
      </c>
      <c r="BE64" s="112">
        <f t="shared" si="54"/>
        <v>100000</v>
      </c>
      <c r="BH64" s="238">
        <f t="shared" si="81"/>
        <v>45</v>
      </c>
      <c r="BI64" s="245" t="str">
        <f t="shared" si="55"/>
        <v/>
      </c>
      <c r="BJ64" s="281">
        <f t="shared" ca="1" si="96"/>
        <v>16</v>
      </c>
      <c r="BK64" s="245">
        <f t="shared" ca="1" si="56"/>
        <v>40431</v>
      </c>
      <c r="BL64" s="245">
        <f t="shared" ca="1" si="57"/>
        <v>40801</v>
      </c>
      <c r="BM64" s="244"/>
      <c r="BN64" s="245">
        <f t="shared" ca="1" si="97"/>
        <v>40739</v>
      </c>
      <c r="BQ64" s="245"/>
      <c r="BR64" s="245"/>
      <c r="BS64" s="245"/>
      <c r="BT64" s="245"/>
      <c r="BU64" s="245"/>
      <c r="BV64" s="245"/>
      <c r="BY64" s="245"/>
      <c r="BZ64" s="245"/>
      <c r="CA64" s="245"/>
      <c r="CB64" s="245"/>
      <c r="CC64" s="245"/>
      <c r="CD64" s="245"/>
      <c r="CE64" s="245"/>
      <c r="CF64" s="245"/>
      <c r="CG64" s="245"/>
      <c r="CH64" s="245"/>
      <c r="CL64" s="112"/>
      <c r="CM64" s="112"/>
      <c r="CP64" s="112"/>
      <c r="CQ64" s="112"/>
      <c r="CR64" s="238"/>
      <c r="CS64" s="238"/>
      <c r="CT64" s="112"/>
      <c r="CU64" s="112"/>
      <c r="CV64" s="112"/>
      <c r="CW64" s="112" t="s">
        <v>224</v>
      </c>
      <c r="CX64" s="112" t="s">
        <v>225</v>
      </c>
      <c r="CY64" s="112" t="s">
        <v>226</v>
      </c>
      <c r="CZ64" s="112" t="s">
        <v>227</v>
      </c>
      <c r="DA64" s="112" t="s">
        <v>228</v>
      </c>
      <c r="DB64" s="112" t="s">
        <v>229</v>
      </c>
      <c r="DC64" s="112"/>
      <c r="DD64" s="238">
        <f t="shared" ca="1" si="116"/>
        <v>0</v>
      </c>
      <c r="DE64" s="238">
        <f t="shared" ca="1" si="108"/>
        <v>0</v>
      </c>
      <c r="DF64" s="112"/>
      <c r="DG64" s="238"/>
      <c r="DH64" s="238"/>
      <c r="DI64" s="112"/>
      <c r="DJ64" s="238"/>
      <c r="DK64" s="112">
        <f t="shared" ca="1" si="58"/>
        <v>40066</v>
      </c>
      <c r="DL64" s="278">
        <f t="shared" ca="1" si="129"/>
        <v>45</v>
      </c>
      <c r="DM64" s="245">
        <f t="shared" ref="DM64:DP64" ca="1" si="179">DM615</f>
        <v>40066</v>
      </c>
      <c r="DN64" s="245">
        <f t="shared" ca="1" si="179"/>
        <v>40170</v>
      </c>
      <c r="DO64" s="245">
        <f t="shared" ca="1" si="179"/>
        <v>18</v>
      </c>
      <c r="DP64" s="245">
        <f t="shared" ca="1" si="179"/>
        <v>24</v>
      </c>
      <c r="DQ64" s="281">
        <f t="shared" ca="1" si="131"/>
        <v>105</v>
      </c>
      <c r="DR64" s="278">
        <f t="shared" ca="1" si="132"/>
        <v>0</v>
      </c>
      <c r="DS64" s="244">
        <f t="shared" ca="1" si="60"/>
        <v>21814.35</v>
      </c>
      <c r="DT64" s="244">
        <f t="shared" ca="1" si="61"/>
        <v>21292.3</v>
      </c>
      <c r="DU64" s="244">
        <f t="shared" ca="1" si="133"/>
        <v>112.63</v>
      </c>
      <c r="DV64" s="244" t="str">
        <f t="shared" ca="1" si="134"/>
        <v>3/8 anni</v>
      </c>
      <c r="DW64" s="244"/>
      <c r="DX64" s="244">
        <f t="shared" ca="1" si="106"/>
        <v>3</v>
      </c>
      <c r="EA64" s="244">
        <f t="shared" ca="1" si="62"/>
        <v>1</v>
      </c>
      <c r="EB64" s="278">
        <f ca="1">VLOOKUP(DM64,Foglio1!$AB$31:$AN$261,13)-6+EA64</f>
        <v>158</v>
      </c>
      <c r="EC64" s="244"/>
      <c r="ED64" s="244">
        <f t="shared" ca="1" si="140"/>
        <v>0</v>
      </c>
      <c r="EE64" s="244">
        <f t="shared" ca="1" si="141"/>
        <v>13462.24</v>
      </c>
      <c r="EF64" s="244">
        <f t="shared" ca="1" si="142"/>
        <v>0</v>
      </c>
      <c r="EG64" s="244">
        <f t="shared" ca="1" si="143"/>
        <v>0</v>
      </c>
      <c r="EH64" s="244">
        <f t="shared" ca="1" si="144"/>
        <v>6384.11</v>
      </c>
      <c r="EI64" s="244">
        <f t="shared" ca="1" si="145"/>
        <v>0</v>
      </c>
      <c r="EJ64" s="244">
        <f t="shared" ca="1" si="146"/>
        <v>1653.86</v>
      </c>
      <c r="EK64" s="244">
        <f t="shared" ca="1" si="147"/>
        <v>0</v>
      </c>
      <c r="EL64" s="244">
        <f t="shared" ca="1" si="148"/>
        <v>0</v>
      </c>
      <c r="EM64" s="244">
        <f t="shared" ca="1" si="149"/>
        <v>158</v>
      </c>
      <c r="EN64" s="244">
        <f t="shared" ca="1" si="150"/>
        <v>0</v>
      </c>
      <c r="EO64" s="244">
        <f t="shared" ca="1" si="151"/>
        <v>0</v>
      </c>
      <c r="EP64" s="244">
        <f t="shared" ca="1" si="152"/>
        <v>1968</v>
      </c>
      <c r="EQ64" s="244">
        <f t="shared" ca="1" si="153"/>
        <v>0</v>
      </c>
      <c r="ER64" s="244"/>
      <c r="EW64" s="244">
        <v>0</v>
      </c>
      <c r="EX64" s="278">
        <f ca="1">VLOOKUP(DM64,Foglio1!$AB$31:$AN$261,13)-6+EW64</f>
        <v>157</v>
      </c>
      <c r="EY64" s="244"/>
      <c r="EZ64" s="244">
        <v>0</v>
      </c>
      <c r="FA64" s="244">
        <f t="shared" ca="1" si="156"/>
        <v>12940.19</v>
      </c>
      <c r="FB64" s="244">
        <f t="shared" ca="1" si="157"/>
        <v>0</v>
      </c>
      <c r="FC64" s="244">
        <f t="shared" ca="1" si="158"/>
        <v>0</v>
      </c>
      <c r="FD64" s="244">
        <f t="shared" ca="1" si="159"/>
        <v>6384.11</v>
      </c>
      <c r="FE64" s="244">
        <f t="shared" ca="1" si="160"/>
        <v>0</v>
      </c>
      <c r="FF64" s="244">
        <f t="shared" ca="1" si="161"/>
        <v>1610.36</v>
      </c>
      <c r="FG64" s="244">
        <f t="shared" ca="1" si="162"/>
        <v>0</v>
      </c>
      <c r="FH64" s="244">
        <f t="shared" ca="1" si="163"/>
        <v>0</v>
      </c>
      <c r="FI64" s="244">
        <f t="shared" ca="1" si="164"/>
        <v>157</v>
      </c>
      <c r="FJ64" s="244">
        <f t="shared" ca="1" si="165"/>
        <v>0</v>
      </c>
      <c r="FK64" s="244">
        <f t="shared" ca="1" si="166"/>
        <v>0</v>
      </c>
      <c r="FL64" s="244">
        <f t="shared" ca="1" si="167"/>
        <v>1968</v>
      </c>
      <c r="FM64" s="244">
        <f t="shared" ca="1" si="154"/>
        <v>0</v>
      </c>
      <c r="FN64" s="244"/>
    </row>
    <row r="65" spans="5:170" x14ac:dyDescent="0.25">
      <c r="E65" s="244"/>
      <c r="F65" s="240" t="str">
        <f>IF(fronttd!E67="","",fronttd!E67)</f>
        <v/>
      </c>
      <c r="G65" s="240" t="str">
        <f>IF(fronttd!F67="","",fronttd!F67)</f>
        <v/>
      </c>
      <c r="H65" s="380">
        <f>fronttd!G67</f>
        <v>0</v>
      </c>
      <c r="I65" s="380">
        <f>fronttd!H67</f>
        <v>0</v>
      </c>
      <c r="J65">
        <f t="shared" si="75"/>
        <v>24</v>
      </c>
      <c r="L65">
        <f t="shared" si="76"/>
        <v>65</v>
      </c>
      <c r="O65" s="238">
        <f t="shared" si="77"/>
        <v>65</v>
      </c>
      <c r="R65" s="112" t="str">
        <f t="shared" si="39"/>
        <v/>
      </c>
      <c r="S65" s="238" t="e">
        <f t="shared" ca="1" si="40"/>
        <v>#N/A</v>
      </c>
      <c r="T65" s="112" t="e">
        <f t="shared" ca="1" si="86"/>
        <v>#N/A</v>
      </c>
      <c r="U65" s="112" t="e">
        <f t="shared" ca="1" si="87"/>
        <v>#N/A</v>
      </c>
      <c r="V65" s="112" t="e">
        <f t="shared" ca="1" si="88"/>
        <v>#N/A</v>
      </c>
      <c r="W65" s="112" t="e">
        <f t="shared" ca="1" si="89"/>
        <v>#N/A</v>
      </c>
      <c r="X65" s="112" t="str">
        <f t="shared" si="41"/>
        <v/>
      </c>
      <c r="Y65" s="112"/>
      <c r="Z65" s="112"/>
      <c r="AA65" s="335" t="str">
        <f t="shared" si="42"/>
        <v/>
      </c>
      <c r="AB65" s="335" t="e">
        <f t="shared" ca="1" si="90"/>
        <v>#N/A</v>
      </c>
      <c r="AC65" s="335" t="e">
        <f t="shared" ca="1" si="91"/>
        <v>#N/A</v>
      </c>
      <c r="AD65" s="335" t="e">
        <f t="shared" ca="1" si="92"/>
        <v>#N/A</v>
      </c>
      <c r="AE65" s="335" t="e">
        <f t="shared" ca="1" si="93"/>
        <v>#N/A</v>
      </c>
      <c r="AF65" s="335" t="str">
        <f t="shared" si="43"/>
        <v/>
      </c>
      <c r="AG65" s="238">
        <f>AG64+1</f>
        <v>29</v>
      </c>
      <c r="AH65" s="112">
        <f ca="1">INDIRECT(CONCATENATE("AA",AG65))</f>
        <v>37167</v>
      </c>
      <c r="AI65" s="112">
        <f ca="1">IF(            INDIRECT(CONCATENATE( "AB",AG65))&lt;100000,       INDIRECT(CONCATENATE("AB",AG65))  -1,IF(   INDIRECT(CONCATENATE("AC",AG65))&lt;100000,   INDIRECT(CONCATENATE("AC",AG65))-1,IF(   INDIRECT(CONCATENATE("AD", AG65))&lt;100000, INDIRECT(CONCATENATE("AD",AG65))-1,IF(   INDIRECT(CONCATENATE("AE",AG65))&lt;100000,  INDIRECT(CONCATENATE("AE",G65)),INDIRECT(CONCATENATE("AF",AG65))                ))))</f>
        <v>37200</v>
      </c>
      <c r="AJ65" s="112">
        <f t="shared" ca="1" si="125"/>
        <v>37200</v>
      </c>
      <c r="AK65" s="112">
        <f t="shared" ca="1" si="169"/>
        <v>37200</v>
      </c>
      <c r="AL65" s="238">
        <f t="shared" ca="1" si="127"/>
        <v>1</v>
      </c>
      <c r="AM65" s="112">
        <f t="shared" ca="1" si="118"/>
        <v>37167</v>
      </c>
      <c r="AN65" s="112">
        <f t="shared" ca="1" si="84"/>
        <v>37200</v>
      </c>
      <c r="AO65" s="114">
        <f t="shared" ca="1" si="46"/>
        <v>18</v>
      </c>
      <c r="AP65" s="114">
        <f t="shared" ca="1" si="47"/>
        <v>24</v>
      </c>
      <c r="AQ65" s="112"/>
      <c r="AR65" s="238">
        <f t="shared" si="78"/>
        <v>65</v>
      </c>
      <c r="AS65" s="112"/>
      <c r="AT65" s="112"/>
      <c r="AU65" s="283">
        <f t="shared" si="79"/>
        <v>46</v>
      </c>
      <c r="AV65" s="284">
        <f t="shared" ca="1" si="48"/>
        <v>40360</v>
      </c>
      <c r="AW65" s="284">
        <f t="shared" ca="1" si="119"/>
        <v>40421</v>
      </c>
      <c r="AX65" s="285">
        <f t="shared" ca="1" si="120"/>
        <v>18</v>
      </c>
      <c r="AY65" s="285">
        <f t="shared" ca="1" si="51"/>
        <v>24</v>
      </c>
      <c r="AZ65" s="282"/>
      <c r="BD65" s="114">
        <f t="shared" si="80"/>
        <v>1</v>
      </c>
      <c r="BE65" s="112">
        <f t="shared" si="54"/>
        <v>100000</v>
      </c>
      <c r="BH65" s="238">
        <f t="shared" si="81"/>
        <v>46</v>
      </c>
      <c r="BI65" s="245" t="str">
        <f t="shared" si="55"/>
        <v/>
      </c>
      <c r="BJ65" s="281">
        <f t="shared" ca="1" si="96"/>
        <v>16</v>
      </c>
      <c r="BK65" s="245">
        <f t="shared" ca="1" si="56"/>
        <v>40802</v>
      </c>
      <c r="BL65" s="245">
        <f t="shared" ca="1" si="57"/>
        <v>41170</v>
      </c>
      <c r="BM65" s="244"/>
      <c r="BN65" s="245">
        <f t="shared" ca="1" si="97"/>
        <v>41090</v>
      </c>
      <c r="BQ65" s="245"/>
      <c r="BR65" s="245"/>
      <c r="BS65" s="245"/>
      <c r="BT65" s="245"/>
      <c r="BU65" s="245"/>
      <c r="BV65" s="245"/>
      <c r="BY65" s="245"/>
      <c r="BZ65" s="245"/>
      <c r="CA65" s="245"/>
      <c r="CB65" s="245"/>
      <c r="CC65" s="245"/>
      <c r="CD65" s="245"/>
      <c r="CE65" s="245"/>
      <c r="CF65" s="245"/>
      <c r="CG65" s="245"/>
      <c r="CH65" s="245"/>
      <c r="CL65" s="112"/>
      <c r="CM65" s="112"/>
      <c r="CP65" s="112"/>
      <c r="CQ65" s="112"/>
      <c r="CR65" s="238"/>
      <c r="CS65" s="238"/>
      <c r="CT65" s="112"/>
      <c r="CU65" s="112"/>
      <c r="CV65" s="112"/>
      <c r="CW65" s="112" t="s">
        <v>224</v>
      </c>
      <c r="CX65" s="112" t="s">
        <v>225</v>
      </c>
      <c r="CY65" s="112" t="s">
        <v>226</v>
      </c>
      <c r="CZ65" s="112" t="s">
        <v>227</v>
      </c>
      <c r="DA65" s="112" t="s">
        <v>228</v>
      </c>
      <c r="DB65" s="112" t="s">
        <v>229</v>
      </c>
      <c r="DC65" s="112"/>
      <c r="DD65" s="238">
        <f t="shared" ca="1" si="116"/>
        <v>0</v>
      </c>
      <c r="DE65" s="238">
        <f t="shared" ca="1" si="108"/>
        <v>0</v>
      </c>
      <c r="DF65" s="112"/>
      <c r="DG65" s="238"/>
      <c r="DH65" s="238"/>
      <c r="DI65" s="112"/>
      <c r="DJ65" s="238"/>
      <c r="DK65" s="112">
        <f t="shared" ca="1" si="58"/>
        <v>40171</v>
      </c>
      <c r="DL65" s="278">
        <f t="shared" ca="1" si="129"/>
        <v>46</v>
      </c>
      <c r="DM65" s="245">
        <f t="shared" ref="DM65:DP65" ca="1" si="180">DM616</f>
        <v>40171</v>
      </c>
      <c r="DN65" s="245">
        <f t="shared" ca="1" si="180"/>
        <v>40359</v>
      </c>
      <c r="DO65" s="245">
        <f t="shared" ca="1" si="180"/>
        <v>18</v>
      </c>
      <c r="DP65" s="245">
        <f t="shared" ca="1" si="180"/>
        <v>24</v>
      </c>
      <c r="DQ65" s="281">
        <f t="shared" ca="1" si="131"/>
        <v>189</v>
      </c>
      <c r="DR65" s="278">
        <f t="shared" ca="1" si="132"/>
        <v>0</v>
      </c>
      <c r="DS65" s="244">
        <f t="shared" ca="1" si="60"/>
        <v>23422.079999999998</v>
      </c>
      <c r="DT65" s="244">
        <f t="shared" ca="1" si="61"/>
        <v>21292.3</v>
      </c>
      <c r="DU65" s="244">
        <f t="shared" ca="1" si="133"/>
        <v>827.11</v>
      </c>
      <c r="DV65" s="244" t="str">
        <f t="shared" ca="1" si="134"/>
        <v>9/14 anni</v>
      </c>
      <c r="DW65" s="244"/>
      <c r="DX65" s="244">
        <f t="shared" ca="1" si="106"/>
        <v>9</v>
      </c>
      <c r="EA65" s="244">
        <f t="shared" ca="1" si="62"/>
        <v>2</v>
      </c>
      <c r="EB65" s="278">
        <f ca="1">VLOOKUP(DM65,Foglio1!$AB$31:$AN$261,13)-6+EA65</f>
        <v>159</v>
      </c>
      <c r="EC65" s="244"/>
      <c r="ED65" s="244">
        <f t="shared" ca="1" si="140"/>
        <v>0</v>
      </c>
      <c r="EE65" s="244">
        <f t="shared" ca="1" si="141"/>
        <v>15069.97</v>
      </c>
      <c r="EF65" s="244">
        <f t="shared" ca="1" si="142"/>
        <v>0</v>
      </c>
      <c r="EG65" s="244">
        <f t="shared" ca="1" si="143"/>
        <v>0</v>
      </c>
      <c r="EH65" s="244">
        <f t="shared" ca="1" si="144"/>
        <v>6384.11</v>
      </c>
      <c r="EI65" s="244">
        <f t="shared" ca="1" si="145"/>
        <v>0</v>
      </c>
      <c r="EJ65" s="244">
        <f t="shared" ca="1" si="146"/>
        <v>1787.84</v>
      </c>
      <c r="EK65" s="244">
        <f t="shared" ca="1" si="147"/>
        <v>0</v>
      </c>
      <c r="EL65" s="244">
        <f t="shared" ca="1" si="148"/>
        <v>0</v>
      </c>
      <c r="EM65" s="244">
        <f t="shared" ca="1" si="149"/>
        <v>159</v>
      </c>
      <c r="EN65" s="244">
        <f t="shared" ca="1" si="150"/>
        <v>0</v>
      </c>
      <c r="EO65" s="244">
        <f t="shared" ca="1" si="151"/>
        <v>0</v>
      </c>
      <c r="EP65" s="244">
        <f t="shared" ca="1" si="152"/>
        <v>1968</v>
      </c>
      <c r="EQ65" s="244">
        <f t="shared" ca="1" si="153"/>
        <v>0</v>
      </c>
      <c r="ER65" s="244"/>
      <c r="EW65" s="244">
        <v>0</v>
      </c>
      <c r="EX65" s="278">
        <f ca="1">VLOOKUP(DM65,Foglio1!$AB$31:$AN$261,13)-6+EW65</f>
        <v>157</v>
      </c>
      <c r="EY65" s="244"/>
      <c r="EZ65" s="244">
        <v>0</v>
      </c>
      <c r="FA65" s="244">
        <f t="shared" ca="1" si="156"/>
        <v>12940.19</v>
      </c>
      <c r="FB65" s="244">
        <f t="shared" ca="1" si="157"/>
        <v>0</v>
      </c>
      <c r="FC65" s="244">
        <f t="shared" ca="1" si="158"/>
        <v>0</v>
      </c>
      <c r="FD65" s="244">
        <f t="shared" ca="1" si="159"/>
        <v>6384.11</v>
      </c>
      <c r="FE65" s="244">
        <f t="shared" ca="1" si="160"/>
        <v>0</v>
      </c>
      <c r="FF65" s="244">
        <f t="shared" ca="1" si="161"/>
        <v>1610.36</v>
      </c>
      <c r="FG65" s="244">
        <f t="shared" ca="1" si="162"/>
        <v>0</v>
      </c>
      <c r="FH65" s="244">
        <f t="shared" ca="1" si="163"/>
        <v>0</v>
      </c>
      <c r="FI65" s="244">
        <f t="shared" ca="1" si="164"/>
        <v>157</v>
      </c>
      <c r="FJ65" s="244">
        <f t="shared" ca="1" si="165"/>
        <v>0</v>
      </c>
      <c r="FK65" s="244">
        <f t="shared" ca="1" si="166"/>
        <v>0</v>
      </c>
      <c r="FL65" s="244">
        <f t="shared" ca="1" si="167"/>
        <v>1968</v>
      </c>
      <c r="FM65" s="244">
        <f t="shared" ca="1" si="154"/>
        <v>0</v>
      </c>
      <c r="FN65" s="244"/>
    </row>
    <row r="66" spans="5:170" x14ac:dyDescent="0.25">
      <c r="E66" s="244"/>
      <c r="F66" s="240" t="str">
        <f>IF(fronttd!E68="","",fronttd!E68)</f>
        <v/>
      </c>
      <c r="G66" s="240" t="str">
        <f>IF(fronttd!F68="","",fronttd!F68)</f>
        <v/>
      </c>
      <c r="H66" s="380">
        <f>fronttd!G68</f>
        <v>0</v>
      </c>
      <c r="I66" s="380">
        <f>fronttd!H68</f>
        <v>0</v>
      </c>
      <c r="J66">
        <f t="shared" si="75"/>
        <v>24</v>
      </c>
      <c r="L66">
        <f t="shared" si="76"/>
        <v>66</v>
      </c>
      <c r="O66" s="238">
        <f t="shared" si="77"/>
        <v>66</v>
      </c>
      <c r="R66" s="112" t="str">
        <f t="shared" si="39"/>
        <v/>
      </c>
      <c r="S66" s="238" t="e">
        <f t="shared" ca="1" si="40"/>
        <v>#N/A</v>
      </c>
      <c r="T66" s="112" t="e">
        <f t="shared" ca="1" si="86"/>
        <v>#N/A</v>
      </c>
      <c r="U66" s="112" t="e">
        <f t="shared" ca="1" si="87"/>
        <v>#N/A</v>
      </c>
      <c r="V66" s="112" t="e">
        <f t="shared" ca="1" si="88"/>
        <v>#N/A</v>
      </c>
      <c r="W66" s="112" t="e">
        <f t="shared" ca="1" si="89"/>
        <v>#N/A</v>
      </c>
      <c r="X66" s="112" t="str">
        <f t="shared" si="41"/>
        <v/>
      </c>
      <c r="Y66" s="112"/>
      <c r="Z66" s="112"/>
      <c r="AA66" s="335" t="str">
        <f t="shared" si="42"/>
        <v/>
      </c>
      <c r="AB66" s="335" t="e">
        <f t="shared" ca="1" si="90"/>
        <v>#N/A</v>
      </c>
      <c r="AC66" s="335" t="e">
        <f t="shared" ca="1" si="91"/>
        <v>#N/A</v>
      </c>
      <c r="AD66" s="335" t="e">
        <f t="shared" ca="1" si="92"/>
        <v>#N/A</v>
      </c>
      <c r="AE66" s="335" t="e">
        <f t="shared" ca="1" si="93"/>
        <v>#N/A</v>
      </c>
      <c r="AF66" s="335" t="str">
        <f t="shared" si="43"/>
        <v/>
      </c>
      <c r="AG66" s="238">
        <f>AG65</f>
        <v>29</v>
      </c>
      <c r="AH66" s="112">
        <f ca="1">AI65+1</f>
        <v>37201</v>
      </c>
      <c r="AI66" s="112">
        <f ca="1">IF(INDIRECT(CONCATENATE("AC",AG65))&lt;100000,INDIRECT(CONCATENATE("AC",AG65))-1,IF(INDIRECT(CONCATENATE("AD",AG65))&lt;100000,INDIRECT(CONCATENATE("AD",AG65))-1,IF(INDIRECT(CONCATENATE("AE",AG65))&lt;100000,INDIRECT(CONCATENATE("AE",G65)),INDIRECT(CONCATENATE("AF",AG65)))))</f>
        <v>37200</v>
      </c>
      <c r="AJ66" s="112">
        <f t="shared" ca="1" si="125"/>
        <v>37200</v>
      </c>
      <c r="AK66" s="112">
        <f t="shared" ca="1" si="169"/>
        <v>37200</v>
      </c>
      <c r="AL66" s="238">
        <f t="shared" ca="1" si="127"/>
        <v>0</v>
      </c>
      <c r="AM66" s="112">
        <f t="shared" ca="1" si="118"/>
        <v>100000</v>
      </c>
      <c r="AN66" s="112">
        <f t="shared" ca="1" si="84"/>
        <v>100000</v>
      </c>
      <c r="AO66" s="114">
        <f t="shared" ca="1" si="46"/>
        <v>18</v>
      </c>
      <c r="AP66" s="114">
        <f t="shared" ca="1" si="47"/>
        <v>24</v>
      </c>
      <c r="AQ66" s="112"/>
      <c r="AR66" s="238">
        <f t="shared" si="78"/>
        <v>66</v>
      </c>
      <c r="AS66" s="112"/>
      <c r="AT66" s="112"/>
      <c r="AU66" s="283">
        <f t="shared" si="79"/>
        <v>47</v>
      </c>
      <c r="AV66" s="284">
        <f t="shared" ca="1" si="48"/>
        <v>40430</v>
      </c>
      <c r="AW66" s="284">
        <f t="shared" ca="1" si="119"/>
        <v>40739</v>
      </c>
      <c r="AX66" s="285">
        <f t="shared" ca="1" si="120"/>
        <v>18</v>
      </c>
      <c r="AY66" s="285">
        <f t="shared" ca="1" si="51"/>
        <v>24</v>
      </c>
      <c r="AZ66" s="282"/>
      <c r="BD66" s="114">
        <f t="shared" si="80"/>
        <v>1</v>
      </c>
      <c r="BE66" s="112">
        <f t="shared" si="54"/>
        <v>100000</v>
      </c>
      <c r="BH66" s="238">
        <f t="shared" si="81"/>
        <v>47</v>
      </c>
      <c r="BI66" s="245" t="str">
        <f t="shared" si="55"/>
        <v/>
      </c>
      <c r="BJ66" s="281">
        <f t="shared" ca="1" si="96"/>
        <v>16</v>
      </c>
      <c r="BK66" s="245">
        <f t="shared" ca="1" si="56"/>
        <v>41171</v>
      </c>
      <c r="BL66" s="245">
        <f t="shared" ca="1" si="57"/>
        <v>41177</v>
      </c>
      <c r="BM66" s="244"/>
      <c r="BN66" s="245">
        <f t="shared" ca="1" si="97"/>
        <v>41471</v>
      </c>
      <c r="BQ66" s="245"/>
      <c r="BR66" s="245"/>
      <c r="BS66" s="245"/>
      <c r="BT66" s="245"/>
      <c r="BU66" s="245"/>
      <c r="BV66" s="245"/>
      <c r="BY66" s="245"/>
      <c r="BZ66" s="245"/>
      <c r="CA66" s="245"/>
      <c r="CB66" s="245"/>
      <c r="CC66" s="245"/>
      <c r="CD66" s="245"/>
      <c r="CE66" s="245"/>
      <c r="CF66" s="245"/>
      <c r="CG66" s="245"/>
      <c r="CH66" s="245"/>
      <c r="CL66" s="112"/>
      <c r="CM66" s="112"/>
      <c r="CP66" s="112"/>
      <c r="CQ66" s="112"/>
      <c r="CR66" s="238"/>
      <c r="CS66" s="238"/>
      <c r="CT66" s="112"/>
      <c r="CU66" s="112"/>
      <c r="CV66" s="112"/>
      <c r="CW66" s="112" t="s">
        <v>224</v>
      </c>
      <c r="CX66" s="112" t="s">
        <v>225</v>
      </c>
      <c r="CY66" s="112" t="s">
        <v>226</v>
      </c>
      <c r="CZ66" s="112" t="s">
        <v>227</v>
      </c>
      <c r="DA66" s="112" t="s">
        <v>228</v>
      </c>
      <c r="DB66" s="112" t="s">
        <v>229</v>
      </c>
      <c r="DC66" s="112"/>
      <c r="DD66" s="238">
        <f t="shared" ca="1" si="116"/>
        <v>0</v>
      </c>
      <c r="DE66" s="238">
        <f t="shared" ca="1" si="108"/>
        <v>0</v>
      </c>
      <c r="DF66" s="112"/>
      <c r="DG66" s="238"/>
      <c r="DH66" s="238"/>
      <c r="DI66" s="112"/>
      <c r="DJ66" s="238"/>
      <c r="DK66" s="112">
        <f t="shared" ca="1" si="58"/>
        <v>40360</v>
      </c>
      <c r="DL66" s="278">
        <f t="shared" ca="1" si="129"/>
        <v>47</v>
      </c>
      <c r="DM66" s="245">
        <f t="shared" ref="DM66:DP66" ca="1" si="181">DM617</f>
        <v>40360</v>
      </c>
      <c r="DN66" s="245">
        <f t="shared" ca="1" si="181"/>
        <v>40421</v>
      </c>
      <c r="DO66" s="245">
        <f t="shared" ca="1" si="181"/>
        <v>18</v>
      </c>
      <c r="DP66" s="245">
        <f t="shared" ca="1" si="181"/>
        <v>24</v>
      </c>
      <c r="DQ66" s="281">
        <f t="shared" ca="1" si="131"/>
        <v>62</v>
      </c>
      <c r="DR66" s="278">
        <f t="shared" ca="1" si="132"/>
        <v>0</v>
      </c>
      <c r="DS66" s="244">
        <f t="shared" ca="1" si="60"/>
        <v>23567.01</v>
      </c>
      <c r="DT66" s="244">
        <f t="shared" ca="1" si="61"/>
        <v>21437.23</v>
      </c>
      <c r="DU66" s="244">
        <f t="shared" ca="1" si="133"/>
        <v>271.33</v>
      </c>
      <c r="DV66" s="244" t="str">
        <f t="shared" ca="1" si="134"/>
        <v>9/14 anni</v>
      </c>
      <c r="DW66" s="244"/>
      <c r="DX66" s="244">
        <f t="shared" ca="1" si="106"/>
        <v>9</v>
      </c>
      <c r="EA66" s="244">
        <f t="shared" ca="1" si="62"/>
        <v>2</v>
      </c>
      <c r="EB66" s="278">
        <f ca="1">VLOOKUP(DM66,Foglio1!$AB$31:$AN$261,13)-6+EA66</f>
        <v>173</v>
      </c>
      <c r="EC66" s="244"/>
      <c r="ED66" s="244">
        <f t="shared" ca="1" si="140"/>
        <v>0</v>
      </c>
      <c r="EE66" s="244">
        <f t="shared" ca="1" si="141"/>
        <v>15069.97</v>
      </c>
      <c r="EF66" s="244">
        <f t="shared" ca="1" si="142"/>
        <v>0</v>
      </c>
      <c r="EG66" s="244">
        <f t="shared" ca="1" si="143"/>
        <v>0</v>
      </c>
      <c r="EH66" s="244">
        <f t="shared" ca="1" si="144"/>
        <v>6384.11</v>
      </c>
      <c r="EI66" s="244">
        <f t="shared" ca="1" si="145"/>
        <v>144.93</v>
      </c>
      <c r="EJ66" s="244">
        <f t="shared" ca="1" si="146"/>
        <v>1787.84</v>
      </c>
      <c r="EK66" s="244">
        <f t="shared" ca="1" si="147"/>
        <v>0</v>
      </c>
      <c r="EL66" s="244">
        <f t="shared" ca="1" si="148"/>
        <v>0</v>
      </c>
      <c r="EM66" s="244">
        <f t="shared" ca="1" si="149"/>
        <v>173</v>
      </c>
      <c r="EN66" s="244">
        <f t="shared" ca="1" si="150"/>
        <v>0</v>
      </c>
      <c r="EO66" s="244">
        <f t="shared" ca="1" si="151"/>
        <v>0</v>
      </c>
      <c r="EP66" s="244">
        <f t="shared" ca="1" si="152"/>
        <v>1968</v>
      </c>
      <c r="EQ66" s="244">
        <f t="shared" ca="1" si="153"/>
        <v>0</v>
      </c>
      <c r="ER66" s="244"/>
      <c r="EW66" s="244">
        <v>0</v>
      </c>
      <c r="EX66" s="278">
        <f ca="1">VLOOKUP(DM66,Foglio1!$AB$31:$AN$261,13)-6+EW66</f>
        <v>171</v>
      </c>
      <c r="EY66" s="244"/>
      <c r="EZ66" s="244">
        <v>0</v>
      </c>
      <c r="FA66" s="244">
        <f t="shared" ca="1" si="156"/>
        <v>12940.19</v>
      </c>
      <c r="FB66" s="244">
        <f t="shared" ca="1" si="157"/>
        <v>0</v>
      </c>
      <c r="FC66" s="244">
        <f t="shared" ca="1" si="158"/>
        <v>0</v>
      </c>
      <c r="FD66" s="244">
        <f t="shared" ca="1" si="159"/>
        <v>6384.11</v>
      </c>
      <c r="FE66" s="244">
        <f t="shared" ca="1" si="160"/>
        <v>144.93</v>
      </c>
      <c r="FF66" s="244">
        <f t="shared" ca="1" si="161"/>
        <v>1610.36</v>
      </c>
      <c r="FG66" s="244">
        <f t="shared" ca="1" si="162"/>
        <v>0</v>
      </c>
      <c r="FH66" s="244">
        <f t="shared" ca="1" si="163"/>
        <v>0</v>
      </c>
      <c r="FI66" s="244">
        <f t="shared" ca="1" si="164"/>
        <v>171</v>
      </c>
      <c r="FJ66" s="244">
        <f t="shared" ca="1" si="165"/>
        <v>0</v>
      </c>
      <c r="FK66" s="244">
        <f t="shared" ca="1" si="166"/>
        <v>0</v>
      </c>
      <c r="FL66" s="244">
        <f t="shared" ca="1" si="167"/>
        <v>1968</v>
      </c>
      <c r="FM66" s="244">
        <f t="shared" ca="1" si="154"/>
        <v>0</v>
      </c>
      <c r="FN66" s="244"/>
    </row>
    <row r="67" spans="5:170" x14ac:dyDescent="0.25">
      <c r="E67" s="244"/>
      <c r="F67" s="240" t="str">
        <f>IF(fronttd!E69="","",fronttd!E69)</f>
        <v/>
      </c>
      <c r="G67" s="240" t="str">
        <f>IF(fronttd!F69="","",fronttd!F69)</f>
        <v/>
      </c>
      <c r="H67" s="380">
        <f>fronttd!G69</f>
        <v>0</v>
      </c>
      <c r="I67" s="380">
        <f>fronttd!H69</f>
        <v>0</v>
      </c>
      <c r="J67">
        <f t="shared" si="75"/>
        <v>24</v>
      </c>
      <c r="L67">
        <f t="shared" si="76"/>
        <v>67</v>
      </c>
      <c r="O67" s="238">
        <f t="shared" si="77"/>
        <v>67</v>
      </c>
      <c r="R67" s="112" t="str">
        <f t="shared" si="39"/>
        <v/>
      </c>
      <c r="S67" s="238" t="e">
        <f t="shared" ca="1" si="40"/>
        <v>#N/A</v>
      </c>
      <c r="T67" s="112" t="e">
        <f t="shared" ca="1" si="86"/>
        <v>#N/A</v>
      </c>
      <c r="U67" s="112" t="e">
        <f t="shared" ca="1" si="87"/>
        <v>#N/A</v>
      </c>
      <c r="V67" s="112" t="e">
        <f t="shared" ca="1" si="88"/>
        <v>#N/A</v>
      </c>
      <c r="W67" s="112" t="e">
        <f t="shared" ca="1" si="89"/>
        <v>#N/A</v>
      </c>
      <c r="X67" s="112" t="str">
        <f t="shared" si="41"/>
        <v/>
      </c>
      <c r="Y67" s="112"/>
      <c r="Z67" s="112"/>
      <c r="AA67" s="335" t="str">
        <f t="shared" si="42"/>
        <v/>
      </c>
      <c r="AB67" s="335" t="e">
        <f t="shared" ca="1" si="90"/>
        <v>#N/A</v>
      </c>
      <c r="AC67" s="335" t="e">
        <f t="shared" ca="1" si="91"/>
        <v>#N/A</v>
      </c>
      <c r="AD67" s="335" t="e">
        <f t="shared" ca="1" si="92"/>
        <v>#N/A</v>
      </c>
      <c r="AE67" s="335" t="e">
        <f t="shared" ca="1" si="93"/>
        <v>#N/A</v>
      </c>
      <c r="AF67" s="335" t="str">
        <f t="shared" si="43"/>
        <v/>
      </c>
      <c r="AG67" s="238">
        <f>AG66</f>
        <v>29</v>
      </c>
      <c r="AH67" s="112">
        <f ca="1">AI66+1</f>
        <v>37201</v>
      </c>
      <c r="AI67" s="112">
        <f ca="1">IF(INDIRECT(CONCATENATE("AD",AG65))&lt;100000,INDIRECT(CONCATENATE("AD",AG65))-1,IF(INDIRECT(CONCATENATE("AE",AG65))&lt;100000,INDIRECT(CONCATENATE("AE",G65)),INDIRECT(CONCATENATE("AF",AG65))))</f>
        <v>37200</v>
      </c>
      <c r="AJ67" s="112">
        <f t="shared" ca="1" si="125"/>
        <v>37200</v>
      </c>
      <c r="AK67" s="112">
        <f t="shared" ca="1" si="169"/>
        <v>37200</v>
      </c>
      <c r="AL67" s="238">
        <f t="shared" ca="1" si="127"/>
        <v>0</v>
      </c>
      <c r="AM67" s="112">
        <f t="shared" ca="1" si="118"/>
        <v>100000</v>
      </c>
      <c r="AN67" s="112">
        <f t="shared" ca="1" si="84"/>
        <v>100000</v>
      </c>
      <c r="AO67" s="114">
        <f t="shared" ca="1" si="46"/>
        <v>18</v>
      </c>
      <c r="AP67" s="114">
        <f t="shared" ca="1" si="47"/>
        <v>24</v>
      </c>
      <c r="AQ67" s="112"/>
      <c r="AR67" s="238">
        <f t="shared" si="78"/>
        <v>67</v>
      </c>
      <c r="AS67" s="112"/>
      <c r="AT67" s="112"/>
      <c r="AU67" s="283">
        <f t="shared" si="79"/>
        <v>48</v>
      </c>
      <c r="AV67" s="284">
        <f t="shared" ca="1" si="48"/>
        <v>40802</v>
      </c>
      <c r="AW67" s="284">
        <f t="shared" ca="1" si="119"/>
        <v>41090</v>
      </c>
      <c r="AX67" s="285">
        <f t="shared" ca="1" si="120"/>
        <v>18</v>
      </c>
      <c r="AY67" s="285">
        <f t="shared" ca="1" si="51"/>
        <v>24</v>
      </c>
      <c r="AZ67" s="282"/>
      <c r="BD67" s="114">
        <f t="shared" si="80"/>
        <v>1</v>
      </c>
      <c r="BE67" s="112">
        <f t="shared" si="54"/>
        <v>100000</v>
      </c>
      <c r="BH67" s="238">
        <f t="shared" si="81"/>
        <v>48</v>
      </c>
      <c r="BI67" s="245" t="str">
        <f t="shared" si="55"/>
        <v/>
      </c>
      <c r="BJ67" s="281">
        <f t="shared" ca="1" si="96"/>
        <v>16</v>
      </c>
      <c r="BK67" s="245">
        <f t="shared" ca="1" si="56"/>
        <v>41178</v>
      </c>
      <c r="BL67" s="245">
        <f t="shared" ca="1" si="57"/>
        <v>41183</v>
      </c>
      <c r="BM67" s="244"/>
      <c r="BN67" s="245">
        <f t="shared" ca="1" si="97"/>
        <v>41471</v>
      </c>
      <c r="BQ67" s="245"/>
      <c r="BR67" s="245"/>
      <c r="BS67" s="245"/>
      <c r="BT67" s="245"/>
      <c r="BU67" s="245"/>
      <c r="BV67" s="245"/>
      <c r="BY67" s="245"/>
      <c r="BZ67" s="245"/>
      <c r="CA67" s="245"/>
      <c r="CB67" s="245"/>
      <c r="CC67" s="245"/>
      <c r="CD67" s="245"/>
      <c r="CE67" s="245"/>
      <c r="CF67" s="245"/>
      <c r="CG67" s="245"/>
      <c r="CH67" s="245"/>
      <c r="CL67" s="112"/>
      <c r="CM67" s="112"/>
      <c r="CP67" s="112"/>
      <c r="CQ67" s="112"/>
      <c r="CR67" s="238"/>
      <c r="CS67" s="238"/>
      <c r="CT67" s="112"/>
      <c r="CU67" s="112"/>
      <c r="CV67" s="112"/>
      <c r="CW67" s="112" t="s">
        <v>224</v>
      </c>
      <c r="CX67" s="112" t="s">
        <v>225</v>
      </c>
      <c r="CY67" s="112" t="s">
        <v>226</v>
      </c>
      <c r="CZ67" s="112" t="s">
        <v>227</v>
      </c>
      <c r="DA67" s="112" t="s">
        <v>228</v>
      </c>
      <c r="DB67" s="112" t="s">
        <v>229</v>
      </c>
      <c r="DC67" s="112"/>
      <c r="DD67" s="238">
        <f t="shared" ca="1" si="116"/>
        <v>0</v>
      </c>
      <c r="DE67" s="238">
        <f t="shared" ca="1" si="108"/>
        <v>0</v>
      </c>
      <c r="DF67" s="112"/>
      <c r="DG67" s="238"/>
      <c r="DH67" s="238"/>
      <c r="DI67" s="112"/>
      <c r="DJ67" s="238"/>
      <c r="DK67" s="112">
        <f t="shared" ca="1" si="58"/>
        <v>40430</v>
      </c>
      <c r="DL67" s="278">
        <f t="shared" ca="1" si="129"/>
        <v>48</v>
      </c>
      <c r="DM67" s="245">
        <f t="shared" ref="DM67:DP67" ca="1" si="182">DM618</f>
        <v>40430</v>
      </c>
      <c r="DN67" s="245">
        <f t="shared" ca="1" si="182"/>
        <v>40543</v>
      </c>
      <c r="DO67" s="245">
        <f t="shared" ca="1" si="182"/>
        <v>7</v>
      </c>
      <c r="DP67" s="245">
        <f t="shared" ca="1" si="182"/>
        <v>24</v>
      </c>
      <c r="DQ67" s="281">
        <f t="shared" ca="1" si="131"/>
        <v>114</v>
      </c>
      <c r="DR67" s="278">
        <f t="shared" ca="1" si="132"/>
        <v>0</v>
      </c>
      <c r="DS67" s="244">
        <f t="shared" ca="1" si="60"/>
        <v>23567.01</v>
      </c>
      <c r="DT67" s="244">
        <f t="shared" ca="1" si="61"/>
        <v>21437.23</v>
      </c>
      <c r="DU67" s="244">
        <f t="shared" ca="1" si="133"/>
        <v>194.01</v>
      </c>
      <c r="DV67" s="244" t="str">
        <f t="shared" ca="1" si="134"/>
        <v>9/14 anni</v>
      </c>
      <c r="DW67" s="244"/>
      <c r="DX67" s="244">
        <f t="shared" ca="1" si="106"/>
        <v>9</v>
      </c>
      <c r="EA67" s="244">
        <f t="shared" ca="1" si="62"/>
        <v>2</v>
      </c>
      <c r="EB67" s="278">
        <f ca="1">VLOOKUP(DM67,Foglio1!$AB$31:$AN$261,13)-6+EA67</f>
        <v>180</v>
      </c>
      <c r="EC67" s="244"/>
      <c r="ED67" s="244">
        <f t="shared" ca="1" si="140"/>
        <v>0</v>
      </c>
      <c r="EE67" s="244">
        <f t="shared" ca="1" si="141"/>
        <v>15069.97</v>
      </c>
      <c r="EF67" s="244">
        <f t="shared" ca="1" si="142"/>
        <v>0</v>
      </c>
      <c r="EG67" s="244">
        <f t="shared" ca="1" si="143"/>
        <v>0</v>
      </c>
      <c r="EH67" s="244">
        <f t="shared" ca="1" si="144"/>
        <v>6384.11</v>
      </c>
      <c r="EI67" s="244">
        <f t="shared" ca="1" si="145"/>
        <v>144.93</v>
      </c>
      <c r="EJ67" s="244">
        <f t="shared" ca="1" si="146"/>
        <v>1787.84</v>
      </c>
      <c r="EK67" s="244">
        <f t="shared" ca="1" si="147"/>
        <v>0</v>
      </c>
      <c r="EL67" s="244">
        <f t="shared" ca="1" si="148"/>
        <v>0</v>
      </c>
      <c r="EM67" s="244">
        <f t="shared" ca="1" si="149"/>
        <v>180</v>
      </c>
      <c r="EN67" s="244">
        <f t="shared" ca="1" si="150"/>
        <v>0</v>
      </c>
      <c r="EO67" s="244">
        <f t="shared" ca="1" si="151"/>
        <v>0</v>
      </c>
      <c r="EP67" s="244">
        <f t="shared" ca="1" si="152"/>
        <v>1968</v>
      </c>
      <c r="EQ67" s="244">
        <f t="shared" ca="1" si="153"/>
        <v>0</v>
      </c>
      <c r="ER67" s="244"/>
      <c r="EW67" s="244">
        <v>0</v>
      </c>
      <c r="EX67" s="278">
        <f ca="1">VLOOKUP(DM67,Foglio1!$AB$31:$AN$261,13)-6+EW67</f>
        <v>178</v>
      </c>
      <c r="EY67" s="244"/>
      <c r="EZ67" s="244">
        <v>0</v>
      </c>
      <c r="FA67" s="244">
        <f t="shared" ca="1" si="156"/>
        <v>12940.19</v>
      </c>
      <c r="FB67" s="244">
        <f t="shared" ca="1" si="157"/>
        <v>0</v>
      </c>
      <c r="FC67" s="244">
        <f t="shared" ca="1" si="158"/>
        <v>0</v>
      </c>
      <c r="FD67" s="244">
        <f t="shared" ca="1" si="159"/>
        <v>6384.11</v>
      </c>
      <c r="FE67" s="244">
        <f t="shared" ca="1" si="160"/>
        <v>144.93</v>
      </c>
      <c r="FF67" s="244">
        <f t="shared" ca="1" si="161"/>
        <v>1610.36</v>
      </c>
      <c r="FG67" s="244">
        <f t="shared" ca="1" si="162"/>
        <v>0</v>
      </c>
      <c r="FH67" s="244">
        <f t="shared" ca="1" si="163"/>
        <v>0</v>
      </c>
      <c r="FI67" s="244">
        <f t="shared" ca="1" si="164"/>
        <v>178</v>
      </c>
      <c r="FJ67" s="244">
        <f t="shared" ca="1" si="165"/>
        <v>0</v>
      </c>
      <c r="FK67" s="244">
        <f t="shared" ca="1" si="166"/>
        <v>0</v>
      </c>
      <c r="FL67" s="244">
        <f t="shared" ca="1" si="167"/>
        <v>1968</v>
      </c>
      <c r="FM67" s="244">
        <f t="shared" ca="1" si="154"/>
        <v>0</v>
      </c>
      <c r="FN67" s="244"/>
    </row>
    <row r="68" spans="5:170" x14ac:dyDescent="0.25">
      <c r="E68" s="244"/>
      <c r="F68" s="240" t="str">
        <f>IF(fronttd!E70="","",fronttd!E70)</f>
        <v/>
      </c>
      <c r="G68" s="240" t="str">
        <f>IF(fronttd!F70="","",fronttd!F70)</f>
        <v/>
      </c>
      <c r="H68" s="380">
        <f>fronttd!G70</f>
        <v>0</v>
      </c>
      <c r="I68" s="380">
        <f>fronttd!H70</f>
        <v>0</v>
      </c>
      <c r="J68">
        <f t="shared" si="75"/>
        <v>24</v>
      </c>
      <c r="L68">
        <f t="shared" si="76"/>
        <v>68</v>
      </c>
      <c r="O68" s="238">
        <f t="shared" si="77"/>
        <v>68</v>
      </c>
      <c r="R68" s="112" t="str">
        <f t="shared" si="39"/>
        <v/>
      </c>
      <c r="S68" s="238" t="e">
        <f t="shared" ca="1" si="40"/>
        <v>#N/A</v>
      </c>
      <c r="T68" s="112" t="e">
        <f t="shared" ca="1" si="86"/>
        <v>#N/A</v>
      </c>
      <c r="U68" s="112" t="e">
        <f t="shared" ca="1" si="87"/>
        <v>#N/A</v>
      </c>
      <c r="V68" s="112" t="e">
        <f t="shared" ca="1" si="88"/>
        <v>#N/A</v>
      </c>
      <c r="W68" s="112" t="e">
        <f t="shared" ca="1" si="89"/>
        <v>#N/A</v>
      </c>
      <c r="X68" s="112" t="str">
        <f t="shared" si="41"/>
        <v/>
      </c>
      <c r="Y68" s="112"/>
      <c r="Z68" s="112"/>
      <c r="AA68" s="335" t="str">
        <f t="shared" si="42"/>
        <v/>
      </c>
      <c r="AB68" s="335" t="e">
        <f t="shared" ca="1" si="90"/>
        <v>#N/A</v>
      </c>
      <c r="AC68" s="335" t="e">
        <f t="shared" ca="1" si="91"/>
        <v>#N/A</v>
      </c>
      <c r="AD68" s="335" t="e">
        <f t="shared" ca="1" si="92"/>
        <v>#N/A</v>
      </c>
      <c r="AE68" s="335" t="e">
        <f t="shared" ca="1" si="93"/>
        <v>#N/A</v>
      </c>
      <c r="AF68" s="335" t="str">
        <f t="shared" si="43"/>
        <v/>
      </c>
      <c r="AG68" s="238">
        <f>AG67</f>
        <v>29</v>
      </c>
      <c r="AH68" s="112">
        <f ca="1">AI67+1</f>
        <v>37201</v>
      </c>
      <c r="AI68" s="112">
        <f ca="1">IF(INDIRECT(CONCATENATE("AE",AG65))&lt;100000,INDIRECT(CONCATENATE("AE",G65)),INDIRECT(CONCATENATE("AF",AG65)))</f>
        <v>37200</v>
      </c>
      <c r="AJ68" s="112">
        <f t="shared" ca="1" si="125"/>
        <v>37200</v>
      </c>
      <c r="AK68" s="112">
        <f t="shared" ca="1" si="169"/>
        <v>37200</v>
      </c>
      <c r="AL68" s="238">
        <f t="shared" ca="1" si="127"/>
        <v>0</v>
      </c>
      <c r="AM68" s="112">
        <f t="shared" ca="1" si="118"/>
        <v>100000</v>
      </c>
      <c r="AN68" s="112">
        <f t="shared" ca="1" si="84"/>
        <v>100000</v>
      </c>
      <c r="AO68" s="114">
        <f t="shared" ca="1" si="46"/>
        <v>18</v>
      </c>
      <c r="AP68" s="114">
        <f t="shared" ca="1" si="47"/>
        <v>24</v>
      </c>
      <c r="AQ68" s="112"/>
      <c r="AR68" s="238">
        <f t="shared" si="78"/>
        <v>68</v>
      </c>
      <c r="AS68" s="112"/>
      <c r="AT68" s="112"/>
      <c r="AU68" s="283">
        <f t="shared" si="79"/>
        <v>49</v>
      </c>
      <c r="AV68" s="284">
        <f t="shared" ca="1" si="48"/>
        <v>41171</v>
      </c>
      <c r="AW68" s="284">
        <f t="shared" ca="1" si="119"/>
        <v>41471</v>
      </c>
      <c r="AX68" s="285">
        <f t="shared" ca="1" si="120"/>
        <v>18</v>
      </c>
      <c r="AY68" s="285">
        <f t="shared" ca="1" si="51"/>
        <v>24</v>
      </c>
      <c r="AZ68" s="282"/>
      <c r="BD68" s="114">
        <f t="shared" si="80"/>
        <v>1</v>
      </c>
      <c r="BE68" s="112">
        <f t="shared" si="54"/>
        <v>100000</v>
      </c>
      <c r="BH68" s="238">
        <f t="shared" si="81"/>
        <v>49</v>
      </c>
      <c r="BI68" s="245" t="str">
        <f t="shared" si="55"/>
        <v/>
      </c>
      <c r="BJ68" s="281">
        <f t="shared" ca="1" si="96"/>
        <v>16</v>
      </c>
      <c r="BK68" s="245">
        <f t="shared" ca="1" si="56"/>
        <v>41184</v>
      </c>
      <c r="BL68" s="245">
        <f t="shared" ca="1" si="57"/>
        <v>41196</v>
      </c>
      <c r="BM68" s="244"/>
      <c r="BN68" s="245">
        <f t="shared" ca="1" si="97"/>
        <v>41196</v>
      </c>
      <c r="BQ68" s="245"/>
      <c r="BR68" s="245"/>
      <c r="BS68" s="245"/>
      <c r="BT68" s="245"/>
      <c r="BU68" s="245"/>
      <c r="BV68" s="245"/>
      <c r="BY68" s="245"/>
      <c r="BZ68" s="245"/>
      <c r="CA68" s="245"/>
      <c r="CB68" s="245"/>
      <c r="CC68" s="245"/>
      <c r="CD68" s="245"/>
      <c r="CE68" s="245"/>
      <c r="CF68" s="245"/>
      <c r="CG68" s="245"/>
      <c r="CH68" s="245"/>
      <c r="CL68" s="112"/>
      <c r="CM68" s="112"/>
      <c r="CP68" s="112"/>
      <c r="CQ68" s="112"/>
      <c r="CR68" s="238"/>
      <c r="CS68" s="238"/>
      <c r="CT68" s="112"/>
      <c r="CU68" s="112"/>
      <c r="CV68" s="112"/>
      <c r="CW68" s="112" t="s">
        <v>224</v>
      </c>
      <c r="CX68" s="112" t="s">
        <v>225</v>
      </c>
      <c r="CY68" s="112" t="s">
        <v>226</v>
      </c>
      <c r="CZ68" s="112" t="s">
        <v>227</v>
      </c>
      <c r="DA68" s="112" t="s">
        <v>228</v>
      </c>
      <c r="DB68" s="112" t="s">
        <v>229</v>
      </c>
      <c r="DC68" s="112"/>
      <c r="DD68" s="238">
        <f t="shared" ca="1" si="116"/>
        <v>0</v>
      </c>
      <c r="DE68" s="238">
        <f t="shared" ca="1" si="108"/>
        <v>0</v>
      </c>
      <c r="DF68" s="112"/>
      <c r="DG68" s="238"/>
      <c r="DH68" s="238"/>
      <c r="DI68" s="112"/>
      <c r="DJ68" s="238"/>
      <c r="DK68" s="112">
        <f t="shared" ca="1" si="58"/>
        <v>40431</v>
      </c>
      <c r="DL68" s="278">
        <f t="shared" ca="1" si="129"/>
        <v>49</v>
      </c>
      <c r="DM68" s="245">
        <f t="shared" ref="DM68:DP68" ca="1" si="183">DM619</f>
        <v>40431</v>
      </c>
      <c r="DN68" s="245">
        <f t="shared" ca="1" si="183"/>
        <v>40543</v>
      </c>
      <c r="DO68" s="245">
        <f t="shared" ca="1" si="183"/>
        <v>9</v>
      </c>
      <c r="DP68" s="245">
        <f t="shared" ca="1" si="183"/>
        <v>24</v>
      </c>
      <c r="DQ68" s="281">
        <f t="shared" ca="1" si="131"/>
        <v>113</v>
      </c>
      <c r="DR68" s="278">
        <f t="shared" ca="1" si="132"/>
        <v>0</v>
      </c>
      <c r="DS68" s="244">
        <f t="shared" ca="1" si="60"/>
        <v>23567.01</v>
      </c>
      <c r="DT68" s="244">
        <f t="shared" ca="1" si="61"/>
        <v>21437.23</v>
      </c>
      <c r="DU68" s="244">
        <f t="shared" ca="1" si="133"/>
        <v>247.26</v>
      </c>
      <c r="DV68" s="244" t="str">
        <f t="shared" ca="1" si="134"/>
        <v>9/14 anni</v>
      </c>
      <c r="DW68" s="244"/>
      <c r="DX68" s="244">
        <f t="shared" ca="1" si="106"/>
        <v>9</v>
      </c>
      <c r="EA68" s="244">
        <f t="shared" ca="1" si="62"/>
        <v>2</v>
      </c>
      <c r="EB68" s="278">
        <f ca="1">VLOOKUP(DM68,Foglio1!$AB$31:$AN$261,13)-6+EA68</f>
        <v>180</v>
      </c>
      <c r="EC68" s="244"/>
      <c r="ED68" s="244">
        <f t="shared" ca="1" si="140"/>
        <v>0</v>
      </c>
      <c r="EE68" s="244">
        <f t="shared" ca="1" si="141"/>
        <v>15069.97</v>
      </c>
      <c r="EF68" s="244">
        <f t="shared" ca="1" si="142"/>
        <v>0</v>
      </c>
      <c r="EG68" s="244">
        <f t="shared" ca="1" si="143"/>
        <v>0</v>
      </c>
      <c r="EH68" s="244">
        <f t="shared" ca="1" si="144"/>
        <v>6384.11</v>
      </c>
      <c r="EI68" s="244">
        <f t="shared" ca="1" si="145"/>
        <v>144.93</v>
      </c>
      <c r="EJ68" s="244">
        <f t="shared" ca="1" si="146"/>
        <v>1787.84</v>
      </c>
      <c r="EK68" s="244">
        <f t="shared" ca="1" si="147"/>
        <v>0</v>
      </c>
      <c r="EL68" s="244">
        <f t="shared" ca="1" si="148"/>
        <v>0</v>
      </c>
      <c r="EM68" s="244">
        <f t="shared" ca="1" si="149"/>
        <v>180</v>
      </c>
      <c r="EN68" s="244">
        <f t="shared" ca="1" si="150"/>
        <v>0</v>
      </c>
      <c r="EO68" s="244">
        <f t="shared" ca="1" si="151"/>
        <v>0</v>
      </c>
      <c r="EP68" s="244">
        <f t="shared" ca="1" si="152"/>
        <v>1968</v>
      </c>
      <c r="EQ68" s="244">
        <f t="shared" ca="1" si="153"/>
        <v>0</v>
      </c>
      <c r="ER68" s="244"/>
      <c r="EW68" s="244">
        <v>0</v>
      </c>
      <c r="EX68" s="278">
        <f ca="1">VLOOKUP(DM68,Foglio1!$AB$31:$AN$261,13)-6+EW68</f>
        <v>178</v>
      </c>
      <c r="EY68" s="244"/>
      <c r="EZ68" s="244">
        <v>0</v>
      </c>
      <c r="FA68" s="244">
        <f t="shared" ca="1" si="156"/>
        <v>12940.19</v>
      </c>
      <c r="FB68" s="244">
        <f t="shared" ca="1" si="157"/>
        <v>0</v>
      </c>
      <c r="FC68" s="244">
        <f t="shared" ca="1" si="158"/>
        <v>0</v>
      </c>
      <c r="FD68" s="244">
        <f t="shared" ca="1" si="159"/>
        <v>6384.11</v>
      </c>
      <c r="FE68" s="244">
        <f t="shared" ca="1" si="160"/>
        <v>144.93</v>
      </c>
      <c r="FF68" s="244">
        <f t="shared" ca="1" si="161"/>
        <v>1610.36</v>
      </c>
      <c r="FG68" s="244">
        <f t="shared" ca="1" si="162"/>
        <v>0</v>
      </c>
      <c r="FH68" s="244">
        <f t="shared" ca="1" si="163"/>
        <v>0</v>
      </c>
      <c r="FI68" s="244">
        <f t="shared" ca="1" si="164"/>
        <v>178</v>
      </c>
      <c r="FJ68" s="244">
        <f t="shared" ca="1" si="165"/>
        <v>0</v>
      </c>
      <c r="FK68" s="244">
        <f t="shared" ca="1" si="166"/>
        <v>0</v>
      </c>
      <c r="FL68" s="244">
        <f t="shared" ca="1" si="167"/>
        <v>1968</v>
      </c>
      <c r="FM68" s="244">
        <f t="shared" ca="1" si="154"/>
        <v>0</v>
      </c>
      <c r="FN68" s="244"/>
    </row>
    <row r="69" spans="5:170" x14ac:dyDescent="0.25">
      <c r="E69" s="244"/>
      <c r="F69" s="240" t="str">
        <f>IF(fronttd!E71="","",fronttd!E71)</f>
        <v/>
      </c>
      <c r="G69" s="240" t="str">
        <f>IF(fronttd!F71="","",fronttd!F71)</f>
        <v/>
      </c>
      <c r="H69" s="380">
        <f>fronttd!G71</f>
        <v>0</v>
      </c>
      <c r="I69" s="380">
        <f>fronttd!H71</f>
        <v>0</v>
      </c>
      <c r="J69">
        <f t="shared" si="75"/>
        <v>24</v>
      </c>
      <c r="L69">
        <f t="shared" si="76"/>
        <v>69</v>
      </c>
      <c r="O69" s="238">
        <f t="shared" si="77"/>
        <v>69</v>
      </c>
      <c r="R69" s="112" t="str">
        <f t="shared" si="39"/>
        <v/>
      </c>
      <c r="S69" s="238" t="e">
        <f t="shared" ca="1" si="40"/>
        <v>#N/A</v>
      </c>
      <c r="T69" s="112" t="e">
        <f t="shared" ca="1" si="86"/>
        <v>#N/A</v>
      </c>
      <c r="U69" s="112" t="e">
        <f t="shared" ca="1" si="87"/>
        <v>#N/A</v>
      </c>
      <c r="V69" s="112" t="e">
        <f t="shared" ca="1" si="88"/>
        <v>#N/A</v>
      </c>
      <c r="W69" s="112" t="e">
        <f t="shared" ca="1" si="89"/>
        <v>#N/A</v>
      </c>
      <c r="X69" s="112" t="str">
        <f t="shared" si="41"/>
        <v/>
      </c>
      <c r="Y69" s="112"/>
      <c r="Z69" s="112"/>
      <c r="AA69" s="335" t="str">
        <f t="shared" si="42"/>
        <v/>
      </c>
      <c r="AB69" s="335" t="e">
        <f t="shared" ca="1" si="90"/>
        <v>#N/A</v>
      </c>
      <c r="AC69" s="335" t="e">
        <f t="shared" ca="1" si="91"/>
        <v>#N/A</v>
      </c>
      <c r="AD69" s="335" t="e">
        <f t="shared" ca="1" si="92"/>
        <v>#N/A</v>
      </c>
      <c r="AE69" s="335" t="e">
        <f t="shared" ca="1" si="93"/>
        <v>#N/A</v>
      </c>
      <c r="AF69" s="335" t="str">
        <f t="shared" si="43"/>
        <v/>
      </c>
      <c r="AG69" s="238">
        <f>AG68</f>
        <v>29</v>
      </c>
      <c r="AH69" s="112">
        <f ca="1">AI68+1</f>
        <v>37201</v>
      </c>
      <c r="AI69" s="112">
        <f ca="1">INDIRECT(CONCATENATE("AF",AG65))</f>
        <v>37200</v>
      </c>
      <c r="AJ69" s="112">
        <f t="shared" ca="1" si="125"/>
        <v>37200</v>
      </c>
      <c r="AK69" s="112">
        <f t="shared" ca="1" si="169"/>
        <v>37200</v>
      </c>
      <c r="AL69" s="238">
        <f t="shared" ca="1" si="127"/>
        <v>0</v>
      </c>
      <c r="AM69" s="112">
        <f t="shared" ca="1" si="118"/>
        <v>100000</v>
      </c>
      <c r="AN69" s="112">
        <f t="shared" ca="1" si="84"/>
        <v>100000</v>
      </c>
      <c r="AO69" s="114">
        <f t="shared" ca="1" si="46"/>
        <v>18</v>
      </c>
      <c r="AP69" s="114">
        <f t="shared" ca="1" si="47"/>
        <v>24</v>
      </c>
      <c r="AQ69" s="112"/>
      <c r="AR69" s="238">
        <f t="shared" si="78"/>
        <v>69</v>
      </c>
      <c r="AS69" s="112"/>
      <c r="AT69" s="112"/>
      <c r="AU69" s="283">
        <f t="shared" si="79"/>
        <v>50</v>
      </c>
      <c r="AV69" s="284">
        <f t="shared" ca="1" si="48"/>
        <v>41184</v>
      </c>
      <c r="AW69" s="284">
        <f t="shared" ca="1" si="119"/>
        <v>41196</v>
      </c>
      <c r="AX69" s="285">
        <f t="shared" ca="1" si="120"/>
        <v>18</v>
      </c>
      <c r="AY69" s="285">
        <f t="shared" ca="1" si="51"/>
        <v>24</v>
      </c>
      <c r="AZ69" s="282"/>
      <c r="BD69" s="114">
        <f t="shared" si="80"/>
        <v>1</v>
      </c>
      <c r="BE69" s="112">
        <f t="shared" si="54"/>
        <v>100000</v>
      </c>
      <c r="BH69" s="238">
        <f t="shared" si="81"/>
        <v>50</v>
      </c>
      <c r="BI69" s="245" t="str">
        <f t="shared" si="55"/>
        <v/>
      </c>
      <c r="BJ69" s="281">
        <f t="shared" ca="1" si="96"/>
        <v>16</v>
      </c>
      <c r="BK69" s="245">
        <f t="shared" ca="1" si="56"/>
        <v>41197</v>
      </c>
      <c r="BL69" s="245">
        <f t="shared" ca="1" si="57"/>
        <v>41239</v>
      </c>
      <c r="BM69" s="244"/>
      <c r="BN69" s="245">
        <f t="shared" ca="1" si="97"/>
        <v>41239</v>
      </c>
      <c r="BQ69" s="245"/>
      <c r="BR69" s="245"/>
      <c r="BS69" s="245"/>
      <c r="BT69" s="245"/>
      <c r="BU69" s="245"/>
      <c r="BV69" s="245"/>
      <c r="BY69" s="245"/>
      <c r="BZ69" s="245"/>
      <c r="CA69" s="245"/>
      <c r="CB69" s="245"/>
      <c r="CC69" s="245"/>
      <c r="CD69" s="245"/>
      <c r="CE69" s="245"/>
      <c r="CF69" s="245"/>
      <c r="CG69" s="245"/>
      <c r="CH69" s="245"/>
      <c r="CL69" s="112"/>
      <c r="CM69" s="112"/>
      <c r="CP69" s="112"/>
      <c r="CQ69" s="112"/>
      <c r="CR69" s="238"/>
      <c r="CS69" s="238"/>
      <c r="CT69" s="112"/>
      <c r="CU69" s="112"/>
      <c r="CV69" s="112"/>
      <c r="CW69" s="112" t="s">
        <v>224</v>
      </c>
      <c r="CX69" s="112" t="s">
        <v>225</v>
      </c>
      <c r="CY69" s="112" t="s">
        <v>226</v>
      </c>
      <c r="CZ69" s="112" t="s">
        <v>227</v>
      </c>
      <c r="DA69" s="112" t="s">
        <v>228</v>
      </c>
      <c r="DB69" s="112" t="s">
        <v>229</v>
      </c>
      <c r="DC69" s="112"/>
      <c r="DD69" s="238">
        <f t="shared" ca="1" si="116"/>
        <v>0</v>
      </c>
      <c r="DE69" s="238">
        <f t="shared" ca="1" si="108"/>
        <v>0</v>
      </c>
      <c r="DF69" s="112"/>
      <c r="DG69" s="238"/>
      <c r="DH69" s="238"/>
      <c r="DI69" s="112"/>
      <c r="DJ69" s="238"/>
      <c r="DK69" s="112">
        <f t="shared" ca="1" si="58"/>
        <v>40544</v>
      </c>
      <c r="DL69" s="278">
        <f t="shared" ca="1" si="129"/>
        <v>50</v>
      </c>
      <c r="DM69" s="245">
        <f t="shared" ref="DM69:DP69" ca="1" si="184">DM620</f>
        <v>40544</v>
      </c>
      <c r="DN69" s="245">
        <f t="shared" ca="1" si="184"/>
        <v>40544</v>
      </c>
      <c r="DO69" s="245">
        <f t="shared" ca="1" si="184"/>
        <v>7</v>
      </c>
      <c r="DP69" s="245">
        <f t="shared" ca="1" si="184"/>
        <v>24</v>
      </c>
      <c r="DQ69" s="281">
        <f t="shared" ca="1" si="131"/>
        <v>1</v>
      </c>
      <c r="DR69" s="278">
        <f t="shared" ca="1" si="132"/>
        <v>0</v>
      </c>
      <c r="DS69" s="244">
        <f t="shared" ca="1" si="60"/>
        <v>23567.01</v>
      </c>
      <c r="DT69" s="244">
        <f t="shared" ca="1" si="61"/>
        <v>21437.23</v>
      </c>
      <c r="DU69" s="244">
        <f t="shared" ca="1" si="133"/>
        <v>1.7</v>
      </c>
      <c r="DV69" s="244" t="str">
        <f t="shared" ca="1" si="134"/>
        <v>9/14 anni</v>
      </c>
      <c r="DW69" s="244"/>
      <c r="DX69" s="244">
        <f t="shared" ca="1" si="106"/>
        <v>9</v>
      </c>
      <c r="EA69" s="244">
        <f t="shared" ca="1" si="62"/>
        <v>2</v>
      </c>
      <c r="EB69" s="278">
        <f ca="1">VLOOKUP(DM69,Foglio1!$AB$31:$AN$261,13)-6+EA69</f>
        <v>187</v>
      </c>
      <c r="EC69" s="244"/>
      <c r="ED69" s="244">
        <f t="shared" ca="1" si="140"/>
        <v>0</v>
      </c>
      <c r="EE69" s="244">
        <f t="shared" ca="1" si="141"/>
        <v>15069.97</v>
      </c>
      <c r="EF69" s="244">
        <f t="shared" ca="1" si="142"/>
        <v>0</v>
      </c>
      <c r="EG69" s="244">
        <f t="shared" ca="1" si="143"/>
        <v>0</v>
      </c>
      <c r="EH69" s="244">
        <f t="shared" ca="1" si="144"/>
        <v>6384.11</v>
      </c>
      <c r="EI69" s="244">
        <f t="shared" ca="1" si="145"/>
        <v>144.93</v>
      </c>
      <c r="EJ69" s="244">
        <f t="shared" ca="1" si="146"/>
        <v>1799.92</v>
      </c>
      <c r="EK69" s="244">
        <f t="shared" ca="1" si="147"/>
        <v>0</v>
      </c>
      <c r="EL69" s="244">
        <f t="shared" ca="1" si="148"/>
        <v>0</v>
      </c>
      <c r="EM69" s="244">
        <f t="shared" ca="1" si="149"/>
        <v>187</v>
      </c>
      <c r="EN69" s="244">
        <f t="shared" ca="1" si="150"/>
        <v>0</v>
      </c>
      <c r="EO69" s="244">
        <f t="shared" ca="1" si="151"/>
        <v>0</v>
      </c>
      <c r="EP69" s="244">
        <f t="shared" ca="1" si="152"/>
        <v>1968</v>
      </c>
      <c r="EQ69" s="244">
        <f t="shared" ca="1" si="153"/>
        <v>0</v>
      </c>
      <c r="ER69" s="244"/>
      <c r="EW69" s="244">
        <v>0</v>
      </c>
      <c r="EX69" s="278">
        <f ca="1">VLOOKUP(DM69,Foglio1!$AB$31:$AN$261,13)-6+EW69</f>
        <v>185</v>
      </c>
      <c r="EY69" s="244"/>
      <c r="EZ69" s="244">
        <v>0</v>
      </c>
      <c r="FA69" s="244">
        <f t="shared" ca="1" si="156"/>
        <v>12940.19</v>
      </c>
      <c r="FB69" s="244">
        <f t="shared" ca="1" si="157"/>
        <v>0</v>
      </c>
      <c r="FC69" s="244">
        <f t="shared" ca="1" si="158"/>
        <v>0</v>
      </c>
      <c r="FD69" s="244">
        <f t="shared" ca="1" si="159"/>
        <v>6384.11</v>
      </c>
      <c r="FE69" s="244">
        <f t="shared" ca="1" si="160"/>
        <v>144.93</v>
      </c>
      <c r="FF69" s="244">
        <f t="shared" ca="1" si="161"/>
        <v>1622.44</v>
      </c>
      <c r="FG69" s="244">
        <f t="shared" ca="1" si="162"/>
        <v>0</v>
      </c>
      <c r="FH69" s="244">
        <f t="shared" ca="1" si="163"/>
        <v>0</v>
      </c>
      <c r="FI69" s="244">
        <f t="shared" ca="1" si="164"/>
        <v>185</v>
      </c>
      <c r="FJ69" s="244">
        <f t="shared" ca="1" si="165"/>
        <v>0</v>
      </c>
      <c r="FK69" s="244">
        <f t="shared" ca="1" si="166"/>
        <v>0</v>
      </c>
      <c r="FL69" s="244">
        <f t="shared" ca="1" si="167"/>
        <v>1968</v>
      </c>
      <c r="FM69" s="244">
        <f t="shared" ca="1" si="154"/>
        <v>0</v>
      </c>
      <c r="FN69" s="244"/>
    </row>
    <row r="70" spans="5:170" x14ac:dyDescent="0.25">
      <c r="E70" s="244"/>
      <c r="F70" s="240" t="str">
        <f>IF(fronttd!E72="","",fronttd!E72)</f>
        <v/>
      </c>
      <c r="G70" s="240" t="str">
        <f>IF(fronttd!F72="","",fronttd!F72)</f>
        <v/>
      </c>
      <c r="H70" s="380">
        <f>fronttd!G72</f>
        <v>0</v>
      </c>
      <c r="I70" s="380">
        <f>fronttd!H72</f>
        <v>0</v>
      </c>
      <c r="J70">
        <f t="shared" si="75"/>
        <v>24</v>
      </c>
      <c r="L70">
        <f t="shared" si="76"/>
        <v>70</v>
      </c>
      <c r="O70" s="238">
        <f t="shared" si="77"/>
        <v>70</v>
      </c>
      <c r="R70" s="112" t="str">
        <f t="shared" si="39"/>
        <v/>
      </c>
      <c r="S70" s="238" t="e">
        <f t="shared" ca="1" si="40"/>
        <v>#N/A</v>
      </c>
      <c r="T70" s="112" t="e">
        <f t="shared" ca="1" si="86"/>
        <v>#N/A</v>
      </c>
      <c r="U70" s="112" t="e">
        <f t="shared" ca="1" si="87"/>
        <v>#N/A</v>
      </c>
      <c r="V70" s="112" t="e">
        <f t="shared" ca="1" si="88"/>
        <v>#N/A</v>
      </c>
      <c r="W70" s="112" t="e">
        <f t="shared" ca="1" si="89"/>
        <v>#N/A</v>
      </c>
      <c r="X70" s="112" t="str">
        <f t="shared" si="41"/>
        <v/>
      </c>
      <c r="Y70" s="112"/>
      <c r="Z70" s="112"/>
      <c r="AA70" s="335" t="str">
        <f t="shared" si="42"/>
        <v/>
      </c>
      <c r="AB70" s="335" t="e">
        <f t="shared" ca="1" si="90"/>
        <v>#N/A</v>
      </c>
      <c r="AC70" s="335" t="e">
        <f t="shared" ca="1" si="91"/>
        <v>#N/A</v>
      </c>
      <c r="AD70" s="335" t="e">
        <f t="shared" ca="1" si="92"/>
        <v>#N/A</v>
      </c>
      <c r="AE70" s="335" t="e">
        <f t="shared" ca="1" si="93"/>
        <v>#N/A</v>
      </c>
      <c r="AF70" s="335" t="str">
        <f t="shared" si="43"/>
        <v/>
      </c>
      <c r="AG70" s="238">
        <f>AG69+1</f>
        <v>30</v>
      </c>
      <c r="AH70" s="112">
        <f ca="1">INDIRECT(CONCATENATE("AA",AG70))</f>
        <v>37167</v>
      </c>
      <c r="AI70" s="112">
        <f ca="1">IF(            INDIRECT(CONCATENATE( "AB",AG70))&lt;100000,       INDIRECT(CONCATENATE("AB",AG70))  -1,IF(   INDIRECT(CONCATENATE("AC",AG70))&lt;100000,   INDIRECT(CONCATENATE("AC",AG70))-1,IF(   INDIRECT(CONCATENATE("AD", AG70))&lt;100000, INDIRECT(CONCATENATE("AD",AG70))-1,IF(   INDIRECT(CONCATENATE("AE",AG70))&lt;100000,  INDIRECT(CONCATENATE("AE",G70)),INDIRECT(CONCATENATE("AF",AG70))                ))))</f>
        <v>37200</v>
      </c>
      <c r="AJ70" s="112">
        <f t="shared" ca="1" si="125"/>
        <v>37200</v>
      </c>
      <c r="AK70" s="112">
        <f t="shared" ca="1" si="169"/>
        <v>37200</v>
      </c>
      <c r="AL70" s="238">
        <f t="shared" ca="1" si="127"/>
        <v>0</v>
      </c>
      <c r="AM70" s="112">
        <f t="shared" ca="1" si="118"/>
        <v>100000</v>
      </c>
      <c r="AN70" s="112">
        <f t="shared" ca="1" si="84"/>
        <v>100000</v>
      </c>
      <c r="AO70" s="114">
        <f t="shared" ca="1" si="46"/>
        <v>18</v>
      </c>
      <c r="AP70" s="114">
        <f t="shared" ca="1" si="47"/>
        <v>24</v>
      </c>
      <c r="AQ70" s="112"/>
      <c r="AR70" s="238">
        <f t="shared" si="78"/>
        <v>70</v>
      </c>
      <c r="AS70" s="112"/>
      <c r="AT70" s="112"/>
      <c r="AU70" s="283">
        <f t="shared" ref="AU70:AU133" si="185">AU69+1</f>
        <v>51</v>
      </c>
      <c r="AV70" s="284">
        <f t="shared" ca="1" si="48"/>
        <v>41197</v>
      </c>
      <c r="AW70" s="284">
        <f t="shared" ca="1" si="119"/>
        <v>41239</v>
      </c>
      <c r="AX70" s="285">
        <f t="shared" ca="1" si="120"/>
        <v>18</v>
      </c>
      <c r="AY70" s="285">
        <f t="shared" ref="AY70:AY133" ca="1" si="186">VLOOKUP(AV70,$AM$20:$AP$564,4,FALSE)</f>
        <v>24</v>
      </c>
      <c r="AZ70" s="282"/>
      <c r="BD70" s="114">
        <f t="shared" si="80"/>
        <v>1</v>
      </c>
      <c r="BE70" s="112">
        <f t="shared" si="54"/>
        <v>100000</v>
      </c>
      <c r="BH70" s="238">
        <f t="shared" si="81"/>
        <v>51</v>
      </c>
      <c r="BI70" s="245" t="str">
        <f t="shared" si="55"/>
        <v/>
      </c>
      <c r="BJ70" s="281">
        <f t="shared" ca="1" si="96"/>
        <v>16</v>
      </c>
      <c r="BK70" s="245">
        <f t="shared" ca="1" si="56"/>
        <v>41240</v>
      </c>
      <c r="BL70" s="245">
        <f t="shared" ca="1" si="57"/>
        <v>41529</v>
      </c>
      <c r="BM70" s="244"/>
      <c r="BN70" s="245">
        <f t="shared" ca="1" si="97"/>
        <v>41471</v>
      </c>
      <c r="BQ70" s="245"/>
      <c r="BR70" s="245"/>
      <c r="BS70" s="245"/>
      <c r="BT70" s="245"/>
      <c r="BU70" s="245"/>
      <c r="BV70" s="245"/>
      <c r="BY70" s="245"/>
      <c r="BZ70" s="245"/>
      <c r="CA70" s="245"/>
      <c r="CB70" s="245"/>
      <c r="CC70" s="245"/>
      <c r="CD70" s="245"/>
      <c r="CE70" s="245"/>
      <c r="CF70" s="245"/>
      <c r="CG70" s="245"/>
      <c r="CH70" s="245"/>
      <c r="CL70" s="112"/>
      <c r="CM70" s="112"/>
      <c r="CP70" s="112"/>
      <c r="CQ70" s="112"/>
      <c r="CR70" s="238"/>
      <c r="CS70" s="238"/>
      <c r="CT70" s="112"/>
      <c r="CU70" s="112"/>
      <c r="CV70" s="112"/>
      <c r="CW70" s="112" t="s">
        <v>224</v>
      </c>
      <c r="CX70" s="112" t="s">
        <v>225</v>
      </c>
      <c r="CY70" s="112" t="s">
        <v>226</v>
      </c>
      <c r="CZ70" s="112" t="s">
        <v>227</v>
      </c>
      <c r="DA70" s="112" t="s">
        <v>228</v>
      </c>
      <c r="DB70" s="112" t="s">
        <v>229</v>
      </c>
      <c r="DC70" s="112"/>
      <c r="DD70" s="238">
        <f t="shared" ca="1" si="116"/>
        <v>0</v>
      </c>
      <c r="DE70" s="238">
        <f t="shared" ca="1" si="108"/>
        <v>0</v>
      </c>
      <c r="DF70" s="112"/>
      <c r="DG70" s="238"/>
      <c r="DH70" s="238"/>
      <c r="DI70" s="112"/>
      <c r="DJ70" s="238"/>
      <c r="DK70" s="112">
        <f t="shared" ca="1" si="58"/>
        <v>40544</v>
      </c>
      <c r="DL70" s="278">
        <f t="shared" ca="1" si="129"/>
        <v>51</v>
      </c>
      <c r="DM70" s="245">
        <f t="shared" ref="DM70:DP70" ca="1" si="187">DM621</f>
        <v>40544</v>
      </c>
      <c r="DN70" s="245">
        <f t="shared" ca="1" si="187"/>
        <v>40544</v>
      </c>
      <c r="DO70" s="245">
        <f t="shared" ca="1" si="187"/>
        <v>7</v>
      </c>
      <c r="DP70" s="245">
        <f t="shared" ca="1" si="187"/>
        <v>24</v>
      </c>
      <c r="DQ70" s="281">
        <f t="shared" ca="1" si="131"/>
        <v>1</v>
      </c>
      <c r="DR70" s="278">
        <f t="shared" ca="1" si="132"/>
        <v>0</v>
      </c>
      <c r="DS70" s="244">
        <f t="shared" ca="1" si="60"/>
        <v>23567.01</v>
      </c>
      <c r="DT70" s="244">
        <f t="shared" ca="1" si="61"/>
        <v>21437.23</v>
      </c>
      <c r="DU70" s="244">
        <f t="shared" ca="1" si="133"/>
        <v>1.7</v>
      </c>
      <c r="DV70" s="244" t="str">
        <f t="shared" ca="1" si="134"/>
        <v>9/14 anni</v>
      </c>
      <c r="DW70" s="244"/>
      <c r="DX70" s="244">
        <f t="shared" ca="1" si="106"/>
        <v>9</v>
      </c>
      <c r="EA70" s="244">
        <f t="shared" ca="1" si="62"/>
        <v>2</v>
      </c>
      <c r="EB70" s="278">
        <f ca="1">VLOOKUP(DM70,Foglio1!$AB$31:$AN$261,13)-6+EA70</f>
        <v>187</v>
      </c>
      <c r="EC70" s="244"/>
      <c r="ED70" s="244">
        <f t="shared" ca="1" si="140"/>
        <v>0</v>
      </c>
      <c r="EE70" s="244">
        <f t="shared" ca="1" si="141"/>
        <v>15069.97</v>
      </c>
      <c r="EF70" s="244">
        <f t="shared" ca="1" si="142"/>
        <v>0</v>
      </c>
      <c r="EG70" s="244">
        <f t="shared" ca="1" si="143"/>
        <v>0</v>
      </c>
      <c r="EH70" s="244">
        <f t="shared" ca="1" si="144"/>
        <v>6384.11</v>
      </c>
      <c r="EI70" s="244">
        <f t="shared" ca="1" si="145"/>
        <v>144.93</v>
      </c>
      <c r="EJ70" s="244">
        <f t="shared" ca="1" si="146"/>
        <v>1799.92</v>
      </c>
      <c r="EK70" s="244">
        <f t="shared" ca="1" si="147"/>
        <v>0</v>
      </c>
      <c r="EL70" s="244">
        <f t="shared" ca="1" si="148"/>
        <v>0</v>
      </c>
      <c r="EM70" s="244">
        <f t="shared" ca="1" si="149"/>
        <v>187</v>
      </c>
      <c r="EN70" s="244">
        <f t="shared" ca="1" si="150"/>
        <v>0</v>
      </c>
      <c r="EO70" s="244">
        <f t="shared" ca="1" si="151"/>
        <v>0</v>
      </c>
      <c r="EP70" s="244">
        <f t="shared" ca="1" si="152"/>
        <v>1968</v>
      </c>
      <c r="EQ70" s="244">
        <f t="shared" ca="1" si="153"/>
        <v>0</v>
      </c>
      <c r="ER70" s="244"/>
      <c r="EW70" s="244">
        <v>0</v>
      </c>
      <c r="EX70" s="278">
        <f ca="1">VLOOKUP(DM70,Foglio1!$AB$31:$AN$261,13)-6+EW70</f>
        <v>185</v>
      </c>
      <c r="EY70" s="244"/>
      <c r="EZ70" s="244">
        <v>0</v>
      </c>
      <c r="FA70" s="244">
        <f t="shared" ca="1" si="156"/>
        <v>12940.19</v>
      </c>
      <c r="FB70" s="244">
        <f t="shared" ca="1" si="157"/>
        <v>0</v>
      </c>
      <c r="FC70" s="244">
        <f t="shared" ca="1" si="158"/>
        <v>0</v>
      </c>
      <c r="FD70" s="244">
        <f t="shared" ca="1" si="159"/>
        <v>6384.11</v>
      </c>
      <c r="FE70" s="244">
        <f t="shared" ca="1" si="160"/>
        <v>144.93</v>
      </c>
      <c r="FF70" s="244">
        <f t="shared" ca="1" si="161"/>
        <v>1622.44</v>
      </c>
      <c r="FG70" s="244">
        <f t="shared" ca="1" si="162"/>
        <v>0</v>
      </c>
      <c r="FH70" s="244">
        <f t="shared" ca="1" si="163"/>
        <v>0</v>
      </c>
      <c r="FI70" s="244">
        <f t="shared" ca="1" si="164"/>
        <v>185</v>
      </c>
      <c r="FJ70" s="244">
        <f t="shared" ca="1" si="165"/>
        <v>0</v>
      </c>
      <c r="FK70" s="244">
        <f t="shared" ca="1" si="166"/>
        <v>0</v>
      </c>
      <c r="FL70" s="244">
        <f t="shared" ca="1" si="167"/>
        <v>1968</v>
      </c>
      <c r="FM70" s="244">
        <f t="shared" ca="1" si="154"/>
        <v>0</v>
      </c>
      <c r="FN70" s="244"/>
    </row>
    <row r="71" spans="5:170" x14ac:dyDescent="0.25">
      <c r="E71" s="244"/>
      <c r="F71" s="240" t="str">
        <f>IF(fronttd!E73="","",fronttd!E73)</f>
        <v/>
      </c>
      <c r="G71" s="240" t="str">
        <f>IF(fronttd!F73="","",fronttd!F73)</f>
        <v/>
      </c>
      <c r="H71" s="380">
        <f>fronttd!G73</f>
        <v>0</v>
      </c>
      <c r="I71" s="380">
        <f>fronttd!H73</f>
        <v>0</v>
      </c>
      <c r="J71">
        <f t="shared" si="75"/>
        <v>24</v>
      </c>
      <c r="L71">
        <f t="shared" si="76"/>
        <v>71</v>
      </c>
      <c r="O71" s="238">
        <f t="shared" si="77"/>
        <v>71</v>
      </c>
      <c r="R71" s="112" t="str">
        <f t="shared" si="39"/>
        <v/>
      </c>
      <c r="S71" s="238" t="e">
        <f t="shared" ca="1" si="40"/>
        <v>#N/A</v>
      </c>
      <c r="T71" s="112" t="e">
        <f t="shared" ca="1" si="86"/>
        <v>#N/A</v>
      </c>
      <c r="U71" s="112" t="e">
        <f t="shared" ca="1" si="87"/>
        <v>#N/A</v>
      </c>
      <c r="V71" s="112" t="e">
        <f t="shared" ca="1" si="88"/>
        <v>#N/A</v>
      </c>
      <c r="W71" s="112" t="e">
        <f t="shared" ca="1" si="89"/>
        <v>#N/A</v>
      </c>
      <c r="X71" s="112" t="str">
        <f t="shared" si="41"/>
        <v/>
      </c>
      <c r="Y71" s="112"/>
      <c r="Z71" s="112"/>
      <c r="AA71" s="335" t="str">
        <f t="shared" si="42"/>
        <v/>
      </c>
      <c r="AB71" s="335" t="e">
        <f t="shared" ca="1" si="90"/>
        <v>#N/A</v>
      </c>
      <c r="AC71" s="335" t="e">
        <f t="shared" ca="1" si="91"/>
        <v>#N/A</v>
      </c>
      <c r="AD71" s="335" t="e">
        <f t="shared" ca="1" si="92"/>
        <v>#N/A</v>
      </c>
      <c r="AE71" s="335" t="e">
        <f t="shared" ca="1" si="93"/>
        <v>#N/A</v>
      </c>
      <c r="AF71" s="335" t="str">
        <f t="shared" si="43"/>
        <v/>
      </c>
      <c r="AG71" s="238">
        <f>AG70</f>
        <v>30</v>
      </c>
      <c r="AH71" s="112">
        <f ca="1">AI70+1</f>
        <v>37201</v>
      </c>
      <c r="AI71" s="112">
        <f ca="1">IF(INDIRECT(CONCATENATE("AC",AG70))&lt;100000,INDIRECT(CONCATENATE("AC",AG70))-1,IF(INDIRECT(CONCATENATE("AD",AG70))&lt;100000,INDIRECT(CONCATENATE("AD",AG70))-1,IF(INDIRECT(CONCATENATE("AE",AG70))&lt;100000,INDIRECT(CONCATENATE("AE",G70)),INDIRECT(CONCATENATE("AF",AG70)))))</f>
        <v>37200</v>
      </c>
      <c r="AJ71" s="112">
        <f t="shared" ca="1" si="125"/>
        <v>37200</v>
      </c>
      <c r="AK71" s="112">
        <f t="shared" ca="1" si="169"/>
        <v>37200</v>
      </c>
      <c r="AL71" s="238">
        <f t="shared" ca="1" si="127"/>
        <v>0</v>
      </c>
      <c r="AM71" s="112">
        <f t="shared" ca="1" si="118"/>
        <v>100000</v>
      </c>
      <c r="AN71" s="112">
        <f t="shared" ca="1" si="84"/>
        <v>100000</v>
      </c>
      <c r="AO71" s="114">
        <f t="shared" ca="1" si="46"/>
        <v>18</v>
      </c>
      <c r="AP71" s="114">
        <f t="shared" ca="1" si="47"/>
        <v>24</v>
      </c>
      <c r="AQ71" s="112"/>
      <c r="AR71" s="238">
        <f t="shared" si="78"/>
        <v>71</v>
      </c>
      <c r="AS71" s="112"/>
      <c r="AT71" s="112"/>
      <c r="AU71" s="283">
        <f t="shared" si="185"/>
        <v>52</v>
      </c>
      <c r="AV71" s="284">
        <f t="shared" ca="1" si="48"/>
        <v>41240</v>
      </c>
      <c r="AW71" s="284">
        <f t="shared" ca="1" si="119"/>
        <v>41471</v>
      </c>
      <c r="AX71" s="285">
        <f t="shared" ca="1" si="120"/>
        <v>18</v>
      </c>
      <c r="AY71" s="285">
        <f t="shared" ca="1" si="186"/>
        <v>24</v>
      </c>
      <c r="AZ71" s="282"/>
      <c r="BD71" s="114">
        <f t="shared" si="80"/>
        <v>1</v>
      </c>
      <c r="BE71" s="112">
        <f t="shared" si="54"/>
        <v>100000</v>
      </c>
      <c r="BH71" s="238">
        <f t="shared" si="81"/>
        <v>52</v>
      </c>
      <c r="BI71" s="245" t="str">
        <f t="shared" si="55"/>
        <v/>
      </c>
      <c r="BJ71" s="281">
        <f t="shared" ca="1" si="96"/>
        <v>16</v>
      </c>
      <c r="BK71" s="245">
        <f t="shared" ca="1" si="56"/>
        <v>41530</v>
      </c>
      <c r="BL71" s="245">
        <f t="shared" ca="1" si="57"/>
        <v>41914</v>
      </c>
      <c r="BM71" s="244"/>
      <c r="BN71" s="245">
        <f t="shared" ca="1" si="97"/>
        <v>41882</v>
      </c>
      <c r="BQ71" s="245"/>
      <c r="BR71" s="245"/>
      <c r="BS71" s="245"/>
      <c r="BT71" s="245"/>
      <c r="BU71" s="245"/>
      <c r="BV71" s="245"/>
      <c r="BY71" s="245"/>
      <c r="BZ71" s="245"/>
      <c r="CA71" s="245"/>
      <c r="CB71" s="245"/>
      <c r="CC71" s="245"/>
      <c r="CD71" s="245"/>
      <c r="CE71" s="245"/>
      <c r="CF71" s="245"/>
      <c r="CG71" s="245"/>
      <c r="CH71" s="245"/>
      <c r="CL71" s="112"/>
      <c r="CM71" s="112"/>
      <c r="CP71" s="112"/>
      <c r="CQ71" s="112"/>
      <c r="CR71" s="238"/>
      <c r="CS71" s="238"/>
      <c r="CT71" s="112"/>
      <c r="CU71" s="112"/>
      <c r="CV71" s="112"/>
      <c r="CW71" s="112" t="s">
        <v>224</v>
      </c>
      <c r="CX71" s="112" t="s">
        <v>225</v>
      </c>
      <c r="CY71" s="112" t="s">
        <v>226</v>
      </c>
      <c r="CZ71" s="112" t="s">
        <v>227</v>
      </c>
      <c r="DA71" s="112" t="s">
        <v>228</v>
      </c>
      <c r="DB71" s="112" t="s">
        <v>229</v>
      </c>
      <c r="DC71" s="112"/>
      <c r="DD71" s="238">
        <f t="shared" ca="1" si="116"/>
        <v>0</v>
      </c>
      <c r="DE71" s="238">
        <f t="shared" ca="1" si="108"/>
        <v>0</v>
      </c>
      <c r="DF71" s="112"/>
      <c r="DG71" s="238"/>
      <c r="DH71" s="238"/>
      <c r="DI71" s="112"/>
      <c r="DJ71" s="238"/>
      <c r="DK71" s="112">
        <f t="shared" ca="1" si="58"/>
        <v>40544</v>
      </c>
      <c r="DL71" s="278">
        <f t="shared" ca="1" si="129"/>
        <v>52</v>
      </c>
      <c r="DM71" s="245">
        <f t="shared" ref="DM71:DP71" ca="1" si="188">DM622</f>
        <v>40544</v>
      </c>
      <c r="DN71" s="245">
        <f t="shared" ca="1" si="188"/>
        <v>40544</v>
      </c>
      <c r="DO71" s="245">
        <f t="shared" ca="1" si="188"/>
        <v>7</v>
      </c>
      <c r="DP71" s="245">
        <f t="shared" ca="1" si="188"/>
        <v>24</v>
      </c>
      <c r="DQ71" s="281">
        <f t="shared" ca="1" si="131"/>
        <v>1</v>
      </c>
      <c r="DR71" s="278">
        <f t="shared" ca="1" si="132"/>
        <v>0</v>
      </c>
      <c r="DS71" s="244">
        <f t="shared" ca="1" si="60"/>
        <v>23567.01</v>
      </c>
      <c r="DT71" s="244">
        <f t="shared" ca="1" si="61"/>
        <v>21437.23</v>
      </c>
      <c r="DU71" s="244">
        <f t="shared" ca="1" si="133"/>
        <v>1.7</v>
      </c>
      <c r="DV71" s="244" t="str">
        <f t="shared" ca="1" si="134"/>
        <v>9/14 anni</v>
      </c>
      <c r="DW71" s="244"/>
      <c r="DX71" s="244">
        <f t="shared" ca="1" si="106"/>
        <v>9</v>
      </c>
      <c r="EA71" s="244">
        <f t="shared" ca="1" si="62"/>
        <v>2</v>
      </c>
      <c r="EB71" s="278">
        <f ca="1">VLOOKUP(DM71,Foglio1!$AB$31:$AN$261,13)-6+EA71</f>
        <v>187</v>
      </c>
      <c r="EC71" s="244"/>
      <c r="ED71" s="244">
        <f t="shared" ca="1" si="140"/>
        <v>0</v>
      </c>
      <c r="EE71" s="244">
        <f t="shared" ca="1" si="141"/>
        <v>15069.97</v>
      </c>
      <c r="EF71" s="244">
        <f t="shared" ca="1" si="142"/>
        <v>0</v>
      </c>
      <c r="EG71" s="244">
        <f t="shared" ca="1" si="143"/>
        <v>0</v>
      </c>
      <c r="EH71" s="244">
        <f t="shared" ca="1" si="144"/>
        <v>6384.11</v>
      </c>
      <c r="EI71" s="244">
        <f t="shared" ca="1" si="145"/>
        <v>144.93</v>
      </c>
      <c r="EJ71" s="244">
        <f t="shared" ca="1" si="146"/>
        <v>1799.92</v>
      </c>
      <c r="EK71" s="244">
        <f t="shared" ca="1" si="147"/>
        <v>0</v>
      </c>
      <c r="EL71" s="244">
        <f t="shared" ca="1" si="148"/>
        <v>0</v>
      </c>
      <c r="EM71" s="244">
        <f t="shared" ca="1" si="149"/>
        <v>187</v>
      </c>
      <c r="EN71" s="244">
        <f t="shared" ca="1" si="150"/>
        <v>0</v>
      </c>
      <c r="EO71" s="244">
        <f t="shared" ca="1" si="151"/>
        <v>0</v>
      </c>
      <c r="EP71" s="244">
        <f t="shared" ca="1" si="152"/>
        <v>1968</v>
      </c>
      <c r="EQ71" s="244">
        <f t="shared" ca="1" si="153"/>
        <v>0</v>
      </c>
      <c r="ER71" s="244"/>
      <c r="EW71" s="244">
        <v>0</v>
      </c>
      <c r="EX71" s="278">
        <f ca="1">VLOOKUP(DM71,Foglio1!$AB$31:$AN$261,13)-6+EW71</f>
        <v>185</v>
      </c>
      <c r="EY71" s="244"/>
      <c r="EZ71" s="244">
        <v>0</v>
      </c>
      <c r="FA71" s="244">
        <f t="shared" ca="1" si="156"/>
        <v>12940.19</v>
      </c>
      <c r="FB71" s="244">
        <f t="shared" ca="1" si="157"/>
        <v>0</v>
      </c>
      <c r="FC71" s="244">
        <f t="shared" ca="1" si="158"/>
        <v>0</v>
      </c>
      <c r="FD71" s="244">
        <f t="shared" ca="1" si="159"/>
        <v>6384.11</v>
      </c>
      <c r="FE71" s="244">
        <f t="shared" ca="1" si="160"/>
        <v>144.93</v>
      </c>
      <c r="FF71" s="244">
        <f t="shared" ca="1" si="161"/>
        <v>1622.44</v>
      </c>
      <c r="FG71" s="244">
        <f t="shared" ca="1" si="162"/>
        <v>0</v>
      </c>
      <c r="FH71" s="244">
        <f t="shared" ca="1" si="163"/>
        <v>0</v>
      </c>
      <c r="FI71" s="244">
        <f t="shared" ca="1" si="164"/>
        <v>185</v>
      </c>
      <c r="FJ71" s="244">
        <f t="shared" ca="1" si="165"/>
        <v>0</v>
      </c>
      <c r="FK71" s="244">
        <f t="shared" ca="1" si="166"/>
        <v>0</v>
      </c>
      <c r="FL71" s="244">
        <f t="shared" ca="1" si="167"/>
        <v>1968</v>
      </c>
      <c r="FM71" s="244">
        <f t="shared" ca="1" si="154"/>
        <v>0</v>
      </c>
      <c r="FN71" s="244"/>
    </row>
    <row r="72" spans="5:170" x14ac:dyDescent="0.25">
      <c r="E72" s="244"/>
      <c r="F72" s="240" t="str">
        <f>IF(fronttd!E74="","",fronttd!E74)</f>
        <v/>
      </c>
      <c r="G72" s="240" t="str">
        <f>IF(fronttd!F74="","",fronttd!F74)</f>
        <v/>
      </c>
      <c r="H72" s="380">
        <f>fronttd!G74</f>
        <v>0</v>
      </c>
      <c r="I72" s="380">
        <f>fronttd!H74</f>
        <v>0</v>
      </c>
      <c r="J72">
        <f t="shared" si="75"/>
        <v>24</v>
      </c>
      <c r="L72">
        <f t="shared" si="76"/>
        <v>72</v>
      </c>
      <c r="O72" s="238">
        <f t="shared" si="77"/>
        <v>72</v>
      </c>
      <c r="R72" s="112" t="str">
        <f t="shared" si="39"/>
        <v/>
      </c>
      <c r="S72" s="238" t="e">
        <f t="shared" ca="1" si="40"/>
        <v>#N/A</v>
      </c>
      <c r="T72" s="112" t="e">
        <f t="shared" ca="1" si="86"/>
        <v>#N/A</v>
      </c>
      <c r="U72" s="112" t="e">
        <f t="shared" ca="1" si="87"/>
        <v>#N/A</v>
      </c>
      <c r="V72" s="112" t="e">
        <f t="shared" ca="1" si="88"/>
        <v>#N/A</v>
      </c>
      <c r="W72" s="112" t="e">
        <f t="shared" ca="1" si="89"/>
        <v>#N/A</v>
      </c>
      <c r="X72" s="112" t="str">
        <f t="shared" si="41"/>
        <v/>
      </c>
      <c r="Y72" s="112"/>
      <c r="Z72" s="112"/>
      <c r="AA72" s="335" t="str">
        <f t="shared" si="42"/>
        <v/>
      </c>
      <c r="AB72" s="335" t="e">
        <f t="shared" ca="1" si="90"/>
        <v>#N/A</v>
      </c>
      <c r="AC72" s="335" t="e">
        <f t="shared" ca="1" si="91"/>
        <v>#N/A</v>
      </c>
      <c r="AD72" s="335" t="e">
        <f t="shared" ca="1" si="92"/>
        <v>#N/A</v>
      </c>
      <c r="AE72" s="335" t="e">
        <f t="shared" ca="1" si="93"/>
        <v>#N/A</v>
      </c>
      <c r="AF72" s="335" t="str">
        <f t="shared" si="43"/>
        <v/>
      </c>
      <c r="AG72" s="238">
        <f>AG71</f>
        <v>30</v>
      </c>
      <c r="AH72" s="112">
        <f ca="1">AI71+1</f>
        <v>37201</v>
      </c>
      <c r="AI72" s="112">
        <f ca="1">IF(INDIRECT(CONCATENATE("AD",AG70))&lt;100000,INDIRECT(CONCATENATE("AD",AG70))-1,IF(INDIRECT(CONCATENATE("AE",AG70))&lt;100000,INDIRECT(CONCATENATE("AE",G70)),INDIRECT(CONCATENATE("AF",AG70))))</f>
        <v>37200</v>
      </c>
      <c r="AJ72" s="112">
        <f t="shared" ca="1" si="125"/>
        <v>37200</v>
      </c>
      <c r="AK72" s="112">
        <f t="shared" ca="1" si="169"/>
        <v>37200</v>
      </c>
      <c r="AL72" s="238">
        <f t="shared" ca="1" si="127"/>
        <v>0</v>
      </c>
      <c r="AM72" s="112">
        <f t="shared" ca="1" si="118"/>
        <v>100000</v>
      </c>
      <c r="AN72" s="112">
        <f t="shared" ca="1" si="84"/>
        <v>100000</v>
      </c>
      <c r="AO72" s="114">
        <f t="shared" ca="1" si="46"/>
        <v>18</v>
      </c>
      <c r="AP72" s="114">
        <f t="shared" ca="1" si="47"/>
        <v>24</v>
      </c>
      <c r="AQ72" s="112"/>
      <c r="AR72" s="238">
        <f t="shared" si="78"/>
        <v>72</v>
      </c>
      <c r="AS72" s="112"/>
      <c r="AT72" s="112"/>
      <c r="AU72" s="283">
        <f t="shared" si="185"/>
        <v>53</v>
      </c>
      <c r="AV72" s="284">
        <f t="shared" ca="1" si="48"/>
        <v>41530</v>
      </c>
      <c r="AW72" s="284">
        <f t="shared" ca="1" si="119"/>
        <v>41882</v>
      </c>
      <c r="AX72" s="285">
        <f t="shared" ca="1" si="120"/>
        <v>18</v>
      </c>
      <c r="AY72" s="285">
        <f t="shared" ca="1" si="186"/>
        <v>24</v>
      </c>
      <c r="AZ72" s="282"/>
      <c r="BD72" s="114">
        <f t="shared" si="80"/>
        <v>1</v>
      </c>
      <c r="BE72" s="112">
        <f t="shared" si="54"/>
        <v>100000</v>
      </c>
      <c r="BH72" s="238">
        <f t="shared" si="81"/>
        <v>53</v>
      </c>
      <c r="BI72" s="245" t="str">
        <f t="shared" si="55"/>
        <v/>
      </c>
      <c r="BJ72" s="281">
        <f t="shared" ca="1" si="96"/>
        <v>16</v>
      </c>
      <c r="BK72" s="245">
        <f t="shared" ca="1" si="56"/>
        <v>41915</v>
      </c>
      <c r="BL72" s="245">
        <f t="shared" ca="1" si="57"/>
        <v>42247</v>
      </c>
      <c r="BM72" s="244"/>
      <c r="BN72" s="245">
        <f t="shared" ca="1" si="97"/>
        <v>42185</v>
      </c>
      <c r="BQ72" s="245"/>
      <c r="BR72" s="245"/>
      <c r="BS72" s="245"/>
      <c r="BT72" s="245"/>
      <c r="BU72" s="245"/>
      <c r="BV72" s="245"/>
      <c r="BY72" s="245"/>
      <c r="BZ72" s="245"/>
      <c r="CA72" s="245"/>
      <c r="CB72" s="245"/>
      <c r="CC72" s="245"/>
      <c r="CD72" s="245"/>
      <c r="CE72" s="245"/>
      <c r="CF72" s="245"/>
      <c r="CG72" s="245"/>
      <c r="CH72" s="245"/>
      <c r="CL72" s="112"/>
      <c r="CM72" s="112"/>
      <c r="CP72" s="112"/>
      <c r="CQ72" s="112"/>
      <c r="CR72" s="238"/>
      <c r="CS72" s="238"/>
      <c r="CT72" s="112"/>
      <c r="CU72" s="112"/>
      <c r="CV72" s="112"/>
      <c r="CW72" s="112" t="s">
        <v>224</v>
      </c>
      <c r="CX72" s="112" t="s">
        <v>225</v>
      </c>
      <c r="CY72" s="112" t="s">
        <v>226</v>
      </c>
      <c r="CZ72" s="112" t="s">
        <v>227</v>
      </c>
      <c r="DA72" s="112" t="s">
        <v>228</v>
      </c>
      <c r="DB72" s="112" t="s">
        <v>229</v>
      </c>
      <c r="DC72" s="112"/>
      <c r="DD72" s="238">
        <f t="shared" ca="1" si="116"/>
        <v>0</v>
      </c>
      <c r="DE72" s="238">
        <f t="shared" ca="1" si="108"/>
        <v>0</v>
      </c>
      <c r="DF72" s="112"/>
      <c r="DG72" s="238"/>
      <c r="DH72" s="238"/>
      <c r="DI72" s="112"/>
      <c r="DJ72" s="238"/>
      <c r="DK72" s="112">
        <f t="shared" ca="1" si="58"/>
        <v>40544</v>
      </c>
      <c r="DL72" s="278">
        <f t="shared" ca="1" si="129"/>
        <v>53</v>
      </c>
      <c r="DM72" s="245">
        <f t="shared" ref="DM72:DP72" ca="1" si="189">DM623</f>
        <v>40544</v>
      </c>
      <c r="DN72" s="245">
        <f t="shared" ca="1" si="189"/>
        <v>40544</v>
      </c>
      <c r="DO72" s="245">
        <f t="shared" ca="1" si="189"/>
        <v>7</v>
      </c>
      <c r="DP72" s="245">
        <f t="shared" ca="1" si="189"/>
        <v>24</v>
      </c>
      <c r="DQ72" s="281">
        <f t="shared" ca="1" si="131"/>
        <v>1</v>
      </c>
      <c r="DR72" s="278">
        <f t="shared" ca="1" si="132"/>
        <v>0</v>
      </c>
      <c r="DS72" s="244">
        <f t="shared" ca="1" si="60"/>
        <v>23567.01</v>
      </c>
      <c r="DT72" s="244">
        <f t="shared" ca="1" si="61"/>
        <v>21437.23</v>
      </c>
      <c r="DU72" s="244">
        <f t="shared" ca="1" si="133"/>
        <v>1.7</v>
      </c>
      <c r="DV72" s="244" t="str">
        <f t="shared" ca="1" si="134"/>
        <v>9/14 anni</v>
      </c>
      <c r="DW72" s="244"/>
      <c r="DX72" s="244">
        <f t="shared" ca="1" si="106"/>
        <v>9</v>
      </c>
      <c r="EA72" s="244">
        <f t="shared" ca="1" si="62"/>
        <v>2</v>
      </c>
      <c r="EB72" s="278">
        <f ca="1">VLOOKUP(DM72,Foglio1!$AB$31:$AN$261,13)-6+EA72</f>
        <v>187</v>
      </c>
      <c r="EC72" s="244"/>
      <c r="ED72" s="244">
        <f t="shared" ca="1" si="140"/>
        <v>0</v>
      </c>
      <c r="EE72" s="244">
        <f t="shared" ca="1" si="141"/>
        <v>15069.97</v>
      </c>
      <c r="EF72" s="244">
        <f t="shared" ca="1" si="142"/>
        <v>0</v>
      </c>
      <c r="EG72" s="244">
        <f t="shared" ca="1" si="143"/>
        <v>0</v>
      </c>
      <c r="EH72" s="244">
        <f t="shared" ca="1" si="144"/>
        <v>6384.11</v>
      </c>
      <c r="EI72" s="244">
        <f t="shared" ca="1" si="145"/>
        <v>144.93</v>
      </c>
      <c r="EJ72" s="244">
        <f t="shared" ca="1" si="146"/>
        <v>1799.92</v>
      </c>
      <c r="EK72" s="244">
        <f t="shared" ca="1" si="147"/>
        <v>0</v>
      </c>
      <c r="EL72" s="244">
        <f t="shared" ca="1" si="148"/>
        <v>0</v>
      </c>
      <c r="EM72" s="244">
        <f t="shared" ca="1" si="149"/>
        <v>187</v>
      </c>
      <c r="EN72" s="244">
        <f t="shared" ca="1" si="150"/>
        <v>0</v>
      </c>
      <c r="EO72" s="244">
        <f t="shared" ca="1" si="151"/>
        <v>0</v>
      </c>
      <c r="EP72" s="244">
        <f t="shared" ca="1" si="152"/>
        <v>1968</v>
      </c>
      <c r="EQ72" s="244">
        <f t="shared" ca="1" si="153"/>
        <v>0</v>
      </c>
      <c r="ER72" s="244"/>
      <c r="EW72" s="244">
        <v>0</v>
      </c>
      <c r="EX72" s="278">
        <f ca="1">VLOOKUP(DM72,Foglio1!$AB$31:$AN$261,13)-6+EW72</f>
        <v>185</v>
      </c>
      <c r="EY72" s="244"/>
      <c r="EZ72" s="244">
        <v>0</v>
      </c>
      <c r="FA72" s="244">
        <f t="shared" ca="1" si="156"/>
        <v>12940.19</v>
      </c>
      <c r="FB72" s="244">
        <f t="shared" ca="1" si="157"/>
        <v>0</v>
      </c>
      <c r="FC72" s="244">
        <f t="shared" ca="1" si="158"/>
        <v>0</v>
      </c>
      <c r="FD72" s="244">
        <f t="shared" ca="1" si="159"/>
        <v>6384.11</v>
      </c>
      <c r="FE72" s="244">
        <f t="shared" ca="1" si="160"/>
        <v>144.93</v>
      </c>
      <c r="FF72" s="244">
        <f t="shared" ca="1" si="161"/>
        <v>1622.44</v>
      </c>
      <c r="FG72" s="244">
        <f t="shared" ca="1" si="162"/>
        <v>0</v>
      </c>
      <c r="FH72" s="244">
        <f t="shared" ca="1" si="163"/>
        <v>0</v>
      </c>
      <c r="FI72" s="244">
        <f t="shared" ca="1" si="164"/>
        <v>185</v>
      </c>
      <c r="FJ72" s="244">
        <f t="shared" ca="1" si="165"/>
        <v>0</v>
      </c>
      <c r="FK72" s="244">
        <f t="shared" ca="1" si="166"/>
        <v>0</v>
      </c>
      <c r="FL72" s="244">
        <f t="shared" ca="1" si="167"/>
        <v>1968</v>
      </c>
      <c r="FM72" s="244">
        <f t="shared" ca="1" si="154"/>
        <v>0</v>
      </c>
      <c r="FN72" s="244"/>
    </row>
    <row r="73" spans="5:170" x14ac:dyDescent="0.25">
      <c r="E73" s="244"/>
      <c r="F73" s="240" t="str">
        <f>IF(fronttd!E75="","",fronttd!E75)</f>
        <v/>
      </c>
      <c r="G73" s="240" t="str">
        <f>IF(fronttd!F75="","",fronttd!F75)</f>
        <v/>
      </c>
      <c r="H73" s="380">
        <f>fronttd!G75</f>
        <v>0</v>
      </c>
      <c r="I73" s="380">
        <f>fronttd!H75</f>
        <v>0</v>
      </c>
      <c r="J73">
        <f t="shared" si="75"/>
        <v>24</v>
      </c>
      <c r="L73">
        <f t="shared" si="76"/>
        <v>73</v>
      </c>
      <c r="O73" s="238">
        <f t="shared" si="77"/>
        <v>73</v>
      </c>
      <c r="R73" s="112" t="str">
        <f t="shared" si="39"/>
        <v/>
      </c>
      <c r="S73" s="238" t="e">
        <f t="shared" ca="1" si="40"/>
        <v>#N/A</v>
      </c>
      <c r="T73" s="112" t="e">
        <f t="shared" ca="1" si="86"/>
        <v>#N/A</v>
      </c>
      <c r="U73" s="112" t="e">
        <f t="shared" ca="1" si="87"/>
        <v>#N/A</v>
      </c>
      <c r="V73" s="112" t="e">
        <f t="shared" ca="1" si="88"/>
        <v>#N/A</v>
      </c>
      <c r="W73" s="112" t="e">
        <f t="shared" ca="1" si="89"/>
        <v>#N/A</v>
      </c>
      <c r="X73" s="112" t="str">
        <f t="shared" si="41"/>
        <v/>
      </c>
      <c r="Y73" s="112"/>
      <c r="Z73" s="112"/>
      <c r="AA73" s="335" t="str">
        <f t="shared" si="42"/>
        <v/>
      </c>
      <c r="AB73" s="335" t="e">
        <f t="shared" ca="1" si="90"/>
        <v>#N/A</v>
      </c>
      <c r="AC73" s="335" t="e">
        <f t="shared" ca="1" si="91"/>
        <v>#N/A</v>
      </c>
      <c r="AD73" s="335" t="e">
        <f t="shared" ca="1" si="92"/>
        <v>#N/A</v>
      </c>
      <c r="AE73" s="335" t="e">
        <f t="shared" ca="1" si="93"/>
        <v>#N/A</v>
      </c>
      <c r="AF73" s="335" t="str">
        <f t="shared" si="43"/>
        <v/>
      </c>
      <c r="AG73" s="238">
        <f>AG72</f>
        <v>30</v>
      </c>
      <c r="AH73" s="112">
        <f ca="1">AI72+1</f>
        <v>37201</v>
      </c>
      <c r="AI73" s="112">
        <f ca="1">IF(INDIRECT(CONCATENATE("AE",AG70))&lt;100000,INDIRECT(CONCATENATE("AE",G70)),INDIRECT(CONCATENATE("AF",AG70)))</f>
        <v>37200</v>
      </c>
      <c r="AJ73" s="112">
        <f t="shared" ca="1" si="125"/>
        <v>37200</v>
      </c>
      <c r="AK73" s="112">
        <f t="shared" ca="1" si="169"/>
        <v>37200</v>
      </c>
      <c r="AL73" s="238">
        <f t="shared" ca="1" si="127"/>
        <v>0</v>
      </c>
      <c r="AM73" s="112">
        <f t="shared" ca="1" si="118"/>
        <v>100000</v>
      </c>
      <c r="AN73" s="112">
        <f t="shared" ca="1" si="84"/>
        <v>100000</v>
      </c>
      <c r="AO73" s="114">
        <f t="shared" ca="1" si="46"/>
        <v>18</v>
      </c>
      <c r="AP73" s="114">
        <f t="shared" ca="1" si="47"/>
        <v>24</v>
      </c>
      <c r="AQ73" s="112"/>
      <c r="AR73" s="238">
        <f t="shared" si="78"/>
        <v>73</v>
      </c>
      <c r="AS73" s="112"/>
      <c r="AT73" s="112"/>
      <c r="AU73" s="283">
        <f t="shared" si="185"/>
        <v>54</v>
      </c>
      <c r="AV73" s="284">
        <f t="shared" ca="1" si="48"/>
        <v>41915</v>
      </c>
      <c r="AW73" s="284">
        <f t="shared" ca="1" si="119"/>
        <v>42185</v>
      </c>
      <c r="AX73" s="285">
        <f t="shared" ca="1" si="120"/>
        <v>18</v>
      </c>
      <c r="AY73" s="285">
        <f t="shared" ca="1" si="186"/>
        <v>24</v>
      </c>
      <c r="AZ73" s="282"/>
      <c r="BD73" s="114">
        <f t="shared" si="80"/>
        <v>1</v>
      </c>
      <c r="BE73" s="112">
        <f t="shared" si="54"/>
        <v>100000</v>
      </c>
      <c r="BH73" s="238">
        <f t="shared" si="81"/>
        <v>54</v>
      </c>
      <c r="BI73" s="245" t="str">
        <f t="shared" si="55"/>
        <v/>
      </c>
      <c r="BJ73" s="281">
        <f t="shared" ca="1" si="96"/>
        <v>16</v>
      </c>
      <c r="BK73" s="245">
        <f t="shared" ca="1" si="56"/>
        <v>42248</v>
      </c>
      <c r="BL73" s="245">
        <f t="shared" ca="1" si="57"/>
        <v>42613</v>
      </c>
      <c r="BM73" s="244"/>
      <c r="BN73" s="245">
        <f t="shared" ca="1" si="97"/>
        <v>42613</v>
      </c>
      <c r="BQ73" s="245"/>
      <c r="BR73" s="245"/>
      <c r="BS73" s="245"/>
      <c r="BT73" s="245"/>
      <c r="BU73" s="245"/>
      <c r="BV73" s="245"/>
      <c r="BY73" s="245"/>
      <c r="BZ73" s="245"/>
      <c r="CA73" s="245"/>
      <c r="CB73" s="245"/>
      <c r="CC73" s="245"/>
      <c r="CD73" s="245"/>
      <c r="CE73" s="245"/>
      <c r="CF73" s="245"/>
      <c r="CG73" s="245"/>
      <c r="CH73" s="245"/>
      <c r="CL73" s="112"/>
      <c r="CM73" s="112"/>
      <c r="CP73" s="112"/>
      <c r="CQ73" s="112"/>
      <c r="CR73" s="238"/>
      <c r="CS73" s="238"/>
      <c r="CT73" s="112"/>
      <c r="CU73" s="112"/>
      <c r="CV73" s="112"/>
      <c r="CW73" s="112" t="s">
        <v>224</v>
      </c>
      <c r="CX73" s="112" t="s">
        <v>225</v>
      </c>
      <c r="CY73" s="112" t="s">
        <v>226</v>
      </c>
      <c r="CZ73" s="112" t="s">
        <v>227</v>
      </c>
      <c r="DA73" s="112" t="s">
        <v>228</v>
      </c>
      <c r="DB73" s="112" t="s">
        <v>229</v>
      </c>
      <c r="DC73" s="112"/>
      <c r="DD73" s="238">
        <f t="shared" ca="1" si="116"/>
        <v>0</v>
      </c>
      <c r="DE73" s="238">
        <f t="shared" ca="1" si="108"/>
        <v>0</v>
      </c>
      <c r="DF73" s="112"/>
      <c r="DG73" s="238"/>
      <c r="DH73" s="238"/>
      <c r="DI73" s="112"/>
      <c r="DJ73" s="238"/>
      <c r="DK73" s="112">
        <f t="shared" ca="1" si="58"/>
        <v>40802</v>
      </c>
      <c r="DL73" s="278">
        <f t="shared" ca="1" si="129"/>
        <v>54</v>
      </c>
      <c r="DM73" s="245">
        <f t="shared" ref="DM73:DP73" ca="1" si="190">DM624</f>
        <v>40802</v>
      </c>
      <c r="DN73" s="245">
        <f t="shared" ca="1" si="190"/>
        <v>41090</v>
      </c>
      <c r="DO73" s="245">
        <f t="shared" ca="1" si="190"/>
        <v>18</v>
      </c>
      <c r="DP73" s="245">
        <f t="shared" ca="1" si="190"/>
        <v>24</v>
      </c>
      <c r="DQ73" s="281">
        <f t="shared" ca="1" si="131"/>
        <v>289</v>
      </c>
      <c r="DR73" s="278">
        <f t="shared" ca="1" si="132"/>
        <v>0</v>
      </c>
      <c r="DS73" s="244">
        <f t="shared" ca="1" si="60"/>
        <v>23567.01</v>
      </c>
      <c r="DT73" s="244">
        <f t="shared" ca="1" si="61"/>
        <v>21437.23</v>
      </c>
      <c r="DU73" s="244">
        <f t="shared" ca="1" si="133"/>
        <v>1264.74</v>
      </c>
      <c r="DV73" s="244" t="str">
        <f t="shared" ca="1" si="134"/>
        <v>9/14 anni</v>
      </c>
      <c r="DW73" s="244"/>
      <c r="DX73" s="244">
        <f t="shared" ca="1" si="106"/>
        <v>9</v>
      </c>
      <c r="EA73" s="244">
        <f t="shared" ca="1" si="62"/>
        <v>2</v>
      </c>
      <c r="EB73" s="278">
        <f ca="1">VLOOKUP(DM73,Foglio1!$AB$31:$AN$261,13)-6+EA73</f>
        <v>187</v>
      </c>
      <c r="EC73" s="244"/>
      <c r="ED73" s="244">
        <f t="shared" ca="1" si="140"/>
        <v>0</v>
      </c>
      <c r="EE73" s="244">
        <f t="shared" ca="1" si="141"/>
        <v>15069.97</v>
      </c>
      <c r="EF73" s="244">
        <f t="shared" ca="1" si="142"/>
        <v>0</v>
      </c>
      <c r="EG73" s="244">
        <f t="shared" ca="1" si="143"/>
        <v>0</v>
      </c>
      <c r="EH73" s="244">
        <f t="shared" ca="1" si="144"/>
        <v>6384.11</v>
      </c>
      <c r="EI73" s="244">
        <f t="shared" ca="1" si="145"/>
        <v>144.93</v>
      </c>
      <c r="EJ73" s="244">
        <f t="shared" ca="1" si="146"/>
        <v>1799.92</v>
      </c>
      <c r="EK73" s="244">
        <f t="shared" ca="1" si="147"/>
        <v>0</v>
      </c>
      <c r="EL73" s="244">
        <f t="shared" ca="1" si="148"/>
        <v>0</v>
      </c>
      <c r="EM73" s="244">
        <f t="shared" ca="1" si="149"/>
        <v>187</v>
      </c>
      <c r="EN73" s="244">
        <f t="shared" ca="1" si="150"/>
        <v>0</v>
      </c>
      <c r="EO73" s="244">
        <f t="shared" ca="1" si="151"/>
        <v>0</v>
      </c>
      <c r="EP73" s="244">
        <f t="shared" ca="1" si="152"/>
        <v>1968</v>
      </c>
      <c r="EQ73" s="244">
        <f t="shared" ca="1" si="153"/>
        <v>0</v>
      </c>
      <c r="ER73" s="244"/>
      <c r="EW73" s="244">
        <v>0</v>
      </c>
      <c r="EX73" s="278">
        <f ca="1">VLOOKUP(DM73,Foglio1!$AB$31:$AN$261,13)-6+EW73</f>
        <v>185</v>
      </c>
      <c r="EY73" s="244"/>
      <c r="EZ73" s="244">
        <v>0</v>
      </c>
      <c r="FA73" s="244">
        <f t="shared" ca="1" si="156"/>
        <v>12940.19</v>
      </c>
      <c r="FB73" s="244">
        <f t="shared" ca="1" si="157"/>
        <v>0</v>
      </c>
      <c r="FC73" s="244">
        <f t="shared" ca="1" si="158"/>
        <v>0</v>
      </c>
      <c r="FD73" s="244">
        <f t="shared" ca="1" si="159"/>
        <v>6384.11</v>
      </c>
      <c r="FE73" s="244">
        <f t="shared" ca="1" si="160"/>
        <v>144.93</v>
      </c>
      <c r="FF73" s="244">
        <f t="shared" ca="1" si="161"/>
        <v>1622.44</v>
      </c>
      <c r="FG73" s="244">
        <f t="shared" ca="1" si="162"/>
        <v>0</v>
      </c>
      <c r="FH73" s="244">
        <f t="shared" ca="1" si="163"/>
        <v>0</v>
      </c>
      <c r="FI73" s="244">
        <f t="shared" ca="1" si="164"/>
        <v>185</v>
      </c>
      <c r="FJ73" s="244">
        <f t="shared" ca="1" si="165"/>
        <v>0</v>
      </c>
      <c r="FK73" s="244">
        <f t="shared" ca="1" si="166"/>
        <v>0</v>
      </c>
      <c r="FL73" s="244">
        <f t="shared" ca="1" si="167"/>
        <v>1968</v>
      </c>
      <c r="FM73" s="244">
        <f t="shared" ca="1" si="154"/>
        <v>0</v>
      </c>
      <c r="FN73" s="244"/>
    </row>
    <row r="74" spans="5:170" x14ac:dyDescent="0.25">
      <c r="E74" s="244"/>
      <c r="F74" s="240" t="str">
        <f>IF(fronttd!E76="","",fronttd!E76)</f>
        <v/>
      </c>
      <c r="G74" s="240" t="str">
        <f>IF(fronttd!F76="","",fronttd!F76)</f>
        <v/>
      </c>
      <c r="H74" s="380">
        <f>fronttd!G76</f>
        <v>0</v>
      </c>
      <c r="I74" s="380">
        <f>fronttd!H76</f>
        <v>0</v>
      </c>
      <c r="J74">
        <f t="shared" si="75"/>
        <v>24</v>
      </c>
      <c r="L74">
        <f t="shared" si="76"/>
        <v>74</v>
      </c>
      <c r="O74" s="238">
        <f t="shared" si="77"/>
        <v>74</v>
      </c>
      <c r="R74" s="112" t="str">
        <f t="shared" si="39"/>
        <v/>
      </c>
      <c r="S74" s="238" t="e">
        <f t="shared" ca="1" si="40"/>
        <v>#N/A</v>
      </c>
      <c r="T74" s="112" t="e">
        <f t="shared" ca="1" si="86"/>
        <v>#N/A</v>
      </c>
      <c r="U74" s="112" t="e">
        <f t="shared" ca="1" si="87"/>
        <v>#N/A</v>
      </c>
      <c r="V74" s="112" t="e">
        <f t="shared" ca="1" si="88"/>
        <v>#N/A</v>
      </c>
      <c r="W74" s="112" t="e">
        <f t="shared" ca="1" si="89"/>
        <v>#N/A</v>
      </c>
      <c r="X74" s="112" t="str">
        <f t="shared" si="41"/>
        <v/>
      </c>
      <c r="Y74" s="112"/>
      <c r="Z74" s="112"/>
      <c r="AA74" s="335" t="str">
        <f t="shared" si="42"/>
        <v/>
      </c>
      <c r="AB74" s="335" t="e">
        <f t="shared" ca="1" si="90"/>
        <v>#N/A</v>
      </c>
      <c r="AC74" s="335" t="e">
        <f t="shared" ca="1" si="91"/>
        <v>#N/A</v>
      </c>
      <c r="AD74" s="335" t="e">
        <f t="shared" ca="1" si="92"/>
        <v>#N/A</v>
      </c>
      <c r="AE74" s="335" t="e">
        <f t="shared" ca="1" si="93"/>
        <v>#N/A</v>
      </c>
      <c r="AF74" s="335" t="str">
        <f t="shared" si="43"/>
        <v/>
      </c>
      <c r="AG74" s="238">
        <f>AG73</f>
        <v>30</v>
      </c>
      <c r="AH74" s="112">
        <f ca="1">AI73+1</f>
        <v>37201</v>
      </c>
      <c r="AI74" s="112">
        <f ca="1">INDIRECT(CONCATENATE("AF",AG70))</f>
        <v>37200</v>
      </c>
      <c r="AJ74" s="112">
        <f t="shared" ca="1" si="125"/>
        <v>37200</v>
      </c>
      <c r="AK74" s="112">
        <f t="shared" ca="1" si="169"/>
        <v>37200</v>
      </c>
      <c r="AL74" s="238">
        <f t="shared" ca="1" si="127"/>
        <v>0</v>
      </c>
      <c r="AM74" s="112">
        <f t="shared" ca="1" si="118"/>
        <v>100000</v>
      </c>
      <c r="AN74" s="112">
        <f t="shared" ca="1" si="84"/>
        <v>100000</v>
      </c>
      <c r="AO74" s="114">
        <f t="shared" ca="1" si="46"/>
        <v>18</v>
      </c>
      <c r="AP74" s="114">
        <f t="shared" ca="1" si="47"/>
        <v>24</v>
      </c>
      <c r="AQ74" s="112"/>
      <c r="AR74" s="238">
        <f t="shared" si="78"/>
        <v>74</v>
      </c>
      <c r="AS74" s="112"/>
      <c r="AT74" s="112"/>
      <c r="AU74" s="283">
        <f t="shared" si="185"/>
        <v>55</v>
      </c>
      <c r="AV74" s="284">
        <f t="shared" ca="1" si="48"/>
        <v>42248</v>
      </c>
      <c r="AW74" s="284">
        <f t="shared" ca="1" si="119"/>
        <v>42613</v>
      </c>
      <c r="AX74" s="285">
        <f t="shared" ca="1" si="120"/>
        <v>18</v>
      </c>
      <c r="AY74" s="285">
        <f t="shared" ca="1" si="186"/>
        <v>24</v>
      </c>
      <c r="AZ74" s="282"/>
      <c r="BD74" s="114">
        <f t="shared" si="80"/>
        <v>1</v>
      </c>
      <c r="BE74" s="112">
        <f t="shared" si="54"/>
        <v>100000</v>
      </c>
      <c r="BH74" s="238">
        <f t="shared" si="81"/>
        <v>55</v>
      </c>
      <c r="BI74" s="245" t="str">
        <f t="shared" si="55"/>
        <v/>
      </c>
      <c r="BJ74" s="281">
        <f t="shared" ca="1" si="96"/>
        <v>16</v>
      </c>
      <c r="BK74" s="245">
        <f t="shared" ca="1" si="56"/>
        <v>42614</v>
      </c>
      <c r="BL74" s="245">
        <f t="shared" ca="1" si="57"/>
        <v>42978</v>
      </c>
      <c r="BM74" s="244"/>
      <c r="BN74" s="245">
        <f t="shared" ca="1" si="97"/>
        <v>42978</v>
      </c>
      <c r="BQ74" s="245"/>
      <c r="BR74" s="245"/>
      <c r="BS74" s="245"/>
      <c r="BT74" s="245"/>
      <c r="BU74" s="245"/>
      <c r="BV74" s="245"/>
      <c r="BY74" s="245"/>
      <c r="BZ74" s="245"/>
      <c r="CA74" s="245"/>
      <c r="CB74" s="245"/>
      <c r="CC74" s="245"/>
      <c r="CD74" s="245"/>
      <c r="CE74" s="245"/>
      <c r="CF74" s="245"/>
      <c r="CG74" s="245"/>
      <c r="CH74" s="245"/>
      <c r="CL74" s="112"/>
      <c r="CM74" s="112"/>
      <c r="CP74" s="112"/>
      <c r="CQ74" s="112"/>
      <c r="CR74" s="238"/>
      <c r="CS74" s="238"/>
      <c r="CT74" s="112"/>
      <c r="CU74" s="112"/>
      <c r="CV74" s="112"/>
      <c r="CW74" s="112" t="s">
        <v>224</v>
      </c>
      <c r="CX74" s="112" t="s">
        <v>225</v>
      </c>
      <c r="CY74" s="112" t="s">
        <v>226</v>
      </c>
      <c r="CZ74" s="112" t="s">
        <v>227</v>
      </c>
      <c r="DA74" s="112" t="s">
        <v>228</v>
      </c>
      <c r="DB74" s="112" t="s">
        <v>229</v>
      </c>
      <c r="DC74" s="112"/>
      <c r="DD74" s="238">
        <f t="shared" ca="1" si="116"/>
        <v>0</v>
      </c>
      <c r="DE74" s="238">
        <f t="shared" ca="1" si="108"/>
        <v>0</v>
      </c>
      <c r="DF74" s="112"/>
      <c r="DG74" s="238"/>
      <c r="DH74" s="238"/>
      <c r="DI74" s="112"/>
      <c r="DJ74" s="238"/>
      <c r="DK74" s="112">
        <f t="shared" ca="1" si="58"/>
        <v>41171</v>
      </c>
      <c r="DL74" s="278">
        <f t="shared" ca="1" si="129"/>
        <v>55</v>
      </c>
      <c r="DM74" s="245">
        <f t="shared" ref="DM74:DP74" ca="1" si="191">DM625</f>
        <v>41171</v>
      </c>
      <c r="DN74" s="245">
        <f t="shared" ca="1" si="191"/>
        <v>41471</v>
      </c>
      <c r="DO74" s="245">
        <f t="shared" ca="1" si="191"/>
        <v>7</v>
      </c>
      <c r="DP74" s="245">
        <f t="shared" ca="1" si="191"/>
        <v>24</v>
      </c>
      <c r="DQ74" s="281">
        <f t="shared" ca="1" si="131"/>
        <v>301</v>
      </c>
      <c r="DR74" s="278">
        <f t="shared" ca="1" si="132"/>
        <v>0</v>
      </c>
      <c r="DS74" s="244">
        <f t="shared" ca="1" si="60"/>
        <v>23567.01</v>
      </c>
      <c r="DT74" s="244">
        <f t="shared" ca="1" si="61"/>
        <v>21437.23</v>
      </c>
      <c r="DU74" s="244">
        <f t="shared" ca="1" si="133"/>
        <v>512.27</v>
      </c>
      <c r="DV74" s="244" t="str">
        <f t="shared" ca="1" si="134"/>
        <v>9/14 anni</v>
      </c>
      <c r="DW74" s="244"/>
      <c r="DX74" s="244">
        <f t="shared" ca="1" si="106"/>
        <v>9</v>
      </c>
      <c r="EA74" s="244">
        <f t="shared" ca="1" si="62"/>
        <v>2</v>
      </c>
      <c r="EB74" s="278">
        <f ca="1">VLOOKUP(DM74,Foglio1!$AB$31:$AN$261,13)-6+EA74</f>
        <v>187</v>
      </c>
      <c r="EC74" s="244"/>
      <c r="ED74" s="244">
        <f t="shared" ca="1" si="140"/>
        <v>0</v>
      </c>
      <c r="EE74" s="244">
        <f t="shared" ca="1" si="141"/>
        <v>15069.97</v>
      </c>
      <c r="EF74" s="244">
        <f t="shared" ca="1" si="142"/>
        <v>0</v>
      </c>
      <c r="EG74" s="244">
        <f t="shared" ca="1" si="143"/>
        <v>0</v>
      </c>
      <c r="EH74" s="244">
        <f t="shared" ca="1" si="144"/>
        <v>6384.11</v>
      </c>
      <c r="EI74" s="244">
        <f t="shared" ca="1" si="145"/>
        <v>144.93</v>
      </c>
      <c r="EJ74" s="244">
        <f t="shared" ca="1" si="146"/>
        <v>1799.92</v>
      </c>
      <c r="EK74" s="244">
        <f t="shared" ca="1" si="147"/>
        <v>0</v>
      </c>
      <c r="EL74" s="244">
        <f t="shared" ca="1" si="148"/>
        <v>0</v>
      </c>
      <c r="EM74" s="244">
        <f t="shared" ca="1" si="149"/>
        <v>187</v>
      </c>
      <c r="EN74" s="244">
        <f t="shared" ca="1" si="150"/>
        <v>0</v>
      </c>
      <c r="EO74" s="244">
        <f t="shared" ca="1" si="151"/>
        <v>0</v>
      </c>
      <c r="EP74" s="244">
        <f t="shared" ca="1" si="152"/>
        <v>1968</v>
      </c>
      <c r="EQ74" s="244">
        <f t="shared" ca="1" si="153"/>
        <v>0</v>
      </c>
      <c r="ER74" s="244"/>
      <c r="EW74" s="244">
        <v>0</v>
      </c>
      <c r="EX74" s="278">
        <f ca="1">VLOOKUP(DM74,Foglio1!$AB$31:$AN$261,13)-6+EW74</f>
        <v>185</v>
      </c>
      <c r="EY74" s="244"/>
      <c r="EZ74" s="244">
        <v>0</v>
      </c>
      <c r="FA74" s="244">
        <f t="shared" ca="1" si="156"/>
        <v>12940.19</v>
      </c>
      <c r="FB74" s="244">
        <f t="shared" ca="1" si="157"/>
        <v>0</v>
      </c>
      <c r="FC74" s="244">
        <f t="shared" ca="1" si="158"/>
        <v>0</v>
      </c>
      <c r="FD74" s="244">
        <f t="shared" ca="1" si="159"/>
        <v>6384.11</v>
      </c>
      <c r="FE74" s="244">
        <f t="shared" ca="1" si="160"/>
        <v>144.93</v>
      </c>
      <c r="FF74" s="244">
        <f t="shared" ca="1" si="161"/>
        <v>1622.44</v>
      </c>
      <c r="FG74" s="244">
        <f t="shared" ca="1" si="162"/>
        <v>0</v>
      </c>
      <c r="FH74" s="244">
        <f t="shared" ca="1" si="163"/>
        <v>0</v>
      </c>
      <c r="FI74" s="244">
        <f t="shared" ca="1" si="164"/>
        <v>185</v>
      </c>
      <c r="FJ74" s="244">
        <f t="shared" ca="1" si="165"/>
        <v>0</v>
      </c>
      <c r="FK74" s="244">
        <f t="shared" ca="1" si="166"/>
        <v>0</v>
      </c>
      <c r="FL74" s="244">
        <f t="shared" ca="1" si="167"/>
        <v>1968</v>
      </c>
      <c r="FM74" s="244">
        <f t="shared" ca="1" si="154"/>
        <v>0</v>
      </c>
      <c r="FN74" s="244"/>
    </row>
    <row r="75" spans="5:170" x14ac:dyDescent="0.25">
      <c r="E75" s="244"/>
      <c r="F75" s="240" t="str">
        <f>IF(fronttd!E77="","",fronttd!E77)</f>
        <v/>
      </c>
      <c r="G75" s="240" t="str">
        <f>IF(fronttd!F77="","",fronttd!F77)</f>
        <v/>
      </c>
      <c r="H75" s="380">
        <f>fronttd!G77</f>
        <v>0</v>
      </c>
      <c r="I75" s="380">
        <f>fronttd!H77</f>
        <v>0</v>
      </c>
      <c r="J75">
        <f t="shared" si="75"/>
        <v>24</v>
      </c>
      <c r="L75">
        <f t="shared" si="76"/>
        <v>75</v>
      </c>
      <c r="O75" s="238">
        <f t="shared" si="77"/>
        <v>75</v>
      </c>
      <c r="R75" s="112" t="str">
        <f t="shared" si="39"/>
        <v/>
      </c>
      <c r="S75" s="238" t="e">
        <f t="shared" ca="1" si="40"/>
        <v>#N/A</v>
      </c>
      <c r="T75" s="112" t="e">
        <f t="shared" ca="1" si="86"/>
        <v>#N/A</v>
      </c>
      <c r="U75" s="112" t="e">
        <f t="shared" ca="1" si="87"/>
        <v>#N/A</v>
      </c>
      <c r="V75" s="112" t="e">
        <f t="shared" ca="1" si="88"/>
        <v>#N/A</v>
      </c>
      <c r="W75" s="112" t="e">
        <f t="shared" ca="1" si="89"/>
        <v>#N/A</v>
      </c>
      <c r="X75" s="112" t="str">
        <f t="shared" si="41"/>
        <v/>
      </c>
      <c r="Y75" s="112"/>
      <c r="Z75" s="112"/>
      <c r="AA75" s="335" t="str">
        <f t="shared" si="42"/>
        <v/>
      </c>
      <c r="AB75" s="335" t="e">
        <f t="shared" ca="1" si="90"/>
        <v>#N/A</v>
      </c>
      <c r="AC75" s="335" t="e">
        <f t="shared" ca="1" si="91"/>
        <v>#N/A</v>
      </c>
      <c r="AD75" s="335" t="e">
        <f t="shared" ca="1" si="92"/>
        <v>#N/A</v>
      </c>
      <c r="AE75" s="335" t="e">
        <f t="shared" ca="1" si="93"/>
        <v>#N/A</v>
      </c>
      <c r="AF75" s="335" t="str">
        <f t="shared" si="43"/>
        <v/>
      </c>
      <c r="AG75" s="238">
        <f>AG74+1</f>
        <v>31</v>
      </c>
      <c r="AH75" s="112">
        <f ca="1">INDIRECT(CONCATENATE("AA",AG75))</f>
        <v>37201</v>
      </c>
      <c r="AI75" s="112">
        <f ca="1">IF(            INDIRECT(CONCATENATE( "AB",AG75))&lt;100000,       INDIRECT(CONCATENATE("AB",AG75))  -1,IF(   INDIRECT(CONCATENATE("AC",AG75))&lt;100000,   INDIRECT(CONCATENATE("AC",AG75))-1,IF(   INDIRECT(CONCATENATE("AD", AG75))&lt;100000, INDIRECT(CONCATENATE("AD",AG75))-1,IF(   INDIRECT(CONCATENATE("AE",AG75))&lt;100000,  INDIRECT(CONCATENATE("AE",G75)),INDIRECT(CONCATENATE("AF",AG75))                ))))</f>
        <v>37256</v>
      </c>
      <c r="AJ75" s="112">
        <f t="shared" ca="1" si="125"/>
        <v>37256</v>
      </c>
      <c r="AK75" s="112">
        <f t="shared" ca="1" si="169"/>
        <v>37256</v>
      </c>
      <c r="AL75" s="238">
        <f t="shared" ca="1" si="127"/>
        <v>1</v>
      </c>
      <c r="AM75" s="112">
        <f t="shared" ca="1" si="118"/>
        <v>37201</v>
      </c>
      <c r="AN75" s="112">
        <f t="shared" ca="1" si="84"/>
        <v>37256</v>
      </c>
      <c r="AO75" s="114">
        <f t="shared" ca="1" si="46"/>
        <v>18</v>
      </c>
      <c r="AP75" s="114">
        <f t="shared" ca="1" si="47"/>
        <v>24</v>
      </c>
      <c r="AQ75" s="112"/>
      <c r="AR75" s="238">
        <f t="shared" si="78"/>
        <v>75</v>
      </c>
      <c r="AS75" s="112"/>
      <c r="AT75" s="112"/>
      <c r="AU75" s="283">
        <f t="shared" si="185"/>
        <v>56</v>
      </c>
      <c r="AV75" s="284">
        <f t="shared" ca="1" si="48"/>
        <v>42614</v>
      </c>
      <c r="AW75" s="284">
        <f t="shared" ca="1" si="119"/>
        <v>42735</v>
      </c>
      <c r="AX75" s="285">
        <f t="shared" ca="1" si="120"/>
        <v>18</v>
      </c>
      <c r="AY75" s="285">
        <f t="shared" ca="1" si="186"/>
        <v>24</v>
      </c>
      <c r="AZ75" s="282"/>
      <c r="BD75" s="114">
        <f t="shared" si="80"/>
        <v>1</v>
      </c>
      <c r="BE75" s="112">
        <f t="shared" si="54"/>
        <v>100000</v>
      </c>
      <c r="BH75" s="238">
        <f t="shared" si="81"/>
        <v>56</v>
      </c>
      <c r="BI75" s="245" t="str">
        <f t="shared" si="55"/>
        <v/>
      </c>
      <c r="BJ75" s="281">
        <f t="shared" ca="1" si="96"/>
        <v>16</v>
      </c>
      <c r="BK75" s="245">
        <f t="shared" ca="1" si="56"/>
        <v>42979</v>
      </c>
      <c r="BL75" s="245">
        <f t="shared" ca="1" si="57"/>
        <v>43343</v>
      </c>
      <c r="BM75" s="244"/>
      <c r="BN75" s="245">
        <f t="shared" ca="1" si="97"/>
        <v>43343</v>
      </c>
      <c r="BQ75" s="245"/>
      <c r="BR75" s="245"/>
      <c r="BS75" s="245"/>
      <c r="BT75" s="245"/>
      <c r="BU75" s="245"/>
      <c r="BV75" s="245"/>
      <c r="BY75" s="245"/>
      <c r="BZ75" s="245"/>
      <c r="CA75" s="245"/>
      <c r="CB75" s="245"/>
      <c r="CC75" s="245"/>
      <c r="CD75" s="245"/>
      <c r="CE75" s="245"/>
      <c r="CF75" s="245"/>
      <c r="CG75" s="245"/>
      <c r="CH75" s="245"/>
      <c r="CL75" s="112"/>
      <c r="CM75" s="112"/>
      <c r="CP75" s="112"/>
      <c r="CQ75" s="112"/>
      <c r="CR75" s="238"/>
      <c r="CS75" s="238"/>
      <c r="CT75" s="112"/>
      <c r="CU75" s="112"/>
      <c r="CV75" s="112"/>
      <c r="CW75" s="112" t="s">
        <v>224</v>
      </c>
      <c r="CX75" s="112" t="s">
        <v>225</v>
      </c>
      <c r="CY75" s="112" t="s">
        <v>226</v>
      </c>
      <c r="CZ75" s="112" t="s">
        <v>227</v>
      </c>
      <c r="DA75" s="112" t="s">
        <v>228</v>
      </c>
      <c r="DB75" s="112" t="s">
        <v>229</v>
      </c>
      <c r="DC75" s="112"/>
      <c r="DD75" s="238">
        <f t="shared" ca="1" si="116"/>
        <v>0</v>
      </c>
      <c r="DE75" s="238">
        <f t="shared" ca="1" si="108"/>
        <v>0</v>
      </c>
      <c r="DF75" s="112"/>
      <c r="DG75" s="238"/>
      <c r="DH75" s="238"/>
      <c r="DI75" s="112"/>
      <c r="DJ75" s="238"/>
      <c r="DK75" s="112">
        <f t="shared" ca="1" si="58"/>
        <v>41178</v>
      </c>
      <c r="DL75" s="278">
        <f t="shared" ca="1" si="129"/>
        <v>56</v>
      </c>
      <c r="DM75" s="245">
        <f t="shared" ref="DM75:DP75" ca="1" si="192">DM626</f>
        <v>41178</v>
      </c>
      <c r="DN75" s="245">
        <f t="shared" ca="1" si="192"/>
        <v>41471</v>
      </c>
      <c r="DO75" s="245">
        <f t="shared" ca="1" si="192"/>
        <v>5</v>
      </c>
      <c r="DP75" s="245">
        <f t="shared" ca="1" si="192"/>
        <v>24</v>
      </c>
      <c r="DQ75" s="281">
        <f t="shared" ca="1" si="131"/>
        <v>294</v>
      </c>
      <c r="DR75" s="278">
        <f t="shared" ca="1" si="132"/>
        <v>0</v>
      </c>
      <c r="DS75" s="244">
        <f t="shared" ca="1" si="60"/>
        <v>23567.01</v>
      </c>
      <c r="DT75" s="244">
        <f t="shared" ca="1" si="61"/>
        <v>21437.23</v>
      </c>
      <c r="DU75" s="244">
        <f t="shared" ca="1" si="133"/>
        <v>357.39</v>
      </c>
      <c r="DV75" s="244" t="str">
        <f t="shared" ca="1" si="134"/>
        <v>9/14 anni</v>
      </c>
      <c r="DW75" s="244"/>
      <c r="DX75" s="244">
        <f t="shared" ca="1" si="106"/>
        <v>9</v>
      </c>
      <c r="EA75" s="244">
        <f t="shared" ca="1" si="62"/>
        <v>2</v>
      </c>
      <c r="EB75" s="278">
        <f ca="1">VLOOKUP(DM75,Foglio1!$AB$31:$AN$261,13)-6+EA75</f>
        <v>187</v>
      </c>
      <c r="EC75" s="244"/>
      <c r="ED75" s="244">
        <f t="shared" ca="1" si="140"/>
        <v>0</v>
      </c>
      <c r="EE75" s="244">
        <f t="shared" ca="1" si="141"/>
        <v>15069.97</v>
      </c>
      <c r="EF75" s="244">
        <f t="shared" ca="1" si="142"/>
        <v>0</v>
      </c>
      <c r="EG75" s="244">
        <f t="shared" ca="1" si="143"/>
        <v>0</v>
      </c>
      <c r="EH75" s="244">
        <f t="shared" ca="1" si="144"/>
        <v>6384.11</v>
      </c>
      <c r="EI75" s="244">
        <f t="shared" ca="1" si="145"/>
        <v>144.93</v>
      </c>
      <c r="EJ75" s="244">
        <f t="shared" ca="1" si="146"/>
        <v>1799.92</v>
      </c>
      <c r="EK75" s="244">
        <f t="shared" ca="1" si="147"/>
        <v>0</v>
      </c>
      <c r="EL75" s="244">
        <f t="shared" ca="1" si="148"/>
        <v>0</v>
      </c>
      <c r="EM75" s="244">
        <f t="shared" ca="1" si="149"/>
        <v>187</v>
      </c>
      <c r="EN75" s="244">
        <f t="shared" ca="1" si="150"/>
        <v>0</v>
      </c>
      <c r="EO75" s="244">
        <f t="shared" ca="1" si="151"/>
        <v>0</v>
      </c>
      <c r="EP75" s="244">
        <f t="shared" ca="1" si="152"/>
        <v>1968</v>
      </c>
      <c r="EQ75" s="244">
        <f t="shared" ca="1" si="153"/>
        <v>0</v>
      </c>
      <c r="ER75" s="244"/>
      <c r="EW75" s="244">
        <v>0</v>
      </c>
      <c r="EX75" s="278">
        <f ca="1">VLOOKUP(DM75,Foglio1!$AB$31:$AN$261,13)-6+EW75</f>
        <v>185</v>
      </c>
      <c r="EY75" s="244"/>
      <c r="EZ75" s="244">
        <v>0</v>
      </c>
      <c r="FA75" s="244">
        <f t="shared" ca="1" si="156"/>
        <v>12940.19</v>
      </c>
      <c r="FB75" s="244">
        <f t="shared" ca="1" si="157"/>
        <v>0</v>
      </c>
      <c r="FC75" s="244">
        <f t="shared" ca="1" si="158"/>
        <v>0</v>
      </c>
      <c r="FD75" s="244">
        <f t="shared" ca="1" si="159"/>
        <v>6384.11</v>
      </c>
      <c r="FE75" s="244">
        <f t="shared" ca="1" si="160"/>
        <v>144.93</v>
      </c>
      <c r="FF75" s="244">
        <f t="shared" ca="1" si="161"/>
        <v>1622.44</v>
      </c>
      <c r="FG75" s="244">
        <f t="shared" ca="1" si="162"/>
        <v>0</v>
      </c>
      <c r="FH75" s="244">
        <f t="shared" ca="1" si="163"/>
        <v>0</v>
      </c>
      <c r="FI75" s="244">
        <f t="shared" ca="1" si="164"/>
        <v>185</v>
      </c>
      <c r="FJ75" s="244">
        <f t="shared" ca="1" si="165"/>
        <v>0</v>
      </c>
      <c r="FK75" s="244">
        <f t="shared" ca="1" si="166"/>
        <v>0</v>
      </c>
      <c r="FL75" s="244">
        <f t="shared" ca="1" si="167"/>
        <v>1968</v>
      </c>
      <c r="FM75" s="244">
        <f t="shared" ca="1" si="154"/>
        <v>0</v>
      </c>
      <c r="FN75" s="244"/>
    </row>
    <row r="76" spans="5:170" x14ac:dyDescent="0.25">
      <c r="E76" s="244"/>
      <c r="F76" s="240" t="str">
        <f>IF(fronttd!E78="","",fronttd!E78)</f>
        <v/>
      </c>
      <c r="G76" s="240" t="str">
        <f>IF(fronttd!F78="","",fronttd!F78)</f>
        <v/>
      </c>
      <c r="H76" s="380">
        <f>fronttd!G78</f>
        <v>0</v>
      </c>
      <c r="I76" s="380">
        <f>fronttd!H78</f>
        <v>0</v>
      </c>
      <c r="J76">
        <f t="shared" si="75"/>
        <v>24</v>
      </c>
      <c r="L76">
        <f t="shared" si="76"/>
        <v>76</v>
      </c>
      <c r="O76" s="238">
        <f t="shared" si="77"/>
        <v>76</v>
      </c>
      <c r="R76" s="112" t="str">
        <f t="shared" si="39"/>
        <v/>
      </c>
      <c r="S76" s="238" t="e">
        <f t="shared" ca="1" si="40"/>
        <v>#N/A</v>
      </c>
      <c r="T76" s="112" t="e">
        <f t="shared" ca="1" si="86"/>
        <v>#N/A</v>
      </c>
      <c r="U76" s="112" t="e">
        <f t="shared" ca="1" si="87"/>
        <v>#N/A</v>
      </c>
      <c r="V76" s="112" t="e">
        <f t="shared" ca="1" si="88"/>
        <v>#N/A</v>
      </c>
      <c r="W76" s="112" t="e">
        <f t="shared" ca="1" si="89"/>
        <v>#N/A</v>
      </c>
      <c r="X76" s="112" t="str">
        <f t="shared" si="41"/>
        <v/>
      </c>
      <c r="Y76" s="112"/>
      <c r="Z76" s="112"/>
      <c r="AA76" s="335" t="str">
        <f t="shared" si="42"/>
        <v/>
      </c>
      <c r="AB76" s="335" t="e">
        <f t="shared" ca="1" si="90"/>
        <v>#N/A</v>
      </c>
      <c r="AC76" s="335" t="e">
        <f t="shared" ca="1" si="91"/>
        <v>#N/A</v>
      </c>
      <c r="AD76" s="335" t="e">
        <f t="shared" ca="1" si="92"/>
        <v>#N/A</v>
      </c>
      <c r="AE76" s="335" t="e">
        <f t="shared" ca="1" si="93"/>
        <v>#N/A</v>
      </c>
      <c r="AF76" s="335" t="str">
        <f t="shared" si="43"/>
        <v/>
      </c>
      <c r="AG76" s="238">
        <f>AG75</f>
        <v>31</v>
      </c>
      <c r="AH76" s="112">
        <f ca="1">AI75+1</f>
        <v>37257</v>
      </c>
      <c r="AI76" s="112">
        <f ca="1">IF(INDIRECT(CONCATENATE("AC",AG75))&lt;100000,INDIRECT(CONCATENATE("AC",AG75))-1,IF(INDIRECT(CONCATENATE("AD",AG75))&lt;100000,INDIRECT(CONCATENATE("AD",AG75))-1,IF(INDIRECT(CONCATENATE("AE",AG75))&lt;100000,INDIRECT(CONCATENATE("AE",G75)),INDIRECT(CONCATENATE("AF",AG75)))))</f>
        <v>37256</v>
      </c>
      <c r="AJ76" s="112">
        <f t="shared" ca="1" si="125"/>
        <v>37256</v>
      </c>
      <c r="AK76" s="112">
        <f t="shared" ca="1" si="169"/>
        <v>37256</v>
      </c>
      <c r="AL76" s="238">
        <f t="shared" ca="1" si="127"/>
        <v>0</v>
      </c>
      <c r="AM76" s="112">
        <f t="shared" ca="1" si="118"/>
        <v>100000</v>
      </c>
      <c r="AN76" s="112">
        <f t="shared" ca="1" si="84"/>
        <v>100000</v>
      </c>
      <c r="AO76" s="114">
        <f t="shared" ca="1" si="46"/>
        <v>18</v>
      </c>
      <c r="AP76" s="114">
        <f t="shared" ca="1" si="47"/>
        <v>24</v>
      </c>
      <c r="AQ76" s="112"/>
      <c r="AR76" s="238">
        <f t="shared" si="78"/>
        <v>76</v>
      </c>
      <c r="AS76" s="112"/>
      <c r="AT76" s="112"/>
      <c r="AU76" s="283">
        <f t="shared" si="185"/>
        <v>57</v>
      </c>
      <c r="AV76" s="284">
        <f t="shared" ca="1" si="48"/>
        <v>42736</v>
      </c>
      <c r="AW76" s="284">
        <f t="shared" ca="1" si="119"/>
        <v>42781</v>
      </c>
      <c r="AX76" s="285">
        <f t="shared" ca="1" si="120"/>
        <v>18</v>
      </c>
      <c r="AY76" s="285">
        <f t="shared" ca="1" si="186"/>
        <v>24</v>
      </c>
      <c r="AZ76" s="282"/>
      <c r="BD76" s="114">
        <f t="shared" si="80"/>
        <v>1</v>
      </c>
      <c r="BE76" s="112">
        <f t="shared" si="54"/>
        <v>100000</v>
      </c>
      <c r="BH76" s="238">
        <f t="shared" si="81"/>
        <v>57</v>
      </c>
      <c r="BI76" s="245" t="str">
        <f t="shared" si="55"/>
        <v/>
      </c>
      <c r="BJ76" s="281">
        <f t="shared" ca="1" si="96"/>
        <v>16</v>
      </c>
      <c r="BK76" s="245">
        <f t="shared" ca="1" si="56"/>
        <v>43344</v>
      </c>
      <c r="BL76" s="245">
        <f t="shared" ca="1" si="57"/>
        <v>43708</v>
      </c>
      <c r="BM76" s="244"/>
      <c r="BN76" s="245">
        <f t="shared" ca="1" si="97"/>
        <v>43708</v>
      </c>
      <c r="CL76" s="112"/>
      <c r="CM76" s="112"/>
      <c r="CP76" s="112"/>
      <c r="CQ76" s="112"/>
      <c r="CR76" s="238"/>
      <c r="CS76" s="238"/>
      <c r="CT76" s="112"/>
      <c r="CU76" s="112"/>
      <c r="CV76" s="112"/>
      <c r="CW76" s="112" t="s">
        <v>224</v>
      </c>
      <c r="CX76" s="112" t="s">
        <v>225</v>
      </c>
      <c r="CY76" s="112" t="s">
        <v>226</v>
      </c>
      <c r="CZ76" s="112" t="s">
        <v>227</v>
      </c>
      <c r="DA76" s="112" t="s">
        <v>228</v>
      </c>
      <c r="DB76" s="112" t="s">
        <v>229</v>
      </c>
      <c r="DC76" s="112"/>
      <c r="DD76" s="238">
        <f t="shared" ca="1" si="116"/>
        <v>0</v>
      </c>
      <c r="DE76" s="238">
        <f t="shared" ca="1" si="108"/>
        <v>0</v>
      </c>
      <c r="DF76" s="112"/>
      <c r="DG76" s="238"/>
      <c r="DH76" s="238"/>
      <c r="DI76" s="112"/>
      <c r="DJ76" s="238"/>
      <c r="DK76" s="112">
        <f t="shared" ca="1" si="58"/>
        <v>41184</v>
      </c>
      <c r="DL76" s="278">
        <f t="shared" ca="1" si="129"/>
        <v>57</v>
      </c>
      <c r="DM76" s="245">
        <f t="shared" ref="DM76:DP76" ca="1" si="193">DM627</f>
        <v>41184</v>
      </c>
      <c r="DN76" s="245">
        <f t="shared" ca="1" si="193"/>
        <v>41196</v>
      </c>
      <c r="DO76" s="245">
        <f t="shared" ca="1" si="193"/>
        <v>6</v>
      </c>
      <c r="DP76" s="245">
        <f t="shared" ca="1" si="193"/>
        <v>24</v>
      </c>
      <c r="DQ76" s="281">
        <f t="shared" ca="1" si="131"/>
        <v>13</v>
      </c>
      <c r="DR76" s="278">
        <f t="shared" ca="1" si="132"/>
        <v>0</v>
      </c>
      <c r="DS76" s="244">
        <f t="shared" ca="1" si="60"/>
        <v>23567.01</v>
      </c>
      <c r="DT76" s="244">
        <f t="shared" ca="1" si="61"/>
        <v>21437.23</v>
      </c>
      <c r="DU76" s="244">
        <f t="shared" ca="1" si="133"/>
        <v>18.96</v>
      </c>
      <c r="DV76" s="244" t="str">
        <f t="shared" ca="1" si="134"/>
        <v>9/14 anni</v>
      </c>
      <c r="DW76" s="244"/>
      <c r="DX76" s="244">
        <f t="shared" ca="1" si="106"/>
        <v>9</v>
      </c>
      <c r="EA76" s="244">
        <f t="shared" ca="1" si="62"/>
        <v>2</v>
      </c>
      <c r="EB76" s="278">
        <f ca="1">VLOOKUP(DM76,Foglio1!$AB$31:$AN$261,13)-6+EA76</f>
        <v>187</v>
      </c>
      <c r="EC76" s="244"/>
      <c r="ED76" s="244">
        <f t="shared" ca="1" si="140"/>
        <v>0</v>
      </c>
      <c r="EE76" s="244">
        <f t="shared" ca="1" si="141"/>
        <v>15069.97</v>
      </c>
      <c r="EF76" s="244">
        <f t="shared" ca="1" si="142"/>
        <v>0</v>
      </c>
      <c r="EG76" s="244">
        <f t="shared" ca="1" si="143"/>
        <v>0</v>
      </c>
      <c r="EH76" s="244">
        <f t="shared" ca="1" si="144"/>
        <v>6384.11</v>
      </c>
      <c r="EI76" s="244">
        <f t="shared" ca="1" si="145"/>
        <v>144.93</v>
      </c>
      <c r="EJ76" s="244">
        <f t="shared" ca="1" si="146"/>
        <v>1799.92</v>
      </c>
      <c r="EK76" s="244">
        <f t="shared" ca="1" si="147"/>
        <v>0</v>
      </c>
      <c r="EL76" s="244">
        <f t="shared" ca="1" si="148"/>
        <v>0</v>
      </c>
      <c r="EM76" s="244">
        <f t="shared" ca="1" si="149"/>
        <v>187</v>
      </c>
      <c r="EN76" s="244">
        <f t="shared" ca="1" si="150"/>
        <v>0</v>
      </c>
      <c r="EO76" s="244">
        <f t="shared" ca="1" si="151"/>
        <v>0</v>
      </c>
      <c r="EP76" s="244">
        <f t="shared" ca="1" si="152"/>
        <v>1968</v>
      </c>
      <c r="EQ76" s="244">
        <f t="shared" ca="1" si="153"/>
        <v>0</v>
      </c>
      <c r="ER76" s="244"/>
      <c r="EW76" s="244">
        <v>0</v>
      </c>
      <c r="EX76" s="278">
        <f ca="1">VLOOKUP(DM76,Foglio1!$AB$31:$AN$261,13)-6+EW76</f>
        <v>185</v>
      </c>
      <c r="EY76" s="244"/>
      <c r="EZ76" s="244">
        <v>0</v>
      </c>
      <c r="FA76" s="244">
        <f t="shared" ca="1" si="156"/>
        <v>12940.19</v>
      </c>
      <c r="FB76" s="244">
        <f t="shared" ca="1" si="157"/>
        <v>0</v>
      </c>
      <c r="FC76" s="244">
        <f t="shared" ca="1" si="158"/>
        <v>0</v>
      </c>
      <c r="FD76" s="244">
        <f t="shared" ca="1" si="159"/>
        <v>6384.11</v>
      </c>
      <c r="FE76" s="244">
        <f t="shared" ca="1" si="160"/>
        <v>144.93</v>
      </c>
      <c r="FF76" s="244">
        <f t="shared" ca="1" si="161"/>
        <v>1622.44</v>
      </c>
      <c r="FG76" s="244">
        <f t="shared" ca="1" si="162"/>
        <v>0</v>
      </c>
      <c r="FH76" s="244">
        <f t="shared" ca="1" si="163"/>
        <v>0</v>
      </c>
      <c r="FI76" s="244">
        <f t="shared" ca="1" si="164"/>
        <v>185</v>
      </c>
      <c r="FJ76" s="244">
        <f t="shared" ca="1" si="165"/>
        <v>0</v>
      </c>
      <c r="FK76" s="244">
        <f t="shared" ca="1" si="166"/>
        <v>0</v>
      </c>
      <c r="FL76" s="244">
        <f t="shared" ca="1" si="167"/>
        <v>1968</v>
      </c>
      <c r="FM76" s="244">
        <f t="shared" ca="1" si="154"/>
        <v>0</v>
      </c>
      <c r="FN76" s="244"/>
    </row>
    <row r="77" spans="5:170" x14ac:dyDescent="0.25">
      <c r="E77" s="244"/>
      <c r="F77" s="240" t="str">
        <f>IF(fronttd!E79="","",fronttd!E79)</f>
        <v/>
      </c>
      <c r="G77" s="240" t="str">
        <f>IF(fronttd!F79="","",fronttd!F79)</f>
        <v/>
      </c>
      <c r="H77" s="380">
        <f>fronttd!G79</f>
        <v>0</v>
      </c>
      <c r="I77" s="380">
        <f>fronttd!H79</f>
        <v>0</v>
      </c>
      <c r="J77">
        <f t="shared" si="75"/>
        <v>24</v>
      </c>
      <c r="L77">
        <f t="shared" si="76"/>
        <v>77</v>
      </c>
      <c r="O77" s="238">
        <f t="shared" si="77"/>
        <v>77</v>
      </c>
      <c r="R77" s="112" t="str">
        <f t="shared" si="39"/>
        <v/>
      </c>
      <c r="S77" s="238" t="e">
        <f t="shared" ca="1" si="40"/>
        <v>#N/A</v>
      </c>
      <c r="T77" s="112" t="e">
        <f t="shared" ca="1" si="86"/>
        <v>#N/A</v>
      </c>
      <c r="U77" s="112" t="e">
        <f t="shared" ca="1" si="87"/>
        <v>#N/A</v>
      </c>
      <c r="V77" s="112" t="e">
        <f t="shared" ca="1" si="88"/>
        <v>#N/A</v>
      </c>
      <c r="W77" s="112" t="e">
        <f t="shared" ca="1" si="89"/>
        <v>#N/A</v>
      </c>
      <c r="X77" s="112" t="str">
        <f t="shared" si="41"/>
        <v/>
      </c>
      <c r="Y77" s="112"/>
      <c r="Z77" s="112"/>
      <c r="AA77" s="335" t="str">
        <f t="shared" si="42"/>
        <v/>
      </c>
      <c r="AB77" s="335" t="e">
        <f t="shared" ca="1" si="90"/>
        <v>#N/A</v>
      </c>
      <c r="AC77" s="335" t="e">
        <f t="shared" ca="1" si="91"/>
        <v>#N/A</v>
      </c>
      <c r="AD77" s="335" t="e">
        <f t="shared" ca="1" si="92"/>
        <v>#N/A</v>
      </c>
      <c r="AE77" s="335" t="e">
        <f t="shared" ca="1" si="93"/>
        <v>#N/A</v>
      </c>
      <c r="AF77" s="335" t="str">
        <f t="shared" si="43"/>
        <v/>
      </c>
      <c r="AG77" s="238">
        <f>AG76</f>
        <v>31</v>
      </c>
      <c r="AH77" s="112">
        <f ca="1">AI76+1</f>
        <v>37257</v>
      </c>
      <c r="AI77" s="112">
        <f ca="1">IF(INDIRECT(CONCATENATE("AD",AG75))&lt;100000,INDIRECT(CONCATENATE("AD",AG75))-1,IF(INDIRECT(CONCATENATE("AE",AG75))&lt;100000,INDIRECT(CONCATENATE("AE",G75)),INDIRECT(CONCATENATE("AF",AG75))))</f>
        <v>37410</v>
      </c>
      <c r="AJ77" s="112">
        <f t="shared" ca="1" si="125"/>
        <v>37410</v>
      </c>
      <c r="AK77" s="112">
        <f t="shared" ca="1" si="169"/>
        <v>37410</v>
      </c>
      <c r="AL77" s="238">
        <f t="shared" ca="1" si="127"/>
        <v>1</v>
      </c>
      <c r="AM77" s="112">
        <f t="shared" ca="1" si="118"/>
        <v>37257</v>
      </c>
      <c r="AN77" s="112">
        <f t="shared" ca="1" si="84"/>
        <v>37410</v>
      </c>
      <c r="AO77" s="114">
        <f t="shared" ca="1" si="46"/>
        <v>18</v>
      </c>
      <c r="AP77" s="114">
        <f t="shared" ca="1" si="47"/>
        <v>24</v>
      </c>
      <c r="AQ77" s="112"/>
      <c r="AR77" s="238">
        <f t="shared" si="78"/>
        <v>77</v>
      </c>
      <c r="AS77" s="112"/>
      <c r="AT77" s="112"/>
      <c r="AU77" s="283">
        <f t="shared" si="185"/>
        <v>58</v>
      </c>
      <c r="AV77" s="284">
        <f t="shared" ca="1" si="48"/>
        <v>42782</v>
      </c>
      <c r="AW77" s="284">
        <f t="shared" ca="1" si="119"/>
        <v>42978</v>
      </c>
      <c r="AX77" s="285">
        <f t="shared" ca="1" si="120"/>
        <v>18</v>
      </c>
      <c r="AY77" s="285">
        <f t="shared" ca="1" si="186"/>
        <v>24</v>
      </c>
      <c r="AZ77" s="282"/>
      <c r="BD77" s="114">
        <f t="shared" si="80"/>
        <v>1</v>
      </c>
      <c r="BE77" s="112">
        <f t="shared" si="54"/>
        <v>100000</v>
      </c>
      <c r="BH77" s="238">
        <f t="shared" si="81"/>
        <v>58</v>
      </c>
      <c r="BI77" s="245" t="str">
        <f t="shared" si="55"/>
        <v/>
      </c>
      <c r="BJ77" s="281">
        <f t="shared" ca="1" si="96"/>
        <v>16</v>
      </c>
      <c r="BK77" s="245">
        <f t="shared" ca="1" si="56"/>
        <v>43709</v>
      </c>
      <c r="BL77" s="245">
        <f t="shared" ca="1" si="57"/>
        <v>44074</v>
      </c>
      <c r="BM77" s="244"/>
      <c r="BN77" s="245">
        <f t="shared" ca="1" si="97"/>
        <v>44074</v>
      </c>
      <c r="CL77" s="112"/>
      <c r="CM77" s="112"/>
      <c r="CP77" s="112"/>
      <c r="CQ77" s="112"/>
      <c r="CR77" s="238"/>
      <c r="CS77" s="238"/>
      <c r="CT77" s="112"/>
      <c r="CU77" s="112"/>
      <c r="CV77" s="112"/>
      <c r="CW77" s="112" t="s">
        <v>224</v>
      </c>
      <c r="CX77" s="112" t="s">
        <v>225</v>
      </c>
      <c r="CY77" s="112" t="s">
        <v>226</v>
      </c>
      <c r="CZ77" s="112" t="s">
        <v>227</v>
      </c>
      <c r="DA77" s="112" t="s">
        <v>228</v>
      </c>
      <c r="DB77" s="112" t="s">
        <v>229</v>
      </c>
      <c r="DC77" s="112"/>
      <c r="DD77" s="238">
        <f t="shared" ca="1" si="116"/>
        <v>0</v>
      </c>
      <c r="DE77" s="238">
        <f t="shared" ca="1" si="108"/>
        <v>0</v>
      </c>
      <c r="DF77" s="112"/>
      <c r="DG77" s="238"/>
      <c r="DH77" s="238"/>
      <c r="DI77" s="112"/>
      <c r="DJ77" s="238"/>
      <c r="DK77" s="112">
        <f t="shared" ca="1" si="58"/>
        <v>41197</v>
      </c>
      <c r="DL77" s="278">
        <f t="shared" ca="1" si="129"/>
        <v>58</v>
      </c>
      <c r="DM77" s="245">
        <f t="shared" ref="DM77:DP77" ca="1" si="194">DM628</f>
        <v>41197</v>
      </c>
      <c r="DN77" s="245">
        <f t="shared" ca="1" si="194"/>
        <v>41239</v>
      </c>
      <c r="DO77" s="245">
        <f t="shared" ca="1" si="194"/>
        <v>6</v>
      </c>
      <c r="DP77" s="245">
        <f t="shared" ca="1" si="194"/>
        <v>24</v>
      </c>
      <c r="DQ77" s="281">
        <f t="shared" ca="1" si="131"/>
        <v>43</v>
      </c>
      <c r="DR77" s="278">
        <f t="shared" ca="1" si="132"/>
        <v>0</v>
      </c>
      <c r="DS77" s="244">
        <f t="shared" ca="1" si="60"/>
        <v>23567.01</v>
      </c>
      <c r="DT77" s="244">
        <f t="shared" ca="1" si="61"/>
        <v>21437.23</v>
      </c>
      <c r="DU77" s="244">
        <f t="shared" ca="1" si="133"/>
        <v>62.73</v>
      </c>
      <c r="DV77" s="244" t="str">
        <f t="shared" ca="1" si="134"/>
        <v>9/14 anni</v>
      </c>
      <c r="DW77" s="244"/>
      <c r="DX77" s="244">
        <f t="shared" ca="1" si="106"/>
        <v>9</v>
      </c>
      <c r="EA77" s="244">
        <f t="shared" ca="1" si="62"/>
        <v>2</v>
      </c>
      <c r="EB77" s="278">
        <f ca="1">VLOOKUP(DM77,Foglio1!$AB$31:$AN$261,13)-6+EA77</f>
        <v>187</v>
      </c>
      <c r="EC77" s="244"/>
      <c r="ED77" s="244">
        <f t="shared" ca="1" si="140"/>
        <v>0</v>
      </c>
      <c r="EE77" s="244">
        <f t="shared" ca="1" si="141"/>
        <v>15069.97</v>
      </c>
      <c r="EF77" s="244">
        <f t="shared" ca="1" si="142"/>
        <v>0</v>
      </c>
      <c r="EG77" s="244">
        <f t="shared" ca="1" si="143"/>
        <v>0</v>
      </c>
      <c r="EH77" s="244">
        <f t="shared" ca="1" si="144"/>
        <v>6384.11</v>
      </c>
      <c r="EI77" s="244">
        <f t="shared" ca="1" si="145"/>
        <v>144.93</v>
      </c>
      <c r="EJ77" s="244">
        <f t="shared" ca="1" si="146"/>
        <v>1799.92</v>
      </c>
      <c r="EK77" s="244">
        <f t="shared" ca="1" si="147"/>
        <v>0</v>
      </c>
      <c r="EL77" s="244">
        <f t="shared" ca="1" si="148"/>
        <v>0</v>
      </c>
      <c r="EM77" s="244">
        <f t="shared" ca="1" si="149"/>
        <v>187</v>
      </c>
      <c r="EN77" s="244">
        <f t="shared" ca="1" si="150"/>
        <v>0</v>
      </c>
      <c r="EO77" s="244">
        <f t="shared" ca="1" si="151"/>
        <v>0</v>
      </c>
      <c r="EP77" s="244">
        <f t="shared" ca="1" si="152"/>
        <v>1968</v>
      </c>
      <c r="EQ77" s="244">
        <f t="shared" ca="1" si="153"/>
        <v>0</v>
      </c>
      <c r="ER77" s="244"/>
      <c r="EW77" s="244">
        <v>0</v>
      </c>
      <c r="EX77" s="278">
        <f ca="1">VLOOKUP(DM77,Foglio1!$AB$31:$AN$261,13)-6+EW77</f>
        <v>185</v>
      </c>
      <c r="EY77" s="244"/>
      <c r="EZ77" s="244">
        <v>0</v>
      </c>
      <c r="FA77" s="244">
        <f t="shared" ca="1" si="156"/>
        <v>12940.19</v>
      </c>
      <c r="FB77" s="244">
        <f t="shared" ca="1" si="157"/>
        <v>0</v>
      </c>
      <c r="FC77" s="244">
        <f t="shared" ca="1" si="158"/>
        <v>0</v>
      </c>
      <c r="FD77" s="244">
        <f t="shared" ca="1" si="159"/>
        <v>6384.11</v>
      </c>
      <c r="FE77" s="244">
        <f t="shared" ca="1" si="160"/>
        <v>144.93</v>
      </c>
      <c r="FF77" s="244">
        <f t="shared" ca="1" si="161"/>
        <v>1622.44</v>
      </c>
      <c r="FG77" s="244">
        <f t="shared" ca="1" si="162"/>
        <v>0</v>
      </c>
      <c r="FH77" s="244">
        <f t="shared" ca="1" si="163"/>
        <v>0</v>
      </c>
      <c r="FI77" s="244">
        <f t="shared" ca="1" si="164"/>
        <v>185</v>
      </c>
      <c r="FJ77" s="244">
        <f t="shared" ca="1" si="165"/>
        <v>0</v>
      </c>
      <c r="FK77" s="244">
        <f t="shared" ca="1" si="166"/>
        <v>0</v>
      </c>
      <c r="FL77" s="244">
        <f t="shared" ca="1" si="167"/>
        <v>1968</v>
      </c>
      <c r="FM77" s="244">
        <f t="shared" ca="1" si="154"/>
        <v>0</v>
      </c>
      <c r="FN77" s="244"/>
    </row>
    <row r="78" spans="5:170" x14ac:dyDescent="0.25">
      <c r="E78" s="244"/>
      <c r="F78" s="240" t="str">
        <f>IF(fronttd!E80="","",fronttd!E80)</f>
        <v/>
      </c>
      <c r="G78" s="240" t="str">
        <f>IF(fronttd!F80="","",fronttd!F80)</f>
        <v/>
      </c>
      <c r="H78" s="380">
        <f>fronttd!G80</f>
        <v>0</v>
      </c>
      <c r="I78" s="380">
        <f>fronttd!H80</f>
        <v>0</v>
      </c>
      <c r="J78">
        <f t="shared" si="75"/>
        <v>24</v>
      </c>
      <c r="L78">
        <f t="shared" si="76"/>
        <v>78</v>
      </c>
      <c r="O78" s="238">
        <f t="shared" si="77"/>
        <v>78</v>
      </c>
      <c r="R78" s="112" t="str">
        <f t="shared" si="39"/>
        <v/>
      </c>
      <c r="S78" s="238" t="e">
        <f t="shared" ca="1" si="40"/>
        <v>#N/A</v>
      </c>
      <c r="T78" s="112" t="e">
        <f t="shared" ca="1" si="86"/>
        <v>#N/A</v>
      </c>
      <c r="U78" s="112" t="e">
        <f t="shared" ca="1" si="87"/>
        <v>#N/A</v>
      </c>
      <c r="V78" s="112" t="e">
        <f t="shared" ca="1" si="88"/>
        <v>#N/A</v>
      </c>
      <c r="W78" s="112" t="e">
        <f t="shared" ca="1" si="89"/>
        <v>#N/A</v>
      </c>
      <c r="X78" s="112" t="str">
        <f t="shared" si="41"/>
        <v/>
      </c>
      <c r="Y78" s="112"/>
      <c r="Z78" s="112"/>
      <c r="AA78" s="335" t="str">
        <f t="shared" si="42"/>
        <v/>
      </c>
      <c r="AB78" s="335" t="e">
        <f t="shared" ca="1" si="90"/>
        <v>#N/A</v>
      </c>
      <c r="AC78" s="335" t="e">
        <f t="shared" ca="1" si="91"/>
        <v>#N/A</v>
      </c>
      <c r="AD78" s="335" t="e">
        <f t="shared" ca="1" si="92"/>
        <v>#N/A</v>
      </c>
      <c r="AE78" s="335" t="e">
        <f t="shared" ca="1" si="93"/>
        <v>#N/A</v>
      </c>
      <c r="AF78" s="335" t="str">
        <f t="shared" si="43"/>
        <v/>
      </c>
      <c r="AG78" s="238">
        <f>AG77</f>
        <v>31</v>
      </c>
      <c r="AH78" s="112">
        <f ca="1">AI77+1</f>
        <v>37411</v>
      </c>
      <c r="AI78" s="112">
        <f ca="1">IF(INDIRECT(CONCATENATE("AE",AG75))&lt;100000,INDIRECT(CONCATENATE("AE",G75)),INDIRECT(CONCATENATE("AF",AG75)))</f>
        <v>37437</v>
      </c>
      <c r="AJ78" s="112">
        <f t="shared" ca="1" si="125"/>
        <v>37437</v>
      </c>
      <c r="AK78" s="112">
        <f t="shared" ca="1" si="169"/>
        <v>37437</v>
      </c>
      <c r="AL78" s="238">
        <f t="shared" ca="1" si="127"/>
        <v>1</v>
      </c>
      <c r="AM78" s="112">
        <f t="shared" ca="1" si="118"/>
        <v>37411</v>
      </c>
      <c r="AN78" s="112">
        <f t="shared" ca="1" si="84"/>
        <v>37437</v>
      </c>
      <c r="AO78" s="114">
        <f t="shared" ca="1" si="46"/>
        <v>18</v>
      </c>
      <c r="AP78" s="114">
        <f t="shared" ca="1" si="47"/>
        <v>24</v>
      </c>
      <c r="AQ78" s="112"/>
      <c r="AR78" s="238">
        <f t="shared" si="78"/>
        <v>78</v>
      </c>
      <c r="AS78" s="112"/>
      <c r="AT78" s="112"/>
      <c r="AU78" s="283">
        <f t="shared" si="185"/>
        <v>59</v>
      </c>
      <c r="AV78" s="284">
        <f t="shared" ca="1" si="48"/>
        <v>42979</v>
      </c>
      <c r="AW78" s="284">
        <f t="shared" ca="1" si="119"/>
        <v>43159</v>
      </c>
      <c r="AX78" s="285">
        <f t="shared" ca="1" si="120"/>
        <v>18</v>
      </c>
      <c r="AY78" s="285">
        <f t="shared" ca="1" si="186"/>
        <v>24</v>
      </c>
      <c r="AZ78" s="282"/>
      <c r="BD78" s="114">
        <f t="shared" si="80"/>
        <v>1</v>
      </c>
      <c r="BE78" s="112">
        <f t="shared" si="54"/>
        <v>100000</v>
      </c>
      <c r="BH78" s="238">
        <f t="shared" si="81"/>
        <v>59</v>
      </c>
      <c r="BI78" s="245" t="str">
        <f t="shared" si="55"/>
        <v/>
      </c>
      <c r="BJ78" s="281">
        <f t="shared" ca="1" si="96"/>
        <v>16</v>
      </c>
      <c r="BK78" s="245">
        <f t="shared" ca="1" si="56"/>
        <v>44075</v>
      </c>
      <c r="BL78" s="245">
        <f t="shared" ca="1" si="57"/>
        <v>44439</v>
      </c>
      <c r="BM78" s="244"/>
      <c r="BN78" s="245">
        <f t="shared" ca="1" si="97"/>
        <v>44439</v>
      </c>
      <c r="CL78" s="112"/>
      <c r="CM78" s="112"/>
      <c r="CP78" s="112"/>
      <c r="CQ78" s="112"/>
      <c r="CR78" s="238"/>
      <c r="CS78" s="238"/>
      <c r="CT78" s="112"/>
      <c r="CU78" s="112"/>
      <c r="CV78" s="112"/>
      <c r="CW78" s="112" t="s">
        <v>224</v>
      </c>
      <c r="CX78" s="112" t="s">
        <v>225</v>
      </c>
      <c r="CY78" s="112" t="s">
        <v>226</v>
      </c>
      <c r="CZ78" s="112" t="s">
        <v>227</v>
      </c>
      <c r="DA78" s="112" t="s">
        <v>228</v>
      </c>
      <c r="DB78" s="112" t="s">
        <v>229</v>
      </c>
      <c r="DC78" s="112"/>
      <c r="DD78" s="238">
        <f t="shared" ca="1" si="116"/>
        <v>0</v>
      </c>
      <c r="DE78" s="238">
        <f t="shared" ca="1" si="108"/>
        <v>0</v>
      </c>
      <c r="DF78" s="112"/>
      <c r="DG78" s="238"/>
      <c r="DH78" s="238"/>
      <c r="DI78" s="112"/>
      <c r="DJ78" s="238"/>
      <c r="DK78" s="112">
        <f t="shared" ca="1" si="58"/>
        <v>41240</v>
      </c>
      <c r="DL78" s="278">
        <f t="shared" ca="1" si="129"/>
        <v>59</v>
      </c>
      <c r="DM78" s="245">
        <f t="shared" ref="DM78:DP78" ca="1" si="195">DM629</f>
        <v>41240</v>
      </c>
      <c r="DN78" s="245">
        <f t="shared" ca="1" si="195"/>
        <v>41471</v>
      </c>
      <c r="DO78" s="245">
        <f t="shared" ca="1" si="195"/>
        <v>6</v>
      </c>
      <c r="DP78" s="245">
        <f t="shared" ca="1" si="195"/>
        <v>24</v>
      </c>
      <c r="DQ78" s="281">
        <f t="shared" ca="1" si="131"/>
        <v>232</v>
      </c>
      <c r="DR78" s="278">
        <f t="shared" ca="1" si="132"/>
        <v>0</v>
      </c>
      <c r="DS78" s="244">
        <f t="shared" ca="1" si="60"/>
        <v>23567.01</v>
      </c>
      <c r="DT78" s="244">
        <f t="shared" ca="1" si="61"/>
        <v>21437.23</v>
      </c>
      <c r="DU78" s="244">
        <f t="shared" ca="1" si="133"/>
        <v>338.43</v>
      </c>
      <c r="DV78" s="244" t="str">
        <f t="shared" ca="1" si="134"/>
        <v>9/14 anni</v>
      </c>
      <c r="DW78" s="244"/>
      <c r="DX78" s="244">
        <f t="shared" ca="1" si="106"/>
        <v>9</v>
      </c>
      <c r="EA78" s="244">
        <f t="shared" ca="1" si="62"/>
        <v>2</v>
      </c>
      <c r="EB78" s="278">
        <f ca="1">VLOOKUP(DM78,Foglio1!$AB$31:$AN$261,13)-6+EA78</f>
        <v>187</v>
      </c>
      <c r="EC78" s="244"/>
      <c r="ED78" s="244">
        <f t="shared" ca="1" si="140"/>
        <v>0</v>
      </c>
      <c r="EE78" s="244">
        <f t="shared" ca="1" si="141"/>
        <v>15069.97</v>
      </c>
      <c r="EF78" s="244">
        <f t="shared" ca="1" si="142"/>
        <v>0</v>
      </c>
      <c r="EG78" s="244">
        <f t="shared" ca="1" si="143"/>
        <v>0</v>
      </c>
      <c r="EH78" s="244">
        <f t="shared" ca="1" si="144"/>
        <v>6384.11</v>
      </c>
      <c r="EI78" s="244">
        <f t="shared" ca="1" si="145"/>
        <v>144.93</v>
      </c>
      <c r="EJ78" s="244">
        <f t="shared" ca="1" si="146"/>
        <v>1799.92</v>
      </c>
      <c r="EK78" s="244">
        <f t="shared" ca="1" si="147"/>
        <v>0</v>
      </c>
      <c r="EL78" s="244">
        <f t="shared" ca="1" si="148"/>
        <v>0</v>
      </c>
      <c r="EM78" s="244">
        <f t="shared" ca="1" si="149"/>
        <v>187</v>
      </c>
      <c r="EN78" s="244">
        <f t="shared" ca="1" si="150"/>
        <v>0</v>
      </c>
      <c r="EO78" s="244">
        <f t="shared" ca="1" si="151"/>
        <v>0</v>
      </c>
      <c r="EP78" s="244">
        <f t="shared" ca="1" si="152"/>
        <v>1968</v>
      </c>
      <c r="EQ78" s="244">
        <f t="shared" ca="1" si="153"/>
        <v>0</v>
      </c>
      <c r="ER78" s="244"/>
      <c r="EW78" s="244">
        <v>0</v>
      </c>
      <c r="EX78" s="278">
        <f ca="1">VLOOKUP(DM78,Foglio1!$AB$31:$AN$261,13)-6+EW78</f>
        <v>185</v>
      </c>
      <c r="EY78" s="244"/>
      <c r="EZ78" s="244">
        <v>0</v>
      </c>
      <c r="FA78" s="244">
        <f t="shared" ca="1" si="156"/>
        <v>12940.19</v>
      </c>
      <c r="FB78" s="244">
        <f t="shared" ca="1" si="157"/>
        <v>0</v>
      </c>
      <c r="FC78" s="244">
        <f t="shared" ca="1" si="158"/>
        <v>0</v>
      </c>
      <c r="FD78" s="244">
        <f t="shared" ca="1" si="159"/>
        <v>6384.11</v>
      </c>
      <c r="FE78" s="244">
        <f t="shared" ca="1" si="160"/>
        <v>144.93</v>
      </c>
      <c r="FF78" s="244">
        <f t="shared" ca="1" si="161"/>
        <v>1622.44</v>
      </c>
      <c r="FG78" s="244">
        <f t="shared" ca="1" si="162"/>
        <v>0</v>
      </c>
      <c r="FH78" s="244">
        <f t="shared" ca="1" si="163"/>
        <v>0</v>
      </c>
      <c r="FI78" s="244">
        <f t="shared" ca="1" si="164"/>
        <v>185</v>
      </c>
      <c r="FJ78" s="244">
        <f t="shared" ca="1" si="165"/>
        <v>0</v>
      </c>
      <c r="FK78" s="244">
        <f t="shared" ca="1" si="166"/>
        <v>0</v>
      </c>
      <c r="FL78" s="244">
        <f t="shared" ca="1" si="167"/>
        <v>1968</v>
      </c>
      <c r="FM78" s="244">
        <f t="shared" ca="1" si="154"/>
        <v>0</v>
      </c>
      <c r="FN78" s="244"/>
    </row>
    <row r="79" spans="5:170" x14ac:dyDescent="0.25">
      <c r="E79" s="244"/>
      <c r="F79" s="240" t="str">
        <f>IF(fronttd!E81="","",fronttd!E81)</f>
        <v/>
      </c>
      <c r="G79" s="240" t="str">
        <f>IF(fronttd!F81="","",fronttd!F81)</f>
        <v/>
      </c>
      <c r="H79" s="380">
        <f>fronttd!G81</f>
        <v>0</v>
      </c>
      <c r="I79" s="380">
        <f>fronttd!H81</f>
        <v>0</v>
      </c>
      <c r="J79">
        <f t="shared" si="75"/>
        <v>24</v>
      </c>
      <c r="L79">
        <f t="shared" si="76"/>
        <v>79</v>
      </c>
      <c r="O79" s="238">
        <f t="shared" si="77"/>
        <v>79</v>
      </c>
      <c r="R79" s="112" t="str">
        <f t="shared" si="39"/>
        <v/>
      </c>
      <c r="S79" s="238" t="e">
        <f t="shared" ca="1" si="40"/>
        <v>#N/A</v>
      </c>
      <c r="T79" s="112" t="e">
        <f t="shared" ca="1" si="86"/>
        <v>#N/A</v>
      </c>
      <c r="U79" s="112" t="e">
        <f t="shared" ca="1" si="87"/>
        <v>#N/A</v>
      </c>
      <c r="V79" s="112" t="e">
        <f t="shared" ca="1" si="88"/>
        <v>#N/A</v>
      </c>
      <c r="W79" s="112" t="e">
        <f t="shared" ca="1" si="89"/>
        <v>#N/A</v>
      </c>
      <c r="X79" s="112" t="str">
        <f t="shared" si="41"/>
        <v/>
      </c>
      <c r="Y79" s="112"/>
      <c r="Z79" s="112"/>
      <c r="AA79" s="335" t="str">
        <f t="shared" si="42"/>
        <v/>
      </c>
      <c r="AB79" s="335" t="e">
        <f t="shared" ca="1" si="90"/>
        <v>#N/A</v>
      </c>
      <c r="AC79" s="335" t="e">
        <f t="shared" ca="1" si="91"/>
        <v>#N/A</v>
      </c>
      <c r="AD79" s="335" t="e">
        <f t="shared" ca="1" si="92"/>
        <v>#N/A</v>
      </c>
      <c r="AE79" s="335" t="e">
        <f t="shared" ca="1" si="93"/>
        <v>#N/A</v>
      </c>
      <c r="AF79" s="335" t="str">
        <f t="shared" si="43"/>
        <v/>
      </c>
      <c r="AG79" s="238">
        <f>AG78</f>
        <v>31</v>
      </c>
      <c r="AH79" s="112">
        <f ca="1">AI78+1</f>
        <v>37438</v>
      </c>
      <c r="AI79" s="112">
        <f ca="1">INDIRECT(CONCATENATE("AF",AG75))</f>
        <v>37437</v>
      </c>
      <c r="AJ79" s="112">
        <f t="shared" ca="1" si="125"/>
        <v>37437</v>
      </c>
      <c r="AK79" s="112">
        <f t="shared" ca="1" si="169"/>
        <v>37437</v>
      </c>
      <c r="AL79" s="238">
        <f t="shared" ca="1" si="127"/>
        <v>0</v>
      </c>
      <c r="AM79" s="112">
        <f t="shared" ca="1" si="118"/>
        <v>100000</v>
      </c>
      <c r="AN79" s="112">
        <f t="shared" ca="1" si="84"/>
        <v>100000</v>
      </c>
      <c r="AO79" s="114">
        <f t="shared" ca="1" si="46"/>
        <v>18</v>
      </c>
      <c r="AP79" s="114">
        <f t="shared" ca="1" si="47"/>
        <v>24</v>
      </c>
      <c r="AQ79" s="112"/>
      <c r="AR79" s="238">
        <f t="shared" si="78"/>
        <v>79</v>
      </c>
      <c r="AS79" s="112"/>
      <c r="AT79" s="112"/>
      <c r="AU79" s="283">
        <f t="shared" si="185"/>
        <v>60</v>
      </c>
      <c r="AV79" s="284">
        <f t="shared" ca="1" si="48"/>
        <v>43160</v>
      </c>
      <c r="AW79" s="284">
        <f t="shared" ca="1" si="119"/>
        <v>43190</v>
      </c>
      <c r="AX79" s="285">
        <f t="shared" ca="1" si="120"/>
        <v>18</v>
      </c>
      <c r="AY79" s="285">
        <f t="shared" ca="1" si="186"/>
        <v>24</v>
      </c>
      <c r="AZ79" s="282"/>
      <c r="BD79" s="114">
        <f t="shared" si="80"/>
        <v>1</v>
      </c>
      <c r="BE79" s="112">
        <f t="shared" si="54"/>
        <v>100000</v>
      </c>
      <c r="BH79" s="238">
        <f t="shared" si="81"/>
        <v>60</v>
      </c>
      <c r="BI79" s="245" t="str">
        <f t="shared" si="55"/>
        <v/>
      </c>
      <c r="BJ79" s="281">
        <f t="shared" ca="1" si="96"/>
        <v>16</v>
      </c>
      <c r="BK79" s="245">
        <f t="shared" ca="1" si="56"/>
        <v>44440</v>
      </c>
      <c r="BL79" s="245">
        <f t="shared" ca="1" si="57"/>
        <v>99999</v>
      </c>
      <c r="BM79" s="244"/>
      <c r="BN79" s="245">
        <f t="shared" ca="1" si="97"/>
        <v>44804</v>
      </c>
      <c r="CL79" s="112"/>
      <c r="CM79" s="112"/>
      <c r="CP79" s="112"/>
      <c r="CQ79" s="112"/>
      <c r="CR79" s="238"/>
      <c r="CS79" s="238"/>
      <c r="CT79" s="112"/>
      <c r="CU79" s="112"/>
      <c r="CV79" s="112"/>
      <c r="CW79" s="112" t="s">
        <v>224</v>
      </c>
      <c r="CX79" s="112" t="s">
        <v>225</v>
      </c>
      <c r="CY79" s="112" t="s">
        <v>226</v>
      </c>
      <c r="CZ79" s="112" t="s">
        <v>227</v>
      </c>
      <c r="DA79" s="112" t="s">
        <v>228</v>
      </c>
      <c r="DB79" s="112" t="s">
        <v>229</v>
      </c>
      <c r="DC79" s="112"/>
      <c r="DD79" s="238">
        <f t="shared" ca="1" si="116"/>
        <v>0</v>
      </c>
      <c r="DE79" s="238">
        <f t="shared" ca="1" si="108"/>
        <v>0</v>
      </c>
      <c r="DF79" s="112"/>
      <c r="DG79" s="238"/>
      <c r="DH79" s="238"/>
      <c r="DI79" s="112"/>
      <c r="DJ79" s="238"/>
      <c r="DK79" s="112">
        <f t="shared" ca="1" si="58"/>
        <v>41530</v>
      </c>
      <c r="DL79" s="278">
        <f t="shared" ca="1" si="129"/>
        <v>60</v>
      </c>
      <c r="DM79" s="245">
        <f t="shared" ref="DM79:DP79" ca="1" si="196">DM630</f>
        <v>41530</v>
      </c>
      <c r="DN79" s="245">
        <f t="shared" ca="1" si="196"/>
        <v>41882</v>
      </c>
      <c r="DO79" s="245">
        <f t="shared" ca="1" si="196"/>
        <v>18</v>
      </c>
      <c r="DP79" s="245">
        <f t="shared" ca="1" si="196"/>
        <v>24</v>
      </c>
      <c r="DQ79" s="281">
        <f t="shared" ca="1" si="131"/>
        <v>353</v>
      </c>
      <c r="DR79" s="278">
        <f t="shared" ca="1" si="132"/>
        <v>0</v>
      </c>
      <c r="DS79" s="244">
        <f t="shared" ca="1" si="60"/>
        <v>23567.01</v>
      </c>
      <c r="DT79" s="244">
        <f t="shared" ca="1" si="61"/>
        <v>21437.23</v>
      </c>
      <c r="DU79" s="244">
        <f t="shared" ca="1" si="133"/>
        <v>1544.82</v>
      </c>
      <c r="DV79" s="244" t="str">
        <f t="shared" ca="1" si="134"/>
        <v>9/14 anni</v>
      </c>
      <c r="DW79" s="244"/>
      <c r="DX79" s="244">
        <f t="shared" ca="1" si="106"/>
        <v>9</v>
      </c>
      <c r="EA79" s="244">
        <f t="shared" ca="1" si="62"/>
        <v>2</v>
      </c>
      <c r="EB79" s="278">
        <f ca="1">VLOOKUP(DM79,Foglio1!$AB$31:$AN$261,13)-6+EA79</f>
        <v>187</v>
      </c>
      <c r="EC79" s="244"/>
      <c r="ED79" s="244">
        <f t="shared" ca="1" si="140"/>
        <v>0</v>
      </c>
      <c r="EE79" s="244">
        <f t="shared" ca="1" si="141"/>
        <v>15069.97</v>
      </c>
      <c r="EF79" s="244">
        <f t="shared" ca="1" si="142"/>
        <v>0</v>
      </c>
      <c r="EG79" s="244">
        <f t="shared" ca="1" si="143"/>
        <v>0</v>
      </c>
      <c r="EH79" s="244">
        <f t="shared" ca="1" si="144"/>
        <v>6384.11</v>
      </c>
      <c r="EI79" s="244">
        <f t="shared" ca="1" si="145"/>
        <v>144.93</v>
      </c>
      <c r="EJ79" s="244">
        <f t="shared" ca="1" si="146"/>
        <v>1799.92</v>
      </c>
      <c r="EK79" s="244">
        <f t="shared" ca="1" si="147"/>
        <v>0</v>
      </c>
      <c r="EL79" s="244">
        <f t="shared" ca="1" si="148"/>
        <v>0</v>
      </c>
      <c r="EM79" s="244">
        <f t="shared" ca="1" si="149"/>
        <v>187</v>
      </c>
      <c r="EN79" s="244">
        <f t="shared" ca="1" si="150"/>
        <v>0</v>
      </c>
      <c r="EO79" s="244">
        <f t="shared" ca="1" si="151"/>
        <v>0</v>
      </c>
      <c r="EP79" s="244">
        <f t="shared" ca="1" si="152"/>
        <v>1968</v>
      </c>
      <c r="EQ79" s="244">
        <f t="shared" ca="1" si="153"/>
        <v>0</v>
      </c>
      <c r="ER79" s="244"/>
      <c r="EW79" s="244">
        <v>0</v>
      </c>
      <c r="EX79" s="278">
        <f ca="1">VLOOKUP(DM79,Foglio1!$AB$31:$AN$261,13)-6+EW79</f>
        <v>185</v>
      </c>
      <c r="EY79" s="244"/>
      <c r="EZ79" s="244">
        <v>0</v>
      </c>
      <c r="FA79" s="244">
        <f t="shared" ca="1" si="156"/>
        <v>12940.19</v>
      </c>
      <c r="FB79" s="244">
        <f t="shared" ca="1" si="157"/>
        <v>0</v>
      </c>
      <c r="FC79" s="244">
        <f t="shared" ca="1" si="158"/>
        <v>0</v>
      </c>
      <c r="FD79" s="244">
        <f t="shared" ca="1" si="159"/>
        <v>6384.11</v>
      </c>
      <c r="FE79" s="244">
        <f t="shared" ca="1" si="160"/>
        <v>144.93</v>
      </c>
      <c r="FF79" s="244">
        <f t="shared" ca="1" si="161"/>
        <v>1622.44</v>
      </c>
      <c r="FG79" s="244">
        <f t="shared" ca="1" si="162"/>
        <v>0</v>
      </c>
      <c r="FH79" s="244">
        <f t="shared" ca="1" si="163"/>
        <v>0</v>
      </c>
      <c r="FI79" s="244">
        <f t="shared" ca="1" si="164"/>
        <v>185</v>
      </c>
      <c r="FJ79" s="244">
        <f t="shared" ca="1" si="165"/>
        <v>0</v>
      </c>
      <c r="FK79" s="244">
        <f t="shared" ca="1" si="166"/>
        <v>0</v>
      </c>
      <c r="FL79" s="244">
        <f t="shared" ca="1" si="167"/>
        <v>1968</v>
      </c>
      <c r="FM79" s="244">
        <f t="shared" ca="1" si="154"/>
        <v>0</v>
      </c>
      <c r="FN79" s="244"/>
    </row>
    <row r="80" spans="5:170" x14ac:dyDescent="0.25">
      <c r="E80" s="244"/>
      <c r="F80" s="240" t="str">
        <f>IF(fronttd!E82="","",fronttd!E82)</f>
        <v/>
      </c>
      <c r="G80" s="240" t="str">
        <f>IF(fronttd!F82="","",fronttd!F82)</f>
        <v/>
      </c>
      <c r="H80" s="380">
        <f>fronttd!G82</f>
        <v>0</v>
      </c>
      <c r="I80" s="380">
        <f>fronttd!H82</f>
        <v>0</v>
      </c>
      <c r="J80">
        <f t="shared" si="75"/>
        <v>24</v>
      </c>
      <c r="L80">
        <f t="shared" si="76"/>
        <v>80</v>
      </c>
      <c r="O80" s="238">
        <f t="shared" si="77"/>
        <v>80</v>
      </c>
      <c r="R80" s="112" t="str">
        <f t="shared" si="39"/>
        <v/>
      </c>
      <c r="S80" s="238" t="e">
        <f t="shared" ca="1" si="40"/>
        <v>#N/A</v>
      </c>
      <c r="T80" s="112" t="e">
        <f t="shared" ca="1" si="86"/>
        <v>#N/A</v>
      </c>
      <c r="U80" s="112" t="e">
        <f t="shared" ca="1" si="87"/>
        <v>#N/A</v>
      </c>
      <c r="V80" s="112" t="e">
        <f t="shared" ca="1" si="88"/>
        <v>#N/A</v>
      </c>
      <c r="W80" s="112" t="e">
        <f t="shared" ca="1" si="89"/>
        <v>#N/A</v>
      </c>
      <c r="X80" s="112" t="str">
        <f t="shared" si="41"/>
        <v/>
      </c>
      <c r="Y80" s="112"/>
      <c r="Z80" s="112"/>
      <c r="AA80" s="335" t="str">
        <f t="shared" si="42"/>
        <v/>
      </c>
      <c r="AB80" s="335" t="e">
        <f t="shared" ca="1" si="90"/>
        <v>#N/A</v>
      </c>
      <c r="AC80" s="335" t="e">
        <f t="shared" ca="1" si="91"/>
        <v>#N/A</v>
      </c>
      <c r="AD80" s="335" t="e">
        <f t="shared" ca="1" si="92"/>
        <v>#N/A</v>
      </c>
      <c r="AE80" s="335" t="e">
        <f t="shared" ca="1" si="93"/>
        <v>#N/A</v>
      </c>
      <c r="AF80" s="335" t="str">
        <f t="shared" si="43"/>
        <v/>
      </c>
      <c r="AG80" s="238">
        <f>AG79+1</f>
        <v>32</v>
      </c>
      <c r="AH80" s="112">
        <f ca="1">INDIRECT(CONCATENATE("AA",AG80))</f>
        <v>37202</v>
      </c>
      <c r="AI80" s="112">
        <f ca="1">IF(            INDIRECT(CONCATENATE( "AB",AG80))&lt;100000,       INDIRECT(CONCATENATE("AB",AG80))  -1,IF(   INDIRECT(CONCATENATE("AC",AG80))&lt;100000,   INDIRECT(CONCATENATE("AC",AG80))-1,IF(   INDIRECT(CONCATENATE("AD", AG80))&lt;100000, INDIRECT(CONCATENATE("AD",AG80))-1,IF(   INDIRECT(CONCATENATE("AE",AG80))&lt;100000,  INDIRECT(CONCATENATE("AE",G80)),INDIRECT(CONCATENATE("AF",AG80))                ))))</f>
        <v>37256</v>
      </c>
      <c r="AJ80" s="112">
        <f t="shared" ca="1" si="125"/>
        <v>37256</v>
      </c>
      <c r="AK80" s="112">
        <f t="shared" ca="1" si="169"/>
        <v>37256</v>
      </c>
      <c r="AL80" s="238">
        <f t="shared" ca="1" si="127"/>
        <v>1</v>
      </c>
      <c r="AM80" s="112">
        <f t="shared" ca="1" si="118"/>
        <v>37202</v>
      </c>
      <c r="AN80" s="112">
        <f t="shared" ca="1" si="84"/>
        <v>37256</v>
      </c>
      <c r="AO80" s="114">
        <f t="shared" ca="1" si="46"/>
        <v>18</v>
      </c>
      <c r="AP80" s="114">
        <f t="shared" ca="1" si="47"/>
        <v>24</v>
      </c>
      <c r="AQ80" s="112"/>
      <c r="AR80" s="238">
        <f t="shared" si="78"/>
        <v>80</v>
      </c>
      <c r="AS80" s="112"/>
      <c r="AT80" s="112"/>
      <c r="AU80" s="283">
        <f t="shared" si="185"/>
        <v>61</v>
      </c>
      <c r="AV80" s="284">
        <f t="shared" ca="1" si="48"/>
        <v>43191</v>
      </c>
      <c r="AW80" s="284">
        <f t="shared" ca="1" si="119"/>
        <v>43343</v>
      </c>
      <c r="AX80" s="285">
        <f t="shared" ca="1" si="120"/>
        <v>18</v>
      </c>
      <c r="AY80" s="285">
        <f t="shared" ca="1" si="186"/>
        <v>24</v>
      </c>
      <c r="AZ80" s="282"/>
      <c r="BD80" s="114">
        <f t="shared" si="80"/>
        <v>1</v>
      </c>
      <c r="BE80" s="112">
        <f t="shared" si="54"/>
        <v>100000</v>
      </c>
      <c r="BH80" s="238">
        <f t="shared" si="81"/>
        <v>61</v>
      </c>
      <c r="BI80" s="245" t="str">
        <f t="shared" si="55"/>
        <v/>
      </c>
      <c r="BJ80" s="281">
        <f t="shared" ca="1" si="96"/>
        <v>1</v>
      </c>
      <c r="BK80" s="245">
        <f t="shared" ca="1" si="56"/>
        <v>100000</v>
      </c>
      <c r="BL80" s="245">
        <f t="shared" ca="1" si="57"/>
        <v>99999</v>
      </c>
      <c r="BM80" s="244"/>
      <c r="BN80" s="245">
        <f t="shared" ca="1" si="97"/>
        <v>44804</v>
      </c>
      <c r="CL80" s="112"/>
      <c r="CM80" s="112"/>
      <c r="CP80" s="112"/>
      <c r="CQ80" s="112"/>
      <c r="CR80" s="238"/>
      <c r="CS80" s="238"/>
      <c r="CT80" s="112"/>
      <c r="CU80" s="112"/>
      <c r="CV80" s="112"/>
      <c r="CW80" s="112" t="s">
        <v>224</v>
      </c>
      <c r="CX80" s="112" t="s">
        <v>225</v>
      </c>
      <c r="CY80" s="112" t="s">
        <v>226</v>
      </c>
      <c r="CZ80" s="112" t="s">
        <v>227</v>
      </c>
      <c r="DA80" s="112" t="s">
        <v>228</v>
      </c>
      <c r="DB80" s="112" t="s">
        <v>229</v>
      </c>
      <c r="DC80" s="112"/>
      <c r="DD80" s="238">
        <f t="shared" ca="1" si="116"/>
        <v>0</v>
      </c>
      <c r="DE80" s="238">
        <f t="shared" ca="1" si="108"/>
        <v>0</v>
      </c>
      <c r="DF80" s="112"/>
      <c r="DG80" s="238"/>
      <c r="DH80" s="238"/>
      <c r="DI80" s="112"/>
      <c r="DJ80" s="238"/>
      <c r="DK80" s="112">
        <f t="shared" ca="1" si="58"/>
        <v>41915</v>
      </c>
      <c r="DL80" s="278">
        <f t="shared" ca="1" si="129"/>
        <v>61</v>
      </c>
      <c r="DM80" s="245">
        <f t="shared" ref="DM80:DP80" ca="1" si="197">DM631</f>
        <v>41915</v>
      </c>
      <c r="DN80" s="245">
        <f t="shared" ca="1" si="197"/>
        <v>42185</v>
      </c>
      <c r="DO80" s="245">
        <f t="shared" ca="1" si="197"/>
        <v>18</v>
      </c>
      <c r="DP80" s="245">
        <f t="shared" ca="1" si="197"/>
        <v>24</v>
      </c>
      <c r="DQ80" s="281">
        <f t="shared" ca="1" si="131"/>
        <v>271</v>
      </c>
      <c r="DR80" s="278">
        <f t="shared" ca="1" si="132"/>
        <v>0</v>
      </c>
      <c r="DS80" s="244">
        <f t="shared" ca="1" si="60"/>
        <v>23567.01</v>
      </c>
      <c r="DT80" s="244">
        <f t="shared" ca="1" si="61"/>
        <v>21437.23</v>
      </c>
      <c r="DU80" s="244">
        <f t="shared" ca="1" si="133"/>
        <v>1185.97</v>
      </c>
      <c r="DV80" s="244" t="str">
        <f t="shared" ca="1" si="134"/>
        <v>9/14 anni</v>
      </c>
      <c r="DW80" s="244"/>
      <c r="DX80" s="244">
        <f t="shared" ca="1" si="106"/>
        <v>9</v>
      </c>
      <c r="EA80" s="244">
        <f t="shared" ca="1" si="62"/>
        <v>2</v>
      </c>
      <c r="EB80" s="278">
        <f ca="1">VLOOKUP(DM80,Foglio1!$AB$31:$AN$261,13)-6+EA80</f>
        <v>187</v>
      </c>
      <c r="EC80" s="244"/>
      <c r="ED80" s="244">
        <f t="shared" ca="1" si="140"/>
        <v>0</v>
      </c>
      <c r="EE80" s="244">
        <f t="shared" ca="1" si="141"/>
        <v>15069.97</v>
      </c>
      <c r="EF80" s="244">
        <f t="shared" ca="1" si="142"/>
        <v>0</v>
      </c>
      <c r="EG80" s="244">
        <f t="shared" ca="1" si="143"/>
        <v>0</v>
      </c>
      <c r="EH80" s="244">
        <f t="shared" ca="1" si="144"/>
        <v>6384.11</v>
      </c>
      <c r="EI80" s="244">
        <f t="shared" ca="1" si="145"/>
        <v>144.93</v>
      </c>
      <c r="EJ80" s="244">
        <f t="shared" ca="1" si="146"/>
        <v>1799.92</v>
      </c>
      <c r="EK80" s="244">
        <f t="shared" ca="1" si="147"/>
        <v>0</v>
      </c>
      <c r="EL80" s="244">
        <f t="shared" ca="1" si="148"/>
        <v>0</v>
      </c>
      <c r="EM80" s="244">
        <f t="shared" ca="1" si="149"/>
        <v>187</v>
      </c>
      <c r="EN80" s="244">
        <f t="shared" ca="1" si="150"/>
        <v>0</v>
      </c>
      <c r="EO80" s="244">
        <f t="shared" ca="1" si="151"/>
        <v>0</v>
      </c>
      <c r="EP80" s="244">
        <f t="shared" ca="1" si="152"/>
        <v>1968</v>
      </c>
      <c r="EQ80" s="244">
        <f t="shared" ca="1" si="153"/>
        <v>0</v>
      </c>
      <c r="ER80" s="244"/>
      <c r="EW80" s="244">
        <v>0</v>
      </c>
      <c r="EX80" s="278">
        <f ca="1">VLOOKUP(DM80,Foglio1!$AB$31:$AN$261,13)-6+EW80</f>
        <v>185</v>
      </c>
      <c r="EY80" s="244"/>
      <c r="EZ80" s="244">
        <v>0</v>
      </c>
      <c r="FA80" s="244">
        <f t="shared" ca="1" si="156"/>
        <v>12940.19</v>
      </c>
      <c r="FB80" s="244">
        <f t="shared" ca="1" si="157"/>
        <v>0</v>
      </c>
      <c r="FC80" s="244">
        <f t="shared" ca="1" si="158"/>
        <v>0</v>
      </c>
      <c r="FD80" s="244">
        <f t="shared" ca="1" si="159"/>
        <v>6384.11</v>
      </c>
      <c r="FE80" s="244">
        <f t="shared" ca="1" si="160"/>
        <v>144.93</v>
      </c>
      <c r="FF80" s="244">
        <f t="shared" ca="1" si="161"/>
        <v>1622.44</v>
      </c>
      <c r="FG80" s="244">
        <f t="shared" ca="1" si="162"/>
        <v>0</v>
      </c>
      <c r="FH80" s="244">
        <f t="shared" ca="1" si="163"/>
        <v>0</v>
      </c>
      <c r="FI80" s="244">
        <f t="shared" ca="1" si="164"/>
        <v>185</v>
      </c>
      <c r="FJ80" s="244">
        <f t="shared" ca="1" si="165"/>
        <v>0</v>
      </c>
      <c r="FK80" s="244">
        <f t="shared" ca="1" si="166"/>
        <v>0</v>
      </c>
      <c r="FL80" s="244">
        <f t="shared" ca="1" si="167"/>
        <v>1968</v>
      </c>
      <c r="FM80" s="244">
        <f t="shared" ca="1" si="154"/>
        <v>0</v>
      </c>
      <c r="FN80" s="244"/>
    </row>
    <row r="81" spans="5:170" x14ac:dyDescent="0.25">
      <c r="E81" s="244"/>
      <c r="F81" s="240" t="str">
        <f>IF(fronttd!E83="","",fronttd!E83)</f>
        <v/>
      </c>
      <c r="G81" s="240" t="str">
        <f>IF(fronttd!F83="","",fronttd!F83)</f>
        <v/>
      </c>
      <c r="H81" s="380">
        <f>fronttd!G83</f>
        <v>0</v>
      </c>
      <c r="I81" s="380">
        <f>fronttd!H83</f>
        <v>0</v>
      </c>
      <c r="J81">
        <f t="shared" si="75"/>
        <v>24</v>
      </c>
      <c r="L81">
        <f t="shared" si="76"/>
        <v>81</v>
      </c>
      <c r="O81" s="238">
        <f t="shared" si="77"/>
        <v>81</v>
      </c>
      <c r="R81" s="112" t="str">
        <f t="shared" si="39"/>
        <v/>
      </c>
      <c r="S81" s="238" t="e">
        <f t="shared" ca="1" si="40"/>
        <v>#N/A</v>
      </c>
      <c r="T81" s="112" t="e">
        <f t="shared" ca="1" si="86"/>
        <v>#N/A</v>
      </c>
      <c r="U81" s="112" t="e">
        <f t="shared" ca="1" si="87"/>
        <v>#N/A</v>
      </c>
      <c r="V81" s="112" t="e">
        <f t="shared" ca="1" si="88"/>
        <v>#N/A</v>
      </c>
      <c r="W81" s="112" t="e">
        <f t="shared" ca="1" si="89"/>
        <v>#N/A</v>
      </c>
      <c r="X81" s="112" t="str">
        <f t="shared" si="41"/>
        <v/>
      </c>
      <c r="Y81" s="112"/>
      <c r="Z81" s="112"/>
      <c r="AA81" s="335" t="str">
        <f t="shared" si="42"/>
        <v/>
      </c>
      <c r="AB81" s="335" t="e">
        <f t="shared" ca="1" si="90"/>
        <v>#N/A</v>
      </c>
      <c r="AC81" s="335" t="e">
        <f t="shared" ca="1" si="91"/>
        <v>#N/A</v>
      </c>
      <c r="AD81" s="335" t="e">
        <f t="shared" ca="1" si="92"/>
        <v>#N/A</v>
      </c>
      <c r="AE81" s="335" t="e">
        <f t="shared" ca="1" si="93"/>
        <v>#N/A</v>
      </c>
      <c r="AF81" s="335" t="str">
        <f t="shared" si="43"/>
        <v/>
      </c>
      <c r="AG81" s="238">
        <f>AG80</f>
        <v>32</v>
      </c>
      <c r="AH81" s="112">
        <f ca="1">AI80+1</f>
        <v>37257</v>
      </c>
      <c r="AI81" s="112">
        <f ca="1">IF(INDIRECT(CONCATENATE("AC",AG80))&lt;100000,INDIRECT(CONCATENATE("AC",AG80))-1,IF(INDIRECT(CONCATENATE("AD",AG80))&lt;100000,INDIRECT(CONCATENATE("AD",AG80))-1,IF(INDIRECT(CONCATENATE("AE",AG80))&lt;100000,INDIRECT(CONCATENATE("AE",G80)),INDIRECT(CONCATENATE("AF",AG80)))))</f>
        <v>37256</v>
      </c>
      <c r="AJ81" s="112">
        <f t="shared" ca="1" si="125"/>
        <v>37256</v>
      </c>
      <c r="AK81" s="112">
        <f t="shared" ca="1" si="169"/>
        <v>37256</v>
      </c>
      <c r="AL81" s="238">
        <f t="shared" ca="1" si="127"/>
        <v>0</v>
      </c>
      <c r="AM81" s="112">
        <f t="shared" ca="1" si="118"/>
        <v>100000</v>
      </c>
      <c r="AN81" s="112">
        <f t="shared" ca="1" si="84"/>
        <v>100000</v>
      </c>
      <c r="AO81" s="114">
        <f t="shared" ca="1" si="46"/>
        <v>18</v>
      </c>
      <c r="AP81" s="114">
        <f t="shared" ca="1" si="47"/>
        <v>24</v>
      </c>
      <c r="AQ81" s="112"/>
      <c r="AR81" s="238">
        <f t="shared" si="78"/>
        <v>81</v>
      </c>
      <c r="AS81" s="112"/>
      <c r="AT81" s="112"/>
      <c r="AU81" s="283">
        <f t="shared" si="185"/>
        <v>62</v>
      </c>
      <c r="AV81" s="284">
        <f t="shared" ca="1" si="48"/>
        <v>43344</v>
      </c>
      <c r="AW81" s="284">
        <f t="shared" ca="1" si="119"/>
        <v>43465</v>
      </c>
      <c r="AX81" s="285">
        <f t="shared" ca="1" si="120"/>
        <v>18</v>
      </c>
      <c r="AY81" s="285">
        <f t="shared" ca="1" si="186"/>
        <v>24</v>
      </c>
      <c r="AZ81" s="282"/>
      <c r="BD81" s="114">
        <f t="shared" si="80"/>
        <v>1</v>
      </c>
      <c r="BE81" s="112">
        <f t="shared" si="54"/>
        <v>100000</v>
      </c>
      <c r="BH81" s="238">
        <f t="shared" si="81"/>
        <v>62</v>
      </c>
      <c r="BI81" s="245" t="str">
        <f t="shared" si="55"/>
        <v/>
      </c>
      <c r="BJ81" s="281">
        <f t="shared" ca="1" si="96"/>
        <v>1</v>
      </c>
      <c r="BK81" s="245">
        <f t="shared" ca="1" si="56"/>
        <v>100000</v>
      </c>
      <c r="BL81" s="245">
        <f t="shared" ca="1" si="57"/>
        <v>99999</v>
      </c>
      <c r="BM81" s="244"/>
      <c r="BN81" s="245">
        <f t="shared" ca="1" si="97"/>
        <v>44804</v>
      </c>
      <c r="CL81" s="112"/>
      <c r="CM81" s="112"/>
      <c r="CP81" s="112"/>
      <c r="CQ81" s="112"/>
      <c r="CR81" s="238"/>
      <c r="CS81" s="238"/>
      <c r="CT81" s="112"/>
      <c r="CU81" s="112"/>
      <c r="CV81" s="112"/>
      <c r="CW81" s="112" t="s">
        <v>224</v>
      </c>
      <c r="CX81" s="112" t="s">
        <v>225</v>
      </c>
      <c r="CY81" s="112" t="s">
        <v>226</v>
      </c>
      <c r="CZ81" s="112" t="s">
        <v>227</v>
      </c>
      <c r="DA81" s="112" t="s">
        <v>228</v>
      </c>
      <c r="DB81" s="112" t="s">
        <v>229</v>
      </c>
      <c r="DC81" s="112"/>
      <c r="DD81" s="238">
        <f t="shared" ca="1" si="116"/>
        <v>0</v>
      </c>
      <c r="DE81" s="238">
        <f t="shared" ca="1" si="108"/>
        <v>0</v>
      </c>
      <c r="DF81" s="112"/>
      <c r="DG81" s="238"/>
      <c r="DH81" s="238"/>
      <c r="DI81" s="112"/>
      <c r="DJ81" s="238"/>
      <c r="DK81" s="112">
        <f t="shared" ca="1" si="58"/>
        <v>42248</v>
      </c>
      <c r="DL81" s="278">
        <f t="shared" ca="1" si="129"/>
        <v>62</v>
      </c>
      <c r="DM81" s="245">
        <f t="shared" ref="DM81:DP81" ca="1" si="198">DM632</f>
        <v>42248</v>
      </c>
      <c r="DN81" s="245">
        <f t="shared" ca="1" si="198"/>
        <v>42613</v>
      </c>
      <c r="DO81" s="245">
        <f t="shared" ca="1" si="198"/>
        <v>18</v>
      </c>
      <c r="DP81" s="245">
        <f t="shared" ca="1" si="198"/>
        <v>24</v>
      </c>
      <c r="DQ81" s="281">
        <f t="shared" ca="1" si="131"/>
        <v>366</v>
      </c>
      <c r="DR81" s="278">
        <f t="shared" ca="1" si="132"/>
        <v>0</v>
      </c>
      <c r="DS81" s="244">
        <f t="shared" ca="1" si="60"/>
        <v>23567.01</v>
      </c>
      <c r="DT81" s="244">
        <f t="shared" ca="1" si="61"/>
        <v>21437.23</v>
      </c>
      <c r="DU81" s="244">
        <f t="shared" ca="1" si="133"/>
        <v>1601.71</v>
      </c>
      <c r="DV81" s="244" t="str">
        <f t="shared" ca="1" si="134"/>
        <v>9/14 anni</v>
      </c>
      <c r="DW81" s="244"/>
      <c r="DX81" s="244">
        <f t="shared" ca="1" si="106"/>
        <v>9</v>
      </c>
      <c r="EA81" s="244">
        <f t="shared" ca="1" si="62"/>
        <v>2</v>
      </c>
      <c r="EB81" s="278">
        <f ca="1">VLOOKUP(DM81,Foglio1!$AB$31:$AN$261,13)-6+EA81</f>
        <v>187</v>
      </c>
      <c r="EC81" s="244"/>
      <c r="ED81" s="244">
        <f t="shared" ca="1" si="140"/>
        <v>0</v>
      </c>
      <c r="EE81" s="244">
        <f t="shared" ca="1" si="141"/>
        <v>15069.97</v>
      </c>
      <c r="EF81" s="244">
        <f t="shared" ca="1" si="142"/>
        <v>0</v>
      </c>
      <c r="EG81" s="244">
        <f t="shared" ca="1" si="143"/>
        <v>0</v>
      </c>
      <c r="EH81" s="244">
        <f t="shared" ca="1" si="144"/>
        <v>6384.11</v>
      </c>
      <c r="EI81" s="244">
        <f t="shared" ca="1" si="145"/>
        <v>144.93</v>
      </c>
      <c r="EJ81" s="244">
        <f t="shared" ca="1" si="146"/>
        <v>1799.92</v>
      </c>
      <c r="EK81" s="244">
        <f t="shared" ca="1" si="147"/>
        <v>0</v>
      </c>
      <c r="EL81" s="244">
        <f t="shared" ca="1" si="148"/>
        <v>0</v>
      </c>
      <c r="EM81" s="244">
        <f t="shared" ca="1" si="149"/>
        <v>187</v>
      </c>
      <c r="EN81" s="244">
        <f t="shared" ca="1" si="150"/>
        <v>0</v>
      </c>
      <c r="EO81" s="244">
        <f t="shared" ca="1" si="151"/>
        <v>0</v>
      </c>
      <c r="EP81" s="244">
        <f t="shared" ca="1" si="152"/>
        <v>1968</v>
      </c>
      <c r="EQ81" s="244">
        <f t="shared" ca="1" si="153"/>
        <v>0</v>
      </c>
      <c r="ER81" s="244"/>
      <c r="EW81" s="244">
        <v>0</v>
      </c>
      <c r="EX81" s="278">
        <f ca="1">VLOOKUP(DM81,Foglio1!$AB$31:$AN$261,13)-6+EW81</f>
        <v>185</v>
      </c>
      <c r="EY81" s="244"/>
      <c r="EZ81" s="244">
        <v>0</v>
      </c>
      <c r="FA81" s="244">
        <f t="shared" ca="1" si="156"/>
        <v>12940.19</v>
      </c>
      <c r="FB81" s="244">
        <f t="shared" ca="1" si="157"/>
        <v>0</v>
      </c>
      <c r="FC81" s="244">
        <f t="shared" ca="1" si="158"/>
        <v>0</v>
      </c>
      <c r="FD81" s="244">
        <f t="shared" ca="1" si="159"/>
        <v>6384.11</v>
      </c>
      <c r="FE81" s="244">
        <f t="shared" ca="1" si="160"/>
        <v>144.93</v>
      </c>
      <c r="FF81" s="244">
        <f t="shared" ca="1" si="161"/>
        <v>1622.44</v>
      </c>
      <c r="FG81" s="244">
        <f t="shared" ca="1" si="162"/>
        <v>0</v>
      </c>
      <c r="FH81" s="244">
        <f t="shared" ca="1" si="163"/>
        <v>0</v>
      </c>
      <c r="FI81" s="244">
        <f t="shared" ca="1" si="164"/>
        <v>185</v>
      </c>
      <c r="FJ81" s="244">
        <f t="shared" ca="1" si="165"/>
        <v>0</v>
      </c>
      <c r="FK81" s="244">
        <f t="shared" ca="1" si="166"/>
        <v>0</v>
      </c>
      <c r="FL81" s="244">
        <f t="shared" ca="1" si="167"/>
        <v>1968</v>
      </c>
      <c r="FM81" s="244">
        <f t="shared" ca="1" si="154"/>
        <v>0</v>
      </c>
      <c r="FN81" s="244"/>
    </row>
    <row r="82" spans="5:170" x14ac:dyDescent="0.25">
      <c r="E82" s="244"/>
      <c r="F82" s="240" t="str">
        <f>IF(fronttd!E84="","",fronttd!E84)</f>
        <v/>
      </c>
      <c r="G82" s="240" t="str">
        <f>IF(fronttd!F84="","",fronttd!F84)</f>
        <v/>
      </c>
      <c r="H82" s="380">
        <f>fronttd!G84</f>
        <v>0</v>
      </c>
      <c r="I82" s="380">
        <f>fronttd!H84</f>
        <v>0</v>
      </c>
      <c r="J82">
        <f t="shared" si="75"/>
        <v>24</v>
      </c>
      <c r="L82">
        <f t="shared" si="76"/>
        <v>82</v>
      </c>
      <c r="O82" s="238">
        <f t="shared" si="77"/>
        <v>82</v>
      </c>
      <c r="R82" s="112" t="str">
        <f t="shared" si="39"/>
        <v/>
      </c>
      <c r="S82" s="238" t="e">
        <f t="shared" ca="1" si="40"/>
        <v>#N/A</v>
      </c>
      <c r="T82" s="112" t="e">
        <f t="shared" ca="1" si="86"/>
        <v>#N/A</v>
      </c>
      <c r="U82" s="112" t="e">
        <f t="shared" ca="1" si="87"/>
        <v>#N/A</v>
      </c>
      <c r="V82" s="112" t="e">
        <f t="shared" ca="1" si="88"/>
        <v>#N/A</v>
      </c>
      <c r="W82" s="112" t="e">
        <f t="shared" ca="1" si="89"/>
        <v>#N/A</v>
      </c>
      <c r="X82" s="112" t="str">
        <f t="shared" si="41"/>
        <v/>
      </c>
      <c r="Y82" s="112"/>
      <c r="Z82" s="112"/>
      <c r="AA82" s="335" t="str">
        <f t="shared" si="42"/>
        <v/>
      </c>
      <c r="AB82" s="335" t="e">
        <f t="shared" ca="1" si="90"/>
        <v>#N/A</v>
      </c>
      <c r="AC82" s="335" t="e">
        <f t="shared" ca="1" si="91"/>
        <v>#N/A</v>
      </c>
      <c r="AD82" s="335" t="e">
        <f t="shared" ca="1" si="92"/>
        <v>#N/A</v>
      </c>
      <c r="AE82" s="335" t="e">
        <f t="shared" ca="1" si="93"/>
        <v>#N/A</v>
      </c>
      <c r="AF82" s="335" t="str">
        <f t="shared" si="43"/>
        <v/>
      </c>
      <c r="AG82" s="238">
        <f>AG81</f>
        <v>32</v>
      </c>
      <c r="AH82" s="112">
        <f ca="1">AI81+1</f>
        <v>37257</v>
      </c>
      <c r="AI82" s="112">
        <f ca="1">IF(INDIRECT(CONCATENATE("AD",AG80))&lt;100000,INDIRECT(CONCATENATE("AD",AG80))-1,IF(INDIRECT(CONCATENATE("AE",AG80))&lt;100000,INDIRECT(CONCATENATE("AE",G80)),INDIRECT(CONCATENATE("AF",AG80))))</f>
        <v>37282</v>
      </c>
      <c r="AJ82" s="112">
        <f t="shared" ca="1" si="125"/>
        <v>37282</v>
      </c>
      <c r="AK82" s="112">
        <f t="shared" ca="1" si="169"/>
        <v>37282</v>
      </c>
      <c r="AL82" s="238">
        <f t="shared" ca="1" si="127"/>
        <v>1</v>
      </c>
      <c r="AM82" s="112">
        <f t="shared" ca="1" si="118"/>
        <v>37257</v>
      </c>
      <c r="AN82" s="112">
        <f t="shared" ca="1" si="84"/>
        <v>37282</v>
      </c>
      <c r="AO82" s="114">
        <f t="shared" ca="1" si="46"/>
        <v>18</v>
      </c>
      <c r="AP82" s="114">
        <f t="shared" ca="1" si="47"/>
        <v>24</v>
      </c>
      <c r="AQ82" s="112"/>
      <c r="AR82" s="238">
        <f t="shared" si="78"/>
        <v>82</v>
      </c>
      <c r="AS82" s="112"/>
      <c r="AT82" s="112"/>
      <c r="AU82" s="283">
        <f t="shared" si="185"/>
        <v>63</v>
      </c>
      <c r="AV82" s="284">
        <f t="shared" ca="1" si="48"/>
        <v>43466</v>
      </c>
      <c r="AW82" s="284">
        <f t="shared" ca="1" si="119"/>
        <v>43708</v>
      </c>
      <c r="AX82" s="285">
        <f t="shared" ca="1" si="120"/>
        <v>18</v>
      </c>
      <c r="AY82" s="285">
        <f t="shared" ca="1" si="186"/>
        <v>24</v>
      </c>
      <c r="AZ82" s="282"/>
      <c r="BD82" s="114">
        <f t="shared" si="80"/>
        <v>1</v>
      </c>
      <c r="BE82" s="112">
        <f t="shared" si="54"/>
        <v>100000</v>
      </c>
      <c r="BH82" s="238">
        <f t="shared" si="81"/>
        <v>63</v>
      </c>
      <c r="BI82" s="245" t="str">
        <f t="shared" si="55"/>
        <v/>
      </c>
      <c r="BJ82" s="281">
        <f t="shared" ca="1" si="96"/>
        <v>1</v>
      </c>
      <c r="BK82" s="245">
        <f t="shared" ca="1" si="56"/>
        <v>100000</v>
      </c>
      <c r="BL82" s="245">
        <f t="shared" ca="1" si="57"/>
        <v>99999</v>
      </c>
      <c r="BM82" s="244"/>
      <c r="BN82" s="245">
        <f t="shared" ca="1" si="97"/>
        <v>44804</v>
      </c>
      <c r="CL82" s="112"/>
      <c r="CM82" s="112"/>
      <c r="CP82" s="112"/>
      <c r="CQ82" s="112"/>
      <c r="CR82" s="238"/>
      <c r="CS82" s="238"/>
      <c r="CT82" s="112"/>
      <c r="CU82" s="112"/>
      <c r="CV82" s="112"/>
      <c r="CW82" s="112" t="s">
        <v>224</v>
      </c>
      <c r="CX82" s="112" t="s">
        <v>225</v>
      </c>
      <c r="CY82" s="112" t="s">
        <v>226</v>
      </c>
      <c r="CZ82" s="112" t="s">
        <v>227</v>
      </c>
      <c r="DA82" s="112" t="s">
        <v>228</v>
      </c>
      <c r="DB82" s="112" t="s">
        <v>229</v>
      </c>
      <c r="DC82" s="112"/>
      <c r="DD82" s="238">
        <f t="shared" ca="1" si="116"/>
        <v>0</v>
      </c>
      <c r="DE82" s="238">
        <f t="shared" ca="1" si="108"/>
        <v>0</v>
      </c>
      <c r="DF82" s="112"/>
      <c r="DG82" s="238"/>
      <c r="DH82" s="238"/>
      <c r="DI82" s="112"/>
      <c r="DJ82" s="238"/>
      <c r="DK82" s="112">
        <f t="shared" ca="1" si="58"/>
        <v>42614</v>
      </c>
      <c r="DL82" s="278">
        <f t="shared" ca="1" si="129"/>
        <v>63</v>
      </c>
      <c r="DM82" s="245">
        <f t="shared" ref="DM82:DP82" ca="1" si="199">DM633</f>
        <v>42614</v>
      </c>
      <c r="DN82" s="245">
        <f t="shared" ca="1" si="199"/>
        <v>42735</v>
      </c>
      <c r="DO82" s="245">
        <f t="shared" ca="1" si="199"/>
        <v>18</v>
      </c>
      <c r="DP82" s="245">
        <f t="shared" ca="1" si="199"/>
        <v>24</v>
      </c>
      <c r="DQ82" s="281">
        <f t="shared" ca="1" si="131"/>
        <v>122</v>
      </c>
      <c r="DR82" s="278">
        <f t="shared" ca="1" si="132"/>
        <v>0</v>
      </c>
      <c r="DS82" s="244">
        <f t="shared" ca="1" si="60"/>
        <v>23651.01</v>
      </c>
      <c r="DT82" s="244">
        <f t="shared" ca="1" si="61"/>
        <v>21512.83</v>
      </c>
      <c r="DU82" s="244">
        <f t="shared" ca="1" si="133"/>
        <v>536.01</v>
      </c>
      <c r="DV82" s="244" t="str">
        <f t="shared" ca="1" si="134"/>
        <v>9/14 anni</v>
      </c>
      <c r="DW82" s="244"/>
      <c r="DX82" s="244">
        <f t="shared" ca="1" si="106"/>
        <v>9</v>
      </c>
      <c r="EA82" s="244">
        <f t="shared" ca="1" si="62"/>
        <v>2</v>
      </c>
      <c r="EB82" s="278">
        <f ca="1">VLOOKUP(DM82,Foglio1!$AB$31:$AN$261,13)-6+EA82</f>
        <v>194</v>
      </c>
      <c r="EC82" s="244"/>
      <c r="ED82" s="244">
        <f t="shared" ca="1" si="140"/>
        <v>0</v>
      </c>
      <c r="EE82" s="244">
        <f t="shared" ca="1" si="141"/>
        <v>15153.97</v>
      </c>
      <c r="EF82" s="244">
        <f t="shared" ca="1" si="142"/>
        <v>0</v>
      </c>
      <c r="EG82" s="244">
        <f t="shared" ca="1" si="143"/>
        <v>0</v>
      </c>
      <c r="EH82" s="244">
        <f t="shared" ca="1" si="144"/>
        <v>6384.11</v>
      </c>
      <c r="EI82" s="244">
        <f t="shared" ca="1" si="145"/>
        <v>144.93</v>
      </c>
      <c r="EJ82" s="244">
        <f t="shared" ca="1" si="146"/>
        <v>1806.92</v>
      </c>
      <c r="EK82" s="244">
        <f t="shared" ca="1" si="147"/>
        <v>0</v>
      </c>
      <c r="EL82" s="244">
        <f t="shared" ca="1" si="148"/>
        <v>0</v>
      </c>
      <c r="EM82" s="244">
        <f t="shared" ca="1" si="149"/>
        <v>194</v>
      </c>
      <c r="EN82" s="244">
        <f t="shared" ca="1" si="150"/>
        <v>0</v>
      </c>
      <c r="EO82" s="244">
        <f t="shared" ca="1" si="151"/>
        <v>0</v>
      </c>
      <c r="EP82" s="244">
        <f t="shared" ca="1" si="152"/>
        <v>1968</v>
      </c>
      <c r="EQ82" s="244">
        <f t="shared" ca="1" si="153"/>
        <v>0</v>
      </c>
      <c r="ER82" s="244"/>
      <c r="EW82" s="244">
        <v>0</v>
      </c>
      <c r="EX82" s="278">
        <f ca="1">VLOOKUP(DM82,Foglio1!$AB$31:$AN$261,13)-6+EW82</f>
        <v>192</v>
      </c>
      <c r="EY82" s="244"/>
      <c r="EZ82" s="244">
        <v>0</v>
      </c>
      <c r="FA82" s="244">
        <f t="shared" ca="1" si="156"/>
        <v>13015.79</v>
      </c>
      <c r="FB82" s="244">
        <f t="shared" ca="1" si="157"/>
        <v>0</v>
      </c>
      <c r="FC82" s="244">
        <f t="shared" ca="1" si="158"/>
        <v>0</v>
      </c>
      <c r="FD82" s="244">
        <f t="shared" ca="1" si="159"/>
        <v>6384.11</v>
      </c>
      <c r="FE82" s="244">
        <f t="shared" ca="1" si="160"/>
        <v>144.93</v>
      </c>
      <c r="FF82" s="244">
        <f t="shared" ca="1" si="161"/>
        <v>1628.74</v>
      </c>
      <c r="FG82" s="244">
        <f t="shared" ca="1" si="162"/>
        <v>0</v>
      </c>
      <c r="FH82" s="244">
        <f t="shared" ca="1" si="163"/>
        <v>0</v>
      </c>
      <c r="FI82" s="244">
        <f t="shared" ca="1" si="164"/>
        <v>192</v>
      </c>
      <c r="FJ82" s="244">
        <f t="shared" ca="1" si="165"/>
        <v>0</v>
      </c>
      <c r="FK82" s="244">
        <f t="shared" ca="1" si="166"/>
        <v>0</v>
      </c>
      <c r="FL82" s="244">
        <f t="shared" ca="1" si="167"/>
        <v>1968</v>
      </c>
      <c r="FM82" s="244">
        <f t="shared" ca="1" si="154"/>
        <v>0</v>
      </c>
      <c r="FN82" s="244"/>
    </row>
    <row r="83" spans="5:170" x14ac:dyDescent="0.25">
      <c r="E83" s="244"/>
      <c r="F83" s="240" t="str">
        <f>IF(fronttd!E85="","",fronttd!E85)</f>
        <v/>
      </c>
      <c r="G83" s="240" t="str">
        <f>IF(fronttd!F85="","",fronttd!F85)</f>
        <v/>
      </c>
      <c r="H83" s="380">
        <f>fronttd!G85</f>
        <v>0</v>
      </c>
      <c r="I83" s="380">
        <f>fronttd!H85</f>
        <v>0</v>
      </c>
      <c r="J83">
        <f t="shared" si="75"/>
        <v>24</v>
      </c>
      <c r="L83">
        <f t="shared" si="76"/>
        <v>83</v>
      </c>
      <c r="O83" s="238">
        <f t="shared" si="77"/>
        <v>83</v>
      </c>
      <c r="R83" s="112" t="str">
        <f t="shared" si="39"/>
        <v/>
      </c>
      <c r="S83" s="238" t="e">
        <f t="shared" ca="1" si="40"/>
        <v>#N/A</v>
      </c>
      <c r="T83" s="112" t="e">
        <f t="shared" ca="1" si="86"/>
        <v>#N/A</v>
      </c>
      <c r="U83" s="112" t="e">
        <f t="shared" ca="1" si="87"/>
        <v>#N/A</v>
      </c>
      <c r="V83" s="112" t="e">
        <f t="shared" ca="1" si="88"/>
        <v>#N/A</v>
      </c>
      <c r="W83" s="112" t="e">
        <f t="shared" ca="1" si="89"/>
        <v>#N/A</v>
      </c>
      <c r="X83" s="112" t="str">
        <f t="shared" si="41"/>
        <v/>
      </c>
      <c r="Y83" s="112"/>
      <c r="Z83" s="112"/>
      <c r="AA83" s="335" t="str">
        <f t="shared" si="42"/>
        <v/>
      </c>
      <c r="AB83" s="335" t="e">
        <f t="shared" ca="1" si="90"/>
        <v>#N/A</v>
      </c>
      <c r="AC83" s="335" t="e">
        <f t="shared" ca="1" si="91"/>
        <v>#N/A</v>
      </c>
      <c r="AD83" s="335" t="e">
        <f t="shared" ca="1" si="92"/>
        <v>#N/A</v>
      </c>
      <c r="AE83" s="335" t="e">
        <f t="shared" ca="1" si="93"/>
        <v>#N/A</v>
      </c>
      <c r="AF83" s="335" t="str">
        <f t="shared" si="43"/>
        <v/>
      </c>
      <c r="AG83" s="238">
        <f>AG82</f>
        <v>32</v>
      </c>
      <c r="AH83" s="112">
        <f ca="1">AI82+1</f>
        <v>37283</v>
      </c>
      <c r="AI83" s="112">
        <f ca="1">IF(INDIRECT(CONCATENATE("AE",AG80))&lt;100000,INDIRECT(CONCATENATE("AE",G80)),INDIRECT(CONCATENATE("AF",AG80)))</f>
        <v>37282</v>
      </c>
      <c r="AJ83" s="112">
        <f t="shared" ca="1" si="125"/>
        <v>37282</v>
      </c>
      <c r="AK83" s="112">
        <f t="shared" ca="1" si="169"/>
        <v>37282</v>
      </c>
      <c r="AL83" s="238">
        <f t="shared" ca="1" si="127"/>
        <v>0</v>
      </c>
      <c r="AM83" s="112">
        <f t="shared" ca="1" si="118"/>
        <v>100000</v>
      </c>
      <c r="AN83" s="112">
        <f t="shared" ca="1" si="84"/>
        <v>100000</v>
      </c>
      <c r="AO83" s="114">
        <f t="shared" ca="1" si="46"/>
        <v>18</v>
      </c>
      <c r="AP83" s="114">
        <f t="shared" ca="1" si="47"/>
        <v>24</v>
      </c>
      <c r="AQ83" s="112"/>
      <c r="AR83" s="238">
        <f t="shared" si="78"/>
        <v>83</v>
      </c>
      <c r="AS83" s="112"/>
      <c r="AT83" s="112"/>
      <c r="AU83" s="283">
        <f t="shared" si="185"/>
        <v>64</v>
      </c>
      <c r="AV83" s="284">
        <f t="shared" ca="1" si="48"/>
        <v>43709</v>
      </c>
      <c r="AW83" s="284">
        <f t="shared" ca="1" si="119"/>
        <v>43830</v>
      </c>
      <c r="AX83" s="285">
        <f t="shared" ca="1" si="120"/>
        <v>18</v>
      </c>
      <c r="AY83" s="285">
        <f t="shared" ca="1" si="186"/>
        <v>24</v>
      </c>
      <c r="AZ83" s="282"/>
      <c r="BD83" s="114">
        <f t="shared" si="80"/>
        <v>1</v>
      </c>
      <c r="BE83" s="112">
        <f t="shared" si="54"/>
        <v>100000</v>
      </c>
      <c r="BH83" s="238">
        <f t="shared" si="81"/>
        <v>64</v>
      </c>
      <c r="BI83" s="245" t="str">
        <f t="shared" si="55"/>
        <v/>
      </c>
      <c r="BJ83" s="281">
        <f t="shared" ca="1" si="96"/>
        <v>1</v>
      </c>
      <c r="BK83" s="245">
        <f t="shared" ca="1" si="56"/>
        <v>100000</v>
      </c>
      <c r="BL83" s="245">
        <f t="shared" ca="1" si="57"/>
        <v>99999</v>
      </c>
      <c r="BM83" s="244"/>
      <c r="BN83" s="245">
        <f t="shared" ca="1" si="97"/>
        <v>44804</v>
      </c>
      <c r="CL83" s="112"/>
      <c r="CM83" s="112"/>
      <c r="CP83" s="112"/>
      <c r="CQ83" s="112"/>
      <c r="CR83" s="238"/>
      <c r="CS83" s="238"/>
      <c r="CT83" s="112"/>
      <c r="CU83" s="112"/>
      <c r="CV83" s="112"/>
      <c r="CW83" s="112" t="s">
        <v>224</v>
      </c>
      <c r="CX83" s="112" t="s">
        <v>225</v>
      </c>
      <c r="CY83" s="112" t="s">
        <v>226</v>
      </c>
      <c r="CZ83" s="112" t="s">
        <v>227</v>
      </c>
      <c r="DA83" s="112" t="s">
        <v>228</v>
      </c>
      <c r="DB83" s="112" t="s">
        <v>229</v>
      </c>
      <c r="DC83" s="112"/>
      <c r="DD83" s="238">
        <f t="shared" ca="1" si="116"/>
        <v>0</v>
      </c>
      <c r="DE83" s="238">
        <f t="shared" ca="1" si="108"/>
        <v>0</v>
      </c>
      <c r="DF83" s="112"/>
      <c r="DG83" s="238"/>
      <c r="DH83" s="238"/>
      <c r="DI83" s="112"/>
      <c r="DJ83" s="238"/>
      <c r="DK83" s="112">
        <f t="shared" ca="1" si="58"/>
        <v>42736</v>
      </c>
      <c r="DL83" s="278">
        <f t="shared" ca="1" si="129"/>
        <v>64</v>
      </c>
      <c r="DM83" s="245">
        <f t="shared" ref="DM83:DP83" ca="1" si="200">DM634</f>
        <v>42736</v>
      </c>
      <c r="DN83" s="245">
        <f t="shared" ca="1" si="200"/>
        <v>42781</v>
      </c>
      <c r="DO83" s="245">
        <f t="shared" ca="1" si="200"/>
        <v>18</v>
      </c>
      <c r="DP83" s="245">
        <f t="shared" ca="1" si="200"/>
        <v>24</v>
      </c>
      <c r="DQ83" s="281">
        <f t="shared" ca="1" si="131"/>
        <v>46</v>
      </c>
      <c r="DR83" s="278">
        <f t="shared" ca="1" si="132"/>
        <v>0</v>
      </c>
      <c r="DS83" s="244">
        <f t="shared" ca="1" si="60"/>
        <v>23822.61</v>
      </c>
      <c r="DT83" s="244">
        <f t="shared" ca="1" si="61"/>
        <v>21667.63</v>
      </c>
      <c r="DU83" s="244">
        <f t="shared" ca="1" si="133"/>
        <v>203.69</v>
      </c>
      <c r="DV83" s="244" t="str">
        <f t="shared" ca="1" si="134"/>
        <v>9/14 anni</v>
      </c>
      <c r="DW83" s="244"/>
      <c r="DX83" s="244">
        <f t="shared" ca="1" si="106"/>
        <v>9</v>
      </c>
      <c r="EA83" s="244">
        <f t="shared" ca="1" si="62"/>
        <v>2</v>
      </c>
      <c r="EB83" s="278">
        <f ca="1">VLOOKUP(DM83,Foglio1!$AB$31:$AN$261,13)-6+EA83</f>
        <v>201</v>
      </c>
      <c r="EC83" s="244"/>
      <c r="ED83" s="244">
        <f t="shared" ca="1" si="140"/>
        <v>0</v>
      </c>
      <c r="EE83" s="244">
        <f t="shared" ca="1" si="141"/>
        <v>15325.57</v>
      </c>
      <c r="EF83" s="244">
        <f t="shared" ca="1" si="142"/>
        <v>0</v>
      </c>
      <c r="EG83" s="244">
        <f t="shared" ca="1" si="143"/>
        <v>0</v>
      </c>
      <c r="EH83" s="244">
        <f t="shared" ca="1" si="144"/>
        <v>6384.11</v>
      </c>
      <c r="EI83" s="244">
        <f t="shared" ca="1" si="145"/>
        <v>144.93</v>
      </c>
      <c r="EJ83" s="244">
        <f t="shared" ca="1" si="146"/>
        <v>1821.22</v>
      </c>
      <c r="EK83" s="244">
        <f t="shared" ca="1" si="147"/>
        <v>0</v>
      </c>
      <c r="EL83" s="244">
        <f t="shared" ca="1" si="148"/>
        <v>0</v>
      </c>
      <c r="EM83" s="244">
        <f t="shared" ca="1" si="149"/>
        <v>201</v>
      </c>
      <c r="EN83" s="244">
        <f t="shared" ca="1" si="150"/>
        <v>0</v>
      </c>
      <c r="EO83" s="244">
        <f t="shared" ca="1" si="151"/>
        <v>0</v>
      </c>
      <c r="EP83" s="244">
        <f t="shared" ca="1" si="152"/>
        <v>1968</v>
      </c>
      <c r="EQ83" s="244">
        <f t="shared" ca="1" si="153"/>
        <v>0</v>
      </c>
      <c r="ER83" s="244"/>
      <c r="EW83" s="244">
        <v>0</v>
      </c>
      <c r="EX83" s="278">
        <f ca="1">VLOOKUP(DM83,Foglio1!$AB$31:$AN$261,13)-6+EW83</f>
        <v>199</v>
      </c>
      <c r="EY83" s="244"/>
      <c r="EZ83" s="244">
        <v>0</v>
      </c>
      <c r="FA83" s="244">
        <f t="shared" ca="1" si="156"/>
        <v>13170.59</v>
      </c>
      <c r="FB83" s="244">
        <f t="shared" ca="1" si="157"/>
        <v>0</v>
      </c>
      <c r="FC83" s="244">
        <f t="shared" ca="1" si="158"/>
        <v>0</v>
      </c>
      <c r="FD83" s="244">
        <f t="shared" ca="1" si="159"/>
        <v>6384.11</v>
      </c>
      <c r="FE83" s="244">
        <f t="shared" ca="1" si="160"/>
        <v>144.93</v>
      </c>
      <c r="FF83" s="244">
        <f t="shared" ca="1" si="161"/>
        <v>1641.64</v>
      </c>
      <c r="FG83" s="244">
        <f t="shared" ca="1" si="162"/>
        <v>0</v>
      </c>
      <c r="FH83" s="244">
        <f t="shared" ca="1" si="163"/>
        <v>0</v>
      </c>
      <c r="FI83" s="244">
        <f t="shared" ca="1" si="164"/>
        <v>199</v>
      </c>
      <c r="FJ83" s="244">
        <f t="shared" ca="1" si="165"/>
        <v>0</v>
      </c>
      <c r="FK83" s="244">
        <f t="shared" ca="1" si="166"/>
        <v>0</v>
      </c>
      <c r="FL83" s="244">
        <f t="shared" ca="1" si="167"/>
        <v>1968</v>
      </c>
      <c r="FM83" s="244">
        <f t="shared" ca="1" si="154"/>
        <v>0</v>
      </c>
      <c r="FN83" s="244"/>
    </row>
    <row r="84" spans="5:170" x14ac:dyDescent="0.25">
      <c r="E84" s="244"/>
      <c r="F84" s="240" t="str">
        <f>IF(fronttd!E86="","",fronttd!E86)</f>
        <v/>
      </c>
      <c r="G84" s="240" t="str">
        <f>IF(fronttd!F86="","",fronttd!F86)</f>
        <v/>
      </c>
      <c r="H84" s="380">
        <f>fronttd!G86</f>
        <v>0</v>
      </c>
      <c r="I84" s="380">
        <f>fronttd!H86</f>
        <v>0</v>
      </c>
      <c r="J84">
        <f t="shared" si="75"/>
        <v>24</v>
      </c>
      <c r="L84">
        <f t="shared" si="76"/>
        <v>84</v>
      </c>
      <c r="O84" s="238">
        <f t="shared" si="77"/>
        <v>84</v>
      </c>
      <c r="R84" s="112" t="str">
        <f t="shared" si="39"/>
        <v/>
      </c>
      <c r="S84" s="238" t="e">
        <f t="shared" ca="1" si="40"/>
        <v>#N/A</v>
      </c>
      <c r="T84" s="112" t="e">
        <f t="shared" ca="1" si="86"/>
        <v>#N/A</v>
      </c>
      <c r="U84" s="112" t="e">
        <f t="shared" ca="1" si="87"/>
        <v>#N/A</v>
      </c>
      <c r="V84" s="112" t="e">
        <f t="shared" ca="1" si="88"/>
        <v>#N/A</v>
      </c>
      <c r="W84" s="112" t="e">
        <f t="shared" ca="1" si="89"/>
        <v>#N/A</v>
      </c>
      <c r="X84" s="112" t="str">
        <f t="shared" si="41"/>
        <v/>
      </c>
      <c r="Y84" s="112"/>
      <c r="Z84" s="112"/>
      <c r="AA84" s="335" t="str">
        <f t="shared" si="42"/>
        <v/>
      </c>
      <c r="AB84" s="335" t="e">
        <f t="shared" ca="1" si="90"/>
        <v>#N/A</v>
      </c>
      <c r="AC84" s="335" t="e">
        <f t="shared" ca="1" si="91"/>
        <v>#N/A</v>
      </c>
      <c r="AD84" s="335" t="e">
        <f t="shared" ca="1" si="92"/>
        <v>#N/A</v>
      </c>
      <c r="AE84" s="335" t="e">
        <f t="shared" ca="1" si="93"/>
        <v>#N/A</v>
      </c>
      <c r="AF84" s="335" t="str">
        <f t="shared" si="43"/>
        <v/>
      </c>
      <c r="AG84" s="238">
        <f>AG83</f>
        <v>32</v>
      </c>
      <c r="AH84" s="112">
        <f ca="1">AI83+1</f>
        <v>37283</v>
      </c>
      <c r="AI84" s="112">
        <f ca="1">INDIRECT(CONCATENATE("AF",AG80))</f>
        <v>37282</v>
      </c>
      <c r="AJ84" s="112">
        <f t="shared" ca="1" si="125"/>
        <v>37282</v>
      </c>
      <c r="AK84" s="112">
        <f t="shared" ca="1" si="169"/>
        <v>37282</v>
      </c>
      <c r="AL84" s="238">
        <f t="shared" ca="1" si="127"/>
        <v>0</v>
      </c>
      <c r="AM84" s="112">
        <f t="shared" ca="1" si="118"/>
        <v>100000</v>
      </c>
      <c r="AN84" s="112">
        <f t="shared" ca="1" si="84"/>
        <v>100000</v>
      </c>
      <c r="AO84" s="114">
        <f t="shared" ca="1" si="46"/>
        <v>18</v>
      </c>
      <c r="AP84" s="114">
        <f t="shared" ca="1" si="47"/>
        <v>24</v>
      </c>
      <c r="AQ84" s="112"/>
      <c r="AR84" s="238">
        <f t="shared" si="78"/>
        <v>84</v>
      </c>
      <c r="AS84" s="112"/>
      <c r="AT84" s="112"/>
      <c r="AU84" s="283">
        <f t="shared" si="185"/>
        <v>65</v>
      </c>
      <c r="AV84" s="284">
        <f t="shared" ca="1" si="48"/>
        <v>43831</v>
      </c>
      <c r="AW84" s="284">
        <f t="shared" ca="1" si="119"/>
        <v>44074</v>
      </c>
      <c r="AX84" s="285">
        <f t="shared" ca="1" si="120"/>
        <v>18</v>
      </c>
      <c r="AY84" s="285">
        <f t="shared" ca="1" si="186"/>
        <v>24</v>
      </c>
      <c r="AZ84" s="282"/>
      <c r="BD84" s="114">
        <f t="shared" si="80"/>
        <v>1</v>
      </c>
      <c r="BE84" s="112">
        <f t="shared" si="54"/>
        <v>100000</v>
      </c>
      <c r="BH84" s="238">
        <f t="shared" si="81"/>
        <v>65</v>
      </c>
      <c r="BI84" s="245" t="str">
        <f t="shared" si="55"/>
        <v/>
      </c>
      <c r="BJ84" s="281">
        <f t="shared" ca="1" si="96"/>
        <v>1</v>
      </c>
      <c r="BK84" s="245">
        <f t="shared" ca="1" si="56"/>
        <v>100000</v>
      </c>
      <c r="BL84" s="245" t="e">
        <f t="shared" ca="1" si="57"/>
        <v>#NUM!</v>
      </c>
      <c r="BM84" s="244"/>
      <c r="BN84" s="245">
        <f t="shared" ca="1" si="97"/>
        <v>44804</v>
      </c>
      <c r="CL84" s="112"/>
      <c r="CM84" s="112"/>
      <c r="CP84" s="112"/>
      <c r="CQ84" s="112"/>
      <c r="CR84" s="238"/>
      <c r="CS84" s="238"/>
      <c r="CT84" s="112"/>
      <c r="CU84" s="112"/>
      <c r="CV84" s="112"/>
      <c r="CW84" s="112" t="s">
        <v>224</v>
      </c>
      <c r="CX84" s="112" t="s">
        <v>225</v>
      </c>
      <c r="CY84" s="112" t="s">
        <v>226</v>
      </c>
      <c r="CZ84" s="112" t="s">
        <v>227</v>
      </c>
      <c r="DA84" s="112" t="s">
        <v>228</v>
      </c>
      <c r="DB84" s="112" t="s">
        <v>229</v>
      </c>
      <c r="DC84" s="112"/>
      <c r="DD84" s="238">
        <f t="shared" ca="1" si="116"/>
        <v>0</v>
      </c>
      <c r="DE84" s="238">
        <f t="shared" ca="1" si="108"/>
        <v>0</v>
      </c>
      <c r="DF84" s="112"/>
      <c r="DG84" s="238"/>
      <c r="DH84" s="238"/>
      <c r="DI84" s="112"/>
      <c r="DJ84" s="238"/>
      <c r="DK84" s="112">
        <f t="shared" ca="1" si="58"/>
        <v>42782</v>
      </c>
      <c r="DL84" s="278">
        <f t="shared" ca="1" si="129"/>
        <v>65</v>
      </c>
      <c r="DM84" s="245">
        <f t="shared" ref="DM84:DP84" ca="1" si="201">DM635</f>
        <v>42782</v>
      </c>
      <c r="DN84" s="245">
        <f t="shared" ca="1" si="201"/>
        <v>42978</v>
      </c>
      <c r="DO84" s="245">
        <f t="shared" ca="1" si="201"/>
        <v>18</v>
      </c>
      <c r="DP84" s="245">
        <f t="shared" ca="1" si="201"/>
        <v>24</v>
      </c>
      <c r="DQ84" s="281">
        <f t="shared" ca="1" si="131"/>
        <v>197</v>
      </c>
      <c r="DR84" s="278">
        <f t="shared" ca="1" si="132"/>
        <v>0</v>
      </c>
      <c r="DS84" s="244">
        <f t="shared" ca="1" si="60"/>
        <v>26178.14</v>
      </c>
      <c r="DT84" s="244">
        <f t="shared" ca="1" si="61"/>
        <v>21667.63</v>
      </c>
      <c r="DU84" s="244">
        <f t="shared" ca="1" si="133"/>
        <v>1825.83</v>
      </c>
      <c r="DV84" s="244" t="str">
        <f t="shared" ca="1" si="134"/>
        <v>15/20 anni</v>
      </c>
      <c r="DW84" s="244"/>
      <c r="DX84" s="244">
        <f t="shared" ca="1" si="106"/>
        <v>15</v>
      </c>
      <c r="EA84" s="244">
        <f t="shared" ca="1" si="62"/>
        <v>3</v>
      </c>
      <c r="EB84" s="278">
        <f ca="1">VLOOKUP(DM84,Foglio1!$AB$31:$AN$261,13)-6+EA84</f>
        <v>202</v>
      </c>
      <c r="EC84" s="244"/>
      <c r="ED84" s="244">
        <f t="shared" ref="ED84:ED115" ca="1" si="202">INDIRECT(CONCATENATE(EB$16,EB$17,$EB84))</f>
        <v>0</v>
      </c>
      <c r="EE84" s="244">
        <f t="shared" ref="EE84:EE115" ca="1" si="203">INDIRECT(CONCATENATE(EC$16,EC$17,$EB84))</f>
        <v>17225.099999999999</v>
      </c>
      <c r="EF84" s="244">
        <f t="shared" ref="EF84:EF115" ca="1" si="204">INDIRECT(CONCATENATE(ED$16,ED$17,$EB84))</f>
        <v>0</v>
      </c>
      <c r="EG84" s="244">
        <f t="shared" ref="EG84:EG115" ca="1" si="205">INDIRECT(CONCATENATE(EE$16,EE$17,$EB84))</f>
        <v>0</v>
      </c>
      <c r="EH84" s="244">
        <f t="shared" ref="EH84:EH115" ca="1" si="206">INDIRECT(CONCATENATE(EF$16,EF$17,$EB84))</f>
        <v>6384.11</v>
      </c>
      <c r="EI84" s="244">
        <f t="shared" ref="EI84:EI115" ca="1" si="207">INDIRECT(CONCATENATE(EG$16,EG$17,$EB84))</f>
        <v>144.93</v>
      </c>
      <c r="EJ84" s="244">
        <f t="shared" ref="EJ84:EJ115" ca="1" si="208">INDIRECT(CONCATENATE(EH$16,EH$17,$EB84))</f>
        <v>1979.51</v>
      </c>
      <c r="EK84" s="244">
        <f t="shared" ref="EK84:EK115" ca="1" si="209">INDIRECT(CONCATENATE(EI$16,EI$17,$EB84))</f>
        <v>0</v>
      </c>
      <c r="EL84" s="244">
        <f t="shared" ref="EL84:EL115" ca="1" si="210">INDIRECT(CONCATENATE(EJ$16,EJ$17,$EB84))</f>
        <v>0</v>
      </c>
      <c r="EM84" s="244">
        <f t="shared" ref="EM84:EM115" ca="1" si="211">INDIRECT(CONCATENATE(EK$16,EK$17,$EB84))</f>
        <v>202</v>
      </c>
      <c r="EN84" s="244">
        <f t="shared" ref="EN84:EN115" ca="1" si="212">INDIRECT(CONCATENATE(EL$16,EL$17,$EB84))</f>
        <v>0</v>
      </c>
      <c r="EO84" s="244">
        <f t="shared" ref="EO84:EO115" ca="1" si="213">INDIRECT(CONCATENATE(EM$16,EM$17,$EB84))</f>
        <v>0</v>
      </c>
      <c r="EP84" s="244">
        <f t="shared" ref="EP84:EP115" ca="1" si="214">INDIRECT(CONCATENATE(EN$16,EN$17,$EB84))</f>
        <v>2424</v>
      </c>
      <c r="EQ84" s="244">
        <f t="shared" ref="EQ84:EQ115" ca="1" si="215">INDIRECT(CONCATENATE(EO$16,EO$17,$EB84))</f>
        <v>0</v>
      </c>
      <c r="ER84" s="244"/>
      <c r="EW84" s="244">
        <v>0</v>
      </c>
      <c r="EX84" s="278">
        <f ca="1">VLOOKUP(DM84,Foglio1!$AB$31:$AN$261,13)-6+EW84</f>
        <v>199</v>
      </c>
      <c r="EY84" s="244"/>
      <c r="EZ84" s="244">
        <v>0</v>
      </c>
      <c r="FA84" s="244">
        <f t="shared" ca="1" si="156"/>
        <v>13170.59</v>
      </c>
      <c r="FB84" s="244">
        <f t="shared" ca="1" si="157"/>
        <v>0</v>
      </c>
      <c r="FC84" s="244">
        <f t="shared" ca="1" si="158"/>
        <v>0</v>
      </c>
      <c r="FD84" s="244">
        <f t="shared" ca="1" si="159"/>
        <v>6384.11</v>
      </c>
      <c r="FE84" s="244">
        <f t="shared" ca="1" si="160"/>
        <v>144.93</v>
      </c>
      <c r="FF84" s="244">
        <f t="shared" ca="1" si="161"/>
        <v>1641.64</v>
      </c>
      <c r="FG84" s="244">
        <f t="shared" ca="1" si="162"/>
        <v>0</v>
      </c>
      <c r="FH84" s="244">
        <f t="shared" ca="1" si="163"/>
        <v>0</v>
      </c>
      <c r="FI84" s="244">
        <f t="shared" ca="1" si="164"/>
        <v>199</v>
      </c>
      <c r="FJ84" s="244">
        <f t="shared" ca="1" si="165"/>
        <v>0</v>
      </c>
      <c r="FK84" s="244">
        <f t="shared" ca="1" si="166"/>
        <v>0</v>
      </c>
      <c r="FL84" s="244">
        <f t="shared" ca="1" si="167"/>
        <v>1968</v>
      </c>
      <c r="FM84" s="244">
        <f t="shared" ref="FM84:FM115" ca="1" si="216">INDIRECT(CONCATENATE(FK$16,FK$17,$EB84))</f>
        <v>0</v>
      </c>
      <c r="FN84" s="244"/>
    </row>
    <row r="85" spans="5:170" x14ac:dyDescent="0.25">
      <c r="E85" s="244"/>
      <c r="F85" s="240" t="str">
        <f>IF(fronttd!E87="","",fronttd!E87)</f>
        <v/>
      </c>
      <c r="G85" s="240" t="str">
        <f>IF(fronttd!F87="","",fronttd!F87)</f>
        <v/>
      </c>
      <c r="H85" s="380">
        <f>fronttd!G87</f>
        <v>0</v>
      </c>
      <c r="I85" s="380">
        <f>fronttd!H87</f>
        <v>0</v>
      </c>
      <c r="J85">
        <f t="shared" si="75"/>
        <v>24</v>
      </c>
      <c r="L85">
        <f t="shared" si="76"/>
        <v>85</v>
      </c>
      <c r="O85" s="238">
        <f t="shared" si="77"/>
        <v>85</v>
      </c>
      <c r="R85" s="112" t="str">
        <f t="shared" ref="R85:R133" si="217">F85</f>
        <v/>
      </c>
      <c r="S85" s="238" t="e">
        <f t="shared" ref="S85:S146" ca="1" si="218">VLOOKUP(R85,$N$20:$O$146,2)</f>
        <v>#N/A</v>
      </c>
      <c r="T85" s="112" t="e">
        <f t="shared" ca="1" si="86"/>
        <v>#N/A</v>
      </c>
      <c r="U85" s="112" t="e">
        <f t="shared" ca="1" si="87"/>
        <v>#N/A</v>
      </c>
      <c r="V85" s="112" t="e">
        <f t="shared" ca="1" si="88"/>
        <v>#N/A</v>
      </c>
      <c r="W85" s="112" t="e">
        <f t="shared" ca="1" si="89"/>
        <v>#N/A</v>
      </c>
      <c r="X85" s="112" t="str">
        <f t="shared" ref="X85:X133" si="219">G85</f>
        <v/>
      </c>
      <c r="Y85" s="112"/>
      <c r="Z85" s="112"/>
      <c r="AA85" s="335" t="str">
        <f t="shared" ref="AA85:AA133" si="220">IF(R85=0,100000,R85)</f>
        <v/>
      </c>
      <c r="AB85" s="335" t="e">
        <f t="shared" ca="1" si="90"/>
        <v>#N/A</v>
      </c>
      <c r="AC85" s="335" t="e">
        <f t="shared" ca="1" si="91"/>
        <v>#N/A</v>
      </c>
      <c r="AD85" s="335" t="e">
        <f t="shared" ca="1" si="92"/>
        <v>#N/A</v>
      </c>
      <c r="AE85" s="335" t="e">
        <f t="shared" ca="1" si="93"/>
        <v>#N/A</v>
      </c>
      <c r="AF85" s="335" t="str">
        <f t="shared" ref="AF85:AF133" si="221">IF(X85&gt;0,X85,100000)</f>
        <v/>
      </c>
      <c r="AG85" s="238">
        <f>AG84+1</f>
        <v>33</v>
      </c>
      <c r="AH85" s="112">
        <f ca="1">INDIRECT(CONCATENATE("AA",AG85))</f>
        <v>37284</v>
      </c>
      <c r="AI85" s="112">
        <f ca="1">IF(            INDIRECT(CONCATENATE( "AB",AG85))&lt;100000,       INDIRECT(CONCATENATE("AB",AG85))  -1,IF(   INDIRECT(CONCATENATE("AC",AG85))&lt;100000,   INDIRECT(CONCATENATE("AC",AG85))-1,IF(   INDIRECT(CONCATENATE("AD", AG85))&lt;100000, INDIRECT(CONCATENATE("AD",AG85))-1,IF(   INDIRECT(CONCATENATE("AE",AG85))&lt;100000,  INDIRECT(CONCATENATE("AE",G85)),INDIRECT(CONCATENATE("AF",AG85))                ))))</f>
        <v>37410</v>
      </c>
      <c r="AJ85" s="112">
        <f t="shared" ca="1" si="125"/>
        <v>37410</v>
      </c>
      <c r="AK85" s="112">
        <f t="shared" ca="1" si="169"/>
        <v>37410</v>
      </c>
      <c r="AL85" s="238">
        <f t="shared" ca="1" si="127"/>
        <v>1</v>
      </c>
      <c r="AM85" s="112">
        <f t="shared" ca="1" si="118"/>
        <v>37284</v>
      </c>
      <c r="AN85" s="112">
        <f t="shared" ca="1" si="84"/>
        <v>37410</v>
      </c>
      <c r="AO85" s="114">
        <f t="shared" ref="AO85:AO148" ca="1" si="222">INDIRECT(CONCATENATE("i",AG85))</f>
        <v>18</v>
      </c>
      <c r="AP85" s="114">
        <f t="shared" ref="AP85:AP148" ca="1" si="223">INDIRECT(CONCATENATE("J",AG85))</f>
        <v>24</v>
      </c>
      <c r="AQ85" s="112"/>
      <c r="AR85" s="238">
        <f t="shared" si="78"/>
        <v>85</v>
      </c>
      <c r="AS85" s="112"/>
      <c r="AT85" s="112"/>
      <c r="AU85" s="283">
        <f t="shared" si="185"/>
        <v>66</v>
      </c>
      <c r="AV85" s="284">
        <f t="shared" ref="AV85:AV148" ca="1" si="224">SMALL($AM$20:$AM$564,AU85)</f>
        <v>44075</v>
      </c>
      <c r="AW85" s="284">
        <f t="shared" ca="1" si="119"/>
        <v>44196</v>
      </c>
      <c r="AX85" s="285">
        <f t="shared" ca="1" si="120"/>
        <v>18</v>
      </c>
      <c r="AY85" s="285">
        <f t="shared" ca="1" si="186"/>
        <v>24</v>
      </c>
      <c r="AZ85" s="282"/>
      <c r="BD85" s="114">
        <f t="shared" si="80"/>
        <v>1</v>
      </c>
      <c r="BE85" s="112">
        <f t="shared" ref="BE85:BE132" si="225">IF(AND(BC85=1,BD85=16),N85,100000)</f>
        <v>100000</v>
      </c>
      <c r="BH85" s="238">
        <f t="shared" si="81"/>
        <v>66</v>
      </c>
      <c r="BI85" s="245" t="str">
        <f t="shared" ref="BI85:BI122" si="226">IF(F85=0,100000,F85)</f>
        <v/>
      </c>
      <c r="BJ85" s="281">
        <f t="shared" ca="1" si="96"/>
        <v>16</v>
      </c>
      <c r="BK85" s="245" t="e">
        <f t="shared" ref="BK85:BK148" ca="1" si="227">SMALL($BI$20:$BI$154,BH85)</f>
        <v>#NUM!</v>
      </c>
      <c r="BL85" s="245" t="e">
        <f t="shared" ref="BL85:BL143" ca="1" si="228">BK86-1</f>
        <v>#NUM!</v>
      </c>
      <c r="BM85" s="244"/>
      <c r="BN85" s="245" t="e">
        <f t="shared" ca="1" si="97"/>
        <v>#NUM!</v>
      </c>
      <c r="CL85" s="112"/>
      <c r="CM85" s="112"/>
      <c r="CP85" s="112"/>
      <c r="CQ85" s="112"/>
      <c r="CR85" s="238"/>
      <c r="CS85" s="238"/>
      <c r="CT85" s="112"/>
      <c r="CU85" s="112"/>
      <c r="CV85" s="112"/>
      <c r="CW85" s="112" t="s">
        <v>224</v>
      </c>
      <c r="CX85" s="112" t="s">
        <v>225</v>
      </c>
      <c r="CY85" s="112" t="s">
        <v>226</v>
      </c>
      <c r="CZ85" s="112" t="s">
        <v>227</v>
      </c>
      <c r="DA85" s="112" t="s">
        <v>228</v>
      </c>
      <c r="DB85" s="112" t="s">
        <v>229</v>
      </c>
      <c r="DC85" s="112"/>
      <c r="DD85" s="238">
        <f t="shared" ca="1" si="116"/>
        <v>0</v>
      </c>
      <c r="DE85" s="238">
        <f t="shared" ca="1" si="108"/>
        <v>0</v>
      </c>
      <c r="DF85" s="112"/>
      <c r="DG85" s="238"/>
      <c r="DH85" s="238"/>
      <c r="DI85" s="112"/>
      <c r="DJ85" s="238"/>
      <c r="DK85" s="112">
        <f t="shared" ref="DK85:DK145" ca="1" si="229">IF(DM85=100000,0,DM85)</f>
        <v>42979</v>
      </c>
      <c r="DL85" s="278">
        <f t="shared" ca="1" si="129"/>
        <v>66</v>
      </c>
      <c r="DM85" s="245">
        <f t="shared" ref="DM85:DP85" ca="1" si="230">DM636</f>
        <v>42979</v>
      </c>
      <c r="DN85" s="245">
        <f t="shared" ca="1" si="230"/>
        <v>43159</v>
      </c>
      <c r="DO85" s="245">
        <f t="shared" ca="1" si="230"/>
        <v>18</v>
      </c>
      <c r="DP85" s="245">
        <f t="shared" ca="1" si="230"/>
        <v>24</v>
      </c>
      <c r="DQ85" s="281">
        <f t="shared" ca="1" si="131"/>
        <v>181</v>
      </c>
      <c r="DR85" s="278">
        <f t="shared" ca="1" si="132"/>
        <v>0</v>
      </c>
      <c r="DS85" s="244">
        <f t="shared" ref="DS85:DS128" ca="1" si="231">IF(OR(DK85="",  DK85=0,DK85=100000     ),"",ED85+EE85+EF85+EG85+EH85+EI85+EK85+EL85+EN85+EO85+EP85)</f>
        <v>26178.14</v>
      </c>
      <c r="DT85" s="244">
        <f t="shared" ref="DT85:DT128" ca="1" si="232">IF(DS85="","",EZ85+FA85+FB85+FC85+FD85+FE85+FG85+FH85+FJ85+FK85+FL85+FM85)</f>
        <v>21667.63</v>
      </c>
      <c r="DU85" s="244">
        <f t="shared" ca="1" si="133"/>
        <v>1677.54</v>
      </c>
      <c r="DV85" s="244" t="str">
        <f t="shared" ca="1" si="134"/>
        <v>15/20 anni</v>
      </c>
      <c r="DW85" s="244"/>
      <c r="DX85" s="244">
        <f t="shared" ca="1" si="106"/>
        <v>15</v>
      </c>
      <c r="EA85" s="244">
        <f t="shared" ref="EA85:EA128" ca="1" si="233">IF(DX85=0,0,IF(DX85=3,1,IF(DX85=9,2,IF(DX85=15,3,IF(DX85=21,4,IF(DX85=28,5,IF(DX85=35,6)))))))</f>
        <v>3</v>
      </c>
      <c r="EB85" s="278">
        <f ca="1">VLOOKUP(DM85,Foglio1!$AB$31:$AN$261,13)-6+EA85</f>
        <v>202</v>
      </c>
      <c r="EC85" s="244"/>
      <c r="ED85" s="244">
        <f t="shared" ca="1" si="202"/>
        <v>0</v>
      </c>
      <c r="EE85" s="244">
        <f t="shared" ca="1" si="203"/>
        <v>17225.099999999999</v>
      </c>
      <c r="EF85" s="244">
        <f t="shared" ca="1" si="204"/>
        <v>0</v>
      </c>
      <c r="EG85" s="244">
        <f t="shared" ca="1" si="205"/>
        <v>0</v>
      </c>
      <c r="EH85" s="244">
        <f t="shared" ca="1" si="206"/>
        <v>6384.11</v>
      </c>
      <c r="EI85" s="244">
        <f t="shared" ca="1" si="207"/>
        <v>144.93</v>
      </c>
      <c r="EJ85" s="244">
        <f t="shared" ca="1" si="208"/>
        <v>1979.51</v>
      </c>
      <c r="EK85" s="244">
        <f t="shared" ca="1" si="209"/>
        <v>0</v>
      </c>
      <c r="EL85" s="244">
        <f t="shared" ca="1" si="210"/>
        <v>0</v>
      </c>
      <c r="EM85" s="244">
        <f t="shared" ca="1" si="211"/>
        <v>202</v>
      </c>
      <c r="EN85" s="244">
        <f t="shared" ca="1" si="212"/>
        <v>0</v>
      </c>
      <c r="EO85" s="244">
        <f t="shared" ca="1" si="213"/>
        <v>0</v>
      </c>
      <c r="EP85" s="244">
        <f t="shared" ca="1" si="214"/>
        <v>2424</v>
      </c>
      <c r="EQ85" s="244">
        <f t="shared" ca="1" si="215"/>
        <v>0</v>
      </c>
      <c r="ER85" s="244"/>
      <c r="EW85" s="244">
        <v>0</v>
      </c>
      <c r="EX85" s="278">
        <f ca="1">VLOOKUP(DM85,Foglio1!$AB$31:$AN$261,13)-6+EW85</f>
        <v>199</v>
      </c>
      <c r="EY85" s="244"/>
      <c r="EZ85" s="244">
        <v>0</v>
      </c>
      <c r="FA85" s="244">
        <f t="shared" ref="FA85:FA116" ca="1" si="234">INDIRECT(CONCATENATE(EY$16,EY$17,$EX85))</f>
        <v>13170.59</v>
      </c>
      <c r="FB85" s="244">
        <f t="shared" ref="FB85:FB116" ca="1" si="235">INDIRECT(CONCATENATE(EZ$16,EZ$17,$EX85))</f>
        <v>0</v>
      </c>
      <c r="FC85" s="244">
        <f t="shared" ref="FC85:FC116" ca="1" si="236">INDIRECT(CONCATENATE(FA$16,FA$17,$EX85))</f>
        <v>0</v>
      </c>
      <c r="FD85" s="244">
        <f t="shared" ref="FD85:FD116" ca="1" si="237">INDIRECT(CONCATENATE(FB$16,FB$17,$EX85))</f>
        <v>6384.11</v>
      </c>
      <c r="FE85" s="244">
        <f t="shared" ref="FE85:FE116" ca="1" si="238">INDIRECT(CONCATENATE(FC$16,FC$17,$EX85))</f>
        <v>144.93</v>
      </c>
      <c r="FF85" s="244">
        <f t="shared" ref="FF85:FF116" ca="1" si="239">INDIRECT(CONCATENATE(FD$16,FD$17,$EX85))</f>
        <v>1641.64</v>
      </c>
      <c r="FG85" s="244">
        <f t="shared" ref="FG85:FG116" ca="1" si="240">INDIRECT(CONCATENATE(FE$16,FE$17,$EX85))</f>
        <v>0</v>
      </c>
      <c r="FH85" s="244">
        <f t="shared" ref="FH85:FH116" ca="1" si="241">INDIRECT(CONCATENATE(FF$16,FF$17,$EX85))</f>
        <v>0</v>
      </c>
      <c r="FI85" s="244">
        <f t="shared" ref="FI85:FI116" ca="1" si="242">INDIRECT(CONCATENATE(FG$16,FG$17,$EX85))</f>
        <v>199</v>
      </c>
      <c r="FJ85" s="244">
        <f t="shared" ref="FJ85:FJ116" ca="1" si="243">INDIRECT(CONCATENATE(FH$16,FH$17,$EX85))</f>
        <v>0</v>
      </c>
      <c r="FK85" s="244">
        <f t="shared" ref="FK85:FK116" ca="1" si="244">INDIRECT(CONCATENATE(FI$16,FI$17,$EX85))</f>
        <v>0</v>
      </c>
      <c r="FL85" s="244">
        <f t="shared" ref="FL85:FL116" ca="1" si="245">INDIRECT(CONCATENATE(FJ$16,FJ$17,$EX85))</f>
        <v>1968</v>
      </c>
      <c r="FM85" s="244">
        <f t="shared" ca="1" si="216"/>
        <v>0</v>
      </c>
      <c r="FN85" s="244"/>
    </row>
    <row r="86" spans="5:170" x14ac:dyDescent="0.25">
      <c r="E86" s="244"/>
      <c r="F86" s="240" t="str">
        <f>IF(fronttd!E88="","",fronttd!E88)</f>
        <v/>
      </c>
      <c r="G86" s="240" t="str">
        <f>IF(fronttd!F88="","",fronttd!F88)</f>
        <v/>
      </c>
      <c r="H86" s="380">
        <f>fronttd!G88</f>
        <v>0</v>
      </c>
      <c r="I86" s="380">
        <f>fronttd!H88</f>
        <v>0</v>
      </c>
      <c r="J86">
        <f t="shared" ref="J86:J146" si="246">J85</f>
        <v>24</v>
      </c>
      <c r="L86">
        <f t="shared" ref="L86:L141" si="247">L85+1</f>
        <v>86</v>
      </c>
      <c r="O86" s="238">
        <f t="shared" ref="O86:O146" si="248">O85+1</f>
        <v>86</v>
      </c>
      <c r="R86" s="112" t="str">
        <f t="shared" si="217"/>
        <v/>
      </c>
      <c r="S86" s="238" t="e">
        <f t="shared" ca="1" si="218"/>
        <v>#N/A</v>
      </c>
      <c r="T86" s="112" t="e">
        <f t="shared" ca="1" si="86"/>
        <v>#N/A</v>
      </c>
      <c r="U86" s="112" t="e">
        <f t="shared" ca="1" si="87"/>
        <v>#N/A</v>
      </c>
      <c r="V86" s="112" t="e">
        <f t="shared" ca="1" si="88"/>
        <v>#N/A</v>
      </c>
      <c r="W86" s="112" t="e">
        <f t="shared" ca="1" si="89"/>
        <v>#N/A</v>
      </c>
      <c r="X86" s="112" t="str">
        <f t="shared" si="219"/>
        <v/>
      </c>
      <c r="Y86" s="112"/>
      <c r="Z86" s="112"/>
      <c r="AA86" s="335" t="str">
        <f t="shared" si="220"/>
        <v/>
      </c>
      <c r="AB86" s="335" t="e">
        <f t="shared" ca="1" si="90"/>
        <v>#N/A</v>
      </c>
      <c r="AC86" s="335" t="e">
        <f t="shared" ca="1" si="91"/>
        <v>#N/A</v>
      </c>
      <c r="AD86" s="335" t="e">
        <f t="shared" ca="1" si="92"/>
        <v>#N/A</v>
      </c>
      <c r="AE86" s="335" t="e">
        <f t="shared" ca="1" si="93"/>
        <v>#N/A</v>
      </c>
      <c r="AF86" s="335" t="str">
        <f t="shared" si="221"/>
        <v/>
      </c>
      <c r="AG86" s="238">
        <f>AG85</f>
        <v>33</v>
      </c>
      <c r="AH86" s="112">
        <f ca="1">AI85+1</f>
        <v>37411</v>
      </c>
      <c r="AI86" s="112">
        <f ca="1">IF(INDIRECT(CONCATENATE("AC",AG85))&lt;100000,INDIRECT(CONCATENATE("AC",AG85))-1,IF(INDIRECT(CONCATENATE("AD",AG85))&lt;100000,INDIRECT(CONCATENATE("AD",AG85))-1,IF(INDIRECT(CONCATENATE("AE",AG85))&lt;100000,INDIRECT(CONCATENATE("AE",G85)),INDIRECT(CONCATENATE("AF",AG85)))))</f>
        <v>37410</v>
      </c>
      <c r="AJ86" s="112">
        <f t="shared" ca="1" si="125"/>
        <v>37410</v>
      </c>
      <c r="AK86" s="112">
        <f t="shared" ca="1" si="169"/>
        <v>37410</v>
      </c>
      <c r="AL86" s="238">
        <f t="shared" ca="1" si="127"/>
        <v>0</v>
      </c>
      <c r="AM86" s="112">
        <f t="shared" ca="1" si="118"/>
        <v>100000</v>
      </c>
      <c r="AN86" s="112">
        <f t="shared" ca="1" si="84"/>
        <v>100000</v>
      </c>
      <c r="AO86" s="114">
        <f t="shared" ca="1" si="222"/>
        <v>18</v>
      </c>
      <c r="AP86" s="114">
        <f t="shared" ca="1" si="223"/>
        <v>24</v>
      </c>
      <c r="AQ86" s="112"/>
      <c r="AR86" s="238">
        <f t="shared" ref="AR86:AR149" si="249">AR85+1</f>
        <v>86</v>
      </c>
      <c r="AS86" s="112"/>
      <c r="AT86" s="112"/>
      <c r="AU86" s="283">
        <f t="shared" si="185"/>
        <v>67</v>
      </c>
      <c r="AV86" s="284">
        <f t="shared" ca="1" si="224"/>
        <v>44197</v>
      </c>
      <c r="AW86" s="284">
        <f t="shared" ca="1" si="119"/>
        <v>44439</v>
      </c>
      <c r="AX86" s="285">
        <f t="shared" ca="1" si="120"/>
        <v>18</v>
      </c>
      <c r="AY86" s="285">
        <f t="shared" ca="1" si="186"/>
        <v>24</v>
      </c>
      <c r="AZ86" s="282"/>
      <c r="BD86" s="114">
        <f t="shared" ref="BD86:BD134" si="250">TYPE(M86)</f>
        <v>1</v>
      </c>
      <c r="BE86" s="112">
        <f t="shared" si="225"/>
        <v>100000</v>
      </c>
      <c r="BH86" s="238">
        <f t="shared" ref="BH86:BH149" si="251">BH85+1</f>
        <v>67</v>
      </c>
      <c r="BI86" s="245" t="str">
        <f t="shared" si="226"/>
        <v/>
      </c>
      <c r="BJ86" s="281">
        <f t="shared" ca="1" si="96"/>
        <v>16</v>
      </c>
      <c r="BK86" s="245" t="e">
        <f t="shared" ca="1" si="227"/>
        <v>#NUM!</v>
      </c>
      <c r="BL86" s="245" t="e">
        <f t="shared" ca="1" si="228"/>
        <v>#NUM!</v>
      </c>
      <c r="BM86" s="244"/>
      <c r="BN86" s="245" t="e">
        <f t="shared" ca="1" si="97"/>
        <v>#NUM!</v>
      </c>
      <c r="CL86" s="112"/>
      <c r="CM86" s="112"/>
      <c r="CP86" s="112"/>
      <c r="CQ86" s="112"/>
      <c r="CR86" s="238"/>
      <c r="CS86" s="238"/>
      <c r="CT86" s="112"/>
      <c r="CU86" s="112"/>
      <c r="CV86" s="112"/>
      <c r="CW86" s="112" t="s">
        <v>224</v>
      </c>
      <c r="CX86" s="112" t="s">
        <v>225</v>
      </c>
      <c r="CY86" s="112" t="s">
        <v>226</v>
      </c>
      <c r="CZ86" s="112" t="s">
        <v>227</v>
      </c>
      <c r="DA86" s="112" t="s">
        <v>228</v>
      </c>
      <c r="DB86" s="112" t="s">
        <v>229</v>
      </c>
      <c r="DC86" s="112"/>
      <c r="DD86" s="238">
        <f t="shared" ca="1" si="116"/>
        <v>0</v>
      </c>
      <c r="DE86" s="238">
        <f t="shared" ca="1" si="108"/>
        <v>0</v>
      </c>
      <c r="DF86" s="112"/>
      <c r="DG86" s="238"/>
      <c r="DH86" s="238"/>
      <c r="DI86" s="112"/>
      <c r="DJ86" s="238"/>
      <c r="DK86" s="112">
        <f t="shared" ca="1" si="229"/>
        <v>43160</v>
      </c>
      <c r="DL86" s="278">
        <f t="shared" ca="1" si="129"/>
        <v>67</v>
      </c>
      <c r="DM86" s="245">
        <f t="shared" ref="DM86:DP86" ca="1" si="252">DM637</f>
        <v>43160</v>
      </c>
      <c r="DN86" s="245">
        <f t="shared" ca="1" si="252"/>
        <v>43190</v>
      </c>
      <c r="DO86" s="245">
        <f t="shared" ca="1" si="252"/>
        <v>18</v>
      </c>
      <c r="DP86" s="245">
        <f t="shared" ca="1" si="252"/>
        <v>24</v>
      </c>
      <c r="DQ86" s="281">
        <f t="shared" ca="1" si="131"/>
        <v>31</v>
      </c>
      <c r="DR86" s="278">
        <f t="shared" ca="1" si="132"/>
        <v>0</v>
      </c>
      <c r="DS86" s="244">
        <f t="shared" ca="1" si="231"/>
        <v>26858.54</v>
      </c>
      <c r="DT86" s="244">
        <f t="shared" ca="1" si="232"/>
        <v>22235.23</v>
      </c>
      <c r="DU86" s="244">
        <f t="shared" ca="1" si="133"/>
        <v>294.5</v>
      </c>
      <c r="DV86" s="244" t="str">
        <f t="shared" ca="1" si="134"/>
        <v>15/20 anni</v>
      </c>
      <c r="DW86" s="244"/>
      <c r="DX86" s="244">
        <f t="shared" ca="1" si="106"/>
        <v>15</v>
      </c>
      <c r="EA86" s="244">
        <f t="shared" ca="1" si="233"/>
        <v>3</v>
      </c>
      <c r="EB86" s="278">
        <f ca="1">VLOOKUP(DM86,Foglio1!$AB$31:$AN$261,13)-6+EA86</f>
        <v>209</v>
      </c>
      <c r="EC86" s="244"/>
      <c r="ED86" s="244">
        <f t="shared" ca="1" si="202"/>
        <v>0</v>
      </c>
      <c r="EE86" s="244">
        <f t="shared" ca="1" si="203"/>
        <v>17751.900000000001</v>
      </c>
      <c r="EF86" s="244">
        <f t="shared" ca="1" si="204"/>
        <v>0</v>
      </c>
      <c r="EG86" s="244">
        <f t="shared" ca="1" si="205"/>
        <v>0</v>
      </c>
      <c r="EH86" s="244">
        <f t="shared" ca="1" si="206"/>
        <v>6384.11</v>
      </c>
      <c r="EI86" s="244">
        <f t="shared" ca="1" si="207"/>
        <v>144.93</v>
      </c>
      <c r="EJ86" s="244">
        <f t="shared" ca="1" si="208"/>
        <v>2023.41</v>
      </c>
      <c r="EK86" s="244">
        <f t="shared" ca="1" si="209"/>
        <v>0</v>
      </c>
      <c r="EL86" s="244">
        <f t="shared" ca="1" si="210"/>
        <v>0</v>
      </c>
      <c r="EM86" s="244">
        <f t="shared" ca="1" si="211"/>
        <v>209</v>
      </c>
      <c r="EN86" s="244">
        <f t="shared" ca="1" si="212"/>
        <v>0</v>
      </c>
      <c r="EO86" s="244">
        <f t="shared" ca="1" si="213"/>
        <v>0</v>
      </c>
      <c r="EP86" s="244">
        <f t="shared" ca="1" si="214"/>
        <v>2577.6</v>
      </c>
      <c r="EQ86" s="244">
        <f t="shared" ca="1" si="215"/>
        <v>0</v>
      </c>
      <c r="ER86" s="244"/>
      <c r="EW86" s="244">
        <v>0</v>
      </c>
      <c r="EX86" s="278">
        <f ca="1">VLOOKUP(DM86,Foglio1!$AB$31:$AN$261,13)-6+EW86</f>
        <v>206</v>
      </c>
      <c r="EY86" s="244"/>
      <c r="EZ86" s="244">
        <v>0</v>
      </c>
      <c r="FA86" s="244">
        <f t="shared" ca="1" si="234"/>
        <v>13612.19</v>
      </c>
      <c r="FB86" s="244">
        <f t="shared" ca="1" si="235"/>
        <v>0</v>
      </c>
      <c r="FC86" s="244">
        <f t="shared" ca="1" si="236"/>
        <v>0</v>
      </c>
      <c r="FD86" s="244">
        <f t="shared" ca="1" si="237"/>
        <v>6384.11</v>
      </c>
      <c r="FE86" s="244">
        <f t="shared" ca="1" si="238"/>
        <v>144.93</v>
      </c>
      <c r="FF86" s="244">
        <f t="shared" ca="1" si="239"/>
        <v>1678.44</v>
      </c>
      <c r="FG86" s="244">
        <f t="shared" ca="1" si="240"/>
        <v>0</v>
      </c>
      <c r="FH86" s="244">
        <f t="shared" ca="1" si="241"/>
        <v>0</v>
      </c>
      <c r="FI86" s="244">
        <f t="shared" ca="1" si="242"/>
        <v>206</v>
      </c>
      <c r="FJ86" s="244">
        <f t="shared" ca="1" si="243"/>
        <v>0</v>
      </c>
      <c r="FK86" s="244">
        <f t="shared" ca="1" si="244"/>
        <v>0</v>
      </c>
      <c r="FL86" s="244">
        <f t="shared" ca="1" si="245"/>
        <v>2094</v>
      </c>
      <c r="FM86" s="244">
        <f t="shared" ca="1" si="216"/>
        <v>0</v>
      </c>
      <c r="FN86" s="244"/>
    </row>
    <row r="87" spans="5:170" x14ac:dyDescent="0.25">
      <c r="E87" s="244"/>
      <c r="F87" s="240" t="str">
        <f>IF(fronttd!E89="","",fronttd!E89)</f>
        <v/>
      </c>
      <c r="G87" s="240" t="str">
        <f>IF(fronttd!F89="","",fronttd!F89)</f>
        <v/>
      </c>
      <c r="H87" s="380">
        <f>fronttd!G89</f>
        <v>0</v>
      </c>
      <c r="I87" s="380">
        <f>fronttd!H89</f>
        <v>0</v>
      </c>
      <c r="J87">
        <f t="shared" si="246"/>
        <v>24</v>
      </c>
      <c r="L87">
        <f t="shared" si="247"/>
        <v>87</v>
      </c>
      <c r="O87" s="238">
        <f t="shared" si="248"/>
        <v>87</v>
      </c>
      <c r="R87" s="112" t="str">
        <f t="shared" si="217"/>
        <v/>
      </c>
      <c r="S87" s="238" t="e">
        <f t="shared" ca="1" si="218"/>
        <v>#N/A</v>
      </c>
      <c r="T87" s="112" t="e">
        <f t="shared" ca="1" si="86"/>
        <v>#N/A</v>
      </c>
      <c r="U87" s="112" t="e">
        <f t="shared" ca="1" si="87"/>
        <v>#N/A</v>
      </c>
      <c r="V87" s="112" t="e">
        <f t="shared" ca="1" si="88"/>
        <v>#N/A</v>
      </c>
      <c r="W87" s="112" t="e">
        <f t="shared" ca="1" si="89"/>
        <v>#N/A</v>
      </c>
      <c r="X87" s="112" t="str">
        <f t="shared" si="219"/>
        <v/>
      </c>
      <c r="Y87" s="112"/>
      <c r="Z87" s="112"/>
      <c r="AA87" s="335" t="str">
        <f t="shared" si="220"/>
        <v/>
      </c>
      <c r="AB87" s="335" t="e">
        <f t="shared" ca="1" si="90"/>
        <v>#N/A</v>
      </c>
      <c r="AC87" s="335" t="e">
        <f t="shared" ca="1" si="91"/>
        <v>#N/A</v>
      </c>
      <c r="AD87" s="335" t="e">
        <f t="shared" ca="1" si="92"/>
        <v>#N/A</v>
      </c>
      <c r="AE87" s="335" t="e">
        <f t="shared" ca="1" si="93"/>
        <v>#N/A</v>
      </c>
      <c r="AF87" s="335" t="str">
        <f t="shared" si="221"/>
        <v/>
      </c>
      <c r="AG87" s="238">
        <f>AG86</f>
        <v>33</v>
      </c>
      <c r="AH87" s="112">
        <f ca="1">AI86+1</f>
        <v>37411</v>
      </c>
      <c r="AI87" s="112">
        <f ca="1">IF(INDIRECT(CONCATENATE("AD",AG85))&lt;100000,INDIRECT(CONCATENATE("AD",AG85))-1,IF(INDIRECT(CONCATENATE("AE",AG85))&lt;100000,INDIRECT(CONCATENATE("AE",G85)),INDIRECT(CONCATENATE("AF",AG85))))</f>
        <v>37437</v>
      </c>
      <c r="AJ87" s="112">
        <f t="shared" ca="1" si="125"/>
        <v>37437</v>
      </c>
      <c r="AK87" s="112">
        <f t="shared" ca="1" si="169"/>
        <v>37437</v>
      </c>
      <c r="AL87" s="238">
        <f t="shared" ca="1" si="127"/>
        <v>1</v>
      </c>
      <c r="AM87" s="112">
        <f t="shared" ca="1" si="118"/>
        <v>37411</v>
      </c>
      <c r="AN87" s="112">
        <f t="shared" ref="AN87:AN150" ca="1" si="253">IF(AM87=100000,100000,AK87)</f>
        <v>37437</v>
      </c>
      <c r="AO87" s="114">
        <f t="shared" ca="1" si="222"/>
        <v>18</v>
      </c>
      <c r="AP87" s="114">
        <f t="shared" ca="1" si="223"/>
        <v>24</v>
      </c>
      <c r="AQ87" s="112"/>
      <c r="AR87" s="238">
        <f t="shared" si="249"/>
        <v>87</v>
      </c>
      <c r="AS87" s="112"/>
      <c r="AT87" s="112"/>
      <c r="AU87" s="283">
        <f t="shared" si="185"/>
        <v>68</v>
      </c>
      <c r="AV87" s="284">
        <f t="shared" ca="1" si="224"/>
        <v>44440</v>
      </c>
      <c r="AW87" s="284">
        <f t="shared" ca="1" si="119"/>
        <v>44561</v>
      </c>
      <c r="AX87" s="285">
        <f t="shared" ca="1" si="120"/>
        <v>18</v>
      </c>
      <c r="AY87" s="285">
        <f t="shared" ca="1" si="186"/>
        <v>24</v>
      </c>
      <c r="AZ87" s="282"/>
      <c r="BD87" s="114">
        <f t="shared" si="250"/>
        <v>1</v>
      </c>
      <c r="BE87" s="112">
        <f t="shared" si="225"/>
        <v>100000</v>
      </c>
      <c r="BH87" s="238">
        <f t="shared" si="251"/>
        <v>68</v>
      </c>
      <c r="BI87" s="245" t="str">
        <f t="shared" si="226"/>
        <v/>
      </c>
      <c r="BJ87" s="281">
        <f t="shared" ca="1" si="96"/>
        <v>16</v>
      </c>
      <c r="BK87" s="245" t="e">
        <f t="shared" ca="1" si="227"/>
        <v>#NUM!</v>
      </c>
      <c r="BL87" s="245" t="e">
        <f t="shared" ca="1" si="228"/>
        <v>#NUM!</v>
      </c>
      <c r="BN87" s="245" t="e">
        <f t="shared" ca="1" si="97"/>
        <v>#NUM!</v>
      </c>
      <c r="CL87" s="112"/>
      <c r="CM87" s="112"/>
      <c r="CP87" s="112"/>
      <c r="CQ87" s="112"/>
      <c r="CR87" s="238"/>
      <c r="CS87" s="238"/>
      <c r="CT87" s="112"/>
      <c r="CU87" s="112"/>
      <c r="CV87" s="112"/>
      <c r="CW87" s="112" t="s">
        <v>224</v>
      </c>
      <c r="CX87" s="112" t="s">
        <v>225</v>
      </c>
      <c r="CY87" s="112" t="s">
        <v>226</v>
      </c>
      <c r="CZ87" s="112" t="s">
        <v>227</v>
      </c>
      <c r="DA87" s="112" t="s">
        <v>228</v>
      </c>
      <c r="DB87" s="112" t="s">
        <v>229</v>
      </c>
      <c r="DC87" s="112"/>
      <c r="DD87" s="238">
        <f t="shared" ca="1" si="116"/>
        <v>0</v>
      </c>
      <c r="DE87" s="238">
        <f t="shared" ca="1" si="108"/>
        <v>0</v>
      </c>
      <c r="DF87" s="112"/>
      <c r="DG87" s="238"/>
      <c r="DH87" s="238"/>
      <c r="DI87" s="112"/>
      <c r="DJ87" s="238"/>
      <c r="DK87" s="112">
        <f t="shared" ca="1" si="229"/>
        <v>43191</v>
      </c>
      <c r="DL87" s="278">
        <f t="shared" ca="1" si="129"/>
        <v>68</v>
      </c>
      <c r="DM87" s="245">
        <f t="shared" ref="DM87:DP87" ca="1" si="254">DM638</f>
        <v>43191</v>
      </c>
      <c r="DN87" s="245">
        <f t="shared" ca="1" si="254"/>
        <v>43343</v>
      </c>
      <c r="DO87" s="245">
        <f t="shared" ca="1" si="254"/>
        <v>18</v>
      </c>
      <c r="DP87" s="245">
        <f t="shared" ca="1" si="254"/>
        <v>24</v>
      </c>
      <c r="DQ87" s="281">
        <f t="shared" ca="1" si="131"/>
        <v>153</v>
      </c>
      <c r="DR87" s="278">
        <f t="shared" ca="1" si="132"/>
        <v>0</v>
      </c>
      <c r="DS87" s="244">
        <f t="shared" ca="1" si="231"/>
        <v>26858.54</v>
      </c>
      <c r="DT87" s="244">
        <f t="shared" ca="1" si="232"/>
        <v>22235.23</v>
      </c>
      <c r="DU87" s="244">
        <f t="shared" ca="1" si="133"/>
        <v>1453.49</v>
      </c>
      <c r="DV87" s="244" t="str">
        <f t="shared" ca="1" si="134"/>
        <v>15/20 anni</v>
      </c>
      <c r="DW87" s="244"/>
      <c r="DX87" s="244">
        <f t="shared" ca="1" si="106"/>
        <v>15</v>
      </c>
      <c r="EA87" s="244">
        <f t="shared" ca="1" si="233"/>
        <v>3</v>
      </c>
      <c r="EB87" s="278">
        <f ca="1">VLOOKUP(DM87,Foglio1!$AB$31:$AN$261,13)-6+EA87</f>
        <v>216</v>
      </c>
      <c r="EC87" s="244"/>
      <c r="ED87" s="244">
        <f t="shared" ca="1" si="202"/>
        <v>0</v>
      </c>
      <c r="EE87" s="244">
        <f t="shared" ca="1" si="203"/>
        <v>17896.830000000002</v>
      </c>
      <c r="EF87" s="244">
        <f t="shared" ca="1" si="204"/>
        <v>0</v>
      </c>
      <c r="EG87" s="244">
        <f t="shared" ca="1" si="205"/>
        <v>0</v>
      </c>
      <c r="EH87" s="244">
        <f t="shared" ca="1" si="206"/>
        <v>6384.11</v>
      </c>
      <c r="EI87" s="244">
        <f t="shared" ca="1" si="207"/>
        <v>0</v>
      </c>
      <c r="EJ87" s="244">
        <f t="shared" ca="1" si="208"/>
        <v>2023.41</v>
      </c>
      <c r="EK87" s="244">
        <f t="shared" ca="1" si="209"/>
        <v>0</v>
      </c>
      <c r="EL87" s="244">
        <f t="shared" ca="1" si="210"/>
        <v>0</v>
      </c>
      <c r="EM87" s="244">
        <f t="shared" ca="1" si="211"/>
        <v>216</v>
      </c>
      <c r="EN87" s="244">
        <f t="shared" ca="1" si="212"/>
        <v>0</v>
      </c>
      <c r="EO87" s="244">
        <f t="shared" ca="1" si="213"/>
        <v>0</v>
      </c>
      <c r="EP87" s="244">
        <f t="shared" ca="1" si="214"/>
        <v>2577.6</v>
      </c>
      <c r="EQ87" s="244">
        <f t="shared" ca="1" si="215"/>
        <v>0</v>
      </c>
      <c r="ER87" s="244"/>
      <c r="EW87" s="244">
        <v>0</v>
      </c>
      <c r="EX87" s="278">
        <f ca="1">VLOOKUP(DM87,Foglio1!$AB$31:$AN$261,13)-6+EW87</f>
        <v>213</v>
      </c>
      <c r="EY87" s="244"/>
      <c r="EZ87" s="244">
        <v>0</v>
      </c>
      <c r="FA87" s="244">
        <f t="shared" ca="1" si="234"/>
        <v>13757.12</v>
      </c>
      <c r="FB87" s="244">
        <f t="shared" ca="1" si="235"/>
        <v>0</v>
      </c>
      <c r="FC87" s="244">
        <f t="shared" ca="1" si="236"/>
        <v>0</v>
      </c>
      <c r="FD87" s="244">
        <f t="shared" ca="1" si="237"/>
        <v>6384.11</v>
      </c>
      <c r="FE87" s="244">
        <f t="shared" ca="1" si="238"/>
        <v>0</v>
      </c>
      <c r="FF87" s="244">
        <f t="shared" ca="1" si="239"/>
        <v>1678.44</v>
      </c>
      <c r="FG87" s="244">
        <f t="shared" ca="1" si="240"/>
        <v>0</v>
      </c>
      <c r="FH87" s="244">
        <f t="shared" ca="1" si="241"/>
        <v>0</v>
      </c>
      <c r="FI87" s="244">
        <f t="shared" ca="1" si="242"/>
        <v>213</v>
      </c>
      <c r="FJ87" s="244">
        <f t="shared" ca="1" si="243"/>
        <v>0</v>
      </c>
      <c r="FK87" s="244">
        <f t="shared" ca="1" si="244"/>
        <v>0</v>
      </c>
      <c r="FL87" s="244">
        <f t="shared" ca="1" si="245"/>
        <v>2094</v>
      </c>
      <c r="FM87" s="244">
        <f t="shared" ca="1" si="216"/>
        <v>0</v>
      </c>
      <c r="FN87" s="244"/>
    </row>
    <row r="88" spans="5:170" x14ac:dyDescent="0.25">
      <c r="E88" s="244"/>
      <c r="F88" s="240" t="str">
        <f>IF(fronttd!E90="","",fronttd!E90)</f>
        <v/>
      </c>
      <c r="G88" s="240" t="str">
        <f>IF(fronttd!F90="","",fronttd!F90)</f>
        <v/>
      </c>
      <c r="H88" s="380">
        <f>fronttd!G90</f>
        <v>0</v>
      </c>
      <c r="I88" s="380">
        <f>fronttd!H90</f>
        <v>0</v>
      </c>
      <c r="J88">
        <f t="shared" si="246"/>
        <v>24</v>
      </c>
      <c r="L88">
        <f t="shared" si="247"/>
        <v>88</v>
      </c>
      <c r="O88" s="238">
        <f t="shared" si="248"/>
        <v>88</v>
      </c>
      <c r="R88" s="112" t="str">
        <f t="shared" si="217"/>
        <v/>
      </c>
      <c r="S88" s="238" t="e">
        <f t="shared" ca="1" si="218"/>
        <v>#N/A</v>
      </c>
      <c r="T88" s="112" t="e">
        <f t="shared" ref="T88:T133" ca="1" si="255">SMALL(INDIRECT(CONCATENATE("N",S88,":N",S88+4)),1)</f>
        <v>#N/A</v>
      </c>
      <c r="U88" s="112" t="e">
        <f t="shared" ref="U88:U133" ca="1" si="256">SMALL(INDIRECT(CONCATENATE("N",S88,":N",S88+4)),2)</f>
        <v>#N/A</v>
      </c>
      <c r="V88" s="112" t="e">
        <f t="shared" ref="V88:V133" ca="1" si="257">SMALL(INDIRECT(CONCATENATE("N",S88,":N",S88+4)),3)</f>
        <v>#N/A</v>
      </c>
      <c r="W88" s="112" t="e">
        <f t="shared" ref="W88:W133" ca="1" si="258">SMALL(INDIRECT(CONCATENATE("N",S88,":N",S88+4)),4)</f>
        <v>#N/A</v>
      </c>
      <c r="X88" s="112" t="str">
        <f t="shared" si="219"/>
        <v/>
      </c>
      <c r="Y88" s="112"/>
      <c r="Z88" s="112"/>
      <c r="AA88" s="335" t="str">
        <f t="shared" si="220"/>
        <v/>
      </c>
      <c r="AB88" s="335" t="e">
        <f t="shared" ref="AB88:AB133" ca="1" si="259">IF(AND(T88&gt;=R88,T88&lt;=X88),T88,100000)</f>
        <v>#N/A</v>
      </c>
      <c r="AC88" s="335" t="e">
        <f t="shared" ref="AC88:AC133" ca="1" si="260">IF(AND(U88&gt;=R88,U88&lt;=X88),U88,100000)</f>
        <v>#N/A</v>
      </c>
      <c r="AD88" s="335" t="e">
        <f t="shared" ref="AD88:AD133" ca="1" si="261">IF(AND(V88&gt;=R88,V88&lt;=X88),V88,100000)</f>
        <v>#N/A</v>
      </c>
      <c r="AE88" s="335" t="e">
        <f t="shared" ref="AE88:AE133" ca="1" si="262">IF(AND(W88&gt;=R88,W88&lt;=X88),W88,100000)</f>
        <v>#N/A</v>
      </c>
      <c r="AF88" s="335" t="str">
        <f t="shared" si="221"/>
        <v/>
      </c>
      <c r="AG88" s="238">
        <f>AG87</f>
        <v>33</v>
      </c>
      <c r="AH88" s="112">
        <f ca="1">AI87+1</f>
        <v>37438</v>
      </c>
      <c r="AI88" s="112">
        <f ca="1">IF(INDIRECT(CONCATENATE("AE",AG85))&lt;100000,INDIRECT(CONCATENATE("AE",G85)),INDIRECT(CONCATENATE("AF",AG85)))</f>
        <v>37437</v>
      </c>
      <c r="AJ88" s="112">
        <f t="shared" ca="1" si="125"/>
        <v>37437</v>
      </c>
      <c r="AK88" s="112">
        <f t="shared" ca="1" si="169"/>
        <v>37437</v>
      </c>
      <c r="AL88" s="238">
        <f t="shared" ca="1" si="127"/>
        <v>0</v>
      </c>
      <c r="AM88" s="112">
        <f t="shared" ca="1" si="118"/>
        <v>100000</v>
      </c>
      <c r="AN88" s="112">
        <f t="shared" ca="1" si="253"/>
        <v>100000</v>
      </c>
      <c r="AO88" s="114">
        <f t="shared" ca="1" si="222"/>
        <v>18</v>
      </c>
      <c r="AP88" s="114">
        <f t="shared" ca="1" si="223"/>
        <v>24</v>
      </c>
      <c r="AQ88" s="112"/>
      <c r="AR88" s="238">
        <f t="shared" si="249"/>
        <v>88</v>
      </c>
      <c r="AS88" s="112"/>
      <c r="AT88" s="112"/>
      <c r="AU88" s="283">
        <f t="shared" si="185"/>
        <v>69</v>
      </c>
      <c r="AV88" s="284">
        <f t="shared" ca="1" si="224"/>
        <v>44562</v>
      </c>
      <c r="AW88" s="284">
        <f t="shared" ca="1" si="119"/>
        <v>44651</v>
      </c>
      <c r="AX88" s="285">
        <f t="shared" ca="1" si="120"/>
        <v>18</v>
      </c>
      <c r="AY88" s="285">
        <f t="shared" ca="1" si="186"/>
        <v>24</v>
      </c>
      <c r="AZ88" s="282"/>
      <c r="BD88" s="114">
        <f t="shared" si="250"/>
        <v>1</v>
      </c>
      <c r="BE88" s="112">
        <f t="shared" si="225"/>
        <v>100000</v>
      </c>
      <c r="BH88" s="238">
        <f t="shared" si="251"/>
        <v>69</v>
      </c>
      <c r="BI88" s="245" t="str">
        <f t="shared" si="226"/>
        <v/>
      </c>
      <c r="BJ88" s="281">
        <f t="shared" ca="1" si="96"/>
        <v>16</v>
      </c>
      <c r="BK88" s="245" t="e">
        <f t="shared" ca="1" si="227"/>
        <v>#NUM!</v>
      </c>
      <c r="BL88" s="245" t="e">
        <f t="shared" ca="1" si="228"/>
        <v>#NUM!</v>
      </c>
      <c r="BN88" s="245" t="e">
        <f t="shared" ca="1" si="97"/>
        <v>#NUM!</v>
      </c>
      <c r="CL88" s="112"/>
      <c r="CM88" s="112"/>
      <c r="CP88" s="112"/>
      <c r="CQ88" s="112"/>
      <c r="CR88" s="238"/>
      <c r="CS88" s="238"/>
      <c r="CT88" s="112"/>
      <c r="CU88" s="112"/>
      <c r="CV88" s="112"/>
      <c r="CW88" s="112" t="s">
        <v>224</v>
      </c>
      <c r="CX88" s="112" t="s">
        <v>225</v>
      </c>
      <c r="CY88" s="112" t="s">
        <v>226</v>
      </c>
      <c r="CZ88" s="112" t="s">
        <v>227</v>
      </c>
      <c r="DA88" s="112" t="s">
        <v>228</v>
      </c>
      <c r="DB88" s="112" t="s">
        <v>229</v>
      </c>
      <c r="DC88" s="112"/>
      <c r="DD88" s="238">
        <f t="shared" ca="1" si="116"/>
        <v>0</v>
      </c>
      <c r="DE88" s="238">
        <f t="shared" ca="1" si="108"/>
        <v>0</v>
      </c>
      <c r="DF88" s="112"/>
      <c r="DG88" s="238"/>
      <c r="DH88" s="238"/>
      <c r="DI88" s="112"/>
      <c r="DJ88" s="238"/>
      <c r="DK88" s="112">
        <f t="shared" ca="1" si="229"/>
        <v>43344</v>
      </c>
      <c r="DL88" s="278">
        <f t="shared" ca="1" si="129"/>
        <v>69</v>
      </c>
      <c r="DM88" s="245">
        <f t="shared" ref="DM88:DP88" ca="1" si="263">DM639</f>
        <v>43344</v>
      </c>
      <c r="DN88" s="245">
        <f t="shared" ca="1" si="263"/>
        <v>43465</v>
      </c>
      <c r="DO88" s="245">
        <f t="shared" ca="1" si="263"/>
        <v>18</v>
      </c>
      <c r="DP88" s="245">
        <f t="shared" ca="1" si="263"/>
        <v>24</v>
      </c>
      <c r="DQ88" s="281">
        <f t="shared" ca="1" si="131"/>
        <v>122</v>
      </c>
      <c r="DR88" s="278">
        <f t="shared" ca="1" si="132"/>
        <v>0</v>
      </c>
      <c r="DS88" s="244">
        <f t="shared" ca="1" si="231"/>
        <v>26858.54</v>
      </c>
      <c r="DT88" s="244">
        <f t="shared" ca="1" si="232"/>
        <v>22235.23</v>
      </c>
      <c r="DU88" s="244">
        <f t="shared" ca="1" si="133"/>
        <v>1158.99</v>
      </c>
      <c r="DV88" s="244" t="str">
        <f t="shared" ca="1" si="134"/>
        <v>15/20 anni</v>
      </c>
      <c r="DW88" s="244"/>
      <c r="DX88" s="244">
        <f t="shared" ca="1" si="106"/>
        <v>15</v>
      </c>
      <c r="EA88" s="244">
        <f t="shared" ca="1" si="233"/>
        <v>3</v>
      </c>
      <c r="EB88" s="278">
        <f ca="1">VLOOKUP(DM88,Foglio1!$AB$31:$AN$261,13)-6+EA88</f>
        <v>216</v>
      </c>
      <c r="EC88" s="244"/>
      <c r="ED88" s="244">
        <f t="shared" ca="1" si="202"/>
        <v>0</v>
      </c>
      <c r="EE88" s="244">
        <f t="shared" ca="1" si="203"/>
        <v>17896.830000000002</v>
      </c>
      <c r="EF88" s="244">
        <f t="shared" ca="1" si="204"/>
        <v>0</v>
      </c>
      <c r="EG88" s="244">
        <f t="shared" ca="1" si="205"/>
        <v>0</v>
      </c>
      <c r="EH88" s="244">
        <f t="shared" ca="1" si="206"/>
        <v>6384.11</v>
      </c>
      <c r="EI88" s="244">
        <f t="shared" ca="1" si="207"/>
        <v>0</v>
      </c>
      <c r="EJ88" s="244">
        <f t="shared" ca="1" si="208"/>
        <v>2023.41</v>
      </c>
      <c r="EK88" s="244">
        <f t="shared" ca="1" si="209"/>
        <v>0</v>
      </c>
      <c r="EL88" s="244">
        <f t="shared" ca="1" si="210"/>
        <v>0</v>
      </c>
      <c r="EM88" s="244">
        <f t="shared" ca="1" si="211"/>
        <v>216</v>
      </c>
      <c r="EN88" s="244">
        <f t="shared" ca="1" si="212"/>
        <v>0</v>
      </c>
      <c r="EO88" s="244">
        <f t="shared" ca="1" si="213"/>
        <v>0</v>
      </c>
      <c r="EP88" s="244">
        <f t="shared" ca="1" si="214"/>
        <v>2577.6</v>
      </c>
      <c r="EQ88" s="244">
        <f t="shared" ca="1" si="215"/>
        <v>0</v>
      </c>
      <c r="ER88" s="244"/>
      <c r="EW88" s="244">
        <v>0</v>
      </c>
      <c r="EX88" s="278">
        <f ca="1">VLOOKUP(DM88,Foglio1!$AB$31:$AN$261,13)-6+EW88</f>
        <v>213</v>
      </c>
      <c r="EY88" s="244"/>
      <c r="EZ88" s="244">
        <v>0</v>
      </c>
      <c r="FA88" s="244">
        <f t="shared" ca="1" si="234"/>
        <v>13757.12</v>
      </c>
      <c r="FB88" s="244">
        <f t="shared" ca="1" si="235"/>
        <v>0</v>
      </c>
      <c r="FC88" s="244">
        <f t="shared" ca="1" si="236"/>
        <v>0</v>
      </c>
      <c r="FD88" s="244">
        <f t="shared" ca="1" si="237"/>
        <v>6384.11</v>
      </c>
      <c r="FE88" s="244">
        <f t="shared" ca="1" si="238"/>
        <v>0</v>
      </c>
      <c r="FF88" s="244">
        <f t="shared" ca="1" si="239"/>
        <v>1678.44</v>
      </c>
      <c r="FG88" s="244">
        <f t="shared" ca="1" si="240"/>
        <v>0</v>
      </c>
      <c r="FH88" s="244">
        <f t="shared" ca="1" si="241"/>
        <v>0</v>
      </c>
      <c r="FI88" s="244">
        <f t="shared" ca="1" si="242"/>
        <v>213</v>
      </c>
      <c r="FJ88" s="244">
        <f t="shared" ca="1" si="243"/>
        <v>0</v>
      </c>
      <c r="FK88" s="244">
        <f t="shared" ca="1" si="244"/>
        <v>0</v>
      </c>
      <c r="FL88" s="244">
        <f t="shared" ca="1" si="245"/>
        <v>2094</v>
      </c>
      <c r="FM88" s="244">
        <f t="shared" ca="1" si="216"/>
        <v>0</v>
      </c>
      <c r="FN88" s="244"/>
    </row>
    <row r="89" spans="5:170" x14ac:dyDescent="0.25">
      <c r="E89" s="244"/>
      <c r="F89" s="240" t="str">
        <f>IF(fronttd!E91="","",fronttd!E91)</f>
        <v/>
      </c>
      <c r="G89" s="240" t="str">
        <f>IF(fronttd!F91="","",fronttd!F91)</f>
        <v/>
      </c>
      <c r="H89" s="380">
        <f>fronttd!G91</f>
        <v>0</v>
      </c>
      <c r="I89" s="380">
        <f>fronttd!H91</f>
        <v>0</v>
      </c>
      <c r="J89">
        <f t="shared" si="246"/>
        <v>24</v>
      </c>
      <c r="L89">
        <f t="shared" si="247"/>
        <v>89</v>
      </c>
      <c r="O89" s="238">
        <f t="shared" si="248"/>
        <v>89</v>
      </c>
      <c r="R89" s="112" t="str">
        <f t="shared" si="217"/>
        <v/>
      </c>
      <c r="S89" s="238" t="e">
        <f t="shared" ca="1" si="218"/>
        <v>#N/A</v>
      </c>
      <c r="T89" s="112" t="e">
        <f t="shared" ca="1" si="255"/>
        <v>#N/A</v>
      </c>
      <c r="U89" s="112" t="e">
        <f t="shared" ca="1" si="256"/>
        <v>#N/A</v>
      </c>
      <c r="V89" s="112" t="e">
        <f t="shared" ca="1" si="257"/>
        <v>#N/A</v>
      </c>
      <c r="W89" s="112" t="e">
        <f t="shared" ca="1" si="258"/>
        <v>#N/A</v>
      </c>
      <c r="X89" s="112" t="str">
        <f t="shared" si="219"/>
        <v/>
      </c>
      <c r="Y89" s="112"/>
      <c r="Z89" s="112"/>
      <c r="AA89" s="335" t="str">
        <f t="shared" si="220"/>
        <v/>
      </c>
      <c r="AB89" s="335" t="e">
        <f t="shared" ca="1" si="259"/>
        <v>#N/A</v>
      </c>
      <c r="AC89" s="335" t="e">
        <f t="shared" ca="1" si="260"/>
        <v>#N/A</v>
      </c>
      <c r="AD89" s="335" t="e">
        <f t="shared" ca="1" si="261"/>
        <v>#N/A</v>
      </c>
      <c r="AE89" s="335" t="e">
        <f t="shared" ca="1" si="262"/>
        <v>#N/A</v>
      </c>
      <c r="AF89" s="335" t="str">
        <f t="shared" si="221"/>
        <v/>
      </c>
      <c r="AG89" s="238">
        <f>AG88</f>
        <v>33</v>
      </c>
      <c r="AH89" s="112">
        <f ca="1">AI88+1</f>
        <v>37438</v>
      </c>
      <c r="AI89" s="112">
        <f ca="1">INDIRECT(CONCATENATE("AF",AG85))</f>
        <v>37437</v>
      </c>
      <c r="AJ89" s="112">
        <f t="shared" ca="1" si="125"/>
        <v>37437</v>
      </c>
      <c r="AK89" s="112">
        <f t="shared" ca="1" si="169"/>
        <v>37437</v>
      </c>
      <c r="AL89" s="238">
        <f t="shared" ca="1" si="127"/>
        <v>0</v>
      </c>
      <c r="AM89" s="112">
        <f t="shared" ca="1" si="118"/>
        <v>100000</v>
      </c>
      <c r="AN89" s="112">
        <f t="shared" ca="1" si="253"/>
        <v>100000</v>
      </c>
      <c r="AO89" s="114">
        <f t="shared" ca="1" si="222"/>
        <v>18</v>
      </c>
      <c r="AP89" s="114">
        <f t="shared" ca="1" si="223"/>
        <v>24</v>
      </c>
      <c r="AQ89" s="112"/>
      <c r="AR89" s="238">
        <f t="shared" si="249"/>
        <v>89</v>
      </c>
      <c r="AS89" s="112"/>
      <c r="AT89" s="112"/>
      <c r="AU89" s="283">
        <f t="shared" si="185"/>
        <v>70</v>
      </c>
      <c r="AV89" s="284">
        <f t="shared" ca="1" si="224"/>
        <v>44652</v>
      </c>
      <c r="AW89" s="284">
        <f t="shared" ca="1" si="119"/>
        <v>44804</v>
      </c>
      <c r="AX89" s="285">
        <f t="shared" ca="1" si="120"/>
        <v>18</v>
      </c>
      <c r="AY89" s="285">
        <f t="shared" ca="1" si="186"/>
        <v>24</v>
      </c>
      <c r="AZ89" s="282"/>
      <c r="BD89" s="114">
        <f t="shared" si="250"/>
        <v>1</v>
      </c>
      <c r="BE89" s="112">
        <f t="shared" si="225"/>
        <v>100000</v>
      </c>
      <c r="BH89" s="238">
        <f t="shared" si="251"/>
        <v>70</v>
      </c>
      <c r="BI89" s="245" t="str">
        <f t="shared" si="226"/>
        <v/>
      </c>
      <c r="BJ89" s="281">
        <f t="shared" ca="1" si="96"/>
        <v>16</v>
      </c>
      <c r="BK89" s="245" t="e">
        <f t="shared" ca="1" si="227"/>
        <v>#NUM!</v>
      </c>
      <c r="BL89" s="245" t="e">
        <f t="shared" ca="1" si="228"/>
        <v>#NUM!</v>
      </c>
      <c r="BN89" s="245" t="e">
        <f t="shared" ca="1" si="97"/>
        <v>#NUM!</v>
      </c>
      <c r="CL89" s="112"/>
      <c r="CM89" s="112"/>
      <c r="CP89" s="112"/>
      <c r="CQ89" s="112"/>
      <c r="CR89" s="238"/>
      <c r="CS89" s="238"/>
      <c r="CT89" s="112"/>
      <c r="CU89" s="112"/>
      <c r="CV89" s="112"/>
      <c r="CW89" s="112" t="s">
        <v>224</v>
      </c>
      <c r="CX89" s="112" t="s">
        <v>225</v>
      </c>
      <c r="CY89" s="112" t="s">
        <v>226</v>
      </c>
      <c r="CZ89" s="112" t="s">
        <v>227</v>
      </c>
      <c r="DA89" s="112" t="s">
        <v>228</v>
      </c>
      <c r="DB89" s="112" t="s">
        <v>229</v>
      </c>
      <c r="DC89" s="112"/>
      <c r="DD89" s="238" t="e">
        <f t="shared" ca="1" si="116"/>
        <v>#REF!</v>
      </c>
      <c r="DE89" s="238" t="e">
        <f t="shared" ca="1" si="108"/>
        <v>#REF!</v>
      </c>
      <c r="DF89" s="112"/>
      <c r="DG89" s="238"/>
      <c r="DH89" s="238"/>
      <c r="DI89" s="112"/>
      <c r="DJ89" s="238"/>
      <c r="DK89" s="112">
        <f t="shared" ca="1" si="229"/>
        <v>43466</v>
      </c>
      <c r="DL89" s="278">
        <f t="shared" ca="1" si="129"/>
        <v>70</v>
      </c>
      <c r="DM89" s="245">
        <f t="shared" ref="DM89:DP89" ca="1" si="264">DM640</f>
        <v>43466</v>
      </c>
      <c r="DN89" s="245" t="e">
        <f t="shared" ca="1" si="264"/>
        <v>#REF!</v>
      </c>
      <c r="DO89" s="245">
        <f t="shared" ca="1" si="264"/>
        <v>18</v>
      </c>
      <c r="DP89" s="245">
        <f t="shared" ca="1" si="264"/>
        <v>24</v>
      </c>
      <c r="DQ89" s="281" t="e">
        <f t="shared" ca="1" si="131"/>
        <v>#REF!</v>
      </c>
      <c r="DR89" s="278" t="e">
        <f t="shared" ca="1" si="132"/>
        <v>#REF!</v>
      </c>
      <c r="DS89" s="244">
        <f t="shared" ca="1" si="231"/>
        <v>27084.09</v>
      </c>
      <c r="DT89" s="244">
        <f t="shared" ca="1" si="232"/>
        <v>22422.400000000001</v>
      </c>
      <c r="DU89" s="244" t="e">
        <f t="shared" ca="1" si="133"/>
        <v>#REF!</v>
      </c>
      <c r="DV89" s="244" t="e">
        <f t="shared" ca="1" si="134"/>
        <v>#REF!</v>
      </c>
      <c r="DW89" s="244"/>
      <c r="DX89" s="244">
        <f t="shared" ca="1" si="106"/>
        <v>15</v>
      </c>
      <c r="EA89" s="244">
        <f t="shared" ca="1" si="233"/>
        <v>3</v>
      </c>
      <c r="EB89" s="278">
        <f ca="1">VLOOKUP(DM89,Foglio1!$AB$31:$AN$261,13)-6+EA89</f>
        <v>223</v>
      </c>
      <c r="EC89" s="244"/>
      <c r="ED89" s="244">
        <f t="shared" ca="1" si="202"/>
        <v>0</v>
      </c>
      <c r="EE89" s="244">
        <f t="shared" ca="1" si="203"/>
        <v>18122.38</v>
      </c>
      <c r="EF89" s="244">
        <f t="shared" ca="1" si="204"/>
        <v>0</v>
      </c>
      <c r="EG89" s="244">
        <f t="shared" ca="1" si="205"/>
        <v>0</v>
      </c>
      <c r="EH89" s="244">
        <f t="shared" ca="1" si="206"/>
        <v>6384.11</v>
      </c>
      <c r="EI89" s="244">
        <f t="shared" ca="1" si="207"/>
        <v>0</v>
      </c>
      <c r="EJ89" s="244">
        <f t="shared" ca="1" si="208"/>
        <v>2031.91</v>
      </c>
      <c r="EK89" s="244">
        <f t="shared" ca="1" si="209"/>
        <v>0</v>
      </c>
      <c r="EL89" s="244">
        <f t="shared" ca="1" si="210"/>
        <v>0</v>
      </c>
      <c r="EM89" s="244">
        <f t="shared" ca="1" si="211"/>
        <v>223</v>
      </c>
      <c r="EN89" s="244">
        <f t="shared" ca="1" si="212"/>
        <v>0</v>
      </c>
      <c r="EO89" s="244">
        <f t="shared" ca="1" si="213"/>
        <v>0</v>
      </c>
      <c r="EP89" s="244">
        <f t="shared" ca="1" si="214"/>
        <v>2577.6</v>
      </c>
      <c r="EQ89" s="244">
        <f t="shared" ca="1" si="215"/>
        <v>0</v>
      </c>
      <c r="ER89" s="244"/>
      <c r="EW89" s="244">
        <v>0</v>
      </c>
      <c r="EX89" s="278">
        <f ca="1">VLOOKUP(DM89,Foglio1!$AB$31:$AN$261,13)-6+EW89</f>
        <v>220</v>
      </c>
      <c r="EY89" s="244"/>
      <c r="EZ89" s="244">
        <v>0</v>
      </c>
      <c r="FA89" s="244">
        <f t="shared" ca="1" si="234"/>
        <v>13944.29</v>
      </c>
      <c r="FB89" s="244">
        <f t="shared" ca="1" si="235"/>
        <v>0</v>
      </c>
      <c r="FC89" s="244">
        <f t="shared" ca="1" si="236"/>
        <v>0</v>
      </c>
      <c r="FD89" s="244">
        <f t="shared" ca="1" si="237"/>
        <v>6384.11</v>
      </c>
      <c r="FE89" s="244">
        <f t="shared" ca="1" si="238"/>
        <v>0</v>
      </c>
      <c r="FF89" s="244">
        <f t="shared" ca="1" si="239"/>
        <v>1685.49</v>
      </c>
      <c r="FG89" s="244">
        <f t="shared" ca="1" si="240"/>
        <v>0</v>
      </c>
      <c r="FH89" s="244">
        <f t="shared" ca="1" si="241"/>
        <v>0</v>
      </c>
      <c r="FI89" s="244">
        <f t="shared" ca="1" si="242"/>
        <v>220</v>
      </c>
      <c r="FJ89" s="244">
        <f t="shared" ca="1" si="243"/>
        <v>0</v>
      </c>
      <c r="FK89" s="244">
        <f t="shared" ca="1" si="244"/>
        <v>0</v>
      </c>
      <c r="FL89" s="244">
        <f t="shared" ca="1" si="245"/>
        <v>2094</v>
      </c>
      <c r="FM89" s="244">
        <f t="shared" ca="1" si="216"/>
        <v>0</v>
      </c>
      <c r="FN89" s="244"/>
    </row>
    <row r="90" spans="5:170" x14ac:dyDescent="0.25">
      <c r="E90" s="244"/>
      <c r="F90" s="240" t="str">
        <f>IF(fronttd!E92="","",fronttd!E92)</f>
        <v/>
      </c>
      <c r="G90" s="240" t="str">
        <f>IF(fronttd!F92="","",fronttd!F92)</f>
        <v/>
      </c>
      <c r="H90" s="380">
        <f>fronttd!G92</f>
        <v>0</v>
      </c>
      <c r="I90" s="380">
        <f>fronttd!H92</f>
        <v>0</v>
      </c>
      <c r="J90">
        <f t="shared" si="246"/>
        <v>24</v>
      </c>
      <c r="L90">
        <f t="shared" si="247"/>
        <v>90</v>
      </c>
      <c r="O90" s="238">
        <f t="shared" si="248"/>
        <v>90</v>
      </c>
      <c r="R90" s="112" t="str">
        <f t="shared" si="217"/>
        <v/>
      </c>
      <c r="S90" s="238" t="e">
        <f t="shared" ca="1" si="218"/>
        <v>#N/A</v>
      </c>
      <c r="T90" s="112" t="e">
        <f t="shared" ca="1" si="255"/>
        <v>#N/A</v>
      </c>
      <c r="U90" s="112" t="e">
        <f t="shared" ca="1" si="256"/>
        <v>#N/A</v>
      </c>
      <c r="V90" s="112" t="e">
        <f t="shared" ca="1" si="257"/>
        <v>#N/A</v>
      </c>
      <c r="W90" s="112" t="e">
        <f t="shared" ca="1" si="258"/>
        <v>#N/A</v>
      </c>
      <c r="X90" s="112" t="str">
        <f t="shared" si="219"/>
        <v/>
      </c>
      <c r="Y90" s="112"/>
      <c r="Z90" s="112"/>
      <c r="AA90" s="335" t="str">
        <f t="shared" si="220"/>
        <v/>
      </c>
      <c r="AB90" s="335" t="e">
        <f t="shared" ca="1" si="259"/>
        <v>#N/A</v>
      </c>
      <c r="AC90" s="335" t="e">
        <f t="shared" ca="1" si="260"/>
        <v>#N/A</v>
      </c>
      <c r="AD90" s="335" t="e">
        <f t="shared" ca="1" si="261"/>
        <v>#N/A</v>
      </c>
      <c r="AE90" s="335" t="e">
        <f t="shared" ca="1" si="262"/>
        <v>#N/A</v>
      </c>
      <c r="AF90" s="335" t="str">
        <f t="shared" si="221"/>
        <v/>
      </c>
      <c r="AG90" s="238">
        <f>AG89+1</f>
        <v>34</v>
      </c>
      <c r="AH90" s="112">
        <f ca="1">INDIRECT(CONCATENATE("AA",AG90))</f>
        <v>37537</v>
      </c>
      <c r="AI90" s="112">
        <f ca="1">IF(            INDIRECT(CONCATENATE( "AB",AG90))&lt;100000,       INDIRECT(CONCATENATE("AB",AG90))  -1,IF(   INDIRECT(CONCATENATE("AC",AG90))&lt;100000,   INDIRECT(CONCATENATE("AC",AG90))-1,IF(   INDIRECT(CONCATENATE("AD", AG90))&lt;100000, INDIRECT(CONCATENATE("AD",AG90))-1,IF(   INDIRECT(CONCATENATE("AE",AG90))&lt;100000,  INDIRECT(CONCATENATE("AE",G90)),INDIRECT(CONCATENATE("AF",AG90))                ))))</f>
        <v>37551</v>
      </c>
      <c r="AJ90" s="112">
        <f t="shared" ca="1" si="125"/>
        <v>37551</v>
      </c>
      <c r="AK90" s="112">
        <f t="shared" ca="1" si="169"/>
        <v>37551</v>
      </c>
      <c r="AL90" s="238">
        <f t="shared" ca="1" si="127"/>
        <v>1</v>
      </c>
      <c r="AM90" s="112">
        <f t="shared" ca="1" si="118"/>
        <v>37537</v>
      </c>
      <c r="AN90" s="112">
        <f t="shared" ca="1" si="253"/>
        <v>37551</v>
      </c>
      <c r="AO90" s="114">
        <f t="shared" ca="1" si="222"/>
        <v>18</v>
      </c>
      <c r="AP90" s="114">
        <f t="shared" ca="1" si="223"/>
        <v>24</v>
      </c>
      <c r="AQ90" s="112"/>
      <c r="AR90" s="238">
        <f t="shared" si="249"/>
        <v>90</v>
      </c>
      <c r="AS90" s="112"/>
      <c r="AT90" s="112"/>
      <c r="AU90" s="283">
        <f t="shared" si="185"/>
        <v>71</v>
      </c>
      <c r="AV90" s="284">
        <f t="shared" ca="1" si="224"/>
        <v>100000</v>
      </c>
      <c r="AW90" s="284">
        <f t="shared" ca="1" si="119"/>
        <v>100000</v>
      </c>
      <c r="AX90" s="285">
        <f t="shared" ca="1" si="120"/>
        <v>18</v>
      </c>
      <c r="AY90" s="285">
        <f t="shared" ca="1" si="186"/>
        <v>24</v>
      </c>
      <c r="AZ90" s="282"/>
      <c r="BD90" s="114">
        <f t="shared" si="250"/>
        <v>1</v>
      </c>
      <c r="BE90" s="112">
        <f t="shared" si="225"/>
        <v>100000</v>
      </c>
      <c r="BH90" s="238">
        <f t="shared" si="251"/>
        <v>71</v>
      </c>
      <c r="BI90" s="245" t="str">
        <f t="shared" si="226"/>
        <v/>
      </c>
      <c r="BJ90" s="281">
        <f t="shared" ref="BJ90:BJ131" ca="1" si="265">TYPE(VLOOKUP(BK90,$N$20:$N$49,1,FALSE))</f>
        <v>16</v>
      </c>
      <c r="BK90" s="245" t="e">
        <f t="shared" ca="1" si="227"/>
        <v>#NUM!</v>
      </c>
      <c r="BL90" s="245" t="e">
        <f t="shared" ca="1" si="228"/>
        <v>#NUM!</v>
      </c>
      <c r="BN90" s="245" t="e">
        <f t="shared" ref="BN90:BN132" ca="1" si="266">VLOOKUP(BK90,$F$20:$G$145,2)</f>
        <v>#NUM!</v>
      </c>
      <c r="CL90" s="112"/>
      <c r="CM90" s="112"/>
      <c r="CP90" s="112"/>
      <c r="CQ90" s="112"/>
      <c r="CR90" s="238"/>
      <c r="CS90" s="238"/>
      <c r="CT90" s="112"/>
      <c r="CU90" s="112"/>
      <c r="CV90" s="112"/>
      <c r="CW90" s="112" t="s">
        <v>224</v>
      </c>
      <c r="CX90" s="112" t="s">
        <v>225</v>
      </c>
      <c r="CY90" s="112" t="s">
        <v>226</v>
      </c>
      <c r="CZ90" s="112" t="s">
        <v>227</v>
      </c>
      <c r="DA90" s="112" t="s">
        <v>228</v>
      </c>
      <c r="DB90" s="112" t="s">
        <v>229</v>
      </c>
      <c r="DC90" s="112"/>
      <c r="DD90" s="238" t="e">
        <f t="shared" ca="1" si="116"/>
        <v>#REF!</v>
      </c>
      <c r="DE90" s="238" t="e">
        <f t="shared" ca="1" si="108"/>
        <v>#REF!</v>
      </c>
      <c r="DF90" s="112"/>
      <c r="DG90" s="238"/>
      <c r="DH90" s="238"/>
      <c r="DI90" s="112"/>
      <c r="DJ90" s="238"/>
      <c r="DK90" s="112" t="e">
        <f t="shared" ca="1" si="229"/>
        <v>#REF!</v>
      </c>
      <c r="DL90" s="278" t="e">
        <f t="shared" ca="1" si="129"/>
        <v>#REF!</v>
      </c>
      <c r="DM90" s="245" t="e">
        <f t="shared" ref="DM90:DP90" ca="1" si="267">DM641</f>
        <v>#REF!</v>
      </c>
      <c r="DN90" s="245" t="e">
        <f t="shared" ca="1" si="267"/>
        <v>#REF!</v>
      </c>
      <c r="DO90" s="245" t="e">
        <f t="shared" ca="1" si="267"/>
        <v>#REF!</v>
      </c>
      <c r="DP90" s="245" t="e">
        <f t="shared" ca="1" si="267"/>
        <v>#REF!</v>
      </c>
      <c r="DQ90" s="281" t="e">
        <f t="shared" ca="1" si="131"/>
        <v>#REF!</v>
      </c>
      <c r="DR90" s="278" t="e">
        <f t="shared" ca="1" si="132"/>
        <v>#REF!</v>
      </c>
      <c r="DS90" s="244" t="e">
        <f t="shared" ca="1" si="231"/>
        <v>#REF!</v>
      </c>
      <c r="DT90" s="244" t="e">
        <f t="shared" ca="1" si="232"/>
        <v>#REF!</v>
      </c>
      <c r="DU90" s="244" t="e">
        <f t="shared" ca="1" si="133"/>
        <v>#REF!</v>
      </c>
      <c r="DV90" s="244" t="e">
        <f t="shared" ca="1" si="134"/>
        <v>#REF!</v>
      </c>
      <c r="DW90" s="244"/>
      <c r="DX90" s="244" t="e">
        <f t="shared" ca="1" si="106"/>
        <v>#REF!</v>
      </c>
      <c r="EA90" s="244" t="e">
        <f t="shared" ca="1" si="233"/>
        <v>#REF!</v>
      </c>
      <c r="EB90" s="278" t="e">
        <f ca="1">VLOOKUP(DM90,Foglio1!$AB$31:$AN$261,13)-6+EA90</f>
        <v>#REF!</v>
      </c>
      <c r="EC90" s="244"/>
      <c r="ED90" s="244" t="e">
        <f t="shared" ca="1" si="202"/>
        <v>#REF!</v>
      </c>
      <c r="EE90" s="244" t="e">
        <f t="shared" ca="1" si="203"/>
        <v>#REF!</v>
      </c>
      <c r="EF90" s="244" t="e">
        <f t="shared" ca="1" si="204"/>
        <v>#REF!</v>
      </c>
      <c r="EG90" s="244" t="e">
        <f t="shared" ca="1" si="205"/>
        <v>#REF!</v>
      </c>
      <c r="EH90" s="244" t="e">
        <f t="shared" ca="1" si="206"/>
        <v>#REF!</v>
      </c>
      <c r="EI90" s="244" t="e">
        <f t="shared" ca="1" si="207"/>
        <v>#REF!</v>
      </c>
      <c r="EJ90" s="244" t="e">
        <f t="shared" ca="1" si="208"/>
        <v>#REF!</v>
      </c>
      <c r="EK90" s="244" t="e">
        <f t="shared" ca="1" si="209"/>
        <v>#REF!</v>
      </c>
      <c r="EL90" s="244" t="e">
        <f t="shared" ca="1" si="210"/>
        <v>#REF!</v>
      </c>
      <c r="EM90" s="244" t="e">
        <f t="shared" ca="1" si="211"/>
        <v>#REF!</v>
      </c>
      <c r="EN90" s="244" t="e">
        <f t="shared" ca="1" si="212"/>
        <v>#REF!</v>
      </c>
      <c r="EO90" s="244" t="e">
        <f t="shared" ca="1" si="213"/>
        <v>#REF!</v>
      </c>
      <c r="EP90" s="244" t="e">
        <f t="shared" ca="1" si="214"/>
        <v>#REF!</v>
      </c>
      <c r="EQ90" s="244" t="e">
        <f t="shared" ca="1" si="215"/>
        <v>#REF!</v>
      </c>
      <c r="ER90" s="244"/>
      <c r="EW90" s="244">
        <v>0</v>
      </c>
      <c r="EX90" s="278" t="e">
        <f ca="1">VLOOKUP(DM90,Foglio1!$AB$31:$AN$261,13)-6+EW90</f>
        <v>#REF!</v>
      </c>
      <c r="EY90" s="244"/>
      <c r="EZ90" s="244">
        <v>0</v>
      </c>
      <c r="FA90" s="244" t="e">
        <f t="shared" ca="1" si="234"/>
        <v>#REF!</v>
      </c>
      <c r="FB90" s="244" t="e">
        <f t="shared" ca="1" si="235"/>
        <v>#REF!</v>
      </c>
      <c r="FC90" s="244" t="e">
        <f t="shared" ca="1" si="236"/>
        <v>#REF!</v>
      </c>
      <c r="FD90" s="244" t="e">
        <f t="shared" ca="1" si="237"/>
        <v>#REF!</v>
      </c>
      <c r="FE90" s="244" t="e">
        <f t="shared" ca="1" si="238"/>
        <v>#REF!</v>
      </c>
      <c r="FF90" s="244" t="e">
        <f t="shared" ca="1" si="239"/>
        <v>#REF!</v>
      </c>
      <c r="FG90" s="244" t="e">
        <f t="shared" ca="1" si="240"/>
        <v>#REF!</v>
      </c>
      <c r="FH90" s="244" t="e">
        <f t="shared" ca="1" si="241"/>
        <v>#REF!</v>
      </c>
      <c r="FI90" s="244" t="e">
        <f t="shared" ca="1" si="242"/>
        <v>#REF!</v>
      </c>
      <c r="FJ90" s="244" t="e">
        <f t="shared" ca="1" si="243"/>
        <v>#REF!</v>
      </c>
      <c r="FK90" s="244" t="e">
        <f t="shared" ca="1" si="244"/>
        <v>#REF!</v>
      </c>
      <c r="FL90" s="244" t="e">
        <f t="shared" ca="1" si="245"/>
        <v>#REF!</v>
      </c>
      <c r="FM90" s="244" t="e">
        <f t="shared" ca="1" si="216"/>
        <v>#REF!</v>
      </c>
      <c r="FN90" s="244"/>
    </row>
    <row r="91" spans="5:170" x14ac:dyDescent="0.25">
      <c r="E91" s="244"/>
      <c r="F91" s="240" t="str">
        <f>IF(fronttd!E93="","",fronttd!E93)</f>
        <v/>
      </c>
      <c r="G91" s="240" t="str">
        <f>IF(fronttd!F93="","",fronttd!F93)</f>
        <v/>
      </c>
      <c r="H91" s="380">
        <f>fronttd!G93</f>
        <v>0</v>
      </c>
      <c r="I91" s="380">
        <f>fronttd!H93</f>
        <v>0</v>
      </c>
      <c r="J91">
        <f t="shared" si="246"/>
        <v>24</v>
      </c>
      <c r="L91">
        <f t="shared" si="247"/>
        <v>91</v>
      </c>
      <c r="O91" s="238">
        <f t="shared" si="248"/>
        <v>91</v>
      </c>
      <c r="R91" s="112" t="str">
        <f t="shared" si="217"/>
        <v/>
      </c>
      <c r="S91" s="238" t="e">
        <f t="shared" ca="1" si="218"/>
        <v>#N/A</v>
      </c>
      <c r="T91" s="112" t="e">
        <f t="shared" ca="1" si="255"/>
        <v>#N/A</v>
      </c>
      <c r="U91" s="112" t="e">
        <f t="shared" ca="1" si="256"/>
        <v>#N/A</v>
      </c>
      <c r="V91" s="112" t="e">
        <f t="shared" ca="1" si="257"/>
        <v>#N/A</v>
      </c>
      <c r="W91" s="112" t="e">
        <f t="shared" ca="1" si="258"/>
        <v>#N/A</v>
      </c>
      <c r="X91" s="112" t="str">
        <f t="shared" si="219"/>
        <v/>
      </c>
      <c r="Y91" s="112"/>
      <c r="Z91" s="112"/>
      <c r="AA91" s="335" t="str">
        <f t="shared" si="220"/>
        <v/>
      </c>
      <c r="AB91" s="335" t="e">
        <f t="shared" ca="1" si="259"/>
        <v>#N/A</v>
      </c>
      <c r="AC91" s="335" t="e">
        <f t="shared" ca="1" si="260"/>
        <v>#N/A</v>
      </c>
      <c r="AD91" s="335" t="e">
        <f t="shared" ca="1" si="261"/>
        <v>#N/A</v>
      </c>
      <c r="AE91" s="335" t="e">
        <f t="shared" ca="1" si="262"/>
        <v>#N/A</v>
      </c>
      <c r="AF91" s="335" t="str">
        <f t="shared" si="221"/>
        <v/>
      </c>
      <c r="AG91" s="238">
        <f>AG90</f>
        <v>34</v>
      </c>
      <c r="AH91" s="112">
        <f ca="1">AI90+1</f>
        <v>37552</v>
      </c>
      <c r="AI91" s="112">
        <f ca="1">IF(INDIRECT(CONCATENATE("AC",AG90))&lt;100000,INDIRECT(CONCATENATE("AC",AG90))-1,IF(INDIRECT(CONCATENATE("AD",AG90))&lt;100000,INDIRECT(CONCATENATE("AD",AG90))-1,IF(INDIRECT(CONCATENATE("AE",AG90))&lt;100000,INDIRECT(CONCATENATE("AE",G90)),INDIRECT(CONCATENATE("AF",AG90)))))</f>
        <v>37551</v>
      </c>
      <c r="AJ91" s="112">
        <f t="shared" ca="1" si="125"/>
        <v>37551</v>
      </c>
      <c r="AK91" s="112">
        <f t="shared" ca="1" si="169"/>
        <v>37551</v>
      </c>
      <c r="AL91" s="238">
        <f t="shared" ca="1" si="127"/>
        <v>0</v>
      </c>
      <c r="AM91" s="112">
        <f t="shared" ca="1" si="118"/>
        <v>100000</v>
      </c>
      <c r="AN91" s="112">
        <f t="shared" ca="1" si="253"/>
        <v>100000</v>
      </c>
      <c r="AO91" s="114">
        <f t="shared" ca="1" si="222"/>
        <v>18</v>
      </c>
      <c r="AP91" s="114">
        <f t="shared" ca="1" si="223"/>
        <v>24</v>
      </c>
      <c r="AQ91" s="112"/>
      <c r="AR91" s="238">
        <f t="shared" si="249"/>
        <v>91</v>
      </c>
      <c r="AS91" s="112"/>
      <c r="AT91" s="112"/>
      <c r="AU91" s="283">
        <f t="shared" si="185"/>
        <v>72</v>
      </c>
      <c r="AV91" s="284">
        <f t="shared" ca="1" si="224"/>
        <v>100000</v>
      </c>
      <c r="AW91" s="284">
        <f t="shared" ca="1" si="119"/>
        <v>100000</v>
      </c>
      <c r="AX91" s="285">
        <f t="shared" ca="1" si="120"/>
        <v>0</v>
      </c>
      <c r="AY91" s="285">
        <f t="shared" ca="1" si="186"/>
        <v>24</v>
      </c>
      <c r="AZ91" s="282"/>
      <c r="BD91" s="114">
        <f t="shared" si="250"/>
        <v>1</v>
      </c>
      <c r="BE91" s="112">
        <f t="shared" si="225"/>
        <v>100000</v>
      </c>
      <c r="BH91" s="238">
        <f t="shared" si="251"/>
        <v>72</v>
      </c>
      <c r="BI91" s="245" t="str">
        <f t="shared" si="226"/>
        <v/>
      </c>
      <c r="BJ91" s="281">
        <f t="shared" ca="1" si="265"/>
        <v>16</v>
      </c>
      <c r="BK91" s="245" t="e">
        <f t="shared" ca="1" si="227"/>
        <v>#NUM!</v>
      </c>
      <c r="BL91" s="245" t="e">
        <f t="shared" ca="1" si="228"/>
        <v>#NUM!</v>
      </c>
      <c r="BN91" s="245" t="e">
        <f t="shared" ca="1" si="266"/>
        <v>#NUM!</v>
      </c>
      <c r="CL91" s="112"/>
      <c r="CM91" s="112"/>
      <c r="CP91" s="112"/>
      <c r="CQ91" s="112"/>
      <c r="CR91" s="238"/>
      <c r="CS91" s="238"/>
      <c r="CT91" s="112"/>
      <c r="CU91" s="112"/>
      <c r="CV91" s="112"/>
      <c r="CW91" s="112" t="s">
        <v>224</v>
      </c>
      <c r="CX91" s="112" t="s">
        <v>225</v>
      </c>
      <c r="CY91" s="112" t="s">
        <v>226</v>
      </c>
      <c r="CZ91" s="112" t="s">
        <v>227</v>
      </c>
      <c r="DA91" s="112" t="s">
        <v>228</v>
      </c>
      <c r="DB91" s="112" t="s">
        <v>229</v>
      </c>
      <c r="DC91" s="112"/>
      <c r="DD91" s="238" t="e">
        <f t="shared" ca="1" si="116"/>
        <v>#REF!</v>
      </c>
      <c r="DE91" s="238" t="e">
        <f t="shared" ca="1" si="108"/>
        <v>#REF!</v>
      </c>
      <c r="DF91" s="112"/>
      <c r="DG91" s="238"/>
      <c r="DH91" s="238"/>
      <c r="DI91" s="112"/>
      <c r="DJ91" s="238"/>
      <c r="DK91" s="112" t="e">
        <f t="shared" ca="1" si="229"/>
        <v>#REF!</v>
      </c>
      <c r="DL91" s="278" t="e">
        <f t="shared" ca="1" si="129"/>
        <v>#REF!</v>
      </c>
      <c r="DM91" s="245" t="e">
        <f t="shared" ref="DM91:DP91" ca="1" si="268">DM642</f>
        <v>#REF!</v>
      </c>
      <c r="DN91" s="245" t="e">
        <f t="shared" ca="1" si="268"/>
        <v>#REF!</v>
      </c>
      <c r="DO91" s="245" t="e">
        <f t="shared" ca="1" si="268"/>
        <v>#REF!</v>
      </c>
      <c r="DP91" s="245" t="e">
        <f t="shared" ca="1" si="268"/>
        <v>#REF!</v>
      </c>
      <c r="DQ91" s="281" t="e">
        <f t="shared" ca="1" si="131"/>
        <v>#REF!</v>
      </c>
      <c r="DR91" s="278" t="e">
        <f t="shared" ca="1" si="132"/>
        <v>#REF!</v>
      </c>
      <c r="DS91" s="244" t="e">
        <f t="shared" ca="1" si="231"/>
        <v>#REF!</v>
      </c>
      <c r="DT91" s="244" t="e">
        <f t="shared" ca="1" si="232"/>
        <v>#REF!</v>
      </c>
      <c r="DU91" s="244" t="e">
        <f t="shared" ca="1" si="133"/>
        <v>#REF!</v>
      </c>
      <c r="DV91" s="244" t="e">
        <f t="shared" ca="1" si="134"/>
        <v>#REF!</v>
      </c>
      <c r="DW91" s="244"/>
      <c r="DX91" s="244" t="e">
        <f t="shared" ca="1" si="106"/>
        <v>#REF!</v>
      </c>
      <c r="EA91" s="244" t="e">
        <f t="shared" ca="1" si="233"/>
        <v>#REF!</v>
      </c>
      <c r="EB91" s="278" t="e">
        <f ca="1">VLOOKUP(DM91,Foglio1!$AB$31:$AN$261,13)-6+EA91</f>
        <v>#REF!</v>
      </c>
      <c r="EC91" s="244"/>
      <c r="ED91" s="244" t="e">
        <f t="shared" ca="1" si="202"/>
        <v>#REF!</v>
      </c>
      <c r="EE91" s="244" t="e">
        <f t="shared" ca="1" si="203"/>
        <v>#REF!</v>
      </c>
      <c r="EF91" s="244" t="e">
        <f t="shared" ca="1" si="204"/>
        <v>#REF!</v>
      </c>
      <c r="EG91" s="244" t="e">
        <f t="shared" ca="1" si="205"/>
        <v>#REF!</v>
      </c>
      <c r="EH91" s="244" t="e">
        <f t="shared" ca="1" si="206"/>
        <v>#REF!</v>
      </c>
      <c r="EI91" s="244" t="e">
        <f t="shared" ca="1" si="207"/>
        <v>#REF!</v>
      </c>
      <c r="EJ91" s="244" t="e">
        <f t="shared" ca="1" si="208"/>
        <v>#REF!</v>
      </c>
      <c r="EK91" s="244" t="e">
        <f t="shared" ca="1" si="209"/>
        <v>#REF!</v>
      </c>
      <c r="EL91" s="244" t="e">
        <f t="shared" ca="1" si="210"/>
        <v>#REF!</v>
      </c>
      <c r="EM91" s="244" t="e">
        <f t="shared" ca="1" si="211"/>
        <v>#REF!</v>
      </c>
      <c r="EN91" s="244" t="e">
        <f t="shared" ca="1" si="212"/>
        <v>#REF!</v>
      </c>
      <c r="EO91" s="244" t="e">
        <f t="shared" ca="1" si="213"/>
        <v>#REF!</v>
      </c>
      <c r="EP91" s="244" t="e">
        <f t="shared" ca="1" si="214"/>
        <v>#REF!</v>
      </c>
      <c r="EQ91" s="244" t="e">
        <f t="shared" ca="1" si="215"/>
        <v>#REF!</v>
      </c>
      <c r="ER91" s="244"/>
      <c r="EW91" s="244">
        <v>0</v>
      </c>
      <c r="EX91" s="278" t="e">
        <f ca="1">VLOOKUP(DM91,Foglio1!$AB$31:$AN$261,13)-6+EW91</f>
        <v>#REF!</v>
      </c>
      <c r="EY91" s="244"/>
      <c r="EZ91" s="244">
        <v>0</v>
      </c>
      <c r="FA91" s="244" t="e">
        <f t="shared" ca="1" si="234"/>
        <v>#REF!</v>
      </c>
      <c r="FB91" s="244" t="e">
        <f t="shared" ca="1" si="235"/>
        <v>#REF!</v>
      </c>
      <c r="FC91" s="244" t="e">
        <f t="shared" ca="1" si="236"/>
        <v>#REF!</v>
      </c>
      <c r="FD91" s="244" t="e">
        <f t="shared" ca="1" si="237"/>
        <v>#REF!</v>
      </c>
      <c r="FE91" s="244" t="e">
        <f t="shared" ca="1" si="238"/>
        <v>#REF!</v>
      </c>
      <c r="FF91" s="244" t="e">
        <f t="shared" ca="1" si="239"/>
        <v>#REF!</v>
      </c>
      <c r="FG91" s="244" t="e">
        <f t="shared" ca="1" si="240"/>
        <v>#REF!</v>
      </c>
      <c r="FH91" s="244" t="e">
        <f t="shared" ca="1" si="241"/>
        <v>#REF!</v>
      </c>
      <c r="FI91" s="244" t="e">
        <f t="shared" ca="1" si="242"/>
        <v>#REF!</v>
      </c>
      <c r="FJ91" s="244" t="e">
        <f t="shared" ca="1" si="243"/>
        <v>#REF!</v>
      </c>
      <c r="FK91" s="244" t="e">
        <f t="shared" ca="1" si="244"/>
        <v>#REF!</v>
      </c>
      <c r="FL91" s="244" t="e">
        <f t="shared" ca="1" si="245"/>
        <v>#REF!</v>
      </c>
      <c r="FM91" s="244" t="e">
        <f t="shared" ca="1" si="216"/>
        <v>#REF!</v>
      </c>
      <c r="FN91" s="244"/>
    </row>
    <row r="92" spans="5:170" x14ac:dyDescent="0.25">
      <c r="E92" s="244"/>
      <c r="F92" s="240" t="str">
        <f>IF(fronttd!E94="","",fronttd!E94)</f>
        <v/>
      </c>
      <c r="G92" s="240" t="str">
        <f>IF(fronttd!F94="","",fronttd!F94)</f>
        <v/>
      </c>
      <c r="H92" s="380">
        <f>fronttd!G94</f>
        <v>0</v>
      </c>
      <c r="I92" s="380">
        <f>fronttd!H94</f>
        <v>0</v>
      </c>
      <c r="J92">
        <f t="shared" si="246"/>
        <v>24</v>
      </c>
      <c r="L92">
        <f t="shared" si="247"/>
        <v>92</v>
      </c>
      <c r="O92" s="238">
        <f t="shared" si="248"/>
        <v>92</v>
      </c>
      <c r="R92" s="112" t="str">
        <f t="shared" si="217"/>
        <v/>
      </c>
      <c r="S92" s="238" t="e">
        <f t="shared" ca="1" si="218"/>
        <v>#N/A</v>
      </c>
      <c r="T92" s="112" t="e">
        <f t="shared" ca="1" si="255"/>
        <v>#N/A</v>
      </c>
      <c r="U92" s="112" t="e">
        <f t="shared" ca="1" si="256"/>
        <v>#N/A</v>
      </c>
      <c r="V92" s="112" t="e">
        <f t="shared" ca="1" si="257"/>
        <v>#N/A</v>
      </c>
      <c r="W92" s="112" t="e">
        <f t="shared" ca="1" si="258"/>
        <v>#N/A</v>
      </c>
      <c r="X92" s="112" t="str">
        <f t="shared" si="219"/>
        <v/>
      </c>
      <c r="Y92" s="112"/>
      <c r="Z92" s="112"/>
      <c r="AA92" s="335" t="str">
        <f t="shared" si="220"/>
        <v/>
      </c>
      <c r="AB92" s="335" t="e">
        <f t="shared" ca="1" si="259"/>
        <v>#N/A</v>
      </c>
      <c r="AC92" s="335" t="e">
        <f t="shared" ca="1" si="260"/>
        <v>#N/A</v>
      </c>
      <c r="AD92" s="335" t="e">
        <f t="shared" ca="1" si="261"/>
        <v>#N/A</v>
      </c>
      <c r="AE92" s="335" t="e">
        <f t="shared" ca="1" si="262"/>
        <v>#N/A</v>
      </c>
      <c r="AF92" s="335" t="str">
        <f t="shared" si="221"/>
        <v/>
      </c>
      <c r="AG92" s="238">
        <f>AG91</f>
        <v>34</v>
      </c>
      <c r="AH92" s="112">
        <f ca="1">AI91+1</f>
        <v>37552</v>
      </c>
      <c r="AI92" s="112">
        <f ca="1">IF(INDIRECT(CONCATENATE("AD",AG90))&lt;100000,INDIRECT(CONCATENATE("AD",AG90))-1,IF(INDIRECT(CONCATENATE("AE",AG90))&lt;100000,INDIRECT(CONCATENATE("AE",G90)),INDIRECT(CONCATENATE("AF",AG90))))</f>
        <v>37551</v>
      </c>
      <c r="AJ92" s="112">
        <f t="shared" ca="1" si="125"/>
        <v>37551</v>
      </c>
      <c r="AK92" s="112">
        <f t="shared" ca="1" si="169"/>
        <v>37551</v>
      </c>
      <c r="AL92" s="238">
        <f t="shared" ca="1" si="127"/>
        <v>0</v>
      </c>
      <c r="AM92" s="112">
        <f t="shared" ca="1" si="118"/>
        <v>100000</v>
      </c>
      <c r="AN92" s="112">
        <f t="shared" ca="1" si="253"/>
        <v>100000</v>
      </c>
      <c r="AO92" s="114">
        <f t="shared" ca="1" si="222"/>
        <v>18</v>
      </c>
      <c r="AP92" s="114">
        <f t="shared" ca="1" si="223"/>
        <v>24</v>
      </c>
      <c r="AQ92" s="112"/>
      <c r="AR92" s="238">
        <f t="shared" si="249"/>
        <v>92</v>
      </c>
      <c r="AS92" s="112"/>
      <c r="AT92" s="112"/>
      <c r="AU92" s="283">
        <f t="shared" si="185"/>
        <v>73</v>
      </c>
      <c r="AV92" s="284">
        <f t="shared" ca="1" si="224"/>
        <v>100000</v>
      </c>
      <c r="AW92" s="284">
        <f t="shared" ca="1" si="119"/>
        <v>100000</v>
      </c>
      <c r="AX92" s="285">
        <f t="shared" ca="1" si="120"/>
        <v>0</v>
      </c>
      <c r="AY92" s="285">
        <f t="shared" ca="1" si="186"/>
        <v>24</v>
      </c>
      <c r="AZ92" s="282"/>
      <c r="BD92" s="114">
        <f t="shared" si="250"/>
        <v>1</v>
      </c>
      <c r="BE92" s="112">
        <f t="shared" si="225"/>
        <v>100000</v>
      </c>
      <c r="BH92" s="238">
        <f t="shared" si="251"/>
        <v>73</v>
      </c>
      <c r="BI92" s="245" t="str">
        <f t="shared" si="226"/>
        <v/>
      </c>
      <c r="BJ92" s="281">
        <f t="shared" ca="1" si="265"/>
        <v>16</v>
      </c>
      <c r="BK92" s="245" t="e">
        <f t="shared" ca="1" si="227"/>
        <v>#NUM!</v>
      </c>
      <c r="BL92" s="245" t="e">
        <f t="shared" ca="1" si="228"/>
        <v>#NUM!</v>
      </c>
      <c r="BN92" s="245" t="e">
        <f t="shared" ca="1" si="266"/>
        <v>#NUM!</v>
      </c>
      <c r="CL92" s="112"/>
      <c r="CM92" s="112"/>
      <c r="CP92" s="112"/>
      <c r="CQ92" s="112"/>
      <c r="CR92" s="238"/>
      <c r="CS92" s="238"/>
      <c r="CT92" s="112"/>
      <c r="CU92" s="112"/>
      <c r="CV92" s="112"/>
      <c r="CW92" s="112" t="s">
        <v>224</v>
      </c>
      <c r="CX92" s="112" t="s">
        <v>225</v>
      </c>
      <c r="CY92" s="112" t="s">
        <v>226</v>
      </c>
      <c r="CZ92" s="112" t="s">
        <v>227</v>
      </c>
      <c r="DA92" s="112" t="s">
        <v>228</v>
      </c>
      <c r="DB92" s="112" t="s">
        <v>229</v>
      </c>
      <c r="DC92" s="112"/>
      <c r="DD92" s="238" t="e">
        <f t="shared" ca="1" si="116"/>
        <v>#REF!</v>
      </c>
      <c r="DE92" s="238" t="e">
        <f t="shared" ca="1" si="108"/>
        <v>#REF!</v>
      </c>
      <c r="DF92" s="112"/>
      <c r="DG92" s="238"/>
      <c r="DH92" s="238"/>
      <c r="DI92" s="112"/>
      <c r="DJ92" s="238"/>
      <c r="DK92" s="112" t="e">
        <f t="shared" ca="1" si="229"/>
        <v>#REF!</v>
      </c>
      <c r="DL92" s="278" t="e">
        <f t="shared" ca="1" si="129"/>
        <v>#REF!</v>
      </c>
      <c r="DM92" s="245" t="e">
        <f t="shared" ref="DM92:DP92" ca="1" si="269">DM643</f>
        <v>#REF!</v>
      </c>
      <c r="DN92" s="245" t="e">
        <f t="shared" ca="1" si="269"/>
        <v>#REF!</v>
      </c>
      <c r="DO92" s="245" t="e">
        <f t="shared" ca="1" si="269"/>
        <v>#REF!</v>
      </c>
      <c r="DP92" s="245" t="e">
        <f t="shared" ca="1" si="269"/>
        <v>#REF!</v>
      </c>
      <c r="DQ92" s="281" t="e">
        <f t="shared" ca="1" si="131"/>
        <v>#REF!</v>
      </c>
      <c r="DR92" s="278" t="e">
        <f t="shared" ca="1" si="132"/>
        <v>#REF!</v>
      </c>
      <c r="DS92" s="244" t="e">
        <f t="shared" ca="1" si="231"/>
        <v>#REF!</v>
      </c>
      <c r="DT92" s="244" t="e">
        <f t="shared" ca="1" si="232"/>
        <v>#REF!</v>
      </c>
      <c r="DU92" s="244" t="e">
        <f t="shared" ca="1" si="133"/>
        <v>#REF!</v>
      </c>
      <c r="DV92" s="244" t="e">
        <f t="shared" ca="1" si="134"/>
        <v>#REF!</v>
      </c>
      <c r="DW92" s="244"/>
      <c r="DX92" s="244" t="e">
        <f t="shared" ca="1" si="106"/>
        <v>#REF!</v>
      </c>
      <c r="EA92" s="244" t="e">
        <f t="shared" ca="1" si="233"/>
        <v>#REF!</v>
      </c>
      <c r="EB92" s="278" t="e">
        <f ca="1">VLOOKUP(DM92,Foglio1!$AB$31:$AN$261,13)-6+EA92</f>
        <v>#REF!</v>
      </c>
      <c r="EC92" s="244"/>
      <c r="ED92" s="244" t="e">
        <f t="shared" ca="1" si="202"/>
        <v>#REF!</v>
      </c>
      <c r="EE92" s="244" t="e">
        <f t="shared" ca="1" si="203"/>
        <v>#REF!</v>
      </c>
      <c r="EF92" s="244" t="e">
        <f t="shared" ca="1" si="204"/>
        <v>#REF!</v>
      </c>
      <c r="EG92" s="244" t="e">
        <f t="shared" ca="1" si="205"/>
        <v>#REF!</v>
      </c>
      <c r="EH92" s="244" t="e">
        <f t="shared" ca="1" si="206"/>
        <v>#REF!</v>
      </c>
      <c r="EI92" s="244" t="e">
        <f t="shared" ca="1" si="207"/>
        <v>#REF!</v>
      </c>
      <c r="EJ92" s="244" t="e">
        <f t="shared" ca="1" si="208"/>
        <v>#REF!</v>
      </c>
      <c r="EK92" s="244" t="e">
        <f t="shared" ca="1" si="209"/>
        <v>#REF!</v>
      </c>
      <c r="EL92" s="244" t="e">
        <f t="shared" ca="1" si="210"/>
        <v>#REF!</v>
      </c>
      <c r="EM92" s="244" t="e">
        <f t="shared" ca="1" si="211"/>
        <v>#REF!</v>
      </c>
      <c r="EN92" s="244" t="e">
        <f t="shared" ca="1" si="212"/>
        <v>#REF!</v>
      </c>
      <c r="EO92" s="244" t="e">
        <f t="shared" ca="1" si="213"/>
        <v>#REF!</v>
      </c>
      <c r="EP92" s="244" t="e">
        <f t="shared" ca="1" si="214"/>
        <v>#REF!</v>
      </c>
      <c r="EQ92" s="244" t="e">
        <f t="shared" ca="1" si="215"/>
        <v>#REF!</v>
      </c>
      <c r="ER92" s="244"/>
      <c r="EW92" s="244">
        <v>0</v>
      </c>
      <c r="EX92" s="278" t="e">
        <f ca="1">VLOOKUP(DM92,Foglio1!$AB$31:$AN$261,13)-6+EW92</f>
        <v>#REF!</v>
      </c>
      <c r="EY92" s="244"/>
      <c r="EZ92" s="244">
        <v>0</v>
      </c>
      <c r="FA92" s="244" t="e">
        <f t="shared" ca="1" si="234"/>
        <v>#REF!</v>
      </c>
      <c r="FB92" s="244" t="e">
        <f t="shared" ca="1" si="235"/>
        <v>#REF!</v>
      </c>
      <c r="FC92" s="244" t="e">
        <f t="shared" ca="1" si="236"/>
        <v>#REF!</v>
      </c>
      <c r="FD92" s="244" t="e">
        <f t="shared" ca="1" si="237"/>
        <v>#REF!</v>
      </c>
      <c r="FE92" s="244" t="e">
        <f t="shared" ca="1" si="238"/>
        <v>#REF!</v>
      </c>
      <c r="FF92" s="244" t="e">
        <f t="shared" ca="1" si="239"/>
        <v>#REF!</v>
      </c>
      <c r="FG92" s="244" t="e">
        <f t="shared" ca="1" si="240"/>
        <v>#REF!</v>
      </c>
      <c r="FH92" s="244" t="e">
        <f t="shared" ca="1" si="241"/>
        <v>#REF!</v>
      </c>
      <c r="FI92" s="244" t="e">
        <f t="shared" ca="1" si="242"/>
        <v>#REF!</v>
      </c>
      <c r="FJ92" s="244" t="e">
        <f t="shared" ca="1" si="243"/>
        <v>#REF!</v>
      </c>
      <c r="FK92" s="244" t="e">
        <f t="shared" ca="1" si="244"/>
        <v>#REF!</v>
      </c>
      <c r="FL92" s="244" t="e">
        <f t="shared" ca="1" si="245"/>
        <v>#REF!</v>
      </c>
      <c r="FM92" s="244" t="e">
        <f t="shared" ca="1" si="216"/>
        <v>#REF!</v>
      </c>
      <c r="FN92" s="244"/>
    </row>
    <row r="93" spans="5:170" x14ac:dyDescent="0.25">
      <c r="E93" s="244"/>
      <c r="F93" s="240" t="str">
        <f>IF(fronttd!E95="","",fronttd!E95)</f>
        <v/>
      </c>
      <c r="G93" s="240" t="str">
        <f>IF(fronttd!F95="","",fronttd!F95)</f>
        <v/>
      </c>
      <c r="H93" s="380">
        <f>fronttd!G95</f>
        <v>0</v>
      </c>
      <c r="I93" s="380">
        <f>fronttd!H95</f>
        <v>0</v>
      </c>
      <c r="J93">
        <f t="shared" si="246"/>
        <v>24</v>
      </c>
      <c r="L93">
        <f t="shared" si="247"/>
        <v>93</v>
      </c>
      <c r="O93" s="238">
        <f t="shared" si="248"/>
        <v>93</v>
      </c>
      <c r="R93" s="112" t="str">
        <f t="shared" si="217"/>
        <v/>
      </c>
      <c r="S93" s="238" t="e">
        <f t="shared" ca="1" si="218"/>
        <v>#N/A</v>
      </c>
      <c r="T93" s="112" t="e">
        <f t="shared" ca="1" si="255"/>
        <v>#N/A</v>
      </c>
      <c r="U93" s="112" t="e">
        <f t="shared" ca="1" si="256"/>
        <v>#N/A</v>
      </c>
      <c r="V93" s="112" t="e">
        <f t="shared" ca="1" si="257"/>
        <v>#N/A</v>
      </c>
      <c r="W93" s="112" t="e">
        <f t="shared" ca="1" si="258"/>
        <v>#N/A</v>
      </c>
      <c r="X93" s="112" t="str">
        <f t="shared" si="219"/>
        <v/>
      </c>
      <c r="Y93" s="112"/>
      <c r="Z93" s="112"/>
      <c r="AA93" s="335" t="str">
        <f t="shared" si="220"/>
        <v/>
      </c>
      <c r="AB93" s="335" t="e">
        <f t="shared" ca="1" si="259"/>
        <v>#N/A</v>
      </c>
      <c r="AC93" s="335" t="e">
        <f t="shared" ca="1" si="260"/>
        <v>#N/A</v>
      </c>
      <c r="AD93" s="335" t="e">
        <f t="shared" ca="1" si="261"/>
        <v>#N/A</v>
      </c>
      <c r="AE93" s="335" t="e">
        <f t="shared" ca="1" si="262"/>
        <v>#N/A</v>
      </c>
      <c r="AF93" s="335" t="str">
        <f t="shared" si="221"/>
        <v/>
      </c>
      <c r="AG93" s="238">
        <f>AG92</f>
        <v>34</v>
      </c>
      <c r="AH93" s="112">
        <f ca="1">AI92+1</f>
        <v>37552</v>
      </c>
      <c r="AI93" s="112">
        <f ca="1">IF(INDIRECT(CONCATENATE("AE",AG90))&lt;100000,INDIRECT(CONCATENATE("AE",G90)),INDIRECT(CONCATENATE("AF",AG90)))</f>
        <v>37551</v>
      </c>
      <c r="AJ93" s="112">
        <f t="shared" ca="1" si="125"/>
        <v>37551</v>
      </c>
      <c r="AK93" s="112">
        <f t="shared" ca="1" si="169"/>
        <v>37551</v>
      </c>
      <c r="AL93" s="238">
        <f t="shared" ca="1" si="127"/>
        <v>0</v>
      </c>
      <c r="AM93" s="112">
        <f t="shared" ca="1" si="118"/>
        <v>100000</v>
      </c>
      <c r="AN93" s="112">
        <f t="shared" ca="1" si="253"/>
        <v>100000</v>
      </c>
      <c r="AO93" s="114">
        <f t="shared" ca="1" si="222"/>
        <v>18</v>
      </c>
      <c r="AP93" s="114">
        <f t="shared" ca="1" si="223"/>
        <v>24</v>
      </c>
      <c r="AQ93" s="112"/>
      <c r="AR93" s="238">
        <f t="shared" si="249"/>
        <v>93</v>
      </c>
      <c r="AS93" s="112"/>
      <c r="AT93" s="112"/>
      <c r="AU93" s="283">
        <f t="shared" si="185"/>
        <v>74</v>
      </c>
      <c r="AV93" s="284">
        <f t="shared" ca="1" si="224"/>
        <v>100000</v>
      </c>
      <c r="AW93" s="284">
        <f t="shared" ca="1" si="119"/>
        <v>100000</v>
      </c>
      <c r="AX93" s="285">
        <f t="shared" ca="1" si="120"/>
        <v>0</v>
      </c>
      <c r="AY93" s="285">
        <f t="shared" ca="1" si="186"/>
        <v>24</v>
      </c>
      <c r="AZ93" s="282"/>
      <c r="BD93" s="114">
        <f t="shared" si="250"/>
        <v>1</v>
      </c>
      <c r="BE93" s="112">
        <f t="shared" si="225"/>
        <v>100000</v>
      </c>
      <c r="BH93" s="238">
        <f t="shared" si="251"/>
        <v>74</v>
      </c>
      <c r="BI93" s="245" t="str">
        <f t="shared" si="226"/>
        <v/>
      </c>
      <c r="BJ93" s="281">
        <f t="shared" ca="1" si="265"/>
        <v>16</v>
      </c>
      <c r="BK93" s="245" t="e">
        <f t="shared" ca="1" si="227"/>
        <v>#NUM!</v>
      </c>
      <c r="BL93" s="245" t="e">
        <f t="shared" ca="1" si="228"/>
        <v>#NUM!</v>
      </c>
      <c r="BN93" s="245" t="e">
        <f t="shared" ca="1" si="266"/>
        <v>#NUM!</v>
      </c>
      <c r="CL93" s="112"/>
      <c r="CM93" s="112"/>
      <c r="CP93" s="112"/>
      <c r="CQ93" s="112"/>
      <c r="CR93" s="238"/>
      <c r="CS93" s="238"/>
      <c r="CT93" s="112"/>
      <c r="CU93" s="112"/>
      <c r="CV93" s="112"/>
      <c r="CW93" s="112" t="s">
        <v>224</v>
      </c>
      <c r="CX93" s="112" t="s">
        <v>225</v>
      </c>
      <c r="CY93" s="112" t="s">
        <v>226</v>
      </c>
      <c r="CZ93" s="112" t="s">
        <v>227</v>
      </c>
      <c r="DA93" s="112" t="s">
        <v>228</v>
      </c>
      <c r="DB93" s="112" t="s">
        <v>229</v>
      </c>
      <c r="DC93" s="112"/>
      <c r="DD93" s="238" t="e">
        <f t="shared" ca="1" si="116"/>
        <v>#REF!</v>
      </c>
      <c r="DE93" s="238" t="e">
        <f t="shared" ca="1" si="108"/>
        <v>#REF!</v>
      </c>
      <c r="DF93" s="112"/>
      <c r="DG93" s="238"/>
      <c r="DH93" s="238"/>
      <c r="DI93" s="112"/>
      <c r="DJ93" s="238"/>
      <c r="DK93" s="112" t="e">
        <f t="shared" ca="1" si="229"/>
        <v>#REF!</v>
      </c>
      <c r="DL93" s="278" t="e">
        <f t="shared" ca="1" si="129"/>
        <v>#REF!</v>
      </c>
      <c r="DM93" s="245" t="e">
        <f t="shared" ref="DM93:DP93" ca="1" si="270">DM644</f>
        <v>#REF!</v>
      </c>
      <c r="DN93" s="245" t="e">
        <f t="shared" ca="1" si="270"/>
        <v>#REF!</v>
      </c>
      <c r="DO93" s="245" t="e">
        <f t="shared" ca="1" si="270"/>
        <v>#REF!</v>
      </c>
      <c r="DP93" s="245" t="e">
        <f t="shared" ca="1" si="270"/>
        <v>#REF!</v>
      </c>
      <c r="DQ93" s="281" t="e">
        <f t="shared" ca="1" si="131"/>
        <v>#REF!</v>
      </c>
      <c r="DR93" s="278" t="e">
        <f t="shared" ca="1" si="132"/>
        <v>#REF!</v>
      </c>
      <c r="DS93" s="244" t="e">
        <f t="shared" ca="1" si="231"/>
        <v>#REF!</v>
      </c>
      <c r="DT93" s="244" t="e">
        <f t="shared" ca="1" si="232"/>
        <v>#REF!</v>
      </c>
      <c r="DU93" s="244" t="e">
        <f t="shared" ca="1" si="133"/>
        <v>#REF!</v>
      </c>
      <c r="DV93" s="244" t="e">
        <f t="shared" ca="1" si="134"/>
        <v>#REF!</v>
      </c>
      <c r="DW93" s="244"/>
      <c r="DX93" s="244" t="e">
        <f t="shared" ca="1" si="106"/>
        <v>#REF!</v>
      </c>
      <c r="EA93" s="244" t="e">
        <f t="shared" ca="1" si="233"/>
        <v>#REF!</v>
      </c>
      <c r="EB93" s="278" t="e">
        <f ca="1">VLOOKUP(DM93,Foglio1!$AB$31:$AN$261,13)-6+EA93</f>
        <v>#REF!</v>
      </c>
      <c r="EC93" s="244"/>
      <c r="ED93" s="244" t="e">
        <f t="shared" ca="1" si="202"/>
        <v>#REF!</v>
      </c>
      <c r="EE93" s="244" t="e">
        <f t="shared" ca="1" si="203"/>
        <v>#REF!</v>
      </c>
      <c r="EF93" s="244" t="e">
        <f t="shared" ca="1" si="204"/>
        <v>#REF!</v>
      </c>
      <c r="EG93" s="244" t="e">
        <f t="shared" ca="1" si="205"/>
        <v>#REF!</v>
      </c>
      <c r="EH93" s="244" t="e">
        <f t="shared" ca="1" si="206"/>
        <v>#REF!</v>
      </c>
      <c r="EI93" s="244" t="e">
        <f t="shared" ca="1" si="207"/>
        <v>#REF!</v>
      </c>
      <c r="EJ93" s="244" t="e">
        <f t="shared" ca="1" si="208"/>
        <v>#REF!</v>
      </c>
      <c r="EK93" s="244" t="e">
        <f t="shared" ca="1" si="209"/>
        <v>#REF!</v>
      </c>
      <c r="EL93" s="244" t="e">
        <f t="shared" ca="1" si="210"/>
        <v>#REF!</v>
      </c>
      <c r="EM93" s="244" t="e">
        <f t="shared" ca="1" si="211"/>
        <v>#REF!</v>
      </c>
      <c r="EN93" s="244" t="e">
        <f t="shared" ca="1" si="212"/>
        <v>#REF!</v>
      </c>
      <c r="EO93" s="244" t="e">
        <f t="shared" ca="1" si="213"/>
        <v>#REF!</v>
      </c>
      <c r="EP93" s="244" t="e">
        <f t="shared" ca="1" si="214"/>
        <v>#REF!</v>
      </c>
      <c r="EQ93" s="244" t="e">
        <f t="shared" ca="1" si="215"/>
        <v>#REF!</v>
      </c>
      <c r="ER93" s="244"/>
      <c r="EW93" s="244">
        <v>0</v>
      </c>
      <c r="EX93" s="278" t="e">
        <f ca="1">VLOOKUP(DM93,Foglio1!$AB$31:$AN$261,13)-6+EW93</f>
        <v>#REF!</v>
      </c>
      <c r="EY93" s="244"/>
      <c r="EZ93" s="244">
        <v>0</v>
      </c>
      <c r="FA93" s="244" t="e">
        <f t="shared" ca="1" si="234"/>
        <v>#REF!</v>
      </c>
      <c r="FB93" s="244" t="e">
        <f t="shared" ca="1" si="235"/>
        <v>#REF!</v>
      </c>
      <c r="FC93" s="244" t="e">
        <f t="shared" ca="1" si="236"/>
        <v>#REF!</v>
      </c>
      <c r="FD93" s="244" t="e">
        <f t="shared" ca="1" si="237"/>
        <v>#REF!</v>
      </c>
      <c r="FE93" s="244" t="e">
        <f t="shared" ca="1" si="238"/>
        <v>#REF!</v>
      </c>
      <c r="FF93" s="244" t="e">
        <f t="shared" ca="1" si="239"/>
        <v>#REF!</v>
      </c>
      <c r="FG93" s="244" t="e">
        <f t="shared" ca="1" si="240"/>
        <v>#REF!</v>
      </c>
      <c r="FH93" s="244" t="e">
        <f t="shared" ca="1" si="241"/>
        <v>#REF!</v>
      </c>
      <c r="FI93" s="244" t="e">
        <f t="shared" ca="1" si="242"/>
        <v>#REF!</v>
      </c>
      <c r="FJ93" s="244" t="e">
        <f t="shared" ca="1" si="243"/>
        <v>#REF!</v>
      </c>
      <c r="FK93" s="244" t="e">
        <f t="shared" ca="1" si="244"/>
        <v>#REF!</v>
      </c>
      <c r="FL93" s="244" t="e">
        <f t="shared" ca="1" si="245"/>
        <v>#REF!</v>
      </c>
      <c r="FM93" s="244" t="e">
        <f t="shared" ca="1" si="216"/>
        <v>#REF!</v>
      </c>
      <c r="FN93" s="244"/>
    </row>
    <row r="94" spans="5:170" x14ac:dyDescent="0.25">
      <c r="E94" s="244"/>
      <c r="F94" s="240" t="str">
        <f>IF(fronttd!E96="","",fronttd!E96)</f>
        <v/>
      </c>
      <c r="G94" s="240" t="str">
        <f>IF(fronttd!F96="","",fronttd!F96)</f>
        <v/>
      </c>
      <c r="H94" s="380">
        <f>fronttd!G96</f>
        <v>0</v>
      </c>
      <c r="I94" s="380">
        <f>fronttd!H96</f>
        <v>0</v>
      </c>
      <c r="J94">
        <f t="shared" si="246"/>
        <v>24</v>
      </c>
      <c r="L94">
        <f t="shared" si="247"/>
        <v>94</v>
      </c>
      <c r="O94" s="238">
        <f t="shared" si="248"/>
        <v>94</v>
      </c>
      <c r="R94" s="112" t="str">
        <f t="shared" si="217"/>
        <v/>
      </c>
      <c r="S94" s="238" t="e">
        <f t="shared" ca="1" si="218"/>
        <v>#N/A</v>
      </c>
      <c r="T94" s="112" t="e">
        <f t="shared" ca="1" si="255"/>
        <v>#N/A</v>
      </c>
      <c r="U94" s="112" t="e">
        <f t="shared" ca="1" si="256"/>
        <v>#N/A</v>
      </c>
      <c r="V94" s="112" t="e">
        <f t="shared" ca="1" si="257"/>
        <v>#N/A</v>
      </c>
      <c r="W94" s="112" t="e">
        <f t="shared" ca="1" si="258"/>
        <v>#N/A</v>
      </c>
      <c r="X94" s="112" t="str">
        <f t="shared" si="219"/>
        <v/>
      </c>
      <c r="Y94" s="112"/>
      <c r="Z94" s="112"/>
      <c r="AA94" s="335" t="str">
        <f t="shared" si="220"/>
        <v/>
      </c>
      <c r="AB94" s="335" t="e">
        <f t="shared" ca="1" si="259"/>
        <v>#N/A</v>
      </c>
      <c r="AC94" s="335" t="e">
        <f t="shared" ca="1" si="260"/>
        <v>#N/A</v>
      </c>
      <c r="AD94" s="335" t="e">
        <f t="shared" ca="1" si="261"/>
        <v>#N/A</v>
      </c>
      <c r="AE94" s="335" t="e">
        <f t="shared" ca="1" si="262"/>
        <v>#N/A</v>
      </c>
      <c r="AF94" s="335" t="str">
        <f t="shared" si="221"/>
        <v/>
      </c>
      <c r="AG94" s="238">
        <f>AG93</f>
        <v>34</v>
      </c>
      <c r="AH94" s="112">
        <f ca="1">AI93+1</f>
        <v>37552</v>
      </c>
      <c r="AI94" s="112">
        <f ca="1">INDIRECT(CONCATENATE("AF",AG90))</f>
        <v>37551</v>
      </c>
      <c r="AJ94" s="112">
        <f t="shared" ca="1" si="125"/>
        <v>37551</v>
      </c>
      <c r="AK94" s="112">
        <f t="shared" ca="1" si="169"/>
        <v>37551</v>
      </c>
      <c r="AL94" s="238">
        <f t="shared" ca="1" si="127"/>
        <v>0</v>
      </c>
      <c r="AM94" s="112">
        <f t="shared" ca="1" si="118"/>
        <v>100000</v>
      </c>
      <c r="AN94" s="112">
        <f t="shared" ca="1" si="253"/>
        <v>100000</v>
      </c>
      <c r="AO94" s="114">
        <f t="shared" ca="1" si="222"/>
        <v>18</v>
      </c>
      <c r="AP94" s="114">
        <f t="shared" ca="1" si="223"/>
        <v>24</v>
      </c>
      <c r="AQ94" s="112"/>
      <c r="AR94" s="238">
        <f t="shared" si="249"/>
        <v>94</v>
      </c>
      <c r="AS94" s="112"/>
      <c r="AT94" s="112"/>
      <c r="AU94" s="283">
        <f t="shared" si="185"/>
        <v>75</v>
      </c>
      <c r="AV94" s="284">
        <f t="shared" ca="1" si="224"/>
        <v>100000</v>
      </c>
      <c r="AW94" s="284">
        <f t="shared" ca="1" si="119"/>
        <v>100000</v>
      </c>
      <c r="AX94" s="285">
        <f t="shared" ca="1" si="120"/>
        <v>0</v>
      </c>
      <c r="AY94" s="285">
        <f t="shared" ca="1" si="186"/>
        <v>24</v>
      </c>
      <c r="AZ94" s="282"/>
      <c r="BD94" s="114">
        <f t="shared" si="250"/>
        <v>1</v>
      </c>
      <c r="BE94" s="112">
        <f t="shared" si="225"/>
        <v>100000</v>
      </c>
      <c r="BH94" s="238">
        <f t="shared" si="251"/>
        <v>75</v>
      </c>
      <c r="BI94" s="245" t="str">
        <f t="shared" si="226"/>
        <v/>
      </c>
      <c r="BJ94" s="281">
        <f t="shared" ca="1" si="265"/>
        <v>16</v>
      </c>
      <c r="BK94" s="245" t="e">
        <f t="shared" ca="1" si="227"/>
        <v>#NUM!</v>
      </c>
      <c r="BL94" s="245" t="e">
        <f t="shared" ca="1" si="228"/>
        <v>#NUM!</v>
      </c>
      <c r="BN94" s="245" t="e">
        <f t="shared" ca="1" si="266"/>
        <v>#NUM!</v>
      </c>
      <c r="CL94" s="112"/>
      <c r="CM94" s="112"/>
      <c r="CP94" s="112"/>
      <c r="CQ94" s="112"/>
      <c r="CR94" s="238"/>
      <c r="CS94" s="238"/>
      <c r="CT94" s="112"/>
      <c r="CU94" s="112"/>
      <c r="CV94" s="112"/>
      <c r="CW94" s="112" t="s">
        <v>224</v>
      </c>
      <c r="CX94" s="112" t="s">
        <v>225</v>
      </c>
      <c r="CY94" s="112" t="s">
        <v>226</v>
      </c>
      <c r="CZ94" s="112" t="s">
        <v>227</v>
      </c>
      <c r="DA94" s="112" t="s">
        <v>228</v>
      </c>
      <c r="DB94" s="112" t="s">
        <v>229</v>
      </c>
      <c r="DC94" s="112"/>
      <c r="DD94" s="238" t="e">
        <f t="shared" ca="1" si="116"/>
        <v>#REF!</v>
      </c>
      <c r="DE94" s="238" t="e">
        <f t="shared" ca="1" si="108"/>
        <v>#REF!</v>
      </c>
      <c r="DF94" s="112"/>
      <c r="DG94" s="238"/>
      <c r="DH94" s="238"/>
      <c r="DI94" s="112"/>
      <c r="DJ94" s="238"/>
      <c r="DK94" s="112" t="e">
        <f t="shared" ca="1" si="229"/>
        <v>#REF!</v>
      </c>
      <c r="DL94" s="278" t="e">
        <f t="shared" ca="1" si="129"/>
        <v>#REF!</v>
      </c>
      <c r="DM94" s="245" t="e">
        <f t="shared" ref="DM94:DP94" ca="1" si="271">DM645</f>
        <v>#REF!</v>
      </c>
      <c r="DN94" s="245" t="e">
        <f t="shared" ca="1" si="271"/>
        <v>#REF!</v>
      </c>
      <c r="DO94" s="245" t="e">
        <f t="shared" ca="1" si="271"/>
        <v>#REF!</v>
      </c>
      <c r="DP94" s="245" t="e">
        <f t="shared" ca="1" si="271"/>
        <v>#REF!</v>
      </c>
      <c r="DQ94" s="281" t="e">
        <f t="shared" ca="1" si="131"/>
        <v>#REF!</v>
      </c>
      <c r="DR94" s="278" t="e">
        <f t="shared" ca="1" si="132"/>
        <v>#REF!</v>
      </c>
      <c r="DS94" s="244" t="e">
        <f t="shared" ca="1" si="231"/>
        <v>#REF!</v>
      </c>
      <c r="DT94" s="244" t="e">
        <f t="shared" ca="1" si="232"/>
        <v>#REF!</v>
      </c>
      <c r="DU94" s="244" t="e">
        <f t="shared" ca="1" si="133"/>
        <v>#REF!</v>
      </c>
      <c r="DV94" s="244" t="e">
        <f t="shared" ca="1" si="134"/>
        <v>#REF!</v>
      </c>
      <c r="DW94" s="244"/>
      <c r="DX94" s="244" t="e">
        <f t="shared" ca="1" si="106"/>
        <v>#REF!</v>
      </c>
      <c r="EA94" s="244" t="e">
        <f t="shared" ca="1" si="233"/>
        <v>#REF!</v>
      </c>
      <c r="EB94" s="278" t="e">
        <f ca="1">VLOOKUP(DM94,Foglio1!$AB$31:$AN$261,13)-6+EA94</f>
        <v>#REF!</v>
      </c>
      <c r="EC94" s="244"/>
      <c r="ED94" s="244" t="e">
        <f t="shared" ca="1" si="202"/>
        <v>#REF!</v>
      </c>
      <c r="EE94" s="244" t="e">
        <f t="shared" ca="1" si="203"/>
        <v>#REF!</v>
      </c>
      <c r="EF94" s="244" t="e">
        <f t="shared" ca="1" si="204"/>
        <v>#REF!</v>
      </c>
      <c r="EG94" s="244" t="e">
        <f t="shared" ca="1" si="205"/>
        <v>#REF!</v>
      </c>
      <c r="EH94" s="244" t="e">
        <f t="shared" ca="1" si="206"/>
        <v>#REF!</v>
      </c>
      <c r="EI94" s="244" t="e">
        <f t="shared" ca="1" si="207"/>
        <v>#REF!</v>
      </c>
      <c r="EJ94" s="244" t="e">
        <f t="shared" ca="1" si="208"/>
        <v>#REF!</v>
      </c>
      <c r="EK94" s="244" t="e">
        <f t="shared" ca="1" si="209"/>
        <v>#REF!</v>
      </c>
      <c r="EL94" s="244" t="e">
        <f t="shared" ca="1" si="210"/>
        <v>#REF!</v>
      </c>
      <c r="EM94" s="244" t="e">
        <f t="shared" ca="1" si="211"/>
        <v>#REF!</v>
      </c>
      <c r="EN94" s="244" t="e">
        <f t="shared" ca="1" si="212"/>
        <v>#REF!</v>
      </c>
      <c r="EO94" s="244" t="e">
        <f t="shared" ca="1" si="213"/>
        <v>#REF!</v>
      </c>
      <c r="EP94" s="244" t="e">
        <f t="shared" ca="1" si="214"/>
        <v>#REF!</v>
      </c>
      <c r="EQ94" s="244" t="e">
        <f t="shared" ca="1" si="215"/>
        <v>#REF!</v>
      </c>
      <c r="ER94" s="244"/>
      <c r="EW94" s="244">
        <v>0</v>
      </c>
      <c r="EX94" s="278" t="e">
        <f ca="1">VLOOKUP(DM94,Foglio1!$AB$31:$AN$261,13)-6+EW94</f>
        <v>#REF!</v>
      </c>
      <c r="EY94" s="244"/>
      <c r="EZ94" s="244">
        <v>0</v>
      </c>
      <c r="FA94" s="244" t="e">
        <f t="shared" ca="1" si="234"/>
        <v>#REF!</v>
      </c>
      <c r="FB94" s="244" t="e">
        <f t="shared" ca="1" si="235"/>
        <v>#REF!</v>
      </c>
      <c r="FC94" s="244" t="e">
        <f t="shared" ca="1" si="236"/>
        <v>#REF!</v>
      </c>
      <c r="FD94" s="244" t="e">
        <f t="shared" ca="1" si="237"/>
        <v>#REF!</v>
      </c>
      <c r="FE94" s="244" t="e">
        <f t="shared" ca="1" si="238"/>
        <v>#REF!</v>
      </c>
      <c r="FF94" s="244" t="e">
        <f t="shared" ca="1" si="239"/>
        <v>#REF!</v>
      </c>
      <c r="FG94" s="244" t="e">
        <f t="shared" ca="1" si="240"/>
        <v>#REF!</v>
      </c>
      <c r="FH94" s="244" t="e">
        <f t="shared" ca="1" si="241"/>
        <v>#REF!</v>
      </c>
      <c r="FI94" s="244" t="e">
        <f t="shared" ca="1" si="242"/>
        <v>#REF!</v>
      </c>
      <c r="FJ94" s="244" t="e">
        <f t="shared" ca="1" si="243"/>
        <v>#REF!</v>
      </c>
      <c r="FK94" s="244" t="e">
        <f t="shared" ca="1" si="244"/>
        <v>#REF!</v>
      </c>
      <c r="FL94" s="244" t="e">
        <f t="shared" ca="1" si="245"/>
        <v>#REF!</v>
      </c>
      <c r="FM94" s="244" t="e">
        <f t="shared" ca="1" si="216"/>
        <v>#REF!</v>
      </c>
      <c r="FN94" s="244"/>
    </row>
    <row r="95" spans="5:170" x14ac:dyDescent="0.25">
      <c r="E95" s="244"/>
      <c r="F95" s="240" t="str">
        <f>IF(fronttd!E97="","",fronttd!E97)</f>
        <v/>
      </c>
      <c r="G95" s="240" t="str">
        <f>IF(fronttd!F97="","",fronttd!F97)</f>
        <v/>
      </c>
      <c r="H95" s="380">
        <f>fronttd!G97</f>
        <v>0</v>
      </c>
      <c r="I95" s="380">
        <f>fronttd!H97</f>
        <v>0</v>
      </c>
      <c r="J95">
        <f t="shared" si="246"/>
        <v>24</v>
      </c>
      <c r="L95">
        <f t="shared" si="247"/>
        <v>95</v>
      </c>
      <c r="O95" s="238">
        <f t="shared" si="248"/>
        <v>95</v>
      </c>
      <c r="R95" s="112" t="str">
        <f t="shared" si="217"/>
        <v/>
      </c>
      <c r="S95" s="238" t="e">
        <f t="shared" ca="1" si="218"/>
        <v>#N/A</v>
      </c>
      <c r="T95" s="112" t="e">
        <f t="shared" ca="1" si="255"/>
        <v>#N/A</v>
      </c>
      <c r="U95" s="112" t="e">
        <f t="shared" ca="1" si="256"/>
        <v>#N/A</v>
      </c>
      <c r="V95" s="112" t="e">
        <f t="shared" ca="1" si="257"/>
        <v>#N/A</v>
      </c>
      <c r="W95" s="112" t="e">
        <f t="shared" ca="1" si="258"/>
        <v>#N/A</v>
      </c>
      <c r="X95" s="112" t="str">
        <f t="shared" si="219"/>
        <v/>
      </c>
      <c r="Y95" s="112"/>
      <c r="Z95" s="112"/>
      <c r="AA95" s="335" t="str">
        <f t="shared" si="220"/>
        <v/>
      </c>
      <c r="AB95" s="335" t="e">
        <f t="shared" ca="1" si="259"/>
        <v>#N/A</v>
      </c>
      <c r="AC95" s="335" t="e">
        <f t="shared" ca="1" si="260"/>
        <v>#N/A</v>
      </c>
      <c r="AD95" s="335" t="e">
        <f t="shared" ca="1" si="261"/>
        <v>#N/A</v>
      </c>
      <c r="AE95" s="335" t="e">
        <f t="shared" ca="1" si="262"/>
        <v>#N/A</v>
      </c>
      <c r="AF95" s="335" t="str">
        <f t="shared" si="221"/>
        <v/>
      </c>
      <c r="AG95" s="238">
        <f>AG94+1</f>
        <v>35</v>
      </c>
      <c r="AH95" s="112">
        <f ca="1">INDIRECT(CONCATENATE("AA",AG95))</f>
        <v>37540</v>
      </c>
      <c r="AI95" s="112">
        <f ca="1">IF(            INDIRECT(CONCATENATE( "AB",AG95))&lt;100000,       INDIRECT(CONCATENATE("AB",AG95))  -1,IF(   INDIRECT(CONCATENATE("AC",AG95))&lt;100000,   INDIRECT(CONCATENATE("AC",AG95))-1,IF(   INDIRECT(CONCATENATE("AD", AG95))&lt;100000, INDIRECT(CONCATENATE("AD",AG95))-1,IF(   INDIRECT(CONCATENATE("AE",AG95))&lt;100000,  INDIRECT(CONCATENATE("AE",G95)),INDIRECT(CONCATENATE("AF",AG95))                ))))</f>
        <v>37574</v>
      </c>
      <c r="AJ95" s="112">
        <f t="shared" ca="1" si="125"/>
        <v>37574</v>
      </c>
      <c r="AK95" s="112">
        <f t="shared" ca="1" si="169"/>
        <v>37574</v>
      </c>
      <c r="AL95" s="238">
        <f t="shared" ca="1" si="127"/>
        <v>1</v>
      </c>
      <c r="AM95" s="112">
        <f t="shared" ca="1" si="118"/>
        <v>37540</v>
      </c>
      <c r="AN95" s="112">
        <f t="shared" ca="1" si="253"/>
        <v>37574</v>
      </c>
      <c r="AO95" s="114">
        <f t="shared" ca="1" si="222"/>
        <v>18</v>
      </c>
      <c r="AP95" s="114">
        <f t="shared" ca="1" si="223"/>
        <v>24</v>
      </c>
      <c r="AQ95" s="112"/>
      <c r="AR95" s="238">
        <f t="shared" si="249"/>
        <v>95</v>
      </c>
      <c r="AS95" s="112"/>
      <c r="AT95" s="112"/>
      <c r="AU95" s="283">
        <f t="shared" si="185"/>
        <v>76</v>
      </c>
      <c r="AV95" s="284">
        <f t="shared" ca="1" si="224"/>
        <v>100000</v>
      </c>
      <c r="AW95" s="284">
        <f t="shared" ca="1" si="119"/>
        <v>100000</v>
      </c>
      <c r="AX95" s="285">
        <f t="shared" ca="1" si="120"/>
        <v>0</v>
      </c>
      <c r="AY95" s="285">
        <f t="shared" ca="1" si="186"/>
        <v>24</v>
      </c>
      <c r="AZ95" s="282"/>
      <c r="BD95" s="114">
        <f t="shared" si="250"/>
        <v>1</v>
      </c>
      <c r="BE95" s="112">
        <f t="shared" si="225"/>
        <v>100000</v>
      </c>
      <c r="BH95" s="238">
        <f t="shared" si="251"/>
        <v>76</v>
      </c>
      <c r="BI95" s="245" t="str">
        <f t="shared" si="226"/>
        <v/>
      </c>
      <c r="BJ95" s="281">
        <f t="shared" ca="1" si="265"/>
        <v>16</v>
      </c>
      <c r="BK95" s="245" t="e">
        <f t="shared" ca="1" si="227"/>
        <v>#NUM!</v>
      </c>
      <c r="BL95" s="245" t="e">
        <f t="shared" ca="1" si="228"/>
        <v>#NUM!</v>
      </c>
      <c r="BN95" s="245" t="e">
        <f t="shared" ca="1" si="266"/>
        <v>#NUM!</v>
      </c>
      <c r="CL95" s="112"/>
      <c r="CM95" s="112"/>
      <c r="CP95" s="112"/>
      <c r="CQ95" s="112"/>
      <c r="CR95" s="238"/>
      <c r="CS95" s="238"/>
      <c r="CT95" s="112"/>
      <c r="CU95" s="112"/>
      <c r="CV95" s="112"/>
      <c r="CW95" s="112" t="s">
        <v>224</v>
      </c>
      <c r="CX95" s="112" t="s">
        <v>225</v>
      </c>
      <c r="CY95" s="112" t="s">
        <v>226</v>
      </c>
      <c r="CZ95" s="112" t="s">
        <v>227</v>
      </c>
      <c r="DA95" s="112" t="s">
        <v>228</v>
      </c>
      <c r="DB95" s="112" t="s">
        <v>229</v>
      </c>
      <c r="DC95" s="112"/>
      <c r="DD95" s="238" t="e">
        <f t="shared" ca="1" si="116"/>
        <v>#REF!</v>
      </c>
      <c r="DE95" s="238" t="e">
        <f t="shared" ca="1" si="108"/>
        <v>#REF!</v>
      </c>
      <c r="DF95" s="112"/>
      <c r="DG95" s="238"/>
      <c r="DH95" s="238"/>
      <c r="DI95" s="112"/>
      <c r="DJ95" s="238"/>
      <c r="DK95" s="112" t="e">
        <f t="shared" ca="1" si="229"/>
        <v>#REF!</v>
      </c>
      <c r="DL95" s="278" t="e">
        <f t="shared" ca="1" si="129"/>
        <v>#REF!</v>
      </c>
      <c r="DM95" s="245" t="e">
        <f t="shared" ref="DM95:DP95" ca="1" si="272">DM646</f>
        <v>#REF!</v>
      </c>
      <c r="DN95" s="245" t="e">
        <f t="shared" ca="1" si="272"/>
        <v>#REF!</v>
      </c>
      <c r="DO95" s="245" t="e">
        <f t="shared" ca="1" si="272"/>
        <v>#REF!</v>
      </c>
      <c r="DP95" s="245" t="e">
        <f t="shared" ca="1" si="272"/>
        <v>#REF!</v>
      </c>
      <c r="DQ95" s="281" t="e">
        <f t="shared" ca="1" si="131"/>
        <v>#REF!</v>
      </c>
      <c r="DR95" s="278" t="e">
        <f t="shared" ca="1" si="132"/>
        <v>#REF!</v>
      </c>
      <c r="DS95" s="244" t="e">
        <f t="shared" ca="1" si="231"/>
        <v>#REF!</v>
      </c>
      <c r="DT95" s="244" t="e">
        <f t="shared" ca="1" si="232"/>
        <v>#REF!</v>
      </c>
      <c r="DU95" s="244" t="e">
        <f t="shared" ca="1" si="133"/>
        <v>#REF!</v>
      </c>
      <c r="DV95" s="244" t="e">
        <f t="shared" ca="1" si="134"/>
        <v>#REF!</v>
      </c>
      <c r="DW95" s="244"/>
      <c r="DX95" s="244" t="e">
        <f t="shared" ref="DX95:DX135" ca="1" si="273">IF(DL95="","",VLOOKUP(DM95,$DL$8:$DM$14,2))</f>
        <v>#REF!</v>
      </c>
      <c r="EA95" s="244" t="e">
        <f t="shared" ca="1" si="233"/>
        <v>#REF!</v>
      </c>
      <c r="EB95" s="278" t="e">
        <f ca="1">VLOOKUP(DM95,Foglio1!$AB$31:$AN$261,13)-6+EA95</f>
        <v>#REF!</v>
      </c>
      <c r="EC95" s="244"/>
      <c r="ED95" s="244" t="e">
        <f t="shared" ca="1" si="202"/>
        <v>#REF!</v>
      </c>
      <c r="EE95" s="244" t="e">
        <f t="shared" ca="1" si="203"/>
        <v>#REF!</v>
      </c>
      <c r="EF95" s="244" t="e">
        <f t="shared" ca="1" si="204"/>
        <v>#REF!</v>
      </c>
      <c r="EG95" s="244" t="e">
        <f t="shared" ca="1" si="205"/>
        <v>#REF!</v>
      </c>
      <c r="EH95" s="244" t="e">
        <f t="shared" ca="1" si="206"/>
        <v>#REF!</v>
      </c>
      <c r="EI95" s="244" t="e">
        <f t="shared" ca="1" si="207"/>
        <v>#REF!</v>
      </c>
      <c r="EJ95" s="244" t="e">
        <f t="shared" ca="1" si="208"/>
        <v>#REF!</v>
      </c>
      <c r="EK95" s="244" t="e">
        <f t="shared" ca="1" si="209"/>
        <v>#REF!</v>
      </c>
      <c r="EL95" s="244" t="e">
        <f t="shared" ca="1" si="210"/>
        <v>#REF!</v>
      </c>
      <c r="EM95" s="244" t="e">
        <f t="shared" ca="1" si="211"/>
        <v>#REF!</v>
      </c>
      <c r="EN95" s="244" t="e">
        <f t="shared" ca="1" si="212"/>
        <v>#REF!</v>
      </c>
      <c r="EO95" s="244" t="e">
        <f t="shared" ca="1" si="213"/>
        <v>#REF!</v>
      </c>
      <c r="EP95" s="244" t="e">
        <f t="shared" ca="1" si="214"/>
        <v>#REF!</v>
      </c>
      <c r="EQ95" s="244" t="e">
        <f t="shared" ca="1" si="215"/>
        <v>#REF!</v>
      </c>
      <c r="ER95" s="244"/>
      <c r="EW95" s="244">
        <v>0</v>
      </c>
      <c r="EX95" s="278" t="e">
        <f ca="1">VLOOKUP(DM95,Foglio1!$AB$31:$AN$261,13)-6+EW95</f>
        <v>#REF!</v>
      </c>
      <c r="EY95" s="244"/>
      <c r="EZ95" s="244">
        <v>0</v>
      </c>
      <c r="FA95" s="244" t="e">
        <f t="shared" ca="1" si="234"/>
        <v>#REF!</v>
      </c>
      <c r="FB95" s="244" t="e">
        <f t="shared" ca="1" si="235"/>
        <v>#REF!</v>
      </c>
      <c r="FC95" s="244" t="e">
        <f t="shared" ca="1" si="236"/>
        <v>#REF!</v>
      </c>
      <c r="FD95" s="244" t="e">
        <f t="shared" ca="1" si="237"/>
        <v>#REF!</v>
      </c>
      <c r="FE95" s="244" t="e">
        <f t="shared" ca="1" si="238"/>
        <v>#REF!</v>
      </c>
      <c r="FF95" s="244" t="e">
        <f t="shared" ca="1" si="239"/>
        <v>#REF!</v>
      </c>
      <c r="FG95" s="244" t="e">
        <f t="shared" ca="1" si="240"/>
        <v>#REF!</v>
      </c>
      <c r="FH95" s="244" t="e">
        <f t="shared" ca="1" si="241"/>
        <v>#REF!</v>
      </c>
      <c r="FI95" s="244" t="e">
        <f t="shared" ca="1" si="242"/>
        <v>#REF!</v>
      </c>
      <c r="FJ95" s="244" t="e">
        <f t="shared" ca="1" si="243"/>
        <v>#REF!</v>
      </c>
      <c r="FK95" s="244" t="e">
        <f t="shared" ca="1" si="244"/>
        <v>#REF!</v>
      </c>
      <c r="FL95" s="244" t="e">
        <f t="shared" ca="1" si="245"/>
        <v>#REF!</v>
      </c>
      <c r="FM95" s="244" t="e">
        <f t="shared" ca="1" si="216"/>
        <v>#REF!</v>
      </c>
      <c r="FN95" s="244"/>
    </row>
    <row r="96" spans="5:170" x14ac:dyDescent="0.25">
      <c r="E96" s="244"/>
      <c r="F96" s="240" t="str">
        <f>IF(fronttd!E98="","",fronttd!E98)</f>
        <v/>
      </c>
      <c r="G96" s="240" t="str">
        <f>IF(fronttd!F98="","",fronttd!F98)</f>
        <v/>
      </c>
      <c r="H96" s="380">
        <f>fronttd!G98</f>
        <v>0</v>
      </c>
      <c r="I96" s="380">
        <f>fronttd!H98</f>
        <v>0</v>
      </c>
      <c r="J96">
        <f t="shared" si="246"/>
        <v>24</v>
      </c>
      <c r="L96">
        <f t="shared" si="247"/>
        <v>96</v>
      </c>
      <c r="O96" s="238">
        <f t="shared" si="248"/>
        <v>96</v>
      </c>
      <c r="R96" s="112" t="str">
        <f t="shared" si="217"/>
        <v/>
      </c>
      <c r="S96" s="238" t="e">
        <f t="shared" ca="1" si="218"/>
        <v>#N/A</v>
      </c>
      <c r="T96" s="112" t="e">
        <f t="shared" ca="1" si="255"/>
        <v>#N/A</v>
      </c>
      <c r="U96" s="112" t="e">
        <f t="shared" ca="1" si="256"/>
        <v>#N/A</v>
      </c>
      <c r="V96" s="112" t="e">
        <f t="shared" ca="1" si="257"/>
        <v>#N/A</v>
      </c>
      <c r="W96" s="112" t="e">
        <f t="shared" ca="1" si="258"/>
        <v>#N/A</v>
      </c>
      <c r="X96" s="112" t="str">
        <f t="shared" si="219"/>
        <v/>
      </c>
      <c r="Y96" s="112"/>
      <c r="Z96" s="112"/>
      <c r="AA96" s="335" t="str">
        <f t="shared" si="220"/>
        <v/>
      </c>
      <c r="AB96" s="335" t="e">
        <f t="shared" ca="1" si="259"/>
        <v>#N/A</v>
      </c>
      <c r="AC96" s="335" t="e">
        <f t="shared" ca="1" si="260"/>
        <v>#N/A</v>
      </c>
      <c r="AD96" s="335" t="e">
        <f t="shared" ca="1" si="261"/>
        <v>#N/A</v>
      </c>
      <c r="AE96" s="335" t="e">
        <f t="shared" ca="1" si="262"/>
        <v>#N/A</v>
      </c>
      <c r="AF96" s="335" t="str">
        <f t="shared" si="221"/>
        <v/>
      </c>
      <c r="AG96" s="238">
        <f>AG95</f>
        <v>35</v>
      </c>
      <c r="AH96" s="112">
        <f ca="1">AI95+1</f>
        <v>37575</v>
      </c>
      <c r="AI96" s="112">
        <f ca="1">IF(INDIRECT(CONCATENATE("AC",AG95))&lt;100000,INDIRECT(CONCATENATE("AC",AG95))-1,IF(INDIRECT(CONCATENATE("AD",AG95))&lt;100000,INDIRECT(CONCATENATE("AD",AG95))-1,IF(INDIRECT(CONCATENATE("AE",AG95))&lt;100000,INDIRECT(CONCATENATE("AE",G95)),INDIRECT(CONCATENATE("AF",AG95)))))</f>
        <v>37574</v>
      </c>
      <c r="AJ96" s="112">
        <f t="shared" ca="1" si="125"/>
        <v>37574</v>
      </c>
      <c r="AK96" s="112">
        <f t="shared" ca="1" si="169"/>
        <v>37574</v>
      </c>
      <c r="AL96" s="238">
        <f t="shared" ca="1" si="127"/>
        <v>0</v>
      </c>
      <c r="AM96" s="112">
        <f t="shared" ca="1" si="118"/>
        <v>100000</v>
      </c>
      <c r="AN96" s="112">
        <f t="shared" ca="1" si="253"/>
        <v>100000</v>
      </c>
      <c r="AO96" s="114">
        <f t="shared" ca="1" si="222"/>
        <v>18</v>
      </c>
      <c r="AP96" s="114">
        <f t="shared" ca="1" si="223"/>
        <v>24</v>
      </c>
      <c r="AQ96" s="112"/>
      <c r="AR96" s="238">
        <f t="shared" si="249"/>
        <v>96</v>
      </c>
      <c r="AS96" s="112"/>
      <c r="AT96" s="112"/>
      <c r="AU96" s="283">
        <f t="shared" si="185"/>
        <v>77</v>
      </c>
      <c r="AV96" s="284">
        <f t="shared" ca="1" si="224"/>
        <v>100000</v>
      </c>
      <c r="AW96" s="284">
        <f t="shared" ca="1" si="119"/>
        <v>100000</v>
      </c>
      <c r="AX96" s="285">
        <f t="shared" ca="1" si="120"/>
        <v>0</v>
      </c>
      <c r="AY96" s="285">
        <f t="shared" ca="1" si="186"/>
        <v>24</v>
      </c>
      <c r="AZ96" s="282"/>
      <c r="BD96" s="114">
        <f t="shared" si="250"/>
        <v>1</v>
      </c>
      <c r="BE96" s="112">
        <f t="shared" si="225"/>
        <v>100000</v>
      </c>
      <c r="BH96" s="238">
        <f t="shared" si="251"/>
        <v>77</v>
      </c>
      <c r="BI96" s="245" t="str">
        <f t="shared" si="226"/>
        <v/>
      </c>
      <c r="BJ96" s="281">
        <f t="shared" ca="1" si="265"/>
        <v>16</v>
      </c>
      <c r="BK96" s="245" t="e">
        <f t="shared" ca="1" si="227"/>
        <v>#NUM!</v>
      </c>
      <c r="BL96" s="245" t="e">
        <f t="shared" ca="1" si="228"/>
        <v>#NUM!</v>
      </c>
      <c r="BN96" s="245" t="e">
        <f t="shared" ca="1" si="266"/>
        <v>#NUM!</v>
      </c>
      <c r="CL96" s="112"/>
      <c r="CM96" s="112"/>
      <c r="CP96" s="112"/>
      <c r="CQ96" s="112"/>
      <c r="CR96" s="238"/>
      <c r="CS96" s="238"/>
      <c r="CT96" s="112"/>
      <c r="CU96" s="112"/>
      <c r="CV96" s="112"/>
      <c r="CW96" s="112" t="s">
        <v>224</v>
      </c>
      <c r="CX96" s="112" t="s">
        <v>225</v>
      </c>
      <c r="CY96" s="112" t="s">
        <v>226</v>
      </c>
      <c r="CZ96" s="112" t="s">
        <v>227</v>
      </c>
      <c r="DA96" s="112" t="s">
        <v>228</v>
      </c>
      <c r="DB96" s="112" t="s">
        <v>229</v>
      </c>
      <c r="DC96" s="112"/>
      <c r="DD96" s="238" t="e">
        <f t="shared" ca="1" si="116"/>
        <v>#REF!</v>
      </c>
      <c r="DE96" s="238" t="e">
        <f t="shared" ca="1" si="108"/>
        <v>#REF!</v>
      </c>
      <c r="DF96" s="112"/>
      <c r="DG96" s="238"/>
      <c r="DH96" s="238"/>
      <c r="DI96" s="112"/>
      <c r="DJ96" s="238"/>
      <c r="DK96" s="112" t="e">
        <f t="shared" ca="1" si="229"/>
        <v>#REF!</v>
      </c>
      <c r="DL96" s="278" t="e">
        <f t="shared" ca="1" si="129"/>
        <v>#REF!</v>
      </c>
      <c r="DM96" s="245" t="e">
        <f t="shared" ref="DM96:DP96" ca="1" si="274">DM647</f>
        <v>#REF!</v>
      </c>
      <c r="DN96" s="245" t="e">
        <f t="shared" ca="1" si="274"/>
        <v>#REF!</v>
      </c>
      <c r="DO96" s="245" t="e">
        <f t="shared" ca="1" si="274"/>
        <v>#REF!</v>
      </c>
      <c r="DP96" s="245" t="e">
        <f t="shared" ca="1" si="274"/>
        <v>#REF!</v>
      </c>
      <c r="DQ96" s="281" t="e">
        <f t="shared" ca="1" si="131"/>
        <v>#REF!</v>
      </c>
      <c r="DR96" s="278" t="e">
        <f t="shared" ca="1" si="132"/>
        <v>#REF!</v>
      </c>
      <c r="DS96" s="244" t="e">
        <f t="shared" ca="1" si="231"/>
        <v>#REF!</v>
      </c>
      <c r="DT96" s="244" t="e">
        <f t="shared" ca="1" si="232"/>
        <v>#REF!</v>
      </c>
      <c r="DU96" s="244" t="e">
        <f t="shared" ca="1" si="133"/>
        <v>#REF!</v>
      </c>
      <c r="DV96" s="244" t="e">
        <f t="shared" ca="1" si="134"/>
        <v>#REF!</v>
      </c>
      <c r="DW96" s="244"/>
      <c r="DX96" s="244" t="e">
        <f t="shared" ca="1" si="273"/>
        <v>#REF!</v>
      </c>
      <c r="EA96" s="244" t="e">
        <f t="shared" ca="1" si="233"/>
        <v>#REF!</v>
      </c>
      <c r="EB96" s="278" t="e">
        <f ca="1">VLOOKUP(DM96,Foglio1!$AB$31:$AN$261,13)-6+EA96</f>
        <v>#REF!</v>
      </c>
      <c r="EC96" s="244"/>
      <c r="ED96" s="244" t="e">
        <f t="shared" ca="1" si="202"/>
        <v>#REF!</v>
      </c>
      <c r="EE96" s="244" t="e">
        <f t="shared" ca="1" si="203"/>
        <v>#REF!</v>
      </c>
      <c r="EF96" s="244" t="e">
        <f t="shared" ca="1" si="204"/>
        <v>#REF!</v>
      </c>
      <c r="EG96" s="244" t="e">
        <f t="shared" ca="1" si="205"/>
        <v>#REF!</v>
      </c>
      <c r="EH96" s="244" t="e">
        <f t="shared" ca="1" si="206"/>
        <v>#REF!</v>
      </c>
      <c r="EI96" s="244" t="e">
        <f t="shared" ca="1" si="207"/>
        <v>#REF!</v>
      </c>
      <c r="EJ96" s="244" t="e">
        <f t="shared" ca="1" si="208"/>
        <v>#REF!</v>
      </c>
      <c r="EK96" s="244" t="e">
        <f t="shared" ca="1" si="209"/>
        <v>#REF!</v>
      </c>
      <c r="EL96" s="244" t="e">
        <f t="shared" ca="1" si="210"/>
        <v>#REF!</v>
      </c>
      <c r="EM96" s="244" t="e">
        <f t="shared" ca="1" si="211"/>
        <v>#REF!</v>
      </c>
      <c r="EN96" s="244" t="e">
        <f t="shared" ca="1" si="212"/>
        <v>#REF!</v>
      </c>
      <c r="EO96" s="244" t="e">
        <f t="shared" ca="1" si="213"/>
        <v>#REF!</v>
      </c>
      <c r="EP96" s="244" t="e">
        <f t="shared" ca="1" si="214"/>
        <v>#REF!</v>
      </c>
      <c r="EQ96" s="244" t="e">
        <f t="shared" ca="1" si="215"/>
        <v>#REF!</v>
      </c>
      <c r="ER96" s="244"/>
      <c r="EW96" s="244">
        <v>0</v>
      </c>
      <c r="EX96" s="278" t="e">
        <f ca="1">VLOOKUP(DM96,Foglio1!$AB$31:$AN$261,13)-6+EW96</f>
        <v>#REF!</v>
      </c>
      <c r="EY96" s="244"/>
      <c r="EZ96" s="244">
        <v>0</v>
      </c>
      <c r="FA96" s="244" t="e">
        <f t="shared" ca="1" si="234"/>
        <v>#REF!</v>
      </c>
      <c r="FB96" s="244" t="e">
        <f t="shared" ca="1" si="235"/>
        <v>#REF!</v>
      </c>
      <c r="FC96" s="244" t="e">
        <f t="shared" ca="1" si="236"/>
        <v>#REF!</v>
      </c>
      <c r="FD96" s="244" t="e">
        <f t="shared" ca="1" si="237"/>
        <v>#REF!</v>
      </c>
      <c r="FE96" s="244" t="e">
        <f t="shared" ca="1" si="238"/>
        <v>#REF!</v>
      </c>
      <c r="FF96" s="244" t="e">
        <f t="shared" ca="1" si="239"/>
        <v>#REF!</v>
      </c>
      <c r="FG96" s="244" t="e">
        <f t="shared" ca="1" si="240"/>
        <v>#REF!</v>
      </c>
      <c r="FH96" s="244" t="e">
        <f t="shared" ca="1" si="241"/>
        <v>#REF!</v>
      </c>
      <c r="FI96" s="244" t="e">
        <f t="shared" ca="1" si="242"/>
        <v>#REF!</v>
      </c>
      <c r="FJ96" s="244" t="e">
        <f t="shared" ca="1" si="243"/>
        <v>#REF!</v>
      </c>
      <c r="FK96" s="244" t="e">
        <f t="shared" ca="1" si="244"/>
        <v>#REF!</v>
      </c>
      <c r="FL96" s="244" t="e">
        <f t="shared" ca="1" si="245"/>
        <v>#REF!</v>
      </c>
      <c r="FM96" s="244" t="e">
        <f t="shared" ca="1" si="216"/>
        <v>#REF!</v>
      </c>
      <c r="FN96" s="244"/>
    </row>
    <row r="97" spans="5:170" x14ac:dyDescent="0.25">
      <c r="E97" s="244"/>
      <c r="F97" s="240" t="str">
        <f>IF(fronttd!E99="","",fronttd!E99)</f>
        <v/>
      </c>
      <c r="G97" s="240" t="str">
        <f>IF(fronttd!F99="","",fronttd!F99)</f>
        <v/>
      </c>
      <c r="H97" s="380">
        <f>fronttd!G99</f>
        <v>0</v>
      </c>
      <c r="I97" s="380">
        <f>fronttd!H99</f>
        <v>0</v>
      </c>
      <c r="J97">
        <f t="shared" si="246"/>
        <v>24</v>
      </c>
      <c r="L97">
        <f t="shared" si="247"/>
        <v>97</v>
      </c>
      <c r="O97" s="238">
        <f t="shared" si="248"/>
        <v>97</v>
      </c>
      <c r="R97" s="112" t="str">
        <f t="shared" si="217"/>
        <v/>
      </c>
      <c r="S97" s="238" t="e">
        <f t="shared" ca="1" si="218"/>
        <v>#N/A</v>
      </c>
      <c r="T97" s="112" t="e">
        <f t="shared" ca="1" si="255"/>
        <v>#N/A</v>
      </c>
      <c r="U97" s="112" t="e">
        <f t="shared" ca="1" si="256"/>
        <v>#N/A</v>
      </c>
      <c r="V97" s="112" t="e">
        <f t="shared" ca="1" si="257"/>
        <v>#N/A</v>
      </c>
      <c r="W97" s="112" t="e">
        <f t="shared" ca="1" si="258"/>
        <v>#N/A</v>
      </c>
      <c r="X97" s="112" t="str">
        <f t="shared" si="219"/>
        <v/>
      </c>
      <c r="Y97" s="112"/>
      <c r="Z97" s="112"/>
      <c r="AA97" s="335" t="str">
        <f t="shared" si="220"/>
        <v/>
      </c>
      <c r="AB97" s="335" t="e">
        <f t="shared" ca="1" si="259"/>
        <v>#N/A</v>
      </c>
      <c r="AC97" s="335" t="e">
        <f t="shared" ca="1" si="260"/>
        <v>#N/A</v>
      </c>
      <c r="AD97" s="335" t="e">
        <f t="shared" ca="1" si="261"/>
        <v>#N/A</v>
      </c>
      <c r="AE97" s="335" t="e">
        <f t="shared" ca="1" si="262"/>
        <v>#N/A</v>
      </c>
      <c r="AF97" s="335" t="str">
        <f t="shared" si="221"/>
        <v/>
      </c>
      <c r="AG97" s="238">
        <f>AG96</f>
        <v>35</v>
      </c>
      <c r="AH97" s="112">
        <f ca="1">AI96+1</f>
        <v>37575</v>
      </c>
      <c r="AI97" s="112">
        <f ca="1">IF(INDIRECT(CONCATENATE("AD",AG95))&lt;100000,INDIRECT(CONCATENATE("AD",AG95))-1,IF(INDIRECT(CONCATENATE("AE",AG95))&lt;100000,INDIRECT(CONCATENATE("AE",G95)),INDIRECT(CONCATENATE("AF",AG95))))</f>
        <v>37574</v>
      </c>
      <c r="AJ97" s="112">
        <f t="shared" ca="1" si="125"/>
        <v>37574</v>
      </c>
      <c r="AK97" s="112">
        <f t="shared" ca="1" si="169"/>
        <v>37574</v>
      </c>
      <c r="AL97" s="238">
        <f t="shared" ca="1" si="127"/>
        <v>0</v>
      </c>
      <c r="AM97" s="112">
        <f t="shared" ca="1" si="118"/>
        <v>100000</v>
      </c>
      <c r="AN97" s="112">
        <f t="shared" ca="1" si="253"/>
        <v>100000</v>
      </c>
      <c r="AO97" s="114">
        <f t="shared" ca="1" si="222"/>
        <v>18</v>
      </c>
      <c r="AP97" s="114">
        <f t="shared" ca="1" si="223"/>
        <v>24</v>
      </c>
      <c r="AQ97" s="112"/>
      <c r="AR97" s="238">
        <f t="shared" si="249"/>
        <v>97</v>
      </c>
      <c r="AS97" s="112"/>
      <c r="AT97" s="112"/>
      <c r="AU97" s="283">
        <f t="shared" si="185"/>
        <v>78</v>
      </c>
      <c r="AV97" s="284">
        <f t="shared" ca="1" si="224"/>
        <v>100000</v>
      </c>
      <c r="AW97" s="284">
        <f t="shared" ca="1" si="119"/>
        <v>100000</v>
      </c>
      <c r="AX97" s="285">
        <f t="shared" ca="1" si="120"/>
        <v>0</v>
      </c>
      <c r="AY97" s="285">
        <f t="shared" ca="1" si="186"/>
        <v>24</v>
      </c>
      <c r="AZ97" s="282"/>
      <c r="BD97" s="114">
        <f t="shared" si="250"/>
        <v>1</v>
      </c>
      <c r="BE97" s="112">
        <f t="shared" si="225"/>
        <v>100000</v>
      </c>
      <c r="BH97" s="238">
        <f t="shared" si="251"/>
        <v>78</v>
      </c>
      <c r="BI97" s="245" t="str">
        <f t="shared" si="226"/>
        <v/>
      </c>
      <c r="BJ97" s="281">
        <f t="shared" ca="1" si="265"/>
        <v>16</v>
      </c>
      <c r="BK97" s="245" t="e">
        <f t="shared" ca="1" si="227"/>
        <v>#NUM!</v>
      </c>
      <c r="BL97" s="245" t="e">
        <f t="shared" ca="1" si="228"/>
        <v>#NUM!</v>
      </c>
      <c r="BN97" s="245" t="e">
        <f t="shared" ca="1" si="266"/>
        <v>#NUM!</v>
      </c>
      <c r="CL97" s="112"/>
      <c r="CM97" s="112"/>
      <c r="CP97" s="112"/>
      <c r="CQ97" s="112"/>
      <c r="CR97" s="238"/>
      <c r="CS97" s="238"/>
      <c r="CT97" s="112"/>
      <c r="CU97" s="112"/>
      <c r="CV97" s="112"/>
      <c r="CW97" s="112" t="s">
        <v>224</v>
      </c>
      <c r="CX97" s="112" t="s">
        <v>225</v>
      </c>
      <c r="CY97" s="112" t="s">
        <v>226</v>
      </c>
      <c r="CZ97" s="112" t="s">
        <v>227</v>
      </c>
      <c r="DA97" s="112" t="s">
        <v>228</v>
      </c>
      <c r="DB97" s="112" t="s">
        <v>229</v>
      </c>
      <c r="DC97" s="112"/>
      <c r="DD97" s="238" t="e">
        <f t="shared" ca="1" si="116"/>
        <v>#REF!</v>
      </c>
      <c r="DE97" s="238" t="e">
        <f t="shared" ref="DE97:DE136" ca="1" si="275">IF(AND($DJ$19&gt;DM97,$DJ$19&gt;=DN97),DN97-DM97+1,0)</f>
        <v>#REF!</v>
      </c>
      <c r="DF97" s="112"/>
      <c r="DG97" s="238"/>
      <c r="DH97" s="238"/>
      <c r="DI97" s="112"/>
      <c r="DJ97" s="238"/>
      <c r="DK97" s="112" t="e">
        <f t="shared" ca="1" si="229"/>
        <v>#REF!</v>
      </c>
      <c r="DL97" s="278" t="e">
        <f t="shared" ca="1" si="129"/>
        <v>#REF!</v>
      </c>
      <c r="DM97" s="245" t="e">
        <f t="shared" ref="DM97:DP97" ca="1" si="276">DM648</f>
        <v>#REF!</v>
      </c>
      <c r="DN97" s="245" t="e">
        <f t="shared" ca="1" si="276"/>
        <v>#REF!</v>
      </c>
      <c r="DO97" s="245" t="e">
        <f t="shared" ca="1" si="276"/>
        <v>#REF!</v>
      </c>
      <c r="DP97" s="245" t="e">
        <f t="shared" ca="1" si="276"/>
        <v>#REF!</v>
      </c>
      <c r="DQ97" s="281" t="e">
        <f t="shared" ca="1" si="131"/>
        <v>#REF!</v>
      </c>
      <c r="DR97" s="278" t="e">
        <f t="shared" ca="1" si="132"/>
        <v>#REF!</v>
      </c>
      <c r="DS97" s="244" t="e">
        <f t="shared" ca="1" si="231"/>
        <v>#REF!</v>
      </c>
      <c r="DT97" s="244" t="e">
        <f t="shared" ca="1" si="232"/>
        <v>#REF!</v>
      </c>
      <c r="DU97" s="244" t="e">
        <f t="shared" ca="1" si="133"/>
        <v>#REF!</v>
      </c>
      <c r="DV97" s="244" t="e">
        <f t="shared" ca="1" si="134"/>
        <v>#REF!</v>
      </c>
      <c r="DW97" s="244"/>
      <c r="DX97" s="244" t="e">
        <f t="shared" ca="1" si="273"/>
        <v>#REF!</v>
      </c>
      <c r="EA97" s="244" t="e">
        <f t="shared" ca="1" si="233"/>
        <v>#REF!</v>
      </c>
      <c r="EB97" s="278" t="e">
        <f ca="1">VLOOKUP(DM97,Foglio1!$AB$31:$AN$261,13)-6+EA97</f>
        <v>#REF!</v>
      </c>
      <c r="EC97" s="244"/>
      <c r="ED97" s="244" t="e">
        <f t="shared" ca="1" si="202"/>
        <v>#REF!</v>
      </c>
      <c r="EE97" s="244" t="e">
        <f t="shared" ca="1" si="203"/>
        <v>#REF!</v>
      </c>
      <c r="EF97" s="244" t="e">
        <f t="shared" ca="1" si="204"/>
        <v>#REF!</v>
      </c>
      <c r="EG97" s="244" t="e">
        <f t="shared" ca="1" si="205"/>
        <v>#REF!</v>
      </c>
      <c r="EH97" s="244" t="e">
        <f t="shared" ca="1" si="206"/>
        <v>#REF!</v>
      </c>
      <c r="EI97" s="244" t="e">
        <f t="shared" ca="1" si="207"/>
        <v>#REF!</v>
      </c>
      <c r="EJ97" s="244" t="e">
        <f t="shared" ca="1" si="208"/>
        <v>#REF!</v>
      </c>
      <c r="EK97" s="244" t="e">
        <f t="shared" ca="1" si="209"/>
        <v>#REF!</v>
      </c>
      <c r="EL97" s="244" t="e">
        <f t="shared" ca="1" si="210"/>
        <v>#REF!</v>
      </c>
      <c r="EM97" s="244" t="e">
        <f t="shared" ca="1" si="211"/>
        <v>#REF!</v>
      </c>
      <c r="EN97" s="244" t="e">
        <f t="shared" ca="1" si="212"/>
        <v>#REF!</v>
      </c>
      <c r="EO97" s="244" t="e">
        <f t="shared" ca="1" si="213"/>
        <v>#REF!</v>
      </c>
      <c r="EP97" s="244" t="e">
        <f t="shared" ca="1" si="214"/>
        <v>#REF!</v>
      </c>
      <c r="EQ97" s="244" t="e">
        <f t="shared" ca="1" si="215"/>
        <v>#REF!</v>
      </c>
      <c r="ER97" s="244"/>
      <c r="EW97" s="244">
        <v>0</v>
      </c>
      <c r="EX97" s="278" t="e">
        <f ca="1">VLOOKUP(DM97,Foglio1!$AB$31:$AN$261,13)-6+EW97</f>
        <v>#REF!</v>
      </c>
      <c r="EY97" s="244"/>
      <c r="EZ97" s="244">
        <v>0</v>
      </c>
      <c r="FA97" s="244" t="e">
        <f t="shared" ca="1" si="234"/>
        <v>#REF!</v>
      </c>
      <c r="FB97" s="244" t="e">
        <f t="shared" ca="1" si="235"/>
        <v>#REF!</v>
      </c>
      <c r="FC97" s="244" t="e">
        <f t="shared" ca="1" si="236"/>
        <v>#REF!</v>
      </c>
      <c r="FD97" s="244" t="e">
        <f t="shared" ca="1" si="237"/>
        <v>#REF!</v>
      </c>
      <c r="FE97" s="244" t="e">
        <f t="shared" ca="1" si="238"/>
        <v>#REF!</v>
      </c>
      <c r="FF97" s="244" t="e">
        <f t="shared" ca="1" si="239"/>
        <v>#REF!</v>
      </c>
      <c r="FG97" s="244" t="e">
        <f t="shared" ca="1" si="240"/>
        <v>#REF!</v>
      </c>
      <c r="FH97" s="244" t="e">
        <f t="shared" ca="1" si="241"/>
        <v>#REF!</v>
      </c>
      <c r="FI97" s="244" t="e">
        <f t="shared" ca="1" si="242"/>
        <v>#REF!</v>
      </c>
      <c r="FJ97" s="244" t="e">
        <f t="shared" ca="1" si="243"/>
        <v>#REF!</v>
      </c>
      <c r="FK97" s="244" t="e">
        <f t="shared" ca="1" si="244"/>
        <v>#REF!</v>
      </c>
      <c r="FL97" s="244" t="e">
        <f t="shared" ca="1" si="245"/>
        <v>#REF!</v>
      </c>
      <c r="FM97" s="244" t="e">
        <f t="shared" ca="1" si="216"/>
        <v>#REF!</v>
      </c>
      <c r="FN97" s="244"/>
    </row>
    <row r="98" spans="5:170" x14ac:dyDescent="0.25">
      <c r="E98" s="244"/>
      <c r="F98" s="240" t="str">
        <f>IF(fronttd!E100="","",fronttd!E100)</f>
        <v/>
      </c>
      <c r="G98" s="240" t="str">
        <f>IF(fronttd!F100="","",fronttd!F100)</f>
        <v/>
      </c>
      <c r="H98" s="380">
        <f>fronttd!G100</f>
        <v>0</v>
      </c>
      <c r="I98" s="380">
        <f>fronttd!H100</f>
        <v>0</v>
      </c>
      <c r="J98">
        <f t="shared" si="246"/>
        <v>24</v>
      </c>
      <c r="L98">
        <f t="shared" si="247"/>
        <v>98</v>
      </c>
      <c r="O98" s="238">
        <f t="shared" si="248"/>
        <v>98</v>
      </c>
      <c r="R98" s="112" t="str">
        <f t="shared" si="217"/>
        <v/>
      </c>
      <c r="S98" s="238" t="e">
        <f t="shared" ca="1" si="218"/>
        <v>#N/A</v>
      </c>
      <c r="T98" s="112" t="e">
        <f t="shared" ca="1" si="255"/>
        <v>#N/A</v>
      </c>
      <c r="U98" s="112" t="e">
        <f t="shared" ca="1" si="256"/>
        <v>#N/A</v>
      </c>
      <c r="V98" s="112" t="e">
        <f t="shared" ca="1" si="257"/>
        <v>#N/A</v>
      </c>
      <c r="W98" s="112" t="e">
        <f t="shared" ca="1" si="258"/>
        <v>#N/A</v>
      </c>
      <c r="X98" s="112" t="str">
        <f t="shared" si="219"/>
        <v/>
      </c>
      <c r="Y98" s="112"/>
      <c r="Z98" s="112"/>
      <c r="AA98" s="335" t="str">
        <f t="shared" si="220"/>
        <v/>
      </c>
      <c r="AB98" s="335" t="e">
        <f t="shared" ca="1" si="259"/>
        <v>#N/A</v>
      </c>
      <c r="AC98" s="335" t="e">
        <f t="shared" ca="1" si="260"/>
        <v>#N/A</v>
      </c>
      <c r="AD98" s="335" t="e">
        <f t="shared" ca="1" si="261"/>
        <v>#N/A</v>
      </c>
      <c r="AE98" s="335" t="e">
        <f t="shared" ca="1" si="262"/>
        <v>#N/A</v>
      </c>
      <c r="AF98" s="335" t="str">
        <f t="shared" si="221"/>
        <v/>
      </c>
      <c r="AG98" s="238">
        <f>AG97</f>
        <v>35</v>
      </c>
      <c r="AH98" s="112">
        <f ca="1">AI97+1</f>
        <v>37575</v>
      </c>
      <c r="AI98" s="112">
        <f ca="1">IF(INDIRECT(CONCATENATE("AE",AG95))&lt;100000,INDIRECT(CONCATENATE("AE",G95)),INDIRECT(CONCATENATE("AF",AG95)))</f>
        <v>37574</v>
      </c>
      <c r="AJ98" s="112">
        <f t="shared" ca="1" si="125"/>
        <v>37574</v>
      </c>
      <c r="AK98" s="112">
        <f t="shared" ca="1" si="169"/>
        <v>37574</v>
      </c>
      <c r="AL98" s="238">
        <f t="shared" ca="1" si="127"/>
        <v>0</v>
      </c>
      <c r="AM98" s="112">
        <f t="shared" ca="1" si="118"/>
        <v>100000</v>
      </c>
      <c r="AN98" s="112">
        <f t="shared" ca="1" si="253"/>
        <v>100000</v>
      </c>
      <c r="AO98" s="114">
        <f t="shared" ca="1" si="222"/>
        <v>18</v>
      </c>
      <c r="AP98" s="114">
        <f t="shared" ca="1" si="223"/>
        <v>24</v>
      </c>
      <c r="AQ98" s="112"/>
      <c r="AR98" s="238">
        <f t="shared" si="249"/>
        <v>98</v>
      </c>
      <c r="AS98" s="112"/>
      <c r="AT98" s="112"/>
      <c r="AU98" s="283">
        <f t="shared" si="185"/>
        <v>79</v>
      </c>
      <c r="AV98" s="284">
        <f t="shared" ca="1" si="224"/>
        <v>100000</v>
      </c>
      <c r="AW98" s="284">
        <f t="shared" ca="1" si="119"/>
        <v>100000</v>
      </c>
      <c r="AX98" s="285">
        <f t="shared" ca="1" si="120"/>
        <v>0</v>
      </c>
      <c r="AY98" s="285">
        <f t="shared" ca="1" si="186"/>
        <v>24</v>
      </c>
      <c r="AZ98" s="282"/>
      <c r="BD98" s="114">
        <f t="shared" si="250"/>
        <v>1</v>
      </c>
      <c r="BE98" s="112">
        <f t="shared" si="225"/>
        <v>100000</v>
      </c>
      <c r="BH98" s="238">
        <f t="shared" si="251"/>
        <v>79</v>
      </c>
      <c r="BI98" s="245" t="str">
        <f t="shared" si="226"/>
        <v/>
      </c>
      <c r="BJ98" s="281">
        <f t="shared" ca="1" si="265"/>
        <v>16</v>
      </c>
      <c r="BK98" s="245" t="e">
        <f t="shared" ca="1" si="227"/>
        <v>#NUM!</v>
      </c>
      <c r="BL98" s="245" t="e">
        <f t="shared" ca="1" si="228"/>
        <v>#NUM!</v>
      </c>
      <c r="BN98" s="245" t="e">
        <f t="shared" ca="1" si="266"/>
        <v>#NUM!</v>
      </c>
      <c r="CL98" s="112"/>
      <c r="CM98" s="112"/>
      <c r="CP98" s="112"/>
      <c r="CQ98" s="112"/>
      <c r="CR98" s="238"/>
      <c r="CS98" s="238"/>
      <c r="CT98" s="112"/>
      <c r="CU98" s="112"/>
      <c r="CV98" s="112"/>
      <c r="CW98" s="112" t="s">
        <v>224</v>
      </c>
      <c r="CX98" s="112" t="s">
        <v>225</v>
      </c>
      <c r="CY98" s="112" t="s">
        <v>226</v>
      </c>
      <c r="CZ98" s="112" t="s">
        <v>227</v>
      </c>
      <c r="DA98" s="112" t="s">
        <v>228</v>
      </c>
      <c r="DB98" s="112" t="s">
        <v>229</v>
      </c>
      <c r="DC98" s="112"/>
      <c r="DD98" s="238">
        <f t="shared" ca="1" si="116"/>
        <v>0</v>
      </c>
      <c r="DE98" s="238">
        <f t="shared" ca="1" si="275"/>
        <v>0</v>
      </c>
      <c r="DF98" s="112"/>
      <c r="DG98" s="238"/>
      <c r="DH98" s="238"/>
      <c r="DI98" s="112"/>
      <c r="DJ98" s="238"/>
      <c r="DK98" s="112" t="str">
        <f t="shared" ca="1" si="229"/>
        <v/>
      </c>
      <c r="DL98" s="278" t="str">
        <f t="shared" ca="1" si="129"/>
        <v/>
      </c>
      <c r="DM98" s="245" t="str">
        <f t="shared" ref="DM98:DP98" ca="1" si="277">DM649</f>
        <v/>
      </c>
      <c r="DN98" s="245" t="str">
        <f t="shared" ca="1" si="277"/>
        <v/>
      </c>
      <c r="DO98" s="245" t="str">
        <f t="shared" ca="1" si="277"/>
        <v/>
      </c>
      <c r="DP98" s="245" t="str">
        <f t="shared" ca="1" si="277"/>
        <v/>
      </c>
      <c r="DQ98" s="281" t="str">
        <f t="shared" ca="1" si="131"/>
        <v/>
      </c>
      <c r="DR98" s="278" t="str">
        <f t="shared" ca="1" si="132"/>
        <v/>
      </c>
      <c r="DS98" s="244" t="str">
        <f t="shared" ca="1" si="231"/>
        <v/>
      </c>
      <c r="DT98" s="244" t="str">
        <f t="shared" ca="1" si="232"/>
        <v/>
      </c>
      <c r="DU98" s="244" t="str">
        <f t="shared" ca="1" si="133"/>
        <v/>
      </c>
      <c r="DV98" s="244" t="str">
        <f t="shared" ca="1" si="134"/>
        <v/>
      </c>
      <c r="DW98" s="244"/>
      <c r="DX98" s="244" t="str">
        <f t="shared" ca="1" si="273"/>
        <v/>
      </c>
      <c r="EA98" s="244" t="b">
        <f t="shared" ca="1" si="233"/>
        <v>0</v>
      </c>
      <c r="EB98" s="278" t="e">
        <f ca="1">VLOOKUP(DM98,Foglio1!$AB$31:$AN$261,13)-6+EA98</f>
        <v>#N/A</v>
      </c>
      <c r="EC98" s="244"/>
      <c r="ED98" s="244" t="e">
        <f t="shared" ca="1" si="202"/>
        <v>#N/A</v>
      </c>
      <c r="EE98" s="244" t="e">
        <f t="shared" ca="1" si="203"/>
        <v>#N/A</v>
      </c>
      <c r="EF98" s="244" t="e">
        <f t="shared" ca="1" si="204"/>
        <v>#N/A</v>
      </c>
      <c r="EG98" s="244" t="e">
        <f t="shared" ca="1" si="205"/>
        <v>#N/A</v>
      </c>
      <c r="EH98" s="244" t="e">
        <f t="shared" ca="1" si="206"/>
        <v>#N/A</v>
      </c>
      <c r="EI98" s="244" t="e">
        <f t="shared" ca="1" si="207"/>
        <v>#N/A</v>
      </c>
      <c r="EJ98" s="244" t="e">
        <f t="shared" ca="1" si="208"/>
        <v>#N/A</v>
      </c>
      <c r="EK98" s="244" t="e">
        <f t="shared" ca="1" si="209"/>
        <v>#N/A</v>
      </c>
      <c r="EL98" s="244" t="e">
        <f t="shared" ca="1" si="210"/>
        <v>#N/A</v>
      </c>
      <c r="EM98" s="244" t="e">
        <f t="shared" ca="1" si="211"/>
        <v>#N/A</v>
      </c>
      <c r="EN98" s="244" t="e">
        <f t="shared" ca="1" si="212"/>
        <v>#N/A</v>
      </c>
      <c r="EO98" s="244" t="e">
        <f t="shared" ca="1" si="213"/>
        <v>#N/A</v>
      </c>
      <c r="EP98" s="244" t="e">
        <f t="shared" ca="1" si="214"/>
        <v>#N/A</v>
      </c>
      <c r="EQ98" s="244" t="e">
        <f t="shared" ca="1" si="215"/>
        <v>#N/A</v>
      </c>
      <c r="ER98" s="244"/>
      <c r="EW98" s="244">
        <v>0</v>
      </c>
      <c r="EX98" s="278" t="e">
        <f ca="1">VLOOKUP(DM98,Foglio1!$AB$31:$AN$261,13)-6+EW98</f>
        <v>#N/A</v>
      </c>
      <c r="EY98" s="244"/>
      <c r="EZ98" s="244">
        <v>0</v>
      </c>
      <c r="FA98" s="244" t="e">
        <f t="shared" ca="1" si="234"/>
        <v>#N/A</v>
      </c>
      <c r="FB98" s="244" t="e">
        <f t="shared" ca="1" si="235"/>
        <v>#N/A</v>
      </c>
      <c r="FC98" s="244" t="e">
        <f t="shared" ca="1" si="236"/>
        <v>#N/A</v>
      </c>
      <c r="FD98" s="244" t="e">
        <f t="shared" ca="1" si="237"/>
        <v>#N/A</v>
      </c>
      <c r="FE98" s="244" t="e">
        <f t="shared" ca="1" si="238"/>
        <v>#N/A</v>
      </c>
      <c r="FF98" s="244" t="e">
        <f t="shared" ca="1" si="239"/>
        <v>#N/A</v>
      </c>
      <c r="FG98" s="244" t="e">
        <f t="shared" ca="1" si="240"/>
        <v>#N/A</v>
      </c>
      <c r="FH98" s="244" t="e">
        <f t="shared" ca="1" si="241"/>
        <v>#N/A</v>
      </c>
      <c r="FI98" s="244" t="e">
        <f t="shared" ca="1" si="242"/>
        <v>#N/A</v>
      </c>
      <c r="FJ98" s="244" t="e">
        <f t="shared" ca="1" si="243"/>
        <v>#N/A</v>
      </c>
      <c r="FK98" s="244" t="e">
        <f t="shared" ca="1" si="244"/>
        <v>#N/A</v>
      </c>
      <c r="FL98" s="244" t="e">
        <f t="shared" ca="1" si="245"/>
        <v>#N/A</v>
      </c>
      <c r="FM98" s="244" t="e">
        <f t="shared" ca="1" si="216"/>
        <v>#N/A</v>
      </c>
      <c r="FN98" s="244"/>
    </row>
    <row r="99" spans="5:170" x14ac:dyDescent="0.25">
      <c r="E99" s="244"/>
      <c r="F99" s="240" t="str">
        <f>IF(fronttd!E101="","",fronttd!E101)</f>
        <v/>
      </c>
      <c r="G99" s="240" t="str">
        <f>IF(fronttd!F101="","",fronttd!F101)</f>
        <v/>
      </c>
      <c r="H99" s="380">
        <f>fronttd!G101</f>
        <v>0</v>
      </c>
      <c r="I99" s="380">
        <f>fronttd!H101</f>
        <v>0</v>
      </c>
      <c r="J99">
        <f t="shared" si="246"/>
        <v>24</v>
      </c>
      <c r="L99">
        <f t="shared" si="247"/>
        <v>99</v>
      </c>
      <c r="O99" s="238">
        <f t="shared" si="248"/>
        <v>99</v>
      </c>
      <c r="R99" s="112" t="str">
        <f t="shared" si="217"/>
        <v/>
      </c>
      <c r="S99" s="238" t="e">
        <f t="shared" ca="1" si="218"/>
        <v>#N/A</v>
      </c>
      <c r="T99" s="112" t="e">
        <f t="shared" ca="1" si="255"/>
        <v>#N/A</v>
      </c>
      <c r="U99" s="112" t="e">
        <f t="shared" ca="1" si="256"/>
        <v>#N/A</v>
      </c>
      <c r="V99" s="112" t="e">
        <f t="shared" ca="1" si="257"/>
        <v>#N/A</v>
      </c>
      <c r="W99" s="112" t="e">
        <f t="shared" ca="1" si="258"/>
        <v>#N/A</v>
      </c>
      <c r="X99" s="112" t="str">
        <f t="shared" si="219"/>
        <v/>
      </c>
      <c r="Y99" s="112"/>
      <c r="Z99" s="112"/>
      <c r="AA99" s="335" t="str">
        <f t="shared" si="220"/>
        <v/>
      </c>
      <c r="AB99" s="335" t="e">
        <f t="shared" ca="1" si="259"/>
        <v>#N/A</v>
      </c>
      <c r="AC99" s="335" t="e">
        <f t="shared" ca="1" si="260"/>
        <v>#N/A</v>
      </c>
      <c r="AD99" s="335" t="e">
        <f t="shared" ca="1" si="261"/>
        <v>#N/A</v>
      </c>
      <c r="AE99" s="335" t="e">
        <f t="shared" ca="1" si="262"/>
        <v>#N/A</v>
      </c>
      <c r="AF99" s="335" t="str">
        <f t="shared" si="221"/>
        <v/>
      </c>
      <c r="AG99" s="238">
        <f>AG98</f>
        <v>35</v>
      </c>
      <c r="AH99" s="112">
        <f ca="1">AI98+1</f>
        <v>37575</v>
      </c>
      <c r="AI99" s="112">
        <f ca="1">INDIRECT(CONCATENATE("AF",AG95))</f>
        <v>37574</v>
      </c>
      <c r="AJ99" s="112">
        <f t="shared" ca="1" si="125"/>
        <v>37574</v>
      </c>
      <c r="AK99" s="112">
        <f t="shared" ca="1" si="169"/>
        <v>37574</v>
      </c>
      <c r="AL99" s="238">
        <f t="shared" ca="1" si="127"/>
        <v>0</v>
      </c>
      <c r="AM99" s="112">
        <f t="shared" ca="1" si="118"/>
        <v>100000</v>
      </c>
      <c r="AN99" s="112">
        <f t="shared" ca="1" si="253"/>
        <v>100000</v>
      </c>
      <c r="AO99" s="114">
        <f t="shared" ca="1" si="222"/>
        <v>18</v>
      </c>
      <c r="AP99" s="114">
        <f t="shared" ca="1" si="223"/>
        <v>24</v>
      </c>
      <c r="AQ99" s="112"/>
      <c r="AR99" s="238">
        <f t="shared" si="249"/>
        <v>99</v>
      </c>
      <c r="AS99" s="112"/>
      <c r="AT99" s="112"/>
      <c r="AU99" s="283">
        <f t="shared" si="185"/>
        <v>80</v>
      </c>
      <c r="AV99" s="284">
        <f t="shared" ca="1" si="224"/>
        <v>100000</v>
      </c>
      <c r="AW99" s="284">
        <f t="shared" ca="1" si="119"/>
        <v>100000</v>
      </c>
      <c r="AX99" s="285">
        <f t="shared" ca="1" si="120"/>
        <v>0</v>
      </c>
      <c r="AY99" s="285">
        <f t="shared" ca="1" si="186"/>
        <v>24</v>
      </c>
      <c r="AZ99" s="282"/>
      <c r="BD99" s="114">
        <f t="shared" si="250"/>
        <v>1</v>
      </c>
      <c r="BE99" s="112">
        <f t="shared" si="225"/>
        <v>100000</v>
      </c>
      <c r="BH99" s="238">
        <f t="shared" si="251"/>
        <v>80</v>
      </c>
      <c r="BI99" s="245" t="str">
        <f t="shared" si="226"/>
        <v/>
      </c>
      <c r="BJ99" s="281">
        <f t="shared" ca="1" si="265"/>
        <v>16</v>
      </c>
      <c r="BK99" s="245" t="e">
        <f t="shared" ca="1" si="227"/>
        <v>#NUM!</v>
      </c>
      <c r="BL99" s="245" t="e">
        <f t="shared" ca="1" si="228"/>
        <v>#NUM!</v>
      </c>
      <c r="BN99" s="245" t="e">
        <f t="shared" ca="1" si="266"/>
        <v>#NUM!</v>
      </c>
      <c r="CL99" s="112"/>
      <c r="CM99" s="112"/>
      <c r="CP99" s="112"/>
      <c r="CQ99" s="112"/>
      <c r="CR99" s="238"/>
      <c r="CS99" s="238"/>
      <c r="CT99" s="112"/>
      <c r="CU99" s="112"/>
      <c r="CV99" s="112"/>
      <c r="CW99" s="112" t="s">
        <v>224</v>
      </c>
      <c r="CX99" s="112" t="s">
        <v>225</v>
      </c>
      <c r="CY99" s="112" t="s">
        <v>226</v>
      </c>
      <c r="CZ99" s="112" t="s">
        <v>227</v>
      </c>
      <c r="DA99" s="112" t="s">
        <v>228</v>
      </c>
      <c r="DB99" s="112" t="s">
        <v>229</v>
      </c>
      <c r="DC99" s="112"/>
      <c r="DD99" s="238">
        <f t="shared" ca="1" si="116"/>
        <v>0</v>
      </c>
      <c r="DE99" s="238">
        <f t="shared" ca="1" si="275"/>
        <v>0</v>
      </c>
      <c r="DF99" s="112"/>
      <c r="DG99" s="238"/>
      <c r="DH99" s="238"/>
      <c r="DI99" s="112"/>
      <c r="DJ99" s="238"/>
      <c r="DK99" s="112" t="str">
        <f t="shared" ca="1" si="229"/>
        <v/>
      </c>
      <c r="DL99" s="278" t="str">
        <f t="shared" ca="1" si="129"/>
        <v/>
      </c>
      <c r="DM99" s="245" t="str">
        <f t="shared" ref="DM99:DP99" ca="1" si="278">DM650</f>
        <v/>
      </c>
      <c r="DN99" s="245" t="str">
        <f t="shared" ca="1" si="278"/>
        <v/>
      </c>
      <c r="DO99" s="245" t="str">
        <f t="shared" ca="1" si="278"/>
        <v/>
      </c>
      <c r="DP99" s="245" t="str">
        <f t="shared" ca="1" si="278"/>
        <v/>
      </c>
      <c r="DQ99" s="281" t="str">
        <f t="shared" ca="1" si="131"/>
        <v/>
      </c>
      <c r="DR99" s="278" t="str">
        <f t="shared" ca="1" si="132"/>
        <v/>
      </c>
      <c r="DS99" s="244" t="str">
        <f t="shared" ca="1" si="231"/>
        <v/>
      </c>
      <c r="DT99" s="244" t="str">
        <f t="shared" ca="1" si="232"/>
        <v/>
      </c>
      <c r="DU99" s="244" t="str">
        <f t="shared" ca="1" si="133"/>
        <v/>
      </c>
      <c r="DV99" s="244" t="str">
        <f t="shared" ca="1" si="134"/>
        <v/>
      </c>
      <c r="DW99" s="244"/>
      <c r="DX99" s="244" t="str">
        <f t="shared" ca="1" si="273"/>
        <v/>
      </c>
      <c r="EA99" s="244" t="b">
        <f t="shared" ca="1" si="233"/>
        <v>0</v>
      </c>
      <c r="EB99" s="278" t="e">
        <f ca="1">VLOOKUP(DM99,Foglio1!$AB$31:$AN$261,13)-6+EA99</f>
        <v>#N/A</v>
      </c>
      <c r="EC99" s="244"/>
      <c r="ED99" s="244" t="e">
        <f t="shared" ca="1" si="202"/>
        <v>#N/A</v>
      </c>
      <c r="EE99" s="244" t="e">
        <f t="shared" ca="1" si="203"/>
        <v>#N/A</v>
      </c>
      <c r="EF99" s="244" t="e">
        <f t="shared" ca="1" si="204"/>
        <v>#N/A</v>
      </c>
      <c r="EG99" s="244" t="e">
        <f t="shared" ca="1" si="205"/>
        <v>#N/A</v>
      </c>
      <c r="EH99" s="244" t="e">
        <f t="shared" ca="1" si="206"/>
        <v>#N/A</v>
      </c>
      <c r="EI99" s="244" t="e">
        <f t="shared" ca="1" si="207"/>
        <v>#N/A</v>
      </c>
      <c r="EJ99" s="244" t="e">
        <f t="shared" ca="1" si="208"/>
        <v>#N/A</v>
      </c>
      <c r="EK99" s="244" t="e">
        <f t="shared" ca="1" si="209"/>
        <v>#N/A</v>
      </c>
      <c r="EL99" s="244" t="e">
        <f t="shared" ca="1" si="210"/>
        <v>#N/A</v>
      </c>
      <c r="EM99" s="244" t="e">
        <f t="shared" ca="1" si="211"/>
        <v>#N/A</v>
      </c>
      <c r="EN99" s="244" t="e">
        <f t="shared" ca="1" si="212"/>
        <v>#N/A</v>
      </c>
      <c r="EO99" s="244" t="e">
        <f t="shared" ca="1" si="213"/>
        <v>#N/A</v>
      </c>
      <c r="EP99" s="244" t="e">
        <f t="shared" ca="1" si="214"/>
        <v>#N/A</v>
      </c>
      <c r="EQ99" s="244" t="e">
        <f t="shared" ca="1" si="215"/>
        <v>#N/A</v>
      </c>
      <c r="ER99" s="244"/>
      <c r="EW99" s="244">
        <v>0</v>
      </c>
      <c r="EX99" s="278" t="e">
        <f ca="1">VLOOKUP(DM99,Foglio1!$AB$31:$AN$261,13)-6+EW99</f>
        <v>#N/A</v>
      </c>
      <c r="EY99" s="244"/>
      <c r="EZ99" s="244">
        <v>0</v>
      </c>
      <c r="FA99" s="244" t="e">
        <f t="shared" ca="1" si="234"/>
        <v>#N/A</v>
      </c>
      <c r="FB99" s="244" t="e">
        <f t="shared" ca="1" si="235"/>
        <v>#N/A</v>
      </c>
      <c r="FC99" s="244" t="e">
        <f t="shared" ca="1" si="236"/>
        <v>#N/A</v>
      </c>
      <c r="FD99" s="244" t="e">
        <f t="shared" ca="1" si="237"/>
        <v>#N/A</v>
      </c>
      <c r="FE99" s="244" t="e">
        <f t="shared" ca="1" si="238"/>
        <v>#N/A</v>
      </c>
      <c r="FF99" s="244" t="e">
        <f t="shared" ca="1" si="239"/>
        <v>#N/A</v>
      </c>
      <c r="FG99" s="244" t="e">
        <f t="shared" ca="1" si="240"/>
        <v>#N/A</v>
      </c>
      <c r="FH99" s="244" t="e">
        <f t="shared" ca="1" si="241"/>
        <v>#N/A</v>
      </c>
      <c r="FI99" s="244" t="e">
        <f t="shared" ca="1" si="242"/>
        <v>#N/A</v>
      </c>
      <c r="FJ99" s="244" t="e">
        <f t="shared" ca="1" si="243"/>
        <v>#N/A</v>
      </c>
      <c r="FK99" s="244" t="e">
        <f t="shared" ca="1" si="244"/>
        <v>#N/A</v>
      </c>
      <c r="FL99" s="244" t="e">
        <f t="shared" ca="1" si="245"/>
        <v>#N/A</v>
      </c>
      <c r="FM99" s="244" t="e">
        <f t="shared" ca="1" si="216"/>
        <v>#N/A</v>
      </c>
      <c r="FN99" s="244"/>
    </row>
    <row r="100" spans="5:170" x14ac:dyDescent="0.25">
      <c r="E100" s="244"/>
      <c r="F100" s="240" t="str">
        <f>IF(fronttd!E102="","",fronttd!E102)</f>
        <v/>
      </c>
      <c r="G100" s="240" t="str">
        <f>IF(fronttd!F102="","",fronttd!F102)</f>
        <v/>
      </c>
      <c r="H100" s="380">
        <f>fronttd!G102</f>
        <v>0</v>
      </c>
      <c r="I100" s="380">
        <f>fronttd!H102</f>
        <v>0</v>
      </c>
      <c r="J100">
        <f t="shared" si="246"/>
        <v>24</v>
      </c>
      <c r="L100">
        <f t="shared" si="247"/>
        <v>100</v>
      </c>
      <c r="O100" s="238">
        <f t="shared" si="248"/>
        <v>100</v>
      </c>
      <c r="R100" s="112" t="str">
        <f t="shared" si="217"/>
        <v/>
      </c>
      <c r="S100" s="238" t="e">
        <f t="shared" ca="1" si="218"/>
        <v>#N/A</v>
      </c>
      <c r="T100" s="112" t="e">
        <f t="shared" ca="1" si="255"/>
        <v>#N/A</v>
      </c>
      <c r="U100" s="112" t="e">
        <f t="shared" ca="1" si="256"/>
        <v>#N/A</v>
      </c>
      <c r="V100" s="112" t="e">
        <f t="shared" ca="1" si="257"/>
        <v>#N/A</v>
      </c>
      <c r="W100" s="112" t="e">
        <f t="shared" ca="1" si="258"/>
        <v>#N/A</v>
      </c>
      <c r="X100" s="112" t="str">
        <f t="shared" si="219"/>
        <v/>
      </c>
      <c r="Y100" s="112"/>
      <c r="Z100" s="112"/>
      <c r="AA100" s="335" t="str">
        <f t="shared" si="220"/>
        <v/>
      </c>
      <c r="AB100" s="335" t="e">
        <f t="shared" ca="1" si="259"/>
        <v>#N/A</v>
      </c>
      <c r="AC100" s="335" t="e">
        <f t="shared" ca="1" si="260"/>
        <v>#N/A</v>
      </c>
      <c r="AD100" s="335" t="e">
        <f t="shared" ca="1" si="261"/>
        <v>#N/A</v>
      </c>
      <c r="AE100" s="335" t="e">
        <f t="shared" ca="1" si="262"/>
        <v>#N/A</v>
      </c>
      <c r="AF100" s="335" t="str">
        <f t="shared" si="221"/>
        <v/>
      </c>
      <c r="AG100" s="238">
        <f>AG99+1</f>
        <v>36</v>
      </c>
      <c r="AH100" s="112">
        <f ca="1">INDIRECT(CONCATENATE("AA",AG100))</f>
        <v>37629</v>
      </c>
      <c r="AI100" s="112">
        <f ca="1">IF(            INDIRECT(CONCATENATE( "AB",AG100))&lt;100000,       INDIRECT(CONCATENATE("AB",AG100))  -1,IF(   INDIRECT(CONCATENATE("AC",AG100))&lt;100000,   INDIRECT(CONCATENATE("AC",AG100))-1,IF(   INDIRECT(CONCATENATE("AD", AG100))&lt;100000, INDIRECT(CONCATENATE("AD",AG100))-1,IF(   INDIRECT(CONCATENATE("AE",AG100))&lt;100000,  INDIRECT(CONCATENATE("AE",G100)),INDIRECT(CONCATENATE("AF",AG100))                ))))</f>
        <v>37663</v>
      </c>
      <c r="AJ100" s="112">
        <f t="shared" ca="1" si="125"/>
        <v>37663</v>
      </c>
      <c r="AK100" s="112">
        <f t="shared" ca="1" si="169"/>
        <v>37663</v>
      </c>
      <c r="AL100" s="238">
        <f t="shared" ca="1" si="127"/>
        <v>1</v>
      </c>
      <c r="AM100" s="112">
        <f t="shared" ca="1" si="118"/>
        <v>37629</v>
      </c>
      <c r="AN100" s="112">
        <f t="shared" ca="1" si="253"/>
        <v>37663</v>
      </c>
      <c r="AO100" s="114">
        <f t="shared" ca="1" si="222"/>
        <v>18</v>
      </c>
      <c r="AP100" s="114">
        <f t="shared" ca="1" si="223"/>
        <v>24</v>
      </c>
      <c r="AQ100" s="112"/>
      <c r="AR100" s="238">
        <f t="shared" si="249"/>
        <v>100</v>
      </c>
      <c r="AS100" s="112"/>
      <c r="AT100" s="112"/>
      <c r="AU100" s="283">
        <f t="shared" si="185"/>
        <v>81</v>
      </c>
      <c r="AV100" s="284">
        <f t="shared" ca="1" si="224"/>
        <v>100000</v>
      </c>
      <c r="AW100" s="284">
        <f t="shared" ca="1" si="119"/>
        <v>100000</v>
      </c>
      <c r="AX100" s="285">
        <f t="shared" ca="1" si="120"/>
        <v>0</v>
      </c>
      <c r="AY100" s="285">
        <f t="shared" ca="1" si="186"/>
        <v>24</v>
      </c>
      <c r="AZ100" s="282"/>
      <c r="BD100" s="114">
        <f t="shared" si="250"/>
        <v>1</v>
      </c>
      <c r="BE100" s="112">
        <f t="shared" si="225"/>
        <v>100000</v>
      </c>
      <c r="BH100" s="238">
        <f t="shared" si="251"/>
        <v>81</v>
      </c>
      <c r="BI100" s="245" t="str">
        <f t="shared" si="226"/>
        <v/>
      </c>
      <c r="BJ100" s="281">
        <f t="shared" ca="1" si="265"/>
        <v>16</v>
      </c>
      <c r="BK100" s="245" t="e">
        <f t="shared" ca="1" si="227"/>
        <v>#NUM!</v>
      </c>
      <c r="BL100" s="245" t="e">
        <f t="shared" ca="1" si="228"/>
        <v>#NUM!</v>
      </c>
      <c r="BN100" s="245" t="e">
        <f t="shared" ca="1" si="266"/>
        <v>#NUM!</v>
      </c>
      <c r="CL100" s="112"/>
      <c r="CM100" s="112"/>
      <c r="CP100" s="112"/>
      <c r="CQ100" s="112"/>
      <c r="CR100" s="238"/>
      <c r="CS100" s="238"/>
      <c r="CT100" s="112"/>
      <c r="CU100" s="112"/>
      <c r="CV100" s="112"/>
      <c r="CW100" s="112" t="s">
        <v>224</v>
      </c>
      <c r="CX100" s="112" t="s">
        <v>225</v>
      </c>
      <c r="CY100" s="112" t="s">
        <v>226</v>
      </c>
      <c r="CZ100" s="112" t="s">
        <v>227</v>
      </c>
      <c r="DA100" s="112" t="s">
        <v>228</v>
      </c>
      <c r="DB100" s="112" t="s">
        <v>229</v>
      </c>
      <c r="DC100" s="112"/>
      <c r="DD100" s="238">
        <f t="shared" ca="1" si="116"/>
        <v>0</v>
      </c>
      <c r="DE100" s="238">
        <f t="shared" ca="1" si="275"/>
        <v>0</v>
      </c>
      <c r="DF100" s="112"/>
      <c r="DG100" s="238"/>
      <c r="DH100" s="238"/>
      <c r="DI100" s="112"/>
      <c r="DJ100" s="238"/>
      <c r="DK100" s="112" t="str">
        <f t="shared" ca="1" si="229"/>
        <v/>
      </c>
      <c r="DL100" s="278" t="str">
        <f t="shared" ca="1" si="129"/>
        <v/>
      </c>
      <c r="DM100" s="245" t="str">
        <f t="shared" ref="DM100:DP100" ca="1" si="279">DM651</f>
        <v/>
      </c>
      <c r="DN100" s="245" t="str">
        <f t="shared" ca="1" si="279"/>
        <v/>
      </c>
      <c r="DO100" s="245" t="str">
        <f t="shared" ca="1" si="279"/>
        <v/>
      </c>
      <c r="DP100" s="245" t="str">
        <f t="shared" ca="1" si="279"/>
        <v/>
      </c>
      <c r="DQ100" s="281" t="str">
        <f t="shared" ca="1" si="131"/>
        <v/>
      </c>
      <c r="DR100" s="278" t="str">
        <f t="shared" ca="1" si="132"/>
        <v/>
      </c>
      <c r="DS100" s="244" t="str">
        <f t="shared" ca="1" si="231"/>
        <v/>
      </c>
      <c r="DT100" s="244" t="str">
        <f t="shared" ca="1" si="232"/>
        <v/>
      </c>
      <c r="DU100" s="244" t="str">
        <f t="shared" ca="1" si="133"/>
        <v/>
      </c>
      <c r="DV100" s="244" t="str">
        <f t="shared" ca="1" si="134"/>
        <v/>
      </c>
      <c r="DW100" s="244"/>
      <c r="DX100" s="244" t="str">
        <f t="shared" ca="1" si="273"/>
        <v/>
      </c>
      <c r="EA100" s="244" t="b">
        <f t="shared" ca="1" si="233"/>
        <v>0</v>
      </c>
      <c r="EB100" s="278" t="e">
        <f ca="1">VLOOKUP(DM100,Foglio1!$AB$31:$AN$261,13)-6+EA100</f>
        <v>#N/A</v>
      </c>
      <c r="EC100" s="244"/>
      <c r="ED100" s="244" t="e">
        <f t="shared" ca="1" si="202"/>
        <v>#N/A</v>
      </c>
      <c r="EE100" s="244" t="e">
        <f t="shared" ca="1" si="203"/>
        <v>#N/A</v>
      </c>
      <c r="EF100" s="244" t="e">
        <f t="shared" ca="1" si="204"/>
        <v>#N/A</v>
      </c>
      <c r="EG100" s="244" t="e">
        <f t="shared" ca="1" si="205"/>
        <v>#N/A</v>
      </c>
      <c r="EH100" s="244" t="e">
        <f t="shared" ca="1" si="206"/>
        <v>#N/A</v>
      </c>
      <c r="EI100" s="244" t="e">
        <f t="shared" ca="1" si="207"/>
        <v>#N/A</v>
      </c>
      <c r="EJ100" s="244" t="e">
        <f t="shared" ca="1" si="208"/>
        <v>#N/A</v>
      </c>
      <c r="EK100" s="244" t="e">
        <f t="shared" ca="1" si="209"/>
        <v>#N/A</v>
      </c>
      <c r="EL100" s="244" t="e">
        <f t="shared" ca="1" si="210"/>
        <v>#N/A</v>
      </c>
      <c r="EM100" s="244" t="e">
        <f t="shared" ca="1" si="211"/>
        <v>#N/A</v>
      </c>
      <c r="EN100" s="244" t="e">
        <f t="shared" ca="1" si="212"/>
        <v>#N/A</v>
      </c>
      <c r="EO100" s="244" t="e">
        <f t="shared" ca="1" si="213"/>
        <v>#N/A</v>
      </c>
      <c r="EP100" s="244" t="e">
        <f t="shared" ca="1" si="214"/>
        <v>#N/A</v>
      </c>
      <c r="EQ100" s="244" t="e">
        <f t="shared" ca="1" si="215"/>
        <v>#N/A</v>
      </c>
      <c r="ER100" s="244"/>
      <c r="EW100" s="244">
        <v>0</v>
      </c>
      <c r="EX100" s="278" t="e">
        <f ca="1">VLOOKUP(DM100,Foglio1!$AB$31:$AN$261,13)-6+EW100</f>
        <v>#N/A</v>
      </c>
      <c r="EY100" s="244"/>
      <c r="EZ100" s="244">
        <v>0</v>
      </c>
      <c r="FA100" s="244" t="e">
        <f t="shared" ca="1" si="234"/>
        <v>#N/A</v>
      </c>
      <c r="FB100" s="244" t="e">
        <f t="shared" ca="1" si="235"/>
        <v>#N/A</v>
      </c>
      <c r="FC100" s="244" t="e">
        <f t="shared" ca="1" si="236"/>
        <v>#N/A</v>
      </c>
      <c r="FD100" s="244" t="e">
        <f t="shared" ca="1" si="237"/>
        <v>#N/A</v>
      </c>
      <c r="FE100" s="244" t="e">
        <f t="shared" ca="1" si="238"/>
        <v>#N/A</v>
      </c>
      <c r="FF100" s="244" t="e">
        <f t="shared" ca="1" si="239"/>
        <v>#N/A</v>
      </c>
      <c r="FG100" s="244" t="e">
        <f t="shared" ca="1" si="240"/>
        <v>#N/A</v>
      </c>
      <c r="FH100" s="244" t="e">
        <f t="shared" ca="1" si="241"/>
        <v>#N/A</v>
      </c>
      <c r="FI100" s="244" t="e">
        <f t="shared" ca="1" si="242"/>
        <v>#N/A</v>
      </c>
      <c r="FJ100" s="244" t="e">
        <f t="shared" ca="1" si="243"/>
        <v>#N/A</v>
      </c>
      <c r="FK100" s="244" t="e">
        <f t="shared" ca="1" si="244"/>
        <v>#N/A</v>
      </c>
      <c r="FL100" s="244" t="e">
        <f t="shared" ca="1" si="245"/>
        <v>#N/A</v>
      </c>
      <c r="FM100" s="244" t="e">
        <f t="shared" ca="1" si="216"/>
        <v>#N/A</v>
      </c>
      <c r="FN100" s="244"/>
    </row>
    <row r="101" spans="5:170" x14ac:dyDescent="0.25">
      <c r="E101" s="244"/>
      <c r="F101" s="240" t="str">
        <f>IF(fronttd!E103="","",fronttd!E103)</f>
        <v/>
      </c>
      <c r="G101" s="240" t="str">
        <f>IF(fronttd!F103="","",fronttd!F103)</f>
        <v/>
      </c>
      <c r="H101" s="380">
        <f>fronttd!G103</f>
        <v>0</v>
      </c>
      <c r="I101" s="380">
        <f>fronttd!H103</f>
        <v>0</v>
      </c>
      <c r="J101">
        <f t="shared" si="246"/>
        <v>24</v>
      </c>
      <c r="L101">
        <f t="shared" si="247"/>
        <v>101</v>
      </c>
      <c r="O101" s="238">
        <f t="shared" si="248"/>
        <v>101</v>
      </c>
      <c r="R101" s="112" t="str">
        <f t="shared" si="217"/>
        <v/>
      </c>
      <c r="S101" s="238" t="e">
        <f t="shared" ca="1" si="218"/>
        <v>#N/A</v>
      </c>
      <c r="T101" s="112" t="e">
        <f t="shared" ca="1" si="255"/>
        <v>#N/A</v>
      </c>
      <c r="U101" s="112" t="e">
        <f t="shared" ca="1" si="256"/>
        <v>#N/A</v>
      </c>
      <c r="V101" s="112" t="e">
        <f t="shared" ca="1" si="257"/>
        <v>#N/A</v>
      </c>
      <c r="W101" s="112" t="e">
        <f t="shared" ca="1" si="258"/>
        <v>#N/A</v>
      </c>
      <c r="X101" s="112" t="str">
        <f t="shared" si="219"/>
        <v/>
      </c>
      <c r="Y101" s="112"/>
      <c r="Z101" s="112"/>
      <c r="AA101" s="335" t="str">
        <f t="shared" si="220"/>
        <v/>
      </c>
      <c r="AB101" s="335" t="e">
        <f t="shared" ca="1" si="259"/>
        <v>#N/A</v>
      </c>
      <c r="AC101" s="335" t="e">
        <f t="shared" ca="1" si="260"/>
        <v>#N/A</v>
      </c>
      <c r="AD101" s="335" t="e">
        <f t="shared" ca="1" si="261"/>
        <v>#N/A</v>
      </c>
      <c r="AE101" s="335" t="e">
        <f t="shared" ca="1" si="262"/>
        <v>#N/A</v>
      </c>
      <c r="AF101" s="335" t="str">
        <f t="shared" si="221"/>
        <v/>
      </c>
      <c r="AG101" s="238">
        <f>AG100</f>
        <v>36</v>
      </c>
      <c r="AH101" s="112">
        <f ca="1">AI100+1</f>
        <v>37664</v>
      </c>
      <c r="AI101" s="112">
        <f ca="1">IF(INDIRECT(CONCATENATE("AC",AG100))&lt;100000,INDIRECT(CONCATENATE("AC",AG100))-1,IF(INDIRECT(CONCATENATE("AD",AG100))&lt;100000,INDIRECT(CONCATENATE("AD",AG100))-1,IF(INDIRECT(CONCATENATE("AE",AG100))&lt;100000,INDIRECT(CONCATENATE("AE",G100)),INDIRECT(CONCATENATE("AF",AG100)))))</f>
        <v>37663</v>
      </c>
      <c r="AJ101" s="112">
        <f t="shared" ca="1" si="125"/>
        <v>37663</v>
      </c>
      <c r="AK101" s="112">
        <f t="shared" ca="1" si="169"/>
        <v>37663</v>
      </c>
      <c r="AL101" s="238">
        <f t="shared" ca="1" si="127"/>
        <v>0</v>
      </c>
      <c r="AM101" s="112">
        <f t="shared" ca="1" si="118"/>
        <v>100000</v>
      </c>
      <c r="AN101" s="112">
        <f t="shared" ca="1" si="253"/>
        <v>100000</v>
      </c>
      <c r="AO101" s="114">
        <f t="shared" ca="1" si="222"/>
        <v>18</v>
      </c>
      <c r="AP101" s="114">
        <f t="shared" ca="1" si="223"/>
        <v>24</v>
      </c>
      <c r="AQ101" s="112"/>
      <c r="AR101" s="238">
        <f t="shared" si="249"/>
        <v>101</v>
      </c>
      <c r="AS101" s="112"/>
      <c r="AT101" s="112"/>
      <c r="AU101" s="283">
        <f t="shared" si="185"/>
        <v>82</v>
      </c>
      <c r="AV101" s="284">
        <f t="shared" ca="1" si="224"/>
        <v>100000</v>
      </c>
      <c r="AW101" s="284">
        <f t="shared" ca="1" si="119"/>
        <v>100000</v>
      </c>
      <c r="AX101" s="285">
        <f t="shared" ca="1" si="120"/>
        <v>0</v>
      </c>
      <c r="AY101" s="285">
        <f t="shared" ca="1" si="186"/>
        <v>24</v>
      </c>
      <c r="AZ101" s="282"/>
      <c r="BD101" s="114">
        <f t="shared" si="250"/>
        <v>1</v>
      </c>
      <c r="BE101" s="112">
        <f t="shared" si="225"/>
        <v>100000</v>
      </c>
      <c r="BH101" s="238">
        <f t="shared" si="251"/>
        <v>82</v>
      </c>
      <c r="BI101" s="245" t="str">
        <f t="shared" si="226"/>
        <v/>
      </c>
      <c r="BJ101" s="281">
        <f t="shared" ca="1" si="265"/>
        <v>16</v>
      </c>
      <c r="BK101" s="245" t="e">
        <f t="shared" ca="1" si="227"/>
        <v>#NUM!</v>
      </c>
      <c r="BL101" s="245" t="e">
        <f t="shared" ca="1" si="228"/>
        <v>#NUM!</v>
      </c>
      <c r="BN101" s="245" t="e">
        <f t="shared" ca="1" si="266"/>
        <v>#NUM!</v>
      </c>
      <c r="CL101" s="112"/>
      <c r="CM101" s="112"/>
      <c r="CP101" s="112"/>
      <c r="CQ101" s="112"/>
      <c r="CR101" s="238"/>
      <c r="CS101" s="238"/>
      <c r="CT101" s="112"/>
      <c r="CU101" s="112"/>
      <c r="CV101" s="112"/>
      <c r="CW101" s="112" t="s">
        <v>224</v>
      </c>
      <c r="CX101" s="112" t="s">
        <v>225</v>
      </c>
      <c r="CY101" s="112" t="s">
        <v>226</v>
      </c>
      <c r="CZ101" s="112" t="s">
        <v>227</v>
      </c>
      <c r="DA101" s="112" t="s">
        <v>228</v>
      </c>
      <c r="DB101" s="112" t="s">
        <v>229</v>
      </c>
      <c r="DC101" s="112"/>
      <c r="DD101" s="238">
        <f t="shared" ca="1" si="116"/>
        <v>0</v>
      </c>
      <c r="DE101" s="238">
        <f t="shared" ca="1" si="275"/>
        <v>0</v>
      </c>
      <c r="DF101" s="112"/>
      <c r="DG101" s="238"/>
      <c r="DH101" s="238"/>
      <c r="DI101" s="112"/>
      <c r="DJ101" s="238"/>
      <c r="DK101" s="112" t="str">
        <f t="shared" ca="1" si="229"/>
        <v/>
      </c>
      <c r="DL101" s="278" t="str">
        <f t="shared" ca="1" si="129"/>
        <v/>
      </c>
      <c r="DM101" s="245" t="str">
        <f t="shared" ref="DM101:DP101" ca="1" si="280">DM652</f>
        <v/>
      </c>
      <c r="DN101" s="245" t="str">
        <f t="shared" ca="1" si="280"/>
        <v/>
      </c>
      <c r="DO101" s="245" t="str">
        <f t="shared" ca="1" si="280"/>
        <v/>
      </c>
      <c r="DP101" s="245" t="str">
        <f t="shared" ca="1" si="280"/>
        <v/>
      </c>
      <c r="DQ101" s="281" t="str">
        <f t="shared" ca="1" si="131"/>
        <v/>
      </c>
      <c r="DR101" s="278" t="str">
        <f t="shared" ca="1" si="132"/>
        <v/>
      </c>
      <c r="DS101" s="244" t="str">
        <f t="shared" ca="1" si="231"/>
        <v/>
      </c>
      <c r="DT101" s="244" t="str">
        <f t="shared" ca="1" si="232"/>
        <v/>
      </c>
      <c r="DU101" s="244" t="str">
        <f t="shared" ca="1" si="133"/>
        <v/>
      </c>
      <c r="DV101" s="244" t="str">
        <f t="shared" ca="1" si="134"/>
        <v/>
      </c>
      <c r="DW101" s="244"/>
      <c r="DX101" s="244" t="str">
        <f t="shared" ca="1" si="273"/>
        <v/>
      </c>
      <c r="EA101" s="244" t="b">
        <f t="shared" ca="1" si="233"/>
        <v>0</v>
      </c>
      <c r="EB101" s="278" t="e">
        <f ca="1">VLOOKUP(DM101,Foglio1!$AB$31:$AN$261,13)-6+EA101</f>
        <v>#N/A</v>
      </c>
      <c r="EC101" s="244"/>
      <c r="ED101" s="244" t="e">
        <f t="shared" ca="1" si="202"/>
        <v>#N/A</v>
      </c>
      <c r="EE101" s="244" t="e">
        <f t="shared" ca="1" si="203"/>
        <v>#N/A</v>
      </c>
      <c r="EF101" s="244" t="e">
        <f t="shared" ca="1" si="204"/>
        <v>#N/A</v>
      </c>
      <c r="EG101" s="244" t="e">
        <f t="shared" ca="1" si="205"/>
        <v>#N/A</v>
      </c>
      <c r="EH101" s="244" t="e">
        <f t="shared" ca="1" si="206"/>
        <v>#N/A</v>
      </c>
      <c r="EI101" s="244" t="e">
        <f t="shared" ca="1" si="207"/>
        <v>#N/A</v>
      </c>
      <c r="EJ101" s="244" t="e">
        <f t="shared" ca="1" si="208"/>
        <v>#N/A</v>
      </c>
      <c r="EK101" s="244" t="e">
        <f t="shared" ca="1" si="209"/>
        <v>#N/A</v>
      </c>
      <c r="EL101" s="244" t="e">
        <f t="shared" ca="1" si="210"/>
        <v>#N/A</v>
      </c>
      <c r="EM101" s="244" t="e">
        <f t="shared" ca="1" si="211"/>
        <v>#N/A</v>
      </c>
      <c r="EN101" s="244" t="e">
        <f t="shared" ca="1" si="212"/>
        <v>#N/A</v>
      </c>
      <c r="EO101" s="244" t="e">
        <f t="shared" ca="1" si="213"/>
        <v>#N/A</v>
      </c>
      <c r="EP101" s="244" t="e">
        <f t="shared" ca="1" si="214"/>
        <v>#N/A</v>
      </c>
      <c r="EQ101" s="244" t="e">
        <f t="shared" ca="1" si="215"/>
        <v>#N/A</v>
      </c>
      <c r="ER101" s="244"/>
      <c r="EW101" s="244">
        <v>0</v>
      </c>
      <c r="EX101" s="278" t="e">
        <f ca="1">VLOOKUP(DM101,Foglio1!$AB$31:$AN$261,13)-6+EW101</f>
        <v>#N/A</v>
      </c>
      <c r="EY101" s="244"/>
      <c r="EZ101" s="244">
        <v>0</v>
      </c>
      <c r="FA101" s="244" t="e">
        <f t="shared" ca="1" si="234"/>
        <v>#N/A</v>
      </c>
      <c r="FB101" s="244" t="e">
        <f t="shared" ca="1" si="235"/>
        <v>#N/A</v>
      </c>
      <c r="FC101" s="244" t="e">
        <f t="shared" ca="1" si="236"/>
        <v>#N/A</v>
      </c>
      <c r="FD101" s="244" t="e">
        <f t="shared" ca="1" si="237"/>
        <v>#N/A</v>
      </c>
      <c r="FE101" s="244" t="e">
        <f t="shared" ca="1" si="238"/>
        <v>#N/A</v>
      </c>
      <c r="FF101" s="244" t="e">
        <f t="shared" ca="1" si="239"/>
        <v>#N/A</v>
      </c>
      <c r="FG101" s="244" t="e">
        <f t="shared" ca="1" si="240"/>
        <v>#N/A</v>
      </c>
      <c r="FH101" s="244" t="e">
        <f t="shared" ca="1" si="241"/>
        <v>#N/A</v>
      </c>
      <c r="FI101" s="244" t="e">
        <f t="shared" ca="1" si="242"/>
        <v>#N/A</v>
      </c>
      <c r="FJ101" s="244" t="e">
        <f t="shared" ca="1" si="243"/>
        <v>#N/A</v>
      </c>
      <c r="FK101" s="244" t="e">
        <f t="shared" ca="1" si="244"/>
        <v>#N/A</v>
      </c>
      <c r="FL101" s="244" t="e">
        <f t="shared" ca="1" si="245"/>
        <v>#N/A</v>
      </c>
      <c r="FM101" s="244" t="e">
        <f t="shared" ca="1" si="216"/>
        <v>#N/A</v>
      </c>
      <c r="FN101" s="244"/>
    </row>
    <row r="102" spans="5:170" x14ac:dyDescent="0.25">
      <c r="E102" s="244"/>
      <c r="F102" s="240" t="str">
        <f>IF(fronttd!E104="","",fronttd!E104)</f>
        <v/>
      </c>
      <c r="G102" s="240" t="str">
        <f>IF(fronttd!F104="","",fronttd!F104)</f>
        <v/>
      </c>
      <c r="H102" s="380">
        <f>fronttd!G104</f>
        <v>0</v>
      </c>
      <c r="I102" s="380">
        <f>fronttd!H104</f>
        <v>0</v>
      </c>
      <c r="J102">
        <f t="shared" si="246"/>
        <v>24</v>
      </c>
      <c r="L102">
        <f t="shared" si="247"/>
        <v>102</v>
      </c>
      <c r="O102" s="238">
        <f t="shared" si="248"/>
        <v>102</v>
      </c>
      <c r="R102" s="112" t="str">
        <f t="shared" si="217"/>
        <v/>
      </c>
      <c r="S102" s="238" t="e">
        <f t="shared" ca="1" si="218"/>
        <v>#N/A</v>
      </c>
      <c r="T102" s="112" t="e">
        <f t="shared" ca="1" si="255"/>
        <v>#N/A</v>
      </c>
      <c r="U102" s="112" t="e">
        <f t="shared" ca="1" si="256"/>
        <v>#N/A</v>
      </c>
      <c r="V102" s="112" t="e">
        <f t="shared" ca="1" si="257"/>
        <v>#N/A</v>
      </c>
      <c r="W102" s="112" t="e">
        <f t="shared" ca="1" si="258"/>
        <v>#N/A</v>
      </c>
      <c r="X102" s="112" t="str">
        <f t="shared" si="219"/>
        <v/>
      </c>
      <c r="Y102" s="112"/>
      <c r="Z102" s="112"/>
      <c r="AA102" s="335" t="str">
        <f t="shared" si="220"/>
        <v/>
      </c>
      <c r="AB102" s="335" t="e">
        <f t="shared" ca="1" si="259"/>
        <v>#N/A</v>
      </c>
      <c r="AC102" s="335" t="e">
        <f t="shared" ca="1" si="260"/>
        <v>#N/A</v>
      </c>
      <c r="AD102" s="335" t="e">
        <f t="shared" ca="1" si="261"/>
        <v>#N/A</v>
      </c>
      <c r="AE102" s="335" t="e">
        <f t="shared" ca="1" si="262"/>
        <v>#N/A</v>
      </c>
      <c r="AF102" s="335" t="str">
        <f t="shared" si="221"/>
        <v/>
      </c>
      <c r="AG102" s="238">
        <f>AG101</f>
        <v>36</v>
      </c>
      <c r="AH102" s="112">
        <f ca="1">AI101+1</f>
        <v>37664</v>
      </c>
      <c r="AI102" s="112">
        <f ca="1">IF(INDIRECT(CONCATENATE("AD",AG100))&lt;100000,INDIRECT(CONCATENATE("AD",AG100))-1,IF(INDIRECT(CONCATENATE("AE",AG100))&lt;100000,INDIRECT(CONCATENATE("AE",G100)),INDIRECT(CONCATENATE("AF",AG100))))</f>
        <v>37663</v>
      </c>
      <c r="AJ102" s="112">
        <f t="shared" ca="1" si="125"/>
        <v>37663</v>
      </c>
      <c r="AK102" s="112">
        <f t="shared" ca="1" si="169"/>
        <v>37663</v>
      </c>
      <c r="AL102" s="238">
        <f t="shared" ca="1" si="127"/>
        <v>0</v>
      </c>
      <c r="AM102" s="112">
        <f t="shared" ca="1" si="118"/>
        <v>100000</v>
      </c>
      <c r="AN102" s="112">
        <f t="shared" ca="1" si="253"/>
        <v>100000</v>
      </c>
      <c r="AO102" s="114">
        <f t="shared" ca="1" si="222"/>
        <v>18</v>
      </c>
      <c r="AP102" s="114">
        <f t="shared" ca="1" si="223"/>
        <v>24</v>
      </c>
      <c r="AQ102" s="112"/>
      <c r="AR102" s="238">
        <f t="shared" si="249"/>
        <v>102</v>
      </c>
      <c r="AS102" s="112"/>
      <c r="AT102" s="112"/>
      <c r="AU102" s="283">
        <f t="shared" si="185"/>
        <v>83</v>
      </c>
      <c r="AV102" s="284">
        <f t="shared" ca="1" si="224"/>
        <v>100000</v>
      </c>
      <c r="AW102" s="284">
        <f t="shared" ca="1" si="119"/>
        <v>100000</v>
      </c>
      <c r="AX102" s="285">
        <f t="shared" ca="1" si="120"/>
        <v>0</v>
      </c>
      <c r="AY102" s="285">
        <f t="shared" ca="1" si="186"/>
        <v>24</v>
      </c>
      <c r="AZ102" s="282"/>
      <c r="BD102" s="114">
        <f t="shared" si="250"/>
        <v>1</v>
      </c>
      <c r="BE102" s="112">
        <f t="shared" si="225"/>
        <v>100000</v>
      </c>
      <c r="BH102" s="238">
        <f t="shared" si="251"/>
        <v>83</v>
      </c>
      <c r="BI102" s="245" t="str">
        <f t="shared" si="226"/>
        <v/>
      </c>
      <c r="BJ102" s="281">
        <f t="shared" ca="1" si="265"/>
        <v>16</v>
      </c>
      <c r="BK102" s="245" t="e">
        <f t="shared" ca="1" si="227"/>
        <v>#NUM!</v>
      </c>
      <c r="BL102" s="245" t="e">
        <f t="shared" ca="1" si="228"/>
        <v>#NUM!</v>
      </c>
      <c r="BN102" s="245" t="e">
        <f t="shared" ca="1" si="266"/>
        <v>#NUM!</v>
      </c>
      <c r="CL102" s="112"/>
      <c r="CM102" s="112"/>
      <c r="CP102" s="112"/>
      <c r="CQ102" s="112"/>
      <c r="CR102" s="238"/>
      <c r="CS102" s="238"/>
      <c r="CT102" s="112"/>
      <c r="CU102" s="112"/>
      <c r="CV102" s="112"/>
      <c r="CW102" s="112" t="s">
        <v>224</v>
      </c>
      <c r="CX102" s="112" t="s">
        <v>225</v>
      </c>
      <c r="CY102" s="112" t="s">
        <v>226</v>
      </c>
      <c r="CZ102" s="112" t="s">
        <v>227</v>
      </c>
      <c r="DA102" s="112" t="s">
        <v>228</v>
      </c>
      <c r="DB102" s="112" t="s">
        <v>229</v>
      </c>
      <c r="DC102" s="112"/>
      <c r="DD102" s="238">
        <f t="shared" ca="1" si="116"/>
        <v>0</v>
      </c>
      <c r="DE102" s="238">
        <f t="shared" ca="1" si="275"/>
        <v>0</v>
      </c>
      <c r="DF102" s="112"/>
      <c r="DG102" s="238"/>
      <c r="DH102" s="238"/>
      <c r="DI102" s="112"/>
      <c r="DJ102" s="238"/>
      <c r="DK102" s="112" t="str">
        <f t="shared" ca="1" si="229"/>
        <v/>
      </c>
      <c r="DL102" s="278" t="str">
        <f t="shared" ca="1" si="129"/>
        <v/>
      </c>
      <c r="DM102" s="245" t="str">
        <f t="shared" ref="DM102:DP102" ca="1" si="281">DM653</f>
        <v/>
      </c>
      <c r="DN102" s="245" t="str">
        <f t="shared" ca="1" si="281"/>
        <v/>
      </c>
      <c r="DO102" s="245" t="str">
        <f t="shared" ca="1" si="281"/>
        <v/>
      </c>
      <c r="DP102" s="245" t="str">
        <f t="shared" ca="1" si="281"/>
        <v/>
      </c>
      <c r="DQ102" s="281" t="str">
        <f t="shared" ca="1" si="131"/>
        <v/>
      </c>
      <c r="DR102" s="278" t="str">
        <f t="shared" ca="1" si="132"/>
        <v/>
      </c>
      <c r="DS102" s="244" t="str">
        <f t="shared" ca="1" si="231"/>
        <v/>
      </c>
      <c r="DT102" s="244" t="str">
        <f t="shared" ca="1" si="232"/>
        <v/>
      </c>
      <c r="DU102" s="244" t="str">
        <f t="shared" ca="1" si="133"/>
        <v/>
      </c>
      <c r="DV102" s="244" t="str">
        <f t="shared" ca="1" si="134"/>
        <v/>
      </c>
      <c r="DW102" s="244"/>
      <c r="DX102" s="244" t="str">
        <f t="shared" ca="1" si="273"/>
        <v/>
      </c>
      <c r="EA102" s="244" t="b">
        <f t="shared" ca="1" si="233"/>
        <v>0</v>
      </c>
      <c r="EB102" s="278" t="e">
        <f ca="1">VLOOKUP(DM102,Foglio1!$AB$31:$AN$261,13)-6+EA102</f>
        <v>#N/A</v>
      </c>
      <c r="EC102" s="244"/>
      <c r="ED102" s="244" t="e">
        <f t="shared" ca="1" si="202"/>
        <v>#N/A</v>
      </c>
      <c r="EE102" s="244" t="e">
        <f t="shared" ca="1" si="203"/>
        <v>#N/A</v>
      </c>
      <c r="EF102" s="244" t="e">
        <f t="shared" ca="1" si="204"/>
        <v>#N/A</v>
      </c>
      <c r="EG102" s="244" t="e">
        <f t="shared" ca="1" si="205"/>
        <v>#N/A</v>
      </c>
      <c r="EH102" s="244" t="e">
        <f t="shared" ca="1" si="206"/>
        <v>#N/A</v>
      </c>
      <c r="EI102" s="244" t="e">
        <f t="shared" ca="1" si="207"/>
        <v>#N/A</v>
      </c>
      <c r="EJ102" s="244" t="e">
        <f t="shared" ca="1" si="208"/>
        <v>#N/A</v>
      </c>
      <c r="EK102" s="244" t="e">
        <f t="shared" ca="1" si="209"/>
        <v>#N/A</v>
      </c>
      <c r="EL102" s="244" t="e">
        <f t="shared" ca="1" si="210"/>
        <v>#N/A</v>
      </c>
      <c r="EM102" s="244" t="e">
        <f t="shared" ca="1" si="211"/>
        <v>#N/A</v>
      </c>
      <c r="EN102" s="244" t="e">
        <f t="shared" ca="1" si="212"/>
        <v>#N/A</v>
      </c>
      <c r="EO102" s="244" t="e">
        <f t="shared" ca="1" si="213"/>
        <v>#N/A</v>
      </c>
      <c r="EP102" s="244" t="e">
        <f t="shared" ca="1" si="214"/>
        <v>#N/A</v>
      </c>
      <c r="EQ102" s="244" t="e">
        <f t="shared" ca="1" si="215"/>
        <v>#N/A</v>
      </c>
      <c r="ER102" s="244"/>
      <c r="EW102" s="244">
        <v>0</v>
      </c>
      <c r="EX102" s="278" t="e">
        <f ca="1">VLOOKUP(DM102,Foglio1!$AB$31:$AN$261,13)-6+EW102</f>
        <v>#N/A</v>
      </c>
      <c r="EY102" s="244"/>
      <c r="EZ102" s="244">
        <v>0</v>
      </c>
      <c r="FA102" s="244" t="e">
        <f t="shared" ca="1" si="234"/>
        <v>#N/A</v>
      </c>
      <c r="FB102" s="244" t="e">
        <f t="shared" ca="1" si="235"/>
        <v>#N/A</v>
      </c>
      <c r="FC102" s="244" t="e">
        <f t="shared" ca="1" si="236"/>
        <v>#N/A</v>
      </c>
      <c r="FD102" s="244" t="e">
        <f t="shared" ca="1" si="237"/>
        <v>#N/A</v>
      </c>
      <c r="FE102" s="244" t="e">
        <f t="shared" ca="1" si="238"/>
        <v>#N/A</v>
      </c>
      <c r="FF102" s="244" t="e">
        <f t="shared" ca="1" si="239"/>
        <v>#N/A</v>
      </c>
      <c r="FG102" s="244" t="e">
        <f t="shared" ca="1" si="240"/>
        <v>#N/A</v>
      </c>
      <c r="FH102" s="244" t="e">
        <f t="shared" ca="1" si="241"/>
        <v>#N/A</v>
      </c>
      <c r="FI102" s="244" t="e">
        <f t="shared" ca="1" si="242"/>
        <v>#N/A</v>
      </c>
      <c r="FJ102" s="244" t="e">
        <f t="shared" ca="1" si="243"/>
        <v>#N/A</v>
      </c>
      <c r="FK102" s="244" t="e">
        <f t="shared" ca="1" si="244"/>
        <v>#N/A</v>
      </c>
      <c r="FL102" s="244" t="e">
        <f t="shared" ca="1" si="245"/>
        <v>#N/A</v>
      </c>
      <c r="FM102" s="244" t="e">
        <f t="shared" ca="1" si="216"/>
        <v>#N/A</v>
      </c>
      <c r="FN102" s="244"/>
    </row>
    <row r="103" spans="5:170" x14ac:dyDescent="0.25">
      <c r="E103" s="244"/>
      <c r="F103" s="240" t="str">
        <f>IF(fronttd!E105="","",fronttd!E105)</f>
        <v/>
      </c>
      <c r="G103" s="240" t="str">
        <f>IF(fronttd!F105="","",fronttd!F105)</f>
        <v/>
      </c>
      <c r="H103" s="380">
        <f>fronttd!G105</f>
        <v>0</v>
      </c>
      <c r="I103" s="380">
        <f>fronttd!H105</f>
        <v>0</v>
      </c>
      <c r="J103">
        <f t="shared" si="246"/>
        <v>24</v>
      </c>
      <c r="L103">
        <f t="shared" si="247"/>
        <v>103</v>
      </c>
      <c r="O103" s="238">
        <f t="shared" si="248"/>
        <v>103</v>
      </c>
      <c r="R103" s="112" t="str">
        <f t="shared" si="217"/>
        <v/>
      </c>
      <c r="S103" s="238" t="e">
        <f t="shared" ca="1" si="218"/>
        <v>#N/A</v>
      </c>
      <c r="T103" s="112" t="e">
        <f t="shared" ca="1" si="255"/>
        <v>#N/A</v>
      </c>
      <c r="U103" s="112" t="e">
        <f t="shared" ca="1" si="256"/>
        <v>#N/A</v>
      </c>
      <c r="V103" s="112" t="e">
        <f t="shared" ca="1" si="257"/>
        <v>#N/A</v>
      </c>
      <c r="W103" s="112" t="e">
        <f t="shared" ca="1" si="258"/>
        <v>#N/A</v>
      </c>
      <c r="X103" s="112" t="str">
        <f t="shared" si="219"/>
        <v/>
      </c>
      <c r="Y103" s="112"/>
      <c r="Z103" s="112"/>
      <c r="AA103" s="335" t="str">
        <f t="shared" si="220"/>
        <v/>
      </c>
      <c r="AB103" s="335" t="e">
        <f t="shared" ca="1" si="259"/>
        <v>#N/A</v>
      </c>
      <c r="AC103" s="335" t="e">
        <f t="shared" ca="1" si="260"/>
        <v>#N/A</v>
      </c>
      <c r="AD103" s="335" t="e">
        <f t="shared" ca="1" si="261"/>
        <v>#N/A</v>
      </c>
      <c r="AE103" s="335" t="e">
        <f t="shared" ca="1" si="262"/>
        <v>#N/A</v>
      </c>
      <c r="AF103" s="335" t="str">
        <f t="shared" si="221"/>
        <v/>
      </c>
      <c r="AG103" s="238">
        <f>AG102</f>
        <v>36</v>
      </c>
      <c r="AH103" s="112">
        <f ca="1">AI102+1</f>
        <v>37664</v>
      </c>
      <c r="AI103" s="112">
        <f ca="1">IF(INDIRECT(CONCATENATE("AE",AG100))&lt;100000,INDIRECT(CONCATENATE("AE",G100)),INDIRECT(CONCATENATE("AF",AG100)))</f>
        <v>37663</v>
      </c>
      <c r="AJ103" s="112">
        <f t="shared" ca="1" si="125"/>
        <v>37663</v>
      </c>
      <c r="AK103" s="112">
        <f t="shared" ca="1" si="169"/>
        <v>37663</v>
      </c>
      <c r="AL103" s="238">
        <f t="shared" ca="1" si="127"/>
        <v>0</v>
      </c>
      <c r="AM103" s="112">
        <f t="shared" ca="1" si="118"/>
        <v>100000</v>
      </c>
      <c r="AN103" s="112">
        <f t="shared" ca="1" si="253"/>
        <v>100000</v>
      </c>
      <c r="AO103" s="114">
        <f t="shared" ca="1" si="222"/>
        <v>18</v>
      </c>
      <c r="AP103" s="114">
        <f t="shared" ca="1" si="223"/>
        <v>24</v>
      </c>
      <c r="AQ103" s="112"/>
      <c r="AR103" s="238">
        <f t="shared" si="249"/>
        <v>103</v>
      </c>
      <c r="AS103" s="112"/>
      <c r="AT103" s="112"/>
      <c r="AU103" s="283">
        <f t="shared" si="185"/>
        <v>84</v>
      </c>
      <c r="AV103" s="284">
        <f t="shared" ca="1" si="224"/>
        <v>100000</v>
      </c>
      <c r="AW103" s="284">
        <f t="shared" ca="1" si="119"/>
        <v>100000</v>
      </c>
      <c r="AX103" s="285">
        <f t="shared" ca="1" si="120"/>
        <v>0</v>
      </c>
      <c r="AY103" s="285">
        <f t="shared" ca="1" si="186"/>
        <v>24</v>
      </c>
      <c r="AZ103" s="282"/>
      <c r="BD103" s="114">
        <f t="shared" si="250"/>
        <v>1</v>
      </c>
      <c r="BE103" s="112">
        <f t="shared" si="225"/>
        <v>100000</v>
      </c>
      <c r="BH103" s="238">
        <f t="shared" si="251"/>
        <v>84</v>
      </c>
      <c r="BI103" s="245" t="str">
        <f t="shared" si="226"/>
        <v/>
      </c>
      <c r="BJ103" s="281">
        <f t="shared" ca="1" si="265"/>
        <v>16</v>
      </c>
      <c r="BK103" s="245" t="e">
        <f t="shared" ca="1" si="227"/>
        <v>#NUM!</v>
      </c>
      <c r="BL103" s="245" t="e">
        <f t="shared" ca="1" si="228"/>
        <v>#NUM!</v>
      </c>
      <c r="BN103" s="245" t="e">
        <f t="shared" ca="1" si="266"/>
        <v>#NUM!</v>
      </c>
      <c r="CL103" s="112"/>
      <c r="CM103" s="112"/>
      <c r="CP103" s="112"/>
      <c r="CQ103" s="112"/>
      <c r="CR103" s="238"/>
      <c r="CS103" s="238"/>
      <c r="CT103" s="112"/>
      <c r="CU103" s="112"/>
      <c r="CV103" s="112"/>
      <c r="CW103" s="112" t="s">
        <v>224</v>
      </c>
      <c r="CX103" s="112" t="s">
        <v>225</v>
      </c>
      <c r="CY103" s="112" t="s">
        <v>226</v>
      </c>
      <c r="CZ103" s="112" t="s">
        <v>227</v>
      </c>
      <c r="DA103" s="112" t="s">
        <v>228</v>
      </c>
      <c r="DB103" s="112" t="s">
        <v>229</v>
      </c>
      <c r="DC103" s="112"/>
      <c r="DD103" s="238">
        <f t="shared" ca="1" si="116"/>
        <v>0</v>
      </c>
      <c r="DE103" s="238">
        <f t="shared" ca="1" si="275"/>
        <v>0</v>
      </c>
      <c r="DF103" s="112"/>
      <c r="DG103" s="238"/>
      <c r="DH103" s="238"/>
      <c r="DI103" s="112"/>
      <c r="DJ103" s="238"/>
      <c r="DK103" s="112" t="str">
        <f t="shared" ca="1" si="229"/>
        <v/>
      </c>
      <c r="DL103" s="278" t="str">
        <f t="shared" ca="1" si="129"/>
        <v/>
      </c>
      <c r="DM103" s="245" t="str">
        <f t="shared" ref="DM103:DP103" ca="1" si="282">DM654</f>
        <v/>
      </c>
      <c r="DN103" s="245" t="str">
        <f t="shared" ca="1" si="282"/>
        <v/>
      </c>
      <c r="DO103" s="245" t="str">
        <f t="shared" ca="1" si="282"/>
        <v/>
      </c>
      <c r="DP103" s="245" t="str">
        <f t="shared" ca="1" si="282"/>
        <v/>
      </c>
      <c r="DQ103" s="281" t="str">
        <f t="shared" ca="1" si="131"/>
        <v/>
      </c>
      <c r="DR103" s="278" t="str">
        <f t="shared" ca="1" si="132"/>
        <v/>
      </c>
      <c r="DS103" s="244" t="str">
        <f t="shared" ca="1" si="231"/>
        <v/>
      </c>
      <c r="DT103" s="244" t="str">
        <f t="shared" ca="1" si="232"/>
        <v/>
      </c>
      <c r="DU103" s="244" t="str">
        <f t="shared" ca="1" si="133"/>
        <v/>
      </c>
      <c r="DV103" s="244" t="str">
        <f t="shared" ca="1" si="134"/>
        <v/>
      </c>
      <c r="DW103" s="244"/>
      <c r="DX103" s="244" t="str">
        <f t="shared" ca="1" si="273"/>
        <v/>
      </c>
      <c r="EA103" s="244" t="b">
        <f t="shared" ca="1" si="233"/>
        <v>0</v>
      </c>
      <c r="EB103" s="278" t="e">
        <f ca="1">VLOOKUP(DM103,Foglio1!$AB$31:$AN$261,13)-6+EA103</f>
        <v>#N/A</v>
      </c>
      <c r="EC103" s="244"/>
      <c r="ED103" s="244" t="e">
        <f t="shared" ca="1" si="202"/>
        <v>#N/A</v>
      </c>
      <c r="EE103" s="244" t="e">
        <f t="shared" ca="1" si="203"/>
        <v>#N/A</v>
      </c>
      <c r="EF103" s="244" t="e">
        <f t="shared" ca="1" si="204"/>
        <v>#N/A</v>
      </c>
      <c r="EG103" s="244" t="e">
        <f t="shared" ca="1" si="205"/>
        <v>#N/A</v>
      </c>
      <c r="EH103" s="244" t="e">
        <f t="shared" ca="1" si="206"/>
        <v>#N/A</v>
      </c>
      <c r="EI103" s="244" t="e">
        <f t="shared" ca="1" si="207"/>
        <v>#N/A</v>
      </c>
      <c r="EJ103" s="244" t="e">
        <f t="shared" ca="1" si="208"/>
        <v>#N/A</v>
      </c>
      <c r="EK103" s="244" t="e">
        <f t="shared" ca="1" si="209"/>
        <v>#N/A</v>
      </c>
      <c r="EL103" s="244" t="e">
        <f t="shared" ca="1" si="210"/>
        <v>#N/A</v>
      </c>
      <c r="EM103" s="244" t="e">
        <f t="shared" ca="1" si="211"/>
        <v>#N/A</v>
      </c>
      <c r="EN103" s="244" t="e">
        <f t="shared" ca="1" si="212"/>
        <v>#N/A</v>
      </c>
      <c r="EO103" s="244" t="e">
        <f t="shared" ca="1" si="213"/>
        <v>#N/A</v>
      </c>
      <c r="EP103" s="244" t="e">
        <f t="shared" ca="1" si="214"/>
        <v>#N/A</v>
      </c>
      <c r="EQ103" s="244" t="e">
        <f t="shared" ca="1" si="215"/>
        <v>#N/A</v>
      </c>
      <c r="ER103" s="244"/>
      <c r="EW103" s="244">
        <v>0</v>
      </c>
      <c r="EX103" s="278" t="e">
        <f ca="1">VLOOKUP(DM103,Foglio1!$AB$31:$AN$261,13)-6+EW103</f>
        <v>#N/A</v>
      </c>
      <c r="EY103" s="244"/>
      <c r="EZ103" s="244">
        <v>0</v>
      </c>
      <c r="FA103" s="244" t="e">
        <f t="shared" ca="1" si="234"/>
        <v>#N/A</v>
      </c>
      <c r="FB103" s="244" t="e">
        <f t="shared" ca="1" si="235"/>
        <v>#N/A</v>
      </c>
      <c r="FC103" s="244" t="e">
        <f t="shared" ca="1" si="236"/>
        <v>#N/A</v>
      </c>
      <c r="FD103" s="244" t="e">
        <f t="shared" ca="1" si="237"/>
        <v>#N/A</v>
      </c>
      <c r="FE103" s="244" t="e">
        <f t="shared" ca="1" si="238"/>
        <v>#N/A</v>
      </c>
      <c r="FF103" s="244" t="e">
        <f t="shared" ca="1" si="239"/>
        <v>#N/A</v>
      </c>
      <c r="FG103" s="244" t="e">
        <f t="shared" ca="1" si="240"/>
        <v>#N/A</v>
      </c>
      <c r="FH103" s="244" t="e">
        <f t="shared" ca="1" si="241"/>
        <v>#N/A</v>
      </c>
      <c r="FI103" s="244" t="e">
        <f t="shared" ca="1" si="242"/>
        <v>#N/A</v>
      </c>
      <c r="FJ103" s="244" t="e">
        <f t="shared" ca="1" si="243"/>
        <v>#N/A</v>
      </c>
      <c r="FK103" s="244" t="e">
        <f t="shared" ca="1" si="244"/>
        <v>#N/A</v>
      </c>
      <c r="FL103" s="244" t="e">
        <f t="shared" ca="1" si="245"/>
        <v>#N/A</v>
      </c>
      <c r="FM103" s="244" t="e">
        <f t="shared" ca="1" si="216"/>
        <v>#N/A</v>
      </c>
      <c r="FN103" s="244"/>
    </row>
    <row r="104" spans="5:170" x14ac:dyDescent="0.25">
      <c r="E104" s="244"/>
      <c r="F104" s="240" t="str">
        <f>IF(fronttd!E106="","",fronttd!E106)</f>
        <v/>
      </c>
      <c r="G104" s="240" t="str">
        <f>IF(fronttd!F106="","",fronttd!F106)</f>
        <v/>
      </c>
      <c r="H104" s="380">
        <f>fronttd!G106</f>
        <v>0</v>
      </c>
      <c r="I104" s="380">
        <f>fronttd!H106</f>
        <v>0</v>
      </c>
      <c r="J104">
        <f t="shared" si="246"/>
        <v>24</v>
      </c>
      <c r="L104">
        <f t="shared" si="247"/>
        <v>104</v>
      </c>
      <c r="O104" s="238">
        <f t="shared" si="248"/>
        <v>104</v>
      </c>
      <c r="R104" s="112" t="str">
        <f t="shared" si="217"/>
        <v/>
      </c>
      <c r="S104" s="238" t="e">
        <f t="shared" ca="1" si="218"/>
        <v>#N/A</v>
      </c>
      <c r="T104" s="112" t="e">
        <f t="shared" ca="1" si="255"/>
        <v>#N/A</v>
      </c>
      <c r="U104" s="112" t="e">
        <f t="shared" ca="1" si="256"/>
        <v>#N/A</v>
      </c>
      <c r="V104" s="112" t="e">
        <f t="shared" ca="1" si="257"/>
        <v>#N/A</v>
      </c>
      <c r="W104" s="112" t="e">
        <f t="shared" ca="1" si="258"/>
        <v>#N/A</v>
      </c>
      <c r="X104" s="112" t="str">
        <f t="shared" si="219"/>
        <v/>
      </c>
      <c r="Y104" s="112"/>
      <c r="Z104" s="112"/>
      <c r="AA104" s="335" t="str">
        <f t="shared" si="220"/>
        <v/>
      </c>
      <c r="AB104" s="335" t="e">
        <f t="shared" ca="1" si="259"/>
        <v>#N/A</v>
      </c>
      <c r="AC104" s="335" t="e">
        <f t="shared" ca="1" si="260"/>
        <v>#N/A</v>
      </c>
      <c r="AD104" s="335" t="e">
        <f t="shared" ca="1" si="261"/>
        <v>#N/A</v>
      </c>
      <c r="AE104" s="335" t="e">
        <f t="shared" ca="1" si="262"/>
        <v>#N/A</v>
      </c>
      <c r="AF104" s="335" t="str">
        <f t="shared" si="221"/>
        <v/>
      </c>
      <c r="AG104" s="238">
        <f>AG103</f>
        <v>36</v>
      </c>
      <c r="AH104" s="112">
        <f ca="1">AI103+1</f>
        <v>37664</v>
      </c>
      <c r="AI104" s="112">
        <f ca="1">INDIRECT(CONCATENATE("AF",AG100))</f>
        <v>37663</v>
      </c>
      <c r="AJ104" s="112">
        <f t="shared" ca="1" si="125"/>
        <v>37663</v>
      </c>
      <c r="AK104" s="112">
        <f t="shared" ca="1" si="169"/>
        <v>37663</v>
      </c>
      <c r="AL104" s="238">
        <f t="shared" ca="1" si="127"/>
        <v>0</v>
      </c>
      <c r="AM104" s="112">
        <f t="shared" ca="1" si="118"/>
        <v>100000</v>
      </c>
      <c r="AN104" s="112">
        <f t="shared" ca="1" si="253"/>
        <v>100000</v>
      </c>
      <c r="AO104" s="114">
        <f t="shared" ca="1" si="222"/>
        <v>18</v>
      </c>
      <c r="AP104" s="114">
        <f t="shared" ca="1" si="223"/>
        <v>24</v>
      </c>
      <c r="AQ104" s="112"/>
      <c r="AR104" s="238">
        <f t="shared" si="249"/>
        <v>104</v>
      </c>
      <c r="AS104" s="112"/>
      <c r="AT104" s="112"/>
      <c r="AU104" s="283">
        <f t="shared" si="185"/>
        <v>85</v>
      </c>
      <c r="AV104" s="284">
        <f t="shared" ca="1" si="224"/>
        <v>100000</v>
      </c>
      <c r="AW104" s="284">
        <f t="shared" ca="1" si="119"/>
        <v>100000</v>
      </c>
      <c r="AX104" s="285">
        <f t="shared" ca="1" si="120"/>
        <v>0</v>
      </c>
      <c r="AY104" s="285">
        <f t="shared" ca="1" si="186"/>
        <v>24</v>
      </c>
      <c r="AZ104" s="282"/>
      <c r="BD104" s="114">
        <f t="shared" si="250"/>
        <v>1</v>
      </c>
      <c r="BE104" s="112">
        <f t="shared" si="225"/>
        <v>100000</v>
      </c>
      <c r="BH104" s="238">
        <f t="shared" si="251"/>
        <v>85</v>
      </c>
      <c r="BI104" s="245" t="str">
        <f t="shared" si="226"/>
        <v/>
      </c>
      <c r="BJ104" s="281">
        <f t="shared" ca="1" si="265"/>
        <v>16</v>
      </c>
      <c r="BK104" s="245" t="e">
        <f t="shared" ca="1" si="227"/>
        <v>#NUM!</v>
      </c>
      <c r="BL104" s="245" t="e">
        <f t="shared" ca="1" si="228"/>
        <v>#NUM!</v>
      </c>
      <c r="BN104" s="245" t="e">
        <f t="shared" ca="1" si="266"/>
        <v>#NUM!</v>
      </c>
      <c r="CL104" s="112"/>
      <c r="CM104" s="112"/>
      <c r="CP104" s="112"/>
      <c r="CQ104" s="112"/>
      <c r="CR104" s="238"/>
      <c r="CS104" s="238"/>
      <c r="CT104" s="112"/>
      <c r="CU104" s="112"/>
      <c r="CV104" s="112"/>
      <c r="CW104" s="112" t="s">
        <v>224</v>
      </c>
      <c r="CX104" s="112" t="s">
        <v>225</v>
      </c>
      <c r="CY104" s="112" t="s">
        <v>226</v>
      </c>
      <c r="CZ104" s="112" t="s">
        <v>227</v>
      </c>
      <c r="DA104" s="112" t="s">
        <v>228</v>
      </c>
      <c r="DB104" s="112" t="s">
        <v>229</v>
      </c>
      <c r="DC104" s="112"/>
      <c r="DD104" s="238">
        <f t="shared" ref="DD104:DD136" ca="1" si="283">IF(AND(DM104&lt;$DJ$19,DN104&gt;$DJ$19),$DJ$19-DM104,0)</f>
        <v>0</v>
      </c>
      <c r="DE104" s="238">
        <f t="shared" ca="1" si="275"/>
        <v>0</v>
      </c>
      <c r="DF104" s="112"/>
      <c r="DG104" s="238"/>
      <c r="DH104" s="238"/>
      <c r="DI104" s="112"/>
      <c r="DJ104" s="238"/>
      <c r="DK104" s="112" t="str">
        <f t="shared" ca="1" si="229"/>
        <v/>
      </c>
      <c r="DL104" s="278" t="str">
        <f t="shared" ca="1" si="129"/>
        <v/>
      </c>
      <c r="DM104" s="245" t="str">
        <f t="shared" ref="DM104:DP104" ca="1" si="284">DM655</f>
        <v/>
      </c>
      <c r="DN104" s="245" t="str">
        <f t="shared" ca="1" si="284"/>
        <v/>
      </c>
      <c r="DO104" s="245" t="str">
        <f t="shared" ca="1" si="284"/>
        <v/>
      </c>
      <c r="DP104" s="245" t="str">
        <f t="shared" ca="1" si="284"/>
        <v/>
      </c>
      <c r="DQ104" s="281" t="str">
        <f t="shared" ca="1" si="131"/>
        <v/>
      </c>
      <c r="DR104" s="278" t="str">
        <f t="shared" ca="1" si="132"/>
        <v/>
      </c>
      <c r="DS104" s="244" t="str">
        <f t="shared" ca="1" si="231"/>
        <v/>
      </c>
      <c r="DT104" s="244" t="str">
        <f t="shared" ca="1" si="232"/>
        <v/>
      </c>
      <c r="DU104" s="244" t="str">
        <f t="shared" ca="1" si="133"/>
        <v/>
      </c>
      <c r="DV104" s="244" t="str">
        <f t="shared" ca="1" si="134"/>
        <v/>
      </c>
      <c r="DW104" s="244"/>
      <c r="DX104" s="244" t="str">
        <f t="shared" ca="1" si="273"/>
        <v/>
      </c>
      <c r="EA104" s="244" t="b">
        <f t="shared" ca="1" si="233"/>
        <v>0</v>
      </c>
      <c r="EB104" s="278" t="e">
        <f ca="1">VLOOKUP(DM104,Foglio1!$AB$31:$AN$261,13)-6+EA104</f>
        <v>#N/A</v>
      </c>
      <c r="EC104" s="244"/>
      <c r="ED104" s="244" t="e">
        <f t="shared" ca="1" si="202"/>
        <v>#N/A</v>
      </c>
      <c r="EE104" s="244" t="e">
        <f t="shared" ca="1" si="203"/>
        <v>#N/A</v>
      </c>
      <c r="EF104" s="244" t="e">
        <f t="shared" ca="1" si="204"/>
        <v>#N/A</v>
      </c>
      <c r="EG104" s="244" t="e">
        <f t="shared" ca="1" si="205"/>
        <v>#N/A</v>
      </c>
      <c r="EH104" s="244" t="e">
        <f t="shared" ca="1" si="206"/>
        <v>#N/A</v>
      </c>
      <c r="EI104" s="244" t="e">
        <f t="shared" ca="1" si="207"/>
        <v>#N/A</v>
      </c>
      <c r="EJ104" s="244" t="e">
        <f t="shared" ca="1" si="208"/>
        <v>#N/A</v>
      </c>
      <c r="EK104" s="244" t="e">
        <f t="shared" ca="1" si="209"/>
        <v>#N/A</v>
      </c>
      <c r="EL104" s="244" t="e">
        <f t="shared" ca="1" si="210"/>
        <v>#N/A</v>
      </c>
      <c r="EM104" s="244" t="e">
        <f t="shared" ca="1" si="211"/>
        <v>#N/A</v>
      </c>
      <c r="EN104" s="244" t="e">
        <f t="shared" ca="1" si="212"/>
        <v>#N/A</v>
      </c>
      <c r="EO104" s="244" t="e">
        <f t="shared" ca="1" si="213"/>
        <v>#N/A</v>
      </c>
      <c r="EP104" s="244" t="e">
        <f t="shared" ca="1" si="214"/>
        <v>#N/A</v>
      </c>
      <c r="EQ104" s="244" t="e">
        <f t="shared" ca="1" si="215"/>
        <v>#N/A</v>
      </c>
      <c r="ER104" s="244"/>
      <c r="EW104" s="244">
        <v>0</v>
      </c>
      <c r="EX104" s="278" t="e">
        <f ca="1">VLOOKUP(DM104,Foglio1!$AB$31:$AN$261,13)-6+EW104</f>
        <v>#N/A</v>
      </c>
      <c r="EY104" s="244"/>
      <c r="EZ104" s="244">
        <v>0</v>
      </c>
      <c r="FA104" s="244" t="e">
        <f t="shared" ca="1" si="234"/>
        <v>#N/A</v>
      </c>
      <c r="FB104" s="244" t="e">
        <f t="shared" ca="1" si="235"/>
        <v>#N/A</v>
      </c>
      <c r="FC104" s="244" t="e">
        <f t="shared" ca="1" si="236"/>
        <v>#N/A</v>
      </c>
      <c r="FD104" s="244" t="e">
        <f t="shared" ca="1" si="237"/>
        <v>#N/A</v>
      </c>
      <c r="FE104" s="244" t="e">
        <f t="shared" ca="1" si="238"/>
        <v>#N/A</v>
      </c>
      <c r="FF104" s="244" t="e">
        <f t="shared" ca="1" si="239"/>
        <v>#N/A</v>
      </c>
      <c r="FG104" s="244" t="e">
        <f t="shared" ca="1" si="240"/>
        <v>#N/A</v>
      </c>
      <c r="FH104" s="244" t="e">
        <f t="shared" ca="1" si="241"/>
        <v>#N/A</v>
      </c>
      <c r="FI104" s="244" t="e">
        <f t="shared" ca="1" si="242"/>
        <v>#N/A</v>
      </c>
      <c r="FJ104" s="244" t="e">
        <f t="shared" ca="1" si="243"/>
        <v>#N/A</v>
      </c>
      <c r="FK104" s="244" t="e">
        <f t="shared" ca="1" si="244"/>
        <v>#N/A</v>
      </c>
      <c r="FL104" s="244" t="e">
        <f t="shared" ca="1" si="245"/>
        <v>#N/A</v>
      </c>
      <c r="FM104" s="244" t="e">
        <f t="shared" ca="1" si="216"/>
        <v>#N/A</v>
      </c>
      <c r="FN104" s="244"/>
    </row>
    <row r="105" spans="5:170" x14ac:dyDescent="0.25">
      <c r="E105" s="244"/>
      <c r="F105" s="240" t="str">
        <f>IF(fronttd!E107="","",fronttd!E107)</f>
        <v/>
      </c>
      <c r="G105" s="240" t="str">
        <f>IF(fronttd!F107="","",fronttd!F107)</f>
        <v/>
      </c>
      <c r="H105" s="380">
        <f>fronttd!G107</f>
        <v>0</v>
      </c>
      <c r="I105" s="380">
        <f>fronttd!H107</f>
        <v>0</v>
      </c>
      <c r="J105">
        <f t="shared" si="246"/>
        <v>24</v>
      </c>
      <c r="L105">
        <f t="shared" si="247"/>
        <v>105</v>
      </c>
      <c r="O105" s="238">
        <f t="shared" si="248"/>
        <v>105</v>
      </c>
      <c r="R105" s="112" t="str">
        <f t="shared" si="217"/>
        <v/>
      </c>
      <c r="S105" s="238" t="e">
        <f t="shared" ca="1" si="218"/>
        <v>#N/A</v>
      </c>
      <c r="T105" s="112" t="e">
        <f t="shared" ca="1" si="255"/>
        <v>#N/A</v>
      </c>
      <c r="U105" s="112" t="e">
        <f t="shared" ca="1" si="256"/>
        <v>#N/A</v>
      </c>
      <c r="V105" s="112" t="e">
        <f t="shared" ca="1" si="257"/>
        <v>#N/A</v>
      </c>
      <c r="W105" s="112" t="e">
        <f t="shared" ca="1" si="258"/>
        <v>#N/A</v>
      </c>
      <c r="X105" s="112" t="str">
        <f t="shared" si="219"/>
        <v/>
      </c>
      <c r="Y105" s="112"/>
      <c r="Z105" s="112"/>
      <c r="AA105" s="335" t="str">
        <f t="shared" si="220"/>
        <v/>
      </c>
      <c r="AB105" s="335" t="e">
        <f t="shared" ca="1" si="259"/>
        <v>#N/A</v>
      </c>
      <c r="AC105" s="335" t="e">
        <f t="shared" ca="1" si="260"/>
        <v>#N/A</v>
      </c>
      <c r="AD105" s="335" t="e">
        <f t="shared" ca="1" si="261"/>
        <v>#N/A</v>
      </c>
      <c r="AE105" s="335" t="e">
        <f t="shared" ca="1" si="262"/>
        <v>#N/A</v>
      </c>
      <c r="AF105" s="335" t="str">
        <f t="shared" si="221"/>
        <v/>
      </c>
      <c r="AG105" s="238">
        <f>AG104+1</f>
        <v>37</v>
      </c>
      <c r="AH105" s="112">
        <f ca="1">INDIRECT(CONCATENATE("AA",AG105))</f>
        <v>37644</v>
      </c>
      <c r="AI105" s="112">
        <f ca="1">IF(            INDIRECT(CONCATENATE( "AB",AG105))&lt;100000,       INDIRECT(CONCATENATE("AB",AG105))  -1,IF(   INDIRECT(CONCATENATE("AC",AG105))&lt;100000,   INDIRECT(CONCATENATE("AC",AG105))-1,IF(   INDIRECT(CONCATENATE("AD", AG105))&lt;100000, INDIRECT(CONCATENATE("AD",AG105))-1,IF(   INDIRECT(CONCATENATE("AE",AG105))&lt;100000,  INDIRECT(CONCATENATE("AE",G105)),INDIRECT(CONCATENATE("AF",AG105))                ))))</f>
        <v>37783</v>
      </c>
      <c r="AJ105" s="112">
        <f t="shared" ca="1" si="125"/>
        <v>37783</v>
      </c>
      <c r="AK105" s="112">
        <f t="shared" ca="1" si="169"/>
        <v>37783</v>
      </c>
      <c r="AL105" s="238">
        <f t="shared" ca="1" si="127"/>
        <v>1</v>
      </c>
      <c r="AM105" s="112">
        <f t="shared" ref="AM105:AM168" ca="1" si="285">IF(TYPE(AL105)=16,100000,IF(AL105=0,100000,AH105))</f>
        <v>37644</v>
      </c>
      <c r="AN105" s="112">
        <f t="shared" ca="1" si="253"/>
        <v>37783</v>
      </c>
      <c r="AO105" s="114">
        <f t="shared" ca="1" si="222"/>
        <v>18</v>
      </c>
      <c r="AP105" s="114">
        <f t="shared" ca="1" si="223"/>
        <v>24</v>
      </c>
      <c r="AQ105" s="112"/>
      <c r="AR105" s="238">
        <f t="shared" si="249"/>
        <v>105</v>
      </c>
      <c r="AS105" s="112"/>
      <c r="AT105" s="112"/>
      <c r="AU105" s="283">
        <f t="shared" si="185"/>
        <v>86</v>
      </c>
      <c r="AV105" s="284">
        <f t="shared" ca="1" si="224"/>
        <v>100000</v>
      </c>
      <c r="AW105" s="284">
        <f t="shared" ref="AW105:AW137" ca="1" si="286" xml:space="preserve">           IF( VLOOKUP(AV105,$AM$20:$AP$564,2,FALSE)=AW104,VLOOKUP(AV105,$AM$20:$AP$564,2),VLOOKUP(AV105,$AM$20:$AP$564,2,FALSE))</f>
        <v>100000</v>
      </c>
      <c r="AX105" s="285">
        <f t="shared" ref="AX105:AX137" ca="1" si="287" xml:space="preserve">         IF( VLOOKUP(AV105,$AM$20:$AP$564,2,FALSE)=AW104, VLOOKUP(AV105,$AM$20:$AP$564,3),              VLOOKUP(AV105,$AM$20:$AP$564,3,FALSE))</f>
        <v>0</v>
      </c>
      <c r="AY105" s="285">
        <f t="shared" ca="1" si="186"/>
        <v>24</v>
      </c>
      <c r="AZ105" s="282"/>
      <c r="BD105" s="114">
        <f t="shared" si="250"/>
        <v>1</v>
      </c>
      <c r="BE105" s="112">
        <f t="shared" si="225"/>
        <v>100000</v>
      </c>
      <c r="BH105" s="238">
        <f t="shared" si="251"/>
        <v>86</v>
      </c>
      <c r="BI105" s="245" t="str">
        <f t="shared" si="226"/>
        <v/>
      </c>
      <c r="BJ105" s="281">
        <f t="shared" ca="1" si="265"/>
        <v>16</v>
      </c>
      <c r="BK105" s="245" t="e">
        <f t="shared" ca="1" si="227"/>
        <v>#NUM!</v>
      </c>
      <c r="BL105" s="245" t="e">
        <f t="shared" ca="1" si="228"/>
        <v>#NUM!</v>
      </c>
      <c r="BN105" s="245" t="e">
        <f t="shared" ca="1" si="266"/>
        <v>#NUM!</v>
      </c>
      <c r="CL105" s="112"/>
      <c r="CM105" s="112"/>
      <c r="CP105" s="112"/>
      <c r="CQ105" s="112"/>
      <c r="CR105" s="238"/>
      <c r="CS105" s="238"/>
      <c r="CT105" s="112"/>
      <c r="CU105" s="112"/>
      <c r="CV105" s="112"/>
      <c r="CW105" s="112" t="s">
        <v>224</v>
      </c>
      <c r="CX105" s="112" t="s">
        <v>225</v>
      </c>
      <c r="CY105" s="112" t="s">
        <v>226</v>
      </c>
      <c r="CZ105" s="112" t="s">
        <v>227</v>
      </c>
      <c r="DA105" s="112" t="s">
        <v>228</v>
      </c>
      <c r="DB105" s="112" t="s">
        <v>229</v>
      </c>
      <c r="DC105" s="112"/>
      <c r="DD105" s="238">
        <f t="shared" ca="1" si="283"/>
        <v>0</v>
      </c>
      <c r="DE105" s="238">
        <f t="shared" ca="1" si="275"/>
        <v>0</v>
      </c>
      <c r="DF105" s="112"/>
      <c r="DG105" s="238"/>
      <c r="DH105" s="238"/>
      <c r="DI105" s="112"/>
      <c r="DJ105" s="238"/>
      <c r="DK105" s="112" t="str">
        <f t="shared" ca="1" si="229"/>
        <v/>
      </c>
      <c r="DL105" s="278" t="str">
        <f t="shared" ca="1" si="129"/>
        <v/>
      </c>
      <c r="DM105" s="245" t="str">
        <f t="shared" ref="DM105:DP105" ca="1" si="288">DM656</f>
        <v/>
      </c>
      <c r="DN105" s="245" t="str">
        <f t="shared" ca="1" si="288"/>
        <v/>
      </c>
      <c r="DO105" s="245" t="str">
        <f t="shared" ca="1" si="288"/>
        <v/>
      </c>
      <c r="DP105" s="245" t="str">
        <f t="shared" ca="1" si="288"/>
        <v/>
      </c>
      <c r="DQ105" s="281" t="str">
        <f t="shared" ca="1" si="131"/>
        <v/>
      </c>
      <c r="DR105" s="278" t="str">
        <f t="shared" ca="1" si="132"/>
        <v/>
      </c>
      <c r="DS105" s="244" t="str">
        <f t="shared" ca="1" si="231"/>
        <v/>
      </c>
      <c r="DT105" s="244" t="str">
        <f t="shared" ca="1" si="232"/>
        <v/>
      </c>
      <c r="DU105" s="244" t="str">
        <f t="shared" ca="1" si="133"/>
        <v/>
      </c>
      <c r="DV105" s="244" t="str">
        <f t="shared" ca="1" si="134"/>
        <v/>
      </c>
      <c r="DW105" s="244"/>
      <c r="DX105" s="244" t="str">
        <f t="shared" ca="1" si="273"/>
        <v/>
      </c>
      <c r="EA105" s="244" t="b">
        <f t="shared" ca="1" si="233"/>
        <v>0</v>
      </c>
      <c r="EB105" s="278" t="e">
        <f ca="1">VLOOKUP(DM105,Foglio1!$AB$31:$AN$261,13)-6+EA105</f>
        <v>#N/A</v>
      </c>
      <c r="EC105" s="244"/>
      <c r="ED105" s="244" t="e">
        <f t="shared" ca="1" si="202"/>
        <v>#N/A</v>
      </c>
      <c r="EE105" s="244" t="e">
        <f t="shared" ca="1" si="203"/>
        <v>#N/A</v>
      </c>
      <c r="EF105" s="244" t="e">
        <f t="shared" ca="1" si="204"/>
        <v>#N/A</v>
      </c>
      <c r="EG105" s="244" t="e">
        <f t="shared" ca="1" si="205"/>
        <v>#N/A</v>
      </c>
      <c r="EH105" s="244" t="e">
        <f t="shared" ca="1" si="206"/>
        <v>#N/A</v>
      </c>
      <c r="EI105" s="244" t="e">
        <f t="shared" ca="1" si="207"/>
        <v>#N/A</v>
      </c>
      <c r="EJ105" s="244" t="e">
        <f t="shared" ca="1" si="208"/>
        <v>#N/A</v>
      </c>
      <c r="EK105" s="244" t="e">
        <f t="shared" ca="1" si="209"/>
        <v>#N/A</v>
      </c>
      <c r="EL105" s="244" t="e">
        <f t="shared" ca="1" si="210"/>
        <v>#N/A</v>
      </c>
      <c r="EM105" s="244" t="e">
        <f t="shared" ca="1" si="211"/>
        <v>#N/A</v>
      </c>
      <c r="EN105" s="244" t="e">
        <f t="shared" ca="1" si="212"/>
        <v>#N/A</v>
      </c>
      <c r="EO105" s="244" t="e">
        <f t="shared" ca="1" si="213"/>
        <v>#N/A</v>
      </c>
      <c r="EP105" s="244" t="e">
        <f t="shared" ca="1" si="214"/>
        <v>#N/A</v>
      </c>
      <c r="EQ105" s="244" t="e">
        <f t="shared" ca="1" si="215"/>
        <v>#N/A</v>
      </c>
      <c r="ER105" s="244"/>
      <c r="EW105" s="244">
        <v>0</v>
      </c>
      <c r="EX105" s="278" t="e">
        <f ca="1">VLOOKUP(DM105,Foglio1!$AB$31:$AN$261,13)-6+EW105</f>
        <v>#N/A</v>
      </c>
      <c r="EY105" s="244"/>
      <c r="EZ105" s="244">
        <v>0</v>
      </c>
      <c r="FA105" s="244" t="e">
        <f t="shared" ca="1" si="234"/>
        <v>#N/A</v>
      </c>
      <c r="FB105" s="244" t="e">
        <f t="shared" ca="1" si="235"/>
        <v>#N/A</v>
      </c>
      <c r="FC105" s="244" t="e">
        <f t="shared" ca="1" si="236"/>
        <v>#N/A</v>
      </c>
      <c r="FD105" s="244" t="e">
        <f t="shared" ca="1" si="237"/>
        <v>#N/A</v>
      </c>
      <c r="FE105" s="244" t="e">
        <f t="shared" ca="1" si="238"/>
        <v>#N/A</v>
      </c>
      <c r="FF105" s="244" t="e">
        <f t="shared" ca="1" si="239"/>
        <v>#N/A</v>
      </c>
      <c r="FG105" s="244" t="e">
        <f t="shared" ca="1" si="240"/>
        <v>#N/A</v>
      </c>
      <c r="FH105" s="244" t="e">
        <f t="shared" ca="1" si="241"/>
        <v>#N/A</v>
      </c>
      <c r="FI105" s="244" t="e">
        <f t="shared" ca="1" si="242"/>
        <v>#N/A</v>
      </c>
      <c r="FJ105" s="244" t="e">
        <f t="shared" ca="1" si="243"/>
        <v>#N/A</v>
      </c>
      <c r="FK105" s="244" t="e">
        <f t="shared" ca="1" si="244"/>
        <v>#N/A</v>
      </c>
      <c r="FL105" s="244" t="e">
        <f t="shared" ca="1" si="245"/>
        <v>#N/A</v>
      </c>
      <c r="FM105" s="244" t="e">
        <f t="shared" ca="1" si="216"/>
        <v>#N/A</v>
      </c>
      <c r="FN105" s="244"/>
    </row>
    <row r="106" spans="5:170" x14ac:dyDescent="0.25">
      <c r="E106" s="244"/>
      <c r="F106" s="240" t="str">
        <f>IF(fronttd!E108="","",fronttd!E108)</f>
        <v/>
      </c>
      <c r="G106" s="240" t="str">
        <f>IF(fronttd!F108="","",fronttd!F108)</f>
        <v/>
      </c>
      <c r="H106" s="380">
        <f>fronttd!G108</f>
        <v>0</v>
      </c>
      <c r="I106" s="380">
        <f>fronttd!H108</f>
        <v>0</v>
      </c>
      <c r="J106">
        <f t="shared" si="246"/>
        <v>24</v>
      </c>
      <c r="L106">
        <f t="shared" si="247"/>
        <v>106</v>
      </c>
      <c r="O106" s="238">
        <f t="shared" si="248"/>
        <v>106</v>
      </c>
      <c r="R106" s="112" t="str">
        <f t="shared" si="217"/>
        <v/>
      </c>
      <c r="S106" s="238" t="e">
        <f t="shared" ca="1" si="218"/>
        <v>#N/A</v>
      </c>
      <c r="T106" s="112" t="e">
        <f t="shared" ca="1" si="255"/>
        <v>#N/A</v>
      </c>
      <c r="U106" s="112" t="e">
        <f t="shared" ca="1" si="256"/>
        <v>#N/A</v>
      </c>
      <c r="V106" s="112" t="e">
        <f t="shared" ca="1" si="257"/>
        <v>#N/A</v>
      </c>
      <c r="W106" s="112" t="e">
        <f t="shared" ca="1" si="258"/>
        <v>#N/A</v>
      </c>
      <c r="X106" s="112" t="str">
        <f t="shared" si="219"/>
        <v/>
      </c>
      <c r="Y106" s="112"/>
      <c r="Z106" s="112"/>
      <c r="AA106" s="335" t="str">
        <f t="shared" si="220"/>
        <v/>
      </c>
      <c r="AB106" s="335" t="e">
        <f t="shared" ca="1" si="259"/>
        <v>#N/A</v>
      </c>
      <c r="AC106" s="335" t="e">
        <f t="shared" ca="1" si="260"/>
        <v>#N/A</v>
      </c>
      <c r="AD106" s="335" t="e">
        <f t="shared" ca="1" si="261"/>
        <v>#N/A</v>
      </c>
      <c r="AE106" s="335" t="e">
        <f t="shared" ca="1" si="262"/>
        <v>#N/A</v>
      </c>
      <c r="AF106" s="335" t="str">
        <f t="shared" si="221"/>
        <v/>
      </c>
      <c r="AG106" s="238">
        <f>AG105</f>
        <v>37</v>
      </c>
      <c r="AH106" s="112">
        <f ca="1">AI105+1</f>
        <v>37784</v>
      </c>
      <c r="AI106" s="112">
        <f ca="1">IF(INDIRECT(CONCATENATE("AC",AG105))&lt;100000,INDIRECT(CONCATENATE("AC",AG105))-1,IF(INDIRECT(CONCATENATE("AD",AG105))&lt;100000,INDIRECT(CONCATENATE("AD",AG105))-1,IF(INDIRECT(CONCATENATE("AE",AG105))&lt;100000,INDIRECT(CONCATENATE("AE",G105)),INDIRECT(CONCATENATE("AF",AG105)))))</f>
        <v>37783</v>
      </c>
      <c r="AJ106" s="112">
        <f t="shared" ca="1" si="125"/>
        <v>37783</v>
      </c>
      <c r="AK106" s="112">
        <f t="shared" ca="1" si="169"/>
        <v>37783</v>
      </c>
      <c r="AL106" s="238">
        <f t="shared" ca="1" si="127"/>
        <v>0</v>
      </c>
      <c r="AM106" s="112">
        <f t="shared" ca="1" si="285"/>
        <v>100000</v>
      </c>
      <c r="AN106" s="112">
        <f t="shared" ca="1" si="253"/>
        <v>100000</v>
      </c>
      <c r="AO106" s="114">
        <f t="shared" ca="1" si="222"/>
        <v>18</v>
      </c>
      <c r="AP106" s="114">
        <f t="shared" ca="1" si="223"/>
        <v>24</v>
      </c>
      <c r="AQ106" s="112"/>
      <c r="AR106" s="238">
        <f t="shared" si="249"/>
        <v>106</v>
      </c>
      <c r="AS106" s="112"/>
      <c r="AT106" s="112"/>
      <c r="AU106" s="283">
        <f t="shared" si="185"/>
        <v>87</v>
      </c>
      <c r="AV106" s="284">
        <f t="shared" ca="1" si="224"/>
        <v>100000</v>
      </c>
      <c r="AW106" s="284">
        <f t="shared" ca="1" si="286"/>
        <v>100000</v>
      </c>
      <c r="AX106" s="285">
        <f t="shared" ca="1" si="287"/>
        <v>0</v>
      </c>
      <c r="AY106" s="285">
        <f t="shared" ca="1" si="186"/>
        <v>24</v>
      </c>
      <c r="AZ106" s="282"/>
      <c r="BD106" s="114">
        <f t="shared" si="250"/>
        <v>1</v>
      </c>
      <c r="BE106" s="112">
        <f t="shared" si="225"/>
        <v>100000</v>
      </c>
      <c r="BH106" s="238">
        <f t="shared" si="251"/>
        <v>87</v>
      </c>
      <c r="BI106" s="245" t="str">
        <f t="shared" si="226"/>
        <v/>
      </c>
      <c r="BJ106" s="281">
        <f t="shared" ca="1" si="265"/>
        <v>16</v>
      </c>
      <c r="BK106" s="245" t="e">
        <f t="shared" ca="1" si="227"/>
        <v>#NUM!</v>
      </c>
      <c r="BL106" s="245" t="e">
        <f t="shared" ca="1" si="228"/>
        <v>#NUM!</v>
      </c>
      <c r="BN106" s="245" t="e">
        <f t="shared" ca="1" si="266"/>
        <v>#NUM!</v>
      </c>
      <c r="CL106" s="112"/>
      <c r="CM106" s="112"/>
      <c r="CP106" s="112"/>
      <c r="CQ106" s="112"/>
      <c r="CR106" s="238"/>
      <c r="CS106" s="238"/>
      <c r="CT106" s="112"/>
      <c r="CU106" s="112"/>
      <c r="CV106" s="112"/>
      <c r="CW106" s="112" t="s">
        <v>224</v>
      </c>
      <c r="CX106" s="112" t="s">
        <v>225</v>
      </c>
      <c r="CY106" s="112" t="s">
        <v>226</v>
      </c>
      <c r="CZ106" s="112" t="s">
        <v>227</v>
      </c>
      <c r="DA106" s="112" t="s">
        <v>228</v>
      </c>
      <c r="DB106" s="112" t="s">
        <v>229</v>
      </c>
      <c r="DC106" s="112"/>
      <c r="DD106" s="238">
        <f t="shared" ca="1" si="283"/>
        <v>0</v>
      </c>
      <c r="DE106" s="238">
        <f t="shared" ca="1" si="275"/>
        <v>0</v>
      </c>
      <c r="DF106" s="112"/>
      <c r="DG106" s="238"/>
      <c r="DH106" s="238"/>
      <c r="DI106" s="112"/>
      <c r="DJ106" s="238"/>
      <c r="DK106" s="112" t="str">
        <f t="shared" ca="1" si="229"/>
        <v/>
      </c>
      <c r="DL106" s="278" t="str">
        <f t="shared" ca="1" si="129"/>
        <v/>
      </c>
      <c r="DM106" s="245" t="str">
        <f t="shared" ref="DM106:DP106" ca="1" si="289">DM657</f>
        <v/>
      </c>
      <c r="DN106" s="245" t="str">
        <f t="shared" ca="1" si="289"/>
        <v/>
      </c>
      <c r="DO106" s="245" t="str">
        <f t="shared" ca="1" si="289"/>
        <v/>
      </c>
      <c r="DP106" s="245" t="str">
        <f t="shared" ca="1" si="289"/>
        <v/>
      </c>
      <c r="DQ106" s="281" t="str">
        <f t="shared" ca="1" si="131"/>
        <v/>
      </c>
      <c r="DR106" s="278" t="str">
        <f t="shared" ca="1" si="132"/>
        <v/>
      </c>
      <c r="DS106" s="244" t="str">
        <f t="shared" ca="1" si="231"/>
        <v/>
      </c>
      <c r="DT106" s="244" t="str">
        <f t="shared" ca="1" si="232"/>
        <v/>
      </c>
      <c r="DU106" s="244" t="str">
        <f t="shared" ca="1" si="133"/>
        <v/>
      </c>
      <c r="DV106" s="244" t="str">
        <f t="shared" ca="1" si="134"/>
        <v/>
      </c>
      <c r="DW106" s="244"/>
      <c r="DX106" s="244" t="str">
        <f t="shared" ca="1" si="273"/>
        <v/>
      </c>
      <c r="EA106" s="244" t="b">
        <f t="shared" ca="1" si="233"/>
        <v>0</v>
      </c>
      <c r="EB106" s="278" t="e">
        <f ca="1">VLOOKUP(DM106,Foglio1!$AB$31:$AN$261,13)-6+EA106</f>
        <v>#N/A</v>
      </c>
      <c r="EC106" s="244"/>
      <c r="ED106" s="244" t="e">
        <f t="shared" ca="1" si="202"/>
        <v>#N/A</v>
      </c>
      <c r="EE106" s="244" t="e">
        <f t="shared" ca="1" si="203"/>
        <v>#N/A</v>
      </c>
      <c r="EF106" s="244" t="e">
        <f t="shared" ca="1" si="204"/>
        <v>#N/A</v>
      </c>
      <c r="EG106" s="244" t="e">
        <f t="shared" ca="1" si="205"/>
        <v>#N/A</v>
      </c>
      <c r="EH106" s="244" t="e">
        <f t="shared" ca="1" si="206"/>
        <v>#N/A</v>
      </c>
      <c r="EI106" s="244" t="e">
        <f t="shared" ca="1" si="207"/>
        <v>#N/A</v>
      </c>
      <c r="EJ106" s="244" t="e">
        <f t="shared" ca="1" si="208"/>
        <v>#N/A</v>
      </c>
      <c r="EK106" s="244" t="e">
        <f t="shared" ca="1" si="209"/>
        <v>#N/A</v>
      </c>
      <c r="EL106" s="244" t="e">
        <f t="shared" ca="1" si="210"/>
        <v>#N/A</v>
      </c>
      <c r="EM106" s="244" t="e">
        <f t="shared" ca="1" si="211"/>
        <v>#N/A</v>
      </c>
      <c r="EN106" s="244" t="e">
        <f t="shared" ca="1" si="212"/>
        <v>#N/A</v>
      </c>
      <c r="EO106" s="244" t="e">
        <f t="shared" ca="1" si="213"/>
        <v>#N/A</v>
      </c>
      <c r="EP106" s="244" t="e">
        <f t="shared" ca="1" si="214"/>
        <v>#N/A</v>
      </c>
      <c r="EQ106" s="244" t="e">
        <f t="shared" ca="1" si="215"/>
        <v>#N/A</v>
      </c>
      <c r="ER106" s="244"/>
      <c r="EW106" s="244">
        <v>0</v>
      </c>
      <c r="EX106" s="278" t="e">
        <f ca="1">VLOOKUP(DM106,Foglio1!$AB$31:$AN$261,13)-6+EW106</f>
        <v>#N/A</v>
      </c>
      <c r="EY106" s="244"/>
      <c r="EZ106" s="244">
        <v>0</v>
      </c>
      <c r="FA106" s="244" t="e">
        <f t="shared" ca="1" si="234"/>
        <v>#N/A</v>
      </c>
      <c r="FB106" s="244" t="e">
        <f t="shared" ca="1" si="235"/>
        <v>#N/A</v>
      </c>
      <c r="FC106" s="244" t="e">
        <f t="shared" ca="1" si="236"/>
        <v>#N/A</v>
      </c>
      <c r="FD106" s="244" t="e">
        <f t="shared" ca="1" si="237"/>
        <v>#N/A</v>
      </c>
      <c r="FE106" s="244" t="e">
        <f t="shared" ca="1" si="238"/>
        <v>#N/A</v>
      </c>
      <c r="FF106" s="244" t="e">
        <f t="shared" ca="1" si="239"/>
        <v>#N/A</v>
      </c>
      <c r="FG106" s="244" t="e">
        <f t="shared" ca="1" si="240"/>
        <v>#N/A</v>
      </c>
      <c r="FH106" s="244" t="e">
        <f t="shared" ca="1" si="241"/>
        <v>#N/A</v>
      </c>
      <c r="FI106" s="244" t="e">
        <f t="shared" ca="1" si="242"/>
        <v>#N/A</v>
      </c>
      <c r="FJ106" s="244" t="e">
        <f t="shared" ca="1" si="243"/>
        <v>#N/A</v>
      </c>
      <c r="FK106" s="244" t="e">
        <f t="shared" ca="1" si="244"/>
        <v>#N/A</v>
      </c>
      <c r="FL106" s="244" t="e">
        <f t="shared" ca="1" si="245"/>
        <v>#N/A</v>
      </c>
      <c r="FM106" s="244" t="e">
        <f t="shared" ca="1" si="216"/>
        <v>#N/A</v>
      </c>
      <c r="FN106" s="244"/>
    </row>
    <row r="107" spans="5:170" x14ac:dyDescent="0.25">
      <c r="E107" s="244"/>
      <c r="F107" s="240" t="str">
        <f>IF(fronttd!E109="","",fronttd!E109)</f>
        <v/>
      </c>
      <c r="G107" s="240" t="str">
        <f>IF(fronttd!F109="","",fronttd!F109)</f>
        <v/>
      </c>
      <c r="H107" s="380">
        <f>fronttd!G109</f>
        <v>0</v>
      </c>
      <c r="I107" s="380">
        <f>fronttd!H109</f>
        <v>0</v>
      </c>
      <c r="J107">
        <f t="shared" si="246"/>
        <v>24</v>
      </c>
      <c r="L107">
        <f t="shared" si="247"/>
        <v>107</v>
      </c>
      <c r="O107" s="238">
        <f t="shared" si="248"/>
        <v>107</v>
      </c>
      <c r="R107" s="112" t="str">
        <f t="shared" si="217"/>
        <v/>
      </c>
      <c r="S107" s="238" t="e">
        <f t="shared" ca="1" si="218"/>
        <v>#N/A</v>
      </c>
      <c r="T107" s="112" t="e">
        <f t="shared" ca="1" si="255"/>
        <v>#N/A</v>
      </c>
      <c r="U107" s="112" t="e">
        <f t="shared" ca="1" si="256"/>
        <v>#N/A</v>
      </c>
      <c r="V107" s="112" t="e">
        <f t="shared" ca="1" si="257"/>
        <v>#N/A</v>
      </c>
      <c r="W107" s="112" t="e">
        <f t="shared" ca="1" si="258"/>
        <v>#N/A</v>
      </c>
      <c r="X107" s="112" t="str">
        <f t="shared" si="219"/>
        <v/>
      </c>
      <c r="Y107" s="112"/>
      <c r="Z107" s="112"/>
      <c r="AA107" s="335" t="str">
        <f t="shared" si="220"/>
        <v/>
      </c>
      <c r="AB107" s="335" t="e">
        <f t="shared" ca="1" si="259"/>
        <v>#N/A</v>
      </c>
      <c r="AC107" s="335" t="e">
        <f t="shared" ca="1" si="260"/>
        <v>#N/A</v>
      </c>
      <c r="AD107" s="335" t="e">
        <f t="shared" ca="1" si="261"/>
        <v>#N/A</v>
      </c>
      <c r="AE107" s="335" t="e">
        <f t="shared" ca="1" si="262"/>
        <v>#N/A</v>
      </c>
      <c r="AF107" s="335" t="str">
        <f t="shared" si="221"/>
        <v/>
      </c>
      <c r="AG107" s="238">
        <f>AG106</f>
        <v>37</v>
      </c>
      <c r="AH107" s="112">
        <f ca="1">AI106+1</f>
        <v>37784</v>
      </c>
      <c r="AI107" s="112">
        <f ca="1">IF(INDIRECT(CONCATENATE("AD",AG105))&lt;100000,INDIRECT(CONCATENATE("AD",AG105))-1,IF(INDIRECT(CONCATENATE("AE",AG105))&lt;100000,INDIRECT(CONCATENATE("AE",G105)),INDIRECT(CONCATENATE("AF",AG105))))</f>
        <v>37783</v>
      </c>
      <c r="AJ107" s="112">
        <f t="shared" ca="1" si="125"/>
        <v>37783</v>
      </c>
      <c r="AK107" s="112">
        <f t="shared" ca="1" si="169"/>
        <v>37783</v>
      </c>
      <c r="AL107" s="238">
        <f t="shared" ca="1" si="127"/>
        <v>0</v>
      </c>
      <c r="AM107" s="112">
        <f t="shared" ca="1" si="285"/>
        <v>100000</v>
      </c>
      <c r="AN107" s="112">
        <f t="shared" ca="1" si="253"/>
        <v>100000</v>
      </c>
      <c r="AO107" s="114">
        <f t="shared" ca="1" si="222"/>
        <v>18</v>
      </c>
      <c r="AP107" s="114">
        <f t="shared" ca="1" si="223"/>
        <v>24</v>
      </c>
      <c r="AQ107" s="112"/>
      <c r="AR107" s="238">
        <f t="shared" si="249"/>
        <v>107</v>
      </c>
      <c r="AS107" s="112"/>
      <c r="AT107" s="112"/>
      <c r="AU107" s="283">
        <f t="shared" si="185"/>
        <v>88</v>
      </c>
      <c r="AV107" s="284">
        <f t="shared" ca="1" si="224"/>
        <v>100000</v>
      </c>
      <c r="AW107" s="284">
        <f t="shared" ca="1" si="286"/>
        <v>100000</v>
      </c>
      <c r="AX107" s="285">
        <f t="shared" ca="1" si="287"/>
        <v>0</v>
      </c>
      <c r="AY107" s="285">
        <f t="shared" ca="1" si="186"/>
        <v>24</v>
      </c>
      <c r="AZ107" s="282"/>
      <c r="BD107" s="114">
        <f t="shared" si="250"/>
        <v>1</v>
      </c>
      <c r="BE107" s="112">
        <f t="shared" si="225"/>
        <v>100000</v>
      </c>
      <c r="BH107" s="238">
        <f t="shared" si="251"/>
        <v>88</v>
      </c>
      <c r="BI107" s="245" t="str">
        <f t="shared" si="226"/>
        <v/>
      </c>
      <c r="BJ107" s="281">
        <f t="shared" ca="1" si="265"/>
        <v>16</v>
      </c>
      <c r="BK107" s="245" t="e">
        <f t="shared" ca="1" si="227"/>
        <v>#NUM!</v>
      </c>
      <c r="BL107" s="245" t="e">
        <f t="shared" ca="1" si="228"/>
        <v>#NUM!</v>
      </c>
      <c r="BN107" s="245" t="e">
        <f t="shared" ca="1" si="266"/>
        <v>#NUM!</v>
      </c>
      <c r="CL107" s="112"/>
      <c r="CM107" s="112"/>
      <c r="CP107" s="112"/>
      <c r="CQ107" s="112"/>
      <c r="CR107" s="238"/>
      <c r="CS107" s="238"/>
      <c r="CT107" s="112"/>
      <c r="CU107" s="112"/>
      <c r="CV107" s="112"/>
      <c r="CW107" s="112" t="s">
        <v>224</v>
      </c>
      <c r="CX107" s="112" t="s">
        <v>225</v>
      </c>
      <c r="CY107" s="112" t="s">
        <v>226</v>
      </c>
      <c r="CZ107" s="112" t="s">
        <v>227</v>
      </c>
      <c r="DA107" s="112" t="s">
        <v>228</v>
      </c>
      <c r="DB107" s="112" t="s">
        <v>229</v>
      </c>
      <c r="DC107" s="112"/>
      <c r="DD107" s="238">
        <f t="shared" ca="1" si="283"/>
        <v>0</v>
      </c>
      <c r="DE107" s="238">
        <f t="shared" ca="1" si="275"/>
        <v>0</v>
      </c>
      <c r="DF107" s="112"/>
      <c r="DG107" s="238"/>
      <c r="DH107" s="238"/>
      <c r="DI107" s="112"/>
      <c r="DJ107" s="238"/>
      <c r="DK107" s="112" t="str">
        <f t="shared" ca="1" si="229"/>
        <v/>
      </c>
      <c r="DL107" s="278" t="str">
        <f t="shared" ca="1" si="129"/>
        <v/>
      </c>
      <c r="DM107" s="245" t="str">
        <f t="shared" ref="DM107:DP107" ca="1" si="290">DM658</f>
        <v/>
      </c>
      <c r="DN107" s="245" t="str">
        <f t="shared" ca="1" si="290"/>
        <v/>
      </c>
      <c r="DO107" s="245" t="str">
        <f t="shared" ca="1" si="290"/>
        <v/>
      </c>
      <c r="DP107" s="245" t="str">
        <f t="shared" ca="1" si="290"/>
        <v/>
      </c>
      <c r="DQ107" s="281" t="str">
        <f t="shared" ca="1" si="131"/>
        <v/>
      </c>
      <c r="DR107" s="278" t="str">
        <f t="shared" ca="1" si="132"/>
        <v/>
      </c>
      <c r="DS107" s="244" t="str">
        <f t="shared" ca="1" si="231"/>
        <v/>
      </c>
      <c r="DT107" s="244" t="str">
        <f t="shared" ca="1" si="232"/>
        <v/>
      </c>
      <c r="DU107" s="244" t="str">
        <f t="shared" ca="1" si="133"/>
        <v/>
      </c>
      <c r="DV107" s="244" t="str">
        <f t="shared" ca="1" si="134"/>
        <v/>
      </c>
      <c r="DW107" s="244"/>
      <c r="DX107" s="244" t="str">
        <f t="shared" ca="1" si="273"/>
        <v/>
      </c>
      <c r="EA107" s="244" t="b">
        <f t="shared" ca="1" si="233"/>
        <v>0</v>
      </c>
      <c r="EB107" s="278" t="e">
        <f ca="1">VLOOKUP(DM107,Foglio1!$AB$31:$AN$261,13)-6+EA107</f>
        <v>#N/A</v>
      </c>
      <c r="EC107" s="244"/>
      <c r="ED107" s="244" t="e">
        <f t="shared" ca="1" si="202"/>
        <v>#N/A</v>
      </c>
      <c r="EE107" s="244" t="e">
        <f t="shared" ca="1" si="203"/>
        <v>#N/A</v>
      </c>
      <c r="EF107" s="244" t="e">
        <f t="shared" ca="1" si="204"/>
        <v>#N/A</v>
      </c>
      <c r="EG107" s="244" t="e">
        <f t="shared" ca="1" si="205"/>
        <v>#N/A</v>
      </c>
      <c r="EH107" s="244" t="e">
        <f t="shared" ca="1" si="206"/>
        <v>#N/A</v>
      </c>
      <c r="EI107" s="244" t="e">
        <f t="shared" ca="1" si="207"/>
        <v>#N/A</v>
      </c>
      <c r="EJ107" s="244" t="e">
        <f t="shared" ca="1" si="208"/>
        <v>#N/A</v>
      </c>
      <c r="EK107" s="244" t="e">
        <f t="shared" ca="1" si="209"/>
        <v>#N/A</v>
      </c>
      <c r="EL107" s="244" t="e">
        <f t="shared" ca="1" si="210"/>
        <v>#N/A</v>
      </c>
      <c r="EM107" s="244" t="e">
        <f t="shared" ca="1" si="211"/>
        <v>#N/A</v>
      </c>
      <c r="EN107" s="244" t="e">
        <f t="shared" ca="1" si="212"/>
        <v>#N/A</v>
      </c>
      <c r="EO107" s="244" t="e">
        <f t="shared" ca="1" si="213"/>
        <v>#N/A</v>
      </c>
      <c r="EP107" s="244" t="e">
        <f t="shared" ca="1" si="214"/>
        <v>#N/A</v>
      </c>
      <c r="EQ107" s="244" t="e">
        <f t="shared" ca="1" si="215"/>
        <v>#N/A</v>
      </c>
      <c r="ER107" s="244"/>
      <c r="EW107" s="244">
        <v>0</v>
      </c>
      <c r="EX107" s="278" t="e">
        <f ca="1">VLOOKUP(DM107,Foglio1!$AB$31:$AN$261,13)-6+EW107</f>
        <v>#N/A</v>
      </c>
      <c r="EY107" s="244"/>
      <c r="EZ107" s="244">
        <v>0</v>
      </c>
      <c r="FA107" s="244" t="e">
        <f t="shared" ca="1" si="234"/>
        <v>#N/A</v>
      </c>
      <c r="FB107" s="244" t="e">
        <f t="shared" ca="1" si="235"/>
        <v>#N/A</v>
      </c>
      <c r="FC107" s="244" t="e">
        <f t="shared" ca="1" si="236"/>
        <v>#N/A</v>
      </c>
      <c r="FD107" s="244" t="e">
        <f t="shared" ca="1" si="237"/>
        <v>#N/A</v>
      </c>
      <c r="FE107" s="244" t="e">
        <f t="shared" ca="1" si="238"/>
        <v>#N/A</v>
      </c>
      <c r="FF107" s="244" t="e">
        <f t="shared" ca="1" si="239"/>
        <v>#N/A</v>
      </c>
      <c r="FG107" s="244" t="e">
        <f t="shared" ca="1" si="240"/>
        <v>#N/A</v>
      </c>
      <c r="FH107" s="244" t="e">
        <f t="shared" ca="1" si="241"/>
        <v>#N/A</v>
      </c>
      <c r="FI107" s="244" t="e">
        <f t="shared" ca="1" si="242"/>
        <v>#N/A</v>
      </c>
      <c r="FJ107" s="244" t="e">
        <f t="shared" ca="1" si="243"/>
        <v>#N/A</v>
      </c>
      <c r="FK107" s="244" t="e">
        <f t="shared" ca="1" si="244"/>
        <v>#N/A</v>
      </c>
      <c r="FL107" s="244" t="e">
        <f t="shared" ca="1" si="245"/>
        <v>#N/A</v>
      </c>
      <c r="FM107" s="244" t="e">
        <f t="shared" ca="1" si="216"/>
        <v>#N/A</v>
      </c>
      <c r="FN107" s="244"/>
    </row>
    <row r="108" spans="5:170" x14ac:dyDescent="0.25">
      <c r="E108" s="244"/>
      <c r="F108" s="240" t="str">
        <f>IF(fronttd!E110="","",fronttd!E110)</f>
        <v/>
      </c>
      <c r="G108" s="240" t="str">
        <f>IF(fronttd!F110="","",fronttd!F110)</f>
        <v/>
      </c>
      <c r="H108" s="380">
        <f>fronttd!G110</f>
        <v>0</v>
      </c>
      <c r="I108" s="380">
        <f>fronttd!H110</f>
        <v>0</v>
      </c>
      <c r="J108">
        <f t="shared" si="246"/>
        <v>24</v>
      </c>
      <c r="L108">
        <f t="shared" si="247"/>
        <v>108</v>
      </c>
      <c r="O108" s="238">
        <f t="shared" si="248"/>
        <v>108</v>
      </c>
      <c r="R108" s="112" t="str">
        <f t="shared" si="217"/>
        <v/>
      </c>
      <c r="S108" s="238" t="e">
        <f t="shared" ca="1" si="218"/>
        <v>#N/A</v>
      </c>
      <c r="T108" s="112" t="e">
        <f t="shared" ca="1" si="255"/>
        <v>#N/A</v>
      </c>
      <c r="U108" s="112" t="e">
        <f t="shared" ca="1" si="256"/>
        <v>#N/A</v>
      </c>
      <c r="V108" s="112" t="e">
        <f t="shared" ca="1" si="257"/>
        <v>#N/A</v>
      </c>
      <c r="W108" s="112" t="e">
        <f t="shared" ca="1" si="258"/>
        <v>#N/A</v>
      </c>
      <c r="X108" s="112" t="str">
        <f t="shared" si="219"/>
        <v/>
      </c>
      <c r="Y108" s="112"/>
      <c r="Z108" s="112"/>
      <c r="AA108" s="335" t="str">
        <f t="shared" si="220"/>
        <v/>
      </c>
      <c r="AB108" s="335" t="e">
        <f t="shared" ca="1" si="259"/>
        <v>#N/A</v>
      </c>
      <c r="AC108" s="335" t="e">
        <f t="shared" ca="1" si="260"/>
        <v>#N/A</v>
      </c>
      <c r="AD108" s="335" t="e">
        <f t="shared" ca="1" si="261"/>
        <v>#N/A</v>
      </c>
      <c r="AE108" s="335" t="e">
        <f t="shared" ca="1" si="262"/>
        <v>#N/A</v>
      </c>
      <c r="AF108" s="335" t="str">
        <f t="shared" si="221"/>
        <v/>
      </c>
      <c r="AG108" s="238">
        <f>AG107</f>
        <v>37</v>
      </c>
      <c r="AH108" s="112">
        <f ca="1">AI107+1</f>
        <v>37784</v>
      </c>
      <c r="AI108" s="112">
        <f ca="1">IF(INDIRECT(CONCATENATE("AE",AG105))&lt;100000,INDIRECT(CONCATENATE("AE",G105)),INDIRECT(CONCATENATE("AF",AG105)))</f>
        <v>37783</v>
      </c>
      <c r="AJ108" s="112">
        <f t="shared" ca="1" si="125"/>
        <v>37783</v>
      </c>
      <c r="AK108" s="112">
        <f t="shared" ca="1" si="169"/>
        <v>37783</v>
      </c>
      <c r="AL108" s="238">
        <f t="shared" ca="1" si="127"/>
        <v>0</v>
      </c>
      <c r="AM108" s="112">
        <f t="shared" ca="1" si="285"/>
        <v>100000</v>
      </c>
      <c r="AN108" s="112">
        <f t="shared" ca="1" si="253"/>
        <v>100000</v>
      </c>
      <c r="AO108" s="114">
        <f t="shared" ca="1" si="222"/>
        <v>18</v>
      </c>
      <c r="AP108" s="114">
        <f t="shared" ca="1" si="223"/>
        <v>24</v>
      </c>
      <c r="AQ108" s="112"/>
      <c r="AR108" s="238">
        <f t="shared" si="249"/>
        <v>108</v>
      </c>
      <c r="AS108" s="112"/>
      <c r="AT108" s="112"/>
      <c r="AU108" s="283">
        <f t="shared" si="185"/>
        <v>89</v>
      </c>
      <c r="AV108" s="284">
        <f t="shared" ca="1" si="224"/>
        <v>100000</v>
      </c>
      <c r="AW108" s="284">
        <f t="shared" ca="1" si="286"/>
        <v>100000</v>
      </c>
      <c r="AX108" s="285">
        <f t="shared" ca="1" si="287"/>
        <v>0</v>
      </c>
      <c r="AY108" s="285">
        <f t="shared" ca="1" si="186"/>
        <v>24</v>
      </c>
      <c r="AZ108" s="282"/>
      <c r="BD108" s="114">
        <f t="shared" si="250"/>
        <v>1</v>
      </c>
      <c r="BE108" s="112">
        <f t="shared" si="225"/>
        <v>100000</v>
      </c>
      <c r="BH108" s="238">
        <f t="shared" si="251"/>
        <v>89</v>
      </c>
      <c r="BI108" s="245" t="str">
        <f t="shared" si="226"/>
        <v/>
      </c>
      <c r="BJ108" s="281">
        <f t="shared" ca="1" si="265"/>
        <v>16</v>
      </c>
      <c r="BK108" s="245" t="e">
        <f t="shared" ca="1" si="227"/>
        <v>#NUM!</v>
      </c>
      <c r="BL108" s="245" t="e">
        <f t="shared" ca="1" si="228"/>
        <v>#NUM!</v>
      </c>
      <c r="BN108" s="245" t="e">
        <f t="shared" ca="1" si="266"/>
        <v>#NUM!</v>
      </c>
      <c r="CL108" s="112"/>
      <c r="CM108" s="112"/>
      <c r="CP108" s="112"/>
      <c r="CQ108" s="112"/>
      <c r="CR108" s="238"/>
      <c r="CS108" s="238"/>
      <c r="CT108" s="112"/>
      <c r="CU108" s="112"/>
      <c r="CV108" s="112"/>
      <c r="CW108" s="112" t="s">
        <v>224</v>
      </c>
      <c r="CX108" s="112" t="s">
        <v>225</v>
      </c>
      <c r="CY108" s="112" t="s">
        <v>226</v>
      </c>
      <c r="CZ108" s="112" t="s">
        <v>227</v>
      </c>
      <c r="DA108" s="112" t="s">
        <v>228</v>
      </c>
      <c r="DB108" s="112" t="s">
        <v>229</v>
      </c>
      <c r="DC108" s="112"/>
      <c r="DD108" s="238">
        <f t="shared" ca="1" si="283"/>
        <v>0</v>
      </c>
      <c r="DE108" s="238">
        <f t="shared" ca="1" si="275"/>
        <v>0</v>
      </c>
      <c r="DF108" s="112"/>
      <c r="DG108" s="238"/>
      <c r="DH108" s="238"/>
      <c r="DI108" s="112"/>
      <c r="DJ108" s="238"/>
      <c r="DK108" s="112" t="str">
        <f t="shared" ca="1" si="229"/>
        <v/>
      </c>
      <c r="DL108" s="278" t="str">
        <f t="shared" ca="1" si="129"/>
        <v/>
      </c>
      <c r="DM108" s="245" t="str">
        <f t="shared" ref="DM108:DP108" ca="1" si="291">DM659</f>
        <v/>
      </c>
      <c r="DN108" s="245" t="str">
        <f t="shared" ca="1" si="291"/>
        <v/>
      </c>
      <c r="DO108" s="245" t="str">
        <f t="shared" ca="1" si="291"/>
        <v/>
      </c>
      <c r="DP108" s="245" t="str">
        <f t="shared" ca="1" si="291"/>
        <v/>
      </c>
      <c r="DQ108" s="281" t="str">
        <f t="shared" ca="1" si="131"/>
        <v/>
      </c>
      <c r="DR108" s="278" t="str">
        <f t="shared" ca="1" si="132"/>
        <v/>
      </c>
      <c r="DS108" s="244" t="str">
        <f t="shared" ca="1" si="231"/>
        <v/>
      </c>
      <c r="DT108" s="244" t="str">
        <f t="shared" ca="1" si="232"/>
        <v/>
      </c>
      <c r="DU108" s="244" t="str">
        <f t="shared" ca="1" si="133"/>
        <v/>
      </c>
      <c r="DV108" s="244" t="str">
        <f t="shared" ca="1" si="134"/>
        <v/>
      </c>
      <c r="DW108" s="244"/>
      <c r="DX108" s="244" t="str">
        <f t="shared" ca="1" si="273"/>
        <v/>
      </c>
      <c r="EA108" s="244" t="b">
        <f t="shared" ca="1" si="233"/>
        <v>0</v>
      </c>
      <c r="EB108" s="278" t="e">
        <f ca="1">VLOOKUP(DM108,Foglio1!$AB$31:$AN$261,13)-6+EA108</f>
        <v>#N/A</v>
      </c>
      <c r="EC108" s="244"/>
      <c r="ED108" s="244" t="e">
        <f t="shared" ca="1" si="202"/>
        <v>#N/A</v>
      </c>
      <c r="EE108" s="244" t="e">
        <f t="shared" ca="1" si="203"/>
        <v>#N/A</v>
      </c>
      <c r="EF108" s="244" t="e">
        <f t="shared" ca="1" si="204"/>
        <v>#N/A</v>
      </c>
      <c r="EG108" s="244" t="e">
        <f t="shared" ca="1" si="205"/>
        <v>#N/A</v>
      </c>
      <c r="EH108" s="244" t="e">
        <f t="shared" ca="1" si="206"/>
        <v>#N/A</v>
      </c>
      <c r="EI108" s="244" t="e">
        <f t="shared" ca="1" si="207"/>
        <v>#N/A</v>
      </c>
      <c r="EJ108" s="244" t="e">
        <f t="shared" ca="1" si="208"/>
        <v>#N/A</v>
      </c>
      <c r="EK108" s="244" t="e">
        <f t="shared" ca="1" si="209"/>
        <v>#N/A</v>
      </c>
      <c r="EL108" s="244" t="e">
        <f t="shared" ca="1" si="210"/>
        <v>#N/A</v>
      </c>
      <c r="EM108" s="244" t="e">
        <f t="shared" ca="1" si="211"/>
        <v>#N/A</v>
      </c>
      <c r="EN108" s="244" t="e">
        <f t="shared" ca="1" si="212"/>
        <v>#N/A</v>
      </c>
      <c r="EO108" s="244" t="e">
        <f t="shared" ca="1" si="213"/>
        <v>#N/A</v>
      </c>
      <c r="EP108" s="244" t="e">
        <f t="shared" ca="1" si="214"/>
        <v>#N/A</v>
      </c>
      <c r="EQ108" s="244" t="e">
        <f t="shared" ca="1" si="215"/>
        <v>#N/A</v>
      </c>
      <c r="ER108" s="244"/>
      <c r="EW108" s="244">
        <v>0</v>
      </c>
      <c r="EX108" s="278" t="e">
        <f ca="1">VLOOKUP(DM108,Foglio1!$AB$31:$AN$261,13)-6+EW108</f>
        <v>#N/A</v>
      </c>
      <c r="EY108" s="244"/>
      <c r="EZ108" s="244">
        <v>0</v>
      </c>
      <c r="FA108" s="244" t="e">
        <f t="shared" ca="1" si="234"/>
        <v>#N/A</v>
      </c>
      <c r="FB108" s="244" t="e">
        <f t="shared" ca="1" si="235"/>
        <v>#N/A</v>
      </c>
      <c r="FC108" s="244" t="e">
        <f t="shared" ca="1" si="236"/>
        <v>#N/A</v>
      </c>
      <c r="FD108" s="244" t="e">
        <f t="shared" ca="1" si="237"/>
        <v>#N/A</v>
      </c>
      <c r="FE108" s="244" t="e">
        <f t="shared" ca="1" si="238"/>
        <v>#N/A</v>
      </c>
      <c r="FF108" s="244" t="e">
        <f t="shared" ca="1" si="239"/>
        <v>#N/A</v>
      </c>
      <c r="FG108" s="244" t="e">
        <f t="shared" ca="1" si="240"/>
        <v>#N/A</v>
      </c>
      <c r="FH108" s="244" t="e">
        <f t="shared" ca="1" si="241"/>
        <v>#N/A</v>
      </c>
      <c r="FI108" s="244" t="e">
        <f t="shared" ca="1" si="242"/>
        <v>#N/A</v>
      </c>
      <c r="FJ108" s="244" t="e">
        <f t="shared" ca="1" si="243"/>
        <v>#N/A</v>
      </c>
      <c r="FK108" s="244" t="e">
        <f t="shared" ca="1" si="244"/>
        <v>#N/A</v>
      </c>
      <c r="FL108" s="244" t="e">
        <f t="shared" ca="1" si="245"/>
        <v>#N/A</v>
      </c>
      <c r="FM108" s="244" t="e">
        <f t="shared" ca="1" si="216"/>
        <v>#N/A</v>
      </c>
      <c r="FN108" s="244"/>
    </row>
    <row r="109" spans="5:170" x14ac:dyDescent="0.25">
      <c r="E109" s="244"/>
      <c r="F109" s="240" t="str">
        <f>IF(fronttd!E111="","",fronttd!E111)</f>
        <v/>
      </c>
      <c r="G109" s="240" t="str">
        <f>IF(fronttd!F111="","",fronttd!F111)</f>
        <v/>
      </c>
      <c r="H109" s="380">
        <f>fronttd!G111</f>
        <v>0</v>
      </c>
      <c r="I109" s="380">
        <f>fronttd!H111</f>
        <v>0</v>
      </c>
      <c r="J109">
        <f t="shared" si="246"/>
        <v>24</v>
      </c>
      <c r="L109">
        <f t="shared" si="247"/>
        <v>109</v>
      </c>
      <c r="O109" s="238">
        <f t="shared" si="248"/>
        <v>109</v>
      </c>
      <c r="R109" s="112" t="str">
        <f t="shared" si="217"/>
        <v/>
      </c>
      <c r="S109" s="238" t="e">
        <f t="shared" ca="1" si="218"/>
        <v>#N/A</v>
      </c>
      <c r="T109" s="112" t="e">
        <f t="shared" ca="1" si="255"/>
        <v>#N/A</v>
      </c>
      <c r="U109" s="112" t="e">
        <f t="shared" ca="1" si="256"/>
        <v>#N/A</v>
      </c>
      <c r="V109" s="112" t="e">
        <f t="shared" ca="1" si="257"/>
        <v>#N/A</v>
      </c>
      <c r="W109" s="112" t="e">
        <f t="shared" ca="1" si="258"/>
        <v>#N/A</v>
      </c>
      <c r="X109" s="112" t="str">
        <f t="shared" si="219"/>
        <v/>
      </c>
      <c r="Y109" s="112"/>
      <c r="Z109" s="112"/>
      <c r="AA109" s="335" t="str">
        <f t="shared" si="220"/>
        <v/>
      </c>
      <c r="AB109" s="335" t="e">
        <f t="shared" ca="1" si="259"/>
        <v>#N/A</v>
      </c>
      <c r="AC109" s="335" t="e">
        <f t="shared" ca="1" si="260"/>
        <v>#N/A</v>
      </c>
      <c r="AD109" s="335" t="e">
        <f t="shared" ca="1" si="261"/>
        <v>#N/A</v>
      </c>
      <c r="AE109" s="335" t="e">
        <f t="shared" ca="1" si="262"/>
        <v>#N/A</v>
      </c>
      <c r="AF109" s="335" t="str">
        <f t="shared" si="221"/>
        <v/>
      </c>
      <c r="AG109" s="238">
        <f>AG108</f>
        <v>37</v>
      </c>
      <c r="AH109" s="112">
        <f ca="1">AI108+1</f>
        <v>37784</v>
      </c>
      <c r="AI109" s="112">
        <f ca="1">INDIRECT(CONCATENATE("AF",AG105))</f>
        <v>37783</v>
      </c>
      <c r="AJ109" s="112">
        <f t="shared" ref="AJ109:AJ172" ca="1" si="292">IF(TYPE(AI109)=16,VLOOKUP(AH109,$F$20:$G$146,2),AI109)</f>
        <v>37783</v>
      </c>
      <c r="AK109" s="112">
        <f t="shared" ca="1" si="169"/>
        <v>37783</v>
      </c>
      <c r="AL109" s="238">
        <f t="shared" ca="1" si="127"/>
        <v>0</v>
      </c>
      <c r="AM109" s="112">
        <f t="shared" ca="1" si="285"/>
        <v>100000</v>
      </c>
      <c r="AN109" s="112">
        <f t="shared" ca="1" si="253"/>
        <v>100000</v>
      </c>
      <c r="AO109" s="114">
        <f t="shared" ca="1" si="222"/>
        <v>18</v>
      </c>
      <c r="AP109" s="114">
        <f t="shared" ca="1" si="223"/>
        <v>24</v>
      </c>
      <c r="AQ109" s="112"/>
      <c r="AR109" s="238">
        <f t="shared" si="249"/>
        <v>109</v>
      </c>
      <c r="AS109" s="112"/>
      <c r="AT109" s="112"/>
      <c r="AU109" s="283">
        <f t="shared" si="185"/>
        <v>90</v>
      </c>
      <c r="AV109" s="284">
        <f t="shared" ca="1" si="224"/>
        <v>100000</v>
      </c>
      <c r="AW109" s="284">
        <f t="shared" ca="1" si="286"/>
        <v>100000</v>
      </c>
      <c r="AX109" s="285">
        <f t="shared" ca="1" si="287"/>
        <v>0</v>
      </c>
      <c r="AY109" s="285">
        <f t="shared" ca="1" si="186"/>
        <v>24</v>
      </c>
      <c r="AZ109" s="282"/>
      <c r="BD109" s="114">
        <f t="shared" si="250"/>
        <v>1</v>
      </c>
      <c r="BE109" s="112">
        <f t="shared" si="225"/>
        <v>100000</v>
      </c>
      <c r="BH109" s="238">
        <f t="shared" si="251"/>
        <v>90</v>
      </c>
      <c r="BI109" s="245" t="str">
        <f t="shared" si="226"/>
        <v/>
      </c>
      <c r="BJ109" s="281">
        <f t="shared" ca="1" si="265"/>
        <v>16</v>
      </c>
      <c r="BK109" s="245" t="e">
        <f t="shared" ca="1" si="227"/>
        <v>#NUM!</v>
      </c>
      <c r="BL109" s="245" t="e">
        <f t="shared" ca="1" si="228"/>
        <v>#NUM!</v>
      </c>
      <c r="BN109" s="245" t="e">
        <f t="shared" ca="1" si="266"/>
        <v>#NUM!</v>
      </c>
      <c r="CL109" s="112"/>
      <c r="CM109" s="112"/>
      <c r="CP109" s="112"/>
      <c r="CQ109" s="112"/>
      <c r="CR109" s="238"/>
      <c r="CS109" s="238"/>
      <c r="CT109" s="112"/>
      <c r="CU109" s="112"/>
      <c r="CV109" s="112"/>
      <c r="CW109" s="112" t="s">
        <v>224</v>
      </c>
      <c r="CX109" s="112" t="s">
        <v>225</v>
      </c>
      <c r="CY109" s="112" t="s">
        <v>226</v>
      </c>
      <c r="CZ109" s="112" t="s">
        <v>227</v>
      </c>
      <c r="DA109" s="112" t="s">
        <v>228</v>
      </c>
      <c r="DB109" s="112" t="s">
        <v>229</v>
      </c>
      <c r="DC109" s="112"/>
      <c r="DD109" s="238">
        <f t="shared" ca="1" si="283"/>
        <v>0</v>
      </c>
      <c r="DE109" s="238">
        <f t="shared" ca="1" si="275"/>
        <v>0</v>
      </c>
      <c r="DF109" s="112"/>
      <c r="DG109" s="238"/>
      <c r="DH109" s="238"/>
      <c r="DI109" s="112"/>
      <c r="DJ109" s="238"/>
      <c r="DK109" s="112" t="str">
        <f t="shared" ca="1" si="229"/>
        <v/>
      </c>
      <c r="DL109" s="278" t="str">
        <f t="shared" ca="1" si="129"/>
        <v/>
      </c>
      <c r="DM109" s="245" t="str">
        <f t="shared" ref="DM109:DP109" ca="1" si="293">DM660</f>
        <v/>
      </c>
      <c r="DN109" s="245" t="str">
        <f t="shared" ca="1" si="293"/>
        <v/>
      </c>
      <c r="DO109" s="245" t="str">
        <f t="shared" ca="1" si="293"/>
        <v/>
      </c>
      <c r="DP109" s="245" t="str">
        <f t="shared" ca="1" si="293"/>
        <v/>
      </c>
      <c r="DQ109" s="281" t="str">
        <f t="shared" ca="1" si="131"/>
        <v/>
      </c>
      <c r="DR109" s="278" t="str">
        <f t="shared" ca="1" si="132"/>
        <v/>
      </c>
      <c r="DS109" s="244" t="str">
        <f t="shared" ca="1" si="231"/>
        <v/>
      </c>
      <c r="DT109" s="244" t="str">
        <f t="shared" ca="1" si="232"/>
        <v/>
      </c>
      <c r="DU109" s="244" t="str">
        <f t="shared" ca="1" si="133"/>
        <v/>
      </c>
      <c r="DV109" s="244" t="str">
        <f t="shared" ca="1" si="134"/>
        <v/>
      </c>
      <c r="DW109" s="244"/>
      <c r="DX109" s="244" t="str">
        <f t="shared" ca="1" si="273"/>
        <v/>
      </c>
      <c r="EA109" s="244" t="b">
        <f t="shared" ca="1" si="233"/>
        <v>0</v>
      </c>
      <c r="EB109" s="278" t="e">
        <f ca="1">VLOOKUP(DM109,Foglio1!$AB$31:$AN$261,13)-6+EA109</f>
        <v>#N/A</v>
      </c>
      <c r="EC109" s="244"/>
      <c r="ED109" s="244" t="e">
        <f t="shared" ca="1" si="202"/>
        <v>#N/A</v>
      </c>
      <c r="EE109" s="244" t="e">
        <f t="shared" ca="1" si="203"/>
        <v>#N/A</v>
      </c>
      <c r="EF109" s="244" t="e">
        <f t="shared" ca="1" si="204"/>
        <v>#N/A</v>
      </c>
      <c r="EG109" s="244" t="e">
        <f t="shared" ca="1" si="205"/>
        <v>#N/A</v>
      </c>
      <c r="EH109" s="244" t="e">
        <f t="shared" ca="1" si="206"/>
        <v>#N/A</v>
      </c>
      <c r="EI109" s="244" t="e">
        <f t="shared" ca="1" si="207"/>
        <v>#N/A</v>
      </c>
      <c r="EJ109" s="244" t="e">
        <f t="shared" ca="1" si="208"/>
        <v>#N/A</v>
      </c>
      <c r="EK109" s="244" t="e">
        <f t="shared" ca="1" si="209"/>
        <v>#N/A</v>
      </c>
      <c r="EL109" s="244" t="e">
        <f t="shared" ca="1" si="210"/>
        <v>#N/A</v>
      </c>
      <c r="EM109" s="244" t="e">
        <f t="shared" ca="1" si="211"/>
        <v>#N/A</v>
      </c>
      <c r="EN109" s="244" t="e">
        <f t="shared" ca="1" si="212"/>
        <v>#N/A</v>
      </c>
      <c r="EO109" s="244" t="e">
        <f t="shared" ca="1" si="213"/>
        <v>#N/A</v>
      </c>
      <c r="EP109" s="244" t="e">
        <f t="shared" ca="1" si="214"/>
        <v>#N/A</v>
      </c>
      <c r="EQ109" s="244" t="e">
        <f t="shared" ca="1" si="215"/>
        <v>#N/A</v>
      </c>
      <c r="ER109" s="244"/>
      <c r="EW109" s="244">
        <v>0</v>
      </c>
      <c r="EX109" s="278" t="e">
        <f ca="1">VLOOKUP(DM109,Foglio1!$AB$31:$AN$261,13)-6+EW109</f>
        <v>#N/A</v>
      </c>
      <c r="EY109" s="244"/>
      <c r="EZ109" s="244">
        <v>0</v>
      </c>
      <c r="FA109" s="244" t="e">
        <f t="shared" ca="1" si="234"/>
        <v>#N/A</v>
      </c>
      <c r="FB109" s="244" t="e">
        <f t="shared" ca="1" si="235"/>
        <v>#N/A</v>
      </c>
      <c r="FC109" s="244" t="e">
        <f t="shared" ca="1" si="236"/>
        <v>#N/A</v>
      </c>
      <c r="FD109" s="244" t="e">
        <f t="shared" ca="1" si="237"/>
        <v>#N/A</v>
      </c>
      <c r="FE109" s="244" t="e">
        <f t="shared" ca="1" si="238"/>
        <v>#N/A</v>
      </c>
      <c r="FF109" s="244" t="e">
        <f t="shared" ca="1" si="239"/>
        <v>#N/A</v>
      </c>
      <c r="FG109" s="244" t="e">
        <f t="shared" ca="1" si="240"/>
        <v>#N/A</v>
      </c>
      <c r="FH109" s="244" t="e">
        <f t="shared" ca="1" si="241"/>
        <v>#N/A</v>
      </c>
      <c r="FI109" s="244" t="e">
        <f t="shared" ca="1" si="242"/>
        <v>#N/A</v>
      </c>
      <c r="FJ109" s="244" t="e">
        <f t="shared" ca="1" si="243"/>
        <v>#N/A</v>
      </c>
      <c r="FK109" s="244" t="e">
        <f t="shared" ca="1" si="244"/>
        <v>#N/A</v>
      </c>
      <c r="FL109" s="244" t="e">
        <f t="shared" ca="1" si="245"/>
        <v>#N/A</v>
      </c>
      <c r="FM109" s="244" t="e">
        <f t="shared" ca="1" si="216"/>
        <v>#N/A</v>
      </c>
      <c r="FN109" s="244"/>
    </row>
    <row r="110" spans="5:170" x14ac:dyDescent="0.25">
      <c r="E110" s="244"/>
      <c r="F110" s="240" t="str">
        <f>IF(fronttd!E112="","",fronttd!E112)</f>
        <v/>
      </c>
      <c r="G110" s="240" t="str">
        <f>IF(fronttd!F112="","",fronttd!F112)</f>
        <v/>
      </c>
      <c r="H110" s="380">
        <f>fronttd!G112</f>
        <v>0</v>
      </c>
      <c r="I110" s="380">
        <f>fronttd!H112</f>
        <v>0</v>
      </c>
      <c r="J110">
        <f t="shared" si="246"/>
        <v>24</v>
      </c>
      <c r="L110">
        <f t="shared" si="247"/>
        <v>110</v>
      </c>
      <c r="O110" s="238">
        <f t="shared" si="248"/>
        <v>110</v>
      </c>
      <c r="R110" s="112" t="str">
        <f t="shared" si="217"/>
        <v/>
      </c>
      <c r="S110" s="238" t="e">
        <f t="shared" ca="1" si="218"/>
        <v>#N/A</v>
      </c>
      <c r="T110" s="112" t="e">
        <f t="shared" ca="1" si="255"/>
        <v>#N/A</v>
      </c>
      <c r="U110" s="112" t="e">
        <f t="shared" ca="1" si="256"/>
        <v>#N/A</v>
      </c>
      <c r="V110" s="112" t="e">
        <f t="shared" ca="1" si="257"/>
        <v>#N/A</v>
      </c>
      <c r="W110" s="112" t="e">
        <f t="shared" ca="1" si="258"/>
        <v>#N/A</v>
      </c>
      <c r="X110" s="112" t="str">
        <f t="shared" si="219"/>
        <v/>
      </c>
      <c r="Y110" s="112"/>
      <c r="Z110" s="112"/>
      <c r="AA110" s="335" t="str">
        <f t="shared" si="220"/>
        <v/>
      </c>
      <c r="AB110" s="335" t="e">
        <f t="shared" ca="1" si="259"/>
        <v>#N/A</v>
      </c>
      <c r="AC110" s="335" t="e">
        <f t="shared" ca="1" si="260"/>
        <v>#N/A</v>
      </c>
      <c r="AD110" s="335" t="e">
        <f t="shared" ca="1" si="261"/>
        <v>#N/A</v>
      </c>
      <c r="AE110" s="335" t="e">
        <f t="shared" ca="1" si="262"/>
        <v>#N/A</v>
      </c>
      <c r="AF110" s="335" t="str">
        <f t="shared" si="221"/>
        <v/>
      </c>
      <c r="AG110" s="238">
        <f>AG109+1</f>
        <v>38</v>
      </c>
      <c r="AH110" s="112">
        <f ca="1">INDIRECT(CONCATENATE("AA",AG110))</f>
        <v>37673</v>
      </c>
      <c r="AI110" s="112">
        <f ca="1">IF(            INDIRECT(CONCATENATE( "AB",AG110))&lt;100000,       INDIRECT(CONCATENATE("AB",AG110))  -1,IF(   INDIRECT(CONCATENATE("AC",AG110))&lt;100000,   INDIRECT(CONCATENATE("AC",AG110))-1,IF(   INDIRECT(CONCATENATE("AD", AG110))&lt;100000, INDIRECT(CONCATENATE("AD",AG110))-1,IF(   INDIRECT(CONCATENATE("AE",AG110))&lt;100000,  INDIRECT(CONCATENATE("AE",G110)),INDIRECT(CONCATENATE("AF",AG110))                ))))</f>
        <v>37786</v>
      </c>
      <c r="AJ110" s="112">
        <f t="shared" ca="1" si="292"/>
        <v>37786</v>
      </c>
      <c r="AK110" s="112">
        <f t="shared" ca="1" si="169"/>
        <v>37786</v>
      </c>
      <c r="AL110" s="238">
        <f t="shared" ref="AL110:AL173" ca="1" si="294">IF(AK110=AI109,0,1)</f>
        <v>1</v>
      </c>
      <c r="AM110" s="112">
        <f t="shared" ca="1" si="285"/>
        <v>37673</v>
      </c>
      <c r="AN110" s="112">
        <f t="shared" ca="1" si="253"/>
        <v>37786</v>
      </c>
      <c r="AO110" s="114">
        <f t="shared" ca="1" si="222"/>
        <v>18</v>
      </c>
      <c r="AP110" s="114">
        <f t="shared" ca="1" si="223"/>
        <v>24</v>
      </c>
      <c r="AQ110" s="112"/>
      <c r="AR110" s="238">
        <f t="shared" si="249"/>
        <v>110</v>
      </c>
      <c r="AS110" s="112"/>
      <c r="AT110" s="112"/>
      <c r="AU110" s="283">
        <f t="shared" si="185"/>
        <v>91</v>
      </c>
      <c r="AV110" s="284">
        <f t="shared" ca="1" si="224"/>
        <v>100000</v>
      </c>
      <c r="AW110" s="284">
        <f t="shared" ca="1" si="286"/>
        <v>100000</v>
      </c>
      <c r="AX110" s="285">
        <f t="shared" ca="1" si="287"/>
        <v>0</v>
      </c>
      <c r="AY110" s="285">
        <f t="shared" ca="1" si="186"/>
        <v>24</v>
      </c>
      <c r="AZ110" s="282"/>
      <c r="BD110" s="114">
        <f t="shared" si="250"/>
        <v>1</v>
      </c>
      <c r="BE110" s="112">
        <f t="shared" si="225"/>
        <v>100000</v>
      </c>
      <c r="BH110" s="238">
        <f t="shared" si="251"/>
        <v>91</v>
      </c>
      <c r="BI110" s="245" t="str">
        <f t="shared" si="226"/>
        <v/>
      </c>
      <c r="BJ110" s="281">
        <f t="shared" ca="1" si="265"/>
        <v>16</v>
      </c>
      <c r="BK110" s="245" t="e">
        <f t="shared" ca="1" si="227"/>
        <v>#NUM!</v>
      </c>
      <c r="BL110" s="245" t="e">
        <f t="shared" ca="1" si="228"/>
        <v>#NUM!</v>
      </c>
      <c r="BN110" s="245" t="e">
        <f t="shared" ca="1" si="266"/>
        <v>#NUM!</v>
      </c>
      <c r="CL110" s="112"/>
      <c r="CM110" s="112"/>
      <c r="CP110" s="112"/>
      <c r="CQ110" s="112"/>
      <c r="CR110" s="238"/>
      <c r="CS110" s="238"/>
      <c r="CT110" s="112"/>
      <c r="CU110" s="112"/>
      <c r="CV110" s="112"/>
      <c r="CW110" s="112" t="s">
        <v>224</v>
      </c>
      <c r="CX110" s="112" t="s">
        <v>225</v>
      </c>
      <c r="CY110" s="112" t="s">
        <v>226</v>
      </c>
      <c r="CZ110" s="112" t="s">
        <v>227</v>
      </c>
      <c r="DA110" s="112" t="s">
        <v>228</v>
      </c>
      <c r="DB110" s="112" t="s">
        <v>229</v>
      </c>
      <c r="DC110" s="112"/>
      <c r="DD110" s="238">
        <f t="shared" ca="1" si="283"/>
        <v>0</v>
      </c>
      <c r="DE110" s="238">
        <f t="shared" ca="1" si="275"/>
        <v>0</v>
      </c>
      <c r="DF110" s="112"/>
      <c r="DG110" s="238"/>
      <c r="DH110" s="238"/>
      <c r="DI110" s="112"/>
      <c r="DJ110" s="238"/>
      <c r="DK110" s="112" t="str">
        <f t="shared" ca="1" si="229"/>
        <v/>
      </c>
      <c r="DL110" s="278" t="str">
        <f t="shared" ca="1" si="129"/>
        <v/>
      </c>
      <c r="DM110" s="245" t="str">
        <f t="shared" ref="DM110:DP110" ca="1" si="295">DM661</f>
        <v/>
      </c>
      <c r="DN110" s="245" t="str">
        <f t="shared" ca="1" si="295"/>
        <v/>
      </c>
      <c r="DO110" s="245" t="str">
        <f t="shared" ca="1" si="295"/>
        <v/>
      </c>
      <c r="DP110" s="245" t="str">
        <f t="shared" ca="1" si="295"/>
        <v/>
      </c>
      <c r="DQ110" s="281" t="str">
        <f t="shared" ca="1" si="131"/>
        <v/>
      </c>
      <c r="DR110" s="278" t="str">
        <f t="shared" ca="1" si="132"/>
        <v/>
      </c>
      <c r="DS110" s="244" t="str">
        <f t="shared" ca="1" si="231"/>
        <v/>
      </c>
      <c r="DT110" s="244" t="str">
        <f t="shared" ca="1" si="232"/>
        <v/>
      </c>
      <c r="DU110" s="244" t="str">
        <f t="shared" ca="1" si="133"/>
        <v/>
      </c>
      <c r="DV110" s="244" t="str">
        <f t="shared" ca="1" si="134"/>
        <v/>
      </c>
      <c r="DW110" s="244"/>
      <c r="DX110" s="244" t="str">
        <f t="shared" ca="1" si="273"/>
        <v/>
      </c>
      <c r="EA110" s="244" t="b">
        <f t="shared" ca="1" si="233"/>
        <v>0</v>
      </c>
      <c r="EB110" s="278" t="e">
        <f ca="1">VLOOKUP(DM110,Foglio1!$AB$31:$AN$261,13)-6+EA110</f>
        <v>#N/A</v>
      </c>
      <c r="EC110" s="244"/>
      <c r="ED110" s="244" t="e">
        <f t="shared" ca="1" si="202"/>
        <v>#N/A</v>
      </c>
      <c r="EE110" s="244" t="e">
        <f t="shared" ca="1" si="203"/>
        <v>#N/A</v>
      </c>
      <c r="EF110" s="244" t="e">
        <f t="shared" ca="1" si="204"/>
        <v>#N/A</v>
      </c>
      <c r="EG110" s="244" t="e">
        <f t="shared" ca="1" si="205"/>
        <v>#N/A</v>
      </c>
      <c r="EH110" s="244" t="e">
        <f t="shared" ca="1" si="206"/>
        <v>#N/A</v>
      </c>
      <c r="EI110" s="244" t="e">
        <f t="shared" ca="1" si="207"/>
        <v>#N/A</v>
      </c>
      <c r="EJ110" s="244" t="e">
        <f t="shared" ca="1" si="208"/>
        <v>#N/A</v>
      </c>
      <c r="EK110" s="244" t="e">
        <f t="shared" ca="1" si="209"/>
        <v>#N/A</v>
      </c>
      <c r="EL110" s="244" t="e">
        <f t="shared" ca="1" si="210"/>
        <v>#N/A</v>
      </c>
      <c r="EM110" s="244" t="e">
        <f t="shared" ca="1" si="211"/>
        <v>#N/A</v>
      </c>
      <c r="EN110" s="244" t="e">
        <f t="shared" ca="1" si="212"/>
        <v>#N/A</v>
      </c>
      <c r="EO110" s="244" t="e">
        <f t="shared" ca="1" si="213"/>
        <v>#N/A</v>
      </c>
      <c r="EP110" s="244" t="e">
        <f t="shared" ca="1" si="214"/>
        <v>#N/A</v>
      </c>
      <c r="EQ110" s="244" t="e">
        <f t="shared" ca="1" si="215"/>
        <v>#N/A</v>
      </c>
      <c r="ER110" s="244"/>
      <c r="EW110" s="244">
        <v>0</v>
      </c>
      <c r="EX110" s="278" t="e">
        <f ca="1">VLOOKUP(DM110,Foglio1!$AB$31:$AN$261,13)-6+EW110</f>
        <v>#N/A</v>
      </c>
      <c r="EY110" s="244"/>
      <c r="EZ110" s="244">
        <v>0</v>
      </c>
      <c r="FA110" s="244" t="e">
        <f t="shared" ca="1" si="234"/>
        <v>#N/A</v>
      </c>
      <c r="FB110" s="244" t="e">
        <f t="shared" ca="1" si="235"/>
        <v>#N/A</v>
      </c>
      <c r="FC110" s="244" t="e">
        <f t="shared" ca="1" si="236"/>
        <v>#N/A</v>
      </c>
      <c r="FD110" s="244" t="e">
        <f t="shared" ca="1" si="237"/>
        <v>#N/A</v>
      </c>
      <c r="FE110" s="244" t="e">
        <f t="shared" ca="1" si="238"/>
        <v>#N/A</v>
      </c>
      <c r="FF110" s="244" t="e">
        <f t="shared" ca="1" si="239"/>
        <v>#N/A</v>
      </c>
      <c r="FG110" s="244" t="e">
        <f t="shared" ca="1" si="240"/>
        <v>#N/A</v>
      </c>
      <c r="FH110" s="244" t="e">
        <f t="shared" ca="1" si="241"/>
        <v>#N/A</v>
      </c>
      <c r="FI110" s="244" t="e">
        <f t="shared" ca="1" si="242"/>
        <v>#N/A</v>
      </c>
      <c r="FJ110" s="244" t="e">
        <f t="shared" ca="1" si="243"/>
        <v>#N/A</v>
      </c>
      <c r="FK110" s="244" t="e">
        <f t="shared" ca="1" si="244"/>
        <v>#N/A</v>
      </c>
      <c r="FL110" s="244" t="e">
        <f t="shared" ca="1" si="245"/>
        <v>#N/A</v>
      </c>
      <c r="FM110" s="244" t="e">
        <f t="shared" ca="1" si="216"/>
        <v>#N/A</v>
      </c>
      <c r="FN110" s="244"/>
    </row>
    <row r="111" spans="5:170" x14ac:dyDescent="0.25">
      <c r="E111" s="244"/>
      <c r="F111" s="240" t="str">
        <f>IF(fronttd!E113="","",fronttd!E113)</f>
        <v/>
      </c>
      <c r="G111" s="240" t="str">
        <f>IF(fronttd!F113="","",fronttd!F113)</f>
        <v/>
      </c>
      <c r="H111" s="380">
        <f>fronttd!G113</f>
        <v>0</v>
      </c>
      <c r="I111" s="380">
        <f>fronttd!H113</f>
        <v>0</v>
      </c>
      <c r="J111">
        <f t="shared" si="246"/>
        <v>24</v>
      </c>
      <c r="L111">
        <f t="shared" si="247"/>
        <v>111</v>
      </c>
      <c r="O111" s="238">
        <f t="shared" si="248"/>
        <v>111</v>
      </c>
      <c r="R111" s="112" t="str">
        <f t="shared" si="217"/>
        <v/>
      </c>
      <c r="S111" s="238" t="e">
        <f t="shared" ca="1" si="218"/>
        <v>#N/A</v>
      </c>
      <c r="T111" s="112" t="e">
        <f t="shared" ca="1" si="255"/>
        <v>#N/A</v>
      </c>
      <c r="U111" s="112" t="e">
        <f t="shared" ca="1" si="256"/>
        <v>#N/A</v>
      </c>
      <c r="V111" s="112" t="e">
        <f t="shared" ca="1" si="257"/>
        <v>#N/A</v>
      </c>
      <c r="W111" s="112" t="e">
        <f t="shared" ca="1" si="258"/>
        <v>#N/A</v>
      </c>
      <c r="X111" s="112" t="str">
        <f t="shared" si="219"/>
        <v/>
      </c>
      <c r="Y111" s="112"/>
      <c r="Z111" s="112"/>
      <c r="AA111" s="335" t="str">
        <f t="shared" si="220"/>
        <v/>
      </c>
      <c r="AB111" s="335" t="e">
        <f t="shared" ca="1" si="259"/>
        <v>#N/A</v>
      </c>
      <c r="AC111" s="335" t="e">
        <f t="shared" ca="1" si="260"/>
        <v>#N/A</v>
      </c>
      <c r="AD111" s="335" t="e">
        <f t="shared" ca="1" si="261"/>
        <v>#N/A</v>
      </c>
      <c r="AE111" s="335" t="e">
        <f t="shared" ca="1" si="262"/>
        <v>#N/A</v>
      </c>
      <c r="AF111" s="335" t="str">
        <f t="shared" si="221"/>
        <v/>
      </c>
      <c r="AG111" s="238">
        <f>AG110</f>
        <v>38</v>
      </c>
      <c r="AH111" s="112">
        <f ca="1">AI110+1</f>
        <v>37787</v>
      </c>
      <c r="AI111" s="112">
        <f ca="1">IF(INDIRECT(CONCATENATE("AC",AG110))&lt;100000,INDIRECT(CONCATENATE("AC",AG110))-1,IF(INDIRECT(CONCATENATE("AD",AG110))&lt;100000,INDIRECT(CONCATENATE("AD",AG110))-1,IF(INDIRECT(CONCATENATE("AE",AG110))&lt;100000,INDIRECT(CONCATENATE("AE",G110)),INDIRECT(CONCATENATE("AF",AG110)))))</f>
        <v>37786</v>
      </c>
      <c r="AJ111" s="112">
        <f t="shared" ca="1" si="292"/>
        <v>37786</v>
      </c>
      <c r="AK111" s="112">
        <f t="shared" ca="1" si="169"/>
        <v>37786</v>
      </c>
      <c r="AL111" s="238">
        <f t="shared" ca="1" si="294"/>
        <v>0</v>
      </c>
      <c r="AM111" s="112">
        <f t="shared" ca="1" si="285"/>
        <v>100000</v>
      </c>
      <c r="AN111" s="112">
        <f t="shared" ca="1" si="253"/>
        <v>100000</v>
      </c>
      <c r="AO111" s="114">
        <f t="shared" ca="1" si="222"/>
        <v>18</v>
      </c>
      <c r="AP111" s="114">
        <f t="shared" ca="1" si="223"/>
        <v>24</v>
      </c>
      <c r="AQ111" s="112"/>
      <c r="AR111" s="238">
        <f t="shared" si="249"/>
        <v>111</v>
      </c>
      <c r="AS111" s="112"/>
      <c r="AT111" s="112"/>
      <c r="AU111" s="283">
        <f t="shared" si="185"/>
        <v>92</v>
      </c>
      <c r="AV111" s="284">
        <f t="shared" ca="1" si="224"/>
        <v>100000</v>
      </c>
      <c r="AW111" s="284">
        <f t="shared" ca="1" si="286"/>
        <v>100000</v>
      </c>
      <c r="AX111" s="285">
        <f t="shared" ca="1" si="287"/>
        <v>0</v>
      </c>
      <c r="AY111" s="285">
        <f t="shared" ca="1" si="186"/>
        <v>24</v>
      </c>
      <c r="AZ111" s="282"/>
      <c r="BD111" s="114">
        <f t="shared" si="250"/>
        <v>1</v>
      </c>
      <c r="BE111" s="112">
        <f t="shared" si="225"/>
        <v>100000</v>
      </c>
      <c r="BH111" s="238">
        <f t="shared" si="251"/>
        <v>92</v>
      </c>
      <c r="BI111" s="245" t="str">
        <f t="shared" si="226"/>
        <v/>
      </c>
      <c r="BJ111" s="281">
        <f t="shared" ca="1" si="265"/>
        <v>16</v>
      </c>
      <c r="BK111" s="245" t="e">
        <f t="shared" ca="1" si="227"/>
        <v>#NUM!</v>
      </c>
      <c r="BL111" s="245" t="e">
        <f t="shared" ca="1" si="228"/>
        <v>#NUM!</v>
      </c>
      <c r="BN111" s="245" t="e">
        <f t="shared" ca="1" si="266"/>
        <v>#NUM!</v>
      </c>
      <c r="CL111" s="112"/>
      <c r="CM111" s="112"/>
      <c r="CP111" s="112"/>
      <c r="CQ111" s="112"/>
      <c r="CR111" s="238"/>
      <c r="CS111" s="238"/>
      <c r="CT111" s="112"/>
      <c r="CU111" s="112"/>
      <c r="CV111" s="112"/>
      <c r="CW111" s="112" t="s">
        <v>224</v>
      </c>
      <c r="CX111" s="112" t="s">
        <v>225</v>
      </c>
      <c r="CY111" s="112" t="s">
        <v>226</v>
      </c>
      <c r="CZ111" s="112" t="s">
        <v>227</v>
      </c>
      <c r="DA111" s="112" t="s">
        <v>228</v>
      </c>
      <c r="DB111" s="112" t="s">
        <v>229</v>
      </c>
      <c r="DC111" s="112"/>
      <c r="DD111" s="238">
        <f t="shared" ca="1" si="283"/>
        <v>0</v>
      </c>
      <c r="DE111" s="238">
        <f t="shared" ca="1" si="275"/>
        <v>0</v>
      </c>
      <c r="DF111" s="112"/>
      <c r="DG111" s="238"/>
      <c r="DH111" s="238"/>
      <c r="DI111" s="112"/>
      <c r="DJ111" s="238"/>
      <c r="DK111" s="112" t="str">
        <f t="shared" ca="1" si="229"/>
        <v/>
      </c>
      <c r="DL111" s="278" t="str">
        <f t="shared" ref="DL111:DL144" ca="1" si="296">IF(DM111="","",DL110+"1")</f>
        <v/>
      </c>
      <c r="DM111" s="245" t="str">
        <f t="shared" ref="DM111:DP111" ca="1" si="297">DM662</f>
        <v/>
      </c>
      <c r="DN111" s="245" t="str">
        <f t="shared" ca="1" si="297"/>
        <v/>
      </c>
      <c r="DO111" s="245" t="str">
        <f t="shared" ca="1" si="297"/>
        <v/>
      </c>
      <c r="DP111" s="245" t="str">
        <f t="shared" ca="1" si="297"/>
        <v/>
      </c>
      <c r="DQ111" s="281" t="str">
        <f t="shared" ref="DQ111:DQ145" ca="1" si="298">IF(DP111="","",DN111-DM111+1)</f>
        <v/>
      </c>
      <c r="DR111" s="278" t="str">
        <f t="shared" ref="DR111:DR145" ca="1" si="299">IF(DQ111="","",DD111+DE111)</f>
        <v/>
      </c>
      <c r="DS111" s="244" t="str">
        <f t="shared" ca="1" si="231"/>
        <v/>
      </c>
      <c r="DT111" s="244" t="str">
        <f t="shared" ca="1" si="232"/>
        <v/>
      </c>
      <c r="DU111" s="244" t="str">
        <f t="shared" ref="DU111:DU145" ca="1" si="300">IF(OR(DK111="",DK111=0),"",ROUND((DS111-DT111)/365*(DQ111   -DR111      )*DO111/DP111,2))</f>
        <v/>
      </c>
      <c r="DV111" s="244" t="str">
        <f t="shared" ref="DV111:DV145" ca="1" si="301">IF(DU111="","",IF(DX111=0,"0/2 anni",IF(DX111=3,"3/8 anni",IF(DX111=9,"9/14 anni",IF(DX111=15,"15/20 anni",IF(DX111=21,"21/27 anni",IF(DX111=28,"28/34 anni","oltre 34")))))))</f>
        <v/>
      </c>
      <c r="DW111" s="244"/>
      <c r="DX111" s="244" t="str">
        <f t="shared" ca="1" si="273"/>
        <v/>
      </c>
      <c r="EA111" s="244" t="b">
        <f t="shared" ca="1" si="233"/>
        <v>0</v>
      </c>
      <c r="EB111" s="278" t="e">
        <f ca="1">VLOOKUP(DM111,Foglio1!$AB$31:$AN$261,13)-6+EA111</f>
        <v>#N/A</v>
      </c>
      <c r="EC111" s="244"/>
      <c r="ED111" s="244" t="e">
        <f t="shared" ca="1" si="202"/>
        <v>#N/A</v>
      </c>
      <c r="EE111" s="244" t="e">
        <f t="shared" ca="1" si="203"/>
        <v>#N/A</v>
      </c>
      <c r="EF111" s="244" t="e">
        <f t="shared" ca="1" si="204"/>
        <v>#N/A</v>
      </c>
      <c r="EG111" s="244" t="e">
        <f t="shared" ca="1" si="205"/>
        <v>#N/A</v>
      </c>
      <c r="EH111" s="244" t="e">
        <f t="shared" ca="1" si="206"/>
        <v>#N/A</v>
      </c>
      <c r="EI111" s="244" t="e">
        <f t="shared" ca="1" si="207"/>
        <v>#N/A</v>
      </c>
      <c r="EJ111" s="244" t="e">
        <f t="shared" ca="1" si="208"/>
        <v>#N/A</v>
      </c>
      <c r="EK111" s="244" t="e">
        <f t="shared" ca="1" si="209"/>
        <v>#N/A</v>
      </c>
      <c r="EL111" s="244" t="e">
        <f t="shared" ca="1" si="210"/>
        <v>#N/A</v>
      </c>
      <c r="EM111" s="244" t="e">
        <f t="shared" ca="1" si="211"/>
        <v>#N/A</v>
      </c>
      <c r="EN111" s="244" t="e">
        <f t="shared" ca="1" si="212"/>
        <v>#N/A</v>
      </c>
      <c r="EO111" s="244" t="e">
        <f t="shared" ca="1" si="213"/>
        <v>#N/A</v>
      </c>
      <c r="EP111" s="244" t="e">
        <f t="shared" ca="1" si="214"/>
        <v>#N/A</v>
      </c>
      <c r="EQ111" s="244" t="e">
        <f t="shared" ca="1" si="215"/>
        <v>#N/A</v>
      </c>
      <c r="ER111" s="244"/>
      <c r="EW111" s="244">
        <v>0</v>
      </c>
      <c r="EX111" s="278" t="e">
        <f ca="1">VLOOKUP(DM111,Foglio1!$AB$31:$AN$261,13)-6+EW111</f>
        <v>#N/A</v>
      </c>
      <c r="EY111" s="244"/>
      <c r="EZ111" s="244">
        <v>0</v>
      </c>
      <c r="FA111" s="244" t="e">
        <f t="shared" ca="1" si="234"/>
        <v>#N/A</v>
      </c>
      <c r="FB111" s="244" t="e">
        <f t="shared" ca="1" si="235"/>
        <v>#N/A</v>
      </c>
      <c r="FC111" s="244" t="e">
        <f t="shared" ca="1" si="236"/>
        <v>#N/A</v>
      </c>
      <c r="FD111" s="244" t="e">
        <f t="shared" ca="1" si="237"/>
        <v>#N/A</v>
      </c>
      <c r="FE111" s="244" t="e">
        <f t="shared" ca="1" si="238"/>
        <v>#N/A</v>
      </c>
      <c r="FF111" s="244" t="e">
        <f t="shared" ca="1" si="239"/>
        <v>#N/A</v>
      </c>
      <c r="FG111" s="244" t="e">
        <f t="shared" ca="1" si="240"/>
        <v>#N/A</v>
      </c>
      <c r="FH111" s="244" t="e">
        <f t="shared" ca="1" si="241"/>
        <v>#N/A</v>
      </c>
      <c r="FI111" s="244" t="e">
        <f t="shared" ca="1" si="242"/>
        <v>#N/A</v>
      </c>
      <c r="FJ111" s="244" t="e">
        <f t="shared" ca="1" si="243"/>
        <v>#N/A</v>
      </c>
      <c r="FK111" s="244" t="e">
        <f t="shared" ca="1" si="244"/>
        <v>#N/A</v>
      </c>
      <c r="FL111" s="244" t="e">
        <f t="shared" ca="1" si="245"/>
        <v>#N/A</v>
      </c>
      <c r="FM111" s="244" t="e">
        <f t="shared" ca="1" si="216"/>
        <v>#N/A</v>
      </c>
      <c r="FN111" s="244"/>
    </row>
    <row r="112" spans="5:170" x14ac:dyDescent="0.25">
      <c r="E112" s="244"/>
      <c r="F112" s="240" t="str">
        <f>IF(fronttd!E114="","",fronttd!E114)</f>
        <v/>
      </c>
      <c r="G112" s="240" t="str">
        <f>IF(fronttd!F114="","",fronttd!F114)</f>
        <v/>
      </c>
      <c r="H112" s="380">
        <f>fronttd!G114</f>
        <v>0</v>
      </c>
      <c r="I112" s="380">
        <f>fronttd!H114</f>
        <v>0</v>
      </c>
      <c r="J112">
        <f t="shared" si="246"/>
        <v>24</v>
      </c>
      <c r="L112">
        <f t="shared" si="247"/>
        <v>112</v>
      </c>
      <c r="O112" s="238">
        <f t="shared" si="248"/>
        <v>112</v>
      </c>
      <c r="R112" s="112" t="str">
        <f t="shared" si="217"/>
        <v/>
      </c>
      <c r="S112" s="238" t="e">
        <f t="shared" ca="1" si="218"/>
        <v>#N/A</v>
      </c>
      <c r="T112" s="112" t="e">
        <f t="shared" ca="1" si="255"/>
        <v>#N/A</v>
      </c>
      <c r="U112" s="112" t="e">
        <f t="shared" ca="1" si="256"/>
        <v>#N/A</v>
      </c>
      <c r="V112" s="112" t="e">
        <f t="shared" ca="1" si="257"/>
        <v>#N/A</v>
      </c>
      <c r="W112" s="112" t="e">
        <f t="shared" ca="1" si="258"/>
        <v>#N/A</v>
      </c>
      <c r="X112" s="112" t="str">
        <f t="shared" si="219"/>
        <v/>
      </c>
      <c r="Y112" s="112"/>
      <c r="Z112" s="112"/>
      <c r="AA112" s="335" t="str">
        <f t="shared" si="220"/>
        <v/>
      </c>
      <c r="AB112" s="335" t="e">
        <f t="shared" ca="1" si="259"/>
        <v>#N/A</v>
      </c>
      <c r="AC112" s="335" t="e">
        <f t="shared" ca="1" si="260"/>
        <v>#N/A</v>
      </c>
      <c r="AD112" s="335" t="e">
        <f t="shared" ca="1" si="261"/>
        <v>#N/A</v>
      </c>
      <c r="AE112" s="335" t="e">
        <f t="shared" ca="1" si="262"/>
        <v>#N/A</v>
      </c>
      <c r="AF112" s="335" t="str">
        <f t="shared" si="221"/>
        <v/>
      </c>
      <c r="AG112" s="238">
        <f>AG111</f>
        <v>38</v>
      </c>
      <c r="AH112" s="112">
        <f ca="1">AI111+1</f>
        <v>37787</v>
      </c>
      <c r="AI112" s="112">
        <f ca="1">IF(INDIRECT(CONCATENATE("AD",AG110))&lt;100000,INDIRECT(CONCATENATE("AD",AG110))-1,IF(INDIRECT(CONCATENATE("AE",AG110))&lt;100000,INDIRECT(CONCATENATE("AE",G110)),INDIRECT(CONCATENATE("AF",AG110))))</f>
        <v>37786</v>
      </c>
      <c r="AJ112" s="112">
        <f t="shared" ca="1" si="292"/>
        <v>37786</v>
      </c>
      <c r="AK112" s="112">
        <f t="shared" ca="1" si="169"/>
        <v>37786</v>
      </c>
      <c r="AL112" s="238">
        <f t="shared" ca="1" si="294"/>
        <v>0</v>
      </c>
      <c r="AM112" s="112">
        <f t="shared" ca="1" si="285"/>
        <v>100000</v>
      </c>
      <c r="AN112" s="112">
        <f t="shared" ca="1" si="253"/>
        <v>100000</v>
      </c>
      <c r="AO112" s="114">
        <f t="shared" ca="1" si="222"/>
        <v>18</v>
      </c>
      <c r="AP112" s="114">
        <f t="shared" ca="1" si="223"/>
        <v>24</v>
      </c>
      <c r="AQ112" s="112"/>
      <c r="AR112" s="238">
        <f t="shared" si="249"/>
        <v>112</v>
      </c>
      <c r="AS112" s="112"/>
      <c r="AT112" s="112"/>
      <c r="AU112" s="283">
        <f t="shared" si="185"/>
        <v>93</v>
      </c>
      <c r="AV112" s="284">
        <f t="shared" ca="1" si="224"/>
        <v>100000</v>
      </c>
      <c r="AW112" s="284">
        <f t="shared" ca="1" si="286"/>
        <v>100000</v>
      </c>
      <c r="AX112" s="285">
        <f t="shared" ca="1" si="287"/>
        <v>0</v>
      </c>
      <c r="AY112" s="285">
        <f t="shared" ca="1" si="186"/>
        <v>24</v>
      </c>
      <c r="AZ112" s="282"/>
      <c r="BD112" s="114">
        <f t="shared" si="250"/>
        <v>1</v>
      </c>
      <c r="BE112" s="112">
        <f t="shared" si="225"/>
        <v>100000</v>
      </c>
      <c r="BH112" s="238">
        <f t="shared" si="251"/>
        <v>93</v>
      </c>
      <c r="BI112" s="245" t="str">
        <f t="shared" si="226"/>
        <v/>
      </c>
      <c r="BJ112" s="281">
        <f t="shared" ca="1" si="265"/>
        <v>16</v>
      </c>
      <c r="BK112" s="245" t="e">
        <f t="shared" ca="1" si="227"/>
        <v>#NUM!</v>
      </c>
      <c r="BL112" s="245" t="e">
        <f t="shared" ca="1" si="228"/>
        <v>#NUM!</v>
      </c>
      <c r="BN112" s="245" t="e">
        <f t="shared" ca="1" si="266"/>
        <v>#NUM!</v>
      </c>
      <c r="CL112" s="112"/>
      <c r="CM112" s="112"/>
      <c r="CP112" s="112"/>
      <c r="CQ112" s="112"/>
      <c r="CR112" s="238"/>
      <c r="CS112" s="238"/>
      <c r="CT112" s="112"/>
      <c r="CU112" s="112"/>
      <c r="CV112" s="112"/>
      <c r="CW112" s="112" t="s">
        <v>224</v>
      </c>
      <c r="CX112" s="112" t="s">
        <v>225</v>
      </c>
      <c r="CY112" s="112" t="s">
        <v>226</v>
      </c>
      <c r="CZ112" s="112" t="s">
        <v>227</v>
      </c>
      <c r="DA112" s="112" t="s">
        <v>228</v>
      </c>
      <c r="DB112" s="112" t="s">
        <v>229</v>
      </c>
      <c r="DC112" s="112"/>
      <c r="DD112" s="238">
        <f t="shared" ca="1" si="283"/>
        <v>0</v>
      </c>
      <c r="DE112" s="238">
        <f t="shared" ca="1" si="275"/>
        <v>0</v>
      </c>
      <c r="DF112" s="112"/>
      <c r="DG112" s="238"/>
      <c r="DH112" s="238"/>
      <c r="DI112" s="112"/>
      <c r="DJ112" s="238"/>
      <c r="DK112" s="112" t="str">
        <f t="shared" ca="1" si="229"/>
        <v/>
      </c>
      <c r="DL112" s="278" t="str">
        <f t="shared" ca="1" si="296"/>
        <v/>
      </c>
      <c r="DM112" s="245" t="str">
        <f t="shared" ref="DM112:DP112" ca="1" si="302">DM663</f>
        <v/>
      </c>
      <c r="DN112" s="245" t="str">
        <f t="shared" ca="1" si="302"/>
        <v/>
      </c>
      <c r="DO112" s="245" t="str">
        <f t="shared" ca="1" si="302"/>
        <v/>
      </c>
      <c r="DP112" s="245" t="str">
        <f t="shared" ca="1" si="302"/>
        <v/>
      </c>
      <c r="DQ112" s="281" t="str">
        <f t="shared" ca="1" si="298"/>
        <v/>
      </c>
      <c r="DR112" s="278" t="str">
        <f t="shared" ca="1" si="299"/>
        <v/>
      </c>
      <c r="DS112" s="244" t="str">
        <f t="shared" ca="1" si="231"/>
        <v/>
      </c>
      <c r="DT112" s="244" t="str">
        <f t="shared" ca="1" si="232"/>
        <v/>
      </c>
      <c r="DU112" s="244" t="str">
        <f t="shared" ca="1" si="300"/>
        <v/>
      </c>
      <c r="DV112" s="244" t="str">
        <f t="shared" ca="1" si="301"/>
        <v/>
      </c>
      <c r="DW112" s="244"/>
      <c r="DX112" s="244" t="str">
        <f t="shared" ca="1" si="273"/>
        <v/>
      </c>
      <c r="EA112" s="244" t="b">
        <f t="shared" ca="1" si="233"/>
        <v>0</v>
      </c>
      <c r="EB112" s="278" t="e">
        <f ca="1">VLOOKUP(DM112,Foglio1!$AB$31:$AN$261,13)-6+EA112</f>
        <v>#N/A</v>
      </c>
      <c r="EC112" s="244"/>
      <c r="ED112" s="244" t="e">
        <f t="shared" ca="1" si="202"/>
        <v>#N/A</v>
      </c>
      <c r="EE112" s="244" t="e">
        <f t="shared" ca="1" si="203"/>
        <v>#N/A</v>
      </c>
      <c r="EF112" s="244" t="e">
        <f t="shared" ca="1" si="204"/>
        <v>#N/A</v>
      </c>
      <c r="EG112" s="244" t="e">
        <f t="shared" ca="1" si="205"/>
        <v>#N/A</v>
      </c>
      <c r="EH112" s="244" t="e">
        <f t="shared" ca="1" si="206"/>
        <v>#N/A</v>
      </c>
      <c r="EI112" s="244" t="e">
        <f t="shared" ca="1" si="207"/>
        <v>#N/A</v>
      </c>
      <c r="EJ112" s="244" t="e">
        <f t="shared" ca="1" si="208"/>
        <v>#N/A</v>
      </c>
      <c r="EK112" s="244" t="e">
        <f t="shared" ca="1" si="209"/>
        <v>#N/A</v>
      </c>
      <c r="EL112" s="244" t="e">
        <f t="shared" ca="1" si="210"/>
        <v>#N/A</v>
      </c>
      <c r="EM112" s="244" t="e">
        <f t="shared" ca="1" si="211"/>
        <v>#N/A</v>
      </c>
      <c r="EN112" s="244" t="e">
        <f t="shared" ca="1" si="212"/>
        <v>#N/A</v>
      </c>
      <c r="EO112" s="244" t="e">
        <f t="shared" ca="1" si="213"/>
        <v>#N/A</v>
      </c>
      <c r="EP112" s="244" t="e">
        <f t="shared" ca="1" si="214"/>
        <v>#N/A</v>
      </c>
      <c r="EQ112" s="244" t="e">
        <f t="shared" ca="1" si="215"/>
        <v>#N/A</v>
      </c>
      <c r="ER112" s="244"/>
      <c r="EW112" s="244">
        <v>0</v>
      </c>
      <c r="EX112" s="278" t="e">
        <f ca="1">VLOOKUP(DM112,Foglio1!$AB$31:$AN$261,13)-6+EW112</f>
        <v>#N/A</v>
      </c>
      <c r="EY112" s="244"/>
      <c r="EZ112" s="244">
        <v>0</v>
      </c>
      <c r="FA112" s="244" t="e">
        <f t="shared" ca="1" si="234"/>
        <v>#N/A</v>
      </c>
      <c r="FB112" s="244" t="e">
        <f t="shared" ca="1" si="235"/>
        <v>#N/A</v>
      </c>
      <c r="FC112" s="244" t="e">
        <f t="shared" ca="1" si="236"/>
        <v>#N/A</v>
      </c>
      <c r="FD112" s="244" t="e">
        <f t="shared" ca="1" si="237"/>
        <v>#N/A</v>
      </c>
      <c r="FE112" s="244" t="e">
        <f t="shared" ca="1" si="238"/>
        <v>#N/A</v>
      </c>
      <c r="FF112" s="244" t="e">
        <f t="shared" ca="1" si="239"/>
        <v>#N/A</v>
      </c>
      <c r="FG112" s="244" t="e">
        <f t="shared" ca="1" si="240"/>
        <v>#N/A</v>
      </c>
      <c r="FH112" s="244" t="e">
        <f t="shared" ca="1" si="241"/>
        <v>#N/A</v>
      </c>
      <c r="FI112" s="244" t="e">
        <f t="shared" ca="1" si="242"/>
        <v>#N/A</v>
      </c>
      <c r="FJ112" s="244" t="e">
        <f t="shared" ca="1" si="243"/>
        <v>#N/A</v>
      </c>
      <c r="FK112" s="244" t="e">
        <f t="shared" ca="1" si="244"/>
        <v>#N/A</v>
      </c>
      <c r="FL112" s="244" t="e">
        <f t="shared" ca="1" si="245"/>
        <v>#N/A</v>
      </c>
      <c r="FM112" s="244" t="e">
        <f t="shared" ca="1" si="216"/>
        <v>#N/A</v>
      </c>
      <c r="FN112" s="244"/>
    </row>
    <row r="113" spans="5:170" x14ac:dyDescent="0.25">
      <c r="E113" s="244"/>
      <c r="F113" s="240" t="str">
        <f>IF(fronttd!E115="","",fronttd!E115)</f>
        <v/>
      </c>
      <c r="G113" s="240" t="str">
        <f>IF(fronttd!F115="","",fronttd!F115)</f>
        <v/>
      </c>
      <c r="H113" s="380">
        <f>fronttd!G115</f>
        <v>0</v>
      </c>
      <c r="I113" s="380">
        <f>fronttd!H115</f>
        <v>0</v>
      </c>
      <c r="J113">
        <f t="shared" si="246"/>
        <v>24</v>
      </c>
      <c r="L113">
        <f t="shared" si="247"/>
        <v>113</v>
      </c>
      <c r="O113" s="238">
        <f t="shared" si="248"/>
        <v>113</v>
      </c>
      <c r="R113" s="112" t="str">
        <f t="shared" si="217"/>
        <v/>
      </c>
      <c r="S113" s="238" t="e">
        <f t="shared" ca="1" si="218"/>
        <v>#N/A</v>
      </c>
      <c r="T113" s="112" t="e">
        <f t="shared" ca="1" si="255"/>
        <v>#N/A</v>
      </c>
      <c r="U113" s="112" t="e">
        <f t="shared" ca="1" si="256"/>
        <v>#N/A</v>
      </c>
      <c r="V113" s="112" t="e">
        <f t="shared" ca="1" si="257"/>
        <v>#N/A</v>
      </c>
      <c r="W113" s="112" t="e">
        <f t="shared" ca="1" si="258"/>
        <v>#N/A</v>
      </c>
      <c r="X113" s="112" t="str">
        <f t="shared" si="219"/>
        <v/>
      </c>
      <c r="Y113" s="112"/>
      <c r="Z113" s="112"/>
      <c r="AA113" s="335" t="str">
        <f t="shared" si="220"/>
        <v/>
      </c>
      <c r="AB113" s="335" t="e">
        <f t="shared" ca="1" si="259"/>
        <v>#N/A</v>
      </c>
      <c r="AC113" s="335" t="e">
        <f t="shared" ca="1" si="260"/>
        <v>#N/A</v>
      </c>
      <c r="AD113" s="335" t="e">
        <f t="shared" ca="1" si="261"/>
        <v>#N/A</v>
      </c>
      <c r="AE113" s="335" t="e">
        <f t="shared" ca="1" si="262"/>
        <v>#N/A</v>
      </c>
      <c r="AF113" s="335" t="str">
        <f t="shared" si="221"/>
        <v/>
      </c>
      <c r="AG113" s="238">
        <f>AG112</f>
        <v>38</v>
      </c>
      <c r="AH113" s="112">
        <f ca="1">AI112+1</f>
        <v>37787</v>
      </c>
      <c r="AI113" s="112">
        <f ca="1">IF(INDIRECT(CONCATENATE("AE",AG110))&lt;100000,INDIRECT(CONCATENATE("AE",G110)),INDIRECT(CONCATENATE("AF",AG110)))</f>
        <v>37786</v>
      </c>
      <c r="AJ113" s="112">
        <f t="shared" ca="1" si="292"/>
        <v>37786</v>
      </c>
      <c r="AK113" s="112">
        <f t="shared" ca="1" si="169"/>
        <v>37786</v>
      </c>
      <c r="AL113" s="238">
        <f t="shared" ca="1" si="294"/>
        <v>0</v>
      </c>
      <c r="AM113" s="112">
        <f t="shared" ca="1" si="285"/>
        <v>100000</v>
      </c>
      <c r="AN113" s="112">
        <f t="shared" ca="1" si="253"/>
        <v>100000</v>
      </c>
      <c r="AO113" s="114">
        <f t="shared" ca="1" si="222"/>
        <v>18</v>
      </c>
      <c r="AP113" s="114">
        <f t="shared" ca="1" si="223"/>
        <v>24</v>
      </c>
      <c r="AQ113" s="112"/>
      <c r="AR113" s="238">
        <f t="shared" si="249"/>
        <v>113</v>
      </c>
      <c r="AS113" s="112"/>
      <c r="AT113" s="112"/>
      <c r="AU113" s="283">
        <f t="shared" si="185"/>
        <v>94</v>
      </c>
      <c r="AV113" s="284">
        <f t="shared" ca="1" si="224"/>
        <v>100000</v>
      </c>
      <c r="AW113" s="284">
        <f t="shared" ca="1" si="286"/>
        <v>100000</v>
      </c>
      <c r="AX113" s="285">
        <f t="shared" ca="1" si="287"/>
        <v>0</v>
      </c>
      <c r="AY113" s="285">
        <f t="shared" ca="1" si="186"/>
        <v>24</v>
      </c>
      <c r="AZ113" s="282"/>
      <c r="BD113" s="114">
        <f t="shared" si="250"/>
        <v>1</v>
      </c>
      <c r="BE113" s="112">
        <f t="shared" si="225"/>
        <v>100000</v>
      </c>
      <c r="BH113" s="238">
        <f t="shared" si="251"/>
        <v>94</v>
      </c>
      <c r="BI113" s="245" t="str">
        <f t="shared" si="226"/>
        <v/>
      </c>
      <c r="BJ113" s="281">
        <f t="shared" ca="1" si="265"/>
        <v>16</v>
      </c>
      <c r="BK113" s="245" t="e">
        <f t="shared" ca="1" si="227"/>
        <v>#NUM!</v>
      </c>
      <c r="BL113" s="245" t="e">
        <f t="shared" ca="1" si="228"/>
        <v>#NUM!</v>
      </c>
      <c r="BN113" s="245" t="e">
        <f t="shared" ca="1" si="266"/>
        <v>#NUM!</v>
      </c>
      <c r="CL113" s="112"/>
      <c r="CM113" s="112"/>
      <c r="CP113" s="112"/>
      <c r="CQ113" s="112"/>
      <c r="CR113" s="238"/>
      <c r="CS113" s="238"/>
      <c r="CT113" s="112"/>
      <c r="CU113" s="112"/>
      <c r="CV113" s="112"/>
      <c r="CW113" s="112" t="s">
        <v>224</v>
      </c>
      <c r="CX113" s="112" t="s">
        <v>225</v>
      </c>
      <c r="CY113" s="112" t="s">
        <v>226</v>
      </c>
      <c r="CZ113" s="112" t="s">
        <v>227</v>
      </c>
      <c r="DA113" s="112" t="s">
        <v>228</v>
      </c>
      <c r="DB113" s="112" t="s">
        <v>229</v>
      </c>
      <c r="DC113" s="112"/>
      <c r="DD113" s="238">
        <f t="shared" ca="1" si="283"/>
        <v>0</v>
      </c>
      <c r="DE113" s="238">
        <f t="shared" ca="1" si="275"/>
        <v>0</v>
      </c>
      <c r="DF113" s="112"/>
      <c r="DG113" s="238"/>
      <c r="DH113" s="238"/>
      <c r="DI113" s="112"/>
      <c r="DJ113" s="238"/>
      <c r="DK113" s="112" t="str">
        <f t="shared" ca="1" si="229"/>
        <v/>
      </c>
      <c r="DL113" s="278" t="str">
        <f t="shared" ca="1" si="296"/>
        <v/>
      </c>
      <c r="DM113" s="245" t="str">
        <f t="shared" ref="DM113:DP113" ca="1" si="303">DM664</f>
        <v/>
      </c>
      <c r="DN113" s="245" t="str">
        <f t="shared" ca="1" si="303"/>
        <v/>
      </c>
      <c r="DO113" s="245" t="str">
        <f t="shared" ca="1" si="303"/>
        <v/>
      </c>
      <c r="DP113" s="245" t="str">
        <f t="shared" ca="1" si="303"/>
        <v/>
      </c>
      <c r="DQ113" s="281" t="str">
        <f t="shared" ca="1" si="298"/>
        <v/>
      </c>
      <c r="DR113" s="278" t="str">
        <f t="shared" ca="1" si="299"/>
        <v/>
      </c>
      <c r="DS113" s="244" t="str">
        <f t="shared" ca="1" si="231"/>
        <v/>
      </c>
      <c r="DT113" s="244" t="str">
        <f t="shared" ca="1" si="232"/>
        <v/>
      </c>
      <c r="DU113" s="244" t="str">
        <f t="shared" ca="1" si="300"/>
        <v/>
      </c>
      <c r="DV113" s="244" t="str">
        <f t="shared" ca="1" si="301"/>
        <v/>
      </c>
      <c r="DW113" s="244"/>
      <c r="DX113" s="244" t="str">
        <f t="shared" ca="1" si="273"/>
        <v/>
      </c>
      <c r="EA113" s="244" t="b">
        <f t="shared" ca="1" si="233"/>
        <v>0</v>
      </c>
      <c r="EB113" s="278" t="e">
        <f ca="1">VLOOKUP(DM113,Foglio1!$AB$31:$AN$261,13)-6+EA113</f>
        <v>#N/A</v>
      </c>
      <c r="EC113" s="244"/>
      <c r="ED113" s="244" t="e">
        <f t="shared" ca="1" si="202"/>
        <v>#N/A</v>
      </c>
      <c r="EE113" s="244" t="e">
        <f t="shared" ca="1" si="203"/>
        <v>#N/A</v>
      </c>
      <c r="EF113" s="244" t="e">
        <f t="shared" ca="1" si="204"/>
        <v>#N/A</v>
      </c>
      <c r="EG113" s="244" t="e">
        <f t="shared" ca="1" si="205"/>
        <v>#N/A</v>
      </c>
      <c r="EH113" s="244" t="e">
        <f t="shared" ca="1" si="206"/>
        <v>#N/A</v>
      </c>
      <c r="EI113" s="244" t="e">
        <f t="shared" ca="1" si="207"/>
        <v>#N/A</v>
      </c>
      <c r="EJ113" s="244" t="e">
        <f t="shared" ca="1" si="208"/>
        <v>#N/A</v>
      </c>
      <c r="EK113" s="244" t="e">
        <f t="shared" ca="1" si="209"/>
        <v>#N/A</v>
      </c>
      <c r="EL113" s="244" t="e">
        <f t="shared" ca="1" si="210"/>
        <v>#N/A</v>
      </c>
      <c r="EM113" s="244" t="e">
        <f t="shared" ca="1" si="211"/>
        <v>#N/A</v>
      </c>
      <c r="EN113" s="244" t="e">
        <f t="shared" ca="1" si="212"/>
        <v>#N/A</v>
      </c>
      <c r="EO113" s="244" t="e">
        <f t="shared" ca="1" si="213"/>
        <v>#N/A</v>
      </c>
      <c r="EP113" s="244" t="e">
        <f t="shared" ca="1" si="214"/>
        <v>#N/A</v>
      </c>
      <c r="EQ113" s="244" t="e">
        <f t="shared" ca="1" si="215"/>
        <v>#N/A</v>
      </c>
      <c r="ER113" s="244"/>
      <c r="EW113" s="244">
        <v>0</v>
      </c>
      <c r="EX113" s="278" t="e">
        <f ca="1">VLOOKUP(DM113,Foglio1!$AB$31:$AN$261,13)-6+EW113</f>
        <v>#N/A</v>
      </c>
      <c r="EY113" s="244"/>
      <c r="EZ113" s="244">
        <v>0</v>
      </c>
      <c r="FA113" s="244" t="e">
        <f t="shared" ca="1" si="234"/>
        <v>#N/A</v>
      </c>
      <c r="FB113" s="244" t="e">
        <f t="shared" ca="1" si="235"/>
        <v>#N/A</v>
      </c>
      <c r="FC113" s="244" t="e">
        <f t="shared" ca="1" si="236"/>
        <v>#N/A</v>
      </c>
      <c r="FD113" s="244" t="e">
        <f t="shared" ca="1" si="237"/>
        <v>#N/A</v>
      </c>
      <c r="FE113" s="244" t="e">
        <f t="shared" ca="1" si="238"/>
        <v>#N/A</v>
      </c>
      <c r="FF113" s="244" t="e">
        <f t="shared" ca="1" si="239"/>
        <v>#N/A</v>
      </c>
      <c r="FG113" s="244" t="e">
        <f t="shared" ca="1" si="240"/>
        <v>#N/A</v>
      </c>
      <c r="FH113" s="244" t="e">
        <f t="shared" ca="1" si="241"/>
        <v>#N/A</v>
      </c>
      <c r="FI113" s="244" t="e">
        <f t="shared" ca="1" si="242"/>
        <v>#N/A</v>
      </c>
      <c r="FJ113" s="244" t="e">
        <f t="shared" ca="1" si="243"/>
        <v>#N/A</v>
      </c>
      <c r="FK113" s="244" t="e">
        <f t="shared" ca="1" si="244"/>
        <v>#N/A</v>
      </c>
      <c r="FL113" s="244" t="e">
        <f t="shared" ca="1" si="245"/>
        <v>#N/A</v>
      </c>
      <c r="FM113" s="244" t="e">
        <f t="shared" ca="1" si="216"/>
        <v>#N/A</v>
      </c>
      <c r="FN113" s="244"/>
    </row>
    <row r="114" spans="5:170" x14ac:dyDescent="0.25">
      <c r="E114" s="244"/>
      <c r="F114" s="240" t="str">
        <f>IF(fronttd!E116="","",fronttd!E116)</f>
        <v/>
      </c>
      <c r="G114" s="240" t="str">
        <f>IF(fronttd!F116="","",fronttd!F116)</f>
        <v/>
      </c>
      <c r="H114" s="380">
        <f>fronttd!G116</f>
        <v>0</v>
      </c>
      <c r="I114" s="380">
        <f>fronttd!H116</f>
        <v>0</v>
      </c>
      <c r="J114">
        <f t="shared" si="246"/>
        <v>24</v>
      </c>
      <c r="L114">
        <f t="shared" si="247"/>
        <v>114</v>
      </c>
      <c r="O114" s="238">
        <f t="shared" si="248"/>
        <v>114</v>
      </c>
      <c r="R114" s="112" t="str">
        <f t="shared" si="217"/>
        <v/>
      </c>
      <c r="S114" s="238" t="e">
        <f t="shared" ca="1" si="218"/>
        <v>#N/A</v>
      </c>
      <c r="T114" s="112" t="e">
        <f t="shared" ca="1" si="255"/>
        <v>#N/A</v>
      </c>
      <c r="U114" s="112" t="e">
        <f t="shared" ca="1" si="256"/>
        <v>#N/A</v>
      </c>
      <c r="V114" s="112" t="e">
        <f t="shared" ca="1" si="257"/>
        <v>#N/A</v>
      </c>
      <c r="W114" s="112" t="e">
        <f t="shared" ca="1" si="258"/>
        <v>#N/A</v>
      </c>
      <c r="X114" s="112" t="str">
        <f t="shared" si="219"/>
        <v/>
      </c>
      <c r="Y114" s="112"/>
      <c r="Z114" s="112"/>
      <c r="AA114" s="335" t="str">
        <f t="shared" si="220"/>
        <v/>
      </c>
      <c r="AB114" s="335" t="e">
        <f t="shared" ca="1" si="259"/>
        <v>#N/A</v>
      </c>
      <c r="AC114" s="335" t="e">
        <f t="shared" ca="1" si="260"/>
        <v>#N/A</v>
      </c>
      <c r="AD114" s="335" t="e">
        <f t="shared" ca="1" si="261"/>
        <v>#N/A</v>
      </c>
      <c r="AE114" s="335" t="e">
        <f t="shared" ca="1" si="262"/>
        <v>#N/A</v>
      </c>
      <c r="AF114" s="335" t="str">
        <f t="shared" si="221"/>
        <v/>
      </c>
      <c r="AG114" s="238">
        <f>AG113</f>
        <v>38</v>
      </c>
      <c r="AH114" s="112">
        <f ca="1">AI113+1</f>
        <v>37787</v>
      </c>
      <c r="AI114" s="112">
        <f ca="1">INDIRECT(CONCATENATE("AF",AG110))</f>
        <v>37786</v>
      </c>
      <c r="AJ114" s="112">
        <f t="shared" ca="1" si="292"/>
        <v>37786</v>
      </c>
      <c r="AK114" s="112">
        <f t="shared" ca="1" si="169"/>
        <v>37786</v>
      </c>
      <c r="AL114" s="238">
        <f t="shared" ca="1" si="294"/>
        <v>0</v>
      </c>
      <c r="AM114" s="112">
        <f t="shared" ca="1" si="285"/>
        <v>100000</v>
      </c>
      <c r="AN114" s="112">
        <f t="shared" ca="1" si="253"/>
        <v>100000</v>
      </c>
      <c r="AO114" s="114">
        <f t="shared" ca="1" si="222"/>
        <v>18</v>
      </c>
      <c r="AP114" s="114">
        <f t="shared" ca="1" si="223"/>
        <v>24</v>
      </c>
      <c r="AQ114" s="112"/>
      <c r="AR114" s="238">
        <f t="shared" si="249"/>
        <v>114</v>
      </c>
      <c r="AS114" s="112"/>
      <c r="AT114" s="112"/>
      <c r="AU114" s="283">
        <f t="shared" si="185"/>
        <v>95</v>
      </c>
      <c r="AV114" s="284">
        <f t="shared" ca="1" si="224"/>
        <v>100000</v>
      </c>
      <c r="AW114" s="284">
        <f t="shared" ca="1" si="286"/>
        <v>100000</v>
      </c>
      <c r="AX114" s="285">
        <f t="shared" ca="1" si="287"/>
        <v>0</v>
      </c>
      <c r="AY114" s="285">
        <f t="shared" ca="1" si="186"/>
        <v>24</v>
      </c>
      <c r="AZ114" s="282"/>
      <c r="BD114" s="114">
        <f t="shared" si="250"/>
        <v>1</v>
      </c>
      <c r="BE114" s="112">
        <f t="shared" si="225"/>
        <v>100000</v>
      </c>
      <c r="BH114" s="238">
        <f t="shared" si="251"/>
        <v>95</v>
      </c>
      <c r="BI114" s="245" t="str">
        <f t="shared" si="226"/>
        <v/>
      </c>
      <c r="BJ114" s="281">
        <f t="shared" ca="1" si="265"/>
        <v>16</v>
      </c>
      <c r="BK114" s="245" t="e">
        <f t="shared" ca="1" si="227"/>
        <v>#NUM!</v>
      </c>
      <c r="BL114" s="245" t="e">
        <f t="shared" ca="1" si="228"/>
        <v>#NUM!</v>
      </c>
      <c r="BN114" s="245" t="e">
        <f t="shared" ca="1" si="266"/>
        <v>#NUM!</v>
      </c>
      <c r="CL114" s="112"/>
      <c r="CM114" s="112"/>
      <c r="CP114" s="112"/>
      <c r="CQ114" s="112"/>
      <c r="CR114" s="238"/>
      <c r="CS114" s="238"/>
      <c r="CT114" s="112"/>
      <c r="CU114" s="112"/>
      <c r="CV114" s="112"/>
      <c r="CW114" s="112" t="s">
        <v>224</v>
      </c>
      <c r="CX114" s="112" t="s">
        <v>225</v>
      </c>
      <c r="CY114" s="112" t="s">
        <v>226</v>
      </c>
      <c r="CZ114" s="112" t="s">
        <v>227</v>
      </c>
      <c r="DA114" s="112" t="s">
        <v>228</v>
      </c>
      <c r="DB114" s="112" t="s">
        <v>229</v>
      </c>
      <c r="DC114" s="112"/>
      <c r="DD114" s="238">
        <f t="shared" ca="1" si="283"/>
        <v>0</v>
      </c>
      <c r="DE114" s="238">
        <f t="shared" ca="1" si="275"/>
        <v>0</v>
      </c>
      <c r="DF114" s="112"/>
      <c r="DG114" s="238"/>
      <c r="DH114" s="238"/>
      <c r="DI114" s="112"/>
      <c r="DJ114" s="238"/>
      <c r="DK114" s="112" t="str">
        <f t="shared" ca="1" si="229"/>
        <v/>
      </c>
      <c r="DL114" s="278" t="str">
        <f t="shared" ca="1" si="296"/>
        <v/>
      </c>
      <c r="DM114" s="245" t="str">
        <f t="shared" ref="DM114:DP114" ca="1" si="304">DM665</f>
        <v/>
      </c>
      <c r="DN114" s="245" t="str">
        <f t="shared" ca="1" si="304"/>
        <v/>
      </c>
      <c r="DO114" s="245" t="str">
        <f t="shared" ca="1" si="304"/>
        <v/>
      </c>
      <c r="DP114" s="245" t="str">
        <f t="shared" ca="1" si="304"/>
        <v/>
      </c>
      <c r="DQ114" s="281" t="str">
        <f t="shared" ca="1" si="298"/>
        <v/>
      </c>
      <c r="DR114" s="278" t="str">
        <f t="shared" ca="1" si="299"/>
        <v/>
      </c>
      <c r="DS114" s="244" t="str">
        <f t="shared" ca="1" si="231"/>
        <v/>
      </c>
      <c r="DT114" s="244" t="str">
        <f t="shared" ca="1" si="232"/>
        <v/>
      </c>
      <c r="DU114" s="244" t="str">
        <f t="shared" ca="1" si="300"/>
        <v/>
      </c>
      <c r="DV114" s="244" t="str">
        <f t="shared" ca="1" si="301"/>
        <v/>
      </c>
      <c r="DW114" s="244"/>
      <c r="DX114" s="244" t="str">
        <f t="shared" ca="1" si="273"/>
        <v/>
      </c>
      <c r="EA114" s="244" t="b">
        <f t="shared" ca="1" si="233"/>
        <v>0</v>
      </c>
      <c r="EB114" s="278" t="e">
        <f ca="1">VLOOKUP(DM114,Foglio1!$AB$31:$AN$261,13)-6+EA114</f>
        <v>#N/A</v>
      </c>
      <c r="EC114" s="244"/>
      <c r="ED114" s="244" t="e">
        <f t="shared" ca="1" si="202"/>
        <v>#N/A</v>
      </c>
      <c r="EE114" s="244" t="e">
        <f t="shared" ca="1" si="203"/>
        <v>#N/A</v>
      </c>
      <c r="EF114" s="244" t="e">
        <f t="shared" ca="1" si="204"/>
        <v>#N/A</v>
      </c>
      <c r="EG114" s="244" t="e">
        <f t="shared" ca="1" si="205"/>
        <v>#N/A</v>
      </c>
      <c r="EH114" s="244" t="e">
        <f t="shared" ca="1" si="206"/>
        <v>#N/A</v>
      </c>
      <c r="EI114" s="244" t="e">
        <f t="shared" ca="1" si="207"/>
        <v>#N/A</v>
      </c>
      <c r="EJ114" s="244" t="e">
        <f t="shared" ca="1" si="208"/>
        <v>#N/A</v>
      </c>
      <c r="EK114" s="244" t="e">
        <f t="shared" ca="1" si="209"/>
        <v>#N/A</v>
      </c>
      <c r="EL114" s="244" t="e">
        <f t="shared" ca="1" si="210"/>
        <v>#N/A</v>
      </c>
      <c r="EM114" s="244" t="e">
        <f t="shared" ca="1" si="211"/>
        <v>#N/A</v>
      </c>
      <c r="EN114" s="244" t="e">
        <f t="shared" ca="1" si="212"/>
        <v>#N/A</v>
      </c>
      <c r="EO114" s="244" t="e">
        <f t="shared" ca="1" si="213"/>
        <v>#N/A</v>
      </c>
      <c r="EP114" s="244" t="e">
        <f t="shared" ca="1" si="214"/>
        <v>#N/A</v>
      </c>
      <c r="EQ114" s="244" t="e">
        <f t="shared" ca="1" si="215"/>
        <v>#N/A</v>
      </c>
      <c r="ER114" s="244"/>
      <c r="EW114" s="244">
        <v>0</v>
      </c>
      <c r="EX114" s="278" t="e">
        <f ca="1">VLOOKUP(DM114,Foglio1!$AB$31:$AN$261,13)-6+EW114</f>
        <v>#N/A</v>
      </c>
      <c r="EY114" s="244"/>
      <c r="EZ114" s="244">
        <v>0</v>
      </c>
      <c r="FA114" s="244" t="e">
        <f t="shared" ca="1" si="234"/>
        <v>#N/A</v>
      </c>
      <c r="FB114" s="244" t="e">
        <f t="shared" ca="1" si="235"/>
        <v>#N/A</v>
      </c>
      <c r="FC114" s="244" t="e">
        <f t="shared" ca="1" si="236"/>
        <v>#N/A</v>
      </c>
      <c r="FD114" s="244" t="e">
        <f t="shared" ca="1" si="237"/>
        <v>#N/A</v>
      </c>
      <c r="FE114" s="244" t="e">
        <f t="shared" ca="1" si="238"/>
        <v>#N/A</v>
      </c>
      <c r="FF114" s="244" t="e">
        <f t="shared" ca="1" si="239"/>
        <v>#N/A</v>
      </c>
      <c r="FG114" s="244" t="e">
        <f t="shared" ca="1" si="240"/>
        <v>#N/A</v>
      </c>
      <c r="FH114" s="244" t="e">
        <f t="shared" ca="1" si="241"/>
        <v>#N/A</v>
      </c>
      <c r="FI114" s="244" t="e">
        <f t="shared" ca="1" si="242"/>
        <v>#N/A</v>
      </c>
      <c r="FJ114" s="244" t="e">
        <f t="shared" ca="1" si="243"/>
        <v>#N/A</v>
      </c>
      <c r="FK114" s="244" t="e">
        <f t="shared" ca="1" si="244"/>
        <v>#N/A</v>
      </c>
      <c r="FL114" s="244" t="e">
        <f t="shared" ca="1" si="245"/>
        <v>#N/A</v>
      </c>
      <c r="FM114" s="244" t="e">
        <f t="shared" ca="1" si="216"/>
        <v>#N/A</v>
      </c>
      <c r="FN114" s="244"/>
    </row>
    <row r="115" spans="5:170" x14ac:dyDescent="0.25">
      <c r="E115" s="244"/>
      <c r="F115" s="240" t="str">
        <f>IF(fronttd!E117="","",fronttd!E117)</f>
        <v/>
      </c>
      <c r="G115" s="240" t="str">
        <f>IF(fronttd!F117="","",fronttd!F117)</f>
        <v/>
      </c>
      <c r="H115" s="380">
        <f>fronttd!G117</f>
        <v>0</v>
      </c>
      <c r="I115" s="380">
        <f>fronttd!H117</f>
        <v>0</v>
      </c>
      <c r="J115">
        <f t="shared" si="246"/>
        <v>24</v>
      </c>
      <c r="L115">
        <f t="shared" si="247"/>
        <v>115</v>
      </c>
      <c r="O115" s="238">
        <f t="shared" si="248"/>
        <v>115</v>
      </c>
      <c r="R115" s="112" t="str">
        <f t="shared" si="217"/>
        <v/>
      </c>
      <c r="S115" s="238" t="e">
        <f t="shared" ca="1" si="218"/>
        <v>#N/A</v>
      </c>
      <c r="T115" s="112" t="e">
        <f t="shared" ca="1" si="255"/>
        <v>#N/A</v>
      </c>
      <c r="U115" s="112" t="e">
        <f t="shared" ca="1" si="256"/>
        <v>#N/A</v>
      </c>
      <c r="V115" s="112" t="e">
        <f t="shared" ca="1" si="257"/>
        <v>#N/A</v>
      </c>
      <c r="W115" s="112" t="e">
        <f t="shared" ca="1" si="258"/>
        <v>#N/A</v>
      </c>
      <c r="X115" s="112" t="str">
        <f t="shared" si="219"/>
        <v/>
      </c>
      <c r="Y115" s="112"/>
      <c r="Z115" s="112"/>
      <c r="AA115" s="335" t="str">
        <f t="shared" si="220"/>
        <v/>
      </c>
      <c r="AB115" s="335" t="e">
        <f t="shared" ca="1" si="259"/>
        <v>#N/A</v>
      </c>
      <c r="AC115" s="335" t="e">
        <f t="shared" ca="1" si="260"/>
        <v>#N/A</v>
      </c>
      <c r="AD115" s="335" t="e">
        <f t="shared" ca="1" si="261"/>
        <v>#N/A</v>
      </c>
      <c r="AE115" s="335" t="e">
        <f t="shared" ca="1" si="262"/>
        <v>#N/A</v>
      </c>
      <c r="AF115" s="335" t="str">
        <f t="shared" si="221"/>
        <v/>
      </c>
      <c r="AG115" s="238">
        <f>AG114+1</f>
        <v>39</v>
      </c>
      <c r="AH115" s="112">
        <f ca="1">INDIRECT(CONCATENATE("AA",AG115))</f>
        <v>37865</v>
      </c>
      <c r="AI115" s="112">
        <f ca="1">IF(            INDIRECT(CONCATENATE( "AB",AG115))&lt;100000,       INDIRECT(CONCATENATE("AB",AG115))  -1,IF(   INDIRECT(CONCATENATE("AC",AG115))&lt;100000,   INDIRECT(CONCATENATE("AC",AG115))-1,IF(   INDIRECT(CONCATENATE("AD", AG115))&lt;100000, INDIRECT(CONCATENATE("AD",AG115))-1,IF(   INDIRECT(CONCATENATE("AE",AG115))&lt;100000,  INDIRECT(CONCATENATE("AE",G115)),INDIRECT(CONCATENATE("AF",AG115))                ))))</f>
        <v>37986</v>
      </c>
      <c r="AJ115" s="112">
        <f t="shared" ca="1" si="292"/>
        <v>37986</v>
      </c>
      <c r="AK115" s="112">
        <f t="shared" ca="1" si="169"/>
        <v>37986</v>
      </c>
      <c r="AL115" s="238">
        <f t="shared" ca="1" si="294"/>
        <v>1</v>
      </c>
      <c r="AM115" s="112">
        <f t="shared" ca="1" si="285"/>
        <v>37865</v>
      </c>
      <c r="AN115" s="112">
        <f t="shared" ca="1" si="253"/>
        <v>37986</v>
      </c>
      <c r="AO115" s="114">
        <f t="shared" ca="1" si="222"/>
        <v>18</v>
      </c>
      <c r="AP115" s="114">
        <f t="shared" ca="1" si="223"/>
        <v>24</v>
      </c>
      <c r="AQ115" s="112"/>
      <c r="AR115" s="238">
        <f t="shared" si="249"/>
        <v>115</v>
      </c>
      <c r="AS115" s="112"/>
      <c r="AT115" s="112"/>
      <c r="AU115" s="283">
        <f t="shared" si="185"/>
        <v>96</v>
      </c>
      <c r="AV115" s="284">
        <f t="shared" ca="1" si="224"/>
        <v>100000</v>
      </c>
      <c r="AW115" s="284">
        <f t="shared" ca="1" si="286"/>
        <v>100000</v>
      </c>
      <c r="AX115" s="285">
        <f t="shared" ca="1" si="287"/>
        <v>0</v>
      </c>
      <c r="AY115" s="285">
        <f t="shared" ca="1" si="186"/>
        <v>24</v>
      </c>
      <c r="AZ115" s="282"/>
      <c r="BD115" s="114">
        <f t="shared" si="250"/>
        <v>1</v>
      </c>
      <c r="BE115" s="112">
        <f t="shared" si="225"/>
        <v>100000</v>
      </c>
      <c r="BH115" s="238">
        <f t="shared" si="251"/>
        <v>96</v>
      </c>
      <c r="BI115" s="245" t="str">
        <f t="shared" si="226"/>
        <v/>
      </c>
      <c r="BJ115" s="281">
        <f t="shared" ca="1" si="265"/>
        <v>16</v>
      </c>
      <c r="BK115" s="245" t="e">
        <f t="shared" ca="1" si="227"/>
        <v>#NUM!</v>
      </c>
      <c r="BL115" s="245" t="e">
        <f t="shared" ca="1" si="228"/>
        <v>#NUM!</v>
      </c>
      <c r="BN115" s="245" t="e">
        <f t="shared" ca="1" si="266"/>
        <v>#NUM!</v>
      </c>
      <c r="CL115" s="112"/>
      <c r="CM115" s="112"/>
      <c r="CP115" s="112"/>
      <c r="CQ115" s="112"/>
      <c r="CR115" s="238"/>
      <c r="CS115" s="238"/>
      <c r="CT115" s="112"/>
      <c r="CU115" s="112"/>
      <c r="CV115" s="112"/>
      <c r="CW115" s="112" t="s">
        <v>224</v>
      </c>
      <c r="CX115" s="112" t="s">
        <v>225</v>
      </c>
      <c r="CY115" s="112" t="s">
        <v>226</v>
      </c>
      <c r="CZ115" s="112" t="s">
        <v>227</v>
      </c>
      <c r="DA115" s="112" t="s">
        <v>228</v>
      </c>
      <c r="DB115" s="112" t="s">
        <v>229</v>
      </c>
      <c r="DC115" s="112"/>
      <c r="DD115" s="238">
        <f t="shared" ca="1" si="283"/>
        <v>0</v>
      </c>
      <c r="DE115" s="238">
        <f t="shared" ca="1" si="275"/>
        <v>0</v>
      </c>
      <c r="DF115" s="112"/>
      <c r="DG115" s="238"/>
      <c r="DH115" s="238"/>
      <c r="DI115" s="112"/>
      <c r="DJ115" s="238"/>
      <c r="DK115" s="112" t="str">
        <f t="shared" ca="1" si="229"/>
        <v/>
      </c>
      <c r="DL115" s="278" t="str">
        <f t="shared" ca="1" si="296"/>
        <v/>
      </c>
      <c r="DM115" s="245" t="str">
        <f t="shared" ref="DM115:DP115" ca="1" si="305">DM666</f>
        <v/>
      </c>
      <c r="DN115" s="245" t="str">
        <f t="shared" ca="1" si="305"/>
        <v/>
      </c>
      <c r="DO115" s="245" t="str">
        <f t="shared" ca="1" si="305"/>
        <v/>
      </c>
      <c r="DP115" s="245" t="str">
        <f t="shared" ca="1" si="305"/>
        <v/>
      </c>
      <c r="DQ115" s="281" t="str">
        <f t="shared" ca="1" si="298"/>
        <v/>
      </c>
      <c r="DR115" s="278" t="str">
        <f t="shared" ca="1" si="299"/>
        <v/>
      </c>
      <c r="DS115" s="244" t="str">
        <f t="shared" ca="1" si="231"/>
        <v/>
      </c>
      <c r="DT115" s="244" t="str">
        <f t="shared" ca="1" si="232"/>
        <v/>
      </c>
      <c r="DU115" s="244" t="str">
        <f t="shared" ca="1" si="300"/>
        <v/>
      </c>
      <c r="DV115" s="244" t="str">
        <f t="shared" ca="1" si="301"/>
        <v/>
      </c>
      <c r="DW115" s="244"/>
      <c r="DX115" s="244" t="str">
        <f t="shared" ca="1" si="273"/>
        <v/>
      </c>
      <c r="EA115" s="244" t="b">
        <f t="shared" ca="1" si="233"/>
        <v>0</v>
      </c>
      <c r="EB115" s="278" t="e">
        <f ca="1">VLOOKUP(DM115,Foglio1!$AB$31:$AN$261,13)-6+EA115</f>
        <v>#N/A</v>
      </c>
      <c r="EC115" s="244"/>
      <c r="ED115" s="244" t="e">
        <f t="shared" ca="1" si="202"/>
        <v>#N/A</v>
      </c>
      <c r="EE115" s="244" t="e">
        <f t="shared" ca="1" si="203"/>
        <v>#N/A</v>
      </c>
      <c r="EF115" s="244" t="e">
        <f t="shared" ca="1" si="204"/>
        <v>#N/A</v>
      </c>
      <c r="EG115" s="244" t="e">
        <f t="shared" ca="1" si="205"/>
        <v>#N/A</v>
      </c>
      <c r="EH115" s="244" t="e">
        <f t="shared" ca="1" si="206"/>
        <v>#N/A</v>
      </c>
      <c r="EI115" s="244" t="e">
        <f t="shared" ca="1" si="207"/>
        <v>#N/A</v>
      </c>
      <c r="EJ115" s="244" t="e">
        <f t="shared" ca="1" si="208"/>
        <v>#N/A</v>
      </c>
      <c r="EK115" s="244" t="e">
        <f t="shared" ca="1" si="209"/>
        <v>#N/A</v>
      </c>
      <c r="EL115" s="244" t="e">
        <f t="shared" ca="1" si="210"/>
        <v>#N/A</v>
      </c>
      <c r="EM115" s="244" t="e">
        <f t="shared" ca="1" si="211"/>
        <v>#N/A</v>
      </c>
      <c r="EN115" s="244" t="e">
        <f t="shared" ca="1" si="212"/>
        <v>#N/A</v>
      </c>
      <c r="EO115" s="244" t="e">
        <f t="shared" ca="1" si="213"/>
        <v>#N/A</v>
      </c>
      <c r="EP115" s="244" t="e">
        <f t="shared" ca="1" si="214"/>
        <v>#N/A</v>
      </c>
      <c r="EQ115" s="244" t="e">
        <f t="shared" ca="1" si="215"/>
        <v>#N/A</v>
      </c>
      <c r="ER115" s="244"/>
      <c r="EW115" s="244">
        <v>0</v>
      </c>
      <c r="EX115" s="278" t="e">
        <f ca="1">VLOOKUP(DM115,Foglio1!$AB$31:$AN$261,13)-6+EW115</f>
        <v>#N/A</v>
      </c>
      <c r="EY115" s="244"/>
      <c r="EZ115" s="244">
        <v>0</v>
      </c>
      <c r="FA115" s="244" t="e">
        <f t="shared" ca="1" si="234"/>
        <v>#N/A</v>
      </c>
      <c r="FB115" s="244" t="e">
        <f t="shared" ca="1" si="235"/>
        <v>#N/A</v>
      </c>
      <c r="FC115" s="244" t="e">
        <f t="shared" ca="1" si="236"/>
        <v>#N/A</v>
      </c>
      <c r="FD115" s="244" t="e">
        <f t="shared" ca="1" si="237"/>
        <v>#N/A</v>
      </c>
      <c r="FE115" s="244" t="e">
        <f t="shared" ca="1" si="238"/>
        <v>#N/A</v>
      </c>
      <c r="FF115" s="244" t="e">
        <f t="shared" ca="1" si="239"/>
        <v>#N/A</v>
      </c>
      <c r="FG115" s="244" t="e">
        <f t="shared" ca="1" si="240"/>
        <v>#N/A</v>
      </c>
      <c r="FH115" s="244" t="e">
        <f t="shared" ca="1" si="241"/>
        <v>#N/A</v>
      </c>
      <c r="FI115" s="244" t="e">
        <f t="shared" ca="1" si="242"/>
        <v>#N/A</v>
      </c>
      <c r="FJ115" s="244" t="e">
        <f t="shared" ca="1" si="243"/>
        <v>#N/A</v>
      </c>
      <c r="FK115" s="244" t="e">
        <f t="shared" ca="1" si="244"/>
        <v>#N/A</v>
      </c>
      <c r="FL115" s="244" t="e">
        <f t="shared" ca="1" si="245"/>
        <v>#N/A</v>
      </c>
      <c r="FM115" s="244" t="e">
        <f t="shared" ca="1" si="216"/>
        <v>#N/A</v>
      </c>
      <c r="FN115" s="244"/>
    </row>
    <row r="116" spans="5:170" x14ac:dyDescent="0.25">
      <c r="E116" s="244"/>
      <c r="F116" s="240" t="str">
        <f>IF(fronttd!E118="","",fronttd!E118)</f>
        <v/>
      </c>
      <c r="G116" s="240" t="str">
        <f>IF(fronttd!F118="","",fronttd!F118)</f>
        <v/>
      </c>
      <c r="H116" s="380">
        <f>fronttd!G118</f>
        <v>0</v>
      </c>
      <c r="I116" s="380">
        <f>fronttd!H118</f>
        <v>0</v>
      </c>
      <c r="J116">
        <f t="shared" si="246"/>
        <v>24</v>
      </c>
      <c r="L116">
        <f t="shared" si="247"/>
        <v>116</v>
      </c>
      <c r="O116" s="238">
        <f t="shared" si="248"/>
        <v>116</v>
      </c>
      <c r="R116" s="112" t="str">
        <f t="shared" si="217"/>
        <v/>
      </c>
      <c r="S116" s="238" t="e">
        <f t="shared" ca="1" si="218"/>
        <v>#N/A</v>
      </c>
      <c r="T116" s="112" t="e">
        <f t="shared" ca="1" si="255"/>
        <v>#N/A</v>
      </c>
      <c r="U116" s="112" t="e">
        <f t="shared" ca="1" si="256"/>
        <v>#N/A</v>
      </c>
      <c r="V116" s="112" t="e">
        <f t="shared" ca="1" si="257"/>
        <v>#N/A</v>
      </c>
      <c r="W116" s="112" t="e">
        <f t="shared" ca="1" si="258"/>
        <v>#N/A</v>
      </c>
      <c r="X116" s="112" t="str">
        <f t="shared" si="219"/>
        <v/>
      </c>
      <c r="Y116" s="112"/>
      <c r="Z116" s="112"/>
      <c r="AA116" s="335" t="str">
        <f t="shared" si="220"/>
        <v/>
      </c>
      <c r="AB116" s="335" t="e">
        <f t="shared" ca="1" si="259"/>
        <v>#N/A</v>
      </c>
      <c r="AC116" s="335" t="e">
        <f t="shared" ca="1" si="260"/>
        <v>#N/A</v>
      </c>
      <c r="AD116" s="335" t="e">
        <f t="shared" ca="1" si="261"/>
        <v>#N/A</v>
      </c>
      <c r="AE116" s="335" t="e">
        <f t="shared" ca="1" si="262"/>
        <v>#N/A</v>
      </c>
      <c r="AF116" s="335" t="str">
        <f t="shared" si="221"/>
        <v/>
      </c>
      <c r="AG116" s="238">
        <f>AG115</f>
        <v>39</v>
      </c>
      <c r="AH116" s="112">
        <f ca="1">AI115+1</f>
        <v>37987</v>
      </c>
      <c r="AI116" s="112">
        <f ca="1">IF(INDIRECT(CONCATENATE("AC",AG115))&lt;100000,INDIRECT(CONCATENATE("AC",AG115))-1,IF(INDIRECT(CONCATENATE("AD",AG115))&lt;100000,INDIRECT(CONCATENATE("AD",AG115))-1,IF(INDIRECT(CONCATENATE("AE",AG115))&lt;100000,INDIRECT(CONCATENATE("AE",G115)),INDIRECT(CONCATENATE("AF",AG115)))))</f>
        <v>37986</v>
      </c>
      <c r="AJ116" s="112">
        <f t="shared" ca="1" si="292"/>
        <v>37986</v>
      </c>
      <c r="AK116" s="112">
        <f t="shared" ca="1" si="169"/>
        <v>37986</v>
      </c>
      <c r="AL116" s="238">
        <f t="shared" ca="1" si="294"/>
        <v>0</v>
      </c>
      <c r="AM116" s="112">
        <f t="shared" ca="1" si="285"/>
        <v>100000</v>
      </c>
      <c r="AN116" s="112">
        <f t="shared" ca="1" si="253"/>
        <v>100000</v>
      </c>
      <c r="AO116" s="114">
        <f t="shared" ca="1" si="222"/>
        <v>18</v>
      </c>
      <c r="AP116" s="114">
        <f t="shared" ca="1" si="223"/>
        <v>24</v>
      </c>
      <c r="AQ116" s="112"/>
      <c r="AR116" s="238">
        <f t="shared" si="249"/>
        <v>116</v>
      </c>
      <c r="AS116" s="112"/>
      <c r="AT116" s="112"/>
      <c r="AU116" s="283">
        <f t="shared" si="185"/>
        <v>97</v>
      </c>
      <c r="AV116" s="284">
        <f t="shared" ca="1" si="224"/>
        <v>100000</v>
      </c>
      <c r="AW116" s="284">
        <f t="shared" ca="1" si="286"/>
        <v>100000</v>
      </c>
      <c r="AX116" s="285">
        <f t="shared" ca="1" si="287"/>
        <v>0</v>
      </c>
      <c r="AY116" s="285">
        <f t="shared" ca="1" si="186"/>
        <v>24</v>
      </c>
      <c r="AZ116" s="282"/>
      <c r="BD116" s="114">
        <f t="shared" si="250"/>
        <v>1</v>
      </c>
      <c r="BE116" s="112">
        <f t="shared" si="225"/>
        <v>100000</v>
      </c>
      <c r="BH116" s="238">
        <f t="shared" si="251"/>
        <v>97</v>
      </c>
      <c r="BI116" s="245" t="str">
        <f t="shared" si="226"/>
        <v/>
      </c>
      <c r="BJ116" s="281">
        <f t="shared" ca="1" si="265"/>
        <v>16</v>
      </c>
      <c r="BK116" s="245" t="e">
        <f t="shared" ca="1" si="227"/>
        <v>#NUM!</v>
      </c>
      <c r="BL116" s="245" t="e">
        <f t="shared" ca="1" si="228"/>
        <v>#NUM!</v>
      </c>
      <c r="BN116" s="245" t="e">
        <f t="shared" ca="1" si="266"/>
        <v>#NUM!</v>
      </c>
      <c r="CL116" s="112"/>
      <c r="CM116" s="112"/>
      <c r="CP116" s="112"/>
      <c r="CQ116" s="112"/>
      <c r="CR116" s="238"/>
      <c r="CS116" s="238"/>
      <c r="CT116" s="112"/>
      <c r="CU116" s="112"/>
      <c r="CV116" s="112"/>
      <c r="CW116" s="112" t="s">
        <v>224</v>
      </c>
      <c r="CX116" s="112" t="s">
        <v>225</v>
      </c>
      <c r="CY116" s="112" t="s">
        <v>226</v>
      </c>
      <c r="CZ116" s="112" t="s">
        <v>227</v>
      </c>
      <c r="DA116" s="112" t="s">
        <v>228</v>
      </c>
      <c r="DB116" s="112" t="s">
        <v>229</v>
      </c>
      <c r="DC116" s="112"/>
      <c r="DD116" s="238">
        <f t="shared" ca="1" si="283"/>
        <v>0</v>
      </c>
      <c r="DE116" s="238">
        <f t="shared" ca="1" si="275"/>
        <v>0</v>
      </c>
      <c r="DF116" s="112"/>
      <c r="DG116" s="238"/>
      <c r="DH116" s="238"/>
      <c r="DI116" s="112"/>
      <c r="DJ116" s="238"/>
      <c r="DK116" s="112" t="str">
        <f t="shared" ca="1" si="229"/>
        <v/>
      </c>
      <c r="DL116" s="278" t="str">
        <f t="shared" ca="1" si="296"/>
        <v/>
      </c>
      <c r="DM116" s="245" t="str">
        <f t="shared" ref="DM116:DP116" ca="1" si="306">DM667</f>
        <v/>
      </c>
      <c r="DN116" s="245" t="str">
        <f t="shared" ca="1" si="306"/>
        <v/>
      </c>
      <c r="DO116" s="245" t="str">
        <f t="shared" ca="1" si="306"/>
        <v/>
      </c>
      <c r="DP116" s="245" t="str">
        <f t="shared" ca="1" si="306"/>
        <v/>
      </c>
      <c r="DQ116" s="281" t="str">
        <f t="shared" ca="1" si="298"/>
        <v/>
      </c>
      <c r="DR116" s="278" t="str">
        <f t="shared" ca="1" si="299"/>
        <v/>
      </c>
      <c r="DS116" s="244" t="str">
        <f t="shared" ca="1" si="231"/>
        <v/>
      </c>
      <c r="DT116" s="244" t="str">
        <f t="shared" ca="1" si="232"/>
        <v/>
      </c>
      <c r="DU116" s="244" t="str">
        <f t="shared" ca="1" si="300"/>
        <v/>
      </c>
      <c r="DV116" s="244" t="str">
        <f t="shared" ca="1" si="301"/>
        <v/>
      </c>
      <c r="DW116" s="244"/>
      <c r="DX116" s="244" t="str">
        <f t="shared" ca="1" si="273"/>
        <v/>
      </c>
      <c r="EA116" s="244" t="b">
        <f t="shared" ca="1" si="233"/>
        <v>0</v>
      </c>
      <c r="EB116" s="278" t="e">
        <f ca="1">VLOOKUP(DM116,Foglio1!$AB$31:$AN$261,13)-6+EA116</f>
        <v>#N/A</v>
      </c>
      <c r="EC116" s="244"/>
      <c r="ED116" s="244" t="e">
        <f t="shared" ref="ED116:ED128" ca="1" si="307">INDIRECT(CONCATENATE(EB$16,EB$17,$EB116))</f>
        <v>#N/A</v>
      </c>
      <c r="EE116" s="244" t="e">
        <f t="shared" ref="EE116:EE128" ca="1" si="308">INDIRECT(CONCATENATE(EC$16,EC$17,$EB116))</f>
        <v>#N/A</v>
      </c>
      <c r="EF116" s="244" t="e">
        <f t="shared" ref="EF116:EF128" ca="1" si="309">INDIRECT(CONCATENATE(ED$16,ED$17,$EB116))</f>
        <v>#N/A</v>
      </c>
      <c r="EG116" s="244" t="e">
        <f t="shared" ref="EG116:EG128" ca="1" si="310">INDIRECT(CONCATENATE(EE$16,EE$17,$EB116))</f>
        <v>#N/A</v>
      </c>
      <c r="EH116" s="244" t="e">
        <f t="shared" ref="EH116:EH128" ca="1" si="311">INDIRECT(CONCATENATE(EF$16,EF$17,$EB116))</f>
        <v>#N/A</v>
      </c>
      <c r="EI116" s="244" t="e">
        <f t="shared" ref="EI116:EI128" ca="1" si="312">INDIRECT(CONCATENATE(EG$16,EG$17,$EB116))</f>
        <v>#N/A</v>
      </c>
      <c r="EJ116" s="244" t="e">
        <f t="shared" ref="EJ116:EJ128" ca="1" si="313">INDIRECT(CONCATENATE(EH$16,EH$17,$EB116))</f>
        <v>#N/A</v>
      </c>
      <c r="EK116" s="244" t="e">
        <f t="shared" ref="EK116:EK128" ca="1" si="314">INDIRECT(CONCATENATE(EI$16,EI$17,$EB116))</f>
        <v>#N/A</v>
      </c>
      <c r="EL116" s="244" t="e">
        <f t="shared" ref="EL116:EL128" ca="1" si="315">INDIRECT(CONCATENATE(EJ$16,EJ$17,$EB116))</f>
        <v>#N/A</v>
      </c>
      <c r="EM116" s="244" t="e">
        <f t="shared" ref="EM116:EM128" ca="1" si="316">INDIRECT(CONCATENATE(EK$16,EK$17,$EB116))</f>
        <v>#N/A</v>
      </c>
      <c r="EN116" s="244" t="e">
        <f t="shared" ref="EN116:EN128" ca="1" si="317">INDIRECT(CONCATENATE(EL$16,EL$17,$EB116))</f>
        <v>#N/A</v>
      </c>
      <c r="EO116" s="244" t="e">
        <f t="shared" ref="EO116:EO128" ca="1" si="318">INDIRECT(CONCATENATE(EM$16,EM$17,$EB116))</f>
        <v>#N/A</v>
      </c>
      <c r="EP116" s="244" t="e">
        <f t="shared" ref="EP116:EP128" ca="1" si="319">INDIRECT(CONCATENATE(EN$16,EN$17,$EB116))</f>
        <v>#N/A</v>
      </c>
      <c r="EQ116" s="244" t="e">
        <f t="shared" ref="EQ116:EQ128" ca="1" si="320">INDIRECT(CONCATENATE(EO$16,EO$17,$EB116))</f>
        <v>#N/A</v>
      </c>
      <c r="ER116" s="244"/>
      <c r="EW116" s="244">
        <v>0</v>
      </c>
      <c r="EX116" s="278" t="e">
        <f ca="1">VLOOKUP(DM116,Foglio1!$AB$31:$AN$261,13)-6+EW116</f>
        <v>#N/A</v>
      </c>
      <c r="EY116" s="244"/>
      <c r="EZ116" s="244">
        <v>0</v>
      </c>
      <c r="FA116" s="244" t="e">
        <f t="shared" ca="1" si="234"/>
        <v>#N/A</v>
      </c>
      <c r="FB116" s="244" t="e">
        <f t="shared" ca="1" si="235"/>
        <v>#N/A</v>
      </c>
      <c r="FC116" s="244" t="e">
        <f t="shared" ca="1" si="236"/>
        <v>#N/A</v>
      </c>
      <c r="FD116" s="244" t="e">
        <f t="shared" ca="1" si="237"/>
        <v>#N/A</v>
      </c>
      <c r="FE116" s="244" t="e">
        <f t="shared" ca="1" si="238"/>
        <v>#N/A</v>
      </c>
      <c r="FF116" s="244" t="e">
        <f t="shared" ca="1" si="239"/>
        <v>#N/A</v>
      </c>
      <c r="FG116" s="244" t="e">
        <f t="shared" ca="1" si="240"/>
        <v>#N/A</v>
      </c>
      <c r="FH116" s="244" t="e">
        <f t="shared" ca="1" si="241"/>
        <v>#N/A</v>
      </c>
      <c r="FI116" s="244" t="e">
        <f t="shared" ca="1" si="242"/>
        <v>#N/A</v>
      </c>
      <c r="FJ116" s="244" t="e">
        <f t="shared" ca="1" si="243"/>
        <v>#N/A</v>
      </c>
      <c r="FK116" s="244" t="e">
        <f t="shared" ca="1" si="244"/>
        <v>#N/A</v>
      </c>
      <c r="FL116" s="244" t="e">
        <f t="shared" ca="1" si="245"/>
        <v>#N/A</v>
      </c>
      <c r="FM116" s="244" t="e">
        <f t="shared" ref="FM116:FM147" ca="1" si="321">INDIRECT(CONCATENATE(FK$16,FK$17,$EB116))</f>
        <v>#N/A</v>
      </c>
      <c r="FN116" s="244"/>
    </row>
    <row r="117" spans="5:170" x14ac:dyDescent="0.25">
      <c r="E117" s="244"/>
      <c r="F117" s="240" t="str">
        <f>IF(fronttd!E119="","",fronttd!E119)</f>
        <v/>
      </c>
      <c r="G117" s="240" t="str">
        <f>IF(fronttd!F119="","",fronttd!F119)</f>
        <v/>
      </c>
      <c r="H117" s="380">
        <f>fronttd!G119</f>
        <v>0</v>
      </c>
      <c r="I117" s="380">
        <f>fronttd!H119</f>
        <v>0</v>
      </c>
      <c r="J117">
        <f t="shared" si="246"/>
        <v>24</v>
      </c>
      <c r="L117">
        <f t="shared" si="247"/>
        <v>117</v>
      </c>
      <c r="O117" s="238">
        <f t="shared" si="248"/>
        <v>117</v>
      </c>
      <c r="R117" s="112" t="str">
        <f t="shared" si="217"/>
        <v/>
      </c>
      <c r="S117" s="238" t="e">
        <f t="shared" ca="1" si="218"/>
        <v>#N/A</v>
      </c>
      <c r="T117" s="112" t="e">
        <f t="shared" ca="1" si="255"/>
        <v>#N/A</v>
      </c>
      <c r="U117" s="112" t="e">
        <f t="shared" ca="1" si="256"/>
        <v>#N/A</v>
      </c>
      <c r="V117" s="112" t="e">
        <f t="shared" ca="1" si="257"/>
        <v>#N/A</v>
      </c>
      <c r="W117" s="112" t="e">
        <f t="shared" ca="1" si="258"/>
        <v>#N/A</v>
      </c>
      <c r="X117" s="112" t="str">
        <f t="shared" si="219"/>
        <v/>
      </c>
      <c r="Y117" s="112"/>
      <c r="Z117" s="112"/>
      <c r="AA117" s="335" t="str">
        <f t="shared" si="220"/>
        <v/>
      </c>
      <c r="AB117" s="335" t="e">
        <f t="shared" ca="1" si="259"/>
        <v>#N/A</v>
      </c>
      <c r="AC117" s="335" t="e">
        <f t="shared" ca="1" si="260"/>
        <v>#N/A</v>
      </c>
      <c r="AD117" s="335" t="e">
        <f t="shared" ca="1" si="261"/>
        <v>#N/A</v>
      </c>
      <c r="AE117" s="335" t="e">
        <f t="shared" ca="1" si="262"/>
        <v>#N/A</v>
      </c>
      <c r="AF117" s="335" t="str">
        <f t="shared" si="221"/>
        <v/>
      </c>
      <c r="AG117" s="238">
        <f>AG116</f>
        <v>39</v>
      </c>
      <c r="AH117" s="112">
        <f ca="1">AI116+1</f>
        <v>37987</v>
      </c>
      <c r="AI117" s="112">
        <f ca="1">IF(INDIRECT(CONCATENATE("AD",AG115))&lt;100000,INDIRECT(CONCATENATE("AD",AG115))-1,IF(INDIRECT(CONCATENATE("AE",AG115))&lt;100000,INDIRECT(CONCATENATE("AE",G115)),INDIRECT(CONCATENATE("AF",AG115))))</f>
        <v>38168</v>
      </c>
      <c r="AJ117" s="112">
        <f t="shared" ca="1" si="292"/>
        <v>38168</v>
      </c>
      <c r="AK117" s="112">
        <f t="shared" ca="1" si="169"/>
        <v>38168</v>
      </c>
      <c r="AL117" s="238">
        <f t="shared" ca="1" si="294"/>
        <v>1</v>
      </c>
      <c r="AM117" s="112">
        <f t="shared" ca="1" si="285"/>
        <v>37987</v>
      </c>
      <c r="AN117" s="112">
        <f t="shared" ca="1" si="253"/>
        <v>38168</v>
      </c>
      <c r="AO117" s="114">
        <f t="shared" ca="1" si="222"/>
        <v>18</v>
      </c>
      <c r="AP117" s="114">
        <f t="shared" ca="1" si="223"/>
        <v>24</v>
      </c>
      <c r="AQ117" s="112"/>
      <c r="AR117" s="238">
        <f t="shared" si="249"/>
        <v>117</v>
      </c>
      <c r="AS117" s="112"/>
      <c r="AT117" s="112"/>
      <c r="AU117" s="283">
        <f t="shared" si="185"/>
        <v>98</v>
      </c>
      <c r="AV117" s="284">
        <f t="shared" ca="1" si="224"/>
        <v>100000</v>
      </c>
      <c r="AW117" s="284">
        <f t="shared" ca="1" si="286"/>
        <v>100000</v>
      </c>
      <c r="AX117" s="285">
        <f t="shared" ca="1" si="287"/>
        <v>0</v>
      </c>
      <c r="AY117" s="285">
        <f t="shared" ca="1" si="186"/>
        <v>24</v>
      </c>
      <c r="AZ117" s="282"/>
      <c r="BD117" s="114">
        <f t="shared" si="250"/>
        <v>1</v>
      </c>
      <c r="BE117" s="112">
        <f t="shared" si="225"/>
        <v>100000</v>
      </c>
      <c r="BH117" s="238">
        <f t="shared" si="251"/>
        <v>98</v>
      </c>
      <c r="BI117" s="245" t="str">
        <f t="shared" si="226"/>
        <v/>
      </c>
      <c r="BJ117" s="281">
        <f t="shared" ca="1" si="265"/>
        <v>16</v>
      </c>
      <c r="BK117" s="245" t="e">
        <f t="shared" ca="1" si="227"/>
        <v>#NUM!</v>
      </c>
      <c r="BL117" s="245" t="e">
        <f t="shared" ca="1" si="228"/>
        <v>#NUM!</v>
      </c>
      <c r="BN117" s="245" t="e">
        <f t="shared" ca="1" si="266"/>
        <v>#NUM!</v>
      </c>
      <c r="CL117" s="112"/>
      <c r="CM117" s="112"/>
      <c r="CP117" s="112"/>
      <c r="CQ117" s="112"/>
      <c r="CR117" s="238"/>
      <c r="CS117" s="238"/>
      <c r="CT117" s="112"/>
      <c r="CU117" s="112"/>
      <c r="CV117" s="112"/>
      <c r="CW117" s="112" t="s">
        <v>224</v>
      </c>
      <c r="CX117" s="112" t="s">
        <v>225</v>
      </c>
      <c r="CY117" s="112" t="s">
        <v>226</v>
      </c>
      <c r="CZ117" s="112" t="s">
        <v>227</v>
      </c>
      <c r="DA117" s="112" t="s">
        <v>228</v>
      </c>
      <c r="DB117" s="112" t="s">
        <v>229</v>
      </c>
      <c r="DC117" s="112"/>
      <c r="DD117" s="238">
        <f t="shared" ca="1" si="283"/>
        <v>0</v>
      </c>
      <c r="DE117" s="238">
        <f t="shared" ca="1" si="275"/>
        <v>0</v>
      </c>
      <c r="DF117" s="112"/>
      <c r="DG117" s="238"/>
      <c r="DH117" s="238"/>
      <c r="DI117" s="112"/>
      <c r="DJ117" s="238"/>
      <c r="DK117" s="112" t="str">
        <f t="shared" ca="1" si="229"/>
        <v/>
      </c>
      <c r="DL117" s="278" t="str">
        <f t="shared" ca="1" si="296"/>
        <v/>
      </c>
      <c r="DM117" s="245" t="str">
        <f t="shared" ref="DM117:DP117" ca="1" si="322">DM668</f>
        <v/>
      </c>
      <c r="DN117" s="245" t="str">
        <f t="shared" ca="1" si="322"/>
        <v/>
      </c>
      <c r="DO117" s="245" t="str">
        <f t="shared" ca="1" si="322"/>
        <v/>
      </c>
      <c r="DP117" s="245" t="str">
        <f t="shared" ca="1" si="322"/>
        <v/>
      </c>
      <c r="DQ117" s="281" t="str">
        <f t="shared" ca="1" si="298"/>
        <v/>
      </c>
      <c r="DR117" s="278" t="str">
        <f t="shared" ca="1" si="299"/>
        <v/>
      </c>
      <c r="DS117" s="244" t="str">
        <f t="shared" ca="1" si="231"/>
        <v/>
      </c>
      <c r="DT117" s="244" t="str">
        <f t="shared" ca="1" si="232"/>
        <v/>
      </c>
      <c r="DU117" s="244" t="str">
        <f t="shared" ca="1" si="300"/>
        <v/>
      </c>
      <c r="DV117" s="244" t="str">
        <f t="shared" ca="1" si="301"/>
        <v/>
      </c>
      <c r="DW117" s="244"/>
      <c r="DX117" s="244" t="str">
        <f t="shared" ca="1" si="273"/>
        <v/>
      </c>
      <c r="EA117" s="244" t="b">
        <f t="shared" ca="1" si="233"/>
        <v>0</v>
      </c>
      <c r="EB117" s="278" t="e">
        <f ca="1">VLOOKUP(DM117,Foglio1!$AB$31:$AN$261,13)-6+EA117</f>
        <v>#N/A</v>
      </c>
      <c r="EC117" s="244"/>
      <c r="ED117" s="244" t="e">
        <f t="shared" ca="1" si="307"/>
        <v>#N/A</v>
      </c>
      <c r="EE117" s="244" t="e">
        <f t="shared" ca="1" si="308"/>
        <v>#N/A</v>
      </c>
      <c r="EF117" s="244" t="e">
        <f t="shared" ca="1" si="309"/>
        <v>#N/A</v>
      </c>
      <c r="EG117" s="244" t="e">
        <f t="shared" ca="1" si="310"/>
        <v>#N/A</v>
      </c>
      <c r="EH117" s="244" t="e">
        <f t="shared" ca="1" si="311"/>
        <v>#N/A</v>
      </c>
      <c r="EI117" s="244" t="e">
        <f t="shared" ca="1" si="312"/>
        <v>#N/A</v>
      </c>
      <c r="EJ117" s="244" t="e">
        <f t="shared" ca="1" si="313"/>
        <v>#N/A</v>
      </c>
      <c r="EK117" s="244" t="e">
        <f t="shared" ca="1" si="314"/>
        <v>#N/A</v>
      </c>
      <c r="EL117" s="244" t="e">
        <f t="shared" ca="1" si="315"/>
        <v>#N/A</v>
      </c>
      <c r="EM117" s="244" t="e">
        <f t="shared" ca="1" si="316"/>
        <v>#N/A</v>
      </c>
      <c r="EN117" s="244" t="e">
        <f t="shared" ca="1" si="317"/>
        <v>#N/A</v>
      </c>
      <c r="EO117" s="244" t="e">
        <f t="shared" ca="1" si="318"/>
        <v>#N/A</v>
      </c>
      <c r="EP117" s="244" t="e">
        <f t="shared" ca="1" si="319"/>
        <v>#N/A</v>
      </c>
      <c r="EQ117" s="244" t="e">
        <f t="shared" ca="1" si="320"/>
        <v>#N/A</v>
      </c>
      <c r="ER117" s="244"/>
      <c r="EW117" s="244">
        <v>0</v>
      </c>
      <c r="EX117" s="278" t="e">
        <f ca="1">VLOOKUP(DM117,Foglio1!$AB$31:$AN$261,13)-6+EW117</f>
        <v>#N/A</v>
      </c>
      <c r="EY117" s="244"/>
      <c r="EZ117" s="244">
        <v>0</v>
      </c>
      <c r="FA117" s="244" t="e">
        <f t="shared" ref="FA117:FA141" ca="1" si="323">INDIRECT(CONCATENATE(EY$16,EY$17,$EX117))</f>
        <v>#N/A</v>
      </c>
      <c r="FB117" s="244" t="e">
        <f t="shared" ref="FB117:FB141" ca="1" si="324">INDIRECT(CONCATENATE(EZ$16,EZ$17,$EX117))</f>
        <v>#N/A</v>
      </c>
      <c r="FC117" s="244" t="e">
        <f t="shared" ref="FC117:FC141" ca="1" si="325">INDIRECT(CONCATENATE(FA$16,FA$17,$EX117))</f>
        <v>#N/A</v>
      </c>
      <c r="FD117" s="244" t="e">
        <f t="shared" ref="FD117:FD141" ca="1" si="326">INDIRECT(CONCATENATE(FB$16,FB$17,$EX117))</f>
        <v>#N/A</v>
      </c>
      <c r="FE117" s="244" t="e">
        <f t="shared" ref="FE117:FE141" ca="1" si="327">INDIRECT(CONCATENATE(FC$16,FC$17,$EX117))</f>
        <v>#N/A</v>
      </c>
      <c r="FF117" s="244" t="e">
        <f t="shared" ref="FF117:FF141" ca="1" si="328">INDIRECT(CONCATENATE(FD$16,FD$17,$EX117))</f>
        <v>#N/A</v>
      </c>
      <c r="FG117" s="244" t="e">
        <f t="shared" ref="FG117:FG141" ca="1" si="329">INDIRECT(CONCATENATE(FE$16,FE$17,$EX117))</f>
        <v>#N/A</v>
      </c>
      <c r="FH117" s="244" t="e">
        <f t="shared" ref="FH117:FH141" ca="1" si="330">INDIRECT(CONCATENATE(FF$16,FF$17,$EX117))</f>
        <v>#N/A</v>
      </c>
      <c r="FI117" s="244" t="e">
        <f t="shared" ref="FI117:FI141" ca="1" si="331">INDIRECT(CONCATENATE(FG$16,FG$17,$EX117))</f>
        <v>#N/A</v>
      </c>
      <c r="FJ117" s="244" t="e">
        <f t="shared" ref="FJ117:FJ141" ca="1" si="332">INDIRECT(CONCATENATE(FH$16,FH$17,$EX117))</f>
        <v>#N/A</v>
      </c>
      <c r="FK117" s="244" t="e">
        <f t="shared" ref="FK117:FK141" ca="1" si="333">INDIRECT(CONCATENATE(FI$16,FI$17,$EX117))</f>
        <v>#N/A</v>
      </c>
      <c r="FL117" s="244" t="e">
        <f t="shared" ref="FL117:FL141" ca="1" si="334">INDIRECT(CONCATENATE(FJ$16,FJ$17,$EX117))</f>
        <v>#N/A</v>
      </c>
      <c r="FM117" s="244" t="e">
        <f t="shared" ca="1" si="321"/>
        <v>#N/A</v>
      </c>
      <c r="FN117" s="244"/>
    </row>
    <row r="118" spans="5:170" x14ac:dyDescent="0.25">
      <c r="E118" s="244"/>
      <c r="F118" s="240" t="str">
        <f>IF(fronttd!E120="","",fronttd!E120)</f>
        <v/>
      </c>
      <c r="G118" s="240" t="str">
        <f>IF(fronttd!F120="","",fronttd!F120)</f>
        <v/>
      </c>
      <c r="H118" s="380">
        <f>fronttd!G120</f>
        <v>0</v>
      </c>
      <c r="I118" s="380">
        <f>fronttd!H120</f>
        <v>0</v>
      </c>
      <c r="J118">
        <f t="shared" si="246"/>
        <v>24</v>
      </c>
      <c r="L118">
        <f t="shared" si="247"/>
        <v>118</v>
      </c>
      <c r="O118" s="238">
        <f t="shared" si="248"/>
        <v>118</v>
      </c>
      <c r="R118" s="112" t="str">
        <f t="shared" si="217"/>
        <v/>
      </c>
      <c r="S118" s="238" t="e">
        <f t="shared" ca="1" si="218"/>
        <v>#N/A</v>
      </c>
      <c r="T118" s="112" t="e">
        <f t="shared" ca="1" si="255"/>
        <v>#N/A</v>
      </c>
      <c r="U118" s="112" t="e">
        <f t="shared" ca="1" si="256"/>
        <v>#N/A</v>
      </c>
      <c r="V118" s="112" t="e">
        <f t="shared" ca="1" si="257"/>
        <v>#N/A</v>
      </c>
      <c r="W118" s="112" t="e">
        <f t="shared" ca="1" si="258"/>
        <v>#N/A</v>
      </c>
      <c r="X118" s="112" t="str">
        <f t="shared" si="219"/>
        <v/>
      </c>
      <c r="Y118" s="112"/>
      <c r="Z118" s="112"/>
      <c r="AA118" s="335" t="str">
        <f t="shared" si="220"/>
        <v/>
      </c>
      <c r="AB118" s="335" t="e">
        <f t="shared" ca="1" si="259"/>
        <v>#N/A</v>
      </c>
      <c r="AC118" s="335" t="e">
        <f t="shared" ca="1" si="260"/>
        <v>#N/A</v>
      </c>
      <c r="AD118" s="335" t="e">
        <f t="shared" ca="1" si="261"/>
        <v>#N/A</v>
      </c>
      <c r="AE118" s="335" t="e">
        <f t="shared" ca="1" si="262"/>
        <v>#N/A</v>
      </c>
      <c r="AF118" s="335" t="str">
        <f t="shared" si="221"/>
        <v/>
      </c>
      <c r="AG118" s="238">
        <f>AG117</f>
        <v>39</v>
      </c>
      <c r="AH118" s="112">
        <f ca="1">AI117+1</f>
        <v>38169</v>
      </c>
      <c r="AI118" s="112">
        <f ca="1">IF(INDIRECT(CONCATENATE("AE",AG115))&lt;100000,INDIRECT(CONCATENATE("AE",G115)),INDIRECT(CONCATENATE("AF",AG115)))</f>
        <v>38168</v>
      </c>
      <c r="AJ118" s="112">
        <f t="shared" ca="1" si="292"/>
        <v>38168</v>
      </c>
      <c r="AK118" s="112">
        <f t="shared" ca="1" si="169"/>
        <v>38168</v>
      </c>
      <c r="AL118" s="238">
        <f t="shared" ca="1" si="294"/>
        <v>0</v>
      </c>
      <c r="AM118" s="112">
        <f t="shared" ca="1" si="285"/>
        <v>100000</v>
      </c>
      <c r="AN118" s="112">
        <f t="shared" ca="1" si="253"/>
        <v>100000</v>
      </c>
      <c r="AO118" s="114">
        <f t="shared" ca="1" si="222"/>
        <v>18</v>
      </c>
      <c r="AP118" s="114">
        <f t="shared" ca="1" si="223"/>
        <v>24</v>
      </c>
      <c r="AQ118" s="112"/>
      <c r="AR118" s="238">
        <f t="shared" si="249"/>
        <v>118</v>
      </c>
      <c r="AS118" s="112"/>
      <c r="AT118" s="112"/>
      <c r="AU118" s="283">
        <f t="shared" si="185"/>
        <v>99</v>
      </c>
      <c r="AV118" s="284">
        <f t="shared" ca="1" si="224"/>
        <v>100000</v>
      </c>
      <c r="AW118" s="284">
        <f t="shared" ca="1" si="286"/>
        <v>100000</v>
      </c>
      <c r="AX118" s="285">
        <f t="shared" ca="1" si="287"/>
        <v>0</v>
      </c>
      <c r="AY118" s="285">
        <f t="shared" ca="1" si="186"/>
        <v>24</v>
      </c>
      <c r="AZ118" s="282"/>
      <c r="BD118" s="114">
        <f t="shared" si="250"/>
        <v>1</v>
      </c>
      <c r="BE118" s="112">
        <f t="shared" si="225"/>
        <v>100000</v>
      </c>
      <c r="BH118" s="238">
        <f t="shared" si="251"/>
        <v>99</v>
      </c>
      <c r="BI118" s="245" t="str">
        <f t="shared" si="226"/>
        <v/>
      </c>
      <c r="BJ118" s="281">
        <f t="shared" ca="1" si="265"/>
        <v>16</v>
      </c>
      <c r="BK118" s="245" t="e">
        <f t="shared" ca="1" si="227"/>
        <v>#NUM!</v>
      </c>
      <c r="BL118" s="245" t="e">
        <f t="shared" ca="1" si="228"/>
        <v>#NUM!</v>
      </c>
      <c r="BN118" s="245" t="e">
        <f t="shared" ca="1" si="266"/>
        <v>#NUM!</v>
      </c>
      <c r="CL118" s="112"/>
      <c r="CM118" s="112"/>
      <c r="CP118" s="112"/>
      <c r="CQ118" s="112"/>
      <c r="CR118" s="238"/>
      <c r="CS118" s="238"/>
      <c r="CT118" s="112"/>
      <c r="CU118" s="112"/>
      <c r="CV118" s="112"/>
      <c r="CW118" s="112" t="s">
        <v>224</v>
      </c>
      <c r="CX118" s="112" t="s">
        <v>225</v>
      </c>
      <c r="CY118" s="112" t="s">
        <v>226</v>
      </c>
      <c r="CZ118" s="112" t="s">
        <v>227</v>
      </c>
      <c r="DA118" s="112" t="s">
        <v>228</v>
      </c>
      <c r="DB118" s="112" t="s">
        <v>229</v>
      </c>
      <c r="DC118" s="112"/>
      <c r="DD118" s="238">
        <f t="shared" ca="1" si="283"/>
        <v>0</v>
      </c>
      <c r="DE118" s="238">
        <f t="shared" ca="1" si="275"/>
        <v>0</v>
      </c>
      <c r="DF118" s="112"/>
      <c r="DG118" s="238"/>
      <c r="DH118" s="238"/>
      <c r="DI118" s="112"/>
      <c r="DJ118" s="238"/>
      <c r="DK118" s="112" t="str">
        <f t="shared" ca="1" si="229"/>
        <v/>
      </c>
      <c r="DL118" s="278" t="str">
        <f t="shared" ca="1" si="296"/>
        <v/>
      </c>
      <c r="DM118" s="245" t="str">
        <f t="shared" ref="DM118:DP118" ca="1" si="335">DM669</f>
        <v/>
      </c>
      <c r="DN118" s="245" t="str">
        <f t="shared" ca="1" si="335"/>
        <v/>
      </c>
      <c r="DO118" s="245" t="str">
        <f t="shared" ca="1" si="335"/>
        <v/>
      </c>
      <c r="DP118" s="245" t="str">
        <f t="shared" ca="1" si="335"/>
        <v/>
      </c>
      <c r="DQ118" s="281" t="str">
        <f t="shared" ca="1" si="298"/>
        <v/>
      </c>
      <c r="DR118" s="278" t="str">
        <f t="shared" ca="1" si="299"/>
        <v/>
      </c>
      <c r="DS118" s="244" t="str">
        <f t="shared" ca="1" si="231"/>
        <v/>
      </c>
      <c r="DT118" s="244" t="str">
        <f t="shared" ca="1" si="232"/>
        <v/>
      </c>
      <c r="DU118" s="244" t="str">
        <f t="shared" ca="1" si="300"/>
        <v/>
      </c>
      <c r="DV118" s="244" t="str">
        <f t="shared" ca="1" si="301"/>
        <v/>
      </c>
      <c r="DW118" s="244"/>
      <c r="DX118" s="244" t="str">
        <f t="shared" ca="1" si="273"/>
        <v/>
      </c>
      <c r="EA118" s="244" t="b">
        <f t="shared" ca="1" si="233"/>
        <v>0</v>
      </c>
      <c r="EB118" s="278" t="e">
        <f ca="1">VLOOKUP(DM118,Foglio1!$AB$31:$AN$261,13)-6+EA118</f>
        <v>#N/A</v>
      </c>
      <c r="EC118" s="244"/>
      <c r="ED118" s="244" t="e">
        <f t="shared" ca="1" si="307"/>
        <v>#N/A</v>
      </c>
      <c r="EE118" s="244" t="e">
        <f t="shared" ca="1" si="308"/>
        <v>#N/A</v>
      </c>
      <c r="EF118" s="244" t="e">
        <f t="shared" ca="1" si="309"/>
        <v>#N/A</v>
      </c>
      <c r="EG118" s="244" t="e">
        <f t="shared" ca="1" si="310"/>
        <v>#N/A</v>
      </c>
      <c r="EH118" s="244" t="e">
        <f t="shared" ca="1" si="311"/>
        <v>#N/A</v>
      </c>
      <c r="EI118" s="244" t="e">
        <f t="shared" ca="1" si="312"/>
        <v>#N/A</v>
      </c>
      <c r="EJ118" s="244" t="e">
        <f t="shared" ca="1" si="313"/>
        <v>#N/A</v>
      </c>
      <c r="EK118" s="244" t="e">
        <f t="shared" ca="1" si="314"/>
        <v>#N/A</v>
      </c>
      <c r="EL118" s="244" t="e">
        <f t="shared" ca="1" si="315"/>
        <v>#N/A</v>
      </c>
      <c r="EM118" s="244" t="e">
        <f t="shared" ca="1" si="316"/>
        <v>#N/A</v>
      </c>
      <c r="EN118" s="244" t="e">
        <f t="shared" ca="1" si="317"/>
        <v>#N/A</v>
      </c>
      <c r="EO118" s="244" t="e">
        <f t="shared" ca="1" si="318"/>
        <v>#N/A</v>
      </c>
      <c r="EP118" s="244" t="e">
        <f t="shared" ca="1" si="319"/>
        <v>#N/A</v>
      </c>
      <c r="EQ118" s="244" t="e">
        <f t="shared" ca="1" si="320"/>
        <v>#N/A</v>
      </c>
      <c r="ER118" s="244"/>
      <c r="EW118" s="244">
        <v>0</v>
      </c>
      <c r="EX118" s="278" t="e">
        <f ca="1">VLOOKUP(DM118,Foglio1!$AB$31:$AN$261,13)-6+EW118</f>
        <v>#N/A</v>
      </c>
      <c r="EY118" s="244"/>
      <c r="EZ118" s="244">
        <v>0</v>
      </c>
      <c r="FA118" s="244" t="e">
        <f t="shared" ca="1" si="323"/>
        <v>#N/A</v>
      </c>
      <c r="FB118" s="244" t="e">
        <f t="shared" ca="1" si="324"/>
        <v>#N/A</v>
      </c>
      <c r="FC118" s="244" t="e">
        <f t="shared" ca="1" si="325"/>
        <v>#N/A</v>
      </c>
      <c r="FD118" s="244" t="e">
        <f t="shared" ca="1" si="326"/>
        <v>#N/A</v>
      </c>
      <c r="FE118" s="244" t="e">
        <f t="shared" ca="1" si="327"/>
        <v>#N/A</v>
      </c>
      <c r="FF118" s="244" t="e">
        <f t="shared" ca="1" si="328"/>
        <v>#N/A</v>
      </c>
      <c r="FG118" s="244" t="e">
        <f t="shared" ca="1" si="329"/>
        <v>#N/A</v>
      </c>
      <c r="FH118" s="244" t="e">
        <f t="shared" ca="1" si="330"/>
        <v>#N/A</v>
      </c>
      <c r="FI118" s="244" t="e">
        <f t="shared" ca="1" si="331"/>
        <v>#N/A</v>
      </c>
      <c r="FJ118" s="244" t="e">
        <f t="shared" ca="1" si="332"/>
        <v>#N/A</v>
      </c>
      <c r="FK118" s="244" t="e">
        <f t="shared" ca="1" si="333"/>
        <v>#N/A</v>
      </c>
      <c r="FL118" s="244" t="e">
        <f t="shared" ca="1" si="334"/>
        <v>#N/A</v>
      </c>
      <c r="FM118" s="244" t="e">
        <f t="shared" ca="1" si="321"/>
        <v>#N/A</v>
      </c>
      <c r="FN118" s="244"/>
    </row>
    <row r="119" spans="5:170" x14ac:dyDescent="0.25">
      <c r="E119" s="244"/>
      <c r="F119" s="240" t="str">
        <f>IF(fronttd!E121="","",fronttd!E121)</f>
        <v/>
      </c>
      <c r="G119" s="240" t="str">
        <f>IF(fronttd!F121="","",fronttd!F121)</f>
        <v/>
      </c>
      <c r="H119" s="380">
        <f>fronttd!G121</f>
        <v>0</v>
      </c>
      <c r="I119" s="380">
        <f>fronttd!H121</f>
        <v>0</v>
      </c>
      <c r="J119">
        <f t="shared" si="246"/>
        <v>24</v>
      </c>
      <c r="L119">
        <f t="shared" si="247"/>
        <v>119</v>
      </c>
      <c r="O119" s="238">
        <f t="shared" si="248"/>
        <v>119</v>
      </c>
      <c r="R119" s="112" t="str">
        <f t="shared" si="217"/>
        <v/>
      </c>
      <c r="S119" s="238" t="e">
        <f t="shared" ca="1" si="218"/>
        <v>#N/A</v>
      </c>
      <c r="T119" s="112" t="e">
        <f t="shared" ca="1" si="255"/>
        <v>#N/A</v>
      </c>
      <c r="U119" s="112" t="e">
        <f t="shared" ca="1" si="256"/>
        <v>#N/A</v>
      </c>
      <c r="V119" s="112" t="e">
        <f t="shared" ca="1" si="257"/>
        <v>#N/A</v>
      </c>
      <c r="W119" s="112" t="e">
        <f t="shared" ca="1" si="258"/>
        <v>#N/A</v>
      </c>
      <c r="X119" s="112" t="str">
        <f t="shared" si="219"/>
        <v/>
      </c>
      <c r="Y119" s="112"/>
      <c r="Z119" s="112"/>
      <c r="AA119" s="335" t="str">
        <f t="shared" si="220"/>
        <v/>
      </c>
      <c r="AB119" s="335" t="e">
        <f t="shared" ca="1" si="259"/>
        <v>#N/A</v>
      </c>
      <c r="AC119" s="335" t="e">
        <f t="shared" ca="1" si="260"/>
        <v>#N/A</v>
      </c>
      <c r="AD119" s="335" t="e">
        <f t="shared" ca="1" si="261"/>
        <v>#N/A</v>
      </c>
      <c r="AE119" s="335" t="e">
        <f t="shared" ca="1" si="262"/>
        <v>#N/A</v>
      </c>
      <c r="AF119" s="335" t="str">
        <f t="shared" si="221"/>
        <v/>
      </c>
      <c r="AG119" s="238">
        <f>AG118</f>
        <v>39</v>
      </c>
      <c r="AH119" s="112">
        <f ca="1">AI118+1</f>
        <v>38169</v>
      </c>
      <c r="AI119" s="112">
        <f ca="1">INDIRECT(CONCATENATE("AF",AG115))</f>
        <v>38168</v>
      </c>
      <c r="AJ119" s="112">
        <f t="shared" ca="1" si="292"/>
        <v>38168</v>
      </c>
      <c r="AK119" s="112">
        <f t="shared" ref="AK119:AK182" ca="1" si="336">IF(TYPE(AH119)=16,100000,AJ119)</f>
        <v>38168</v>
      </c>
      <c r="AL119" s="238">
        <f t="shared" ca="1" si="294"/>
        <v>0</v>
      </c>
      <c r="AM119" s="112">
        <f t="shared" ca="1" si="285"/>
        <v>100000</v>
      </c>
      <c r="AN119" s="112">
        <f t="shared" ca="1" si="253"/>
        <v>100000</v>
      </c>
      <c r="AO119" s="114">
        <f t="shared" ca="1" si="222"/>
        <v>18</v>
      </c>
      <c r="AP119" s="114">
        <f t="shared" ca="1" si="223"/>
        <v>24</v>
      </c>
      <c r="AQ119" s="112"/>
      <c r="AR119" s="238">
        <f t="shared" si="249"/>
        <v>119</v>
      </c>
      <c r="AS119" s="112"/>
      <c r="AT119" s="112"/>
      <c r="AU119" s="283">
        <f t="shared" si="185"/>
        <v>100</v>
      </c>
      <c r="AV119" s="284">
        <f t="shared" ca="1" si="224"/>
        <v>100000</v>
      </c>
      <c r="AW119" s="284">
        <f t="shared" ca="1" si="286"/>
        <v>100000</v>
      </c>
      <c r="AX119" s="285">
        <f t="shared" ca="1" si="287"/>
        <v>0</v>
      </c>
      <c r="AY119" s="285">
        <f t="shared" ca="1" si="186"/>
        <v>24</v>
      </c>
      <c r="AZ119" s="282"/>
      <c r="BD119" s="114">
        <f t="shared" si="250"/>
        <v>1</v>
      </c>
      <c r="BE119" s="112">
        <f t="shared" si="225"/>
        <v>100000</v>
      </c>
      <c r="BH119" s="238">
        <f t="shared" si="251"/>
        <v>100</v>
      </c>
      <c r="BI119" s="245" t="str">
        <f t="shared" si="226"/>
        <v/>
      </c>
      <c r="BJ119" s="281">
        <f t="shared" ca="1" si="265"/>
        <v>16</v>
      </c>
      <c r="BK119" s="245" t="e">
        <f t="shared" ca="1" si="227"/>
        <v>#NUM!</v>
      </c>
      <c r="BL119" s="245" t="e">
        <f t="shared" ca="1" si="228"/>
        <v>#NUM!</v>
      </c>
      <c r="BN119" s="245" t="e">
        <f t="shared" ca="1" si="266"/>
        <v>#NUM!</v>
      </c>
      <c r="CL119" s="112"/>
      <c r="CM119" s="112"/>
      <c r="CP119" s="112"/>
      <c r="CQ119" s="112"/>
      <c r="CR119" s="238"/>
      <c r="CS119" s="238"/>
      <c r="CT119" s="112"/>
      <c r="CU119" s="112"/>
      <c r="CV119" s="112"/>
      <c r="CW119" s="112" t="s">
        <v>224</v>
      </c>
      <c r="CX119" s="112" t="s">
        <v>225</v>
      </c>
      <c r="CY119" s="112" t="s">
        <v>226</v>
      </c>
      <c r="CZ119" s="112" t="s">
        <v>227</v>
      </c>
      <c r="DA119" s="112" t="s">
        <v>228</v>
      </c>
      <c r="DB119" s="112" t="s">
        <v>229</v>
      </c>
      <c r="DC119" s="112"/>
      <c r="DD119" s="238">
        <f t="shared" ca="1" si="283"/>
        <v>0</v>
      </c>
      <c r="DE119" s="238">
        <f t="shared" ca="1" si="275"/>
        <v>0</v>
      </c>
      <c r="DF119" s="112"/>
      <c r="DG119" s="238"/>
      <c r="DH119" s="238"/>
      <c r="DI119" s="112"/>
      <c r="DJ119" s="238"/>
      <c r="DK119" s="112" t="str">
        <f t="shared" ca="1" si="229"/>
        <v/>
      </c>
      <c r="DL119" s="278" t="str">
        <f t="shared" ca="1" si="296"/>
        <v/>
      </c>
      <c r="DM119" s="245" t="str">
        <f t="shared" ref="DM119:DP119" ca="1" si="337">DM670</f>
        <v/>
      </c>
      <c r="DN119" s="245" t="str">
        <f t="shared" ca="1" si="337"/>
        <v/>
      </c>
      <c r="DO119" s="245" t="str">
        <f t="shared" ca="1" si="337"/>
        <v/>
      </c>
      <c r="DP119" s="245" t="str">
        <f t="shared" ca="1" si="337"/>
        <v/>
      </c>
      <c r="DQ119" s="281" t="str">
        <f t="shared" ca="1" si="298"/>
        <v/>
      </c>
      <c r="DR119" s="278" t="str">
        <f t="shared" ca="1" si="299"/>
        <v/>
      </c>
      <c r="DS119" s="244" t="str">
        <f t="shared" ca="1" si="231"/>
        <v/>
      </c>
      <c r="DT119" s="244" t="str">
        <f t="shared" ca="1" si="232"/>
        <v/>
      </c>
      <c r="DU119" s="244" t="str">
        <f t="shared" ca="1" si="300"/>
        <v/>
      </c>
      <c r="DV119" s="244" t="str">
        <f t="shared" ca="1" si="301"/>
        <v/>
      </c>
      <c r="DW119" s="244"/>
      <c r="DX119" s="244" t="str">
        <f t="shared" ca="1" si="273"/>
        <v/>
      </c>
      <c r="EA119" s="244" t="b">
        <f t="shared" ca="1" si="233"/>
        <v>0</v>
      </c>
      <c r="EB119" s="278" t="e">
        <f ca="1">VLOOKUP(DM119,Foglio1!$AB$31:$AN$261,13)-6+EA119</f>
        <v>#N/A</v>
      </c>
      <c r="EC119" s="244"/>
      <c r="ED119" s="244" t="e">
        <f t="shared" ca="1" si="307"/>
        <v>#N/A</v>
      </c>
      <c r="EE119" s="244" t="e">
        <f t="shared" ca="1" si="308"/>
        <v>#N/A</v>
      </c>
      <c r="EF119" s="244" t="e">
        <f t="shared" ca="1" si="309"/>
        <v>#N/A</v>
      </c>
      <c r="EG119" s="244" t="e">
        <f t="shared" ca="1" si="310"/>
        <v>#N/A</v>
      </c>
      <c r="EH119" s="244" t="e">
        <f t="shared" ca="1" si="311"/>
        <v>#N/A</v>
      </c>
      <c r="EI119" s="244" t="e">
        <f t="shared" ca="1" si="312"/>
        <v>#N/A</v>
      </c>
      <c r="EJ119" s="244" t="e">
        <f t="shared" ca="1" si="313"/>
        <v>#N/A</v>
      </c>
      <c r="EK119" s="244" t="e">
        <f t="shared" ca="1" si="314"/>
        <v>#N/A</v>
      </c>
      <c r="EL119" s="244" t="e">
        <f t="shared" ca="1" si="315"/>
        <v>#N/A</v>
      </c>
      <c r="EM119" s="244" t="e">
        <f t="shared" ca="1" si="316"/>
        <v>#N/A</v>
      </c>
      <c r="EN119" s="244" t="e">
        <f t="shared" ca="1" si="317"/>
        <v>#N/A</v>
      </c>
      <c r="EO119" s="244" t="e">
        <f t="shared" ca="1" si="318"/>
        <v>#N/A</v>
      </c>
      <c r="EP119" s="244" t="e">
        <f t="shared" ca="1" si="319"/>
        <v>#N/A</v>
      </c>
      <c r="EQ119" s="244" t="e">
        <f t="shared" ca="1" si="320"/>
        <v>#N/A</v>
      </c>
      <c r="ER119" s="244"/>
      <c r="EW119" s="244">
        <v>0</v>
      </c>
      <c r="EX119" s="278" t="e">
        <f ca="1">VLOOKUP(DM119,Foglio1!$AB$31:$AN$261,13)-6+EW119</f>
        <v>#N/A</v>
      </c>
      <c r="EY119" s="244"/>
      <c r="EZ119" s="244">
        <v>0</v>
      </c>
      <c r="FA119" s="244" t="e">
        <f t="shared" ca="1" si="323"/>
        <v>#N/A</v>
      </c>
      <c r="FB119" s="244" t="e">
        <f t="shared" ca="1" si="324"/>
        <v>#N/A</v>
      </c>
      <c r="FC119" s="244" t="e">
        <f t="shared" ca="1" si="325"/>
        <v>#N/A</v>
      </c>
      <c r="FD119" s="244" t="e">
        <f t="shared" ca="1" si="326"/>
        <v>#N/A</v>
      </c>
      <c r="FE119" s="244" t="e">
        <f t="shared" ca="1" si="327"/>
        <v>#N/A</v>
      </c>
      <c r="FF119" s="244" t="e">
        <f t="shared" ca="1" si="328"/>
        <v>#N/A</v>
      </c>
      <c r="FG119" s="244" t="e">
        <f t="shared" ca="1" si="329"/>
        <v>#N/A</v>
      </c>
      <c r="FH119" s="244" t="e">
        <f t="shared" ca="1" si="330"/>
        <v>#N/A</v>
      </c>
      <c r="FI119" s="244" t="e">
        <f t="shared" ca="1" si="331"/>
        <v>#N/A</v>
      </c>
      <c r="FJ119" s="244" t="e">
        <f t="shared" ca="1" si="332"/>
        <v>#N/A</v>
      </c>
      <c r="FK119" s="244" t="e">
        <f t="shared" ca="1" si="333"/>
        <v>#N/A</v>
      </c>
      <c r="FL119" s="244" t="e">
        <f t="shared" ca="1" si="334"/>
        <v>#N/A</v>
      </c>
      <c r="FM119" s="244" t="e">
        <f t="shared" ca="1" si="321"/>
        <v>#N/A</v>
      </c>
      <c r="FN119" s="244"/>
    </row>
    <row r="120" spans="5:170" x14ac:dyDescent="0.25">
      <c r="E120" s="244"/>
      <c r="F120" s="240" t="str">
        <f>IF(fronttd!E122="","",fronttd!E122)</f>
        <v/>
      </c>
      <c r="G120" s="240" t="str">
        <f>IF(fronttd!F122="","",fronttd!F122)</f>
        <v/>
      </c>
      <c r="H120" s="380">
        <f>fronttd!G122</f>
        <v>0</v>
      </c>
      <c r="I120" s="380">
        <f>fronttd!H122</f>
        <v>0</v>
      </c>
      <c r="J120">
        <f t="shared" si="246"/>
        <v>24</v>
      </c>
      <c r="L120">
        <f t="shared" si="247"/>
        <v>120</v>
      </c>
      <c r="O120" s="238">
        <f t="shared" si="248"/>
        <v>120</v>
      </c>
      <c r="R120" s="112" t="str">
        <f t="shared" si="217"/>
        <v/>
      </c>
      <c r="S120" s="238" t="e">
        <f t="shared" ca="1" si="218"/>
        <v>#N/A</v>
      </c>
      <c r="T120" s="112" t="e">
        <f t="shared" ca="1" si="255"/>
        <v>#N/A</v>
      </c>
      <c r="U120" s="112" t="e">
        <f t="shared" ca="1" si="256"/>
        <v>#N/A</v>
      </c>
      <c r="V120" s="112" t="e">
        <f t="shared" ca="1" si="257"/>
        <v>#N/A</v>
      </c>
      <c r="W120" s="112" t="e">
        <f t="shared" ca="1" si="258"/>
        <v>#N/A</v>
      </c>
      <c r="X120" s="112" t="str">
        <f t="shared" si="219"/>
        <v/>
      </c>
      <c r="Y120" s="112"/>
      <c r="Z120" s="112"/>
      <c r="AA120" s="335" t="str">
        <f t="shared" si="220"/>
        <v/>
      </c>
      <c r="AB120" s="335" t="e">
        <f t="shared" ca="1" si="259"/>
        <v>#N/A</v>
      </c>
      <c r="AC120" s="335" t="e">
        <f t="shared" ca="1" si="260"/>
        <v>#N/A</v>
      </c>
      <c r="AD120" s="335" t="e">
        <f t="shared" ca="1" si="261"/>
        <v>#N/A</v>
      </c>
      <c r="AE120" s="335" t="e">
        <f t="shared" ca="1" si="262"/>
        <v>#N/A</v>
      </c>
      <c r="AF120" s="335" t="str">
        <f t="shared" si="221"/>
        <v/>
      </c>
      <c r="AG120" s="238">
        <f>AG119+1</f>
        <v>40</v>
      </c>
      <c r="AH120" s="112">
        <f ca="1">INDIRECT(CONCATENATE("AA",AG120))</f>
        <v>38231</v>
      </c>
      <c r="AI120" s="112">
        <f ca="1">IF(            INDIRECT(CONCATENATE( "AB",AG120))&lt;100000,       INDIRECT(CONCATENATE("AB",AG120))  -1,IF(   INDIRECT(CONCATENATE("AC",AG120))&lt;100000,   INDIRECT(CONCATENATE("AC",AG120))-1,IF(   INDIRECT(CONCATENATE("AD", AG120))&lt;100000, INDIRECT(CONCATENATE("AD",AG120))-1,IF(   INDIRECT(CONCATENATE("AE",AG120))&lt;100000,  INDIRECT(CONCATENATE("AE",G120)),INDIRECT(CONCATENATE("AF",AG120))                ))))</f>
        <v>38383</v>
      </c>
      <c r="AJ120" s="112">
        <f t="shared" ca="1" si="292"/>
        <v>38383</v>
      </c>
      <c r="AK120" s="112">
        <f t="shared" ca="1" si="336"/>
        <v>38383</v>
      </c>
      <c r="AL120" s="238">
        <f t="shared" ca="1" si="294"/>
        <v>1</v>
      </c>
      <c r="AM120" s="112">
        <f t="shared" ca="1" si="285"/>
        <v>38231</v>
      </c>
      <c r="AN120" s="112">
        <f t="shared" ca="1" si="253"/>
        <v>38383</v>
      </c>
      <c r="AO120" s="114">
        <f t="shared" ca="1" si="222"/>
        <v>18</v>
      </c>
      <c r="AP120" s="114">
        <f t="shared" ca="1" si="223"/>
        <v>24</v>
      </c>
      <c r="AQ120" s="112"/>
      <c r="AR120" s="238">
        <f t="shared" si="249"/>
        <v>120</v>
      </c>
      <c r="AS120" s="112"/>
      <c r="AT120" s="112"/>
      <c r="AU120" s="283">
        <f t="shared" si="185"/>
        <v>101</v>
      </c>
      <c r="AV120" s="284">
        <f t="shared" ca="1" si="224"/>
        <v>100000</v>
      </c>
      <c r="AW120" s="284">
        <f t="shared" ca="1" si="286"/>
        <v>100000</v>
      </c>
      <c r="AX120" s="285">
        <f t="shared" ca="1" si="287"/>
        <v>0</v>
      </c>
      <c r="AY120" s="285">
        <f t="shared" ca="1" si="186"/>
        <v>24</v>
      </c>
      <c r="AZ120" s="282"/>
      <c r="BD120" s="114">
        <f t="shared" si="250"/>
        <v>1</v>
      </c>
      <c r="BE120" s="112">
        <f t="shared" si="225"/>
        <v>100000</v>
      </c>
      <c r="BH120" s="238">
        <f t="shared" si="251"/>
        <v>101</v>
      </c>
      <c r="BI120" s="245" t="str">
        <f t="shared" si="226"/>
        <v/>
      </c>
      <c r="BJ120" s="281">
        <f t="shared" ca="1" si="265"/>
        <v>16</v>
      </c>
      <c r="BK120" s="245" t="e">
        <f t="shared" ca="1" si="227"/>
        <v>#NUM!</v>
      </c>
      <c r="BL120" s="245" t="e">
        <f t="shared" ca="1" si="228"/>
        <v>#NUM!</v>
      </c>
      <c r="BN120" s="245" t="e">
        <f t="shared" ca="1" si="266"/>
        <v>#NUM!</v>
      </c>
      <c r="CL120" s="112"/>
      <c r="CM120" s="112"/>
      <c r="CP120" s="112"/>
      <c r="CQ120" s="112"/>
      <c r="CR120" s="238"/>
      <c r="CS120" s="238"/>
      <c r="CT120" s="112"/>
      <c r="CU120" s="112"/>
      <c r="CV120" s="112"/>
      <c r="CW120" s="112" t="s">
        <v>224</v>
      </c>
      <c r="CX120" s="112" t="s">
        <v>225</v>
      </c>
      <c r="CY120" s="112" t="s">
        <v>226</v>
      </c>
      <c r="CZ120" s="112" t="s">
        <v>227</v>
      </c>
      <c r="DA120" s="112" t="s">
        <v>228</v>
      </c>
      <c r="DB120" s="112" t="s">
        <v>229</v>
      </c>
      <c r="DC120" s="112"/>
      <c r="DD120" s="238">
        <f t="shared" ca="1" si="283"/>
        <v>0</v>
      </c>
      <c r="DE120" s="238">
        <f t="shared" ca="1" si="275"/>
        <v>0</v>
      </c>
      <c r="DF120" s="112"/>
      <c r="DG120" s="238"/>
      <c r="DH120" s="238"/>
      <c r="DI120" s="112"/>
      <c r="DJ120" s="238"/>
      <c r="DK120" s="112" t="str">
        <f t="shared" ca="1" si="229"/>
        <v/>
      </c>
      <c r="DL120" s="278" t="str">
        <f t="shared" ca="1" si="296"/>
        <v/>
      </c>
      <c r="DM120" s="245" t="str">
        <f t="shared" ref="DM120:DP120" ca="1" si="338">DM671</f>
        <v/>
      </c>
      <c r="DN120" s="245" t="str">
        <f t="shared" ca="1" si="338"/>
        <v/>
      </c>
      <c r="DO120" s="245" t="str">
        <f t="shared" ca="1" si="338"/>
        <v/>
      </c>
      <c r="DP120" s="245" t="str">
        <f t="shared" ca="1" si="338"/>
        <v/>
      </c>
      <c r="DQ120" s="281" t="str">
        <f t="shared" ca="1" si="298"/>
        <v/>
      </c>
      <c r="DR120" s="278" t="str">
        <f t="shared" ca="1" si="299"/>
        <v/>
      </c>
      <c r="DS120" s="244" t="str">
        <f t="shared" ca="1" si="231"/>
        <v/>
      </c>
      <c r="DT120" s="244" t="str">
        <f t="shared" ca="1" si="232"/>
        <v/>
      </c>
      <c r="DU120" s="244" t="str">
        <f t="shared" ca="1" si="300"/>
        <v/>
      </c>
      <c r="DV120" s="244" t="str">
        <f t="shared" ca="1" si="301"/>
        <v/>
      </c>
      <c r="DW120" s="244"/>
      <c r="DX120" s="244" t="str">
        <f t="shared" ca="1" si="273"/>
        <v/>
      </c>
      <c r="EA120" s="244" t="b">
        <f t="shared" ca="1" si="233"/>
        <v>0</v>
      </c>
      <c r="EB120" s="278" t="e">
        <f ca="1">VLOOKUP(DM120,Foglio1!$AB$31:$AN$261,13)-6+EA120</f>
        <v>#N/A</v>
      </c>
      <c r="EC120" s="244"/>
      <c r="ED120" s="244" t="e">
        <f t="shared" ca="1" si="307"/>
        <v>#N/A</v>
      </c>
      <c r="EE120" s="244" t="e">
        <f t="shared" ca="1" si="308"/>
        <v>#N/A</v>
      </c>
      <c r="EF120" s="244" t="e">
        <f t="shared" ca="1" si="309"/>
        <v>#N/A</v>
      </c>
      <c r="EG120" s="244" t="e">
        <f t="shared" ca="1" si="310"/>
        <v>#N/A</v>
      </c>
      <c r="EH120" s="244" t="e">
        <f t="shared" ca="1" si="311"/>
        <v>#N/A</v>
      </c>
      <c r="EI120" s="244" t="e">
        <f t="shared" ca="1" si="312"/>
        <v>#N/A</v>
      </c>
      <c r="EJ120" s="244" t="e">
        <f t="shared" ca="1" si="313"/>
        <v>#N/A</v>
      </c>
      <c r="EK120" s="244" t="e">
        <f t="shared" ca="1" si="314"/>
        <v>#N/A</v>
      </c>
      <c r="EL120" s="244" t="e">
        <f t="shared" ca="1" si="315"/>
        <v>#N/A</v>
      </c>
      <c r="EM120" s="244" t="e">
        <f t="shared" ca="1" si="316"/>
        <v>#N/A</v>
      </c>
      <c r="EN120" s="244" t="e">
        <f t="shared" ca="1" si="317"/>
        <v>#N/A</v>
      </c>
      <c r="EO120" s="244" t="e">
        <f t="shared" ca="1" si="318"/>
        <v>#N/A</v>
      </c>
      <c r="EP120" s="244" t="e">
        <f t="shared" ca="1" si="319"/>
        <v>#N/A</v>
      </c>
      <c r="EQ120" s="244" t="e">
        <f t="shared" ca="1" si="320"/>
        <v>#N/A</v>
      </c>
      <c r="ER120" s="244"/>
      <c r="EW120" s="244">
        <v>0</v>
      </c>
      <c r="EX120" s="278" t="e">
        <f ca="1">VLOOKUP(DM120,Foglio1!$AB$31:$AN$261,13)-6+EW120</f>
        <v>#N/A</v>
      </c>
      <c r="EY120" s="244"/>
      <c r="EZ120" s="244">
        <v>0</v>
      </c>
      <c r="FA120" s="244" t="e">
        <f t="shared" ca="1" si="323"/>
        <v>#N/A</v>
      </c>
      <c r="FB120" s="244" t="e">
        <f t="shared" ca="1" si="324"/>
        <v>#N/A</v>
      </c>
      <c r="FC120" s="244" t="e">
        <f t="shared" ca="1" si="325"/>
        <v>#N/A</v>
      </c>
      <c r="FD120" s="244" t="e">
        <f t="shared" ca="1" si="326"/>
        <v>#N/A</v>
      </c>
      <c r="FE120" s="244" t="e">
        <f t="shared" ca="1" si="327"/>
        <v>#N/A</v>
      </c>
      <c r="FF120" s="244" t="e">
        <f t="shared" ca="1" si="328"/>
        <v>#N/A</v>
      </c>
      <c r="FG120" s="244" t="e">
        <f t="shared" ca="1" si="329"/>
        <v>#N/A</v>
      </c>
      <c r="FH120" s="244" t="e">
        <f t="shared" ca="1" si="330"/>
        <v>#N/A</v>
      </c>
      <c r="FI120" s="244" t="e">
        <f t="shared" ca="1" si="331"/>
        <v>#N/A</v>
      </c>
      <c r="FJ120" s="244" t="e">
        <f t="shared" ca="1" si="332"/>
        <v>#N/A</v>
      </c>
      <c r="FK120" s="244" t="e">
        <f t="shared" ca="1" si="333"/>
        <v>#N/A</v>
      </c>
      <c r="FL120" s="244" t="e">
        <f t="shared" ca="1" si="334"/>
        <v>#N/A</v>
      </c>
      <c r="FM120" s="244" t="e">
        <f t="shared" ca="1" si="321"/>
        <v>#N/A</v>
      </c>
      <c r="FN120" s="244"/>
    </row>
    <row r="121" spans="5:170" x14ac:dyDescent="0.25">
      <c r="E121" s="244"/>
      <c r="F121" s="240" t="str">
        <f>IF(fronttd!E123="","",fronttd!E123)</f>
        <v/>
      </c>
      <c r="G121" s="240" t="str">
        <f>IF(fronttd!F123="","",fronttd!F123)</f>
        <v/>
      </c>
      <c r="H121" s="380">
        <f>fronttd!G123</f>
        <v>0</v>
      </c>
      <c r="I121" s="380">
        <f>fronttd!H123</f>
        <v>0</v>
      </c>
      <c r="J121">
        <f t="shared" si="246"/>
        <v>24</v>
      </c>
      <c r="L121">
        <f t="shared" si="247"/>
        <v>121</v>
      </c>
      <c r="O121" s="238">
        <f t="shared" si="248"/>
        <v>121</v>
      </c>
      <c r="R121" s="112" t="str">
        <f t="shared" si="217"/>
        <v/>
      </c>
      <c r="S121" s="238" t="e">
        <f t="shared" ca="1" si="218"/>
        <v>#N/A</v>
      </c>
      <c r="T121" s="112" t="e">
        <f t="shared" ca="1" si="255"/>
        <v>#N/A</v>
      </c>
      <c r="U121" s="112" t="e">
        <f t="shared" ca="1" si="256"/>
        <v>#N/A</v>
      </c>
      <c r="V121" s="112" t="e">
        <f t="shared" ca="1" si="257"/>
        <v>#N/A</v>
      </c>
      <c r="W121" s="112" t="e">
        <f t="shared" ca="1" si="258"/>
        <v>#N/A</v>
      </c>
      <c r="X121" s="112" t="str">
        <f t="shared" si="219"/>
        <v/>
      </c>
      <c r="Y121" s="112"/>
      <c r="Z121" s="112"/>
      <c r="AA121" s="335" t="str">
        <f t="shared" si="220"/>
        <v/>
      </c>
      <c r="AB121" s="335" t="e">
        <f t="shared" ca="1" si="259"/>
        <v>#N/A</v>
      </c>
      <c r="AC121" s="335" t="e">
        <f t="shared" ca="1" si="260"/>
        <v>#N/A</v>
      </c>
      <c r="AD121" s="335" t="e">
        <f t="shared" ca="1" si="261"/>
        <v>#N/A</v>
      </c>
      <c r="AE121" s="335" t="e">
        <f t="shared" ca="1" si="262"/>
        <v>#N/A</v>
      </c>
      <c r="AF121" s="335" t="str">
        <f t="shared" si="221"/>
        <v/>
      </c>
      <c r="AG121" s="238">
        <f>AG120</f>
        <v>40</v>
      </c>
      <c r="AH121" s="112">
        <f ca="1">AI120+1</f>
        <v>38384</v>
      </c>
      <c r="AI121" s="112">
        <f ca="1">IF(INDIRECT(CONCATENATE("AC",AG120))&lt;100000,INDIRECT(CONCATENATE("AC",AG120))-1,IF(INDIRECT(CONCATENATE("AD",AG120))&lt;100000,INDIRECT(CONCATENATE("AD",AG120))-1,IF(INDIRECT(CONCATENATE("AE",AG120))&lt;100000,INDIRECT(CONCATENATE("AE",G120)),INDIRECT(CONCATENATE("AF",AG120)))))</f>
        <v>38383</v>
      </c>
      <c r="AJ121" s="112">
        <f t="shared" ca="1" si="292"/>
        <v>38383</v>
      </c>
      <c r="AK121" s="112">
        <f t="shared" ca="1" si="336"/>
        <v>38383</v>
      </c>
      <c r="AL121" s="238">
        <f t="shared" ca="1" si="294"/>
        <v>0</v>
      </c>
      <c r="AM121" s="112">
        <f t="shared" ca="1" si="285"/>
        <v>100000</v>
      </c>
      <c r="AN121" s="112">
        <f t="shared" ca="1" si="253"/>
        <v>100000</v>
      </c>
      <c r="AO121" s="114">
        <f t="shared" ca="1" si="222"/>
        <v>18</v>
      </c>
      <c r="AP121" s="114">
        <f t="shared" ca="1" si="223"/>
        <v>24</v>
      </c>
      <c r="AQ121" s="112"/>
      <c r="AR121" s="238">
        <f t="shared" si="249"/>
        <v>121</v>
      </c>
      <c r="AS121" s="112"/>
      <c r="AT121" s="112"/>
      <c r="AU121" s="283">
        <f t="shared" si="185"/>
        <v>102</v>
      </c>
      <c r="AV121" s="284">
        <f t="shared" ca="1" si="224"/>
        <v>100000</v>
      </c>
      <c r="AW121" s="284">
        <f t="shared" ca="1" si="286"/>
        <v>100000</v>
      </c>
      <c r="AX121" s="285">
        <f t="shared" ca="1" si="287"/>
        <v>0</v>
      </c>
      <c r="AY121" s="285">
        <f t="shared" ca="1" si="186"/>
        <v>24</v>
      </c>
      <c r="AZ121" s="282"/>
      <c r="BD121" s="114">
        <f t="shared" si="250"/>
        <v>1</v>
      </c>
      <c r="BE121" s="112">
        <f t="shared" si="225"/>
        <v>100000</v>
      </c>
      <c r="BH121" s="238">
        <f t="shared" si="251"/>
        <v>102</v>
      </c>
      <c r="BI121" s="245" t="str">
        <f t="shared" si="226"/>
        <v/>
      </c>
      <c r="BJ121" s="281">
        <f t="shared" ca="1" si="265"/>
        <v>16</v>
      </c>
      <c r="BK121" s="245" t="e">
        <f t="shared" ca="1" si="227"/>
        <v>#NUM!</v>
      </c>
      <c r="BL121" s="245" t="e">
        <f t="shared" ca="1" si="228"/>
        <v>#NUM!</v>
      </c>
      <c r="BN121" s="245" t="e">
        <f t="shared" ca="1" si="266"/>
        <v>#NUM!</v>
      </c>
      <c r="CL121" s="112"/>
      <c r="CM121" s="112"/>
      <c r="CP121" s="112"/>
      <c r="CQ121" s="112"/>
      <c r="CR121" s="238"/>
      <c r="CS121" s="238"/>
      <c r="CT121" s="112"/>
      <c r="CU121" s="112"/>
      <c r="CV121" s="112"/>
      <c r="CW121" s="112" t="s">
        <v>224</v>
      </c>
      <c r="CX121" s="112" t="s">
        <v>225</v>
      </c>
      <c r="CY121" s="112" t="s">
        <v>226</v>
      </c>
      <c r="CZ121" s="112" t="s">
        <v>227</v>
      </c>
      <c r="DA121" s="112" t="s">
        <v>228</v>
      </c>
      <c r="DB121" s="112" t="s">
        <v>229</v>
      </c>
      <c r="DC121" s="112"/>
      <c r="DD121" s="238">
        <f t="shared" ca="1" si="283"/>
        <v>0</v>
      </c>
      <c r="DE121" s="238">
        <f t="shared" ca="1" si="275"/>
        <v>0</v>
      </c>
      <c r="DF121" s="112"/>
      <c r="DG121" s="238"/>
      <c r="DH121" s="238"/>
      <c r="DI121" s="112"/>
      <c r="DJ121" s="238"/>
      <c r="DK121" s="112" t="str">
        <f t="shared" ca="1" si="229"/>
        <v/>
      </c>
      <c r="DL121" s="278" t="str">
        <f t="shared" ca="1" si="296"/>
        <v/>
      </c>
      <c r="DM121" s="245" t="str">
        <f t="shared" ref="DM121:DP121" ca="1" si="339">DM672</f>
        <v/>
      </c>
      <c r="DN121" s="245" t="str">
        <f t="shared" ca="1" si="339"/>
        <v/>
      </c>
      <c r="DO121" s="245" t="str">
        <f t="shared" ca="1" si="339"/>
        <v/>
      </c>
      <c r="DP121" s="245" t="str">
        <f t="shared" ca="1" si="339"/>
        <v/>
      </c>
      <c r="DQ121" s="281" t="str">
        <f t="shared" ca="1" si="298"/>
        <v/>
      </c>
      <c r="DR121" s="278" t="str">
        <f t="shared" ca="1" si="299"/>
        <v/>
      </c>
      <c r="DS121" s="244" t="str">
        <f t="shared" ca="1" si="231"/>
        <v/>
      </c>
      <c r="DT121" s="244" t="str">
        <f t="shared" ca="1" si="232"/>
        <v/>
      </c>
      <c r="DU121" s="244" t="str">
        <f t="shared" ca="1" si="300"/>
        <v/>
      </c>
      <c r="DV121" s="244" t="str">
        <f t="shared" ca="1" si="301"/>
        <v/>
      </c>
      <c r="DW121" s="244"/>
      <c r="DX121" s="244" t="str">
        <f t="shared" ca="1" si="273"/>
        <v/>
      </c>
      <c r="EA121" s="244" t="b">
        <f t="shared" ca="1" si="233"/>
        <v>0</v>
      </c>
      <c r="EB121" s="278" t="e">
        <f ca="1">VLOOKUP(DM121,Foglio1!$AB$31:$AN$261,13)-6+EA121</f>
        <v>#N/A</v>
      </c>
      <c r="EC121" s="244"/>
      <c r="ED121" s="244" t="e">
        <f t="shared" ca="1" si="307"/>
        <v>#N/A</v>
      </c>
      <c r="EE121" s="244" t="e">
        <f t="shared" ca="1" si="308"/>
        <v>#N/A</v>
      </c>
      <c r="EF121" s="244" t="e">
        <f t="shared" ca="1" si="309"/>
        <v>#N/A</v>
      </c>
      <c r="EG121" s="244" t="e">
        <f t="shared" ca="1" si="310"/>
        <v>#N/A</v>
      </c>
      <c r="EH121" s="244" t="e">
        <f t="shared" ca="1" si="311"/>
        <v>#N/A</v>
      </c>
      <c r="EI121" s="244" t="e">
        <f t="shared" ca="1" si="312"/>
        <v>#N/A</v>
      </c>
      <c r="EJ121" s="244" t="e">
        <f t="shared" ca="1" si="313"/>
        <v>#N/A</v>
      </c>
      <c r="EK121" s="244" t="e">
        <f t="shared" ca="1" si="314"/>
        <v>#N/A</v>
      </c>
      <c r="EL121" s="244" t="e">
        <f t="shared" ca="1" si="315"/>
        <v>#N/A</v>
      </c>
      <c r="EM121" s="244" t="e">
        <f t="shared" ca="1" si="316"/>
        <v>#N/A</v>
      </c>
      <c r="EN121" s="244" t="e">
        <f t="shared" ca="1" si="317"/>
        <v>#N/A</v>
      </c>
      <c r="EO121" s="244" t="e">
        <f t="shared" ca="1" si="318"/>
        <v>#N/A</v>
      </c>
      <c r="EP121" s="244" t="e">
        <f t="shared" ca="1" si="319"/>
        <v>#N/A</v>
      </c>
      <c r="EQ121" s="244" t="e">
        <f t="shared" ca="1" si="320"/>
        <v>#N/A</v>
      </c>
      <c r="ER121" s="244"/>
      <c r="EW121" s="244">
        <v>0</v>
      </c>
      <c r="EX121" s="278" t="e">
        <f ca="1">VLOOKUP(DM121,Foglio1!$AB$31:$AN$261,13)-6+EW121</f>
        <v>#N/A</v>
      </c>
      <c r="EY121" s="244"/>
      <c r="EZ121" s="244">
        <v>0</v>
      </c>
      <c r="FA121" s="244" t="e">
        <f t="shared" ca="1" si="323"/>
        <v>#N/A</v>
      </c>
      <c r="FB121" s="244" t="e">
        <f t="shared" ca="1" si="324"/>
        <v>#N/A</v>
      </c>
      <c r="FC121" s="244" t="e">
        <f t="shared" ca="1" si="325"/>
        <v>#N/A</v>
      </c>
      <c r="FD121" s="244" t="e">
        <f t="shared" ca="1" si="326"/>
        <v>#N/A</v>
      </c>
      <c r="FE121" s="244" t="e">
        <f t="shared" ca="1" si="327"/>
        <v>#N/A</v>
      </c>
      <c r="FF121" s="244" t="e">
        <f t="shared" ca="1" si="328"/>
        <v>#N/A</v>
      </c>
      <c r="FG121" s="244" t="e">
        <f t="shared" ca="1" si="329"/>
        <v>#N/A</v>
      </c>
      <c r="FH121" s="244" t="e">
        <f t="shared" ca="1" si="330"/>
        <v>#N/A</v>
      </c>
      <c r="FI121" s="244" t="e">
        <f t="shared" ca="1" si="331"/>
        <v>#N/A</v>
      </c>
      <c r="FJ121" s="244" t="e">
        <f t="shared" ca="1" si="332"/>
        <v>#N/A</v>
      </c>
      <c r="FK121" s="244" t="e">
        <f t="shared" ca="1" si="333"/>
        <v>#N/A</v>
      </c>
      <c r="FL121" s="244" t="e">
        <f t="shared" ca="1" si="334"/>
        <v>#N/A</v>
      </c>
      <c r="FM121" s="244" t="e">
        <f t="shared" ca="1" si="321"/>
        <v>#N/A</v>
      </c>
      <c r="FN121" s="244"/>
    </row>
    <row r="122" spans="5:170" x14ac:dyDescent="0.25">
      <c r="E122" s="244"/>
      <c r="F122" s="240" t="str">
        <f>IF(fronttd!E124="","",fronttd!E124)</f>
        <v/>
      </c>
      <c r="G122" s="240" t="str">
        <f>IF(fronttd!F124="","",fronttd!F124)</f>
        <v/>
      </c>
      <c r="H122" s="380">
        <f>fronttd!G124</f>
        <v>0</v>
      </c>
      <c r="I122" s="380">
        <f>fronttd!H124</f>
        <v>0</v>
      </c>
      <c r="J122">
        <f t="shared" si="246"/>
        <v>24</v>
      </c>
      <c r="L122">
        <f t="shared" si="247"/>
        <v>122</v>
      </c>
      <c r="O122" s="238">
        <f t="shared" si="248"/>
        <v>122</v>
      </c>
      <c r="R122" s="112" t="str">
        <f t="shared" si="217"/>
        <v/>
      </c>
      <c r="S122" s="238" t="e">
        <f t="shared" ca="1" si="218"/>
        <v>#N/A</v>
      </c>
      <c r="T122" s="112" t="e">
        <f t="shared" ca="1" si="255"/>
        <v>#N/A</v>
      </c>
      <c r="U122" s="112" t="e">
        <f t="shared" ca="1" si="256"/>
        <v>#N/A</v>
      </c>
      <c r="V122" s="112" t="e">
        <f t="shared" ca="1" si="257"/>
        <v>#N/A</v>
      </c>
      <c r="W122" s="112" t="e">
        <f t="shared" ca="1" si="258"/>
        <v>#N/A</v>
      </c>
      <c r="X122" s="112" t="str">
        <f t="shared" si="219"/>
        <v/>
      </c>
      <c r="Y122" s="112"/>
      <c r="Z122" s="112"/>
      <c r="AA122" s="335" t="str">
        <f t="shared" si="220"/>
        <v/>
      </c>
      <c r="AB122" s="335" t="e">
        <f t="shared" ca="1" si="259"/>
        <v>#N/A</v>
      </c>
      <c r="AC122" s="335" t="e">
        <f t="shared" ca="1" si="260"/>
        <v>#N/A</v>
      </c>
      <c r="AD122" s="335" t="e">
        <f t="shared" ca="1" si="261"/>
        <v>#N/A</v>
      </c>
      <c r="AE122" s="335" t="e">
        <f t="shared" ca="1" si="262"/>
        <v>#N/A</v>
      </c>
      <c r="AF122" s="335" t="str">
        <f t="shared" si="221"/>
        <v/>
      </c>
      <c r="AG122" s="238">
        <f>AG121</f>
        <v>40</v>
      </c>
      <c r="AH122" s="112">
        <f ca="1">AI121+1</f>
        <v>38384</v>
      </c>
      <c r="AI122" s="112">
        <f ca="1">IF(INDIRECT(CONCATENATE("AD",AG120))&lt;100000,INDIRECT(CONCATENATE("AD",AG120))-1,IF(INDIRECT(CONCATENATE("AE",AG120))&lt;100000,INDIRECT(CONCATENATE("AE",G120)),INDIRECT(CONCATENATE("AF",AG120))))</f>
        <v>38551</v>
      </c>
      <c r="AJ122" s="112">
        <f t="shared" ca="1" si="292"/>
        <v>38551</v>
      </c>
      <c r="AK122" s="112">
        <f t="shared" ca="1" si="336"/>
        <v>38551</v>
      </c>
      <c r="AL122" s="238">
        <f t="shared" ca="1" si="294"/>
        <v>1</v>
      </c>
      <c r="AM122" s="112">
        <f t="shared" ca="1" si="285"/>
        <v>38384</v>
      </c>
      <c r="AN122" s="112">
        <f t="shared" ca="1" si="253"/>
        <v>38551</v>
      </c>
      <c r="AO122" s="114">
        <f t="shared" ca="1" si="222"/>
        <v>18</v>
      </c>
      <c r="AP122" s="114">
        <f t="shared" ca="1" si="223"/>
        <v>24</v>
      </c>
      <c r="AQ122" s="112"/>
      <c r="AR122" s="238">
        <f t="shared" si="249"/>
        <v>122</v>
      </c>
      <c r="AS122" s="112"/>
      <c r="AT122" s="112"/>
      <c r="AU122" s="283">
        <f t="shared" si="185"/>
        <v>103</v>
      </c>
      <c r="AV122" s="284">
        <f t="shared" ca="1" si="224"/>
        <v>100000</v>
      </c>
      <c r="AW122" s="284">
        <f t="shared" ca="1" si="286"/>
        <v>100000</v>
      </c>
      <c r="AX122" s="285">
        <f t="shared" ca="1" si="287"/>
        <v>0</v>
      </c>
      <c r="AY122" s="285">
        <f t="shared" ca="1" si="186"/>
        <v>24</v>
      </c>
      <c r="AZ122" s="282"/>
      <c r="BD122" s="114">
        <f t="shared" si="250"/>
        <v>1</v>
      </c>
      <c r="BE122" s="112">
        <f t="shared" si="225"/>
        <v>100000</v>
      </c>
      <c r="BH122" s="238">
        <f t="shared" si="251"/>
        <v>103</v>
      </c>
      <c r="BI122" s="245" t="str">
        <f t="shared" si="226"/>
        <v/>
      </c>
      <c r="BJ122" s="281">
        <f t="shared" ca="1" si="265"/>
        <v>16</v>
      </c>
      <c r="BK122" s="245" t="e">
        <f t="shared" ca="1" si="227"/>
        <v>#NUM!</v>
      </c>
      <c r="BL122" s="245" t="e">
        <f t="shared" ca="1" si="228"/>
        <v>#NUM!</v>
      </c>
      <c r="BN122" s="245" t="e">
        <f t="shared" ca="1" si="266"/>
        <v>#NUM!</v>
      </c>
      <c r="CL122" s="112"/>
      <c r="CM122" s="112"/>
      <c r="CP122" s="112"/>
      <c r="CQ122" s="112"/>
      <c r="CR122" s="238"/>
      <c r="CS122" s="238"/>
      <c r="CT122" s="112"/>
      <c r="CU122" s="112"/>
      <c r="CV122" s="112"/>
      <c r="CW122" s="112" t="s">
        <v>224</v>
      </c>
      <c r="CX122" s="112" t="s">
        <v>225</v>
      </c>
      <c r="CY122" s="112" t="s">
        <v>226</v>
      </c>
      <c r="CZ122" s="112" t="s">
        <v>227</v>
      </c>
      <c r="DA122" s="112" t="s">
        <v>228</v>
      </c>
      <c r="DB122" s="112" t="s">
        <v>229</v>
      </c>
      <c r="DC122" s="112"/>
      <c r="DD122" s="238">
        <f t="shared" ca="1" si="283"/>
        <v>0</v>
      </c>
      <c r="DE122" s="238">
        <f t="shared" ca="1" si="275"/>
        <v>0</v>
      </c>
      <c r="DF122" s="112"/>
      <c r="DG122" s="238"/>
      <c r="DH122" s="238"/>
      <c r="DI122" s="112"/>
      <c r="DJ122" s="238"/>
      <c r="DK122" s="112" t="str">
        <f t="shared" ca="1" si="229"/>
        <v/>
      </c>
      <c r="DL122" s="278" t="str">
        <f t="shared" ca="1" si="296"/>
        <v/>
      </c>
      <c r="DM122" s="245" t="str">
        <f t="shared" ref="DM122:DP122" ca="1" si="340">DM673</f>
        <v/>
      </c>
      <c r="DN122" s="245" t="str">
        <f t="shared" ca="1" si="340"/>
        <v/>
      </c>
      <c r="DO122" s="245" t="str">
        <f t="shared" ca="1" si="340"/>
        <v/>
      </c>
      <c r="DP122" s="245" t="str">
        <f t="shared" ca="1" si="340"/>
        <v/>
      </c>
      <c r="DQ122" s="281" t="str">
        <f t="shared" ca="1" si="298"/>
        <v/>
      </c>
      <c r="DR122" s="278" t="str">
        <f t="shared" ca="1" si="299"/>
        <v/>
      </c>
      <c r="DS122" s="244" t="str">
        <f t="shared" ca="1" si="231"/>
        <v/>
      </c>
      <c r="DT122" s="244" t="str">
        <f t="shared" ca="1" si="232"/>
        <v/>
      </c>
      <c r="DU122" s="244" t="str">
        <f t="shared" ca="1" si="300"/>
        <v/>
      </c>
      <c r="DV122" s="244" t="str">
        <f t="shared" ca="1" si="301"/>
        <v/>
      </c>
      <c r="DW122" s="244"/>
      <c r="DX122" s="244" t="str">
        <f t="shared" ca="1" si="273"/>
        <v/>
      </c>
      <c r="EA122" s="244" t="b">
        <f t="shared" ca="1" si="233"/>
        <v>0</v>
      </c>
      <c r="EB122" s="278" t="e">
        <f ca="1">VLOOKUP(DM122,Foglio1!$AB$31:$AN$261,13)-6+EA122</f>
        <v>#N/A</v>
      </c>
      <c r="EC122" s="244"/>
      <c r="ED122" s="244" t="e">
        <f t="shared" ca="1" si="307"/>
        <v>#N/A</v>
      </c>
      <c r="EE122" s="244" t="e">
        <f t="shared" ca="1" si="308"/>
        <v>#N/A</v>
      </c>
      <c r="EF122" s="244" t="e">
        <f t="shared" ca="1" si="309"/>
        <v>#N/A</v>
      </c>
      <c r="EG122" s="244" t="e">
        <f t="shared" ca="1" si="310"/>
        <v>#N/A</v>
      </c>
      <c r="EH122" s="244" t="e">
        <f t="shared" ca="1" si="311"/>
        <v>#N/A</v>
      </c>
      <c r="EI122" s="244" t="e">
        <f t="shared" ca="1" si="312"/>
        <v>#N/A</v>
      </c>
      <c r="EJ122" s="244" t="e">
        <f t="shared" ca="1" si="313"/>
        <v>#N/A</v>
      </c>
      <c r="EK122" s="244" t="e">
        <f t="shared" ca="1" si="314"/>
        <v>#N/A</v>
      </c>
      <c r="EL122" s="244" t="e">
        <f t="shared" ca="1" si="315"/>
        <v>#N/A</v>
      </c>
      <c r="EM122" s="244" t="e">
        <f t="shared" ca="1" si="316"/>
        <v>#N/A</v>
      </c>
      <c r="EN122" s="244" t="e">
        <f t="shared" ca="1" si="317"/>
        <v>#N/A</v>
      </c>
      <c r="EO122" s="244" t="e">
        <f t="shared" ca="1" si="318"/>
        <v>#N/A</v>
      </c>
      <c r="EP122" s="244" t="e">
        <f t="shared" ca="1" si="319"/>
        <v>#N/A</v>
      </c>
      <c r="EQ122" s="244" t="e">
        <f t="shared" ca="1" si="320"/>
        <v>#N/A</v>
      </c>
      <c r="ER122" s="244"/>
      <c r="EW122" s="244">
        <v>0</v>
      </c>
      <c r="EX122" s="278" t="e">
        <f ca="1">VLOOKUP(DM122,Foglio1!$AB$31:$AN$261,13)-6+EW122</f>
        <v>#N/A</v>
      </c>
      <c r="EY122" s="244"/>
      <c r="EZ122" s="244">
        <v>0</v>
      </c>
      <c r="FA122" s="244" t="e">
        <f t="shared" ca="1" si="323"/>
        <v>#N/A</v>
      </c>
      <c r="FB122" s="244" t="e">
        <f t="shared" ca="1" si="324"/>
        <v>#N/A</v>
      </c>
      <c r="FC122" s="244" t="e">
        <f t="shared" ca="1" si="325"/>
        <v>#N/A</v>
      </c>
      <c r="FD122" s="244" t="e">
        <f t="shared" ca="1" si="326"/>
        <v>#N/A</v>
      </c>
      <c r="FE122" s="244" t="e">
        <f t="shared" ca="1" si="327"/>
        <v>#N/A</v>
      </c>
      <c r="FF122" s="244" t="e">
        <f t="shared" ca="1" si="328"/>
        <v>#N/A</v>
      </c>
      <c r="FG122" s="244" t="e">
        <f t="shared" ca="1" si="329"/>
        <v>#N/A</v>
      </c>
      <c r="FH122" s="244" t="e">
        <f t="shared" ca="1" si="330"/>
        <v>#N/A</v>
      </c>
      <c r="FI122" s="244" t="e">
        <f t="shared" ca="1" si="331"/>
        <v>#N/A</v>
      </c>
      <c r="FJ122" s="244" t="e">
        <f t="shared" ca="1" si="332"/>
        <v>#N/A</v>
      </c>
      <c r="FK122" s="244" t="e">
        <f t="shared" ca="1" si="333"/>
        <v>#N/A</v>
      </c>
      <c r="FL122" s="244" t="e">
        <f t="shared" ca="1" si="334"/>
        <v>#N/A</v>
      </c>
      <c r="FM122" s="244" t="e">
        <f t="shared" ca="1" si="321"/>
        <v>#N/A</v>
      </c>
      <c r="FN122" s="244"/>
    </row>
    <row r="123" spans="5:170" x14ac:dyDescent="0.25">
      <c r="E123" s="244"/>
      <c r="F123" s="240" t="str">
        <f>IF(fronttd!E125="","",fronttd!E125)</f>
        <v/>
      </c>
      <c r="G123" s="240" t="str">
        <f>IF(fronttd!F125="","",fronttd!F125)</f>
        <v/>
      </c>
      <c r="H123" s="380">
        <f>fronttd!G125</f>
        <v>0</v>
      </c>
      <c r="I123" s="380">
        <f>fronttd!H125</f>
        <v>0</v>
      </c>
      <c r="J123">
        <f t="shared" si="246"/>
        <v>24</v>
      </c>
      <c r="L123">
        <f t="shared" si="247"/>
        <v>123</v>
      </c>
      <c r="O123" s="238">
        <f t="shared" si="248"/>
        <v>123</v>
      </c>
      <c r="R123" s="112" t="str">
        <f t="shared" si="217"/>
        <v/>
      </c>
      <c r="S123" s="238" t="e">
        <f t="shared" ca="1" si="218"/>
        <v>#N/A</v>
      </c>
      <c r="T123" s="112" t="e">
        <f t="shared" ca="1" si="255"/>
        <v>#N/A</v>
      </c>
      <c r="U123" s="112" t="e">
        <f t="shared" ca="1" si="256"/>
        <v>#N/A</v>
      </c>
      <c r="V123" s="112" t="e">
        <f t="shared" ca="1" si="257"/>
        <v>#N/A</v>
      </c>
      <c r="W123" s="112" t="e">
        <f t="shared" ca="1" si="258"/>
        <v>#N/A</v>
      </c>
      <c r="X123" s="112" t="str">
        <f t="shared" si="219"/>
        <v/>
      </c>
      <c r="Y123" s="112"/>
      <c r="Z123" s="112"/>
      <c r="AA123" s="335" t="str">
        <f t="shared" si="220"/>
        <v/>
      </c>
      <c r="AB123" s="335" t="e">
        <f t="shared" ca="1" si="259"/>
        <v>#N/A</v>
      </c>
      <c r="AC123" s="335" t="e">
        <f t="shared" ca="1" si="260"/>
        <v>#N/A</v>
      </c>
      <c r="AD123" s="335" t="e">
        <f t="shared" ca="1" si="261"/>
        <v>#N/A</v>
      </c>
      <c r="AE123" s="335" t="e">
        <f t="shared" ca="1" si="262"/>
        <v>#N/A</v>
      </c>
      <c r="AF123" s="335" t="str">
        <f t="shared" si="221"/>
        <v/>
      </c>
      <c r="AG123" s="238">
        <f>AG122</f>
        <v>40</v>
      </c>
      <c r="AH123" s="112">
        <f ca="1">AI122+1</f>
        <v>38552</v>
      </c>
      <c r="AI123" s="112">
        <f ca="1">IF(INDIRECT(CONCATENATE("AE",AG120))&lt;100000,INDIRECT(CONCATENATE("AE",G120)),INDIRECT(CONCATENATE("AF",AG120)))</f>
        <v>38551</v>
      </c>
      <c r="AJ123" s="112">
        <f t="shared" ca="1" si="292"/>
        <v>38551</v>
      </c>
      <c r="AK123" s="112">
        <f t="shared" ca="1" si="336"/>
        <v>38551</v>
      </c>
      <c r="AL123" s="238">
        <f t="shared" ca="1" si="294"/>
        <v>0</v>
      </c>
      <c r="AM123" s="112">
        <f t="shared" ca="1" si="285"/>
        <v>100000</v>
      </c>
      <c r="AN123" s="112">
        <f t="shared" ca="1" si="253"/>
        <v>100000</v>
      </c>
      <c r="AO123" s="114">
        <f t="shared" ca="1" si="222"/>
        <v>18</v>
      </c>
      <c r="AP123" s="114">
        <f t="shared" ca="1" si="223"/>
        <v>24</v>
      </c>
      <c r="AQ123" s="112"/>
      <c r="AR123" s="238">
        <f t="shared" si="249"/>
        <v>123</v>
      </c>
      <c r="AS123" s="112"/>
      <c r="AT123" s="112"/>
      <c r="AU123" s="283">
        <f t="shared" si="185"/>
        <v>104</v>
      </c>
      <c r="AV123" s="284">
        <f t="shared" ca="1" si="224"/>
        <v>100000</v>
      </c>
      <c r="AW123" s="284">
        <f t="shared" ca="1" si="286"/>
        <v>100000</v>
      </c>
      <c r="AX123" s="285">
        <f t="shared" ca="1" si="287"/>
        <v>0</v>
      </c>
      <c r="AY123" s="285">
        <f t="shared" ca="1" si="186"/>
        <v>24</v>
      </c>
      <c r="AZ123" s="282"/>
      <c r="BD123" s="114">
        <f t="shared" si="250"/>
        <v>1</v>
      </c>
      <c r="BE123" s="112">
        <f t="shared" si="225"/>
        <v>100000</v>
      </c>
      <c r="BH123" s="238">
        <f t="shared" si="251"/>
        <v>104</v>
      </c>
      <c r="BI123" s="112">
        <f ca="1">BE20</f>
        <v>100000</v>
      </c>
      <c r="BJ123" s="281">
        <f t="shared" ca="1" si="265"/>
        <v>16</v>
      </c>
      <c r="BK123" s="245" t="e">
        <f t="shared" ca="1" si="227"/>
        <v>#NUM!</v>
      </c>
      <c r="BL123" s="245" t="e">
        <f t="shared" ca="1" si="228"/>
        <v>#NUM!</v>
      </c>
      <c r="BN123" s="245" t="e">
        <f t="shared" ca="1" si="266"/>
        <v>#NUM!</v>
      </c>
      <c r="CL123" s="112"/>
      <c r="CM123" s="112"/>
      <c r="CP123" s="112"/>
      <c r="CQ123" s="112"/>
      <c r="CR123" s="238"/>
      <c r="CS123" s="238"/>
      <c r="CT123" s="112"/>
      <c r="CU123" s="112"/>
      <c r="CV123" s="112"/>
      <c r="CW123" s="112" t="s">
        <v>224</v>
      </c>
      <c r="CX123" s="112" t="s">
        <v>225</v>
      </c>
      <c r="CY123" s="112" t="s">
        <v>226</v>
      </c>
      <c r="CZ123" s="112" t="s">
        <v>227</v>
      </c>
      <c r="DA123" s="112" t="s">
        <v>228</v>
      </c>
      <c r="DB123" s="112" t="s">
        <v>229</v>
      </c>
      <c r="DC123" s="112"/>
      <c r="DD123" s="238">
        <f t="shared" ca="1" si="283"/>
        <v>0</v>
      </c>
      <c r="DE123" s="238">
        <f t="shared" ca="1" si="275"/>
        <v>0</v>
      </c>
      <c r="DF123" s="112"/>
      <c r="DG123" s="238"/>
      <c r="DH123" s="238"/>
      <c r="DI123" s="112"/>
      <c r="DJ123" s="238"/>
      <c r="DK123" s="112" t="str">
        <f t="shared" ca="1" si="229"/>
        <v/>
      </c>
      <c r="DL123" s="278" t="str">
        <f t="shared" ca="1" si="296"/>
        <v/>
      </c>
      <c r="DM123" s="245" t="str">
        <f t="shared" ref="DM123:DP123" ca="1" si="341">DM674</f>
        <v/>
      </c>
      <c r="DN123" s="245" t="str">
        <f t="shared" ca="1" si="341"/>
        <v/>
      </c>
      <c r="DO123" s="245" t="str">
        <f t="shared" ca="1" si="341"/>
        <v/>
      </c>
      <c r="DP123" s="245" t="str">
        <f t="shared" ca="1" si="341"/>
        <v/>
      </c>
      <c r="DQ123" s="281" t="str">
        <f t="shared" ca="1" si="298"/>
        <v/>
      </c>
      <c r="DR123" s="278" t="str">
        <f t="shared" ca="1" si="299"/>
        <v/>
      </c>
      <c r="DS123" s="244" t="str">
        <f t="shared" ca="1" si="231"/>
        <v/>
      </c>
      <c r="DT123" s="244" t="str">
        <f t="shared" ca="1" si="232"/>
        <v/>
      </c>
      <c r="DU123" s="244" t="str">
        <f t="shared" ca="1" si="300"/>
        <v/>
      </c>
      <c r="DV123" s="244" t="str">
        <f t="shared" ca="1" si="301"/>
        <v/>
      </c>
      <c r="DW123" s="244"/>
      <c r="DX123" s="244" t="str">
        <f t="shared" ca="1" si="273"/>
        <v/>
      </c>
      <c r="EA123" s="244" t="b">
        <f t="shared" ca="1" si="233"/>
        <v>0</v>
      </c>
      <c r="EB123" s="278" t="e">
        <f ca="1">VLOOKUP(DM123,Foglio1!$AB$31:$AN$261,13)-6+EA123</f>
        <v>#N/A</v>
      </c>
      <c r="EC123" s="244"/>
      <c r="ED123" s="244" t="e">
        <f t="shared" ca="1" si="307"/>
        <v>#N/A</v>
      </c>
      <c r="EE123" s="244" t="e">
        <f t="shared" ca="1" si="308"/>
        <v>#N/A</v>
      </c>
      <c r="EF123" s="244" t="e">
        <f t="shared" ca="1" si="309"/>
        <v>#N/A</v>
      </c>
      <c r="EG123" s="244" t="e">
        <f t="shared" ca="1" si="310"/>
        <v>#N/A</v>
      </c>
      <c r="EH123" s="244" t="e">
        <f t="shared" ca="1" si="311"/>
        <v>#N/A</v>
      </c>
      <c r="EI123" s="244" t="e">
        <f t="shared" ca="1" si="312"/>
        <v>#N/A</v>
      </c>
      <c r="EJ123" s="244" t="e">
        <f t="shared" ca="1" si="313"/>
        <v>#N/A</v>
      </c>
      <c r="EK123" s="244" t="e">
        <f t="shared" ca="1" si="314"/>
        <v>#N/A</v>
      </c>
      <c r="EL123" s="244" t="e">
        <f t="shared" ca="1" si="315"/>
        <v>#N/A</v>
      </c>
      <c r="EM123" s="244" t="e">
        <f t="shared" ca="1" si="316"/>
        <v>#N/A</v>
      </c>
      <c r="EN123" s="244" t="e">
        <f t="shared" ca="1" si="317"/>
        <v>#N/A</v>
      </c>
      <c r="EO123" s="244" t="e">
        <f t="shared" ca="1" si="318"/>
        <v>#N/A</v>
      </c>
      <c r="EP123" s="244" t="e">
        <f t="shared" ca="1" si="319"/>
        <v>#N/A</v>
      </c>
      <c r="EQ123" s="244" t="e">
        <f t="shared" ca="1" si="320"/>
        <v>#N/A</v>
      </c>
      <c r="ER123" s="244"/>
      <c r="EW123" s="244">
        <v>0</v>
      </c>
      <c r="EX123" s="278" t="e">
        <f ca="1">VLOOKUP(DM123,Foglio1!$AB$31:$AN$261,13)-6+EW123</f>
        <v>#N/A</v>
      </c>
      <c r="EY123" s="244"/>
      <c r="EZ123" s="244">
        <v>0</v>
      </c>
      <c r="FA123" s="244" t="e">
        <f t="shared" ca="1" si="323"/>
        <v>#N/A</v>
      </c>
      <c r="FB123" s="244" t="e">
        <f t="shared" ca="1" si="324"/>
        <v>#N/A</v>
      </c>
      <c r="FC123" s="244" t="e">
        <f t="shared" ca="1" si="325"/>
        <v>#N/A</v>
      </c>
      <c r="FD123" s="244" t="e">
        <f t="shared" ca="1" si="326"/>
        <v>#N/A</v>
      </c>
      <c r="FE123" s="244" t="e">
        <f t="shared" ca="1" si="327"/>
        <v>#N/A</v>
      </c>
      <c r="FF123" s="244" t="e">
        <f t="shared" ca="1" si="328"/>
        <v>#N/A</v>
      </c>
      <c r="FG123" s="244" t="e">
        <f t="shared" ca="1" si="329"/>
        <v>#N/A</v>
      </c>
      <c r="FH123" s="244" t="e">
        <f t="shared" ca="1" si="330"/>
        <v>#N/A</v>
      </c>
      <c r="FI123" s="244" t="e">
        <f t="shared" ca="1" si="331"/>
        <v>#N/A</v>
      </c>
      <c r="FJ123" s="244" t="e">
        <f t="shared" ca="1" si="332"/>
        <v>#N/A</v>
      </c>
      <c r="FK123" s="244" t="e">
        <f t="shared" ca="1" si="333"/>
        <v>#N/A</v>
      </c>
      <c r="FL123" s="244" t="e">
        <f t="shared" ca="1" si="334"/>
        <v>#N/A</v>
      </c>
      <c r="FM123" s="244" t="e">
        <f t="shared" ca="1" si="321"/>
        <v>#N/A</v>
      </c>
      <c r="FN123" s="244"/>
    </row>
    <row r="124" spans="5:170" x14ac:dyDescent="0.25">
      <c r="E124" s="244"/>
      <c r="F124" s="240" t="str">
        <f>IF(fronttd!E126="","",fronttd!E126)</f>
        <v/>
      </c>
      <c r="G124" s="240" t="str">
        <f>IF(fronttd!F126="","",fronttd!F126)</f>
        <v/>
      </c>
      <c r="H124" s="380">
        <f>fronttd!G126</f>
        <v>0</v>
      </c>
      <c r="I124" s="380">
        <f>fronttd!H126</f>
        <v>0</v>
      </c>
      <c r="J124">
        <f t="shared" si="246"/>
        <v>24</v>
      </c>
      <c r="L124">
        <f t="shared" si="247"/>
        <v>124</v>
      </c>
      <c r="O124" s="238">
        <f t="shared" si="248"/>
        <v>124</v>
      </c>
      <c r="R124" s="112" t="str">
        <f t="shared" si="217"/>
        <v/>
      </c>
      <c r="S124" s="238" t="e">
        <f t="shared" ca="1" si="218"/>
        <v>#N/A</v>
      </c>
      <c r="T124" s="112" t="e">
        <f t="shared" ca="1" si="255"/>
        <v>#N/A</v>
      </c>
      <c r="U124" s="112" t="e">
        <f t="shared" ca="1" si="256"/>
        <v>#N/A</v>
      </c>
      <c r="V124" s="112" t="e">
        <f t="shared" ca="1" si="257"/>
        <v>#N/A</v>
      </c>
      <c r="W124" s="112" t="e">
        <f t="shared" ca="1" si="258"/>
        <v>#N/A</v>
      </c>
      <c r="X124" s="112" t="str">
        <f t="shared" si="219"/>
        <v/>
      </c>
      <c r="Y124" s="112"/>
      <c r="Z124" s="112"/>
      <c r="AA124" s="335" t="str">
        <f t="shared" si="220"/>
        <v/>
      </c>
      <c r="AB124" s="335" t="e">
        <f t="shared" ca="1" si="259"/>
        <v>#N/A</v>
      </c>
      <c r="AC124" s="335" t="e">
        <f t="shared" ca="1" si="260"/>
        <v>#N/A</v>
      </c>
      <c r="AD124" s="335" t="e">
        <f t="shared" ca="1" si="261"/>
        <v>#N/A</v>
      </c>
      <c r="AE124" s="335" t="e">
        <f t="shared" ca="1" si="262"/>
        <v>#N/A</v>
      </c>
      <c r="AF124" s="335" t="str">
        <f t="shared" si="221"/>
        <v/>
      </c>
      <c r="AG124" s="238">
        <f>AG123</f>
        <v>40</v>
      </c>
      <c r="AH124" s="112">
        <f ca="1">AI123+1</f>
        <v>38552</v>
      </c>
      <c r="AI124" s="112">
        <f ca="1">INDIRECT(CONCATENATE("AF",AG120))</f>
        <v>38551</v>
      </c>
      <c r="AJ124" s="112">
        <f t="shared" ca="1" si="292"/>
        <v>38551</v>
      </c>
      <c r="AK124" s="112">
        <f t="shared" ca="1" si="336"/>
        <v>38551</v>
      </c>
      <c r="AL124" s="238">
        <f t="shared" ca="1" si="294"/>
        <v>0</v>
      </c>
      <c r="AM124" s="112">
        <f t="shared" ca="1" si="285"/>
        <v>100000</v>
      </c>
      <c r="AN124" s="112">
        <f t="shared" ca="1" si="253"/>
        <v>100000</v>
      </c>
      <c r="AO124" s="114">
        <f t="shared" ca="1" si="222"/>
        <v>18</v>
      </c>
      <c r="AP124" s="114">
        <f t="shared" ca="1" si="223"/>
        <v>24</v>
      </c>
      <c r="AQ124" s="112"/>
      <c r="AR124" s="238">
        <f t="shared" si="249"/>
        <v>124</v>
      </c>
      <c r="AS124" s="112"/>
      <c r="AT124" s="112"/>
      <c r="AU124" s="283">
        <f t="shared" si="185"/>
        <v>105</v>
      </c>
      <c r="AV124" s="284">
        <f t="shared" ca="1" si="224"/>
        <v>100000</v>
      </c>
      <c r="AW124" s="284">
        <f t="shared" ca="1" si="286"/>
        <v>100000</v>
      </c>
      <c r="AX124" s="285">
        <f t="shared" ca="1" si="287"/>
        <v>0</v>
      </c>
      <c r="AY124" s="285">
        <f t="shared" ca="1" si="186"/>
        <v>24</v>
      </c>
      <c r="AZ124" s="282"/>
      <c r="BD124" s="114">
        <f t="shared" si="250"/>
        <v>1</v>
      </c>
      <c r="BE124" s="112">
        <f t="shared" si="225"/>
        <v>100000</v>
      </c>
      <c r="BH124" s="238">
        <f t="shared" si="251"/>
        <v>105</v>
      </c>
      <c r="BI124" s="112">
        <f t="shared" ref="BI124:BI143" ca="1" si="342">BE21</f>
        <v>36312</v>
      </c>
      <c r="BJ124" s="281">
        <f t="shared" ca="1" si="265"/>
        <v>16</v>
      </c>
      <c r="BK124" s="245" t="e">
        <f t="shared" ca="1" si="227"/>
        <v>#NUM!</v>
      </c>
      <c r="BL124" s="245" t="e">
        <f t="shared" ca="1" si="228"/>
        <v>#NUM!</v>
      </c>
      <c r="BN124" s="245" t="e">
        <f t="shared" ca="1" si="266"/>
        <v>#NUM!</v>
      </c>
      <c r="CL124" s="112"/>
      <c r="CM124" s="112"/>
      <c r="CP124" s="112"/>
      <c r="CQ124" s="112"/>
      <c r="CR124" s="238"/>
      <c r="CS124" s="238"/>
      <c r="CT124" s="112"/>
      <c r="CU124" s="112"/>
      <c r="CV124" s="112"/>
      <c r="CW124" s="112" t="s">
        <v>224</v>
      </c>
      <c r="CX124" s="112" t="s">
        <v>225</v>
      </c>
      <c r="CY124" s="112" t="s">
        <v>226</v>
      </c>
      <c r="CZ124" s="112" t="s">
        <v>227</v>
      </c>
      <c r="DA124" s="112" t="s">
        <v>228</v>
      </c>
      <c r="DB124" s="112" t="s">
        <v>229</v>
      </c>
      <c r="DC124" s="112"/>
      <c r="DD124" s="238">
        <f t="shared" ca="1" si="283"/>
        <v>0</v>
      </c>
      <c r="DE124" s="238">
        <f t="shared" ca="1" si="275"/>
        <v>0</v>
      </c>
      <c r="DF124" s="112"/>
      <c r="DG124" s="238"/>
      <c r="DH124" s="238"/>
      <c r="DI124" s="112"/>
      <c r="DJ124" s="238"/>
      <c r="DK124" s="112" t="str">
        <f t="shared" ca="1" si="229"/>
        <v/>
      </c>
      <c r="DL124" s="278" t="str">
        <f t="shared" ca="1" si="296"/>
        <v/>
      </c>
      <c r="DM124" s="245" t="str">
        <f t="shared" ref="DM124:DP124" ca="1" si="343">DM675</f>
        <v/>
      </c>
      <c r="DN124" s="245" t="str">
        <f t="shared" ca="1" si="343"/>
        <v/>
      </c>
      <c r="DO124" s="245" t="str">
        <f t="shared" ca="1" si="343"/>
        <v/>
      </c>
      <c r="DP124" s="245" t="str">
        <f t="shared" ca="1" si="343"/>
        <v/>
      </c>
      <c r="DQ124" s="281" t="str">
        <f t="shared" ca="1" si="298"/>
        <v/>
      </c>
      <c r="DR124" s="278" t="str">
        <f t="shared" ca="1" si="299"/>
        <v/>
      </c>
      <c r="DS124" s="244" t="str">
        <f t="shared" ca="1" si="231"/>
        <v/>
      </c>
      <c r="DT124" s="244" t="str">
        <f t="shared" ca="1" si="232"/>
        <v/>
      </c>
      <c r="DU124" s="244" t="str">
        <f t="shared" ca="1" si="300"/>
        <v/>
      </c>
      <c r="DV124" s="244" t="str">
        <f t="shared" ca="1" si="301"/>
        <v/>
      </c>
      <c r="DW124" s="244"/>
      <c r="DX124" s="244" t="str">
        <f t="shared" ca="1" si="273"/>
        <v/>
      </c>
      <c r="EA124" s="244" t="b">
        <f t="shared" ca="1" si="233"/>
        <v>0</v>
      </c>
      <c r="EB124" s="278" t="e">
        <f ca="1">VLOOKUP(DM124,Foglio1!$AB$31:$AN$261,13)-6+EA124</f>
        <v>#N/A</v>
      </c>
      <c r="EC124" s="244"/>
      <c r="ED124" s="244" t="e">
        <f t="shared" ca="1" si="307"/>
        <v>#N/A</v>
      </c>
      <c r="EE124" s="244" t="e">
        <f t="shared" ca="1" si="308"/>
        <v>#N/A</v>
      </c>
      <c r="EF124" s="244" t="e">
        <f t="shared" ca="1" si="309"/>
        <v>#N/A</v>
      </c>
      <c r="EG124" s="244" t="e">
        <f t="shared" ca="1" si="310"/>
        <v>#N/A</v>
      </c>
      <c r="EH124" s="244" t="e">
        <f t="shared" ca="1" si="311"/>
        <v>#N/A</v>
      </c>
      <c r="EI124" s="244" t="e">
        <f t="shared" ca="1" si="312"/>
        <v>#N/A</v>
      </c>
      <c r="EJ124" s="244" t="e">
        <f t="shared" ca="1" si="313"/>
        <v>#N/A</v>
      </c>
      <c r="EK124" s="244" t="e">
        <f t="shared" ca="1" si="314"/>
        <v>#N/A</v>
      </c>
      <c r="EL124" s="244" t="e">
        <f t="shared" ca="1" si="315"/>
        <v>#N/A</v>
      </c>
      <c r="EM124" s="244" t="e">
        <f t="shared" ca="1" si="316"/>
        <v>#N/A</v>
      </c>
      <c r="EN124" s="244" t="e">
        <f t="shared" ca="1" si="317"/>
        <v>#N/A</v>
      </c>
      <c r="EO124" s="244" t="e">
        <f t="shared" ca="1" si="318"/>
        <v>#N/A</v>
      </c>
      <c r="EP124" s="244" t="e">
        <f t="shared" ca="1" si="319"/>
        <v>#N/A</v>
      </c>
      <c r="EQ124" s="244" t="e">
        <f t="shared" ca="1" si="320"/>
        <v>#N/A</v>
      </c>
      <c r="ER124" s="244"/>
      <c r="EW124" s="244">
        <v>0</v>
      </c>
      <c r="EX124" s="278" t="e">
        <f ca="1">VLOOKUP(DM124,Foglio1!$AB$31:$AN$261,13)-6+EW124</f>
        <v>#N/A</v>
      </c>
      <c r="EY124" s="244"/>
      <c r="EZ124" s="244">
        <v>0</v>
      </c>
      <c r="FA124" s="244" t="e">
        <f t="shared" ca="1" si="323"/>
        <v>#N/A</v>
      </c>
      <c r="FB124" s="244" t="e">
        <f t="shared" ca="1" si="324"/>
        <v>#N/A</v>
      </c>
      <c r="FC124" s="244" t="e">
        <f t="shared" ca="1" si="325"/>
        <v>#N/A</v>
      </c>
      <c r="FD124" s="244" t="e">
        <f t="shared" ca="1" si="326"/>
        <v>#N/A</v>
      </c>
      <c r="FE124" s="244" t="e">
        <f t="shared" ca="1" si="327"/>
        <v>#N/A</v>
      </c>
      <c r="FF124" s="244" t="e">
        <f t="shared" ca="1" si="328"/>
        <v>#N/A</v>
      </c>
      <c r="FG124" s="244" t="e">
        <f t="shared" ca="1" si="329"/>
        <v>#N/A</v>
      </c>
      <c r="FH124" s="244" t="e">
        <f t="shared" ca="1" si="330"/>
        <v>#N/A</v>
      </c>
      <c r="FI124" s="244" t="e">
        <f t="shared" ca="1" si="331"/>
        <v>#N/A</v>
      </c>
      <c r="FJ124" s="244" t="e">
        <f t="shared" ca="1" si="332"/>
        <v>#N/A</v>
      </c>
      <c r="FK124" s="244" t="e">
        <f t="shared" ca="1" si="333"/>
        <v>#N/A</v>
      </c>
      <c r="FL124" s="244" t="e">
        <f t="shared" ca="1" si="334"/>
        <v>#N/A</v>
      </c>
      <c r="FM124" s="244" t="e">
        <f t="shared" ca="1" si="321"/>
        <v>#N/A</v>
      </c>
      <c r="FN124" s="244"/>
    </row>
    <row r="125" spans="5:170" x14ac:dyDescent="0.25">
      <c r="E125" s="244"/>
      <c r="F125" s="240" t="str">
        <f>IF(fronttd!E127="","",fronttd!E127)</f>
        <v/>
      </c>
      <c r="G125" s="240" t="str">
        <f>IF(fronttd!F127="","",fronttd!F127)</f>
        <v/>
      </c>
      <c r="H125" s="380">
        <f>fronttd!G127</f>
        <v>0</v>
      </c>
      <c r="I125" s="380">
        <f>fronttd!H127</f>
        <v>0</v>
      </c>
      <c r="J125">
        <f t="shared" si="246"/>
        <v>24</v>
      </c>
      <c r="L125">
        <f t="shared" si="247"/>
        <v>125</v>
      </c>
      <c r="O125" s="238">
        <f t="shared" si="248"/>
        <v>125</v>
      </c>
      <c r="R125" s="112" t="str">
        <f t="shared" si="217"/>
        <v/>
      </c>
      <c r="S125" s="238" t="e">
        <f t="shared" ca="1" si="218"/>
        <v>#N/A</v>
      </c>
      <c r="T125" s="112" t="e">
        <f t="shared" ca="1" si="255"/>
        <v>#N/A</v>
      </c>
      <c r="U125" s="112" t="e">
        <f t="shared" ca="1" si="256"/>
        <v>#N/A</v>
      </c>
      <c r="V125" s="112" t="e">
        <f t="shared" ca="1" si="257"/>
        <v>#N/A</v>
      </c>
      <c r="W125" s="112" t="e">
        <f t="shared" ca="1" si="258"/>
        <v>#N/A</v>
      </c>
      <c r="X125" s="112" t="str">
        <f t="shared" si="219"/>
        <v/>
      </c>
      <c r="Y125" s="112"/>
      <c r="Z125" s="112"/>
      <c r="AA125" s="335" t="str">
        <f t="shared" si="220"/>
        <v/>
      </c>
      <c r="AB125" s="335" t="e">
        <f t="shared" ca="1" si="259"/>
        <v>#N/A</v>
      </c>
      <c r="AC125" s="335" t="e">
        <f t="shared" ca="1" si="260"/>
        <v>#N/A</v>
      </c>
      <c r="AD125" s="335" t="e">
        <f t="shared" ca="1" si="261"/>
        <v>#N/A</v>
      </c>
      <c r="AE125" s="335" t="e">
        <f t="shared" ca="1" si="262"/>
        <v>#N/A</v>
      </c>
      <c r="AF125" s="335" t="str">
        <f t="shared" si="221"/>
        <v/>
      </c>
      <c r="AG125" s="238">
        <f>AG124+1</f>
        <v>41</v>
      </c>
      <c r="AH125" s="112">
        <f ca="1">INDIRECT(CONCATENATE("AA",AG125))</f>
        <v>38596</v>
      </c>
      <c r="AI125" s="112">
        <f ca="1">IF(            INDIRECT(CONCATENATE( "AB",AG125))&lt;100000,       INDIRECT(CONCATENATE("AB",AG125))  -1,IF(   INDIRECT(CONCATENATE("AC",AG125))&lt;100000,   INDIRECT(CONCATENATE("AC",AG125))-1,IF(   INDIRECT(CONCATENATE("AD", AG125))&lt;100000, INDIRECT(CONCATENATE("AD",AG125))-1,IF(   INDIRECT(CONCATENATE("AE",AG125))&lt;100000,  INDIRECT(CONCATENATE("AE",G125)),INDIRECT(CONCATENATE("AF",AG125))                ))))</f>
        <v>38717</v>
      </c>
      <c r="AJ125" s="112">
        <f t="shared" ca="1" si="292"/>
        <v>38717</v>
      </c>
      <c r="AK125" s="112">
        <f t="shared" ca="1" si="336"/>
        <v>38717</v>
      </c>
      <c r="AL125" s="238">
        <f t="shared" ca="1" si="294"/>
        <v>1</v>
      </c>
      <c r="AM125" s="112">
        <f t="shared" ca="1" si="285"/>
        <v>38596</v>
      </c>
      <c r="AN125" s="112">
        <f t="shared" ca="1" si="253"/>
        <v>38717</v>
      </c>
      <c r="AO125" s="114">
        <f t="shared" ca="1" si="222"/>
        <v>18</v>
      </c>
      <c r="AP125" s="114">
        <f t="shared" ca="1" si="223"/>
        <v>24</v>
      </c>
      <c r="AQ125" s="112"/>
      <c r="AR125" s="238">
        <f t="shared" si="249"/>
        <v>125</v>
      </c>
      <c r="AS125" s="112"/>
      <c r="AT125" s="112"/>
      <c r="AU125" s="283">
        <f t="shared" si="185"/>
        <v>106</v>
      </c>
      <c r="AV125" s="284">
        <f t="shared" ca="1" si="224"/>
        <v>100000</v>
      </c>
      <c r="AW125" s="284">
        <f t="shared" ca="1" si="286"/>
        <v>100000</v>
      </c>
      <c r="AX125" s="285">
        <f t="shared" ca="1" si="287"/>
        <v>0</v>
      </c>
      <c r="AY125" s="285">
        <f t="shared" ca="1" si="186"/>
        <v>24</v>
      </c>
      <c r="AZ125" s="282"/>
      <c r="BD125" s="114">
        <f t="shared" si="250"/>
        <v>1</v>
      </c>
      <c r="BE125" s="112">
        <f t="shared" si="225"/>
        <v>100000</v>
      </c>
      <c r="BH125" s="238">
        <f t="shared" si="251"/>
        <v>106</v>
      </c>
      <c r="BI125" s="112">
        <f t="shared" ca="1" si="342"/>
        <v>36708</v>
      </c>
      <c r="BJ125" s="281">
        <f t="shared" ca="1" si="265"/>
        <v>16</v>
      </c>
      <c r="BK125" s="245" t="e">
        <f t="shared" ca="1" si="227"/>
        <v>#NUM!</v>
      </c>
      <c r="BL125" s="245" t="e">
        <f t="shared" ca="1" si="228"/>
        <v>#NUM!</v>
      </c>
      <c r="BN125" s="245" t="e">
        <f t="shared" ca="1" si="266"/>
        <v>#NUM!</v>
      </c>
      <c r="CL125" s="112"/>
      <c r="CM125" s="112"/>
      <c r="CP125" s="112"/>
      <c r="CQ125" s="112"/>
      <c r="CR125" s="238"/>
      <c r="CS125" s="238"/>
      <c r="CT125" s="112"/>
      <c r="CU125" s="112"/>
      <c r="CV125" s="112"/>
      <c r="CW125" s="112" t="s">
        <v>224</v>
      </c>
      <c r="CX125" s="112" t="s">
        <v>225</v>
      </c>
      <c r="CY125" s="112" t="s">
        <v>226</v>
      </c>
      <c r="CZ125" s="112" t="s">
        <v>227</v>
      </c>
      <c r="DA125" s="112" t="s">
        <v>228</v>
      </c>
      <c r="DB125" s="112" t="s">
        <v>229</v>
      </c>
      <c r="DC125" s="112"/>
      <c r="DD125" s="238">
        <f t="shared" ca="1" si="283"/>
        <v>0</v>
      </c>
      <c r="DE125" s="238">
        <f t="shared" ca="1" si="275"/>
        <v>0</v>
      </c>
      <c r="DF125" s="112"/>
      <c r="DG125" s="238"/>
      <c r="DH125" s="238"/>
      <c r="DI125" s="112"/>
      <c r="DJ125" s="238"/>
      <c r="DK125" s="112" t="str">
        <f t="shared" ca="1" si="229"/>
        <v/>
      </c>
      <c r="DL125" s="278" t="str">
        <f t="shared" ca="1" si="296"/>
        <v/>
      </c>
      <c r="DM125" s="245" t="str">
        <f t="shared" ref="DM125:DP125" ca="1" si="344">DM676</f>
        <v/>
      </c>
      <c r="DN125" s="245" t="str">
        <f t="shared" ca="1" si="344"/>
        <v/>
      </c>
      <c r="DO125" s="245" t="str">
        <f t="shared" ca="1" si="344"/>
        <v/>
      </c>
      <c r="DP125" s="245" t="str">
        <f t="shared" ca="1" si="344"/>
        <v/>
      </c>
      <c r="DQ125" s="281" t="str">
        <f t="shared" ca="1" si="298"/>
        <v/>
      </c>
      <c r="DR125" s="278" t="str">
        <f t="shared" ca="1" si="299"/>
        <v/>
      </c>
      <c r="DS125" s="244" t="str">
        <f t="shared" ca="1" si="231"/>
        <v/>
      </c>
      <c r="DT125" s="244" t="str">
        <f t="shared" ca="1" si="232"/>
        <v/>
      </c>
      <c r="DU125" s="244" t="str">
        <f t="shared" ca="1" si="300"/>
        <v/>
      </c>
      <c r="DV125" s="244" t="str">
        <f t="shared" ca="1" si="301"/>
        <v/>
      </c>
      <c r="DW125" s="244"/>
      <c r="DX125" s="244" t="str">
        <f t="shared" ca="1" si="273"/>
        <v/>
      </c>
      <c r="EA125" s="244" t="b">
        <f t="shared" ca="1" si="233"/>
        <v>0</v>
      </c>
      <c r="EB125" s="278" t="e">
        <f ca="1">VLOOKUP(DM125,Foglio1!$AB$31:$AN$261,13)-6+EA125</f>
        <v>#N/A</v>
      </c>
      <c r="EC125" s="244"/>
      <c r="ED125" s="244" t="e">
        <f t="shared" ca="1" si="307"/>
        <v>#N/A</v>
      </c>
      <c r="EE125" s="244" t="e">
        <f t="shared" ca="1" si="308"/>
        <v>#N/A</v>
      </c>
      <c r="EF125" s="244" t="e">
        <f t="shared" ca="1" si="309"/>
        <v>#N/A</v>
      </c>
      <c r="EG125" s="244" t="e">
        <f t="shared" ca="1" si="310"/>
        <v>#N/A</v>
      </c>
      <c r="EH125" s="244" t="e">
        <f t="shared" ca="1" si="311"/>
        <v>#N/A</v>
      </c>
      <c r="EI125" s="244" t="e">
        <f t="shared" ca="1" si="312"/>
        <v>#N/A</v>
      </c>
      <c r="EJ125" s="244" t="e">
        <f t="shared" ca="1" si="313"/>
        <v>#N/A</v>
      </c>
      <c r="EK125" s="244" t="e">
        <f t="shared" ca="1" si="314"/>
        <v>#N/A</v>
      </c>
      <c r="EL125" s="244" t="e">
        <f t="shared" ca="1" si="315"/>
        <v>#N/A</v>
      </c>
      <c r="EM125" s="244" t="e">
        <f t="shared" ca="1" si="316"/>
        <v>#N/A</v>
      </c>
      <c r="EN125" s="244" t="e">
        <f t="shared" ca="1" si="317"/>
        <v>#N/A</v>
      </c>
      <c r="EO125" s="244" t="e">
        <f t="shared" ca="1" si="318"/>
        <v>#N/A</v>
      </c>
      <c r="EP125" s="244" t="e">
        <f t="shared" ca="1" si="319"/>
        <v>#N/A</v>
      </c>
      <c r="EQ125" s="244" t="e">
        <f t="shared" ca="1" si="320"/>
        <v>#N/A</v>
      </c>
      <c r="ER125" s="244"/>
      <c r="EW125" s="244">
        <v>0</v>
      </c>
      <c r="EX125" s="278" t="e">
        <f ca="1">VLOOKUP(DM125,Foglio1!$AB$31:$AN$261,13)-6+EW125</f>
        <v>#N/A</v>
      </c>
      <c r="EY125" s="244"/>
      <c r="EZ125" s="244">
        <v>0</v>
      </c>
      <c r="FA125" s="244" t="e">
        <f t="shared" ca="1" si="323"/>
        <v>#N/A</v>
      </c>
      <c r="FB125" s="244" t="e">
        <f t="shared" ca="1" si="324"/>
        <v>#N/A</v>
      </c>
      <c r="FC125" s="244" t="e">
        <f t="shared" ca="1" si="325"/>
        <v>#N/A</v>
      </c>
      <c r="FD125" s="244" t="e">
        <f t="shared" ca="1" si="326"/>
        <v>#N/A</v>
      </c>
      <c r="FE125" s="244" t="e">
        <f t="shared" ca="1" si="327"/>
        <v>#N/A</v>
      </c>
      <c r="FF125" s="244" t="e">
        <f t="shared" ca="1" si="328"/>
        <v>#N/A</v>
      </c>
      <c r="FG125" s="244" t="e">
        <f t="shared" ca="1" si="329"/>
        <v>#N/A</v>
      </c>
      <c r="FH125" s="244" t="e">
        <f t="shared" ca="1" si="330"/>
        <v>#N/A</v>
      </c>
      <c r="FI125" s="244" t="e">
        <f t="shared" ca="1" si="331"/>
        <v>#N/A</v>
      </c>
      <c r="FJ125" s="244" t="e">
        <f t="shared" ca="1" si="332"/>
        <v>#N/A</v>
      </c>
      <c r="FK125" s="244" t="e">
        <f t="shared" ca="1" si="333"/>
        <v>#N/A</v>
      </c>
      <c r="FL125" s="244" t="e">
        <f t="shared" ca="1" si="334"/>
        <v>#N/A</v>
      </c>
      <c r="FM125" s="244" t="e">
        <f t="shared" ca="1" si="321"/>
        <v>#N/A</v>
      </c>
      <c r="FN125" s="244"/>
    </row>
    <row r="126" spans="5:170" x14ac:dyDescent="0.25">
      <c r="E126" s="244"/>
      <c r="F126" s="240" t="str">
        <f>IF(fronttd!E128="","",fronttd!E128)</f>
        <v/>
      </c>
      <c r="G126" s="240" t="str">
        <f>IF(fronttd!F128="","",fronttd!F128)</f>
        <v/>
      </c>
      <c r="H126" s="380">
        <f>fronttd!G128</f>
        <v>0</v>
      </c>
      <c r="I126" s="380">
        <f>fronttd!H128</f>
        <v>0</v>
      </c>
      <c r="J126">
        <f t="shared" si="246"/>
        <v>24</v>
      </c>
      <c r="L126">
        <f t="shared" si="247"/>
        <v>126</v>
      </c>
      <c r="O126" s="238">
        <f t="shared" si="248"/>
        <v>126</v>
      </c>
      <c r="R126" s="112" t="str">
        <f t="shared" si="217"/>
        <v/>
      </c>
      <c r="S126" s="238" t="e">
        <f t="shared" ca="1" si="218"/>
        <v>#N/A</v>
      </c>
      <c r="T126" s="112" t="e">
        <f t="shared" ca="1" si="255"/>
        <v>#N/A</v>
      </c>
      <c r="U126" s="112" t="e">
        <f t="shared" ca="1" si="256"/>
        <v>#N/A</v>
      </c>
      <c r="V126" s="112" t="e">
        <f t="shared" ca="1" si="257"/>
        <v>#N/A</v>
      </c>
      <c r="W126" s="112" t="e">
        <f t="shared" ca="1" si="258"/>
        <v>#N/A</v>
      </c>
      <c r="X126" s="112" t="str">
        <f t="shared" si="219"/>
        <v/>
      </c>
      <c r="Y126" s="112"/>
      <c r="Z126" s="112"/>
      <c r="AA126" s="335" t="str">
        <f t="shared" si="220"/>
        <v/>
      </c>
      <c r="AB126" s="335" t="e">
        <f t="shared" ca="1" si="259"/>
        <v>#N/A</v>
      </c>
      <c r="AC126" s="335" t="e">
        <f t="shared" ca="1" si="260"/>
        <v>#N/A</v>
      </c>
      <c r="AD126" s="335" t="e">
        <f t="shared" ca="1" si="261"/>
        <v>#N/A</v>
      </c>
      <c r="AE126" s="335" t="e">
        <f t="shared" ca="1" si="262"/>
        <v>#N/A</v>
      </c>
      <c r="AF126" s="335" t="str">
        <f t="shared" si="221"/>
        <v/>
      </c>
      <c r="AG126" s="238">
        <f>AG125</f>
        <v>41</v>
      </c>
      <c r="AH126" s="112">
        <f ca="1">AI125+1</f>
        <v>38718</v>
      </c>
      <c r="AI126" s="112">
        <f ca="1">IF(INDIRECT(CONCATENATE("AC",AG125))&lt;100000,INDIRECT(CONCATENATE("AC",AG125))-1,IF(INDIRECT(CONCATENATE("AD",AG125))&lt;100000,INDIRECT(CONCATENATE("AD",AG125))-1,IF(INDIRECT(CONCATENATE("AE",AG125))&lt;100000,INDIRECT(CONCATENATE("AE",G125)),INDIRECT(CONCATENATE("AF",AG125)))))</f>
        <v>38717</v>
      </c>
      <c r="AJ126" s="112">
        <f t="shared" ca="1" si="292"/>
        <v>38717</v>
      </c>
      <c r="AK126" s="112">
        <f t="shared" ca="1" si="336"/>
        <v>38717</v>
      </c>
      <c r="AL126" s="238">
        <f t="shared" ca="1" si="294"/>
        <v>0</v>
      </c>
      <c r="AM126" s="112">
        <f t="shared" ca="1" si="285"/>
        <v>100000</v>
      </c>
      <c r="AN126" s="112">
        <f t="shared" ca="1" si="253"/>
        <v>100000</v>
      </c>
      <c r="AO126" s="114">
        <f t="shared" ca="1" si="222"/>
        <v>18</v>
      </c>
      <c r="AP126" s="114">
        <f t="shared" ca="1" si="223"/>
        <v>24</v>
      </c>
      <c r="AQ126" s="112"/>
      <c r="AR126" s="238">
        <f t="shared" si="249"/>
        <v>126</v>
      </c>
      <c r="AS126" s="112"/>
      <c r="AT126" s="112"/>
      <c r="AU126" s="283">
        <f t="shared" si="185"/>
        <v>107</v>
      </c>
      <c r="AV126" s="284">
        <f t="shared" ca="1" si="224"/>
        <v>100000</v>
      </c>
      <c r="AW126" s="284">
        <f t="shared" ca="1" si="286"/>
        <v>100000</v>
      </c>
      <c r="AX126" s="285">
        <f t="shared" ca="1" si="287"/>
        <v>0</v>
      </c>
      <c r="AY126" s="285">
        <f t="shared" ca="1" si="186"/>
        <v>24</v>
      </c>
      <c r="AZ126" s="282"/>
      <c r="BD126" s="114">
        <f t="shared" si="250"/>
        <v>1</v>
      </c>
      <c r="BE126" s="112">
        <f t="shared" si="225"/>
        <v>100000</v>
      </c>
      <c r="BH126" s="238">
        <f t="shared" si="251"/>
        <v>107</v>
      </c>
      <c r="BI126" s="112">
        <f t="shared" ca="1" si="342"/>
        <v>100000</v>
      </c>
      <c r="BJ126" s="281">
        <f t="shared" ca="1" si="265"/>
        <v>16</v>
      </c>
      <c r="BK126" s="245" t="e">
        <f t="shared" ca="1" si="227"/>
        <v>#NUM!</v>
      </c>
      <c r="BL126" s="245" t="e">
        <f t="shared" ca="1" si="228"/>
        <v>#NUM!</v>
      </c>
      <c r="BN126" s="245" t="e">
        <f t="shared" ca="1" si="266"/>
        <v>#NUM!</v>
      </c>
      <c r="CL126" s="112"/>
      <c r="CM126" s="112"/>
      <c r="CP126" s="112"/>
      <c r="CQ126" s="112"/>
      <c r="CR126" s="238"/>
      <c r="CS126" s="238"/>
      <c r="CT126" s="112"/>
      <c r="CU126" s="112"/>
      <c r="CV126" s="112"/>
      <c r="CW126" s="112" t="s">
        <v>224</v>
      </c>
      <c r="CX126" s="112" t="s">
        <v>225</v>
      </c>
      <c r="CY126" s="112" t="s">
        <v>226</v>
      </c>
      <c r="CZ126" s="112" t="s">
        <v>227</v>
      </c>
      <c r="DA126" s="112" t="s">
        <v>228</v>
      </c>
      <c r="DB126" s="112" t="s">
        <v>229</v>
      </c>
      <c r="DC126" s="112"/>
      <c r="DD126" s="238">
        <f t="shared" ca="1" si="283"/>
        <v>0</v>
      </c>
      <c r="DE126" s="238">
        <f t="shared" ca="1" si="275"/>
        <v>0</v>
      </c>
      <c r="DF126" s="112"/>
      <c r="DG126" s="238"/>
      <c r="DH126" s="238"/>
      <c r="DI126" s="112"/>
      <c r="DJ126" s="238"/>
      <c r="DK126" s="112" t="str">
        <f t="shared" ca="1" si="229"/>
        <v/>
      </c>
      <c r="DL126" s="278" t="str">
        <f t="shared" ca="1" si="296"/>
        <v/>
      </c>
      <c r="DM126" s="245" t="str">
        <f t="shared" ref="DM126:DP126" ca="1" si="345">DM677</f>
        <v/>
      </c>
      <c r="DN126" s="245" t="str">
        <f t="shared" ca="1" si="345"/>
        <v/>
      </c>
      <c r="DO126" s="245" t="str">
        <f t="shared" ca="1" si="345"/>
        <v/>
      </c>
      <c r="DP126" s="245" t="str">
        <f t="shared" ca="1" si="345"/>
        <v/>
      </c>
      <c r="DQ126" s="281" t="str">
        <f t="shared" ca="1" si="298"/>
        <v/>
      </c>
      <c r="DR126" s="278" t="str">
        <f t="shared" ca="1" si="299"/>
        <v/>
      </c>
      <c r="DS126" s="244" t="str">
        <f t="shared" ca="1" si="231"/>
        <v/>
      </c>
      <c r="DT126" s="244" t="str">
        <f t="shared" ca="1" si="232"/>
        <v/>
      </c>
      <c r="DU126" s="244" t="str">
        <f t="shared" ca="1" si="300"/>
        <v/>
      </c>
      <c r="DV126" s="244" t="str">
        <f t="shared" ca="1" si="301"/>
        <v/>
      </c>
      <c r="DW126" s="244"/>
      <c r="DX126" s="244" t="str">
        <f t="shared" ca="1" si="273"/>
        <v/>
      </c>
      <c r="EA126" s="244" t="b">
        <f t="shared" ca="1" si="233"/>
        <v>0</v>
      </c>
      <c r="EB126" s="278" t="e">
        <f ca="1">VLOOKUP(DM126,Foglio1!$AB$31:$AN$261,13)-6+EA126</f>
        <v>#N/A</v>
      </c>
      <c r="EC126" s="244"/>
      <c r="ED126" s="244" t="e">
        <f t="shared" ca="1" si="307"/>
        <v>#N/A</v>
      </c>
      <c r="EE126" s="244" t="e">
        <f t="shared" ca="1" si="308"/>
        <v>#N/A</v>
      </c>
      <c r="EF126" s="244" t="e">
        <f t="shared" ca="1" si="309"/>
        <v>#N/A</v>
      </c>
      <c r="EG126" s="244" t="e">
        <f t="shared" ca="1" si="310"/>
        <v>#N/A</v>
      </c>
      <c r="EH126" s="244" t="e">
        <f t="shared" ca="1" si="311"/>
        <v>#N/A</v>
      </c>
      <c r="EI126" s="244" t="e">
        <f t="shared" ca="1" si="312"/>
        <v>#N/A</v>
      </c>
      <c r="EJ126" s="244" t="e">
        <f t="shared" ca="1" si="313"/>
        <v>#N/A</v>
      </c>
      <c r="EK126" s="244" t="e">
        <f t="shared" ca="1" si="314"/>
        <v>#N/A</v>
      </c>
      <c r="EL126" s="244" t="e">
        <f t="shared" ca="1" si="315"/>
        <v>#N/A</v>
      </c>
      <c r="EM126" s="244" t="e">
        <f t="shared" ca="1" si="316"/>
        <v>#N/A</v>
      </c>
      <c r="EN126" s="244" t="e">
        <f t="shared" ca="1" si="317"/>
        <v>#N/A</v>
      </c>
      <c r="EO126" s="244" t="e">
        <f t="shared" ca="1" si="318"/>
        <v>#N/A</v>
      </c>
      <c r="EP126" s="244" t="e">
        <f t="shared" ca="1" si="319"/>
        <v>#N/A</v>
      </c>
      <c r="EQ126" s="244" t="e">
        <f t="shared" ca="1" si="320"/>
        <v>#N/A</v>
      </c>
      <c r="ER126" s="244"/>
      <c r="EW126" s="244">
        <v>0</v>
      </c>
      <c r="EX126" s="278" t="e">
        <f ca="1">VLOOKUP(DM126,Foglio1!$AB$31:$AN$261,13)-6+EW126</f>
        <v>#N/A</v>
      </c>
      <c r="EY126" s="244"/>
      <c r="EZ126" s="244">
        <v>0</v>
      </c>
      <c r="FA126" s="244" t="e">
        <f t="shared" ca="1" si="323"/>
        <v>#N/A</v>
      </c>
      <c r="FB126" s="244" t="e">
        <f t="shared" ca="1" si="324"/>
        <v>#N/A</v>
      </c>
      <c r="FC126" s="244" t="e">
        <f t="shared" ca="1" si="325"/>
        <v>#N/A</v>
      </c>
      <c r="FD126" s="244" t="e">
        <f t="shared" ca="1" si="326"/>
        <v>#N/A</v>
      </c>
      <c r="FE126" s="244" t="e">
        <f t="shared" ca="1" si="327"/>
        <v>#N/A</v>
      </c>
      <c r="FF126" s="244" t="e">
        <f t="shared" ca="1" si="328"/>
        <v>#N/A</v>
      </c>
      <c r="FG126" s="244" t="e">
        <f t="shared" ca="1" si="329"/>
        <v>#N/A</v>
      </c>
      <c r="FH126" s="244" t="e">
        <f t="shared" ca="1" si="330"/>
        <v>#N/A</v>
      </c>
      <c r="FI126" s="244" t="e">
        <f t="shared" ca="1" si="331"/>
        <v>#N/A</v>
      </c>
      <c r="FJ126" s="244" t="e">
        <f t="shared" ca="1" si="332"/>
        <v>#N/A</v>
      </c>
      <c r="FK126" s="244" t="e">
        <f t="shared" ca="1" si="333"/>
        <v>#N/A</v>
      </c>
      <c r="FL126" s="244" t="e">
        <f t="shared" ca="1" si="334"/>
        <v>#N/A</v>
      </c>
      <c r="FM126" s="244" t="e">
        <f t="shared" ca="1" si="321"/>
        <v>#N/A</v>
      </c>
      <c r="FN126" s="244"/>
    </row>
    <row r="127" spans="5:170" x14ac:dyDescent="0.25">
      <c r="E127" s="244"/>
      <c r="F127" s="240" t="str">
        <f>IF(fronttd!E129="","",fronttd!E129)</f>
        <v/>
      </c>
      <c r="G127" s="240" t="str">
        <f>IF(fronttd!F129="","",fronttd!F129)</f>
        <v/>
      </c>
      <c r="H127" s="380">
        <f>fronttd!G129</f>
        <v>0</v>
      </c>
      <c r="I127" s="380">
        <f>fronttd!H129</f>
        <v>0</v>
      </c>
      <c r="J127">
        <f t="shared" si="246"/>
        <v>24</v>
      </c>
      <c r="L127">
        <f t="shared" si="247"/>
        <v>127</v>
      </c>
      <c r="O127" s="238">
        <f t="shared" si="248"/>
        <v>127</v>
      </c>
      <c r="R127" s="112" t="str">
        <f t="shared" si="217"/>
        <v/>
      </c>
      <c r="S127" s="238" t="e">
        <f t="shared" ca="1" si="218"/>
        <v>#N/A</v>
      </c>
      <c r="T127" s="112" t="e">
        <f t="shared" ca="1" si="255"/>
        <v>#N/A</v>
      </c>
      <c r="U127" s="112" t="e">
        <f t="shared" ca="1" si="256"/>
        <v>#N/A</v>
      </c>
      <c r="V127" s="112" t="e">
        <f t="shared" ca="1" si="257"/>
        <v>#N/A</v>
      </c>
      <c r="W127" s="112" t="e">
        <f t="shared" ca="1" si="258"/>
        <v>#N/A</v>
      </c>
      <c r="X127" s="112" t="str">
        <f t="shared" si="219"/>
        <v/>
      </c>
      <c r="Y127" s="112"/>
      <c r="Z127" s="112"/>
      <c r="AA127" s="335" t="str">
        <f t="shared" si="220"/>
        <v/>
      </c>
      <c r="AB127" s="335" t="e">
        <f t="shared" ca="1" si="259"/>
        <v>#N/A</v>
      </c>
      <c r="AC127" s="335" t="e">
        <f t="shared" ca="1" si="260"/>
        <v>#N/A</v>
      </c>
      <c r="AD127" s="335" t="e">
        <f t="shared" ca="1" si="261"/>
        <v>#N/A</v>
      </c>
      <c r="AE127" s="335" t="e">
        <f t="shared" ca="1" si="262"/>
        <v>#N/A</v>
      </c>
      <c r="AF127" s="335" t="str">
        <f t="shared" si="221"/>
        <v/>
      </c>
      <c r="AG127" s="238">
        <f>AG126</f>
        <v>41</v>
      </c>
      <c r="AH127" s="112">
        <f ca="1">AI126+1</f>
        <v>38718</v>
      </c>
      <c r="AI127" s="112">
        <f ca="1">IF(INDIRECT(CONCATENATE("AD",AG125))&lt;100000,INDIRECT(CONCATENATE("AD",AG125))-1,IF(INDIRECT(CONCATENATE("AE",AG125))&lt;100000,INDIRECT(CONCATENATE("AE",G125)),INDIRECT(CONCATENATE("AF",AG125))))</f>
        <v>38919</v>
      </c>
      <c r="AJ127" s="112">
        <f t="shared" ca="1" si="292"/>
        <v>38919</v>
      </c>
      <c r="AK127" s="112">
        <f t="shared" ca="1" si="336"/>
        <v>38919</v>
      </c>
      <c r="AL127" s="238">
        <f t="shared" ca="1" si="294"/>
        <v>1</v>
      </c>
      <c r="AM127" s="112">
        <f t="shared" ca="1" si="285"/>
        <v>38718</v>
      </c>
      <c r="AN127" s="112">
        <f t="shared" ca="1" si="253"/>
        <v>38919</v>
      </c>
      <c r="AO127" s="114">
        <f t="shared" ca="1" si="222"/>
        <v>18</v>
      </c>
      <c r="AP127" s="114">
        <f t="shared" ca="1" si="223"/>
        <v>24</v>
      </c>
      <c r="AQ127" s="112"/>
      <c r="AR127" s="238">
        <f t="shared" si="249"/>
        <v>127</v>
      </c>
      <c r="AS127" s="112"/>
      <c r="AT127" s="112"/>
      <c r="AU127" s="283">
        <f t="shared" si="185"/>
        <v>108</v>
      </c>
      <c r="AV127" s="284">
        <f t="shared" ca="1" si="224"/>
        <v>100000</v>
      </c>
      <c r="AW127" s="284">
        <f t="shared" ca="1" si="286"/>
        <v>100000</v>
      </c>
      <c r="AX127" s="285">
        <f t="shared" ca="1" si="287"/>
        <v>0</v>
      </c>
      <c r="AY127" s="285">
        <f t="shared" ca="1" si="186"/>
        <v>24</v>
      </c>
      <c r="AZ127" s="282"/>
      <c r="BD127" s="114">
        <f t="shared" si="250"/>
        <v>1</v>
      </c>
      <c r="BE127" s="112">
        <f t="shared" si="225"/>
        <v>100000</v>
      </c>
      <c r="BH127" s="238">
        <f t="shared" si="251"/>
        <v>108</v>
      </c>
      <c r="BI127" s="112">
        <f t="shared" ca="1" si="342"/>
        <v>36892</v>
      </c>
      <c r="BJ127" s="281">
        <f t="shared" ca="1" si="265"/>
        <v>16</v>
      </c>
      <c r="BK127" s="245" t="e">
        <f t="shared" ca="1" si="227"/>
        <v>#NUM!</v>
      </c>
      <c r="BL127" s="245" t="e">
        <f t="shared" ca="1" si="228"/>
        <v>#NUM!</v>
      </c>
      <c r="BN127" s="245" t="e">
        <f t="shared" ca="1" si="266"/>
        <v>#NUM!</v>
      </c>
      <c r="CL127" s="112"/>
      <c r="CM127" s="112"/>
      <c r="CP127" s="112"/>
      <c r="CQ127" s="112"/>
      <c r="CR127" s="238"/>
      <c r="CS127" s="238"/>
      <c r="CT127" s="112"/>
      <c r="CU127" s="112"/>
      <c r="CV127" s="112"/>
      <c r="CW127" s="112" t="s">
        <v>224</v>
      </c>
      <c r="CX127" s="112" t="s">
        <v>225</v>
      </c>
      <c r="CY127" s="112" t="s">
        <v>226</v>
      </c>
      <c r="CZ127" s="112" t="s">
        <v>227</v>
      </c>
      <c r="DA127" s="112" t="s">
        <v>228</v>
      </c>
      <c r="DB127" s="112" t="s">
        <v>229</v>
      </c>
      <c r="DC127" s="112"/>
      <c r="DD127" s="238">
        <f t="shared" ca="1" si="283"/>
        <v>0</v>
      </c>
      <c r="DE127" s="238">
        <f t="shared" ca="1" si="275"/>
        <v>0</v>
      </c>
      <c r="DF127" s="112"/>
      <c r="DG127" s="238"/>
      <c r="DH127" s="238"/>
      <c r="DI127" s="112"/>
      <c r="DJ127" s="238"/>
      <c r="DK127" s="112" t="str">
        <f t="shared" ca="1" si="229"/>
        <v/>
      </c>
      <c r="DL127" s="278" t="str">
        <f t="shared" ca="1" si="296"/>
        <v/>
      </c>
      <c r="DM127" s="245" t="str">
        <f t="shared" ref="DM127:DP127" ca="1" si="346">DM678</f>
        <v/>
      </c>
      <c r="DN127" s="245" t="str">
        <f t="shared" ca="1" si="346"/>
        <v/>
      </c>
      <c r="DO127" s="245" t="str">
        <f t="shared" ca="1" si="346"/>
        <v/>
      </c>
      <c r="DP127" s="245" t="str">
        <f t="shared" ca="1" si="346"/>
        <v/>
      </c>
      <c r="DQ127" s="281" t="str">
        <f t="shared" ca="1" si="298"/>
        <v/>
      </c>
      <c r="DR127" s="278" t="str">
        <f t="shared" ca="1" si="299"/>
        <v/>
      </c>
      <c r="DS127" s="244" t="str">
        <f t="shared" ca="1" si="231"/>
        <v/>
      </c>
      <c r="DT127" s="244" t="str">
        <f t="shared" ca="1" si="232"/>
        <v/>
      </c>
      <c r="DU127" s="244" t="str">
        <f t="shared" ca="1" si="300"/>
        <v/>
      </c>
      <c r="DV127" s="244" t="str">
        <f t="shared" ca="1" si="301"/>
        <v/>
      </c>
      <c r="DW127" s="244"/>
      <c r="DX127" s="244" t="str">
        <f t="shared" ca="1" si="273"/>
        <v/>
      </c>
      <c r="EA127" s="244" t="b">
        <f t="shared" ca="1" si="233"/>
        <v>0</v>
      </c>
      <c r="EB127" s="278" t="e">
        <f ca="1">VLOOKUP(DM127,Foglio1!$AB$31:$AN$261,13)-6+EA127</f>
        <v>#N/A</v>
      </c>
      <c r="EC127" s="244"/>
      <c r="ED127" s="244" t="e">
        <f t="shared" ca="1" si="307"/>
        <v>#N/A</v>
      </c>
      <c r="EE127" s="244" t="e">
        <f t="shared" ca="1" si="308"/>
        <v>#N/A</v>
      </c>
      <c r="EF127" s="244" t="e">
        <f t="shared" ca="1" si="309"/>
        <v>#N/A</v>
      </c>
      <c r="EG127" s="244" t="e">
        <f t="shared" ca="1" si="310"/>
        <v>#N/A</v>
      </c>
      <c r="EH127" s="244" t="e">
        <f t="shared" ca="1" si="311"/>
        <v>#N/A</v>
      </c>
      <c r="EI127" s="244" t="e">
        <f t="shared" ca="1" si="312"/>
        <v>#N/A</v>
      </c>
      <c r="EJ127" s="244" t="e">
        <f t="shared" ca="1" si="313"/>
        <v>#N/A</v>
      </c>
      <c r="EK127" s="244" t="e">
        <f t="shared" ca="1" si="314"/>
        <v>#N/A</v>
      </c>
      <c r="EL127" s="244" t="e">
        <f t="shared" ca="1" si="315"/>
        <v>#N/A</v>
      </c>
      <c r="EM127" s="244" t="e">
        <f t="shared" ca="1" si="316"/>
        <v>#N/A</v>
      </c>
      <c r="EN127" s="244" t="e">
        <f t="shared" ca="1" si="317"/>
        <v>#N/A</v>
      </c>
      <c r="EO127" s="244" t="e">
        <f t="shared" ca="1" si="318"/>
        <v>#N/A</v>
      </c>
      <c r="EP127" s="244" t="e">
        <f t="shared" ca="1" si="319"/>
        <v>#N/A</v>
      </c>
      <c r="EQ127" s="244" t="e">
        <f t="shared" ca="1" si="320"/>
        <v>#N/A</v>
      </c>
      <c r="ER127" s="244"/>
      <c r="EW127" s="244">
        <v>0</v>
      </c>
      <c r="EX127" s="278" t="e">
        <f ca="1">VLOOKUP(DM127,Foglio1!$AB$31:$AN$261,13)-6+EW127</f>
        <v>#N/A</v>
      </c>
      <c r="EY127" s="244"/>
      <c r="EZ127" s="244">
        <v>0</v>
      </c>
      <c r="FA127" s="244" t="e">
        <f t="shared" ca="1" si="323"/>
        <v>#N/A</v>
      </c>
      <c r="FB127" s="244" t="e">
        <f t="shared" ca="1" si="324"/>
        <v>#N/A</v>
      </c>
      <c r="FC127" s="244" t="e">
        <f t="shared" ca="1" si="325"/>
        <v>#N/A</v>
      </c>
      <c r="FD127" s="244" t="e">
        <f t="shared" ca="1" si="326"/>
        <v>#N/A</v>
      </c>
      <c r="FE127" s="244" t="e">
        <f t="shared" ca="1" si="327"/>
        <v>#N/A</v>
      </c>
      <c r="FF127" s="244" t="e">
        <f t="shared" ca="1" si="328"/>
        <v>#N/A</v>
      </c>
      <c r="FG127" s="244" t="e">
        <f t="shared" ca="1" si="329"/>
        <v>#N/A</v>
      </c>
      <c r="FH127" s="244" t="e">
        <f t="shared" ca="1" si="330"/>
        <v>#N/A</v>
      </c>
      <c r="FI127" s="244" t="e">
        <f t="shared" ca="1" si="331"/>
        <v>#N/A</v>
      </c>
      <c r="FJ127" s="244" t="e">
        <f t="shared" ca="1" si="332"/>
        <v>#N/A</v>
      </c>
      <c r="FK127" s="244" t="e">
        <f t="shared" ca="1" si="333"/>
        <v>#N/A</v>
      </c>
      <c r="FL127" s="244" t="e">
        <f t="shared" ca="1" si="334"/>
        <v>#N/A</v>
      </c>
      <c r="FM127" s="244" t="e">
        <f t="shared" ca="1" si="321"/>
        <v>#N/A</v>
      </c>
      <c r="FN127" s="244"/>
    </row>
    <row r="128" spans="5:170" x14ac:dyDescent="0.25">
      <c r="E128" s="244"/>
      <c r="F128" s="240" t="str">
        <f>IF(fronttd!E130="","",fronttd!E130)</f>
        <v/>
      </c>
      <c r="G128" s="240" t="str">
        <f>IF(fronttd!F130="","",fronttd!F130)</f>
        <v/>
      </c>
      <c r="H128" s="380">
        <f>fronttd!G130</f>
        <v>0</v>
      </c>
      <c r="I128" s="380">
        <f>fronttd!H130</f>
        <v>0</v>
      </c>
      <c r="J128">
        <f t="shared" si="246"/>
        <v>24</v>
      </c>
      <c r="L128">
        <f t="shared" si="247"/>
        <v>128</v>
      </c>
      <c r="O128" s="238">
        <f t="shared" si="248"/>
        <v>128</v>
      </c>
      <c r="R128" s="112" t="str">
        <f t="shared" si="217"/>
        <v/>
      </c>
      <c r="S128" s="238" t="e">
        <f t="shared" ca="1" si="218"/>
        <v>#N/A</v>
      </c>
      <c r="T128" s="112" t="e">
        <f t="shared" ca="1" si="255"/>
        <v>#N/A</v>
      </c>
      <c r="U128" s="112" t="e">
        <f t="shared" ca="1" si="256"/>
        <v>#N/A</v>
      </c>
      <c r="V128" s="112" t="e">
        <f t="shared" ca="1" si="257"/>
        <v>#N/A</v>
      </c>
      <c r="W128" s="112" t="e">
        <f t="shared" ca="1" si="258"/>
        <v>#N/A</v>
      </c>
      <c r="X128" s="112" t="str">
        <f t="shared" si="219"/>
        <v/>
      </c>
      <c r="Y128" s="112"/>
      <c r="Z128" s="112"/>
      <c r="AA128" s="335" t="str">
        <f t="shared" si="220"/>
        <v/>
      </c>
      <c r="AB128" s="335" t="e">
        <f t="shared" ca="1" si="259"/>
        <v>#N/A</v>
      </c>
      <c r="AC128" s="335" t="e">
        <f t="shared" ca="1" si="260"/>
        <v>#N/A</v>
      </c>
      <c r="AD128" s="335" t="e">
        <f t="shared" ca="1" si="261"/>
        <v>#N/A</v>
      </c>
      <c r="AE128" s="335" t="e">
        <f t="shared" ca="1" si="262"/>
        <v>#N/A</v>
      </c>
      <c r="AF128" s="335" t="str">
        <f t="shared" si="221"/>
        <v/>
      </c>
      <c r="AG128" s="238">
        <f>AG127</f>
        <v>41</v>
      </c>
      <c r="AH128" s="112">
        <f ca="1">AI127+1</f>
        <v>38920</v>
      </c>
      <c r="AI128" s="112">
        <f ca="1">IF(INDIRECT(CONCATENATE("AE",AG125))&lt;100000,INDIRECT(CONCATENATE("AE",G125)),INDIRECT(CONCATENATE("AF",AG125)))</f>
        <v>38919</v>
      </c>
      <c r="AJ128" s="112">
        <f t="shared" ca="1" si="292"/>
        <v>38919</v>
      </c>
      <c r="AK128" s="112">
        <f t="shared" ca="1" si="336"/>
        <v>38919</v>
      </c>
      <c r="AL128" s="238">
        <f t="shared" ca="1" si="294"/>
        <v>0</v>
      </c>
      <c r="AM128" s="112">
        <f t="shared" ca="1" si="285"/>
        <v>100000</v>
      </c>
      <c r="AN128" s="112">
        <f t="shared" ca="1" si="253"/>
        <v>100000</v>
      </c>
      <c r="AO128" s="114">
        <f t="shared" ca="1" si="222"/>
        <v>18</v>
      </c>
      <c r="AP128" s="114">
        <f t="shared" ca="1" si="223"/>
        <v>24</v>
      </c>
      <c r="AQ128" s="112"/>
      <c r="AR128" s="238">
        <f t="shared" si="249"/>
        <v>128</v>
      </c>
      <c r="AS128" s="112"/>
      <c r="AT128" s="112"/>
      <c r="AU128" s="283">
        <f t="shared" si="185"/>
        <v>109</v>
      </c>
      <c r="AV128" s="284">
        <f t="shared" ca="1" si="224"/>
        <v>100000</v>
      </c>
      <c r="AW128" s="284">
        <f t="shared" ca="1" si="286"/>
        <v>100000</v>
      </c>
      <c r="AX128" s="285">
        <f t="shared" ca="1" si="287"/>
        <v>0</v>
      </c>
      <c r="AY128" s="285">
        <f t="shared" ca="1" si="186"/>
        <v>24</v>
      </c>
      <c r="AZ128" s="282"/>
      <c r="BD128" s="114">
        <f t="shared" si="250"/>
        <v>1</v>
      </c>
      <c r="BE128" s="112">
        <f t="shared" si="225"/>
        <v>100000</v>
      </c>
      <c r="BH128" s="238">
        <f t="shared" si="251"/>
        <v>109</v>
      </c>
      <c r="BI128" s="112">
        <f t="shared" ca="1" si="342"/>
        <v>37257</v>
      </c>
      <c r="BJ128" s="281">
        <f t="shared" ca="1" si="265"/>
        <v>16</v>
      </c>
      <c r="BK128" s="245" t="e">
        <f t="shared" ca="1" si="227"/>
        <v>#NUM!</v>
      </c>
      <c r="BL128" s="245" t="e">
        <f t="shared" ca="1" si="228"/>
        <v>#NUM!</v>
      </c>
      <c r="BN128" s="245" t="e">
        <f t="shared" ca="1" si="266"/>
        <v>#NUM!</v>
      </c>
      <c r="CL128" s="112"/>
      <c r="CM128" s="112"/>
      <c r="CP128" s="112"/>
      <c r="CQ128" s="112"/>
      <c r="CR128" s="112"/>
      <c r="CS128" s="112"/>
      <c r="CT128" s="112"/>
      <c r="CU128" s="112"/>
      <c r="CV128" s="112"/>
      <c r="CW128" s="112" t="s">
        <v>224</v>
      </c>
      <c r="CX128" s="112" t="s">
        <v>225</v>
      </c>
      <c r="CY128" s="112" t="s">
        <v>226</v>
      </c>
      <c r="CZ128" s="112" t="s">
        <v>227</v>
      </c>
      <c r="DA128" s="112" t="s">
        <v>228</v>
      </c>
      <c r="DB128" s="112" t="s">
        <v>229</v>
      </c>
      <c r="DC128" s="112"/>
      <c r="DD128" s="238">
        <f t="shared" ca="1" si="283"/>
        <v>0</v>
      </c>
      <c r="DE128" s="238">
        <f t="shared" ca="1" si="275"/>
        <v>0</v>
      </c>
      <c r="DF128" s="112"/>
      <c r="DG128" s="238"/>
      <c r="DH128" s="238"/>
      <c r="DI128" s="112"/>
      <c r="DJ128" s="238"/>
      <c r="DK128" s="112" t="str">
        <f t="shared" ca="1" si="229"/>
        <v/>
      </c>
      <c r="DL128" s="278" t="str">
        <f t="shared" ca="1" si="296"/>
        <v/>
      </c>
      <c r="DM128" s="245" t="str">
        <f t="shared" ref="DM128:DP128" ca="1" si="347">DM679</f>
        <v/>
      </c>
      <c r="DN128" s="245" t="str">
        <f t="shared" ca="1" si="347"/>
        <v/>
      </c>
      <c r="DO128" s="245" t="str">
        <f t="shared" ca="1" si="347"/>
        <v/>
      </c>
      <c r="DP128" s="245" t="str">
        <f t="shared" ca="1" si="347"/>
        <v/>
      </c>
      <c r="DQ128" s="281" t="str">
        <f t="shared" ca="1" si="298"/>
        <v/>
      </c>
      <c r="DR128" s="278" t="str">
        <f t="shared" ca="1" si="299"/>
        <v/>
      </c>
      <c r="DS128" s="244" t="str">
        <f t="shared" ca="1" si="231"/>
        <v/>
      </c>
      <c r="DT128" s="244" t="str">
        <f t="shared" ca="1" si="232"/>
        <v/>
      </c>
      <c r="DU128" s="244" t="str">
        <f t="shared" ca="1" si="300"/>
        <v/>
      </c>
      <c r="DV128" s="244" t="str">
        <f t="shared" ca="1" si="301"/>
        <v/>
      </c>
      <c r="DW128" s="244"/>
      <c r="DX128" s="244" t="str">
        <f t="shared" ca="1" si="273"/>
        <v/>
      </c>
      <c r="EA128" s="244" t="b">
        <f t="shared" ca="1" si="233"/>
        <v>0</v>
      </c>
      <c r="EB128" s="278" t="e">
        <f ca="1">VLOOKUP(DM128,Foglio1!$AB$31:$AN$261,13)-6+EA128</f>
        <v>#N/A</v>
      </c>
      <c r="EC128" s="244"/>
      <c r="ED128" s="244" t="e">
        <f t="shared" ca="1" si="307"/>
        <v>#N/A</v>
      </c>
      <c r="EE128" s="244" t="e">
        <f t="shared" ca="1" si="308"/>
        <v>#N/A</v>
      </c>
      <c r="EF128" s="244" t="e">
        <f t="shared" ca="1" si="309"/>
        <v>#N/A</v>
      </c>
      <c r="EG128" s="244" t="e">
        <f t="shared" ca="1" si="310"/>
        <v>#N/A</v>
      </c>
      <c r="EH128" s="244" t="e">
        <f t="shared" ca="1" si="311"/>
        <v>#N/A</v>
      </c>
      <c r="EI128" s="244" t="e">
        <f t="shared" ca="1" si="312"/>
        <v>#N/A</v>
      </c>
      <c r="EJ128" s="244" t="e">
        <f t="shared" ca="1" si="313"/>
        <v>#N/A</v>
      </c>
      <c r="EK128" s="244" t="e">
        <f t="shared" ca="1" si="314"/>
        <v>#N/A</v>
      </c>
      <c r="EL128" s="244" t="e">
        <f t="shared" ca="1" si="315"/>
        <v>#N/A</v>
      </c>
      <c r="EM128" s="244" t="e">
        <f t="shared" ca="1" si="316"/>
        <v>#N/A</v>
      </c>
      <c r="EN128" s="244" t="e">
        <f t="shared" ca="1" si="317"/>
        <v>#N/A</v>
      </c>
      <c r="EO128" s="244" t="e">
        <f t="shared" ca="1" si="318"/>
        <v>#N/A</v>
      </c>
      <c r="EP128" s="244" t="e">
        <f t="shared" ca="1" si="319"/>
        <v>#N/A</v>
      </c>
      <c r="EQ128" s="244" t="e">
        <f t="shared" ca="1" si="320"/>
        <v>#N/A</v>
      </c>
      <c r="ER128" s="244"/>
      <c r="EW128" s="244">
        <v>0</v>
      </c>
      <c r="EX128" s="278" t="e">
        <f ca="1">VLOOKUP(DM128,Foglio1!$AB$31:$AN$261,13)-6+EW128</f>
        <v>#N/A</v>
      </c>
      <c r="EY128" s="244"/>
      <c r="EZ128" s="244">
        <v>0</v>
      </c>
      <c r="FA128" s="244" t="e">
        <f t="shared" ca="1" si="323"/>
        <v>#N/A</v>
      </c>
      <c r="FB128" s="244" t="e">
        <f t="shared" ca="1" si="324"/>
        <v>#N/A</v>
      </c>
      <c r="FC128" s="244" t="e">
        <f t="shared" ca="1" si="325"/>
        <v>#N/A</v>
      </c>
      <c r="FD128" s="244" t="e">
        <f t="shared" ca="1" si="326"/>
        <v>#N/A</v>
      </c>
      <c r="FE128" s="244" t="e">
        <f t="shared" ca="1" si="327"/>
        <v>#N/A</v>
      </c>
      <c r="FF128" s="244" t="e">
        <f t="shared" ca="1" si="328"/>
        <v>#N/A</v>
      </c>
      <c r="FG128" s="244" t="e">
        <f t="shared" ca="1" si="329"/>
        <v>#N/A</v>
      </c>
      <c r="FH128" s="244" t="e">
        <f t="shared" ca="1" si="330"/>
        <v>#N/A</v>
      </c>
      <c r="FI128" s="244" t="e">
        <f t="shared" ca="1" si="331"/>
        <v>#N/A</v>
      </c>
      <c r="FJ128" s="244" t="e">
        <f t="shared" ca="1" si="332"/>
        <v>#N/A</v>
      </c>
      <c r="FK128" s="244" t="e">
        <f t="shared" ca="1" si="333"/>
        <v>#N/A</v>
      </c>
      <c r="FL128" s="244" t="e">
        <f t="shared" ca="1" si="334"/>
        <v>#N/A</v>
      </c>
      <c r="FM128" s="244" t="e">
        <f t="shared" ca="1" si="321"/>
        <v>#N/A</v>
      </c>
      <c r="FN128" s="244"/>
    </row>
    <row r="129" spans="5:170" x14ac:dyDescent="0.25">
      <c r="E129" s="244"/>
      <c r="F129" s="240" t="str">
        <f>IF(fronttd!E131="","",fronttd!E131)</f>
        <v/>
      </c>
      <c r="G129" s="240" t="str">
        <f>IF(fronttd!F131="","",fronttd!F131)</f>
        <v/>
      </c>
      <c r="H129" s="380">
        <f>fronttd!G131</f>
        <v>0</v>
      </c>
      <c r="I129" s="380">
        <f>fronttd!H131</f>
        <v>0</v>
      </c>
      <c r="J129">
        <f t="shared" si="246"/>
        <v>24</v>
      </c>
      <c r="L129">
        <f t="shared" si="247"/>
        <v>129</v>
      </c>
      <c r="O129" s="238">
        <f t="shared" si="248"/>
        <v>129</v>
      </c>
      <c r="R129" s="112" t="str">
        <f t="shared" si="217"/>
        <v/>
      </c>
      <c r="S129" s="238" t="e">
        <f t="shared" ca="1" si="218"/>
        <v>#N/A</v>
      </c>
      <c r="T129" s="112" t="e">
        <f t="shared" ca="1" si="255"/>
        <v>#N/A</v>
      </c>
      <c r="U129" s="112" t="e">
        <f t="shared" ca="1" si="256"/>
        <v>#N/A</v>
      </c>
      <c r="V129" s="112" t="e">
        <f t="shared" ca="1" si="257"/>
        <v>#N/A</v>
      </c>
      <c r="W129" s="112" t="e">
        <f t="shared" ca="1" si="258"/>
        <v>#N/A</v>
      </c>
      <c r="X129" s="112" t="str">
        <f t="shared" si="219"/>
        <v/>
      </c>
      <c r="Y129" s="112"/>
      <c r="Z129" s="112"/>
      <c r="AA129" s="335" t="str">
        <f t="shared" si="220"/>
        <v/>
      </c>
      <c r="AB129" s="335" t="e">
        <f t="shared" ca="1" si="259"/>
        <v>#N/A</v>
      </c>
      <c r="AC129" s="335" t="e">
        <f t="shared" ca="1" si="260"/>
        <v>#N/A</v>
      </c>
      <c r="AD129" s="335" t="e">
        <f t="shared" ca="1" si="261"/>
        <v>#N/A</v>
      </c>
      <c r="AE129" s="335" t="e">
        <f t="shared" ca="1" si="262"/>
        <v>#N/A</v>
      </c>
      <c r="AF129" s="335" t="str">
        <f t="shared" si="221"/>
        <v/>
      </c>
      <c r="AG129" s="238">
        <f>AG128</f>
        <v>41</v>
      </c>
      <c r="AH129" s="112">
        <f ca="1">AI128+1</f>
        <v>38920</v>
      </c>
      <c r="AI129" s="112">
        <f ca="1">INDIRECT(CONCATENATE("AF",AG125))</f>
        <v>38919</v>
      </c>
      <c r="AJ129" s="112">
        <f t="shared" ca="1" si="292"/>
        <v>38919</v>
      </c>
      <c r="AK129" s="112">
        <f t="shared" ca="1" si="336"/>
        <v>38919</v>
      </c>
      <c r="AL129" s="238">
        <f t="shared" ca="1" si="294"/>
        <v>0</v>
      </c>
      <c r="AM129" s="112">
        <f t="shared" ca="1" si="285"/>
        <v>100000</v>
      </c>
      <c r="AN129" s="112">
        <f t="shared" ca="1" si="253"/>
        <v>100000</v>
      </c>
      <c r="AO129" s="114">
        <f t="shared" ca="1" si="222"/>
        <v>18</v>
      </c>
      <c r="AP129" s="114">
        <f t="shared" ca="1" si="223"/>
        <v>24</v>
      </c>
      <c r="AQ129" s="112"/>
      <c r="AR129" s="238">
        <f t="shared" si="249"/>
        <v>129</v>
      </c>
      <c r="AS129" s="112"/>
      <c r="AT129" s="112"/>
      <c r="AU129" s="283">
        <f t="shared" si="185"/>
        <v>110</v>
      </c>
      <c r="AV129" s="284">
        <f t="shared" ca="1" si="224"/>
        <v>100000</v>
      </c>
      <c r="AW129" s="284">
        <f t="shared" ca="1" si="286"/>
        <v>100000</v>
      </c>
      <c r="AX129" s="285">
        <f t="shared" ca="1" si="287"/>
        <v>0</v>
      </c>
      <c r="AY129" s="285">
        <f t="shared" ca="1" si="186"/>
        <v>24</v>
      </c>
      <c r="AZ129" s="282"/>
      <c r="BD129" s="114">
        <f t="shared" si="250"/>
        <v>1</v>
      </c>
      <c r="BE129" s="112">
        <f t="shared" si="225"/>
        <v>100000</v>
      </c>
      <c r="BH129" s="238">
        <f t="shared" si="251"/>
        <v>110</v>
      </c>
      <c r="BI129" s="112">
        <f t="shared" ca="1" si="342"/>
        <v>37411</v>
      </c>
      <c r="BJ129" s="281">
        <f t="shared" ca="1" si="265"/>
        <v>16</v>
      </c>
      <c r="BK129" s="245" t="e">
        <f t="shared" ca="1" si="227"/>
        <v>#NUM!</v>
      </c>
      <c r="BL129" s="245" t="e">
        <f t="shared" ca="1" si="228"/>
        <v>#NUM!</v>
      </c>
      <c r="BN129" s="245" t="e">
        <f t="shared" ca="1" si="266"/>
        <v>#NUM!</v>
      </c>
      <c r="CL129" s="112"/>
      <c r="CM129" s="112"/>
      <c r="CP129" s="112"/>
      <c r="CQ129" s="112"/>
      <c r="CR129" s="112"/>
      <c r="CS129" s="112"/>
      <c r="CT129" s="112"/>
      <c r="CU129" s="112"/>
      <c r="CV129" s="112"/>
      <c r="CW129" s="112" t="s">
        <v>224</v>
      </c>
      <c r="CX129" s="112" t="s">
        <v>225</v>
      </c>
      <c r="CY129" s="112" t="s">
        <v>226</v>
      </c>
      <c r="CZ129" s="112" t="s">
        <v>227</v>
      </c>
      <c r="DA129" s="112" t="s">
        <v>228</v>
      </c>
      <c r="DB129" s="112" t="s">
        <v>229</v>
      </c>
      <c r="DC129" s="112"/>
      <c r="DD129" s="238">
        <f t="shared" ca="1" si="283"/>
        <v>0</v>
      </c>
      <c r="DE129" s="238">
        <f t="shared" ca="1" si="275"/>
        <v>0</v>
      </c>
      <c r="DF129" s="112"/>
      <c r="DG129" s="238"/>
      <c r="DH129" s="238"/>
      <c r="DI129" s="112"/>
      <c r="DJ129" s="238"/>
      <c r="DK129" s="112" t="str">
        <f t="shared" ca="1" si="229"/>
        <v/>
      </c>
      <c r="DL129" s="278" t="str">
        <f t="shared" ca="1" si="296"/>
        <v/>
      </c>
      <c r="DM129" s="245" t="str">
        <f t="shared" ref="DM129:DP129" ca="1" si="348">DM680</f>
        <v/>
      </c>
      <c r="DN129" s="245" t="str">
        <f t="shared" ca="1" si="348"/>
        <v/>
      </c>
      <c r="DO129" s="245" t="str">
        <f t="shared" ca="1" si="348"/>
        <v/>
      </c>
      <c r="DP129" s="245" t="str">
        <f t="shared" ca="1" si="348"/>
        <v/>
      </c>
      <c r="DQ129" s="281" t="str">
        <f t="shared" ca="1" si="298"/>
        <v/>
      </c>
      <c r="DR129" s="278" t="str">
        <f t="shared" ca="1" si="299"/>
        <v/>
      </c>
      <c r="DS129" s="244" t="str">
        <f ca="1">IF(OR(DK129="",  DK129=0,DK129=100000     ),"",ED129+EE129+EF129+EG129+EH129+EI129+EK129+EL129+EN129+EO129+EP129)</f>
        <v/>
      </c>
      <c r="DT129" s="244" t="str">
        <f ca="1">IF(DS129="","",EZ129+FA129+FB129+FC129+FD129+FE129+FG129+FH129+FJ129+FK129+FL129+FM129)</f>
        <v/>
      </c>
      <c r="DU129" s="244" t="str">
        <f t="shared" ca="1" si="300"/>
        <v/>
      </c>
      <c r="DV129" s="244" t="str">
        <f t="shared" ca="1" si="301"/>
        <v/>
      </c>
      <c r="DW129" s="244"/>
      <c r="DX129" s="244" t="str">
        <f t="shared" ca="1" si="273"/>
        <v/>
      </c>
      <c r="EA129" s="244"/>
      <c r="EB129" s="244"/>
      <c r="EC129" s="244"/>
      <c r="ED129" s="244"/>
      <c r="EE129" s="244"/>
      <c r="EF129" s="244"/>
      <c r="EG129" s="244"/>
      <c r="EH129" s="244"/>
      <c r="EI129" s="244"/>
      <c r="EJ129" s="244"/>
      <c r="EK129" s="244"/>
      <c r="EL129" s="244"/>
      <c r="EM129" s="244"/>
      <c r="EN129" s="244"/>
      <c r="EO129" s="244"/>
      <c r="EP129" s="244"/>
      <c r="EQ129" s="244"/>
      <c r="ER129" s="244"/>
      <c r="EW129" s="244">
        <v>0</v>
      </c>
      <c r="EX129" s="278" t="e">
        <f ca="1">VLOOKUP(DM129,Foglio1!$AB$31:$AN$261,13)-6+EW129</f>
        <v>#N/A</v>
      </c>
      <c r="EY129" s="244"/>
      <c r="EZ129" s="244">
        <v>0</v>
      </c>
      <c r="FA129" s="244" t="e">
        <f t="shared" ca="1" si="323"/>
        <v>#N/A</v>
      </c>
      <c r="FB129" s="244" t="e">
        <f t="shared" ca="1" si="324"/>
        <v>#N/A</v>
      </c>
      <c r="FC129" s="244" t="e">
        <f t="shared" ca="1" si="325"/>
        <v>#N/A</v>
      </c>
      <c r="FD129" s="244" t="e">
        <f t="shared" ca="1" si="326"/>
        <v>#N/A</v>
      </c>
      <c r="FE129" s="244" t="e">
        <f t="shared" ca="1" si="327"/>
        <v>#N/A</v>
      </c>
      <c r="FF129" s="244" t="e">
        <f t="shared" ca="1" si="328"/>
        <v>#N/A</v>
      </c>
      <c r="FG129" s="244" t="e">
        <f t="shared" ca="1" si="329"/>
        <v>#N/A</v>
      </c>
      <c r="FH129" s="244" t="e">
        <f t="shared" ca="1" si="330"/>
        <v>#N/A</v>
      </c>
      <c r="FI129" s="244" t="e">
        <f t="shared" ca="1" si="331"/>
        <v>#N/A</v>
      </c>
      <c r="FJ129" s="244" t="e">
        <f t="shared" ca="1" si="332"/>
        <v>#N/A</v>
      </c>
      <c r="FK129" s="244" t="e">
        <f t="shared" ca="1" si="333"/>
        <v>#N/A</v>
      </c>
      <c r="FL129" s="244" t="e">
        <f t="shared" ca="1" si="334"/>
        <v>#N/A</v>
      </c>
      <c r="FM129" s="244" t="e">
        <f t="shared" ca="1" si="321"/>
        <v>#REF!</v>
      </c>
      <c r="FN129" s="244"/>
    </row>
    <row r="130" spans="5:170" x14ac:dyDescent="0.25">
      <c r="E130" s="244"/>
      <c r="F130" s="240" t="str">
        <f>IF(fronttd!E132="","",fronttd!E132)</f>
        <v/>
      </c>
      <c r="G130" s="240" t="str">
        <f>IF(fronttd!F132="","",fronttd!F132)</f>
        <v/>
      </c>
      <c r="H130" s="380">
        <f>fronttd!G132</f>
        <v>0</v>
      </c>
      <c r="I130" s="380">
        <f>fronttd!H132</f>
        <v>0</v>
      </c>
      <c r="J130">
        <f t="shared" si="246"/>
        <v>24</v>
      </c>
      <c r="L130">
        <f t="shared" si="247"/>
        <v>130</v>
      </c>
      <c r="O130" s="238">
        <f t="shared" si="248"/>
        <v>130</v>
      </c>
      <c r="R130" s="112" t="str">
        <f t="shared" si="217"/>
        <v/>
      </c>
      <c r="S130" s="238" t="e">
        <f t="shared" ca="1" si="218"/>
        <v>#N/A</v>
      </c>
      <c r="T130" s="112" t="e">
        <f t="shared" ca="1" si="255"/>
        <v>#N/A</v>
      </c>
      <c r="U130" s="112" t="e">
        <f t="shared" ca="1" si="256"/>
        <v>#N/A</v>
      </c>
      <c r="V130" s="112" t="e">
        <f t="shared" ca="1" si="257"/>
        <v>#N/A</v>
      </c>
      <c r="W130" s="112" t="e">
        <f t="shared" ca="1" si="258"/>
        <v>#N/A</v>
      </c>
      <c r="X130" s="112" t="str">
        <f t="shared" si="219"/>
        <v/>
      </c>
      <c r="Y130" s="112"/>
      <c r="Z130" s="112"/>
      <c r="AA130" s="335" t="str">
        <f t="shared" si="220"/>
        <v/>
      </c>
      <c r="AB130" s="335" t="e">
        <f t="shared" ca="1" si="259"/>
        <v>#N/A</v>
      </c>
      <c r="AC130" s="335" t="e">
        <f t="shared" ca="1" si="260"/>
        <v>#N/A</v>
      </c>
      <c r="AD130" s="335" t="e">
        <f t="shared" ca="1" si="261"/>
        <v>#N/A</v>
      </c>
      <c r="AE130" s="335" t="e">
        <f t="shared" ca="1" si="262"/>
        <v>#N/A</v>
      </c>
      <c r="AF130" s="335" t="str">
        <f t="shared" si="221"/>
        <v/>
      </c>
      <c r="AG130" s="238">
        <f>AG129+1</f>
        <v>42</v>
      </c>
      <c r="AH130" s="112">
        <f ca="1">INDIRECT(CONCATENATE("AA",AG130))</f>
        <v>38961</v>
      </c>
      <c r="AI130" s="112">
        <f ca="1">IF(            INDIRECT(CONCATENATE( "AB",AG130))&lt;100000,       INDIRECT(CONCATENATE("AB",AG130))  -1,IF(   INDIRECT(CONCATENATE("AC",AG130))&lt;100000,   INDIRECT(CONCATENATE("AC",AG130))-1,IF(   INDIRECT(CONCATENATE("AD", AG130))&lt;100000, INDIRECT(CONCATENATE("AD",AG130))-1,IF(   INDIRECT(CONCATENATE("AE",AG130))&lt;100000,  INDIRECT(CONCATENATE("AE",G130)),INDIRECT(CONCATENATE("AF",AG130))                ))))</f>
        <v>39082</v>
      </c>
      <c r="AJ130" s="112">
        <f t="shared" ca="1" si="292"/>
        <v>39082</v>
      </c>
      <c r="AK130" s="112">
        <f t="shared" ca="1" si="336"/>
        <v>39082</v>
      </c>
      <c r="AL130" s="238">
        <f t="shared" ca="1" si="294"/>
        <v>1</v>
      </c>
      <c r="AM130" s="112">
        <f t="shared" ca="1" si="285"/>
        <v>38961</v>
      </c>
      <c r="AN130" s="112">
        <f t="shared" ca="1" si="253"/>
        <v>39082</v>
      </c>
      <c r="AO130" s="114">
        <f t="shared" ca="1" si="222"/>
        <v>18</v>
      </c>
      <c r="AP130" s="114">
        <f t="shared" ca="1" si="223"/>
        <v>24</v>
      </c>
      <c r="AQ130" s="112"/>
      <c r="AR130" s="238">
        <f t="shared" si="249"/>
        <v>130</v>
      </c>
      <c r="AS130" s="112"/>
      <c r="AT130" s="112"/>
      <c r="AU130" s="283">
        <f t="shared" si="185"/>
        <v>111</v>
      </c>
      <c r="AV130" s="284">
        <f t="shared" ca="1" si="224"/>
        <v>100000</v>
      </c>
      <c r="AW130" s="284">
        <f t="shared" ca="1" si="286"/>
        <v>100000</v>
      </c>
      <c r="AX130" s="285">
        <f t="shared" ca="1" si="287"/>
        <v>0</v>
      </c>
      <c r="AY130" s="285">
        <f t="shared" ca="1" si="186"/>
        <v>24</v>
      </c>
      <c r="AZ130" s="282"/>
      <c r="BD130" s="114">
        <f t="shared" si="250"/>
        <v>1</v>
      </c>
      <c r="BE130" s="112">
        <f t="shared" si="225"/>
        <v>100000</v>
      </c>
      <c r="BH130" s="238">
        <f t="shared" si="251"/>
        <v>111</v>
      </c>
      <c r="BI130" s="112">
        <f t="shared" ca="1" si="342"/>
        <v>100000</v>
      </c>
      <c r="BJ130" s="281">
        <f t="shared" ca="1" si="265"/>
        <v>16</v>
      </c>
      <c r="BK130" s="245" t="e">
        <f t="shared" ca="1" si="227"/>
        <v>#NUM!</v>
      </c>
      <c r="BL130" s="245" t="e">
        <f t="shared" ca="1" si="228"/>
        <v>#NUM!</v>
      </c>
      <c r="BN130" s="245" t="e">
        <f t="shared" ca="1" si="266"/>
        <v>#NUM!</v>
      </c>
      <c r="CL130" s="112"/>
      <c r="CM130" s="112"/>
      <c r="CP130" s="112"/>
      <c r="CQ130" s="112"/>
      <c r="CR130" s="112"/>
      <c r="CS130" s="112"/>
      <c r="CT130" s="112"/>
      <c r="CU130" s="112"/>
      <c r="CV130" s="112"/>
      <c r="CW130" s="112" t="s">
        <v>224</v>
      </c>
      <c r="CX130" s="112" t="s">
        <v>225</v>
      </c>
      <c r="CY130" s="112" t="s">
        <v>226</v>
      </c>
      <c r="CZ130" s="112" t="s">
        <v>227</v>
      </c>
      <c r="DA130" s="112" t="s">
        <v>228</v>
      </c>
      <c r="DB130" s="112" t="s">
        <v>229</v>
      </c>
      <c r="DC130" s="112"/>
      <c r="DD130" s="238">
        <f t="shared" ca="1" si="283"/>
        <v>0</v>
      </c>
      <c r="DE130" s="238">
        <f t="shared" ca="1" si="275"/>
        <v>0</v>
      </c>
      <c r="DF130" s="112"/>
      <c r="DG130" s="238"/>
      <c r="DH130" s="238"/>
      <c r="DI130" s="112"/>
      <c r="DJ130" s="238"/>
      <c r="DK130" s="112" t="str">
        <f t="shared" ca="1" si="229"/>
        <v/>
      </c>
      <c r="DL130" s="278" t="str">
        <f t="shared" ca="1" si="296"/>
        <v/>
      </c>
      <c r="DM130" s="245" t="str">
        <f t="shared" ref="DM130:DP130" ca="1" si="349">DM681</f>
        <v/>
      </c>
      <c r="DN130" s="245" t="str">
        <f t="shared" ca="1" si="349"/>
        <v/>
      </c>
      <c r="DO130" s="245" t="str">
        <f t="shared" ca="1" si="349"/>
        <v/>
      </c>
      <c r="DP130" s="245" t="str">
        <f t="shared" ca="1" si="349"/>
        <v/>
      </c>
      <c r="DQ130" s="281" t="str">
        <f t="shared" ca="1" si="298"/>
        <v/>
      </c>
      <c r="DR130" s="278" t="str">
        <f t="shared" ca="1" si="299"/>
        <v/>
      </c>
      <c r="DS130" s="244" t="str">
        <f t="shared" ref="DS130:DS145" ca="1" si="350">IF(OR(DK130="",  DK130=0,DK130=100000     ),"",ED130+EE130+EF130+EG130+EH130+EI130+EK130+EL130+EN130+EO130+EP130)</f>
        <v/>
      </c>
      <c r="DT130" s="244" t="str">
        <f t="shared" ref="DT130:DT145" ca="1" si="351">IF(DS130="","",EZ130+FA130+FB130+FC130+FD130+FE130+FG130+FH130+FJ130+FK130+FL130+FM130)</f>
        <v/>
      </c>
      <c r="DU130" s="244" t="str">
        <f t="shared" ca="1" si="300"/>
        <v/>
      </c>
      <c r="DV130" s="244" t="str">
        <f t="shared" ca="1" si="301"/>
        <v/>
      </c>
      <c r="DW130" s="244"/>
      <c r="DX130" s="244" t="str">
        <f t="shared" ca="1" si="273"/>
        <v/>
      </c>
      <c r="EA130" s="244"/>
      <c r="EB130" s="244"/>
      <c r="EC130" s="244"/>
      <c r="ED130" s="244"/>
      <c r="EE130" s="244"/>
      <c r="EF130" s="244"/>
      <c r="EG130" s="244"/>
      <c r="EH130" s="244"/>
      <c r="EI130" s="244"/>
      <c r="EJ130" s="244"/>
      <c r="EK130" s="244"/>
      <c r="EL130" s="244"/>
      <c r="EM130" s="244"/>
      <c r="EN130" s="244"/>
      <c r="EO130" s="244"/>
      <c r="EP130" s="244"/>
      <c r="EQ130" s="244"/>
      <c r="ER130" s="244"/>
      <c r="EW130" s="244">
        <v>0</v>
      </c>
      <c r="EX130" s="278" t="e">
        <f ca="1">VLOOKUP(DM130,Foglio1!$AB$31:$AN$261,13)-6+EW130</f>
        <v>#N/A</v>
      </c>
      <c r="EY130" s="244"/>
      <c r="EZ130" s="244">
        <v>0</v>
      </c>
      <c r="FA130" s="244" t="e">
        <f t="shared" ca="1" si="323"/>
        <v>#N/A</v>
      </c>
      <c r="FB130" s="244" t="e">
        <f t="shared" ca="1" si="324"/>
        <v>#N/A</v>
      </c>
      <c r="FC130" s="244" t="e">
        <f t="shared" ca="1" si="325"/>
        <v>#N/A</v>
      </c>
      <c r="FD130" s="244" t="e">
        <f t="shared" ca="1" si="326"/>
        <v>#N/A</v>
      </c>
      <c r="FE130" s="244" t="e">
        <f t="shared" ca="1" si="327"/>
        <v>#N/A</v>
      </c>
      <c r="FF130" s="244" t="e">
        <f t="shared" ca="1" si="328"/>
        <v>#N/A</v>
      </c>
      <c r="FG130" s="244" t="e">
        <f t="shared" ca="1" si="329"/>
        <v>#N/A</v>
      </c>
      <c r="FH130" s="244" t="e">
        <f t="shared" ca="1" si="330"/>
        <v>#N/A</v>
      </c>
      <c r="FI130" s="244" t="e">
        <f t="shared" ca="1" si="331"/>
        <v>#N/A</v>
      </c>
      <c r="FJ130" s="244" t="e">
        <f t="shared" ca="1" si="332"/>
        <v>#N/A</v>
      </c>
      <c r="FK130" s="244" t="e">
        <f t="shared" ca="1" si="333"/>
        <v>#N/A</v>
      </c>
      <c r="FL130" s="244" t="e">
        <f t="shared" ca="1" si="334"/>
        <v>#N/A</v>
      </c>
      <c r="FM130" s="244" t="e">
        <f t="shared" ca="1" si="321"/>
        <v>#REF!</v>
      </c>
      <c r="FN130" s="244"/>
    </row>
    <row r="131" spans="5:170" x14ac:dyDescent="0.25">
      <c r="E131" s="244"/>
      <c r="F131" s="240" t="str">
        <f>IF(fronttd!E133="","",fronttd!E133)</f>
        <v/>
      </c>
      <c r="G131" s="240" t="str">
        <f>IF(fronttd!F133="","",fronttd!F133)</f>
        <v/>
      </c>
      <c r="H131" s="380">
        <f>fronttd!G133</f>
        <v>0</v>
      </c>
      <c r="I131" s="380">
        <f>fronttd!H133</f>
        <v>0</v>
      </c>
      <c r="J131">
        <f t="shared" si="246"/>
        <v>24</v>
      </c>
      <c r="L131">
        <f t="shared" si="247"/>
        <v>131</v>
      </c>
      <c r="O131" s="238">
        <f t="shared" si="248"/>
        <v>131</v>
      </c>
      <c r="R131" s="112" t="str">
        <f t="shared" si="217"/>
        <v/>
      </c>
      <c r="S131" s="238" t="e">
        <f t="shared" ca="1" si="218"/>
        <v>#N/A</v>
      </c>
      <c r="T131" s="112" t="e">
        <f t="shared" ca="1" si="255"/>
        <v>#N/A</v>
      </c>
      <c r="U131" s="112" t="e">
        <f t="shared" ca="1" si="256"/>
        <v>#N/A</v>
      </c>
      <c r="V131" s="112" t="e">
        <f t="shared" ca="1" si="257"/>
        <v>#N/A</v>
      </c>
      <c r="W131" s="112" t="e">
        <f t="shared" ca="1" si="258"/>
        <v>#N/A</v>
      </c>
      <c r="X131" s="112" t="str">
        <f t="shared" si="219"/>
        <v/>
      </c>
      <c r="Y131" s="112"/>
      <c r="Z131" s="112"/>
      <c r="AA131" s="335" t="str">
        <f t="shared" si="220"/>
        <v/>
      </c>
      <c r="AB131" s="335" t="e">
        <f t="shared" ca="1" si="259"/>
        <v>#N/A</v>
      </c>
      <c r="AC131" s="335" t="e">
        <f t="shared" ca="1" si="260"/>
        <v>#N/A</v>
      </c>
      <c r="AD131" s="335" t="e">
        <f t="shared" ca="1" si="261"/>
        <v>#N/A</v>
      </c>
      <c r="AE131" s="335" t="e">
        <f t="shared" ca="1" si="262"/>
        <v>#N/A</v>
      </c>
      <c r="AF131" s="335" t="str">
        <f t="shared" si="221"/>
        <v/>
      </c>
      <c r="AG131" s="238">
        <f>AG130</f>
        <v>42</v>
      </c>
      <c r="AH131" s="112">
        <f ca="1">AI130+1</f>
        <v>39083</v>
      </c>
      <c r="AI131" s="112">
        <f ca="1">IF(INDIRECT(CONCATENATE("AC",AG130))&lt;100000,INDIRECT(CONCATENATE("AC",AG130))-1,IF(INDIRECT(CONCATENATE("AD",AG130))&lt;100000,INDIRECT(CONCATENATE("AD",AG130))-1,IF(INDIRECT(CONCATENATE("AE",AG130))&lt;100000,INDIRECT(CONCATENATE("AE",G130)),INDIRECT(CONCATENATE("AF",AG130)))))</f>
        <v>39082</v>
      </c>
      <c r="AJ131" s="112">
        <f t="shared" ca="1" si="292"/>
        <v>39082</v>
      </c>
      <c r="AK131" s="112">
        <f t="shared" ca="1" si="336"/>
        <v>39082</v>
      </c>
      <c r="AL131" s="238">
        <f t="shared" ca="1" si="294"/>
        <v>0</v>
      </c>
      <c r="AM131" s="112">
        <f t="shared" ca="1" si="285"/>
        <v>100000</v>
      </c>
      <c r="AN131" s="112">
        <f t="shared" ca="1" si="253"/>
        <v>100000</v>
      </c>
      <c r="AO131" s="114">
        <f t="shared" ca="1" si="222"/>
        <v>18</v>
      </c>
      <c r="AP131" s="114">
        <f t="shared" ca="1" si="223"/>
        <v>24</v>
      </c>
      <c r="AQ131" s="112"/>
      <c r="AR131" s="238">
        <f t="shared" si="249"/>
        <v>131</v>
      </c>
      <c r="AS131" s="112"/>
      <c r="AT131" s="112"/>
      <c r="AU131" s="283">
        <f t="shared" si="185"/>
        <v>112</v>
      </c>
      <c r="AV131" s="284">
        <f t="shared" ca="1" si="224"/>
        <v>100000</v>
      </c>
      <c r="AW131" s="284">
        <f t="shared" ca="1" si="286"/>
        <v>100000</v>
      </c>
      <c r="AX131" s="285">
        <f t="shared" ca="1" si="287"/>
        <v>0</v>
      </c>
      <c r="AY131" s="285">
        <f t="shared" ca="1" si="186"/>
        <v>24</v>
      </c>
      <c r="AZ131" s="282"/>
      <c r="BD131" s="114">
        <f t="shared" si="250"/>
        <v>1</v>
      </c>
      <c r="BE131" s="112">
        <f t="shared" si="225"/>
        <v>100000</v>
      </c>
      <c r="BH131" s="238">
        <f t="shared" si="251"/>
        <v>112</v>
      </c>
      <c r="BI131" s="112">
        <f t="shared" ca="1" si="342"/>
        <v>37987</v>
      </c>
      <c r="BJ131" s="281">
        <f t="shared" ca="1" si="265"/>
        <v>16</v>
      </c>
      <c r="BK131" s="245" t="e">
        <f t="shared" ca="1" si="227"/>
        <v>#NUM!</v>
      </c>
      <c r="BL131" s="245" t="e">
        <f t="shared" ca="1" si="228"/>
        <v>#NUM!</v>
      </c>
      <c r="BN131" s="245" t="e">
        <f t="shared" ca="1" si="266"/>
        <v>#NUM!</v>
      </c>
      <c r="CL131" s="112"/>
      <c r="CM131" s="112"/>
      <c r="CP131" s="112"/>
      <c r="CQ131" s="112"/>
      <c r="CR131" s="112"/>
      <c r="CS131" s="112"/>
      <c r="CT131" s="112"/>
      <c r="CU131" s="112"/>
      <c r="CV131" s="112"/>
      <c r="CW131" s="112" t="s">
        <v>224</v>
      </c>
      <c r="CX131" s="112" t="s">
        <v>225</v>
      </c>
      <c r="CY131" s="112" t="s">
        <v>226</v>
      </c>
      <c r="CZ131" s="112" t="s">
        <v>227</v>
      </c>
      <c r="DA131" s="112" t="s">
        <v>228</v>
      </c>
      <c r="DB131" s="112" t="s">
        <v>229</v>
      </c>
      <c r="DC131" s="112"/>
      <c r="DD131" s="238">
        <f t="shared" ca="1" si="283"/>
        <v>0</v>
      </c>
      <c r="DE131" s="238">
        <f t="shared" ca="1" si="275"/>
        <v>0</v>
      </c>
      <c r="DF131" s="112"/>
      <c r="DG131" s="238"/>
      <c r="DH131" s="238"/>
      <c r="DI131" s="112"/>
      <c r="DJ131" s="238"/>
      <c r="DK131" s="112" t="str">
        <f t="shared" ca="1" si="229"/>
        <v/>
      </c>
      <c r="DL131" s="278" t="str">
        <f t="shared" ca="1" si="296"/>
        <v/>
      </c>
      <c r="DM131" s="245" t="str">
        <f t="shared" ref="DM131:DP131" ca="1" si="352">DM682</f>
        <v/>
      </c>
      <c r="DN131" s="245" t="str">
        <f t="shared" ca="1" si="352"/>
        <v/>
      </c>
      <c r="DO131" s="245" t="str">
        <f t="shared" ca="1" si="352"/>
        <v/>
      </c>
      <c r="DP131" s="245" t="str">
        <f t="shared" ca="1" si="352"/>
        <v/>
      </c>
      <c r="DQ131" s="281" t="str">
        <f t="shared" ca="1" si="298"/>
        <v/>
      </c>
      <c r="DR131" s="278" t="str">
        <f t="shared" ca="1" si="299"/>
        <v/>
      </c>
      <c r="DS131" s="244" t="str">
        <f t="shared" ca="1" si="350"/>
        <v/>
      </c>
      <c r="DT131" s="244" t="str">
        <f t="shared" ca="1" si="351"/>
        <v/>
      </c>
      <c r="DU131" s="244" t="str">
        <f t="shared" ca="1" si="300"/>
        <v/>
      </c>
      <c r="DV131" s="244" t="str">
        <f t="shared" ca="1" si="301"/>
        <v/>
      </c>
      <c r="DW131" s="244"/>
      <c r="DX131" s="244" t="str">
        <f t="shared" ca="1" si="273"/>
        <v/>
      </c>
      <c r="EW131" s="244">
        <v>0</v>
      </c>
      <c r="EX131" s="278" t="e">
        <f ca="1">VLOOKUP(DM131,Foglio1!$AB$31:$AN$261,13)-6+EW131</f>
        <v>#N/A</v>
      </c>
      <c r="EY131" s="244"/>
      <c r="EZ131" s="244">
        <v>0</v>
      </c>
      <c r="FA131" s="244" t="e">
        <f t="shared" ca="1" si="323"/>
        <v>#N/A</v>
      </c>
      <c r="FB131" s="244" t="e">
        <f t="shared" ca="1" si="324"/>
        <v>#N/A</v>
      </c>
      <c r="FC131" s="244" t="e">
        <f t="shared" ca="1" si="325"/>
        <v>#N/A</v>
      </c>
      <c r="FD131" s="244" t="e">
        <f t="shared" ca="1" si="326"/>
        <v>#N/A</v>
      </c>
      <c r="FE131" s="244" t="e">
        <f t="shared" ca="1" si="327"/>
        <v>#N/A</v>
      </c>
      <c r="FF131" s="244" t="e">
        <f t="shared" ca="1" si="328"/>
        <v>#N/A</v>
      </c>
      <c r="FG131" s="244" t="e">
        <f t="shared" ca="1" si="329"/>
        <v>#N/A</v>
      </c>
      <c r="FH131" s="244" t="e">
        <f t="shared" ca="1" si="330"/>
        <v>#N/A</v>
      </c>
      <c r="FI131" s="244" t="e">
        <f t="shared" ca="1" si="331"/>
        <v>#N/A</v>
      </c>
      <c r="FJ131" s="244" t="e">
        <f t="shared" ca="1" si="332"/>
        <v>#N/A</v>
      </c>
      <c r="FK131" s="244" t="e">
        <f t="shared" ca="1" si="333"/>
        <v>#N/A</v>
      </c>
      <c r="FL131" s="244" t="e">
        <f t="shared" ca="1" si="334"/>
        <v>#N/A</v>
      </c>
      <c r="FM131" s="244" t="e">
        <f t="shared" ca="1" si="321"/>
        <v>#REF!</v>
      </c>
      <c r="FN131" s="244"/>
    </row>
    <row r="132" spans="5:170" x14ac:dyDescent="0.25">
      <c r="E132" s="244"/>
      <c r="F132" s="240" t="str">
        <f>IF(fronttd!E134="","",fronttd!E134)</f>
        <v/>
      </c>
      <c r="G132" s="240" t="str">
        <f>IF(fronttd!F134="","",fronttd!F134)</f>
        <v/>
      </c>
      <c r="H132" s="380">
        <f>fronttd!G134</f>
        <v>0</v>
      </c>
      <c r="I132" s="380">
        <f>fronttd!H134</f>
        <v>0</v>
      </c>
      <c r="J132">
        <f t="shared" si="246"/>
        <v>24</v>
      </c>
      <c r="L132">
        <f t="shared" si="247"/>
        <v>132</v>
      </c>
      <c r="O132" s="238">
        <f t="shared" si="248"/>
        <v>132</v>
      </c>
      <c r="R132" s="112" t="str">
        <f t="shared" si="217"/>
        <v/>
      </c>
      <c r="S132" s="238" t="e">
        <f t="shared" ca="1" si="218"/>
        <v>#N/A</v>
      </c>
      <c r="T132" s="112" t="e">
        <f t="shared" ca="1" si="255"/>
        <v>#N/A</v>
      </c>
      <c r="U132" s="112" t="e">
        <f t="shared" ca="1" si="256"/>
        <v>#N/A</v>
      </c>
      <c r="V132" s="112" t="e">
        <f t="shared" ca="1" si="257"/>
        <v>#N/A</v>
      </c>
      <c r="W132" s="112" t="e">
        <f t="shared" ca="1" si="258"/>
        <v>#N/A</v>
      </c>
      <c r="X132" s="112" t="str">
        <f t="shared" si="219"/>
        <v/>
      </c>
      <c r="Y132" s="112"/>
      <c r="Z132" s="112"/>
      <c r="AA132" s="335" t="str">
        <f t="shared" si="220"/>
        <v/>
      </c>
      <c r="AB132" s="335" t="e">
        <f t="shared" ca="1" si="259"/>
        <v>#N/A</v>
      </c>
      <c r="AC132" s="335" t="e">
        <f t="shared" ca="1" si="260"/>
        <v>#N/A</v>
      </c>
      <c r="AD132" s="335" t="e">
        <f t="shared" ca="1" si="261"/>
        <v>#N/A</v>
      </c>
      <c r="AE132" s="335" t="e">
        <f t="shared" ca="1" si="262"/>
        <v>#N/A</v>
      </c>
      <c r="AF132" s="335" t="str">
        <f t="shared" si="221"/>
        <v/>
      </c>
      <c r="AG132" s="238">
        <f>AG131</f>
        <v>42</v>
      </c>
      <c r="AH132" s="112">
        <f ca="1">AI131+1</f>
        <v>39083</v>
      </c>
      <c r="AI132" s="112">
        <f ca="1">IF(INDIRECT(CONCATENATE("AD",AG130))&lt;100000,INDIRECT(CONCATENATE("AD",AG130))-1,IF(INDIRECT(CONCATENATE("AE",AG130))&lt;100000,INDIRECT(CONCATENATE("AE",G130)),INDIRECT(CONCATENATE("AF",AG130))))</f>
        <v>39113</v>
      </c>
      <c r="AJ132" s="112">
        <f t="shared" ca="1" si="292"/>
        <v>39113</v>
      </c>
      <c r="AK132" s="112">
        <f t="shared" ca="1" si="336"/>
        <v>39113</v>
      </c>
      <c r="AL132" s="238">
        <f t="shared" ca="1" si="294"/>
        <v>1</v>
      </c>
      <c r="AM132" s="112">
        <f t="shared" ca="1" si="285"/>
        <v>39083</v>
      </c>
      <c r="AN132" s="112">
        <f t="shared" ca="1" si="253"/>
        <v>39113</v>
      </c>
      <c r="AO132" s="114">
        <f t="shared" ca="1" si="222"/>
        <v>18</v>
      </c>
      <c r="AP132" s="114">
        <f t="shared" ca="1" si="223"/>
        <v>24</v>
      </c>
      <c r="AQ132" s="112"/>
      <c r="AR132" s="238">
        <f t="shared" si="249"/>
        <v>132</v>
      </c>
      <c r="AS132" s="112"/>
      <c r="AT132" s="112"/>
      <c r="AU132" s="283">
        <f t="shared" si="185"/>
        <v>113</v>
      </c>
      <c r="AV132" s="284">
        <f t="shared" ca="1" si="224"/>
        <v>100000</v>
      </c>
      <c r="AW132" s="284">
        <f t="shared" ca="1" si="286"/>
        <v>100000</v>
      </c>
      <c r="AX132" s="285">
        <f t="shared" ca="1" si="287"/>
        <v>0</v>
      </c>
      <c r="AY132" s="285">
        <f t="shared" ca="1" si="186"/>
        <v>24</v>
      </c>
      <c r="AZ132" s="282"/>
      <c r="BD132" s="114">
        <f t="shared" si="250"/>
        <v>1</v>
      </c>
      <c r="BE132" s="112">
        <f t="shared" si="225"/>
        <v>100000</v>
      </c>
      <c r="BH132" s="238">
        <f t="shared" si="251"/>
        <v>113</v>
      </c>
      <c r="BI132" s="112">
        <f t="shared" ca="1" si="342"/>
        <v>38384</v>
      </c>
      <c r="BK132" s="245" t="e">
        <f t="shared" ca="1" si="227"/>
        <v>#NUM!</v>
      </c>
      <c r="BL132" s="245" t="e">
        <f t="shared" ca="1" si="228"/>
        <v>#NUM!</v>
      </c>
      <c r="BN132" s="245" t="e">
        <f t="shared" ca="1" si="266"/>
        <v>#NUM!</v>
      </c>
      <c r="CL132" s="112"/>
      <c r="CM132" s="112"/>
      <c r="CP132" s="112"/>
      <c r="CQ132" s="112"/>
      <c r="CR132" s="112"/>
      <c r="CS132" s="112"/>
      <c r="CT132" s="112"/>
      <c r="CU132" s="112"/>
      <c r="CV132" s="112"/>
      <c r="CW132" s="112" t="s">
        <v>224</v>
      </c>
      <c r="CX132" s="112" t="s">
        <v>225</v>
      </c>
      <c r="CY132" s="112" t="s">
        <v>226</v>
      </c>
      <c r="CZ132" s="112" t="s">
        <v>227</v>
      </c>
      <c r="DA132" s="112" t="s">
        <v>228</v>
      </c>
      <c r="DB132" s="112" t="s">
        <v>229</v>
      </c>
      <c r="DC132" s="112"/>
      <c r="DD132" s="238">
        <f t="shared" ca="1" si="283"/>
        <v>0</v>
      </c>
      <c r="DE132" s="238">
        <f t="shared" ca="1" si="275"/>
        <v>0</v>
      </c>
      <c r="DF132" s="112"/>
      <c r="DG132" s="238"/>
      <c r="DH132" s="238"/>
      <c r="DI132" s="112"/>
      <c r="DJ132" s="238"/>
      <c r="DK132" s="112" t="str">
        <f t="shared" ca="1" si="229"/>
        <v/>
      </c>
      <c r="DL132" s="278" t="str">
        <f t="shared" ca="1" si="296"/>
        <v/>
      </c>
      <c r="DM132" s="245" t="str">
        <f t="shared" ref="DM132:DP132" ca="1" si="353">DM683</f>
        <v/>
      </c>
      <c r="DN132" s="245" t="str">
        <f t="shared" ca="1" si="353"/>
        <v/>
      </c>
      <c r="DO132" s="245" t="str">
        <f t="shared" ca="1" si="353"/>
        <v/>
      </c>
      <c r="DP132" s="245" t="str">
        <f t="shared" ca="1" si="353"/>
        <v/>
      </c>
      <c r="DQ132" s="281" t="str">
        <f t="shared" ca="1" si="298"/>
        <v/>
      </c>
      <c r="DR132" s="278" t="str">
        <f t="shared" ca="1" si="299"/>
        <v/>
      </c>
      <c r="DS132" s="244" t="str">
        <f t="shared" ca="1" si="350"/>
        <v/>
      </c>
      <c r="DT132" s="244" t="str">
        <f t="shared" ca="1" si="351"/>
        <v/>
      </c>
      <c r="DU132" s="244" t="str">
        <f t="shared" ca="1" si="300"/>
        <v/>
      </c>
      <c r="DV132" s="244" t="str">
        <f t="shared" ca="1" si="301"/>
        <v/>
      </c>
      <c r="DW132" s="244"/>
      <c r="DX132" s="244" t="str">
        <f t="shared" ca="1" si="273"/>
        <v/>
      </c>
      <c r="EW132" s="244">
        <v>0</v>
      </c>
      <c r="EX132" s="278" t="e">
        <f ca="1">VLOOKUP(DM132,Foglio1!$AB$31:$AN$261,13)-6+EW132</f>
        <v>#N/A</v>
      </c>
      <c r="EY132" s="244"/>
      <c r="EZ132" s="244">
        <v>0</v>
      </c>
      <c r="FA132" s="244" t="e">
        <f t="shared" ca="1" si="323"/>
        <v>#N/A</v>
      </c>
      <c r="FB132" s="244" t="e">
        <f t="shared" ca="1" si="324"/>
        <v>#N/A</v>
      </c>
      <c r="FC132" s="244" t="e">
        <f t="shared" ca="1" si="325"/>
        <v>#N/A</v>
      </c>
      <c r="FD132" s="244" t="e">
        <f t="shared" ca="1" si="326"/>
        <v>#N/A</v>
      </c>
      <c r="FE132" s="244" t="e">
        <f t="shared" ca="1" si="327"/>
        <v>#N/A</v>
      </c>
      <c r="FF132" s="244" t="e">
        <f t="shared" ca="1" si="328"/>
        <v>#N/A</v>
      </c>
      <c r="FG132" s="244" t="e">
        <f t="shared" ca="1" si="329"/>
        <v>#N/A</v>
      </c>
      <c r="FH132" s="244" t="e">
        <f t="shared" ca="1" si="330"/>
        <v>#N/A</v>
      </c>
      <c r="FI132" s="244" t="e">
        <f t="shared" ca="1" si="331"/>
        <v>#N/A</v>
      </c>
      <c r="FJ132" s="244" t="e">
        <f t="shared" ca="1" si="332"/>
        <v>#N/A</v>
      </c>
      <c r="FK132" s="244" t="e">
        <f t="shared" ca="1" si="333"/>
        <v>#N/A</v>
      </c>
      <c r="FL132" s="244" t="e">
        <f t="shared" ca="1" si="334"/>
        <v>#N/A</v>
      </c>
      <c r="FM132" s="244" t="e">
        <f t="shared" ca="1" si="321"/>
        <v>#REF!</v>
      </c>
      <c r="FN132" s="244"/>
    </row>
    <row r="133" spans="5:170" x14ac:dyDescent="0.25">
      <c r="E133" s="244"/>
      <c r="F133" s="240" t="str">
        <f>IF(fronttd!E135="","",fronttd!E135)</f>
        <v/>
      </c>
      <c r="G133" s="240" t="str">
        <f>IF(fronttd!F135="","",fronttd!F135)</f>
        <v/>
      </c>
      <c r="H133" s="380">
        <f>fronttd!G135</f>
        <v>0</v>
      </c>
      <c r="I133" s="380">
        <f>fronttd!H135</f>
        <v>0</v>
      </c>
      <c r="J133">
        <f t="shared" si="246"/>
        <v>24</v>
      </c>
      <c r="L133">
        <f t="shared" si="247"/>
        <v>133</v>
      </c>
      <c r="O133" s="238">
        <f t="shared" si="248"/>
        <v>133</v>
      </c>
      <c r="R133" s="112" t="str">
        <f t="shared" si="217"/>
        <v/>
      </c>
      <c r="S133" s="238" t="e">
        <f t="shared" ca="1" si="218"/>
        <v>#N/A</v>
      </c>
      <c r="T133" s="112" t="e">
        <f t="shared" ca="1" si="255"/>
        <v>#N/A</v>
      </c>
      <c r="U133" s="112" t="e">
        <f t="shared" ca="1" si="256"/>
        <v>#N/A</v>
      </c>
      <c r="V133" s="112" t="e">
        <f t="shared" ca="1" si="257"/>
        <v>#N/A</v>
      </c>
      <c r="W133" s="112" t="e">
        <f t="shared" ca="1" si="258"/>
        <v>#N/A</v>
      </c>
      <c r="X133" s="112" t="str">
        <f t="shared" si="219"/>
        <v/>
      </c>
      <c r="Y133" s="112"/>
      <c r="Z133" s="112"/>
      <c r="AA133" s="335" t="str">
        <f t="shared" si="220"/>
        <v/>
      </c>
      <c r="AB133" s="335" t="e">
        <f t="shared" ca="1" si="259"/>
        <v>#N/A</v>
      </c>
      <c r="AC133" s="335" t="e">
        <f t="shared" ca="1" si="260"/>
        <v>#N/A</v>
      </c>
      <c r="AD133" s="335" t="e">
        <f t="shared" ca="1" si="261"/>
        <v>#N/A</v>
      </c>
      <c r="AE133" s="335" t="e">
        <f t="shared" ca="1" si="262"/>
        <v>#N/A</v>
      </c>
      <c r="AF133" s="335" t="str">
        <f t="shared" si="221"/>
        <v/>
      </c>
      <c r="AG133" s="238">
        <f>AG132</f>
        <v>42</v>
      </c>
      <c r="AH133" s="112">
        <f ca="1">AI132+1</f>
        <v>39114</v>
      </c>
      <c r="AI133" s="112" t="e">
        <f ca="1">IF(INDIRECT(CONCATENATE("AE",AG130))&lt;100000,INDIRECT(CONCATENATE("AE",G130)),INDIRECT(CONCATENATE("AF",AG130)))</f>
        <v>#REF!</v>
      </c>
      <c r="AJ133" s="112">
        <f t="shared" ca="1" si="292"/>
        <v>39277</v>
      </c>
      <c r="AK133" s="112">
        <f t="shared" ca="1" si="336"/>
        <v>39277</v>
      </c>
      <c r="AL133" s="238">
        <f t="shared" ca="1" si="294"/>
        <v>1</v>
      </c>
      <c r="AM133" s="112">
        <f t="shared" ca="1" si="285"/>
        <v>39114</v>
      </c>
      <c r="AN133" s="112">
        <f t="shared" ca="1" si="253"/>
        <v>39277</v>
      </c>
      <c r="AO133" s="114">
        <f t="shared" ca="1" si="222"/>
        <v>18</v>
      </c>
      <c r="AP133" s="114">
        <f t="shared" ca="1" si="223"/>
        <v>24</v>
      </c>
      <c r="AQ133" s="112"/>
      <c r="AR133" s="238">
        <f t="shared" si="249"/>
        <v>133</v>
      </c>
      <c r="AS133" s="112"/>
      <c r="AT133" s="112"/>
      <c r="AU133" s="283">
        <f t="shared" si="185"/>
        <v>114</v>
      </c>
      <c r="AV133" s="284">
        <f t="shared" ca="1" si="224"/>
        <v>100000</v>
      </c>
      <c r="AW133" s="284">
        <f t="shared" ca="1" si="286"/>
        <v>100000</v>
      </c>
      <c r="AX133" s="285">
        <f t="shared" ca="1" si="287"/>
        <v>0</v>
      </c>
      <c r="AY133" s="285">
        <f t="shared" ca="1" si="186"/>
        <v>24</v>
      </c>
      <c r="AZ133" s="282"/>
      <c r="BD133" s="114">
        <f t="shared" si="250"/>
        <v>1</v>
      </c>
      <c r="BH133" s="238">
        <f t="shared" si="251"/>
        <v>114</v>
      </c>
      <c r="BI133" s="112">
        <f t="shared" ca="1" si="342"/>
        <v>38718</v>
      </c>
      <c r="BK133" s="245" t="e">
        <f t="shared" ca="1" si="227"/>
        <v>#NUM!</v>
      </c>
      <c r="BL133" s="245" t="e">
        <f t="shared" ca="1" si="228"/>
        <v>#NUM!</v>
      </c>
      <c r="CL133" s="112"/>
      <c r="CM133" s="112"/>
      <c r="CP133" s="112"/>
      <c r="CQ133" s="112"/>
      <c r="CR133" s="112"/>
      <c r="CS133" s="112"/>
      <c r="CT133" s="112"/>
      <c r="CU133" s="112"/>
      <c r="CV133" s="112"/>
      <c r="CW133" s="112" t="s">
        <v>224</v>
      </c>
      <c r="CX133" s="112" t="s">
        <v>225</v>
      </c>
      <c r="CY133" s="112" t="s">
        <v>226</v>
      </c>
      <c r="CZ133" s="112" t="s">
        <v>227</v>
      </c>
      <c r="DA133" s="112" t="s">
        <v>228</v>
      </c>
      <c r="DB133" s="112" t="s">
        <v>229</v>
      </c>
      <c r="DC133" s="112"/>
      <c r="DD133" s="238">
        <f t="shared" ca="1" si="283"/>
        <v>0</v>
      </c>
      <c r="DE133" s="238">
        <f t="shared" ca="1" si="275"/>
        <v>0</v>
      </c>
      <c r="DF133" s="112"/>
      <c r="DG133" s="238"/>
      <c r="DH133" s="238"/>
      <c r="DI133" s="112"/>
      <c r="DJ133" s="238"/>
      <c r="DK133" s="112" t="str">
        <f t="shared" ca="1" si="229"/>
        <v/>
      </c>
      <c r="DL133" s="278" t="str">
        <f t="shared" ca="1" si="296"/>
        <v/>
      </c>
      <c r="DM133" s="245" t="str">
        <f t="shared" ref="DM133:DP133" ca="1" si="354">DM684</f>
        <v/>
      </c>
      <c r="DN133" s="245" t="str">
        <f t="shared" ca="1" si="354"/>
        <v/>
      </c>
      <c r="DO133" s="245" t="str">
        <f t="shared" ca="1" si="354"/>
        <v/>
      </c>
      <c r="DP133" s="245" t="str">
        <f t="shared" ca="1" si="354"/>
        <v/>
      </c>
      <c r="DQ133" s="281" t="str">
        <f t="shared" ca="1" si="298"/>
        <v/>
      </c>
      <c r="DR133" s="278" t="str">
        <f t="shared" ca="1" si="299"/>
        <v/>
      </c>
      <c r="DS133" s="244" t="str">
        <f t="shared" ca="1" si="350"/>
        <v/>
      </c>
      <c r="DT133" s="244" t="str">
        <f t="shared" ca="1" si="351"/>
        <v/>
      </c>
      <c r="DU133" s="244" t="str">
        <f t="shared" ca="1" si="300"/>
        <v/>
      </c>
      <c r="DV133" s="244" t="str">
        <f t="shared" ca="1" si="301"/>
        <v/>
      </c>
      <c r="DW133" s="244"/>
      <c r="DX133" s="244" t="str">
        <f t="shared" ca="1" si="273"/>
        <v/>
      </c>
      <c r="EW133" s="244">
        <v>0</v>
      </c>
      <c r="EX133" s="278" t="e">
        <f ca="1">VLOOKUP(DM133,Foglio1!$AB$31:$AN$261,13)-6+EW133</f>
        <v>#N/A</v>
      </c>
      <c r="EY133" s="244"/>
      <c r="EZ133" s="244">
        <v>0</v>
      </c>
      <c r="FA133" s="244" t="e">
        <f t="shared" ca="1" si="323"/>
        <v>#N/A</v>
      </c>
      <c r="FB133" s="244" t="e">
        <f t="shared" ca="1" si="324"/>
        <v>#N/A</v>
      </c>
      <c r="FC133" s="244" t="e">
        <f t="shared" ca="1" si="325"/>
        <v>#N/A</v>
      </c>
      <c r="FD133" s="244" t="e">
        <f t="shared" ca="1" si="326"/>
        <v>#N/A</v>
      </c>
      <c r="FE133" s="244" t="e">
        <f t="shared" ca="1" si="327"/>
        <v>#N/A</v>
      </c>
      <c r="FF133" s="244" t="e">
        <f t="shared" ca="1" si="328"/>
        <v>#N/A</v>
      </c>
      <c r="FG133" s="244" t="e">
        <f t="shared" ca="1" si="329"/>
        <v>#N/A</v>
      </c>
      <c r="FH133" s="244" t="e">
        <f t="shared" ca="1" si="330"/>
        <v>#N/A</v>
      </c>
      <c r="FI133" s="244" t="e">
        <f t="shared" ca="1" si="331"/>
        <v>#N/A</v>
      </c>
      <c r="FJ133" s="244" t="e">
        <f t="shared" ca="1" si="332"/>
        <v>#N/A</v>
      </c>
      <c r="FK133" s="244" t="e">
        <f t="shared" ca="1" si="333"/>
        <v>#N/A</v>
      </c>
      <c r="FL133" s="244" t="e">
        <f t="shared" ca="1" si="334"/>
        <v>#N/A</v>
      </c>
      <c r="FM133" s="244" t="e">
        <f t="shared" ca="1" si="321"/>
        <v>#REF!</v>
      </c>
      <c r="FN133" s="244"/>
    </row>
    <row r="134" spans="5:170" x14ac:dyDescent="0.25">
      <c r="E134" s="244"/>
      <c r="F134" s="240" t="str">
        <f>IF(fronttd!E136="","",fronttd!E136)</f>
        <v/>
      </c>
      <c r="G134" s="240" t="str">
        <f>IF(fronttd!F136="","",fronttd!F136)</f>
        <v/>
      </c>
      <c r="H134" s="380">
        <f>fronttd!G136</f>
        <v>0</v>
      </c>
      <c r="I134" s="380">
        <f>fronttd!H136</f>
        <v>0</v>
      </c>
      <c r="J134">
        <f t="shared" si="246"/>
        <v>24</v>
      </c>
      <c r="L134">
        <f t="shared" si="247"/>
        <v>134</v>
      </c>
      <c r="O134" s="238">
        <f t="shared" si="248"/>
        <v>134</v>
      </c>
      <c r="S134" s="238" t="e">
        <f t="shared" ca="1" si="218"/>
        <v>#N/A</v>
      </c>
      <c r="AG134" s="238">
        <f>AG133</f>
        <v>42</v>
      </c>
      <c r="AH134" s="112" t="e">
        <f ca="1">AI133+1</f>
        <v>#REF!</v>
      </c>
      <c r="AI134" s="112">
        <f ca="1">INDIRECT(CONCATENATE("AF",AG130))</f>
        <v>39277</v>
      </c>
      <c r="AJ134" s="112">
        <f t="shared" ca="1" si="292"/>
        <v>39277</v>
      </c>
      <c r="AK134" s="112">
        <f t="shared" ca="1" si="336"/>
        <v>100000</v>
      </c>
      <c r="AL134" s="238" t="e">
        <f t="shared" ca="1" si="294"/>
        <v>#REF!</v>
      </c>
      <c r="AM134" s="112">
        <f t="shared" ca="1" si="285"/>
        <v>100000</v>
      </c>
      <c r="AN134" s="112">
        <f t="shared" ca="1" si="253"/>
        <v>100000</v>
      </c>
      <c r="AO134" s="114">
        <f t="shared" ca="1" si="222"/>
        <v>18</v>
      </c>
      <c r="AP134" s="114">
        <f t="shared" ca="1" si="223"/>
        <v>24</v>
      </c>
      <c r="AR134" s="238">
        <f t="shared" si="249"/>
        <v>134</v>
      </c>
      <c r="AU134" s="283">
        <f t="shared" ref="AU134:AU152" si="355">AU133+1</f>
        <v>115</v>
      </c>
      <c r="AV134" s="284">
        <f t="shared" ca="1" si="224"/>
        <v>100000</v>
      </c>
      <c r="AW134" s="284">
        <f t="shared" ca="1" si="286"/>
        <v>100000</v>
      </c>
      <c r="AX134" s="285">
        <f t="shared" ca="1" si="287"/>
        <v>0</v>
      </c>
      <c r="AY134" s="285">
        <f t="shared" ref="AY134:AY152" ca="1" si="356">VLOOKUP(AV134,$AM$20:$AP$564,4,FALSE)</f>
        <v>24</v>
      </c>
      <c r="AZ134" s="282"/>
      <c r="BD134" s="114">
        <f t="shared" si="250"/>
        <v>1</v>
      </c>
      <c r="BH134" s="238">
        <f t="shared" si="251"/>
        <v>115</v>
      </c>
      <c r="BI134" s="112">
        <f t="shared" ca="1" si="342"/>
        <v>39083</v>
      </c>
      <c r="BK134" s="245" t="e">
        <f t="shared" ca="1" si="227"/>
        <v>#NUM!</v>
      </c>
      <c r="BL134" s="245" t="e">
        <f t="shared" ca="1" si="228"/>
        <v>#NUM!</v>
      </c>
      <c r="CL134" s="112"/>
      <c r="CM134" s="112"/>
      <c r="CP134" s="112"/>
      <c r="CQ134" s="112"/>
      <c r="CR134" s="112"/>
      <c r="CS134" s="112"/>
      <c r="CT134" s="112"/>
      <c r="CU134" s="112"/>
      <c r="CV134" s="112"/>
      <c r="CW134" s="112" t="s">
        <v>224</v>
      </c>
      <c r="CX134" s="112" t="s">
        <v>225</v>
      </c>
      <c r="CY134" s="112" t="s">
        <v>226</v>
      </c>
      <c r="CZ134" s="112" t="s">
        <v>227</v>
      </c>
      <c r="DA134" s="112" t="s">
        <v>228</v>
      </c>
      <c r="DB134" s="112" t="s">
        <v>229</v>
      </c>
      <c r="DC134" s="112"/>
      <c r="DD134" s="238">
        <f t="shared" ca="1" si="283"/>
        <v>0</v>
      </c>
      <c r="DE134" s="238">
        <f t="shared" ca="1" si="275"/>
        <v>0</v>
      </c>
      <c r="DF134" s="112"/>
      <c r="DG134" s="238"/>
      <c r="DH134" s="238"/>
      <c r="DI134" s="112"/>
      <c r="DJ134" s="238"/>
      <c r="DK134" s="112" t="str">
        <f t="shared" ca="1" si="229"/>
        <v/>
      </c>
      <c r="DL134" s="278" t="str">
        <f t="shared" ca="1" si="296"/>
        <v/>
      </c>
      <c r="DM134" s="245" t="str">
        <f t="shared" ref="DM134:DP134" ca="1" si="357">DM685</f>
        <v/>
      </c>
      <c r="DN134" s="245" t="str">
        <f t="shared" ca="1" si="357"/>
        <v/>
      </c>
      <c r="DO134" s="245" t="str">
        <f t="shared" ca="1" si="357"/>
        <v/>
      </c>
      <c r="DP134" s="245" t="str">
        <f t="shared" ca="1" si="357"/>
        <v/>
      </c>
      <c r="DQ134" s="281" t="str">
        <f t="shared" ca="1" si="298"/>
        <v/>
      </c>
      <c r="DR134" s="278" t="str">
        <f t="shared" ca="1" si="299"/>
        <v/>
      </c>
      <c r="DS134" s="244" t="str">
        <f t="shared" ca="1" si="350"/>
        <v/>
      </c>
      <c r="DT134" s="244" t="str">
        <f t="shared" ca="1" si="351"/>
        <v/>
      </c>
      <c r="DU134" s="244" t="str">
        <f t="shared" ca="1" si="300"/>
        <v/>
      </c>
      <c r="DV134" s="244" t="str">
        <f t="shared" ca="1" si="301"/>
        <v/>
      </c>
      <c r="DW134" s="244"/>
      <c r="DX134" s="244" t="str">
        <f t="shared" ca="1" si="273"/>
        <v/>
      </c>
      <c r="EW134" s="244">
        <v>0</v>
      </c>
      <c r="EX134" s="278" t="e">
        <f ca="1">VLOOKUP(DM134,Foglio1!$AB$31:$AN$261,13)-6+EW134</f>
        <v>#N/A</v>
      </c>
      <c r="EY134" s="244"/>
      <c r="EZ134" s="244">
        <v>0</v>
      </c>
      <c r="FA134" s="244" t="e">
        <f t="shared" ca="1" si="323"/>
        <v>#N/A</v>
      </c>
      <c r="FB134" s="244" t="e">
        <f t="shared" ca="1" si="324"/>
        <v>#N/A</v>
      </c>
      <c r="FC134" s="244" t="e">
        <f t="shared" ca="1" si="325"/>
        <v>#N/A</v>
      </c>
      <c r="FD134" s="244" t="e">
        <f t="shared" ca="1" si="326"/>
        <v>#N/A</v>
      </c>
      <c r="FE134" s="244" t="e">
        <f t="shared" ca="1" si="327"/>
        <v>#N/A</v>
      </c>
      <c r="FF134" s="244" t="e">
        <f t="shared" ca="1" si="328"/>
        <v>#N/A</v>
      </c>
      <c r="FG134" s="244" t="e">
        <f t="shared" ca="1" si="329"/>
        <v>#N/A</v>
      </c>
      <c r="FH134" s="244" t="e">
        <f t="shared" ca="1" si="330"/>
        <v>#N/A</v>
      </c>
      <c r="FI134" s="244" t="e">
        <f t="shared" ca="1" si="331"/>
        <v>#N/A</v>
      </c>
      <c r="FJ134" s="244" t="e">
        <f t="shared" ca="1" si="332"/>
        <v>#N/A</v>
      </c>
      <c r="FK134" s="244" t="e">
        <f t="shared" ca="1" si="333"/>
        <v>#N/A</v>
      </c>
      <c r="FL134" s="244" t="e">
        <f t="shared" ca="1" si="334"/>
        <v>#N/A</v>
      </c>
      <c r="FM134" s="244" t="e">
        <f t="shared" ca="1" si="321"/>
        <v>#REF!</v>
      </c>
      <c r="FN134" s="244"/>
    </row>
    <row r="135" spans="5:170" x14ac:dyDescent="0.25">
      <c r="E135" s="244"/>
      <c r="F135" s="240" t="str">
        <f>IF(fronttd!E137="","",fronttd!E137)</f>
        <v/>
      </c>
      <c r="G135" s="240" t="str">
        <f>IF(fronttd!F137="","",fronttd!F137)</f>
        <v/>
      </c>
      <c r="H135" s="380">
        <f>fronttd!G137</f>
        <v>0</v>
      </c>
      <c r="I135" s="380">
        <f>fronttd!H137</f>
        <v>0</v>
      </c>
      <c r="J135">
        <f t="shared" si="246"/>
        <v>24</v>
      </c>
      <c r="L135">
        <f t="shared" si="247"/>
        <v>135</v>
      </c>
      <c r="O135" s="238">
        <f t="shared" si="248"/>
        <v>135</v>
      </c>
      <c r="S135" s="238" t="e">
        <f t="shared" ca="1" si="218"/>
        <v>#N/A</v>
      </c>
      <c r="AG135" s="238">
        <f>AG134+1</f>
        <v>43</v>
      </c>
      <c r="AH135" s="112">
        <f ca="1">INDIRECT(CONCATENATE("AA",AG135))</f>
        <v>39338</v>
      </c>
      <c r="AI135" s="112">
        <f ca="1">IF(            INDIRECT(CONCATENATE( "AB",AG135))&lt;100000,       INDIRECT(CONCATENATE("AB",AG135))  -1,IF(   INDIRECT(CONCATENATE("AC",AG135))&lt;100000,   INDIRECT(CONCATENATE("AC",AG135))-1,IF(   INDIRECT(CONCATENATE("AD", AG135))&lt;100000, INDIRECT(CONCATENATE("AD",AG135))-1,IF(   INDIRECT(CONCATENATE("AE",AG135))&lt;100000,  INDIRECT(CONCATENATE("AE",G135)),INDIRECT(CONCATENATE("AF",AG135))                ))))</f>
        <v>39446</v>
      </c>
      <c r="AJ135" s="112">
        <f t="shared" ca="1" si="292"/>
        <v>39446</v>
      </c>
      <c r="AK135" s="112">
        <f t="shared" ca="1" si="336"/>
        <v>39446</v>
      </c>
      <c r="AL135" s="238">
        <f t="shared" ca="1" si="294"/>
        <v>1</v>
      </c>
      <c r="AM135" s="112">
        <f t="shared" ca="1" si="285"/>
        <v>39338</v>
      </c>
      <c r="AN135" s="112">
        <f t="shared" ca="1" si="253"/>
        <v>39446</v>
      </c>
      <c r="AO135" s="114">
        <f t="shared" ca="1" si="222"/>
        <v>18</v>
      </c>
      <c r="AP135" s="114">
        <f t="shared" ca="1" si="223"/>
        <v>24</v>
      </c>
      <c r="AR135" s="238">
        <f t="shared" si="249"/>
        <v>135</v>
      </c>
      <c r="AU135" s="283">
        <f t="shared" si="355"/>
        <v>116</v>
      </c>
      <c r="AV135" s="284">
        <f t="shared" ca="1" si="224"/>
        <v>100000</v>
      </c>
      <c r="AW135" s="284">
        <f t="shared" ca="1" si="286"/>
        <v>100000</v>
      </c>
      <c r="AX135" s="285">
        <f t="shared" ca="1" si="287"/>
        <v>0</v>
      </c>
      <c r="AY135" s="285">
        <f t="shared" ca="1" si="356"/>
        <v>24</v>
      </c>
      <c r="AZ135" s="282"/>
      <c r="BH135" s="238">
        <f t="shared" si="251"/>
        <v>116</v>
      </c>
      <c r="BI135" s="112">
        <f t="shared" ca="1" si="342"/>
        <v>39114</v>
      </c>
      <c r="BK135" s="245" t="e">
        <f t="shared" ca="1" si="227"/>
        <v>#NUM!</v>
      </c>
      <c r="BL135" s="245" t="e">
        <f t="shared" ca="1" si="228"/>
        <v>#NUM!</v>
      </c>
      <c r="CL135" s="112"/>
      <c r="CM135" s="112"/>
      <c r="CP135" s="112"/>
      <c r="CQ135" s="112"/>
      <c r="CR135" s="112"/>
      <c r="CS135" s="112"/>
      <c r="CT135" s="112"/>
      <c r="CU135" s="112"/>
      <c r="CV135" s="112"/>
      <c r="CW135" s="112" t="s">
        <v>224</v>
      </c>
      <c r="CX135" s="112" t="s">
        <v>225</v>
      </c>
      <c r="CY135" s="112" t="s">
        <v>226</v>
      </c>
      <c r="CZ135" s="112" t="s">
        <v>227</v>
      </c>
      <c r="DA135" s="112" t="s">
        <v>228</v>
      </c>
      <c r="DB135" s="112" t="s">
        <v>229</v>
      </c>
      <c r="DC135" s="112"/>
      <c r="DD135" s="238">
        <f t="shared" ca="1" si="283"/>
        <v>0</v>
      </c>
      <c r="DE135" s="238">
        <f t="shared" ca="1" si="275"/>
        <v>0</v>
      </c>
      <c r="DF135" s="112"/>
      <c r="DG135" s="238"/>
      <c r="DH135" s="238"/>
      <c r="DI135" s="112"/>
      <c r="DJ135" s="238"/>
      <c r="DK135" s="112" t="str">
        <f t="shared" ca="1" si="229"/>
        <v/>
      </c>
      <c r="DL135" s="278" t="str">
        <f t="shared" ca="1" si="296"/>
        <v/>
      </c>
      <c r="DM135" s="245" t="str">
        <f t="shared" ref="DM135:DP135" ca="1" si="358">DM686</f>
        <v/>
      </c>
      <c r="DN135" s="245" t="str">
        <f t="shared" ca="1" si="358"/>
        <v/>
      </c>
      <c r="DO135" s="245" t="str">
        <f t="shared" ca="1" si="358"/>
        <v/>
      </c>
      <c r="DP135" s="245" t="str">
        <f t="shared" ca="1" si="358"/>
        <v/>
      </c>
      <c r="DQ135" s="281" t="str">
        <f t="shared" ca="1" si="298"/>
        <v/>
      </c>
      <c r="DR135" s="278" t="str">
        <f t="shared" ca="1" si="299"/>
        <v/>
      </c>
      <c r="DS135" s="244" t="str">
        <f t="shared" ca="1" si="350"/>
        <v/>
      </c>
      <c r="DT135" s="244" t="str">
        <f t="shared" ca="1" si="351"/>
        <v/>
      </c>
      <c r="DU135" s="244" t="str">
        <f t="shared" ca="1" si="300"/>
        <v/>
      </c>
      <c r="DV135" s="244" t="str">
        <f t="shared" ca="1" si="301"/>
        <v/>
      </c>
      <c r="DW135" s="244"/>
      <c r="DX135" s="244" t="str">
        <f t="shared" ca="1" si="273"/>
        <v/>
      </c>
      <c r="EW135" s="244">
        <v>0</v>
      </c>
      <c r="EX135" s="278" t="e">
        <f ca="1">VLOOKUP(DM135,Foglio1!$AB$31:$AN$261,13)-6+EW135</f>
        <v>#N/A</v>
      </c>
      <c r="EY135" s="244"/>
      <c r="EZ135" s="244">
        <v>0</v>
      </c>
      <c r="FA135" s="244" t="e">
        <f t="shared" ca="1" si="323"/>
        <v>#N/A</v>
      </c>
      <c r="FB135" s="244" t="e">
        <f t="shared" ca="1" si="324"/>
        <v>#N/A</v>
      </c>
      <c r="FC135" s="244" t="e">
        <f t="shared" ca="1" si="325"/>
        <v>#N/A</v>
      </c>
      <c r="FD135" s="244" t="e">
        <f t="shared" ca="1" si="326"/>
        <v>#N/A</v>
      </c>
      <c r="FE135" s="244" t="e">
        <f t="shared" ca="1" si="327"/>
        <v>#N/A</v>
      </c>
      <c r="FF135" s="244" t="e">
        <f t="shared" ca="1" si="328"/>
        <v>#N/A</v>
      </c>
      <c r="FG135" s="244" t="e">
        <f t="shared" ca="1" si="329"/>
        <v>#N/A</v>
      </c>
      <c r="FH135" s="244" t="e">
        <f t="shared" ca="1" si="330"/>
        <v>#N/A</v>
      </c>
      <c r="FI135" s="244" t="e">
        <f t="shared" ca="1" si="331"/>
        <v>#N/A</v>
      </c>
      <c r="FJ135" s="244" t="e">
        <f t="shared" ca="1" si="332"/>
        <v>#N/A</v>
      </c>
      <c r="FK135" s="244" t="e">
        <f t="shared" ca="1" si="333"/>
        <v>#N/A</v>
      </c>
      <c r="FL135" s="244" t="e">
        <f t="shared" ca="1" si="334"/>
        <v>#N/A</v>
      </c>
      <c r="FM135" s="244" t="e">
        <f t="shared" ca="1" si="321"/>
        <v>#REF!</v>
      </c>
      <c r="FN135" s="244"/>
    </row>
    <row r="136" spans="5:170" x14ac:dyDescent="0.25">
      <c r="E136" s="244"/>
      <c r="F136" s="240" t="str">
        <f>IF(fronttd!E138="","",fronttd!E138)</f>
        <v/>
      </c>
      <c r="G136" s="240" t="str">
        <f>IF(fronttd!F138="","",fronttd!F138)</f>
        <v/>
      </c>
      <c r="H136" s="380">
        <f>fronttd!G138</f>
        <v>0</v>
      </c>
      <c r="I136" s="380">
        <f>fronttd!H138</f>
        <v>0</v>
      </c>
      <c r="J136">
        <f t="shared" si="246"/>
        <v>24</v>
      </c>
      <c r="L136">
        <f t="shared" si="247"/>
        <v>136</v>
      </c>
      <c r="O136" s="238">
        <f t="shared" si="248"/>
        <v>136</v>
      </c>
      <c r="S136" s="238" t="e">
        <f t="shared" ca="1" si="218"/>
        <v>#N/A</v>
      </c>
      <c r="AG136" s="238">
        <f>AG135</f>
        <v>43</v>
      </c>
      <c r="AH136" s="112">
        <f ca="1">AI135+1</f>
        <v>39447</v>
      </c>
      <c r="AI136" s="112">
        <f ca="1">IF(INDIRECT(CONCATENATE("AC",AG135))&lt;100000,INDIRECT(CONCATENATE("AC",AG135))-1,IF(INDIRECT(CONCATENATE("AD",AG135))&lt;100000,INDIRECT(CONCATENATE("AD",AG135))-1,IF(INDIRECT(CONCATENATE("AE",AG135))&lt;100000,INDIRECT(CONCATENATE("AE",G135)),INDIRECT(CONCATENATE("AF",AG135)))))</f>
        <v>39446</v>
      </c>
      <c r="AJ136" s="112">
        <f t="shared" ca="1" si="292"/>
        <v>39446</v>
      </c>
      <c r="AK136" s="112">
        <f t="shared" ca="1" si="336"/>
        <v>39446</v>
      </c>
      <c r="AL136" s="238">
        <f t="shared" ca="1" si="294"/>
        <v>0</v>
      </c>
      <c r="AM136" s="112">
        <f t="shared" ca="1" si="285"/>
        <v>100000</v>
      </c>
      <c r="AN136" s="112">
        <f t="shared" ca="1" si="253"/>
        <v>100000</v>
      </c>
      <c r="AO136" s="114">
        <f t="shared" ca="1" si="222"/>
        <v>18</v>
      </c>
      <c r="AP136" s="114">
        <f t="shared" ca="1" si="223"/>
        <v>24</v>
      </c>
      <c r="AR136" s="238">
        <f t="shared" si="249"/>
        <v>136</v>
      </c>
      <c r="AU136" s="283">
        <f t="shared" si="355"/>
        <v>117</v>
      </c>
      <c r="AV136" s="284">
        <f t="shared" ca="1" si="224"/>
        <v>100000</v>
      </c>
      <c r="AW136" s="284">
        <f t="shared" ca="1" si="286"/>
        <v>100000</v>
      </c>
      <c r="AX136" s="285">
        <f t="shared" ca="1" si="287"/>
        <v>0</v>
      </c>
      <c r="AY136" s="285">
        <f t="shared" ca="1" si="356"/>
        <v>24</v>
      </c>
      <c r="AZ136" s="282"/>
      <c r="BH136" s="238">
        <f t="shared" si="251"/>
        <v>117</v>
      </c>
      <c r="BI136" s="112">
        <f t="shared" ca="1" si="342"/>
        <v>39264</v>
      </c>
      <c r="BK136" s="245" t="e">
        <f t="shared" ca="1" si="227"/>
        <v>#NUM!</v>
      </c>
      <c r="BL136" s="245" t="e">
        <f t="shared" ca="1" si="228"/>
        <v>#NUM!</v>
      </c>
      <c r="CL136" s="112"/>
      <c r="CM136" s="112"/>
      <c r="CP136" s="112"/>
      <c r="CQ136" s="112"/>
      <c r="CR136" s="112"/>
      <c r="CS136" s="112"/>
      <c r="CT136" s="112"/>
      <c r="CU136" s="112"/>
      <c r="CV136" s="112"/>
      <c r="CW136" s="112" t="s">
        <v>224</v>
      </c>
      <c r="CX136" s="112" t="s">
        <v>225</v>
      </c>
      <c r="CY136" s="112" t="s">
        <v>226</v>
      </c>
      <c r="CZ136" s="112" t="s">
        <v>227</v>
      </c>
      <c r="DA136" s="112" t="s">
        <v>228</v>
      </c>
      <c r="DB136" s="112" t="s">
        <v>229</v>
      </c>
      <c r="DC136" s="112"/>
      <c r="DD136" s="238">
        <f t="shared" ca="1" si="283"/>
        <v>0</v>
      </c>
      <c r="DE136" s="238">
        <f t="shared" ca="1" si="275"/>
        <v>0</v>
      </c>
      <c r="DF136" s="112"/>
      <c r="DG136" s="238"/>
      <c r="DH136" s="238"/>
      <c r="DI136" s="112"/>
      <c r="DJ136" s="238"/>
      <c r="DK136" s="112" t="str">
        <f t="shared" ca="1" si="229"/>
        <v/>
      </c>
      <c r="DL136" s="278" t="str">
        <f t="shared" ca="1" si="296"/>
        <v/>
      </c>
      <c r="DM136" s="245" t="str">
        <f t="shared" ref="DM136:DP136" ca="1" si="359">DM687</f>
        <v/>
      </c>
      <c r="DN136" s="245" t="str">
        <f t="shared" ca="1" si="359"/>
        <v/>
      </c>
      <c r="DO136" s="245" t="str">
        <f t="shared" ca="1" si="359"/>
        <v/>
      </c>
      <c r="DP136" s="245" t="str">
        <f t="shared" ca="1" si="359"/>
        <v/>
      </c>
      <c r="DQ136" s="281" t="str">
        <f t="shared" ca="1" si="298"/>
        <v/>
      </c>
      <c r="DR136" s="278" t="str">
        <f t="shared" ca="1" si="299"/>
        <v/>
      </c>
      <c r="DS136" s="244" t="str">
        <f t="shared" ca="1" si="350"/>
        <v/>
      </c>
      <c r="DT136" s="244" t="str">
        <f t="shared" ca="1" si="351"/>
        <v/>
      </c>
      <c r="DU136" s="244" t="str">
        <f t="shared" ca="1" si="300"/>
        <v/>
      </c>
      <c r="DV136" s="244" t="str">
        <f t="shared" ca="1" si="301"/>
        <v/>
      </c>
      <c r="DW136" s="244"/>
      <c r="DX136" s="244" t="e">
        <f t="shared" ref="DX136:DX147" ca="1" si="360">VLOOKUP(DM136,$DL$8:$DM$14,2)</f>
        <v>#N/A</v>
      </c>
      <c r="EW136" s="244">
        <v>0</v>
      </c>
      <c r="EX136" s="278" t="e">
        <f ca="1">VLOOKUP(DM136,Foglio1!$AB$31:$AN$261,13)-6+EW136</f>
        <v>#N/A</v>
      </c>
      <c r="EY136" s="244"/>
      <c r="EZ136" s="244">
        <v>0</v>
      </c>
      <c r="FA136" s="244" t="e">
        <f t="shared" ca="1" si="323"/>
        <v>#N/A</v>
      </c>
      <c r="FB136" s="244" t="e">
        <f t="shared" ca="1" si="324"/>
        <v>#N/A</v>
      </c>
      <c r="FC136" s="244" t="e">
        <f t="shared" ca="1" si="325"/>
        <v>#N/A</v>
      </c>
      <c r="FD136" s="244" t="e">
        <f t="shared" ca="1" si="326"/>
        <v>#N/A</v>
      </c>
      <c r="FE136" s="244" t="e">
        <f t="shared" ca="1" si="327"/>
        <v>#N/A</v>
      </c>
      <c r="FF136" s="244" t="e">
        <f t="shared" ca="1" si="328"/>
        <v>#N/A</v>
      </c>
      <c r="FG136" s="244" t="e">
        <f t="shared" ca="1" si="329"/>
        <v>#N/A</v>
      </c>
      <c r="FH136" s="244" t="e">
        <f t="shared" ca="1" si="330"/>
        <v>#N/A</v>
      </c>
      <c r="FI136" s="244" t="e">
        <f t="shared" ca="1" si="331"/>
        <v>#N/A</v>
      </c>
      <c r="FJ136" s="244" t="e">
        <f t="shared" ca="1" si="332"/>
        <v>#N/A</v>
      </c>
      <c r="FK136" s="244" t="e">
        <f t="shared" ca="1" si="333"/>
        <v>#N/A</v>
      </c>
      <c r="FL136" s="244" t="e">
        <f t="shared" ca="1" si="334"/>
        <v>#N/A</v>
      </c>
      <c r="FM136" s="244" t="e">
        <f t="shared" ca="1" si="321"/>
        <v>#REF!</v>
      </c>
      <c r="FN136" s="244"/>
    </row>
    <row r="137" spans="5:170" x14ac:dyDescent="0.25">
      <c r="E137" s="244"/>
      <c r="F137" s="240" t="str">
        <f>IF(fronttd!E139="","",fronttd!E139)</f>
        <v/>
      </c>
      <c r="G137" s="240" t="str">
        <f>IF(fronttd!F139="","",fronttd!F139)</f>
        <v/>
      </c>
      <c r="H137" s="380">
        <f>fronttd!G139</f>
        <v>0</v>
      </c>
      <c r="I137" s="380">
        <f>fronttd!H139</f>
        <v>0</v>
      </c>
      <c r="J137">
        <f t="shared" si="246"/>
        <v>24</v>
      </c>
      <c r="L137">
        <f t="shared" si="247"/>
        <v>137</v>
      </c>
      <c r="O137" s="238">
        <f t="shared" si="248"/>
        <v>137</v>
      </c>
      <c r="S137" s="238" t="e">
        <f t="shared" ca="1" si="218"/>
        <v>#N/A</v>
      </c>
      <c r="AG137" s="238">
        <f>AG136</f>
        <v>43</v>
      </c>
      <c r="AH137" s="112">
        <f ca="1">AI136+1</f>
        <v>39447</v>
      </c>
      <c r="AI137" s="112">
        <f ca="1">IF(INDIRECT(CONCATENATE("AD",AG135))&lt;100000,INDIRECT(CONCATENATE("AD",AG135))-1,IF(INDIRECT(CONCATENATE("AE",AG135))&lt;100000,INDIRECT(CONCATENATE("AE",G135)),INDIRECT(CONCATENATE("AF",AG135))))</f>
        <v>39538</v>
      </c>
      <c r="AJ137" s="112">
        <f t="shared" ca="1" si="292"/>
        <v>39538</v>
      </c>
      <c r="AK137" s="112">
        <f t="shared" ca="1" si="336"/>
        <v>39538</v>
      </c>
      <c r="AL137" s="238">
        <f t="shared" ca="1" si="294"/>
        <v>1</v>
      </c>
      <c r="AM137" s="112">
        <f t="shared" ca="1" si="285"/>
        <v>39447</v>
      </c>
      <c r="AN137" s="112">
        <f t="shared" ca="1" si="253"/>
        <v>39538</v>
      </c>
      <c r="AO137" s="114">
        <f t="shared" ca="1" si="222"/>
        <v>18</v>
      </c>
      <c r="AP137" s="114">
        <f t="shared" ca="1" si="223"/>
        <v>24</v>
      </c>
      <c r="AR137" s="238">
        <f t="shared" si="249"/>
        <v>137</v>
      </c>
      <c r="AU137" s="283">
        <f t="shared" si="355"/>
        <v>118</v>
      </c>
      <c r="AV137" s="284">
        <f t="shared" ca="1" si="224"/>
        <v>100000</v>
      </c>
      <c r="AW137" s="284">
        <f t="shared" ca="1" si="286"/>
        <v>100000</v>
      </c>
      <c r="AX137" s="285">
        <f t="shared" ca="1" si="287"/>
        <v>0</v>
      </c>
      <c r="AY137" s="285">
        <f t="shared" ca="1" si="356"/>
        <v>24</v>
      </c>
      <c r="AZ137" s="282"/>
      <c r="BH137" s="238">
        <f t="shared" si="251"/>
        <v>118</v>
      </c>
      <c r="BI137" s="112">
        <f t="shared" ca="1" si="342"/>
        <v>39447</v>
      </c>
      <c r="BK137" s="245" t="e">
        <f t="shared" ca="1" si="227"/>
        <v>#NUM!</v>
      </c>
      <c r="BL137" s="245" t="e">
        <f t="shared" ca="1" si="228"/>
        <v>#NUM!</v>
      </c>
      <c r="CL137" s="112"/>
      <c r="CM137" s="112"/>
      <c r="CP137" s="112"/>
      <c r="CQ137" s="112"/>
      <c r="CR137" s="112"/>
      <c r="CS137" s="112"/>
      <c r="CT137" s="112"/>
      <c r="CU137" s="112"/>
      <c r="CV137" s="112"/>
      <c r="CW137" s="112" t="s">
        <v>224</v>
      </c>
      <c r="CX137" s="112" t="s">
        <v>225</v>
      </c>
      <c r="CY137" s="112" t="s">
        <v>226</v>
      </c>
      <c r="CZ137" s="112" t="s">
        <v>227</v>
      </c>
      <c r="DA137" s="112" t="s">
        <v>228</v>
      </c>
      <c r="DB137" s="112" t="s">
        <v>229</v>
      </c>
      <c r="DC137" s="112"/>
      <c r="DD137" s="238"/>
      <c r="DE137" s="112"/>
      <c r="DF137" s="112"/>
      <c r="DG137" s="112"/>
      <c r="DH137" s="112"/>
      <c r="DI137" s="112"/>
      <c r="DJ137" s="112"/>
      <c r="DK137" s="112" t="str">
        <f t="shared" ca="1" si="229"/>
        <v/>
      </c>
      <c r="DL137" s="278" t="str">
        <f t="shared" ca="1" si="296"/>
        <v/>
      </c>
      <c r="DM137" s="245" t="str">
        <f t="shared" ref="DM137:DP137" ca="1" si="361">DM688</f>
        <v/>
      </c>
      <c r="DN137" s="245" t="str">
        <f t="shared" ca="1" si="361"/>
        <v/>
      </c>
      <c r="DO137" s="245" t="str">
        <f t="shared" ca="1" si="361"/>
        <v/>
      </c>
      <c r="DP137" s="245" t="str">
        <f t="shared" ca="1" si="361"/>
        <v/>
      </c>
      <c r="DQ137" s="281" t="str">
        <f t="shared" ca="1" si="298"/>
        <v/>
      </c>
      <c r="DR137" s="278" t="str">
        <f t="shared" ca="1" si="299"/>
        <v/>
      </c>
      <c r="DS137" s="244" t="str">
        <f t="shared" ca="1" si="350"/>
        <v/>
      </c>
      <c r="DT137" s="244" t="str">
        <f t="shared" ca="1" si="351"/>
        <v/>
      </c>
      <c r="DU137" s="244" t="str">
        <f t="shared" ca="1" si="300"/>
        <v/>
      </c>
      <c r="DV137" s="244" t="str">
        <f t="shared" ca="1" si="301"/>
        <v/>
      </c>
      <c r="DW137" s="244"/>
      <c r="DX137" s="244" t="e">
        <f t="shared" ca="1" si="360"/>
        <v>#N/A</v>
      </c>
      <c r="EW137" s="244">
        <v>0</v>
      </c>
      <c r="EX137" s="278" t="e">
        <f ca="1">VLOOKUP(DM137,Foglio1!$AB$31:$AN$261,13)-6+EW137</f>
        <v>#N/A</v>
      </c>
      <c r="EY137" s="244"/>
      <c r="EZ137" s="244">
        <v>0</v>
      </c>
      <c r="FA137" s="244" t="e">
        <f t="shared" ca="1" si="323"/>
        <v>#N/A</v>
      </c>
      <c r="FB137" s="244" t="e">
        <f t="shared" ca="1" si="324"/>
        <v>#N/A</v>
      </c>
      <c r="FC137" s="244" t="e">
        <f t="shared" ca="1" si="325"/>
        <v>#N/A</v>
      </c>
      <c r="FD137" s="244" t="e">
        <f t="shared" ca="1" si="326"/>
        <v>#N/A</v>
      </c>
      <c r="FE137" s="244" t="e">
        <f t="shared" ca="1" si="327"/>
        <v>#N/A</v>
      </c>
      <c r="FF137" s="244" t="e">
        <f t="shared" ca="1" si="328"/>
        <v>#N/A</v>
      </c>
      <c r="FG137" s="244" t="e">
        <f t="shared" ca="1" si="329"/>
        <v>#N/A</v>
      </c>
      <c r="FH137" s="244" t="e">
        <f t="shared" ca="1" si="330"/>
        <v>#N/A</v>
      </c>
      <c r="FI137" s="244" t="e">
        <f t="shared" ca="1" si="331"/>
        <v>#N/A</v>
      </c>
      <c r="FJ137" s="244" t="e">
        <f t="shared" ca="1" si="332"/>
        <v>#N/A</v>
      </c>
      <c r="FK137" s="244" t="e">
        <f t="shared" ca="1" si="333"/>
        <v>#N/A</v>
      </c>
      <c r="FL137" s="244" t="e">
        <f t="shared" ca="1" si="334"/>
        <v>#N/A</v>
      </c>
      <c r="FM137" s="244" t="e">
        <f t="shared" ca="1" si="321"/>
        <v>#REF!</v>
      </c>
      <c r="FN137" s="244"/>
    </row>
    <row r="138" spans="5:170" x14ac:dyDescent="0.25">
      <c r="E138" s="244"/>
      <c r="F138" s="240" t="str">
        <f>IF(fronttd!E140="","",fronttd!E140)</f>
        <v/>
      </c>
      <c r="G138" s="240" t="str">
        <f>IF(fronttd!F140="","",fronttd!F140)</f>
        <v/>
      </c>
      <c r="H138" s="380">
        <f>fronttd!G140</f>
        <v>0</v>
      </c>
      <c r="I138" s="380">
        <f>fronttd!H140</f>
        <v>0</v>
      </c>
      <c r="J138">
        <f t="shared" si="246"/>
        <v>24</v>
      </c>
      <c r="L138">
        <f t="shared" si="247"/>
        <v>138</v>
      </c>
      <c r="O138" s="238">
        <f t="shared" si="248"/>
        <v>138</v>
      </c>
      <c r="S138" s="238" t="e">
        <f t="shared" ca="1" si="218"/>
        <v>#N/A</v>
      </c>
      <c r="AG138" s="238">
        <f>AG137</f>
        <v>43</v>
      </c>
      <c r="AH138" s="112">
        <f ca="1">AI137+1</f>
        <v>39539</v>
      </c>
      <c r="AI138" s="112">
        <f ca="1">IF(INDIRECT(CONCATENATE("AE",AG135))&lt;100000,INDIRECT(CONCATENATE("AE",G135)),INDIRECT(CONCATENATE("AF",AG135)))</f>
        <v>39629</v>
      </c>
      <c r="AJ138" s="112">
        <f t="shared" ca="1" si="292"/>
        <v>39629</v>
      </c>
      <c r="AK138" s="112">
        <f t="shared" ca="1" si="336"/>
        <v>39629</v>
      </c>
      <c r="AL138" s="238">
        <f t="shared" ca="1" si="294"/>
        <v>1</v>
      </c>
      <c r="AM138" s="112">
        <f t="shared" ca="1" si="285"/>
        <v>39539</v>
      </c>
      <c r="AN138" s="112">
        <f t="shared" ca="1" si="253"/>
        <v>39629</v>
      </c>
      <c r="AO138" s="114">
        <f t="shared" ca="1" si="222"/>
        <v>18</v>
      </c>
      <c r="AP138" s="114">
        <f t="shared" ca="1" si="223"/>
        <v>24</v>
      </c>
      <c r="AR138" s="238">
        <f t="shared" si="249"/>
        <v>138</v>
      </c>
      <c r="AU138" s="283">
        <f t="shared" si="355"/>
        <v>119</v>
      </c>
      <c r="AV138" s="284">
        <f t="shared" ca="1" si="224"/>
        <v>100000</v>
      </c>
      <c r="AW138" s="284">
        <f t="shared" ref="AW138:AW152" ca="1" si="362">VLOOKUP(AV138,$AM$20:$AP$564,2,FALSE)</f>
        <v>100000</v>
      </c>
      <c r="AX138" s="285">
        <f t="shared" ref="AX138:AX152" ca="1" si="363">VLOOKUP(AV138,$AM$20:$AP$564,3,FALSE)</f>
        <v>18</v>
      </c>
      <c r="AY138" s="285">
        <f t="shared" ca="1" si="356"/>
        <v>24</v>
      </c>
      <c r="AZ138" s="282"/>
      <c r="BH138" s="238">
        <f t="shared" si="251"/>
        <v>119</v>
      </c>
      <c r="BI138" s="112">
        <f t="shared" ca="1" si="342"/>
        <v>39539</v>
      </c>
      <c r="BK138" s="245" t="e">
        <f t="shared" ca="1" si="227"/>
        <v>#NUM!</v>
      </c>
      <c r="BL138" s="245" t="e">
        <f t="shared" ca="1" si="228"/>
        <v>#NUM!</v>
      </c>
      <c r="CL138" s="112"/>
      <c r="CM138" s="112"/>
      <c r="CP138" s="112"/>
      <c r="CQ138" s="112"/>
      <c r="CR138" s="112"/>
      <c r="CS138" s="112"/>
      <c r="CT138" s="112"/>
      <c r="CU138" s="112"/>
      <c r="CV138" s="112"/>
      <c r="CW138" s="112" t="s">
        <v>224</v>
      </c>
      <c r="CX138" s="112" t="s">
        <v>225</v>
      </c>
      <c r="CY138" s="112" t="s">
        <v>226</v>
      </c>
      <c r="CZ138" s="112" t="s">
        <v>227</v>
      </c>
      <c r="DA138" s="112" t="s">
        <v>228</v>
      </c>
      <c r="DB138" s="112" t="s">
        <v>229</v>
      </c>
      <c r="DC138" s="112"/>
      <c r="DD138" s="238"/>
      <c r="DE138" s="112"/>
      <c r="DF138" s="112"/>
      <c r="DG138" s="112"/>
      <c r="DH138" s="112"/>
      <c r="DI138" s="112"/>
      <c r="DJ138" s="112"/>
      <c r="DK138" s="112" t="str">
        <f t="shared" ca="1" si="229"/>
        <v/>
      </c>
      <c r="DL138" s="278" t="str">
        <f t="shared" ca="1" si="296"/>
        <v/>
      </c>
      <c r="DM138" s="245" t="str">
        <f t="shared" ref="DM138:DP138" ca="1" si="364">DM689</f>
        <v/>
      </c>
      <c r="DN138" s="245" t="str">
        <f t="shared" ca="1" si="364"/>
        <v/>
      </c>
      <c r="DO138" s="245" t="str">
        <f t="shared" ca="1" si="364"/>
        <v/>
      </c>
      <c r="DP138" s="245" t="str">
        <f t="shared" ca="1" si="364"/>
        <v/>
      </c>
      <c r="DQ138" s="281" t="str">
        <f t="shared" ca="1" si="298"/>
        <v/>
      </c>
      <c r="DR138" s="278" t="str">
        <f t="shared" ca="1" si="299"/>
        <v/>
      </c>
      <c r="DS138" s="244" t="str">
        <f t="shared" ca="1" si="350"/>
        <v/>
      </c>
      <c r="DT138" s="244" t="str">
        <f t="shared" ca="1" si="351"/>
        <v/>
      </c>
      <c r="DU138" s="244" t="str">
        <f t="shared" ca="1" si="300"/>
        <v/>
      </c>
      <c r="DV138" s="244" t="str">
        <f t="shared" ca="1" si="301"/>
        <v/>
      </c>
      <c r="DW138" s="244"/>
      <c r="DX138" s="244" t="e">
        <f t="shared" ca="1" si="360"/>
        <v>#N/A</v>
      </c>
      <c r="EW138" s="244">
        <v>0</v>
      </c>
      <c r="EX138" s="278" t="e">
        <f ca="1">VLOOKUP(DM138,Foglio1!$AB$31:$AN$261,13)-6+EW138</f>
        <v>#N/A</v>
      </c>
      <c r="EY138" s="244"/>
      <c r="EZ138" s="244">
        <v>0</v>
      </c>
      <c r="FA138" s="244" t="e">
        <f t="shared" ca="1" si="323"/>
        <v>#N/A</v>
      </c>
      <c r="FB138" s="244" t="e">
        <f t="shared" ca="1" si="324"/>
        <v>#N/A</v>
      </c>
      <c r="FC138" s="244" t="e">
        <f t="shared" ca="1" si="325"/>
        <v>#N/A</v>
      </c>
      <c r="FD138" s="244" t="e">
        <f t="shared" ca="1" si="326"/>
        <v>#N/A</v>
      </c>
      <c r="FE138" s="244" t="e">
        <f t="shared" ca="1" si="327"/>
        <v>#N/A</v>
      </c>
      <c r="FF138" s="244" t="e">
        <f t="shared" ca="1" si="328"/>
        <v>#N/A</v>
      </c>
      <c r="FG138" s="244" t="e">
        <f t="shared" ca="1" si="329"/>
        <v>#N/A</v>
      </c>
      <c r="FH138" s="244" t="e">
        <f t="shared" ca="1" si="330"/>
        <v>#N/A</v>
      </c>
      <c r="FI138" s="244" t="e">
        <f t="shared" ca="1" si="331"/>
        <v>#N/A</v>
      </c>
      <c r="FJ138" s="244" t="e">
        <f t="shared" ca="1" si="332"/>
        <v>#N/A</v>
      </c>
      <c r="FK138" s="244" t="e">
        <f t="shared" ca="1" si="333"/>
        <v>#N/A</v>
      </c>
      <c r="FL138" s="244" t="e">
        <f t="shared" ca="1" si="334"/>
        <v>#N/A</v>
      </c>
      <c r="FM138" s="244" t="e">
        <f t="shared" ca="1" si="321"/>
        <v>#REF!</v>
      </c>
      <c r="FN138" s="244"/>
    </row>
    <row r="139" spans="5:170" x14ac:dyDescent="0.25">
      <c r="E139" s="244"/>
      <c r="F139" s="240" t="str">
        <f>IF(fronttd!E141="","",fronttd!E141)</f>
        <v/>
      </c>
      <c r="G139" s="240" t="str">
        <f>IF(fronttd!F141="","",fronttd!F141)</f>
        <v/>
      </c>
      <c r="H139" s="380">
        <f>fronttd!G141</f>
        <v>0</v>
      </c>
      <c r="I139" s="380">
        <f>fronttd!H141</f>
        <v>0</v>
      </c>
      <c r="J139">
        <f t="shared" si="246"/>
        <v>24</v>
      </c>
      <c r="L139">
        <f t="shared" si="247"/>
        <v>139</v>
      </c>
      <c r="O139" s="238">
        <f t="shared" si="248"/>
        <v>139</v>
      </c>
      <c r="S139" s="238" t="e">
        <f t="shared" ca="1" si="218"/>
        <v>#N/A</v>
      </c>
      <c r="AG139" s="238">
        <f>AG138</f>
        <v>43</v>
      </c>
      <c r="AH139" s="112">
        <f ca="1">AI138+1</f>
        <v>39630</v>
      </c>
      <c r="AI139" s="112">
        <f ca="1">INDIRECT(CONCATENATE("AF",AG135))</f>
        <v>39629</v>
      </c>
      <c r="AJ139" s="112">
        <f t="shared" ca="1" si="292"/>
        <v>39629</v>
      </c>
      <c r="AK139" s="112">
        <f t="shared" ca="1" si="336"/>
        <v>39629</v>
      </c>
      <c r="AL139" s="238">
        <f t="shared" ca="1" si="294"/>
        <v>0</v>
      </c>
      <c r="AM139" s="112">
        <f t="shared" ca="1" si="285"/>
        <v>100000</v>
      </c>
      <c r="AN139" s="112">
        <f t="shared" ca="1" si="253"/>
        <v>100000</v>
      </c>
      <c r="AO139" s="114">
        <f t="shared" ca="1" si="222"/>
        <v>18</v>
      </c>
      <c r="AP139" s="114">
        <f t="shared" ca="1" si="223"/>
        <v>24</v>
      </c>
      <c r="AR139" s="238">
        <f t="shared" si="249"/>
        <v>139</v>
      </c>
      <c r="AU139" s="283">
        <f t="shared" si="355"/>
        <v>120</v>
      </c>
      <c r="AV139" s="284">
        <f t="shared" ca="1" si="224"/>
        <v>100000</v>
      </c>
      <c r="AW139" s="284">
        <f t="shared" ca="1" si="362"/>
        <v>100000</v>
      </c>
      <c r="AX139" s="285">
        <f t="shared" ca="1" si="363"/>
        <v>18</v>
      </c>
      <c r="AY139" s="285">
        <f t="shared" ca="1" si="356"/>
        <v>24</v>
      </c>
      <c r="AZ139" s="282"/>
      <c r="BH139" s="238">
        <f t="shared" si="251"/>
        <v>120</v>
      </c>
      <c r="BI139" s="112">
        <f t="shared" ca="1" si="342"/>
        <v>100000</v>
      </c>
      <c r="BK139" s="245" t="e">
        <f t="shared" ca="1" si="227"/>
        <v>#NUM!</v>
      </c>
      <c r="BL139" s="245" t="e">
        <f t="shared" ca="1" si="228"/>
        <v>#NUM!</v>
      </c>
      <c r="CL139" s="112"/>
      <c r="CM139" s="112"/>
      <c r="CP139" s="112"/>
      <c r="CQ139" s="112"/>
      <c r="CR139" s="112"/>
      <c r="CS139" s="112"/>
      <c r="CT139" s="112"/>
      <c r="CU139" s="112"/>
      <c r="CV139" s="112"/>
      <c r="CW139" s="112" t="s">
        <v>224</v>
      </c>
      <c r="CX139" s="112" t="s">
        <v>225</v>
      </c>
      <c r="CY139" s="112" t="s">
        <v>226</v>
      </c>
      <c r="CZ139" s="112" t="s">
        <v>227</v>
      </c>
      <c r="DA139" s="112" t="s">
        <v>228</v>
      </c>
      <c r="DB139" s="112" t="s">
        <v>229</v>
      </c>
      <c r="DC139" s="112"/>
      <c r="DD139" s="238"/>
      <c r="DE139" s="112"/>
      <c r="DF139" s="112"/>
      <c r="DG139" s="112"/>
      <c r="DH139" s="112"/>
      <c r="DI139" s="112"/>
      <c r="DJ139" s="112"/>
      <c r="DK139" s="112" t="str">
        <f t="shared" ca="1" si="229"/>
        <v/>
      </c>
      <c r="DL139" s="278" t="str">
        <f t="shared" ca="1" si="296"/>
        <v/>
      </c>
      <c r="DM139" s="245" t="str">
        <f t="shared" ref="DM139:DP139" ca="1" si="365">DM690</f>
        <v/>
      </c>
      <c r="DN139" s="245" t="str">
        <f t="shared" ca="1" si="365"/>
        <v/>
      </c>
      <c r="DO139" s="245" t="str">
        <f t="shared" ca="1" si="365"/>
        <v/>
      </c>
      <c r="DP139" s="245" t="str">
        <f t="shared" ca="1" si="365"/>
        <v/>
      </c>
      <c r="DQ139" s="281" t="str">
        <f t="shared" ca="1" si="298"/>
        <v/>
      </c>
      <c r="DR139" s="278" t="str">
        <f t="shared" ca="1" si="299"/>
        <v/>
      </c>
      <c r="DS139" s="244" t="str">
        <f t="shared" ca="1" si="350"/>
        <v/>
      </c>
      <c r="DT139" s="244" t="str">
        <f t="shared" ca="1" si="351"/>
        <v/>
      </c>
      <c r="DU139" s="244" t="str">
        <f t="shared" ca="1" si="300"/>
        <v/>
      </c>
      <c r="DV139" s="244" t="str">
        <f t="shared" ca="1" si="301"/>
        <v/>
      </c>
      <c r="DW139" s="244"/>
      <c r="DX139" s="244" t="e">
        <f t="shared" ca="1" si="360"/>
        <v>#N/A</v>
      </c>
      <c r="EW139" s="244">
        <v>0</v>
      </c>
      <c r="EX139" s="278" t="e">
        <f ca="1">VLOOKUP(DM139,Foglio1!$AB$31:$AN$261,13)-6+EW139</f>
        <v>#N/A</v>
      </c>
      <c r="EY139" s="244"/>
      <c r="EZ139" s="244">
        <v>0</v>
      </c>
      <c r="FA139" s="244" t="e">
        <f t="shared" ca="1" si="323"/>
        <v>#N/A</v>
      </c>
      <c r="FB139" s="244" t="e">
        <f t="shared" ca="1" si="324"/>
        <v>#N/A</v>
      </c>
      <c r="FC139" s="244" t="e">
        <f t="shared" ca="1" si="325"/>
        <v>#N/A</v>
      </c>
      <c r="FD139" s="244" t="e">
        <f t="shared" ca="1" si="326"/>
        <v>#N/A</v>
      </c>
      <c r="FE139" s="244" t="e">
        <f t="shared" ca="1" si="327"/>
        <v>#N/A</v>
      </c>
      <c r="FF139" s="244" t="e">
        <f t="shared" ca="1" si="328"/>
        <v>#N/A</v>
      </c>
      <c r="FG139" s="244" t="e">
        <f t="shared" ca="1" si="329"/>
        <v>#N/A</v>
      </c>
      <c r="FH139" s="244" t="e">
        <f t="shared" ca="1" si="330"/>
        <v>#N/A</v>
      </c>
      <c r="FI139" s="244" t="e">
        <f t="shared" ca="1" si="331"/>
        <v>#N/A</v>
      </c>
      <c r="FJ139" s="244" t="e">
        <f t="shared" ca="1" si="332"/>
        <v>#N/A</v>
      </c>
      <c r="FK139" s="244" t="e">
        <f t="shared" ca="1" si="333"/>
        <v>#N/A</v>
      </c>
      <c r="FL139" s="244" t="e">
        <f t="shared" ca="1" si="334"/>
        <v>#N/A</v>
      </c>
      <c r="FM139" s="244" t="e">
        <f t="shared" ca="1" si="321"/>
        <v>#REF!</v>
      </c>
      <c r="FN139" s="244"/>
    </row>
    <row r="140" spans="5:170" x14ac:dyDescent="0.25">
      <c r="E140" s="244"/>
      <c r="F140" s="240" t="str">
        <f>IF(fronttd!E142="","",fronttd!E142)</f>
        <v/>
      </c>
      <c r="G140" s="240" t="str">
        <f>IF(fronttd!F142="","",fronttd!F142)</f>
        <v/>
      </c>
      <c r="H140" s="380">
        <f>fronttd!G142</f>
        <v>0</v>
      </c>
      <c r="I140" s="380">
        <f>fronttd!H142</f>
        <v>0</v>
      </c>
      <c r="J140">
        <f t="shared" si="246"/>
        <v>24</v>
      </c>
      <c r="L140">
        <f t="shared" si="247"/>
        <v>140</v>
      </c>
      <c r="O140" s="238">
        <f t="shared" si="248"/>
        <v>140</v>
      </c>
      <c r="S140" s="238" t="e">
        <f t="shared" ca="1" si="218"/>
        <v>#N/A</v>
      </c>
      <c r="AG140" s="238">
        <f>AG139+1</f>
        <v>44</v>
      </c>
      <c r="AH140" s="112">
        <f ca="1">INDIRECT(CONCATENATE("AA",AG140))</f>
        <v>39692</v>
      </c>
      <c r="AI140" s="112">
        <f ca="1">IF(            INDIRECT(CONCATENATE( "AB",AG140))&lt;100000,       INDIRECT(CONCATENATE("AB",AG140))  -1,IF(   INDIRECT(CONCATENATE("AC",AG140))&lt;100000,   INDIRECT(CONCATENATE("AC",AG140))-1,IF(   INDIRECT(CONCATENATE("AD", AG140))&lt;100000, INDIRECT(CONCATENATE("AD",AG140))-1,IF(   INDIRECT(CONCATENATE("AE",AG140))&lt;100000,  INDIRECT(CONCATENATE("AE",G140)),INDIRECT(CONCATENATE("AF",AG140))                ))))</f>
        <v>39813</v>
      </c>
      <c r="AJ140" s="112">
        <f t="shared" ca="1" si="292"/>
        <v>39813</v>
      </c>
      <c r="AK140" s="112">
        <f t="shared" ca="1" si="336"/>
        <v>39813</v>
      </c>
      <c r="AL140" s="238">
        <f t="shared" ca="1" si="294"/>
        <v>1</v>
      </c>
      <c r="AM140" s="112">
        <f t="shared" ca="1" si="285"/>
        <v>39692</v>
      </c>
      <c r="AN140" s="112">
        <f t="shared" ca="1" si="253"/>
        <v>39813</v>
      </c>
      <c r="AO140" s="114">
        <f t="shared" ca="1" si="222"/>
        <v>18</v>
      </c>
      <c r="AP140" s="114">
        <f t="shared" ca="1" si="223"/>
        <v>24</v>
      </c>
      <c r="AR140" s="238">
        <f t="shared" si="249"/>
        <v>140</v>
      </c>
      <c r="AU140" s="283">
        <f t="shared" si="355"/>
        <v>121</v>
      </c>
      <c r="AV140" s="284">
        <f t="shared" ca="1" si="224"/>
        <v>100000</v>
      </c>
      <c r="AW140" s="284">
        <f t="shared" ca="1" si="362"/>
        <v>100000</v>
      </c>
      <c r="AX140" s="285">
        <f t="shared" ca="1" si="363"/>
        <v>18</v>
      </c>
      <c r="AY140" s="285">
        <f t="shared" ca="1" si="356"/>
        <v>24</v>
      </c>
      <c r="AZ140" s="282"/>
      <c r="BH140" s="238">
        <f t="shared" si="251"/>
        <v>121</v>
      </c>
      <c r="BI140" s="112">
        <f t="shared" ca="1" si="342"/>
        <v>39814</v>
      </c>
      <c r="BK140" s="245" t="e">
        <f t="shared" ca="1" si="227"/>
        <v>#NUM!</v>
      </c>
      <c r="BL140" s="245" t="e">
        <f t="shared" ca="1" si="228"/>
        <v>#NUM!</v>
      </c>
      <c r="CL140" s="112"/>
      <c r="CM140" s="112"/>
      <c r="CP140" s="112"/>
      <c r="CQ140" s="112"/>
      <c r="CR140" s="112"/>
      <c r="CS140" s="112"/>
      <c r="CT140" s="112"/>
      <c r="CU140" s="112"/>
      <c r="CV140" s="112"/>
      <c r="CW140" s="112" t="s">
        <v>224</v>
      </c>
      <c r="CX140" s="112" t="s">
        <v>225</v>
      </c>
      <c r="CY140" s="112" t="s">
        <v>226</v>
      </c>
      <c r="CZ140" s="112" t="s">
        <v>227</v>
      </c>
      <c r="DA140" s="112" t="s">
        <v>228</v>
      </c>
      <c r="DB140" s="112" t="s">
        <v>229</v>
      </c>
      <c r="DC140" s="112"/>
      <c r="DD140" s="238"/>
      <c r="DE140" s="112"/>
      <c r="DF140" s="112"/>
      <c r="DG140" s="112"/>
      <c r="DH140" s="112"/>
      <c r="DI140" s="112"/>
      <c r="DJ140" s="112"/>
      <c r="DK140" s="112" t="str">
        <f t="shared" ca="1" si="229"/>
        <v/>
      </c>
      <c r="DL140" s="278" t="str">
        <f t="shared" ca="1" si="296"/>
        <v/>
      </c>
      <c r="DM140" s="245" t="str">
        <f t="shared" ref="DM140:DP140" ca="1" si="366">DM691</f>
        <v/>
      </c>
      <c r="DN140" s="245" t="str">
        <f t="shared" ca="1" si="366"/>
        <v/>
      </c>
      <c r="DO140" s="245" t="str">
        <f t="shared" ca="1" si="366"/>
        <v/>
      </c>
      <c r="DP140" s="245" t="str">
        <f t="shared" ca="1" si="366"/>
        <v/>
      </c>
      <c r="DQ140" s="281" t="str">
        <f t="shared" ca="1" si="298"/>
        <v/>
      </c>
      <c r="DR140" s="278" t="str">
        <f t="shared" ca="1" si="299"/>
        <v/>
      </c>
      <c r="DS140" s="244" t="str">
        <f t="shared" ca="1" si="350"/>
        <v/>
      </c>
      <c r="DT140" s="244" t="str">
        <f t="shared" ca="1" si="351"/>
        <v/>
      </c>
      <c r="DU140" s="244" t="str">
        <f t="shared" ca="1" si="300"/>
        <v/>
      </c>
      <c r="DV140" s="244" t="str">
        <f t="shared" ca="1" si="301"/>
        <v/>
      </c>
      <c r="DW140" s="244"/>
      <c r="DX140" s="244" t="e">
        <f t="shared" ca="1" si="360"/>
        <v>#N/A</v>
      </c>
      <c r="EW140" s="244">
        <v>0</v>
      </c>
      <c r="EX140" s="278" t="e">
        <f ca="1">VLOOKUP(DM140,Foglio1!$AB$31:$AN$261,13)-6+EW140</f>
        <v>#N/A</v>
      </c>
      <c r="EY140" s="244"/>
      <c r="EZ140" s="244">
        <v>0</v>
      </c>
      <c r="FA140" s="244" t="e">
        <f t="shared" ca="1" si="323"/>
        <v>#N/A</v>
      </c>
      <c r="FB140" s="244" t="e">
        <f t="shared" ca="1" si="324"/>
        <v>#N/A</v>
      </c>
      <c r="FC140" s="244" t="e">
        <f t="shared" ca="1" si="325"/>
        <v>#N/A</v>
      </c>
      <c r="FD140" s="244" t="e">
        <f t="shared" ca="1" si="326"/>
        <v>#N/A</v>
      </c>
      <c r="FE140" s="244" t="e">
        <f t="shared" ca="1" si="327"/>
        <v>#N/A</v>
      </c>
      <c r="FF140" s="244" t="e">
        <f t="shared" ca="1" si="328"/>
        <v>#N/A</v>
      </c>
      <c r="FG140" s="244" t="e">
        <f t="shared" ca="1" si="329"/>
        <v>#N/A</v>
      </c>
      <c r="FH140" s="244" t="e">
        <f t="shared" ca="1" si="330"/>
        <v>#N/A</v>
      </c>
      <c r="FI140" s="244" t="e">
        <f t="shared" ca="1" si="331"/>
        <v>#N/A</v>
      </c>
      <c r="FJ140" s="244" t="e">
        <f t="shared" ca="1" si="332"/>
        <v>#N/A</v>
      </c>
      <c r="FK140" s="244" t="e">
        <f t="shared" ca="1" si="333"/>
        <v>#N/A</v>
      </c>
      <c r="FL140" s="244" t="e">
        <f t="shared" ca="1" si="334"/>
        <v>#N/A</v>
      </c>
      <c r="FM140" s="244" t="e">
        <f t="shared" ca="1" si="321"/>
        <v>#REF!</v>
      </c>
      <c r="FN140" s="244"/>
    </row>
    <row r="141" spans="5:170" x14ac:dyDescent="0.25">
      <c r="E141" s="244"/>
      <c r="F141" s="240" t="str">
        <f>IF(fronttd!E143="","",fronttd!E143)</f>
        <v/>
      </c>
      <c r="G141" s="240" t="str">
        <f>IF(fronttd!F143="","",fronttd!F143)</f>
        <v/>
      </c>
      <c r="H141" s="380">
        <f>fronttd!G143</f>
        <v>0</v>
      </c>
      <c r="I141" s="380">
        <f>fronttd!H143</f>
        <v>0</v>
      </c>
      <c r="J141">
        <f t="shared" si="246"/>
        <v>24</v>
      </c>
      <c r="L141">
        <f t="shared" si="247"/>
        <v>141</v>
      </c>
      <c r="O141" s="238">
        <f t="shared" si="248"/>
        <v>141</v>
      </c>
      <c r="S141" s="238" t="e">
        <f t="shared" ca="1" si="218"/>
        <v>#N/A</v>
      </c>
      <c r="AG141" s="238">
        <f>AG140</f>
        <v>44</v>
      </c>
      <c r="AH141" s="112">
        <f ca="1">AI140+1</f>
        <v>39814</v>
      </c>
      <c r="AI141" s="112">
        <f ca="1">IF(INDIRECT(CONCATENATE("AC",AG140))&lt;100000,INDIRECT(CONCATENATE("AC",AG140))-1,IF(INDIRECT(CONCATENATE("AD",AG140))&lt;100000,INDIRECT(CONCATENATE("AD",AG140))-1,IF(INDIRECT(CONCATENATE("AE",AG140))&lt;100000,INDIRECT(CONCATENATE("AE",G140)),INDIRECT(CONCATENATE("AF",AG140)))))</f>
        <v>39813</v>
      </c>
      <c r="AJ141" s="112">
        <f t="shared" ca="1" si="292"/>
        <v>39813</v>
      </c>
      <c r="AK141" s="112">
        <f t="shared" ca="1" si="336"/>
        <v>39813</v>
      </c>
      <c r="AL141" s="238">
        <f t="shared" ca="1" si="294"/>
        <v>0</v>
      </c>
      <c r="AM141" s="112">
        <f t="shared" ca="1" si="285"/>
        <v>100000</v>
      </c>
      <c r="AN141" s="112">
        <f t="shared" ca="1" si="253"/>
        <v>100000</v>
      </c>
      <c r="AO141" s="114">
        <f t="shared" ca="1" si="222"/>
        <v>18</v>
      </c>
      <c r="AP141" s="114">
        <f t="shared" ca="1" si="223"/>
        <v>24</v>
      </c>
      <c r="AR141" s="238">
        <f t="shared" si="249"/>
        <v>141</v>
      </c>
      <c r="AU141" s="283">
        <f t="shared" si="355"/>
        <v>122</v>
      </c>
      <c r="AV141" s="284">
        <f t="shared" ca="1" si="224"/>
        <v>100000</v>
      </c>
      <c r="AW141" s="284">
        <f t="shared" ca="1" si="362"/>
        <v>100000</v>
      </c>
      <c r="AX141" s="285">
        <f t="shared" ca="1" si="363"/>
        <v>18</v>
      </c>
      <c r="AY141" s="285">
        <f t="shared" ca="1" si="356"/>
        <v>24</v>
      </c>
      <c r="AZ141" s="282"/>
      <c r="BH141" s="238">
        <f t="shared" si="251"/>
        <v>122</v>
      </c>
      <c r="BI141" s="112">
        <f t="shared" ca="1" si="342"/>
        <v>40171</v>
      </c>
      <c r="BK141" s="245" t="e">
        <f t="shared" ca="1" si="227"/>
        <v>#NUM!</v>
      </c>
      <c r="BL141" s="245" t="e">
        <f t="shared" ca="1" si="228"/>
        <v>#NUM!</v>
      </c>
      <c r="CL141" s="112"/>
      <c r="CM141" s="112"/>
      <c r="CP141" s="112"/>
      <c r="CQ141" s="112"/>
      <c r="CR141" s="112"/>
      <c r="CS141" s="112"/>
      <c r="CT141" s="112"/>
      <c r="CU141" s="112"/>
      <c r="CV141" s="112"/>
      <c r="CW141" s="112" t="s">
        <v>224</v>
      </c>
      <c r="CX141" s="112" t="s">
        <v>225</v>
      </c>
      <c r="CY141" s="112" t="s">
        <v>226</v>
      </c>
      <c r="CZ141" s="112" t="s">
        <v>227</v>
      </c>
      <c r="DA141" s="112" t="s">
        <v>228</v>
      </c>
      <c r="DB141" s="112" t="s">
        <v>229</v>
      </c>
      <c r="DC141" s="112"/>
      <c r="DD141" s="238"/>
      <c r="DE141" s="112"/>
      <c r="DF141" s="112"/>
      <c r="DG141" s="112"/>
      <c r="DH141" s="112"/>
      <c r="DI141" s="112"/>
      <c r="DJ141" s="112"/>
      <c r="DK141" s="112" t="str">
        <f t="shared" ca="1" si="229"/>
        <v/>
      </c>
      <c r="DL141" s="278" t="str">
        <f t="shared" ca="1" si="296"/>
        <v/>
      </c>
      <c r="DM141" s="245" t="str">
        <f t="shared" ref="DM141:DP141" ca="1" si="367">DM692</f>
        <v/>
      </c>
      <c r="DN141" s="245" t="str">
        <f t="shared" ca="1" si="367"/>
        <v/>
      </c>
      <c r="DO141" s="245" t="str">
        <f t="shared" ca="1" si="367"/>
        <v/>
      </c>
      <c r="DP141" s="245" t="str">
        <f t="shared" ca="1" si="367"/>
        <v/>
      </c>
      <c r="DQ141" s="281" t="str">
        <f t="shared" ca="1" si="298"/>
        <v/>
      </c>
      <c r="DR141" s="278" t="str">
        <f t="shared" ca="1" si="299"/>
        <v/>
      </c>
      <c r="DS141" s="244" t="str">
        <f t="shared" ca="1" si="350"/>
        <v/>
      </c>
      <c r="DT141" s="244" t="str">
        <f t="shared" ca="1" si="351"/>
        <v/>
      </c>
      <c r="DU141" s="244" t="str">
        <f t="shared" ca="1" si="300"/>
        <v/>
      </c>
      <c r="DV141" s="244" t="str">
        <f t="shared" ca="1" si="301"/>
        <v/>
      </c>
      <c r="DW141" s="244"/>
      <c r="DX141" s="244" t="e">
        <f t="shared" ca="1" si="360"/>
        <v>#N/A</v>
      </c>
      <c r="EW141" s="244">
        <v>0</v>
      </c>
      <c r="EX141" s="278" t="e">
        <f ca="1">VLOOKUP(DM141,Foglio1!$AB$31:$AN$261,13)-6+EW141</f>
        <v>#N/A</v>
      </c>
      <c r="EY141" s="244"/>
      <c r="EZ141" s="244">
        <v>0</v>
      </c>
      <c r="FA141" s="244" t="e">
        <f t="shared" ca="1" si="323"/>
        <v>#N/A</v>
      </c>
      <c r="FB141" s="244" t="e">
        <f t="shared" ca="1" si="324"/>
        <v>#N/A</v>
      </c>
      <c r="FC141" s="244" t="e">
        <f t="shared" ca="1" si="325"/>
        <v>#N/A</v>
      </c>
      <c r="FD141" s="244" t="e">
        <f t="shared" ca="1" si="326"/>
        <v>#N/A</v>
      </c>
      <c r="FE141" s="244" t="e">
        <f t="shared" ca="1" si="327"/>
        <v>#N/A</v>
      </c>
      <c r="FF141" s="244" t="e">
        <f t="shared" ca="1" si="328"/>
        <v>#N/A</v>
      </c>
      <c r="FG141" s="244" t="e">
        <f t="shared" ca="1" si="329"/>
        <v>#N/A</v>
      </c>
      <c r="FH141" s="244" t="e">
        <f t="shared" ca="1" si="330"/>
        <v>#N/A</v>
      </c>
      <c r="FI141" s="244" t="e">
        <f t="shared" ca="1" si="331"/>
        <v>#N/A</v>
      </c>
      <c r="FJ141" s="244" t="e">
        <f t="shared" ca="1" si="332"/>
        <v>#N/A</v>
      </c>
      <c r="FK141" s="244" t="e">
        <f t="shared" ca="1" si="333"/>
        <v>#N/A</v>
      </c>
      <c r="FL141" s="244" t="e">
        <f t="shared" ca="1" si="334"/>
        <v>#N/A</v>
      </c>
      <c r="FM141" s="244" t="e">
        <f t="shared" ca="1" si="321"/>
        <v>#REF!</v>
      </c>
      <c r="FN141" s="244"/>
    </row>
    <row r="142" spans="5:170" x14ac:dyDescent="0.25">
      <c r="E142" s="244"/>
      <c r="F142" s="240" t="str">
        <f>IF(fronttd!E144="","",fronttd!E144)</f>
        <v/>
      </c>
      <c r="G142" s="240" t="str">
        <f>IF(fronttd!F144="","",fronttd!F144)</f>
        <v/>
      </c>
      <c r="H142" s="380">
        <f>fronttd!G144</f>
        <v>0</v>
      </c>
      <c r="I142" s="380">
        <f>fronttd!H144</f>
        <v>0</v>
      </c>
      <c r="J142">
        <f t="shared" si="246"/>
        <v>24</v>
      </c>
      <c r="O142" s="238">
        <f t="shared" si="248"/>
        <v>142</v>
      </c>
      <c r="S142" s="238" t="e">
        <f t="shared" ca="1" si="218"/>
        <v>#N/A</v>
      </c>
      <c r="AG142" s="238">
        <f>AG141</f>
        <v>44</v>
      </c>
      <c r="AH142" s="112">
        <f ca="1">AI141+1</f>
        <v>39814</v>
      </c>
      <c r="AI142" s="112">
        <f ca="1">IF(INDIRECT(CONCATENATE("AD",AG140))&lt;100000,INDIRECT(CONCATENATE("AD",AG140))-1,IF(INDIRECT(CONCATENATE("AE",AG140))&lt;100000,INDIRECT(CONCATENATE("AE",G140)),INDIRECT(CONCATENATE("AF",AG140))))</f>
        <v>39994</v>
      </c>
      <c r="AJ142" s="112">
        <f t="shared" ca="1" si="292"/>
        <v>39994</v>
      </c>
      <c r="AK142" s="112">
        <f t="shared" ca="1" si="336"/>
        <v>39994</v>
      </c>
      <c r="AL142" s="238">
        <f t="shared" ca="1" si="294"/>
        <v>1</v>
      </c>
      <c r="AM142" s="112">
        <f t="shared" ca="1" si="285"/>
        <v>39814</v>
      </c>
      <c r="AN142" s="112">
        <f t="shared" ca="1" si="253"/>
        <v>39994</v>
      </c>
      <c r="AO142" s="114">
        <f t="shared" ca="1" si="222"/>
        <v>18</v>
      </c>
      <c r="AP142" s="114">
        <f t="shared" ca="1" si="223"/>
        <v>24</v>
      </c>
      <c r="AR142" s="238">
        <f t="shared" si="249"/>
        <v>142</v>
      </c>
      <c r="AU142" s="283">
        <f t="shared" si="355"/>
        <v>123</v>
      </c>
      <c r="AV142" s="284">
        <f t="shared" ca="1" si="224"/>
        <v>100000</v>
      </c>
      <c r="AW142" s="284">
        <f t="shared" ca="1" si="362"/>
        <v>100000</v>
      </c>
      <c r="AX142" s="285">
        <f t="shared" ca="1" si="363"/>
        <v>18</v>
      </c>
      <c r="AY142" s="285">
        <f t="shared" ca="1" si="356"/>
        <v>24</v>
      </c>
      <c r="AZ142" s="282"/>
      <c r="BH142" s="238">
        <f t="shared" si="251"/>
        <v>123</v>
      </c>
      <c r="BI142" s="112">
        <f t="shared" ca="1" si="342"/>
        <v>100000</v>
      </c>
      <c r="BK142" s="245" t="e">
        <f t="shared" ca="1" si="227"/>
        <v>#NUM!</v>
      </c>
      <c r="BL142" s="245" t="e">
        <f t="shared" ca="1" si="228"/>
        <v>#NUM!</v>
      </c>
      <c r="CL142" s="112"/>
      <c r="CM142" s="112"/>
      <c r="CP142" s="112"/>
      <c r="CQ142" s="112"/>
      <c r="CR142" s="112"/>
      <c r="CS142" s="112"/>
      <c r="CT142" s="112"/>
      <c r="CU142" s="112"/>
      <c r="CV142" s="112"/>
      <c r="CW142" s="112" t="s">
        <v>224</v>
      </c>
      <c r="CX142" s="112" t="s">
        <v>225</v>
      </c>
      <c r="CY142" s="112" t="s">
        <v>226</v>
      </c>
      <c r="CZ142" s="112" t="s">
        <v>227</v>
      </c>
      <c r="DA142" s="112" t="s">
        <v>228</v>
      </c>
      <c r="DB142" s="112" t="s">
        <v>229</v>
      </c>
      <c r="DC142" s="112"/>
      <c r="DD142" s="238"/>
      <c r="DE142" s="112"/>
      <c r="DF142" s="112"/>
      <c r="DG142" s="112"/>
      <c r="DH142" s="112"/>
      <c r="DI142" s="112"/>
      <c r="DJ142" s="112"/>
      <c r="DK142" s="112" t="str">
        <f t="shared" ca="1" si="229"/>
        <v/>
      </c>
      <c r="DL142" s="278" t="str">
        <f t="shared" ca="1" si="296"/>
        <v/>
      </c>
      <c r="DM142" s="245" t="str">
        <f t="shared" ref="DM142:DP142" ca="1" si="368">DM693</f>
        <v/>
      </c>
      <c r="DN142" s="245" t="str">
        <f t="shared" ca="1" si="368"/>
        <v/>
      </c>
      <c r="DO142" s="245" t="str">
        <f t="shared" ca="1" si="368"/>
        <v/>
      </c>
      <c r="DP142" s="245" t="str">
        <f t="shared" ca="1" si="368"/>
        <v/>
      </c>
      <c r="DQ142" s="281" t="str">
        <f t="shared" ca="1" si="298"/>
        <v/>
      </c>
      <c r="DR142" s="278" t="str">
        <f t="shared" ca="1" si="299"/>
        <v/>
      </c>
      <c r="DS142" s="244" t="str">
        <f t="shared" ca="1" si="350"/>
        <v/>
      </c>
      <c r="DT142" s="244" t="str">
        <f t="shared" ca="1" si="351"/>
        <v/>
      </c>
      <c r="DU142" s="244" t="str">
        <f t="shared" ca="1" si="300"/>
        <v/>
      </c>
      <c r="DV142" s="244" t="str">
        <f t="shared" ca="1" si="301"/>
        <v/>
      </c>
      <c r="DW142" s="244"/>
      <c r="DX142" s="244" t="e">
        <f t="shared" ca="1" si="360"/>
        <v>#N/A</v>
      </c>
      <c r="EW142" s="244">
        <v>0</v>
      </c>
      <c r="EX142" s="278" t="e">
        <f ca="1">VLOOKUP(DM142,Foglio1!$AB$31:$AN$261,13)-6+EW142</f>
        <v>#N/A</v>
      </c>
      <c r="EY142" s="244"/>
      <c r="EZ142" s="244">
        <v>0</v>
      </c>
      <c r="FA142" s="244" t="e">
        <f t="shared" ref="FA142:FL147" ca="1" si="369">INDIRECT(CONCATENATE(EY$16,EY$17,$EB142))</f>
        <v>#REF!</v>
      </c>
      <c r="FB142" s="244" t="e">
        <f t="shared" ca="1" si="369"/>
        <v>#REF!</v>
      </c>
      <c r="FC142" s="244" t="e">
        <f t="shared" ca="1" si="369"/>
        <v>#REF!</v>
      </c>
      <c r="FD142" s="244" t="e">
        <f t="shared" ca="1" si="369"/>
        <v>#REF!</v>
      </c>
      <c r="FE142" s="244" t="e">
        <f t="shared" ca="1" si="369"/>
        <v>#REF!</v>
      </c>
      <c r="FF142" s="244" t="e">
        <f t="shared" ca="1" si="369"/>
        <v>#REF!</v>
      </c>
      <c r="FG142" s="244" t="e">
        <f t="shared" ca="1" si="369"/>
        <v>#REF!</v>
      </c>
      <c r="FH142" s="244" t="e">
        <f t="shared" ca="1" si="369"/>
        <v>#REF!</v>
      </c>
      <c r="FI142" s="244" t="e">
        <f t="shared" ca="1" si="369"/>
        <v>#REF!</v>
      </c>
      <c r="FJ142" s="244" t="e">
        <f t="shared" ca="1" si="369"/>
        <v>#REF!</v>
      </c>
      <c r="FK142" s="244" t="e">
        <f t="shared" ca="1" si="369"/>
        <v>#REF!</v>
      </c>
      <c r="FL142" s="244" t="e">
        <f t="shared" ca="1" si="369"/>
        <v>#REF!</v>
      </c>
      <c r="FM142" s="244" t="e">
        <f t="shared" ca="1" si="321"/>
        <v>#REF!</v>
      </c>
      <c r="FN142" s="244"/>
    </row>
    <row r="143" spans="5:170" x14ac:dyDescent="0.25">
      <c r="E143" s="244"/>
      <c r="F143" s="240" t="str">
        <f>IF(fronttd!E145="","",fronttd!E145)</f>
        <v/>
      </c>
      <c r="G143" s="240" t="str">
        <f>IF(fronttd!F145="","",fronttd!F145)</f>
        <v/>
      </c>
      <c r="H143" s="380">
        <f>fronttd!G145</f>
        <v>0</v>
      </c>
      <c r="I143" s="380">
        <f>fronttd!H145</f>
        <v>0</v>
      </c>
      <c r="J143">
        <f t="shared" si="246"/>
        <v>24</v>
      </c>
      <c r="O143" s="238">
        <f t="shared" si="248"/>
        <v>143</v>
      </c>
      <c r="S143" s="238" t="e">
        <f t="shared" ca="1" si="218"/>
        <v>#N/A</v>
      </c>
      <c r="AG143" s="238">
        <f>AG142</f>
        <v>44</v>
      </c>
      <c r="AH143" s="112">
        <f ca="1">AI142+1</f>
        <v>39995</v>
      </c>
      <c r="AI143" s="112">
        <f ca="1">IF(INDIRECT(CONCATENATE("AE",AG140))&lt;100000,INDIRECT(CONCATENATE("AE",G140)),INDIRECT(CONCATENATE("AF",AG140)))</f>
        <v>39994</v>
      </c>
      <c r="AJ143" s="112">
        <f t="shared" ca="1" si="292"/>
        <v>39994</v>
      </c>
      <c r="AK143" s="112">
        <f t="shared" ca="1" si="336"/>
        <v>39994</v>
      </c>
      <c r="AL143" s="238">
        <f t="shared" ca="1" si="294"/>
        <v>0</v>
      </c>
      <c r="AM143" s="112">
        <f t="shared" ca="1" si="285"/>
        <v>100000</v>
      </c>
      <c r="AN143" s="112">
        <f t="shared" ca="1" si="253"/>
        <v>100000</v>
      </c>
      <c r="AO143" s="114">
        <f t="shared" ca="1" si="222"/>
        <v>18</v>
      </c>
      <c r="AP143" s="114">
        <f t="shared" ca="1" si="223"/>
        <v>24</v>
      </c>
      <c r="AR143" s="238">
        <f t="shared" si="249"/>
        <v>143</v>
      </c>
      <c r="AU143" s="283">
        <f t="shared" si="355"/>
        <v>124</v>
      </c>
      <c r="AV143" s="284">
        <f t="shared" ca="1" si="224"/>
        <v>100000</v>
      </c>
      <c r="AW143" s="284">
        <f t="shared" ca="1" si="362"/>
        <v>100000</v>
      </c>
      <c r="AX143" s="285">
        <f t="shared" ca="1" si="363"/>
        <v>18</v>
      </c>
      <c r="AY143" s="285">
        <f t="shared" ca="1" si="356"/>
        <v>24</v>
      </c>
      <c r="AZ143" s="282"/>
      <c r="BH143" s="238">
        <f t="shared" si="251"/>
        <v>124</v>
      </c>
      <c r="BI143" s="112">
        <f t="shared" ca="1" si="342"/>
        <v>40360</v>
      </c>
      <c r="BK143" s="245" t="e">
        <f t="shared" ca="1" si="227"/>
        <v>#NUM!</v>
      </c>
      <c r="BL143" s="245" t="e">
        <f t="shared" ca="1" si="228"/>
        <v>#NUM!</v>
      </c>
      <c r="CL143" s="112"/>
      <c r="CM143" s="112"/>
      <c r="CP143" s="112"/>
      <c r="CQ143" s="112"/>
      <c r="CR143" s="112"/>
      <c r="CS143" s="112"/>
      <c r="CT143" s="112"/>
      <c r="CU143" s="112"/>
      <c r="CV143" s="112"/>
      <c r="CW143" s="112" t="s">
        <v>224</v>
      </c>
      <c r="CX143" s="112" t="s">
        <v>225</v>
      </c>
      <c r="CY143" s="112" t="s">
        <v>226</v>
      </c>
      <c r="CZ143" s="112" t="s">
        <v>227</v>
      </c>
      <c r="DA143" s="112" t="s">
        <v>228</v>
      </c>
      <c r="DB143" s="112" t="s">
        <v>229</v>
      </c>
      <c r="DC143" s="112"/>
      <c r="DD143" s="238"/>
      <c r="DE143" s="112"/>
      <c r="DF143" s="112"/>
      <c r="DG143" s="112"/>
      <c r="DH143" s="112"/>
      <c r="DI143" s="112"/>
      <c r="DJ143" s="112"/>
      <c r="DK143" s="112" t="str">
        <f t="shared" ca="1" si="229"/>
        <v/>
      </c>
      <c r="DL143" s="278" t="str">
        <f t="shared" ca="1" si="296"/>
        <v/>
      </c>
      <c r="DM143" s="245" t="str">
        <f t="shared" ref="DM143:DP143" ca="1" si="370">DM694</f>
        <v/>
      </c>
      <c r="DN143" s="245" t="str">
        <f t="shared" ca="1" si="370"/>
        <v/>
      </c>
      <c r="DO143" s="245" t="str">
        <f t="shared" ca="1" si="370"/>
        <v/>
      </c>
      <c r="DP143" s="245" t="str">
        <f t="shared" ca="1" si="370"/>
        <v/>
      </c>
      <c r="DQ143" s="281" t="str">
        <f t="shared" ca="1" si="298"/>
        <v/>
      </c>
      <c r="DR143" s="278" t="str">
        <f t="shared" ca="1" si="299"/>
        <v/>
      </c>
      <c r="DS143" s="244" t="str">
        <f t="shared" ca="1" si="350"/>
        <v/>
      </c>
      <c r="DT143" s="244" t="str">
        <f t="shared" ca="1" si="351"/>
        <v/>
      </c>
      <c r="DU143" s="244" t="str">
        <f t="shared" ca="1" si="300"/>
        <v/>
      </c>
      <c r="DV143" s="244" t="str">
        <f t="shared" ca="1" si="301"/>
        <v/>
      </c>
      <c r="DW143" s="244"/>
      <c r="DX143" s="244" t="e">
        <f t="shared" ca="1" si="360"/>
        <v>#N/A</v>
      </c>
      <c r="EW143" s="244">
        <v>0</v>
      </c>
      <c r="EX143" s="278" t="e">
        <f ca="1">VLOOKUP(DM143,Foglio1!$AB$31:$AN$261,13)-6+EW143</f>
        <v>#N/A</v>
      </c>
      <c r="EY143" s="244"/>
      <c r="EZ143" s="244">
        <v>0</v>
      </c>
      <c r="FA143" s="244" t="e">
        <f t="shared" ca="1" si="369"/>
        <v>#REF!</v>
      </c>
      <c r="FB143" s="244" t="e">
        <f t="shared" ca="1" si="369"/>
        <v>#REF!</v>
      </c>
      <c r="FC143" s="244" t="e">
        <f t="shared" ca="1" si="369"/>
        <v>#REF!</v>
      </c>
      <c r="FD143" s="244" t="e">
        <f t="shared" ca="1" si="369"/>
        <v>#REF!</v>
      </c>
      <c r="FE143" s="244" t="e">
        <f t="shared" ca="1" si="369"/>
        <v>#REF!</v>
      </c>
      <c r="FF143" s="244" t="e">
        <f t="shared" ca="1" si="369"/>
        <v>#REF!</v>
      </c>
      <c r="FG143" s="244" t="e">
        <f t="shared" ca="1" si="369"/>
        <v>#REF!</v>
      </c>
      <c r="FH143" s="244" t="e">
        <f t="shared" ca="1" si="369"/>
        <v>#REF!</v>
      </c>
      <c r="FI143" s="244" t="e">
        <f t="shared" ca="1" si="369"/>
        <v>#REF!</v>
      </c>
      <c r="FJ143" s="244" t="e">
        <f t="shared" ca="1" si="369"/>
        <v>#REF!</v>
      </c>
      <c r="FK143" s="244" t="e">
        <f t="shared" ca="1" si="369"/>
        <v>#REF!</v>
      </c>
      <c r="FL143" s="244" t="e">
        <f t="shared" ca="1" si="369"/>
        <v>#REF!</v>
      </c>
      <c r="FM143" s="244" t="e">
        <f t="shared" ca="1" si="321"/>
        <v>#REF!</v>
      </c>
      <c r="FN143" s="244"/>
    </row>
    <row r="144" spans="5:170" x14ac:dyDescent="0.25">
      <c r="E144" s="244"/>
      <c r="F144" s="240" t="str">
        <f>IF(fronttd!E146="","",fronttd!E146)</f>
        <v/>
      </c>
      <c r="G144" s="240" t="str">
        <f>IF(fronttd!F146="","",fronttd!F146)</f>
        <v/>
      </c>
      <c r="H144" s="380">
        <f>fronttd!G146</f>
        <v>0</v>
      </c>
      <c r="I144" s="380">
        <f>fronttd!H146</f>
        <v>0</v>
      </c>
      <c r="J144">
        <f t="shared" si="246"/>
        <v>24</v>
      </c>
      <c r="O144" s="238">
        <f t="shared" si="248"/>
        <v>144</v>
      </c>
      <c r="S144" s="238" t="e">
        <f t="shared" ca="1" si="218"/>
        <v>#N/A</v>
      </c>
      <c r="AG144" s="238">
        <f>AG143</f>
        <v>44</v>
      </c>
      <c r="AH144" s="112">
        <f ca="1">AI143+1</f>
        <v>39995</v>
      </c>
      <c r="AI144" s="112">
        <f ca="1">INDIRECT(CONCATENATE("AF",AG140))</f>
        <v>39994</v>
      </c>
      <c r="AJ144" s="112">
        <f t="shared" ca="1" si="292"/>
        <v>39994</v>
      </c>
      <c r="AK144" s="112">
        <f t="shared" ca="1" si="336"/>
        <v>39994</v>
      </c>
      <c r="AL144" s="238">
        <f t="shared" ca="1" si="294"/>
        <v>0</v>
      </c>
      <c r="AM144" s="112">
        <f t="shared" ca="1" si="285"/>
        <v>100000</v>
      </c>
      <c r="AN144" s="112">
        <f t="shared" ca="1" si="253"/>
        <v>100000</v>
      </c>
      <c r="AO144" s="114">
        <f t="shared" ca="1" si="222"/>
        <v>18</v>
      </c>
      <c r="AP144" s="114">
        <f t="shared" ca="1" si="223"/>
        <v>24</v>
      </c>
      <c r="AR144" s="238">
        <f t="shared" si="249"/>
        <v>144</v>
      </c>
      <c r="AU144" s="283">
        <f t="shared" si="355"/>
        <v>125</v>
      </c>
      <c r="AV144" s="284">
        <f t="shared" ca="1" si="224"/>
        <v>100000</v>
      </c>
      <c r="AW144" s="284">
        <f t="shared" ca="1" si="362"/>
        <v>100000</v>
      </c>
      <c r="AX144" s="285">
        <f t="shared" ca="1" si="363"/>
        <v>18</v>
      </c>
      <c r="AY144" s="285">
        <f t="shared" ca="1" si="356"/>
        <v>24</v>
      </c>
      <c r="AZ144" s="282"/>
      <c r="BH144" s="238">
        <f t="shared" si="251"/>
        <v>125</v>
      </c>
      <c r="BK144" s="245" t="e">
        <f t="shared" ca="1" si="227"/>
        <v>#NUM!</v>
      </c>
      <c r="CL144" s="112"/>
      <c r="CM144" s="112"/>
      <c r="CP144" s="112"/>
      <c r="CQ144" s="112"/>
      <c r="CR144" s="112"/>
      <c r="CS144" s="112"/>
      <c r="CT144" s="112"/>
      <c r="CU144" s="112"/>
      <c r="CV144" s="112"/>
      <c r="CW144" s="112" t="s">
        <v>224</v>
      </c>
      <c r="CX144" s="112" t="s">
        <v>225</v>
      </c>
      <c r="CY144" s="112" t="s">
        <v>226</v>
      </c>
      <c r="CZ144" s="112" t="s">
        <v>227</v>
      </c>
      <c r="DA144" s="112" t="s">
        <v>228</v>
      </c>
      <c r="DB144" s="112" t="s">
        <v>229</v>
      </c>
      <c r="DC144" s="112"/>
      <c r="DD144" s="238"/>
      <c r="DE144" s="112"/>
      <c r="DF144" s="112"/>
      <c r="DG144" s="112"/>
      <c r="DH144" s="112"/>
      <c r="DI144" s="112"/>
      <c r="DJ144" s="112"/>
      <c r="DK144" s="112" t="str">
        <f t="shared" ca="1" si="229"/>
        <v/>
      </c>
      <c r="DL144" s="278" t="str">
        <f t="shared" ca="1" si="296"/>
        <v/>
      </c>
      <c r="DM144" s="245" t="str">
        <f t="shared" ref="DM144:DP144" ca="1" si="371">DM695</f>
        <v/>
      </c>
      <c r="DN144" s="245" t="str">
        <f t="shared" ca="1" si="371"/>
        <v/>
      </c>
      <c r="DO144" s="245" t="str">
        <f t="shared" ca="1" si="371"/>
        <v/>
      </c>
      <c r="DP144" s="245" t="str">
        <f t="shared" ca="1" si="371"/>
        <v/>
      </c>
      <c r="DQ144" s="281" t="str">
        <f t="shared" ca="1" si="298"/>
        <v/>
      </c>
      <c r="DR144" s="278" t="str">
        <f t="shared" ca="1" si="299"/>
        <v/>
      </c>
      <c r="DS144" s="244" t="str">
        <f t="shared" ca="1" si="350"/>
        <v/>
      </c>
      <c r="DT144" s="244" t="str">
        <f t="shared" ca="1" si="351"/>
        <v/>
      </c>
      <c r="DU144" s="244" t="str">
        <f t="shared" ca="1" si="300"/>
        <v/>
      </c>
      <c r="DV144" s="244" t="str">
        <f t="shared" ca="1" si="301"/>
        <v/>
      </c>
      <c r="DW144" s="244"/>
      <c r="DX144" s="244" t="e">
        <f t="shared" ca="1" si="360"/>
        <v>#N/A</v>
      </c>
      <c r="EW144" s="244">
        <v>0</v>
      </c>
      <c r="EX144" s="278" t="e">
        <f ca="1">VLOOKUP(DM144,Foglio1!$AB$31:$AN$261,13)-6+EW144</f>
        <v>#N/A</v>
      </c>
      <c r="EY144" s="244"/>
      <c r="EZ144" s="244">
        <v>0</v>
      </c>
      <c r="FA144" s="244" t="e">
        <f t="shared" ca="1" si="369"/>
        <v>#REF!</v>
      </c>
      <c r="FB144" s="244" t="e">
        <f t="shared" ca="1" si="369"/>
        <v>#REF!</v>
      </c>
      <c r="FC144" s="244" t="e">
        <f t="shared" ca="1" si="369"/>
        <v>#REF!</v>
      </c>
      <c r="FD144" s="244" t="e">
        <f t="shared" ca="1" si="369"/>
        <v>#REF!</v>
      </c>
      <c r="FE144" s="244" t="e">
        <f t="shared" ca="1" si="369"/>
        <v>#REF!</v>
      </c>
      <c r="FF144" s="244" t="e">
        <f t="shared" ca="1" si="369"/>
        <v>#REF!</v>
      </c>
      <c r="FG144" s="244" t="e">
        <f t="shared" ca="1" si="369"/>
        <v>#REF!</v>
      </c>
      <c r="FH144" s="244" t="e">
        <f t="shared" ca="1" si="369"/>
        <v>#REF!</v>
      </c>
      <c r="FI144" s="244" t="e">
        <f t="shared" ca="1" si="369"/>
        <v>#REF!</v>
      </c>
      <c r="FJ144" s="244" t="e">
        <f t="shared" ca="1" si="369"/>
        <v>#REF!</v>
      </c>
      <c r="FK144" s="244" t="e">
        <f t="shared" ca="1" si="369"/>
        <v>#REF!</v>
      </c>
      <c r="FL144" s="244" t="e">
        <f t="shared" ca="1" si="369"/>
        <v>#REF!</v>
      </c>
      <c r="FM144" s="244" t="e">
        <f t="shared" ca="1" si="321"/>
        <v>#REF!</v>
      </c>
      <c r="FN144" s="244"/>
    </row>
    <row r="145" spans="5:170" x14ac:dyDescent="0.25">
      <c r="E145" s="244"/>
      <c r="F145" s="240" t="str">
        <f>IF(fronttd!E147="","",fronttd!E147)</f>
        <v/>
      </c>
      <c r="G145" s="240" t="str">
        <f>IF(fronttd!F147="","",fronttd!F147)</f>
        <v/>
      </c>
      <c r="H145" s="380">
        <f>fronttd!G147</f>
        <v>0</v>
      </c>
      <c r="I145" s="380">
        <f>fronttd!H147</f>
        <v>0</v>
      </c>
      <c r="J145">
        <f t="shared" si="246"/>
        <v>24</v>
      </c>
      <c r="O145" s="238">
        <f t="shared" si="248"/>
        <v>145</v>
      </c>
      <c r="S145" s="238" t="e">
        <f t="shared" ca="1" si="218"/>
        <v>#N/A</v>
      </c>
      <c r="AG145" s="238">
        <f>AG144+1</f>
        <v>45</v>
      </c>
      <c r="AH145" s="112">
        <f ca="1">INDIRECT(CONCATENATE("AA",AG145))</f>
        <v>40063</v>
      </c>
      <c r="AI145" s="112">
        <f ca="1">IF(            INDIRECT(CONCATENATE( "AB",AG145))&lt;100000,       INDIRECT(CONCATENATE("AB",AG145))  -1,IF(   INDIRECT(CONCATENATE("AC",AG145))&lt;100000,   INDIRECT(CONCATENATE("AC",AG145))-1,IF(   INDIRECT(CONCATENATE("AD", AG145))&lt;100000, INDIRECT(CONCATENATE("AD",AG145))-1,IF(   INDIRECT(CONCATENATE("AE",AG145))&lt;100000,  INDIRECT(CONCATENATE("AE",G145)),INDIRECT(CONCATENATE("AF",AG145))                ))))</f>
        <v>40063</v>
      </c>
      <c r="AJ145" s="112">
        <f t="shared" ca="1" si="292"/>
        <v>40063</v>
      </c>
      <c r="AK145" s="112">
        <f t="shared" ca="1" si="336"/>
        <v>40063</v>
      </c>
      <c r="AL145" s="238">
        <f t="shared" ca="1" si="294"/>
        <v>1</v>
      </c>
      <c r="AM145" s="112">
        <f t="shared" ca="1" si="285"/>
        <v>40063</v>
      </c>
      <c r="AN145" s="112">
        <f t="shared" ca="1" si="253"/>
        <v>40063</v>
      </c>
      <c r="AO145" s="114">
        <f t="shared" ca="1" si="222"/>
        <v>18</v>
      </c>
      <c r="AP145" s="114">
        <f t="shared" ca="1" si="223"/>
        <v>24</v>
      </c>
      <c r="AR145" s="238">
        <f t="shared" si="249"/>
        <v>145</v>
      </c>
      <c r="AU145" s="283">
        <f t="shared" si="355"/>
        <v>126</v>
      </c>
      <c r="AV145" s="284">
        <f t="shared" ca="1" si="224"/>
        <v>100000</v>
      </c>
      <c r="AW145" s="284">
        <f t="shared" ca="1" si="362"/>
        <v>100000</v>
      </c>
      <c r="AX145" s="285">
        <f t="shared" ca="1" si="363"/>
        <v>18</v>
      </c>
      <c r="AY145" s="285">
        <f t="shared" ca="1" si="356"/>
        <v>24</v>
      </c>
      <c r="AZ145" s="282"/>
      <c r="BH145" s="238">
        <f t="shared" si="251"/>
        <v>126</v>
      </c>
      <c r="BK145" s="245" t="e">
        <f t="shared" ca="1" si="227"/>
        <v>#NUM!</v>
      </c>
      <c r="CL145" s="112"/>
      <c r="CM145" s="112"/>
      <c r="CP145" s="112"/>
      <c r="CQ145" s="112"/>
      <c r="CR145" s="112"/>
      <c r="CS145" s="112"/>
      <c r="CT145" s="112"/>
      <c r="CU145" s="112"/>
      <c r="CV145" s="112"/>
      <c r="CW145" s="112" t="s">
        <v>224</v>
      </c>
      <c r="CX145" s="112" t="s">
        <v>225</v>
      </c>
      <c r="CY145" s="112" t="s">
        <v>226</v>
      </c>
      <c r="CZ145" s="112" t="s">
        <v>227</v>
      </c>
      <c r="DA145" s="112" t="s">
        <v>228</v>
      </c>
      <c r="DB145" s="112" t="s">
        <v>229</v>
      </c>
      <c r="DC145" s="112"/>
      <c r="DD145" s="238"/>
      <c r="DE145" s="112"/>
      <c r="DF145" s="112"/>
      <c r="DG145" s="112"/>
      <c r="DH145" s="112"/>
      <c r="DI145" s="112"/>
      <c r="DJ145" s="112"/>
      <c r="DK145" s="112" t="str">
        <f t="shared" ca="1" si="229"/>
        <v/>
      </c>
      <c r="DL145" s="278" t="str">
        <f t="shared" ref="DL145" ca="1" si="372">IF(AV145&gt;90000,"",DL144+"1")</f>
        <v/>
      </c>
      <c r="DM145" s="245" t="str">
        <f t="shared" ref="DM145:DP145" ca="1" si="373">DM696</f>
        <v/>
      </c>
      <c r="DN145" s="245" t="str">
        <f t="shared" ca="1" si="373"/>
        <v/>
      </c>
      <c r="DO145" s="245" t="str">
        <f t="shared" ca="1" si="373"/>
        <v/>
      </c>
      <c r="DP145" s="245" t="str">
        <f t="shared" ca="1" si="373"/>
        <v/>
      </c>
      <c r="DQ145" s="281" t="str">
        <f t="shared" ca="1" si="298"/>
        <v/>
      </c>
      <c r="DR145" s="278" t="str">
        <f t="shared" ca="1" si="299"/>
        <v/>
      </c>
      <c r="DS145" s="244" t="str">
        <f t="shared" ca="1" si="350"/>
        <v/>
      </c>
      <c r="DT145" s="244" t="str">
        <f t="shared" ca="1" si="351"/>
        <v/>
      </c>
      <c r="DU145" s="244" t="str">
        <f t="shared" ca="1" si="300"/>
        <v/>
      </c>
      <c r="DV145" s="244" t="str">
        <f t="shared" ca="1" si="301"/>
        <v/>
      </c>
      <c r="DW145" s="244"/>
      <c r="DX145" s="244" t="e">
        <f t="shared" ca="1" si="360"/>
        <v>#N/A</v>
      </c>
      <c r="EW145" s="244">
        <v>0</v>
      </c>
      <c r="EX145" s="278" t="e">
        <f ca="1">VLOOKUP(DM145,Foglio1!$AB$31:$AN$261,13)-6+EW145</f>
        <v>#N/A</v>
      </c>
      <c r="EY145" s="244"/>
      <c r="EZ145" s="244">
        <v>0</v>
      </c>
      <c r="FA145" s="244" t="e">
        <f t="shared" ca="1" si="369"/>
        <v>#REF!</v>
      </c>
      <c r="FB145" s="244" t="e">
        <f t="shared" ca="1" si="369"/>
        <v>#REF!</v>
      </c>
      <c r="FC145" s="244" t="e">
        <f t="shared" ca="1" si="369"/>
        <v>#REF!</v>
      </c>
      <c r="FD145" s="244" t="e">
        <f t="shared" ca="1" si="369"/>
        <v>#REF!</v>
      </c>
      <c r="FE145" s="244" t="e">
        <f t="shared" ca="1" si="369"/>
        <v>#REF!</v>
      </c>
      <c r="FF145" s="244" t="e">
        <f t="shared" ca="1" si="369"/>
        <v>#REF!</v>
      </c>
      <c r="FG145" s="244" t="e">
        <f t="shared" ca="1" si="369"/>
        <v>#REF!</v>
      </c>
      <c r="FH145" s="244" t="e">
        <f t="shared" ca="1" si="369"/>
        <v>#REF!</v>
      </c>
      <c r="FI145" s="244" t="e">
        <f t="shared" ca="1" si="369"/>
        <v>#REF!</v>
      </c>
      <c r="FJ145" s="244" t="e">
        <f t="shared" ca="1" si="369"/>
        <v>#REF!</v>
      </c>
      <c r="FK145" s="244" t="e">
        <f t="shared" ca="1" si="369"/>
        <v>#REF!</v>
      </c>
      <c r="FL145" s="244" t="e">
        <f t="shared" ca="1" si="369"/>
        <v>#REF!</v>
      </c>
      <c r="FM145" s="244" t="e">
        <f t="shared" ca="1" si="321"/>
        <v>#REF!</v>
      </c>
      <c r="FN145" s="244"/>
    </row>
    <row r="146" spans="5:170" x14ac:dyDescent="0.25">
      <c r="E146" s="244"/>
      <c r="F146" s="240" t="str">
        <f>IF(fronttd!E148="","",fronttd!E148)</f>
        <v/>
      </c>
      <c r="G146" s="240" t="str">
        <f>IF(fronttd!F148="","",fronttd!F148)</f>
        <v/>
      </c>
      <c r="H146" s="380">
        <f>fronttd!G148</f>
        <v>0</v>
      </c>
      <c r="I146" s="380">
        <f>fronttd!H148</f>
        <v>0</v>
      </c>
      <c r="J146">
        <f t="shared" si="246"/>
        <v>24</v>
      </c>
      <c r="O146" s="238">
        <f t="shared" si="248"/>
        <v>146</v>
      </c>
      <c r="S146" s="238" t="e">
        <f t="shared" ca="1" si="218"/>
        <v>#N/A</v>
      </c>
      <c r="AG146" s="238">
        <f>AG145</f>
        <v>45</v>
      </c>
      <c r="AH146" s="112">
        <f ca="1">AI145+1</f>
        <v>40064</v>
      </c>
      <c r="AI146" s="112">
        <f ca="1">IF(INDIRECT(CONCATENATE("AC",AG145))&lt;100000,INDIRECT(CONCATENATE("AC",AG145))-1,IF(INDIRECT(CONCATENATE("AD",AG145))&lt;100000,INDIRECT(CONCATENATE("AD",AG145))-1,IF(INDIRECT(CONCATENATE("AE",AG145))&lt;100000,INDIRECT(CONCATENATE("AE",G145)),INDIRECT(CONCATENATE("AF",AG145)))))</f>
        <v>40063</v>
      </c>
      <c r="AJ146" s="112">
        <f t="shared" ca="1" si="292"/>
        <v>40063</v>
      </c>
      <c r="AK146" s="112">
        <f t="shared" ca="1" si="336"/>
        <v>40063</v>
      </c>
      <c r="AL146" s="238">
        <f t="shared" ca="1" si="294"/>
        <v>0</v>
      </c>
      <c r="AM146" s="112">
        <f t="shared" ca="1" si="285"/>
        <v>100000</v>
      </c>
      <c r="AN146" s="112">
        <f t="shared" ca="1" si="253"/>
        <v>100000</v>
      </c>
      <c r="AO146" s="114">
        <f t="shared" ca="1" si="222"/>
        <v>18</v>
      </c>
      <c r="AP146" s="114">
        <f t="shared" ca="1" si="223"/>
        <v>24</v>
      </c>
      <c r="AR146" s="238">
        <f t="shared" si="249"/>
        <v>146</v>
      </c>
      <c r="AU146" s="283">
        <f t="shared" si="355"/>
        <v>127</v>
      </c>
      <c r="AV146" s="284">
        <f t="shared" ca="1" si="224"/>
        <v>100000</v>
      </c>
      <c r="AW146" s="284">
        <f t="shared" ca="1" si="362"/>
        <v>100000</v>
      </c>
      <c r="AX146" s="285">
        <f t="shared" ca="1" si="363"/>
        <v>18</v>
      </c>
      <c r="AY146" s="285">
        <f t="shared" ca="1" si="356"/>
        <v>24</v>
      </c>
      <c r="AZ146" s="282"/>
      <c r="BH146" s="238">
        <f t="shared" si="251"/>
        <v>127</v>
      </c>
      <c r="BK146" s="245" t="e">
        <f t="shared" ca="1" si="227"/>
        <v>#NUM!</v>
      </c>
      <c r="CL146" s="112"/>
      <c r="CM146" s="112"/>
      <c r="CP146" s="112"/>
      <c r="CQ146" s="112"/>
      <c r="CR146" s="112"/>
      <c r="CS146" s="112"/>
      <c r="CT146" s="112"/>
      <c r="CU146" s="112"/>
      <c r="CV146" s="112"/>
      <c r="CW146" s="112" t="s">
        <v>224</v>
      </c>
      <c r="CX146" s="112" t="s">
        <v>225</v>
      </c>
      <c r="CY146" s="112" t="s">
        <v>226</v>
      </c>
      <c r="CZ146" s="112" t="s">
        <v>227</v>
      </c>
      <c r="DA146" s="112" t="s">
        <v>228</v>
      </c>
      <c r="DB146" s="112" t="s">
        <v>229</v>
      </c>
      <c r="DC146" s="112"/>
      <c r="DD146" s="238"/>
      <c r="DE146" s="112"/>
      <c r="DF146" s="112"/>
      <c r="DG146" s="112"/>
      <c r="DH146" s="112"/>
      <c r="DI146" s="112"/>
      <c r="DJ146" s="112"/>
      <c r="DK146" s="112"/>
      <c r="DL146" s="112"/>
      <c r="DM146" s="112" t="e">
        <f>SMALL($DG$20:$DG$343,DL146)</f>
        <v>#NUM!</v>
      </c>
      <c r="DN146" s="112" t="e">
        <f>VLOOKUP(DM146,$DG$20:$DH$343,2,)</f>
        <v>#NUM!</v>
      </c>
      <c r="DO146" s="112"/>
      <c r="DP146" s="112"/>
      <c r="DX146" t="e">
        <f t="shared" si="360"/>
        <v>#NUM!</v>
      </c>
      <c r="EW146" s="244">
        <v>0</v>
      </c>
      <c r="EX146" s="278" t="e">
        <f>VLOOKUP(DM146,Foglio1!$AB$31:$AN$261,13)-6</f>
        <v>#NUM!</v>
      </c>
      <c r="EY146" s="244"/>
      <c r="EZ146" s="244">
        <v>0</v>
      </c>
      <c r="FA146" s="244" t="e">
        <f t="shared" ca="1" si="369"/>
        <v>#REF!</v>
      </c>
      <c r="FB146" s="244" t="e">
        <f t="shared" ca="1" si="369"/>
        <v>#REF!</v>
      </c>
      <c r="FC146" s="244" t="e">
        <f t="shared" ca="1" si="369"/>
        <v>#REF!</v>
      </c>
      <c r="FD146" s="244" t="e">
        <f t="shared" ca="1" si="369"/>
        <v>#REF!</v>
      </c>
      <c r="FE146" s="244" t="e">
        <f t="shared" ca="1" si="369"/>
        <v>#REF!</v>
      </c>
      <c r="FF146" s="244" t="e">
        <f t="shared" ca="1" si="369"/>
        <v>#REF!</v>
      </c>
      <c r="FG146" s="244" t="e">
        <f t="shared" ca="1" si="369"/>
        <v>#REF!</v>
      </c>
      <c r="FH146" s="244" t="e">
        <f t="shared" ca="1" si="369"/>
        <v>#REF!</v>
      </c>
      <c r="FI146" s="244" t="e">
        <f t="shared" ca="1" si="369"/>
        <v>#REF!</v>
      </c>
      <c r="FJ146" s="244" t="e">
        <f t="shared" ca="1" si="369"/>
        <v>#REF!</v>
      </c>
      <c r="FK146" s="244" t="e">
        <f t="shared" ca="1" si="369"/>
        <v>#REF!</v>
      </c>
      <c r="FL146" s="244" t="e">
        <f t="shared" ca="1" si="369"/>
        <v>#REF!</v>
      </c>
      <c r="FM146" s="244" t="e">
        <f t="shared" ca="1" si="321"/>
        <v>#REF!</v>
      </c>
      <c r="FN146" s="244"/>
    </row>
    <row r="147" spans="5:170" x14ac:dyDescent="0.25">
      <c r="AG147" s="238">
        <f>AG146</f>
        <v>45</v>
      </c>
      <c r="AH147" s="112">
        <f ca="1">AI146+1</f>
        <v>40064</v>
      </c>
      <c r="AI147" s="112">
        <f ca="1">IF(INDIRECT(CONCATENATE("AD",AG145))&lt;100000,INDIRECT(CONCATENATE("AD",AG145))-1,IF(INDIRECT(CONCATENATE("AE",AG145))&lt;100000,INDIRECT(CONCATENATE("AE",G145)),INDIRECT(CONCATENATE("AF",AG145))))</f>
        <v>40063</v>
      </c>
      <c r="AJ147" s="112">
        <f t="shared" ca="1" si="292"/>
        <v>40063</v>
      </c>
      <c r="AK147" s="112">
        <f t="shared" ca="1" si="336"/>
        <v>40063</v>
      </c>
      <c r="AL147" s="238">
        <f t="shared" ca="1" si="294"/>
        <v>0</v>
      </c>
      <c r="AM147" s="112">
        <f t="shared" ca="1" si="285"/>
        <v>100000</v>
      </c>
      <c r="AN147" s="112">
        <f t="shared" ca="1" si="253"/>
        <v>100000</v>
      </c>
      <c r="AO147" s="114">
        <f t="shared" ca="1" si="222"/>
        <v>18</v>
      </c>
      <c r="AP147" s="114">
        <f t="shared" ca="1" si="223"/>
        <v>24</v>
      </c>
      <c r="AR147" s="238">
        <f t="shared" si="249"/>
        <v>147</v>
      </c>
      <c r="AU147" s="283">
        <f t="shared" si="355"/>
        <v>128</v>
      </c>
      <c r="AV147" s="284">
        <f t="shared" ca="1" si="224"/>
        <v>100000</v>
      </c>
      <c r="AW147" s="284">
        <f t="shared" ca="1" si="362"/>
        <v>100000</v>
      </c>
      <c r="AX147" s="285">
        <f t="shared" ca="1" si="363"/>
        <v>18</v>
      </c>
      <c r="AY147" s="285">
        <f t="shared" ca="1" si="356"/>
        <v>24</v>
      </c>
      <c r="AZ147" s="282"/>
      <c r="BH147" s="238">
        <f t="shared" si="251"/>
        <v>128</v>
      </c>
      <c r="BK147" s="245" t="e">
        <f t="shared" ca="1" si="227"/>
        <v>#NUM!</v>
      </c>
      <c r="CL147" s="112"/>
      <c r="CM147" s="112"/>
      <c r="CP147" s="112"/>
      <c r="CQ147" s="112"/>
      <c r="CR147" s="112"/>
      <c r="CS147" s="112"/>
      <c r="CT147" s="112"/>
      <c r="CU147" s="112"/>
      <c r="CV147" s="112"/>
      <c r="CW147" s="112" t="s">
        <v>224</v>
      </c>
      <c r="CX147" s="112" t="s">
        <v>225</v>
      </c>
      <c r="CY147" s="112" t="s">
        <v>226</v>
      </c>
      <c r="CZ147" s="112" t="s">
        <v>227</v>
      </c>
      <c r="DA147" s="112" t="s">
        <v>228</v>
      </c>
      <c r="DB147" s="112" t="s">
        <v>229</v>
      </c>
      <c r="DC147" s="112"/>
      <c r="DD147" s="238"/>
      <c r="DE147" s="112"/>
      <c r="DF147" s="112"/>
      <c r="DG147" s="112"/>
      <c r="DH147" s="112"/>
      <c r="DI147" s="112"/>
      <c r="DJ147" s="112"/>
      <c r="DK147" s="112"/>
      <c r="DL147" s="112"/>
      <c r="DM147" s="112" t="e">
        <f>SMALL($DG$20:$DG$343,DL147)</f>
        <v>#NUM!</v>
      </c>
      <c r="DN147" s="112" t="e">
        <f>VLOOKUP(DM147,$DG$20:$DH$343,2,)</f>
        <v>#NUM!</v>
      </c>
      <c r="DO147" s="112"/>
      <c r="DP147" s="112"/>
      <c r="DX147" t="e">
        <f t="shared" si="360"/>
        <v>#NUM!</v>
      </c>
      <c r="EW147" s="244">
        <v>0</v>
      </c>
      <c r="EX147" s="278" t="e">
        <f>VLOOKUP(DM147,Foglio1!$AB$31:$AN$261,13)-6</f>
        <v>#NUM!</v>
      </c>
      <c r="EY147" s="244"/>
      <c r="EZ147" s="244">
        <v>0</v>
      </c>
      <c r="FA147" s="244" t="e">
        <f t="shared" ca="1" si="369"/>
        <v>#REF!</v>
      </c>
      <c r="FB147" s="244" t="e">
        <f t="shared" ca="1" si="369"/>
        <v>#REF!</v>
      </c>
      <c r="FC147" s="244" t="e">
        <f t="shared" ca="1" si="369"/>
        <v>#REF!</v>
      </c>
      <c r="FD147" s="244" t="e">
        <f t="shared" ca="1" si="369"/>
        <v>#REF!</v>
      </c>
      <c r="FE147" s="244" t="e">
        <f t="shared" ca="1" si="369"/>
        <v>#REF!</v>
      </c>
      <c r="FF147" s="244" t="e">
        <f t="shared" ca="1" si="369"/>
        <v>#REF!</v>
      </c>
      <c r="FG147" s="244" t="e">
        <f t="shared" ca="1" si="369"/>
        <v>#REF!</v>
      </c>
      <c r="FH147" s="244" t="e">
        <f t="shared" ca="1" si="369"/>
        <v>#REF!</v>
      </c>
      <c r="FI147" s="244" t="e">
        <f t="shared" ca="1" si="369"/>
        <v>#REF!</v>
      </c>
      <c r="FJ147" s="244" t="e">
        <f t="shared" ca="1" si="369"/>
        <v>#REF!</v>
      </c>
      <c r="FK147" s="244" t="e">
        <f t="shared" ca="1" si="369"/>
        <v>#REF!</v>
      </c>
      <c r="FL147" s="244" t="e">
        <f t="shared" ca="1" si="369"/>
        <v>#REF!</v>
      </c>
      <c r="FM147" s="244" t="e">
        <f t="shared" ca="1" si="321"/>
        <v>#REF!</v>
      </c>
      <c r="FN147" s="244"/>
    </row>
    <row r="148" spans="5:170" x14ac:dyDescent="0.25">
      <c r="AG148" s="238">
        <f>AG147</f>
        <v>45</v>
      </c>
      <c r="AH148" s="112">
        <f ca="1">AI147+1</f>
        <v>40064</v>
      </c>
      <c r="AI148" s="112">
        <f ca="1">IF(INDIRECT(CONCATENATE("AE",AG145))&lt;100000,INDIRECT(CONCATENATE("AE",G145)),INDIRECT(CONCATENATE("AF",AG145)))</f>
        <v>40063</v>
      </c>
      <c r="AJ148" s="112">
        <f t="shared" ca="1" si="292"/>
        <v>40063</v>
      </c>
      <c r="AK148" s="112">
        <f t="shared" ca="1" si="336"/>
        <v>40063</v>
      </c>
      <c r="AL148" s="238">
        <f t="shared" ca="1" si="294"/>
        <v>0</v>
      </c>
      <c r="AM148" s="112">
        <f t="shared" ca="1" si="285"/>
        <v>100000</v>
      </c>
      <c r="AN148" s="112">
        <f t="shared" ca="1" si="253"/>
        <v>100000</v>
      </c>
      <c r="AO148" s="114">
        <f t="shared" ca="1" si="222"/>
        <v>18</v>
      </c>
      <c r="AP148" s="114">
        <f t="shared" ca="1" si="223"/>
        <v>24</v>
      </c>
      <c r="AR148" s="238">
        <f t="shared" si="249"/>
        <v>148</v>
      </c>
      <c r="AU148" s="283">
        <f t="shared" si="355"/>
        <v>129</v>
      </c>
      <c r="AV148" s="284">
        <f t="shared" ca="1" si="224"/>
        <v>100000</v>
      </c>
      <c r="AW148" s="284">
        <f t="shared" ca="1" si="362"/>
        <v>100000</v>
      </c>
      <c r="AX148" s="285">
        <f t="shared" ca="1" si="363"/>
        <v>18</v>
      </c>
      <c r="AY148" s="285">
        <f t="shared" ca="1" si="356"/>
        <v>24</v>
      </c>
      <c r="AZ148" s="282"/>
      <c r="BH148" s="238">
        <f t="shared" si="251"/>
        <v>129</v>
      </c>
      <c r="BK148" s="245" t="e">
        <f t="shared" ca="1" si="227"/>
        <v>#NUM!</v>
      </c>
      <c r="CJ148" s="112"/>
      <c r="CK148" s="112"/>
      <c r="CN148" s="112"/>
      <c r="CO148" s="112"/>
      <c r="CP148" s="112"/>
      <c r="CQ148" s="112"/>
      <c r="CR148" s="112"/>
      <c r="CS148" s="112"/>
      <c r="CT148" s="112"/>
      <c r="CU148" s="112"/>
      <c r="CV148" s="112" t="s">
        <v>225</v>
      </c>
      <c r="CW148" s="112" t="s">
        <v>226</v>
      </c>
      <c r="CX148" s="112" t="s">
        <v>227</v>
      </c>
      <c r="CY148" s="112" t="s">
        <v>228</v>
      </c>
      <c r="CZ148" s="112" t="s">
        <v>229</v>
      </c>
      <c r="DA148" s="112"/>
      <c r="DB148" s="238">
        <f>DD145+1</f>
        <v>1</v>
      </c>
      <c r="DC148" s="112"/>
      <c r="DD148" s="112"/>
      <c r="DE148" s="112"/>
      <c r="DF148" s="112"/>
      <c r="DG148" s="112"/>
      <c r="DH148" s="112"/>
      <c r="DI148" s="112"/>
      <c r="DJ148" s="112"/>
      <c r="DK148" s="112" t="e">
        <f t="shared" ref="DK148:DK162" si="374">SMALL($DG$20:$DG$343,DJ148)</f>
        <v>#NUM!</v>
      </c>
      <c r="DL148" s="112" t="e">
        <f t="shared" ref="DL148:DL162" si="375">VLOOKUP(DK148,$DG$20:$DH$343,2,)</f>
        <v>#NUM!</v>
      </c>
      <c r="DM148" s="112"/>
      <c r="DN148" s="112"/>
      <c r="DV148" t="e">
        <f>VLOOKUP(DK148,$DL$8:$DM$14,2)</f>
        <v>#NUM!</v>
      </c>
      <c r="EU148" s="244">
        <v>0</v>
      </c>
      <c r="EV148" s="278" t="e">
        <f>VLOOKUP(DK148,Foglio1!$AB$31:$AN$261,13)-6</f>
        <v>#NUM!</v>
      </c>
      <c r="EW148" s="244"/>
      <c r="EX148" s="244" t="e">
        <f t="shared" ref="EX148:FK153" ca="1" si="376">INDIRECT(CONCATENATE(EX$16,EX$17,$DZ148))</f>
        <v>#REF!</v>
      </c>
      <c r="EY148" s="244" t="e">
        <f t="shared" ca="1" si="376"/>
        <v>#REF!</v>
      </c>
      <c r="EZ148" s="244">
        <v>0</v>
      </c>
      <c r="FA148" s="244" t="e">
        <f t="shared" ca="1" si="376"/>
        <v>#REF!</v>
      </c>
      <c r="FB148" s="244" t="e">
        <f t="shared" ca="1" si="376"/>
        <v>#REF!</v>
      </c>
      <c r="FC148" s="244" t="e">
        <f t="shared" ca="1" si="376"/>
        <v>#REF!</v>
      </c>
      <c r="FD148" s="244" t="e">
        <f t="shared" ca="1" si="376"/>
        <v>#REF!</v>
      </c>
      <c r="FE148" s="244" t="e">
        <f t="shared" ca="1" si="376"/>
        <v>#REF!</v>
      </c>
      <c r="FF148" s="244" t="e">
        <f t="shared" ca="1" si="376"/>
        <v>#REF!</v>
      </c>
      <c r="FG148" s="244" t="e">
        <f t="shared" ca="1" si="376"/>
        <v>#REF!</v>
      </c>
      <c r="FH148" s="244" t="e">
        <f t="shared" ca="1" si="376"/>
        <v>#REF!</v>
      </c>
      <c r="FI148" s="244" t="e">
        <f t="shared" ca="1" si="376"/>
        <v>#REF!</v>
      </c>
      <c r="FJ148" s="244" t="e">
        <f t="shared" ca="1" si="376"/>
        <v>#REF!</v>
      </c>
      <c r="FK148" s="244" t="e">
        <f t="shared" ca="1" si="376"/>
        <v>#REF!</v>
      </c>
      <c r="FL148" s="244"/>
    </row>
    <row r="149" spans="5:170" x14ac:dyDescent="0.25">
      <c r="AG149" s="238">
        <f>AG148</f>
        <v>45</v>
      </c>
      <c r="AH149" s="112">
        <f ca="1">AI148+1</f>
        <v>40064</v>
      </c>
      <c r="AI149" s="112">
        <f ca="1">INDIRECT(CONCATENATE("AF",AG145))</f>
        <v>40063</v>
      </c>
      <c r="AJ149" s="112">
        <f t="shared" ca="1" si="292"/>
        <v>40063</v>
      </c>
      <c r="AK149" s="112">
        <f t="shared" ca="1" si="336"/>
        <v>40063</v>
      </c>
      <c r="AL149" s="238">
        <f t="shared" ca="1" si="294"/>
        <v>0</v>
      </c>
      <c r="AM149" s="112">
        <f t="shared" ca="1" si="285"/>
        <v>100000</v>
      </c>
      <c r="AN149" s="112">
        <f t="shared" ca="1" si="253"/>
        <v>100000</v>
      </c>
      <c r="AO149" s="114">
        <f t="shared" ref="AO149:AO212" ca="1" si="377">INDIRECT(CONCATENATE("i",AG149))</f>
        <v>18</v>
      </c>
      <c r="AP149" s="114">
        <f t="shared" ref="AP149:AP212" ca="1" si="378">INDIRECT(CONCATENATE("J",AG149))</f>
        <v>24</v>
      </c>
      <c r="AR149" s="238">
        <f t="shared" si="249"/>
        <v>149</v>
      </c>
      <c r="AU149" s="283">
        <f t="shared" si="355"/>
        <v>130</v>
      </c>
      <c r="AV149" s="284">
        <f ca="1">SMALL($AM$20:$AM$564,AU149)</f>
        <v>100000</v>
      </c>
      <c r="AW149" s="284">
        <f t="shared" ca="1" si="362"/>
        <v>100000</v>
      </c>
      <c r="AX149" s="285">
        <f t="shared" ca="1" si="363"/>
        <v>18</v>
      </c>
      <c r="AY149" s="285">
        <f t="shared" ca="1" si="356"/>
        <v>24</v>
      </c>
      <c r="AZ149" s="282"/>
      <c r="BH149" s="238">
        <f t="shared" si="251"/>
        <v>130</v>
      </c>
      <c r="BK149" s="245" t="e">
        <f t="shared" ref="BK149:BK154" ca="1" si="379">SMALL($BI$20:$BI$154,BH149)</f>
        <v>#NUM!</v>
      </c>
      <c r="CJ149" s="112"/>
      <c r="CK149" s="112"/>
      <c r="CN149" s="112"/>
      <c r="CO149" s="112"/>
      <c r="CP149" s="112"/>
      <c r="CQ149" s="112"/>
      <c r="CR149" s="112"/>
      <c r="CS149" s="112"/>
      <c r="CT149" s="112"/>
      <c r="CU149" s="112"/>
      <c r="CV149" s="112" t="s">
        <v>225</v>
      </c>
      <c r="CW149" s="112" t="s">
        <v>226</v>
      </c>
      <c r="CX149" s="112" t="s">
        <v>227</v>
      </c>
      <c r="CY149" s="112" t="s">
        <v>228</v>
      </c>
      <c r="CZ149" s="112" t="s">
        <v>229</v>
      </c>
      <c r="DA149" s="112"/>
      <c r="DB149" s="238">
        <f>DD146+1</f>
        <v>1</v>
      </c>
      <c r="DC149" s="112"/>
      <c r="DD149" s="112"/>
      <c r="DE149" s="112"/>
      <c r="DF149" s="112"/>
      <c r="DG149" s="112"/>
      <c r="DH149" s="112"/>
      <c r="DI149" s="112"/>
      <c r="DJ149" s="112"/>
      <c r="DK149" s="112" t="e">
        <f t="shared" si="374"/>
        <v>#NUM!</v>
      </c>
      <c r="DL149" s="112" t="e">
        <f t="shared" si="375"/>
        <v>#NUM!</v>
      </c>
      <c r="DM149" s="112"/>
      <c r="DN149" s="112"/>
      <c r="EU149" s="244">
        <v>0</v>
      </c>
      <c r="EV149" s="278" t="e">
        <f>VLOOKUP(DK149,Foglio1!$AB$31:$AN$261,13)-6</f>
        <v>#NUM!</v>
      </c>
      <c r="EW149" s="244"/>
      <c r="EX149" s="244" t="e">
        <f t="shared" ca="1" si="376"/>
        <v>#REF!</v>
      </c>
      <c r="EY149" s="244" t="e">
        <f t="shared" ca="1" si="376"/>
        <v>#REF!</v>
      </c>
      <c r="EZ149" s="244">
        <v>0</v>
      </c>
      <c r="FA149" s="244" t="e">
        <f t="shared" ca="1" si="376"/>
        <v>#REF!</v>
      </c>
      <c r="FB149" s="244" t="e">
        <f t="shared" ca="1" si="376"/>
        <v>#REF!</v>
      </c>
      <c r="FC149" s="244" t="e">
        <f t="shared" ca="1" si="376"/>
        <v>#REF!</v>
      </c>
      <c r="FD149" s="244" t="e">
        <f t="shared" ca="1" si="376"/>
        <v>#REF!</v>
      </c>
      <c r="FE149" s="244" t="e">
        <f t="shared" ca="1" si="376"/>
        <v>#REF!</v>
      </c>
      <c r="FF149" s="244" t="e">
        <f t="shared" ca="1" si="376"/>
        <v>#REF!</v>
      </c>
      <c r="FG149" s="244" t="e">
        <f t="shared" ca="1" si="376"/>
        <v>#REF!</v>
      </c>
      <c r="FH149" s="244" t="e">
        <f t="shared" ca="1" si="376"/>
        <v>#REF!</v>
      </c>
      <c r="FI149" s="244" t="e">
        <f t="shared" ca="1" si="376"/>
        <v>#REF!</v>
      </c>
      <c r="FJ149" s="244" t="e">
        <f t="shared" ca="1" si="376"/>
        <v>#REF!</v>
      </c>
      <c r="FK149" s="244" t="e">
        <f t="shared" ca="1" si="376"/>
        <v>#REF!</v>
      </c>
      <c r="FL149" s="244"/>
    </row>
    <row r="150" spans="5:170" x14ac:dyDescent="0.25">
      <c r="AG150" s="238">
        <f>AG149+1</f>
        <v>46</v>
      </c>
      <c r="AH150" s="112">
        <f ca="1">INDIRECT(CONCATENATE("AA",AG150))</f>
        <v>40066</v>
      </c>
      <c r="AI150" s="112">
        <f ca="1">IF(            INDIRECT(CONCATENATE( "AB",AG150))&lt;100000,       INDIRECT(CONCATENATE("AB",AG150))  -1,IF(   INDIRECT(CONCATENATE("AC",AG150))&lt;100000,   INDIRECT(CONCATENATE("AC",AG150))-1,IF(   INDIRECT(CONCATENATE("AD", AG150))&lt;100000, INDIRECT(CONCATENATE("AD",AG150))-1,IF(   INDIRECT(CONCATENATE("AE",AG150))&lt;100000,  INDIRECT(CONCATENATE("AE",G150)),INDIRECT(CONCATENATE("AF",AG150))                ))))</f>
        <v>40170</v>
      </c>
      <c r="AJ150" s="112">
        <f t="shared" ca="1" si="292"/>
        <v>40170</v>
      </c>
      <c r="AK150" s="112">
        <f t="shared" ca="1" si="336"/>
        <v>40170</v>
      </c>
      <c r="AL150" s="238">
        <f t="shared" ca="1" si="294"/>
        <v>1</v>
      </c>
      <c r="AM150" s="112">
        <f t="shared" ca="1" si="285"/>
        <v>40066</v>
      </c>
      <c r="AN150" s="112">
        <f t="shared" ca="1" si="253"/>
        <v>40170</v>
      </c>
      <c r="AO150" s="114">
        <f t="shared" ca="1" si="377"/>
        <v>18</v>
      </c>
      <c r="AP150" s="114">
        <f t="shared" ca="1" si="378"/>
        <v>24</v>
      </c>
      <c r="AR150" s="238">
        <f t="shared" ref="AR150:AR213" si="380">AR149+1</f>
        <v>150</v>
      </c>
      <c r="AU150" s="283">
        <f t="shared" si="355"/>
        <v>131</v>
      </c>
      <c r="AV150" s="284">
        <f ca="1">SMALL($AM$20:$AM$564,AU150)</f>
        <v>100000</v>
      </c>
      <c r="AW150" s="284">
        <f t="shared" ca="1" si="362"/>
        <v>100000</v>
      </c>
      <c r="AX150" s="285">
        <f t="shared" ca="1" si="363"/>
        <v>18</v>
      </c>
      <c r="AY150" s="285">
        <f t="shared" ca="1" si="356"/>
        <v>24</v>
      </c>
      <c r="AZ150" s="282"/>
      <c r="BH150" s="238">
        <f>BH149+1</f>
        <v>131</v>
      </c>
      <c r="BK150" s="245" t="e">
        <f t="shared" ca="1" si="379"/>
        <v>#NUM!</v>
      </c>
      <c r="CJ150" s="112"/>
      <c r="CK150" s="112"/>
      <c r="CN150" s="112"/>
      <c r="CO150" s="112"/>
      <c r="CP150" s="112"/>
      <c r="CQ150" s="112"/>
      <c r="CR150" s="112"/>
      <c r="CS150" s="112"/>
      <c r="CT150" s="112"/>
      <c r="CU150" s="112"/>
      <c r="CV150" s="112" t="s">
        <v>225</v>
      </c>
      <c r="CW150" s="112" t="s">
        <v>226</v>
      </c>
      <c r="CX150" s="112" t="s">
        <v>227</v>
      </c>
      <c r="CY150" s="112" t="s">
        <v>228</v>
      </c>
      <c r="CZ150" s="112" t="s">
        <v>229</v>
      </c>
      <c r="DA150" s="112"/>
      <c r="DB150" s="238">
        <f>DD147+1</f>
        <v>1</v>
      </c>
      <c r="DC150" s="112"/>
      <c r="DD150" s="112"/>
      <c r="DE150" s="112"/>
      <c r="DF150" s="112"/>
      <c r="DG150" s="112"/>
      <c r="DH150" s="112"/>
      <c r="DI150" s="112"/>
      <c r="DJ150" s="112"/>
      <c r="DK150" s="112" t="e">
        <f t="shared" si="374"/>
        <v>#NUM!</v>
      </c>
      <c r="DL150" s="112" t="e">
        <f t="shared" si="375"/>
        <v>#NUM!</v>
      </c>
      <c r="DM150" s="112"/>
      <c r="DN150" s="112"/>
      <c r="EU150" s="244">
        <v>0</v>
      </c>
      <c r="EV150" s="278" t="e">
        <f>VLOOKUP(DK150,Foglio1!$AB$31:$AN$261,13)-6</f>
        <v>#NUM!</v>
      </c>
      <c r="EW150" s="244"/>
      <c r="EX150" s="244" t="e">
        <f t="shared" ca="1" si="376"/>
        <v>#REF!</v>
      </c>
      <c r="EY150" s="244" t="e">
        <f t="shared" ca="1" si="376"/>
        <v>#REF!</v>
      </c>
      <c r="EZ150" s="244">
        <v>0</v>
      </c>
      <c r="FA150" s="244" t="e">
        <f t="shared" ca="1" si="376"/>
        <v>#REF!</v>
      </c>
      <c r="FB150" s="244" t="e">
        <f t="shared" ca="1" si="376"/>
        <v>#REF!</v>
      </c>
      <c r="FC150" s="244" t="e">
        <f t="shared" ca="1" si="376"/>
        <v>#REF!</v>
      </c>
      <c r="FD150" s="244" t="e">
        <f t="shared" ca="1" si="376"/>
        <v>#REF!</v>
      </c>
      <c r="FE150" s="244" t="e">
        <f t="shared" ca="1" si="376"/>
        <v>#REF!</v>
      </c>
      <c r="FF150" s="244" t="e">
        <f t="shared" ca="1" si="376"/>
        <v>#REF!</v>
      </c>
      <c r="FG150" s="244" t="e">
        <f t="shared" ca="1" si="376"/>
        <v>#REF!</v>
      </c>
      <c r="FH150" s="244" t="e">
        <f t="shared" ca="1" si="376"/>
        <v>#REF!</v>
      </c>
      <c r="FI150" s="244" t="e">
        <f t="shared" ca="1" si="376"/>
        <v>#REF!</v>
      </c>
      <c r="FJ150" s="244" t="e">
        <f t="shared" ca="1" si="376"/>
        <v>#REF!</v>
      </c>
      <c r="FK150" s="244" t="e">
        <f t="shared" ca="1" si="376"/>
        <v>#REF!</v>
      </c>
      <c r="FL150" s="244"/>
    </row>
    <row r="151" spans="5:170" x14ac:dyDescent="0.25">
      <c r="AG151" s="238">
        <f>AG150</f>
        <v>46</v>
      </c>
      <c r="AH151" s="112">
        <f ca="1">AI150+1</f>
        <v>40171</v>
      </c>
      <c r="AI151" s="112">
        <f ca="1">IF(INDIRECT(CONCATENATE("AC",AG150))&lt;100000,INDIRECT(CONCATENATE("AC",AG150))-1,IF(INDIRECT(CONCATENATE("AD",AG150))&lt;100000,INDIRECT(CONCATENATE("AD",AG150))-1,IF(INDIRECT(CONCATENATE("AE",AG150))&lt;100000,INDIRECT(CONCATENATE("AE",G150)),INDIRECT(CONCATENATE("AF",AG150)))))</f>
        <v>40170</v>
      </c>
      <c r="AJ151" s="112">
        <f t="shared" ca="1" si="292"/>
        <v>40170</v>
      </c>
      <c r="AK151" s="112">
        <f t="shared" ca="1" si="336"/>
        <v>40170</v>
      </c>
      <c r="AL151" s="238">
        <f t="shared" ca="1" si="294"/>
        <v>0</v>
      </c>
      <c r="AM151" s="112">
        <f t="shared" ca="1" si="285"/>
        <v>100000</v>
      </c>
      <c r="AN151" s="112">
        <f t="shared" ref="AN151:AN214" ca="1" si="381">IF(AM151=100000,100000,AK151)</f>
        <v>100000</v>
      </c>
      <c r="AO151" s="114">
        <f t="shared" ca="1" si="377"/>
        <v>18</v>
      </c>
      <c r="AP151" s="114">
        <f t="shared" ca="1" si="378"/>
        <v>24</v>
      </c>
      <c r="AR151" s="238">
        <f t="shared" si="380"/>
        <v>151</v>
      </c>
      <c r="AU151" s="283">
        <f t="shared" si="355"/>
        <v>132</v>
      </c>
      <c r="AV151" s="284">
        <f ca="1">SMALL($AM$20:$AM$564,AU151)</f>
        <v>100000</v>
      </c>
      <c r="AW151" s="284">
        <f t="shared" ca="1" si="362"/>
        <v>100000</v>
      </c>
      <c r="AX151" s="285">
        <f t="shared" ca="1" si="363"/>
        <v>18</v>
      </c>
      <c r="AY151" s="285">
        <f t="shared" ca="1" si="356"/>
        <v>24</v>
      </c>
      <c r="AZ151" s="282"/>
      <c r="BH151" s="238">
        <f>BH150+1</f>
        <v>132</v>
      </c>
      <c r="BK151" s="245" t="e">
        <f t="shared" ca="1" si="379"/>
        <v>#NUM!</v>
      </c>
      <c r="CJ151" s="112"/>
      <c r="CK151" s="112"/>
      <c r="CN151" s="112"/>
      <c r="CO151" s="112"/>
      <c r="CP151" s="112"/>
      <c r="CQ151" s="112"/>
      <c r="CR151" s="112"/>
      <c r="CS151" s="112"/>
      <c r="CT151" s="112"/>
      <c r="CU151" s="112"/>
      <c r="CV151" s="112" t="s">
        <v>225</v>
      </c>
      <c r="CW151" s="112" t="s">
        <v>226</v>
      </c>
      <c r="CX151" s="112" t="s">
        <v>227</v>
      </c>
      <c r="CY151" s="112" t="s">
        <v>228</v>
      </c>
      <c r="CZ151" s="112" t="s">
        <v>229</v>
      </c>
      <c r="DA151" s="112"/>
      <c r="DB151" s="238">
        <f t="shared" ref="DB151:DB156" si="382">DB148+1</f>
        <v>2</v>
      </c>
      <c r="DC151" s="112"/>
      <c r="DD151" s="112"/>
      <c r="DE151" s="112"/>
      <c r="DF151" s="112"/>
      <c r="DG151" s="112"/>
      <c r="DH151" s="112"/>
      <c r="DI151" s="112"/>
      <c r="DJ151" s="112"/>
      <c r="DK151" s="112" t="e">
        <f t="shared" si="374"/>
        <v>#NUM!</v>
      </c>
      <c r="DL151" s="112" t="e">
        <f t="shared" si="375"/>
        <v>#NUM!</v>
      </c>
      <c r="DM151" s="112"/>
      <c r="DN151" s="112"/>
      <c r="EU151" s="244">
        <v>0</v>
      </c>
      <c r="EV151" s="278" t="e">
        <f>VLOOKUP(DK151,Foglio1!$AB$31:$AN$261,13)-6</f>
        <v>#NUM!</v>
      </c>
      <c r="EW151" s="244"/>
      <c r="EX151" s="244" t="e">
        <f t="shared" ca="1" si="376"/>
        <v>#REF!</v>
      </c>
      <c r="EY151" s="244" t="e">
        <f t="shared" ca="1" si="376"/>
        <v>#REF!</v>
      </c>
      <c r="EZ151" s="244">
        <v>0</v>
      </c>
      <c r="FA151" s="244" t="e">
        <f t="shared" ca="1" si="376"/>
        <v>#REF!</v>
      </c>
      <c r="FB151" s="244" t="e">
        <f t="shared" ca="1" si="376"/>
        <v>#REF!</v>
      </c>
      <c r="FC151" s="244" t="e">
        <f t="shared" ca="1" si="376"/>
        <v>#REF!</v>
      </c>
      <c r="FD151" s="244" t="e">
        <f t="shared" ca="1" si="376"/>
        <v>#REF!</v>
      </c>
      <c r="FE151" s="244" t="e">
        <f t="shared" ca="1" si="376"/>
        <v>#REF!</v>
      </c>
      <c r="FF151" s="244" t="e">
        <f t="shared" ca="1" si="376"/>
        <v>#REF!</v>
      </c>
      <c r="FG151" s="244" t="e">
        <f t="shared" ca="1" si="376"/>
        <v>#REF!</v>
      </c>
      <c r="FH151" s="244" t="e">
        <f t="shared" ca="1" si="376"/>
        <v>#REF!</v>
      </c>
      <c r="FI151" s="244" t="e">
        <f t="shared" ca="1" si="376"/>
        <v>#REF!</v>
      </c>
      <c r="FJ151" s="244" t="e">
        <f t="shared" ca="1" si="376"/>
        <v>#REF!</v>
      </c>
      <c r="FK151" s="244" t="e">
        <f t="shared" ca="1" si="376"/>
        <v>#REF!</v>
      </c>
      <c r="FL151" s="244"/>
    </row>
    <row r="152" spans="5:170" x14ac:dyDescent="0.25">
      <c r="AG152" s="238">
        <f>AG151</f>
        <v>46</v>
      </c>
      <c r="AH152" s="112">
        <f ca="1">AI151+1</f>
        <v>40171</v>
      </c>
      <c r="AI152" s="112">
        <f ca="1">IF(INDIRECT(CONCATENATE("AD",AG150))&lt;100000,INDIRECT(CONCATENATE("AD",AG150))-1,IF(INDIRECT(CONCATENATE("AE",AG150))&lt;100000,INDIRECT(CONCATENATE("AE",G150)),INDIRECT(CONCATENATE("AF",AG150))))</f>
        <v>40359</v>
      </c>
      <c r="AJ152" s="112">
        <f t="shared" ca="1" si="292"/>
        <v>40359</v>
      </c>
      <c r="AK152" s="112">
        <f t="shared" ca="1" si="336"/>
        <v>40359</v>
      </c>
      <c r="AL152" s="238">
        <f t="shared" ca="1" si="294"/>
        <v>1</v>
      </c>
      <c r="AM152" s="112">
        <f t="shared" ca="1" si="285"/>
        <v>40171</v>
      </c>
      <c r="AN152" s="112">
        <f t="shared" ca="1" si="381"/>
        <v>40359</v>
      </c>
      <c r="AO152" s="114">
        <f t="shared" ca="1" si="377"/>
        <v>18</v>
      </c>
      <c r="AP152" s="114">
        <f t="shared" ca="1" si="378"/>
        <v>24</v>
      </c>
      <c r="AR152" s="238">
        <f t="shared" si="380"/>
        <v>152</v>
      </c>
      <c r="AU152" s="283">
        <f t="shared" si="355"/>
        <v>133</v>
      </c>
      <c r="AV152" s="284">
        <f ca="1">SMALL($AM$20:$AM$564,AU152)</f>
        <v>100000</v>
      </c>
      <c r="AW152" s="284">
        <f t="shared" ca="1" si="362"/>
        <v>100000</v>
      </c>
      <c r="AX152" s="285">
        <f t="shared" ca="1" si="363"/>
        <v>18</v>
      </c>
      <c r="AY152" s="285">
        <f t="shared" ca="1" si="356"/>
        <v>24</v>
      </c>
      <c r="AZ152" s="282"/>
      <c r="BH152" s="238">
        <f>BH151+1</f>
        <v>133</v>
      </c>
      <c r="BK152" s="245" t="e">
        <f t="shared" ca="1" si="379"/>
        <v>#NUM!</v>
      </c>
      <c r="CJ152" s="112"/>
      <c r="CK152" s="112"/>
      <c r="CN152" s="112"/>
      <c r="CO152" s="112"/>
      <c r="CP152" s="112"/>
      <c r="CQ152" s="112"/>
      <c r="CR152" s="112"/>
      <c r="CS152" s="112"/>
      <c r="CT152" s="112"/>
      <c r="CU152" s="112"/>
      <c r="CV152" s="112" t="s">
        <v>225</v>
      </c>
      <c r="CW152" s="112" t="s">
        <v>226</v>
      </c>
      <c r="CX152" s="112" t="s">
        <v>227</v>
      </c>
      <c r="CY152" s="112" t="s">
        <v>228</v>
      </c>
      <c r="CZ152" s="112" t="s">
        <v>229</v>
      </c>
      <c r="DA152" s="112"/>
      <c r="DB152" s="238">
        <f t="shared" si="382"/>
        <v>2</v>
      </c>
      <c r="DC152" s="112"/>
      <c r="DD152" s="112"/>
      <c r="DE152" s="112"/>
      <c r="DF152" s="112"/>
      <c r="DG152" s="112"/>
      <c r="DH152" s="112"/>
      <c r="DI152" s="112"/>
      <c r="DJ152" s="112"/>
      <c r="DK152" s="112" t="e">
        <f t="shared" si="374"/>
        <v>#NUM!</v>
      </c>
      <c r="DL152" s="112" t="e">
        <f t="shared" si="375"/>
        <v>#NUM!</v>
      </c>
      <c r="DM152" s="112"/>
      <c r="DN152" s="112"/>
      <c r="EU152" s="244">
        <v>0</v>
      </c>
      <c r="EV152" s="278" t="e">
        <f>VLOOKUP(DK152,Foglio1!$AB$31:$AN$261,13)-6</f>
        <v>#NUM!</v>
      </c>
      <c r="EW152" s="244"/>
      <c r="EX152" s="244" t="e">
        <f t="shared" ca="1" si="376"/>
        <v>#REF!</v>
      </c>
      <c r="EY152" s="244" t="e">
        <f t="shared" ca="1" si="376"/>
        <v>#REF!</v>
      </c>
      <c r="EZ152" s="244">
        <v>0</v>
      </c>
      <c r="FA152" s="244" t="e">
        <f t="shared" ca="1" si="376"/>
        <v>#REF!</v>
      </c>
      <c r="FB152" s="244" t="e">
        <f t="shared" ca="1" si="376"/>
        <v>#REF!</v>
      </c>
      <c r="FC152" s="244" t="e">
        <f t="shared" ca="1" si="376"/>
        <v>#REF!</v>
      </c>
      <c r="FD152" s="244" t="e">
        <f t="shared" ca="1" si="376"/>
        <v>#REF!</v>
      </c>
      <c r="FE152" s="244" t="e">
        <f t="shared" ca="1" si="376"/>
        <v>#REF!</v>
      </c>
      <c r="FF152" s="244" t="e">
        <f t="shared" ca="1" si="376"/>
        <v>#REF!</v>
      </c>
      <c r="FG152" s="244" t="e">
        <f t="shared" ca="1" si="376"/>
        <v>#REF!</v>
      </c>
      <c r="FH152" s="244" t="e">
        <f t="shared" ca="1" si="376"/>
        <v>#REF!</v>
      </c>
      <c r="FI152" s="244" t="e">
        <f t="shared" ca="1" si="376"/>
        <v>#REF!</v>
      </c>
      <c r="FJ152" s="244" t="e">
        <f t="shared" ca="1" si="376"/>
        <v>#REF!</v>
      </c>
      <c r="FK152" s="244" t="e">
        <f t="shared" ca="1" si="376"/>
        <v>#REF!</v>
      </c>
      <c r="FL152" s="244"/>
    </row>
    <row r="153" spans="5:170" x14ac:dyDescent="0.25">
      <c r="AG153" s="238">
        <f>AG152</f>
        <v>46</v>
      </c>
      <c r="AH153" s="112">
        <f ca="1">AI152+1</f>
        <v>40360</v>
      </c>
      <c r="AI153" s="112">
        <f ca="1">IF(INDIRECT(CONCATENATE("AE",AG150))&lt;100000,INDIRECT(CONCATENATE("AE",G150)),INDIRECT(CONCATENATE("AF",AG150)))</f>
        <v>40421</v>
      </c>
      <c r="AJ153" s="112">
        <f t="shared" ca="1" si="292"/>
        <v>40421</v>
      </c>
      <c r="AK153" s="112">
        <f t="shared" ca="1" si="336"/>
        <v>40421</v>
      </c>
      <c r="AL153" s="238">
        <f t="shared" ca="1" si="294"/>
        <v>1</v>
      </c>
      <c r="AM153" s="112">
        <f t="shared" ca="1" si="285"/>
        <v>40360</v>
      </c>
      <c r="AN153" s="112">
        <f t="shared" ca="1" si="381"/>
        <v>40421</v>
      </c>
      <c r="AO153" s="114">
        <f t="shared" ca="1" si="377"/>
        <v>18</v>
      </c>
      <c r="AP153" s="114">
        <f t="shared" ca="1" si="378"/>
        <v>24</v>
      </c>
      <c r="AR153" s="238">
        <f t="shared" si="380"/>
        <v>153</v>
      </c>
      <c r="AU153" s="238">
        <f t="shared" ref="AU153:AU213" si="383">AU152+1</f>
        <v>134</v>
      </c>
      <c r="AV153" s="238"/>
      <c r="AW153" s="238"/>
      <c r="BH153" s="238">
        <f>BH152+1</f>
        <v>134</v>
      </c>
      <c r="BK153" s="245" t="e">
        <f t="shared" ca="1" si="379"/>
        <v>#NUM!</v>
      </c>
      <c r="CJ153" s="112"/>
      <c r="CK153" s="112"/>
      <c r="CN153" s="112"/>
      <c r="CO153" s="112"/>
      <c r="CP153" s="112"/>
      <c r="CQ153" s="112"/>
      <c r="CR153" s="112"/>
      <c r="CS153" s="112"/>
      <c r="CT153" s="112"/>
      <c r="CU153" s="112"/>
      <c r="CV153" s="112" t="s">
        <v>225</v>
      </c>
      <c r="CW153" s="112" t="s">
        <v>226</v>
      </c>
      <c r="CX153" s="112" t="s">
        <v>227</v>
      </c>
      <c r="CY153" s="112" t="s">
        <v>228</v>
      </c>
      <c r="CZ153" s="112" t="s">
        <v>229</v>
      </c>
      <c r="DA153" s="112"/>
      <c r="DB153" s="238">
        <f t="shared" si="382"/>
        <v>2</v>
      </c>
      <c r="DC153" s="112"/>
      <c r="DD153" s="112"/>
      <c r="DE153" s="112"/>
      <c r="DF153" s="112"/>
      <c r="DG153" s="112"/>
      <c r="DH153" s="112"/>
      <c r="DI153" s="112"/>
      <c r="DJ153" s="112"/>
      <c r="DK153" s="112" t="e">
        <f t="shared" si="374"/>
        <v>#NUM!</v>
      </c>
      <c r="DL153" s="112" t="e">
        <f t="shared" si="375"/>
        <v>#NUM!</v>
      </c>
      <c r="DM153" s="112"/>
      <c r="DN153" s="112"/>
      <c r="EU153" s="244">
        <v>0</v>
      </c>
      <c r="EV153" s="278" t="e">
        <f>VLOOKUP(DK153,Foglio1!$AB$31:$AN$261,13)-6</f>
        <v>#NUM!</v>
      </c>
      <c r="EW153" s="244"/>
      <c r="EX153" s="244" t="e">
        <f t="shared" ca="1" si="376"/>
        <v>#REF!</v>
      </c>
      <c r="EY153" s="244" t="e">
        <f t="shared" ca="1" si="376"/>
        <v>#REF!</v>
      </c>
      <c r="EZ153" s="244">
        <v>0</v>
      </c>
      <c r="FA153" s="244" t="e">
        <f t="shared" ca="1" si="376"/>
        <v>#REF!</v>
      </c>
      <c r="FB153" s="244" t="e">
        <f t="shared" ca="1" si="376"/>
        <v>#REF!</v>
      </c>
      <c r="FC153" s="244" t="e">
        <f t="shared" ca="1" si="376"/>
        <v>#REF!</v>
      </c>
      <c r="FD153" s="244" t="e">
        <f t="shared" ca="1" si="376"/>
        <v>#REF!</v>
      </c>
      <c r="FE153" s="244" t="e">
        <f t="shared" ca="1" si="376"/>
        <v>#REF!</v>
      </c>
      <c r="FF153" s="244" t="e">
        <f t="shared" ca="1" si="376"/>
        <v>#REF!</v>
      </c>
      <c r="FG153" s="244" t="e">
        <f t="shared" ca="1" si="376"/>
        <v>#REF!</v>
      </c>
      <c r="FH153" s="244" t="e">
        <f t="shared" ca="1" si="376"/>
        <v>#REF!</v>
      </c>
      <c r="FI153" s="244" t="e">
        <f t="shared" ca="1" si="376"/>
        <v>#REF!</v>
      </c>
      <c r="FJ153" s="244" t="e">
        <f t="shared" ca="1" si="376"/>
        <v>#REF!</v>
      </c>
      <c r="FK153" s="244" t="e">
        <f t="shared" ca="1" si="376"/>
        <v>#REF!</v>
      </c>
      <c r="FL153" s="244"/>
    </row>
    <row r="154" spans="5:170" x14ac:dyDescent="0.25">
      <c r="AG154" s="238">
        <f>AG153</f>
        <v>46</v>
      </c>
      <c r="AH154" s="112">
        <f ca="1">AI153+1</f>
        <v>40422</v>
      </c>
      <c r="AI154" s="112">
        <f ca="1">INDIRECT(CONCATENATE("AF",AG150))</f>
        <v>40421</v>
      </c>
      <c r="AJ154" s="112">
        <f t="shared" ca="1" si="292"/>
        <v>40421</v>
      </c>
      <c r="AK154" s="112">
        <f t="shared" ca="1" si="336"/>
        <v>40421</v>
      </c>
      <c r="AL154" s="238">
        <f t="shared" ca="1" si="294"/>
        <v>0</v>
      </c>
      <c r="AM154" s="112">
        <f t="shared" ca="1" si="285"/>
        <v>100000</v>
      </c>
      <c r="AN154" s="112">
        <f t="shared" ca="1" si="381"/>
        <v>100000</v>
      </c>
      <c r="AO154" s="114">
        <f t="shared" ca="1" si="377"/>
        <v>18</v>
      </c>
      <c r="AP154" s="114">
        <f t="shared" ca="1" si="378"/>
        <v>24</v>
      </c>
      <c r="AR154" s="238">
        <f t="shared" si="380"/>
        <v>154</v>
      </c>
      <c r="AU154" s="238">
        <f t="shared" si="383"/>
        <v>135</v>
      </c>
      <c r="AV154" s="238"/>
      <c r="AW154" s="238"/>
      <c r="BH154" s="238">
        <f>BH153+1</f>
        <v>135</v>
      </c>
      <c r="BK154" s="245" t="e">
        <f t="shared" ca="1" si="379"/>
        <v>#NUM!</v>
      </c>
      <c r="CJ154" s="112"/>
      <c r="CK154" s="112"/>
      <c r="CN154" s="112"/>
      <c r="CO154" s="112"/>
      <c r="CP154" s="112"/>
      <c r="CQ154" s="112"/>
      <c r="CR154" s="112"/>
      <c r="CS154" s="112"/>
      <c r="CT154" s="112"/>
      <c r="CU154" s="112"/>
      <c r="CV154" s="112" t="s">
        <v>225</v>
      </c>
      <c r="CW154" s="112" t="s">
        <v>226</v>
      </c>
      <c r="CX154" s="112" t="s">
        <v>227</v>
      </c>
      <c r="CY154" s="112" t="s">
        <v>228</v>
      </c>
      <c r="CZ154" s="112" t="s">
        <v>229</v>
      </c>
      <c r="DA154" s="112"/>
      <c r="DB154" s="238">
        <f t="shared" si="382"/>
        <v>3</v>
      </c>
      <c r="DC154" s="112"/>
      <c r="DD154" s="112"/>
      <c r="DE154" s="112"/>
      <c r="DF154" s="112"/>
      <c r="DG154" s="112"/>
      <c r="DH154" s="112"/>
      <c r="DI154" s="112"/>
      <c r="DJ154" s="112"/>
      <c r="DK154" s="112" t="e">
        <f t="shared" si="374"/>
        <v>#NUM!</v>
      </c>
      <c r="DL154" s="112" t="e">
        <f t="shared" si="375"/>
        <v>#NUM!</v>
      </c>
      <c r="DM154" s="112"/>
      <c r="DN154" s="112"/>
      <c r="EU154" s="244">
        <v>0</v>
      </c>
      <c r="EV154" s="278" t="e">
        <f>VLOOKUP(DK154,Foglio1!$AB$31:$AN$261,13)-6</f>
        <v>#NUM!</v>
      </c>
      <c r="EW154" s="244"/>
      <c r="EX154" s="244" t="e">
        <f t="shared" ref="EX154:EX162" ca="1" si="384">INDIRECT(CONCATENATE(EX$16,EX$17,$DZ154))</f>
        <v>#REF!</v>
      </c>
      <c r="EY154" s="244" t="e">
        <f t="shared" ref="EY154:FK162" ca="1" si="385">INDIRECT(CONCATENATE(EY$16,EY$17,$DZ154))</f>
        <v>#REF!</v>
      </c>
      <c r="EZ154" s="244">
        <v>0</v>
      </c>
      <c r="FA154" s="244" t="e">
        <f t="shared" ca="1" si="385"/>
        <v>#REF!</v>
      </c>
      <c r="FB154" s="244" t="e">
        <f t="shared" ca="1" si="385"/>
        <v>#REF!</v>
      </c>
      <c r="FC154" s="244" t="e">
        <f t="shared" ca="1" si="385"/>
        <v>#REF!</v>
      </c>
      <c r="FD154" s="244" t="e">
        <f t="shared" ca="1" si="385"/>
        <v>#REF!</v>
      </c>
      <c r="FE154" s="244" t="e">
        <f t="shared" ca="1" si="385"/>
        <v>#REF!</v>
      </c>
      <c r="FF154" s="244" t="e">
        <f t="shared" ca="1" si="385"/>
        <v>#REF!</v>
      </c>
      <c r="FG154" s="244" t="e">
        <f t="shared" ca="1" si="385"/>
        <v>#REF!</v>
      </c>
      <c r="FH154" s="244" t="e">
        <f t="shared" ca="1" si="385"/>
        <v>#REF!</v>
      </c>
      <c r="FI154" s="244" t="e">
        <f t="shared" ca="1" si="385"/>
        <v>#REF!</v>
      </c>
      <c r="FJ154" s="244" t="e">
        <f t="shared" ca="1" si="385"/>
        <v>#REF!</v>
      </c>
      <c r="FK154" s="244" t="e">
        <f t="shared" ca="1" si="385"/>
        <v>#REF!</v>
      </c>
      <c r="FL154" s="244"/>
    </row>
    <row r="155" spans="5:170" x14ac:dyDescent="0.25">
      <c r="AG155" s="238">
        <f>AG154+1</f>
        <v>47</v>
      </c>
      <c r="AH155" s="112">
        <f ca="1">INDIRECT(CONCATENATE("AA",AG155))</f>
        <v>40430</v>
      </c>
      <c r="AI155" s="112" t="e">
        <f ca="1">IF(            INDIRECT(CONCATENATE( "AB",AG155))&lt;100000,       INDIRECT(CONCATENATE("AB",AG155))  -1,IF(   INDIRECT(CONCATENATE("AC",AG155))&lt;100000,   INDIRECT(CONCATENATE("AC",AG155))-1,IF(   INDIRECT(CONCATENATE("AD", AG155))&lt;100000, INDIRECT(CONCATENATE("AD",AG155))-1,IF(   INDIRECT(CONCATENATE("AE",AG155))&lt;100000,  INDIRECT(CONCATENATE("AE",G155)),INDIRECT(CONCATENATE("AF",AG155))                ))))</f>
        <v>#REF!</v>
      </c>
      <c r="AJ155" s="112">
        <f t="shared" ca="1" si="292"/>
        <v>40739</v>
      </c>
      <c r="AK155" s="112">
        <f t="shared" ca="1" si="336"/>
        <v>40739</v>
      </c>
      <c r="AL155" s="238">
        <f t="shared" ca="1" si="294"/>
        <v>1</v>
      </c>
      <c r="AM155" s="112">
        <f t="shared" ca="1" si="285"/>
        <v>40430</v>
      </c>
      <c r="AN155" s="112">
        <f t="shared" ca="1" si="381"/>
        <v>40739</v>
      </c>
      <c r="AO155" s="114">
        <f t="shared" ca="1" si="377"/>
        <v>18</v>
      </c>
      <c r="AP155" s="114">
        <f t="shared" ca="1" si="378"/>
        <v>24</v>
      </c>
      <c r="AR155" s="238">
        <f t="shared" si="380"/>
        <v>155</v>
      </c>
      <c r="AU155" s="238">
        <f t="shared" si="383"/>
        <v>136</v>
      </c>
      <c r="AV155" s="238"/>
      <c r="AW155" s="238"/>
      <c r="CJ155" s="112"/>
      <c r="CK155" s="112"/>
      <c r="CN155" s="112"/>
      <c r="CO155" s="112"/>
      <c r="CP155" s="112"/>
      <c r="CQ155" s="112"/>
      <c r="CR155" s="112"/>
      <c r="CS155" s="112"/>
      <c r="CT155" s="112"/>
      <c r="CU155" s="112"/>
      <c r="CV155" s="112" t="s">
        <v>225</v>
      </c>
      <c r="CW155" s="112" t="s">
        <v>226</v>
      </c>
      <c r="CX155" s="112" t="s">
        <v>227</v>
      </c>
      <c r="CY155" s="112" t="s">
        <v>228</v>
      </c>
      <c r="CZ155" s="112" t="s">
        <v>229</v>
      </c>
      <c r="DA155" s="112"/>
      <c r="DB155" s="238">
        <f t="shared" si="382"/>
        <v>3</v>
      </c>
      <c r="DC155" s="112"/>
      <c r="DD155" s="112"/>
      <c r="DE155" s="112"/>
      <c r="DF155" s="112"/>
      <c r="DG155" s="112"/>
      <c r="DH155" s="112"/>
      <c r="DI155" s="112"/>
      <c r="DJ155" s="112"/>
      <c r="DK155" s="112" t="e">
        <f t="shared" si="374"/>
        <v>#NUM!</v>
      </c>
      <c r="DL155" s="112" t="e">
        <f t="shared" si="375"/>
        <v>#NUM!</v>
      </c>
      <c r="DM155" s="112"/>
      <c r="DN155" s="112"/>
      <c r="EU155" s="244">
        <v>0</v>
      </c>
      <c r="EV155" s="278" t="e">
        <f>VLOOKUP(DK155,Foglio1!$AB$31:$AN$261,13)-6</f>
        <v>#NUM!</v>
      </c>
      <c r="EW155" s="244"/>
      <c r="EX155" s="244" t="e">
        <f t="shared" ca="1" si="384"/>
        <v>#REF!</v>
      </c>
      <c r="EY155" s="244" t="e">
        <f t="shared" ca="1" si="385"/>
        <v>#REF!</v>
      </c>
      <c r="EZ155" s="244">
        <v>0</v>
      </c>
      <c r="FA155" s="244" t="e">
        <f t="shared" ca="1" si="385"/>
        <v>#REF!</v>
      </c>
      <c r="FB155" s="244" t="e">
        <f t="shared" ca="1" si="385"/>
        <v>#REF!</v>
      </c>
      <c r="FC155" s="244" t="e">
        <f t="shared" ca="1" si="385"/>
        <v>#REF!</v>
      </c>
      <c r="FD155" s="244" t="e">
        <f t="shared" ca="1" si="385"/>
        <v>#REF!</v>
      </c>
      <c r="FE155" s="244" t="e">
        <f t="shared" ca="1" si="385"/>
        <v>#REF!</v>
      </c>
      <c r="FF155" s="244" t="e">
        <f t="shared" ca="1" si="385"/>
        <v>#REF!</v>
      </c>
      <c r="FG155" s="244" t="e">
        <f t="shared" ca="1" si="385"/>
        <v>#REF!</v>
      </c>
      <c r="FH155" s="244" t="e">
        <f t="shared" ca="1" si="385"/>
        <v>#REF!</v>
      </c>
      <c r="FI155" s="244" t="e">
        <f t="shared" ca="1" si="385"/>
        <v>#REF!</v>
      </c>
      <c r="FJ155" s="244" t="e">
        <f t="shared" ca="1" si="385"/>
        <v>#REF!</v>
      </c>
      <c r="FK155" s="244" t="e">
        <f t="shared" ca="1" si="385"/>
        <v>#REF!</v>
      </c>
      <c r="FL155" s="244"/>
    </row>
    <row r="156" spans="5:170" x14ac:dyDescent="0.25">
      <c r="AG156" s="238">
        <f>AG155</f>
        <v>47</v>
      </c>
      <c r="AH156" s="112" t="e">
        <f ca="1">AI155+1</f>
        <v>#REF!</v>
      </c>
      <c r="AI156" s="112" t="e">
        <f ca="1">IF(INDIRECT(CONCATENATE("AC",AG155))&lt;100000,INDIRECT(CONCATENATE("AC",AG155))-1,IF(INDIRECT(CONCATENATE("AD",AG155))&lt;100000,INDIRECT(CONCATENATE("AD",AG155))-1,IF(INDIRECT(CONCATENATE("AE",AG155))&lt;100000,INDIRECT(CONCATENATE("AE",G155)),INDIRECT(CONCATENATE("AF",AG155)))))</f>
        <v>#REF!</v>
      </c>
      <c r="AJ156" s="112" t="e">
        <f t="shared" ca="1" si="292"/>
        <v>#REF!</v>
      </c>
      <c r="AK156" s="112">
        <f t="shared" ca="1" si="336"/>
        <v>100000</v>
      </c>
      <c r="AL156" s="238" t="e">
        <f t="shared" ca="1" si="294"/>
        <v>#REF!</v>
      </c>
      <c r="AM156" s="112">
        <f t="shared" ca="1" si="285"/>
        <v>100000</v>
      </c>
      <c r="AN156" s="112">
        <f t="shared" ca="1" si="381"/>
        <v>100000</v>
      </c>
      <c r="AO156" s="114">
        <f t="shared" ca="1" si="377"/>
        <v>18</v>
      </c>
      <c r="AP156" s="114">
        <f t="shared" ca="1" si="378"/>
        <v>24</v>
      </c>
      <c r="AR156" s="238">
        <f t="shared" si="380"/>
        <v>156</v>
      </c>
      <c r="AU156" s="238">
        <f t="shared" si="383"/>
        <v>137</v>
      </c>
      <c r="AV156" s="238"/>
      <c r="AW156" s="238"/>
      <c r="CJ156" s="112"/>
      <c r="CK156" s="112"/>
      <c r="CN156" s="112"/>
      <c r="CO156" s="112"/>
      <c r="CP156" s="112"/>
      <c r="CQ156" s="112"/>
      <c r="CR156" s="112"/>
      <c r="CS156" s="112"/>
      <c r="CT156" s="112"/>
      <c r="CU156" s="112"/>
      <c r="CV156" s="112" t="s">
        <v>225</v>
      </c>
      <c r="CW156" s="112" t="s">
        <v>226</v>
      </c>
      <c r="CX156" s="112" t="s">
        <v>227</v>
      </c>
      <c r="CY156" s="112" t="s">
        <v>228</v>
      </c>
      <c r="CZ156" s="112" t="s">
        <v>229</v>
      </c>
      <c r="DA156" s="112"/>
      <c r="DB156" s="238">
        <f t="shared" si="382"/>
        <v>3</v>
      </c>
      <c r="DC156" s="112"/>
      <c r="DD156" s="112"/>
      <c r="DE156" s="112"/>
      <c r="DF156" s="112"/>
      <c r="DG156" s="112"/>
      <c r="DH156" s="112"/>
      <c r="DI156" s="112"/>
      <c r="DJ156" s="112"/>
      <c r="DK156" s="112" t="e">
        <f t="shared" si="374"/>
        <v>#NUM!</v>
      </c>
      <c r="DL156" s="112" t="e">
        <f t="shared" si="375"/>
        <v>#NUM!</v>
      </c>
      <c r="DM156" s="112"/>
      <c r="DN156" s="112"/>
      <c r="EU156" s="244">
        <v>0</v>
      </c>
      <c r="EV156" s="278" t="e">
        <f>VLOOKUP(DK156,Foglio1!$AB$31:$AN$261,13)-6</f>
        <v>#NUM!</v>
      </c>
      <c r="EW156" s="244"/>
      <c r="EX156" s="244" t="e">
        <f t="shared" ca="1" si="384"/>
        <v>#REF!</v>
      </c>
      <c r="EY156" s="244" t="e">
        <f t="shared" ca="1" si="385"/>
        <v>#REF!</v>
      </c>
      <c r="EZ156" s="244">
        <v>0</v>
      </c>
      <c r="FA156" s="244" t="e">
        <f t="shared" ca="1" si="385"/>
        <v>#REF!</v>
      </c>
      <c r="FB156" s="244" t="e">
        <f t="shared" ca="1" si="385"/>
        <v>#REF!</v>
      </c>
      <c r="FC156" s="244" t="e">
        <f t="shared" ca="1" si="385"/>
        <v>#REF!</v>
      </c>
      <c r="FD156" s="244" t="e">
        <f t="shared" ca="1" si="385"/>
        <v>#REF!</v>
      </c>
      <c r="FE156" s="244" t="e">
        <f t="shared" ca="1" si="385"/>
        <v>#REF!</v>
      </c>
      <c r="FF156" s="244" t="e">
        <f t="shared" ca="1" si="385"/>
        <v>#REF!</v>
      </c>
      <c r="FG156" s="244" t="e">
        <f t="shared" ca="1" si="385"/>
        <v>#REF!</v>
      </c>
      <c r="FH156" s="244" t="e">
        <f t="shared" ca="1" si="385"/>
        <v>#REF!</v>
      </c>
      <c r="FI156" s="244" t="e">
        <f t="shared" ca="1" si="385"/>
        <v>#REF!</v>
      </c>
      <c r="FJ156" s="244" t="e">
        <f t="shared" ca="1" si="385"/>
        <v>#REF!</v>
      </c>
      <c r="FK156" s="244" t="e">
        <f t="shared" ca="1" si="385"/>
        <v>#REF!</v>
      </c>
      <c r="FL156" s="244"/>
    </row>
    <row r="157" spans="5:170" x14ac:dyDescent="0.25">
      <c r="AG157" s="238">
        <f>AG156</f>
        <v>47</v>
      </c>
      <c r="AH157" s="112" t="e">
        <f ca="1">AI156+1</f>
        <v>#REF!</v>
      </c>
      <c r="AI157" s="112" t="e">
        <f ca="1">IF(INDIRECT(CONCATENATE("AD",AG155))&lt;100000,INDIRECT(CONCATENATE("AD",AG155))-1,IF(INDIRECT(CONCATENATE("AE",AG155))&lt;100000,INDIRECT(CONCATENATE("AE",G155)),INDIRECT(CONCATENATE("AF",AG155))))</f>
        <v>#REF!</v>
      </c>
      <c r="AJ157" s="112" t="e">
        <f t="shared" ca="1" si="292"/>
        <v>#REF!</v>
      </c>
      <c r="AK157" s="112">
        <f t="shared" ca="1" si="336"/>
        <v>100000</v>
      </c>
      <c r="AL157" s="238" t="e">
        <f t="shared" ca="1" si="294"/>
        <v>#REF!</v>
      </c>
      <c r="AM157" s="112">
        <f t="shared" ca="1" si="285"/>
        <v>100000</v>
      </c>
      <c r="AN157" s="112">
        <f t="shared" ca="1" si="381"/>
        <v>100000</v>
      </c>
      <c r="AO157" s="114">
        <f t="shared" ca="1" si="377"/>
        <v>18</v>
      </c>
      <c r="AP157" s="114">
        <f t="shared" ca="1" si="378"/>
        <v>24</v>
      </c>
      <c r="AR157" s="238">
        <f t="shared" si="380"/>
        <v>157</v>
      </c>
      <c r="AU157" s="238">
        <f t="shared" si="383"/>
        <v>138</v>
      </c>
      <c r="AV157" s="238"/>
      <c r="AW157" s="238"/>
      <c r="CJ157" s="112"/>
      <c r="CK157" s="112"/>
      <c r="CN157" s="112"/>
      <c r="CO157" s="112"/>
      <c r="CP157" s="112"/>
      <c r="CQ157" s="112"/>
      <c r="CR157" s="112"/>
      <c r="CS157" s="112"/>
      <c r="CT157" s="112"/>
      <c r="CU157" s="112"/>
      <c r="CV157" s="112" t="s">
        <v>225</v>
      </c>
      <c r="CW157" s="112" t="s">
        <v>226</v>
      </c>
      <c r="CX157" s="112" t="s">
        <v>227</v>
      </c>
      <c r="CY157" s="112" t="s">
        <v>228</v>
      </c>
      <c r="CZ157" s="112" t="s">
        <v>229</v>
      </c>
      <c r="DA157" s="112"/>
      <c r="DB157" s="238">
        <f t="shared" ref="DB157:DB162" si="386">DB154+1</f>
        <v>4</v>
      </c>
      <c r="DC157" s="112"/>
      <c r="DD157" s="112"/>
      <c r="DE157" s="112"/>
      <c r="DF157" s="112"/>
      <c r="DG157" s="112"/>
      <c r="DH157" s="112"/>
      <c r="DI157" s="112"/>
      <c r="DJ157" s="112"/>
      <c r="DK157" s="112" t="e">
        <f t="shared" si="374"/>
        <v>#NUM!</v>
      </c>
      <c r="DL157" s="112" t="e">
        <f t="shared" si="375"/>
        <v>#NUM!</v>
      </c>
      <c r="DM157" s="112"/>
      <c r="DN157" s="112"/>
      <c r="EU157" s="244">
        <v>0</v>
      </c>
      <c r="EV157" s="278" t="e">
        <f>VLOOKUP(DK157,Foglio1!$AB$31:$AN$261,13)-6</f>
        <v>#NUM!</v>
      </c>
      <c r="EW157" s="244"/>
      <c r="EX157" s="244" t="e">
        <f t="shared" ca="1" si="384"/>
        <v>#REF!</v>
      </c>
      <c r="EY157" s="244" t="e">
        <f t="shared" ca="1" si="385"/>
        <v>#REF!</v>
      </c>
      <c r="EZ157" s="244">
        <v>0</v>
      </c>
      <c r="FA157" s="244" t="e">
        <f t="shared" ca="1" si="385"/>
        <v>#REF!</v>
      </c>
      <c r="FB157" s="244" t="e">
        <f t="shared" ca="1" si="385"/>
        <v>#REF!</v>
      </c>
      <c r="FC157" s="244" t="e">
        <f t="shared" ca="1" si="385"/>
        <v>#REF!</v>
      </c>
      <c r="FD157" s="244" t="e">
        <f t="shared" ca="1" si="385"/>
        <v>#REF!</v>
      </c>
      <c r="FE157" s="244" t="e">
        <f t="shared" ca="1" si="385"/>
        <v>#REF!</v>
      </c>
      <c r="FF157" s="244" t="e">
        <f t="shared" ca="1" si="385"/>
        <v>#REF!</v>
      </c>
      <c r="FG157" s="244" t="e">
        <f t="shared" ca="1" si="385"/>
        <v>#REF!</v>
      </c>
      <c r="FH157" s="244" t="e">
        <f t="shared" ca="1" si="385"/>
        <v>#REF!</v>
      </c>
      <c r="FI157" s="244" t="e">
        <f t="shared" ca="1" si="385"/>
        <v>#REF!</v>
      </c>
      <c r="FJ157" s="244" t="e">
        <f t="shared" ca="1" si="385"/>
        <v>#REF!</v>
      </c>
      <c r="FK157" s="244" t="e">
        <f t="shared" ca="1" si="385"/>
        <v>#REF!</v>
      </c>
      <c r="FL157" s="244"/>
    </row>
    <row r="158" spans="5:170" x14ac:dyDescent="0.25">
      <c r="AG158" s="238">
        <f>AG157</f>
        <v>47</v>
      </c>
      <c r="AH158" s="112" t="e">
        <f ca="1">AI157+1</f>
        <v>#REF!</v>
      </c>
      <c r="AI158" s="112" t="e">
        <f ca="1">IF(INDIRECT(CONCATENATE("AE",AG155))&lt;100000,INDIRECT(CONCATENATE("AE",G155)),INDIRECT(CONCATENATE("AF",AG155)))</f>
        <v>#REF!</v>
      </c>
      <c r="AJ158" s="112" t="e">
        <f t="shared" ca="1" si="292"/>
        <v>#REF!</v>
      </c>
      <c r="AK158" s="112">
        <f t="shared" ca="1" si="336"/>
        <v>100000</v>
      </c>
      <c r="AL158" s="238" t="e">
        <f t="shared" ca="1" si="294"/>
        <v>#REF!</v>
      </c>
      <c r="AM158" s="112">
        <f t="shared" ca="1" si="285"/>
        <v>100000</v>
      </c>
      <c r="AN158" s="112">
        <f t="shared" ca="1" si="381"/>
        <v>100000</v>
      </c>
      <c r="AO158" s="114">
        <f t="shared" ca="1" si="377"/>
        <v>18</v>
      </c>
      <c r="AP158" s="114">
        <f t="shared" ca="1" si="378"/>
        <v>24</v>
      </c>
      <c r="AR158" s="238">
        <f t="shared" si="380"/>
        <v>158</v>
      </c>
      <c r="AU158" s="238">
        <f t="shared" si="383"/>
        <v>139</v>
      </c>
      <c r="AV158" s="238"/>
      <c r="AW158" s="238"/>
      <c r="CJ158" s="112"/>
      <c r="CK158" s="112"/>
      <c r="CN158" s="112"/>
      <c r="CO158" s="112"/>
      <c r="CP158" s="112"/>
      <c r="CQ158" s="112"/>
      <c r="CR158" s="112"/>
      <c r="CS158" s="112"/>
      <c r="CT158" s="112"/>
      <c r="CU158" s="112"/>
      <c r="CV158" s="112" t="s">
        <v>225</v>
      </c>
      <c r="CW158" s="112" t="s">
        <v>226</v>
      </c>
      <c r="CX158" s="112" t="s">
        <v>227</v>
      </c>
      <c r="CY158" s="112" t="s">
        <v>228</v>
      </c>
      <c r="CZ158" s="112" t="s">
        <v>229</v>
      </c>
      <c r="DA158" s="112"/>
      <c r="DB158" s="238">
        <f t="shared" si="386"/>
        <v>4</v>
      </c>
      <c r="DC158" s="112"/>
      <c r="DD158" s="112"/>
      <c r="DE158" s="112"/>
      <c r="DF158" s="112"/>
      <c r="DG158" s="112"/>
      <c r="DH158" s="112"/>
      <c r="DI158" s="112"/>
      <c r="DJ158" s="112"/>
      <c r="DK158" s="112" t="e">
        <f t="shared" si="374"/>
        <v>#NUM!</v>
      </c>
      <c r="DL158" s="112" t="e">
        <f t="shared" si="375"/>
        <v>#NUM!</v>
      </c>
      <c r="DM158" s="112"/>
      <c r="DN158" s="112"/>
      <c r="EU158" s="244">
        <v>0</v>
      </c>
      <c r="EV158" s="278" t="e">
        <f>VLOOKUP(DK158,Foglio1!$AB$31:$AN$261,13)-6</f>
        <v>#NUM!</v>
      </c>
      <c r="EW158" s="244"/>
      <c r="EX158" s="244" t="e">
        <f t="shared" ca="1" si="384"/>
        <v>#REF!</v>
      </c>
      <c r="EY158" s="244" t="e">
        <f t="shared" ca="1" si="385"/>
        <v>#REF!</v>
      </c>
      <c r="EZ158" s="244">
        <v>0</v>
      </c>
      <c r="FA158" s="244" t="e">
        <f t="shared" ca="1" si="385"/>
        <v>#REF!</v>
      </c>
      <c r="FB158" s="244" t="e">
        <f t="shared" ca="1" si="385"/>
        <v>#REF!</v>
      </c>
      <c r="FC158" s="244" t="e">
        <f t="shared" ca="1" si="385"/>
        <v>#REF!</v>
      </c>
      <c r="FD158" s="244" t="e">
        <f t="shared" ca="1" si="385"/>
        <v>#REF!</v>
      </c>
      <c r="FE158" s="244" t="e">
        <f t="shared" ca="1" si="385"/>
        <v>#REF!</v>
      </c>
      <c r="FF158" s="244" t="e">
        <f t="shared" ca="1" si="385"/>
        <v>#REF!</v>
      </c>
      <c r="FG158" s="244" t="e">
        <f t="shared" ca="1" si="385"/>
        <v>#REF!</v>
      </c>
      <c r="FH158" s="244" t="e">
        <f t="shared" ca="1" si="385"/>
        <v>#REF!</v>
      </c>
      <c r="FI158" s="244" t="e">
        <f t="shared" ca="1" si="385"/>
        <v>#REF!</v>
      </c>
      <c r="FJ158" s="244" t="e">
        <f t="shared" ca="1" si="385"/>
        <v>#REF!</v>
      </c>
      <c r="FK158" s="244" t="e">
        <f t="shared" ca="1" si="385"/>
        <v>#REF!</v>
      </c>
      <c r="FL158" s="244"/>
    </row>
    <row r="159" spans="5:170" x14ac:dyDescent="0.25">
      <c r="AG159" s="238">
        <f>AG158</f>
        <v>47</v>
      </c>
      <c r="AH159" s="112" t="e">
        <f ca="1">AI158+1</f>
        <v>#REF!</v>
      </c>
      <c r="AI159" s="112">
        <f ca="1">INDIRECT(CONCATENATE("AF",AG155))</f>
        <v>40739</v>
      </c>
      <c r="AJ159" s="112">
        <f t="shared" ca="1" si="292"/>
        <v>40739</v>
      </c>
      <c r="AK159" s="112">
        <f t="shared" ca="1" si="336"/>
        <v>100000</v>
      </c>
      <c r="AL159" s="238" t="e">
        <f t="shared" ca="1" si="294"/>
        <v>#REF!</v>
      </c>
      <c r="AM159" s="112">
        <f t="shared" ca="1" si="285"/>
        <v>100000</v>
      </c>
      <c r="AN159" s="112">
        <f t="shared" ca="1" si="381"/>
        <v>100000</v>
      </c>
      <c r="AO159" s="114">
        <f t="shared" ca="1" si="377"/>
        <v>18</v>
      </c>
      <c r="AP159" s="114">
        <f t="shared" ca="1" si="378"/>
        <v>24</v>
      </c>
      <c r="AR159" s="238">
        <f t="shared" si="380"/>
        <v>159</v>
      </c>
      <c r="AU159" s="238">
        <f t="shared" si="383"/>
        <v>140</v>
      </c>
      <c r="AV159" s="238"/>
      <c r="AW159" s="238"/>
      <c r="CJ159" s="112"/>
      <c r="CK159" s="112"/>
      <c r="CN159" s="112"/>
      <c r="CO159" s="112"/>
      <c r="CP159" s="112"/>
      <c r="CQ159" s="112"/>
      <c r="CR159" s="112"/>
      <c r="CS159" s="112"/>
      <c r="CT159" s="112"/>
      <c r="CU159" s="112"/>
      <c r="CV159" s="112" t="s">
        <v>225</v>
      </c>
      <c r="CW159" s="112" t="s">
        <v>226</v>
      </c>
      <c r="CX159" s="112" t="s">
        <v>227</v>
      </c>
      <c r="CY159" s="112" t="s">
        <v>228</v>
      </c>
      <c r="CZ159" s="112" t="s">
        <v>229</v>
      </c>
      <c r="DA159" s="112"/>
      <c r="DB159" s="238">
        <f t="shared" si="386"/>
        <v>4</v>
      </c>
      <c r="DC159" s="112"/>
      <c r="DD159" s="112"/>
      <c r="DE159" s="112"/>
      <c r="DF159" s="112"/>
      <c r="DG159" s="112"/>
      <c r="DH159" s="112"/>
      <c r="DI159" s="112"/>
      <c r="DJ159" s="112"/>
      <c r="DK159" s="112" t="e">
        <f t="shared" si="374"/>
        <v>#NUM!</v>
      </c>
      <c r="DL159" s="112" t="e">
        <f t="shared" si="375"/>
        <v>#NUM!</v>
      </c>
      <c r="DM159" s="112"/>
      <c r="DN159" s="112"/>
      <c r="EU159" s="244">
        <v>0</v>
      </c>
      <c r="EV159" s="278" t="e">
        <f>VLOOKUP(DK159,Foglio1!$AB$31:$AN$261,13)-6</f>
        <v>#NUM!</v>
      </c>
      <c r="EW159" s="244"/>
      <c r="EX159" s="244" t="e">
        <f t="shared" ca="1" si="384"/>
        <v>#REF!</v>
      </c>
      <c r="EY159" s="244" t="e">
        <f t="shared" ca="1" si="385"/>
        <v>#REF!</v>
      </c>
      <c r="EZ159" s="244">
        <v>0</v>
      </c>
      <c r="FA159" s="244" t="e">
        <f t="shared" ca="1" si="385"/>
        <v>#REF!</v>
      </c>
      <c r="FB159" s="244" t="e">
        <f t="shared" ca="1" si="385"/>
        <v>#REF!</v>
      </c>
      <c r="FC159" s="244" t="e">
        <f t="shared" ca="1" si="385"/>
        <v>#REF!</v>
      </c>
      <c r="FD159" s="244" t="e">
        <f t="shared" ca="1" si="385"/>
        <v>#REF!</v>
      </c>
      <c r="FE159" s="244" t="e">
        <f t="shared" ca="1" si="385"/>
        <v>#REF!</v>
      </c>
      <c r="FF159" s="244" t="e">
        <f t="shared" ca="1" si="385"/>
        <v>#REF!</v>
      </c>
      <c r="FG159" s="244" t="e">
        <f t="shared" ca="1" si="385"/>
        <v>#REF!</v>
      </c>
      <c r="FH159" s="244" t="e">
        <f t="shared" ca="1" si="385"/>
        <v>#REF!</v>
      </c>
      <c r="FI159" s="244" t="e">
        <f t="shared" ca="1" si="385"/>
        <v>#REF!</v>
      </c>
      <c r="FJ159" s="244" t="e">
        <f t="shared" ca="1" si="385"/>
        <v>#REF!</v>
      </c>
      <c r="FK159" s="244" t="e">
        <f t="shared" ca="1" si="385"/>
        <v>#REF!</v>
      </c>
      <c r="FL159" s="244"/>
    </row>
    <row r="160" spans="5:170" x14ac:dyDescent="0.25">
      <c r="AG160" s="238">
        <f>AG159+1</f>
        <v>48</v>
      </c>
      <c r="AH160" s="112">
        <f ca="1">INDIRECT(CONCATENATE("AA",AG160))</f>
        <v>40431</v>
      </c>
      <c r="AI160" s="112" t="e">
        <f ca="1">IF(            INDIRECT(CONCATENATE( "AB",AG160))&lt;100000,       INDIRECT(CONCATENATE("AB",AG160))  -1,IF(   INDIRECT(CONCATENATE("AC",AG160))&lt;100000,   INDIRECT(CONCATENATE("AC",AG160))-1,IF(   INDIRECT(CONCATENATE("AD", AG160))&lt;100000, INDIRECT(CONCATENATE("AD",AG160))-1,IF(   INDIRECT(CONCATENATE("AE",AG160))&lt;100000,  INDIRECT(CONCATENATE("AE",G160)),INDIRECT(CONCATENATE("AF",AG160))                ))))</f>
        <v>#REF!</v>
      </c>
      <c r="AJ160" s="112">
        <f t="shared" ca="1" si="292"/>
        <v>40739</v>
      </c>
      <c r="AK160" s="112">
        <f t="shared" ca="1" si="336"/>
        <v>40739</v>
      </c>
      <c r="AL160" s="238">
        <f t="shared" ca="1" si="294"/>
        <v>0</v>
      </c>
      <c r="AM160" s="112">
        <f t="shared" ca="1" si="285"/>
        <v>100000</v>
      </c>
      <c r="AN160" s="112">
        <f t="shared" ca="1" si="381"/>
        <v>100000</v>
      </c>
      <c r="AO160" s="114">
        <f t="shared" ca="1" si="377"/>
        <v>18</v>
      </c>
      <c r="AP160" s="114">
        <f t="shared" ca="1" si="378"/>
        <v>24</v>
      </c>
      <c r="AR160" s="238">
        <f t="shared" si="380"/>
        <v>160</v>
      </c>
      <c r="AU160" s="238">
        <f t="shared" si="383"/>
        <v>141</v>
      </c>
      <c r="AV160" s="238"/>
      <c r="AW160" s="238"/>
      <c r="BB160" t="s">
        <v>243</v>
      </c>
      <c r="BC160">
        <f>MIN(D163:D215)</f>
        <v>163</v>
      </c>
      <c r="BE160" t="str">
        <f>CONCATENATE(BB160,BC160)</f>
        <v>E163</v>
      </c>
      <c r="BI160" t="str">
        <f>CONCATENATE(BE160,":",BE161)</f>
        <v>E163:E206</v>
      </c>
      <c r="CJ160" s="112"/>
      <c r="CK160" s="112"/>
      <c r="CN160" s="112"/>
      <c r="CO160" s="112"/>
      <c r="CP160" s="112"/>
      <c r="CQ160" s="112"/>
      <c r="CR160" s="112"/>
      <c r="CS160" s="112"/>
      <c r="CT160" s="112"/>
      <c r="CU160" s="112"/>
      <c r="CV160" s="112" t="s">
        <v>225</v>
      </c>
      <c r="CW160" s="112" t="s">
        <v>226</v>
      </c>
      <c r="CX160" s="112" t="s">
        <v>227</v>
      </c>
      <c r="CY160" s="112" t="s">
        <v>228</v>
      </c>
      <c r="CZ160" s="112" t="s">
        <v>229</v>
      </c>
      <c r="DA160" s="112"/>
      <c r="DB160" s="238">
        <f t="shared" si="386"/>
        <v>5</v>
      </c>
      <c r="DC160" s="112"/>
      <c r="DD160" s="112"/>
      <c r="DE160" s="112"/>
      <c r="DF160" s="112"/>
      <c r="DG160" s="112"/>
      <c r="DH160" s="112"/>
      <c r="DI160" s="112"/>
      <c r="DJ160" s="112"/>
      <c r="DK160" s="112" t="e">
        <f t="shared" si="374"/>
        <v>#NUM!</v>
      </c>
      <c r="DL160" s="112" t="e">
        <f t="shared" si="375"/>
        <v>#NUM!</v>
      </c>
      <c r="DM160" s="112"/>
      <c r="DN160" s="112"/>
      <c r="EU160" s="244">
        <v>0</v>
      </c>
      <c r="EV160" s="278" t="e">
        <f>VLOOKUP(DK160,Foglio1!$AB$31:$AN$261,13)-6</f>
        <v>#NUM!</v>
      </c>
      <c r="EW160" s="244"/>
      <c r="EX160" s="244" t="e">
        <f t="shared" ca="1" si="384"/>
        <v>#REF!</v>
      </c>
      <c r="EY160" s="244" t="e">
        <f t="shared" ca="1" si="385"/>
        <v>#REF!</v>
      </c>
      <c r="EZ160" s="244">
        <v>0</v>
      </c>
      <c r="FA160" s="244" t="e">
        <f t="shared" ca="1" si="385"/>
        <v>#REF!</v>
      </c>
      <c r="FB160" s="244" t="e">
        <f t="shared" ca="1" si="385"/>
        <v>#REF!</v>
      </c>
      <c r="FC160" s="244" t="e">
        <f t="shared" ca="1" si="385"/>
        <v>#REF!</v>
      </c>
      <c r="FD160" s="244" t="e">
        <f t="shared" ca="1" si="385"/>
        <v>#REF!</v>
      </c>
      <c r="FE160" s="244" t="e">
        <f t="shared" ca="1" si="385"/>
        <v>#REF!</v>
      </c>
      <c r="FF160" s="244" t="e">
        <f t="shared" ca="1" si="385"/>
        <v>#REF!</v>
      </c>
      <c r="FG160" s="244" t="e">
        <f t="shared" ca="1" si="385"/>
        <v>#REF!</v>
      </c>
      <c r="FH160" s="244" t="e">
        <f t="shared" ca="1" si="385"/>
        <v>#REF!</v>
      </c>
      <c r="FI160" s="244" t="e">
        <f t="shared" ca="1" si="385"/>
        <v>#REF!</v>
      </c>
      <c r="FJ160" s="244" t="e">
        <f t="shared" ca="1" si="385"/>
        <v>#REF!</v>
      </c>
      <c r="FK160" s="244" t="e">
        <f t="shared" ca="1" si="385"/>
        <v>#REF!</v>
      </c>
      <c r="FL160" s="244"/>
    </row>
    <row r="161" spans="4:171" x14ac:dyDescent="0.25">
      <c r="AG161" s="238">
        <f>AG160</f>
        <v>48</v>
      </c>
      <c r="AH161" s="112" t="e">
        <f ca="1">AI160+1</f>
        <v>#REF!</v>
      </c>
      <c r="AI161" s="112" t="e">
        <f ca="1">IF(INDIRECT(CONCATENATE("AC",AG160))&lt;100000,INDIRECT(CONCATENATE("AC",AG160))-1,IF(INDIRECT(CONCATENATE("AD",AG160))&lt;100000,INDIRECT(CONCATENATE("AD",AG160))-1,IF(INDIRECT(CONCATENATE("AE",AG160))&lt;100000,INDIRECT(CONCATENATE("AE",G160)),INDIRECT(CONCATENATE("AF",AG160)))))</f>
        <v>#REF!</v>
      </c>
      <c r="AJ161" s="112" t="e">
        <f t="shared" ca="1" si="292"/>
        <v>#REF!</v>
      </c>
      <c r="AK161" s="112">
        <f t="shared" ca="1" si="336"/>
        <v>100000</v>
      </c>
      <c r="AL161" s="238" t="e">
        <f t="shared" ca="1" si="294"/>
        <v>#REF!</v>
      </c>
      <c r="AM161" s="112">
        <f t="shared" ca="1" si="285"/>
        <v>100000</v>
      </c>
      <c r="AN161" s="112">
        <f t="shared" ca="1" si="381"/>
        <v>100000</v>
      </c>
      <c r="AO161" s="114">
        <f t="shared" ca="1" si="377"/>
        <v>18</v>
      </c>
      <c r="AP161" s="114">
        <f t="shared" ca="1" si="378"/>
        <v>24</v>
      </c>
      <c r="AR161" s="238">
        <f t="shared" si="380"/>
        <v>161</v>
      </c>
      <c r="AU161" s="238">
        <f t="shared" si="383"/>
        <v>142</v>
      </c>
      <c r="AV161" s="238"/>
      <c r="AW161" s="238"/>
      <c r="BB161" t="s">
        <v>243</v>
      </c>
      <c r="BC161">
        <f>MAX(D163:D215)</f>
        <v>206</v>
      </c>
      <c r="BE161" t="str">
        <f>CONCATENATE(BB161,BC161)</f>
        <v>E206</v>
      </c>
      <c r="CJ161" s="112"/>
      <c r="CK161" s="112"/>
      <c r="CN161" s="112"/>
      <c r="CO161" s="112"/>
      <c r="CP161" s="112"/>
      <c r="CQ161" s="112"/>
      <c r="CR161" s="112"/>
      <c r="CS161" s="112"/>
      <c r="CT161" s="112"/>
      <c r="CU161" s="112"/>
      <c r="CV161" s="112" t="s">
        <v>225</v>
      </c>
      <c r="CW161" s="112" t="s">
        <v>226</v>
      </c>
      <c r="CX161" s="112" t="s">
        <v>227</v>
      </c>
      <c r="CY161" s="112" t="s">
        <v>228</v>
      </c>
      <c r="CZ161" s="112" t="s">
        <v>229</v>
      </c>
      <c r="DA161" s="112"/>
      <c r="DB161" s="238">
        <f t="shared" si="386"/>
        <v>5</v>
      </c>
      <c r="DC161" s="112"/>
      <c r="DD161" s="112"/>
      <c r="DE161" s="112"/>
      <c r="DF161" s="112"/>
      <c r="DG161" s="112"/>
      <c r="DH161" s="112"/>
      <c r="DI161" s="112"/>
      <c r="DJ161" s="112"/>
      <c r="DK161" s="112" t="e">
        <f t="shared" si="374"/>
        <v>#NUM!</v>
      </c>
      <c r="DL161" s="112" t="e">
        <f t="shared" si="375"/>
        <v>#NUM!</v>
      </c>
      <c r="DM161" s="112"/>
      <c r="DN161" s="112"/>
      <c r="EU161" s="244">
        <v>0</v>
      </c>
      <c r="EV161" s="278" t="e">
        <f>VLOOKUP(DK161,Foglio1!$AB$31:$AN$261,13)-6</f>
        <v>#NUM!</v>
      </c>
      <c r="EW161" s="244"/>
      <c r="EX161" s="244" t="e">
        <f t="shared" ca="1" si="384"/>
        <v>#REF!</v>
      </c>
      <c r="EY161" s="244" t="e">
        <f t="shared" ca="1" si="385"/>
        <v>#REF!</v>
      </c>
      <c r="EZ161" s="244">
        <v>0</v>
      </c>
      <c r="FA161" s="244" t="e">
        <f t="shared" ca="1" si="385"/>
        <v>#REF!</v>
      </c>
      <c r="FB161" s="244" t="e">
        <f t="shared" ca="1" si="385"/>
        <v>#REF!</v>
      </c>
      <c r="FC161" s="244" t="e">
        <f t="shared" ca="1" si="385"/>
        <v>#REF!</v>
      </c>
      <c r="FD161" s="244" t="e">
        <f t="shared" ca="1" si="385"/>
        <v>#REF!</v>
      </c>
      <c r="FE161" s="244" t="e">
        <f t="shared" ca="1" si="385"/>
        <v>#REF!</v>
      </c>
      <c r="FF161" s="244" t="e">
        <f t="shared" ca="1" si="385"/>
        <v>#REF!</v>
      </c>
      <c r="FG161" s="244" t="e">
        <f t="shared" ca="1" si="385"/>
        <v>#REF!</v>
      </c>
      <c r="FH161" s="244" t="e">
        <f t="shared" ca="1" si="385"/>
        <v>#REF!</v>
      </c>
      <c r="FI161" s="244" t="e">
        <f t="shared" ca="1" si="385"/>
        <v>#REF!</v>
      </c>
      <c r="FJ161" s="244" t="e">
        <f t="shared" ca="1" si="385"/>
        <v>#REF!</v>
      </c>
      <c r="FK161" s="244" t="e">
        <f t="shared" ca="1" si="385"/>
        <v>#REF!</v>
      </c>
      <c r="FL161" s="244"/>
    </row>
    <row r="162" spans="4:171" x14ac:dyDescent="0.25">
      <c r="AG162" s="238">
        <f>AG161</f>
        <v>48</v>
      </c>
      <c r="AH162" s="112" t="e">
        <f ca="1">AI161+1</f>
        <v>#REF!</v>
      </c>
      <c r="AI162" s="112" t="e">
        <f ca="1">IF(INDIRECT(CONCATENATE("AD",AG160))&lt;100000,INDIRECT(CONCATENATE("AD",AG160))-1,IF(INDIRECT(CONCATENATE("AE",AG160))&lt;100000,INDIRECT(CONCATENATE("AE",G160)),INDIRECT(CONCATENATE("AF",AG160))))</f>
        <v>#REF!</v>
      </c>
      <c r="AJ162" s="112" t="e">
        <f t="shared" ca="1" si="292"/>
        <v>#REF!</v>
      </c>
      <c r="AK162" s="112">
        <f t="shared" ca="1" si="336"/>
        <v>100000</v>
      </c>
      <c r="AL162" s="238" t="e">
        <f t="shared" ca="1" si="294"/>
        <v>#REF!</v>
      </c>
      <c r="AM162" s="112">
        <f t="shared" ca="1" si="285"/>
        <v>100000</v>
      </c>
      <c r="AN162" s="112">
        <f t="shared" ca="1" si="381"/>
        <v>100000</v>
      </c>
      <c r="AO162" s="114">
        <f t="shared" ca="1" si="377"/>
        <v>18</v>
      </c>
      <c r="AP162" s="114">
        <f t="shared" ca="1" si="378"/>
        <v>24</v>
      </c>
      <c r="AR162" s="238">
        <f t="shared" si="380"/>
        <v>162</v>
      </c>
      <c r="AU162" s="238">
        <f t="shared" si="383"/>
        <v>143</v>
      </c>
      <c r="AV162" s="238"/>
      <c r="AW162" s="238"/>
      <c r="CJ162" s="112"/>
      <c r="CK162" s="112"/>
      <c r="CN162" s="112"/>
      <c r="CO162" s="112"/>
      <c r="CP162" s="112"/>
      <c r="CQ162" s="112"/>
      <c r="CR162" s="112"/>
      <c r="CS162" s="112"/>
      <c r="CT162" s="112"/>
      <c r="CU162" s="112"/>
      <c r="CV162" s="112" t="s">
        <v>225</v>
      </c>
      <c r="CW162" s="112" t="s">
        <v>226</v>
      </c>
      <c r="CX162" s="112" t="s">
        <v>227</v>
      </c>
      <c r="CY162" s="112" t="s">
        <v>228</v>
      </c>
      <c r="CZ162" s="112" t="s">
        <v>229</v>
      </c>
      <c r="DA162" s="112"/>
      <c r="DB162" s="238">
        <f t="shared" si="386"/>
        <v>5</v>
      </c>
      <c r="DC162" s="112"/>
      <c r="DD162" s="112"/>
      <c r="DE162" s="112"/>
      <c r="DF162" s="112"/>
      <c r="DG162" s="112"/>
      <c r="DH162" s="112"/>
      <c r="DI162" s="112"/>
      <c r="DJ162" s="112"/>
      <c r="DK162" s="112" t="e">
        <f t="shared" si="374"/>
        <v>#NUM!</v>
      </c>
      <c r="DL162" s="112" t="e">
        <f t="shared" si="375"/>
        <v>#NUM!</v>
      </c>
      <c r="DM162" s="112"/>
      <c r="DN162" s="112"/>
      <c r="EU162" s="244">
        <v>0</v>
      </c>
      <c r="EV162" s="278" t="e">
        <f>VLOOKUP(DK162,Foglio1!$AB$31:$AN$261,13)-6</f>
        <v>#NUM!</v>
      </c>
      <c r="EW162" s="244"/>
      <c r="EX162" s="244" t="e">
        <f t="shared" ca="1" si="384"/>
        <v>#REF!</v>
      </c>
      <c r="EY162" s="244" t="e">
        <f t="shared" ca="1" si="385"/>
        <v>#REF!</v>
      </c>
      <c r="EZ162" s="244">
        <v>0</v>
      </c>
      <c r="FA162" s="244" t="e">
        <f t="shared" ca="1" si="385"/>
        <v>#REF!</v>
      </c>
      <c r="FB162" s="244" t="e">
        <f t="shared" ca="1" si="385"/>
        <v>#REF!</v>
      </c>
      <c r="FC162" s="244" t="e">
        <f t="shared" ca="1" si="385"/>
        <v>#REF!</v>
      </c>
      <c r="FD162" s="244" t="e">
        <f t="shared" ca="1" si="385"/>
        <v>#REF!</v>
      </c>
      <c r="FE162" s="244" t="e">
        <f t="shared" ca="1" si="385"/>
        <v>#REF!</v>
      </c>
      <c r="FF162" s="244" t="e">
        <f t="shared" ca="1" si="385"/>
        <v>#REF!</v>
      </c>
      <c r="FG162" s="244" t="e">
        <f t="shared" ca="1" si="385"/>
        <v>#REF!</v>
      </c>
      <c r="FH162" s="244" t="e">
        <f t="shared" ca="1" si="385"/>
        <v>#REF!</v>
      </c>
      <c r="FI162" s="244" t="e">
        <f t="shared" ca="1" si="385"/>
        <v>#REF!</v>
      </c>
      <c r="FJ162" s="244" t="e">
        <f t="shared" ca="1" si="385"/>
        <v>#REF!</v>
      </c>
      <c r="FK162" s="244" t="e">
        <f t="shared" ca="1" si="385"/>
        <v>#REF!</v>
      </c>
      <c r="FL162" s="244"/>
    </row>
    <row r="163" spans="4:171" x14ac:dyDescent="0.25">
      <c r="D163">
        <f>IF(E163&lt;100000,163,"")</f>
        <v>163</v>
      </c>
      <c r="E163" s="112">
        <f t="shared" ref="E163:F182" si="387">IF(F20=0,100000,F20)</f>
        <v>36138</v>
      </c>
      <c r="F163" s="112">
        <f t="shared" si="387"/>
        <v>36280</v>
      </c>
      <c r="G163" s="112"/>
      <c r="H163" s="238">
        <v>1</v>
      </c>
      <c r="J163" s="112">
        <f ca="1">VLOOKUP(N163,$E$163:$F$176,2)</f>
        <v>36280</v>
      </c>
      <c r="K163" s="112"/>
      <c r="L163" s="112"/>
      <c r="M163">
        <f ca="1">IF(J163&gt;=N163,1,0)</f>
        <v>1</v>
      </c>
      <c r="N163" s="112">
        <f ca="1">N20</f>
        <v>36138</v>
      </c>
      <c r="AG163" s="238">
        <f>AG162</f>
        <v>48</v>
      </c>
      <c r="AH163" s="112" t="e">
        <f ca="1">AI162+1</f>
        <v>#REF!</v>
      </c>
      <c r="AI163" s="112" t="e">
        <f ca="1">IF(INDIRECT(CONCATENATE("AE",AG160))&lt;100000,INDIRECT(CONCATENATE("AE",G160)),INDIRECT(CONCATENATE("AF",AG160)))</f>
        <v>#REF!</v>
      </c>
      <c r="AJ163" s="112" t="e">
        <f t="shared" ca="1" si="292"/>
        <v>#REF!</v>
      </c>
      <c r="AK163" s="112">
        <f t="shared" ca="1" si="336"/>
        <v>100000</v>
      </c>
      <c r="AL163" s="238" t="e">
        <f t="shared" ca="1" si="294"/>
        <v>#REF!</v>
      </c>
      <c r="AM163" s="112">
        <f t="shared" ca="1" si="285"/>
        <v>100000</v>
      </c>
      <c r="AN163" s="112">
        <f t="shared" ca="1" si="381"/>
        <v>100000</v>
      </c>
      <c r="AO163" s="114">
        <f t="shared" ca="1" si="377"/>
        <v>18</v>
      </c>
      <c r="AP163" s="114">
        <f t="shared" ca="1" si="378"/>
        <v>24</v>
      </c>
      <c r="AR163" s="238">
        <f t="shared" si="380"/>
        <v>163</v>
      </c>
      <c r="AU163" s="238">
        <f t="shared" si="383"/>
        <v>144</v>
      </c>
      <c r="AV163" s="238"/>
      <c r="AW163" s="238"/>
      <c r="BB163">
        <v>1</v>
      </c>
      <c r="BC163" s="112">
        <f ca="1">SMALL($E$163:$E$283,BB163)</f>
        <v>36138</v>
      </c>
      <c r="BD163" s="112"/>
      <c r="BE163" s="112">
        <f ca="1">VLOOKUP(BC163,$E$163:$F$196,2)</f>
        <v>36280</v>
      </c>
      <c r="BF163" s="112"/>
      <c r="BG163" s="112"/>
      <c r="BH163" s="112"/>
      <c r="BJ163" s="112">
        <f ca="1">VLOOKUP(BC163,INDIRECT($BI$160),1,FALSE)</f>
        <v>36138</v>
      </c>
      <c r="CM163" s="112"/>
      <c r="CN163" s="112"/>
      <c r="CQ163" s="112"/>
      <c r="CR163" s="112"/>
      <c r="CS163" s="112"/>
      <c r="CT163" s="112"/>
      <c r="CU163" s="112"/>
      <c r="CV163" s="112"/>
      <c r="CW163" s="112"/>
      <c r="CX163" s="112" t="s">
        <v>224</v>
      </c>
      <c r="CY163" s="112" t="s">
        <v>225</v>
      </c>
      <c r="CZ163" s="112" t="s">
        <v>226</v>
      </c>
      <c r="DA163" s="112" t="s">
        <v>227</v>
      </c>
      <c r="DB163" s="112" t="s">
        <v>228</v>
      </c>
      <c r="DC163" s="112"/>
      <c r="DD163" s="112"/>
      <c r="DE163" s="238"/>
      <c r="DF163" s="112"/>
      <c r="DG163" s="112"/>
      <c r="DH163" s="112"/>
      <c r="DI163" s="112"/>
      <c r="DJ163" s="112"/>
      <c r="DK163" s="112">
        <f t="shared" ref="DK163:DK212" si="388">IF(AND(DG163&gt;1000,DG163&lt;80000),DG163,100000)</f>
        <v>100000</v>
      </c>
      <c r="DL163" s="112"/>
      <c r="DM163" s="112"/>
      <c r="DN163" s="112" t="e">
        <f t="shared" ref="DN163:DN194" si="389">SMALL($DG$20:$DG$343,DM163)</f>
        <v>#NUM!</v>
      </c>
      <c r="DO163" s="112" t="e">
        <f t="shared" ref="DO163:DO194" si="390">VLOOKUP(DN163,$DG$20:$DH$343,2,)</f>
        <v>#NUM!</v>
      </c>
      <c r="DP163" s="112"/>
      <c r="DQ163" s="112"/>
      <c r="EX163" s="244">
        <v>0</v>
      </c>
      <c r="EY163" s="278" t="e">
        <f>VLOOKUP(DN163,Foglio1!$AB$31:$AN$261,13)-6</f>
        <v>#NUM!</v>
      </c>
      <c r="EZ163" s="244"/>
      <c r="FA163" s="244" t="e">
        <f t="shared" ref="FA163:FN165" ca="1" si="391">INDIRECT(CONCATENATE(EX$16,EX$17,$EC163))</f>
        <v>#REF!</v>
      </c>
      <c r="FB163" s="244" t="e">
        <f t="shared" ca="1" si="391"/>
        <v>#REF!</v>
      </c>
      <c r="FC163" s="244" t="e">
        <f t="shared" ca="1" si="391"/>
        <v>#REF!</v>
      </c>
      <c r="FD163" s="244" t="e">
        <f t="shared" ca="1" si="391"/>
        <v>#REF!</v>
      </c>
      <c r="FE163" s="244" t="e">
        <f t="shared" ca="1" si="391"/>
        <v>#REF!</v>
      </c>
      <c r="FF163" s="244" t="e">
        <f t="shared" ca="1" si="391"/>
        <v>#REF!</v>
      </c>
      <c r="FG163" s="244" t="e">
        <f t="shared" ca="1" si="391"/>
        <v>#REF!</v>
      </c>
      <c r="FH163" s="244" t="e">
        <f t="shared" ca="1" si="391"/>
        <v>#REF!</v>
      </c>
      <c r="FI163" s="244" t="e">
        <f t="shared" ca="1" si="391"/>
        <v>#REF!</v>
      </c>
      <c r="FJ163" s="244" t="e">
        <f t="shared" ca="1" si="391"/>
        <v>#REF!</v>
      </c>
      <c r="FK163" s="244" t="e">
        <f t="shared" ca="1" si="391"/>
        <v>#REF!</v>
      </c>
      <c r="FL163" s="244" t="e">
        <f t="shared" ca="1" si="391"/>
        <v>#REF!</v>
      </c>
      <c r="FM163" s="244" t="e">
        <f t="shared" ca="1" si="391"/>
        <v>#REF!</v>
      </c>
      <c r="FN163" s="244" t="e">
        <f t="shared" ca="1" si="391"/>
        <v>#REF!</v>
      </c>
      <c r="FO163" s="244"/>
    </row>
    <row r="164" spans="4:171" x14ac:dyDescent="0.25">
      <c r="D164">
        <f>IF(E164&lt;100000,D163+1,"")</f>
        <v>164</v>
      </c>
      <c r="E164" s="112">
        <f t="shared" si="387"/>
        <v>36281</v>
      </c>
      <c r="F164" s="112">
        <f t="shared" si="387"/>
        <v>36321</v>
      </c>
      <c r="G164" s="112"/>
      <c r="H164" s="238">
        <f>H163+1</f>
        <v>2</v>
      </c>
      <c r="J164" s="112">
        <f t="shared" ref="J164:J179" ca="1" si="392">VLOOKUP(N164,$E$163:$F$176,2)</f>
        <v>36321</v>
      </c>
      <c r="K164" s="112"/>
      <c r="L164" s="112"/>
      <c r="M164">
        <f ca="1">IF(J164&gt;=N164,1,0)</f>
        <v>1</v>
      </c>
      <c r="N164" s="112">
        <f t="shared" ref="N164:N179" ca="1" si="393">N21</f>
        <v>36312</v>
      </c>
      <c r="AG164" s="238">
        <f>AG163</f>
        <v>48</v>
      </c>
      <c r="AH164" s="112" t="e">
        <f ca="1">AI163+1</f>
        <v>#REF!</v>
      </c>
      <c r="AI164" s="112">
        <f ca="1">INDIRECT(CONCATENATE("AF",AG160))</f>
        <v>40739</v>
      </c>
      <c r="AJ164" s="112">
        <f t="shared" ca="1" si="292"/>
        <v>40739</v>
      </c>
      <c r="AK164" s="112">
        <f t="shared" ca="1" si="336"/>
        <v>100000</v>
      </c>
      <c r="AL164" s="238" t="e">
        <f t="shared" ca="1" si="294"/>
        <v>#REF!</v>
      </c>
      <c r="AM164" s="112">
        <f t="shared" ca="1" si="285"/>
        <v>100000</v>
      </c>
      <c r="AN164" s="112">
        <f t="shared" ca="1" si="381"/>
        <v>100000</v>
      </c>
      <c r="AO164" s="114">
        <f t="shared" ca="1" si="377"/>
        <v>18</v>
      </c>
      <c r="AP164" s="114">
        <f t="shared" ca="1" si="378"/>
        <v>24</v>
      </c>
      <c r="AR164" s="238">
        <f t="shared" si="380"/>
        <v>164</v>
      </c>
      <c r="AU164" s="238">
        <f t="shared" si="383"/>
        <v>145</v>
      </c>
      <c r="AV164" s="238"/>
      <c r="AW164" s="238"/>
      <c r="BB164">
        <f>BB163+1</f>
        <v>2</v>
      </c>
      <c r="BC164" s="112">
        <f t="shared" ref="BC164:BC227" ca="1" si="394">SMALL($E$163:$E$283,BB164)</f>
        <v>36138</v>
      </c>
      <c r="BD164" s="112"/>
      <c r="BE164" s="112">
        <f t="shared" ref="BE164:BE213" ca="1" si="395">VLOOKUP(BC164,$E$163:$F$196,2)</f>
        <v>36280</v>
      </c>
      <c r="BF164" s="112"/>
      <c r="BG164" s="112"/>
      <c r="BH164" s="112"/>
      <c r="BJ164" s="112">
        <f ca="1">VLOOKUP(BC164,INDIRECT($BI$160),1,FALSE)</f>
        <v>36138</v>
      </c>
      <c r="CM164" s="112"/>
      <c r="CN164" s="112"/>
      <c r="CQ164" s="112"/>
      <c r="CR164" s="112"/>
      <c r="CS164" s="112"/>
      <c r="CT164" s="112"/>
      <c r="CU164" s="112"/>
      <c r="CV164" s="112"/>
      <c r="CW164" s="112"/>
      <c r="CX164" s="112" t="s">
        <v>224</v>
      </c>
      <c r="CY164" s="112" t="s">
        <v>225</v>
      </c>
      <c r="CZ164" s="112" t="s">
        <v>226</v>
      </c>
      <c r="DA164" s="112" t="s">
        <v>227</v>
      </c>
      <c r="DB164" s="112" t="s">
        <v>228</v>
      </c>
      <c r="DC164" s="112"/>
      <c r="DD164" s="112"/>
      <c r="DE164" s="238"/>
      <c r="DF164" s="112"/>
      <c r="DG164" s="112"/>
      <c r="DH164" s="112"/>
      <c r="DI164" s="112"/>
      <c r="DJ164" s="112"/>
      <c r="DK164" s="112">
        <f t="shared" si="388"/>
        <v>100000</v>
      </c>
      <c r="DL164" s="112"/>
      <c r="DM164" s="112"/>
      <c r="DN164" s="112" t="e">
        <f t="shared" si="389"/>
        <v>#NUM!</v>
      </c>
      <c r="DO164" s="112" t="e">
        <f t="shared" si="390"/>
        <v>#NUM!</v>
      </c>
      <c r="DP164" s="112"/>
      <c r="DQ164" s="112"/>
      <c r="EX164" s="244">
        <v>0</v>
      </c>
      <c r="EY164" s="278" t="e">
        <f>VLOOKUP(DN164,Foglio1!$AB$31:$AN$261,13)-6</f>
        <v>#NUM!</v>
      </c>
      <c r="EZ164" s="244"/>
      <c r="FA164" s="244" t="e">
        <f t="shared" ca="1" si="391"/>
        <v>#REF!</v>
      </c>
      <c r="FB164" s="244" t="e">
        <f t="shared" ca="1" si="391"/>
        <v>#REF!</v>
      </c>
      <c r="FC164" s="244" t="e">
        <f t="shared" ca="1" si="391"/>
        <v>#REF!</v>
      </c>
      <c r="FD164" s="244" t="e">
        <f t="shared" ca="1" si="391"/>
        <v>#REF!</v>
      </c>
      <c r="FE164" s="244" t="e">
        <f t="shared" ca="1" si="391"/>
        <v>#REF!</v>
      </c>
      <c r="FF164" s="244" t="e">
        <f t="shared" ca="1" si="391"/>
        <v>#REF!</v>
      </c>
      <c r="FG164" s="244" t="e">
        <f t="shared" ca="1" si="391"/>
        <v>#REF!</v>
      </c>
      <c r="FH164" s="244" t="e">
        <f t="shared" ca="1" si="391"/>
        <v>#REF!</v>
      </c>
      <c r="FI164" s="244" t="e">
        <f t="shared" ca="1" si="391"/>
        <v>#REF!</v>
      </c>
      <c r="FJ164" s="244" t="e">
        <f t="shared" ca="1" si="391"/>
        <v>#REF!</v>
      </c>
      <c r="FK164" s="244" t="e">
        <f t="shared" ca="1" si="391"/>
        <v>#REF!</v>
      </c>
      <c r="FL164" s="244" t="e">
        <f t="shared" ca="1" si="391"/>
        <v>#REF!</v>
      </c>
      <c r="FM164" s="244" t="e">
        <f t="shared" ca="1" si="391"/>
        <v>#REF!</v>
      </c>
      <c r="FN164" s="244" t="e">
        <f t="shared" ca="1" si="391"/>
        <v>#REF!</v>
      </c>
      <c r="FO164" s="244"/>
    </row>
    <row r="165" spans="4:171" x14ac:dyDescent="0.25">
      <c r="D165">
        <f t="shared" ref="D165:D228" si="396">IF(E165&lt;100000,D164+1,"")</f>
        <v>165</v>
      </c>
      <c r="E165" s="112">
        <f t="shared" si="387"/>
        <v>36325</v>
      </c>
      <c r="F165" s="112">
        <f t="shared" si="387"/>
        <v>36325</v>
      </c>
      <c r="G165" s="112"/>
      <c r="H165" s="238">
        <f t="shared" ref="H165:H226" si="397">H164+1</f>
        <v>3</v>
      </c>
      <c r="J165" s="112">
        <f t="shared" ca="1" si="392"/>
        <v>36769</v>
      </c>
      <c r="K165" s="112"/>
      <c r="L165" s="112"/>
      <c r="M165">
        <f ca="1">IF(J165&gt;=N165,1,0)</f>
        <v>1</v>
      </c>
      <c r="N165" s="112">
        <f t="shared" ca="1" si="393"/>
        <v>36708</v>
      </c>
      <c r="AG165" s="238">
        <f>AG164+1</f>
        <v>49</v>
      </c>
      <c r="AH165" s="112">
        <f ca="1">INDIRECT(CONCATENATE("AA",AG165))</f>
        <v>40802</v>
      </c>
      <c r="AI165" s="112">
        <f ca="1">IF(            INDIRECT(CONCATENATE( "AB",AG165))&lt;100000,       INDIRECT(CONCATENATE("AB",AG165))  -1,IF(   INDIRECT(CONCATENATE("AC",AG165))&lt;100000,   INDIRECT(CONCATENATE("AC",AG165))-1,IF(   INDIRECT(CONCATENATE("AD", AG165))&lt;100000, INDIRECT(CONCATENATE("AD",AG165))-1,IF(   INDIRECT(CONCATENATE("AE",AG165))&lt;100000,  INDIRECT(CONCATENATE("AE",G165)),INDIRECT(CONCATENATE("AF",AG165))                ))))</f>
        <v>41090</v>
      </c>
      <c r="AJ165" s="112">
        <f t="shared" ca="1" si="292"/>
        <v>41090</v>
      </c>
      <c r="AK165" s="112">
        <f t="shared" ca="1" si="336"/>
        <v>41090</v>
      </c>
      <c r="AL165" s="238">
        <f t="shared" ca="1" si="294"/>
        <v>1</v>
      </c>
      <c r="AM165" s="112">
        <f t="shared" ca="1" si="285"/>
        <v>40802</v>
      </c>
      <c r="AN165" s="112">
        <f t="shared" ca="1" si="381"/>
        <v>41090</v>
      </c>
      <c r="AO165" s="114">
        <f t="shared" ca="1" si="377"/>
        <v>18</v>
      </c>
      <c r="AP165" s="114">
        <f t="shared" ca="1" si="378"/>
        <v>24</v>
      </c>
      <c r="AR165" s="238">
        <f t="shared" si="380"/>
        <v>165</v>
      </c>
      <c r="AU165" s="238">
        <f t="shared" si="383"/>
        <v>146</v>
      </c>
      <c r="AV165" s="238"/>
      <c r="AW165" s="238"/>
      <c r="BB165">
        <f t="shared" ref="BB165:BB228" si="398">BB164+1</f>
        <v>3</v>
      </c>
      <c r="BC165" s="112">
        <f t="shared" ca="1" si="394"/>
        <v>36281</v>
      </c>
      <c r="BD165" s="112"/>
      <c r="BE165" s="112">
        <f t="shared" ca="1" si="395"/>
        <v>36321</v>
      </c>
      <c r="BF165" s="112"/>
      <c r="BG165" s="112"/>
      <c r="BH165" s="112"/>
      <c r="BJ165" s="112">
        <f ca="1">VLOOKUP(BC165,INDIRECT($BI$160),1,FALSE)</f>
        <v>36281</v>
      </c>
      <c r="CM165" s="112"/>
      <c r="CN165" s="112"/>
      <c r="CQ165" s="112"/>
      <c r="CR165" s="112"/>
      <c r="CS165" s="112"/>
      <c r="CT165" s="112"/>
      <c r="CU165" s="112"/>
      <c r="CV165" s="112"/>
      <c r="CW165" s="112"/>
      <c r="CX165" s="112" t="s">
        <v>224</v>
      </c>
      <c r="CY165" s="112" t="s">
        <v>225</v>
      </c>
      <c r="CZ165" s="112" t="s">
        <v>226</v>
      </c>
      <c r="DA165" s="112" t="s">
        <v>227</v>
      </c>
      <c r="DB165" s="112" t="s">
        <v>228</v>
      </c>
      <c r="DC165" s="112"/>
      <c r="DD165" s="112"/>
      <c r="DE165" s="238"/>
      <c r="DF165" s="112"/>
      <c r="DG165" s="112"/>
      <c r="DH165" s="112"/>
      <c r="DI165" s="112"/>
      <c r="DJ165" s="112"/>
      <c r="DK165" s="112">
        <f t="shared" si="388"/>
        <v>100000</v>
      </c>
      <c r="DL165" s="112"/>
      <c r="DM165" s="112"/>
      <c r="DN165" s="112" t="e">
        <f t="shared" si="389"/>
        <v>#NUM!</v>
      </c>
      <c r="DO165" s="112" t="e">
        <f t="shared" si="390"/>
        <v>#NUM!</v>
      </c>
      <c r="DP165" s="112"/>
      <c r="DQ165" s="112"/>
      <c r="EX165" s="244">
        <v>0</v>
      </c>
      <c r="EY165" s="278" t="e">
        <f>VLOOKUP(DN165,Foglio1!$AB$31:$AN$261,13)-6</f>
        <v>#NUM!</v>
      </c>
      <c r="EZ165" s="244"/>
      <c r="FA165" s="244" t="e">
        <f t="shared" ca="1" si="391"/>
        <v>#REF!</v>
      </c>
      <c r="FB165" s="244" t="e">
        <f t="shared" ca="1" si="391"/>
        <v>#REF!</v>
      </c>
      <c r="FC165" s="244" t="e">
        <f t="shared" ca="1" si="391"/>
        <v>#REF!</v>
      </c>
      <c r="FD165" s="244" t="e">
        <f t="shared" ca="1" si="391"/>
        <v>#REF!</v>
      </c>
      <c r="FE165" s="244" t="e">
        <f t="shared" ca="1" si="391"/>
        <v>#REF!</v>
      </c>
      <c r="FF165" s="244" t="e">
        <f t="shared" ca="1" si="391"/>
        <v>#REF!</v>
      </c>
      <c r="FG165" s="244" t="e">
        <f t="shared" ca="1" si="391"/>
        <v>#REF!</v>
      </c>
      <c r="FH165" s="244" t="e">
        <f t="shared" ca="1" si="391"/>
        <v>#REF!</v>
      </c>
      <c r="FI165" s="244" t="e">
        <f t="shared" ca="1" si="391"/>
        <v>#REF!</v>
      </c>
      <c r="FJ165" s="244" t="e">
        <f t="shared" ca="1" si="391"/>
        <v>#REF!</v>
      </c>
      <c r="FK165" s="244" t="e">
        <f t="shared" ca="1" si="391"/>
        <v>#REF!</v>
      </c>
      <c r="FL165" s="244" t="e">
        <f t="shared" ca="1" si="391"/>
        <v>#REF!</v>
      </c>
      <c r="FM165" s="244" t="e">
        <f t="shared" ca="1" si="391"/>
        <v>#REF!</v>
      </c>
      <c r="FN165" s="244" t="e">
        <f t="shared" ca="1" si="391"/>
        <v>#REF!</v>
      </c>
      <c r="FO165" s="244"/>
    </row>
    <row r="166" spans="4:171" x14ac:dyDescent="0.25">
      <c r="D166">
        <f t="shared" si="396"/>
        <v>166</v>
      </c>
      <c r="E166" s="112">
        <f t="shared" si="387"/>
        <v>36432</v>
      </c>
      <c r="F166" s="112">
        <f t="shared" si="387"/>
        <v>36433</v>
      </c>
      <c r="G166" s="112"/>
      <c r="H166" s="238">
        <f t="shared" si="397"/>
        <v>4</v>
      </c>
      <c r="J166" s="112">
        <f t="shared" ca="1" si="392"/>
        <v>36769</v>
      </c>
      <c r="K166" s="112"/>
      <c r="L166" s="112"/>
      <c r="M166">
        <f ca="1">IF(J166&gt;=N166,1,0)</f>
        <v>0</v>
      </c>
      <c r="N166" s="112">
        <f t="shared" ca="1" si="393"/>
        <v>36770</v>
      </c>
      <c r="AG166" s="238">
        <f>AG165</f>
        <v>49</v>
      </c>
      <c r="AH166" s="112">
        <f ca="1">AI165+1</f>
        <v>41091</v>
      </c>
      <c r="AI166" s="112">
        <f ca="1">IF(INDIRECT(CONCATENATE("AC",AG165))&lt;100000,INDIRECT(CONCATENATE("AC",AG165))-1,IF(INDIRECT(CONCATENATE("AD",AG165))&lt;100000,INDIRECT(CONCATENATE("AD",AG165))-1,IF(INDIRECT(CONCATENATE("AE",AG165))&lt;100000,INDIRECT(CONCATENATE("AE",G165)),INDIRECT(CONCATENATE("AF",AG165)))))</f>
        <v>41090</v>
      </c>
      <c r="AJ166" s="112">
        <f t="shared" ca="1" si="292"/>
        <v>41090</v>
      </c>
      <c r="AK166" s="112">
        <f t="shared" ca="1" si="336"/>
        <v>41090</v>
      </c>
      <c r="AL166" s="238">
        <f t="shared" ca="1" si="294"/>
        <v>0</v>
      </c>
      <c r="AM166" s="112">
        <f t="shared" ca="1" si="285"/>
        <v>100000</v>
      </c>
      <c r="AN166" s="112">
        <f t="shared" ca="1" si="381"/>
        <v>100000</v>
      </c>
      <c r="AO166" s="114">
        <f t="shared" ca="1" si="377"/>
        <v>18</v>
      </c>
      <c r="AP166" s="114">
        <f t="shared" ca="1" si="378"/>
        <v>24</v>
      </c>
      <c r="AR166" s="238">
        <f t="shared" si="380"/>
        <v>166</v>
      </c>
      <c r="AU166" s="238">
        <f t="shared" si="383"/>
        <v>147</v>
      </c>
      <c r="AV166" s="238"/>
      <c r="AW166" s="238"/>
      <c r="BB166">
        <f t="shared" si="398"/>
        <v>4</v>
      </c>
      <c r="BC166" s="112">
        <f t="shared" ca="1" si="394"/>
        <v>36312</v>
      </c>
      <c r="BD166" s="112"/>
      <c r="BE166" s="112">
        <f t="shared" ca="1" si="395"/>
        <v>36321</v>
      </c>
      <c r="BF166" s="112"/>
      <c r="BG166" s="112"/>
      <c r="BH166" s="112"/>
      <c r="BJ166" s="112" t="e">
        <f ca="1">VLOOKUP(BC166,INDIRECT($BI$160),1,FALSE)</f>
        <v>#N/A</v>
      </c>
      <c r="CM166" s="112"/>
      <c r="CN166" s="112"/>
      <c r="CQ166" s="112"/>
      <c r="CR166" s="112"/>
      <c r="CS166" s="112"/>
      <c r="CT166" s="112"/>
      <c r="CU166" s="112"/>
      <c r="CV166" s="112"/>
      <c r="CW166" s="112"/>
      <c r="CX166" s="112" t="s">
        <v>224</v>
      </c>
      <c r="CY166" s="112" t="s">
        <v>225</v>
      </c>
      <c r="CZ166" s="112" t="s">
        <v>226</v>
      </c>
      <c r="DA166" s="112" t="s">
        <v>227</v>
      </c>
      <c r="DB166" s="112" t="s">
        <v>228</v>
      </c>
      <c r="DC166" s="112"/>
      <c r="DD166" s="112"/>
      <c r="DE166" s="238"/>
      <c r="DF166" s="112"/>
      <c r="DG166" s="112"/>
      <c r="DH166" s="112"/>
      <c r="DI166" s="112"/>
      <c r="DJ166" s="112"/>
      <c r="DK166" s="112">
        <f t="shared" si="388"/>
        <v>100000</v>
      </c>
      <c r="DL166" s="112"/>
      <c r="DM166" s="112"/>
      <c r="DN166" s="112" t="e">
        <f t="shared" si="389"/>
        <v>#NUM!</v>
      </c>
      <c r="DO166" s="112" t="e">
        <f t="shared" si="390"/>
        <v>#NUM!</v>
      </c>
      <c r="DP166" s="112"/>
      <c r="DQ166" s="112"/>
    </row>
    <row r="167" spans="4:171" x14ac:dyDescent="0.25">
      <c r="D167">
        <f t="shared" si="396"/>
        <v>167</v>
      </c>
      <c r="E167" s="112">
        <f t="shared" si="387"/>
        <v>36434</v>
      </c>
      <c r="F167" s="112">
        <f t="shared" si="387"/>
        <v>36454</v>
      </c>
      <c r="G167" s="112"/>
      <c r="H167" s="238">
        <f t="shared" si="397"/>
        <v>5</v>
      </c>
      <c r="J167" s="112">
        <f t="shared" ca="1" si="392"/>
        <v>36920</v>
      </c>
      <c r="K167" s="112"/>
      <c r="L167" s="112"/>
      <c r="M167">
        <f ca="1">IF(J167&gt;=N167,1,0)</f>
        <v>1</v>
      </c>
      <c r="N167" s="112">
        <f t="shared" ca="1" si="393"/>
        <v>36892</v>
      </c>
      <c r="AG167" s="238">
        <f>AG166</f>
        <v>49</v>
      </c>
      <c r="AH167" s="112">
        <f ca="1">AI166+1</f>
        <v>41091</v>
      </c>
      <c r="AI167" s="112">
        <f ca="1">IF(INDIRECT(CONCATENATE("AD",AG165))&lt;100000,INDIRECT(CONCATENATE("AD",AG165))-1,IF(INDIRECT(CONCATENATE("AE",AG165))&lt;100000,INDIRECT(CONCATENATE("AE",G165)),INDIRECT(CONCATENATE("AF",AG165))))</f>
        <v>41090</v>
      </c>
      <c r="AJ167" s="112">
        <f t="shared" ca="1" si="292"/>
        <v>41090</v>
      </c>
      <c r="AK167" s="112">
        <f t="shared" ca="1" si="336"/>
        <v>41090</v>
      </c>
      <c r="AL167" s="238">
        <f t="shared" ca="1" si="294"/>
        <v>0</v>
      </c>
      <c r="AM167" s="112">
        <f t="shared" ca="1" si="285"/>
        <v>100000</v>
      </c>
      <c r="AN167" s="112">
        <f t="shared" ca="1" si="381"/>
        <v>100000</v>
      </c>
      <c r="AO167" s="114">
        <f t="shared" ca="1" si="377"/>
        <v>18</v>
      </c>
      <c r="AP167" s="114">
        <f t="shared" ca="1" si="378"/>
        <v>24</v>
      </c>
      <c r="AR167" s="238">
        <f t="shared" si="380"/>
        <v>167</v>
      </c>
      <c r="AU167" s="238">
        <f t="shared" si="383"/>
        <v>148</v>
      </c>
      <c r="AV167" s="238"/>
      <c r="AW167" s="238"/>
      <c r="BB167">
        <f t="shared" si="398"/>
        <v>5</v>
      </c>
      <c r="BC167" s="112">
        <f t="shared" ca="1" si="394"/>
        <v>36325</v>
      </c>
      <c r="BD167" s="112"/>
      <c r="BE167" s="112">
        <f t="shared" ca="1" si="395"/>
        <v>36325</v>
      </c>
      <c r="BF167" s="112"/>
      <c r="BG167" s="112"/>
      <c r="BH167" s="112"/>
      <c r="BJ167" s="112">
        <f ca="1">VLOOKUP(BC167,INDIRECT($BI$160),1,FALSE)</f>
        <v>36325</v>
      </c>
      <c r="CM167" s="112"/>
      <c r="CN167" s="112"/>
      <c r="CQ167" s="112"/>
      <c r="CR167" s="112"/>
      <c r="CS167" s="112"/>
      <c r="CT167" s="112"/>
      <c r="CU167" s="112"/>
      <c r="CV167" s="112"/>
      <c r="CW167" s="112"/>
      <c r="CX167" s="112" t="s">
        <v>224</v>
      </c>
      <c r="CY167" s="112" t="s">
        <v>225</v>
      </c>
      <c r="CZ167" s="112" t="s">
        <v>226</v>
      </c>
      <c r="DA167" s="112" t="s">
        <v>227</v>
      </c>
      <c r="DB167" s="112" t="s">
        <v>228</v>
      </c>
      <c r="DC167" s="112"/>
      <c r="DD167" s="112"/>
      <c r="DE167" s="238"/>
      <c r="DF167" s="112"/>
      <c r="DG167" s="112"/>
      <c r="DH167" s="112"/>
      <c r="DI167" s="112"/>
      <c r="DJ167" s="112"/>
      <c r="DK167" s="112">
        <f t="shared" si="388"/>
        <v>100000</v>
      </c>
      <c r="DL167" s="112"/>
      <c r="DM167" s="112"/>
      <c r="DN167" s="112" t="e">
        <f t="shared" si="389"/>
        <v>#NUM!</v>
      </c>
      <c r="DO167" s="112" t="e">
        <f t="shared" si="390"/>
        <v>#NUM!</v>
      </c>
      <c r="DP167" s="112"/>
      <c r="DQ167" s="112"/>
    </row>
    <row r="168" spans="4:171" x14ac:dyDescent="0.25">
      <c r="D168">
        <f t="shared" si="396"/>
        <v>168</v>
      </c>
      <c r="E168" s="112">
        <f t="shared" si="387"/>
        <v>36456</v>
      </c>
      <c r="F168" s="112">
        <f t="shared" si="387"/>
        <v>36769</v>
      </c>
      <c r="G168" s="112"/>
      <c r="H168" s="238">
        <f t="shared" si="397"/>
        <v>6</v>
      </c>
      <c r="J168" s="112">
        <f t="shared" ca="1" si="392"/>
        <v>37282</v>
      </c>
      <c r="K168" s="112"/>
      <c r="L168" s="112"/>
      <c r="M168">
        <f t="shared" ref="M168:M179" ca="1" si="399">IF(J168&gt;=N168,1,0)</f>
        <v>1</v>
      </c>
      <c r="N168" s="112">
        <f t="shared" ca="1" si="393"/>
        <v>37257</v>
      </c>
      <c r="AG168" s="238">
        <f>AG167</f>
        <v>49</v>
      </c>
      <c r="AH168" s="112">
        <f ca="1">AI167+1</f>
        <v>41091</v>
      </c>
      <c r="AI168" s="112">
        <f ca="1">IF(INDIRECT(CONCATENATE("AE",AG165))&lt;100000,INDIRECT(CONCATENATE("AE",G165)),INDIRECT(CONCATENATE("AF",AG165)))</f>
        <v>41090</v>
      </c>
      <c r="AJ168" s="112">
        <f t="shared" ca="1" si="292"/>
        <v>41090</v>
      </c>
      <c r="AK168" s="112">
        <f t="shared" ca="1" si="336"/>
        <v>41090</v>
      </c>
      <c r="AL168" s="238">
        <f t="shared" ca="1" si="294"/>
        <v>0</v>
      </c>
      <c r="AM168" s="112">
        <f t="shared" ca="1" si="285"/>
        <v>100000</v>
      </c>
      <c r="AN168" s="112">
        <f t="shared" ca="1" si="381"/>
        <v>100000</v>
      </c>
      <c r="AO168" s="114">
        <f t="shared" ca="1" si="377"/>
        <v>18</v>
      </c>
      <c r="AP168" s="114">
        <f t="shared" ca="1" si="378"/>
        <v>24</v>
      </c>
      <c r="AR168" s="238">
        <f t="shared" si="380"/>
        <v>168</v>
      </c>
      <c r="AU168" s="238">
        <f t="shared" si="383"/>
        <v>149</v>
      </c>
      <c r="AV168" s="238"/>
      <c r="AW168" s="238"/>
      <c r="BB168">
        <f t="shared" si="398"/>
        <v>6</v>
      </c>
      <c r="BC168" s="112">
        <f t="shared" ca="1" si="394"/>
        <v>36432</v>
      </c>
      <c r="BD168" s="112"/>
      <c r="BE168" s="112">
        <f t="shared" ca="1" si="395"/>
        <v>36433</v>
      </c>
      <c r="BF168" s="112"/>
      <c r="BG168" s="112"/>
      <c r="BH168" s="112"/>
      <c r="BJ168" s="112">
        <f t="shared" ref="BJ168:BJ196" ca="1" si="400">VLOOKUP(BC168,INDIRECT($BI$160),1,FALSE)</f>
        <v>36432</v>
      </c>
      <c r="CM168" s="112"/>
      <c r="CN168" s="112"/>
      <c r="CQ168" s="112"/>
      <c r="CR168" s="112"/>
      <c r="CS168" s="112"/>
      <c r="CT168" s="112"/>
      <c r="CU168" s="112"/>
      <c r="CV168" s="112"/>
      <c r="CW168" s="112"/>
      <c r="CX168" s="112" t="s">
        <v>224</v>
      </c>
      <c r="CY168" s="112" t="s">
        <v>225</v>
      </c>
      <c r="CZ168" s="112" t="s">
        <v>226</v>
      </c>
      <c r="DA168" s="112" t="s">
        <v>227</v>
      </c>
      <c r="DB168" s="112" t="s">
        <v>228</v>
      </c>
      <c r="DC168" s="112"/>
      <c r="DD168" s="112"/>
      <c r="DE168" s="238"/>
      <c r="DF168" s="112"/>
      <c r="DG168" s="112"/>
      <c r="DH168" s="112"/>
      <c r="DI168" s="112"/>
      <c r="DJ168" s="112"/>
      <c r="DK168" s="112">
        <f t="shared" si="388"/>
        <v>100000</v>
      </c>
      <c r="DL168" s="112"/>
      <c r="DM168" s="112"/>
      <c r="DN168" s="112" t="e">
        <f t="shared" si="389"/>
        <v>#NUM!</v>
      </c>
      <c r="DO168" s="112" t="e">
        <f t="shared" si="390"/>
        <v>#NUM!</v>
      </c>
      <c r="DP168" s="112"/>
      <c r="DQ168" s="112"/>
    </row>
    <row r="169" spans="4:171" x14ac:dyDescent="0.25">
      <c r="D169">
        <f t="shared" si="396"/>
        <v>169</v>
      </c>
      <c r="E169" s="112">
        <f t="shared" si="387"/>
        <v>36777</v>
      </c>
      <c r="F169" s="112">
        <f t="shared" si="387"/>
        <v>36920</v>
      </c>
      <c r="G169" s="112"/>
      <c r="H169" s="238">
        <f t="shared" si="397"/>
        <v>7</v>
      </c>
      <c r="J169" s="112">
        <f t="shared" ca="1" si="392"/>
        <v>37437</v>
      </c>
      <c r="K169" s="112"/>
      <c r="L169" s="112"/>
      <c r="M169">
        <f t="shared" ca="1" si="399"/>
        <v>1</v>
      </c>
      <c r="N169" s="112">
        <f t="shared" ca="1" si="393"/>
        <v>37411</v>
      </c>
      <c r="AG169" s="238">
        <f>AG168</f>
        <v>49</v>
      </c>
      <c r="AH169" s="112">
        <f ca="1">AI168+1</f>
        <v>41091</v>
      </c>
      <c r="AI169" s="112">
        <f ca="1">INDIRECT(CONCATENATE("AF",AG165))</f>
        <v>41090</v>
      </c>
      <c r="AJ169" s="112">
        <f t="shared" ca="1" si="292"/>
        <v>41090</v>
      </c>
      <c r="AK169" s="112">
        <f t="shared" ca="1" si="336"/>
        <v>41090</v>
      </c>
      <c r="AL169" s="238">
        <f t="shared" ca="1" si="294"/>
        <v>0</v>
      </c>
      <c r="AM169" s="112">
        <f t="shared" ref="AM169:AM232" ca="1" si="401">IF(TYPE(AL169)=16,100000,IF(AL169=0,100000,AH169))</f>
        <v>100000</v>
      </c>
      <c r="AN169" s="112">
        <f t="shared" ca="1" si="381"/>
        <v>100000</v>
      </c>
      <c r="AO169" s="114">
        <f t="shared" ca="1" si="377"/>
        <v>18</v>
      </c>
      <c r="AP169" s="114">
        <f t="shared" ca="1" si="378"/>
        <v>24</v>
      </c>
      <c r="AR169" s="238">
        <f t="shared" si="380"/>
        <v>169</v>
      </c>
      <c r="AU169" s="238">
        <f t="shared" si="383"/>
        <v>150</v>
      </c>
      <c r="AV169" s="238"/>
      <c r="AW169" s="238"/>
      <c r="BB169">
        <f t="shared" si="398"/>
        <v>7</v>
      </c>
      <c r="BC169" s="112">
        <f t="shared" ca="1" si="394"/>
        <v>36434</v>
      </c>
      <c r="BD169" s="112"/>
      <c r="BE169" s="112">
        <f t="shared" ca="1" si="395"/>
        <v>36454</v>
      </c>
      <c r="BF169" s="112"/>
      <c r="BG169" s="112"/>
      <c r="BH169" s="112"/>
      <c r="BJ169" s="112">
        <f t="shared" ca="1" si="400"/>
        <v>36434</v>
      </c>
      <c r="CM169" s="112"/>
      <c r="CN169" s="112"/>
      <c r="CQ169" s="112"/>
      <c r="CR169" s="112"/>
      <c r="CS169" s="112"/>
      <c r="CT169" s="112"/>
      <c r="CU169" s="112"/>
      <c r="CV169" s="112"/>
      <c r="CW169" s="112"/>
      <c r="CX169" s="112" t="s">
        <v>224</v>
      </c>
      <c r="CY169" s="112" t="s">
        <v>225</v>
      </c>
      <c r="CZ169" s="112" t="s">
        <v>226</v>
      </c>
      <c r="DA169" s="112" t="s">
        <v>227</v>
      </c>
      <c r="DB169" s="112" t="s">
        <v>228</v>
      </c>
      <c r="DC169" s="112"/>
      <c r="DD169" s="112"/>
      <c r="DE169" s="238"/>
      <c r="DF169" s="112"/>
      <c r="DG169" s="112"/>
      <c r="DH169" s="112"/>
      <c r="DI169" s="112"/>
      <c r="DJ169" s="112"/>
      <c r="DK169" s="112">
        <f t="shared" si="388"/>
        <v>100000</v>
      </c>
      <c r="DL169" s="112"/>
      <c r="DM169" s="112"/>
      <c r="DN169" s="112" t="e">
        <f t="shared" si="389"/>
        <v>#NUM!</v>
      </c>
      <c r="DO169" s="112" t="e">
        <f t="shared" si="390"/>
        <v>#NUM!</v>
      </c>
      <c r="DP169" s="112"/>
      <c r="DQ169" s="112"/>
    </row>
    <row r="170" spans="4:171" x14ac:dyDescent="0.25">
      <c r="D170">
        <f t="shared" si="396"/>
        <v>170</v>
      </c>
      <c r="E170" s="112">
        <f t="shared" si="387"/>
        <v>36921</v>
      </c>
      <c r="F170" s="112">
        <f t="shared" si="387"/>
        <v>37072</v>
      </c>
      <c r="G170" s="112"/>
      <c r="H170" s="238">
        <f t="shared" si="397"/>
        <v>8</v>
      </c>
      <c r="J170" s="112">
        <f t="shared" ca="1" si="392"/>
        <v>37437</v>
      </c>
      <c r="K170" s="112"/>
      <c r="L170" s="112"/>
      <c r="M170">
        <f t="shared" ca="1" si="399"/>
        <v>0</v>
      </c>
      <c r="N170" s="112">
        <f t="shared" ca="1" si="393"/>
        <v>37622</v>
      </c>
      <c r="AG170" s="238">
        <f>AG169+1</f>
        <v>50</v>
      </c>
      <c r="AH170" s="112">
        <f ca="1">INDIRECT(CONCATENATE("AA",AG170))</f>
        <v>41171</v>
      </c>
      <c r="AI170" s="112">
        <f ca="1">IF(            INDIRECT(CONCATENATE( "AB",AG170))&lt;100000,       INDIRECT(CONCATENATE("AB",AG170))  -1,IF(   INDIRECT(CONCATENATE("AC",AG170))&lt;100000,   INDIRECT(CONCATENATE("AC",AG170))-1,IF(   INDIRECT(CONCATENATE("AD", AG170))&lt;100000, INDIRECT(CONCATENATE("AD",AG170))-1,IF(   INDIRECT(CONCATENATE("AE",AG170))&lt;100000,  INDIRECT(CONCATENATE("AE",G170)),INDIRECT(CONCATENATE("AF",AG170))                ))))</f>
        <v>41471</v>
      </c>
      <c r="AJ170" s="112">
        <f t="shared" ca="1" si="292"/>
        <v>41471</v>
      </c>
      <c r="AK170" s="112">
        <f t="shared" ca="1" si="336"/>
        <v>41471</v>
      </c>
      <c r="AL170" s="238">
        <f t="shared" ca="1" si="294"/>
        <v>1</v>
      </c>
      <c r="AM170" s="112">
        <f t="shared" ca="1" si="401"/>
        <v>41171</v>
      </c>
      <c r="AN170" s="112">
        <f t="shared" ca="1" si="381"/>
        <v>41471</v>
      </c>
      <c r="AO170" s="114">
        <f t="shared" ca="1" si="377"/>
        <v>18</v>
      </c>
      <c r="AP170" s="114">
        <f t="shared" ca="1" si="378"/>
        <v>24</v>
      </c>
      <c r="AR170" s="238">
        <f t="shared" si="380"/>
        <v>170</v>
      </c>
      <c r="AU170" s="238">
        <f t="shared" si="383"/>
        <v>151</v>
      </c>
      <c r="AV170" s="238"/>
      <c r="AW170" s="238"/>
      <c r="BB170">
        <f t="shared" si="398"/>
        <v>8</v>
      </c>
      <c r="BC170" s="112">
        <f t="shared" ca="1" si="394"/>
        <v>36456</v>
      </c>
      <c r="BD170" s="112"/>
      <c r="BE170" s="112">
        <f t="shared" ca="1" si="395"/>
        <v>36769</v>
      </c>
      <c r="BF170" s="112"/>
      <c r="BG170" s="112"/>
      <c r="BH170" s="112"/>
      <c r="BJ170" s="112">
        <f t="shared" ca="1" si="400"/>
        <v>36456</v>
      </c>
      <c r="CM170" s="112"/>
      <c r="CN170" s="112"/>
      <c r="CQ170" s="112"/>
      <c r="CR170" s="112"/>
      <c r="CS170" s="112"/>
      <c r="CT170" s="112"/>
      <c r="CU170" s="112"/>
      <c r="CV170" s="112"/>
      <c r="CW170" s="112"/>
      <c r="CX170" s="112" t="s">
        <v>224</v>
      </c>
      <c r="CY170" s="112" t="s">
        <v>225</v>
      </c>
      <c r="CZ170" s="112" t="s">
        <v>226</v>
      </c>
      <c r="DA170" s="112" t="s">
        <v>227</v>
      </c>
      <c r="DB170" s="112" t="s">
        <v>228</v>
      </c>
      <c r="DC170" s="112"/>
      <c r="DD170" s="112"/>
      <c r="DE170" s="238"/>
      <c r="DF170" s="112"/>
      <c r="DG170" s="112"/>
      <c r="DH170" s="112"/>
      <c r="DI170" s="112"/>
      <c r="DJ170" s="112"/>
      <c r="DK170" s="112">
        <f t="shared" si="388"/>
        <v>100000</v>
      </c>
      <c r="DL170" s="112"/>
      <c r="DM170" s="112"/>
      <c r="DN170" s="112" t="e">
        <f t="shared" si="389"/>
        <v>#NUM!</v>
      </c>
      <c r="DO170" s="112" t="e">
        <f t="shared" si="390"/>
        <v>#NUM!</v>
      </c>
      <c r="DP170" s="112"/>
      <c r="DQ170" s="112"/>
    </row>
    <row r="171" spans="4:171" x14ac:dyDescent="0.25">
      <c r="D171">
        <f t="shared" si="396"/>
        <v>171</v>
      </c>
      <c r="E171" s="112">
        <f t="shared" si="387"/>
        <v>37135</v>
      </c>
      <c r="F171" s="112">
        <f t="shared" si="387"/>
        <v>37437</v>
      </c>
      <c r="G171" s="112"/>
      <c r="H171" s="238">
        <f t="shared" si="397"/>
        <v>9</v>
      </c>
      <c r="J171" s="112">
        <f t="shared" ca="1" si="392"/>
        <v>37437</v>
      </c>
      <c r="K171" s="112"/>
      <c r="L171" s="112"/>
      <c r="M171">
        <f t="shared" ca="1" si="399"/>
        <v>0</v>
      </c>
      <c r="N171" s="112">
        <f t="shared" ca="1" si="393"/>
        <v>37987</v>
      </c>
      <c r="AG171" s="238">
        <f>AG170</f>
        <v>50</v>
      </c>
      <c r="AH171" s="112">
        <f ca="1">AI170+1</f>
        <v>41472</v>
      </c>
      <c r="AI171" s="112">
        <f ca="1">IF(INDIRECT(CONCATENATE("AC",AG170))&lt;100000,INDIRECT(CONCATENATE("AC",AG170))-1,IF(INDIRECT(CONCATENATE("AD",AG170))&lt;100000,INDIRECT(CONCATENATE("AD",AG170))-1,IF(INDIRECT(CONCATENATE("AE",AG170))&lt;100000,INDIRECT(CONCATENATE("AE",G170)),INDIRECT(CONCATENATE("AF",AG170)))))</f>
        <v>41471</v>
      </c>
      <c r="AJ171" s="112">
        <f t="shared" ca="1" si="292"/>
        <v>41471</v>
      </c>
      <c r="AK171" s="112">
        <f t="shared" ca="1" si="336"/>
        <v>41471</v>
      </c>
      <c r="AL171" s="238">
        <f t="shared" ca="1" si="294"/>
        <v>0</v>
      </c>
      <c r="AM171" s="112">
        <f t="shared" ca="1" si="401"/>
        <v>100000</v>
      </c>
      <c r="AN171" s="112">
        <f t="shared" ca="1" si="381"/>
        <v>100000</v>
      </c>
      <c r="AO171" s="114">
        <f t="shared" ca="1" si="377"/>
        <v>18</v>
      </c>
      <c r="AP171" s="114">
        <f t="shared" ca="1" si="378"/>
        <v>24</v>
      </c>
      <c r="AR171" s="238">
        <f t="shared" si="380"/>
        <v>171</v>
      </c>
      <c r="AU171" s="238">
        <f t="shared" si="383"/>
        <v>152</v>
      </c>
      <c r="AV171" s="238"/>
      <c r="AW171" s="238"/>
      <c r="BB171">
        <f t="shared" si="398"/>
        <v>9</v>
      </c>
      <c r="BC171" s="112">
        <f t="shared" ca="1" si="394"/>
        <v>36708</v>
      </c>
      <c r="BD171" s="112"/>
      <c r="BE171" s="112">
        <f t="shared" ca="1" si="395"/>
        <v>36769</v>
      </c>
      <c r="BF171" s="112"/>
      <c r="BG171" s="112"/>
      <c r="BH171" s="112"/>
      <c r="BJ171" s="112" t="e">
        <f t="shared" ca="1" si="400"/>
        <v>#N/A</v>
      </c>
      <c r="CM171" s="112"/>
      <c r="CN171" s="112"/>
      <c r="CQ171" s="112"/>
      <c r="CR171" s="112"/>
      <c r="CS171" s="112"/>
      <c r="CT171" s="112"/>
      <c r="CU171" s="112"/>
      <c r="CV171" s="112"/>
      <c r="CW171" s="112"/>
      <c r="CX171" s="112" t="s">
        <v>224</v>
      </c>
      <c r="CY171" s="112" t="s">
        <v>225</v>
      </c>
      <c r="CZ171" s="112" t="s">
        <v>226</v>
      </c>
      <c r="DA171" s="112" t="s">
        <v>227</v>
      </c>
      <c r="DB171" s="112" t="s">
        <v>228</v>
      </c>
      <c r="DC171" s="112"/>
      <c r="DD171" s="112"/>
      <c r="DE171" s="238"/>
      <c r="DF171" s="112"/>
      <c r="DG171" s="112"/>
      <c r="DH171" s="112"/>
      <c r="DI171" s="112"/>
      <c r="DJ171" s="112"/>
      <c r="DK171" s="112">
        <f t="shared" si="388"/>
        <v>100000</v>
      </c>
      <c r="DL171" s="112"/>
      <c r="DM171" s="112"/>
      <c r="DN171" s="112" t="e">
        <f t="shared" si="389"/>
        <v>#NUM!</v>
      </c>
      <c r="DO171" s="112" t="e">
        <f t="shared" si="390"/>
        <v>#NUM!</v>
      </c>
      <c r="DP171" s="112"/>
      <c r="DQ171" s="112"/>
    </row>
    <row r="172" spans="4:171" x14ac:dyDescent="0.25">
      <c r="D172">
        <f t="shared" si="396"/>
        <v>172</v>
      </c>
      <c r="E172" s="112">
        <f t="shared" si="387"/>
        <v>37167</v>
      </c>
      <c r="F172" s="112">
        <f t="shared" si="387"/>
        <v>37200</v>
      </c>
      <c r="G172" s="112"/>
      <c r="H172" s="238">
        <f t="shared" si="397"/>
        <v>10</v>
      </c>
      <c r="J172" s="112">
        <f t="shared" ca="1" si="392"/>
        <v>37437</v>
      </c>
      <c r="K172" s="112"/>
      <c r="L172" s="112"/>
      <c r="M172">
        <f t="shared" ca="1" si="399"/>
        <v>0</v>
      </c>
      <c r="N172" s="112">
        <f t="shared" ca="1" si="393"/>
        <v>38384</v>
      </c>
      <c r="AG172" s="238">
        <f>AG171</f>
        <v>50</v>
      </c>
      <c r="AH172" s="112">
        <f ca="1">AI171+1</f>
        <v>41472</v>
      </c>
      <c r="AI172" s="112">
        <f ca="1">IF(INDIRECT(CONCATENATE("AD",AG170))&lt;100000,INDIRECT(CONCATENATE("AD",AG170))-1,IF(INDIRECT(CONCATENATE("AE",AG170))&lt;100000,INDIRECT(CONCATENATE("AE",G170)),INDIRECT(CONCATENATE("AF",AG170))))</f>
        <v>41471</v>
      </c>
      <c r="AJ172" s="112">
        <f t="shared" ca="1" si="292"/>
        <v>41471</v>
      </c>
      <c r="AK172" s="112">
        <f t="shared" ca="1" si="336"/>
        <v>41471</v>
      </c>
      <c r="AL172" s="238">
        <f t="shared" ca="1" si="294"/>
        <v>0</v>
      </c>
      <c r="AM172" s="112">
        <f t="shared" ca="1" si="401"/>
        <v>100000</v>
      </c>
      <c r="AN172" s="112">
        <f t="shared" ca="1" si="381"/>
        <v>100000</v>
      </c>
      <c r="AO172" s="114">
        <f t="shared" ca="1" si="377"/>
        <v>18</v>
      </c>
      <c r="AP172" s="114">
        <f t="shared" ca="1" si="378"/>
        <v>24</v>
      </c>
      <c r="AR172" s="238">
        <f t="shared" si="380"/>
        <v>172</v>
      </c>
      <c r="AU172" s="238">
        <f t="shared" si="383"/>
        <v>153</v>
      </c>
      <c r="AV172" s="238"/>
      <c r="AW172" s="238"/>
      <c r="BB172">
        <f t="shared" si="398"/>
        <v>10</v>
      </c>
      <c r="BC172" s="112">
        <f t="shared" ca="1" si="394"/>
        <v>36770</v>
      </c>
      <c r="BD172" s="112"/>
      <c r="BE172" s="112">
        <f t="shared" ca="1" si="395"/>
        <v>36769</v>
      </c>
      <c r="BF172" s="112"/>
      <c r="BG172" s="112"/>
      <c r="BH172" s="112"/>
      <c r="BJ172" s="112" t="e">
        <f t="shared" ca="1" si="400"/>
        <v>#N/A</v>
      </c>
      <c r="CM172" s="112"/>
      <c r="CN172" s="112"/>
      <c r="CQ172" s="112"/>
      <c r="CR172" s="112"/>
      <c r="CS172" s="112"/>
      <c r="CT172" s="112"/>
      <c r="CU172" s="112"/>
      <c r="CV172" s="112"/>
      <c r="CW172" s="112"/>
      <c r="CX172" s="112" t="s">
        <v>224</v>
      </c>
      <c r="CY172" s="112" t="s">
        <v>225</v>
      </c>
      <c r="CZ172" s="112" t="s">
        <v>226</v>
      </c>
      <c r="DA172" s="112" t="s">
        <v>227</v>
      </c>
      <c r="DB172" s="112" t="s">
        <v>228</v>
      </c>
      <c r="DC172" s="112"/>
      <c r="DD172" s="112"/>
      <c r="DE172" s="238"/>
      <c r="DF172" s="112"/>
      <c r="DG172" s="112"/>
      <c r="DH172" s="112"/>
      <c r="DI172" s="112"/>
      <c r="DJ172" s="112"/>
      <c r="DK172" s="112">
        <f t="shared" si="388"/>
        <v>100000</v>
      </c>
      <c r="DL172" s="112"/>
      <c r="DM172" s="112"/>
      <c r="DN172" s="112" t="e">
        <f t="shared" si="389"/>
        <v>#NUM!</v>
      </c>
      <c r="DO172" s="112" t="e">
        <f t="shared" si="390"/>
        <v>#NUM!</v>
      </c>
      <c r="DP172" s="112"/>
      <c r="DQ172" s="112"/>
    </row>
    <row r="173" spans="4:171" x14ac:dyDescent="0.25">
      <c r="D173">
        <f t="shared" si="396"/>
        <v>173</v>
      </c>
      <c r="E173" s="112">
        <f t="shared" si="387"/>
        <v>37167</v>
      </c>
      <c r="F173" s="112">
        <f t="shared" si="387"/>
        <v>37200</v>
      </c>
      <c r="G173" s="112"/>
      <c r="H173" s="238">
        <f t="shared" si="397"/>
        <v>11</v>
      </c>
      <c r="J173" s="112">
        <f t="shared" ca="1" si="392"/>
        <v>37437</v>
      </c>
      <c r="K173" s="112"/>
      <c r="L173" s="112"/>
      <c r="M173">
        <f t="shared" ca="1" si="399"/>
        <v>0</v>
      </c>
      <c r="N173" s="112">
        <f t="shared" ca="1" si="393"/>
        <v>38718</v>
      </c>
      <c r="AG173" s="238">
        <f>AG172</f>
        <v>50</v>
      </c>
      <c r="AH173" s="112">
        <f ca="1">AI172+1</f>
        <v>41472</v>
      </c>
      <c r="AI173" s="112">
        <f ca="1">IF(INDIRECT(CONCATENATE("AE",AG170))&lt;100000,INDIRECT(CONCATENATE("AE",G170)),INDIRECT(CONCATENATE("AF",AG170)))</f>
        <v>41471</v>
      </c>
      <c r="AJ173" s="112">
        <f t="shared" ref="AJ173:AJ236" ca="1" si="402">IF(TYPE(AI173)=16,VLOOKUP(AH173,$F$20:$G$146,2),AI173)</f>
        <v>41471</v>
      </c>
      <c r="AK173" s="112">
        <f t="shared" ca="1" si="336"/>
        <v>41471</v>
      </c>
      <c r="AL173" s="238">
        <f t="shared" ca="1" si="294"/>
        <v>0</v>
      </c>
      <c r="AM173" s="112">
        <f t="shared" ca="1" si="401"/>
        <v>100000</v>
      </c>
      <c r="AN173" s="112">
        <f t="shared" ca="1" si="381"/>
        <v>100000</v>
      </c>
      <c r="AO173" s="114">
        <f t="shared" ca="1" si="377"/>
        <v>18</v>
      </c>
      <c r="AP173" s="114">
        <f t="shared" ca="1" si="378"/>
        <v>24</v>
      </c>
      <c r="AR173" s="238">
        <f t="shared" si="380"/>
        <v>173</v>
      </c>
      <c r="AU173" s="238">
        <f t="shared" si="383"/>
        <v>154</v>
      </c>
      <c r="AV173" s="238"/>
      <c r="AW173" s="238"/>
      <c r="BB173">
        <f t="shared" si="398"/>
        <v>11</v>
      </c>
      <c r="BC173" s="112">
        <f t="shared" ca="1" si="394"/>
        <v>36777</v>
      </c>
      <c r="BD173" s="112"/>
      <c r="BE173" s="112">
        <f t="shared" ca="1" si="395"/>
        <v>36920</v>
      </c>
      <c r="BF173" s="112"/>
      <c r="BG173" s="112"/>
      <c r="BH173" s="112"/>
      <c r="BJ173" s="112">
        <f t="shared" ca="1" si="400"/>
        <v>36777</v>
      </c>
      <c r="CM173" s="112"/>
      <c r="CN173" s="112"/>
      <c r="CQ173" s="112"/>
      <c r="CR173" s="112"/>
      <c r="CS173" s="112"/>
      <c r="CT173" s="112"/>
      <c r="CU173" s="112"/>
      <c r="CV173" s="112"/>
      <c r="CW173" s="112"/>
      <c r="CX173" s="112" t="s">
        <v>224</v>
      </c>
      <c r="CY173" s="112" t="s">
        <v>225</v>
      </c>
      <c r="CZ173" s="112" t="s">
        <v>226</v>
      </c>
      <c r="DA173" s="112" t="s">
        <v>227</v>
      </c>
      <c r="DB173" s="112" t="s">
        <v>228</v>
      </c>
      <c r="DC173" s="112"/>
      <c r="DD173" s="112"/>
      <c r="DE173" s="238"/>
      <c r="DF173" s="112"/>
      <c r="DG173" s="112"/>
      <c r="DH173" s="112"/>
      <c r="DI173" s="112"/>
      <c r="DJ173" s="112"/>
      <c r="DK173" s="112">
        <f t="shared" si="388"/>
        <v>100000</v>
      </c>
      <c r="DL173" s="112"/>
      <c r="DM173" s="112"/>
      <c r="DN173" s="112" t="e">
        <f t="shared" si="389"/>
        <v>#NUM!</v>
      </c>
      <c r="DO173" s="112" t="e">
        <f t="shared" si="390"/>
        <v>#NUM!</v>
      </c>
      <c r="DP173" s="112"/>
      <c r="DQ173" s="112"/>
    </row>
    <row r="174" spans="4:171" x14ac:dyDescent="0.25">
      <c r="D174">
        <f t="shared" si="396"/>
        <v>174</v>
      </c>
      <c r="E174" s="112">
        <f t="shared" si="387"/>
        <v>37201</v>
      </c>
      <c r="F174" s="112">
        <f t="shared" si="387"/>
        <v>37437</v>
      </c>
      <c r="G174" s="112"/>
      <c r="H174" s="238">
        <f t="shared" si="397"/>
        <v>12</v>
      </c>
      <c r="J174" s="112">
        <f t="shared" ca="1" si="392"/>
        <v>37437</v>
      </c>
      <c r="K174" s="112"/>
      <c r="L174" s="112"/>
      <c r="M174">
        <f t="shared" ca="1" si="399"/>
        <v>0</v>
      </c>
      <c r="N174" s="112">
        <f t="shared" ca="1" si="393"/>
        <v>39083</v>
      </c>
      <c r="AG174" s="238">
        <f>AG173</f>
        <v>50</v>
      </c>
      <c r="AH174" s="112">
        <f ca="1">AI173+1</f>
        <v>41472</v>
      </c>
      <c r="AI174" s="112">
        <f ca="1">INDIRECT(CONCATENATE("AF",AG170))</f>
        <v>41471</v>
      </c>
      <c r="AJ174" s="112">
        <f t="shared" ca="1" si="402"/>
        <v>41471</v>
      </c>
      <c r="AK174" s="112">
        <f t="shared" ca="1" si="336"/>
        <v>41471</v>
      </c>
      <c r="AL174" s="238">
        <f t="shared" ref="AL174:AL237" ca="1" si="403">IF(AK174=AI173,0,1)</f>
        <v>0</v>
      </c>
      <c r="AM174" s="112">
        <f t="shared" ca="1" si="401"/>
        <v>100000</v>
      </c>
      <c r="AN174" s="112">
        <f t="shared" ca="1" si="381"/>
        <v>100000</v>
      </c>
      <c r="AO174" s="114">
        <f t="shared" ca="1" si="377"/>
        <v>18</v>
      </c>
      <c r="AP174" s="114">
        <f t="shared" ca="1" si="378"/>
        <v>24</v>
      </c>
      <c r="AR174" s="238">
        <f t="shared" si="380"/>
        <v>174</v>
      </c>
      <c r="AU174" s="238">
        <f t="shared" si="383"/>
        <v>155</v>
      </c>
      <c r="AV174" s="238"/>
      <c r="AW174" s="238"/>
      <c r="BB174">
        <f t="shared" si="398"/>
        <v>12</v>
      </c>
      <c r="BC174" s="112">
        <f t="shared" ca="1" si="394"/>
        <v>36892</v>
      </c>
      <c r="BD174" s="112"/>
      <c r="BE174" s="112">
        <f t="shared" ca="1" si="395"/>
        <v>36920</v>
      </c>
      <c r="BF174" s="112"/>
      <c r="BG174" s="112"/>
      <c r="BH174" s="112"/>
      <c r="BJ174" s="112" t="e">
        <f t="shared" ca="1" si="400"/>
        <v>#N/A</v>
      </c>
      <c r="BL174" t="s">
        <v>244</v>
      </c>
      <c r="CM174" s="112"/>
      <c r="CN174" s="112"/>
      <c r="CQ174" s="112"/>
      <c r="CR174" s="112"/>
      <c r="CS174" s="112"/>
      <c r="CT174" s="112"/>
      <c r="CU174" s="112"/>
      <c r="CV174" s="112"/>
      <c r="CW174" s="112"/>
      <c r="CX174" s="112" t="s">
        <v>224</v>
      </c>
      <c r="CY174" s="112" t="s">
        <v>225</v>
      </c>
      <c r="CZ174" s="112" t="s">
        <v>226</v>
      </c>
      <c r="DA174" s="112" t="s">
        <v>227</v>
      </c>
      <c r="DB174" s="112" t="s">
        <v>228</v>
      </c>
      <c r="DC174" s="112"/>
      <c r="DD174" s="112"/>
      <c r="DE174" s="238"/>
      <c r="DF174" s="112"/>
      <c r="DG174" s="112"/>
      <c r="DH174" s="112"/>
      <c r="DI174" s="112"/>
      <c r="DJ174" s="112"/>
      <c r="DK174" s="112">
        <f t="shared" si="388"/>
        <v>100000</v>
      </c>
      <c r="DL174" s="112"/>
      <c r="DM174" s="112"/>
      <c r="DN174" s="112" t="e">
        <f t="shared" si="389"/>
        <v>#NUM!</v>
      </c>
      <c r="DO174" s="112" t="e">
        <f t="shared" si="390"/>
        <v>#NUM!</v>
      </c>
      <c r="DP174" s="112"/>
      <c r="DQ174" s="112"/>
    </row>
    <row r="175" spans="4:171" x14ac:dyDescent="0.25">
      <c r="D175">
        <f t="shared" si="396"/>
        <v>175</v>
      </c>
      <c r="E175" s="112">
        <f t="shared" si="387"/>
        <v>37202</v>
      </c>
      <c r="F175" s="112">
        <f t="shared" si="387"/>
        <v>37282</v>
      </c>
      <c r="G175" s="112"/>
      <c r="H175" s="238">
        <f t="shared" si="397"/>
        <v>13</v>
      </c>
      <c r="J175" s="112">
        <f t="shared" ca="1" si="392"/>
        <v>37437</v>
      </c>
      <c r="K175" s="112"/>
      <c r="L175" s="112"/>
      <c r="M175">
        <f t="shared" ca="1" si="399"/>
        <v>0</v>
      </c>
      <c r="N175" s="112">
        <f t="shared" ca="1" si="393"/>
        <v>39114</v>
      </c>
      <c r="AG175" s="238">
        <f>AG174+1</f>
        <v>51</v>
      </c>
      <c r="AH175" s="112">
        <f ca="1">INDIRECT(CONCATENATE("AA",AG175))</f>
        <v>41178</v>
      </c>
      <c r="AI175" s="112">
        <f ca="1">IF(            INDIRECT(CONCATENATE( "AB",AG175))&lt;100000,       INDIRECT(CONCATENATE("AB",AG175))  -1,IF(   INDIRECT(CONCATENATE("AC",AG175))&lt;100000,   INDIRECT(CONCATENATE("AC",AG175))-1,IF(   INDIRECT(CONCATENATE("AD", AG175))&lt;100000, INDIRECT(CONCATENATE("AD",AG175))-1,IF(   INDIRECT(CONCATENATE("AE",AG175))&lt;100000,  INDIRECT(CONCATENATE("AE",G175)),INDIRECT(CONCATENATE("AF",AG175))                ))))</f>
        <v>41471</v>
      </c>
      <c r="AJ175" s="112">
        <f t="shared" ca="1" si="402"/>
        <v>41471</v>
      </c>
      <c r="AK175" s="112">
        <f t="shared" ca="1" si="336"/>
        <v>41471</v>
      </c>
      <c r="AL175" s="238">
        <f t="shared" ca="1" si="403"/>
        <v>0</v>
      </c>
      <c r="AM175" s="112">
        <f t="shared" ca="1" si="401"/>
        <v>100000</v>
      </c>
      <c r="AN175" s="112">
        <f t="shared" ca="1" si="381"/>
        <v>100000</v>
      </c>
      <c r="AO175" s="114">
        <f t="shared" ca="1" si="377"/>
        <v>18</v>
      </c>
      <c r="AP175" s="114">
        <f t="shared" ca="1" si="378"/>
        <v>24</v>
      </c>
      <c r="AR175" s="238">
        <f t="shared" si="380"/>
        <v>175</v>
      </c>
      <c r="AU175" s="238">
        <f t="shared" si="383"/>
        <v>156</v>
      </c>
      <c r="AV175" s="238"/>
      <c r="AW175" s="238"/>
      <c r="BB175">
        <f t="shared" si="398"/>
        <v>13</v>
      </c>
      <c r="BC175" s="112">
        <f t="shared" ca="1" si="394"/>
        <v>36921</v>
      </c>
      <c r="BD175" s="112"/>
      <c r="BE175" s="112">
        <f t="shared" ca="1" si="395"/>
        <v>37072</v>
      </c>
      <c r="BF175" s="112"/>
      <c r="BG175" s="112"/>
      <c r="BH175" s="112"/>
      <c r="BJ175" s="112">
        <f t="shared" ca="1" si="400"/>
        <v>36921</v>
      </c>
      <c r="CM175" s="112"/>
      <c r="CN175" s="112"/>
      <c r="CQ175" s="112"/>
      <c r="CR175" s="112"/>
      <c r="CS175" s="112"/>
      <c r="CT175" s="112"/>
      <c r="CU175" s="112"/>
      <c r="CV175" s="112"/>
      <c r="CW175" s="112"/>
      <c r="CX175" s="112" t="s">
        <v>224</v>
      </c>
      <c r="CY175" s="112" t="s">
        <v>225</v>
      </c>
      <c r="CZ175" s="112" t="s">
        <v>226</v>
      </c>
      <c r="DA175" s="112" t="s">
        <v>227</v>
      </c>
      <c r="DB175" s="112" t="s">
        <v>228</v>
      </c>
      <c r="DC175" s="112"/>
      <c r="DD175" s="112"/>
      <c r="DE175" s="238"/>
      <c r="DF175" s="112"/>
      <c r="DG175" s="112"/>
      <c r="DH175" s="112"/>
      <c r="DI175" s="112"/>
      <c r="DJ175" s="112"/>
      <c r="DK175" s="112">
        <f t="shared" si="388"/>
        <v>100000</v>
      </c>
      <c r="DL175" s="112"/>
      <c r="DM175" s="112"/>
      <c r="DN175" s="112" t="e">
        <f t="shared" si="389"/>
        <v>#NUM!</v>
      </c>
      <c r="DO175" s="112" t="e">
        <f t="shared" si="390"/>
        <v>#NUM!</v>
      </c>
      <c r="DP175" s="112"/>
      <c r="DQ175" s="112"/>
    </row>
    <row r="176" spans="4:171" x14ac:dyDescent="0.25">
      <c r="D176">
        <f t="shared" si="396"/>
        <v>176</v>
      </c>
      <c r="E176" s="112">
        <f t="shared" si="387"/>
        <v>37284</v>
      </c>
      <c r="F176" s="112">
        <f t="shared" si="387"/>
        <v>37437</v>
      </c>
      <c r="G176" s="112"/>
      <c r="H176" s="238">
        <f t="shared" si="397"/>
        <v>14</v>
      </c>
      <c r="J176" s="112">
        <f t="shared" ca="1" si="392"/>
        <v>37437</v>
      </c>
      <c r="K176" s="112"/>
      <c r="L176" s="112"/>
      <c r="M176">
        <f t="shared" ca="1" si="399"/>
        <v>0</v>
      </c>
      <c r="N176" s="112">
        <f t="shared" ca="1" si="393"/>
        <v>39264</v>
      </c>
      <c r="AG176" s="238">
        <f>AG175</f>
        <v>51</v>
      </c>
      <c r="AH176" s="112">
        <f ca="1">AI175+1</f>
        <v>41472</v>
      </c>
      <c r="AI176" s="112">
        <f ca="1">IF(INDIRECT(CONCATENATE("AC",AG175))&lt;100000,INDIRECT(CONCATENATE("AC",AG175))-1,IF(INDIRECT(CONCATENATE("AD",AG175))&lt;100000,INDIRECT(CONCATENATE("AD",AG175))-1,IF(INDIRECT(CONCATENATE("AE",AG175))&lt;100000,INDIRECT(CONCATENATE("AE",G175)),INDIRECT(CONCATENATE("AF",AG175)))))</f>
        <v>41471</v>
      </c>
      <c r="AJ176" s="112">
        <f t="shared" ca="1" si="402"/>
        <v>41471</v>
      </c>
      <c r="AK176" s="112">
        <f t="shared" ca="1" si="336"/>
        <v>41471</v>
      </c>
      <c r="AL176" s="238">
        <f t="shared" ca="1" si="403"/>
        <v>0</v>
      </c>
      <c r="AM176" s="112">
        <f t="shared" ca="1" si="401"/>
        <v>100000</v>
      </c>
      <c r="AN176" s="112">
        <f t="shared" ca="1" si="381"/>
        <v>100000</v>
      </c>
      <c r="AO176" s="114">
        <f t="shared" ca="1" si="377"/>
        <v>18</v>
      </c>
      <c r="AP176" s="114">
        <f t="shared" ca="1" si="378"/>
        <v>24</v>
      </c>
      <c r="AR176" s="238">
        <f t="shared" si="380"/>
        <v>176</v>
      </c>
      <c r="AU176" s="238">
        <f t="shared" si="383"/>
        <v>157</v>
      </c>
      <c r="AV176" s="238"/>
      <c r="AW176" s="238"/>
      <c r="BB176">
        <f t="shared" si="398"/>
        <v>14</v>
      </c>
      <c r="BC176" s="112">
        <f t="shared" ca="1" si="394"/>
        <v>37135</v>
      </c>
      <c r="BD176" s="112"/>
      <c r="BE176" s="112">
        <f t="shared" ca="1" si="395"/>
        <v>37437</v>
      </c>
      <c r="BF176" s="112"/>
      <c r="BG176" s="112"/>
      <c r="BH176" s="112"/>
      <c r="BJ176" s="112">
        <f t="shared" ca="1" si="400"/>
        <v>37135</v>
      </c>
      <c r="CM176" s="112"/>
      <c r="CN176" s="112"/>
      <c r="CQ176" s="112"/>
      <c r="CR176" s="112"/>
      <c r="CS176" s="112"/>
      <c r="CT176" s="112"/>
      <c r="CU176" s="112"/>
      <c r="CV176" s="112"/>
      <c r="CW176" s="112"/>
      <c r="CX176" s="112" t="s">
        <v>224</v>
      </c>
      <c r="CY176" s="112" t="s">
        <v>225</v>
      </c>
      <c r="CZ176" s="112" t="s">
        <v>226</v>
      </c>
      <c r="DA176" s="112" t="s">
        <v>227</v>
      </c>
      <c r="DB176" s="112" t="s">
        <v>228</v>
      </c>
      <c r="DC176" s="112"/>
      <c r="DD176" s="112"/>
      <c r="DE176" s="238"/>
      <c r="DF176" s="112"/>
      <c r="DG176" s="112"/>
      <c r="DH176" s="112"/>
      <c r="DI176" s="112"/>
      <c r="DJ176" s="112"/>
      <c r="DK176" s="112">
        <f t="shared" si="388"/>
        <v>100000</v>
      </c>
      <c r="DL176" s="112"/>
      <c r="DM176" s="112"/>
      <c r="DN176" s="112" t="e">
        <f t="shared" si="389"/>
        <v>#NUM!</v>
      </c>
      <c r="DO176" s="112" t="e">
        <f t="shared" si="390"/>
        <v>#NUM!</v>
      </c>
      <c r="DP176" s="112"/>
      <c r="DQ176" s="112"/>
    </row>
    <row r="177" spans="4:121" x14ac:dyDescent="0.25">
      <c r="D177">
        <f t="shared" si="396"/>
        <v>177</v>
      </c>
      <c r="E177" s="112">
        <f t="shared" si="387"/>
        <v>37537</v>
      </c>
      <c r="F177" s="112">
        <f t="shared" si="387"/>
        <v>37551</v>
      </c>
      <c r="G177" s="112"/>
      <c r="H177" s="238">
        <f t="shared" si="397"/>
        <v>15</v>
      </c>
      <c r="J177" s="112">
        <f t="shared" ca="1" si="392"/>
        <v>37437</v>
      </c>
      <c r="K177" s="112"/>
      <c r="L177" s="112"/>
      <c r="M177">
        <f t="shared" ca="1" si="399"/>
        <v>0</v>
      </c>
      <c r="N177" s="112">
        <f t="shared" ca="1" si="393"/>
        <v>39447</v>
      </c>
      <c r="AG177" s="238">
        <f>AG176</f>
        <v>51</v>
      </c>
      <c r="AH177" s="112">
        <f ca="1">AI176+1</f>
        <v>41472</v>
      </c>
      <c r="AI177" s="112">
        <f ca="1">IF(INDIRECT(CONCATENATE("AD",AG175))&lt;100000,INDIRECT(CONCATENATE("AD",AG175))-1,IF(INDIRECT(CONCATENATE("AE",AG175))&lt;100000,INDIRECT(CONCATENATE("AE",G175)),INDIRECT(CONCATENATE("AF",AG175))))</f>
        <v>41471</v>
      </c>
      <c r="AJ177" s="112">
        <f t="shared" ca="1" si="402"/>
        <v>41471</v>
      </c>
      <c r="AK177" s="112">
        <f t="shared" ca="1" si="336"/>
        <v>41471</v>
      </c>
      <c r="AL177" s="238">
        <f t="shared" ca="1" si="403"/>
        <v>0</v>
      </c>
      <c r="AM177" s="112">
        <f t="shared" ca="1" si="401"/>
        <v>100000</v>
      </c>
      <c r="AN177" s="112">
        <f t="shared" ca="1" si="381"/>
        <v>100000</v>
      </c>
      <c r="AO177" s="114">
        <f t="shared" ca="1" si="377"/>
        <v>18</v>
      </c>
      <c r="AP177" s="114">
        <f t="shared" ca="1" si="378"/>
        <v>24</v>
      </c>
      <c r="AR177" s="238">
        <f t="shared" si="380"/>
        <v>177</v>
      </c>
      <c r="AU177" s="238">
        <f t="shared" si="383"/>
        <v>158</v>
      </c>
      <c r="AV177" s="238"/>
      <c r="AW177" s="238"/>
      <c r="BB177">
        <f t="shared" si="398"/>
        <v>15</v>
      </c>
      <c r="BC177" s="112">
        <f t="shared" ca="1" si="394"/>
        <v>37167</v>
      </c>
      <c r="BD177" s="112"/>
      <c r="BE177" s="112">
        <f t="shared" ca="1" si="395"/>
        <v>37200</v>
      </c>
      <c r="BF177" s="112"/>
      <c r="BG177" s="112"/>
      <c r="BH177" s="112"/>
      <c r="BJ177" s="112">
        <f t="shared" ca="1" si="400"/>
        <v>37167</v>
      </c>
      <c r="CM177" s="112"/>
      <c r="CN177" s="112"/>
      <c r="CQ177" s="112"/>
      <c r="CR177" s="112"/>
      <c r="CS177" s="112"/>
      <c r="CT177" s="112"/>
      <c r="CU177" s="112"/>
      <c r="CV177" s="112"/>
      <c r="CW177" s="112"/>
      <c r="CX177" s="112" t="s">
        <v>224</v>
      </c>
      <c r="CY177" s="112" t="s">
        <v>225</v>
      </c>
      <c r="CZ177" s="112" t="s">
        <v>226</v>
      </c>
      <c r="DA177" s="112" t="s">
        <v>227</v>
      </c>
      <c r="DB177" s="112" t="s">
        <v>228</v>
      </c>
      <c r="DC177" s="112"/>
      <c r="DD177" s="112"/>
      <c r="DE177" s="238"/>
      <c r="DF177" s="112"/>
      <c r="DG177" s="112"/>
      <c r="DH177" s="112"/>
      <c r="DI177" s="112"/>
      <c r="DJ177" s="112"/>
      <c r="DK177" s="112">
        <f t="shared" si="388"/>
        <v>100000</v>
      </c>
      <c r="DL177" s="112"/>
      <c r="DM177" s="112"/>
      <c r="DN177" s="112" t="e">
        <f t="shared" si="389"/>
        <v>#NUM!</v>
      </c>
      <c r="DO177" s="112" t="e">
        <f t="shared" si="390"/>
        <v>#NUM!</v>
      </c>
      <c r="DP177" s="112"/>
      <c r="DQ177" s="112"/>
    </row>
    <row r="178" spans="4:121" x14ac:dyDescent="0.25">
      <c r="D178">
        <f t="shared" si="396"/>
        <v>178</v>
      </c>
      <c r="E178" s="112">
        <f t="shared" si="387"/>
        <v>37540</v>
      </c>
      <c r="F178" s="112">
        <f t="shared" si="387"/>
        <v>37574</v>
      </c>
      <c r="G178" s="112"/>
      <c r="H178" s="238">
        <f t="shared" si="397"/>
        <v>16</v>
      </c>
      <c r="J178" s="112">
        <f t="shared" ca="1" si="392"/>
        <v>37437</v>
      </c>
      <c r="K178" s="112"/>
      <c r="L178" s="112"/>
      <c r="M178">
        <f t="shared" ca="1" si="399"/>
        <v>0</v>
      </c>
      <c r="N178" s="112">
        <f t="shared" ca="1" si="393"/>
        <v>39539</v>
      </c>
      <c r="AG178" s="238">
        <f>AG177</f>
        <v>51</v>
      </c>
      <c r="AH178" s="112">
        <f ca="1">AI177+1</f>
        <v>41472</v>
      </c>
      <c r="AI178" s="112">
        <f ca="1">IF(INDIRECT(CONCATENATE("AE",AG175))&lt;100000,INDIRECT(CONCATENATE("AE",G175)),INDIRECT(CONCATENATE("AF",AG175)))</f>
        <v>41471</v>
      </c>
      <c r="AJ178" s="112">
        <f t="shared" ca="1" si="402"/>
        <v>41471</v>
      </c>
      <c r="AK178" s="112">
        <f t="shared" ca="1" si="336"/>
        <v>41471</v>
      </c>
      <c r="AL178" s="238">
        <f t="shared" ca="1" si="403"/>
        <v>0</v>
      </c>
      <c r="AM178" s="112">
        <f t="shared" ca="1" si="401"/>
        <v>100000</v>
      </c>
      <c r="AN178" s="112">
        <f t="shared" ca="1" si="381"/>
        <v>100000</v>
      </c>
      <c r="AO178" s="114">
        <f t="shared" ca="1" si="377"/>
        <v>18</v>
      </c>
      <c r="AP178" s="114">
        <f t="shared" ca="1" si="378"/>
        <v>24</v>
      </c>
      <c r="AR178" s="238">
        <f t="shared" si="380"/>
        <v>178</v>
      </c>
      <c r="AU178" s="238">
        <f t="shared" si="383"/>
        <v>159</v>
      </c>
      <c r="AV178" s="238"/>
      <c r="AW178" s="238"/>
      <c r="BB178">
        <f t="shared" si="398"/>
        <v>16</v>
      </c>
      <c r="BC178" s="112">
        <f t="shared" ca="1" si="394"/>
        <v>37167</v>
      </c>
      <c r="BD178" s="112"/>
      <c r="BE178" s="112">
        <f t="shared" ca="1" si="395"/>
        <v>37200</v>
      </c>
      <c r="BF178" s="112"/>
      <c r="BG178" s="112"/>
      <c r="BH178" s="112"/>
      <c r="BJ178" s="112">
        <f t="shared" ca="1" si="400"/>
        <v>37167</v>
      </c>
      <c r="CM178" s="112"/>
      <c r="CN178" s="112"/>
      <c r="CQ178" s="112"/>
      <c r="CR178" s="112"/>
      <c r="CS178" s="112"/>
      <c r="CT178" s="112"/>
      <c r="CU178" s="112"/>
      <c r="CV178" s="112"/>
      <c r="CW178" s="112"/>
      <c r="CX178" s="112" t="s">
        <v>224</v>
      </c>
      <c r="CY178" s="112" t="s">
        <v>225</v>
      </c>
      <c r="CZ178" s="112" t="s">
        <v>226</v>
      </c>
      <c r="DA178" s="112" t="s">
        <v>227</v>
      </c>
      <c r="DB178" s="112" t="s">
        <v>228</v>
      </c>
      <c r="DC178" s="112"/>
      <c r="DD178" s="112"/>
      <c r="DE178" s="238"/>
      <c r="DF178" s="112"/>
      <c r="DG178" s="112"/>
      <c r="DH178" s="112"/>
      <c r="DI178" s="112"/>
      <c r="DJ178" s="112"/>
      <c r="DK178" s="112">
        <f t="shared" si="388"/>
        <v>100000</v>
      </c>
      <c r="DL178" s="112"/>
      <c r="DM178" s="112"/>
      <c r="DN178" s="112" t="e">
        <f t="shared" si="389"/>
        <v>#NUM!</v>
      </c>
      <c r="DO178" s="112" t="e">
        <f t="shared" si="390"/>
        <v>#NUM!</v>
      </c>
      <c r="DP178" s="112"/>
      <c r="DQ178" s="112"/>
    </row>
    <row r="179" spans="4:121" x14ac:dyDescent="0.25">
      <c r="D179">
        <f t="shared" si="396"/>
        <v>179</v>
      </c>
      <c r="E179" s="112">
        <f t="shared" si="387"/>
        <v>37629</v>
      </c>
      <c r="F179" s="112">
        <f t="shared" si="387"/>
        <v>37663</v>
      </c>
      <c r="G179" s="112"/>
      <c r="H179" s="238">
        <f t="shared" si="397"/>
        <v>17</v>
      </c>
      <c r="J179" s="112">
        <f t="shared" ca="1" si="392"/>
        <v>37437</v>
      </c>
      <c r="K179" s="112"/>
      <c r="L179" s="112"/>
      <c r="M179">
        <f t="shared" ca="1" si="399"/>
        <v>0</v>
      </c>
      <c r="N179" s="112">
        <f t="shared" ca="1" si="393"/>
        <v>39630</v>
      </c>
      <c r="AG179" s="238">
        <f>AG178</f>
        <v>51</v>
      </c>
      <c r="AH179" s="112">
        <f ca="1">AI178+1</f>
        <v>41472</v>
      </c>
      <c r="AI179" s="112">
        <f ca="1">INDIRECT(CONCATENATE("AF",AG175))</f>
        <v>41471</v>
      </c>
      <c r="AJ179" s="112">
        <f t="shared" ca="1" si="402"/>
        <v>41471</v>
      </c>
      <c r="AK179" s="112">
        <f t="shared" ca="1" si="336"/>
        <v>41471</v>
      </c>
      <c r="AL179" s="238">
        <f t="shared" ca="1" si="403"/>
        <v>0</v>
      </c>
      <c r="AM179" s="112">
        <f t="shared" ca="1" si="401"/>
        <v>100000</v>
      </c>
      <c r="AN179" s="112">
        <f t="shared" ca="1" si="381"/>
        <v>100000</v>
      </c>
      <c r="AO179" s="114">
        <f t="shared" ca="1" si="377"/>
        <v>18</v>
      </c>
      <c r="AP179" s="114">
        <f t="shared" ca="1" si="378"/>
        <v>24</v>
      </c>
      <c r="AR179" s="238">
        <f t="shared" si="380"/>
        <v>179</v>
      </c>
      <c r="AU179" s="238">
        <f t="shared" si="383"/>
        <v>160</v>
      </c>
      <c r="AV179" s="238"/>
      <c r="AW179" s="238"/>
      <c r="BB179">
        <f t="shared" si="398"/>
        <v>17</v>
      </c>
      <c r="BC179" s="112">
        <f t="shared" ca="1" si="394"/>
        <v>37201</v>
      </c>
      <c r="BD179" s="112"/>
      <c r="BE179" s="112">
        <f t="shared" ca="1" si="395"/>
        <v>37437</v>
      </c>
      <c r="BF179" s="112"/>
      <c r="BG179" s="112"/>
      <c r="BH179" s="112"/>
      <c r="BJ179" s="112">
        <f t="shared" ca="1" si="400"/>
        <v>37201</v>
      </c>
      <c r="CM179" s="112"/>
      <c r="CN179" s="112"/>
      <c r="CQ179" s="112"/>
      <c r="CR179" s="112"/>
      <c r="CS179" s="112"/>
      <c r="CT179" s="112"/>
      <c r="CU179" s="112"/>
      <c r="CV179" s="112"/>
      <c r="CW179" s="112"/>
      <c r="CX179" s="112" t="s">
        <v>224</v>
      </c>
      <c r="CY179" s="112" t="s">
        <v>225</v>
      </c>
      <c r="CZ179" s="112" t="s">
        <v>226</v>
      </c>
      <c r="DA179" s="112" t="s">
        <v>227</v>
      </c>
      <c r="DB179" s="112" t="s">
        <v>228</v>
      </c>
      <c r="DC179" s="112"/>
      <c r="DD179" s="112"/>
      <c r="DE179" s="238"/>
      <c r="DF179" s="112"/>
      <c r="DG179" s="112"/>
      <c r="DH179" s="112"/>
      <c r="DI179" s="112"/>
      <c r="DJ179" s="112"/>
      <c r="DK179" s="112">
        <f t="shared" si="388"/>
        <v>100000</v>
      </c>
      <c r="DL179" s="112"/>
      <c r="DM179" s="112"/>
      <c r="DN179" s="112" t="e">
        <f t="shared" si="389"/>
        <v>#NUM!</v>
      </c>
      <c r="DO179" s="112" t="e">
        <f t="shared" si="390"/>
        <v>#NUM!</v>
      </c>
      <c r="DP179" s="112"/>
      <c r="DQ179" s="112"/>
    </row>
    <row r="180" spans="4:121" x14ac:dyDescent="0.25">
      <c r="D180">
        <f t="shared" si="396"/>
        <v>180</v>
      </c>
      <c r="E180" s="112">
        <f t="shared" si="387"/>
        <v>37644</v>
      </c>
      <c r="F180" s="112">
        <f t="shared" si="387"/>
        <v>37783</v>
      </c>
      <c r="G180" s="112"/>
      <c r="H180" s="238">
        <f t="shared" si="397"/>
        <v>18</v>
      </c>
      <c r="AG180" s="238">
        <f>AG179+1</f>
        <v>52</v>
      </c>
      <c r="AH180" s="112">
        <f ca="1">INDIRECT(CONCATENATE("AA",AG180))</f>
        <v>41184</v>
      </c>
      <c r="AI180" s="112">
        <f ca="1">IF(            INDIRECT(CONCATENATE( "AB",AG180))&lt;100000,       INDIRECT(CONCATENATE("AB",AG180))  -1,IF(   INDIRECT(CONCATENATE("AC",AG180))&lt;100000,   INDIRECT(CONCATENATE("AC",AG180))-1,IF(   INDIRECT(CONCATENATE("AD", AG180))&lt;100000, INDIRECT(CONCATENATE("AD",AG180))-1,IF(   INDIRECT(CONCATENATE("AE",AG180))&lt;100000,  INDIRECT(CONCATENATE("AE",G180)),INDIRECT(CONCATENATE("AF",AG180))                ))))</f>
        <v>41196</v>
      </c>
      <c r="AJ180" s="112">
        <f t="shared" ca="1" si="402"/>
        <v>41196</v>
      </c>
      <c r="AK180" s="112">
        <f t="shared" ca="1" si="336"/>
        <v>41196</v>
      </c>
      <c r="AL180" s="238">
        <f t="shared" ca="1" si="403"/>
        <v>1</v>
      </c>
      <c r="AM180" s="112">
        <f t="shared" ca="1" si="401"/>
        <v>41184</v>
      </c>
      <c r="AN180" s="112">
        <f t="shared" ca="1" si="381"/>
        <v>41196</v>
      </c>
      <c r="AO180" s="114">
        <f t="shared" ca="1" si="377"/>
        <v>18</v>
      </c>
      <c r="AP180" s="114">
        <f t="shared" ca="1" si="378"/>
        <v>24</v>
      </c>
      <c r="AR180" s="238">
        <f t="shared" si="380"/>
        <v>180</v>
      </c>
      <c r="AU180" s="238">
        <f t="shared" si="383"/>
        <v>161</v>
      </c>
      <c r="AV180" s="238"/>
      <c r="AW180" s="238"/>
      <c r="BB180">
        <f t="shared" si="398"/>
        <v>18</v>
      </c>
      <c r="BC180" s="112">
        <f t="shared" ca="1" si="394"/>
        <v>37202</v>
      </c>
      <c r="BD180" s="112"/>
      <c r="BE180" s="112">
        <f t="shared" ca="1" si="395"/>
        <v>37282</v>
      </c>
      <c r="BF180" s="112"/>
      <c r="BG180" s="112"/>
      <c r="BH180" s="112"/>
      <c r="BJ180" s="112">
        <f t="shared" ca="1" si="400"/>
        <v>37202</v>
      </c>
      <c r="CM180" s="112"/>
      <c r="CN180" s="112"/>
      <c r="CQ180" s="112"/>
      <c r="CR180" s="112"/>
      <c r="CS180" s="112"/>
      <c r="CT180" s="112"/>
      <c r="CU180" s="112"/>
      <c r="CV180" s="112"/>
      <c r="CW180" s="112"/>
      <c r="CX180" s="112" t="s">
        <v>224</v>
      </c>
      <c r="CY180" s="112" t="s">
        <v>225</v>
      </c>
      <c r="CZ180" s="112" t="s">
        <v>226</v>
      </c>
      <c r="DA180" s="112" t="s">
        <v>227</v>
      </c>
      <c r="DB180" s="112" t="s">
        <v>228</v>
      </c>
      <c r="DC180" s="112"/>
      <c r="DD180" s="112"/>
      <c r="DE180" s="238"/>
      <c r="DF180" s="112"/>
      <c r="DG180" s="112"/>
      <c r="DH180" s="112"/>
      <c r="DI180" s="112"/>
      <c r="DJ180" s="112"/>
      <c r="DK180" s="112">
        <f t="shared" si="388"/>
        <v>100000</v>
      </c>
      <c r="DL180" s="112"/>
      <c r="DM180" s="112"/>
      <c r="DN180" s="112" t="e">
        <f t="shared" si="389"/>
        <v>#NUM!</v>
      </c>
      <c r="DO180" s="112" t="e">
        <f t="shared" si="390"/>
        <v>#NUM!</v>
      </c>
      <c r="DP180" s="112"/>
      <c r="DQ180" s="112"/>
    </row>
    <row r="181" spans="4:121" x14ac:dyDescent="0.25">
      <c r="D181">
        <f t="shared" si="396"/>
        <v>181</v>
      </c>
      <c r="E181" s="112">
        <f t="shared" si="387"/>
        <v>37673</v>
      </c>
      <c r="F181" s="112">
        <f t="shared" si="387"/>
        <v>37786</v>
      </c>
      <c r="G181" s="112"/>
      <c r="H181" s="238">
        <f t="shared" si="397"/>
        <v>19</v>
      </c>
      <c r="AG181" s="238">
        <f>AG180</f>
        <v>52</v>
      </c>
      <c r="AH181" s="112">
        <f ca="1">AI180+1</f>
        <v>41197</v>
      </c>
      <c r="AI181" s="112">
        <f ca="1">IF(INDIRECT(CONCATENATE("AC",AG180))&lt;100000,INDIRECT(CONCATENATE("AC",AG180))-1,IF(INDIRECT(CONCATENATE("AD",AG180))&lt;100000,INDIRECT(CONCATENATE("AD",AG180))-1,IF(INDIRECT(CONCATENATE("AE",AG180))&lt;100000,INDIRECT(CONCATENATE("AE",G180)),INDIRECT(CONCATENATE("AF",AG180)))))</f>
        <v>41196</v>
      </c>
      <c r="AJ181" s="112">
        <f t="shared" ca="1" si="402"/>
        <v>41196</v>
      </c>
      <c r="AK181" s="112">
        <f t="shared" ca="1" si="336"/>
        <v>41196</v>
      </c>
      <c r="AL181" s="238">
        <f t="shared" ca="1" si="403"/>
        <v>0</v>
      </c>
      <c r="AM181" s="112">
        <f t="shared" ca="1" si="401"/>
        <v>100000</v>
      </c>
      <c r="AN181" s="112">
        <f t="shared" ca="1" si="381"/>
        <v>100000</v>
      </c>
      <c r="AO181" s="114">
        <f t="shared" ca="1" si="377"/>
        <v>18</v>
      </c>
      <c r="AP181" s="114">
        <f t="shared" ca="1" si="378"/>
        <v>24</v>
      </c>
      <c r="AR181" s="238">
        <f t="shared" si="380"/>
        <v>181</v>
      </c>
      <c r="AU181" s="238">
        <f t="shared" si="383"/>
        <v>162</v>
      </c>
      <c r="AV181" s="238"/>
      <c r="AW181" s="238"/>
      <c r="BB181">
        <f t="shared" si="398"/>
        <v>19</v>
      </c>
      <c r="BC181" s="112">
        <f t="shared" ca="1" si="394"/>
        <v>37257</v>
      </c>
      <c r="BD181" s="112"/>
      <c r="BE181" s="112">
        <f t="shared" ca="1" si="395"/>
        <v>37282</v>
      </c>
      <c r="BF181" s="112"/>
      <c r="BG181" s="112"/>
      <c r="BH181" s="112"/>
      <c r="BJ181" s="112" t="e">
        <f t="shared" ca="1" si="400"/>
        <v>#N/A</v>
      </c>
      <c r="CM181" s="112"/>
      <c r="CN181" s="112"/>
      <c r="CQ181" s="112"/>
      <c r="CR181" s="112"/>
      <c r="CS181" s="112"/>
      <c r="CT181" s="112"/>
      <c r="CU181" s="112"/>
      <c r="CV181" s="112"/>
      <c r="CW181" s="112"/>
      <c r="CX181" s="112" t="s">
        <v>224</v>
      </c>
      <c r="CY181" s="112" t="s">
        <v>225</v>
      </c>
      <c r="CZ181" s="112" t="s">
        <v>226</v>
      </c>
      <c r="DA181" s="112" t="s">
        <v>227</v>
      </c>
      <c r="DB181" s="112" t="s">
        <v>228</v>
      </c>
      <c r="DC181" s="112"/>
      <c r="DD181" s="112"/>
      <c r="DE181" s="238"/>
      <c r="DF181" s="112"/>
      <c r="DG181" s="112"/>
      <c r="DH181" s="112"/>
      <c r="DI181" s="112"/>
      <c r="DJ181" s="112"/>
      <c r="DK181" s="112">
        <f t="shared" si="388"/>
        <v>100000</v>
      </c>
      <c r="DL181" s="112"/>
      <c r="DM181" s="112"/>
      <c r="DN181" s="112" t="e">
        <f t="shared" si="389"/>
        <v>#NUM!</v>
      </c>
      <c r="DO181" s="112" t="e">
        <f t="shared" si="390"/>
        <v>#NUM!</v>
      </c>
      <c r="DP181" s="112"/>
      <c r="DQ181" s="112"/>
    </row>
    <row r="182" spans="4:121" x14ac:dyDescent="0.25">
      <c r="D182">
        <f t="shared" si="396"/>
        <v>182</v>
      </c>
      <c r="E182" s="112">
        <f t="shared" si="387"/>
        <v>37865</v>
      </c>
      <c r="F182" s="112">
        <f t="shared" si="387"/>
        <v>38168</v>
      </c>
      <c r="G182" s="112"/>
      <c r="H182" s="238">
        <f t="shared" si="397"/>
        <v>20</v>
      </c>
      <c r="AG182" s="238">
        <f>AG181</f>
        <v>52</v>
      </c>
      <c r="AH182" s="112">
        <f ca="1">AI181+1</f>
        <v>41197</v>
      </c>
      <c r="AI182" s="112">
        <f ca="1">IF(INDIRECT(CONCATENATE("AD",AG180))&lt;100000,INDIRECT(CONCATENATE("AD",AG180))-1,IF(INDIRECT(CONCATENATE("AE",AG180))&lt;100000,INDIRECT(CONCATENATE("AE",G180)),INDIRECT(CONCATENATE("AF",AG180))))</f>
        <v>41196</v>
      </c>
      <c r="AJ182" s="112">
        <f t="shared" ca="1" si="402"/>
        <v>41196</v>
      </c>
      <c r="AK182" s="112">
        <f t="shared" ca="1" si="336"/>
        <v>41196</v>
      </c>
      <c r="AL182" s="238">
        <f t="shared" ca="1" si="403"/>
        <v>0</v>
      </c>
      <c r="AM182" s="112">
        <f t="shared" ca="1" si="401"/>
        <v>100000</v>
      </c>
      <c r="AN182" s="112">
        <f t="shared" ca="1" si="381"/>
        <v>100000</v>
      </c>
      <c r="AO182" s="114">
        <f t="shared" ca="1" si="377"/>
        <v>18</v>
      </c>
      <c r="AP182" s="114">
        <f t="shared" ca="1" si="378"/>
        <v>24</v>
      </c>
      <c r="AR182" s="238">
        <f t="shared" si="380"/>
        <v>182</v>
      </c>
      <c r="AU182" s="238">
        <f t="shared" si="383"/>
        <v>163</v>
      </c>
      <c r="AV182" s="238"/>
      <c r="AW182" s="238"/>
      <c r="BB182">
        <f t="shared" si="398"/>
        <v>20</v>
      </c>
      <c r="BC182" s="112">
        <f t="shared" ca="1" si="394"/>
        <v>37284</v>
      </c>
      <c r="BD182" s="112"/>
      <c r="BE182" s="112">
        <f t="shared" ca="1" si="395"/>
        <v>37437</v>
      </c>
      <c r="BF182" s="112"/>
      <c r="BG182" s="112"/>
      <c r="BH182" s="112"/>
      <c r="BJ182" s="112">
        <f t="shared" ca="1" si="400"/>
        <v>37284</v>
      </c>
      <c r="CM182" s="112"/>
      <c r="CN182" s="112"/>
      <c r="CQ182" s="112"/>
      <c r="CR182" s="112"/>
      <c r="CS182" s="112"/>
      <c r="CT182" s="112"/>
      <c r="CU182" s="112"/>
      <c r="CV182" s="112"/>
      <c r="CW182" s="112"/>
      <c r="CX182" s="112" t="s">
        <v>224</v>
      </c>
      <c r="CY182" s="112" t="s">
        <v>225</v>
      </c>
      <c r="CZ182" s="112" t="s">
        <v>226</v>
      </c>
      <c r="DA182" s="112" t="s">
        <v>227</v>
      </c>
      <c r="DB182" s="112" t="s">
        <v>228</v>
      </c>
      <c r="DC182" s="112"/>
      <c r="DD182" s="112"/>
      <c r="DE182" s="238"/>
      <c r="DF182" s="112"/>
      <c r="DG182" s="112"/>
      <c r="DH182" s="112"/>
      <c r="DI182" s="112"/>
      <c r="DJ182" s="112"/>
      <c r="DK182" s="112">
        <f t="shared" si="388"/>
        <v>100000</v>
      </c>
      <c r="DL182" s="112"/>
      <c r="DM182" s="112"/>
      <c r="DN182" s="112" t="e">
        <f t="shared" si="389"/>
        <v>#NUM!</v>
      </c>
      <c r="DO182" s="112" t="e">
        <f t="shared" si="390"/>
        <v>#NUM!</v>
      </c>
      <c r="DP182" s="112"/>
      <c r="DQ182" s="112"/>
    </row>
    <row r="183" spans="4:121" x14ac:dyDescent="0.25">
      <c r="D183">
        <f t="shared" si="396"/>
        <v>183</v>
      </c>
      <c r="E183" s="112">
        <f t="shared" ref="E183:F202" si="404">IF(F40=0,100000,F40)</f>
        <v>38231</v>
      </c>
      <c r="F183" s="112">
        <f t="shared" si="404"/>
        <v>38551</v>
      </c>
      <c r="G183" s="112"/>
      <c r="H183" s="238">
        <f t="shared" si="397"/>
        <v>21</v>
      </c>
      <c r="AG183" s="238">
        <f>AG182</f>
        <v>52</v>
      </c>
      <c r="AH183" s="112">
        <f ca="1">AI182+1</f>
        <v>41197</v>
      </c>
      <c r="AI183" s="112">
        <f ca="1">IF(INDIRECT(CONCATENATE("AE",AG180))&lt;100000,INDIRECT(CONCATENATE("AE",G180)),INDIRECT(CONCATENATE("AF",AG180)))</f>
        <v>41196</v>
      </c>
      <c r="AJ183" s="112">
        <f t="shared" ca="1" si="402"/>
        <v>41196</v>
      </c>
      <c r="AK183" s="112">
        <f t="shared" ref="AK183:AK246" ca="1" si="405">IF(TYPE(AH183)=16,100000,AJ183)</f>
        <v>41196</v>
      </c>
      <c r="AL183" s="238">
        <f t="shared" ca="1" si="403"/>
        <v>0</v>
      </c>
      <c r="AM183" s="112">
        <f t="shared" ca="1" si="401"/>
        <v>100000</v>
      </c>
      <c r="AN183" s="112">
        <f t="shared" ca="1" si="381"/>
        <v>100000</v>
      </c>
      <c r="AO183" s="114">
        <f t="shared" ca="1" si="377"/>
        <v>18</v>
      </c>
      <c r="AP183" s="114">
        <f t="shared" ca="1" si="378"/>
        <v>24</v>
      </c>
      <c r="AR183" s="238">
        <f t="shared" si="380"/>
        <v>183</v>
      </c>
      <c r="AU183" s="238">
        <f t="shared" si="383"/>
        <v>164</v>
      </c>
      <c r="AV183" s="238"/>
      <c r="AW183" s="238"/>
      <c r="BB183">
        <f t="shared" si="398"/>
        <v>21</v>
      </c>
      <c r="BC183" s="112">
        <f t="shared" ca="1" si="394"/>
        <v>37411</v>
      </c>
      <c r="BD183" s="112"/>
      <c r="BE183" s="112">
        <f t="shared" ca="1" si="395"/>
        <v>37437</v>
      </c>
      <c r="BF183" s="112"/>
      <c r="BG183" s="112"/>
      <c r="BH183" s="112"/>
      <c r="BJ183" s="112" t="e">
        <f t="shared" ca="1" si="400"/>
        <v>#N/A</v>
      </c>
      <c r="CM183" s="112"/>
      <c r="CN183" s="112"/>
      <c r="CQ183" s="112"/>
      <c r="CR183" s="112"/>
      <c r="CS183" s="112"/>
      <c r="CT183" s="112"/>
      <c r="CU183" s="112"/>
      <c r="CV183" s="112"/>
      <c r="CW183" s="112"/>
      <c r="CX183" s="112" t="s">
        <v>224</v>
      </c>
      <c r="CY183" s="112" t="s">
        <v>225</v>
      </c>
      <c r="CZ183" s="112" t="s">
        <v>226</v>
      </c>
      <c r="DA183" s="112" t="s">
        <v>227</v>
      </c>
      <c r="DB183" s="112" t="s">
        <v>228</v>
      </c>
      <c r="DC183" s="112"/>
      <c r="DD183" s="112"/>
      <c r="DE183" s="238"/>
      <c r="DF183" s="112"/>
      <c r="DG183" s="112"/>
      <c r="DH183" s="112"/>
      <c r="DI183" s="112"/>
      <c r="DJ183" s="112"/>
      <c r="DK183" s="112">
        <f t="shared" si="388"/>
        <v>100000</v>
      </c>
      <c r="DL183" s="112"/>
      <c r="DM183" s="112"/>
      <c r="DN183" s="112" t="e">
        <f t="shared" si="389"/>
        <v>#NUM!</v>
      </c>
      <c r="DO183" s="112" t="e">
        <f t="shared" si="390"/>
        <v>#NUM!</v>
      </c>
      <c r="DP183" s="112"/>
      <c r="DQ183" s="112"/>
    </row>
    <row r="184" spans="4:121" x14ac:dyDescent="0.25">
      <c r="D184">
        <f t="shared" si="396"/>
        <v>184</v>
      </c>
      <c r="E184" s="112">
        <f t="shared" si="404"/>
        <v>38596</v>
      </c>
      <c r="F184" s="112">
        <f t="shared" si="404"/>
        <v>38919</v>
      </c>
      <c r="G184" s="112"/>
      <c r="H184" s="238">
        <f t="shared" si="397"/>
        <v>22</v>
      </c>
      <c r="AG184" s="238">
        <f>AG183</f>
        <v>52</v>
      </c>
      <c r="AH184" s="112">
        <f ca="1">AI183+1</f>
        <v>41197</v>
      </c>
      <c r="AI184" s="112">
        <f ca="1">INDIRECT(CONCATENATE("AF",AG180))</f>
        <v>41196</v>
      </c>
      <c r="AJ184" s="112">
        <f t="shared" ca="1" si="402"/>
        <v>41196</v>
      </c>
      <c r="AK184" s="112">
        <f t="shared" ca="1" si="405"/>
        <v>41196</v>
      </c>
      <c r="AL184" s="238">
        <f t="shared" ca="1" si="403"/>
        <v>0</v>
      </c>
      <c r="AM184" s="112">
        <f t="shared" ca="1" si="401"/>
        <v>100000</v>
      </c>
      <c r="AN184" s="112">
        <f t="shared" ca="1" si="381"/>
        <v>100000</v>
      </c>
      <c r="AO184" s="114">
        <f t="shared" ca="1" si="377"/>
        <v>18</v>
      </c>
      <c r="AP184" s="114">
        <f t="shared" ca="1" si="378"/>
        <v>24</v>
      </c>
      <c r="AR184" s="238">
        <f t="shared" si="380"/>
        <v>184</v>
      </c>
      <c r="AU184" s="238">
        <f t="shared" si="383"/>
        <v>165</v>
      </c>
      <c r="AV184" s="238"/>
      <c r="AW184" s="238"/>
      <c r="BB184">
        <f t="shared" si="398"/>
        <v>22</v>
      </c>
      <c r="BC184" s="112">
        <f t="shared" ca="1" si="394"/>
        <v>37537</v>
      </c>
      <c r="BD184" s="112"/>
      <c r="BE184" s="112">
        <f t="shared" ca="1" si="395"/>
        <v>37551</v>
      </c>
      <c r="BF184" s="112"/>
      <c r="BG184" s="112"/>
      <c r="BH184" s="112"/>
      <c r="BJ184" s="112">
        <f t="shared" ca="1" si="400"/>
        <v>37537</v>
      </c>
      <c r="CM184" s="112"/>
      <c r="CN184" s="112"/>
      <c r="CQ184" s="112"/>
      <c r="CR184" s="112"/>
      <c r="CS184" s="112"/>
      <c r="CT184" s="112"/>
      <c r="CU184" s="112"/>
      <c r="CV184" s="112"/>
      <c r="CW184" s="112"/>
      <c r="CX184" s="112" t="s">
        <v>224</v>
      </c>
      <c r="CY184" s="112" t="s">
        <v>225</v>
      </c>
      <c r="CZ184" s="112" t="s">
        <v>226</v>
      </c>
      <c r="DA184" s="112" t="s">
        <v>227</v>
      </c>
      <c r="DB184" s="112" t="s">
        <v>228</v>
      </c>
      <c r="DC184" s="112"/>
      <c r="DD184" s="112"/>
      <c r="DE184" s="238"/>
      <c r="DF184" s="112"/>
      <c r="DG184" s="112"/>
      <c r="DH184" s="112"/>
      <c r="DI184" s="112"/>
      <c r="DJ184" s="112"/>
      <c r="DK184" s="112">
        <f t="shared" si="388"/>
        <v>100000</v>
      </c>
      <c r="DL184" s="112"/>
      <c r="DM184" s="112"/>
      <c r="DN184" s="112" t="e">
        <f t="shared" si="389"/>
        <v>#NUM!</v>
      </c>
      <c r="DO184" s="112" t="e">
        <f t="shared" si="390"/>
        <v>#NUM!</v>
      </c>
      <c r="DP184" s="112"/>
      <c r="DQ184" s="112"/>
    </row>
    <row r="185" spans="4:121" x14ac:dyDescent="0.25">
      <c r="D185">
        <f t="shared" si="396"/>
        <v>185</v>
      </c>
      <c r="E185" s="112">
        <f t="shared" si="404"/>
        <v>38961</v>
      </c>
      <c r="F185" s="112">
        <f t="shared" si="404"/>
        <v>39277</v>
      </c>
      <c r="G185" s="112"/>
      <c r="H185" s="238">
        <f t="shared" si="397"/>
        <v>23</v>
      </c>
      <c r="AG185" s="238">
        <f>AG184+1</f>
        <v>53</v>
      </c>
      <c r="AH185" s="112">
        <f ca="1">INDIRECT(CONCATENATE("AA",AG185))</f>
        <v>41197</v>
      </c>
      <c r="AI185" s="112">
        <f ca="1">IF(            INDIRECT(CONCATENATE( "AB",AG185))&lt;100000,       INDIRECT(CONCATENATE("AB",AG185))  -1,IF(   INDIRECT(CONCATENATE("AC",AG185))&lt;100000,   INDIRECT(CONCATENATE("AC",AG185))-1,IF(   INDIRECT(CONCATENATE("AD", AG185))&lt;100000, INDIRECT(CONCATENATE("AD",AG185))-1,IF(   INDIRECT(CONCATENATE("AE",AG185))&lt;100000,  INDIRECT(CONCATENATE("AE",G185)),INDIRECT(CONCATENATE("AF",AG185))                ))))</f>
        <v>41239</v>
      </c>
      <c r="AJ185" s="112">
        <f t="shared" ca="1" si="402"/>
        <v>41239</v>
      </c>
      <c r="AK185" s="112">
        <f t="shared" ca="1" si="405"/>
        <v>41239</v>
      </c>
      <c r="AL185" s="238">
        <f t="shared" ca="1" si="403"/>
        <v>1</v>
      </c>
      <c r="AM185" s="112">
        <f t="shared" ca="1" si="401"/>
        <v>41197</v>
      </c>
      <c r="AN185" s="112">
        <f t="shared" ca="1" si="381"/>
        <v>41239</v>
      </c>
      <c r="AO185" s="114">
        <f t="shared" ca="1" si="377"/>
        <v>18</v>
      </c>
      <c r="AP185" s="114">
        <f t="shared" ca="1" si="378"/>
        <v>24</v>
      </c>
      <c r="AR185" s="238">
        <f t="shared" si="380"/>
        <v>185</v>
      </c>
      <c r="AU185" s="238">
        <f t="shared" si="383"/>
        <v>166</v>
      </c>
      <c r="AV185" s="238"/>
      <c r="AW185" s="238"/>
      <c r="BB185">
        <f t="shared" si="398"/>
        <v>23</v>
      </c>
      <c r="BC185" s="112">
        <f t="shared" ca="1" si="394"/>
        <v>37540</v>
      </c>
      <c r="BD185" s="112"/>
      <c r="BE185" s="112">
        <f t="shared" ca="1" si="395"/>
        <v>37574</v>
      </c>
      <c r="BF185" s="112"/>
      <c r="BG185" s="112"/>
      <c r="BH185" s="112"/>
      <c r="BJ185" s="112">
        <f t="shared" ca="1" si="400"/>
        <v>37540</v>
      </c>
      <c r="CM185" s="112"/>
      <c r="CN185" s="112"/>
      <c r="CQ185" s="112"/>
      <c r="CR185" s="112"/>
      <c r="CS185" s="112"/>
      <c r="CT185" s="112"/>
      <c r="CU185" s="112"/>
      <c r="CV185" s="112"/>
      <c r="CW185" s="112"/>
      <c r="CX185" s="112" t="s">
        <v>224</v>
      </c>
      <c r="CY185" s="112" t="s">
        <v>225</v>
      </c>
      <c r="CZ185" s="112" t="s">
        <v>226</v>
      </c>
      <c r="DA185" s="112" t="s">
        <v>227</v>
      </c>
      <c r="DB185" s="112" t="s">
        <v>228</v>
      </c>
      <c r="DC185" s="112"/>
      <c r="DD185" s="112"/>
      <c r="DE185" s="238"/>
      <c r="DF185" s="112"/>
      <c r="DG185" s="112"/>
      <c r="DH185" s="112"/>
      <c r="DI185" s="112"/>
      <c r="DJ185" s="112"/>
      <c r="DK185" s="112">
        <f t="shared" si="388"/>
        <v>100000</v>
      </c>
      <c r="DL185" s="112"/>
      <c r="DM185" s="112"/>
      <c r="DN185" s="112" t="e">
        <f t="shared" si="389"/>
        <v>#NUM!</v>
      </c>
      <c r="DO185" s="112" t="e">
        <f t="shared" si="390"/>
        <v>#NUM!</v>
      </c>
      <c r="DP185" s="112"/>
      <c r="DQ185" s="112"/>
    </row>
    <row r="186" spans="4:121" x14ac:dyDescent="0.25">
      <c r="D186">
        <f t="shared" si="396"/>
        <v>186</v>
      </c>
      <c r="E186" s="112">
        <f t="shared" si="404"/>
        <v>39338</v>
      </c>
      <c r="F186" s="112">
        <f t="shared" si="404"/>
        <v>39629</v>
      </c>
      <c r="G186" s="112"/>
      <c r="H186" s="238">
        <f t="shared" si="397"/>
        <v>24</v>
      </c>
      <c r="AG186" s="238">
        <f>AG185</f>
        <v>53</v>
      </c>
      <c r="AH186" s="112">
        <f ca="1">AI185+1</f>
        <v>41240</v>
      </c>
      <c r="AI186" s="112">
        <f ca="1">IF(INDIRECT(CONCATENATE("AC",AG185))&lt;100000,INDIRECT(CONCATENATE("AC",AG185))-1,IF(INDIRECT(CONCATENATE("AD",AG185))&lt;100000,INDIRECT(CONCATENATE("AD",AG185))-1,IF(INDIRECT(CONCATENATE("AE",AG185))&lt;100000,INDIRECT(CONCATENATE("AE",G185)),INDIRECT(CONCATENATE("AF",AG185)))))</f>
        <v>41239</v>
      </c>
      <c r="AJ186" s="112">
        <f t="shared" ca="1" si="402"/>
        <v>41239</v>
      </c>
      <c r="AK186" s="112">
        <f t="shared" ca="1" si="405"/>
        <v>41239</v>
      </c>
      <c r="AL186" s="238">
        <f t="shared" ca="1" si="403"/>
        <v>0</v>
      </c>
      <c r="AM186" s="112">
        <f t="shared" ca="1" si="401"/>
        <v>100000</v>
      </c>
      <c r="AN186" s="112">
        <f t="shared" ca="1" si="381"/>
        <v>100000</v>
      </c>
      <c r="AO186" s="114">
        <f t="shared" ca="1" si="377"/>
        <v>18</v>
      </c>
      <c r="AP186" s="114">
        <f t="shared" ca="1" si="378"/>
        <v>24</v>
      </c>
      <c r="AR186" s="238">
        <f t="shared" si="380"/>
        <v>186</v>
      </c>
      <c r="AU186" s="238">
        <f t="shared" si="383"/>
        <v>167</v>
      </c>
      <c r="AV186" s="238"/>
      <c r="AW186" s="238"/>
      <c r="BB186">
        <f t="shared" si="398"/>
        <v>24</v>
      </c>
      <c r="BC186" s="112">
        <f t="shared" ca="1" si="394"/>
        <v>37622</v>
      </c>
      <c r="BD186" s="112"/>
      <c r="BE186" s="112">
        <f t="shared" ca="1" si="395"/>
        <v>37574</v>
      </c>
      <c r="BF186" s="112"/>
      <c r="BG186" s="112"/>
      <c r="BH186" s="112"/>
      <c r="BJ186" s="112" t="e">
        <f t="shared" ca="1" si="400"/>
        <v>#N/A</v>
      </c>
      <c r="CM186" s="112"/>
      <c r="CN186" s="112"/>
      <c r="CQ186" s="112"/>
      <c r="CR186" s="112"/>
      <c r="CS186" s="112"/>
      <c r="CT186" s="112"/>
      <c r="CU186" s="112"/>
      <c r="CV186" s="112"/>
      <c r="CW186" s="112"/>
      <c r="CX186" s="112" t="s">
        <v>224</v>
      </c>
      <c r="CY186" s="112" t="s">
        <v>225</v>
      </c>
      <c r="CZ186" s="112" t="s">
        <v>226</v>
      </c>
      <c r="DA186" s="112" t="s">
        <v>227</v>
      </c>
      <c r="DB186" s="112" t="s">
        <v>228</v>
      </c>
      <c r="DC186" s="112"/>
      <c r="DD186" s="112"/>
      <c r="DE186" s="238"/>
      <c r="DF186" s="112"/>
      <c r="DG186" s="112"/>
      <c r="DH186" s="112"/>
      <c r="DI186" s="112"/>
      <c r="DJ186" s="112"/>
      <c r="DK186" s="112">
        <f t="shared" si="388"/>
        <v>100000</v>
      </c>
      <c r="DL186" s="112"/>
      <c r="DM186" s="112"/>
      <c r="DN186" s="112" t="e">
        <f t="shared" si="389"/>
        <v>#NUM!</v>
      </c>
      <c r="DO186" s="112" t="e">
        <f t="shared" si="390"/>
        <v>#NUM!</v>
      </c>
      <c r="DP186" s="112"/>
      <c r="DQ186" s="112"/>
    </row>
    <row r="187" spans="4:121" x14ac:dyDescent="0.25">
      <c r="D187">
        <f t="shared" si="396"/>
        <v>187</v>
      </c>
      <c r="E187" s="112">
        <f t="shared" si="404"/>
        <v>39692</v>
      </c>
      <c r="F187" s="112">
        <f t="shared" si="404"/>
        <v>39994</v>
      </c>
      <c r="G187" s="112"/>
      <c r="H187" s="238">
        <f t="shared" si="397"/>
        <v>25</v>
      </c>
      <c r="AG187" s="238">
        <f>AG186</f>
        <v>53</v>
      </c>
      <c r="AH187" s="112">
        <f ca="1">AI186+1</f>
        <v>41240</v>
      </c>
      <c r="AI187" s="112">
        <f ca="1">IF(INDIRECT(CONCATENATE("AD",AG185))&lt;100000,INDIRECT(CONCATENATE("AD",AG185))-1,IF(INDIRECT(CONCATENATE("AE",AG185))&lt;100000,INDIRECT(CONCATENATE("AE",G185)),INDIRECT(CONCATENATE("AF",AG185))))</f>
        <v>41239</v>
      </c>
      <c r="AJ187" s="112">
        <f t="shared" ca="1" si="402"/>
        <v>41239</v>
      </c>
      <c r="AK187" s="112">
        <f t="shared" ca="1" si="405"/>
        <v>41239</v>
      </c>
      <c r="AL187" s="238">
        <f t="shared" ca="1" si="403"/>
        <v>0</v>
      </c>
      <c r="AM187" s="112">
        <f t="shared" ca="1" si="401"/>
        <v>100000</v>
      </c>
      <c r="AN187" s="112">
        <f t="shared" ca="1" si="381"/>
        <v>100000</v>
      </c>
      <c r="AO187" s="114">
        <f t="shared" ca="1" si="377"/>
        <v>18</v>
      </c>
      <c r="AP187" s="114">
        <f t="shared" ca="1" si="378"/>
        <v>24</v>
      </c>
      <c r="AR187" s="238">
        <f t="shared" si="380"/>
        <v>187</v>
      </c>
      <c r="AU187" s="238">
        <f t="shared" si="383"/>
        <v>168</v>
      </c>
      <c r="AV187" s="238"/>
      <c r="AW187" s="238"/>
      <c r="BB187">
        <f t="shared" si="398"/>
        <v>25</v>
      </c>
      <c r="BC187" s="112">
        <f t="shared" ca="1" si="394"/>
        <v>37629</v>
      </c>
      <c r="BD187" s="112"/>
      <c r="BE187" s="112">
        <f t="shared" ca="1" si="395"/>
        <v>37663</v>
      </c>
      <c r="BF187" s="112"/>
      <c r="BG187" s="112"/>
      <c r="BH187" s="112"/>
      <c r="BJ187" s="112">
        <f t="shared" ca="1" si="400"/>
        <v>37629</v>
      </c>
      <c r="CM187" s="112"/>
      <c r="CN187" s="112"/>
      <c r="CQ187" s="112"/>
      <c r="CR187" s="112"/>
      <c r="CS187" s="112"/>
      <c r="CT187" s="112"/>
      <c r="CU187" s="112"/>
      <c r="CV187" s="112"/>
      <c r="CW187" s="112"/>
      <c r="CX187" s="112" t="s">
        <v>224</v>
      </c>
      <c r="CY187" s="112" t="s">
        <v>225</v>
      </c>
      <c r="CZ187" s="112" t="s">
        <v>226</v>
      </c>
      <c r="DA187" s="112" t="s">
        <v>227</v>
      </c>
      <c r="DB187" s="112" t="s">
        <v>228</v>
      </c>
      <c r="DC187" s="112"/>
      <c r="DD187" s="112"/>
      <c r="DE187" s="238"/>
      <c r="DF187" s="112"/>
      <c r="DG187" s="112"/>
      <c r="DH187" s="112"/>
      <c r="DI187" s="112"/>
      <c r="DJ187" s="112"/>
      <c r="DK187" s="112">
        <f t="shared" si="388"/>
        <v>100000</v>
      </c>
      <c r="DL187" s="112"/>
      <c r="DM187" s="112"/>
      <c r="DN187" s="112" t="e">
        <f t="shared" si="389"/>
        <v>#NUM!</v>
      </c>
      <c r="DO187" s="112" t="e">
        <f t="shared" si="390"/>
        <v>#NUM!</v>
      </c>
      <c r="DP187" s="112"/>
      <c r="DQ187" s="112"/>
    </row>
    <row r="188" spans="4:121" x14ac:dyDescent="0.25">
      <c r="D188">
        <f t="shared" si="396"/>
        <v>188</v>
      </c>
      <c r="E188" s="112">
        <f t="shared" si="404"/>
        <v>40063</v>
      </c>
      <c r="F188" s="112">
        <f t="shared" si="404"/>
        <v>40063</v>
      </c>
      <c r="G188" s="112"/>
      <c r="H188" s="238">
        <f t="shared" si="397"/>
        <v>26</v>
      </c>
      <c r="AG188" s="238">
        <f>AG187</f>
        <v>53</v>
      </c>
      <c r="AH188" s="112">
        <f ca="1">AI187+1</f>
        <v>41240</v>
      </c>
      <c r="AI188" s="112">
        <f ca="1">IF(INDIRECT(CONCATENATE("AE",AG185))&lt;100000,INDIRECT(CONCATENATE("AE",G185)),INDIRECT(CONCATENATE("AF",AG185)))</f>
        <v>41239</v>
      </c>
      <c r="AJ188" s="112">
        <f t="shared" ca="1" si="402"/>
        <v>41239</v>
      </c>
      <c r="AK188" s="112">
        <f t="shared" ca="1" si="405"/>
        <v>41239</v>
      </c>
      <c r="AL188" s="238">
        <f t="shared" ca="1" si="403"/>
        <v>0</v>
      </c>
      <c r="AM188" s="112">
        <f t="shared" ca="1" si="401"/>
        <v>100000</v>
      </c>
      <c r="AN188" s="112">
        <f t="shared" ca="1" si="381"/>
        <v>100000</v>
      </c>
      <c r="AO188" s="114">
        <f t="shared" ca="1" si="377"/>
        <v>18</v>
      </c>
      <c r="AP188" s="114">
        <f t="shared" ca="1" si="378"/>
        <v>24</v>
      </c>
      <c r="AR188" s="238">
        <f t="shared" si="380"/>
        <v>188</v>
      </c>
      <c r="AU188" s="238">
        <f t="shared" si="383"/>
        <v>169</v>
      </c>
      <c r="AV188" s="238"/>
      <c r="AW188" s="238"/>
      <c r="BB188">
        <f t="shared" si="398"/>
        <v>26</v>
      </c>
      <c r="BC188" s="112">
        <f t="shared" ca="1" si="394"/>
        <v>37644</v>
      </c>
      <c r="BD188" s="112"/>
      <c r="BE188" s="112">
        <f t="shared" ca="1" si="395"/>
        <v>37783</v>
      </c>
      <c r="BF188" s="112"/>
      <c r="BG188" s="112"/>
      <c r="BH188" s="112"/>
      <c r="BJ188" s="112">
        <f t="shared" ca="1" si="400"/>
        <v>37644</v>
      </c>
      <c r="CM188" s="112"/>
      <c r="CN188" s="112"/>
      <c r="CQ188" s="112"/>
      <c r="CR188" s="112"/>
      <c r="CS188" s="112"/>
      <c r="CT188" s="112"/>
      <c r="CU188" s="112"/>
      <c r="CV188" s="112"/>
      <c r="CW188" s="112"/>
      <c r="CX188" s="112" t="s">
        <v>224</v>
      </c>
      <c r="CY188" s="112" t="s">
        <v>225</v>
      </c>
      <c r="CZ188" s="112" t="s">
        <v>226</v>
      </c>
      <c r="DA188" s="112" t="s">
        <v>227</v>
      </c>
      <c r="DB188" s="112" t="s">
        <v>228</v>
      </c>
      <c r="DC188" s="112"/>
      <c r="DD188" s="112"/>
      <c r="DE188" s="238"/>
      <c r="DF188" s="112"/>
      <c r="DG188" s="112"/>
      <c r="DH188" s="112"/>
      <c r="DI188" s="112"/>
      <c r="DJ188" s="112"/>
      <c r="DK188" s="112">
        <f t="shared" si="388"/>
        <v>100000</v>
      </c>
      <c r="DL188" s="112"/>
      <c r="DM188" s="112"/>
      <c r="DN188" s="112" t="e">
        <f t="shared" si="389"/>
        <v>#NUM!</v>
      </c>
      <c r="DO188" s="112" t="e">
        <f t="shared" si="390"/>
        <v>#NUM!</v>
      </c>
      <c r="DP188" s="112"/>
      <c r="DQ188" s="112"/>
    </row>
    <row r="189" spans="4:121" x14ac:dyDescent="0.25">
      <c r="D189">
        <f t="shared" si="396"/>
        <v>189</v>
      </c>
      <c r="E189" s="112">
        <f t="shared" si="404"/>
        <v>40066</v>
      </c>
      <c r="F189" s="112">
        <f t="shared" si="404"/>
        <v>40421</v>
      </c>
      <c r="G189" s="112"/>
      <c r="H189" s="238">
        <f t="shared" si="397"/>
        <v>27</v>
      </c>
      <c r="AG189" s="238">
        <f>AG188</f>
        <v>53</v>
      </c>
      <c r="AH189" s="112">
        <f ca="1">AI188+1</f>
        <v>41240</v>
      </c>
      <c r="AI189" s="112">
        <f ca="1">INDIRECT(CONCATENATE("AF",AG185))</f>
        <v>41239</v>
      </c>
      <c r="AJ189" s="112">
        <f t="shared" ca="1" si="402"/>
        <v>41239</v>
      </c>
      <c r="AK189" s="112">
        <f t="shared" ca="1" si="405"/>
        <v>41239</v>
      </c>
      <c r="AL189" s="238">
        <f t="shared" ca="1" si="403"/>
        <v>0</v>
      </c>
      <c r="AM189" s="112">
        <f t="shared" ca="1" si="401"/>
        <v>100000</v>
      </c>
      <c r="AN189" s="112">
        <f t="shared" ca="1" si="381"/>
        <v>100000</v>
      </c>
      <c r="AO189" s="114">
        <f t="shared" ca="1" si="377"/>
        <v>18</v>
      </c>
      <c r="AP189" s="114">
        <f t="shared" ca="1" si="378"/>
        <v>24</v>
      </c>
      <c r="AR189" s="238">
        <f t="shared" si="380"/>
        <v>189</v>
      </c>
      <c r="AU189" s="238">
        <f t="shared" si="383"/>
        <v>170</v>
      </c>
      <c r="AV189" s="238"/>
      <c r="AW189" s="238"/>
      <c r="BB189">
        <f t="shared" si="398"/>
        <v>27</v>
      </c>
      <c r="BC189" s="112">
        <f t="shared" ca="1" si="394"/>
        <v>37673</v>
      </c>
      <c r="BD189" s="112"/>
      <c r="BE189" s="112">
        <f t="shared" ca="1" si="395"/>
        <v>37786</v>
      </c>
      <c r="BF189" s="112"/>
      <c r="BG189" s="112"/>
      <c r="BH189" s="112"/>
      <c r="BJ189" s="112">
        <f t="shared" ca="1" si="400"/>
        <v>37673</v>
      </c>
      <c r="CM189" s="112"/>
      <c r="CN189" s="112"/>
      <c r="CQ189" s="112"/>
      <c r="CR189" s="112"/>
      <c r="CS189" s="112"/>
      <c r="CT189" s="112"/>
      <c r="CU189" s="112"/>
      <c r="CV189" s="112"/>
      <c r="CW189" s="112"/>
      <c r="CX189" s="112" t="s">
        <v>224</v>
      </c>
      <c r="CY189" s="112" t="s">
        <v>225</v>
      </c>
      <c r="CZ189" s="112" t="s">
        <v>226</v>
      </c>
      <c r="DA189" s="112" t="s">
        <v>227</v>
      </c>
      <c r="DB189" s="112" t="s">
        <v>228</v>
      </c>
      <c r="DC189" s="112"/>
      <c r="DD189" s="112"/>
      <c r="DE189" s="238"/>
      <c r="DF189" s="112"/>
      <c r="DG189" s="112"/>
      <c r="DH189" s="112"/>
      <c r="DI189" s="112"/>
      <c r="DJ189" s="112"/>
      <c r="DK189" s="112">
        <f t="shared" si="388"/>
        <v>100000</v>
      </c>
      <c r="DL189" s="112"/>
      <c r="DM189" s="112"/>
      <c r="DN189" s="112" t="e">
        <f t="shared" si="389"/>
        <v>#NUM!</v>
      </c>
      <c r="DO189" s="112" t="e">
        <f t="shared" si="390"/>
        <v>#NUM!</v>
      </c>
      <c r="DP189" s="112"/>
      <c r="DQ189" s="112"/>
    </row>
    <row r="190" spans="4:121" x14ac:dyDescent="0.25">
      <c r="D190">
        <f t="shared" si="396"/>
        <v>190</v>
      </c>
      <c r="E190" s="112">
        <f t="shared" si="404"/>
        <v>40430</v>
      </c>
      <c r="F190" s="112">
        <f t="shared" si="404"/>
        <v>40739</v>
      </c>
      <c r="G190" s="112"/>
      <c r="H190" s="238">
        <f t="shared" si="397"/>
        <v>28</v>
      </c>
      <c r="AG190" s="238">
        <f>AG189+1</f>
        <v>54</v>
      </c>
      <c r="AH190" s="112">
        <f ca="1">INDIRECT(CONCATENATE("AA",AG190))</f>
        <v>41240</v>
      </c>
      <c r="AI190" s="112">
        <f ca="1">IF(            INDIRECT(CONCATENATE( "AB",AG190))&lt;100000,       INDIRECT(CONCATENATE("AB",AG190))  -1,IF(   INDIRECT(CONCATENATE("AC",AG190))&lt;100000,   INDIRECT(CONCATENATE("AC",AG190))-1,IF(   INDIRECT(CONCATENATE("AD", AG190))&lt;100000, INDIRECT(CONCATENATE("AD",AG190))-1,IF(   INDIRECT(CONCATENATE("AE",AG190))&lt;100000,  INDIRECT(CONCATENATE("AE",G190)),INDIRECT(CONCATENATE("AF",AG190))                ))))</f>
        <v>41471</v>
      </c>
      <c r="AJ190" s="112">
        <f t="shared" ca="1" si="402"/>
        <v>41471</v>
      </c>
      <c r="AK190" s="112">
        <f t="shared" ca="1" si="405"/>
        <v>41471</v>
      </c>
      <c r="AL190" s="238">
        <f t="shared" ca="1" si="403"/>
        <v>1</v>
      </c>
      <c r="AM190" s="112">
        <f t="shared" ca="1" si="401"/>
        <v>41240</v>
      </c>
      <c r="AN190" s="112">
        <f t="shared" ca="1" si="381"/>
        <v>41471</v>
      </c>
      <c r="AO190" s="114">
        <f t="shared" ca="1" si="377"/>
        <v>18</v>
      </c>
      <c r="AP190" s="114">
        <f t="shared" ca="1" si="378"/>
        <v>24</v>
      </c>
      <c r="AR190" s="238">
        <f t="shared" si="380"/>
        <v>190</v>
      </c>
      <c r="AU190" s="238">
        <f t="shared" si="383"/>
        <v>171</v>
      </c>
      <c r="AV190" s="238"/>
      <c r="AW190" s="238"/>
      <c r="BB190">
        <f t="shared" si="398"/>
        <v>28</v>
      </c>
      <c r="BC190" s="112">
        <f t="shared" ca="1" si="394"/>
        <v>37865</v>
      </c>
      <c r="BD190" s="112"/>
      <c r="BE190" s="112">
        <f t="shared" ca="1" si="395"/>
        <v>38168</v>
      </c>
      <c r="BF190" s="112"/>
      <c r="BG190" s="112"/>
      <c r="BH190" s="112"/>
      <c r="BJ190" s="112">
        <f t="shared" ca="1" si="400"/>
        <v>37865</v>
      </c>
      <c r="CM190" s="112"/>
      <c r="CN190" s="112"/>
      <c r="CQ190" s="112"/>
      <c r="CR190" s="112"/>
      <c r="CS190" s="112"/>
      <c r="CT190" s="112"/>
      <c r="CU190" s="112"/>
      <c r="CV190" s="112"/>
      <c r="CW190" s="112"/>
      <c r="CX190" s="112" t="s">
        <v>224</v>
      </c>
      <c r="CY190" s="112" t="s">
        <v>225</v>
      </c>
      <c r="CZ190" s="112" t="s">
        <v>226</v>
      </c>
      <c r="DA190" s="112" t="s">
        <v>227</v>
      </c>
      <c r="DB190" s="112" t="s">
        <v>228</v>
      </c>
      <c r="DC190" s="112"/>
      <c r="DD190" s="112"/>
      <c r="DE190" s="238"/>
      <c r="DF190" s="112"/>
      <c r="DG190" s="112"/>
      <c r="DH190" s="112"/>
      <c r="DI190" s="112"/>
      <c r="DJ190" s="112"/>
      <c r="DK190" s="112">
        <f t="shared" si="388"/>
        <v>100000</v>
      </c>
      <c r="DL190" s="112"/>
      <c r="DM190" s="112"/>
      <c r="DN190" s="112" t="e">
        <f t="shared" si="389"/>
        <v>#NUM!</v>
      </c>
      <c r="DO190" s="112" t="e">
        <f t="shared" si="390"/>
        <v>#NUM!</v>
      </c>
      <c r="DP190" s="112"/>
      <c r="DQ190" s="112"/>
    </row>
    <row r="191" spans="4:121" x14ac:dyDescent="0.25">
      <c r="D191">
        <f t="shared" si="396"/>
        <v>191</v>
      </c>
      <c r="E191" s="112">
        <f t="shared" si="404"/>
        <v>40431</v>
      </c>
      <c r="F191" s="112">
        <f t="shared" si="404"/>
        <v>40739</v>
      </c>
      <c r="G191" s="112"/>
      <c r="H191" s="238">
        <f t="shared" si="397"/>
        <v>29</v>
      </c>
      <c r="AG191" s="238">
        <f>AG190</f>
        <v>54</v>
      </c>
      <c r="AH191" s="112">
        <f ca="1">AI190+1</f>
        <v>41472</v>
      </c>
      <c r="AI191" s="112">
        <f ca="1">IF(INDIRECT(CONCATENATE("AC",AG190))&lt;100000,INDIRECT(CONCATENATE("AC",AG190))-1,IF(INDIRECT(CONCATENATE("AD",AG190))&lt;100000,INDIRECT(CONCATENATE("AD",AG190))-1,IF(INDIRECT(CONCATENATE("AE",AG190))&lt;100000,INDIRECT(CONCATENATE("AE",G190)),INDIRECT(CONCATENATE("AF",AG190)))))</f>
        <v>41471</v>
      </c>
      <c r="AJ191" s="112">
        <f t="shared" ca="1" si="402"/>
        <v>41471</v>
      </c>
      <c r="AK191" s="112">
        <f t="shared" ca="1" si="405"/>
        <v>41471</v>
      </c>
      <c r="AL191" s="238">
        <f t="shared" ca="1" si="403"/>
        <v>0</v>
      </c>
      <c r="AM191" s="112">
        <f t="shared" ca="1" si="401"/>
        <v>100000</v>
      </c>
      <c r="AN191" s="112">
        <f t="shared" ca="1" si="381"/>
        <v>100000</v>
      </c>
      <c r="AO191" s="114">
        <f t="shared" ca="1" si="377"/>
        <v>18</v>
      </c>
      <c r="AP191" s="114">
        <f t="shared" ca="1" si="378"/>
        <v>24</v>
      </c>
      <c r="AR191" s="238">
        <f t="shared" si="380"/>
        <v>191</v>
      </c>
      <c r="AU191" s="238">
        <f t="shared" si="383"/>
        <v>172</v>
      </c>
      <c r="AV191" s="238"/>
      <c r="AW191" s="238"/>
      <c r="BB191">
        <f t="shared" si="398"/>
        <v>29</v>
      </c>
      <c r="BC191" s="112">
        <f t="shared" ca="1" si="394"/>
        <v>37987</v>
      </c>
      <c r="BD191" s="112"/>
      <c r="BE191" s="112">
        <f t="shared" ca="1" si="395"/>
        <v>38168</v>
      </c>
      <c r="BF191" s="112"/>
      <c r="BG191" s="112"/>
      <c r="BH191" s="112"/>
      <c r="BJ191" s="112" t="e">
        <f t="shared" ca="1" si="400"/>
        <v>#N/A</v>
      </c>
      <c r="CM191" s="112"/>
      <c r="CN191" s="112"/>
      <c r="CQ191" s="112"/>
      <c r="CR191" s="112"/>
      <c r="CS191" s="112"/>
      <c r="CT191" s="112"/>
      <c r="CU191" s="112"/>
      <c r="CV191" s="112"/>
      <c r="CW191" s="112"/>
      <c r="CX191" s="112" t="s">
        <v>224</v>
      </c>
      <c r="CY191" s="112" t="s">
        <v>225</v>
      </c>
      <c r="CZ191" s="112" t="s">
        <v>226</v>
      </c>
      <c r="DA191" s="112" t="s">
        <v>227</v>
      </c>
      <c r="DB191" s="112" t="s">
        <v>228</v>
      </c>
      <c r="DC191" s="112"/>
      <c r="DD191" s="112"/>
      <c r="DE191" s="238"/>
      <c r="DF191" s="112"/>
      <c r="DG191" s="112"/>
      <c r="DH191" s="112"/>
      <c r="DI191" s="112"/>
      <c r="DJ191" s="112"/>
      <c r="DK191" s="112">
        <f t="shared" si="388"/>
        <v>100000</v>
      </c>
      <c r="DL191" s="112"/>
      <c r="DM191" s="112"/>
      <c r="DN191" s="112" t="e">
        <f t="shared" si="389"/>
        <v>#NUM!</v>
      </c>
      <c r="DO191" s="112" t="e">
        <f t="shared" si="390"/>
        <v>#NUM!</v>
      </c>
      <c r="DP191" s="112"/>
      <c r="DQ191" s="112"/>
    </row>
    <row r="192" spans="4:121" x14ac:dyDescent="0.25">
      <c r="D192">
        <f t="shared" si="396"/>
        <v>192</v>
      </c>
      <c r="E192" s="112">
        <f t="shared" si="404"/>
        <v>40802</v>
      </c>
      <c r="F192" s="112">
        <f t="shared" si="404"/>
        <v>41090</v>
      </c>
      <c r="G192" s="112"/>
      <c r="H192" s="238">
        <f t="shared" si="397"/>
        <v>30</v>
      </c>
      <c r="AG192" s="238">
        <f>AG191</f>
        <v>54</v>
      </c>
      <c r="AH192" s="112">
        <f ca="1">AI191+1</f>
        <v>41472</v>
      </c>
      <c r="AI192" s="112">
        <f ca="1">IF(INDIRECT(CONCATENATE("AD",AG190))&lt;100000,INDIRECT(CONCATENATE("AD",AG190))-1,IF(INDIRECT(CONCATENATE("AE",AG190))&lt;100000,INDIRECT(CONCATENATE("AE",G190)),INDIRECT(CONCATENATE("AF",AG190))))</f>
        <v>41471</v>
      </c>
      <c r="AJ192" s="112">
        <f t="shared" ca="1" si="402"/>
        <v>41471</v>
      </c>
      <c r="AK192" s="112">
        <f t="shared" ca="1" si="405"/>
        <v>41471</v>
      </c>
      <c r="AL192" s="238">
        <f t="shared" ca="1" si="403"/>
        <v>0</v>
      </c>
      <c r="AM192" s="112">
        <f t="shared" ca="1" si="401"/>
        <v>100000</v>
      </c>
      <c r="AN192" s="112">
        <f t="shared" ca="1" si="381"/>
        <v>100000</v>
      </c>
      <c r="AO192" s="114">
        <f t="shared" ca="1" si="377"/>
        <v>18</v>
      </c>
      <c r="AP192" s="114">
        <f t="shared" ca="1" si="378"/>
        <v>24</v>
      </c>
      <c r="AR192" s="238">
        <f t="shared" si="380"/>
        <v>192</v>
      </c>
      <c r="AU192" s="238">
        <f t="shared" si="383"/>
        <v>173</v>
      </c>
      <c r="AV192" s="238"/>
      <c r="AW192" s="238"/>
      <c r="BB192">
        <f t="shared" si="398"/>
        <v>30</v>
      </c>
      <c r="BC192" s="112">
        <f t="shared" ca="1" si="394"/>
        <v>38231</v>
      </c>
      <c r="BD192" s="112"/>
      <c r="BE192" s="112">
        <f t="shared" ca="1" si="395"/>
        <v>38551</v>
      </c>
      <c r="BF192" s="112"/>
      <c r="BG192" s="112"/>
      <c r="BH192" s="112"/>
      <c r="BJ192" s="112">
        <f t="shared" ca="1" si="400"/>
        <v>38231</v>
      </c>
      <c r="CM192" s="112"/>
      <c r="CN192" s="112"/>
      <c r="CQ192" s="112"/>
      <c r="CR192" s="112"/>
      <c r="CS192" s="112"/>
      <c r="CT192" s="112"/>
      <c r="CU192" s="112"/>
      <c r="CV192" s="112"/>
      <c r="CW192" s="112"/>
      <c r="CX192" s="112" t="s">
        <v>224</v>
      </c>
      <c r="CY192" s="112" t="s">
        <v>225</v>
      </c>
      <c r="CZ192" s="112" t="s">
        <v>226</v>
      </c>
      <c r="DA192" s="112" t="s">
        <v>227</v>
      </c>
      <c r="DB192" s="112" t="s">
        <v>228</v>
      </c>
      <c r="DC192" s="112"/>
      <c r="DD192" s="112"/>
      <c r="DE192" s="238"/>
      <c r="DF192" s="112"/>
      <c r="DG192" s="112"/>
      <c r="DH192" s="112"/>
      <c r="DI192" s="112"/>
      <c r="DJ192" s="112"/>
      <c r="DK192" s="112">
        <f t="shared" si="388"/>
        <v>100000</v>
      </c>
      <c r="DL192" s="112"/>
      <c r="DM192" s="112"/>
      <c r="DN192" s="112" t="e">
        <f t="shared" si="389"/>
        <v>#NUM!</v>
      </c>
      <c r="DO192" s="112" t="e">
        <f t="shared" si="390"/>
        <v>#NUM!</v>
      </c>
      <c r="DP192" s="112"/>
      <c r="DQ192" s="112"/>
    </row>
    <row r="193" spans="4:121" x14ac:dyDescent="0.25">
      <c r="D193">
        <f t="shared" si="396"/>
        <v>193</v>
      </c>
      <c r="E193" s="112">
        <f t="shared" si="404"/>
        <v>41171</v>
      </c>
      <c r="F193" s="112">
        <f t="shared" si="404"/>
        <v>41471</v>
      </c>
      <c r="G193" s="112"/>
      <c r="H193" s="238">
        <f t="shared" si="397"/>
        <v>31</v>
      </c>
      <c r="AG193" s="238">
        <f>AG192</f>
        <v>54</v>
      </c>
      <c r="AH193" s="112">
        <f ca="1">AI192+1</f>
        <v>41472</v>
      </c>
      <c r="AI193" s="112">
        <f ca="1">IF(INDIRECT(CONCATENATE("AE",AG190))&lt;100000,INDIRECT(CONCATENATE("AE",G190)),INDIRECT(CONCATENATE("AF",AG190)))</f>
        <v>41471</v>
      </c>
      <c r="AJ193" s="112">
        <f t="shared" ca="1" si="402"/>
        <v>41471</v>
      </c>
      <c r="AK193" s="112">
        <f t="shared" ca="1" si="405"/>
        <v>41471</v>
      </c>
      <c r="AL193" s="238">
        <f t="shared" ca="1" si="403"/>
        <v>0</v>
      </c>
      <c r="AM193" s="112">
        <f t="shared" ca="1" si="401"/>
        <v>100000</v>
      </c>
      <c r="AN193" s="112">
        <f t="shared" ca="1" si="381"/>
        <v>100000</v>
      </c>
      <c r="AO193" s="114">
        <f t="shared" ca="1" si="377"/>
        <v>18</v>
      </c>
      <c r="AP193" s="114">
        <f t="shared" ca="1" si="378"/>
        <v>24</v>
      </c>
      <c r="AR193" s="238">
        <f t="shared" si="380"/>
        <v>193</v>
      </c>
      <c r="AU193" s="238">
        <f t="shared" si="383"/>
        <v>174</v>
      </c>
      <c r="AV193" s="238"/>
      <c r="AW193" s="238"/>
      <c r="BB193">
        <f t="shared" si="398"/>
        <v>31</v>
      </c>
      <c r="BC193" s="112">
        <f t="shared" ca="1" si="394"/>
        <v>38384</v>
      </c>
      <c r="BD193" s="112"/>
      <c r="BE193" s="112">
        <f t="shared" ca="1" si="395"/>
        <v>38551</v>
      </c>
      <c r="BF193" s="112"/>
      <c r="BG193" s="112"/>
      <c r="BH193" s="112"/>
      <c r="BJ193" s="112" t="e">
        <f t="shared" ca="1" si="400"/>
        <v>#N/A</v>
      </c>
      <c r="CM193" s="112"/>
      <c r="CN193" s="112"/>
      <c r="CQ193" s="112"/>
      <c r="CR193" s="112"/>
      <c r="CS193" s="112"/>
      <c r="CT193" s="112"/>
      <c r="CU193" s="112"/>
      <c r="CV193" s="112"/>
      <c r="CW193" s="112"/>
      <c r="CX193" s="112" t="s">
        <v>224</v>
      </c>
      <c r="CY193" s="112" t="s">
        <v>225</v>
      </c>
      <c r="CZ193" s="112" t="s">
        <v>226</v>
      </c>
      <c r="DA193" s="112" t="s">
        <v>227</v>
      </c>
      <c r="DB193" s="112" t="s">
        <v>228</v>
      </c>
      <c r="DC193" s="112"/>
      <c r="DD193" s="112"/>
      <c r="DE193" s="238"/>
      <c r="DF193" s="112"/>
      <c r="DG193" s="112"/>
      <c r="DH193" s="112"/>
      <c r="DI193" s="112"/>
      <c r="DJ193" s="112"/>
      <c r="DK193" s="112">
        <f t="shared" si="388"/>
        <v>100000</v>
      </c>
      <c r="DL193" s="112"/>
      <c r="DM193" s="112"/>
      <c r="DN193" s="112" t="e">
        <f t="shared" si="389"/>
        <v>#NUM!</v>
      </c>
      <c r="DO193" s="112" t="e">
        <f t="shared" si="390"/>
        <v>#NUM!</v>
      </c>
      <c r="DP193" s="112"/>
      <c r="DQ193" s="112"/>
    </row>
    <row r="194" spans="4:121" x14ac:dyDescent="0.25">
      <c r="D194">
        <f t="shared" si="396"/>
        <v>194</v>
      </c>
      <c r="E194" s="112">
        <f t="shared" si="404"/>
        <v>41178</v>
      </c>
      <c r="F194" s="112">
        <f t="shared" si="404"/>
        <v>41471</v>
      </c>
      <c r="G194" s="112"/>
      <c r="H194" s="238">
        <f t="shared" si="397"/>
        <v>32</v>
      </c>
      <c r="AG194" s="238">
        <f>AG193</f>
        <v>54</v>
      </c>
      <c r="AH194" s="112">
        <f ca="1">AI193+1</f>
        <v>41472</v>
      </c>
      <c r="AI194" s="112">
        <f ca="1">INDIRECT(CONCATENATE("AF",AG190))</f>
        <v>41471</v>
      </c>
      <c r="AJ194" s="112">
        <f t="shared" ca="1" si="402"/>
        <v>41471</v>
      </c>
      <c r="AK194" s="112">
        <f t="shared" ca="1" si="405"/>
        <v>41471</v>
      </c>
      <c r="AL194" s="238">
        <f t="shared" ca="1" si="403"/>
        <v>0</v>
      </c>
      <c r="AM194" s="112">
        <f t="shared" ca="1" si="401"/>
        <v>100000</v>
      </c>
      <c r="AN194" s="112">
        <f t="shared" ca="1" si="381"/>
        <v>100000</v>
      </c>
      <c r="AO194" s="114">
        <f t="shared" ca="1" si="377"/>
        <v>18</v>
      </c>
      <c r="AP194" s="114">
        <f t="shared" ca="1" si="378"/>
        <v>24</v>
      </c>
      <c r="AR194" s="238">
        <f t="shared" si="380"/>
        <v>194</v>
      </c>
      <c r="AU194" s="238">
        <f t="shared" si="383"/>
        <v>175</v>
      </c>
      <c r="AV194" s="238"/>
      <c r="AW194" s="238"/>
      <c r="BB194">
        <f t="shared" si="398"/>
        <v>32</v>
      </c>
      <c r="BC194" s="112">
        <f t="shared" ca="1" si="394"/>
        <v>38596</v>
      </c>
      <c r="BD194" s="112"/>
      <c r="BE194" s="112">
        <f t="shared" ca="1" si="395"/>
        <v>38919</v>
      </c>
      <c r="BF194" s="112"/>
      <c r="BG194" s="112"/>
      <c r="BH194" s="112"/>
      <c r="BJ194" s="112">
        <f t="shared" ca="1" si="400"/>
        <v>38596</v>
      </c>
      <c r="CM194" s="112"/>
      <c r="CN194" s="112"/>
      <c r="CQ194" s="112"/>
      <c r="CR194" s="112"/>
      <c r="CS194" s="112"/>
      <c r="CT194" s="112"/>
      <c r="CU194" s="112"/>
      <c r="CV194" s="112"/>
      <c r="CW194" s="112"/>
      <c r="CX194" s="112" t="s">
        <v>224</v>
      </c>
      <c r="CY194" s="112" t="s">
        <v>225</v>
      </c>
      <c r="CZ194" s="112" t="s">
        <v>226</v>
      </c>
      <c r="DA194" s="112" t="s">
        <v>227</v>
      </c>
      <c r="DB194" s="112" t="s">
        <v>228</v>
      </c>
      <c r="DC194" s="112"/>
      <c r="DD194" s="112"/>
      <c r="DE194" s="238"/>
      <c r="DF194" s="112"/>
      <c r="DG194" s="112"/>
      <c r="DH194" s="112"/>
      <c r="DI194" s="112"/>
      <c r="DJ194" s="112"/>
      <c r="DK194" s="112">
        <f t="shared" si="388"/>
        <v>100000</v>
      </c>
      <c r="DL194" s="112"/>
      <c r="DM194" s="112"/>
      <c r="DN194" s="112" t="e">
        <f t="shared" si="389"/>
        <v>#NUM!</v>
      </c>
      <c r="DO194" s="112" t="e">
        <f t="shared" si="390"/>
        <v>#NUM!</v>
      </c>
      <c r="DP194" s="112"/>
      <c r="DQ194" s="112"/>
    </row>
    <row r="195" spans="4:121" x14ac:dyDescent="0.25">
      <c r="D195">
        <f t="shared" si="396"/>
        <v>195</v>
      </c>
      <c r="E195" s="112">
        <f t="shared" si="404"/>
        <v>41184</v>
      </c>
      <c r="F195" s="112">
        <f t="shared" si="404"/>
        <v>41196</v>
      </c>
      <c r="G195" s="112"/>
      <c r="H195" s="238">
        <f t="shared" si="397"/>
        <v>33</v>
      </c>
      <c r="AG195" s="238">
        <f>AG194+1</f>
        <v>55</v>
      </c>
      <c r="AH195" s="112">
        <f ca="1">INDIRECT(CONCATENATE("AA",AG195))</f>
        <v>41530</v>
      </c>
      <c r="AI195" s="112">
        <f ca="1">IF(            INDIRECT(CONCATENATE( "AB",AG195))&lt;100000,       INDIRECT(CONCATENATE("AB",AG195))  -1,IF(   INDIRECT(CONCATENATE("AC",AG195))&lt;100000,   INDIRECT(CONCATENATE("AC",AG195))-1,IF(   INDIRECT(CONCATENATE("AD", AG195))&lt;100000, INDIRECT(CONCATENATE("AD",AG195))-1,IF(   INDIRECT(CONCATENATE("AE",AG195))&lt;100000,  INDIRECT(CONCATENATE("AE",G195)),INDIRECT(CONCATENATE("AF",AG195))                ))))</f>
        <v>41882</v>
      </c>
      <c r="AJ195" s="112">
        <f t="shared" ca="1" si="402"/>
        <v>41882</v>
      </c>
      <c r="AK195" s="112">
        <f t="shared" ca="1" si="405"/>
        <v>41882</v>
      </c>
      <c r="AL195" s="238">
        <f t="shared" ca="1" si="403"/>
        <v>1</v>
      </c>
      <c r="AM195" s="112">
        <f t="shared" ca="1" si="401"/>
        <v>41530</v>
      </c>
      <c r="AN195" s="112">
        <f t="shared" ca="1" si="381"/>
        <v>41882</v>
      </c>
      <c r="AO195" s="114">
        <f t="shared" ca="1" si="377"/>
        <v>18</v>
      </c>
      <c r="AP195" s="114">
        <f t="shared" ca="1" si="378"/>
        <v>24</v>
      </c>
      <c r="AR195" s="238">
        <f t="shared" si="380"/>
        <v>195</v>
      </c>
      <c r="AU195" s="238">
        <f t="shared" si="383"/>
        <v>176</v>
      </c>
      <c r="AV195" s="238"/>
      <c r="AW195" s="238"/>
      <c r="BB195">
        <f t="shared" si="398"/>
        <v>33</v>
      </c>
      <c r="BC195" s="112">
        <f t="shared" ca="1" si="394"/>
        <v>38718</v>
      </c>
      <c r="BD195" s="112"/>
      <c r="BE195" s="112">
        <f t="shared" ca="1" si="395"/>
        <v>38919</v>
      </c>
      <c r="BF195" s="112"/>
      <c r="BG195" s="112"/>
      <c r="BH195" s="112"/>
      <c r="BJ195" s="112" t="e">
        <f t="shared" ca="1" si="400"/>
        <v>#N/A</v>
      </c>
      <c r="CM195" s="112"/>
      <c r="CN195" s="112"/>
      <c r="CQ195" s="112"/>
      <c r="CR195" s="112"/>
      <c r="CS195" s="112"/>
      <c r="CT195" s="112"/>
      <c r="CU195" s="112"/>
      <c r="CV195" s="112"/>
      <c r="CW195" s="112"/>
      <c r="CX195" s="112" t="s">
        <v>224</v>
      </c>
      <c r="CY195" s="112" t="s">
        <v>225</v>
      </c>
      <c r="CZ195" s="112" t="s">
        <v>226</v>
      </c>
      <c r="DA195" s="112" t="s">
        <v>227</v>
      </c>
      <c r="DB195" s="112" t="s">
        <v>228</v>
      </c>
      <c r="DC195" s="112"/>
      <c r="DD195" s="112"/>
      <c r="DE195" s="238"/>
      <c r="DF195" s="112"/>
      <c r="DG195" s="112"/>
      <c r="DH195" s="112"/>
      <c r="DI195" s="112"/>
      <c r="DJ195" s="112"/>
      <c r="DK195" s="112">
        <f t="shared" si="388"/>
        <v>100000</v>
      </c>
      <c r="DL195" s="112"/>
      <c r="DM195" s="112"/>
      <c r="DN195" s="112" t="e">
        <f t="shared" ref="DN195:DN212" si="406">SMALL($DG$20:$DG$343,DM195)</f>
        <v>#NUM!</v>
      </c>
      <c r="DO195" s="112" t="e">
        <f t="shared" ref="DO195:DO212" si="407">VLOOKUP(DN195,$DG$20:$DH$343,2,)</f>
        <v>#NUM!</v>
      </c>
      <c r="DP195" s="112"/>
      <c r="DQ195" s="112"/>
    </row>
    <row r="196" spans="4:121" x14ac:dyDescent="0.25">
      <c r="D196">
        <f t="shared" si="396"/>
        <v>196</v>
      </c>
      <c r="E196" s="112">
        <f t="shared" si="404"/>
        <v>41197</v>
      </c>
      <c r="F196" s="112">
        <f t="shared" si="404"/>
        <v>41239</v>
      </c>
      <c r="G196" s="112"/>
      <c r="H196" s="238">
        <f t="shared" si="397"/>
        <v>34</v>
      </c>
      <c r="AG196" s="238">
        <f>AG195</f>
        <v>55</v>
      </c>
      <c r="AH196" s="112">
        <f ca="1">AI195+1</f>
        <v>41883</v>
      </c>
      <c r="AI196" s="112">
        <f ca="1">IF(INDIRECT(CONCATENATE("AC",AG195))&lt;100000,INDIRECT(CONCATENATE("AC",AG195))-1,IF(INDIRECT(CONCATENATE("AD",AG195))&lt;100000,INDIRECT(CONCATENATE("AD",AG195))-1,IF(INDIRECT(CONCATENATE("AE",AG195))&lt;100000,INDIRECT(CONCATENATE("AE",G195)),INDIRECT(CONCATENATE("AF",AG195)))))</f>
        <v>41882</v>
      </c>
      <c r="AJ196" s="112">
        <f t="shared" ca="1" si="402"/>
        <v>41882</v>
      </c>
      <c r="AK196" s="112">
        <f t="shared" ca="1" si="405"/>
        <v>41882</v>
      </c>
      <c r="AL196" s="238">
        <f t="shared" ca="1" si="403"/>
        <v>0</v>
      </c>
      <c r="AM196" s="112">
        <f t="shared" ca="1" si="401"/>
        <v>100000</v>
      </c>
      <c r="AN196" s="112">
        <f t="shared" ca="1" si="381"/>
        <v>100000</v>
      </c>
      <c r="AO196" s="114">
        <f t="shared" ca="1" si="377"/>
        <v>18</v>
      </c>
      <c r="AP196" s="114">
        <f t="shared" ca="1" si="378"/>
        <v>24</v>
      </c>
      <c r="AR196" s="238">
        <f t="shared" si="380"/>
        <v>196</v>
      </c>
      <c r="AU196" s="238">
        <f t="shared" si="383"/>
        <v>177</v>
      </c>
      <c r="AV196" s="238"/>
      <c r="AW196" s="238"/>
      <c r="BB196">
        <f t="shared" si="398"/>
        <v>34</v>
      </c>
      <c r="BC196" s="112">
        <f t="shared" ca="1" si="394"/>
        <v>38961</v>
      </c>
      <c r="BD196" s="112"/>
      <c r="BE196" s="112">
        <f t="shared" ca="1" si="395"/>
        <v>39277</v>
      </c>
      <c r="BF196" s="112"/>
      <c r="BG196" s="112"/>
      <c r="BH196" s="112"/>
      <c r="BJ196" s="112">
        <f t="shared" ca="1" si="400"/>
        <v>38961</v>
      </c>
      <c r="CM196" s="112"/>
      <c r="CN196" s="112"/>
      <c r="CQ196" s="112"/>
      <c r="CR196" s="112"/>
      <c r="CS196" s="112"/>
      <c r="CT196" s="112"/>
      <c r="CU196" s="112"/>
      <c r="CV196" s="112"/>
      <c r="CW196" s="112"/>
      <c r="CX196" s="112" t="s">
        <v>224</v>
      </c>
      <c r="CY196" s="112" t="s">
        <v>225</v>
      </c>
      <c r="CZ196" s="112" t="s">
        <v>226</v>
      </c>
      <c r="DA196" s="112" t="s">
        <v>227</v>
      </c>
      <c r="DB196" s="112" t="s">
        <v>228</v>
      </c>
      <c r="DC196" s="112"/>
      <c r="DD196" s="112"/>
      <c r="DE196" s="238"/>
      <c r="DF196" s="112"/>
      <c r="DG196" s="112"/>
      <c r="DH196" s="112"/>
      <c r="DI196" s="112"/>
      <c r="DJ196" s="112"/>
      <c r="DK196" s="112">
        <f t="shared" si="388"/>
        <v>100000</v>
      </c>
      <c r="DL196" s="112"/>
      <c r="DM196" s="112"/>
      <c r="DN196" s="112" t="e">
        <f t="shared" si="406"/>
        <v>#NUM!</v>
      </c>
      <c r="DO196" s="112" t="e">
        <f t="shared" si="407"/>
        <v>#NUM!</v>
      </c>
      <c r="DP196" s="112"/>
      <c r="DQ196" s="112"/>
    </row>
    <row r="197" spans="4:121" x14ac:dyDescent="0.25">
      <c r="D197">
        <f t="shared" si="396"/>
        <v>197</v>
      </c>
      <c r="E197" s="112">
        <f t="shared" si="404"/>
        <v>41240</v>
      </c>
      <c r="F197" s="112">
        <f t="shared" si="404"/>
        <v>41471</v>
      </c>
      <c r="G197" s="112"/>
      <c r="H197" s="238">
        <f t="shared" si="397"/>
        <v>35</v>
      </c>
      <c r="AG197" s="238">
        <f>AG196</f>
        <v>55</v>
      </c>
      <c r="AH197" s="112">
        <f ca="1">AI196+1</f>
        <v>41883</v>
      </c>
      <c r="AI197" s="112">
        <f ca="1">IF(INDIRECT(CONCATENATE("AD",AG195))&lt;100000,INDIRECT(CONCATENATE("AD",AG195))-1,IF(INDIRECT(CONCATENATE("AE",AG195))&lt;100000,INDIRECT(CONCATENATE("AE",G195)),INDIRECT(CONCATENATE("AF",AG195))))</f>
        <v>41882</v>
      </c>
      <c r="AJ197" s="112">
        <f t="shared" ca="1" si="402"/>
        <v>41882</v>
      </c>
      <c r="AK197" s="112">
        <f t="shared" ca="1" si="405"/>
        <v>41882</v>
      </c>
      <c r="AL197" s="238">
        <f t="shared" ca="1" si="403"/>
        <v>0</v>
      </c>
      <c r="AM197" s="112">
        <f t="shared" ca="1" si="401"/>
        <v>100000</v>
      </c>
      <c r="AN197" s="112">
        <f t="shared" ca="1" si="381"/>
        <v>100000</v>
      </c>
      <c r="AO197" s="114">
        <f t="shared" ca="1" si="377"/>
        <v>18</v>
      </c>
      <c r="AP197" s="114">
        <f t="shared" ca="1" si="378"/>
        <v>24</v>
      </c>
      <c r="AR197" s="238">
        <f t="shared" si="380"/>
        <v>197</v>
      </c>
      <c r="AU197" s="238">
        <f t="shared" si="383"/>
        <v>178</v>
      </c>
      <c r="AV197" s="238"/>
      <c r="AW197" s="238"/>
      <c r="BB197">
        <f t="shared" si="398"/>
        <v>35</v>
      </c>
      <c r="BC197" s="112">
        <f t="shared" ca="1" si="394"/>
        <v>39083</v>
      </c>
      <c r="BD197" s="112"/>
      <c r="BE197" s="112">
        <f t="shared" ca="1" si="395"/>
        <v>39277</v>
      </c>
      <c r="BF197" s="112"/>
      <c r="BG197" s="112"/>
      <c r="BH197" s="112"/>
      <c r="CM197" s="112"/>
      <c r="CN197" s="112"/>
      <c r="CQ197" s="112"/>
      <c r="CR197" s="112"/>
      <c r="CS197" s="112"/>
      <c r="CT197" s="112"/>
      <c r="CU197" s="112"/>
      <c r="CV197" s="112"/>
      <c r="CW197" s="112"/>
      <c r="CX197" s="112" t="s">
        <v>224</v>
      </c>
      <c r="CY197" s="112" t="s">
        <v>225</v>
      </c>
      <c r="CZ197" s="112" t="s">
        <v>226</v>
      </c>
      <c r="DA197" s="112" t="s">
        <v>227</v>
      </c>
      <c r="DB197" s="112" t="s">
        <v>228</v>
      </c>
      <c r="DC197" s="112"/>
      <c r="DD197" s="112"/>
      <c r="DE197" s="238"/>
      <c r="DF197" s="112"/>
      <c r="DG197" s="112"/>
      <c r="DH197" s="112"/>
      <c r="DI197" s="112"/>
      <c r="DJ197" s="112"/>
      <c r="DK197" s="112">
        <f t="shared" si="388"/>
        <v>100000</v>
      </c>
      <c r="DL197" s="112"/>
      <c r="DM197" s="112"/>
      <c r="DN197" s="112" t="e">
        <f t="shared" si="406"/>
        <v>#NUM!</v>
      </c>
      <c r="DO197" s="112" t="e">
        <f t="shared" si="407"/>
        <v>#NUM!</v>
      </c>
      <c r="DP197" s="112"/>
      <c r="DQ197" s="112"/>
    </row>
    <row r="198" spans="4:121" x14ac:dyDescent="0.25">
      <c r="D198">
        <f t="shared" si="396"/>
        <v>198</v>
      </c>
      <c r="E198" s="112">
        <f t="shared" si="404"/>
        <v>41530</v>
      </c>
      <c r="F198" s="112">
        <f t="shared" si="404"/>
        <v>41882</v>
      </c>
      <c r="G198" s="112"/>
      <c r="H198" s="238">
        <f t="shared" si="397"/>
        <v>36</v>
      </c>
      <c r="AG198" s="238">
        <f>AG197</f>
        <v>55</v>
      </c>
      <c r="AH198" s="112">
        <f ca="1">AI197+1</f>
        <v>41883</v>
      </c>
      <c r="AI198" s="112">
        <f ca="1">IF(INDIRECT(CONCATENATE("AE",AG195))&lt;100000,INDIRECT(CONCATENATE("AE",G195)),INDIRECT(CONCATENATE("AF",AG195)))</f>
        <v>41882</v>
      </c>
      <c r="AJ198" s="112">
        <f t="shared" ca="1" si="402"/>
        <v>41882</v>
      </c>
      <c r="AK198" s="112">
        <f t="shared" ca="1" si="405"/>
        <v>41882</v>
      </c>
      <c r="AL198" s="238">
        <f t="shared" ca="1" si="403"/>
        <v>0</v>
      </c>
      <c r="AM198" s="112">
        <f t="shared" ca="1" si="401"/>
        <v>100000</v>
      </c>
      <c r="AN198" s="112">
        <f t="shared" ca="1" si="381"/>
        <v>100000</v>
      </c>
      <c r="AO198" s="114">
        <f t="shared" ca="1" si="377"/>
        <v>18</v>
      </c>
      <c r="AP198" s="114">
        <f t="shared" ca="1" si="378"/>
        <v>24</v>
      </c>
      <c r="AR198" s="238">
        <f t="shared" si="380"/>
        <v>198</v>
      </c>
      <c r="AU198" s="238">
        <f t="shared" si="383"/>
        <v>179</v>
      </c>
      <c r="AV198" s="238"/>
      <c r="AW198" s="238"/>
      <c r="BB198">
        <f t="shared" si="398"/>
        <v>36</v>
      </c>
      <c r="BC198" s="112">
        <f t="shared" ca="1" si="394"/>
        <v>39114</v>
      </c>
      <c r="BD198" s="112"/>
      <c r="BE198" s="112">
        <f t="shared" ca="1" si="395"/>
        <v>39277</v>
      </c>
      <c r="BF198" s="112"/>
      <c r="BG198" s="112"/>
      <c r="BH198" s="112"/>
      <c r="CM198" s="112"/>
      <c r="CN198" s="112"/>
      <c r="CQ198" s="112"/>
      <c r="CR198" s="112"/>
      <c r="CS198" s="112"/>
      <c r="CT198" s="112"/>
      <c r="CU198" s="112"/>
      <c r="CV198" s="112"/>
      <c r="CW198" s="112"/>
      <c r="CX198" s="112" t="s">
        <v>224</v>
      </c>
      <c r="CY198" s="112" t="s">
        <v>225</v>
      </c>
      <c r="CZ198" s="112" t="s">
        <v>226</v>
      </c>
      <c r="DA198" s="112" t="s">
        <v>227</v>
      </c>
      <c r="DB198" s="112" t="s">
        <v>228</v>
      </c>
      <c r="DC198" s="112"/>
      <c r="DD198" s="112"/>
      <c r="DE198" s="238"/>
      <c r="DF198" s="112"/>
      <c r="DG198" s="112"/>
      <c r="DH198" s="112"/>
      <c r="DI198" s="112"/>
      <c r="DJ198" s="112"/>
      <c r="DK198" s="112">
        <f t="shared" si="388"/>
        <v>100000</v>
      </c>
      <c r="DL198" s="112"/>
      <c r="DM198" s="112"/>
      <c r="DN198" s="112" t="e">
        <f t="shared" si="406"/>
        <v>#NUM!</v>
      </c>
      <c r="DO198" s="112" t="e">
        <f t="shared" si="407"/>
        <v>#NUM!</v>
      </c>
      <c r="DP198" s="112"/>
      <c r="DQ198" s="112"/>
    </row>
    <row r="199" spans="4:121" x14ac:dyDescent="0.25">
      <c r="D199">
        <f t="shared" si="396"/>
        <v>199</v>
      </c>
      <c r="E199" s="112">
        <f t="shared" si="404"/>
        <v>41915</v>
      </c>
      <c r="F199" s="112">
        <f t="shared" si="404"/>
        <v>42185</v>
      </c>
      <c r="G199" s="112"/>
      <c r="H199" s="238">
        <f t="shared" si="397"/>
        <v>37</v>
      </c>
      <c r="AG199" s="238">
        <f>AG198</f>
        <v>55</v>
      </c>
      <c r="AH199" s="112">
        <f ca="1">AI198+1</f>
        <v>41883</v>
      </c>
      <c r="AI199" s="112">
        <f ca="1">INDIRECT(CONCATENATE("AF",AG195))</f>
        <v>41882</v>
      </c>
      <c r="AJ199" s="112">
        <f t="shared" ca="1" si="402"/>
        <v>41882</v>
      </c>
      <c r="AK199" s="112">
        <f t="shared" ca="1" si="405"/>
        <v>41882</v>
      </c>
      <c r="AL199" s="238">
        <f t="shared" ca="1" si="403"/>
        <v>0</v>
      </c>
      <c r="AM199" s="112">
        <f t="shared" ca="1" si="401"/>
        <v>100000</v>
      </c>
      <c r="AN199" s="112">
        <f t="shared" ca="1" si="381"/>
        <v>100000</v>
      </c>
      <c r="AO199" s="114">
        <f t="shared" ca="1" si="377"/>
        <v>18</v>
      </c>
      <c r="AP199" s="114">
        <f t="shared" ca="1" si="378"/>
        <v>24</v>
      </c>
      <c r="AR199" s="238">
        <f t="shared" si="380"/>
        <v>199</v>
      </c>
      <c r="AU199" s="238">
        <f t="shared" si="383"/>
        <v>180</v>
      </c>
      <c r="AV199" s="238"/>
      <c r="AW199" s="238"/>
      <c r="BB199">
        <f t="shared" si="398"/>
        <v>37</v>
      </c>
      <c r="BC199" s="112">
        <f t="shared" ca="1" si="394"/>
        <v>39264</v>
      </c>
      <c r="BD199" s="112"/>
      <c r="BE199" s="112">
        <f t="shared" ca="1" si="395"/>
        <v>39277</v>
      </c>
      <c r="BF199" s="112"/>
      <c r="BG199" s="112"/>
      <c r="BH199" s="112"/>
      <c r="CM199" s="112"/>
      <c r="CN199" s="112"/>
      <c r="CQ199" s="112"/>
      <c r="CR199" s="112"/>
      <c r="CS199" s="112"/>
      <c r="CT199" s="112"/>
      <c r="CU199" s="112"/>
      <c r="CV199" s="112"/>
      <c r="CW199" s="112"/>
      <c r="CX199" s="112" t="s">
        <v>224</v>
      </c>
      <c r="CY199" s="112" t="s">
        <v>225</v>
      </c>
      <c r="CZ199" s="112" t="s">
        <v>226</v>
      </c>
      <c r="DA199" s="112" t="s">
        <v>227</v>
      </c>
      <c r="DB199" s="112" t="s">
        <v>228</v>
      </c>
      <c r="DC199" s="112"/>
      <c r="DD199" s="112"/>
      <c r="DE199" s="238"/>
      <c r="DF199" s="112"/>
      <c r="DG199" s="112"/>
      <c r="DH199" s="112"/>
      <c r="DI199" s="112"/>
      <c r="DJ199" s="112"/>
      <c r="DK199" s="112">
        <f t="shared" si="388"/>
        <v>100000</v>
      </c>
      <c r="DL199" s="112"/>
      <c r="DM199" s="112"/>
      <c r="DN199" s="112" t="e">
        <f t="shared" si="406"/>
        <v>#NUM!</v>
      </c>
      <c r="DO199" s="112" t="e">
        <f t="shared" si="407"/>
        <v>#NUM!</v>
      </c>
      <c r="DP199" s="112"/>
      <c r="DQ199" s="112"/>
    </row>
    <row r="200" spans="4:121" x14ac:dyDescent="0.25">
      <c r="D200">
        <f t="shared" si="396"/>
        <v>200</v>
      </c>
      <c r="E200" s="112">
        <f t="shared" si="404"/>
        <v>42248</v>
      </c>
      <c r="F200" s="112">
        <f t="shared" si="404"/>
        <v>42613</v>
      </c>
      <c r="G200" s="112"/>
      <c r="H200" s="238">
        <f t="shared" si="397"/>
        <v>38</v>
      </c>
      <c r="AG200" s="238">
        <f>AG199+1</f>
        <v>56</v>
      </c>
      <c r="AH200" s="112">
        <f ca="1">INDIRECT(CONCATENATE("AA",AG200))</f>
        <v>41915</v>
      </c>
      <c r="AI200" s="112">
        <f ca="1">IF(            INDIRECT(CONCATENATE( "AB",AG200))&lt;100000,       INDIRECT(CONCATENATE("AB",AG200))  -1,IF(   INDIRECT(CONCATENATE("AC",AG200))&lt;100000,   INDIRECT(CONCATENATE("AC",AG200))-1,IF(   INDIRECT(CONCATENATE("AD", AG200))&lt;100000, INDIRECT(CONCATENATE("AD",AG200))-1,IF(   INDIRECT(CONCATENATE("AE",AG200))&lt;100000,  INDIRECT(CONCATENATE("AE",G200)),INDIRECT(CONCATENATE("AF",AG200))                ))))</f>
        <v>42185</v>
      </c>
      <c r="AJ200" s="112">
        <f t="shared" ca="1" si="402"/>
        <v>42185</v>
      </c>
      <c r="AK200" s="112">
        <f t="shared" ca="1" si="405"/>
        <v>42185</v>
      </c>
      <c r="AL200" s="238">
        <f t="shared" ca="1" si="403"/>
        <v>1</v>
      </c>
      <c r="AM200" s="112">
        <f t="shared" ca="1" si="401"/>
        <v>41915</v>
      </c>
      <c r="AN200" s="112">
        <f t="shared" ca="1" si="381"/>
        <v>42185</v>
      </c>
      <c r="AO200" s="114">
        <f t="shared" ca="1" si="377"/>
        <v>18</v>
      </c>
      <c r="AP200" s="114">
        <f t="shared" ca="1" si="378"/>
        <v>24</v>
      </c>
      <c r="AR200" s="238">
        <f t="shared" si="380"/>
        <v>200</v>
      </c>
      <c r="AU200" s="238">
        <f t="shared" si="383"/>
        <v>181</v>
      </c>
      <c r="AV200" s="238"/>
      <c r="AW200" s="238"/>
      <c r="BB200">
        <f t="shared" si="398"/>
        <v>38</v>
      </c>
      <c r="BC200" s="112">
        <f t="shared" ca="1" si="394"/>
        <v>39338</v>
      </c>
      <c r="BD200" s="112"/>
      <c r="BE200" s="112">
        <f t="shared" ca="1" si="395"/>
        <v>39629</v>
      </c>
      <c r="BF200" s="112"/>
      <c r="BG200" s="112"/>
      <c r="BH200" s="112"/>
      <c r="CM200" s="112"/>
      <c r="CN200" s="112"/>
      <c r="CQ200" s="112"/>
      <c r="CR200" s="112"/>
      <c r="CS200" s="112"/>
      <c r="CT200" s="112"/>
      <c r="CU200" s="112"/>
      <c r="CV200" s="112"/>
      <c r="CW200" s="112"/>
      <c r="CX200" s="112" t="s">
        <v>224</v>
      </c>
      <c r="CY200" s="112" t="s">
        <v>225</v>
      </c>
      <c r="CZ200" s="112" t="s">
        <v>226</v>
      </c>
      <c r="DA200" s="112" t="s">
        <v>227</v>
      </c>
      <c r="DB200" s="112" t="s">
        <v>228</v>
      </c>
      <c r="DC200" s="112"/>
      <c r="DD200" s="112"/>
      <c r="DE200" s="238"/>
      <c r="DF200" s="112"/>
      <c r="DG200" s="112"/>
      <c r="DH200" s="112"/>
      <c r="DI200" s="112"/>
      <c r="DJ200" s="112"/>
      <c r="DK200" s="112">
        <f t="shared" si="388"/>
        <v>100000</v>
      </c>
      <c r="DL200" s="112"/>
      <c r="DM200" s="112"/>
      <c r="DN200" s="112" t="e">
        <f t="shared" si="406"/>
        <v>#NUM!</v>
      </c>
      <c r="DO200" s="112" t="e">
        <f t="shared" si="407"/>
        <v>#NUM!</v>
      </c>
      <c r="DP200" s="112"/>
      <c r="DQ200" s="112"/>
    </row>
    <row r="201" spans="4:121" x14ac:dyDescent="0.25">
      <c r="D201">
        <f t="shared" si="396"/>
        <v>201</v>
      </c>
      <c r="E201" s="112">
        <f t="shared" si="404"/>
        <v>42614</v>
      </c>
      <c r="F201" s="112">
        <f t="shared" si="404"/>
        <v>42978</v>
      </c>
      <c r="G201" s="112"/>
      <c r="H201" s="238">
        <f t="shared" si="397"/>
        <v>39</v>
      </c>
      <c r="AG201" s="238">
        <f>AG200</f>
        <v>56</v>
      </c>
      <c r="AH201" s="112">
        <f ca="1">AI200+1</f>
        <v>42186</v>
      </c>
      <c r="AI201" s="112">
        <f ca="1">IF(INDIRECT(CONCATENATE("AC",AG200))&lt;100000,INDIRECT(CONCATENATE("AC",AG200))-1,IF(INDIRECT(CONCATENATE("AD",AG200))&lt;100000,INDIRECT(CONCATENATE("AD",AG200))-1,IF(INDIRECT(CONCATENATE("AE",AG200))&lt;100000,INDIRECT(CONCATENATE("AE",G200)),INDIRECT(CONCATENATE("AF",AG200)))))</f>
        <v>42185</v>
      </c>
      <c r="AJ201" s="112">
        <f t="shared" ca="1" si="402"/>
        <v>42185</v>
      </c>
      <c r="AK201" s="112">
        <f t="shared" ca="1" si="405"/>
        <v>42185</v>
      </c>
      <c r="AL201" s="238">
        <f t="shared" ca="1" si="403"/>
        <v>0</v>
      </c>
      <c r="AM201" s="112">
        <f t="shared" ca="1" si="401"/>
        <v>100000</v>
      </c>
      <c r="AN201" s="112">
        <f t="shared" ca="1" si="381"/>
        <v>100000</v>
      </c>
      <c r="AO201" s="114">
        <f t="shared" ca="1" si="377"/>
        <v>18</v>
      </c>
      <c r="AP201" s="114">
        <f t="shared" ca="1" si="378"/>
        <v>24</v>
      </c>
      <c r="AR201" s="238">
        <f t="shared" si="380"/>
        <v>201</v>
      </c>
      <c r="AU201" s="238">
        <f t="shared" si="383"/>
        <v>182</v>
      </c>
      <c r="AV201" s="238"/>
      <c r="AW201" s="238"/>
      <c r="BB201">
        <f t="shared" si="398"/>
        <v>39</v>
      </c>
      <c r="BC201" s="112">
        <f t="shared" ca="1" si="394"/>
        <v>39447</v>
      </c>
      <c r="BD201" s="112"/>
      <c r="BE201" s="112">
        <f t="shared" ca="1" si="395"/>
        <v>39629</v>
      </c>
      <c r="BF201" s="112"/>
      <c r="BG201" s="112"/>
      <c r="BH201" s="112"/>
      <c r="CM201" s="112"/>
      <c r="CN201" s="112"/>
      <c r="CQ201" s="112"/>
      <c r="CR201" s="112"/>
      <c r="CS201" s="112"/>
      <c r="CT201" s="112"/>
      <c r="CU201" s="112"/>
      <c r="CV201" s="112"/>
      <c r="CW201" s="112"/>
      <c r="CX201" s="112" t="s">
        <v>224</v>
      </c>
      <c r="CY201" s="112" t="s">
        <v>225</v>
      </c>
      <c r="CZ201" s="112" t="s">
        <v>226</v>
      </c>
      <c r="DA201" s="112" t="s">
        <v>227</v>
      </c>
      <c r="DB201" s="112" t="s">
        <v>228</v>
      </c>
      <c r="DC201" s="112"/>
      <c r="DD201" s="112"/>
      <c r="DE201" s="238"/>
      <c r="DF201" s="112"/>
      <c r="DG201" s="112"/>
      <c r="DH201" s="112"/>
      <c r="DI201" s="112"/>
      <c r="DJ201" s="112"/>
      <c r="DK201" s="112">
        <f t="shared" si="388"/>
        <v>100000</v>
      </c>
      <c r="DL201" s="112"/>
      <c r="DM201" s="112"/>
      <c r="DN201" s="112" t="e">
        <f t="shared" si="406"/>
        <v>#NUM!</v>
      </c>
      <c r="DO201" s="112" t="e">
        <f t="shared" si="407"/>
        <v>#NUM!</v>
      </c>
      <c r="DP201" s="112"/>
      <c r="DQ201" s="112"/>
    </row>
    <row r="202" spans="4:121" x14ac:dyDescent="0.25">
      <c r="D202">
        <f t="shared" si="396"/>
        <v>202</v>
      </c>
      <c r="E202" s="112">
        <f t="shared" si="404"/>
        <v>42979</v>
      </c>
      <c r="F202" s="112">
        <f t="shared" si="404"/>
        <v>43343</v>
      </c>
      <c r="G202" s="112"/>
      <c r="H202" s="238">
        <f t="shared" si="397"/>
        <v>40</v>
      </c>
      <c r="AG202" s="238">
        <f>AG201</f>
        <v>56</v>
      </c>
      <c r="AH202" s="112">
        <f ca="1">AI201+1</f>
        <v>42186</v>
      </c>
      <c r="AI202" s="112">
        <f ca="1">IF(INDIRECT(CONCATENATE("AD",AG200))&lt;100000,INDIRECT(CONCATENATE("AD",AG200))-1,IF(INDIRECT(CONCATENATE("AE",AG200))&lt;100000,INDIRECT(CONCATENATE("AE",G200)),INDIRECT(CONCATENATE("AF",AG200))))</f>
        <v>42185</v>
      </c>
      <c r="AJ202" s="112">
        <f t="shared" ca="1" si="402"/>
        <v>42185</v>
      </c>
      <c r="AK202" s="112">
        <f t="shared" ca="1" si="405"/>
        <v>42185</v>
      </c>
      <c r="AL202" s="238">
        <f t="shared" ca="1" si="403"/>
        <v>0</v>
      </c>
      <c r="AM202" s="112">
        <f t="shared" ca="1" si="401"/>
        <v>100000</v>
      </c>
      <c r="AN202" s="112">
        <f t="shared" ca="1" si="381"/>
        <v>100000</v>
      </c>
      <c r="AO202" s="114">
        <f t="shared" ca="1" si="377"/>
        <v>18</v>
      </c>
      <c r="AP202" s="114">
        <f t="shared" ca="1" si="378"/>
        <v>24</v>
      </c>
      <c r="AR202" s="238">
        <f t="shared" si="380"/>
        <v>202</v>
      </c>
      <c r="AU202" s="238">
        <f t="shared" si="383"/>
        <v>183</v>
      </c>
      <c r="AV202" s="238"/>
      <c r="AW202" s="238"/>
      <c r="BB202">
        <f t="shared" si="398"/>
        <v>40</v>
      </c>
      <c r="BC202" s="112">
        <f t="shared" ca="1" si="394"/>
        <v>39539</v>
      </c>
      <c r="BD202" s="112"/>
      <c r="BE202" s="112">
        <f t="shared" ca="1" si="395"/>
        <v>39629</v>
      </c>
      <c r="BF202" s="112"/>
      <c r="BG202" s="112"/>
      <c r="BH202" s="112"/>
      <c r="CM202" s="112"/>
      <c r="CN202" s="112"/>
      <c r="CQ202" s="112"/>
      <c r="CR202" s="112"/>
      <c r="CS202" s="112"/>
      <c r="CT202" s="112"/>
      <c r="CU202" s="112"/>
      <c r="CV202" s="112"/>
      <c r="CW202" s="112"/>
      <c r="CX202" s="112" t="s">
        <v>224</v>
      </c>
      <c r="CY202" s="112" t="s">
        <v>225</v>
      </c>
      <c r="CZ202" s="112" t="s">
        <v>226</v>
      </c>
      <c r="DA202" s="112" t="s">
        <v>227</v>
      </c>
      <c r="DB202" s="112" t="s">
        <v>228</v>
      </c>
      <c r="DC202" s="112"/>
      <c r="DD202" s="112"/>
      <c r="DE202" s="238"/>
      <c r="DF202" s="112"/>
      <c r="DG202" s="112"/>
      <c r="DH202" s="112"/>
      <c r="DI202" s="112"/>
      <c r="DJ202" s="112"/>
      <c r="DK202" s="112">
        <f t="shared" si="388"/>
        <v>100000</v>
      </c>
      <c r="DL202" s="112"/>
      <c r="DM202" s="112"/>
      <c r="DN202" s="112" t="e">
        <f t="shared" si="406"/>
        <v>#NUM!</v>
      </c>
      <c r="DO202" s="112" t="e">
        <f t="shared" si="407"/>
        <v>#NUM!</v>
      </c>
      <c r="DP202" s="112"/>
      <c r="DQ202" s="112"/>
    </row>
    <row r="203" spans="4:121" x14ac:dyDescent="0.25">
      <c r="D203">
        <f t="shared" si="396"/>
        <v>203</v>
      </c>
      <c r="E203" s="112">
        <f t="shared" ref="E203:F222" si="408">IF(F60=0,100000,F60)</f>
        <v>43344</v>
      </c>
      <c r="F203" s="112">
        <f t="shared" si="408"/>
        <v>43708</v>
      </c>
      <c r="G203" s="112"/>
      <c r="H203" s="238">
        <f t="shared" si="397"/>
        <v>41</v>
      </c>
      <c r="AG203" s="238">
        <f>AG202</f>
        <v>56</v>
      </c>
      <c r="AH203" s="112">
        <f ca="1">AI202+1</f>
        <v>42186</v>
      </c>
      <c r="AI203" s="112">
        <f ca="1">IF(INDIRECT(CONCATENATE("AE",AG200))&lt;100000,INDIRECT(CONCATENATE("AE",G200)),INDIRECT(CONCATENATE("AF",AG200)))</f>
        <v>42185</v>
      </c>
      <c r="AJ203" s="112">
        <f t="shared" ca="1" si="402"/>
        <v>42185</v>
      </c>
      <c r="AK203" s="112">
        <f t="shared" ca="1" si="405"/>
        <v>42185</v>
      </c>
      <c r="AL203" s="238">
        <f t="shared" ca="1" si="403"/>
        <v>0</v>
      </c>
      <c r="AM203" s="112">
        <f t="shared" ca="1" si="401"/>
        <v>100000</v>
      </c>
      <c r="AN203" s="112">
        <f t="shared" ca="1" si="381"/>
        <v>100000</v>
      </c>
      <c r="AO203" s="114">
        <f t="shared" ca="1" si="377"/>
        <v>18</v>
      </c>
      <c r="AP203" s="114">
        <f t="shared" ca="1" si="378"/>
        <v>24</v>
      </c>
      <c r="AR203" s="238">
        <f t="shared" si="380"/>
        <v>203</v>
      </c>
      <c r="AU203" s="238">
        <f t="shared" si="383"/>
        <v>184</v>
      </c>
      <c r="AV203" s="238"/>
      <c r="AW203" s="238"/>
      <c r="BB203">
        <f t="shared" si="398"/>
        <v>41</v>
      </c>
      <c r="BC203" s="112">
        <f t="shared" ca="1" si="394"/>
        <v>39630</v>
      </c>
      <c r="BD203" s="112"/>
      <c r="BE203" s="112">
        <f t="shared" ca="1" si="395"/>
        <v>39629</v>
      </c>
      <c r="BF203" s="112"/>
      <c r="BG203" s="112"/>
      <c r="BH203" s="112"/>
      <c r="CM203" s="112"/>
      <c r="CN203" s="112"/>
      <c r="CQ203" s="112"/>
      <c r="CR203" s="112"/>
      <c r="CS203" s="112"/>
      <c r="CT203" s="112"/>
      <c r="CU203" s="112"/>
      <c r="CV203" s="112"/>
      <c r="CW203" s="112"/>
      <c r="CX203" s="112" t="s">
        <v>224</v>
      </c>
      <c r="CY203" s="112" t="s">
        <v>225</v>
      </c>
      <c r="CZ203" s="112" t="s">
        <v>226</v>
      </c>
      <c r="DA203" s="112" t="s">
        <v>227</v>
      </c>
      <c r="DB203" s="112" t="s">
        <v>228</v>
      </c>
      <c r="DC203" s="112"/>
      <c r="DD203" s="112"/>
      <c r="DE203" s="238"/>
      <c r="DF203" s="112"/>
      <c r="DG203" s="112"/>
      <c r="DH203" s="112"/>
      <c r="DI203" s="112"/>
      <c r="DJ203" s="112"/>
      <c r="DK203" s="112">
        <f t="shared" si="388"/>
        <v>100000</v>
      </c>
      <c r="DL203" s="112"/>
      <c r="DM203" s="112"/>
      <c r="DN203" s="112" t="e">
        <f t="shared" si="406"/>
        <v>#NUM!</v>
      </c>
      <c r="DO203" s="112" t="e">
        <f t="shared" si="407"/>
        <v>#NUM!</v>
      </c>
      <c r="DP203" s="112"/>
      <c r="DQ203" s="112"/>
    </row>
    <row r="204" spans="4:121" x14ac:dyDescent="0.25">
      <c r="D204">
        <f t="shared" si="396"/>
        <v>204</v>
      </c>
      <c r="E204" s="112">
        <f t="shared" si="408"/>
        <v>43709</v>
      </c>
      <c r="F204" s="112">
        <f t="shared" si="408"/>
        <v>44074</v>
      </c>
      <c r="G204" s="112"/>
      <c r="H204" s="238">
        <f t="shared" si="397"/>
        <v>42</v>
      </c>
      <c r="AG204" s="238">
        <f>AG203</f>
        <v>56</v>
      </c>
      <c r="AH204" s="112">
        <f ca="1">AI203+1</f>
        <v>42186</v>
      </c>
      <c r="AI204" s="112">
        <f ca="1">INDIRECT(CONCATENATE("AF",AG200))</f>
        <v>42185</v>
      </c>
      <c r="AJ204" s="112">
        <f t="shared" ca="1" si="402"/>
        <v>42185</v>
      </c>
      <c r="AK204" s="112">
        <f t="shared" ca="1" si="405"/>
        <v>42185</v>
      </c>
      <c r="AL204" s="238">
        <f t="shared" ca="1" si="403"/>
        <v>0</v>
      </c>
      <c r="AM204" s="112">
        <f t="shared" ca="1" si="401"/>
        <v>100000</v>
      </c>
      <c r="AN204" s="112">
        <f t="shared" ca="1" si="381"/>
        <v>100000</v>
      </c>
      <c r="AO204" s="114">
        <f t="shared" ca="1" si="377"/>
        <v>18</v>
      </c>
      <c r="AP204" s="114">
        <f t="shared" ca="1" si="378"/>
        <v>24</v>
      </c>
      <c r="AR204" s="238">
        <f t="shared" si="380"/>
        <v>204</v>
      </c>
      <c r="AU204" s="238">
        <f t="shared" si="383"/>
        <v>185</v>
      </c>
      <c r="AV204" s="238"/>
      <c r="AW204" s="238"/>
      <c r="BB204">
        <f t="shared" si="398"/>
        <v>42</v>
      </c>
      <c r="BC204" s="112">
        <f t="shared" ca="1" si="394"/>
        <v>39692</v>
      </c>
      <c r="BD204" s="112"/>
      <c r="BE204" s="112">
        <f t="shared" ca="1" si="395"/>
        <v>39994</v>
      </c>
      <c r="BF204" s="112"/>
      <c r="BG204" s="112"/>
      <c r="BH204" s="112"/>
      <c r="CM204" s="112"/>
      <c r="CN204" s="112"/>
      <c r="CQ204" s="112"/>
      <c r="CR204" s="112"/>
      <c r="CS204" s="112"/>
      <c r="CT204" s="112"/>
      <c r="CU204" s="112"/>
      <c r="CV204" s="112"/>
      <c r="CW204" s="112"/>
      <c r="CX204" s="112" t="s">
        <v>224</v>
      </c>
      <c r="CY204" s="112" t="s">
        <v>225</v>
      </c>
      <c r="CZ204" s="112" t="s">
        <v>226</v>
      </c>
      <c r="DA204" s="112" t="s">
        <v>227</v>
      </c>
      <c r="DB204" s="112" t="s">
        <v>228</v>
      </c>
      <c r="DC204" s="112"/>
      <c r="DD204" s="112"/>
      <c r="DE204" s="238"/>
      <c r="DF204" s="112"/>
      <c r="DG204" s="112"/>
      <c r="DH204" s="112"/>
      <c r="DI204" s="112"/>
      <c r="DJ204" s="112"/>
      <c r="DK204" s="112">
        <f t="shared" si="388"/>
        <v>100000</v>
      </c>
      <c r="DL204" s="112"/>
      <c r="DM204" s="112"/>
      <c r="DN204" s="112" t="e">
        <f t="shared" si="406"/>
        <v>#NUM!</v>
      </c>
      <c r="DO204" s="112" t="e">
        <f t="shared" si="407"/>
        <v>#NUM!</v>
      </c>
      <c r="DP204" s="112"/>
      <c r="DQ204" s="112"/>
    </row>
    <row r="205" spans="4:121" x14ac:dyDescent="0.25">
      <c r="D205">
        <f t="shared" si="396"/>
        <v>205</v>
      </c>
      <c r="E205" s="112">
        <f t="shared" si="408"/>
        <v>44075</v>
      </c>
      <c r="F205" s="112">
        <f t="shared" si="408"/>
        <v>44439</v>
      </c>
      <c r="G205" s="112"/>
      <c r="H205" s="238">
        <f t="shared" si="397"/>
        <v>43</v>
      </c>
      <c r="AG205" s="238">
        <f>AG204+1</f>
        <v>57</v>
      </c>
      <c r="AH205" s="112">
        <f ca="1">INDIRECT(CONCATENATE("AA",AG205))</f>
        <v>42248</v>
      </c>
      <c r="AI205" s="112">
        <f ca="1">IF(            INDIRECT(CONCATENATE( "AB",AG205))&lt;100000,       INDIRECT(CONCATENATE("AB",AG205))  -1,IF(   INDIRECT(CONCATENATE("AC",AG205))&lt;100000,   INDIRECT(CONCATENATE("AC",AG205))-1,IF(   INDIRECT(CONCATENATE("AD", AG205))&lt;100000, INDIRECT(CONCATENATE("AD",AG205))-1,IF(   INDIRECT(CONCATENATE("AE",AG205))&lt;100000,  INDIRECT(CONCATENATE("AE",G205)),INDIRECT(CONCATENATE("AF",AG205))                ))))</f>
        <v>42613</v>
      </c>
      <c r="AJ205" s="112">
        <f t="shared" ca="1" si="402"/>
        <v>42613</v>
      </c>
      <c r="AK205" s="112">
        <f t="shared" ca="1" si="405"/>
        <v>42613</v>
      </c>
      <c r="AL205" s="238">
        <f t="shared" ca="1" si="403"/>
        <v>1</v>
      </c>
      <c r="AM205" s="112">
        <f t="shared" ca="1" si="401"/>
        <v>42248</v>
      </c>
      <c r="AN205" s="112">
        <f t="shared" ca="1" si="381"/>
        <v>42613</v>
      </c>
      <c r="AO205" s="114">
        <f t="shared" ca="1" si="377"/>
        <v>18</v>
      </c>
      <c r="AP205" s="114">
        <f t="shared" ca="1" si="378"/>
        <v>24</v>
      </c>
      <c r="AR205" s="238">
        <f t="shared" si="380"/>
        <v>205</v>
      </c>
      <c r="AU205" s="238">
        <f t="shared" si="383"/>
        <v>186</v>
      </c>
      <c r="AV205" s="238"/>
      <c r="AW205" s="238"/>
      <c r="BB205">
        <f t="shared" si="398"/>
        <v>43</v>
      </c>
      <c r="BC205" s="112">
        <f t="shared" ca="1" si="394"/>
        <v>40063</v>
      </c>
      <c r="BD205" s="112"/>
      <c r="BE205" s="112">
        <f t="shared" ca="1" si="395"/>
        <v>40063</v>
      </c>
      <c r="BF205" s="112"/>
      <c r="BG205" s="112"/>
      <c r="BH205" s="112"/>
      <c r="CM205" s="112"/>
      <c r="CN205" s="112"/>
      <c r="CQ205" s="112"/>
      <c r="CR205" s="112"/>
      <c r="CS205" s="112"/>
      <c r="CT205" s="112"/>
      <c r="CU205" s="112"/>
      <c r="CV205" s="112"/>
      <c r="CW205" s="112"/>
      <c r="CX205" s="112" t="s">
        <v>224</v>
      </c>
      <c r="CY205" s="112" t="s">
        <v>225</v>
      </c>
      <c r="CZ205" s="112" t="s">
        <v>226</v>
      </c>
      <c r="DA205" s="112" t="s">
        <v>227</v>
      </c>
      <c r="DB205" s="112" t="s">
        <v>228</v>
      </c>
      <c r="DC205" s="112"/>
      <c r="DD205" s="112"/>
      <c r="DE205" s="238"/>
      <c r="DF205" s="112"/>
      <c r="DG205" s="112"/>
      <c r="DH205" s="112"/>
      <c r="DI205" s="112"/>
      <c r="DJ205" s="112"/>
      <c r="DK205" s="112">
        <f t="shared" si="388"/>
        <v>100000</v>
      </c>
      <c r="DL205" s="112"/>
      <c r="DM205" s="112"/>
      <c r="DN205" s="112" t="e">
        <f t="shared" si="406"/>
        <v>#NUM!</v>
      </c>
      <c r="DO205" s="112" t="e">
        <f t="shared" si="407"/>
        <v>#NUM!</v>
      </c>
      <c r="DP205" s="112"/>
      <c r="DQ205" s="112"/>
    </row>
    <row r="206" spans="4:121" x14ac:dyDescent="0.25">
      <c r="D206">
        <f t="shared" si="396"/>
        <v>206</v>
      </c>
      <c r="E206" s="112">
        <f t="shared" si="408"/>
        <v>44440</v>
      </c>
      <c r="F206" s="112">
        <f t="shared" si="408"/>
        <v>44804</v>
      </c>
      <c r="G206" s="112"/>
      <c r="H206" s="238">
        <f t="shared" si="397"/>
        <v>44</v>
      </c>
      <c r="AG206" s="238">
        <f>AG205</f>
        <v>57</v>
      </c>
      <c r="AH206" s="112">
        <f ca="1">AI205+1</f>
        <v>42614</v>
      </c>
      <c r="AI206" s="112">
        <f ca="1">IF(INDIRECT(CONCATENATE("AC",AG205))&lt;100000,INDIRECT(CONCATENATE("AC",AG205))-1,IF(INDIRECT(CONCATENATE("AD",AG205))&lt;100000,INDIRECT(CONCATENATE("AD",AG205))-1,IF(INDIRECT(CONCATENATE("AE",AG205))&lt;100000,INDIRECT(CONCATENATE("AE",G205)),INDIRECT(CONCATENATE("AF",AG205)))))</f>
        <v>42613</v>
      </c>
      <c r="AJ206" s="112">
        <f t="shared" ca="1" si="402"/>
        <v>42613</v>
      </c>
      <c r="AK206" s="112">
        <f t="shared" ca="1" si="405"/>
        <v>42613</v>
      </c>
      <c r="AL206" s="238">
        <f t="shared" ca="1" si="403"/>
        <v>0</v>
      </c>
      <c r="AM206" s="112">
        <f t="shared" ca="1" si="401"/>
        <v>100000</v>
      </c>
      <c r="AN206" s="112">
        <f t="shared" ca="1" si="381"/>
        <v>100000</v>
      </c>
      <c r="AO206" s="114">
        <f t="shared" ca="1" si="377"/>
        <v>18</v>
      </c>
      <c r="AP206" s="114">
        <f t="shared" ca="1" si="378"/>
        <v>24</v>
      </c>
      <c r="AR206" s="238">
        <f t="shared" si="380"/>
        <v>206</v>
      </c>
      <c r="AU206" s="238">
        <f t="shared" si="383"/>
        <v>187</v>
      </c>
      <c r="AV206" s="238"/>
      <c r="AW206" s="238"/>
      <c r="BB206">
        <f t="shared" si="398"/>
        <v>44</v>
      </c>
      <c r="BC206" s="112">
        <f t="shared" ca="1" si="394"/>
        <v>40066</v>
      </c>
      <c r="BD206" s="112"/>
      <c r="BE206" s="112">
        <f t="shared" ca="1" si="395"/>
        <v>40421</v>
      </c>
      <c r="BF206" s="112"/>
      <c r="BG206" s="112"/>
      <c r="BH206" s="112"/>
      <c r="CM206" s="112"/>
      <c r="CN206" s="112"/>
      <c r="CQ206" s="112"/>
      <c r="CR206" s="112"/>
      <c r="CS206" s="112"/>
      <c r="CT206" s="112"/>
      <c r="CU206" s="112"/>
      <c r="CV206" s="112"/>
      <c r="CW206" s="112"/>
      <c r="CX206" s="112" t="s">
        <v>224</v>
      </c>
      <c r="CY206" s="112" t="s">
        <v>225</v>
      </c>
      <c r="CZ206" s="112" t="s">
        <v>226</v>
      </c>
      <c r="DA206" s="112" t="s">
        <v>227</v>
      </c>
      <c r="DB206" s="112" t="s">
        <v>228</v>
      </c>
      <c r="DC206" s="112"/>
      <c r="DD206" s="112"/>
      <c r="DE206" s="238"/>
      <c r="DF206" s="112"/>
      <c r="DG206" s="112"/>
      <c r="DH206" s="112"/>
      <c r="DI206" s="112"/>
      <c r="DJ206" s="112"/>
      <c r="DK206" s="112">
        <f t="shared" si="388"/>
        <v>100000</v>
      </c>
      <c r="DL206" s="112"/>
      <c r="DM206" s="112"/>
      <c r="DN206" s="112" t="e">
        <f t="shared" si="406"/>
        <v>#NUM!</v>
      </c>
      <c r="DO206" s="112" t="e">
        <f t="shared" si="407"/>
        <v>#NUM!</v>
      </c>
      <c r="DP206" s="112"/>
      <c r="DQ206" s="112"/>
    </row>
    <row r="207" spans="4:121" x14ac:dyDescent="0.25">
      <c r="D207" t="str">
        <f t="shared" si="396"/>
        <v/>
      </c>
      <c r="E207" s="112" t="str">
        <f t="shared" si="408"/>
        <v/>
      </c>
      <c r="F207" s="112" t="str">
        <f t="shared" si="408"/>
        <v/>
      </c>
      <c r="G207" s="112"/>
      <c r="H207" s="238">
        <f t="shared" si="397"/>
        <v>45</v>
      </c>
      <c r="AG207" s="238">
        <f>AG206</f>
        <v>57</v>
      </c>
      <c r="AH207" s="112">
        <f ca="1">AI206+1</f>
        <v>42614</v>
      </c>
      <c r="AI207" s="112">
        <f ca="1">IF(INDIRECT(CONCATENATE("AD",AG205))&lt;100000,INDIRECT(CONCATENATE("AD",AG205))-1,IF(INDIRECT(CONCATENATE("AE",AG205))&lt;100000,INDIRECT(CONCATENATE("AE",G205)),INDIRECT(CONCATENATE("AF",AG205))))</f>
        <v>42613</v>
      </c>
      <c r="AJ207" s="112">
        <f t="shared" ca="1" si="402"/>
        <v>42613</v>
      </c>
      <c r="AK207" s="112">
        <f t="shared" ca="1" si="405"/>
        <v>42613</v>
      </c>
      <c r="AL207" s="238">
        <f t="shared" ca="1" si="403"/>
        <v>0</v>
      </c>
      <c r="AM207" s="112">
        <f t="shared" ca="1" si="401"/>
        <v>100000</v>
      </c>
      <c r="AN207" s="112">
        <f t="shared" ca="1" si="381"/>
        <v>100000</v>
      </c>
      <c r="AO207" s="114">
        <f t="shared" ca="1" si="377"/>
        <v>18</v>
      </c>
      <c r="AP207" s="114">
        <f t="shared" ca="1" si="378"/>
        <v>24</v>
      </c>
      <c r="AR207" s="238">
        <f t="shared" si="380"/>
        <v>207</v>
      </c>
      <c r="AU207" s="238">
        <f t="shared" si="383"/>
        <v>188</v>
      </c>
      <c r="AV207" s="238"/>
      <c r="AW207" s="238"/>
      <c r="BB207">
        <f t="shared" si="398"/>
        <v>45</v>
      </c>
      <c r="BC207" s="112">
        <f t="shared" ca="1" si="394"/>
        <v>40430</v>
      </c>
      <c r="BD207" s="112"/>
      <c r="BE207" s="112">
        <f t="shared" ca="1" si="395"/>
        <v>40739</v>
      </c>
      <c r="BF207" s="112"/>
      <c r="BG207" s="112"/>
      <c r="BH207" s="112"/>
      <c r="CM207" s="112"/>
      <c r="CN207" s="112"/>
      <c r="CQ207" s="112"/>
      <c r="CR207" s="112"/>
      <c r="CS207" s="112"/>
      <c r="CT207" s="112"/>
      <c r="CU207" s="112"/>
      <c r="CV207" s="112"/>
      <c r="CW207" s="112"/>
      <c r="CX207" s="112" t="s">
        <v>224</v>
      </c>
      <c r="CY207" s="112" t="s">
        <v>225</v>
      </c>
      <c r="CZ207" s="112" t="s">
        <v>226</v>
      </c>
      <c r="DA207" s="112" t="s">
        <v>227</v>
      </c>
      <c r="DB207" s="112" t="s">
        <v>228</v>
      </c>
      <c r="DC207" s="112"/>
      <c r="DD207" s="112"/>
      <c r="DE207" s="238"/>
      <c r="DF207" s="112"/>
      <c r="DG207" s="112"/>
      <c r="DH207" s="112"/>
      <c r="DI207" s="112"/>
      <c r="DJ207" s="112"/>
      <c r="DK207" s="112">
        <f t="shared" si="388"/>
        <v>100000</v>
      </c>
      <c r="DL207" s="112"/>
      <c r="DM207" s="112"/>
      <c r="DN207" s="112" t="e">
        <f t="shared" si="406"/>
        <v>#NUM!</v>
      </c>
      <c r="DO207" s="112" t="e">
        <f t="shared" si="407"/>
        <v>#NUM!</v>
      </c>
      <c r="DP207" s="112"/>
      <c r="DQ207" s="112"/>
    </row>
    <row r="208" spans="4:121" x14ac:dyDescent="0.25">
      <c r="D208" t="str">
        <f t="shared" si="396"/>
        <v/>
      </c>
      <c r="E208" s="112" t="str">
        <f t="shared" si="408"/>
        <v/>
      </c>
      <c r="F208" s="112" t="str">
        <f t="shared" si="408"/>
        <v/>
      </c>
      <c r="G208" s="112"/>
      <c r="H208" s="238">
        <f t="shared" si="397"/>
        <v>46</v>
      </c>
      <c r="AG208" s="238">
        <f>AG207</f>
        <v>57</v>
      </c>
      <c r="AH208" s="112">
        <f ca="1">AI207+1</f>
        <v>42614</v>
      </c>
      <c r="AI208" s="112">
        <f ca="1">IF(INDIRECT(CONCATENATE("AE",AG205))&lt;100000,INDIRECT(CONCATENATE("AE",G205)),INDIRECT(CONCATENATE("AF",AG205)))</f>
        <v>42613</v>
      </c>
      <c r="AJ208" s="112">
        <f t="shared" ca="1" si="402"/>
        <v>42613</v>
      </c>
      <c r="AK208" s="112">
        <f t="shared" ca="1" si="405"/>
        <v>42613</v>
      </c>
      <c r="AL208" s="238">
        <f t="shared" ca="1" si="403"/>
        <v>0</v>
      </c>
      <c r="AM208" s="112">
        <f t="shared" ca="1" si="401"/>
        <v>100000</v>
      </c>
      <c r="AN208" s="112">
        <f t="shared" ca="1" si="381"/>
        <v>100000</v>
      </c>
      <c r="AO208" s="114">
        <f t="shared" ca="1" si="377"/>
        <v>18</v>
      </c>
      <c r="AP208" s="114">
        <f t="shared" ca="1" si="378"/>
        <v>24</v>
      </c>
      <c r="AR208" s="238">
        <f t="shared" si="380"/>
        <v>208</v>
      </c>
      <c r="AU208" s="238">
        <f t="shared" si="383"/>
        <v>189</v>
      </c>
      <c r="AV208" s="238"/>
      <c r="AW208" s="238"/>
      <c r="BB208">
        <f t="shared" si="398"/>
        <v>46</v>
      </c>
      <c r="BC208" s="112">
        <f t="shared" ca="1" si="394"/>
        <v>40431</v>
      </c>
      <c r="BD208" s="112"/>
      <c r="BE208" s="112">
        <f t="shared" ca="1" si="395"/>
        <v>40739</v>
      </c>
      <c r="BF208" s="112"/>
      <c r="BG208" s="112"/>
      <c r="BH208" s="112"/>
      <c r="CM208" s="112"/>
      <c r="CN208" s="112"/>
      <c r="CQ208" s="112"/>
      <c r="CR208" s="112"/>
      <c r="CS208" s="112"/>
      <c r="CT208" s="112"/>
      <c r="CU208" s="112"/>
      <c r="CV208" s="112"/>
      <c r="CW208" s="112"/>
      <c r="CX208" s="112" t="s">
        <v>224</v>
      </c>
      <c r="CY208" s="112" t="s">
        <v>225</v>
      </c>
      <c r="CZ208" s="112" t="s">
        <v>226</v>
      </c>
      <c r="DA208" s="112" t="s">
        <v>227</v>
      </c>
      <c r="DB208" s="112" t="s">
        <v>228</v>
      </c>
      <c r="DC208" s="112"/>
      <c r="DD208" s="112"/>
      <c r="DE208" s="238"/>
      <c r="DF208" s="112"/>
      <c r="DG208" s="112"/>
      <c r="DH208" s="112"/>
      <c r="DI208" s="112"/>
      <c r="DJ208" s="112"/>
      <c r="DK208" s="112">
        <f t="shared" si="388"/>
        <v>100000</v>
      </c>
      <c r="DL208" s="112"/>
      <c r="DM208" s="112"/>
      <c r="DN208" s="112" t="e">
        <f t="shared" si="406"/>
        <v>#NUM!</v>
      </c>
      <c r="DO208" s="112" t="e">
        <f t="shared" si="407"/>
        <v>#NUM!</v>
      </c>
      <c r="DP208" s="112"/>
      <c r="DQ208" s="112"/>
    </row>
    <row r="209" spans="4:121" x14ac:dyDescent="0.25">
      <c r="D209" t="str">
        <f t="shared" si="396"/>
        <v/>
      </c>
      <c r="E209" s="112" t="str">
        <f t="shared" si="408"/>
        <v/>
      </c>
      <c r="F209" s="112" t="str">
        <f t="shared" si="408"/>
        <v/>
      </c>
      <c r="G209" s="112"/>
      <c r="H209" s="238">
        <f t="shared" si="397"/>
        <v>47</v>
      </c>
      <c r="AG209" s="238">
        <f>AG208</f>
        <v>57</v>
      </c>
      <c r="AH209" s="112">
        <f ca="1">AI208+1</f>
        <v>42614</v>
      </c>
      <c r="AI209" s="112">
        <f ca="1">INDIRECT(CONCATENATE("AF",AG205))</f>
        <v>42613</v>
      </c>
      <c r="AJ209" s="112">
        <f t="shared" ca="1" si="402"/>
        <v>42613</v>
      </c>
      <c r="AK209" s="112">
        <f t="shared" ca="1" si="405"/>
        <v>42613</v>
      </c>
      <c r="AL209" s="238">
        <f t="shared" ca="1" si="403"/>
        <v>0</v>
      </c>
      <c r="AM209" s="112">
        <f t="shared" ca="1" si="401"/>
        <v>100000</v>
      </c>
      <c r="AN209" s="112">
        <f t="shared" ca="1" si="381"/>
        <v>100000</v>
      </c>
      <c r="AO209" s="114">
        <f t="shared" ca="1" si="377"/>
        <v>18</v>
      </c>
      <c r="AP209" s="114">
        <f t="shared" ca="1" si="378"/>
        <v>24</v>
      </c>
      <c r="AR209" s="238">
        <f t="shared" si="380"/>
        <v>209</v>
      </c>
      <c r="AU209" s="238">
        <f t="shared" si="383"/>
        <v>190</v>
      </c>
      <c r="AV209" s="238"/>
      <c r="AW209" s="238"/>
      <c r="BB209">
        <f t="shared" si="398"/>
        <v>47</v>
      </c>
      <c r="BC209" s="112">
        <f t="shared" ca="1" si="394"/>
        <v>40802</v>
      </c>
      <c r="BD209" s="112"/>
      <c r="BE209" s="112">
        <f t="shared" ca="1" si="395"/>
        <v>41090</v>
      </c>
      <c r="BF209" s="112"/>
      <c r="BG209" s="112"/>
      <c r="BH209" s="112"/>
      <c r="CM209" s="112"/>
      <c r="CN209" s="112"/>
      <c r="CQ209" s="112"/>
      <c r="CR209" s="112"/>
      <c r="CS209" s="112"/>
      <c r="CT209" s="112"/>
      <c r="CU209" s="112"/>
      <c r="CV209" s="112"/>
      <c r="CW209" s="112"/>
      <c r="CX209" s="112" t="s">
        <v>224</v>
      </c>
      <c r="CY209" s="112" t="s">
        <v>225</v>
      </c>
      <c r="CZ209" s="112" t="s">
        <v>226</v>
      </c>
      <c r="DA209" s="112" t="s">
        <v>227</v>
      </c>
      <c r="DB209" s="112" t="s">
        <v>228</v>
      </c>
      <c r="DC209" s="112"/>
      <c r="DD209" s="112"/>
      <c r="DE209" s="238"/>
      <c r="DF209" s="112"/>
      <c r="DG209" s="112"/>
      <c r="DH209" s="112"/>
      <c r="DI209" s="112"/>
      <c r="DJ209" s="112"/>
      <c r="DK209" s="112">
        <f t="shared" si="388"/>
        <v>100000</v>
      </c>
      <c r="DL209" s="112"/>
      <c r="DM209" s="112"/>
      <c r="DN209" s="112" t="e">
        <f t="shared" si="406"/>
        <v>#NUM!</v>
      </c>
      <c r="DO209" s="112" t="e">
        <f t="shared" si="407"/>
        <v>#NUM!</v>
      </c>
      <c r="DP209" s="112"/>
      <c r="DQ209" s="112"/>
    </row>
    <row r="210" spans="4:121" x14ac:dyDescent="0.25">
      <c r="D210" t="str">
        <f t="shared" si="396"/>
        <v/>
      </c>
      <c r="E210" s="112" t="str">
        <f t="shared" si="408"/>
        <v/>
      </c>
      <c r="F210" s="112" t="str">
        <f t="shared" si="408"/>
        <v/>
      </c>
      <c r="G210" s="112"/>
      <c r="H210" s="238">
        <f t="shared" si="397"/>
        <v>48</v>
      </c>
      <c r="AG210" s="238">
        <f>AG209+1</f>
        <v>58</v>
      </c>
      <c r="AH210" s="112">
        <f ca="1">INDIRECT(CONCATENATE("AA",AG210))</f>
        <v>42614</v>
      </c>
      <c r="AI210" s="112">
        <f ca="1">IF(            INDIRECT(CONCATENATE( "AB",AG210))&lt;100000,       INDIRECT(CONCATENATE("AB",AG210))  -1,IF(   INDIRECT(CONCATENATE("AC",AG210))&lt;100000,   INDIRECT(CONCATENATE("AC",AG210))-1,IF(   INDIRECT(CONCATENATE("AD", AG210))&lt;100000, INDIRECT(CONCATENATE("AD",AG210))-1,IF(   INDIRECT(CONCATENATE("AE",AG210))&lt;100000,  INDIRECT(CONCATENATE("AE",G210)),INDIRECT(CONCATENATE("AF",AG210))                ))))</f>
        <v>42735</v>
      </c>
      <c r="AJ210" s="112">
        <f t="shared" ca="1" si="402"/>
        <v>42735</v>
      </c>
      <c r="AK210" s="112">
        <f t="shared" ca="1" si="405"/>
        <v>42735</v>
      </c>
      <c r="AL210" s="238">
        <f t="shared" ca="1" si="403"/>
        <v>1</v>
      </c>
      <c r="AM210" s="112">
        <f t="shared" ca="1" si="401"/>
        <v>42614</v>
      </c>
      <c r="AN210" s="112">
        <f t="shared" ca="1" si="381"/>
        <v>42735</v>
      </c>
      <c r="AO210" s="114">
        <f t="shared" ca="1" si="377"/>
        <v>18</v>
      </c>
      <c r="AP210" s="114">
        <f t="shared" ca="1" si="378"/>
        <v>24</v>
      </c>
      <c r="AR210" s="238">
        <f t="shared" si="380"/>
        <v>210</v>
      </c>
      <c r="AU210" s="238">
        <f t="shared" si="383"/>
        <v>191</v>
      </c>
      <c r="AV210" s="238"/>
      <c r="AW210" s="238"/>
      <c r="BB210">
        <f t="shared" si="398"/>
        <v>48</v>
      </c>
      <c r="BC210" s="112">
        <f t="shared" ca="1" si="394"/>
        <v>41171</v>
      </c>
      <c r="BD210" s="112"/>
      <c r="BE210" s="112">
        <f t="shared" ca="1" si="395"/>
        <v>41471</v>
      </c>
      <c r="BF210" s="112"/>
      <c r="BG210" s="112"/>
      <c r="BH210" s="112"/>
      <c r="CM210" s="112"/>
      <c r="CN210" s="112"/>
      <c r="CQ210" s="112"/>
      <c r="CR210" s="112"/>
      <c r="CS210" s="112"/>
      <c r="CT210" s="112"/>
      <c r="CU210" s="112"/>
      <c r="CV210" s="112"/>
      <c r="CW210" s="112"/>
      <c r="CX210" s="112" t="s">
        <v>224</v>
      </c>
      <c r="CY210" s="112" t="s">
        <v>225</v>
      </c>
      <c r="CZ210" s="112" t="s">
        <v>226</v>
      </c>
      <c r="DA210" s="112" t="s">
        <v>227</v>
      </c>
      <c r="DB210" s="112" t="s">
        <v>228</v>
      </c>
      <c r="DC210" s="112"/>
      <c r="DD210" s="112"/>
      <c r="DE210" s="238"/>
      <c r="DF210" s="112"/>
      <c r="DG210" s="112"/>
      <c r="DH210" s="112"/>
      <c r="DI210" s="112"/>
      <c r="DJ210" s="112"/>
      <c r="DK210" s="112">
        <f t="shared" si="388"/>
        <v>100000</v>
      </c>
      <c r="DL210" s="112"/>
      <c r="DM210" s="112"/>
      <c r="DN210" s="112" t="e">
        <f t="shared" si="406"/>
        <v>#NUM!</v>
      </c>
      <c r="DO210" s="112" t="e">
        <f t="shared" si="407"/>
        <v>#NUM!</v>
      </c>
      <c r="DP210" s="112"/>
      <c r="DQ210" s="112"/>
    </row>
    <row r="211" spans="4:121" x14ac:dyDescent="0.25">
      <c r="D211" t="str">
        <f t="shared" si="396"/>
        <v/>
      </c>
      <c r="E211" s="112" t="str">
        <f t="shared" si="408"/>
        <v/>
      </c>
      <c r="F211" s="112" t="str">
        <f t="shared" si="408"/>
        <v/>
      </c>
      <c r="G211" s="112"/>
      <c r="H211" s="238">
        <f t="shared" si="397"/>
        <v>49</v>
      </c>
      <c r="AG211" s="238">
        <f>AG210</f>
        <v>58</v>
      </c>
      <c r="AH211" s="112">
        <f ca="1">AI210+1</f>
        <v>42736</v>
      </c>
      <c r="AI211" s="112">
        <f ca="1">IF(INDIRECT(CONCATENATE("AC",AG210))&lt;100000,INDIRECT(CONCATENATE("AC",AG210))-1,IF(INDIRECT(CONCATENATE("AD",AG210))&lt;100000,INDIRECT(CONCATENATE("AD",AG210))-1,IF(INDIRECT(CONCATENATE("AE",AG210))&lt;100000,INDIRECT(CONCATENATE("AE",G210)),INDIRECT(CONCATENATE("AF",AG210)))))</f>
        <v>42735</v>
      </c>
      <c r="AJ211" s="112">
        <f t="shared" ca="1" si="402"/>
        <v>42735</v>
      </c>
      <c r="AK211" s="112">
        <f t="shared" ca="1" si="405"/>
        <v>42735</v>
      </c>
      <c r="AL211" s="238">
        <f t="shared" ca="1" si="403"/>
        <v>0</v>
      </c>
      <c r="AM211" s="112">
        <f t="shared" ca="1" si="401"/>
        <v>100000</v>
      </c>
      <c r="AN211" s="112">
        <f t="shared" ca="1" si="381"/>
        <v>100000</v>
      </c>
      <c r="AO211" s="114">
        <f t="shared" ca="1" si="377"/>
        <v>18</v>
      </c>
      <c r="AP211" s="114">
        <f t="shared" ca="1" si="378"/>
        <v>24</v>
      </c>
      <c r="AR211" s="238">
        <f t="shared" si="380"/>
        <v>211</v>
      </c>
      <c r="AU211" s="238">
        <f t="shared" si="383"/>
        <v>192</v>
      </c>
      <c r="AV211" s="238"/>
      <c r="AW211" s="238"/>
      <c r="BB211">
        <f t="shared" si="398"/>
        <v>49</v>
      </c>
      <c r="BC211" s="112">
        <f t="shared" ca="1" si="394"/>
        <v>41178</v>
      </c>
      <c r="BD211" s="112"/>
      <c r="BE211" s="112">
        <f t="shared" ca="1" si="395"/>
        <v>41471</v>
      </c>
      <c r="BF211" s="112"/>
      <c r="BG211" s="112"/>
      <c r="BH211" s="112"/>
      <c r="CM211" s="112"/>
      <c r="CN211" s="112"/>
      <c r="CQ211" s="112"/>
      <c r="CR211" s="112"/>
      <c r="CS211" s="112"/>
      <c r="CT211" s="112"/>
      <c r="CU211" s="112"/>
      <c r="CV211" s="112"/>
      <c r="CW211" s="112"/>
      <c r="CX211" s="112" t="s">
        <v>224</v>
      </c>
      <c r="CY211" s="112" t="s">
        <v>225</v>
      </c>
      <c r="CZ211" s="112" t="s">
        <v>226</v>
      </c>
      <c r="DA211" s="112" t="s">
        <v>227</v>
      </c>
      <c r="DB211" s="112" t="s">
        <v>228</v>
      </c>
      <c r="DC211" s="112"/>
      <c r="DD211" s="112"/>
      <c r="DE211" s="238"/>
      <c r="DF211" s="112"/>
      <c r="DG211" s="112"/>
      <c r="DH211" s="112"/>
      <c r="DI211" s="112"/>
      <c r="DJ211" s="112"/>
      <c r="DK211" s="112">
        <f t="shared" si="388"/>
        <v>100000</v>
      </c>
      <c r="DL211" s="112"/>
      <c r="DM211" s="112"/>
      <c r="DN211" s="112" t="e">
        <f t="shared" si="406"/>
        <v>#NUM!</v>
      </c>
      <c r="DO211" s="112" t="e">
        <f t="shared" si="407"/>
        <v>#NUM!</v>
      </c>
      <c r="DP211" s="112"/>
      <c r="DQ211" s="112"/>
    </row>
    <row r="212" spans="4:121" x14ac:dyDescent="0.25">
      <c r="D212" t="str">
        <f t="shared" si="396"/>
        <v/>
      </c>
      <c r="E212" s="112" t="str">
        <f t="shared" si="408"/>
        <v/>
      </c>
      <c r="F212" s="112" t="str">
        <f t="shared" si="408"/>
        <v/>
      </c>
      <c r="G212" s="112"/>
      <c r="H212" s="238">
        <f t="shared" si="397"/>
        <v>50</v>
      </c>
      <c r="AG212" s="238">
        <f>AG211</f>
        <v>58</v>
      </c>
      <c r="AH212" s="112">
        <f ca="1">AI211+1</f>
        <v>42736</v>
      </c>
      <c r="AI212" s="112">
        <f ca="1">IF(INDIRECT(CONCATENATE("AD",AG210))&lt;100000,INDIRECT(CONCATENATE("AD",AG210))-1,IF(INDIRECT(CONCATENATE("AE",AG210))&lt;100000,INDIRECT(CONCATENATE("AE",G210)),INDIRECT(CONCATENATE("AF",AG210))))</f>
        <v>42781</v>
      </c>
      <c r="AJ212" s="112">
        <f t="shared" ca="1" si="402"/>
        <v>42781</v>
      </c>
      <c r="AK212" s="112">
        <f t="shared" ca="1" si="405"/>
        <v>42781</v>
      </c>
      <c r="AL212" s="238">
        <f t="shared" ca="1" si="403"/>
        <v>1</v>
      </c>
      <c r="AM212" s="112">
        <f t="shared" ca="1" si="401"/>
        <v>42736</v>
      </c>
      <c r="AN212" s="112">
        <f t="shared" ca="1" si="381"/>
        <v>42781</v>
      </c>
      <c r="AO212" s="114">
        <f t="shared" ca="1" si="377"/>
        <v>18</v>
      </c>
      <c r="AP212" s="114">
        <f t="shared" ca="1" si="378"/>
        <v>24</v>
      </c>
      <c r="AR212" s="238">
        <f t="shared" si="380"/>
        <v>212</v>
      </c>
      <c r="AU212" s="238">
        <f t="shared" si="383"/>
        <v>193</v>
      </c>
      <c r="AV212" s="238"/>
      <c r="AW212" s="238"/>
      <c r="BB212">
        <f t="shared" si="398"/>
        <v>50</v>
      </c>
      <c r="BC212" s="112">
        <f t="shared" ca="1" si="394"/>
        <v>41184</v>
      </c>
      <c r="BD212" s="112"/>
      <c r="BE212" s="112">
        <f t="shared" ca="1" si="395"/>
        <v>41196</v>
      </c>
      <c r="BF212" s="112"/>
      <c r="BG212" s="112"/>
      <c r="BH212" s="112"/>
      <c r="CM212" s="112"/>
      <c r="CN212" s="112"/>
      <c r="CQ212" s="112"/>
      <c r="CR212" s="112"/>
      <c r="CS212" s="112"/>
      <c r="CT212" s="112"/>
      <c r="CU212" s="112"/>
      <c r="CV212" s="112"/>
      <c r="CW212" s="112"/>
      <c r="CX212" s="112" t="s">
        <v>224</v>
      </c>
      <c r="CY212" s="112" t="s">
        <v>225</v>
      </c>
      <c r="CZ212" s="112" t="s">
        <v>226</v>
      </c>
      <c r="DA212" s="112" t="s">
        <v>227</v>
      </c>
      <c r="DB212" s="112" t="s">
        <v>228</v>
      </c>
      <c r="DC212" s="112"/>
      <c r="DD212" s="112"/>
      <c r="DE212" s="238"/>
      <c r="DF212" s="112"/>
      <c r="DG212" s="112"/>
      <c r="DH212" s="112"/>
      <c r="DI212" s="112"/>
      <c r="DJ212" s="112"/>
      <c r="DK212" s="112">
        <f t="shared" si="388"/>
        <v>100000</v>
      </c>
      <c r="DL212" s="112"/>
      <c r="DM212" s="112"/>
      <c r="DN212" s="112" t="e">
        <f t="shared" si="406"/>
        <v>#NUM!</v>
      </c>
      <c r="DO212" s="112" t="e">
        <f t="shared" si="407"/>
        <v>#NUM!</v>
      </c>
      <c r="DP212" s="112"/>
      <c r="DQ212" s="112"/>
    </row>
    <row r="213" spans="4:121" x14ac:dyDescent="0.25">
      <c r="D213" t="str">
        <f t="shared" si="396"/>
        <v/>
      </c>
      <c r="E213" s="112" t="str">
        <f t="shared" si="408"/>
        <v/>
      </c>
      <c r="F213" s="112" t="str">
        <f t="shared" si="408"/>
        <v/>
      </c>
      <c r="G213" s="112"/>
      <c r="H213" s="238">
        <f t="shared" si="397"/>
        <v>51</v>
      </c>
      <c r="AG213" s="238">
        <f>AG212</f>
        <v>58</v>
      </c>
      <c r="AH213" s="112">
        <f ca="1">AI212+1</f>
        <v>42782</v>
      </c>
      <c r="AI213" s="112">
        <f ca="1">IF(INDIRECT(CONCATENATE("AE",AG210))&lt;100000,INDIRECT(CONCATENATE("AE",G210)),INDIRECT(CONCATENATE("AF",AG210)))</f>
        <v>42978</v>
      </c>
      <c r="AJ213" s="112">
        <f t="shared" ca="1" si="402"/>
        <v>42978</v>
      </c>
      <c r="AK213" s="112">
        <f t="shared" ca="1" si="405"/>
        <v>42978</v>
      </c>
      <c r="AL213" s="238">
        <f t="shared" ca="1" si="403"/>
        <v>1</v>
      </c>
      <c r="AM213" s="112">
        <f t="shared" ca="1" si="401"/>
        <v>42782</v>
      </c>
      <c r="AN213" s="112">
        <f t="shared" ca="1" si="381"/>
        <v>42978</v>
      </c>
      <c r="AO213" s="114">
        <f t="shared" ref="AO213:AO276" ca="1" si="409">INDIRECT(CONCATENATE("i",AG213))</f>
        <v>18</v>
      </c>
      <c r="AP213" s="114">
        <f t="shared" ref="AP213:AP276" ca="1" si="410">INDIRECT(CONCATENATE("J",AG213))</f>
        <v>24</v>
      </c>
      <c r="AR213" s="238">
        <f t="shared" si="380"/>
        <v>213</v>
      </c>
      <c r="AU213" s="238">
        <f t="shared" si="383"/>
        <v>194</v>
      </c>
      <c r="AV213" s="238"/>
      <c r="AW213" s="238"/>
      <c r="BB213">
        <f t="shared" si="398"/>
        <v>51</v>
      </c>
      <c r="BC213" s="112">
        <f t="shared" ca="1" si="394"/>
        <v>41197</v>
      </c>
      <c r="BD213" s="112"/>
      <c r="BE213" s="112">
        <f t="shared" ca="1" si="395"/>
        <v>41239</v>
      </c>
      <c r="BF213" s="112"/>
      <c r="BG213" s="112"/>
      <c r="BH213" s="112"/>
      <c r="CM213" s="112"/>
      <c r="CN213" s="112"/>
      <c r="CQ213" s="112"/>
      <c r="CR213" s="112"/>
      <c r="CS213" s="112"/>
      <c r="CT213" s="112"/>
      <c r="CU213" s="112"/>
      <c r="CV213" s="112"/>
      <c r="CW213" s="112"/>
      <c r="CX213" s="112" t="s">
        <v>224</v>
      </c>
      <c r="CY213" s="112" t="s">
        <v>225</v>
      </c>
      <c r="CZ213" s="112" t="s">
        <v>226</v>
      </c>
      <c r="DA213" s="112" t="s">
        <v>227</v>
      </c>
      <c r="DB213" s="112" t="s">
        <v>228</v>
      </c>
      <c r="DC213" s="112"/>
      <c r="DD213" s="112"/>
      <c r="DE213" s="238"/>
      <c r="DF213" s="112"/>
      <c r="DG213" s="112"/>
      <c r="DH213" s="112"/>
      <c r="DI213" s="112"/>
      <c r="DJ213" s="112"/>
      <c r="DK213" s="112">
        <f t="shared" ref="DK213:DK276" si="411">IF(AND(DG213&gt;1000,DG213&lt;80000),DG213,100000)</f>
        <v>100000</v>
      </c>
      <c r="DL213" s="112"/>
      <c r="DM213" s="112"/>
      <c r="DN213" s="112" t="e">
        <f t="shared" ref="DN213:DN233" si="412">SMALL($DG$20:$DG$343,DM213)</f>
        <v>#NUM!</v>
      </c>
      <c r="DO213" s="112" t="e">
        <f t="shared" ref="DO213:DO226" si="413">VLOOKUP(DN213,$DG$20:$DH$343,2,)</f>
        <v>#NUM!</v>
      </c>
      <c r="DP213" s="112"/>
      <c r="DQ213" s="112"/>
    </row>
    <row r="214" spans="4:121" x14ac:dyDescent="0.25">
      <c r="D214" t="str">
        <f t="shared" si="396"/>
        <v/>
      </c>
      <c r="E214" s="112" t="str">
        <f t="shared" si="408"/>
        <v/>
      </c>
      <c r="F214" s="112" t="str">
        <f t="shared" si="408"/>
        <v/>
      </c>
      <c r="G214" s="112"/>
      <c r="H214" s="238">
        <f t="shared" si="397"/>
        <v>52</v>
      </c>
      <c r="AG214" s="238">
        <f>AG213</f>
        <v>58</v>
      </c>
      <c r="AH214" s="112">
        <f ca="1">AI213+1</f>
        <v>42979</v>
      </c>
      <c r="AI214" s="112">
        <f ca="1">INDIRECT(CONCATENATE("AF",AG210))</f>
        <v>42978</v>
      </c>
      <c r="AJ214" s="112">
        <f t="shared" ca="1" si="402"/>
        <v>42978</v>
      </c>
      <c r="AK214" s="112">
        <f t="shared" ca="1" si="405"/>
        <v>42978</v>
      </c>
      <c r="AL214" s="238">
        <f t="shared" ca="1" si="403"/>
        <v>0</v>
      </c>
      <c r="AM214" s="112">
        <f t="shared" ca="1" si="401"/>
        <v>100000</v>
      </c>
      <c r="AN214" s="112">
        <f t="shared" ca="1" si="381"/>
        <v>100000</v>
      </c>
      <c r="AO214" s="114">
        <f t="shared" ca="1" si="409"/>
        <v>18</v>
      </c>
      <c r="AP214" s="114">
        <f t="shared" ca="1" si="410"/>
        <v>24</v>
      </c>
      <c r="AR214" s="238">
        <f t="shared" ref="AR214:AR277" si="414">AR213+1</f>
        <v>214</v>
      </c>
      <c r="AU214" s="238">
        <f t="shared" ref="AU214:AU277" si="415">AU213+1</f>
        <v>195</v>
      </c>
      <c r="AV214" s="238"/>
      <c r="AW214" s="238"/>
      <c r="BB214">
        <f t="shared" si="398"/>
        <v>52</v>
      </c>
      <c r="BC214" s="112">
        <f t="shared" ca="1" si="394"/>
        <v>41240</v>
      </c>
      <c r="BD214" s="112"/>
      <c r="CM214" s="112"/>
      <c r="CN214" s="112"/>
      <c r="CQ214" s="112"/>
      <c r="CR214" s="112"/>
      <c r="CS214" s="112"/>
      <c r="CT214" s="112"/>
      <c r="CU214" s="112"/>
      <c r="CV214" s="112"/>
      <c r="CW214" s="112"/>
      <c r="CX214" s="112" t="s">
        <v>224</v>
      </c>
      <c r="CY214" s="112" t="s">
        <v>225</v>
      </c>
      <c r="CZ214" s="112" t="s">
        <v>226</v>
      </c>
      <c r="DA214" s="112" t="s">
        <v>227</v>
      </c>
      <c r="DB214" s="112" t="s">
        <v>228</v>
      </c>
      <c r="DC214" s="112"/>
      <c r="DD214" s="112"/>
      <c r="DE214" s="238"/>
      <c r="DF214" s="112"/>
      <c r="DG214" s="112"/>
      <c r="DH214" s="112"/>
      <c r="DI214" s="112"/>
      <c r="DJ214" s="112"/>
      <c r="DK214" s="112">
        <f t="shared" si="411"/>
        <v>100000</v>
      </c>
      <c r="DL214" s="112"/>
      <c r="DM214" s="112"/>
      <c r="DN214" s="112" t="e">
        <f t="shared" si="412"/>
        <v>#NUM!</v>
      </c>
      <c r="DO214" s="112" t="e">
        <f t="shared" si="413"/>
        <v>#NUM!</v>
      </c>
      <c r="DP214" s="112"/>
      <c r="DQ214" s="112"/>
    </row>
    <row r="215" spans="4:121" x14ac:dyDescent="0.25">
      <c r="D215" t="str">
        <f t="shared" si="396"/>
        <v/>
      </c>
      <c r="E215" s="112" t="str">
        <f t="shared" si="408"/>
        <v/>
      </c>
      <c r="F215" s="112" t="str">
        <f t="shared" si="408"/>
        <v/>
      </c>
      <c r="G215" s="112"/>
      <c r="H215" s="238">
        <f t="shared" si="397"/>
        <v>53</v>
      </c>
      <c r="AG215" s="238">
        <f>AG214+1</f>
        <v>59</v>
      </c>
      <c r="AH215" s="112">
        <f ca="1">INDIRECT(CONCATENATE("AA",AG215))</f>
        <v>42979</v>
      </c>
      <c r="AI215" s="112">
        <f ca="1">IF(            INDIRECT(CONCATENATE( "AB",AG215))&lt;100000,       INDIRECT(CONCATENATE("AB",AG215))  -1,IF(   INDIRECT(CONCATENATE("AC",AG215))&lt;100000,   INDIRECT(CONCATENATE("AC",AG215))-1,IF(   INDIRECT(CONCATENATE("AD", AG215))&lt;100000, INDIRECT(CONCATENATE("AD",AG215))-1,IF(   INDIRECT(CONCATENATE("AE",AG215))&lt;100000,  INDIRECT(CONCATENATE("AE",G215)),INDIRECT(CONCATENATE("AF",AG215))                ))))</f>
        <v>43159</v>
      </c>
      <c r="AJ215" s="112">
        <f t="shared" ca="1" si="402"/>
        <v>43159</v>
      </c>
      <c r="AK215" s="112">
        <f t="shared" ca="1" si="405"/>
        <v>43159</v>
      </c>
      <c r="AL215" s="238">
        <f t="shared" ca="1" si="403"/>
        <v>1</v>
      </c>
      <c r="AM215" s="112">
        <f t="shared" ca="1" si="401"/>
        <v>42979</v>
      </c>
      <c r="AN215" s="112">
        <f t="shared" ref="AN215:AN278" ca="1" si="416">IF(AM215=100000,100000,AK215)</f>
        <v>43159</v>
      </c>
      <c r="AO215" s="114">
        <f t="shared" ca="1" si="409"/>
        <v>18</v>
      </c>
      <c r="AP215" s="114">
        <f t="shared" ca="1" si="410"/>
        <v>24</v>
      </c>
      <c r="AR215" s="238">
        <f t="shared" si="414"/>
        <v>215</v>
      </c>
      <c r="AU215" s="238">
        <f t="shared" si="415"/>
        <v>196</v>
      </c>
      <c r="AV215" s="238"/>
      <c r="AW215" s="238"/>
      <c r="BB215">
        <f t="shared" si="398"/>
        <v>53</v>
      </c>
      <c r="BC215" s="112">
        <f t="shared" ca="1" si="394"/>
        <v>41530</v>
      </c>
      <c r="BD215" s="112"/>
      <c r="CM215" s="112"/>
      <c r="CN215" s="112"/>
      <c r="CQ215" s="112"/>
      <c r="CR215" s="112"/>
      <c r="CS215" s="112"/>
      <c r="CT215" s="112"/>
      <c r="CU215" s="112"/>
      <c r="CV215" s="112"/>
      <c r="CW215" s="112"/>
      <c r="CX215" s="112" t="s">
        <v>224</v>
      </c>
      <c r="CY215" s="112" t="s">
        <v>225</v>
      </c>
      <c r="CZ215" s="112" t="s">
        <v>226</v>
      </c>
      <c r="DA215" s="112" t="s">
        <v>227</v>
      </c>
      <c r="DB215" s="112" t="s">
        <v>228</v>
      </c>
      <c r="DC215" s="112"/>
      <c r="DD215" s="112"/>
      <c r="DE215" s="238"/>
      <c r="DF215" s="112"/>
      <c r="DG215" s="112"/>
      <c r="DH215" s="112"/>
      <c r="DI215" s="112"/>
      <c r="DJ215" s="112"/>
      <c r="DK215" s="112">
        <f t="shared" si="411"/>
        <v>100000</v>
      </c>
      <c r="DL215" s="112"/>
      <c r="DM215" s="112"/>
      <c r="DN215" s="112" t="e">
        <f t="shared" si="412"/>
        <v>#NUM!</v>
      </c>
      <c r="DO215" s="112" t="e">
        <f t="shared" si="413"/>
        <v>#NUM!</v>
      </c>
      <c r="DP215" s="112"/>
      <c r="DQ215" s="112"/>
    </row>
    <row r="216" spans="4:121" x14ac:dyDescent="0.25">
      <c r="D216" t="str">
        <f t="shared" si="396"/>
        <v/>
      </c>
      <c r="E216" s="112" t="str">
        <f t="shared" si="408"/>
        <v/>
      </c>
      <c r="F216" s="112" t="str">
        <f t="shared" si="408"/>
        <v/>
      </c>
      <c r="H216" s="238">
        <f t="shared" si="397"/>
        <v>54</v>
      </c>
      <c r="AG216" s="238">
        <f>AG215</f>
        <v>59</v>
      </c>
      <c r="AH216" s="112">
        <f ca="1">AI215+1</f>
        <v>43160</v>
      </c>
      <c r="AI216" s="112">
        <f ca="1">IF(INDIRECT(CONCATENATE("AC",AG215))&lt;100000,INDIRECT(CONCATENATE("AC",AG215))-1,IF(INDIRECT(CONCATENATE("AD",AG215))&lt;100000,INDIRECT(CONCATENATE("AD",AG215))-1,IF(INDIRECT(CONCATENATE("AE",AG215))&lt;100000,INDIRECT(CONCATENATE("AE",G215)),INDIRECT(CONCATENATE("AF",AG215)))))</f>
        <v>43159</v>
      </c>
      <c r="AJ216" s="112">
        <f t="shared" ca="1" si="402"/>
        <v>43159</v>
      </c>
      <c r="AK216" s="112">
        <f t="shared" ca="1" si="405"/>
        <v>43159</v>
      </c>
      <c r="AL216" s="238">
        <f t="shared" ca="1" si="403"/>
        <v>0</v>
      </c>
      <c r="AM216" s="112">
        <f t="shared" ca="1" si="401"/>
        <v>100000</v>
      </c>
      <c r="AN216" s="112">
        <f t="shared" ca="1" si="416"/>
        <v>100000</v>
      </c>
      <c r="AO216" s="114">
        <f t="shared" ca="1" si="409"/>
        <v>18</v>
      </c>
      <c r="AP216" s="114">
        <f t="shared" ca="1" si="410"/>
        <v>24</v>
      </c>
      <c r="AR216" s="238">
        <f t="shared" si="414"/>
        <v>216</v>
      </c>
      <c r="AU216" s="238">
        <f t="shared" si="415"/>
        <v>197</v>
      </c>
      <c r="AV216" s="238"/>
      <c r="AW216" s="238"/>
      <c r="BB216">
        <f t="shared" si="398"/>
        <v>54</v>
      </c>
      <c r="BC216" s="112">
        <f t="shared" ca="1" si="394"/>
        <v>41915</v>
      </c>
      <c r="BD216" s="112"/>
      <c r="CM216" s="112"/>
      <c r="CN216" s="112"/>
      <c r="CQ216" s="112"/>
      <c r="CR216" s="112"/>
      <c r="CS216" s="112"/>
      <c r="CT216" s="112"/>
      <c r="CU216" s="112"/>
      <c r="CV216" s="112"/>
      <c r="CW216" s="112"/>
      <c r="CX216" s="112" t="s">
        <v>224</v>
      </c>
      <c r="CY216" s="112" t="s">
        <v>225</v>
      </c>
      <c r="CZ216" s="112" t="s">
        <v>226</v>
      </c>
      <c r="DA216" s="112" t="s">
        <v>227</v>
      </c>
      <c r="DB216" s="112" t="s">
        <v>228</v>
      </c>
      <c r="DC216" s="112"/>
      <c r="DD216" s="112"/>
      <c r="DE216" s="238"/>
      <c r="DF216" s="112"/>
      <c r="DG216" s="112"/>
      <c r="DH216" s="112"/>
      <c r="DI216" s="112"/>
      <c r="DJ216" s="112"/>
      <c r="DK216" s="112">
        <f t="shared" si="411"/>
        <v>100000</v>
      </c>
      <c r="DL216" s="112"/>
      <c r="DM216" s="112"/>
      <c r="DN216" s="112" t="e">
        <f t="shared" si="412"/>
        <v>#NUM!</v>
      </c>
      <c r="DO216" s="112" t="e">
        <f t="shared" si="413"/>
        <v>#NUM!</v>
      </c>
      <c r="DP216" s="112"/>
      <c r="DQ216" s="112"/>
    </row>
    <row r="217" spans="4:121" x14ac:dyDescent="0.25">
      <c r="D217" t="str">
        <f t="shared" si="396"/>
        <v/>
      </c>
      <c r="E217" s="112" t="str">
        <f t="shared" si="408"/>
        <v/>
      </c>
      <c r="F217" s="112" t="str">
        <f t="shared" si="408"/>
        <v/>
      </c>
      <c r="H217" s="238">
        <f t="shared" si="397"/>
        <v>55</v>
      </c>
      <c r="AG217" s="238">
        <f>AG216</f>
        <v>59</v>
      </c>
      <c r="AH217" s="112">
        <f ca="1">AI216+1</f>
        <v>43160</v>
      </c>
      <c r="AI217" s="112">
        <f ca="1">IF(INDIRECT(CONCATENATE("AD",AG215))&lt;100000,INDIRECT(CONCATENATE("AD",AG215))-1,IF(INDIRECT(CONCATENATE("AE",AG215))&lt;100000,INDIRECT(CONCATENATE("AE",G215)),INDIRECT(CONCATENATE("AF",AG215))))</f>
        <v>43190</v>
      </c>
      <c r="AJ217" s="112">
        <f t="shared" ca="1" si="402"/>
        <v>43190</v>
      </c>
      <c r="AK217" s="112">
        <f t="shared" ca="1" si="405"/>
        <v>43190</v>
      </c>
      <c r="AL217" s="238">
        <f t="shared" ca="1" si="403"/>
        <v>1</v>
      </c>
      <c r="AM217" s="112">
        <f t="shared" ca="1" si="401"/>
        <v>43160</v>
      </c>
      <c r="AN217" s="112">
        <f t="shared" ca="1" si="416"/>
        <v>43190</v>
      </c>
      <c r="AO217" s="114">
        <f t="shared" ca="1" si="409"/>
        <v>18</v>
      </c>
      <c r="AP217" s="114">
        <f t="shared" ca="1" si="410"/>
        <v>24</v>
      </c>
      <c r="AR217" s="238">
        <f t="shared" si="414"/>
        <v>217</v>
      </c>
      <c r="AU217" s="238">
        <f t="shared" si="415"/>
        <v>198</v>
      </c>
      <c r="AV217" s="238"/>
      <c r="AW217" s="238"/>
      <c r="BB217">
        <f t="shared" si="398"/>
        <v>55</v>
      </c>
      <c r="BC217" s="112">
        <f t="shared" ca="1" si="394"/>
        <v>42248</v>
      </c>
      <c r="BD217" s="112"/>
      <c r="CM217" s="112"/>
      <c r="CN217" s="112"/>
      <c r="CQ217" s="112"/>
      <c r="CR217" s="112"/>
      <c r="CS217" s="112"/>
      <c r="CT217" s="112"/>
      <c r="CU217" s="112"/>
      <c r="CV217" s="112"/>
      <c r="CW217" s="112"/>
      <c r="CX217" s="112" t="s">
        <v>224</v>
      </c>
      <c r="CY217" s="112" t="s">
        <v>225</v>
      </c>
      <c r="CZ217" s="112" t="s">
        <v>226</v>
      </c>
      <c r="DA217" s="112" t="s">
        <v>227</v>
      </c>
      <c r="DB217" s="112" t="s">
        <v>228</v>
      </c>
      <c r="DC217" s="112"/>
      <c r="DD217" s="112"/>
      <c r="DE217" s="238"/>
      <c r="DF217" s="112"/>
      <c r="DG217" s="112"/>
      <c r="DH217" s="112"/>
      <c r="DI217" s="112"/>
      <c r="DJ217" s="112"/>
      <c r="DK217" s="112">
        <f t="shared" si="411"/>
        <v>100000</v>
      </c>
      <c r="DL217" s="112"/>
      <c r="DM217" s="112"/>
      <c r="DN217" s="112" t="e">
        <f t="shared" si="412"/>
        <v>#NUM!</v>
      </c>
      <c r="DO217" s="112" t="e">
        <f t="shared" si="413"/>
        <v>#NUM!</v>
      </c>
      <c r="DP217" s="112"/>
      <c r="DQ217" s="112"/>
    </row>
    <row r="218" spans="4:121" x14ac:dyDescent="0.25">
      <c r="D218" t="str">
        <f t="shared" si="396"/>
        <v/>
      </c>
      <c r="E218" s="112" t="str">
        <f t="shared" si="408"/>
        <v/>
      </c>
      <c r="F218" s="112" t="str">
        <f t="shared" si="408"/>
        <v/>
      </c>
      <c r="H218" s="238">
        <f t="shared" si="397"/>
        <v>56</v>
      </c>
      <c r="AG218" s="238">
        <f>AG217</f>
        <v>59</v>
      </c>
      <c r="AH218" s="112">
        <f ca="1">AI217+1</f>
        <v>43191</v>
      </c>
      <c r="AI218" s="112">
        <f ca="1">IF(INDIRECT(CONCATENATE("AE",AG215))&lt;100000,INDIRECT(CONCATENATE("AE",G215)),INDIRECT(CONCATENATE("AF",AG215)))</f>
        <v>43343</v>
      </c>
      <c r="AJ218" s="112">
        <f t="shared" ca="1" si="402"/>
        <v>43343</v>
      </c>
      <c r="AK218" s="112">
        <f t="shared" ca="1" si="405"/>
        <v>43343</v>
      </c>
      <c r="AL218" s="238">
        <f t="shared" ca="1" si="403"/>
        <v>1</v>
      </c>
      <c r="AM218" s="112">
        <f t="shared" ca="1" si="401"/>
        <v>43191</v>
      </c>
      <c r="AN218" s="112">
        <f t="shared" ca="1" si="416"/>
        <v>43343</v>
      </c>
      <c r="AO218" s="114">
        <f t="shared" ca="1" si="409"/>
        <v>18</v>
      </c>
      <c r="AP218" s="114">
        <f t="shared" ca="1" si="410"/>
        <v>24</v>
      </c>
      <c r="AR218" s="238">
        <f t="shared" si="414"/>
        <v>218</v>
      </c>
      <c r="AU218" s="238">
        <f t="shared" si="415"/>
        <v>199</v>
      </c>
      <c r="AV218" s="238"/>
      <c r="AW218" s="238"/>
      <c r="BB218">
        <f t="shared" si="398"/>
        <v>56</v>
      </c>
      <c r="BC218" s="112">
        <f t="shared" ca="1" si="394"/>
        <v>42614</v>
      </c>
      <c r="BD218" s="112"/>
      <c r="CM218" s="112"/>
      <c r="CN218" s="112"/>
      <c r="CQ218" s="112"/>
      <c r="CR218" s="112"/>
      <c r="CS218" s="112"/>
      <c r="CT218" s="112"/>
      <c r="CU218" s="112"/>
      <c r="CV218" s="112"/>
      <c r="CW218" s="112"/>
      <c r="CX218" s="112" t="s">
        <v>224</v>
      </c>
      <c r="CY218" s="112" t="s">
        <v>225</v>
      </c>
      <c r="CZ218" s="112" t="s">
        <v>226</v>
      </c>
      <c r="DA218" s="112" t="s">
        <v>227</v>
      </c>
      <c r="DB218" s="112" t="s">
        <v>228</v>
      </c>
      <c r="DC218" s="112"/>
      <c r="DD218" s="112"/>
      <c r="DE218" s="238"/>
      <c r="DF218" s="112"/>
      <c r="DG218" s="112"/>
      <c r="DH218" s="112"/>
      <c r="DI218" s="112"/>
      <c r="DJ218" s="112"/>
      <c r="DK218" s="112">
        <f t="shared" si="411"/>
        <v>100000</v>
      </c>
      <c r="DL218" s="112"/>
      <c r="DM218" s="112"/>
      <c r="DN218" s="112" t="e">
        <f t="shared" si="412"/>
        <v>#NUM!</v>
      </c>
      <c r="DO218" s="112" t="e">
        <f t="shared" si="413"/>
        <v>#NUM!</v>
      </c>
      <c r="DP218" s="112"/>
      <c r="DQ218" s="112"/>
    </row>
    <row r="219" spans="4:121" x14ac:dyDescent="0.25">
      <c r="D219" t="str">
        <f t="shared" si="396"/>
        <v/>
      </c>
      <c r="E219" s="112" t="str">
        <f t="shared" si="408"/>
        <v/>
      </c>
      <c r="F219" s="112" t="str">
        <f t="shared" si="408"/>
        <v/>
      </c>
      <c r="H219" s="238">
        <f t="shared" si="397"/>
        <v>57</v>
      </c>
      <c r="AG219" s="238">
        <f>AG218</f>
        <v>59</v>
      </c>
      <c r="AH219" s="112">
        <f ca="1">AI218+1</f>
        <v>43344</v>
      </c>
      <c r="AI219" s="112">
        <f ca="1">INDIRECT(CONCATENATE("AF",AG215))</f>
        <v>43343</v>
      </c>
      <c r="AJ219" s="112">
        <f t="shared" ca="1" si="402"/>
        <v>43343</v>
      </c>
      <c r="AK219" s="112">
        <f t="shared" ca="1" si="405"/>
        <v>43343</v>
      </c>
      <c r="AL219" s="238">
        <f t="shared" ca="1" si="403"/>
        <v>0</v>
      </c>
      <c r="AM219" s="112">
        <f t="shared" ca="1" si="401"/>
        <v>100000</v>
      </c>
      <c r="AN219" s="112">
        <f t="shared" ca="1" si="416"/>
        <v>100000</v>
      </c>
      <c r="AO219" s="114">
        <f t="shared" ca="1" si="409"/>
        <v>18</v>
      </c>
      <c r="AP219" s="114">
        <f t="shared" ca="1" si="410"/>
        <v>24</v>
      </c>
      <c r="AR219" s="238">
        <f t="shared" si="414"/>
        <v>219</v>
      </c>
      <c r="AU219" s="238">
        <f t="shared" si="415"/>
        <v>200</v>
      </c>
      <c r="AV219" s="238"/>
      <c r="AW219" s="238"/>
      <c r="BB219">
        <f t="shared" si="398"/>
        <v>57</v>
      </c>
      <c r="BC219" s="112">
        <f t="shared" ca="1" si="394"/>
        <v>42979</v>
      </c>
      <c r="BD219" s="112"/>
      <c r="CM219" s="112"/>
      <c r="CN219" s="112"/>
      <c r="CQ219" s="112"/>
      <c r="CR219" s="112"/>
      <c r="CS219" s="112"/>
      <c r="CT219" s="112"/>
      <c r="CU219" s="112"/>
      <c r="CV219" s="112"/>
      <c r="CW219" s="112"/>
      <c r="CX219" s="112" t="s">
        <v>224</v>
      </c>
      <c r="CY219" s="112" t="s">
        <v>225</v>
      </c>
      <c r="CZ219" s="112" t="s">
        <v>226</v>
      </c>
      <c r="DA219" s="112" t="s">
        <v>227</v>
      </c>
      <c r="DB219" s="112" t="s">
        <v>228</v>
      </c>
      <c r="DC219" s="112"/>
      <c r="DD219" s="112"/>
      <c r="DE219" s="238"/>
      <c r="DF219" s="112"/>
      <c r="DG219" s="112"/>
      <c r="DH219" s="112"/>
      <c r="DI219" s="112"/>
      <c r="DJ219" s="112"/>
      <c r="DK219" s="112">
        <f t="shared" si="411"/>
        <v>100000</v>
      </c>
      <c r="DL219" s="112"/>
      <c r="DM219" s="112"/>
      <c r="DN219" s="112" t="e">
        <f t="shared" si="412"/>
        <v>#NUM!</v>
      </c>
      <c r="DO219" s="112" t="e">
        <f t="shared" si="413"/>
        <v>#NUM!</v>
      </c>
      <c r="DP219" s="112"/>
      <c r="DQ219" s="112"/>
    </row>
    <row r="220" spans="4:121" x14ac:dyDescent="0.25">
      <c r="D220" t="str">
        <f t="shared" si="396"/>
        <v/>
      </c>
      <c r="E220" s="112" t="str">
        <f t="shared" si="408"/>
        <v/>
      </c>
      <c r="F220" s="112" t="str">
        <f t="shared" si="408"/>
        <v/>
      </c>
      <c r="H220" s="238">
        <f t="shared" si="397"/>
        <v>58</v>
      </c>
      <c r="AG220" s="238">
        <f>AG219+1</f>
        <v>60</v>
      </c>
      <c r="AH220" s="112">
        <f ca="1">INDIRECT(CONCATENATE("AA",AG220))</f>
        <v>43344</v>
      </c>
      <c r="AI220" s="112">
        <f ca="1">IF(            INDIRECT(CONCATENATE( "AB",AG220))&lt;100000,       INDIRECT(CONCATENATE("AB",AG220))  -1,IF(   INDIRECT(CONCATENATE("AC",AG220))&lt;100000,   INDIRECT(CONCATENATE("AC",AG220))-1,IF(   INDIRECT(CONCATENATE("AD", AG220))&lt;100000, INDIRECT(CONCATENATE("AD",AG220))-1,IF(   INDIRECT(CONCATENATE("AE",AG220))&lt;100000,  INDIRECT(CONCATENATE("AE",G220)),INDIRECT(CONCATENATE("AF",AG220))                ))))</f>
        <v>43465</v>
      </c>
      <c r="AJ220" s="112">
        <f t="shared" ca="1" si="402"/>
        <v>43465</v>
      </c>
      <c r="AK220" s="112">
        <f t="shared" ca="1" si="405"/>
        <v>43465</v>
      </c>
      <c r="AL220" s="238">
        <f t="shared" ca="1" si="403"/>
        <v>1</v>
      </c>
      <c r="AM220" s="112">
        <f t="shared" ca="1" si="401"/>
        <v>43344</v>
      </c>
      <c r="AN220" s="112">
        <f t="shared" ca="1" si="416"/>
        <v>43465</v>
      </c>
      <c r="AO220" s="114">
        <f t="shared" ca="1" si="409"/>
        <v>18</v>
      </c>
      <c r="AP220" s="114">
        <f t="shared" ca="1" si="410"/>
        <v>24</v>
      </c>
      <c r="AR220" s="238">
        <f t="shared" si="414"/>
        <v>220</v>
      </c>
      <c r="AU220" s="238">
        <f t="shared" si="415"/>
        <v>201</v>
      </c>
      <c r="AV220" s="238"/>
      <c r="AW220" s="238"/>
      <c r="BB220">
        <f t="shared" si="398"/>
        <v>58</v>
      </c>
      <c r="BC220" s="112">
        <f t="shared" ca="1" si="394"/>
        <v>43344</v>
      </c>
      <c r="BD220" s="112"/>
      <c r="CM220" s="112"/>
      <c r="CN220" s="112"/>
      <c r="CQ220" s="112"/>
      <c r="CR220" s="112"/>
      <c r="CS220" s="112"/>
      <c r="CT220" s="112"/>
      <c r="CU220" s="112"/>
      <c r="CV220" s="112"/>
      <c r="CW220" s="112"/>
      <c r="CX220" s="112" t="s">
        <v>224</v>
      </c>
      <c r="CY220" s="112" t="s">
        <v>225</v>
      </c>
      <c r="CZ220" s="112" t="s">
        <v>226</v>
      </c>
      <c r="DA220" s="112" t="s">
        <v>227</v>
      </c>
      <c r="DB220" s="112" t="s">
        <v>228</v>
      </c>
      <c r="DC220" s="112"/>
      <c r="DD220" s="112"/>
      <c r="DE220" s="238"/>
      <c r="DF220" s="112"/>
      <c r="DG220" s="112"/>
      <c r="DH220" s="112"/>
      <c r="DI220" s="112"/>
      <c r="DJ220" s="112"/>
      <c r="DK220" s="112">
        <f t="shared" si="411"/>
        <v>100000</v>
      </c>
      <c r="DL220" s="112"/>
      <c r="DM220" s="112"/>
      <c r="DN220" s="112" t="e">
        <f t="shared" si="412"/>
        <v>#NUM!</v>
      </c>
      <c r="DO220" s="112" t="e">
        <f t="shared" si="413"/>
        <v>#NUM!</v>
      </c>
      <c r="DP220" s="112"/>
      <c r="DQ220" s="112"/>
    </row>
    <row r="221" spans="4:121" x14ac:dyDescent="0.25">
      <c r="D221" t="str">
        <f t="shared" si="396"/>
        <v/>
      </c>
      <c r="E221" s="112" t="str">
        <f t="shared" si="408"/>
        <v/>
      </c>
      <c r="F221" s="112" t="str">
        <f t="shared" si="408"/>
        <v/>
      </c>
      <c r="H221" s="238">
        <f t="shared" si="397"/>
        <v>59</v>
      </c>
      <c r="AG221" s="238">
        <f>AG220</f>
        <v>60</v>
      </c>
      <c r="AH221" s="112">
        <f ca="1">AI220+1</f>
        <v>43466</v>
      </c>
      <c r="AI221" s="112">
        <f ca="1">IF(INDIRECT(CONCATENATE("AC",AG220))&lt;100000,INDIRECT(CONCATENATE("AC",AG220))-1,IF(INDIRECT(CONCATENATE("AD",AG220))&lt;100000,INDIRECT(CONCATENATE("AD",AG220))-1,IF(INDIRECT(CONCATENATE("AE",AG220))&lt;100000,INDIRECT(CONCATENATE("AE",G220)),INDIRECT(CONCATENATE("AF",AG220)))))</f>
        <v>43465</v>
      </c>
      <c r="AJ221" s="112">
        <f t="shared" ca="1" si="402"/>
        <v>43465</v>
      </c>
      <c r="AK221" s="112">
        <f t="shared" ca="1" si="405"/>
        <v>43465</v>
      </c>
      <c r="AL221" s="238">
        <f t="shared" ca="1" si="403"/>
        <v>0</v>
      </c>
      <c r="AM221" s="112">
        <f t="shared" ca="1" si="401"/>
        <v>100000</v>
      </c>
      <c r="AN221" s="112">
        <f t="shared" ca="1" si="416"/>
        <v>100000</v>
      </c>
      <c r="AO221" s="114">
        <f t="shared" ca="1" si="409"/>
        <v>18</v>
      </c>
      <c r="AP221" s="114">
        <f t="shared" ca="1" si="410"/>
        <v>24</v>
      </c>
      <c r="AR221" s="238">
        <f t="shared" si="414"/>
        <v>221</v>
      </c>
      <c r="AU221" s="238">
        <f t="shared" si="415"/>
        <v>202</v>
      </c>
      <c r="AV221" s="238"/>
      <c r="AW221" s="238"/>
      <c r="BB221">
        <f t="shared" si="398"/>
        <v>59</v>
      </c>
      <c r="BC221" s="112">
        <f t="shared" ca="1" si="394"/>
        <v>43709</v>
      </c>
      <c r="BD221" s="112"/>
      <c r="CM221" s="112"/>
      <c r="CN221" s="112"/>
      <c r="CQ221" s="112"/>
      <c r="CR221" s="112"/>
      <c r="CS221" s="112"/>
      <c r="CT221" s="112"/>
      <c r="CU221" s="112"/>
      <c r="CV221" s="112"/>
      <c r="CW221" s="112"/>
      <c r="CX221" s="112" t="s">
        <v>224</v>
      </c>
      <c r="CY221" s="112" t="s">
        <v>225</v>
      </c>
      <c r="CZ221" s="112" t="s">
        <v>226</v>
      </c>
      <c r="DA221" s="112" t="s">
        <v>227</v>
      </c>
      <c r="DB221" s="112" t="s">
        <v>228</v>
      </c>
      <c r="DC221" s="112"/>
      <c r="DD221" s="112"/>
      <c r="DE221" s="238"/>
      <c r="DF221" s="112"/>
      <c r="DG221" s="112"/>
      <c r="DH221" s="112"/>
      <c r="DI221" s="112"/>
      <c r="DJ221" s="112"/>
      <c r="DK221" s="112">
        <f t="shared" si="411"/>
        <v>100000</v>
      </c>
      <c r="DL221" s="112"/>
      <c r="DM221" s="112"/>
      <c r="DN221" s="112" t="e">
        <f t="shared" si="412"/>
        <v>#NUM!</v>
      </c>
      <c r="DO221" s="112" t="e">
        <f t="shared" si="413"/>
        <v>#NUM!</v>
      </c>
      <c r="DP221" s="112"/>
      <c r="DQ221" s="112"/>
    </row>
    <row r="222" spans="4:121" x14ac:dyDescent="0.25">
      <c r="D222" t="str">
        <f t="shared" si="396"/>
        <v/>
      </c>
      <c r="E222" s="112" t="str">
        <f t="shared" si="408"/>
        <v/>
      </c>
      <c r="F222" s="112" t="str">
        <f t="shared" si="408"/>
        <v/>
      </c>
      <c r="H222" s="238">
        <f t="shared" si="397"/>
        <v>60</v>
      </c>
      <c r="AG222" s="238">
        <f>AG221</f>
        <v>60</v>
      </c>
      <c r="AH222" s="112">
        <f ca="1">AI221+1</f>
        <v>43466</v>
      </c>
      <c r="AI222" s="112">
        <f ca="1">IF(INDIRECT(CONCATENATE("AD",AG220))&lt;100000,INDIRECT(CONCATENATE("AD",AG220))-1,IF(INDIRECT(CONCATENATE("AE",AG220))&lt;100000,INDIRECT(CONCATENATE("AE",G220)),INDIRECT(CONCATENATE("AF",AG220))))</f>
        <v>43708</v>
      </c>
      <c r="AJ222" s="112">
        <f t="shared" ca="1" si="402"/>
        <v>43708</v>
      </c>
      <c r="AK222" s="112">
        <f t="shared" ca="1" si="405"/>
        <v>43708</v>
      </c>
      <c r="AL222" s="238">
        <f t="shared" ca="1" si="403"/>
        <v>1</v>
      </c>
      <c r="AM222" s="112">
        <f t="shared" ca="1" si="401"/>
        <v>43466</v>
      </c>
      <c r="AN222" s="112">
        <f t="shared" ca="1" si="416"/>
        <v>43708</v>
      </c>
      <c r="AO222" s="114">
        <f t="shared" ca="1" si="409"/>
        <v>18</v>
      </c>
      <c r="AP222" s="114">
        <f t="shared" ca="1" si="410"/>
        <v>24</v>
      </c>
      <c r="AR222" s="238">
        <f t="shared" si="414"/>
        <v>222</v>
      </c>
      <c r="AU222" s="238">
        <f t="shared" si="415"/>
        <v>203</v>
      </c>
      <c r="AV222" s="238"/>
      <c r="AW222" s="238"/>
      <c r="BB222">
        <f t="shared" si="398"/>
        <v>60</v>
      </c>
      <c r="BC222" s="112">
        <f t="shared" ca="1" si="394"/>
        <v>44075</v>
      </c>
      <c r="BD222" s="112"/>
      <c r="CM222" s="112"/>
      <c r="CN222" s="112"/>
      <c r="CQ222" s="112"/>
      <c r="CR222" s="112"/>
      <c r="CS222" s="112"/>
      <c r="CT222" s="112"/>
      <c r="CU222" s="112"/>
      <c r="CV222" s="112"/>
      <c r="CW222" s="112"/>
      <c r="CX222" s="112" t="s">
        <v>224</v>
      </c>
      <c r="CY222" s="112" t="s">
        <v>225</v>
      </c>
      <c r="CZ222" s="112" t="s">
        <v>226</v>
      </c>
      <c r="DA222" s="112" t="s">
        <v>227</v>
      </c>
      <c r="DB222" s="112" t="s">
        <v>228</v>
      </c>
      <c r="DC222" s="112"/>
      <c r="DD222" s="112"/>
      <c r="DE222" s="238"/>
      <c r="DF222" s="112"/>
      <c r="DG222" s="112"/>
      <c r="DH222" s="112"/>
      <c r="DI222" s="112"/>
      <c r="DJ222" s="112"/>
      <c r="DK222" s="112">
        <f t="shared" si="411"/>
        <v>100000</v>
      </c>
      <c r="DL222" s="112"/>
      <c r="DM222" s="112"/>
      <c r="DN222" s="112" t="e">
        <f t="shared" si="412"/>
        <v>#NUM!</v>
      </c>
      <c r="DO222" s="112" t="e">
        <f t="shared" si="413"/>
        <v>#NUM!</v>
      </c>
      <c r="DP222" s="112"/>
      <c r="DQ222" s="112"/>
    </row>
    <row r="223" spans="4:121" x14ac:dyDescent="0.25">
      <c r="D223" t="str">
        <f t="shared" si="396"/>
        <v/>
      </c>
      <c r="E223" s="112" t="str">
        <f t="shared" ref="E223:F242" si="417">IF(F80=0,100000,F80)</f>
        <v/>
      </c>
      <c r="F223" s="112" t="str">
        <f t="shared" si="417"/>
        <v/>
      </c>
      <c r="H223" s="238">
        <f t="shared" si="397"/>
        <v>61</v>
      </c>
      <c r="AG223" s="238">
        <f>AG222</f>
        <v>60</v>
      </c>
      <c r="AH223" s="112">
        <f ca="1">AI222+1</f>
        <v>43709</v>
      </c>
      <c r="AI223" s="112">
        <f ca="1">IF(INDIRECT(CONCATENATE("AE",AG220))&lt;100000,INDIRECT(CONCATENATE("AE",G220)),INDIRECT(CONCATENATE("AF",AG220)))</f>
        <v>43708</v>
      </c>
      <c r="AJ223" s="112">
        <f t="shared" ca="1" si="402"/>
        <v>43708</v>
      </c>
      <c r="AK223" s="112">
        <f t="shared" ca="1" si="405"/>
        <v>43708</v>
      </c>
      <c r="AL223" s="238">
        <f t="shared" ca="1" si="403"/>
        <v>0</v>
      </c>
      <c r="AM223" s="112">
        <f t="shared" ca="1" si="401"/>
        <v>100000</v>
      </c>
      <c r="AN223" s="112">
        <f t="shared" ca="1" si="416"/>
        <v>100000</v>
      </c>
      <c r="AO223" s="114">
        <f t="shared" ca="1" si="409"/>
        <v>18</v>
      </c>
      <c r="AP223" s="114">
        <f t="shared" ca="1" si="410"/>
        <v>24</v>
      </c>
      <c r="AR223" s="238">
        <f t="shared" si="414"/>
        <v>223</v>
      </c>
      <c r="AU223" s="238">
        <f t="shared" si="415"/>
        <v>204</v>
      </c>
      <c r="AV223" s="238"/>
      <c r="AW223" s="238"/>
      <c r="BB223">
        <f t="shared" si="398"/>
        <v>61</v>
      </c>
      <c r="BC223" s="112">
        <f t="shared" ca="1" si="394"/>
        <v>44440</v>
      </c>
      <c r="BD223" s="112"/>
      <c r="CM223" s="112"/>
      <c r="CN223" s="112"/>
      <c r="CQ223" s="112"/>
      <c r="CR223" s="112"/>
      <c r="CS223" s="112"/>
      <c r="CT223" s="112"/>
      <c r="CU223" s="112"/>
      <c r="CV223" s="112"/>
      <c r="CW223" s="112"/>
      <c r="CX223" s="112" t="s">
        <v>224</v>
      </c>
      <c r="CY223" s="112" t="s">
        <v>225</v>
      </c>
      <c r="CZ223" s="112" t="s">
        <v>226</v>
      </c>
      <c r="DA223" s="112" t="s">
        <v>227</v>
      </c>
      <c r="DB223" s="112" t="s">
        <v>228</v>
      </c>
      <c r="DC223" s="112"/>
      <c r="DD223" s="112"/>
      <c r="DE223" s="238"/>
      <c r="DF223" s="112"/>
      <c r="DG223" s="112"/>
      <c r="DH223" s="112"/>
      <c r="DI223" s="112"/>
      <c r="DJ223" s="112"/>
      <c r="DK223" s="112">
        <f t="shared" si="411"/>
        <v>100000</v>
      </c>
      <c r="DL223" s="112"/>
      <c r="DM223" s="112"/>
      <c r="DN223" s="112" t="e">
        <f t="shared" si="412"/>
        <v>#NUM!</v>
      </c>
      <c r="DO223" s="112" t="e">
        <f t="shared" si="413"/>
        <v>#NUM!</v>
      </c>
      <c r="DP223" s="112"/>
      <c r="DQ223" s="112"/>
    </row>
    <row r="224" spans="4:121" x14ac:dyDescent="0.25">
      <c r="D224" t="str">
        <f t="shared" si="396"/>
        <v/>
      </c>
      <c r="E224" s="112" t="str">
        <f t="shared" si="417"/>
        <v/>
      </c>
      <c r="F224" s="112" t="str">
        <f t="shared" si="417"/>
        <v/>
      </c>
      <c r="H224" s="238">
        <f t="shared" si="397"/>
        <v>62</v>
      </c>
      <c r="AG224" s="238">
        <f>AG223</f>
        <v>60</v>
      </c>
      <c r="AH224" s="112">
        <f ca="1">AI223+1</f>
        <v>43709</v>
      </c>
      <c r="AI224" s="112">
        <f ca="1">INDIRECT(CONCATENATE("AF",AG220))</f>
        <v>43708</v>
      </c>
      <c r="AJ224" s="112">
        <f t="shared" ca="1" si="402"/>
        <v>43708</v>
      </c>
      <c r="AK224" s="112">
        <f t="shared" ca="1" si="405"/>
        <v>43708</v>
      </c>
      <c r="AL224" s="238">
        <f t="shared" ca="1" si="403"/>
        <v>0</v>
      </c>
      <c r="AM224" s="112">
        <f t="shared" ca="1" si="401"/>
        <v>100000</v>
      </c>
      <c r="AN224" s="112">
        <f t="shared" ca="1" si="416"/>
        <v>100000</v>
      </c>
      <c r="AO224" s="114">
        <f t="shared" ca="1" si="409"/>
        <v>18</v>
      </c>
      <c r="AP224" s="114">
        <f t="shared" ca="1" si="410"/>
        <v>24</v>
      </c>
      <c r="AR224" s="238">
        <f t="shared" si="414"/>
        <v>224</v>
      </c>
      <c r="AU224" s="238">
        <f t="shared" si="415"/>
        <v>205</v>
      </c>
      <c r="AV224" s="238"/>
      <c r="AW224" s="238"/>
      <c r="BB224">
        <f t="shared" si="398"/>
        <v>62</v>
      </c>
      <c r="BC224" s="112">
        <f t="shared" ca="1" si="394"/>
        <v>100000</v>
      </c>
      <c r="BD224" s="112"/>
      <c r="CM224" s="112"/>
      <c r="CN224" s="112"/>
      <c r="CQ224" s="112"/>
      <c r="CR224" s="112"/>
      <c r="CS224" s="112"/>
      <c r="CT224" s="112"/>
      <c r="CU224" s="112"/>
      <c r="CV224" s="112"/>
      <c r="CW224" s="112"/>
      <c r="CX224" s="112" t="s">
        <v>224</v>
      </c>
      <c r="CY224" s="112" t="s">
        <v>225</v>
      </c>
      <c r="CZ224" s="112" t="s">
        <v>226</v>
      </c>
      <c r="DA224" s="112" t="s">
        <v>227</v>
      </c>
      <c r="DB224" s="112" t="s">
        <v>228</v>
      </c>
      <c r="DC224" s="112"/>
      <c r="DD224" s="112"/>
      <c r="DE224" s="238"/>
      <c r="DF224" s="112"/>
      <c r="DG224" s="112"/>
      <c r="DH224" s="112"/>
      <c r="DI224" s="112"/>
      <c r="DJ224" s="112"/>
      <c r="DK224" s="112">
        <f t="shared" si="411"/>
        <v>100000</v>
      </c>
      <c r="DL224" s="112"/>
      <c r="DM224" s="112"/>
      <c r="DN224" s="112" t="e">
        <f t="shared" si="412"/>
        <v>#NUM!</v>
      </c>
      <c r="DO224" s="112" t="e">
        <f t="shared" si="413"/>
        <v>#NUM!</v>
      </c>
      <c r="DP224" s="112"/>
      <c r="DQ224" s="112"/>
    </row>
    <row r="225" spans="4:121" x14ac:dyDescent="0.25">
      <c r="D225" t="str">
        <f t="shared" si="396"/>
        <v/>
      </c>
      <c r="E225" s="112" t="str">
        <f t="shared" si="417"/>
        <v/>
      </c>
      <c r="F225" s="112" t="str">
        <f t="shared" si="417"/>
        <v/>
      </c>
      <c r="H225" s="238">
        <f t="shared" si="397"/>
        <v>63</v>
      </c>
      <c r="AG225" s="238">
        <f>AG224+1</f>
        <v>61</v>
      </c>
      <c r="AH225" s="112">
        <f ca="1">INDIRECT(CONCATENATE("AA",AG225))</f>
        <v>43709</v>
      </c>
      <c r="AI225" s="112">
        <f ca="1">IF(            INDIRECT(CONCATENATE( "AB",AG225))&lt;100000,       INDIRECT(CONCATENATE("AB",AG225))  -1,IF(   INDIRECT(CONCATENATE("AC",AG225))&lt;100000,   INDIRECT(CONCATENATE("AC",AG225))-1,IF(   INDIRECT(CONCATENATE("AD", AG225))&lt;100000, INDIRECT(CONCATENATE("AD",AG225))-1,IF(   INDIRECT(CONCATENATE("AE",AG225))&lt;100000,  INDIRECT(CONCATENATE("AE",G225)),INDIRECT(CONCATENATE("AF",AG225))                ))))</f>
        <v>43830</v>
      </c>
      <c r="AJ225" s="112">
        <f t="shared" ca="1" si="402"/>
        <v>43830</v>
      </c>
      <c r="AK225" s="112">
        <f t="shared" ca="1" si="405"/>
        <v>43830</v>
      </c>
      <c r="AL225" s="238">
        <f t="shared" ca="1" si="403"/>
        <v>1</v>
      </c>
      <c r="AM225" s="112">
        <f t="shared" ca="1" si="401"/>
        <v>43709</v>
      </c>
      <c r="AN225" s="112">
        <f t="shared" ca="1" si="416"/>
        <v>43830</v>
      </c>
      <c r="AO225" s="114">
        <f t="shared" ca="1" si="409"/>
        <v>18</v>
      </c>
      <c r="AP225" s="114">
        <f t="shared" ca="1" si="410"/>
        <v>24</v>
      </c>
      <c r="AR225" s="238">
        <f t="shared" si="414"/>
        <v>225</v>
      </c>
      <c r="AU225" s="238">
        <f t="shared" si="415"/>
        <v>206</v>
      </c>
      <c r="AV225" s="238"/>
      <c r="AW225" s="238"/>
      <c r="BB225">
        <f t="shared" si="398"/>
        <v>63</v>
      </c>
      <c r="BC225" s="112">
        <f t="shared" ca="1" si="394"/>
        <v>100000</v>
      </c>
      <c r="BD225" s="112"/>
      <c r="CM225" s="112"/>
      <c r="CN225" s="112"/>
      <c r="CQ225" s="112"/>
      <c r="CR225" s="112"/>
      <c r="CS225" s="112"/>
      <c r="CT225" s="112"/>
      <c r="CU225" s="112"/>
      <c r="CV225" s="112"/>
      <c r="CW225" s="112"/>
      <c r="CX225" s="112" t="s">
        <v>224</v>
      </c>
      <c r="CY225" s="112" t="s">
        <v>225</v>
      </c>
      <c r="CZ225" s="112" t="s">
        <v>226</v>
      </c>
      <c r="DA225" s="112" t="s">
        <v>227</v>
      </c>
      <c r="DB225" s="112" t="s">
        <v>228</v>
      </c>
      <c r="DC225" s="112"/>
      <c r="DD225" s="112"/>
      <c r="DE225" s="238"/>
      <c r="DF225" s="112"/>
      <c r="DG225" s="112"/>
      <c r="DH225" s="112"/>
      <c r="DI225" s="112"/>
      <c r="DJ225" s="112"/>
      <c r="DK225" s="112">
        <f t="shared" si="411"/>
        <v>100000</v>
      </c>
      <c r="DL225" s="112"/>
      <c r="DM225" s="112"/>
      <c r="DN225" s="112" t="e">
        <f t="shared" si="412"/>
        <v>#NUM!</v>
      </c>
      <c r="DO225" s="112" t="e">
        <f t="shared" si="413"/>
        <v>#NUM!</v>
      </c>
      <c r="DP225" s="112"/>
      <c r="DQ225" s="112"/>
    </row>
    <row r="226" spans="4:121" x14ac:dyDescent="0.25">
      <c r="D226" t="str">
        <f t="shared" si="396"/>
        <v/>
      </c>
      <c r="E226" s="112" t="str">
        <f t="shared" si="417"/>
        <v/>
      </c>
      <c r="F226" s="112" t="str">
        <f t="shared" si="417"/>
        <v/>
      </c>
      <c r="H226" s="238">
        <f t="shared" si="397"/>
        <v>64</v>
      </c>
      <c r="AG226" s="238">
        <f>AG225</f>
        <v>61</v>
      </c>
      <c r="AH226" s="112">
        <f ca="1">AI225+1</f>
        <v>43831</v>
      </c>
      <c r="AI226" s="112">
        <f ca="1">IF(INDIRECT(CONCATENATE("AC",AG225))&lt;100000,INDIRECT(CONCATENATE("AC",AG225))-1,IF(INDIRECT(CONCATENATE("AD",AG225))&lt;100000,INDIRECT(CONCATENATE("AD",AG225))-1,IF(INDIRECT(CONCATENATE("AE",AG225))&lt;100000,INDIRECT(CONCATENATE("AE",G225)),INDIRECT(CONCATENATE("AF",AG225)))))</f>
        <v>43830</v>
      </c>
      <c r="AJ226" s="112">
        <f t="shared" ca="1" si="402"/>
        <v>43830</v>
      </c>
      <c r="AK226" s="112">
        <f t="shared" ca="1" si="405"/>
        <v>43830</v>
      </c>
      <c r="AL226" s="238">
        <f t="shared" ca="1" si="403"/>
        <v>0</v>
      </c>
      <c r="AM226" s="112">
        <f t="shared" ca="1" si="401"/>
        <v>100000</v>
      </c>
      <c r="AN226" s="112">
        <f t="shared" ca="1" si="416"/>
        <v>100000</v>
      </c>
      <c r="AO226" s="114">
        <f t="shared" ca="1" si="409"/>
        <v>18</v>
      </c>
      <c r="AP226" s="114">
        <f t="shared" ca="1" si="410"/>
        <v>24</v>
      </c>
      <c r="AR226" s="238">
        <f t="shared" si="414"/>
        <v>226</v>
      </c>
      <c r="AU226" s="238">
        <f t="shared" si="415"/>
        <v>207</v>
      </c>
      <c r="AV226" s="238"/>
      <c r="AW226" s="238"/>
      <c r="BB226">
        <f t="shared" si="398"/>
        <v>64</v>
      </c>
      <c r="BC226" s="112">
        <f t="shared" ca="1" si="394"/>
        <v>100000</v>
      </c>
      <c r="BD226" s="112"/>
      <c r="CM226" s="112"/>
      <c r="CN226" s="112"/>
      <c r="CQ226" s="112"/>
      <c r="CR226" s="112"/>
      <c r="CS226" s="112"/>
      <c r="CT226" s="112"/>
      <c r="CU226" s="112"/>
      <c r="CV226" s="112"/>
      <c r="CW226" s="112"/>
      <c r="CX226" s="112" t="s">
        <v>224</v>
      </c>
      <c r="CY226" s="112" t="s">
        <v>225</v>
      </c>
      <c r="CZ226" s="112" t="s">
        <v>226</v>
      </c>
      <c r="DA226" s="112" t="s">
        <v>227</v>
      </c>
      <c r="DB226" s="112" t="s">
        <v>228</v>
      </c>
      <c r="DC226" s="112"/>
      <c r="DD226" s="112"/>
      <c r="DE226" s="238"/>
      <c r="DF226" s="112"/>
      <c r="DG226" s="112"/>
      <c r="DH226" s="112"/>
      <c r="DI226" s="112"/>
      <c r="DJ226" s="112"/>
      <c r="DK226" s="112">
        <f t="shared" si="411"/>
        <v>100000</v>
      </c>
      <c r="DL226" s="112"/>
      <c r="DM226" s="112"/>
      <c r="DN226" s="112" t="e">
        <f t="shared" si="412"/>
        <v>#NUM!</v>
      </c>
      <c r="DO226" s="112" t="e">
        <f t="shared" si="413"/>
        <v>#NUM!</v>
      </c>
      <c r="DP226" s="112"/>
      <c r="DQ226" s="112"/>
    </row>
    <row r="227" spans="4:121" x14ac:dyDescent="0.25">
      <c r="D227" t="str">
        <f t="shared" si="396"/>
        <v/>
      </c>
      <c r="E227" s="112" t="str">
        <f t="shared" si="417"/>
        <v/>
      </c>
      <c r="F227" s="112" t="str">
        <f t="shared" si="417"/>
        <v/>
      </c>
      <c r="AG227" s="238">
        <f>AG226</f>
        <v>61</v>
      </c>
      <c r="AH227" s="112">
        <f ca="1">AI226+1</f>
        <v>43831</v>
      </c>
      <c r="AI227" s="112">
        <f ca="1">IF(INDIRECT(CONCATENATE("AD",AG225))&lt;100000,INDIRECT(CONCATENATE("AD",AG225))-1,IF(INDIRECT(CONCATENATE("AE",AG225))&lt;100000,INDIRECT(CONCATENATE("AE",G225)),INDIRECT(CONCATENATE("AF",AG225))))</f>
        <v>44074</v>
      </c>
      <c r="AJ227" s="112">
        <f t="shared" ca="1" si="402"/>
        <v>44074</v>
      </c>
      <c r="AK227" s="112">
        <f t="shared" ca="1" si="405"/>
        <v>44074</v>
      </c>
      <c r="AL227" s="238">
        <f t="shared" ca="1" si="403"/>
        <v>1</v>
      </c>
      <c r="AM227" s="112">
        <f t="shared" ca="1" si="401"/>
        <v>43831</v>
      </c>
      <c r="AN227" s="112">
        <f t="shared" ca="1" si="416"/>
        <v>44074</v>
      </c>
      <c r="AO227" s="114">
        <f t="shared" ca="1" si="409"/>
        <v>18</v>
      </c>
      <c r="AP227" s="114">
        <f t="shared" ca="1" si="410"/>
        <v>24</v>
      </c>
      <c r="AR227" s="238">
        <f t="shared" si="414"/>
        <v>227</v>
      </c>
      <c r="AU227" s="238">
        <f t="shared" si="415"/>
        <v>208</v>
      </c>
      <c r="AV227" s="238"/>
      <c r="AW227" s="238"/>
      <c r="BB227">
        <f t="shared" si="398"/>
        <v>65</v>
      </c>
      <c r="BC227" s="112">
        <f t="shared" ca="1" si="394"/>
        <v>100000</v>
      </c>
      <c r="BD227" s="112"/>
      <c r="CM227" s="112"/>
      <c r="CN227" s="112"/>
      <c r="CQ227" s="112"/>
      <c r="CR227" s="112"/>
      <c r="CS227" s="112"/>
      <c r="CT227" s="112"/>
      <c r="CU227" s="112"/>
      <c r="CV227" s="112"/>
      <c r="CW227" s="112"/>
      <c r="CX227" s="112" t="s">
        <v>224</v>
      </c>
      <c r="CY227" s="112" t="s">
        <v>225</v>
      </c>
      <c r="CZ227" s="112" t="s">
        <v>226</v>
      </c>
      <c r="DA227" s="112" t="s">
        <v>227</v>
      </c>
      <c r="DB227" s="112" t="s">
        <v>228</v>
      </c>
      <c r="DC227" s="112"/>
      <c r="DD227" s="112"/>
      <c r="DE227" s="238"/>
      <c r="DF227" s="112"/>
      <c r="DG227" s="112"/>
      <c r="DH227" s="112"/>
      <c r="DI227" s="112"/>
      <c r="DJ227" s="112"/>
      <c r="DK227" s="112">
        <f t="shared" si="411"/>
        <v>100000</v>
      </c>
      <c r="DL227" s="112"/>
      <c r="DM227" s="112"/>
      <c r="DN227" s="112" t="e">
        <f t="shared" si="412"/>
        <v>#NUM!</v>
      </c>
      <c r="DO227" s="112"/>
      <c r="DP227" s="112"/>
      <c r="DQ227" s="112"/>
    </row>
    <row r="228" spans="4:121" x14ac:dyDescent="0.25">
      <c r="D228" t="str">
        <f t="shared" si="396"/>
        <v/>
      </c>
      <c r="E228" s="112" t="str">
        <f t="shared" si="417"/>
        <v/>
      </c>
      <c r="F228" s="112" t="str">
        <f t="shared" si="417"/>
        <v/>
      </c>
      <c r="AG228" s="238">
        <f>AG227</f>
        <v>61</v>
      </c>
      <c r="AH228" s="112">
        <f ca="1">AI227+1</f>
        <v>44075</v>
      </c>
      <c r="AI228" s="112">
        <f ca="1">IF(INDIRECT(CONCATENATE("AE",AG225))&lt;100000,INDIRECT(CONCATENATE("AE",G225)),INDIRECT(CONCATENATE("AF",AG225)))</f>
        <v>44074</v>
      </c>
      <c r="AJ228" s="112">
        <f t="shared" ca="1" si="402"/>
        <v>44074</v>
      </c>
      <c r="AK228" s="112">
        <f t="shared" ca="1" si="405"/>
        <v>44074</v>
      </c>
      <c r="AL228" s="238">
        <f t="shared" ca="1" si="403"/>
        <v>0</v>
      </c>
      <c r="AM228" s="112">
        <f t="shared" ca="1" si="401"/>
        <v>100000</v>
      </c>
      <c r="AN228" s="112">
        <f t="shared" ca="1" si="416"/>
        <v>100000</v>
      </c>
      <c r="AO228" s="114">
        <f t="shared" ca="1" si="409"/>
        <v>18</v>
      </c>
      <c r="AP228" s="114">
        <f t="shared" ca="1" si="410"/>
        <v>24</v>
      </c>
      <c r="AR228" s="238">
        <f t="shared" si="414"/>
        <v>228</v>
      </c>
      <c r="AU228" s="238">
        <f t="shared" si="415"/>
        <v>209</v>
      </c>
      <c r="AV228" s="238"/>
      <c r="AW228" s="238"/>
      <c r="BB228">
        <f t="shared" si="398"/>
        <v>66</v>
      </c>
      <c r="BC228" s="112">
        <f t="shared" ref="BC228:BC248" ca="1" si="418">SMALL($E$163:$E$283,BB228)</f>
        <v>100000</v>
      </c>
      <c r="BD228" s="112"/>
      <c r="CM228" s="112"/>
      <c r="CN228" s="112"/>
      <c r="CQ228" s="112"/>
      <c r="CR228" s="112"/>
      <c r="CS228" s="112"/>
      <c r="CT228" s="112"/>
      <c r="CU228" s="112"/>
      <c r="CV228" s="112"/>
      <c r="CW228" s="112"/>
      <c r="CX228" s="112" t="s">
        <v>224</v>
      </c>
      <c r="CY228" s="112" t="s">
        <v>225</v>
      </c>
      <c r="CZ228" s="112" t="s">
        <v>226</v>
      </c>
      <c r="DA228" s="112" t="s">
        <v>227</v>
      </c>
      <c r="DB228" s="112" t="s">
        <v>228</v>
      </c>
      <c r="DC228" s="112"/>
      <c r="DD228" s="112"/>
      <c r="DE228" s="238"/>
      <c r="DF228" s="112"/>
      <c r="DG228" s="112"/>
      <c r="DH228" s="112"/>
      <c r="DI228" s="112"/>
      <c r="DJ228" s="112"/>
      <c r="DK228" s="112">
        <f t="shared" si="411"/>
        <v>100000</v>
      </c>
      <c r="DL228" s="112"/>
      <c r="DM228" s="112"/>
      <c r="DN228" s="112" t="e">
        <f t="shared" si="412"/>
        <v>#NUM!</v>
      </c>
      <c r="DO228" s="112"/>
      <c r="DP228" s="112"/>
      <c r="DQ228" s="112"/>
    </row>
    <row r="229" spans="4:121" x14ac:dyDescent="0.25">
      <c r="D229" t="str">
        <f t="shared" ref="D229:D258" si="419">IF(E229&lt;100000,D228+1,"")</f>
        <v/>
      </c>
      <c r="E229" s="112" t="str">
        <f t="shared" si="417"/>
        <v/>
      </c>
      <c r="F229" s="112" t="str">
        <f t="shared" si="417"/>
        <v/>
      </c>
      <c r="AG229" s="238">
        <f>AG228</f>
        <v>61</v>
      </c>
      <c r="AH229" s="112">
        <f ca="1">AI228+1</f>
        <v>44075</v>
      </c>
      <c r="AI229" s="112">
        <f ca="1">INDIRECT(CONCATENATE("AF",AG225))</f>
        <v>44074</v>
      </c>
      <c r="AJ229" s="112">
        <f t="shared" ca="1" si="402"/>
        <v>44074</v>
      </c>
      <c r="AK229" s="112">
        <f t="shared" ca="1" si="405"/>
        <v>44074</v>
      </c>
      <c r="AL229" s="238">
        <f t="shared" ca="1" si="403"/>
        <v>0</v>
      </c>
      <c r="AM229" s="112">
        <f t="shared" ca="1" si="401"/>
        <v>100000</v>
      </c>
      <c r="AN229" s="112">
        <f t="shared" ca="1" si="416"/>
        <v>100000</v>
      </c>
      <c r="AO229" s="114">
        <f t="shared" ca="1" si="409"/>
        <v>18</v>
      </c>
      <c r="AP229" s="114">
        <f t="shared" ca="1" si="410"/>
        <v>24</v>
      </c>
      <c r="AR229" s="238">
        <f t="shared" si="414"/>
        <v>229</v>
      </c>
      <c r="AU229" s="238">
        <f t="shared" si="415"/>
        <v>210</v>
      </c>
      <c r="AV229" s="238"/>
      <c r="AW229" s="238"/>
      <c r="BB229">
        <f t="shared" ref="BB229:BB248" si="420">BB228+1</f>
        <v>67</v>
      </c>
      <c r="BC229" s="112">
        <f t="shared" ca="1" si="418"/>
        <v>100000</v>
      </c>
      <c r="BD229" s="112"/>
      <c r="CM229" s="112"/>
      <c r="CN229" s="112"/>
      <c r="CQ229" s="112"/>
      <c r="CR229" s="112"/>
      <c r="CS229" s="112"/>
      <c r="CT229" s="112"/>
      <c r="CU229" s="112"/>
      <c r="CV229" s="112"/>
      <c r="CW229" s="112"/>
      <c r="CX229" s="112" t="s">
        <v>224</v>
      </c>
      <c r="CY229" s="112" t="s">
        <v>225</v>
      </c>
      <c r="CZ229" s="112" t="s">
        <v>226</v>
      </c>
      <c r="DA229" s="112" t="s">
        <v>227</v>
      </c>
      <c r="DB229" s="112" t="s">
        <v>228</v>
      </c>
      <c r="DC229" s="112"/>
      <c r="DD229" s="112"/>
      <c r="DE229" s="238"/>
      <c r="DF229" s="112"/>
      <c r="DG229" s="112"/>
      <c r="DH229" s="112"/>
      <c r="DI229" s="112"/>
      <c r="DJ229" s="112"/>
      <c r="DK229" s="112">
        <f t="shared" si="411"/>
        <v>100000</v>
      </c>
      <c r="DL229" s="112"/>
      <c r="DM229" s="112"/>
      <c r="DN229" s="112" t="e">
        <f t="shared" si="412"/>
        <v>#NUM!</v>
      </c>
      <c r="DO229" s="112"/>
      <c r="DP229" s="112"/>
      <c r="DQ229" s="112"/>
    </row>
    <row r="230" spans="4:121" x14ac:dyDescent="0.25">
      <c r="D230" t="str">
        <f t="shared" si="419"/>
        <v/>
      </c>
      <c r="E230" s="112" t="str">
        <f t="shared" si="417"/>
        <v/>
      </c>
      <c r="F230" s="112" t="str">
        <f t="shared" si="417"/>
        <v/>
      </c>
      <c r="AG230" s="238">
        <f>AG229+1</f>
        <v>62</v>
      </c>
      <c r="AH230" s="112">
        <f ca="1">INDIRECT(CONCATENATE("AA",AG230))</f>
        <v>44075</v>
      </c>
      <c r="AI230" s="112">
        <f ca="1">IF(            INDIRECT(CONCATENATE( "AB",AG230))&lt;100000,       INDIRECT(CONCATENATE("AB",AG230))  -1,IF(   INDIRECT(CONCATENATE("AC",AG230))&lt;100000,   INDIRECT(CONCATENATE("AC",AG230))-1,IF(   INDIRECT(CONCATENATE("AD", AG230))&lt;100000, INDIRECT(CONCATENATE("AD",AG230))-1,IF(   INDIRECT(CONCATENATE("AE",AG230))&lt;100000,  INDIRECT(CONCATENATE("AE",G230)),INDIRECT(CONCATENATE("AF",AG230))                ))))</f>
        <v>44196</v>
      </c>
      <c r="AJ230" s="112">
        <f t="shared" ca="1" si="402"/>
        <v>44196</v>
      </c>
      <c r="AK230" s="112">
        <f t="shared" ca="1" si="405"/>
        <v>44196</v>
      </c>
      <c r="AL230" s="238">
        <f t="shared" ca="1" si="403"/>
        <v>1</v>
      </c>
      <c r="AM230" s="112">
        <f t="shared" ca="1" si="401"/>
        <v>44075</v>
      </c>
      <c r="AN230" s="112">
        <f t="shared" ca="1" si="416"/>
        <v>44196</v>
      </c>
      <c r="AO230" s="114">
        <f t="shared" ca="1" si="409"/>
        <v>18</v>
      </c>
      <c r="AP230" s="114">
        <f t="shared" ca="1" si="410"/>
        <v>24</v>
      </c>
      <c r="AR230" s="238">
        <f t="shared" si="414"/>
        <v>230</v>
      </c>
      <c r="AU230" s="238">
        <f t="shared" si="415"/>
        <v>211</v>
      </c>
      <c r="AV230" s="238"/>
      <c r="AW230" s="238"/>
      <c r="BB230">
        <f t="shared" si="420"/>
        <v>68</v>
      </c>
      <c r="BC230" s="112">
        <f t="shared" ca="1" si="418"/>
        <v>100000</v>
      </c>
      <c r="BD230" s="112"/>
      <c r="CM230" s="112"/>
      <c r="CN230" s="112"/>
      <c r="CQ230" s="112"/>
      <c r="CR230" s="112"/>
      <c r="CS230" s="112"/>
      <c r="CT230" s="112"/>
      <c r="CU230" s="112"/>
      <c r="CV230" s="112"/>
      <c r="CW230" s="112"/>
      <c r="CX230" s="112" t="s">
        <v>224</v>
      </c>
      <c r="CY230" s="112" t="s">
        <v>225</v>
      </c>
      <c r="CZ230" s="112" t="s">
        <v>226</v>
      </c>
      <c r="DA230" s="112" t="s">
        <v>227</v>
      </c>
      <c r="DB230" s="112" t="s">
        <v>228</v>
      </c>
      <c r="DC230" s="112"/>
      <c r="DD230" s="112"/>
      <c r="DE230" s="238"/>
      <c r="DF230" s="112"/>
      <c r="DG230" s="112"/>
      <c r="DH230" s="112"/>
      <c r="DI230" s="112"/>
      <c r="DJ230" s="112"/>
      <c r="DK230" s="112">
        <f t="shared" si="411"/>
        <v>100000</v>
      </c>
      <c r="DL230" s="112"/>
      <c r="DM230" s="112"/>
      <c r="DN230" s="112" t="e">
        <f t="shared" si="412"/>
        <v>#NUM!</v>
      </c>
      <c r="DO230" s="112"/>
      <c r="DP230" s="112"/>
      <c r="DQ230" s="112"/>
    </row>
    <row r="231" spans="4:121" x14ac:dyDescent="0.25">
      <c r="D231" t="str">
        <f t="shared" si="419"/>
        <v/>
      </c>
      <c r="E231" s="112" t="str">
        <f t="shared" si="417"/>
        <v/>
      </c>
      <c r="F231" s="112" t="str">
        <f t="shared" si="417"/>
        <v/>
      </c>
      <c r="AG231" s="238">
        <f>AG230</f>
        <v>62</v>
      </c>
      <c r="AH231" s="112">
        <f ca="1">AI230+1</f>
        <v>44197</v>
      </c>
      <c r="AI231" s="112">
        <f ca="1">IF(INDIRECT(CONCATENATE("AC",AG230))&lt;100000,INDIRECT(CONCATENATE("AC",AG230))-1,IF(INDIRECT(CONCATENATE("AD",AG230))&lt;100000,INDIRECT(CONCATENATE("AD",AG230))-1,IF(INDIRECT(CONCATENATE("AE",AG230))&lt;100000,INDIRECT(CONCATENATE("AE",G230)),INDIRECT(CONCATENATE("AF",AG230)))))</f>
        <v>44196</v>
      </c>
      <c r="AJ231" s="112">
        <f t="shared" ca="1" si="402"/>
        <v>44196</v>
      </c>
      <c r="AK231" s="112">
        <f t="shared" ca="1" si="405"/>
        <v>44196</v>
      </c>
      <c r="AL231" s="238">
        <f t="shared" ca="1" si="403"/>
        <v>0</v>
      </c>
      <c r="AM231" s="112">
        <f t="shared" ca="1" si="401"/>
        <v>100000</v>
      </c>
      <c r="AN231" s="112">
        <f t="shared" ca="1" si="416"/>
        <v>100000</v>
      </c>
      <c r="AO231" s="114">
        <f t="shared" ca="1" si="409"/>
        <v>18</v>
      </c>
      <c r="AP231" s="114">
        <f t="shared" ca="1" si="410"/>
        <v>24</v>
      </c>
      <c r="AR231" s="238">
        <f t="shared" si="414"/>
        <v>231</v>
      </c>
      <c r="AU231" s="238">
        <f t="shared" si="415"/>
        <v>212</v>
      </c>
      <c r="AV231" s="238"/>
      <c r="AW231" s="238"/>
      <c r="BB231">
        <f t="shared" si="420"/>
        <v>69</v>
      </c>
      <c r="BC231" s="112">
        <f t="shared" ca="1" si="418"/>
        <v>100000</v>
      </c>
      <c r="BD231" s="112"/>
      <c r="CM231" s="112"/>
      <c r="CN231" s="112"/>
      <c r="CQ231" s="112"/>
      <c r="CR231" s="112"/>
      <c r="CS231" s="112"/>
      <c r="CT231" s="112"/>
      <c r="CU231" s="112"/>
      <c r="CV231" s="112"/>
      <c r="CW231" s="112"/>
      <c r="CX231" s="112" t="s">
        <v>224</v>
      </c>
      <c r="CY231" s="112" t="s">
        <v>225</v>
      </c>
      <c r="CZ231" s="112" t="s">
        <v>226</v>
      </c>
      <c r="DA231" s="112" t="s">
        <v>227</v>
      </c>
      <c r="DB231" s="112" t="s">
        <v>228</v>
      </c>
      <c r="DC231" s="112"/>
      <c r="DD231" s="112"/>
      <c r="DE231" s="238"/>
      <c r="DF231" s="112"/>
      <c r="DG231" s="112"/>
      <c r="DH231" s="112"/>
      <c r="DI231" s="112"/>
      <c r="DJ231" s="112"/>
      <c r="DK231" s="112">
        <f t="shared" si="411"/>
        <v>100000</v>
      </c>
      <c r="DL231" s="112"/>
      <c r="DM231" s="112"/>
      <c r="DN231" s="112" t="e">
        <f t="shared" si="412"/>
        <v>#NUM!</v>
      </c>
      <c r="DO231" s="112"/>
      <c r="DP231" s="112"/>
      <c r="DQ231" s="112"/>
    </row>
    <row r="232" spans="4:121" x14ac:dyDescent="0.25">
      <c r="D232" t="str">
        <f t="shared" si="419"/>
        <v/>
      </c>
      <c r="E232" s="112" t="str">
        <f t="shared" si="417"/>
        <v/>
      </c>
      <c r="F232" s="112" t="str">
        <f t="shared" si="417"/>
        <v/>
      </c>
      <c r="AG232" s="238">
        <f>AG231</f>
        <v>62</v>
      </c>
      <c r="AH232" s="112">
        <f ca="1">AI231+1</f>
        <v>44197</v>
      </c>
      <c r="AI232" s="112">
        <f ca="1">IF(INDIRECT(CONCATENATE("AD",AG230))&lt;100000,INDIRECT(CONCATENATE("AD",AG230))-1,IF(INDIRECT(CONCATENATE("AE",AG230))&lt;100000,INDIRECT(CONCATENATE("AE",G230)),INDIRECT(CONCATENATE("AF",AG230))))</f>
        <v>44439</v>
      </c>
      <c r="AJ232" s="112">
        <f t="shared" ca="1" si="402"/>
        <v>44439</v>
      </c>
      <c r="AK232" s="112">
        <f t="shared" ca="1" si="405"/>
        <v>44439</v>
      </c>
      <c r="AL232" s="238">
        <f t="shared" ca="1" si="403"/>
        <v>1</v>
      </c>
      <c r="AM232" s="112">
        <f t="shared" ca="1" si="401"/>
        <v>44197</v>
      </c>
      <c r="AN232" s="112">
        <f t="shared" ca="1" si="416"/>
        <v>44439</v>
      </c>
      <c r="AO232" s="114">
        <f t="shared" ca="1" si="409"/>
        <v>18</v>
      </c>
      <c r="AP232" s="114">
        <f t="shared" ca="1" si="410"/>
        <v>24</v>
      </c>
      <c r="AR232" s="238">
        <f t="shared" si="414"/>
        <v>232</v>
      </c>
      <c r="AU232" s="238">
        <f t="shared" si="415"/>
        <v>213</v>
      </c>
      <c r="AV232" s="238"/>
      <c r="AW232" s="238"/>
      <c r="BB232">
        <f t="shared" si="420"/>
        <v>70</v>
      </c>
      <c r="BC232" s="112" t="e">
        <f t="shared" ca="1" si="418"/>
        <v>#NUM!</v>
      </c>
      <c r="BD232" s="112"/>
      <c r="CM232" s="112"/>
      <c r="CN232" s="112"/>
      <c r="CQ232" s="112"/>
      <c r="CR232" s="112"/>
      <c r="CS232" s="112"/>
      <c r="CT232" s="112"/>
      <c r="CU232" s="112"/>
      <c r="CV232" s="112"/>
      <c r="CW232" s="112"/>
      <c r="CX232" s="112" t="s">
        <v>224</v>
      </c>
      <c r="CY232" s="112" t="s">
        <v>225</v>
      </c>
      <c r="CZ232" s="112" t="s">
        <v>226</v>
      </c>
      <c r="DA232" s="112" t="s">
        <v>227</v>
      </c>
      <c r="DB232" s="112" t="s">
        <v>228</v>
      </c>
      <c r="DC232" s="112"/>
      <c r="DD232" s="112"/>
      <c r="DE232" s="238"/>
      <c r="DF232" s="112"/>
      <c r="DG232" s="112"/>
      <c r="DH232" s="112"/>
      <c r="DI232" s="112"/>
      <c r="DJ232" s="112"/>
      <c r="DK232" s="112">
        <f t="shared" si="411"/>
        <v>100000</v>
      </c>
      <c r="DL232" s="112"/>
      <c r="DM232" s="112"/>
      <c r="DN232" s="112" t="e">
        <f t="shared" si="412"/>
        <v>#NUM!</v>
      </c>
      <c r="DO232" s="112"/>
      <c r="DP232" s="112"/>
      <c r="DQ232" s="112"/>
    </row>
    <row r="233" spans="4:121" x14ac:dyDescent="0.25">
      <c r="D233" t="str">
        <f t="shared" si="419"/>
        <v/>
      </c>
      <c r="E233" s="112" t="str">
        <f t="shared" si="417"/>
        <v/>
      </c>
      <c r="F233" s="112" t="str">
        <f t="shared" si="417"/>
        <v/>
      </c>
      <c r="AG233" s="238">
        <f>AG232</f>
        <v>62</v>
      </c>
      <c r="AH233" s="112">
        <f ca="1">AI232+1</f>
        <v>44440</v>
      </c>
      <c r="AI233" s="112">
        <f ca="1">IF(INDIRECT(CONCATENATE("AE",AG230))&lt;100000,INDIRECT(CONCATENATE("AE",G230)),INDIRECT(CONCATENATE("AF",AG230)))</f>
        <v>44439</v>
      </c>
      <c r="AJ233" s="112">
        <f t="shared" ca="1" si="402"/>
        <v>44439</v>
      </c>
      <c r="AK233" s="112">
        <f t="shared" ca="1" si="405"/>
        <v>44439</v>
      </c>
      <c r="AL233" s="238">
        <f t="shared" ca="1" si="403"/>
        <v>0</v>
      </c>
      <c r="AM233" s="112">
        <f t="shared" ref="AM233:AM296" ca="1" si="421">IF(TYPE(AL233)=16,100000,IF(AL233=0,100000,AH233))</f>
        <v>100000</v>
      </c>
      <c r="AN233" s="112">
        <f t="shared" ca="1" si="416"/>
        <v>100000</v>
      </c>
      <c r="AO233" s="114">
        <f t="shared" ca="1" si="409"/>
        <v>18</v>
      </c>
      <c r="AP233" s="114">
        <f t="shared" ca="1" si="410"/>
        <v>24</v>
      </c>
      <c r="AR233" s="238">
        <f t="shared" si="414"/>
        <v>233</v>
      </c>
      <c r="AU233" s="238">
        <f t="shared" si="415"/>
        <v>214</v>
      </c>
      <c r="AV233" s="238"/>
      <c r="AW233" s="238"/>
      <c r="BB233">
        <f t="shared" si="420"/>
        <v>71</v>
      </c>
      <c r="BC233" s="112" t="e">
        <f t="shared" ca="1" si="418"/>
        <v>#NUM!</v>
      </c>
      <c r="BD233" s="112"/>
      <c r="CM233" s="112"/>
      <c r="CN233" s="112"/>
      <c r="CQ233" s="112"/>
      <c r="CR233" s="112"/>
      <c r="CS233" s="112"/>
      <c r="CT233" s="112"/>
      <c r="CU233" s="112"/>
      <c r="CV233" s="112"/>
      <c r="CW233" s="112"/>
      <c r="CX233" s="112" t="s">
        <v>224</v>
      </c>
      <c r="CY233" s="112" t="s">
        <v>225</v>
      </c>
      <c r="CZ233" s="112" t="s">
        <v>226</v>
      </c>
      <c r="DA233" s="112" t="s">
        <v>227</v>
      </c>
      <c r="DB233" s="112" t="s">
        <v>228</v>
      </c>
      <c r="DC233" s="112"/>
      <c r="DD233" s="112"/>
      <c r="DE233" s="238"/>
      <c r="DF233" s="112"/>
      <c r="DG233" s="112"/>
      <c r="DH233" s="112"/>
      <c r="DI233" s="112"/>
      <c r="DJ233" s="112"/>
      <c r="DK233" s="112">
        <f t="shared" si="411"/>
        <v>100000</v>
      </c>
      <c r="DL233" s="112"/>
      <c r="DM233" s="112"/>
      <c r="DN233" s="112" t="e">
        <f t="shared" si="412"/>
        <v>#NUM!</v>
      </c>
      <c r="DO233" s="112"/>
      <c r="DP233" s="112"/>
      <c r="DQ233" s="112"/>
    </row>
    <row r="234" spans="4:121" x14ac:dyDescent="0.25">
      <c r="D234" t="str">
        <f t="shared" si="419"/>
        <v/>
      </c>
      <c r="E234" s="112" t="str">
        <f t="shared" si="417"/>
        <v/>
      </c>
      <c r="F234" s="112" t="str">
        <f t="shared" si="417"/>
        <v/>
      </c>
      <c r="AG234" s="238">
        <f>AG233</f>
        <v>62</v>
      </c>
      <c r="AH234" s="112">
        <f ca="1">AI233+1</f>
        <v>44440</v>
      </c>
      <c r="AI234" s="112">
        <f ca="1">INDIRECT(CONCATENATE("AF",AG230))</f>
        <v>44439</v>
      </c>
      <c r="AJ234" s="112">
        <f t="shared" ca="1" si="402"/>
        <v>44439</v>
      </c>
      <c r="AK234" s="112">
        <f t="shared" ca="1" si="405"/>
        <v>44439</v>
      </c>
      <c r="AL234" s="238">
        <f t="shared" ca="1" si="403"/>
        <v>0</v>
      </c>
      <c r="AM234" s="112">
        <f t="shared" ca="1" si="421"/>
        <v>100000</v>
      </c>
      <c r="AN234" s="112">
        <f t="shared" ca="1" si="416"/>
        <v>100000</v>
      </c>
      <c r="AO234" s="114">
        <f t="shared" ca="1" si="409"/>
        <v>18</v>
      </c>
      <c r="AP234" s="114">
        <f t="shared" ca="1" si="410"/>
        <v>24</v>
      </c>
      <c r="AR234" s="238">
        <f t="shared" si="414"/>
        <v>234</v>
      </c>
      <c r="AU234" s="238">
        <f t="shared" si="415"/>
        <v>215</v>
      </c>
      <c r="AV234" s="238"/>
      <c r="AW234" s="238"/>
      <c r="BB234">
        <f t="shared" si="420"/>
        <v>72</v>
      </c>
      <c r="BC234" s="112" t="e">
        <f t="shared" ca="1" si="418"/>
        <v>#NUM!</v>
      </c>
      <c r="BD234" s="112"/>
      <c r="CM234" s="112"/>
      <c r="CN234" s="112"/>
      <c r="CQ234" s="112"/>
      <c r="CR234" s="112"/>
      <c r="CS234" s="112"/>
      <c r="CT234" s="112"/>
      <c r="CU234" s="112"/>
      <c r="CV234" s="112"/>
      <c r="CW234" s="112"/>
      <c r="CX234" s="112" t="s">
        <v>224</v>
      </c>
      <c r="CY234" s="112" t="s">
        <v>225</v>
      </c>
      <c r="CZ234" s="112" t="s">
        <v>226</v>
      </c>
      <c r="DA234" s="112" t="s">
        <v>227</v>
      </c>
      <c r="DB234" s="112" t="s">
        <v>228</v>
      </c>
      <c r="DC234" s="112"/>
      <c r="DD234" s="112"/>
      <c r="DE234" s="238"/>
      <c r="DF234" s="112"/>
      <c r="DG234" s="112"/>
      <c r="DH234" s="112"/>
      <c r="DI234" s="112"/>
      <c r="DJ234" s="112"/>
      <c r="DK234" s="112">
        <f t="shared" si="411"/>
        <v>100000</v>
      </c>
      <c r="DL234" s="112"/>
      <c r="DM234" s="112"/>
      <c r="DN234" s="112"/>
      <c r="DO234" s="112"/>
      <c r="DP234" s="112"/>
      <c r="DQ234" s="112"/>
    </row>
    <row r="235" spans="4:121" x14ac:dyDescent="0.25">
      <c r="D235" t="str">
        <f t="shared" si="419"/>
        <v/>
      </c>
      <c r="E235" s="112" t="str">
        <f t="shared" si="417"/>
        <v/>
      </c>
      <c r="F235" s="112" t="str">
        <f t="shared" si="417"/>
        <v/>
      </c>
      <c r="AG235" s="238">
        <f>AG234+1</f>
        <v>63</v>
      </c>
      <c r="AH235" s="112">
        <f ca="1">INDIRECT(CONCATENATE("AA",AG235))</f>
        <v>44440</v>
      </c>
      <c r="AI235" s="112">
        <f ca="1">IF(            INDIRECT(CONCATENATE( "AB",AG235))&lt;100000,       INDIRECT(CONCATENATE("AB",AG235))  -1,IF(   INDIRECT(CONCATENATE("AC",AG235))&lt;100000,   INDIRECT(CONCATENATE("AC",AG235))-1,IF(   INDIRECT(CONCATENATE("AD", AG235))&lt;100000, INDIRECT(CONCATENATE("AD",AG235))-1,IF(   INDIRECT(CONCATENATE("AE",AG235))&lt;100000,  INDIRECT(CONCATENATE("AE",G235)),INDIRECT(CONCATENATE("AF",AG235))                ))))</f>
        <v>44561</v>
      </c>
      <c r="AJ235" s="112">
        <f t="shared" ca="1" si="402"/>
        <v>44561</v>
      </c>
      <c r="AK235" s="112">
        <f t="shared" ca="1" si="405"/>
        <v>44561</v>
      </c>
      <c r="AL235" s="238">
        <f t="shared" ca="1" si="403"/>
        <v>1</v>
      </c>
      <c r="AM235" s="112">
        <f t="shared" ca="1" si="421"/>
        <v>44440</v>
      </c>
      <c r="AN235" s="112">
        <f t="shared" ca="1" si="416"/>
        <v>44561</v>
      </c>
      <c r="AO235" s="114">
        <f t="shared" ca="1" si="409"/>
        <v>18</v>
      </c>
      <c r="AP235" s="114">
        <f t="shared" ca="1" si="410"/>
        <v>24</v>
      </c>
      <c r="AR235" s="238">
        <f t="shared" si="414"/>
        <v>235</v>
      </c>
      <c r="AU235" s="238">
        <f t="shared" si="415"/>
        <v>216</v>
      </c>
      <c r="AV235" s="238"/>
      <c r="AW235" s="238"/>
      <c r="BB235">
        <f t="shared" si="420"/>
        <v>73</v>
      </c>
      <c r="BC235" s="112" t="e">
        <f t="shared" ca="1" si="418"/>
        <v>#NUM!</v>
      </c>
      <c r="BD235" s="112"/>
      <c r="CM235" s="112"/>
      <c r="CN235" s="112"/>
      <c r="CQ235" s="112"/>
      <c r="CR235" s="112"/>
      <c r="CS235" s="112"/>
      <c r="CT235" s="112"/>
      <c r="CU235" s="112"/>
      <c r="CV235" s="112"/>
      <c r="CW235" s="112"/>
      <c r="CX235" s="112" t="s">
        <v>224</v>
      </c>
      <c r="CY235" s="112" t="s">
        <v>225</v>
      </c>
      <c r="CZ235" s="112" t="s">
        <v>226</v>
      </c>
      <c r="DA235" s="112" t="s">
        <v>227</v>
      </c>
      <c r="DB235" s="112" t="s">
        <v>228</v>
      </c>
      <c r="DC235" s="112"/>
      <c r="DD235" s="112"/>
      <c r="DE235" s="238"/>
      <c r="DF235" s="112"/>
      <c r="DG235" s="112"/>
      <c r="DH235" s="112"/>
      <c r="DI235" s="112"/>
      <c r="DJ235" s="112"/>
      <c r="DK235" s="112">
        <f t="shared" si="411"/>
        <v>100000</v>
      </c>
      <c r="DL235" s="112"/>
      <c r="DM235" s="112"/>
      <c r="DN235" s="112"/>
      <c r="DO235" s="112"/>
      <c r="DP235" s="112"/>
      <c r="DQ235" s="112"/>
    </row>
    <row r="236" spans="4:121" x14ac:dyDescent="0.25">
      <c r="D236" t="str">
        <f t="shared" si="419"/>
        <v/>
      </c>
      <c r="E236" s="112" t="str">
        <f t="shared" si="417"/>
        <v/>
      </c>
      <c r="F236" s="112" t="str">
        <f t="shared" si="417"/>
        <v/>
      </c>
      <c r="AG236" s="238">
        <f>AG235</f>
        <v>63</v>
      </c>
      <c r="AH236" s="112">
        <f ca="1">AI235+1</f>
        <v>44562</v>
      </c>
      <c r="AI236" s="112">
        <f ca="1">IF(INDIRECT(CONCATENATE("AC",AG235))&lt;100000,INDIRECT(CONCATENATE("AC",AG235))-1,IF(INDIRECT(CONCATENATE("AD",AG235))&lt;100000,INDIRECT(CONCATENATE("AD",AG235))-1,IF(INDIRECT(CONCATENATE("AE",AG235))&lt;100000,INDIRECT(CONCATENATE("AE",G235)),INDIRECT(CONCATENATE("AF",AG235)))))</f>
        <v>44561</v>
      </c>
      <c r="AJ236" s="112">
        <f t="shared" ca="1" si="402"/>
        <v>44561</v>
      </c>
      <c r="AK236" s="112">
        <f t="shared" ca="1" si="405"/>
        <v>44561</v>
      </c>
      <c r="AL236" s="238">
        <f t="shared" ca="1" si="403"/>
        <v>0</v>
      </c>
      <c r="AM236" s="112">
        <f t="shared" ca="1" si="421"/>
        <v>100000</v>
      </c>
      <c r="AN236" s="112">
        <f t="shared" ca="1" si="416"/>
        <v>100000</v>
      </c>
      <c r="AO236" s="114">
        <f t="shared" ca="1" si="409"/>
        <v>18</v>
      </c>
      <c r="AP236" s="114">
        <f t="shared" ca="1" si="410"/>
        <v>24</v>
      </c>
      <c r="AR236" s="238">
        <f t="shared" si="414"/>
        <v>236</v>
      </c>
      <c r="AU236" s="238">
        <f t="shared" si="415"/>
        <v>217</v>
      </c>
      <c r="AV236" s="238"/>
      <c r="AW236" s="238"/>
      <c r="BB236">
        <f t="shared" si="420"/>
        <v>74</v>
      </c>
      <c r="BC236" s="112" t="e">
        <f t="shared" ca="1" si="418"/>
        <v>#NUM!</v>
      </c>
      <c r="BD236" s="112"/>
      <c r="CM236" s="112"/>
      <c r="CN236" s="112"/>
      <c r="CQ236" s="112"/>
      <c r="CR236" s="112"/>
      <c r="CS236" s="112"/>
      <c r="CT236" s="112"/>
      <c r="CU236" s="112"/>
      <c r="CV236" s="112"/>
      <c r="CW236" s="112"/>
      <c r="CX236" s="112" t="s">
        <v>224</v>
      </c>
      <c r="CY236" s="112" t="s">
        <v>225</v>
      </c>
      <c r="CZ236" s="112" t="s">
        <v>226</v>
      </c>
      <c r="DA236" s="112" t="s">
        <v>227</v>
      </c>
      <c r="DB236" s="112" t="s">
        <v>228</v>
      </c>
      <c r="DC236" s="112"/>
      <c r="DD236" s="112"/>
      <c r="DE236" s="238"/>
      <c r="DF236" s="112"/>
      <c r="DG236" s="112"/>
      <c r="DH236" s="112"/>
      <c r="DI236" s="112"/>
      <c r="DJ236" s="112"/>
      <c r="DK236" s="112">
        <f t="shared" si="411"/>
        <v>100000</v>
      </c>
      <c r="DL236" s="112"/>
      <c r="DM236" s="112"/>
      <c r="DN236" s="112"/>
      <c r="DO236" s="112"/>
      <c r="DP236" s="112"/>
      <c r="DQ236" s="112"/>
    </row>
    <row r="237" spans="4:121" x14ac:dyDescent="0.25">
      <c r="D237" t="str">
        <f t="shared" si="419"/>
        <v/>
      </c>
      <c r="E237" s="112" t="str">
        <f t="shared" si="417"/>
        <v/>
      </c>
      <c r="F237" s="112" t="str">
        <f t="shared" si="417"/>
        <v/>
      </c>
      <c r="AG237" s="238">
        <f>AG236</f>
        <v>63</v>
      </c>
      <c r="AH237" s="112">
        <f ca="1">AI236+1</f>
        <v>44562</v>
      </c>
      <c r="AI237" s="112">
        <f ca="1">IF(INDIRECT(CONCATENATE("AD",AG235))&lt;100000,INDIRECT(CONCATENATE("AD",AG235))-1,IF(INDIRECT(CONCATENATE("AE",AG235))&lt;100000,INDIRECT(CONCATENATE("AE",G235)),INDIRECT(CONCATENATE("AF",AG235))))</f>
        <v>44651</v>
      </c>
      <c r="AJ237" s="112">
        <f t="shared" ref="AJ237:AJ300" ca="1" si="422">IF(TYPE(AI237)=16,VLOOKUP(AH237,$F$20:$G$146,2),AI237)</f>
        <v>44651</v>
      </c>
      <c r="AK237" s="112">
        <f t="shared" ca="1" si="405"/>
        <v>44651</v>
      </c>
      <c r="AL237" s="238">
        <f t="shared" ca="1" si="403"/>
        <v>1</v>
      </c>
      <c r="AM237" s="112">
        <f t="shared" ca="1" si="421"/>
        <v>44562</v>
      </c>
      <c r="AN237" s="112">
        <f t="shared" ca="1" si="416"/>
        <v>44651</v>
      </c>
      <c r="AO237" s="114">
        <f t="shared" ca="1" si="409"/>
        <v>18</v>
      </c>
      <c r="AP237" s="114">
        <f t="shared" ca="1" si="410"/>
        <v>24</v>
      </c>
      <c r="AR237" s="238">
        <f t="shared" si="414"/>
        <v>237</v>
      </c>
      <c r="AU237" s="238">
        <f t="shared" si="415"/>
        <v>218</v>
      </c>
      <c r="AV237" s="238"/>
      <c r="AW237" s="238"/>
      <c r="BB237">
        <f t="shared" si="420"/>
        <v>75</v>
      </c>
      <c r="BC237" s="112" t="e">
        <f t="shared" ca="1" si="418"/>
        <v>#NUM!</v>
      </c>
      <c r="BD237" s="112"/>
      <c r="CM237" s="112"/>
      <c r="CN237" s="112"/>
      <c r="CQ237" s="112"/>
      <c r="CR237" s="112"/>
      <c r="CS237" s="112"/>
      <c r="CT237" s="112"/>
      <c r="CU237" s="112"/>
      <c r="CV237" s="112"/>
      <c r="CW237" s="112"/>
      <c r="CX237" s="112" t="s">
        <v>224</v>
      </c>
      <c r="CY237" s="112" t="s">
        <v>225</v>
      </c>
      <c r="CZ237" s="112" t="s">
        <v>226</v>
      </c>
      <c r="DA237" s="112" t="s">
        <v>227</v>
      </c>
      <c r="DB237" s="112" t="s">
        <v>228</v>
      </c>
      <c r="DC237" s="112"/>
      <c r="DD237" s="112"/>
      <c r="DE237" s="238"/>
      <c r="DF237" s="112"/>
      <c r="DG237" s="112"/>
      <c r="DH237" s="112"/>
      <c r="DI237" s="112"/>
      <c r="DJ237" s="112"/>
      <c r="DK237" s="112">
        <f t="shared" si="411"/>
        <v>100000</v>
      </c>
      <c r="DL237" s="112"/>
      <c r="DM237" s="112"/>
      <c r="DN237" s="112"/>
      <c r="DO237" s="112"/>
      <c r="DP237" s="112"/>
      <c r="DQ237" s="112"/>
    </row>
    <row r="238" spans="4:121" x14ac:dyDescent="0.25">
      <c r="D238" t="str">
        <f t="shared" si="419"/>
        <v/>
      </c>
      <c r="E238" s="112" t="str">
        <f t="shared" si="417"/>
        <v/>
      </c>
      <c r="F238" s="112" t="str">
        <f t="shared" si="417"/>
        <v/>
      </c>
      <c r="AG238" s="238">
        <f>AG237</f>
        <v>63</v>
      </c>
      <c r="AH238" s="112">
        <f ca="1">AI237+1</f>
        <v>44652</v>
      </c>
      <c r="AI238" s="112" t="e">
        <f ca="1">IF(INDIRECT(CONCATENATE("AE",AG235))&lt;100000,INDIRECT(CONCATENATE("AE",G235)),INDIRECT(CONCATENATE("AF",AG235)))</f>
        <v>#REF!</v>
      </c>
      <c r="AJ238" s="112">
        <f t="shared" ca="1" si="422"/>
        <v>44804</v>
      </c>
      <c r="AK238" s="112">
        <f t="shared" ca="1" si="405"/>
        <v>44804</v>
      </c>
      <c r="AL238" s="238">
        <f t="shared" ref="AL238:AL301" ca="1" si="423">IF(AK238=AI237,0,1)</f>
        <v>1</v>
      </c>
      <c r="AM238" s="112">
        <f t="shared" ca="1" si="421"/>
        <v>44652</v>
      </c>
      <c r="AN238" s="112">
        <f t="shared" ca="1" si="416"/>
        <v>44804</v>
      </c>
      <c r="AO238" s="114">
        <f t="shared" ca="1" si="409"/>
        <v>18</v>
      </c>
      <c r="AP238" s="114">
        <f t="shared" ca="1" si="410"/>
        <v>24</v>
      </c>
      <c r="AR238" s="238">
        <f t="shared" si="414"/>
        <v>238</v>
      </c>
      <c r="AU238" s="238">
        <f t="shared" si="415"/>
        <v>219</v>
      </c>
      <c r="AV238" s="238"/>
      <c r="AW238" s="238"/>
      <c r="BB238">
        <f t="shared" si="420"/>
        <v>76</v>
      </c>
      <c r="BC238" s="112" t="e">
        <f t="shared" ca="1" si="418"/>
        <v>#NUM!</v>
      </c>
      <c r="BD238" s="112"/>
      <c r="CM238" s="112"/>
      <c r="CN238" s="112"/>
      <c r="CQ238" s="112"/>
      <c r="CR238" s="112"/>
      <c r="CS238" s="112"/>
      <c r="CT238" s="112"/>
      <c r="CU238" s="112"/>
      <c r="CV238" s="112"/>
      <c r="CW238" s="112"/>
      <c r="CX238" s="112" t="s">
        <v>224</v>
      </c>
      <c r="CY238" s="112" t="s">
        <v>225</v>
      </c>
      <c r="CZ238" s="112" t="s">
        <v>226</v>
      </c>
      <c r="DA238" s="112" t="s">
        <v>227</v>
      </c>
      <c r="DB238" s="112" t="s">
        <v>228</v>
      </c>
      <c r="DC238" s="112"/>
      <c r="DD238" s="112"/>
      <c r="DE238" s="238"/>
      <c r="DF238" s="112"/>
      <c r="DG238" s="112"/>
      <c r="DH238" s="112"/>
      <c r="DI238" s="112"/>
      <c r="DJ238" s="112"/>
      <c r="DK238" s="112">
        <f t="shared" si="411"/>
        <v>100000</v>
      </c>
      <c r="DL238" s="112"/>
      <c r="DM238" s="112"/>
      <c r="DN238" s="112"/>
      <c r="DO238" s="112"/>
      <c r="DP238" s="112"/>
      <c r="DQ238" s="112"/>
    </row>
    <row r="239" spans="4:121" x14ac:dyDescent="0.25">
      <c r="D239" t="str">
        <f t="shared" si="419"/>
        <v/>
      </c>
      <c r="E239" s="112" t="str">
        <f t="shared" si="417"/>
        <v/>
      </c>
      <c r="F239" s="112" t="str">
        <f t="shared" si="417"/>
        <v/>
      </c>
      <c r="AG239" s="238">
        <f>AG238</f>
        <v>63</v>
      </c>
      <c r="AH239" s="112" t="e">
        <f ca="1">AI238+1</f>
        <v>#REF!</v>
      </c>
      <c r="AI239" s="112">
        <f ca="1">INDIRECT(CONCATENATE("AF",AG235))</f>
        <v>44804</v>
      </c>
      <c r="AJ239" s="112">
        <f t="shared" ca="1" si="422"/>
        <v>44804</v>
      </c>
      <c r="AK239" s="112">
        <f t="shared" ca="1" si="405"/>
        <v>100000</v>
      </c>
      <c r="AL239" s="238" t="e">
        <f t="shared" ca="1" si="423"/>
        <v>#REF!</v>
      </c>
      <c r="AM239" s="112">
        <f t="shared" ca="1" si="421"/>
        <v>100000</v>
      </c>
      <c r="AN239" s="112">
        <f t="shared" ca="1" si="416"/>
        <v>100000</v>
      </c>
      <c r="AO239" s="114">
        <f t="shared" ca="1" si="409"/>
        <v>18</v>
      </c>
      <c r="AP239" s="114">
        <f t="shared" ca="1" si="410"/>
        <v>24</v>
      </c>
      <c r="AR239" s="238">
        <f t="shared" si="414"/>
        <v>239</v>
      </c>
      <c r="AU239" s="238">
        <f t="shared" si="415"/>
        <v>220</v>
      </c>
      <c r="AV239" s="238"/>
      <c r="AW239" s="238"/>
      <c r="BB239">
        <f t="shared" si="420"/>
        <v>77</v>
      </c>
      <c r="BC239" s="112" t="e">
        <f t="shared" ca="1" si="418"/>
        <v>#NUM!</v>
      </c>
      <c r="BD239" s="112"/>
      <c r="CM239" s="112"/>
      <c r="CN239" s="112"/>
      <c r="CQ239" s="112"/>
      <c r="CR239" s="112"/>
      <c r="CS239" s="112"/>
      <c r="CT239" s="112"/>
      <c r="CU239" s="112"/>
      <c r="CV239" s="112"/>
      <c r="CW239" s="112"/>
      <c r="CX239" s="112" t="s">
        <v>224</v>
      </c>
      <c r="CY239" s="112" t="s">
        <v>225</v>
      </c>
      <c r="CZ239" s="112" t="s">
        <v>226</v>
      </c>
      <c r="DA239" s="112" t="s">
        <v>227</v>
      </c>
      <c r="DB239" s="112" t="s">
        <v>228</v>
      </c>
      <c r="DC239" s="112"/>
      <c r="DD239" s="112"/>
      <c r="DE239" s="238"/>
      <c r="DF239" s="112"/>
      <c r="DG239" s="112"/>
      <c r="DH239" s="112"/>
      <c r="DI239" s="112"/>
      <c r="DJ239" s="112"/>
      <c r="DK239" s="112">
        <f t="shared" si="411"/>
        <v>100000</v>
      </c>
      <c r="DL239" s="112"/>
      <c r="DM239" s="112"/>
      <c r="DN239" s="112"/>
      <c r="DO239" s="112"/>
      <c r="DP239" s="112"/>
      <c r="DQ239" s="112"/>
    </row>
    <row r="240" spans="4:121" x14ac:dyDescent="0.25">
      <c r="D240" t="str">
        <f t="shared" si="419"/>
        <v/>
      </c>
      <c r="E240" s="112" t="str">
        <f t="shared" si="417"/>
        <v/>
      </c>
      <c r="F240" s="112" t="str">
        <f t="shared" si="417"/>
        <v/>
      </c>
      <c r="AG240" s="238">
        <f>AG239+1</f>
        <v>64</v>
      </c>
      <c r="AH240" s="112" t="str">
        <f ca="1">INDIRECT(CONCATENATE("AA",AG240))</f>
        <v/>
      </c>
      <c r="AI240" s="112" t="e">
        <f ca="1">IF(            INDIRECT(CONCATENATE( "AB",AG240))&lt;100000,       INDIRECT(CONCATENATE("AB",AG240))  -1,IF(   INDIRECT(CONCATENATE("AC",AG240))&lt;100000,   INDIRECT(CONCATENATE("AC",AG240))-1,IF(   INDIRECT(CONCATENATE("AD", AG240))&lt;100000, INDIRECT(CONCATENATE("AD",AG240))-1,IF(   INDIRECT(CONCATENATE("AE",AG240))&lt;100000,  INDIRECT(CONCATENATE("AE",G240)),INDIRECT(CONCATENATE("AF",AG240))                ))))</f>
        <v>#N/A</v>
      </c>
      <c r="AJ240" s="112" t="str">
        <f t="shared" ca="1" si="422"/>
        <v/>
      </c>
      <c r="AK240" s="112" t="str">
        <f t="shared" ca="1" si="405"/>
        <v/>
      </c>
      <c r="AL240" s="238">
        <f t="shared" ca="1" si="423"/>
        <v>1</v>
      </c>
      <c r="AM240" s="112" t="str">
        <f t="shared" ca="1" si="421"/>
        <v/>
      </c>
      <c r="AN240" s="112" t="str">
        <f t="shared" ca="1" si="416"/>
        <v/>
      </c>
      <c r="AO240" s="114">
        <f t="shared" ca="1" si="409"/>
        <v>0</v>
      </c>
      <c r="AP240" s="114">
        <f t="shared" ca="1" si="410"/>
        <v>24</v>
      </c>
      <c r="AR240" s="238">
        <f t="shared" si="414"/>
        <v>240</v>
      </c>
      <c r="AU240" s="238">
        <f t="shared" si="415"/>
        <v>221</v>
      </c>
      <c r="AV240" s="238"/>
      <c r="AW240" s="238"/>
      <c r="BB240">
        <f t="shared" si="420"/>
        <v>78</v>
      </c>
      <c r="BC240" s="112" t="e">
        <f t="shared" ca="1" si="418"/>
        <v>#NUM!</v>
      </c>
      <c r="BD240" s="112"/>
      <c r="CM240" s="112"/>
      <c r="CN240" s="112"/>
      <c r="CQ240" s="112"/>
      <c r="CR240" s="112"/>
      <c r="CS240" s="112"/>
      <c r="CT240" s="112"/>
      <c r="CU240" s="112"/>
      <c r="CV240" s="112"/>
      <c r="CW240" s="112"/>
      <c r="CX240" s="112" t="s">
        <v>224</v>
      </c>
      <c r="CY240" s="112" t="s">
        <v>225</v>
      </c>
      <c r="CZ240" s="112" t="s">
        <v>226</v>
      </c>
      <c r="DA240" s="112" t="s">
        <v>227</v>
      </c>
      <c r="DB240" s="112" t="s">
        <v>228</v>
      </c>
      <c r="DC240" s="112"/>
      <c r="DD240" s="112"/>
      <c r="DE240" s="238"/>
      <c r="DF240" s="112"/>
      <c r="DG240" s="112"/>
      <c r="DH240" s="112"/>
      <c r="DI240" s="112"/>
      <c r="DJ240" s="112"/>
      <c r="DK240" s="112">
        <f t="shared" si="411"/>
        <v>100000</v>
      </c>
      <c r="DL240" s="112"/>
      <c r="DM240" s="112"/>
      <c r="DN240" s="112"/>
      <c r="DO240" s="112"/>
      <c r="DP240" s="112"/>
      <c r="DQ240" s="112"/>
    </row>
    <row r="241" spans="4:121" x14ac:dyDescent="0.25">
      <c r="D241" t="str">
        <f t="shared" si="419"/>
        <v/>
      </c>
      <c r="E241" s="112" t="str">
        <f t="shared" si="417"/>
        <v/>
      </c>
      <c r="F241" s="112" t="str">
        <f t="shared" si="417"/>
        <v/>
      </c>
      <c r="AG241" s="238">
        <f>AG240</f>
        <v>64</v>
      </c>
      <c r="AH241" s="112" t="e">
        <f ca="1">AI240+1</f>
        <v>#N/A</v>
      </c>
      <c r="AI241" s="112" t="e">
        <f ca="1">IF(INDIRECT(CONCATENATE("AC",AG240))&lt;100000,INDIRECT(CONCATENATE("AC",AG240))-1,IF(INDIRECT(CONCATENATE("AD",AG240))&lt;100000,INDIRECT(CONCATENATE("AD",AG240))-1,IF(INDIRECT(CONCATENATE("AE",AG240))&lt;100000,INDIRECT(CONCATENATE("AE",G240)),INDIRECT(CONCATENATE("AF",AG240)))))</f>
        <v>#N/A</v>
      </c>
      <c r="AJ241" s="112" t="e">
        <f t="shared" ca="1" si="422"/>
        <v>#N/A</v>
      </c>
      <c r="AK241" s="112">
        <f t="shared" ca="1" si="405"/>
        <v>100000</v>
      </c>
      <c r="AL241" s="238" t="e">
        <f t="shared" ca="1" si="423"/>
        <v>#N/A</v>
      </c>
      <c r="AM241" s="112">
        <f t="shared" ca="1" si="421"/>
        <v>100000</v>
      </c>
      <c r="AN241" s="112">
        <f t="shared" ca="1" si="416"/>
        <v>100000</v>
      </c>
      <c r="AO241" s="114">
        <f t="shared" ca="1" si="409"/>
        <v>0</v>
      </c>
      <c r="AP241" s="114">
        <f t="shared" ca="1" si="410"/>
        <v>24</v>
      </c>
      <c r="AR241" s="238">
        <f t="shared" si="414"/>
        <v>241</v>
      </c>
      <c r="AU241" s="238">
        <f t="shared" si="415"/>
        <v>222</v>
      </c>
      <c r="AV241" s="238"/>
      <c r="AW241" s="238"/>
      <c r="BB241">
        <f t="shared" si="420"/>
        <v>79</v>
      </c>
      <c r="BC241" s="112" t="e">
        <f t="shared" ca="1" si="418"/>
        <v>#NUM!</v>
      </c>
      <c r="BD241" s="112"/>
      <c r="CM241" s="112"/>
      <c r="CN241" s="112"/>
      <c r="CQ241" s="112"/>
      <c r="CR241" s="112"/>
      <c r="CS241" s="112"/>
      <c r="CT241" s="112"/>
      <c r="CU241" s="112"/>
      <c r="CV241" s="112"/>
      <c r="CW241" s="112"/>
      <c r="CX241" s="112" t="s">
        <v>224</v>
      </c>
      <c r="CY241" s="112" t="s">
        <v>225</v>
      </c>
      <c r="CZ241" s="112" t="s">
        <v>226</v>
      </c>
      <c r="DA241" s="112" t="s">
        <v>227</v>
      </c>
      <c r="DB241" s="112" t="s">
        <v>228</v>
      </c>
      <c r="DC241" s="112"/>
      <c r="DD241" s="112"/>
      <c r="DE241" s="238"/>
      <c r="DF241" s="112"/>
      <c r="DG241" s="112"/>
      <c r="DH241" s="112"/>
      <c r="DI241" s="112"/>
      <c r="DJ241" s="112"/>
      <c r="DK241" s="112">
        <f t="shared" si="411"/>
        <v>100000</v>
      </c>
      <c r="DL241" s="112"/>
      <c r="DM241" s="112"/>
      <c r="DN241" s="112"/>
      <c r="DO241" s="112"/>
      <c r="DP241" s="112"/>
      <c r="DQ241" s="112"/>
    </row>
    <row r="242" spans="4:121" x14ac:dyDescent="0.25">
      <c r="D242" t="str">
        <f t="shared" si="419"/>
        <v/>
      </c>
      <c r="E242" s="112" t="str">
        <f t="shared" si="417"/>
        <v/>
      </c>
      <c r="F242" s="112" t="str">
        <f t="shared" si="417"/>
        <v/>
      </c>
      <c r="AG242" s="238">
        <f>AG241</f>
        <v>64</v>
      </c>
      <c r="AH242" s="112" t="e">
        <f ca="1">AI241+1</f>
        <v>#N/A</v>
      </c>
      <c r="AI242" s="112" t="e">
        <f ca="1">IF(INDIRECT(CONCATENATE("AD",AG240))&lt;100000,INDIRECT(CONCATENATE("AD",AG240))-1,IF(INDIRECT(CONCATENATE("AE",AG240))&lt;100000,INDIRECT(CONCATENATE("AE",G240)),INDIRECT(CONCATENATE("AF",AG240))))</f>
        <v>#N/A</v>
      </c>
      <c r="AJ242" s="112" t="e">
        <f t="shared" ca="1" si="422"/>
        <v>#N/A</v>
      </c>
      <c r="AK242" s="112">
        <f t="shared" ca="1" si="405"/>
        <v>100000</v>
      </c>
      <c r="AL242" s="238" t="e">
        <f t="shared" ca="1" si="423"/>
        <v>#N/A</v>
      </c>
      <c r="AM242" s="112">
        <f t="shared" ca="1" si="421"/>
        <v>100000</v>
      </c>
      <c r="AN242" s="112">
        <f t="shared" ca="1" si="416"/>
        <v>100000</v>
      </c>
      <c r="AO242" s="114">
        <f t="shared" ca="1" si="409"/>
        <v>0</v>
      </c>
      <c r="AP242" s="114">
        <f t="shared" ca="1" si="410"/>
        <v>24</v>
      </c>
      <c r="AR242" s="238">
        <f t="shared" si="414"/>
        <v>242</v>
      </c>
      <c r="AU242" s="238">
        <f t="shared" si="415"/>
        <v>223</v>
      </c>
      <c r="AV242" s="238"/>
      <c r="AW242" s="238"/>
      <c r="BB242">
        <f t="shared" si="420"/>
        <v>80</v>
      </c>
      <c r="BC242" s="112" t="e">
        <f t="shared" ca="1" si="418"/>
        <v>#NUM!</v>
      </c>
      <c r="BD242" s="112"/>
      <c r="CM242" s="112"/>
      <c r="CN242" s="112"/>
      <c r="CQ242" s="112"/>
      <c r="CR242" s="112"/>
      <c r="CS242" s="112"/>
      <c r="CT242" s="112"/>
      <c r="CU242" s="112"/>
      <c r="CV242" s="112"/>
      <c r="CW242" s="112"/>
      <c r="CX242" s="112" t="s">
        <v>224</v>
      </c>
      <c r="CY242" s="112" t="s">
        <v>225</v>
      </c>
      <c r="CZ242" s="112" t="s">
        <v>226</v>
      </c>
      <c r="DA242" s="112" t="s">
        <v>227</v>
      </c>
      <c r="DB242" s="112" t="s">
        <v>228</v>
      </c>
      <c r="DC242" s="112"/>
      <c r="DD242" s="112"/>
      <c r="DE242" s="238"/>
      <c r="DF242" s="112"/>
      <c r="DG242" s="112"/>
      <c r="DH242" s="112"/>
      <c r="DI242" s="112"/>
      <c r="DJ242" s="112"/>
      <c r="DK242" s="112">
        <f t="shared" si="411"/>
        <v>100000</v>
      </c>
      <c r="DL242" s="112"/>
      <c r="DM242" s="112"/>
      <c r="DN242" s="112"/>
      <c r="DO242" s="112"/>
      <c r="DP242" s="112"/>
      <c r="DQ242" s="112"/>
    </row>
    <row r="243" spans="4:121" x14ac:dyDescent="0.25">
      <c r="D243" t="str">
        <f t="shared" si="419"/>
        <v/>
      </c>
      <c r="E243" s="112" t="str">
        <f t="shared" ref="E243:F258" si="424">IF(F100=0,100000,F100)</f>
        <v/>
      </c>
      <c r="F243" s="112" t="str">
        <f t="shared" si="424"/>
        <v/>
      </c>
      <c r="AG243" s="238">
        <f>AG242</f>
        <v>64</v>
      </c>
      <c r="AH243" s="112" t="e">
        <f ca="1">AI242+1</f>
        <v>#N/A</v>
      </c>
      <c r="AI243" s="112" t="e">
        <f ca="1">IF(INDIRECT(CONCATENATE("AE",AG240))&lt;100000,INDIRECT(CONCATENATE("AE",G240)),INDIRECT(CONCATENATE("AF",AG240)))</f>
        <v>#N/A</v>
      </c>
      <c r="AJ243" s="112" t="e">
        <f t="shared" ca="1" si="422"/>
        <v>#N/A</v>
      </c>
      <c r="AK243" s="112">
        <f t="shared" ca="1" si="405"/>
        <v>100000</v>
      </c>
      <c r="AL243" s="238" t="e">
        <f t="shared" ca="1" si="423"/>
        <v>#N/A</v>
      </c>
      <c r="AM243" s="112">
        <f t="shared" ca="1" si="421"/>
        <v>100000</v>
      </c>
      <c r="AN243" s="112">
        <f t="shared" ca="1" si="416"/>
        <v>100000</v>
      </c>
      <c r="AO243" s="114">
        <f t="shared" ca="1" si="409"/>
        <v>0</v>
      </c>
      <c r="AP243" s="114">
        <f t="shared" ca="1" si="410"/>
        <v>24</v>
      </c>
      <c r="AR243" s="238">
        <f t="shared" si="414"/>
        <v>243</v>
      </c>
      <c r="AU243" s="238">
        <f t="shared" si="415"/>
        <v>224</v>
      </c>
      <c r="AV243" s="238"/>
      <c r="AW243" s="238"/>
      <c r="BB243">
        <f t="shared" si="420"/>
        <v>81</v>
      </c>
      <c r="BC243" s="112" t="e">
        <f t="shared" ca="1" si="418"/>
        <v>#NUM!</v>
      </c>
      <c r="BD243" s="112"/>
      <c r="CM243" s="112"/>
      <c r="CN243" s="112"/>
      <c r="CQ243" s="112"/>
      <c r="CR243" s="112"/>
      <c r="CS243" s="112"/>
      <c r="CT243" s="112"/>
      <c r="CU243" s="112"/>
      <c r="CV243" s="112"/>
      <c r="CW243" s="112"/>
      <c r="CX243" s="112" t="s">
        <v>224</v>
      </c>
      <c r="CY243" s="112" t="s">
        <v>225</v>
      </c>
      <c r="CZ243" s="112" t="s">
        <v>226</v>
      </c>
      <c r="DA243" s="112" t="s">
        <v>227</v>
      </c>
      <c r="DB243" s="112" t="s">
        <v>228</v>
      </c>
      <c r="DC243" s="112"/>
      <c r="DD243" s="112"/>
      <c r="DE243" s="238"/>
      <c r="DF243" s="112"/>
      <c r="DG243" s="112"/>
      <c r="DH243" s="112"/>
      <c r="DI243" s="112"/>
      <c r="DJ243" s="112"/>
      <c r="DK243" s="112">
        <f t="shared" si="411"/>
        <v>100000</v>
      </c>
      <c r="DL243" s="112"/>
      <c r="DM243" s="112"/>
      <c r="DN243" s="112"/>
      <c r="DO243" s="112"/>
      <c r="DP243" s="112"/>
      <c r="DQ243" s="112"/>
    </row>
    <row r="244" spans="4:121" x14ac:dyDescent="0.25">
      <c r="D244" t="str">
        <f t="shared" si="419"/>
        <v/>
      </c>
      <c r="E244" s="112" t="str">
        <f t="shared" si="424"/>
        <v/>
      </c>
      <c r="F244" s="112" t="str">
        <f t="shared" si="424"/>
        <v/>
      </c>
      <c r="AG244" s="238">
        <f>AG243</f>
        <v>64</v>
      </c>
      <c r="AH244" s="112" t="e">
        <f ca="1">AI243+1</f>
        <v>#N/A</v>
      </c>
      <c r="AI244" s="112" t="str">
        <f ca="1">INDIRECT(CONCATENATE("AF",AG240))</f>
        <v/>
      </c>
      <c r="AJ244" s="112" t="str">
        <f t="shared" ca="1" si="422"/>
        <v/>
      </c>
      <c r="AK244" s="112">
        <f t="shared" ca="1" si="405"/>
        <v>100000</v>
      </c>
      <c r="AL244" s="238" t="e">
        <f t="shared" ca="1" si="423"/>
        <v>#N/A</v>
      </c>
      <c r="AM244" s="112">
        <f t="shared" ca="1" si="421"/>
        <v>100000</v>
      </c>
      <c r="AN244" s="112">
        <f t="shared" ca="1" si="416"/>
        <v>100000</v>
      </c>
      <c r="AO244" s="114">
        <f t="shared" ca="1" si="409"/>
        <v>0</v>
      </c>
      <c r="AP244" s="114">
        <f t="shared" ca="1" si="410"/>
        <v>24</v>
      </c>
      <c r="AR244" s="238">
        <f t="shared" si="414"/>
        <v>244</v>
      </c>
      <c r="AU244" s="238">
        <f t="shared" si="415"/>
        <v>225</v>
      </c>
      <c r="AV244" s="238"/>
      <c r="AW244" s="238"/>
      <c r="BB244">
        <f t="shared" si="420"/>
        <v>82</v>
      </c>
      <c r="BC244" s="112" t="e">
        <f t="shared" ca="1" si="418"/>
        <v>#NUM!</v>
      </c>
      <c r="BD244" s="112"/>
      <c r="CM244" s="112"/>
      <c r="CN244" s="112"/>
      <c r="CQ244" s="112"/>
      <c r="CR244" s="112"/>
      <c r="CS244" s="112"/>
      <c r="CT244" s="112"/>
      <c r="CU244" s="112"/>
      <c r="CV244" s="112"/>
      <c r="CW244" s="112"/>
      <c r="CX244" s="112" t="s">
        <v>224</v>
      </c>
      <c r="CY244" s="112" t="s">
        <v>225</v>
      </c>
      <c r="CZ244" s="112" t="s">
        <v>226</v>
      </c>
      <c r="DA244" s="112" t="s">
        <v>227</v>
      </c>
      <c r="DB244" s="112" t="s">
        <v>228</v>
      </c>
      <c r="DC244" s="112"/>
      <c r="DD244" s="112"/>
      <c r="DE244" s="238"/>
      <c r="DF244" s="112"/>
      <c r="DG244" s="112"/>
      <c r="DH244" s="112"/>
      <c r="DI244" s="112"/>
      <c r="DJ244" s="112"/>
      <c r="DK244" s="112">
        <f t="shared" si="411"/>
        <v>100000</v>
      </c>
      <c r="DL244" s="112"/>
      <c r="DM244" s="112"/>
      <c r="DN244" s="112"/>
      <c r="DO244" s="112"/>
      <c r="DP244" s="112"/>
      <c r="DQ244" s="112"/>
    </row>
    <row r="245" spans="4:121" x14ac:dyDescent="0.25">
      <c r="D245" t="str">
        <f t="shared" si="419"/>
        <v/>
      </c>
      <c r="E245" s="112" t="str">
        <f t="shared" si="424"/>
        <v/>
      </c>
      <c r="F245" s="112" t="str">
        <f t="shared" si="424"/>
        <v/>
      </c>
      <c r="AG245" s="238">
        <f>AG244+1</f>
        <v>65</v>
      </c>
      <c r="AH245" s="112" t="str">
        <f ca="1">INDIRECT(CONCATENATE("AA",AG245))</f>
        <v/>
      </c>
      <c r="AI245" s="112" t="e">
        <f ca="1">IF(            INDIRECT(CONCATENATE( "AB",AG245))&lt;100000,       INDIRECT(CONCATENATE("AB",AG245))  -1,IF(   INDIRECT(CONCATENATE("AC",AG245))&lt;100000,   INDIRECT(CONCATENATE("AC",AG245))-1,IF(   INDIRECT(CONCATENATE("AD", AG245))&lt;100000, INDIRECT(CONCATENATE("AD",AG245))-1,IF(   INDIRECT(CONCATENATE("AE",AG245))&lt;100000,  INDIRECT(CONCATENATE("AE",G245)),INDIRECT(CONCATENATE("AF",AG245))                ))))</f>
        <v>#N/A</v>
      </c>
      <c r="AJ245" s="112" t="str">
        <f t="shared" ca="1" si="422"/>
        <v/>
      </c>
      <c r="AK245" s="112" t="str">
        <f t="shared" ca="1" si="405"/>
        <v/>
      </c>
      <c r="AL245" s="238">
        <f t="shared" ca="1" si="423"/>
        <v>0</v>
      </c>
      <c r="AM245" s="112">
        <f t="shared" ca="1" si="421"/>
        <v>100000</v>
      </c>
      <c r="AN245" s="112">
        <f t="shared" ca="1" si="416"/>
        <v>100000</v>
      </c>
      <c r="AO245" s="114">
        <f t="shared" ca="1" si="409"/>
        <v>0</v>
      </c>
      <c r="AP245" s="114">
        <f t="shared" ca="1" si="410"/>
        <v>24</v>
      </c>
      <c r="AR245" s="238">
        <f t="shared" si="414"/>
        <v>245</v>
      </c>
      <c r="AU245" s="238">
        <f t="shared" si="415"/>
        <v>226</v>
      </c>
      <c r="AV245" s="238"/>
      <c r="AW245" s="238"/>
      <c r="BB245">
        <f t="shared" si="420"/>
        <v>83</v>
      </c>
      <c r="BC245" s="112" t="e">
        <f t="shared" ca="1" si="418"/>
        <v>#NUM!</v>
      </c>
      <c r="BD245" s="112"/>
      <c r="CM245" s="112"/>
      <c r="CN245" s="112"/>
      <c r="CQ245" s="112"/>
      <c r="CR245" s="112"/>
      <c r="CS245" s="112"/>
      <c r="CT245" s="112"/>
      <c r="CU245" s="112"/>
      <c r="CV245" s="112"/>
      <c r="CW245" s="112"/>
      <c r="CX245" s="112" t="s">
        <v>224</v>
      </c>
      <c r="CY245" s="112" t="s">
        <v>225</v>
      </c>
      <c r="CZ245" s="112" t="s">
        <v>226</v>
      </c>
      <c r="DA245" s="112" t="s">
        <v>227</v>
      </c>
      <c r="DB245" s="112" t="s">
        <v>228</v>
      </c>
      <c r="DC245" s="112"/>
      <c r="DD245" s="112"/>
      <c r="DE245" s="238"/>
      <c r="DF245" s="112"/>
      <c r="DG245" s="112"/>
      <c r="DH245" s="112"/>
      <c r="DI245" s="112"/>
      <c r="DJ245" s="112"/>
      <c r="DK245" s="112">
        <f t="shared" si="411"/>
        <v>100000</v>
      </c>
      <c r="DL245" s="112"/>
      <c r="DM245" s="112"/>
      <c r="DN245" s="112"/>
      <c r="DO245" s="112"/>
      <c r="DP245" s="112"/>
      <c r="DQ245" s="112"/>
    </row>
    <row r="246" spans="4:121" x14ac:dyDescent="0.25">
      <c r="D246" t="str">
        <f t="shared" si="419"/>
        <v/>
      </c>
      <c r="E246" s="112" t="str">
        <f t="shared" si="424"/>
        <v/>
      </c>
      <c r="F246" s="112" t="str">
        <f t="shared" si="424"/>
        <v/>
      </c>
      <c r="AG246" s="238">
        <f>AG245</f>
        <v>65</v>
      </c>
      <c r="AH246" s="112" t="e">
        <f ca="1">AI245+1</f>
        <v>#N/A</v>
      </c>
      <c r="AI246" s="112" t="e">
        <f ca="1">IF(INDIRECT(CONCATENATE("AC",AG245))&lt;100000,INDIRECT(CONCATENATE("AC",AG245))-1,IF(INDIRECT(CONCATENATE("AD",AG245))&lt;100000,INDIRECT(CONCATENATE("AD",AG245))-1,IF(INDIRECT(CONCATENATE("AE",AG245))&lt;100000,INDIRECT(CONCATENATE("AE",G245)),INDIRECT(CONCATENATE("AF",AG245)))))</f>
        <v>#N/A</v>
      </c>
      <c r="AJ246" s="112" t="e">
        <f t="shared" ca="1" si="422"/>
        <v>#N/A</v>
      </c>
      <c r="AK246" s="112">
        <f t="shared" ca="1" si="405"/>
        <v>100000</v>
      </c>
      <c r="AL246" s="238" t="e">
        <f t="shared" ca="1" si="423"/>
        <v>#N/A</v>
      </c>
      <c r="AM246" s="112">
        <f t="shared" ca="1" si="421"/>
        <v>100000</v>
      </c>
      <c r="AN246" s="112">
        <f t="shared" ca="1" si="416"/>
        <v>100000</v>
      </c>
      <c r="AO246" s="114">
        <f t="shared" ca="1" si="409"/>
        <v>0</v>
      </c>
      <c r="AP246" s="114">
        <f t="shared" ca="1" si="410"/>
        <v>24</v>
      </c>
      <c r="AR246" s="238">
        <f t="shared" si="414"/>
        <v>246</v>
      </c>
      <c r="AU246" s="238">
        <f t="shared" si="415"/>
        <v>227</v>
      </c>
      <c r="AV246" s="238"/>
      <c r="AW246" s="238"/>
      <c r="BB246">
        <f t="shared" si="420"/>
        <v>84</v>
      </c>
      <c r="BC246" s="112" t="e">
        <f t="shared" ca="1" si="418"/>
        <v>#NUM!</v>
      </c>
      <c r="BD246" s="112"/>
      <c r="CM246" s="112"/>
      <c r="CN246" s="112"/>
      <c r="CQ246" s="112"/>
      <c r="CR246" s="112"/>
      <c r="CS246" s="112"/>
      <c r="CT246" s="112"/>
      <c r="CU246" s="112"/>
      <c r="CV246" s="112"/>
      <c r="CW246" s="112"/>
      <c r="CX246" s="112" t="s">
        <v>224</v>
      </c>
      <c r="CY246" s="112" t="s">
        <v>225</v>
      </c>
      <c r="CZ246" s="112" t="s">
        <v>226</v>
      </c>
      <c r="DA246" s="112" t="s">
        <v>227</v>
      </c>
      <c r="DB246" s="112" t="s">
        <v>228</v>
      </c>
      <c r="DC246" s="112"/>
      <c r="DD246" s="112"/>
      <c r="DE246" s="238"/>
      <c r="DF246" s="112"/>
      <c r="DG246" s="112"/>
      <c r="DH246" s="112"/>
      <c r="DI246" s="112"/>
      <c r="DJ246" s="112"/>
      <c r="DK246" s="112">
        <f t="shared" si="411"/>
        <v>100000</v>
      </c>
      <c r="DL246" s="112"/>
      <c r="DM246" s="112"/>
      <c r="DN246" s="112"/>
      <c r="DO246" s="112"/>
      <c r="DP246" s="112"/>
      <c r="DQ246" s="112"/>
    </row>
    <row r="247" spans="4:121" x14ac:dyDescent="0.25">
      <c r="D247" t="str">
        <f t="shared" si="419"/>
        <v/>
      </c>
      <c r="E247" s="112" t="str">
        <f t="shared" si="424"/>
        <v/>
      </c>
      <c r="F247" s="112" t="str">
        <f t="shared" si="424"/>
        <v/>
      </c>
      <c r="AG247" s="238">
        <f>AG246</f>
        <v>65</v>
      </c>
      <c r="AH247" s="112" t="e">
        <f ca="1">AI246+1</f>
        <v>#N/A</v>
      </c>
      <c r="AI247" s="112" t="e">
        <f ca="1">IF(INDIRECT(CONCATENATE("AD",AG245))&lt;100000,INDIRECT(CONCATENATE("AD",AG245))-1,IF(INDIRECT(CONCATENATE("AE",AG245))&lt;100000,INDIRECT(CONCATENATE("AE",G245)),INDIRECT(CONCATENATE("AF",AG245))))</f>
        <v>#N/A</v>
      </c>
      <c r="AJ247" s="112" t="e">
        <f t="shared" ca="1" si="422"/>
        <v>#N/A</v>
      </c>
      <c r="AK247" s="112">
        <f t="shared" ref="AK247:AK310" ca="1" si="425">IF(TYPE(AH247)=16,100000,AJ247)</f>
        <v>100000</v>
      </c>
      <c r="AL247" s="238" t="e">
        <f t="shared" ca="1" si="423"/>
        <v>#N/A</v>
      </c>
      <c r="AM247" s="112">
        <f t="shared" ca="1" si="421"/>
        <v>100000</v>
      </c>
      <c r="AN247" s="112">
        <f t="shared" ca="1" si="416"/>
        <v>100000</v>
      </c>
      <c r="AO247" s="114">
        <f t="shared" ca="1" si="409"/>
        <v>0</v>
      </c>
      <c r="AP247" s="114">
        <f t="shared" ca="1" si="410"/>
        <v>24</v>
      </c>
      <c r="AR247" s="238">
        <f t="shared" si="414"/>
        <v>247</v>
      </c>
      <c r="AU247" s="238">
        <f t="shared" si="415"/>
        <v>228</v>
      </c>
      <c r="AV247" s="238"/>
      <c r="AW247" s="238"/>
      <c r="BB247">
        <f t="shared" si="420"/>
        <v>85</v>
      </c>
      <c r="BC247" s="112" t="e">
        <f t="shared" ca="1" si="418"/>
        <v>#NUM!</v>
      </c>
      <c r="BD247" s="112"/>
      <c r="CM247" s="112"/>
      <c r="CN247" s="112"/>
      <c r="CQ247" s="112"/>
      <c r="CR247" s="112"/>
      <c r="CS247" s="112"/>
      <c r="CT247" s="112"/>
      <c r="CU247" s="112"/>
      <c r="CV247" s="112"/>
      <c r="CW247" s="112"/>
      <c r="CX247" s="112" t="s">
        <v>224</v>
      </c>
      <c r="CY247" s="112" t="s">
        <v>225</v>
      </c>
      <c r="CZ247" s="112" t="s">
        <v>226</v>
      </c>
      <c r="DA247" s="112" t="s">
        <v>227</v>
      </c>
      <c r="DB247" s="112" t="s">
        <v>228</v>
      </c>
      <c r="DC247" s="112"/>
      <c r="DD247" s="112"/>
      <c r="DE247" s="238"/>
      <c r="DF247" s="112"/>
      <c r="DG247" s="112"/>
      <c r="DH247" s="112"/>
      <c r="DI247" s="112"/>
      <c r="DJ247" s="112"/>
      <c r="DK247" s="112">
        <f t="shared" si="411"/>
        <v>100000</v>
      </c>
      <c r="DL247" s="112"/>
      <c r="DM247" s="112"/>
      <c r="DN247" s="112"/>
      <c r="DO247" s="112"/>
      <c r="DP247" s="112"/>
      <c r="DQ247" s="112"/>
    </row>
    <row r="248" spans="4:121" x14ac:dyDescent="0.25">
      <c r="D248" t="str">
        <f t="shared" si="419"/>
        <v/>
      </c>
      <c r="E248" s="112" t="str">
        <f t="shared" si="424"/>
        <v/>
      </c>
      <c r="F248" s="112" t="str">
        <f t="shared" si="424"/>
        <v/>
      </c>
      <c r="AG248" s="238">
        <f>AG247</f>
        <v>65</v>
      </c>
      <c r="AH248" s="112" t="e">
        <f ca="1">AI247+1</f>
        <v>#N/A</v>
      </c>
      <c r="AI248" s="112" t="e">
        <f ca="1">IF(INDIRECT(CONCATENATE("AE",AG245))&lt;100000,INDIRECT(CONCATENATE("AE",G245)),INDIRECT(CONCATENATE("AF",AG245)))</f>
        <v>#N/A</v>
      </c>
      <c r="AJ248" s="112" t="e">
        <f t="shared" ca="1" si="422"/>
        <v>#N/A</v>
      </c>
      <c r="AK248" s="112">
        <f t="shared" ca="1" si="425"/>
        <v>100000</v>
      </c>
      <c r="AL248" s="238" t="e">
        <f t="shared" ca="1" si="423"/>
        <v>#N/A</v>
      </c>
      <c r="AM248" s="112">
        <f t="shared" ca="1" si="421"/>
        <v>100000</v>
      </c>
      <c r="AN248" s="112">
        <f t="shared" ca="1" si="416"/>
        <v>100000</v>
      </c>
      <c r="AO248" s="114">
        <f t="shared" ca="1" si="409"/>
        <v>0</v>
      </c>
      <c r="AP248" s="114">
        <f t="shared" ca="1" si="410"/>
        <v>24</v>
      </c>
      <c r="AR248" s="238">
        <f t="shared" si="414"/>
        <v>248</v>
      </c>
      <c r="AU248" s="238">
        <f t="shared" si="415"/>
        <v>229</v>
      </c>
      <c r="AV248" s="238"/>
      <c r="AW248" s="238"/>
      <c r="BB248">
        <f t="shared" si="420"/>
        <v>86</v>
      </c>
      <c r="BC248" s="112" t="e">
        <f t="shared" ca="1" si="418"/>
        <v>#NUM!</v>
      </c>
      <c r="BD248" s="112"/>
      <c r="CM248" s="112"/>
      <c r="CN248" s="112"/>
      <c r="CQ248" s="112"/>
      <c r="CR248" s="112"/>
      <c r="CS248" s="112"/>
      <c r="CT248" s="112"/>
      <c r="CU248" s="112"/>
      <c r="CV248" s="112"/>
      <c r="CW248" s="112"/>
      <c r="CX248" s="112" t="s">
        <v>224</v>
      </c>
      <c r="CY248" s="112" t="s">
        <v>225</v>
      </c>
      <c r="CZ248" s="112" t="s">
        <v>226</v>
      </c>
      <c r="DA248" s="112" t="s">
        <v>227</v>
      </c>
      <c r="DB248" s="112" t="s">
        <v>228</v>
      </c>
      <c r="DC248" s="112"/>
      <c r="DD248" s="112"/>
      <c r="DE248" s="238"/>
      <c r="DF248" s="112"/>
      <c r="DG248" s="112"/>
      <c r="DH248" s="112"/>
      <c r="DI248" s="112"/>
      <c r="DJ248" s="112"/>
      <c r="DK248" s="112">
        <f t="shared" si="411"/>
        <v>100000</v>
      </c>
      <c r="DL248" s="112"/>
      <c r="DM248" s="112"/>
      <c r="DN248" s="112"/>
      <c r="DO248" s="112"/>
      <c r="DP248" s="112"/>
      <c r="DQ248" s="112"/>
    </row>
    <row r="249" spans="4:121" x14ac:dyDescent="0.25">
      <c r="D249" t="str">
        <f t="shared" si="419"/>
        <v/>
      </c>
      <c r="E249" s="112" t="str">
        <f t="shared" si="424"/>
        <v/>
      </c>
      <c r="F249" s="112" t="str">
        <f t="shared" si="424"/>
        <v/>
      </c>
      <c r="AG249" s="238">
        <f>AG248</f>
        <v>65</v>
      </c>
      <c r="AH249" s="112" t="e">
        <f ca="1">AI248+1</f>
        <v>#N/A</v>
      </c>
      <c r="AI249" s="112" t="str">
        <f ca="1">INDIRECT(CONCATENATE("AF",AG245))</f>
        <v/>
      </c>
      <c r="AJ249" s="112" t="str">
        <f t="shared" ca="1" si="422"/>
        <v/>
      </c>
      <c r="AK249" s="112">
        <f t="shared" ca="1" si="425"/>
        <v>100000</v>
      </c>
      <c r="AL249" s="238" t="e">
        <f t="shared" ca="1" si="423"/>
        <v>#N/A</v>
      </c>
      <c r="AM249" s="112">
        <f t="shared" ca="1" si="421"/>
        <v>100000</v>
      </c>
      <c r="AN249" s="112">
        <f t="shared" ca="1" si="416"/>
        <v>100000</v>
      </c>
      <c r="AO249" s="114">
        <f t="shared" ca="1" si="409"/>
        <v>0</v>
      </c>
      <c r="AP249" s="114">
        <f t="shared" ca="1" si="410"/>
        <v>24</v>
      </c>
      <c r="AR249" s="238">
        <f t="shared" si="414"/>
        <v>249</v>
      </c>
      <c r="AU249" s="238">
        <f t="shared" si="415"/>
        <v>230</v>
      </c>
      <c r="AV249" s="238"/>
      <c r="AW249" s="238"/>
      <c r="CM249" s="112"/>
      <c r="CN249" s="112"/>
      <c r="CQ249" s="112"/>
      <c r="CR249" s="112"/>
      <c r="CS249" s="112"/>
      <c r="CT249" s="112"/>
      <c r="CU249" s="112"/>
      <c r="CV249" s="112"/>
      <c r="CW249" s="112"/>
      <c r="CX249" s="112" t="s">
        <v>224</v>
      </c>
      <c r="CY249" s="112" t="s">
        <v>225</v>
      </c>
      <c r="CZ249" s="112" t="s">
        <v>226</v>
      </c>
      <c r="DA249" s="112" t="s">
        <v>227</v>
      </c>
      <c r="DB249" s="112" t="s">
        <v>228</v>
      </c>
      <c r="DC249" s="112"/>
      <c r="DD249" s="112"/>
      <c r="DE249" s="238"/>
      <c r="DF249" s="112"/>
      <c r="DG249" s="112"/>
      <c r="DH249" s="112"/>
      <c r="DI249" s="112"/>
      <c r="DJ249" s="112"/>
      <c r="DK249" s="112">
        <f t="shared" si="411"/>
        <v>100000</v>
      </c>
      <c r="DL249" s="112"/>
      <c r="DM249" s="112"/>
      <c r="DN249" s="112"/>
      <c r="DO249" s="112"/>
      <c r="DP249" s="112"/>
      <c r="DQ249" s="112"/>
    </row>
    <row r="250" spans="4:121" x14ac:dyDescent="0.25">
      <c r="D250" t="str">
        <f t="shared" si="419"/>
        <v/>
      </c>
      <c r="E250" s="112" t="str">
        <f t="shared" si="424"/>
        <v/>
      </c>
      <c r="F250" s="112" t="str">
        <f t="shared" si="424"/>
        <v/>
      </c>
      <c r="AG250" s="238">
        <f>AG249+1</f>
        <v>66</v>
      </c>
      <c r="AH250" s="112" t="str">
        <f ca="1">INDIRECT(CONCATENATE("AA",AG250))</f>
        <v/>
      </c>
      <c r="AI250" s="112" t="e">
        <f ca="1">IF(            INDIRECT(CONCATENATE( "AB",AG250))&lt;100000,       INDIRECT(CONCATENATE("AB",AG250))  -1,IF(   INDIRECT(CONCATENATE("AC",AG250))&lt;100000,   INDIRECT(CONCATENATE("AC",AG250))-1,IF(   INDIRECT(CONCATENATE("AD", AG250))&lt;100000, INDIRECT(CONCATENATE("AD",AG250))-1,IF(   INDIRECT(CONCATENATE("AE",AG250))&lt;100000,  INDIRECT(CONCATENATE("AE",G250)),INDIRECT(CONCATENATE("AF",AG250))                ))))</f>
        <v>#N/A</v>
      </c>
      <c r="AJ250" s="112" t="str">
        <f t="shared" ca="1" si="422"/>
        <v/>
      </c>
      <c r="AK250" s="112" t="str">
        <f t="shared" ca="1" si="425"/>
        <v/>
      </c>
      <c r="AL250" s="238">
        <f t="shared" ca="1" si="423"/>
        <v>0</v>
      </c>
      <c r="AM250" s="112">
        <f t="shared" ca="1" si="421"/>
        <v>100000</v>
      </c>
      <c r="AN250" s="112">
        <f t="shared" ca="1" si="416"/>
        <v>100000</v>
      </c>
      <c r="AO250" s="114">
        <f t="shared" ca="1" si="409"/>
        <v>0</v>
      </c>
      <c r="AP250" s="114">
        <f t="shared" ca="1" si="410"/>
        <v>24</v>
      </c>
      <c r="AR250" s="238">
        <f t="shared" si="414"/>
        <v>250</v>
      </c>
      <c r="AU250" s="238">
        <f t="shared" si="415"/>
        <v>231</v>
      </c>
      <c r="AV250" s="238"/>
      <c r="AW250" s="238"/>
      <c r="CM250" s="112"/>
      <c r="CN250" s="112"/>
      <c r="CQ250" s="112"/>
      <c r="CR250" s="112"/>
      <c r="CS250" s="112"/>
      <c r="CT250" s="112"/>
      <c r="CU250" s="112"/>
      <c r="CV250" s="112"/>
      <c r="CW250" s="112"/>
      <c r="CX250" s="112" t="s">
        <v>224</v>
      </c>
      <c r="CY250" s="112" t="s">
        <v>225</v>
      </c>
      <c r="CZ250" s="112" t="s">
        <v>226</v>
      </c>
      <c r="DA250" s="112" t="s">
        <v>227</v>
      </c>
      <c r="DB250" s="112" t="s">
        <v>228</v>
      </c>
      <c r="DC250" s="112"/>
      <c r="DD250" s="112"/>
      <c r="DE250" s="238"/>
      <c r="DF250" s="112"/>
      <c r="DG250" s="112"/>
      <c r="DH250" s="112"/>
      <c r="DI250" s="112"/>
      <c r="DJ250" s="112"/>
      <c r="DK250" s="112">
        <f t="shared" si="411"/>
        <v>100000</v>
      </c>
      <c r="DL250" s="112"/>
      <c r="DM250" s="112"/>
      <c r="DN250" s="112"/>
      <c r="DO250" s="112"/>
      <c r="DP250" s="112"/>
      <c r="DQ250" s="112"/>
    </row>
    <row r="251" spans="4:121" x14ac:dyDescent="0.25">
      <c r="D251" t="str">
        <f t="shared" si="419"/>
        <v/>
      </c>
      <c r="E251" s="112" t="str">
        <f t="shared" si="424"/>
        <v/>
      </c>
      <c r="F251" s="112" t="str">
        <f t="shared" si="424"/>
        <v/>
      </c>
      <c r="AG251" s="238">
        <f>AG250</f>
        <v>66</v>
      </c>
      <c r="AH251" s="112" t="e">
        <f ca="1">AI250+1</f>
        <v>#N/A</v>
      </c>
      <c r="AI251" s="112" t="e">
        <f ca="1">IF(INDIRECT(CONCATENATE("AC",AG250))&lt;100000,INDIRECT(CONCATENATE("AC",AG250))-1,IF(INDIRECT(CONCATENATE("AD",AG250))&lt;100000,INDIRECT(CONCATENATE("AD",AG250))-1,IF(INDIRECT(CONCATENATE("AE",AG250))&lt;100000,INDIRECT(CONCATENATE("AE",G250)),INDIRECT(CONCATENATE("AF",AG250)))))</f>
        <v>#N/A</v>
      </c>
      <c r="AJ251" s="112" t="e">
        <f t="shared" ca="1" si="422"/>
        <v>#N/A</v>
      </c>
      <c r="AK251" s="112">
        <f t="shared" ca="1" si="425"/>
        <v>100000</v>
      </c>
      <c r="AL251" s="238" t="e">
        <f t="shared" ca="1" si="423"/>
        <v>#N/A</v>
      </c>
      <c r="AM251" s="112">
        <f t="shared" ca="1" si="421"/>
        <v>100000</v>
      </c>
      <c r="AN251" s="112">
        <f t="shared" ca="1" si="416"/>
        <v>100000</v>
      </c>
      <c r="AO251" s="114">
        <f t="shared" ca="1" si="409"/>
        <v>0</v>
      </c>
      <c r="AP251" s="114">
        <f t="shared" ca="1" si="410"/>
        <v>24</v>
      </c>
      <c r="AR251" s="238">
        <f t="shared" si="414"/>
        <v>251</v>
      </c>
      <c r="AU251" s="238">
        <f t="shared" si="415"/>
        <v>232</v>
      </c>
      <c r="AV251" s="238"/>
      <c r="AW251" s="238"/>
      <c r="CM251" s="112"/>
      <c r="CN251" s="112"/>
      <c r="CQ251" s="112"/>
      <c r="CR251" s="112"/>
      <c r="CS251" s="112"/>
      <c r="CT251" s="112"/>
      <c r="CU251" s="112"/>
      <c r="CV251" s="112"/>
      <c r="CW251" s="112"/>
      <c r="CX251" s="112" t="s">
        <v>224</v>
      </c>
      <c r="CY251" s="112" t="s">
        <v>225</v>
      </c>
      <c r="CZ251" s="112" t="s">
        <v>226</v>
      </c>
      <c r="DA251" s="112" t="s">
        <v>227</v>
      </c>
      <c r="DB251" s="112" t="s">
        <v>228</v>
      </c>
      <c r="DC251" s="112"/>
      <c r="DD251" s="112"/>
      <c r="DE251" s="238"/>
      <c r="DF251" s="112"/>
      <c r="DG251" s="112"/>
      <c r="DH251" s="112"/>
      <c r="DI251" s="112"/>
      <c r="DJ251" s="112"/>
      <c r="DK251" s="112">
        <f t="shared" si="411"/>
        <v>100000</v>
      </c>
      <c r="DL251" s="112"/>
      <c r="DM251" s="112"/>
      <c r="DN251" s="112"/>
      <c r="DO251" s="112"/>
      <c r="DP251" s="112"/>
      <c r="DQ251" s="112"/>
    </row>
    <row r="252" spans="4:121" x14ac:dyDescent="0.25">
      <c r="D252" t="str">
        <f t="shared" si="419"/>
        <v/>
      </c>
      <c r="E252" s="112" t="str">
        <f t="shared" si="424"/>
        <v/>
      </c>
      <c r="F252" s="112" t="str">
        <f t="shared" si="424"/>
        <v/>
      </c>
      <c r="AG252" s="238">
        <f>AG251</f>
        <v>66</v>
      </c>
      <c r="AH252" s="112" t="e">
        <f ca="1">AI251+1</f>
        <v>#N/A</v>
      </c>
      <c r="AI252" s="112" t="e">
        <f ca="1">IF(INDIRECT(CONCATENATE("AD",AG250))&lt;100000,INDIRECT(CONCATENATE("AD",AG250))-1,IF(INDIRECT(CONCATENATE("AE",AG250))&lt;100000,INDIRECT(CONCATENATE("AE",G250)),INDIRECT(CONCATENATE("AF",AG250))))</f>
        <v>#N/A</v>
      </c>
      <c r="AJ252" s="112" t="e">
        <f t="shared" ca="1" si="422"/>
        <v>#N/A</v>
      </c>
      <c r="AK252" s="112">
        <f t="shared" ca="1" si="425"/>
        <v>100000</v>
      </c>
      <c r="AL252" s="238" t="e">
        <f t="shared" ca="1" si="423"/>
        <v>#N/A</v>
      </c>
      <c r="AM252" s="112">
        <f t="shared" ca="1" si="421"/>
        <v>100000</v>
      </c>
      <c r="AN252" s="112">
        <f t="shared" ca="1" si="416"/>
        <v>100000</v>
      </c>
      <c r="AO252" s="114">
        <f t="shared" ca="1" si="409"/>
        <v>0</v>
      </c>
      <c r="AP252" s="114">
        <f t="shared" ca="1" si="410"/>
        <v>24</v>
      </c>
      <c r="AR252" s="238">
        <f t="shared" si="414"/>
        <v>252</v>
      </c>
      <c r="AU252" s="238">
        <f t="shared" si="415"/>
        <v>233</v>
      </c>
      <c r="AV252" s="238"/>
      <c r="AW252" s="238"/>
      <c r="CM252" s="112"/>
      <c r="CN252" s="112"/>
      <c r="CQ252" s="112"/>
      <c r="CR252" s="112"/>
      <c r="CS252" s="112"/>
      <c r="CT252" s="112"/>
      <c r="CU252" s="112"/>
      <c r="CV252" s="112"/>
      <c r="CW252" s="112"/>
      <c r="CX252" s="112" t="s">
        <v>224</v>
      </c>
      <c r="CY252" s="112" t="s">
        <v>225</v>
      </c>
      <c r="CZ252" s="112" t="s">
        <v>226</v>
      </c>
      <c r="DA252" s="112" t="s">
        <v>227</v>
      </c>
      <c r="DB252" s="112" t="s">
        <v>228</v>
      </c>
      <c r="DC252" s="112"/>
      <c r="DD252" s="112"/>
      <c r="DE252" s="238"/>
      <c r="DF252" s="112"/>
      <c r="DG252" s="112"/>
      <c r="DH252" s="112"/>
      <c r="DI252" s="112"/>
      <c r="DJ252" s="112"/>
      <c r="DK252" s="112">
        <f t="shared" si="411"/>
        <v>100000</v>
      </c>
      <c r="DL252" s="112"/>
      <c r="DM252" s="112"/>
      <c r="DN252" s="112"/>
      <c r="DO252" s="112"/>
      <c r="DP252" s="112"/>
      <c r="DQ252" s="112"/>
    </row>
    <row r="253" spans="4:121" x14ac:dyDescent="0.25">
      <c r="D253" t="str">
        <f t="shared" si="419"/>
        <v/>
      </c>
      <c r="E253" s="112" t="str">
        <f t="shared" si="424"/>
        <v/>
      </c>
      <c r="F253" s="112" t="str">
        <f t="shared" si="424"/>
        <v/>
      </c>
      <c r="AG253" s="238">
        <f>AG252</f>
        <v>66</v>
      </c>
      <c r="AH253" s="112" t="e">
        <f ca="1">AI252+1</f>
        <v>#N/A</v>
      </c>
      <c r="AI253" s="112" t="e">
        <f ca="1">IF(INDIRECT(CONCATENATE("AE",AG250))&lt;100000,INDIRECT(CONCATENATE("AE",G250)),INDIRECT(CONCATENATE("AF",AG250)))</f>
        <v>#N/A</v>
      </c>
      <c r="AJ253" s="112" t="e">
        <f t="shared" ca="1" si="422"/>
        <v>#N/A</v>
      </c>
      <c r="AK253" s="112">
        <f t="shared" ca="1" si="425"/>
        <v>100000</v>
      </c>
      <c r="AL253" s="238" t="e">
        <f t="shared" ca="1" si="423"/>
        <v>#N/A</v>
      </c>
      <c r="AM253" s="112">
        <f t="shared" ca="1" si="421"/>
        <v>100000</v>
      </c>
      <c r="AN253" s="112">
        <f t="shared" ca="1" si="416"/>
        <v>100000</v>
      </c>
      <c r="AO253" s="114">
        <f t="shared" ca="1" si="409"/>
        <v>0</v>
      </c>
      <c r="AP253" s="114">
        <f t="shared" ca="1" si="410"/>
        <v>24</v>
      </c>
      <c r="AR253" s="238">
        <f t="shared" si="414"/>
        <v>253</v>
      </c>
      <c r="AU253" s="238">
        <f t="shared" si="415"/>
        <v>234</v>
      </c>
      <c r="AV253" s="238"/>
      <c r="AW253" s="238"/>
      <c r="CM253" s="112"/>
      <c r="CN253" s="112"/>
      <c r="CQ253" s="112"/>
      <c r="CR253" s="112"/>
      <c r="CS253" s="112"/>
      <c r="CT253" s="112"/>
      <c r="CU253" s="112"/>
      <c r="CV253" s="112"/>
      <c r="CW253" s="112"/>
      <c r="CX253" s="112" t="s">
        <v>224</v>
      </c>
      <c r="CY253" s="112" t="s">
        <v>225</v>
      </c>
      <c r="CZ253" s="112" t="s">
        <v>226</v>
      </c>
      <c r="DA253" s="112" t="s">
        <v>227</v>
      </c>
      <c r="DB253" s="112" t="s">
        <v>228</v>
      </c>
      <c r="DC253" s="112"/>
      <c r="DD253" s="112"/>
      <c r="DE253" s="238"/>
      <c r="DF253" s="112"/>
      <c r="DG253" s="112"/>
      <c r="DH253" s="112"/>
      <c r="DI253" s="112"/>
      <c r="DJ253" s="112"/>
      <c r="DK253" s="112">
        <f t="shared" si="411"/>
        <v>100000</v>
      </c>
      <c r="DL253" s="112"/>
      <c r="DM253" s="112"/>
      <c r="DN253" s="112"/>
      <c r="DO253" s="112"/>
      <c r="DP253" s="112"/>
      <c r="DQ253" s="112"/>
    </row>
    <row r="254" spans="4:121" x14ac:dyDescent="0.25">
      <c r="D254" t="str">
        <f t="shared" si="419"/>
        <v/>
      </c>
      <c r="E254" s="112" t="str">
        <f t="shared" si="424"/>
        <v/>
      </c>
      <c r="F254" s="112" t="str">
        <f t="shared" si="424"/>
        <v/>
      </c>
      <c r="AG254" s="238">
        <f>AG253</f>
        <v>66</v>
      </c>
      <c r="AH254" s="112" t="e">
        <f ca="1">AI253+1</f>
        <v>#N/A</v>
      </c>
      <c r="AI254" s="112" t="str">
        <f ca="1">INDIRECT(CONCATENATE("AF",AG250))</f>
        <v/>
      </c>
      <c r="AJ254" s="112" t="str">
        <f t="shared" ca="1" si="422"/>
        <v/>
      </c>
      <c r="AK254" s="112">
        <f t="shared" ca="1" si="425"/>
        <v>100000</v>
      </c>
      <c r="AL254" s="238" t="e">
        <f t="shared" ca="1" si="423"/>
        <v>#N/A</v>
      </c>
      <c r="AM254" s="112">
        <f t="shared" ca="1" si="421"/>
        <v>100000</v>
      </c>
      <c r="AN254" s="112">
        <f t="shared" ca="1" si="416"/>
        <v>100000</v>
      </c>
      <c r="AO254" s="114">
        <f t="shared" ca="1" si="409"/>
        <v>0</v>
      </c>
      <c r="AP254" s="114">
        <f t="shared" ca="1" si="410"/>
        <v>24</v>
      </c>
      <c r="AR254" s="238">
        <f t="shared" si="414"/>
        <v>254</v>
      </c>
      <c r="AU254" s="238">
        <f t="shared" si="415"/>
        <v>235</v>
      </c>
      <c r="AV254" s="238"/>
      <c r="AW254" s="238"/>
      <c r="CM254" s="112"/>
      <c r="CN254" s="112"/>
      <c r="CQ254" s="112"/>
      <c r="CR254" s="112"/>
      <c r="CS254" s="112"/>
      <c r="CT254" s="112"/>
      <c r="CU254" s="112"/>
      <c r="CV254" s="112"/>
      <c r="CW254" s="112"/>
      <c r="CX254" s="112" t="s">
        <v>224</v>
      </c>
      <c r="CY254" s="112" t="s">
        <v>225</v>
      </c>
      <c r="CZ254" s="112" t="s">
        <v>226</v>
      </c>
      <c r="DA254" s="112" t="s">
        <v>227</v>
      </c>
      <c r="DB254" s="112" t="s">
        <v>228</v>
      </c>
      <c r="DC254" s="112"/>
      <c r="DD254" s="112"/>
      <c r="DE254" s="238"/>
      <c r="DF254" s="112"/>
      <c r="DG254" s="112"/>
      <c r="DH254" s="112"/>
      <c r="DI254" s="112"/>
      <c r="DJ254" s="112"/>
      <c r="DK254" s="112">
        <f t="shared" si="411"/>
        <v>100000</v>
      </c>
      <c r="DL254" s="112"/>
      <c r="DM254" s="112"/>
      <c r="DN254" s="112"/>
      <c r="DO254" s="112"/>
      <c r="DP254" s="112"/>
      <c r="DQ254" s="112"/>
    </row>
    <row r="255" spans="4:121" x14ac:dyDescent="0.25">
      <c r="D255" t="str">
        <f t="shared" si="419"/>
        <v/>
      </c>
      <c r="E255" s="112" t="str">
        <f t="shared" si="424"/>
        <v/>
      </c>
      <c r="F255" s="112" t="str">
        <f t="shared" si="424"/>
        <v/>
      </c>
      <c r="AG255" s="238">
        <f>AG254+1</f>
        <v>67</v>
      </c>
      <c r="AH255" s="112" t="str">
        <f ca="1">INDIRECT(CONCATENATE("AA",AG255))</f>
        <v/>
      </c>
      <c r="AI255" s="112" t="e">
        <f ca="1">IF(            INDIRECT(CONCATENATE( "AB",AG255))&lt;100000,       INDIRECT(CONCATENATE("AB",AG255))  -1,IF(   INDIRECT(CONCATENATE("AC",AG255))&lt;100000,   INDIRECT(CONCATENATE("AC",AG255))-1,IF(   INDIRECT(CONCATENATE("AD", AG255))&lt;100000, INDIRECT(CONCATENATE("AD",AG255))-1,IF(   INDIRECT(CONCATENATE("AE",AG255))&lt;100000,  INDIRECT(CONCATENATE("AE",G255)),INDIRECT(CONCATENATE("AF",AG255))                ))))</f>
        <v>#N/A</v>
      </c>
      <c r="AJ255" s="112" t="str">
        <f t="shared" ca="1" si="422"/>
        <v/>
      </c>
      <c r="AK255" s="112" t="str">
        <f t="shared" ca="1" si="425"/>
        <v/>
      </c>
      <c r="AL255" s="238">
        <f t="shared" ca="1" si="423"/>
        <v>0</v>
      </c>
      <c r="AM255" s="112">
        <f t="shared" ca="1" si="421"/>
        <v>100000</v>
      </c>
      <c r="AN255" s="112">
        <f t="shared" ca="1" si="416"/>
        <v>100000</v>
      </c>
      <c r="AO255" s="114">
        <f t="shared" ca="1" si="409"/>
        <v>0</v>
      </c>
      <c r="AP255" s="114">
        <f t="shared" ca="1" si="410"/>
        <v>24</v>
      </c>
      <c r="AR255" s="238">
        <f t="shared" si="414"/>
        <v>255</v>
      </c>
      <c r="AU255" s="238">
        <f t="shared" si="415"/>
        <v>236</v>
      </c>
      <c r="AV255" s="238"/>
      <c r="AW255" s="238"/>
      <c r="CM255" s="112"/>
      <c r="CN255" s="112"/>
      <c r="CQ255" s="112"/>
      <c r="CR255" s="112"/>
      <c r="CS255" s="112"/>
      <c r="CT255" s="112"/>
      <c r="CU255" s="112"/>
      <c r="CV255" s="112"/>
      <c r="CW255" s="112"/>
      <c r="CX255" s="112" t="s">
        <v>224</v>
      </c>
      <c r="CY255" s="112" t="s">
        <v>225</v>
      </c>
      <c r="CZ255" s="112" t="s">
        <v>226</v>
      </c>
      <c r="DA255" s="112" t="s">
        <v>227</v>
      </c>
      <c r="DB255" s="112" t="s">
        <v>228</v>
      </c>
      <c r="DC255" s="112"/>
      <c r="DD255" s="112"/>
      <c r="DE255" s="238"/>
      <c r="DF255" s="112"/>
      <c r="DG255" s="112"/>
      <c r="DH255" s="112"/>
      <c r="DI255" s="112"/>
      <c r="DJ255" s="112"/>
      <c r="DK255" s="112">
        <f t="shared" si="411"/>
        <v>100000</v>
      </c>
      <c r="DL255" s="112"/>
      <c r="DM255" s="112"/>
      <c r="DN255" s="112"/>
      <c r="DO255" s="112"/>
      <c r="DP255" s="112"/>
      <c r="DQ255" s="112"/>
    </row>
    <row r="256" spans="4:121" x14ac:dyDescent="0.25">
      <c r="D256" t="str">
        <f t="shared" si="419"/>
        <v/>
      </c>
      <c r="E256" s="112" t="str">
        <f t="shared" si="424"/>
        <v/>
      </c>
      <c r="F256" s="112" t="str">
        <f t="shared" si="424"/>
        <v/>
      </c>
      <c r="AG256" s="238">
        <f>AG255</f>
        <v>67</v>
      </c>
      <c r="AH256" s="112" t="e">
        <f ca="1">AI255+1</f>
        <v>#N/A</v>
      </c>
      <c r="AI256" s="112" t="e">
        <f ca="1">IF(INDIRECT(CONCATENATE("AC",AG255))&lt;100000,INDIRECT(CONCATENATE("AC",AG255))-1,IF(INDIRECT(CONCATENATE("AD",AG255))&lt;100000,INDIRECT(CONCATENATE("AD",AG255))-1,IF(INDIRECT(CONCATENATE("AE",AG255))&lt;100000,INDIRECT(CONCATENATE("AE",G255)),INDIRECT(CONCATENATE("AF",AG255)))))</f>
        <v>#N/A</v>
      </c>
      <c r="AJ256" s="112" t="e">
        <f t="shared" ca="1" si="422"/>
        <v>#N/A</v>
      </c>
      <c r="AK256" s="112">
        <f t="shared" ca="1" si="425"/>
        <v>100000</v>
      </c>
      <c r="AL256" s="238" t="e">
        <f t="shared" ca="1" si="423"/>
        <v>#N/A</v>
      </c>
      <c r="AM256" s="112">
        <f t="shared" ca="1" si="421"/>
        <v>100000</v>
      </c>
      <c r="AN256" s="112">
        <f t="shared" ca="1" si="416"/>
        <v>100000</v>
      </c>
      <c r="AO256" s="114">
        <f t="shared" ca="1" si="409"/>
        <v>0</v>
      </c>
      <c r="AP256" s="114">
        <f t="shared" ca="1" si="410"/>
        <v>24</v>
      </c>
      <c r="AR256" s="238">
        <f t="shared" si="414"/>
        <v>256</v>
      </c>
      <c r="AU256" s="238">
        <f t="shared" si="415"/>
        <v>237</v>
      </c>
      <c r="AV256" s="238"/>
      <c r="AW256" s="238"/>
      <c r="CM256" s="112"/>
      <c r="CN256" s="112"/>
      <c r="CQ256" s="112"/>
      <c r="CR256" s="112"/>
      <c r="CS256" s="112"/>
      <c r="CT256" s="112"/>
      <c r="CU256" s="112"/>
      <c r="CV256" s="112"/>
      <c r="CW256" s="112"/>
      <c r="CX256" s="112" t="s">
        <v>224</v>
      </c>
      <c r="CY256" s="112" t="s">
        <v>225</v>
      </c>
      <c r="CZ256" s="112" t="s">
        <v>226</v>
      </c>
      <c r="DA256" s="112" t="s">
        <v>227</v>
      </c>
      <c r="DB256" s="112" t="s">
        <v>228</v>
      </c>
      <c r="DC256" s="112"/>
      <c r="DD256" s="112"/>
      <c r="DE256" s="238"/>
      <c r="DF256" s="112"/>
      <c r="DG256" s="112"/>
      <c r="DH256" s="112"/>
      <c r="DI256" s="112"/>
      <c r="DJ256" s="112"/>
      <c r="DK256" s="112">
        <f t="shared" si="411"/>
        <v>100000</v>
      </c>
      <c r="DL256" s="112"/>
      <c r="DM256" s="112"/>
      <c r="DN256" s="112"/>
      <c r="DO256" s="112"/>
      <c r="DP256" s="112"/>
      <c r="DQ256" s="112"/>
    </row>
    <row r="257" spans="4:121" x14ac:dyDescent="0.25">
      <c r="D257" t="str">
        <f t="shared" si="419"/>
        <v/>
      </c>
      <c r="E257" s="112" t="str">
        <f t="shared" si="424"/>
        <v/>
      </c>
      <c r="F257" s="112" t="str">
        <f t="shared" si="424"/>
        <v/>
      </c>
      <c r="AG257" s="238">
        <f>AG256</f>
        <v>67</v>
      </c>
      <c r="AH257" s="112" t="e">
        <f ca="1">AI256+1</f>
        <v>#N/A</v>
      </c>
      <c r="AI257" s="112" t="e">
        <f ca="1">IF(INDIRECT(CONCATENATE("AD",AG255))&lt;100000,INDIRECT(CONCATENATE("AD",AG255))-1,IF(INDIRECT(CONCATENATE("AE",AG255))&lt;100000,INDIRECT(CONCATENATE("AE",G255)),INDIRECT(CONCATENATE("AF",AG255))))</f>
        <v>#N/A</v>
      </c>
      <c r="AJ257" s="112" t="e">
        <f t="shared" ca="1" si="422"/>
        <v>#N/A</v>
      </c>
      <c r="AK257" s="112">
        <f t="shared" ca="1" si="425"/>
        <v>100000</v>
      </c>
      <c r="AL257" s="238" t="e">
        <f t="shared" ca="1" si="423"/>
        <v>#N/A</v>
      </c>
      <c r="AM257" s="112">
        <f t="shared" ca="1" si="421"/>
        <v>100000</v>
      </c>
      <c r="AN257" s="112">
        <f t="shared" ca="1" si="416"/>
        <v>100000</v>
      </c>
      <c r="AO257" s="114">
        <f t="shared" ca="1" si="409"/>
        <v>0</v>
      </c>
      <c r="AP257" s="114">
        <f t="shared" ca="1" si="410"/>
        <v>24</v>
      </c>
      <c r="AR257" s="238">
        <f t="shared" si="414"/>
        <v>257</v>
      </c>
      <c r="AU257" s="238">
        <f t="shared" si="415"/>
        <v>238</v>
      </c>
      <c r="AV257" s="238"/>
      <c r="AW257" s="238"/>
      <c r="CM257" s="112"/>
      <c r="CN257" s="112"/>
      <c r="CQ257" s="112"/>
      <c r="CR257" s="112"/>
      <c r="CS257" s="112"/>
      <c r="CT257" s="112"/>
      <c r="CU257" s="112"/>
      <c r="CV257" s="112"/>
      <c r="CW257" s="112"/>
      <c r="CX257" s="112" t="s">
        <v>224</v>
      </c>
      <c r="CY257" s="112" t="s">
        <v>225</v>
      </c>
      <c r="CZ257" s="112" t="s">
        <v>226</v>
      </c>
      <c r="DA257" s="112" t="s">
        <v>227</v>
      </c>
      <c r="DB257" s="112" t="s">
        <v>228</v>
      </c>
      <c r="DC257" s="112"/>
      <c r="DD257" s="112"/>
      <c r="DE257" s="238"/>
      <c r="DF257" s="112"/>
      <c r="DG257" s="112"/>
      <c r="DH257" s="112"/>
      <c r="DI257" s="112"/>
      <c r="DJ257" s="112"/>
      <c r="DK257" s="112">
        <f t="shared" si="411"/>
        <v>100000</v>
      </c>
      <c r="DL257" s="112"/>
      <c r="DM257" s="112"/>
      <c r="DN257" s="112"/>
      <c r="DO257" s="112"/>
      <c r="DP257" s="112"/>
      <c r="DQ257" s="112"/>
    </row>
    <row r="258" spans="4:121" x14ac:dyDescent="0.25">
      <c r="D258" t="str">
        <f t="shared" si="419"/>
        <v/>
      </c>
      <c r="E258" s="112" t="str">
        <f t="shared" si="424"/>
        <v/>
      </c>
      <c r="F258" s="112" t="str">
        <f t="shared" si="424"/>
        <v/>
      </c>
      <c r="AG258" s="238">
        <f>AG257</f>
        <v>67</v>
      </c>
      <c r="AH258" s="112" t="e">
        <f ca="1">AI257+1</f>
        <v>#N/A</v>
      </c>
      <c r="AI258" s="112" t="e">
        <f ca="1">IF(INDIRECT(CONCATENATE("AE",AG255))&lt;100000,INDIRECT(CONCATENATE("AE",G255)),INDIRECT(CONCATENATE("AF",AG255)))</f>
        <v>#N/A</v>
      </c>
      <c r="AJ258" s="112" t="e">
        <f t="shared" ca="1" si="422"/>
        <v>#N/A</v>
      </c>
      <c r="AK258" s="112">
        <f t="shared" ca="1" si="425"/>
        <v>100000</v>
      </c>
      <c r="AL258" s="238" t="e">
        <f t="shared" ca="1" si="423"/>
        <v>#N/A</v>
      </c>
      <c r="AM258" s="112">
        <f t="shared" ca="1" si="421"/>
        <v>100000</v>
      </c>
      <c r="AN258" s="112">
        <f t="shared" ca="1" si="416"/>
        <v>100000</v>
      </c>
      <c r="AO258" s="114">
        <f t="shared" ca="1" si="409"/>
        <v>0</v>
      </c>
      <c r="AP258" s="114">
        <f t="shared" ca="1" si="410"/>
        <v>24</v>
      </c>
      <c r="AR258" s="238">
        <f t="shared" si="414"/>
        <v>258</v>
      </c>
      <c r="AU258" s="238">
        <f t="shared" si="415"/>
        <v>239</v>
      </c>
      <c r="AV258" s="238"/>
      <c r="AW258" s="238"/>
      <c r="CM258" s="112"/>
      <c r="CN258" s="112"/>
      <c r="CQ258" s="112"/>
      <c r="CR258" s="112"/>
      <c r="CS258" s="112"/>
      <c r="CT258" s="112"/>
      <c r="CU258" s="112"/>
      <c r="CV258" s="112"/>
      <c r="CW258" s="112"/>
      <c r="CX258" s="112" t="s">
        <v>224</v>
      </c>
      <c r="CY258" s="112" t="s">
        <v>225</v>
      </c>
      <c r="CZ258" s="112" t="s">
        <v>226</v>
      </c>
      <c r="DA258" s="112" t="s">
        <v>227</v>
      </c>
      <c r="DB258" s="112" t="s">
        <v>228</v>
      </c>
      <c r="DC258" s="112"/>
      <c r="DD258" s="112"/>
      <c r="DE258" s="238"/>
      <c r="DF258" s="112"/>
      <c r="DG258" s="112"/>
      <c r="DH258" s="112"/>
      <c r="DI258" s="112"/>
      <c r="DJ258" s="112"/>
      <c r="DK258" s="112">
        <f t="shared" si="411"/>
        <v>100000</v>
      </c>
      <c r="DL258" s="112"/>
      <c r="DM258" s="112"/>
      <c r="DN258" s="112"/>
      <c r="DO258" s="112"/>
      <c r="DP258" s="112"/>
      <c r="DQ258" s="112"/>
    </row>
    <row r="259" spans="4:121" x14ac:dyDescent="0.25">
      <c r="E259" s="112">
        <f ca="1">IF(N163&gt;0,N163,100000)</f>
        <v>36138</v>
      </c>
      <c r="AG259" s="238">
        <f>AG258</f>
        <v>67</v>
      </c>
      <c r="AH259" s="112" t="e">
        <f ca="1">AI258+1</f>
        <v>#N/A</v>
      </c>
      <c r="AI259" s="112" t="str">
        <f ca="1">INDIRECT(CONCATENATE("AF",AG255))</f>
        <v/>
      </c>
      <c r="AJ259" s="112" t="str">
        <f t="shared" ca="1" si="422"/>
        <v/>
      </c>
      <c r="AK259" s="112">
        <f t="shared" ca="1" si="425"/>
        <v>100000</v>
      </c>
      <c r="AL259" s="238" t="e">
        <f t="shared" ca="1" si="423"/>
        <v>#N/A</v>
      </c>
      <c r="AM259" s="112">
        <f t="shared" ca="1" si="421"/>
        <v>100000</v>
      </c>
      <c r="AN259" s="112">
        <f t="shared" ca="1" si="416"/>
        <v>100000</v>
      </c>
      <c r="AO259" s="114">
        <f t="shared" ca="1" si="409"/>
        <v>0</v>
      </c>
      <c r="AP259" s="114">
        <f t="shared" ca="1" si="410"/>
        <v>24</v>
      </c>
      <c r="AR259" s="238">
        <f t="shared" si="414"/>
        <v>259</v>
      </c>
      <c r="AU259" s="238">
        <f t="shared" si="415"/>
        <v>240</v>
      </c>
      <c r="AV259" s="238"/>
      <c r="AW259" s="238"/>
      <c r="CM259" s="112"/>
      <c r="CN259" s="112"/>
      <c r="CQ259" s="112"/>
      <c r="CR259" s="112"/>
      <c r="CS259" s="112"/>
      <c r="CT259" s="112"/>
      <c r="CU259" s="112"/>
      <c r="CV259" s="112"/>
      <c r="CW259" s="112"/>
      <c r="CX259" s="112" t="s">
        <v>224</v>
      </c>
      <c r="CY259" s="112" t="s">
        <v>225</v>
      </c>
      <c r="CZ259" s="112" t="s">
        <v>226</v>
      </c>
      <c r="DA259" s="112" t="s">
        <v>227</v>
      </c>
      <c r="DB259" s="112" t="s">
        <v>228</v>
      </c>
      <c r="DC259" s="112"/>
      <c r="DD259" s="112"/>
      <c r="DE259" s="238"/>
      <c r="DF259" s="112"/>
      <c r="DG259" s="112"/>
      <c r="DH259" s="112"/>
      <c r="DI259" s="112"/>
      <c r="DJ259" s="112"/>
      <c r="DK259" s="112">
        <f t="shared" si="411"/>
        <v>100000</v>
      </c>
      <c r="DL259" s="112"/>
      <c r="DM259" s="112"/>
      <c r="DN259" s="112"/>
      <c r="DO259" s="112"/>
      <c r="DP259" s="112"/>
      <c r="DQ259" s="112"/>
    </row>
    <row r="260" spans="4:121" x14ac:dyDescent="0.25">
      <c r="E260" s="112">
        <f t="shared" ref="E260:E283" ca="1" si="426">IF(N164&gt;0,N164,100000)</f>
        <v>36312</v>
      </c>
      <c r="AG260" s="238">
        <f>AG259+1</f>
        <v>68</v>
      </c>
      <c r="AH260" s="112" t="str">
        <f ca="1">INDIRECT(CONCATENATE("AA",AG260))</f>
        <v/>
      </c>
      <c r="AI260" s="112" t="e">
        <f ca="1">IF(            INDIRECT(CONCATENATE( "AB",AG260))&lt;100000,       INDIRECT(CONCATENATE("AB",AG260))  -1,IF(   INDIRECT(CONCATENATE("AC",AG260))&lt;100000,   INDIRECT(CONCATENATE("AC",AG260))-1,IF(   INDIRECT(CONCATENATE("AD", AG260))&lt;100000, INDIRECT(CONCATENATE("AD",AG260))-1,IF(   INDIRECT(CONCATENATE("AE",AG260))&lt;100000,  INDIRECT(CONCATENATE("AE",G260)),INDIRECT(CONCATENATE("AF",AG260))                ))))</f>
        <v>#N/A</v>
      </c>
      <c r="AJ260" s="112" t="str">
        <f t="shared" ca="1" si="422"/>
        <v/>
      </c>
      <c r="AK260" s="112" t="str">
        <f t="shared" ca="1" si="425"/>
        <v/>
      </c>
      <c r="AL260" s="238">
        <f t="shared" ca="1" si="423"/>
        <v>0</v>
      </c>
      <c r="AM260" s="112">
        <f t="shared" ca="1" si="421"/>
        <v>100000</v>
      </c>
      <c r="AN260" s="112">
        <f t="shared" ca="1" si="416"/>
        <v>100000</v>
      </c>
      <c r="AO260" s="114">
        <f t="shared" ca="1" si="409"/>
        <v>0</v>
      </c>
      <c r="AP260" s="114">
        <f t="shared" ca="1" si="410"/>
        <v>24</v>
      </c>
      <c r="AR260" s="238">
        <f t="shared" si="414"/>
        <v>260</v>
      </c>
      <c r="AU260" s="238">
        <f t="shared" si="415"/>
        <v>241</v>
      </c>
      <c r="AV260" s="238"/>
      <c r="AW260" s="238"/>
      <c r="CM260" s="112"/>
      <c r="CN260" s="112"/>
      <c r="CQ260" s="112"/>
      <c r="CR260" s="112"/>
      <c r="CS260" s="112"/>
      <c r="CT260" s="112"/>
      <c r="CU260" s="112"/>
      <c r="CV260" s="112"/>
      <c r="CW260" s="112"/>
      <c r="CX260" s="112" t="s">
        <v>224</v>
      </c>
      <c r="CY260" s="112" t="s">
        <v>225</v>
      </c>
      <c r="CZ260" s="112" t="s">
        <v>226</v>
      </c>
      <c r="DA260" s="112" t="s">
        <v>227</v>
      </c>
      <c r="DB260" s="112" t="s">
        <v>228</v>
      </c>
      <c r="DC260" s="112"/>
      <c r="DD260" s="112"/>
      <c r="DE260" s="238"/>
      <c r="DF260" s="112"/>
      <c r="DG260" s="112"/>
      <c r="DH260" s="112"/>
      <c r="DI260" s="112"/>
      <c r="DJ260" s="112"/>
      <c r="DK260" s="112">
        <f t="shared" si="411"/>
        <v>100000</v>
      </c>
      <c r="DL260" s="112"/>
      <c r="DM260" s="112"/>
      <c r="DN260" s="112"/>
      <c r="DO260" s="112"/>
      <c r="DP260" s="112"/>
      <c r="DQ260" s="112"/>
    </row>
    <row r="261" spans="4:121" x14ac:dyDescent="0.25">
      <c r="E261" s="112">
        <f t="shared" ca="1" si="426"/>
        <v>36708</v>
      </c>
      <c r="AG261" s="238">
        <f>AG260</f>
        <v>68</v>
      </c>
      <c r="AH261" s="112" t="e">
        <f ca="1">AI260+1</f>
        <v>#N/A</v>
      </c>
      <c r="AI261" s="112" t="e">
        <f ca="1">IF(INDIRECT(CONCATENATE("AC",AG260))&lt;100000,INDIRECT(CONCATENATE("AC",AG260))-1,IF(INDIRECT(CONCATENATE("AD",AG260))&lt;100000,INDIRECT(CONCATENATE("AD",AG260))-1,IF(INDIRECT(CONCATENATE("AE",AG260))&lt;100000,INDIRECT(CONCATENATE("AE",G260)),INDIRECT(CONCATENATE("AF",AG260)))))</f>
        <v>#N/A</v>
      </c>
      <c r="AJ261" s="112" t="e">
        <f t="shared" ca="1" si="422"/>
        <v>#N/A</v>
      </c>
      <c r="AK261" s="112">
        <f t="shared" ca="1" si="425"/>
        <v>100000</v>
      </c>
      <c r="AL261" s="238" t="e">
        <f t="shared" ca="1" si="423"/>
        <v>#N/A</v>
      </c>
      <c r="AM261" s="112">
        <f t="shared" ca="1" si="421"/>
        <v>100000</v>
      </c>
      <c r="AN261" s="112">
        <f t="shared" ca="1" si="416"/>
        <v>100000</v>
      </c>
      <c r="AO261" s="114">
        <f t="shared" ca="1" si="409"/>
        <v>0</v>
      </c>
      <c r="AP261" s="114">
        <f t="shared" ca="1" si="410"/>
        <v>24</v>
      </c>
      <c r="AR261" s="238">
        <f t="shared" si="414"/>
        <v>261</v>
      </c>
      <c r="AU261" s="238">
        <f t="shared" si="415"/>
        <v>242</v>
      </c>
      <c r="AV261" s="238"/>
      <c r="AW261" s="238"/>
      <c r="CM261" s="112"/>
      <c r="CN261" s="112"/>
      <c r="CQ261" s="112"/>
      <c r="CR261" s="112"/>
      <c r="CS261" s="112"/>
      <c r="CT261" s="112"/>
      <c r="CU261" s="112"/>
      <c r="CV261" s="112"/>
      <c r="CW261" s="112"/>
      <c r="CX261" s="112" t="s">
        <v>224</v>
      </c>
      <c r="CY261" s="112" t="s">
        <v>225</v>
      </c>
      <c r="CZ261" s="112" t="s">
        <v>226</v>
      </c>
      <c r="DA261" s="112" t="s">
        <v>227</v>
      </c>
      <c r="DB261" s="112" t="s">
        <v>228</v>
      </c>
      <c r="DC261" s="112"/>
      <c r="DD261" s="112"/>
      <c r="DE261" s="238"/>
      <c r="DF261" s="112"/>
      <c r="DG261" s="112"/>
      <c r="DH261" s="112"/>
      <c r="DI261" s="112"/>
      <c r="DJ261" s="112"/>
      <c r="DK261" s="112">
        <f t="shared" si="411"/>
        <v>100000</v>
      </c>
      <c r="DL261" s="112"/>
      <c r="DM261" s="112"/>
      <c r="DN261" s="112"/>
      <c r="DO261" s="112"/>
      <c r="DP261" s="112"/>
      <c r="DQ261" s="112"/>
    </row>
    <row r="262" spans="4:121" x14ac:dyDescent="0.25">
      <c r="E262" s="112">
        <f t="shared" ca="1" si="426"/>
        <v>36770</v>
      </c>
      <c r="AG262" s="238">
        <f>AG261</f>
        <v>68</v>
      </c>
      <c r="AH262" s="112" t="e">
        <f ca="1">AI261+1</f>
        <v>#N/A</v>
      </c>
      <c r="AI262" s="112" t="e">
        <f ca="1">IF(INDIRECT(CONCATENATE("AD",AG260))&lt;100000,INDIRECT(CONCATENATE("AD",AG260))-1,IF(INDIRECT(CONCATENATE("AE",AG260))&lt;100000,INDIRECT(CONCATENATE("AE",G260)),INDIRECT(CONCATENATE("AF",AG260))))</f>
        <v>#N/A</v>
      </c>
      <c r="AJ262" s="112" t="e">
        <f t="shared" ca="1" si="422"/>
        <v>#N/A</v>
      </c>
      <c r="AK262" s="112">
        <f t="shared" ca="1" si="425"/>
        <v>100000</v>
      </c>
      <c r="AL262" s="238" t="e">
        <f t="shared" ca="1" si="423"/>
        <v>#N/A</v>
      </c>
      <c r="AM262" s="112">
        <f t="shared" ca="1" si="421"/>
        <v>100000</v>
      </c>
      <c r="AN262" s="112">
        <f t="shared" ca="1" si="416"/>
        <v>100000</v>
      </c>
      <c r="AO262" s="114">
        <f t="shared" ca="1" si="409"/>
        <v>0</v>
      </c>
      <c r="AP262" s="114">
        <f t="shared" ca="1" si="410"/>
        <v>24</v>
      </c>
      <c r="AR262" s="238">
        <f t="shared" si="414"/>
        <v>262</v>
      </c>
      <c r="AU262" s="238">
        <f t="shared" si="415"/>
        <v>243</v>
      </c>
      <c r="AV262" s="238"/>
      <c r="AW262" s="238"/>
      <c r="CM262" s="112"/>
      <c r="CN262" s="112"/>
      <c r="CQ262" s="112"/>
      <c r="CR262" s="112"/>
      <c r="CS262" s="112"/>
      <c r="CT262" s="112"/>
      <c r="CU262" s="112"/>
      <c r="CV262" s="112"/>
      <c r="CW262" s="112"/>
      <c r="CX262" s="112" t="s">
        <v>224</v>
      </c>
      <c r="CY262" s="112" t="s">
        <v>225</v>
      </c>
      <c r="CZ262" s="112" t="s">
        <v>226</v>
      </c>
      <c r="DA262" s="112" t="s">
        <v>227</v>
      </c>
      <c r="DB262" s="112" t="s">
        <v>228</v>
      </c>
      <c r="DC262" s="112"/>
      <c r="DD262" s="112"/>
      <c r="DE262" s="238"/>
      <c r="DF262" s="112"/>
      <c r="DG262" s="112"/>
      <c r="DH262" s="112"/>
      <c r="DI262" s="112"/>
      <c r="DJ262" s="112"/>
      <c r="DK262" s="112">
        <f t="shared" si="411"/>
        <v>100000</v>
      </c>
      <c r="DL262" s="112"/>
      <c r="DM262" s="112"/>
      <c r="DN262" s="112"/>
      <c r="DO262" s="112"/>
      <c r="DP262" s="112"/>
      <c r="DQ262" s="112"/>
    </row>
    <row r="263" spans="4:121" x14ac:dyDescent="0.25">
      <c r="E263" s="112">
        <f t="shared" ca="1" si="426"/>
        <v>36892</v>
      </c>
      <c r="AG263" s="238">
        <f>AG262</f>
        <v>68</v>
      </c>
      <c r="AH263" s="112" t="e">
        <f ca="1">AI262+1</f>
        <v>#N/A</v>
      </c>
      <c r="AI263" s="112" t="e">
        <f ca="1">IF(INDIRECT(CONCATENATE("AE",AG260))&lt;100000,INDIRECT(CONCATENATE("AE",G260)),INDIRECT(CONCATENATE("AF",AG260)))</f>
        <v>#N/A</v>
      </c>
      <c r="AJ263" s="112" t="e">
        <f t="shared" ca="1" si="422"/>
        <v>#N/A</v>
      </c>
      <c r="AK263" s="112">
        <f t="shared" ca="1" si="425"/>
        <v>100000</v>
      </c>
      <c r="AL263" s="238" t="e">
        <f t="shared" ca="1" si="423"/>
        <v>#N/A</v>
      </c>
      <c r="AM263" s="112">
        <f t="shared" ca="1" si="421"/>
        <v>100000</v>
      </c>
      <c r="AN263" s="112">
        <f t="shared" ca="1" si="416"/>
        <v>100000</v>
      </c>
      <c r="AO263" s="114">
        <f t="shared" ca="1" si="409"/>
        <v>0</v>
      </c>
      <c r="AP263" s="114">
        <f t="shared" ca="1" si="410"/>
        <v>24</v>
      </c>
      <c r="AR263" s="238">
        <f t="shared" si="414"/>
        <v>263</v>
      </c>
      <c r="AU263" s="238">
        <f t="shared" si="415"/>
        <v>244</v>
      </c>
      <c r="AV263" s="238"/>
      <c r="AW263" s="238"/>
      <c r="CM263" s="112"/>
      <c r="CN263" s="112"/>
      <c r="CQ263" s="112"/>
      <c r="CR263" s="112"/>
      <c r="CS263" s="112"/>
      <c r="CT263" s="112"/>
      <c r="CU263" s="112"/>
      <c r="CV263" s="112"/>
      <c r="CW263" s="112"/>
      <c r="CX263" s="112" t="s">
        <v>224</v>
      </c>
      <c r="CY263" s="112" t="s">
        <v>225</v>
      </c>
      <c r="CZ263" s="112" t="s">
        <v>226</v>
      </c>
      <c r="DA263" s="112" t="s">
        <v>227</v>
      </c>
      <c r="DB263" s="112" t="s">
        <v>228</v>
      </c>
      <c r="DC263" s="112"/>
      <c r="DD263" s="112"/>
      <c r="DE263" s="238"/>
      <c r="DF263" s="112"/>
      <c r="DG263" s="112"/>
      <c r="DH263" s="112"/>
      <c r="DI263" s="112"/>
      <c r="DJ263" s="112"/>
      <c r="DK263" s="112">
        <f t="shared" si="411"/>
        <v>100000</v>
      </c>
      <c r="DL263" s="112"/>
      <c r="DM263" s="112"/>
      <c r="DN263" s="112"/>
      <c r="DO263" s="112"/>
      <c r="DP263" s="112"/>
      <c r="DQ263" s="112"/>
    </row>
    <row r="264" spans="4:121" x14ac:dyDescent="0.25">
      <c r="E264" s="112">
        <f t="shared" ca="1" si="426"/>
        <v>37257</v>
      </c>
      <c r="AG264" s="238">
        <f>AG263</f>
        <v>68</v>
      </c>
      <c r="AH264" s="112" t="e">
        <f ca="1">AI263+1</f>
        <v>#N/A</v>
      </c>
      <c r="AI264" s="112" t="str">
        <f ca="1">INDIRECT(CONCATENATE("AF",AG260))</f>
        <v/>
      </c>
      <c r="AJ264" s="112" t="str">
        <f t="shared" ca="1" si="422"/>
        <v/>
      </c>
      <c r="AK264" s="112">
        <f t="shared" ca="1" si="425"/>
        <v>100000</v>
      </c>
      <c r="AL264" s="238" t="e">
        <f t="shared" ca="1" si="423"/>
        <v>#N/A</v>
      </c>
      <c r="AM264" s="112">
        <f t="shared" ca="1" si="421"/>
        <v>100000</v>
      </c>
      <c r="AN264" s="112">
        <f t="shared" ca="1" si="416"/>
        <v>100000</v>
      </c>
      <c r="AO264" s="114">
        <f t="shared" ca="1" si="409"/>
        <v>0</v>
      </c>
      <c r="AP264" s="114">
        <f t="shared" ca="1" si="410"/>
        <v>24</v>
      </c>
      <c r="AR264" s="238">
        <f t="shared" si="414"/>
        <v>264</v>
      </c>
      <c r="AU264" s="238">
        <f t="shared" si="415"/>
        <v>245</v>
      </c>
      <c r="AV264" s="238"/>
      <c r="AW264" s="238"/>
      <c r="CM264" s="112"/>
      <c r="CN264" s="112"/>
      <c r="CQ264" s="112"/>
      <c r="CR264" s="112"/>
      <c r="CS264" s="112"/>
      <c r="CT264" s="112"/>
      <c r="CU264" s="112"/>
      <c r="CV264" s="112"/>
      <c r="CW264" s="112"/>
      <c r="CX264" s="112" t="s">
        <v>224</v>
      </c>
      <c r="CY264" s="112" t="s">
        <v>225</v>
      </c>
      <c r="CZ264" s="112" t="s">
        <v>226</v>
      </c>
      <c r="DA264" s="112" t="s">
        <v>227</v>
      </c>
      <c r="DB264" s="112" t="s">
        <v>228</v>
      </c>
      <c r="DC264" s="112"/>
      <c r="DD264" s="112"/>
      <c r="DE264" s="238"/>
      <c r="DF264" s="112"/>
      <c r="DG264" s="112"/>
      <c r="DH264" s="112"/>
      <c r="DI264" s="112"/>
      <c r="DJ264" s="112"/>
      <c r="DK264" s="112">
        <f t="shared" si="411"/>
        <v>100000</v>
      </c>
      <c r="DL264" s="112"/>
      <c r="DM264" s="112"/>
      <c r="DN264" s="112"/>
      <c r="DO264" s="112"/>
      <c r="DP264" s="112"/>
      <c r="DQ264" s="112"/>
    </row>
    <row r="265" spans="4:121" x14ac:dyDescent="0.25">
      <c r="E265" s="112">
        <f t="shared" ca="1" si="426"/>
        <v>37411</v>
      </c>
      <c r="AG265" s="238">
        <f>AG264+1</f>
        <v>69</v>
      </c>
      <c r="AH265" s="112" t="str">
        <f ca="1">INDIRECT(CONCATENATE("AA",AG265))</f>
        <v/>
      </c>
      <c r="AI265" s="112" t="e">
        <f ca="1">IF(            INDIRECT(CONCATENATE( "AB",AG265))&lt;100000,       INDIRECT(CONCATENATE("AB",AG265))  -1,IF(   INDIRECT(CONCATENATE("AC",AG265))&lt;100000,   INDIRECT(CONCATENATE("AC",AG265))-1,IF(   INDIRECT(CONCATENATE("AD", AG265))&lt;100000, INDIRECT(CONCATENATE("AD",AG265))-1,IF(   INDIRECT(CONCATENATE("AE",AG265))&lt;100000,  INDIRECT(CONCATENATE("AE",G265)),INDIRECT(CONCATENATE("AF",AG265))                ))))</f>
        <v>#N/A</v>
      </c>
      <c r="AJ265" s="112" t="str">
        <f t="shared" ca="1" si="422"/>
        <v/>
      </c>
      <c r="AK265" s="112" t="str">
        <f t="shared" ca="1" si="425"/>
        <v/>
      </c>
      <c r="AL265" s="238">
        <f t="shared" ca="1" si="423"/>
        <v>0</v>
      </c>
      <c r="AM265" s="112">
        <f t="shared" ca="1" si="421"/>
        <v>100000</v>
      </c>
      <c r="AN265" s="112">
        <f t="shared" ca="1" si="416"/>
        <v>100000</v>
      </c>
      <c r="AO265" s="114">
        <f t="shared" ca="1" si="409"/>
        <v>0</v>
      </c>
      <c r="AP265" s="114">
        <f t="shared" ca="1" si="410"/>
        <v>24</v>
      </c>
      <c r="AR265" s="238">
        <f t="shared" si="414"/>
        <v>265</v>
      </c>
      <c r="AU265" s="238">
        <f t="shared" si="415"/>
        <v>246</v>
      </c>
      <c r="AV265" s="238"/>
      <c r="AW265" s="238"/>
      <c r="CM265" s="112"/>
      <c r="CN265" s="112"/>
      <c r="CQ265" s="112"/>
      <c r="CR265" s="112"/>
      <c r="CS265" s="112"/>
      <c r="CT265" s="112"/>
      <c r="CU265" s="112"/>
      <c r="CV265" s="112"/>
      <c r="CW265" s="112"/>
      <c r="CX265" s="112" t="s">
        <v>224</v>
      </c>
      <c r="CY265" s="112" t="s">
        <v>225</v>
      </c>
      <c r="CZ265" s="112" t="s">
        <v>226</v>
      </c>
      <c r="DA265" s="112" t="s">
        <v>227</v>
      </c>
      <c r="DB265" s="112" t="s">
        <v>228</v>
      </c>
      <c r="DC265" s="112"/>
      <c r="DD265" s="112"/>
      <c r="DE265" s="238"/>
      <c r="DF265" s="112"/>
      <c r="DG265" s="112"/>
      <c r="DH265" s="112"/>
      <c r="DI265" s="112"/>
      <c r="DJ265" s="112"/>
      <c r="DK265" s="112">
        <f t="shared" si="411"/>
        <v>100000</v>
      </c>
      <c r="DL265" s="112"/>
      <c r="DM265" s="112"/>
      <c r="DN265" s="112"/>
      <c r="DO265" s="112"/>
      <c r="DP265" s="112"/>
      <c r="DQ265" s="112"/>
    </row>
    <row r="266" spans="4:121" x14ac:dyDescent="0.25">
      <c r="E266" s="112">
        <f t="shared" ca="1" si="426"/>
        <v>37622</v>
      </c>
      <c r="AG266" s="238">
        <f>AG265</f>
        <v>69</v>
      </c>
      <c r="AH266" s="112" t="e">
        <f ca="1">AI265+1</f>
        <v>#N/A</v>
      </c>
      <c r="AI266" s="112" t="e">
        <f ca="1">IF(INDIRECT(CONCATENATE("AC",AG265))&lt;100000,INDIRECT(CONCATENATE("AC",AG265))-1,IF(INDIRECT(CONCATENATE("AD",AG265))&lt;100000,INDIRECT(CONCATENATE("AD",AG265))-1,IF(INDIRECT(CONCATENATE("AE",AG265))&lt;100000,INDIRECT(CONCATENATE("AE",G265)),INDIRECT(CONCATENATE("AF",AG265)))))</f>
        <v>#N/A</v>
      </c>
      <c r="AJ266" s="112" t="e">
        <f t="shared" ca="1" si="422"/>
        <v>#N/A</v>
      </c>
      <c r="AK266" s="112">
        <f t="shared" ca="1" si="425"/>
        <v>100000</v>
      </c>
      <c r="AL266" s="238" t="e">
        <f t="shared" ca="1" si="423"/>
        <v>#N/A</v>
      </c>
      <c r="AM266" s="112">
        <f t="shared" ca="1" si="421"/>
        <v>100000</v>
      </c>
      <c r="AN266" s="112">
        <f t="shared" ca="1" si="416"/>
        <v>100000</v>
      </c>
      <c r="AO266" s="114">
        <f t="shared" ca="1" si="409"/>
        <v>0</v>
      </c>
      <c r="AP266" s="114">
        <f t="shared" ca="1" si="410"/>
        <v>24</v>
      </c>
      <c r="AR266" s="238">
        <f t="shared" si="414"/>
        <v>266</v>
      </c>
      <c r="AU266" s="238">
        <f t="shared" si="415"/>
        <v>247</v>
      </c>
      <c r="AV266" s="238"/>
      <c r="AW266" s="238"/>
      <c r="CM266" s="112"/>
      <c r="CN266" s="112"/>
      <c r="CQ266" s="112"/>
      <c r="CR266" s="112"/>
      <c r="CS266" s="112"/>
      <c r="CT266" s="112"/>
      <c r="CU266" s="112"/>
      <c r="CV266" s="112"/>
      <c r="CW266" s="112"/>
      <c r="CX266" s="112" t="s">
        <v>224</v>
      </c>
      <c r="CY266" s="112" t="s">
        <v>225</v>
      </c>
      <c r="CZ266" s="112" t="s">
        <v>226</v>
      </c>
      <c r="DA266" s="112" t="s">
        <v>227</v>
      </c>
      <c r="DB266" s="112" t="s">
        <v>228</v>
      </c>
      <c r="DC266" s="112"/>
      <c r="DD266" s="112"/>
      <c r="DE266" s="238"/>
      <c r="DF266" s="112"/>
      <c r="DG266" s="112"/>
      <c r="DH266" s="112"/>
      <c r="DI266" s="112"/>
      <c r="DJ266" s="112"/>
      <c r="DK266" s="112">
        <f t="shared" si="411"/>
        <v>100000</v>
      </c>
      <c r="DL266" s="112"/>
      <c r="DM266" s="112"/>
      <c r="DN266" s="112"/>
      <c r="DO266" s="112"/>
      <c r="DP266" s="112"/>
      <c r="DQ266" s="112"/>
    </row>
    <row r="267" spans="4:121" x14ac:dyDescent="0.25">
      <c r="E267" s="112">
        <f t="shared" ca="1" si="426"/>
        <v>37987</v>
      </c>
      <c r="AG267" s="238">
        <f>AG266</f>
        <v>69</v>
      </c>
      <c r="AH267" s="112" t="e">
        <f ca="1">AI266+1</f>
        <v>#N/A</v>
      </c>
      <c r="AI267" s="112" t="e">
        <f ca="1">IF(INDIRECT(CONCATENATE("AD",AG265))&lt;100000,INDIRECT(CONCATENATE("AD",AG265))-1,IF(INDIRECT(CONCATENATE("AE",AG265))&lt;100000,INDIRECT(CONCATENATE("AE",G265)),INDIRECT(CONCATENATE("AF",AG265))))</f>
        <v>#N/A</v>
      </c>
      <c r="AJ267" s="112" t="e">
        <f t="shared" ca="1" si="422"/>
        <v>#N/A</v>
      </c>
      <c r="AK267" s="112">
        <f t="shared" ca="1" si="425"/>
        <v>100000</v>
      </c>
      <c r="AL267" s="238" t="e">
        <f t="shared" ca="1" si="423"/>
        <v>#N/A</v>
      </c>
      <c r="AM267" s="112">
        <f t="shared" ca="1" si="421"/>
        <v>100000</v>
      </c>
      <c r="AN267" s="112">
        <f t="shared" ca="1" si="416"/>
        <v>100000</v>
      </c>
      <c r="AO267" s="114">
        <f t="shared" ca="1" si="409"/>
        <v>0</v>
      </c>
      <c r="AP267" s="114">
        <f t="shared" ca="1" si="410"/>
        <v>24</v>
      </c>
      <c r="AR267" s="238">
        <f t="shared" si="414"/>
        <v>267</v>
      </c>
      <c r="AU267" s="238">
        <f t="shared" si="415"/>
        <v>248</v>
      </c>
      <c r="AV267" s="238"/>
      <c r="AW267" s="238"/>
      <c r="CM267" s="112"/>
      <c r="CN267" s="112"/>
      <c r="CQ267" s="112"/>
      <c r="CR267" s="112"/>
      <c r="CS267" s="112"/>
      <c r="CT267" s="112"/>
      <c r="CU267" s="112"/>
      <c r="CV267" s="112"/>
      <c r="CW267" s="112"/>
      <c r="CX267" s="112" t="s">
        <v>224</v>
      </c>
      <c r="CY267" s="112" t="s">
        <v>225</v>
      </c>
      <c r="CZ267" s="112" t="s">
        <v>226</v>
      </c>
      <c r="DA267" s="112" t="s">
        <v>227</v>
      </c>
      <c r="DB267" s="112" t="s">
        <v>228</v>
      </c>
      <c r="DC267" s="112"/>
      <c r="DD267" s="112"/>
      <c r="DE267" s="238"/>
      <c r="DF267" s="112"/>
      <c r="DG267" s="112"/>
      <c r="DH267" s="112"/>
      <c r="DI267" s="112"/>
      <c r="DJ267" s="112"/>
      <c r="DK267" s="112">
        <f t="shared" si="411"/>
        <v>100000</v>
      </c>
      <c r="DL267" s="112"/>
      <c r="DM267" s="112"/>
      <c r="DN267" s="112"/>
      <c r="DO267" s="112"/>
      <c r="DP267" s="112"/>
      <c r="DQ267" s="112"/>
    </row>
    <row r="268" spans="4:121" x14ac:dyDescent="0.25">
      <c r="E268" s="112">
        <f t="shared" ca="1" si="426"/>
        <v>38384</v>
      </c>
      <c r="AG268" s="238">
        <f>AG267</f>
        <v>69</v>
      </c>
      <c r="AH268" s="112" t="e">
        <f ca="1">AI267+1</f>
        <v>#N/A</v>
      </c>
      <c r="AI268" s="112" t="e">
        <f ca="1">IF(INDIRECT(CONCATENATE("AE",AG265))&lt;100000,INDIRECT(CONCATENATE("AE",G265)),INDIRECT(CONCATENATE("AF",AG265)))</f>
        <v>#N/A</v>
      </c>
      <c r="AJ268" s="112" t="e">
        <f t="shared" ca="1" si="422"/>
        <v>#N/A</v>
      </c>
      <c r="AK268" s="112">
        <f t="shared" ca="1" si="425"/>
        <v>100000</v>
      </c>
      <c r="AL268" s="238" t="e">
        <f t="shared" ca="1" si="423"/>
        <v>#N/A</v>
      </c>
      <c r="AM268" s="112">
        <f t="shared" ca="1" si="421"/>
        <v>100000</v>
      </c>
      <c r="AN268" s="112">
        <f t="shared" ca="1" si="416"/>
        <v>100000</v>
      </c>
      <c r="AO268" s="114">
        <f t="shared" ca="1" si="409"/>
        <v>0</v>
      </c>
      <c r="AP268" s="114">
        <f t="shared" ca="1" si="410"/>
        <v>24</v>
      </c>
      <c r="AR268" s="238">
        <f t="shared" si="414"/>
        <v>268</v>
      </c>
      <c r="AU268" s="238">
        <f t="shared" si="415"/>
        <v>249</v>
      </c>
      <c r="AV268" s="238"/>
      <c r="AW268" s="238"/>
      <c r="CM268" s="112"/>
      <c r="CN268" s="112"/>
      <c r="CQ268" s="112"/>
      <c r="CR268" s="112"/>
      <c r="CS268" s="112"/>
      <c r="CT268" s="112"/>
      <c r="CU268" s="112"/>
      <c r="CV268" s="112"/>
      <c r="CW268" s="112"/>
      <c r="CX268" s="112" t="s">
        <v>224</v>
      </c>
      <c r="CY268" s="112" t="s">
        <v>225</v>
      </c>
      <c r="CZ268" s="112" t="s">
        <v>226</v>
      </c>
      <c r="DA268" s="112" t="s">
        <v>227</v>
      </c>
      <c r="DB268" s="112" t="s">
        <v>228</v>
      </c>
      <c r="DC268" s="112"/>
      <c r="DD268" s="112"/>
      <c r="DE268" s="238"/>
      <c r="DF268" s="112"/>
      <c r="DG268" s="112"/>
      <c r="DH268" s="112"/>
      <c r="DI268" s="112"/>
      <c r="DJ268" s="112"/>
      <c r="DK268" s="112">
        <f t="shared" si="411"/>
        <v>100000</v>
      </c>
      <c r="DL268" s="112"/>
      <c r="DM268" s="112"/>
      <c r="DN268" s="112"/>
      <c r="DO268" s="112"/>
      <c r="DP268" s="112"/>
      <c r="DQ268" s="112"/>
    </row>
    <row r="269" spans="4:121" x14ac:dyDescent="0.25">
      <c r="E269" s="112">
        <f t="shared" ca="1" si="426"/>
        <v>38718</v>
      </c>
      <c r="AG269" s="238">
        <f>AG268</f>
        <v>69</v>
      </c>
      <c r="AH269" s="112" t="e">
        <f ca="1">AI268+1</f>
        <v>#N/A</v>
      </c>
      <c r="AI269" s="112" t="str">
        <f ca="1">INDIRECT(CONCATENATE("AF",AG265))</f>
        <v/>
      </c>
      <c r="AJ269" s="112" t="str">
        <f t="shared" ca="1" si="422"/>
        <v/>
      </c>
      <c r="AK269" s="112">
        <f t="shared" ca="1" si="425"/>
        <v>100000</v>
      </c>
      <c r="AL269" s="238" t="e">
        <f t="shared" ca="1" si="423"/>
        <v>#N/A</v>
      </c>
      <c r="AM269" s="112">
        <f t="shared" ca="1" si="421"/>
        <v>100000</v>
      </c>
      <c r="AN269" s="112">
        <f t="shared" ca="1" si="416"/>
        <v>100000</v>
      </c>
      <c r="AO269" s="114">
        <f t="shared" ca="1" si="409"/>
        <v>0</v>
      </c>
      <c r="AP269" s="114">
        <f t="shared" ca="1" si="410"/>
        <v>24</v>
      </c>
      <c r="AR269" s="238">
        <f t="shared" si="414"/>
        <v>269</v>
      </c>
      <c r="AU269" s="238">
        <f t="shared" si="415"/>
        <v>250</v>
      </c>
      <c r="AV269" s="238"/>
      <c r="AW269" s="238"/>
      <c r="CM269" s="112"/>
      <c r="CN269" s="112"/>
      <c r="CQ269" s="112"/>
      <c r="CR269" s="112"/>
      <c r="CS269" s="112"/>
      <c r="CT269" s="112"/>
      <c r="CU269" s="112"/>
      <c r="CV269" s="112"/>
      <c r="CW269" s="112"/>
      <c r="CX269" s="112" t="s">
        <v>224</v>
      </c>
      <c r="CY269" s="112" t="s">
        <v>225</v>
      </c>
      <c r="CZ269" s="112" t="s">
        <v>226</v>
      </c>
      <c r="DA269" s="112" t="s">
        <v>227</v>
      </c>
      <c r="DB269" s="112" t="s">
        <v>228</v>
      </c>
      <c r="DC269" s="112"/>
      <c r="DD269" s="112"/>
      <c r="DE269" s="238"/>
      <c r="DF269" s="112"/>
      <c r="DG269" s="112"/>
      <c r="DH269" s="112"/>
      <c r="DI269" s="112"/>
      <c r="DJ269" s="112"/>
      <c r="DK269" s="112">
        <f t="shared" si="411"/>
        <v>100000</v>
      </c>
      <c r="DL269" s="112"/>
      <c r="DM269" s="112"/>
      <c r="DN269" s="112"/>
      <c r="DO269" s="112"/>
      <c r="DP269" s="112"/>
      <c r="DQ269" s="112"/>
    </row>
    <row r="270" spans="4:121" x14ac:dyDescent="0.25">
      <c r="E270" s="112">
        <f t="shared" ca="1" si="426"/>
        <v>39083</v>
      </c>
      <c r="AG270" s="238">
        <f>AG269+1</f>
        <v>70</v>
      </c>
      <c r="AH270" s="112" t="str">
        <f ca="1">INDIRECT(CONCATENATE("AA",AG270))</f>
        <v/>
      </c>
      <c r="AI270" s="112" t="e">
        <f ca="1">IF(            INDIRECT(CONCATENATE( "AB",AG270))&lt;100000,       INDIRECT(CONCATENATE("AB",AG270))  -1,IF(   INDIRECT(CONCATENATE("AC",AG270))&lt;100000,   INDIRECT(CONCATENATE("AC",AG270))-1,IF(   INDIRECT(CONCATENATE("AD", AG270))&lt;100000, INDIRECT(CONCATENATE("AD",AG270))-1,IF(   INDIRECT(CONCATENATE("AE",AG270))&lt;100000,  INDIRECT(CONCATENATE("AE",G270)),INDIRECT(CONCATENATE("AF",AG270))                ))))</f>
        <v>#N/A</v>
      </c>
      <c r="AJ270" s="112" t="str">
        <f t="shared" ca="1" si="422"/>
        <v/>
      </c>
      <c r="AK270" s="112" t="str">
        <f t="shared" ca="1" si="425"/>
        <v/>
      </c>
      <c r="AL270" s="238">
        <f t="shared" ca="1" si="423"/>
        <v>0</v>
      </c>
      <c r="AM270" s="112">
        <f t="shared" ca="1" si="421"/>
        <v>100000</v>
      </c>
      <c r="AN270" s="112">
        <f t="shared" ca="1" si="416"/>
        <v>100000</v>
      </c>
      <c r="AO270" s="114">
        <f t="shared" ca="1" si="409"/>
        <v>0</v>
      </c>
      <c r="AP270" s="114">
        <f t="shared" ca="1" si="410"/>
        <v>24</v>
      </c>
      <c r="AR270" s="238">
        <f t="shared" si="414"/>
        <v>270</v>
      </c>
      <c r="AU270" s="238">
        <f t="shared" si="415"/>
        <v>251</v>
      </c>
      <c r="AV270" s="238"/>
      <c r="AW270" s="238"/>
      <c r="CM270" s="112"/>
      <c r="CN270" s="112"/>
      <c r="CQ270" s="112"/>
      <c r="CR270" s="112"/>
      <c r="CS270" s="112"/>
      <c r="CT270" s="112"/>
      <c r="CU270" s="112"/>
      <c r="CV270" s="112"/>
      <c r="CW270" s="112"/>
      <c r="CX270" s="112" t="s">
        <v>224</v>
      </c>
      <c r="CY270" s="112" t="s">
        <v>225</v>
      </c>
      <c r="CZ270" s="112" t="s">
        <v>226</v>
      </c>
      <c r="DA270" s="112" t="s">
        <v>227</v>
      </c>
      <c r="DB270" s="112" t="s">
        <v>228</v>
      </c>
      <c r="DC270" s="112"/>
      <c r="DD270" s="112"/>
      <c r="DE270" s="238"/>
      <c r="DF270" s="112"/>
      <c r="DG270" s="112"/>
      <c r="DH270" s="112"/>
      <c r="DI270" s="112"/>
      <c r="DJ270" s="112"/>
      <c r="DK270" s="112">
        <f t="shared" si="411"/>
        <v>100000</v>
      </c>
      <c r="DL270" s="112"/>
      <c r="DM270" s="112"/>
      <c r="DN270" s="112"/>
      <c r="DO270" s="112"/>
      <c r="DP270" s="112"/>
      <c r="DQ270" s="112"/>
    </row>
    <row r="271" spans="4:121" x14ac:dyDescent="0.25">
      <c r="E271" s="112">
        <f t="shared" ca="1" si="426"/>
        <v>39114</v>
      </c>
      <c r="AG271" s="238">
        <f>AG270</f>
        <v>70</v>
      </c>
      <c r="AH271" s="112" t="e">
        <f ca="1">AI270+1</f>
        <v>#N/A</v>
      </c>
      <c r="AI271" s="112" t="e">
        <f ca="1">IF(INDIRECT(CONCATENATE("AC",AG270))&lt;100000,INDIRECT(CONCATENATE("AC",AG270))-1,IF(INDIRECT(CONCATENATE("AD",AG270))&lt;100000,INDIRECT(CONCATENATE("AD",AG270))-1,IF(INDIRECT(CONCATENATE("AE",AG270))&lt;100000,INDIRECT(CONCATENATE("AE",G270)),INDIRECT(CONCATENATE("AF",AG270)))))</f>
        <v>#N/A</v>
      </c>
      <c r="AJ271" s="112" t="e">
        <f t="shared" ca="1" si="422"/>
        <v>#N/A</v>
      </c>
      <c r="AK271" s="112">
        <f t="shared" ca="1" si="425"/>
        <v>100000</v>
      </c>
      <c r="AL271" s="238" t="e">
        <f t="shared" ca="1" si="423"/>
        <v>#N/A</v>
      </c>
      <c r="AM271" s="112">
        <f t="shared" ca="1" si="421"/>
        <v>100000</v>
      </c>
      <c r="AN271" s="112">
        <f t="shared" ca="1" si="416"/>
        <v>100000</v>
      </c>
      <c r="AO271" s="114">
        <f t="shared" ca="1" si="409"/>
        <v>0</v>
      </c>
      <c r="AP271" s="114">
        <f t="shared" ca="1" si="410"/>
        <v>24</v>
      </c>
      <c r="AR271" s="238">
        <f t="shared" si="414"/>
        <v>271</v>
      </c>
      <c r="AU271" s="238">
        <f t="shared" si="415"/>
        <v>252</v>
      </c>
      <c r="AV271" s="238"/>
      <c r="AW271" s="238"/>
      <c r="CM271" s="112"/>
      <c r="CN271" s="112"/>
      <c r="CQ271" s="112"/>
      <c r="CR271" s="112"/>
      <c r="CS271" s="112"/>
      <c r="CT271" s="112"/>
      <c r="CU271" s="112"/>
      <c r="CV271" s="112"/>
      <c r="CW271" s="112"/>
      <c r="CX271" s="112" t="s">
        <v>224</v>
      </c>
      <c r="CY271" s="112" t="s">
        <v>225</v>
      </c>
      <c r="CZ271" s="112" t="s">
        <v>226</v>
      </c>
      <c r="DA271" s="112" t="s">
        <v>227</v>
      </c>
      <c r="DB271" s="112" t="s">
        <v>228</v>
      </c>
      <c r="DC271" s="112"/>
      <c r="DD271" s="112"/>
      <c r="DE271" s="238"/>
      <c r="DF271" s="112"/>
      <c r="DG271" s="112"/>
      <c r="DH271" s="112"/>
      <c r="DI271" s="112"/>
      <c r="DJ271" s="112"/>
      <c r="DK271" s="112">
        <f t="shared" si="411"/>
        <v>100000</v>
      </c>
      <c r="DL271" s="112"/>
      <c r="DM271" s="112"/>
      <c r="DN271" s="112"/>
      <c r="DO271" s="112"/>
      <c r="DP271" s="112"/>
      <c r="DQ271" s="112"/>
    </row>
    <row r="272" spans="4:121" x14ac:dyDescent="0.25">
      <c r="E272" s="112">
        <f t="shared" ca="1" si="426"/>
        <v>39264</v>
      </c>
      <c r="AG272" s="238">
        <f>AG271</f>
        <v>70</v>
      </c>
      <c r="AH272" s="112" t="e">
        <f ca="1">AI271+1</f>
        <v>#N/A</v>
      </c>
      <c r="AI272" s="112" t="e">
        <f ca="1">IF(INDIRECT(CONCATENATE("AD",AG270))&lt;100000,INDIRECT(CONCATENATE("AD",AG270))-1,IF(INDIRECT(CONCATENATE("AE",AG270))&lt;100000,INDIRECT(CONCATENATE("AE",G270)),INDIRECT(CONCATENATE("AF",AG270))))</f>
        <v>#N/A</v>
      </c>
      <c r="AJ272" s="112" t="e">
        <f t="shared" ca="1" si="422"/>
        <v>#N/A</v>
      </c>
      <c r="AK272" s="112">
        <f t="shared" ca="1" si="425"/>
        <v>100000</v>
      </c>
      <c r="AL272" s="238" t="e">
        <f t="shared" ca="1" si="423"/>
        <v>#N/A</v>
      </c>
      <c r="AM272" s="112">
        <f t="shared" ca="1" si="421"/>
        <v>100000</v>
      </c>
      <c r="AN272" s="112">
        <f t="shared" ca="1" si="416"/>
        <v>100000</v>
      </c>
      <c r="AO272" s="114">
        <f t="shared" ca="1" si="409"/>
        <v>0</v>
      </c>
      <c r="AP272" s="114">
        <f t="shared" ca="1" si="410"/>
        <v>24</v>
      </c>
      <c r="AR272" s="238">
        <f t="shared" si="414"/>
        <v>272</v>
      </c>
      <c r="AU272" s="238">
        <f t="shared" si="415"/>
        <v>253</v>
      </c>
      <c r="AV272" s="238"/>
      <c r="AW272" s="238"/>
      <c r="CM272" s="112"/>
      <c r="CN272" s="112"/>
      <c r="CQ272" s="112"/>
      <c r="CR272" s="112"/>
      <c r="CS272" s="112"/>
      <c r="CT272" s="112"/>
      <c r="CU272" s="112"/>
      <c r="CV272" s="112"/>
      <c r="CW272" s="112"/>
      <c r="CX272" s="112" t="s">
        <v>224</v>
      </c>
      <c r="CY272" s="112" t="s">
        <v>225</v>
      </c>
      <c r="CZ272" s="112" t="s">
        <v>226</v>
      </c>
      <c r="DA272" s="112" t="s">
        <v>227</v>
      </c>
      <c r="DB272" s="112" t="s">
        <v>228</v>
      </c>
      <c r="DC272" s="112"/>
      <c r="DD272" s="112"/>
      <c r="DE272" s="238"/>
      <c r="DF272" s="112"/>
      <c r="DG272" s="112"/>
      <c r="DH272" s="112"/>
      <c r="DI272" s="112"/>
      <c r="DJ272" s="112"/>
      <c r="DK272" s="112">
        <f t="shared" si="411"/>
        <v>100000</v>
      </c>
      <c r="DL272" s="112"/>
      <c r="DM272" s="112"/>
      <c r="DN272" s="112"/>
      <c r="DO272" s="112"/>
      <c r="DP272" s="112"/>
      <c r="DQ272" s="112"/>
    </row>
    <row r="273" spans="5:122" x14ac:dyDescent="0.25">
      <c r="E273" s="112">
        <f t="shared" ca="1" si="426"/>
        <v>39447</v>
      </c>
      <c r="AG273" s="238">
        <f>AG272</f>
        <v>70</v>
      </c>
      <c r="AH273" s="112" t="e">
        <f ca="1">AI272+1</f>
        <v>#N/A</v>
      </c>
      <c r="AI273" s="112" t="e">
        <f ca="1">IF(INDIRECT(CONCATENATE("AE",AG270))&lt;100000,INDIRECT(CONCATENATE("AE",G270)),INDIRECT(CONCATENATE("AF",AG270)))</f>
        <v>#N/A</v>
      </c>
      <c r="AJ273" s="112" t="e">
        <f t="shared" ca="1" si="422"/>
        <v>#N/A</v>
      </c>
      <c r="AK273" s="112">
        <f t="shared" ca="1" si="425"/>
        <v>100000</v>
      </c>
      <c r="AL273" s="238" t="e">
        <f t="shared" ca="1" si="423"/>
        <v>#N/A</v>
      </c>
      <c r="AM273" s="112">
        <f t="shared" ca="1" si="421"/>
        <v>100000</v>
      </c>
      <c r="AN273" s="112">
        <f t="shared" ca="1" si="416"/>
        <v>100000</v>
      </c>
      <c r="AO273" s="114">
        <f t="shared" ca="1" si="409"/>
        <v>0</v>
      </c>
      <c r="AP273" s="114">
        <f t="shared" ca="1" si="410"/>
        <v>24</v>
      </c>
      <c r="AR273" s="238">
        <f t="shared" si="414"/>
        <v>273</v>
      </c>
      <c r="AU273" s="238">
        <f t="shared" si="415"/>
        <v>254</v>
      </c>
      <c r="AV273" s="238"/>
      <c r="AW273" s="238"/>
      <c r="CM273" s="112"/>
      <c r="CN273" s="112"/>
      <c r="CQ273" s="112"/>
      <c r="CR273" s="112"/>
      <c r="CS273" s="112"/>
      <c r="CT273" s="112"/>
      <c r="CU273" s="112"/>
      <c r="CV273" s="112"/>
      <c r="CW273" s="112"/>
      <c r="CX273" s="112" t="s">
        <v>224</v>
      </c>
      <c r="CY273" s="112" t="s">
        <v>225</v>
      </c>
      <c r="CZ273" s="112" t="s">
        <v>226</v>
      </c>
      <c r="DA273" s="112" t="s">
        <v>227</v>
      </c>
      <c r="DB273" s="112" t="s">
        <v>228</v>
      </c>
      <c r="DC273" s="112"/>
      <c r="DD273" s="112"/>
      <c r="DE273" s="238"/>
      <c r="DF273" s="112"/>
      <c r="DG273" s="112"/>
      <c r="DH273" s="112"/>
      <c r="DI273" s="112"/>
      <c r="DJ273" s="112"/>
      <c r="DK273" s="112">
        <f t="shared" si="411"/>
        <v>100000</v>
      </c>
      <c r="DL273" s="112"/>
      <c r="DM273" s="112"/>
      <c r="DN273" s="112"/>
      <c r="DO273" s="112"/>
      <c r="DP273" s="112"/>
      <c r="DQ273" s="112"/>
    </row>
    <row r="274" spans="5:122" x14ac:dyDescent="0.25">
      <c r="E274" s="112">
        <f t="shared" ca="1" si="426"/>
        <v>39539</v>
      </c>
      <c r="AG274" s="238">
        <f>AG273</f>
        <v>70</v>
      </c>
      <c r="AH274" s="112" t="e">
        <f ca="1">AI273+1</f>
        <v>#N/A</v>
      </c>
      <c r="AI274" s="112" t="str">
        <f ca="1">INDIRECT(CONCATENATE("AF",AG270))</f>
        <v/>
      </c>
      <c r="AJ274" s="112" t="str">
        <f t="shared" ca="1" si="422"/>
        <v/>
      </c>
      <c r="AK274" s="112">
        <f t="shared" ca="1" si="425"/>
        <v>100000</v>
      </c>
      <c r="AL274" s="238" t="e">
        <f t="shared" ca="1" si="423"/>
        <v>#N/A</v>
      </c>
      <c r="AM274" s="112">
        <f t="shared" ca="1" si="421"/>
        <v>100000</v>
      </c>
      <c r="AN274" s="112">
        <f t="shared" ca="1" si="416"/>
        <v>100000</v>
      </c>
      <c r="AO274" s="114">
        <f t="shared" ca="1" si="409"/>
        <v>0</v>
      </c>
      <c r="AP274" s="114">
        <f t="shared" ca="1" si="410"/>
        <v>24</v>
      </c>
      <c r="AR274" s="238">
        <f t="shared" si="414"/>
        <v>274</v>
      </c>
      <c r="AU274" s="238">
        <f t="shared" si="415"/>
        <v>255</v>
      </c>
      <c r="AV274" s="238"/>
      <c r="AW274" s="238"/>
      <c r="CM274" s="112"/>
      <c r="CN274" s="112"/>
      <c r="CQ274" s="112"/>
      <c r="CR274" s="112"/>
      <c r="CS274" s="112"/>
      <c r="CT274" s="112"/>
      <c r="CU274" s="112"/>
      <c r="CV274" s="112"/>
      <c r="CW274" s="112"/>
      <c r="CX274" s="112" t="s">
        <v>224</v>
      </c>
      <c r="CY274" s="112" t="s">
        <v>225</v>
      </c>
      <c r="CZ274" s="112" t="s">
        <v>226</v>
      </c>
      <c r="DA274" s="112" t="s">
        <v>227</v>
      </c>
      <c r="DB274" s="112" t="s">
        <v>228</v>
      </c>
      <c r="DC274" s="112"/>
      <c r="DD274" s="112"/>
      <c r="DE274" s="238"/>
      <c r="DF274" s="112"/>
      <c r="DG274" s="112"/>
      <c r="DH274" s="112"/>
      <c r="DI274" s="112"/>
      <c r="DJ274" s="112"/>
      <c r="DK274" s="112">
        <f t="shared" si="411"/>
        <v>100000</v>
      </c>
      <c r="DL274" s="112"/>
      <c r="DM274" s="112"/>
      <c r="DN274" s="112"/>
      <c r="DO274" s="112"/>
      <c r="DP274" s="112"/>
      <c r="DQ274" s="112"/>
    </row>
    <row r="275" spans="5:122" x14ac:dyDescent="0.25">
      <c r="E275" s="112">
        <f t="shared" ca="1" si="426"/>
        <v>39630</v>
      </c>
      <c r="AG275" s="238">
        <f>AG274+1</f>
        <v>71</v>
      </c>
      <c r="AH275" s="112" t="str">
        <f ca="1">INDIRECT(CONCATENATE("AA",AG275))</f>
        <v/>
      </c>
      <c r="AI275" s="112" t="e">
        <f ca="1">IF(            INDIRECT(CONCATENATE( "AB",AG275))&lt;100000,       INDIRECT(CONCATENATE("AB",AG275))  -1,IF(   INDIRECT(CONCATENATE("AC",AG275))&lt;100000,   INDIRECT(CONCATENATE("AC",AG275))-1,IF(   INDIRECT(CONCATENATE("AD", AG275))&lt;100000, INDIRECT(CONCATENATE("AD",AG275))-1,IF(   INDIRECT(CONCATENATE("AE",AG275))&lt;100000,  INDIRECT(CONCATENATE("AE",G275)),INDIRECT(CONCATENATE("AF",AG275))                ))))</f>
        <v>#N/A</v>
      </c>
      <c r="AJ275" s="112" t="str">
        <f t="shared" ca="1" si="422"/>
        <v/>
      </c>
      <c r="AK275" s="112" t="str">
        <f t="shared" ca="1" si="425"/>
        <v/>
      </c>
      <c r="AL275" s="238">
        <f t="shared" ca="1" si="423"/>
        <v>0</v>
      </c>
      <c r="AM275" s="112">
        <f t="shared" ca="1" si="421"/>
        <v>100000</v>
      </c>
      <c r="AN275" s="112">
        <f t="shared" ca="1" si="416"/>
        <v>100000</v>
      </c>
      <c r="AO275" s="114">
        <f t="shared" ca="1" si="409"/>
        <v>0</v>
      </c>
      <c r="AP275" s="114">
        <f t="shared" ca="1" si="410"/>
        <v>24</v>
      </c>
      <c r="AR275" s="238">
        <f t="shared" si="414"/>
        <v>275</v>
      </c>
      <c r="AU275" s="238">
        <f t="shared" si="415"/>
        <v>256</v>
      </c>
      <c r="AV275" s="238"/>
      <c r="AW275" s="238"/>
      <c r="CM275" s="112"/>
      <c r="CN275" s="112"/>
      <c r="CQ275" s="112"/>
      <c r="CR275" s="112"/>
      <c r="CS275" s="112"/>
      <c r="CT275" s="112"/>
      <c r="CU275" s="112"/>
      <c r="CV275" s="112"/>
      <c r="CW275" s="112"/>
      <c r="CX275" s="112" t="s">
        <v>224</v>
      </c>
      <c r="CY275" s="112" t="s">
        <v>225</v>
      </c>
      <c r="CZ275" s="112" t="s">
        <v>226</v>
      </c>
      <c r="DA275" s="112" t="s">
        <v>227</v>
      </c>
      <c r="DB275" s="112" t="s">
        <v>228</v>
      </c>
      <c r="DC275" s="112"/>
      <c r="DD275" s="112"/>
      <c r="DE275" s="238"/>
      <c r="DF275" s="112"/>
      <c r="DG275" s="112"/>
      <c r="DH275" s="112"/>
      <c r="DI275" s="112"/>
      <c r="DJ275" s="112"/>
      <c r="DK275" s="112">
        <f t="shared" si="411"/>
        <v>100000</v>
      </c>
      <c r="DL275" s="112"/>
      <c r="DM275" s="112"/>
      <c r="DN275" s="112"/>
      <c r="DO275" s="112"/>
      <c r="DP275" s="112"/>
      <c r="DQ275" s="112"/>
    </row>
    <row r="276" spans="5:122" x14ac:dyDescent="0.25">
      <c r="E276" s="112">
        <f t="shared" si="426"/>
        <v>100000</v>
      </c>
      <c r="AG276" s="238">
        <f>AG275</f>
        <v>71</v>
      </c>
      <c r="AH276" s="112" t="e">
        <f ca="1">AI275+1</f>
        <v>#N/A</v>
      </c>
      <c r="AI276" s="112" t="e">
        <f ca="1">IF(INDIRECT(CONCATENATE("AC",AG275))&lt;100000,INDIRECT(CONCATENATE("AC",AG275))-1,IF(INDIRECT(CONCATENATE("AD",AG275))&lt;100000,INDIRECT(CONCATENATE("AD",AG275))-1,IF(INDIRECT(CONCATENATE("AE",AG275))&lt;100000,INDIRECT(CONCATENATE("AE",G275)),INDIRECT(CONCATENATE("AF",AG275)))))</f>
        <v>#N/A</v>
      </c>
      <c r="AJ276" s="112" t="e">
        <f t="shared" ca="1" si="422"/>
        <v>#N/A</v>
      </c>
      <c r="AK276" s="112">
        <f t="shared" ca="1" si="425"/>
        <v>100000</v>
      </c>
      <c r="AL276" s="238" t="e">
        <f t="shared" ca="1" si="423"/>
        <v>#N/A</v>
      </c>
      <c r="AM276" s="112">
        <f t="shared" ca="1" si="421"/>
        <v>100000</v>
      </c>
      <c r="AN276" s="112">
        <f t="shared" ca="1" si="416"/>
        <v>100000</v>
      </c>
      <c r="AO276" s="114">
        <f t="shared" ca="1" si="409"/>
        <v>0</v>
      </c>
      <c r="AP276" s="114">
        <f t="shared" ca="1" si="410"/>
        <v>24</v>
      </c>
      <c r="AR276" s="238">
        <f t="shared" si="414"/>
        <v>276</v>
      </c>
      <c r="AU276" s="238">
        <f t="shared" si="415"/>
        <v>257</v>
      </c>
      <c r="AV276" s="238"/>
      <c r="AW276" s="238"/>
      <c r="CM276" s="112"/>
      <c r="CN276" s="112"/>
      <c r="CQ276" s="112"/>
      <c r="CR276" s="112"/>
      <c r="CS276" s="112"/>
      <c r="CT276" s="112"/>
      <c r="CU276" s="112"/>
      <c r="CV276" s="112"/>
      <c r="CW276" s="112"/>
      <c r="CX276" s="112" t="s">
        <v>224</v>
      </c>
      <c r="CY276" s="112" t="s">
        <v>225</v>
      </c>
      <c r="CZ276" s="112" t="s">
        <v>226</v>
      </c>
      <c r="DA276" s="112" t="s">
        <v>227</v>
      </c>
      <c r="DB276" s="112" t="s">
        <v>228</v>
      </c>
      <c r="DC276" s="112"/>
      <c r="DD276" s="112"/>
      <c r="DE276" s="238"/>
      <c r="DF276" s="112"/>
      <c r="DG276" s="112"/>
      <c r="DH276" s="112"/>
      <c r="DI276" s="112"/>
      <c r="DJ276" s="112"/>
      <c r="DK276" s="112">
        <f t="shared" si="411"/>
        <v>100000</v>
      </c>
      <c r="DL276" s="112"/>
      <c r="DM276" s="112"/>
      <c r="DN276" s="112"/>
      <c r="DO276" s="112"/>
      <c r="DP276" s="112"/>
      <c r="DQ276" s="112"/>
    </row>
    <row r="277" spans="5:122" x14ac:dyDescent="0.25">
      <c r="E277" s="112">
        <f t="shared" si="426"/>
        <v>100000</v>
      </c>
      <c r="AG277" s="238">
        <f>AG276</f>
        <v>71</v>
      </c>
      <c r="AH277" s="112" t="e">
        <f ca="1">AI276+1</f>
        <v>#N/A</v>
      </c>
      <c r="AI277" s="112" t="e">
        <f ca="1">IF(INDIRECT(CONCATENATE("AD",AG275))&lt;100000,INDIRECT(CONCATENATE("AD",AG275))-1,IF(INDIRECT(CONCATENATE("AE",AG275))&lt;100000,INDIRECT(CONCATENATE("AE",G275)),INDIRECT(CONCATENATE("AF",AG275))))</f>
        <v>#N/A</v>
      </c>
      <c r="AJ277" s="112" t="e">
        <f t="shared" ca="1" si="422"/>
        <v>#N/A</v>
      </c>
      <c r="AK277" s="112">
        <f t="shared" ca="1" si="425"/>
        <v>100000</v>
      </c>
      <c r="AL277" s="238" t="e">
        <f t="shared" ca="1" si="423"/>
        <v>#N/A</v>
      </c>
      <c r="AM277" s="112">
        <f t="shared" ca="1" si="421"/>
        <v>100000</v>
      </c>
      <c r="AN277" s="112">
        <f t="shared" ca="1" si="416"/>
        <v>100000</v>
      </c>
      <c r="AO277" s="114">
        <f t="shared" ref="AO277:AO340" ca="1" si="427">INDIRECT(CONCATENATE("i",AG277))</f>
        <v>0</v>
      </c>
      <c r="AP277" s="114">
        <f t="shared" ref="AP277:AP340" ca="1" si="428">INDIRECT(CONCATENATE("J",AG277))</f>
        <v>24</v>
      </c>
      <c r="AR277" s="238">
        <f t="shared" si="414"/>
        <v>277</v>
      </c>
      <c r="AU277" s="238">
        <f t="shared" si="415"/>
        <v>258</v>
      </c>
      <c r="AV277" s="238"/>
      <c r="AW277" s="238"/>
      <c r="CM277" s="112"/>
      <c r="CN277" s="112"/>
      <c r="CQ277" s="112"/>
      <c r="CR277" s="112"/>
      <c r="CS277" s="112"/>
      <c r="CT277" s="112"/>
      <c r="CU277" s="112"/>
      <c r="CV277" s="112"/>
      <c r="CW277" s="112"/>
      <c r="CX277" s="112" t="s">
        <v>224</v>
      </c>
      <c r="CY277" s="112" t="s">
        <v>225</v>
      </c>
      <c r="CZ277" s="112" t="s">
        <v>226</v>
      </c>
      <c r="DA277" s="112" t="s">
        <v>227</v>
      </c>
      <c r="DB277" s="112" t="s">
        <v>228</v>
      </c>
      <c r="DC277" s="112"/>
      <c r="DD277" s="112"/>
      <c r="DE277" s="238"/>
      <c r="DF277" s="112"/>
      <c r="DG277" s="112"/>
      <c r="DH277" s="112"/>
      <c r="DI277" s="112"/>
      <c r="DJ277" s="112"/>
      <c r="DK277" s="112">
        <f t="shared" ref="DK277:DK340" si="429">IF(AND(DG277&gt;1000,DG277&lt;80000),DG277,100000)</f>
        <v>100000</v>
      </c>
      <c r="DL277" s="112"/>
      <c r="DM277" s="112"/>
      <c r="DN277" s="112"/>
      <c r="DO277" s="112"/>
      <c r="DP277" s="112"/>
      <c r="DQ277" s="112"/>
    </row>
    <row r="278" spans="5:122" x14ac:dyDescent="0.25">
      <c r="E278" s="112">
        <f t="shared" si="426"/>
        <v>100000</v>
      </c>
      <c r="AG278" s="238">
        <f>AG277</f>
        <v>71</v>
      </c>
      <c r="AH278" s="112" t="e">
        <f ca="1">AI277+1</f>
        <v>#N/A</v>
      </c>
      <c r="AI278" s="112" t="e">
        <f ca="1">IF(INDIRECT(CONCATENATE("AE",AG275))&lt;100000,INDIRECT(CONCATENATE("AE",G275)),INDIRECT(CONCATENATE("AF",AG275)))</f>
        <v>#N/A</v>
      </c>
      <c r="AJ278" s="112" t="e">
        <f t="shared" ca="1" si="422"/>
        <v>#N/A</v>
      </c>
      <c r="AK278" s="112">
        <f t="shared" ca="1" si="425"/>
        <v>100000</v>
      </c>
      <c r="AL278" s="238" t="e">
        <f t="shared" ca="1" si="423"/>
        <v>#N/A</v>
      </c>
      <c r="AM278" s="112">
        <f t="shared" ca="1" si="421"/>
        <v>100000</v>
      </c>
      <c r="AN278" s="112">
        <f t="shared" ca="1" si="416"/>
        <v>100000</v>
      </c>
      <c r="AO278" s="114">
        <f t="shared" ca="1" si="427"/>
        <v>0</v>
      </c>
      <c r="AP278" s="114">
        <f t="shared" ca="1" si="428"/>
        <v>24</v>
      </c>
      <c r="AR278" s="238">
        <f t="shared" ref="AR278:AR341" si="430">AR277+1</f>
        <v>278</v>
      </c>
      <c r="AU278" s="238">
        <f t="shared" ref="AU278:AU341" si="431">AU277+1</f>
        <v>259</v>
      </c>
      <c r="AV278" s="238"/>
      <c r="AW278" s="238"/>
      <c r="CM278" s="112"/>
      <c r="CN278" s="112"/>
      <c r="CQ278" s="112"/>
      <c r="CR278" s="112"/>
      <c r="CS278" s="112"/>
      <c r="CT278" s="112"/>
      <c r="CU278" s="112"/>
      <c r="CV278" s="112"/>
      <c r="CW278" s="112"/>
      <c r="CX278" s="112" t="s">
        <v>224</v>
      </c>
      <c r="CY278" s="112" t="s">
        <v>225</v>
      </c>
      <c r="CZ278" s="112" t="s">
        <v>226</v>
      </c>
      <c r="DA278" s="112" t="s">
        <v>227</v>
      </c>
      <c r="DB278" s="112" t="s">
        <v>228</v>
      </c>
      <c r="DC278" s="112"/>
      <c r="DD278" s="112"/>
      <c r="DE278" s="238"/>
      <c r="DF278" s="112"/>
      <c r="DG278" s="112"/>
      <c r="DH278" s="112"/>
      <c r="DI278" s="112"/>
      <c r="DJ278" s="112"/>
      <c r="DK278" s="112">
        <f t="shared" si="429"/>
        <v>100000</v>
      </c>
      <c r="DL278" s="112"/>
      <c r="DM278" s="112"/>
      <c r="DN278" s="112"/>
      <c r="DO278" s="112"/>
      <c r="DP278" s="112"/>
      <c r="DQ278" s="112"/>
    </row>
    <row r="279" spans="5:122" x14ac:dyDescent="0.25">
      <c r="E279" s="112">
        <f t="shared" si="426"/>
        <v>100000</v>
      </c>
      <c r="AG279" s="238">
        <f>AG278</f>
        <v>71</v>
      </c>
      <c r="AH279" s="112" t="e">
        <f ca="1">AI278+1</f>
        <v>#N/A</v>
      </c>
      <c r="AI279" s="112" t="str">
        <f ca="1">INDIRECT(CONCATENATE("AF",AG275))</f>
        <v/>
      </c>
      <c r="AJ279" s="112" t="str">
        <f t="shared" ca="1" si="422"/>
        <v/>
      </c>
      <c r="AK279" s="112">
        <f t="shared" ca="1" si="425"/>
        <v>100000</v>
      </c>
      <c r="AL279" s="238" t="e">
        <f t="shared" ca="1" si="423"/>
        <v>#N/A</v>
      </c>
      <c r="AM279" s="112">
        <f t="shared" ca="1" si="421"/>
        <v>100000</v>
      </c>
      <c r="AN279" s="112">
        <f t="shared" ref="AN279:AN342" ca="1" si="432">IF(AM279=100000,100000,AK279)</f>
        <v>100000</v>
      </c>
      <c r="AO279" s="114">
        <f t="shared" ca="1" si="427"/>
        <v>0</v>
      </c>
      <c r="AP279" s="114">
        <f t="shared" ca="1" si="428"/>
        <v>24</v>
      </c>
      <c r="AR279" s="238">
        <f t="shared" si="430"/>
        <v>279</v>
      </c>
      <c r="AU279" s="238">
        <f t="shared" si="431"/>
        <v>260</v>
      </c>
      <c r="AV279" s="238"/>
      <c r="AW279" s="238"/>
      <c r="CM279" s="112"/>
      <c r="CN279" s="112"/>
      <c r="CQ279" s="112"/>
      <c r="CR279" s="112"/>
      <c r="CS279" s="112"/>
      <c r="CT279" s="112"/>
      <c r="CU279" s="112"/>
      <c r="CV279" s="112"/>
      <c r="CW279" s="112"/>
      <c r="CX279" s="112" t="s">
        <v>224</v>
      </c>
      <c r="CY279" s="112" t="s">
        <v>225</v>
      </c>
      <c r="CZ279" s="112" t="s">
        <v>226</v>
      </c>
      <c r="DA279" s="112" t="s">
        <v>227</v>
      </c>
      <c r="DB279" s="112" t="s">
        <v>228</v>
      </c>
      <c r="DC279" s="112"/>
      <c r="DD279" s="112"/>
      <c r="DE279" s="238"/>
      <c r="DF279" s="112"/>
      <c r="DG279" s="112"/>
      <c r="DH279" s="112"/>
      <c r="DI279" s="112"/>
      <c r="DJ279" s="112"/>
      <c r="DK279" s="112">
        <f t="shared" si="429"/>
        <v>100000</v>
      </c>
      <c r="DL279" s="112"/>
      <c r="DM279" s="112"/>
      <c r="DN279" s="112"/>
      <c r="DO279" s="112"/>
      <c r="DP279" s="112"/>
      <c r="DQ279" s="112"/>
    </row>
    <row r="280" spans="5:122" x14ac:dyDescent="0.25">
      <c r="E280" s="112">
        <f t="shared" si="426"/>
        <v>100000</v>
      </c>
      <c r="AG280" s="238">
        <f>AG279+1</f>
        <v>72</v>
      </c>
      <c r="AH280" s="112" t="str">
        <f ca="1">INDIRECT(CONCATENATE("AA",AG280))</f>
        <v/>
      </c>
      <c r="AI280" s="112" t="e">
        <f ca="1">IF(            INDIRECT(CONCATENATE( "AB",AG280))&lt;100000,       INDIRECT(CONCATENATE("AB",AG280))  -1,IF(   INDIRECT(CONCATENATE("AC",AG280))&lt;100000,   INDIRECT(CONCATENATE("AC",AG280))-1,IF(   INDIRECT(CONCATENATE("AD", AG280))&lt;100000, INDIRECT(CONCATENATE("AD",AG280))-1,IF(   INDIRECT(CONCATENATE("AE",AG280))&lt;100000,  INDIRECT(CONCATENATE("AE",G280)),INDIRECT(CONCATENATE("AF",AG280))                ))))</f>
        <v>#N/A</v>
      </c>
      <c r="AJ280" s="112" t="str">
        <f t="shared" ca="1" si="422"/>
        <v/>
      </c>
      <c r="AK280" s="112" t="str">
        <f t="shared" ca="1" si="425"/>
        <v/>
      </c>
      <c r="AL280" s="238">
        <f t="shared" ca="1" si="423"/>
        <v>0</v>
      </c>
      <c r="AM280" s="112">
        <f t="shared" ca="1" si="421"/>
        <v>100000</v>
      </c>
      <c r="AN280" s="112">
        <f t="shared" ca="1" si="432"/>
        <v>100000</v>
      </c>
      <c r="AO280" s="114">
        <f t="shared" ca="1" si="427"/>
        <v>0</v>
      </c>
      <c r="AP280" s="114">
        <f t="shared" ca="1" si="428"/>
        <v>24</v>
      </c>
      <c r="AR280" s="238">
        <f t="shared" si="430"/>
        <v>280</v>
      </c>
      <c r="AU280" s="238">
        <f t="shared" si="431"/>
        <v>261</v>
      </c>
      <c r="AV280" s="238"/>
      <c r="AW280" s="238"/>
      <c r="CM280" s="112"/>
      <c r="CN280" s="112"/>
      <c r="CQ280" s="112"/>
      <c r="CR280" s="112"/>
      <c r="CS280" s="112"/>
      <c r="CT280" s="112"/>
      <c r="CU280" s="112"/>
      <c r="CV280" s="112"/>
      <c r="CW280" s="112"/>
      <c r="CX280" s="112" t="s">
        <v>224</v>
      </c>
      <c r="CY280" s="112" t="s">
        <v>225</v>
      </c>
      <c r="CZ280" s="112" t="s">
        <v>226</v>
      </c>
      <c r="DA280" s="112" t="s">
        <v>227</v>
      </c>
      <c r="DB280" s="112" t="s">
        <v>228</v>
      </c>
      <c r="DC280" s="112"/>
      <c r="DD280" s="112"/>
      <c r="DE280" s="238"/>
      <c r="DF280" s="112"/>
      <c r="DG280" s="112"/>
      <c r="DH280" s="112"/>
      <c r="DI280" s="112"/>
      <c r="DJ280" s="112"/>
      <c r="DK280" s="112">
        <f t="shared" si="429"/>
        <v>100000</v>
      </c>
      <c r="DL280" s="112"/>
      <c r="DM280" s="112"/>
      <c r="DN280" s="112"/>
      <c r="DO280" s="112"/>
      <c r="DP280" s="112"/>
      <c r="DQ280" s="112"/>
    </row>
    <row r="281" spans="5:122" x14ac:dyDescent="0.25">
      <c r="E281" s="112">
        <f t="shared" si="426"/>
        <v>100000</v>
      </c>
      <c r="AG281" s="238">
        <f>AG280</f>
        <v>72</v>
      </c>
      <c r="AH281" s="112" t="e">
        <f ca="1">AI280+1</f>
        <v>#N/A</v>
      </c>
      <c r="AI281" s="112" t="e">
        <f ca="1">IF(INDIRECT(CONCATENATE("AC",AG280))&lt;100000,INDIRECT(CONCATENATE("AC",AG280))-1,IF(INDIRECT(CONCATENATE("AD",AG280))&lt;100000,INDIRECT(CONCATENATE("AD",AG280))-1,IF(INDIRECT(CONCATENATE("AE",AG280))&lt;100000,INDIRECT(CONCATENATE("AE",G280)),INDIRECT(CONCATENATE("AF",AG280)))))</f>
        <v>#N/A</v>
      </c>
      <c r="AJ281" s="112" t="e">
        <f t="shared" ca="1" si="422"/>
        <v>#N/A</v>
      </c>
      <c r="AK281" s="112">
        <f t="shared" ca="1" si="425"/>
        <v>100000</v>
      </c>
      <c r="AL281" s="238" t="e">
        <f t="shared" ca="1" si="423"/>
        <v>#N/A</v>
      </c>
      <c r="AM281" s="112">
        <f t="shared" ca="1" si="421"/>
        <v>100000</v>
      </c>
      <c r="AN281" s="112">
        <f t="shared" ca="1" si="432"/>
        <v>100000</v>
      </c>
      <c r="AO281" s="114">
        <f t="shared" ca="1" si="427"/>
        <v>0</v>
      </c>
      <c r="AP281" s="114">
        <f t="shared" ca="1" si="428"/>
        <v>24</v>
      </c>
      <c r="AR281" s="238">
        <f t="shared" si="430"/>
        <v>281</v>
      </c>
      <c r="AU281" s="238">
        <f t="shared" si="431"/>
        <v>262</v>
      </c>
      <c r="AV281" s="238"/>
      <c r="AW281" s="238"/>
      <c r="CM281" s="112"/>
      <c r="CN281" s="112"/>
      <c r="CQ281" s="112"/>
      <c r="CR281" s="112"/>
      <c r="CS281" s="112"/>
      <c r="CT281" s="112"/>
      <c r="CU281" s="112"/>
      <c r="CV281" s="112"/>
      <c r="CW281" s="112"/>
      <c r="CX281" s="112" t="s">
        <v>224</v>
      </c>
      <c r="CY281" s="112" t="s">
        <v>225</v>
      </c>
      <c r="CZ281" s="112" t="s">
        <v>226</v>
      </c>
      <c r="DA281" s="112" t="s">
        <v>227</v>
      </c>
      <c r="DB281" s="112" t="s">
        <v>228</v>
      </c>
      <c r="DC281" s="112"/>
      <c r="DD281" s="112"/>
      <c r="DE281" s="238"/>
      <c r="DF281" s="112"/>
      <c r="DG281" s="112"/>
      <c r="DH281" s="112"/>
      <c r="DI281" s="112"/>
      <c r="DJ281" s="112"/>
      <c r="DK281" s="112">
        <f t="shared" si="429"/>
        <v>100000</v>
      </c>
      <c r="DL281" s="112"/>
      <c r="DM281" s="112"/>
      <c r="DN281" s="112"/>
      <c r="DO281" s="112"/>
      <c r="DP281" s="112"/>
      <c r="DQ281" s="112"/>
    </row>
    <row r="282" spans="5:122" x14ac:dyDescent="0.25">
      <c r="E282" s="112">
        <f t="shared" si="426"/>
        <v>100000</v>
      </c>
      <c r="AG282" s="238">
        <f>AG281</f>
        <v>72</v>
      </c>
      <c r="AH282" s="112" t="e">
        <f ca="1">AI281+1</f>
        <v>#N/A</v>
      </c>
      <c r="AI282" s="112" t="e">
        <f ca="1">IF(INDIRECT(CONCATENATE("AD",AG280))&lt;100000,INDIRECT(CONCATENATE("AD",AG280))-1,IF(INDIRECT(CONCATENATE("AE",AG280))&lt;100000,INDIRECT(CONCATENATE("AE",G280)),INDIRECT(CONCATENATE("AF",AG280))))</f>
        <v>#N/A</v>
      </c>
      <c r="AJ282" s="112" t="e">
        <f t="shared" ca="1" si="422"/>
        <v>#N/A</v>
      </c>
      <c r="AK282" s="112">
        <f t="shared" ca="1" si="425"/>
        <v>100000</v>
      </c>
      <c r="AL282" s="238" t="e">
        <f t="shared" ca="1" si="423"/>
        <v>#N/A</v>
      </c>
      <c r="AM282" s="112">
        <f t="shared" ca="1" si="421"/>
        <v>100000</v>
      </c>
      <c r="AN282" s="112">
        <f t="shared" ca="1" si="432"/>
        <v>100000</v>
      </c>
      <c r="AO282" s="114">
        <f t="shared" ca="1" si="427"/>
        <v>0</v>
      </c>
      <c r="AP282" s="114">
        <f t="shared" ca="1" si="428"/>
        <v>24</v>
      </c>
      <c r="AR282" s="238">
        <f t="shared" si="430"/>
        <v>282</v>
      </c>
      <c r="AU282" s="238">
        <f t="shared" si="431"/>
        <v>263</v>
      </c>
      <c r="AV282" s="238"/>
      <c r="AW282" s="238"/>
      <c r="CM282" s="112"/>
      <c r="CN282" s="112"/>
      <c r="CQ282" s="112"/>
      <c r="CR282" s="112"/>
      <c r="CS282" s="112"/>
      <c r="CT282" s="112"/>
      <c r="CU282" s="112"/>
      <c r="CV282" s="112"/>
      <c r="CW282" s="112"/>
      <c r="CX282" s="112" t="s">
        <v>224</v>
      </c>
      <c r="CY282" s="112" t="s">
        <v>225</v>
      </c>
      <c r="CZ282" s="112" t="s">
        <v>226</v>
      </c>
      <c r="DA282" s="112" t="s">
        <v>227</v>
      </c>
      <c r="DB282" s="112" t="s">
        <v>228</v>
      </c>
      <c r="DC282" s="112"/>
      <c r="DD282" s="112"/>
      <c r="DE282" s="238"/>
      <c r="DF282" s="112"/>
      <c r="DG282" s="112"/>
      <c r="DH282" s="112"/>
      <c r="DI282" s="112"/>
      <c r="DJ282" s="112"/>
      <c r="DK282" s="112">
        <f t="shared" si="429"/>
        <v>100000</v>
      </c>
      <c r="DL282" s="112"/>
      <c r="DM282" s="112"/>
      <c r="DN282" s="112"/>
      <c r="DO282" s="112"/>
      <c r="DP282" s="112"/>
      <c r="DQ282" s="112"/>
      <c r="DR282" t="e">
        <f t="shared" ref="DR282:DR341" si="433">VLOOKUP(CQ282,$F$20:$H$138,3)</f>
        <v>#N/A</v>
      </c>
    </row>
    <row r="283" spans="5:122" x14ac:dyDescent="0.25">
      <c r="E283" s="112">
        <f t="shared" si="426"/>
        <v>100000</v>
      </c>
      <c r="AG283" s="238">
        <f>AG282</f>
        <v>72</v>
      </c>
      <c r="AH283" s="112" t="e">
        <f ca="1">AI282+1</f>
        <v>#N/A</v>
      </c>
      <c r="AI283" s="112" t="e">
        <f ca="1">IF(INDIRECT(CONCATENATE("AE",AG280))&lt;100000,INDIRECT(CONCATENATE("AE",G280)),INDIRECT(CONCATENATE("AF",AG280)))</f>
        <v>#N/A</v>
      </c>
      <c r="AJ283" s="112" t="e">
        <f t="shared" ca="1" si="422"/>
        <v>#N/A</v>
      </c>
      <c r="AK283" s="112">
        <f t="shared" ca="1" si="425"/>
        <v>100000</v>
      </c>
      <c r="AL283" s="238" t="e">
        <f t="shared" ca="1" si="423"/>
        <v>#N/A</v>
      </c>
      <c r="AM283" s="112">
        <f t="shared" ca="1" si="421"/>
        <v>100000</v>
      </c>
      <c r="AN283" s="112">
        <f t="shared" ca="1" si="432"/>
        <v>100000</v>
      </c>
      <c r="AO283" s="114">
        <f t="shared" ca="1" si="427"/>
        <v>0</v>
      </c>
      <c r="AP283" s="114">
        <f t="shared" ca="1" si="428"/>
        <v>24</v>
      </c>
      <c r="AR283" s="238">
        <f t="shared" si="430"/>
        <v>283</v>
      </c>
      <c r="AU283" s="238">
        <f t="shared" si="431"/>
        <v>264</v>
      </c>
      <c r="AV283" s="238"/>
      <c r="AW283" s="238"/>
      <c r="CM283" s="112"/>
      <c r="CN283" s="112"/>
      <c r="CQ283" s="112"/>
      <c r="CR283" s="112"/>
      <c r="CS283" s="112"/>
      <c r="CT283" s="112"/>
      <c r="CU283" s="112"/>
      <c r="CV283" s="112"/>
      <c r="CW283" s="112"/>
      <c r="CX283" s="112" t="s">
        <v>224</v>
      </c>
      <c r="CY283" s="112" t="s">
        <v>225</v>
      </c>
      <c r="CZ283" s="112" t="s">
        <v>226</v>
      </c>
      <c r="DA283" s="112" t="s">
        <v>227</v>
      </c>
      <c r="DB283" s="112" t="s">
        <v>228</v>
      </c>
      <c r="DC283" s="112"/>
      <c r="DD283" s="112"/>
      <c r="DE283" s="238"/>
      <c r="DF283" s="112"/>
      <c r="DG283" s="112"/>
      <c r="DH283" s="112"/>
      <c r="DI283" s="112"/>
      <c r="DJ283" s="112"/>
      <c r="DK283" s="112">
        <f t="shared" si="429"/>
        <v>100000</v>
      </c>
      <c r="DL283" s="112"/>
      <c r="DM283" s="112"/>
      <c r="DN283" s="112"/>
      <c r="DO283" s="112"/>
      <c r="DP283" s="112"/>
      <c r="DQ283" s="112"/>
      <c r="DR283" t="e">
        <f t="shared" si="433"/>
        <v>#N/A</v>
      </c>
    </row>
    <row r="284" spans="5:122" x14ac:dyDescent="0.25">
      <c r="AG284" s="238">
        <f>AG283</f>
        <v>72</v>
      </c>
      <c r="AH284" s="112" t="e">
        <f ca="1">AI283+1</f>
        <v>#N/A</v>
      </c>
      <c r="AI284" s="112" t="str">
        <f ca="1">INDIRECT(CONCATENATE("AF",AG280))</f>
        <v/>
      </c>
      <c r="AJ284" s="112" t="str">
        <f t="shared" ca="1" si="422"/>
        <v/>
      </c>
      <c r="AK284" s="112">
        <f t="shared" ca="1" si="425"/>
        <v>100000</v>
      </c>
      <c r="AL284" s="238" t="e">
        <f t="shared" ca="1" si="423"/>
        <v>#N/A</v>
      </c>
      <c r="AM284" s="112">
        <f t="shared" ca="1" si="421"/>
        <v>100000</v>
      </c>
      <c r="AN284" s="112">
        <f t="shared" ca="1" si="432"/>
        <v>100000</v>
      </c>
      <c r="AO284" s="114">
        <f t="shared" ca="1" si="427"/>
        <v>0</v>
      </c>
      <c r="AP284" s="114">
        <f t="shared" ca="1" si="428"/>
        <v>24</v>
      </c>
      <c r="AR284" s="238">
        <f t="shared" si="430"/>
        <v>284</v>
      </c>
      <c r="AU284" s="238">
        <f t="shared" si="431"/>
        <v>265</v>
      </c>
      <c r="AV284" s="238"/>
      <c r="AW284" s="238"/>
      <c r="CM284" s="112"/>
      <c r="CN284" s="112"/>
      <c r="CQ284" s="112"/>
      <c r="CR284" s="112"/>
      <c r="CS284" s="112"/>
      <c r="CT284" s="112"/>
      <c r="CU284" s="112"/>
      <c r="CV284" s="112"/>
      <c r="CW284" s="112"/>
      <c r="CX284" s="112" t="s">
        <v>224</v>
      </c>
      <c r="CY284" s="112" t="s">
        <v>225</v>
      </c>
      <c r="CZ284" s="112" t="s">
        <v>226</v>
      </c>
      <c r="DA284" s="112" t="s">
        <v>227</v>
      </c>
      <c r="DB284" s="112" t="s">
        <v>228</v>
      </c>
      <c r="DC284" s="112"/>
      <c r="DD284" s="112"/>
      <c r="DE284" s="238"/>
      <c r="DF284" s="112"/>
      <c r="DG284" s="112"/>
      <c r="DH284" s="112"/>
      <c r="DI284" s="112"/>
      <c r="DJ284" s="112"/>
      <c r="DK284" s="112">
        <f t="shared" si="429"/>
        <v>100000</v>
      </c>
      <c r="DL284" s="112"/>
      <c r="DM284" s="112"/>
      <c r="DN284" s="112"/>
      <c r="DO284" s="112"/>
      <c r="DP284" s="112"/>
      <c r="DQ284" s="112"/>
      <c r="DR284" t="e">
        <f t="shared" si="433"/>
        <v>#N/A</v>
      </c>
    </row>
    <row r="285" spans="5:122" x14ac:dyDescent="0.25">
      <c r="AG285" s="238">
        <f>AG284+1</f>
        <v>73</v>
      </c>
      <c r="AH285" s="112" t="str">
        <f ca="1">INDIRECT(CONCATENATE("AA",AG285))</f>
        <v/>
      </c>
      <c r="AI285" s="112" t="e">
        <f ca="1">IF(            INDIRECT(CONCATENATE( "AB",AG285))&lt;100000,       INDIRECT(CONCATENATE("AB",AG285))  -1,IF(   INDIRECT(CONCATENATE("AC",AG285))&lt;100000,   INDIRECT(CONCATENATE("AC",AG285))-1,IF(   INDIRECT(CONCATENATE("AD", AG285))&lt;100000, INDIRECT(CONCATENATE("AD",AG285))-1,IF(   INDIRECT(CONCATENATE("AE",AG285))&lt;100000,  INDIRECT(CONCATENATE("AE",G285)),INDIRECT(CONCATENATE("AF",AG285))                ))))</f>
        <v>#N/A</v>
      </c>
      <c r="AJ285" s="112" t="str">
        <f t="shared" ca="1" si="422"/>
        <v/>
      </c>
      <c r="AK285" s="112" t="str">
        <f t="shared" ca="1" si="425"/>
        <v/>
      </c>
      <c r="AL285" s="238">
        <f t="shared" ca="1" si="423"/>
        <v>0</v>
      </c>
      <c r="AM285" s="112">
        <f t="shared" ca="1" si="421"/>
        <v>100000</v>
      </c>
      <c r="AN285" s="112">
        <f t="shared" ca="1" si="432"/>
        <v>100000</v>
      </c>
      <c r="AO285" s="114">
        <f t="shared" ca="1" si="427"/>
        <v>0</v>
      </c>
      <c r="AP285" s="114">
        <f t="shared" ca="1" si="428"/>
        <v>24</v>
      </c>
      <c r="AR285" s="238">
        <f t="shared" si="430"/>
        <v>285</v>
      </c>
      <c r="AU285" s="238">
        <f t="shared" si="431"/>
        <v>266</v>
      </c>
      <c r="AV285" s="238"/>
      <c r="AW285" s="238"/>
      <c r="CM285" s="112"/>
      <c r="CN285" s="112"/>
      <c r="CQ285" s="112"/>
      <c r="CR285" s="112"/>
      <c r="CS285" s="112"/>
      <c r="CT285" s="112"/>
      <c r="CU285" s="112"/>
      <c r="CV285" s="112"/>
      <c r="CW285" s="112"/>
      <c r="CX285" s="112" t="s">
        <v>224</v>
      </c>
      <c r="CY285" s="112" t="s">
        <v>225</v>
      </c>
      <c r="CZ285" s="112" t="s">
        <v>226</v>
      </c>
      <c r="DA285" s="112" t="s">
        <v>227</v>
      </c>
      <c r="DB285" s="112" t="s">
        <v>228</v>
      </c>
      <c r="DC285" s="112"/>
      <c r="DD285" s="112"/>
      <c r="DE285" s="238"/>
      <c r="DF285" s="112"/>
      <c r="DG285" s="112"/>
      <c r="DH285" s="112"/>
      <c r="DI285" s="112"/>
      <c r="DJ285" s="112"/>
      <c r="DK285" s="112">
        <f t="shared" si="429"/>
        <v>100000</v>
      </c>
      <c r="DL285" s="112"/>
      <c r="DM285" s="112"/>
      <c r="DN285" s="112"/>
      <c r="DO285" s="112"/>
      <c r="DP285" s="112"/>
      <c r="DQ285" s="112"/>
      <c r="DR285" t="e">
        <f t="shared" si="433"/>
        <v>#N/A</v>
      </c>
    </row>
    <row r="286" spans="5:122" x14ac:dyDescent="0.25">
      <c r="AG286" s="238">
        <f>AG285</f>
        <v>73</v>
      </c>
      <c r="AH286" s="112" t="e">
        <f ca="1">AI285+1</f>
        <v>#N/A</v>
      </c>
      <c r="AI286" s="112" t="e">
        <f ca="1">IF(INDIRECT(CONCATENATE("AC",AG285))&lt;100000,INDIRECT(CONCATENATE("AC",AG285))-1,IF(INDIRECT(CONCATENATE("AD",AG285))&lt;100000,INDIRECT(CONCATENATE("AD",AG285))-1,IF(INDIRECT(CONCATENATE("AE",AG285))&lt;100000,INDIRECT(CONCATENATE("AE",G285)),INDIRECT(CONCATENATE("AF",AG285)))))</f>
        <v>#N/A</v>
      </c>
      <c r="AJ286" s="112" t="e">
        <f t="shared" ca="1" si="422"/>
        <v>#N/A</v>
      </c>
      <c r="AK286" s="112">
        <f t="shared" ca="1" si="425"/>
        <v>100000</v>
      </c>
      <c r="AL286" s="238" t="e">
        <f t="shared" ca="1" si="423"/>
        <v>#N/A</v>
      </c>
      <c r="AM286" s="112">
        <f t="shared" ca="1" si="421"/>
        <v>100000</v>
      </c>
      <c r="AN286" s="112">
        <f t="shared" ca="1" si="432"/>
        <v>100000</v>
      </c>
      <c r="AO286" s="114">
        <f t="shared" ca="1" si="427"/>
        <v>0</v>
      </c>
      <c r="AP286" s="114">
        <f t="shared" ca="1" si="428"/>
        <v>24</v>
      </c>
      <c r="AR286" s="238">
        <f t="shared" si="430"/>
        <v>286</v>
      </c>
      <c r="AU286" s="238">
        <f t="shared" si="431"/>
        <v>267</v>
      </c>
      <c r="AV286" s="238"/>
      <c r="AW286" s="238"/>
      <c r="CM286" s="112"/>
      <c r="CN286" s="112"/>
      <c r="CQ286" s="112"/>
      <c r="CR286" s="112"/>
      <c r="CS286" s="112"/>
      <c r="CT286" s="112"/>
      <c r="CU286" s="112"/>
      <c r="CV286" s="112"/>
      <c r="CW286" s="112"/>
      <c r="CX286" s="112" t="s">
        <v>224</v>
      </c>
      <c r="CY286" s="112" t="s">
        <v>225</v>
      </c>
      <c r="CZ286" s="112" t="s">
        <v>226</v>
      </c>
      <c r="DA286" s="112" t="s">
        <v>227</v>
      </c>
      <c r="DB286" s="112" t="s">
        <v>228</v>
      </c>
      <c r="DC286" s="112"/>
      <c r="DD286" s="112"/>
      <c r="DE286" s="238"/>
      <c r="DF286" s="112"/>
      <c r="DG286" s="112"/>
      <c r="DH286" s="112"/>
      <c r="DI286" s="112"/>
      <c r="DJ286" s="112"/>
      <c r="DK286" s="112">
        <f t="shared" si="429"/>
        <v>100000</v>
      </c>
      <c r="DL286" s="112"/>
      <c r="DM286" s="112"/>
      <c r="DN286" s="112"/>
      <c r="DO286" s="112"/>
      <c r="DP286" s="112"/>
      <c r="DQ286" s="112"/>
      <c r="DR286" t="e">
        <f t="shared" si="433"/>
        <v>#N/A</v>
      </c>
    </row>
    <row r="287" spans="5:122" x14ac:dyDescent="0.25">
      <c r="AG287" s="238">
        <f>AG286</f>
        <v>73</v>
      </c>
      <c r="AH287" s="112" t="e">
        <f ca="1">AI286+1</f>
        <v>#N/A</v>
      </c>
      <c r="AI287" s="112" t="e">
        <f ca="1">IF(INDIRECT(CONCATENATE("AD",AG285))&lt;100000,INDIRECT(CONCATENATE("AD",AG285))-1,IF(INDIRECT(CONCATENATE("AE",AG285))&lt;100000,INDIRECT(CONCATENATE("AE",G285)),INDIRECT(CONCATENATE("AF",AG285))))</f>
        <v>#N/A</v>
      </c>
      <c r="AJ287" s="112" t="e">
        <f t="shared" ca="1" si="422"/>
        <v>#N/A</v>
      </c>
      <c r="AK287" s="112">
        <f t="shared" ca="1" si="425"/>
        <v>100000</v>
      </c>
      <c r="AL287" s="238" t="e">
        <f t="shared" ca="1" si="423"/>
        <v>#N/A</v>
      </c>
      <c r="AM287" s="112">
        <f t="shared" ca="1" si="421"/>
        <v>100000</v>
      </c>
      <c r="AN287" s="112">
        <f t="shared" ca="1" si="432"/>
        <v>100000</v>
      </c>
      <c r="AO287" s="114">
        <f t="shared" ca="1" si="427"/>
        <v>0</v>
      </c>
      <c r="AP287" s="114">
        <f t="shared" ca="1" si="428"/>
        <v>24</v>
      </c>
      <c r="AR287" s="238">
        <f t="shared" si="430"/>
        <v>287</v>
      </c>
      <c r="AU287" s="238">
        <f t="shared" si="431"/>
        <v>268</v>
      </c>
      <c r="AV287" s="238"/>
      <c r="AW287" s="238"/>
      <c r="CM287" s="112"/>
      <c r="CN287" s="112"/>
      <c r="CQ287" s="112"/>
      <c r="CR287" s="112"/>
      <c r="CS287" s="112"/>
      <c r="CT287" s="112"/>
      <c r="CU287" s="112"/>
      <c r="CV287" s="112"/>
      <c r="CW287" s="112"/>
      <c r="CX287" s="112" t="s">
        <v>224</v>
      </c>
      <c r="CY287" s="112" t="s">
        <v>225</v>
      </c>
      <c r="CZ287" s="112" t="s">
        <v>226</v>
      </c>
      <c r="DA287" s="112" t="s">
        <v>227</v>
      </c>
      <c r="DB287" s="112" t="s">
        <v>228</v>
      </c>
      <c r="DC287" s="112"/>
      <c r="DD287" s="112"/>
      <c r="DE287" s="238"/>
      <c r="DF287" s="112"/>
      <c r="DG287" s="112"/>
      <c r="DH287" s="112"/>
      <c r="DI287" s="112"/>
      <c r="DJ287" s="112"/>
      <c r="DK287" s="112">
        <f t="shared" si="429"/>
        <v>100000</v>
      </c>
      <c r="DL287" s="112"/>
      <c r="DM287" s="112"/>
      <c r="DN287" s="112"/>
      <c r="DO287" s="112"/>
      <c r="DP287" s="112"/>
      <c r="DQ287" s="112"/>
      <c r="DR287" t="e">
        <f t="shared" si="433"/>
        <v>#N/A</v>
      </c>
    </row>
    <row r="288" spans="5:122" x14ac:dyDescent="0.25">
      <c r="AG288" s="238">
        <f>AG287</f>
        <v>73</v>
      </c>
      <c r="AH288" s="112" t="e">
        <f ca="1">AI287+1</f>
        <v>#N/A</v>
      </c>
      <c r="AI288" s="112" t="e">
        <f ca="1">IF(INDIRECT(CONCATENATE("AE",AG285))&lt;100000,INDIRECT(CONCATENATE("AE",G285)),INDIRECT(CONCATENATE("AF",AG285)))</f>
        <v>#N/A</v>
      </c>
      <c r="AJ288" s="112" t="e">
        <f t="shared" ca="1" si="422"/>
        <v>#N/A</v>
      </c>
      <c r="AK288" s="112">
        <f t="shared" ca="1" si="425"/>
        <v>100000</v>
      </c>
      <c r="AL288" s="238" t="e">
        <f t="shared" ca="1" si="423"/>
        <v>#N/A</v>
      </c>
      <c r="AM288" s="112">
        <f t="shared" ca="1" si="421"/>
        <v>100000</v>
      </c>
      <c r="AN288" s="112">
        <f t="shared" ca="1" si="432"/>
        <v>100000</v>
      </c>
      <c r="AO288" s="114">
        <f t="shared" ca="1" si="427"/>
        <v>0</v>
      </c>
      <c r="AP288" s="114">
        <f t="shared" ca="1" si="428"/>
        <v>24</v>
      </c>
      <c r="AR288" s="238">
        <f t="shared" si="430"/>
        <v>288</v>
      </c>
      <c r="AU288" s="238">
        <f t="shared" si="431"/>
        <v>269</v>
      </c>
      <c r="AV288" s="238"/>
      <c r="AW288" s="238"/>
      <c r="CM288" s="112"/>
      <c r="CN288" s="112"/>
      <c r="CQ288" s="112"/>
      <c r="CR288" s="112"/>
      <c r="CS288" s="112"/>
      <c r="CT288" s="112"/>
      <c r="CU288" s="112"/>
      <c r="CV288" s="112"/>
      <c r="CW288" s="112"/>
      <c r="CX288" s="112" t="s">
        <v>224</v>
      </c>
      <c r="CY288" s="112" t="s">
        <v>225</v>
      </c>
      <c r="CZ288" s="112" t="s">
        <v>226</v>
      </c>
      <c r="DA288" s="112" t="s">
        <v>227</v>
      </c>
      <c r="DB288" s="112" t="s">
        <v>228</v>
      </c>
      <c r="DC288" s="112"/>
      <c r="DD288" s="112"/>
      <c r="DE288" s="238"/>
      <c r="DF288" s="112"/>
      <c r="DG288" s="112"/>
      <c r="DH288" s="112"/>
      <c r="DI288" s="112"/>
      <c r="DJ288" s="112"/>
      <c r="DK288" s="112">
        <f t="shared" si="429"/>
        <v>100000</v>
      </c>
      <c r="DL288" s="112"/>
      <c r="DM288" s="112"/>
      <c r="DN288" s="112"/>
      <c r="DO288" s="112"/>
      <c r="DP288" s="112"/>
      <c r="DQ288" s="112"/>
      <c r="DR288" t="e">
        <f t="shared" si="433"/>
        <v>#N/A</v>
      </c>
    </row>
    <row r="289" spans="33:122" x14ac:dyDescent="0.25">
      <c r="AG289" s="238">
        <f>AG288</f>
        <v>73</v>
      </c>
      <c r="AH289" s="112" t="e">
        <f ca="1">AI288+1</f>
        <v>#N/A</v>
      </c>
      <c r="AI289" s="112" t="str">
        <f ca="1">INDIRECT(CONCATENATE("AF",AG285))</f>
        <v/>
      </c>
      <c r="AJ289" s="112" t="str">
        <f t="shared" ca="1" si="422"/>
        <v/>
      </c>
      <c r="AK289" s="112">
        <f t="shared" ca="1" si="425"/>
        <v>100000</v>
      </c>
      <c r="AL289" s="238" t="e">
        <f t="shared" ca="1" si="423"/>
        <v>#N/A</v>
      </c>
      <c r="AM289" s="112">
        <f t="shared" ca="1" si="421"/>
        <v>100000</v>
      </c>
      <c r="AN289" s="112">
        <f t="shared" ca="1" si="432"/>
        <v>100000</v>
      </c>
      <c r="AO289" s="114">
        <f t="shared" ca="1" si="427"/>
        <v>0</v>
      </c>
      <c r="AP289" s="114">
        <f t="shared" ca="1" si="428"/>
        <v>24</v>
      </c>
      <c r="AR289" s="238">
        <f t="shared" si="430"/>
        <v>289</v>
      </c>
      <c r="AU289" s="238">
        <f t="shared" si="431"/>
        <v>270</v>
      </c>
      <c r="AV289" s="238"/>
      <c r="AW289" s="238"/>
      <c r="CM289" s="112"/>
      <c r="CN289" s="112"/>
      <c r="CQ289" s="112"/>
      <c r="CR289" s="112"/>
      <c r="CS289" s="112"/>
      <c r="CT289" s="112"/>
      <c r="CU289" s="112"/>
      <c r="CV289" s="112"/>
      <c r="CW289" s="112"/>
      <c r="CX289" s="112" t="s">
        <v>224</v>
      </c>
      <c r="CY289" s="112" t="s">
        <v>225</v>
      </c>
      <c r="CZ289" s="112" t="s">
        <v>226</v>
      </c>
      <c r="DA289" s="112" t="s">
        <v>227</v>
      </c>
      <c r="DB289" s="112" t="s">
        <v>228</v>
      </c>
      <c r="DC289" s="112"/>
      <c r="DD289" s="112"/>
      <c r="DE289" s="238"/>
      <c r="DF289" s="112"/>
      <c r="DG289" s="112"/>
      <c r="DH289" s="112"/>
      <c r="DI289" s="112"/>
      <c r="DJ289" s="112"/>
      <c r="DK289" s="112">
        <f t="shared" si="429"/>
        <v>100000</v>
      </c>
      <c r="DL289" s="112"/>
      <c r="DM289" s="112"/>
      <c r="DN289" s="112"/>
      <c r="DO289" s="112"/>
      <c r="DP289" s="112"/>
      <c r="DQ289" s="112"/>
      <c r="DR289" t="e">
        <f t="shared" si="433"/>
        <v>#N/A</v>
      </c>
    </row>
    <row r="290" spans="33:122" x14ac:dyDescent="0.25">
      <c r="AG290" s="238">
        <f>AG289+1</f>
        <v>74</v>
      </c>
      <c r="AH290" s="112" t="str">
        <f ca="1">INDIRECT(CONCATENATE("AA",AG290))</f>
        <v/>
      </c>
      <c r="AI290" s="112" t="e">
        <f ca="1">IF(            INDIRECT(CONCATENATE( "AB",AG290))&lt;100000,       INDIRECT(CONCATENATE("AB",AG290))  -1,IF(   INDIRECT(CONCATENATE("AC",AG290))&lt;100000,   INDIRECT(CONCATENATE("AC",AG290))-1,IF(   INDIRECT(CONCATENATE("AD", AG290))&lt;100000, INDIRECT(CONCATENATE("AD",AG290))-1,IF(   INDIRECT(CONCATENATE("AE",AG290))&lt;100000,  INDIRECT(CONCATENATE("AE",G290)),INDIRECT(CONCATENATE("AF",AG290))                ))))</f>
        <v>#N/A</v>
      </c>
      <c r="AJ290" s="112" t="str">
        <f t="shared" ca="1" si="422"/>
        <v/>
      </c>
      <c r="AK290" s="112" t="str">
        <f t="shared" ca="1" si="425"/>
        <v/>
      </c>
      <c r="AL290" s="238">
        <f t="shared" ca="1" si="423"/>
        <v>0</v>
      </c>
      <c r="AM290" s="112">
        <f t="shared" ca="1" si="421"/>
        <v>100000</v>
      </c>
      <c r="AN290" s="112">
        <f t="shared" ca="1" si="432"/>
        <v>100000</v>
      </c>
      <c r="AO290" s="114">
        <f t="shared" ca="1" si="427"/>
        <v>0</v>
      </c>
      <c r="AP290" s="114">
        <f t="shared" ca="1" si="428"/>
        <v>24</v>
      </c>
      <c r="AR290" s="238">
        <f t="shared" si="430"/>
        <v>290</v>
      </c>
      <c r="AU290" s="238">
        <f t="shared" si="431"/>
        <v>271</v>
      </c>
      <c r="AV290" s="238"/>
      <c r="AW290" s="238"/>
      <c r="CM290" s="112"/>
      <c r="CN290" s="112"/>
      <c r="CQ290" s="112"/>
      <c r="CR290" s="112"/>
      <c r="CS290" s="112"/>
      <c r="CT290" s="112"/>
      <c r="CU290" s="112"/>
      <c r="CV290" s="112"/>
      <c r="CW290" s="112"/>
      <c r="CX290" s="112" t="s">
        <v>224</v>
      </c>
      <c r="CY290" s="112" t="s">
        <v>225</v>
      </c>
      <c r="CZ290" s="112" t="s">
        <v>226</v>
      </c>
      <c r="DA290" s="112" t="s">
        <v>227</v>
      </c>
      <c r="DB290" s="112" t="s">
        <v>228</v>
      </c>
      <c r="DC290" s="112"/>
      <c r="DD290" s="112"/>
      <c r="DE290" s="238"/>
      <c r="DF290" s="112"/>
      <c r="DG290" s="112"/>
      <c r="DH290" s="112"/>
      <c r="DI290" s="112"/>
      <c r="DJ290" s="112"/>
      <c r="DK290" s="112">
        <f t="shared" si="429"/>
        <v>100000</v>
      </c>
      <c r="DL290" s="112"/>
      <c r="DM290" s="112"/>
      <c r="DN290" s="112"/>
      <c r="DO290" s="112"/>
      <c r="DP290" s="112"/>
      <c r="DQ290" s="112"/>
      <c r="DR290" t="e">
        <f t="shared" si="433"/>
        <v>#N/A</v>
      </c>
    </row>
    <row r="291" spans="33:122" x14ac:dyDescent="0.25">
      <c r="AG291" s="238">
        <f>AG290</f>
        <v>74</v>
      </c>
      <c r="AH291" s="112" t="e">
        <f ca="1">AI290+1</f>
        <v>#N/A</v>
      </c>
      <c r="AI291" s="112" t="e">
        <f ca="1">IF(INDIRECT(CONCATENATE("AC",AG290))&lt;100000,INDIRECT(CONCATENATE("AC",AG290))-1,IF(INDIRECT(CONCATENATE("AD",AG290))&lt;100000,INDIRECT(CONCATENATE("AD",AG290))-1,IF(INDIRECT(CONCATENATE("AE",AG290))&lt;100000,INDIRECT(CONCATENATE("AE",G290)),INDIRECT(CONCATENATE("AF",AG290)))))</f>
        <v>#N/A</v>
      </c>
      <c r="AJ291" s="112" t="e">
        <f t="shared" ca="1" si="422"/>
        <v>#N/A</v>
      </c>
      <c r="AK291" s="112">
        <f t="shared" ca="1" si="425"/>
        <v>100000</v>
      </c>
      <c r="AL291" s="238" t="e">
        <f t="shared" ca="1" si="423"/>
        <v>#N/A</v>
      </c>
      <c r="AM291" s="112">
        <f t="shared" ca="1" si="421"/>
        <v>100000</v>
      </c>
      <c r="AN291" s="112">
        <f t="shared" ca="1" si="432"/>
        <v>100000</v>
      </c>
      <c r="AO291" s="114">
        <f t="shared" ca="1" si="427"/>
        <v>0</v>
      </c>
      <c r="AP291" s="114">
        <f t="shared" ca="1" si="428"/>
        <v>24</v>
      </c>
      <c r="AR291" s="238">
        <f t="shared" si="430"/>
        <v>291</v>
      </c>
      <c r="AU291" s="238">
        <f t="shared" si="431"/>
        <v>272</v>
      </c>
      <c r="AV291" s="238"/>
      <c r="AW291" s="238"/>
      <c r="CM291" s="112"/>
      <c r="CN291" s="112"/>
      <c r="CQ291" s="112"/>
      <c r="CR291" s="112"/>
      <c r="CS291" s="112"/>
      <c r="CT291" s="112"/>
      <c r="CU291" s="112"/>
      <c r="CV291" s="112"/>
      <c r="CW291" s="112"/>
      <c r="CX291" s="112" t="s">
        <v>224</v>
      </c>
      <c r="CY291" s="112" t="s">
        <v>225</v>
      </c>
      <c r="CZ291" s="112" t="s">
        <v>226</v>
      </c>
      <c r="DA291" s="112" t="s">
        <v>227</v>
      </c>
      <c r="DB291" s="112" t="s">
        <v>228</v>
      </c>
      <c r="DC291" s="112"/>
      <c r="DD291" s="112"/>
      <c r="DE291" s="238"/>
      <c r="DF291" s="112"/>
      <c r="DG291" s="112"/>
      <c r="DH291" s="112"/>
      <c r="DI291" s="112"/>
      <c r="DJ291" s="112"/>
      <c r="DK291" s="112">
        <f t="shared" si="429"/>
        <v>100000</v>
      </c>
      <c r="DL291" s="112"/>
      <c r="DM291" s="112"/>
      <c r="DN291" s="112"/>
      <c r="DO291" s="112"/>
      <c r="DP291" s="112"/>
      <c r="DQ291" s="112"/>
      <c r="DR291" t="e">
        <f t="shared" si="433"/>
        <v>#N/A</v>
      </c>
    </row>
    <row r="292" spans="33:122" x14ac:dyDescent="0.25">
      <c r="AG292" s="238">
        <f>AG291</f>
        <v>74</v>
      </c>
      <c r="AH292" s="112" t="e">
        <f ca="1">AI291+1</f>
        <v>#N/A</v>
      </c>
      <c r="AI292" s="112" t="e">
        <f ca="1">IF(INDIRECT(CONCATENATE("AD",AG290))&lt;100000,INDIRECT(CONCATENATE("AD",AG290))-1,IF(INDIRECT(CONCATENATE("AE",AG290))&lt;100000,INDIRECT(CONCATENATE("AE",G290)),INDIRECT(CONCATENATE("AF",AG290))))</f>
        <v>#N/A</v>
      </c>
      <c r="AJ292" s="112" t="e">
        <f t="shared" ca="1" si="422"/>
        <v>#N/A</v>
      </c>
      <c r="AK292" s="112">
        <f t="shared" ca="1" si="425"/>
        <v>100000</v>
      </c>
      <c r="AL292" s="238" t="e">
        <f t="shared" ca="1" si="423"/>
        <v>#N/A</v>
      </c>
      <c r="AM292" s="112">
        <f t="shared" ca="1" si="421"/>
        <v>100000</v>
      </c>
      <c r="AN292" s="112">
        <f t="shared" ca="1" si="432"/>
        <v>100000</v>
      </c>
      <c r="AO292" s="114">
        <f t="shared" ca="1" si="427"/>
        <v>0</v>
      </c>
      <c r="AP292" s="114">
        <f t="shared" ca="1" si="428"/>
        <v>24</v>
      </c>
      <c r="AR292" s="238">
        <f t="shared" si="430"/>
        <v>292</v>
      </c>
      <c r="AU292" s="238">
        <f t="shared" si="431"/>
        <v>273</v>
      </c>
      <c r="AV292" s="238"/>
      <c r="AW292" s="238"/>
      <c r="CM292" s="112"/>
      <c r="CN292" s="112"/>
      <c r="CQ292" s="112"/>
      <c r="CR292" s="112"/>
      <c r="CS292" s="112"/>
      <c r="CT292" s="112"/>
      <c r="CU292" s="112"/>
      <c r="CV292" s="112"/>
      <c r="CW292" s="112"/>
      <c r="CX292" s="112" t="s">
        <v>224</v>
      </c>
      <c r="CY292" s="112" t="s">
        <v>225</v>
      </c>
      <c r="CZ292" s="112" t="s">
        <v>226</v>
      </c>
      <c r="DA292" s="112" t="s">
        <v>227</v>
      </c>
      <c r="DB292" s="112" t="s">
        <v>228</v>
      </c>
      <c r="DC292" s="112"/>
      <c r="DD292" s="112"/>
      <c r="DE292" s="238"/>
      <c r="DF292" s="112"/>
      <c r="DG292" s="112"/>
      <c r="DH292" s="112"/>
      <c r="DI292" s="112"/>
      <c r="DJ292" s="112"/>
      <c r="DK292" s="112">
        <f t="shared" si="429"/>
        <v>100000</v>
      </c>
      <c r="DL292" s="112"/>
      <c r="DM292" s="112"/>
      <c r="DN292" s="112"/>
      <c r="DO292" s="112"/>
      <c r="DP292" s="112"/>
      <c r="DQ292" s="112"/>
      <c r="DR292" t="e">
        <f t="shared" si="433"/>
        <v>#N/A</v>
      </c>
    </row>
    <row r="293" spans="33:122" x14ac:dyDescent="0.25">
      <c r="AG293" s="238">
        <f>AG292</f>
        <v>74</v>
      </c>
      <c r="AH293" s="112" t="e">
        <f ca="1">AI292+1</f>
        <v>#N/A</v>
      </c>
      <c r="AI293" s="112" t="e">
        <f ca="1">IF(INDIRECT(CONCATENATE("AE",AG290))&lt;100000,INDIRECT(CONCATENATE("AE",G290)),INDIRECT(CONCATENATE("AF",AG290)))</f>
        <v>#N/A</v>
      </c>
      <c r="AJ293" s="112" t="e">
        <f t="shared" ca="1" si="422"/>
        <v>#N/A</v>
      </c>
      <c r="AK293" s="112">
        <f t="shared" ca="1" si="425"/>
        <v>100000</v>
      </c>
      <c r="AL293" s="238" t="e">
        <f t="shared" ca="1" si="423"/>
        <v>#N/A</v>
      </c>
      <c r="AM293" s="112">
        <f t="shared" ca="1" si="421"/>
        <v>100000</v>
      </c>
      <c r="AN293" s="112">
        <f t="shared" ca="1" si="432"/>
        <v>100000</v>
      </c>
      <c r="AO293" s="114">
        <f t="shared" ca="1" si="427"/>
        <v>0</v>
      </c>
      <c r="AP293" s="114">
        <f t="shared" ca="1" si="428"/>
        <v>24</v>
      </c>
      <c r="AR293" s="238">
        <f t="shared" si="430"/>
        <v>293</v>
      </c>
      <c r="AU293" s="238">
        <f t="shared" si="431"/>
        <v>274</v>
      </c>
      <c r="AV293" s="238"/>
      <c r="AW293" s="238"/>
      <c r="CM293" s="112"/>
      <c r="CN293" s="112"/>
      <c r="CQ293" s="112"/>
      <c r="CR293" s="112"/>
      <c r="CS293" s="112"/>
      <c r="CT293" s="112"/>
      <c r="CU293" s="112"/>
      <c r="CV293" s="112"/>
      <c r="CW293" s="112"/>
      <c r="CX293" s="112" t="s">
        <v>224</v>
      </c>
      <c r="CY293" s="112" t="s">
        <v>225</v>
      </c>
      <c r="CZ293" s="112" t="s">
        <v>226</v>
      </c>
      <c r="DA293" s="112" t="s">
        <v>227</v>
      </c>
      <c r="DB293" s="112" t="s">
        <v>228</v>
      </c>
      <c r="DC293" s="112"/>
      <c r="DD293" s="112"/>
      <c r="DE293" s="238"/>
      <c r="DF293" s="112"/>
      <c r="DG293" s="112"/>
      <c r="DH293" s="112"/>
      <c r="DI293" s="112"/>
      <c r="DJ293" s="112"/>
      <c r="DK293" s="112">
        <f t="shared" si="429"/>
        <v>100000</v>
      </c>
      <c r="DL293" s="112"/>
      <c r="DM293" s="112"/>
      <c r="DN293" s="112"/>
      <c r="DO293" s="112"/>
      <c r="DP293" s="112"/>
      <c r="DQ293" s="112"/>
      <c r="DR293" t="e">
        <f t="shared" si="433"/>
        <v>#N/A</v>
      </c>
    </row>
    <row r="294" spans="33:122" x14ac:dyDescent="0.25">
      <c r="AG294" s="238">
        <f>AG293</f>
        <v>74</v>
      </c>
      <c r="AH294" s="112" t="e">
        <f ca="1">AI293+1</f>
        <v>#N/A</v>
      </c>
      <c r="AI294" s="112" t="str">
        <f ca="1">INDIRECT(CONCATENATE("AF",AG290))</f>
        <v/>
      </c>
      <c r="AJ294" s="112" t="str">
        <f t="shared" ca="1" si="422"/>
        <v/>
      </c>
      <c r="AK294" s="112">
        <f t="shared" ca="1" si="425"/>
        <v>100000</v>
      </c>
      <c r="AL294" s="238" t="e">
        <f t="shared" ca="1" si="423"/>
        <v>#N/A</v>
      </c>
      <c r="AM294" s="112">
        <f t="shared" ca="1" si="421"/>
        <v>100000</v>
      </c>
      <c r="AN294" s="112">
        <f t="shared" ca="1" si="432"/>
        <v>100000</v>
      </c>
      <c r="AO294" s="114">
        <f t="shared" ca="1" si="427"/>
        <v>0</v>
      </c>
      <c r="AP294" s="114">
        <f t="shared" ca="1" si="428"/>
        <v>24</v>
      </c>
      <c r="AR294" s="238">
        <f t="shared" si="430"/>
        <v>294</v>
      </c>
      <c r="AU294" s="238">
        <f t="shared" si="431"/>
        <v>275</v>
      </c>
      <c r="AV294" s="238"/>
      <c r="AW294" s="238"/>
      <c r="CM294" s="112"/>
      <c r="CN294" s="112"/>
      <c r="CQ294" s="112"/>
      <c r="CR294" s="112"/>
      <c r="CS294" s="112"/>
      <c r="CT294" s="112"/>
      <c r="CU294" s="112"/>
      <c r="CV294" s="112"/>
      <c r="CW294" s="112"/>
      <c r="CX294" s="112" t="s">
        <v>224</v>
      </c>
      <c r="CY294" s="112" t="s">
        <v>225</v>
      </c>
      <c r="CZ294" s="112" t="s">
        <v>226</v>
      </c>
      <c r="DA294" s="112" t="s">
        <v>227</v>
      </c>
      <c r="DB294" s="112" t="s">
        <v>228</v>
      </c>
      <c r="DC294" s="112"/>
      <c r="DD294" s="112"/>
      <c r="DE294" s="238"/>
      <c r="DF294" s="112"/>
      <c r="DG294" s="112"/>
      <c r="DH294" s="112"/>
      <c r="DI294" s="112"/>
      <c r="DJ294" s="112"/>
      <c r="DK294" s="112">
        <f t="shared" si="429"/>
        <v>100000</v>
      </c>
      <c r="DL294" s="112"/>
      <c r="DM294" s="112"/>
      <c r="DN294" s="112"/>
      <c r="DO294" s="112"/>
      <c r="DP294" s="112"/>
      <c r="DQ294" s="112"/>
      <c r="DR294" t="e">
        <f t="shared" si="433"/>
        <v>#N/A</v>
      </c>
    </row>
    <row r="295" spans="33:122" x14ac:dyDescent="0.25">
      <c r="AG295" s="238">
        <f>AG294+1</f>
        <v>75</v>
      </c>
      <c r="AH295" s="112" t="str">
        <f ca="1">INDIRECT(CONCATENATE("AA",AG295))</f>
        <v/>
      </c>
      <c r="AI295" s="112" t="e">
        <f ca="1">IF(            INDIRECT(CONCATENATE( "AB",AG295))&lt;100000,       INDIRECT(CONCATENATE("AB",AG295))  -1,IF(   INDIRECT(CONCATENATE("AC",AG295))&lt;100000,   INDIRECT(CONCATENATE("AC",AG295))-1,IF(   INDIRECT(CONCATENATE("AD", AG295))&lt;100000, INDIRECT(CONCATENATE("AD",AG295))-1,IF(   INDIRECT(CONCATENATE("AE",AG295))&lt;100000,  INDIRECT(CONCATENATE("AE",G295)),INDIRECT(CONCATENATE("AF",AG295))                ))))</f>
        <v>#N/A</v>
      </c>
      <c r="AJ295" s="112" t="str">
        <f t="shared" ca="1" si="422"/>
        <v/>
      </c>
      <c r="AK295" s="112" t="str">
        <f t="shared" ca="1" si="425"/>
        <v/>
      </c>
      <c r="AL295" s="238">
        <f t="shared" ca="1" si="423"/>
        <v>0</v>
      </c>
      <c r="AM295" s="112">
        <f t="shared" ca="1" si="421"/>
        <v>100000</v>
      </c>
      <c r="AN295" s="112">
        <f t="shared" ca="1" si="432"/>
        <v>100000</v>
      </c>
      <c r="AO295" s="114">
        <f t="shared" ca="1" si="427"/>
        <v>0</v>
      </c>
      <c r="AP295" s="114">
        <f t="shared" ca="1" si="428"/>
        <v>24</v>
      </c>
      <c r="AR295" s="238">
        <f t="shared" si="430"/>
        <v>295</v>
      </c>
      <c r="AU295" s="238">
        <f t="shared" si="431"/>
        <v>276</v>
      </c>
      <c r="AV295" s="238"/>
      <c r="AW295" s="238"/>
      <c r="CM295" s="112"/>
      <c r="CN295" s="112"/>
      <c r="CQ295" s="112"/>
      <c r="CR295" s="112"/>
      <c r="CS295" s="112"/>
      <c r="CT295" s="112"/>
      <c r="CU295" s="112"/>
      <c r="CV295" s="112"/>
      <c r="CW295" s="112"/>
      <c r="CX295" s="112" t="s">
        <v>224</v>
      </c>
      <c r="CY295" s="112" t="s">
        <v>225</v>
      </c>
      <c r="CZ295" s="112" t="s">
        <v>226</v>
      </c>
      <c r="DA295" s="112" t="s">
        <v>227</v>
      </c>
      <c r="DB295" s="112" t="s">
        <v>228</v>
      </c>
      <c r="DC295" s="112"/>
      <c r="DD295" s="112"/>
      <c r="DE295" s="238"/>
      <c r="DF295" s="112"/>
      <c r="DG295" s="112"/>
      <c r="DH295" s="112"/>
      <c r="DI295" s="112"/>
      <c r="DJ295" s="112"/>
      <c r="DK295" s="112">
        <f t="shared" si="429"/>
        <v>100000</v>
      </c>
      <c r="DL295" s="112"/>
      <c r="DM295" s="112"/>
      <c r="DN295" s="112"/>
      <c r="DO295" s="112"/>
      <c r="DP295" s="112"/>
      <c r="DQ295" s="112"/>
      <c r="DR295" t="e">
        <f t="shared" si="433"/>
        <v>#N/A</v>
      </c>
    </row>
    <row r="296" spans="33:122" x14ac:dyDescent="0.25">
      <c r="AG296" s="238">
        <f>AG295</f>
        <v>75</v>
      </c>
      <c r="AH296" s="112" t="e">
        <f ca="1">AI295+1</f>
        <v>#N/A</v>
      </c>
      <c r="AI296" s="112" t="e">
        <f ca="1">IF(INDIRECT(CONCATENATE("AC",AG295))&lt;100000,INDIRECT(CONCATENATE("AC",AG295))-1,IF(INDIRECT(CONCATENATE("AD",AG295))&lt;100000,INDIRECT(CONCATENATE("AD",AG295))-1,IF(INDIRECT(CONCATENATE("AE",AG295))&lt;100000,INDIRECT(CONCATENATE("AE",G295)),INDIRECT(CONCATENATE("AF",AG295)))))</f>
        <v>#N/A</v>
      </c>
      <c r="AJ296" s="112" t="e">
        <f t="shared" ca="1" si="422"/>
        <v>#N/A</v>
      </c>
      <c r="AK296" s="112">
        <f t="shared" ca="1" si="425"/>
        <v>100000</v>
      </c>
      <c r="AL296" s="238" t="e">
        <f t="shared" ca="1" si="423"/>
        <v>#N/A</v>
      </c>
      <c r="AM296" s="112">
        <f t="shared" ca="1" si="421"/>
        <v>100000</v>
      </c>
      <c r="AN296" s="112">
        <f t="shared" ca="1" si="432"/>
        <v>100000</v>
      </c>
      <c r="AO296" s="114">
        <f t="shared" ca="1" si="427"/>
        <v>0</v>
      </c>
      <c r="AP296" s="114">
        <f t="shared" ca="1" si="428"/>
        <v>24</v>
      </c>
      <c r="AR296" s="238">
        <f t="shared" si="430"/>
        <v>296</v>
      </c>
      <c r="AU296" s="238">
        <f t="shared" si="431"/>
        <v>277</v>
      </c>
      <c r="AV296" s="238"/>
      <c r="AW296" s="238"/>
      <c r="CM296" s="112"/>
      <c r="CN296" s="112"/>
      <c r="CQ296" s="112"/>
      <c r="CR296" s="112"/>
      <c r="CS296" s="112"/>
      <c r="CT296" s="112"/>
      <c r="CU296" s="112"/>
      <c r="CV296" s="112"/>
      <c r="CW296" s="112"/>
      <c r="CX296" s="112" t="s">
        <v>224</v>
      </c>
      <c r="CY296" s="112" t="s">
        <v>225</v>
      </c>
      <c r="CZ296" s="112" t="s">
        <v>226</v>
      </c>
      <c r="DA296" s="112" t="s">
        <v>227</v>
      </c>
      <c r="DB296" s="112" t="s">
        <v>228</v>
      </c>
      <c r="DC296" s="112"/>
      <c r="DD296" s="112"/>
      <c r="DE296" s="238"/>
      <c r="DF296" s="112"/>
      <c r="DG296" s="112"/>
      <c r="DH296" s="112"/>
      <c r="DI296" s="112"/>
      <c r="DJ296" s="112"/>
      <c r="DK296" s="112">
        <f t="shared" si="429"/>
        <v>100000</v>
      </c>
      <c r="DL296" s="112"/>
      <c r="DM296" s="112"/>
      <c r="DN296" s="112"/>
      <c r="DO296" s="112"/>
      <c r="DP296" s="112"/>
      <c r="DQ296" s="112"/>
      <c r="DR296" t="e">
        <f t="shared" si="433"/>
        <v>#N/A</v>
      </c>
    </row>
    <row r="297" spans="33:122" x14ac:dyDescent="0.25">
      <c r="AG297" s="238">
        <f>AG296</f>
        <v>75</v>
      </c>
      <c r="AH297" s="112" t="e">
        <f ca="1">AI296+1</f>
        <v>#N/A</v>
      </c>
      <c r="AI297" s="112" t="e">
        <f ca="1">IF(INDIRECT(CONCATENATE("AD",AG295))&lt;100000,INDIRECT(CONCATENATE("AD",AG295))-1,IF(INDIRECT(CONCATENATE("AE",AG295))&lt;100000,INDIRECT(CONCATENATE("AE",G295)),INDIRECT(CONCATENATE("AF",AG295))))</f>
        <v>#N/A</v>
      </c>
      <c r="AJ297" s="112" t="e">
        <f t="shared" ca="1" si="422"/>
        <v>#N/A</v>
      </c>
      <c r="AK297" s="112">
        <f t="shared" ca="1" si="425"/>
        <v>100000</v>
      </c>
      <c r="AL297" s="238" t="e">
        <f t="shared" ca="1" si="423"/>
        <v>#N/A</v>
      </c>
      <c r="AM297" s="112">
        <f t="shared" ref="AM297:AM360" ca="1" si="434">IF(TYPE(AL297)=16,100000,IF(AL297=0,100000,AH297))</f>
        <v>100000</v>
      </c>
      <c r="AN297" s="112">
        <f t="shared" ca="1" si="432"/>
        <v>100000</v>
      </c>
      <c r="AO297" s="114">
        <f t="shared" ca="1" si="427"/>
        <v>0</v>
      </c>
      <c r="AP297" s="114">
        <f t="shared" ca="1" si="428"/>
        <v>24</v>
      </c>
      <c r="AR297" s="238">
        <f t="shared" si="430"/>
        <v>297</v>
      </c>
      <c r="AU297" s="238">
        <f t="shared" si="431"/>
        <v>278</v>
      </c>
      <c r="AV297" s="238"/>
      <c r="AW297" s="238"/>
      <c r="CM297" s="112"/>
      <c r="CN297" s="112"/>
      <c r="CQ297" s="112"/>
      <c r="CR297" s="112"/>
      <c r="CS297" s="112"/>
      <c r="CT297" s="112"/>
      <c r="CU297" s="112"/>
      <c r="CV297" s="112"/>
      <c r="CW297" s="112"/>
      <c r="CX297" s="112" t="s">
        <v>224</v>
      </c>
      <c r="CY297" s="112" t="s">
        <v>225</v>
      </c>
      <c r="CZ297" s="112" t="s">
        <v>226</v>
      </c>
      <c r="DA297" s="112" t="s">
        <v>227</v>
      </c>
      <c r="DB297" s="112" t="s">
        <v>228</v>
      </c>
      <c r="DC297" s="112"/>
      <c r="DD297" s="112"/>
      <c r="DE297" s="238"/>
      <c r="DF297" s="112"/>
      <c r="DG297" s="112"/>
      <c r="DH297" s="112"/>
      <c r="DI297" s="112"/>
      <c r="DJ297" s="112"/>
      <c r="DK297" s="112">
        <f t="shared" si="429"/>
        <v>100000</v>
      </c>
      <c r="DL297" s="112"/>
      <c r="DM297" s="112"/>
      <c r="DN297" s="112"/>
      <c r="DO297" s="112"/>
      <c r="DP297" s="112"/>
      <c r="DQ297" s="112"/>
      <c r="DR297" t="e">
        <f t="shared" si="433"/>
        <v>#N/A</v>
      </c>
    </row>
    <row r="298" spans="33:122" x14ac:dyDescent="0.25">
      <c r="AG298" s="238">
        <f>AG297</f>
        <v>75</v>
      </c>
      <c r="AH298" s="112" t="e">
        <f ca="1">AI297+1</f>
        <v>#N/A</v>
      </c>
      <c r="AI298" s="112" t="e">
        <f ca="1">IF(INDIRECT(CONCATENATE("AE",AG295))&lt;100000,INDIRECT(CONCATENATE("AE",G295)),INDIRECT(CONCATENATE("AF",AG295)))</f>
        <v>#N/A</v>
      </c>
      <c r="AJ298" s="112" t="e">
        <f t="shared" ca="1" si="422"/>
        <v>#N/A</v>
      </c>
      <c r="AK298" s="112">
        <f t="shared" ca="1" si="425"/>
        <v>100000</v>
      </c>
      <c r="AL298" s="238" t="e">
        <f t="shared" ca="1" si="423"/>
        <v>#N/A</v>
      </c>
      <c r="AM298" s="112">
        <f t="shared" ca="1" si="434"/>
        <v>100000</v>
      </c>
      <c r="AN298" s="112">
        <f t="shared" ca="1" si="432"/>
        <v>100000</v>
      </c>
      <c r="AO298" s="114">
        <f t="shared" ca="1" si="427"/>
        <v>0</v>
      </c>
      <c r="AP298" s="114">
        <f t="shared" ca="1" si="428"/>
        <v>24</v>
      </c>
      <c r="AR298" s="238">
        <f t="shared" si="430"/>
        <v>298</v>
      </c>
      <c r="AU298" s="238">
        <f t="shared" si="431"/>
        <v>279</v>
      </c>
      <c r="AV298" s="238"/>
      <c r="AW298" s="238"/>
      <c r="CM298" s="112"/>
      <c r="CN298" s="112"/>
      <c r="CQ298" s="112"/>
      <c r="CR298" s="112"/>
      <c r="CS298" s="112"/>
      <c r="CT298" s="112"/>
      <c r="CU298" s="112"/>
      <c r="CV298" s="112"/>
      <c r="CW298" s="112"/>
      <c r="CX298" s="112" t="s">
        <v>224</v>
      </c>
      <c r="CY298" s="112" t="s">
        <v>225</v>
      </c>
      <c r="CZ298" s="112" t="s">
        <v>226</v>
      </c>
      <c r="DA298" s="112" t="s">
        <v>227</v>
      </c>
      <c r="DB298" s="112" t="s">
        <v>228</v>
      </c>
      <c r="DC298" s="112"/>
      <c r="DD298" s="112"/>
      <c r="DE298" s="238"/>
      <c r="DF298" s="112"/>
      <c r="DG298" s="112"/>
      <c r="DH298" s="112"/>
      <c r="DI298" s="112"/>
      <c r="DJ298" s="112"/>
      <c r="DK298" s="112">
        <f t="shared" si="429"/>
        <v>100000</v>
      </c>
      <c r="DL298" s="112"/>
      <c r="DM298" s="112"/>
      <c r="DN298" s="112"/>
      <c r="DO298" s="112"/>
      <c r="DP298" s="112"/>
      <c r="DQ298" s="112"/>
      <c r="DR298" t="e">
        <f t="shared" si="433"/>
        <v>#N/A</v>
      </c>
    </row>
    <row r="299" spans="33:122" x14ac:dyDescent="0.25">
      <c r="AG299" s="238">
        <f>AG298</f>
        <v>75</v>
      </c>
      <c r="AH299" s="112" t="e">
        <f ca="1">AI298+1</f>
        <v>#N/A</v>
      </c>
      <c r="AI299" s="112" t="str">
        <f ca="1">INDIRECT(CONCATENATE("AF",AG295))</f>
        <v/>
      </c>
      <c r="AJ299" s="112" t="str">
        <f t="shared" ca="1" si="422"/>
        <v/>
      </c>
      <c r="AK299" s="112">
        <f t="shared" ca="1" si="425"/>
        <v>100000</v>
      </c>
      <c r="AL299" s="238" t="e">
        <f t="shared" ca="1" si="423"/>
        <v>#N/A</v>
      </c>
      <c r="AM299" s="112">
        <f t="shared" ca="1" si="434"/>
        <v>100000</v>
      </c>
      <c r="AN299" s="112">
        <f t="shared" ca="1" si="432"/>
        <v>100000</v>
      </c>
      <c r="AO299" s="114">
        <f t="shared" ca="1" si="427"/>
        <v>0</v>
      </c>
      <c r="AP299" s="114">
        <f t="shared" ca="1" si="428"/>
        <v>24</v>
      </c>
      <c r="AR299" s="238">
        <f t="shared" si="430"/>
        <v>299</v>
      </c>
      <c r="AU299" s="238">
        <f t="shared" si="431"/>
        <v>280</v>
      </c>
      <c r="AV299" s="238"/>
      <c r="AW299" s="238"/>
      <c r="CM299" s="112"/>
      <c r="CN299" s="112"/>
      <c r="CQ299" s="112"/>
      <c r="CR299" s="112"/>
      <c r="CS299" s="112"/>
      <c r="CT299" s="112"/>
      <c r="CU299" s="112"/>
      <c r="CV299" s="112"/>
      <c r="CW299" s="112"/>
      <c r="CX299" s="112" t="s">
        <v>224</v>
      </c>
      <c r="CY299" s="112" t="s">
        <v>225</v>
      </c>
      <c r="CZ299" s="112" t="s">
        <v>226</v>
      </c>
      <c r="DA299" s="112" t="s">
        <v>227</v>
      </c>
      <c r="DB299" s="112" t="s">
        <v>228</v>
      </c>
      <c r="DC299" s="112"/>
      <c r="DD299" s="112"/>
      <c r="DE299" s="238"/>
      <c r="DF299" s="112"/>
      <c r="DG299" s="112"/>
      <c r="DH299" s="112"/>
      <c r="DI299" s="112"/>
      <c r="DJ299" s="112"/>
      <c r="DK299" s="112">
        <f t="shared" si="429"/>
        <v>100000</v>
      </c>
      <c r="DL299" s="112"/>
      <c r="DM299" s="112"/>
      <c r="DN299" s="112"/>
      <c r="DO299" s="112"/>
      <c r="DP299" s="112"/>
      <c r="DQ299" s="112"/>
      <c r="DR299" t="e">
        <f t="shared" si="433"/>
        <v>#N/A</v>
      </c>
    </row>
    <row r="300" spans="33:122" x14ac:dyDescent="0.25">
      <c r="AG300" s="238">
        <f>AG299+1</f>
        <v>76</v>
      </c>
      <c r="AH300" s="112" t="str">
        <f ca="1">INDIRECT(CONCATENATE("AA",AG300))</f>
        <v/>
      </c>
      <c r="AI300" s="112" t="e">
        <f ca="1">IF(            INDIRECT(CONCATENATE( "AB",AG300))&lt;100000,       INDIRECT(CONCATENATE("AB",AG300))  -1,IF(   INDIRECT(CONCATENATE("AC",AG300))&lt;100000,   INDIRECT(CONCATENATE("AC",AG300))-1,IF(   INDIRECT(CONCATENATE("AD", AG300))&lt;100000, INDIRECT(CONCATENATE("AD",AG300))-1,IF(   INDIRECT(CONCATENATE("AE",AG300))&lt;100000,  INDIRECT(CONCATENATE("AE",G300)),INDIRECT(CONCATENATE("AF",AG300))                ))))</f>
        <v>#N/A</v>
      </c>
      <c r="AJ300" s="112" t="str">
        <f t="shared" ca="1" si="422"/>
        <v/>
      </c>
      <c r="AK300" s="112" t="str">
        <f t="shared" ca="1" si="425"/>
        <v/>
      </c>
      <c r="AL300" s="238">
        <f t="shared" ca="1" si="423"/>
        <v>0</v>
      </c>
      <c r="AM300" s="112">
        <f t="shared" ca="1" si="434"/>
        <v>100000</v>
      </c>
      <c r="AN300" s="112">
        <f t="shared" ca="1" si="432"/>
        <v>100000</v>
      </c>
      <c r="AO300" s="114">
        <f t="shared" ca="1" si="427"/>
        <v>0</v>
      </c>
      <c r="AP300" s="114">
        <f t="shared" ca="1" si="428"/>
        <v>24</v>
      </c>
      <c r="AR300" s="238">
        <f t="shared" si="430"/>
        <v>300</v>
      </c>
      <c r="AU300" s="238">
        <f t="shared" si="431"/>
        <v>281</v>
      </c>
      <c r="AV300" s="238"/>
      <c r="AW300" s="238"/>
      <c r="CM300" s="112"/>
      <c r="CN300" s="112"/>
      <c r="CQ300" s="112"/>
      <c r="CR300" s="112"/>
      <c r="CS300" s="112"/>
      <c r="CT300" s="112"/>
      <c r="CU300" s="112"/>
      <c r="CV300" s="112"/>
      <c r="CW300" s="112"/>
      <c r="CX300" s="112" t="s">
        <v>224</v>
      </c>
      <c r="CY300" s="112" t="s">
        <v>225</v>
      </c>
      <c r="CZ300" s="112" t="s">
        <v>226</v>
      </c>
      <c r="DA300" s="112" t="s">
        <v>227</v>
      </c>
      <c r="DB300" s="112" t="s">
        <v>228</v>
      </c>
      <c r="DC300" s="112"/>
      <c r="DD300" s="112"/>
      <c r="DE300" s="238"/>
      <c r="DF300" s="112"/>
      <c r="DG300" s="112"/>
      <c r="DH300" s="112"/>
      <c r="DI300" s="112"/>
      <c r="DJ300" s="112"/>
      <c r="DK300" s="112">
        <f t="shared" si="429"/>
        <v>100000</v>
      </c>
      <c r="DL300" s="112"/>
      <c r="DM300" s="112"/>
      <c r="DN300" s="112"/>
      <c r="DO300" s="112"/>
      <c r="DP300" s="112"/>
      <c r="DQ300" s="112"/>
      <c r="DR300" t="e">
        <f t="shared" si="433"/>
        <v>#N/A</v>
      </c>
    </row>
    <row r="301" spans="33:122" x14ac:dyDescent="0.25">
      <c r="AG301" s="238">
        <f>AG300</f>
        <v>76</v>
      </c>
      <c r="AH301" s="112" t="e">
        <f ca="1">AI300+1</f>
        <v>#N/A</v>
      </c>
      <c r="AI301" s="112" t="e">
        <f ca="1">IF(INDIRECT(CONCATENATE("AC",AG300))&lt;100000,INDIRECT(CONCATENATE("AC",AG300))-1,IF(INDIRECT(CONCATENATE("AD",AG300))&lt;100000,INDIRECT(CONCATENATE("AD",AG300))-1,IF(INDIRECT(CONCATENATE("AE",AG300))&lt;100000,INDIRECT(CONCATENATE("AE",G300)),INDIRECT(CONCATENATE("AF",AG300)))))</f>
        <v>#N/A</v>
      </c>
      <c r="AJ301" s="112" t="e">
        <f t="shared" ref="AJ301:AJ364" ca="1" si="435">IF(TYPE(AI301)=16,VLOOKUP(AH301,$F$20:$G$146,2),AI301)</f>
        <v>#N/A</v>
      </c>
      <c r="AK301" s="112">
        <f t="shared" ca="1" si="425"/>
        <v>100000</v>
      </c>
      <c r="AL301" s="238" t="e">
        <f t="shared" ca="1" si="423"/>
        <v>#N/A</v>
      </c>
      <c r="AM301" s="112">
        <f t="shared" ca="1" si="434"/>
        <v>100000</v>
      </c>
      <c r="AN301" s="112">
        <f t="shared" ca="1" si="432"/>
        <v>100000</v>
      </c>
      <c r="AO301" s="114">
        <f t="shared" ca="1" si="427"/>
        <v>0</v>
      </c>
      <c r="AP301" s="114">
        <f t="shared" ca="1" si="428"/>
        <v>24</v>
      </c>
      <c r="AR301" s="238">
        <f t="shared" si="430"/>
        <v>301</v>
      </c>
      <c r="AU301" s="238">
        <f t="shared" si="431"/>
        <v>282</v>
      </c>
      <c r="AV301" s="238"/>
      <c r="AW301" s="238"/>
      <c r="CM301" s="112"/>
      <c r="CN301" s="112"/>
      <c r="CQ301" s="112"/>
      <c r="CR301" s="112"/>
      <c r="CS301" s="112"/>
      <c r="CT301" s="112"/>
      <c r="CU301" s="112"/>
      <c r="CV301" s="112"/>
      <c r="CW301" s="112"/>
      <c r="CX301" s="112" t="s">
        <v>224</v>
      </c>
      <c r="CY301" s="112" t="s">
        <v>225</v>
      </c>
      <c r="CZ301" s="112" t="s">
        <v>226</v>
      </c>
      <c r="DA301" s="112" t="s">
        <v>227</v>
      </c>
      <c r="DB301" s="112" t="s">
        <v>228</v>
      </c>
      <c r="DC301" s="112"/>
      <c r="DD301" s="112"/>
      <c r="DE301" s="238"/>
      <c r="DF301" s="112"/>
      <c r="DG301" s="112"/>
      <c r="DH301" s="112"/>
      <c r="DI301" s="112"/>
      <c r="DJ301" s="112"/>
      <c r="DK301" s="112">
        <f t="shared" si="429"/>
        <v>100000</v>
      </c>
      <c r="DL301" s="112"/>
      <c r="DM301" s="112"/>
      <c r="DN301" s="112"/>
      <c r="DO301" s="112"/>
      <c r="DP301" s="112"/>
      <c r="DQ301" s="112"/>
      <c r="DR301" t="e">
        <f t="shared" si="433"/>
        <v>#N/A</v>
      </c>
    </row>
    <row r="302" spans="33:122" x14ac:dyDescent="0.25">
      <c r="AG302" s="238">
        <f>AG301</f>
        <v>76</v>
      </c>
      <c r="AH302" s="112" t="e">
        <f ca="1">AI301+1</f>
        <v>#N/A</v>
      </c>
      <c r="AI302" s="112" t="e">
        <f ca="1">IF(INDIRECT(CONCATENATE("AD",AG300))&lt;100000,INDIRECT(CONCATENATE("AD",AG300))-1,IF(INDIRECT(CONCATENATE("AE",AG300))&lt;100000,INDIRECT(CONCATENATE("AE",G300)),INDIRECT(CONCATENATE("AF",AG300))))</f>
        <v>#N/A</v>
      </c>
      <c r="AJ302" s="112" t="e">
        <f t="shared" ca="1" si="435"/>
        <v>#N/A</v>
      </c>
      <c r="AK302" s="112">
        <f t="shared" ca="1" si="425"/>
        <v>100000</v>
      </c>
      <c r="AL302" s="238" t="e">
        <f t="shared" ref="AL302:AL365" ca="1" si="436">IF(AK302=AI301,0,1)</f>
        <v>#N/A</v>
      </c>
      <c r="AM302" s="112">
        <f t="shared" ca="1" si="434"/>
        <v>100000</v>
      </c>
      <c r="AN302" s="112">
        <f t="shared" ca="1" si="432"/>
        <v>100000</v>
      </c>
      <c r="AO302" s="114">
        <f t="shared" ca="1" si="427"/>
        <v>0</v>
      </c>
      <c r="AP302" s="114">
        <f t="shared" ca="1" si="428"/>
        <v>24</v>
      </c>
      <c r="AR302" s="238">
        <f t="shared" si="430"/>
        <v>302</v>
      </c>
      <c r="AU302" s="238">
        <f t="shared" si="431"/>
        <v>283</v>
      </c>
      <c r="AV302" s="238"/>
      <c r="AW302" s="238"/>
      <c r="CM302" s="112"/>
      <c r="CN302" s="112"/>
      <c r="CQ302" s="112"/>
      <c r="CR302" s="112"/>
      <c r="CS302" s="112"/>
      <c r="CT302" s="112"/>
      <c r="CU302" s="112"/>
      <c r="CV302" s="112"/>
      <c r="CW302" s="112"/>
      <c r="CX302" s="112" t="s">
        <v>224</v>
      </c>
      <c r="CY302" s="112" t="s">
        <v>225</v>
      </c>
      <c r="CZ302" s="112" t="s">
        <v>226</v>
      </c>
      <c r="DA302" s="112" t="s">
        <v>227</v>
      </c>
      <c r="DB302" s="112" t="s">
        <v>228</v>
      </c>
      <c r="DC302" s="112"/>
      <c r="DD302" s="112"/>
      <c r="DE302" s="238"/>
      <c r="DF302" s="112"/>
      <c r="DG302" s="112"/>
      <c r="DH302" s="112"/>
      <c r="DI302" s="112"/>
      <c r="DJ302" s="112"/>
      <c r="DK302" s="112">
        <f t="shared" si="429"/>
        <v>100000</v>
      </c>
      <c r="DL302" s="112"/>
      <c r="DM302" s="112"/>
      <c r="DN302" s="112"/>
      <c r="DO302" s="112"/>
      <c r="DP302" s="112"/>
      <c r="DQ302" s="112"/>
      <c r="DR302" t="e">
        <f t="shared" si="433"/>
        <v>#N/A</v>
      </c>
    </row>
    <row r="303" spans="33:122" x14ac:dyDescent="0.25">
      <c r="AG303" s="238">
        <f>AG302</f>
        <v>76</v>
      </c>
      <c r="AH303" s="112" t="e">
        <f ca="1">AI302+1</f>
        <v>#N/A</v>
      </c>
      <c r="AI303" s="112" t="e">
        <f ca="1">IF(INDIRECT(CONCATENATE("AE",AG300))&lt;100000,INDIRECT(CONCATENATE("AE",G300)),INDIRECT(CONCATENATE("AF",AG300)))</f>
        <v>#N/A</v>
      </c>
      <c r="AJ303" s="112" t="e">
        <f t="shared" ca="1" si="435"/>
        <v>#N/A</v>
      </c>
      <c r="AK303" s="112">
        <f t="shared" ca="1" si="425"/>
        <v>100000</v>
      </c>
      <c r="AL303" s="238" t="e">
        <f t="shared" ca="1" si="436"/>
        <v>#N/A</v>
      </c>
      <c r="AM303" s="112">
        <f t="shared" ca="1" si="434"/>
        <v>100000</v>
      </c>
      <c r="AN303" s="112">
        <f t="shared" ca="1" si="432"/>
        <v>100000</v>
      </c>
      <c r="AO303" s="114">
        <f t="shared" ca="1" si="427"/>
        <v>0</v>
      </c>
      <c r="AP303" s="114">
        <f t="shared" ca="1" si="428"/>
        <v>24</v>
      </c>
      <c r="AR303" s="238">
        <f t="shared" si="430"/>
        <v>303</v>
      </c>
      <c r="AU303" s="238">
        <f t="shared" si="431"/>
        <v>284</v>
      </c>
      <c r="AV303" s="238"/>
      <c r="AW303" s="238"/>
      <c r="CM303" s="112"/>
      <c r="CN303" s="112"/>
      <c r="CQ303" s="112"/>
      <c r="CR303" s="112"/>
      <c r="CS303" s="112"/>
      <c r="CT303" s="112"/>
      <c r="CU303" s="112"/>
      <c r="CV303" s="112"/>
      <c r="CW303" s="112"/>
      <c r="CX303" s="112" t="s">
        <v>224</v>
      </c>
      <c r="CY303" s="112" t="s">
        <v>225</v>
      </c>
      <c r="CZ303" s="112" t="s">
        <v>226</v>
      </c>
      <c r="DA303" s="112" t="s">
        <v>227</v>
      </c>
      <c r="DB303" s="112" t="s">
        <v>228</v>
      </c>
      <c r="DC303" s="112"/>
      <c r="DD303" s="112"/>
      <c r="DE303" s="238"/>
      <c r="DF303" s="112"/>
      <c r="DG303" s="112"/>
      <c r="DH303" s="112"/>
      <c r="DI303" s="112"/>
      <c r="DJ303" s="112"/>
      <c r="DK303" s="112">
        <f t="shared" si="429"/>
        <v>100000</v>
      </c>
      <c r="DL303" s="112"/>
      <c r="DM303" s="112"/>
      <c r="DN303" s="112"/>
      <c r="DO303" s="112"/>
      <c r="DP303" s="112"/>
      <c r="DQ303" s="112"/>
      <c r="DR303" t="e">
        <f t="shared" si="433"/>
        <v>#N/A</v>
      </c>
    </row>
    <row r="304" spans="33:122" x14ac:dyDescent="0.25">
      <c r="AG304" s="238">
        <f>AG303</f>
        <v>76</v>
      </c>
      <c r="AH304" s="112" t="e">
        <f ca="1">AI303+1</f>
        <v>#N/A</v>
      </c>
      <c r="AI304" s="112" t="str">
        <f ca="1">INDIRECT(CONCATENATE("AF",AG300))</f>
        <v/>
      </c>
      <c r="AJ304" s="112" t="str">
        <f t="shared" ca="1" si="435"/>
        <v/>
      </c>
      <c r="AK304" s="112">
        <f t="shared" ca="1" si="425"/>
        <v>100000</v>
      </c>
      <c r="AL304" s="238" t="e">
        <f t="shared" ca="1" si="436"/>
        <v>#N/A</v>
      </c>
      <c r="AM304" s="112">
        <f t="shared" ca="1" si="434"/>
        <v>100000</v>
      </c>
      <c r="AN304" s="112">
        <f t="shared" ca="1" si="432"/>
        <v>100000</v>
      </c>
      <c r="AO304" s="114">
        <f t="shared" ca="1" si="427"/>
        <v>0</v>
      </c>
      <c r="AP304" s="114">
        <f t="shared" ca="1" si="428"/>
        <v>24</v>
      </c>
      <c r="AR304" s="238">
        <f t="shared" si="430"/>
        <v>304</v>
      </c>
      <c r="AU304" s="238">
        <f t="shared" si="431"/>
        <v>285</v>
      </c>
      <c r="AV304" s="238"/>
      <c r="AW304" s="238"/>
      <c r="CM304" s="112"/>
      <c r="CN304" s="112"/>
      <c r="CQ304" s="112"/>
      <c r="CR304" s="112"/>
      <c r="CS304" s="112"/>
      <c r="CT304" s="112"/>
      <c r="CU304" s="112"/>
      <c r="CV304" s="112"/>
      <c r="CW304" s="112"/>
      <c r="CX304" s="112" t="s">
        <v>224</v>
      </c>
      <c r="CY304" s="112" t="s">
        <v>225</v>
      </c>
      <c r="CZ304" s="112" t="s">
        <v>226</v>
      </c>
      <c r="DA304" s="112" t="s">
        <v>227</v>
      </c>
      <c r="DB304" s="112" t="s">
        <v>228</v>
      </c>
      <c r="DC304" s="112"/>
      <c r="DD304" s="112"/>
      <c r="DE304" s="238"/>
      <c r="DF304" s="112"/>
      <c r="DG304" s="112"/>
      <c r="DH304" s="112"/>
      <c r="DI304" s="112"/>
      <c r="DJ304" s="112"/>
      <c r="DK304" s="112">
        <f t="shared" si="429"/>
        <v>100000</v>
      </c>
      <c r="DL304" s="112"/>
      <c r="DM304" s="112"/>
      <c r="DN304" s="112"/>
      <c r="DO304" s="112"/>
      <c r="DP304" s="112"/>
      <c r="DQ304" s="112"/>
      <c r="DR304" t="e">
        <f t="shared" si="433"/>
        <v>#N/A</v>
      </c>
    </row>
    <row r="305" spans="33:122" x14ac:dyDescent="0.25">
      <c r="AG305" s="238">
        <f>AG304+1</f>
        <v>77</v>
      </c>
      <c r="AH305" s="112" t="str">
        <f ca="1">INDIRECT(CONCATENATE("AA",AG305))</f>
        <v/>
      </c>
      <c r="AI305" s="112" t="e">
        <f ca="1">IF(            INDIRECT(CONCATENATE( "AB",AG305))&lt;100000,       INDIRECT(CONCATENATE("AB",AG305))  -1,IF(   INDIRECT(CONCATENATE("AC",AG305))&lt;100000,   INDIRECT(CONCATENATE("AC",AG305))-1,IF(   INDIRECT(CONCATENATE("AD", AG305))&lt;100000, INDIRECT(CONCATENATE("AD",AG305))-1,IF(   INDIRECT(CONCATENATE("AE",AG305))&lt;100000,  INDIRECT(CONCATENATE("AE",G305)),INDIRECT(CONCATENATE("AF",AG305))                ))))</f>
        <v>#N/A</v>
      </c>
      <c r="AJ305" s="112" t="str">
        <f t="shared" ca="1" si="435"/>
        <v/>
      </c>
      <c r="AK305" s="112" t="str">
        <f t="shared" ca="1" si="425"/>
        <v/>
      </c>
      <c r="AL305" s="238">
        <f t="shared" ca="1" si="436"/>
        <v>0</v>
      </c>
      <c r="AM305" s="112">
        <f t="shared" ca="1" si="434"/>
        <v>100000</v>
      </c>
      <c r="AN305" s="112">
        <f t="shared" ca="1" si="432"/>
        <v>100000</v>
      </c>
      <c r="AO305" s="114">
        <f t="shared" ca="1" si="427"/>
        <v>0</v>
      </c>
      <c r="AP305" s="114">
        <f t="shared" ca="1" si="428"/>
        <v>24</v>
      </c>
      <c r="AR305" s="238">
        <f t="shared" si="430"/>
        <v>305</v>
      </c>
      <c r="AU305" s="238">
        <f t="shared" si="431"/>
        <v>286</v>
      </c>
      <c r="AV305" s="238"/>
      <c r="AW305" s="238"/>
      <c r="CM305" s="112"/>
      <c r="CN305" s="112"/>
      <c r="CQ305" s="112"/>
      <c r="CR305" s="112"/>
      <c r="CS305" s="112"/>
      <c r="CT305" s="112"/>
      <c r="CU305" s="112"/>
      <c r="CV305" s="112"/>
      <c r="CW305" s="112"/>
      <c r="CX305" s="112" t="s">
        <v>224</v>
      </c>
      <c r="CY305" s="112" t="s">
        <v>225</v>
      </c>
      <c r="CZ305" s="112" t="s">
        <v>226</v>
      </c>
      <c r="DA305" s="112" t="s">
        <v>227</v>
      </c>
      <c r="DB305" s="112" t="s">
        <v>228</v>
      </c>
      <c r="DC305" s="112"/>
      <c r="DD305" s="112"/>
      <c r="DE305" s="238"/>
      <c r="DF305" s="112"/>
      <c r="DG305" s="112"/>
      <c r="DH305" s="112"/>
      <c r="DI305" s="112"/>
      <c r="DJ305" s="112"/>
      <c r="DK305" s="112">
        <f t="shared" si="429"/>
        <v>100000</v>
      </c>
      <c r="DL305" s="112"/>
      <c r="DM305" s="112"/>
      <c r="DN305" s="112"/>
      <c r="DO305" s="112"/>
      <c r="DP305" s="112"/>
      <c r="DQ305" s="112"/>
      <c r="DR305" t="e">
        <f t="shared" si="433"/>
        <v>#N/A</v>
      </c>
    </row>
    <row r="306" spans="33:122" x14ac:dyDescent="0.25">
      <c r="AG306" s="238">
        <f>AG305</f>
        <v>77</v>
      </c>
      <c r="AH306" s="112" t="e">
        <f ca="1">AI305+1</f>
        <v>#N/A</v>
      </c>
      <c r="AI306" s="112" t="e">
        <f ca="1">IF(INDIRECT(CONCATENATE("AC",AG305))&lt;100000,INDIRECT(CONCATENATE("AC",AG305))-1,IF(INDIRECT(CONCATENATE("AD",AG305))&lt;100000,INDIRECT(CONCATENATE("AD",AG305))-1,IF(INDIRECT(CONCATENATE("AE",AG305))&lt;100000,INDIRECT(CONCATENATE("AE",G305)),INDIRECT(CONCATENATE("AF",AG305)))))</f>
        <v>#N/A</v>
      </c>
      <c r="AJ306" s="112" t="e">
        <f t="shared" ca="1" si="435"/>
        <v>#N/A</v>
      </c>
      <c r="AK306" s="112">
        <f t="shared" ca="1" si="425"/>
        <v>100000</v>
      </c>
      <c r="AL306" s="238" t="e">
        <f t="shared" ca="1" si="436"/>
        <v>#N/A</v>
      </c>
      <c r="AM306" s="112">
        <f t="shared" ca="1" si="434"/>
        <v>100000</v>
      </c>
      <c r="AN306" s="112">
        <f t="shared" ca="1" si="432"/>
        <v>100000</v>
      </c>
      <c r="AO306" s="114">
        <f t="shared" ca="1" si="427"/>
        <v>0</v>
      </c>
      <c r="AP306" s="114">
        <f t="shared" ca="1" si="428"/>
        <v>24</v>
      </c>
      <c r="AR306" s="238">
        <f t="shared" si="430"/>
        <v>306</v>
      </c>
      <c r="AU306" s="238">
        <f t="shared" si="431"/>
        <v>287</v>
      </c>
      <c r="AV306" s="238"/>
      <c r="AW306" s="238"/>
      <c r="CM306" s="112"/>
      <c r="CN306" s="112"/>
      <c r="CQ306" s="112"/>
      <c r="CR306" s="112"/>
      <c r="CS306" s="112"/>
      <c r="CT306" s="112"/>
      <c r="CU306" s="112"/>
      <c r="CV306" s="112"/>
      <c r="CW306" s="112"/>
      <c r="CX306" s="112" t="s">
        <v>224</v>
      </c>
      <c r="CY306" s="112" t="s">
        <v>225</v>
      </c>
      <c r="CZ306" s="112" t="s">
        <v>226</v>
      </c>
      <c r="DA306" s="112" t="s">
        <v>227</v>
      </c>
      <c r="DB306" s="112" t="s">
        <v>228</v>
      </c>
      <c r="DC306" s="112"/>
      <c r="DD306" s="112"/>
      <c r="DE306" s="238"/>
      <c r="DF306" s="112"/>
      <c r="DG306" s="112"/>
      <c r="DH306" s="112"/>
      <c r="DI306" s="112"/>
      <c r="DJ306" s="112"/>
      <c r="DK306" s="112">
        <f t="shared" si="429"/>
        <v>100000</v>
      </c>
      <c r="DL306" s="112"/>
      <c r="DM306" s="112"/>
      <c r="DN306" s="112"/>
      <c r="DO306" s="112"/>
      <c r="DP306" s="112"/>
      <c r="DQ306" s="112"/>
      <c r="DR306" t="e">
        <f t="shared" si="433"/>
        <v>#N/A</v>
      </c>
    </row>
    <row r="307" spans="33:122" x14ac:dyDescent="0.25">
      <c r="AG307" s="238">
        <f>AG306</f>
        <v>77</v>
      </c>
      <c r="AH307" s="112" t="e">
        <f ca="1">AI306+1</f>
        <v>#N/A</v>
      </c>
      <c r="AI307" s="112" t="e">
        <f ca="1">IF(INDIRECT(CONCATENATE("AD",AG305))&lt;100000,INDIRECT(CONCATENATE("AD",AG305))-1,IF(INDIRECT(CONCATENATE("AE",AG305))&lt;100000,INDIRECT(CONCATENATE("AE",G305)),INDIRECT(CONCATENATE("AF",AG305))))</f>
        <v>#N/A</v>
      </c>
      <c r="AJ307" s="112" t="e">
        <f t="shared" ca="1" si="435"/>
        <v>#N/A</v>
      </c>
      <c r="AK307" s="112">
        <f t="shared" ca="1" si="425"/>
        <v>100000</v>
      </c>
      <c r="AL307" s="238" t="e">
        <f t="shared" ca="1" si="436"/>
        <v>#N/A</v>
      </c>
      <c r="AM307" s="112">
        <f t="shared" ca="1" si="434"/>
        <v>100000</v>
      </c>
      <c r="AN307" s="112">
        <f t="shared" ca="1" si="432"/>
        <v>100000</v>
      </c>
      <c r="AO307" s="114">
        <f t="shared" ca="1" si="427"/>
        <v>0</v>
      </c>
      <c r="AP307" s="114">
        <f t="shared" ca="1" si="428"/>
        <v>24</v>
      </c>
      <c r="AR307" s="238">
        <f t="shared" si="430"/>
        <v>307</v>
      </c>
      <c r="AU307" s="238">
        <f t="shared" si="431"/>
        <v>288</v>
      </c>
      <c r="AV307" s="238"/>
      <c r="AW307" s="238"/>
      <c r="CM307" s="112"/>
      <c r="CN307" s="112"/>
      <c r="CQ307" s="112"/>
      <c r="CR307" s="112"/>
      <c r="CS307" s="112"/>
      <c r="CT307" s="112"/>
      <c r="CU307" s="112"/>
      <c r="CV307" s="112"/>
      <c r="CW307" s="112"/>
      <c r="CX307" s="112" t="s">
        <v>224</v>
      </c>
      <c r="CY307" s="112" t="s">
        <v>225</v>
      </c>
      <c r="CZ307" s="112" t="s">
        <v>226</v>
      </c>
      <c r="DA307" s="112" t="s">
        <v>227</v>
      </c>
      <c r="DB307" s="112" t="s">
        <v>228</v>
      </c>
      <c r="DC307" s="112"/>
      <c r="DD307" s="112"/>
      <c r="DE307" s="238"/>
      <c r="DF307" s="112"/>
      <c r="DG307" s="112"/>
      <c r="DH307" s="112"/>
      <c r="DI307" s="112"/>
      <c r="DJ307" s="112"/>
      <c r="DK307" s="112">
        <f t="shared" si="429"/>
        <v>100000</v>
      </c>
      <c r="DL307" s="112"/>
      <c r="DM307" s="112"/>
      <c r="DN307" s="112"/>
      <c r="DO307" s="112"/>
      <c r="DP307" s="112"/>
      <c r="DQ307" s="112"/>
      <c r="DR307" t="e">
        <f t="shared" si="433"/>
        <v>#N/A</v>
      </c>
    </row>
    <row r="308" spans="33:122" x14ac:dyDescent="0.25">
      <c r="AG308" s="238">
        <f>AG307</f>
        <v>77</v>
      </c>
      <c r="AH308" s="112" t="e">
        <f ca="1">AI307+1</f>
        <v>#N/A</v>
      </c>
      <c r="AI308" s="112" t="e">
        <f ca="1">IF(INDIRECT(CONCATENATE("AE",AG305))&lt;100000,INDIRECT(CONCATENATE("AE",G305)),INDIRECT(CONCATENATE("AF",AG305)))</f>
        <v>#N/A</v>
      </c>
      <c r="AJ308" s="112" t="e">
        <f t="shared" ca="1" si="435"/>
        <v>#N/A</v>
      </c>
      <c r="AK308" s="112">
        <f t="shared" ca="1" si="425"/>
        <v>100000</v>
      </c>
      <c r="AL308" s="238" t="e">
        <f t="shared" ca="1" si="436"/>
        <v>#N/A</v>
      </c>
      <c r="AM308" s="112">
        <f t="shared" ca="1" si="434"/>
        <v>100000</v>
      </c>
      <c r="AN308" s="112">
        <f t="shared" ca="1" si="432"/>
        <v>100000</v>
      </c>
      <c r="AO308" s="114">
        <f t="shared" ca="1" si="427"/>
        <v>0</v>
      </c>
      <c r="AP308" s="114">
        <f t="shared" ca="1" si="428"/>
        <v>24</v>
      </c>
      <c r="AR308" s="238">
        <f t="shared" si="430"/>
        <v>308</v>
      </c>
      <c r="AU308" s="238">
        <f t="shared" si="431"/>
        <v>289</v>
      </c>
      <c r="AV308" s="238"/>
      <c r="AW308" s="238"/>
      <c r="CM308" s="112"/>
      <c r="CN308" s="112"/>
      <c r="CQ308" s="112"/>
      <c r="CR308" s="112"/>
      <c r="CS308" s="112"/>
      <c r="CT308" s="112"/>
      <c r="CU308" s="112"/>
      <c r="CV308" s="112"/>
      <c r="CW308" s="112"/>
      <c r="CX308" s="112" t="s">
        <v>224</v>
      </c>
      <c r="CY308" s="112" t="s">
        <v>225</v>
      </c>
      <c r="CZ308" s="112" t="s">
        <v>226</v>
      </c>
      <c r="DA308" s="112" t="s">
        <v>227</v>
      </c>
      <c r="DB308" s="112" t="s">
        <v>228</v>
      </c>
      <c r="DC308" s="112"/>
      <c r="DD308" s="112"/>
      <c r="DE308" s="238"/>
      <c r="DF308" s="112"/>
      <c r="DG308" s="112"/>
      <c r="DH308" s="112"/>
      <c r="DI308" s="112"/>
      <c r="DJ308" s="112"/>
      <c r="DK308" s="112">
        <f t="shared" si="429"/>
        <v>100000</v>
      </c>
      <c r="DL308" s="112"/>
      <c r="DM308" s="112"/>
      <c r="DN308" s="112"/>
      <c r="DO308" s="112"/>
      <c r="DP308" s="112"/>
      <c r="DQ308" s="112"/>
      <c r="DR308" t="e">
        <f t="shared" si="433"/>
        <v>#N/A</v>
      </c>
    </row>
    <row r="309" spans="33:122" x14ac:dyDescent="0.25">
      <c r="AG309" s="238">
        <f>AG308</f>
        <v>77</v>
      </c>
      <c r="AH309" s="112" t="e">
        <f ca="1">AI308+1</f>
        <v>#N/A</v>
      </c>
      <c r="AI309" s="112" t="str">
        <f ca="1">INDIRECT(CONCATENATE("AF",AG305))</f>
        <v/>
      </c>
      <c r="AJ309" s="112" t="str">
        <f t="shared" ca="1" si="435"/>
        <v/>
      </c>
      <c r="AK309" s="112">
        <f t="shared" ca="1" si="425"/>
        <v>100000</v>
      </c>
      <c r="AL309" s="238" t="e">
        <f t="shared" ca="1" si="436"/>
        <v>#N/A</v>
      </c>
      <c r="AM309" s="112">
        <f t="shared" ca="1" si="434"/>
        <v>100000</v>
      </c>
      <c r="AN309" s="112">
        <f t="shared" ca="1" si="432"/>
        <v>100000</v>
      </c>
      <c r="AO309" s="114">
        <f t="shared" ca="1" si="427"/>
        <v>0</v>
      </c>
      <c r="AP309" s="114">
        <f t="shared" ca="1" si="428"/>
        <v>24</v>
      </c>
      <c r="AR309" s="238">
        <f t="shared" si="430"/>
        <v>309</v>
      </c>
      <c r="AU309" s="238">
        <f t="shared" si="431"/>
        <v>290</v>
      </c>
      <c r="AV309" s="238"/>
      <c r="AW309" s="238"/>
      <c r="CM309" s="112"/>
      <c r="CN309" s="112"/>
      <c r="CQ309" s="112"/>
      <c r="CR309" s="112"/>
      <c r="CS309" s="112"/>
      <c r="CT309" s="112"/>
      <c r="CU309" s="112"/>
      <c r="CV309" s="112"/>
      <c r="CW309" s="112"/>
      <c r="CX309" s="112" t="s">
        <v>224</v>
      </c>
      <c r="CY309" s="112" t="s">
        <v>225</v>
      </c>
      <c r="CZ309" s="112" t="s">
        <v>226</v>
      </c>
      <c r="DA309" s="112" t="s">
        <v>227</v>
      </c>
      <c r="DB309" s="112" t="s">
        <v>228</v>
      </c>
      <c r="DC309" s="112"/>
      <c r="DD309" s="112"/>
      <c r="DE309" s="238"/>
      <c r="DF309" s="112"/>
      <c r="DG309" s="112"/>
      <c r="DH309" s="112"/>
      <c r="DI309" s="112"/>
      <c r="DJ309" s="112"/>
      <c r="DK309" s="112">
        <f t="shared" si="429"/>
        <v>100000</v>
      </c>
      <c r="DL309" s="112"/>
      <c r="DM309" s="112"/>
      <c r="DN309" s="112"/>
      <c r="DO309" s="112"/>
      <c r="DP309" s="112"/>
      <c r="DQ309" s="112"/>
      <c r="DR309" t="e">
        <f t="shared" si="433"/>
        <v>#N/A</v>
      </c>
    </row>
    <row r="310" spans="33:122" x14ac:dyDescent="0.25">
      <c r="AG310" s="238">
        <f>AG309+1</f>
        <v>78</v>
      </c>
      <c r="AH310" s="112" t="str">
        <f ca="1">INDIRECT(CONCATENATE("AA",AG310))</f>
        <v/>
      </c>
      <c r="AI310" s="112" t="e">
        <f ca="1">IF(            INDIRECT(CONCATENATE( "AB",AG310))&lt;100000,       INDIRECT(CONCATENATE("AB",AG310))  -1,IF(   INDIRECT(CONCATENATE("AC",AG310))&lt;100000,   INDIRECT(CONCATENATE("AC",AG310))-1,IF(   INDIRECT(CONCATENATE("AD", AG310))&lt;100000, INDIRECT(CONCATENATE("AD",AG310))-1,IF(   INDIRECT(CONCATENATE("AE",AG310))&lt;100000,  INDIRECT(CONCATENATE("AE",G310)),INDIRECT(CONCATENATE("AF",AG310))                ))))</f>
        <v>#N/A</v>
      </c>
      <c r="AJ310" s="112" t="str">
        <f t="shared" ca="1" si="435"/>
        <v/>
      </c>
      <c r="AK310" s="112" t="str">
        <f t="shared" ca="1" si="425"/>
        <v/>
      </c>
      <c r="AL310" s="238">
        <f t="shared" ca="1" si="436"/>
        <v>0</v>
      </c>
      <c r="AM310" s="112">
        <f t="shared" ca="1" si="434"/>
        <v>100000</v>
      </c>
      <c r="AN310" s="112">
        <f t="shared" ca="1" si="432"/>
        <v>100000</v>
      </c>
      <c r="AO310" s="114">
        <f t="shared" ca="1" si="427"/>
        <v>0</v>
      </c>
      <c r="AP310" s="114">
        <f t="shared" ca="1" si="428"/>
        <v>24</v>
      </c>
      <c r="AR310" s="238">
        <f t="shared" si="430"/>
        <v>310</v>
      </c>
      <c r="AU310" s="238">
        <f t="shared" si="431"/>
        <v>291</v>
      </c>
      <c r="AV310" s="238"/>
      <c r="AW310" s="238"/>
      <c r="CM310" s="112"/>
      <c r="CN310" s="112"/>
      <c r="CQ310" s="112"/>
      <c r="CR310" s="112"/>
      <c r="CS310" s="112"/>
      <c r="CT310" s="112"/>
      <c r="CU310" s="112"/>
      <c r="CV310" s="112"/>
      <c r="CW310" s="112"/>
      <c r="CX310" s="112" t="s">
        <v>224</v>
      </c>
      <c r="CY310" s="112" t="s">
        <v>225</v>
      </c>
      <c r="CZ310" s="112" t="s">
        <v>226</v>
      </c>
      <c r="DA310" s="112" t="s">
        <v>227</v>
      </c>
      <c r="DB310" s="112" t="s">
        <v>228</v>
      </c>
      <c r="DC310" s="112"/>
      <c r="DD310" s="112"/>
      <c r="DE310" s="238"/>
      <c r="DF310" s="112"/>
      <c r="DG310" s="112"/>
      <c r="DH310" s="112"/>
      <c r="DI310" s="112"/>
      <c r="DJ310" s="112"/>
      <c r="DK310" s="112">
        <f t="shared" si="429"/>
        <v>100000</v>
      </c>
      <c r="DL310" s="112"/>
      <c r="DM310" s="112"/>
      <c r="DN310" s="112"/>
      <c r="DO310" s="112"/>
      <c r="DP310" s="112"/>
      <c r="DQ310" s="112"/>
      <c r="DR310" t="e">
        <f t="shared" si="433"/>
        <v>#N/A</v>
      </c>
    </row>
    <row r="311" spans="33:122" x14ac:dyDescent="0.25">
      <c r="AG311" s="238">
        <f>AG310</f>
        <v>78</v>
      </c>
      <c r="AH311" s="112" t="e">
        <f ca="1">AI310+1</f>
        <v>#N/A</v>
      </c>
      <c r="AI311" s="112" t="e">
        <f ca="1">IF(INDIRECT(CONCATENATE("AC",AG310))&lt;100000,INDIRECT(CONCATENATE("AC",AG310))-1,IF(INDIRECT(CONCATENATE("AD",AG310))&lt;100000,INDIRECT(CONCATENATE("AD",AG310))-1,IF(INDIRECT(CONCATENATE("AE",AG310))&lt;100000,INDIRECT(CONCATENATE("AE",G310)),INDIRECT(CONCATENATE("AF",AG310)))))</f>
        <v>#N/A</v>
      </c>
      <c r="AJ311" s="112" t="e">
        <f t="shared" ca="1" si="435"/>
        <v>#N/A</v>
      </c>
      <c r="AK311" s="112">
        <f t="shared" ref="AK311:AK374" ca="1" si="437">IF(TYPE(AH311)=16,100000,AJ311)</f>
        <v>100000</v>
      </c>
      <c r="AL311" s="238" t="e">
        <f t="shared" ca="1" si="436"/>
        <v>#N/A</v>
      </c>
      <c r="AM311" s="112">
        <f t="shared" ca="1" si="434"/>
        <v>100000</v>
      </c>
      <c r="AN311" s="112">
        <f t="shared" ca="1" si="432"/>
        <v>100000</v>
      </c>
      <c r="AO311" s="114">
        <f t="shared" ca="1" si="427"/>
        <v>0</v>
      </c>
      <c r="AP311" s="114">
        <f t="shared" ca="1" si="428"/>
        <v>24</v>
      </c>
      <c r="AR311" s="238">
        <f t="shared" si="430"/>
        <v>311</v>
      </c>
      <c r="AU311" s="238">
        <f t="shared" si="431"/>
        <v>292</v>
      </c>
      <c r="AV311" s="238"/>
      <c r="AW311" s="238"/>
      <c r="CM311" s="112"/>
      <c r="CN311" s="112"/>
      <c r="CQ311" s="112"/>
      <c r="CR311" s="112"/>
      <c r="CS311" s="112"/>
      <c r="CT311" s="112"/>
      <c r="CU311" s="112"/>
      <c r="CV311" s="112"/>
      <c r="CW311" s="112"/>
      <c r="CX311" s="112" t="s">
        <v>224</v>
      </c>
      <c r="CY311" s="112" t="s">
        <v>225</v>
      </c>
      <c r="CZ311" s="112" t="s">
        <v>226</v>
      </c>
      <c r="DA311" s="112" t="s">
        <v>227</v>
      </c>
      <c r="DB311" s="112" t="s">
        <v>228</v>
      </c>
      <c r="DC311" s="112"/>
      <c r="DD311" s="112"/>
      <c r="DE311" s="238"/>
      <c r="DF311" s="112"/>
      <c r="DG311" s="112"/>
      <c r="DH311" s="112"/>
      <c r="DI311" s="112"/>
      <c r="DJ311" s="112"/>
      <c r="DK311" s="112">
        <f t="shared" si="429"/>
        <v>100000</v>
      </c>
      <c r="DL311" s="112"/>
      <c r="DM311" s="112"/>
      <c r="DN311" s="112"/>
      <c r="DO311" s="112"/>
      <c r="DP311" s="112"/>
      <c r="DQ311" s="112"/>
      <c r="DR311" t="e">
        <f t="shared" si="433"/>
        <v>#N/A</v>
      </c>
    </row>
    <row r="312" spans="33:122" x14ac:dyDescent="0.25">
      <c r="AG312" s="238">
        <f>AG311</f>
        <v>78</v>
      </c>
      <c r="AH312" s="112" t="e">
        <f ca="1">AI311+1</f>
        <v>#N/A</v>
      </c>
      <c r="AI312" s="112" t="e">
        <f ca="1">IF(INDIRECT(CONCATENATE("AD",AG310))&lt;100000,INDIRECT(CONCATENATE("AD",AG310))-1,IF(INDIRECT(CONCATENATE("AE",AG310))&lt;100000,INDIRECT(CONCATENATE("AE",G310)),INDIRECT(CONCATENATE("AF",AG310))))</f>
        <v>#N/A</v>
      </c>
      <c r="AJ312" s="112" t="e">
        <f t="shared" ca="1" si="435"/>
        <v>#N/A</v>
      </c>
      <c r="AK312" s="112">
        <f t="shared" ca="1" si="437"/>
        <v>100000</v>
      </c>
      <c r="AL312" s="238" t="e">
        <f t="shared" ca="1" si="436"/>
        <v>#N/A</v>
      </c>
      <c r="AM312" s="112">
        <f t="shared" ca="1" si="434"/>
        <v>100000</v>
      </c>
      <c r="AN312" s="112">
        <f t="shared" ca="1" si="432"/>
        <v>100000</v>
      </c>
      <c r="AO312" s="114">
        <f t="shared" ca="1" si="427"/>
        <v>0</v>
      </c>
      <c r="AP312" s="114">
        <f t="shared" ca="1" si="428"/>
        <v>24</v>
      </c>
      <c r="AR312" s="238">
        <f t="shared" si="430"/>
        <v>312</v>
      </c>
      <c r="AU312" s="238">
        <f t="shared" si="431"/>
        <v>293</v>
      </c>
      <c r="AV312" s="238"/>
      <c r="AW312" s="238"/>
      <c r="CM312" s="112"/>
      <c r="CN312" s="112"/>
      <c r="CQ312" s="112"/>
      <c r="CR312" s="112"/>
      <c r="CS312" s="112"/>
      <c r="CT312" s="112"/>
      <c r="CU312" s="112"/>
      <c r="CV312" s="112"/>
      <c r="CW312" s="112"/>
      <c r="CX312" s="112" t="s">
        <v>224</v>
      </c>
      <c r="CY312" s="112" t="s">
        <v>225</v>
      </c>
      <c r="CZ312" s="112" t="s">
        <v>226</v>
      </c>
      <c r="DA312" s="112" t="s">
        <v>227</v>
      </c>
      <c r="DB312" s="112" t="s">
        <v>228</v>
      </c>
      <c r="DC312" s="112"/>
      <c r="DD312" s="112"/>
      <c r="DE312" s="238"/>
      <c r="DF312" s="112"/>
      <c r="DG312" s="112"/>
      <c r="DH312" s="112"/>
      <c r="DI312" s="112"/>
      <c r="DJ312" s="112"/>
      <c r="DK312" s="112">
        <f t="shared" si="429"/>
        <v>100000</v>
      </c>
      <c r="DL312" s="112"/>
      <c r="DM312" s="112"/>
      <c r="DN312" s="112"/>
      <c r="DO312" s="112"/>
      <c r="DP312" s="112"/>
      <c r="DQ312" s="112"/>
      <c r="DR312" t="e">
        <f t="shared" si="433"/>
        <v>#N/A</v>
      </c>
    </row>
    <row r="313" spans="33:122" x14ac:dyDescent="0.25">
      <c r="AG313" s="238">
        <f>AG312</f>
        <v>78</v>
      </c>
      <c r="AH313" s="112" t="e">
        <f ca="1">AI312+1</f>
        <v>#N/A</v>
      </c>
      <c r="AI313" s="112" t="e">
        <f ca="1">IF(INDIRECT(CONCATENATE("AE",AG310))&lt;100000,INDIRECT(CONCATENATE("AE",G310)),INDIRECT(CONCATENATE("AF",AG310)))</f>
        <v>#N/A</v>
      </c>
      <c r="AJ313" s="112" t="e">
        <f t="shared" ca="1" si="435"/>
        <v>#N/A</v>
      </c>
      <c r="AK313" s="112">
        <f t="shared" ca="1" si="437"/>
        <v>100000</v>
      </c>
      <c r="AL313" s="238" t="e">
        <f t="shared" ca="1" si="436"/>
        <v>#N/A</v>
      </c>
      <c r="AM313" s="112">
        <f t="shared" ca="1" si="434"/>
        <v>100000</v>
      </c>
      <c r="AN313" s="112">
        <f t="shared" ca="1" si="432"/>
        <v>100000</v>
      </c>
      <c r="AO313" s="114">
        <f t="shared" ca="1" si="427"/>
        <v>0</v>
      </c>
      <c r="AP313" s="114">
        <f t="shared" ca="1" si="428"/>
        <v>24</v>
      </c>
      <c r="AR313" s="238">
        <f t="shared" si="430"/>
        <v>313</v>
      </c>
      <c r="AU313" s="238">
        <f t="shared" si="431"/>
        <v>294</v>
      </c>
      <c r="AV313" s="238"/>
      <c r="AW313" s="238"/>
      <c r="CM313" s="112"/>
      <c r="CN313" s="112"/>
      <c r="CQ313" s="112"/>
      <c r="CR313" s="112"/>
      <c r="CS313" s="112"/>
      <c r="CT313" s="112"/>
      <c r="CU313" s="112"/>
      <c r="CV313" s="112"/>
      <c r="CW313" s="112"/>
      <c r="CX313" s="112" t="s">
        <v>224</v>
      </c>
      <c r="CY313" s="112" t="s">
        <v>225</v>
      </c>
      <c r="CZ313" s="112" t="s">
        <v>226</v>
      </c>
      <c r="DA313" s="112" t="s">
        <v>227</v>
      </c>
      <c r="DB313" s="112" t="s">
        <v>228</v>
      </c>
      <c r="DC313" s="112"/>
      <c r="DD313" s="112"/>
      <c r="DE313" s="238"/>
      <c r="DF313" s="112"/>
      <c r="DG313" s="112"/>
      <c r="DH313" s="112"/>
      <c r="DI313" s="112"/>
      <c r="DJ313" s="112"/>
      <c r="DK313" s="112">
        <f t="shared" si="429"/>
        <v>100000</v>
      </c>
      <c r="DL313" s="112"/>
      <c r="DM313" s="112"/>
      <c r="DN313" s="112"/>
      <c r="DO313" s="112"/>
      <c r="DP313" s="112"/>
      <c r="DQ313" s="112"/>
      <c r="DR313" t="e">
        <f t="shared" si="433"/>
        <v>#N/A</v>
      </c>
    </row>
    <row r="314" spans="33:122" x14ac:dyDescent="0.25">
      <c r="AG314" s="238">
        <f>AG313</f>
        <v>78</v>
      </c>
      <c r="AH314" s="112" t="e">
        <f ca="1">AI313+1</f>
        <v>#N/A</v>
      </c>
      <c r="AI314" s="112" t="str">
        <f ca="1">INDIRECT(CONCATENATE("AF",AG310))</f>
        <v/>
      </c>
      <c r="AJ314" s="112" t="str">
        <f t="shared" ca="1" si="435"/>
        <v/>
      </c>
      <c r="AK314" s="112">
        <f t="shared" ca="1" si="437"/>
        <v>100000</v>
      </c>
      <c r="AL314" s="238" t="e">
        <f t="shared" ca="1" si="436"/>
        <v>#N/A</v>
      </c>
      <c r="AM314" s="112">
        <f t="shared" ca="1" si="434"/>
        <v>100000</v>
      </c>
      <c r="AN314" s="112">
        <f t="shared" ca="1" si="432"/>
        <v>100000</v>
      </c>
      <c r="AO314" s="114">
        <f t="shared" ca="1" si="427"/>
        <v>0</v>
      </c>
      <c r="AP314" s="114">
        <f t="shared" ca="1" si="428"/>
        <v>24</v>
      </c>
      <c r="AR314" s="238">
        <f t="shared" si="430"/>
        <v>314</v>
      </c>
      <c r="AU314" s="238">
        <f t="shared" si="431"/>
        <v>295</v>
      </c>
      <c r="AV314" s="238"/>
      <c r="AW314" s="238"/>
      <c r="CM314" s="112"/>
      <c r="CN314" s="112"/>
      <c r="CQ314" s="112"/>
      <c r="CR314" s="112"/>
      <c r="CS314" s="112"/>
      <c r="CT314" s="112"/>
      <c r="CU314" s="112"/>
      <c r="CV314" s="112"/>
      <c r="CW314" s="112"/>
      <c r="CX314" s="112" t="s">
        <v>224</v>
      </c>
      <c r="CY314" s="112" t="s">
        <v>225</v>
      </c>
      <c r="CZ314" s="112" t="s">
        <v>226</v>
      </c>
      <c r="DA314" s="112" t="s">
        <v>227</v>
      </c>
      <c r="DB314" s="112" t="s">
        <v>228</v>
      </c>
      <c r="DC314" s="112"/>
      <c r="DD314" s="112"/>
      <c r="DE314" s="238"/>
      <c r="DF314" s="112"/>
      <c r="DG314" s="112"/>
      <c r="DH314" s="112"/>
      <c r="DI314" s="112"/>
      <c r="DJ314" s="112"/>
      <c r="DK314" s="112">
        <f t="shared" si="429"/>
        <v>100000</v>
      </c>
      <c r="DL314" s="112"/>
      <c r="DM314" s="112"/>
      <c r="DN314" s="112"/>
      <c r="DO314" s="112"/>
      <c r="DP314" s="112"/>
      <c r="DQ314" s="112"/>
      <c r="DR314" t="e">
        <f t="shared" si="433"/>
        <v>#N/A</v>
      </c>
    </row>
    <row r="315" spans="33:122" x14ac:dyDescent="0.25">
      <c r="AG315" s="238">
        <f>AG314+1</f>
        <v>79</v>
      </c>
      <c r="AH315" s="112" t="str">
        <f ca="1">INDIRECT(CONCATENATE("AA",AG315))</f>
        <v/>
      </c>
      <c r="AI315" s="112" t="e">
        <f ca="1">IF(            INDIRECT(CONCATENATE( "AB",AG315))&lt;100000,       INDIRECT(CONCATENATE("AB",AG315))  -1,IF(   INDIRECT(CONCATENATE("AC",AG315))&lt;100000,   INDIRECT(CONCATENATE("AC",AG315))-1,IF(   INDIRECT(CONCATENATE("AD", AG315))&lt;100000, INDIRECT(CONCATENATE("AD",AG315))-1,IF(   INDIRECT(CONCATENATE("AE",AG315))&lt;100000,  INDIRECT(CONCATENATE("AE",G315)),INDIRECT(CONCATENATE("AF",AG315))                ))))</f>
        <v>#N/A</v>
      </c>
      <c r="AJ315" s="112" t="str">
        <f t="shared" ca="1" si="435"/>
        <v/>
      </c>
      <c r="AK315" s="112" t="str">
        <f t="shared" ca="1" si="437"/>
        <v/>
      </c>
      <c r="AL315" s="238">
        <f t="shared" ca="1" si="436"/>
        <v>0</v>
      </c>
      <c r="AM315" s="112">
        <f t="shared" ca="1" si="434"/>
        <v>100000</v>
      </c>
      <c r="AN315" s="112">
        <f t="shared" ca="1" si="432"/>
        <v>100000</v>
      </c>
      <c r="AO315" s="114">
        <f t="shared" ca="1" si="427"/>
        <v>0</v>
      </c>
      <c r="AP315" s="114">
        <f t="shared" ca="1" si="428"/>
        <v>24</v>
      </c>
      <c r="AR315" s="238">
        <f t="shared" si="430"/>
        <v>315</v>
      </c>
      <c r="AU315" s="238">
        <f t="shared" si="431"/>
        <v>296</v>
      </c>
      <c r="AV315" s="238"/>
      <c r="AW315" s="238"/>
      <c r="CM315" s="112"/>
      <c r="CN315" s="112"/>
      <c r="CQ315" s="112"/>
      <c r="CR315" s="112"/>
      <c r="CS315" s="112"/>
      <c r="CT315" s="112"/>
      <c r="CU315" s="112"/>
      <c r="CV315" s="112"/>
      <c r="CW315" s="112"/>
      <c r="CX315" s="112" t="s">
        <v>224</v>
      </c>
      <c r="CY315" s="112" t="s">
        <v>225</v>
      </c>
      <c r="CZ315" s="112" t="s">
        <v>226</v>
      </c>
      <c r="DA315" s="112" t="s">
        <v>227</v>
      </c>
      <c r="DB315" s="112" t="s">
        <v>228</v>
      </c>
      <c r="DC315" s="112"/>
      <c r="DD315" s="112"/>
      <c r="DE315" s="238"/>
      <c r="DF315" s="112"/>
      <c r="DG315" s="112"/>
      <c r="DH315" s="112"/>
      <c r="DI315" s="112"/>
      <c r="DJ315" s="112"/>
      <c r="DK315" s="112">
        <f t="shared" si="429"/>
        <v>100000</v>
      </c>
      <c r="DL315" s="112"/>
      <c r="DM315" s="112"/>
      <c r="DN315" s="112"/>
      <c r="DO315" s="112"/>
      <c r="DP315" s="112"/>
      <c r="DQ315" s="112"/>
      <c r="DR315" t="e">
        <f t="shared" si="433"/>
        <v>#N/A</v>
      </c>
    </row>
    <row r="316" spans="33:122" x14ac:dyDescent="0.25">
      <c r="AG316" s="238">
        <f>AG315</f>
        <v>79</v>
      </c>
      <c r="AH316" s="112" t="e">
        <f ca="1">AI315+1</f>
        <v>#N/A</v>
      </c>
      <c r="AI316" s="112" t="e">
        <f ca="1">IF(INDIRECT(CONCATENATE("AC",AG315))&lt;100000,INDIRECT(CONCATENATE("AC",AG315))-1,IF(INDIRECT(CONCATENATE("AD",AG315))&lt;100000,INDIRECT(CONCATENATE("AD",AG315))-1,IF(INDIRECT(CONCATENATE("AE",AG315))&lt;100000,INDIRECT(CONCATENATE("AE",G315)),INDIRECT(CONCATENATE("AF",AG315)))))</f>
        <v>#N/A</v>
      </c>
      <c r="AJ316" s="112" t="e">
        <f t="shared" ca="1" si="435"/>
        <v>#N/A</v>
      </c>
      <c r="AK316" s="112">
        <f t="shared" ca="1" si="437"/>
        <v>100000</v>
      </c>
      <c r="AL316" s="238" t="e">
        <f t="shared" ca="1" si="436"/>
        <v>#N/A</v>
      </c>
      <c r="AM316" s="112">
        <f t="shared" ca="1" si="434"/>
        <v>100000</v>
      </c>
      <c r="AN316" s="112">
        <f t="shared" ca="1" si="432"/>
        <v>100000</v>
      </c>
      <c r="AO316" s="114">
        <f t="shared" ca="1" si="427"/>
        <v>0</v>
      </c>
      <c r="AP316" s="114">
        <f t="shared" ca="1" si="428"/>
        <v>24</v>
      </c>
      <c r="AR316" s="238">
        <f t="shared" si="430"/>
        <v>316</v>
      </c>
      <c r="AU316" s="238">
        <f t="shared" si="431"/>
        <v>297</v>
      </c>
      <c r="AV316" s="238"/>
      <c r="AW316" s="238"/>
      <c r="CM316" s="112"/>
      <c r="CN316" s="112"/>
      <c r="CQ316" s="112"/>
      <c r="CR316" s="112"/>
      <c r="CS316" s="112"/>
      <c r="CT316" s="112"/>
      <c r="CU316" s="112"/>
      <c r="CV316" s="112"/>
      <c r="CW316" s="112"/>
      <c r="CX316" s="112" t="s">
        <v>224</v>
      </c>
      <c r="CY316" s="112" t="s">
        <v>225</v>
      </c>
      <c r="CZ316" s="112" t="s">
        <v>226</v>
      </c>
      <c r="DA316" s="112" t="s">
        <v>227</v>
      </c>
      <c r="DB316" s="112" t="s">
        <v>228</v>
      </c>
      <c r="DC316" s="112"/>
      <c r="DD316" s="112"/>
      <c r="DE316" s="238"/>
      <c r="DF316" s="112"/>
      <c r="DG316" s="112"/>
      <c r="DH316" s="112"/>
      <c r="DI316" s="112"/>
      <c r="DJ316" s="112"/>
      <c r="DK316" s="112">
        <f t="shared" si="429"/>
        <v>100000</v>
      </c>
      <c r="DL316" s="112"/>
      <c r="DM316" s="112"/>
      <c r="DN316" s="112"/>
      <c r="DO316" s="112"/>
      <c r="DP316" s="112"/>
      <c r="DQ316" s="112"/>
      <c r="DR316" t="e">
        <f t="shared" si="433"/>
        <v>#N/A</v>
      </c>
    </row>
    <row r="317" spans="33:122" x14ac:dyDescent="0.25">
      <c r="AG317" s="238">
        <f>AG316</f>
        <v>79</v>
      </c>
      <c r="AH317" s="112" t="e">
        <f ca="1">AI316+1</f>
        <v>#N/A</v>
      </c>
      <c r="AI317" s="112" t="e">
        <f ca="1">IF(INDIRECT(CONCATENATE("AD",AG315))&lt;100000,INDIRECT(CONCATENATE("AD",AG315))-1,IF(INDIRECT(CONCATENATE("AE",AG315))&lt;100000,INDIRECT(CONCATENATE("AE",G315)),INDIRECT(CONCATENATE("AF",AG315))))</f>
        <v>#N/A</v>
      </c>
      <c r="AJ317" s="112" t="e">
        <f t="shared" ca="1" si="435"/>
        <v>#N/A</v>
      </c>
      <c r="AK317" s="112">
        <f t="shared" ca="1" si="437"/>
        <v>100000</v>
      </c>
      <c r="AL317" s="238" t="e">
        <f t="shared" ca="1" si="436"/>
        <v>#N/A</v>
      </c>
      <c r="AM317" s="112">
        <f t="shared" ca="1" si="434"/>
        <v>100000</v>
      </c>
      <c r="AN317" s="112">
        <f t="shared" ca="1" si="432"/>
        <v>100000</v>
      </c>
      <c r="AO317" s="114">
        <f t="shared" ca="1" si="427"/>
        <v>0</v>
      </c>
      <c r="AP317" s="114">
        <f t="shared" ca="1" si="428"/>
        <v>24</v>
      </c>
      <c r="AR317" s="238">
        <f t="shared" si="430"/>
        <v>317</v>
      </c>
      <c r="AU317" s="238">
        <f t="shared" si="431"/>
        <v>298</v>
      </c>
      <c r="AV317" s="238"/>
      <c r="AW317" s="238"/>
      <c r="CM317" s="112"/>
      <c r="CN317" s="112"/>
      <c r="CQ317" s="112"/>
      <c r="CR317" s="112"/>
      <c r="CS317" s="112"/>
      <c r="CT317" s="112"/>
      <c r="CU317" s="112"/>
      <c r="CV317" s="112"/>
      <c r="CW317" s="112"/>
      <c r="CX317" s="112" t="s">
        <v>224</v>
      </c>
      <c r="CY317" s="112" t="s">
        <v>225</v>
      </c>
      <c r="CZ317" s="112" t="s">
        <v>226</v>
      </c>
      <c r="DA317" s="112" t="s">
        <v>227</v>
      </c>
      <c r="DB317" s="112" t="s">
        <v>228</v>
      </c>
      <c r="DC317" s="112"/>
      <c r="DD317" s="112"/>
      <c r="DE317" s="238"/>
      <c r="DF317" s="112"/>
      <c r="DG317" s="112"/>
      <c r="DH317" s="112"/>
      <c r="DI317" s="112"/>
      <c r="DJ317" s="112"/>
      <c r="DK317" s="112">
        <f t="shared" si="429"/>
        <v>100000</v>
      </c>
      <c r="DL317" s="112"/>
      <c r="DM317" s="112"/>
      <c r="DN317" s="112"/>
      <c r="DO317" s="112"/>
      <c r="DP317" s="112"/>
      <c r="DQ317" s="112"/>
      <c r="DR317" t="e">
        <f t="shared" si="433"/>
        <v>#N/A</v>
      </c>
    </row>
    <row r="318" spans="33:122" x14ac:dyDescent="0.25">
      <c r="AG318" s="238">
        <f>AG317</f>
        <v>79</v>
      </c>
      <c r="AH318" s="112" t="e">
        <f ca="1">AI317+1</f>
        <v>#N/A</v>
      </c>
      <c r="AI318" s="112" t="e">
        <f ca="1">IF(INDIRECT(CONCATENATE("AE",AG315))&lt;100000,INDIRECT(CONCATENATE("AE",G315)),INDIRECT(CONCATENATE("AF",AG315)))</f>
        <v>#N/A</v>
      </c>
      <c r="AJ318" s="112" t="e">
        <f t="shared" ca="1" si="435"/>
        <v>#N/A</v>
      </c>
      <c r="AK318" s="112">
        <f t="shared" ca="1" si="437"/>
        <v>100000</v>
      </c>
      <c r="AL318" s="238" t="e">
        <f t="shared" ca="1" si="436"/>
        <v>#N/A</v>
      </c>
      <c r="AM318" s="112">
        <f t="shared" ca="1" si="434"/>
        <v>100000</v>
      </c>
      <c r="AN318" s="112">
        <f t="shared" ca="1" si="432"/>
        <v>100000</v>
      </c>
      <c r="AO318" s="114">
        <f t="shared" ca="1" si="427"/>
        <v>0</v>
      </c>
      <c r="AP318" s="114">
        <f t="shared" ca="1" si="428"/>
        <v>24</v>
      </c>
      <c r="AR318" s="238">
        <f t="shared" si="430"/>
        <v>318</v>
      </c>
      <c r="AU318" s="238">
        <f t="shared" si="431"/>
        <v>299</v>
      </c>
      <c r="AV318" s="238"/>
      <c r="AW318" s="238"/>
      <c r="CM318" s="112"/>
      <c r="CN318" s="112"/>
      <c r="CQ318" s="112"/>
      <c r="CR318" s="112"/>
      <c r="CS318" s="112"/>
      <c r="CT318" s="112"/>
      <c r="CU318" s="112"/>
      <c r="CV318" s="112"/>
      <c r="CW318" s="112"/>
      <c r="CX318" s="112" t="s">
        <v>224</v>
      </c>
      <c r="CY318" s="112" t="s">
        <v>225</v>
      </c>
      <c r="CZ318" s="112" t="s">
        <v>226</v>
      </c>
      <c r="DA318" s="112" t="s">
        <v>227</v>
      </c>
      <c r="DB318" s="112" t="s">
        <v>228</v>
      </c>
      <c r="DC318" s="112"/>
      <c r="DD318" s="112"/>
      <c r="DE318" s="238"/>
      <c r="DF318" s="112"/>
      <c r="DG318" s="112"/>
      <c r="DH318" s="112"/>
      <c r="DI318" s="112"/>
      <c r="DJ318" s="112"/>
      <c r="DK318" s="112">
        <f t="shared" si="429"/>
        <v>100000</v>
      </c>
      <c r="DL318" s="112"/>
      <c r="DM318" s="112"/>
      <c r="DN318" s="112"/>
      <c r="DO318" s="112"/>
      <c r="DP318" s="112"/>
      <c r="DQ318" s="112"/>
      <c r="DR318" t="e">
        <f t="shared" si="433"/>
        <v>#N/A</v>
      </c>
    </row>
    <row r="319" spans="33:122" x14ac:dyDescent="0.25">
      <c r="AG319" s="238">
        <f>AG318</f>
        <v>79</v>
      </c>
      <c r="AH319" s="112" t="e">
        <f ca="1">AI318+1</f>
        <v>#N/A</v>
      </c>
      <c r="AI319" s="112" t="str">
        <f ca="1">INDIRECT(CONCATENATE("AF",AG315))</f>
        <v/>
      </c>
      <c r="AJ319" s="112" t="str">
        <f t="shared" ca="1" si="435"/>
        <v/>
      </c>
      <c r="AK319" s="112">
        <f t="shared" ca="1" si="437"/>
        <v>100000</v>
      </c>
      <c r="AL319" s="238" t="e">
        <f t="shared" ca="1" si="436"/>
        <v>#N/A</v>
      </c>
      <c r="AM319" s="112">
        <f t="shared" ca="1" si="434"/>
        <v>100000</v>
      </c>
      <c r="AN319" s="112">
        <f t="shared" ca="1" si="432"/>
        <v>100000</v>
      </c>
      <c r="AO319" s="114">
        <f t="shared" ca="1" si="427"/>
        <v>0</v>
      </c>
      <c r="AP319" s="114">
        <f t="shared" ca="1" si="428"/>
        <v>24</v>
      </c>
      <c r="AR319" s="238">
        <f t="shared" si="430"/>
        <v>319</v>
      </c>
      <c r="AU319" s="238">
        <f t="shared" si="431"/>
        <v>300</v>
      </c>
      <c r="AV319" s="238"/>
      <c r="AW319" s="238"/>
      <c r="CM319" s="112"/>
      <c r="CN319" s="112"/>
      <c r="CQ319" s="112"/>
      <c r="CR319" s="112"/>
      <c r="CS319" s="112"/>
      <c r="CT319" s="112"/>
      <c r="CU319" s="112"/>
      <c r="CV319" s="112"/>
      <c r="CW319" s="112"/>
      <c r="CX319" s="112" t="s">
        <v>224</v>
      </c>
      <c r="CY319" s="112" t="s">
        <v>225</v>
      </c>
      <c r="CZ319" s="112" t="s">
        <v>226</v>
      </c>
      <c r="DA319" s="112" t="s">
        <v>227</v>
      </c>
      <c r="DB319" s="112" t="s">
        <v>228</v>
      </c>
      <c r="DC319" s="112"/>
      <c r="DD319" s="112"/>
      <c r="DE319" s="238"/>
      <c r="DF319" s="112"/>
      <c r="DG319" s="112"/>
      <c r="DH319" s="112"/>
      <c r="DI319" s="112"/>
      <c r="DJ319" s="112"/>
      <c r="DK319" s="112">
        <f t="shared" si="429"/>
        <v>100000</v>
      </c>
      <c r="DL319" s="112"/>
      <c r="DM319" s="112"/>
      <c r="DN319" s="112"/>
      <c r="DO319" s="112"/>
      <c r="DP319" s="112"/>
      <c r="DQ319" s="112"/>
      <c r="DR319" t="e">
        <f t="shared" si="433"/>
        <v>#N/A</v>
      </c>
    </row>
    <row r="320" spans="33:122" x14ac:dyDescent="0.25">
      <c r="AG320" s="238">
        <f>AG319+1</f>
        <v>80</v>
      </c>
      <c r="AH320" s="112" t="str">
        <f ca="1">INDIRECT(CONCATENATE("AA",AG320))</f>
        <v/>
      </c>
      <c r="AI320" s="112" t="e">
        <f ca="1">IF(            INDIRECT(CONCATENATE( "AB",AG320))&lt;100000,       INDIRECT(CONCATENATE("AB",AG320))  -1,IF(   INDIRECT(CONCATENATE("AC",AG320))&lt;100000,   INDIRECT(CONCATENATE("AC",AG320))-1,IF(   INDIRECT(CONCATENATE("AD", AG320))&lt;100000, INDIRECT(CONCATENATE("AD",AG320))-1,IF(   INDIRECT(CONCATENATE("AE",AG320))&lt;100000,  INDIRECT(CONCATENATE("AE",G320)),INDIRECT(CONCATENATE("AF",AG320))                ))))</f>
        <v>#N/A</v>
      </c>
      <c r="AJ320" s="112" t="str">
        <f t="shared" ca="1" si="435"/>
        <v/>
      </c>
      <c r="AK320" s="112" t="str">
        <f t="shared" ca="1" si="437"/>
        <v/>
      </c>
      <c r="AL320" s="238">
        <f t="shared" ca="1" si="436"/>
        <v>0</v>
      </c>
      <c r="AM320" s="112">
        <f t="shared" ca="1" si="434"/>
        <v>100000</v>
      </c>
      <c r="AN320" s="112">
        <f t="shared" ca="1" si="432"/>
        <v>100000</v>
      </c>
      <c r="AO320" s="114">
        <f t="shared" ca="1" si="427"/>
        <v>0</v>
      </c>
      <c r="AP320" s="114">
        <f t="shared" ca="1" si="428"/>
        <v>24</v>
      </c>
      <c r="AR320" s="238">
        <f t="shared" si="430"/>
        <v>320</v>
      </c>
      <c r="AU320" s="238">
        <f t="shared" si="431"/>
        <v>301</v>
      </c>
      <c r="AV320" s="238"/>
      <c r="AW320" s="238"/>
      <c r="CM320" s="112"/>
      <c r="CN320" s="112"/>
      <c r="CQ320" s="112"/>
      <c r="CR320" s="112"/>
      <c r="CS320" s="112"/>
      <c r="CT320" s="112"/>
      <c r="CU320" s="112"/>
      <c r="CV320" s="112"/>
      <c r="CW320" s="112"/>
      <c r="CX320" s="112" t="s">
        <v>224</v>
      </c>
      <c r="CY320" s="112" t="s">
        <v>225</v>
      </c>
      <c r="CZ320" s="112" t="s">
        <v>226</v>
      </c>
      <c r="DA320" s="112" t="s">
        <v>227</v>
      </c>
      <c r="DB320" s="112" t="s">
        <v>228</v>
      </c>
      <c r="DC320" s="112"/>
      <c r="DD320" s="112"/>
      <c r="DE320" s="238"/>
      <c r="DF320" s="112"/>
      <c r="DG320" s="112"/>
      <c r="DH320" s="112"/>
      <c r="DI320" s="112"/>
      <c r="DJ320" s="112"/>
      <c r="DK320" s="112">
        <f t="shared" si="429"/>
        <v>100000</v>
      </c>
      <c r="DL320" s="112"/>
      <c r="DM320" s="112"/>
      <c r="DN320" s="112"/>
      <c r="DO320" s="112"/>
      <c r="DP320" s="112"/>
      <c r="DQ320" s="112"/>
      <c r="DR320" t="e">
        <f t="shared" si="433"/>
        <v>#N/A</v>
      </c>
    </row>
    <row r="321" spans="33:122" x14ac:dyDescent="0.25">
      <c r="AG321" s="238">
        <f>AG320</f>
        <v>80</v>
      </c>
      <c r="AH321" s="112" t="e">
        <f ca="1">AI320+1</f>
        <v>#N/A</v>
      </c>
      <c r="AI321" s="112" t="e">
        <f ca="1">IF(INDIRECT(CONCATENATE("AC",AG320))&lt;100000,INDIRECT(CONCATENATE("AC",AG320))-1,IF(INDIRECT(CONCATENATE("AD",AG320))&lt;100000,INDIRECT(CONCATENATE("AD",AG320))-1,IF(INDIRECT(CONCATENATE("AE",AG320))&lt;100000,INDIRECT(CONCATENATE("AE",G320)),INDIRECT(CONCATENATE("AF",AG320)))))</f>
        <v>#N/A</v>
      </c>
      <c r="AJ321" s="112" t="e">
        <f t="shared" ca="1" si="435"/>
        <v>#N/A</v>
      </c>
      <c r="AK321" s="112">
        <f t="shared" ca="1" si="437"/>
        <v>100000</v>
      </c>
      <c r="AL321" s="238" t="e">
        <f t="shared" ca="1" si="436"/>
        <v>#N/A</v>
      </c>
      <c r="AM321" s="112">
        <f t="shared" ca="1" si="434"/>
        <v>100000</v>
      </c>
      <c r="AN321" s="112">
        <f t="shared" ca="1" si="432"/>
        <v>100000</v>
      </c>
      <c r="AO321" s="114">
        <f t="shared" ca="1" si="427"/>
        <v>0</v>
      </c>
      <c r="AP321" s="114">
        <f t="shared" ca="1" si="428"/>
        <v>24</v>
      </c>
      <c r="AR321" s="238">
        <f t="shared" si="430"/>
        <v>321</v>
      </c>
      <c r="AU321" s="238">
        <f t="shared" si="431"/>
        <v>302</v>
      </c>
      <c r="AV321" s="238"/>
      <c r="AW321" s="238"/>
      <c r="CM321" s="112"/>
      <c r="CN321" s="112"/>
      <c r="CQ321" s="112"/>
      <c r="CR321" s="112"/>
      <c r="CS321" s="112"/>
      <c r="CT321" s="112"/>
      <c r="CU321" s="112"/>
      <c r="CV321" s="112"/>
      <c r="CW321" s="112"/>
      <c r="CX321" s="112" t="s">
        <v>224</v>
      </c>
      <c r="CY321" s="112" t="s">
        <v>225</v>
      </c>
      <c r="CZ321" s="112" t="s">
        <v>226</v>
      </c>
      <c r="DA321" s="112" t="s">
        <v>227</v>
      </c>
      <c r="DB321" s="112" t="s">
        <v>228</v>
      </c>
      <c r="DC321" s="112"/>
      <c r="DD321" s="112"/>
      <c r="DE321" s="238"/>
      <c r="DF321" s="112"/>
      <c r="DG321" s="112"/>
      <c r="DH321" s="112"/>
      <c r="DI321" s="112"/>
      <c r="DJ321" s="112"/>
      <c r="DK321" s="112">
        <f t="shared" si="429"/>
        <v>100000</v>
      </c>
      <c r="DL321" s="112"/>
      <c r="DM321" s="112"/>
      <c r="DN321" s="112"/>
      <c r="DO321" s="112"/>
      <c r="DP321" s="112"/>
      <c r="DQ321" s="112"/>
      <c r="DR321" t="e">
        <f t="shared" si="433"/>
        <v>#N/A</v>
      </c>
    </row>
    <row r="322" spans="33:122" x14ac:dyDescent="0.25">
      <c r="AG322" s="238">
        <f>AG321</f>
        <v>80</v>
      </c>
      <c r="AH322" s="112" t="e">
        <f ca="1">AI321+1</f>
        <v>#N/A</v>
      </c>
      <c r="AI322" s="112" t="e">
        <f ca="1">IF(INDIRECT(CONCATENATE("AD",AG320))&lt;100000,INDIRECT(CONCATENATE("AD",AG320))-1,IF(INDIRECT(CONCATENATE("AE",AG320))&lt;100000,INDIRECT(CONCATENATE("AE",G320)),INDIRECT(CONCATENATE("AF",AG320))))</f>
        <v>#N/A</v>
      </c>
      <c r="AJ322" s="112" t="e">
        <f t="shared" ca="1" si="435"/>
        <v>#N/A</v>
      </c>
      <c r="AK322" s="112">
        <f t="shared" ca="1" si="437"/>
        <v>100000</v>
      </c>
      <c r="AL322" s="238" t="e">
        <f t="shared" ca="1" si="436"/>
        <v>#N/A</v>
      </c>
      <c r="AM322" s="112">
        <f t="shared" ca="1" si="434"/>
        <v>100000</v>
      </c>
      <c r="AN322" s="112">
        <f t="shared" ca="1" si="432"/>
        <v>100000</v>
      </c>
      <c r="AO322" s="114">
        <f t="shared" ca="1" si="427"/>
        <v>0</v>
      </c>
      <c r="AP322" s="114">
        <f t="shared" ca="1" si="428"/>
        <v>24</v>
      </c>
      <c r="AR322" s="238">
        <f t="shared" si="430"/>
        <v>322</v>
      </c>
      <c r="AU322" s="238">
        <f t="shared" si="431"/>
        <v>303</v>
      </c>
      <c r="AV322" s="238"/>
      <c r="AW322" s="238"/>
      <c r="CM322" s="112"/>
      <c r="CN322" s="112"/>
      <c r="CQ322" s="112"/>
      <c r="CR322" s="112"/>
      <c r="CS322" s="112"/>
      <c r="CT322" s="112"/>
      <c r="CU322" s="112"/>
      <c r="CV322" s="112"/>
      <c r="CW322" s="112"/>
      <c r="CX322" s="112" t="s">
        <v>224</v>
      </c>
      <c r="CY322" s="112" t="s">
        <v>225</v>
      </c>
      <c r="CZ322" s="112" t="s">
        <v>226</v>
      </c>
      <c r="DA322" s="112" t="s">
        <v>227</v>
      </c>
      <c r="DB322" s="112" t="s">
        <v>228</v>
      </c>
      <c r="DC322" s="112"/>
      <c r="DD322" s="112"/>
      <c r="DE322" s="238"/>
      <c r="DF322" s="112"/>
      <c r="DG322" s="112"/>
      <c r="DH322" s="112"/>
      <c r="DI322" s="112"/>
      <c r="DJ322" s="112"/>
      <c r="DK322" s="112">
        <f t="shared" si="429"/>
        <v>100000</v>
      </c>
      <c r="DL322" s="112"/>
      <c r="DM322" s="112"/>
      <c r="DN322" s="112"/>
      <c r="DO322" s="112"/>
      <c r="DP322" s="112"/>
      <c r="DQ322" s="112"/>
      <c r="DR322" t="e">
        <f t="shared" si="433"/>
        <v>#N/A</v>
      </c>
    </row>
    <row r="323" spans="33:122" x14ac:dyDescent="0.25">
      <c r="AG323" s="238">
        <f>AG322</f>
        <v>80</v>
      </c>
      <c r="AH323" s="112" t="e">
        <f ca="1">AI322+1</f>
        <v>#N/A</v>
      </c>
      <c r="AI323" s="112" t="e">
        <f ca="1">IF(INDIRECT(CONCATENATE("AE",AG320))&lt;100000,INDIRECT(CONCATENATE("AE",G320)),INDIRECT(CONCATENATE("AF",AG320)))</f>
        <v>#N/A</v>
      </c>
      <c r="AJ323" s="112" t="e">
        <f t="shared" ca="1" si="435"/>
        <v>#N/A</v>
      </c>
      <c r="AK323" s="112">
        <f t="shared" ca="1" si="437"/>
        <v>100000</v>
      </c>
      <c r="AL323" s="238" t="e">
        <f t="shared" ca="1" si="436"/>
        <v>#N/A</v>
      </c>
      <c r="AM323" s="112">
        <f t="shared" ca="1" si="434"/>
        <v>100000</v>
      </c>
      <c r="AN323" s="112">
        <f t="shared" ca="1" si="432"/>
        <v>100000</v>
      </c>
      <c r="AO323" s="114">
        <f t="shared" ca="1" si="427"/>
        <v>0</v>
      </c>
      <c r="AP323" s="114">
        <f t="shared" ca="1" si="428"/>
        <v>24</v>
      </c>
      <c r="AR323" s="238">
        <f t="shared" si="430"/>
        <v>323</v>
      </c>
      <c r="AU323" s="238">
        <f t="shared" si="431"/>
        <v>304</v>
      </c>
      <c r="AV323" s="238"/>
      <c r="AW323" s="238"/>
      <c r="CM323" s="112"/>
      <c r="CN323" s="112"/>
      <c r="CQ323" s="112"/>
      <c r="CR323" s="112"/>
      <c r="CS323" s="112"/>
      <c r="CT323" s="112"/>
      <c r="CU323" s="112"/>
      <c r="CV323" s="112"/>
      <c r="CW323" s="112"/>
      <c r="CX323" s="112" t="s">
        <v>224</v>
      </c>
      <c r="CY323" s="112" t="s">
        <v>225</v>
      </c>
      <c r="CZ323" s="112" t="s">
        <v>226</v>
      </c>
      <c r="DA323" s="112" t="s">
        <v>227</v>
      </c>
      <c r="DB323" s="112" t="s">
        <v>228</v>
      </c>
      <c r="DC323" s="112"/>
      <c r="DD323" s="112"/>
      <c r="DE323" s="238"/>
      <c r="DF323" s="112"/>
      <c r="DG323" s="112"/>
      <c r="DH323" s="112"/>
      <c r="DI323" s="112"/>
      <c r="DJ323" s="112"/>
      <c r="DK323" s="112">
        <f t="shared" si="429"/>
        <v>100000</v>
      </c>
      <c r="DL323" s="112"/>
      <c r="DM323" s="112"/>
      <c r="DN323" s="112"/>
      <c r="DO323" s="112"/>
      <c r="DP323" s="112"/>
      <c r="DQ323" s="112"/>
      <c r="DR323" t="e">
        <f t="shared" si="433"/>
        <v>#N/A</v>
      </c>
    </row>
    <row r="324" spans="33:122" x14ac:dyDescent="0.25">
      <c r="AG324" s="238">
        <f>AG323</f>
        <v>80</v>
      </c>
      <c r="AH324" s="112" t="e">
        <f ca="1">AI323+1</f>
        <v>#N/A</v>
      </c>
      <c r="AI324" s="112" t="str">
        <f ca="1">INDIRECT(CONCATENATE("AF",AG320))</f>
        <v/>
      </c>
      <c r="AJ324" s="112" t="str">
        <f t="shared" ca="1" si="435"/>
        <v/>
      </c>
      <c r="AK324" s="112">
        <f t="shared" ca="1" si="437"/>
        <v>100000</v>
      </c>
      <c r="AL324" s="238" t="e">
        <f t="shared" ca="1" si="436"/>
        <v>#N/A</v>
      </c>
      <c r="AM324" s="112">
        <f t="shared" ca="1" si="434"/>
        <v>100000</v>
      </c>
      <c r="AN324" s="112">
        <f t="shared" ca="1" si="432"/>
        <v>100000</v>
      </c>
      <c r="AO324" s="114">
        <f t="shared" ca="1" si="427"/>
        <v>0</v>
      </c>
      <c r="AP324" s="114">
        <f t="shared" ca="1" si="428"/>
        <v>24</v>
      </c>
      <c r="AR324" s="238">
        <f t="shared" si="430"/>
        <v>324</v>
      </c>
      <c r="AU324" s="238">
        <f t="shared" si="431"/>
        <v>305</v>
      </c>
      <c r="AV324" s="238"/>
      <c r="AW324" s="238"/>
      <c r="CM324" s="112"/>
      <c r="CN324" s="112"/>
      <c r="CQ324" s="112"/>
      <c r="CR324" s="112"/>
      <c r="CS324" s="112"/>
      <c r="CT324" s="112"/>
      <c r="CU324" s="112"/>
      <c r="CV324" s="112"/>
      <c r="CW324" s="112"/>
      <c r="CX324" s="112" t="s">
        <v>224</v>
      </c>
      <c r="CY324" s="112" t="s">
        <v>225</v>
      </c>
      <c r="CZ324" s="112" t="s">
        <v>226</v>
      </c>
      <c r="DA324" s="112" t="s">
        <v>227</v>
      </c>
      <c r="DB324" s="112" t="s">
        <v>228</v>
      </c>
      <c r="DC324" s="112"/>
      <c r="DD324" s="112"/>
      <c r="DE324" s="238"/>
      <c r="DF324" s="112"/>
      <c r="DG324" s="112"/>
      <c r="DH324" s="112"/>
      <c r="DI324" s="112"/>
      <c r="DJ324" s="112"/>
      <c r="DK324" s="112">
        <f t="shared" si="429"/>
        <v>100000</v>
      </c>
      <c r="DL324" s="112"/>
      <c r="DM324" s="112"/>
      <c r="DN324" s="112"/>
      <c r="DO324" s="112"/>
      <c r="DP324" s="112"/>
      <c r="DQ324" s="112"/>
      <c r="DR324" t="e">
        <f t="shared" si="433"/>
        <v>#N/A</v>
      </c>
    </row>
    <row r="325" spans="33:122" x14ac:dyDescent="0.25">
      <c r="AG325" s="238">
        <f>AG324+1</f>
        <v>81</v>
      </c>
      <c r="AH325" s="112" t="str">
        <f ca="1">INDIRECT(CONCATENATE("AA",AG325))</f>
        <v/>
      </c>
      <c r="AI325" s="112" t="e">
        <f ca="1">IF(            INDIRECT(CONCATENATE( "AB",AG325))&lt;100000,       INDIRECT(CONCATENATE("AB",AG325))  -1,IF(   INDIRECT(CONCATENATE("AC",AG325))&lt;100000,   INDIRECT(CONCATENATE("AC",AG325))-1,IF(   INDIRECT(CONCATENATE("AD", AG325))&lt;100000, INDIRECT(CONCATENATE("AD",AG325))-1,IF(   INDIRECT(CONCATENATE("AE",AG325))&lt;100000,  INDIRECT(CONCATENATE("AE",G325)),INDIRECT(CONCATENATE("AF",AG325))                ))))</f>
        <v>#N/A</v>
      </c>
      <c r="AJ325" s="112" t="str">
        <f t="shared" ca="1" si="435"/>
        <v/>
      </c>
      <c r="AK325" s="112" t="str">
        <f t="shared" ca="1" si="437"/>
        <v/>
      </c>
      <c r="AL325" s="238">
        <f t="shared" ca="1" si="436"/>
        <v>0</v>
      </c>
      <c r="AM325" s="112">
        <f t="shared" ca="1" si="434"/>
        <v>100000</v>
      </c>
      <c r="AN325" s="112">
        <f t="shared" ca="1" si="432"/>
        <v>100000</v>
      </c>
      <c r="AO325" s="114">
        <f t="shared" ca="1" si="427"/>
        <v>0</v>
      </c>
      <c r="AP325" s="114">
        <f t="shared" ca="1" si="428"/>
        <v>24</v>
      </c>
      <c r="AR325" s="238">
        <f t="shared" si="430"/>
        <v>325</v>
      </c>
      <c r="AU325" s="238">
        <f t="shared" si="431"/>
        <v>306</v>
      </c>
      <c r="AV325" s="238"/>
      <c r="AW325" s="238"/>
      <c r="CM325" s="112"/>
      <c r="CN325" s="112"/>
      <c r="CQ325" s="112"/>
      <c r="CR325" s="112"/>
      <c r="CS325" s="112"/>
      <c r="CT325" s="112"/>
      <c r="CU325" s="112"/>
      <c r="CV325" s="112"/>
      <c r="CW325" s="112"/>
      <c r="CX325" s="112" t="s">
        <v>224</v>
      </c>
      <c r="CY325" s="112" t="s">
        <v>225</v>
      </c>
      <c r="CZ325" s="112" t="s">
        <v>226</v>
      </c>
      <c r="DA325" s="112" t="s">
        <v>227</v>
      </c>
      <c r="DB325" s="112" t="s">
        <v>228</v>
      </c>
      <c r="DC325" s="112"/>
      <c r="DD325" s="112"/>
      <c r="DE325" s="238"/>
      <c r="DF325" s="112"/>
      <c r="DG325" s="112"/>
      <c r="DH325" s="112"/>
      <c r="DI325" s="112"/>
      <c r="DJ325" s="112"/>
      <c r="DK325" s="112">
        <f t="shared" si="429"/>
        <v>100000</v>
      </c>
      <c r="DL325" s="112"/>
      <c r="DM325" s="112"/>
      <c r="DN325" s="112"/>
      <c r="DO325" s="112"/>
      <c r="DP325" s="112"/>
      <c r="DQ325" s="112"/>
      <c r="DR325" t="e">
        <f t="shared" si="433"/>
        <v>#N/A</v>
      </c>
    </row>
    <row r="326" spans="33:122" x14ac:dyDescent="0.25">
      <c r="AG326" s="238">
        <f>AG325</f>
        <v>81</v>
      </c>
      <c r="AH326" s="112" t="e">
        <f ca="1">AI325+1</f>
        <v>#N/A</v>
      </c>
      <c r="AI326" s="112" t="e">
        <f ca="1">IF(INDIRECT(CONCATENATE("AC",AG325))&lt;100000,INDIRECT(CONCATENATE("AC",AG325))-1,IF(INDIRECT(CONCATENATE("AD",AG325))&lt;100000,INDIRECT(CONCATENATE("AD",AG325))-1,IF(INDIRECT(CONCATENATE("AE",AG325))&lt;100000,INDIRECT(CONCATENATE("AE",G325)),INDIRECT(CONCATENATE("AF",AG325)))))</f>
        <v>#N/A</v>
      </c>
      <c r="AJ326" s="112" t="e">
        <f t="shared" ca="1" si="435"/>
        <v>#N/A</v>
      </c>
      <c r="AK326" s="112">
        <f t="shared" ca="1" si="437"/>
        <v>100000</v>
      </c>
      <c r="AL326" s="238" t="e">
        <f t="shared" ca="1" si="436"/>
        <v>#N/A</v>
      </c>
      <c r="AM326" s="112">
        <f t="shared" ca="1" si="434"/>
        <v>100000</v>
      </c>
      <c r="AN326" s="112">
        <f t="shared" ca="1" si="432"/>
        <v>100000</v>
      </c>
      <c r="AO326" s="114">
        <f t="shared" ca="1" si="427"/>
        <v>0</v>
      </c>
      <c r="AP326" s="114">
        <f t="shared" ca="1" si="428"/>
        <v>24</v>
      </c>
      <c r="AR326" s="238">
        <f t="shared" si="430"/>
        <v>326</v>
      </c>
      <c r="AU326" s="238">
        <f t="shared" si="431"/>
        <v>307</v>
      </c>
      <c r="AV326" s="238"/>
      <c r="AW326" s="238"/>
      <c r="CM326" s="112"/>
      <c r="CN326" s="112"/>
      <c r="CQ326" s="112"/>
      <c r="CR326" s="112"/>
      <c r="CS326" s="112"/>
      <c r="CT326" s="112"/>
      <c r="CU326" s="112"/>
      <c r="CV326" s="112"/>
      <c r="CW326" s="112"/>
      <c r="CX326" s="112" t="s">
        <v>224</v>
      </c>
      <c r="CY326" s="112" t="s">
        <v>225</v>
      </c>
      <c r="CZ326" s="112" t="s">
        <v>226</v>
      </c>
      <c r="DA326" s="112" t="s">
        <v>227</v>
      </c>
      <c r="DB326" s="112" t="s">
        <v>228</v>
      </c>
      <c r="DC326" s="112"/>
      <c r="DD326" s="112"/>
      <c r="DE326" s="238"/>
      <c r="DF326" s="112"/>
      <c r="DG326" s="112"/>
      <c r="DH326" s="112"/>
      <c r="DI326" s="112"/>
      <c r="DJ326" s="112"/>
      <c r="DK326" s="112">
        <f t="shared" si="429"/>
        <v>100000</v>
      </c>
      <c r="DL326" s="112"/>
      <c r="DM326" s="112"/>
      <c r="DN326" s="112"/>
      <c r="DO326" s="112"/>
      <c r="DP326" s="112"/>
      <c r="DQ326" s="112"/>
      <c r="DR326" t="e">
        <f t="shared" si="433"/>
        <v>#N/A</v>
      </c>
    </row>
    <row r="327" spans="33:122" x14ac:dyDescent="0.25">
      <c r="AG327" s="238">
        <f>AG326</f>
        <v>81</v>
      </c>
      <c r="AH327" s="112" t="e">
        <f ca="1">AI326+1</f>
        <v>#N/A</v>
      </c>
      <c r="AI327" s="112" t="e">
        <f ca="1">IF(INDIRECT(CONCATENATE("AD",AG325))&lt;100000,INDIRECT(CONCATENATE("AD",AG325))-1,IF(INDIRECT(CONCATENATE("AE",AG325))&lt;100000,INDIRECT(CONCATENATE("AE",G325)),INDIRECT(CONCATENATE("AF",AG325))))</f>
        <v>#N/A</v>
      </c>
      <c r="AJ327" s="112" t="e">
        <f t="shared" ca="1" si="435"/>
        <v>#N/A</v>
      </c>
      <c r="AK327" s="112">
        <f t="shared" ca="1" si="437"/>
        <v>100000</v>
      </c>
      <c r="AL327" s="238" t="e">
        <f t="shared" ca="1" si="436"/>
        <v>#N/A</v>
      </c>
      <c r="AM327" s="112">
        <f t="shared" ca="1" si="434"/>
        <v>100000</v>
      </c>
      <c r="AN327" s="112">
        <f t="shared" ca="1" si="432"/>
        <v>100000</v>
      </c>
      <c r="AO327" s="114">
        <f t="shared" ca="1" si="427"/>
        <v>0</v>
      </c>
      <c r="AP327" s="114">
        <f t="shared" ca="1" si="428"/>
        <v>24</v>
      </c>
      <c r="AR327" s="238">
        <f t="shared" si="430"/>
        <v>327</v>
      </c>
      <c r="AU327" s="238">
        <f t="shared" si="431"/>
        <v>308</v>
      </c>
      <c r="AV327" s="238"/>
      <c r="AW327" s="238"/>
      <c r="CM327" s="112"/>
      <c r="CN327" s="112"/>
      <c r="CQ327" s="112"/>
      <c r="CR327" s="112"/>
      <c r="CS327" s="112"/>
      <c r="CT327" s="112"/>
      <c r="CU327" s="112"/>
      <c r="CV327" s="112"/>
      <c r="CW327" s="112"/>
      <c r="CX327" s="112" t="s">
        <v>224</v>
      </c>
      <c r="CY327" s="112" t="s">
        <v>225</v>
      </c>
      <c r="CZ327" s="112" t="s">
        <v>226</v>
      </c>
      <c r="DA327" s="112" t="s">
        <v>227</v>
      </c>
      <c r="DB327" s="112" t="s">
        <v>228</v>
      </c>
      <c r="DC327" s="112"/>
      <c r="DD327" s="112"/>
      <c r="DE327" s="238"/>
      <c r="DF327" s="112"/>
      <c r="DG327" s="112"/>
      <c r="DH327" s="112"/>
      <c r="DI327" s="112"/>
      <c r="DJ327" s="112"/>
      <c r="DK327" s="112">
        <f t="shared" si="429"/>
        <v>100000</v>
      </c>
      <c r="DL327" s="112"/>
      <c r="DM327" s="112"/>
      <c r="DN327" s="112"/>
      <c r="DO327" s="112"/>
      <c r="DP327" s="112"/>
      <c r="DQ327" s="112"/>
      <c r="DR327" t="e">
        <f t="shared" si="433"/>
        <v>#N/A</v>
      </c>
    </row>
    <row r="328" spans="33:122" x14ac:dyDescent="0.25">
      <c r="AG328" s="238">
        <f>AG327</f>
        <v>81</v>
      </c>
      <c r="AH328" s="112" t="e">
        <f ca="1">AI327+1</f>
        <v>#N/A</v>
      </c>
      <c r="AI328" s="112" t="e">
        <f ca="1">IF(INDIRECT(CONCATENATE("AE",AG325))&lt;100000,INDIRECT(CONCATENATE("AE",G325)),INDIRECT(CONCATENATE("AF",AG325)))</f>
        <v>#N/A</v>
      </c>
      <c r="AJ328" s="112" t="e">
        <f t="shared" ca="1" si="435"/>
        <v>#N/A</v>
      </c>
      <c r="AK328" s="112">
        <f t="shared" ca="1" si="437"/>
        <v>100000</v>
      </c>
      <c r="AL328" s="238" t="e">
        <f t="shared" ca="1" si="436"/>
        <v>#N/A</v>
      </c>
      <c r="AM328" s="112">
        <f t="shared" ca="1" si="434"/>
        <v>100000</v>
      </c>
      <c r="AN328" s="112">
        <f t="shared" ca="1" si="432"/>
        <v>100000</v>
      </c>
      <c r="AO328" s="114">
        <f t="shared" ca="1" si="427"/>
        <v>0</v>
      </c>
      <c r="AP328" s="114">
        <f t="shared" ca="1" si="428"/>
        <v>24</v>
      </c>
      <c r="AR328" s="238">
        <f t="shared" si="430"/>
        <v>328</v>
      </c>
      <c r="AU328" s="238">
        <f t="shared" si="431"/>
        <v>309</v>
      </c>
      <c r="AV328" s="238"/>
      <c r="AW328" s="238"/>
      <c r="CM328" s="112"/>
      <c r="CN328" s="112"/>
      <c r="CQ328" s="112"/>
      <c r="CR328" s="112"/>
      <c r="CS328" s="112"/>
      <c r="CT328" s="112"/>
      <c r="CU328" s="112"/>
      <c r="CV328" s="112"/>
      <c r="CW328" s="112"/>
      <c r="CX328" s="112" t="s">
        <v>224</v>
      </c>
      <c r="CY328" s="112" t="s">
        <v>225</v>
      </c>
      <c r="CZ328" s="112" t="s">
        <v>226</v>
      </c>
      <c r="DA328" s="112" t="s">
        <v>227</v>
      </c>
      <c r="DB328" s="112" t="s">
        <v>228</v>
      </c>
      <c r="DC328" s="112"/>
      <c r="DD328" s="112"/>
      <c r="DE328" s="238"/>
      <c r="DF328" s="112"/>
      <c r="DG328" s="112"/>
      <c r="DH328" s="112"/>
      <c r="DI328" s="112"/>
      <c r="DJ328" s="112"/>
      <c r="DK328" s="112">
        <f t="shared" si="429"/>
        <v>100000</v>
      </c>
      <c r="DL328" s="112"/>
      <c r="DM328" s="112"/>
      <c r="DN328" s="112"/>
      <c r="DO328" s="112"/>
      <c r="DP328" s="112"/>
      <c r="DQ328" s="112"/>
      <c r="DR328" t="e">
        <f t="shared" si="433"/>
        <v>#N/A</v>
      </c>
    </row>
    <row r="329" spans="33:122" x14ac:dyDescent="0.25">
      <c r="AG329" s="238">
        <f>AG328</f>
        <v>81</v>
      </c>
      <c r="AH329" s="112" t="e">
        <f ca="1">AI328+1</f>
        <v>#N/A</v>
      </c>
      <c r="AI329" s="112" t="str">
        <f ca="1">INDIRECT(CONCATENATE("AF",AG325))</f>
        <v/>
      </c>
      <c r="AJ329" s="112" t="str">
        <f t="shared" ca="1" si="435"/>
        <v/>
      </c>
      <c r="AK329" s="112">
        <f t="shared" ca="1" si="437"/>
        <v>100000</v>
      </c>
      <c r="AL329" s="238" t="e">
        <f t="shared" ca="1" si="436"/>
        <v>#N/A</v>
      </c>
      <c r="AM329" s="112">
        <f t="shared" ca="1" si="434"/>
        <v>100000</v>
      </c>
      <c r="AN329" s="112">
        <f t="shared" ca="1" si="432"/>
        <v>100000</v>
      </c>
      <c r="AO329" s="114">
        <f t="shared" ca="1" si="427"/>
        <v>0</v>
      </c>
      <c r="AP329" s="114">
        <f t="shared" ca="1" si="428"/>
        <v>24</v>
      </c>
      <c r="AR329" s="238">
        <f t="shared" si="430"/>
        <v>329</v>
      </c>
      <c r="AU329" s="238">
        <f t="shared" si="431"/>
        <v>310</v>
      </c>
      <c r="AV329" s="238"/>
      <c r="AW329" s="238"/>
      <c r="CM329" s="112"/>
      <c r="CN329" s="112"/>
      <c r="CQ329" s="112"/>
      <c r="CR329" s="112"/>
      <c r="CS329" s="112"/>
      <c r="CT329" s="112"/>
      <c r="CU329" s="112"/>
      <c r="CV329" s="112"/>
      <c r="CW329" s="112"/>
      <c r="CX329" s="112" t="s">
        <v>224</v>
      </c>
      <c r="CY329" s="112" t="s">
        <v>225</v>
      </c>
      <c r="CZ329" s="112" t="s">
        <v>226</v>
      </c>
      <c r="DA329" s="112" t="s">
        <v>227</v>
      </c>
      <c r="DB329" s="112" t="s">
        <v>228</v>
      </c>
      <c r="DC329" s="112"/>
      <c r="DD329" s="112"/>
      <c r="DE329" s="238"/>
      <c r="DF329" s="112"/>
      <c r="DG329" s="112"/>
      <c r="DH329" s="112"/>
      <c r="DI329" s="112"/>
      <c r="DJ329" s="112"/>
      <c r="DK329" s="112">
        <f t="shared" si="429"/>
        <v>100000</v>
      </c>
      <c r="DL329" s="112"/>
      <c r="DM329" s="112"/>
      <c r="DN329" s="112"/>
      <c r="DO329" s="112"/>
      <c r="DP329" s="112"/>
      <c r="DQ329" s="112"/>
      <c r="DR329" t="e">
        <f t="shared" si="433"/>
        <v>#N/A</v>
      </c>
    </row>
    <row r="330" spans="33:122" x14ac:dyDescent="0.25">
      <c r="AG330" s="238">
        <f>AG329+1</f>
        <v>82</v>
      </c>
      <c r="AH330" s="112" t="str">
        <f ca="1">INDIRECT(CONCATENATE("AA",AG330))</f>
        <v/>
      </c>
      <c r="AI330" s="112" t="e">
        <f ca="1">IF(            INDIRECT(CONCATENATE( "AB",AG330))&lt;100000,       INDIRECT(CONCATENATE("AB",AG330))  -1,IF(   INDIRECT(CONCATENATE("AC",AG330))&lt;100000,   INDIRECT(CONCATENATE("AC",AG330))-1,IF(   INDIRECT(CONCATENATE("AD", AG330))&lt;100000, INDIRECT(CONCATENATE("AD",AG330))-1,IF(   INDIRECT(CONCATENATE("AE",AG330))&lt;100000,  INDIRECT(CONCATENATE("AE",G330)),INDIRECT(CONCATENATE("AF",AG330))                ))))</f>
        <v>#N/A</v>
      </c>
      <c r="AJ330" s="112" t="str">
        <f t="shared" ca="1" si="435"/>
        <v/>
      </c>
      <c r="AK330" s="112" t="str">
        <f t="shared" ca="1" si="437"/>
        <v/>
      </c>
      <c r="AL330" s="238">
        <f t="shared" ca="1" si="436"/>
        <v>0</v>
      </c>
      <c r="AM330" s="112">
        <f t="shared" ca="1" si="434"/>
        <v>100000</v>
      </c>
      <c r="AN330" s="112">
        <f t="shared" ca="1" si="432"/>
        <v>100000</v>
      </c>
      <c r="AO330" s="114">
        <f t="shared" ca="1" si="427"/>
        <v>0</v>
      </c>
      <c r="AP330" s="114">
        <f t="shared" ca="1" si="428"/>
        <v>24</v>
      </c>
      <c r="AR330" s="238">
        <f t="shared" si="430"/>
        <v>330</v>
      </c>
      <c r="AU330" s="238">
        <f t="shared" si="431"/>
        <v>311</v>
      </c>
      <c r="AV330" s="238"/>
      <c r="AW330" s="238"/>
      <c r="CM330" s="112"/>
      <c r="CN330" s="112"/>
      <c r="CQ330" s="112"/>
      <c r="CR330" s="112"/>
      <c r="CS330" s="112"/>
      <c r="CT330" s="112"/>
      <c r="CU330" s="112"/>
      <c r="CV330" s="112"/>
      <c r="CW330" s="112"/>
      <c r="CX330" s="112" t="s">
        <v>224</v>
      </c>
      <c r="CY330" s="112" t="s">
        <v>225</v>
      </c>
      <c r="CZ330" s="112" t="s">
        <v>226</v>
      </c>
      <c r="DA330" s="112" t="s">
        <v>227</v>
      </c>
      <c r="DB330" s="112" t="s">
        <v>228</v>
      </c>
      <c r="DC330" s="112"/>
      <c r="DD330" s="112"/>
      <c r="DE330" s="238"/>
      <c r="DF330" s="112"/>
      <c r="DG330" s="112"/>
      <c r="DH330" s="112"/>
      <c r="DI330" s="112"/>
      <c r="DJ330" s="112"/>
      <c r="DK330" s="112">
        <f t="shared" si="429"/>
        <v>100000</v>
      </c>
      <c r="DL330" s="112"/>
      <c r="DM330" s="112"/>
      <c r="DN330" s="112"/>
      <c r="DO330" s="112"/>
      <c r="DP330" s="112"/>
      <c r="DQ330" s="112"/>
      <c r="DR330" t="e">
        <f t="shared" si="433"/>
        <v>#N/A</v>
      </c>
    </row>
    <row r="331" spans="33:122" x14ac:dyDescent="0.25">
      <c r="AG331" s="238">
        <f>AG330</f>
        <v>82</v>
      </c>
      <c r="AH331" s="112" t="e">
        <f ca="1">AI330+1</f>
        <v>#N/A</v>
      </c>
      <c r="AI331" s="112" t="e">
        <f ca="1">IF(INDIRECT(CONCATENATE("AC",AG330))&lt;100000,INDIRECT(CONCATENATE("AC",AG330))-1,IF(INDIRECT(CONCATENATE("AD",AG330))&lt;100000,INDIRECT(CONCATENATE("AD",AG330))-1,IF(INDIRECT(CONCATENATE("AE",AG330))&lt;100000,INDIRECT(CONCATENATE("AE",G330)),INDIRECT(CONCATENATE("AF",AG330)))))</f>
        <v>#N/A</v>
      </c>
      <c r="AJ331" s="112" t="e">
        <f t="shared" ca="1" si="435"/>
        <v>#N/A</v>
      </c>
      <c r="AK331" s="112">
        <f t="shared" ca="1" si="437"/>
        <v>100000</v>
      </c>
      <c r="AL331" s="238" t="e">
        <f t="shared" ca="1" si="436"/>
        <v>#N/A</v>
      </c>
      <c r="AM331" s="112">
        <f t="shared" ca="1" si="434"/>
        <v>100000</v>
      </c>
      <c r="AN331" s="112">
        <f t="shared" ca="1" si="432"/>
        <v>100000</v>
      </c>
      <c r="AO331" s="114">
        <f t="shared" ca="1" si="427"/>
        <v>0</v>
      </c>
      <c r="AP331" s="114">
        <f t="shared" ca="1" si="428"/>
        <v>24</v>
      </c>
      <c r="AR331" s="238">
        <f t="shared" si="430"/>
        <v>331</v>
      </c>
      <c r="AU331" s="238">
        <f t="shared" si="431"/>
        <v>312</v>
      </c>
      <c r="AV331" s="238"/>
      <c r="AW331" s="238"/>
      <c r="CM331" s="112"/>
      <c r="CN331" s="112"/>
      <c r="CQ331" s="112"/>
      <c r="CR331" s="112"/>
      <c r="CS331" s="112"/>
      <c r="CT331" s="112"/>
      <c r="CU331" s="112"/>
      <c r="CV331" s="112"/>
      <c r="CW331" s="112"/>
      <c r="CX331" s="112" t="s">
        <v>224</v>
      </c>
      <c r="CY331" s="112" t="s">
        <v>225</v>
      </c>
      <c r="CZ331" s="112" t="s">
        <v>226</v>
      </c>
      <c r="DA331" s="112" t="s">
        <v>227</v>
      </c>
      <c r="DB331" s="112" t="s">
        <v>228</v>
      </c>
      <c r="DC331" s="112"/>
      <c r="DD331" s="112"/>
      <c r="DE331" s="238"/>
      <c r="DF331" s="112"/>
      <c r="DG331" s="112"/>
      <c r="DH331" s="112"/>
      <c r="DI331" s="112"/>
      <c r="DJ331" s="112"/>
      <c r="DK331" s="112">
        <f t="shared" si="429"/>
        <v>100000</v>
      </c>
      <c r="DL331" s="112"/>
      <c r="DM331" s="112"/>
      <c r="DN331" s="112"/>
      <c r="DO331" s="112"/>
      <c r="DP331" s="112"/>
      <c r="DQ331" s="112"/>
      <c r="DR331" t="e">
        <f t="shared" si="433"/>
        <v>#N/A</v>
      </c>
    </row>
    <row r="332" spans="33:122" x14ac:dyDescent="0.25">
      <c r="AG332" s="238">
        <f>AG331</f>
        <v>82</v>
      </c>
      <c r="AH332" s="112" t="e">
        <f ca="1">AI331+1</f>
        <v>#N/A</v>
      </c>
      <c r="AI332" s="112" t="e">
        <f ca="1">IF(INDIRECT(CONCATENATE("AD",AG330))&lt;100000,INDIRECT(CONCATENATE("AD",AG330))-1,IF(INDIRECT(CONCATENATE("AE",AG330))&lt;100000,INDIRECT(CONCATENATE("AE",G330)),INDIRECT(CONCATENATE("AF",AG330))))</f>
        <v>#N/A</v>
      </c>
      <c r="AJ332" s="112" t="e">
        <f t="shared" ca="1" si="435"/>
        <v>#N/A</v>
      </c>
      <c r="AK332" s="112">
        <f t="shared" ca="1" si="437"/>
        <v>100000</v>
      </c>
      <c r="AL332" s="238" t="e">
        <f t="shared" ca="1" si="436"/>
        <v>#N/A</v>
      </c>
      <c r="AM332" s="112">
        <f t="shared" ca="1" si="434"/>
        <v>100000</v>
      </c>
      <c r="AN332" s="112">
        <f t="shared" ca="1" si="432"/>
        <v>100000</v>
      </c>
      <c r="AO332" s="114">
        <f t="shared" ca="1" si="427"/>
        <v>0</v>
      </c>
      <c r="AP332" s="114">
        <f t="shared" ca="1" si="428"/>
        <v>24</v>
      </c>
      <c r="AR332" s="238">
        <f t="shared" si="430"/>
        <v>332</v>
      </c>
      <c r="AU332" s="238">
        <f t="shared" si="431"/>
        <v>313</v>
      </c>
      <c r="AV332" s="238"/>
      <c r="AW332" s="238"/>
      <c r="CM332" s="112"/>
      <c r="CN332" s="112"/>
      <c r="CQ332" s="112"/>
      <c r="CR332" s="112"/>
      <c r="CS332" s="112"/>
      <c r="CT332" s="112"/>
      <c r="CU332" s="112"/>
      <c r="CV332" s="112"/>
      <c r="CW332" s="112"/>
      <c r="CX332" s="112" t="s">
        <v>224</v>
      </c>
      <c r="CY332" s="112" t="s">
        <v>225</v>
      </c>
      <c r="CZ332" s="112" t="s">
        <v>226</v>
      </c>
      <c r="DA332" s="112" t="s">
        <v>227</v>
      </c>
      <c r="DB332" s="112" t="s">
        <v>228</v>
      </c>
      <c r="DC332" s="112"/>
      <c r="DD332" s="112"/>
      <c r="DE332" s="238"/>
      <c r="DF332" s="112"/>
      <c r="DG332" s="112"/>
      <c r="DH332" s="112"/>
      <c r="DI332" s="112"/>
      <c r="DJ332" s="112"/>
      <c r="DK332" s="112">
        <f t="shared" si="429"/>
        <v>100000</v>
      </c>
      <c r="DL332" s="112"/>
      <c r="DM332" s="112"/>
      <c r="DN332" s="112"/>
      <c r="DO332" s="112"/>
      <c r="DP332" s="112"/>
      <c r="DQ332" s="112"/>
      <c r="DR332" t="e">
        <f t="shared" si="433"/>
        <v>#N/A</v>
      </c>
    </row>
    <row r="333" spans="33:122" x14ac:dyDescent="0.25">
      <c r="AG333" s="238">
        <f>AG332</f>
        <v>82</v>
      </c>
      <c r="AH333" s="112" t="e">
        <f ca="1">AI332+1</f>
        <v>#N/A</v>
      </c>
      <c r="AI333" s="112" t="e">
        <f ca="1">IF(INDIRECT(CONCATENATE("AE",AG330))&lt;100000,INDIRECT(CONCATENATE("AE",G330)),INDIRECT(CONCATENATE("AF",AG330)))</f>
        <v>#N/A</v>
      </c>
      <c r="AJ333" s="112" t="e">
        <f t="shared" ca="1" si="435"/>
        <v>#N/A</v>
      </c>
      <c r="AK333" s="112">
        <f t="shared" ca="1" si="437"/>
        <v>100000</v>
      </c>
      <c r="AL333" s="238" t="e">
        <f t="shared" ca="1" si="436"/>
        <v>#N/A</v>
      </c>
      <c r="AM333" s="112">
        <f t="shared" ca="1" si="434"/>
        <v>100000</v>
      </c>
      <c r="AN333" s="112">
        <f t="shared" ca="1" si="432"/>
        <v>100000</v>
      </c>
      <c r="AO333" s="114">
        <f t="shared" ca="1" si="427"/>
        <v>0</v>
      </c>
      <c r="AP333" s="114">
        <f t="shared" ca="1" si="428"/>
        <v>24</v>
      </c>
      <c r="AR333" s="238">
        <f t="shared" si="430"/>
        <v>333</v>
      </c>
      <c r="AU333" s="238">
        <f t="shared" si="431"/>
        <v>314</v>
      </c>
      <c r="AV333" s="238"/>
      <c r="AW333" s="238"/>
      <c r="CM333" s="112"/>
      <c r="CN333" s="112"/>
      <c r="CQ333" s="112"/>
      <c r="CR333" s="112"/>
      <c r="CS333" s="112"/>
      <c r="CT333" s="112"/>
      <c r="CU333" s="112"/>
      <c r="CV333" s="112"/>
      <c r="CW333" s="112"/>
      <c r="CX333" s="112" t="s">
        <v>224</v>
      </c>
      <c r="CY333" s="112" t="s">
        <v>225</v>
      </c>
      <c r="CZ333" s="112" t="s">
        <v>226</v>
      </c>
      <c r="DA333" s="112" t="s">
        <v>227</v>
      </c>
      <c r="DB333" s="112" t="s">
        <v>228</v>
      </c>
      <c r="DC333" s="112"/>
      <c r="DD333" s="112"/>
      <c r="DE333" s="238"/>
      <c r="DF333" s="112"/>
      <c r="DG333" s="112"/>
      <c r="DH333" s="112"/>
      <c r="DI333" s="112"/>
      <c r="DJ333" s="112"/>
      <c r="DK333" s="112">
        <f t="shared" si="429"/>
        <v>100000</v>
      </c>
      <c r="DL333" s="112"/>
      <c r="DM333" s="112"/>
      <c r="DN333" s="112"/>
      <c r="DO333" s="112"/>
      <c r="DP333" s="112"/>
      <c r="DQ333" s="112"/>
      <c r="DR333" t="e">
        <f t="shared" si="433"/>
        <v>#N/A</v>
      </c>
    </row>
    <row r="334" spans="33:122" x14ac:dyDescent="0.25">
      <c r="AG334" s="238">
        <f>AG333</f>
        <v>82</v>
      </c>
      <c r="AH334" s="112" t="e">
        <f ca="1">AI333+1</f>
        <v>#N/A</v>
      </c>
      <c r="AI334" s="112" t="str">
        <f ca="1">INDIRECT(CONCATENATE("AF",AG330))</f>
        <v/>
      </c>
      <c r="AJ334" s="112" t="str">
        <f t="shared" ca="1" si="435"/>
        <v/>
      </c>
      <c r="AK334" s="112">
        <f t="shared" ca="1" si="437"/>
        <v>100000</v>
      </c>
      <c r="AL334" s="238" t="e">
        <f t="shared" ca="1" si="436"/>
        <v>#N/A</v>
      </c>
      <c r="AM334" s="112">
        <f t="shared" ca="1" si="434"/>
        <v>100000</v>
      </c>
      <c r="AN334" s="112">
        <f t="shared" ca="1" si="432"/>
        <v>100000</v>
      </c>
      <c r="AO334" s="114">
        <f t="shared" ca="1" si="427"/>
        <v>0</v>
      </c>
      <c r="AP334" s="114">
        <f t="shared" ca="1" si="428"/>
        <v>24</v>
      </c>
      <c r="AR334" s="238">
        <f t="shared" si="430"/>
        <v>334</v>
      </c>
      <c r="AU334" s="238">
        <f t="shared" si="431"/>
        <v>315</v>
      </c>
      <c r="AV334" s="238"/>
      <c r="AW334" s="238"/>
      <c r="CM334" s="112"/>
      <c r="CN334" s="112"/>
      <c r="CQ334" s="112"/>
      <c r="CR334" s="112"/>
      <c r="CS334" s="112"/>
      <c r="CT334" s="112"/>
      <c r="CU334" s="112"/>
      <c r="CV334" s="112"/>
      <c r="CW334" s="112"/>
      <c r="CX334" s="112" t="s">
        <v>224</v>
      </c>
      <c r="CY334" s="112" t="s">
        <v>225</v>
      </c>
      <c r="CZ334" s="112" t="s">
        <v>226</v>
      </c>
      <c r="DA334" s="112" t="s">
        <v>227</v>
      </c>
      <c r="DB334" s="112" t="s">
        <v>228</v>
      </c>
      <c r="DC334" s="112"/>
      <c r="DD334" s="112"/>
      <c r="DE334" s="238"/>
      <c r="DF334" s="112"/>
      <c r="DG334" s="112"/>
      <c r="DH334" s="112"/>
      <c r="DI334" s="112"/>
      <c r="DJ334" s="112"/>
      <c r="DK334" s="112">
        <f t="shared" si="429"/>
        <v>100000</v>
      </c>
      <c r="DL334" s="112"/>
      <c r="DM334" s="112"/>
      <c r="DN334" s="112"/>
      <c r="DO334" s="112"/>
      <c r="DP334" s="112"/>
      <c r="DQ334" s="112"/>
      <c r="DR334" t="e">
        <f t="shared" si="433"/>
        <v>#N/A</v>
      </c>
    </row>
    <row r="335" spans="33:122" x14ac:dyDescent="0.25">
      <c r="AG335" s="238">
        <f>AG334+1</f>
        <v>83</v>
      </c>
      <c r="AH335" s="112" t="str">
        <f ca="1">INDIRECT(CONCATENATE("AA",AG335))</f>
        <v/>
      </c>
      <c r="AI335" s="112" t="e">
        <f ca="1">IF(            INDIRECT(CONCATENATE( "AB",AG335))&lt;100000,       INDIRECT(CONCATENATE("AB",AG335))  -1,IF(   INDIRECT(CONCATENATE("AC",AG335))&lt;100000,   INDIRECT(CONCATENATE("AC",AG335))-1,IF(   INDIRECT(CONCATENATE("AD", AG335))&lt;100000, INDIRECT(CONCATENATE("AD",AG335))-1,IF(   INDIRECT(CONCATENATE("AE",AG335))&lt;100000,  INDIRECT(CONCATENATE("AE",G335)),INDIRECT(CONCATENATE("AF",AG335))                ))))</f>
        <v>#N/A</v>
      </c>
      <c r="AJ335" s="112" t="str">
        <f t="shared" ca="1" si="435"/>
        <v/>
      </c>
      <c r="AK335" s="112" t="str">
        <f t="shared" ca="1" si="437"/>
        <v/>
      </c>
      <c r="AL335" s="238">
        <f t="shared" ca="1" si="436"/>
        <v>0</v>
      </c>
      <c r="AM335" s="112">
        <f t="shared" ca="1" si="434"/>
        <v>100000</v>
      </c>
      <c r="AN335" s="112">
        <f t="shared" ca="1" si="432"/>
        <v>100000</v>
      </c>
      <c r="AO335" s="114">
        <f t="shared" ca="1" si="427"/>
        <v>0</v>
      </c>
      <c r="AP335" s="114">
        <f t="shared" ca="1" si="428"/>
        <v>24</v>
      </c>
      <c r="AR335" s="238">
        <f t="shared" si="430"/>
        <v>335</v>
      </c>
      <c r="AU335" s="238">
        <f t="shared" si="431"/>
        <v>316</v>
      </c>
      <c r="AV335" s="238"/>
      <c r="AW335" s="238"/>
      <c r="CM335" s="112"/>
      <c r="CN335" s="112"/>
      <c r="CQ335" s="112"/>
      <c r="CR335" s="112"/>
      <c r="CS335" s="112"/>
      <c r="CT335" s="112"/>
      <c r="CU335" s="112"/>
      <c r="CV335" s="112"/>
      <c r="CW335" s="112"/>
      <c r="CX335" s="112" t="s">
        <v>224</v>
      </c>
      <c r="CY335" s="112" t="s">
        <v>225</v>
      </c>
      <c r="CZ335" s="112" t="s">
        <v>226</v>
      </c>
      <c r="DA335" s="112" t="s">
        <v>227</v>
      </c>
      <c r="DB335" s="112" t="s">
        <v>228</v>
      </c>
      <c r="DC335" s="112"/>
      <c r="DD335" s="112"/>
      <c r="DE335" s="238"/>
      <c r="DF335" s="112"/>
      <c r="DG335" s="112"/>
      <c r="DH335" s="112"/>
      <c r="DI335" s="112"/>
      <c r="DJ335" s="112"/>
      <c r="DK335" s="112">
        <f t="shared" si="429"/>
        <v>100000</v>
      </c>
      <c r="DL335" s="112"/>
      <c r="DM335" s="112"/>
      <c r="DN335" s="112"/>
      <c r="DO335" s="112"/>
      <c r="DP335" s="112"/>
      <c r="DQ335" s="112"/>
      <c r="DR335" t="e">
        <f t="shared" si="433"/>
        <v>#N/A</v>
      </c>
    </row>
    <row r="336" spans="33:122" x14ac:dyDescent="0.25">
      <c r="AG336" s="238">
        <f>AG335</f>
        <v>83</v>
      </c>
      <c r="AH336" s="112" t="e">
        <f ca="1">AI335+1</f>
        <v>#N/A</v>
      </c>
      <c r="AI336" s="112" t="e">
        <f ca="1">IF(INDIRECT(CONCATENATE("AC",AG335))&lt;100000,INDIRECT(CONCATENATE("AC",AG335))-1,IF(INDIRECT(CONCATENATE("AD",AG335))&lt;100000,INDIRECT(CONCATENATE("AD",AG335))-1,IF(INDIRECT(CONCATENATE("AE",AG335))&lt;100000,INDIRECT(CONCATENATE("AE",G335)),INDIRECT(CONCATENATE("AF",AG335)))))</f>
        <v>#N/A</v>
      </c>
      <c r="AJ336" s="112" t="e">
        <f t="shared" ca="1" si="435"/>
        <v>#N/A</v>
      </c>
      <c r="AK336" s="112">
        <f t="shared" ca="1" si="437"/>
        <v>100000</v>
      </c>
      <c r="AL336" s="238" t="e">
        <f t="shared" ca="1" si="436"/>
        <v>#N/A</v>
      </c>
      <c r="AM336" s="112">
        <f t="shared" ca="1" si="434"/>
        <v>100000</v>
      </c>
      <c r="AN336" s="112">
        <f t="shared" ca="1" si="432"/>
        <v>100000</v>
      </c>
      <c r="AO336" s="114">
        <f t="shared" ca="1" si="427"/>
        <v>0</v>
      </c>
      <c r="AP336" s="114">
        <f t="shared" ca="1" si="428"/>
        <v>24</v>
      </c>
      <c r="AR336" s="238">
        <f t="shared" si="430"/>
        <v>336</v>
      </c>
      <c r="AU336" s="238">
        <f t="shared" si="431"/>
        <v>317</v>
      </c>
      <c r="AV336" s="238"/>
      <c r="AW336" s="238"/>
      <c r="CM336" s="112"/>
      <c r="CN336" s="112"/>
      <c r="CQ336" s="112"/>
      <c r="CR336" s="112"/>
      <c r="CS336" s="112"/>
      <c r="CT336" s="112"/>
      <c r="CU336" s="112"/>
      <c r="CV336" s="112"/>
      <c r="CW336" s="112"/>
      <c r="CX336" s="112" t="s">
        <v>224</v>
      </c>
      <c r="CY336" s="112" t="s">
        <v>225</v>
      </c>
      <c r="CZ336" s="112" t="s">
        <v>226</v>
      </c>
      <c r="DA336" s="112" t="s">
        <v>227</v>
      </c>
      <c r="DB336" s="112" t="s">
        <v>228</v>
      </c>
      <c r="DC336" s="112"/>
      <c r="DD336" s="112"/>
      <c r="DE336" s="238"/>
      <c r="DF336" s="112"/>
      <c r="DG336" s="112"/>
      <c r="DH336" s="112"/>
      <c r="DI336" s="112"/>
      <c r="DJ336" s="112"/>
      <c r="DK336" s="112">
        <f t="shared" si="429"/>
        <v>100000</v>
      </c>
      <c r="DL336" s="112"/>
      <c r="DM336" s="112"/>
      <c r="DN336" s="112"/>
      <c r="DO336" s="112"/>
      <c r="DP336" s="112"/>
      <c r="DQ336" s="112"/>
      <c r="DR336" t="e">
        <f t="shared" si="433"/>
        <v>#N/A</v>
      </c>
    </row>
    <row r="337" spans="33:122" x14ac:dyDescent="0.25">
      <c r="AG337" s="238">
        <f>AG336</f>
        <v>83</v>
      </c>
      <c r="AH337" s="112" t="e">
        <f ca="1">AI336+1</f>
        <v>#N/A</v>
      </c>
      <c r="AI337" s="112" t="e">
        <f ca="1">IF(INDIRECT(CONCATENATE("AD",AG335))&lt;100000,INDIRECT(CONCATENATE("AD",AG335))-1,IF(INDIRECT(CONCATENATE("AE",AG335))&lt;100000,INDIRECT(CONCATENATE("AE",G335)),INDIRECT(CONCATENATE("AF",AG335))))</f>
        <v>#N/A</v>
      </c>
      <c r="AJ337" s="112" t="e">
        <f t="shared" ca="1" si="435"/>
        <v>#N/A</v>
      </c>
      <c r="AK337" s="112">
        <f t="shared" ca="1" si="437"/>
        <v>100000</v>
      </c>
      <c r="AL337" s="238" t="e">
        <f t="shared" ca="1" si="436"/>
        <v>#N/A</v>
      </c>
      <c r="AM337" s="112">
        <f t="shared" ca="1" si="434"/>
        <v>100000</v>
      </c>
      <c r="AN337" s="112">
        <f t="shared" ca="1" si="432"/>
        <v>100000</v>
      </c>
      <c r="AO337" s="114">
        <f t="shared" ca="1" si="427"/>
        <v>0</v>
      </c>
      <c r="AP337" s="114">
        <f t="shared" ca="1" si="428"/>
        <v>24</v>
      </c>
      <c r="AR337" s="238">
        <f t="shared" si="430"/>
        <v>337</v>
      </c>
      <c r="AU337" s="238">
        <f t="shared" si="431"/>
        <v>318</v>
      </c>
      <c r="AV337" s="238"/>
      <c r="AW337" s="238"/>
      <c r="CM337" s="112"/>
      <c r="CN337" s="112"/>
      <c r="CQ337" s="112"/>
      <c r="CR337" s="112"/>
      <c r="CS337" s="112"/>
      <c r="CT337" s="112"/>
      <c r="CU337" s="112"/>
      <c r="CV337" s="112"/>
      <c r="CW337" s="112"/>
      <c r="CX337" s="112" t="s">
        <v>224</v>
      </c>
      <c r="CY337" s="112" t="s">
        <v>225</v>
      </c>
      <c r="CZ337" s="112" t="s">
        <v>226</v>
      </c>
      <c r="DA337" s="112" t="s">
        <v>227</v>
      </c>
      <c r="DB337" s="112" t="s">
        <v>228</v>
      </c>
      <c r="DC337" s="112"/>
      <c r="DD337" s="112"/>
      <c r="DE337" s="238"/>
      <c r="DF337" s="112"/>
      <c r="DG337" s="112"/>
      <c r="DH337" s="112"/>
      <c r="DI337" s="112"/>
      <c r="DJ337" s="112"/>
      <c r="DK337" s="112">
        <f t="shared" si="429"/>
        <v>100000</v>
      </c>
      <c r="DL337" s="112"/>
      <c r="DM337" s="112"/>
      <c r="DN337" s="112"/>
      <c r="DO337" s="112"/>
      <c r="DP337" s="112"/>
      <c r="DQ337" s="112"/>
      <c r="DR337" t="e">
        <f t="shared" si="433"/>
        <v>#N/A</v>
      </c>
    </row>
    <row r="338" spans="33:122" x14ac:dyDescent="0.25">
      <c r="AG338" s="238">
        <f>AG337</f>
        <v>83</v>
      </c>
      <c r="AH338" s="112" t="e">
        <f ca="1">AI337+1</f>
        <v>#N/A</v>
      </c>
      <c r="AI338" s="112" t="e">
        <f ca="1">IF(INDIRECT(CONCATENATE("AE",AG335))&lt;100000,INDIRECT(CONCATENATE("AE",G335)),INDIRECT(CONCATENATE("AF",AG335)))</f>
        <v>#N/A</v>
      </c>
      <c r="AJ338" s="112" t="e">
        <f t="shared" ca="1" si="435"/>
        <v>#N/A</v>
      </c>
      <c r="AK338" s="112">
        <f t="shared" ca="1" si="437"/>
        <v>100000</v>
      </c>
      <c r="AL338" s="238" t="e">
        <f t="shared" ca="1" si="436"/>
        <v>#N/A</v>
      </c>
      <c r="AM338" s="112">
        <f t="shared" ca="1" si="434"/>
        <v>100000</v>
      </c>
      <c r="AN338" s="112">
        <f t="shared" ca="1" si="432"/>
        <v>100000</v>
      </c>
      <c r="AO338" s="114">
        <f t="shared" ca="1" si="427"/>
        <v>0</v>
      </c>
      <c r="AP338" s="114">
        <f t="shared" ca="1" si="428"/>
        <v>24</v>
      </c>
      <c r="AR338" s="238">
        <f t="shared" si="430"/>
        <v>338</v>
      </c>
      <c r="AU338" s="238">
        <f t="shared" si="431"/>
        <v>319</v>
      </c>
      <c r="AV338" s="238"/>
      <c r="AW338" s="238"/>
      <c r="CM338" s="112"/>
      <c r="CN338" s="112"/>
      <c r="CQ338" s="112"/>
      <c r="CR338" s="112"/>
      <c r="CS338" s="112"/>
      <c r="CT338" s="112"/>
      <c r="CU338" s="112"/>
      <c r="CV338" s="112"/>
      <c r="CW338" s="112"/>
      <c r="CX338" s="112" t="s">
        <v>224</v>
      </c>
      <c r="CY338" s="112" t="s">
        <v>225</v>
      </c>
      <c r="CZ338" s="112" t="s">
        <v>226</v>
      </c>
      <c r="DA338" s="112" t="s">
        <v>227</v>
      </c>
      <c r="DB338" s="112" t="s">
        <v>228</v>
      </c>
      <c r="DC338" s="112"/>
      <c r="DD338" s="112"/>
      <c r="DE338" s="238"/>
      <c r="DF338" s="112"/>
      <c r="DG338" s="112"/>
      <c r="DH338" s="112"/>
      <c r="DI338" s="112"/>
      <c r="DJ338" s="112"/>
      <c r="DK338" s="112">
        <f t="shared" si="429"/>
        <v>100000</v>
      </c>
      <c r="DL338" s="112"/>
      <c r="DM338" s="112"/>
      <c r="DN338" s="112"/>
      <c r="DO338" s="112"/>
      <c r="DP338" s="112"/>
      <c r="DQ338" s="112"/>
      <c r="DR338" t="e">
        <f t="shared" si="433"/>
        <v>#N/A</v>
      </c>
    </row>
    <row r="339" spans="33:122" x14ac:dyDescent="0.25">
      <c r="AG339" s="238">
        <f>AG338</f>
        <v>83</v>
      </c>
      <c r="AH339" s="112" t="e">
        <f ca="1">AI338+1</f>
        <v>#N/A</v>
      </c>
      <c r="AI339" s="112" t="str">
        <f ca="1">INDIRECT(CONCATENATE("AF",AG335))</f>
        <v/>
      </c>
      <c r="AJ339" s="112" t="str">
        <f t="shared" ca="1" si="435"/>
        <v/>
      </c>
      <c r="AK339" s="112">
        <f t="shared" ca="1" si="437"/>
        <v>100000</v>
      </c>
      <c r="AL339" s="238" t="e">
        <f t="shared" ca="1" si="436"/>
        <v>#N/A</v>
      </c>
      <c r="AM339" s="112">
        <f t="shared" ca="1" si="434"/>
        <v>100000</v>
      </c>
      <c r="AN339" s="112">
        <f t="shared" ca="1" si="432"/>
        <v>100000</v>
      </c>
      <c r="AO339" s="114">
        <f t="shared" ca="1" si="427"/>
        <v>0</v>
      </c>
      <c r="AP339" s="114">
        <f t="shared" ca="1" si="428"/>
        <v>24</v>
      </c>
      <c r="AR339" s="238">
        <f t="shared" si="430"/>
        <v>339</v>
      </c>
      <c r="AU339" s="238">
        <f t="shared" si="431"/>
        <v>320</v>
      </c>
      <c r="AV339" s="238"/>
      <c r="AW339" s="238"/>
      <c r="CM339" s="112"/>
      <c r="CN339" s="112"/>
      <c r="CQ339" s="112"/>
      <c r="CR339" s="112"/>
      <c r="CS339" s="112"/>
      <c r="CT339" s="112"/>
      <c r="CU339" s="112"/>
      <c r="CV339" s="112"/>
      <c r="CW339" s="112"/>
      <c r="CX339" s="112" t="s">
        <v>224</v>
      </c>
      <c r="CY339" s="112" t="s">
        <v>225</v>
      </c>
      <c r="CZ339" s="112" t="s">
        <v>226</v>
      </c>
      <c r="DA339" s="112" t="s">
        <v>227</v>
      </c>
      <c r="DB339" s="112" t="s">
        <v>228</v>
      </c>
      <c r="DC339" s="112"/>
      <c r="DD339" s="112"/>
      <c r="DE339" s="238"/>
      <c r="DF339" s="112"/>
      <c r="DG339" s="112"/>
      <c r="DH339" s="112"/>
      <c r="DI339" s="112"/>
      <c r="DJ339" s="112"/>
      <c r="DK339" s="112">
        <f t="shared" si="429"/>
        <v>100000</v>
      </c>
      <c r="DL339" s="112"/>
      <c r="DM339" s="112"/>
      <c r="DN339" s="112"/>
      <c r="DO339" s="112"/>
      <c r="DP339" s="112"/>
      <c r="DQ339" s="112"/>
      <c r="DR339" t="e">
        <f t="shared" si="433"/>
        <v>#N/A</v>
      </c>
    </row>
    <row r="340" spans="33:122" x14ac:dyDescent="0.25">
      <c r="AG340" s="238">
        <f>AG339+1</f>
        <v>84</v>
      </c>
      <c r="AH340" s="112" t="str">
        <f ca="1">INDIRECT(CONCATENATE("AA",AG340))</f>
        <v/>
      </c>
      <c r="AI340" s="112" t="e">
        <f ca="1">IF(            INDIRECT(CONCATENATE( "AB",AG340))&lt;100000,       INDIRECT(CONCATENATE("AB",AG340))  -1,IF(   INDIRECT(CONCATENATE("AC",AG340))&lt;100000,   INDIRECT(CONCATENATE("AC",AG340))-1,IF(   INDIRECT(CONCATENATE("AD", AG340))&lt;100000, INDIRECT(CONCATENATE("AD",AG340))-1,IF(   INDIRECT(CONCATENATE("AE",AG340))&lt;100000,  INDIRECT(CONCATENATE("AE",G340)),INDIRECT(CONCATENATE("AF",AG340))                ))))</f>
        <v>#N/A</v>
      </c>
      <c r="AJ340" s="112" t="str">
        <f t="shared" ca="1" si="435"/>
        <v/>
      </c>
      <c r="AK340" s="112" t="str">
        <f t="shared" ca="1" si="437"/>
        <v/>
      </c>
      <c r="AL340" s="238">
        <f t="shared" ca="1" si="436"/>
        <v>0</v>
      </c>
      <c r="AM340" s="112">
        <f t="shared" ca="1" si="434"/>
        <v>100000</v>
      </c>
      <c r="AN340" s="112">
        <f t="shared" ca="1" si="432"/>
        <v>100000</v>
      </c>
      <c r="AO340" s="114">
        <f t="shared" ca="1" si="427"/>
        <v>0</v>
      </c>
      <c r="AP340" s="114">
        <f t="shared" ca="1" si="428"/>
        <v>24</v>
      </c>
      <c r="AR340" s="238">
        <f t="shared" si="430"/>
        <v>340</v>
      </c>
      <c r="AU340" s="238">
        <f t="shared" si="431"/>
        <v>321</v>
      </c>
      <c r="AV340" s="238"/>
      <c r="AW340" s="238"/>
      <c r="CM340" s="112"/>
      <c r="CN340" s="112"/>
      <c r="CQ340" s="112"/>
      <c r="CR340" s="112"/>
      <c r="CS340" s="112"/>
      <c r="CT340" s="112"/>
      <c r="CU340" s="112"/>
      <c r="CV340" s="112"/>
      <c r="CW340" s="112"/>
      <c r="CX340" s="112" t="s">
        <v>224</v>
      </c>
      <c r="CY340" s="112" t="s">
        <v>225</v>
      </c>
      <c r="CZ340" s="112" t="s">
        <v>226</v>
      </c>
      <c r="DA340" s="112" t="s">
        <v>227</v>
      </c>
      <c r="DB340" s="112" t="s">
        <v>228</v>
      </c>
      <c r="DC340" s="112"/>
      <c r="DD340" s="112"/>
      <c r="DE340" s="238"/>
      <c r="DF340" s="112"/>
      <c r="DG340" s="112"/>
      <c r="DH340" s="112"/>
      <c r="DI340" s="112"/>
      <c r="DJ340" s="112"/>
      <c r="DK340" s="112">
        <f t="shared" si="429"/>
        <v>100000</v>
      </c>
      <c r="DL340" s="112"/>
      <c r="DM340" s="112"/>
      <c r="DN340" s="112"/>
      <c r="DO340" s="112"/>
      <c r="DP340" s="112"/>
      <c r="DQ340" s="112"/>
      <c r="DR340" t="e">
        <f t="shared" si="433"/>
        <v>#N/A</v>
      </c>
    </row>
    <row r="341" spans="33:122" x14ac:dyDescent="0.25">
      <c r="AG341" s="238">
        <f>AG340</f>
        <v>84</v>
      </c>
      <c r="AH341" s="112" t="e">
        <f ca="1">AI340+1</f>
        <v>#N/A</v>
      </c>
      <c r="AI341" s="112" t="e">
        <f ca="1">IF(INDIRECT(CONCATENATE("AC",AG340))&lt;100000,INDIRECT(CONCATENATE("AC",AG340))-1,IF(INDIRECT(CONCATENATE("AD",AG340))&lt;100000,INDIRECT(CONCATENATE("AD",AG340))-1,IF(INDIRECT(CONCATENATE("AE",AG340))&lt;100000,INDIRECT(CONCATENATE("AE",G340)),INDIRECT(CONCATENATE("AF",AG340)))))</f>
        <v>#N/A</v>
      </c>
      <c r="AJ341" s="112" t="e">
        <f t="shared" ca="1" si="435"/>
        <v>#N/A</v>
      </c>
      <c r="AK341" s="112">
        <f t="shared" ca="1" si="437"/>
        <v>100000</v>
      </c>
      <c r="AL341" s="238" t="e">
        <f t="shared" ca="1" si="436"/>
        <v>#N/A</v>
      </c>
      <c r="AM341" s="112">
        <f t="shared" ca="1" si="434"/>
        <v>100000</v>
      </c>
      <c r="AN341" s="112">
        <f t="shared" ca="1" si="432"/>
        <v>100000</v>
      </c>
      <c r="AO341" s="114">
        <f t="shared" ref="AO341:AO404" ca="1" si="438">INDIRECT(CONCATENATE("i",AG341))</f>
        <v>0</v>
      </c>
      <c r="AP341" s="114">
        <f t="shared" ref="AP341:AP404" ca="1" si="439">INDIRECT(CONCATENATE("J",AG341))</f>
        <v>24</v>
      </c>
      <c r="AR341" s="238">
        <f t="shared" si="430"/>
        <v>341</v>
      </c>
      <c r="AU341" s="238">
        <f t="shared" si="431"/>
        <v>322</v>
      </c>
      <c r="AV341" s="238"/>
      <c r="AW341" s="238"/>
      <c r="CM341" s="112"/>
      <c r="CN341" s="112"/>
      <c r="CQ341" s="112"/>
      <c r="CR341" s="112"/>
      <c r="CS341" s="112"/>
      <c r="CT341" s="112"/>
      <c r="CU341" s="112"/>
      <c r="CV341" s="112"/>
      <c r="CW341" s="112"/>
      <c r="CX341" s="112" t="s">
        <v>224</v>
      </c>
      <c r="CY341" s="112" t="s">
        <v>225</v>
      </c>
      <c r="CZ341" s="112" t="s">
        <v>226</v>
      </c>
      <c r="DA341" s="112" t="s">
        <v>227</v>
      </c>
      <c r="DB341" s="112" t="s">
        <v>228</v>
      </c>
      <c r="DC341" s="112"/>
      <c r="DD341" s="112"/>
      <c r="DE341" s="238"/>
      <c r="DF341" s="112"/>
      <c r="DG341" s="112"/>
      <c r="DH341" s="112"/>
      <c r="DI341" s="112"/>
      <c r="DJ341" s="112"/>
      <c r="DK341" s="112">
        <f>IF(AND(DG341&gt;1000,DG341&lt;80000),DG341,100000)</f>
        <v>100000</v>
      </c>
      <c r="DL341" s="112"/>
      <c r="DM341" s="112"/>
      <c r="DN341" s="112"/>
      <c r="DO341" s="112"/>
      <c r="DP341" s="112"/>
      <c r="DQ341" s="112"/>
      <c r="DR341" t="e">
        <f t="shared" si="433"/>
        <v>#N/A</v>
      </c>
    </row>
    <row r="342" spans="33:122" x14ac:dyDescent="0.25">
      <c r="AG342" s="238">
        <f>AG341</f>
        <v>84</v>
      </c>
      <c r="AH342" s="112" t="e">
        <f ca="1">AI341+1</f>
        <v>#N/A</v>
      </c>
      <c r="AI342" s="112" t="e">
        <f ca="1">IF(INDIRECT(CONCATENATE("AD",AG340))&lt;100000,INDIRECT(CONCATENATE("AD",AG340))-1,IF(INDIRECT(CONCATENATE("AE",AG340))&lt;100000,INDIRECT(CONCATENATE("AE",G340)),INDIRECT(CONCATENATE("AF",AG340))))</f>
        <v>#N/A</v>
      </c>
      <c r="AJ342" s="112" t="e">
        <f t="shared" ca="1" si="435"/>
        <v>#N/A</v>
      </c>
      <c r="AK342" s="112">
        <f t="shared" ca="1" si="437"/>
        <v>100000</v>
      </c>
      <c r="AL342" s="238" t="e">
        <f t="shared" ca="1" si="436"/>
        <v>#N/A</v>
      </c>
      <c r="AM342" s="112">
        <f t="shared" ca="1" si="434"/>
        <v>100000</v>
      </c>
      <c r="AN342" s="112">
        <f t="shared" ca="1" si="432"/>
        <v>100000</v>
      </c>
      <c r="AO342" s="114">
        <f t="shared" ca="1" si="438"/>
        <v>0</v>
      </c>
      <c r="AP342" s="114">
        <f t="shared" ca="1" si="439"/>
        <v>24</v>
      </c>
      <c r="AR342" s="238">
        <f t="shared" ref="AR342:AR405" si="440">AR341+1</f>
        <v>342</v>
      </c>
      <c r="AU342" s="238">
        <f t="shared" ref="AU342:AU404" si="441">AU341+1</f>
        <v>323</v>
      </c>
      <c r="AV342" s="238"/>
      <c r="AW342" s="238"/>
      <c r="CM342" s="112"/>
      <c r="CN342" s="112"/>
      <c r="CQ342" s="112"/>
      <c r="CR342" s="112"/>
      <c r="CS342" s="112"/>
      <c r="CT342" s="112"/>
      <c r="CU342" s="112"/>
      <c r="CV342" s="112"/>
      <c r="CW342" s="112"/>
      <c r="CX342" s="112" t="s">
        <v>224</v>
      </c>
      <c r="CY342" s="112" t="s">
        <v>225</v>
      </c>
      <c r="CZ342" s="112" t="s">
        <v>226</v>
      </c>
      <c r="DA342" s="112" t="s">
        <v>227</v>
      </c>
      <c r="DB342" s="112" t="s">
        <v>228</v>
      </c>
      <c r="DC342" s="112"/>
      <c r="DD342" s="112"/>
      <c r="DE342" s="238"/>
      <c r="DF342" s="112"/>
      <c r="DG342" s="112"/>
      <c r="DH342" s="112"/>
      <c r="DI342" s="112"/>
      <c r="DJ342" s="112"/>
      <c r="DK342" s="112">
        <f>IF(AND(DG342&gt;1000,DG342&lt;80000),DG342,100000)</f>
        <v>100000</v>
      </c>
      <c r="DL342" s="112"/>
      <c r="DM342" s="112"/>
      <c r="DN342" s="112"/>
      <c r="DO342" s="112"/>
      <c r="DP342" s="112"/>
      <c r="DQ342" s="112"/>
      <c r="DR342" t="e">
        <f>VLOOKUP(CQ342,$F$20:$H$138,3)</f>
        <v>#N/A</v>
      </c>
    </row>
    <row r="343" spans="33:122" x14ac:dyDescent="0.25">
      <c r="AG343" s="238">
        <f>AG342</f>
        <v>84</v>
      </c>
      <c r="AH343" s="112" t="e">
        <f ca="1">AI342+1</f>
        <v>#N/A</v>
      </c>
      <c r="AI343" s="112" t="e">
        <f ca="1">IF(INDIRECT(CONCATENATE("AE",AG340))&lt;100000,INDIRECT(CONCATENATE("AE",G340)),INDIRECT(CONCATENATE("AF",AG340)))</f>
        <v>#N/A</v>
      </c>
      <c r="AJ343" s="112" t="e">
        <f t="shared" ca="1" si="435"/>
        <v>#N/A</v>
      </c>
      <c r="AK343" s="112">
        <f t="shared" ca="1" si="437"/>
        <v>100000</v>
      </c>
      <c r="AL343" s="238" t="e">
        <f t="shared" ca="1" si="436"/>
        <v>#N/A</v>
      </c>
      <c r="AM343" s="112">
        <f t="shared" ca="1" si="434"/>
        <v>100000</v>
      </c>
      <c r="AN343" s="112">
        <f t="shared" ref="AN343:AN406" ca="1" si="442">IF(AM343=100000,100000,AK343)</f>
        <v>100000</v>
      </c>
      <c r="AO343" s="114">
        <f t="shared" ca="1" si="438"/>
        <v>0</v>
      </c>
      <c r="AP343" s="114">
        <f t="shared" ca="1" si="439"/>
        <v>24</v>
      </c>
      <c r="AR343" s="238">
        <f t="shared" si="440"/>
        <v>343</v>
      </c>
      <c r="AU343" s="238">
        <f t="shared" si="441"/>
        <v>324</v>
      </c>
      <c r="AV343" s="238"/>
      <c r="AW343" s="238"/>
      <c r="CM343" s="112"/>
      <c r="CN343" s="112"/>
      <c r="CQ343" s="112"/>
      <c r="CR343" s="112"/>
      <c r="CS343" s="112"/>
      <c r="CT343" s="112"/>
      <c r="CU343" s="112"/>
      <c r="CV343" s="112"/>
      <c r="CW343" s="112"/>
      <c r="CX343" s="112" t="s">
        <v>224</v>
      </c>
      <c r="CY343" s="112" t="s">
        <v>225</v>
      </c>
      <c r="CZ343" s="112" t="s">
        <v>226</v>
      </c>
      <c r="DA343" s="112" t="s">
        <v>227</v>
      </c>
      <c r="DB343" s="112" t="s">
        <v>228</v>
      </c>
      <c r="DC343" s="112"/>
      <c r="DD343" s="112"/>
      <c r="DE343" s="238"/>
      <c r="DF343" s="112"/>
      <c r="DG343" s="112"/>
      <c r="DH343" s="112"/>
      <c r="DI343" s="112"/>
      <c r="DJ343" s="112"/>
      <c r="DK343" s="112">
        <f>IF(AND(DG343&gt;1000,DG343&lt;80000),DG343,100000)</f>
        <v>100000</v>
      </c>
      <c r="DL343" s="112"/>
      <c r="DM343" s="112"/>
      <c r="DN343" s="112"/>
      <c r="DO343" s="112"/>
      <c r="DP343" s="112"/>
      <c r="DQ343" s="112"/>
      <c r="DR343" t="e">
        <f>VLOOKUP(CQ343,$F$20:$H$138,3)</f>
        <v>#N/A</v>
      </c>
    </row>
    <row r="344" spans="33:122" x14ac:dyDescent="0.25">
      <c r="AG344" s="238">
        <f>AG343</f>
        <v>84</v>
      </c>
      <c r="AH344" s="112" t="e">
        <f ca="1">AI343+1</f>
        <v>#N/A</v>
      </c>
      <c r="AI344" s="112" t="str">
        <f ca="1">INDIRECT(CONCATENATE("AF",AG340))</f>
        <v/>
      </c>
      <c r="AJ344" s="112" t="str">
        <f t="shared" ca="1" si="435"/>
        <v/>
      </c>
      <c r="AK344" s="112">
        <f t="shared" ca="1" si="437"/>
        <v>100000</v>
      </c>
      <c r="AL344" s="238" t="e">
        <f t="shared" ca="1" si="436"/>
        <v>#N/A</v>
      </c>
      <c r="AM344" s="112">
        <f t="shared" ca="1" si="434"/>
        <v>100000</v>
      </c>
      <c r="AN344" s="112">
        <f t="shared" ca="1" si="442"/>
        <v>100000</v>
      </c>
      <c r="AO344" s="114">
        <f t="shared" ca="1" si="438"/>
        <v>0</v>
      </c>
      <c r="AP344" s="114">
        <f t="shared" ca="1" si="439"/>
        <v>24</v>
      </c>
      <c r="AR344" s="238">
        <f t="shared" si="440"/>
        <v>344</v>
      </c>
      <c r="AU344" s="238">
        <f t="shared" si="441"/>
        <v>325</v>
      </c>
      <c r="AV344" s="238"/>
      <c r="AW344" s="238"/>
      <c r="CM344" s="112"/>
      <c r="CN344" s="112"/>
      <c r="CQ344" s="112"/>
      <c r="CR344" s="112"/>
      <c r="CS344" s="112"/>
      <c r="CT344" s="112"/>
      <c r="CU344" s="112"/>
      <c r="CV344" s="112"/>
      <c r="CW344" s="112"/>
      <c r="CX344" s="112" t="s">
        <v>224</v>
      </c>
      <c r="CY344" s="112" t="s">
        <v>225</v>
      </c>
      <c r="CZ344" s="112" t="s">
        <v>226</v>
      </c>
      <c r="DA344" s="112" t="s">
        <v>227</v>
      </c>
      <c r="DB344" s="112" t="s">
        <v>228</v>
      </c>
      <c r="DC344" s="112"/>
      <c r="DD344" s="112"/>
      <c r="DE344" s="112"/>
      <c r="DF344" s="112"/>
      <c r="DG344" s="112"/>
      <c r="DH344" s="112"/>
      <c r="DI344" s="112"/>
      <c r="DJ344" s="112"/>
      <c r="DK344" s="112"/>
      <c r="DL344" s="112"/>
      <c r="DM344" s="112"/>
      <c r="DN344" s="112"/>
      <c r="DO344" s="112"/>
      <c r="DP344" s="112"/>
      <c r="DQ344" s="112"/>
      <c r="DR344" t="e">
        <f>VLOOKUP(CQ344,$F$20:$H$138,3)</f>
        <v>#N/A</v>
      </c>
    </row>
    <row r="345" spans="33:122" x14ac:dyDescent="0.25">
      <c r="AG345" s="238">
        <f>AG344+1</f>
        <v>85</v>
      </c>
      <c r="AH345" s="112" t="str">
        <f ca="1">INDIRECT(CONCATENATE("AA",AG345))</f>
        <v/>
      </c>
      <c r="AI345" s="112" t="e">
        <f ca="1">IF(            INDIRECT(CONCATENATE( "AB",AG345))&lt;100000,       INDIRECT(CONCATENATE("AB",AG345))  -1,IF(   INDIRECT(CONCATENATE("AC",AG345))&lt;100000,   INDIRECT(CONCATENATE("AC",AG345))-1,IF(   INDIRECT(CONCATENATE("AD", AG345))&lt;100000, INDIRECT(CONCATENATE("AD",AG345))-1,IF(   INDIRECT(CONCATENATE("AE",AG345))&lt;100000,  INDIRECT(CONCATENATE("AE",G345)),INDIRECT(CONCATENATE("AF",AG345))                ))))</f>
        <v>#N/A</v>
      </c>
      <c r="AJ345" s="112" t="str">
        <f t="shared" ca="1" si="435"/>
        <v/>
      </c>
      <c r="AK345" s="112" t="str">
        <f t="shared" ca="1" si="437"/>
        <v/>
      </c>
      <c r="AL345" s="238">
        <f t="shared" ca="1" si="436"/>
        <v>0</v>
      </c>
      <c r="AM345" s="112">
        <f t="shared" ca="1" si="434"/>
        <v>100000</v>
      </c>
      <c r="AN345" s="112">
        <f t="shared" ca="1" si="442"/>
        <v>100000</v>
      </c>
      <c r="AO345" s="114">
        <f t="shared" ca="1" si="438"/>
        <v>0</v>
      </c>
      <c r="AP345" s="114">
        <f t="shared" ca="1" si="439"/>
        <v>24</v>
      </c>
      <c r="AR345" s="238">
        <f t="shared" si="440"/>
        <v>345</v>
      </c>
      <c r="AU345" s="238">
        <f t="shared" si="441"/>
        <v>326</v>
      </c>
      <c r="AV345" s="238"/>
      <c r="AW345" s="238"/>
      <c r="CM345" s="112"/>
      <c r="CN345" s="112"/>
      <c r="CQ345" s="112"/>
      <c r="CR345" s="112"/>
      <c r="CS345" s="112"/>
      <c r="CT345" s="112"/>
      <c r="CU345" s="112"/>
      <c r="CV345" s="112"/>
      <c r="CW345" s="112"/>
      <c r="CX345" s="112" t="s">
        <v>224</v>
      </c>
      <c r="CY345" s="112" t="s">
        <v>225</v>
      </c>
      <c r="CZ345" s="112" t="s">
        <v>226</v>
      </c>
      <c r="DA345" s="112" t="s">
        <v>227</v>
      </c>
      <c r="DB345" s="112" t="s">
        <v>228</v>
      </c>
      <c r="DC345" s="112"/>
      <c r="DD345" s="112"/>
      <c r="DE345" s="112"/>
      <c r="DF345" s="112"/>
      <c r="DG345" s="112"/>
      <c r="DH345" s="112"/>
      <c r="DI345" s="112"/>
      <c r="DJ345" s="112"/>
      <c r="DK345" s="112"/>
      <c r="DL345" s="112"/>
      <c r="DM345" s="112"/>
      <c r="DN345" s="112"/>
      <c r="DO345" s="112"/>
      <c r="DP345" s="112"/>
      <c r="DQ345" s="112"/>
      <c r="DR345" t="e">
        <f>VLOOKUP(CQ345,$F$20:$H$138,3)</f>
        <v>#N/A</v>
      </c>
    </row>
    <row r="346" spans="33:122" x14ac:dyDescent="0.25">
      <c r="AG346" s="238">
        <f>AG345</f>
        <v>85</v>
      </c>
      <c r="AH346" s="112" t="e">
        <f ca="1">AI345+1</f>
        <v>#N/A</v>
      </c>
      <c r="AI346" s="112" t="e">
        <f ca="1">IF(INDIRECT(CONCATENATE("AC",AG345))&lt;100000,INDIRECT(CONCATENATE("AC",AG345))-1,IF(INDIRECT(CONCATENATE("AD",AG345))&lt;100000,INDIRECT(CONCATENATE("AD",AG345))-1,IF(INDIRECT(CONCATENATE("AE",AG345))&lt;100000,INDIRECT(CONCATENATE("AE",G345)),INDIRECT(CONCATENATE("AF",AG345)))))</f>
        <v>#N/A</v>
      </c>
      <c r="AJ346" s="112" t="e">
        <f t="shared" ca="1" si="435"/>
        <v>#N/A</v>
      </c>
      <c r="AK346" s="112">
        <f t="shared" ca="1" si="437"/>
        <v>100000</v>
      </c>
      <c r="AL346" s="238" t="e">
        <f t="shared" ca="1" si="436"/>
        <v>#N/A</v>
      </c>
      <c r="AM346" s="112">
        <f t="shared" ca="1" si="434"/>
        <v>100000</v>
      </c>
      <c r="AN346" s="112">
        <f t="shared" ca="1" si="442"/>
        <v>100000</v>
      </c>
      <c r="AO346" s="114">
        <f t="shared" ca="1" si="438"/>
        <v>0</v>
      </c>
      <c r="AP346" s="114">
        <f t="shared" ca="1" si="439"/>
        <v>24</v>
      </c>
      <c r="AR346" s="238">
        <f t="shared" si="440"/>
        <v>346</v>
      </c>
      <c r="AU346" s="238">
        <f t="shared" si="441"/>
        <v>327</v>
      </c>
      <c r="AV346" s="238"/>
      <c r="AW346" s="238"/>
      <c r="CM346" s="112"/>
      <c r="CN346" s="112"/>
      <c r="CQ346" s="112"/>
      <c r="CR346" s="112"/>
      <c r="CS346" s="112"/>
      <c r="CT346" s="112"/>
      <c r="CU346" s="112"/>
      <c r="CV346" s="112"/>
      <c r="CW346" s="112"/>
      <c r="CX346" s="112" t="s">
        <v>224</v>
      </c>
      <c r="CY346" s="112" t="s">
        <v>225</v>
      </c>
      <c r="CZ346" s="112" t="s">
        <v>226</v>
      </c>
      <c r="DA346" s="112" t="s">
        <v>227</v>
      </c>
      <c r="DB346" s="112" t="s">
        <v>228</v>
      </c>
      <c r="DC346" s="112"/>
      <c r="DD346" s="112"/>
      <c r="DE346" s="112"/>
      <c r="DF346" s="112"/>
      <c r="DG346" s="112"/>
      <c r="DH346" s="112"/>
      <c r="DI346" s="112"/>
      <c r="DJ346" s="112"/>
      <c r="DK346" s="112"/>
      <c r="DL346" s="112"/>
      <c r="DM346" s="112"/>
      <c r="DN346" s="112"/>
      <c r="DO346" s="112"/>
      <c r="DP346" s="112"/>
      <c r="DQ346" s="112"/>
      <c r="DR346" t="e">
        <f>VLOOKUP(CQ346,$F$20:$H$138,3)</f>
        <v>#N/A</v>
      </c>
    </row>
    <row r="347" spans="33:122" x14ac:dyDescent="0.25">
      <c r="AG347" s="238">
        <f>AG346</f>
        <v>85</v>
      </c>
      <c r="AH347" s="112" t="e">
        <f ca="1">AI346+1</f>
        <v>#N/A</v>
      </c>
      <c r="AI347" s="112" t="e">
        <f ca="1">IF(INDIRECT(CONCATENATE("AD",AG345))&lt;100000,INDIRECT(CONCATENATE("AD",AG345))-1,IF(INDIRECT(CONCATENATE("AE",AG345))&lt;100000,INDIRECT(CONCATENATE("AE",G345)),INDIRECT(CONCATENATE("AF",AG345))))</f>
        <v>#N/A</v>
      </c>
      <c r="AJ347" s="112" t="e">
        <f t="shared" ca="1" si="435"/>
        <v>#N/A</v>
      </c>
      <c r="AK347" s="112">
        <f t="shared" ca="1" si="437"/>
        <v>100000</v>
      </c>
      <c r="AL347" s="238" t="e">
        <f t="shared" ca="1" si="436"/>
        <v>#N/A</v>
      </c>
      <c r="AM347" s="112">
        <f t="shared" ca="1" si="434"/>
        <v>100000</v>
      </c>
      <c r="AN347" s="112">
        <f t="shared" ca="1" si="442"/>
        <v>100000</v>
      </c>
      <c r="AO347" s="114">
        <f t="shared" ca="1" si="438"/>
        <v>0</v>
      </c>
      <c r="AP347" s="114">
        <f t="shared" ca="1" si="439"/>
        <v>24</v>
      </c>
      <c r="AR347" s="238">
        <f t="shared" si="440"/>
        <v>347</v>
      </c>
      <c r="AU347" s="238">
        <f t="shared" si="441"/>
        <v>328</v>
      </c>
      <c r="AV347" s="238"/>
      <c r="AW347" s="238"/>
      <c r="CL347" s="112"/>
      <c r="CM347" s="112"/>
      <c r="CP347" s="112"/>
      <c r="CQ347" s="112"/>
      <c r="CR347" s="112"/>
      <c r="CS347" s="112"/>
      <c r="CT347" s="112"/>
      <c r="CU347" s="112"/>
      <c r="CV347" s="112"/>
      <c r="CW347" s="112" t="s">
        <v>224</v>
      </c>
      <c r="CX347" s="112" t="s">
        <v>225</v>
      </c>
      <c r="CY347" s="112" t="s">
        <v>226</v>
      </c>
      <c r="CZ347" s="112" t="s">
        <v>227</v>
      </c>
      <c r="DA347" s="112" t="s">
        <v>228</v>
      </c>
      <c r="DB347" s="112" t="s">
        <v>229</v>
      </c>
      <c r="DC347" s="112"/>
      <c r="DD347" s="112"/>
      <c r="DE347" s="112"/>
      <c r="DF347" s="112"/>
      <c r="DG347" s="112"/>
      <c r="DH347" s="112"/>
      <c r="DI347" s="112"/>
      <c r="DJ347" s="112"/>
      <c r="DK347" s="112"/>
      <c r="DL347" s="112"/>
      <c r="DM347" s="112"/>
      <c r="DN347" s="112"/>
      <c r="DO347" s="112"/>
      <c r="DP347" s="112"/>
      <c r="DQ347" t="e">
        <f t="shared" ref="DQ347:DQ356" si="443">VLOOKUP(CP347,$F$20:$H$138,3)</f>
        <v>#N/A</v>
      </c>
    </row>
    <row r="348" spans="33:122" x14ac:dyDescent="0.25">
      <c r="AG348" s="238">
        <f>AG347</f>
        <v>85</v>
      </c>
      <c r="AH348" s="112" t="e">
        <f ca="1">AI347+1</f>
        <v>#N/A</v>
      </c>
      <c r="AI348" s="112" t="e">
        <f ca="1">IF(INDIRECT(CONCATENATE("AE",AG345))&lt;100000,INDIRECT(CONCATENATE("AE",G345)),INDIRECT(CONCATENATE("AF",AG345)))</f>
        <v>#N/A</v>
      </c>
      <c r="AJ348" s="112" t="e">
        <f t="shared" ca="1" si="435"/>
        <v>#N/A</v>
      </c>
      <c r="AK348" s="112">
        <f t="shared" ca="1" si="437"/>
        <v>100000</v>
      </c>
      <c r="AL348" s="238" t="e">
        <f t="shared" ca="1" si="436"/>
        <v>#N/A</v>
      </c>
      <c r="AM348" s="112">
        <f t="shared" ca="1" si="434"/>
        <v>100000</v>
      </c>
      <c r="AN348" s="112">
        <f t="shared" ca="1" si="442"/>
        <v>100000</v>
      </c>
      <c r="AO348" s="114">
        <f t="shared" ca="1" si="438"/>
        <v>0</v>
      </c>
      <c r="AP348" s="114">
        <f t="shared" ca="1" si="439"/>
        <v>24</v>
      </c>
      <c r="AR348" s="238">
        <f t="shared" si="440"/>
        <v>348</v>
      </c>
      <c r="AU348" s="238">
        <f t="shared" si="441"/>
        <v>329</v>
      </c>
      <c r="AV348" s="238"/>
      <c r="AW348" s="238"/>
      <c r="CL348" s="112"/>
      <c r="CM348" s="112"/>
      <c r="CP348" s="112"/>
      <c r="CQ348" s="112"/>
      <c r="CR348" s="112"/>
      <c r="CS348" s="112"/>
      <c r="CT348" s="112"/>
      <c r="CU348" s="112"/>
      <c r="CV348" s="112"/>
      <c r="CW348" s="112" t="s">
        <v>224</v>
      </c>
      <c r="CX348" s="112" t="s">
        <v>225</v>
      </c>
      <c r="CY348" s="112" t="s">
        <v>226</v>
      </c>
      <c r="CZ348" s="112" t="s">
        <v>227</v>
      </c>
      <c r="DA348" s="112" t="s">
        <v>228</v>
      </c>
      <c r="DB348" s="112" t="s">
        <v>229</v>
      </c>
      <c r="DC348" s="112"/>
      <c r="DD348" s="112"/>
      <c r="DE348" s="112"/>
      <c r="DF348" s="112"/>
      <c r="DG348" s="112"/>
      <c r="DH348" s="112"/>
      <c r="DI348" s="112"/>
      <c r="DJ348" s="112"/>
      <c r="DK348" s="112"/>
      <c r="DL348" s="112"/>
      <c r="DM348" s="112"/>
      <c r="DN348" s="112"/>
      <c r="DO348" s="112"/>
      <c r="DP348" s="112"/>
      <c r="DQ348" t="e">
        <f t="shared" si="443"/>
        <v>#N/A</v>
      </c>
    </row>
    <row r="349" spans="33:122" x14ac:dyDescent="0.25">
      <c r="AG349" s="238">
        <f>AG348</f>
        <v>85</v>
      </c>
      <c r="AH349" s="112" t="e">
        <f ca="1">AI348+1</f>
        <v>#N/A</v>
      </c>
      <c r="AI349" s="112" t="str">
        <f ca="1">INDIRECT(CONCATENATE("AF",AG345))</f>
        <v/>
      </c>
      <c r="AJ349" s="112" t="str">
        <f t="shared" ca="1" si="435"/>
        <v/>
      </c>
      <c r="AK349" s="112">
        <f t="shared" ca="1" si="437"/>
        <v>100000</v>
      </c>
      <c r="AL349" s="238" t="e">
        <f t="shared" ca="1" si="436"/>
        <v>#N/A</v>
      </c>
      <c r="AM349" s="112">
        <f t="shared" ca="1" si="434"/>
        <v>100000</v>
      </c>
      <c r="AN349" s="112">
        <f t="shared" ca="1" si="442"/>
        <v>100000</v>
      </c>
      <c r="AO349" s="114">
        <f t="shared" ca="1" si="438"/>
        <v>0</v>
      </c>
      <c r="AP349" s="114">
        <f t="shared" ca="1" si="439"/>
        <v>24</v>
      </c>
      <c r="AR349" s="238">
        <f t="shared" si="440"/>
        <v>349</v>
      </c>
      <c r="AU349" s="238">
        <f t="shared" si="441"/>
        <v>330</v>
      </c>
      <c r="AV349" s="238"/>
      <c r="AW349" s="238"/>
      <c r="CL349" s="112"/>
      <c r="CM349" s="112"/>
      <c r="CP349" s="112"/>
      <c r="CQ349" s="112"/>
      <c r="CR349" s="112"/>
      <c r="CS349" s="112"/>
      <c r="CT349" s="112"/>
      <c r="CU349" s="112"/>
      <c r="CV349" s="112"/>
      <c r="CW349" s="112" t="s">
        <v>224</v>
      </c>
      <c r="CX349" s="112" t="s">
        <v>225</v>
      </c>
      <c r="CY349" s="112" t="s">
        <v>226</v>
      </c>
      <c r="CZ349" s="112" t="s">
        <v>227</v>
      </c>
      <c r="DA349" s="112" t="s">
        <v>228</v>
      </c>
      <c r="DB349" s="112" t="s">
        <v>229</v>
      </c>
      <c r="DC349" s="112"/>
      <c r="DD349" s="112"/>
      <c r="DE349" s="112"/>
      <c r="DF349" s="112"/>
      <c r="DG349" s="112"/>
      <c r="DH349" s="112"/>
      <c r="DI349" s="112"/>
      <c r="DJ349" s="112"/>
      <c r="DK349" s="112"/>
      <c r="DL349" s="112"/>
      <c r="DM349" s="112"/>
      <c r="DN349" s="112"/>
      <c r="DO349" s="112"/>
      <c r="DP349" s="112"/>
      <c r="DQ349" t="e">
        <f t="shared" si="443"/>
        <v>#N/A</v>
      </c>
    </row>
    <row r="350" spans="33:122" x14ac:dyDescent="0.25">
      <c r="AG350" s="238">
        <f>AG349+1</f>
        <v>86</v>
      </c>
      <c r="AH350" s="112" t="str">
        <f ca="1">INDIRECT(CONCATENATE("AA",AG350))</f>
        <v/>
      </c>
      <c r="AI350" s="112" t="e">
        <f ca="1">IF(            INDIRECT(CONCATENATE( "AB",AG350))&lt;100000,       INDIRECT(CONCATENATE("AB",AG350))  -1,IF(   INDIRECT(CONCATENATE("AC",AG350))&lt;100000,   INDIRECT(CONCATENATE("AC",AG350))-1,IF(   INDIRECT(CONCATENATE("AD", AG350))&lt;100000, INDIRECT(CONCATENATE("AD",AG350))-1,IF(   INDIRECT(CONCATENATE("AE",AG350))&lt;100000,  INDIRECT(CONCATENATE("AE",G350)),INDIRECT(CONCATENATE("AF",AG350))                ))))</f>
        <v>#N/A</v>
      </c>
      <c r="AJ350" s="112" t="str">
        <f t="shared" ca="1" si="435"/>
        <v/>
      </c>
      <c r="AK350" s="112" t="str">
        <f t="shared" ca="1" si="437"/>
        <v/>
      </c>
      <c r="AL350" s="238">
        <f t="shared" ca="1" si="436"/>
        <v>0</v>
      </c>
      <c r="AM350" s="112">
        <f t="shared" ca="1" si="434"/>
        <v>100000</v>
      </c>
      <c r="AN350" s="112">
        <f t="shared" ca="1" si="442"/>
        <v>100000</v>
      </c>
      <c r="AO350" s="114">
        <f t="shared" ca="1" si="438"/>
        <v>0</v>
      </c>
      <c r="AP350" s="114">
        <f t="shared" ca="1" si="439"/>
        <v>24</v>
      </c>
      <c r="AR350" s="238">
        <f t="shared" si="440"/>
        <v>350</v>
      </c>
      <c r="AU350" s="238">
        <f t="shared" si="441"/>
        <v>331</v>
      </c>
      <c r="AV350" s="238"/>
      <c r="AW350" s="238"/>
      <c r="CL350" s="112"/>
      <c r="CM350" s="112"/>
      <c r="CP350" s="112"/>
      <c r="CQ350" s="112"/>
      <c r="CR350" s="112"/>
      <c r="CS350" s="112"/>
      <c r="CT350" s="112"/>
      <c r="CU350" s="112"/>
      <c r="CV350" s="112"/>
      <c r="CW350" s="112" t="s">
        <v>224</v>
      </c>
      <c r="CX350" s="112" t="s">
        <v>225</v>
      </c>
      <c r="CY350" s="112" t="s">
        <v>226</v>
      </c>
      <c r="CZ350" s="112" t="s">
        <v>227</v>
      </c>
      <c r="DA350" s="112" t="s">
        <v>228</v>
      </c>
      <c r="DB350" s="112" t="s">
        <v>229</v>
      </c>
      <c r="DC350" s="112"/>
      <c r="DD350" s="112"/>
      <c r="DE350" s="112"/>
      <c r="DF350" s="112"/>
      <c r="DG350" s="112"/>
      <c r="DH350" s="112"/>
      <c r="DI350" s="112"/>
      <c r="DJ350" s="112"/>
      <c r="DK350" s="112"/>
      <c r="DL350" s="112"/>
      <c r="DM350" s="112"/>
      <c r="DN350" s="112"/>
      <c r="DO350" s="112"/>
      <c r="DP350" s="112"/>
      <c r="DQ350" t="e">
        <f t="shared" si="443"/>
        <v>#N/A</v>
      </c>
    </row>
    <row r="351" spans="33:122" x14ac:dyDescent="0.25">
      <c r="AG351" s="238">
        <f>AG350</f>
        <v>86</v>
      </c>
      <c r="AH351" s="112" t="e">
        <f ca="1">AI350+1</f>
        <v>#N/A</v>
      </c>
      <c r="AI351" s="112" t="e">
        <f ca="1">IF(INDIRECT(CONCATENATE("AC",AG350))&lt;100000,INDIRECT(CONCATENATE("AC",AG350))-1,IF(INDIRECT(CONCATENATE("AD",AG350))&lt;100000,INDIRECT(CONCATENATE("AD",AG350))-1,IF(INDIRECT(CONCATENATE("AE",AG350))&lt;100000,INDIRECT(CONCATENATE("AE",G350)),INDIRECT(CONCATENATE("AF",AG350)))))</f>
        <v>#N/A</v>
      </c>
      <c r="AJ351" s="112" t="e">
        <f t="shared" ca="1" si="435"/>
        <v>#N/A</v>
      </c>
      <c r="AK351" s="112">
        <f t="shared" ca="1" si="437"/>
        <v>100000</v>
      </c>
      <c r="AL351" s="238" t="e">
        <f t="shared" ca="1" si="436"/>
        <v>#N/A</v>
      </c>
      <c r="AM351" s="112">
        <f t="shared" ca="1" si="434"/>
        <v>100000</v>
      </c>
      <c r="AN351" s="112">
        <f t="shared" ca="1" si="442"/>
        <v>100000</v>
      </c>
      <c r="AO351" s="114">
        <f t="shared" ca="1" si="438"/>
        <v>0</v>
      </c>
      <c r="AP351" s="114">
        <f t="shared" ca="1" si="439"/>
        <v>24</v>
      </c>
      <c r="AR351" s="238">
        <f t="shared" si="440"/>
        <v>351</v>
      </c>
      <c r="AU351" s="238">
        <f t="shared" si="441"/>
        <v>332</v>
      </c>
      <c r="AV351" s="238"/>
      <c r="AW351" s="238"/>
      <c r="CL351" s="112"/>
      <c r="CM351" s="112"/>
      <c r="CP351" s="112"/>
      <c r="CQ351" s="112"/>
      <c r="CR351" s="112"/>
      <c r="CS351" s="112"/>
      <c r="CT351" s="112"/>
      <c r="CU351" s="112"/>
      <c r="CV351" s="112"/>
      <c r="CW351" s="112" t="s">
        <v>224</v>
      </c>
      <c r="CX351" s="112" t="s">
        <v>225</v>
      </c>
      <c r="CY351" s="112" t="s">
        <v>226</v>
      </c>
      <c r="CZ351" s="112" t="s">
        <v>227</v>
      </c>
      <c r="DA351" s="112" t="s">
        <v>228</v>
      </c>
      <c r="DB351" s="112" t="s">
        <v>229</v>
      </c>
      <c r="DC351" s="112"/>
      <c r="DD351" s="112"/>
      <c r="DE351" s="112"/>
      <c r="DF351" s="112"/>
      <c r="DG351" s="112"/>
      <c r="DH351" s="112"/>
      <c r="DI351" s="112"/>
      <c r="DJ351" s="112"/>
      <c r="DK351" s="112"/>
      <c r="DL351" s="112"/>
      <c r="DM351" s="112"/>
      <c r="DN351" s="112"/>
      <c r="DO351" s="112"/>
      <c r="DP351" s="112"/>
      <c r="DQ351" t="e">
        <f t="shared" si="443"/>
        <v>#N/A</v>
      </c>
    </row>
    <row r="352" spans="33:122" x14ac:dyDescent="0.25">
      <c r="AG352" s="238">
        <f>AG351</f>
        <v>86</v>
      </c>
      <c r="AH352" s="112" t="e">
        <f ca="1">AI351+1</f>
        <v>#N/A</v>
      </c>
      <c r="AI352" s="112" t="e">
        <f ca="1">IF(INDIRECT(CONCATENATE("AD",AG350))&lt;100000,INDIRECT(CONCATENATE("AD",AG350))-1,IF(INDIRECT(CONCATENATE("AE",AG350))&lt;100000,INDIRECT(CONCATENATE("AE",G350)),INDIRECT(CONCATENATE("AF",AG350))))</f>
        <v>#N/A</v>
      </c>
      <c r="AJ352" s="112" t="e">
        <f t="shared" ca="1" si="435"/>
        <v>#N/A</v>
      </c>
      <c r="AK352" s="112">
        <f t="shared" ca="1" si="437"/>
        <v>100000</v>
      </c>
      <c r="AL352" s="238" t="e">
        <f t="shared" ca="1" si="436"/>
        <v>#N/A</v>
      </c>
      <c r="AM352" s="112">
        <f t="shared" ca="1" si="434"/>
        <v>100000</v>
      </c>
      <c r="AN352" s="112">
        <f t="shared" ca="1" si="442"/>
        <v>100000</v>
      </c>
      <c r="AO352" s="114">
        <f t="shared" ca="1" si="438"/>
        <v>0</v>
      </c>
      <c r="AP352" s="114">
        <f t="shared" ca="1" si="439"/>
        <v>24</v>
      </c>
      <c r="AR352" s="238">
        <f t="shared" si="440"/>
        <v>352</v>
      </c>
      <c r="AU352" s="238">
        <f t="shared" si="441"/>
        <v>333</v>
      </c>
      <c r="AV352" s="238"/>
      <c r="AW352" s="238"/>
      <c r="CL352" s="112"/>
      <c r="CM352" s="112"/>
      <c r="CP352" s="112"/>
      <c r="CQ352" s="112"/>
      <c r="CR352" s="112"/>
      <c r="CS352" s="112"/>
      <c r="CT352" s="112"/>
      <c r="CU352" s="112"/>
      <c r="CV352" s="112"/>
      <c r="CW352" s="112" t="s">
        <v>224</v>
      </c>
      <c r="CX352" s="112" t="s">
        <v>225</v>
      </c>
      <c r="CY352" s="112" t="s">
        <v>226</v>
      </c>
      <c r="CZ352" s="112" t="s">
        <v>227</v>
      </c>
      <c r="DA352" s="112" t="s">
        <v>228</v>
      </c>
      <c r="DB352" s="112" t="s">
        <v>229</v>
      </c>
      <c r="DC352" s="112"/>
      <c r="DD352" s="112"/>
      <c r="DE352" s="112"/>
      <c r="DF352" s="112"/>
      <c r="DG352" s="112"/>
      <c r="DH352" s="112"/>
      <c r="DI352" s="112"/>
      <c r="DJ352" s="112"/>
      <c r="DK352" s="112"/>
      <c r="DL352" s="112"/>
      <c r="DM352" s="112"/>
      <c r="DN352" s="112"/>
      <c r="DO352" s="112"/>
      <c r="DP352" s="112"/>
      <c r="DQ352" t="e">
        <f t="shared" si="443"/>
        <v>#N/A</v>
      </c>
    </row>
    <row r="353" spans="33:121" x14ac:dyDescent="0.25">
      <c r="AG353" s="238">
        <f>AG352</f>
        <v>86</v>
      </c>
      <c r="AH353" s="112" t="e">
        <f ca="1">AI352+1</f>
        <v>#N/A</v>
      </c>
      <c r="AI353" s="112" t="e">
        <f ca="1">IF(INDIRECT(CONCATENATE("AE",AG350))&lt;100000,INDIRECT(CONCATENATE("AE",G350)),INDIRECT(CONCATENATE("AF",AG350)))</f>
        <v>#N/A</v>
      </c>
      <c r="AJ353" s="112" t="e">
        <f t="shared" ca="1" si="435"/>
        <v>#N/A</v>
      </c>
      <c r="AK353" s="112">
        <f t="shared" ca="1" si="437"/>
        <v>100000</v>
      </c>
      <c r="AL353" s="238" t="e">
        <f t="shared" ca="1" si="436"/>
        <v>#N/A</v>
      </c>
      <c r="AM353" s="112">
        <f t="shared" ca="1" si="434"/>
        <v>100000</v>
      </c>
      <c r="AN353" s="112">
        <f t="shared" ca="1" si="442"/>
        <v>100000</v>
      </c>
      <c r="AO353" s="114">
        <f t="shared" ca="1" si="438"/>
        <v>0</v>
      </c>
      <c r="AP353" s="114">
        <f t="shared" ca="1" si="439"/>
        <v>24</v>
      </c>
      <c r="AR353" s="238">
        <f t="shared" si="440"/>
        <v>353</v>
      </c>
      <c r="AU353" s="238">
        <f t="shared" si="441"/>
        <v>334</v>
      </c>
      <c r="AV353" s="238"/>
      <c r="AW353" s="238"/>
      <c r="CL353" s="112"/>
      <c r="CM353" s="112"/>
      <c r="CP353" s="112"/>
      <c r="CQ353" s="112"/>
      <c r="CR353" s="112"/>
      <c r="CS353" s="112"/>
      <c r="CT353" s="112"/>
      <c r="CU353" s="112"/>
      <c r="CV353" s="112"/>
      <c r="CW353" s="112" t="s">
        <v>224</v>
      </c>
      <c r="CX353" s="112" t="s">
        <v>225</v>
      </c>
      <c r="CY353" s="112" t="s">
        <v>226</v>
      </c>
      <c r="CZ353" s="112" t="s">
        <v>227</v>
      </c>
      <c r="DA353" s="112" t="s">
        <v>228</v>
      </c>
      <c r="DB353" s="112" t="s">
        <v>229</v>
      </c>
      <c r="DC353" s="112"/>
      <c r="DD353" s="112"/>
      <c r="DE353" s="112"/>
      <c r="DF353" s="112"/>
      <c r="DG353" s="112"/>
      <c r="DH353" s="112"/>
      <c r="DI353" s="112"/>
      <c r="DJ353" s="112"/>
      <c r="DK353" s="112"/>
      <c r="DL353" s="112"/>
      <c r="DM353" s="112"/>
      <c r="DN353" s="112"/>
      <c r="DO353" s="112"/>
      <c r="DP353" s="112"/>
      <c r="DQ353" t="e">
        <f t="shared" si="443"/>
        <v>#N/A</v>
      </c>
    </row>
    <row r="354" spans="33:121" x14ac:dyDescent="0.25">
      <c r="AG354" s="238">
        <f>AG353</f>
        <v>86</v>
      </c>
      <c r="AH354" s="112" t="e">
        <f ca="1">AI353+1</f>
        <v>#N/A</v>
      </c>
      <c r="AI354" s="112" t="str">
        <f ca="1">INDIRECT(CONCATENATE("AF",AG350))</f>
        <v/>
      </c>
      <c r="AJ354" s="112" t="str">
        <f t="shared" ca="1" si="435"/>
        <v/>
      </c>
      <c r="AK354" s="112">
        <f t="shared" ca="1" si="437"/>
        <v>100000</v>
      </c>
      <c r="AL354" s="238" t="e">
        <f t="shared" ca="1" si="436"/>
        <v>#N/A</v>
      </c>
      <c r="AM354" s="112">
        <f t="shared" ca="1" si="434"/>
        <v>100000</v>
      </c>
      <c r="AN354" s="112">
        <f t="shared" ca="1" si="442"/>
        <v>100000</v>
      </c>
      <c r="AO354" s="114">
        <f t="shared" ca="1" si="438"/>
        <v>0</v>
      </c>
      <c r="AP354" s="114">
        <f t="shared" ca="1" si="439"/>
        <v>24</v>
      </c>
      <c r="AR354" s="238">
        <f t="shared" si="440"/>
        <v>354</v>
      </c>
      <c r="AU354" s="238">
        <f t="shared" si="441"/>
        <v>335</v>
      </c>
      <c r="AV354" s="238"/>
      <c r="AW354" s="238"/>
      <c r="CL354" s="112"/>
      <c r="CM354" s="112"/>
      <c r="CP354" s="112"/>
      <c r="CQ354" s="112"/>
      <c r="CR354" s="112"/>
      <c r="CS354" s="112"/>
      <c r="CT354" s="112"/>
      <c r="CU354" s="112"/>
      <c r="CV354" s="112"/>
      <c r="CW354" s="112" t="s">
        <v>224</v>
      </c>
      <c r="CX354" s="112" t="s">
        <v>225</v>
      </c>
      <c r="CY354" s="112" t="s">
        <v>226</v>
      </c>
      <c r="CZ354" s="112" t="s">
        <v>227</v>
      </c>
      <c r="DA354" s="112" t="s">
        <v>228</v>
      </c>
      <c r="DB354" s="112" t="s">
        <v>229</v>
      </c>
      <c r="DC354" s="112"/>
      <c r="DD354" s="112"/>
      <c r="DE354" s="112"/>
      <c r="DF354" s="112"/>
      <c r="DG354" s="112"/>
      <c r="DH354" s="112"/>
      <c r="DI354" s="112"/>
      <c r="DJ354" s="112"/>
      <c r="DK354" s="112"/>
      <c r="DL354" s="112"/>
      <c r="DM354" s="112"/>
      <c r="DN354" s="112"/>
      <c r="DO354" s="112"/>
      <c r="DP354" s="112"/>
      <c r="DQ354" t="e">
        <f t="shared" si="443"/>
        <v>#N/A</v>
      </c>
    </row>
    <row r="355" spans="33:121" x14ac:dyDescent="0.25">
      <c r="AG355" s="238">
        <f>AG354+1</f>
        <v>87</v>
      </c>
      <c r="AH355" s="112" t="str">
        <f ca="1">INDIRECT(CONCATENATE("AA",AG355))</f>
        <v/>
      </c>
      <c r="AI355" s="112" t="e">
        <f ca="1">IF(            INDIRECT(CONCATENATE( "AB",AG355))&lt;100000,       INDIRECT(CONCATENATE("AB",AG355))  -1,IF(   INDIRECT(CONCATENATE("AC",AG355))&lt;100000,   INDIRECT(CONCATENATE("AC",AG355))-1,IF(   INDIRECT(CONCATENATE("AD", AG355))&lt;100000, INDIRECT(CONCATENATE("AD",AG355))-1,IF(   INDIRECT(CONCATENATE("AE",AG355))&lt;100000,  INDIRECT(CONCATENATE("AE",G355)),INDIRECT(CONCATENATE("AF",AG355))                ))))</f>
        <v>#N/A</v>
      </c>
      <c r="AJ355" s="112" t="str">
        <f t="shared" ca="1" si="435"/>
        <v/>
      </c>
      <c r="AK355" s="112" t="str">
        <f t="shared" ca="1" si="437"/>
        <v/>
      </c>
      <c r="AL355" s="238">
        <f t="shared" ca="1" si="436"/>
        <v>0</v>
      </c>
      <c r="AM355" s="112">
        <f t="shared" ca="1" si="434"/>
        <v>100000</v>
      </c>
      <c r="AN355" s="112">
        <f t="shared" ca="1" si="442"/>
        <v>100000</v>
      </c>
      <c r="AO355" s="114">
        <f t="shared" ca="1" si="438"/>
        <v>0</v>
      </c>
      <c r="AP355" s="114">
        <f t="shared" ca="1" si="439"/>
        <v>24</v>
      </c>
      <c r="AR355" s="238">
        <f t="shared" si="440"/>
        <v>355</v>
      </c>
      <c r="AU355" s="238">
        <f t="shared" si="441"/>
        <v>336</v>
      </c>
      <c r="AV355" s="238"/>
      <c r="AW355" s="238"/>
      <c r="CL355" s="112"/>
      <c r="CM355" s="112"/>
      <c r="CP355" s="112"/>
      <c r="CQ355" s="112"/>
      <c r="CR355" s="112"/>
      <c r="CS355" s="112"/>
      <c r="CT355" s="112"/>
      <c r="CU355" s="112"/>
      <c r="CV355" s="112"/>
      <c r="CW355" s="112"/>
      <c r="CX355" s="112"/>
      <c r="CY355" s="112"/>
      <c r="CZ355" s="112"/>
      <c r="DA355" s="112"/>
      <c r="DB355" s="112"/>
      <c r="DC355" s="112"/>
      <c r="DD355" s="112"/>
      <c r="DE355" s="112"/>
      <c r="DF355" s="112"/>
      <c r="DG355" s="112"/>
      <c r="DH355" s="112"/>
      <c r="DI355" s="112"/>
      <c r="DJ355" s="112"/>
      <c r="DK355" s="112"/>
      <c r="DL355" s="112"/>
      <c r="DM355" s="112"/>
      <c r="DN355" s="112"/>
      <c r="DO355" s="112"/>
      <c r="DP355" s="112"/>
      <c r="DQ355" t="e">
        <f t="shared" si="443"/>
        <v>#N/A</v>
      </c>
    </row>
    <row r="356" spans="33:121" x14ac:dyDescent="0.25">
      <c r="AG356" s="238">
        <f>AG355</f>
        <v>87</v>
      </c>
      <c r="AH356" s="112" t="e">
        <f ca="1">AI355+1</f>
        <v>#N/A</v>
      </c>
      <c r="AI356" s="112" t="e">
        <f ca="1">IF(INDIRECT(CONCATENATE("AC",AG355))&lt;100000,INDIRECT(CONCATENATE("AC",AG355))-1,IF(INDIRECT(CONCATENATE("AD",AG355))&lt;100000,INDIRECT(CONCATENATE("AD",AG355))-1,IF(INDIRECT(CONCATENATE("AE",AG355))&lt;100000,INDIRECT(CONCATENATE("AE",G355)),INDIRECT(CONCATENATE("AF",AG355)))))</f>
        <v>#N/A</v>
      </c>
      <c r="AJ356" s="112" t="e">
        <f t="shared" ca="1" si="435"/>
        <v>#N/A</v>
      </c>
      <c r="AK356" s="112">
        <f t="shared" ca="1" si="437"/>
        <v>100000</v>
      </c>
      <c r="AL356" s="238" t="e">
        <f t="shared" ca="1" si="436"/>
        <v>#N/A</v>
      </c>
      <c r="AM356" s="112">
        <f t="shared" ca="1" si="434"/>
        <v>100000</v>
      </c>
      <c r="AN356" s="112">
        <f t="shared" ca="1" si="442"/>
        <v>100000</v>
      </c>
      <c r="AO356" s="114">
        <f t="shared" ca="1" si="438"/>
        <v>0</v>
      </c>
      <c r="AP356" s="114">
        <f t="shared" ca="1" si="439"/>
        <v>24</v>
      </c>
      <c r="AR356" s="238">
        <f t="shared" si="440"/>
        <v>356</v>
      </c>
      <c r="AU356" s="238">
        <f t="shared" si="441"/>
        <v>337</v>
      </c>
      <c r="AV356" s="238"/>
      <c r="AW356" s="238"/>
      <c r="CL356" s="112"/>
      <c r="CM356" s="112"/>
      <c r="CP356" s="112"/>
      <c r="CQ356" s="112"/>
      <c r="CR356" s="112"/>
      <c r="CS356" s="112"/>
      <c r="CT356" s="112"/>
      <c r="CU356" s="112"/>
      <c r="CV356" s="112"/>
      <c r="CW356" s="112"/>
      <c r="CX356" s="112"/>
      <c r="CY356" s="112"/>
      <c r="CZ356" s="112"/>
      <c r="DA356" s="112"/>
      <c r="DB356" s="112"/>
      <c r="DC356" s="112"/>
      <c r="DD356" s="112"/>
      <c r="DE356" s="112"/>
      <c r="DF356" s="112"/>
      <c r="DG356" s="112"/>
      <c r="DH356" s="112"/>
      <c r="DI356" s="112"/>
      <c r="DJ356" s="112"/>
      <c r="DK356" s="112"/>
      <c r="DL356" s="112"/>
      <c r="DM356" s="112"/>
      <c r="DN356" s="112"/>
      <c r="DO356" s="112"/>
      <c r="DP356" s="112"/>
      <c r="DQ356" t="e">
        <f t="shared" si="443"/>
        <v>#N/A</v>
      </c>
    </row>
    <row r="357" spans="33:121" x14ac:dyDescent="0.25">
      <c r="AG357" s="238">
        <f>AG356</f>
        <v>87</v>
      </c>
      <c r="AH357" s="112" t="e">
        <f ca="1">AI356+1</f>
        <v>#N/A</v>
      </c>
      <c r="AI357" s="112" t="e">
        <f ca="1">IF(INDIRECT(CONCATENATE("AD",AG355))&lt;100000,INDIRECT(CONCATENATE("AD",AG355))-1,IF(INDIRECT(CONCATENATE("AE",AG355))&lt;100000,INDIRECT(CONCATENATE("AE",G355)),INDIRECT(CONCATENATE("AF",AG355))))</f>
        <v>#N/A</v>
      </c>
      <c r="AJ357" s="112" t="e">
        <f t="shared" ca="1" si="435"/>
        <v>#N/A</v>
      </c>
      <c r="AK357" s="112">
        <f t="shared" ca="1" si="437"/>
        <v>100000</v>
      </c>
      <c r="AL357" s="238" t="e">
        <f t="shared" ca="1" si="436"/>
        <v>#N/A</v>
      </c>
      <c r="AM357" s="112">
        <f t="shared" ca="1" si="434"/>
        <v>100000</v>
      </c>
      <c r="AN357" s="112">
        <f t="shared" ca="1" si="442"/>
        <v>100000</v>
      </c>
      <c r="AO357" s="114">
        <f t="shared" ca="1" si="438"/>
        <v>0</v>
      </c>
      <c r="AP357" s="114">
        <f t="shared" ca="1" si="439"/>
        <v>24</v>
      </c>
      <c r="AR357" s="238">
        <f t="shared" si="440"/>
        <v>357</v>
      </c>
      <c r="AU357" s="238">
        <f t="shared" si="441"/>
        <v>338</v>
      </c>
      <c r="AV357" s="238"/>
      <c r="AW357" s="238"/>
      <c r="CJ357" s="112"/>
      <c r="CK357" s="112"/>
      <c r="CN357" s="112"/>
      <c r="CO357" s="112"/>
      <c r="CP357" s="112"/>
      <c r="CQ357" s="112"/>
      <c r="CR357" s="112"/>
      <c r="CS357" s="112"/>
      <c r="CT357" s="112"/>
      <c r="CU357" s="112"/>
      <c r="CV357" s="112"/>
      <c r="CW357" s="112"/>
      <c r="CX357" s="112"/>
      <c r="CY357" s="112"/>
      <c r="CZ357" s="112"/>
      <c r="DA357" s="112"/>
      <c r="DB357" s="112"/>
      <c r="DC357" s="112"/>
      <c r="DD357" s="112"/>
      <c r="DE357" s="112"/>
      <c r="DF357" s="112"/>
      <c r="DG357" s="112"/>
      <c r="DH357" s="112"/>
      <c r="DI357" s="112"/>
      <c r="DJ357" s="112"/>
      <c r="DK357" s="112"/>
      <c r="DL357" s="112"/>
      <c r="DM357" s="112"/>
      <c r="DN357" s="112"/>
      <c r="DO357" t="e">
        <f t="shared" ref="DO357:DO397" si="444">VLOOKUP(CN357,$F$20:$H$138,3)</f>
        <v>#N/A</v>
      </c>
    </row>
    <row r="358" spans="33:121" x14ac:dyDescent="0.25">
      <c r="AG358" s="238">
        <f>AG357</f>
        <v>87</v>
      </c>
      <c r="AH358" s="112" t="e">
        <f ca="1">AI357+1</f>
        <v>#N/A</v>
      </c>
      <c r="AI358" s="112" t="e">
        <f ca="1">IF(INDIRECT(CONCATENATE("AE",AG355))&lt;100000,INDIRECT(CONCATENATE("AE",G355)),INDIRECT(CONCATENATE("AF",AG355)))</f>
        <v>#N/A</v>
      </c>
      <c r="AJ358" s="112" t="e">
        <f t="shared" ca="1" si="435"/>
        <v>#N/A</v>
      </c>
      <c r="AK358" s="112">
        <f t="shared" ca="1" si="437"/>
        <v>100000</v>
      </c>
      <c r="AL358" s="238" t="e">
        <f t="shared" ca="1" si="436"/>
        <v>#N/A</v>
      </c>
      <c r="AM358" s="112">
        <f t="shared" ca="1" si="434"/>
        <v>100000</v>
      </c>
      <c r="AN358" s="112">
        <f t="shared" ca="1" si="442"/>
        <v>100000</v>
      </c>
      <c r="AO358" s="114">
        <f t="shared" ca="1" si="438"/>
        <v>0</v>
      </c>
      <c r="AP358" s="114">
        <f t="shared" ca="1" si="439"/>
        <v>24</v>
      </c>
      <c r="AR358" s="238">
        <f t="shared" si="440"/>
        <v>358</v>
      </c>
      <c r="AU358" s="238">
        <f t="shared" si="441"/>
        <v>339</v>
      </c>
      <c r="AV358" s="238"/>
      <c r="AW358" s="238"/>
      <c r="CJ358" s="112"/>
      <c r="CK358" s="112"/>
      <c r="CN358" s="112"/>
      <c r="CO358" s="112"/>
      <c r="CP358" s="112"/>
      <c r="CQ358" s="112"/>
      <c r="CR358" s="112"/>
      <c r="CS358" s="112"/>
      <c r="CT358" s="112"/>
      <c r="CU358" s="112"/>
      <c r="CV358" s="112"/>
      <c r="CW358" s="112"/>
      <c r="CX358" s="112"/>
      <c r="CY358" s="112"/>
      <c r="CZ358" s="112"/>
      <c r="DA358" s="112"/>
      <c r="DB358" s="112"/>
      <c r="DC358" s="112"/>
      <c r="DD358" s="112"/>
      <c r="DE358" s="112"/>
      <c r="DF358" s="112"/>
      <c r="DG358" s="112"/>
      <c r="DH358" s="112"/>
      <c r="DI358" s="112"/>
      <c r="DJ358" s="112"/>
      <c r="DK358" s="112"/>
      <c r="DL358" s="112"/>
      <c r="DM358" s="112"/>
      <c r="DN358" s="112"/>
      <c r="DO358" t="e">
        <f t="shared" si="444"/>
        <v>#N/A</v>
      </c>
    </row>
    <row r="359" spans="33:121" x14ac:dyDescent="0.25">
      <c r="AG359" s="238">
        <f>AG358</f>
        <v>87</v>
      </c>
      <c r="AH359" s="112" t="e">
        <f ca="1">AI358+1</f>
        <v>#N/A</v>
      </c>
      <c r="AI359" s="112" t="str">
        <f ca="1">INDIRECT(CONCATENATE("AF",AG355))</f>
        <v/>
      </c>
      <c r="AJ359" s="112" t="str">
        <f t="shared" ca="1" si="435"/>
        <v/>
      </c>
      <c r="AK359" s="112">
        <f t="shared" ca="1" si="437"/>
        <v>100000</v>
      </c>
      <c r="AL359" s="238" t="e">
        <f t="shared" ca="1" si="436"/>
        <v>#N/A</v>
      </c>
      <c r="AM359" s="112">
        <f t="shared" ca="1" si="434"/>
        <v>100000</v>
      </c>
      <c r="AN359" s="112">
        <f t="shared" ca="1" si="442"/>
        <v>100000</v>
      </c>
      <c r="AO359" s="114">
        <f t="shared" ca="1" si="438"/>
        <v>0</v>
      </c>
      <c r="AP359" s="114">
        <f t="shared" ca="1" si="439"/>
        <v>24</v>
      </c>
      <c r="AR359" s="238">
        <f t="shared" si="440"/>
        <v>359</v>
      </c>
      <c r="AU359" s="238">
        <f t="shared" si="441"/>
        <v>340</v>
      </c>
      <c r="AV359" s="238"/>
      <c r="AW359" s="238"/>
      <c r="CJ359" s="112"/>
      <c r="CK359" s="112"/>
      <c r="CN359" s="112"/>
      <c r="CO359" s="112"/>
      <c r="CP359" s="112"/>
      <c r="CQ359" s="112"/>
      <c r="CR359" s="112"/>
      <c r="CS359" s="112"/>
      <c r="CT359" s="112"/>
      <c r="CU359" s="112"/>
      <c r="CV359" s="112"/>
      <c r="CW359" s="112"/>
      <c r="CX359" s="112"/>
      <c r="CY359" s="112"/>
      <c r="CZ359" s="112"/>
      <c r="DA359" s="112"/>
      <c r="DB359" s="112"/>
      <c r="DC359" s="112"/>
      <c r="DD359" s="112"/>
      <c r="DE359" s="112"/>
      <c r="DF359" s="112"/>
      <c r="DG359" s="112"/>
      <c r="DH359" s="112"/>
      <c r="DI359" s="112"/>
      <c r="DJ359" s="112"/>
      <c r="DK359" s="112"/>
      <c r="DL359" s="112"/>
      <c r="DM359" s="112"/>
      <c r="DN359" s="112"/>
      <c r="DO359" t="e">
        <f t="shared" si="444"/>
        <v>#N/A</v>
      </c>
    </row>
    <row r="360" spans="33:121" x14ac:dyDescent="0.25">
      <c r="AG360" s="238">
        <f>AG359+1</f>
        <v>88</v>
      </c>
      <c r="AH360" s="112" t="str">
        <f ca="1">INDIRECT(CONCATENATE("AA",AG360))</f>
        <v/>
      </c>
      <c r="AI360" s="112" t="e">
        <f ca="1">IF(            INDIRECT(CONCATENATE( "AB",AG360))&lt;100000,       INDIRECT(CONCATENATE("AB",AG360))  -1,IF(   INDIRECT(CONCATENATE("AC",AG360))&lt;100000,   INDIRECT(CONCATENATE("AC",AG360))-1,IF(   INDIRECT(CONCATENATE("AD", AG360))&lt;100000, INDIRECT(CONCATENATE("AD",AG360))-1,IF(   INDIRECT(CONCATENATE("AE",AG360))&lt;100000,  INDIRECT(CONCATENATE("AE",G360)),INDIRECT(CONCATENATE("AF",AG360))                ))))</f>
        <v>#N/A</v>
      </c>
      <c r="AJ360" s="112" t="str">
        <f t="shared" ca="1" si="435"/>
        <v/>
      </c>
      <c r="AK360" s="112" t="str">
        <f t="shared" ca="1" si="437"/>
        <v/>
      </c>
      <c r="AL360" s="238">
        <f t="shared" ca="1" si="436"/>
        <v>0</v>
      </c>
      <c r="AM360" s="112">
        <f t="shared" ca="1" si="434"/>
        <v>100000</v>
      </c>
      <c r="AN360" s="112">
        <f t="shared" ca="1" si="442"/>
        <v>100000</v>
      </c>
      <c r="AO360" s="114">
        <f t="shared" ca="1" si="438"/>
        <v>0</v>
      </c>
      <c r="AP360" s="114">
        <f t="shared" ca="1" si="439"/>
        <v>24</v>
      </c>
      <c r="AR360" s="238">
        <f t="shared" si="440"/>
        <v>360</v>
      </c>
      <c r="AU360" s="238">
        <f t="shared" si="441"/>
        <v>341</v>
      </c>
      <c r="AV360" s="238"/>
      <c r="AW360" s="238"/>
      <c r="CJ360" s="112"/>
      <c r="CK360" s="112"/>
      <c r="CN360" s="112"/>
      <c r="CO360" s="112"/>
      <c r="CP360" s="112"/>
      <c r="CQ360" s="112"/>
      <c r="CR360" s="112"/>
      <c r="CS360" s="112"/>
      <c r="CT360" s="112"/>
      <c r="CU360" s="112"/>
      <c r="CV360" s="112"/>
      <c r="CW360" s="112"/>
      <c r="CX360" s="112"/>
      <c r="CY360" s="112"/>
      <c r="CZ360" s="112"/>
      <c r="DA360" s="112"/>
      <c r="DB360" s="112"/>
      <c r="DC360" s="112"/>
      <c r="DD360" s="112"/>
      <c r="DE360" s="112"/>
      <c r="DF360" s="112"/>
      <c r="DG360" s="112"/>
      <c r="DH360" s="112"/>
      <c r="DI360" s="112"/>
      <c r="DJ360" s="112"/>
      <c r="DK360" s="112"/>
      <c r="DL360" s="112"/>
      <c r="DM360" s="112"/>
      <c r="DN360" s="112"/>
      <c r="DO360" t="e">
        <f t="shared" si="444"/>
        <v>#N/A</v>
      </c>
    </row>
    <row r="361" spans="33:121" x14ac:dyDescent="0.25">
      <c r="AG361" s="238">
        <f>AG360</f>
        <v>88</v>
      </c>
      <c r="AH361" s="112" t="e">
        <f ca="1">AI360+1</f>
        <v>#N/A</v>
      </c>
      <c r="AI361" s="112" t="e">
        <f ca="1">IF(INDIRECT(CONCATENATE("AC",AG360))&lt;100000,INDIRECT(CONCATENATE("AC",AG360))-1,IF(INDIRECT(CONCATENATE("AD",AG360))&lt;100000,INDIRECT(CONCATENATE("AD",AG360))-1,IF(INDIRECT(CONCATENATE("AE",AG360))&lt;100000,INDIRECT(CONCATENATE("AE",G360)),INDIRECT(CONCATENATE("AF",AG360)))))</f>
        <v>#N/A</v>
      </c>
      <c r="AJ361" s="112" t="e">
        <f t="shared" ca="1" si="435"/>
        <v>#N/A</v>
      </c>
      <c r="AK361" s="112">
        <f t="shared" ca="1" si="437"/>
        <v>100000</v>
      </c>
      <c r="AL361" s="238" t="e">
        <f t="shared" ca="1" si="436"/>
        <v>#N/A</v>
      </c>
      <c r="AM361" s="112">
        <f t="shared" ref="AM361:AM424" ca="1" si="445">IF(TYPE(AL361)=16,100000,IF(AL361=0,100000,AH361))</f>
        <v>100000</v>
      </c>
      <c r="AN361" s="112">
        <f t="shared" ca="1" si="442"/>
        <v>100000</v>
      </c>
      <c r="AO361" s="114">
        <f t="shared" ca="1" si="438"/>
        <v>0</v>
      </c>
      <c r="AP361" s="114">
        <f t="shared" ca="1" si="439"/>
        <v>24</v>
      </c>
      <c r="AR361" s="238">
        <f t="shared" si="440"/>
        <v>361</v>
      </c>
      <c r="AU361" s="238">
        <f t="shared" si="441"/>
        <v>342</v>
      </c>
      <c r="AV361" s="238"/>
      <c r="AW361" s="238"/>
      <c r="CJ361" s="112"/>
      <c r="CK361" s="112"/>
      <c r="CN361" s="112"/>
      <c r="CO361" s="112"/>
      <c r="CP361" s="112"/>
      <c r="CQ361" s="112"/>
      <c r="CR361" s="112"/>
      <c r="CS361" s="112"/>
      <c r="CT361" s="112"/>
      <c r="CU361" s="112"/>
      <c r="CV361" s="112"/>
      <c r="CW361" s="112"/>
      <c r="CX361" s="112"/>
      <c r="CY361" s="112"/>
      <c r="CZ361" s="112"/>
      <c r="DA361" s="112"/>
      <c r="DB361" s="112"/>
      <c r="DC361" s="112"/>
      <c r="DD361" s="112"/>
      <c r="DE361" s="112"/>
      <c r="DF361" s="112"/>
      <c r="DG361" s="112"/>
      <c r="DH361" s="112"/>
      <c r="DI361" s="112"/>
      <c r="DJ361" s="112"/>
      <c r="DK361" s="112"/>
      <c r="DL361" s="112"/>
      <c r="DM361" s="112"/>
      <c r="DN361" s="112"/>
      <c r="DO361" t="e">
        <f t="shared" si="444"/>
        <v>#N/A</v>
      </c>
    </row>
    <row r="362" spans="33:121" x14ac:dyDescent="0.25">
      <c r="AG362" s="238">
        <f>AG361</f>
        <v>88</v>
      </c>
      <c r="AH362" s="112" t="e">
        <f ca="1">AI361+1</f>
        <v>#N/A</v>
      </c>
      <c r="AI362" s="112" t="e">
        <f ca="1">IF(INDIRECT(CONCATENATE("AD",AG360))&lt;100000,INDIRECT(CONCATENATE("AD",AG360))-1,IF(INDIRECT(CONCATENATE("AE",AG360))&lt;100000,INDIRECT(CONCATENATE("AE",G360)),INDIRECT(CONCATENATE("AF",AG360))))</f>
        <v>#N/A</v>
      </c>
      <c r="AJ362" s="112" t="e">
        <f t="shared" ca="1" si="435"/>
        <v>#N/A</v>
      </c>
      <c r="AK362" s="112">
        <f t="shared" ca="1" si="437"/>
        <v>100000</v>
      </c>
      <c r="AL362" s="238" t="e">
        <f t="shared" ca="1" si="436"/>
        <v>#N/A</v>
      </c>
      <c r="AM362" s="112">
        <f t="shared" ca="1" si="445"/>
        <v>100000</v>
      </c>
      <c r="AN362" s="112">
        <f t="shared" ca="1" si="442"/>
        <v>100000</v>
      </c>
      <c r="AO362" s="114">
        <f t="shared" ca="1" si="438"/>
        <v>0</v>
      </c>
      <c r="AP362" s="114">
        <f t="shared" ca="1" si="439"/>
        <v>24</v>
      </c>
      <c r="AR362" s="238">
        <f t="shared" si="440"/>
        <v>362</v>
      </c>
      <c r="AU362" s="238">
        <f t="shared" si="441"/>
        <v>343</v>
      </c>
      <c r="AV362" s="238"/>
      <c r="AW362" s="238"/>
      <c r="CJ362" s="112"/>
      <c r="CK362" s="112"/>
      <c r="CN362" s="112"/>
      <c r="CO362" s="112"/>
      <c r="CP362" s="112"/>
      <c r="CQ362" s="112"/>
      <c r="CR362" s="112"/>
      <c r="CS362" s="112"/>
      <c r="CT362" s="112"/>
      <c r="CU362" s="112"/>
      <c r="CV362" s="112"/>
      <c r="CW362" s="112"/>
      <c r="CX362" s="112"/>
      <c r="CY362" s="112"/>
      <c r="CZ362" s="112"/>
      <c r="DA362" s="112"/>
      <c r="DB362" s="112"/>
      <c r="DC362" s="112"/>
      <c r="DD362" s="112"/>
      <c r="DE362" s="112"/>
      <c r="DF362" s="112"/>
      <c r="DG362" s="112"/>
      <c r="DH362" s="112"/>
      <c r="DI362" s="112"/>
      <c r="DJ362" s="112"/>
      <c r="DK362" s="112"/>
      <c r="DL362" s="112"/>
      <c r="DM362" s="112"/>
      <c r="DN362" s="112"/>
      <c r="DO362" t="e">
        <f t="shared" si="444"/>
        <v>#N/A</v>
      </c>
    </row>
    <row r="363" spans="33:121" x14ac:dyDescent="0.25">
      <c r="AG363" s="238">
        <f>AG362</f>
        <v>88</v>
      </c>
      <c r="AH363" s="112" t="e">
        <f ca="1">AI362+1</f>
        <v>#N/A</v>
      </c>
      <c r="AI363" s="112" t="e">
        <f ca="1">IF(INDIRECT(CONCATENATE("AE",AG360))&lt;100000,INDIRECT(CONCATENATE("AE",G360)),INDIRECT(CONCATENATE("AF",AG360)))</f>
        <v>#N/A</v>
      </c>
      <c r="AJ363" s="112" t="e">
        <f t="shared" ca="1" si="435"/>
        <v>#N/A</v>
      </c>
      <c r="AK363" s="112">
        <f t="shared" ca="1" si="437"/>
        <v>100000</v>
      </c>
      <c r="AL363" s="238" t="e">
        <f t="shared" ca="1" si="436"/>
        <v>#N/A</v>
      </c>
      <c r="AM363" s="112">
        <f t="shared" ca="1" si="445"/>
        <v>100000</v>
      </c>
      <c r="AN363" s="112">
        <f t="shared" ca="1" si="442"/>
        <v>100000</v>
      </c>
      <c r="AO363" s="114">
        <f t="shared" ca="1" si="438"/>
        <v>0</v>
      </c>
      <c r="AP363" s="114">
        <f t="shared" ca="1" si="439"/>
        <v>24</v>
      </c>
      <c r="AR363" s="238">
        <f t="shared" si="440"/>
        <v>363</v>
      </c>
      <c r="AU363" s="238">
        <f t="shared" si="441"/>
        <v>344</v>
      </c>
      <c r="AV363" s="238"/>
      <c r="AW363" s="238"/>
      <c r="CJ363" s="112"/>
      <c r="CK363" s="112"/>
      <c r="CN363" s="112"/>
      <c r="CO363" s="112"/>
      <c r="CP363" s="112"/>
      <c r="CQ363" s="112"/>
      <c r="CR363" s="112"/>
      <c r="CS363" s="112"/>
      <c r="CT363" s="112"/>
      <c r="CU363" s="112"/>
      <c r="CV363" s="112"/>
      <c r="CW363" s="112"/>
      <c r="CX363" s="112"/>
      <c r="CY363" s="112"/>
      <c r="CZ363" s="112"/>
      <c r="DA363" s="112"/>
      <c r="DB363" s="112"/>
      <c r="DC363" s="112"/>
      <c r="DD363" s="112"/>
      <c r="DE363" s="112"/>
      <c r="DF363" s="112"/>
      <c r="DG363" s="112"/>
      <c r="DH363" s="112"/>
      <c r="DI363" s="112"/>
      <c r="DJ363" s="112"/>
      <c r="DK363" s="112"/>
      <c r="DL363" s="112"/>
      <c r="DM363" s="112"/>
      <c r="DN363" s="112"/>
      <c r="DO363" t="e">
        <f t="shared" si="444"/>
        <v>#N/A</v>
      </c>
    </row>
    <row r="364" spans="33:121" x14ac:dyDescent="0.25">
      <c r="AG364" s="238">
        <f>AG363</f>
        <v>88</v>
      </c>
      <c r="AH364" s="112" t="e">
        <f ca="1">AI363+1</f>
        <v>#N/A</v>
      </c>
      <c r="AI364" s="112" t="str">
        <f ca="1">INDIRECT(CONCATENATE("AF",AG360))</f>
        <v/>
      </c>
      <c r="AJ364" s="112" t="str">
        <f t="shared" ca="1" si="435"/>
        <v/>
      </c>
      <c r="AK364" s="112">
        <f t="shared" ca="1" si="437"/>
        <v>100000</v>
      </c>
      <c r="AL364" s="238" t="e">
        <f t="shared" ca="1" si="436"/>
        <v>#N/A</v>
      </c>
      <c r="AM364" s="112">
        <f t="shared" ca="1" si="445"/>
        <v>100000</v>
      </c>
      <c r="AN364" s="112">
        <f t="shared" ca="1" si="442"/>
        <v>100000</v>
      </c>
      <c r="AO364" s="114">
        <f t="shared" ca="1" si="438"/>
        <v>0</v>
      </c>
      <c r="AP364" s="114">
        <f t="shared" ca="1" si="439"/>
        <v>24</v>
      </c>
      <c r="AR364" s="238">
        <f t="shared" si="440"/>
        <v>364</v>
      </c>
      <c r="AU364" s="238">
        <f t="shared" si="441"/>
        <v>345</v>
      </c>
      <c r="AV364" s="238"/>
      <c r="AW364" s="238"/>
      <c r="CJ364" s="112"/>
      <c r="CK364" s="112"/>
      <c r="CN364" s="112"/>
      <c r="CO364" s="112"/>
      <c r="CP364" s="112"/>
      <c r="CQ364" s="112"/>
      <c r="CR364" s="112"/>
      <c r="CS364" s="112"/>
      <c r="CT364" s="112"/>
      <c r="CU364" s="112"/>
      <c r="CV364" s="112"/>
      <c r="CW364" s="112"/>
      <c r="CX364" s="112"/>
      <c r="CY364" s="112"/>
      <c r="CZ364" s="112"/>
      <c r="DA364" s="112"/>
      <c r="DB364" s="112"/>
      <c r="DC364" s="112"/>
      <c r="DD364" s="112"/>
      <c r="DE364" s="112"/>
      <c r="DF364" s="112"/>
      <c r="DG364" s="112"/>
      <c r="DH364" s="112"/>
      <c r="DI364" s="112"/>
      <c r="DJ364" s="112"/>
      <c r="DK364" s="112"/>
      <c r="DL364" s="112"/>
      <c r="DM364" s="112"/>
      <c r="DN364" s="112"/>
      <c r="DO364" t="e">
        <f t="shared" si="444"/>
        <v>#N/A</v>
      </c>
    </row>
    <row r="365" spans="33:121" x14ac:dyDescent="0.25">
      <c r="AG365" s="238">
        <f>AG364+1</f>
        <v>89</v>
      </c>
      <c r="AH365" s="112" t="str">
        <f ca="1">INDIRECT(CONCATENATE("AA",AG365))</f>
        <v/>
      </c>
      <c r="AI365" s="112" t="e">
        <f ca="1">IF(            INDIRECT(CONCATENATE( "AB",AG365))&lt;100000,       INDIRECT(CONCATENATE("AB",AG365))  -1,IF(   INDIRECT(CONCATENATE("AC",AG365))&lt;100000,   INDIRECT(CONCATENATE("AC",AG365))-1,IF(   INDIRECT(CONCATENATE("AD", AG365))&lt;100000, INDIRECT(CONCATENATE("AD",AG365))-1,IF(   INDIRECT(CONCATENATE("AE",AG365))&lt;100000,  INDIRECT(CONCATENATE("AE",G365)),INDIRECT(CONCATENATE("AF",AG365))                ))))</f>
        <v>#N/A</v>
      </c>
      <c r="AJ365" s="112" t="str">
        <f t="shared" ref="AJ365:AJ428" ca="1" si="446">IF(TYPE(AI365)=16,VLOOKUP(AH365,$F$20:$G$146,2),AI365)</f>
        <v/>
      </c>
      <c r="AK365" s="112" t="str">
        <f t="shared" ca="1" si="437"/>
        <v/>
      </c>
      <c r="AL365" s="238">
        <f t="shared" ca="1" si="436"/>
        <v>0</v>
      </c>
      <c r="AM365" s="112">
        <f t="shared" ca="1" si="445"/>
        <v>100000</v>
      </c>
      <c r="AN365" s="112">
        <f t="shared" ca="1" si="442"/>
        <v>100000</v>
      </c>
      <c r="AO365" s="114">
        <f t="shared" ca="1" si="438"/>
        <v>0</v>
      </c>
      <c r="AP365" s="114">
        <f t="shared" ca="1" si="439"/>
        <v>24</v>
      </c>
      <c r="AR365" s="238">
        <f t="shared" si="440"/>
        <v>365</v>
      </c>
      <c r="AU365" s="238">
        <f t="shared" si="441"/>
        <v>346</v>
      </c>
      <c r="AV365" s="238"/>
      <c r="AW365" s="238"/>
      <c r="CJ365" s="112"/>
      <c r="CK365" s="112"/>
      <c r="CN365" s="112"/>
      <c r="CO365" s="112"/>
      <c r="CP365" s="112"/>
      <c r="CQ365" s="112"/>
      <c r="CR365" s="112"/>
      <c r="CS365" s="112"/>
      <c r="CT365" s="112"/>
      <c r="CU365" s="112"/>
      <c r="CV365" s="112"/>
      <c r="CW365" s="112"/>
      <c r="CX365" s="112"/>
      <c r="CY365" s="112"/>
      <c r="CZ365" s="112"/>
      <c r="DA365" s="112"/>
      <c r="DB365" s="112"/>
      <c r="DC365" s="112"/>
      <c r="DD365" s="112"/>
      <c r="DE365" s="112"/>
      <c r="DF365" s="112"/>
      <c r="DG365" s="112"/>
      <c r="DH365" s="112"/>
      <c r="DI365" s="112"/>
      <c r="DJ365" s="112"/>
      <c r="DK365" s="112"/>
      <c r="DL365" s="112"/>
      <c r="DM365" s="112"/>
      <c r="DN365" s="112"/>
      <c r="DO365" t="e">
        <f t="shared" si="444"/>
        <v>#N/A</v>
      </c>
    </row>
    <row r="366" spans="33:121" x14ac:dyDescent="0.25">
      <c r="AG366" s="238">
        <f>AG365</f>
        <v>89</v>
      </c>
      <c r="AH366" s="112" t="e">
        <f ca="1">AI365+1</f>
        <v>#N/A</v>
      </c>
      <c r="AI366" s="112" t="e">
        <f ca="1">IF(INDIRECT(CONCATENATE("AC",AG365))&lt;100000,INDIRECT(CONCATENATE("AC",AG365))-1,IF(INDIRECT(CONCATENATE("AD",AG365))&lt;100000,INDIRECT(CONCATENATE("AD",AG365))-1,IF(INDIRECT(CONCATENATE("AE",AG365))&lt;100000,INDIRECT(CONCATENATE("AE",G365)),INDIRECT(CONCATENATE("AF",AG365)))))</f>
        <v>#N/A</v>
      </c>
      <c r="AJ366" s="112" t="e">
        <f t="shared" ca="1" si="446"/>
        <v>#N/A</v>
      </c>
      <c r="AK366" s="112">
        <f t="shared" ca="1" si="437"/>
        <v>100000</v>
      </c>
      <c r="AL366" s="238" t="e">
        <f t="shared" ref="AL366:AL429" ca="1" si="447">IF(AK366=AI365,0,1)</f>
        <v>#N/A</v>
      </c>
      <c r="AM366" s="112">
        <f t="shared" ca="1" si="445"/>
        <v>100000</v>
      </c>
      <c r="AN366" s="112">
        <f t="shared" ca="1" si="442"/>
        <v>100000</v>
      </c>
      <c r="AO366" s="114">
        <f t="shared" ca="1" si="438"/>
        <v>0</v>
      </c>
      <c r="AP366" s="114">
        <f t="shared" ca="1" si="439"/>
        <v>24</v>
      </c>
      <c r="AR366" s="238">
        <f t="shared" si="440"/>
        <v>366</v>
      </c>
      <c r="AU366" s="238">
        <f t="shared" si="441"/>
        <v>347</v>
      </c>
      <c r="AV366" s="238"/>
      <c r="AW366" s="238"/>
      <c r="CJ366" s="112"/>
      <c r="CK366" s="112"/>
      <c r="CN366" s="112"/>
      <c r="CO366" s="112"/>
      <c r="CP366" s="112"/>
      <c r="CQ366" s="112"/>
      <c r="CR366" s="112"/>
      <c r="CS366" s="112"/>
      <c r="CT366" s="112"/>
      <c r="CU366" s="112"/>
      <c r="CV366" s="112"/>
      <c r="CW366" s="112"/>
      <c r="CX366" s="112"/>
      <c r="CY366" s="112"/>
      <c r="CZ366" s="112"/>
      <c r="DA366" s="112"/>
      <c r="DB366" s="112"/>
      <c r="DC366" s="112"/>
      <c r="DD366" s="112"/>
      <c r="DE366" s="112"/>
      <c r="DF366" s="112"/>
      <c r="DG366" s="112"/>
      <c r="DH366" s="112"/>
      <c r="DI366" s="112"/>
      <c r="DJ366" s="112"/>
      <c r="DK366" s="112"/>
      <c r="DL366" s="112"/>
      <c r="DM366" s="112"/>
      <c r="DN366" s="112"/>
      <c r="DO366" t="e">
        <f t="shared" si="444"/>
        <v>#N/A</v>
      </c>
    </row>
    <row r="367" spans="33:121" x14ac:dyDescent="0.25">
      <c r="AG367" s="238">
        <f>AG366</f>
        <v>89</v>
      </c>
      <c r="AH367" s="112" t="e">
        <f ca="1">AI366+1</f>
        <v>#N/A</v>
      </c>
      <c r="AI367" s="112" t="e">
        <f ca="1">IF(INDIRECT(CONCATENATE("AD",AG365))&lt;100000,INDIRECT(CONCATENATE("AD",AG365))-1,IF(INDIRECT(CONCATENATE("AE",AG365))&lt;100000,INDIRECT(CONCATENATE("AE",G365)),INDIRECT(CONCATENATE("AF",AG365))))</f>
        <v>#N/A</v>
      </c>
      <c r="AJ367" s="112" t="e">
        <f t="shared" ca="1" si="446"/>
        <v>#N/A</v>
      </c>
      <c r="AK367" s="112">
        <f t="shared" ca="1" si="437"/>
        <v>100000</v>
      </c>
      <c r="AL367" s="238" t="e">
        <f t="shared" ca="1" si="447"/>
        <v>#N/A</v>
      </c>
      <c r="AM367" s="112">
        <f t="shared" ca="1" si="445"/>
        <v>100000</v>
      </c>
      <c r="AN367" s="112">
        <f t="shared" ca="1" si="442"/>
        <v>100000</v>
      </c>
      <c r="AO367" s="114">
        <f t="shared" ca="1" si="438"/>
        <v>0</v>
      </c>
      <c r="AP367" s="114">
        <f t="shared" ca="1" si="439"/>
        <v>24</v>
      </c>
      <c r="AR367" s="238">
        <f t="shared" si="440"/>
        <v>367</v>
      </c>
      <c r="AU367" s="238">
        <f t="shared" si="441"/>
        <v>348</v>
      </c>
      <c r="AV367" s="238"/>
      <c r="AW367" s="238"/>
      <c r="CJ367" s="112"/>
      <c r="CK367" s="112"/>
      <c r="CN367" s="112"/>
      <c r="CO367" s="112"/>
      <c r="CP367" s="112"/>
      <c r="CQ367" s="112"/>
      <c r="CR367" s="112"/>
      <c r="CS367" s="112"/>
      <c r="CT367" s="112"/>
      <c r="CU367" s="112"/>
      <c r="CV367" s="112"/>
      <c r="CW367" s="112"/>
      <c r="CX367" s="112"/>
      <c r="CY367" s="112"/>
      <c r="CZ367" s="112"/>
      <c r="DA367" s="112"/>
      <c r="DB367" s="112"/>
      <c r="DC367" s="112"/>
      <c r="DD367" s="112"/>
      <c r="DE367" s="112"/>
      <c r="DF367" s="112"/>
      <c r="DG367" s="112"/>
      <c r="DH367" s="112"/>
      <c r="DI367" s="112"/>
      <c r="DJ367" s="112"/>
      <c r="DK367" s="112"/>
      <c r="DL367" s="112"/>
      <c r="DM367" s="112"/>
      <c r="DN367" s="112"/>
      <c r="DO367" t="e">
        <f t="shared" si="444"/>
        <v>#N/A</v>
      </c>
    </row>
    <row r="368" spans="33:121" x14ac:dyDescent="0.25">
      <c r="AG368" s="238">
        <f>AG367</f>
        <v>89</v>
      </c>
      <c r="AH368" s="112" t="e">
        <f ca="1">AI367+1</f>
        <v>#N/A</v>
      </c>
      <c r="AI368" s="112" t="e">
        <f ca="1">IF(INDIRECT(CONCATENATE("AE",AG365))&lt;100000,INDIRECT(CONCATENATE("AE",G365)),INDIRECT(CONCATENATE("AF",AG365)))</f>
        <v>#N/A</v>
      </c>
      <c r="AJ368" s="112" t="e">
        <f t="shared" ca="1" si="446"/>
        <v>#N/A</v>
      </c>
      <c r="AK368" s="112">
        <f t="shared" ca="1" si="437"/>
        <v>100000</v>
      </c>
      <c r="AL368" s="238" t="e">
        <f t="shared" ca="1" si="447"/>
        <v>#N/A</v>
      </c>
      <c r="AM368" s="112">
        <f t="shared" ca="1" si="445"/>
        <v>100000</v>
      </c>
      <c r="AN368" s="112">
        <f t="shared" ca="1" si="442"/>
        <v>100000</v>
      </c>
      <c r="AO368" s="114">
        <f t="shared" ca="1" si="438"/>
        <v>0</v>
      </c>
      <c r="AP368" s="114">
        <f t="shared" ca="1" si="439"/>
        <v>24</v>
      </c>
      <c r="AR368" s="238">
        <f t="shared" si="440"/>
        <v>368</v>
      </c>
      <c r="AU368" s="238">
        <f t="shared" si="441"/>
        <v>349</v>
      </c>
      <c r="AV368" s="238"/>
      <c r="AW368" s="238"/>
      <c r="CJ368" s="112"/>
      <c r="CK368" s="112"/>
      <c r="CN368" s="112"/>
      <c r="CO368" s="112"/>
      <c r="CP368" s="112"/>
      <c r="CQ368" s="112"/>
      <c r="CR368" s="112"/>
      <c r="CS368" s="112"/>
      <c r="CT368" s="112"/>
      <c r="CU368" s="112"/>
      <c r="CV368" s="112"/>
      <c r="CW368" s="112"/>
      <c r="CX368" s="112"/>
      <c r="CY368" s="112"/>
      <c r="CZ368" s="112"/>
      <c r="DA368" s="112"/>
      <c r="DB368" s="112"/>
      <c r="DC368" s="112"/>
      <c r="DD368" s="112"/>
      <c r="DE368" s="112"/>
      <c r="DF368" s="112"/>
      <c r="DG368" s="112"/>
      <c r="DH368" s="112"/>
      <c r="DI368" s="112"/>
      <c r="DJ368" s="112"/>
      <c r="DK368" s="112"/>
      <c r="DL368" s="112"/>
      <c r="DM368" s="112"/>
      <c r="DN368" s="112"/>
      <c r="DO368" t="e">
        <f t="shared" si="444"/>
        <v>#N/A</v>
      </c>
    </row>
    <row r="369" spans="33:119" x14ac:dyDescent="0.25">
      <c r="AG369" s="238">
        <f>AG368</f>
        <v>89</v>
      </c>
      <c r="AH369" s="112" t="e">
        <f ca="1">AI368+1</f>
        <v>#N/A</v>
      </c>
      <c r="AI369" s="112" t="str">
        <f ca="1">INDIRECT(CONCATENATE("AF",AG365))</f>
        <v/>
      </c>
      <c r="AJ369" s="112" t="str">
        <f t="shared" ca="1" si="446"/>
        <v/>
      </c>
      <c r="AK369" s="112">
        <f t="shared" ca="1" si="437"/>
        <v>100000</v>
      </c>
      <c r="AL369" s="238" t="e">
        <f t="shared" ca="1" si="447"/>
        <v>#N/A</v>
      </c>
      <c r="AM369" s="112">
        <f t="shared" ca="1" si="445"/>
        <v>100000</v>
      </c>
      <c r="AN369" s="112">
        <f t="shared" ca="1" si="442"/>
        <v>100000</v>
      </c>
      <c r="AO369" s="114">
        <f t="shared" ca="1" si="438"/>
        <v>0</v>
      </c>
      <c r="AP369" s="114">
        <f t="shared" ca="1" si="439"/>
        <v>24</v>
      </c>
      <c r="AR369" s="238">
        <f t="shared" si="440"/>
        <v>369</v>
      </c>
      <c r="AU369" s="238">
        <f t="shared" si="441"/>
        <v>350</v>
      </c>
      <c r="AV369" s="238"/>
      <c r="AW369" s="238"/>
      <c r="CJ369" s="112"/>
      <c r="CK369" s="112"/>
      <c r="CN369" s="112"/>
      <c r="CO369" s="112"/>
      <c r="CP369" s="112"/>
      <c r="CQ369" s="112"/>
      <c r="CR369" s="112"/>
      <c r="CS369" s="112"/>
      <c r="CT369" s="112"/>
      <c r="CU369" s="112"/>
      <c r="CV369" s="112"/>
      <c r="CW369" s="112"/>
      <c r="CX369" s="112"/>
      <c r="CY369" s="112"/>
      <c r="CZ369" s="112"/>
      <c r="DA369" s="112"/>
      <c r="DB369" s="112"/>
      <c r="DC369" s="112"/>
      <c r="DD369" s="112"/>
      <c r="DE369" s="112"/>
      <c r="DF369" s="112"/>
      <c r="DG369" s="112"/>
      <c r="DH369" s="112"/>
      <c r="DI369" s="112"/>
      <c r="DJ369" s="112"/>
      <c r="DK369" s="112"/>
      <c r="DL369" s="112"/>
      <c r="DM369" s="112"/>
      <c r="DN369" s="112"/>
      <c r="DO369" t="e">
        <f t="shared" si="444"/>
        <v>#N/A</v>
      </c>
    </row>
    <row r="370" spans="33:119" x14ac:dyDescent="0.25">
      <c r="AG370" s="238">
        <f>AG369+1</f>
        <v>90</v>
      </c>
      <c r="AH370" s="112" t="str">
        <f ca="1">INDIRECT(CONCATENATE("AA",AG370))</f>
        <v/>
      </c>
      <c r="AI370" s="112" t="e">
        <f ca="1">IF(            INDIRECT(CONCATENATE( "AB",AG370))&lt;100000,       INDIRECT(CONCATENATE("AB",AG370))  -1,IF(   INDIRECT(CONCATENATE("AC",AG370))&lt;100000,   INDIRECT(CONCATENATE("AC",AG370))-1,IF(   INDIRECT(CONCATENATE("AD", AG370))&lt;100000, INDIRECT(CONCATENATE("AD",AG370))-1,IF(   INDIRECT(CONCATENATE("AE",AG370))&lt;100000,  INDIRECT(CONCATENATE("AE",G370)),INDIRECT(CONCATENATE("AF",AG370))                ))))</f>
        <v>#N/A</v>
      </c>
      <c r="AJ370" s="112" t="str">
        <f t="shared" ca="1" si="446"/>
        <v/>
      </c>
      <c r="AK370" s="112" t="str">
        <f t="shared" ca="1" si="437"/>
        <v/>
      </c>
      <c r="AL370" s="238">
        <f t="shared" ca="1" si="447"/>
        <v>0</v>
      </c>
      <c r="AM370" s="112">
        <f t="shared" ca="1" si="445"/>
        <v>100000</v>
      </c>
      <c r="AN370" s="112">
        <f t="shared" ca="1" si="442"/>
        <v>100000</v>
      </c>
      <c r="AO370" s="114">
        <f t="shared" ca="1" si="438"/>
        <v>0</v>
      </c>
      <c r="AP370" s="114">
        <f t="shared" ca="1" si="439"/>
        <v>24</v>
      </c>
      <c r="AR370" s="238">
        <f t="shared" si="440"/>
        <v>370</v>
      </c>
      <c r="AU370" s="238">
        <f t="shared" si="441"/>
        <v>351</v>
      </c>
      <c r="AV370" s="238"/>
      <c r="AW370" s="238"/>
      <c r="CJ370" s="112"/>
      <c r="CK370" s="112"/>
      <c r="CN370" s="112"/>
      <c r="CO370" s="112"/>
      <c r="CP370" s="112"/>
      <c r="CQ370" s="112"/>
      <c r="CR370" s="112"/>
      <c r="CS370" s="112"/>
      <c r="CT370" s="112"/>
      <c r="CU370" s="112"/>
      <c r="CV370" s="112"/>
      <c r="CW370" s="112"/>
      <c r="CX370" s="112"/>
      <c r="CY370" s="112"/>
      <c r="CZ370" s="112"/>
      <c r="DA370" s="112"/>
      <c r="DB370" s="112"/>
      <c r="DC370" s="112"/>
      <c r="DD370" s="112"/>
      <c r="DE370" s="112"/>
      <c r="DF370" s="112"/>
      <c r="DG370" s="112"/>
      <c r="DH370" s="112"/>
      <c r="DI370" s="112"/>
      <c r="DJ370" s="112"/>
      <c r="DK370" s="112"/>
      <c r="DL370" s="112"/>
      <c r="DM370" s="112"/>
      <c r="DN370" s="112"/>
      <c r="DO370" t="e">
        <f t="shared" si="444"/>
        <v>#N/A</v>
      </c>
    </row>
    <row r="371" spans="33:119" x14ac:dyDescent="0.25">
      <c r="AG371" s="238">
        <f>AG370</f>
        <v>90</v>
      </c>
      <c r="AH371" s="112" t="e">
        <f ca="1">AI370+1</f>
        <v>#N/A</v>
      </c>
      <c r="AI371" s="112" t="e">
        <f ca="1">IF(INDIRECT(CONCATENATE("AC",AG370))&lt;100000,INDIRECT(CONCATENATE("AC",AG370))-1,IF(INDIRECT(CONCATENATE("AD",AG370))&lt;100000,INDIRECT(CONCATENATE("AD",AG370))-1,IF(INDIRECT(CONCATENATE("AE",AG370))&lt;100000,INDIRECT(CONCATENATE("AE",G370)),INDIRECT(CONCATENATE("AF",AG370)))))</f>
        <v>#N/A</v>
      </c>
      <c r="AJ371" s="112" t="e">
        <f t="shared" ca="1" si="446"/>
        <v>#N/A</v>
      </c>
      <c r="AK371" s="112">
        <f t="shared" ca="1" si="437"/>
        <v>100000</v>
      </c>
      <c r="AL371" s="238" t="e">
        <f t="shared" ca="1" si="447"/>
        <v>#N/A</v>
      </c>
      <c r="AM371" s="112">
        <f t="shared" ca="1" si="445"/>
        <v>100000</v>
      </c>
      <c r="AN371" s="112">
        <f t="shared" ca="1" si="442"/>
        <v>100000</v>
      </c>
      <c r="AO371" s="114">
        <f t="shared" ca="1" si="438"/>
        <v>0</v>
      </c>
      <c r="AP371" s="114">
        <f t="shared" ca="1" si="439"/>
        <v>24</v>
      </c>
      <c r="AR371" s="238">
        <f t="shared" si="440"/>
        <v>371</v>
      </c>
      <c r="AU371" s="238">
        <f t="shared" si="441"/>
        <v>352</v>
      </c>
      <c r="AV371" s="238"/>
      <c r="AW371" s="238"/>
      <c r="CJ371" s="112"/>
      <c r="CK371" s="112"/>
      <c r="CN371" s="112"/>
      <c r="CO371" s="112"/>
      <c r="CP371" s="112"/>
      <c r="CQ371" s="112"/>
      <c r="CR371" s="112"/>
      <c r="CS371" s="112"/>
      <c r="CT371" s="112"/>
      <c r="CU371" s="112"/>
      <c r="CV371" s="112"/>
      <c r="CW371" s="112"/>
      <c r="CX371" s="112"/>
      <c r="CY371" s="112"/>
      <c r="CZ371" s="112"/>
      <c r="DA371" s="112"/>
      <c r="DB371" s="112"/>
      <c r="DC371" s="112"/>
      <c r="DD371" s="112"/>
      <c r="DE371" s="112"/>
      <c r="DF371" s="112"/>
      <c r="DG371" s="112"/>
      <c r="DH371" s="112"/>
      <c r="DI371" s="112"/>
      <c r="DJ371" s="112"/>
      <c r="DK371" s="112"/>
      <c r="DL371" s="112"/>
      <c r="DM371" s="112"/>
      <c r="DN371" s="112"/>
      <c r="DO371" t="e">
        <f t="shared" si="444"/>
        <v>#N/A</v>
      </c>
    </row>
    <row r="372" spans="33:119" x14ac:dyDescent="0.25">
      <c r="AG372" s="238">
        <f>AG371</f>
        <v>90</v>
      </c>
      <c r="AH372" s="112" t="e">
        <f ca="1">AI371+1</f>
        <v>#N/A</v>
      </c>
      <c r="AI372" s="112" t="e">
        <f ca="1">IF(INDIRECT(CONCATENATE("AD",AG370))&lt;100000,INDIRECT(CONCATENATE("AD",AG370))-1,IF(INDIRECT(CONCATENATE("AE",AG370))&lt;100000,INDIRECT(CONCATENATE("AE",G370)),INDIRECT(CONCATENATE("AF",AG370))))</f>
        <v>#N/A</v>
      </c>
      <c r="AJ372" s="112" t="e">
        <f t="shared" ca="1" si="446"/>
        <v>#N/A</v>
      </c>
      <c r="AK372" s="112">
        <f t="shared" ca="1" si="437"/>
        <v>100000</v>
      </c>
      <c r="AL372" s="238" t="e">
        <f t="shared" ca="1" si="447"/>
        <v>#N/A</v>
      </c>
      <c r="AM372" s="112">
        <f t="shared" ca="1" si="445"/>
        <v>100000</v>
      </c>
      <c r="AN372" s="112">
        <f t="shared" ca="1" si="442"/>
        <v>100000</v>
      </c>
      <c r="AO372" s="114">
        <f t="shared" ca="1" si="438"/>
        <v>0</v>
      </c>
      <c r="AP372" s="114">
        <f t="shared" ca="1" si="439"/>
        <v>24</v>
      </c>
      <c r="AR372" s="238">
        <f t="shared" si="440"/>
        <v>372</v>
      </c>
      <c r="AU372" s="238">
        <f t="shared" si="441"/>
        <v>353</v>
      </c>
      <c r="AV372" s="238"/>
      <c r="AW372" s="238"/>
      <c r="CJ372" s="112"/>
      <c r="CK372" s="112"/>
      <c r="CN372" s="112"/>
      <c r="CO372" s="112"/>
      <c r="CP372" s="112"/>
      <c r="CQ372" s="112"/>
      <c r="CR372" s="112"/>
      <c r="CS372" s="112"/>
      <c r="CT372" s="112"/>
      <c r="CU372" s="112"/>
      <c r="CV372" s="112"/>
      <c r="CW372" s="112"/>
      <c r="CX372" s="112"/>
      <c r="CY372" s="112"/>
      <c r="CZ372" s="112"/>
      <c r="DA372" s="112"/>
      <c r="DB372" s="112"/>
      <c r="DC372" s="112"/>
      <c r="DD372" s="112"/>
      <c r="DE372" s="112"/>
      <c r="DF372" s="112"/>
      <c r="DG372" s="112"/>
      <c r="DH372" s="112"/>
      <c r="DI372" s="112"/>
      <c r="DJ372" s="112"/>
      <c r="DK372" s="112"/>
      <c r="DL372" s="112"/>
      <c r="DM372" s="112"/>
      <c r="DN372" s="112"/>
      <c r="DO372" t="e">
        <f t="shared" si="444"/>
        <v>#N/A</v>
      </c>
    </row>
    <row r="373" spans="33:119" x14ac:dyDescent="0.25">
      <c r="AG373" s="238">
        <f>AG372</f>
        <v>90</v>
      </c>
      <c r="AH373" s="112" t="e">
        <f ca="1">AI372+1</f>
        <v>#N/A</v>
      </c>
      <c r="AI373" s="112" t="e">
        <f ca="1">IF(INDIRECT(CONCATENATE("AE",AG370))&lt;100000,INDIRECT(CONCATENATE("AE",G370)),INDIRECT(CONCATENATE("AF",AG370)))</f>
        <v>#N/A</v>
      </c>
      <c r="AJ373" s="112" t="e">
        <f t="shared" ca="1" si="446"/>
        <v>#N/A</v>
      </c>
      <c r="AK373" s="112">
        <f t="shared" ca="1" si="437"/>
        <v>100000</v>
      </c>
      <c r="AL373" s="238" t="e">
        <f t="shared" ca="1" si="447"/>
        <v>#N/A</v>
      </c>
      <c r="AM373" s="112">
        <f t="shared" ca="1" si="445"/>
        <v>100000</v>
      </c>
      <c r="AN373" s="112">
        <f t="shared" ca="1" si="442"/>
        <v>100000</v>
      </c>
      <c r="AO373" s="114">
        <f t="shared" ca="1" si="438"/>
        <v>0</v>
      </c>
      <c r="AP373" s="114">
        <f t="shared" ca="1" si="439"/>
        <v>24</v>
      </c>
      <c r="AR373" s="238">
        <f t="shared" si="440"/>
        <v>373</v>
      </c>
      <c r="AU373" s="238">
        <f t="shared" si="441"/>
        <v>354</v>
      </c>
      <c r="AV373" s="238"/>
      <c r="AW373" s="238"/>
      <c r="CJ373" s="112"/>
      <c r="CK373" s="112"/>
      <c r="CN373" s="112"/>
      <c r="CO373" s="112"/>
      <c r="CP373" s="112"/>
      <c r="CQ373" s="112"/>
      <c r="CR373" s="112"/>
      <c r="CS373" s="112"/>
      <c r="CT373" s="112"/>
      <c r="CU373" s="112"/>
      <c r="CV373" s="112"/>
      <c r="CW373" s="112"/>
      <c r="CX373" s="112"/>
      <c r="CY373" s="112"/>
      <c r="CZ373" s="112"/>
      <c r="DA373" s="112"/>
      <c r="DB373" s="112"/>
      <c r="DC373" s="112"/>
      <c r="DD373" s="112"/>
      <c r="DE373" s="112"/>
      <c r="DF373" s="112"/>
      <c r="DG373" s="112"/>
      <c r="DH373" s="112"/>
      <c r="DI373" s="112"/>
      <c r="DJ373" s="112"/>
      <c r="DK373" s="112"/>
      <c r="DL373" s="112"/>
      <c r="DM373" s="112"/>
      <c r="DN373" s="112"/>
      <c r="DO373" t="e">
        <f t="shared" si="444"/>
        <v>#N/A</v>
      </c>
    </row>
    <row r="374" spans="33:119" x14ac:dyDescent="0.25">
      <c r="AG374" s="238">
        <f>AG373</f>
        <v>90</v>
      </c>
      <c r="AH374" s="112" t="e">
        <f ca="1">AI373+1</f>
        <v>#N/A</v>
      </c>
      <c r="AI374" s="112" t="str">
        <f ca="1">INDIRECT(CONCATENATE("AF",AG370))</f>
        <v/>
      </c>
      <c r="AJ374" s="112" t="str">
        <f t="shared" ca="1" si="446"/>
        <v/>
      </c>
      <c r="AK374" s="112">
        <f t="shared" ca="1" si="437"/>
        <v>100000</v>
      </c>
      <c r="AL374" s="238" t="e">
        <f t="shared" ca="1" si="447"/>
        <v>#N/A</v>
      </c>
      <c r="AM374" s="112">
        <f t="shared" ca="1" si="445"/>
        <v>100000</v>
      </c>
      <c r="AN374" s="112">
        <f t="shared" ca="1" si="442"/>
        <v>100000</v>
      </c>
      <c r="AO374" s="114">
        <f t="shared" ca="1" si="438"/>
        <v>0</v>
      </c>
      <c r="AP374" s="114">
        <f t="shared" ca="1" si="439"/>
        <v>24</v>
      </c>
      <c r="AR374" s="238">
        <f t="shared" si="440"/>
        <v>374</v>
      </c>
      <c r="AU374" s="238">
        <f t="shared" si="441"/>
        <v>355</v>
      </c>
      <c r="AV374" s="238"/>
      <c r="AW374" s="238"/>
      <c r="CJ374" s="112"/>
      <c r="CK374" s="112"/>
      <c r="CN374" s="112"/>
      <c r="CO374" s="112"/>
      <c r="CP374" s="112"/>
      <c r="CQ374" s="112"/>
      <c r="CR374" s="112"/>
      <c r="CS374" s="112"/>
      <c r="CT374" s="112"/>
      <c r="CU374" s="112"/>
      <c r="CV374" s="112"/>
      <c r="CW374" s="112"/>
      <c r="CX374" s="112"/>
      <c r="CY374" s="112"/>
      <c r="CZ374" s="112"/>
      <c r="DA374" s="112"/>
      <c r="DB374" s="112"/>
      <c r="DC374" s="112"/>
      <c r="DD374" s="112"/>
      <c r="DE374" s="112"/>
      <c r="DF374" s="112"/>
      <c r="DG374" s="112"/>
      <c r="DH374" s="112"/>
      <c r="DI374" s="112"/>
      <c r="DJ374" s="112"/>
      <c r="DK374" s="112"/>
      <c r="DL374" s="112"/>
      <c r="DM374" s="112"/>
      <c r="DN374" s="112"/>
      <c r="DO374" t="e">
        <f t="shared" si="444"/>
        <v>#N/A</v>
      </c>
    </row>
    <row r="375" spans="33:119" x14ac:dyDescent="0.25">
      <c r="AG375" s="238">
        <f>AG374+1</f>
        <v>91</v>
      </c>
      <c r="AH375" s="112" t="str">
        <f ca="1">INDIRECT(CONCATENATE("AA",AG375))</f>
        <v/>
      </c>
      <c r="AI375" s="112" t="e">
        <f ca="1">IF(            INDIRECT(CONCATENATE( "AB",AG375))&lt;100000,       INDIRECT(CONCATENATE("AB",AG375))  -1,IF(   INDIRECT(CONCATENATE("AC",AG375))&lt;100000,   INDIRECT(CONCATENATE("AC",AG375))-1,IF(   INDIRECT(CONCATENATE("AD", AG375))&lt;100000, INDIRECT(CONCATENATE("AD",AG375))-1,IF(   INDIRECT(CONCATENATE("AE",AG375))&lt;100000,  INDIRECT(CONCATENATE("AE",G375)),INDIRECT(CONCATENATE("AF",AG375))                ))))</f>
        <v>#N/A</v>
      </c>
      <c r="AJ375" s="112" t="str">
        <f t="shared" ca="1" si="446"/>
        <v/>
      </c>
      <c r="AK375" s="112" t="str">
        <f t="shared" ref="AK375:AK438" ca="1" si="448">IF(TYPE(AH375)=16,100000,AJ375)</f>
        <v/>
      </c>
      <c r="AL375" s="238">
        <f t="shared" ca="1" si="447"/>
        <v>0</v>
      </c>
      <c r="AM375" s="112">
        <f t="shared" ca="1" si="445"/>
        <v>100000</v>
      </c>
      <c r="AN375" s="112">
        <f t="shared" ca="1" si="442"/>
        <v>100000</v>
      </c>
      <c r="AO375" s="114">
        <f t="shared" ca="1" si="438"/>
        <v>0</v>
      </c>
      <c r="AP375" s="114">
        <f t="shared" ca="1" si="439"/>
        <v>24</v>
      </c>
      <c r="AR375" s="238">
        <f t="shared" si="440"/>
        <v>375</v>
      </c>
      <c r="AU375" s="238">
        <f t="shared" si="441"/>
        <v>356</v>
      </c>
      <c r="AV375" s="238"/>
      <c r="AW375" s="238"/>
      <c r="CJ375" s="112"/>
      <c r="CK375" s="112"/>
      <c r="CN375" s="112"/>
      <c r="CO375" s="112"/>
      <c r="CP375" s="112"/>
      <c r="CQ375" s="112"/>
      <c r="CR375" s="112"/>
      <c r="CS375" s="112"/>
      <c r="CT375" s="112"/>
      <c r="CU375" s="112"/>
      <c r="CV375" s="112"/>
      <c r="CW375" s="112"/>
      <c r="CX375" s="112"/>
      <c r="CY375" s="112"/>
      <c r="CZ375" s="112"/>
      <c r="DA375" s="112"/>
      <c r="DB375" s="112"/>
      <c r="DC375" s="112"/>
      <c r="DD375" s="112"/>
      <c r="DE375" s="112"/>
      <c r="DF375" s="112"/>
      <c r="DG375" s="112"/>
      <c r="DH375" s="112"/>
      <c r="DI375" s="112"/>
      <c r="DJ375" s="112"/>
      <c r="DK375" s="112"/>
      <c r="DL375" s="112"/>
      <c r="DM375" s="112"/>
      <c r="DN375" s="112"/>
      <c r="DO375" t="e">
        <f t="shared" si="444"/>
        <v>#N/A</v>
      </c>
    </row>
    <row r="376" spans="33:119" x14ac:dyDescent="0.25">
      <c r="AG376" s="238">
        <f>AG375</f>
        <v>91</v>
      </c>
      <c r="AH376" s="112" t="e">
        <f ca="1">AI375+1</f>
        <v>#N/A</v>
      </c>
      <c r="AI376" s="112" t="e">
        <f ca="1">IF(INDIRECT(CONCATENATE("AC",AG375))&lt;100000,INDIRECT(CONCATENATE("AC",AG375))-1,IF(INDIRECT(CONCATENATE("AD",AG375))&lt;100000,INDIRECT(CONCATENATE("AD",AG375))-1,IF(INDIRECT(CONCATENATE("AE",AG375))&lt;100000,INDIRECT(CONCATENATE("AE",G375)),INDIRECT(CONCATENATE("AF",AG375)))))</f>
        <v>#N/A</v>
      </c>
      <c r="AJ376" s="112" t="e">
        <f t="shared" ca="1" si="446"/>
        <v>#N/A</v>
      </c>
      <c r="AK376" s="112">
        <f t="shared" ca="1" si="448"/>
        <v>100000</v>
      </c>
      <c r="AL376" s="238" t="e">
        <f t="shared" ca="1" si="447"/>
        <v>#N/A</v>
      </c>
      <c r="AM376" s="112">
        <f t="shared" ca="1" si="445"/>
        <v>100000</v>
      </c>
      <c r="AN376" s="112">
        <f t="shared" ca="1" si="442"/>
        <v>100000</v>
      </c>
      <c r="AO376" s="114">
        <f t="shared" ca="1" si="438"/>
        <v>0</v>
      </c>
      <c r="AP376" s="114">
        <f t="shared" ca="1" si="439"/>
        <v>24</v>
      </c>
      <c r="AR376" s="238">
        <f t="shared" si="440"/>
        <v>376</v>
      </c>
      <c r="AU376" s="238">
        <f t="shared" si="441"/>
        <v>357</v>
      </c>
      <c r="AV376" s="238"/>
      <c r="AW376" s="238"/>
      <c r="CJ376" s="112"/>
      <c r="CK376" s="112"/>
      <c r="CN376" s="112"/>
      <c r="CO376" s="112"/>
      <c r="CP376" s="112"/>
      <c r="CQ376" s="112"/>
      <c r="CR376" s="112"/>
      <c r="CS376" s="112"/>
      <c r="CT376" s="112"/>
      <c r="CU376" s="112"/>
      <c r="CV376" s="112"/>
      <c r="CW376" s="112"/>
      <c r="CX376" s="112"/>
      <c r="CY376" s="112"/>
      <c r="CZ376" s="112"/>
      <c r="DA376" s="112"/>
      <c r="DB376" s="112"/>
      <c r="DC376" s="112"/>
      <c r="DD376" s="112"/>
      <c r="DE376" s="112"/>
      <c r="DF376" s="112"/>
      <c r="DG376" s="112"/>
      <c r="DH376" s="112"/>
      <c r="DI376" s="112"/>
      <c r="DJ376" s="112"/>
      <c r="DK376" s="112"/>
      <c r="DL376" s="112"/>
      <c r="DM376" s="112"/>
      <c r="DN376" s="112"/>
      <c r="DO376" t="e">
        <f t="shared" si="444"/>
        <v>#N/A</v>
      </c>
    </row>
    <row r="377" spans="33:119" x14ac:dyDescent="0.25">
      <c r="AG377" s="238">
        <f>AG376</f>
        <v>91</v>
      </c>
      <c r="AH377" s="112" t="e">
        <f ca="1">AI376+1</f>
        <v>#N/A</v>
      </c>
      <c r="AI377" s="112" t="e">
        <f ca="1">IF(INDIRECT(CONCATENATE("AD",AG375))&lt;100000,INDIRECT(CONCATENATE("AD",AG375))-1,IF(INDIRECT(CONCATENATE("AE",AG375))&lt;100000,INDIRECT(CONCATENATE("AE",G375)),INDIRECT(CONCATENATE("AF",AG375))))</f>
        <v>#N/A</v>
      </c>
      <c r="AJ377" s="112" t="e">
        <f t="shared" ca="1" si="446"/>
        <v>#N/A</v>
      </c>
      <c r="AK377" s="112">
        <f t="shared" ca="1" si="448"/>
        <v>100000</v>
      </c>
      <c r="AL377" s="238" t="e">
        <f t="shared" ca="1" si="447"/>
        <v>#N/A</v>
      </c>
      <c r="AM377" s="112">
        <f t="shared" ca="1" si="445"/>
        <v>100000</v>
      </c>
      <c r="AN377" s="112">
        <f t="shared" ca="1" si="442"/>
        <v>100000</v>
      </c>
      <c r="AO377" s="114">
        <f t="shared" ca="1" si="438"/>
        <v>0</v>
      </c>
      <c r="AP377" s="114">
        <f t="shared" ca="1" si="439"/>
        <v>24</v>
      </c>
      <c r="AR377" s="238">
        <f t="shared" si="440"/>
        <v>377</v>
      </c>
      <c r="AU377" s="238">
        <f t="shared" si="441"/>
        <v>358</v>
      </c>
      <c r="AV377" s="238"/>
      <c r="AW377" s="238"/>
      <c r="CJ377" s="112"/>
      <c r="CK377" s="112"/>
      <c r="CN377" s="112"/>
      <c r="CO377" s="112"/>
      <c r="CP377" s="112"/>
      <c r="CQ377" s="112"/>
      <c r="CR377" s="112"/>
      <c r="CS377" s="112"/>
      <c r="CT377" s="112"/>
      <c r="CU377" s="112"/>
      <c r="CV377" s="112"/>
      <c r="CW377" s="112"/>
      <c r="CX377" s="112"/>
      <c r="CY377" s="112"/>
      <c r="CZ377" s="112"/>
      <c r="DA377" s="112"/>
      <c r="DB377" s="112"/>
      <c r="DC377" s="112"/>
      <c r="DD377" s="112"/>
      <c r="DE377" s="112"/>
      <c r="DF377" s="112"/>
      <c r="DG377" s="112"/>
      <c r="DH377" s="112"/>
      <c r="DI377" s="112"/>
      <c r="DJ377" s="112"/>
      <c r="DK377" s="112"/>
      <c r="DL377" s="112"/>
      <c r="DM377" s="112"/>
      <c r="DN377" s="112"/>
      <c r="DO377" t="e">
        <f t="shared" si="444"/>
        <v>#N/A</v>
      </c>
    </row>
    <row r="378" spans="33:119" x14ac:dyDescent="0.25">
      <c r="AG378" s="238">
        <f>AG377</f>
        <v>91</v>
      </c>
      <c r="AH378" s="112" t="e">
        <f ca="1">AI377+1</f>
        <v>#N/A</v>
      </c>
      <c r="AI378" s="112" t="e">
        <f ca="1">IF(INDIRECT(CONCATENATE("AE",AG375))&lt;100000,INDIRECT(CONCATENATE("AE",G375)),INDIRECT(CONCATENATE("AF",AG375)))</f>
        <v>#N/A</v>
      </c>
      <c r="AJ378" s="112" t="e">
        <f t="shared" ca="1" si="446"/>
        <v>#N/A</v>
      </c>
      <c r="AK378" s="112">
        <f t="shared" ca="1" si="448"/>
        <v>100000</v>
      </c>
      <c r="AL378" s="238" t="e">
        <f t="shared" ca="1" si="447"/>
        <v>#N/A</v>
      </c>
      <c r="AM378" s="112">
        <f t="shared" ca="1" si="445"/>
        <v>100000</v>
      </c>
      <c r="AN378" s="112">
        <f t="shared" ca="1" si="442"/>
        <v>100000</v>
      </c>
      <c r="AO378" s="114">
        <f t="shared" ca="1" si="438"/>
        <v>0</v>
      </c>
      <c r="AP378" s="114">
        <f t="shared" ca="1" si="439"/>
        <v>24</v>
      </c>
      <c r="AR378" s="238">
        <f t="shared" si="440"/>
        <v>378</v>
      </c>
      <c r="AU378" s="238">
        <f t="shared" si="441"/>
        <v>359</v>
      </c>
      <c r="AV378" s="238"/>
      <c r="AW378" s="238"/>
      <c r="CJ378" s="112"/>
      <c r="CK378" s="112"/>
      <c r="CN378" s="112"/>
      <c r="CO378" s="112"/>
      <c r="CP378" s="112"/>
      <c r="CQ378" s="112"/>
      <c r="CR378" s="112"/>
      <c r="CS378" s="112"/>
      <c r="CT378" s="112"/>
      <c r="CU378" s="112"/>
      <c r="CV378" s="112"/>
      <c r="CW378" s="112"/>
      <c r="CX378" s="112"/>
      <c r="CY378" s="112"/>
      <c r="CZ378" s="112"/>
      <c r="DA378" s="112"/>
      <c r="DB378" s="112"/>
      <c r="DC378" s="112"/>
      <c r="DD378" s="112"/>
      <c r="DE378" s="112"/>
      <c r="DF378" s="112"/>
      <c r="DG378" s="112"/>
      <c r="DH378" s="112"/>
      <c r="DI378" s="112"/>
      <c r="DJ378" s="112"/>
      <c r="DK378" s="112"/>
      <c r="DL378" s="112"/>
      <c r="DM378" s="112"/>
      <c r="DN378" s="112"/>
      <c r="DO378" t="e">
        <f t="shared" si="444"/>
        <v>#N/A</v>
      </c>
    </row>
    <row r="379" spans="33:119" x14ac:dyDescent="0.25">
      <c r="AG379" s="238">
        <f>AG378</f>
        <v>91</v>
      </c>
      <c r="AH379" s="112" t="e">
        <f ca="1">AI378+1</f>
        <v>#N/A</v>
      </c>
      <c r="AI379" s="112" t="str">
        <f ca="1">INDIRECT(CONCATENATE("AF",AG375))</f>
        <v/>
      </c>
      <c r="AJ379" s="112" t="str">
        <f t="shared" ca="1" si="446"/>
        <v/>
      </c>
      <c r="AK379" s="112">
        <f t="shared" ca="1" si="448"/>
        <v>100000</v>
      </c>
      <c r="AL379" s="238" t="e">
        <f t="shared" ca="1" si="447"/>
        <v>#N/A</v>
      </c>
      <c r="AM379" s="112">
        <f t="shared" ca="1" si="445"/>
        <v>100000</v>
      </c>
      <c r="AN379" s="112">
        <f t="shared" ca="1" si="442"/>
        <v>100000</v>
      </c>
      <c r="AO379" s="114">
        <f t="shared" ca="1" si="438"/>
        <v>0</v>
      </c>
      <c r="AP379" s="114">
        <f t="shared" ca="1" si="439"/>
        <v>24</v>
      </c>
      <c r="AR379" s="238">
        <f t="shared" si="440"/>
        <v>379</v>
      </c>
      <c r="AU379" s="238">
        <f t="shared" si="441"/>
        <v>360</v>
      </c>
      <c r="AV379" s="238"/>
      <c r="AW379" s="238"/>
      <c r="CJ379" s="112"/>
      <c r="CK379" s="112"/>
      <c r="CN379" s="112"/>
      <c r="CO379" s="112"/>
      <c r="CP379" s="112"/>
      <c r="CQ379" s="112"/>
      <c r="CR379" s="112"/>
      <c r="CS379" s="112"/>
      <c r="CT379" s="112"/>
      <c r="CU379" s="112"/>
      <c r="CV379" s="112"/>
      <c r="CW379" s="112"/>
      <c r="CX379" s="112"/>
      <c r="CY379" s="112"/>
      <c r="CZ379" s="112"/>
      <c r="DA379" s="112"/>
      <c r="DB379" s="112"/>
      <c r="DC379" s="112"/>
      <c r="DD379" s="112"/>
      <c r="DE379" s="112"/>
      <c r="DF379" s="112"/>
      <c r="DG379" s="112"/>
      <c r="DH379" s="112"/>
      <c r="DI379" s="112"/>
      <c r="DJ379" s="112"/>
      <c r="DK379" s="112"/>
      <c r="DL379" s="112"/>
      <c r="DM379" s="112"/>
      <c r="DN379" s="112"/>
      <c r="DO379" t="e">
        <f t="shared" si="444"/>
        <v>#N/A</v>
      </c>
    </row>
    <row r="380" spans="33:119" x14ac:dyDescent="0.25">
      <c r="AG380" s="238">
        <f>AG379+1</f>
        <v>92</v>
      </c>
      <c r="AH380" s="112" t="str">
        <f ca="1">INDIRECT(CONCATENATE("AA",AG380))</f>
        <v/>
      </c>
      <c r="AI380" s="112" t="e">
        <f ca="1">IF(            INDIRECT(CONCATENATE( "AB",AG380))&lt;100000,       INDIRECT(CONCATENATE("AB",AG380))  -1,IF(   INDIRECT(CONCATENATE("AC",AG380))&lt;100000,   INDIRECT(CONCATENATE("AC",AG380))-1,IF(   INDIRECT(CONCATENATE("AD", AG380))&lt;100000, INDIRECT(CONCATENATE("AD",AG380))-1,IF(   INDIRECT(CONCATENATE("AE",AG380))&lt;100000,  INDIRECT(CONCATENATE("AE",G380)),INDIRECT(CONCATENATE("AF",AG380))                ))))</f>
        <v>#N/A</v>
      </c>
      <c r="AJ380" s="112" t="str">
        <f t="shared" ca="1" si="446"/>
        <v/>
      </c>
      <c r="AK380" s="112" t="str">
        <f t="shared" ca="1" si="448"/>
        <v/>
      </c>
      <c r="AL380" s="238">
        <f t="shared" ca="1" si="447"/>
        <v>0</v>
      </c>
      <c r="AM380" s="112">
        <f t="shared" ca="1" si="445"/>
        <v>100000</v>
      </c>
      <c r="AN380" s="112">
        <f t="shared" ca="1" si="442"/>
        <v>100000</v>
      </c>
      <c r="AO380" s="114">
        <f t="shared" ca="1" si="438"/>
        <v>0</v>
      </c>
      <c r="AP380" s="114">
        <f t="shared" ca="1" si="439"/>
        <v>24</v>
      </c>
      <c r="AR380" s="238">
        <f t="shared" si="440"/>
        <v>380</v>
      </c>
      <c r="AU380" s="238">
        <f t="shared" si="441"/>
        <v>361</v>
      </c>
      <c r="AV380" s="238"/>
      <c r="AW380" s="238"/>
      <c r="CJ380" s="112"/>
      <c r="CK380" s="112"/>
      <c r="CN380" s="112"/>
      <c r="CO380" s="112"/>
      <c r="CP380" s="112"/>
      <c r="CQ380" s="112"/>
      <c r="CR380" s="112"/>
      <c r="CS380" s="112"/>
      <c r="CT380" s="112"/>
      <c r="CU380" s="112"/>
      <c r="CV380" s="112"/>
      <c r="CW380" s="112"/>
      <c r="CX380" s="112"/>
      <c r="CY380" s="112"/>
      <c r="CZ380" s="112"/>
      <c r="DA380" s="112"/>
      <c r="DB380" s="112"/>
      <c r="DC380" s="112"/>
      <c r="DD380" s="112"/>
      <c r="DE380" s="112"/>
      <c r="DF380" s="112"/>
      <c r="DG380" s="112"/>
      <c r="DH380" s="112"/>
      <c r="DI380" s="112"/>
      <c r="DJ380" s="112"/>
      <c r="DK380" s="112"/>
      <c r="DL380" s="112"/>
      <c r="DM380" s="112"/>
      <c r="DN380" s="112"/>
      <c r="DO380" t="e">
        <f t="shared" si="444"/>
        <v>#N/A</v>
      </c>
    </row>
    <row r="381" spans="33:119" x14ac:dyDescent="0.25">
      <c r="AG381" s="238">
        <f>AG380</f>
        <v>92</v>
      </c>
      <c r="AH381" s="112" t="e">
        <f ca="1">AI380+1</f>
        <v>#N/A</v>
      </c>
      <c r="AI381" s="112" t="e">
        <f ca="1">IF(INDIRECT(CONCATENATE("AC",AG380))&lt;100000,INDIRECT(CONCATENATE("AC",AG380))-1,IF(INDIRECT(CONCATENATE("AD",AG380))&lt;100000,INDIRECT(CONCATENATE("AD",AG380))-1,IF(INDIRECT(CONCATENATE("AE",AG380))&lt;100000,INDIRECT(CONCATENATE("AE",G380)),INDIRECT(CONCATENATE("AF",AG380)))))</f>
        <v>#N/A</v>
      </c>
      <c r="AJ381" s="112" t="e">
        <f t="shared" ca="1" si="446"/>
        <v>#N/A</v>
      </c>
      <c r="AK381" s="112">
        <f t="shared" ca="1" si="448"/>
        <v>100000</v>
      </c>
      <c r="AL381" s="238" t="e">
        <f t="shared" ca="1" si="447"/>
        <v>#N/A</v>
      </c>
      <c r="AM381" s="112">
        <f t="shared" ca="1" si="445"/>
        <v>100000</v>
      </c>
      <c r="AN381" s="112">
        <f t="shared" ca="1" si="442"/>
        <v>100000</v>
      </c>
      <c r="AO381" s="114">
        <f t="shared" ca="1" si="438"/>
        <v>0</v>
      </c>
      <c r="AP381" s="114">
        <f t="shared" ca="1" si="439"/>
        <v>24</v>
      </c>
      <c r="AR381" s="238">
        <f t="shared" si="440"/>
        <v>381</v>
      </c>
      <c r="AU381" s="238">
        <f t="shared" si="441"/>
        <v>362</v>
      </c>
      <c r="AV381" s="238"/>
      <c r="AW381" s="238"/>
      <c r="CJ381" s="112"/>
      <c r="CK381" s="112"/>
      <c r="CN381" s="112"/>
      <c r="CO381" s="112"/>
      <c r="CP381" s="112"/>
      <c r="CQ381" s="112"/>
      <c r="CR381" s="112"/>
      <c r="CS381" s="112"/>
      <c r="CT381" s="112"/>
      <c r="CU381" s="112"/>
      <c r="CV381" s="112"/>
      <c r="CW381" s="112"/>
      <c r="CX381" s="112"/>
      <c r="CY381" s="112"/>
      <c r="CZ381" s="112"/>
      <c r="DA381" s="112"/>
      <c r="DB381" s="112"/>
      <c r="DC381" s="112"/>
      <c r="DD381" s="112"/>
      <c r="DE381" s="112"/>
      <c r="DF381" s="112"/>
      <c r="DG381" s="112"/>
      <c r="DH381" s="112"/>
      <c r="DI381" s="112"/>
      <c r="DJ381" s="112"/>
      <c r="DK381" s="112"/>
      <c r="DL381" s="112"/>
      <c r="DM381" s="112"/>
      <c r="DN381" s="112"/>
      <c r="DO381" t="e">
        <f t="shared" si="444"/>
        <v>#N/A</v>
      </c>
    </row>
    <row r="382" spans="33:119" x14ac:dyDescent="0.25">
      <c r="AG382" s="238">
        <f>AG381</f>
        <v>92</v>
      </c>
      <c r="AH382" s="112" t="e">
        <f ca="1">AI381+1</f>
        <v>#N/A</v>
      </c>
      <c r="AI382" s="112" t="e">
        <f ca="1">IF(INDIRECT(CONCATENATE("AD",AG380))&lt;100000,INDIRECT(CONCATENATE("AD",AG380))-1,IF(INDIRECT(CONCATENATE("AE",AG380))&lt;100000,INDIRECT(CONCATENATE("AE",G380)),INDIRECT(CONCATENATE("AF",AG380))))</f>
        <v>#N/A</v>
      </c>
      <c r="AJ382" s="112" t="e">
        <f t="shared" ca="1" si="446"/>
        <v>#N/A</v>
      </c>
      <c r="AK382" s="112">
        <f t="shared" ca="1" si="448"/>
        <v>100000</v>
      </c>
      <c r="AL382" s="238" t="e">
        <f t="shared" ca="1" si="447"/>
        <v>#N/A</v>
      </c>
      <c r="AM382" s="112">
        <f t="shared" ca="1" si="445"/>
        <v>100000</v>
      </c>
      <c r="AN382" s="112">
        <f t="shared" ca="1" si="442"/>
        <v>100000</v>
      </c>
      <c r="AO382" s="114">
        <f t="shared" ca="1" si="438"/>
        <v>0</v>
      </c>
      <c r="AP382" s="114">
        <f t="shared" ca="1" si="439"/>
        <v>24</v>
      </c>
      <c r="AR382" s="238">
        <f t="shared" si="440"/>
        <v>382</v>
      </c>
      <c r="AU382" s="238">
        <f t="shared" si="441"/>
        <v>363</v>
      </c>
      <c r="AV382" s="238"/>
      <c r="AW382" s="238"/>
      <c r="CJ382" s="112"/>
      <c r="CK382" s="112"/>
      <c r="CN382" s="112"/>
      <c r="CO382" s="112"/>
      <c r="CP382" s="112"/>
      <c r="CQ382" s="112"/>
      <c r="CR382" s="112"/>
      <c r="CS382" s="112"/>
      <c r="CT382" s="112"/>
      <c r="CU382" s="112"/>
      <c r="CV382" s="112"/>
      <c r="CW382" s="112"/>
      <c r="CX382" s="112"/>
      <c r="CY382" s="112"/>
      <c r="CZ382" s="112"/>
      <c r="DA382" s="112"/>
      <c r="DB382" s="112"/>
      <c r="DC382" s="112"/>
      <c r="DD382" s="112"/>
      <c r="DE382" s="112"/>
      <c r="DF382" s="112"/>
      <c r="DG382" s="112"/>
      <c r="DH382" s="112"/>
      <c r="DI382" s="112"/>
      <c r="DJ382" s="112"/>
      <c r="DK382" s="112"/>
      <c r="DL382" s="112"/>
      <c r="DM382" s="112"/>
      <c r="DN382" s="112"/>
      <c r="DO382" t="e">
        <f t="shared" si="444"/>
        <v>#N/A</v>
      </c>
    </row>
    <row r="383" spans="33:119" x14ac:dyDescent="0.25">
      <c r="AG383" s="238">
        <f>AG382</f>
        <v>92</v>
      </c>
      <c r="AH383" s="112" t="e">
        <f ca="1">AI382+1</f>
        <v>#N/A</v>
      </c>
      <c r="AI383" s="112" t="e">
        <f ca="1">IF(INDIRECT(CONCATENATE("AE",AG380))&lt;100000,INDIRECT(CONCATENATE("AE",G380)),INDIRECT(CONCATENATE("AF",AG380)))</f>
        <v>#N/A</v>
      </c>
      <c r="AJ383" s="112" t="e">
        <f t="shared" ca="1" si="446"/>
        <v>#N/A</v>
      </c>
      <c r="AK383" s="112">
        <f t="shared" ca="1" si="448"/>
        <v>100000</v>
      </c>
      <c r="AL383" s="238" t="e">
        <f t="shared" ca="1" si="447"/>
        <v>#N/A</v>
      </c>
      <c r="AM383" s="112">
        <f t="shared" ca="1" si="445"/>
        <v>100000</v>
      </c>
      <c r="AN383" s="112">
        <f t="shared" ca="1" si="442"/>
        <v>100000</v>
      </c>
      <c r="AO383" s="114">
        <f t="shared" ca="1" si="438"/>
        <v>0</v>
      </c>
      <c r="AP383" s="114">
        <f t="shared" ca="1" si="439"/>
        <v>24</v>
      </c>
      <c r="AR383" s="238">
        <f t="shared" si="440"/>
        <v>383</v>
      </c>
      <c r="AU383" s="238">
        <f t="shared" si="441"/>
        <v>364</v>
      </c>
      <c r="AV383" s="238"/>
      <c r="AW383" s="238"/>
      <c r="CJ383" s="112"/>
      <c r="CK383" s="112"/>
      <c r="CN383" s="112"/>
      <c r="CO383" s="112"/>
      <c r="CP383" s="112"/>
      <c r="CQ383" s="112"/>
      <c r="CR383" s="112"/>
      <c r="CS383" s="112"/>
      <c r="CT383" s="112"/>
      <c r="CU383" s="112"/>
      <c r="CV383" s="112"/>
      <c r="CW383" s="112"/>
      <c r="CX383" s="112"/>
      <c r="CY383" s="112"/>
      <c r="CZ383" s="112"/>
      <c r="DA383" s="112"/>
      <c r="DB383" s="112"/>
      <c r="DC383" s="112"/>
      <c r="DD383" s="112"/>
      <c r="DE383" s="112"/>
      <c r="DF383" s="112"/>
      <c r="DG383" s="112"/>
      <c r="DH383" s="112"/>
      <c r="DI383" s="112"/>
      <c r="DJ383" s="112"/>
      <c r="DK383" s="112"/>
      <c r="DL383" s="112"/>
      <c r="DM383" s="112"/>
      <c r="DN383" s="112"/>
      <c r="DO383" t="e">
        <f t="shared" si="444"/>
        <v>#N/A</v>
      </c>
    </row>
    <row r="384" spans="33:119" x14ac:dyDescent="0.25">
      <c r="AG384" s="238">
        <f>AG383</f>
        <v>92</v>
      </c>
      <c r="AH384" s="112" t="e">
        <f ca="1">AI383+1</f>
        <v>#N/A</v>
      </c>
      <c r="AI384" s="112" t="str">
        <f ca="1">INDIRECT(CONCATENATE("AF",AG380))</f>
        <v/>
      </c>
      <c r="AJ384" s="112" t="str">
        <f t="shared" ca="1" si="446"/>
        <v/>
      </c>
      <c r="AK384" s="112">
        <f t="shared" ca="1" si="448"/>
        <v>100000</v>
      </c>
      <c r="AL384" s="238" t="e">
        <f t="shared" ca="1" si="447"/>
        <v>#N/A</v>
      </c>
      <c r="AM384" s="112">
        <f t="shared" ca="1" si="445"/>
        <v>100000</v>
      </c>
      <c r="AN384" s="112">
        <f t="shared" ca="1" si="442"/>
        <v>100000</v>
      </c>
      <c r="AO384" s="114">
        <f t="shared" ca="1" si="438"/>
        <v>0</v>
      </c>
      <c r="AP384" s="114">
        <f t="shared" ca="1" si="439"/>
        <v>24</v>
      </c>
      <c r="AR384" s="238">
        <f t="shared" si="440"/>
        <v>384</v>
      </c>
      <c r="AU384" s="238">
        <f t="shared" si="441"/>
        <v>365</v>
      </c>
      <c r="AV384" s="238"/>
      <c r="AW384" s="238"/>
      <c r="CJ384" s="112"/>
      <c r="CK384" s="112"/>
      <c r="CN384" s="112"/>
      <c r="CO384" s="112"/>
      <c r="CP384" s="112"/>
      <c r="CQ384" s="112"/>
      <c r="CR384" s="112"/>
      <c r="CS384" s="112"/>
      <c r="CT384" s="112"/>
      <c r="CU384" s="112"/>
      <c r="CV384" s="112"/>
      <c r="CW384" s="112"/>
      <c r="CX384" s="112"/>
      <c r="CY384" s="112"/>
      <c r="CZ384" s="112"/>
      <c r="DA384" s="112"/>
      <c r="DB384" s="112"/>
      <c r="DC384" s="112"/>
      <c r="DD384" s="112"/>
      <c r="DE384" s="112"/>
      <c r="DF384" s="112"/>
      <c r="DG384" s="112"/>
      <c r="DH384" s="112"/>
      <c r="DI384" s="112"/>
      <c r="DJ384" s="112"/>
      <c r="DK384" s="112"/>
      <c r="DL384" s="112"/>
      <c r="DM384" s="112"/>
      <c r="DN384" s="112"/>
      <c r="DO384" t="e">
        <f t="shared" si="444"/>
        <v>#N/A</v>
      </c>
    </row>
    <row r="385" spans="33:119" x14ac:dyDescent="0.25">
      <c r="AG385" s="238">
        <f>AG384+1</f>
        <v>93</v>
      </c>
      <c r="AH385" s="112" t="str">
        <f ca="1">INDIRECT(CONCATENATE("AA",AG385))</f>
        <v/>
      </c>
      <c r="AI385" s="112" t="e">
        <f ca="1">IF(            INDIRECT(CONCATENATE( "AB",AG385))&lt;100000,       INDIRECT(CONCATENATE("AB",AG385))  -1,IF(   INDIRECT(CONCATENATE("AC",AG385))&lt;100000,   INDIRECT(CONCATENATE("AC",AG385))-1,IF(   INDIRECT(CONCATENATE("AD", AG385))&lt;100000, INDIRECT(CONCATENATE("AD",AG385))-1,IF(   INDIRECT(CONCATENATE("AE",AG385))&lt;100000,  INDIRECT(CONCATENATE("AE",G385)),INDIRECT(CONCATENATE("AF",AG385))                ))))</f>
        <v>#N/A</v>
      </c>
      <c r="AJ385" s="112" t="str">
        <f t="shared" ca="1" si="446"/>
        <v/>
      </c>
      <c r="AK385" s="112" t="str">
        <f t="shared" ca="1" si="448"/>
        <v/>
      </c>
      <c r="AL385" s="238">
        <f t="shared" ca="1" si="447"/>
        <v>0</v>
      </c>
      <c r="AM385" s="112">
        <f t="shared" ca="1" si="445"/>
        <v>100000</v>
      </c>
      <c r="AN385" s="112">
        <f t="shared" ca="1" si="442"/>
        <v>100000</v>
      </c>
      <c r="AO385" s="114">
        <f t="shared" ca="1" si="438"/>
        <v>0</v>
      </c>
      <c r="AP385" s="114">
        <f t="shared" ca="1" si="439"/>
        <v>24</v>
      </c>
      <c r="AR385" s="238">
        <f t="shared" si="440"/>
        <v>385</v>
      </c>
      <c r="AU385" s="238">
        <f t="shared" si="441"/>
        <v>366</v>
      </c>
      <c r="AV385" s="238"/>
      <c r="AW385" s="238"/>
      <c r="CJ385" s="112"/>
      <c r="CK385" s="112"/>
      <c r="CN385" s="112"/>
      <c r="CO385" s="112"/>
      <c r="CP385" s="112"/>
      <c r="CQ385" s="112"/>
      <c r="CR385" s="112"/>
      <c r="CS385" s="112"/>
      <c r="CT385" s="112"/>
      <c r="CU385" s="112"/>
      <c r="CV385" s="112"/>
      <c r="CW385" s="112"/>
      <c r="CX385" s="112"/>
      <c r="CY385" s="112"/>
      <c r="CZ385" s="112"/>
      <c r="DA385" s="112"/>
      <c r="DB385" s="112"/>
      <c r="DC385" s="112"/>
      <c r="DD385" s="112"/>
      <c r="DE385" s="112"/>
      <c r="DF385" s="112"/>
      <c r="DG385" s="112"/>
      <c r="DH385" s="112"/>
      <c r="DI385" s="112"/>
      <c r="DJ385" s="112"/>
      <c r="DK385" s="112"/>
      <c r="DL385" s="112"/>
      <c r="DM385" s="112"/>
      <c r="DN385" s="112"/>
      <c r="DO385" t="e">
        <f t="shared" si="444"/>
        <v>#N/A</v>
      </c>
    </row>
    <row r="386" spans="33:119" x14ac:dyDescent="0.25">
      <c r="AG386" s="238">
        <f>AG385</f>
        <v>93</v>
      </c>
      <c r="AH386" s="112" t="e">
        <f ca="1">AI385+1</f>
        <v>#N/A</v>
      </c>
      <c r="AI386" s="112" t="e">
        <f ca="1">IF(INDIRECT(CONCATENATE("AC",AG385))&lt;100000,INDIRECT(CONCATENATE("AC",AG385))-1,IF(INDIRECT(CONCATENATE("AD",AG385))&lt;100000,INDIRECT(CONCATENATE("AD",AG385))-1,IF(INDIRECT(CONCATENATE("AE",AG385))&lt;100000,INDIRECT(CONCATENATE("AE",G385)),INDIRECT(CONCATENATE("AF",AG385)))))</f>
        <v>#N/A</v>
      </c>
      <c r="AJ386" s="112" t="e">
        <f t="shared" ca="1" si="446"/>
        <v>#N/A</v>
      </c>
      <c r="AK386" s="112">
        <f t="shared" ca="1" si="448"/>
        <v>100000</v>
      </c>
      <c r="AL386" s="238" t="e">
        <f t="shared" ca="1" si="447"/>
        <v>#N/A</v>
      </c>
      <c r="AM386" s="112">
        <f t="shared" ca="1" si="445"/>
        <v>100000</v>
      </c>
      <c r="AN386" s="112">
        <f t="shared" ca="1" si="442"/>
        <v>100000</v>
      </c>
      <c r="AO386" s="114">
        <f t="shared" ca="1" si="438"/>
        <v>0</v>
      </c>
      <c r="AP386" s="114">
        <f t="shared" ca="1" si="439"/>
        <v>24</v>
      </c>
      <c r="AR386" s="238">
        <f t="shared" si="440"/>
        <v>386</v>
      </c>
      <c r="AU386" s="238">
        <f t="shared" si="441"/>
        <v>367</v>
      </c>
      <c r="AV386" s="238"/>
      <c r="AW386" s="238"/>
      <c r="CJ386" s="112"/>
      <c r="CK386" s="112"/>
      <c r="CN386" s="112"/>
      <c r="CO386" s="112"/>
      <c r="CP386" s="112"/>
      <c r="CQ386" s="112"/>
      <c r="CR386" s="112"/>
      <c r="CS386" s="112"/>
      <c r="CT386" s="112"/>
      <c r="CU386" s="112"/>
      <c r="CV386" s="112"/>
      <c r="CW386" s="112"/>
      <c r="CX386" s="112"/>
      <c r="CY386" s="112"/>
      <c r="CZ386" s="112"/>
      <c r="DA386" s="112"/>
      <c r="DB386" s="112"/>
      <c r="DC386" s="112"/>
      <c r="DD386" s="112"/>
      <c r="DE386" s="112"/>
      <c r="DF386" s="112"/>
      <c r="DG386" s="112"/>
      <c r="DH386" s="112"/>
      <c r="DI386" s="112"/>
      <c r="DJ386" s="112"/>
      <c r="DK386" s="112"/>
      <c r="DL386" s="112"/>
      <c r="DM386" s="112"/>
      <c r="DN386" s="112"/>
      <c r="DO386" t="e">
        <f t="shared" si="444"/>
        <v>#N/A</v>
      </c>
    </row>
    <row r="387" spans="33:119" x14ac:dyDescent="0.25">
      <c r="AG387" s="238">
        <f>AG386</f>
        <v>93</v>
      </c>
      <c r="AH387" s="112" t="e">
        <f ca="1">AI386+1</f>
        <v>#N/A</v>
      </c>
      <c r="AI387" s="112" t="e">
        <f ca="1">IF(INDIRECT(CONCATENATE("AD",AG385))&lt;100000,INDIRECT(CONCATENATE("AD",AG385))-1,IF(INDIRECT(CONCATENATE("AE",AG385))&lt;100000,INDIRECT(CONCATENATE("AE",G385)),INDIRECT(CONCATENATE("AF",AG385))))</f>
        <v>#N/A</v>
      </c>
      <c r="AJ387" s="112" t="e">
        <f t="shared" ca="1" si="446"/>
        <v>#N/A</v>
      </c>
      <c r="AK387" s="112">
        <f t="shared" ca="1" si="448"/>
        <v>100000</v>
      </c>
      <c r="AL387" s="238" t="e">
        <f t="shared" ca="1" si="447"/>
        <v>#N/A</v>
      </c>
      <c r="AM387" s="112">
        <f t="shared" ca="1" si="445"/>
        <v>100000</v>
      </c>
      <c r="AN387" s="112">
        <f t="shared" ca="1" si="442"/>
        <v>100000</v>
      </c>
      <c r="AO387" s="114">
        <f t="shared" ca="1" si="438"/>
        <v>0</v>
      </c>
      <c r="AP387" s="114">
        <f t="shared" ca="1" si="439"/>
        <v>24</v>
      </c>
      <c r="AR387" s="238">
        <f t="shared" si="440"/>
        <v>387</v>
      </c>
      <c r="AU387" s="238">
        <f t="shared" si="441"/>
        <v>368</v>
      </c>
      <c r="AV387" s="238"/>
      <c r="AW387" s="238"/>
      <c r="CJ387" s="112"/>
      <c r="CK387" s="112"/>
      <c r="CN387" s="112"/>
      <c r="CO387" s="112"/>
      <c r="CP387" s="112"/>
      <c r="CQ387" s="112"/>
      <c r="CR387" s="112"/>
      <c r="CS387" s="112"/>
      <c r="CT387" s="112"/>
      <c r="CU387" s="112"/>
      <c r="CV387" s="112"/>
      <c r="CW387" s="112"/>
      <c r="CX387" s="112"/>
      <c r="CY387" s="112"/>
      <c r="CZ387" s="112"/>
      <c r="DA387" s="112"/>
      <c r="DB387" s="112"/>
      <c r="DC387" s="112"/>
      <c r="DD387" s="112"/>
      <c r="DE387" s="112"/>
      <c r="DF387" s="112"/>
      <c r="DG387" s="112"/>
      <c r="DH387" s="112"/>
      <c r="DI387" s="112"/>
      <c r="DJ387" s="112"/>
      <c r="DK387" s="112"/>
      <c r="DL387" s="112"/>
      <c r="DM387" s="112"/>
      <c r="DN387" s="112"/>
      <c r="DO387" t="e">
        <f t="shared" si="444"/>
        <v>#N/A</v>
      </c>
    </row>
    <row r="388" spans="33:119" x14ac:dyDescent="0.25">
      <c r="AG388" s="238">
        <f>AG387</f>
        <v>93</v>
      </c>
      <c r="AH388" s="112" t="e">
        <f ca="1">AI387+1</f>
        <v>#N/A</v>
      </c>
      <c r="AI388" s="112" t="e">
        <f ca="1">IF(INDIRECT(CONCATENATE("AE",AG385))&lt;100000,INDIRECT(CONCATENATE("AE",G385)),INDIRECT(CONCATENATE("AF",AG385)))</f>
        <v>#N/A</v>
      </c>
      <c r="AJ388" s="112" t="e">
        <f t="shared" ca="1" si="446"/>
        <v>#N/A</v>
      </c>
      <c r="AK388" s="112">
        <f t="shared" ca="1" si="448"/>
        <v>100000</v>
      </c>
      <c r="AL388" s="238" t="e">
        <f t="shared" ca="1" si="447"/>
        <v>#N/A</v>
      </c>
      <c r="AM388" s="112">
        <f t="shared" ca="1" si="445"/>
        <v>100000</v>
      </c>
      <c r="AN388" s="112">
        <f t="shared" ca="1" si="442"/>
        <v>100000</v>
      </c>
      <c r="AO388" s="114">
        <f t="shared" ca="1" si="438"/>
        <v>0</v>
      </c>
      <c r="AP388" s="114">
        <f t="shared" ca="1" si="439"/>
        <v>24</v>
      </c>
      <c r="AR388" s="238">
        <f t="shared" si="440"/>
        <v>388</v>
      </c>
      <c r="AU388" s="238">
        <f t="shared" si="441"/>
        <v>369</v>
      </c>
      <c r="AV388" s="238"/>
      <c r="AW388" s="238"/>
      <c r="CJ388" s="112"/>
      <c r="CK388" s="112"/>
      <c r="CN388" s="112"/>
      <c r="CO388" s="112"/>
      <c r="CP388" s="112"/>
      <c r="CQ388" s="112"/>
      <c r="CR388" s="112"/>
      <c r="CS388" s="112"/>
      <c r="CT388" s="112"/>
      <c r="CU388" s="112"/>
      <c r="CV388" s="112"/>
      <c r="CW388" s="112"/>
      <c r="CX388" s="112"/>
      <c r="CY388" s="112"/>
      <c r="CZ388" s="112"/>
      <c r="DA388" s="112"/>
      <c r="DB388" s="112"/>
      <c r="DC388" s="112"/>
      <c r="DD388" s="112"/>
      <c r="DE388" s="112"/>
      <c r="DF388" s="112"/>
      <c r="DG388" s="112"/>
      <c r="DH388" s="112"/>
      <c r="DI388" s="112"/>
      <c r="DJ388" s="112"/>
      <c r="DK388" s="112"/>
      <c r="DL388" s="112"/>
      <c r="DM388" s="112"/>
      <c r="DN388" s="112"/>
      <c r="DO388" t="e">
        <f t="shared" si="444"/>
        <v>#N/A</v>
      </c>
    </row>
    <row r="389" spans="33:119" x14ac:dyDescent="0.25">
      <c r="AG389" s="238">
        <f>AG388</f>
        <v>93</v>
      </c>
      <c r="AH389" s="112" t="e">
        <f ca="1">AI388+1</f>
        <v>#N/A</v>
      </c>
      <c r="AI389" s="112" t="str">
        <f ca="1">INDIRECT(CONCATENATE("AF",AG385))</f>
        <v/>
      </c>
      <c r="AJ389" s="112" t="str">
        <f t="shared" ca="1" si="446"/>
        <v/>
      </c>
      <c r="AK389" s="112">
        <f t="shared" ca="1" si="448"/>
        <v>100000</v>
      </c>
      <c r="AL389" s="238" t="e">
        <f t="shared" ca="1" si="447"/>
        <v>#N/A</v>
      </c>
      <c r="AM389" s="112">
        <f t="shared" ca="1" si="445"/>
        <v>100000</v>
      </c>
      <c r="AN389" s="112">
        <f t="shared" ca="1" si="442"/>
        <v>100000</v>
      </c>
      <c r="AO389" s="114">
        <f t="shared" ca="1" si="438"/>
        <v>0</v>
      </c>
      <c r="AP389" s="114">
        <f t="shared" ca="1" si="439"/>
        <v>24</v>
      </c>
      <c r="AR389" s="238">
        <f t="shared" si="440"/>
        <v>389</v>
      </c>
      <c r="AU389" s="238">
        <f t="shared" si="441"/>
        <v>370</v>
      </c>
      <c r="AV389" s="238"/>
      <c r="AW389" s="238"/>
      <c r="CJ389" s="112"/>
      <c r="CK389" s="112"/>
      <c r="CN389" s="112"/>
      <c r="CO389" s="112"/>
      <c r="CP389" s="112"/>
      <c r="CQ389" s="112"/>
      <c r="CR389" s="112"/>
      <c r="CS389" s="112"/>
      <c r="CT389" s="112"/>
      <c r="CU389" s="112"/>
      <c r="CV389" s="112"/>
      <c r="CW389" s="112"/>
      <c r="CX389" s="112"/>
      <c r="CY389" s="112"/>
      <c r="CZ389" s="112"/>
      <c r="DA389" s="112"/>
      <c r="DB389" s="112"/>
      <c r="DC389" s="112"/>
      <c r="DD389" s="112"/>
      <c r="DE389" s="112"/>
      <c r="DF389" s="112"/>
      <c r="DG389" s="112"/>
      <c r="DH389" s="112"/>
      <c r="DI389" s="112"/>
      <c r="DJ389" s="112"/>
      <c r="DK389" s="112"/>
      <c r="DL389" s="112"/>
      <c r="DM389" s="112"/>
      <c r="DN389" s="112"/>
      <c r="DO389" t="e">
        <f t="shared" si="444"/>
        <v>#N/A</v>
      </c>
    </row>
    <row r="390" spans="33:119" x14ac:dyDescent="0.25">
      <c r="AG390" s="238">
        <f>AG389+1</f>
        <v>94</v>
      </c>
      <c r="AH390" s="112" t="str">
        <f ca="1">INDIRECT(CONCATENATE("AA",AG390))</f>
        <v/>
      </c>
      <c r="AI390" s="112" t="e">
        <f ca="1">IF(            INDIRECT(CONCATENATE( "AB",AG390))&lt;100000,       INDIRECT(CONCATENATE("AB",AG390))  -1,IF(   INDIRECT(CONCATENATE("AC",AG390))&lt;100000,   INDIRECT(CONCATENATE("AC",AG390))-1,IF(   INDIRECT(CONCATENATE("AD", AG390))&lt;100000, INDIRECT(CONCATENATE("AD",AG390))-1,IF(   INDIRECT(CONCATENATE("AE",AG390))&lt;100000,  INDIRECT(CONCATENATE("AE",G390)),INDIRECT(CONCATENATE("AF",AG390))                ))))</f>
        <v>#N/A</v>
      </c>
      <c r="AJ390" s="112" t="str">
        <f t="shared" ca="1" si="446"/>
        <v/>
      </c>
      <c r="AK390" s="112" t="str">
        <f t="shared" ca="1" si="448"/>
        <v/>
      </c>
      <c r="AL390" s="238">
        <f t="shared" ca="1" si="447"/>
        <v>0</v>
      </c>
      <c r="AM390" s="112">
        <f t="shared" ca="1" si="445"/>
        <v>100000</v>
      </c>
      <c r="AN390" s="112">
        <f t="shared" ca="1" si="442"/>
        <v>100000</v>
      </c>
      <c r="AO390" s="114">
        <f t="shared" ca="1" si="438"/>
        <v>0</v>
      </c>
      <c r="AP390" s="114">
        <f t="shared" ca="1" si="439"/>
        <v>24</v>
      </c>
      <c r="AR390" s="238">
        <f t="shared" si="440"/>
        <v>390</v>
      </c>
      <c r="AU390" s="238">
        <f t="shared" si="441"/>
        <v>371</v>
      </c>
      <c r="AV390" s="238"/>
      <c r="AW390" s="238"/>
      <c r="CJ390" s="112"/>
      <c r="CK390" s="112"/>
      <c r="CN390" s="112"/>
      <c r="CO390" s="112"/>
      <c r="CP390" s="112"/>
      <c r="CQ390" s="112"/>
      <c r="CR390" s="112"/>
      <c r="CS390" s="112"/>
      <c r="CT390" s="112"/>
      <c r="CU390" s="112"/>
      <c r="CV390" s="112"/>
      <c r="CW390" s="112"/>
      <c r="CX390" s="112"/>
      <c r="CY390" s="112"/>
      <c r="CZ390" s="112"/>
      <c r="DA390" s="112"/>
      <c r="DB390" s="112"/>
      <c r="DC390" s="112"/>
      <c r="DD390" s="112"/>
      <c r="DE390" s="112"/>
      <c r="DF390" s="112"/>
      <c r="DG390" s="112"/>
      <c r="DH390" s="112"/>
      <c r="DI390" s="112"/>
      <c r="DJ390" s="112"/>
      <c r="DK390" s="112"/>
      <c r="DL390" s="112"/>
      <c r="DM390" s="112"/>
      <c r="DN390" s="112"/>
      <c r="DO390" t="e">
        <f t="shared" si="444"/>
        <v>#N/A</v>
      </c>
    </row>
    <row r="391" spans="33:119" x14ac:dyDescent="0.25">
      <c r="AG391" s="238">
        <f>AG390</f>
        <v>94</v>
      </c>
      <c r="AH391" s="112" t="e">
        <f ca="1">AI390+1</f>
        <v>#N/A</v>
      </c>
      <c r="AI391" s="112" t="e">
        <f ca="1">IF(INDIRECT(CONCATENATE("AC",AG390))&lt;100000,INDIRECT(CONCATENATE("AC",AG390))-1,IF(INDIRECT(CONCATENATE("AD",AG390))&lt;100000,INDIRECT(CONCATENATE("AD",AG390))-1,IF(INDIRECT(CONCATENATE("AE",AG390))&lt;100000,INDIRECT(CONCATENATE("AE",G390)),INDIRECT(CONCATENATE("AF",AG390)))))</f>
        <v>#N/A</v>
      </c>
      <c r="AJ391" s="112" t="e">
        <f t="shared" ca="1" si="446"/>
        <v>#N/A</v>
      </c>
      <c r="AK391" s="112">
        <f t="shared" ca="1" si="448"/>
        <v>100000</v>
      </c>
      <c r="AL391" s="238" t="e">
        <f t="shared" ca="1" si="447"/>
        <v>#N/A</v>
      </c>
      <c r="AM391" s="112">
        <f t="shared" ca="1" si="445"/>
        <v>100000</v>
      </c>
      <c r="AN391" s="112">
        <f t="shared" ca="1" si="442"/>
        <v>100000</v>
      </c>
      <c r="AO391" s="114">
        <f t="shared" ca="1" si="438"/>
        <v>0</v>
      </c>
      <c r="AP391" s="114">
        <f t="shared" ca="1" si="439"/>
        <v>24</v>
      </c>
      <c r="AR391" s="238">
        <f t="shared" si="440"/>
        <v>391</v>
      </c>
      <c r="AU391" s="238">
        <f t="shared" si="441"/>
        <v>372</v>
      </c>
      <c r="AV391" s="238"/>
      <c r="AW391" s="238"/>
      <c r="CJ391" s="112"/>
      <c r="CK391" s="112"/>
      <c r="CN391" s="112"/>
      <c r="CO391" s="112"/>
      <c r="CP391" s="112"/>
      <c r="CQ391" s="112"/>
      <c r="CR391" s="112"/>
      <c r="CS391" s="112"/>
      <c r="CT391" s="112"/>
      <c r="CU391" s="112"/>
      <c r="CV391" s="112"/>
      <c r="CW391" s="112"/>
      <c r="CX391" s="112"/>
      <c r="CY391" s="112"/>
      <c r="CZ391" s="112"/>
      <c r="DA391" s="112"/>
      <c r="DB391" s="112"/>
      <c r="DC391" s="112"/>
      <c r="DD391" s="112"/>
      <c r="DE391" s="112"/>
      <c r="DF391" s="112"/>
      <c r="DG391" s="112"/>
      <c r="DH391" s="112"/>
      <c r="DI391" s="112"/>
      <c r="DJ391" s="112"/>
      <c r="DK391" s="112"/>
      <c r="DL391" s="112"/>
      <c r="DM391" s="112"/>
      <c r="DN391" s="112"/>
      <c r="DO391" t="e">
        <f t="shared" si="444"/>
        <v>#N/A</v>
      </c>
    </row>
    <row r="392" spans="33:119" x14ac:dyDescent="0.25">
      <c r="AG392" s="238">
        <f>AG391</f>
        <v>94</v>
      </c>
      <c r="AH392" s="112" t="e">
        <f ca="1">AI391+1</f>
        <v>#N/A</v>
      </c>
      <c r="AI392" s="112" t="e">
        <f ca="1">IF(INDIRECT(CONCATENATE("AD",AG390))&lt;100000,INDIRECT(CONCATENATE("AD",AG390))-1,IF(INDIRECT(CONCATENATE("AE",AG390))&lt;100000,INDIRECT(CONCATENATE("AE",G390)),INDIRECT(CONCATENATE("AF",AG390))))</f>
        <v>#N/A</v>
      </c>
      <c r="AJ392" s="112" t="e">
        <f t="shared" ca="1" si="446"/>
        <v>#N/A</v>
      </c>
      <c r="AK392" s="112">
        <f t="shared" ca="1" si="448"/>
        <v>100000</v>
      </c>
      <c r="AL392" s="238" t="e">
        <f t="shared" ca="1" si="447"/>
        <v>#N/A</v>
      </c>
      <c r="AM392" s="112">
        <f t="shared" ca="1" si="445"/>
        <v>100000</v>
      </c>
      <c r="AN392" s="112">
        <f t="shared" ca="1" si="442"/>
        <v>100000</v>
      </c>
      <c r="AO392" s="114">
        <f t="shared" ca="1" si="438"/>
        <v>0</v>
      </c>
      <c r="AP392" s="114">
        <f t="shared" ca="1" si="439"/>
        <v>24</v>
      </c>
      <c r="AR392" s="238">
        <f t="shared" si="440"/>
        <v>392</v>
      </c>
      <c r="AU392" s="238">
        <f t="shared" si="441"/>
        <v>373</v>
      </c>
      <c r="AV392" s="238"/>
      <c r="AW392" s="238"/>
      <c r="CJ392" s="112"/>
      <c r="CK392" s="112"/>
      <c r="CN392" s="112"/>
      <c r="CO392" s="112"/>
      <c r="CP392" s="112"/>
      <c r="CQ392" s="112"/>
      <c r="CR392" s="112"/>
      <c r="CS392" s="112"/>
      <c r="CT392" s="112"/>
      <c r="CU392" s="112"/>
      <c r="CV392" s="112"/>
      <c r="CW392" s="112"/>
      <c r="CX392" s="112"/>
      <c r="CY392" s="112"/>
      <c r="CZ392" s="112"/>
      <c r="DA392" s="112"/>
      <c r="DB392" s="112"/>
      <c r="DC392" s="112"/>
      <c r="DD392" s="112"/>
      <c r="DE392" s="112"/>
      <c r="DF392" s="112"/>
      <c r="DG392" s="112"/>
      <c r="DH392" s="112"/>
      <c r="DI392" s="112"/>
      <c r="DJ392" s="112"/>
      <c r="DK392" s="112"/>
      <c r="DL392" s="112"/>
      <c r="DM392" s="112"/>
      <c r="DN392" s="112"/>
      <c r="DO392" t="e">
        <f t="shared" si="444"/>
        <v>#N/A</v>
      </c>
    </row>
    <row r="393" spans="33:119" x14ac:dyDescent="0.25">
      <c r="AG393" s="238">
        <f>AG392</f>
        <v>94</v>
      </c>
      <c r="AH393" s="112" t="e">
        <f ca="1">AI392+1</f>
        <v>#N/A</v>
      </c>
      <c r="AI393" s="112" t="e">
        <f ca="1">IF(INDIRECT(CONCATENATE("AE",AG390))&lt;100000,INDIRECT(CONCATENATE("AE",G390)),INDIRECT(CONCATENATE("AF",AG390)))</f>
        <v>#N/A</v>
      </c>
      <c r="AJ393" s="112" t="e">
        <f t="shared" ca="1" si="446"/>
        <v>#N/A</v>
      </c>
      <c r="AK393" s="112">
        <f t="shared" ca="1" si="448"/>
        <v>100000</v>
      </c>
      <c r="AL393" s="238" t="e">
        <f t="shared" ca="1" si="447"/>
        <v>#N/A</v>
      </c>
      <c r="AM393" s="112">
        <f t="shared" ca="1" si="445"/>
        <v>100000</v>
      </c>
      <c r="AN393" s="112">
        <f t="shared" ca="1" si="442"/>
        <v>100000</v>
      </c>
      <c r="AO393" s="114">
        <f t="shared" ca="1" si="438"/>
        <v>0</v>
      </c>
      <c r="AP393" s="114">
        <f t="shared" ca="1" si="439"/>
        <v>24</v>
      </c>
      <c r="AR393" s="238">
        <f t="shared" si="440"/>
        <v>393</v>
      </c>
      <c r="AU393" s="238">
        <f t="shared" si="441"/>
        <v>374</v>
      </c>
      <c r="AV393" s="238"/>
      <c r="AW393" s="238"/>
      <c r="CJ393" s="112"/>
      <c r="CK393" s="112"/>
      <c r="CN393" s="112"/>
      <c r="CO393" s="112"/>
      <c r="CP393" s="112"/>
      <c r="CQ393" s="112"/>
      <c r="CR393" s="112"/>
      <c r="CS393" s="112"/>
      <c r="CT393" s="112"/>
      <c r="CU393" s="112"/>
      <c r="CV393" s="112"/>
      <c r="CW393" s="112"/>
      <c r="CX393" s="112"/>
      <c r="CY393" s="112"/>
      <c r="CZ393" s="112"/>
      <c r="DA393" s="112"/>
      <c r="DB393" s="112"/>
      <c r="DC393" s="112"/>
      <c r="DD393" s="112"/>
      <c r="DE393" s="112"/>
      <c r="DF393" s="112"/>
      <c r="DG393" s="112"/>
      <c r="DH393" s="112"/>
      <c r="DI393" s="112"/>
      <c r="DJ393" s="112"/>
      <c r="DK393" s="112"/>
      <c r="DL393" s="112"/>
      <c r="DM393" s="112"/>
      <c r="DN393" s="112"/>
      <c r="DO393" t="e">
        <f t="shared" si="444"/>
        <v>#N/A</v>
      </c>
    </row>
    <row r="394" spans="33:119" x14ac:dyDescent="0.25">
      <c r="AG394" s="238">
        <f>AG393</f>
        <v>94</v>
      </c>
      <c r="AH394" s="112" t="e">
        <f ca="1">AI393+1</f>
        <v>#N/A</v>
      </c>
      <c r="AI394" s="112" t="str">
        <f ca="1">INDIRECT(CONCATENATE("AF",AG390))</f>
        <v/>
      </c>
      <c r="AJ394" s="112" t="str">
        <f t="shared" ca="1" si="446"/>
        <v/>
      </c>
      <c r="AK394" s="112">
        <f t="shared" ca="1" si="448"/>
        <v>100000</v>
      </c>
      <c r="AL394" s="238" t="e">
        <f t="shared" ca="1" si="447"/>
        <v>#N/A</v>
      </c>
      <c r="AM394" s="112">
        <f t="shared" ca="1" si="445"/>
        <v>100000</v>
      </c>
      <c r="AN394" s="112">
        <f t="shared" ca="1" si="442"/>
        <v>100000</v>
      </c>
      <c r="AO394" s="114">
        <f t="shared" ca="1" si="438"/>
        <v>0</v>
      </c>
      <c r="AP394" s="114">
        <f t="shared" ca="1" si="439"/>
        <v>24</v>
      </c>
      <c r="AR394" s="238">
        <f t="shared" si="440"/>
        <v>394</v>
      </c>
      <c r="AU394" s="238">
        <f t="shared" si="441"/>
        <v>375</v>
      </c>
      <c r="AV394" s="238"/>
      <c r="AW394" s="238"/>
      <c r="CJ394" s="112"/>
      <c r="CK394" s="112"/>
      <c r="CN394" s="112"/>
      <c r="CO394" s="112"/>
      <c r="CP394" s="112"/>
      <c r="CQ394" s="112"/>
      <c r="CR394" s="112"/>
      <c r="CS394" s="112"/>
      <c r="CT394" s="112"/>
      <c r="CU394" s="112"/>
      <c r="CV394" s="112"/>
      <c r="CW394" s="112"/>
      <c r="CX394" s="112"/>
      <c r="CY394" s="112"/>
      <c r="CZ394" s="112"/>
      <c r="DA394" s="112"/>
      <c r="DB394" s="112"/>
      <c r="DC394" s="112"/>
      <c r="DD394" s="112"/>
      <c r="DE394" s="112"/>
      <c r="DF394" s="112"/>
      <c r="DG394" s="112"/>
      <c r="DH394" s="112"/>
      <c r="DI394" s="112"/>
      <c r="DJ394" s="112"/>
      <c r="DK394" s="112"/>
      <c r="DL394" s="112"/>
      <c r="DM394" s="112"/>
      <c r="DN394" s="112"/>
      <c r="DO394" t="e">
        <f t="shared" si="444"/>
        <v>#N/A</v>
      </c>
    </row>
    <row r="395" spans="33:119" x14ac:dyDescent="0.25">
      <c r="AG395" s="238">
        <f>AG394+1</f>
        <v>95</v>
      </c>
      <c r="AH395" s="112" t="str">
        <f ca="1">INDIRECT(CONCATENATE("AA",AG395))</f>
        <v/>
      </c>
      <c r="AI395" s="112" t="e">
        <f ca="1">IF(            INDIRECT(CONCATENATE( "AB",AG395))&lt;100000,       INDIRECT(CONCATENATE("AB",AG395))  -1,IF(   INDIRECT(CONCATENATE("AC",AG395))&lt;100000,   INDIRECT(CONCATENATE("AC",AG395))-1,IF(   INDIRECT(CONCATENATE("AD", AG395))&lt;100000, INDIRECT(CONCATENATE("AD",AG395))-1,IF(   INDIRECT(CONCATENATE("AE",AG395))&lt;100000,  INDIRECT(CONCATENATE("AE",G395)),INDIRECT(CONCATENATE("AF",AG395))                ))))</f>
        <v>#N/A</v>
      </c>
      <c r="AJ395" s="112" t="str">
        <f t="shared" ca="1" si="446"/>
        <v/>
      </c>
      <c r="AK395" s="112" t="str">
        <f t="shared" ca="1" si="448"/>
        <v/>
      </c>
      <c r="AL395" s="238">
        <f t="shared" ca="1" si="447"/>
        <v>0</v>
      </c>
      <c r="AM395" s="112">
        <f t="shared" ca="1" si="445"/>
        <v>100000</v>
      </c>
      <c r="AN395" s="112">
        <f t="shared" ca="1" si="442"/>
        <v>100000</v>
      </c>
      <c r="AO395" s="114">
        <f t="shared" ca="1" si="438"/>
        <v>0</v>
      </c>
      <c r="AP395" s="114">
        <f t="shared" ca="1" si="439"/>
        <v>24</v>
      </c>
      <c r="AR395" s="238">
        <f t="shared" si="440"/>
        <v>395</v>
      </c>
      <c r="AU395" s="238">
        <f t="shared" si="441"/>
        <v>376</v>
      </c>
      <c r="AV395" s="238"/>
      <c r="AW395" s="238"/>
      <c r="CJ395" s="112"/>
      <c r="CK395" s="112"/>
      <c r="CN395" s="112"/>
      <c r="CO395" s="112"/>
      <c r="CP395" s="112"/>
      <c r="CQ395" s="112"/>
      <c r="CR395" s="112"/>
      <c r="CS395" s="112"/>
      <c r="CT395" s="112"/>
      <c r="CU395" s="112"/>
      <c r="CV395" s="112"/>
      <c r="CW395" s="112"/>
      <c r="CX395" s="112"/>
      <c r="CY395" s="112"/>
      <c r="CZ395" s="112"/>
      <c r="DA395" s="112"/>
      <c r="DB395" s="112"/>
      <c r="DC395" s="112"/>
      <c r="DD395" s="112"/>
      <c r="DE395" s="112"/>
      <c r="DF395" s="112"/>
      <c r="DG395" s="112"/>
      <c r="DH395" s="112"/>
      <c r="DI395" s="112"/>
      <c r="DJ395" s="112"/>
      <c r="DK395" s="112"/>
      <c r="DL395" s="112"/>
      <c r="DM395" s="112"/>
      <c r="DN395" s="112"/>
      <c r="DO395" t="e">
        <f t="shared" si="444"/>
        <v>#N/A</v>
      </c>
    </row>
    <row r="396" spans="33:119" x14ac:dyDescent="0.25">
      <c r="AG396" s="238">
        <f>AG395</f>
        <v>95</v>
      </c>
      <c r="AH396" s="112" t="e">
        <f ca="1">AI395+1</f>
        <v>#N/A</v>
      </c>
      <c r="AI396" s="112" t="e">
        <f ca="1">IF(INDIRECT(CONCATENATE("AC",AG395))&lt;100000,INDIRECT(CONCATENATE("AC",AG395))-1,IF(INDIRECT(CONCATENATE("AD",AG395))&lt;100000,INDIRECT(CONCATENATE("AD",AG395))-1,IF(INDIRECT(CONCATENATE("AE",AG395))&lt;100000,INDIRECT(CONCATENATE("AE",G395)),INDIRECT(CONCATENATE("AF",AG395)))))</f>
        <v>#N/A</v>
      </c>
      <c r="AJ396" s="112" t="e">
        <f t="shared" ca="1" si="446"/>
        <v>#N/A</v>
      </c>
      <c r="AK396" s="112">
        <f t="shared" ca="1" si="448"/>
        <v>100000</v>
      </c>
      <c r="AL396" s="238" t="e">
        <f t="shared" ca="1" si="447"/>
        <v>#N/A</v>
      </c>
      <c r="AM396" s="112">
        <f t="shared" ca="1" si="445"/>
        <v>100000</v>
      </c>
      <c r="AN396" s="112">
        <f t="shared" ca="1" si="442"/>
        <v>100000</v>
      </c>
      <c r="AO396" s="114">
        <f t="shared" ca="1" si="438"/>
        <v>0</v>
      </c>
      <c r="AP396" s="114">
        <f t="shared" ca="1" si="439"/>
        <v>24</v>
      </c>
      <c r="AR396" s="238">
        <f t="shared" si="440"/>
        <v>396</v>
      </c>
      <c r="AU396" s="238">
        <f t="shared" si="441"/>
        <v>377</v>
      </c>
      <c r="AV396" s="238"/>
      <c r="AW396" s="238"/>
      <c r="CJ396" s="112"/>
      <c r="CK396" s="112"/>
      <c r="CN396" s="112"/>
      <c r="CO396" s="112"/>
      <c r="CP396" s="112"/>
      <c r="CQ396" s="112"/>
      <c r="CR396" s="112"/>
      <c r="CS396" s="112"/>
      <c r="CT396" s="112"/>
      <c r="CU396" s="112"/>
      <c r="CV396" s="112"/>
      <c r="CW396" s="112"/>
      <c r="CX396" s="112"/>
      <c r="CY396" s="112"/>
      <c r="CZ396" s="112"/>
      <c r="DA396" s="112"/>
      <c r="DB396" s="112"/>
      <c r="DC396" s="112"/>
      <c r="DD396" s="112"/>
      <c r="DE396" s="112"/>
      <c r="DF396" s="112"/>
      <c r="DG396" s="112"/>
      <c r="DH396" s="112"/>
      <c r="DI396" s="112"/>
      <c r="DJ396" s="112"/>
      <c r="DK396" s="112"/>
      <c r="DL396" s="112"/>
      <c r="DM396" s="112"/>
      <c r="DN396" s="112"/>
      <c r="DO396" t="e">
        <f t="shared" si="444"/>
        <v>#N/A</v>
      </c>
    </row>
    <row r="397" spans="33:119" x14ac:dyDescent="0.25">
      <c r="AG397" s="238">
        <f>AG396</f>
        <v>95</v>
      </c>
      <c r="AH397" s="112" t="e">
        <f ca="1">AI396+1</f>
        <v>#N/A</v>
      </c>
      <c r="AI397" s="112" t="e">
        <f ca="1">IF(INDIRECT(CONCATENATE("AD",AG395))&lt;100000,INDIRECT(CONCATENATE("AD",AG395))-1,IF(INDIRECT(CONCATENATE("AE",AG395))&lt;100000,INDIRECT(CONCATENATE("AE",G395)),INDIRECT(CONCATENATE("AF",AG395))))</f>
        <v>#N/A</v>
      </c>
      <c r="AJ397" s="112" t="e">
        <f t="shared" ca="1" si="446"/>
        <v>#N/A</v>
      </c>
      <c r="AK397" s="112">
        <f t="shared" ca="1" si="448"/>
        <v>100000</v>
      </c>
      <c r="AL397" s="238" t="e">
        <f t="shared" ca="1" si="447"/>
        <v>#N/A</v>
      </c>
      <c r="AM397" s="112">
        <f t="shared" ca="1" si="445"/>
        <v>100000</v>
      </c>
      <c r="AN397" s="112">
        <f t="shared" ca="1" si="442"/>
        <v>100000</v>
      </c>
      <c r="AO397" s="114">
        <f t="shared" ca="1" si="438"/>
        <v>0</v>
      </c>
      <c r="AP397" s="114">
        <f t="shared" ca="1" si="439"/>
        <v>24</v>
      </c>
      <c r="AR397" s="238">
        <f t="shared" si="440"/>
        <v>397</v>
      </c>
      <c r="AU397" s="238">
        <f t="shared" si="441"/>
        <v>378</v>
      </c>
      <c r="AV397" s="238"/>
      <c r="AW397" s="238"/>
      <c r="CJ397" s="112"/>
      <c r="CK397" s="112"/>
      <c r="CN397" s="112"/>
      <c r="CO397" s="112"/>
      <c r="CP397" s="112"/>
      <c r="CQ397" s="112"/>
      <c r="CR397" s="112"/>
      <c r="CS397" s="112"/>
      <c r="CT397" s="112"/>
      <c r="CU397" s="112"/>
      <c r="CV397" s="112"/>
      <c r="CW397" s="112"/>
      <c r="CX397" s="112"/>
      <c r="CY397" s="112"/>
      <c r="CZ397" s="112"/>
      <c r="DA397" s="112"/>
      <c r="DB397" s="112"/>
      <c r="DC397" s="112"/>
      <c r="DD397" s="112"/>
      <c r="DE397" s="112"/>
      <c r="DF397" s="112"/>
      <c r="DG397" s="112"/>
      <c r="DH397" s="112"/>
      <c r="DI397" s="112"/>
      <c r="DJ397" s="112"/>
      <c r="DK397" s="112"/>
      <c r="DL397" s="112"/>
      <c r="DM397" s="112"/>
      <c r="DN397" s="112"/>
      <c r="DO397" t="e">
        <f t="shared" si="444"/>
        <v>#N/A</v>
      </c>
    </row>
    <row r="398" spans="33:119" x14ac:dyDescent="0.25">
      <c r="AG398" s="238">
        <f>AG397</f>
        <v>95</v>
      </c>
      <c r="AH398" s="112" t="e">
        <f ca="1">AI397+1</f>
        <v>#N/A</v>
      </c>
      <c r="AI398" s="112" t="e">
        <f ca="1">IF(INDIRECT(CONCATENATE("AE",AG395))&lt;100000,INDIRECT(CONCATENATE("AE",G395)),INDIRECT(CONCATENATE("AF",AG395)))</f>
        <v>#N/A</v>
      </c>
      <c r="AJ398" s="112" t="e">
        <f t="shared" ca="1" si="446"/>
        <v>#N/A</v>
      </c>
      <c r="AK398" s="112">
        <f t="shared" ca="1" si="448"/>
        <v>100000</v>
      </c>
      <c r="AL398" s="238" t="e">
        <f t="shared" ca="1" si="447"/>
        <v>#N/A</v>
      </c>
      <c r="AM398" s="112">
        <f t="shared" ca="1" si="445"/>
        <v>100000</v>
      </c>
      <c r="AN398" s="112">
        <f t="shared" ca="1" si="442"/>
        <v>100000</v>
      </c>
      <c r="AO398" s="114">
        <f t="shared" ca="1" si="438"/>
        <v>0</v>
      </c>
      <c r="AP398" s="114">
        <f t="shared" ca="1" si="439"/>
        <v>24</v>
      </c>
      <c r="AR398" s="238">
        <f t="shared" si="440"/>
        <v>398</v>
      </c>
      <c r="AU398" s="238">
        <f t="shared" si="441"/>
        <v>379</v>
      </c>
      <c r="AV398" s="238"/>
      <c r="AW398" s="238"/>
      <c r="CJ398" s="112"/>
      <c r="CK398" s="112"/>
      <c r="CN398" s="112"/>
      <c r="CO398" s="112"/>
      <c r="CP398" s="112"/>
      <c r="CQ398" s="112"/>
      <c r="CR398" s="112"/>
      <c r="CS398" s="112"/>
      <c r="CT398" s="112"/>
      <c r="CU398" s="112"/>
      <c r="CV398" s="112"/>
      <c r="CW398" s="112"/>
      <c r="CX398" s="112"/>
      <c r="CY398" s="112"/>
      <c r="CZ398" s="112"/>
      <c r="DA398" s="112"/>
      <c r="DB398" s="112"/>
      <c r="DC398" s="112"/>
      <c r="DD398" s="112"/>
      <c r="DE398" s="112"/>
      <c r="DF398" s="112"/>
      <c r="DG398" s="112"/>
      <c r="DH398" s="112"/>
      <c r="DI398" s="112"/>
      <c r="DJ398" s="112"/>
      <c r="DK398" s="112"/>
      <c r="DL398" s="112"/>
      <c r="DM398" s="112"/>
      <c r="DN398" s="112"/>
      <c r="DO398" t="e">
        <f t="shared" ref="DO398:DO404" si="449">VLOOKUP(CN398,$F$20:$H$138,3,FALSE)</f>
        <v>#N/A</v>
      </c>
    </row>
    <row r="399" spans="33:119" x14ac:dyDescent="0.25">
      <c r="AG399" s="238">
        <f>AG398</f>
        <v>95</v>
      </c>
      <c r="AH399" s="112" t="e">
        <f ca="1">AI398+1</f>
        <v>#N/A</v>
      </c>
      <c r="AI399" s="112" t="str">
        <f ca="1">INDIRECT(CONCATENATE("AF",AG395))</f>
        <v/>
      </c>
      <c r="AJ399" s="112" t="str">
        <f t="shared" ca="1" si="446"/>
        <v/>
      </c>
      <c r="AK399" s="112">
        <f t="shared" ca="1" si="448"/>
        <v>100000</v>
      </c>
      <c r="AL399" s="238" t="e">
        <f t="shared" ca="1" si="447"/>
        <v>#N/A</v>
      </c>
      <c r="AM399" s="112">
        <f t="shared" ca="1" si="445"/>
        <v>100000</v>
      </c>
      <c r="AN399" s="112">
        <f t="shared" ca="1" si="442"/>
        <v>100000</v>
      </c>
      <c r="AO399" s="114">
        <f t="shared" ca="1" si="438"/>
        <v>0</v>
      </c>
      <c r="AP399" s="114">
        <f t="shared" ca="1" si="439"/>
        <v>24</v>
      </c>
      <c r="AR399" s="238">
        <f t="shared" si="440"/>
        <v>399</v>
      </c>
      <c r="AU399" s="238">
        <f t="shared" si="441"/>
        <v>380</v>
      </c>
      <c r="AV399" s="238"/>
      <c r="AW399" s="238"/>
      <c r="CJ399" s="112"/>
      <c r="CK399" s="112"/>
      <c r="CN399" s="112"/>
      <c r="CO399" s="112"/>
      <c r="CP399" s="112"/>
      <c r="CQ399" s="112"/>
      <c r="CR399" s="112"/>
      <c r="CS399" s="112"/>
      <c r="CT399" s="112"/>
      <c r="CU399" s="112"/>
      <c r="CV399" s="112"/>
      <c r="CW399" s="112"/>
      <c r="CX399" s="112"/>
      <c r="CY399" s="112"/>
      <c r="CZ399" s="112"/>
      <c r="DA399" s="112"/>
      <c r="DB399" s="112"/>
      <c r="DC399" s="112"/>
      <c r="DD399" s="112"/>
      <c r="DE399" s="112"/>
      <c r="DF399" s="112"/>
      <c r="DG399" s="112"/>
      <c r="DH399" s="112"/>
      <c r="DI399" s="112"/>
      <c r="DJ399" s="112"/>
      <c r="DK399" s="112"/>
      <c r="DL399" s="112"/>
      <c r="DM399" s="112"/>
      <c r="DN399" s="112"/>
      <c r="DO399" t="e">
        <f t="shared" si="449"/>
        <v>#N/A</v>
      </c>
    </row>
    <row r="400" spans="33:119" x14ac:dyDescent="0.25">
      <c r="AG400" s="238">
        <f>AG399+1</f>
        <v>96</v>
      </c>
      <c r="AH400" s="112" t="str">
        <f ca="1">INDIRECT(CONCATENATE("AA",AG400))</f>
        <v/>
      </c>
      <c r="AI400" s="112" t="e">
        <f ca="1">IF(            INDIRECT(CONCATENATE( "AB",AG400))&lt;100000,       INDIRECT(CONCATENATE("AB",AG400))  -1,IF(   INDIRECT(CONCATENATE("AC",AG400))&lt;100000,   INDIRECT(CONCATENATE("AC",AG400))-1,IF(   INDIRECT(CONCATENATE("AD", AG400))&lt;100000, INDIRECT(CONCATENATE("AD",AG400))-1,IF(   INDIRECT(CONCATENATE("AE",AG400))&lt;100000,  INDIRECT(CONCATENATE("AE",G400)),INDIRECT(CONCATENATE("AF",AG400))                ))))</f>
        <v>#N/A</v>
      </c>
      <c r="AJ400" s="112" t="str">
        <f t="shared" ca="1" si="446"/>
        <v/>
      </c>
      <c r="AK400" s="112" t="str">
        <f t="shared" ca="1" si="448"/>
        <v/>
      </c>
      <c r="AL400" s="238">
        <f t="shared" ca="1" si="447"/>
        <v>0</v>
      </c>
      <c r="AM400" s="112">
        <f t="shared" ca="1" si="445"/>
        <v>100000</v>
      </c>
      <c r="AN400" s="112">
        <f t="shared" ca="1" si="442"/>
        <v>100000</v>
      </c>
      <c r="AO400" s="114">
        <f t="shared" ca="1" si="438"/>
        <v>0</v>
      </c>
      <c r="AP400" s="114">
        <f t="shared" ca="1" si="439"/>
        <v>24</v>
      </c>
      <c r="AR400" s="238">
        <f t="shared" si="440"/>
        <v>400</v>
      </c>
      <c r="AU400" s="238">
        <f t="shared" si="441"/>
        <v>381</v>
      </c>
      <c r="AV400" s="238"/>
      <c r="AW400" s="238"/>
      <c r="CJ400" s="112"/>
      <c r="CK400" s="112"/>
      <c r="CN400" s="112"/>
      <c r="CO400" s="112"/>
      <c r="CP400" s="112"/>
      <c r="CQ400" s="112"/>
      <c r="CR400" s="112"/>
      <c r="CS400" s="112"/>
      <c r="CT400" s="112"/>
      <c r="CU400" s="112"/>
      <c r="CV400" s="112"/>
      <c r="CW400" s="112"/>
      <c r="CX400" s="112"/>
      <c r="CY400" s="112"/>
      <c r="CZ400" s="112"/>
      <c r="DA400" s="112"/>
      <c r="DB400" s="112"/>
      <c r="DC400" s="112"/>
      <c r="DD400" s="112"/>
      <c r="DE400" s="112"/>
      <c r="DF400" s="112"/>
      <c r="DG400" s="112"/>
      <c r="DH400" s="112"/>
      <c r="DI400" s="112"/>
      <c r="DJ400" s="112"/>
      <c r="DK400" s="112"/>
      <c r="DL400" s="112"/>
      <c r="DM400" s="112"/>
      <c r="DN400" s="112"/>
      <c r="DO400" t="e">
        <f t="shared" si="449"/>
        <v>#N/A</v>
      </c>
    </row>
    <row r="401" spans="33:119" x14ac:dyDescent="0.25">
      <c r="AG401" s="238">
        <f>AG400</f>
        <v>96</v>
      </c>
      <c r="AH401" s="112" t="e">
        <f ca="1">AI400+1</f>
        <v>#N/A</v>
      </c>
      <c r="AI401" s="112" t="e">
        <f ca="1">IF(INDIRECT(CONCATENATE("AC",AG400))&lt;100000,INDIRECT(CONCATENATE("AC",AG400))-1,IF(INDIRECT(CONCATENATE("AD",AG400))&lt;100000,INDIRECT(CONCATENATE("AD",AG400))-1,IF(INDIRECT(CONCATENATE("AE",AG400))&lt;100000,INDIRECT(CONCATENATE("AE",G400)),INDIRECT(CONCATENATE("AF",AG400)))))</f>
        <v>#N/A</v>
      </c>
      <c r="AJ401" s="112" t="e">
        <f t="shared" ca="1" si="446"/>
        <v>#N/A</v>
      </c>
      <c r="AK401" s="112">
        <f t="shared" ca="1" si="448"/>
        <v>100000</v>
      </c>
      <c r="AL401" s="238" t="e">
        <f t="shared" ca="1" si="447"/>
        <v>#N/A</v>
      </c>
      <c r="AM401" s="112">
        <f t="shared" ca="1" si="445"/>
        <v>100000</v>
      </c>
      <c r="AN401" s="112">
        <f t="shared" ca="1" si="442"/>
        <v>100000</v>
      </c>
      <c r="AO401" s="114">
        <f t="shared" ca="1" si="438"/>
        <v>0</v>
      </c>
      <c r="AP401" s="114">
        <f t="shared" ca="1" si="439"/>
        <v>24</v>
      </c>
      <c r="AR401" s="238">
        <f t="shared" si="440"/>
        <v>401</v>
      </c>
      <c r="AU401" s="238">
        <f t="shared" si="441"/>
        <v>382</v>
      </c>
      <c r="AV401" s="238"/>
      <c r="AW401" s="238"/>
      <c r="CJ401" s="112"/>
      <c r="CK401" s="112"/>
      <c r="CN401" s="112"/>
      <c r="CO401" s="112"/>
      <c r="CP401" s="112"/>
      <c r="CQ401" s="112"/>
      <c r="CR401" s="112"/>
      <c r="CS401" s="112"/>
      <c r="CT401" s="112"/>
      <c r="CU401" s="112"/>
      <c r="CV401" s="112"/>
      <c r="CW401" s="112"/>
      <c r="CX401" s="112"/>
      <c r="CY401" s="112"/>
      <c r="CZ401" s="112"/>
      <c r="DA401" s="112"/>
      <c r="DB401" s="112"/>
      <c r="DC401" s="112"/>
      <c r="DD401" s="112"/>
      <c r="DE401" s="112"/>
      <c r="DF401" s="112"/>
      <c r="DG401" s="112"/>
      <c r="DH401" s="112"/>
      <c r="DI401" s="112"/>
      <c r="DJ401" s="112"/>
      <c r="DK401" s="112"/>
      <c r="DL401" s="112"/>
      <c r="DM401" s="112"/>
      <c r="DN401" s="112"/>
      <c r="DO401" t="e">
        <f t="shared" si="449"/>
        <v>#N/A</v>
      </c>
    </row>
    <row r="402" spans="33:119" x14ac:dyDescent="0.25">
      <c r="AG402" s="238">
        <f>AG401</f>
        <v>96</v>
      </c>
      <c r="AH402" s="112" t="e">
        <f ca="1">AI401+1</f>
        <v>#N/A</v>
      </c>
      <c r="AI402" s="112" t="e">
        <f ca="1">IF(INDIRECT(CONCATENATE("AD",AG400))&lt;100000,INDIRECT(CONCATENATE("AD",AG400))-1,IF(INDIRECT(CONCATENATE("AE",AG400))&lt;100000,INDIRECT(CONCATENATE("AE",G400)),INDIRECT(CONCATENATE("AF",AG400))))</f>
        <v>#N/A</v>
      </c>
      <c r="AJ402" s="112" t="e">
        <f t="shared" ca="1" si="446"/>
        <v>#N/A</v>
      </c>
      <c r="AK402" s="112">
        <f t="shared" ca="1" si="448"/>
        <v>100000</v>
      </c>
      <c r="AL402" s="238" t="e">
        <f t="shared" ca="1" si="447"/>
        <v>#N/A</v>
      </c>
      <c r="AM402" s="112">
        <f t="shared" ca="1" si="445"/>
        <v>100000</v>
      </c>
      <c r="AN402" s="112">
        <f t="shared" ca="1" si="442"/>
        <v>100000</v>
      </c>
      <c r="AO402" s="114">
        <f t="shared" ca="1" si="438"/>
        <v>0</v>
      </c>
      <c r="AP402" s="114">
        <f t="shared" ca="1" si="439"/>
        <v>24</v>
      </c>
      <c r="AR402" s="238">
        <f t="shared" si="440"/>
        <v>402</v>
      </c>
      <c r="AU402" s="238">
        <f t="shared" si="441"/>
        <v>383</v>
      </c>
      <c r="AV402" s="238"/>
      <c r="AW402" s="238"/>
      <c r="CJ402" s="112"/>
      <c r="CK402" s="112"/>
      <c r="CN402" s="112"/>
      <c r="CO402" s="112"/>
      <c r="CP402" s="112"/>
      <c r="CQ402" s="112"/>
      <c r="CR402" s="112"/>
      <c r="CS402" s="112"/>
      <c r="CT402" s="112"/>
      <c r="CU402" s="112"/>
      <c r="CV402" s="112"/>
      <c r="CW402" s="112"/>
      <c r="CX402" s="112"/>
      <c r="CY402" s="112"/>
      <c r="CZ402" s="112"/>
      <c r="DA402" s="112"/>
      <c r="DB402" s="112"/>
      <c r="DC402" s="112"/>
      <c r="DD402" s="112"/>
      <c r="DE402" s="112"/>
      <c r="DF402" s="112"/>
      <c r="DG402" s="112"/>
      <c r="DH402" s="112"/>
      <c r="DI402" s="112"/>
      <c r="DJ402" s="112"/>
      <c r="DK402" s="112"/>
      <c r="DL402" s="112"/>
      <c r="DM402" s="112"/>
      <c r="DN402" s="112"/>
      <c r="DO402" t="e">
        <f t="shared" si="449"/>
        <v>#N/A</v>
      </c>
    </row>
    <row r="403" spans="33:119" x14ac:dyDescent="0.25">
      <c r="AG403" s="238">
        <f>AG402</f>
        <v>96</v>
      </c>
      <c r="AH403" s="112" t="e">
        <f ca="1">AI402+1</f>
        <v>#N/A</v>
      </c>
      <c r="AI403" s="112" t="e">
        <f ca="1">IF(INDIRECT(CONCATENATE("AE",AG400))&lt;100000,INDIRECT(CONCATENATE("AE",G400)),INDIRECT(CONCATENATE("AF",AG400)))</f>
        <v>#N/A</v>
      </c>
      <c r="AJ403" s="112" t="e">
        <f t="shared" ca="1" si="446"/>
        <v>#N/A</v>
      </c>
      <c r="AK403" s="112">
        <f t="shared" ca="1" si="448"/>
        <v>100000</v>
      </c>
      <c r="AL403" s="238" t="e">
        <f t="shared" ca="1" si="447"/>
        <v>#N/A</v>
      </c>
      <c r="AM403" s="112">
        <f t="shared" ca="1" si="445"/>
        <v>100000</v>
      </c>
      <c r="AN403" s="112">
        <f t="shared" ca="1" si="442"/>
        <v>100000</v>
      </c>
      <c r="AO403" s="114">
        <f t="shared" ca="1" si="438"/>
        <v>0</v>
      </c>
      <c r="AP403" s="114">
        <f t="shared" ca="1" si="439"/>
        <v>24</v>
      </c>
      <c r="AR403" s="238">
        <f t="shared" si="440"/>
        <v>403</v>
      </c>
      <c r="AU403" s="238">
        <f t="shared" si="441"/>
        <v>384</v>
      </c>
      <c r="AV403" s="238"/>
      <c r="AW403" s="238"/>
      <c r="CJ403" s="112"/>
      <c r="CK403" s="112"/>
      <c r="CN403" s="112"/>
      <c r="CO403" s="112"/>
      <c r="CP403" s="112"/>
      <c r="CQ403" s="112"/>
      <c r="CR403" s="112"/>
      <c r="CS403" s="112"/>
      <c r="CT403" s="112"/>
      <c r="CU403" s="112"/>
      <c r="CV403" s="112"/>
      <c r="CW403" s="112"/>
      <c r="CX403" s="112"/>
      <c r="CY403" s="112"/>
      <c r="CZ403" s="112"/>
      <c r="DA403" s="112"/>
      <c r="DB403" s="112"/>
      <c r="DC403" s="112"/>
      <c r="DD403" s="112"/>
      <c r="DE403" s="112"/>
      <c r="DF403" s="112"/>
      <c r="DG403" s="112"/>
      <c r="DH403" s="112"/>
      <c r="DI403" s="112"/>
      <c r="DJ403" s="112"/>
      <c r="DK403" s="112"/>
      <c r="DL403" s="112"/>
      <c r="DM403" s="112"/>
      <c r="DN403" s="112"/>
      <c r="DO403" t="e">
        <f t="shared" si="449"/>
        <v>#N/A</v>
      </c>
    </row>
    <row r="404" spans="33:119" x14ac:dyDescent="0.25">
      <c r="AG404" s="238">
        <f>AG403</f>
        <v>96</v>
      </c>
      <c r="AH404" s="112" t="e">
        <f ca="1">AI403+1</f>
        <v>#N/A</v>
      </c>
      <c r="AI404" s="112" t="str">
        <f ca="1">INDIRECT(CONCATENATE("AF",AG400))</f>
        <v/>
      </c>
      <c r="AJ404" s="112" t="str">
        <f t="shared" ca="1" si="446"/>
        <v/>
      </c>
      <c r="AK404" s="112">
        <f t="shared" ca="1" si="448"/>
        <v>100000</v>
      </c>
      <c r="AL404" s="238" t="e">
        <f t="shared" ca="1" si="447"/>
        <v>#N/A</v>
      </c>
      <c r="AM404" s="112">
        <f t="shared" ca="1" si="445"/>
        <v>100000</v>
      </c>
      <c r="AN404" s="112">
        <f t="shared" ca="1" si="442"/>
        <v>100000</v>
      </c>
      <c r="AO404" s="114">
        <f t="shared" ca="1" si="438"/>
        <v>0</v>
      </c>
      <c r="AP404" s="114">
        <f t="shared" ca="1" si="439"/>
        <v>24</v>
      </c>
      <c r="AR404" s="238">
        <f t="shared" si="440"/>
        <v>404</v>
      </c>
      <c r="AU404" s="238">
        <f t="shared" si="441"/>
        <v>385</v>
      </c>
      <c r="AV404" s="238"/>
      <c r="AW404" s="238"/>
      <c r="CJ404" s="112"/>
      <c r="CK404" s="112"/>
      <c r="CN404" s="112"/>
      <c r="CO404" s="112"/>
      <c r="CP404" s="112"/>
      <c r="CQ404" s="112"/>
      <c r="CR404" s="112"/>
      <c r="CS404" s="112"/>
      <c r="CT404" s="112"/>
      <c r="CU404" s="112"/>
      <c r="CV404" s="112"/>
      <c r="CW404" s="112"/>
      <c r="CX404" s="112"/>
      <c r="CY404" s="112"/>
      <c r="CZ404" s="112"/>
      <c r="DA404" s="112"/>
      <c r="DB404" s="112"/>
      <c r="DC404" s="112"/>
      <c r="DD404" s="112"/>
      <c r="DE404" s="112"/>
      <c r="DF404" s="112"/>
      <c r="DG404" s="112"/>
      <c r="DH404" s="112"/>
      <c r="DI404" s="112"/>
      <c r="DJ404" s="112"/>
      <c r="DK404" s="112"/>
      <c r="DL404" s="112"/>
      <c r="DM404" s="112"/>
      <c r="DN404" s="112"/>
      <c r="DO404" t="e">
        <f t="shared" si="449"/>
        <v>#N/A</v>
      </c>
    </row>
    <row r="405" spans="33:119" x14ac:dyDescent="0.25">
      <c r="AG405" s="238">
        <f>AG404+1</f>
        <v>97</v>
      </c>
      <c r="AH405" s="112" t="str">
        <f ca="1">INDIRECT(CONCATENATE("AA",AG405))</f>
        <v/>
      </c>
      <c r="AI405" s="112" t="e">
        <f ca="1">IF(            INDIRECT(CONCATENATE( "AB",AG405))&lt;100000,       INDIRECT(CONCATENATE("AB",AG405))  -1,IF(   INDIRECT(CONCATENATE("AC",AG405))&lt;100000,   INDIRECT(CONCATENATE("AC",AG405))-1,IF(   INDIRECT(CONCATENATE("AD", AG405))&lt;100000, INDIRECT(CONCATENATE("AD",AG405))-1,IF(   INDIRECT(CONCATENATE("AE",AG405))&lt;100000,  INDIRECT(CONCATENATE("AE",G405)),INDIRECT(CONCATENATE("AF",AG405))                ))))</f>
        <v>#N/A</v>
      </c>
      <c r="AJ405" s="112" t="str">
        <f t="shared" ca="1" si="446"/>
        <v/>
      </c>
      <c r="AK405" s="112" t="str">
        <f t="shared" ca="1" si="448"/>
        <v/>
      </c>
      <c r="AL405" s="238">
        <f t="shared" ca="1" si="447"/>
        <v>0</v>
      </c>
      <c r="AM405" s="112">
        <f t="shared" ca="1" si="445"/>
        <v>100000</v>
      </c>
      <c r="AN405" s="112">
        <f t="shared" ca="1" si="442"/>
        <v>100000</v>
      </c>
      <c r="AO405" s="114">
        <f t="shared" ref="AO405:AO468" ca="1" si="450">INDIRECT(CONCATENATE("i",AG405))</f>
        <v>0</v>
      </c>
      <c r="AP405" s="114">
        <f t="shared" ref="AP405:AP468" ca="1" si="451">INDIRECT(CONCATENATE("J",AG405))</f>
        <v>24</v>
      </c>
      <c r="AR405" s="238">
        <f t="shared" si="440"/>
        <v>405</v>
      </c>
      <c r="CJ405" s="112"/>
      <c r="CK405" s="112"/>
      <c r="CN405" s="112"/>
      <c r="CO405" s="112"/>
      <c r="CP405" s="112"/>
      <c r="CQ405" s="112"/>
      <c r="CR405" s="112"/>
      <c r="CS405" s="112"/>
      <c r="CT405" s="112"/>
      <c r="CU405" s="112"/>
      <c r="CV405" s="112"/>
      <c r="CW405" s="112"/>
      <c r="CX405" s="112"/>
      <c r="CY405" s="112"/>
      <c r="CZ405" s="112"/>
      <c r="DA405" s="112"/>
      <c r="DB405" s="112"/>
      <c r="DC405" s="112"/>
      <c r="DD405" s="112"/>
      <c r="DE405" s="112"/>
      <c r="DF405" s="112"/>
      <c r="DG405" s="112"/>
      <c r="DH405" s="112"/>
      <c r="DI405" s="112"/>
      <c r="DJ405" s="112"/>
      <c r="DK405" s="112"/>
      <c r="DL405" s="112"/>
      <c r="DM405" s="112"/>
      <c r="DN405" s="112"/>
      <c r="DO405" t="e">
        <f t="shared" ref="DO405:DO468" si="452">VLOOKUP(CN405,$F$20:$H$138,3,FALSE)</f>
        <v>#N/A</v>
      </c>
    </row>
    <row r="406" spans="33:119" x14ac:dyDescent="0.25">
      <c r="AG406" s="238">
        <f>AG405</f>
        <v>97</v>
      </c>
      <c r="AH406" s="112" t="e">
        <f ca="1">AI405+1</f>
        <v>#N/A</v>
      </c>
      <c r="AI406" s="112" t="e">
        <f ca="1">IF(INDIRECT(CONCATENATE("AC",AG405))&lt;100000,INDIRECT(CONCATENATE("AC",AG405))-1,IF(INDIRECT(CONCATENATE("AD",AG405))&lt;100000,INDIRECT(CONCATENATE("AD",AG405))-1,IF(INDIRECT(CONCATENATE("AE",AG405))&lt;100000,INDIRECT(CONCATENATE("AE",G405)),INDIRECT(CONCATENATE("AF",AG405)))))</f>
        <v>#N/A</v>
      </c>
      <c r="AJ406" s="112" t="e">
        <f t="shared" ca="1" si="446"/>
        <v>#N/A</v>
      </c>
      <c r="AK406" s="112">
        <f t="shared" ca="1" si="448"/>
        <v>100000</v>
      </c>
      <c r="AL406" s="238" t="e">
        <f t="shared" ca="1" si="447"/>
        <v>#N/A</v>
      </c>
      <c r="AM406" s="112">
        <f t="shared" ca="1" si="445"/>
        <v>100000</v>
      </c>
      <c r="AN406" s="112">
        <f t="shared" ca="1" si="442"/>
        <v>100000</v>
      </c>
      <c r="AO406" s="114">
        <f t="shared" ca="1" si="450"/>
        <v>0</v>
      </c>
      <c r="AP406" s="114">
        <f t="shared" ca="1" si="451"/>
        <v>24</v>
      </c>
      <c r="AR406" s="238">
        <f t="shared" ref="AR406:AR469" si="453">AR405+1</f>
        <v>406</v>
      </c>
      <c r="CJ406" s="112"/>
      <c r="CK406" s="112"/>
      <c r="CN406" s="112"/>
      <c r="CO406" s="112"/>
      <c r="CP406" s="112"/>
      <c r="CQ406" s="112"/>
      <c r="CR406" s="112"/>
      <c r="CS406" s="112"/>
      <c r="CT406" s="112"/>
      <c r="CU406" s="112"/>
      <c r="CV406" s="112"/>
      <c r="CW406" s="112"/>
      <c r="CX406" s="112"/>
      <c r="CY406" s="112"/>
      <c r="CZ406" s="112"/>
      <c r="DA406" s="112"/>
      <c r="DB406" s="112"/>
      <c r="DC406" s="112"/>
      <c r="DD406" s="112"/>
      <c r="DE406" s="112"/>
      <c r="DF406" s="112"/>
      <c r="DG406" s="112"/>
      <c r="DH406" s="112"/>
      <c r="DI406" s="112"/>
      <c r="DJ406" s="112"/>
      <c r="DK406" s="112"/>
      <c r="DL406" s="112"/>
      <c r="DM406" s="112"/>
      <c r="DN406" s="112"/>
      <c r="DO406" t="e">
        <f t="shared" si="452"/>
        <v>#N/A</v>
      </c>
    </row>
    <row r="407" spans="33:119" x14ac:dyDescent="0.25">
      <c r="AG407" s="238">
        <f>AG406</f>
        <v>97</v>
      </c>
      <c r="AH407" s="112" t="e">
        <f ca="1">AI406+1</f>
        <v>#N/A</v>
      </c>
      <c r="AI407" s="112" t="e">
        <f ca="1">IF(INDIRECT(CONCATENATE("AD",AG405))&lt;100000,INDIRECT(CONCATENATE("AD",AG405))-1,IF(INDIRECT(CONCATENATE("AE",AG405))&lt;100000,INDIRECT(CONCATENATE("AE",G405)),INDIRECT(CONCATENATE("AF",AG405))))</f>
        <v>#N/A</v>
      </c>
      <c r="AJ407" s="112" t="e">
        <f t="shared" ca="1" si="446"/>
        <v>#N/A</v>
      </c>
      <c r="AK407" s="112">
        <f t="shared" ca="1" si="448"/>
        <v>100000</v>
      </c>
      <c r="AL407" s="238" t="e">
        <f t="shared" ca="1" si="447"/>
        <v>#N/A</v>
      </c>
      <c r="AM407" s="112">
        <f t="shared" ca="1" si="445"/>
        <v>100000</v>
      </c>
      <c r="AN407" s="112">
        <f t="shared" ref="AN407:AN470" ca="1" si="454">IF(AM407=100000,100000,AK407)</f>
        <v>100000</v>
      </c>
      <c r="AO407" s="114">
        <f t="shared" ca="1" si="450"/>
        <v>0</v>
      </c>
      <c r="AP407" s="114">
        <f t="shared" ca="1" si="451"/>
        <v>24</v>
      </c>
      <c r="AR407" s="238">
        <f t="shared" si="453"/>
        <v>407</v>
      </c>
      <c r="CJ407" s="112"/>
      <c r="CK407" s="112"/>
      <c r="CN407" s="112"/>
      <c r="CO407" s="112"/>
      <c r="CP407" s="112"/>
      <c r="CQ407" s="112"/>
      <c r="CR407" s="112"/>
      <c r="CS407" s="112"/>
      <c r="CT407" s="112"/>
      <c r="CU407" s="112"/>
      <c r="CV407" s="112"/>
      <c r="CW407" s="112"/>
      <c r="CX407" s="112"/>
      <c r="CY407" s="112"/>
      <c r="CZ407" s="112"/>
      <c r="DA407" s="112"/>
      <c r="DB407" s="112"/>
      <c r="DC407" s="112"/>
      <c r="DD407" s="112"/>
      <c r="DE407" s="112"/>
      <c r="DF407" s="112"/>
      <c r="DG407" s="112"/>
      <c r="DH407" s="112"/>
      <c r="DI407" s="112"/>
      <c r="DJ407" s="112"/>
      <c r="DK407" s="112"/>
      <c r="DL407" s="112"/>
      <c r="DM407" s="112"/>
      <c r="DN407" s="112"/>
      <c r="DO407" t="e">
        <f t="shared" si="452"/>
        <v>#N/A</v>
      </c>
    </row>
    <row r="408" spans="33:119" x14ac:dyDescent="0.25">
      <c r="AG408" s="238">
        <f>AG407</f>
        <v>97</v>
      </c>
      <c r="AH408" s="112" t="e">
        <f ca="1">AI407+1</f>
        <v>#N/A</v>
      </c>
      <c r="AI408" s="112" t="e">
        <f ca="1">IF(INDIRECT(CONCATENATE("AE",AG405))&lt;100000,INDIRECT(CONCATENATE("AE",G405)),INDIRECT(CONCATENATE("AF",AG405)))</f>
        <v>#N/A</v>
      </c>
      <c r="AJ408" s="112" t="e">
        <f t="shared" ca="1" si="446"/>
        <v>#N/A</v>
      </c>
      <c r="AK408" s="112">
        <f t="shared" ca="1" si="448"/>
        <v>100000</v>
      </c>
      <c r="AL408" s="238" t="e">
        <f t="shared" ca="1" si="447"/>
        <v>#N/A</v>
      </c>
      <c r="AM408" s="112">
        <f t="shared" ca="1" si="445"/>
        <v>100000</v>
      </c>
      <c r="AN408" s="112">
        <f t="shared" ca="1" si="454"/>
        <v>100000</v>
      </c>
      <c r="AO408" s="114">
        <f t="shared" ca="1" si="450"/>
        <v>0</v>
      </c>
      <c r="AP408" s="114">
        <f t="shared" ca="1" si="451"/>
        <v>24</v>
      </c>
      <c r="AR408" s="238">
        <f t="shared" si="453"/>
        <v>408</v>
      </c>
      <c r="CJ408" s="112"/>
      <c r="CK408" s="112"/>
      <c r="CN408" s="112"/>
      <c r="CO408" s="112"/>
      <c r="CP408" s="112"/>
      <c r="CQ408" s="112"/>
      <c r="CR408" s="112"/>
      <c r="CS408" s="112"/>
      <c r="CT408" s="112"/>
      <c r="CU408" s="112"/>
      <c r="CV408" s="112"/>
      <c r="CW408" s="112"/>
      <c r="CX408" s="112"/>
      <c r="CY408" s="112"/>
      <c r="CZ408" s="112"/>
      <c r="DA408" s="112"/>
      <c r="DB408" s="112"/>
      <c r="DC408" s="112"/>
      <c r="DD408" s="112"/>
      <c r="DE408" s="112"/>
      <c r="DF408" s="112"/>
      <c r="DG408" s="112"/>
      <c r="DH408" s="112"/>
      <c r="DI408" s="112"/>
      <c r="DJ408" s="112"/>
      <c r="DK408" s="112"/>
      <c r="DL408" s="112"/>
      <c r="DM408" s="112"/>
      <c r="DN408" s="112"/>
      <c r="DO408" t="e">
        <f t="shared" si="452"/>
        <v>#N/A</v>
      </c>
    </row>
    <row r="409" spans="33:119" x14ac:dyDescent="0.25">
      <c r="AG409" s="238">
        <f>AG408</f>
        <v>97</v>
      </c>
      <c r="AH409" s="112" t="e">
        <f ca="1">AI408+1</f>
        <v>#N/A</v>
      </c>
      <c r="AI409" s="112" t="str">
        <f ca="1">INDIRECT(CONCATENATE("AF",AG405))</f>
        <v/>
      </c>
      <c r="AJ409" s="112" t="str">
        <f t="shared" ca="1" si="446"/>
        <v/>
      </c>
      <c r="AK409" s="112">
        <f t="shared" ca="1" si="448"/>
        <v>100000</v>
      </c>
      <c r="AL409" s="238" t="e">
        <f t="shared" ca="1" si="447"/>
        <v>#N/A</v>
      </c>
      <c r="AM409" s="112">
        <f t="shared" ca="1" si="445"/>
        <v>100000</v>
      </c>
      <c r="AN409" s="112">
        <f t="shared" ca="1" si="454"/>
        <v>100000</v>
      </c>
      <c r="AO409" s="114">
        <f t="shared" ca="1" si="450"/>
        <v>0</v>
      </c>
      <c r="AP409" s="114">
        <f t="shared" ca="1" si="451"/>
        <v>24</v>
      </c>
      <c r="AR409" s="238">
        <f t="shared" si="453"/>
        <v>409</v>
      </c>
      <c r="CJ409" s="112"/>
      <c r="CK409" s="112"/>
      <c r="CN409" s="112"/>
      <c r="CO409" s="112"/>
      <c r="CP409" s="112"/>
      <c r="CQ409" s="112"/>
      <c r="CR409" s="112"/>
      <c r="CS409" s="112"/>
      <c r="CT409" s="112"/>
      <c r="CU409" s="112"/>
      <c r="CV409" s="112"/>
      <c r="CW409" s="112"/>
      <c r="CX409" s="112"/>
      <c r="CY409" s="112"/>
      <c r="CZ409" s="112"/>
      <c r="DA409" s="112"/>
      <c r="DB409" s="112"/>
      <c r="DC409" s="112"/>
      <c r="DD409" s="112"/>
      <c r="DE409" s="112"/>
      <c r="DF409" s="112"/>
      <c r="DG409" s="112"/>
      <c r="DH409" s="112"/>
      <c r="DI409" s="112"/>
      <c r="DJ409" s="112"/>
      <c r="DK409" s="112"/>
      <c r="DL409" s="112"/>
      <c r="DM409" s="112"/>
      <c r="DN409" s="112"/>
      <c r="DO409" t="e">
        <f t="shared" si="452"/>
        <v>#N/A</v>
      </c>
    </row>
    <row r="410" spans="33:119" x14ac:dyDescent="0.25">
      <c r="AG410" s="238">
        <f>AG409+1</f>
        <v>98</v>
      </c>
      <c r="AH410" s="112" t="str">
        <f ca="1">INDIRECT(CONCATENATE("AA",AG410))</f>
        <v/>
      </c>
      <c r="AI410" s="112" t="e">
        <f ca="1">IF(            INDIRECT(CONCATENATE( "AB",AG410))&lt;100000,       INDIRECT(CONCATENATE("AB",AG410))  -1,IF(   INDIRECT(CONCATENATE("AC",AG410))&lt;100000,   INDIRECT(CONCATENATE("AC",AG410))-1,IF(   INDIRECT(CONCATENATE("AD", AG410))&lt;100000, INDIRECT(CONCATENATE("AD",AG410))-1,IF(   INDIRECT(CONCATENATE("AE",AG410))&lt;100000,  INDIRECT(CONCATENATE("AE",G410)),INDIRECT(CONCATENATE("AF",AG410))                ))))</f>
        <v>#N/A</v>
      </c>
      <c r="AJ410" s="112" t="str">
        <f t="shared" ca="1" si="446"/>
        <v/>
      </c>
      <c r="AK410" s="112" t="str">
        <f t="shared" ca="1" si="448"/>
        <v/>
      </c>
      <c r="AL410" s="238">
        <f t="shared" ca="1" si="447"/>
        <v>0</v>
      </c>
      <c r="AM410" s="112">
        <f t="shared" ca="1" si="445"/>
        <v>100000</v>
      </c>
      <c r="AN410" s="112">
        <f t="shared" ca="1" si="454"/>
        <v>100000</v>
      </c>
      <c r="AO410" s="114">
        <f t="shared" ca="1" si="450"/>
        <v>0</v>
      </c>
      <c r="AP410" s="114">
        <f t="shared" ca="1" si="451"/>
        <v>24</v>
      </c>
      <c r="AR410" s="238">
        <f t="shared" si="453"/>
        <v>410</v>
      </c>
      <c r="CJ410" s="112"/>
      <c r="CK410" s="112"/>
      <c r="CN410" s="112"/>
      <c r="CO410" s="112"/>
      <c r="CP410" s="112"/>
      <c r="CQ410" s="112"/>
      <c r="CR410" s="112"/>
      <c r="CS410" s="112"/>
      <c r="CT410" s="112"/>
      <c r="CU410" s="112"/>
      <c r="CV410" s="112"/>
      <c r="CW410" s="112"/>
      <c r="CX410" s="112"/>
      <c r="CY410" s="112"/>
      <c r="CZ410" s="112"/>
      <c r="DA410" s="112"/>
      <c r="DB410" s="112"/>
      <c r="DC410" s="112"/>
      <c r="DD410" s="112"/>
      <c r="DE410" s="112"/>
      <c r="DF410" s="112"/>
      <c r="DG410" s="112"/>
      <c r="DH410" s="112"/>
      <c r="DI410" s="112"/>
      <c r="DJ410" s="112"/>
      <c r="DK410" s="112"/>
      <c r="DL410" s="112"/>
      <c r="DM410" s="112"/>
      <c r="DN410" s="112"/>
      <c r="DO410" t="e">
        <f t="shared" si="452"/>
        <v>#N/A</v>
      </c>
    </row>
    <row r="411" spans="33:119" x14ac:dyDescent="0.25">
      <c r="AG411" s="238">
        <f>AG410</f>
        <v>98</v>
      </c>
      <c r="AH411" s="112" t="e">
        <f ca="1">AI410+1</f>
        <v>#N/A</v>
      </c>
      <c r="AI411" s="112" t="e">
        <f ca="1">IF(INDIRECT(CONCATENATE("AC",AG410))&lt;100000,INDIRECT(CONCATENATE("AC",AG410))-1,IF(INDIRECT(CONCATENATE("AD",AG410))&lt;100000,INDIRECT(CONCATENATE("AD",AG410))-1,IF(INDIRECT(CONCATENATE("AE",AG410))&lt;100000,INDIRECT(CONCATENATE("AE",G410)),INDIRECT(CONCATENATE("AF",AG410)))))</f>
        <v>#N/A</v>
      </c>
      <c r="AJ411" s="112" t="e">
        <f t="shared" ca="1" si="446"/>
        <v>#N/A</v>
      </c>
      <c r="AK411" s="112">
        <f t="shared" ca="1" si="448"/>
        <v>100000</v>
      </c>
      <c r="AL411" s="238" t="e">
        <f t="shared" ca="1" si="447"/>
        <v>#N/A</v>
      </c>
      <c r="AM411" s="112">
        <f t="shared" ca="1" si="445"/>
        <v>100000</v>
      </c>
      <c r="AN411" s="112">
        <f t="shared" ca="1" si="454"/>
        <v>100000</v>
      </c>
      <c r="AO411" s="114">
        <f t="shared" ca="1" si="450"/>
        <v>0</v>
      </c>
      <c r="AP411" s="114">
        <f t="shared" ca="1" si="451"/>
        <v>24</v>
      </c>
      <c r="AR411" s="238">
        <f t="shared" si="453"/>
        <v>411</v>
      </c>
      <c r="CJ411" s="112"/>
      <c r="CK411" s="112"/>
      <c r="CN411" s="112"/>
      <c r="CO411" s="112"/>
      <c r="CP411" s="112"/>
      <c r="CQ411" s="112"/>
      <c r="CR411" s="112"/>
      <c r="CS411" s="112"/>
      <c r="CT411" s="112"/>
      <c r="CU411" s="112"/>
      <c r="CV411" s="112"/>
      <c r="CW411" s="112"/>
      <c r="CX411" s="112"/>
      <c r="CY411" s="112"/>
      <c r="CZ411" s="112"/>
      <c r="DA411" s="112"/>
      <c r="DB411" s="112"/>
      <c r="DC411" s="112"/>
      <c r="DD411" s="112"/>
      <c r="DE411" s="112"/>
      <c r="DF411" s="112"/>
      <c r="DG411" s="112"/>
      <c r="DH411" s="112"/>
      <c r="DI411" s="112"/>
      <c r="DJ411" s="112"/>
      <c r="DK411" s="112"/>
      <c r="DL411" s="112"/>
      <c r="DM411" s="112"/>
      <c r="DN411" s="112"/>
      <c r="DO411" t="e">
        <f t="shared" si="452"/>
        <v>#N/A</v>
      </c>
    </row>
    <row r="412" spans="33:119" x14ac:dyDescent="0.25">
      <c r="AG412" s="238">
        <f>AG411</f>
        <v>98</v>
      </c>
      <c r="AH412" s="112" t="e">
        <f ca="1">AI411+1</f>
        <v>#N/A</v>
      </c>
      <c r="AI412" s="112" t="e">
        <f ca="1">IF(INDIRECT(CONCATENATE("AD",AG410))&lt;100000,INDIRECT(CONCATENATE("AD",AG410))-1,IF(INDIRECT(CONCATENATE("AE",AG410))&lt;100000,INDIRECT(CONCATENATE("AE",G410)),INDIRECT(CONCATENATE("AF",AG410))))</f>
        <v>#N/A</v>
      </c>
      <c r="AJ412" s="112" t="e">
        <f t="shared" ca="1" si="446"/>
        <v>#N/A</v>
      </c>
      <c r="AK412" s="112">
        <f t="shared" ca="1" si="448"/>
        <v>100000</v>
      </c>
      <c r="AL412" s="238" t="e">
        <f t="shared" ca="1" si="447"/>
        <v>#N/A</v>
      </c>
      <c r="AM412" s="112">
        <f t="shared" ca="1" si="445"/>
        <v>100000</v>
      </c>
      <c r="AN412" s="112">
        <f t="shared" ca="1" si="454"/>
        <v>100000</v>
      </c>
      <c r="AO412" s="114">
        <f t="shared" ca="1" si="450"/>
        <v>0</v>
      </c>
      <c r="AP412" s="114">
        <f t="shared" ca="1" si="451"/>
        <v>24</v>
      </c>
      <c r="AR412" s="238">
        <f t="shared" si="453"/>
        <v>412</v>
      </c>
      <c r="CJ412" s="112"/>
      <c r="CK412" s="112"/>
      <c r="CN412" s="112"/>
      <c r="CO412" s="112"/>
      <c r="CP412" s="112"/>
      <c r="CQ412" s="112"/>
      <c r="CR412" s="112"/>
      <c r="CS412" s="112"/>
      <c r="CT412" s="112"/>
      <c r="CU412" s="112"/>
      <c r="CV412" s="112"/>
      <c r="CW412" s="112"/>
      <c r="CX412" s="112"/>
      <c r="CY412" s="112"/>
      <c r="CZ412" s="112"/>
      <c r="DA412" s="112"/>
      <c r="DB412" s="112"/>
      <c r="DC412" s="112"/>
      <c r="DD412" s="112"/>
      <c r="DE412" s="112"/>
      <c r="DF412" s="112"/>
      <c r="DG412" s="112"/>
      <c r="DH412" s="112"/>
      <c r="DI412" s="112"/>
      <c r="DJ412" s="112"/>
      <c r="DK412" s="112"/>
      <c r="DL412" s="112"/>
      <c r="DM412" s="112"/>
      <c r="DN412" s="112"/>
      <c r="DO412" t="e">
        <f t="shared" si="452"/>
        <v>#N/A</v>
      </c>
    </row>
    <row r="413" spans="33:119" x14ac:dyDescent="0.25">
      <c r="AG413" s="238">
        <f>AG412</f>
        <v>98</v>
      </c>
      <c r="AH413" s="112" t="e">
        <f ca="1">AI412+1</f>
        <v>#N/A</v>
      </c>
      <c r="AI413" s="112" t="e">
        <f ca="1">IF(INDIRECT(CONCATENATE("AE",AG410))&lt;100000,INDIRECT(CONCATENATE("AE",G410)),INDIRECT(CONCATENATE("AF",AG410)))</f>
        <v>#N/A</v>
      </c>
      <c r="AJ413" s="112" t="e">
        <f t="shared" ca="1" si="446"/>
        <v>#N/A</v>
      </c>
      <c r="AK413" s="112">
        <f t="shared" ca="1" si="448"/>
        <v>100000</v>
      </c>
      <c r="AL413" s="238" t="e">
        <f t="shared" ca="1" si="447"/>
        <v>#N/A</v>
      </c>
      <c r="AM413" s="112">
        <f t="shared" ca="1" si="445"/>
        <v>100000</v>
      </c>
      <c r="AN413" s="112">
        <f t="shared" ca="1" si="454"/>
        <v>100000</v>
      </c>
      <c r="AO413" s="114">
        <f t="shared" ca="1" si="450"/>
        <v>0</v>
      </c>
      <c r="AP413" s="114">
        <f t="shared" ca="1" si="451"/>
        <v>24</v>
      </c>
      <c r="AR413" s="238">
        <f t="shared" si="453"/>
        <v>413</v>
      </c>
      <c r="CJ413" s="112"/>
      <c r="CK413" s="112"/>
      <c r="CN413" s="112"/>
      <c r="CO413" s="112"/>
      <c r="CP413" s="112"/>
      <c r="CQ413" s="112"/>
      <c r="CR413" s="112"/>
      <c r="CS413" s="112"/>
      <c r="CT413" s="112"/>
      <c r="CU413" s="112"/>
      <c r="CV413" s="112"/>
      <c r="CW413" s="112"/>
      <c r="CX413" s="112"/>
      <c r="CY413" s="112"/>
      <c r="CZ413" s="112"/>
      <c r="DA413" s="112"/>
      <c r="DB413" s="112"/>
      <c r="DC413" s="112"/>
      <c r="DD413" s="112"/>
      <c r="DE413" s="112"/>
      <c r="DF413" s="112"/>
      <c r="DG413" s="112"/>
      <c r="DH413" s="112"/>
      <c r="DI413" s="112"/>
      <c r="DJ413" s="112"/>
      <c r="DK413" s="112"/>
      <c r="DL413" s="112"/>
      <c r="DM413" s="112"/>
      <c r="DN413" s="112"/>
      <c r="DO413" t="e">
        <f t="shared" si="452"/>
        <v>#N/A</v>
      </c>
    </row>
    <row r="414" spans="33:119" x14ac:dyDescent="0.25">
      <c r="AG414" s="238">
        <f>AG413</f>
        <v>98</v>
      </c>
      <c r="AH414" s="112" t="e">
        <f ca="1">AI413+1</f>
        <v>#N/A</v>
      </c>
      <c r="AI414" s="112" t="str">
        <f ca="1">INDIRECT(CONCATENATE("AF",AG410))</f>
        <v/>
      </c>
      <c r="AJ414" s="112" t="str">
        <f t="shared" ca="1" si="446"/>
        <v/>
      </c>
      <c r="AK414" s="112">
        <f t="shared" ca="1" si="448"/>
        <v>100000</v>
      </c>
      <c r="AL414" s="238" t="e">
        <f t="shared" ca="1" si="447"/>
        <v>#N/A</v>
      </c>
      <c r="AM414" s="112">
        <f t="shared" ca="1" si="445"/>
        <v>100000</v>
      </c>
      <c r="AN414" s="112">
        <f t="shared" ca="1" si="454"/>
        <v>100000</v>
      </c>
      <c r="AO414" s="114">
        <f t="shared" ca="1" si="450"/>
        <v>0</v>
      </c>
      <c r="AP414" s="114">
        <f t="shared" ca="1" si="451"/>
        <v>24</v>
      </c>
      <c r="AR414" s="238">
        <f t="shared" si="453"/>
        <v>414</v>
      </c>
      <c r="CJ414" s="112"/>
      <c r="CK414" s="112"/>
      <c r="CN414" s="112"/>
      <c r="CO414" s="112"/>
      <c r="CP414" s="112"/>
      <c r="CQ414" s="112"/>
      <c r="CR414" s="112"/>
      <c r="CS414" s="112"/>
      <c r="CT414" s="112"/>
      <c r="CU414" s="112"/>
      <c r="CV414" s="112"/>
      <c r="CW414" s="112"/>
      <c r="CX414" s="112"/>
      <c r="CY414" s="112"/>
      <c r="CZ414" s="112"/>
      <c r="DA414" s="112"/>
      <c r="DB414" s="112"/>
      <c r="DC414" s="112"/>
      <c r="DD414" s="112"/>
      <c r="DE414" s="112"/>
      <c r="DF414" s="112"/>
      <c r="DG414" s="112"/>
      <c r="DH414" s="112"/>
      <c r="DI414" s="112"/>
      <c r="DJ414" s="112"/>
      <c r="DK414" s="112"/>
      <c r="DL414" s="112"/>
      <c r="DM414" s="112"/>
      <c r="DN414" s="112"/>
      <c r="DO414" t="e">
        <f t="shared" si="452"/>
        <v>#N/A</v>
      </c>
    </row>
    <row r="415" spans="33:119" x14ac:dyDescent="0.25">
      <c r="AG415" s="238">
        <f>AG414+1</f>
        <v>99</v>
      </c>
      <c r="AH415" s="112" t="str">
        <f ca="1">INDIRECT(CONCATENATE("AA",AG415))</f>
        <v/>
      </c>
      <c r="AI415" s="112" t="e">
        <f ca="1">IF(            INDIRECT(CONCATENATE( "AB",AG415))&lt;100000,       INDIRECT(CONCATENATE("AB",AG415))  -1,IF(   INDIRECT(CONCATENATE("AC",AG415))&lt;100000,   INDIRECT(CONCATENATE("AC",AG415))-1,IF(   INDIRECT(CONCATENATE("AD", AG415))&lt;100000, INDIRECT(CONCATENATE("AD",AG415))-1,IF(   INDIRECT(CONCATENATE("AE",AG415))&lt;100000,  INDIRECT(CONCATENATE("AE",G415)),INDIRECT(CONCATENATE("AF",AG415))                ))))</f>
        <v>#N/A</v>
      </c>
      <c r="AJ415" s="112" t="str">
        <f t="shared" ca="1" si="446"/>
        <v/>
      </c>
      <c r="AK415" s="112" t="str">
        <f t="shared" ca="1" si="448"/>
        <v/>
      </c>
      <c r="AL415" s="238">
        <f t="shared" ca="1" si="447"/>
        <v>0</v>
      </c>
      <c r="AM415" s="112">
        <f t="shared" ca="1" si="445"/>
        <v>100000</v>
      </c>
      <c r="AN415" s="112">
        <f t="shared" ca="1" si="454"/>
        <v>100000</v>
      </c>
      <c r="AO415" s="114">
        <f t="shared" ca="1" si="450"/>
        <v>0</v>
      </c>
      <c r="AP415" s="114">
        <f t="shared" ca="1" si="451"/>
        <v>24</v>
      </c>
      <c r="AR415" s="238">
        <f t="shared" si="453"/>
        <v>415</v>
      </c>
      <c r="CJ415" s="112"/>
      <c r="CK415" s="112"/>
      <c r="CN415" s="112"/>
      <c r="CO415" s="112"/>
      <c r="CP415" s="112"/>
      <c r="CQ415" s="112"/>
      <c r="CR415" s="112"/>
      <c r="CS415" s="112"/>
      <c r="CT415" s="112"/>
      <c r="CU415" s="112"/>
      <c r="CV415" s="112"/>
      <c r="CW415" s="112"/>
      <c r="CX415" s="112"/>
      <c r="CY415" s="112"/>
      <c r="CZ415" s="112"/>
      <c r="DA415" s="112"/>
      <c r="DB415" s="112"/>
      <c r="DC415" s="112"/>
      <c r="DD415" s="112"/>
      <c r="DE415" s="112"/>
      <c r="DF415" s="112"/>
      <c r="DG415" s="112"/>
      <c r="DH415" s="112"/>
      <c r="DI415" s="112"/>
      <c r="DJ415" s="112"/>
      <c r="DK415" s="112"/>
      <c r="DL415" s="112"/>
      <c r="DM415" s="112"/>
      <c r="DN415" s="112"/>
      <c r="DO415" t="e">
        <f t="shared" si="452"/>
        <v>#N/A</v>
      </c>
    </row>
    <row r="416" spans="33:119" x14ac:dyDescent="0.25">
      <c r="AG416" s="238">
        <f>AG415</f>
        <v>99</v>
      </c>
      <c r="AH416" s="112" t="e">
        <f ca="1">AI415+1</f>
        <v>#N/A</v>
      </c>
      <c r="AI416" s="112" t="e">
        <f ca="1">IF(INDIRECT(CONCATENATE("AC",AG415))&lt;100000,INDIRECT(CONCATENATE("AC",AG415))-1,IF(INDIRECT(CONCATENATE("AD",AG415))&lt;100000,INDIRECT(CONCATENATE("AD",AG415))-1,IF(INDIRECT(CONCATENATE("AE",AG415))&lt;100000,INDIRECT(CONCATENATE("AE",G415)),INDIRECT(CONCATENATE("AF",AG415)))))</f>
        <v>#N/A</v>
      </c>
      <c r="AJ416" s="112" t="e">
        <f t="shared" ca="1" si="446"/>
        <v>#N/A</v>
      </c>
      <c r="AK416" s="112">
        <f t="shared" ca="1" si="448"/>
        <v>100000</v>
      </c>
      <c r="AL416" s="238" t="e">
        <f t="shared" ca="1" si="447"/>
        <v>#N/A</v>
      </c>
      <c r="AM416" s="112">
        <f t="shared" ca="1" si="445"/>
        <v>100000</v>
      </c>
      <c r="AN416" s="112">
        <f t="shared" ca="1" si="454"/>
        <v>100000</v>
      </c>
      <c r="AO416" s="114">
        <f t="shared" ca="1" si="450"/>
        <v>0</v>
      </c>
      <c r="AP416" s="114">
        <f t="shared" ca="1" si="451"/>
        <v>24</v>
      </c>
      <c r="AR416" s="238">
        <f t="shared" si="453"/>
        <v>416</v>
      </c>
      <c r="CJ416" s="112"/>
      <c r="CK416" s="112"/>
      <c r="CN416" s="112"/>
      <c r="CO416" s="112"/>
      <c r="CP416" s="112"/>
      <c r="CQ416" s="112"/>
      <c r="CR416" s="112"/>
      <c r="CS416" s="112"/>
      <c r="CT416" s="112"/>
      <c r="CU416" s="112"/>
      <c r="CV416" s="112"/>
      <c r="CW416" s="112"/>
      <c r="CX416" s="112"/>
      <c r="CY416" s="112"/>
      <c r="CZ416" s="112"/>
      <c r="DA416" s="112"/>
      <c r="DB416" s="112"/>
      <c r="DC416" s="112"/>
      <c r="DD416" s="112"/>
      <c r="DE416" s="112"/>
      <c r="DF416" s="112"/>
      <c r="DG416" s="112"/>
      <c r="DH416" s="112"/>
      <c r="DI416" s="112"/>
      <c r="DJ416" s="112"/>
      <c r="DK416" s="112"/>
      <c r="DL416" s="112"/>
      <c r="DM416" s="112"/>
      <c r="DN416" s="112"/>
      <c r="DO416" t="e">
        <f t="shared" si="452"/>
        <v>#N/A</v>
      </c>
    </row>
    <row r="417" spans="33:119" x14ac:dyDescent="0.25">
      <c r="AG417" s="238">
        <f>AG416</f>
        <v>99</v>
      </c>
      <c r="AH417" s="112" t="e">
        <f ca="1">AI416+1</f>
        <v>#N/A</v>
      </c>
      <c r="AI417" s="112" t="e">
        <f ca="1">IF(INDIRECT(CONCATENATE("AD",AG415))&lt;100000,INDIRECT(CONCATENATE("AD",AG415))-1,IF(INDIRECT(CONCATENATE("AE",AG415))&lt;100000,INDIRECT(CONCATENATE("AE",G415)),INDIRECT(CONCATENATE("AF",AG415))))</f>
        <v>#N/A</v>
      </c>
      <c r="AJ417" s="112" t="e">
        <f t="shared" ca="1" si="446"/>
        <v>#N/A</v>
      </c>
      <c r="AK417" s="112">
        <f t="shared" ca="1" si="448"/>
        <v>100000</v>
      </c>
      <c r="AL417" s="238" t="e">
        <f t="shared" ca="1" si="447"/>
        <v>#N/A</v>
      </c>
      <c r="AM417" s="112">
        <f t="shared" ca="1" si="445"/>
        <v>100000</v>
      </c>
      <c r="AN417" s="112">
        <f t="shared" ca="1" si="454"/>
        <v>100000</v>
      </c>
      <c r="AO417" s="114">
        <f t="shared" ca="1" si="450"/>
        <v>0</v>
      </c>
      <c r="AP417" s="114">
        <f t="shared" ca="1" si="451"/>
        <v>24</v>
      </c>
      <c r="AR417" s="238">
        <f t="shared" si="453"/>
        <v>417</v>
      </c>
      <c r="CJ417" s="112"/>
      <c r="CK417" s="112"/>
      <c r="CN417" s="112"/>
      <c r="CO417" s="112"/>
      <c r="CP417" s="112"/>
      <c r="CQ417" s="112"/>
      <c r="CR417" s="112"/>
      <c r="CS417" s="112"/>
      <c r="CT417" s="112"/>
      <c r="CU417" s="112"/>
      <c r="CV417" s="112"/>
      <c r="CW417" s="112"/>
      <c r="CX417" s="112"/>
      <c r="CY417" s="112"/>
      <c r="CZ417" s="112"/>
      <c r="DA417" s="112"/>
      <c r="DB417" s="112"/>
      <c r="DC417" s="112"/>
      <c r="DD417" s="112"/>
      <c r="DE417" s="112"/>
      <c r="DF417" s="112"/>
      <c r="DG417" s="112"/>
      <c r="DH417" s="112"/>
      <c r="DI417" s="112"/>
      <c r="DJ417" s="112"/>
      <c r="DK417" s="112"/>
      <c r="DL417" s="112"/>
      <c r="DM417" s="112"/>
      <c r="DN417" s="112"/>
      <c r="DO417" t="e">
        <f t="shared" si="452"/>
        <v>#N/A</v>
      </c>
    </row>
    <row r="418" spans="33:119" x14ac:dyDescent="0.25">
      <c r="AG418" s="238">
        <f>AG417</f>
        <v>99</v>
      </c>
      <c r="AH418" s="112" t="e">
        <f ca="1">AI417+1</f>
        <v>#N/A</v>
      </c>
      <c r="AI418" s="112" t="e">
        <f ca="1">IF(INDIRECT(CONCATENATE("AE",AG415))&lt;100000,INDIRECT(CONCATENATE("AE",G415)),INDIRECT(CONCATENATE("AF",AG415)))</f>
        <v>#N/A</v>
      </c>
      <c r="AJ418" s="112" t="e">
        <f t="shared" ca="1" si="446"/>
        <v>#N/A</v>
      </c>
      <c r="AK418" s="112">
        <f t="shared" ca="1" si="448"/>
        <v>100000</v>
      </c>
      <c r="AL418" s="238" t="e">
        <f t="shared" ca="1" si="447"/>
        <v>#N/A</v>
      </c>
      <c r="AM418" s="112">
        <f t="shared" ca="1" si="445"/>
        <v>100000</v>
      </c>
      <c r="AN418" s="112">
        <f t="shared" ca="1" si="454"/>
        <v>100000</v>
      </c>
      <c r="AO418" s="114">
        <f t="shared" ca="1" si="450"/>
        <v>0</v>
      </c>
      <c r="AP418" s="114">
        <f t="shared" ca="1" si="451"/>
        <v>24</v>
      </c>
      <c r="AR418" s="238">
        <f t="shared" si="453"/>
        <v>418</v>
      </c>
      <c r="CJ418" s="112"/>
      <c r="CK418" s="112"/>
      <c r="CN418" s="112"/>
      <c r="CO418" s="112"/>
      <c r="CP418" s="112"/>
      <c r="CQ418" s="112"/>
      <c r="CR418" s="112"/>
      <c r="CS418" s="112"/>
      <c r="CT418" s="112"/>
      <c r="CU418" s="112"/>
      <c r="CV418" s="112"/>
      <c r="CW418" s="112"/>
      <c r="CX418" s="112"/>
      <c r="CY418" s="112"/>
      <c r="CZ418" s="112"/>
      <c r="DA418" s="112"/>
      <c r="DB418" s="112"/>
      <c r="DC418" s="112"/>
      <c r="DD418" s="112"/>
      <c r="DE418" s="112"/>
      <c r="DF418" s="112"/>
      <c r="DG418" s="112"/>
      <c r="DH418" s="112"/>
      <c r="DI418" s="112"/>
      <c r="DJ418" s="112"/>
      <c r="DK418" s="112"/>
      <c r="DL418" s="112"/>
      <c r="DM418" s="112"/>
      <c r="DN418" s="112"/>
      <c r="DO418" t="e">
        <f t="shared" si="452"/>
        <v>#N/A</v>
      </c>
    </row>
    <row r="419" spans="33:119" x14ac:dyDescent="0.25">
      <c r="AG419" s="238">
        <f>AG418</f>
        <v>99</v>
      </c>
      <c r="AH419" s="112" t="e">
        <f ca="1">AI418+1</f>
        <v>#N/A</v>
      </c>
      <c r="AI419" s="112" t="str">
        <f ca="1">INDIRECT(CONCATENATE("AF",AG415))</f>
        <v/>
      </c>
      <c r="AJ419" s="112" t="str">
        <f t="shared" ca="1" si="446"/>
        <v/>
      </c>
      <c r="AK419" s="112">
        <f t="shared" ca="1" si="448"/>
        <v>100000</v>
      </c>
      <c r="AL419" s="238" t="e">
        <f t="shared" ca="1" si="447"/>
        <v>#N/A</v>
      </c>
      <c r="AM419" s="112">
        <f t="shared" ca="1" si="445"/>
        <v>100000</v>
      </c>
      <c r="AN419" s="112">
        <f t="shared" ca="1" si="454"/>
        <v>100000</v>
      </c>
      <c r="AO419" s="114">
        <f t="shared" ca="1" si="450"/>
        <v>0</v>
      </c>
      <c r="AP419" s="114">
        <f t="shared" ca="1" si="451"/>
        <v>24</v>
      </c>
      <c r="AR419" s="238">
        <f t="shared" si="453"/>
        <v>419</v>
      </c>
      <c r="CJ419" s="112"/>
      <c r="CK419" s="112"/>
      <c r="CN419" s="112"/>
      <c r="CO419" s="112"/>
      <c r="CP419" s="112"/>
      <c r="CQ419" s="112"/>
      <c r="CR419" s="112"/>
      <c r="CS419" s="112"/>
      <c r="CT419" s="112"/>
      <c r="CU419" s="112"/>
      <c r="CV419" s="112"/>
      <c r="CW419" s="112"/>
      <c r="CX419" s="112"/>
      <c r="CY419" s="112"/>
      <c r="CZ419" s="112"/>
      <c r="DA419" s="112"/>
      <c r="DB419" s="112"/>
      <c r="DC419" s="112"/>
      <c r="DD419" s="112"/>
      <c r="DE419" s="112"/>
      <c r="DF419" s="112"/>
      <c r="DG419" s="112"/>
      <c r="DH419" s="112"/>
      <c r="DI419" s="112"/>
      <c r="DJ419" s="112"/>
      <c r="DK419" s="112"/>
      <c r="DL419" s="112"/>
      <c r="DM419" s="112"/>
      <c r="DN419" s="112"/>
      <c r="DO419" t="e">
        <f t="shared" si="452"/>
        <v>#N/A</v>
      </c>
    </row>
    <row r="420" spans="33:119" x14ac:dyDescent="0.25">
      <c r="AG420" s="238">
        <f>AG419+1</f>
        <v>100</v>
      </c>
      <c r="AH420" s="112" t="str">
        <f ca="1">INDIRECT(CONCATENATE("AA",AG420))</f>
        <v/>
      </c>
      <c r="AI420" s="112" t="e">
        <f ca="1">IF(            INDIRECT(CONCATENATE( "AB",AG420))&lt;100000,       INDIRECT(CONCATENATE("AB",AG420))  -1,IF(   INDIRECT(CONCATENATE("AC",AG420))&lt;100000,   INDIRECT(CONCATENATE("AC",AG420))-1,IF(   INDIRECT(CONCATENATE("AD", AG420))&lt;100000, INDIRECT(CONCATENATE("AD",AG420))-1,IF(   INDIRECT(CONCATENATE("AE",AG420))&lt;100000,  INDIRECT(CONCATENATE("AE",G420)),INDIRECT(CONCATENATE("AF",AG420))                ))))</f>
        <v>#N/A</v>
      </c>
      <c r="AJ420" s="112" t="str">
        <f t="shared" ca="1" si="446"/>
        <v/>
      </c>
      <c r="AK420" s="112" t="str">
        <f t="shared" ca="1" si="448"/>
        <v/>
      </c>
      <c r="AL420" s="238">
        <f t="shared" ca="1" si="447"/>
        <v>0</v>
      </c>
      <c r="AM420" s="112">
        <f t="shared" ca="1" si="445"/>
        <v>100000</v>
      </c>
      <c r="AN420" s="112">
        <f t="shared" ca="1" si="454"/>
        <v>100000</v>
      </c>
      <c r="AO420" s="114">
        <f t="shared" ca="1" si="450"/>
        <v>0</v>
      </c>
      <c r="AP420" s="114">
        <f t="shared" ca="1" si="451"/>
        <v>24</v>
      </c>
      <c r="AR420" s="238">
        <f t="shared" si="453"/>
        <v>420</v>
      </c>
      <c r="CJ420" s="112"/>
      <c r="CK420" s="112"/>
      <c r="CN420" s="112"/>
      <c r="CO420" s="112"/>
      <c r="CP420" s="112"/>
      <c r="CQ420" s="112"/>
      <c r="CR420" s="112"/>
      <c r="CS420" s="112"/>
      <c r="CT420" s="112"/>
      <c r="CU420" s="112"/>
      <c r="CV420" s="112"/>
      <c r="CW420" s="112"/>
      <c r="CX420" s="112"/>
      <c r="CY420" s="112"/>
      <c r="CZ420" s="112"/>
      <c r="DA420" s="112"/>
      <c r="DB420" s="112"/>
      <c r="DC420" s="112"/>
      <c r="DD420" s="112"/>
      <c r="DE420" s="112"/>
      <c r="DF420" s="112"/>
      <c r="DG420" s="112"/>
      <c r="DH420" s="112"/>
      <c r="DI420" s="112"/>
      <c r="DJ420" s="112"/>
      <c r="DK420" s="112"/>
      <c r="DL420" s="112"/>
      <c r="DM420" s="112"/>
      <c r="DN420" s="112"/>
      <c r="DO420" t="e">
        <f t="shared" si="452"/>
        <v>#N/A</v>
      </c>
    </row>
    <row r="421" spans="33:119" x14ac:dyDescent="0.25">
      <c r="AG421" s="238">
        <f>AG420</f>
        <v>100</v>
      </c>
      <c r="AH421" s="112" t="e">
        <f ca="1">AI420+1</f>
        <v>#N/A</v>
      </c>
      <c r="AI421" s="112" t="e">
        <f ca="1">IF(INDIRECT(CONCATENATE("AC",AG420))&lt;100000,INDIRECT(CONCATENATE("AC",AG420))-1,IF(INDIRECT(CONCATENATE("AD",AG420))&lt;100000,INDIRECT(CONCATENATE("AD",AG420))-1,IF(INDIRECT(CONCATENATE("AE",AG420))&lt;100000,INDIRECT(CONCATENATE("AE",G420)),INDIRECT(CONCATENATE("AF",AG420)))))</f>
        <v>#N/A</v>
      </c>
      <c r="AJ421" s="112" t="e">
        <f t="shared" ca="1" si="446"/>
        <v>#N/A</v>
      </c>
      <c r="AK421" s="112">
        <f t="shared" ca="1" si="448"/>
        <v>100000</v>
      </c>
      <c r="AL421" s="238" t="e">
        <f t="shared" ca="1" si="447"/>
        <v>#N/A</v>
      </c>
      <c r="AM421" s="112">
        <f t="shared" ca="1" si="445"/>
        <v>100000</v>
      </c>
      <c r="AN421" s="112">
        <f t="shared" ca="1" si="454"/>
        <v>100000</v>
      </c>
      <c r="AO421" s="114">
        <f t="shared" ca="1" si="450"/>
        <v>0</v>
      </c>
      <c r="AP421" s="114">
        <f t="shared" ca="1" si="451"/>
        <v>24</v>
      </c>
      <c r="AR421" s="238">
        <f t="shared" si="453"/>
        <v>421</v>
      </c>
      <c r="CJ421" s="112"/>
      <c r="CK421" s="112"/>
      <c r="CN421" s="112"/>
      <c r="CO421" s="112"/>
      <c r="CP421" s="112"/>
      <c r="CQ421" s="112"/>
      <c r="CR421" s="112"/>
      <c r="CS421" s="112"/>
      <c r="CT421" s="112"/>
      <c r="CU421" s="112"/>
      <c r="CV421" s="112"/>
      <c r="CW421" s="112"/>
      <c r="CX421" s="112"/>
      <c r="CY421" s="112"/>
      <c r="CZ421" s="112"/>
      <c r="DA421" s="112"/>
      <c r="DB421" s="112"/>
      <c r="DC421" s="112"/>
      <c r="DD421" s="112"/>
      <c r="DE421" s="112"/>
      <c r="DF421" s="112"/>
      <c r="DG421" s="112"/>
      <c r="DH421" s="112"/>
      <c r="DI421" s="112"/>
      <c r="DJ421" s="112"/>
      <c r="DK421" s="112"/>
      <c r="DL421" s="112"/>
      <c r="DM421" s="112"/>
      <c r="DN421" s="112"/>
      <c r="DO421" t="e">
        <f t="shared" si="452"/>
        <v>#N/A</v>
      </c>
    </row>
    <row r="422" spans="33:119" x14ac:dyDescent="0.25">
      <c r="AG422" s="238">
        <f>AG421</f>
        <v>100</v>
      </c>
      <c r="AH422" s="112" t="e">
        <f ca="1">AI421+1</f>
        <v>#N/A</v>
      </c>
      <c r="AI422" s="112" t="e">
        <f ca="1">IF(INDIRECT(CONCATENATE("AD",AG420))&lt;100000,INDIRECT(CONCATENATE("AD",AG420))-1,IF(INDIRECT(CONCATENATE("AE",AG420))&lt;100000,INDIRECT(CONCATENATE("AE",G420)),INDIRECT(CONCATENATE("AF",AG420))))</f>
        <v>#N/A</v>
      </c>
      <c r="AJ422" s="112" t="e">
        <f t="shared" ca="1" si="446"/>
        <v>#N/A</v>
      </c>
      <c r="AK422" s="112">
        <f t="shared" ca="1" si="448"/>
        <v>100000</v>
      </c>
      <c r="AL422" s="238" t="e">
        <f t="shared" ca="1" si="447"/>
        <v>#N/A</v>
      </c>
      <c r="AM422" s="112">
        <f t="shared" ca="1" si="445"/>
        <v>100000</v>
      </c>
      <c r="AN422" s="112">
        <f t="shared" ca="1" si="454"/>
        <v>100000</v>
      </c>
      <c r="AO422" s="114">
        <f t="shared" ca="1" si="450"/>
        <v>0</v>
      </c>
      <c r="AP422" s="114">
        <f t="shared" ca="1" si="451"/>
        <v>24</v>
      </c>
      <c r="AR422" s="238">
        <f t="shared" si="453"/>
        <v>422</v>
      </c>
      <c r="CJ422" s="112"/>
      <c r="CK422" s="112"/>
      <c r="CN422" s="112"/>
      <c r="CO422" s="112"/>
      <c r="CP422" s="112"/>
      <c r="CQ422" s="112"/>
      <c r="CR422" s="112"/>
      <c r="CS422" s="112"/>
      <c r="CT422" s="112"/>
      <c r="CU422" s="112"/>
      <c r="CV422" s="112"/>
      <c r="CW422" s="112"/>
      <c r="CX422" s="112"/>
      <c r="CY422" s="112"/>
      <c r="CZ422" s="112"/>
      <c r="DA422" s="112"/>
      <c r="DB422" s="112"/>
      <c r="DC422" s="112"/>
      <c r="DD422" s="112"/>
      <c r="DE422" s="112"/>
      <c r="DF422" s="112"/>
      <c r="DG422" s="112"/>
      <c r="DH422" s="112"/>
      <c r="DI422" s="112"/>
      <c r="DJ422" s="112"/>
      <c r="DK422" s="112"/>
      <c r="DL422" s="112"/>
      <c r="DM422" s="112"/>
      <c r="DN422" s="112"/>
      <c r="DO422" t="e">
        <f t="shared" si="452"/>
        <v>#N/A</v>
      </c>
    </row>
    <row r="423" spans="33:119" x14ac:dyDescent="0.25">
      <c r="AG423" s="238">
        <f>AG422</f>
        <v>100</v>
      </c>
      <c r="AH423" s="112" t="e">
        <f ca="1">AI422+1</f>
        <v>#N/A</v>
      </c>
      <c r="AI423" s="112" t="e">
        <f ca="1">IF(INDIRECT(CONCATENATE("AE",AG420))&lt;100000,INDIRECT(CONCATENATE("AE",G420)),INDIRECT(CONCATENATE("AF",AG420)))</f>
        <v>#N/A</v>
      </c>
      <c r="AJ423" s="112" t="e">
        <f t="shared" ca="1" si="446"/>
        <v>#N/A</v>
      </c>
      <c r="AK423" s="112">
        <f t="shared" ca="1" si="448"/>
        <v>100000</v>
      </c>
      <c r="AL423" s="238" t="e">
        <f t="shared" ca="1" si="447"/>
        <v>#N/A</v>
      </c>
      <c r="AM423" s="112">
        <f t="shared" ca="1" si="445"/>
        <v>100000</v>
      </c>
      <c r="AN423" s="112">
        <f t="shared" ca="1" si="454"/>
        <v>100000</v>
      </c>
      <c r="AO423" s="114">
        <f t="shared" ca="1" si="450"/>
        <v>0</v>
      </c>
      <c r="AP423" s="114">
        <f t="shared" ca="1" si="451"/>
        <v>24</v>
      </c>
      <c r="AR423" s="238">
        <f t="shared" si="453"/>
        <v>423</v>
      </c>
      <c r="CJ423" s="112"/>
      <c r="CK423" s="112"/>
      <c r="CN423" s="112"/>
      <c r="CO423" s="112"/>
      <c r="CP423" s="112"/>
      <c r="CQ423" s="112"/>
      <c r="CR423" s="112"/>
      <c r="CS423" s="112"/>
      <c r="CT423" s="112"/>
      <c r="CU423" s="112"/>
      <c r="CV423" s="112"/>
      <c r="CW423" s="112"/>
      <c r="CX423" s="112"/>
      <c r="CY423" s="112"/>
      <c r="CZ423" s="112"/>
      <c r="DA423" s="112"/>
      <c r="DB423" s="112"/>
      <c r="DC423" s="112"/>
      <c r="DD423" s="112"/>
      <c r="DE423" s="112"/>
      <c r="DF423" s="112"/>
      <c r="DG423" s="112"/>
      <c r="DH423" s="112"/>
      <c r="DI423" s="112"/>
      <c r="DJ423" s="112"/>
      <c r="DK423" s="112"/>
      <c r="DL423" s="112"/>
      <c r="DM423" s="112"/>
      <c r="DN423" s="112"/>
      <c r="DO423" t="e">
        <f t="shared" si="452"/>
        <v>#N/A</v>
      </c>
    </row>
    <row r="424" spans="33:119" x14ac:dyDescent="0.25">
      <c r="AG424" s="238">
        <f>AG423</f>
        <v>100</v>
      </c>
      <c r="AH424" s="112" t="e">
        <f ca="1">AI423+1</f>
        <v>#N/A</v>
      </c>
      <c r="AI424" s="112" t="str">
        <f ca="1">INDIRECT(CONCATENATE("AF",AG420))</f>
        <v/>
      </c>
      <c r="AJ424" s="112" t="str">
        <f t="shared" ca="1" si="446"/>
        <v/>
      </c>
      <c r="AK424" s="112">
        <f t="shared" ca="1" si="448"/>
        <v>100000</v>
      </c>
      <c r="AL424" s="238" t="e">
        <f t="shared" ca="1" si="447"/>
        <v>#N/A</v>
      </c>
      <c r="AM424" s="112">
        <f t="shared" ca="1" si="445"/>
        <v>100000</v>
      </c>
      <c r="AN424" s="112">
        <f t="shared" ca="1" si="454"/>
        <v>100000</v>
      </c>
      <c r="AO424" s="114">
        <f t="shared" ca="1" si="450"/>
        <v>0</v>
      </c>
      <c r="AP424" s="114">
        <f t="shared" ca="1" si="451"/>
        <v>24</v>
      </c>
      <c r="AR424" s="238">
        <f t="shared" si="453"/>
        <v>424</v>
      </c>
      <c r="CJ424" s="112"/>
      <c r="CK424" s="112"/>
      <c r="CN424" s="112"/>
      <c r="CO424" s="112"/>
      <c r="CP424" s="112"/>
      <c r="CQ424" s="112"/>
      <c r="CR424" s="112"/>
      <c r="CS424" s="112"/>
      <c r="CT424" s="112"/>
      <c r="CU424" s="112"/>
      <c r="CV424" s="112"/>
      <c r="CW424" s="112"/>
      <c r="CX424" s="112"/>
      <c r="CY424" s="112"/>
      <c r="CZ424" s="112"/>
      <c r="DA424" s="112"/>
      <c r="DB424" s="112"/>
      <c r="DC424" s="112"/>
      <c r="DD424" s="112"/>
      <c r="DE424" s="112"/>
      <c r="DF424" s="112"/>
      <c r="DG424" s="112"/>
      <c r="DH424" s="112"/>
      <c r="DI424" s="112"/>
      <c r="DJ424" s="112"/>
      <c r="DK424" s="112"/>
      <c r="DL424" s="112"/>
      <c r="DM424" s="112"/>
      <c r="DN424" s="112"/>
      <c r="DO424" t="e">
        <f t="shared" si="452"/>
        <v>#N/A</v>
      </c>
    </row>
    <row r="425" spans="33:119" x14ac:dyDescent="0.25">
      <c r="AG425" s="238">
        <f>AG424+1</f>
        <v>101</v>
      </c>
      <c r="AH425" s="112" t="str">
        <f ca="1">INDIRECT(CONCATENATE("AA",AG425))</f>
        <v/>
      </c>
      <c r="AI425" s="112" t="e">
        <f ca="1">IF(            INDIRECT(CONCATENATE( "AB",AG425))&lt;100000,       INDIRECT(CONCATENATE("AB",AG425))  -1,IF(   INDIRECT(CONCATENATE("AC",AG425))&lt;100000,   INDIRECT(CONCATENATE("AC",AG425))-1,IF(   INDIRECT(CONCATENATE("AD", AG425))&lt;100000, INDIRECT(CONCATENATE("AD",AG425))-1,IF(   INDIRECT(CONCATENATE("AE",AG425))&lt;100000,  INDIRECT(CONCATENATE("AE",G425)),INDIRECT(CONCATENATE("AF",AG425))                ))))</f>
        <v>#N/A</v>
      </c>
      <c r="AJ425" s="112" t="str">
        <f t="shared" ca="1" si="446"/>
        <v/>
      </c>
      <c r="AK425" s="112" t="str">
        <f t="shared" ca="1" si="448"/>
        <v/>
      </c>
      <c r="AL425" s="238">
        <f t="shared" ca="1" si="447"/>
        <v>0</v>
      </c>
      <c r="AM425" s="112">
        <f t="shared" ref="AM425:AM488" ca="1" si="455">IF(TYPE(AL425)=16,100000,IF(AL425=0,100000,AH425))</f>
        <v>100000</v>
      </c>
      <c r="AN425" s="112">
        <f t="shared" ca="1" si="454"/>
        <v>100000</v>
      </c>
      <c r="AO425" s="114">
        <f t="shared" ca="1" si="450"/>
        <v>0</v>
      </c>
      <c r="AP425" s="114">
        <f t="shared" ca="1" si="451"/>
        <v>24</v>
      </c>
      <c r="AR425" s="238">
        <f t="shared" si="453"/>
        <v>425</v>
      </c>
      <c r="CJ425" s="112"/>
      <c r="CK425" s="112"/>
      <c r="CN425" s="112"/>
      <c r="CO425" s="112"/>
      <c r="CP425" s="112"/>
      <c r="CQ425" s="112"/>
      <c r="CR425" s="112"/>
      <c r="CS425" s="112"/>
      <c r="CT425" s="112"/>
      <c r="CU425" s="112"/>
      <c r="CV425" s="112"/>
      <c r="CW425" s="112"/>
      <c r="CX425" s="112"/>
      <c r="CY425" s="112"/>
      <c r="CZ425" s="112"/>
      <c r="DA425" s="112"/>
      <c r="DB425" s="112"/>
      <c r="DC425" s="112"/>
      <c r="DD425" s="112"/>
      <c r="DE425" s="112"/>
      <c r="DF425" s="112"/>
      <c r="DG425" s="112"/>
      <c r="DH425" s="112"/>
      <c r="DI425" s="112"/>
      <c r="DJ425" s="112"/>
      <c r="DK425" s="112"/>
      <c r="DL425" s="112"/>
      <c r="DM425" s="112"/>
      <c r="DN425" s="112"/>
      <c r="DO425" t="e">
        <f t="shared" si="452"/>
        <v>#N/A</v>
      </c>
    </row>
    <row r="426" spans="33:119" x14ac:dyDescent="0.25">
      <c r="AG426" s="238">
        <f>AG425</f>
        <v>101</v>
      </c>
      <c r="AH426" s="112" t="e">
        <f ca="1">AI425+1</f>
        <v>#N/A</v>
      </c>
      <c r="AI426" s="112" t="e">
        <f ca="1">IF(INDIRECT(CONCATENATE("AC",AG425))&lt;100000,INDIRECT(CONCATENATE("AC",AG425))-1,IF(INDIRECT(CONCATENATE("AD",AG425))&lt;100000,INDIRECT(CONCATENATE("AD",AG425))-1,IF(INDIRECT(CONCATENATE("AE",AG425))&lt;100000,INDIRECT(CONCATENATE("AE",G425)),INDIRECT(CONCATENATE("AF",AG425)))))</f>
        <v>#N/A</v>
      </c>
      <c r="AJ426" s="112" t="e">
        <f t="shared" ca="1" si="446"/>
        <v>#N/A</v>
      </c>
      <c r="AK426" s="112">
        <f t="shared" ca="1" si="448"/>
        <v>100000</v>
      </c>
      <c r="AL426" s="238" t="e">
        <f t="shared" ca="1" si="447"/>
        <v>#N/A</v>
      </c>
      <c r="AM426" s="112">
        <f t="shared" ca="1" si="455"/>
        <v>100000</v>
      </c>
      <c r="AN426" s="112">
        <f t="shared" ca="1" si="454"/>
        <v>100000</v>
      </c>
      <c r="AO426" s="114">
        <f t="shared" ca="1" si="450"/>
        <v>0</v>
      </c>
      <c r="AP426" s="114">
        <f t="shared" ca="1" si="451"/>
        <v>24</v>
      </c>
      <c r="AR426" s="238">
        <f t="shared" si="453"/>
        <v>426</v>
      </c>
      <c r="CJ426" s="112"/>
      <c r="CK426" s="112"/>
      <c r="CN426" s="112"/>
      <c r="CO426" s="112"/>
      <c r="CP426" s="112"/>
      <c r="CQ426" s="112"/>
      <c r="CR426" s="112"/>
      <c r="CS426" s="112"/>
      <c r="CT426" s="112"/>
      <c r="CU426" s="112"/>
      <c r="CV426" s="112"/>
      <c r="CW426" s="112"/>
      <c r="CX426" s="112"/>
      <c r="CY426" s="112"/>
      <c r="CZ426" s="112"/>
      <c r="DA426" s="112"/>
      <c r="DB426" s="112"/>
      <c r="DC426" s="112"/>
      <c r="DD426" s="112"/>
      <c r="DE426" s="112"/>
      <c r="DF426" s="112"/>
      <c r="DG426" s="112"/>
      <c r="DH426" s="112"/>
      <c r="DI426" s="112"/>
      <c r="DJ426" s="112"/>
      <c r="DK426" s="112"/>
      <c r="DL426" s="112"/>
      <c r="DM426" s="112"/>
      <c r="DN426" s="112"/>
      <c r="DO426" t="e">
        <f t="shared" si="452"/>
        <v>#N/A</v>
      </c>
    </row>
    <row r="427" spans="33:119" x14ac:dyDescent="0.25">
      <c r="AG427" s="238">
        <f>AG426</f>
        <v>101</v>
      </c>
      <c r="AH427" s="112" t="e">
        <f ca="1">AI426+1</f>
        <v>#N/A</v>
      </c>
      <c r="AI427" s="112" t="e">
        <f ca="1">IF(INDIRECT(CONCATENATE("AD",AG425))&lt;100000,INDIRECT(CONCATENATE("AD",AG425))-1,IF(INDIRECT(CONCATENATE("AE",AG425))&lt;100000,INDIRECT(CONCATENATE("AE",G425)),INDIRECT(CONCATENATE("AF",AG425))))</f>
        <v>#N/A</v>
      </c>
      <c r="AJ427" s="112" t="e">
        <f t="shared" ca="1" si="446"/>
        <v>#N/A</v>
      </c>
      <c r="AK427" s="112">
        <f t="shared" ca="1" si="448"/>
        <v>100000</v>
      </c>
      <c r="AL427" s="238" t="e">
        <f t="shared" ca="1" si="447"/>
        <v>#N/A</v>
      </c>
      <c r="AM427" s="112">
        <f t="shared" ca="1" si="455"/>
        <v>100000</v>
      </c>
      <c r="AN427" s="112">
        <f t="shared" ca="1" si="454"/>
        <v>100000</v>
      </c>
      <c r="AO427" s="114">
        <f t="shared" ca="1" si="450"/>
        <v>0</v>
      </c>
      <c r="AP427" s="114">
        <f t="shared" ca="1" si="451"/>
        <v>24</v>
      </c>
      <c r="AR427" s="238">
        <f t="shared" si="453"/>
        <v>427</v>
      </c>
      <c r="CJ427" s="112"/>
      <c r="CK427" s="112"/>
      <c r="CN427" s="112"/>
      <c r="CO427" s="112"/>
      <c r="CP427" s="112"/>
      <c r="CQ427" s="112"/>
      <c r="CR427" s="112"/>
      <c r="CS427" s="112"/>
      <c r="CT427" s="112"/>
      <c r="CU427" s="112"/>
      <c r="CV427" s="112"/>
      <c r="CW427" s="112"/>
      <c r="CX427" s="112"/>
      <c r="CY427" s="112"/>
      <c r="CZ427" s="112"/>
      <c r="DA427" s="112"/>
      <c r="DB427" s="112"/>
      <c r="DC427" s="112"/>
      <c r="DD427" s="112"/>
      <c r="DE427" s="112"/>
      <c r="DF427" s="112"/>
      <c r="DG427" s="112"/>
      <c r="DH427" s="112"/>
      <c r="DI427" s="112"/>
      <c r="DJ427" s="112"/>
      <c r="DK427" s="112"/>
      <c r="DL427" s="112"/>
      <c r="DM427" s="112"/>
      <c r="DN427" s="112"/>
      <c r="DO427" t="e">
        <f t="shared" si="452"/>
        <v>#N/A</v>
      </c>
    </row>
    <row r="428" spans="33:119" x14ac:dyDescent="0.25">
      <c r="AG428" s="238">
        <f>AG427</f>
        <v>101</v>
      </c>
      <c r="AH428" s="112" t="e">
        <f ca="1">AI427+1</f>
        <v>#N/A</v>
      </c>
      <c r="AI428" s="112" t="e">
        <f ca="1">IF(INDIRECT(CONCATENATE("AE",AG425))&lt;100000,INDIRECT(CONCATENATE("AE",G425)),INDIRECT(CONCATENATE("AF",AG425)))</f>
        <v>#N/A</v>
      </c>
      <c r="AJ428" s="112" t="e">
        <f t="shared" ca="1" si="446"/>
        <v>#N/A</v>
      </c>
      <c r="AK428" s="112">
        <f t="shared" ca="1" si="448"/>
        <v>100000</v>
      </c>
      <c r="AL428" s="238" t="e">
        <f t="shared" ca="1" si="447"/>
        <v>#N/A</v>
      </c>
      <c r="AM428" s="112">
        <f t="shared" ca="1" si="455"/>
        <v>100000</v>
      </c>
      <c r="AN428" s="112">
        <f t="shared" ca="1" si="454"/>
        <v>100000</v>
      </c>
      <c r="AO428" s="114">
        <f t="shared" ca="1" si="450"/>
        <v>0</v>
      </c>
      <c r="AP428" s="114">
        <f t="shared" ca="1" si="451"/>
        <v>24</v>
      </c>
      <c r="AR428" s="238">
        <f t="shared" si="453"/>
        <v>428</v>
      </c>
      <c r="CJ428" s="112"/>
      <c r="CK428" s="112"/>
      <c r="CN428" s="112"/>
      <c r="CO428" s="112"/>
      <c r="CP428" s="112"/>
      <c r="CQ428" s="112"/>
      <c r="CR428" s="112"/>
      <c r="CS428" s="112"/>
      <c r="CT428" s="112"/>
      <c r="CU428" s="112"/>
      <c r="CV428" s="112"/>
      <c r="CW428" s="112"/>
      <c r="CX428" s="112"/>
      <c r="CY428" s="112"/>
      <c r="CZ428" s="112"/>
      <c r="DA428" s="112"/>
      <c r="DB428" s="112"/>
      <c r="DC428" s="112"/>
      <c r="DD428" s="112"/>
      <c r="DE428" s="112"/>
      <c r="DF428" s="112"/>
      <c r="DG428" s="112"/>
      <c r="DH428" s="112"/>
      <c r="DI428" s="112"/>
      <c r="DJ428" s="112"/>
      <c r="DK428" s="112"/>
      <c r="DL428" s="112"/>
      <c r="DM428" s="112"/>
      <c r="DN428" s="112"/>
      <c r="DO428" t="e">
        <f t="shared" si="452"/>
        <v>#N/A</v>
      </c>
    </row>
    <row r="429" spans="33:119" x14ac:dyDescent="0.25">
      <c r="AG429" s="238">
        <f>AG428</f>
        <v>101</v>
      </c>
      <c r="AH429" s="112" t="e">
        <f ca="1">AI428+1</f>
        <v>#N/A</v>
      </c>
      <c r="AI429" s="112" t="str">
        <f ca="1">INDIRECT(CONCATENATE("AF",AG425))</f>
        <v/>
      </c>
      <c r="AJ429" s="112" t="str">
        <f t="shared" ref="AJ429:AJ492" ca="1" si="456">IF(TYPE(AI429)=16,VLOOKUP(AH429,$F$20:$G$146,2),AI429)</f>
        <v/>
      </c>
      <c r="AK429" s="112">
        <f t="shared" ca="1" si="448"/>
        <v>100000</v>
      </c>
      <c r="AL429" s="238" t="e">
        <f t="shared" ca="1" si="447"/>
        <v>#N/A</v>
      </c>
      <c r="AM429" s="112">
        <f t="shared" ca="1" si="455"/>
        <v>100000</v>
      </c>
      <c r="AN429" s="112">
        <f t="shared" ca="1" si="454"/>
        <v>100000</v>
      </c>
      <c r="AO429" s="114">
        <f t="shared" ca="1" si="450"/>
        <v>0</v>
      </c>
      <c r="AP429" s="114">
        <f t="shared" ca="1" si="451"/>
        <v>24</v>
      </c>
      <c r="AR429" s="238">
        <f t="shared" si="453"/>
        <v>429</v>
      </c>
      <c r="CJ429" s="112"/>
      <c r="CK429" s="112"/>
      <c r="CN429" s="112"/>
      <c r="CO429" s="112"/>
      <c r="CP429" s="112"/>
      <c r="CQ429" s="112"/>
      <c r="CR429" s="112"/>
      <c r="CS429" s="112"/>
      <c r="CT429" s="112"/>
      <c r="CU429" s="112"/>
      <c r="CV429" s="112"/>
      <c r="CW429" s="112"/>
      <c r="CX429" s="112"/>
      <c r="CY429" s="112"/>
      <c r="CZ429" s="112"/>
      <c r="DA429" s="112"/>
      <c r="DB429" s="112"/>
      <c r="DC429" s="112"/>
      <c r="DD429" s="112"/>
      <c r="DE429" s="112"/>
      <c r="DF429" s="112"/>
      <c r="DG429" s="112"/>
      <c r="DH429" s="112"/>
      <c r="DI429" s="112"/>
      <c r="DJ429" s="112"/>
      <c r="DK429" s="112"/>
      <c r="DL429" s="112"/>
      <c r="DM429" s="112"/>
      <c r="DN429" s="112"/>
      <c r="DO429" t="e">
        <f t="shared" si="452"/>
        <v>#N/A</v>
      </c>
    </row>
    <row r="430" spans="33:119" x14ac:dyDescent="0.25">
      <c r="AG430" s="238">
        <f>AG429+1</f>
        <v>102</v>
      </c>
      <c r="AH430" s="112" t="str">
        <f ca="1">INDIRECT(CONCATENATE("AA",AG430))</f>
        <v/>
      </c>
      <c r="AI430" s="112" t="e">
        <f ca="1">IF(            INDIRECT(CONCATENATE( "AB",AG430))&lt;100000,       INDIRECT(CONCATENATE("AB",AG430))  -1,IF(   INDIRECT(CONCATENATE("AC",AG430))&lt;100000,   INDIRECT(CONCATENATE("AC",AG430))-1,IF(   INDIRECT(CONCATENATE("AD", AG430))&lt;100000, INDIRECT(CONCATENATE("AD",AG430))-1,IF(   INDIRECT(CONCATENATE("AE",AG430))&lt;100000,  INDIRECT(CONCATENATE("AE",G430)),INDIRECT(CONCATENATE("AF",AG430))                ))))</f>
        <v>#N/A</v>
      </c>
      <c r="AJ430" s="112" t="str">
        <f t="shared" ca="1" si="456"/>
        <v/>
      </c>
      <c r="AK430" s="112" t="str">
        <f t="shared" ca="1" si="448"/>
        <v/>
      </c>
      <c r="AL430" s="238">
        <f t="shared" ref="AL430:AL493" ca="1" si="457">IF(AK430=AI429,0,1)</f>
        <v>0</v>
      </c>
      <c r="AM430" s="112">
        <f t="shared" ca="1" si="455"/>
        <v>100000</v>
      </c>
      <c r="AN430" s="112">
        <f t="shared" ca="1" si="454"/>
        <v>100000</v>
      </c>
      <c r="AO430" s="114">
        <f t="shared" ca="1" si="450"/>
        <v>0</v>
      </c>
      <c r="AP430" s="114">
        <f t="shared" ca="1" si="451"/>
        <v>24</v>
      </c>
      <c r="AR430" s="238">
        <f t="shared" si="453"/>
        <v>430</v>
      </c>
      <c r="CJ430" s="112"/>
      <c r="CK430" s="112"/>
      <c r="CN430" s="112"/>
      <c r="CO430" s="112"/>
      <c r="CP430" s="112"/>
      <c r="CQ430" s="112"/>
      <c r="CR430" s="112"/>
      <c r="CS430" s="112"/>
      <c r="CT430" s="112"/>
      <c r="CU430" s="112"/>
      <c r="CV430" s="112"/>
      <c r="CW430" s="112"/>
      <c r="CX430" s="112"/>
      <c r="CY430" s="112"/>
      <c r="CZ430" s="112"/>
      <c r="DA430" s="112"/>
      <c r="DB430" s="112"/>
      <c r="DC430" s="112"/>
      <c r="DD430" s="112"/>
      <c r="DE430" s="112"/>
      <c r="DF430" s="112"/>
      <c r="DG430" s="112"/>
      <c r="DH430" s="112"/>
      <c r="DI430" s="112"/>
      <c r="DJ430" s="112"/>
      <c r="DK430" s="112"/>
      <c r="DL430" s="112"/>
      <c r="DM430" s="112"/>
      <c r="DN430" s="112"/>
      <c r="DO430" t="e">
        <f t="shared" si="452"/>
        <v>#N/A</v>
      </c>
    </row>
    <row r="431" spans="33:119" x14ac:dyDescent="0.25">
      <c r="AG431" s="238">
        <f>AG430</f>
        <v>102</v>
      </c>
      <c r="AH431" s="112" t="e">
        <f ca="1">AI430+1</f>
        <v>#N/A</v>
      </c>
      <c r="AI431" s="112" t="e">
        <f ca="1">IF(INDIRECT(CONCATENATE("AC",AG430))&lt;100000,INDIRECT(CONCATENATE("AC",AG430))-1,IF(INDIRECT(CONCATENATE("AD",AG430))&lt;100000,INDIRECT(CONCATENATE("AD",AG430))-1,IF(INDIRECT(CONCATENATE("AE",AG430))&lt;100000,INDIRECT(CONCATENATE("AE",G430)),INDIRECT(CONCATENATE("AF",AG430)))))</f>
        <v>#N/A</v>
      </c>
      <c r="AJ431" s="112" t="e">
        <f t="shared" ca="1" si="456"/>
        <v>#N/A</v>
      </c>
      <c r="AK431" s="112">
        <f t="shared" ca="1" si="448"/>
        <v>100000</v>
      </c>
      <c r="AL431" s="238" t="e">
        <f t="shared" ca="1" si="457"/>
        <v>#N/A</v>
      </c>
      <c r="AM431" s="112">
        <f t="shared" ca="1" si="455"/>
        <v>100000</v>
      </c>
      <c r="AN431" s="112">
        <f t="shared" ca="1" si="454"/>
        <v>100000</v>
      </c>
      <c r="AO431" s="114">
        <f t="shared" ca="1" si="450"/>
        <v>0</v>
      </c>
      <c r="AP431" s="114">
        <f t="shared" ca="1" si="451"/>
        <v>24</v>
      </c>
      <c r="AR431" s="238">
        <f t="shared" si="453"/>
        <v>431</v>
      </c>
      <c r="CJ431" s="112"/>
      <c r="CK431" s="112"/>
      <c r="CN431" s="112"/>
      <c r="CO431" s="112"/>
      <c r="CP431" s="112"/>
      <c r="CQ431" s="112"/>
      <c r="CR431" s="112"/>
      <c r="CS431" s="112"/>
      <c r="CT431" s="112"/>
      <c r="CU431" s="112"/>
      <c r="CV431" s="112"/>
      <c r="CW431" s="112"/>
      <c r="CX431" s="112"/>
      <c r="CY431" s="112"/>
      <c r="CZ431" s="112"/>
      <c r="DA431" s="112"/>
      <c r="DB431" s="112"/>
      <c r="DC431" s="112"/>
      <c r="DD431" s="112"/>
      <c r="DE431" s="112"/>
      <c r="DF431" s="112"/>
      <c r="DG431" s="112"/>
      <c r="DH431" s="112"/>
      <c r="DI431" s="112"/>
      <c r="DJ431" s="112"/>
      <c r="DK431" s="112"/>
      <c r="DL431" s="112"/>
      <c r="DM431" s="112"/>
      <c r="DN431" s="112"/>
      <c r="DO431" t="e">
        <f t="shared" si="452"/>
        <v>#N/A</v>
      </c>
    </row>
    <row r="432" spans="33:119" x14ac:dyDescent="0.25">
      <c r="AG432" s="238">
        <f>AG431</f>
        <v>102</v>
      </c>
      <c r="AH432" s="112" t="e">
        <f ca="1">AI431+1</f>
        <v>#N/A</v>
      </c>
      <c r="AI432" s="112" t="e">
        <f ca="1">IF(INDIRECT(CONCATENATE("AD",AG430))&lt;100000,INDIRECT(CONCATENATE("AD",AG430))-1,IF(INDIRECT(CONCATENATE("AE",AG430))&lt;100000,INDIRECT(CONCATENATE("AE",G430)),INDIRECT(CONCATENATE("AF",AG430))))</f>
        <v>#N/A</v>
      </c>
      <c r="AJ432" s="112" t="e">
        <f t="shared" ca="1" si="456"/>
        <v>#N/A</v>
      </c>
      <c r="AK432" s="112">
        <f t="shared" ca="1" si="448"/>
        <v>100000</v>
      </c>
      <c r="AL432" s="238" t="e">
        <f t="shared" ca="1" si="457"/>
        <v>#N/A</v>
      </c>
      <c r="AM432" s="112">
        <f t="shared" ca="1" si="455"/>
        <v>100000</v>
      </c>
      <c r="AN432" s="112">
        <f t="shared" ca="1" si="454"/>
        <v>100000</v>
      </c>
      <c r="AO432" s="114">
        <f t="shared" ca="1" si="450"/>
        <v>0</v>
      </c>
      <c r="AP432" s="114">
        <f t="shared" ca="1" si="451"/>
        <v>24</v>
      </c>
      <c r="AR432" s="238">
        <f t="shared" si="453"/>
        <v>432</v>
      </c>
      <c r="CJ432" s="112"/>
      <c r="CK432" s="112"/>
      <c r="CN432" s="112"/>
      <c r="CO432" s="112"/>
      <c r="CP432" s="112"/>
      <c r="CQ432" s="112"/>
      <c r="CR432" s="112"/>
      <c r="CS432" s="112"/>
      <c r="CT432" s="112"/>
      <c r="CU432" s="112"/>
      <c r="CV432" s="112"/>
      <c r="CW432" s="112"/>
      <c r="CX432" s="112"/>
      <c r="CY432" s="112"/>
      <c r="CZ432" s="112"/>
      <c r="DA432" s="112"/>
      <c r="DB432" s="112"/>
      <c r="DC432" s="112"/>
      <c r="DD432" s="112"/>
      <c r="DE432" s="112"/>
      <c r="DF432" s="112"/>
      <c r="DG432" s="112"/>
      <c r="DH432" s="112"/>
      <c r="DI432" s="112"/>
      <c r="DJ432" s="112"/>
      <c r="DK432" s="112"/>
      <c r="DL432" s="112"/>
      <c r="DM432" s="112"/>
      <c r="DN432" s="112"/>
      <c r="DO432" t="e">
        <f t="shared" si="452"/>
        <v>#N/A</v>
      </c>
    </row>
    <row r="433" spans="33:119" x14ac:dyDescent="0.25">
      <c r="AG433" s="238">
        <f>AG432</f>
        <v>102</v>
      </c>
      <c r="AH433" s="112" t="e">
        <f ca="1">AI432+1</f>
        <v>#N/A</v>
      </c>
      <c r="AI433" s="112" t="e">
        <f ca="1">IF(INDIRECT(CONCATENATE("AE",AG430))&lt;100000,INDIRECT(CONCATENATE("AE",G430)),INDIRECT(CONCATENATE("AF",AG430)))</f>
        <v>#N/A</v>
      </c>
      <c r="AJ433" s="112" t="e">
        <f t="shared" ca="1" si="456"/>
        <v>#N/A</v>
      </c>
      <c r="AK433" s="112">
        <f t="shared" ca="1" si="448"/>
        <v>100000</v>
      </c>
      <c r="AL433" s="238" t="e">
        <f t="shared" ca="1" si="457"/>
        <v>#N/A</v>
      </c>
      <c r="AM433" s="112">
        <f t="shared" ca="1" si="455"/>
        <v>100000</v>
      </c>
      <c r="AN433" s="112">
        <f t="shared" ca="1" si="454"/>
        <v>100000</v>
      </c>
      <c r="AO433" s="114">
        <f t="shared" ca="1" si="450"/>
        <v>0</v>
      </c>
      <c r="AP433" s="114">
        <f t="shared" ca="1" si="451"/>
        <v>24</v>
      </c>
      <c r="AR433" s="238">
        <f t="shared" si="453"/>
        <v>433</v>
      </c>
      <c r="CJ433" s="112"/>
      <c r="CK433" s="112"/>
      <c r="CN433" s="112"/>
      <c r="CO433" s="112"/>
      <c r="CP433" s="112"/>
      <c r="CQ433" s="112"/>
      <c r="CR433" s="112"/>
      <c r="CS433" s="112"/>
      <c r="CT433" s="112"/>
      <c r="CU433" s="112"/>
      <c r="CV433" s="112"/>
      <c r="CW433" s="112"/>
      <c r="CX433" s="112"/>
      <c r="CY433" s="112"/>
      <c r="CZ433" s="112"/>
      <c r="DA433" s="112"/>
      <c r="DB433" s="112"/>
      <c r="DC433" s="112"/>
      <c r="DD433" s="112"/>
      <c r="DE433" s="112"/>
      <c r="DF433" s="112"/>
      <c r="DG433" s="112"/>
      <c r="DH433" s="112"/>
      <c r="DI433" s="112"/>
      <c r="DJ433" s="112"/>
      <c r="DK433" s="112"/>
      <c r="DL433" s="112"/>
      <c r="DM433" s="112"/>
      <c r="DN433" s="112"/>
      <c r="DO433" t="e">
        <f t="shared" si="452"/>
        <v>#N/A</v>
      </c>
    </row>
    <row r="434" spans="33:119" x14ac:dyDescent="0.25">
      <c r="AG434" s="238">
        <f>AG433</f>
        <v>102</v>
      </c>
      <c r="AH434" s="112" t="e">
        <f ca="1">AI433+1</f>
        <v>#N/A</v>
      </c>
      <c r="AI434" s="112" t="str">
        <f ca="1">INDIRECT(CONCATENATE("AF",AG430))</f>
        <v/>
      </c>
      <c r="AJ434" s="112" t="str">
        <f t="shared" ca="1" si="456"/>
        <v/>
      </c>
      <c r="AK434" s="112">
        <f t="shared" ca="1" si="448"/>
        <v>100000</v>
      </c>
      <c r="AL434" s="238" t="e">
        <f t="shared" ca="1" si="457"/>
        <v>#N/A</v>
      </c>
      <c r="AM434" s="112">
        <f t="shared" ca="1" si="455"/>
        <v>100000</v>
      </c>
      <c r="AN434" s="112">
        <f t="shared" ca="1" si="454"/>
        <v>100000</v>
      </c>
      <c r="AO434" s="114">
        <f t="shared" ca="1" si="450"/>
        <v>0</v>
      </c>
      <c r="AP434" s="114">
        <f t="shared" ca="1" si="451"/>
        <v>24</v>
      </c>
      <c r="AR434" s="238">
        <f t="shared" si="453"/>
        <v>434</v>
      </c>
      <c r="CJ434" s="112"/>
      <c r="CK434" s="112"/>
      <c r="CN434" s="112"/>
      <c r="CO434" s="112"/>
      <c r="CP434" s="112"/>
      <c r="CQ434" s="112"/>
      <c r="CR434" s="112"/>
      <c r="CS434" s="112"/>
      <c r="CT434" s="112"/>
      <c r="CU434" s="112"/>
      <c r="CV434" s="112"/>
      <c r="CW434" s="112"/>
      <c r="CX434" s="112"/>
      <c r="CY434" s="112"/>
      <c r="CZ434" s="112"/>
      <c r="DA434" s="112"/>
      <c r="DB434" s="112"/>
      <c r="DC434" s="112"/>
      <c r="DD434" s="112"/>
      <c r="DE434" s="112"/>
      <c r="DF434" s="112"/>
      <c r="DG434" s="112"/>
      <c r="DH434" s="112"/>
      <c r="DI434" s="112"/>
      <c r="DJ434" s="112"/>
      <c r="DK434" s="112"/>
      <c r="DL434" s="112"/>
      <c r="DM434" s="112"/>
      <c r="DN434" s="112"/>
      <c r="DO434" t="e">
        <f t="shared" si="452"/>
        <v>#N/A</v>
      </c>
    </row>
    <row r="435" spans="33:119" x14ac:dyDescent="0.25">
      <c r="AG435" s="238">
        <f>AG434+1</f>
        <v>103</v>
      </c>
      <c r="AH435" s="112" t="str">
        <f ca="1">INDIRECT(CONCATENATE("AA",AG435))</f>
        <v/>
      </c>
      <c r="AI435" s="112" t="e">
        <f ca="1">IF(            INDIRECT(CONCATENATE( "AB",AG435))&lt;100000,       INDIRECT(CONCATENATE("AB",AG435))  -1,IF(   INDIRECT(CONCATENATE("AC",AG435))&lt;100000,   INDIRECT(CONCATENATE("AC",AG435))-1,IF(   INDIRECT(CONCATENATE("AD", AG435))&lt;100000, INDIRECT(CONCATENATE("AD",AG435))-1,IF(   INDIRECT(CONCATENATE("AE",AG435))&lt;100000,  INDIRECT(CONCATENATE("AE",G435)),INDIRECT(CONCATENATE("AF",AG435))                ))))</f>
        <v>#N/A</v>
      </c>
      <c r="AJ435" s="112" t="str">
        <f t="shared" ca="1" si="456"/>
        <v/>
      </c>
      <c r="AK435" s="112" t="str">
        <f t="shared" ca="1" si="448"/>
        <v/>
      </c>
      <c r="AL435" s="238">
        <f t="shared" ca="1" si="457"/>
        <v>0</v>
      </c>
      <c r="AM435" s="112">
        <f t="shared" ca="1" si="455"/>
        <v>100000</v>
      </c>
      <c r="AN435" s="112">
        <f t="shared" ca="1" si="454"/>
        <v>100000</v>
      </c>
      <c r="AO435" s="114">
        <f t="shared" ca="1" si="450"/>
        <v>0</v>
      </c>
      <c r="AP435" s="114">
        <f t="shared" ca="1" si="451"/>
        <v>24</v>
      </c>
      <c r="AR435" s="238">
        <f t="shared" si="453"/>
        <v>435</v>
      </c>
      <c r="CJ435" s="112"/>
      <c r="CK435" s="112"/>
      <c r="CN435" s="112"/>
      <c r="CO435" s="112"/>
      <c r="CP435" s="112"/>
      <c r="CQ435" s="112"/>
      <c r="CR435" s="112"/>
      <c r="CS435" s="112"/>
      <c r="CT435" s="112"/>
      <c r="CU435" s="112"/>
      <c r="CV435" s="112"/>
      <c r="CW435" s="112"/>
      <c r="CX435" s="112"/>
      <c r="CY435" s="112"/>
      <c r="CZ435" s="112"/>
      <c r="DA435" s="112"/>
      <c r="DB435" s="112"/>
      <c r="DC435" s="112"/>
      <c r="DD435" s="112"/>
      <c r="DE435" s="112"/>
      <c r="DF435" s="112"/>
      <c r="DG435" s="112"/>
      <c r="DH435" s="112"/>
      <c r="DI435" s="112"/>
      <c r="DJ435" s="112"/>
      <c r="DK435" s="112"/>
      <c r="DL435" s="112"/>
      <c r="DM435" s="112"/>
      <c r="DN435" s="112"/>
      <c r="DO435" t="e">
        <f t="shared" si="452"/>
        <v>#N/A</v>
      </c>
    </row>
    <row r="436" spans="33:119" x14ac:dyDescent="0.25">
      <c r="AG436" s="238">
        <f>AG435</f>
        <v>103</v>
      </c>
      <c r="AH436" s="112" t="e">
        <f ca="1">AI435+1</f>
        <v>#N/A</v>
      </c>
      <c r="AI436" s="112" t="e">
        <f ca="1">IF(INDIRECT(CONCATENATE("AC",AG435))&lt;100000,INDIRECT(CONCATENATE("AC",AG435))-1,IF(INDIRECT(CONCATENATE("AD",AG435))&lt;100000,INDIRECT(CONCATENATE("AD",AG435))-1,IF(INDIRECT(CONCATENATE("AE",AG435))&lt;100000,INDIRECT(CONCATENATE("AE",G435)),INDIRECT(CONCATENATE("AF",AG435)))))</f>
        <v>#N/A</v>
      </c>
      <c r="AJ436" s="112" t="e">
        <f t="shared" ca="1" si="456"/>
        <v>#N/A</v>
      </c>
      <c r="AK436" s="112">
        <f t="shared" ca="1" si="448"/>
        <v>100000</v>
      </c>
      <c r="AL436" s="238" t="e">
        <f t="shared" ca="1" si="457"/>
        <v>#N/A</v>
      </c>
      <c r="AM436" s="112">
        <f t="shared" ca="1" si="455"/>
        <v>100000</v>
      </c>
      <c r="AN436" s="112">
        <f t="shared" ca="1" si="454"/>
        <v>100000</v>
      </c>
      <c r="AO436" s="114">
        <f t="shared" ca="1" si="450"/>
        <v>0</v>
      </c>
      <c r="AP436" s="114">
        <f t="shared" ca="1" si="451"/>
        <v>24</v>
      </c>
      <c r="AR436" s="238">
        <f t="shared" si="453"/>
        <v>436</v>
      </c>
      <c r="CJ436" s="112"/>
      <c r="CK436" s="112"/>
      <c r="CN436" s="112"/>
      <c r="CO436" s="112"/>
      <c r="CP436" s="112"/>
      <c r="CQ436" s="112"/>
      <c r="CR436" s="112"/>
      <c r="CS436" s="112"/>
      <c r="CT436" s="112"/>
      <c r="CU436" s="112"/>
      <c r="CV436" s="112"/>
      <c r="CW436" s="112"/>
      <c r="CX436" s="112"/>
      <c r="CY436" s="112"/>
      <c r="CZ436" s="112"/>
      <c r="DA436" s="112"/>
      <c r="DB436" s="112"/>
      <c r="DC436" s="112"/>
      <c r="DD436" s="112"/>
      <c r="DE436" s="112"/>
      <c r="DF436" s="112"/>
      <c r="DG436" s="112"/>
      <c r="DH436" s="112"/>
      <c r="DI436" s="112"/>
      <c r="DJ436" s="112"/>
      <c r="DK436" s="112"/>
      <c r="DL436" s="112"/>
      <c r="DM436" s="112"/>
      <c r="DN436" s="112"/>
      <c r="DO436" t="e">
        <f t="shared" si="452"/>
        <v>#N/A</v>
      </c>
    </row>
    <row r="437" spans="33:119" x14ac:dyDescent="0.25">
      <c r="AG437" s="238">
        <f>AG436</f>
        <v>103</v>
      </c>
      <c r="AH437" s="112" t="e">
        <f ca="1">AI436+1</f>
        <v>#N/A</v>
      </c>
      <c r="AI437" s="112" t="e">
        <f ca="1">IF(INDIRECT(CONCATENATE("AD",AG435))&lt;100000,INDIRECT(CONCATENATE("AD",AG435))-1,IF(INDIRECT(CONCATENATE("AE",AG435))&lt;100000,INDIRECT(CONCATENATE("AE",G435)),INDIRECT(CONCATENATE("AF",AG435))))</f>
        <v>#N/A</v>
      </c>
      <c r="AJ437" s="112" t="e">
        <f t="shared" ca="1" si="456"/>
        <v>#N/A</v>
      </c>
      <c r="AK437" s="112">
        <f t="shared" ca="1" si="448"/>
        <v>100000</v>
      </c>
      <c r="AL437" s="238" t="e">
        <f t="shared" ca="1" si="457"/>
        <v>#N/A</v>
      </c>
      <c r="AM437" s="112">
        <f t="shared" ca="1" si="455"/>
        <v>100000</v>
      </c>
      <c r="AN437" s="112">
        <f t="shared" ca="1" si="454"/>
        <v>100000</v>
      </c>
      <c r="AO437" s="114">
        <f t="shared" ca="1" si="450"/>
        <v>0</v>
      </c>
      <c r="AP437" s="114">
        <f t="shared" ca="1" si="451"/>
        <v>24</v>
      </c>
      <c r="AR437" s="238">
        <f t="shared" si="453"/>
        <v>437</v>
      </c>
      <c r="CJ437" s="112"/>
      <c r="CK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t="e">
        <f t="shared" si="452"/>
        <v>#N/A</v>
      </c>
    </row>
    <row r="438" spans="33:119" x14ac:dyDescent="0.25">
      <c r="AG438" s="238">
        <f>AG437</f>
        <v>103</v>
      </c>
      <c r="AH438" s="112" t="e">
        <f ca="1">AI437+1</f>
        <v>#N/A</v>
      </c>
      <c r="AI438" s="112" t="e">
        <f ca="1">IF(INDIRECT(CONCATENATE("AE",AG435))&lt;100000,INDIRECT(CONCATENATE("AE",G435)),INDIRECT(CONCATENATE("AF",AG435)))</f>
        <v>#N/A</v>
      </c>
      <c r="AJ438" s="112" t="e">
        <f t="shared" ca="1" si="456"/>
        <v>#N/A</v>
      </c>
      <c r="AK438" s="112">
        <f t="shared" ca="1" si="448"/>
        <v>100000</v>
      </c>
      <c r="AL438" s="238" t="e">
        <f t="shared" ca="1" si="457"/>
        <v>#N/A</v>
      </c>
      <c r="AM438" s="112">
        <f t="shared" ca="1" si="455"/>
        <v>100000</v>
      </c>
      <c r="AN438" s="112">
        <f t="shared" ca="1" si="454"/>
        <v>100000</v>
      </c>
      <c r="AO438" s="114">
        <f t="shared" ca="1" si="450"/>
        <v>0</v>
      </c>
      <c r="AP438" s="114">
        <f t="shared" ca="1" si="451"/>
        <v>24</v>
      </c>
      <c r="AR438" s="238">
        <f t="shared" si="453"/>
        <v>438</v>
      </c>
      <c r="CJ438" s="112"/>
      <c r="CK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t="e">
        <f t="shared" si="452"/>
        <v>#N/A</v>
      </c>
    </row>
    <row r="439" spans="33:119" x14ac:dyDescent="0.25">
      <c r="AG439" s="238">
        <f>AG438</f>
        <v>103</v>
      </c>
      <c r="AH439" s="112" t="e">
        <f ca="1">AI438+1</f>
        <v>#N/A</v>
      </c>
      <c r="AI439" s="112" t="str">
        <f ca="1">INDIRECT(CONCATENATE("AF",AG435))</f>
        <v/>
      </c>
      <c r="AJ439" s="112" t="str">
        <f t="shared" ca="1" si="456"/>
        <v/>
      </c>
      <c r="AK439" s="112">
        <f t="shared" ref="AK439:AK502" ca="1" si="458">IF(TYPE(AH439)=16,100000,AJ439)</f>
        <v>100000</v>
      </c>
      <c r="AL439" s="238" t="e">
        <f t="shared" ca="1" si="457"/>
        <v>#N/A</v>
      </c>
      <c r="AM439" s="112">
        <f t="shared" ca="1" si="455"/>
        <v>100000</v>
      </c>
      <c r="AN439" s="112">
        <f t="shared" ca="1" si="454"/>
        <v>100000</v>
      </c>
      <c r="AO439" s="114">
        <f t="shared" ca="1" si="450"/>
        <v>0</v>
      </c>
      <c r="AP439" s="114">
        <f t="shared" ca="1" si="451"/>
        <v>24</v>
      </c>
      <c r="AR439" s="238">
        <f t="shared" si="453"/>
        <v>439</v>
      </c>
      <c r="CJ439" s="112"/>
      <c r="CK439" s="112"/>
      <c r="CN439" s="112"/>
      <c r="CO439" s="112"/>
      <c r="CP439" s="112"/>
      <c r="CQ439" s="112"/>
      <c r="CR439" s="112"/>
      <c r="CS439" s="112"/>
      <c r="CT439" s="112"/>
      <c r="CU439" s="112"/>
      <c r="CV439" s="112"/>
      <c r="CW439" s="112"/>
      <c r="CX439" s="112"/>
      <c r="CY439" s="112"/>
      <c r="CZ439" s="112"/>
      <c r="DA439" s="112"/>
      <c r="DB439" s="112"/>
      <c r="DC439" s="112"/>
      <c r="DD439" s="112"/>
      <c r="DE439" s="112"/>
      <c r="DF439" s="112"/>
      <c r="DG439" s="112"/>
      <c r="DH439" s="112"/>
      <c r="DI439" s="112"/>
      <c r="DJ439" s="112"/>
      <c r="DK439" s="112"/>
      <c r="DL439" s="112"/>
      <c r="DM439" s="112"/>
      <c r="DN439" s="112"/>
      <c r="DO439" t="e">
        <f t="shared" si="452"/>
        <v>#N/A</v>
      </c>
    </row>
    <row r="440" spans="33:119" x14ac:dyDescent="0.25">
      <c r="AG440" s="238">
        <f>AG439+1</f>
        <v>104</v>
      </c>
      <c r="AH440" s="112" t="str">
        <f ca="1">INDIRECT(CONCATENATE("AA",AG440))</f>
        <v/>
      </c>
      <c r="AI440" s="112" t="e">
        <f ca="1">IF(            INDIRECT(CONCATENATE( "AB",AG440))&lt;100000,       INDIRECT(CONCATENATE("AB",AG440))  -1,IF(   INDIRECT(CONCATENATE("AC",AG440))&lt;100000,   INDIRECT(CONCATENATE("AC",AG440))-1,IF(   INDIRECT(CONCATENATE("AD", AG440))&lt;100000, INDIRECT(CONCATENATE("AD",AG440))-1,IF(   INDIRECT(CONCATENATE("AE",AG440))&lt;100000,  INDIRECT(CONCATENATE("AE",G440)),INDIRECT(CONCATENATE("AF",AG440))                ))))</f>
        <v>#N/A</v>
      </c>
      <c r="AJ440" s="112" t="str">
        <f t="shared" ca="1" si="456"/>
        <v/>
      </c>
      <c r="AK440" s="112" t="str">
        <f t="shared" ca="1" si="458"/>
        <v/>
      </c>
      <c r="AL440" s="238">
        <f t="shared" ca="1" si="457"/>
        <v>0</v>
      </c>
      <c r="AM440" s="112">
        <f t="shared" ca="1" si="455"/>
        <v>100000</v>
      </c>
      <c r="AN440" s="112">
        <f t="shared" ca="1" si="454"/>
        <v>100000</v>
      </c>
      <c r="AO440" s="114">
        <f t="shared" ca="1" si="450"/>
        <v>0</v>
      </c>
      <c r="AP440" s="114">
        <f t="shared" ca="1" si="451"/>
        <v>24</v>
      </c>
      <c r="AR440" s="238">
        <f t="shared" si="453"/>
        <v>440</v>
      </c>
      <c r="CJ440" s="112"/>
      <c r="CK440" s="112"/>
      <c r="CN440" s="112"/>
      <c r="CO440" s="112"/>
      <c r="CP440" s="112"/>
      <c r="CQ440" s="112"/>
      <c r="CR440" s="112"/>
      <c r="CS440" s="112"/>
      <c r="CT440" s="112"/>
      <c r="CU440" s="112"/>
      <c r="CV440" s="112"/>
      <c r="CW440" s="112"/>
      <c r="CX440" s="112"/>
      <c r="CY440" s="112"/>
      <c r="CZ440" s="112"/>
      <c r="DA440" s="112"/>
      <c r="DB440" s="112"/>
      <c r="DC440" s="112"/>
      <c r="DD440" s="112"/>
      <c r="DE440" s="112"/>
      <c r="DF440" s="112"/>
      <c r="DG440" s="112"/>
      <c r="DH440" s="112"/>
      <c r="DI440" s="112"/>
      <c r="DJ440" s="112"/>
      <c r="DK440" s="112"/>
      <c r="DL440" s="112"/>
      <c r="DM440" s="112"/>
      <c r="DN440" s="112"/>
      <c r="DO440" t="e">
        <f t="shared" si="452"/>
        <v>#N/A</v>
      </c>
    </row>
    <row r="441" spans="33:119" x14ac:dyDescent="0.25">
      <c r="AG441" s="238">
        <f>AG440</f>
        <v>104</v>
      </c>
      <c r="AH441" s="112" t="e">
        <f ca="1">AI440+1</f>
        <v>#N/A</v>
      </c>
      <c r="AI441" s="112" t="e">
        <f ca="1">IF(INDIRECT(CONCATENATE("AC",AG440))&lt;100000,INDIRECT(CONCATENATE("AC",AG440))-1,IF(INDIRECT(CONCATENATE("AD",AG440))&lt;100000,INDIRECT(CONCATENATE("AD",AG440))-1,IF(INDIRECT(CONCATENATE("AE",AG440))&lt;100000,INDIRECT(CONCATENATE("AE",G440)),INDIRECT(CONCATENATE("AF",AG440)))))</f>
        <v>#N/A</v>
      </c>
      <c r="AJ441" s="112" t="e">
        <f t="shared" ca="1" si="456"/>
        <v>#N/A</v>
      </c>
      <c r="AK441" s="112">
        <f t="shared" ca="1" si="458"/>
        <v>100000</v>
      </c>
      <c r="AL441" s="238" t="e">
        <f t="shared" ca="1" si="457"/>
        <v>#N/A</v>
      </c>
      <c r="AM441" s="112">
        <f t="shared" ca="1" si="455"/>
        <v>100000</v>
      </c>
      <c r="AN441" s="112">
        <f t="shared" ca="1" si="454"/>
        <v>100000</v>
      </c>
      <c r="AO441" s="114">
        <f t="shared" ca="1" si="450"/>
        <v>0</v>
      </c>
      <c r="AP441" s="114">
        <f t="shared" ca="1" si="451"/>
        <v>24</v>
      </c>
      <c r="AR441" s="238">
        <f t="shared" si="453"/>
        <v>441</v>
      </c>
      <c r="CJ441" s="112"/>
      <c r="CK441" s="112"/>
      <c r="CN441" s="112"/>
      <c r="CO441" s="112"/>
      <c r="CP441" s="112"/>
      <c r="CQ441" s="112"/>
      <c r="CR441" s="112"/>
      <c r="CS441" s="112"/>
      <c r="CT441" s="112"/>
      <c r="CU441" s="112"/>
      <c r="CV441" s="112"/>
      <c r="CW441" s="112"/>
      <c r="CX441" s="112"/>
      <c r="CY441" s="112"/>
      <c r="CZ441" s="112"/>
      <c r="DA441" s="112"/>
      <c r="DB441" s="112"/>
      <c r="DC441" s="112"/>
      <c r="DD441" s="112"/>
      <c r="DE441" s="112"/>
      <c r="DF441" s="112"/>
      <c r="DG441" s="112"/>
      <c r="DH441" s="112"/>
      <c r="DI441" s="112"/>
      <c r="DJ441" s="112"/>
      <c r="DK441" s="112"/>
      <c r="DL441" s="112"/>
      <c r="DM441" s="112"/>
      <c r="DN441" s="112"/>
      <c r="DO441" t="e">
        <f t="shared" si="452"/>
        <v>#N/A</v>
      </c>
    </row>
    <row r="442" spans="33:119" x14ac:dyDescent="0.25">
      <c r="AG442" s="238">
        <f>AG441</f>
        <v>104</v>
      </c>
      <c r="AH442" s="112" t="e">
        <f ca="1">AI441+1</f>
        <v>#N/A</v>
      </c>
      <c r="AI442" s="112" t="e">
        <f ca="1">IF(INDIRECT(CONCATENATE("AD",AG440))&lt;100000,INDIRECT(CONCATENATE("AD",AG440))-1,IF(INDIRECT(CONCATENATE("AE",AG440))&lt;100000,INDIRECT(CONCATENATE("AE",G440)),INDIRECT(CONCATENATE("AF",AG440))))</f>
        <v>#N/A</v>
      </c>
      <c r="AJ442" s="112" t="e">
        <f t="shared" ca="1" si="456"/>
        <v>#N/A</v>
      </c>
      <c r="AK442" s="112">
        <f t="shared" ca="1" si="458"/>
        <v>100000</v>
      </c>
      <c r="AL442" s="238" t="e">
        <f t="shared" ca="1" si="457"/>
        <v>#N/A</v>
      </c>
      <c r="AM442" s="112">
        <f t="shared" ca="1" si="455"/>
        <v>100000</v>
      </c>
      <c r="AN442" s="112">
        <f t="shared" ca="1" si="454"/>
        <v>100000</v>
      </c>
      <c r="AO442" s="114">
        <f t="shared" ca="1" si="450"/>
        <v>0</v>
      </c>
      <c r="AP442" s="114">
        <f t="shared" ca="1" si="451"/>
        <v>24</v>
      </c>
      <c r="AR442" s="238">
        <f t="shared" si="453"/>
        <v>442</v>
      </c>
      <c r="CJ442" s="112"/>
      <c r="CK442" s="112"/>
      <c r="CN442" s="112"/>
      <c r="CO442" s="112"/>
      <c r="CP442" s="112"/>
      <c r="CQ442" s="112"/>
      <c r="CR442" s="112"/>
      <c r="CS442" s="112"/>
      <c r="CT442" s="112"/>
      <c r="CU442" s="112"/>
      <c r="CV442" s="112"/>
      <c r="CW442" s="112"/>
      <c r="CX442" s="112"/>
      <c r="CY442" s="112"/>
      <c r="CZ442" s="112"/>
      <c r="DA442" s="112"/>
      <c r="DB442" s="112"/>
      <c r="DC442" s="112"/>
      <c r="DD442" s="112"/>
      <c r="DE442" s="112"/>
      <c r="DF442" s="112"/>
      <c r="DG442" s="112"/>
      <c r="DH442" s="112"/>
      <c r="DI442" s="112"/>
      <c r="DJ442" s="112"/>
      <c r="DK442" s="112"/>
      <c r="DL442" s="112"/>
      <c r="DM442" s="112"/>
      <c r="DN442" s="112"/>
      <c r="DO442" t="e">
        <f t="shared" si="452"/>
        <v>#N/A</v>
      </c>
    </row>
    <row r="443" spans="33:119" x14ac:dyDescent="0.25">
      <c r="AG443" s="238">
        <f>AG442</f>
        <v>104</v>
      </c>
      <c r="AH443" s="112" t="e">
        <f ca="1">AI442+1</f>
        <v>#N/A</v>
      </c>
      <c r="AI443" s="112" t="e">
        <f ca="1">IF(INDIRECT(CONCATENATE("AE",AG440))&lt;100000,INDIRECT(CONCATENATE("AE",G440)),INDIRECT(CONCATENATE("AF",AG440)))</f>
        <v>#N/A</v>
      </c>
      <c r="AJ443" s="112" t="e">
        <f t="shared" ca="1" si="456"/>
        <v>#N/A</v>
      </c>
      <c r="AK443" s="112">
        <f t="shared" ca="1" si="458"/>
        <v>100000</v>
      </c>
      <c r="AL443" s="238" t="e">
        <f t="shared" ca="1" si="457"/>
        <v>#N/A</v>
      </c>
      <c r="AM443" s="112">
        <f t="shared" ca="1" si="455"/>
        <v>100000</v>
      </c>
      <c r="AN443" s="112">
        <f t="shared" ca="1" si="454"/>
        <v>100000</v>
      </c>
      <c r="AO443" s="114">
        <f t="shared" ca="1" si="450"/>
        <v>0</v>
      </c>
      <c r="AP443" s="114">
        <f t="shared" ca="1" si="451"/>
        <v>24</v>
      </c>
      <c r="AR443" s="238">
        <f t="shared" si="453"/>
        <v>443</v>
      </c>
      <c r="CJ443" s="112"/>
      <c r="CK443" s="112"/>
      <c r="CN443" s="112"/>
      <c r="CO443" s="112"/>
      <c r="CP443" s="112"/>
      <c r="CQ443" s="112"/>
      <c r="CR443" s="112"/>
      <c r="CS443" s="112"/>
      <c r="CT443" s="112"/>
      <c r="CU443" s="112"/>
      <c r="CV443" s="112"/>
      <c r="CW443" s="112"/>
      <c r="CX443" s="112"/>
      <c r="CY443" s="112"/>
      <c r="CZ443" s="112"/>
      <c r="DA443" s="112"/>
      <c r="DB443" s="112"/>
      <c r="DC443" s="112"/>
      <c r="DD443" s="112"/>
      <c r="DE443" s="112"/>
      <c r="DF443" s="112"/>
      <c r="DG443" s="112"/>
      <c r="DH443" s="112"/>
      <c r="DI443" s="112"/>
      <c r="DJ443" s="112"/>
      <c r="DK443" s="112"/>
      <c r="DL443" s="112"/>
      <c r="DM443" s="112"/>
      <c r="DN443" s="112"/>
      <c r="DO443" t="e">
        <f t="shared" si="452"/>
        <v>#N/A</v>
      </c>
    </row>
    <row r="444" spans="33:119" x14ac:dyDescent="0.25">
      <c r="AG444" s="238">
        <f>AG443</f>
        <v>104</v>
      </c>
      <c r="AH444" s="112" t="e">
        <f ca="1">AI443+1</f>
        <v>#N/A</v>
      </c>
      <c r="AI444" s="112" t="str">
        <f ca="1">INDIRECT(CONCATENATE("AF",AG440))</f>
        <v/>
      </c>
      <c r="AJ444" s="112" t="str">
        <f t="shared" ca="1" si="456"/>
        <v/>
      </c>
      <c r="AK444" s="112">
        <f t="shared" ca="1" si="458"/>
        <v>100000</v>
      </c>
      <c r="AL444" s="238" t="e">
        <f t="shared" ca="1" si="457"/>
        <v>#N/A</v>
      </c>
      <c r="AM444" s="112">
        <f t="shared" ca="1" si="455"/>
        <v>100000</v>
      </c>
      <c r="AN444" s="112">
        <f t="shared" ca="1" si="454"/>
        <v>100000</v>
      </c>
      <c r="AO444" s="114">
        <f t="shared" ca="1" si="450"/>
        <v>0</v>
      </c>
      <c r="AP444" s="114">
        <f t="shared" ca="1" si="451"/>
        <v>24</v>
      </c>
      <c r="AR444" s="238">
        <f t="shared" si="453"/>
        <v>444</v>
      </c>
      <c r="CJ444" s="112"/>
      <c r="CK444" s="112"/>
      <c r="CN444" s="112"/>
      <c r="CO444" s="112"/>
      <c r="CP444" s="112"/>
      <c r="CQ444" s="112"/>
      <c r="CR444" s="112"/>
      <c r="CS444" s="112"/>
      <c r="CT444" s="112"/>
      <c r="CU444" s="112"/>
      <c r="CV444" s="112"/>
      <c r="CW444" s="112"/>
      <c r="CX444" s="112"/>
      <c r="CY444" s="112"/>
      <c r="CZ444" s="112"/>
      <c r="DA444" s="112"/>
      <c r="DB444" s="112"/>
      <c r="DC444" s="112"/>
      <c r="DD444" s="112"/>
      <c r="DE444" s="112"/>
      <c r="DF444" s="112"/>
      <c r="DG444" s="112"/>
      <c r="DH444" s="112"/>
      <c r="DI444" s="112"/>
      <c r="DJ444" s="112"/>
      <c r="DK444" s="112"/>
      <c r="DL444" s="112"/>
      <c r="DM444" s="112"/>
      <c r="DN444" s="112"/>
      <c r="DO444" t="e">
        <f t="shared" si="452"/>
        <v>#N/A</v>
      </c>
    </row>
    <row r="445" spans="33:119" x14ac:dyDescent="0.25">
      <c r="AG445" s="238">
        <f>AG444+1</f>
        <v>105</v>
      </c>
      <c r="AH445" s="112" t="str">
        <f ca="1">INDIRECT(CONCATENATE("AA",AG445))</f>
        <v/>
      </c>
      <c r="AI445" s="112" t="e">
        <f ca="1">IF(            INDIRECT(CONCATENATE( "AB",AG445))&lt;100000,       INDIRECT(CONCATENATE("AB",AG445))  -1,IF(   INDIRECT(CONCATENATE("AC",AG445))&lt;100000,   INDIRECT(CONCATENATE("AC",AG445))-1,IF(   INDIRECT(CONCATENATE("AD", AG445))&lt;100000, INDIRECT(CONCATENATE("AD",AG445))-1,IF(   INDIRECT(CONCATENATE("AE",AG445))&lt;100000,  INDIRECT(CONCATENATE("AE",G445)),INDIRECT(CONCATENATE("AF",AG445))                ))))</f>
        <v>#N/A</v>
      </c>
      <c r="AJ445" s="112" t="str">
        <f t="shared" ca="1" si="456"/>
        <v/>
      </c>
      <c r="AK445" s="112" t="str">
        <f t="shared" ca="1" si="458"/>
        <v/>
      </c>
      <c r="AL445" s="238">
        <f t="shared" ca="1" si="457"/>
        <v>0</v>
      </c>
      <c r="AM445" s="112">
        <f t="shared" ca="1" si="455"/>
        <v>100000</v>
      </c>
      <c r="AN445" s="112">
        <f t="shared" ca="1" si="454"/>
        <v>100000</v>
      </c>
      <c r="AO445" s="114">
        <f t="shared" ca="1" si="450"/>
        <v>0</v>
      </c>
      <c r="AP445" s="114">
        <f t="shared" ca="1" si="451"/>
        <v>24</v>
      </c>
      <c r="AR445" s="238">
        <f t="shared" si="453"/>
        <v>445</v>
      </c>
      <c r="CJ445" s="112"/>
      <c r="CK445" s="112"/>
      <c r="CN445" s="112"/>
      <c r="CO445" s="112"/>
      <c r="CP445" s="112"/>
      <c r="CQ445" s="112"/>
      <c r="CR445" s="112"/>
      <c r="CS445" s="112"/>
      <c r="CT445" s="112"/>
      <c r="CU445" s="112"/>
      <c r="CV445" s="112"/>
      <c r="CW445" s="112"/>
      <c r="CX445" s="112"/>
      <c r="CY445" s="112"/>
      <c r="CZ445" s="112"/>
      <c r="DA445" s="112"/>
      <c r="DB445" s="112"/>
      <c r="DC445" s="112"/>
      <c r="DD445" s="112"/>
      <c r="DE445" s="112"/>
      <c r="DF445" s="112"/>
      <c r="DG445" s="112"/>
      <c r="DH445" s="112"/>
      <c r="DI445" s="112"/>
      <c r="DJ445" s="112"/>
      <c r="DK445" s="112"/>
      <c r="DL445" s="112"/>
      <c r="DM445" s="112"/>
      <c r="DN445" s="112"/>
      <c r="DO445" t="e">
        <f t="shared" si="452"/>
        <v>#N/A</v>
      </c>
    </row>
    <row r="446" spans="33:119" x14ac:dyDescent="0.25">
      <c r="AG446" s="238">
        <f>AG445</f>
        <v>105</v>
      </c>
      <c r="AH446" s="112" t="e">
        <f ca="1">AI445+1</f>
        <v>#N/A</v>
      </c>
      <c r="AI446" s="112" t="e">
        <f ca="1">IF(INDIRECT(CONCATENATE("AC",AG445))&lt;100000,INDIRECT(CONCATENATE("AC",AG445))-1,IF(INDIRECT(CONCATENATE("AD",AG445))&lt;100000,INDIRECT(CONCATENATE("AD",AG445))-1,IF(INDIRECT(CONCATENATE("AE",AG445))&lt;100000,INDIRECT(CONCATENATE("AE",G445)),INDIRECT(CONCATENATE("AF",AG445)))))</f>
        <v>#N/A</v>
      </c>
      <c r="AJ446" s="112" t="e">
        <f t="shared" ca="1" si="456"/>
        <v>#N/A</v>
      </c>
      <c r="AK446" s="112">
        <f t="shared" ca="1" si="458"/>
        <v>100000</v>
      </c>
      <c r="AL446" s="238" t="e">
        <f t="shared" ca="1" si="457"/>
        <v>#N/A</v>
      </c>
      <c r="AM446" s="112">
        <f t="shared" ca="1" si="455"/>
        <v>100000</v>
      </c>
      <c r="AN446" s="112">
        <f t="shared" ca="1" si="454"/>
        <v>100000</v>
      </c>
      <c r="AO446" s="114">
        <f t="shared" ca="1" si="450"/>
        <v>0</v>
      </c>
      <c r="AP446" s="114">
        <f t="shared" ca="1" si="451"/>
        <v>24</v>
      </c>
      <c r="AR446" s="238">
        <f t="shared" si="453"/>
        <v>446</v>
      </c>
      <c r="CJ446" s="112"/>
      <c r="CK446" s="112"/>
      <c r="CN446" s="112"/>
      <c r="CO446" s="112"/>
      <c r="CP446" s="112"/>
      <c r="CQ446" s="112"/>
      <c r="CR446" s="112"/>
      <c r="CS446" s="112"/>
      <c r="CT446" s="112"/>
      <c r="CU446" s="112"/>
      <c r="CV446" s="112"/>
      <c r="CW446" s="112"/>
      <c r="CX446" s="112"/>
      <c r="CY446" s="112"/>
      <c r="CZ446" s="112"/>
      <c r="DA446" s="112"/>
      <c r="DB446" s="112"/>
      <c r="DC446" s="112"/>
      <c r="DD446" s="112"/>
      <c r="DE446" s="112"/>
      <c r="DF446" s="112"/>
      <c r="DG446" s="112"/>
      <c r="DH446" s="112"/>
      <c r="DI446" s="112"/>
      <c r="DJ446" s="112"/>
      <c r="DK446" s="112"/>
      <c r="DL446" s="112"/>
      <c r="DM446" s="112"/>
      <c r="DN446" s="112"/>
      <c r="DO446" t="e">
        <f t="shared" si="452"/>
        <v>#N/A</v>
      </c>
    </row>
    <row r="447" spans="33:119" x14ac:dyDescent="0.25">
      <c r="AG447" s="238">
        <f>AG446</f>
        <v>105</v>
      </c>
      <c r="AH447" s="112" t="e">
        <f ca="1">AI446+1</f>
        <v>#N/A</v>
      </c>
      <c r="AI447" s="112" t="e">
        <f ca="1">IF(INDIRECT(CONCATENATE("AD",AG445))&lt;100000,INDIRECT(CONCATENATE("AD",AG445))-1,IF(INDIRECT(CONCATENATE("AE",AG445))&lt;100000,INDIRECT(CONCATENATE("AE",G445)),INDIRECT(CONCATENATE("AF",AG445))))</f>
        <v>#N/A</v>
      </c>
      <c r="AJ447" s="112" t="e">
        <f t="shared" ca="1" si="456"/>
        <v>#N/A</v>
      </c>
      <c r="AK447" s="112">
        <f t="shared" ca="1" si="458"/>
        <v>100000</v>
      </c>
      <c r="AL447" s="238" t="e">
        <f t="shared" ca="1" si="457"/>
        <v>#N/A</v>
      </c>
      <c r="AM447" s="112">
        <f t="shared" ca="1" si="455"/>
        <v>100000</v>
      </c>
      <c r="AN447" s="112">
        <f t="shared" ca="1" si="454"/>
        <v>100000</v>
      </c>
      <c r="AO447" s="114">
        <f t="shared" ca="1" si="450"/>
        <v>0</v>
      </c>
      <c r="AP447" s="114">
        <f t="shared" ca="1" si="451"/>
        <v>24</v>
      </c>
      <c r="AR447" s="238">
        <f t="shared" si="453"/>
        <v>447</v>
      </c>
      <c r="CJ447" s="112"/>
      <c r="CK447" s="112"/>
      <c r="CN447" s="112"/>
      <c r="CO447" s="112"/>
      <c r="CP447" s="112"/>
      <c r="CQ447" s="112"/>
      <c r="CR447" s="112"/>
      <c r="CS447" s="112"/>
      <c r="CT447" s="112"/>
      <c r="CU447" s="112"/>
      <c r="CV447" s="112"/>
      <c r="CW447" s="112"/>
      <c r="CX447" s="112"/>
      <c r="CY447" s="112"/>
      <c r="CZ447" s="112"/>
      <c r="DA447" s="112"/>
      <c r="DB447" s="112"/>
      <c r="DC447" s="112"/>
      <c r="DD447" s="112"/>
      <c r="DE447" s="112"/>
      <c r="DF447" s="112"/>
      <c r="DG447" s="112"/>
      <c r="DH447" s="112"/>
      <c r="DI447" s="112"/>
      <c r="DJ447" s="112"/>
      <c r="DK447" s="112"/>
      <c r="DL447" s="112"/>
      <c r="DM447" s="112"/>
      <c r="DN447" s="112"/>
      <c r="DO447" t="e">
        <f t="shared" si="452"/>
        <v>#N/A</v>
      </c>
    </row>
    <row r="448" spans="33:119" x14ac:dyDescent="0.25">
      <c r="AG448" s="238">
        <f>AG447</f>
        <v>105</v>
      </c>
      <c r="AH448" s="112" t="e">
        <f ca="1">AI447+1</f>
        <v>#N/A</v>
      </c>
      <c r="AI448" s="112" t="e">
        <f ca="1">IF(INDIRECT(CONCATENATE("AE",AG445))&lt;100000,INDIRECT(CONCATENATE("AE",G445)),INDIRECT(CONCATENATE("AF",AG445)))</f>
        <v>#N/A</v>
      </c>
      <c r="AJ448" s="112" t="e">
        <f t="shared" ca="1" si="456"/>
        <v>#N/A</v>
      </c>
      <c r="AK448" s="112">
        <f t="shared" ca="1" si="458"/>
        <v>100000</v>
      </c>
      <c r="AL448" s="238" t="e">
        <f t="shared" ca="1" si="457"/>
        <v>#N/A</v>
      </c>
      <c r="AM448" s="112">
        <f t="shared" ca="1" si="455"/>
        <v>100000</v>
      </c>
      <c r="AN448" s="112">
        <f t="shared" ca="1" si="454"/>
        <v>100000</v>
      </c>
      <c r="AO448" s="114">
        <f t="shared" ca="1" si="450"/>
        <v>0</v>
      </c>
      <c r="AP448" s="114">
        <f t="shared" ca="1" si="451"/>
        <v>24</v>
      </c>
      <c r="AR448" s="238">
        <f t="shared" si="453"/>
        <v>448</v>
      </c>
      <c r="CJ448" s="112"/>
      <c r="CK448" s="112"/>
      <c r="CN448" s="112"/>
      <c r="CO448" s="112"/>
      <c r="CP448" s="112"/>
      <c r="CQ448" s="112"/>
      <c r="CR448" s="112"/>
      <c r="CS448" s="112"/>
      <c r="CT448" s="112"/>
      <c r="CU448" s="112"/>
      <c r="CV448" s="112"/>
      <c r="CW448" s="112"/>
      <c r="CX448" s="112"/>
      <c r="CY448" s="112"/>
      <c r="CZ448" s="112"/>
      <c r="DA448" s="112"/>
      <c r="DB448" s="112"/>
      <c r="DC448" s="112"/>
      <c r="DD448" s="112"/>
      <c r="DE448" s="112"/>
      <c r="DF448" s="112"/>
      <c r="DG448" s="112"/>
      <c r="DH448" s="112"/>
      <c r="DI448" s="112"/>
      <c r="DJ448" s="112"/>
      <c r="DK448" s="112"/>
      <c r="DL448" s="112"/>
      <c r="DM448" s="112"/>
      <c r="DN448" s="112"/>
      <c r="DO448" t="e">
        <f t="shared" si="452"/>
        <v>#N/A</v>
      </c>
    </row>
    <row r="449" spans="33:119" x14ac:dyDescent="0.25">
      <c r="AG449" s="238">
        <f>AG448</f>
        <v>105</v>
      </c>
      <c r="AH449" s="112" t="e">
        <f ca="1">AI448+1</f>
        <v>#N/A</v>
      </c>
      <c r="AI449" s="112" t="str">
        <f ca="1">INDIRECT(CONCATENATE("AF",AG445))</f>
        <v/>
      </c>
      <c r="AJ449" s="112" t="str">
        <f t="shared" ca="1" si="456"/>
        <v/>
      </c>
      <c r="AK449" s="112">
        <f t="shared" ca="1" si="458"/>
        <v>100000</v>
      </c>
      <c r="AL449" s="238" t="e">
        <f t="shared" ca="1" si="457"/>
        <v>#N/A</v>
      </c>
      <c r="AM449" s="112">
        <f t="shared" ca="1" si="455"/>
        <v>100000</v>
      </c>
      <c r="AN449" s="112">
        <f t="shared" ca="1" si="454"/>
        <v>100000</v>
      </c>
      <c r="AO449" s="114">
        <f t="shared" ca="1" si="450"/>
        <v>0</v>
      </c>
      <c r="AP449" s="114">
        <f t="shared" ca="1" si="451"/>
        <v>24</v>
      </c>
      <c r="AR449" s="238">
        <f t="shared" si="453"/>
        <v>449</v>
      </c>
      <c r="CJ449" s="112"/>
      <c r="CK449" s="112"/>
      <c r="CN449" s="112"/>
      <c r="CO449" s="112"/>
      <c r="CP449" s="112"/>
      <c r="CQ449" s="112"/>
      <c r="CR449" s="112"/>
      <c r="CS449" s="112"/>
      <c r="CT449" s="112"/>
      <c r="CU449" s="112"/>
      <c r="CV449" s="112"/>
      <c r="CW449" s="112"/>
      <c r="CX449" s="112"/>
      <c r="CY449" s="112"/>
      <c r="CZ449" s="112"/>
      <c r="DA449" s="112"/>
      <c r="DB449" s="112"/>
      <c r="DC449" s="112"/>
      <c r="DD449" s="112"/>
      <c r="DE449" s="112"/>
      <c r="DF449" s="112"/>
      <c r="DG449" s="112"/>
      <c r="DH449" s="112"/>
      <c r="DI449" s="112"/>
      <c r="DJ449" s="112"/>
      <c r="DK449" s="112"/>
      <c r="DL449" s="112"/>
      <c r="DM449" s="112"/>
      <c r="DN449" s="112"/>
      <c r="DO449" t="e">
        <f t="shared" si="452"/>
        <v>#N/A</v>
      </c>
    </row>
    <row r="450" spans="33:119" x14ac:dyDescent="0.25">
      <c r="AG450" s="238">
        <f>AG449+1</f>
        <v>106</v>
      </c>
      <c r="AH450" s="112" t="str">
        <f ca="1">INDIRECT(CONCATENATE("AA",AG450))</f>
        <v/>
      </c>
      <c r="AI450" s="112" t="e">
        <f ca="1">IF(            INDIRECT(CONCATENATE( "AB",AG450))&lt;100000,       INDIRECT(CONCATENATE("AB",AG450))  -1,IF(   INDIRECT(CONCATENATE("AC",AG450))&lt;100000,   INDIRECT(CONCATENATE("AC",AG450))-1,IF(   INDIRECT(CONCATENATE("AD", AG450))&lt;100000, INDIRECT(CONCATENATE("AD",AG450))-1,IF(   INDIRECT(CONCATENATE("AE",AG450))&lt;100000,  INDIRECT(CONCATENATE("AE",G450)),INDIRECT(CONCATENATE("AF",AG450))                ))))</f>
        <v>#N/A</v>
      </c>
      <c r="AJ450" s="112" t="str">
        <f t="shared" ca="1" si="456"/>
        <v/>
      </c>
      <c r="AK450" s="112" t="str">
        <f t="shared" ca="1" si="458"/>
        <v/>
      </c>
      <c r="AL450" s="238">
        <f t="shared" ca="1" si="457"/>
        <v>0</v>
      </c>
      <c r="AM450" s="112">
        <f t="shared" ca="1" si="455"/>
        <v>100000</v>
      </c>
      <c r="AN450" s="112">
        <f t="shared" ca="1" si="454"/>
        <v>100000</v>
      </c>
      <c r="AO450" s="114">
        <f t="shared" ca="1" si="450"/>
        <v>0</v>
      </c>
      <c r="AP450" s="114">
        <f t="shared" ca="1" si="451"/>
        <v>24</v>
      </c>
      <c r="AR450" s="238">
        <f t="shared" si="453"/>
        <v>450</v>
      </c>
      <c r="CJ450" s="112"/>
      <c r="CK450" s="112"/>
      <c r="CN450" s="112"/>
      <c r="CO450" s="112"/>
      <c r="CP450" s="112"/>
      <c r="CQ450" s="112"/>
      <c r="CR450" s="112"/>
      <c r="CS450" s="112"/>
      <c r="CT450" s="112"/>
      <c r="CU450" s="112"/>
      <c r="CV450" s="112"/>
      <c r="CW450" s="112"/>
      <c r="CX450" s="112"/>
      <c r="CY450" s="112"/>
      <c r="CZ450" s="112"/>
      <c r="DA450" s="112"/>
      <c r="DB450" s="112"/>
      <c r="DC450" s="112"/>
      <c r="DD450" s="112"/>
      <c r="DE450" s="112"/>
      <c r="DF450" s="112"/>
      <c r="DG450" s="112"/>
      <c r="DH450" s="112"/>
      <c r="DI450" s="112"/>
      <c r="DJ450" s="112"/>
      <c r="DK450" s="112"/>
      <c r="DL450" s="112"/>
      <c r="DM450" s="112"/>
      <c r="DN450" s="112"/>
      <c r="DO450" t="e">
        <f t="shared" si="452"/>
        <v>#N/A</v>
      </c>
    </row>
    <row r="451" spans="33:119" x14ac:dyDescent="0.25">
      <c r="AG451" s="238">
        <f>AG450</f>
        <v>106</v>
      </c>
      <c r="AH451" s="112" t="e">
        <f ca="1">AI450+1</f>
        <v>#N/A</v>
      </c>
      <c r="AI451" s="112" t="e">
        <f ca="1">IF(INDIRECT(CONCATENATE("AC",AG450))&lt;100000,INDIRECT(CONCATENATE("AC",AG450))-1,IF(INDIRECT(CONCATENATE("AD",AG450))&lt;100000,INDIRECT(CONCATENATE("AD",AG450))-1,IF(INDIRECT(CONCATENATE("AE",AG450))&lt;100000,INDIRECT(CONCATENATE("AE",G450)),INDIRECT(CONCATENATE("AF",AG450)))))</f>
        <v>#N/A</v>
      </c>
      <c r="AJ451" s="112" t="e">
        <f t="shared" ca="1" si="456"/>
        <v>#N/A</v>
      </c>
      <c r="AK451" s="112">
        <f t="shared" ca="1" si="458"/>
        <v>100000</v>
      </c>
      <c r="AL451" s="238" t="e">
        <f t="shared" ca="1" si="457"/>
        <v>#N/A</v>
      </c>
      <c r="AM451" s="112">
        <f t="shared" ca="1" si="455"/>
        <v>100000</v>
      </c>
      <c r="AN451" s="112">
        <f t="shared" ca="1" si="454"/>
        <v>100000</v>
      </c>
      <c r="AO451" s="114">
        <f t="shared" ca="1" si="450"/>
        <v>0</v>
      </c>
      <c r="AP451" s="114">
        <f t="shared" ca="1" si="451"/>
        <v>24</v>
      </c>
      <c r="AR451" s="238">
        <f t="shared" si="453"/>
        <v>451</v>
      </c>
      <c r="CJ451" s="112"/>
      <c r="CK451" s="112"/>
      <c r="CN451" s="112"/>
      <c r="CO451" s="112"/>
      <c r="CP451" s="112"/>
      <c r="CQ451" s="112"/>
      <c r="CR451" s="112"/>
      <c r="CS451" s="112"/>
      <c r="CT451" s="112"/>
      <c r="CU451" s="112"/>
      <c r="CV451" s="112"/>
      <c r="CW451" s="112"/>
      <c r="CX451" s="112"/>
      <c r="CY451" s="112"/>
      <c r="CZ451" s="112"/>
      <c r="DA451" s="112"/>
      <c r="DB451" s="112"/>
      <c r="DC451" s="112"/>
      <c r="DD451" s="112"/>
      <c r="DE451" s="112"/>
      <c r="DF451" s="112"/>
      <c r="DG451" s="112"/>
      <c r="DH451" s="112"/>
      <c r="DI451" s="112"/>
      <c r="DJ451" s="112"/>
      <c r="DK451" s="112"/>
      <c r="DL451" s="112"/>
      <c r="DM451" s="112"/>
      <c r="DN451" s="112"/>
      <c r="DO451" t="e">
        <f t="shared" si="452"/>
        <v>#N/A</v>
      </c>
    </row>
    <row r="452" spans="33:119" x14ac:dyDescent="0.25">
      <c r="AG452" s="238">
        <f>AG451</f>
        <v>106</v>
      </c>
      <c r="AH452" s="112" t="e">
        <f ca="1">AI451+1</f>
        <v>#N/A</v>
      </c>
      <c r="AI452" s="112" t="e">
        <f ca="1">IF(INDIRECT(CONCATENATE("AD",AG450))&lt;100000,INDIRECT(CONCATENATE("AD",AG450))-1,IF(INDIRECT(CONCATENATE("AE",AG450))&lt;100000,INDIRECT(CONCATENATE("AE",G450)),INDIRECT(CONCATENATE("AF",AG450))))</f>
        <v>#N/A</v>
      </c>
      <c r="AJ452" s="112" t="e">
        <f t="shared" ca="1" si="456"/>
        <v>#N/A</v>
      </c>
      <c r="AK452" s="112">
        <f t="shared" ca="1" si="458"/>
        <v>100000</v>
      </c>
      <c r="AL452" s="238" t="e">
        <f t="shared" ca="1" si="457"/>
        <v>#N/A</v>
      </c>
      <c r="AM452" s="112">
        <f t="shared" ca="1" si="455"/>
        <v>100000</v>
      </c>
      <c r="AN452" s="112">
        <f t="shared" ca="1" si="454"/>
        <v>100000</v>
      </c>
      <c r="AO452" s="114">
        <f t="shared" ca="1" si="450"/>
        <v>0</v>
      </c>
      <c r="AP452" s="114">
        <f t="shared" ca="1" si="451"/>
        <v>24</v>
      </c>
      <c r="AR452" s="238">
        <f t="shared" si="453"/>
        <v>452</v>
      </c>
      <c r="CJ452" s="112"/>
      <c r="CK452" s="112"/>
      <c r="CN452" s="112"/>
      <c r="CO452" s="112"/>
      <c r="CP452" s="112"/>
      <c r="CQ452" s="112"/>
      <c r="CR452" s="112"/>
      <c r="CS452" s="112"/>
      <c r="CT452" s="112"/>
      <c r="CU452" s="112"/>
      <c r="CV452" s="112"/>
      <c r="CW452" s="112"/>
      <c r="CX452" s="112"/>
      <c r="CY452" s="112"/>
      <c r="CZ452" s="112"/>
      <c r="DA452" s="112"/>
      <c r="DB452" s="112"/>
      <c r="DC452" s="112"/>
      <c r="DD452" s="112"/>
      <c r="DE452" s="112"/>
      <c r="DF452" s="112"/>
      <c r="DG452" s="112"/>
      <c r="DH452" s="112"/>
      <c r="DI452" s="112"/>
      <c r="DJ452" s="112"/>
      <c r="DK452" s="112"/>
      <c r="DL452" s="112"/>
      <c r="DM452" s="112"/>
      <c r="DN452" s="112"/>
      <c r="DO452" t="e">
        <f t="shared" si="452"/>
        <v>#N/A</v>
      </c>
    </row>
    <row r="453" spans="33:119" x14ac:dyDescent="0.25">
      <c r="AG453" s="238">
        <f>AG452</f>
        <v>106</v>
      </c>
      <c r="AH453" s="112" t="e">
        <f ca="1">AI452+1</f>
        <v>#N/A</v>
      </c>
      <c r="AI453" s="112" t="e">
        <f ca="1">IF(INDIRECT(CONCATENATE("AE",AG450))&lt;100000,INDIRECT(CONCATENATE("AE",G450)),INDIRECT(CONCATENATE("AF",AG450)))</f>
        <v>#N/A</v>
      </c>
      <c r="AJ453" s="112" t="e">
        <f t="shared" ca="1" si="456"/>
        <v>#N/A</v>
      </c>
      <c r="AK453" s="112">
        <f t="shared" ca="1" si="458"/>
        <v>100000</v>
      </c>
      <c r="AL453" s="238" t="e">
        <f t="shared" ca="1" si="457"/>
        <v>#N/A</v>
      </c>
      <c r="AM453" s="112">
        <f t="shared" ca="1" si="455"/>
        <v>100000</v>
      </c>
      <c r="AN453" s="112">
        <f t="shared" ca="1" si="454"/>
        <v>100000</v>
      </c>
      <c r="AO453" s="114">
        <f t="shared" ca="1" si="450"/>
        <v>0</v>
      </c>
      <c r="AP453" s="114">
        <f t="shared" ca="1" si="451"/>
        <v>24</v>
      </c>
      <c r="AR453" s="238">
        <f t="shared" si="453"/>
        <v>453</v>
      </c>
      <c r="CJ453" s="112"/>
      <c r="CK453" s="112"/>
      <c r="CN453" s="112"/>
      <c r="CO453" s="112"/>
      <c r="CP453" s="112"/>
      <c r="CQ453" s="112"/>
      <c r="CR453" s="112"/>
      <c r="CS453" s="112"/>
      <c r="CT453" s="112"/>
      <c r="CU453" s="112"/>
      <c r="CV453" s="112"/>
      <c r="CW453" s="112"/>
      <c r="CX453" s="112"/>
      <c r="CY453" s="112"/>
      <c r="CZ453" s="112"/>
      <c r="DA453" s="112"/>
      <c r="DB453" s="112"/>
      <c r="DC453" s="112"/>
      <c r="DD453" s="112"/>
      <c r="DE453" s="112"/>
      <c r="DF453" s="112"/>
      <c r="DG453" s="112"/>
      <c r="DH453" s="112"/>
      <c r="DI453" s="112"/>
      <c r="DJ453" s="112"/>
      <c r="DK453" s="112"/>
      <c r="DL453" s="112"/>
      <c r="DM453" s="112"/>
      <c r="DN453" s="112"/>
      <c r="DO453" t="e">
        <f t="shared" si="452"/>
        <v>#N/A</v>
      </c>
    </row>
    <row r="454" spans="33:119" x14ac:dyDescent="0.25">
      <c r="AG454" s="238">
        <f>AG453</f>
        <v>106</v>
      </c>
      <c r="AH454" s="112" t="e">
        <f ca="1">AI453+1</f>
        <v>#N/A</v>
      </c>
      <c r="AI454" s="112" t="str">
        <f ca="1">INDIRECT(CONCATENATE("AF",AG450))</f>
        <v/>
      </c>
      <c r="AJ454" s="112" t="str">
        <f t="shared" ca="1" si="456"/>
        <v/>
      </c>
      <c r="AK454" s="112">
        <f t="shared" ca="1" si="458"/>
        <v>100000</v>
      </c>
      <c r="AL454" s="238" t="e">
        <f t="shared" ca="1" si="457"/>
        <v>#N/A</v>
      </c>
      <c r="AM454" s="112">
        <f t="shared" ca="1" si="455"/>
        <v>100000</v>
      </c>
      <c r="AN454" s="112">
        <f t="shared" ca="1" si="454"/>
        <v>100000</v>
      </c>
      <c r="AO454" s="114">
        <f t="shared" ca="1" si="450"/>
        <v>0</v>
      </c>
      <c r="AP454" s="114">
        <f t="shared" ca="1" si="451"/>
        <v>24</v>
      </c>
      <c r="AR454" s="238">
        <f t="shared" si="453"/>
        <v>454</v>
      </c>
      <c r="CJ454" s="112"/>
      <c r="CK454" s="112"/>
      <c r="CN454" s="112"/>
      <c r="CO454" s="112"/>
      <c r="CP454" s="112"/>
      <c r="CQ454" s="112"/>
      <c r="CR454" s="112"/>
      <c r="CS454" s="112"/>
      <c r="CT454" s="112"/>
      <c r="CU454" s="112"/>
      <c r="CV454" s="112"/>
      <c r="CW454" s="112"/>
      <c r="CX454" s="112"/>
      <c r="CY454" s="112"/>
      <c r="CZ454" s="112"/>
      <c r="DA454" s="112"/>
      <c r="DB454" s="112"/>
      <c r="DC454" s="112"/>
      <c r="DD454" s="112"/>
      <c r="DE454" s="112"/>
      <c r="DF454" s="112"/>
      <c r="DG454" s="112"/>
      <c r="DH454" s="112"/>
      <c r="DI454" s="112"/>
      <c r="DJ454" s="112"/>
      <c r="DK454" s="112"/>
      <c r="DL454" s="112"/>
      <c r="DM454" s="112"/>
      <c r="DN454" s="112"/>
      <c r="DO454" t="e">
        <f t="shared" si="452"/>
        <v>#N/A</v>
      </c>
    </row>
    <row r="455" spans="33:119" x14ac:dyDescent="0.25">
      <c r="AG455" s="238">
        <f>AG454+1</f>
        <v>107</v>
      </c>
      <c r="AH455" s="112" t="str">
        <f ca="1">INDIRECT(CONCATENATE("AA",AG455))</f>
        <v/>
      </c>
      <c r="AI455" s="112" t="e">
        <f ca="1">IF(            INDIRECT(CONCATENATE( "AB",AG455))&lt;100000,       INDIRECT(CONCATENATE("AB",AG455))  -1,IF(   INDIRECT(CONCATENATE("AC",AG455))&lt;100000,   INDIRECT(CONCATENATE("AC",AG455))-1,IF(   INDIRECT(CONCATENATE("AD", AG455))&lt;100000, INDIRECT(CONCATENATE("AD",AG455))-1,IF(   INDIRECT(CONCATENATE("AE",AG455))&lt;100000,  INDIRECT(CONCATENATE("AE",G455)),INDIRECT(CONCATENATE("AF",AG455))                ))))</f>
        <v>#N/A</v>
      </c>
      <c r="AJ455" s="112" t="str">
        <f t="shared" ca="1" si="456"/>
        <v/>
      </c>
      <c r="AK455" s="112" t="str">
        <f t="shared" ca="1" si="458"/>
        <v/>
      </c>
      <c r="AL455" s="238">
        <f t="shared" ca="1" si="457"/>
        <v>0</v>
      </c>
      <c r="AM455" s="112">
        <f t="shared" ca="1" si="455"/>
        <v>100000</v>
      </c>
      <c r="AN455" s="112">
        <f t="shared" ca="1" si="454"/>
        <v>100000</v>
      </c>
      <c r="AO455" s="114">
        <f t="shared" ca="1" si="450"/>
        <v>0</v>
      </c>
      <c r="AP455" s="114">
        <f t="shared" ca="1" si="451"/>
        <v>24</v>
      </c>
      <c r="AR455" s="238">
        <f t="shared" si="453"/>
        <v>455</v>
      </c>
      <c r="CJ455" s="112"/>
      <c r="CK455" s="112"/>
      <c r="CN455" s="112"/>
      <c r="CO455" s="112"/>
      <c r="CP455" s="112"/>
      <c r="CQ455" s="112"/>
      <c r="CR455" s="112"/>
      <c r="CS455" s="112"/>
      <c r="CT455" s="112"/>
      <c r="CU455" s="112"/>
      <c r="CV455" s="112"/>
      <c r="CW455" s="112"/>
      <c r="CX455" s="112"/>
      <c r="CY455" s="112"/>
      <c r="CZ455" s="112"/>
      <c r="DA455" s="112"/>
      <c r="DB455" s="112"/>
      <c r="DC455" s="112"/>
      <c r="DD455" s="112"/>
      <c r="DE455" s="112"/>
      <c r="DF455" s="112"/>
      <c r="DG455" s="112"/>
      <c r="DH455" s="112"/>
      <c r="DI455" s="112"/>
      <c r="DJ455" s="112"/>
      <c r="DK455" s="112"/>
      <c r="DL455" s="112"/>
      <c r="DM455" s="112"/>
      <c r="DN455" s="112"/>
      <c r="DO455" t="e">
        <f t="shared" si="452"/>
        <v>#N/A</v>
      </c>
    </row>
    <row r="456" spans="33:119" x14ac:dyDescent="0.25">
      <c r="AG456" s="238">
        <f>AG455</f>
        <v>107</v>
      </c>
      <c r="AH456" s="112" t="e">
        <f ca="1">AI455+1</f>
        <v>#N/A</v>
      </c>
      <c r="AI456" s="112" t="e">
        <f ca="1">IF(INDIRECT(CONCATENATE("AC",AG455))&lt;100000,INDIRECT(CONCATENATE("AC",AG455))-1,IF(INDIRECT(CONCATENATE("AD",AG455))&lt;100000,INDIRECT(CONCATENATE("AD",AG455))-1,IF(INDIRECT(CONCATENATE("AE",AG455))&lt;100000,INDIRECT(CONCATENATE("AE",G455)),INDIRECT(CONCATENATE("AF",AG455)))))</f>
        <v>#N/A</v>
      </c>
      <c r="AJ456" s="112" t="e">
        <f t="shared" ca="1" si="456"/>
        <v>#N/A</v>
      </c>
      <c r="AK456" s="112">
        <f t="shared" ca="1" si="458"/>
        <v>100000</v>
      </c>
      <c r="AL456" s="238" t="e">
        <f t="shared" ca="1" si="457"/>
        <v>#N/A</v>
      </c>
      <c r="AM456" s="112">
        <f t="shared" ca="1" si="455"/>
        <v>100000</v>
      </c>
      <c r="AN456" s="112">
        <f t="shared" ca="1" si="454"/>
        <v>100000</v>
      </c>
      <c r="AO456" s="114">
        <f t="shared" ca="1" si="450"/>
        <v>0</v>
      </c>
      <c r="AP456" s="114">
        <f t="shared" ca="1" si="451"/>
        <v>24</v>
      </c>
      <c r="AR456" s="238">
        <f t="shared" si="453"/>
        <v>456</v>
      </c>
      <c r="CJ456" s="112"/>
      <c r="CK456" s="112"/>
      <c r="CN456" s="112"/>
      <c r="CO456" s="112"/>
      <c r="CP456" s="112"/>
      <c r="CQ456" s="112"/>
      <c r="CR456" s="112"/>
      <c r="CS456" s="112"/>
      <c r="CT456" s="112"/>
      <c r="CU456" s="112"/>
      <c r="CV456" s="112"/>
      <c r="CW456" s="112"/>
      <c r="CX456" s="112"/>
      <c r="CY456" s="112"/>
      <c r="CZ456" s="112"/>
      <c r="DA456" s="112"/>
      <c r="DB456" s="112"/>
      <c r="DC456" s="112"/>
      <c r="DD456" s="112"/>
      <c r="DE456" s="112"/>
      <c r="DF456" s="112"/>
      <c r="DG456" s="112"/>
      <c r="DH456" s="112"/>
      <c r="DI456" s="112"/>
      <c r="DJ456" s="112"/>
      <c r="DK456" s="112"/>
      <c r="DL456" s="112"/>
      <c r="DM456" s="112"/>
      <c r="DN456" s="112"/>
      <c r="DO456" t="e">
        <f t="shared" si="452"/>
        <v>#N/A</v>
      </c>
    </row>
    <row r="457" spans="33:119" x14ac:dyDescent="0.25">
      <c r="AG457" s="238">
        <f>AG456</f>
        <v>107</v>
      </c>
      <c r="AH457" s="112" t="e">
        <f ca="1">AI456+1</f>
        <v>#N/A</v>
      </c>
      <c r="AI457" s="112" t="e">
        <f ca="1">IF(INDIRECT(CONCATENATE("AD",AG455))&lt;100000,INDIRECT(CONCATENATE("AD",AG455))-1,IF(INDIRECT(CONCATENATE("AE",AG455))&lt;100000,INDIRECT(CONCATENATE("AE",G455)),INDIRECT(CONCATENATE("AF",AG455))))</f>
        <v>#N/A</v>
      </c>
      <c r="AJ457" s="112" t="e">
        <f t="shared" ca="1" si="456"/>
        <v>#N/A</v>
      </c>
      <c r="AK457" s="112">
        <f t="shared" ca="1" si="458"/>
        <v>100000</v>
      </c>
      <c r="AL457" s="238" t="e">
        <f t="shared" ca="1" si="457"/>
        <v>#N/A</v>
      </c>
      <c r="AM457" s="112">
        <f t="shared" ca="1" si="455"/>
        <v>100000</v>
      </c>
      <c r="AN457" s="112">
        <f t="shared" ca="1" si="454"/>
        <v>100000</v>
      </c>
      <c r="AO457" s="114">
        <f t="shared" ca="1" si="450"/>
        <v>0</v>
      </c>
      <c r="AP457" s="114">
        <f t="shared" ca="1" si="451"/>
        <v>24</v>
      </c>
      <c r="AR457" s="238">
        <f t="shared" si="453"/>
        <v>457</v>
      </c>
      <c r="CJ457" s="112"/>
      <c r="CK457" s="112"/>
      <c r="CN457" s="112"/>
      <c r="CO457" s="112"/>
      <c r="CP457" s="112"/>
      <c r="CQ457" s="112"/>
      <c r="CR457" s="112"/>
      <c r="CS457" s="112"/>
      <c r="CT457" s="112"/>
      <c r="CU457" s="112"/>
      <c r="CV457" s="112"/>
      <c r="CW457" s="112"/>
      <c r="CX457" s="112"/>
      <c r="CY457" s="112"/>
      <c r="CZ457" s="112"/>
      <c r="DA457" s="112"/>
      <c r="DB457" s="112"/>
      <c r="DC457" s="112"/>
      <c r="DD457" s="112"/>
      <c r="DE457" s="112"/>
      <c r="DF457" s="112"/>
      <c r="DG457" s="112"/>
      <c r="DH457" s="112"/>
      <c r="DI457" s="112"/>
      <c r="DJ457" s="112"/>
      <c r="DK457" s="112"/>
      <c r="DL457" s="112"/>
      <c r="DM457" s="112"/>
      <c r="DN457" s="112"/>
      <c r="DO457" t="e">
        <f t="shared" si="452"/>
        <v>#N/A</v>
      </c>
    </row>
    <row r="458" spans="33:119" x14ac:dyDescent="0.25">
      <c r="AG458" s="238">
        <f>AG457</f>
        <v>107</v>
      </c>
      <c r="AH458" s="112" t="e">
        <f ca="1">AI457+1</f>
        <v>#N/A</v>
      </c>
      <c r="AI458" s="112" t="e">
        <f ca="1">IF(INDIRECT(CONCATENATE("AE",AG455))&lt;100000,INDIRECT(CONCATENATE("AE",G455)),INDIRECT(CONCATENATE("AF",AG455)))</f>
        <v>#N/A</v>
      </c>
      <c r="AJ458" s="112" t="e">
        <f t="shared" ca="1" si="456"/>
        <v>#N/A</v>
      </c>
      <c r="AK458" s="112">
        <f t="shared" ca="1" si="458"/>
        <v>100000</v>
      </c>
      <c r="AL458" s="238" t="e">
        <f t="shared" ca="1" si="457"/>
        <v>#N/A</v>
      </c>
      <c r="AM458" s="112">
        <f t="shared" ca="1" si="455"/>
        <v>100000</v>
      </c>
      <c r="AN458" s="112">
        <f t="shared" ca="1" si="454"/>
        <v>100000</v>
      </c>
      <c r="AO458" s="114">
        <f t="shared" ca="1" si="450"/>
        <v>0</v>
      </c>
      <c r="AP458" s="114">
        <f t="shared" ca="1" si="451"/>
        <v>24</v>
      </c>
      <c r="AR458" s="238">
        <f t="shared" si="453"/>
        <v>458</v>
      </c>
      <c r="CJ458" s="112"/>
      <c r="CK458" s="112"/>
      <c r="CN458" s="112"/>
      <c r="CO458" s="112"/>
      <c r="CP458" s="112"/>
      <c r="CQ458" s="112"/>
      <c r="CR458" s="112"/>
      <c r="CS458" s="112"/>
      <c r="CT458" s="112"/>
      <c r="CU458" s="112"/>
      <c r="CV458" s="112"/>
      <c r="CW458" s="112"/>
      <c r="CX458" s="112"/>
      <c r="CY458" s="112"/>
      <c r="CZ458" s="112"/>
      <c r="DA458" s="112"/>
      <c r="DB458" s="112"/>
      <c r="DC458" s="112"/>
      <c r="DD458" s="112"/>
      <c r="DE458" s="112"/>
      <c r="DF458" s="112"/>
      <c r="DG458" s="112"/>
      <c r="DH458" s="112"/>
      <c r="DI458" s="112"/>
      <c r="DJ458" s="112"/>
      <c r="DK458" s="112"/>
      <c r="DL458" s="112"/>
      <c r="DM458" s="112"/>
      <c r="DN458" s="112"/>
      <c r="DO458" t="e">
        <f t="shared" si="452"/>
        <v>#N/A</v>
      </c>
    </row>
    <row r="459" spans="33:119" x14ac:dyDescent="0.25">
      <c r="AG459" s="238">
        <f>AG458</f>
        <v>107</v>
      </c>
      <c r="AH459" s="112" t="e">
        <f ca="1">AI458+1</f>
        <v>#N/A</v>
      </c>
      <c r="AI459" s="112" t="str">
        <f ca="1">INDIRECT(CONCATENATE("AF",AG455))</f>
        <v/>
      </c>
      <c r="AJ459" s="112" t="str">
        <f t="shared" ca="1" si="456"/>
        <v/>
      </c>
      <c r="AK459" s="112">
        <f t="shared" ca="1" si="458"/>
        <v>100000</v>
      </c>
      <c r="AL459" s="238" t="e">
        <f t="shared" ca="1" si="457"/>
        <v>#N/A</v>
      </c>
      <c r="AM459" s="112">
        <f t="shared" ca="1" si="455"/>
        <v>100000</v>
      </c>
      <c r="AN459" s="112">
        <f t="shared" ca="1" si="454"/>
        <v>100000</v>
      </c>
      <c r="AO459" s="114">
        <f t="shared" ca="1" si="450"/>
        <v>0</v>
      </c>
      <c r="AP459" s="114">
        <f t="shared" ca="1" si="451"/>
        <v>24</v>
      </c>
      <c r="AR459" s="238">
        <f t="shared" si="453"/>
        <v>459</v>
      </c>
      <c r="CJ459" s="112"/>
      <c r="CK459" s="112"/>
      <c r="CN459" s="112"/>
      <c r="CO459" s="112"/>
      <c r="CP459" s="112"/>
      <c r="CQ459" s="112"/>
      <c r="CR459" s="112"/>
      <c r="CS459" s="112"/>
      <c r="CT459" s="112"/>
      <c r="CU459" s="112"/>
      <c r="CV459" s="112"/>
      <c r="CW459" s="112"/>
      <c r="CX459" s="112"/>
      <c r="CY459" s="112"/>
      <c r="CZ459" s="112"/>
      <c r="DA459" s="112"/>
      <c r="DB459" s="112"/>
      <c r="DC459" s="112"/>
      <c r="DD459" s="112"/>
      <c r="DE459" s="112"/>
      <c r="DF459" s="112"/>
      <c r="DG459" s="112"/>
      <c r="DH459" s="112"/>
      <c r="DI459" s="112"/>
      <c r="DJ459" s="112"/>
      <c r="DK459" s="112"/>
      <c r="DL459" s="112"/>
      <c r="DM459" s="112"/>
      <c r="DN459" s="112"/>
      <c r="DO459" t="e">
        <f t="shared" si="452"/>
        <v>#N/A</v>
      </c>
    </row>
    <row r="460" spans="33:119" x14ac:dyDescent="0.25">
      <c r="AG460" s="238">
        <f>AG459+1</f>
        <v>108</v>
      </c>
      <c r="AH460" s="112" t="str">
        <f ca="1">INDIRECT(CONCATENATE("AA",AG460))</f>
        <v/>
      </c>
      <c r="AI460" s="112" t="e">
        <f ca="1">IF(            INDIRECT(CONCATENATE( "AB",AG460))&lt;100000,       INDIRECT(CONCATENATE("AB",AG460))  -1,IF(   INDIRECT(CONCATENATE("AC",AG460))&lt;100000,   INDIRECT(CONCATENATE("AC",AG460))-1,IF(   INDIRECT(CONCATENATE("AD", AG460))&lt;100000, INDIRECT(CONCATENATE("AD",AG460))-1,IF(   INDIRECT(CONCATENATE("AE",AG460))&lt;100000,  INDIRECT(CONCATENATE("AE",G460)),INDIRECT(CONCATENATE("AF",AG460))                ))))</f>
        <v>#N/A</v>
      </c>
      <c r="AJ460" s="112" t="str">
        <f t="shared" ca="1" si="456"/>
        <v/>
      </c>
      <c r="AK460" s="112" t="str">
        <f t="shared" ca="1" si="458"/>
        <v/>
      </c>
      <c r="AL460" s="238">
        <f t="shared" ca="1" si="457"/>
        <v>0</v>
      </c>
      <c r="AM460" s="112">
        <f t="shared" ca="1" si="455"/>
        <v>100000</v>
      </c>
      <c r="AN460" s="112">
        <f t="shared" ca="1" si="454"/>
        <v>100000</v>
      </c>
      <c r="AO460" s="114">
        <f t="shared" ca="1" si="450"/>
        <v>0</v>
      </c>
      <c r="AP460" s="114">
        <f t="shared" ca="1" si="451"/>
        <v>24</v>
      </c>
      <c r="AR460" s="238">
        <f t="shared" si="453"/>
        <v>460</v>
      </c>
      <c r="CJ460" s="112"/>
      <c r="CK460" s="112"/>
      <c r="CN460" s="112"/>
      <c r="CO460" s="112"/>
      <c r="CP460" s="112"/>
      <c r="CQ460" s="112"/>
      <c r="CR460" s="112"/>
      <c r="CS460" s="112"/>
      <c r="CT460" s="112"/>
      <c r="CU460" s="112"/>
      <c r="CV460" s="112"/>
      <c r="CW460" s="112"/>
      <c r="CX460" s="112"/>
      <c r="CY460" s="112"/>
      <c r="CZ460" s="112"/>
      <c r="DA460" s="112"/>
      <c r="DB460" s="112"/>
      <c r="DC460" s="112"/>
      <c r="DD460" s="112"/>
      <c r="DE460" s="112"/>
      <c r="DF460" s="112"/>
      <c r="DG460" s="112"/>
      <c r="DH460" s="112"/>
      <c r="DI460" s="112"/>
      <c r="DJ460" s="112"/>
      <c r="DK460" s="112"/>
      <c r="DL460" s="112"/>
      <c r="DM460" s="112"/>
      <c r="DN460" s="112"/>
      <c r="DO460" t="e">
        <f t="shared" si="452"/>
        <v>#N/A</v>
      </c>
    </row>
    <row r="461" spans="33:119" x14ac:dyDescent="0.25">
      <c r="AG461" s="238">
        <f>AG460</f>
        <v>108</v>
      </c>
      <c r="AH461" s="112" t="e">
        <f ca="1">AI460+1</f>
        <v>#N/A</v>
      </c>
      <c r="AI461" s="112" t="e">
        <f ca="1">IF(INDIRECT(CONCATENATE("AC",AG460))&lt;100000,INDIRECT(CONCATENATE("AC",AG460))-1,IF(INDIRECT(CONCATENATE("AD",AG460))&lt;100000,INDIRECT(CONCATENATE("AD",AG460))-1,IF(INDIRECT(CONCATENATE("AE",AG460))&lt;100000,INDIRECT(CONCATENATE("AE",G460)),INDIRECT(CONCATENATE("AF",AG460)))))</f>
        <v>#N/A</v>
      </c>
      <c r="AJ461" s="112" t="e">
        <f t="shared" ca="1" si="456"/>
        <v>#N/A</v>
      </c>
      <c r="AK461" s="112">
        <f t="shared" ca="1" si="458"/>
        <v>100000</v>
      </c>
      <c r="AL461" s="238" t="e">
        <f t="shared" ca="1" si="457"/>
        <v>#N/A</v>
      </c>
      <c r="AM461" s="112">
        <f t="shared" ca="1" si="455"/>
        <v>100000</v>
      </c>
      <c r="AN461" s="112">
        <f t="shared" ca="1" si="454"/>
        <v>100000</v>
      </c>
      <c r="AO461" s="114">
        <f t="shared" ca="1" si="450"/>
        <v>0</v>
      </c>
      <c r="AP461" s="114">
        <f t="shared" ca="1" si="451"/>
        <v>24</v>
      </c>
      <c r="AR461" s="238">
        <f t="shared" si="453"/>
        <v>461</v>
      </c>
      <c r="CJ461" s="112"/>
      <c r="CK461" s="112"/>
      <c r="CN461" s="112"/>
      <c r="CO461" s="112"/>
      <c r="CP461" s="112"/>
      <c r="CQ461" s="112"/>
      <c r="CR461" s="112"/>
      <c r="CS461" s="112"/>
      <c r="CT461" s="112"/>
      <c r="CU461" s="112"/>
      <c r="CV461" s="112"/>
      <c r="CW461" s="112"/>
      <c r="CX461" s="112"/>
      <c r="CY461" s="112"/>
      <c r="CZ461" s="112"/>
      <c r="DA461" s="112"/>
      <c r="DB461" s="112"/>
      <c r="DC461" s="112"/>
      <c r="DD461" s="112"/>
      <c r="DE461" s="112"/>
      <c r="DF461" s="112"/>
      <c r="DG461" s="112"/>
      <c r="DH461" s="112"/>
      <c r="DI461" s="112"/>
      <c r="DJ461" s="112"/>
      <c r="DK461" s="112"/>
      <c r="DL461" s="112"/>
      <c r="DM461" s="112"/>
      <c r="DN461" s="112"/>
      <c r="DO461" t="e">
        <f t="shared" si="452"/>
        <v>#N/A</v>
      </c>
    </row>
    <row r="462" spans="33:119" x14ac:dyDescent="0.25">
      <c r="AG462" s="238">
        <f>AG461</f>
        <v>108</v>
      </c>
      <c r="AH462" s="112" t="e">
        <f ca="1">AI461+1</f>
        <v>#N/A</v>
      </c>
      <c r="AI462" s="112" t="e">
        <f ca="1">IF(INDIRECT(CONCATENATE("AD",AG460))&lt;100000,INDIRECT(CONCATENATE("AD",AG460))-1,IF(INDIRECT(CONCATENATE("AE",AG460))&lt;100000,INDIRECT(CONCATENATE("AE",G460)),INDIRECT(CONCATENATE("AF",AG460))))</f>
        <v>#N/A</v>
      </c>
      <c r="AJ462" s="112" t="e">
        <f t="shared" ca="1" si="456"/>
        <v>#N/A</v>
      </c>
      <c r="AK462" s="112">
        <f t="shared" ca="1" si="458"/>
        <v>100000</v>
      </c>
      <c r="AL462" s="238" t="e">
        <f t="shared" ca="1" si="457"/>
        <v>#N/A</v>
      </c>
      <c r="AM462" s="112">
        <f t="shared" ca="1" si="455"/>
        <v>100000</v>
      </c>
      <c r="AN462" s="112">
        <f t="shared" ca="1" si="454"/>
        <v>100000</v>
      </c>
      <c r="AO462" s="114">
        <f t="shared" ca="1" si="450"/>
        <v>0</v>
      </c>
      <c r="AP462" s="114">
        <f t="shared" ca="1" si="451"/>
        <v>24</v>
      </c>
      <c r="AR462" s="238">
        <f t="shared" si="453"/>
        <v>462</v>
      </c>
      <c r="CJ462" s="112"/>
      <c r="CK462" s="112"/>
      <c r="CN462" s="112"/>
      <c r="CO462" s="112"/>
      <c r="CP462" s="112"/>
      <c r="CQ462" s="112"/>
      <c r="CR462" s="112"/>
      <c r="CS462" s="112"/>
      <c r="CT462" s="112"/>
      <c r="CU462" s="112"/>
      <c r="CV462" s="112"/>
      <c r="CW462" s="112"/>
      <c r="CX462" s="112"/>
      <c r="CY462" s="112"/>
      <c r="CZ462" s="112"/>
      <c r="DA462" s="112"/>
      <c r="DB462" s="112"/>
      <c r="DC462" s="112"/>
      <c r="DD462" s="112"/>
      <c r="DE462" s="112"/>
      <c r="DF462" s="112"/>
      <c r="DG462" s="112"/>
      <c r="DH462" s="112"/>
      <c r="DI462" s="112"/>
      <c r="DJ462" s="112"/>
      <c r="DK462" s="112"/>
      <c r="DL462" s="112"/>
      <c r="DM462" s="112"/>
      <c r="DN462" s="112"/>
      <c r="DO462" t="e">
        <f t="shared" si="452"/>
        <v>#N/A</v>
      </c>
    </row>
    <row r="463" spans="33:119" x14ac:dyDescent="0.25">
      <c r="AG463" s="238">
        <f>AG462</f>
        <v>108</v>
      </c>
      <c r="AH463" s="112" t="e">
        <f ca="1">AI462+1</f>
        <v>#N/A</v>
      </c>
      <c r="AI463" s="112" t="e">
        <f ca="1">IF(INDIRECT(CONCATENATE("AE",AG460))&lt;100000,INDIRECT(CONCATENATE("AE",G460)),INDIRECT(CONCATENATE("AF",AG460)))</f>
        <v>#N/A</v>
      </c>
      <c r="AJ463" s="112" t="e">
        <f t="shared" ca="1" si="456"/>
        <v>#N/A</v>
      </c>
      <c r="AK463" s="112">
        <f t="shared" ca="1" si="458"/>
        <v>100000</v>
      </c>
      <c r="AL463" s="238" t="e">
        <f t="shared" ca="1" si="457"/>
        <v>#N/A</v>
      </c>
      <c r="AM463" s="112">
        <f t="shared" ca="1" si="455"/>
        <v>100000</v>
      </c>
      <c r="AN463" s="112">
        <f t="shared" ca="1" si="454"/>
        <v>100000</v>
      </c>
      <c r="AO463" s="114">
        <f t="shared" ca="1" si="450"/>
        <v>0</v>
      </c>
      <c r="AP463" s="114">
        <f t="shared" ca="1" si="451"/>
        <v>24</v>
      </c>
      <c r="AR463" s="238">
        <f t="shared" si="453"/>
        <v>463</v>
      </c>
      <c r="CJ463" s="112"/>
      <c r="CK463" s="112"/>
      <c r="CN463" s="112"/>
      <c r="CO463" s="112"/>
      <c r="CP463" s="112"/>
      <c r="CQ463" s="112"/>
      <c r="CR463" s="112"/>
      <c r="CS463" s="112"/>
      <c r="CT463" s="112"/>
      <c r="CU463" s="112"/>
      <c r="CV463" s="112"/>
      <c r="CW463" s="112"/>
      <c r="CX463" s="112"/>
      <c r="CY463" s="112"/>
      <c r="CZ463" s="112"/>
      <c r="DA463" s="112"/>
      <c r="DB463" s="112"/>
      <c r="DC463" s="112"/>
      <c r="DD463" s="112"/>
      <c r="DE463" s="112"/>
      <c r="DF463" s="112"/>
      <c r="DG463" s="112"/>
      <c r="DH463" s="112"/>
      <c r="DI463" s="112"/>
      <c r="DJ463" s="112"/>
      <c r="DK463" s="112"/>
      <c r="DL463" s="112"/>
      <c r="DM463" s="112"/>
      <c r="DN463" s="112"/>
      <c r="DO463" t="e">
        <f t="shared" si="452"/>
        <v>#N/A</v>
      </c>
    </row>
    <row r="464" spans="33:119" x14ac:dyDescent="0.25">
      <c r="AG464" s="238">
        <f>AG463</f>
        <v>108</v>
      </c>
      <c r="AH464" s="112" t="e">
        <f ca="1">AI463+1</f>
        <v>#N/A</v>
      </c>
      <c r="AI464" s="112" t="str">
        <f ca="1">INDIRECT(CONCATENATE("AF",AG460))</f>
        <v/>
      </c>
      <c r="AJ464" s="112" t="str">
        <f t="shared" ca="1" si="456"/>
        <v/>
      </c>
      <c r="AK464" s="112">
        <f t="shared" ca="1" si="458"/>
        <v>100000</v>
      </c>
      <c r="AL464" s="238" t="e">
        <f t="shared" ca="1" si="457"/>
        <v>#N/A</v>
      </c>
      <c r="AM464" s="112">
        <f t="shared" ca="1" si="455"/>
        <v>100000</v>
      </c>
      <c r="AN464" s="112">
        <f t="shared" ca="1" si="454"/>
        <v>100000</v>
      </c>
      <c r="AO464" s="114">
        <f t="shared" ca="1" si="450"/>
        <v>0</v>
      </c>
      <c r="AP464" s="114">
        <f t="shared" ca="1" si="451"/>
        <v>24</v>
      </c>
      <c r="AR464" s="238">
        <f t="shared" si="453"/>
        <v>464</v>
      </c>
      <c r="CJ464" s="112"/>
      <c r="CK464" s="112"/>
      <c r="CN464" s="112"/>
      <c r="CO464" s="112"/>
      <c r="CP464" s="112"/>
      <c r="CQ464" s="112"/>
      <c r="CR464" s="112"/>
      <c r="CS464" s="112"/>
      <c r="CT464" s="112"/>
      <c r="CU464" s="112"/>
      <c r="CV464" s="112"/>
      <c r="CW464" s="112"/>
      <c r="CX464" s="112"/>
      <c r="CY464" s="112"/>
      <c r="CZ464" s="112"/>
      <c r="DA464" s="112"/>
      <c r="DB464" s="112"/>
      <c r="DC464" s="112"/>
      <c r="DD464" s="112"/>
      <c r="DE464" s="112"/>
      <c r="DF464" s="112"/>
      <c r="DG464" s="112"/>
      <c r="DH464" s="112"/>
      <c r="DI464" s="112"/>
      <c r="DJ464" s="112"/>
      <c r="DK464" s="112"/>
      <c r="DL464" s="112"/>
      <c r="DM464" s="112"/>
      <c r="DN464" s="112"/>
      <c r="DO464" t="e">
        <f t="shared" si="452"/>
        <v>#N/A</v>
      </c>
    </row>
    <row r="465" spans="33:119" x14ac:dyDescent="0.25">
      <c r="AG465" s="238">
        <f>AG464+1</f>
        <v>109</v>
      </c>
      <c r="AH465" s="112" t="str">
        <f ca="1">INDIRECT(CONCATENATE("AA",AG465))</f>
        <v/>
      </c>
      <c r="AI465" s="112" t="e">
        <f ca="1">IF(            INDIRECT(CONCATENATE( "AB",AG465))&lt;100000,       INDIRECT(CONCATENATE("AB",AG465))  -1,IF(   INDIRECT(CONCATENATE("AC",AG465))&lt;100000,   INDIRECT(CONCATENATE("AC",AG465))-1,IF(   INDIRECT(CONCATENATE("AD", AG465))&lt;100000, INDIRECT(CONCATENATE("AD",AG465))-1,IF(   INDIRECT(CONCATENATE("AE",AG465))&lt;100000,  INDIRECT(CONCATENATE("AE",G465)),INDIRECT(CONCATENATE("AF",AG465))                ))))</f>
        <v>#N/A</v>
      </c>
      <c r="AJ465" s="112" t="str">
        <f t="shared" ca="1" si="456"/>
        <v/>
      </c>
      <c r="AK465" s="112" t="str">
        <f t="shared" ca="1" si="458"/>
        <v/>
      </c>
      <c r="AL465" s="238">
        <f t="shared" ca="1" si="457"/>
        <v>0</v>
      </c>
      <c r="AM465" s="112">
        <f t="shared" ca="1" si="455"/>
        <v>100000</v>
      </c>
      <c r="AN465" s="112">
        <f t="shared" ca="1" si="454"/>
        <v>100000</v>
      </c>
      <c r="AO465" s="114">
        <f t="shared" ca="1" si="450"/>
        <v>0</v>
      </c>
      <c r="AP465" s="114">
        <f t="shared" ca="1" si="451"/>
        <v>24</v>
      </c>
      <c r="AR465" s="238">
        <f t="shared" si="453"/>
        <v>465</v>
      </c>
      <c r="CJ465" s="112"/>
      <c r="CK465" s="112"/>
      <c r="CN465" s="112"/>
      <c r="CO465" s="112"/>
      <c r="CP465" s="112"/>
      <c r="CQ465" s="112"/>
      <c r="CR465" s="112"/>
      <c r="CS465" s="112"/>
      <c r="CT465" s="112"/>
      <c r="CU465" s="112"/>
      <c r="CV465" s="112"/>
      <c r="CW465" s="112"/>
      <c r="CX465" s="112"/>
      <c r="CY465" s="112"/>
      <c r="CZ465" s="112"/>
      <c r="DA465" s="112"/>
      <c r="DB465" s="112"/>
      <c r="DC465" s="112"/>
      <c r="DD465" s="112"/>
      <c r="DE465" s="112"/>
      <c r="DF465" s="112"/>
      <c r="DG465" s="112"/>
      <c r="DH465" s="112"/>
      <c r="DI465" s="112"/>
      <c r="DJ465" s="112"/>
      <c r="DK465" s="112"/>
      <c r="DL465" s="112"/>
      <c r="DM465" s="112"/>
      <c r="DN465" s="112"/>
      <c r="DO465" t="e">
        <f t="shared" si="452"/>
        <v>#N/A</v>
      </c>
    </row>
    <row r="466" spans="33:119" x14ac:dyDescent="0.25">
      <c r="AG466" s="238">
        <f>AG465</f>
        <v>109</v>
      </c>
      <c r="AH466" s="112" t="e">
        <f ca="1">AI465+1</f>
        <v>#N/A</v>
      </c>
      <c r="AI466" s="112" t="e">
        <f ca="1">IF(INDIRECT(CONCATENATE("AC",AG465))&lt;100000,INDIRECT(CONCATENATE("AC",AG465))-1,IF(INDIRECT(CONCATENATE("AD",AG465))&lt;100000,INDIRECT(CONCATENATE("AD",AG465))-1,IF(INDIRECT(CONCATENATE("AE",AG465))&lt;100000,INDIRECT(CONCATENATE("AE",G465)),INDIRECT(CONCATENATE("AF",AG465)))))</f>
        <v>#N/A</v>
      </c>
      <c r="AJ466" s="112" t="e">
        <f t="shared" ca="1" si="456"/>
        <v>#N/A</v>
      </c>
      <c r="AK466" s="112">
        <f t="shared" ca="1" si="458"/>
        <v>100000</v>
      </c>
      <c r="AL466" s="238" t="e">
        <f t="shared" ca="1" si="457"/>
        <v>#N/A</v>
      </c>
      <c r="AM466" s="112">
        <f t="shared" ca="1" si="455"/>
        <v>100000</v>
      </c>
      <c r="AN466" s="112">
        <f t="shared" ca="1" si="454"/>
        <v>100000</v>
      </c>
      <c r="AO466" s="114">
        <f t="shared" ca="1" si="450"/>
        <v>0</v>
      </c>
      <c r="AP466" s="114">
        <f t="shared" ca="1" si="451"/>
        <v>24</v>
      </c>
      <c r="AR466" s="238">
        <f t="shared" si="453"/>
        <v>466</v>
      </c>
      <c r="CJ466" s="112"/>
      <c r="CK466" s="112"/>
      <c r="CN466" s="112"/>
      <c r="CO466" s="112"/>
      <c r="CP466" s="112"/>
      <c r="CQ466" s="112"/>
      <c r="CR466" s="112"/>
      <c r="CS466" s="112"/>
      <c r="CT466" s="112"/>
      <c r="CU466" s="112"/>
      <c r="CV466" s="112"/>
      <c r="CW466" s="112"/>
      <c r="CX466" s="112"/>
      <c r="CY466" s="112"/>
      <c r="CZ466" s="112"/>
      <c r="DA466" s="112"/>
      <c r="DB466" s="112"/>
      <c r="DC466" s="112"/>
      <c r="DD466" s="112"/>
      <c r="DE466" s="112"/>
      <c r="DF466" s="112"/>
      <c r="DG466" s="112"/>
      <c r="DH466" s="112"/>
      <c r="DI466" s="112"/>
      <c r="DJ466" s="112"/>
      <c r="DK466" s="112"/>
      <c r="DL466" s="112"/>
      <c r="DM466" s="112"/>
      <c r="DN466" s="112"/>
      <c r="DO466" t="e">
        <f t="shared" si="452"/>
        <v>#N/A</v>
      </c>
    </row>
    <row r="467" spans="33:119" x14ac:dyDescent="0.25">
      <c r="AG467" s="238">
        <f>AG466</f>
        <v>109</v>
      </c>
      <c r="AH467" s="112" t="e">
        <f ca="1">AI466+1</f>
        <v>#N/A</v>
      </c>
      <c r="AI467" s="112" t="e">
        <f ca="1">IF(INDIRECT(CONCATENATE("AD",AG465))&lt;100000,INDIRECT(CONCATENATE("AD",AG465))-1,IF(INDIRECT(CONCATENATE("AE",AG465))&lt;100000,INDIRECT(CONCATENATE("AE",G465)),INDIRECT(CONCATENATE("AF",AG465))))</f>
        <v>#N/A</v>
      </c>
      <c r="AJ467" s="112" t="e">
        <f t="shared" ca="1" si="456"/>
        <v>#N/A</v>
      </c>
      <c r="AK467" s="112">
        <f t="shared" ca="1" si="458"/>
        <v>100000</v>
      </c>
      <c r="AL467" s="238" t="e">
        <f t="shared" ca="1" si="457"/>
        <v>#N/A</v>
      </c>
      <c r="AM467" s="112">
        <f t="shared" ca="1" si="455"/>
        <v>100000</v>
      </c>
      <c r="AN467" s="112">
        <f t="shared" ca="1" si="454"/>
        <v>100000</v>
      </c>
      <c r="AO467" s="114">
        <f t="shared" ca="1" si="450"/>
        <v>0</v>
      </c>
      <c r="AP467" s="114">
        <f t="shared" ca="1" si="451"/>
        <v>24</v>
      </c>
      <c r="AR467" s="238">
        <f t="shared" si="453"/>
        <v>467</v>
      </c>
      <c r="CJ467" s="112"/>
      <c r="CK467" s="112"/>
      <c r="CN467" s="112"/>
      <c r="CO467" s="112"/>
      <c r="CP467" s="112"/>
      <c r="CQ467" s="112"/>
      <c r="CR467" s="112"/>
      <c r="CS467" s="112"/>
      <c r="CT467" s="112"/>
      <c r="CU467" s="112"/>
      <c r="CV467" s="112"/>
      <c r="CW467" s="112"/>
      <c r="CX467" s="112"/>
      <c r="CY467" s="112"/>
      <c r="CZ467" s="112"/>
      <c r="DA467" s="112"/>
      <c r="DB467" s="112"/>
      <c r="DC467" s="112"/>
      <c r="DD467" s="112"/>
      <c r="DE467" s="112"/>
      <c r="DF467" s="112"/>
      <c r="DG467" s="112"/>
      <c r="DH467" s="112"/>
      <c r="DI467" s="112"/>
      <c r="DJ467" s="112"/>
      <c r="DK467" s="112"/>
      <c r="DL467" s="112"/>
      <c r="DM467" s="112"/>
      <c r="DN467" s="112"/>
      <c r="DO467" t="e">
        <f t="shared" si="452"/>
        <v>#N/A</v>
      </c>
    </row>
    <row r="468" spans="33:119" x14ac:dyDescent="0.25">
      <c r="AG468" s="238">
        <f>AG467</f>
        <v>109</v>
      </c>
      <c r="AH468" s="112" t="e">
        <f ca="1">AI467+1</f>
        <v>#N/A</v>
      </c>
      <c r="AI468" s="112" t="e">
        <f ca="1">IF(INDIRECT(CONCATENATE("AE",AG465))&lt;100000,INDIRECT(CONCATENATE("AE",G465)),INDIRECT(CONCATENATE("AF",AG465)))</f>
        <v>#N/A</v>
      </c>
      <c r="AJ468" s="112" t="e">
        <f t="shared" ca="1" si="456"/>
        <v>#N/A</v>
      </c>
      <c r="AK468" s="112">
        <f t="shared" ca="1" si="458"/>
        <v>100000</v>
      </c>
      <c r="AL468" s="238" t="e">
        <f t="shared" ca="1" si="457"/>
        <v>#N/A</v>
      </c>
      <c r="AM468" s="112">
        <f t="shared" ca="1" si="455"/>
        <v>100000</v>
      </c>
      <c r="AN468" s="112">
        <f t="shared" ca="1" si="454"/>
        <v>100000</v>
      </c>
      <c r="AO468" s="114">
        <f t="shared" ca="1" si="450"/>
        <v>0</v>
      </c>
      <c r="AP468" s="114">
        <f t="shared" ca="1" si="451"/>
        <v>24</v>
      </c>
      <c r="AR468" s="238">
        <f t="shared" si="453"/>
        <v>468</v>
      </c>
      <c r="CJ468" s="112"/>
      <c r="CK468" s="112"/>
      <c r="CN468" s="112"/>
      <c r="CO468" s="112"/>
      <c r="CP468" s="112"/>
      <c r="CQ468" s="112"/>
      <c r="CR468" s="112"/>
      <c r="CS468" s="112"/>
      <c r="CT468" s="112"/>
      <c r="CU468" s="112"/>
      <c r="CV468" s="112"/>
      <c r="CW468" s="112"/>
      <c r="CX468" s="112"/>
      <c r="CY468" s="112"/>
      <c r="CZ468" s="112"/>
      <c r="DA468" s="112"/>
      <c r="DB468" s="112"/>
      <c r="DC468" s="112"/>
      <c r="DD468" s="112"/>
      <c r="DE468" s="112"/>
      <c r="DF468" s="112"/>
      <c r="DG468" s="112"/>
      <c r="DH468" s="112"/>
      <c r="DI468" s="112"/>
      <c r="DJ468" s="112"/>
      <c r="DK468" s="112"/>
      <c r="DL468" s="112"/>
      <c r="DM468" s="112"/>
      <c r="DN468" s="112"/>
      <c r="DO468" t="e">
        <f t="shared" si="452"/>
        <v>#N/A</v>
      </c>
    </row>
    <row r="469" spans="33:119" x14ac:dyDescent="0.25">
      <c r="AG469" s="238">
        <f>AG468</f>
        <v>109</v>
      </c>
      <c r="AH469" s="112" t="e">
        <f ca="1">AI468+1</f>
        <v>#N/A</v>
      </c>
      <c r="AI469" s="112" t="str">
        <f ca="1">INDIRECT(CONCATENATE("AF",AG465))</f>
        <v/>
      </c>
      <c r="AJ469" s="112" t="str">
        <f t="shared" ca="1" si="456"/>
        <v/>
      </c>
      <c r="AK469" s="112">
        <f t="shared" ca="1" si="458"/>
        <v>100000</v>
      </c>
      <c r="AL469" s="238" t="e">
        <f t="shared" ca="1" si="457"/>
        <v>#N/A</v>
      </c>
      <c r="AM469" s="112">
        <f t="shared" ca="1" si="455"/>
        <v>100000</v>
      </c>
      <c r="AN469" s="112">
        <f t="shared" ca="1" si="454"/>
        <v>100000</v>
      </c>
      <c r="AO469" s="114">
        <f t="shared" ref="AO469:AO532" ca="1" si="459">INDIRECT(CONCATENATE("i",AG469))</f>
        <v>0</v>
      </c>
      <c r="AP469" s="114">
        <f t="shared" ref="AP469:AP532" ca="1" si="460">INDIRECT(CONCATENATE("J",AG469))</f>
        <v>24</v>
      </c>
      <c r="AR469" s="238">
        <f t="shared" si="453"/>
        <v>469</v>
      </c>
      <c r="CJ469" s="112"/>
      <c r="CK469" s="112"/>
      <c r="CN469" s="112"/>
      <c r="CO469" s="112"/>
      <c r="CP469" s="112"/>
      <c r="CQ469" s="112"/>
      <c r="CR469" s="112"/>
      <c r="CS469" s="112"/>
      <c r="CT469" s="112"/>
      <c r="CU469" s="112"/>
      <c r="CV469" s="112"/>
      <c r="CW469" s="112"/>
      <c r="CX469" s="112"/>
      <c r="CY469" s="112"/>
      <c r="CZ469" s="112"/>
      <c r="DA469" s="112"/>
      <c r="DB469" s="112"/>
      <c r="DC469" s="112"/>
      <c r="DD469" s="112"/>
      <c r="DE469" s="112"/>
      <c r="DF469" s="112"/>
      <c r="DG469" s="112"/>
      <c r="DH469" s="112"/>
      <c r="DI469" s="112"/>
      <c r="DJ469" s="112"/>
      <c r="DK469" s="112"/>
      <c r="DL469" s="112"/>
      <c r="DM469" s="112"/>
      <c r="DN469" s="112"/>
      <c r="DO469" t="e">
        <f t="shared" ref="DO469:DO496" si="461">VLOOKUP(CN469,$F$20:$H$138,3,FALSE)</f>
        <v>#N/A</v>
      </c>
    </row>
    <row r="470" spans="33:119" x14ac:dyDescent="0.25">
      <c r="AG470" s="238">
        <f>AG469+1</f>
        <v>110</v>
      </c>
      <c r="AH470" s="112" t="str">
        <f ca="1">INDIRECT(CONCATENATE("AA",AG470))</f>
        <v/>
      </c>
      <c r="AI470" s="112" t="e">
        <f ca="1">IF(            INDIRECT(CONCATENATE( "AB",AG470))&lt;100000,       INDIRECT(CONCATENATE("AB",AG470))  -1,IF(   INDIRECT(CONCATENATE("AC",AG470))&lt;100000,   INDIRECT(CONCATENATE("AC",AG470))-1,IF(   INDIRECT(CONCATENATE("AD", AG470))&lt;100000, INDIRECT(CONCATENATE("AD",AG470))-1,IF(   INDIRECT(CONCATENATE("AE",AG470))&lt;100000,  INDIRECT(CONCATENATE("AE",G470)),INDIRECT(CONCATENATE("AF",AG470))                ))))</f>
        <v>#N/A</v>
      </c>
      <c r="AJ470" s="112" t="str">
        <f t="shared" ca="1" si="456"/>
        <v/>
      </c>
      <c r="AK470" s="112" t="str">
        <f t="shared" ca="1" si="458"/>
        <v/>
      </c>
      <c r="AL470" s="238">
        <f t="shared" ca="1" si="457"/>
        <v>0</v>
      </c>
      <c r="AM470" s="112">
        <f t="shared" ca="1" si="455"/>
        <v>100000</v>
      </c>
      <c r="AN470" s="112">
        <f t="shared" ca="1" si="454"/>
        <v>100000</v>
      </c>
      <c r="AO470" s="114">
        <f t="shared" ca="1" si="459"/>
        <v>0</v>
      </c>
      <c r="AP470" s="114">
        <f t="shared" ca="1" si="460"/>
        <v>24</v>
      </c>
      <c r="AR470" s="238">
        <f t="shared" ref="AR470:AR533" si="462">AR469+1</f>
        <v>470</v>
      </c>
      <c r="CJ470" s="112"/>
      <c r="CK470" s="112"/>
      <c r="CN470" s="112"/>
      <c r="CO470" s="112"/>
      <c r="CP470" s="112"/>
      <c r="CQ470" s="112"/>
      <c r="CR470" s="112"/>
      <c r="CS470" s="112"/>
      <c r="CT470" s="112"/>
      <c r="CU470" s="112"/>
      <c r="CV470" s="112"/>
      <c r="CW470" s="112"/>
      <c r="CX470" s="112"/>
      <c r="CY470" s="112"/>
      <c r="CZ470" s="112"/>
      <c r="DA470" s="112"/>
      <c r="DB470" s="112"/>
      <c r="DC470" s="112"/>
      <c r="DD470" s="112"/>
      <c r="DE470" s="112"/>
      <c r="DF470" s="112"/>
      <c r="DG470" s="112"/>
      <c r="DH470" s="112"/>
      <c r="DI470" s="112"/>
      <c r="DJ470" s="112"/>
      <c r="DK470" s="112"/>
      <c r="DL470" s="112"/>
      <c r="DM470" s="112"/>
      <c r="DN470" s="112"/>
      <c r="DO470" t="e">
        <f t="shared" si="461"/>
        <v>#N/A</v>
      </c>
    </row>
    <row r="471" spans="33:119" x14ac:dyDescent="0.25">
      <c r="AG471" s="238">
        <f>AG470</f>
        <v>110</v>
      </c>
      <c r="AH471" s="112" t="e">
        <f ca="1">AI470+1</f>
        <v>#N/A</v>
      </c>
      <c r="AI471" s="112" t="e">
        <f ca="1">IF(INDIRECT(CONCATENATE("AC",AG470))&lt;100000,INDIRECT(CONCATENATE("AC",AG470))-1,IF(INDIRECT(CONCATENATE("AD",AG470))&lt;100000,INDIRECT(CONCATENATE("AD",AG470))-1,IF(INDIRECT(CONCATENATE("AE",AG470))&lt;100000,INDIRECT(CONCATENATE("AE",G470)),INDIRECT(CONCATENATE("AF",AG470)))))</f>
        <v>#N/A</v>
      </c>
      <c r="AJ471" s="112" t="e">
        <f t="shared" ca="1" si="456"/>
        <v>#N/A</v>
      </c>
      <c r="AK471" s="112">
        <f t="shared" ca="1" si="458"/>
        <v>100000</v>
      </c>
      <c r="AL471" s="238" t="e">
        <f t="shared" ca="1" si="457"/>
        <v>#N/A</v>
      </c>
      <c r="AM471" s="112">
        <f t="shared" ca="1" si="455"/>
        <v>100000</v>
      </c>
      <c r="AN471" s="112">
        <f t="shared" ref="AN471:AN534" ca="1" si="463">IF(AM471=100000,100000,AK471)</f>
        <v>100000</v>
      </c>
      <c r="AO471" s="114">
        <f t="shared" ca="1" si="459"/>
        <v>0</v>
      </c>
      <c r="AP471" s="114">
        <f t="shared" ca="1" si="460"/>
        <v>24</v>
      </c>
      <c r="AR471" s="238">
        <f t="shared" si="462"/>
        <v>471</v>
      </c>
      <c r="CJ471" s="112"/>
      <c r="CK471" s="112"/>
      <c r="CN471" s="112"/>
      <c r="CO471" s="112"/>
      <c r="CP471" s="112"/>
      <c r="CQ471" s="112"/>
      <c r="CR471" s="112"/>
      <c r="CS471" s="112"/>
      <c r="CT471" s="112"/>
      <c r="CU471" s="112"/>
      <c r="CV471" s="112"/>
      <c r="CW471" s="112"/>
      <c r="CX471" s="112"/>
      <c r="CY471" s="112"/>
      <c r="CZ471" s="112"/>
      <c r="DA471" s="112"/>
      <c r="DB471" s="112"/>
      <c r="DC471" s="112"/>
      <c r="DD471" s="112"/>
      <c r="DE471" s="112"/>
      <c r="DF471" s="112"/>
      <c r="DG471" s="112"/>
      <c r="DH471" s="112"/>
      <c r="DI471" s="112"/>
      <c r="DJ471" s="112"/>
      <c r="DK471" s="112"/>
      <c r="DL471" s="112"/>
      <c r="DM471" s="112"/>
      <c r="DN471" s="112"/>
      <c r="DO471" t="e">
        <f t="shared" si="461"/>
        <v>#N/A</v>
      </c>
    </row>
    <row r="472" spans="33:119" x14ac:dyDescent="0.25">
      <c r="AG472" s="238">
        <f>AG471</f>
        <v>110</v>
      </c>
      <c r="AH472" s="112" t="e">
        <f ca="1">AI471+1</f>
        <v>#N/A</v>
      </c>
      <c r="AI472" s="112" t="e">
        <f ca="1">IF(INDIRECT(CONCATENATE("AD",AG470))&lt;100000,INDIRECT(CONCATENATE("AD",AG470))-1,IF(INDIRECT(CONCATENATE("AE",AG470))&lt;100000,INDIRECT(CONCATENATE("AE",G470)),INDIRECT(CONCATENATE("AF",AG470))))</f>
        <v>#N/A</v>
      </c>
      <c r="AJ472" s="112" t="e">
        <f t="shared" ca="1" si="456"/>
        <v>#N/A</v>
      </c>
      <c r="AK472" s="112">
        <f t="shared" ca="1" si="458"/>
        <v>100000</v>
      </c>
      <c r="AL472" s="238" t="e">
        <f t="shared" ca="1" si="457"/>
        <v>#N/A</v>
      </c>
      <c r="AM472" s="112">
        <f t="shared" ca="1" si="455"/>
        <v>100000</v>
      </c>
      <c r="AN472" s="112">
        <f t="shared" ca="1" si="463"/>
        <v>100000</v>
      </c>
      <c r="AO472" s="114">
        <f t="shared" ca="1" si="459"/>
        <v>0</v>
      </c>
      <c r="AP472" s="114">
        <f t="shared" ca="1" si="460"/>
        <v>24</v>
      </c>
      <c r="AR472" s="238">
        <f t="shared" si="462"/>
        <v>472</v>
      </c>
      <c r="CJ472" s="112"/>
      <c r="CK472" s="112"/>
      <c r="CN472" s="112"/>
      <c r="CO472" s="112"/>
      <c r="CP472" s="112"/>
      <c r="CQ472" s="112"/>
      <c r="CR472" s="112"/>
      <c r="CS472" s="112"/>
      <c r="CT472" s="112"/>
      <c r="CU472" s="112"/>
      <c r="CV472" s="112"/>
      <c r="CW472" s="112"/>
      <c r="CX472" s="112"/>
      <c r="CY472" s="112"/>
      <c r="CZ472" s="112"/>
      <c r="DA472" s="112"/>
      <c r="DB472" s="112"/>
      <c r="DC472" s="112"/>
      <c r="DD472" s="112"/>
      <c r="DE472" s="112"/>
      <c r="DF472" s="112"/>
      <c r="DG472" s="112"/>
      <c r="DH472" s="112"/>
      <c r="DI472" s="112"/>
      <c r="DJ472" s="112"/>
      <c r="DK472" s="112"/>
      <c r="DL472" s="112"/>
      <c r="DM472" s="112"/>
      <c r="DN472" s="112"/>
      <c r="DO472" t="e">
        <f t="shared" si="461"/>
        <v>#N/A</v>
      </c>
    </row>
    <row r="473" spans="33:119" x14ac:dyDescent="0.25">
      <c r="AG473" s="238">
        <f>AG472</f>
        <v>110</v>
      </c>
      <c r="AH473" s="112" t="e">
        <f ca="1">AI472+1</f>
        <v>#N/A</v>
      </c>
      <c r="AI473" s="112" t="e">
        <f ca="1">IF(INDIRECT(CONCATENATE("AE",AG470))&lt;100000,INDIRECT(CONCATENATE("AE",G470)),INDIRECT(CONCATENATE("AF",AG470)))</f>
        <v>#N/A</v>
      </c>
      <c r="AJ473" s="112" t="e">
        <f t="shared" ca="1" si="456"/>
        <v>#N/A</v>
      </c>
      <c r="AK473" s="112">
        <f t="shared" ca="1" si="458"/>
        <v>100000</v>
      </c>
      <c r="AL473" s="238" t="e">
        <f t="shared" ca="1" si="457"/>
        <v>#N/A</v>
      </c>
      <c r="AM473" s="112">
        <f t="shared" ca="1" si="455"/>
        <v>100000</v>
      </c>
      <c r="AN473" s="112">
        <f t="shared" ca="1" si="463"/>
        <v>100000</v>
      </c>
      <c r="AO473" s="114">
        <f t="shared" ca="1" si="459"/>
        <v>0</v>
      </c>
      <c r="AP473" s="114">
        <f t="shared" ca="1" si="460"/>
        <v>24</v>
      </c>
      <c r="AR473" s="238">
        <f t="shared" si="462"/>
        <v>473</v>
      </c>
      <c r="CJ473" s="112"/>
      <c r="CK473" s="112"/>
      <c r="CN473" s="112"/>
      <c r="CO473" s="112"/>
      <c r="CP473" s="112"/>
      <c r="CQ473" s="112"/>
      <c r="CR473" s="112"/>
      <c r="CS473" s="112"/>
      <c r="CT473" s="112"/>
      <c r="CU473" s="112"/>
      <c r="CV473" s="112"/>
      <c r="CW473" s="112"/>
      <c r="CX473" s="112"/>
      <c r="CY473" s="112"/>
      <c r="CZ473" s="112"/>
      <c r="DA473" s="112"/>
      <c r="DB473" s="112"/>
      <c r="DC473" s="112"/>
      <c r="DD473" s="112"/>
      <c r="DE473" s="112"/>
      <c r="DF473" s="112"/>
      <c r="DG473" s="112"/>
      <c r="DH473" s="112"/>
      <c r="DI473" s="112"/>
      <c r="DJ473" s="112"/>
      <c r="DK473" s="112"/>
      <c r="DL473" s="112"/>
      <c r="DM473" s="112"/>
      <c r="DN473" s="112"/>
      <c r="DO473" t="e">
        <f t="shared" si="461"/>
        <v>#N/A</v>
      </c>
    </row>
    <row r="474" spans="33:119" x14ac:dyDescent="0.25">
      <c r="AG474" s="238">
        <f>AG473</f>
        <v>110</v>
      </c>
      <c r="AH474" s="112" t="e">
        <f ca="1">AI473+1</f>
        <v>#N/A</v>
      </c>
      <c r="AI474" s="112" t="str">
        <f ca="1">INDIRECT(CONCATENATE("AF",AG470))</f>
        <v/>
      </c>
      <c r="AJ474" s="112" t="str">
        <f t="shared" ca="1" si="456"/>
        <v/>
      </c>
      <c r="AK474" s="112">
        <f t="shared" ca="1" si="458"/>
        <v>100000</v>
      </c>
      <c r="AL474" s="238" t="e">
        <f t="shared" ca="1" si="457"/>
        <v>#N/A</v>
      </c>
      <c r="AM474" s="112">
        <f t="shared" ca="1" si="455"/>
        <v>100000</v>
      </c>
      <c r="AN474" s="112">
        <f t="shared" ca="1" si="463"/>
        <v>100000</v>
      </c>
      <c r="AO474" s="114">
        <f t="shared" ca="1" si="459"/>
        <v>0</v>
      </c>
      <c r="AP474" s="114">
        <f t="shared" ca="1" si="460"/>
        <v>24</v>
      </c>
      <c r="AR474" s="238">
        <f t="shared" si="462"/>
        <v>474</v>
      </c>
      <c r="CJ474" s="112"/>
      <c r="CK474" s="112"/>
      <c r="CN474" s="112"/>
      <c r="CO474" s="112"/>
      <c r="CP474" s="112"/>
      <c r="CQ474" s="112"/>
      <c r="CR474" s="112"/>
      <c r="CS474" s="112"/>
      <c r="CT474" s="112"/>
      <c r="CU474" s="112"/>
      <c r="CV474" s="112"/>
      <c r="CW474" s="112"/>
      <c r="CX474" s="112"/>
      <c r="CY474" s="112"/>
      <c r="CZ474" s="112"/>
      <c r="DA474" s="112"/>
      <c r="DB474" s="112"/>
      <c r="DC474" s="112"/>
      <c r="DD474" s="112"/>
      <c r="DE474" s="112"/>
      <c r="DF474" s="112"/>
      <c r="DG474" s="112"/>
      <c r="DH474" s="112"/>
      <c r="DI474" s="112"/>
      <c r="DJ474" s="112"/>
      <c r="DK474" s="112"/>
      <c r="DL474" s="112"/>
      <c r="DM474" s="112"/>
      <c r="DN474" s="112"/>
      <c r="DO474" t="e">
        <f t="shared" si="461"/>
        <v>#N/A</v>
      </c>
    </row>
    <row r="475" spans="33:119" x14ac:dyDescent="0.25">
      <c r="AG475" s="238">
        <f>AG474+1</f>
        <v>111</v>
      </c>
      <c r="AH475" s="112" t="str">
        <f ca="1">INDIRECT(CONCATENATE("AA",AG475))</f>
        <v/>
      </c>
      <c r="AI475" s="112" t="e">
        <f ca="1">IF(            INDIRECT(CONCATENATE( "AB",AG475))&lt;100000,       INDIRECT(CONCATENATE("AB",AG475))  -1,IF(   INDIRECT(CONCATENATE("AC",AG475))&lt;100000,   INDIRECT(CONCATENATE("AC",AG475))-1,IF(   INDIRECT(CONCATENATE("AD", AG475))&lt;100000, INDIRECT(CONCATENATE("AD",AG475))-1,IF(   INDIRECT(CONCATENATE("AE",AG475))&lt;100000,  INDIRECT(CONCATENATE("AE",G475)),INDIRECT(CONCATENATE("AF",AG475))                ))))</f>
        <v>#N/A</v>
      </c>
      <c r="AJ475" s="112" t="str">
        <f t="shared" ca="1" si="456"/>
        <v/>
      </c>
      <c r="AK475" s="112" t="str">
        <f t="shared" ca="1" si="458"/>
        <v/>
      </c>
      <c r="AL475" s="238">
        <f t="shared" ca="1" si="457"/>
        <v>0</v>
      </c>
      <c r="AM475" s="112">
        <f t="shared" ca="1" si="455"/>
        <v>100000</v>
      </c>
      <c r="AN475" s="112">
        <f t="shared" ca="1" si="463"/>
        <v>100000</v>
      </c>
      <c r="AO475" s="114">
        <f t="shared" ca="1" si="459"/>
        <v>0</v>
      </c>
      <c r="AP475" s="114">
        <f t="shared" ca="1" si="460"/>
        <v>24</v>
      </c>
      <c r="AR475" s="238">
        <f t="shared" si="462"/>
        <v>475</v>
      </c>
      <c r="CJ475" s="112"/>
      <c r="CK475" s="112"/>
      <c r="CN475" s="112"/>
      <c r="CO475" s="112"/>
      <c r="CP475" s="112"/>
      <c r="CQ475" s="112"/>
      <c r="CR475" s="112"/>
      <c r="CS475" s="112"/>
      <c r="CT475" s="112"/>
      <c r="CU475" s="112"/>
      <c r="CV475" s="112"/>
      <c r="CW475" s="112"/>
      <c r="CX475" s="112"/>
      <c r="CY475" s="112"/>
      <c r="CZ475" s="112"/>
      <c r="DA475" s="112"/>
      <c r="DB475" s="112"/>
      <c r="DC475" s="112"/>
      <c r="DD475" s="112"/>
      <c r="DE475" s="112"/>
      <c r="DF475" s="112"/>
      <c r="DG475" s="112"/>
      <c r="DH475" s="112"/>
      <c r="DI475" s="112"/>
      <c r="DJ475" s="112"/>
      <c r="DK475" s="112"/>
      <c r="DL475" s="112"/>
      <c r="DM475" s="112"/>
      <c r="DN475" s="112"/>
      <c r="DO475" t="e">
        <f t="shared" si="461"/>
        <v>#N/A</v>
      </c>
    </row>
    <row r="476" spans="33:119" x14ac:dyDescent="0.25">
      <c r="AG476" s="238">
        <f>AG475</f>
        <v>111</v>
      </c>
      <c r="AH476" s="112" t="e">
        <f ca="1">AI475+1</f>
        <v>#N/A</v>
      </c>
      <c r="AI476" s="112" t="e">
        <f ca="1">IF(INDIRECT(CONCATENATE("AC",AG475))&lt;100000,INDIRECT(CONCATENATE("AC",AG475))-1,IF(INDIRECT(CONCATENATE("AD",AG475))&lt;100000,INDIRECT(CONCATENATE("AD",AG475))-1,IF(INDIRECT(CONCATENATE("AE",AG475))&lt;100000,INDIRECT(CONCATENATE("AE",G475)),INDIRECT(CONCATENATE("AF",AG475)))))</f>
        <v>#N/A</v>
      </c>
      <c r="AJ476" s="112" t="e">
        <f t="shared" ca="1" si="456"/>
        <v>#N/A</v>
      </c>
      <c r="AK476" s="112">
        <f t="shared" ca="1" si="458"/>
        <v>100000</v>
      </c>
      <c r="AL476" s="238" t="e">
        <f t="shared" ca="1" si="457"/>
        <v>#N/A</v>
      </c>
      <c r="AM476" s="112">
        <f t="shared" ca="1" si="455"/>
        <v>100000</v>
      </c>
      <c r="AN476" s="112">
        <f t="shared" ca="1" si="463"/>
        <v>100000</v>
      </c>
      <c r="AO476" s="114">
        <f t="shared" ca="1" si="459"/>
        <v>0</v>
      </c>
      <c r="AP476" s="114">
        <f t="shared" ca="1" si="460"/>
        <v>24</v>
      </c>
      <c r="AR476" s="238">
        <f t="shared" si="462"/>
        <v>476</v>
      </c>
      <c r="CJ476" s="112"/>
      <c r="CK476" s="112"/>
      <c r="CN476" s="112"/>
      <c r="CO476" s="112"/>
      <c r="CP476" s="112"/>
      <c r="CQ476" s="112"/>
      <c r="CR476" s="112"/>
      <c r="CS476" s="112"/>
      <c r="CT476" s="112"/>
      <c r="CU476" s="112"/>
      <c r="CV476" s="112"/>
      <c r="CW476" s="112"/>
      <c r="CX476" s="112"/>
      <c r="CY476" s="112"/>
      <c r="CZ476" s="112"/>
      <c r="DA476" s="112"/>
      <c r="DB476" s="112"/>
      <c r="DC476" s="112"/>
      <c r="DD476" s="112"/>
      <c r="DE476" s="112"/>
      <c r="DF476" s="112"/>
      <c r="DG476" s="112"/>
      <c r="DH476" s="112"/>
      <c r="DI476" s="112"/>
      <c r="DJ476" s="112"/>
      <c r="DK476" s="112"/>
      <c r="DL476" s="112"/>
      <c r="DM476" s="112"/>
      <c r="DN476" s="112"/>
      <c r="DO476" t="e">
        <f t="shared" si="461"/>
        <v>#N/A</v>
      </c>
    </row>
    <row r="477" spans="33:119" x14ac:dyDescent="0.25">
      <c r="AG477" s="238">
        <f>AG476</f>
        <v>111</v>
      </c>
      <c r="AH477" s="112" t="e">
        <f ca="1">AI476+1</f>
        <v>#N/A</v>
      </c>
      <c r="AI477" s="112" t="e">
        <f ca="1">IF(INDIRECT(CONCATENATE("AD",AG475))&lt;100000,INDIRECT(CONCATENATE("AD",AG475))-1,IF(INDIRECT(CONCATENATE("AE",AG475))&lt;100000,INDIRECT(CONCATENATE("AE",G475)),INDIRECT(CONCATENATE("AF",AG475))))</f>
        <v>#N/A</v>
      </c>
      <c r="AJ477" s="112" t="e">
        <f t="shared" ca="1" si="456"/>
        <v>#N/A</v>
      </c>
      <c r="AK477" s="112">
        <f t="shared" ca="1" si="458"/>
        <v>100000</v>
      </c>
      <c r="AL477" s="238" t="e">
        <f t="shared" ca="1" si="457"/>
        <v>#N/A</v>
      </c>
      <c r="AM477" s="112">
        <f t="shared" ca="1" si="455"/>
        <v>100000</v>
      </c>
      <c r="AN477" s="112">
        <f t="shared" ca="1" si="463"/>
        <v>100000</v>
      </c>
      <c r="AO477" s="114">
        <f t="shared" ca="1" si="459"/>
        <v>0</v>
      </c>
      <c r="AP477" s="114">
        <f t="shared" ca="1" si="460"/>
        <v>24</v>
      </c>
      <c r="AR477" s="238">
        <f t="shared" si="462"/>
        <v>477</v>
      </c>
      <c r="CJ477" s="112"/>
      <c r="CK477" s="112"/>
      <c r="CN477" s="112"/>
      <c r="CO477" s="112"/>
      <c r="CP477" s="112"/>
      <c r="CQ477" s="112"/>
      <c r="CR477" s="112"/>
      <c r="CS477" s="112"/>
      <c r="CT477" s="112"/>
      <c r="CU477" s="112"/>
      <c r="CV477" s="112"/>
      <c r="CW477" s="112"/>
      <c r="CX477" s="112"/>
      <c r="CY477" s="112"/>
      <c r="CZ477" s="112"/>
      <c r="DA477" s="112"/>
      <c r="DB477" s="112"/>
      <c r="DC477" s="112"/>
      <c r="DD477" s="112"/>
      <c r="DE477" s="112"/>
      <c r="DF477" s="112"/>
      <c r="DG477" s="112"/>
      <c r="DH477" s="112"/>
      <c r="DI477" s="112"/>
      <c r="DJ477" s="112"/>
      <c r="DK477" s="112"/>
      <c r="DL477" s="112"/>
      <c r="DM477" s="112"/>
      <c r="DN477" s="112"/>
      <c r="DO477" t="e">
        <f t="shared" si="461"/>
        <v>#N/A</v>
      </c>
    </row>
    <row r="478" spans="33:119" x14ac:dyDescent="0.25">
      <c r="AG478" s="238">
        <f>AG477</f>
        <v>111</v>
      </c>
      <c r="AH478" s="112" t="e">
        <f ca="1">AI477+1</f>
        <v>#N/A</v>
      </c>
      <c r="AI478" s="112" t="e">
        <f ca="1">IF(INDIRECT(CONCATENATE("AE",AG475))&lt;100000,INDIRECT(CONCATENATE("AE",G475)),INDIRECT(CONCATENATE("AF",AG475)))</f>
        <v>#N/A</v>
      </c>
      <c r="AJ478" s="112" t="e">
        <f t="shared" ca="1" si="456"/>
        <v>#N/A</v>
      </c>
      <c r="AK478" s="112">
        <f t="shared" ca="1" si="458"/>
        <v>100000</v>
      </c>
      <c r="AL478" s="238" t="e">
        <f t="shared" ca="1" si="457"/>
        <v>#N/A</v>
      </c>
      <c r="AM478" s="112">
        <f t="shared" ca="1" si="455"/>
        <v>100000</v>
      </c>
      <c r="AN478" s="112">
        <f t="shared" ca="1" si="463"/>
        <v>100000</v>
      </c>
      <c r="AO478" s="114">
        <f t="shared" ca="1" si="459"/>
        <v>0</v>
      </c>
      <c r="AP478" s="114">
        <f t="shared" ca="1" si="460"/>
        <v>24</v>
      </c>
      <c r="AR478" s="238">
        <f t="shared" si="462"/>
        <v>478</v>
      </c>
      <c r="CJ478" s="112"/>
      <c r="CK478" s="112"/>
      <c r="CN478" s="112"/>
      <c r="CO478" s="112"/>
      <c r="CP478" s="112"/>
      <c r="CQ478" s="112"/>
      <c r="CR478" s="112"/>
      <c r="CS478" s="112"/>
      <c r="CT478" s="112"/>
      <c r="CU478" s="112"/>
      <c r="CV478" s="112"/>
      <c r="CW478" s="112"/>
      <c r="CX478" s="112"/>
      <c r="CY478" s="112"/>
      <c r="CZ478" s="112"/>
      <c r="DA478" s="112"/>
      <c r="DB478" s="112"/>
      <c r="DC478" s="112"/>
      <c r="DD478" s="112"/>
      <c r="DE478" s="112"/>
      <c r="DF478" s="112"/>
      <c r="DG478" s="112"/>
      <c r="DH478" s="112"/>
      <c r="DI478" s="112"/>
      <c r="DJ478" s="112"/>
      <c r="DK478" s="112"/>
      <c r="DL478" s="112"/>
      <c r="DM478" s="112"/>
      <c r="DN478" s="112"/>
      <c r="DO478" t="e">
        <f t="shared" si="461"/>
        <v>#N/A</v>
      </c>
    </row>
    <row r="479" spans="33:119" x14ac:dyDescent="0.25">
      <c r="AG479" s="238">
        <f>AG478</f>
        <v>111</v>
      </c>
      <c r="AH479" s="112" t="e">
        <f ca="1">AI478+1</f>
        <v>#N/A</v>
      </c>
      <c r="AI479" s="112" t="str">
        <f ca="1">INDIRECT(CONCATENATE("AF",AG475))</f>
        <v/>
      </c>
      <c r="AJ479" s="112" t="str">
        <f t="shared" ca="1" si="456"/>
        <v/>
      </c>
      <c r="AK479" s="112">
        <f t="shared" ca="1" si="458"/>
        <v>100000</v>
      </c>
      <c r="AL479" s="238" t="e">
        <f t="shared" ca="1" si="457"/>
        <v>#N/A</v>
      </c>
      <c r="AM479" s="112">
        <f t="shared" ca="1" si="455"/>
        <v>100000</v>
      </c>
      <c r="AN479" s="112">
        <f t="shared" ca="1" si="463"/>
        <v>100000</v>
      </c>
      <c r="AO479" s="114">
        <f t="shared" ca="1" si="459"/>
        <v>0</v>
      </c>
      <c r="AP479" s="114">
        <f t="shared" ca="1" si="460"/>
        <v>24</v>
      </c>
      <c r="AR479" s="238">
        <f t="shared" si="462"/>
        <v>479</v>
      </c>
      <c r="CJ479" s="112"/>
      <c r="CK479" s="112"/>
      <c r="CN479" s="112"/>
      <c r="CO479" s="112"/>
      <c r="CP479" s="112"/>
      <c r="CQ479" s="112"/>
      <c r="CR479" s="112"/>
      <c r="CS479" s="112"/>
      <c r="CT479" s="112"/>
      <c r="CU479" s="112"/>
      <c r="CV479" s="112"/>
      <c r="CW479" s="112"/>
      <c r="CX479" s="112"/>
      <c r="CY479" s="112"/>
      <c r="CZ479" s="112"/>
      <c r="DA479" s="112"/>
      <c r="DB479" s="112"/>
      <c r="DC479" s="112"/>
      <c r="DD479" s="112"/>
      <c r="DE479" s="112"/>
      <c r="DF479" s="112"/>
      <c r="DG479" s="112"/>
      <c r="DH479" s="112"/>
      <c r="DI479" s="112"/>
      <c r="DJ479" s="112"/>
      <c r="DK479" s="112"/>
      <c r="DL479" s="112"/>
      <c r="DM479" s="112"/>
      <c r="DN479" s="112"/>
      <c r="DO479" t="e">
        <f t="shared" si="461"/>
        <v>#N/A</v>
      </c>
    </row>
    <row r="480" spans="33:119" x14ac:dyDescent="0.25">
      <c r="AG480" s="238">
        <f>AG479+1</f>
        <v>112</v>
      </c>
      <c r="AH480" s="112" t="str">
        <f ca="1">INDIRECT(CONCATENATE("AA",AG480))</f>
        <v/>
      </c>
      <c r="AI480" s="112" t="e">
        <f ca="1">IF(            INDIRECT(CONCATENATE( "AB",AG480))&lt;100000,       INDIRECT(CONCATENATE("AB",AG480))  -1,IF(   INDIRECT(CONCATENATE("AC",AG480))&lt;100000,   INDIRECT(CONCATENATE("AC",AG480))-1,IF(   INDIRECT(CONCATENATE("AD", AG480))&lt;100000, INDIRECT(CONCATENATE("AD",AG480))-1,IF(   INDIRECT(CONCATENATE("AE",AG480))&lt;100000,  INDIRECT(CONCATENATE("AE",G480)),INDIRECT(CONCATENATE("AF",AG480))                ))))</f>
        <v>#N/A</v>
      </c>
      <c r="AJ480" s="112" t="str">
        <f t="shared" ca="1" si="456"/>
        <v/>
      </c>
      <c r="AK480" s="112" t="str">
        <f t="shared" ca="1" si="458"/>
        <v/>
      </c>
      <c r="AL480" s="238">
        <f t="shared" ca="1" si="457"/>
        <v>0</v>
      </c>
      <c r="AM480" s="112">
        <f t="shared" ca="1" si="455"/>
        <v>100000</v>
      </c>
      <c r="AN480" s="112">
        <f t="shared" ca="1" si="463"/>
        <v>100000</v>
      </c>
      <c r="AO480" s="114">
        <f t="shared" ca="1" si="459"/>
        <v>0</v>
      </c>
      <c r="AP480" s="114">
        <f t="shared" ca="1" si="460"/>
        <v>24</v>
      </c>
      <c r="AR480" s="238">
        <f t="shared" si="462"/>
        <v>480</v>
      </c>
      <c r="CJ480" s="112"/>
      <c r="CK480" s="112"/>
      <c r="CN480" s="112"/>
      <c r="CO480" s="112"/>
      <c r="CP480" s="112"/>
      <c r="CQ480" s="112"/>
      <c r="CR480" s="112"/>
      <c r="CS480" s="112"/>
      <c r="CT480" s="112"/>
      <c r="CU480" s="112"/>
      <c r="CV480" s="112"/>
      <c r="CW480" s="112"/>
      <c r="CX480" s="112"/>
      <c r="CY480" s="112"/>
      <c r="CZ480" s="112"/>
      <c r="DA480" s="112"/>
      <c r="DB480" s="112"/>
      <c r="DC480" s="112"/>
      <c r="DD480" s="112"/>
      <c r="DE480" s="112"/>
      <c r="DF480" s="112"/>
      <c r="DG480" s="112"/>
      <c r="DH480" s="112"/>
      <c r="DI480" s="112"/>
      <c r="DJ480" s="112"/>
      <c r="DK480" s="112"/>
      <c r="DL480" s="112"/>
      <c r="DM480" s="112"/>
      <c r="DN480" s="112"/>
      <c r="DO480" t="e">
        <f t="shared" si="461"/>
        <v>#N/A</v>
      </c>
    </row>
    <row r="481" spans="33:119" x14ac:dyDescent="0.25">
      <c r="AG481" s="238">
        <f>AG480</f>
        <v>112</v>
      </c>
      <c r="AH481" s="112" t="e">
        <f ca="1">AI480+1</f>
        <v>#N/A</v>
      </c>
      <c r="AI481" s="112" t="e">
        <f ca="1">IF(INDIRECT(CONCATENATE("AC",AG480))&lt;100000,INDIRECT(CONCATENATE("AC",AG480))-1,IF(INDIRECT(CONCATENATE("AD",AG480))&lt;100000,INDIRECT(CONCATENATE("AD",AG480))-1,IF(INDIRECT(CONCATENATE("AE",AG480))&lt;100000,INDIRECT(CONCATENATE("AE",G480)),INDIRECT(CONCATENATE("AF",AG480)))))</f>
        <v>#N/A</v>
      </c>
      <c r="AJ481" s="112" t="e">
        <f t="shared" ca="1" si="456"/>
        <v>#N/A</v>
      </c>
      <c r="AK481" s="112">
        <f t="shared" ca="1" si="458"/>
        <v>100000</v>
      </c>
      <c r="AL481" s="238" t="e">
        <f t="shared" ca="1" si="457"/>
        <v>#N/A</v>
      </c>
      <c r="AM481" s="112">
        <f t="shared" ca="1" si="455"/>
        <v>100000</v>
      </c>
      <c r="AN481" s="112">
        <f t="shared" ca="1" si="463"/>
        <v>100000</v>
      </c>
      <c r="AO481" s="114">
        <f t="shared" ca="1" si="459"/>
        <v>0</v>
      </c>
      <c r="AP481" s="114">
        <f t="shared" ca="1" si="460"/>
        <v>24</v>
      </c>
      <c r="AR481" s="238">
        <f t="shared" si="462"/>
        <v>481</v>
      </c>
      <c r="CJ481" s="112"/>
      <c r="CK481" s="112"/>
      <c r="CN481" s="112"/>
      <c r="CO481" s="112"/>
      <c r="CP481" s="112"/>
      <c r="CQ481" s="112"/>
      <c r="CR481" s="112"/>
      <c r="CS481" s="112"/>
      <c r="CT481" s="112"/>
      <c r="CU481" s="112"/>
      <c r="CV481" s="112"/>
      <c r="CW481" s="112"/>
      <c r="CX481" s="112"/>
      <c r="CY481" s="112"/>
      <c r="CZ481" s="112"/>
      <c r="DA481" s="112"/>
      <c r="DB481" s="112"/>
      <c r="DC481" s="112"/>
      <c r="DD481" s="112"/>
      <c r="DE481" s="112"/>
      <c r="DF481" s="112"/>
      <c r="DG481" s="112"/>
      <c r="DH481" s="112"/>
      <c r="DI481" s="112"/>
      <c r="DJ481" s="112"/>
      <c r="DK481" s="112"/>
      <c r="DL481" s="112"/>
      <c r="DM481" s="112"/>
      <c r="DN481" s="112"/>
      <c r="DO481" t="e">
        <f t="shared" si="461"/>
        <v>#N/A</v>
      </c>
    </row>
    <row r="482" spans="33:119" x14ac:dyDescent="0.25">
      <c r="AG482" s="238">
        <f>AG481</f>
        <v>112</v>
      </c>
      <c r="AH482" s="112" t="e">
        <f ca="1">AI481+1</f>
        <v>#N/A</v>
      </c>
      <c r="AI482" s="112" t="e">
        <f ca="1">IF(INDIRECT(CONCATENATE("AD",AG480))&lt;100000,INDIRECT(CONCATENATE("AD",AG480))-1,IF(INDIRECT(CONCATENATE("AE",AG480))&lt;100000,INDIRECT(CONCATENATE("AE",G480)),INDIRECT(CONCATENATE("AF",AG480))))</f>
        <v>#N/A</v>
      </c>
      <c r="AJ482" s="112" t="e">
        <f t="shared" ca="1" si="456"/>
        <v>#N/A</v>
      </c>
      <c r="AK482" s="112">
        <f t="shared" ca="1" si="458"/>
        <v>100000</v>
      </c>
      <c r="AL482" s="238" t="e">
        <f t="shared" ca="1" si="457"/>
        <v>#N/A</v>
      </c>
      <c r="AM482" s="112">
        <f t="shared" ca="1" si="455"/>
        <v>100000</v>
      </c>
      <c r="AN482" s="112">
        <f t="shared" ca="1" si="463"/>
        <v>100000</v>
      </c>
      <c r="AO482" s="114">
        <f t="shared" ca="1" si="459"/>
        <v>0</v>
      </c>
      <c r="AP482" s="114">
        <f t="shared" ca="1" si="460"/>
        <v>24</v>
      </c>
      <c r="AR482" s="238">
        <f t="shared" si="462"/>
        <v>482</v>
      </c>
      <c r="CJ482" s="112"/>
      <c r="CK482" s="112"/>
      <c r="CN482" s="112"/>
      <c r="CO482" s="112"/>
      <c r="CP482" s="112"/>
      <c r="CQ482" s="112"/>
      <c r="CR482" s="112"/>
      <c r="CS482" s="112"/>
      <c r="CT482" s="112"/>
      <c r="CU482" s="112"/>
      <c r="CV482" s="112"/>
      <c r="CW482" s="112"/>
      <c r="CX482" s="112"/>
      <c r="CY482" s="112"/>
      <c r="CZ482" s="112"/>
      <c r="DA482" s="112"/>
      <c r="DB482" s="112"/>
      <c r="DC482" s="112"/>
      <c r="DD482" s="112"/>
      <c r="DE482" s="112"/>
      <c r="DF482" s="112"/>
      <c r="DG482" s="112"/>
      <c r="DH482" s="112"/>
      <c r="DI482" s="112"/>
      <c r="DJ482" s="112"/>
      <c r="DK482" s="112"/>
      <c r="DL482" s="112"/>
      <c r="DM482" s="112"/>
      <c r="DN482" s="112"/>
      <c r="DO482" t="e">
        <f t="shared" si="461"/>
        <v>#N/A</v>
      </c>
    </row>
    <row r="483" spans="33:119" x14ac:dyDescent="0.25">
      <c r="AG483" s="238">
        <f>AG482</f>
        <v>112</v>
      </c>
      <c r="AH483" s="112" t="e">
        <f ca="1">AI482+1</f>
        <v>#N/A</v>
      </c>
      <c r="AI483" s="112" t="e">
        <f ca="1">IF(INDIRECT(CONCATENATE("AE",AG480))&lt;100000,INDIRECT(CONCATENATE("AE",G480)),INDIRECT(CONCATENATE("AF",AG480)))</f>
        <v>#N/A</v>
      </c>
      <c r="AJ483" s="112" t="e">
        <f t="shared" ca="1" si="456"/>
        <v>#N/A</v>
      </c>
      <c r="AK483" s="112">
        <f t="shared" ca="1" si="458"/>
        <v>100000</v>
      </c>
      <c r="AL483" s="238" t="e">
        <f t="shared" ca="1" si="457"/>
        <v>#N/A</v>
      </c>
      <c r="AM483" s="112">
        <f t="shared" ca="1" si="455"/>
        <v>100000</v>
      </c>
      <c r="AN483" s="112">
        <f t="shared" ca="1" si="463"/>
        <v>100000</v>
      </c>
      <c r="AO483" s="114">
        <f t="shared" ca="1" si="459"/>
        <v>0</v>
      </c>
      <c r="AP483" s="114">
        <f t="shared" ca="1" si="460"/>
        <v>24</v>
      </c>
      <c r="AR483" s="238">
        <f t="shared" si="462"/>
        <v>483</v>
      </c>
      <c r="CJ483" s="112"/>
      <c r="CK483" s="112"/>
      <c r="CN483" s="112"/>
      <c r="CO483" s="112"/>
      <c r="CP483" s="112"/>
      <c r="CQ483" s="112"/>
      <c r="CR483" s="112"/>
      <c r="CS483" s="112"/>
      <c r="CT483" s="112"/>
      <c r="CU483" s="112"/>
      <c r="CV483" s="112"/>
      <c r="CW483" s="112"/>
      <c r="CX483" s="112"/>
      <c r="CY483" s="112"/>
      <c r="CZ483" s="112"/>
      <c r="DA483" s="112"/>
      <c r="DB483" s="112"/>
      <c r="DC483" s="112"/>
      <c r="DD483" s="112"/>
      <c r="DE483" s="112"/>
      <c r="DF483" s="112"/>
      <c r="DG483" s="112"/>
      <c r="DH483" s="112"/>
      <c r="DI483" s="112"/>
      <c r="DJ483" s="112"/>
      <c r="DK483" s="112"/>
      <c r="DL483" s="112"/>
      <c r="DM483" s="112"/>
      <c r="DN483" s="112"/>
      <c r="DO483" t="e">
        <f t="shared" si="461"/>
        <v>#N/A</v>
      </c>
    </row>
    <row r="484" spans="33:119" x14ac:dyDescent="0.25">
      <c r="AG484" s="238">
        <f>AG483</f>
        <v>112</v>
      </c>
      <c r="AH484" s="112" t="e">
        <f ca="1">AI483+1</f>
        <v>#N/A</v>
      </c>
      <c r="AI484" s="112" t="str">
        <f ca="1">INDIRECT(CONCATENATE("AF",AG480))</f>
        <v/>
      </c>
      <c r="AJ484" s="112" t="str">
        <f t="shared" ca="1" si="456"/>
        <v/>
      </c>
      <c r="AK484" s="112">
        <f t="shared" ca="1" si="458"/>
        <v>100000</v>
      </c>
      <c r="AL484" s="238" t="e">
        <f t="shared" ca="1" si="457"/>
        <v>#N/A</v>
      </c>
      <c r="AM484" s="112">
        <f t="shared" ca="1" si="455"/>
        <v>100000</v>
      </c>
      <c r="AN484" s="112">
        <f t="shared" ca="1" si="463"/>
        <v>100000</v>
      </c>
      <c r="AO484" s="114">
        <f t="shared" ca="1" si="459"/>
        <v>0</v>
      </c>
      <c r="AP484" s="114">
        <f t="shared" ca="1" si="460"/>
        <v>24</v>
      </c>
      <c r="AR484" s="238">
        <f t="shared" si="462"/>
        <v>484</v>
      </c>
      <c r="CJ484" s="112"/>
      <c r="CK484" s="112"/>
      <c r="CN484" s="112"/>
      <c r="CO484" s="112"/>
      <c r="CP484" s="112"/>
      <c r="CQ484" s="112"/>
      <c r="CR484" s="112"/>
      <c r="CS484" s="112"/>
      <c r="CT484" s="112"/>
      <c r="CU484" s="112"/>
      <c r="CV484" s="112"/>
      <c r="CW484" s="112"/>
      <c r="CX484" s="112"/>
      <c r="CY484" s="112"/>
      <c r="CZ484" s="112"/>
      <c r="DA484" s="112"/>
      <c r="DB484" s="112"/>
      <c r="DC484" s="112"/>
      <c r="DD484" s="112"/>
      <c r="DE484" s="112"/>
      <c r="DF484" s="112"/>
      <c r="DG484" s="112"/>
      <c r="DH484" s="112"/>
      <c r="DI484" s="112"/>
      <c r="DJ484" s="112"/>
      <c r="DK484" s="112"/>
      <c r="DL484" s="112"/>
      <c r="DM484" s="112"/>
      <c r="DN484" s="112"/>
      <c r="DO484" t="e">
        <f t="shared" si="461"/>
        <v>#N/A</v>
      </c>
    </row>
    <row r="485" spans="33:119" x14ac:dyDescent="0.25">
      <c r="AG485" s="238">
        <f>AG484+1</f>
        <v>113</v>
      </c>
      <c r="AH485" s="112" t="str">
        <f ca="1">INDIRECT(CONCATENATE("AA",AG485))</f>
        <v/>
      </c>
      <c r="AI485" s="112" t="e">
        <f ca="1">IF(            INDIRECT(CONCATENATE( "AB",AG485))&lt;100000,       INDIRECT(CONCATENATE("AB",AG485))  -1,IF(   INDIRECT(CONCATENATE("AC",AG485))&lt;100000,   INDIRECT(CONCATENATE("AC",AG485))-1,IF(   INDIRECT(CONCATENATE("AD", AG485))&lt;100000, INDIRECT(CONCATENATE("AD",AG485))-1,IF(   INDIRECT(CONCATENATE("AE",AG485))&lt;100000,  INDIRECT(CONCATENATE("AE",G485)),INDIRECT(CONCATENATE("AF",AG485))                ))))</f>
        <v>#N/A</v>
      </c>
      <c r="AJ485" s="112" t="str">
        <f t="shared" ca="1" si="456"/>
        <v/>
      </c>
      <c r="AK485" s="112" t="str">
        <f t="shared" ca="1" si="458"/>
        <v/>
      </c>
      <c r="AL485" s="238">
        <f t="shared" ca="1" si="457"/>
        <v>0</v>
      </c>
      <c r="AM485" s="112">
        <f t="shared" ca="1" si="455"/>
        <v>100000</v>
      </c>
      <c r="AN485" s="112">
        <f t="shared" ca="1" si="463"/>
        <v>100000</v>
      </c>
      <c r="AO485" s="114">
        <f t="shared" ca="1" si="459"/>
        <v>0</v>
      </c>
      <c r="AP485" s="114">
        <f t="shared" ca="1" si="460"/>
        <v>24</v>
      </c>
      <c r="AR485" s="238">
        <f t="shared" si="462"/>
        <v>485</v>
      </c>
      <c r="CJ485" s="112"/>
      <c r="CK485" s="112"/>
      <c r="CN485" s="112"/>
      <c r="CO485" s="112"/>
      <c r="CP485" s="112"/>
      <c r="CQ485" s="112"/>
      <c r="CR485" s="112"/>
      <c r="CS485" s="112"/>
      <c r="CT485" s="112"/>
      <c r="CU485" s="112"/>
      <c r="CV485" s="112"/>
      <c r="CW485" s="112"/>
      <c r="CX485" s="112"/>
      <c r="CY485" s="112"/>
      <c r="CZ485" s="112"/>
      <c r="DA485" s="112"/>
      <c r="DB485" s="112"/>
      <c r="DC485" s="112"/>
      <c r="DD485" s="112"/>
      <c r="DE485" s="112"/>
      <c r="DF485" s="112"/>
      <c r="DG485" s="112"/>
      <c r="DH485" s="112"/>
      <c r="DI485" s="112"/>
      <c r="DJ485" s="112"/>
      <c r="DK485" s="112"/>
      <c r="DL485" s="112"/>
      <c r="DM485" s="112"/>
      <c r="DN485" s="112"/>
      <c r="DO485" t="e">
        <f t="shared" si="461"/>
        <v>#N/A</v>
      </c>
    </row>
    <row r="486" spans="33:119" x14ac:dyDescent="0.25">
      <c r="AG486" s="238">
        <f>AG485</f>
        <v>113</v>
      </c>
      <c r="AH486" s="112" t="e">
        <f ca="1">AI485+1</f>
        <v>#N/A</v>
      </c>
      <c r="AI486" s="112" t="e">
        <f ca="1">IF(INDIRECT(CONCATENATE("AC",AG485))&lt;100000,INDIRECT(CONCATENATE("AC",AG485))-1,IF(INDIRECT(CONCATENATE("AD",AG485))&lt;100000,INDIRECT(CONCATENATE("AD",AG485))-1,IF(INDIRECT(CONCATENATE("AE",AG485))&lt;100000,INDIRECT(CONCATENATE("AE",G485)),INDIRECT(CONCATENATE("AF",AG485)))))</f>
        <v>#N/A</v>
      </c>
      <c r="AJ486" s="112" t="e">
        <f t="shared" ca="1" si="456"/>
        <v>#N/A</v>
      </c>
      <c r="AK486" s="112">
        <f t="shared" ca="1" si="458"/>
        <v>100000</v>
      </c>
      <c r="AL486" s="238" t="e">
        <f t="shared" ca="1" si="457"/>
        <v>#N/A</v>
      </c>
      <c r="AM486" s="112">
        <f t="shared" ca="1" si="455"/>
        <v>100000</v>
      </c>
      <c r="AN486" s="112">
        <f t="shared" ca="1" si="463"/>
        <v>100000</v>
      </c>
      <c r="AO486" s="114">
        <f t="shared" ca="1" si="459"/>
        <v>0</v>
      </c>
      <c r="AP486" s="114">
        <f t="shared" ca="1" si="460"/>
        <v>24</v>
      </c>
      <c r="AR486" s="238">
        <f t="shared" si="462"/>
        <v>486</v>
      </c>
      <c r="CJ486" s="112"/>
      <c r="CK486" s="112"/>
      <c r="CN486" s="112"/>
      <c r="CO486" s="112"/>
      <c r="CP486" s="112"/>
      <c r="CQ486" s="112"/>
      <c r="CR486" s="112"/>
      <c r="CS486" s="112"/>
      <c r="CT486" s="112"/>
      <c r="CU486" s="112"/>
      <c r="CV486" s="112"/>
      <c r="CW486" s="112"/>
      <c r="CX486" s="112"/>
      <c r="CY486" s="112"/>
      <c r="CZ486" s="112"/>
      <c r="DA486" s="112"/>
      <c r="DB486" s="112"/>
      <c r="DC486" s="112"/>
      <c r="DD486" s="112"/>
      <c r="DE486" s="112"/>
      <c r="DF486" s="112"/>
      <c r="DG486" s="112"/>
      <c r="DH486" s="112"/>
      <c r="DI486" s="112"/>
      <c r="DJ486" s="112"/>
      <c r="DK486" s="112"/>
      <c r="DL486" s="112"/>
      <c r="DM486" s="112"/>
      <c r="DN486" s="112"/>
      <c r="DO486" t="e">
        <f t="shared" si="461"/>
        <v>#N/A</v>
      </c>
    </row>
    <row r="487" spans="33:119" x14ac:dyDescent="0.25">
      <c r="AG487" s="238">
        <f>AG486</f>
        <v>113</v>
      </c>
      <c r="AH487" s="112" t="e">
        <f ca="1">AI486+1</f>
        <v>#N/A</v>
      </c>
      <c r="AI487" s="112" t="e">
        <f ca="1">IF(INDIRECT(CONCATENATE("AD",AG485))&lt;100000,INDIRECT(CONCATENATE("AD",AG485))-1,IF(INDIRECT(CONCATENATE("AE",AG485))&lt;100000,INDIRECT(CONCATENATE("AE",G485)),INDIRECT(CONCATENATE("AF",AG485))))</f>
        <v>#N/A</v>
      </c>
      <c r="AJ487" s="112" t="e">
        <f t="shared" ca="1" si="456"/>
        <v>#N/A</v>
      </c>
      <c r="AK487" s="112">
        <f t="shared" ca="1" si="458"/>
        <v>100000</v>
      </c>
      <c r="AL487" s="238" t="e">
        <f t="shared" ca="1" si="457"/>
        <v>#N/A</v>
      </c>
      <c r="AM487" s="112">
        <f t="shared" ca="1" si="455"/>
        <v>100000</v>
      </c>
      <c r="AN487" s="112">
        <f t="shared" ca="1" si="463"/>
        <v>100000</v>
      </c>
      <c r="AO487" s="114">
        <f t="shared" ca="1" si="459"/>
        <v>0</v>
      </c>
      <c r="AP487" s="114">
        <f t="shared" ca="1" si="460"/>
        <v>24</v>
      </c>
      <c r="AR487" s="238">
        <f t="shared" si="462"/>
        <v>487</v>
      </c>
      <c r="CJ487" s="112"/>
      <c r="CK487" s="112"/>
      <c r="CN487" s="112"/>
      <c r="CO487" s="112"/>
      <c r="CP487" s="112"/>
      <c r="CQ487" s="112"/>
      <c r="CR487" s="112"/>
      <c r="CS487" s="112"/>
      <c r="CT487" s="112"/>
      <c r="CU487" s="112"/>
      <c r="CV487" s="112"/>
      <c r="CW487" s="112"/>
      <c r="CX487" s="112"/>
      <c r="CY487" s="112"/>
      <c r="CZ487" s="112"/>
      <c r="DA487" s="112"/>
      <c r="DB487" s="112"/>
      <c r="DC487" s="112"/>
      <c r="DD487" s="112"/>
      <c r="DE487" s="112"/>
      <c r="DF487" s="112"/>
      <c r="DG487" s="112"/>
      <c r="DH487" s="112"/>
      <c r="DI487" s="112"/>
      <c r="DJ487" s="112"/>
      <c r="DK487" s="112"/>
      <c r="DL487" s="112"/>
      <c r="DM487" s="112"/>
      <c r="DN487" s="112"/>
      <c r="DO487" t="e">
        <f t="shared" si="461"/>
        <v>#N/A</v>
      </c>
    </row>
    <row r="488" spans="33:119" x14ac:dyDescent="0.25">
      <c r="AG488" s="238">
        <f>AG487</f>
        <v>113</v>
      </c>
      <c r="AH488" s="112" t="e">
        <f ca="1">AI487+1</f>
        <v>#N/A</v>
      </c>
      <c r="AI488" s="112" t="e">
        <f ca="1">IF(INDIRECT(CONCATENATE("AE",AG485))&lt;100000,INDIRECT(CONCATENATE("AE",G485)),INDIRECT(CONCATENATE("AF",AG485)))</f>
        <v>#N/A</v>
      </c>
      <c r="AJ488" s="112" t="e">
        <f t="shared" ca="1" si="456"/>
        <v>#N/A</v>
      </c>
      <c r="AK488" s="112">
        <f t="shared" ca="1" si="458"/>
        <v>100000</v>
      </c>
      <c r="AL488" s="238" t="e">
        <f t="shared" ca="1" si="457"/>
        <v>#N/A</v>
      </c>
      <c r="AM488" s="112">
        <f t="shared" ca="1" si="455"/>
        <v>100000</v>
      </c>
      <c r="AN488" s="112">
        <f t="shared" ca="1" si="463"/>
        <v>100000</v>
      </c>
      <c r="AO488" s="114">
        <f t="shared" ca="1" si="459"/>
        <v>0</v>
      </c>
      <c r="AP488" s="114">
        <f t="shared" ca="1" si="460"/>
        <v>24</v>
      </c>
      <c r="AR488" s="238">
        <f t="shared" si="462"/>
        <v>488</v>
      </c>
      <c r="CJ488" s="112"/>
      <c r="CK488" s="112"/>
      <c r="CN488" s="112"/>
      <c r="CO488" s="112"/>
      <c r="CP488" s="112"/>
      <c r="CQ488" s="112"/>
      <c r="CR488" s="112"/>
      <c r="CS488" s="112"/>
      <c r="CT488" s="112"/>
      <c r="CU488" s="112"/>
      <c r="CV488" s="112"/>
      <c r="CW488" s="112"/>
      <c r="CX488" s="112"/>
      <c r="CY488" s="112"/>
      <c r="CZ488" s="112"/>
      <c r="DA488" s="112"/>
      <c r="DB488" s="112"/>
      <c r="DC488" s="112"/>
      <c r="DD488" s="112"/>
      <c r="DE488" s="112"/>
      <c r="DF488" s="112"/>
      <c r="DG488" s="112"/>
      <c r="DH488" s="112"/>
      <c r="DI488" s="112"/>
      <c r="DJ488" s="112"/>
      <c r="DK488" s="112"/>
      <c r="DL488" s="112"/>
      <c r="DM488" s="112"/>
      <c r="DN488" s="112"/>
      <c r="DO488" t="e">
        <f t="shared" si="461"/>
        <v>#N/A</v>
      </c>
    </row>
    <row r="489" spans="33:119" x14ac:dyDescent="0.25">
      <c r="AG489" s="238">
        <f>AG488</f>
        <v>113</v>
      </c>
      <c r="AH489" s="112" t="e">
        <f ca="1">AI488+1</f>
        <v>#N/A</v>
      </c>
      <c r="AI489" s="112" t="str">
        <f ca="1">INDIRECT(CONCATENATE("AF",AG485))</f>
        <v/>
      </c>
      <c r="AJ489" s="112" t="str">
        <f t="shared" ca="1" si="456"/>
        <v/>
      </c>
      <c r="AK489" s="112">
        <f t="shared" ca="1" si="458"/>
        <v>100000</v>
      </c>
      <c r="AL489" s="238" t="e">
        <f t="shared" ca="1" si="457"/>
        <v>#N/A</v>
      </c>
      <c r="AM489" s="112">
        <f t="shared" ref="AM489:AM552" ca="1" si="464">IF(TYPE(AL489)=16,100000,IF(AL489=0,100000,AH489))</f>
        <v>100000</v>
      </c>
      <c r="AN489" s="112">
        <f t="shared" ca="1" si="463"/>
        <v>100000</v>
      </c>
      <c r="AO489" s="114">
        <f t="shared" ca="1" si="459"/>
        <v>0</v>
      </c>
      <c r="AP489" s="114">
        <f t="shared" ca="1" si="460"/>
        <v>24</v>
      </c>
      <c r="AR489" s="238">
        <f t="shared" si="462"/>
        <v>489</v>
      </c>
      <c r="CJ489" s="112"/>
      <c r="CK489" s="112"/>
      <c r="CN489" s="112"/>
      <c r="CO489" s="112"/>
      <c r="CP489" s="112"/>
      <c r="CQ489" s="112"/>
      <c r="CR489" s="112"/>
      <c r="CS489" s="112"/>
      <c r="CT489" s="112"/>
      <c r="CU489" s="112"/>
      <c r="CV489" s="112"/>
      <c r="CW489" s="112"/>
      <c r="CX489" s="112"/>
      <c r="CY489" s="112"/>
      <c r="CZ489" s="112"/>
      <c r="DA489" s="112"/>
      <c r="DB489" s="112"/>
      <c r="DC489" s="112"/>
      <c r="DD489" s="112"/>
      <c r="DE489" s="112"/>
      <c r="DF489" s="112"/>
      <c r="DG489" s="112"/>
      <c r="DH489" s="112"/>
      <c r="DI489" s="112"/>
      <c r="DJ489" s="112"/>
      <c r="DK489" s="112"/>
      <c r="DL489" s="112"/>
      <c r="DM489" s="112"/>
      <c r="DN489" s="112"/>
      <c r="DO489" t="e">
        <f t="shared" si="461"/>
        <v>#N/A</v>
      </c>
    </row>
    <row r="490" spans="33:119" x14ac:dyDescent="0.25">
      <c r="AG490" s="238">
        <f>AG489+1</f>
        <v>114</v>
      </c>
      <c r="AH490" s="112" t="str">
        <f ca="1">INDIRECT(CONCATENATE("AA",AG490))</f>
        <v/>
      </c>
      <c r="AI490" s="112" t="e">
        <f ca="1">IF(            INDIRECT(CONCATENATE( "AB",AG490))&lt;100000,       INDIRECT(CONCATENATE("AB",AG490))  -1,IF(   INDIRECT(CONCATENATE("AC",AG490))&lt;100000,   INDIRECT(CONCATENATE("AC",AG490))-1,IF(   INDIRECT(CONCATENATE("AD", AG490))&lt;100000, INDIRECT(CONCATENATE("AD",AG490))-1,IF(   INDIRECT(CONCATENATE("AE",AG490))&lt;100000,  INDIRECT(CONCATENATE("AE",G490)),INDIRECT(CONCATENATE("AF",AG490))                ))))</f>
        <v>#N/A</v>
      </c>
      <c r="AJ490" s="112" t="str">
        <f t="shared" ca="1" si="456"/>
        <v/>
      </c>
      <c r="AK490" s="112" t="str">
        <f t="shared" ca="1" si="458"/>
        <v/>
      </c>
      <c r="AL490" s="238">
        <f t="shared" ca="1" si="457"/>
        <v>0</v>
      </c>
      <c r="AM490" s="112">
        <f t="shared" ca="1" si="464"/>
        <v>100000</v>
      </c>
      <c r="AN490" s="112">
        <f t="shared" ca="1" si="463"/>
        <v>100000</v>
      </c>
      <c r="AO490" s="114">
        <f t="shared" ca="1" si="459"/>
        <v>0</v>
      </c>
      <c r="AP490" s="114">
        <f t="shared" ca="1" si="460"/>
        <v>24</v>
      </c>
      <c r="AR490" s="238">
        <f t="shared" si="462"/>
        <v>490</v>
      </c>
      <c r="CJ490" s="112"/>
      <c r="CK490" s="112"/>
      <c r="CO490" s="112"/>
      <c r="CP490" s="112"/>
      <c r="CQ490" s="112"/>
      <c r="CR490" s="112"/>
      <c r="CS490" s="112"/>
      <c r="CT490" s="112"/>
      <c r="CU490" s="112"/>
      <c r="CV490" s="112"/>
      <c r="CW490" s="112"/>
      <c r="CX490" s="112"/>
      <c r="CY490" s="112"/>
      <c r="CZ490" s="112"/>
      <c r="DA490" s="112"/>
      <c r="DB490" s="112"/>
      <c r="DC490" s="112"/>
      <c r="DD490" s="112"/>
      <c r="DE490" s="112"/>
      <c r="DF490" s="112"/>
      <c r="DG490" s="112"/>
      <c r="DH490" s="112"/>
      <c r="DI490" s="112"/>
      <c r="DJ490" s="112"/>
      <c r="DK490" s="112"/>
      <c r="DL490" s="112"/>
      <c r="DM490" s="112"/>
      <c r="DN490" s="112"/>
      <c r="DO490" t="e">
        <f t="shared" si="461"/>
        <v>#N/A</v>
      </c>
    </row>
    <row r="491" spans="33:119" x14ac:dyDescent="0.25">
      <c r="AG491" s="238">
        <f>AG490</f>
        <v>114</v>
      </c>
      <c r="AH491" s="112" t="e">
        <f ca="1">AI490+1</f>
        <v>#N/A</v>
      </c>
      <c r="AI491" s="112" t="e">
        <f ca="1">IF(INDIRECT(CONCATENATE("AC",AG490))&lt;100000,INDIRECT(CONCATENATE("AC",AG490))-1,IF(INDIRECT(CONCATENATE("AD",AG490))&lt;100000,INDIRECT(CONCATENATE("AD",AG490))-1,IF(INDIRECT(CONCATENATE("AE",AG490))&lt;100000,INDIRECT(CONCATENATE("AE",G490)),INDIRECT(CONCATENATE("AF",AG490)))))</f>
        <v>#N/A</v>
      </c>
      <c r="AJ491" s="112" t="e">
        <f t="shared" ca="1" si="456"/>
        <v>#N/A</v>
      </c>
      <c r="AK491" s="112">
        <f t="shared" ca="1" si="458"/>
        <v>100000</v>
      </c>
      <c r="AL491" s="238" t="e">
        <f t="shared" ca="1" si="457"/>
        <v>#N/A</v>
      </c>
      <c r="AM491" s="112">
        <f t="shared" ca="1" si="464"/>
        <v>100000</v>
      </c>
      <c r="AN491" s="112">
        <f t="shared" ca="1" si="463"/>
        <v>100000</v>
      </c>
      <c r="AO491" s="114">
        <f t="shared" ca="1" si="459"/>
        <v>0</v>
      </c>
      <c r="AP491" s="114">
        <f t="shared" ca="1" si="460"/>
        <v>24</v>
      </c>
      <c r="AR491" s="238">
        <f t="shared" si="462"/>
        <v>491</v>
      </c>
      <c r="CJ491" s="112"/>
      <c r="CK491" s="112"/>
      <c r="CO491" s="112"/>
      <c r="CP491" s="112"/>
      <c r="CQ491" s="112"/>
      <c r="CR491" s="112"/>
      <c r="CS491" s="112"/>
      <c r="CT491" s="112"/>
      <c r="CU491" s="112"/>
      <c r="CV491" s="112"/>
      <c r="CW491" s="112"/>
      <c r="CX491" s="112"/>
      <c r="CY491" s="112"/>
      <c r="CZ491" s="112"/>
      <c r="DA491" s="112"/>
      <c r="DB491" s="112"/>
      <c r="DC491" s="112"/>
      <c r="DD491" s="112"/>
      <c r="DE491" s="112"/>
      <c r="DF491" s="112"/>
      <c r="DG491" s="112"/>
      <c r="DH491" s="112"/>
      <c r="DI491" s="112"/>
      <c r="DJ491" s="112"/>
      <c r="DK491" s="112"/>
      <c r="DL491" s="112"/>
      <c r="DM491" s="112"/>
      <c r="DN491" s="112"/>
      <c r="DO491" t="e">
        <f t="shared" si="461"/>
        <v>#N/A</v>
      </c>
    </row>
    <row r="492" spans="33:119" x14ac:dyDescent="0.25">
      <c r="AG492" s="238">
        <f>AG491</f>
        <v>114</v>
      </c>
      <c r="AH492" s="112" t="e">
        <f ca="1">AI491+1</f>
        <v>#N/A</v>
      </c>
      <c r="AI492" s="112" t="e">
        <f ca="1">IF(INDIRECT(CONCATENATE("AD",AG490))&lt;100000,INDIRECT(CONCATENATE("AD",AG490))-1,IF(INDIRECT(CONCATENATE("AE",AG490))&lt;100000,INDIRECT(CONCATENATE("AE",G490)),INDIRECT(CONCATENATE("AF",AG490))))</f>
        <v>#N/A</v>
      </c>
      <c r="AJ492" s="112" t="e">
        <f t="shared" ca="1" si="456"/>
        <v>#N/A</v>
      </c>
      <c r="AK492" s="112">
        <f t="shared" ca="1" si="458"/>
        <v>100000</v>
      </c>
      <c r="AL492" s="238" t="e">
        <f t="shared" ca="1" si="457"/>
        <v>#N/A</v>
      </c>
      <c r="AM492" s="112">
        <f t="shared" ca="1" si="464"/>
        <v>100000</v>
      </c>
      <c r="AN492" s="112">
        <f t="shared" ca="1" si="463"/>
        <v>100000</v>
      </c>
      <c r="AO492" s="114">
        <f t="shared" ca="1" si="459"/>
        <v>0</v>
      </c>
      <c r="AP492" s="114">
        <f t="shared" ca="1" si="460"/>
        <v>24</v>
      </c>
      <c r="AR492" s="238">
        <f t="shared" si="462"/>
        <v>492</v>
      </c>
      <c r="CJ492" s="112"/>
      <c r="CK492" s="112"/>
      <c r="CO492" s="112"/>
      <c r="CP492" s="112"/>
      <c r="CQ492" s="112"/>
      <c r="CR492" s="112"/>
      <c r="CS492" s="112"/>
      <c r="CT492" s="112"/>
      <c r="CU492" s="112"/>
      <c r="CV492" s="112"/>
      <c r="CW492" s="112"/>
      <c r="CX492" s="112"/>
      <c r="CY492" s="112"/>
      <c r="CZ492" s="112"/>
      <c r="DA492" s="112"/>
      <c r="DB492" s="112"/>
      <c r="DC492" s="112"/>
      <c r="DD492" s="112"/>
      <c r="DE492" s="112"/>
      <c r="DF492" s="112"/>
      <c r="DG492" s="112"/>
      <c r="DH492" s="112"/>
      <c r="DI492" s="112"/>
      <c r="DJ492" s="112"/>
      <c r="DK492" s="112"/>
      <c r="DL492" s="112"/>
      <c r="DM492" s="112"/>
      <c r="DN492" s="112"/>
      <c r="DO492" t="e">
        <f t="shared" si="461"/>
        <v>#N/A</v>
      </c>
    </row>
    <row r="493" spans="33:119" x14ac:dyDescent="0.25">
      <c r="AG493" s="238">
        <f>AG492</f>
        <v>114</v>
      </c>
      <c r="AH493" s="112" t="e">
        <f ca="1">AI492+1</f>
        <v>#N/A</v>
      </c>
      <c r="AI493" s="112" t="e">
        <f ca="1">IF(INDIRECT(CONCATENATE("AE",AG490))&lt;100000,INDIRECT(CONCATENATE("AE",G490)),INDIRECT(CONCATENATE("AF",AG490)))</f>
        <v>#N/A</v>
      </c>
      <c r="AJ493" s="112" t="e">
        <f t="shared" ref="AJ493:AJ556" ca="1" si="465">IF(TYPE(AI493)=16,VLOOKUP(AH493,$F$20:$G$146,2),AI493)</f>
        <v>#N/A</v>
      </c>
      <c r="AK493" s="112">
        <f t="shared" ca="1" si="458"/>
        <v>100000</v>
      </c>
      <c r="AL493" s="238" t="e">
        <f t="shared" ca="1" si="457"/>
        <v>#N/A</v>
      </c>
      <c r="AM493" s="112">
        <f t="shared" ca="1" si="464"/>
        <v>100000</v>
      </c>
      <c r="AN493" s="112">
        <f t="shared" ca="1" si="463"/>
        <v>100000</v>
      </c>
      <c r="AO493" s="114">
        <f t="shared" ca="1" si="459"/>
        <v>0</v>
      </c>
      <c r="AP493" s="114">
        <f t="shared" ca="1" si="460"/>
        <v>24</v>
      </c>
      <c r="AR493" s="238">
        <f t="shared" si="462"/>
        <v>493</v>
      </c>
      <c r="CJ493" s="112"/>
      <c r="CK493" s="112"/>
      <c r="CO493" s="112"/>
      <c r="CP493" s="112"/>
      <c r="CQ493" s="112"/>
      <c r="CR493" s="112"/>
      <c r="CS493" s="112"/>
      <c r="CT493" s="112"/>
      <c r="CU493" s="112"/>
      <c r="CV493" s="112"/>
      <c r="CW493" s="112"/>
      <c r="CX493" s="112"/>
      <c r="CY493" s="112"/>
      <c r="CZ493" s="112"/>
      <c r="DA493" s="112"/>
      <c r="DB493" s="112"/>
      <c r="DC493" s="112"/>
      <c r="DD493" s="112"/>
      <c r="DE493" s="112"/>
      <c r="DF493" s="112"/>
      <c r="DG493" s="112"/>
      <c r="DH493" s="112"/>
      <c r="DI493" s="112"/>
      <c r="DJ493" s="112"/>
      <c r="DK493" s="112"/>
      <c r="DL493" s="112"/>
      <c r="DM493" s="112"/>
      <c r="DN493" s="112"/>
      <c r="DO493" t="e">
        <f t="shared" si="461"/>
        <v>#N/A</v>
      </c>
    </row>
    <row r="494" spans="33:119" x14ac:dyDescent="0.25">
      <c r="AG494" s="238">
        <f>AG493</f>
        <v>114</v>
      </c>
      <c r="AH494" s="112" t="e">
        <f ca="1">AI493+1</f>
        <v>#N/A</v>
      </c>
      <c r="AI494" s="112" t="str">
        <f ca="1">INDIRECT(CONCATENATE("AF",AG490))</f>
        <v/>
      </c>
      <c r="AJ494" s="112" t="str">
        <f t="shared" ca="1" si="465"/>
        <v/>
      </c>
      <c r="AK494" s="112">
        <f t="shared" ca="1" si="458"/>
        <v>100000</v>
      </c>
      <c r="AL494" s="238" t="e">
        <f t="shared" ref="AL494:AL557" ca="1" si="466">IF(AK494=AI493,0,1)</f>
        <v>#N/A</v>
      </c>
      <c r="AM494" s="112">
        <f t="shared" ca="1" si="464"/>
        <v>100000</v>
      </c>
      <c r="AN494" s="112">
        <f t="shared" ca="1" si="463"/>
        <v>100000</v>
      </c>
      <c r="AO494" s="114">
        <f t="shared" ca="1" si="459"/>
        <v>0</v>
      </c>
      <c r="AP494" s="114">
        <f t="shared" ca="1" si="460"/>
        <v>24</v>
      </c>
      <c r="AR494" s="238">
        <f t="shared" si="462"/>
        <v>494</v>
      </c>
      <c r="CJ494" s="112"/>
      <c r="CK494" s="112"/>
      <c r="CO494" s="112"/>
      <c r="CP494" s="112"/>
      <c r="CQ494" s="112"/>
      <c r="CR494" s="112"/>
      <c r="CS494" s="112"/>
      <c r="CT494" s="112"/>
      <c r="CU494" s="112"/>
      <c r="CV494" s="112"/>
      <c r="CW494" s="112"/>
      <c r="CX494" s="112"/>
      <c r="CY494" s="112"/>
      <c r="CZ494" s="112"/>
      <c r="DA494" s="112"/>
      <c r="DB494" s="112"/>
      <c r="DC494" s="112"/>
      <c r="DD494" s="112"/>
      <c r="DE494" s="112"/>
      <c r="DF494" s="112"/>
      <c r="DG494" s="112"/>
      <c r="DH494" s="112"/>
      <c r="DI494" s="112"/>
      <c r="DJ494" s="112"/>
      <c r="DK494" s="112"/>
      <c r="DL494" s="112"/>
      <c r="DM494" s="112"/>
      <c r="DN494" s="112"/>
      <c r="DO494" t="e">
        <f t="shared" si="461"/>
        <v>#N/A</v>
      </c>
    </row>
    <row r="495" spans="33:119" x14ac:dyDescent="0.25">
      <c r="AG495" s="238">
        <f>AG494+1</f>
        <v>115</v>
      </c>
      <c r="AH495" s="112" t="str">
        <f ca="1">INDIRECT(CONCATENATE("AA",AG495))</f>
        <v/>
      </c>
      <c r="AI495" s="112" t="e">
        <f ca="1">IF(            INDIRECT(CONCATENATE( "AB",AG495))&lt;100000,       INDIRECT(CONCATENATE("AB",AG495))  -1,IF(   INDIRECT(CONCATENATE("AC",AG495))&lt;100000,   INDIRECT(CONCATENATE("AC",AG495))-1,IF(   INDIRECT(CONCATENATE("AD", AG495))&lt;100000, INDIRECT(CONCATENATE("AD",AG495))-1,IF(   INDIRECT(CONCATENATE("AE",AG495))&lt;100000,  INDIRECT(CONCATENATE("AE",G495)),INDIRECT(CONCATENATE("AF",AG495))                ))))</f>
        <v>#N/A</v>
      </c>
      <c r="AJ495" s="112" t="str">
        <f t="shared" ca="1" si="465"/>
        <v/>
      </c>
      <c r="AK495" s="112" t="str">
        <f t="shared" ca="1" si="458"/>
        <v/>
      </c>
      <c r="AL495" s="238">
        <f t="shared" ca="1" si="466"/>
        <v>0</v>
      </c>
      <c r="AM495" s="112">
        <f t="shared" ca="1" si="464"/>
        <v>100000</v>
      </c>
      <c r="AN495" s="112">
        <f t="shared" ca="1" si="463"/>
        <v>100000</v>
      </c>
      <c r="AO495" s="114">
        <f t="shared" ca="1" si="459"/>
        <v>0</v>
      </c>
      <c r="AP495" s="114">
        <f t="shared" ca="1" si="460"/>
        <v>24</v>
      </c>
      <c r="AR495" s="238">
        <f t="shared" si="462"/>
        <v>495</v>
      </c>
      <c r="CJ495" s="112"/>
      <c r="CK495" s="112"/>
      <c r="CO495" s="112"/>
      <c r="CP495" s="112"/>
      <c r="CQ495" s="112"/>
      <c r="CR495" s="112"/>
      <c r="CS495" s="112"/>
      <c r="CT495" s="112"/>
      <c r="CU495" s="112"/>
      <c r="CV495" s="112"/>
      <c r="CW495" s="112"/>
      <c r="CX495" s="112"/>
      <c r="CY495" s="112"/>
      <c r="CZ495" s="112"/>
      <c r="DA495" s="112"/>
      <c r="DB495" s="112"/>
      <c r="DC495" s="112"/>
      <c r="DD495" s="112"/>
      <c r="DE495" s="112"/>
      <c r="DF495" s="112"/>
      <c r="DG495" s="112"/>
      <c r="DH495" s="112"/>
      <c r="DI495" s="112"/>
      <c r="DJ495" s="112"/>
      <c r="DK495" s="112"/>
      <c r="DL495" s="112"/>
      <c r="DM495" s="112"/>
      <c r="DN495" s="112"/>
      <c r="DO495" t="e">
        <f t="shared" si="461"/>
        <v>#N/A</v>
      </c>
    </row>
    <row r="496" spans="33:119" x14ac:dyDescent="0.25">
      <c r="AG496" s="238">
        <f>AG495</f>
        <v>115</v>
      </c>
      <c r="AH496" s="112" t="e">
        <f ca="1">AI495+1</f>
        <v>#N/A</v>
      </c>
      <c r="AI496" s="112" t="e">
        <f ca="1">IF(INDIRECT(CONCATENATE("AC",AG495))&lt;100000,INDIRECT(CONCATENATE("AC",AG495))-1,IF(INDIRECT(CONCATENATE("AD",AG495))&lt;100000,INDIRECT(CONCATENATE("AD",AG495))-1,IF(INDIRECT(CONCATENATE("AE",AG495))&lt;100000,INDIRECT(CONCATENATE("AE",G495)),INDIRECT(CONCATENATE("AF",AG495)))))</f>
        <v>#N/A</v>
      </c>
      <c r="AJ496" s="112" t="e">
        <f t="shared" ca="1" si="465"/>
        <v>#N/A</v>
      </c>
      <c r="AK496" s="112">
        <f t="shared" ca="1" si="458"/>
        <v>100000</v>
      </c>
      <c r="AL496" s="238" t="e">
        <f t="shared" ca="1" si="466"/>
        <v>#N/A</v>
      </c>
      <c r="AM496" s="112">
        <f t="shared" ca="1" si="464"/>
        <v>100000</v>
      </c>
      <c r="AN496" s="112">
        <f t="shared" ca="1" si="463"/>
        <v>100000</v>
      </c>
      <c r="AO496" s="114">
        <f t="shared" ca="1" si="459"/>
        <v>0</v>
      </c>
      <c r="AP496" s="114">
        <f t="shared" ca="1" si="460"/>
        <v>24</v>
      </c>
      <c r="AR496" s="238">
        <f t="shared" si="462"/>
        <v>496</v>
      </c>
      <c r="CJ496" s="112"/>
      <c r="CK496" s="112"/>
      <c r="DO496" t="e">
        <f t="shared" si="461"/>
        <v>#N/A</v>
      </c>
    </row>
    <row r="497" spans="33:89" x14ac:dyDescent="0.25">
      <c r="AG497" s="238">
        <f>AG496</f>
        <v>115</v>
      </c>
      <c r="AH497" s="112" t="e">
        <f ca="1">AI496+1</f>
        <v>#N/A</v>
      </c>
      <c r="AI497" s="112" t="e">
        <f ca="1">IF(INDIRECT(CONCATENATE("AD",AG495))&lt;100000,INDIRECT(CONCATENATE("AD",AG495))-1,IF(INDIRECT(CONCATENATE("AE",AG495))&lt;100000,INDIRECT(CONCATENATE("AE",G495)),INDIRECT(CONCATENATE("AF",AG495))))</f>
        <v>#N/A</v>
      </c>
      <c r="AJ497" s="112" t="e">
        <f t="shared" ca="1" si="465"/>
        <v>#N/A</v>
      </c>
      <c r="AK497" s="112">
        <f t="shared" ca="1" si="458"/>
        <v>100000</v>
      </c>
      <c r="AL497" s="238" t="e">
        <f t="shared" ca="1" si="466"/>
        <v>#N/A</v>
      </c>
      <c r="AM497" s="112">
        <f t="shared" ca="1" si="464"/>
        <v>100000</v>
      </c>
      <c r="AN497" s="112">
        <f t="shared" ca="1" si="463"/>
        <v>100000</v>
      </c>
      <c r="AO497" s="114">
        <f t="shared" ca="1" si="459"/>
        <v>0</v>
      </c>
      <c r="AP497" s="114">
        <f t="shared" ca="1" si="460"/>
        <v>24</v>
      </c>
      <c r="AR497" s="238">
        <f t="shared" si="462"/>
        <v>497</v>
      </c>
      <c r="CJ497" s="112"/>
      <c r="CK497" s="112"/>
    </row>
    <row r="498" spans="33:89" x14ac:dyDescent="0.25">
      <c r="AG498" s="238">
        <f>AG497</f>
        <v>115</v>
      </c>
      <c r="AH498" s="112" t="e">
        <f ca="1">AI497+1</f>
        <v>#N/A</v>
      </c>
      <c r="AI498" s="112" t="e">
        <f ca="1">IF(INDIRECT(CONCATENATE("AE",AG495))&lt;100000,INDIRECT(CONCATENATE("AE",G495)),INDIRECT(CONCATENATE("AF",AG495)))</f>
        <v>#N/A</v>
      </c>
      <c r="AJ498" s="112" t="e">
        <f t="shared" ca="1" si="465"/>
        <v>#N/A</v>
      </c>
      <c r="AK498" s="112">
        <f t="shared" ca="1" si="458"/>
        <v>100000</v>
      </c>
      <c r="AL498" s="238" t="e">
        <f t="shared" ca="1" si="466"/>
        <v>#N/A</v>
      </c>
      <c r="AM498" s="112">
        <f t="shared" ca="1" si="464"/>
        <v>100000</v>
      </c>
      <c r="AN498" s="112">
        <f t="shared" ca="1" si="463"/>
        <v>100000</v>
      </c>
      <c r="AO498" s="114">
        <f t="shared" ca="1" si="459"/>
        <v>0</v>
      </c>
      <c r="AP498" s="114">
        <f t="shared" ca="1" si="460"/>
        <v>24</v>
      </c>
      <c r="AR498" s="238">
        <f t="shared" si="462"/>
        <v>498</v>
      </c>
      <c r="CJ498" s="112"/>
      <c r="CK498" s="112"/>
    </row>
    <row r="499" spans="33:89" x14ac:dyDescent="0.25">
      <c r="AG499" s="238">
        <f>AG498</f>
        <v>115</v>
      </c>
      <c r="AH499" s="112" t="e">
        <f ca="1">AI498+1</f>
        <v>#N/A</v>
      </c>
      <c r="AI499" s="112" t="str">
        <f ca="1">INDIRECT(CONCATENATE("AF",AG495))</f>
        <v/>
      </c>
      <c r="AJ499" s="112" t="str">
        <f t="shared" ca="1" si="465"/>
        <v/>
      </c>
      <c r="AK499" s="112">
        <f t="shared" ca="1" si="458"/>
        <v>100000</v>
      </c>
      <c r="AL499" s="238" t="e">
        <f t="shared" ca="1" si="466"/>
        <v>#N/A</v>
      </c>
      <c r="AM499" s="112">
        <f t="shared" ca="1" si="464"/>
        <v>100000</v>
      </c>
      <c r="AN499" s="112">
        <f t="shared" ca="1" si="463"/>
        <v>100000</v>
      </c>
      <c r="AO499" s="114">
        <f t="shared" ca="1" si="459"/>
        <v>0</v>
      </c>
      <c r="AP499" s="114">
        <f t="shared" ca="1" si="460"/>
        <v>24</v>
      </c>
      <c r="AR499" s="238">
        <f t="shared" si="462"/>
        <v>499</v>
      </c>
      <c r="CJ499" s="112"/>
      <c r="CK499" s="112"/>
    </row>
    <row r="500" spans="33:89" x14ac:dyDescent="0.25">
      <c r="AG500" s="238">
        <f>AG499+1</f>
        <v>116</v>
      </c>
      <c r="AH500" s="112" t="str">
        <f ca="1">INDIRECT(CONCATENATE("AA",AG500))</f>
        <v/>
      </c>
      <c r="AI500" s="112" t="e">
        <f ca="1">IF(            INDIRECT(CONCATENATE( "AB",AG500))&lt;100000,       INDIRECT(CONCATENATE("AB",AG500))  -1,IF(   INDIRECT(CONCATENATE("AC",AG500))&lt;100000,   INDIRECT(CONCATENATE("AC",AG500))-1,IF(   INDIRECT(CONCATENATE("AD", AG500))&lt;100000, INDIRECT(CONCATENATE("AD",AG500))-1,IF(   INDIRECT(CONCATENATE("AE",AG500))&lt;100000,  INDIRECT(CONCATENATE("AE",G500)),INDIRECT(CONCATENATE("AF",AG500))                ))))</f>
        <v>#N/A</v>
      </c>
      <c r="AJ500" s="112" t="str">
        <f t="shared" ca="1" si="465"/>
        <v/>
      </c>
      <c r="AK500" s="112" t="str">
        <f t="shared" ca="1" si="458"/>
        <v/>
      </c>
      <c r="AL500" s="238">
        <f t="shared" ca="1" si="466"/>
        <v>0</v>
      </c>
      <c r="AM500" s="112">
        <f t="shared" ca="1" si="464"/>
        <v>100000</v>
      </c>
      <c r="AN500" s="112">
        <f t="shared" ca="1" si="463"/>
        <v>100000</v>
      </c>
      <c r="AO500" s="114">
        <f t="shared" ca="1" si="459"/>
        <v>0</v>
      </c>
      <c r="AP500" s="114">
        <f t="shared" ca="1" si="460"/>
        <v>24</v>
      </c>
      <c r="AR500" s="238">
        <f t="shared" si="462"/>
        <v>500</v>
      </c>
      <c r="CJ500" s="112"/>
      <c r="CK500" s="112"/>
    </row>
    <row r="501" spans="33:89" x14ac:dyDescent="0.25">
      <c r="AG501" s="238">
        <f>AG500</f>
        <v>116</v>
      </c>
      <c r="AH501" s="112" t="e">
        <f ca="1">AI500+1</f>
        <v>#N/A</v>
      </c>
      <c r="AI501" s="112" t="e">
        <f ca="1">IF(INDIRECT(CONCATENATE("AC",AG500))&lt;100000,INDIRECT(CONCATENATE("AC",AG500))-1,IF(INDIRECT(CONCATENATE("AD",AG500))&lt;100000,INDIRECT(CONCATENATE("AD",AG500))-1,IF(INDIRECT(CONCATENATE("AE",AG500))&lt;100000,INDIRECT(CONCATENATE("AE",G500)),INDIRECT(CONCATENATE("AF",AG500)))))</f>
        <v>#N/A</v>
      </c>
      <c r="AJ501" s="112" t="e">
        <f t="shared" ca="1" si="465"/>
        <v>#N/A</v>
      </c>
      <c r="AK501" s="112">
        <f t="shared" ca="1" si="458"/>
        <v>100000</v>
      </c>
      <c r="AL501" s="238" t="e">
        <f t="shared" ca="1" si="466"/>
        <v>#N/A</v>
      </c>
      <c r="AM501" s="112">
        <f t="shared" ca="1" si="464"/>
        <v>100000</v>
      </c>
      <c r="AN501" s="112">
        <f t="shared" ca="1" si="463"/>
        <v>100000</v>
      </c>
      <c r="AO501" s="114">
        <f t="shared" ca="1" si="459"/>
        <v>0</v>
      </c>
      <c r="AP501" s="114">
        <f t="shared" ca="1" si="460"/>
        <v>24</v>
      </c>
      <c r="AR501" s="238">
        <f t="shared" si="462"/>
        <v>501</v>
      </c>
      <c r="CJ501" s="112"/>
      <c r="CK501" s="112"/>
    </row>
    <row r="502" spans="33:89" x14ac:dyDescent="0.25">
      <c r="AG502" s="238">
        <f>AG501</f>
        <v>116</v>
      </c>
      <c r="AH502" s="112" t="e">
        <f ca="1">AI501+1</f>
        <v>#N/A</v>
      </c>
      <c r="AI502" s="112" t="e">
        <f ca="1">IF(INDIRECT(CONCATENATE("AD",AG500))&lt;100000,INDIRECT(CONCATENATE("AD",AG500))-1,IF(INDIRECT(CONCATENATE("AE",AG500))&lt;100000,INDIRECT(CONCATENATE("AE",G500)),INDIRECT(CONCATENATE("AF",AG500))))</f>
        <v>#N/A</v>
      </c>
      <c r="AJ502" s="112" t="e">
        <f t="shared" ca="1" si="465"/>
        <v>#N/A</v>
      </c>
      <c r="AK502" s="112">
        <f t="shared" ca="1" si="458"/>
        <v>100000</v>
      </c>
      <c r="AL502" s="238" t="e">
        <f t="shared" ca="1" si="466"/>
        <v>#N/A</v>
      </c>
      <c r="AM502" s="112">
        <f t="shared" ca="1" si="464"/>
        <v>100000</v>
      </c>
      <c r="AN502" s="112">
        <f t="shared" ca="1" si="463"/>
        <v>100000</v>
      </c>
      <c r="AO502" s="114">
        <f t="shared" ca="1" si="459"/>
        <v>0</v>
      </c>
      <c r="AP502" s="114">
        <f t="shared" ca="1" si="460"/>
        <v>24</v>
      </c>
      <c r="AR502" s="238">
        <f t="shared" si="462"/>
        <v>502</v>
      </c>
      <c r="CJ502" s="112"/>
      <c r="CK502" s="112"/>
    </row>
    <row r="503" spans="33:89" x14ac:dyDescent="0.25">
      <c r="AG503" s="238">
        <f>AG502</f>
        <v>116</v>
      </c>
      <c r="AH503" s="112" t="e">
        <f ca="1">AI502+1</f>
        <v>#N/A</v>
      </c>
      <c r="AI503" s="112" t="e">
        <f ca="1">IF(INDIRECT(CONCATENATE("AE",AG500))&lt;100000,INDIRECT(CONCATENATE("AE",G500)),INDIRECT(CONCATENATE("AF",AG500)))</f>
        <v>#N/A</v>
      </c>
      <c r="AJ503" s="112" t="e">
        <f t="shared" ca="1" si="465"/>
        <v>#N/A</v>
      </c>
      <c r="AK503" s="112">
        <f t="shared" ref="AK503:AK564" ca="1" si="467">IF(TYPE(AH503)=16,100000,AJ503)</f>
        <v>100000</v>
      </c>
      <c r="AL503" s="238" t="e">
        <f t="shared" ca="1" si="466"/>
        <v>#N/A</v>
      </c>
      <c r="AM503" s="112">
        <f t="shared" ca="1" si="464"/>
        <v>100000</v>
      </c>
      <c r="AN503" s="112">
        <f t="shared" ca="1" si="463"/>
        <v>100000</v>
      </c>
      <c r="AO503" s="114">
        <f t="shared" ca="1" si="459"/>
        <v>0</v>
      </c>
      <c r="AP503" s="114">
        <f t="shared" ca="1" si="460"/>
        <v>24</v>
      </c>
      <c r="AR503" s="238">
        <f t="shared" si="462"/>
        <v>503</v>
      </c>
      <c r="CJ503" s="112"/>
      <c r="CK503" s="112"/>
    </row>
    <row r="504" spans="33:89" x14ac:dyDescent="0.25">
      <c r="AG504" s="238">
        <f>AG503</f>
        <v>116</v>
      </c>
      <c r="AH504" s="112" t="e">
        <f ca="1">AI503+1</f>
        <v>#N/A</v>
      </c>
      <c r="AI504" s="112" t="str">
        <f ca="1">INDIRECT(CONCATENATE("AF",AG500))</f>
        <v/>
      </c>
      <c r="AJ504" s="112" t="str">
        <f t="shared" ca="1" si="465"/>
        <v/>
      </c>
      <c r="AK504" s="112">
        <f t="shared" ca="1" si="467"/>
        <v>100000</v>
      </c>
      <c r="AL504" s="238" t="e">
        <f t="shared" ca="1" si="466"/>
        <v>#N/A</v>
      </c>
      <c r="AM504" s="112">
        <f t="shared" ca="1" si="464"/>
        <v>100000</v>
      </c>
      <c r="AN504" s="112">
        <f t="shared" ca="1" si="463"/>
        <v>100000</v>
      </c>
      <c r="AO504" s="114">
        <f t="shared" ca="1" si="459"/>
        <v>0</v>
      </c>
      <c r="AP504" s="114">
        <f t="shared" ca="1" si="460"/>
        <v>24</v>
      </c>
      <c r="AR504" s="238">
        <f t="shared" si="462"/>
        <v>504</v>
      </c>
      <c r="CJ504" s="112"/>
      <c r="CK504" s="112"/>
    </row>
    <row r="505" spans="33:89" x14ac:dyDescent="0.25">
      <c r="AG505" s="238">
        <f>AG504+1</f>
        <v>117</v>
      </c>
      <c r="AH505" s="112" t="str">
        <f ca="1">INDIRECT(CONCATENATE("AA",AG505))</f>
        <v/>
      </c>
      <c r="AI505" s="112" t="e">
        <f ca="1">IF(            INDIRECT(CONCATENATE( "AB",AG505))&lt;100000,       INDIRECT(CONCATENATE("AB",AG505))  -1,IF(   INDIRECT(CONCATENATE("AC",AG505))&lt;100000,   INDIRECT(CONCATENATE("AC",AG505))-1,IF(   INDIRECT(CONCATENATE("AD", AG505))&lt;100000, INDIRECT(CONCATENATE("AD",AG505))-1,IF(   INDIRECT(CONCATENATE("AE",AG505))&lt;100000,  INDIRECT(CONCATENATE("AE",G505)),INDIRECT(CONCATENATE("AF",AG505))                ))))</f>
        <v>#N/A</v>
      </c>
      <c r="AJ505" s="112" t="str">
        <f t="shared" ca="1" si="465"/>
        <v/>
      </c>
      <c r="AK505" s="112" t="str">
        <f t="shared" ca="1" si="467"/>
        <v/>
      </c>
      <c r="AL505" s="238">
        <f t="shared" ca="1" si="466"/>
        <v>0</v>
      </c>
      <c r="AM505" s="112">
        <f t="shared" ca="1" si="464"/>
        <v>100000</v>
      </c>
      <c r="AN505" s="112">
        <f t="shared" ca="1" si="463"/>
        <v>100000</v>
      </c>
      <c r="AO505" s="114">
        <f t="shared" ca="1" si="459"/>
        <v>0</v>
      </c>
      <c r="AP505" s="114">
        <f t="shared" ca="1" si="460"/>
        <v>24</v>
      </c>
      <c r="AR505" s="238">
        <f t="shared" si="462"/>
        <v>505</v>
      </c>
      <c r="CJ505" s="112"/>
      <c r="CK505" s="112"/>
    </row>
    <row r="506" spans="33:89" x14ac:dyDescent="0.25">
      <c r="AG506" s="238">
        <f>AG505</f>
        <v>117</v>
      </c>
      <c r="AH506" s="112" t="e">
        <f ca="1">AI505+1</f>
        <v>#N/A</v>
      </c>
      <c r="AI506" s="112" t="e">
        <f ca="1">IF(INDIRECT(CONCATENATE("AC",AG505))&lt;100000,INDIRECT(CONCATENATE("AC",AG505))-1,IF(INDIRECT(CONCATENATE("AD",AG505))&lt;100000,INDIRECT(CONCATENATE("AD",AG505))-1,IF(INDIRECT(CONCATENATE("AE",AG505))&lt;100000,INDIRECT(CONCATENATE("AE",G505)),INDIRECT(CONCATENATE("AF",AG505)))))</f>
        <v>#N/A</v>
      </c>
      <c r="AJ506" s="112" t="e">
        <f t="shared" ca="1" si="465"/>
        <v>#N/A</v>
      </c>
      <c r="AK506" s="112">
        <f t="shared" ca="1" si="467"/>
        <v>100000</v>
      </c>
      <c r="AL506" s="238" t="e">
        <f t="shared" ca="1" si="466"/>
        <v>#N/A</v>
      </c>
      <c r="AM506" s="112">
        <f t="shared" ca="1" si="464"/>
        <v>100000</v>
      </c>
      <c r="AN506" s="112">
        <f t="shared" ca="1" si="463"/>
        <v>100000</v>
      </c>
      <c r="AO506" s="114">
        <f t="shared" ca="1" si="459"/>
        <v>0</v>
      </c>
      <c r="AP506" s="114">
        <f t="shared" ca="1" si="460"/>
        <v>24</v>
      </c>
      <c r="AR506" s="238">
        <f t="shared" si="462"/>
        <v>506</v>
      </c>
      <c r="CJ506" s="112"/>
      <c r="CK506" s="112"/>
    </row>
    <row r="507" spans="33:89" x14ac:dyDescent="0.25">
      <c r="AG507" s="238">
        <f>AG506</f>
        <v>117</v>
      </c>
      <c r="AH507" s="112" t="e">
        <f ca="1">AI506+1</f>
        <v>#N/A</v>
      </c>
      <c r="AI507" s="112" t="e">
        <f ca="1">IF(INDIRECT(CONCATENATE("AD",AG505))&lt;100000,INDIRECT(CONCATENATE("AD",AG505))-1,IF(INDIRECT(CONCATENATE("AE",AG505))&lt;100000,INDIRECT(CONCATENATE("AE",G505)),INDIRECT(CONCATENATE("AF",AG505))))</f>
        <v>#N/A</v>
      </c>
      <c r="AJ507" s="112" t="e">
        <f t="shared" ca="1" si="465"/>
        <v>#N/A</v>
      </c>
      <c r="AK507" s="112">
        <f t="shared" ca="1" si="467"/>
        <v>100000</v>
      </c>
      <c r="AL507" s="238" t="e">
        <f t="shared" ca="1" si="466"/>
        <v>#N/A</v>
      </c>
      <c r="AM507" s="112">
        <f t="shared" ca="1" si="464"/>
        <v>100000</v>
      </c>
      <c r="AN507" s="112">
        <f t="shared" ca="1" si="463"/>
        <v>100000</v>
      </c>
      <c r="AO507" s="114">
        <f t="shared" ca="1" si="459"/>
        <v>0</v>
      </c>
      <c r="AP507" s="114">
        <f t="shared" ca="1" si="460"/>
        <v>24</v>
      </c>
      <c r="AR507" s="238">
        <f t="shared" si="462"/>
        <v>507</v>
      </c>
      <c r="CJ507" s="112"/>
      <c r="CK507" s="112"/>
    </row>
    <row r="508" spans="33:89" x14ac:dyDescent="0.25">
      <c r="AG508" s="238">
        <f>AG507</f>
        <v>117</v>
      </c>
      <c r="AH508" s="112" t="e">
        <f ca="1">AI507+1</f>
        <v>#N/A</v>
      </c>
      <c r="AI508" s="112" t="e">
        <f ca="1">IF(INDIRECT(CONCATENATE("AE",AG505))&lt;100000,INDIRECT(CONCATENATE("AE",G505)),INDIRECT(CONCATENATE("AF",AG505)))</f>
        <v>#N/A</v>
      </c>
      <c r="AJ508" s="112" t="e">
        <f t="shared" ca="1" si="465"/>
        <v>#N/A</v>
      </c>
      <c r="AK508" s="112">
        <f t="shared" ca="1" si="467"/>
        <v>100000</v>
      </c>
      <c r="AL508" s="238" t="e">
        <f t="shared" ca="1" si="466"/>
        <v>#N/A</v>
      </c>
      <c r="AM508" s="112">
        <f t="shared" ca="1" si="464"/>
        <v>100000</v>
      </c>
      <c r="AN508" s="112">
        <f t="shared" ca="1" si="463"/>
        <v>100000</v>
      </c>
      <c r="AO508" s="114">
        <f t="shared" ca="1" si="459"/>
        <v>0</v>
      </c>
      <c r="AP508" s="114">
        <f t="shared" ca="1" si="460"/>
        <v>24</v>
      </c>
      <c r="AR508" s="238">
        <f t="shared" si="462"/>
        <v>508</v>
      </c>
      <c r="CJ508" s="112"/>
      <c r="CK508" s="112"/>
    </row>
    <row r="509" spans="33:89" x14ac:dyDescent="0.25">
      <c r="AG509" s="238">
        <f>AG508</f>
        <v>117</v>
      </c>
      <c r="AH509" s="112" t="e">
        <f ca="1">AI508+1</f>
        <v>#N/A</v>
      </c>
      <c r="AI509" s="112" t="str">
        <f ca="1">INDIRECT(CONCATENATE("AF",AG505))</f>
        <v/>
      </c>
      <c r="AJ509" s="112" t="str">
        <f t="shared" ca="1" si="465"/>
        <v/>
      </c>
      <c r="AK509" s="112">
        <f t="shared" ca="1" si="467"/>
        <v>100000</v>
      </c>
      <c r="AL509" s="238" t="e">
        <f t="shared" ca="1" si="466"/>
        <v>#N/A</v>
      </c>
      <c r="AM509" s="112">
        <f t="shared" ca="1" si="464"/>
        <v>100000</v>
      </c>
      <c r="AN509" s="112">
        <f t="shared" ca="1" si="463"/>
        <v>100000</v>
      </c>
      <c r="AO509" s="114">
        <f t="shared" ca="1" si="459"/>
        <v>0</v>
      </c>
      <c r="AP509" s="114">
        <f t="shared" ca="1" si="460"/>
        <v>24</v>
      </c>
      <c r="AR509" s="238">
        <f t="shared" si="462"/>
        <v>509</v>
      </c>
      <c r="CJ509" s="112"/>
      <c r="CK509" s="112"/>
    </row>
    <row r="510" spans="33:89" x14ac:dyDescent="0.25">
      <c r="AG510" s="238">
        <f>AG509+1</f>
        <v>118</v>
      </c>
      <c r="AH510" s="112" t="str">
        <f ca="1">INDIRECT(CONCATENATE("AA",AG510))</f>
        <v/>
      </c>
      <c r="AI510" s="112" t="e">
        <f ca="1">IF(            INDIRECT(CONCATENATE( "AB",AG510))&lt;100000,       INDIRECT(CONCATENATE("AB",AG510))  -1,IF(   INDIRECT(CONCATENATE("AC",AG510))&lt;100000,   INDIRECT(CONCATENATE("AC",AG510))-1,IF(   INDIRECT(CONCATENATE("AD", AG510))&lt;100000, INDIRECT(CONCATENATE("AD",AG510))-1,IF(   INDIRECT(CONCATENATE("AE",AG510))&lt;100000,  INDIRECT(CONCATENATE("AE",G510)),INDIRECT(CONCATENATE("AF",AG510))                ))))</f>
        <v>#N/A</v>
      </c>
      <c r="AJ510" s="112" t="str">
        <f t="shared" ca="1" si="465"/>
        <v/>
      </c>
      <c r="AK510" s="112" t="str">
        <f t="shared" ca="1" si="467"/>
        <v/>
      </c>
      <c r="AL510" s="238">
        <f t="shared" ca="1" si="466"/>
        <v>0</v>
      </c>
      <c r="AM510" s="112">
        <f t="shared" ca="1" si="464"/>
        <v>100000</v>
      </c>
      <c r="AN510" s="112">
        <f t="shared" ca="1" si="463"/>
        <v>100000</v>
      </c>
      <c r="AO510" s="114">
        <f t="shared" ca="1" si="459"/>
        <v>0</v>
      </c>
      <c r="AP510" s="114">
        <f t="shared" ca="1" si="460"/>
        <v>24</v>
      </c>
      <c r="AR510" s="238">
        <f t="shared" si="462"/>
        <v>510</v>
      </c>
      <c r="CJ510" s="112"/>
      <c r="CK510" s="112"/>
    </row>
    <row r="511" spans="33:89" x14ac:dyDescent="0.25">
      <c r="AG511" s="238">
        <f>AG510</f>
        <v>118</v>
      </c>
      <c r="AH511" s="112" t="e">
        <f ca="1">AI510+1</f>
        <v>#N/A</v>
      </c>
      <c r="AI511" s="112" t="e">
        <f ca="1">IF(INDIRECT(CONCATENATE("AC",AG510))&lt;100000,INDIRECT(CONCATENATE("AC",AG510))-1,IF(INDIRECT(CONCATENATE("AD",AG510))&lt;100000,INDIRECT(CONCATENATE("AD",AG510))-1,IF(INDIRECT(CONCATENATE("AE",AG510))&lt;100000,INDIRECT(CONCATENATE("AE",G510)),INDIRECT(CONCATENATE("AF",AG510)))))</f>
        <v>#N/A</v>
      </c>
      <c r="AJ511" s="112" t="e">
        <f t="shared" ca="1" si="465"/>
        <v>#N/A</v>
      </c>
      <c r="AK511" s="112">
        <f t="shared" ca="1" si="467"/>
        <v>100000</v>
      </c>
      <c r="AL511" s="238" t="e">
        <f t="shared" ca="1" si="466"/>
        <v>#N/A</v>
      </c>
      <c r="AM511" s="112">
        <f t="shared" ca="1" si="464"/>
        <v>100000</v>
      </c>
      <c r="AN511" s="112">
        <f t="shared" ca="1" si="463"/>
        <v>100000</v>
      </c>
      <c r="AO511" s="114">
        <f t="shared" ca="1" si="459"/>
        <v>0</v>
      </c>
      <c r="AP511" s="114">
        <f t="shared" ca="1" si="460"/>
        <v>24</v>
      </c>
      <c r="AR511" s="238">
        <f t="shared" si="462"/>
        <v>511</v>
      </c>
      <c r="CJ511" s="112"/>
      <c r="CK511" s="112"/>
    </row>
    <row r="512" spans="33:89" x14ac:dyDescent="0.25">
      <c r="AG512" s="238">
        <f>AG511</f>
        <v>118</v>
      </c>
      <c r="AH512" s="112" t="e">
        <f ca="1">AI511+1</f>
        <v>#N/A</v>
      </c>
      <c r="AI512" s="112" t="e">
        <f ca="1">IF(INDIRECT(CONCATENATE("AD",AG510))&lt;100000,INDIRECT(CONCATENATE("AD",AG510))-1,IF(INDIRECT(CONCATENATE("AE",AG510))&lt;100000,INDIRECT(CONCATENATE("AE",G510)),INDIRECT(CONCATENATE("AF",AG510))))</f>
        <v>#N/A</v>
      </c>
      <c r="AJ512" s="112" t="e">
        <f t="shared" ca="1" si="465"/>
        <v>#N/A</v>
      </c>
      <c r="AK512" s="112">
        <f t="shared" ca="1" si="467"/>
        <v>100000</v>
      </c>
      <c r="AL512" s="238" t="e">
        <f t="shared" ca="1" si="466"/>
        <v>#N/A</v>
      </c>
      <c r="AM512" s="112">
        <f t="shared" ca="1" si="464"/>
        <v>100000</v>
      </c>
      <c r="AN512" s="112">
        <f t="shared" ca="1" si="463"/>
        <v>100000</v>
      </c>
      <c r="AO512" s="114">
        <f t="shared" ca="1" si="459"/>
        <v>0</v>
      </c>
      <c r="AP512" s="114">
        <f t="shared" ca="1" si="460"/>
        <v>24</v>
      </c>
      <c r="AR512" s="238">
        <f t="shared" si="462"/>
        <v>512</v>
      </c>
      <c r="CJ512" s="112"/>
      <c r="CK512" s="112"/>
    </row>
    <row r="513" spans="33:89" x14ac:dyDescent="0.25">
      <c r="AG513" s="238">
        <f>AG512</f>
        <v>118</v>
      </c>
      <c r="AH513" s="112" t="e">
        <f ca="1">AI512+1</f>
        <v>#N/A</v>
      </c>
      <c r="AI513" s="112" t="e">
        <f ca="1">IF(INDIRECT(CONCATENATE("AE",AG510))&lt;100000,INDIRECT(CONCATENATE("AE",G510)),INDIRECT(CONCATENATE("AF",AG510)))</f>
        <v>#N/A</v>
      </c>
      <c r="AJ513" s="112" t="e">
        <f t="shared" ca="1" si="465"/>
        <v>#N/A</v>
      </c>
      <c r="AK513" s="112">
        <f t="shared" ca="1" si="467"/>
        <v>100000</v>
      </c>
      <c r="AL513" s="238" t="e">
        <f t="shared" ca="1" si="466"/>
        <v>#N/A</v>
      </c>
      <c r="AM513" s="112">
        <f t="shared" ca="1" si="464"/>
        <v>100000</v>
      </c>
      <c r="AN513" s="112">
        <f t="shared" ca="1" si="463"/>
        <v>100000</v>
      </c>
      <c r="AO513" s="114">
        <f t="shared" ca="1" si="459"/>
        <v>0</v>
      </c>
      <c r="AP513" s="114">
        <f t="shared" ca="1" si="460"/>
        <v>24</v>
      </c>
      <c r="AR513" s="238">
        <f t="shared" si="462"/>
        <v>513</v>
      </c>
      <c r="CJ513" s="112"/>
      <c r="CK513" s="112"/>
    </row>
    <row r="514" spans="33:89" x14ac:dyDescent="0.25">
      <c r="AG514" s="238">
        <f>AG513</f>
        <v>118</v>
      </c>
      <c r="AH514" s="112" t="e">
        <f ca="1">AI513+1</f>
        <v>#N/A</v>
      </c>
      <c r="AI514" s="112" t="str">
        <f ca="1">INDIRECT(CONCATENATE("AF",AG510))</f>
        <v/>
      </c>
      <c r="AJ514" s="112" t="str">
        <f t="shared" ca="1" si="465"/>
        <v/>
      </c>
      <c r="AK514" s="112">
        <f t="shared" ca="1" si="467"/>
        <v>100000</v>
      </c>
      <c r="AL514" s="238" t="e">
        <f t="shared" ca="1" si="466"/>
        <v>#N/A</v>
      </c>
      <c r="AM514" s="112">
        <f t="shared" ca="1" si="464"/>
        <v>100000</v>
      </c>
      <c r="AN514" s="112">
        <f t="shared" ca="1" si="463"/>
        <v>100000</v>
      </c>
      <c r="AO514" s="114">
        <f t="shared" ca="1" si="459"/>
        <v>0</v>
      </c>
      <c r="AP514" s="114">
        <f t="shared" ca="1" si="460"/>
        <v>24</v>
      </c>
      <c r="AR514" s="238">
        <f t="shared" si="462"/>
        <v>514</v>
      </c>
      <c r="CJ514" s="112"/>
      <c r="CK514" s="112"/>
    </row>
    <row r="515" spans="33:89" x14ac:dyDescent="0.25">
      <c r="AG515" s="238">
        <f>AG514+1</f>
        <v>119</v>
      </c>
      <c r="AH515" s="112" t="str">
        <f ca="1">INDIRECT(CONCATENATE("AA",AG515))</f>
        <v/>
      </c>
      <c r="AI515" s="112" t="e">
        <f ca="1">IF(            INDIRECT(CONCATENATE( "AB",AG515))&lt;100000,       INDIRECT(CONCATENATE("AB",AG515))  -1,IF(   INDIRECT(CONCATENATE("AC",AG515))&lt;100000,   INDIRECT(CONCATENATE("AC",AG515))-1,IF(   INDIRECT(CONCATENATE("AD", AG515))&lt;100000, INDIRECT(CONCATENATE("AD",AG515))-1,IF(   INDIRECT(CONCATENATE("AE",AG515))&lt;100000,  INDIRECT(CONCATENATE("AE",G515)),INDIRECT(CONCATENATE("AF",AG515))                ))))</f>
        <v>#N/A</v>
      </c>
      <c r="AJ515" s="112" t="str">
        <f t="shared" ca="1" si="465"/>
        <v/>
      </c>
      <c r="AK515" s="112" t="str">
        <f t="shared" ca="1" si="467"/>
        <v/>
      </c>
      <c r="AL515" s="238">
        <f t="shared" ca="1" si="466"/>
        <v>0</v>
      </c>
      <c r="AM515" s="112">
        <f t="shared" ca="1" si="464"/>
        <v>100000</v>
      </c>
      <c r="AN515" s="112">
        <f t="shared" ca="1" si="463"/>
        <v>100000</v>
      </c>
      <c r="AO515" s="114">
        <f t="shared" ca="1" si="459"/>
        <v>0</v>
      </c>
      <c r="AP515" s="114">
        <f t="shared" ca="1" si="460"/>
        <v>24</v>
      </c>
      <c r="AR515" s="238">
        <f t="shared" si="462"/>
        <v>515</v>
      </c>
      <c r="CJ515" s="112"/>
      <c r="CK515" s="112"/>
    </row>
    <row r="516" spans="33:89" x14ac:dyDescent="0.25">
      <c r="AG516" s="238">
        <f>AG515</f>
        <v>119</v>
      </c>
      <c r="AH516" s="112" t="e">
        <f ca="1">AI515+1</f>
        <v>#N/A</v>
      </c>
      <c r="AI516" s="112" t="e">
        <f ca="1">IF(INDIRECT(CONCATENATE("AC",AG515))&lt;100000,INDIRECT(CONCATENATE("AC",AG515))-1,IF(INDIRECT(CONCATENATE("AD",AG515))&lt;100000,INDIRECT(CONCATENATE("AD",AG515))-1,IF(INDIRECT(CONCATENATE("AE",AG515))&lt;100000,INDIRECT(CONCATENATE("AE",G515)),INDIRECT(CONCATENATE("AF",AG515)))))</f>
        <v>#N/A</v>
      </c>
      <c r="AJ516" s="112" t="e">
        <f t="shared" ca="1" si="465"/>
        <v>#N/A</v>
      </c>
      <c r="AK516" s="112">
        <f t="shared" ca="1" si="467"/>
        <v>100000</v>
      </c>
      <c r="AL516" s="238" t="e">
        <f t="shared" ca="1" si="466"/>
        <v>#N/A</v>
      </c>
      <c r="AM516" s="112">
        <f t="shared" ca="1" si="464"/>
        <v>100000</v>
      </c>
      <c r="AN516" s="112">
        <f t="shared" ca="1" si="463"/>
        <v>100000</v>
      </c>
      <c r="AO516" s="114">
        <f t="shared" ca="1" si="459"/>
        <v>0</v>
      </c>
      <c r="AP516" s="114">
        <f t="shared" ca="1" si="460"/>
        <v>24</v>
      </c>
      <c r="AR516" s="238">
        <f t="shared" si="462"/>
        <v>516</v>
      </c>
      <c r="CJ516" s="112"/>
      <c r="CK516" s="112"/>
    </row>
    <row r="517" spans="33:89" x14ac:dyDescent="0.25">
      <c r="AG517" s="238">
        <f>AG516</f>
        <v>119</v>
      </c>
      <c r="AH517" s="112" t="e">
        <f ca="1">AI516+1</f>
        <v>#N/A</v>
      </c>
      <c r="AI517" s="112" t="e">
        <f ca="1">IF(INDIRECT(CONCATENATE("AD",AG515))&lt;100000,INDIRECT(CONCATENATE("AD",AG515))-1,IF(INDIRECT(CONCATENATE("AE",AG515))&lt;100000,INDIRECT(CONCATENATE("AE",G515)),INDIRECT(CONCATENATE("AF",AG515))))</f>
        <v>#N/A</v>
      </c>
      <c r="AJ517" s="112" t="e">
        <f t="shared" ca="1" si="465"/>
        <v>#N/A</v>
      </c>
      <c r="AK517" s="112">
        <f t="shared" ca="1" si="467"/>
        <v>100000</v>
      </c>
      <c r="AL517" s="238" t="e">
        <f t="shared" ca="1" si="466"/>
        <v>#N/A</v>
      </c>
      <c r="AM517" s="112">
        <f t="shared" ca="1" si="464"/>
        <v>100000</v>
      </c>
      <c r="AN517" s="112">
        <f t="shared" ca="1" si="463"/>
        <v>100000</v>
      </c>
      <c r="AO517" s="114">
        <f t="shared" ca="1" si="459"/>
        <v>0</v>
      </c>
      <c r="AP517" s="114">
        <f t="shared" ca="1" si="460"/>
        <v>24</v>
      </c>
      <c r="AR517" s="238">
        <f t="shared" si="462"/>
        <v>517</v>
      </c>
      <c r="CJ517" s="112"/>
      <c r="CK517" s="112"/>
    </row>
    <row r="518" spans="33:89" x14ac:dyDescent="0.25">
      <c r="AG518" s="238">
        <f>AG517</f>
        <v>119</v>
      </c>
      <c r="AH518" s="112" t="e">
        <f ca="1">AI517+1</f>
        <v>#N/A</v>
      </c>
      <c r="AI518" s="112" t="e">
        <f ca="1">IF(INDIRECT(CONCATENATE("AE",AG515))&lt;100000,INDIRECT(CONCATENATE("AE",G515)),INDIRECT(CONCATENATE("AF",AG515)))</f>
        <v>#N/A</v>
      </c>
      <c r="AJ518" s="112" t="e">
        <f t="shared" ca="1" si="465"/>
        <v>#N/A</v>
      </c>
      <c r="AK518" s="112">
        <f t="shared" ca="1" si="467"/>
        <v>100000</v>
      </c>
      <c r="AL518" s="238" t="e">
        <f t="shared" ca="1" si="466"/>
        <v>#N/A</v>
      </c>
      <c r="AM518" s="112">
        <f t="shared" ca="1" si="464"/>
        <v>100000</v>
      </c>
      <c r="AN518" s="112">
        <f t="shared" ca="1" si="463"/>
        <v>100000</v>
      </c>
      <c r="AO518" s="114">
        <f t="shared" ca="1" si="459"/>
        <v>0</v>
      </c>
      <c r="AP518" s="114">
        <f t="shared" ca="1" si="460"/>
        <v>24</v>
      </c>
      <c r="AR518" s="238">
        <f t="shared" si="462"/>
        <v>518</v>
      </c>
      <c r="CJ518" s="112"/>
      <c r="CK518" s="112"/>
    </row>
    <row r="519" spans="33:89" x14ac:dyDescent="0.25">
      <c r="AG519" s="238">
        <f>AG518</f>
        <v>119</v>
      </c>
      <c r="AH519" s="112" t="e">
        <f ca="1">AI518+1</f>
        <v>#N/A</v>
      </c>
      <c r="AI519" s="112" t="str">
        <f ca="1">INDIRECT(CONCATENATE("AF",AG515))</f>
        <v/>
      </c>
      <c r="AJ519" s="112" t="str">
        <f t="shared" ca="1" si="465"/>
        <v/>
      </c>
      <c r="AK519" s="112">
        <f t="shared" ca="1" si="467"/>
        <v>100000</v>
      </c>
      <c r="AL519" s="238" t="e">
        <f t="shared" ca="1" si="466"/>
        <v>#N/A</v>
      </c>
      <c r="AM519" s="112">
        <f t="shared" ca="1" si="464"/>
        <v>100000</v>
      </c>
      <c r="AN519" s="112">
        <f t="shared" ca="1" si="463"/>
        <v>100000</v>
      </c>
      <c r="AO519" s="114">
        <f t="shared" ca="1" si="459"/>
        <v>0</v>
      </c>
      <c r="AP519" s="114">
        <f t="shared" ca="1" si="460"/>
        <v>24</v>
      </c>
      <c r="AR519" s="238">
        <f t="shared" si="462"/>
        <v>519</v>
      </c>
      <c r="CJ519" s="112"/>
      <c r="CK519" s="112"/>
    </row>
    <row r="520" spans="33:89" x14ac:dyDescent="0.25">
      <c r="AG520" s="238">
        <f>AG519+1</f>
        <v>120</v>
      </c>
      <c r="AH520" s="112" t="str">
        <f ca="1">INDIRECT(CONCATENATE("AA",AG520))</f>
        <v/>
      </c>
      <c r="AI520" s="112" t="e">
        <f ca="1">IF(            INDIRECT(CONCATENATE( "AB",AG520))&lt;100000,       INDIRECT(CONCATENATE("AB",AG520))  -1,IF(   INDIRECT(CONCATENATE("AC",AG520))&lt;100000,   INDIRECT(CONCATENATE("AC",AG520))-1,IF(   INDIRECT(CONCATENATE("AD", AG520))&lt;100000, INDIRECT(CONCATENATE("AD",AG520))-1,IF(   INDIRECT(CONCATENATE("AE",AG520))&lt;100000,  INDIRECT(CONCATENATE("AE",G520)),INDIRECT(CONCATENATE("AF",AG520))                ))))</f>
        <v>#N/A</v>
      </c>
      <c r="AJ520" s="112" t="str">
        <f t="shared" ca="1" si="465"/>
        <v/>
      </c>
      <c r="AK520" s="112" t="str">
        <f t="shared" ca="1" si="467"/>
        <v/>
      </c>
      <c r="AL520" s="238">
        <f t="shared" ca="1" si="466"/>
        <v>0</v>
      </c>
      <c r="AM520" s="112">
        <f t="shared" ca="1" si="464"/>
        <v>100000</v>
      </c>
      <c r="AN520" s="112">
        <f t="shared" ca="1" si="463"/>
        <v>100000</v>
      </c>
      <c r="AO520" s="114">
        <f t="shared" ca="1" si="459"/>
        <v>0</v>
      </c>
      <c r="AP520" s="114">
        <f t="shared" ca="1" si="460"/>
        <v>24</v>
      </c>
      <c r="AR520" s="238">
        <f t="shared" si="462"/>
        <v>520</v>
      </c>
      <c r="CJ520" s="112"/>
      <c r="CK520" s="112"/>
    </row>
    <row r="521" spans="33:89" x14ac:dyDescent="0.25">
      <c r="AG521" s="238">
        <f>AG520</f>
        <v>120</v>
      </c>
      <c r="AH521" s="112" t="e">
        <f ca="1">AI520+1</f>
        <v>#N/A</v>
      </c>
      <c r="AI521" s="112" t="e">
        <f ca="1">IF(INDIRECT(CONCATENATE("AC",AG520))&lt;100000,INDIRECT(CONCATENATE("AC",AG520))-1,IF(INDIRECT(CONCATENATE("AD",AG520))&lt;100000,INDIRECT(CONCATENATE("AD",AG520))-1,IF(INDIRECT(CONCATENATE("AE",AG520))&lt;100000,INDIRECT(CONCATENATE("AE",G520)),INDIRECT(CONCATENATE("AF",AG520)))))</f>
        <v>#N/A</v>
      </c>
      <c r="AJ521" s="112" t="e">
        <f t="shared" ca="1" si="465"/>
        <v>#N/A</v>
      </c>
      <c r="AK521" s="112">
        <f t="shared" ca="1" si="467"/>
        <v>100000</v>
      </c>
      <c r="AL521" s="238" t="e">
        <f t="shared" ca="1" si="466"/>
        <v>#N/A</v>
      </c>
      <c r="AM521" s="112">
        <f t="shared" ca="1" si="464"/>
        <v>100000</v>
      </c>
      <c r="AN521" s="112">
        <f t="shared" ca="1" si="463"/>
        <v>100000</v>
      </c>
      <c r="AO521" s="114">
        <f t="shared" ca="1" si="459"/>
        <v>0</v>
      </c>
      <c r="AP521" s="114">
        <f t="shared" ca="1" si="460"/>
        <v>24</v>
      </c>
      <c r="AR521" s="238">
        <f t="shared" si="462"/>
        <v>521</v>
      </c>
      <c r="CJ521" s="112"/>
      <c r="CK521" s="112"/>
    </row>
    <row r="522" spans="33:89" x14ac:dyDescent="0.25">
      <c r="AG522" s="238">
        <f>AG521</f>
        <v>120</v>
      </c>
      <c r="AH522" s="112" t="e">
        <f ca="1">AI521+1</f>
        <v>#N/A</v>
      </c>
      <c r="AI522" s="112" t="e">
        <f ca="1">IF(INDIRECT(CONCATENATE("AD",AG520))&lt;100000,INDIRECT(CONCATENATE("AD",AG520))-1,IF(INDIRECT(CONCATENATE("AE",AG520))&lt;100000,INDIRECT(CONCATENATE("AE",G520)),INDIRECT(CONCATENATE("AF",AG520))))</f>
        <v>#N/A</v>
      </c>
      <c r="AJ522" s="112" t="e">
        <f t="shared" ca="1" si="465"/>
        <v>#N/A</v>
      </c>
      <c r="AK522" s="112">
        <f t="shared" ca="1" si="467"/>
        <v>100000</v>
      </c>
      <c r="AL522" s="238" t="e">
        <f t="shared" ca="1" si="466"/>
        <v>#N/A</v>
      </c>
      <c r="AM522" s="112">
        <f t="shared" ca="1" si="464"/>
        <v>100000</v>
      </c>
      <c r="AN522" s="112">
        <f t="shared" ca="1" si="463"/>
        <v>100000</v>
      </c>
      <c r="AO522" s="114">
        <f t="shared" ca="1" si="459"/>
        <v>0</v>
      </c>
      <c r="AP522" s="114">
        <f t="shared" ca="1" si="460"/>
        <v>24</v>
      </c>
      <c r="AR522" s="238">
        <f t="shared" si="462"/>
        <v>522</v>
      </c>
      <c r="CJ522" s="112"/>
      <c r="CK522" s="112"/>
    </row>
    <row r="523" spans="33:89" x14ac:dyDescent="0.25">
      <c r="AG523" s="238">
        <f>AG522</f>
        <v>120</v>
      </c>
      <c r="AH523" s="112" t="e">
        <f ca="1">AI522+1</f>
        <v>#N/A</v>
      </c>
      <c r="AI523" s="112" t="e">
        <f ca="1">IF(INDIRECT(CONCATENATE("AE",AG520))&lt;100000,INDIRECT(CONCATENATE("AE",G520)),INDIRECT(CONCATENATE("AF",AG520)))</f>
        <v>#N/A</v>
      </c>
      <c r="AJ523" s="112" t="e">
        <f t="shared" ca="1" si="465"/>
        <v>#N/A</v>
      </c>
      <c r="AK523" s="112">
        <f t="shared" ca="1" si="467"/>
        <v>100000</v>
      </c>
      <c r="AL523" s="238" t="e">
        <f t="shared" ca="1" si="466"/>
        <v>#N/A</v>
      </c>
      <c r="AM523" s="112">
        <f t="shared" ca="1" si="464"/>
        <v>100000</v>
      </c>
      <c r="AN523" s="112">
        <f t="shared" ca="1" si="463"/>
        <v>100000</v>
      </c>
      <c r="AO523" s="114">
        <f t="shared" ca="1" si="459"/>
        <v>0</v>
      </c>
      <c r="AP523" s="114">
        <f t="shared" ca="1" si="460"/>
        <v>24</v>
      </c>
      <c r="AR523" s="238">
        <f t="shared" si="462"/>
        <v>523</v>
      </c>
      <c r="CJ523" s="112"/>
      <c r="CK523" s="112"/>
    </row>
    <row r="524" spans="33:89" x14ac:dyDescent="0.25">
      <c r="AG524" s="238">
        <f>AG523</f>
        <v>120</v>
      </c>
      <c r="AH524" s="112" t="e">
        <f ca="1">AI523+1</f>
        <v>#N/A</v>
      </c>
      <c r="AI524" s="112" t="str">
        <f ca="1">INDIRECT(CONCATENATE("AF",AG520))</f>
        <v/>
      </c>
      <c r="AJ524" s="112" t="str">
        <f t="shared" ca="1" si="465"/>
        <v/>
      </c>
      <c r="AK524" s="112">
        <f t="shared" ca="1" si="467"/>
        <v>100000</v>
      </c>
      <c r="AL524" s="238" t="e">
        <f t="shared" ca="1" si="466"/>
        <v>#N/A</v>
      </c>
      <c r="AM524" s="112">
        <f t="shared" ca="1" si="464"/>
        <v>100000</v>
      </c>
      <c r="AN524" s="112">
        <f t="shared" ca="1" si="463"/>
        <v>100000</v>
      </c>
      <c r="AO524" s="114">
        <f t="shared" ca="1" si="459"/>
        <v>0</v>
      </c>
      <c r="AP524" s="114">
        <f t="shared" ca="1" si="460"/>
        <v>24</v>
      </c>
      <c r="AR524" s="238">
        <f t="shared" si="462"/>
        <v>524</v>
      </c>
      <c r="CJ524" s="112"/>
      <c r="CK524" s="112"/>
    </row>
    <row r="525" spans="33:89" x14ac:dyDescent="0.25">
      <c r="AG525" s="238">
        <f>AG524+1</f>
        <v>121</v>
      </c>
      <c r="AH525" s="112" t="str">
        <f ca="1">INDIRECT(CONCATENATE("AA",AG525))</f>
        <v/>
      </c>
      <c r="AI525" s="112" t="e">
        <f ca="1">IF(            INDIRECT(CONCATENATE( "AB",AG525))&lt;100000,       INDIRECT(CONCATENATE("AB",AG525))  -1,IF(   INDIRECT(CONCATENATE("AC",AG525))&lt;100000,   INDIRECT(CONCATENATE("AC",AG525))-1,IF(   INDIRECT(CONCATENATE("AD", AG525))&lt;100000, INDIRECT(CONCATENATE("AD",AG525))-1,IF(   INDIRECT(CONCATENATE("AE",AG525))&lt;100000,  INDIRECT(CONCATENATE("AE",G525)),INDIRECT(CONCATENATE("AF",AG525))                ))))</f>
        <v>#N/A</v>
      </c>
      <c r="AJ525" s="112" t="str">
        <f t="shared" ca="1" si="465"/>
        <v/>
      </c>
      <c r="AK525" s="112" t="str">
        <f t="shared" ca="1" si="467"/>
        <v/>
      </c>
      <c r="AL525" s="238">
        <f t="shared" ca="1" si="466"/>
        <v>0</v>
      </c>
      <c r="AM525" s="112">
        <f t="shared" ca="1" si="464"/>
        <v>100000</v>
      </c>
      <c r="AN525" s="112">
        <f t="shared" ca="1" si="463"/>
        <v>100000</v>
      </c>
      <c r="AO525" s="114">
        <f t="shared" ca="1" si="459"/>
        <v>0</v>
      </c>
      <c r="AP525" s="114">
        <f t="shared" ca="1" si="460"/>
        <v>24</v>
      </c>
      <c r="AR525" s="238">
        <f t="shared" si="462"/>
        <v>525</v>
      </c>
      <c r="CJ525" s="112"/>
      <c r="CK525" s="112"/>
    </row>
    <row r="526" spans="33:89" x14ac:dyDescent="0.25">
      <c r="AG526" s="238">
        <f>AG525</f>
        <v>121</v>
      </c>
      <c r="AH526" s="112" t="e">
        <f ca="1">AI525+1</f>
        <v>#N/A</v>
      </c>
      <c r="AI526" s="112" t="e">
        <f ca="1">IF(INDIRECT(CONCATENATE("AC",AG525))&lt;100000,INDIRECT(CONCATENATE("AC",AG525))-1,IF(INDIRECT(CONCATENATE("AD",AG525))&lt;100000,INDIRECT(CONCATENATE("AD",AG525))-1,IF(INDIRECT(CONCATENATE("AE",AG525))&lt;100000,INDIRECT(CONCATENATE("AE",G525)),INDIRECT(CONCATENATE("AF",AG525)))))</f>
        <v>#N/A</v>
      </c>
      <c r="AJ526" s="112" t="e">
        <f t="shared" ca="1" si="465"/>
        <v>#N/A</v>
      </c>
      <c r="AK526" s="112">
        <f t="shared" ca="1" si="467"/>
        <v>100000</v>
      </c>
      <c r="AL526" s="238" t="e">
        <f t="shared" ca="1" si="466"/>
        <v>#N/A</v>
      </c>
      <c r="AM526" s="112">
        <f t="shared" ca="1" si="464"/>
        <v>100000</v>
      </c>
      <c r="AN526" s="112">
        <f t="shared" ca="1" si="463"/>
        <v>100000</v>
      </c>
      <c r="AO526" s="114">
        <f t="shared" ca="1" si="459"/>
        <v>0</v>
      </c>
      <c r="AP526" s="114">
        <f t="shared" ca="1" si="460"/>
        <v>24</v>
      </c>
      <c r="AR526" s="238">
        <f t="shared" si="462"/>
        <v>526</v>
      </c>
      <c r="CJ526" s="112"/>
      <c r="CK526" s="112"/>
    </row>
    <row r="527" spans="33:89" x14ac:dyDescent="0.25">
      <c r="AG527" s="238">
        <f>AG526</f>
        <v>121</v>
      </c>
      <c r="AH527" s="112" t="e">
        <f ca="1">AI526+1</f>
        <v>#N/A</v>
      </c>
      <c r="AI527" s="112" t="e">
        <f ca="1">IF(INDIRECT(CONCATENATE("AD",AG525))&lt;100000,INDIRECT(CONCATENATE("AD",AG525))-1,IF(INDIRECT(CONCATENATE("AE",AG525))&lt;100000,INDIRECT(CONCATENATE("AE",G525)),INDIRECT(CONCATENATE("AF",AG525))))</f>
        <v>#N/A</v>
      </c>
      <c r="AJ527" s="112" t="e">
        <f t="shared" ca="1" si="465"/>
        <v>#N/A</v>
      </c>
      <c r="AK527" s="112">
        <f t="shared" ca="1" si="467"/>
        <v>100000</v>
      </c>
      <c r="AL527" s="238" t="e">
        <f t="shared" ca="1" si="466"/>
        <v>#N/A</v>
      </c>
      <c r="AM527" s="112">
        <f t="shared" ca="1" si="464"/>
        <v>100000</v>
      </c>
      <c r="AN527" s="112">
        <f t="shared" ca="1" si="463"/>
        <v>100000</v>
      </c>
      <c r="AO527" s="114">
        <f t="shared" ca="1" si="459"/>
        <v>0</v>
      </c>
      <c r="AP527" s="114">
        <f t="shared" ca="1" si="460"/>
        <v>24</v>
      </c>
      <c r="AR527" s="238">
        <f t="shared" si="462"/>
        <v>527</v>
      </c>
      <c r="CJ527" s="112"/>
      <c r="CK527" s="112"/>
    </row>
    <row r="528" spans="33:89" x14ac:dyDescent="0.25">
      <c r="AG528" s="238">
        <f>AG527</f>
        <v>121</v>
      </c>
      <c r="AH528" s="112" t="e">
        <f ca="1">AI527+1</f>
        <v>#N/A</v>
      </c>
      <c r="AI528" s="112" t="e">
        <f ca="1">IF(INDIRECT(CONCATENATE("AE",AG525))&lt;100000,INDIRECT(CONCATENATE("AE",G525)),INDIRECT(CONCATENATE("AF",AG525)))</f>
        <v>#N/A</v>
      </c>
      <c r="AJ528" s="112" t="e">
        <f t="shared" ca="1" si="465"/>
        <v>#N/A</v>
      </c>
      <c r="AK528" s="112">
        <f t="shared" ca="1" si="467"/>
        <v>100000</v>
      </c>
      <c r="AL528" s="238" t="e">
        <f t="shared" ca="1" si="466"/>
        <v>#N/A</v>
      </c>
      <c r="AM528" s="112">
        <f t="shared" ca="1" si="464"/>
        <v>100000</v>
      </c>
      <c r="AN528" s="112">
        <f t="shared" ca="1" si="463"/>
        <v>100000</v>
      </c>
      <c r="AO528" s="114">
        <f t="shared" ca="1" si="459"/>
        <v>0</v>
      </c>
      <c r="AP528" s="114">
        <f t="shared" ca="1" si="460"/>
        <v>24</v>
      </c>
      <c r="AR528" s="238">
        <f t="shared" si="462"/>
        <v>528</v>
      </c>
      <c r="CJ528" s="112"/>
      <c r="CK528" s="112"/>
    </row>
    <row r="529" spans="33:89" x14ac:dyDescent="0.25">
      <c r="AG529" s="238">
        <f>AG528</f>
        <v>121</v>
      </c>
      <c r="AH529" s="112" t="e">
        <f ca="1">AI528+1</f>
        <v>#N/A</v>
      </c>
      <c r="AI529" s="112" t="str">
        <f ca="1">INDIRECT(CONCATENATE("AF",AG525))</f>
        <v/>
      </c>
      <c r="AJ529" s="112" t="str">
        <f t="shared" ca="1" si="465"/>
        <v/>
      </c>
      <c r="AK529" s="112">
        <f t="shared" ca="1" si="467"/>
        <v>100000</v>
      </c>
      <c r="AL529" s="238" t="e">
        <f t="shared" ca="1" si="466"/>
        <v>#N/A</v>
      </c>
      <c r="AM529" s="112">
        <f t="shared" ca="1" si="464"/>
        <v>100000</v>
      </c>
      <c r="AN529" s="112">
        <f t="shared" ca="1" si="463"/>
        <v>100000</v>
      </c>
      <c r="AO529" s="114">
        <f t="shared" ca="1" si="459"/>
        <v>0</v>
      </c>
      <c r="AP529" s="114">
        <f t="shared" ca="1" si="460"/>
        <v>24</v>
      </c>
      <c r="AR529" s="238">
        <f t="shared" si="462"/>
        <v>529</v>
      </c>
      <c r="CJ529" s="112"/>
      <c r="CK529" s="112"/>
    </row>
    <row r="530" spans="33:89" x14ac:dyDescent="0.25">
      <c r="AG530" s="238">
        <f>AG529+1</f>
        <v>122</v>
      </c>
      <c r="AH530" s="112" t="str">
        <f ca="1">INDIRECT(CONCATENATE("AA",AG530))</f>
        <v/>
      </c>
      <c r="AI530" s="112" t="e">
        <f ca="1">IF(            INDIRECT(CONCATENATE( "AB",AG530))&lt;100000,       INDIRECT(CONCATENATE("AB",AG530))  -1,IF(   INDIRECT(CONCATENATE("AC",AG530))&lt;100000,   INDIRECT(CONCATENATE("AC",AG530))-1,IF(   INDIRECT(CONCATENATE("AD", AG530))&lt;100000, INDIRECT(CONCATENATE("AD",AG530))-1,IF(   INDIRECT(CONCATENATE("AE",AG530))&lt;100000,  INDIRECT(CONCATENATE("AE",G530)),INDIRECT(CONCATENATE("AF",AG530))                ))))</f>
        <v>#N/A</v>
      </c>
      <c r="AJ530" s="112" t="str">
        <f t="shared" ca="1" si="465"/>
        <v/>
      </c>
      <c r="AK530" s="112" t="str">
        <f t="shared" ca="1" si="467"/>
        <v/>
      </c>
      <c r="AL530" s="238">
        <f t="shared" ca="1" si="466"/>
        <v>0</v>
      </c>
      <c r="AM530" s="112">
        <f t="shared" ca="1" si="464"/>
        <v>100000</v>
      </c>
      <c r="AN530" s="112">
        <f t="shared" ca="1" si="463"/>
        <v>100000</v>
      </c>
      <c r="AO530" s="114">
        <f t="shared" ca="1" si="459"/>
        <v>0</v>
      </c>
      <c r="AP530" s="114">
        <f t="shared" ca="1" si="460"/>
        <v>24</v>
      </c>
      <c r="AR530" s="238">
        <f t="shared" si="462"/>
        <v>530</v>
      </c>
      <c r="CJ530" s="112"/>
      <c r="CK530" s="112"/>
    </row>
    <row r="531" spans="33:89" x14ac:dyDescent="0.25">
      <c r="AG531" s="238">
        <f>AG530</f>
        <v>122</v>
      </c>
      <c r="AH531" s="112" t="e">
        <f ca="1">AI530+1</f>
        <v>#N/A</v>
      </c>
      <c r="AI531" s="112" t="e">
        <f ca="1">IF(INDIRECT(CONCATENATE("AC",AG530))&lt;100000,INDIRECT(CONCATENATE("AC",AG530))-1,IF(INDIRECT(CONCATENATE("AD",AG530))&lt;100000,INDIRECT(CONCATENATE("AD",AG530))-1,IF(INDIRECT(CONCATENATE("AE",AG530))&lt;100000,INDIRECT(CONCATENATE("AE",G530)),INDIRECT(CONCATENATE("AF",AG530)))))</f>
        <v>#N/A</v>
      </c>
      <c r="AJ531" s="112" t="e">
        <f t="shared" ca="1" si="465"/>
        <v>#N/A</v>
      </c>
      <c r="AK531" s="112">
        <f t="shared" ca="1" si="467"/>
        <v>100000</v>
      </c>
      <c r="AL531" s="238" t="e">
        <f t="shared" ca="1" si="466"/>
        <v>#N/A</v>
      </c>
      <c r="AM531" s="112">
        <f t="shared" ca="1" si="464"/>
        <v>100000</v>
      </c>
      <c r="AN531" s="112">
        <f t="shared" ca="1" si="463"/>
        <v>100000</v>
      </c>
      <c r="AO531" s="114">
        <f t="shared" ca="1" si="459"/>
        <v>0</v>
      </c>
      <c r="AP531" s="114">
        <f t="shared" ca="1" si="460"/>
        <v>24</v>
      </c>
      <c r="AR531" s="238">
        <f t="shared" si="462"/>
        <v>531</v>
      </c>
      <c r="CJ531" s="112"/>
      <c r="CK531" s="112"/>
    </row>
    <row r="532" spans="33:89" x14ac:dyDescent="0.25">
      <c r="AG532" s="238">
        <f>AG531</f>
        <v>122</v>
      </c>
      <c r="AH532" s="112" t="e">
        <f ca="1">AI531+1</f>
        <v>#N/A</v>
      </c>
      <c r="AI532" s="112" t="e">
        <f ca="1">IF(INDIRECT(CONCATENATE("AD",AG530))&lt;100000,INDIRECT(CONCATENATE("AD",AG530))-1,IF(INDIRECT(CONCATENATE("AE",AG530))&lt;100000,INDIRECT(CONCATENATE("AE",G530)),INDIRECT(CONCATENATE("AF",AG530))))</f>
        <v>#N/A</v>
      </c>
      <c r="AJ532" s="112" t="e">
        <f t="shared" ca="1" si="465"/>
        <v>#N/A</v>
      </c>
      <c r="AK532" s="112">
        <f t="shared" ca="1" si="467"/>
        <v>100000</v>
      </c>
      <c r="AL532" s="238" t="e">
        <f t="shared" ca="1" si="466"/>
        <v>#N/A</v>
      </c>
      <c r="AM532" s="112">
        <f t="shared" ca="1" si="464"/>
        <v>100000</v>
      </c>
      <c r="AN532" s="112">
        <f t="shared" ca="1" si="463"/>
        <v>100000</v>
      </c>
      <c r="AO532" s="114">
        <f t="shared" ca="1" si="459"/>
        <v>0</v>
      </c>
      <c r="AP532" s="114">
        <f t="shared" ca="1" si="460"/>
        <v>24</v>
      </c>
      <c r="AR532" s="238">
        <f t="shared" si="462"/>
        <v>532</v>
      </c>
      <c r="CJ532" s="112"/>
      <c r="CK532" s="112"/>
    </row>
    <row r="533" spans="33:89" x14ac:dyDescent="0.25">
      <c r="AG533" s="238">
        <f>AG532</f>
        <v>122</v>
      </c>
      <c r="AH533" s="112" t="e">
        <f ca="1">AI532+1</f>
        <v>#N/A</v>
      </c>
      <c r="AI533" s="112" t="e">
        <f ca="1">IF(INDIRECT(CONCATENATE("AE",AG530))&lt;100000,INDIRECT(CONCATENATE("AE",G530)),INDIRECT(CONCATENATE("AF",AG530)))</f>
        <v>#N/A</v>
      </c>
      <c r="AJ533" s="112" t="e">
        <f t="shared" ca="1" si="465"/>
        <v>#N/A</v>
      </c>
      <c r="AK533" s="112">
        <f t="shared" ca="1" si="467"/>
        <v>100000</v>
      </c>
      <c r="AL533" s="238" t="e">
        <f t="shared" ca="1" si="466"/>
        <v>#N/A</v>
      </c>
      <c r="AM533" s="112">
        <f t="shared" ca="1" si="464"/>
        <v>100000</v>
      </c>
      <c r="AN533" s="112">
        <f t="shared" ca="1" si="463"/>
        <v>100000</v>
      </c>
      <c r="AO533" s="114">
        <f t="shared" ref="AO533:AO564" ca="1" si="468">INDIRECT(CONCATENATE("i",AG533))</f>
        <v>0</v>
      </c>
      <c r="AP533" s="114">
        <f t="shared" ref="AP533:AP564" ca="1" si="469">INDIRECT(CONCATENATE("J",AG533))</f>
        <v>24</v>
      </c>
      <c r="AR533" s="238">
        <f t="shared" si="462"/>
        <v>533</v>
      </c>
      <c r="CJ533" s="112"/>
      <c r="CK533" s="112"/>
    </row>
    <row r="534" spans="33:89" x14ac:dyDescent="0.25">
      <c r="AG534" s="238">
        <f>AG533</f>
        <v>122</v>
      </c>
      <c r="AH534" s="112" t="e">
        <f ca="1">AI533+1</f>
        <v>#N/A</v>
      </c>
      <c r="AI534" s="112" t="str">
        <f ca="1">INDIRECT(CONCATENATE("AF",AG530))</f>
        <v/>
      </c>
      <c r="AJ534" s="112" t="str">
        <f t="shared" ca="1" si="465"/>
        <v/>
      </c>
      <c r="AK534" s="112">
        <f t="shared" ca="1" si="467"/>
        <v>100000</v>
      </c>
      <c r="AL534" s="238" t="e">
        <f t="shared" ca="1" si="466"/>
        <v>#N/A</v>
      </c>
      <c r="AM534" s="112">
        <f t="shared" ca="1" si="464"/>
        <v>100000</v>
      </c>
      <c r="AN534" s="112">
        <f t="shared" ca="1" si="463"/>
        <v>100000</v>
      </c>
      <c r="AO534" s="114">
        <f t="shared" ca="1" si="468"/>
        <v>0</v>
      </c>
      <c r="AP534" s="114">
        <f t="shared" ca="1" si="469"/>
        <v>24</v>
      </c>
      <c r="AR534" s="238">
        <f t="shared" ref="AR534:AR564" si="470">AR533+1</f>
        <v>534</v>
      </c>
      <c r="CJ534" s="112"/>
      <c r="CK534" s="112"/>
    </row>
    <row r="535" spans="33:89" x14ac:dyDescent="0.25">
      <c r="AG535" s="238">
        <f>AG534+1</f>
        <v>123</v>
      </c>
      <c r="AH535" s="112" t="str">
        <f ca="1">INDIRECT(CONCATENATE("AA",AG535))</f>
        <v/>
      </c>
      <c r="AI535" s="112" t="e">
        <f ca="1">IF(            INDIRECT(CONCATENATE( "AB",AG535))&lt;100000,       INDIRECT(CONCATENATE("AB",AG535))  -1,IF(   INDIRECT(CONCATENATE("AC",AG535))&lt;100000,   INDIRECT(CONCATENATE("AC",AG535))-1,IF(   INDIRECT(CONCATENATE("AD", AG535))&lt;100000, INDIRECT(CONCATENATE("AD",AG535))-1,IF(   INDIRECT(CONCATENATE("AE",AG535))&lt;100000,  INDIRECT(CONCATENATE("AE",G535)),INDIRECT(CONCATENATE("AF",AG535))                ))))</f>
        <v>#N/A</v>
      </c>
      <c r="AJ535" s="112" t="str">
        <f t="shared" ca="1" si="465"/>
        <v/>
      </c>
      <c r="AK535" s="112" t="str">
        <f t="shared" ca="1" si="467"/>
        <v/>
      </c>
      <c r="AL535" s="238">
        <f t="shared" ca="1" si="466"/>
        <v>0</v>
      </c>
      <c r="AM535" s="112">
        <f t="shared" ca="1" si="464"/>
        <v>100000</v>
      </c>
      <c r="AN535" s="112">
        <f t="shared" ref="AN535:AN564" ca="1" si="471">IF(AM535=100000,100000,AK535)</f>
        <v>100000</v>
      </c>
      <c r="AO535" s="114">
        <f t="shared" ca="1" si="468"/>
        <v>0</v>
      </c>
      <c r="AP535" s="114">
        <f t="shared" ca="1" si="469"/>
        <v>24</v>
      </c>
      <c r="AR535" s="238">
        <f t="shared" si="470"/>
        <v>535</v>
      </c>
      <c r="CJ535" s="112"/>
      <c r="CK535" s="112"/>
    </row>
    <row r="536" spans="33:89" x14ac:dyDescent="0.25">
      <c r="AG536" s="238">
        <f>AG535</f>
        <v>123</v>
      </c>
      <c r="AH536" s="112" t="e">
        <f ca="1">AI535+1</f>
        <v>#N/A</v>
      </c>
      <c r="AI536" s="112" t="e">
        <f ca="1">IF(INDIRECT(CONCATENATE("AC",AG535))&lt;100000,INDIRECT(CONCATENATE("AC",AG535))-1,IF(INDIRECT(CONCATENATE("AD",AG535))&lt;100000,INDIRECT(CONCATENATE("AD",AG535))-1,IF(INDIRECT(CONCATENATE("AE",AG535))&lt;100000,INDIRECT(CONCATENATE("AE",G535)),INDIRECT(CONCATENATE("AF",AG535)))))</f>
        <v>#N/A</v>
      </c>
      <c r="AJ536" s="112" t="e">
        <f t="shared" ca="1" si="465"/>
        <v>#N/A</v>
      </c>
      <c r="AK536" s="112">
        <f t="shared" ca="1" si="467"/>
        <v>100000</v>
      </c>
      <c r="AL536" s="238" t="e">
        <f t="shared" ca="1" si="466"/>
        <v>#N/A</v>
      </c>
      <c r="AM536" s="112">
        <f t="shared" ca="1" si="464"/>
        <v>100000</v>
      </c>
      <c r="AN536" s="112">
        <f t="shared" ca="1" si="471"/>
        <v>100000</v>
      </c>
      <c r="AO536" s="114">
        <f t="shared" ca="1" si="468"/>
        <v>0</v>
      </c>
      <c r="AP536" s="114">
        <f t="shared" ca="1" si="469"/>
        <v>24</v>
      </c>
      <c r="AR536" s="238">
        <f t="shared" si="470"/>
        <v>536</v>
      </c>
      <c r="CJ536" s="112"/>
      <c r="CK536" s="112"/>
    </row>
    <row r="537" spans="33:89" x14ac:dyDescent="0.25">
      <c r="AG537" s="238">
        <f>AG536</f>
        <v>123</v>
      </c>
      <c r="AH537" s="112" t="e">
        <f ca="1">AI536+1</f>
        <v>#N/A</v>
      </c>
      <c r="AI537" s="112" t="e">
        <f ca="1">IF(INDIRECT(CONCATENATE("AD",AG535))&lt;100000,INDIRECT(CONCATENATE("AD",AG535))-1,IF(INDIRECT(CONCATENATE("AE",AG535))&lt;100000,INDIRECT(CONCATENATE("AE",G535)),INDIRECT(CONCATENATE("AF",AG535))))</f>
        <v>#N/A</v>
      </c>
      <c r="AJ537" s="112" t="e">
        <f t="shared" ca="1" si="465"/>
        <v>#N/A</v>
      </c>
      <c r="AK537" s="112">
        <f t="shared" ca="1" si="467"/>
        <v>100000</v>
      </c>
      <c r="AL537" s="238" t="e">
        <f t="shared" ca="1" si="466"/>
        <v>#N/A</v>
      </c>
      <c r="AM537" s="112">
        <f t="shared" ca="1" si="464"/>
        <v>100000</v>
      </c>
      <c r="AN537" s="112">
        <f t="shared" ca="1" si="471"/>
        <v>100000</v>
      </c>
      <c r="AO537" s="114">
        <f t="shared" ca="1" si="468"/>
        <v>0</v>
      </c>
      <c r="AP537" s="114">
        <f t="shared" ca="1" si="469"/>
        <v>24</v>
      </c>
      <c r="AR537" s="238">
        <f t="shared" si="470"/>
        <v>537</v>
      </c>
      <c r="CJ537" s="112"/>
      <c r="CK537" s="112"/>
    </row>
    <row r="538" spans="33:89" x14ac:dyDescent="0.25">
      <c r="AG538" s="238">
        <f>AG537</f>
        <v>123</v>
      </c>
      <c r="AH538" s="112" t="e">
        <f ca="1">AI537+1</f>
        <v>#N/A</v>
      </c>
      <c r="AI538" s="112" t="e">
        <f ca="1">IF(INDIRECT(CONCATENATE("AE",AG535))&lt;100000,INDIRECT(CONCATENATE("AE",G535)),INDIRECT(CONCATENATE("AF",AG535)))</f>
        <v>#N/A</v>
      </c>
      <c r="AJ538" s="112" t="e">
        <f t="shared" ca="1" si="465"/>
        <v>#N/A</v>
      </c>
      <c r="AK538" s="112">
        <f t="shared" ca="1" si="467"/>
        <v>100000</v>
      </c>
      <c r="AL538" s="238" t="e">
        <f t="shared" ca="1" si="466"/>
        <v>#N/A</v>
      </c>
      <c r="AM538" s="112">
        <f t="shared" ca="1" si="464"/>
        <v>100000</v>
      </c>
      <c r="AN538" s="112">
        <f t="shared" ca="1" si="471"/>
        <v>100000</v>
      </c>
      <c r="AO538" s="114">
        <f t="shared" ca="1" si="468"/>
        <v>0</v>
      </c>
      <c r="AP538" s="114">
        <f t="shared" ca="1" si="469"/>
        <v>24</v>
      </c>
      <c r="AR538" s="238">
        <f t="shared" si="470"/>
        <v>538</v>
      </c>
      <c r="CJ538" s="112"/>
      <c r="CK538" s="112"/>
    </row>
    <row r="539" spans="33:89" x14ac:dyDescent="0.25">
      <c r="AG539" s="238">
        <f>AG538</f>
        <v>123</v>
      </c>
      <c r="AH539" s="112" t="e">
        <f ca="1">AI538+1</f>
        <v>#N/A</v>
      </c>
      <c r="AI539" s="112" t="str">
        <f ca="1">INDIRECT(CONCATENATE("AF",AG535))</f>
        <v/>
      </c>
      <c r="AJ539" s="112" t="str">
        <f t="shared" ca="1" si="465"/>
        <v/>
      </c>
      <c r="AK539" s="112">
        <f t="shared" ca="1" si="467"/>
        <v>100000</v>
      </c>
      <c r="AL539" s="238" t="e">
        <f t="shared" ca="1" si="466"/>
        <v>#N/A</v>
      </c>
      <c r="AM539" s="112">
        <f t="shared" ca="1" si="464"/>
        <v>100000</v>
      </c>
      <c r="AN539" s="112">
        <f t="shared" ca="1" si="471"/>
        <v>100000</v>
      </c>
      <c r="AO539" s="114">
        <f t="shared" ca="1" si="468"/>
        <v>0</v>
      </c>
      <c r="AP539" s="114">
        <f t="shared" ca="1" si="469"/>
        <v>24</v>
      </c>
      <c r="AR539" s="238">
        <f t="shared" si="470"/>
        <v>539</v>
      </c>
      <c r="CJ539" s="112"/>
      <c r="CK539" s="112"/>
    </row>
    <row r="540" spans="33:89" x14ac:dyDescent="0.25">
      <c r="AG540" s="238">
        <f>AG539+1</f>
        <v>124</v>
      </c>
      <c r="AH540" s="112" t="str">
        <f ca="1">INDIRECT(CONCATENATE("AA",AG540))</f>
        <v/>
      </c>
      <c r="AI540" s="112" t="e">
        <f ca="1">IF(            INDIRECT(CONCATENATE( "AB",AG540))&lt;100000,       INDIRECT(CONCATENATE("AB",AG540))  -1,IF(   INDIRECT(CONCATENATE("AC",AG540))&lt;100000,   INDIRECT(CONCATENATE("AC",AG540))-1,IF(   INDIRECT(CONCATENATE("AD", AG540))&lt;100000, INDIRECT(CONCATENATE("AD",AG540))-1,IF(   INDIRECT(CONCATENATE("AE",AG540))&lt;100000,  INDIRECT(CONCATENATE("AE",G540)),INDIRECT(CONCATENATE("AF",AG540))                ))))</f>
        <v>#N/A</v>
      </c>
      <c r="AJ540" s="112" t="str">
        <f t="shared" ca="1" si="465"/>
        <v/>
      </c>
      <c r="AK540" s="112" t="str">
        <f t="shared" ca="1" si="467"/>
        <v/>
      </c>
      <c r="AL540" s="238">
        <f t="shared" ca="1" si="466"/>
        <v>0</v>
      </c>
      <c r="AM540" s="112">
        <f t="shared" ca="1" si="464"/>
        <v>100000</v>
      </c>
      <c r="AN540" s="112">
        <f t="shared" ca="1" si="471"/>
        <v>100000</v>
      </c>
      <c r="AO540" s="114">
        <f t="shared" ca="1" si="468"/>
        <v>0</v>
      </c>
      <c r="AP540" s="114">
        <f t="shared" ca="1" si="469"/>
        <v>24</v>
      </c>
      <c r="AR540" s="238">
        <f t="shared" si="470"/>
        <v>540</v>
      </c>
      <c r="CJ540" s="112"/>
      <c r="CK540" s="112"/>
    </row>
    <row r="541" spans="33:89" x14ac:dyDescent="0.25">
      <c r="AG541" s="238">
        <f>AG540</f>
        <v>124</v>
      </c>
      <c r="AH541" s="112" t="e">
        <f ca="1">AI540+1</f>
        <v>#N/A</v>
      </c>
      <c r="AI541" s="112" t="e">
        <f ca="1">IF(INDIRECT(CONCATENATE("AC",AG540))&lt;100000,INDIRECT(CONCATENATE("AC",AG540))-1,IF(INDIRECT(CONCATENATE("AD",AG540))&lt;100000,INDIRECT(CONCATENATE("AD",AG540))-1,IF(INDIRECT(CONCATENATE("AE",AG540))&lt;100000,INDIRECT(CONCATENATE("AE",G540)),INDIRECT(CONCATENATE("AF",AG540)))))</f>
        <v>#N/A</v>
      </c>
      <c r="AJ541" s="112" t="e">
        <f t="shared" ca="1" si="465"/>
        <v>#N/A</v>
      </c>
      <c r="AK541" s="112">
        <f t="shared" ca="1" si="467"/>
        <v>100000</v>
      </c>
      <c r="AL541" s="238" t="e">
        <f t="shared" ca="1" si="466"/>
        <v>#N/A</v>
      </c>
      <c r="AM541" s="112">
        <f t="shared" ca="1" si="464"/>
        <v>100000</v>
      </c>
      <c r="AN541" s="112">
        <f t="shared" ca="1" si="471"/>
        <v>100000</v>
      </c>
      <c r="AO541" s="114">
        <f t="shared" ca="1" si="468"/>
        <v>0</v>
      </c>
      <c r="AP541" s="114">
        <f t="shared" ca="1" si="469"/>
        <v>24</v>
      </c>
      <c r="AR541" s="238">
        <f t="shared" si="470"/>
        <v>541</v>
      </c>
      <c r="CJ541" s="112"/>
      <c r="CK541" s="112"/>
    </row>
    <row r="542" spans="33:89" x14ac:dyDescent="0.25">
      <c r="AG542" s="238">
        <f>AG541</f>
        <v>124</v>
      </c>
      <c r="AH542" s="112" t="e">
        <f ca="1">AI541+1</f>
        <v>#N/A</v>
      </c>
      <c r="AI542" s="112" t="e">
        <f ca="1">IF(INDIRECT(CONCATENATE("AD",AG540))&lt;100000,INDIRECT(CONCATENATE("AD",AG540))-1,IF(INDIRECT(CONCATENATE("AE",AG540))&lt;100000,INDIRECT(CONCATENATE("AE",G540)),INDIRECT(CONCATENATE("AF",AG540))))</f>
        <v>#N/A</v>
      </c>
      <c r="AJ542" s="112" t="e">
        <f t="shared" ca="1" si="465"/>
        <v>#N/A</v>
      </c>
      <c r="AK542" s="112">
        <f t="shared" ca="1" si="467"/>
        <v>100000</v>
      </c>
      <c r="AL542" s="238" t="e">
        <f t="shared" ca="1" si="466"/>
        <v>#N/A</v>
      </c>
      <c r="AM542" s="112">
        <f t="shared" ca="1" si="464"/>
        <v>100000</v>
      </c>
      <c r="AN542" s="112">
        <f t="shared" ca="1" si="471"/>
        <v>100000</v>
      </c>
      <c r="AO542" s="114">
        <f t="shared" ca="1" si="468"/>
        <v>0</v>
      </c>
      <c r="AP542" s="114">
        <f t="shared" ca="1" si="469"/>
        <v>24</v>
      </c>
      <c r="AR542" s="238">
        <f t="shared" si="470"/>
        <v>542</v>
      </c>
      <c r="CJ542" s="112"/>
      <c r="CK542" s="112"/>
    </row>
    <row r="543" spans="33:89" x14ac:dyDescent="0.25">
      <c r="AG543" s="238">
        <f>AG542</f>
        <v>124</v>
      </c>
      <c r="AH543" s="112" t="e">
        <f ca="1">AI542+1</f>
        <v>#N/A</v>
      </c>
      <c r="AI543" s="112" t="e">
        <f ca="1">IF(INDIRECT(CONCATENATE("AE",AG540))&lt;100000,INDIRECT(CONCATENATE("AE",G540)),INDIRECT(CONCATENATE("AF",AG540)))</f>
        <v>#N/A</v>
      </c>
      <c r="AJ543" s="112" t="e">
        <f t="shared" ca="1" si="465"/>
        <v>#N/A</v>
      </c>
      <c r="AK543" s="112">
        <f t="shared" ca="1" si="467"/>
        <v>100000</v>
      </c>
      <c r="AL543" s="238" t="e">
        <f t="shared" ca="1" si="466"/>
        <v>#N/A</v>
      </c>
      <c r="AM543" s="112">
        <f t="shared" ca="1" si="464"/>
        <v>100000</v>
      </c>
      <c r="AN543" s="112">
        <f t="shared" ca="1" si="471"/>
        <v>100000</v>
      </c>
      <c r="AO543" s="114">
        <f t="shared" ca="1" si="468"/>
        <v>0</v>
      </c>
      <c r="AP543" s="114">
        <f t="shared" ca="1" si="469"/>
        <v>24</v>
      </c>
      <c r="AR543" s="238">
        <f t="shared" si="470"/>
        <v>543</v>
      </c>
      <c r="CJ543" s="112"/>
      <c r="CK543" s="112"/>
    </row>
    <row r="544" spans="33:89" x14ac:dyDescent="0.25">
      <c r="AG544" s="238">
        <f>AG543</f>
        <v>124</v>
      </c>
      <c r="AH544" s="112" t="e">
        <f ca="1">AI543+1</f>
        <v>#N/A</v>
      </c>
      <c r="AI544" s="112" t="str">
        <f ca="1">INDIRECT(CONCATENATE("AF",AG540))</f>
        <v/>
      </c>
      <c r="AJ544" s="112" t="str">
        <f t="shared" ca="1" si="465"/>
        <v/>
      </c>
      <c r="AK544" s="112">
        <f t="shared" ca="1" si="467"/>
        <v>100000</v>
      </c>
      <c r="AL544" s="238" t="e">
        <f t="shared" ca="1" si="466"/>
        <v>#N/A</v>
      </c>
      <c r="AM544" s="112">
        <f t="shared" ca="1" si="464"/>
        <v>100000</v>
      </c>
      <c r="AN544" s="112">
        <f t="shared" ca="1" si="471"/>
        <v>100000</v>
      </c>
      <c r="AO544" s="114">
        <f t="shared" ca="1" si="468"/>
        <v>0</v>
      </c>
      <c r="AP544" s="114">
        <f t="shared" ca="1" si="469"/>
        <v>24</v>
      </c>
      <c r="AR544" s="238">
        <f t="shared" si="470"/>
        <v>544</v>
      </c>
      <c r="CJ544" s="112"/>
      <c r="CK544" s="112"/>
    </row>
    <row r="545" spans="33:89" x14ac:dyDescent="0.25">
      <c r="AG545" s="238">
        <f>AG544+1</f>
        <v>125</v>
      </c>
      <c r="AH545" s="112" t="str">
        <f ca="1">INDIRECT(CONCATENATE("AA",AG545))</f>
        <v/>
      </c>
      <c r="AI545" s="112" t="e">
        <f ca="1">IF(            INDIRECT(CONCATENATE( "AB",AG545))&lt;100000,       INDIRECT(CONCATENATE("AB",AG545))  -1,IF(   INDIRECT(CONCATENATE("AC",AG545))&lt;100000,   INDIRECT(CONCATENATE("AC",AG545))-1,IF(   INDIRECT(CONCATENATE("AD", AG545))&lt;100000, INDIRECT(CONCATENATE("AD",AG545))-1,IF(   INDIRECT(CONCATENATE("AE",AG545))&lt;100000,  INDIRECT(CONCATENATE("AE",G545)),INDIRECT(CONCATENATE("AF",AG545))                ))))</f>
        <v>#N/A</v>
      </c>
      <c r="AJ545" s="112" t="str">
        <f t="shared" ca="1" si="465"/>
        <v/>
      </c>
      <c r="AK545" s="112" t="str">
        <f t="shared" ca="1" si="467"/>
        <v/>
      </c>
      <c r="AL545" s="238">
        <f t="shared" ca="1" si="466"/>
        <v>0</v>
      </c>
      <c r="AM545" s="112">
        <f t="shared" ca="1" si="464"/>
        <v>100000</v>
      </c>
      <c r="AN545" s="112">
        <f t="shared" ca="1" si="471"/>
        <v>100000</v>
      </c>
      <c r="AO545" s="114">
        <f t="shared" ca="1" si="468"/>
        <v>0</v>
      </c>
      <c r="AP545" s="114">
        <f t="shared" ca="1" si="469"/>
        <v>24</v>
      </c>
      <c r="AR545" s="238">
        <f t="shared" si="470"/>
        <v>545</v>
      </c>
      <c r="CJ545" s="112"/>
      <c r="CK545" s="112"/>
    </row>
    <row r="546" spans="33:89" x14ac:dyDescent="0.25">
      <c r="AG546" s="238">
        <f>AG545</f>
        <v>125</v>
      </c>
      <c r="AH546" s="112" t="e">
        <f ca="1">AI545+1</f>
        <v>#N/A</v>
      </c>
      <c r="AI546" s="112" t="e">
        <f ca="1">IF(INDIRECT(CONCATENATE("AC",AG545))&lt;100000,INDIRECT(CONCATENATE("AC",AG545))-1,IF(INDIRECT(CONCATENATE("AD",AG545))&lt;100000,INDIRECT(CONCATENATE("AD",AG545))-1,IF(INDIRECT(CONCATENATE("AE",AG545))&lt;100000,INDIRECT(CONCATENATE("AE",G545)),INDIRECT(CONCATENATE("AF",AG545)))))</f>
        <v>#N/A</v>
      </c>
      <c r="AJ546" s="112" t="e">
        <f t="shared" ca="1" si="465"/>
        <v>#N/A</v>
      </c>
      <c r="AK546" s="112">
        <f t="shared" ca="1" si="467"/>
        <v>100000</v>
      </c>
      <c r="AL546" s="238" t="e">
        <f t="shared" ca="1" si="466"/>
        <v>#N/A</v>
      </c>
      <c r="AM546" s="112">
        <f t="shared" ca="1" si="464"/>
        <v>100000</v>
      </c>
      <c r="AN546" s="112">
        <f t="shared" ca="1" si="471"/>
        <v>100000</v>
      </c>
      <c r="AO546" s="114">
        <f t="shared" ca="1" si="468"/>
        <v>0</v>
      </c>
      <c r="AP546" s="114">
        <f t="shared" ca="1" si="469"/>
        <v>24</v>
      </c>
      <c r="AR546" s="238">
        <f t="shared" si="470"/>
        <v>546</v>
      </c>
      <c r="CJ546" s="112"/>
      <c r="CK546" s="112"/>
    </row>
    <row r="547" spans="33:89" x14ac:dyDescent="0.25">
      <c r="AG547" s="238">
        <f>AG546</f>
        <v>125</v>
      </c>
      <c r="AH547" s="112" t="e">
        <f ca="1">AI546+1</f>
        <v>#N/A</v>
      </c>
      <c r="AI547" s="112" t="e">
        <f ca="1">IF(INDIRECT(CONCATENATE("AD",AG545))&lt;100000,INDIRECT(CONCATENATE("AD",AG545))-1,IF(INDIRECT(CONCATENATE("AE",AG545))&lt;100000,INDIRECT(CONCATENATE("AE",G545)),INDIRECT(CONCATENATE("AF",AG545))))</f>
        <v>#N/A</v>
      </c>
      <c r="AJ547" s="112" t="e">
        <f t="shared" ca="1" si="465"/>
        <v>#N/A</v>
      </c>
      <c r="AK547" s="112">
        <f t="shared" ca="1" si="467"/>
        <v>100000</v>
      </c>
      <c r="AL547" s="238" t="e">
        <f t="shared" ca="1" si="466"/>
        <v>#N/A</v>
      </c>
      <c r="AM547" s="112">
        <f t="shared" ca="1" si="464"/>
        <v>100000</v>
      </c>
      <c r="AN547" s="112">
        <f t="shared" ca="1" si="471"/>
        <v>100000</v>
      </c>
      <c r="AO547" s="114">
        <f t="shared" ca="1" si="468"/>
        <v>0</v>
      </c>
      <c r="AP547" s="114">
        <f t="shared" ca="1" si="469"/>
        <v>24</v>
      </c>
      <c r="AR547" s="238">
        <f t="shared" si="470"/>
        <v>547</v>
      </c>
      <c r="CJ547" s="112"/>
      <c r="CK547" s="112"/>
    </row>
    <row r="548" spans="33:89" x14ac:dyDescent="0.25">
      <c r="AG548" s="238">
        <f>AG547</f>
        <v>125</v>
      </c>
      <c r="AH548" s="112" t="e">
        <f ca="1">AI547+1</f>
        <v>#N/A</v>
      </c>
      <c r="AI548" s="112" t="e">
        <f ca="1">IF(INDIRECT(CONCATENATE("AE",AG545))&lt;100000,INDIRECT(CONCATENATE("AE",G545)),INDIRECT(CONCATENATE("AF",AG545)))</f>
        <v>#N/A</v>
      </c>
      <c r="AJ548" s="112" t="e">
        <f t="shared" ca="1" si="465"/>
        <v>#N/A</v>
      </c>
      <c r="AK548" s="112">
        <f t="shared" ca="1" si="467"/>
        <v>100000</v>
      </c>
      <c r="AL548" s="238" t="e">
        <f t="shared" ca="1" si="466"/>
        <v>#N/A</v>
      </c>
      <c r="AM548" s="112">
        <f t="shared" ca="1" si="464"/>
        <v>100000</v>
      </c>
      <c r="AN548" s="112">
        <f t="shared" ca="1" si="471"/>
        <v>100000</v>
      </c>
      <c r="AO548" s="114">
        <f t="shared" ca="1" si="468"/>
        <v>0</v>
      </c>
      <c r="AP548" s="114">
        <f t="shared" ca="1" si="469"/>
        <v>24</v>
      </c>
      <c r="AR548" s="238">
        <f t="shared" si="470"/>
        <v>548</v>
      </c>
      <c r="CJ548" s="112"/>
      <c r="CK548" s="112"/>
    </row>
    <row r="549" spans="33:89" x14ac:dyDescent="0.25">
      <c r="AG549" s="238">
        <f>AG548</f>
        <v>125</v>
      </c>
      <c r="AH549" s="112" t="e">
        <f ca="1">AI548+1</f>
        <v>#N/A</v>
      </c>
      <c r="AI549" s="112" t="str">
        <f ca="1">INDIRECT(CONCATENATE("AF",AG545))</f>
        <v/>
      </c>
      <c r="AJ549" s="112" t="str">
        <f t="shared" ca="1" si="465"/>
        <v/>
      </c>
      <c r="AK549" s="112">
        <f t="shared" ca="1" si="467"/>
        <v>100000</v>
      </c>
      <c r="AL549" s="238" t="e">
        <f t="shared" ca="1" si="466"/>
        <v>#N/A</v>
      </c>
      <c r="AM549" s="112">
        <f t="shared" ca="1" si="464"/>
        <v>100000</v>
      </c>
      <c r="AN549" s="112">
        <f t="shared" ca="1" si="471"/>
        <v>100000</v>
      </c>
      <c r="AO549" s="114">
        <f t="shared" ca="1" si="468"/>
        <v>0</v>
      </c>
      <c r="AP549" s="114">
        <f t="shared" ca="1" si="469"/>
        <v>24</v>
      </c>
      <c r="AR549" s="238">
        <f t="shared" si="470"/>
        <v>549</v>
      </c>
      <c r="CJ549" s="112"/>
      <c r="CK549" s="112"/>
    </row>
    <row r="550" spans="33:89" x14ac:dyDescent="0.25">
      <c r="AG550" s="238">
        <f>AG549+1</f>
        <v>126</v>
      </c>
      <c r="AH550" s="112" t="str">
        <f ca="1">INDIRECT(CONCATENATE("AA",AG550))</f>
        <v/>
      </c>
      <c r="AI550" s="112" t="e">
        <f ca="1">IF(            INDIRECT(CONCATENATE( "AB",AG550))&lt;100000,       INDIRECT(CONCATENATE("AB",AG550))  -1,IF(   INDIRECT(CONCATENATE("AC",AG550))&lt;100000,   INDIRECT(CONCATENATE("AC",AG550))-1,IF(   INDIRECT(CONCATENATE("AD", AG550))&lt;100000, INDIRECT(CONCATENATE("AD",AG550))-1,IF(   INDIRECT(CONCATENATE("AE",AG550))&lt;100000,  INDIRECT(CONCATENATE("AE",G550)),INDIRECT(CONCATENATE("AF",AG550))                ))))</f>
        <v>#N/A</v>
      </c>
      <c r="AJ550" s="112" t="str">
        <f t="shared" ca="1" si="465"/>
        <v/>
      </c>
      <c r="AK550" s="112" t="str">
        <f t="shared" ca="1" si="467"/>
        <v/>
      </c>
      <c r="AL550" s="238">
        <f t="shared" ca="1" si="466"/>
        <v>0</v>
      </c>
      <c r="AM550" s="112">
        <f t="shared" ca="1" si="464"/>
        <v>100000</v>
      </c>
      <c r="AN550" s="112">
        <f t="shared" ca="1" si="471"/>
        <v>100000</v>
      </c>
      <c r="AO550" s="114">
        <f t="shared" ca="1" si="468"/>
        <v>0</v>
      </c>
      <c r="AP550" s="114">
        <f t="shared" ca="1" si="469"/>
        <v>24</v>
      </c>
      <c r="AR550" s="238">
        <f t="shared" si="470"/>
        <v>550</v>
      </c>
      <c r="CJ550" s="112"/>
      <c r="CK550" s="112"/>
    </row>
    <row r="551" spans="33:89" x14ac:dyDescent="0.25">
      <c r="AG551" s="238">
        <f>AG550</f>
        <v>126</v>
      </c>
      <c r="AH551" s="112" t="e">
        <f ca="1">AI550+1</f>
        <v>#N/A</v>
      </c>
      <c r="AI551" s="112" t="e">
        <f ca="1">IF(INDIRECT(CONCATENATE("AC",AG550))&lt;100000,INDIRECT(CONCATENATE("AC",AG550))-1,IF(INDIRECT(CONCATENATE("AD",AG550))&lt;100000,INDIRECT(CONCATENATE("AD",AG550))-1,IF(INDIRECT(CONCATENATE("AE",AG550))&lt;100000,INDIRECT(CONCATENATE("AE",G550)),INDIRECT(CONCATENATE("AF",AG550)))))</f>
        <v>#N/A</v>
      </c>
      <c r="AJ551" s="112" t="e">
        <f t="shared" ca="1" si="465"/>
        <v>#N/A</v>
      </c>
      <c r="AK551" s="112">
        <f t="shared" ca="1" si="467"/>
        <v>100000</v>
      </c>
      <c r="AL551" s="238" t="e">
        <f t="shared" ca="1" si="466"/>
        <v>#N/A</v>
      </c>
      <c r="AM551" s="112">
        <f t="shared" ca="1" si="464"/>
        <v>100000</v>
      </c>
      <c r="AN551" s="112">
        <f t="shared" ca="1" si="471"/>
        <v>100000</v>
      </c>
      <c r="AO551" s="114">
        <f t="shared" ca="1" si="468"/>
        <v>0</v>
      </c>
      <c r="AP551" s="114">
        <f t="shared" ca="1" si="469"/>
        <v>24</v>
      </c>
      <c r="AR551" s="238">
        <f t="shared" si="470"/>
        <v>551</v>
      </c>
      <c r="CJ551" s="112"/>
      <c r="CK551" s="112"/>
    </row>
    <row r="552" spans="33:89" x14ac:dyDescent="0.25">
      <c r="AG552" s="238">
        <f>AG551</f>
        <v>126</v>
      </c>
      <c r="AH552" s="112" t="e">
        <f ca="1">AI551+1</f>
        <v>#N/A</v>
      </c>
      <c r="AI552" s="112" t="e">
        <f ca="1">IF(INDIRECT(CONCATENATE("AD",AG550))&lt;100000,INDIRECT(CONCATENATE("AD",AG550))-1,IF(INDIRECT(CONCATENATE("AE",AG550))&lt;100000,INDIRECT(CONCATENATE("AE",G550)),INDIRECT(CONCATENATE("AF",AG550))))</f>
        <v>#N/A</v>
      </c>
      <c r="AJ552" s="112" t="e">
        <f t="shared" ca="1" si="465"/>
        <v>#N/A</v>
      </c>
      <c r="AK552" s="112">
        <f t="shared" ca="1" si="467"/>
        <v>100000</v>
      </c>
      <c r="AL552" s="238" t="e">
        <f t="shared" ca="1" si="466"/>
        <v>#N/A</v>
      </c>
      <c r="AM552" s="112">
        <f t="shared" ca="1" si="464"/>
        <v>100000</v>
      </c>
      <c r="AN552" s="112">
        <f t="shared" ca="1" si="471"/>
        <v>100000</v>
      </c>
      <c r="AO552" s="114">
        <f t="shared" ca="1" si="468"/>
        <v>0</v>
      </c>
      <c r="AP552" s="114">
        <f t="shared" ca="1" si="469"/>
        <v>24</v>
      </c>
      <c r="AR552" s="238">
        <f t="shared" si="470"/>
        <v>552</v>
      </c>
      <c r="CJ552" s="112"/>
      <c r="CK552" s="112"/>
    </row>
    <row r="553" spans="33:89" x14ac:dyDescent="0.25">
      <c r="AG553" s="238">
        <f>AG552</f>
        <v>126</v>
      </c>
      <c r="AH553" s="112" t="e">
        <f ca="1">AI552+1</f>
        <v>#N/A</v>
      </c>
      <c r="AI553" s="112" t="e">
        <f ca="1">IF(INDIRECT(CONCATENATE("AE",AG550))&lt;100000,INDIRECT(CONCATENATE("AE",G550)),INDIRECT(CONCATENATE("AF",AG550)))</f>
        <v>#N/A</v>
      </c>
      <c r="AJ553" s="112" t="e">
        <f t="shared" ca="1" si="465"/>
        <v>#N/A</v>
      </c>
      <c r="AK553" s="112">
        <f t="shared" ca="1" si="467"/>
        <v>100000</v>
      </c>
      <c r="AL553" s="238" t="e">
        <f t="shared" ca="1" si="466"/>
        <v>#N/A</v>
      </c>
      <c r="AM553" s="112">
        <f t="shared" ref="AM553:AM564" ca="1" si="472">IF(TYPE(AL553)=16,100000,IF(AL553=0,100000,AH553))</f>
        <v>100000</v>
      </c>
      <c r="AN553" s="112">
        <f t="shared" ca="1" si="471"/>
        <v>100000</v>
      </c>
      <c r="AO553" s="114">
        <f t="shared" ca="1" si="468"/>
        <v>0</v>
      </c>
      <c r="AP553" s="114">
        <f t="shared" ca="1" si="469"/>
        <v>24</v>
      </c>
      <c r="AR553" s="238">
        <f t="shared" si="470"/>
        <v>553</v>
      </c>
      <c r="CJ553" s="112"/>
      <c r="CK553" s="112"/>
    </row>
    <row r="554" spans="33:89" x14ac:dyDescent="0.25">
      <c r="AG554" s="238">
        <f>AG553</f>
        <v>126</v>
      </c>
      <c r="AH554" s="112" t="e">
        <f ca="1">AI553+1</f>
        <v>#N/A</v>
      </c>
      <c r="AI554" s="112" t="str">
        <f ca="1">INDIRECT(CONCATENATE("AF",AG550))</f>
        <v/>
      </c>
      <c r="AJ554" s="112" t="str">
        <f t="shared" ca="1" si="465"/>
        <v/>
      </c>
      <c r="AK554" s="112">
        <f t="shared" ca="1" si="467"/>
        <v>100000</v>
      </c>
      <c r="AL554" s="238" t="e">
        <f t="shared" ca="1" si="466"/>
        <v>#N/A</v>
      </c>
      <c r="AM554" s="112">
        <f t="shared" ca="1" si="472"/>
        <v>100000</v>
      </c>
      <c r="AN554" s="112">
        <f t="shared" ca="1" si="471"/>
        <v>100000</v>
      </c>
      <c r="AO554" s="114">
        <f t="shared" ca="1" si="468"/>
        <v>0</v>
      </c>
      <c r="AP554" s="114">
        <f t="shared" ca="1" si="469"/>
        <v>24</v>
      </c>
      <c r="AR554" s="238">
        <f t="shared" si="470"/>
        <v>554</v>
      </c>
      <c r="CJ554" s="112"/>
      <c r="CK554" s="112"/>
    </row>
    <row r="555" spans="33:89" x14ac:dyDescent="0.25">
      <c r="AG555" s="238">
        <f>AG554+1</f>
        <v>127</v>
      </c>
      <c r="AH555" s="112" t="str">
        <f ca="1">INDIRECT(CONCATENATE("AA",AG555))</f>
        <v/>
      </c>
      <c r="AI555" s="112" t="e">
        <f ca="1">IF(            INDIRECT(CONCATENATE( "AB",AG555))&lt;100000,       INDIRECT(CONCATENATE("AB",AG555))  -1,IF(   INDIRECT(CONCATENATE("AC",AG555))&lt;100000,   INDIRECT(CONCATENATE("AC",AG555))-1,IF(   INDIRECT(CONCATENATE("AD", AG555))&lt;100000, INDIRECT(CONCATENATE("AD",AG555))-1,IF(   INDIRECT(CONCATENATE("AE",AG555))&lt;100000,  INDIRECT(CONCATENATE("AE",G555)),INDIRECT(CONCATENATE("AF",AG555))                ))))</f>
        <v>#N/A</v>
      </c>
      <c r="AJ555" s="112" t="str">
        <f t="shared" ca="1" si="465"/>
        <v/>
      </c>
      <c r="AK555" s="112" t="str">
        <f t="shared" ca="1" si="467"/>
        <v/>
      </c>
      <c r="AL555" s="238">
        <f t="shared" ca="1" si="466"/>
        <v>0</v>
      </c>
      <c r="AM555" s="112">
        <f t="shared" ca="1" si="472"/>
        <v>100000</v>
      </c>
      <c r="AN555" s="112">
        <f t="shared" ca="1" si="471"/>
        <v>100000</v>
      </c>
      <c r="AO555" s="114">
        <f t="shared" ca="1" si="468"/>
        <v>0</v>
      </c>
      <c r="AP555" s="114">
        <f t="shared" ca="1" si="469"/>
        <v>24</v>
      </c>
      <c r="AR555" s="238">
        <f t="shared" si="470"/>
        <v>555</v>
      </c>
      <c r="CJ555" s="112"/>
      <c r="CK555" s="112"/>
    </row>
    <row r="556" spans="33:89" x14ac:dyDescent="0.25">
      <c r="AG556" s="238">
        <f>AG555</f>
        <v>127</v>
      </c>
      <c r="AH556" s="112" t="e">
        <f ca="1">AI555+1</f>
        <v>#N/A</v>
      </c>
      <c r="AI556" s="112" t="e">
        <f ca="1">IF(INDIRECT(CONCATENATE("AC",AG555))&lt;100000,INDIRECT(CONCATENATE("AC",AG555))-1,IF(INDIRECT(CONCATENATE("AD",AG555))&lt;100000,INDIRECT(CONCATENATE("AD",AG555))-1,IF(INDIRECT(CONCATENATE("AE",AG555))&lt;100000,INDIRECT(CONCATENATE("AE",G555)),INDIRECT(CONCATENATE("AF",AG555)))))</f>
        <v>#N/A</v>
      </c>
      <c r="AJ556" s="112" t="e">
        <f t="shared" ca="1" si="465"/>
        <v>#N/A</v>
      </c>
      <c r="AK556" s="112">
        <f t="shared" ca="1" si="467"/>
        <v>100000</v>
      </c>
      <c r="AL556" s="238" t="e">
        <f t="shared" ca="1" si="466"/>
        <v>#N/A</v>
      </c>
      <c r="AM556" s="112">
        <f t="shared" ca="1" si="472"/>
        <v>100000</v>
      </c>
      <c r="AN556" s="112">
        <f t="shared" ca="1" si="471"/>
        <v>100000</v>
      </c>
      <c r="AO556" s="114">
        <f t="shared" ca="1" si="468"/>
        <v>0</v>
      </c>
      <c r="AP556" s="114">
        <f t="shared" ca="1" si="469"/>
        <v>24</v>
      </c>
      <c r="AR556" s="238">
        <f t="shared" si="470"/>
        <v>556</v>
      </c>
      <c r="CJ556" s="112"/>
      <c r="CK556" s="112"/>
    </row>
    <row r="557" spans="33:89" x14ac:dyDescent="0.25">
      <c r="AG557" s="238">
        <f>AG556</f>
        <v>127</v>
      </c>
      <c r="AH557" s="112" t="e">
        <f ca="1">AI556+1</f>
        <v>#N/A</v>
      </c>
      <c r="AI557" s="112" t="e">
        <f ca="1">IF(INDIRECT(CONCATENATE("AD",AG555))&lt;100000,INDIRECT(CONCATENATE("AD",AG555))-1,IF(INDIRECT(CONCATENATE("AE",AG555))&lt;100000,INDIRECT(CONCATENATE("AE",G555)),INDIRECT(CONCATENATE("AF",AG555))))</f>
        <v>#N/A</v>
      </c>
      <c r="AJ557" s="112" t="e">
        <f t="shared" ref="AJ557:AJ564" ca="1" si="473">IF(TYPE(AI557)=16,VLOOKUP(AH557,$F$20:$G$146,2),AI557)</f>
        <v>#N/A</v>
      </c>
      <c r="AK557" s="112">
        <f t="shared" ca="1" si="467"/>
        <v>100000</v>
      </c>
      <c r="AL557" s="238" t="e">
        <f t="shared" ca="1" si="466"/>
        <v>#N/A</v>
      </c>
      <c r="AM557" s="112">
        <f t="shared" ca="1" si="472"/>
        <v>100000</v>
      </c>
      <c r="AN557" s="112">
        <f t="shared" ca="1" si="471"/>
        <v>100000</v>
      </c>
      <c r="AO557" s="114">
        <f t="shared" ca="1" si="468"/>
        <v>0</v>
      </c>
      <c r="AP557" s="114">
        <f t="shared" ca="1" si="469"/>
        <v>24</v>
      </c>
      <c r="AR557" s="238">
        <f t="shared" si="470"/>
        <v>557</v>
      </c>
      <c r="CJ557" s="112"/>
      <c r="CK557" s="112"/>
    </row>
    <row r="558" spans="33:89" x14ac:dyDescent="0.25">
      <c r="AG558" s="238">
        <f>AG557</f>
        <v>127</v>
      </c>
      <c r="AH558" s="112" t="e">
        <f ca="1">AI557+1</f>
        <v>#N/A</v>
      </c>
      <c r="AI558" s="112" t="e">
        <f ca="1">IF(INDIRECT(CONCATENATE("AE",AG555))&lt;100000,INDIRECT(CONCATENATE("AE",G555)),INDIRECT(CONCATENATE("AF",AG555)))</f>
        <v>#N/A</v>
      </c>
      <c r="AJ558" s="112" t="e">
        <f t="shared" ca="1" si="473"/>
        <v>#N/A</v>
      </c>
      <c r="AK558" s="112">
        <f t="shared" ca="1" si="467"/>
        <v>100000</v>
      </c>
      <c r="AL558" s="238" t="e">
        <f t="shared" ref="AL558:AL564" ca="1" si="474">IF(AK558=AI557,0,1)</f>
        <v>#N/A</v>
      </c>
      <c r="AM558" s="112">
        <f t="shared" ca="1" si="472"/>
        <v>100000</v>
      </c>
      <c r="AN558" s="112">
        <f t="shared" ca="1" si="471"/>
        <v>100000</v>
      </c>
      <c r="AO558" s="114">
        <f t="shared" ca="1" si="468"/>
        <v>0</v>
      </c>
      <c r="AP558" s="114">
        <f t="shared" ca="1" si="469"/>
        <v>24</v>
      </c>
      <c r="AR558" s="238">
        <f t="shared" si="470"/>
        <v>558</v>
      </c>
      <c r="CJ558" s="112"/>
      <c r="CK558" s="112"/>
    </row>
    <row r="559" spans="33:89" x14ac:dyDescent="0.25">
      <c r="AG559" s="238">
        <f>AG558</f>
        <v>127</v>
      </c>
      <c r="AH559" s="112" t="e">
        <f ca="1">AI558+1</f>
        <v>#N/A</v>
      </c>
      <c r="AI559" s="112" t="str">
        <f ca="1">INDIRECT(CONCATENATE("AF",AG555))</f>
        <v/>
      </c>
      <c r="AJ559" s="112" t="str">
        <f t="shared" ca="1" si="473"/>
        <v/>
      </c>
      <c r="AK559" s="112">
        <f t="shared" ca="1" si="467"/>
        <v>100000</v>
      </c>
      <c r="AL559" s="238" t="e">
        <f t="shared" ca="1" si="474"/>
        <v>#N/A</v>
      </c>
      <c r="AM559" s="112">
        <f t="shared" ca="1" si="472"/>
        <v>100000</v>
      </c>
      <c r="AN559" s="112">
        <f t="shared" ca="1" si="471"/>
        <v>100000</v>
      </c>
      <c r="AO559" s="114">
        <f t="shared" ca="1" si="468"/>
        <v>0</v>
      </c>
      <c r="AP559" s="114">
        <f t="shared" ca="1" si="469"/>
        <v>24</v>
      </c>
      <c r="AR559" s="238">
        <f t="shared" si="470"/>
        <v>559</v>
      </c>
      <c r="CJ559" s="112"/>
      <c r="CK559" s="112"/>
    </row>
    <row r="560" spans="33:89" x14ac:dyDescent="0.25">
      <c r="AG560" s="238">
        <f>AG559+1</f>
        <v>128</v>
      </c>
      <c r="AH560" s="112" t="str">
        <f ca="1">INDIRECT(CONCATENATE("AA",AG560))</f>
        <v/>
      </c>
      <c r="AI560" s="112" t="e">
        <f ca="1">IF(            INDIRECT(CONCATENATE( "AB",AG560))&lt;100000,       INDIRECT(CONCATENATE("AB",AG560))  -1,IF(   INDIRECT(CONCATENATE("AC",AG560))&lt;100000,   INDIRECT(CONCATENATE("AC",AG560))-1,IF(   INDIRECT(CONCATENATE("AD", AG560))&lt;100000, INDIRECT(CONCATENATE("AD",AG560))-1,IF(   INDIRECT(CONCATENATE("AE",AG560))&lt;100000,  INDIRECT(CONCATENATE("AE",G560)),INDIRECT(CONCATENATE("AF",AG560))                ))))</f>
        <v>#N/A</v>
      </c>
      <c r="AJ560" s="112" t="str">
        <f t="shared" ca="1" si="473"/>
        <v/>
      </c>
      <c r="AK560" s="112" t="str">
        <f t="shared" ca="1" si="467"/>
        <v/>
      </c>
      <c r="AL560" s="238">
        <f t="shared" ca="1" si="474"/>
        <v>0</v>
      </c>
      <c r="AM560" s="112">
        <f t="shared" ca="1" si="472"/>
        <v>100000</v>
      </c>
      <c r="AN560" s="112">
        <f t="shared" ca="1" si="471"/>
        <v>100000</v>
      </c>
      <c r="AO560" s="114">
        <f t="shared" ca="1" si="468"/>
        <v>0</v>
      </c>
      <c r="AP560" s="114">
        <f t="shared" ca="1" si="469"/>
        <v>24</v>
      </c>
      <c r="AR560" s="238">
        <f t="shared" si="470"/>
        <v>560</v>
      </c>
      <c r="CJ560" s="112"/>
      <c r="CK560" s="112"/>
    </row>
    <row r="561" spans="27:120" x14ac:dyDescent="0.25">
      <c r="AG561" s="238">
        <f>AG560</f>
        <v>128</v>
      </c>
      <c r="AH561" s="112" t="e">
        <f ca="1">AI560+1</f>
        <v>#N/A</v>
      </c>
      <c r="AI561" s="112" t="e">
        <f ca="1">IF(INDIRECT(CONCATENATE("AC",AG560))&lt;100000,INDIRECT(CONCATENATE("AC",AG560))-1,IF(INDIRECT(CONCATENATE("AD",AG560))&lt;100000,INDIRECT(CONCATENATE("AD",AG560))-1,IF(INDIRECT(CONCATENATE("AE",AG560))&lt;100000,INDIRECT(CONCATENATE("AE",G560)),INDIRECT(CONCATENATE("AF",AG560)))))</f>
        <v>#N/A</v>
      </c>
      <c r="AJ561" s="112" t="e">
        <f t="shared" ca="1" si="473"/>
        <v>#N/A</v>
      </c>
      <c r="AK561" s="112">
        <f t="shared" ca="1" si="467"/>
        <v>100000</v>
      </c>
      <c r="AL561" s="238" t="e">
        <f t="shared" ca="1" si="474"/>
        <v>#N/A</v>
      </c>
      <c r="AM561" s="112">
        <f t="shared" ca="1" si="472"/>
        <v>100000</v>
      </c>
      <c r="AN561" s="112">
        <f t="shared" ca="1" si="471"/>
        <v>100000</v>
      </c>
      <c r="AO561" s="114">
        <f t="shared" ca="1" si="468"/>
        <v>0</v>
      </c>
      <c r="AP561" s="114">
        <f t="shared" ca="1" si="469"/>
        <v>24</v>
      </c>
      <c r="AR561" s="238">
        <f t="shared" si="470"/>
        <v>561</v>
      </c>
      <c r="CJ561" s="112"/>
      <c r="CK561" s="112"/>
    </row>
    <row r="562" spans="27:120" x14ac:dyDescent="0.25">
      <c r="AG562" s="238">
        <f>AG561</f>
        <v>128</v>
      </c>
      <c r="AH562" s="112" t="e">
        <f ca="1">AI561+1</f>
        <v>#N/A</v>
      </c>
      <c r="AI562" s="112" t="e">
        <f ca="1">IF(INDIRECT(CONCATENATE("AD",AG560))&lt;100000,INDIRECT(CONCATENATE("AD",AG560))-1,IF(INDIRECT(CONCATENATE("AE",AG560))&lt;100000,INDIRECT(CONCATENATE("AE",G560)),INDIRECT(CONCATENATE("AF",AG560))))</f>
        <v>#N/A</v>
      </c>
      <c r="AJ562" s="112" t="e">
        <f t="shared" ca="1" si="473"/>
        <v>#N/A</v>
      </c>
      <c r="AK562" s="112">
        <f t="shared" ca="1" si="467"/>
        <v>100000</v>
      </c>
      <c r="AL562" s="238" t="e">
        <f t="shared" ca="1" si="474"/>
        <v>#N/A</v>
      </c>
      <c r="AM562" s="112">
        <f t="shared" ca="1" si="472"/>
        <v>100000</v>
      </c>
      <c r="AN562" s="112">
        <f t="shared" ca="1" si="471"/>
        <v>100000</v>
      </c>
      <c r="AO562" s="114">
        <f t="shared" ca="1" si="468"/>
        <v>0</v>
      </c>
      <c r="AP562" s="114">
        <f t="shared" ca="1" si="469"/>
        <v>24</v>
      </c>
      <c r="AR562" s="238">
        <f t="shared" si="470"/>
        <v>562</v>
      </c>
      <c r="CJ562" s="112"/>
      <c r="CK562" s="112"/>
    </row>
    <row r="563" spans="27:120" x14ac:dyDescent="0.25">
      <c r="AG563" s="238">
        <f>AG562</f>
        <v>128</v>
      </c>
      <c r="AH563" s="112" t="e">
        <f ca="1">AI562+1</f>
        <v>#N/A</v>
      </c>
      <c r="AI563" s="112" t="e">
        <f ca="1">IF(INDIRECT(CONCATENATE("AE",AG560))&lt;100000,INDIRECT(CONCATENATE("AE",G560)),INDIRECT(CONCATENATE("AF",AG560)))</f>
        <v>#N/A</v>
      </c>
      <c r="AJ563" s="112" t="e">
        <f t="shared" ca="1" si="473"/>
        <v>#N/A</v>
      </c>
      <c r="AK563" s="112">
        <f t="shared" ca="1" si="467"/>
        <v>100000</v>
      </c>
      <c r="AL563" s="238" t="e">
        <f t="shared" ca="1" si="474"/>
        <v>#N/A</v>
      </c>
      <c r="AM563" s="112">
        <f t="shared" ca="1" si="472"/>
        <v>100000</v>
      </c>
      <c r="AN563" s="112">
        <f t="shared" ca="1" si="471"/>
        <v>100000</v>
      </c>
      <c r="AO563" s="114">
        <f t="shared" ca="1" si="468"/>
        <v>0</v>
      </c>
      <c r="AP563" s="114">
        <f t="shared" ca="1" si="469"/>
        <v>24</v>
      </c>
      <c r="AR563" s="238">
        <f t="shared" si="470"/>
        <v>563</v>
      </c>
      <c r="CJ563" s="112"/>
      <c r="CK563" s="112"/>
    </row>
    <row r="564" spans="27:120" x14ac:dyDescent="0.25">
      <c r="AG564" s="238">
        <f>AG563</f>
        <v>128</v>
      </c>
      <c r="AH564" s="112" t="e">
        <f ca="1">AI563+1</f>
        <v>#N/A</v>
      </c>
      <c r="AI564" s="112" t="str">
        <f ca="1">INDIRECT(CONCATENATE("AF",AG560))</f>
        <v/>
      </c>
      <c r="AJ564" s="112" t="str">
        <f t="shared" ca="1" si="473"/>
        <v/>
      </c>
      <c r="AK564" s="112">
        <f t="shared" ca="1" si="467"/>
        <v>100000</v>
      </c>
      <c r="AL564" s="238" t="e">
        <f t="shared" ca="1" si="474"/>
        <v>#N/A</v>
      </c>
      <c r="AM564" s="112">
        <f t="shared" ca="1" si="472"/>
        <v>100000</v>
      </c>
      <c r="AN564" s="112">
        <f t="shared" ca="1" si="471"/>
        <v>100000</v>
      </c>
      <c r="AO564" s="114">
        <f t="shared" ca="1" si="468"/>
        <v>0</v>
      </c>
      <c r="AP564" s="114">
        <f t="shared" ca="1" si="469"/>
        <v>24</v>
      </c>
      <c r="AR564" s="238">
        <f t="shared" si="470"/>
        <v>564</v>
      </c>
      <c r="CJ564" s="112"/>
      <c r="CK564" s="112"/>
    </row>
    <row r="565" spans="27:120" x14ac:dyDescent="0.25">
      <c r="CJ565" s="112"/>
      <c r="CK565" s="112"/>
    </row>
    <row r="566" spans="27:120" x14ac:dyDescent="0.25">
      <c r="CJ566" s="112"/>
      <c r="CK566" s="112"/>
    </row>
    <row r="567" spans="27:120" x14ac:dyDescent="0.25">
      <c r="CJ567" s="112"/>
      <c r="CK567" s="112"/>
    </row>
    <row r="568" spans="27:120" x14ac:dyDescent="0.25">
      <c r="CJ568" s="112"/>
      <c r="CK568" s="112"/>
    </row>
    <row r="569" spans="27:120" x14ac:dyDescent="0.25">
      <c r="CJ569" s="112"/>
      <c r="CK569" s="112"/>
      <c r="DH569" s="409"/>
      <c r="DI569" s="409"/>
      <c r="DJ569" s="409"/>
      <c r="DK569" s="409"/>
    </row>
    <row r="570" spans="27:120" ht="15.75" thickBot="1" x14ac:dyDescent="0.3">
      <c r="AA570" s="320" t="str">
        <f>AA19</f>
        <v>DAL</v>
      </c>
      <c r="AB570" s="320" t="str">
        <f t="shared" ref="AB570:AF570" si="475">AB19</f>
        <v>SP1</v>
      </c>
      <c r="AC570" s="320" t="str">
        <f t="shared" si="475"/>
        <v>SP2</v>
      </c>
      <c r="AD570" s="320" t="str">
        <f t="shared" si="475"/>
        <v>SP3</v>
      </c>
      <c r="AE570" s="320" t="str">
        <f t="shared" si="475"/>
        <v>SP4</v>
      </c>
      <c r="AF570" s="320" t="str">
        <f t="shared" si="475"/>
        <v>AL</v>
      </c>
      <c r="AG570" t="s">
        <v>259</v>
      </c>
      <c r="AH570" t="s">
        <v>382</v>
      </c>
      <c r="AL570" t="s">
        <v>105</v>
      </c>
      <c r="AT570" t="s">
        <v>105</v>
      </c>
      <c r="BQ570">
        <v>570</v>
      </c>
      <c r="BW570" t="s">
        <v>451</v>
      </c>
      <c r="BX570" t="s">
        <v>106</v>
      </c>
      <c r="BY570" t="s">
        <v>450</v>
      </c>
      <c r="BZ570" t="s">
        <v>382</v>
      </c>
      <c r="CC570" t="s">
        <v>105</v>
      </c>
      <c r="CD570" t="s">
        <v>106</v>
      </c>
      <c r="CE570" t="s">
        <v>259</v>
      </c>
      <c r="CF570" t="s">
        <v>452</v>
      </c>
      <c r="CJ570" s="112"/>
      <c r="CK570" s="112"/>
      <c r="CS570" s="112">
        <f>MAX(fronttd!F22:F127)</f>
        <v>44804</v>
      </c>
      <c r="DH570" s="410" t="s">
        <v>105</v>
      </c>
      <c r="DI570" s="410" t="s">
        <v>106</v>
      </c>
      <c r="DJ570" s="410" t="s">
        <v>259</v>
      </c>
      <c r="DK570" s="410" t="s">
        <v>382</v>
      </c>
      <c r="DM570" s="410"/>
      <c r="DN570" s="410"/>
      <c r="DO570" s="410"/>
      <c r="DP570" s="410"/>
    </row>
    <row r="571" spans="27:120" x14ac:dyDescent="0.25">
      <c r="AA571" s="284">
        <f t="shared" ref="AA571:AF571" si="476">AA20</f>
        <v>36138</v>
      </c>
      <c r="AB571" s="284">
        <f ca="1">IF(OR(AB20&lt;=$AA571,AB20&gt;$AF571),100000,AB20)</f>
        <v>100000</v>
      </c>
      <c r="AC571" s="284">
        <f ca="1">IF(OR(AC20&lt;=$AA571,AC20&gt;$AF571),100000,AC20)</f>
        <v>100000</v>
      </c>
      <c r="AD571" s="284">
        <f ca="1">IF(OR(AD20&lt;=$AA571,AD20&gt;$AF571),100000,AD20)</f>
        <v>100000</v>
      </c>
      <c r="AE571" s="284">
        <f ca="1">IF(OR(AE20&lt;=$AA571,AE20&gt;$AF571),100000,AE20)</f>
        <v>100000</v>
      </c>
      <c r="AF571" s="284">
        <f t="shared" si="476"/>
        <v>36280</v>
      </c>
      <c r="AG571" s="238">
        <f>H20</f>
        <v>9</v>
      </c>
      <c r="AH571" s="407">
        <f>J20</f>
        <v>24</v>
      </c>
      <c r="AJ571" s="112"/>
      <c r="AK571" s="112"/>
      <c r="AL571" s="112">
        <f>AA571</f>
        <v>36138</v>
      </c>
      <c r="AM571" s="112">
        <f ca="1">IF(AB571=100000,AC571,AB571)</f>
        <v>100000</v>
      </c>
      <c r="AN571" s="112">
        <f t="shared" ref="AN571:AQ571" ca="1" si="477">IF(AC571=100000,AD571,AC571)</f>
        <v>100000</v>
      </c>
      <c r="AO571" s="112">
        <f t="shared" ca="1" si="477"/>
        <v>100000</v>
      </c>
      <c r="AP571" s="112">
        <f t="shared" ca="1" si="477"/>
        <v>36280</v>
      </c>
      <c r="AQ571" s="112">
        <f t="shared" si="477"/>
        <v>36280</v>
      </c>
      <c r="AT571" s="112">
        <f>AL571</f>
        <v>36138</v>
      </c>
      <c r="AU571" s="112">
        <f ca="1">IF(AM571=100000,AN571,AM571)</f>
        <v>100000</v>
      </c>
      <c r="AV571" s="112">
        <f t="shared" ref="AV571:AY571" ca="1" si="478">IF(AN571=100000,AO571,AN571)</f>
        <v>100000</v>
      </c>
      <c r="AW571" s="112">
        <f t="shared" ca="1" si="478"/>
        <v>36280</v>
      </c>
      <c r="AX571" s="112">
        <f t="shared" ca="1" si="478"/>
        <v>36280</v>
      </c>
      <c r="AY571" s="112">
        <f t="shared" si="478"/>
        <v>36280</v>
      </c>
      <c r="BA571" s="112">
        <f>AT571</f>
        <v>36138</v>
      </c>
      <c r="BB571" s="112">
        <f ca="1">IF(AU571=100000,AV571,AU571)</f>
        <v>100000</v>
      </c>
      <c r="BC571" s="112">
        <f t="shared" ref="BC571:BF571" ca="1" si="479">IF(AV571=100000,AW571,AV571)</f>
        <v>36280</v>
      </c>
      <c r="BD571" s="112">
        <f t="shared" ca="1" si="479"/>
        <v>36280</v>
      </c>
      <c r="BE571" s="112">
        <f t="shared" ca="1" si="479"/>
        <v>36280</v>
      </c>
      <c r="BF571" s="112">
        <f t="shared" si="479"/>
        <v>36280</v>
      </c>
      <c r="BG571" s="112"/>
      <c r="BI571" s="112">
        <f>BA571</f>
        <v>36138</v>
      </c>
      <c r="BJ571" s="112">
        <f ca="1">IF(BB571=100000,BC571,BB571)</f>
        <v>36280</v>
      </c>
      <c r="BK571" s="112">
        <f t="shared" ref="BK571:BN571" ca="1" si="480">IF(BC571=100000,BD571,BC571)</f>
        <v>36280</v>
      </c>
      <c r="BL571" s="112">
        <f t="shared" ca="1" si="480"/>
        <v>36280</v>
      </c>
      <c r="BM571" s="112">
        <f t="shared" ca="1" si="480"/>
        <v>36280</v>
      </c>
      <c r="BN571" s="112">
        <f t="shared" si="480"/>
        <v>36280</v>
      </c>
      <c r="BP571" s="238">
        <f t="shared" ref="BP571:BP580" ca="1" si="481">IF(AND(BJ571=BK571,BJ571=BL571,BJ571=BM571,BJ571=BN571),1,0)</f>
        <v>1</v>
      </c>
      <c r="BQ571" s="238">
        <f>BQ570+1</f>
        <v>571</v>
      </c>
      <c r="BR571" s="112" t="s">
        <v>444</v>
      </c>
      <c r="BS571" s="112" t="s">
        <v>445</v>
      </c>
      <c r="BT571" s="114">
        <f t="shared" ref="BT571:BT620" ca="1" si="482">INDIRECT(CONCATENATE("bp",BQ571))</f>
        <v>1</v>
      </c>
      <c r="BU571" s="112"/>
      <c r="BV571">
        <f t="shared" ref="BV571:BV579" ca="1" si="483">IF(BW571=INDIRECT(CONCATENATE("bn",BQ571)),0,1)</f>
        <v>1</v>
      </c>
      <c r="BW571" s="112">
        <f t="shared" ref="BW571:BW634" ca="1" si="484">INDIRECT(CONCATENATE(BR571,BQ571))</f>
        <v>36138</v>
      </c>
      <c r="BX571" s="112">
        <f ca="1">INDIRECT(CONCATENATE(BS571,BQ571))-1</f>
        <v>36279</v>
      </c>
      <c r="BY571">
        <f ca="1">INDIRECT(CONCATENATE("ag",BQ571))</f>
        <v>9</v>
      </c>
      <c r="BZ571">
        <f ca="1">INDIRECT(CONCATENATE("ah",BQ571))</f>
        <v>24</v>
      </c>
      <c r="CB571">
        <f ca="1">IF(AND(CC571&lt;&gt;100000,CD571=INDIRECT(CONCATENATE("aq",BQ571))),1,0)</f>
        <v>0</v>
      </c>
      <c r="CC571" s="408">
        <f ca="1">IF(OR(BV571=0,BW571&gt;BX571),100000,BW571)</f>
        <v>36138</v>
      </c>
      <c r="CD571" s="326">
        <f ca="1">BX571</f>
        <v>36279</v>
      </c>
      <c r="CE571" s="251">
        <f ca="1">BY571</f>
        <v>9</v>
      </c>
      <c r="CF571" s="252">
        <f ca="1">BZ571</f>
        <v>24</v>
      </c>
      <c r="CH571" s="112">
        <f t="shared" ref="CH571:CH585" ca="1" si="485">INDIRECT(CONCATENATE("af",BQ571))</f>
        <v>36280</v>
      </c>
      <c r="CI571">
        <f t="shared" ref="CI571" ca="1" si="486">CB571+CB572+CB573+CB574+CB575</f>
        <v>0</v>
      </c>
      <c r="CJ571">
        <v>0</v>
      </c>
      <c r="CK571" s="112">
        <f t="shared" ref="CK571:CK585" ca="1" si="487">IF(CJ571=0,INDIRECT(CONCATENATE("af",BQ571)),1)</f>
        <v>36280</v>
      </c>
      <c r="CM571" s="112"/>
      <c r="CN571" s="408">
        <f t="shared" ref="CN571:CN629" ca="1" si="488">CC571</f>
        <v>36138</v>
      </c>
      <c r="CO571" s="326">
        <f t="shared" ref="CO571" ca="1" si="489">CD571</f>
        <v>36279</v>
      </c>
      <c r="CP571" s="333">
        <f t="shared" ref="CP571:CP585" ca="1" si="490">CE571</f>
        <v>9</v>
      </c>
      <c r="CQ571" s="327">
        <f t="shared" ref="CQ571:CQ585" ca="1" si="491">CF571</f>
        <v>24</v>
      </c>
      <c r="CS571" s="112">
        <f t="shared" ref="CS571:CS634" ca="1" si="492">IF(TYPE(CN571)=16,100000,CN571)</f>
        <v>36138</v>
      </c>
      <c r="CT571" s="112">
        <f t="shared" ref="CT571" ca="1" si="493">IF(AND( CN572=100000,CN573=100000,CN574=100000,CN575=100000),CO575,                             CO571)</f>
        <v>36280</v>
      </c>
      <c r="CU571" s="238">
        <f ca="1">CP571</f>
        <v>9</v>
      </c>
      <c r="CV571" s="238">
        <f ca="1">CQ571</f>
        <v>24</v>
      </c>
      <c r="CY571">
        <v>1</v>
      </c>
      <c r="DA571" s="112">
        <f ca="1">SMALL($CS$571:$CS$1100,CY571)</f>
        <v>36138</v>
      </c>
      <c r="DC571">
        <v>571</v>
      </c>
      <c r="DE571" t="str">
        <f>CONCATENATE("cs",DC571,":dc771")</f>
        <v>cs571:dc771</v>
      </c>
      <c r="DF571">
        <f ca="1">VLOOKUP(DA571,INDIRECT(DE571),11,FALSE)</f>
        <v>571</v>
      </c>
      <c r="DG571" s="412">
        <f t="shared" ref="DG571:DG598" ca="1" si="494">IF(DI572="",$CS$570,0)</f>
        <v>0</v>
      </c>
      <c r="DH571" s="411">
        <f t="shared" ref="DH571:DH596" ca="1" si="495">IF(INDIRECT(CONCATENATE("cs",DF571))=100000,"",INDIRECT(CONCATENATE("cs",DF571)))</f>
        <v>36138</v>
      </c>
      <c r="DI571" s="411">
        <f t="shared" ref="DI571:DI596" ca="1" si="496" xml:space="preserve">    IF(DH571="","",   INDIRECT(CONCATENATE("ct",DF571)))</f>
        <v>36280</v>
      </c>
      <c r="DJ571" s="410">
        <f t="shared" ref="DJ571:DJ596" ca="1" si="497">IF(DI571="","",INDIRECT(CONCATENATE("cu",DF571)))</f>
        <v>9</v>
      </c>
      <c r="DK571" s="410">
        <f t="shared" ref="DK571:DK596" ca="1" si="498">IF(DJ571="","",INDIRECT(CONCATENATE("cv",DF571)))</f>
        <v>24</v>
      </c>
      <c r="DM571" s="411">
        <f t="shared" ref="DM571:DM598" ca="1" si="499">DH571</f>
        <v>36138</v>
      </c>
      <c r="DN571" s="411">
        <f t="shared" ref="DN571:DN598" ca="1" si="500">IF(AND(DM571&lt;&gt;"",DH572=""),DG571,DI571)</f>
        <v>36280</v>
      </c>
      <c r="DO571" s="410">
        <f t="shared" ref="DO571:DO598" ca="1" si="501">DJ571</f>
        <v>9</v>
      </c>
      <c r="DP571" s="410">
        <f t="shared" ref="DP571:DP598" ca="1" si="502">DK571</f>
        <v>24</v>
      </c>
    </row>
    <row r="572" spans="27:120" x14ac:dyDescent="0.25">
      <c r="AA572" s="284">
        <f t="shared" ref="AA572:AF572" si="503">AA21</f>
        <v>36281</v>
      </c>
      <c r="AB572" s="284">
        <f t="shared" ref="AB572:AE575" ca="1" si="504">IF(OR(AB21&lt;=$AA572,AB21&gt;$AF572),100000,AB21)</f>
        <v>100000</v>
      </c>
      <c r="AC572" s="284">
        <f t="shared" ca="1" si="504"/>
        <v>36312</v>
      </c>
      <c r="AD572" s="284">
        <f t="shared" ca="1" si="504"/>
        <v>100000</v>
      </c>
      <c r="AE572" s="284">
        <f t="shared" ca="1" si="504"/>
        <v>100000</v>
      </c>
      <c r="AF572" s="284">
        <f t="shared" si="503"/>
        <v>36321</v>
      </c>
      <c r="AG572" s="238">
        <f t="shared" ref="AG572:AG635" si="505">H21</f>
        <v>9</v>
      </c>
      <c r="AH572" s="407">
        <f t="shared" ref="AH572:AH635" si="506">J21</f>
        <v>24</v>
      </c>
      <c r="AJ572" s="112"/>
      <c r="AK572" s="112"/>
      <c r="AL572" s="112">
        <f t="shared" ref="AL572:AL635" si="507">AA572</f>
        <v>36281</v>
      </c>
      <c r="AM572" s="112">
        <f t="shared" ref="AM572:AM635" ca="1" si="508">IF(AB572=100000,AC572,AB572)</f>
        <v>36312</v>
      </c>
      <c r="AN572" s="112">
        <f t="shared" ref="AN572:AN635" ca="1" si="509">IF(AC572=100000,AD572,AC572)</f>
        <v>36312</v>
      </c>
      <c r="AO572" s="112">
        <f t="shared" ref="AO572:AO635" ca="1" si="510">IF(AD572=100000,AE572,AD572)</f>
        <v>100000</v>
      </c>
      <c r="AP572" s="112">
        <f t="shared" ref="AP572:AP635" ca="1" si="511">IF(AE572=100000,AF572,AE572)</f>
        <v>36321</v>
      </c>
      <c r="AQ572" s="112">
        <f t="shared" ref="AQ572:AQ635" si="512">IF(AF572=100000,AG572,AF572)</f>
        <v>36321</v>
      </c>
      <c r="AT572" s="112">
        <f t="shared" ref="AT572:AT635" si="513">AL572</f>
        <v>36281</v>
      </c>
      <c r="AU572" s="112">
        <f t="shared" ref="AU572:AU635" ca="1" si="514">IF(AM572=100000,AN572,AM572)</f>
        <v>36312</v>
      </c>
      <c r="AV572" s="112">
        <f t="shared" ref="AV572:AV635" ca="1" si="515">IF(AN572=100000,AO572,AN572)</f>
        <v>36312</v>
      </c>
      <c r="AW572" s="112">
        <f t="shared" ref="AW572:AW635" ca="1" si="516">IF(AO572=100000,AP572,AO572)</f>
        <v>36321</v>
      </c>
      <c r="AX572" s="112">
        <f t="shared" ref="AX572:AX635" ca="1" si="517">IF(AP572=100000,AQ572,AP572)</f>
        <v>36321</v>
      </c>
      <c r="AY572" s="112">
        <f t="shared" ref="AY572:AY635" si="518">IF(AQ572=100000,AR572,AQ572)</f>
        <v>36321</v>
      </c>
      <c r="BA572" s="112">
        <f t="shared" ref="BA572:BA635" si="519">AT572</f>
        <v>36281</v>
      </c>
      <c r="BB572" s="112">
        <f t="shared" ref="BB572:BB635" ca="1" si="520">IF(AU572=100000,AV572,AU572)</f>
        <v>36312</v>
      </c>
      <c r="BC572" s="112">
        <f t="shared" ref="BC572:BC635" ca="1" si="521">IF(AV572=100000,AW572,AV572)</f>
        <v>36312</v>
      </c>
      <c r="BD572" s="112">
        <f t="shared" ref="BD572:BD635" ca="1" si="522">IF(AW572=100000,AX572,AW572)</f>
        <v>36321</v>
      </c>
      <c r="BE572" s="112">
        <f t="shared" ref="BE572:BE635" ca="1" si="523">IF(AX572=100000,AY572,AX572)</f>
        <v>36321</v>
      </c>
      <c r="BF572" s="112">
        <f t="shared" ref="BF572:BF635" si="524">IF(AY572=100000,AZ572,AY572)</f>
        <v>36321</v>
      </c>
      <c r="BI572" s="112">
        <f t="shared" ref="BI572:BI635" si="525">BA572</f>
        <v>36281</v>
      </c>
      <c r="BJ572" s="112">
        <f t="shared" ref="BJ572:BJ635" ca="1" si="526">IF(BB572=100000,BC572,BB572)</f>
        <v>36312</v>
      </c>
      <c r="BK572" s="112">
        <f t="shared" ref="BK572:BK635" ca="1" si="527">IF(BC572=100000,BD572,BC572)</f>
        <v>36312</v>
      </c>
      <c r="BL572" s="112">
        <f t="shared" ref="BL572:BL635" ca="1" si="528">IF(BD572=100000,BE572,BD572)</f>
        <v>36321</v>
      </c>
      <c r="BM572" s="112">
        <f t="shared" ref="BM572:BM635" ca="1" si="529">IF(BE572=100000,BF572,BE572)</f>
        <v>36321</v>
      </c>
      <c r="BN572" s="112">
        <f t="shared" ref="BN572:BN635" si="530">IF(BF572=100000,BG572,BF572)</f>
        <v>36321</v>
      </c>
      <c r="BP572" s="238">
        <f t="shared" ca="1" si="481"/>
        <v>0</v>
      </c>
      <c r="BQ572" s="238">
        <f>BQ571</f>
        <v>571</v>
      </c>
      <c r="BR572" t="s">
        <v>445</v>
      </c>
      <c r="BS572" t="s">
        <v>446</v>
      </c>
      <c r="BT572" s="114">
        <f t="shared" ca="1" si="482"/>
        <v>1</v>
      </c>
      <c r="BU572" s="112"/>
      <c r="BV572">
        <f t="shared" ca="1" si="483"/>
        <v>0</v>
      </c>
      <c r="BW572" s="112">
        <f t="shared" ca="1" si="484"/>
        <v>36280</v>
      </c>
      <c r="BX572" s="112">
        <f t="shared" ref="BX572:BX573" ca="1" si="531">INDIRECT(CONCATENATE(BS572,BQ572))-1</f>
        <v>36279</v>
      </c>
      <c r="BY572">
        <f t="shared" ref="BY572:BY576" ca="1" si="532">INDIRECT(CONCATENATE("ag",BQ572))</f>
        <v>9</v>
      </c>
      <c r="BZ572">
        <f t="shared" ref="BZ572:BZ576" ca="1" si="533">INDIRECT(CONCATENATE("ah",BQ572))</f>
        <v>24</v>
      </c>
      <c r="CB572">
        <f t="shared" ref="CB572:CB635" ca="1" si="534">IF(AND(CC572&lt;&gt;100000,CD572=INDIRECT(CONCATENATE("aq",BQ572))),1,0)</f>
        <v>0</v>
      </c>
      <c r="CC572" s="260">
        <f t="shared" ref="CC572:CC635" ca="1" si="535">IF(OR(BV572=0,BW572&gt;BX572),100000,BW572)</f>
        <v>100000</v>
      </c>
      <c r="CD572" s="112">
        <f t="shared" ref="CD572:CD635" ca="1" si="536">BX572</f>
        <v>36279</v>
      </c>
      <c r="CE572">
        <f t="shared" ref="CE572:CE635" ca="1" si="537">BY572</f>
        <v>9</v>
      </c>
      <c r="CF572" s="254">
        <f t="shared" ref="CF572:CF635" ca="1" si="538">BZ572</f>
        <v>24</v>
      </c>
      <c r="CH572" s="112">
        <f t="shared" ca="1" si="485"/>
        <v>36280</v>
      </c>
      <c r="CI572">
        <f t="shared" ref="CI572:CI575" ca="1" si="539">CI571</f>
        <v>0</v>
      </c>
      <c r="CJ572">
        <f t="shared" ref="CJ572" ca="1" si="540">IF(AND(CI572=0,CJ573=0,CJ574=0,CJ575=0,CC572&lt;100000),1,0)</f>
        <v>0</v>
      </c>
      <c r="CK572" s="112">
        <f t="shared" ca="1" si="487"/>
        <v>36280</v>
      </c>
      <c r="CM572" s="112"/>
      <c r="CN572" s="260">
        <f t="shared" ca="1" si="488"/>
        <v>100000</v>
      </c>
      <c r="CO572" s="112">
        <f t="shared" ref="CO572:CO575" ca="1" si="541">IF(CJ572=1,CH572,CD572)</f>
        <v>36279</v>
      </c>
      <c r="CP572" s="238">
        <f t="shared" ca="1" si="490"/>
        <v>9</v>
      </c>
      <c r="CQ572" s="328">
        <f t="shared" ca="1" si="491"/>
        <v>24</v>
      </c>
      <c r="CS572" s="112">
        <f t="shared" ca="1" si="492"/>
        <v>100000</v>
      </c>
      <c r="CT572" s="112">
        <f t="shared" ref="CT572:CT635" ca="1" si="542">CO572</f>
        <v>36279</v>
      </c>
      <c r="CU572" s="238">
        <f t="shared" ref="CU572:CU635" ca="1" si="543">CP572</f>
        <v>9</v>
      </c>
      <c r="CV572" s="238">
        <f t="shared" ref="CV572:CV635" ca="1" si="544">CQ572</f>
        <v>24</v>
      </c>
      <c r="CY572">
        <f>CY571+1</f>
        <v>2</v>
      </c>
      <c r="DA572" s="112">
        <f ca="1">SMALL($CS$571:$CS$1100,CY572)</f>
        <v>36281</v>
      </c>
      <c r="DC572">
        <f>DC571+1</f>
        <v>572</v>
      </c>
      <c r="DE572" t="str">
        <f t="shared" ref="DE572:DE618" si="545">CONCATENATE("cs",DC572,":dc771")</f>
        <v>cs572:dc771</v>
      </c>
      <c r="DF572">
        <f t="shared" ref="DF572:DF635" ca="1" si="546">VLOOKUP(DA572,INDIRECT(DE572),11,FALSE)</f>
        <v>576</v>
      </c>
      <c r="DG572" s="412">
        <f t="shared" ca="1" si="494"/>
        <v>0</v>
      </c>
      <c r="DH572" s="411">
        <f t="shared" ca="1" si="495"/>
        <v>36281</v>
      </c>
      <c r="DI572" s="411">
        <f t="shared" ca="1" si="496"/>
        <v>36311</v>
      </c>
      <c r="DJ572" s="410">
        <f t="shared" ca="1" si="497"/>
        <v>9</v>
      </c>
      <c r="DK572" s="410">
        <f t="shared" ca="1" si="498"/>
        <v>24</v>
      </c>
      <c r="DM572" s="411">
        <f t="shared" ca="1" si="499"/>
        <v>36281</v>
      </c>
      <c r="DN572" s="411">
        <f t="shared" ca="1" si="500"/>
        <v>36311</v>
      </c>
      <c r="DO572" s="410">
        <f t="shared" ca="1" si="501"/>
        <v>9</v>
      </c>
      <c r="DP572" s="410">
        <f t="shared" ca="1" si="502"/>
        <v>24</v>
      </c>
    </row>
    <row r="573" spans="27:120" x14ac:dyDescent="0.25">
      <c r="AA573" s="284">
        <f t="shared" ref="AA573:AF573" si="547">AA22</f>
        <v>36325</v>
      </c>
      <c r="AB573" s="284">
        <f t="shared" ca="1" si="504"/>
        <v>100000</v>
      </c>
      <c r="AC573" s="284">
        <f t="shared" ca="1" si="504"/>
        <v>100000</v>
      </c>
      <c r="AD573" s="284">
        <f t="shared" ca="1" si="504"/>
        <v>100000</v>
      </c>
      <c r="AE573" s="284">
        <f t="shared" ca="1" si="504"/>
        <v>100000</v>
      </c>
      <c r="AF573" s="284">
        <f t="shared" si="547"/>
        <v>36325</v>
      </c>
      <c r="AG573" s="238">
        <f t="shared" si="505"/>
        <v>9</v>
      </c>
      <c r="AH573" s="407">
        <f t="shared" si="506"/>
        <v>24</v>
      </c>
      <c r="AJ573" s="112"/>
      <c r="AK573" s="112"/>
      <c r="AL573" s="112">
        <f t="shared" si="507"/>
        <v>36325</v>
      </c>
      <c r="AM573" s="112">
        <f t="shared" ca="1" si="508"/>
        <v>100000</v>
      </c>
      <c r="AN573" s="112">
        <f t="shared" ca="1" si="509"/>
        <v>100000</v>
      </c>
      <c r="AO573" s="112">
        <f t="shared" ca="1" si="510"/>
        <v>100000</v>
      </c>
      <c r="AP573" s="112">
        <f t="shared" ca="1" si="511"/>
        <v>36325</v>
      </c>
      <c r="AQ573" s="112">
        <f t="shared" si="512"/>
        <v>36325</v>
      </c>
      <c r="AT573" s="112">
        <f t="shared" si="513"/>
        <v>36325</v>
      </c>
      <c r="AU573" s="112">
        <f t="shared" ca="1" si="514"/>
        <v>100000</v>
      </c>
      <c r="AV573" s="112">
        <f t="shared" ca="1" si="515"/>
        <v>100000</v>
      </c>
      <c r="AW573" s="112">
        <f t="shared" ca="1" si="516"/>
        <v>36325</v>
      </c>
      <c r="AX573" s="112">
        <f t="shared" ca="1" si="517"/>
        <v>36325</v>
      </c>
      <c r="AY573" s="112">
        <f t="shared" si="518"/>
        <v>36325</v>
      </c>
      <c r="BA573" s="112">
        <f t="shared" si="519"/>
        <v>36325</v>
      </c>
      <c r="BB573" s="112">
        <f t="shared" ca="1" si="520"/>
        <v>100000</v>
      </c>
      <c r="BC573" s="112">
        <f t="shared" ca="1" si="521"/>
        <v>36325</v>
      </c>
      <c r="BD573" s="112">
        <f t="shared" ca="1" si="522"/>
        <v>36325</v>
      </c>
      <c r="BE573" s="112">
        <f t="shared" ca="1" si="523"/>
        <v>36325</v>
      </c>
      <c r="BF573" s="112">
        <f t="shared" si="524"/>
        <v>36325</v>
      </c>
      <c r="BI573" s="112">
        <f t="shared" si="525"/>
        <v>36325</v>
      </c>
      <c r="BJ573" s="112">
        <f t="shared" ca="1" si="526"/>
        <v>36325</v>
      </c>
      <c r="BK573" s="112">
        <f t="shared" ca="1" si="527"/>
        <v>36325</v>
      </c>
      <c r="BL573" s="112">
        <f t="shared" ca="1" si="528"/>
        <v>36325</v>
      </c>
      <c r="BM573" s="112">
        <f t="shared" ca="1" si="529"/>
        <v>36325</v>
      </c>
      <c r="BN573" s="112">
        <f t="shared" si="530"/>
        <v>36325</v>
      </c>
      <c r="BP573" s="238">
        <f t="shared" ca="1" si="481"/>
        <v>1</v>
      </c>
      <c r="BQ573" s="238">
        <f t="shared" ref="BQ573:BQ575" si="548">BQ572</f>
        <v>571</v>
      </c>
      <c r="BR573" t="s">
        <v>446</v>
      </c>
      <c r="BS573" t="s">
        <v>447</v>
      </c>
      <c r="BT573" s="114">
        <f t="shared" ca="1" si="482"/>
        <v>1</v>
      </c>
      <c r="BU573" s="112"/>
      <c r="BV573">
        <f t="shared" ca="1" si="483"/>
        <v>0</v>
      </c>
      <c r="BW573" s="112">
        <f t="shared" ca="1" si="484"/>
        <v>36280</v>
      </c>
      <c r="BX573" s="112">
        <f t="shared" ca="1" si="531"/>
        <v>36279</v>
      </c>
      <c r="BY573">
        <f t="shared" ca="1" si="532"/>
        <v>9</v>
      </c>
      <c r="BZ573">
        <f t="shared" ca="1" si="533"/>
        <v>24</v>
      </c>
      <c r="CB573">
        <f t="shared" ca="1" si="534"/>
        <v>0</v>
      </c>
      <c r="CC573" s="260">
        <f t="shared" ca="1" si="535"/>
        <v>100000</v>
      </c>
      <c r="CD573" s="112">
        <f t="shared" ca="1" si="536"/>
        <v>36279</v>
      </c>
      <c r="CE573">
        <f t="shared" ca="1" si="537"/>
        <v>9</v>
      </c>
      <c r="CF573" s="254">
        <f t="shared" ca="1" si="538"/>
        <v>24</v>
      </c>
      <c r="CH573" s="112">
        <f t="shared" ca="1" si="485"/>
        <v>36280</v>
      </c>
      <c r="CI573">
        <f t="shared" ca="1" si="539"/>
        <v>0</v>
      </c>
      <c r="CJ573">
        <f t="shared" ref="CJ573" ca="1" si="549">IF(AND(CI573=0,CJ574=0,CJ575=0,CC573&lt;100000),1,0)</f>
        <v>0</v>
      </c>
      <c r="CK573" s="112">
        <f t="shared" ca="1" si="487"/>
        <v>36280</v>
      </c>
      <c r="CM573" s="112"/>
      <c r="CN573" s="260">
        <f t="shared" ca="1" si="488"/>
        <v>100000</v>
      </c>
      <c r="CO573" s="112">
        <f t="shared" ca="1" si="541"/>
        <v>36279</v>
      </c>
      <c r="CP573" s="238">
        <f t="shared" ca="1" si="490"/>
        <v>9</v>
      </c>
      <c r="CQ573" s="328">
        <f t="shared" ca="1" si="491"/>
        <v>24</v>
      </c>
      <c r="CS573" s="112">
        <f t="shared" ca="1" si="492"/>
        <v>100000</v>
      </c>
      <c r="CT573" s="112">
        <f t="shared" ca="1" si="542"/>
        <v>36279</v>
      </c>
      <c r="CU573" s="238">
        <f t="shared" ca="1" si="543"/>
        <v>9</v>
      </c>
      <c r="CV573" s="238">
        <f t="shared" ca="1" si="544"/>
        <v>24</v>
      </c>
      <c r="CY573">
        <f t="shared" ref="CY573:CY636" si="550">CY572+1</f>
        <v>3</v>
      </c>
      <c r="DA573" s="112">
        <f t="shared" ref="DA573:DA636" ca="1" si="551">SMALL($CS$571:$CS$1100,CY573)</f>
        <v>36312</v>
      </c>
      <c r="DC573">
        <f t="shared" ref="DC573:DC636" si="552">DC572+1</f>
        <v>573</v>
      </c>
      <c r="DE573" t="str">
        <f t="shared" si="545"/>
        <v>cs573:dc771</v>
      </c>
      <c r="DF573">
        <f t="shared" ca="1" si="546"/>
        <v>578</v>
      </c>
      <c r="DG573" s="412">
        <f t="shared" ca="1" si="494"/>
        <v>0</v>
      </c>
      <c r="DH573" s="411">
        <f t="shared" ca="1" si="495"/>
        <v>36312</v>
      </c>
      <c r="DI573" s="411">
        <f t="shared" ca="1" si="496"/>
        <v>36321</v>
      </c>
      <c r="DJ573" s="410">
        <f t="shared" ca="1" si="497"/>
        <v>9</v>
      </c>
      <c r="DK573" s="410">
        <f t="shared" ca="1" si="498"/>
        <v>24</v>
      </c>
      <c r="DM573" s="411">
        <f t="shared" ca="1" si="499"/>
        <v>36312</v>
      </c>
      <c r="DN573" s="411">
        <f t="shared" ca="1" si="500"/>
        <v>36321</v>
      </c>
      <c r="DO573" s="410">
        <f t="shared" ca="1" si="501"/>
        <v>9</v>
      </c>
      <c r="DP573" s="410">
        <f t="shared" ca="1" si="502"/>
        <v>24</v>
      </c>
    </row>
    <row r="574" spans="27:120" x14ac:dyDescent="0.25">
      <c r="AA574" s="284">
        <f t="shared" ref="AA574:AF574" si="553">AA23</f>
        <v>36432</v>
      </c>
      <c r="AB574" s="284">
        <f t="shared" ca="1" si="504"/>
        <v>100000</v>
      </c>
      <c r="AC574" s="284">
        <f t="shared" ca="1" si="504"/>
        <v>100000</v>
      </c>
      <c r="AD574" s="284">
        <f t="shared" ca="1" si="504"/>
        <v>100000</v>
      </c>
      <c r="AE574" s="284">
        <f t="shared" ca="1" si="504"/>
        <v>100000</v>
      </c>
      <c r="AF574" s="284">
        <f t="shared" si="553"/>
        <v>36433</v>
      </c>
      <c r="AG574" s="238">
        <f t="shared" si="505"/>
        <v>13</v>
      </c>
      <c r="AH574" s="407">
        <f t="shared" si="506"/>
        <v>24</v>
      </c>
      <c r="AJ574" s="112"/>
      <c r="AK574" s="112"/>
      <c r="AL574" s="112">
        <f t="shared" si="507"/>
        <v>36432</v>
      </c>
      <c r="AM574" s="112">
        <f t="shared" ca="1" si="508"/>
        <v>100000</v>
      </c>
      <c r="AN574" s="112">
        <f t="shared" ca="1" si="509"/>
        <v>100000</v>
      </c>
      <c r="AO574" s="112">
        <f t="shared" ca="1" si="510"/>
        <v>100000</v>
      </c>
      <c r="AP574" s="112">
        <f t="shared" ca="1" si="511"/>
        <v>36433</v>
      </c>
      <c r="AQ574" s="112">
        <f t="shared" si="512"/>
        <v>36433</v>
      </c>
      <c r="AT574" s="112">
        <f t="shared" si="513"/>
        <v>36432</v>
      </c>
      <c r="AU574" s="112">
        <f t="shared" ca="1" si="514"/>
        <v>100000</v>
      </c>
      <c r="AV574" s="112">
        <f t="shared" ca="1" si="515"/>
        <v>100000</v>
      </c>
      <c r="AW574" s="112">
        <f t="shared" ca="1" si="516"/>
        <v>36433</v>
      </c>
      <c r="AX574" s="112">
        <f t="shared" ca="1" si="517"/>
        <v>36433</v>
      </c>
      <c r="AY574" s="112">
        <f t="shared" si="518"/>
        <v>36433</v>
      </c>
      <c r="BA574" s="112">
        <f t="shared" si="519"/>
        <v>36432</v>
      </c>
      <c r="BB574" s="112">
        <f t="shared" ca="1" si="520"/>
        <v>100000</v>
      </c>
      <c r="BC574" s="112">
        <f t="shared" ca="1" si="521"/>
        <v>36433</v>
      </c>
      <c r="BD574" s="112">
        <f t="shared" ca="1" si="522"/>
        <v>36433</v>
      </c>
      <c r="BE574" s="112">
        <f t="shared" ca="1" si="523"/>
        <v>36433</v>
      </c>
      <c r="BF574" s="112">
        <f t="shared" si="524"/>
        <v>36433</v>
      </c>
      <c r="BI574" s="112">
        <f t="shared" si="525"/>
        <v>36432</v>
      </c>
      <c r="BJ574" s="112">
        <f t="shared" ca="1" si="526"/>
        <v>36433</v>
      </c>
      <c r="BK574" s="112">
        <f t="shared" ca="1" si="527"/>
        <v>36433</v>
      </c>
      <c r="BL574" s="112">
        <f t="shared" ca="1" si="528"/>
        <v>36433</v>
      </c>
      <c r="BM574" s="112">
        <f t="shared" ca="1" si="529"/>
        <v>36433</v>
      </c>
      <c r="BN574" s="112">
        <f t="shared" si="530"/>
        <v>36433</v>
      </c>
      <c r="BP574" s="238">
        <f t="shared" ca="1" si="481"/>
        <v>1</v>
      </c>
      <c r="BQ574" s="238">
        <f t="shared" si="548"/>
        <v>571</v>
      </c>
      <c r="BR574" t="s">
        <v>447</v>
      </c>
      <c r="BS574" t="s">
        <v>448</v>
      </c>
      <c r="BT574" s="114">
        <f t="shared" ca="1" si="482"/>
        <v>1</v>
      </c>
      <c r="BU574" s="112"/>
      <c r="BV574">
        <f t="shared" ca="1" si="483"/>
        <v>0</v>
      </c>
      <c r="BW574" s="112">
        <f t="shared" ca="1" si="484"/>
        <v>36280</v>
      </c>
      <c r="BX574" s="112">
        <f ca="1">INDIRECT(CONCATENATE(BS574,BQ574))</f>
        <v>36280</v>
      </c>
      <c r="BY574">
        <f t="shared" ca="1" si="532"/>
        <v>9</v>
      </c>
      <c r="BZ574">
        <f t="shared" ca="1" si="533"/>
        <v>24</v>
      </c>
      <c r="CB574">
        <f t="shared" ca="1" si="534"/>
        <v>0</v>
      </c>
      <c r="CC574" s="260">
        <f t="shared" ca="1" si="535"/>
        <v>100000</v>
      </c>
      <c r="CD574" s="112">
        <f t="shared" ca="1" si="536"/>
        <v>36280</v>
      </c>
      <c r="CE574">
        <f t="shared" ca="1" si="537"/>
        <v>9</v>
      </c>
      <c r="CF574" s="254">
        <f t="shared" ca="1" si="538"/>
        <v>24</v>
      </c>
      <c r="CH574" s="112">
        <f t="shared" ca="1" si="485"/>
        <v>36280</v>
      </c>
      <c r="CI574">
        <f t="shared" ca="1" si="539"/>
        <v>0</v>
      </c>
      <c r="CJ574">
        <f t="shared" ref="CJ574" ca="1" si="554">IF(AND(CI574=0,CJ575=0,CC574&lt;100000),1,0)</f>
        <v>0</v>
      </c>
      <c r="CK574" s="112">
        <f t="shared" ca="1" si="487"/>
        <v>36280</v>
      </c>
      <c r="CM574" s="112"/>
      <c r="CN574" s="260">
        <f t="shared" ca="1" si="488"/>
        <v>100000</v>
      </c>
      <c r="CO574" s="112">
        <f t="shared" ca="1" si="541"/>
        <v>36280</v>
      </c>
      <c r="CP574" s="238">
        <f t="shared" ca="1" si="490"/>
        <v>9</v>
      </c>
      <c r="CQ574" s="328">
        <f t="shared" ca="1" si="491"/>
        <v>24</v>
      </c>
      <c r="CS574" s="112">
        <f t="shared" ca="1" si="492"/>
        <v>100000</v>
      </c>
      <c r="CT574" s="112">
        <f t="shared" ca="1" si="542"/>
        <v>36280</v>
      </c>
      <c r="CU574" s="238">
        <f t="shared" ca="1" si="543"/>
        <v>9</v>
      </c>
      <c r="CV574" s="238">
        <f t="shared" ca="1" si="544"/>
        <v>24</v>
      </c>
      <c r="CY574">
        <f t="shared" si="550"/>
        <v>4</v>
      </c>
      <c r="DA574" s="112">
        <f t="shared" ca="1" si="551"/>
        <v>36325</v>
      </c>
      <c r="DC574">
        <f t="shared" si="552"/>
        <v>574</v>
      </c>
      <c r="DE574" t="str">
        <f t="shared" si="545"/>
        <v>cs574:dc771</v>
      </c>
      <c r="DF574">
        <f t="shared" ca="1" si="546"/>
        <v>585</v>
      </c>
      <c r="DG574" s="412">
        <f t="shared" ca="1" si="494"/>
        <v>0</v>
      </c>
      <c r="DH574" s="411">
        <f t="shared" ca="1" si="495"/>
        <v>36325</v>
      </c>
      <c r="DI574" s="411">
        <f t="shared" ca="1" si="496"/>
        <v>36325</v>
      </c>
      <c r="DJ574" s="410">
        <f t="shared" ca="1" si="497"/>
        <v>9</v>
      </c>
      <c r="DK574" s="410">
        <f t="shared" ca="1" si="498"/>
        <v>24</v>
      </c>
      <c r="DM574" s="411">
        <f t="shared" ca="1" si="499"/>
        <v>36325</v>
      </c>
      <c r="DN574" s="411">
        <f t="shared" ca="1" si="500"/>
        <v>36325</v>
      </c>
      <c r="DO574" s="410">
        <f t="shared" ca="1" si="501"/>
        <v>9</v>
      </c>
      <c r="DP574" s="410">
        <f t="shared" ca="1" si="502"/>
        <v>24</v>
      </c>
    </row>
    <row r="575" spans="27:120" ht="15.75" thickBot="1" x14ac:dyDescent="0.3">
      <c r="AA575" s="284">
        <f t="shared" ref="AA575:AF575" si="555">AA24</f>
        <v>36434</v>
      </c>
      <c r="AB575" s="284">
        <f t="shared" ca="1" si="504"/>
        <v>100000</v>
      </c>
      <c r="AC575" s="284">
        <f t="shared" ca="1" si="504"/>
        <v>100000</v>
      </c>
      <c r="AD575" s="284">
        <f t="shared" ca="1" si="504"/>
        <v>100000</v>
      </c>
      <c r="AE575" s="284">
        <f t="shared" ca="1" si="504"/>
        <v>100000</v>
      </c>
      <c r="AF575" s="284">
        <f t="shared" si="555"/>
        <v>36454</v>
      </c>
      <c r="AG575" s="238">
        <f t="shared" si="505"/>
        <v>7</v>
      </c>
      <c r="AH575" s="407">
        <f t="shared" si="506"/>
        <v>24</v>
      </c>
      <c r="AJ575" s="112"/>
      <c r="AK575" s="112"/>
      <c r="AL575" s="112">
        <f t="shared" si="507"/>
        <v>36434</v>
      </c>
      <c r="AM575" s="112">
        <f t="shared" ca="1" si="508"/>
        <v>100000</v>
      </c>
      <c r="AN575" s="112">
        <f t="shared" ca="1" si="509"/>
        <v>100000</v>
      </c>
      <c r="AO575" s="112">
        <f t="shared" ca="1" si="510"/>
        <v>100000</v>
      </c>
      <c r="AP575" s="112">
        <f t="shared" ca="1" si="511"/>
        <v>36454</v>
      </c>
      <c r="AQ575" s="112">
        <f t="shared" si="512"/>
        <v>36454</v>
      </c>
      <c r="AT575" s="112">
        <f t="shared" si="513"/>
        <v>36434</v>
      </c>
      <c r="AU575" s="112">
        <f t="shared" ca="1" si="514"/>
        <v>100000</v>
      </c>
      <c r="AV575" s="112">
        <f t="shared" ca="1" si="515"/>
        <v>100000</v>
      </c>
      <c r="AW575" s="112">
        <f t="shared" ca="1" si="516"/>
        <v>36454</v>
      </c>
      <c r="AX575" s="112">
        <f t="shared" ca="1" si="517"/>
        <v>36454</v>
      </c>
      <c r="AY575" s="112">
        <f t="shared" si="518"/>
        <v>36454</v>
      </c>
      <c r="BA575" s="112">
        <f t="shared" si="519"/>
        <v>36434</v>
      </c>
      <c r="BB575" s="112">
        <f t="shared" ca="1" si="520"/>
        <v>100000</v>
      </c>
      <c r="BC575" s="112">
        <f t="shared" ca="1" si="521"/>
        <v>36454</v>
      </c>
      <c r="BD575" s="112">
        <f t="shared" ca="1" si="522"/>
        <v>36454</v>
      </c>
      <c r="BE575" s="112">
        <f t="shared" ca="1" si="523"/>
        <v>36454</v>
      </c>
      <c r="BF575" s="112">
        <f t="shared" si="524"/>
        <v>36454</v>
      </c>
      <c r="BI575" s="112">
        <f t="shared" si="525"/>
        <v>36434</v>
      </c>
      <c r="BJ575" s="112">
        <f t="shared" ca="1" si="526"/>
        <v>36454</v>
      </c>
      <c r="BK575" s="112">
        <f t="shared" ca="1" si="527"/>
        <v>36454</v>
      </c>
      <c r="BL575" s="112">
        <f t="shared" ca="1" si="528"/>
        <v>36454</v>
      </c>
      <c r="BM575" s="112">
        <f t="shared" ca="1" si="529"/>
        <v>36454</v>
      </c>
      <c r="BN575" s="112">
        <f t="shared" si="530"/>
        <v>36454</v>
      </c>
      <c r="BP575" s="238">
        <f t="shared" ca="1" si="481"/>
        <v>1</v>
      </c>
      <c r="BQ575" s="238">
        <f t="shared" si="548"/>
        <v>571</v>
      </c>
      <c r="BR575" t="s">
        <v>448</v>
      </c>
      <c r="BS575" t="s">
        <v>449</v>
      </c>
      <c r="BT575" s="114">
        <f t="shared" ca="1" si="482"/>
        <v>1</v>
      </c>
      <c r="BU575" s="112"/>
      <c r="BV575">
        <f t="shared" ca="1" si="483"/>
        <v>0</v>
      </c>
      <c r="BW575" s="112">
        <f t="shared" ca="1" si="484"/>
        <v>36280</v>
      </c>
      <c r="BX575" s="112">
        <f ca="1">INDIRECT(CONCATENATE(BS575,BQ575))</f>
        <v>36280</v>
      </c>
      <c r="BY575">
        <f t="shared" ca="1" si="532"/>
        <v>9</v>
      </c>
      <c r="BZ575">
        <f t="shared" ca="1" si="533"/>
        <v>24</v>
      </c>
      <c r="CB575">
        <f t="shared" ca="1" si="534"/>
        <v>0</v>
      </c>
      <c r="CC575" s="261">
        <f t="shared" ca="1" si="535"/>
        <v>100000</v>
      </c>
      <c r="CD575" s="324">
        <f t="shared" ca="1" si="536"/>
        <v>36280</v>
      </c>
      <c r="CE575" s="257">
        <f t="shared" ca="1" si="537"/>
        <v>9</v>
      </c>
      <c r="CF575" s="258">
        <f t="shared" ca="1" si="538"/>
        <v>24</v>
      </c>
      <c r="CH575" s="112">
        <f t="shared" ca="1" si="485"/>
        <v>36280</v>
      </c>
      <c r="CI575">
        <f t="shared" ca="1" si="539"/>
        <v>0</v>
      </c>
      <c r="CJ575">
        <f t="shared" ref="CJ575" ca="1" si="556">IF(AND(CI575=0,CC575&lt;100000),1,0)</f>
        <v>0</v>
      </c>
      <c r="CK575" s="112">
        <f t="shared" ca="1" si="487"/>
        <v>36280</v>
      </c>
      <c r="CM575" s="112"/>
      <c r="CN575" s="261">
        <f t="shared" ref="CN575" ca="1" si="557">IF(AND(CN571=100000,CN572=100000,CN573=100000,CN574=100000),INDIRECT(CONCATENATE("aa",BQ575)),CC575)</f>
        <v>100000</v>
      </c>
      <c r="CO575" s="324">
        <f t="shared" ca="1" si="541"/>
        <v>36280</v>
      </c>
      <c r="CP575" s="256">
        <f t="shared" ca="1" si="490"/>
        <v>9</v>
      </c>
      <c r="CQ575" s="329">
        <f t="shared" ca="1" si="491"/>
        <v>24</v>
      </c>
      <c r="CS575" s="112">
        <f t="shared" ca="1" si="492"/>
        <v>100000</v>
      </c>
      <c r="CT575" s="112">
        <f t="shared" ca="1" si="542"/>
        <v>36280</v>
      </c>
      <c r="CU575" s="238">
        <f t="shared" ca="1" si="543"/>
        <v>9</v>
      </c>
      <c r="CV575" s="238">
        <f t="shared" ca="1" si="544"/>
        <v>24</v>
      </c>
      <c r="CY575">
        <f t="shared" si="550"/>
        <v>5</v>
      </c>
      <c r="DA575" s="112">
        <f t="shared" ca="1" si="551"/>
        <v>36432</v>
      </c>
      <c r="DC575">
        <f t="shared" si="552"/>
        <v>575</v>
      </c>
      <c r="DE575" t="str">
        <f t="shared" si="545"/>
        <v>cs575:dc771</v>
      </c>
      <c r="DF575">
        <f t="shared" ca="1" si="546"/>
        <v>586</v>
      </c>
      <c r="DG575" s="412">
        <f t="shared" ca="1" si="494"/>
        <v>0</v>
      </c>
      <c r="DH575" s="411">
        <f t="shared" ca="1" si="495"/>
        <v>36432</v>
      </c>
      <c r="DI575" s="411">
        <f t="shared" ca="1" si="496"/>
        <v>36433</v>
      </c>
      <c r="DJ575" s="410">
        <f t="shared" ca="1" si="497"/>
        <v>13</v>
      </c>
      <c r="DK575" s="410">
        <f t="shared" ca="1" si="498"/>
        <v>24</v>
      </c>
      <c r="DM575" s="411">
        <f t="shared" ca="1" si="499"/>
        <v>36432</v>
      </c>
      <c r="DN575" s="411">
        <f t="shared" ca="1" si="500"/>
        <v>36433</v>
      </c>
      <c r="DO575" s="410">
        <f t="shared" ca="1" si="501"/>
        <v>13</v>
      </c>
      <c r="DP575" s="410">
        <f t="shared" ca="1" si="502"/>
        <v>24</v>
      </c>
    </row>
    <row r="576" spans="27:120" x14ac:dyDescent="0.25">
      <c r="AA576" s="284">
        <f t="shared" ref="AA576:AF576" si="558">AA25</f>
        <v>36456</v>
      </c>
      <c r="AB576" s="284">
        <f t="shared" ref="AB576:AE576" ca="1" si="559">IF(OR(AB25&lt;=$AA576,AB25&gt;$AF576),100000,AB25)</f>
        <v>100000</v>
      </c>
      <c r="AC576" s="284">
        <f t="shared" ca="1" si="559"/>
        <v>36708</v>
      </c>
      <c r="AD576" s="284">
        <f t="shared" ca="1" si="559"/>
        <v>100000</v>
      </c>
      <c r="AE576" s="284">
        <f t="shared" ca="1" si="559"/>
        <v>100000</v>
      </c>
      <c r="AF576" s="284">
        <f t="shared" si="558"/>
        <v>36769</v>
      </c>
      <c r="AG576" s="238">
        <f t="shared" si="505"/>
        <v>18</v>
      </c>
      <c r="AH576" s="407">
        <f t="shared" si="506"/>
        <v>24</v>
      </c>
      <c r="AJ576" s="112"/>
      <c r="AK576" s="112"/>
      <c r="AL576" s="112">
        <f t="shared" si="507"/>
        <v>36456</v>
      </c>
      <c r="AM576" s="112">
        <f t="shared" ca="1" si="508"/>
        <v>36708</v>
      </c>
      <c r="AN576" s="112">
        <f t="shared" ca="1" si="509"/>
        <v>36708</v>
      </c>
      <c r="AO576" s="112">
        <f t="shared" ca="1" si="510"/>
        <v>100000</v>
      </c>
      <c r="AP576" s="112">
        <f t="shared" ca="1" si="511"/>
        <v>36769</v>
      </c>
      <c r="AQ576" s="112">
        <f t="shared" si="512"/>
        <v>36769</v>
      </c>
      <c r="AT576" s="112">
        <f t="shared" si="513"/>
        <v>36456</v>
      </c>
      <c r="AU576" s="112">
        <f t="shared" ca="1" si="514"/>
        <v>36708</v>
      </c>
      <c r="AV576" s="112">
        <f t="shared" ca="1" si="515"/>
        <v>36708</v>
      </c>
      <c r="AW576" s="112">
        <f t="shared" ca="1" si="516"/>
        <v>36769</v>
      </c>
      <c r="AX576" s="112">
        <f t="shared" ca="1" si="517"/>
        <v>36769</v>
      </c>
      <c r="AY576" s="112">
        <f t="shared" si="518"/>
        <v>36769</v>
      </c>
      <c r="BA576" s="112">
        <f t="shared" si="519"/>
        <v>36456</v>
      </c>
      <c r="BB576" s="112">
        <f t="shared" ca="1" si="520"/>
        <v>36708</v>
      </c>
      <c r="BC576" s="112">
        <f t="shared" ca="1" si="521"/>
        <v>36708</v>
      </c>
      <c r="BD576" s="112">
        <f t="shared" ca="1" si="522"/>
        <v>36769</v>
      </c>
      <c r="BE576" s="112">
        <f t="shared" ca="1" si="523"/>
        <v>36769</v>
      </c>
      <c r="BF576" s="112">
        <f t="shared" si="524"/>
        <v>36769</v>
      </c>
      <c r="BI576" s="112">
        <f t="shared" si="525"/>
        <v>36456</v>
      </c>
      <c r="BJ576" s="112">
        <f t="shared" ca="1" si="526"/>
        <v>36708</v>
      </c>
      <c r="BK576" s="112">
        <f t="shared" ca="1" si="527"/>
        <v>36708</v>
      </c>
      <c r="BL576" s="112">
        <f t="shared" ca="1" si="528"/>
        <v>36769</v>
      </c>
      <c r="BM576" s="112">
        <f t="shared" ca="1" si="529"/>
        <v>36769</v>
      </c>
      <c r="BN576" s="112">
        <f t="shared" si="530"/>
        <v>36769</v>
      </c>
      <c r="BP576" s="238">
        <f t="shared" ca="1" si="481"/>
        <v>0</v>
      </c>
      <c r="BQ576" s="238">
        <f t="shared" ref="BQ576" si="560">BQ575+1</f>
        <v>572</v>
      </c>
      <c r="BR576" s="112" t="s">
        <v>444</v>
      </c>
      <c r="BS576" s="112" t="s">
        <v>445</v>
      </c>
      <c r="BT576" s="114">
        <f t="shared" ca="1" si="482"/>
        <v>0</v>
      </c>
      <c r="BU576" s="112"/>
      <c r="BV576">
        <f t="shared" ca="1" si="483"/>
        <v>1</v>
      </c>
      <c r="BW576" s="112">
        <f t="shared" ca="1" si="484"/>
        <v>36281</v>
      </c>
      <c r="BX576" s="112">
        <f t="shared" ref="BX576:BX578" ca="1" si="561">INDIRECT(CONCATENATE(BS576,BQ576))-1</f>
        <v>36311</v>
      </c>
      <c r="BY576">
        <f t="shared" ca="1" si="532"/>
        <v>9</v>
      </c>
      <c r="BZ576">
        <f t="shared" ca="1" si="533"/>
        <v>24</v>
      </c>
      <c r="CB576">
        <f t="shared" ca="1" si="534"/>
        <v>0</v>
      </c>
      <c r="CC576" s="408">
        <f t="shared" ca="1" si="535"/>
        <v>36281</v>
      </c>
      <c r="CD576" s="326">
        <f t="shared" ca="1" si="536"/>
        <v>36311</v>
      </c>
      <c r="CE576" s="251">
        <f t="shared" ca="1" si="537"/>
        <v>9</v>
      </c>
      <c r="CF576" s="252">
        <f t="shared" ca="1" si="538"/>
        <v>24</v>
      </c>
      <c r="CH576" s="112">
        <f t="shared" ca="1" si="485"/>
        <v>36321</v>
      </c>
      <c r="CI576">
        <f t="shared" ref="CI576" ca="1" si="562">CB576+CB577+CB578+CB579+CB580</f>
        <v>0</v>
      </c>
      <c r="CJ576">
        <v>0</v>
      </c>
      <c r="CK576" s="112">
        <f t="shared" ca="1" si="487"/>
        <v>36321</v>
      </c>
      <c r="CM576" s="112"/>
      <c r="CN576" s="408">
        <f t="shared" ca="1" si="488"/>
        <v>36281</v>
      </c>
      <c r="CO576" s="326">
        <f t="shared" ref="CO576" ca="1" si="563">CD576</f>
        <v>36311</v>
      </c>
      <c r="CP576" s="333">
        <f t="shared" ca="1" si="490"/>
        <v>9</v>
      </c>
      <c r="CQ576" s="327">
        <f t="shared" ca="1" si="491"/>
        <v>24</v>
      </c>
      <c r="CS576" s="112">
        <f t="shared" ca="1" si="492"/>
        <v>36281</v>
      </c>
      <c r="CT576" s="112">
        <f t="shared" ref="CT576" ca="1" si="564">IF(AND( CN577=100000,CN578=100000,CN579=100000,CN580=100000),CO580,                             CO576)</f>
        <v>36311</v>
      </c>
      <c r="CU576" s="238">
        <f t="shared" ca="1" si="543"/>
        <v>9</v>
      </c>
      <c r="CV576" s="238">
        <f t="shared" ca="1" si="544"/>
        <v>24</v>
      </c>
      <c r="CY576">
        <f t="shared" si="550"/>
        <v>6</v>
      </c>
      <c r="DA576" s="112">
        <f t="shared" ca="1" si="551"/>
        <v>36434</v>
      </c>
      <c r="DC576">
        <f t="shared" si="552"/>
        <v>576</v>
      </c>
      <c r="DE576" t="str">
        <f t="shared" si="545"/>
        <v>cs576:dc771</v>
      </c>
      <c r="DF576">
        <f t="shared" ca="1" si="546"/>
        <v>591</v>
      </c>
      <c r="DG576" s="412">
        <f t="shared" ca="1" si="494"/>
        <v>0</v>
      </c>
      <c r="DH576" s="411">
        <f t="shared" ca="1" si="495"/>
        <v>36434</v>
      </c>
      <c r="DI576" s="411">
        <f t="shared" ca="1" si="496"/>
        <v>36454</v>
      </c>
      <c r="DJ576" s="410">
        <f t="shared" ca="1" si="497"/>
        <v>7</v>
      </c>
      <c r="DK576" s="410">
        <f t="shared" ca="1" si="498"/>
        <v>24</v>
      </c>
      <c r="DM576" s="411">
        <f t="shared" ca="1" si="499"/>
        <v>36434</v>
      </c>
      <c r="DN576" s="411">
        <f t="shared" ca="1" si="500"/>
        <v>36454</v>
      </c>
      <c r="DO576" s="410">
        <f t="shared" ca="1" si="501"/>
        <v>7</v>
      </c>
      <c r="DP576" s="410">
        <f t="shared" ca="1" si="502"/>
        <v>24</v>
      </c>
    </row>
    <row r="577" spans="27:120" x14ac:dyDescent="0.25">
      <c r="AA577" s="284">
        <f t="shared" ref="AA577:AF577" si="565">AA26</f>
        <v>36777</v>
      </c>
      <c r="AB577" s="284">
        <f t="shared" ref="AB577:AE577" ca="1" si="566">IF(OR(AB26&lt;=$AA577,AB26&gt;$AF577),100000,AB26)</f>
        <v>100000</v>
      </c>
      <c r="AC577" s="284">
        <f t="shared" ca="1" si="566"/>
        <v>36892</v>
      </c>
      <c r="AD577" s="284">
        <f t="shared" ca="1" si="566"/>
        <v>100000</v>
      </c>
      <c r="AE577" s="284">
        <f t="shared" ca="1" si="566"/>
        <v>100000</v>
      </c>
      <c r="AF577" s="284">
        <f t="shared" si="565"/>
        <v>36920</v>
      </c>
      <c r="AG577" s="238">
        <f t="shared" si="505"/>
        <v>18</v>
      </c>
      <c r="AH577" s="407">
        <f t="shared" si="506"/>
        <v>24</v>
      </c>
      <c r="AJ577" s="112"/>
      <c r="AK577" s="112"/>
      <c r="AL577" s="112">
        <f t="shared" si="507"/>
        <v>36777</v>
      </c>
      <c r="AM577" s="112">
        <f t="shared" ca="1" si="508"/>
        <v>36892</v>
      </c>
      <c r="AN577" s="112">
        <f t="shared" ca="1" si="509"/>
        <v>36892</v>
      </c>
      <c r="AO577" s="112">
        <f t="shared" ca="1" si="510"/>
        <v>100000</v>
      </c>
      <c r="AP577" s="112">
        <f t="shared" ca="1" si="511"/>
        <v>36920</v>
      </c>
      <c r="AQ577" s="112">
        <f t="shared" si="512"/>
        <v>36920</v>
      </c>
      <c r="AT577" s="112">
        <f t="shared" si="513"/>
        <v>36777</v>
      </c>
      <c r="AU577" s="112">
        <f t="shared" ca="1" si="514"/>
        <v>36892</v>
      </c>
      <c r="AV577" s="112">
        <f t="shared" ca="1" si="515"/>
        <v>36892</v>
      </c>
      <c r="AW577" s="112">
        <f t="shared" ca="1" si="516"/>
        <v>36920</v>
      </c>
      <c r="AX577" s="112">
        <f t="shared" ca="1" si="517"/>
        <v>36920</v>
      </c>
      <c r="AY577" s="112">
        <f t="shared" si="518"/>
        <v>36920</v>
      </c>
      <c r="BA577" s="112">
        <f t="shared" si="519"/>
        <v>36777</v>
      </c>
      <c r="BB577" s="112">
        <f t="shared" ca="1" si="520"/>
        <v>36892</v>
      </c>
      <c r="BC577" s="112">
        <f t="shared" ca="1" si="521"/>
        <v>36892</v>
      </c>
      <c r="BD577" s="112">
        <f t="shared" ca="1" si="522"/>
        <v>36920</v>
      </c>
      <c r="BE577" s="112">
        <f t="shared" ca="1" si="523"/>
        <v>36920</v>
      </c>
      <c r="BF577" s="112">
        <f t="shared" si="524"/>
        <v>36920</v>
      </c>
      <c r="BI577" s="112">
        <f t="shared" si="525"/>
        <v>36777</v>
      </c>
      <c r="BJ577" s="112">
        <f t="shared" ca="1" si="526"/>
        <v>36892</v>
      </c>
      <c r="BK577" s="112">
        <f t="shared" ca="1" si="527"/>
        <v>36892</v>
      </c>
      <c r="BL577" s="112">
        <f t="shared" ca="1" si="528"/>
        <v>36920</v>
      </c>
      <c r="BM577" s="112">
        <f t="shared" ca="1" si="529"/>
        <v>36920</v>
      </c>
      <c r="BN577" s="112">
        <f t="shared" si="530"/>
        <v>36920</v>
      </c>
      <c r="BP577" s="238">
        <f t="shared" ca="1" si="481"/>
        <v>0</v>
      </c>
      <c r="BQ577" s="238">
        <f t="shared" ref="BQ577:BQ580" si="567">BQ576</f>
        <v>572</v>
      </c>
      <c r="BR577" t="s">
        <v>445</v>
      </c>
      <c r="BS577" t="s">
        <v>446</v>
      </c>
      <c r="BT577" s="114">
        <f t="shared" ca="1" si="482"/>
        <v>0</v>
      </c>
      <c r="BU577" s="112"/>
      <c r="BV577">
        <f t="shared" ca="1" si="483"/>
        <v>1</v>
      </c>
      <c r="BW577" s="112">
        <f t="shared" ca="1" si="484"/>
        <v>36312</v>
      </c>
      <c r="BX577" s="112">
        <f t="shared" ca="1" si="561"/>
        <v>36311</v>
      </c>
      <c r="BY577">
        <f t="shared" ref="BY577:BY640" ca="1" si="568">INDIRECT(CONCATENATE("ag",BQ577))</f>
        <v>9</v>
      </c>
      <c r="BZ577">
        <f t="shared" ref="BZ577:BZ640" ca="1" si="569">INDIRECT(CONCATENATE("ah",BQ577))</f>
        <v>24</v>
      </c>
      <c r="CB577">
        <f t="shared" ca="1" si="534"/>
        <v>0</v>
      </c>
      <c r="CC577" s="260">
        <f t="shared" ca="1" si="535"/>
        <v>100000</v>
      </c>
      <c r="CD577" s="112">
        <f t="shared" ca="1" si="536"/>
        <v>36311</v>
      </c>
      <c r="CE577">
        <f t="shared" ca="1" si="537"/>
        <v>9</v>
      </c>
      <c r="CF577" s="254">
        <f t="shared" ca="1" si="538"/>
        <v>24</v>
      </c>
      <c r="CH577" s="112">
        <f t="shared" ca="1" si="485"/>
        <v>36321</v>
      </c>
      <c r="CI577">
        <f t="shared" ref="CI577:CI580" ca="1" si="570">CI576</f>
        <v>0</v>
      </c>
      <c r="CJ577">
        <f t="shared" ref="CJ577" ca="1" si="571">IF(AND(CI577=0,CJ578=0,CJ579=0,CJ580=0,CC577&lt;100000),1,0)</f>
        <v>0</v>
      </c>
      <c r="CK577" s="112">
        <f t="shared" ca="1" si="487"/>
        <v>36321</v>
      </c>
      <c r="CM577" s="112"/>
      <c r="CN577" s="260">
        <f t="shared" ca="1" si="488"/>
        <v>100000</v>
      </c>
      <c r="CO577" s="112">
        <f t="shared" ref="CO577:CO580" ca="1" si="572">IF(CJ577=1,CH577,CD577)</f>
        <v>36311</v>
      </c>
      <c r="CP577" s="238">
        <f t="shared" ca="1" si="490"/>
        <v>9</v>
      </c>
      <c r="CQ577" s="328">
        <f t="shared" ca="1" si="491"/>
        <v>24</v>
      </c>
      <c r="CS577" s="112">
        <f t="shared" ca="1" si="492"/>
        <v>100000</v>
      </c>
      <c r="CT577" s="112">
        <f t="shared" ca="1" si="542"/>
        <v>36311</v>
      </c>
      <c r="CU577" s="238">
        <f t="shared" ca="1" si="543"/>
        <v>9</v>
      </c>
      <c r="CV577" s="238">
        <f t="shared" ca="1" si="544"/>
        <v>24</v>
      </c>
      <c r="CY577">
        <f t="shared" si="550"/>
        <v>7</v>
      </c>
      <c r="DA577" s="112">
        <f t="shared" ca="1" si="551"/>
        <v>36456</v>
      </c>
      <c r="DC577">
        <f t="shared" si="552"/>
        <v>577</v>
      </c>
      <c r="DE577" t="str">
        <f t="shared" si="545"/>
        <v>cs577:dc771</v>
      </c>
      <c r="DF577">
        <f t="shared" ca="1" si="546"/>
        <v>596</v>
      </c>
      <c r="DG577" s="412">
        <f t="shared" ca="1" si="494"/>
        <v>0</v>
      </c>
      <c r="DH577" s="411">
        <f t="shared" ca="1" si="495"/>
        <v>36456</v>
      </c>
      <c r="DI577" s="411">
        <f t="shared" ca="1" si="496"/>
        <v>36707</v>
      </c>
      <c r="DJ577" s="410">
        <f t="shared" ca="1" si="497"/>
        <v>18</v>
      </c>
      <c r="DK577" s="410">
        <f t="shared" ca="1" si="498"/>
        <v>24</v>
      </c>
      <c r="DM577" s="411">
        <f t="shared" ca="1" si="499"/>
        <v>36456</v>
      </c>
      <c r="DN577" s="411">
        <f t="shared" ca="1" si="500"/>
        <v>36707</v>
      </c>
      <c r="DO577" s="410">
        <f t="shared" ca="1" si="501"/>
        <v>18</v>
      </c>
      <c r="DP577" s="410">
        <f t="shared" ca="1" si="502"/>
        <v>24</v>
      </c>
    </row>
    <row r="578" spans="27:120" x14ac:dyDescent="0.25">
      <c r="AA578" s="284">
        <f t="shared" ref="AA578:AF578" si="573">AA27</f>
        <v>36921</v>
      </c>
      <c r="AB578" s="284">
        <f t="shared" ref="AB578:AE578" ca="1" si="574">IF(OR(AB27&lt;=$AA578,AB27&gt;$AF578),100000,AB27)</f>
        <v>100000</v>
      </c>
      <c r="AC578" s="284">
        <f t="shared" ca="1" si="574"/>
        <v>100000</v>
      </c>
      <c r="AD578" s="284">
        <f t="shared" ca="1" si="574"/>
        <v>100000</v>
      </c>
      <c r="AE578" s="284">
        <f t="shared" ca="1" si="574"/>
        <v>100000</v>
      </c>
      <c r="AF578" s="284">
        <f t="shared" si="573"/>
        <v>37072</v>
      </c>
      <c r="AG578" s="238">
        <f t="shared" si="505"/>
        <v>18</v>
      </c>
      <c r="AH578" s="407">
        <f t="shared" si="506"/>
        <v>24</v>
      </c>
      <c r="AJ578" s="112"/>
      <c r="AK578" s="112"/>
      <c r="AL578" s="112">
        <f t="shared" si="507"/>
        <v>36921</v>
      </c>
      <c r="AM578" s="112">
        <f t="shared" ca="1" si="508"/>
        <v>100000</v>
      </c>
      <c r="AN578" s="112">
        <f t="shared" ca="1" si="509"/>
        <v>100000</v>
      </c>
      <c r="AO578" s="112">
        <f t="shared" ca="1" si="510"/>
        <v>100000</v>
      </c>
      <c r="AP578" s="112">
        <f t="shared" ca="1" si="511"/>
        <v>37072</v>
      </c>
      <c r="AQ578" s="112">
        <f t="shared" si="512"/>
        <v>37072</v>
      </c>
      <c r="AT578" s="112">
        <f t="shared" si="513"/>
        <v>36921</v>
      </c>
      <c r="AU578" s="112">
        <f t="shared" ca="1" si="514"/>
        <v>100000</v>
      </c>
      <c r="AV578" s="112">
        <f t="shared" ca="1" si="515"/>
        <v>100000</v>
      </c>
      <c r="AW578" s="112">
        <f t="shared" ca="1" si="516"/>
        <v>37072</v>
      </c>
      <c r="AX578" s="112">
        <f t="shared" ca="1" si="517"/>
        <v>37072</v>
      </c>
      <c r="AY578" s="112">
        <f t="shared" si="518"/>
        <v>37072</v>
      </c>
      <c r="BA578" s="112">
        <f t="shared" si="519"/>
        <v>36921</v>
      </c>
      <c r="BB578" s="112">
        <f t="shared" ca="1" si="520"/>
        <v>100000</v>
      </c>
      <c r="BC578" s="112">
        <f t="shared" ca="1" si="521"/>
        <v>37072</v>
      </c>
      <c r="BD578" s="112">
        <f t="shared" ca="1" si="522"/>
        <v>37072</v>
      </c>
      <c r="BE578" s="112">
        <f t="shared" ca="1" si="523"/>
        <v>37072</v>
      </c>
      <c r="BF578" s="112">
        <f t="shared" si="524"/>
        <v>37072</v>
      </c>
      <c r="BI578" s="112">
        <f t="shared" si="525"/>
        <v>36921</v>
      </c>
      <c r="BJ578" s="112">
        <f t="shared" ca="1" si="526"/>
        <v>37072</v>
      </c>
      <c r="BK578" s="112">
        <f t="shared" ca="1" si="527"/>
        <v>37072</v>
      </c>
      <c r="BL578" s="112">
        <f t="shared" ca="1" si="528"/>
        <v>37072</v>
      </c>
      <c r="BM578" s="112">
        <f t="shared" ca="1" si="529"/>
        <v>37072</v>
      </c>
      <c r="BN578" s="112">
        <f t="shared" si="530"/>
        <v>37072</v>
      </c>
      <c r="BP578" s="238">
        <f t="shared" ca="1" si="481"/>
        <v>1</v>
      </c>
      <c r="BQ578" s="238">
        <f t="shared" si="567"/>
        <v>572</v>
      </c>
      <c r="BR578" t="s">
        <v>446</v>
      </c>
      <c r="BS578" t="s">
        <v>447</v>
      </c>
      <c r="BT578" s="114">
        <f t="shared" ca="1" si="482"/>
        <v>0</v>
      </c>
      <c r="BU578" s="112"/>
      <c r="BV578">
        <f t="shared" ca="1" si="483"/>
        <v>1</v>
      </c>
      <c r="BW578" s="112">
        <f t="shared" ca="1" si="484"/>
        <v>36312</v>
      </c>
      <c r="BX578" s="112">
        <f t="shared" ca="1" si="561"/>
        <v>36320</v>
      </c>
      <c r="BY578">
        <f t="shared" ca="1" si="568"/>
        <v>9</v>
      </c>
      <c r="BZ578">
        <f t="shared" ca="1" si="569"/>
        <v>24</v>
      </c>
      <c r="CB578">
        <f t="shared" ca="1" si="534"/>
        <v>0</v>
      </c>
      <c r="CC578" s="260">
        <f t="shared" ca="1" si="535"/>
        <v>36312</v>
      </c>
      <c r="CD578" s="112">
        <f t="shared" ca="1" si="536"/>
        <v>36320</v>
      </c>
      <c r="CE578">
        <f t="shared" ca="1" si="537"/>
        <v>9</v>
      </c>
      <c r="CF578" s="254">
        <f t="shared" ca="1" si="538"/>
        <v>24</v>
      </c>
      <c r="CH578" s="112">
        <f t="shared" ca="1" si="485"/>
        <v>36321</v>
      </c>
      <c r="CI578">
        <f t="shared" ca="1" si="570"/>
        <v>0</v>
      </c>
      <c r="CJ578">
        <f t="shared" ref="CJ578" ca="1" si="575">IF(AND(CI578=0,CJ579=0,CJ580=0,CC578&lt;100000),1,0)</f>
        <v>1</v>
      </c>
      <c r="CK578" s="112">
        <f t="shared" ca="1" si="487"/>
        <v>1</v>
      </c>
      <c r="CM578" s="112"/>
      <c r="CN578" s="260">
        <f t="shared" ca="1" si="488"/>
        <v>36312</v>
      </c>
      <c r="CO578" s="112">
        <f t="shared" ca="1" si="572"/>
        <v>36321</v>
      </c>
      <c r="CP578" s="238">
        <f t="shared" ca="1" si="490"/>
        <v>9</v>
      </c>
      <c r="CQ578" s="328">
        <f t="shared" ca="1" si="491"/>
        <v>24</v>
      </c>
      <c r="CS578" s="112">
        <f t="shared" ca="1" si="492"/>
        <v>36312</v>
      </c>
      <c r="CT578" s="112">
        <f t="shared" ca="1" si="542"/>
        <v>36321</v>
      </c>
      <c r="CU578" s="238">
        <f t="shared" ca="1" si="543"/>
        <v>9</v>
      </c>
      <c r="CV578" s="238">
        <f t="shared" ca="1" si="544"/>
        <v>24</v>
      </c>
      <c r="CY578">
        <f t="shared" si="550"/>
        <v>8</v>
      </c>
      <c r="DA578" s="112">
        <f t="shared" ca="1" si="551"/>
        <v>36708</v>
      </c>
      <c r="DC578">
        <f t="shared" si="552"/>
        <v>578</v>
      </c>
      <c r="DE578" t="str">
        <f t="shared" si="545"/>
        <v>cs578:dc771</v>
      </c>
      <c r="DF578">
        <f t="shared" ca="1" si="546"/>
        <v>598</v>
      </c>
      <c r="DG578" s="412">
        <f t="shared" ca="1" si="494"/>
        <v>0</v>
      </c>
      <c r="DH578" s="411">
        <f t="shared" ca="1" si="495"/>
        <v>36708</v>
      </c>
      <c r="DI578" s="411">
        <f t="shared" ca="1" si="496"/>
        <v>36769</v>
      </c>
      <c r="DJ578" s="410">
        <f t="shared" ca="1" si="497"/>
        <v>18</v>
      </c>
      <c r="DK578" s="410">
        <f t="shared" ca="1" si="498"/>
        <v>24</v>
      </c>
      <c r="DM578" s="411">
        <f t="shared" ca="1" si="499"/>
        <v>36708</v>
      </c>
      <c r="DN578" s="411">
        <f t="shared" ca="1" si="500"/>
        <v>36769</v>
      </c>
      <c r="DO578" s="410">
        <f t="shared" ca="1" si="501"/>
        <v>18</v>
      </c>
      <c r="DP578" s="410">
        <f t="shared" ca="1" si="502"/>
        <v>24</v>
      </c>
    </row>
    <row r="579" spans="27:120" x14ac:dyDescent="0.25">
      <c r="AA579" s="284">
        <f t="shared" ref="AA579:AF579" si="576">AA28</f>
        <v>37135</v>
      </c>
      <c r="AB579" s="284">
        <f t="shared" ref="AB579:AE579" ca="1" si="577">IF(OR(AB28&lt;=$AA579,AB28&gt;$AF579),100000,AB28)</f>
        <v>100000</v>
      </c>
      <c r="AC579" s="284">
        <f t="shared" ca="1" si="577"/>
        <v>37257</v>
      </c>
      <c r="AD579" s="284">
        <f t="shared" ca="1" si="577"/>
        <v>37411</v>
      </c>
      <c r="AE579" s="284">
        <f t="shared" ca="1" si="577"/>
        <v>100000</v>
      </c>
      <c r="AF579" s="284">
        <f t="shared" si="576"/>
        <v>37437</v>
      </c>
      <c r="AG579" s="238">
        <f t="shared" si="505"/>
        <v>8</v>
      </c>
      <c r="AH579" s="407">
        <f t="shared" si="506"/>
        <v>24</v>
      </c>
      <c r="AJ579" s="112"/>
      <c r="AK579" s="112"/>
      <c r="AL579" s="112">
        <f t="shared" si="507"/>
        <v>37135</v>
      </c>
      <c r="AM579" s="112">
        <f t="shared" ca="1" si="508"/>
        <v>37257</v>
      </c>
      <c r="AN579" s="112">
        <f t="shared" ca="1" si="509"/>
        <v>37257</v>
      </c>
      <c r="AO579" s="112">
        <f t="shared" ca="1" si="510"/>
        <v>37411</v>
      </c>
      <c r="AP579" s="112">
        <f t="shared" ca="1" si="511"/>
        <v>37437</v>
      </c>
      <c r="AQ579" s="112">
        <f t="shared" si="512"/>
        <v>37437</v>
      </c>
      <c r="AT579" s="112">
        <f t="shared" si="513"/>
        <v>37135</v>
      </c>
      <c r="AU579" s="112">
        <f t="shared" ca="1" si="514"/>
        <v>37257</v>
      </c>
      <c r="AV579" s="112">
        <f t="shared" ca="1" si="515"/>
        <v>37257</v>
      </c>
      <c r="AW579" s="112">
        <f t="shared" ca="1" si="516"/>
        <v>37411</v>
      </c>
      <c r="AX579" s="112">
        <f t="shared" ca="1" si="517"/>
        <v>37437</v>
      </c>
      <c r="AY579" s="112">
        <f t="shared" si="518"/>
        <v>37437</v>
      </c>
      <c r="BA579" s="112">
        <f t="shared" si="519"/>
        <v>37135</v>
      </c>
      <c r="BB579" s="112">
        <f t="shared" ca="1" si="520"/>
        <v>37257</v>
      </c>
      <c r="BC579" s="112">
        <f t="shared" ca="1" si="521"/>
        <v>37257</v>
      </c>
      <c r="BD579" s="112">
        <f t="shared" ca="1" si="522"/>
        <v>37411</v>
      </c>
      <c r="BE579" s="112">
        <f t="shared" ca="1" si="523"/>
        <v>37437</v>
      </c>
      <c r="BF579" s="112">
        <f t="shared" si="524"/>
        <v>37437</v>
      </c>
      <c r="BI579" s="112">
        <f t="shared" si="525"/>
        <v>37135</v>
      </c>
      <c r="BJ579" s="112">
        <f t="shared" ca="1" si="526"/>
        <v>37257</v>
      </c>
      <c r="BK579" s="112">
        <f t="shared" ca="1" si="527"/>
        <v>37257</v>
      </c>
      <c r="BL579" s="112">
        <f t="shared" ca="1" si="528"/>
        <v>37411</v>
      </c>
      <c r="BM579" s="112">
        <f t="shared" ca="1" si="529"/>
        <v>37437</v>
      </c>
      <c r="BN579" s="112">
        <f t="shared" si="530"/>
        <v>37437</v>
      </c>
      <c r="BP579" s="238">
        <f t="shared" ca="1" si="481"/>
        <v>0</v>
      </c>
      <c r="BQ579" s="238">
        <f t="shared" si="567"/>
        <v>572</v>
      </c>
      <c r="BR579" t="s">
        <v>447</v>
      </c>
      <c r="BS579" t="s">
        <v>448</v>
      </c>
      <c r="BT579" s="114">
        <f t="shared" ca="1" si="482"/>
        <v>0</v>
      </c>
      <c r="BU579" s="112"/>
      <c r="BV579">
        <f t="shared" ca="1" si="483"/>
        <v>0</v>
      </c>
      <c r="BW579" s="112">
        <f t="shared" ca="1" si="484"/>
        <v>36321</v>
      </c>
      <c r="BX579" s="112">
        <f t="shared" ref="BX579:BX580" ca="1" si="578">INDIRECT(CONCATENATE(BS579,BQ579))</f>
        <v>36321</v>
      </c>
      <c r="BY579">
        <f t="shared" ca="1" si="568"/>
        <v>9</v>
      </c>
      <c r="BZ579">
        <f t="shared" ca="1" si="569"/>
        <v>24</v>
      </c>
      <c r="CB579">
        <f t="shared" ca="1" si="534"/>
        <v>0</v>
      </c>
      <c r="CC579" s="260">
        <f t="shared" ca="1" si="535"/>
        <v>100000</v>
      </c>
      <c r="CD579" s="112">
        <f t="shared" ca="1" si="536"/>
        <v>36321</v>
      </c>
      <c r="CE579">
        <f t="shared" ca="1" si="537"/>
        <v>9</v>
      </c>
      <c r="CF579" s="254">
        <f t="shared" ca="1" si="538"/>
        <v>24</v>
      </c>
      <c r="CH579" s="112">
        <f t="shared" ca="1" si="485"/>
        <v>36321</v>
      </c>
      <c r="CI579">
        <f t="shared" ca="1" si="570"/>
        <v>0</v>
      </c>
      <c r="CJ579">
        <f t="shared" ref="CJ579" ca="1" si="579">IF(AND(CI579=0,CJ580=0,CC579&lt;100000),1,0)</f>
        <v>0</v>
      </c>
      <c r="CK579" s="112">
        <f t="shared" ca="1" si="487"/>
        <v>36321</v>
      </c>
      <c r="CM579" s="112"/>
      <c r="CN579" s="260">
        <f t="shared" ca="1" si="488"/>
        <v>100000</v>
      </c>
      <c r="CO579" s="112">
        <f t="shared" ca="1" si="572"/>
        <v>36321</v>
      </c>
      <c r="CP579" s="238">
        <f t="shared" ca="1" si="490"/>
        <v>9</v>
      </c>
      <c r="CQ579" s="328">
        <f t="shared" ca="1" si="491"/>
        <v>24</v>
      </c>
      <c r="CS579" s="112">
        <f t="shared" ca="1" si="492"/>
        <v>100000</v>
      </c>
      <c r="CT579" s="112">
        <f t="shared" ca="1" si="542"/>
        <v>36321</v>
      </c>
      <c r="CU579" s="238">
        <f t="shared" ca="1" si="543"/>
        <v>9</v>
      </c>
      <c r="CV579" s="238">
        <f t="shared" ca="1" si="544"/>
        <v>24</v>
      </c>
      <c r="CY579">
        <f t="shared" si="550"/>
        <v>9</v>
      </c>
      <c r="DA579" s="112">
        <f t="shared" ca="1" si="551"/>
        <v>36777</v>
      </c>
      <c r="DC579">
        <f t="shared" si="552"/>
        <v>579</v>
      </c>
      <c r="DE579" t="str">
        <f t="shared" si="545"/>
        <v>cs579:dc771</v>
      </c>
      <c r="DF579">
        <f t="shared" ca="1" si="546"/>
        <v>601</v>
      </c>
      <c r="DG579" s="412">
        <f t="shared" ca="1" si="494"/>
        <v>0</v>
      </c>
      <c r="DH579" s="411">
        <f t="shared" ca="1" si="495"/>
        <v>36777</v>
      </c>
      <c r="DI579" s="411">
        <f t="shared" ca="1" si="496"/>
        <v>36891</v>
      </c>
      <c r="DJ579" s="410">
        <f t="shared" ca="1" si="497"/>
        <v>18</v>
      </c>
      <c r="DK579" s="410">
        <f t="shared" ca="1" si="498"/>
        <v>24</v>
      </c>
      <c r="DM579" s="411">
        <f t="shared" ca="1" si="499"/>
        <v>36777</v>
      </c>
      <c r="DN579" s="411">
        <f t="shared" ca="1" si="500"/>
        <v>36891</v>
      </c>
      <c r="DO579" s="410">
        <f t="shared" ca="1" si="501"/>
        <v>18</v>
      </c>
      <c r="DP579" s="410">
        <f t="shared" ca="1" si="502"/>
        <v>24</v>
      </c>
    </row>
    <row r="580" spans="27:120" ht="15.75" thickBot="1" x14ac:dyDescent="0.3">
      <c r="AA580" s="284">
        <f t="shared" ref="AA580:AF580" si="580">AA29</f>
        <v>37167</v>
      </c>
      <c r="AB580" s="284">
        <f t="shared" ref="AB580:AE580" ca="1" si="581">IF(OR(AB29&lt;=$AA580,AB29&gt;$AF580),100000,AB29)</f>
        <v>100000</v>
      </c>
      <c r="AC580" s="284">
        <f t="shared" ca="1" si="581"/>
        <v>100000</v>
      </c>
      <c r="AD580" s="284">
        <f t="shared" ca="1" si="581"/>
        <v>100000</v>
      </c>
      <c r="AE580" s="284">
        <f t="shared" ca="1" si="581"/>
        <v>100000</v>
      </c>
      <c r="AF580" s="284">
        <f t="shared" si="580"/>
        <v>37200</v>
      </c>
      <c r="AG580" s="238">
        <f t="shared" si="505"/>
        <v>5</v>
      </c>
      <c r="AH580" s="407">
        <f t="shared" si="506"/>
        <v>24</v>
      </c>
      <c r="AJ580" s="112"/>
      <c r="AK580" s="112"/>
      <c r="AL580" s="112">
        <f t="shared" si="507"/>
        <v>37167</v>
      </c>
      <c r="AM580" s="112">
        <f t="shared" ca="1" si="508"/>
        <v>100000</v>
      </c>
      <c r="AN580" s="112">
        <f t="shared" ca="1" si="509"/>
        <v>100000</v>
      </c>
      <c r="AO580" s="112">
        <f t="shared" ca="1" si="510"/>
        <v>100000</v>
      </c>
      <c r="AP580" s="112">
        <f t="shared" ca="1" si="511"/>
        <v>37200</v>
      </c>
      <c r="AQ580" s="112">
        <f t="shared" si="512"/>
        <v>37200</v>
      </c>
      <c r="AT580" s="112">
        <f t="shared" si="513"/>
        <v>37167</v>
      </c>
      <c r="AU580" s="112">
        <f t="shared" ca="1" si="514"/>
        <v>100000</v>
      </c>
      <c r="AV580" s="112">
        <f t="shared" ca="1" si="515"/>
        <v>100000</v>
      </c>
      <c r="AW580" s="112">
        <f t="shared" ca="1" si="516"/>
        <v>37200</v>
      </c>
      <c r="AX580" s="112">
        <f t="shared" ca="1" si="517"/>
        <v>37200</v>
      </c>
      <c r="AY580" s="112">
        <f t="shared" si="518"/>
        <v>37200</v>
      </c>
      <c r="BA580" s="112">
        <f t="shared" si="519"/>
        <v>37167</v>
      </c>
      <c r="BB580" s="112">
        <f t="shared" ca="1" si="520"/>
        <v>100000</v>
      </c>
      <c r="BC580" s="112">
        <f t="shared" ca="1" si="521"/>
        <v>37200</v>
      </c>
      <c r="BD580" s="112">
        <f t="shared" ca="1" si="522"/>
        <v>37200</v>
      </c>
      <c r="BE580" s="112">
        <f t="shared" ca="1" si="523"/>
        <v>37200</v>
      </c>
      <c r="BF580" s="112">
        <f t="shared" si="524"/>
        <v>37200</v>
      </c>
      <c r="BI580" s="112">
        <f t="shared" si="525"/>
        <v>37167</v>
      </c>
      <c r="BJ580" s="112">
        <f t="shared" ca="1" si="526"/>
        <v>37200</v>
      </c>
      <c r="BK580" s="112">
        <f t="shared" ca="1" si="527"/>
        <v>37200</v>
      </c>
      <c r="BL580" s="112">
        <f t="shared" ca="1" si="528"/>
        <v>37200</v>
      </c>
      <c r="BM580" s="112">
        <f t="shared" ca="1" si="529"/>
        <v>37200</v>
      </c>
      <c r="BN580" s="112">
        <f t="shared" si="530"/>
        <v>37200</v>
      </c>
      <c r="BP580" s="238">
        <f t="shared" ca="1" si="481"/>
        <v>1</v>
      </c>
      <c r="BQ580" s="238">
        <f t="shared" si="567"/>
        <v>572</v>
      </c>
      <c r="BR580" t="s">
        <v>448</v>
      </c>
      <c r="BS580" t="s">
        <v>449</v>
      </c>
      <c r="BT580" s="114">
        <f t="shared" ca="1" si="482"/>
        <v>0</v>
      </c>
      <c r="BU580" s="112"/>
      <c r="BV580">
        <f ca="1">IF(BW580=INDIRECT(CONCATENATE("bn",BQ580)),0,1)</f>
        <v>0</v>
      </c>
      <c r="BW580" s="112">
        <f t="shared" ca="1" si="484"/>
        <v>36321</v>
      </c>
      <c r="BX580" s="112">
        <f t="shared" ca="1" si="578"/>
        <v>36321</v>
      </c>
      <c r="BY580">
        <f t="shared" ca="1" si="568"/>
        <v>9</v>
      </c>
      <c r="BZ580">
        <f t="shared" ca="1" si="569"/>
        <v>24</v>
      </c>
      <c r="CB580">
        <f t="shared" ca="1" si="534"/>
        <v>0</v>
      </c>
      <c r="CC580" s="261">
        <f t="shared" ca="1" si="535"/>
        <v>100000</v>
      </c>
      <c r="CD580" s="324">
        <f t="shared" ca="1" si="536"/>
        <v>36321</v>
      </c>
      <c r="CE580" s="257">
        <f t="shared" ca="1" si="537"/>
        <v>9</v>
      </c>
      <c r="CF580" s="258">
        <f t="shared" ca="1" si="538"/>
        <v>24</v>
      </c>
      <c r="CH580" s="112">
        <f t="shared" ca="1" si="485"/>
        <v>36321</v>
      </c>
      <c r="CI580">
        <f t="shared" ca="1" si="570"/>
        <v>0</v>
      </c>
      <c r="CJ580">
        <f t="shared" ref="CJ580" ca="1" si="582">IF(AND(CI580=0,CC580&lt;100000),1,0)</f>
        <v>0</v>
      </c>
      <c r="CK580" s="112">
        <f t="shared" ca="1" si="487"/>
        <v>36321</v>
      </c>
      <c r="CM580" s="112"/>
      <c r="CN580" s="261">
        <f t="shared" ref="CN580" ca="1" si="583">IF(AND(CN576=100000,CN577=100000,CN578=100000,CN579=100000),INDIRECT(CONCATENATE("aa",BQ580)),CC580)</f>
        <v>100000</v>
      </c>
      <c r="CO580" s="324">
        <f t="shared" ca="1" si="572"/>
        <v>36321</v>
      </c>
      <c r="CP580" s="256">
        <f t="shared" ca="1" si="490"/>
        <v>9</v>
      </c>
      <c r="CQ580" s="329">
        <f t="shared" ca="1" si="491"/>
        <v>24</v>
      </c>
      <c r="CS580" s="112">
        <f t="shared" ca="1" si="492"/>
        <v>100000</v>
      </c>
      <c r="CT580" s="112">
        <f t="shared" ca="1" si="542"/>
        <v>36321</v>
      </c>
      <c r="CU580" s="238">
        <f t="shared" ca="1" si="543"/>
        <v>9</v>
      </c>
      <c r="CV580" s="238">
        <f t="shared" ca="1" si="544"/>
        <v>24</v>
      </c>
      <c r="CY580">
        <f t="shared" si="550"/>
        <v>10</v>
      </c>
      <c r="DA580" s="112">
        <f t="shared" ca="1" si="551"/>
        <v>36892</v>
      </c>
      <c r="DC580">
        <f t="shared" si="552"/>
        <v>580</v>
      </c>
      <c r="DE580" t="str">
        <f t="shared" si="545"/>
        <v>cs580:dc771</v>
      </c>
      <c r="DF580">
        <f t="shared" ca="1" si="546"/>
        <v>603</v>
      </c>
      <c r="DG580" s="412">
        <f t="shared" ca="1" si="494"/>
        <v>0</v>
      </c>
      <c r="DH580" s="411">
        <f t="shared" ca="1" si="495"/>
        <v>36892</v>
      </c>
      <c r="DI580" s="411">
        <f t="shared" ca="1" si="496"/>
        <v>36920</v>
      </c>
      <c r="DJ580" s="410">
        <f t="shared" ca="1" si="497"/>
        <v>18</v>
      </c>
      <c r="DK580" s="410">
        <f t="shared" ca="1" si="498"/>
        <v>24</v>
      </c>
      <c r="DM580" s="411">
        <f t="shared" ca="1" si="499"/>
        <v>36892</v>
      </c>
      <c r="DN580" s="411">
        <f t="shared" ca="1" si="500"/>
        <v>36920</v>
      </c>
      <c r="DO580" s="410">
        <f t="shared" ca="1" si="501"/>
        <v>18</v>
      </c>
      <c r="DP580" s="410">
        <f t="shared" ca="1" si="502"/>
        <v>24</v>
      </c>
    </row>
    <row r="581" spans="27:120" x14ac:dyDescent="0.25">
      <c r="AA581" s="284">
        <f t="shared" ref="AA581:AF581" si="584">AA30</f>
        <v>37167</v>
      </c>
      <c r="AB581" s="284">
        <f t="shared" ref="AB581:AE581" ca="1" si="585">IF(OR(AB30&lt;=$AA581,AB30&gt;$AF581),100000,AB30)</f>
        <v>100000</v>
      </c>
      <c r="AC581" s="284">
        <f t="shared" ca="1" si="585"/>
        <v>100000</v>
      </c>
      <c r="AD581" s="284">
        <f t="shared" ca="1" si="585"/>
        <v>100000</v>
      </c>
      <c r="AE581" s="284">
        <f t="shared" ca="1" si="585"/>
        <v>100000</v>
      </c>
      <c r="AF581" s="284">
        <f t="shared" si="584"/>
        <v>37200</v>
      </c>
      <c r="AG581" s="238">
        <f t="shared" si="505"/>
        <v>5</v>
      </c>
      <c r="AH581" s="407">
        <f t="shared" si="506"/>
        <v>24</v>
      </c>
      <c r="AL581" s="112">
        <f t="shared" si="507"/>
        <v>37167</v>
      </c>
      <c r="AM581" s="112">
        <f t="shared" ca="1" si="508"/>
        <v>100000</v>
      </c>
      <c r="AN581" s="112">
        <f t="shared" ca="1" si="509"/>
        <v>100000</v>
      </c>
      <c r="AO581" s="112">
        <f t="shared" ca="1" si="510"/>
        <v>100000</v>
      </c>
      <c r="AP581" s="112">
        <f t="shared" ca="1" si="511"/>
        <v>37200</v>
      </c>
      <c r="AQ581" s="112">
        <f t="shared" si="512"/>
        <v>37200</v>
      </c>
      <c r="AT581" s="112">
        <f t="shared" si="513"/>
        <v>37167</v>
      </c>
      <c r="AU581" s="112">
        <f t="shared" ca="1" si="514"/>
        <v>100000</v>
      </c>
      <c r="AV581" s="112">
        <f t="shared" ca="1" si="515"/>
        <v>100000</v>
      </c>
      <c r="AW581" s="112">
        <f t="shared" ca="1" si="516"/>
        <v>37200</v>
      </c>
      <c r="AX581" s="112">
        <f t="shared" ca="1" si="517"/>
        <v>37200</v>
      </c>
      <c r="AY581" s="112">
        <f t="shared" si="518"/>
        <v>37200</v>
      </c>
      <c r="BA581" s="112">
        <f t="shared" si="519"/>
        <v>37167</v>
      </c>
      <c r="BB581" s="112">
        <f t="shared" ca="1" si="520"/>
        <v>100000</v>
      </c>
      <c r="BC581" s="112">
        <f t="shared" ca="1" si="521"/>
        <v>37200</v>
      </c>
      <c r="BD581" s="112">
        <f t="shared" ca="1" si="522"/>
        <v>37200</v>
      </c>
      <c r="BE581" s="112">
        <f t="shared" ca="1" si="523"/>
        <v>37200</v>
      </c>
      <c r="BF581" s="112">
        <f t="shared" si="524"/>
        <v>37200</v>
      </c>
      <c r="BI581" s="112">
        <f t="shared" si="525"/>
        <v>37167</v>
      </c>
      <c r="BJ581" s="112">
        <f t="shared" ca="1" si="526"/>
        <v>37200</v>
      </c>
      <c r="BK581" s="112">
        <f t="shared" ca="1" si="527"/>
        <v>37200</v>
      </c>
      <c r="BL581" s="112">
        <f t="shared" ca="1" si="528"/>
        <v>37200</v>
      </c>
      <c r="BM581" s="112">
        <f t="shared" ca="1" si="529"/>
        <v>37200</v>
      </c>
      <c r="BN581" s="112">
        <f t="shared" si="530"/>
        <v>37200</v>
      </c>
      <c r="BP581" s="238">
        <f ca="1">IF(AND(BJ581=BK581,BJ581=BL581,BJ581=BM581,BJ581=BN581),1,0)</f>
        <v>1</v>
      </c>
      <c r="BQ581" s="238">
        <f t="shared" ref="BQ581" si="586">BQ580+1</f>
        <v>573</v>
      </c>
      <c r="BR581" s="112" t="s">
        <v>444</v>
      </c>
      <c r="BS581" s="112" t="s">
        <v>445</v>
      </c>
      <c r="BT581" s="114">
        <f t="shared" ca="1" si="482"/>
        <v>1</v>
      </c>
      <c r="BU581" s="112"/>
      <c r="BV581">
        <f t="shared" ref="BV581:BV644" ca="1" si="587">IF(BW581=INDIRECT(CONCATENATE("bn",BQ581)),0,1)</f>
        <v>0</v>
      </c>
      <c r="BW581" s="112">
        <f t="shared" ca="1" si="484"/>
        <v>36325</v>
      </c>
      <c r="BX581" s="112">
        <f t="shared" ref="BX581:BX583" ca="1" si="588">INDIRECT(CONCATENATE(BS581,BQ581))-1</f>
        <v>36324</v>
      </c>
      <c r="BY581">
        <f t="shared" ca="1" si="568"/>
        <v>9</v>
      </c>
      <c r="BZ581">
        <f t="shared" ca="1" si="569"/>
        <v>24</v>
      </c>
      <c r="CB581">
        <f t="shared" ca="1" si="534"/>
        <v>0</v>
      </c>
      <c r="CC581" s="408">
        <f t="shared" ca="1" si="535"/>
        <v>100000</v>
      </c>
      <c r="CD581" s="326">
        <f t="shared" ca="1" si="536"/>
        <v>36324</v>
      </c>
      <c r="CE581" s="251">
        <f t="shared" ca="1" si="537"/>
        <v>9</v>
      </c>
      <c r="CF581" s="252">
        <f t="shared" ca="1" si="538"/>
        <v>24</v>
      </c>
      <c r="CH581" s="112">
        <f t="shared" ca="1" si="485"/>
        <v>36325</v>
      </c>
      <c r="CI581">
        <f t="shared" ref="CI581" ca="1" si="589">CB581+CB582+CB583+CB584+CB585</f>
        <v>0</v>
      </c>
      <c r="CJ581">
        <v>0</v>
      </c>
      <c r="CK581" s="112">
        <f t="shared" ca="1" si="487"/>
        <v>36325</v>
      </c>
      <c r="CM581" s="112"/>
      <c r="CN581" s="408">
        <f t="shared" ca="1" si="488"/>
        <v>100000</v>
      </c>
      <c r="CO581" s="326">
        <f t="shared" ref="CO581" ca="1" si="590">CD581</f>
        <v>36324</v>
      </c>
      <c r="CP581" s="333">
        <f t="shared" ca="1" si="490"/>
        <v>9</v>
      </c>
      <c r="CQ581" s="327">
        <f t="shared" ca="1" si="491"/>
        <v>24</v>
      </c>
      <c r="CS581" s="112">
        <f t="shared" ca="1" si="492"/>
        <v>100000</v>
      </c>
      <c r="CT581" s="112">
        <f t="shared" ref="CT581" ca="1" si="591">IF(AND( CN582=100000,CN583=100000,CN584=100000,CN585=100000),CO585,                             CO581)</f>
        <v>36324</v>
      </c>
      <c r="CU581" s="238">
        <f t="shared" ca="1" si="543"/>
        <v>9</v>
      </c>
      <c r="CV581" s="238">
        <f t="shared" ca="1" si="544"/>
        <v>24</v>
      </c>
      <c r="CY581">
        <f t="shared" si="550"/>
        <v>11</v>
      </c>
      <c r="DA581" s="112">
        <f t="shared" ca="1" si="551"/>
        <v>36921</v>
      </c>
      <c r="DC581">
        <f t="shared" si="552"/>
        <v>581</v>
      </c>
      <c r="DE581" t="str">
        <f t="shared" si="545"/>
        <v>cs581:dc771</v>
      </c>
      <c r="DF581">
        <f t="shared" ca="1" si="546"/>
        <v>606</v>
      </c>
      <c r="DG581" s="412">
        <f t="shared" ca="1" si="494"/>
        <v>0</v>
      </c>
      <c r="DH581" s="411">
        <f t="shared" ca="1" si="495"/>
        <v>36921</v>
      </c>
      <c r="DI581" s="411">
        <f t="shared" ca="1" si="496"/>
        <v>37072</v>
      </c>
      <c r="DJ581" s="410">
        <f t="shared" ca="1" si="497"/>
        <v>18</v>
      </c>
      <c r="DK581" s="410">
        <f t="shared" ca="1" si="498"/>
        <v>24</v>
      </c>
      <c r="DM581" s="411">
        <f t="shared" ca="1" si="499"/>
        <v>36921</v>
      </c>
      <c r="DN581" s="411">
        <f t="shared" ca="1" si="500"/>
        <v>37072</v>
      </c>
      <c r="DO581" s="410">
        <f t="shared" ca="1" si="501"/>
        <v>18</v>
      </c>
      <c r="DP581" s="410">
        <f t="shared" ca="1" si="502"/>
        <v>24</v>
      </c>
    </row>
    <row r="582" spans="27:120" x14ac:dyDescent="0.25">
      <c r="AA582" s="284">
        <f t="shared" ref="AA582:AF582" si="592">AA31</f>
        <v>37201</v>
      </c>
      <c r="AB582" s="284">
        <f t="shared" ref="AB582:AE582" ca="1" si="593">IF(OR(AB31&lt;=$AA582,AB31&gt;$AF582),100000,AB31)</f>
        <v>100000</v>
      </c>
      <c r="AC582" s="284">
        <f t="shared" ca="1" si="593"/>
        <v>37257</v>
      </c>
      <c r="AD582" s="284">
        <f t="shared" ca="1" si="593"/>
        <v>37411</v>
      </c>
      <c r="AE582" s="284">
        <f t="shared" ca="1" si="593"/>
        <v>100000</v>
      </c>
      <c r="AF582" s="284">
        <f t="shared" si="592"/>
        <v>37437</v>
      </c>
      <c r="AG582" s="238">
        <f t="shared" si="505"/>
        <v>4</v>
      </c>
      <c r="AH582" s="407">
        <f t="shared" si="506"/>
        <v>24</v>
      </c>
      <c r="AL582" s="112">
        <f t="shared" si="507"/>
        <v>37201</v>
      </c>
      <c r="AM582" s="112">
        <f t="shared" ca="1" si="508"/>
        <v>37257</v>
      </c>
      <c r="AN582" s="112">
        <f t="shared" ca="1" si="509"/>
        <v>37257</v>
      </c>
      <c r="AO582" s="112">
        <f t="shared" ca="1" si="510"/>
        <v>37411</v>
      </c>
      <c r="AP582" s="112">
        <f t="shared" ca="1" si="511"/>
        <v>37437</v>
      </c>
      <c r="AQ582" s="112">
        <f t="shared" si="512"/>
        <v>37437</v>
      </c>
      <c r="AT582" s="112">
        <f t="shared" si="513"/>
        <v>37201</v>
      </c>
      <c r="AU582" s="112">
        <f t="shared" ca="1" si="514"/>
        <v>37257</v>
      </c>
      <c r="AV582" s="112">
        <f t="shared" ca="1" si="515"/>
        <v>37257</v>
      </c>
      <c r="AW582" s="112">
        <f t="shared" ca="1" si="516"/>
        <v>37411</v>
      </c>
      <c r="AX582" s="112">
        <f t="shared" ca="1" si="517"/>
        <v>37437</v>
      </c>
      <c r="AY582" s="112">
        <f t="shared" si="518"/>
        <v>37437</v>
      </c>
      <c r="BA582" s="112">
        <f t="shared" si="519"/>
        <v>37201</v>
      </c>
      <c r="BB582" s="112">
        <f t="shared" ca="1" si="520"/>
        <v>37257</v>
      </c>
      <c r="BC582" s="112">
        <f t="shared" ca="1" si="521"/>
        <v>37257</v>
      </c>
      <c r="BD582" s="112">
        <f t="shared" ca="1" si="522"/>
        <v>37411</v>
      </c>
      <c r="BE582" s="112">
        <f t="shared" ca="1" si="523"/>
        <v>37437</v>
      </c>
      <c r="BF582" s="112">
        <f t="shared" si="524"/>
        <v>37437</v>
      </c>
      <c r="BI582" s="112">
        <f t="shared" si="525"/>
        <v>37201</v>
      </c>
      <c r="BJ582" s="112">
        <f t="shared" ca="1" si="526"/>
        <v>37257</v>
      </c>
      <c r="BK582" s="112">
        <f t="shared" ca="1" si="527"/>
        <v>37257</v>
      </c>
      <c r="BL582" s="112">
        <f t="shared" ca="1" si="528"/>
        <v>37411</v>
      </c>
      <c r="BM582" s="112">
        <f t="shared" ca="1" si="529"/>
        <v>37437</v>
      </c>
      <c r="BN582" s="112">
        <f t="shared" si="530"/>
        <v>37437</v>
      </c>
      <c r="BP582" s="238">
        <f t="shared" ref="BP582:BP645" ca="1" si="594">IF(AND(BJ582=BK582,BJ582=BL582,BJ582=BM582,BJ582=BN582),1,0)</f>
        <v>0</v>
      </c>
      <c r="BQ582" s="238">
        <f t="shared" ref="BQ582:BQ585" si="595">BQ581</f>
        <v>573</v>
      </c>
      <c r="BR582" t="s">
        <v>445</v>
      </c>
      <c r="BS582" t="s">
        <v>446</v>
      </c>
      <c r="BT582" s="114">
        <f t="shared" ca="1" si="482"/>
        <v>1</v>
      </c>
      <c r="BU582" s="112"/>
      <c r="BV582">
        <f t="shared" ca="1" si="587"/>
        <v>0</v>
      </c>
      <c r="BW582" s="112">
        <f t="shared" ca="1" si="484"/>
        <v>36325</v>
      </c>
      <c r="BX582" s="112">
        <f t="shared" ca="1" si="588"/>
        <v>36324</v>
      </c>
      <c r="BY582">
        <f t="shared" ca="1" si="568"/>
        <v>9</v>
      </c>
      <c r="BZ582">
        <f t="shared" ca="1" si="569"/>
        <v>24</v>
      </c>
      <c r="CB582">
        <f t="shared" ca="1" si="534"/>
        <v>0</v>
      </c>
      <c r="CC582" s="260">
        <f t="shared" ca="1" si="535"/>
        <v>100000</v>
      </c>
      <c r="CD582" s="112">
        <f t="shared" ca="1" si="536"/>
        <v>36324</v>
      </c>
      <c r="CE582">
        <f t="shared" ca="1" si="537"/>
        <v>9</v>
      </c>
      <c r="CF582" s="254">
        <f t="shared" ca="1" si="538"/>
        <v>24</v>
      </c>
      <c r="CH582" s="112">
        <f t="shared" ca="1" si="485"/>
        <v>36325</v>
      </c>
      <c r="CI582">
        <f t="shared" ref="CI582:CI585" ca="1" si="596">CI581</f>
        <v>0</v>
      </c>
      <c r="CJ582">
        <f t="shared" ref="CJ582" ca="1" si="597">IF(AND(CI582=0,CJ583=0,CJ584=0,CJ585=0,CC582&lt;100000),1,0)</f>
        <v>0</v>
      </c>
      <c r="CK582" s="112">
        <f t="shared" ca="1" si="487"/>
        <v>36325</v>
      </c>
      <c r="CM582" s="112"/>
      <c r="CN582" s="260">
        <f t="shared" ca="1" si="488"/>
        <v>100000</v>
      </c>
      <c r="CO582" s="112">
        <f t="shared" ref="CO582:CO585" ca="1" si="598">IF(CJ582=1,CH582,CD582)</f>
        <v>36324</v>
      </c>
      <c r="CP582" s="238">
        <f t="shared" ca="1" si="490"/>
        <v>9</v>
      </c>
      <c r="CQ582" s="328">
        <f t="shared" ca="1" si="491"/>
        <v>24</v>
      </c>
      <c r="CS582" s="112">
        <f t="shared" ca="1" si="492"/>
        <v>100000</v>
      </c>
      <c r="CT582" s="112">
        <f t="shared" ca="1" si="542"/>
        <v>36324</v>
      </c>
      <c r="CU582" s="238">
        <f t="shared" ca="1" si="543"/>
        <v>9</v>
      </c>
      <c r="CV582" s="238">
        <f t="shared" ca="1" si="544"/>
        <v>24</v>
      </c>
      <c r="CY582">
        <f t="shared" si="550"/>
        <v>12</v>
      </c>
      <c r="DA582" s="112">
        <f t="shared" ca="1" si="551"/>
        <v>37135</v>
      </c>
      <c r="DC582">
        <f t="shared" si="552"/>
        <v>582</v>
      </c>
      <c r="DE582" t="str">
        <f t="shared" si="545"/>
        <v>cs582:dc771</v>
      </c>
      <c r="DF582">
        <f t="shared" ca="1" si="546"/>
        <v>611</v>
      </c>
      <c r="DG582" s="412">
        <f t="shared" ca="1" si="494"/>
        <v>0</v>
      </c>
      <c r="DH582" s="411">
        <f t="shared" ca="1" si="495"/>
        <v>37135</v>
      </c>
      <c r="DI582" s="411">
        <f t="shared" ca="1" si="496"/>
        <v>37256</v>
      </c>
      <c r="DJ582" s="410">
        <f t="shared" ca="1" si="497"/>
        <v>8</v>
      </c>
      <c r="DK582" s="410">
        <f t="shared" ca="1" si="498"/>
        <v>24</v>
      </c>
      <c r="DM582" s="411">
        <f t="shared" ca="1" si="499"/>
        <v>37135</v>
      </c>
      <c r="DN582" s="411">
        <f t="shared" ca="1" si="500"/>
        <v>37256</v>
      </c>
      <c r="DO582" s="410">
        <f t="shared" ca="1" si="501"/>
        <v>8</v>
      </c>
      <c r="DP582" s="410">
        <f t="shared" ca="1" si="502"/>
        <v>24</v>
      </c>
    </row>
    <row r="583" spans="27:120" x14ac:dyDescent="0.25">
      <c r="AA583" s="284">
        <f t="shared" ref="AA583:AF583" si="599">AA32</f>
        <v>37202</v>
      </c>
      <c r="AB583" s="284">
        <f t="shared" ref="AB583:AE583" ca="1" si="600">IF(OR(AB32&lt;=$AA583,AB32&gt;$AF583),100000,AB32)</f>
        <v>100000</v>
      </c>
      <c r="AC583" s="284">
        <f t="shared" ca="1" si="600"/>
        <v>37257</v>
      </c>
      <c r="AD583" s="284">
        <f t="shared" ca="1" si="600"/>
        <v>100000</v>
      </c>
      <c r="AE583" s="284">
        <f t="shared" ca="1" si="600"/>
        <v>100000</v>
      </c>
      <c r="AF583" s="284">
        <f t="shared" si="599"/>
        <v>37282</v>
      </c>
      <c r="AG583" s="238">
        <f t="shared" si="505"/>
        <v>6</v>
      </c>
      <c r="AH583" s="407">
        <f t="shared" si="506"/>
        <v>24</v>
      </c>
      <c r="AL583" s="112">
        <f t="shared" si="507"/>
        <v>37202</v>
      </c>
      <c r="AM583" s="112">
        <f t="shared" ca="1" si="508"/>
        <v>37257</v>
      </c>
      <c r="AN583" s="112">
        <f t="shared" ca="1" si="509"/>
        <v>37257</v>
      </c>
      <c r="AO583" s="112">
        <f t="shared" ca="1" si="510"/>
        <v>100000</v>
      </c>
      <c r="AP583" s="112">
        <f t="shared" ca="1" si="511"/>
        <v>37282</v>
      </c>
      <c r="AQ583" s="112">
        <f t="shared" si="512"/>
        <v>37282</v>
      </c>
      <c r="AT583" s="112">
        <f t="shared" si="513"/>
        <v>37202</v>
      </c>
      <c r="AU583" s="112">
        <f t="shared" ca="1" si="514"/>
        <v>37257</v>
      </c>
      <c r="AV583" s="112">
        <f t="shared" ca="1" si="515"/>
        <v>37257</v>
      </c>
      <c r="AW583" s="112">
        <f t="shared" ca="1" si="516"/>
        <v>37282</v>
      </c>
      <c r="AX583" s="112">
        <f t="shared" ca="1" si="517"/>
        <v>37282</v>
      </c>
      <c r="AY583" s="112">
        <f t="shared" si="518"/>
        <v>37282</v>
      </c>
      <c r="BA583" s="112">
        <f t="shared" si="519"/>
        <v>37202</v>
      </c>
      <c r="BB583" s="112">
        <f t="shared" ca="1" si="520"/>
        <v>37257</v>
      </c>
      <c r="BC583" s="112">
        <f t="shared" ca="1" si="521"/>
        <v>37257</v>
      </c>
      <c r="BD583" s="112">
        <f t="shared" ca="1" si="522"/>
        <v>37282</v>
      </c>
      <c r="BE583" s="112">
        <f t="shared" ca="1" si="523"/>
        <v>37282</v>
      </c>
      <c r="BF583" s="112">
        <f t="shared" si="524"/>
        <v>37282</v>
      </c>
      <c r="BI583" s="112">
        <f t="shared" si="525"/>
        <v>37202</v>
      </c>
      <c r="BJ583" s="112">
        <f t="shared" ca="1" si="526"/>
        <v>37257</v>
      </c>
      <c r="BK583" s="112">
        <f t="shared" ca="1" si="527"/>
        <v>37257</v>
      </c>
      <c r="BL583" s="112">
        <f t="shared" ca="1" si="528"/>
        <v>37282</v>
      </c>
      <c r="BM583" s="112">
        <f t="shared" ca="1" si="529"/>
        <v>37282</v>
      </c>
      <c r="BN583" s="112">
        <f t="shared" si="530"/>
        <v>37282</v>
      </c>
      <c r="BP583" s="238">
        <f t="shared" ca="1" si="594"/>
        <v>0</v>
      </c>
      <c r="BQ583" s="238">
        <f t="shared" si="595"/>
        <v>573</v>
      </c>
      <c r="BR583" t="s">
        <v>446</v>
      </c>
      <c r="BS583" t="s">
        <v>447</v>
      </c>
      <c r="BT583" s="114">
        <f t="shared" ca="1" si="482"/>
        <v>1</v>
      </c>
      <c r="BU583" s="112"/>
      <c r="BV583">
        <f t="shared" ca="1" si="587"/>
        <v>0</v>
      </c>
      <c r="BW583" s="112">
        <f t="shared" ca="1" si="484"/>
        <v>36325</v>
      </c>
      <c r="BX583" s="112">
        <f t="shared" ca="1" si="588"/>
        <v>36324</v>
      </c>
      <c r="BY583">
        <f t="shared" ca="1" si="568"/>
        <v>9</v>
      </c>
      <c r="BZ583">
        <f t="shared" ca="1" si="569"/>
        <v>24</v>
      </c>
      <c r="CB583">
        <f t="shared" ca="1" si="534"/>
        <v>0</v>
      </c>
      <c r="CC583" s="260">
        <f t="shared" ca="1" si="535"/>
        <v>100000</v>
      </c>
      <c r="CD583" s="112">
        <f t="shared" ca="1" si="536"/>
        <v>36324</v>
      </c>
      <c r="CE583">
        <f t="shared" ca="1" si="537"/>
        <v>9</v>
      </c>
      <c r="CF583" s="254">
        <f t="shared" ca="1" si="538"/>
        <v>24</v>
      </c>
      <c r="CH583" s="112">
        <f t="shared" ca="1" si="485"/>
        <v>36325</v>
      </c>
      <c r="CI583">
        <f t="shared" ca="1" si="596"/>
        <v>0</v>
      </c>
      <c r="CJ583">
        <f t="shared" ref="CJ583" ca="1" si="601">IF(AND(CI583=0,CJ584=0,CJ585=0,CC583&lt;100000),1,0)</f>
        <v>0</v>
      </c>
      <c r="CK583" s="112">
        <f t="shared" ca="1" si="487"/>
        <v>36325</v>
      </c>
      <c r="CM583" s="112"/>
      <c r="CN583" s="260">
        <f t="shared" ca="1" si="488"/>
        <v>100000</v>
      </c>
      <c r="CO583" s="112">
        <f t="shared" ca="1" si="598"/>
        <v>36324</v>
      </c>
      <c r="CP583" s="238">
        <f t="shared" ca="1" si="490"/>
        <v>9</v>
      </c>
      <c r="CQ583" s="328">
        <f t="shared" ca="1" si="491"/>
        <v>24</v>
      </c>
      <c r="CS583" s="112">
        <f t="shared" ca="1" si="492"/>
        <v>100000</v>
      </c>
      <c r="CT583" s="112">
        <f t="shared" ca="1" si="542"/>
        <v>36324</v>
      </c>
      <c r="CU583" s="238">
        <f t="shared" ca="1" si="543"/>
        <v>9</v>
      </c>
      <c r="CV583" s="238">
        <f t="shared" ca="1" si="544"/>
        <v>24</v>
      </c>
      <c r="CY583">
        <f t="shared" si="550"/>
        <v>13</v>
      </c>
      <c r="DA583" s="112">
        <f t="shared" ca="1" si="551"/>
        <v>37167</v>
      </c>
      <c r="DC583">
        <f t="shared" si="552"/>
        <v>583</v>
      </c>
      <c r="DE583" t="str">
        <f t="shared" si="545"/>
        <v>cs583:dc771</v>
      </c>
      <c r="DF583">
        <f t="shared" ca="1" si="546"/>
        <v>616</v>
      </c>
      <c r="DG583" s="412">
        <f t="shared" ca="1" si="494"/>
        <v>0</v>
      </c>
      <c r="DH583" s="411">
        <f t="shared" ca="1" si="495"/>
        <v>37167</v>
      </c>
      <c r="DI583" s="411">
        <f t="shared" ca="1" si="496"/>
        <v>37200</v>
      </c>
      <c r="DJ583" s="410">
        <f t="shared" ca="1" si="497"/>
        <v>5</v>
      </c>
      <c r="DK583" s="410">
        <f t="shared" ca="1" si="498"/>
        <v>24</v>
      </c>
      <c r="DM583" s="411">
        <f t="shared" ca="1" si="499"/>
        <v>37167</v>
      </c>
      <c r="DN583" s="411">
        <f t="shared" ca="1" si="500"/>
        <v>37200</v>
      </c>
      <c r="DO583" s="410">
        <f t="shared" ca="1" si="501"/>
        <v>5</v>
      </c>
      <c r="DP583" s="410">
        <f t="shared" ca="1" si="502"/>
        <v>24</v>
      </c>
    </row>
    <row r="584" spans="27:120" x14ac:dyDescent="0.25">
      <c r="AA584" s="284">
        <f t="shared" ref="AA584:AF584" si="602">AA33</f>
        <v>37284</v>
      </c>
      <c r="AB584" s="284">
        <f t="shared" ref="AB584:AE584" ca="1" si="603">IF(OR(AB33&lt;=$AA584,AB33&gt;$AF584),100000,AB33)</f>
        <v>100000</v>
      </c>
      <c r="AC584" s="284">
        <f t="shared" ca="1" si="603"/>
        <v>37411</v>
      </c>
      <c r="AD584" s="284">
        <f t="shared" ca="1" si="603"/>
        <v>100000</v>
      </c>
      <c r="AE584" s="284">
        <f t="shared" ca="1" si="603"/>
        <v>100000</v>
      </c>
      <c r="AF584" s="284">
        <f t="shared" si="602"/>
        <v>37437</v>
      </c>
      <c r="AG584" s="238">
        <f t="shared" si="505"/>
        <v>5</v>
      </c>
      <c r="AH584" s="407">
        <f t="shared" si="506"/>
        <v>24</v>
      </c>
      <c r="AL584" s="112">
        <f t="shared" si="507"/>
        <v>37284</v>
      </c>
      <c r="AM584" s="112">
        <f t="shared" ca="1" si="508"/>
        <v>37411</v>
      </c>
      <c r="AN584" s="112">
        <f t="shared" ca="1" si="509"/>
        <v>37411</v>
      </c>
      <c r="AO584" s="112">
        <f t="shared" ca="1" si="510"/>
        <v>100000</v>
      </c>
      <c r="AP584" s="112">
        <f t="shared" ca="1" si="511"/>
        <v>37437</v>
      </c>
      <c r="AQ584" s="112">
        <f t="shared" si="512"/>
        <v>37437</v>
      </c>
      <c r="AT584" s="112">
        <f t="shared" si="513"/>
        <v>37284</v>
      </c>
      <c r="AU584" s="112">
        <f t="shared" ca="1" si="514"/>
        <v>37411</v>
      </c>
      <c r="AV584" s="112">
        <f t="shared" ca="1" si="515"/>
        <v>37411</v>
      </c>
      <c r="AW584" s="112">
        <f t="shared" ca="1" si="516"/>
        <v>37437</v>
      </c>
      <c r="AX584" s="112">
        <f t="shared" ca="1" si="517"/>
        <v>37437</v>
      </c>
      <c r="AY584" s="112">
        <f t="shared" si="518"/>
        <v>37437</v>
      </c>
      <c r="BA584" s="112">
        <f t="shared" si="519"/>
        <v>37284</v>
      </c>
      <c r="BB584" s="112">
        <f t="shared" ca="1" si="520"/>
        <v>37411</v>
      </c>
      <c r="BC584" s="112">
        <f t="shared" ca="1" si="521"/>
        <v>37411</v>
      </c>
      <c r="BD584" s="112">
        <f t="shared" ca="1" si="522"/>
        <v>37437</v>
      </c>
      <c r="BE584" s="112">
        <f t="shared" ca="1" si="523"/>
        <v>37437</v>
      </c>
      <c r="BF584" s="112">
        <f t="shared" si="524"/>
        <v>37437</v>
      </c>
      <c r="BI584" s="112">
        <f t="shared" si="525"/>
        <v>37284</v>
      </c>
      <c r="BJ584" s="112">
        <f t="shared" ca="1" si="526"/>
        <v>37411</v>
      </c>
      <c r="BK584" s="112">
        <f t="shared" ca="1" si="527"/>
        <v>37411</v>
      </c>
      <c r="BL584" s="112">
        <f t="shared" ca="1" si="528"/>
        <v>37437</v>
      </c>
      <c r="BM584" s="112">
        <f t="shared" ca="1" si="529"/>
        <v>37437</v>
      </c>
      <c r="BN584" s="112">
        <f t="shared" si="530"/>
        <v>37437</v>
      </c>
      <c r="BP584" s="238">
        <f t="shared" ca="1" si="594"/>
        <v>0</v>
      </c>
      <c r="BQ584" s="238">
        <f t="shared" si="595"/>
        <v>573</v>
      </c>
      <c r="BR584" t="s">
        <v>447</v>
      </c>
      <c r="BS584" t="s">
        <v>448</v>
      </c>
      <c r="BT584" s="114">
        <f t="shared" ca="1" si="482"/>
        <v>1</v>
      </c>
      <c r="BU584" s="112"/>
      <c r="BV584">
        <f t="shared" ca="1" si="587"/>
        <v>0</v>
      </c>
      <c r="BW584" s="112">
        <f t="shared" ca="1" si="484"/>
        <v>36325</v>
      </c>
      <c r="BX584" s="112">
        <f t="shared" ref="BX584:BX585" ca="1" si="604">INDIRECT(CONCATENATE(BS584,BQ584))</f>
        <v>36325</v>
      </c>
      <c r="BY584">
        <f t="shared" ca="1" si="568"/>
        <v>9</v>
      </c>
      <c r="BZ584">
        <f t="shared" ca="1" si="569"/>
        <v>24</v>
      </c>
      <c r="CB584">
        <f t="shared" ca="1" si="534"/>
        <v>0</v>
      </c>
      <c r="CC584" s="260">
        <f t="shared" ca="1" si="535"/>
        <v>100000</v>
      </c>
      <c r="CD584" s="112">
        <f t="shared" ca="1" si="536"/>
        <v>36325</v>
      </c>
      <c r="CE584">
        <f t="shared" ca="1" si="537"/>
        <v>9</v>
      </c>
      <c r="CF584" s="254">
        <f t="shared" ca="1" si="538"/>
        <v>24</v>
      </c>
      <c r="CH584" s="112">
        <f t="shared" ca="1" si="485"/>
        <v>36325</v>
      </c>
      <c r="CI584">
        <f t="shared" ca="1" si="596"/>
        <v>0</v>
      </c>
      <c r="CJ584">
        <f t="shared" ref="CJ584" ca="1" si="605">IF(AND(CI584=0,CJ585=0,CC584&lt;100000),1,0)</f>
        <v>0</v>
      </c>
      <c r="CK584" s="112">
        <f t="shared" ca="1" si="487"/>
        <v>36325</v>
      </c>
      <c r="CM584" s="112"/>
      <c r="CN584" s="260">
        <f t="shared" ca="1" si="488"/>
        <v>100000</v>
      </c>
      <c r="CO584" s="112">
        <f t="shared" ca="1" si="598"/>
        <v>36325</v>
      </c>
      <c r="CP584" s="238">
        <f t="shared" ca="1" si="490"/>
        <v>9</v>
      </c>
      <c r="CQ584" s="328">
        <f t="shared" ca="1" si="491"/>
        <v>24</v>
      </c>
      <c r="CS584" s="112">
        <f t="shared" ca="1" si="492"/>
        <v>100000</v>
      </c>
      <c r="CT584" s="112">
        <f t="shared" ca="1" si="542"/>
        <v>36325</v>
      </c>
      <c r="CU584" s="238">
        <f t="shared" ca="1" si="543"/>
        <v>9</v>
      </c>
      <c r="CV584" s="238">
        <f t="shared" ca="1" si="544"/>
        <v>24</v>
      </c>
      <c r="CY584">
        <f t="shared" si="550"/>
        <v>14</v>
      </c>
      <c r="DA584" s="112">
        <f t="shared" ca="1" si="551"/>
        <v>37167</v>
      </c>
      <c r="DC584">
        <f t="shared" si="552"/>
        <v>584</v>
      </c>
      <c r="DE584" t="str">
        <f t="shared" si="545"/>
        <v>cs584:dc771</v>
      </c>
      <c r="DF584">
        <f t="shared" ca="1" si="546"/>
        <v>616</v>
      </c>
      <c r="DG584" s="412">
        <f t="shared" ca="1" si="494"/>
        <v>0</v>
      </c>
      <c r="DH584" s="411">
        <f t="shared" ca="1" si="495"/>
        <v>37167</v>
      </c>
      <c r="DI584" s="411">
        <f t="shared" ca="1" si="496"/>
        <v>37200</v>
      </c>
      <c r="DJ584" s="410">
        <f t="shared" ca="1" si="497"/>
        <v>5</v>
      </c>
      <c r="DK584" s="410">
        <f t="shared" ca="1" si="498"/>
        <v>24</v>
      </c>
      <c r="DM584" s="411">
        <f t="shared" ca="1" si="499"/>
        <v>37167</v>
      </c>
      <c r="DN584" s="411">
        <f t="shared" ca="1" si="500"/>
        <v>37200</v>
      </c>
      <c r="DO584" s="410">
        <f t="shared" ca="1" si="501"/>
        <v>5</v>
      </c>
      <c r="DP584" s="410">
        <f t="shared" ca="1" si="502"/>
        <v>24</v>
      </c>
    </row>
    <row r="585" spans="27:120" ht="15.75" thickBot="1" x14ac:dyDescent="0.3">
      <c r="AA585" s="284">
        <f t="shared" ref="AA585:AF585" si="606">AA34</f>
        <v>37537</v>
      </c>
      <c r="AB585" s="284">
        <f t="shared" ref="AB585:AE585" ca="1" si="607">IF(OR(AB34&lt;=$AA585,AB34&gt;$AF585),100000,AB34)</f>
        <v>100000</v>
      </c>
      <c r="AC585" s="284">
        <f t="shared" ca="1" si="607"/>
        <v>100000</v>
      </c>
      <c r="AD585" s="284">
        <f t="shared" ca="1" si="607"/>
        <v>100000</v>
      </c>
      <c r="AE585" s="284">
        <f t="shared" ca="1" si="607"/>
        <v>100000</v>
      </c>
      <c r="AF585" s="284">
        <f t="shared" si="606"/>
        <v>37551</v>
      </c>
      <c r="AG585" s="238">
        <f t="shared" si="505"/>
        <v>6</v>
      </c>
      <c r="AH585" s="407">
        <f t="shared" si="506"/>
        <v>24</v>
      </c>
      <c r="AL585" s="112">
        <f t="shared" si="507"/>
        <v>37537</v>
      </c>
      <c r="AM585" s="112">
        <f t="shared" ca="1" si="508"/>
        <v>100000</v>
      </c>
      <c r="AN585" s="112">
        <f t="shared" ca="1" si="509"/>
        <v>100000</v>
      </c>
      <c r="AO585" s="112">
        <f t="shared" ca="1" si="510"/>
        <v>100000</v>
      </c>
      <c r="AP585" s="112">
        <f t="shared" ca="1" si="511"/>
        <v>37551</v>
      </c>
      <c r="AQ585" s="112">
        <f t="shared" si="512"/>
        <v>37551</v>
      </c>
      <c r="AT585" s="112">
        <f t="shared" si="513"/>
        <v>37537</v>
      </c>
      <c r="AU585" s="112">
        <f t="shared" ca="1" si="514"/>
        <v>100000</v>
      </c>
      <c r="AV585" s="112">
        <f t="shared" ca="1" si="515"/>
        <v>100000</v>
      </c>
      <c r="AW585" s="112">
        <f t="shared" ca="1" si="516"/>
        <v>37551</v>
      </c>
      <c r="AX585" s="112">
        <f t="shared" ca="1" si="517"/>
        <v>37551</v>
      </c>
      <c r="AY585" s="112">
        <f t="shared" si="518"/>
        <v>37551</v>
      </c>
      <c r="BA585" s="112">
        <f t="shared" si="519"/>
        <v>37537</v>
      </c>
      <c r="BB585" s="112">
        <f t="shared" ca="1" si="520"/>
        <v>100000</v>
      </c>
      <c r="BC585" s="112">
        <f t="shared" ca="1" si="521"/>
        <v>37551</v>
      </c>
      <c r="BD585" s="112">
        <f t="shared" ca="1" si="522"/>
        <v>37551</v>
      </c>
      <c r="BE585" s="112">
        <f t="shared" ca="1" si="523"/>
        <v>37551</v>
      </c>
      <c r="BF585" s="112">
        <f t="shared" si="524"/>
        <v>37551</v>
      </c>
      <c r="BI585" s="112">
        <f t="shared" si="525"/>
        <v>37537</v>
      </c>
      <c r="BJ585" s="112">
        <f t="shared" ca="1" si="526"/>
        <v>37551</v>
      </c>
      <c r="BK585" s="112">
        <f t="shared" ca="1" si="527"/>
        <v>37551</v>
      </c>
      <c r="BL585" s="112">
        <f t="shared" ca="1" si="528"/>
        <v>37551</v>
      </c>
      <c r="BM585" s="112">
        <f t="shared" ca="1" si="529"/>
        <v>37551</v>
      </c>
      <c r="BN585" s="112">
        <f t="shared" si="530"/>
        <v>37551</v>
      </c>
      <c r="BP585" s="238">
        <f t="shared" ca="1" si="594"/>
        <v>1</v>
      </c>
      <c r="BQ585" s="238">
        <f t="shared" si="595"/>
        <v>573</v>
      </c>
      <c r="BR585" t="s">
        <v>448</v>
      </c>
      <c r="BS585" t="s">
        <v>449</v>
      </c>
      <c r="BT585" s="114">
        <f t="shared" ca="1" si="482"/>
        <v>1</v>
      </c>
      <c r="BU585" s="112"/>
      <c r="BV585">
        <f t="shared" ca="1" si="587"/>
        <v>0</v>
      </c>
      <c r="BW585" s="112">
        <f t="shared" ca="1" si="484"/>
        <v>36325</v>
      </c>
      <c r="BX585" s="112">
        <f t="shared" ca="1" si="604"/>
        <v>36325</v>
      </c>
      <c r="BY585">
        <f t="shared" ca="1" si="568"/>
        <v>9</v>
      </c>
      <c r="BZ585">
        <f t="shared" ca="1" si="569"/>
        <v>24</v>
      </c>
      <c r="CB585">
        <f t="shared" ca="1" si="534"/>
        <v>0</v>
      </c>
      <c r="CC585" s="261">
        <f t="shared" ca="1" si="535"/>
        <v>100000</v>
      </c>
      <c r="CD585" s="324">
        <f t="shared" ca="1" si="536"/>
        <v>36325</v>
      </c>
      <c r="CE585" s="257">
        <f t="shared" ca="1" si="537"/>
        <v>9</v>
      </c>
      <c r="CF585" s="258">
        <f t="shared" ca="1" si="538"/>
        <v>24</v>
      </c>
      <c r="CH585" s="112">
        <f t="shared" ca="1" si="485"/>
        <v>36325</v>
      </c>
      <c r="CI585">
        <f t="shared" ca="1" si="596"/>
        <v>0</v>
      </c>
      <c r="CJ585">
        <f t="shared" ref="CJ585" ca="1" si="608">IF(AND(CI585=0,CC585&lt;100000),1,0)</f>
        <v>0</v>
      </c>
      <c r="CK585" s="112">
        <f t="shared" ca="1" si="487"/>
        <v>36325</v>
      </c>
      <c r="CM585" s="112"/>
      <c r="CN585" s="261">
        <f t="shared" ref="CN585" ca="1" si="609">IF(AND(CN581=100000,CN582=100000,CN583=100000,CN584=100000),INDIRECT(CONCATENATE("aa",BQ585)),CC585)</f>
        <v>36325</v>
      </c>
      <c r="CO585" s="324">
        <f t="shared" ca="1" si="598"/>
        <v>36325</v>
      </c>
      <c r="CP585" s="256">
        <f t="shared" ca="1" si="490"/>
        <v>9</v>
      </c>
      <c r="CQ585" s="329">
        <f t="shared" ca="1" si="491"/>
        <v>24</v>
      </c>
      <c r="CS585" s="112">
        <f t="shared" ca="1" si="492"/>
        <v>36325</v>
      </c>
      <c r="CT585" s="112">
        <f t="shared" ca="1" si="542"/>
        <v>36325</v>
      </c>
      <c r="CU585" s="238">
        <f t="shared" ca="1" si="543"/>
        <v>9</v>
      </c>
      <c r="CV585" s="238">
        <f t="shared" ca="1" si="544"/>
        <v>24</v>
      </c>
      <c r="CY585">
        <f t="shared" si="550"/>
        <v>15</v>
      </c>
      <c r="DA585" s="112">
        <f t="shared" ca="1" si="551"/>
        <v>37201</v>
      </c>
      <c r="DC585">
        <f t="shared" si="552"/>
        <v>585</v>
      </c>
      <c r="DE585" t="str">
        <f t="shared" si="545"/>
        <v>cs585:dc771</v>
      </c>
      <c r="DF585">
        <f t="shared" ca="1" si="546"/>
        <v>626</v>
      </c>
      <c r="DG585" s="412">
        <f t="shared" ca="1" si="494"/>
        <v>0</v>
      </c>
      <c r="DH585" s="411">
        <f t="shared" ca="1" si="495"/>
        <v>37201</v>
      </c>
      <c r="DI585" s="411">
        <f t="shared" ca="1" si="496"/>
        <v>37256</v>
      </c>
      <c r="DJ585" s="410">
        <f t="shared" ca="1" si="497"/>
        <v>4</v>
      </c>
      <c r="DK585" s="410">
        <f t="shared" ca="1" si="498"/>
        <v>24</v>
      </c>
      <c r="DM585" s="411">
        <f t="shared" ca="1" si="499"/>
        <v>37201</v>
      </c>
      <c r="DN585" s="411">
        <f t="shared" ca="1" si="500"/>
        <v>37256</v>
      </c>
      <c r="DO585" s="410">
        <f t="shared" ca="1" si="501"/>
        <v>4</v>
      </c>
      <c r="DP585" s="410">
        <f t="shared" ca="1" si="502"/>
        <v>24</v>
      </c>
    </row>
    <row r="586" spans="27:120" x14ac:dyDescent="0.25">
      <c r="AA586" s="284">
        <f t="shared" ref="AA586:AF586" si="610">AA35</f>
        <v>37540</v>
      </c>
      <c r="AB586" s="284">
        <f t="shared" ref="AB586:AE586" ca="1" si="611">IF(OR(AB35&lt;=$AA586,AB35&gt;$AF586),100000,AB35)</f>
        <v>100000</v>
      </c>
      <c r="AC586" s="284">
        <f t="shared" ca="1" si="611"/>
        <v>100000</v>
      </c>
      <c r="AD586" s="284">
        <f t="shared" ca="1" si="611"/>
        <v>100000</v>
      </c>
      <c r="AE586" s="284">
        <f t="shared" ca="1" si="611"/>
        <v>100000</v>
      </c>
      <c r="AF586" s="284">
        <f t="shared" si="610"/>
        <v>37574</v>
      </c>
      <c r="AG586" s="238">
        <f t="shared" si="505"/>
        <v>8</v>
      </c>
      <c r="AH586" s="407">
        <f t="shared" si="506"/>
        <v>24</v>
      </c>
      <c r="AL586" s="112">
        <f t="shared" si="507"/>
        <v>37540</v>
      </c>
      <c r="AM586" s="112">
        <f t="shared" ca="1" si="508"/>
        <v>100000</v>
      </c>
      <c r="AN586" s="112">
        <f t="shared" ca="1" si="509"/>
        <v>100000</v>
      </c>
      <c r="AO586" s="112">
        <f t="shared" ca="1" si="510"/>
        <v>100000</v>
      </c>
      <c r="AP586" s="112">
        <f t="shared" ca="1" si="511"/>
        <v>37574</v>
      </c>
      <c r="AQ586" s="112">
        <f t="shared" si="512"/>
        <v>37574</v>
      </c>
      <c r="AT586" s="112">
        <f t="shared" si="513"/>
        <v>37540</v>
      </c>
      <c r="AU586" s="112">
        <f t="shared" ca="1" si="514"/>
        <v>100000</v>
      </c>
      <c r="AV586" s="112">
        <f t="shared" ca="1" si="515"/>
        <v>100000</v>
      </c>
      <c r="AW586" s="112">
        <f t="shared" ca="1" si="516"/>
        <v>37574</v>
      </c>
      <c r="AX586" s="112">
        <f t="shared" ca="1" si="517"/>
        <v>37574</v>
      </c>
      <c r="AY586" s="112">
        <f t="shared" si="518"/>
        <v>37574</v>
      </c>
      <c r="BA586" s="112">
        <f t="shared" si="519"/>
        <v>37540</v>
      </c>
      <c r="BB586" s="112">
        <f t="shared" ca="1" si="520"/>
        <v>100000</v>
      </c>
      <c r="BC586" s="112">
        <f t="shared" ca="1" si="521"/>
        <v>37574</v>
      </c>
      <c r="BD586" s="112">
        <f t="shared" ca="1" si="522"/>
        <v>37574</v>
      </c>
      <c r="BE586" s="112">
        <f t="shared" ca="1" si="523"/>
        <v>37574</v>
      </c>
      <c r="BF586" s="112">
        <f t="shared" si="524"/>
        <v>37574</v>
      </c>
      <c r="BI586" s="112">
        <f t="shared" si="525"/>
        <v>37540</v>
      </c>
      <c r="BJ586" s="112">
        <f t="shared" ca="1" si="526"/>
        <v>37574</v>
      </c>
      <c r="BK586" s="112">
        <f t="shared" ca="1" si="527"/>
        <v>37574</v>
      </c>
      <c r="BL586" s="112">
        <f t="shared" ca="1" si="528"/>
        <v>37574</v>
      </c>
      <c r="BM586" s="112">
        <f t="shared" ca="1" si="529"/>
        <v>37574</v>
      </c>
      <c r="BN586" s="112">
        <f t="shared" si="530"/>
        <v>37574</v>
      </c>
      <c r="BP586" s="238">
        <f t="shared" ca="1" si="594"/>
        <v>1</v>
      </c>
      <c r="BQ586" s="238">
        <f t="shared" ref="BQ586" si="612">BQ585+1</f>
        <v>574</v>
      </c>
      <c r="BR586" s="112" t="s">
        <v>444</v>
      </c>
      <c r="BS586" s="112" t="s">
        <v>445</v>
      </c>
      <c r="BT586" s="114">
        <f t="shared" ca="1" si="482"/>
        <v>1</v>
      </c>
      <c r="BU586" s="112"/>
      <c r="BV586">
        <f t="shared" ca="1" si="587"/>
        <v>1</v>
      </c>
      <c r="BW586" s="112">
        <f t="shared" ca="1" si="484"/>
        <v>36432</v>
      </c>
      <c r="BX586" s="112">
        <f t="shared" ref="BX586:BX588" ca="1" si="613">INDIRECT(CONCATENATE(BS586,BQ586))-1</f>
        <v>36432</v>
      </c>
      <c r="BY586">
        <f t="shared" ca="1" si="568"/>
        <v>13</v>
      </c>
      <c r="BZ586">
        <f t="shared" ca="1" si="569"/>
        <v>24</v>
      </c>
      <c r="CB586">
        <f t="shared" ca="1" si="534"/>
        <v>0</v>
      </c>
      <c r="CC586" s="408">
        <f t="shared" ca="1" si="535"/>
        <v>36432</v>
      </c>
      <c r="CD586" s="326">
        <f t="shared" ca="1" si="536"/>
        <v>36432</v>
      </c>
      <c r="CE586" s="251">
        <f t="shared" ca="1" si="537"/>
        <v>13</v>
      </c>
      <c r="CF586" s="252">
        <f t="shared" ca="1" si="538"/>
        <v>24</v>
      </c>
      <c r="CH586" s="112">
        <f ca="1">INDIRECT(CONCATENATE("af",BQ586))</f>
        <v>36433</v>
      </c>
      <c r="CI586">
        <f ca="1">CB586+CB587+CB588+CB589+CB590</f>
        <v>0</v>
      </c>
      <c r="CJ586">
        <v>0</v>
      </c>
      <c r="CK586" s="112">
        <f ca="1">IF(CJ586=0,INDIRECT(CONCATENATE("af",BQ586)),1)</f>
        <v>36433</v>
      </c>
      <c r="CM586" s="112"/>
      <c r="CN586" s="408">
        <f t="shared" ca="1" si="488"/>
        <v>36432</v>
      </c>
      <c r="CO586" s="326">
        <f ca="1">CD586</f>
        <v>36432</v>
      </c>
      <c r="CP586" s="333">
        <f t="shared" ref="CP586:CQ586" ca="1" si="614">CE586</f>
        <v>13</v>
      </c>
      <c r="CQ586" s="327">
        <f t="shared" ca="1" si="614"/>
        <v>24</v>
      </c>
      <c r="CS586" s="112">
        <f t="shared" ca="1" si="492"/>
        <v>36432</v>
      </c>
      <c r="CT586" s="112">
        <f t="shared" ref="CT586" ca="1" si="615">IF(AND( CN587=100000,CN588=100000,CN589=100000,CN590=100000),CO590,                             CO586)</f>
        <v>36433</v>
      </c>
      <c r="CU586" s="238">
        <f t="shared" ca="1" si="543"/>
        <v>13</v>
      </c>
      <c r="CV586" s="238">
        <f t="shared" ca="1" si="544"/>
        <v>24</v>
      </c>
      <c r="CY586">
        <f t="shared" si="550"/>
        <v>16</v>
      </c>
      <c r="DA586" s="112">
        <f t="shared" ca="1" si="551"/>
        <v>37202</v>
      </c>
      <c r="DC586">
        <f t="shared" si="552"/>
        <v>586</v>
      </c>
      <c r="DE586" t="str">
        <f t="shared" si="545"/>
        <v>cs586:dc771</v>
      </c>
      <c r="DF586">
        <f t="shared" ca="1" si="546"/>
        <v>631</v>
      </c>
      <c r="DG586" s="412">
        <f t="shared" ca="1" si="494"/>
        <v>0</v>
      </c>
      <c r="DH586" s="411">
        <f t="shared" ca="1" si="495"/>
        <v>37202</v>
      </c>
      <c r="DI586" s="411">
        <f t="shared" ca="1" si="496"/>
        <v>37256</v>
      </c>
      <c r="DJ586" s="410">
        <f t="shared" ca="1" si="497"/>
        <v>6</v>
      </c>
      <c r="DK586" s="410">
        <f t="shared" ca="1" si="498"/>
        <v>24</v>
      </c>
      <c r="DM586" s="411">
        <f t="shared" ca="1" si="499"/>
        <v>37202</v>
      </c>
      <c r="DN586" s="411">
        <f t="shared" ca="1" si="500"/>
        <v>37256</v>
      </c>
      <c r="DO586" s="410">
        <f t="shared" ca="1" si="501"/>
        <v>6</v>
      </c>
      <c r="DP586" s="410">
        <f t="shared" ca="1" si="502"/>
        <v>24</v>
      </c>
    </row>
    <row r="587" spans="27:120" x14ac:dyDescent="0.25">
      <c r="AA587" s="284">
        <f t="shared" ref="AA587:AF587" si="616">AA36</f>
        <v>37629</v>
      </c>
      <c r="AB587" s="284">
        <f t="shared" ref="AB587:AE587" ca="1" si="617">IF(OR(AB36&lt;=$AA587,AB36&gt;$AF587),100000,AB36)</f>
        <v>100000</v>
      </c>
      <c r="AC587" s="284">
        <f t="shared" ca="1" si="617"/>
        <v>100000</v>
      </c>
      <c r="AD587" s="284">
        <f t="shared" ca="1" si="617"/>
        <v>100000</v>
      </c>
      <c r="AE587" s="284">
        <f t="shared" ca="1" si="617"/>
        <v>100000</v>
      </c>
      <c r="AF587" s="284">
        <f t="shared" si="616"/>
        <v>37663</v>
      </c>
      <c r="AG587" s="238">
        <f t="shared" si="505"/>
        <v>16</v>
      </c>
      <c r="AH587" s="407">
        <f t="shared" si="506"/>
        <v>24</v>
      </c>
      <c r="AL587" s="112">
        <f t="shared" si="507"/>
        <v>37629</v>
      </c>
      <c r="AM587" s="112">
        <f t="shared" ca="1" si="508"/>
        <v>100000</v>
      </c>
      <c r="AN587" s="112">
        <f t="shared" ca="1" si="509"/>
        <v>100000</v>
      </c>
      <c r="AO587" s="112">
        <f t="shared" ca="1" si="510"/>
        <v>100000</v>
      </c>
      <c r="AP587" s="112">
        <f t="shared" ca="1" si="511"/>
        <v>37663</v>
      </c>
      <c r="AQ587" s="112">
        <f t="shared" si="512"/>
        <v>37663</v>
      </c>
      <c r="AT587" s="112">
        <f t="shared" si="513"/>
        <v>37629</v>
      </c>
      <c r="AU587" s="112">
        <f t="shared" ca="1" si="514"/>
        <v>100000</v>
      </c>
      <c r="AV587" s="112">
        <f t="shared" ca="1" si="515"/>
        <v>100000</v>
      </c>
      <c r="AW587" s="112">
        <f t="shared" ca="1" si="516"/>
        <v>37663</v>
      </c>
      <c r="AX587" s="112">
        <f t="shared" ca="1" si="517"/>
        <v>37663</v>
      </c>
      <c r="AY587" s="112">
        <f t="shared" si="518"/>
        <v>37663</v>
      </c>
      <c r="BA587" s="112">
        <f t="shared" si="519"/>
        <v>37629</v>
      </c>
      <c r="BB587" s="112">
        <f t="shared" ca="1" si="520"/>
        <v>100000</v>
      </c>
      <c r="BC587" s="112">
        <f t="shared" ca="1" si="521"/>
        <v>37663</v>
      </c>
      <c r="BD587" s="112">
        <f t="shared" ca="1" si="522"/>
        <v>37663</v>
      </c>
      <c r="BE587" s="112">
        <f t="shared" ca="1" si="523"/>
        <v>37663</v>
      </c>
      <c r="BF587" s="112">
        <f t="shared" si="524"/>
        <v>37663</v>
      </c>
      <c r="BI587" s="112">
        <f t="shared" si="525"/>
        <v>37629</v>
      </c>
      <c r="BJ587" s="112">
        <f t="shared" ca="1" si="526"/>
        <v>37663</v>
      </c>
      <c r="BK587" s="112">
        <f t="shared" ca="1" si="527"/>
        <v>37663</v>
      </c>
      <c r="BL587" s="112">
        <f t="shared" ca="1" si="528"/>
        <v>37663</v>
      </c>
      <c r="BM587" s="112">
        <f t="shared" ca="1" si="529"/>
        <v>37663</v>
      </c>
      <c r="BN587" s="112">
        <f t="shared" si="530"/>
        <v>37663</v>
      </c>
      <c r="BP587" s="238">
        <f t="shared" ca="1" si="594"/>
        <v>1</v>
      </c>
      <c r="BQ587" s="238">
        <f t="shared" ref="BQ587:BQ590" si="618">BQ586</f>
        <v>574</v>
      </c>
      <c r="BR587" t="s">
        <v>445</v>
      </c>
      <c r="BS587" t="s">
        <v>446</v>
      </c>
      <c r="BT587" s="114">
        <f t="shared" ca="1" si="482"/>
        <v>1</v>
      </c>
      <c r="BU587" s="112"/>
      <c r="BV587">
        <f t="shared" ca="1" si="587"/>
        <v>0</v>
      </c>
      <c r="BW587" s="112">
        <f t="shared" ca="1" si="484"/>
        <v>36433</v>
      </c>
      <c r="BX587" s="112">
        <f t="shared" ca="1" si="613"/>
        <v>36432</v>
      </c>
      <c r="BY587">
        <f t="shared" ca="1" si="568"/>
        <v>13</v>
      </c>
      <c r="BZ587">
        <f t="shared" ca="1" si="569"/>
        <v>24</v>
      </c>
      <c r="CB587">
        <f t="shared" ca="1" si="534"/>
        <v>0</v>
      </c>
      <c r="CC587" s="260">
        <f t="shared" ca="1" si="535"/>
        <v>100000</v>
      </c>
      <c r="CD587" s="112">
        <f t="shared" ca="1" si="536"/>
        <v>36432</v>
      </c>
      <c r="CE587">
        <f t="shared" ca="1" si="537"/>
        <v>13</v>
      </c>
      <c r="CF587" s="254">
        <f t="shared" ca="1" si="538"/>
        <v>24</v>
      </c>
      <c r="CH587" s="112">
        <f t="shared" ref="CH587:CH591" ca="1" si="619">INDIRECT(CONCATENATE("af",BQ587))</f>
        <v>36433</v>
      </c>
      <c r="CI587">
        <f ca="1">CI586</f>
        <v>0</v>
      </c>
      <c r="CJ587">
        <f ca="1">IF(AND(CI587=0,CJ588=0,CJ589=0,CJ590=0,CC587&lt;100000),1,0)</f>
        <v>0</v>
      </c>
      <c r="CK587" s="112">
        <f ca="1">IF(CJ587=0,INDIRECT(CONCATENATE("af",BQ587)),1)</f>
        <v>36433</v>
      </c>
      <c r="CM587" s="112"/>
      <c r="CN587" s="260">
        <f t="shared" ca="1" si="488"/>
        <v>100000</v>
      </c>
      <c r="CO587" s="112">
        <f ca="1">IF(CJ587=1,CH587,CD587)</f>
        <v>36432</v>
      </c>
      <c r="CP587" s="238">
        <f t="shared" ref="CP587" ca="1" si="620">CE587</f>
        <v>13</v>
      </c>
      <c r="CQ587" s="328">
        <f t="shared" ref="CQ587" ca="1" si="621">CF587</f>
        <v>24</v>
      </c>
      <c r="CS587" s="112">
        <f t="shared" ca="1" si="492"/>
        <v>100000</v>
      </c>
      <c r="CT587" s="112">
        <f t="shared" ca="1" si="542"/>
        <v>36432</v>
      </c>
      <c r="CU587" s="238">
        <f t="shared" ca="1" si="543"/>
        <v>13</v>
      </c>
      <c r="CV587" s="238">
        <f t="shared" ca="1" si="544"/>
        <v>24</v>
      </c>
      <c r="CY587">
        <f t="shared" si="550"/>
        <v>17</v>
      </c>
      <c r="DA587" s="112">
        <f t="shared" ca="1" si="551"/>
        <v>37257</v>
      </c>
      <c r="DC587">
        <f t="shared" si="552"/>
        <v>587</v>
      </c>
      <c r="DE587" t="str">
        <f t="shared" si="545"/>
        <v>cs587:dc771</v>
      </c>
      <c r="DF587">
        <f t="shared" ca="1" si="546"/>
        <v>613</v>
      </c>
      <c r="DG587" s="412">
        <f t="shared" ca="1" si="494"/>
        <v>0</v>
      </c>
      <c r="DH587" s="411">
        <f t="shared" ca="1" si="495"/>
        <v>37257</v>
      </c>
      <c r="DI587" s="411">
        <f t="shared" ca="1" si="496"/>
        <v>37410</v>
      </c>
      <c r="DJ587" s="410">
        <f t="shared" ca="1" si="497"/>
        <v>8</v>
      </c>
      <c r="DK587" s="410">
        <f t="shared" ca="1" si="498"/>
        <v>24</v>
      </c>
      <c r="DM587" s="411">
        <f t="shared" ca="1" si="499"/>
        <v>37257</v>
      </c>
      <c r="DN587" s="411">
        <f t="shared" ca="1" si="500"/>
        <v>37410</v>
      </c>
      <c r="DO587" s="410">
        <f t="shared" ca="1" si="501"/>
        <v>8</v>
      </c>
      <c r="DP587" s="410">
        <f t="shared" ca="1" si="502"/>
        <v>24</v>
      </c>
    </row>
    <row r="588" spans="27:120" x14ac:dyDescent="0.25">
      <c r="AA588" s="284">
        <f t="shared" ref="AA588:AF588" si="622">AA37</f>
        <v>37644</v>
      </c>
      <c r="AB588" s="284">
        <f t="shared" ref="AB588:AE588" ca="1" si="623">IF(OR(AB37&lt;=$AA588,AB37&gt;$AF588),100000,AB37)</f>
        <v>100000</v>
      </c>
      <c r="AC588" s="284">
        <f t="shared" ca="1" si="623"/>
        <v>100000</v>
      </c>
      <c r="AD588" s="284">
        <f t="shared" ca="1" si="623"/>
        <v>100000</v>
      </c>
      <c r="AE588" s="284">
        <f t="shared" ca="1" si="623"/>
        <v>100000</v>
      </c>
      <c r="AF588" s="284">
        <f t="shared" si="622"/>
        <v>37783</v>
      </c>
      <c r="AG588" s="238">
        <f t="shared" si="505"/>
        <v>2</v>
      </c>
      <c r="AH588" s="407">
        <f t="shared" si="506"/>
        <v>24</v>
      </c>
      <c r="AL588" s="112">
        <f t="shared" si="507"/>
        <v>37644</v>
      </c>
      <c r="AM588" s="112">
        <f t="shared" ca="1" si="508"/>
        <v>100000</v>
      </c>
      <c r="AN588" s="112">
        <f t="shared" ca="1" si="509"/>
        <v>100000</v>
      </c>
      <c r="AO588" s="112">
        <f t="shared" ca="1" si="510"/>
        <v>100000</v>
      </c>
      <c r="AP588" s="112">
        <f t="shared" ca="1" si="511"/>
        <v>37783</v>
      </c>
      <c r="AQ588" s="112">
        <f t="shared" si="512"/>
        <v>37783</v>
      </c>
      <c r="AT588" s="112">
        <f t="shared" si="513"/>
        <v>37644</v>
      </c>
      <c r="AU588" s="112">
        <f t="shared" ca="1" si="514"/>
        <v>100000</v>
      </c>
      <c r="AV588" s="112">
        <f t="shared" ca="1" si="515"/>
        <v>100000</v>
      </c>
      <c r="AW588" s="112">
        <f t="shared" ca="1" si="516"/>
        <v>37783</v>
      </c>
      <c r="AX588" s="112">
        <f t="shared" ca="1" si="517"/>
        <v>37783</v>
      </c>
      <c r="AY588" s="112">
        <f t="shared" si="518"/>
        <v>37783</v>
      </c>
      <c r="BA588" s="112">
        <f t="shared" si="519"/>
        <v>37644</v>
      </c>
      <c r="BB588" s="112">
        <f t="shared" ca="1" si="520"/>
        <v>100000</v>
      </c>
      <c r="BC588" s="112">
        <f t="shared" ca="1" si="521"/>
        <v>37783</v>
      </c>
      <c r="BD588" s="112">
        <f t="shared" ca="1" si="522"/>
        <v>37783</v>
      </c>
      <c r="BE588" s="112">
        <f t="shared" ca="1" si="523"/>
        <v>37783</v>
      </c>
      <c r="BF588" s="112">
        <f t="shared" si="524"/>
        <v>37783</v>
      </c>
      <c r="BI588" s="112">
        <f t="shared" si="525"/>
        <v>37644</v>
      </c>
      <c r="BJ588" s="112">
        <f t="shared" ca="1" si="526"/>
        <v>37783</v>
      </c>
      <c r="BK588" s="112">
        <f t="shared" ca="1" si="527"/>
        <v>37783</v>
      </c>
      <c r="BL588" s="112">
        <f t="shared" ca="1" si="528"/>
        <v>37783</v>
      </c>
      <c r="BM588" s="112">
        <f t="shared" ca="1" si="529"/>
        <v>37783</v>
      </c>
      <c r="BN588" s="112">
        <f t="shared" si="530"/>
        <v>37783</v>
      </c>
      <c r="BP588" s="238">
        <f t="shared" ca="1" si="594"/>
        <v>1</v>
      </c>
      <c r="BQ588" s="238">
        <f t="shared" si="618"/>
        <v>574</v>
      </c>
      <c r="BR588" t="s">
        <v>446</v>
      </c>
      <c r="BS588" t="s">
        <v>447</v>
      </c>
      <c r="BT588" s="114">
        <f t="shared" ca="1" si="482"/>
        <v>1</v>
      </c>
      <c r="BU588" s="112"/>
      <c r="BV588">
        <f t="shared" ca="1" si="587"/>
        <v>0</v>
      </c>
      <c r="BW588" s="112">
        <f t="shared" ca="1" si="484"/>
        <v>36433</v>
      </c>
      <c r="BX588" s="112">
        <f t="shared" ca="1" si="613"/>
        <v>36432</v>
      </c>
      <c r="BY588">
        <f t="shared" ca="1" si="568"/>
        <v>13</v>
      </c>
      <c r="BZ588">
        <f t="shared" ca="1" si="569"/>
        <v>24</v>
      </c>
      <c r="CB588">
        <f t="shared" ca="1" si="534"/>
        <v>0</v>
      </c>
      <c r="CC588" s="260">
        <f t="shared" ca="1" si="535"/>
        <v>100000</v>
      </c>
      <c r="CD588" s="112">
        <f t="shared" ca="1" si="536"/>
        <v>36432</v>
      </c>
      <c r="CE588">
        <f t="shared" ca="1" si="537"/>
        <v>13</v>
      </c>
      <c r="CF588" s="254">
        <f t="shared" ca="1" si="538"/>
        <v>24</v>
      </c>
      <c r="CH588" s="112">
        <f t="shared" ca="1" si="619"/>
        <v>36433</v>
      </c>
      <c r="CI588">
        <f ca="1">CI587</f>
        <v>0</v>
      </c>
      <c r="CJ588">
        <f ca="1">IF(AND(CI588=0,CJ589=0,CJ590=0,CC588&lt;100000),1,0)</f>
        <v>0</v>
      </c>
      <c r="CK588" s="112">
        <f t="shared" ref="CK588:CK592" ca="1" si="624">IF(CJ588=0,INDIRECT(CONCATENATE("af",BQ588)),1)</f>
        <v>36433</v>
      </c>
      <c r="CM588" s="112"/>
      <c r="CN588" s="260">
        <f t="shared" ca="1" si="488"/>
        <v>100000</v>
      </c>
      <c r="CO588" s="112">
        <f t="shared" ref="CO588:CO590" ca="1" si="625">IF(CJ588=1,CH588,CD588)</f>
        <v>36432</v>
      </c>
      <c r="CP588" s="238">
        <f t="shared" ref="CP588:CP592" ca="1" si="626">CE588</f>
        <v>13</v>
      </c>
      <c r="CQ588" s="328">
        <f t="shared" ref="CQ588:CQ592" ca="1" si="627">CF588</f>
        <v>24</v>
      </c>
      <c r="CS588" s="112">
        <f t="shared" ca="1" si="492"/>
        <v>100000</v>
      </c>
      <c r="CT588" s="112">
        <f t="shared" ca="1" si="542"/>
        <v>36432</v>
      </c>
      <c r="CU588" s="238">
        <f t="shared" ca="1" si="543"/>
        <v>13</v>
      </c>
      <c r="CV588" s="238">
        <f t="shared" ca="1" si="544"/>
        <v>24</v>
      </c>
      <c r="CY588">
        <f t="shared" si="550"/>
        <v>18</v>
      </c>
      <c r="DA588" s="112">
        <f t="shared" ca="1" si="551"/>
        <v>37257</v>
      </c>
      <c r="DC588">
        <f t="shared" si="552"/>
        <v>588</v>
      </c>
      <c r="DE588" t="str">
        <f t="shared" si="545"/>
        <v>cs588:dc771</v>
      </c>
      <c r="DF588">
        <f t="shared" ca="1" si="546"/>
        <v>613</v>
      </c>
      <c r="DG588" s="412">
        <f t="shared" ca="1" si="494"/>
        <v>0</v>
      </c>
      <c r="DH588" s="411">
        <f t="shared" ca="1" si="495"/>
        <v>37257</v>
      </c>
      <c r="DI588" s="411">
        <f t="shared" ca="1" si="496"/>
        <v>37410</v>
      </c>
      <c r="DJ588" s="410">
        <f t="shared" ca="1" si="497"/>
        <v>8</v>
      </c>
      <c r="DK588" s="410">
        <f t="shared" ca="1" si="498"/>
        <v>24</v>
      </c>
      <c r="DM588" s="411">
        <f t="shared" ca="1" si="499"/>
        <v>37257</v>
      </c>
      <c r="DN588" s="411">
        <f t="shared" ca="1" si="500"/>
        <v>37410</v>
      </c>
      <c r="DO588" s="410">
        <f t="shared" ca="1" si="501"/>
        <v>8</v>
      </c>
      <c r="DP588" s="410">
        <f t="shared" ca="1" si="502"/>
        <v>24</v>
      </c>
    </row>
    <row r="589" spans="27:120" x14ac:dyDescent="0.25">
      <c r="AA589" s="284">
        <f t="shared" ref="AA589:AF589" si="628">AA38</f>
        <v>37673</v>
      </c>
      <c r="AB589" s="284">
        <f t="shared" ref="AB589:AE589" ca="1" si="629">IF(OR(AB38&lt;=$AA589,AB38&gt;$AF589),100000,AB38)</f>
        <v>100000</v>
      </c>
      <c r="AC589" s="284">
        <f t="shared" ca="1" si="629"/>
        <v>100000</v>
      </c>
      <c r="AD589" s="284">
        <f t="shared" ca="1" si="629"/>
        <v>100000</v>
      </c>
      <c r="AE589" s="284">
        <f t="shared" ca="1" si="629"/>
        <v>100000</v>
      </c>
      <c r="AF589" s="284">
        <f t="shared" si="628"/>
        <v>37786</v>
      </c>
      <c r="AG589" s="238">
        <f t="shared" si="505"/>
        <v>16</v>
      </c>
      <c r="AH589" s="407">
        <f t="shared" si="506"/>
        <v>24</v>
      </c>
      <c r="AL589" s="112">
        <f t="shared" si="507"/>
        <v>37673</v>
      </c>
      <c r="AM589" s="112">
        <f t="shared" ca="1" si="508"/>
        <v>100000</v>
      </c>
      <c r="AN589" s="112">
        <f t="shared" ca="1" si="509"/>
        <v>100000</v>
      </c>
      <c r="AO589" s="112">
        <f t="shared" ca="1" si="510"/>
        <v>100000</v>
      </c>
      <c r="AP589" s="112">
        <f t="shared" ca="1" si="511"/>
        <v>37786</v>
      </c>
      <c r="AQ589" s="112">
        <f t="shared" si="512"/>
        <v>37786</v>
      </c>
      <c r="AT589" s="112">
        <f t="shared" si="513"/>
        <v>37673</v>
      </c>
      <c r="AU589" s="112">
        <f t="shared" ca="1" si="514"/>
        <v>100000</v>
      </c>
      <c r="AV589" s="112">
        <f t="shared" ca="1" si="515"/>
        <v>100000</v>
      </c>
      <c r="AW589" s="112">
        <f t="shared" ca="1" si="516"/>
        <v>37786</v>
      </c>
      <c r="AX589" s="112">
        <f t="shared" ca="1" si="517"/>
        <v>37786</v>
      </c>
      <c r="AY589" s="112">
        <f t="shared" si="518"/>
        <v>37786</v>
      </c>
      <c r="BA589" s="112">
        <f t="shared" si="519"/>
        <v>37673</v>
      </c>
      <c r="BB589" s="112">
        <f t="shared" ca="1" si="520"/>
        <v>100000</v>
      </c>
      <c r="BC589" s="112">
        <f t="shared" ca="1" si="521"/>
        <v>37786</v>
      </c>
      <c r="BD589" s="112">
        <f t="shared" ca="1" si="522"/>
        <v>37786</v>
      </c>
      <c r="BE589" s="112">
        <f t="shared" ca="1" si="523"/>
        <v>37786</v>
      </c>
      <c r="BF589" s="112">
        <f t="shared" si="524"/>
        <v>37786</v>
      </c>
      <c r="BI589" s="112">
        <f t="shared" si="525"/>
        <v>37673</v>
      </c>
      <c r="BJ589" s="112">
        <f t="shared" ca="1" si="526"/>
        <v>37786</v>
      </c>
      <c r="BK589" s="112">
        <f t="shared" ca="1" si="527"/>
        <v>37786</v>
      </c>
      <c r="BL589" s="112">
        <f t="shared" ca="1" si="528"/>
        <v>37786</v>
      </c>
      <c r="BM589" s="112">
        <f t="shared" ca="1" si="529"/>
        <v>37786</v>
      </c>
      <c r="BN589" s="112">
        <f t="shared" si="530"/>
        <v>37786</v>
      </c>
      <c r="BP589" s="238">
        <f t="shared" ca="1" si="594"/>
        <v>1</v>
      </c>
      <c r="BQ589" s="238">
        <f t="shared" si="618"/>
        <v>574</v>
      </c>
      <c r="BR589" t="s">
        <v>447</v>
      </c>
      <c r="BS589" t="s">
        <v>448</v>
      </c>
      <c r="BT589" s="114">
        <f t="shared" ca="1" si="482"/>
        <v>1</v>
      </c>
      <c r="BU589" s="112"/>
      <c r="BV589">
        <f t="shared" ca="1" si="587"/>
        <v>0</v>
      </c>
      <c r="BW589" s="112">
        <f t="shared" ca="1" si="484"/>
        <v>36433</v>
      </c>
      <c r="BX589" s="112">
        <f t="shared" ref="BX589:BX590" ca="1" si="630">INDIRECT(CONCATENATE(BS589,BQ589))</f>
        <v>36433</v>
      </c>
      <c r="BY589">
        <f t="shared" ca="1" si="568"/>
        <v>13</v>
      </c>
      <c r="BZ589">
        <f t="shared" ca="1" si="569"/>
        <v>24</v>
      </c>
      <c r="CB589">
        <f t="shared" ca="1" si="534"/>
        <v>0</v>
      </c>
      <c r="CC589" s="260">
        <f t="shared" ca="1" si="535"/>
        <v>100000</v>
      </c>
      <c r="CD589" s="112">
        <f t="shared" ca="1" si="536"/>
        <v>36433</v>
      </c>
      <c r="CE589">
        <f t="shared" ca="1" si="537"/>
        <v>13</v>
      </c>
      <c r="CF589" s="254">
        <f t="shared" ca="1" si="538"/>
        <v>24</v>
      </c>
      <c r="CH589" s="112">
        <f t="shared" ca="1" si="619"/>
        <v>36433</v>
      </c>
      <c r="CI589">
        <f ca="1">CI588</f>
        <v>0</v>
      </c>
      <c r="CJ589">
        <f ca="1">IF(AND(CI589=0,CJ590=0,CC589&lt;100000),1,0)</f>
        <v>0</v>
      </c>
      <c r="CK589" s="112">
        <f t="shared" ca="1" si="624"/>
        <v>36433</v>
      </c>
      <c r="CM589" s="112"/>
      <c r="CN589" s="260">
        <f t="shared" ca="1" si="488"/>
        <v>100000</v>
      </c>
      <c r="CO589" s="112">
        <f t="shared" ca="1" si="625"/>
        <v>36433</v>
      </c>
      <c r="CP589" s="238">
        <f t="shared" ca="1" si="626"/>
        <v>13</v>
      </c>
      <c r="CQ589" s="328">
        <f t="shared" ca="1" si="627"/>
        <v>24</v>
      </c>
      <c r="CS589" s="112">
        <f t="shared" ca="1" si="492"/>
        <v>100000</v>
      </c>
      <c r="CT589" s="112">
        <f t="shared" ca="1" si="542"/>
        <v>36433</v>
      </c>
      <c r="CU589" s="238">
        <f t="shared" ca="1" si="543"/>
        <v>13</v>
      </c>
      <c r="CV589" s="238">
        <f t="shared" ca="1" si="544"/>
        <v>24</v>
      </c>
      <c r="CY589">
        <f t="shared" si="550"/>
        <v>19</v>
      </c>
      <c r="DA589" s="112">
        <f t="shared" ca="1" si="551"/>
        <v>37257</v>
      </c>
      <c r="DC589">
        <f t="shared" si="552"/>
        <v>589</v>
      </c>
      <c r="DE589" t="str">
        <f t="shared" si="545"/>
        <v>cs589:dc771</v>
      </c>
      <c r="DF589">
        <f t="shared" ca="1" si="546"/>
        <v>613</v>
      </c>
      <c r="DG589" s="412">
        <f t="shared" ca="1" si="494"/>
        <v>0</v>
      </c>
      <c r="DH589" s="411">
        <f t="shared" ca="1" si="495"/>
        <v>37257</v>
      </c>
      <c r="DI589" s="411">
        <f t="shared" ca="1" si="496"/>
        <v>37410</v>
      </c>
      <c r="DJ589" s="410">
        <f t="shared" ca="1" si="497"/>
        <v>8</v>
      </c>
      <c r="DK589" s="410">
        <f t="shared" ca="1" si="498"/>
        <v>24</v>
      </c>
      <c r="DM589" s="411">
        <f t="shared" ca="1" si="499"/>
        <v>37257</v>
      </c>
      <c r="DN589" s="411">
        <f t="shared" ca="1" si="500"/>
        <v>37410</v>
      </c>
      <c r="DO589" s="410">
        <f t="shared" ca="1" si="501"/>
        <v>8</v>
      </c>
      <c r="DP589" s="410">
        <f t="shared" ca="1" si="502"/>
        <v>24</v>
      </c>
    </row>
    <row r="590" spans="27:120" ht="15.75" thickBot="1" x14ac:dyDescent="0.3">
      <c r="AA590" s="284">
        <f t="shared" ref="AA590:AF590" si="631">AA39</f>
        <v>37865</v>
      </c>
      <c r="AB590" s="284">
        <f t="shared" ref="AB590:AE590" ca="1" si="632">IF(OR(AB39&lt;=$AA590,AB39&gt;$AF590),100000,AB39)</f>
        <v>100000</v>
      </c>
      <c r="AC590" s="284">
        <f t="shared" ca="1" si="632"/>
        <v>37987</v>
      </c>
      <c r="AD590" s="284">
        <f t="shared" ca="1" si="632"/>
        <v>100000</v>
      </c>
      <c r="AE590" s="284">
        <f t="shared" ca="1" si="632"/>
        <v>100000</v>
      </c>
      <c r="AF590" s="284">
        <f t="shared" si="631"/>
        <v>38168</v>
      </c>
      <c r="AG590" s="238">
        <f t="shared" si="505"/>
        <v>18</v>
      </c>
      <c r="AH590" s="407">
        <f t="shared" si="506"/>
        <v>24</v>
      </c>
      <c r="AL590" s="112">
        <f t="shared" si="507"/>
        <v>37865</v>
      </c>
      <c r="AM590" s="112">
        <f t="shared" ca="1" si="508"/>
        <v>37987</v>
      </c>
      <c r="AN590" s="112">
        <f t="shared" ca="1" si="509"/>
        <v>37987</v>
      </c>
      <c r="AO590" s="112">
        <f t="shared" ca="1" si="510"/>
        <v>100000</v>
      </c>
      <c r="AP590" s="112">
        <f t="shared" ca="1" si="511"/>
        <v>38168</v>
      </c>
      <c r="AQ590" s="112">
        <f t="shared" si="512"/>
        <v>38168</v>
      </c>
      <c r="AT590" s="112">
        <f t="shared" si="513"/>
        <v>37865</v>
      </c>
      <c r="AU590" s="112">
        <f t="shared" ca="1" si="514"/>
        <v>37987</v>
      </c>
      <c r="AV590" s="112">
        <f t="shared" ca="1" si="515"/>
        <v>37987</v>
      </c>
      <c r="AW590" s="112">
        <f t="shared" ca="1" si="516"/>
        <v>38168</v>
      </c>
      <c r="AX590" s="112">
        <f t="shared" ca="1" si="517"/>
        <v>38168</v>
      </c>
      <c r="AY590" s="112">
        <f t="shared" si="518"/>
        <v>38168</v>
      </c>
      <c r="BA590" s="112">
        <f t="shared" si="519"/>
        <v>37865</v>
      </c>
      <c r="BB590" s="112">
        <f t="shared" ca="1" si="520"/>
        <v>37987</v>
      </c>
      <c r="BC590" s="112">
        <f t="shared" ca="1" si="521"/>
        <v>37987</v>
      </c>
      <c r="BD590" s="112">
        <f t="shared" ca="1" si="522"/>
        <v>38168</v>
      </c>
      <c r="BE590" s="112">
        <f t="shared" ca="1" si="523"/>
        <v>38168</v>
      </c>
      <c r="BF590" s="112">
        <f t="shared" si="524"/>
        <v>38168</v>
      </c>
      <c r="BI590" s="112">
        <f t="shared" si="525"/>
        <v>37865</v>
      </c>
      <c r="BJ590" s="112">
        <f t="shared" ca="1" si="526"/>
        <v>37987</v>
      </c>
      <c r="BK590" s="112">
        <f t="shared" ca="1" si="527"/>
        <v>37987</v>
      </c>
      <c r="BL590" s="112">
        <f t="shared" ca="1" si="528"/>
        <v>38168</v>
      </c>
      <c r="BM590" s="112">
        <f t="shared" ca="1" si="529"/>
        <v>38168</v>
      </c>
      <c r="BN590" s="112">
        <f t="shared" si="530"/>
        <v>38168</v>
      </c>
      <c r="BP590" s="238">
        <f t="shared" ca="1" si="594"/>
        <v>0</v>
      </c>
      <c r="BQ590" s="238">
        <f t="shared" si="618"/>
        <v>574</v>
      </c>
      <c r="BR590" t="s">
        <v>448</v>
      </c>
      <c r="BS590" t="s">
        <v>449</v>
      </c>
      <c r="BT590" s="114">
        <f t="shared" ca="1" si="482"/>
        <v>1</v>
      </c>
      <c r="BU590" s="112"/>
      <c r="BV590">
        <f t="shared" ca="1" si="587"/>
        <v>0</v>
      </c>
      <c r="BW590" s="112">
        <f t="shared" ca="1" si="484"/>
        <v>36433</v>
      </c>
      <c r="BX590" s="112">
        <f t="shared" ca="1" si="630"/>
        <v>36433</v>
      </c>
      <c r="BY590">
        <f t="shared" ca="1" si="568"/>
        <v>13</v>
      </c>
      <c r="BZ590">
        <f t="shared" ca="1" si="569"/>
        <v>24</v>
      </c>
      <c r="CB590">
        <f t="shared" ca="1" si="534"/>
        <v>0</v>
      </c>
      <c r="CC590" s="261">
        <f t="shared" ca="1" si="535"/>
        <v>100000</v>
      </c>
      <c r="CD590" s="324">
        <f t="shared" ca="1" si="536"/>
        <v>36433</v>
      </c>
      <c r="CE590" s="257">
        <f t="shared" ca="1" si="537"/>
        <v>13</v>
      </c>
      <c r="CF590" s="258">
        <f t="shared" ca="1" si="538"/>
        <v>24</v>
      </c>
      <c r="CH590" s="112">
        <f t="shared" ca="1" si="619"/>
        <v>36433</v>
      </c>
      <c r="CI590">
        <f ca="1">CI589</f>
        <v>0</v>
      </c>
      <c r="CJ590">
        <f ca="1">IF(AND(CI590=0,CC590&lt;100000),1,0)</f>
        <v>0</v>
      </c>
      <c r="CK590" s="112">
        <f t="shared" ca="1" si="624"/>
        <v>36433</v>
      </c>
      <c r="CM590" s="112"/>
      <c r="CN590" s="261">
        <f t="shared" ref="CN590" ca="1" si="633">IF(AND(CN586=100000,CN587=100000,CN588=100000,CN589=100000),INDIRECT(CONCATENATE("aa",BQ590)),CC590)</f>
        <v>100000</v>
      </c>
      <c r="CO590" s="324">
        <f t="shared" ca="1" si="625"/>
        <v>36433</v>
      </c>
      <c r="CP590" s="256">
        <f t="shared" ca="1" si="626"/>
        <v>13</v>
      </c>
      <c r="CQ590" s="329">
        <f t="shared" ca="1" si="627"/>
        <v>24</v>
      </c>
      <c r="CS590" s="112">
        <f t="shared" ca="1" si="492"/>
        <v>100000</v>
      </c>
      <c r="CT590" s="112">
        <f t="shared" ca="1" si="542"/>
        <v>36433</v>
      </c>
      <c r="CU590" s="238">
        <f t="shared" ca="1" si="543"/>
        <v>13</v>
      </c>
      <c r="CV590" s="238">
        <f t="shared" ca="1" si="544"/>
        <v>24</v>
      </c>
      <c r="CY590">
        <f t="shared" si="550"/>
        <v>20</v>
      </c>
      <c r="DA590" s="112">
        <f t="shared" ca="1" si="551"/>
        <v>37284</v>
      </c>
      <c r="DC590">
        <f t="shared" si="552"/>
        <v>590</v>
      </c>
      <c r="DE590" t="str">
        <f t="shared" si="545"/>
        <v>cs590:dc771</v>
      </c>
      <c r="DF590">
        <f t="shared" ca="1" si="546"/>
        <v>636</v>
      </c>
      <c r="DG590" s="412">
        <f t="shared" ca="1" si="494"/>
        <v>0</v>
      </c>
      <c r="DH590" s="411">
        <f t="shared" ca="1" si="495"/>
        <v>37284</v>
      </c>
      <c r="DI590" s="411">
        <f t="shared" ca="1" si="496"/>
        <v>37410</v>
      </c>
      <c r="DJ590" s="410">
        <f t="shared" ca="1" si="497"/>
        <v>5</v>
      </c>
      <c r="DK590" s="410">
        <f t="shared" ca="1" si="498"/>
        <v>24</v>
      </c>
      <c r="DM590" s="411">
        <f t="shared" ca="1" si="499"/>
        <v>37284</v>
      </c>
      <c r="DN590" s="411">
        <f t="shared" ca="1" si="500"/>
        <v>37410</v>
      </c>
      <c r="DO590" s="410">
        <f t="shared" ca="1" si="501"/>
        <v>5</v>
      </c>
      <c r="DP590" s="410">
        <f t="shared" ca="1" si="502"/>
        <v>24</v>
      </c>
    </row>
    <row r="591" spans="27:120" x14ac:dyDescent="0.25">
      <c r="AA591" s="284">
        <f t="shared" ref="AA591:AF591" si="634">AA40</f>
        <v>38231</v>
      </c>
      <c r="AB591" s="284">
        <f t="shared" ref="AB591:AE591" ca="1" si="635">IF(OR(AB40&lt;=$AA591,AB40&gt;$AF591),100000,AB40)</f>
        <v>100000</v>
      </c>
      <c r="AC591" s="284">
        <f t="shared" ca="1" si="635"/>
        <v>38384</v>
      </c>
      <c r="AD591" s="284">
        <f t="shared" ca="1" si="635"/>
        <v>100000</v>
      </c>
      <c r="AE591" s="284">
        <f t="shared" ca="1" si="635"/>
        <v>100000</v>
      </c>
      <c r="AF591" s="284">
        <f t="shared" si="634"/>
        <v>38551</v>
      </c>
      <c r="AG591" s="238">
        <f t="shared" si="505"/>
        <v>18</v>
      </c>
      <c r="AH591" s="407">
        <f t="shared" si="506"/>
        <v>24</v>
      </c>
      <c r="AL591" s="112">
        <f t="shared" si="507"/>
        <v>38231</v>
      </c>
      <c r="AM591" s="112">
        <f t="shared" ca="1" si="508"/>
        <v>38384</v>
      </c>
      <c r="AN591" s="112">
        <f t="shared" ca="1" si="509"/>
        <v>38384</v>
      </c>
      <c r="AO591" s="112">
        <f t="shared" ca="1" si="510"/>
        <v>100000</v>
      </c>
      <c r="AP591" s="112">
        <f t="shared" ca="1" si="511"/>
        <v>38551</v>
      </c>
      <c r="AQ591" s="112">
        <f t="shared" si="512"/>
        <v>38551</v>
      </c>
      <c r="AT591" s="112">
        <f t="shared" si="513"/>
        <v>38231</v>
      </c>
      <c r="AU591" s="112">
        <f t="shared" ca="1" si="514"/>
        <v>38384</v>
      </c>
      <c r="AV591" s="112">
        <f t="shared" ca="1" si="515"/>
        <v>38384</v>
      </c>
      <c r="AW591" s="112">
        <f t="shared" ca="1" si="516"/>
        <v>38551</v>
      </c>
      <c r="AX591" s="112">
        <f t="shared" ca="1" si="517"/>
        <v>38551</v>
      </c>
      <c r="AY591" s="112">
        <f t="shared" si="518"/>
        <v>38551</v>
      </c>
      <c r="BA591" s="112">
        <f t="shared" si="519"/>
        <v>38231</v>
      </c>
      <c r="BB591" s="112">
        <f t="shared" ca="1" si="520"/>
        <v>38384</v>
      </c>
      <c r="BC591" s="112">
        <f t="shared" ca="1" si="521"/>
        <v>38384</v>
      </c>
      <c r="BD591" s="112">
        <f t="shared" ca="1" si="522"/>
        <v>38551</v>
      </c>
      <c r="BE591" s="112">
        <f t="shared" ca="1" si="523"/>
        <v>38551</v>
      </c>
      <c r="BF591" s="112">
        <f t="shared" si="524"/>
        <v>38551</v>
      </c>
      <c r="BI591" s="112">
        <f t="shared" si="525"/>
        <v>38231</v>
      </c>
      <c r="BJ591" s="112">
        <f t="shared" ca="1" si="526"/>
        <v>38384</v>
      </c>
      <c r="BK591" s="112">
        <f t="shared" ca="1" si="527"/>
        <v>38384</v>
      </c>
      <c r="BL591" s="112">
        <f t="shared" ca="1" si="528"/>
        <v>38551</v>
      </c>
      <c r="BM591" s="112">
        <f t="shared" ca="1" si="529"/>
        <v>38551</v>
      </c>
      <c r="BN591" s="112">
        <f t="shared" si="530"/>
        <v>38551</v>
      </c>
      <c r="BP591" s="238">
        <f t="shared" ca="1" si="594"/>
        <v>0</v>
      </c>
      <c r="BQ591" s="238">
        <f t="shared" ref="BQ591" si="636">BQ590+1</f>
        <v>575</v>
      </c>
      <c r="BR591" s="112" t="s">
        <v>444</v>
      </c>
      <c r="BS591" s="112" t="s">
        <v>445</v>
      </c>
      <c r="BT591" s="114">
        <f t="shared" ca="1" si="482"/>
        <v>1</v>
      </c>
      <c r="BU591" s="112"/>
      <c r="BV591">
        <f t="shared" ca="1" si="587"/>
        <v>1</v>
      </c>
      <c r="BW591" s="112">
        <f t="shared" ca="1" si="484"/>
        <v>36434</v>
      </c>
      <c r="BX591" s="112">
        <f t="shared" ref="BX591:BX593" ca="1" si="637">INDIRECT(CONCATENATE(BS591,BQ591))-1</f>
        <v>36453</v>
      </c>
      <c r="BY591">
        <f t="shared" ca="1" si="568"/>
        <v>7</v>
      </c>
      <c r="BZ591">
        <f t="shared" ca="1" si="569"/>
        <v>24</v>
      </c>
      <c r="CB591">
        <f t="shared" ca="1" si="534"/>
        <v>0</v>
      </c>
      <c r="CC591" s="112">
        <f t="shared" ca="1" si="535"/>
        <v>36434</v>
      </c>
      <c r="CD591" s="112">
        <f t="shared" ca="1" si="536"/>
        <v>36453</v>
      </c>
      <c r="CE591">
        <f t="shared" ca="1" si="537"/>
        <v>7</v>
      </c>
      <c r="CF591">
        <f t="shared" ca="1" si="538"/>
        <v>24</v>
      </c>
      <c r="CH591" s="112">
        <f t="shared" ca="1" si="619"/>
        <v>36454</v>
      </c>
      <c r="CI591">
        <f t="shared" ref="CI591" ca="1" si="638">CB591+CB592+CB593+CB594+CB595</f>
        <v>0</v>
      </c>
      <c r="CJ591">
        <v>0</v>
      </c>
      <c r="CK591" s="112">
        <f t="shared" ca="1" si="624"/>
        <v>36454</v>
      </c>
      <c r="CM591" s="112"/>
      <c r="CN591" s="408">
        <f t="shared" ca="1" si="488"/>
        <v>36434</v>
      </c>
      <c r="CO591" s="326">
        <f t="shared" ref="CO591" ca="1" si="639">CD591</f>
        <v>36453</v>
      </c>
      <c r="CP591" s="333">
        <f t="shared" ca="1" si="626"/>
        <v>7</v>
      </c>
      <c r="CQ591" s="327">
        <f t="shared" ca="1" si="627"/>
        <v>24</v>
      </c>
      <c r="CS591" s="112">
        <f t="shared" ca="1" si="492"/>
        <v>36434</v>
      </c>
      <c r="CT591" s="112">
        <f t="shared" ref="CT591" ca="1" si="640">IF(AND( CN592=100000,CN593=100000,CN594=100000,CN595=100000),CO595,                             CO591)</f>
        <v>36454</v>
      </c>
      <c r="CU591" s="238">
        <f t="shared" ca="1" si="543"/>
        <v>7</v>
      </c>
      <c r="CV591" s="238">
        <f t="shared" ca="1" si="544"/>
        <v>24</v>
      </c>
      <c r="CY591">
        <f t="shared" si="550"/>
        <v>21</v>
      </c>
      <c r="DA591" s="112">
        <f t="shared" ca="1" si="551"/>
        <v>37411</v>
      </c>
      <c r="DC591">
        <f t="shared" si="552"/>
        <v>591</v>
      </c>
      <c r="DE591" t="str">
        <f t="shared" si="545"/>
        <v>cs591:dc771</v>
      </c>
      <c r="DF591">
        <f t="shared" ca="1" si="546"/>
        <v>614</v>
      </c>
      <c r="DG591" s="412">
        <f t="shared" ca="1" si="494"/>
        <v>0</v>
      </c>
      <c r="DH591" s="411">
        <f t="shared" ca="1" si="495"/>
        <v>37411</v>
      </c>
      <c r="DI591" s="411">
        <f t="shared" ca="1" si="496"/>
        <v>37437</v>
      </c>
      <c r="DJ591" s="410">
        <f t="shared" ca="1" si="497"/>
        <v>8</v>
      </c>
      <c r="DK591" s="410">
        <f t="shared" ca="1" si="498"/>
        <v>24</v>
      </c>
      <c r="DM591" s="411">
        <f t="shared" ca="1" si="499"/>
        <v>37411</v>
      </c>
      <c r="DN591" s="411">
        <f t="shared" ca="1" si="500"/>
        <v>37437</v>
      </c>
      <c r="DO591" s="410">
        <f t="shared" ca="1" si="501"/>
        <v>8</v>
      </c>
      <c r="DP591" s="410">
        <f t="shared" ca="1" si="502"/>
        <v>24</v>
      </c>
    </row>
    <row r="592" spans="27:120" x14ac:dyDescent="0.25">
      <c r="AA592" s="284">
        <f t="shared" ref="AA592:AF592" si="641">AA41</f>
        <v>38596</v>
      </c>
      <c r="AB592" s="284">
        <f t="shared" ref="AB592:AE592" ca="1" si="642">IF(OR(AB41&lt;=$AA592,AB41&gt;$AF592),100000,AB41)</f>
        <v>100000</v>
      </c>
      <c r="AC592" s="284">
        <f t="shared" ca="1" si="642"/>
        <v>38718</v>
      </c>
      <c r="AD592" s="284">
        <f t="shared" ca="1" si="642"/>
        <v>100000</v>
      </c>
      <c r="AE592" s="284">
        <f t="shared" ca="1" si="642"/>
        <v>100000</v>
      </c>
      <c r="AF592" s="284">
        <f t="shared" si="641"/>
        <v>38919</v>
      </c>
      <c r="AG592" s="238">
        <f t="shared" si="505"/>
        <v>18</v>
      </c>
      <c r="AH592" s="407">
        <f t="shared" si="506"/>
        <v>24</v>
      </c>
      <c r="AL592" s="112">
        <f t="shared" si="507"/>
        <v>38596</v>
      </c>
      <c r="AM592" s="112">
        <f t="shared" ca="1" si="508"/>
        <v>38718</v>
      </c>
      <c r="AN592" s="112">
        <f t="shared" ca="1" si="509"/>
        <v>38718</v>
      </c>
      <c r="AO592" s="112">
        <f t="shared" ca="1" si="510"/>
        <v>100000</v>
      </c>
      <c r="AP592" s="112">
        <f t="shared" ca="1" si="511"/>
        <v>38919</v>
      </c>
      <c r="AQ592" s="112">
        <f t="shared" si="512"/>
        <v>38919</v>
      </c>
      <c r="AT592" s="112">
        <f t="shared" si="513"/>
        <v>38596</v>
      </c>
      <c r="AU592" s="112">
        <f t="shared" ca="1" si="514"/>
        <v>38718</v>
      </c>
      <c r="AV592" s="112">
        <f t="shared" ca="1" si="515"/>
        <v>38718</v>
      </c>
      <c r="AW592" s="112">
        <f t="shared" ca="1" si="516"/>
        <v>38919</v>
      </c>
      <c r="AX592" s="112">
        <f t="shared" ca="1" si="517"/>
        <v>38919</v>
      </c>
      <c r="AY592" s="112">
        <f t="shared" si="518"/>
        <v>38919</v>
      </c>
      <c r="BA592" s="112">
        <f t="shared" si="519"/>
        <v>38596</v>
      </c>
      <c r="BB592" s="112">
        <f t="shared" ca="1" si="520"/>
        <v>38718</v>
      </c>
      <c r="BC592" s="112">
        <f t="shared" ca="1" si="521"/>
        <v>38718</v>
      </c>
      <c r="BD592" s="112">
        <f t="shared" ca="1" si="522"/>
        <v>38919</v>
      </c>
      <c r="BE592" s="112">
        <f t="shared" ca="1" si="523"/>
        <v>38919</v>
      </c>
      <c r="BF592" s="112">
        <f t="shared" si="524"/>
        <v>38919</v>
      </c>
      <c r="BI592" s="112">
        <f t="shared" si="525"/>
        <v>38596</v>
      </c>
      <c r="BJ592" s="112">
        <f t="shared" ca="1" si="526"/>
        <v>38718</v>
      </c>
      <c r="BK592" s="112">
        <f t="shared" ca="1" si="527"/>
        <v>38718</v>
      </c>
      <c r="BL592" s="112">
        <f t="shared" ca="1" si="528"/>
        <v>38919</v>
      </c>
      <c r="BM592" s="112">
        <f t="shared" ca="1" si="529"/>
        <v>38919</v>
      </c>
      <c r="BN592" s="112">
        <f t="shared" si="530"/>
        <v>38919</v>
      </c>
      <c r="BP592" s="238">
        <f t="shared" ca="1" si="594"/>
        <v>0</v>
      </c>
      <c r="BQ592" s="238">
        <f t="shared" ref="BQ592:BQ595" si="643">BQ591</f>
        <v>575</v>
      </c>
      <c r="BR592" t="s">
        <v>445</v>
      </c>
      <c r="BS592" t="s">
        <v>446</v>
      </c>
      <c r="BT592" s="114">
        <f t="shared" ca="1" si="482"/>
        <v>1</v>
      </c>
      <c r="BU592" s="112"/>
      <c r="BV592">
        <f t="shared" ca="1" si="587"/>
        <v>0</v>
      </c>
      <c r="BW592" s="112">
        <f t="shared" ca="1" si="484"/>
        <v>36454</v>
      </c>
      <c r="BX592" s="112">
        <f t="shared" ca="1" si="637"/>
        <v>36453</v>
      </c>
      <c r="BY592">
        <f t="shared" ca="1" si="568"/>
        <v>7</v>
      </c>
      <c r="BZ592">
        <f t="shared" ca="1" si="569"/>
        <v>24</v>
      </c>
      <c r="CB592">
        <f t="shared" ca="1" si="534"/>
        <v>0</v>
      </c>
      <c r="CC592" s="112">
        <f t="shared" ca="1" si="535"/>
        <v>100000</v>
      </c>
      <c r="CD592" s="112">
        <f t="shared" ca="1" si="536"/>
        <v>36453</v>
      </c>
      <c r="CE592">
        <f t="shared" ca="1" si="537"/>
        <v>7</v>
      </c>
      <c r="CF592">
        <f t="shared" ca="1" si="538"/>
        <v>24</v>
      </c>
      <c r="CH592" s="112">
        <f t="shared" ref="CH592:CH655" ca="1" si="644">INDIRECT(CONCATENATE("af",BQ592))</f>
        <v>36454</v>
      </c>
      <c r="CI592">
        <f t="shared" ref="CI592:CI595" ca="1" si="645">CI591</f>
        <v>0</v>
      </c>
      <c r="CJ592">
        <f t="shared" ref="CJ592" ca="1" si="646">IF(AND(CI592=0,CJ593=0,CJ594=0,CJ595=0,CC592&lt;100000),1,0)</f>
        <v>0</v>
      </c>
      <c r="CK592" s="112">
        <f t="shared" ca="1" si="624"/>
        <v>36454</v>
      </c>
      <c r="CM592" s="112"/>
      <c r="CN592" s="260">
        <f t="shared" ca="1" si="488"/>
        <v>100000</v>
      </c>
      <c r="CO592" s="112">
        <f t="shared" ref="CO592:CO595" ca="1" si="647">IF(CJ592=1,CH592,CD592)</f>
        <v>36453</v>
      </c>
      <c r="CP592" s="238">
        <f t="shared" ca="1" si="626"/>
        <v>7</v>
      </c>
      <c r="CQ592" s="328">
        <f t="shared" ca="1" si="627"/>
        <v>24</v>
      </c>
      <c r="CS592" s="112">
        <f t="shared" ca="1" si="492"/>
        <v>100000</v>
      </c>
      <c r="CT592" s="112">
        <f t="shared" ca="1" si="542"/>
        <v>36453</v>
      </c>
      <c r="CU592" s="238">
        <f t="shared" ca="1" si="543"/>
        <v>7</v>
      </c>
      <c r="CV592" s="238">
        <f t="shared" ca="1" si="544"/>
        <v>24</v>
      </c>
      <c r="CY592">
        <f t="shared" si="550"/>
        <v>22</v>
      </c>
      <c r="DA592" s="112">
        <f t="shared" ca="1" si="551"/>
        <v>37411</v>
      </c>
      <c r="DC592">
        <f t="shared" si="552"/>
        <v>592</v>
      </c>
      <c r="DE592" t="str">
        <f t="shared" si="545"/>
        <v>cs592:dc771</v>
      </c>
      <c r="DF592">
        <f t="shared" ca="1" si="546"/>
        <v>614</v>
      </c>
      <c r="DG592" s="412">
        <f t="shared" ca="1" si="494"/>
        <v>0</v>
      </c>
      <c r="DH592" s="411">
        <f t="shared" ca="1" si="495"/>
        <v>37411</v>
      </c>
      <c r="DI592" s="411">
        <f t="shared" ca="1" si="496"/>
        <v>37437</v>
      </c>
      <c r="DJ592" s="410">
        <f t="shared" ca="1" si="497"/>
        <v>8</v>
      </c>
      <c r="DK592" s="410">
        <f t="shared" ca="1" si="498"/>
        <v>24</v>
      </c>
      <c r="DM592" s="411">
        <f t="shared" ca="1" si="499"/>
        <v>37411</v>
      </c>
      <c r="DN592" s="411">
        <f t="shared" ca="1" si="500"/>
        <v>37437</v>
      </c>
      <c r="DO592" s="410">
        <f t="shared" ca="1" si="501"/>
        <v>8</v>
      </c>
      <c r="DP592" s="410">
        <f t="shared" ca="1" si="502"/>
        <v>24</v>
      </c>
    </row>
    <row r="593" spans="27:120" x14ac:dyDescent="0.25">
      <c r="AA593" s="284">
        <f t="shared" ref="AA593:AF593" si="648">AA42</f>
        <v>38961</v>
      </c>
      <c r="AB593" s="284">
        <f t="shared" ref="AB593:AE593" ca="1" si="649">IF(OR(AB42&lt;=$AA593,AB42&gt;$AF593),100000,AB42)</f>
        <v>100000</v>
      </c>
      <c r="AC593" s="284">
        <f t="shared" ca="1" si="649"/>
        <v>39083</v>
      </c>
      <c r="AD593" s="284">
        <f t="shared" ca="1" si="649"/>
        <v>39114</v>
      </c>
      <c r="AE593" s="284">
        <f t="shared" ca="1" si="649"/>
        <v>39264</v>
      </c>
      <c r="AF593" s="284">
        <f t="shared" si="648"/>
        <v>39277</v>
      </c>
      <c r="AG593" s="238">
        <f t="shared" si="505"/>
        <v>18</v>
      </c>
      <c r="AH593" s="407">
        <f t="shared" si="506"/>
        <v>24</v>
      </c>
      <c r="AL593" s="112">
        <f t="shared" si="507"/>
        <v>38961</v>
      </c>
      <c r="AM593" s="112">
        <f t="shared" ca="1" si="508"/>
        <v>39083</v>
      </c>
      <c r="AN593" s="112">
        <f t="shared" ca="1" si="509"/>
        <v>39083</v>
      </c>
      <c r="AO593" s="112">
        <f t="shared" ca="1" si="510"/>
        <v>39114</v>
      </c>
      <c r="AP593" s="112">
        <f t="shared" ca="1" si="511"/>
        <v>39264</v>
      </c>
      <c r="AQ593" s="112">
        <f t="shared" si="512"/>
        <v>39277</v>
      </c>
      <c r="AT593" s="112">
        <f t="shared" si="513"/>
        <v>38961</v>
      </c>
      <c r="AU593" s="112">
        <f t="shared" ca="1" si="514"/>
        <v>39083</v>
      </c>
      <c r="AV593" s="112">
        <f t="shared" ca="1" si="515"/>
        <v>39083</v>
      </c>
      <c r="AW593" s="112">
        <f t="shared" ca="1" si="516"/>
        <v>39114</v>
      </c>
      <c r="AX593" s="112">
        <f t="shared" ca="1" si="517"/>
        <v>39264</v>
      </c>
      <c r="AY593" s="112">
        <f t="shared" si="518"/>
        <v>39277</v>
      </c>
      <c r="BA593" s="112">
        <f t="shared" si="519"/>
        <v>38961</v>
      </c>
      <c r="BB593" s="112">
        <f t="shared" ca="1" si="520"/>
        <v>39083</v>
      </c>
      <c r="BC593" s="112">
        <f t="shared" ca="1" si="521"/>
        <v>39083</v>
      </c>
      <c r="BD593" s="112">
        <f t="shared" ca="1" si="522"/>
        <v>39114</v>
      </c>
      <c r="BE593" s="112">
        <f t="shared" ca="1" si="523"/>
        <v>39264</v>
      </c>
      <c r="BF593" s="112">
        <f t="shared" si="524"/>
        <v>39277</v>
      </c>
      <c r="BI593" s="112">
        <f t="shared" si="525"/>
        <v>38961</v>
      </c>
      <c r="BJ593" s="112">
        <f t="shared" ca="1" si="526"/>
        <v>39083</v>
      </c>
      <c r="BK593" s="112">
        <f t="shared" ca="1" si="527"/>
        <v>39083</v>
      </c>
      <c r="BL593" s="112">
        <f t="shared" ca="1" si="528"/>
        <v>39114</v>
      </c>
      <c r="BM593" s="112">
        <f t="shared" ca="1" si="529"/>
        <v>39264</v>
      </c>
      <c r="BN593" s="112">
        <f t="shared" si="530"/>
        <v>39277</v>
      </c>
      <c r="BP593" s="238">
        <f t="shared" ca="1" si="594"/>
        <v>0</v>
      </c>
      <c r="BQ593" s="238">
        <f t="shared" si="643"/>
        <v>575</v>
      </c>
      <c r="BR593" t="s">
        <v>446</v>
      </c>
      <c r="BS593" t="s">
        <v>447</v>
      </c>
      <c r="BT593" s="114">
        <f t="shared" ca="1" si="482"/>
        <v>1</v>
      </c>
      <c r="BU593" s="112"/>
      <c r="BV593">
        <f t="shared" ca="1" si="587"/>
        <v>0</v>
      </c>
      <c r="BW593" s="112">
        <f t="shared" ca="1" si="484"/>
        <v>36454</v>
      </c>
      <c r="BX593" s="112">
        <f t="shared" ca="1" si="637"/>
        <v>36453</v>
      </c>
      <c r="BY593">
        <f t="shared" ca="1" si="568"/>
        <v>7</v>
      </c>
      <c r="BZ593">
        <f t="shared" ca="1" si="569"/>
        <v>24</v>
      </c>
      <c r="CB593">
        <f t="shared" ca="1" si="534"/>
        <v>0</v>
      </c>
      <c r="CC593" s="112">
        <f t="shared" ca="1" si="535"/>
        <v>100000</v>
      </c>
      <c r="CD593" s="112">
        <f t="shared" ca="1" si="536"/>
        <v>36453</v>
      </c>
      <c r="CE593">
        <f t="shared" ca="1" si="537"/>
        <v>7</v>
      </c>
      <c r="CF593">
        <f t="shared" ca="1" si="538"/>
        <v>24</v>
      </c>
      <c r="CH593" s="112">
        <f t="shared" ca="1" si="644"/>
        <v>36454</v>
      </c>
      <c r="CI593">
        <f t="shared" ca="1" si="645"/>
        <v>0</v>
      </c>
      <c r="CJ593">
        <f t="shared" ref="CJ593" ca="1" si="650">IF(AND(CI593=0,CJ594=0,CJ595=0,CC593&lt;100000),1,0)</f>
        <v>0</v>
      </c>
      <c r="CK593" s="112">
        <f t="shared" ref="CK593:CK656" ca="1" si="651">IF(CJ593=0,INDIRECT(CONCATENATE("af",BQ593)),1)</f>
        <v>36454</v>
      </c>
      <c r="CM593" s="112"/>
      <c r="CN593" s="260">
        <f t="shared" ca="1" si="488"/>
        <v>100000</v>
      </c>
      <c r="CO593" s="112">
        <f t="shared" ca="1" si="647"/>
        <v>36453</v>
      </c>
      <c r="CP593" s="238">
        <f t="shared" ref="CP593:CP656" ca="1" si="652">CE593</f>
        <v>7</v>
      </c>
      <c r="CQ593" s="328">
        <f t="shared" ref="CQ593:CQ656" ca="1" si="653">CF593</f>
        <v>24</v>
      </c>
      <c r="CS593" s="112">
        <f t="shared" ca="1" si="492"/>
        <v>100000</v>
      </c>
      <c r="CT593" s="112">
        <f t="shared" ca="1" si="542"/>
        <v>36453</v>
      </c>
      <c r="CU593" s="238">
        <f t="shared" ca="1" si="543"/>
        <v>7</v>
      </c>
      <c r="CV593" s="238">
        <f t="shared" ca="1" si="544"/>
        <v>24</v>
      </c>
      <c r="CY593">
        <f t="shared" si="550"/>
        <v>23</v>
      </c>
      <c r="DA593" s="112">
        <f t="shared" ca="1" si="551"/>
        <v>37411</v>
      </c>
      <c r="DC593">
        <f t="shared" si="552"/>
        <v>593</v>
      </c>
      <c r="DE593" t="str">
        <f t="shared" si="545"/>
        <v>cs593:dc771</v>
      </c>
      <c r="DF593">
        <f t="shared" ca="1" si="546"/>
        <v>614</v>
      </c>
      <c r="DG593" s="412">
        <f t="shared" ca="1" si="494"/>
        <v>0</v>
      </c>
      <c r="DH593" s="411">
        <f t="shared" ca="1" si="495"/>
        <v>37411</v>
      </c>
      <c r="DI593" s="411">
        <f t="shared" ca="1" si="496"/>
        <v>37437</v>
      </c>
      <c r="DJ593" s="410">
        <f t="shared" ca="1" si="497"/>
        <v>8</v>
      </c>
      <c r="DK593" s="410">
        <f t="shared" ca="1" si="498"/>
        <v>24</v>
      </c>
      <c r="DM593" s="411">
        <f t="shared" ca="1" si="499"/>
        <v>37411</v>
      </c>
      <c r="DN593" s="411">
        <f t="shared" ca="1" si="500"/>
        <v>37437</v>
      </c>
      <c r="DO593" s="410">
        <f t="shared" ca="1" si="501"/>
        <v>8</v>
      </c>
      <c r="DP593" s="410">
        <f t="shared" ca="1" si="502"/>
        <v>24</v>
      </c>
    </row>
    <row r="594" spans="27:120" x14ac:dyDescent="0.25">
      <c r="AA594" s="284">
        <f t="shared" ref="AA594:AF594" si="654">AA43</f>
        <v>39338</v>
      </c>
      <c r="AB594" s="284">
        <f t="shared" ref="AB594:AE594" ca="1" si="655">IF(OR(AB43&lt;=$AA594,AB43&gt;$AF594),100000,AB43)</f>
        <v>100000</v>
      </c>
      <c r="AC594" s="284">
        <f t="shared" ca="1" si="655"/>
        <v>39447</v>
      </c>
      <c r="AD594" s="284">
        <f t="shared" ca="1" si="655"/>
        <v>39539</v>
      </c>
      <c r="AE594" s="284">
        <f t="shared" ca="1" si="655"/>
        <v>100000</v>
      </c>
      <c r="AF594" s="284">
        <f t="shared" si="654"/>
        <v>39629</v>
      </c>
      <c r="AG594" s="238">
        <f t="shared" si="505"/>
        <v>18</v>
      </c>
      <c r="AH594" s="407">
        <f t="shared" si="506"/>
        <v>24</v>
      </c>
      <c r="AL594" s="112">
        <f t="shared" si="507"/>
        <v>39338</v>
      </c>
      <c r="AM594" s="112">
        <f t="shared" ca="1" si="508"/>
        <v>39447</v>
      </c>
      <c r="AN594" s="112">
        <f t="shared" ca="1" si="509"/>
        <v>39447</v>
      </c>
      <c r="AO594" s="112">
        <f t="shared" ca="1" si="510"/>
        <v>39539</v>
      </c>
      <c r="AP594" s="112">
        <f t="shared" ca="1" si="511"/>
        <v>39629</v>
      </c>
      <c r="AQ594" s="112">
        <f t="shared" si="512"/>
        <v>39629</v>
      </c>
      <c r="AT594" s="112">
        <f t="shared" si="513"/>
        <v>39338</v>
      </c>
      <c r="AU594" s="112">
        <f t="shared" ca="1" si="514"/>
        <v>39447</v>
      </c>
      <c r="AV594" s="112">
        <f t="shared" ca="1" si="515"/>
        <v>39447</v>
      </c>
      <c r="AW594" s="112">
        <f t="shared" ca="1" si="516"/>
        <v>39539</v>
      </c>
      <c r="AX594" s="112">
        <f t="shared" ca="1" si="517"/>
        <v>39629</v>
      </c>
      <c r="AY594" s="112">
        <f t="shared" si="518"/>
        <v>39629</v>
      </c>
      <c r="BA594" s="112">
        <f t="shared" si="519"/>
        <v>39338</v>
      </c>
      <c r="BB594" s="112">
        <f t="shared" ca="1" si="520"/>
        <v>39447</v>
      </c>
      <c r="BC594" s="112">
        <f t="shared" ca="1" si="521"/>
        <v>39447</v>
      </c>
      <c r="BD594" s="112">
        <f t="shared" ca="1" si="522"/>
        <v>39539</v>
      </c>
      <c r="BE594" s="112">
        <f t="shared" ca="1" si="523"/>
        <v>39629</v>
      </c>
      <c r="BF594" s="112">
        <f t="shared" si="524"/>
        <v>39629</v>
      </c>
      <c r="BI594" s="112">
        <f t="shared" si="525"/>
        <v>39338</v>
      </c>
      <c r="BJ594" s="112">
        <f t="shared" ca="1" si="526"/>
        <v>39447</v>
      </c>
      <c r="BK594" s="112">
        <f t="shared" ca="1" si="527"/>
        <v>39447</v>
      </c>
      <c r="BL594" s="112">
        <f t="shared" ca="1" si="528"/>
        <v>39539</v>
      </c>
      <c r="BM594" s="112">
        <f t="shared" ca="1" si="529"/>
        <v>39629</v>
      </c>
      <c r="BN594" s="112">
        <f t="shared" si="530"/>
        <v>39629</v>
      </c>
      <c r="BP594" s="238">
        <f t="shared" ca="1" si="594"/>
        <v>0</v>
      </c>
      <c r="BQ594" s="238">
        <f t="shared" si="643"/>
        <v>575</v>
      </c>
      <c r="BR594" t="s">
        <v>447</v>
      </c>
      <c r="BS594" t="s">
        <v>448</v>
      </c>
      <c r="BT594" s="114">
        <f t="shared" ca="1" si="482"/>
        <v>1</v>
      </c>
      <c r="BU594" s="112"/>
      <c r="BV594">
        <f t="shared" ca="1" si="587"/>
        <v>0</v>
      </c>
      <c r="BW594" s="112">
        <f t="shared" ca="1" si="484"/>
        <v>36454</v>
      </c>
      <c r="BX594" s="112">
        <f t="shared" ref="BX594:BX595" ca="1" si="656">INDIRECT(CONCATENATE(BS594,BQ594))</f>
        <v>36454</v>
      </c>
      <c r="BY594">
        <f t="shared" ca="1" si="568"/>
        <v>7</v>
      </c>
      <c r="BZ594">
        <f t="shared" ca="1" si="569"/>
        <v>24</v>
      </c>
      <c r="CB594">
        <f t="shared" ca="1" si="534"/>
        <v>0</v>
      </c>
      <c r="CC594" s="112">
        <f t="shared" ca="1" si="535"/>
        <v>100000</v>
      </c>
      <c r="CD594" s="112">
        <f t="shared" ca="1" si="536"/>
        <v>36454</v>
      </c>
      <c r="CE594">
        <f t="shared" ca="1" si="537"/>
        <v>7</v>
      </c>
      <c r="CF594">
        <f t="shared" ca="1" si="538"/>
        <v>24</v>
      </c>
      <c r="CH594" s="112">
        <f t="shared" ca="1" si="644"/>
        <v>36454</v>
      </c>
      <c r="CI594">
        <f t="shared" ca="1" si="645"/>
        <v>0</v>
      </c>
      <c r="CJ594">
        <f t="shared" ref="CJ594" ca="1" si="657">IF(AND(CI594=0,CJ595=0,CC594&lt;100000),1,0)</f>
        <v>0</v>
      </c>
      <c r="CK594" s="112">
        <f t="shared" ca="1" si="651"/>
        <v>36454</v>
      </c>
      <c r="CM594" s="112"/>
      <c r="CN594" s="260">
        <f t="shared" ca="1" si="488"/>
        <v>100000</v>
      </c>
      <c r="CO594" s="112">
        <f t="shared" ca="1" si="647"/>
        <v>36454</v>
      </c>
      <c r="CP594" s="238">
        <f t="shared" ca="1" si="652"/>
        <v>7</v>
      </c>
      <c r="CQ594" s="328">
        <f t="shared" ca="1" si="653"/>
        <v>24</v>
      </c>
      <c r="CS594" s="112">
        <f t="shared" ca="1" si="492"/>
        <v>100000</v>
      </c>
      <c r="CT594" s="112">
        <f t="shared" ca="1" si="542"/>
        <v>36454</v>
      </c>
      <c r="CU594" s="238">
        <f t="shared" ca="1" si="543"/>
        <v>7</v>
      </c>
      <c r="CV594" s="238">
        <f t="shared" ca="1" si="544"/>
        <v>24</v>
      </c>
      <c r="CY594">
        <f t="shared" si="550"/>
        <v>24</v>
      </c>
      <c r="DA594" s="112">
        <f t="shared" ca="1" si="551"/>
        <v>37537</v>
      </c>
      <c r="DC594">
        <f t="shared" si="552"/>
        <v>594</v>
      </c>
      <c r="DE594" t="str">
        <f t="shared" si="545"/>
        <v>cs594:dc771</v>
      </c>
      <c r="DF594">
        <f t="shared" ca="1" si="546"/>
        <v>641</v>
      </c>
      <c r="DG594" s="412">
        <f t="shared" ca="1" si="494"/>
        <v>0</v>
      </c>
      <c r="DH594" s="411">
        <f t="shared" ca="1" si="495"/>
        <v>37537</v>
      </c>
      <c r="DI594" s="411">
        <f t="shared" ca="1" si="496"/>
        <v>37551</v>
      </c>
      <c r="DJ594" s="410">
        <f t="shared" ca="1" si="497"/>
        <v>6</v>
      </c>
      <c r="DK594" s="410">
        <f t="shared" ca="1" si="498"/>
        <v>24</v>
      </c>
      <c r="DM594" s="411">
        <f t="shared" ca="1" si="499"/>
        <v>37537</v>
      </c>
      <c r="DN594" s="411">
        <f t="shared" ca="1" si="500"/>
        <v>37551</v>
      </c>
      <c r="DO594" s="410">
        <f t="shared" ca="1" si="501"/>
        <v>6</v>
      </c>
      <c r="DP594" s="410">
        <f t="shared" ca="1" si="502"/>
        <v>24</v>
      </c>
    </row>
    <row r="595" spans="27:120" ht="15.75" thickBot="1" x14ac:dyDescent="0.3">
      <c r="AA595" s="284">
        <f t="shared" ref="AA595:AF595" si="658">AA44</f>
        <v>39692</v>
      </c>
      <c r="AB595" s="284">
        <f t="shared" ref="AB595:AE595" ca="1" si="659">IF(OR(AB44&lt;=$AA595,AB44&gt;$AF595),100000,AB44)</f>
        <v>100000</v>
      </c>
      <c r="AC595" s="284">
        <f t="shared" ca="1" si="659"/>
        <v>39814</v>
      </c>
      <c r="AD595" s="284">
        <f t="shared" ca="1" si="659"/>
        <v>100000</v>
      </c>
      <c r="AE595" s="284">
        <f t="shared" ca="1" si="659"/>
        <v>100000</v>
      </c>
      <c r="AF595" s="284">
        <f t="shared" si="658"/>
        <v>39994</v>
      </c>
      <c r="AG595" s="238">
        <f t="shared" si="505"/>
        <v>18</v>
      </c>
      <c r="AH595" s="407">
        <f t="shared" si="506"/>
        <v>24</v>
      </c>
      <c r="AL595" s="112">
        <f t="shared" si="507"/>
        <v>39692</v>
      </c>
      <c r="AM595" s="112">
        <f t="shared" ca="1" si="508"/>
        <v>39814</v>
      </c>
      <c r="AN595" s="112">
        <f t="shared" ca="1" si="509"/>
        <v>39814</v>
      </c>
      <c r="AO595" s="112">
        <f t="shared" ca="1" si="510"/>
        <v>100000</v>
      </c>
      <c r="AP595" s="112">
        <f t="shared" ca="1" si="511"/>
        <v>39994</v>
      </c>
      <c r="AQ595" s="112">
        <f t="shared" si="512"/>
        <v>39994</v>
      </c>
      <c r="AT595" s="112">
        <f t="shared" si="513"/>
        <v>39692</v>
      </c>
      <c r="AU595" s="112">
        <f t="shared" ca="1" si="514"/>
        <v>39814</v>
      </c>
      <c r="AV595" s="112">
        <f t="shared" ca="1" si="515"/>
        <v>39814</v>
      </c>
      <c r="AW595" s="112">
        <f t="shared" ca="1" si="516"/>
        <v>39994</v>
      </c>
      <c r="AX595" s="112">
        <f t="shared" ca="1" si="517"/>
        <v>39994</v>
      </c>
      <c r="AY595" s="112">
        <f t="shared" si="518"/>
        <v>39994</v>
      </c>
      <c r="BA595" s="112">
        <f t="shared" si="519"/>
        <v>39692</v>
      </c>
      <c r="BB595" s="112">
        <f t="shared" ca="1" si="520"/>
        <v>39814</v>
      </c>
      <c r="BC595" s="112">
        <f t="shared" ca="1" si="521"/>
        <v>39814</v>
      </c>
      <c r="BD595" s="112">
        <f t="shared" ca="1" si="522"/>
        <v>39994</v>
      </c>
      <c r="BE595" s="112">
        <f t="shared" ca="1" si="523"/>
        <v>39994</v>
      </c>
      <c r="BF595" s="112">
        <f t="shared" si="524"/>
        <v>39994</v>
      </c>
      <c r="BI595" s="112">
        <f t="shared" si="525"/>
        <v>39692</v>
      </c>
      <c r="BJ595" s="112">
        <f t="shared" ca="1" si="526"/>
        <v>39814</v>
      </c>
      <c r="BK595" s="112">
        <f t="shared" ca="1" si="527"/>
        <v>39814</v>
      </c>
      <c r="BL595" s="112">
        <f t="shared" ca="1" si="528"/>
        <v>39994</v>
      </c>
      <c r="BM595" s="112">
        <f t="shared" ca="1" si="529"/>
        <v>39994</v>
      </c>
      <c r="BN595" s="112">
        <f t="shared" si="530"/>
        <v>39994</v>
      </c>
      <c r="BP595" s="238">
        <f t="shared" ca="1" si="594"/>
        <v>0</v>
      </c>
      <c r="BQ595" s="238">
        <f t="shared" si="643"/>
        <v>575</v>
      </c>
      <c r="BR595" t="s">
        <v>448</v>
      </c>
      <c r="BS595" t="s">
        <v>449</v>
      </c>
      <c r="BT595" s="114">
        <f t="shared" ca="1" si="482"/>
        <v>1</v>
      </c>
      <c r="BU595" s="112"/>
      <c r="BV595">
        <f t="shared" ca="1" si="587"/>
        <v>0</v>
      </c>
      <c r="BW595" s="112">
        <f t="shared" ca="1" si="484"/>
        <v>36454</v>
      </c>
      <c r="BX595" s="112">
        <f t="shared" ca="1" si="656"/>
        <v>36454</v>
      </c>
      <c r="BY595">
        <f t="shared" ca="1" si="568"/>
        <v>7</v>
      </c>
      <c r="BZ595">
        <f t="shared" ca="1" si="569"/>
        <v>24</v>
      </c>
      <c r="CB595">
        <f t="shared" ca="1" si="534"/>
        <v>0</v>
      </c>
      <c r="CC595" s="112">
        <f t="shared" ca="1" si="535"/>
        <v>100000</v>
      </c>
      <c r="CD595" s="112">
        <f t="shared" ca="1" si="536"/>
        <v>36454</v>
      </c>
      <c r="CE595">
        <f t="shared" ca="1" si="537"/>
        <v>7</v>
      </c>
      <c r="CF595">
        <f t="shared" ca="1" si="538"/>
        <v>24</v>
      </c>
      <c r="CH595" s="112">
        <f t="shared" ca="1" si="644"/>
        <v>36454</v>
      </c>
      <c r="CI595">
        <f t="shared" ca="1" si="645"/>
        <v>0</v>
      </c>
      <c r="CJ595">
        <f t="shared" ref="CJ595" ca="1" si="660">IF(AND(CI595=0,CC595&lt;100000),1,0)</f>
        <v>0</v>
      </c>
      <c r="CK595" s="112">
        <f t="shared" ca="1" si="651"/>
        <v>36454</v>
      </c>
      <c r="CM595" s="112"/>
      <c r="CN595" s="261">
        <f t="shared" ref="CN595" ca="1" si="661">IF(AND(CN591=100000,CN592=100000,CN593=100000,CN594=100000),INDIRECT(CONCATENATE("aa",BQ595)),CC595)</f>
        <v>100000</v>
      </c>
      <c r="CO595" s="324">
        <f t="shared" ca="1" si="647"/>
        <v>36454</v>
      </c>
      <c r="CP595" s="256">
        <f t="shared" ca="1" si="652"/>
        <v>7</v>
      </c>
      <c r="CQ595" s="329">
        <f t="shared" ca="1" si="653"/>
        <v>24</v>
      </c>
      <c r="CS595" s="112">
        <f t="shared" ca="1" si="492"/>
        <v>100000</v>
      </c>
      <c r="CT595" s="112">
        <f t="shared" ca="1" si="542"/>
        <v>36454</v>
      </c>
      <c r="CU595" s="238">
        <f t="shared" ca="1" si="543"/>
        <v>7</v>
      </c>
      <c r="CV595" s="238">
        <f t="shared" ca="1" si="544"/>
        <v>24</v>
      </c>
      <c r="CY595">
        <f t="shared" si="550"/>
        <v>25</v>
      </c>
      <c r="DA595" s="112">
        <f t="shared" ca="1" si="551"/>
        <v>37540</v>
      </c>
      <c r="DC595">
        <f t="shared" si="552"/>
        <v>595</v>
      </c>
      <c r="DE595" t="str">
        <f t="shared" si="545"/>
        <v>cs595:dc771</v>
      </c>
      <c r="DF595">
        <f t="shared" ca="1" si="546"/>
        <v>646</v>
      </c>
      <c r="DG595" s="412">
        <f t="shared" ca="1" si="494"/>
        <v>0</v>
      </c>
      <c r="DH595" s="411">
        <f t="shared" ca="1" si="495"/>
        <v>37540</v>
      </c>
      <c r="DI595" s="411">
        <f t="shared" ca="1" si="496"/>
        <v>37574</v>
      </c>
      <c r="DJ595" s="410">
        <f t="shared" ca="1" si="497"/>
        <v>8</v>
      </c>
      <c r="DK595" s="410">
        <f t="shared" ca="1" si="498"/>
        <v>24</v>
      </c>
      <c r="DM595" s="411">
        <f t="shared" ca="1" si="499"/>
        <v>37540</v>
      </c>
      <c r="DN595" s="411">
        <f t="shared" ca="1" si="500"/>
        <v>37574</v>
      </c>
      <c r="DO595" s="410">
        <f t="shared" ca="1" si="501"/>
        <v>8</v>
      </c>
      <c r="DP595" s="410">
        <f t="shared" ca="1" si="502"/>
        <v>24</v>
      </c>
    </row>
    <row r="596" spans="27:120" x14ac:dyDescent="0.25">
      <c r="AA596" s="284">
        <f t="shared" ref="AA596:AF596" si="662">AA45</f>
        <v>40063</v>
      </c>
      <c r="AB596" s="284">
        <f t="shared" ref="AB596:AE596" ca="1" si="663">IF(OR(AB45&lt;=$AA596,AB45&gt;$AF596),100000,AB45)</f>
        <v>100000</v>
      </c>
      <c r="AC596" s="284">
        <f t="shared" ca="1" si="663"/>
        <v>100000</v>
      </c>
      <c r="AD596" s="284">
        <f t="shared" ca="1" si="663"/>
        <v>100000</v>
      </c>
      <c r="AE596" s="284">
        <f t="shared" ca="1" si="663"/>
        <v>100000</v>
      </c>
      <c r="AF596" s="284">
        <f t="shared" si="662"/>
        <v>40063</v>
      </c>
      <c r="AG596" s="238">
        <f t="shared" si="505"/>
        <v>18</v>
      </c>
      <c r="AH596" s="407">
        <f t="shared" si="506"/>
        <v>24</v>
      </c>
      <c r="AL596" s="112">
        <f t="shared" si="507"/>
        <v>40063</v>
      </c>
      <c r="AM596" s="112">
        <f t="shared" ca="1" si="508"/>
        <v>100000</v>
      </c>
      <c r="AN596" s="112">
        <f t="shared" ca="1" si="509"/>
        <v>100000</v>
      </c>
      <c r="AO596" s="112">
        <f t="shared" ca="1" si="510"/>
        <v>100000</v>
      </c>
      <c r="AP596" s="112">
        <f t="shared" ca="1" si="511"/>
        <v>40063</v>
      </c>
      <c r="AQ596" s="112">
        <f t="shared" si="512"/>
        <v>40063</v>
      </c>
      <c r="AT596" s="112">
        <f t="shared" si="513"/>
        <v>40063</v>
      </c>
      <c r="AU596" s="112">
        <f t="shared" ca="1" si="514"/>
        <v>100000</v>
      </c>
      <c r="AV596" s="112">
        <f t="shared" ca="1" si="515"/>
        <v>100000</v>
      </c>
      <c r="AW596" s="112">
        <f t="shared" ca="1" si="516"/>
        <v>40063</v>
      </c>
      <c r="AX596" s="112">
        <f t="shared" ca="1" si="517"/>
        <v>40063</v>
      </c>
      <c r="AY596" s="112">
        <f t="shared" si="518"/>
        <v>40063</v>
      </c>
      <c r="BA596" s="112">
        <f t="shared" si="519"/>
        <v>40063</v>
      </c>
      <c r="BB596" s="112">
        <f t="shared" ca="1" si="520"/>
        <v>100000</v>
      </c>
      <c r="BC596" s="112">
        <f t="shared" ca="1" si="521"/>
        <v>40063</v>
      </c>
      <c r="BD596" s="112">
        <f t="shared" ca="1" si="522"/>
        <v>40063</v>
      </c>
      <c r="BE596" s="112">
        <f t="shared" ca="1" si="523"/>
        <v>40063</v>
      </c>
      <c r="BF596" s="112">
        <f t="shared" si="524"/>
        <v>40063</v>
      </c>
      <c r="BI596" s="112">
        <f t="shared" si="525"/>
        <v>40063</v>
      </c>
      <c r="BJ596" s="112">
        <f t="shared" ca="1" si="526"/>
        <v>40063</v>
      </c>
      <c r="BK596" s="112">
        <f t="shared" ca="1" si="527"/>
        <v>40063</v>
      </c>
      <c r="BL596" s="112">
        <f t="shared" ca="1" si="528"/>
        <v>40063</v>
      </c>
      <c r="BM596" s="112">
        <f t="shared" ca="1" si="529"/>
        <v>40063</v>
      </c>
      <c r="BN596" s="112">
        <f t="shared" si="530"/>
        <v>40063</v>
      </c>
      <c r="BP596" s="238">
        <f t="shared" ca="1" si="594"/>
        <v>1</v>
      </c>
      <c r="BQ596" s="238">
        <f t="shared" ref="BQ596" si="664">BQ595+1</f>
        <v>576</v>
      </c>
      <c r="BR596" s="112" t="s">
        <v>444</v>
      </c>
      <c r="BS596" s="112" t="s">
        <v>445</v>
      </c>
      <c r="BT596" s="114">
        <f t="shared" ca="1" si="482"/>
        <v>0</v>
      </c>
      <c r="BU596" s="112"/>
      <c r="BV596">
        <f t="shared" ca="1" si="587"/>
        <v>1</v>
      </c>
      <c r="BW596" s="112">
        <f t="shared" ca="1" si="484"/>
        <v>36456</v>
      </c>
      <c r="BX596" s="112">
        <f t="shared" ref="BX596:BX598" ca="1" si="665">INDIRECT(CONCATENATE(BS596,BQ596))-1</f>
        <v>36707</v>
      </c>
      <c r="BY596">
        <f t="shared" ca="1" si="568"/>
        <v>18</v>
      </c>
      <c r="BZ596">
        <f t="shared" ca="1" si="569"/>
        <v>24</v>
      </c>
      <c r="CB596">
        <f t="shared" ca="1" si="534"/>
        <v>0</v>
      </c>
      <c r="CC596" s="112">
        <f t="shared" ca="1" si="535"/>
        <v>36456</v>
      </c>
      <c r="CD596" s="112">
        <f t="shared" ca="1" si="536"/>
        <v>36707</v>
      </c>
      <c r="CE596">
        <f t="shared" ca="1" si="537"/>
        <v>18</v>
      </c>
      <c r="CF596">
        <f t="shared" ca="1" si="538"/>
        <v>24</v>
      </c>
      <c r="CH596" s="112">
        <f t="shared" ca="1" si="644"/>
        <v>36769</v>
      </c>
      <c r="CI596">
        <f t="shared" ref="CI596" ca="1" si="666">CB596+CB597+CB598+CB599+CB600</f>
        <v>0</v>
      </c>
      <c r="CJ596">
        <v>0</v>
      </c>
      <c r="CK596" s="112">
        <f t="shared" ca="1" si="651"/>
        <v>36769</v>
      </c>
      <c r="CM596" s="112"/>
      <c r="CN596" s="408">
        <f t="shared" ca="1" si="488"/>
        <v>36456</v>
      </c>
      <c r="CO596" s="326">
        <f t="shared" ref="CO596" ca="1" si="667">CD596</f>
        <v>36707</v>
      </c>
      <c r="CP596" s="333">
        <f t="shared" ca="1" si="652"/>
        <v>18</v>
      </c>
      <c r="CQ596" s="327">
        <f t="shared" ca="1" si="653"/>
        <v>24</v>
      </c>
      <c r="CS596" s="112">
        <f t="shared" ca="1" si="492"/>
        <v>36456</v>
      </c>
      <c r="CT596" s="112">
        <f t="shared" ref="CT596" ca="1" si="668">IF(AND( CN597=100000,CN598=100000,CN599=100000,CN600=100000),CO600,                             CO596)</f>
        <v>36707</v>
      </c>
      <c r="CU596" s="238">
        <f t="shared" ca="1" si="543"/>
        <v>18</v>
      </c>
      <c r="CV596" s="238">
        <f t="shared" ca="1" si="544"/>
        <v>24</v>
      </c>
      <c r="CY596">
        <f t="shared" si="550"/>
        <v>26</v>
      </c>
      <c r="DA596" s="112">
        <f t="shared" ca="1" si="551"/>
        <v>37629</v>
      </c>
      <c r="DC596">
        <f t="shared" si="552"/>
        <v>596</v>
      </c>
      <c r="DE596" t="str">
        <f t="shared" si="545"/>
        <v>cs596:dc771</v>
      </c>
      <c r="DF596">
        <f t="shared" ca="1" si="546"/>
        <v>651</v>
      </c>
      <c r="DG596" s="412">
        <f t="shared" ca="1" si="494"/>
        <v>0</v>
      </c>
      <c r="DH596" s="411">
        <f t="shared" ca="1" si="495"/>
        <v>37629</v>
      </c>
      <c r="DI596" s="411">
        <f t="shared" ca="1" si="496"/>
        <v>37663</v>
      </c>
      <c r="DJ596" s="410">
        <f t="shared" ca="1" si="497"/>
        <v>16</v>
      </c>
      <c r="DK596" s="410">
        <f t="shared" ca="1" si="498"/>
        <v>24</v>
      </c>
      <c r="DM596" s="411">
        <f t="shared" ca="1" si="499"/>
        <v>37629</v>
      </c>
      <c r="DN596" s="411">
        <f t="shared" ca="1" si="500"/>
        <v>37663</v>
      </c>
      <c r="DO596" s="410">
        <f t="shared" ca="1" si="501"/>
        <v>16</v>
      </c>
      <c r="DP596" s="410">
        <f t="shared" ca="1" si="502"/>
        <v>24</v>
      </c>
    </row>
    <row r="597" spans="27:120" x14ac:dyDescent="0.25">
      <c r="AA597" s="284">
        <f t="shared" ref="AA597:AF597" si="669">AA46</f>
        <v>40066</v>
      </c>
      <c r="AB597" s="284">
        <f t="shared" ref="AB597:AE597" ca="1" si="670">IF(OR(AB46&lt;=$AA597,AB46&gt;$AF597),100000,AB46)</f>
        <v>100000</v>
      </c>
      <c r="AC597" s="284">
        <f t="shared" ca="1" si="670"/>
        <v>40171</v>
      </c>
      <c r="AD597" s="284">
        <f t="shared" ca="1" si="670"/>
        <v>40360</v>
      </c>
      <c r="AE597" s="284">
        <f t="shared" ca="1" si="670"/>
        <v>100000</v>
      </c>
      <c r="AF597" s="284">
        <f t="shared" si="669"/>
        <v>40421</v>
      </c>
      <c r="AG597" s="238">
        <f t="shared" si="505"/>
        <v>18</v>
      </c>
      <c r="AH597" s="407">
        <f t="shared" si="506"/>
        <v>24</v>
      </c>
      <c r="AL597" s="112">
        <f t="shared" si="507"/>
        <v>40066</v>
      </c>
      <c r="AM597" s="112">
        <f t="shared" ca="1" si="508"/>
        <v>40171</v>
      </c>
      <c r="AN597" s="112">
        <f t="shared" ca="1" si="509"/>
        <v>40171</v>
      </c>
      <c r="AO597" s="112">
        <f t="shared" ca="1" si="510"/>
        <v>40360</v>
      </c>
      <c r="AP597" s="112">
        <f t="shared" ca="1" si="511"/>
        <v>40421</v>
      </c>
      <c r="AQ597" s="112">
        <f t="shared" si="512"/>
        <v>40421</v>
      </c>
      <c r="AT597" s="112">
        <f t="shared" si="513"/>
        <v>40066</v>
      </c>
      <c r="AU597" s="112">
        <f t="shared" ca="1" si="514"/>
        <v>40171</v>
      </c>
      <c r="AV597" s="112">
        <f t="shared" ca="1" si="515"/>
        <v>40171</v>
      </c>
      <c r="AW597" s="112">
        <f t="shared" ca="1" si="516"/>
        <v>40360</v>
      </c>
      <c r="AX597" s="112">
        <f t="shared" ca="1" si="517"/>
        <v>40421</v>
      </c>
      <c r="AY597" s="112">
        <f t="shared" si="518"/>
        <v>40421</v>
      </c>
      <c r="BA597" s="112">
        <f t="shared" si="519"/>
        <v>40066</v>
      </c>
      <c r="BB597" s="112">
        <f t="shared" ca="1" si="520"/>
        <v>40171</v>
      </c>
      <c r="BC597" s="112">
        <f t="shared" ca="1" si="521"/>
        <v>40171</v>
      </c>
      <c r="BD597" s="112">
        <f t="shared" ca="1" si="522"/>
        <v>40360</v>
      </c>
      <c r="BE597" s="112">
        <f t="shared" ca="1" si="523"/>
        <v>40421</v>
      </c>
      <c r="BF597" s="112">
        <f t="shared" si="524"/>
        <v>40421</v>
      </c>
      <c r="BI597" s="112">
        <f t="shared" si="525"/>
        <v>40066</v>
      </c>
      <c r="BJ597" s="112">
        <f t="shared" ca="1" si="526"/>
        <v>40171</v>
      </c>
      <c r="BK597" s="112">
        <f t="shared" ca="1" si="527"/>
        <v>40171</v>
      </c>
      <c r="BL597" s="112">
        <f t="shared" ca="1" si="528"/>
        <v>40360</v>
      </c>
      <c r="BM597" s="112">
        <f t="shared" ca="1" si="529"/>
        <v>40421</v>
      </c>
      <c r="BN597" s="112">
        <f t="shared" si="530"/>
        <v>40421</v>
      </c>
      <c r="BP597" s="238">
        <f t="shared" ca="1" si="594"/>
        <v>0</v>
      </c>
      <c r="BQ597" s="238">
        <f t="shared" ref="BQ597:BQ600" si="671">BQ596</f>
        <v>576</v>
      </c>
      <c r="BR597" t="s">
        <v>445</v>
      </c>
      <c r="BS597" t="s">
        <v>446</v>
      </c>
      <c r="BT597" s="114">
        <f t="shared" ca="1" si="482"/>
        <v>0</v>
      </c>
      <c r="BU597" s="112"/>
      <c r="BV597">
        <f t="shared" ca="1" si="587"/>
        <v>1</v>
      </c>
      <c r="BW597" s="112">
        <f t="shared" ca="1" si="484"/>
        <v>36708</v>
      </c>
      <c r="BX597" s="112">
        <f t="shared" ca="1" si="665"/>
        <v>36707</v>
      </c>
      <c r="BY597">
        <f t="shared" ca="1" si="568"/>
        <v>18</v>
      </c>
      <c r="BZ597">
        <f t="shared" ca="1" si="569"/>
        <v>24</v>
      </c>
      <c r="CB597">
        <f t="shared" ca="1" si="534"/>
        <v>0</v>
      </c>
      <c r="CC597" s="112">
        <f t="shared" ca="1" si="535"/>
        <v>100000</v>
      </c>
      <c r="CD597" s="112">
        <f t="shared" ca="1" si="536"/>
        <v>36707</v>
      </c>
      <c r="CE597">
        <f t="shared" ca="1" si="537"/>
        <v>18</v>
      </c>
      <c r="CF597">
        <f t="shared" ca="1" si="538"/>
        <v>24</v>
      </c>
      <c r="CH597" s="112">
        <f t="shared" ca="1" si="644"/>
        <v>36769</v>
      </c>
      <c r="CI597">
        <f t="shared" ref="CI597:CI600" ca="1" si="672">CI596</f>
        <v>0</v>
      </c>
      <c r="CJ597">
        <f t="shared" ref="CJ597" ca="1" si="673">IF(AND(CI597=0,CJ598=0,CJ599=0,CJ600=0,CC597&lt;100000),1,0)</f>
        <v>0</v>
      </c>
      <c r="CK597" s="112">
        <f t="shared" ca="1" si="651"/>
        <v>36769</v>
      </c>
      <c r="CM597" s="112"/>
      <c r="CN597" s="260">
        <f t="shared" ca="1" si="488"/>
        <v>100000</v>
      </c>
      <c r="CO597" s="112">
        <f t="shared" ref="CO597:CO600" ca="1" si="674">IF(CJ597=1,CH597,CD597)</f>
        <v>36707</v>
      </c>
      <c r="CP597" s="238">
        <f t="shared" ca="1" si="652"/>
        <v>18</v>
      </c>
      <c r="CQ597" s="328">
        <f t="shared" ca="1" si="653"/>
        <v>24</v>
      </c>
      <c r="CS597" s="112">
        <f t="shared" ca="1" si="492"/>
        <v>100000</v>
      </c>
      <c r="CT597" s="112">
        <f t="shared" ca="1" si="542"/>
        <v>36707</v>
      </c>
      <c r="CU597" s="238">
        <f t="shared" ca="1" si="543"/>
        <v>18</v>
      </c>
      <c r="CV597" s="238">
        <f t="shared" ca="1" si="544"/>
        <v>24</v>
      </c>
      <c r="CY597">
        <f t="shared" si="550"/>
        <v>27</v>
      </c>
      <c r="DA597" s="112">
        <f t="shared" ca="1" si="551"/>
        <v>37644</v>
      </c>
      <c r="DC597">
        <f t="shared" si="552"/>
        <v>597</v>
      </c>
      <c r="DE597" t="str">
        <f t="shared" si="545"/>
        <v>cs597:dc771</v>
      </c>
      <c r="DF597">
        <f t="shared" ca="1" si="546"/>
        <v>656</v>
      </c>
      <c r="DG597" s="412">
        <f t="shared" ca="1" si="494"/>
        <v>0</v>
      </c>
      <c r="DH597" s="411">
        <f ca="1">IF(INDIRECT(CONCATENATE("cs",DF597))=100000,"",INDIRECT(CONCATENATE("cs",DF597)))</f>
        <v>37644</v>
      </c>
      <c r="DI597" s="411">
        <f ca="1" xml:space="preserve">    IF(DH597="","",   INDIRECT(CONCATENATE("ct",DF597)))</f>
        <v>37783</v>
      </c>
      <c r="DJ597" s="410">
        <f ca="1">IF(DI597="","",INDIRECT(CONCATENATE("cu",DF597)))</f>
        <v>2</v>
      </c>
      <c r="DK597" s="410">
        <f ca="1">IF(DJ597="","",INDIRECT(CONCATENATE("cv",DF597)))</f>
        <v>24</v>
      </c>
      <c r="DM597" s="411">
        <f t="shared" ca="1" si="499"/>
        <v>37644</v>
      </c>
      <c r="DN597" s="411">
        <f t="shared" ca="1" si="500"/>
        <v>37783</v>
      </c>
      <c r="DO597" s="410">
        <f t="shared" ca="1" si="501"/>
        <v>2</v>
      </c>
      <c r="DP597" s="410">
        <f t="shared" ca="1" si="502"/>
        <v>24</v>
      </c>
    </row>
    <row r="598" spans="27:120" x14ac:dyDescent="0.25">
      <c r="AA598" s="284">
        <f t="shared" ref="AA598:AF598" si="675">AA47</f>
        <v>40430</v>
      </c>
      <c r="AB598" s="284">
        <f t="shared" ref="AB598:AE598" ca="1" si="676">IF(OR(AB47&lt;=$AA598,AB47&gt;$AF598),100000,AB47)</f>
        <v>100000</v>
      </c>
      <c r="AC598" s="284">
        <f t="shared" ca="1" si="676"/>
        <v>100000</v>
      </c>
      <c r="AD598" s="284">
        <f t="shared" ca="1" si="676"/>
        <v>100000</v>
      </c>
      <c r="AE598" s="284">
        <f t="shared" ca="1" si="676"/>
        <v>40544</v>
      </c>
      <c r="AF598" s="284">
        <f t="shared" si="675"/>
        <v>40739</v>
      </c>
      <c r="AG598" s="238">
        <f t="shared" si="505"/>
        <v>7</v>
      </c>
      <c r="AH598" s="407">
        <f t="shared" si="506"/>
        <v>24</v>
      </c>
      <c r="AL598" s="112">
        <f t="shared" si="507"/>
        <v>40430</v>
      </c>
      <c r="AM598" s="112">
        <f t="shared" ca="1" si="508"/>
        <v>100000</v>
      </c>
      <c r="AN598" s="112">
        <f t="shared" ca="1" si="509"/>
        <v>100000</v>
      </c>
      <c r="AO598" s="112">
        <f t="shared" ca="1" si="510"/>
        <v>40544</v>
      </c>
      <c r="AP598" s="112">
        <f t="shared" ca="1" si="511"/>
        <v>40544</v>
      </c>
      <c r="AQ598" s="112">
        <f t="shared" si="512"/>
        <v>40739</v>
      </c>
      <c r="AT598" s="112">
        <f t="shared" si="513"/>
        <v>40430</v>
      </c>
      <c r="AU598" s="112">
        <f t="shared" ca="1" si="514"/>
        <v>100000</v>
      </c>
      <c r="AV598" s="112">
        <f t="shared" ca="1" si="515"/>
        <v>40544</v>
      </c>
      <c r="AW598" s="112">
        <f t="shared" ca="1" si="516"/>
        <v>40544</v>
      </c>
      <c r="AX598" s="112">
        <f t="shared" ca="1" si="517"/>
        <v>40544</v>
      </c>
      <c r="AY598" s="112">
        <f t="shared" si="518"/>
        <v>40739</v>
      </c>
      <c r="BA598" s="112">
        <f t="shared" si="519"/>
        <v>40430</v>
      </c>
      <c r="BB598" s="112">
        <f t="shared" ca="1" si="520"/>
        <v>40544</v>
      </c>
      <c r="BC598" s="112">
        <f t="shared" ca="1" si="521"/>
        <v>40544</v>
      </c>
      <c r="BD598" s="112">
        <f t="shared" ca="1" si="522"/>
        <v>40544</v>
      </c>
      <c r="BE598" s="112">
        <f t="shared" ca="1" si="523"/>
        <v>40544</v>
      </c>
      <c r="BF598" s="112">
        <f t="shared" si="524"/>
        <v>40739</v>
      </c>
      <c r="BI598" s="112">
        <f t="shared" si="525"/>
        <v>40430</v>
      </c>
      <c r="BJ598" s="112">
        <f t="shared" ca="1" si="526"/>
        <v>40544</v>
      </c>
      <c r="BK598" s="112">
        <f t="shared" ca="1" si="527"/>
        <v>40544</v>
      </c>
      <c r="BL598" s="112">
        <f t="shared" ca="1" si="528"/>
        <v>40544</v>
      </c>
      <c r="BM598" s="112">
        <f t="shared" ca="1" si="529"/>
        <v>40544</v>
      </c>
      <c r="BN598" s="112">
        <f t="shared" si="530"/>
        <v>40739</v>
      </c>
      <c r="BP598" s="238">
        <f t="shared" ca="1" si="594"/>
        <v>0</v>
      </c>
      <c r="BQ598" s="238">
        <f t="shared" si="671"/>
        <v>576</v>
      </c>
      <c r="BR598" t="s">
        <v>446</v>
      </c>
      <c r="BS598" t="s">
        <v>447</v>
      </c>
      <c r="BT598" s="114">
        <f t="shared" ca="1" si="482"/>
        <v>0</v>
      </c>
      <c r="BU598" s="112"/>
      <c r="BV598">
        <f t="shared" ca="1" si="587"/>
        <v>1</v>
      </c>
      <c r="BW598" s="112">
        <f t="shared" ca="1" si="484"/>
        <v>36708</v>
      </c>
      <c r="BX598" s="112">
        <f t="shared" ca="1" si="665"/>
        <v>36768</v>
      </c>
      <c r="BY598">
        <f t="shared" ca="1" si="568"/>
        <v>18</v>
      </c>
      <c r="BZ598">
        <f t="shared" ca="1" si="569"/>
        <v>24</v>
      </c>
      <c r="CB598">
        <f t="shared" ca="1" si="534"/>
        <v>0</v>
      </c>
      <c r="CC598" s="112">
        <f t="shared" ca="1" si="535"/>
        <v>36708</v>
      </c>
      <c r="CD598" s="112">
        <f t="shared" ca="1" si="536"/>
        <v>36768</v>
      </c>
      <c r="CE598">
        <f t="shared" ca="1" si="537"/>
        <v>18</v>
      </c>
      <c r="CF598">
        <f t="shared" ca="1" si="538"/>
        <v>24</v>
      </c>
      <c r="CH598" s="112">
        <f t="shared" ca="1" si="644"/>
        <v>36769</v>
      </c>
      <c r="CI598">
        <f t="shared" ca="1" si="672"/>
        <v>0</v>
      </c>
      <c r="CJ598">
        <f t="shared" ref="CJ598" ca="1" si="677">IF(AND(CI598=0,CJ599=0,CJ600=0,CC598&lt;100000),1,0)</f>
        <v>1</v>
      </c>
      <c r="CK598" s="112">
        <f t="shared" ca="1" si="651"/>
        <v>1</v>
      </c>
      <c r="CM598" s="112"/>
      <c r="CN598" s="260">
        <f t="shared" ca="1" si="488"/>
        <v>36708</v>
      </c>
      <c r="CO598" s="112">
        <f t="shared" ca="1" si="674"/>
        <v>36769</v>
      </c>
      <c r="CP598" s="238">
        <f t="shared" ca="1" si="652"/>
        <v>18</v>
      </c>
      <c r="CQ598" s="328">
        <f t="shared" ca="1" si="653"/>
        <v>24</v>
      </c>
      <c r="CS598" s="112">
        <f t="shared" ca="1" si="492"/>
        <v>36708</v>
      </c>
      <c r="CT598" s="112">
        <f t="shared" ca="1" si="542"/>
        <v>36769</v>
      </c>
      <c r="CU598" s="238">
        <f t="shared" ca="1" si="543"/>
        <v>18</v>
      </c>
      <c r="CV598" s="238">
        <f t="shared" ca="1" si="544"/>
        <v>24</v>
      </c>
      <c r="CY598">
        <f t="shared" si="550"/>
        <v>28</v>
      </c>
      <c r="DA598" s="112">
        <f t="shared" ca="1" si="551"/>
        <v>37673</v>
      </c>
      <c r="DC598">
        <f t="shared" si="552"/>
        <v>598</v>
      </c>
      <c r="DE598" t="str">
        <f t="shared" si="545"/>
        <v>cs598:dc771</v>
      </c>
      <c r="DF598">
        <f t="shared" ca="1" si="546"/>
        <v>661</v>
      </c>
      <c r="DG598" s="412">
        <f t="shared" ca="1" si="494"/>
        <v>0</v>
      </c>
      <c r="DH598" s="411">
        <f t="shared" ref="DH598:DH661" ca="1" si="678">IF(INDIRECT(CONCATENATE("cs",DF598))=100000,"",INDIRECT(CONCATENATE("cs",DF598)))</f>
        <v>37673</v>
      </c>
      <c r="DI598" s="411">
        <f t="shared" ref="DI598:DI661" ca="1" si="679" xml:space="preserve">    IF(DH598="","",   INDIRECT(CONCATENATE("ct",DF598)))</f>
        <v>37786</v>
      </c>
      <c r="DJ598" s="410">
        <f t="shared" ref="DJ598:DJ661" ca="1" si="680">IF(DI598="","",INDIRECT(CONCATENATE("cu",DF598)))</f>
        <v>16</v>
      </c>
      <c r="DK598" s="410">
        <f t="shared" ref="DK598:DK661" ca="1" si="681">IF(DJ598="","",INDIRECT(CONCATENATE("cv",DF598)))</f>
        <v>24</v>
      </c>
      <c r="DM598" s="411">
        <f t="shared" ca="1" si="499"/>
        <v>37673</v>
      </c>
      <c r="DN598" s="411">
        <f t="shared" ca="1" si="500"/>
        <v>37786</v>
      </c>
      <c r="DO598" s="410">
        <f t="shared" ca="1" si="501"/>
        <v>16</v>
      </c>
      <c r="DP598" s="410">
        <f t="shared" ca="1" si="502"/>
        <v>24</v>
      </c>
    </row>
    <row r="599" spans="27:120" x14ac:dyDescent="0.25">
      <c r="AA599" s="284">
        <f t="shared" ref="AA599:AF599" si="682">AA48</f>
        <v>40431</v>
      </c>
      <c r="AB599" s="284">
        <f t="shared" ref="AB599:AE599" ca="1" si="683">IF(OR(AB48&lt;=$AA599,AB48&gt;$AF599),100000,AB48)</f>
        <v>100000</v>
      </c>
      <c r="AC599" s="284">
        <f t="shared" ca="1" si="683"/>
        <v>100000</v>
      </c>
      <c r="AD599" s="284">
        <f t="shared" ca="1" si="683"/>
        <v>100000</v>
      </c>
      <c r="AE599" s="284">
        <f t="shared" ca="1" si="683"/>
        <v>40544</v>
      </c>
      <c r="AF599" s="284">
        <f t="shared" si="682"/>
        <v>40739</v>
      </c>
      <c r="AG599" s="238">
        <f t="shared" si="505"/>
        <v>9</v>
      </c>
      <c r="AH599" s="407">
        <f t="shared" si="506"/>
        <v>24</v>
      </c>
      <c r="AL599" s="112">
        <f t="shared" si="507"/>
        <v>40431</v>
      </c>
      <c r="AM599" s="112">
        <f t="shared" ca="1" si="508"/>
        <v>100000</v>
      </c>
      <c r="AN599" s="112">
        <f t="shared" ca="1" si="509"/>
        <v>100000</v>
      </c>
      <c r="AO599" s="112">
        <f t="shared" ca="1" si="510"/>
        <v>40544</v>
      </c>
      <c r="AP599" s="112">
        <f t="shared" ca="1" si="511"/>
        <v>40544</v>
      </c>
      <c r="AQ599" s="112">
        <f t="shared" si="512"/>
        <v>40739</v>
      </c>
      <c r="AT599" s="112">
        <f t="shared" si="513"/>
        <v>40431</v>
      </c>
      <c r="AU599" s="112">
        <f t="shared" ca="1" si="514"/>
        <v>100000</v>
      </c>
      <c r="AV599" s="112">
        <f t="shared" ca="1" si="515"/>
        <v>40544</v>
      </c>
      <c r="AW599" s="112">
        <f t="shared" ca="1" si="516"/>
        <v>40544</v>
      </c>
      <c r="AX599" s="112">
        <f t="shared" ca="1" si="517"/>
        <v>40544</v>
      </c>
      <c r="AY599" s="112">
        <f t="shared" si="518"/>
        <v>40739</v>
      </c>
      <c r="BA599" s="112">
        <f t="shared" si="519"/>
        <v>40431</v>
      </c>
      <c r="BB599" s="112">
        <f t="shared" ca="1" si="520"/>
        <v>40544</v>
      </c>
      <c r="BC599" s="112">
        <f t="shared" ca="1" si="521"/>
        <v>40544</v>
      </c>
      <c r="BD599" s="112">
        <f t="shared" ca="1" si="522"/>
        <v>40544</v>
      </c>
      <c r="BE599" s="112">
        <f t="shared" ca="1" si="523"/>
        <v>40544</v>
      </c>
      <c r="BF599" s="112">
        <f t="shared" si="524"/>
        <v>40739</v>
      </c>
      <c r="BI599" s="112">
        <f t="shared" si="525"/>
        <v>40431</v>
      </c>
      <c r="BJ599" s="112">
        <f t="shared" ca="1" si="526"/>
        <v>40544</v>
      </c>
      <c r="BK599" s="112">
        <f t="shared" ca="1" si="527"/>
        <v>40544</v>
      </c>
      <c r="BL599" s="112">
        <f t="shared" ca="1" si="528"/>
        <v>40544</v>
      </c>
      <c r="BM599" s="112">
        <f t="shared" ca="1" si="529"/>
        <v>40544</v>
      </c>
      <c r="BN599" s="112">
        <f t="shared" si="530"/>
        <v>40739</v>
      </c>
      <c r="BP599" s="238">
        <f t="shared" ca="1" si="594"/>
        <v>0</v>
      </c>
      <c r="BQ599" s="238">
        <f t="shared" si="671"/>
        <v>576</v>
      </c>
      <c r="BR599" t="s">
        <v>447</v>
      </c>
      <c r="BS599" t="s">
        <v>448</v>
      </c>
      <c r="BT599" s="114">
        <f t="shared" ca="1" si="482"/>
        <v>0</v>
      </c>
      <c r="BU599" s="112"/>
      <c r="BV599">
        <f t="shared" ca="1" si="587"/>
        <v>0</v>
      </c>
      <c r="BW599" s="112">
        <f t="shared" ca="1" si="484"/>
        <v>36769</v>
      </c>
      <c r="BX599" s="112">
        <f t="shared" ref="BX599:BX600" ca="1" si="684">INDIRECT(CONCATENATE(BS599,BQ599))</f>
        <v>36769</v>
      </c>
      <c r="BY599">
        <f t="shared" ca="1" si="568"/>
        <v>18</v>
      </c>
      <c r="BZ599">
        <f t="shared" ca="1" si="569"/>
        <v>24</v>
      </c>
      <c r="CB599">
        <f t="shared" ca="1" si="534"/>
        <v>0</v>
      </c>
      <c r="CC599" s="112">
        <f t="shared" ca="1" si="535"/>
        <v>100000</v>
      </c>
      <c r="CD599" s="112">
        <f t="shared" ca="1" si="536"/>
        <v>36769</v>
      </c>
      <c r="CE599">
        <f t="shared" ca="1" si="537"/>
        <v>18</v>
      </c>
      <c r="CF599">
        <f t="shared" ca="1" si="538"/>
        <v>24</v>
      </c>
      <c r="CH599" s="112">
        <f t="shared" ca="1" si="644"/>
        <v>36769</v>
      </c>
      <c r="CI599">
        <f t="shared" ca="1" si="672"/>
        <v>0</v>
      </c>
      <c r="CJ599">
        <f t="shared" ref="CJ599" ca="1" si="685">IF(AND(CI599=0,CJ600=0,CC599&lt;100000),1,0)</f>
        <v>0</v>
      </c>
      <c r="CK599" s="112">
        <f t="shared" ca="1" si="651"/>
        <v>36769</v>
      </c>
      <c r="CM599" s="112"/>
      <c r="CN599" s="260">
        <f t="shared" ca="1" si="488"/>
        <v>100000</v>
      </c>
      <c r="CO599" s="112">
        <f t="shared" ca="1" si="674"/>
        <v>36769</v>
      </c>
      <c r="CP599" s="238">
        <f t="shared" ca="1" si="652"/>
        <v>18</v>
      </c>
      <c r="CQ599" s="328">
        <f t="shared" ca="1" si="653"/>
        <v>24</v>
      </c>
      <c r="CS599" s="112">
        <f t="shared" ca="1" si="492"/>
        <v>100000</v>
      </c>
      <c r="CT599" s="112">
        <f t="shared" ca="1" si="542"/>
        <v>36769</v>
      </c>
      <c r="CU599" s="238">
        <f t="shared" ca="1" si="543"/>
        <v>18</v>
      </c>
      <c r="CV599" s="238">
        <f t="shared" ca="1" si="544"/>
        <v>24</v>
      </c>
      <c r="CY599">
        <f t="shared" si="550"/>
        <v>29</v>
      </c>
      <c r="DA599" s="112">
        <f t="shared" ca="1" si="551"/>
        <v>37865</v>
      </c>
      <c r="DC599">
        <f t="shared" si="552"/>
        <v>599</v>
      </c>
      <c r="DE599" t="str">
        <f t="shared" si="545"/>
        <v>cs599:dc771</v>
      </c>
      <c r="DF599">
        <f t="shared" ca="1" si="546"/>
        <v>666</v>
      </c>
      <c r="DG599" s="412">
        <f ca="1">IF(DI600="",$CS$570,0)</f>
        <v>0</v>
      </c>
      <c r="DH599" s="411">
        <f t="shared" ca="1" si="678"/>
        <v>37865</v>
      </c>
      <c r="DI599" s="411">
        <f t="shared" ca="1" si="679"/>
        <v>37986</v>
      </c>
      <c r="DJ599" s="410">
        <f t="shared" ca="1" si="680"/>
        <v>18</v>
      </c>
      <c r="DK599" s="410">
        <f t="shared" ca="1" si="681"/>
        <v>24</v>
      </c>
      <c r="DM599" s="411">
        <f ca="1">DH599</f>
        <v>37865</v>
      </c>
      <c r="DN599" s="411">
        <f ca="1">IF(AND(DM599&lt;&gt;"",DH600=""),DG599,DI599)</f>
        <v>37986</v>
      </c>
      <c r="DO599" s="410">
        <f ca="1">DJ599</f>
        <v>18</v>
      </c>
      <c r="DP599" s="410">
        <f ca="1">DK599</f>
        <v>24</v>
      </c>
    </row>
    <row r="600" spans="27:120" ht="15.75" thickBot="1" x14ac:dyDescent="0.3">
      <c r="AA600" s="284">
        <f t="shared" ref="AA600:AF600" si="686">AA49</f>
        <v>40802</v>
      </c>
      <c r="AB600" s="284">
        <f t="shared" ref="AB600:AE600" ca="1" si="687">IF(OR(AB49&lt;=$AA600,AB49&gt;$AF600),100000,AB49)</f>
        <v>100000</v>
      </c>
      <c r="AC600" s="284">
        <f t="shared" ca="1" si="687"/>
        <v>100000</v>
      </c>
      <c r="AD600" s="284">
        <f t="shared" ca="1" si="687"/>
        <v>100000</v>
      </c>
      <c r="AE600" s="284">
        <f t="shared" ca="1" si="687"/>
        <v>100000</v>
      </c>
      <c r="AF600" s="284">
        <f t="shared" si="686"/>
        <v>41090</v>
      </c>
      <c r="AG600" s="238">
        <f t="shared" si="505"/>
        <v>18</v>
      </c>
      <c r="AH600" s="407">
        <f t="shared" si="506"/>
        <v>24</v>
      </c>
      <c r="AL600" s="112">
        <f t="shared" si="507"/>
        <v>40802</v>
      </c>
      <c r="AM600" s="112">
        <f t="shared" ca="1" si="508"/>
        <v>100000</v>
      </c>
      <c r="AN600" s="112">
        <f t="shared" ca="1" si="509"/>
        <v>100000</v>
      </c>
      <c r="AO600" s="112">
        <f t="shared" ca="1" si="510"/>
        <v>100000</v>
      </c>
      <c r="AP600" s="112">
        <f t="shared" ca="1" si="511"/>
        <v>41090</v>
      </c>
      <c r="AQ600" s="112">
        <f t="shared" si="512"/>
        <v>41090</v>
      </c>
      <c r="AT600" s="112">
        <f t="shared" si="513"/>
        <v>40802</v>
      </c>
      <c r="AU600" s="112">
        <f t="shared" ca="1" si="514"/>
        <v>100000</v>
      </c>
      <c r="AV600" s="112">
        <f t="shared" ca="1" si="515"/>
        <v>100000</v>
      </c>
      <c r="AW600" s="112">
        <f t="shared" ca="1" si="516"/>
        <v>41090</v>
      </c>
      <c r="AX600" s="112">
        <f t="shared" ca="1" si="517"/>
        <v>41090</v>
      </c>
      <c r="AY600" s="112">
        <f t="shared" si="518"/>
        <v>41090</v>
      </c>
      <c r="BA600" s="112">
        <f t="shared" si="519"/>
        <v>40802</v>
      </c>
      <c r="BB600" s="112">
        <f t="shared" ca="1" si="520"/>
        <v>100000</v>
      </c>
      <c r="BC600" s="112">
        <f t="shared" ca="1" si="521"/>
        <v>41090</v>
      </c>
      <c r="BD600" s="112">
        <f t="shared" ca="1" si="522"/>
        <v>41090</v>
      </c>
      <c r="BE600" s="112">
        <f t="shared" ca="1" si="523"/>
        <v>41090</v>
      </c>
      <c r="BF600" s="112">
        <f t="shared" si="524"/>
        <v>41090</v>
      </c>
      <c r="BI600" s="112">
        <f t="shared" si="525"/>
        <v>40802</v>
      </c>
      <c r="BJ600" s="112">
        <f t="shared" ca="1" si="526"/>
        <v>41090</v>
      </c>
      <c r="BK600" s="112">
        <f t="shared" ca="1" si="527"/>
        <v>41090</v>
      </c>
      <c r="BL600" s="112">
        <f t="shared" ca="1" si="528"/>
        <v>41090</v>
      </c>
      <c r="BM600" s="112">
        <f t="shared" ca="1" si="529"/>
        <v>41090</v>
      </c>
      <c r="BN600" s="112">
        <f t="shared" si="530"/>
        <v>41090</v>
      </c>
      <c r="BP600" s="238">
        <f t="shared" ca="1" si="594"/>
        <v>1</v>
      </c>
      <c r="BQ600" s="238">
        <f t="shared" si="671"/>
        <v>576</v>
      </c>
      <c r="BR600" t="s">
        <v>448</v>
      </c>
      <c r="BS600" t="s">
        <v>449</v>
      </c>
      <c r="BT600" s="114">
        <f t="shared" ca="1" si="482"/>
        <v>0</v>
      </c>
      <c r="BU600" s="112"/>
      <c r="BV600">
        <f t="shared" ca="1" si="587"/>
        <v>0</v>
      </c>
      <c r="BW600" s="112">
        <f t="shared" ca="1" si="484"/>
        <v>36769</v>
      </c>
      <c r="BX600" s="112">
        <f t="shared" ca="1" si="684"/>
        <v>36769</v>
      </c>
      <c r="BY600">
        <f t="shared" ca="1" si="568"/>
        <v>18</v>
      </c>
      <c r="BZ600">
        <f t="shared" ca="1" si="569"/>
        <v>24</v>
      </c>
      <c r="CB600">
        <f t="shared" ca="1" si="534"/>
        <v>0</v>
      </c>
      <c r="CC600" s="112">
        <f t="shared" ca="1" si="535"/>
        <v>100000</v>
      </c>
      <c r="CD600" s="112">
        <f t="shared" ca="1" si="536"/>
        <v>36769</v>
      </c>
      <c r="CE600">
        <f t="shared" ca="1" si="537"/>
        <v>18</v>
      </c>
      <c r="CF600">
        <f t="shared" ca="1" si="538"/>
        <v>24</v>
      </c>
      <c r="CH600" s="112">
        <f t="shared" ca="1" si="644"/>
        <v>36769</v>
      </c>
      <c r="CI600">
        <f t="shared" ca="1" si="672"/>
        <v>0</v>
      </c>
      <c r="CJ600">
        <f t="shared" ref="CJ600" ca="1" si="688">IF(AND(CI600=0,CC600&lt;100000),1,0)</f>
        <v>0</v>
      </c>
      <c r="CK600" s="112">
        <f t="shared" ca="1" si="651"/>
        <v>36769</v>
      </c>
      <c r="CM600" s="112"/>
      <c r="CN600" s="261">
        <f t="shared" ref="CN600" ca="1" si="689">IF(AND(CN596=100000,CN597=100000,CN598=100000,CN599=100000),INDIRECT(CONCATENATE("aa",BQ600)),CC600)</f>
        <v>100000</v>
      </c>
      <c r="CO600" s="324">
        <f t="shared" ca="1" si="674"/>
        <v>36769</v>
      </c>
      <c r="CP600" s="256">
        <f t="shared" ca="1" si="652"/>
        <v>18</v>
      </c>
      <c r="CQ600" s="329">
        <f t="shared" ca="1" si="653"/>
        <v>24</v>
      </c>
      <c r="CS600" s="112">
        <f t="shared" ca="1" si="492"/>
        <v>100000</v>
      </c>
      <c r="CT600" s="112">
        <f t="shared" ca="1" si="542"/>
        <v>36769</v>
      </c>
      <c r="CU600" s="238">
        <f t="shared" ca="1" si="543"/>
        <v>18</v>
      </c>
      <c r="CV600" s="238">
        <f t="shared" ca="1" si="544"/>
        <v>24</v>
      </c>
      <c r="CY600">
        <f t="shared" si="550"/>
        <v>30</v>
      </c>
      <c r="DA600" s="112">
        <f t="shared" ca="1" si="551"/>
        <v>37987</v>
      </c>
      <c r="DC600">
        <f t="shared" si="552"/>
        <v>600</v>
      </c>
      <c r="DE600" t="str">
        <f t="shared" si="545"/>
        <v>cs600:dc771</v>
      </c>
      <c r="DF600">
        <f t="shared" ca="1" si="546"/>
        <v>668</v>
      </c>
      <c r="DG600" s="412">
        <f t="shared" ref="DG600:DG663" ca="1" si="690">IF(DI601="",$CS$570,0)</f>
        <v>0</v>
      </c>
      <c r="DH600" s="411">
        <f t="shared" ca="1" si="678"/>
        <v>37987</v>
      </c>
      <c r="DI600" s="411">
        <f t="shared" ca="1" si="679"/>
        <v>38168</v>
      </c>
      <c r="DJ600" s="410">
        <f t="shared" ca="1" si="680"/>
        <v>18</v>
      </c>
      <c r="DK600" s="410">
        <f t="shared" ca="1" si="681"/>
        <v>24</v>
      </c>
      <c r="DM600" s="411">
        <f t="shared" ref="DM600:DM663" ca="1" si="691">DH600</f>
        <v>37987</v>
      </c>
      <c r="DN600" s="411">
        <f t="shared" ref="DN600:DN663" ca="1" si="692">IF(AND(DM600&lt;&gt;"",DH601=""),DG600,DI600)</f>
        <v>38168</v>
      </c>
      <c r="DO600" s="410">
        <f t="shared" ref="DO600:DO663" ca="1" si="693">DJ600</f>
        <v>18</v>
      </c>
      <c r="DP600" s="410">
        <f t="shared" ref="DP600:DP663" ca="1" si="694">DK600</f>
        <v>24</v>
      </c>
    </row>
    <row r="601" spans="27:120" x14ac:dyDescent="0.25">
      <c r="AA601" s="284">
        <f t="shared" ref="AA601:AF601" si="695">AA50</f>
        <v>41171</v>
      </c>
      <c r="AB601" s="284">
        <f t="shared" ref="AB601:AE601" ca="1" si="696">IF(OR(AB50&lt;=$AA601,AB50&gt;$AF601),100000,AB50)</f>
        <v>100000</v>
      </c>
      <c r="AC601" s="284">
        <f t="shared" ca="1" si="696"/>
        <v>100000</v>
      </c>
      <c r="AD601" s="284">
        <f t="shared" ca="1" si="696"/>
        <v>100000</v>
      </c>
      <c r="AE601" s="284">
        <f t="shared" ca="1" si="696"/>
        <v>100000</v>
      </c>
      <c r="AF601" s="284">
        <f t="shared" si="695"/>
        <v>41471</v>
      </c>
      <c r="AG601" s="238">
        <f t="shared" si="505"/>
        <v>7</v>
      </c>
      <c r="AH601" s="407">
        <f t="shared" si="506"/>
        <v>24</v>
      </c>
      <c r="AL601" s="112">
        <f t="shared" si="507"/>
        <v>41171</v>
      </c>
      <c r="AM601" s="112">
        <f t="shared" ca="1" si="508"/>
        <v>100000</v>
      </c>
      <c r="AN601" s="112">
        <f t="shared" ca="1" si="509"/>
        <v>100000</v>
      </c>
      <c r="AO601" s="112">
        <f t="shared" ca="1" si="510"/>
        <v>100000</v>
      </c>
      <c r="AP601" s="112">
        <f t="shared" ca="1" si="511"/>
        <v>41471</v>
      </c>
      <c r="AQ601" s="112">
        <f t="shared" si="512"/>
        <v>41471</v>
      </c>
      <c r="AT601" s="112">
        <f t="shared" si="513"/>
        <v>41171</v>
      </c>
      <c r="AU601" s="112">
        <f t="shared" ca="1" si="514"/>
        <v>100000</v>
      </c>
      <c r="AV601" s="112">
        <f t="shared" ca="1" si="515"/>
        <v>100000</v>
      </c>
      <c r="AW601" s="112">
        <f t="shared" ca="1" si="516"/>
        <v>41471</v>
      </c>
      <c r="AX601" s="112">
        <f t="shared" ca="1" si="517"/>
        <v>41471</v>
      </c>
      <c r="AY601" s="112">
        <f t="shared" si="518"/>
        <v>41471</v>
      </c>
      <c r="BA601" s="112">
        <f t="shared" si="519"/>
        <v>41171</v>
      </c>
      <c r="BB601" s="112">
        <f t="shared" ca="1" si="520"/>
        <v>100000</v>
      </c>
      <c r="BC601" s="112">
        <f t="shared" ca="1" si="521"/>
        <v>41471</v>
      </c>
      <c r="BD601" s="112">
        <f t="shared" ca="1" si="522"/>
        <v>41471</v>
      </c>
      <c r="BE601" s="112">
        <f t="shared" ca="1" si="523"/>
        <v>41471</v>
      </c>
      <c r="BF601" s="112">
        <f t="shared" si="524"/>
        <v>41471</v>
      </c>
      <c r="BI601" s="112">
        <f t="shared" si="525"/>
        <v>41171</v>
      </c>
      <c r="BJ601" s="112">
        <f t="shared" ca="1" si="526"/>
        <v>41471</v>
      </c>
      <c r="BK601" s="112">
        <f t="shared" ca="1" si="527"/>
        <v>41471</v>
      </c>
      <c r="BL601" s="112">
        <f t="shared" ca="1" si="528"/>
        <v>41471</v>
      </c>
      <c r="BM601" s="112">
        <f t="shared" ca="1" si="529"/>
        <v>41471</v>
      </c>
      <c r="BN601" s="112">
        <f t="shared" si="530"/>
        <v>41471</v>
      </c>
      <c r="BP601" s="238">
        <f t="shared" ca="1" si="594"/>
        <v>1</v>
      </c>
      <c r="BQ601" s="238">
        <f t="shared" ref="BQ601" si="697">BQ600+1</f>
        <v>577</v>
      </c>
      <c r="BR601" s="112" t="s">
        <v>444</v>
      </c>
      <c r="BS601" s="112" t="s">
        <v>445</v>
      </c>
      <c r="BT601" s="114">
        <f t="shared" ca="1" si="482"/>
        <v>0</v>
      </c>
      <c r="BU601" s="112"/>
      <c r="BV601">
        <f t="shared" ca="1" si="587"/>
        <v>1</v>
      </c>
      <c r="BW601" s="112">
        <f t="shared" ca="1" si="484"/>
        <v>36777</v>
      </c>
      <c r="BX601" s="112">
        <f t="shared" ref="BX601:BX603" ca="1" si="698">INDIRECT(CONCATENATE(BS601,BQ601))-1</f>
        <v>36891</v>
      </c>
      <c r="BY601">
        <f t="shared" ca="1" si="568"/>
        <v>18</v>
      </c>
      <c r="BZ601">
        <f t="shared" ca="1" si="569"/>
        <v>24</v>
      </c>
      <c r="CB601">
        <f t="shared" ca="1" si="534"/>
        <v>0</v>
      </c>
      <c r="CC601" s="112">
        <f t="shared" ca="1" si="535"/>
        <v>36777</v>
      </c>
      <c r="CD601" s="112">
        <f t="shared" ca="1" si="536"/>
        <v>36891</v>
      </c>
      <c r="CE601">
        <f t="shared" ca="1" si="537"/>
        <v>18</v>
      </c>
      <c r="CF601">
        <f t="shared" ca="1" si="538"/>
        <v>24</v>
      </c>
      <c r="CH601" s="112">
        <f t="shared" ca="1" si="644"/>
        <v>36920</v>
      </c>
      <c r="CI601">
        <f t="shared" ref="CI601" ca="1" si="699">CB601+CB602+CB603+CB604+CB605</f>
        <v>0</v>
      </c>
      <c r="CJ601">
        <v>0</v>
      </c>
      <c r="CK601" s="112">
        <f t="shared" ca="1" si="651"/>
        <v>36920</v>
      </c>
      <c r="CM601" s="112"/>
      <c r="CN601" s="408">
        <f t="shared" ca="1" si="488"/>
        <v>36777</v>
      </c>
      <c r="CO601" s="326">
        <f t="shared" ref="CO601" ca="1" si="700">CD601</f>
        <v>36891</v>
      </c>
      <c r="CP601" s="333">
        <f t="shared" ca="1" si="652"/>
        <v>18</v>
      </c>
      <c r="CQ601" s="327">
        <f t="shared" ca="1" si="653"/>
        <v>24</v>
      </c>
      <c r="CS601" s="112">
        <f t="shared" ca="1" si="492"/>
        <v>36777</v>
      </c>
      <c r="CT601" s="112">
        <f t="shared" ref="CT601" ca="1" si="701">IF(AND( CN602=100000,CN603=100000,CN604=100000,CN605=100000),CO605,                             CO601)</f>
        <v>36891</v>
      </c>
      <c r="CU601" s="238">
        <f t="shared" ca="1" si="543"/>
        <v>18</v>
      </c>
      <c r="CV601" s="238">
        <f t="shared" ca="1" si="544"/>
        <v>24</v>
      </c>
      <c r="CY601">
        <f t="shared" si="550"/>
        <v>31</v>
      </c>
      <c r="DA601" s="112">
        <f t="shared" ca="1" si="551"/>
        <v>38231</v>
      </c>
      <c r="DC601">
        <f t="shared" si="552"/>
        <v>601</v>
      </c>
      <c r="DE601" t="str">
        <f t="shared" si="545"/>
        <v>cs601:dc771</v>
      </c>
      <c r="DF601">
        <f t="shared" ca="1" si="546"/>
        <v>671</v>
      </c>
      <c r="DG601" s="412">
        <f t="shared" ca="1" si="690"/>
        <v>0</v>
      </c>
      <c r="DH601" s="411">
        <f t="shared" ca="1" si="678"/>
        <v>38231</v>
      </c>
      <c r="DI601" s="411">
        <f t="shared" ca="1" si="679"/>
        <v>38383</v>
      </c>
      <c r="DJ601" s="410">
        <f t="shared" ca="1" si="680"/>
        <v>18</v>
      </c>
      <c r="DK601" s="410">
        <f t="shared" ca="1" si="681"/>
        <v>24</v>
      </c>
      <c r="DM601" s="411">
        <f t="shared" ca="1" si="691"/>
        <v>38231</v>
      </c>
      <c r="DN601" s="411">
        <f t="shared" ca="1" si="692"/>
        <v>38383</v>
      </c>
      <c r="DO601" s="410">
        <f t="shared" ca="1" si="693"/>
        <v>18</v>
      </c>
      <c r="DP601" s="410">
        <f t="shared" ca="1" si="694"/>
        <v>24</v>
      </c>
    </row>
    <row r="602" spans="27:120" x14ac:dyDescent="0.25">
      <c r="AA602" s="284">
        <f t="shared" ref="AA602:AF602" si="702">AA51</f>
        <v>41178</v>
      </c>
      <c r="AB602" s="284">
        <f t="shared" ref="AB602:AE602" ca="1" si="703">IF(OR(AB51&lt;=$AA602,AB51&gt;$AF602),100000,AB51)</f>
        <v>100000</v>
      </c>
      <c r="AC602" s="284">
        <f t="shared" ca="1" si="703"/>
        <v>100000</v>
      </c>
      <c r="AD602" s="284">
        <f t="shared" ca="1" si="703"/>
        <v>100000</v>
      </c>
      <c r="AE602" s="284">
        <f t="shared" ca="1" si="703"/>
        <v>100000</v>
      </c>
      <c r="AF602" s="284">
        <f t="shared" si="702"/>
        <v>41471</v>
      </c>
      <c r="AG602" s="238">
        <f t="shared" si="505"/>
        <v>5</v>
      </c>
      <c r="AH602" s="407">
        <f t="shared" si="506"/>
        <v>24</v>
      </c>
      <c r="AL602" s="112">
        <f t="shared" si="507"/>
        <v>41178</v>
      </c>
      <c r="AM602" s="112">
        <f t="shared" ca="1" si="508"/>
        <v>100000</v>
      </c>
      <c r="AN602" s="112">
        <f t="shared" ca="1" si="509"/>
        <v>100000</v>
      </c>
      <c r="AO602" s="112">
        <f t="shared" ca="1" si="510"/>
        <v>100000</v>
      </c>
      <c r="AP602" s="112">
        <f t="shared" ca="1" si="511"/>
        <v>41471</v>
      </c>
      <c r="AQ602" s="112">
        <f t="shared" si="512"/>
        <v>41471</v>
      </c>
      <c r="AT602" s="112">
        <f t="shared" si="513"/>
        <v>41178</v>
      </c>
      <c r="AU602" s="112">
        <f t="shared" ca="1" si="514"/>
        <v>100000</v>
      </c>
      <c r="AV602" s="112">
        <f t="shared" ca="1" si="515"/>
        <v>100000</v>
      </c>
      <c r="AW602" s="112">
        <f t="shared" ca="1" si="516"/>
        <v>41471</v>
      </c>
      <c r="AX602" s="112">
        <f t="shared" ca="1" si="517"/>
        <v>41471</v>
      </c>
      <c r="AY602" s="112">
        <f t="shared" si="518"/>
        <v>41471</v>
      </c>
      <c r="BA602" s="112">
        <f t="shared" si="519"/>
        <v>41178</v>
      </c>
      <c r="BB602" s="112">
        <f t="shared" ca="1" si="520"/>
        <v>100000</v>
      </c>
      <c r="BC602" s="112">
        <f t="shared" ca="1" si="521"/>
        <v>41471</v>
      </c>
      <c r="BD602" s="112">
        <f t="shared" ca="1" si="522"/>
        <v>41471</v>
      </c>
      <c r="BE602" s="112">
        <f t="shared" ca="1" si="523"/>
        <v>41471</v>
      </c>
      <c r="BF602" s="112">
        <f t="shared" si="524"/>
        <v>41471</v>
      </c>
      <c r="BI602" s="112">
        <f t="shared" si="525"/>
        <v>41178</v>
      </c>
      <c r="BJ602" s="112">
        <f t="shared" ca="1" si="526"/>
        <v>41471</v>
      </c>
      <c r="BK602" s="112">
        <f t="shared" ca="1" si="527"/>
        <v>41471</v>
      </c>
      <c r="BL602" s="112">
        <f t="shared" ca="1" si="528"/>
        <v>41471</v>
      </c>
      <c r="BM602" s="112">
        <f t="shared" ca="1" si="529"/>
        <v>41471</v>
      </c>
      <c r="BN602" s="112">
        <f t="shared" si="530"/>
        <v>41471</v>
      </c>
      <c r="BP602" s="238">
        <f t="shared" ca="1" si="594"/>
        <v>1</v>
      </c>
      <c r="BQ602" s="238">
        <f t="shared" ref="BQ602:BQ605" si="704">BQ601</f>
        <v>577</v>
      </c>
      <c r="BR602" t="s">
        <v>445</v>
      </c>
      <c r="BS602" t="s">
        <v>446</v>
      </c>
      <c r="BT602" s="114">
        <f t="shared" ca="1" si="482"/>
        <v>0</v>
      </c>
      <c r="BU602" s="112"/>
      <c r="BV602">
        <f t="shared" ca="1" si="587"/>
        <v>1</v>
      </c>
      <c r="BW602" s="112">
        <f t="shared" ca="1" si="484"/>
        <v>36892</v>
      </c>
      <c r="BX602" s="112">
        <f t="shared" ca="1" si="698"/>
        <v>36891</v>
      </c>
      <c r="BY602">
        <f t="shared" ca="1" si="568"/>
        <v>18</v>
      </c>
      <c r="BZ602">
        <f t="shared" ca="1" si="569"/>
        <v>24</v>
      </c>
      <c r="CB602">
        <f t="shared" ca="1" si="534"/>
        <v>0</v>
      </c>
      <c r="CC602" s="112">
        <f t="shared" ca="1" si="535"/>
        <v>100000</v>
      </c>
      <c r="CD602" s="112">
        <f t="shared" ca="1" si="536"/>
        <v>36891</v>
      </c>
      <c r="CE602">
        <f t="shared" ca="1" si="537"/>
        <v>18</v>
      </c>
      <c r="CF602">
        <f t="shared" ca="1" si="538"/>
        <v>24</v>
      </c>
      <c r="CH602" s="112">
        <f t="shared" ca="1" si="644"/>
        <v>36920</v>
      </c>
      <c r="CI602">
        <f t="shared" ref="CI602:CI605" ca="1" si="705">CI601</f>
        <v>0</v>
      </c>
      <c r="CJ602">
        <f t="shared" ref="CJ602" ca="1" si="706">IF(AND(CI602=0,CJ603=0,CJ604=0,CJ605=0,CC602&lt;100000),1,0)</f>
        <v>0</v>
      </c>
      <c r="CK602" s="112">
        <f t="shared" ca="1" si="651"/>
        <v>36920</v>
      </c>
      <c r="CM602" s="112"/>
      <c r="CN602" s="260">
        <f t="shared" ca="1" si="488"/>
        <v>100000</v>
      </c>
      <c r="CO602" s="112">
        <f t="shared" ref="CO602:CO605" ca="1" si="707">IF(CJ602=1,CH602,CD602)</f>
        <v>36891</v>
      </c>
      <c r="CP602" s="238">
        <f t="shared" ca="1" si="652"/>
        <v>18</v>
      </c>
      <c r="CQ602" s="328">
        <f t="shared" ca="1" si="653"/>
        <v>24</v>
      </c>
      <c r="CS602" s="112">
        <f t="shared" ca="1" si="492"/>
        <v>100000</v>
      </c>
      <c r="CT602" s="112">
        <f t="shared" ca="1" si="542"/>
        <v>36891</v>
      </c>
      <c r="CU602" s="238">
        <f t="shared" ca="1" si="543"/>
        <v>18</v>
      </c>
      <c r="CV602" s="238">
        <f t="shared" ca="1" si="544"/>
        <v>24</v>
      </c>
      <c r="CY602">
        <f t="shared" si="550"/>
        <v>32</v>
      </c>
      <c r="DA602" s="112">
        <f t="shared" ca="1" si="551"/>
        <v>38384</v>
      </c>
      <c r="DC602">
        <f t="shared" si="552"/>
        <v>602</v>
      </c>
      <c r="DE602" t="str">
        <f t="shared" si="545"/>
        <v>cs602:dc771</v>
      </c>
      <c r="DF602">
        <f t="shared" ca="1" si="546"/>
        <v>673</v>
      </c>
      <c r="DG602" s="412">
        <f t="shared" ca="1" si="690"/>
        <v>0</v>
      </c>
      <c r="DH602" s="411">
        <f t="shared" ca="1" si="678"/>
        <v>38384</v>
      </c>
      <c r="DI602" s="411">
        <f t="shared" ca="1" si="679"/>
        <v>38551</v>
      </c>
      <c r="DJ602" s="410">
        <f t="shared" ca="1" si="680"/>
        <v>18</v>
      </c>
      <c r="DK602" s="410">
        <f t="shared" ca="1" si="681"/>
        <v>24</v>
      </c>
      <c r="DM602" s="411">
        <f t="shared" ca="1" si="691"/>
        <v>38384</v>
      </c>
      <c r="DN602" s="411">
        <f t="shared" ca="1" si="692"/>
        <v>38551</v>
      </c>
      <c r="DO602" s="410">
        <f t="shared" ca="1" si="693"/>
        <v>18</v>
      </c>
      <c r="DP602" s="410">
        <f t="shared" ca="1" si="694"/>
        <v>24</v>
      </c>
    </row>
    <row r="603" spans="27:120" x14ac:dyDescent="0.25">
      <c r="AA603" s="284">
        <f t="shared" ref="AA603:AF603" si="708">AA52</f>
        <v>41184</v>
      </c>
      <c r="AB603" s="284">
        <f t="shared" ref="AB603:AE603" ca="1" si="709">IF(OR(AB52&lt;=$AA603,AB52&gt;$AF603),100000,AB52)</f>
        <v>100000</v>
      </c>
      <c r="AC603" s="284">
        <f t="shared" ca="1" si="709"/>
        <v>100000</v>
      </c>
      <c r="AD603" s="284">
        <f t="shared" ca="1" si="709"/>
        <v>100000</v>
      </c>
      <c r="AE603" s="284">
        <f t="shared" ca="1" si="709"/>
        <v>100000</v>
      </c>
      <c r="AF603" s="284">
        <f t="shared" si="708"/>
        <v>41196</v>
      </c>
      <c r="AG603" s="238">
        <f t="shared" si="505"/>
        <v>6</v>
      </c>
      <c r="AH603" s="407">
        <f t="shared" si="506"/>
        <v>24</v>
      </c>
      <c r="AL603" s="112">
        <f t="shared" si="507"/>
        <v>41184</v>
      </c>
      <c r="AM603" s="112">
        <f t="shared" ca="1" si="508"/>
        <v>100000</v>
      </c>
      <c r="AN603" s="112">
        <f t="shared" ca="1" si="509"/>
        <v>100000</v>
      </c>
      <c r="AO603" s="112">
        <f t="shared" ca="1" si="510"/>
        <v>100000</v>
      </c>
      <c r="AP603" s="112">
        <f t="shared" ca="1" si="511"/>
        <v>41196</v>
      </c>
      <c r="AQ603" s="112">
        <f t="shared" si="512"/>
        <v>41196</v>
      </c>
      <c r="AT603" s="112">
        <f t="shared" si="513"/>
        <v>41184</v>
      </c>
      <c r="AU603" s="112">
        <f t="shared" ca="1" si="514"/>
        <v>100000</v>
      </c>
      <c r="AV603" s="112">
        <f t="shared" ca="1" si="515"/>
        <v>100000</v>
      </c>
      <c r="AW603" s="112">
        <f t="shared" ca="1" si="516"/>
        <v>41196</v>
      </c>
      <c r="AX603" s="112">
        <f t="shared" ca="1" si="517"/>
        <v>41196</v>
      </c>
      <c r="AY603" s="112">
        <f t="shared" si="518"/>
        <v>41196</v>
      </c>
      <c r="BA603" s="112">
        <f t="shared" si="519"/>
        <v>41184</v>
      </c>
      <c r="BB603" s="112">
        <f t="shared" ca="1" si="520"/>
        <v>100000</v>
      </c>
      <c r="BC603" s="112">
        <f t="shared" ca="1" si="521"/>
        <v>41196</v>
      </c>
      <c r="BD603" s="112">
        <f t="shared" ca="1" si="522"/>
        <v>41196</v>
      </c>
      <c r="BE603" s="112">
        <f t="shared" ca="1" si="523"/>
        <v>41196</v>
      </c>
      <c r="BF603" s="112">
        <f t="shared" si="524"/>
        <v>41196</v>
      </c>
      <c r="BI603" s="112">
        <f t="shared" si="525"/>
        <v>41184</v>
      </c>
      <c r="BJ603" s="112">
        <f t="shared" ca="1" si="526"/>
        <v>41196</v>
      </c>
      <c r="BK603" s="112">
        <f t="shared" ca="1" si="527"/>
        <v>41196</v>
      </c>
      <c r="BL603" s="112">
        <f t="shared" ca="1" si="528"/>
        <v>41196</v>
      </c>
      <c r="BM603" s="112">
        <f t="shared" ca="1" si="529"/>
        <v>41196</v>
      </c>
      <c r="BN603" s="112">
        <f t="shared" si="530"/>
        <v>41196</v>
      </c>
      <c r="BP603" s="238">
        <f t="shared" ca="1" si="594"/>
        <v>1</v>
      </c>
      <c r="BQ603" s="238">
        <f t="shared" si="704"/>
        <v>577</v>
      </c>
      <c r="BR603" t="s">
        <v>446</v>
      </c>
      <c r="BS603" t="s">
        <v>447</v>
      </c>
      <c r="BT603" s="114">
        <f t="shared" ca="1" si="482"/>
        <v>0</v>
      </c>
      <c r="BU603" s="112"/>
      <c r="BV603">
        <f t="shared" ca="1" si="587"/>
        <v>1</v>
      </c>
      <c r="BW603" s="112">
        <f t="shared" ca="1" si="484"/>
        <v>36892</v>
      </c>
      <c r="BX603" s="112">
        <f t="shared" ca="1" si="698"/>
        <v>36919</v>
      </c>
      <c r="BY603">
        <f t="shared" ca="1" si="568"/>
        <v>18</v>
      </c>
      <c r="BZ603">
        <f t="shared" ca="1" si="569"/>
        <v>24</v>
      </c>
      <c r="CB603">
        <f t="shared" ca="1" si="534"/>
        <v>0</v>
      </c>
      <c r="CC603" s="112">
        <f t="shared" ca="1" si="535"/>
        <v>36892</v>
      </c>
      <c r="CD603" s="112">
        <f t="shared" ca="1" si="536"/>
        <v>36919</v>
      </c>
      <c r="CE603">
        <f t="shared" ca="1" si="537"/>
        <v>18</v>
      </c>
      <c r="CF603">
        <f t="shared" ca="1" si="538"/>
        <v>24</v>
      </c>
      <c r="CH603" s="112">
        <f t="shared" ca="1" si="644"/>
        <v>36920</v>
      </c>
      <c r="CI603">
        <f t="shared" ca="1" si="705"/>
        <v>0</v>
      </c>
      <c r="CJ603">
        <f t="shared" ref="CJ603" ca="1" si="710">IF(AND(CI603=0,CJ604=0,CJ605=0,CC603&lt;100000),1,0)</f>
        <v>1</v>
      </c>
      <c r="CK603" s="112">
        <f t="shared" ca="1" si="651"/>
        <v>1</v>
      </c>
      <c r="CM603" s="112"/>
      <c r="CN603" s="260">
        <f t="shared" ca="1" si="488"/>
        <v>36892</v>
      </c>
      <c r="CO603" s="112">
        <f t="shared" ca="1" si="707"/>
        <v>36920</v>
      </c>
      <c r="CP603" s="238">
        <f t="shared" ca="1" si="652"/>
        <v>18</v>
      </c>
      <c r="CQ603" s="328">
        <f t="shared" ca="1" si="653"/>
        <v>24</v>
      </c>
      <c r="CS603" s="112">
        <f t="shared" ca="1" si="492"/>
        <v>36892</v>
      </c>
      <c r="CT603" s="112">
        <f t="shared" ca="1" si="542"/>
        <v>36920</v>
      </c>
      <c r="CU603" s="238">
        <f t="shared" ca="1" si="543"/>
        <v>18</v>
      </c>
      <c r="CV603" s="238">
        <f t="shared" ca="1" si="544"/>
        <v>24</v>
      </c>
      <c r="CY603">
        <f t="shared" si="550"/>
        <v>33</v>
      </c>
      <c r="DA603" s="112">
        <f t="shared" ca="1" si="551"/>
        <v>38596</v>
      </c>
      <c r="DC603">
        <f t="shared" si="552"/>
        <v>603</v>
      </c>
      <c r="DE603" t="str">
        <f t="shared" si="545"/>
        <v>cs603:dc771</v>
      </c>
      <c r="DF603">
        <f t="shared" ca="1" si="546"/>
        <v>676</v>
      </c>
      <c r="DG603" s="412">
        <f t="shared" ca="1" si="690"/>
        <v>0</v>
      </c>
      <c r="DH603" s="411">
        <f t="shared" ca="1" si="678"/>
        <v>38596</v>
      </c>
      <c r="DI603" s="411">
        <f t="shared" ca="1" si="679"/>
        <v>38717</v>
      </c>
      <c r="DJ603" s="410">
        <f t="shared" ca="1" si="680"/>
        <v>18</v>
      </c>
      <c r="DK603" s="410">
        <f t="shared" ca="1" si="681"/>
        <v>24</v>
      </c>
      <c r="DM603" s="411">
        <f t="shared" ca="1" si="691"/>
        <v>38596</v>
      </c>
      <c r="DN603" s="411">
        <f t="shared" ca="1" si="692"/>
        <v>38717</v>
      </c>
      <c r="DO603" s="410">
        <f t="shared" ca="1" si="693"/>
        <v>18</v>
      </c>
      <c r="DP603" s="410">
        <f t="shared" ca="1" si="694"/>
        <v>24</v>
      </c>
    </row>
    <row r="604" spans="27:120" x14ac:dyDescent="0.25">
      <c r="AA604" s="284">
        <f t="shared" ref="AA604:AF604" si="711">AA53</f>
        <v>41197</v>
      </c>
      <c r="AB604" s="284">
        <f t="shared" ref="AB604:AE604" ca="1" si="712">IF(OR(AB53&lt;=$AA604,AB53&gt;$AF604),100000,AB53)</f>
        <v>100000</v>
      </c>
      <c r="AC604" s="284">
        <f t="shared" ca="1" si="712"/>
        <v>100000</v>
      </c>
      <c r="AD604" s="284">
        <f t="shared" ca="1" si="712"/>
        <v>100000</v>
      </c>
      <c r="AE604" s="284">
        <f t="shared" ca="1" si="712"/>
        <v>100000</v>
      </c>
      <c r="AF604" s="284">
        <f t="shared" si="711"/>
        <v>41239</v>
      </c>
      <c r="AG604" s="238">
        <f t="shared" si="505"/>
        <v>6</v>
      </c>
      <c r="AH604" s="407">
        <f t="shared" si="506"/>
        <v>24</v>
      </c>
      <c r="AL604" s="112">
        <f t="shared" si="507"/>
        <v>41197</v>
      </c>
      <c r="AM604" s="112">
        <f t="shared" ca="1" si="508"/>
        <v>100000</v>
      </c>
      <c r="AN604" s="112">
        <f t="shared" ca="1" si="509"/>
        <v>100000</v>
      </c>
      <c r="AO604" s="112">
        <f t="shared" ca="1" si="510"/>
        <v>100000</v>
      </c>
      <c r="AP604" s="112">
        <f t="shared" ca="1" si="511"/>
        <v>41239</v>
      </c>
      <c r="AQ604" s="112">
        <f t="shared" si="512"/>
        <v>41239</v>
      </c>
      <c r="AT604" s="112">
        <f t="shared" si="513"/>
        <v>41197</v>
      </c>
      <c r="AU604" s="112">
        <f t="shared" ca="1" si="514"/>
        <v>100000</v>
      </c>
      <c r="AV604" s="112">
        <f t="shared" ca="1" si="515"/>
        <v>100000</v>
      </c>
      <c r="AW604" s="112">
        <f t="shared" ca="1" si="516"/>
        <v>41239</v>
      </c>
      <c r="AX604" s="112">
        <f t="shared" ca="1" si="517"/>
        <v>41239</v>
      </c>
      <c r="AY604" s="112">
        <f t="shared" si="518"/>
        <v>41239</v>
      </c>
      <c r="BA604" s="112">
        <f t="shared" si="519"/>
        <v>41197</v>
      </c>
      <c r="BB604" s="112">
        <f t="shared" ca="1" si="520"/>
        <v>100000</v>
      </c>
      <c r="BC604" s="112">
        <f t="shared" ca="1" si="521"/>
        <v>41239</v>
      </c>
      <c r="BD604" s="112">
        <f t="shared" ca="1" si="522"/>
        <v>41239</v>
      </c>
      <c r="BE604" s="112">
        <f t="shared" ca="1" si="523"/>
        <v>41239</v>
      </c>
      <c r="BF604" s="112">
        <f t="shared" si="524"/>
        <v>41239</v>
      </c>
      <c r="BI604" s="112">
        <f t="shared" si="525"/>
        <v>41197</v>
      </c>
      <c r="BJ604" s="112">
        <f t="shared" ca="1" si="526"/>
        <v>41239</v>
      </c>
      <c r="BK604" s="112">
        <f t="shared" ca="1" si="527"/>
        <v>41239</v>
      </c>
      <c r="BL604" s="112">
        <f t="shared" ca="1" si="528"/>
        <v>41239</v>
      </c>
      <c r="BM604" s="112">
        <f t="shared" ca="1" si="529"/>
        <v>41239</v>
      </c>
      <c r="BN604" s="112">
        <f t="shared" si="530"/>
        <v>41239</v>
      </c>
      <c r="BP604" s="238">
        <f t="shared" ca="1" si="594"/>
        <v>1</v>
      </c>
      <c r="BQ604" s="238">
        <f t="shared" si="704"/>
        <v>577</v>
      </c>
      <c r="BR604" t="s">
        <v>447</v>
      </c>
      <c r="BS604" t="s">
        <v>448</v>
      </c>
      <c r="BT604" s="114">
        <f t="shared" ca="1" si="482"/>
        <v>0</v>
      </c>
      <c r="BU604" s="112"/>
      <c r="BV604">
        <f t="shared" ca="1" si="587"/>
        <v>0</v>
      </c>
      <c r="BW604" s="112">
        <f t="shared" ca="1" si="484"/>
        <v>36920</v>
      </c>
      <c r="BX604" s="112">
        <f t="shared" ref="BX604:BX605" ca="1" si="713">INDIRECT(CONCATENATE(BS604,BQ604))</f>
        <v>36920</v>
      </c>
      <c r="BY604">
        <f t="shared" ca="1" si="568"/>
        <v>18</v>
      </c>
      <c r="BZ604">
        <f t="shared" ca="1" si="569"/>
        <v>24</v>
      </c>
      <c r="CB604">
        <f t="shared" ca="1" si="534"/>
        <v>0</v>
      </c>
      <c r="CC604" s="112">
        <f t="shared" ca="1" si="535"/>
        <v>100000</v>
      </c>
      <c r="CD604" s="112">
        <f t="shared" ca="1" si="536"/>
        <v>36920</v>
      </c>
      <c r="CE604">
        <f t="shared" ca="1" si="537"/>
        <v>18</v>
      </c>
      <c r="CF604">
        <f t="shared" ca="1" si="538"/>
        <v>24</v>
      </c>
      <c r="CH604" s="112">
        <f t="shared" ca="1" si="644"/>
        <v>36920</v>
      </c>
      <c r="CI604">
        <f t="shared" ca="1" si="705"/>
        <v>0</v>
      </c>
      <c r="CJ604">
        <f t="shared" ref="CJ604" ca="1" si="714">IF(AND(CI604=0,CJ605=0,CC604&lt;100000),1,0)</f>
        <v>0</v>
      </c>
      <c r="CK604" s="112">
        <f t="shared" ca="1" si="651"/>
        <v>36920</v>
      </c>
      <c r="CM604" s="112"/>
      <c r="CN604" s="260">
        <f t="shared" ca="1" si="488"/>
        <v>100000</v>
      </c>
      <c r="CO604" s="112">
        <f t="shared" ca="1" si="707"/>
        <v>36920</v>
      </c>
      <c r="CP604" s="238">
        <f t="shared" ca="1" si="652"/>
        <v>18</v>
      </c>
      <c r="CQ604" s="328">
        <f t="shared" ca="1" si="653"/>
        <v>24</v>
      </c>
      <c r="CS604" s="112">
        <f t="shared" ca="1" si="492"/>
        <v>100000</v>
      </c>
      <c r="CT604" s="112">
        <f t="shared" ca="1" si="542"/>
        <v>36920</v>
      </c>
      <c r="CU604" s="238">
        <f t="shared" ca="1" si="543"/>
        <v>18</v>
      </c>
      <c r="CV604" s="238">
        <f t="shared" ca="1" si="544"/>
        <v>24</v>
      </c>
      <c r="CY604">
        <f t="shared" si="550"/>
        <v>34</v>
      </c>
      <c r="DA604" s="112">
        <f t="shared" ca="1" si="551"/>
        <v>38718</v>
      </c>
      <c r="DC604">
        <f t="shared" si="552"/>
        <v>604</v>
      </c>
      <c r="DE604" t="str">
        <f t="shared" si="545"/>
        <v>cs604:dc771</v>
      </c>
      <c r="DF604">
        <f t="shared" ca="1" si="546"/>
        <v>678</v>
      </c>
      <c r="DG604" s="412">
        <f t="shared" ca="1" si="690"/>
        <v>0</v>
      </c>
      <c r="DH604" s="411">
        <f t="shared" ca="1" si="678"/>
        <v>38718</v>
      </c>
      <c r="DI604" s="411">
        <f t="shared" ca="1" si="679"/>
        <v>38919</v>
      </c>
      <c r="DJ604" s="410">
        <f t="shared" ca="1" si="680"/>
        <v>18</v>
      </c>
      <c r="DK604" s="410">
        <f t="shared" ca="1" si="681"/>
        <v>24</v>
      </c>
      <c r="DM604" s="411">
        <f t="shared" ca="1" si="691"/>
        <v>38718</v>
      </c>
      <c r="DN604" s="411">
        <f t="shared" ca="1" si="692"/>
        <v>38919</v>
      </c>
      <c r="DO604" s="410">
        <f t="shared" ca="1" si="693"/>
        <v>18</v>
      </c>
      <c r="DP604" s="410">
        <f t="shared" ca="1" si="694"/>
        <v>24</v>
      </c>
    </row>
    <row r="605" spans="27:120" ht="15.75" thickBot="1" x14ac:dyDescent="0.3">
      <c r="AA605" s="284">
        <f t="shared" ref="AA605:AF605" si="715">AA54</f>
        <v>41240</v>
      </c>
      <c r="AB605" s="284">
        <f t="shared" ref="AB605:AE605" ca="1" si="716">IF(OR(AB54&lt;=$AA605,AB54&gt;$AF605),100000,AB54)</f>
        <v>100000</v>
      </c>
      <c r="AC605" s="284">
        <f t="shared" ca="1" si="716"/>
        <v>100000</v>
      </c>
      <c r="AD605" s="284">
        <f t="shared" ca="1" si="716"/>
        <v>100000</v>
      </c>
      <c r="AE605" s="284">
        <f t="shared" ca="1" si="716"/>
        <v>100000</v>
      </c>
      <c r="AF605" s="284">
        <f t="shared" si="715"/>
        <v>41471</v>
      </c>
      <c r="AG605" s="238">
        <f t="shared" si="505"/>
        <v>6</v>
      </c>
      <c r="AH605" s="407">
        <f t="shared" si="506"/>
        <v>24</v>
      </c>
      <c r="AL605" s="112">
        <f t="shared" si="507"/>
        <v>41240</v>
      </c>
      <c r="AM605" s="112">
        <f t="shared" ca="1" si="508"/>
        <v>100000</v>
      </c>
      <c r="AN605" s="112">
        <f t="shared" ca="1" si="509"/>
        <v>100000</v>
      </c>
      <c r="AO605" s="112">
        <f t="shared" ca="1" si="510"/>
        <v>100000</v>
      </c>
      <c r="AP605" s="112">
        <f t="shared" ca="1" si="511"/>
        <v>41471</v>
      </c>
      <c r="AQ605" s="112">
        <f t="shared" si="512"/>
        <v>41471</v>
      </c>
      <c r="AT605" s="112">
        <f t="shared" si="513"/>
        <v>41240</v>
      </c>
      <c r="AU605" s="112">
        <f t="shared" ca="1" si="514"/>
        <v>100000</v>
      </c>
      <c r="AV605" s="112">
        <f t="shared" ca="1" si="515"/>
        <v>100000</v>
      </c>
      <c r="AW605" s="112">
        <f t="shared" ca="1" si="516"/>
        <v>41471</v>
      </c>
      <c r="AX605" s="112">
        <f t="shared" ca="1" si="517"/>
        <v>41471</v>
      </c>
      <c r="AY605" s="112">
        <f t="shared" si="518"/>
        <v>41471</v>
      </c>
      <c r="BA605" s="112">
        <f t="shared" si="519"/>
        <v>41240</v>
      </c>
      <c r="BB605" s="112">
        <f t="shared" ca="1" si="520"/>
        <v>100000</v>
      </c>
      <c r="BC605" s="112">
        <f t="shared" ca="1" si="521"/>
        <v>41471</v>
      </c>
      <c r="BD605" s="112">
        <f t="shared" ca="1" si="522"/>
        <v>41471</v>
      </c>
      <c r="BE605" s="112">
        <f t="shared" ca="1" si="523"/>
        <v>41471</v>
      </c>
      <c r="BF605" s="112">
        <f t="shared" si="524"/>
        <v>41471</v>
      </c>
      <c r="BI605" s="112">
        <f t="shared" si="525"/>
        <v>41240</v>
      </c>
      <c r="BJ605" s="112">
        <f t="shared" ca="1" si="526"/>
        <v>41471</v>
      </c>
      <c r="BK605" s="112">
        <f t="shared" ca="1" si="527"/>
        <v>41471</v>
      </c>
      <c r="BL605" s="112">
        <f t="shared" ca="1" si="528"/>
        <v>41471</v>
      </c>
      <c r="BM605" s="112">
        <f t="shared" ca="1" si="529"/>
        <v>41471</v>
      </c>
      <c r="BN605" s="112">
        <f t="shared" si="530"/>
        <v>41471</v>
      </c>
      <c r="BP605" s="238">
        <f t="shared" ca="1" si="594"/>
        <v>1</v>
      </c>
      <c r="BQ605" s="238">
        <f t="shared" si="704"/>
        <v>577</v>
      </c>
      <c r="BR605" t="s">
        <v>448</v>
      </c>
      <c r="BS605" t="s">
        <v>449</v>
      </c>
      <c r="BT605" s="114">
        <f t="shared" ca="1" si="482"/>
        <v>0</v>
      </c>
      <c r="BU605" s="112"/>
      <c r="BV605">
        <f t="shared" ca="1" si="587"/>
        <v>0</v>
      </c>
      <c r="BW605" s="112">
        <f t="shared" ca="1" si="484"/>
        <v>36920</v>
      </c>
      <c r="BX605" s="112">
        <f t="shared" ca="1" si="713"/>
        <v>36920</v>
      </c>
      <c r="BY605">
        <f t="shared" ca="1" si="568"/>
        <v>18</v>
      </c>
      <c r="BZ605">
        <f t="shared" ca="1" si="569"/>
        <v>24</v>
      </c>
      <c r="CB605">
        <f t="shared" ca="1" si="534"/>
        <v>0</v>
      </c>
      <c r="CC605" s="112">
        <f t="shared" ca="1" si="535"/>
        <v>100000</v>
      </c>
      <c r="CD605" s="112">
        <f t="shared" ca="1" si="536"/>
        <v>36920</v>
      </c>
      <c r="CE605">
        <f t="shared" ca="1" si="537"/>
        <v>18</v>
      </c>
      <c r="CF605">
        <f t="shared" ca="1" si="538"/>
        <v>24</v>
      </c>
      <c r="CH605" s="112">
        <f t="shared" ca="1" si="644"/>
        <v>36920</v>
      </c>
      <c r="CI605">
        <f t="shared" ca="1" si="705"/>
        <v>0</v>
      </c>
      <c r="CJ605">
        <f t="shared" ref="CJ605" ca="1" si="717">IF(AND(CI605=0,CC605&lt;100000),1,0)</f>
        <v>0</v>
      </c>
      <c r="CK605" s="112">
        <f t="shared" ca="1" si="651"/>
        <v>36920</v>
      </c>
      <c r="CM605" s="112"/>
      <c r="CN605" s="261">
        <f t="shared" ref="CN605" ca="1" si="718">IF(AND(CN601=100000,CN602=100000,CN603=100000,CN604=100000),INDIRECT(CONCATENATE("aa",BQ605)),CC605)</f>
        <v>100000</v>
      </c>
      <c r="CO605" s="324">
        <f t="shared" ca="1" si="707"/>
        <v>36920</v>
      </c>
      <c r="CP605" s="256">
        <f t="shared" ca="1" si="652"/>
        <v>18</v>
      </c>
      <c r="CQ605" s="329">
        <f t="shared" ca="1" si="653"/>
        <v>24</v>
      </c>
      <c r="CS605" s="112">
        <f t="shared" ca="1" si="492"/>
        <v>100000</v>
      </c>
      <c r="CT605" s="112">
        <f t="shared" ca="1" si="542"/>
        <v>36920</v>
      </c>
      <c r="CU605" s="238">
        <f t="shared" ca="1" si="543"/>
        <v>18</v>
      </c>
      <c r="CV605" s="238">
        <f t="shared" ca="1" si="544"/>
        <v>24</v>
      </c>
      <c r="CY605">
        <f t="shared" si="550"/>
        <v>35</v>
      </c>
      <c r="DA605" s="112">
        <f t="shared" ca="1" si="551"/>
        <v>38961</v>
      </c>
      <c r="DC605">
        <f t="shared" si="552"/>
        <v>605</v>
      </c>
      <c r="DE605" t="str">
        <f t="shared" si="545"/>
        <v>cs605:dc771</v>
      </c>
      <c r="DF605">
        <f t="shared" ca="1" si="546"/>
        <v>681</v>
      </c>
      <c r="DG605" s="412">
        <f t="shared" ca="1" si="690"/>
        <v>0</v>
      </c>
      <c r="DH605" s="411">
        <f t="shared" ca="1" si="678"/>
        <v>38961</v>
      </c>
      <c r="DI605" s="411">
        <f t="shared" ca="1" si="679"/>
        <v>39082</v>
      </c>
      <c r="DJ605" s="410">
        <f t="shared" ca="1" si="680"/>
        <v>18</v>
      </c>
      <c r="DK605" s="410">
        <f t="shared" ca="1" si="681"/>
        <v>24</v>
      </c>
      <c r="DM605" s="411">
        <f t="shared" ca="1" si="691"/>
        <v>38961</v>
      </c>
      <c r="DN605" s="411">
        <f t="shared" ca="1" si="692"/>
        <v>39082</v>
      </c>
      <c r="DO605" s="410">
        <f t="shared" ca="1" si="693"/>
        <v>18</v>
      </c>
      <c r="DP605" s="410">
        <f t="shared" ca="1" si="694"/>
        <v>24</v>
      </c>
    </row>
    <row r="606" spans="27:120" x14ac:dyDescent="0.25">
      <c r="AA606" s="284">
        <f t="shared" ref="AA606:AF606" si="719">AA55</f>
        <v>41530</v>
      </c>
      <c r="AB606" s="284">
        <f t="shared" ref="AB606:AE606" ca="1" si="720">IF(OR(AB55&lt;=$AA606,AB55&gt;$AF606),100000,AB55)</f>
        <v>100000</v>
      </c>
      <c r="AC606" s="284">
        <f t="shared" ca="1" si="720"/>
        <v>100000</v>
      </c>
      <c r="AD606" s="284">
        <f t="shared" ca="1" si="720"/>
        <v>100000</v>
      </c>
      <c r="AE606" s="284">
        <f t="shared" ca="1" si="720"/>
        <v>100000</v>
      </c>
      <c r="AF606" s="284">
        <f t="shared" si="719"/>
        <v>41882</v>
      </c>
      <c r="AG606" s="238">
        <f t="shared" si="505"/>
        <v>18</v>
      </c>
      <c r="AH606" s="407">
        <f t="shared" si="506"/>
        <v>24</v>
      </c>
      <c r="AL606" s="112">
        <f t="shared" si="507"/>
        <v>41530</v>
      </c>
      <c r="AM606" s="112">
        <f t="shared" ca="1" si="508"/>
        <v>100000</v>
      </c>
      <c r="AN606" s="112">
        <f t="shared" ca="1" si="509"/>
        <v>100000</v>
      </c>
      <c r="AO606" s="112">
        <f t="shared" ca="1" si="510"/>
        <v>100000</v>
      </c>
      <c r="AP606" s="112">
        <f t="shared" ca="1" si="511"/>
        <v>41882</v>
      </c>
      <c r="AQ606" s="112">
        <f t="shared" si="512"/>
        <v>41882</v>
      </c>
      <c r="AT606" s="112">
        <f t="shared" si="513"/>
        <v>41530</v>
      </c>
      <c r="AU606" s="112">
        <f t="shared" ca="1" si="514"/>
        <v>100000</v>
      </c>
      <c r="AV606" s="112">
        <f t="shared" ca="1" si="515"/>
        <v>100000</v>
      </c>
      <c r="AW606" s="112">
        <f t="shared" ca="1" si="516"/>
        <v>41882</v>
      </c>
      <c r="AX606" s="112">
        <f t="shared" ca="1" si="517"/>
        <v>41882</v>
      </c>
      <c r="AY606" s="112">
        <f t="shared" si="518"/>
        <v>41882</v>
      </c>
      <c r="BA606" s="112">
        <f t="shared" si="519"/>
        <v>41530</v>
      </c>
      <c r="BB606" s="112">
        <f t="shared" ca="1" si="520"/>
        <v>100000</v>
      </c>
      <c r="BC606" s="112">
        <f t="shared" ca="1" si="521"/>
        <v>41882</v>
      </c>
      <c r="BD606" s="112">
        <f t="shared" ca="1" si="522"/>
        <v>41882</v>
      </c>
      <c r="BE606" s="112">
        <f t="shared" ca="1" si="523"/>
        <v>41882</v>
      </c>
      <c r="BF606" s="112">
        <f t="shared" si="524"/>
        <v>41882</v>
      </c>
      <c r="BI606" s="112">
        <f t="shared" si="525"/>
        <v>41530</v>
      </c>
      <c r="BJ606" s="112">
        <f t="shared" ca="1" si="526"/>
        <v>41882</v>
      </c>
      <c r="BK606" s="112">
        <f t="shared" ca="1" si="527"/>
        <v>41882</v>
      </c>
      <c r="BL606" s="112">
        <f t="shared" ca="1" si="528"/>
        <v>41882</v>
      </c>
      <c r="BM606" s="112">
        <f t="shared" ca="1" si="529"/>
        <v>41882</v>
      </c>
      <c r="BN606" s="112">
        <f t="shared" si="530"/>
        <v>41882</v>
      </c>
      <c r="BP606" s="238">
        <f t="shared" ca="1" si="594"/>
        <v>1</v>
      </c>
      <c r="BQ606" s="238">
        <f t="shared" ref="BQ606" si="721">BQ605+1</f>
        <v>578</v>
      </c>
      <c r="BR606" s="112" t="s">
        <v>444</v>
      </c>
      <c r="BS606" s="112" t="s">
        <v>445</v>
      </c>
      <c r="BT606" s="114">
        <f t="shared" ca="1" si="482"/>
        <v>1</v>
      </c>
      <c r="BU606" s="112"/>
      <c r="BV606">
        <f t="shared" ca="1" si="587"/>
        <v>1</v>
      </c>
      <c r="BW606" s="112">
        <f t="shared" ca="1" si="484"/>
        <v>36921</v>
      </c>
      <c r="BX606" s="112">
        <f t="shared" ref="BX606:BX608" ca="1" si="722">INDIRECT(CONCATENATE(BS606,BQ606))-1</f>
        <v>37071</v>
      </c>
      <c r="BY606">
        <f t="shared" ca="1" si="568"/>
        <v>18</v>
      </c>
      <c r="BZ606">
        <f t="shared" ca="1" si="569"/>
        <v>24</v>
      </c>
      <c r="CB606">
        <f t="shared" ca="1" si="534"/>
        <v>0</v>
      </c>
      <c r="CC606" s="112">
        <f t="shared" ca="1" si="535"/>
        <v>36921</v>
      </c>
      <c r="CD606" s="112">
        <f t="shared" ca="1" si="536"/>
        <v>37071</v>
      </c>
      <c r="CE606">
        <f t="shared" ca="1" si="537"/>
        <v>18</v>
      </c>
      <c r="CF606">
        <f t="shared" ca="1" si="538"/>
        <v>24</v>
      </c>
      <c r="CH606" s="112">
        <f t="shared" ca="1" si="644"/>
        <v>37072</v>
      </c>
      <c r="CI606">
        <f t="shared" ref="CI606" ca="1" si="723">CB606+CB607+CB608+CB609+CB610</f>
        <v>0</v>
      </c>
      <c r="CJ606">
        <v>0</v>
      </c>
      <c r="CK606" s="112">
        <f t="shared" ca="1" si="651"/>
        <v>37072</v>
      </c>
      <c r="CM606" s="112"/>
      <c r="CN606" s="408">
        <f t="shared" ca="1" si="488"/>
        <v>36921</v>
      </c>
      <c r="CO606" s="326">
        <f t="shared" ref="CO606" ca="1" si="724">CD606</f>
        <v>37071</v>
      </c>
      <c r="CP606" s="333">
        <f t="shared" ca="1" si="652"/>
        <v>18</v>
      </c>
      <c r="CQ606" s="327">
        <f t="shared" ca="1" si="653"/>
        <v>24</v>
      </c>
      <c r="CS606" s="112">
        <f t="shared" ca="1" si="492"/>
        <v>36921</v>
      </c>
      <c r="CT606" s="112">
        <f t="shared" ref="CT606" ca="1" si="725">IF(AND( CN607=100000,CN608=100000,CN609=100000,CN610=100000),CO610,                             CO606)</f>
        <v>37072</v>
      </c>
      <c r="CU606" s="238">
        <f t="shared" ca="1" si="543"/>
        <v>18</v>
      </c>
      <c r="CV606" s="238">
        <f t="shared" ca="1" si="544"/>
        <v>24</v>
      </c>
      <c r="CY606">
        <f t="shared" si="550"/>
        <v>36</v>
      </c>
      <c r="DA606" s="112">
        <f t="shared" ca="1" si="551"/>
        <v>39083</v>
      </c>
      <c r="DC606">
        <f t="shared" si="552"/>
        <v>606</v>
      </c>
      <c r="DE606" t="str">
        <f t="shared" si="545"/>
        <v>cs606:dc771</v>
      </c>
      <c r="DF606">
        <f t="shared" ca="1" si="546"/>
        <v>683</v>
      </c>
      <c r="DG606" s="412">
        <f t="shared" ca="1" si="690"/>
        <v>0</v>
      </c>
      <c r="DH606" s="411">
        <f t="shared" ca="1" si="678"/>
        <v>39083</v>
      </c>
      <c r="DI606" s="411">
        <f t="shared" ca="1" si="679"/>
        <v>39113</v>
      </c>
      <c r="DJ606" s="410">
        <f t="shared" ca="1" si="680"/>
        <v>18</v>
      </c>
      <c r="DK606" s="410">
        <f t="shared" ca="1" si="681"/>
        <v>24</v>
      </c>
      <c r="DM606" s="411">
        <f t="shared" ca="1" si="691"/>
        <v>39083</v>
      </c>
      <c r="DN606" s="411">
        <f t="shared" ca="1" si="692"/>
        <v>39113</v>
      </c>
      <c r="DO606" s="410">
        <f t="shared" ca="1" si="693"/>
        <v>18</v>
      </c>
      <c r="DP606" s="410">
        <f t="shared" ca="1" si="694"/>
        <v>24</v>
      </c>
    </row>
    <row r="607" spans="27:120" x14ac:dyDescent="0.25">
      <c r="AA607" s="284">
        <f t="shared" ref="AA607:AF607" si="726">AA56</f>
        <v>41915</v>
      </c>
      <c r="AB607" s="284">
        <f t="shared" ref="AB607:AE607" ca="1" si="727">IF(OR(AB56&lt;=$AA607,AB56&gt;$AF607),100000,AB56)</f>
        <v>100000</v>
      </c>
      <c r="AC607" s="284">
        <f t="shared" ca="1" si="727"/>
        <v>100000</v>
      </c>
      <c r="AD607" s="284">
        <f t="shared" ca="1" si="727"/>
        <v>100000</v>
      </c>
      <c r="AE607" s="284">
        <f t="shared" ca="1" si="727"/>
        <v>100000</v>
      </c>
      <c r="AF607" s="284">
        <f t="shared" si="726"/>
        <v>42185</v>
      </c>
      <c r="AG607" s="238">
        <f t="shared" si="505"/>
        <v>18</v>
      </c>
      <c r="AH607" s="407">
        <f t="shared" si="506"/>
        <v>24</v>
      </c>
      <c r="AL607" s="112">
        <f t="shared" si="507"/>
        <v>41915</v>
      </c>
      <c r="AM607" s="112">
        <f t="shared" ca="1" si="508"/>
        <v>100000</v>
      </c>
      <c r="AN607" s="112">
        <f t="shared" ca="1" si="509"/>
        <v>100000</v>
      </c>
      <c r="AO607" s="112">
        <f t="shared" ca="1" si="510"/>
        <v>100000</v>
      </c>
      <c r="AP607" s="112">
        <f t="shared" ca="1" si="511"/>
        <v>42185</v>
      </c>
      <c r="AQ607" s="112">
        <f t="shared" si="512"/>
        <v>42185</v>
      </c>
      <c r="AT607" s="112">
        <f t="shared" si="513"/>
        <v>41915</v>
      </c>
      <c r="AU607" s="112">
        <f t="shared" ca="1" si="514"/>
        <v>100000</v>
      </c>
      <c r="AV607" s="112">
        <f t="shared" ca="1" si="515"/>
        <v>100000</v>
      </c>
      <c r="AW607" s="112">
        <f t="shared" ca="1" si="516"/>
        <v>42185</v>
      </c>
      <c r="AX607" s="112">
        <f t="shared" ca="1" si="517"/>
        <v>42185</v>
      </c>
      <c r="AY607" s="112">
        <f t="shared" si="518"/>
        <v>42185</v>
      </c>
      <c r="BA607" s="112">
        <f t="shared" si="519"/>
        <v>41915</v>
      </c>
      <c r="BB607" s="112">
        <f t="shared" ca="1" si="520"/>
        <v>100000</v>
      </c>
      <c r="BC607" s="112">
        <f t="shared" ca="1" si="521"/>
        <v>42185</v>
      </c>
      <c r="BD607" s="112">
        <f t="shared" ca="1" si="522"/>
        <v>42185</v>
      </c>
      <c r="BE607" s="112">
        <f t="shared" ca="1" si="523"/>
        <v>42185</v>
      </c>
      <c r="BF607" s="112">
        <f t="shared" si="524"/>
        <v>42185</v>
      </c>
      <c r="BI607" s="112">
        <f t="shared" si="525"/>
        <v>41915</v>
      </c>
      <c r="BJ607" s="112">
        <f t="shared" ca="1" si="526"/>
        <v>42185</v>
      </c>
      <c r="BK607" s="112">
        <f t="shared" ca="1" si="527"/>
        <v>42185</v>
      </c>
      <c r="BL607" s="112">
        <f t="shared" ca="1" si="528"/>
        <v>42185</v>
      </c>
      <c r="BM607" s="112">
        <f t="shared" ca="1" si="529"/>
        <v>42185</v>
      </c>
      <c r="BN607" s="112">
        <f t="shared" si="530"/>
        <v>42185</v>
      </c>
      <c r="BP607" s="238">
        <f t="shared" ca="1" si="594"/>
        <v>1</v>
      </c>
      <c r="BQ607" s="238">
        <f t="shared" ref="BQ607:BQ610" si="728">BQ606</f>
        <v>578</v>
      </c>
      <c r="BR607" t="s">
        <v>445</v>
      </c>
      <c r="BS607" t="s">
        <v>446</v>
      </c>
      <c r="BT607" s="114">
        <f t="shared" ca="1" si="482"/>
        <v>1</v>
      </c>
      <c r="BU607" s="112"/>
      <c r="BV607">
        <f t="shared" ca="1" si="587"/>
        <v>0</v>
      </c>
      <c r="BW607" s="112">
        <f t="shared" ca="1" si="484"/>
        <v>37072</v>
      </c>
      <c r="BX607" s="112">
        <f t="shared" ca="1" si="722"/>
        <v>37071</v>
      </c>
      <c r="BY607">
        <f t="shared" ca="1" si="568"/>
        <v>18</v>
      </c>
      <c r="BZ607">
        <f t="shared" ca="1" si="569"/>
        <v>24</v>
      </c>
      <c r="CB607">
        <f t="shared" ca="1" si="534"/>
        <v>0</v>
      </c>
      <c r="CC607" s="112">
        <f t="shared" ca="1" si="535"/>
        <v>100000</v>
      </c>
      <c r="CD607" s="112">
        <f t="shared" ca="1" si="536"/>
        <v>37071</v>
      </c>
      <c r="CE607">
        <f t="shared" ca="1" si="537"/>
        <v>18</v>
      </c>
      <c r="CF607">
        <f t="shared" ca="1" si="538"/>
        <v>24</v>
      </c>
      <c r="CH607" s="112">
        <f t="shared" ca="1" si="644"/>
        <v>37072</v>
      </c>
      <c r="CI607">
        <f t="shared" ref="CI607:CI610" ca="1" si="729">CI606</f>
        <v>0</v>
      </c>
      <c r="CJ607">
        <f t="shared" ref="CJ607" ca="1" si="730">IF(AND(CI607=0,CJ608=0,CJ609=0,CJ610=0,CC607&lt;100000),1,0)</f>
        <v>0</v>
      </c>
      <c r="CK607" s="112">
        <f t="shared" ca="1" si="651"/>
        <v>37072</v>
      </c>
      <c r="CM607" s="112"/>
      <c r="CN607" s="260">
        <f t="shared" ca="1" si="488"/>
        <v>100000</v>
      </c>
      <c r="CO607" s="112">
        <f t="shared" ref="CO607:CO610" ca="1" si="731">IF(CJ607=1,CH607,CD607)</f>
        <v>37071</v>
      </c>
      <c r="CP607" s="238">
        <f t="shared" ca="1" si="652"/>
        <v>18</v>
      </c>
      <c r="CQ607" s="328">
        <f t="shared" ca="1" si="653"/>
        <v>24</v>
      </c>
      <c r="CS607" s="112">
        <f t="shared" ca="1" si="492"/>
        <v>100000</v>
      </c>
      <c r="CT607" s="112">
        <f t="shared" ca="1" si="542"/>
        <v>37071</v>
      </c>
      <c r="CU607" s="238">
        <f t="shared" ca="1" si="543"/>
        <v>18</v>
      </c>
      <c r="CV607" s="238">
        <f t="shared" ca="1" si="544"/>
        <v>24</v>
      </c>
      <c r="CY607">
        <f t="shared" si="550"/>
        <v>37</v>
      </c>
      <c r="DA607" s="112">
        <f t="shared" ca="1" si="551"/>
        <v>39114</v>
      </c>
      <c r="DC607">
        <f t="shared" si="552"/>
        <v>607</v>
      </c>
      <c r="DE607" t="str">
        <f t="shared" si="545"/>
        <v>cs607:dc771</v>
      </c>
      <c r="DF607">
        <f t="shared" ca="1" si="546"/>
        <v>684</v>
      </c>
      <c r="DG607" s="412">
        <f t="shared" ca="1" si="690"/>
        <v>0</v>
      </c>
      <c r="DH607" s="411">
        <f t="shared" ca="1" si="678"/>
        <v>39114</v>
      </c>
      <c r="DI607" s="411">
        <f t="shared" ca="1" si="679"/>
        <v>39264</v>
      </c>
      <c r="DJ607" s="410">
        <f t="shared" ca="1" si="680"/>
        <v>18</v>
      </c>
      <c r="DK607" s="410">
        <f t="shared" ca="1" si="681"/>
        <v>24</v>
      </c>
      <c r="DM607" s="411">
        <f t="shared" ca="1" si="691"/>
        <v>39114</v>
      </c>
      <c r="DN607" s="411">
        <f t="shared" ca="1" si="692"/>
        <v>39264</v>
      </c>
      <c r="DO607" s="410">
        <f t="shared" ca="1" si="693"/>
        <v>18</v>
      </c>
      <c r="DP607" s="410">
        <f t="shared" ca="1" si="694"/>
        <v>24</v>
      </c>
    </row>
    <row r="608" spans="27:120" x14ac:dyDescent="0.25">
      <c r="AA608" s="284">
        <f t="shared" ref="AA608:AF608" si="732">AA57</f>
        <v>42248</v>
      </c>
      <c r="AB608" s="284">
        <f t="shared" ref="AB608:AE608" ca="1" si="733">IF(OR(AB57&lt;=$AA608,AB57&gt;$AF608),100000,AB57)</f>
        <v>100000</v>
      </c>
      <c r="AC608" s="284">
        <f t="shared" ca="1" si="733"/>
        <v>100000</v>
      </c>
      <c r="AD608" s="284">
        <f t="shared" ca="1" si="733"/>
        <v>100000</v>
      </c>
      <c r="AE608" s="284">
        <f t="shared" ca="1" si="733"/>
        <v>100000</v>
      </c>
      <c r="AF608" s="284">
        <f t="shared" si="732"/>
        <v>42613</v>
      </c>
      <c r="AG608" s="238">
        <f t="shared" si="505"/>
        <v>18</v>
      </c>
      <c r="AH608" s="407">
        <f t="shared" si="506"/>
        <v>24</v>
      </c>
      <c r="AL608" s="112">
        <f t="shared" si="507"/>
        <v>42248</v>
      </c>
      <c r="AM608" s="112">
        <f t="shared" ca="1" si="508"/>
        <v>100000</v>
      </c>
      <c r="AN608" s="112">
        <f t="shared" ca="1" si="509"/>
        <v>100000</v>
      </c>
      <c r="AO608" s="112">
        <f t="shared" ca="1" si="510"/>
        <v>100000</v>
      </c>
      <c r="AP608" s="112">
        <f t="shared" ca="1" si="511"/>
        <v>42613</v>
      </c>
      <c r="AQ608" s="112">
        <f t="shared" si="512"/>
        <v>42613</v>
      </c>
      <c r="AT608" s="112">
        <f t="shared" si="513"/>
        <v>42248</v>
      </c>
      <c r="AU608" s="112">
        <f t="shared" ca="1" si="514"/>
        <v>100000</v>
      </c>
      <c r="AV608" s="112">
        <f t="shared" ca="1" si="515"/>
        <v>100000</v>
      </c>
      <c r="AW608" s="112">
        <f t="shared" ca="1" si="516"/>
        <v>42613</v>
      </c>
      <c r="AX608" s="112">
        <f t="shared" ca="1" si="517"/>
        <v>42613</v>
      </c>
      <c r="AY608" s="112">
        <f t="shared" si="518"/>
        <v>42613</v>
      </c>
      <c r="BA608" s="112">
        <f t="shared" si="519"/>
        <v>42248</v>
      </c>
      <c r="BB608" s="112">
        <f t="shared" ca="1" si="520"/>
        <v>100000</v>
      </c>
      <c r="BC608" s="112">
        <f t="shared" ca="1" si="521"/>
        <v>42613</v>
      </c>
      <c r="BD608" s="112">
        <f t="shared" ca="1" si="522"/>
        <v>42613</v>
      </c>
      <c r="BE608" s="112">
        <f t="shared" ca="1" si="523"/>
        <v>42613</v>
      </c>
      <c r="BF608" s="112">
        <f t="shared" si="524"/>
        <v>42613</v>
      </c>
      <c r="BI608" s="112">
        <f t="shared" si="525"/>
        <v>42248</v>
      </c>
      <c r="BJ608" s="112">
        <f t="shared" ca="1" si="526"/>
        <v>42613</v>
      </c>
      <c r="BK608" s="112">
        <f t="shared" ca="1" si="527"/>
        <v>42613</v>
      </c>
      <c r="BL608" s="112">
        <f t="shared" ca="1" si="528"/>
        <v>42613</v>
      </c>
      <c r="BM608" s="112">
        <f t="shared" ca="1" si="529"/>
        <v>42613</v>
      </c>
      <c r="BN608" s="112">
        <f t="shared" si="530"/>
        <v>42613</v>
      </c>
      <c r="BP608" s="238">
        <f t="shared" ca="1" si="594"/>
        <v>1</v>
      </c>
      <c r="BQ608" s="238">
        <f t="shared" si="728"/>
        <v>578</v>
      </c>
      <c r="BR608" t="s">
        <v>446</v>
      </c>
      <c r="BS608" t="s">
        <v>447</v>
      </c>
      <c r="BT608" s="114">
        <f t="shared" ca="1" si="482"/>
        <v>1</v>
      </c>
      <c r="BU608" s="112"/>
      <c r="BV608">
        <f t="shared" ca="1" si="587"/>
        <v>0</v>
      </c>
      <c r="BW608" s="112">
        <f t="shared" ca="1" si="484"/>
        <v>37072</v>
      </c>
      <c r="BX608" s="112">
        <f t="shared" ca="1" si="722"/>
        <v>37071</v>
      </c>
      <c r="BY608">
        <f t="shared" ca="1" si="568"/>
        <v>18</v>
      </c>
      <c r="BZ608">
        <f t="shared" ca="1" si="569"/>
        <v>24</v>
      </c>
      <c r="CB608">
        <f t="shared" ca="1" si="534"/>
        <v>0</v>
      </c>
      <c r="CC608" s="112">
        <f t="shared" ca="1" si="535"/>
        <v>100000</v>
      </c>
      <c r="CD608" s="112">
        <f t="shared" ca="1" si="536"/>
        <v>37071</v>
      </c>
      <c r="CE608">
        <f t="shared" ca="1" si="537"/>
        <v>18</v>
      </c>
      <c r="CF608">
        <f t="shared" ca="1" si="538"/>
        <v>24</v>
      </c>
      <c r="CH608" s="112">
        <f t="shared" ca="1" si="644"/>
        <v>37072</v>
      </c>
      <c r="CI608">
        <f t="shared" ca="1" si="729"/>
        <v>0</v>
      </c>
      <c r="CJ608">
        <f t="shared" ref="CJ608" ca="1" si="734">IF(AND(CI608=0,CJ609=0,CJ610=0,CC608&lt;100000),1,0)</f>
        <v>0</v>
      </c>
      <c r="CK608" s="112">
        <f t="shared" ca="1" si="651"/>
        <v>37072</v>
      </c>
      <c r="CM608" s="112"/>
      <c r="CN608" s="260">
        <f t="shared" ca="1" si="488"/>
        <v>100000</v>
      </c>
      <c r="CO608" s="112">
        <f t="shared" ca="1" si="731"/>
        <v>37071</v>
      </c>
      <c r="CP608" s="238">
        <f t="shared" ca="1" si="652"/>
        <v>18</v>
      </c>
      <c r="CQ608" s="328">
        <f t="shared" ca="1" si="653"/>
        <v>24</v>
      </c>
      <c r="CS608" s="112">
        <f t="shared" ca="1" si="492"/>
        <v>100000</v>
      </c>
      <c r="CT608" s="112">
        <f t="shared" ca="1" si="542"/>
        <v>37071</v>
      </c>
      <c r="CU608" s="238">
        <f t="shared" ca="1" si="543"/>
        <v>18</v>
      </c>
      <c r="CV608" s="238">
        <f t="shared" ca="1" si="544"/>
        <v>24</v>
      </c>
      <c r="CY608">
        <f t="shared" si="550"/>
        <v>38</v>
      </c>
      <c r="DA608" s="112">
        <f t="shared" ca="1" si="551"/>
        <v>39264</v>
      </c>
      <c r="DC608">
        <f t="shared" si="552"/>
        <v>608</v>
      </c>
      <c r="DE608" t="str">
        <f t="shared" si="545"/>
        <v>cs608:dc771</v>
      </c>
      <c r="DF608">
        <f t="shared" ca="1" si="546"/>
        <v>685</v>
      </c>
      <c r="DG608" s="412">
        <f t="shared" ca="1" si="690"/>
        <v>0</v>
      </c>
      <c r="DH608" s="411">
        <f t="shared" ca="1" si="678"/>
        <v>39264</v>
      </c>
      <c r="DI608" s="411">
        <f t="shared" ca="1" si="679"/>
        <v>39277</v>
      </c>
      <c r="DJ608" s="410">
        <f t="shared" ca="1" si="680"/>
        <v>18</v>
      </c>
      <c r="DK608" s="410">
        <f t="shared" ca="1" si="681"/>
        <v>24</v>
      </c>
      <c r="DM608" s="411">
        <f t="shared" ca="1" si="691"/>
        <v>39264</v>
      </c>
      <c r="DN608" s="411">
        <f t="shared" ca="1" si="692"/>
        <v>39277</v>
      </c>
      <c r="DO608" s="410">
        <f t="shared" ca="1" si="693"/>
        <v>18</v>
      </c>
      <c r="DP608" s="410">
        <f t="shared" ca="1" si="694"/>
        <v>24</v>
      </c>
    </row>
    <row r="609" spans="27:120" x14ac:dyDescent="0.25">
      <c r="AA609" s="284">
        <f t="shared" ref="AA609:AF609" si="735">AA58</f>
        <v>42614</v>
      </c>
      <c r="AB609" s="284">
        <f t="shared" ref="AB609:AE609" ca="1" si="736">IF(OR(AB58&lt;=$AA609,AB58&gt;$AF609),100000,AB58)</f>
        <v>100000</v>
      </c>
      <c r="AC609" s="284">
        <f t="shared" ca="1" si="736"/>
        <v>42736</v>
      </c>
      <c r="AD609" s="284">
        <f t="shared" ca="1" si="736"/>
        <v>42782</v>
      </c>
      <c r="AE609" s="284">
        <f t="shared" ca="1" si="736"/>
        <v>100000</v>
      </c>
      <c r="AF609" s="284">
        <f t="shared" si="735"/>
        <v>42978</v>
      </c>
      <c r="AG609" s="238">
        <f t="shared" si="505"/>
        <v>18</v>
      </c>
      <c r="AH609" s="407">
        <f t="shared" si="506"/>
        <v>24</v>
      </c>
      <c r="AL609" s="112">
        <f t="shared" si="507"/>
        <v>42614</v>
      </c>
      <c r="AM609" s="112">
        <f t="shared" ca="1" si="508"/>
        <v>42736</v>
      </c>
      <c r="AN609" s="112">
        <f t="shared" ca="1" si="509"/>
        <v>42736</v>
      </c>
      <c r="AO609" s="112">
        <f t="shared" ca="1" si="510"/>
        <v>42782</v>
      </c>
      <c r="AP609" s="112">
        <f t="shared" ca="1" si="511"/>
        <v>42978</v>
      </c>
      <c r="AQ609" s="112">
        <f t="shared" si="512"/>
        <v>42978</v>
      </c>
      <c r="AT609" s="112">
        <f t="shared" si="513"/>
        <v>42614</v>
      </c>
      <c r="AU609" s="112">
        <f t="shared" ca="1" si="514"/>
        <v>42736</v>
      </c>
      <c r="AV609" s="112">
        <f t="shared" ca="1" si="515"/>
        <v>42736</v>
      </c>
      <c r="AW609" s="112">
        <f t="shared" ca="1" si="516"/>
        <v>42782</v>
      </c>
      <c r="AX609" s="112">
        <f t="shared" ca="1" si="517"/>
        <v>42978</v>
      </c>
      <c r="AY609" s="112">
        <f t="shared" si="518"/>
        <v>42978</v>
      </c>
      <c r="BA609" s="112">
        <f t="shared" si="519"/>
        <v>42614</v>
      </c>
      <c r="BB609" s="112">
        <f t="shared" ca="1" si="520"/>
        <v>42736</v>
      </c>
      <c r="BC609" s="112">
        <f t="shared" ca="1" si="521"/>
        <v>42736</v>
      </c>
      <c r="BD609" s="112">
        <f t="shared" ca="1" si="522"/>
        <v>42782</v>
      </c>
      <c r="BE609" s="112">
        <f t="shared" ca="1" si="523"/>
        <v>42978</v>
      </c>
      <c r="BF609" s="112">
        <f t="shared" si="524"/>
        <v>42978</v>
      </c>
      <c r="BI609" s="112">
        <f t="shared" si="525"/>
        <v>42614</v>
      </c>
      <c r="BJ609" s="112">
        <f t="shared" ca="1" si="526"/>
        <v>42736</v>
      </c>
      <c r="BK609" s="112">
        <f t="shared" ca="1" si="527"/>
        <v>42736</v>
      </c>
      <c r="BL609" s="112">
        <f t="shared" ca="1" si="528"/>
        <v>42782</v>
      </c>
      <c r="BM609" s="112">
        <f t="shared" ca="1" si="529"/>
        <v>42978</v>
      </c>
      <c r="BN609" s="112">
        <f t="shared" si="530"/>
        <v>42978</v>
      </c>
      <c r="BP609" s="238">
        <f t="shared" ca="1" si="594"/>
        <v>0</v>
      </c>
      <c r="BQ609" s="238">
        <f t="shared" si="728"/>
        <v>578</v>
      </c>
      <c r="BR609" t="s">
        <v>447</v>
      </c>
      <c r="BS609" t="s">
        <v>448</v>
      </c>
      <c r="BT609" s="114">
        <f t="shared" ca="1" si="482"/>
        <v>1</v>
      </c>
      <c r="BU609" s="112"/>
      <c r="BV609">
        <f t="shared" ca="1" si="587"/>
        <v>0</v>
      </c>
      <c r="BW609" s="112">
        <f t="shared" ca="1" si="484"/>
        <v>37072</v>
      </c>
      <c r="BX609" s="112">
        <f t="shared" ref="BX609:BX610" ca="1" si="737">INDIRECT(CONCATENATE(BS609,BQ609))</f>
        <v>37072</v>
      </c>
      <c r="BY609">
        <f t="shared" ca="1" si="568"/>
        <v>18</v>
      </c>
      <c r="BZ609">
        <f t="shared" ca="1" si="569"/>
        <v>24</v>
      </c>
      <c r="CB609">
        <f t="shared" ca="1" si="534"/>
        <v>0</v>
      </c>
      <c r="CC609" s="112">
        <f t="shared" ca="1" si="535"/>
        <v>100000</v>
      </c>
      <c r="CD609" s="112">
        <f t="shared" ca="1" si="536"/>
        <v>37072</v>
      </c>
      <c r="CE609">
        <f t="shared" ca="1" si="537"/>
        <v>18</v>
      </c>
      <c r="CF609">
        <f t="shared" ca="1" si="538"/>
        <v>24</v>
      </c>
      <c r="CH609" s="112">
        <f t="shared" ca="1" si="644"/>
        <v>37072</v>
      </c>
      <c r="CI609">
        <f t="shared" ca="1" si="729"/>
        <v>0</v>
      </c>
      <c r="CJ609">
        <f t="shared" ref="CJ609" ca="1" si="738">IF(AND(CI609=0,CJ610=0,CC609&lt;100000),1,0)</f>
        <v>0</v>
      </c>
      <c r="CK609" s="112">
        <f t="shared" ca="1" si="651"/>
        <v>37072</v>
      </c>
      <c r="CM609" s="112"/>
      <c r="CN609" s="260">
        <f t="shared" ca="1" si="488"/>
        <v>100000</v>
      </c>
      <c r="CO609" s="112">
        <f t="shared" ca="1" si="731"/>
        <v>37072</v>
      </c>
      <c r="CP609" s="238">
        <f t="shared" ca="1" si="652"/>
        <v>18</v>
      </c>
      <c r="CQ609" s="328">
        <f t="shared" ca="1" si="653"/>
        <v>24</v>
      </c>
      <c r="CS609" s="112">
        <f t="shared" ca="1" si="492"/>
        <v>100000</v>
      </c>
      <c r="CT609" s="112">
        <f t="shared" ca="1" si="542"/>
        <v>37072</v>
      </c>
      <c r="CU609" s="238">
        <f t="shared" ca="1" si="543"/>
        <v>18</v>
      </c>
      <c r="CV609" s="238">
        <f t="shared" ca="1" si="544"/>
        <v>24</v>
      </c>
      <c r="CY609">
        <f t="shared" si="550"/>
        <v>39</v>
      </c>
      <c r="DA609" s="112">
        <f t="shared" ca="1" si="551"/>
        <v>39338</v>
      </c>
      <c r="DC609">
        <f t="shared" si="552"/>
        <v>609</v>
      </c>
      <c r="DE609" t="str">
        <f t="shared" si="545"/>
        <v>cs609:dc771</v>
      </c>
      <c r="DF609">
        <f t="shared" ca="1" si="546"/>
        <v>686</v>
      </c>
      <c r="DG609" s="412">
        <f t="shared" ca="1" si="690"/>
        <v>0</v>
      </c>
      <c r="DH609" s="411">
        <f t="shared" ca="1" si="678"/>
        <v>39338</v>
      </c>
      <c r="DI609" s="411">
        <f t="shared" ca="1" si="679"/>
        <v>39446</v>
      </c>
      <c r="DJ609" s="410">
        <f t="shared" ca="1" si="680"/>
        <v>18</v>
      </c>
      <c r="DK609" s="410">
        <f t="shared" ca="1" si="681"/>
        <v>24</v>
      </c>
      <c r="DM609" s="411">
        <f t="shared" ca="1" si="691"/>
        <v>39338</v>
      </c>
      <c r="DN609" s="411">
        <f t="shared" ca="1" si="692"/>
        <v>39446</v>
      </c>
      <c r="DO609" s="410">
        <f t="shared" ca="1" si="693"/>
        <v>18</v>
      </c>
      <c r="DP609" s="410">
        <f t="shared" ca="1" si="694"/>
        <v>24</v>
      </c>
    </row>
    <row r="610" spans="27:120" ht="15.75" thickBot="1" x14ac:dyDescent="0.3">
      <c r="AA610" s="284">
        <f t="shared" ref="AA610:AF610" si="739">AA59</f>
        <v>42979</v>
      </c>
      <c r="AB610" s="284">
        <f t="shared" ref="AB610:AE610" ca="1" si="740">IF(OR(AB59&lt;=$AA610,AB59&gt;$AF610),100000,AB59)</f>
        <v>100000</v>
      </c>
      <c r="AC610" s="284">
        <f t="shared" ca="1" si="740"/>
        <v>43160</v>
      </c>
      <c r="AD610" s="284">
        <f t="shared" ca="1" si="740"/>
        <v>43191</v>
      </c>
      <c r="AE610" s="284">
        <f t="shared" ca="1" si="740"/>
        <v>100000</v>
      </c>
      <c r="AF610" s="284">
        <f t="shared" si="739"/>
        <v>43343</v>
      </c>
      <c r="AG610" s="238">
        <f t="shared" si="505"/>
        <v>18</v>
      </c>
      <c r="AH610" s="407">
        <f t="shared" si="506"/>
        <v>24</v>
      </c>
      <c r="AL610" s="112">
        <f t="shared" si="507"/>
        <v>42979</v>
      </c>
      <c r="AM610" s="112">
        <f t="shared" ca="1" si="508"/>
        <v>43160</v>
      </c>
      <c r="AN610" s="112">
        <f t="shared" ca="1" si="509"/>
        <v>43160</v>
      </c>
      <c r="AO610" s="112">
        <f t="shared" ca="1" si="510"/>
        <v>43191</v>
      </c>
      <c r="AP610" s="112">
        <f t="shared" ca="1" si="511"/>
        <v>43343</v>
      </c>
      <c r="AQ610" s="112">
        <f t="shared" si="512"/>
        <v>43343</v>
      </c>
      <c r="AT610" s="112">
        <f t="shared" si="513"/>
        <v>42979</v>
      </c>
      <c r="AU610" s="112">
        <f t="shared" ca="1" si="514"/>
        <v>43160</v>
      </c>
      <c r="AV610" s="112">
        <f t="shared" ca="1" si="515"/>
        <v>43160</v>
      </c>
      <c r="AW610" s="112">
        <f t="shared" ca="1" si="516"/>
        <v>43191</v>
      </c>
      <c r="AX610" s="112">
        <f t="shared" ca="1" si="517"/>
        <v>43343</v>
      </c>
      <c r="AY610" s="112">
        <f t="shared" si="518"/>
        <v>43343</v>
      </c>
      <c r="BA610" s="112">
        <f t="shared" si="519"/>
        <v>42979</v>
      </c>
      <c r="BB610" s="112">
        <f t="shared" ca="1" si="520"/>
        <v>43160</v>
      </c>
      <c r="BC610" s="112">
        <f t="shared" ca="1" si="521"/>
        <v>43160</v>
      </c>
      <c r="BD610" s="112">
        <f t="shared" ca="1" si="522"/>
        <v>43191</v>
      </c>
      <c r="BE610" s="112">
        <f t="shared" ca="1" si="523"/>
        <v>43343</v>
      </c>
      <c r="BF610" s="112">
        <f t="shared" si="524"/>
        <v>43343</v>
      </c>
      <c r="BI610" s="112">
        <f t="shared" si="525"/>
        <v>42979</v>
      </c>
      <c r="BJ610" s="112">
        <f t="shared" ca="1" si="526"/>
        <v>43160</v>
      </c>
      <c r="BK610" s="112">
        <f t="shared" ca="1" si="527"/>
        <v>43160</v>
      </c>
      <c r="BL610" s="112">
        <f t="shared" ca="1" si="528"/>
        <v>43191</v>
      </c>
      <c r="BM610" s="112">
        <f t="shared" ca="1" si="529"/>
        <v>43343</v>
      </c>
      <c r="BN610" s="112">
        <f t="shared" si="530"/>
        <v>43343</v>
      </c>
      <c r="BP610" s="238">
        <f t="shared" ca="1" si="594"/>
        <v>0</v>
      </c>
      <c r="BQ610" s="238">
        <f t="shared" si="728"/>
        <v>578</v>
      </c>
      <c r="BR610" t="s">
        <v>448</v>
      </c>
      <c r="BS610" t="s">
        <v>449</v>
      </c>
      <c r="BT610" s="114">
        <f t="shared" ca="1" si="482"/>
        <v>1</v>
      </c>
      <c r="BU610" s="112"/>
      <c r="BV610">
        <f t="shared" ca="1" si="587"/>
        <v>0</v>
      </c>
      <c r="BW610" s="112">
        <f t="shared" ca="1" si="484"/>
        <v>37072</v>
      </c>
      <c r="BX610" s="112">
        <f t="shared" ca="1" si="737"/>
        <v>37072</v>
      </c>
      <c r="BY610">
        <f t="shared" ca="1" si="568"/>
        <v>18</v>
      </c>
      <c r="BZ610">
        <f t="shared" ca="1" si="569"/>
        <v>24</v>
      </c>
      <c r="CB610">
        <f t="shared" ca="1" si="534"/>
        <v>0</v>
      </c>
      <c r="CC610" s="112">
        <f t="shared" ca="1" si="535"/>
        <v>100000</v>
      </c>
      <c r="CD610" s="112">
        <f t="shared" ca="1" si="536"/>
        <v>37072</v>
      </c>
      <c r="CE610">
        <f t="shared" ca="1" si="537"/>
        <v>18</v>
      </c>
      <c r="CF610">
        <f t="shared" ca="1" si="538"/>
        <v>24</v>
      </c>
      <c r="CH610" s="112">
        <f t="shared" ca="1" si="644"/>
        <v>37072</v>
      </c>
      <c r="CI610">
        <f t="shared" ca="1" si="729"/>
        <v>0</v>
      </c>
      <c r="CJ610">
        <f t="shared" ref="CJ610" ca="1" si="741">IF(AND(CI610=0,CC610&lt;100000),1,0)</f>
        <v>0</v>
      </c>
      <c r="CK610" s="112">
        <f t="shared" ca="1" si="651"/>
        <v>37072</v>
      </c>
      <c r="CM610" s="112"/>
      <c r="CN610" s="261">
        <f t="shared" ref="CN610" ca="1" si="742">IF(AND(CN606=100000,CN607=100000,CN608=100000,CN609=100000),INDIRECT(CONCATENATE("aa",BQ610)),CC610)</f>
        <v>100000</v>
      </c>
      <c r="CO610" s="324">
        <f t="shared" ca="1" si="731"/>
        <v>37072</v>
      </c>
      <c r="CP610" s="256">
        <f t="shared" ca="1" si="652"/>
        <v>18</v>
      </c>
      <c r="CQ610" s="329">
        <f t="shared" ca="1" si="653"/>
        <v>24</v>
      </c>
      <c r="CS610" s="112">
        <f t="shared" ca="1" si="492"/>
        <v>100000</v>
      </c>
      <c r="CT610" s="112">
        <f t="shared" ca="1" si="542"/>
        <v>37072</v>
      </c>
      <c r="CU610" s="238">
        <f t="shared" ca="1" si="543"/>
        <v>18</v>
      </c>
      <c r="CV610" s="238">
        <f t="shared" ca="1" si="544"/>
        <v>24</v>
      </c>
      <c r="CY610">
        <f t="shared" si="550"/>
        <v>40</v>
      </c>
      <c r="DA610" s="112">
        <f t="shared" ca="1" si="551"/>
        <v>39447</v>
      </c>
      <c r="DC610">
        <f t="shared" si="552"/>
        <v>610</v>
      </c>
      <c r="DE610" t="str">
        <f t="shared" si="545"/>
        <v>cs610:dc771</v>
      </c>
      <c r="DF610">
        <f t="shared" ca="1" si="546"/>
        <v>688</v>
      </c>
      <c r="DG610" s="412">
        <f t="shared" ca="1" si="690"/>
        <v>0</v>
      </c>
      <c r="DH610" s="411">
        <f t="shared" ca="1" si="678"/>
        <v>39447</v>
      </c>
      <c r="DI610" s="411">
        <f t="shared" ca="1" si="679"/>
        <v>39538</v>
      </c>
      <c r="DJ610" s="410">
        <f t="shared" ca="1" si="680"/>
        <v>18</v>
      </c>
      <c r="DK610" s="410">
        <f t="shared" ca="1" si="681"/>
        <v>24</v>
      </c>
      <c r="DM610" s="411">
        <f t="shared" ca="1" si="691"/>
        <v>39447</v>
      </c>
      <c r="DN610" s="411">
        <f t="shared" ca="1" si="692"/>
        <v>39538</v>
      </c>
      <c r="DO610" s="410">
        <f t="shared" ca="1" si="693"/>
        <v>18</v>
      </c>
      <c r="DP610" s="410">
        <f t="shared" ca="1" si="694"/>
        <v>24</v>
      </c>
    </row>
    <row r="611" spans="27:120" x14ac:dyDescent="0.25">
      <c r="AA611" s="284">
        <f t="shared" ref="AA611:AF611" si="743">AA60</f>
        <v>43344</v>
      </c>
      <c r="AB611" s="284">
        <f t="shared" ref="AB611:AE611" ca="1" si="744">IF(OR(AB60&lt;=$AA611,AB60&gt;$AF611),100000,AB60)</f>
        <v>100000</v>
      </c>
      <c r="AC611" s="284">
        <f t="shared" ca="1" si="744"/>
        <v>43466</v>
      </c>
      <c r="AD611" s="284">
        <f t="shared" ca="1" si="744"/>
        <v>100000</v>
      </c>
      <c r="AE611" s="284">
        <f t="shared" ca="1" si="744"/>
        <v>100000</v>
      </c>
      <c r="AF611" s="284">
        <f t="shared" si="743"/>
        <v>43708</v>
      </c>
      <c r="AG611" s="238">
        <f t="shared" si="505"/>
        <v>18</v>
      </c>
      <c r="AH611" s="407">
        <f t="shared" si="506"/>
        <v>24</v>
      </c>
      <c r="AL611" s="112">
        <f t="shared" si="507"/>
        <v>43344</v>
      </c>
      <c r="AM611" s="112">
        <f t="shared" ca="1" si="508"/>
        <v>43466</v>
      </c>
      <c r="AN611" s="112">
        <f t="shared" ca="1" si="509"/>
        <v>43466</v>
      </c>
      <c r="AO611" s="112">
        <f t="shared" ca="1" si="510"/>
        <v>100000</v>
      </c>
      <c r="AP611" s="112">
        <f t="shared" ca="1" si="511"/>
        <v>43708</v>
      </c>
      <c r="AQ611" s="112">
        <f t="shared" si="512"/>
        <v>43708</v>
      </c>
      <c r="AT611" s="112">
        <f t="shared" si="513"/>
        <v>43344</v>
      </c>
      <c r="AU611" s="112">
        <f t="shared" ca="1" si="514"/>
        <v>43466</v>
      </c>
      <c r="AV611" s="112">
        <f t="shared" ca="1" si="515"/>
        <v>43466</v>
      </c>
      <c r="AW611" s="112">
        <f t="shared" ca="1" si="516"/>
        <v>43708</v>
      </c>
      <c r="AX611" s="112">
        <f t="shared" ca="1" si="517"/>
        <v>43708</v>
      </c>
      <c r="AY611" s="112">
        <f t="shared" si="518"/>
        <v>43708</v>
      </c>
      <c r="BA611" s="112">
        <f t="shared" si="519"/>
        <v>43344</v>
      </c>
      <c r="BB611" s="112">
        <f t="shared" ca="1" si="520"/>
        <v>43466</v>
      </c>
      <c r="BC611" s="112">
        <f t="shared" ca="1" si="521"/>
        <v>43466</v>
      </c>
      <c r="BD611" s="112">
        <f t="shared" ca="1" si="522"/>
        <v>43708</v>
      </c>
      <c r="BE611" s="112">
        <f t="shared" ca="1" si="523"/>
        <v>43708</v>
      </c>
      <c r="BF611" s="112">
        <f t="shared" si="524"/>
        <v>43708</v>
      </c>
      <c r="BI611" s="112">
        <f t="shared" si="525"/>
        <v>43344</v>
      </c>
      <c r="BJ611" s="112">
        <f t="shared" ca="1" si="526"/>
        <v>43466</v>
      </c>
      <c r="BK611" s="112">
        <f t="shared" ca="1" si="527"/>
        <v>43466</v>
      </c>
      <c r="BL611" s="112">
        <f t="shared" ca="1" si="528"/>
        <v>43708</v>
      </c>
      <c r="BM611" s="112">
        <f t="shared" ca="1" si="529"/>
        <v>43708</v>
      </c>
      <c r="BN611" s="112">
        <f t="shared" si="530"/>
        <v>43708</v>
      </c>
      <c r="BP611" s="238">
        <f t="shared" ca="1" si="594"/>
        <v>0</v>
      </c>
      <c r="BQ611" s="238">
        <f t="shared" ref="BQ611" si="745">BQ610+1</f>
        <v>579</v>
      </c>
      <c r="BR611" s="112" t="s">
        <v>444</v>
      </c>
      <c r="BS611" s="112" t="s">
        <v>445</v>
      </c>
      <c r="BT611" s="114">
        <f t="shared" ca="1" si="482"/>
        <v>0</v>
      </c>
      <c r="BU611" s="112"/>
      <c r="BV611">
        <f t="shared" ca="1" si="587"/>
        <v>1</v>
      </c>
      <c r="BW611" s="112">
        <f t="shared" ca="1" si="484"/>
        <v>37135</v>
      </c>
      <c r="BX611" s="112">
        <f t="shared" ref="BX611:BX613" ca="1" si="746">INDIRECT(CONCATENATE(BS611,BQ611))-1</f>
        <v>37256</v>
      </c>
      <c r="BY611">
        <f t="shared" ca="1" si="568"/>
        <v>8</v>
      </c>
      <c r="BZ611">
        <f t="shared" ca="1" si="569"/>
        <v>24</v>
      </c>
      <c r="CB611">
        <f t="shared" ca="1" si="534"/>
        <v>0</v>
      </c>
      <c r="CC611" s="112">
        <f t="shared" ca="1" si="535"/>
        <v>37135</v>
      </c>
      <c r="CD611" s="112">
        <f t="shared" ca="1" si="536"/>
        <v>37256</v>
      </c>
      <c r="CE611">
        <f t="shared" ca="1" si="537"/>
        <v>8</v>
      </c>
      <c r="CF611">
        <f t="shared" ca="1" si="538"/>
        <v>24</v>
      </c>
      <c r="CH611" s="112">
        <f t="shared" ca="1" si="644"/>
        <v>37437</v>
      </c>
      <c r="CI611">
        <f t="shared" ref="CI611" ca="1" si="747">CB611+CB612+CB613+CB614+CB615</f>
        <v>1</v>
      </c>
      <c r="CJ611">
        <v>0</v>
      </c>
      <c r="CK611" s="112">
        <f t="shared" ca="1" si="651"/>
        <v>37437</v>
      </c>
      <c r="CM611" s="112"/>
      <c r="CN611" s="408">
        <f t="shared" ca="1" si="488"/>
        <v>37135</v>
      </c>
      <c r="CO611" s="326">
        <f t="shared" ref="CO611" ca="1" si="748">CD611</f>
        <v>37256</v>
      </c>
      <c r="CP611" s="333">
        <f t="shared" ca="1" si="652"/>
        <v>8</v>
      </c>
      <c r="CQ611" s="327">
        <f t="shared" ca="1" si="653"/>
        <v>24</v>
      </c>
      <c r="CS611" s="112">
        <f t="shared" ca="1" si="492"/>
        <v>37135</v>
      </c>
      <c r="CT611" s="112">
        <f t="shared" ref="CT611" ca="1" si="749">IF(AND( CN612=100000,CN613=100000,CN614=100000,CN615=100000),CO615,                             CO611)</f>
        <v>37256</v>
      </c>
      <c r="CU611" s="238">
        <f t="shared" ca="1" si="543"/>
        <v>8</v>
      </c>
      <c r="CV611" s="238">
        <f t="shared" ca="1" si="544"/>
        <v>24</v>
      </c>
      <c r="CY611">
        <f t="shared" si="550"/>
        <v>41</v>
      </c>
      <c r="DA611" s="112">
        <f t="shared" ca="1" si="551"/>
        <v>39539</v>
      </c>
      <c r="DC611">
        <f t="shared" si="552"/>
        <v>611</v>
      </c>
      <c r="DE611" t="str">
        <f t="shared" si="545"/>
        <v>cs611:dc771</v>
      </c>
      <c r="DF611">
        <f t="shared" ca="1" si="546"/>
        <v>689</v>
      </c>
      <c r="DG611" s="412">
        <f t="shared" ca="1" si="690"/>
        <v>0</v>
      </c>
      <c r="DH611" s="411">
        <f t="shared" ca="1" si="678"/>
        <v>39539</v>
      </c>
      <c r="DI611" s="411">
        <f t="shared" ca="1" si="679"/>
        <v>39629</v>
      </c>
      <c r="DJ611" s="410">
        <f t="shared" ca="1" si="680"/>
        <v>18</v>
      </c>
      <c r="DK611" s="410">
        <f t="shared" ca="1" si="681"/>
        <v>24</v>
      </c>
      <c r="DM611" s="411">
        <f t="shared" ca="1" si="691"/>
        <v>39539</v>
      </c>
      <c r="DN611" s="411">
        <f t="shared" ca="1" si="692"/>
        <v>39629</v>
      </c>
      <c r="DO611" s="410">
        <f t="shared" ca="1" si="693"/>
        <v>18</v>
      </c>
      <c r="DP611" s="410">
        <f t="shared" ca="1" si="694"/>
        <v>24</v>
      </c>
    </row>
    <row r="612" spans="27:120" x14ac:dyDescent="0.25">
      <c r="AA612" s="284">
        <f t="shared" ref="AA612:AF612" si="750">AA61</f>
        <v>43709</v>
      </c>
      <c r="AB612" s="284">
        <f t="shared" ref="AB612:AE612" ca="1" si="751">IF(OR(AB61&lt;=$AA612,AB61&gt;$AF612),100000,AB61)</f>
        <v>100000</v>
      </c>
      <c r="AC612" s="284">
        <f t="shared" ca="1" si="751"/>
        <v>43831</v>
      </c>
      <c r="AD612" s="284">
        <f t="shared" ca="1" si="751"/>
        <v>100000</v>
      </c>
      <c r="AE612" s="284">
        <f t="shared" ca="1" si="751"/>
        <v>100000</v>
      </c>
      <c r="AF612" s="284">
        <f t="shared" si="750"/>
        <v>44074</v>
      </c>
      <c r="AG612" s="238">
        <f t="shared" si="505"/>
        <v>18</v>
      </c>
      <c r="AH612" s="407">
        <f t="shared" si="506"/>
        <v>24</v>
      </c>
      <c r="AL612" s="112">
        <f t="shared" si="507"/>
        <v>43709</v>
      </c>
      <c r="AM612" s="112">
        <f t="shared" ca="1" si="508"/>
        <v>43831</v>
      </c>
      <c r="AN612" s="112">
        <f t="shared" ca="1" si="509"/>
        <v>43831</v>
      </c>
      <c r="AO612" s="112">
        <f t="shared" ca="1" si="510"/>
        <v>100000</v>
      </c>
      <c r="AP612" s="112">
        <f t="shared" ca="1" si="511"/>
        <v>44074</v>
      </c>
      <c r="AQ612" s="112">
        <f t="shared" si="512"/>
        <v>44074</v>
      </c>
      <c r="AT612" s="112">
        <f t="shared" si="513"/>
        <v>43709</v>
      </c>
      <c r="AU612" s="112">
        <f t="shared" ca="1" si="514"/>
        <v>43831</v>
      </c>
      <c r="AV612" s="112">
        <f t="shared" ca="1" si="515"/>
        <v>43831</v>
      </c>
      <c r="AW612" s="112">
        <f t="shared" ca="1" si="516"/>
        <v>44074</v>
      </c>
      <c r="AX612" s="112">
        <f t="shared" ca="1" si="517"/>
        <v>44074</v>
      </c>
      <c r="AY612" s="112">
        <f t="shared" si="518"/>
        <v>44074</v>
      </c>
      <c r="BA612" s="112">
        <f t="shared" si="519"/>
        <v>43709</v>
      </c>
      <c r="BB612" s="112">
        <f t="shared" ca="1" si="520"/>
        <v>43831</v>
      </c>
      <c r="BC612" s="112">
        <f t="shared" ca="1" si="521"/>
        <v>43831</v>
      </c>
      <c r="BD612" s="112">
        <f t="shared" ca="1" si="522"/>
        <v>44074</v>
      </c>
      <c r="BE612" s="112">
        <f t="shared" ca="1" si="523"/>
        <v>44074</v>
      </c>
      <c r="BF612" s="112">
        <f t="shared" si="524"/>
        <v>44074</v>
      </c>
      <c r="BI612" s="112">
        <f t="shared" si="525"/>
        <v>43709</v>
      </c>
      <c r="BJ612" s="112">
        <f t="shared" ca="1" si="526"/>
        <v>43831</v>
      </c>
      <c r="BK612" s="112">
        <f t="shared" ca="1" si="527"/>
        <v>43831</v>
      </c>
      <c r="BL612" s="112">
        <f t="shared" ca="1" si="528"/>
        <v>44074</v>
      </c>
      <c r="BM612" s="112">
        <f t="shared" ca="1" si="529"/>
        <v>44074</v>
      </c>
      <c r="BN612" s="112">
        <f t="shared" si="530"/>
        <v>44074</v>
      </c>
      <c r="BP612" s="238">
        <f t="shared" ca="1" si="594"/>
        <v>0</v>
      </c>
      <c r="BQ612" s="238">
        <f t="shared" ref="BQ612:BQ615" si="752">BQ611</f>
        <v>579</v>
      </c>
      <c r="BR612" t="s">
        <v>445</v>
      </c>
      <c r="BS612" t="s">
        <v>446</v>
      </c>
      <c r="BT612" s="114">
        <f t="shared" ca="1" si="482"/>
        <v>0</v>
      </c>
      <c r="BU612" s="112"/>
      <c r="BV612">
        <f t="shared" ca="1" si="587"/>
        <v>1</v>
      </c>
      <c r="BW612" s="112">
        <f t="shared" ca="1" si="484"/>
        <v>37257</v>
      </c>
      <c r="BX612" s="112">
        <f t="shared" ca="1" si="746"/>
        <v>37256</v>
      </c>
      <c r="BY612">
        <f t="shared" ca="1" si="568"/>
        <v>8</v>
      </c>
      <c r="BZ612">
        <f t="shared" ca="1" si="569"/>
        <v>24</v>
      </c>
      <c r="CB612">
        <f t="shared" ca="1" si="534"/>
        <v>0</v>
      </c>
      <c r="CC612" s="112">
        <f t="shared" ca="1" si="535"/>
        <v>100000</v>
      </c>
      <c r="CD612" s="112">
        <f t="shared" ca="1" si="536"/>
        <v>37256</v>
      </c>
      <c r="CE612">
        <f t="shared" ca="1" si="537"/>
        <v>8</v>
      </c>
      <c r="CF612">
        <f t="shared" ca="1" si="538"/>
        <v>24</v>
      </c>
      <c r="CH612" s="112">
        <f t="shared" ca="1" si="644"/>
        <v>37437</v>
      </c>
      <c r="CI612">
        <f t="shared" ref="CI612:CI615" ca="1" si="753">CI611</f>
        <v>1</v>
      </c>
      <c r="CJ612">
        <f t="shared" ref="CJ612" ca="1" si="754">IF(AND(CI612=0,CJ613=0,CJ614=0,CJ615=0,CC612&lt;100000),1,0)</f>
        <v>0</v>
      </c>
      <c r="CK612" s="112">
        <f t="shared" ca="1" si="651"/>
        <v>37437</v>
      </c>
      <c r="CM612" s="112"/>
      <c r="CN612" s="260">
        <f t="shared" ca="1" si="488"/>
        <v>100000</v>
      </c>
      <c r="CO612" s="112">
        <f t="shared" ref="CO612:CO615" ca="1" si="755">IF(CJ612=1,CH612,CD612)</f>
        <v>37256</v>
      </c>
      <c r="CP612" s="238">
        <f t="shared" ca="1" si="652"/>
        <v>8</v>
      </c>
      <c r="CQ612" s="328">
        <f t="shared" ca="1" si="653"/>
        <v>24</v>
      </c>
      <c r="CS612" s="112">
        <f t="shared" ca="1" si="492"/>
        <v>100000</v>
      </c>
      <c r="CT612" s="112">
        <f t="shared" ca="1" si="542"/>
        <v>37256</v>
      </c>
      <c r="CU612" s="238">
        <f t="shared" ca="1" si="543"/>
        <v>8</v>
      </c>
      <c r="CV612" s="238">
        <f t="shared" ca="1" si="544"/>
        <v>24</v>
      </c>
      <c r="CY612">
        <f t="shared" si="550"/>
        <v>42</v>
      </c>
      <c r="DA612" s="112">
        <f t="shared" ca="1" si="551"/>
        <v>39692</v>
      </c>
      <c r="DC612">
        <f t="shared" si="552"/>
        <v>612</v>
      </c>
      <c r="DE612" t="str">
        <f t="shared" si="545"/>
        <v>cs612:dc771</v>
      </c>
      <c r="DF612">
        <f t="shared" ca="1" si="546"/>
        <v>691</v>
      </c>
      <c r="DG612" s="412">
        <f t="shared" ca="1" si="690"/>
        <v>0</v>
      </c>
      <c r="DH612" s="411">
        <f t="shared" ca="1" si="678"/>
        <v>39692</v>
      </c>
      <c r="DI612" s="411">
        <f t="shared" ca="1" si="679"/>
        <v>39813</v>
      </c>
      <c r="DJ612" s="410">
        <f t="shared" ca="1" si="680"/>
        <v>18</v>
      </c>
      <c r="DK612" s="410">
        <f t="shared" ca="1" si="681"/>
        <v>24</v>
      </c>
      <c r="DM612" s="411">
        <f t="shared" ca="1" si="691"/>
        <v>39692</v>
      </c>
      <c r="DN612" s="411">
        <f t="shared" ca="1" si="692"/>
        <v>39813</v>
      </c>
      <c r="DO612" s="410">
        <f t="shared" ca="1" si="693"/>
        <v>18</v>
      </c>
      <c r="DP612" s="410">
        <f t="shared" ca="1" si="694"/>
        <v>24</v>
      </c>
    </row>
    <row r="613" spans="27:120" x14ac:dyDescent="0.25">
      <c r="AA613" s="284">
        <f t="shared" ref="AA613:AF613" si="756">AA62</f>
        <v>44075</v>
      </c>
      <c r="AB613" s="284">
        <f t="shared" ref="AB613:AE613" ca="1" si="757">IF(OR(AB62&lt;=$AA613,AB62&gt;$AF613),100000,AB62)</f>
        <v>100000</v>
      </c>
      <c r="AC613" s="284">
        <f t="shared" ca="1" si="757"/>
        <v>44197</v>
      </c>
      <c r="AD613" s="284">
        <f t="shared" ca="1" si="757"/>
        <v>100000</v>
      </c>
      <c r="AE613" s="284">
        <f t="shared" ca="1" si="757"/>
        <v>100000</v>
      </c>
      <c r="AF613" s="284">
        <f t="shared" si="756"/>
        <v>44439</v>
      </c>
      <c r="AG613" s="238">
        <f t="shared" si="505"/>
        <v>18</v>
      </c>
      <c r="AH613" s="407">
        <f t="shared" si="506"/>
        <v>24</v>
      </c>
      <c r="AL613" s="112">
        <f t="shared" si="507"/>
        <v>44075</v>
      </c>
      <c r="AM613" s="112">
        <f t="shared" ca="1" si="508"/>
        <v>44197</v>
      </c>
      <c r="AN613" s="112">
        <f t="shared" ca="1" si="509"/>
        <v>44197</v>
      </c>
      <c r="AO613" s="112">
        <f t="shared" ca="1" si="510"/>
        <v>100000</v>
      </c>
      <c r="AP613" s="112">
        <f t="shared" ca="1" si="511"/>
        <v>44439</v>
      </c>
      <c r="AQ613" s="112">
        <f t="shared" si="512"/>
        <v>44439</v>
      </c>
      <c r="AT613" s="112">
        <f t="shared" si="513"/>
        <v>44075</v>
      </c>
      <c r="AU613" s="112">
        <f t="shared" ca="1" si="514"/>
        <v>44197</v>
      </c>
      <c r="AV613" s="112">
        <f t="shared" ca="1" si="515"/>
        <v>44197</v>
      </c>
      <c r="AW613" s="112">
        <f t="shared" ca="1" si="516"/>
        <v>44439</v>
      </c>
      <c r="AX613" s="112">
        <f t="shared" ca="1" si="517"/>
        <v>44439</v>
      </c>
      <c r="AY613" s="112">
        <f t="shared" si="518"/>
        <v>44439</v>
      </c>
      <c r="BA613" s="112">
        <f t="shared" si="519"/>
        <v>44075</v>
      </c>
      <c r="BB613" s="112">
        <f t="shared" ca="1" si="520"/>
        <v>44197</v>
      </c>
      <c r="BC613" s="112">
        <f t="shared" ca="1" si="521"/>
        <v>44197</v>
      </c>
      <c r="BD613" s="112">
        <f t="shared" ca="1" si="522"/>
        <v>44439</v>
      </c>
      <c r="BE613" s="112">
        <f t="shared" ca="1" si="523"/>
        <v>44439</v>
      </c>
      <c r="BF613" s="112">
        <f t="shared" si="524"/>
        <v>44439</v>
      </c>
      <c r="BI613" s="112">
        <f t="shared" si="525"/>
        <v>44075</v>
      </c>
      <c r="BJ613" s="112">
        <f t="shared" ca="1" si="526"/>
        <v>44197</v>
      </c>
      <c r="BK613" s="112">
        <f t="shared" ca="1" si="527"/>
        <v>44197</v>
      </c>
      <c r="BL613" s="112">
        <f t="shared" ca="1" si="528"/>
        <v>44439</v>
      </c>
      <c r="BM613" s="112">
        <f t="shared" ca="1" si="529"/>
        <v>44439</v>
      </c>
      <c r="BN613" s="112">
        <f t="shared" si="530"/>
        <v>44439</v>
      </c>
      <c r="BP613" s="238">
        <f t="shared" ca="1" si="594"/>
        <v>0</v>
      </c>
      <c r="BQ613" s="238">
        <f t="shared" si="752"/>
        <v>579</v>
      </c>
      <c r="BR613" t="s">
        <v>446</v>
      </c>
      <c r="BS613" t="s">
        <v>447</v>
      </c>
      <c r="BT613" s="114">
        <f t="shared" ca="1" si="482"/>
        <v>0</v>
      </c>
      <c r="BU613" s="112"/>
      <c r="BV613">
        <f t="shared" ca="1" si="587"/>
        <v>1</v>
      </c>
      <c r="BW613" s="112">
        <f t="shared" ca="1" si="484"/>
        <v>37257</v>
      </c>
      <c r="BX613" s="112">
        <f t="shared" ca="1" si="746"/>
        <v>37410</v>
      </c>
      <c r="BY613">
        <f t="shared" ca="1" si="568"/>
        <v>8</v>
      </c>
      <c r="BZ613">
        <f t="shared" ca="1" si="569"/>
        <v>24</v>
      </c>
      <c r="CB613">
        <f t="shared" ca="1" si="534"/>
        <v>0</v>
      </c>
      <c r="CC613" s="112">
        <f t="shared" ca="1" si="535"/>
        <v>37257</v>
      </c>
      <c r="CD613" s="112">
        <f t="shared" ca="1" si="536"/>
        <v>37410</v>
      </c>
      <c r="CE613">
        <f t="shared" ca="1" si="537"/>
        <v>8</v>
      </c>
      <c r="CF613">
        <f t="shared" ca="1" si="538"/>
        <v>24</v>
      </c>
      <c r="CH613" s="112">
        <f t="shared" ca="1" si="644"/>
        <v>37437</v>
      </c>
      <c r="CI613">
        <f t="shared" ca="1" si="753"/>
        <v>1</v>
      </c>
      <c r="CJ613">
        <f t="shared" ref="CJ613" ca="1" si="758">IF(AND(CI613=0,CJ614=0,CJ615=0,CC613&lt;100000),1,0)</f>
        <v>0</v>
      </c>
      <c r="CK613" s="112">
        <f t="shared" ca="1" si="651"/>
        <v>37437</v>
      </c>
      <c r="CM613" s="112"/>
      <c r="CN613" s="260">
        <f t="shared" ca="1" si="488"/>
        <v>37257</v>
      </c>
      <c r="CO613" s="112">
        <f t="shared" ca="1" si="755"/>
        <v>37410</v>
      </c>
      <c r="CP613" s="238">
        <f t="shared" ca="1" si="652"/>
        <v>8</v>
      </c>
      <c r="CQ613" s="328">
        <f t="shared" ca="1" si="653"/>
        <v>24</v>
      </c>
      <c r="CS613" s="112">
        <f t="shared" ca="1" si="492"/>
        <v>37257</v>
      </c>
      <c r="CT613" s="112">
        <f t="shared" ca="1" si="542"/>
        <v>37410</v>
      </c>
      <c r="CU613" s="238">
        <f t="shared" ca="1" si="543"/>
        <v>8</v>
      </c>
      <c r="CV613" s="238">
        <f t="shared" ca="1" si="544"/>
        <v>24</v>
      </c>
      <c r="CY613">
        <f t="shared" si="550"/>
        <v>43</v>
      </c>
      <c r="DA613" s="112">
        <f t="shared" ca="1" si="551"/>
        <v>39814</v>
      </c>
      <c r="DC613">
        <f t="shared" si="552"/>
        <v>613</v>
      </c>
      <c r="DE613" t="str">
        <f t="shared" si="545"/>
        <v>cs613:dc771</v>
      </c>
      <c r="DF613">
        <f t="shared" ca="1" si="546"/>
        <v>693</v>
      </c>
      <c r="DG613" s="412">
        <f t="shared" ca="1" si="690"/>
        <v>0</v>
      </c>
      <c r="DH613" s="411">
        <f t="shared" ca="1" si="678"/>
        <v>39814</v>
      </c>
      <c r="DI613" s="411">
        <f t="shared" ca="1" si="679"/>
        <v>39994</v>
      </c>
      <c r="DJ613" s="410">
        <f t="shared" ca="1" si="680"/>
        <v>18</v>
      </c>
      <c r="DK613" s="410">
        <f t="shared" ca="1" si="681"/>
        <v>24</v>
      </c>
      <c r="DM613" s="411">
        <f t="shared" ca="1" si="691"/>
        <v>39814</v>
      </c>
      <c r="DN613" s="411">
        <f t="shared" ca="1" si="692"/>
        <v>39994</v>
      </c>
      <c r="DO613" s="410">
        <f t="shared" ca="1" si="693"/>
        <v>18</v>
      </c>
      <c r="DP613" s="410">
        <f t="shared" ca="1" si="694"/>
        <v>24</v>
      </c>
    </row>
    <row r="614" spans="27:120" x14ac:dyDescent="0.25">
      <c r="AA614" s="284">
        <f t="shared" ref="AA614:AF614" si="759">AA63</f>
        <v>44440</v>
      </c>
      <c r="AB614" s="284">
        <f t="shared" ref="AB614:AE614" ca="1" si="760">IF(OR(AB63&lt;=$AA614,AB63&gt;$AF614),100000,AB63)</f>
        <v>100000</v>
      </c>
      <c r="AC614" s="284">
        <f t="shared" ca="1" si="760"/>
        <v>44562</v>
      </c>
      <c r="AD614" s="284">
        <f t="shared" ca="1" si="760"/>
        <v>44652</v>
      </c>
      <c r="AE614" s="284">
        <f t="shared" ca="1" si="760"/>
        <v>44743</v>
      </c>
      <c r="AF614" s="284">
        <f t="shared" si="759"/>
        <v>44804</v>
      </c>
      <c r="AG614" s="238">
        <f t="shared" si="505"/>
        <v>18</v>
      </c>
      <c r="AH614" s="407">
        <f t="shared" si="506"/>
        <v>24</v>
      </c>
      <c r="AL614" s="112">
        <f t="shared" si="507"/>
        <v>44440</v>
      </c>
      <c r="AM614" s="112">
        <f t="shared" ca="1" si="508"/>
        <v>44562</v>
      </c>
      <c r="AN614" s="112">
        <f t="shared" ca="1" si="509"/>
        <v>44562</v>
      </c>
      <c r="AO614" s="112">
        <f t="shared" ca="1" si="510"/>
        <v>44652</v>
      </c>
      <c r="AP614" s="112">
        <f t="shared" ca="1" si="511"/>
        <v>44743</v>
      </c>
      <c r="AQ614" s="112">
        <f t="shared" si="512"/>
        <v>44804</v>
      </c>
      <c r="AT614" s="112">
        <f t="shared" si="513"/>
        <v>44440</v>
      </c>
      <c r="AU614" s="112">
        <f t="shared" ca="1" si="514"/>
        <v>44562</v>
      </c>
      <c r="AV614" s="112">
        <f t="shared" ca="1" si="515"/>
        <v>44562</v>
      </c>
      <c r="AW614" s="112">
        <f t="shared" ca="1" si="516"/>
        <v>44652</v>
      </c>
      <c r="AX614" s="112">
        <f t="shared" ca="1" si="517"/>
        <v>44743</v>
      </c>
      <c r="AY614" s="112">
        <f t="shared" si="518"/>
        <v>44804</v>
      </c>
      <c r="BA614" s="112">
        <f t="shared" si="519"/>
        <v>44440</v>
      </c>
      <c r="BB614" s="112">
        <f t="shared" ca="1" si="520"/>
        <v>44562</v>
      </c>
      <c r="BC614" s="112">
        <f t="shared" ca="1" si="521"/>
        <v>44562</v>
      </c>
      <c r="BD614" s="112">
        <f t="shared" ca="1" si="522"/>
        <v>44652</v>
      </c>
      <c r="BE614" s="112">
        <f t="shared" ca="1" si="523"/>
        <v>44743</v>
      </c>
      <c r="BF614" s="112">
        <f t="shared" si="524"/>
        <v>44804</v>
      </c>
      <c r="BI614" s="112">
        <f t="shared" si="525"/>
        <v>44440</v>
      </c>
      <c r="BJ614" s="112">
        <f t="shared" ca="1" si="526"/>
        <v>44562</v>
      </c>
      <c r="BK614" s="112">
        <f t="shared" ca="1" si="527"/>
        <v>44562</v>
      </c>
      <c r="BL614" s="112">
        <f t="shared" ca="1" si="528"/>
        <v>44652</v>
      </c>
      <c r="BM614" s="112">
        <f t="shared" ca="1" si="529"/>
        <v>44743</v>
      </c>
      <c r="BN614" s="112">
        <f t="shared" si="530"/>
        <v>44804</v>
      </c>
      <c r="BP614" s="238">
        <f t="shared" ca="1" si="594"/>
        <v>0</v>
      </c>
      <c r="BQ614" s="238">
        <f t="shared" si="752"/>
        <v>579</v>
      </c>
      <c r="BR614" t="s">
        <v>447</v>
      </c>
      <c r="BS614" t="s">
        <v>448</v>
      </c>
      <c r="BT614" s="114">
        <f t="shared" ca="1" si="482"/>
        <v>0</v>
      </c>
      <c r="BU614" s="112"/>
      <c r="BV614">
        <f t="shared" ca="1" si="587"/>
        <v>1</v>
      </c>
      <c r="BW614" s="112">
        <f t="shared" ca="1" si="484"/>
        <v>37411</v>
      </c>
      <c r="BX614" s="112">
        <f t="shared" ref="BX614:BX615" ca="1" si="761">INDIRECT(CONCATENATE(BS614,BQ614))</f>
        <v>37437</v>
      </c>
      <c r="BY614">
        <f t="shared" ca="1" si="568"/>
        <v>8</v>
      </c>
      <c r="BZ614">
        <f t="shared" ca="1" si="569"/>
        <v>24</v>
      </c>
      <c r="CB614">
        <f t="shared" ca="1" si="534"/>
        <v>1</v>
      </c>
      <c r="CC614" s="112">
        <f t="shared" ca="1" si="535"/>
        <v>37411</v>
      </c>
      <c r="CD614" s="112">
        <f t="shared" ca="1" si="536"/>
        <v>37437</v>
      </c>
      <c r="CE614">
        <f t="shared" ca="1" si="537"/>
        <v>8</v>
      </c>
      <c r="CF614">
        <f t="shared" ca="1" si="538"/>
        <v>24</v>
      </c>
      <c r="CH614" s="112">
        <f t="shared" ca="1" si="644"/>
        <v>37437</v>
      </c>
      <c r="CI614">
        <f t="shared" ca="1" si="753"/>
        <v>1</v>
      </c>
      <c r="CJ614">
        <f t="shared" ref="CJ614" ca="1" si="762">IF(AND(CI614=0,CJ615=0,CC614&lt;100000),1,0)</f>
        <v>0</v>
      </c>
      <c r="CK614" s="112">
        <f t="shared" ca="1" si="651"/>
        <v>37437</v>
      </c>
      <c r="CM614" s="112"/>
      <c r="CN614" s="260">
        <f t="shared" ca="1" si="488"/>
        <v>37411</v>
      </c>
      <c r="CO614" s="112">
        <f t="shared" ca="1" si="755"/>
        <v>37437</v>
      </c>
      <c r="CP614" s="238">
        <f t="shared" ca="1" si="652"/>
        <v>8</v>
      </c>
      <c r="CQ614" s="328">
        <f t="shared" ca="1" si="653"/>
        <v>24</v>
      </c>
      <c r="CS614" s="112">
        <f t="shared" ca="1" si="492"/>
        <v>37411</v>
      </c>
      <c r="CT614" s="112">
        <f t="shared" ca="1" si="542"/>
        <v>37437</v>
      </c>
      <c r="CU614" s="238">
        <f t="shared" ca="1" si="543"/>
        <v>8</v>
      </c>
      <c r="CV614" s="238">
        <f t="shared" ca="1" si="544"/>
        <v>24</v>
      </c>
      <c r="CY614">
        <f t="shared" si="550"/>
        <v>44</v>
      </c>
      <c r="DA614" s="112">
        <f t="shared" ca="1" si="551"/>
        <v>40063</v>
      </c>
      <c r="DC614">
        <f t="shared" si="552"/>
        <v>614</v>
      </c>
      <c r="DE614" t="str">
        <f t="shared" si="545"/>
        <v>cs614:dc771</v>
      </c>
      <c r="DF614">
        <f t="shared" ca="1" si="546"/>
        <v>700</v>
      </c>
      <c r="DG614" s="412">
        <f t="shared" ca="1" si="690"/>
        <v>0</v>
      </c>
      <c r="DH614" s="411">
        <f t="shared" ca="1" si="678"/>
        <v>40063</v>
      </c>
      <c r="DI614" s="411">
        <f t="shared" ca="1" si="679"/>
        <v>40063</v>
      </c>
      <c r="DJ614" s="410">
        <f t="shared" ca="1" si="680"/>
        <v>18</v>
      </c>
      <c r="DK614" s="410">
        <f t="shared" ca="1" si="681"/>
        <v>24</v>
      </c>
      <c r="DM614" s="411">
        <f t="shared" ca="1" si="691"/>
        <v>40063</v>
      </c>
      <c r="DN614" s="411">
        <f t="shared" ca="1" si="692"/>
        <v>40063</v>
      </c>
      <c r="DO614" s="410">
        <f t="shared" ca="1" si="693"/>
        <v>18</v>
      </c>
      <c r="DP614" s="410">
        <f t="shared" ca="1" si="694"/>
        <v>24</v>
      </c>
    </row>
    <row r="615" spans="27:120" ht="15.75" thickBot="1" x14ac:dyDescent="0.3">
      <c r="AA615" s="284" t="str">
        <f t="shared" ref="AA615:AF615" si="763">AA64</f>
        <v/>
      </c>
      <c r="AB615" s="284" t="e">
        <f t="shared" ref="AB615:AE615" ca="1" si="764">IF(OR(AB64&lt;=$AA615,AB64&gt;$AF615),100000,AB64)</f>
        <v>#N/A</v>
      </c>
      <c r="AC615" s="284" t="e">
        <f t="shared" ca="1" si="764"/>
        <v>#N/A</v>
      </c>
      <c r="AD615" s="284" t="e">
        <f t="shared" ca="1" si="764"/>
        <v>#N/A</v>
      </c>
      <c r="AE615" s="284" t="e">
        <f t="shared" ca="1" si="764"/>
        <v>#N/A</v>
      </c>
      <c r="AF615" s="284" t="str">
        <f t="shared" si="763"/>
        <v/>
      </c>
      <c r="AG615" s="238">
        <f t="shared" si="505"/>
        <v>0</v>
      </c>
      <c r="AH615" s="407">
        <f t="shared" si="506"/>
        <v>24</v>
      </c>
      <c r="AL615" s="112" t="str">
        <f t="shared" si="507"/>
        <v/>
      </c>
      <c r="AM615" s="112" t="e">
        <f t="shared" ca="1" si="508"/>
        <v>#N/A</v>
      </c>
      <c r="AN615" s="112" t="e">
        <f t="shared" ca="1" si="509"/>
        <v>#N/A</v>
      </c>
      <c r="AO615" s="112" t="e">
        <f t="shared" ca="1" si="510"/>
        <v>#N/A</v>
      </c>
      <c r="AP615" s="112" t="e">
        <f t="shared" ca="1" si="511"/>
        <v>#N/A</v>
      </c>
      <c r="AQ615" s="112" t="str">
        <f t="shared" si="512"/>
        <v/>
      </c>
      <c r="AT615" s="112" t="str">
        <f t="shared" si="513"/>
        <v/>
      </c>
      <c r="AU615" s="112" t="e">
        <f t="shared" ca="1" si="514"/>
        <v>#N/A</v>
      </c>
      <c r="AV615" s="112" t="e">
        <f t="shared" ca="1" si="515"/>
        <v>#N/A</v>
      </c>
      <c r="AW615" s="112" t="e">
        <f t="shared" ca="1" si="516"/>
        <v>#N/A</v>
      </c>
      <c r="AX615" s="112" t="e">
        <f t="shared" ca="1" si="517"/>
        <v>#N/A</v>
      </c>
      <c r="AY615" s="112" t="str">
        <f t="shared" si="518"/>
        <v/>
      </c>
      <c r="BA615" s="112" t="str">
        <f t="shared" si="519"/>
        <v/>
      </c>
      <c r="BB615" s="112" t="e">
        <f t="shared" ca="1" si="520"/>
        <v>#N/A</v>
      </c>
      <c r="BC615" s="112" t="e">
        <f t="shared" ca="1" si="521"/>
        <v>#N/A</v>
      </c>
      <c r="BD615" s="112" t="e">
        <f t="shared" ca="1" si="522"/>
        <v>#N/A</v>
      </c>
      <c r="BE615" s="112" t="e">
        <f t="shared" ca="1" si="523"/>
        <v>#N/A</v>
      </c>
      <c r="BF615" s="112" t="str">
        <f t="shared" si="524"/>
        <v/>
      </c>
      <c r="BI615" s="112" t="str">
        <f t="shared" si="525"/>
        <v/>
      </c>
      <c r="BJ615" s="112" t="e">
        <f t="shared" ca="1" si="526"/>
        <v>#N/A</v>
      </c>
      <c r="BK615" s="112" t="e">
        <f t="shared" ca="1" si="527"/>
        <v>#N/A</v>
      </c>
      <c r="BL615" s="112" t="e">
        <f t="shared" ca="1" si="528"/>
        <v>#N/A</v>
      </c>
      <c r="BM615" s="112" t="e">
        <f t="shared" ca="1" si="529"/>
        <v>#N/A</v>
      </c>
      <c r="BN615" s="112" t="str">
        <f t="shared" si="530"/>
        <v/>
      </c>
      <c r="BP615" s="238" t="e">
        <f t="shared" ca="1" si="594"/>
        <v>#N/A</v>
      </c>
      <c r="BQ615" s="238">
        <f t="shared" si="752"/>
        <v>579</v>
      </c>
      <c r="BR615" t="s">
        <v>448</v>
      </c>
      <c r="BS615" t="s">
        <v>449</v>
      </c>
      <c r="BT615" s="114">
        <f t="shared" ca="1" si="482"/>
        <v>0</v>
      </c>
      <c r="BU615" s="112"/>
      <c r="BV615">
        <f t="shared" ca="1" si="587"/>
        <v>0</v>
      </c>
      <c r="BW615" s="112">
        <f t="shared" ca="1" si="484"/>
        <v>37437</v>
      </c>
      <c r="BX615" s="112">
        <f t="shared" ca="1" si="761"/>
        <v>37437</v>
      </c>
      <c r="BY615">
        <f t="shared" ca="1" si="568"/>
        <v>8</v>
      </c>
      <c r="BZ615">
        <f t="shared" ca="1" si="569"/>
        <v>24</v>
      </c>
      <c r="CB615">
        <f t="shared" ca="1" si="534"/>
        <v>0</v>
      </c>
      <c r="CC615" s="112">
        <f t="shared" ca="1" si="535"/>
        <v>100000</v>
      </c>
      <c r="CD615" s="112">
        <f t="shared" ca="1" si="536"/>
        <v>37437</v>
      </c>
      <c r="CE615">
        <f t="shared" ca="1" si="537"/>
        <v>8</v>
      </c>
      <c r="CF615">
        <f t="shared" ca="1" si="538"/>
        <v>24</v>
      </c>
      <c r="CH615" s="112">
        <f t="shared" ca="1" si="644"/>
        <v>37437</v>
      </c>
      <c r="CI615">
        <f t="shared" ca="1" si="753"/>
        <v>1</v>
      </c>
      <c r="CJ615">
        <f t="shared" ref="CJ615" ca="1" si="765">IF(AND(CI615=0,CC615&lt;100000),1,0)</f>
        <v>0</v>
      </c>
      <c r="CK615" s="112">
        <f t="shared" ca="1" si="651"/>
        <v>37437</v>
      </c>
      <c r="CM615" s="112"/>
      <c r="CN615" s="261">
        <f t="shared" ref="CN615" ca="1" si="766">IF(AND(CN611=100000,CN612=100000,CN613=100000,CN614=100000),INDIRECT(CONCATENATE("aa",BQ615)),CC615)</f>
        <v>100000</v>
      </c>
      <c r="CO615" s="324">
        <f t="shared" ca="1" si="755"/>
        <v>37437</v>
      </c>
      <c r="CP615" s="256">
        <f t="shared" ca="1" si="652"/>
        <v>8</v>
      </c>
      <c r="CQ615" s="329">
        <f t="shared" ca="1" si="653"/>
        <v>24</v>
      </c>
      <c r="CS615" s="112">
        <f t="shared" ca="1" si="492"/>
        <v>100000</v>
      </c>
      <c r="CT615" s="112">
        <f t="shared" ca="1" si="542"/>
        <v>37437</v>
      </c>
      <c r="CU615" s="238">
        <f t="shared" ca="1" si="543"/>
        <v>8</v>
      </c>
      <c r="CV615" s="238">
        <f t="shared" ca="1" si="544"/>
        <v>24</v>
      </c>
      <c r="CY615">
        <f t="shared" si="550"/>
        <v>45</v>
      </c>
      <c r="DA615" s="112">
        <f t="shared" ca="1" si="551"/>
        <v>40066</v>
      </c>
      <c r="DC615">
        <f t="shared" si="552"/>
        <v>615</v>
      </c>
      <c r="DE615" t="str">
        <f t="shared" si="545"/>
        <v>cs615:dc771</v>
      </c>
      <c r="DF615">
        <f t="shared" ca="1" si="546"/>
        <v>701</v>
      </c>
      <c r="DG615" s="412">
        <f t="shared" ca="1" si="690"/>
        <v>0</v>
      </c>
      <c r="DH615" s="411">
        <f t="shared" ca="1" si="678"/>
        <v>40066</v>
      </c>
      <c r="DI615" s="411">
        <f t="shared" ca="1" si="679"/>
        <v>40170</v>
      </c>
      <c r="DJ615" s="410">
        <f t="shared" ca="1" si="680"/>
        <v>18</v>
      </c>
      <c r="DK615" s="410">
        <f t="shared" ca="1" si="681"/>
        <v>24</v>
      </c>
      <c r="DM615" s="411">
        <f t="shared" ca="1" si="691"/>
        <v>40066</v>
      </c>
      <c r="DN615" s="411">
        <f t="shared" ca="1" si="692"/>
        <v>40170</v>
      </c>
      <c r="DO615" s="410">
        <f t="shared" ca="1" si="693"/>
        <v>18</v>
      </c>
      <c r="DP615" s="410">
        <f t="shared" ca="1" si="694"/>
        <v>24</v>
      </c>
    </row>
    <row r="616" spans="27:120" x14ac:dyDescent="0.25">
      <c r="AA616" s="284" t="str">
        <f t="shared" ref="AA616:AF616" si="767">AA65</f>
        <v/>
      </c>
      <c r="AB616" s="284" t="e">
        <f t="shared" ref="AB616:AE616" ca="1" si="768">IF(OR(AB65&lt;=$AA616,AB65&gt;$AF616),100000,AB65)</f>
        <v>#N/A</v>
      </c>
      <c r="AC616" s="284" t="e">
        <f t="shared" ca="1" si="768"/>
        <v>#N/A</v>
      </c>
      <c r="AD616" s="284" t="e">
        <f t="shared" ca="1" si="768"/>
        <v>#N/A</v>
      </c>
      <c r="AE616" s="284" t="e">
        <f t="shared" ca="1" si="768"/>
        <v>#N/A</v>
      </c>
      <c r="AF616" s="284" t="str">
        <f t="shared" si="767"/>
        <v/>
      </c>
      <c r="AG616" s="238">
        <f t="shared" si="505"/>
        <v>0</v>
      </c>
      <c r="AH616" s="407">
        <f t="shared" si="506"/>
        <v>24</v>
      </c>
      <c r="AL616" s="112" t="str">
        <f t="shared" si="507"/>
        <v/>
      </c>
      <c r="AM616" s="112" t="e">
        <f t="shared" ca="1" si="508"/>
        <v>#N/A</v>
      </c>
      <c r="AN616" s="112" t="e">
        <f t="shared" ca="1" si="509"/>
        <v>#N/A</v>
      </c>
      <c r="AO616" s="112" t="e">
        <f t="shared" ca="1" si="510"/>
        <v>#N/A</v>
      </c>
      <c r="AP616" s="112" t="e">
        <f t="shared" ca="1" si="511"/>
        <v>#N/A</v>
      </c>
      <c r="AQ616" s="112" t="str">
        <f t="shared" si="512"/>
        <v/>
      </c>
      <c r="AT616" s="112" t="str">
        <f t="shared" si="513"/>
        <v/>
      </c>
      <c r="AU616" s="112" t="e">
        <f t="shared" ca="1" si="514"/>
        <v>#N/A</v>
      </c>
      <c r="AV616" s="112" t="e">
        <f t="shared" ca="1" si="515"/>
        <v>#N/A</v>
      </c>
      <c r="AW616" s="112" t="e">
        <f t="shared" ca="1" si="516"/>
        <v>#N/A</v>
      </c>
      <c r="AX616" s="112" t="e">
        <f t="shared" ca="1" si="517"/>
        <v>#N/A</v>
      </c>
      <c r="AY616" s="112" t="str">
        <f t="shared" si="518"/>
        <v/>
      </c>
      <c r="BA616" s="112" t="str">
        <f t="shared" si="519"/>
        <v/>
      </c>
      <c r="BB616" s="112" t="e">
        <f t="shared" ca="1" si="520"/>
        <v>#N/A</v>
      </c>
      <c r="BC616" s="112" t="e">
        <f t="shared" ca="1" si="521"/>
        <v>#N/A</v>
      </c>
      <c r="BD616" s="112" t="e">
        <f t="shared" ca="1" si="522"/>
        <v>#N/A</v>
      </c>
      <c r="BE616" s="112" t="e">
        <f t="shared" ca="1" si="523"/>
        <v>#N/A</v>
      </c>
      <c r="BF616" s="112" t="str">
        <f t="shared" si="524"/>
        <v/>
      </c>
      <c r="BI616" s="112" t="str">
        <f t="shared" si="525"/>
        <v/>
      </c>
      <c r="BJ616" s="112" t="e">
        <f t="shared" ca="1" si="526"/>
        <v>#N/A</v>
      </c>
      <c r="BK616" s="112" t="e">
        <f t="shared" ca="1" si="527"/>
        <v>#N/A</v>
      </c>
      <c r="BL616" s="112" t="e">
        <f t="shared" ca="1" si="528"/>
        <v>#N/A</v>
      </c>
      <c r="BM616" s="112" t="e">
        <f t="shared" ca="1" si="529"/>
        <v>#N/A</v>
      </c>
      <c r="BN616" s="112" t="str">
        <f t="shared" si="530"/>
        <v/>
      </c>
      <c r="BP616" s="238" t="e">
        <f t="shared" ca="1" si="594"/>
        <v>#N/A</v>
      </c>
      <c r="BQ616" s="238">
        <f t="shared" ref="BQ616" si="769">BQ615+1</f>
        <v>580</v>
      </c>
      <c r="BR616" s="112" t="s">
        <v>444</v>
      </c>
      <c r="BS616" s="112" t="s">
        <v>445</v>
      </c>
      <c r="BT616" s="114">
        <f t="shared" ca="1" si="482"/>
        <v>1</v>
      </c>
      <c r="BU616" s="112"/>
      <c r="BV616">
        <f t="shared" ca="1" si="587"/>
        <v>1</v>
      </c>
      <c r="BW616" s="112">
        <f t="shared" ca="1" si="484"/>
        <v>37167</v>
      </c>
      <c r="BX616" s="112">
        <f t="shared" ref="BX616:BX618" ca="1" si="770">INDIRECT(CONCATENATE(BS616,BQ616))-1</f>
        <v>37199</v>
      </c>
      <c r="BY616">
        <f t="shared" ca="1" si="568"/>
        <v>5</v>
      </c>
      <c r="BZ616">
        <f t="shared" ca="1" si="569"/>
        <v>24</v>
      </c>
      <c r="CB616" s="250">
        <f t="shared" ca="1" si="534"/>
        <v>0</v>
      </c>
      <c r="CC616" s="326">
        <f t="shared" ca="1" si="535"/>
        <v>37167</v>
      </c>
      <c r="CD616" s="326">
        <f t="shared" ca="1" si="536"/>
        <v>37199</v>
      </c>
      <c r="CE616" s="251">
        <f t="shared" ca="1" si="537"/>
        <v>5</v>
      </c>
      <c r="CF616" s="252">
        <f t="shared" ca="1" si="538"/>
        <v>24</v>
      </c>
      <c r="CH616" s="112">
        <f t="shared" ca="1" si="644"/>
        <v>37200</v>
      </c>
      <c r="CI616">
        <f t="shared" ref="CI616" ca="1" si="771">CB616+CB617+CB618+CB619+CB620</f>
        <v>0</v>
      </c>
      <c r="CJ616">
        <v>0</v>
      </c>
      <c r="CK616" s="112">
        <f t="shared" ca="1" si="651"/>
        <v>37200</v>
      </c>
      <c r="CM616" s="112"/>
      <c r="CN616" s="408">
        <f t="shared" ca="1" si="488"/>
        <v>37167</v>
      </c>
      <c r="CO616" s="326">
        <f t="shared" ref="CO616" ca="1" si="772">CD616</f>
        <v>37199</v>
      </c>
      <c r="CP616" s="333">
        <f t="shared" ca="1" si="652"/>
        <v>5</v>
      </c>
      <c r="CQ616" s="327">
        <f t="shared" ca="1" si="653"/>
        <v>24</v>
      </c>
      <c r="CS616" s="112">
        <f t="shared" ca="1" si="492"/>
        <v>37167</v>
      </c>
      <c r="CT616" s="112">
        <f t="shared" ref="CT616" ca="1" si="773">IF(AND( CN617=100000,CN618=100000,CN619=100000,CN620=100000),CO620,                             CO616)</f>
        <v>37200</v>
      </c>
      <c r="CU616" s="238">
        <f t="shared" ca="1" si="543"/>
        <v>5</v>
      </c>
      <c r="CV616" s="238">
        <f t="shared" ca="1" si="544"/>
        <v>24</v>
      </c>
      <c r="CY616">
        <f t="shared" si="550"/>
        <v>46</v>
      </c>
      <c r="DA616" s="112">
        <f t="shared" ca="1" si="551"/>
        <v>40171</v>
      </c>
      <c r="DC616">
        <f t="shared" si="552"/>
        <v>616</v>
      </c>
      <c r="DE616" t="str">
        <f t="shared" si="545"/>
        <v>cs616:dc771</v>
      </c>
      <c r="DF616">
        <f t="shared" ca="1" si="546"/>
        <v>703</v>
      </c>
      <c r="DG616" s="412">
        <f t="shared" ca="1" si="690"/>
        <v>0</v>
      </c>
      <c r="DH616" s="411">
        <f t="shared" ca="1" si="678"/>
        <v>40171</v>
      </c>
      <c r="DI616" s="411">
        <f t="shared" ca="1" si="679"/>
        <v>40359</v>
      </c>
      <c r="DJ616" s="410">
        <f t="shared" ca="1" si="680"/>
        <v>18</v>
      </c>
      <c r="DK616" s="410">
        <f t="shared" ca="1" si="681"/>
        <v>24</v>
      </c>
      <c r="DM616" s="411">
        <f t="shared" ca="1" si="691"/>
        <v>40171</v>
      </c>
      <c r="DN616" s="411">
        <f t="shared" ca="1" si="692"/>
        <v>40359</v>
      </c>
      <c r="DO616" s="410">
        <f t="shared" ca="1" si="693"/>
        <v>18</v>
      </c>
      <c r="DP616" s="410">
        <f t="shared" ca="1" si="694"/>
        <v>24</v>
      </c>
    </row>
    <row r="617" spans="27:120" x14ac:dyDescent="0.25">
      <c r="AA617" s="284" t="str">
        <f t="shared" ref="AA617:AF617" si="774">AA66</f>
        <v/>
      </c>
      <c r="AB617" s="284" t="e">
        <f t="shared" ref="AB617:AE617" ca="1" si="775">IF(OR(AB66&lt;=$AA617,AB66&gt;$AF617),100000,AB66)</f>
        <v>#N/A</v>
      </c>
      <c r="AC617" s="284" t="e">
        <f t="shared" ca="1" si="775"/>
        <v>#N/A</v>
      </c>
      <c r="AD617" s="284" t="e">
        <f t="shared" ca="1" si="775"/>
        <v>#N/A</v>
      </c>
      <c r="AE617" s="284" t="e">
        <f t="shared" ca="1" si="775"/>
        <v>#N/A</v>
      </c>
      <c r="AF617" s="284" t="str">
        <f t="shared" si="774"/>
        <v/>
      </c>
      <c r="AG617" s="238">
        <f t="shared" si="505"/>
        <v>0</v>
      </c>
      <c r="AH617" s="407">
        <f t="shared" si="506"/>
        <v>24</v>
      </c>
      <c r="AL617" s="112" t="str">
        <f t="shared" si="507"/>
        <v/>
      </c>
      <c r="AM617" s="112" t="e">
        <f t="shared" ca="1" si="508"/>
        <v>#N/A</v>
      </c>
      <c r="AN617" s="112" t="e">
        <f t="shared" ca="1" si="509"/>
        <v>#N/A</v>
      </c>
      <c r="AO617" s="112" t="e">
        <f t="shared" ca="1" si="510"/>
        <v>#N/A</v>
      </c>
      <c r="AP617" s="112" t="e">
        <f t="shared" ca="1" si="511"/>
        <v>#N/A</v>
      </c>
      <c r="AQ617" s="112" t="str">
        <f t="shared" si="512"/>
        <v/>
      </c>
      <c r="AT617" s="112" t="str">
        <f t="shared" si="513"/>
        <v/>
      </c>
      <c r="AU617" s="112" t="e">
        <f t="shared" ca="1" si="514"/>
        <v>#N/A</v>
      </c>
      <c r="AV617" s="112" t="e">
        <f t="shared" ca="1" si="515"/>
        <v>#N/A</v>
      </c>
      <c r="AW617" s="112" t="e">
        <f t="shared" ca="1" si="516"/>
        <v>#N/A</v>
      </c>
      <c r="AX617" s="112" t="e">
        <f t="shared" ca="1" si="517"/>
        <v>#N/A</v>
      </c>
      <c r="AY617" s="112" t="str">
        <f t="shared" si="518"/>
        <v/>
      </c>
      <c r="BA617" s="112" t="str">
        <f t="shared" si="519"/>
        <v/>
      </c>
      <c r="BB617" s="112" t="e">
        <f t="shared" ca="1" si="520"/>
        <v>#N/A</v>
      </c>
      <c r="BC617" s="112" t="e">
        <f t="shared" ca="1" si="521"/>
        <v>#N/A</v>
      </c>
      <c r="BD617" s="112" t="e">
        <f t="shared" ca="1" si="522"/>
        <v>#N/A</v>
      </c>
      <c r="BE617" s="112" t="e">
        <f t="shared" ca="1" si="523"/>
        <v>#N/A</v>
      </c>
      <c r="BF617" s="112" t="str">
        <f t="shared" si="524"/>
        <v/>
      </c>
      <c r="BI617" s="112" t="str">
        <f t="shared" si="525"/>
        <v/>
      </c>
      <c r="BJ617" s="112" t="e">
        <f t="shared" ca="1" si="526"/>
        <v>#N/A</v>
      </c>
      <c r="BK617" s="112" t="e">
        <f t="shared" ca="1" si="527"/>
        <v>#N/A</v>
      </c>
      <c r="BL617" s="112" t="e">
        <f t="shared" ca="1" si="528"/>
        <v>#N/A</v>
      </c>
      <c r="BM617" s="112" t="e">
        <f t="shared" ca="1" si="529"/>
        <v>#N/A</v>
      </c>
      <c r="BN617" s="112" t="str">
        <f t="shared" si="530"/>
        <v/>
      </c>
      <c r="BP617" s="238" t="e">
        <f t="shared" ca="1" si="594"/>
        <v>#N/A</v>
      </c>
      <c r="BQ617" s="238">
        <f t="shared" ref="BQ617:BQ620" si="776">BQ616</f>
        <v>580</v>
      </c>
      <c r="BR617" t="s">
        <v>445</v>
      </c>
      <c r="BS617" t="s">
        <v>446</v>
      </c>
      <c r="BT617" s="114">
        <f t="shared" ca="1" si="482"/>
        <v>1</v>
      </c>
      <c r="BU617" s="112"/>
      <c r="BV617">
        <f t="shared" ca="1" si="587"/>
        <v>0</v>
      </c>
      <c r="BW617" s="112">
        <f t="shared" ca="1" si="484"/>
        <v>37200</v>
      </c>
      <c r="BX617" s="112">
        <f t="shared" ca="1" si="770"/>
        <v>37199</v>
      </c>
      <c r="BY617">
        <f t="shared" ca="1" si="568"/>
        <v>5</v>
      </c>
      <c r="BZ617">
        <f t="shared" ca="1" si="569"/>
        <v>24</v>
      </c>
      <c r="CB617" s="253">
        <f t="shared" ca="1" si="534"/>
        <v>0</v>
      </c>
      <c r="CC617" s="112">
        <f t="shared" ca="1" si="535"/>
        <v>100000</v>
      </c>
      <c r="CD617" s="112">
        <f t="shared" ca="1" si="536"/>
        <v>37199</v>
      </c>
      <c r="CE617">
        <f t="shared" ca="1" si="537"/>
        <v>5</v>
      </c>
      <c r="CF617" s="254">
        <f t="shared" ca="1" si="538"/>
        <v>24</v>
      </c>
      <c r="CH617" s="112">
        <f t="shared" ca="1" si="644"/>
        <v>37200</v>
      </c>
      <c r="CI617">
        <f t="shared" ref="CI617:CI620" ca="1" si="777">CI616</f>
        <v>0</v>
      </c>
      <c r="CJ617">
        <f t="shared" ref="CJ617" ca="1" si="778">IF(AND(CI617=0,CJ618=0,CJ619=0,CJ620=0,CC617&lt;100000),1,0)</f>
        <v>0</v>
      </c>
      <c r="CK617" s="112">
        <f t="shared" ca="1" si="651"/>
        <v>37200</v>
      </c>
      <c r="CM617" s="112"/>
      <c r="CN617" s="260">
        <f t="shared" ca="1" si="488"/>
        <v>100000</v>
      </c>
      <c r="CO617" s="112">
        <f t="shared" ref="CO617:CO620" ca="1" si="779">IF(CJ617=1,CH617,CD617)</f>
        <v>37199</v>
      </c>
      <c r="CP617" s="238">
        <f t="shared" ca="1" si="652"/>
        <v>5</v>
      </c>
      <c r="CQ617" s="328">
        <f t="shared" ca="1" si="653"/>
        <v>24</v>
      </c>
      <c r="CS617" s="112">
        <f t="shared" ca="1" si="492"/>
        <v>100000</v>
      </c>
      <c r="CT617" s="112">
        <f t="shared" ca="1" si="542"/>
        <v>37199</v>
      </c>
      <c r="CU617" s="238">
        <f t="shared" ca="1" si="543"/>
        <v>5</v>
      </c>
      <c r="CV617" s="238">
        <f t="shared" ca="1" si="544"/>
        <v>24</v>
      </c>
      <c r="CY617">
        <f t="shared" si="550"/>
        <v>47</v>
      </c>
      <c r="DA617" s="112">
        <f t="shared" ca="1" si="551"/>
        <v>40360</v>
      </c>
      <c r="DC617">
        <f t="shared" si="552"/>
        <v>617</v>
      </c>
      <c r="DE617" t="str">
        <f t="shared" si="545"/>
        <v>cs617:dc771</v>
      </c>
      <c r="DF617">
        <f t="shared" ca="1" si="546"/>
        <v>704</v>
      </c>
      <c r="DG617" s="412">
        <f t="shared" ca="1" si="690"/>
        <v>0</v>
      </c>
      <c r="DH617" s="411">
        <f t="shared" ca="1" si="678"/>
        <v>40360</v>
      </c>
      <c r="DI617" s="411">
        <f t="shared" ca="1" si="679"/>
        <v>40421</v>
      </c>
      <c r="DJ617" s="410">
        <f t="shared" ca="1" si="680"/>
        <v>18</v>
      </c>
      <c r="DK617" s="410">
        <f t="shared" ca="1" si="681"/>
        <v>24</v>
      </c>
      <c r="DM617" s="411">
        <f t="shared" ca="1" si="691"/>
        <v>40360</v>
      </c>
      <c r="DN617" s="411">
        <f t="shared" ca="1" si="692"/>
        <v>40421</v>
      </c>
      <c r="DO617" s="410">
        <f t="shared" ca="1" si="693"/>
        <v>18</v>
      </c>
      <c r="DP617" s="410">
        <f t="shared" ca="1" si="694"/>
        <v>24</v>
      </c>
    </row>
    <row r="618" spans="27:120" x14ac:dyDescent="0.25">
      <c r="AA618" s="284" t="str">
        <f t="shared" ref="AA618:AF618" si="780">AA67</f>
        <v/>
      </c>
      <c r="AB618" s="284" t="e">
        <f t="shared" ref="AB618:AE618" ca="1" si="781">IF(OR(AB67&lt;=$AA618,AB67&gt;$AF618),100000,AB67)</f>
        <v>#N/A</v>
      </c>
      <c r="AC618" s="284" t="e">
        <f t="shared" ca="1" si="781"/>
        <v>#N/A</v>
      </c>
      <c r="AD618" s="284" t="e">
        <f t="shared" ca="1" si="781"/>
        <v>#N/A</v>
      </c>
      <c r="AE618" s="284" t="e">
        <f t="shared" ca="1" si="781"/>
        <v>#N/A</v>
      </c>
      <c r="AF618" s="284" t="str">
        <f t="shared" si="780"/>
        <v/>
      </c>
      <c r="AG618" s="238">
        <f t="shared" si="505"/>
        <v>0</v>
      </c>
      <c r="AH618" s="407">
        <f t="shared" si="506"/>
        <v>24</v>
      </c>
      <c r="AL618" s="112" t="str">
        <f t="shared" si="507"/>
        <v/>
      </c>
      <c r="AM618" s="112" t="e">
        <f t="shared" ca="1" si="508"/>
        <v>#N/A</v>
      </c>
      <c r="AN618" s="112" t="e">
        <f t="shared" ca="1" si="509"/>
        <v>#N/A</v>
      </c>
      <c r="AO618" s="112" t="e">
        <f t="shared" ca="1" si="510"/>
        <v>#N/A</v>
      </c>
      <c r="AP618" s="112" t="e">
        <f t="shared" ca="1" si="511"/>
        <v>#N/A</v>
      </c>
      <c r="AQ618" s="112" t="str">
        <f t="shared" si="512"/>
        <v/>
      </c>
      <c r="AT618" s="112" t="str">
        <f t="shared" si="513"/>
        <v/>
      </c>
      <c r="AU618" s="112" t="e">
        <f t="shared" ca="1" si="514"/>
        <v>#N/A</v>
      </c>
      <c r="AV618" s="112" t="e">
        <f t="shared" ca="1" si="515"/>
        <v>#N/A</v>
      </c>
      <c r="AW618" s="112" t="e">
        <f t="shared" ca="1" si="516"/>
        <v>#N/A</v>
      </c>
      <c r="AX618" s="112" t="e">
        <f t="shared" ca="1" si="517"/>
        <v>#N/A</v>
      </c>
      <c r="AY618" s="112" t="str">
        <f t="shared" si="518"/>
        <v/>
      </c>
      <c r="BA618" s="112" t="str">
        <f t="shared" si="519"/>
        <v/>
      </c>
      <c r="BB618" s="112" t="e">
        <f t="shared" ca="1" si="520"/>
        <v>#N/A</v>
      </c>
      <c r="BC618" s="112" t="e">
        <f t="shared" ca="1" si="521"/>
        <v>#N/A</v>
      </c>
      <c r="BD618" s="112" t="e">
        <f t="shared" ca="1" si="522"/>
        <v>#N/A</v>
      </c>
      <c r="BE618" s="112" t="e">
        <f t="shared" ca="1" si="523"/>
        <v>#N/A</v>
      </c>
      <c r="BF618" s="112" t="str">
        <f t="shared" si="524"/>
        <v/>
      </c>
      <c r="BI618" s="112" t="str">
        <f t="shared" si="525"/>
        <v/>
      </c>
      <c r="BJ618" s="112" t="e">
        <f t="shared" ca="1" si="526"/>
        <v>#N/A</v>
      </c>
      <c r="BK618" s="112" t="e">
        <f t="shared" ca="1" si="527"/>
        <v>#N/A</v>
      </c>
      <c r="BL618" s="112" t="e">
        <f t="shared" ca="1" si="528"/>
        <v>#N/A</v>
      </c>
      <c r="BM618" s="112" t="e">
        <f t="shared" ca="1" si="529"/>
        <v>#N/A</v>
      </c>
      <c r="BN618" s="112" t="str">
        <f t="shared" si="530"/>
        <v/>
      </c>
      <c r="BP618" s="238" t="e">
        <f t="shared" ca="1" si="594"/>
        <v>#N/A</v>
      </c>
      <c r="BQ618" s="238">
        <f t="shared" si="776"/>
        <v>580</v>
      </c>
      <c r="BR618" t="s">
        <v>446</v>
      </c>
      <c r="BS618" t="s">
        <v>447</v>
      </c>
      <c r="BT618" s="114">
        <f t="shared" ca="1" si="482"/>
        <v>1</v>
      </c>
      <c r="BU618" s="112"/>
      <c r="BV618">
        <f t="shared" ca="1" si="587"/>
        <v>0</v>
      </c>
      <c r="BW618" s="112">
        <f t="shared" ca="1" si="484"/>
        <v>37200</v>
      </c>
      <c r="BX618" s="112">
        <f t="shared" ca="1" si="770"/>
        <v>37199</v>
      </c>
      <c r="BY618">
        <f t="shared" ca="1" si="568"/>
        <v>5</v>
      </c>
      <c r="BZ618">
        <f t="shared" ca="1" si="569"/>
        <v>24</v>
      </c>
      <c r="CB618" s="253">
        <f t="shared" ca="1" si="534"/>
        <v>0</v>
      </c>
      <c r="CC618" s="112">
        <f t="shared" ca="1" si="535"/>
        <v>100000</v>
      </c>
      <c r="CD618" s="112">
        <f t="shared" ca="1" si="536"/>
        <v>37199</v>
      </c>
      <c r="CE618">
        <f t="shared" ca="1" si="537"/>
        <v>5</v>
      </c>
      <c r="CF618" s="254">
        <f t="shared" ca="1" si="538"/>
        <v>24</v>
      </c>
      <c r="CH618" s="112">
        <f t="shared" ca="1" si="644"/>
        <v>37200</v>
      </c>
      <c r="CI618">
        <f t="shared" ca="1" si="777"/>
        <v>0</v>
      </c>
      <c r="CJ618">
        <f t="shared" ref="CJ618" ca="1" si="782">IF(AND(CI618=0,CJ619=0,CJ620=0,CC618&lt;100000),1,0)</f>
        <v>0</v>
      </c>
      <c r="CK618" s="112">
        <f t="shared" ca="1" si="651"/>
        <v>37200</v>
      </c>
      <c r="CM618" s="112"/>
      <c r="CN618" s="260">
        <f t="shared" ca="1" si="488"/>
        <v>100000</v>
      </c>
      <c r="CO618" s="112">
        <f t="shared" ca="1" si="779"/>
        <v>37199</v>
      </c>
      <c r="CP618" s="238">
        <f t="shared" ca="1" si="652"/>
        <v>5</v>
      </c>
      <c r="CQ618" s="328">
        <f t="shared" ca="1" si="653"/>
        <v>24</v>
      </c>
      <c r="CS618" s="112">
        <f t="shared" ca="1" si="492"/>
        <v>100000</v>
      </c>
      <c r="CT618" s="112">
        <f t="shared" ca="1" si="542"/>
        <v>37199</v>
      </c>
      <c r="CU618" s="238">
        <f t="shared" ca="1" si="543"/>
        <v>5</v>
      </c>
      <c r="CV618" s="238">
        <f t="shared" ca="1" si="544"/>
        <v>24</v>
      </c>
      <c r="CY618">
        <f t="shared" si="550"/>
        <v>48</v>
      </c>
      <c r="DA618" s="112">
        <f t="shared" ca="1" si="551"/>
        <v>40430</v>
      </c>
      <c r="DC618">
        <f t="shared" si="552"/>
        <v>618</v>
      </c>
      <c r="DE618" t="str">
        <f t="shared" si="545"/>
        <v>cs618:dc771</v>
      </c>
      <c r="DF618">
        <f t="shared" ca="1" si="546"/>
        <v>706</v>
      </c>
      <c r="DG618" s="412">
        <f t="shared" ca="1" si="690"/>
        <v>0</v>
      </c>
      <c r="DH618" s="411">
        <f t="shared" ca="1" si="678"/>
        <v>40430</v>
      </c>
      <c r="DI618" s="411">
        <f t="shared" ca="1" si="679"/>
        <v>40543</v>
      </c>
      <c r="DJ618" s="410">
        <f t="shared" ca="1" si="680"/>
        <v>7</v>
      </c>
      <c r="DK618" s="410">
        <f t="shared" ca="1" si="681"/>
        <v>24</v>
      </c>
      <c r="DM618" s="411">
        <f t="shared" ca="1" si="691"/>
        <v>40430</v>
      </c>
      <c r="DN618" s="411">
        <f t="shared" ca="1" si="692"/>
        <v>40543</v>
      </c>
      <c r="DO618" s="410">
        <f t="shared" ca="1" si="693"/>
        <v>7</v>
      </c>
      <c r="DP618" s="410">
        <f t="shared" ca="1" si="694"/>
        <v>24</v>
      </c>
    </row>
    <row r="619" spans="27:120" x14ac:dyDescent="0.25">
      <c r="AA619" s="284" t="str">
        <f t="shared" ref="AA619:AF619" si="783">AA68</f>
        <v/>
      </c>
      <c r="AB619" s="284" t="e">
        <f t="shared" ref="AB619:AE619" ca="1" si="784">IF(OR(AB68&lt;=$AA619,AB68&gt;$AF619),100000,AB68)</f>
        <v>#N/A</v>
      </c>
      <c r="AC619" s="284" t="e">
        <f t="shared" ca="1" si="784"/>
        <v>#N/A</v>
      </c>
      <c r="AD619" s="284" t="e">
        <f t="shared" ca="1" si="784"/>
        <v>#N/A</v>
      </c>
      <c r="AE619" s="284" t="e">
        <f t="shared" ca="1" si="784"/>
        <v>#N/A</v>
      </c>
      <c r="AF619" s="284" t="str">
        <f t="shared" si="783"/>
        <v/>
      </c>
      <c r="AG619" s="238">
        <f t="shared" si="505"/>
        <v>0</v>
      </c>
      <c r="AH619" s="407">
        <f t="shared" si="506"/>
        <v>24</v>
      </c>
      <c r="AL619" s="112" t="str">
        <f t="shared" si="507"/>
        <v/>
      </c>
      <c r="AM619" s="112" t="e">
        <f t="shared" ca="1" si="508"/>
        <v>#N/A</v>
      </c>
      <c r="AN619" s="112" t="e">
        <f t="shared" ca="1" si="509"/>
        <v>#N/A</v>
      </c>
      <c r="AO619" s="112" t="e">
        <f t="shared" ca="1" si="510"/>
        <v>#N/A</v>
      </c>
      <c r="AP619" s="112" t="e">
        <f t="shared" ca="1" si="511"/>
        <v>#N/A</v>
      </c>
      <c r="AQ619" s="112" t="str">
        <f t="shared" si="512"/>
        <v/>
      </c>
      <c r="AT619" s="112" t="str">
        <f t="shared" si="513"/>
        <v/>
      </c>
      <c r="AU619" s="112" t="e">
        <f t="shared" ca="1" si="514"/>
        <v>#N/A</v>
      </c>
      <c r="AV619" s="112" t="e">
        <f t="shared" ca="1" si="515"/>
        <v>#N/A</v>
      </c>
      <c r="AW619" s="112" t="e">
        <f t="shared" ca="1" si="516"/>
        <v>#N/A</v>
      </c>
      <c r="AX619" s="112" t="e">
        <f t="shared" ca="1" si="517"/>
        <v>#N/A</v>
      </c>
      <c r="AY619" s="112" t="str">
        <f t="shared" si="518"/>
        <v/>
      </c>
      <c r="BA619" s="112" t="str">
        <f t="shared" si="519"/>
        <v/>
      </c>
      <c r="BB619" s="112" t="e">
        <f t="shared" ca="1" si="520"/>
        <v>#N/A</v>
      </c>
      <c r="BC619" s="112" t="e">
        <f t="shared" ca="1" si="521"/>
        <v>#N/A</v>
      </c>
      <c r="BD619" s="112" t="e">
        <f t="shared" ca="1" si="522"/>
        <v>#N/A</v>
      </c>
      <c r="BE619" s="112" t="e">
        <f t="shared" ca="1" si="523"/>
        <v>#N/A</v>
      </c>
      <c r="BF619" s="112" t="str">
        <f t="shared" si="524"/>
        <v/>
      </c>
      <c r="BI619" s="112" t="str">
        <f t="shared" si="525"/>
        <v/>
      </c>
      <c r="BJ619" s="112" t="e">
        <f t="shared" ca="1" si="526"/>
        <v>#N/A</v>
      </c>
      <c r="BK619" s="112" t="e">
        <f t="shared" ca="1" si="527"/>
        <v>#N/A</v>
      </c>
      <c r="BL619" s="112" t="e">
        <f t="shared" ca="1" si="528"/>
        <v>#N/A</v>
      </c>
      <c r="BM619" s="112" t="e">
        <f t="shared" ca="1" si="529"/>
        <v>#N/A</v>
      </c>
      <c r="BN619" s="112" t="str">
        <f t="shared" si="530"/>
        <v/>
      </c>
      <c r="BP619" s="238" t="e">
        <f t="shared" ca="1" si="594"/>
        <v>#N/A</v>
      </c>
      <c r="BQ619" s="238">
        <f t="shared" si="776"/>
        <v>580</v>
      </c>
      <c r="BR619" t="s">
        <v>447</v>
      </c>
      <c r="BS619" t="s">
        <v>448</v>
      </c>
      <c r="BT619" s="114">
        <f t="shared" ca="1" si="482"/>
        <v>1</v>
      </c>
      <c r="BU619" s="112"/>
      <c r="BV619">
        <f t="shared" ca="1" si="587"/>
        <v>0</v>
      </c>
      <c r="BW619" s="112">
        <f t="shared" ca="1" si="484"/>
        <v>37200</v>
      </c>
      <c r="BX619" s="112">
        <f t="shared" ref="BX619:BX620" ca="1" si="785">INDIRECT(CONCATENATE(BS619,BQ619))</f>
        <v>37200</v>
      </c>
      <c r="BY619">
        <f t="shared" ca="1" si="568"/>
        <v>5</v>
      </c>
      <c r="BZ619">
        <f t="shared" ca="1" si="569"/>
        <v>24</v>
      </c>
      <c r="CB619" s="253">
        <f t="shared" ca="1" si="534"/>
        <v>0</v>
      </c>
      <c r="CC619" s="112">
        <f t="shared" ca="1" si="535"/>
        <v>100000</v>
      </c>
      <c r="CD619" s="112">
        <f t="shared" ca="1" si="536"/>
        <v>37200</v>
      </c>
      <c r="CE619">
        <f t="shared" ca="1" si="537"/>
        <v>5</v>
      </c>
      <c r="CF619" s="254">
        <f t="shared" ca="1" si="538"/>
        <v>24</v>
      </c>
      <c r="CH619" s="112">
        <f t="shared" ca="1" si="644"/>
        <v>37200</v>
      </c>
      <c r="CI619">
        <f t="shared" ca="1" si="777"/>
        <v>0</v>
      </c>
      <c r="CJ619">
        <f t="shared" ref="CJ619" ca="1" si="786">IF(AND(CI619=0,CJ620=0,CC619&lt;100000),1,0)</f>
        <v>0</v>
      </c>
      <c r="CK619" s="112">
        <f t="shared" ca="1" si="651"/>
        <v>37200</v>
      </c>
      <c r="CM619" s="112"/>
      <c r="CN619" s="260">
        <f t="shared" ca="1" si="488"/>
        <v>100000</v>
      </c>
      <c r="CO619" s="112">
        <f t="shared" ca="1" si="779"/>
        <v>37200</v>
      </c>
      <c r="CP619" s="238">
        <f t="shared" ca="1" si="652"/>
        <v>5</v>
      </c>
      <c r="CQ619" s="328">
        <f t="shared" ca="1" si="653"/>
        <v>24</v>
      </c>
      <c r="CS619" s="112">
        <f t="shared" ca="1" si="492"/>
        <v>100000</v>
      </c>
      <c r="CT619" s="112">
        <f t="shared" ca="1" si="542"/>
        <v>37200</v>
      </c>
      <c r="CU619" s="238">
        <f t="shared" ca="1" si="543"/>
        <v>5</v>
      </c>
      <c r="CV619" s="238">
        <f t="shared" ca="1" si="544"/>
        <v>24</v>
      </c>
      <c r="CY619">
        <f t="shared" si="550"/>
        <v>49</v>
      </c>
      <c r="DA619" s="112">
        <f t="shared" ca="1" si="551"/>
        <v>40431</v>
      </c>
      <c r="DC619">
        <f t="shared" si="552"/>
        <v>619</v>
      </c>
      <c r="DE619" t="str">
        <f t="shared" ref="DE619:DE639" si="787">CONCATENATE("cs",DC619,":dc790")</f>
        <v>cs619:dc790</v>
      </c>
      <c r="DF619">
        <f t="shared" ca="1" si="546"/>
        <v>711</v>
      </c>
      <c r="DG619" s="412">
        <f t="shared" ca="1" si="690"/>
        <v>0</v>
      </c>
      <c r="DH619" s="411">
        <f t="shared" ca="1" si="678"/>
        <v>40431</v>
      </c>
      <c r="DI619" s="411">
        <f t="shared" ca="1" si="679"/>
        <v>40543</v>
      </c>
      <c r="DJ619" s="410">
        <f t="shared" ca="1" si="680"/>
        <v>9</v>
      </c>
      <c r="DK619" s="410">
        <f t="shared" ca="1" si="681"/>
        <v>24</v>
      </c>
      <c r="DM619" s="411">
        <f t="shared" ca="1" si="691"/>
        <v>40431</v>
      </c>
      <c r="DN619" s="411">
        <f t="shared" ca="1" si="692"/>
        <v>40543</v>
      </c>
      <c r="DO619" s="410">
        <f t="shared" ca="1" si="693"/>
        <v>9</v>
      </c>
      <c r="DP619" s="410">
        <f t="shared" ca="1" si="694"/>
        <v>24</v>
      </c>
    </row>
    <row r="620" spans="27:120" ht="15.75" thickBot="1" x14ac:dyDescent="0.3">
      <c r="AA620" s="284" t="str">
        <f t="shared" ref="AA620:AF620" si="788">AA69</f>
        <v/>
      </c>
      <c r="AB620" s="284" t="e">
        <f t="shared" ref="AB620:AE620" ca="1" si="789">IF(OR(AB69&lt;=$AA620,AB69&gt;$AF620),100000,AB69)</f>
        <v>#N/A</v>
      </c>
      <c r="AC620" s="284" t="e">
        <f t="shared" ca="1" si="789"/>
        <v>#N/A</v>
      </c>
      <c r="AD620" s="284" t="e">
        <f t="shared" ca="1" si="789"/>
        <v>#N/A</v>
      </c>
      <c r="AE620" s="284" t="e">
        <f t="shared" ca="1" si="789"/>
        <v>#N/A</v>
      </c>
      <c r="AF620" s="284" t="str">
        <f t="shared" si="788"/>
        <v/>
      </c>
      <c r="AG620" s="238">
        <f t="shared" si="505"/>
        <v>0</v>
      </c>
      <c r="AH620" s="407">
        <f t="shared" si="506"/>
        <v>24</v>
      </c>
      <c r="AL620" s="112" t="str">
        <f t="shared" si="507"/>
        <v/>
      </c>
      <c r="AM620" s="112" t="e">
        <f t="shared" ca="1" si="508"/>
        <v>#N/A</v>
      </c>
      <c r="AN620" s="112" t="e">
        <f t="shared" ca="1" si="509"/>
        <v>#N/A</v>
      </c>
      <c r="AO620" s="112" t="e">
        <f t="shared" ca="1" si="510"/>
        <v>#N/A</v>
      </c>
      <c r="AP620" s="112" t="e">
        <f t="shared" ca="1" si="511"/>
        <v>#N/A</v>
      </c>
      <c r="AQ620" s="112" t="str">
        <f t="shared" si="512"/>
        <v/>
      </c>
      <c r="AT620" s="112" t="str">
        <f t="shared" si="513"/>
        <v/>
      </c>
      <c r="AU620" s="112" t="e">
        <f t="shared" ca="1" si="514"/>
        <v>#N/A</v>
      </c>
      <c r="AV620" s="112" t="e">
        <f t="shared" ca="1" si="515"/>
        <v>#N/A</v>
      </c>
      <c r="AW620" s="112" t="e">
        <f t="shared" ca="1" si="516"/>
        <v>#N/A</v>
      </c>
      <c r="AX620" s="112" t="e">
        <f t="shared" ca="1" si="517"/>
        <v>#N/A</v>
      </c>
      <c r="AY620" s="112" t="str">
        <f t="shared" si="518"/>
        <v/>
      </c>
      <c r="BA620" s="112" t="str">
        <f t="shared" si="519"/>
        <v/>
      </c>
      <c r="BB620" s="112" t="e">
        <f t="shared" ca="1" si="520"/>
        <v>#N/A</v>
      </c>
      <c r="BC620" s="112" t="e">
        <f t="shared" ca="1" si="521"/>
        <v>#N/A</v>
      </c>
      <c r="BD620" s="112" t="e">
        <f t="shared" ca="1" si="522"/>
        <v>#N/A</v>
      </c>
      <c r="BE620" s="112" t="e">
        <f t="shared" ca="1" si="523"/>
        <v>#N/A</v>
      </c>
      <c r="BF620" s="112" t="str">
        <f t="shared" si="524"/>
        <v/>
      </c>
      <c r="BI620" s="112" t="str">
        <f t="shared" si="525"/>
        <v/>
      </c>
      <c r="BJ620" s="112" t="e">
        <f t="shared" ca="1" si="526"/>
        <v>#N/A</v>
      </c>
      <c r="BK620" s="112" t="e">
        <f t="shared" ca="1" si="527"/>
        <v>#N/A</v>
      </c>
      <c r="BL620" s="112" t="e">
        <f t="shared" ca="1" si="528"/>
        <v>#N/A</v>
      </c>
      <c r="BM620" s="112" t="e">
        <f t="shared" ca="1" si="529"/>
        <v>#N/A</v>
      </c>
      <c r="BN620" s="112" t="str">
        <f t="shared" si="530"/>
        <v/>
      </c>
      <c r="BP620" s="238" t="e">
        <f t="shared" ca="1" si="594"/>
        <v>#N/A</v>
      </c>
      <c r="BQ620" s="238">
        <f t="shared" si="776"/>
        <v>580</v>
      </c>
      <c r="BR620" t="s">
        <v>448</v>
      </c>
      <c r="BS620" t="s">
        <v>449</v>
      </c>
      <c r="BT620" s="114">
        <f t="shared" ca="1" si="482"/>
        <v>1</v>
      </c>
      <c r="BU620" s="112"/>
      <c r="BV620">
        <f t="shared" ca="1" si="587"/>
        <v>0</v>
      </c>
      <c r="BW620" s="112">
        <f t="shared" ca="1" si="484"/>
        <v>37200</v>
      </c>
      <c r="BX620" s="112">
        <f t="shared" ca="1" si="785"/>
        <v>37200</v>
      </c>
      <c r="BY620">
        <f t="shared" ca="1" si="568"/>
        <v>5</v>
      </c>
      <c r="BZ620">
        <f t="shared" ca="1" si="569"/>
        <v>24</v>
      </c>
      <c r="CB620" s="255">
        <f t="shared" ca="1" si="534"/>
        <v>0</v>
      </c>
      <c r="CC620" s="324">
        <f t="shared" ca="1" si="535"/>
        <v>100000</v>
      </c>
      <c r="CD620" s="324">
        <f t="shared" ca="1" si="536"/>
        <v>37200</v>
      </c>
      <c r="CE620" s="257">
        <f t="shared" ca="1" si="537"/>
        <v>5</v>
      </c>
      <c r="CF620" s="258">
        <f t="shared" ca="1" si="538"/>
        <v>24</v>
      </c>
      <c r="CH620" s="112">
        <f t="shared" ca="1" si="644"/>
        <v>37200</v>
      </c>
      <c r="CI620">
        <f t="shared" ca="1" si="777"/>
        <v>0</v>
      </c>
      <c r="CJ620">
        <f t="shared" ref="CJ620" ca="1" si="790">IF(AND(CI620=0,CC620&lt;100000),1,0)</f>
        <v>0</v>
      </c>
      <c r="CK620" s="112">
        <f t="shared" ca="1" si="651"/>
        <v>37200</v>
      </c>
      <c r="CM620" s="112"/>
      <c r="CN620" s="261">
        <f t="shared" ref="CN620" ca="1" si="791">IF(AND(CN616=100000,CN617=100000,CN618=100000,CN619=100000),INDIRECT(CONCATENATE("aa",BQ620)),CC620)</f>
        <v>100000</v>
      </c>
      <c r="CO620" s="324">
        <f t="shared" ca="1" si="779"/>
        <v>37200</v>
      </c>
      <c r="CP620" s="256">
        <f t="shared" ca="1" si="652"/>
        <v>5</v>
      </c>
      <c r="CQ620" s="329">
        <f t="shared" ca="1" si="653"/>
        <v>24</v>
      </c>
      <c r="CS620" s="112">
        <f t="shared" ca="1" si="492"/>
        <v>100000</v>
      </c>
      <c r="CT620" s="112">
        <f t="shared" ca="1" si="542"/>
        <v>37200</v>
      </c>
      <c r="CU620" s="238">
        <f t="shared" ca="1" si="543"/>
        <v>5</v>
      </c>
      <c r="CV620" s="238">
        <f t="shared" ca="1" si="544"/>
        <v>24</v>
      </c>
      <c r="CY620">
        <f t="shared" si="550"/>
        <v>50</v>
      </c>
      <c r="DA620" s="112">
        <f t="shared" ca="1" si="551"/>
        <v>40544</v>
      </c>
      <c r="DC620">
        <f t="shared" si="552"/>
        <v>620</v>
      </c>
      <c r="DE620" t="str">
        <f t="shared" si="787"/>
        <v>cs620:dc790</v>
      </c>
      <c r="DF620">
        <f t="shared" ca="1" si="546"/>
        <v>709</v>
      </c>
      <c r="DG620" s="412">
        <f t="shared" ca="1" si="690"/>
        <v>0</v>
      </c>
      <c r="DH620" s="411">
        <f t="shared" ca="1" si="678"/>
        <v>40544</v>
      </c>
      <c r="DI620" s="411">
        <f t="shared" ca="1" si="679"/>
        <v>40544</v>
      </c>
      <c r="DJ620" s="410">
        <f t="shared" ca="1" si="680"/>
        <v>7</v>
      </c>
      <c r="DK620" s="410">
        <f t="shared" ca="1" si="681"/>
        <v>24</v>
      </c>
      <c r="DM620" s="411">
        <f t="shared" ca="1" si="691"/>
        <v>40544</v>
      </c>
      <c r="DN620" s="411">
        <f t="shared" ca="1" si="692"/>
        <v>40544</v>
      </c>
      <c r="DO620" s="410">
        <f t="shared" ca="1" si="693"/>
        <v>7</v>
      </c>
      <c r="DP620" s="410">
        <f t="shared" ca="1" si="694"/>
        <v>24</v>
      </c>
    </row>
    <row r="621" spans="27:120" x14ac:dyDescent="0.25">
      <c r="AA621" s="284" t="str">
        <f t="shared" ref="AA621:AF621" si="792">AA70</f>
        <v/>
      </c>
      <c r="AB621" s="284" t="e">
        <f t="shared" ref="AB621:AE621" ca="1" si="793">IF(OR(AB70&lt;=$AA621,AB70&gt;$AF621),100000,AB70)</f>
        <v>#N/A</v>
      </c>
      <c r="AC621" s="284" t="e">
        <f t="shared" ca="1" si="793"/>
        <v>#N/A</v>
      </c>
      <c r="AD621" s="284" t="e">
        <f t="shared" ca="1" si="793"/>
        <v>#N/A</v>
      </c>
      <c r="AE621" s="284" t="e">
        <f t="shared" ca="1" si="793"/>
        <v>#N/A</v>
      </c>
      <c r="AF621" s="284" t="str">
        <f t="shared" si="792"/>
        <v/>
      </c>
      <c r="AG621" s="238">
        <f t="shared" si="505"/>
        <v>0</v>
      </c>
      <c r="AH621" s="407">
        <f t="shared" si="506"/>
        <v>24</v>
      </c>
      <c r="AL621" s="112" t="str">
        <f t="shared" si="507"/>
        <v/>
      </c>
      <c r="AM621" s="112" t="e">
        <f t="shared" ca="1" si="508"/>
        <v>#N/A</v>
      </c>
      <c r="AN621" s="112" t="e">
        <f t="shared" ca="1" si="509"/>
        <v>#N/A</v>
      </c>
      <c r="AO621" s="112" t="e">
        <f t="shared" ca="1" si="510"/>
        <v>#N/A</v>
      </c>
      <c r="AP621" s="112" t="e">
        <f t="shared" ca="1" si="511"/>
        <v>#N/A</v>
      </c>
      <c r="AQ621" s="112" t="str">
        <f t="shared" si="512"/>
        <v/>
      </c>
      <c r="AT621" s="112" t="str">
        <f t="shared" si="513"/>
        <v/>
      </c>
      <c r="AU621" s="112" t="e">
        <f t="shared" ca="1" si="514"/>
        <v>#N/A</v>
      </c>
      <c r="AV621" s="112" t="e">
        <f t="shared" ca="1" si="515"/>
        <v>#N/A</v>
      </c>
      <c r="AW621" s="112" t="e">
        <f t="shared" ca="1" si="516"/>
        <v>#N/A</v>
      </c>
      <c r="AX621" s="112" t="e">
        <f t="shared" ca="1" si="517"/>
        <v>#N/A</v>
      </c>
      <c r="AY621" s="112" t="str">
        <f t="shared" si="518"/>
        <v/>
      </c>
      <c r="BA621" s="112" t="str">
        <f t="shared" si="519"/>
        <v/>
      </c>
      <c r="BB621" s="112" t="e">
        <f t="shared" ca="1" si="520"/>
        <v>#N/A</v>
      </c>
      <c r="BC621" s="112" t="e">
        <f t="shared" ca="1" si="521"/>
        <v>#N/A</v>
      </c>
      <c r="BD621" s="112" t="e">
        <f t="shared" ca="1" si="522"/>
        <v>#N/A</v>
      </c>
      <c r="BE621" s="112" t="e">
        <f t="shared" ca="1" si="523"/>
        <v>#N/A</v>
      </c>
      <c r="BF621" s="112" t="str">
        <f t="shared" si="524"/>
        <v/>
      </c>
      <c r="BI621" s="112" t="str">
        <f t="shared" si="525"/>
        <v/>
      </c>
      <c r="BJ621" s="112" t="e">
        <f t="shared" ca="1" si="526"/>
        <v>#N/A</v>
      </c>
      <c r="BK621" s="112" t="e">
        <f t="shared" ca="1" si="527"/>
        <v>#N/A</v>
      </c>
      <c r="BL621" s="112" t="e">
        <f t="shared" ca="1" si="528"/>
        <v>#N/A</v>
      </c>
      <c r="BM621" s="112" t="e">
        <f t="shared" ca="1" si="529"/>
        <v>#N/A</v>
      </c>
      <c r="BN621" s="112" t="str">
        <f t="shared" si="530"/>
        <v/>
      </c>
      <c r="BP621" s="238" t="e">
        <f t="shared" ca="1" si="594"/>
        <v>#N/A</v>
      </c>
      <c r="BQ621" s="238">
        <f t="shared" ref="BQ621" si="794">BQ620+1</f>
        <v>581</v>
      </c>
      <c r="BR621" s="112" t="s">
        <v>444</v>
      </c>
      <c r="BS621" s="112" t="s">
        <v>445</v>
      </c>
      <c r="BT621" s="114">
        <f ca="1">INDIRECT(CONCATENATE("bp",BQ621))</f>
        <v>1</v>
      </c>
      <c r="BU621" s="112"/>
      <c r="BV621">
        <f t="shared" ca="1" si="587"/>
        <v>1</v>
      </c>
      <c r="BW621" s="112">
        <f t="shared" ref="BW621:BW625" ca="1" si="795">INDIRECT(CONCATENATE(BR621,BQ621))</f>
        <v>37167</v>
      </c>
      <c r="BX621" s="112">
        <f ca="1">INDIRECT(CONCATENATE(BS621,BQ621))-1+BT621</f>
        <v>37200</v>
      </c>
      <c r="BY621">
        <f t="shared" ca="1" si="568"/>
        <v>5</v>
      </c>
      <c r="BZ621">
        <f t="shared" ca="1" si="569"/>
        <v>24</v>
      </c>
      <c r="CB621" s="250">
        <f t="shared" ca="1" si="534"/>
        <v>1</v>
      </c>
      <c r="CC621" s="326">
        <f t="shared" ca="1" si="535"/>
        <v>37167</v>
      </c>
      <c r="CD621" s="326">
        <f t="shared" ca="1" si="536"/>
        <v>37200</v>
      </c>
      <c r="CE621" s="251">
        <f t="shared" ca="1" si="537"/>
        <v>5</v>
      </c>
      <c r="CF621" s="252">
        <f t="shared" ca="1" si="538"/>
        <v>24</v>
      </c>
      <c r="CH621" s="112">
        <f t="shared" ca="1" si="644"/>
        <v>37200</v>
      </c>
      <c r="CI621">
        <f t="shared" ref="CI621" ca="1" si="796">CB621+CB622+CB623+CB624+CB625</f>
        <v>1</v>
      </c>
      <c r="CJ621">
        <v>0</v>
      </c>
      <c r="CK621" s="112">
        <f t="shared" ca="1" si="651"/>
        <v>37200</v>
      </c>
      <c r="CM621" s="112"/>
      <c r="CN621" s="408">
        <f t="shared" ca="1" si="488"/>
        <v>37167</v>
      </c>
      <c r="CO621" s="326">
        <f t="shared" ref="CO621" ca="1" si="797">CD621</f>
        <v>37200</v>
      </c>
      <c r="CP621" s="333">
        <f t="shared" ca="1" si="652"/>
        <v>5</v>
      </c>
      <c r="CQ621" s="327">
        <f t="shared" ca="1" si="653"/>
        <v>24</v>
      </c>
      <c r="CS621" s="112">
        <f t="shared" ca="1" si="492"/>
        <v>37167</v>
      </c>
      <c r="CT621" s="112">
        <f t="shared" ref="CT621" ca="1" si="798">IF(AND( CN622=100000,CN623=100000,CN624=100000,CN625=100000),CO625,                             CO621)</f>
        <v>37200</v>
      </c>
      <c r="CU621" s="238">
        <f t="shared" ca="1" si="543"/>
        <v>5</v>
      </c>
      <c r="CV621" s="238">
        <f t="shared" ca="1" si="544"/>
        <v>24</v>
      </c>
      <c r="CY621">
        <f t="shared" si="550"/>
        <v>51</v>
      </c>
      <c r="DA621" s="112">
        <f t="shared" ca="1" si="551"/>
        <v>40544</v>
      </c>
      <c r="DC621">
        <f t="shared" si="552"/>
        <v>621</v>
      </c>
      <c r="DE621" t="str">
        <f t="shared" si="787"/>
        <v>cs621:dc790</v>
      </c>
      <c r="DF621">
        <f t="shared" ca="1" si="546"/>
        <v>709</v>
      </c>
      <c r="DG621" s="412">
        <f t="shared" ca="1" si="690"/>
        <v>0</v>
      </c>
      <c r="DH621" s="411">
        <f t="shared" ca="1" si="678"/>
        <v>40544</v>
      </c>
      <c r="DI621" s="411">
        <f t="shared" ca="1" si="679"/>
        <v>40544</v>
      </c>
      <c r="DJ621" s="410">
        <f t="shared" ca="1" si="680"/>
        <v>7</v>
      </c>
      <c r="DK621" s="410">
        <f t="shared" ca="1" si="681"/>
        <v>24</v>
      </c>
      <c r="DM621" s="411">
        <f t="shared" ca="1" si="691"/>
        <v>40544</v>
      </c>
      <c r="DN621" s="411">
        <f t="shared" ca="1" si="692"/>
        <v>40544</v>
      </c>
      <c r="DO621" s="410">
        <f t="shared" ca="1" si="693"/>
        <v>7</v>
      </c>
      <c r="DP621" s="410">
        <f t="shared" ca="1" si="694"/>
        <v>24</v>
      </c>
    </row>
    <row r="622" spans="27:120" x14ac:dyDescent="0.25">
      <c r="AA622" s="284" t="str">
        <f t="shared" ref="AA622:AF622" si="799">AA71</f>
        <v/>
      </c>
      <c r="AB622" s="284" t="e">
        <f t="shared" ref="AB622:AE622" ca="1" si="800">IF(OR(AB71&lt;=$AA622,AB71&gt;$AF622),100000,AB71)</f>
        <v>#N/A</v>
      </c>
      <c r="AC622" s="284" t="e">
        <f t="shared" ca="1" si="800"/>
        <v>#N/A</v>
      </c>
      <c r="AD622" s="284" t="e">
        <f t="shared" ca="1" si="800"/>
        <v>#N/A</v>
      </c>
      <c r="AE622" s="284" t="e">
        <f t="shared" ca="1" si="800"/>
        <v>#N/A</v>
      </c>
      <c r="AF622" s="284" t="str">
        <f t="shared" si="799"/>
        <v/>
      </c>
      <c r="AG622" s="238">
        <f t="shared" si="505"/>
        <v>0</v>
      </c>
      <c r="AH622" s="407">
        <f t="shared" si="506"/>
        <v>24</v>
      </c>
      <c r="AL622" s="112" t="str">
        <f t="shared" si="507"/>
        <v/>
      </c>
      <c r="AM622" s="112" t="e">
        <f t="shared" ca="1" si="508"/>
        <v>#N/A</v>
      </c>
      <c r="AN622" s="112" t="e">
        <f t="shared" ca="1" si="509"/>
        <v>#N/A</v>
      </c>
      <c r="AO622" s="112" t="e">
        <f t="shared" ca="1" si="510"/>
        <v>#N/A</v>
      </c>
      <c r="AP622" s="112" t="e">
        <f t="shared" ca="1" si="511"/>
        <v>#N/A</v>
      </c>
      <c r="AQ622" s="112" t="str">
        <f t="shared" si="512"/>
        <v/>
      </c>
      <c r="AT622" s="112" t="str">
        <f t="shared" si="513"/>
        <v/>
      </c>
      <c r="AU622" s="112" t="e">
        <f t="shared" ca="1" si="514"/>
        <v>#N/A</v>
      </c>
      <c r="AV622" s="112" t="e">
        <f t="shared" ca="1" si="515"/>
        <v>#N/A</v>
      </c>
      <c r="AW622" s="112" t="e">
        <f t="shared" ca="1" si="516"/>
        <v>#N/A</v>
      </c>
      <c r="AX622" s="112" t="e">
        <f t="shared" ca="1" si="517"/>
        <v>#N/A</v>
      </c>
      <c r="AY622" s="112" t="str">
        <f t="shared" si="518"/>
        <v/>
      </c>
      <c r="BA622" s="112" t="str">
        <f t="shared" si="519"/>
        <v/>
      </c>
      <c r="BB622" s="112" t="e">
        <f t="shared" ca="1" si="520"/>
        <v>#N/A</v>
      </c>
      <c r="BC622" s="112" t="e">
        <f t="shared" ca="1" si="521"/>
        <v>#N/A</v>
      </c>
      <c r="BD622" s="112" t="e">
        <f t="shared" ca="1" si="522"/>
        <v>#N/A</v>
      </c>
      <c r="BE622" s="112" t="e">
        <f t="shared" ca="1" si="523"/>
        <v>#N/A</v>
      </c>
      <c r="BF622" s="112" t="str">
        <f t="shared" si="524"/>
        <v/>
      </c>
      <c r="BI622" s="112" t="str">
        <f t="shared" si="525"/>
        <v/>
      </c>
      <c r="BJ622" s="112" t="e">
        <f t="shared" ca="1" si="526"/>
        <v>#N/A</v>
      </c>
      <c r="BK622" s="112" t="e">
        <f t="shared" ca="1" si="527"/>
        <v>#N/A</v>
      </c>
      <c r="BL622" s="112" t="e">
        <f t="shared" ca="1" si="528"/>
        <v>#N/A</v>
      </c>
      <c r="BM622" s="112" t="e">
        <f t="shared" ca="1" si="529"/>
        <v>#N/A</v>
      </c>
      <c r="BN622" s="112" t="str">
        <f t="shared" si="530"/>
        <v/>
      </c>
      <c r="BP622" s="238" t="e">
        <f t="shared" ca="1" si="594"/>
        <v>#N/A</v>
      </c>
      <c r="BQ622" s="238">
        <f t="shared" ref="BQ622:BQ625" si="801">BQ621</f>
        <v>581</v>
      </c>
      <c r="BR622" t="s">
        <v>445</v>
      </c>
      <c r="BS622" t="s">
        <v>446</v>
      </c>
      <c r="BT622" s="114">
        <f t="shared" ref="BT622:BT685" ca="1" si="802">INDIRECT(CONCATENATE("bp",BQ622))</f>
        <v>1</v>
      </c>
      <c r="BU622" s="112"/>
      <c r="BV622">
        <f t="shared" ca="1" si="587"/>
        <v>0</v>
      </c>
      <c r="BW622" s="112">
        <f t="shared" ca="1" si="795"/>
        <v>37200</v>
      </c>
      <c r="BX622" s="112">
        <f t="shared" ref="BX622:BX623" ca="1" si="803">INDIRECT(CONCATENATE(BS622,BQ622))-1</f>
        <v>37199</v>
      </c>
      <c r="BY622">
        <f t="shared" ca="1" si="568"/>
        <v>5</v>
      </c>
      <c r="BZ622">
        <f t="shared" ca="1" si="569"/>
        <v>24</v>
      </c>
      <c r="CB622" s="253">
        <f t="shared" ca="1" si="534"/>
        <v>0</v>
      </c>
      <c r="CC622" s="112">
        <f t="shared" ca="1" si="535"/>
        <v>100000</v>
      </c>
      <c r="CD622" s="112">
        <f t="shared" ca="1" si="536"/>
        <v>37199</v>
      </c>
      <c r="CE622">
        <f t="shared" ca="1" si="537"/>
        <v>5</v>
      </c>
      <c r="CF622" s="254">
        <f t="shared" ca="1" si="538"/>
        <v>24</v>
      </c>
      <c r="CH622" s="112">
        <f t="shared" ca="1" si="644"/>
        <v>37200</v>
      </c>
      <c r="CI622">
        <f t="shared" ref="CI622:CI625" ca="1" si="804">CI621</f>
        <v>1</v>
      </c>
      <c r="CJ622">
        <f t="shared" ref="CJ622" ca="1" si="805">IF(AND(CI622=0,CJ623=0,CJ624=0,CJ625=0,CC622&lt;100000),1,0)</f>
        <v>0</v>
      </c>
      <c r="CK622" s="112">
        <f t="shared" ca="1" si="651"/>
        <v>37200</v>
      </c>
      <c r="CM622" s="112"/>
      <c r="CN622" s="260">
        <f t="shared" ca="1" si="488"/>
        <v>100000</v>
      </c>
      <c r="CO622" s="112">
        <f t="shared" ref="CO622:CO625" ca="1" si="806">IF(CJ622=1,CH622,CD622)</f>
        <v>37199</v>
      </c>
      <c r="CP622" s="238">
        <f t="shared" ca="1" si="652"/>
        <v>5</v>
      </c>
      <c r="CQ622" s="328">
        <f t="shared" ca="1" si="653"/>
        <v>24</v>
      </c>
      <c r="CS622" s="112">
        <f t="shared" ca="1" si="492"/>
        <v>100000</v>
      </c>
      <c r="CT622" s="112">
        <f t="shared" ca="1" si="542"/>
        <v>37199</v>
      </c>
      <c r="CU622" s="238">
        <f t="shared" ca="1" si="543"/>
        <v>5</v>
      </c>
      <c r="CV622" s="238">
        <f t="shared" ca="1" si="544"/>
        <v>24</v>
      </c>
      <c r="CY622">
        <f t="shared" si="550"/>
        <v>52</v>
      </c>
      <c r="DA622" s="112">
        <f t="shared" ca="1" si="551"/>
        <v>40544</v>
      </c>
      <c r="DC622">
        <f t="shared" si="552"/>
        <v>622</v>
      </c>
      <c r="DE622" t="str">
        <f t="shared" si="787"/>
        <v>cs622:dc790</v>
      </c>
      <c r="DF622">
        <f t="shared" ca="1" si="546"/>
        <v>709</v>
      </c>
      <c r="DG622" s="412">
        <f t="shared" ca="1" si="690"/>
        <v>0</v>
      </c>
      <c r="DH622" s="411">
        <f t="shared" ca="1" si="678"/>
        <v>40544</v>
      </c>
      <c r="DI622" s="411">
        <f t="shared" ca="1" si="679"/>
        <v>40544</v>
      </c>
      <c r="DJ622" s="410">
        <f t="shared" ca="1" si="680"/>
        <v>7</v>
      </c>
      <c r="DK622" s="410">
        <f t="shared" ca="1" si="681"/>
        <v>24</v>
      </c>
      <c r="DM622" s="411">
        <f t="shared" ca="1" si="691"/>
        <v>40544</v>
      </c>
      <c r="DN622" s="411">
        <f t="shared" ca="1" si="692"/>
        <v>40544</v>
      </c>
      <c r="DO622" s="410">
        <f t="shared" ca="1" si="693"/>
        <v>7</v>
      </c>
      <c r="DP622" s="410">
        <f t="shared" ca="1" si="694"/>
        <v>24</v>
      </c>
    </row>
    <row r="623" spans="27:120" x14ac:dyDescent="0.25">
      <c r="AA623" s="284" t="str">
        <f t="shared" ref="AA623:AF623" si="807">AA72</f>
        <v/>
      </c>
      <c r="AB623" s="284" t="e">
        <f t="shared" ref="AB623:AE623" ca="1" si="808">IF(OR(AB72&lt;=$AA623,AB72&gt;$AF623),100000,AB72)</f>
        <v>#N/A</v>
      </c>
      <c r="AC623" s="284" t="e">
        <f t="shared" ca="1" si="808"/>
        <v>#N/A</v>
      </c>
      <c r="AD623" s="284" t="e">
        <f t="shared" ca="1" si="808"/>
        <v>#N/A</v>
      </c>
      <c r="AE623" s="284" t="e">
        <f t="shared" ca="1" si="808"/>
        <v>#N/A</v>
      </c>
      <c r="AF623" s="284" t="str">
        <f t="shared" si="807"/>
        <v/>
      </c>
      <c r="AG623" s="238">
        <f t="shared" si="505"/>
        <v>0</v>
      </c>
      <c r="AH623" s="407">
        <f t="shared" si="506"/>
        <v>24</v>
      </c>
      <c r="AL623" s="112" t="str">
        <f t="shared" si="507"/>
        <v/>
      </c>
      <c r="AM623" s="112" t="e">
        <f t="shared" ca="1" si="508"/>
        <v>#N/A</v>
      </c>
      <c r="AN623" s="112" t="e">
        <f t="shared" ca="1" si="509"/>
        <v>#N/A</v>
      </c>
      <c r="AO623" s="112" t="e">
        <f t="shared" ca="1" si="510"/>
        <v>#N/A</v>
      </c>
      <c r="AP623" s="112" t="e">
        <f t="shared" ca="1" si="511"/>
        <v>#N/A</v>
      </c>
      <c r="AQ623" s="112" t="str">
        <f t="shared" si="512"/>
        <v/>
      </c>
      <c r="AT623" s="112" t="str">
        <f t="shared" si="513"/>
        <v/>
      </c>
      <c r="AU623" s="112" t="e">
        <f t="shared" ca="1" si="514"/>
        <v>#N/A</v>
      </c>
      <c r="AV623" s="112" t="e">
        <f t="shared" ca="1" si="515"/>
        <v>#N/A</v>
      </c>
      <c r="AW623" s="112" t="e">
        <f t="shared" ca="1" si="516"/>
        <v>#N/A</v>
      </c>
      <c r="AX623" s="112" t="e">
        <f t="shared" ca="1" si="517"/>
        <v>#N/A</v>
      </c>
      <c r="AY623" s="112" t="str">
        <f t="shared" si="518"/>
        <v/>
      </c>
      <c r="BA623" s="112" t="str">
        <f t="shared" si="519"/>
        <v/>
      </c>
      <c r="BB623" s="112" t="e">
        <f t="shared" ca="1" si="520"/>
        <v>#N/A</v>
      </c>
      <c r="BC623" s="112" t="e">
        <f t="shared" ca="1" si="521"/>
        <v>#N/A</v>
      </c>
      <c r="BD623" s="112" t="e">
        <f t="shared" ca="1" si="522"/>
        <v>#N/A</v>
      </c>
      <c r="BE623" s="112" t="e">
        <f t="shared" ca="1" si="523"/>
        <v>#N/A</v>
      </c>
      <c r="BF623" s="112" t="str">
        <f t="shared" si="524"/>
        <v/>
      </c>
      <c r="BI623" s="112" t="str">
        <f t="shared" si="525"/>
        <v/>
      </c>
      <c r="BJ623" s="112" t="e">
        <f t="shared" ca="1" si="526"/>
        <v>#N/A</v>
      </c>
      <c r="BK623" s="112" t="e">
        <f t="shared" ca="1" si="527"/>
        <v>#N/A</v>
      </c>
      <c r="BL623" s="112" t="e">
        <f t="shared" ca="1" si="528"/>
        <v>#N/A</v>
      </c>
      <c r="BM623" s="112" t="e">
        <f t="shared" ca="1" si="529"/>
        <v>#N/A</v>
      </c>
      <c r="BN623" s="112" t="str">
        <f t="shared" si="530"/>
        <v/>
      </c>
      <c r="BP623" s="238" t="e">
        <f t="shared" ca="1" si="594"/>
        <v>#N/A</v>
      </c>
      <c r="BQ623" s="238">
        <f t="shared" si="801"/>
        <v>581</v>
      </c>
      <c r="BR623" t="s">
        <v>446</v>
      </c>
      <c r="BS623" t="s">
        <v>447</v>
      </c>
      <c r="BT623" s="114">
        <f t="shared" ca="1" si="802"/>
        <v>1</v>
      </c>
      <c r="BU623" s="112"/>
      <c r="BV623">
        <f t="shared" ca="1" si="587"/>
        <v>0</v>
      </c>
      <c r="BW623" s="112">
        <f t="shared" ca="1" si="795"/>
        <v>37200</v>
      </c>
      <c r="BX623" s="112">
        <f t="shared" ca="1" si="803"/>
        <v>37199</v>
      </c>
      <c r="BY623">
        <f t="shared" ca="1" si="568"/>
        <v>5</v>
      </c>
      <c r="BZ623">
        <f t="shared" ca="1" si="569"/>
        <v>24</v>
      </c>
      <c r="CB623" s="253">
        <f t="shared" ca="1" si="534"/>
        <v>0</v>
      </c>
      <c r="CC623" s="112">
        <f t="shared" ca="1" si="535"/>
        <v>100000</v>
      </c>
      <c r="CD623" s="112">
        <f t="shared" ca="1" si="536"/>
        <v>37199</v>
      </c>
      <c r="CE623">
        <f t="shared" ca="1" si="537"/>
        <v>5</v>
      </c>
      <c r="CF623" s="254">
        <f t="shared" ca="1" si="538"/>
        <v>24</v>
      </c>
      <c r="CH623" s="112">
        <f t="shared" ca="1" si="644"/>
        <v>37200</v>
      </c>
      <c r="CI623">
        <f t="shared" ca="1" si="804"/>
        <v>1</v>
      </c>
      <c r="CJ623">
        <f t="shared" ref="CJ623" ca="1" si="809">IF(AND(CI623=0,CJ624=0,CJ625=0,CC623&lt;100000),1,0)</f>
        <v>0</v>
      </c>
      <c r="CK623" s="112">
        <f t="shared" ca="1" si="651"/>
        <v>37200</v>
      </c>
      <c r="CM623" s="112"/>
      <c r="CN623" s="260">
        <f t="shared" ca="1" si="488"/>
        <v>100000</v>
      </c>
      <c r="CO623" s="112">
        <f t="shared" ca="1" si="806"/>
        <v>37199</v>
      </c>
      <c r="CP623" s="238">
        <f t="shared" ca="1" si="652"/>
        <v>5</v>
      </c>
      <c r="CQ623" s="328">
        <f t="shared" ca="1" si="653"/>
        <v>24</v>
      </c>
      <c r="CS623" s="112">
        <f t="shared" ca="1" si="492"/>
        <v>100000</v>
      </c>
      <c r="CT623" s="112">
        <f t="shared" ca="1" si="542"/>
        <v>37199</v>
      </c>
      <c r="CU623" s="238">
        <f t="shared" ca="1" si="543"/>
        <v>5</v>
      </c>
      <c r="CV623" s="238">
        <f t="shared" ca="1" si="544"/>
        <v>24</v>
      </c>
      <c r="CY623">
        <f t="shared" si="550"/>
        <v>53</v>
      </c>
      <c r="DA623" s="112">
        <f t="shared" ca="1" si="551"/>
        <v>40544</v>
      </c>
      <c r="DC623">
        <f t="shared" si="552"/>
        <v>623</v>
      </c>
      <c r="DE623" t="str">
        <f t="shared" si="787"/>
        <v>cs623:dc790</v>
      </c>
      <c r="DF623">
        <f t="shared" ca="1" si="546"/>
        <v>709</v>
      </c>
      <c r="DG623" s="412">
        <f t="shared" ca="1" si="690"/>
        <v>0</v>
      </c>
      <c r="DH623" s="411">
        <f t="shared" ca="1" si="678"/>
        <v>40544</v>
      </c>
      <c r="DI623" s="411">
        <f t="shared" ca="1" si="679"/>
        <v>40544</v>
      </c>
      <c r="DJ623" s="410">
        <f t="shared" ca="1" si="680"/>
        <v>7</v>
      </c>
      <c r="DK623" s="410">
        <f t="shared" ca="1" si="681"/>
        <v>24</v>
      </c>
      <c r="DM623" s="411">
        <f t="shared" ca="1" si="691"/>
        <v>40544</v>
      </c>
      <c r="DN623" s="411">
        <f t="shared" ca="1" si="692"/>
        <v>40544</v>
      </c>
      <c r="DO623" s="410">
        <f t="shared" ca="1" si="693"/>
        <v>7</v>
      </c>
      <c r="DP623" s="410">
        <f t="shared" ca="1" si="694"/>
        <v>24</v>
      </c>
    </row>
    <row r="624" spans="27:120" x14ac:dyDescent="0.25">
      <c r="AA624" s="284" t="str">
        <f t="shared" ref="AA624:AF624" si="810">AA73</f>
        <v/>
      </c>
      <c r="AB624" s="284" t="e">
        <f t="shared" ref="AB624:AE624" ca="1" si="811">IF(OR(AB73&lt;=$AA624,AB73&gt;$AF624),100000,AB73)</f>
        <v>#N/A</v>
      </c>
      <c r="AC624" s="284" t="e">
        <f t="shared" ca="1" si="811"/>
        <v>#N/A</v>
      </c>
      <c r="AD624" s="284" t="e">
        <f t="shared" ca="1" si="811"/>
        <v>#N/A</v>
      </c>
      <c r="AE624" s="284" t="e">
        <f t="shared" ca="1" si="811"/>
        <v>#N/A</v>
      </c>
      <c r="AF624" s="284" t="str">
        <f t="shared" si="810"/>
        <v/>
      </c>
      <c r="AG624" s="238">
        <f t="shared" si="505"/>
        <v>0</v>
      </c>
      <c r="AH624" s="407">
        <f t="shared" si="506"/>
        <v>24</v>
      </c>
      <c r="AL624" s="112" t="str">
        <f t="shared" si="507"/>
        <v/>
      </c>
      <c r="AM624" s="112" t="e">
        <f t="shared" ca="1" si="508"/>
        <v>#N/A</v>
      </c>
      <c r="AN624" s="112" t="e">
        <f t="shared" ca="1" si="509"/>
        <v>#N/A</v>
      </c>
      <c r="AO624" s="112" t="e">
        <f t="shared" ca="1" si="510"/>
        <v>#N/A</v>
      </c>
      <c r="AP624" s="112" t="e">
        <f t="shared" ca="1" si="511"/>
        <v>#N/A</v>
      </c>
      <c r="AQ624" s="112" t="str">
        <f t="shared" si="512"/>
        <v/>
      </c>
      <c r="AT624" s="112" t="str">
        <f t="shared" si="513"/>
        <v/>
      </c>
      <c r="AU624" s="112" t="e">
        <f t="shared" ca="1" si="514"/>
        <v>#N/A</v>
      </c>
      <c r="AV624" s="112" t="e">
        <f t="shared" ca="1" si="515"/>
        <v>#N/A</v>
      </c>
      <c r="AW624" s="112" t="e">
        <f t="shared" ca="1" si="516"/>
        <v>#N/A</v>
      </c>
      <c r="AX624" s="112" t="e">
        <f t="shared" ca="1" si="517"/>
        <v>#N/A</v>
      </c>
      <c r="AY624" s="112" t="str">
        <f t="shared" si="518"/>
        <v/>
      </c>
      <c r="BA624" s="112" t="str">
        <f t="shared" si="519"/>
        <v/>
      </c>
      <c r="BB624" s="112" t="e">
        <f t="shared" ca="1" si="520"/>
        <v>#N/A</v>
      </c>
      <c r="BC624" s="112" t="e">
        <f t="shared" ca="1" si="521"/>
        <v>#N/A</v>
      </c>
      <c r="BD624" s="112" t="e">
        <f t="shared" ca="1" si="522"/>
        <v>#N/A</v>
      </c>
      <c r="BE624" s="112" t="e">
        <f t="shared" ca="1" si="523"/>
        <v>#N/A</v>
      </c>
      <c r="BF624" s="112" t="str">
        <f t="shared" si="524"/>
        <v/>
      </c>
      <c r="BI624" s="112" t="str">
        <f t="shared" si="525"/>
        <v/>
      </c>
      <c r="BJ624" s="112" t="e">
        <f t="shared" ca="1" si="526"/>
        <v>#N/A</v>
      </c>
      <c r="BK624" s="112" t="e">
        <f t="shared" ca="1" si="527"/>
        <v>#N/A</v>
      </c>
      <c r="BL624" s="112" t="e">
        <f t="shared" ca="1" si="528"/>
        <v>#N/A</v>
      </c>
      <c r="BM624" s="112" t="e">
        <f t="shared" ca="1" si="529"/>
        <v>#N/A</v>
      </c>
      <c r="BN624" s="112" t="str">
        <f t="shared" si="530"/>
        <v/>
      </c>
      <c r="BP624" s="238" t="e">
        <f t="shared" ca="1" si="594"/>
        <v>#N/A</v>
      </c>
      <c r="BQ624" s="238">
        <f t="shared" si="801"/>
        <v>581</v>
      </c>
      <c r="BR624" t="s">
        <v>447</v>
      </c>
      <c r="BS624" t="s">
        <v>448</v>
      </c>
      <c r="BT624" s="114">
        <f t="shared" ca="1" si="802"/>
        <v>1</v>
      </c>
      <c r="BU624" s="112"/>
      <c r="BV624">
        <f t="shared" ca="1" si="587"/>
        <v>0</v>
      </c>
      <c r="BW624" s="112">
        <f t="shared" ca="1" si="795"/>
        <v>37200</v>
      </c>
      <c r="BX624" s="112">
        <f t="shared" ref="BX624:BX625" ca="1" si="812">INDIRECT(CONCATENATE(BS624,BQ624))</f>
        <v>37200</v>
      </c>
      <c r="BY624">
        <f t="shared" ca="1" si="568"/>
        <v>5</v>
      </c>
      <c r="BZ624">
        <f t="shared" ca="1" si="569"/>
        <v>24</v>
      </c>
      <c r="CB624" s="253">
        <f t="shared" ca="1" si="534"/>
        <v>0</v>
      </c>
      <c r="CC624" s="112">
        <f t="shared" ca="1" si="535"/>
        <v>100000</v>
      </c>
      <c r="CD624" s="112">
        <f t="shared" ca="1" si="536"/>
        <v>37200</v>
      </c>
      <c r="CE624">
        <f t="shared" ca="1" si="537"/>
        <v>5</v>
      </c>
      <c r="CF624" s="254">
        <f t="shared" ca="1" si="538"/>
        <v>24</v>
      </c>
      <c r="CH624" s="112">
        <f t="shared" ca="1" si="644"/>
        <v>37200</v>
      </c>
      <c r="CI624">
        <f t="shared" ca="1" si="804"/>
        <v>1</v>
      </c>
      <c r="CJ624">
        <f t="shared" ref="CJ624" ca="1" si="813">IF(AND(CI624=0,CJ625=0,CC624&lt;100000),1,0)</f>
        <v>0</v>
      </c>
      <c r="CK624" s="112">
        <f t="shared" ca="1" si="651"/>
        <v>37200</v>
      </c>
      <c r="CM624" s="112"/>
      <c r="CN624" s="260">
        <f t="shared" ca="1" si="488"/>
        <v>100000</v>
      </c>
      <c r="CO624" s="112">
        <f t="shared" ca="1" si="806"/>
        <v>37200</v>
      </c>
      <c r="CP624" s="238">
        <f t="shared" ca="1" si="652"/>
        <v>5</v>
      </c>
      <c r="CQ624" s="328">
        <f t="shared" ca="1" si="653"/>
        <v>24</v>
      </c>
      <c r="CS624" s="112">
        <f t="shared" ca="1" si="492"/>
        <v>100000</v>
      </c>
      <c r="CT624" s="112">
        <f t="shared" ca="1" si="542"/>
        <v>37200</v>
      </c>
      <c r="CU624" s="238">
        <f t="shared" ca="1" si="543"/>
        <v>5</v>
      </c>
      <c r="CV624" s="238">
        <f t="shared" ca="1" si="544"/>
        <v>24</v>
      </c>
      <c r="CY624">
        <f t="shared" si="550"/>
        <v>54</v>
      </c>
      <c r="DA624" s="112">
        <f t="shared" ca="1" si="551"/>
        <v>40802</v>
      </c>
      <c r="DC624">
        <f t="shared" si="552"/>
        <v>624</v>
      </c>
      <c r="DE624" t="str">
        <f t="shared" si="787"/>
        <v>cs624:dc790</v>
      </c>
      <c r="DF624">
        <f t="shared" ca="1" si="546"/>
        <v>716</v>
      </c>
      <c r="DG624" s="412">
        <f t="shared" ca="1" si="690"/>
        <v>0</v>
      </c>
      <c r="DH624" s="411">
        <f t="shared" ca="1" si="678"/>
        <v>40802</v>
      </c>
      <c r="DI624" s="411">
        <f t="shared" ca="1" si="679"/>
        <v>41090</v>
      </c>
      <c r="DJ624" s="410">
        <f t="shared" ca="1" si="680"/>
        <v>18</v>
      </c>
      <c r="DK624" s="410">
        <f t="shared" ca="1" si="681"/>
        <v>24</v>
      </c>
      <c r="DM624" s="411">
        <f t="shared" ca="1" si="691"/>
        <v>40802</v>
      </c>
      <c r="DN624" s="411">
        <f t="shared" ca="1" si="692"/>
        <v>41090</v>
      </c>
      <c r="DO624" s="410">
        <f t="shared" ca="1" si="693"/>
        <v>18</v>
      </c>
      <c r="DP624" s="410">
        <f t="shared" ca="1" si="694"/>
        <v>24</v>
      </c>
    </row>
    <row r="625" spans="27:120" ht="15.75" thickBot="1" x14ac:dyDescent="0.3">
      <c r="AA625" s="284" t="str">
        <f t="shared" ref="AA625:AF625" si="814">AA74</f>
        <v/>
      </c>
      <c r="AB625" s="284" t="e">
        <f t="shared" ref="AB625:AE625" ca="1" si="815">IF(OR(AB74&lt;=$AA625,AB74&gt;$AF625),100000,AB74)</f>
        <v>#N/A</v>
      </c>
      <c r="AC625" s="284" t="e">
        <f t="shared" ca="1" si="815"/>
        <v>#N/A</v>
      </c>
      <c r="AD625" s="284" t="e">
        <f t="shared" ca="1" si="815"/>
        <v>#N/A</v>
      </c>
      <c r="AE625" s="284" t="e">
        <f t="shared" ca="1" si="815"/>
        <v>#N/A</v>
      </c>
      <c r="AF625" s="284" t="str">
        <f t="shared" si="814"/>
        <v/>
      </c>
      <c r="AG625" s="238">
        <f t="shared" si="505"/>
        <v>0</v>
      </c>
      <c r="AH625" s="407">
        <f t="shared" si="506"/>
        <v>24</v>
      </c>
      <c r="AL625" s="112" t="str">
        <f t="shared" si="507"/>
        <v/>
      </c>
      <c r="AM625" s="112" t="e">
        <f t="shared" ca="1" si="508"/>
        <v>#N/A</v>
      </c>
      <c r="AN625" s="112" t="e">
        <f t="shared" ca="1" si="509"/>
        <v>#N/A</v>
      </c>
      <c r="AO625" s="112" t="e">
        <f t="shared" ca="1" si="510"/>
        <v>#N/A</v>
      </c>
      <c r="AP625" s="112" t="e">
        <f t="shared" ca="1" si="511"/>
        <v>#N/A</v>
      </c>
      <c r="AQ625" s="112" t="str">
        <f t="shared" si="512"/>
        <v/>
      </c>
      <c r="AT625" s="112" t="str">
        <f t="shared" si="513"/>
        <v/>
      </c>
      <c r="AU625" s="112" t="e">
        <f t="shared" ca="1" si="514"/>
        <v>#N/A</v>
      </c>
      <c r="AV625" s="112" t="e">
        <f t="shared" ca="1" si="515"/>
        <v>#N/A</v>
      </c>
      <c r="AW625" s="112" t="e">
        <f t="shared" ca="1" si="516"/>
        <v>#N/A</v>
      </c>
      <c r="AX625" s="112" t="e">
        <f t="shared" ca="1" si="517"/>
        <v>#N/A</v>
      </c>
      <c r="AY625" s="112" t="str">
        <f t="shared" si="518"/>
        <v/>
      </c>
      <c r="BA625" s="112" t="str">
        <f t="shared" si="519"/>
        <v/>
      </c>
      <c r="BB625" s="112" t="e">
        <f t="shared" ca="1" si="520"/>
        <v>#N/A</v>
      </c>
      <c r="BC625" s="112" t="e">
        <f t="shared" ca="1" si="521"/>
        <v>#N/A</v>
      </c>
      <c r="BD625" s="112" t="e">
        <f t="shared" ca="1" si="522"/>
        <v>#N/A</v>
      </c>
      <c r="BE625" s="112" t="e">
        <f t="shared" ca="1" si="523"/>
        <v>#N/A</v>
      </c>
      <c r="BF625" s="112" t="str">
        <f t="shared" si="524"/>
        <v/>
      </c>
      <c r="BI625" s="112" t="str">
        <f t="shared" si="525"/>
        <v/>
      </c>
      <c r="BJ625" s="112" t="e">
        <f t="shared" ca="1" si="526"/>
        <v>#N/A</v>
      </c>
      <c r="BK625" s="112" t="e">
        <f t="shared" ca="1" si="527"/>
        <v>#N/A</v>
      </c>
      <c r="BL625" s="112" t="e">
        <f t="shared" ca="1" si="528"/>
        <v>#N/A</v>
      </c>
      <c r="BM625" s="112" t="e">
        <f t="shared" ca="1" si="529"/>
        <v>#N/A</v>
      </c>
      <c r="BN625" s="112" t="str">
        <f t="shared" si="530"/>
        <v/>
      </c>
      <c r="BP625" s="238" t="e">
        <f t="shared" ca="1" si="594"/>
        <v>#N/A</v>
      </c>
      <c r="BQ625" s="238">
        <f t="shared" si="801"/>
        <v>581</v>
      </c>
      <c r="BR625" t="s">
        <v>448</v>
      </c>
      <c r="BS625" t="s">
        <v>449</v>
      </c>
      <c r="BT625" s="114">
        <f t="shared" ca="1" si="802"/>
        <v>1</v>
      </c>
      <c r="BU625" s="112"/>
      <c r="BV625">
        <f t="shared" ca="1" si="587"/>
        <v>0</v>
      </c>
      <c r="BW625" s="112">
        <f t="shared" ca="1" si="795"/>
        <v>37200</v>
      </c>
      <c r="BX625" s="112">
        <f t="shared" ca="1" si="812"/>
        <v>37200</v>
      </c>
      <c r="BY625">
        <f t="shared" ca="1" si="568"/>
        <v>5</v>
      </c>
      <c r="BZ625">
        <f t="shared" ca="1" si="569"/>
        <v>24</v>
      </c>
      <c r="CB625" s="255">
        <f t="shared" ca="1" si="534"/>
        <v>0</v>
      </c>
      <c r="CC625" s="324">
        <f t="shared" ca="1" si="535"/>
        <v>100000</v>
      </c>
      <c r="CD625" s="324">
        <f t="shared" ca="1" si="536"/>
        <v>37200</v>
      </c>
      <c r="CE625" s="257">
        <f t="shared" ca="1" si="537"/>
        <v>5</v>
      </c>
      <c r="CF625" s="258">
        <f t="shared" ca="1" si="538"/>
        <v>24</v>
      </c>
      <c r="CH625" s="112">
        <f t="shared" ca="1" si="644"/>
        <v>37200</v>
      </c>
      <c r="CI625">
        <f t="shared" ca="1" si="804"/>
        <v>1</v>
      </c>
      <c r="CJ625">
        <f t="shared" ref="CJ625" ca="1" si="816">IF(AND(CI625=0,CC625&lt;100000),1,0)</f>
        <v>0</v>
      </c>
      <c r="CK625" s="112">
        <f t="shared" ca="1" si="651"/>
        <v>37200</v>
      </c>
      <c r="CM625" s="112"/>
      <c r="CN625" s="261">
        <f t="shared" ref="CN625" ca="1" si="817">IF(AND(CN621=100000,CN622=100000,CN623=100000,CN624=100000),INDIRECT(CONCATENATE("aa",BQ625)),CC625)</f>
        <v>100000</v>
      </c>
      <c r="CO625" s="324">
        <f t="shared" ca="1" si="806"/>
        <v>37200</v>
      </c>
      <c r="CP625" s="256">
        <f t="shared" ca="1" si="652"/>
        <v>5</v>
      </c>
      <c r="CQ625" s="329">
        <f t="shared" ca="1" si="653"/>
        <v>24</v>
      </c>
      <c r="CS625" s="112">
        <f t="shared" ca="1" si="492"/>
        <v>100000</v>
      </c>
      <c r="CT625" s="112">
        <f t="shared" ca="1" si="542"/>
        <v>37200</v>
      </c>
      <c r="CU625" s="238">
        <f t="shared" ca="1" si="543"/>
        <v>5</v>
      </c>
      <c r="CV625" s="238">
        <f t="shared" ca="1" si="544"/>
        <v>24</v>
      </c>
      <c r="CY625">
        <f t="shared" si="550"/>
        <v>55</v>
      </c>
      <c r="DA625" s="112">
        <f t="shared" ca="1" si="551"/>
        <v>41171</v>
      </c>
      <c r="DC625">
        <f t="shared" si="552"/>
        <v>625</v>
      </c>
      <c r="DE625" t="str">
        <f t="shared" si="787"/>
        <v>cs625:dc790</v>
      </c>
      <c r="DF625">
        <f t="shared" ca="1" si="546"/>
        <v>721</v>
      </c>
      <c r="DG625" s="412">
        <f t="shared" ca="1" si="690"/>
        <v>0</v>
      </c>
      <c r="DH625" s="411">
        <f t="shared" ca="1" si="678"/>
        <v>41171</v>
      </c>
      <c r="DI625" s="411">
        <f t="shared" ca="1" si="679"/>
        <v>41471</v>
      </c>
      <c r="DJ625" s="410">
        <f t="shared" ca="1" si="680"/>
        <v>7</v>
      </c>
      <c r="DK625" s="410">
        <f t="shared" ca="1" si="681"/>
        <v>24</v>
      </c>
      <c r="DM625" s="411">
        <f t="shared" ca="1" si="691"/>
        <v>41171</v>
      </c>
      <c r="DN625" s="411">
        <f t="shared" ca="1" si="692"/>
        <v>41471</v>
      </c>
      <c r="DO625" s="410">
        <f t="shared" ca="1" si="693"/>
        <v>7</v>
      </c>
      <c r="DP625" s="410">
        <f t="shared" ca="1" si="694"/>
        <v>24</v>
      </c>
    </row>
    <row r="626" spans="27:120" x14ac:dyDescent="0.25">
      <c r="AA626" s="284" t="str">
        <f t="shared" ref="AA626:AF626" si="818">AA75</f>
        <v/>
      </c>
      <c r="AB626" s="284" t="e">
        <f t="shared" ref="AB626:AE626" ca="1" si="819">IF(OR(AB75&lt;=$AA626,AB75&gt;$AF626),100000,AB75)</f>
        <v>#N/A</v>
      </c>
      <c r="AC626" s="284" t="e">
        <f t="shared" ca="1" si="819"/>
        <v>#N/A</v>
      </c>
      <c r="AD626" s="284" t="e">
        <f t="shared" ca="1" si="819"/>
        <v>#N/A</v>
      </c>
      <c r="AE626" s="284" t="e">
        <f t="shared" ca="1" si="819"/>
        <v>#N/A</v>
      </c>
      <c r="AF626" s="284" t="str">
        <f t="shared" si="818"/>
        <v/>
      </c>
      <c r="AG626" s="238">
        <f t="shared" si="505"/>
        <v>0</v>
      </c>
      <c r="AH626" s="407">
        <f t="shared" si="506"/>
        <v>24</v>
      </c>
      <c r="AL626" s="112" t="str">
        <f t="shared" si="507"/>
        <v/>
      </c>
      <c r="AM626" s="112" t="e">
        <f t="shared" ca="1" si="508"/>
        <v>#N/A</v>
      </c>
      <c r="AN626" s="112" t="e">
        <f t="shared" ca="1" si="509"/>
        <v>#N/A</v>
      </c>
      <c r="AO626" s="112" t="e">
        <f t="shared" ca="1" si="510"/>
        <v>#N/A</v>
      </c>
      <c r="AP626" s="112" t="e">
        <f t="shared" ca="1" si="511"/>
        <v>#N/A</v>
      </c>
      <c r="AQ626" s="112" t="str">
        <f t="shared" si="512"/>
        <v/>
      </c>
      <c r="AT626" s="112" t="str">
        <f t="shared" si="513"/>
        <v/>
      </c>
      <c r="AU626" s="112" t="e">
        <f t="shared" ca="1" si="514"/>
        <v>#N/A</v>
      </c>
      <c r="AV626" s="112" t="e">
        <f t="shared" ca="1" si="515"/>
        <v>#N/A</v>
      </c>
      <c r="AW626" s="112" t="e">
        <f t="shared" ca="1" si="516"/>
        <v>#N/A</v>
      </c>
      <c r="AX626" s="112" t="e">
        <f t="shared" ca="1" si="517"/>
        <v>#N/A</v>
      </c>
      <c r="AY626" s="112" t="str">
        <f t="shared" si="518"/>
        <v/>
      </c>
      <c r="BA626" s="112" t="str">
        <f t="shared" si="519"/>
        <v/>
      </c>
      <c r="BB626" s="112" t="e">
        <f t="shared" ca="1" si="520"/>
        <v>#N/A</v>
      </c>
      <c r="BC626" s="112" t="e">
        <f t="shared" ca="1" si="521"/>
        <v>#N/A</v>
      </c>
      <c r="BD626" s="112" t="e">
        <f t="shared" ca="1" si="522"/>
        <v>#N/A</v>
      </c>
      <c r="BE626" s="112" t="e">
        <f t="shared" ca="1" si="523"/>
        <v>#N/A</v>
      </c>
      <c r="BF626" s="112" t="str">
        <f t="shared" si="524"/>
        <v/>
      </c>
      <c r="BI626" s="112" t="str">
        <f t="shared" si="525"/>
        <v/>
      </c>
      <c r="BJ626" s="112" t="e">
        <f t="shared" ca="1" si="526"/>
        <v>#N/A</v>
      </c>
      <c r="BK626" s="112" t="e">
        <f t="shared" ca="1" si="527"/>
        <v>#N/A</v>
      </c>
      <c r="BL626" s="112" t="e">
        <f t="shared" ca="1" si="528"/>
        <v>#N/A</v>
      </c>
      <c r="BM626" s="112" t="e">
        <f t="shared" ca="1" si="529"/>
        <v>#N/A</v>
      </c>
      <c r="BN626" s="112" t="str">
        <f t="shared" si="530"/>
        <v/>
      </c>
      <c r="BP626" s="238" t="e">
        <f t="shared" ca="1" si="594"/>
        <v>#N/A</v>
      </c>
      <c r="BQ626" s="238">
        <f t="shared" ref="BQ626" si="820">BQ625+1</f>
        <v>582</v>
      </c>
      <c r="BR626" s="112" t="s">
        <v>444</v>
      </c>
      <c r="BS626" s="112" t="s">
        <v>445</v>
      </c>
      <c r="BT626" s="114">
        <f t="shared" ca="1" si="802"/>
        <v>0</v>
      </c>
      <c r="BU626" s="112"/>
      <c r="BV626">
        <f t="shared" ca="1" si="587"/>
        <v>1</v>
      </c>
      <c r="BW626" s="112">
        <f t="shared" ca="1" si="484"/>
        <v>37201</v>
      </c>
      <c r="BX626" s="112">
        <f t="shared" ref="BX626:BX628" ca="1" si="821">INDIRECT(CONCATENATE(BS626,BQ626))-1</f>
        <v>37256</v>
      </c>
      <c r="BY626">
        <f t="shared" ca="1" si="568"/>
        <v>4</v>
      </c>
      <c r="BZ626">
        <f t="shared" ca="1" si="569"/>
        <v>24</v>
      </c>
      <c r="CB626">
        <f t="shared" ca="1" si="534"/>
        <v>0</v>
      </c>
      <c r="CC626" s="112">
        <f t="shared" ca="1" si="535"/>
        <v>37201</v>
      </c>
      <c r="CD626" s="112">
        <f t="shared" ca="1" si="536"/>
        <v>37256</v>
      </c>
      <c r="CE626">
        <f t="shared" ca="1" si="537"/>
        <v>4</v>
      </c>
      <c r="CF626">
        <f t="shared" ca="1" si="538"/>
        <v>24</v>
      </c>
      <c r="CH626" s="112">
        <f t="shared" ca="1" si="644"/>
        <v>37437</v>
      </c>
      <c r="CI626">
        <f t="shared" ref="CI626" ca="1" si="822">CB626+CB627+CB628+CB629+CB630</f>
        <v>1</v>
      </c>
      <c r="CJ626">
        <v>0</v>
      </c>
      <c r="CK626" s="112">
        <f t="shared" ca="1" si="651"/>
        <v>37437</v>
      </c>
      <c r="CM626" s="112"/>
      <c r="CN626" s="408">
        <f t="shared" ca="1" si="488"/>
        <v>37201</v>
      </c>
      <c r="CO626" s="326">
        <f t="shared" ref="CO626" ca="1" si="823">CD626</f>
        <v>37256</v>
      </c>
      <c r="CP626" s="333">
        <f t="shared" ca="1" si="652"/>
        <v>4</v>
      </c>
      <c r="CQ626" s="327">
        <f t="shared" ca="1" si="653"/>
        <v>24</v>
      </c>
      <c r="CS626" s="112">
        <f t="shared" ca="1" si="492"/>
        <v>37201</v>
      </c>
      <c r="CT626" s="112">
        <f t="shared" ref="CT626" ca="1" si="824">IF(AND( CN627=100000,CN628=100000,CN629=100000,CN630=100000),CO630,                             CO626)</f>
        <v>37256</v>
      </c>
      <c r="CU626" s="238">
        <f t="shared" ca="1" si="543"/>
        <v>4</v>
      </c>
      <c r="CV626" s="238">
        <f t="shared" ca="1" si="544"/>
        <v>24</v>
      </c>
      <c r="CY626">
        <f t="shared" si="550"/>
        <v>56</v>
      </c>
      <c r="DA626" s="112">
        <f t="shared" ca="1" si="551"/>
        <v>41178</v>
      </c>
      <c r="DC626">
        <f t="shared" si="552"/>
        <v>626</v>
      </c>
      <c r="DE626" t="str">
        <f t="shared" si="787"/>
        <v>cs626:dc790</v>
      </c>
      <c r="DF626">
        <f t="shared" ca="1" si="546"/>
        <v>726</v>
      </c>
      <c r="DG626" s="412">
        <f t="shared" ca="1" si="690"/>
        <v>0</v>
      </c>
      <c r="DH626" s="411">
        <f t="shared" ca="1" si="678"/>
        <v>41178</v>
      </c>
      <c r="DI626" s="411">
        <f t="shared" ca="1" si="679"/>
        <v>41471</v>
      </c>
      <c r="DJ626" s="410">
        <f t="shared" ca="1" si="680"/>
        <v>5</v>
      </c>
      <c r="DK626" s="410">
        <f t="shared" ca="1" si="681"/>
        <v>24</v>
      </c>
      <c r="DM626" s="411">
        <f t="shared" ca="1" si="691"/>
        <v>41178</v>
      </c>
      <c r="DN626" s="411">
        <f t="shared" ca="1" si="692"/>
        <v>41471</v>
      </c>
      <c r="DO626" s="410">
        <f t="shared" ca="1" si="693"/>
        <v>5</v>
      </c>
      <c r="DP626" s="410">
        <f t="shared" ca="1" si="694"/>
        <v>24</v>
      </c>
    </row>
    <row r="627" spans="27:120" x14ac:dyDescent="0.25">
      <c r="AA627" s="284" t="str">
        <f t="shared" ref="AA627:AF627" si="825">AA76</f>
        <v/>
      </c>
      <c r="AB627" s="284" t="e">
        <f t="shared" ref="AB627:AE627" ca="1" si="826">IF(OR(AB76&lt;=$AA627,AB76&gt;$AF627),100000,AB76)</f>
        <v>#N/A</v>
      </c>
      <c r="AC627" s="284" t="e">
        <f t="shared" ca="1" si="826"/>
        <v>#N/A</v>
      </c>
      <c r="AD627" s="284" t="e">
        <f t="shared" ca="1" si="826"/>
        <v>#N/A</v>
      </c>
      <c r="AE627" s="284" t="e">
        <f t="shared" ca="1" si="826"/>
        <v>#N/A</v>
      </c>
      <c r="AF627" s="284" t="str">
        <f t="shared" si="825"/>
        <v/>
      </c>
      <c r="AG627" s="238">
        <f t="shared" si="505"/>
        <v>0</v>
      </c>
      <c r="AH627" s="407">
        <f t="shared" si="506"/>
        <v>24</v>
      </c>
      <c r="AL627" s="112" t="str">
        <f t="shared" si="507"/>
        <v/>
      </c>
      <c r="AM627" s="112" t="e">
        <f t="shared" ca="1" si="508"/>
        <v>#N/A</v>
      </c>
      <c r="AN627" s="112" t="e">
        <f t="shared" ca="1" si="509"/>
        <v>#N/A</v>
      </c>
      <c r="AO627" s="112" t="e">
        <f t="shared" ca="1" si="510"/>
        <v>#N/A</v>
      </c>
      <c r="AP627" s="112" t="e">
        <f t="shared" ca="1" si="511"/>
        <v>#N/A</v>
      </c>
      <c r="AQ627" s="112" t="str">
        <f t="shared" si="512"/>
        <v/>
      </c>
      <c r="AT627" s="112" t="str">
        <f t="shared" si="513"/>
        <v/>
      </c>
      <c r="AU627" s="112" t="e">
        <f t="shared" ca="1" si="514"/>
        <v>#N/A</v>
      </c>
      <c r="AV627" s="112" t="e">
        <f t="shared" ca="1" si="515"/>
        <v>#N/A</v>
      </c>
      <c r="AW627" s="112" t="e">
        <f t="shared" ca="1" si="516"/>
        <v>#N/A</v>
      </c>
      <c r="AX627" s="112" t="e">
        <f t="shared" ca="1" si="517"/>
        <v>#N/A</v>
      </c>
      <c r="AY627" s="112" t="str">
        <f t="shared" si="518"/>
        <v/>
      </c>
      <c r="BA627" s="112" t="str">
        <f t="shared" si="519"/>
        <v/>
      </c>
      <c r="BB627" s="112" t="e">
        <f t="shared" ca="1" si="520"/>
        <v>#N/A</v>
      </c>
      <c r="BC627" s="112" t="e">
        <f t="shared" ca="1" si="521"/>
        <v>#N/A</v>
      </c>
      <c r="BD627" s="112" t="e">
        <f t="shared" ca="1" si="522"/>
        <v>#N/A</v>
      </c>
      <c r="BE627" s="112" t="e">
        <f t="shared" ca="1" si="523"/>
        <v>#N/A</v>
      </c>
      <c r="BF627" s="112" t="str">
        <f t="shared" si="524"/>
        <v/>
      </c>
      <c r="BI627" s="112" t="str">
        <f t="shared" si="525"/>
        <v/>
      </c>
      <c r="BJ627" s="112" t="e">
        <f t="shared" ca="1" si="526"/>
        <v>#N/A</v>
      </c>
      <c r="BK627" s="112" t="e">
        <f t="shared" ca="1" si="527"/>
        <v>#N/A</v>
      </c>
      <c r="BL627" s="112" t="e">
        <f t="shared" ca="1" si="528"/>
        <v>#N/A</v>
      </c>
      <c r="BM627" s="112" t="e">
        <f t="shared" ca="1" si="529"/>
        <v>#N/A</v>
      </c>
      <c r="BN627" s="112" t="str">
        <f t="shared" si="530"/>
        <v/>
      </c>
      <c r="BP627" s="238" t="e">
        <f t="shared" ca="1" si="594"/>
        <v>#N/A</v>
      </c>
      <c r="BQ627" s="238">
        <f t="shared" ref="BQ627:BQ630" si="827">BQ626</f>
        <v>582</v>
      </c>
      <c r="BR627" t="s">
        <v>445</v>
      </c>
      <c r="BS627" t="s">
        <v>446</v>
      </c>
      <c r="BT627" s="114">
        <f t="shared" ca="1" si="802"/>
        <v>0</v>
      </c>
      <c r="BU627" s="112"/>
      <c r="BV627">
        <f t="shared" ca="1" si="587"/>
        <v>1</v>
      </c>
      <c r="BW627" s="112">
        <f t="shared" ca="1" si="484"/>
        <v>37257</v>
      </c>
      <c r="BX627" s="112">
        <f t="shared" ca="1" si="821"/>
        <v>37256</v>
      </c>
      <c r="BY627">
        <f t="shared" ca="1" si="568"/>
        <v>4</v>
      </c>
      <c r="BZ627">
        <f t="shared" ca="1" si="569"/>
        <v>24</v>
      </c>
      <c r="CB627">
        <f t="shared" ca="1" si="534"/>
        <v>0</v>
      </c>
      <c r="CC627" s="112">
        <f t="shared" ca="1" si="535"/>
        <v>100000</v>
      </c>
      <c r="CD627" s="112">
        <f t="shared" ca="1" si="536"/>
        <v>37256</v>
      </c>
      <c r="CE627">
        <f t="shared" ca="1" si="537"/>
        <v>4</v>
      </c>
      <c r="CF627">
        <f t="shared" ca="1" si="538"/>
        <v>24</v>
      </c>
      <c r="CH627" s="112">
        <f t="shared" ca="1" si="644"/>
        <v>37437</v>
      </c>
      <c r="CI627">
        <f t="shared" ref="CI627:CI630" ca="1" si="828">CI626</f>
        <v>1</v>
      </c>
      <c r="CJ627">
        <f t="shared" ref="CJ627" ca="1" si="829">IF(AND(CI627=0,CJ628=0,CJ629=0,CJ630=0,CC627&lt;100000),1,0)</f>
        <v>0</v>
      </c>
      <c r="CK627" s="112">
        <f t="shared" ca="1" si="651"/>
        <v>37437</v>
      </c>
      <c r="CM627" s="112"/>
      <c r="CN627" s="260">
        <f t="shared" ca="1" si="488"/>
        <v>100000</v>
      </c>
      <c r="CO627" s="112">
        <f t="shared" ref="CO627:CO630" ca="1" si="830">IF(CJ627=1,CH627,CD627)</f>
        <v>37256</v>
      </c>
      <c r="CP627" s="238">
        <f t="shared" ca="1" si="652"/>
        <v>4</v>
      </c>
      <c r="CQ627" s="328">
        <f t="shared" ca="1" si="653"/>
        <v>24</v>
      </c>
      <c r="CS627" s="112">
        <f t="shared" ca="1" si="492"/>
        <v>100000</v>
      </c>
      <c r="CT627" s="112">
        <f t="shared" ca="1" si="542"/>
        <v>37256</v>
      </c>
      <c r="CU627" s="238">
        <f t="shared" ca="1" si="543"/>
        <v>4</v>
      </c>
      <c r="CV627" s="238">
        <f t="shared" ca="1" si="544"/>
        <v>24</v>
      </c>
      <c r="CY627">
        <f t="shared" si="550"/>
        <v>57</v>
      </c>
      <c r="DA627" s="112">
        <f t="shared" ca="1" si="551"/>
        <v>41184</v>
      </c>
      <c r="DC627">
        <f t="shared" si="552"/>
        <v>627</v>
      </c>
      <c r="DE627" t="str">
        <f t="shared" si="787"/>
        <v>cs627:dc790</v>
      </c>
      <c r="DF627">
        <f t="shared" ca="1" si="546"/>
        <v>731</v>
      </c>
      <c r="DG627" s="412">
        <f t="shared" ca="1" si="690"/>
        <v>0</v>
      </c>
      <c r="DH627" s="411">
        <f t="shared" ca="1" si="678"/>
        <v>41184</v>
      </c>
      <c r="DI627" s="411">
        <f t="shared" ca="1" si="679"/>
        <v>41196</v>
      </c>
      <c r="DJ627" s="410">
        <f t="shared" ca="1" si="680"/>
        <v>6</v>
      </c>
      <c r="DK627" s="410">
        <f t="shared" ca="1" si="681"/>
        <v>24</v>
      </c>
      <c r="DM627" s="411">
        <f t="shared" ca="1" si="691"/>
        <v>41184</v>
      </c>
      <c r="DN627" s="411">
        <f t="shared" ca="1" si="692"/>
        <v>41196</v>
      </c>
      <c r="DO627" s="410">
        <f t="shared" ca="1" si="693"/>
        <v>6</v>
      </c>
      <c r="DP627" s="410">
        <f t="shared" ca="1" si="694"/>
        <v>24</v>
      </c>
    </row>
    <row r="628" spans="27:120" x14ac:dyDescent="0.25">
      <c r="AA628" s="284" t="str">
        <f t="shared" ref="AA628:AF628" si="831">AA77</f>
        <v/>
      </c>
      <c r="AB628" s="284" t="e">
        <f t="shared" ref="AB628:AE628" ca="1" si="832">IF(OR(AB77&lt;=$AA628,AB77&gt;$AF628),100000,AB77)</f>
        <v>#N/A</v>
      </c>
      <c r="AC628" s="284" t="e">
        <f t="shared" ca="1" si="832"/>
        <v>#N/A</v>
      </c>
      <c r="AD628" s="284" t="e">
        <f t="shared" ca="1" si="832"/>
        <v>#N/A</v>
      </c>
      <c r="AE628" s="284" t="e">
        <f t="shared" ca="1" si="832"/>
        <v>#N/A</v>
      </c>
      <c r="AF628" s="284" t="str">
        <f t="shared" si="831"/>
        <v/>
      </c>
      <c r="AG628" s="238">
        <f t="shared" si="505"/>
        <v>0</v>
      </c>
      <c r="AH628" s="407">
        <f t="shared" si="506"/>
        <v>24</v>
      </c>
      <c r="AL628" s="112" t="str">
        <f t="shared" si="507"/>
        <v/>
      </c>
      <c r="AM628" s="112" t="e">
        <f t="shared" ca="1" si="508"/>
        <v>#N/A</v>
      </c>
      <c r="AN628" s="112" t="e">
        <f t="shared" ca="1" si="509"/>
        <v>#N/A</v>
      </c>
      <c r="AO628" s="112" t="e">
        <f t="shared" ca="1" si="510"/>
        <v>#N/A</v>
      </c>
      <c r="AP628" s="112" t="e">
        <f t="shared" ca="1" si="511"/>
        <v>#N/A</v>
      </c>
      <c r="AQ628" s="112" t="str">
        <f t="shared" si="512"/>
        <v/>
      </c>
      <c r="AT628" s="112" t="str">
        <f t="shared" si="513"/>
        <v/>
      </c>
      <c r="AU628" s="112" t="e">
        <f t="shared" ca="1" si="514"/>
        <v>#N/A</v>
      </c>
      <c r="AV628" s="112" t="e">
        <f t="shared" ca="1" si="515"/>
        <v>#N/A</v>
      </c>
      <c r="AW628" s="112" t="e">
        <f t="shared" ca="1" si="516"/>
        <v>#N/A</v>
      </c>
      <c r="AX628" s="112" t="e">
        <f t="shared" ca="1" si="517"/>
        <v>#N/A</v>
      </c>
      <c r="AY628" s="112" t="str">
        <f t="shared" si="518"/>
        <v/>
      </c>
      <c r="BA628" s="112" t="str">
        <f t="shared" si="519"/>
        <v/>
      </c>
      <c r="BB628" s="112" t="e">
        <f t="shared" ca="1" si="520"/>
        <v>#N/A</v>
      </c>
      <c r="BC628" s="112" t="e">
        <f t="shared" ca="1" si="521"/>
        <v>#N/A</v>
      </c>
      <c r="BD628" s="112" t="e">
        <f t="shared" ca="1" si="522"/>
        <v>#N/A</v>
      </c>
      <c r="BE628" s="112" t="e">
        <f t="shared" ca="1" si="523"/>
        <v>#N/A</v>
      </c>
      <c r="BF628" s="112" t="str">
        <f t="shared" si="524"/>
        <v/>
      </c>
      <c r="BI628" s="112" t="str">
        <f t="shared" si="525"/>
        <v/>
      </c>
      <c r="BJ628" s="112" t="e">
        <f t="shared" ca="1" si="526"/>
        <v>#N/A</v>
      </c>
      <c r="BK628" s="112" t="e">
        <f t="shared" ca="1" si="527"/>
        <v>#N/A</v>
      </c>
      <c r="BL628" s="112" t="e">
        <f t="shared" ca="1" si="528"/>
        <v>#N/A</v>
      </c>
      <c r="BM628" s="112" t="e">
        <f t="shared" ca="1" si="529"/>
        <v>#N/A</v>
      </c>
      <c r="BN628" s="112" t="str">
        <f t="shared" si="530"/>
        <v/>
      </c>
      <c r="BP628" s="238" t="e">
        <f t="shared" ca="1" si="594"/>
        <v>#N/A</v>
      </c>
      <c r="BQ628" s="238">
        <f t="shared" si="827"/>
        <v>582</v>
      </c>
      <c r="BR628" t="s">
        <v>446</v>
      </c>
      <c r="BS628" t="s">
        <v>447</v>
      </c>
      <c r="BT628" s="114">
        <f t="shared" ca="1" si="802"/>
        <v>0</v>
      </c>
      <c r="BU628" s="112"/>
      <c r="BV628">
        <f t="shared" ca="1" si="587"/>
        <v>1</v>
      </c>
      <c r="BW628" s="112">
        <f t="shared" ca="1" si="484"/>
        <v>37257</v>
      </c>
      <c r="BX628" s="112">
        <f t="shared" ca="1" si="821"/>
        <v>37410</v>
      </c>
      <c r="BY628">
        <f t="shared" ca="1" si="568"/>
        <v>4</v>
      </c>
      <c r="BZ628">
        <f t="shared" ca="1" si="569"/>
        <v>24</v>
      </c>
      <c r="CB628">
        <f t="shared" ca="1" si="534"/>
        <v>0</v>
      </c>
      <c r="CC628" s="112">
        <f t="shared" ca="1" si="535"/>
        <v>37257</v>
      </c>
      <c r="CD628" s="112">
        <f t="shared" ca="1" si="536"/>
        <v>37410</v>
      </c>
      <c r="CE628">
        <f t="shared" ca="1" si="537"/>
        <v>4</v>
      </c>
      <c r="CF628">
        <f t="shared" ca="1" si="538"/>
        <v>24</v>
      </c>
      <c r="CH628" s="112">
        <f t="shared" ca="1" si="644"/>
        <v>37437</v>
      </c>
      <c r="CI628">
        <f t="shared" ca="1" si="828"/>
        <v>1</v>
      </c>
      <c r="CJ628">
        <f t="shared" ref="CJ628" ca="1" si="833">IF(AND(CI628=0,CJ629=0,CJ630=0,CC628&lt;100000),1,0)</f>
        <v>0</v>
      </c>
      <c r="CK628" s="112">
        <f t="shared" ca="1" si="651"/>
        <v>37437</v>
      </c>
      <c r="CM628" s="112"/>
      <c r="CN628" s="260">
        <f t="shared" ca="1" si="488"/>
        <v>37257</v>
      </c>
      <c r="CO628" s="112">
        <f t="shared" ca="1" si="830"/>
        <v>37410</v>
      </c>
      <c r="CP628" s="238">
        <f t="shared" ca="1" si="652"/>
        <v>4</v>
      </c>
      <c r="CQ628" s="328">
        <f t="shared" ca="1" si="653"/>
        <v>24</v>
      </c>
      <c r="CS628" s="112">
        <f t="shared" ca="1" si="492"/>
        <v>37257</v>
      </c>
      <c r="CT628" s="112">
        <f t="shared" ca="1" si="542"/>
        <v>37410</v>
      </c>
      <c r="CU628" s="238">
        <f t="shared" ca="1" si="543"/>
        <v>4</v>
      </c>
      <c r="CV628" s="238">
        <f t="shared" ca="1" si="544"/>
        <v>24</v>
      </c>
      <c r="CY628">
        <f t="shared" si="550"/>
        <v>58</v>
      </c>
      <c r="DA628" s="112">
        <f t="shared" ca="1" si="551"/>
        <v>41197</v>
      </c>
      <c r="DC628">
        <f t="shared" si="552"/>
        <v>628</v>
      </c>
      <c r="DE628" t="str">
        <f t="shared" si="787"/>
        <v>cs628:dc790</v>
      </c>
      <c r="DF628">
        <f t="shared" ca="1" si="546"/>
        <v>736</v>
      </c>
      <c r="DG628" s="412">
        <f t="shared" ca="1" si="690"/>
        <v>0</v>
      </c>
      <c r="DH628" s="411">
        <f t="shared" ca="1" si="678"/>
        <v>41197</v>
      </c>
      <c r="DI628" s="411">
        <f t="shared" ca="1" si="679"/>
        <v>41239</v>
      </c>
      <c r="DJ628" s="410">
        <f t="shared" ca="1" si="680"/>
        <v>6</v>
      </c>
      <c r="DK628" s="410">
        <f t="shared" ca="1" si="681"/>
        <v>24</v>
      </c>
      <c r="DM628" s="411">
        <f t="shared" ca="1" si="691"/>
        <v>41197</v>
      </c>
      <c r="DN628" s="411">
        <f t="shared" ca="1" si="692"/>
        <v>41239</v>
      </c>
      <c r="DO628" s="410">
        <f t="shared" ca="1" si="693"/>
        <v>6</v>
      </c>
      <c r="DP628" s="410">
        <f t="shared" ca="1" si="694"/>
        <v>24</v>
      </c>
    </row>
    <row r="629" spans="27:120" x14ac:dyDescent="0.25">
      <c r="AA629" s="284" t="str">
        <f t="shared" ref="AA629:AF629" si="834">AA78</f>
        <v/>
      </c>
      <c r="AB629" s="284" t="e">
        <f t="shared" ref="AB629:AE629" ca="1" si="835">IF(OR(AB78&lt;=$AA629,AB78&gt;$AF629),100000,AB78)</f>
        <v>#N/A</v>
      </c>
      <c r="AC629" s="284" t="e">
        <f t="shared" ca="1" si="835"/>
        <v>#N/A</v>
      </c>
      <c r="AD629" s="284" t="e">
        <f t="shared" ca="1" si="835"/>
        <v>#N/A</v>
      </c>
      <c r="AE629" s="284" t="e">
        <f t="shared" ca="1" si="835"/>
        <v>#N/A</v>
      </c>
      <c r="AF629" s="284" t="str">
        <f t="shared" si="834"/>
        <v/>
      </c>
      <c r="AG629" s="238">
        <f t="shared" si="505"/>
        <v>0</v>
      </c>
      <c r="AH629" s="407">
        <f t="shared" si="506"/>
        <v>24</v>
      </c>
      <c r="AL629" s="112" t="str">
        <f t="shared" si="507"/>
        <v/>
      </c>
      <c r="AM629" s="112" t="e">
        <f t="shared" ca="1" si="508"/>
        <v>#N/A</v>
      </c>
      <c r="AN629" s="112" t="e">
        <f t="shared" ca="1" si="509"/>
        <v>#N/A</v>
      </c>
      <c r="AO629" s="112" t="e">
        <f t="shared" ca="1" si="510"/>
        <v>#N/A</v>
      </c>
      <c r="AP629" s="112" t="e">
        <f t="shared" ca="1" si="511"/>
        <v>#N/A</v>
      </c>
      <c r="AQ629" s="112" t="str">
        <f t="shared" si="512"/>
        <v/>
      </c>
      <c r="AT629" s="112" t="str">
        <f t="shared" si="513"/>
        <v/>
      </c>
      <c r="AU629" s="112" t="e">
        <f t="shared" ca="1" si="514"/>
        <v>#N/A</v>
      </c>
      <c r="AV629" s="112" t="e">
        <f t="shared" ca="1" si="515"/>
        <v>#N/A</v>
      </c>
      <c r="AW629" s="112" t="e">
        <f t="shared" ca="1" si="516"/>
        <v>#N/A</v>
      </c>
      <c r="AX629" s="112" t="e">
        <f t="shared" ca="1" si="517"/>
        <v>#N/A</v>
      </c>
      <c r="AY629" s="112" t="str">
        <f t="shared" si="518"/>
        <v/>
      </c>
      <c r="BA629" s="112" t="str">
        <f t="shared" si="519"/>
        <v/>
      </c>
      <c r="BB629" s="112" t="e">
        <f t="shared" ca="1" si="520"/>
        <v>#N/A</v>
      </c>
      <c r="BC629" s="112" t="e">
        <f t="shared" ca="1" si="521"/>
        <v>#N/A</v>
      </c>
      <c r="BD629" s="112" t="e">
        <f t="shared" ca="1" si="522"/>
        <v>#N/A</v>
      </c>
      <c r="BE629" s="112" t="e">
        <f t="shared" ca="1" si="523"/>
        <v>#N/A</v>
      </c>
      <c r="BF629" s="112" t="str">
        <f t="shared" si="524"/>
        <v/>
      </c>
      <c r="BI629" s="112" t="str">
        <f t="shared" si="525"/>
        <v/>
      </c>
      <c r="BJ629" s="112" t="e">
        <f t="shared" ca="1" si="526"/>
        <v>#N/A</v>
      </c>
      <c r="BK629" s="112" t="e">
        <f t="shared" ca="1" si="527"/>
        <v>#N/A</v>
      </c>
      <c r="BL629" s="112" t="e">
        <f t="shared" ca="1" si="528"/>
        <v>#N/A</v>
      </c>
      <c r="BM629" s="112" t="e">
        <f t="shared" ca="1" si="529"/>
        <v>#N/A</v>
      </c>
      <c r="BN629" s="112" t="str">
        <f t="shared" si="530"/>
        <v/>
      </c>
      <c r="BP629" s="238" t="e">
        <f t="shared" ca="1" si="594"/>
        <v>#N/A</v>
      </c>
      <c r="BQ629" s="238">
        <f t="shared" si="827"/>
        <v>582</v>
      </c>
      <c r="BR629" t="s">
        <v>447</v>
      </c>
      <c r="BS629" t="s">
        <v>448</v>
      </c>
      <c r="BT629" s="114">
        <f t="shared" ca="1" si="802"/>
        <v>0</v>
      </c>
      <c r="BU629" s="112"/>
      <c r="BV629">
        <f t="shared" ca="1" si="587"/>
        <v>1</v>
      </c>
      <c r="BW629" s="112">
        <f t="shared" ca="1" si="484"/>
        <v>37411</v>
      </c>
      <c r="BX629" s="112">
        <f t="shared" ref="BX629:BX630" ca="1" si="836">INDIRECT(CONCATENATE(BS629,BQ629))</f>
        <v>37437</v>
      </c>
      <c r="BY629">
        <f t="shared" ca="1" si="568"/>
        <v>4</v>
      </c>
      <c r="BZ629">
        <f t="shared" ca="1" si="569"/>
        <v>24</v>
      </c>
      <c r="CB629">
        <f t="shared" ca="1" si="534"/>
        <v>1</v>
      </c>
      <c r="CC629" s="112">
        <f t="shared" ca="1" si="535"/>
        <v>37411</v>
      </c>
      <c r="CD629" s="112">
        <f t="shared" ca="1" si="536"/>
        <v>37437</v>
      </c>
      <c r="CE629">
        <f t="shared" ca="1" si="537"/>
        <v>4</v>
      </c>
      <c r="CF629">
        <f t="shared" ca="1" si="538"/>
        <v>24</v>
      </c>
      <c r="CH629" s="112">
        <f t="shared" ca="1" si="644"/>
        <v>37437</v>
      </c>
      <c r="CI629">
        <f t="shared" ca="1" si="828"/>
        <v>1</v>
      </c>
      <c r="CJ629">
        <f t="shared" ref="CJ629" ca="1" si="837">IF(AND(CI629=0,CJ630=0,CC629&lt;100000),1,0)</f>
        <v>0</v>
      </c>
      <c r="CK629" s="112">
        <f t="shared" ca="1" si="651"/>
        <v>37437</v>
      </c>
      <c r="CM629" s="112"/>
      <c r="CN629" s="260">
        <f t="shared" ca="1" si="488"/>
        <v>37411</v>
      </c>
      <c r="CO629" s="112">
        <f t="shared" ca="1" si="830"/>
        <v>37437</v>
      </c>
      <c r="CP629" s="238">
        <f t="shared" ca="1" si="652"/>
        <v>4</v>
      </c>
      <c r="CQ629" s="328">
        <f t="shared" ca="1" si="653"/>
        <v>24</v>
      </c>
      <c r="CS629" s="112">
        <f t="shared" ca="1" si="492"/>
        <v>37411</v>
      </c>
      <c r="CT629" s="112">
        <f t="shared" ca="1" si="542"/>
        <v>37437</v>
      </c>
      <c r="CU629" s="238">
        <f t="shared" ca="1" si="543"/>
        <v>4</v>
      </c>
      <c r="CV629" s="238">
        <f t="shared" ca="1" si="544"/>
        <v>24</v>
      </c>
      <c r="CY629">
        <f t="shared" si="550"/>
        <v>59</v>
      </c>
      <c r="DA629" s="112">
        <f t="shared" ca="1" si="551"/>
        <v>41240</v>
      </c>
      <c r="DC629">
        <f t="shared" si="552"/>
        <v>629</v>
      </c>
      <c r="DE629" t="str">
        <f t="shared" si="787"/>
        <v>cs629:dc790</v>
      </c>
      <c r="DF629">
        <f t="shared" ca="1" si="546"/>
        <v>741</v>
      </c>
      <c r="DG629" s="412">
        <f t="shared" ca="1" si="690"/>
        <v>0</v>
      </c>
      <c r="DH629" s="411">
        <f t="shared" ca="1" si="678"/>
        <v>41240</v>
      </c>
      <c r="DI629" s="411">
        <f t="shared" ca="1" si="679"/>
        <v>41471</v>
      </c>
      <c r="DJ629" s="410">
        <f t="shared" ca="1" si="680"/>
        <v>6</v>
      </c>
      <c r="DK629" s="410">
        <f t="shared" ca="1" si="681"/>
        <v>24</v>
      </c>
      <c r="DM629" s="411">
        <f t="shared" ca="1" si="691"/>
        <v>41240</v>
      </c>
      <c r="DN629" s="411">
        <f t="shared" ca="1" si="692"/>
        <v>41471</v>
      </c>
      <c r="DO629" s="410">
        <f t="shared" ca="1" si="693"/>
        <v>6</v>
      </c>
      <c r="DP629" s="410">
        <f t="shared" ca="1" si="694"/>
        <v>24</v>
      </c>
    </row>
    <row r="630" spans="27:120" ht="15.75" thickBot="1" x14ac:dyDescent="0.3">
      <c r="AA630" s="284" t="str">
        <f t="shared" ref="AA630:AF630" si="838">AA79</f>
        <v/>
      </c>
      <c r="AB630" s="284" t="e">
        <f t="shared" ref="AB630:AE630" ca="1" si="839">IF(OR(AB79&lt;=$AA630,AB79&gt;$AF630),100000,AB79)</f>
        <v>#N/A</v>
      </c>
      <c r="AC630" s="284" t="e">
        <f t="shared" ca="1" si="839"/>
        <v>#N/A</v>
      </c>
      <c r="AD630" s="284" t="e">
        <f t="shared" ca="1" si="839"/>
        <v>#N/A</v>
      </c>
      <c r="AE630" s="284" t="e">
        <f t="shared" ca="1" si="839"/>
        <v>#N/A</v>
      </c>
      <c r="AF630" s="284" t="str">
        <f t="shared" si="838"/>
        <v/>
      </c>
      <c r="AG630" s="238">
        <f t="shared" si="505"/>
        <v>0</v>
      </c>
      <c r="AH630" s="407">
        <f t="shared" si="506"/>
        <v>24</v>
      </c>
      <c r="AL630" s="112" t="str">
        <f t="shared" si="507"/>
        <v/>
      </c>
      <c r="AM630" s="112" t="e">
        <f t="shared" ca="1" si="508"/>
        <v>#N/A</v>
      </c>
      <c r="AN630" s="112" t="e">
        <f t="shared" ca="1" si="509"/>
        <v>#N/A</v>
      </c>
      <c r="AO630" s="112" t="e">
        <f t="shared" ca="1" si="510"/>
        <v>#N/A</v>
      </c>
      <c r="AP630" s="112" t="e">
        <f t="shared" ca="1" si="511"/>
        <v>#N/A</v>
      </c>
      <c r="AQ630" s="112" t="str">
        <f t="shared" si="512"/>
        <v/>
      </c>
      <c r="AT630" s="112" t="str">
        <f t="shared" si="513"/>
        <v/>
      </c>
      <c r="AU630" s="112" t="e">
        <f t="shared" ca="1" si="514"/>
        <v>#N/A</v>
      </c>
      <c r="AV630" s="112" t="e">
        <f t="shared" ca="1" si="515"/>
        <v>#N/A</v>
      </c>
      <c r="AW630" s="112" t="e">
        <f t="shared" ca="1" si="516"/>
        <v>#N/A</v>
      </c>
      <c r="AX630" s="112" t="e">
        <f t="shared" ca="1" si="517"/>
        <v>#N/A</v>
      </c>
      <c r="AY630" s="112" t="str">
        <f t="shared" si="518"/>
        <v/>
      </c>
      <c r="BA630" s="112" t="str">
        <f t="shared" si="519"/>
        <v/>
      </c>
      <c r="BB630" s="112" t="e">
        <f t="shared" ca="1" si="520"/>
        <v>#N/A</v>
      </c>
      <c r="BC630" s="112" t="e">
        <f t="shared" ca="1" si="521"/>
        <v>#N/A</v>
      </c>
      <c r="BD630" s="112" t="e">
        <f t="shared" ca="1" si="522"/>
        <v>#N/A</v>
      </c>
      <c r="BE630" s="112" t="e">
        <f t="shared" ca="1" si="523"/>
        <v>#N/A</v>
      </c>
      <c r="BF630" s="112" t="str">
        <f t="shared" si="524"/>
        <v/>
      </c>
      <c r="BI630" s="112" t="str">
        <f t="shared" si="525"/>
        <v/>
      </c>
      <c r="BJ630" s="112" t="e">
        <f t="shared" ca="1" si="526"/>
        <v>#N/A</v>
      </c>
      <c r="BK630" s="112" t="e">
        <f t="shared" ca="1" si="527"/>
        <v>#N/A</v>
      </c>
      <c r="BL630" s="112" t="e">
        <f t="shared" ca="1" si="528"/>
        <v>#N/A</v>
      </c>
      <c r="BM630" s="112" t="e">
        <f t="shared" ca="1" si="529"/>
        <v>#N/A</v>
      </c>
      <c r="BN630" s="112" t="str">
        <f t="shared" si="530"/>
        <v/>
      </c>
      <c r="BP630" s="238" t="e">
        <f t="shared" ca="1" si="594"/>
        <v>#N/A</v>
      </c>
      <c r="BQ630" s="238">
        <f t="shared" si="827"/>
        <v>582</v>
      </c>
      <c r="BR630" t="s">
        <v>448</v>
      </c>
      <c r="BS630" t="s">
        <v>449</v>
      </c>
      <c r="BT630" s="114">
        <f t="shared" ca="1" si="802"/>
        <v>0</v>
      </c>
      <c r="BU630" s="112"/>
      <c r="BV630">
        <f t="shared" ca="1" si="587"/>
        <v>0</v>
      </c>
      <c r="BW630" s="112">
        <f t="shared" ca="1" si="484"/>
        <v>37437</v>
      </c>
      <c r="BX630" s="112">
        <f t="shared" ca="1" si="836"/>
        <v>37437</v>
      </c>
      <c r="BY630">
        <f t="shared" ca="1" si="568"/>
        <v>4</v>
      </c>
      <c r="BZ630">
        <f t="shared" ca="1" si="569"/>
        <v>24</v>
      </c>
      <c r="CB630">
        <f t="shared" ca="1" si="534"/>
        <v>0</v>
      </c>
      <c r="CC630" s="112">
        <f t="shared" ca="1" si="535"/>
        <v>100000</v>
      </c>
      <c r="CD630" s="112">
        <f t="shared" ca="1" si="536"/>
        <v>37437</v>
      </c>
      <c r="CE630">
        <f t="shared" ca="1" si="537"/>
        <v>4</v>
      </c>
      <c r="CF630">
        <f t="shared" ca="1" si="538"/>
        <v>24</v>
      </c>
      <c r="CH630" s="112">
        <f t="shared" ca="1" si="644"/>
        <v>37437</v>
      </c>
      <c r="CI630">
        <f t="shared" ca="1" si="828"/>
        <v>1</v>
      </c>
      <c r="CJ630">
        <f t="shared" ref="CJ630" ca="1" si="840">IF(AND(CI630=0,CC630&lt;100000),1,0)</f>
        <v>0</v>
      </c>
      <c r="CK630" s="112">
        <f t="shared" ca="1" si="651"/>
        <v>37437</v>
      </c>
      <c r="CM630" s="112"/>
      <c r="CN630" s="261">
        <f t="shared" ref="CN630" ca="1" si="841">IF(AND(CN626=100000,CN627=100000,CN628=100000,CN629=100000),INDIRECT(CONCATENATE("aa",BQ630)),CC630)</f>
        <v>100000</v>
      </c>
      <c r="CO630" s="324">
        <f t="shared" ca="1" si="830"/>
        <v>37437</v>
      </c>
      <c r="CP630" s="256">
        <f t="shared" ca="1" si="652"/>
        <v>4</v>
      </c>
      <c r="CQ630" s="329">
        <f t="shared" ca="1" si="653"/>
        <v>24</v>
      </c>
      <c r="CS630" s="112">
        <f t="shared" ca="1" si="492"/>
        <v>100000</v>
      </c>
      <c r="CT630" s="112">
        <f t="shared" ca="1" si="542"/>
        <v>37437</v>
      </c>
      <c r="CU630" s="238">
        <f t="shared" ca="1" si="543"/>
        <v>4</v>
      </c>
      <c r="CV630" s="238">
        <f t="shared" ca="1" si="544"/>
        <v>24</v>
      </c>
      <c r="CY630">
        <f t="shared" si="550"/>
        <v>60</v>
      </c>
      <c r="DA630" s="112">
        <f t="shared" ca="1" si="551"/>
        <v>41530</v>
      </c>
      <c r="DC630">
        <f t="shared" si="552"/>
        <v>630</v>
      </c>
      <c r="DE630" t="str">
        <f t="shared" si="787"/>
        <v>cs630:dc790</v>
      </c>
      <c r="DF630">
        <f t="shared" ca="1" si="546"/>
        <v>746</v>
      </c>
      <c r="DG630" s="412">
        <f t="shared" ca="1" si="690"/>
        <v>0</v>
      </c>
      <c r="DH630" s="411">
        <f t="shared" ca="1" si="678"/>
        <v>41530</v>
      </c>
      <c r="DI630" s="411">
        <f t="shared" ca="1" si="679"/>
        <v>41882</v>
      </c>
      <c r="DJ630" s="410">
        <f t="shared" ca="1" si="680"/>
        <v>18</v>
      </c>
      <c r="DK630" s="410">
        <f t="shared" ca="1" si="681"/>
        <v>24</v>
      </c>
      <c r="DM630" s="411">
        <f t="shared" ca="1" si="691"/>
        <v>41530</v>
      </c>
      <c r="DN630" s="411">
        <f t="shared" ca="1" si="692"/>
        <v>41882</v>
      </c>
      <c r="DO630" s="410">
        <f t="shared" ca="1" si="693"/>
        <v>18</v>
      </c>
      <c r="DP630" s="410">
        <f t="shared" ca="1" si="694"/>
        <v>24</v>
      </c>
    </row>
    <row r="631" spans="27:120" x14ac:dyDescent="0.25">
      <c r="AA631" s="284" t="str">
        <f t="shared" ref="AA631:AF631" si="842">AA80</f>
        <v/>
      </c>
      <c r="AB631" s="284" t="e">
        <f t="shared" ref="AB631:AE631" ca="1" si="843">IF(OR(AB80&lt;=$AA631,AB80&gt;$AF631),100000,AB80)</f>
        <v>#N/A</v>
      </c>
      <c r="AC631" s="284" t="e">
        <f t="shared" ca="1" si="843"/>
        <v>#N/A</v>
      </c>
      <c r="AD631" s="284" t="e">
        <f t="shared" ca="1" si="843"/>
        <v>#N/A</v>
      </c>
      <c r="AE631" s="284" t="e">
        <f t="shared" ca="1" si="843"/>
        <v>#N/A</v>
      </c>
      <c r="AF631" s="284" t="str">
        <f t="shared" si="842"/>
        <v/>
      </c>
      <c r="AG631" s="238">
        <f t="shared" si="505"/>
        <v>0</v>
      </c>
      <c r="AH631" s="407">
        <f t="shared" si="506"/>
        <v>24</v>
      </c>
      <c r="AL631" s="112" t="str">
        <f t="shared" si="507"/>
        <v/>
      </c>
      <c r="AM631" s="112" t="e">
        <f t="shared" ca="1" si="508"/>
        <v>#N/A</v>
      </c>
      <c r="AN631" s="112" t="e">
        <f t="shared" ca="1" si="509"/>
        <v>#N/A</v>
      </c>
      <c r="AO631" s="112" t="e">
        <f t="shared" ca="1" si="510"/>
        <v>#N/A</v>
      </c>
      <c r="AP631" s="112" t="e">
        <f t="shared" ca="1" si="511"/>
        <v>#N/A</v>
      </c>
      <c r="AQ631" s="112" t="str">
        <f t="shared" si="512"/>
        <v/>
      </c>
      <c r="AT631" s="112" t="str">
        <f t="shared" si="513"/>
        <v/>
      </c>
      <c r="AU631" s="112" t="e">
        <f t="shared" ca="1" si="514"/>
        <v>#N/A</v>
      </c>
      <c r="AV631" s="112" t="e">
        <f t="shared" ca="1" si="515"/>
        <v>#N/A</v>
      </c>
      <c r="AW631" s="112" t="e">
        <f t="shared" ca="1" si="516"/>
        <v>#N/A</v>
      </c>
      <c r="AX631" s="112" t="e">
        <f t="shared" ca="1" si="517"/>
        <v>#N/A</v>
      </c>
      <c r="AY631" s="112" t="str">
        <f t="shared" si="518"/>
        <v/>
      </c>
      <c r="BA631" s="112" t="str">
        <f t="shared" si="519"/>
        <v/>
      </c>
      <c r="BB631" s="112" t="e">
        <f t="shared" ca="1" si="520"/>
        <v>#N/A</v>
      </c>
      <c r="BC631" s="112" t="e">
        <f t="shared" ca="1" si="521"/>
        <v>#N/A</v>
      </c>
      <c r="BD631" s="112" t="e">
        <f t="shared" ca="1" si="522"/>
        <v>#N/A</v>
      </c>
      <c r="BE631" s="112" t="e">
        <f t="shared" ca="1" si="523"/>
        <v>#N/A</v>
      </c>
      <c r="BF631" s="112" t="str">
        <f t="shared" si="524"/>
        <v/>
      </c>
      <c r="BI631" s="112" t="str">
        <f t="shared" si="525"/>
        <v/>
      </c>
      <c r="BJ631" s="112" t="e">
        <f t="shared" ca="1" si="526"/>
        <v>#N/A</v>
      </c>
      <c r="BK631" s="112" t="e">
        <f t="shared" ca="1" si="527"/>
        <v>#N/A</v>
      </c>
      <c r="BL631" s="112" t="e">
        <f t="shared" ca="1" si="528"/>
        <v>#N/A</v>
      </c>
      <c r="BM631" s="112" t="e">
        <f t="shared" ca="1" si="529"/>
        <v>#N/A</v>
      </c>
      <c r="BN631" s="112" t="str">
        <f t="shared" si="530"/>
        <v/>
      </c>
      <c r="BP631" s="238" t="e">
        <f t="shared" ca="1" si="594"/>
        <v>#N/A</v>
      </c>
      <c r="BQ631" s="238">
        <f t="shared" ref="BQ631" si="844">BQ630+1</f>
        <v>583</v>
      </c>
      <c r="BR631" s="112" t="s">
        <v>444</v>
      </c>
      <c r="BS631" s="112" t="s">
        <v>445</v>
      </c>
      <c r="BT631" s="114">
        <f t="shared" ca="1" si="802"/>
        <v>0</v>
      </c>
      <c r="BU631" s="112"/>
      <c r="BV631">
        <f t="shared" ca="1" si="587"/>
        <v>1</v>
      </c>
      <c r="BW631" s="112">
        <f t="shared" ca="1" si="484"/>
        <v>37202</v>
      </c>
      <c r="BX631" s="112">
        <f t="shared" ref="BX631:BX633" ca="1" si="845">INDIRECT(CONCATENATE(BS631,BQ631))-1</f>
        <v>37256</v>
      </c>
      <c r="BY631">
        <f t="shared" ca="1" si="568"/>
        <v>6</v>
      </c>
      <c r="BZ631">
        <f t="shared" ca="1" si="569"/>
        <v>24</v>
      </c>
      <c r="CB631">
        <f t="shared" ca="1" si="534"/>
        <v>0</v>
      </c>
      <c r="CC631" s="112">
        <f t="shared" ca="1" si="535"/>
        <v>37202</v>
      </c>
      <c r="CD631" s="112">
        <f t="shared" ca="1" si="536"/>
        <v>37256</v>
      </c>
      <c r="CE631">
        <f t="shared" ca="1" si="537"/>
        <v>6</v>
      </c>
      <c r="CF631">
        <f t="shared" ca="1" si="538"/>
        <v>24</v>
      </c>
      <c r="CH631" s="112">
        <f t="shared" ca="1" si="644"/>
        <v>37282</v>
      </c>
      <c r="CI631">
        <f t="shared" ref="CI631" ca="1" si="846">CB631+CB632+CB633+CB634+CB635</f>
        <v>0</v>
      </c>
      <c r="CJ631">
        <v>0</v>
      </c>
      <c r="CK631" s="112">
        <f t="shared" ca="1" si="651"/>
        <v>37282</v>
      </c>
      <c r="CM631" s="112"/>
      <c r="CN631" s="408">
        <f t="shared" ref="CN631:CN634" ca="1" si="847">CC631</f>
        <v>37202</v>
      </c>
      <c r="CO631" s="326">
        <f t="shared" ref="CO631" ca="1" si="848">CD631</f>
        <v>37256</v>
      </c>
      <c r="CP631" s="333">
        <f t="shared" ca="1" si="652"/>
        <v>6</v>
      </c>
      <c r="CQ631" s="327">
        <f t="shared" ca="1" si="653"/>
        <v>24</v>
      </c>
      <c r="CS631" s="112">
        <f t="shared" ca="1" si="492"/>
        <v>37202</v>
      </c>
      <c r="CT631" s="112">
        <f t="shared" ref="CT631" ca="1" si="849">IF(AND( CN632=100000,CN633=100000,CN634=100000,CN635=100000),CO635,                             CO631)</f>
        <v>37256</v>
      </c>
      <c r="CU631" s="238">
        <f t="shared" ca="1" si="543"/>
        <v>6</v>
      </c>
      <c r="CV631" s="238">
        <f t="shared" ca="1" si="544"/>
        <v>24</v>
      </c>
      <c r="CY631">
        <f t="shared" si="550"/>
        <v>61</v>
      </c>
      <c r="DA631" s="112">
        <f t="shared" ca="1" si="551"/>
        <v>41915</v>
      </c>
      <c r="DC631">
        <f t="shared" si="552"/>
        <v>631</v>
      </c>
      <c r="DE631" t="str">
        <f t="shared" si="787"/>
        <v>cs631:dc790</v>
      </c>
      <c r="DF631">
        <f t="shared" ca="1" si="546"/>
        <v>751</v>
      </c>
      <c r="DG631" s="412">
        <f t="shared" ca="1" si="690"/>
        <v>0</v>
      </c>
      <c r="DH631" s="411">
        <f t="shared" ca="1" si="678"/>
        <v>41915</v>
      </c>
      <c r="DI631" s="411">
        <f t="shared" ca="1" si="679"/>
        <v>42185</v>
      </c>
      <c r="DJ631" s="410">
        <f t="shared" ca="1" si="680"/>
        <v>18</v>
      </c>
      <c r="DK631" s="410">
        <f t="shared" ca="1" si="681"/>
        <v>24</v>
      </c>
      <c r="DM631" s="411">
        <f t="shared" ca="1" si="691"/>
        <v>41915</v>
      </c>
      <c r="DN631" s="411">
        <f t="shared" ca="1" si="692"/>
        <v>42185</v>
      </c>
      <c r="DO631" s="410">
        <f t="shared" ca="1" si="693"/>
        <v>18</v>
      </c>
      <c r="DP631" s="410">
        <f t="shared" ca="1" si="694"/>
        <v>24</v>
      </c>
    </row>
    <row r="632" spans="27:120" x14ac:dyDescent="0.25">
      <c r="AA632" s="284" t="str">
        <f t="shared" ref="AA632:AF632" si="850">AA81</f>
        <v/>
      </c>
      <c r="AB632" s="284" t="e">
        <f t="shared" ref="AB632:AE632" ca="1" si="851">IF(OR(AB81&lt;=$AA632,AB81&gt;$AF632),100000,AB81)</f>
        <v>#N/A</v>
      </c>
      <c r="AC632" s="284" t="e">
        <f t="shared" ca="1" si="851"/>
        <v>#N/A</v>
      </c>
      <c r="AD632" s="284" t="e">
        <f t="shared" ca="1" si="851"/>
        <v>#N/A</v>
      </c>
      <c r="AE632" s="284" t="e">
        <f t="shared" ca="1" si="851"/>
        <v>#N/A</v>
      </c>
      <c r="AF632" s="284" t="str">
        <f t="shared" si="850"/>
        <v/>
      </c>
      <c r="AG632" s="238">
        <f t="shared" si="505"/>
        <v>0</v>
      </c>
      <c r="AH632" s="407">
        <f t="shared" si="506"/>
        <v>24</v>
      </c>
      <c r="AL632" s="112" t="str">
        <f t="shared" si="507"/>
        <v/>
      </c>
      <c r="AM632" s="112" t="e">
        <f t="shared" ca="1" si="508"/>
        <v>#N/A</v>
      </c>
      <c r="AN632" s="112" t="e">
        <f t="shared" ca="1" si="509"/>
        <v>#N/A</v>
      </c>
      <c r="AO632" s="112" t="e">
        <f t="shared" ca="1" si="510"/>
        <v>#N/A</v>
      </c>
      <c r="AP632" s="112" t="e">
        <f t="shared" ca="1" si="511"/>
        <v>#N/A</v>
      </c>
      <c r="AQ632" s="112" t="str">
        <f t="shared" si="512"/>
        <v/>
      </c>
      <c r="AT632" s="112" t="str">
        <f t="shared" si="513"/>
        <v/>
      </c>
      <c r="AU632" s="112" t="e">
        <f t="shared" ca="1" si="514"/>
        <v>#N/A</v>
      </c>
      <c r="AV632" s="112" t="e">
        <f t="shared" ca="1" si="515"/>
        <v>#N/A</v>
      </c>
      <c r="AW632" s="112" t="e">
        <f t="shared" ca="1" si="516"/>
        <v>#N/A</v>
      </c>
      <c r="AX632" s="112" t="e">
        <f t="shared" ca="1" si="517"/>
        <v>#N/A</v>
      </c>
      <c r="AY632" s="112" t="str">
        <f t="shared" si="518"/>
        <v/>
      </c>
      <c r="BA632" s="112" t="str">
        <f t="shared" si="519"/>
        <v/>
      </c>
      <c r="BB632" s="112" t="e">
        <f t="shared" ca="1" si="520"/>
        <v>#N/A</v>
      </c>
      <c r="BC632" s="112" t="e">
        <f t="shared" ca="1" si="521"/>
        <v>#N/A</v>
      </c>
      <c r="BD632" s="112" t="e">
        <f t="shared" ca="1" si="522"/>
        <v>#N/A</v>
      </c>
      <c r="BE632" s="112" t="e">
        <f t="shared" ca="1" si="523"/>
        <v>#N/A</v>
      </c>
      <c r="BF632" s="112" t="str">
        <f t="shared" si="524"/>
        <v/>
      </c>
      <c r="BI632" s="112" t="str">
        <f t="shared" si="525"/>
        <v/>
      </c>
      <c r="BJ632" s="112" t="e">
        <f t="shared" ca="1" si="526"/>
        <v>#N/A</v>
      </c>
      <c r="BK632" s="112" t="e">
        <f t="shared" ca="1" si="527"/>
        <v>#N/A</v>
      </c>
      <c r="BL632" s="112" t="e">
        <f t="shared" ca="1" si="528"/>
        <v>#N/A</v>
      </c>
      <c r="BM632" s="112" t="e">
        <f t="shared" ca="1" si="529"/>
        <v>#N/A</v>
      </c>
      <c r="BN632" s="112" t="str">
        <f t="shared" si="530"/>
        <v/>
      </c>
      <c r="BP632" s="238" t="e">
        <f t="shared" ca="1" si="594"/>
        <v>#N/A</v>
      </c>
      <c r="BQ632" s="238">
        <f t="shared" ref="BQ632:BQ635" si="852">BQ631</f>
        <v>583</v>
      </c>
      <c r="BR632" t="s">
        <v>445</v>
      </c>
      <c r="BS632" t="s">
        <v>446</v>
      </c>
      <c r="BT632" s="114">
        <f t="shared" ca="1" si="802"/>
        <v>0</v>
      </c>
      <c r="BU632" s="112"/>
      <c r="BV632">
        <f t="shared" ca="1" si="587"/>
        <v>1</v>
      </c>
      <c r="BW632" s="112">
        <f t="shared" ca="1" si="484"/>
        <v>37257</v>
      </c>
      <c r="BX632" s="112">
        <f t="shared" ca="1" si="845"/>
        <v>37256</v>
      </c>
      <c r="BY632">
        <f t="shared" ca="1" si="568"/>
        <v>6</v>
      </c>
      <c r="BZ632">
        <f t="shared" ca="1" si="569"/>
        <v>24</v>
      </c>
      <c r="CB632">
        <f t="shared" ca="1" si="534"/>
        <v>0</v>
      </c>
      <c r="CC632" s="112">
        <f t="shared" ca="1" si="535"/>
        <v>100000</v>
      </c>
      <c r="CD632" s="112">
        <f t="shared" ca="1" si="536"/>
        <v>37256</v>
      </c>
      <c r="CE632">
        <f t="shared" ca="1" si="537"/>
        <v>6</v>
      </c>
      <c r="CF632">
        <f t="shared" ca="1" si="538"/>
        <v>24</v>
      </c>
      <c r="CH632" s="112">
        <f t="shared" ca="1" si="644"/>
        <v>37282</v>
      </c>
      <c r="CI632">
        <f t="shared" ref="CI632:CI635" ca="1" si="853">CI631</f>
        <v>0</v>
      </c>
      <c r="CJ632">
        <f t="shared" ref="CJ632" ca="1" si="854">IF(AND(CI632=0,CJ633=0,CJ634=0,CJ635=0,CC632&lt;100000),1,0)</f>
        <v>0</v>
      </c>
      <c r="CK632" s="112">
        <f t="shared" ca="1" si="651"/>
        <v>37282</v>
      </c>
      <c r="CM632" s="112"/>
      <c r="CN632" s="260">
        <f t="shared" ca="1" si="847"/>
        <v>100000</v>
      </c>
      <c r="CO632" s="112">
        <f t="shared" ref="CO632:CO635" ca="1" si="855">IF(CJ632=1,CH632,CD632)</f>
        <v>37256</v>
      </c>
      <c r="CP632" s="238">
        <f t="shared" ca="1" si="652"/>
        <v>6</v>
      </c>
      <c r="CQ632" s="328">
        <f t="shared" ca="1" si="653"/>
        <v>24</v>
      </c>
      <c r="CS632" s="112">
        <f t="shared" ca="1" si="492"/>
        <v>100000</v>
      </c>
      <c r="CT632" s="112">
        <f t="shared" ca="1" si="542"/>
        <v>37256</v>
      </c>
      <c r="CU632" s="238">
        <f t="shared" ca="1" si="543"/>
        <v>6</v>
      </c>
      <c r="CV632" s="238">
        <f t="shared" ca="1" si="544"/>
        <v>24</v>
      </c>
      <c r="CY632">
        <f t="shared" si="550"/>
        <v>62</v>
      </c>
      <c r="DA632" s="112">
        <f t="shared" ca="1" si="551"/>
        <v>42248</v>
      </c>
      <c r="DC632">
        <f t="shared" si="552"/>
        <v>632</v>
      </c>
      <c r="DE632" t="str">
        <f t="shared" si="787"/>
        <v>cs632:dc790</v>
      </c>
      <c r="DF632">
        <f t="shared" ca="1" si="546"/>
        <v>756</v>
      </c>
      <c r="DG632" s="412">
        <f t="shared" ca="1" si="690"/>
        <v>0</v>
      </c>
      <c r="DH632" s="411">
        <f t="shared" ca="1" si="678"/>
        <v>42248</v>
      </c>
      <c r="DI632" s="411">
        <f t="shared" ca="1" si="679"/>
        <v>42613</v>
      </c>
      <c r="DJ632" s="410">
        <f t="shared" ca="1" si="680"/>
        <v>18</v>
      </c>
      <c r="DK632" s="410">
        <f t="shared" ca="1" si="681"/>
        <v>24</v>
      </c>
      <c r="DM632" s="411">
        <f t="shared" ca="1" si="691"/>
        <v>42248</v>
      </c>
      <c r="DN632" s="411">
        <f t="shared" ca="1" si="692"/>
        <v>42613</v>
      </c>
      <c r="DO632" s="410">
        <f t="shared" ca="1" si="693"/>
        <v>18</v>
      </c>
      <c r="DP632" s="410">
        <f t="shared" ca="1" si="694"/>
        <v>24</v>
      </c>
    </row>
    <row r="633" spans="27:120" x14ac:dyDescent="0.25">
      <c r="AA633" s="284" t="str">
        <f t="shared" ref="AA633:AF633" si="856">AA82</f>
        <v/>
      </c>
      <c r="AB633" s="284" t="e">
        <f t="shared" ref="AB633:AE633" ca="1" si="857">IF(OR(AB82&lt;=$AA633,AB82&gt;$AF633),100000,AB82)</f>
        <v>#N/A</v>
      </c>
      <c r="AC633" s="284" t="e">
        <f t="shared" ca="1" si="857"/>
        <v>#N/A</v>
      </c>
      <c r="AD633" s="284" t="e">
        <f t="shared" ca="1" si="857"/>
        <v>#N/A</v>
      </c>
      <c r="AE633" s="284" t="e">
        <f t="shared" ca="1" si="857"/>
        <v>#N/A</v>
      </c>
      <c r="AF633" s="284" t="str">
        <f t="shared" si="856"/>
        <v/>
      </c>
      <c r="AG633" s="238">
        <f t="shared" si="505"/>
        <v>0</v>
      </c>
      <c r="AH633" s="407">
        <f t="shared" si="506"/>
        <v>24</v>
      </c>
      <c r="AL633" s="112" t="str">
        <f t="shared" si="507"/>
        <v/>
      </c>
      <c r="AM633" s="112" t="e">
        <f t="shared" ca="1" si="508"/>
        <v>#N/A</v>
      </c>
      <c r="AN633" s="112" t="e">
        <f t="shared" ca="1" si="509"/>
        <v>#N/A</v>
      </c>
      <c r="AO633" s="112" t="e">
        <f t="shared" ca="1" si="510"/>
        <v>#N/A</v>
      </c>
      <c r="AP633" s="112" t="e">
        <f t="shared" ca="1" si="511"/>
        <v>#N/A</v>
      </c>
      <c r="AQ633" s="112" t="str">
        <f t="shared" si="512"/>
        <v/>
      </c>
      <c r="AT633" s="112" t="str">
        <f t="shared" si="513"/>
        <v/>
      </c>
      <c r="AU633" s="112" t="e">
        <f t="shared" ca="1" si="514"/>
        <v>#N/A</v>
      </c>
      <c r="AV633" s="112" t="e">
        <f t="shared" ca="1" si="515"/>
        <v>#N/A</v>
      </c>
      <c r="AW633" s="112" t="e">
        <f t="shared" ca="1" si="516"/>
        <v>#N/A</v>
      </c>
      <c r="AX633" s="112" t="e">
        <f t="shared" ca="1" si="517"/>
        <v>#N/A</v>
      </c>
      <c r="AY633" s="112" t="str">
        <f t="shared" si="518"/>
        <v/>
      </c>
      <c r="BA633" s="112" t="str">
        <f t="shared" si="519"/>
        <v/>
      </c>
      <c r="BB633" s="112" t="e">
        <f t="shared" ca="1" si="520"/>
        <v>#N/A</v>
      </c>
      <c r="BC633" s="112" t="e">
        <f t="shared" ca="1" si="521"/>
        <v>#N/A</v>
      </c>
      <c r="BD633" s="112" t="e">
        <f t="shared" ca="1" si="522"/>
        <v>#N/A</v>
      </c>
      <c r="BE633" s="112" t="e">
        <f t="shared" ca="1" si="523"/>
        <v>#N/A</v>
      </c>
      <c r="BF633" s="112" t="str">
        <f t="shared" si="524"/>
        <v/>
      </c>
      <c r="BI633" s="112" t="str">
        <f t="shared" si="525"/>
        <v/>
      </c>
      <c r="BJ633" s="112" t="e">
        <f t="shared" ca="1" si="526"/>
        <v>#N/A</v>
      </c>
      <c r="BK633" s="112" t="e">
        <f t="shared" ca="1" si="527"/>
        <v>#N/A</v>
      </c>
      <c r="BL633" s="112" t="e">
        <f t="shared" ca="1" si="528"/>
        <v>#N/A</v>
      </c>
      <c r="BM633" s="112" t="e">
        <f t="shared" ca="1" si="529"/>
        <v>#N/A</v>
      </c>
      <c r="BN633" s="112" t="str">
        <f t="shared" si="530"/>
        <v/>
      </c>
      <c r="BP633" s="238" t="e">
        <f t="shared" ca="1" si="594"/>
        <v>#N/A</v>
      </c>
      <c r="BQ633" s="238">
        <f t="shared" si="852"/>
        <v>583</v>
      </c>
      <c r="BR633" t="s">
        <v>446</v>
      </c>
      <c r="BS633" t="s">
        <v>447</v>
      </c>
      <c r="BT633" s="114">
        <f t="shared" ca="1" si="802"/>
        <v>0</v>
      </c>
      <c r="BU633" s="112"/>
      <c r="BV633">
        <f t="shared" ca="1" si="587"/>
        <v>1</v>
      </c>
      <c r="BW633" s="112">
        <f t="shared" ca="1" si="484"/>
        <v>37257</v>
      </c>
      <c r="BX633" s="112">
        <f t="shared" ca="1" si="845"/>
        <v>37281</v>
      </c>
      <c r="BY633">
        <f t="shared" ca="1" si="568"/>
        <v>6</v>
      </c>
      <c r="BZ633">
        <f t="shared" ca="1" si="569"/>
        <v>24</v>
      </c>
      <c r="CB633">
        <f t="shared" ca="1" si="534"/>
        <v>0</v>
      </c>
      <c r="CC633" s="112">
        <f t="shared" ca="1" si="535"/>
        <v>37257</v>
      </c>
      <c r="CD633" s="112">
        <f t="shared" ca="1" si="536"/>
        <v>37281</v>
      </c>
      <c r="CE633">
        <f t="shared" ca="1" si="537"/>
        <v>6</v>
      </c>
      <c r="CF633">
        <f t="shared" ca="1" si="538"/>
        <v>24</v>
      </c>
      <c r="CH633" s="112">
        <f t="shared" ca="1" si="644"/>
        <v>37282</v>
      </c>
      <c r="CI633">
        <f t="shared" ca="1" si="853"/>
        <v>0</v>
      </c>
      <c r="CJ633">
        <f t="shared" ref="CJ633" ca="1" si="858">IF(AND(CI633=0,CJ634=0,CJ635=0,CC633&lt;100000),1,0)</f>
        <v>1</v>
      </c>
      <c r="CK633" s="112">
        <f t="shared" ca="1" si="651"/>
        <v>1</v>
      </c>
      <c r="CM633" s="112"/>
      <c r="CN633" s="260">
        <f t="shared" ca="1" si="847"/>
        <v>37257</v>
      </c>
      <c r="CO633" s="112">
        <f t="shared" ca="1" si="855"/>
        <v>37282</v>
      </c>
      <c r="CP633" s="238">
        <f t="shared" ca="1" si="652"/>
        <v>6</v>
      </c>
      <c r="CQ633" s="328">
        <f t="shared" ca="1" si="653"/>
        <v>24</v>
      </c>
      <c r="CS633" s="112">
        <f t="shared" ca="1" si="492"/>
        <v>37257</v>
      </c>
      <c r="CT633" s="112">
        <f t="shared" ca="1" si="542"/>
        <v>37282</v>
      </c>
      <c r="CU633" s="238">
        <f t="shared" ca="1" si="543"/>
        <v>6</v>
      </c>
      <c r="CV633" s="238">
        <f t="shared" ca="1" si="544"/>
        <v>24</v>
      </c>
      <c r="CY633">
        <f t="shared" si="550"/>
        <v>63</v>
      </c>
      <c r="DA633" s="112">
        <f t="shared" ca="1" si="551"/>
        <v>42614</v>
      </c>
      <c r="DC633">
        <f t="shared" si="552"/>
        <v>633</v>
      </c>
      <c r="DE633" t="str">
        <f t="shared" si="787"/>
        <v>cs633:dc790</v>
      </c>
      <c r="DF633">
        <f t="shared" ca="1" si="546"/>
        <v>761</v>
      </c>
      <c r="DG633" s="412">
        <f t="shared" ca="1" si="690"/>
        <v>0</v>
      </c>
      <c r="DH633" s="411">
        <f t="shared" ca="1" si="678"/>
        <v>42614</v>
      </c>
      <c r="DI633" s="411">
        <f t="shared" ca="1" si="679"/>
        <v>42735</v>
      </c>
      <c r="DJ633" s="410">
        <f t="shared" ca="1" si="680"/>
        <v>18</v>
      </c>
      <c r="DK633" s="410">
        <f t="shared" ca="1" si="681"/>
        <v>24</v>
      </c>
      <c r="DM633" s="411">
        <f t="shared" ca="1" si="691"/>
        <v>42614</v>
      </c>
      <c r="DN633" s="411">
        <f t="shared" ca="1" si="692"/>
        <v>42735</v>
      </c>
      <c r="DO633" s="410">
        <f t="shared" ca="1" si="693"/>
        <v>18</v>
      </c>
      <c r="DP633" s="410">
        <f t="shared" ca="1" si="694"/>
        <v>24</v>
      </c>
    </row>
    <row r="634" spans="27:120" x14ac:dyDescent="0.25">
      <c r="AA634" s="284" t="str">
        <f t="shared" ref="AA634:AF634" si="859">AA83</f>
        <v/>
      </c>
      <c r="AB634" s="284" t="e">
        <f t="shared" ref="AB634:AE634" ca="1" si="860">IF(OR(AB83&lt;=$AA634,AB83&gt;$AF634),100000,AB83)</f>
        <v>#N/A</v>
      </c>
      <c r="AC634" s="284" t="e">
        <f t="shared" ca="1" si="860"/>
        <v>#N/A</v>
      </c>
      <c r="AD634" s="284" t="e">
        <f t="shared" ca="1" si="860"/>
        <v>#N/A</v>
      </c>
      <c r="AE634" s="284" t="e">
        <f t="shared" ca="1" si="860"/>
        <v>#N/A</v>
      </c>
      <c r="AF634" s="284" t="str">
        <f t="shared" si="859"/>
        <v/>
      </c>
      <c r="AG634" s="238">
        <f t="shared" si="505"/>
        <v>0</v>
      </c>
      <c r="AH634" s="407">
        <f t="shared" si="506"/>
        <v>24</v>
      </c>
      <c r="AL634" s="112" t="str">
        <f t="shared" si="507"/>
        <v/>
      </c>
      <c r="AM634" s="112" t="e">
        <f t="shared" ca="1" si="508"/>
        <v>#N/A</v>
      </c>
      <c r="AN634" s="112" t="e">
        <f t="shared" ca="1" si="509"/>
        <v>#N/A</v>
      </c>
      <c r="AO634" s="112" t="e">
        <f t="shared" ca="1" si="510"/>
        <v>#N/A</v>
      </c>
      <c r="AP634" s="112" t="e">
        <f t="shared" ca="1" si="511"/>
        <v>#N/A</v>
      </c>
      <c r="AQ634" s="112" t="str">
        <f t="shared" si="512"/>
        <v/>
      </c>
      <c r="AT634" s="112" t="str">
        <f t="shared" si="513"/>
        <v/>
      </c>
      <c r="AU634" s="112" t="e">
        <f t="shared" ca="1" si="514"/>
        <v>#N/A</v>
      </c>
      <c r="AV634" s="112" t="e">
        <f t="shared" ca="1" si="515"/>
        <v>#N/A</v>
      </c>
      <c r="AW634" s="112" t="e">
        <f t="shared" ca="1" si="516"/>
        <v>#N/A</v>
      </c>
      <c r="AX634" s="112" t="e">
        <f t="shared" ca="1" si="517"/>
        <v>#N/A</v>
      </c>
      <c r="AY634" s="112" t="str">
        <f t="shared" si="518"/>
        <v/>
      </c>
      <c r="BA634" s="112" t="str">
        <f t="shared" si="519"/>
        <v/>
      </c>
      <c r="BB634" s="112" t="e">
        <f t="shared" ca="1" si="520"/>
        <v>#N/A</v>
      </c>
      <c r="BC634" s="112" t="e">
        <f t="shared" ca="1" si="521"/>
        <v>#N/A</v>
      </c>
      <c r="BD634" s="112" t="e">
        <f t="shared" ca="1" si="522"/>
        <v>#N/A</v>
      </c>
      <c r="BE634" s="112" t="e">
        <f t="shared" ca="1" si="523"/>
        <v>#N/A</v>
      </c>
      <c r="BF634" s="112" t="str">
        <f t="shared" si="524"/>
        <v/>
      </c>
      <c r="BI634" s="112" t="str">
        <f t="shared" si="525"/>
        <v/>
      </c>
      <c r="BJ634" s="112" t="e">
        <f t="shared" ca="1" si="526"/>
        <v>#N/A</v>
      </c>
      <c r="BK634" s="112" t="e">
        <f t="shared" ca="1" si="527"/>
        <v>#N/A</v>
      </c>
      <c r="BL634" s="112" t="e">
        <f t="shared" ca="1" si="528"/>
        <v>#N/A</v>
      </c>
      <c r="BM634" s="112" t="e">
        <f t="shared" ca="1" si="529"/>
        <v>#N/A</v>
      </c>
      <c r="BN634" s="112" t="str">
        <f t="shared" si="530"/>
        <v/>
      </c>
      <c r="BP634" s="238" t="e">
        <f t="shared" ca="1" si="594"/>
        <v>#N/A</v>
      </c>
      <c r="BQ634" s="238">
        <f t="shared" si="852"/>
        <v>583</v>
      </c>
      <c r="BR634" t="s">
        <v>447</v>
      </c>
      <c r="BS634" t="s">
        <v>448</v>
      </c>
      <c r="BT634" s="114">
        <f t="shared" ca="1" si="802"/>
        <v>0</v>
      </c>
      <c r="BU634" s="112"/>
      <c r="BV634">
        <f t="shared" ca="1" si="587"/>
        <v>0</v>
      </c>
      <c r="BW634" s="112">
        <f t="shared" ca="1" si="484"/>
        <v>37282</v>
      </c>
      <c r="BX634" s="112">
        <f t="shared" ref="BX634:BX635" ca="1" si="861">INDIRECT(CONCATENATE(BS634,BQ634))</f>
        <v>37282</v>
      </c>
      <c r="BY634">
        <f t="shared" ca="1" si="568"/>
        <v>6</v>
      </c>
      <c r="BZ634">
        <f t="shared" ca="1" si="569"/>
        <v>24</v>
      </c>
      <c r="CB634">
        <f t="shared" ca="1" si="534"/>
        <v>0</v>
      </c>
      <c r="CC634" s="112">
        <f t="shared" ca="1" si="535"/>
        <v>100000</v>
      </c>
      <c r="CD634" s="112">
        <f t="shared" ca="1" si="536"/>
        <v>37282</v>
      </c>
      <c r="CE634">
        <f t="shared" ca="1" si="537"/>
        <v>6</v>
      </c>
      <c r="CF634">
        <f t="shared" ca="1" si="538"/>
        <v>24</v>
      </c>
      <c r="CH634" s="112">
        <f t="shared" ca="1" si="644"/>
        <v>37282</v>
      </c>
      <c r="CI634">
        <f t="shared" ca="1" si="853"/>
        <v>0</v>
      </c>
      <c r="CJ634">
        <f t="shared" ref="CJ634" ca="1" si="862">IF(AND(CI634=0,CJ635=0,CC634&lt;100000),1,0)</f>
        <v>0</v>
      </c>
      <c r="CK634" s="112">
        <f t="shared" ca="1" si="651"/>
        <v>37282</v>
      </c>
      <c r="CM634" s="112"/>
      <c r="CN634" s="260">
        <f t="shared" ca="1" si="847"/>
        <v>100000</v>
      </c>
      <c r="CO634" s="112">
        <f t="shared" ca="1" si="855"/>
        <v>37282</v>
      </c>
      <c r="CP634" s="238">
        <f t="shared" ca="1" si="652"/>
        <v>6</v>
      </c>
      <c r="CQ634" s="328">
        <f t="shared" ca="1" si="653"/>
        <v>24</v>
      </c>
      <c r="CS634" s="112">
        <f t="shared" ca="1" si="492"/>
        <v>100000</v>
      </c>
      <c r="CT634" s="112">
        <f t="shared" ca="1" si="542"/>
        <v>37282</v>
      </c>
      <c r="CU634" s="238">
        <f t="shared" ca="1" si="543"/>
        <v>6</v>
      </c>
      <c r="CV634" s="238">
        <f t="shared" ca="1" si="544"/>
        <v>24</v>
      </c>
      <c r="CY634">
        <f t="shared" si="550"/>
        <v>64</v>
      </c>
      <c r="DA634" s="112">
        <f t="shared" ca="1" si="551"/>
        <v>42736</v>
      </c>
      <c r="DC634">
        <f t="shared" si="552"/>
        <v>634</v>
      </c>
      <c r="DE634" t="str">
        <f t="shared" si="787"/>
        <v>cs634:dc790</v>
      </c>
      <c r="DF634">
        <f t="shared" ca="1" si="546"/>
        <v>763</v>
      </c>
      <c r="DG634" s="412">
        <f t="shared" ca="1" si="690"/>
        <v>0</v>
      </c>
      <c r="DH634" s="411">
        <f t="shared" ca="1" si="678"/>
        <v>42736</v>
      </c>
      <c r="DI634" s="411">
        <f t="shared" ca="1" si="679"/>
        <v>42781</v>
      </c>
      <c r="DJ634" s="410">
        <f t="shared" ca="1" si="680"/>
        <v>18</v>
      </c>
      <c r="DK634" s="410">
        <f t="shared" ca="1" si="681"/>
        <v>24</v>
      </c>
      <c r="DM634" s="411">
        <f t="shared" ca="1" si="691"/>
        <v>42736</v>
      </c>
      <c r="DN634" s="411">
        <f t="shared" ca="1" si="692"/>
        <v>42781</v>
      </c>
      <c r="DO634" s="410">
        <f t="shared" ca="1" si="693"/>
        <v>18</v>
      </c>
      <c r="DP634" s="410">
        <f t="shared" ca="1" si="694"/>
        <v>24</v>
      </c>
    </row>
    <row r="635" spans="27:120" ht="15.75" thickBot="1" x14ac:dyDescent="0.3">
      <c r="AA635" s="284" t="str">
        <f t="shared" ref="AA635:AF635" si="863">AA84</f>
        <v/>
      </c>
      <c r="AB635" s="284" t="e">
        <f t="shared" ref="AB635:AE635" ca="1" si="864">IF(OR(AB84&lt;=$AA635,AB84&gt;$AF635),100000,AB84)</f>
        <v>#N/A</v>
      </c>
      <c r="AC635" s="284" t="e">
        <f t="shared" ca="1" si="864"/>
        <v>#N/A</v>
      </c>
      <c r="AD635" s="284" t="e">
        <f t="shared" ca="1" si="864"/>
        <v>#N/A</v>
      </c>
      <c r="AE635" s="284" t="e">
        <f t="shared" ca="1" si="864"/>
        <v>#N/A</v>
      </c>
      <c r="AF635" s="284" t="str">
        <f t="shared" si="863"/>
        <v/>
      </c>
      <c r="AG635" s="238">
        <f t="shared" si="505"/>
        <v>0</v>
      </c>
      <c r="AH635" s="407">
        <f t="shared" si="506"/>
        <v>24</v>
      </c>
      <c r="AL635" s="112" t="str">
        <f t="shared" si="507"/>
        <v/>
      </c>
      <c r="AM635" s="112" t="e">
        <f t="shared" ca="1" si="508"/>
        <v>#N/A</v>
      </c>
      <c r="AN635" s="112" t="e">
        <f t="shared" ca="1" si="509"/>
        <v>#N/A</v>
      </c>
      <c r="AO635" s="112" t="e">
        <f t="shared" ca="1" si="510"/>
        <v>#N/A</v>
      </c>
      <c r="AP635" s="112" t="e">
        <f t="shared" ca="1" si="511"/>
        <v>#N/A</v>
      </c>
      <c r="AQ635" s="112" t="str">
        <f t="shared" si="512"/>
        <v/>
      </c>
      <c r="AT635" s="112" t="str">
        <f t="shared" si="513"/>
        <v/>
      </c>
      <c r="AU635" s="112" t="e">
        <f t="shared" ca="1" si="514"/>
        <v>#N/A</v>
      </c>
      <c r="AV635" s="112" t="e">
        <f t="shared" ca="1" si="515"/>
        <v>#N/A</v>
      </c>
      <c r="AW635" s="112" t="e">
        <f t="shared" ca="1" si="516"/>
        <v>#N/A</v>
      </c>
      <c r="AX635" s="112" t="e">
        <f t="shared" ca="1" si="517"/>
        <v>#N/A</v>
      </c>
      <c r="AY635" s="112" t="str">
        <f t="shared" si="518"/>
        <v/>
      </c>
      <c r="BA635" s="112" t="str">
        <f t="shared" si="519"/>
        <v/>
      </c>
      <c r="BB635" s="112" t="e">
        <f t="shared" ca="1" si="520"/>
        <v>#N/A</v>
      </c>
      <c r="BC635" s="112" t="e">
        <f t="shared" ca="1" si="521"/>
        <v>#N/A</v>
      </c>
      <c r="BD635" s="112" t="e">
        <f t="shared" ca="1" si="522"/>
        <v>#N/A</v>
      </c>
      <c r="BE635" s="112" t="e">
        <f t="shared" ca="1" si="523"/>
        <v>#N/A</v>
      </c>
      <c r="BF635" s="112" t="str">
        <f t="shared" si="524"/>
        <v/>
      </c>
      <c r="BI635" s="112" t="str">
        <f t="shared" si="525"/>
        <v/>
      </c>
      <c r="BJ635" s="112" t="e">
        <f t="shared" ca="1" si="526"/>
        <v>#N/A</v>
      </c>
      <c r="BK635" s="112" t="e">
        <f t="shared" ca="1" si="527"/>
        <v>#N/A</v>
      </c>
      <c r="BL635" s="112" t="e">
        <f t="shared" ca="1" si="528"/>
        <v>#N/A</v>
      </c>
      <c r="BM635" s="112" t="e">
        <f t="shared" ca="1" si="529"/>
        <v>#N/A</v>
      </c>
      <c r="BN635" s="112" t="str">
        <f t="shared" si="530"/>
        <v/>
      </c>
      <c r="BP635" s="238" t="e">
        <f t="shared" ca="1" si="594"/>
        <v>#N/A</v>
      </c>
      <c r="BQ635" s="238">
        <f t="shared" si="852"/>
        <v>583</v>
      </c>
      <c r="BR635" t="s">
        <v>448</v>
      </c>
      <c r="BS635" t="s">
        <v>449</v>
      </c>
      <c r="BT635" s="114">
        <f t="shared" ca="1" si="802"/>
        <v>0</v>
      </c>
      <c r="BU635" s="112"/>
      <c r="BV635">
        <f t="shared" ca="1" si="587"/>
        <v>0</v>
      </c>
      <c r="BW635" s="112">
        <f t="shared" ref="BW635:BW698" ca="1" si="865">INDIRECT(CONCATENATE(BR635,BQ635))</f>
        <v>37282</v>
      </c>
      <c r="BX635" s="112">
        <f t="shared" ca="1" si="861"/>
        <v>37282</v>
      </c>
      <c r="BY635">
        <f t="shared" ca="1" si="568"/>
        <v>6</v>
      </c>
      <c r="BZ635">
        <f t="shared" ca="1" si="569"/>
        <v>24</v>
      </c>
      <c r="CB635">
        <f t="shared" ca="1" si="534"/>
        <v>0</v>
      </c>
      <c r="CC635" s="112">
        <f t="shared" ca="1" si="535"/>
        <v>100000</v>
      </c>
      <c r="CD635" s="112">
        <f t="shared" ca="1" si="536"/>
        <v>37282</v>
      </c>
      <c r="CE635">
        <f t="shared" ca="1" si="537"/>
        <v>6</v>
      </c>
      <c r="CF635">
        <f t="shared" ca="1" si="538"/>
        <v>24</v>
      </c>
      <c r="CH635" s="112">
        <f t="shared" ca="1" si="644"/>
        <v>37282</v>
      </c>
      <c r="CI635">
        <f t="shared" ca="1" si="853"/>
        <v>0</v>
      </c>
      <c r="CJ635">
        <f t="shared" ref="CJ635" ca="1" si="866">IF(AND(CI635=0,CC635&lt;100000),1,0)</f>
        <v>0</v>
      </c>
      <c r="CK635" s="112">
        <f t="shared" ca="1" si="651"/>
        <v>37282</v>
      </c>
      <c r="CM635" s="112"/>
      <c r="CN635" s="261">
        <f ca="1">IF(AND(CN631=100000,CN632=100000,CN633=100000,CN634=100000),INDIRECT(CONCATENATE("aa",BQ635)),CC635)</f>
        <v>100000</v>
      </c>
      <c r="CO635" s="324">
        <f t="shared" ca="1" si="855"/>
        <v>37282</v>
      </c>
      <c r="CP635" s="256">
        <f t="shared" ca="1" si="652"/>
        <v>6</v>
      </c>
      <c r="CQ635" s="329">
        <f t="shared" ca="1" si="653"/>
        <v>24</v>
      </c>
      <c r="CS635" s="112">
        <f t="shared" ref="CS635:CS698" ca="1" si="867">IF(TYPE(CN635)=16,100000,CN635)</f>
        <v>100000</v>
      </c>
      <c r="CT635" s="112">
        <f t="shared" ca="1" si="542"/>
        <v>37282</v>
      </c>
      <c r="CU635" s="238">
        <f t="shared" ca="1" si="543"/>
        <v>6</v>
      </c>
      <c r="CV635" s="238">
        <f t="shared" ca="1" si="544"/>
        <v>24</v>
      </c>
      <c r="CY635">
        <f t="shared" si="550"/>
        <v>65</v>
      </c>
      <c r="DA635" s="112">
        <f t="shared" ca="1" si="551"/>
        <v>42782</v>
      </c>
      <c r="DC635">
        <f t="shared" si="552"/>
        <v>635</v>
      </c>
      <c r="DE635" t="str">
        <f t="shared" si="787"/>
        <v>cs635:dc790</v>
      </c>
      <c r="DF635">
        <f t="shared" ca="1" si="546"/>
        <v>764</v>
      </c>
      <c r="DG635" s="412">
        <f t="shared" ca="1" si="690"/>
        <v>0</v>
      </c>
      <c r="DH635" s="411">
        <f t="shared" ca="1" si="678"/>
        <v>42782</v>
      </c>
      <c r="DI635" s="411">
        <f t="shared" ca="1" si="679"/>
        <v>42978</v>
      </c>
      <c r="DJ635" s="410">
        <f t="shared" ca="1" si="680"/>
        <v>18</v>
      </c>
      <c r="DK635" s="410">
        <f t="shared" ca="1" si="681"/>
        <v>24</v>
      </c>
      <c r="DM635" s="411">
        <f t="shared" ca="1" si="691"/>
        <v>42782</v>
      </c>
      <c r="DN635" s="411">
        <f t="shared" ca="1" si="692"/>
        <v>42978</v>
      </c>
      <c r="DO635" s="410">
        <f t="shared" ca="1" si="693"/>
        <v>18</v>
      </c>
      <c r="DP635" s="410">
        <f t="shared" ca="1" si="694"/>
        <v>24</v>
      </c>
    </row>
    <row r="636" spans="27:120" x14ac:dyDescent="0.25">
      <c r="AA636" s="284" t="str">
        <f t="shared" ref="AA636:AF636" si="868">AA85</f>
        <v/>
      </c>
      <c r="AB636" s="284" t="e">
        <f t="shared" ref="AB636:AE636" ca="1" si="869">IF(OR(AB85&lt;=$AA636,AB85&gt;$AF636),100000,AB85)</f>
        <v>#N/A</v>
      </c>
      <c r="AC636" s="284" t="e">
        <f t="shared" ca="1" si="869"/>
        <v>#N/A</v>
      </c>
      <c r="AD636" s="284" t="e">
        <f t="shared" ca="1" si="869"/>
        <v>#N/A</v>
      </c>
      <c r="AE636" s="284" t="e">
        <f t="shared" ca="1" si="869"/>
        <v>#N/A</v>
      </c>
      <c r="AF636" s="284" t="str">
        <f t="shared" si="868"/>
        <v/>
      </c>
      <c r="AG636" s="238">
        <f t="shared" ref="AG636:AG699" si="870">H85</f>
        <v>0</v>
      </c>
      <c r="AH636" s="407">
        <f t="shared" ref="AH636:AH699" si="871">J85</f>
        <v>24</v>
      </c>
      <c r="AL636" s="112" t="str">
        <f t="shared" ref="AL636:AL691" si="872">AA636</f>
        <v/>
      </c>
      <c r="AM636" s="112" t="e">
        <f t="shared" ref="AM636:AM691" ca="1" si="873">IF(AB636=100000,AC636,AB636)</f>
        <v>#N/A</v>
      </c>
      <c r="AN636" s="112" t="e">
        <f t="shared" ref="AN636:AN691" ca="1" si="874">IF(AC636=100000,AD636,AC636)</f>
        <v>#N/A</v>
      </c>
      <c r="AO636" s="112" t="e">
        <f t="shared" ref="AO636:AO691" ca="1" si="875">IF(AD636=100000,AE636,AD636)</f>
        <v>#N/A</v>
      </c>
      <c r="AP636" s="112" t="e">
        <f t="shared" ref="AP636:AP691" ca="1" si="876">IF(AE636=100000,AF636,AE636)</f>
        <v>#N/A</v>
      </c>
      <c r="AQ636" s="112" t="str">
        <f t="shared" ref="AQ636:AQ691" si="877">IF(AF636=100000,AG636,AF636)</f>
        <v/>
      </c>
      <c r="AT636" s="112" t="str">
        <f t="shared" ref="AT636:AT691" si="878">AL636</f>
        <v/>
      </c>
      <c r="AU636" s="112" t="e">
        <f t="shared" ref="AU636:AU691" ca="1" si="879">IF(AM636=100000,AN636,AM636)</f>
        <v>#N/A</v>
      </c>
      <c r="AV636" s="112" t="e">
        <f t="shared" ref="AV636:AV691" ca="1" si="880">IF(AN636=100000,AO636,AN636)</f>
        <v>#N/A</v>
      </c>
      <c r="AW636" s="112" t="e">
        <f t="shared" ref="AW636:AW691" ca="1" si="881">IF(AO636=100000,AP636,AO636)</f>
        <v>#N/A</v>
      </c>
      <c r="AX636" s="112" t="e">
        <f t="shared" ref="AX636:AX691" ca="1" si="882">IF(AP636=100000,AQ636,AP636)</f>
        <v>#N/A</v>
      </c>
      <c r="AY636" s="112" t="str">
        <f t="shared" ref="AY636:AY691" si="883">IF(AQ636=100000,AR636,AQ636)</f>
        <v/>
      </c>
      <c r="BA636" s="112" t="str">
        <f t="shared" ref="BA636:BA691" si="884">AT636</f>
        <v/>
      </c>
      <c r="BB636" s="112" t="e">
        <f t="shared" ref="BB636:BB691" ca="1" si="885">IF(AU636=100000,AV636,AU636)</f>
        <v>#N/A</v>
      </c>
      <c r="BC636" s="112" t="e">
        <f t="shared" ref="BC636:BC691" ca="1" si="886">IF(AV636=100000,AW636,AV636)</f>
        <v>#N/A</v>
      </c>
      <c r="BD636" s="112" t="e">
        <f t="shared" ref="BD636:BD691" ca="1" si="887">IF(AW636=100000,AX636,AW636)</f>
        <v>#N/A</v>
      </c>
      <c r="BE636" s="112" t="e">
        <f t="shared" ref="BE636:BE691" ca="1" si="888">IF(AX636=100000,AY636,AX636)</f>
        <v>#N/A</v>
      </c>
      <c r="BF636" s="112" t="str">
        <f t="shared" ref="BF636:BF691" si="889">IF(AY636=100000,AZ636,AY636)</f>
        <v/>
      </c>
      <c r="BI636" s="112" t="str">
        <f t="shared" ref="BI636:BI691" si="890">BA636</f>
        <v/>
      </c>
      <c r="BJ636" s="112" t="e">
        <f t="shared" ref="BJ636:BJ691" ca="1" si="891">IF(BB636=100000,BC636,BB636)</f>
        <v>#N/A</v>
      </c>
      <c r="BK636" s="112" t="e">
        <f t="shared" ref="BK636:BK691" ca="1" si="892">IF(BC636=100000,BD636,BC636)</f>
        <v>#N/A</v>
      </c>
      <c r="BL636" s="112" t="e">
        <f t="shared" ref="BL636:BL691" ca="1" si="893">IF(BD636=100000,BE636,BD636)</f>
        <v>#N/A</v>
      </c>
      <c r="BM636" s="112" t="e">
        <f t="shared" ref="BM636:BM691" ca="1" si="894">IF(BE636=100000,BF636,BE636)</f>
        <v>#N/A</v>
      </c>
      <c r="BN636" s="112" t="str">
        <f t="shared" ref="BN636:BN691" si="895">IF(BF636=100000,BG636,BF636)</f>
        <v/>
      </c>
      <c r="BP636" s="238" t="e">
        <f t="shared" ca="1" si="594"/>
        <v>#N/A</v>
      </c>
      <c r="BQ636" s="238">
        <f t="shared" ref="BQ636" si="896">BQ635+1</f>
        <v>584</v>
      </c>
      <c r="BR636" s="112" t="s">
        <v>444</v>
      </c>
      <c r="BS636" s="112" t="s">
        <v>445</v>
      </c>
      <c r="BT636" s="114">
        <f t="shared" ca="1" si="802"/>
        <v>0</v>
      </c>
      <c r="BU636" s="112"/>
      <c r="BV636">
        <f t="shared" ca="1" si="587"/>
        <v>1</v>
      </c>
      <c r="BW636" s="112">
        <f t="shared" ca="1" si="865"/>
        <v>37284</v>
      </c>
      <c r="BX636" s="112">
        <f t="shared" ref="BX636:BX638" ca="1" si="897">INDIRECT(CONCATENATE(BS636,BQ636))-1</f>
        <v>37410</v>
      </c>
      <c r="BY636">
        <f t="shared" ca="1" si="568"/>
        <v>5</v>
      </c>
      <c r="BZ636">
        <f t="shared" ca="1" si="569"/>
        <v>24</v>
      </c>
      <c r="CB636">
        <f t="shared" ref="CB636:CB699" ca="1" si="898">IF(AND(CC636&lt;&gt;100000,CD636=INDIRECT(CONCATENATE("aq",BQ636))),1,0)</f>
        <v>0</v>
      </c>
      <c r="CC636" s="112">
        <f t="shared" ref="CC636:CC699" ca="1" si="899">IF(OR(BV636=0,BW636&gt;BX636),100000,BW636)</f>
        <v>37284</v>
      </c>
      <c r="CD636" s="112">
        <f t="shared" ref="CD636:CD699" ca="1" si="900">BX636</f>
        <v>37410</v>
      </c>
      <c r="CE636">
        <f t="shared" ref="CE636:CE699" ca="1" si="901">BY636</f>
        <v>5</v>
      </c>
      <c r="CF636">
        <f t="shared" ref="CF636:CF699" ca="1" si="902">BZ636</f>
        <v>24</v>
      </c>
      <c r="CH636" s="112">
        <f t="shared" ca="1" si="644"/>
        <v>37437</v>
      </c>
      <c r="CI636">
        <f t="shared" ref="CI636" ca="1" si="903">CB636+CB637+CB638+CB639+CB640</f>
        <v>0</v>
      </c>
      <c r="CJ636">
        <v>0</v>
      </c>
      <c r="CK636" s="112">
        <f t="shared" ca="1" si="651"/>
        <v>37437</v>
      </c>
      <c r="CM636" s="112"/>
      <c r="CN636" s="408">
        <f t="shared" ref="CN636:CN699" ca="1" si="904">CC636</f>
        <v>37284</v>
      </c>
      <c r="CO636" s="326">
        <f t="shared" ref="CO636" ca="1" si="905">CD636</f>
        <v>37410</v>
      </c>
      <c r="CP636" s="333">
        <f t="shared" ca="1" si="652"/>
        <v>5</v>
      </c>
      <c r="CQ636" s="327">
        <f t="shared" ca="1" si="653"/>
        <v>24</v>
      </c>
      <c r="CS636" s="112">
        <f t="shared" ca="1" si="867"/>
        <v>37284</v>
      </c>
      <c r="CT636" s="112">
        <f t="shared" ref="CT636" ca="1" si="906">IF(AND( CN637=100000,CN638=100000,CN639=100000,CN640=100000),CO640,                             CO636)</f>
        <v>37410</v>
      </c>
      <c r="CU636" s="238">
        <f t="shared" ref="CU636:CU699" ca="1" si="907">CP636</f>
        <v>5</v>
      </c>
      <c r="CV636" s="238">
        <f t="shared" ref="CV636:CV699" ca="1" si="908">CQ636</f>
        <v>24</v>
      </c>
      <c r="CY636">
        <f t="shared" si="550"/>
        <v>66</v>
      </c>
      <c r="DA636" s="112">
        <f t="shared" ca="1" si="551"/>
        <v>42979</v>
      </c>
      <c r="DC636">
        <f t="shared" si="552"/>
        <v>636</v>
      </c>
      <c r="DE636" t="str">
        <f t="shared" si="787"/>
        <v>cs636:dc790</v>
      </c>
      <c r="DF636">
        <f t="shared" ref="DF636:DF699" ca="1" si="909">VLOOKUP(DA636,INDIRECT(DE636),11,FALSE)</f>
        <v>766</v>
      </c>
      <c r="DG636" s="412">
        <f t="shared" ca="1" si="690"/>
        <v>0</v>
      </c>
      <c r="DH636" s="411">
        <f t="shared" ca="1" si="678"/>
        <v>42979</v>
      </c>
      <c r="DI636" s="411">
        <f t="shared" ca="1" si="679"/>
        <v>43159</v>
      </c>
      <c r="DJ636" s="410">
        <f t="shared" ca="1" si="680"/>
        <v>18</v>
      </c>
      <c r="DK636" s="410">
        <f t="shared" ca="1" si="681"/>
        <v>24</v>
      </c>
      <c r="DM636" s="411">
        <f t="shared" ca="1" si="691"/>
        <v>42979</v>
      </c>
      <c r="DN636" s="411">
        <f t="shared" ca="1" si="692"/>
        <v>43159</v>
      </c>
      <c r="DO636" s="410">
        <f t="shared" ca="1" si="693"/>
        <v>18</v>
      </c>
      <c r="DP636" s="410">
        <f t="shared" ca="1" si="694"/>
        <v>24</v>
      </c>
    </row>
    <row r="637" spans="27:120" x14ac:dyDescent="0.25">
      <c r="AA637" s="284" t="str">
        <f t="shared" ref="AA637:AF637" si="910">AA86</f>
        <v/>
      </c>
      <c r="AB637" s="284" t="e">
        <f t="shared" ref="AB637:AE637" ca="1" si="911">IF(OR(AB86&lt;=$AA637,AB86&gt;$AF637),100000,AB86)</f>
        <v>#N/A</v>
      </c>
      <c r="AC637" s="284" t="e">
        <f t="shared" ca="1" si="911"/>
        <v>#N/A</v>
      </c>
      <c r="AD637" s="284" t="e">
        <f t="shared" ca="1" si="911"/>
        <v>#N/A</v>
      </c>
      <c r="AE637" s="284" t="e">
        <f t="shared" ca="1" si="911"/>
        <v>#N/A</v>
      </c>
      <c r="AF637" s="284" t="str">
        <f t="shared" si="910"/>
        <v/>
      </c>
      <c r="AG637" s="238">
        <f t="shared" si="870"/>
        <v>0</v>
      </c>
      <c r="AH637" s="407">
        <f t="shared" si="871"/>
        <v>24</v>
      </c>
      <c r="AL637" s="112" t="str">
        <f t="shared" si="872"/>
        <v/>
      </c>
      <c r="AM637" s="112" t="e">
        <f t="shared" ca="1" si="873"/>
        <v>#N/A</v>
      </c>
      <c r="AN637" s="112" t="e">
        <f t="shared" ca="1" si="874"/>
        <v>#N/A</v>
      </c>
      <c r="AO637" s="112" t="e">
        <f t="shared" ca="1" si="875"/>
        <v>#N/A</v>
      </c>
      <c r="AP637" s="112" t="e">
        <f t="shared" ca="1" si="876"/>
        <v>#N/A</v>
      </c>
      <c r="AQ637" s="112" t="str">
        <f t="shared" si="877"/>
        <v/>
      </c>
      <c r="AT637" s="112" t="str">
        <f t="shared" si="878"/>
        <v/>
      </c>
      <c r="AU637" s="112" t="e">
        <f t="shared" ca="1" si="879"/>
        <v>#N/A</v>
      </c>
      <c r="AV637" s="112" t="e">
        <f t="shared" ca="1" si="880"/>
        <v>#N/A</v>
      </c>
      <c r="AW637" s="112" t="e">
        <f t="shared" ca="1" si="881"/>
        <v>#N/A</v>
      </c>
      <c r="AX637" s="112" t="e">
        <f t="shared" ca="1" si="882"/>
        <v>#N/A</v>
      </c>
      <c r="AY637" s="112" t="str">
        <f t="shared" si="883"/>
        <v/>
      </c>
      <c r="BA637" s="112" t="str">
        <f t="shared" si="884"/>
        <v/>
      </c>
      <c r="BB637" s="112" t="e">
        <f t="shared" ca="1" si="885"/>
        <v>#N/A</v>
      </c>
      <c r="BC637" s="112" t="e">
        <f t="shared" ca="1" si="886"/>
        <v>#N/A</v>
      </c>
      <c r="BD637" s="112" t="e">
        <f t="shared" ca="1" si="887"/>
        <v>#N/A</v>
      </c>
      <c r="BE637" s="112" t="e">
        <f t="shared" ca="1" si="888"/>
        <v>#N/A</v>
      </c>
      <c r="BF637" s="112" t="str">
        <f t="shared" si="889"/>
        <v/>
      </c>
      <c r="BI637" s="112" t="str">
        <f t="shared" si="890"/>
        <v/>
      </c>
      <c r="BJ637" s="112" t="e">
        <f t="shared" ca="1" si="891"/>
        <v>#N/A</v>
      </c>
      <c r="BK637" s="112" t="e">
        <f t="shared" ca="1" si="892"/>
        <v>#N/A</v>
      </c>
      <c r="BL637" s="112" t="e">
        <f t="shared" ca="1" si="893"/>
        <v>#N/A</v>
      </c>
      <c r="BM637" s="112" t="e">
        <f t="shared" ca="1" si="894"/>
        <v>#N/A</v>
      </c>
      <c r="BN637" s="112" t="str">
        <f t="shared" si="895"/>
        <v/>
      </c>
      <c r="BP637" s="238" t="e">
        <f t="shared" ca="1" si="594"/>
        <v>#N/A</v>
      </c>
      <c r="BQ637" s="238">
        <f t="shared" ref="BQ637:BQ640" si="912">BQ636</f>
        <v>584</v>
      </c>
      <c r="BR637" t="s">
        <v>445</v>
      </c>
      <c r="BS637" t="s">
        <v>446</v>
      </c>
      <c r="BT637" s="114">
        <f t="shared" ca="1" si="802"/>
        <v>0</v>
      </c>
      <c r="BU637" s="112"/>
      <c r="BV637">
        <f t="shared" ca="1" si="587"/>
        <v>1</v>
      </c>
      <c r="BW637" s="112">
        <f t="shared" ca="1" si="865"/>
        <v>37411</v>
      </c>
      <c r="BX637" s="112">
        <f t="shared" ca="1" si="897"/>
        <v>37410</v>
      </c>
      <c r="BY637">
        <f t="shared" ca="1" si="568"/>
        <v>5</v>
      </c>
      <c r="BZ637">
        <f t="shared" ca="1" si="569"/>
        <v>24</v>
      </c>
      <c r="CB637">
        <f t="shared" ca="1" si="898"/>
        <v>0</v>
      </c>
      <c r="CC637" s="112">
        <f t="shared" ca="1" si="899"/>
        <v>100000</v>
      </c>
      <c r="CD637" s="112">
        <f t="shared" ca="1" si="900"/>
        <v>37410</v>
      </c>
      <c r="CE637">
        <f t="shared" ca="1" si="901"/>
        <v>5</v>
      </c>
      <c r="CF637">
        <f t="shared" ca="1" si="902"/>
        <v>24</v>
      </c>
      <c r="CH637" s="112">
        <f t="shared" ca="1" si="644"/>
        <v>37437</v>
      </c>
      <c r="CI637">
        <f t="shared" ref="CI637:CI640" ca="1" si="913">CI636</f>
        <v>0</v>
      </c>
      <c r="CJ637">
        <f t="shared" ref="CJ637" ca="1" si="914">IF(AND(CI637=0,CJ638=0,CJ639=0,CJ640=0,CC637&lt;100000),1,0)</f>
        <v>0</v>
      </c>
      <c r="CK637" s="112">
        <f t="shared" ca="1" si="651"/>
        <v>37437</v>
      </c>
      <c r="CM637" s="112"/>
      <c r="CN637" s="260">
        <f t="shared" ca="1" si="904"/>
        <v>100000</v>
      </c>
      <c r="CO637" s="112">
        <f t="shared" ref="CO637:CO640" ca="1" si="915">IF(CJ637=1,CH637,CD637)</f>
        <v>37410</v>
      </c>
      <c r="CP637" s="238">
        <f t="shared" ca="1" si="652"/>
        <v>5</v>
      </c>
      <c r="CQ637" s="328">
        <f t="shared" ca="1" si="653"/>
        <v>24</v>
      </c>
      <c r="CS637" s="112">
        <f t="shared" ca="1" si="867"/>
        <v>100000</v>
      </c>
      <c r="CT637" s="112">
        <f t="shared" ref="CT637:CT700" ca="1" si="916">CO637</f>
        <v>37410</v>
      </c>
      <c r="CU637" s="238">
        <f t="shared" ca="1" si="907"/>
        <v>5</v>
      </c>
      <c r="CV637" s="238">
        <f t="shared" ca="1" si="908"/>
        <v>24</v>
      </c>
      <c r="CY637">
        <f t="shared" ref="CY637:CY700" si="917">CY636+1</f>
        <v>67</v>
      </c>
      <c r="DA637" s="112">
        <f t="shared" ref="DA637:DA700" ca="1" si="918">SMALL($CS$571:$CS$1100,CY637)</f>
        <v>43160</v>
      </c>
      <c r="DC637">
        <f t="shared" ref="DC637:DC700" si="919">DC636+1</f>
        <v>637</v>
      </c>
      <c r="DE637" t="str">
        <f t="shared" si="787"/>
        <v>cs637:dc790</v>
      </c>
      <c r="DF637">
        <f t="shared" ca="1" si="909"/>
        <v>768</v>
      </c>
      <c r="DG637" s="412">
        <f t="shared" ca="1" si="690"/>
        <v>0</v>
      </c>
      <c r="DH637" s="411">
        <f t="shared" ca="1" si="678"/>
        <v>43160</v>
      </c>
      <c r="DI637" s="411">
        <f t="shared" ca="1" si="679"/>
        <v>43190</v>
      </c>
      <c r="DJ637" s="410">
        <f t="shared" ca="1" si="680"/>
        <v>18</v>
      </c>
      <c r="DK637" s="410">
        <f t="shared" ca="1" si="681"/>
        <v>24</v>
      </c>
      <c r="DM637" s="411">
        <f t="shared" ca="1" si="691"/>
        <v>43160</v>
      </c>
      <c r="DN637" s="411">
        <f t="shared" ca="1" si="692"/>
        <v>43190</v>
      </c>
      <c r="DO637" s="410">
        <f t="shared" ca="1" si="693"/>
        <v>18</v>
      </c>
      <c r="DP637" s="410">
        <f t="shared" ca="1" si="694"/>
        <v>24</v>
      </c>
    </row>
    <row r="638" spans="27:120" x14ac:dyDescent="0.25">
      <c r="AA638" s="284" t="str">
        <f t="shared" ref="AA638:AF638" si="920">AA87</f>
        <v/>
      </c>
      <c r="AB638" s="284" t="e">
        <f t="shared" ref="AB638:AE638" ca="1" si="921">IF(OR(AB87&lt;=$AA638,AB87&gt;$AF638),100000,AB87)</f>
        <v>#N/A</v>
      </c>
      <c r="AC638" s="284" t="e">
        <f t="shared" ca="1" si="921"/>
        <v>#N/A</v>
      </c>
      <c r="AD638" s="284" t="e">
        <f t="shared" ca="1" si="921"/>
        <v>#N/A</v>
      </c>
      <c r="AE638" s="284" t="e">
        <f t="shared" ca="1" si="921"/>
        <v>#N/A</v>
      </c>
      <c r="AF638" s="284" t="str">
        <f t="shared" si="920"/>
        <v/>
      </c>
      <c r="AG638" s="238">
        <f t="shared" si="870"/>
        <v>0</v>
      </c>
      <c r="AH638" s="407">
        <f t="shared" si="871"/>
        <v>24</v>
      </c>
      <c r="AL638" s="112" t="str">
        <f t="shared" si="872"/>
        <v/>
      </c>
      <c r="AM638" s="112" t="e">
        <f t="shared" ca="1" si="873"/>
        <v>#N/A</v>
      </c>
      <c r="AN638" s="112" t="e">
        <f t="shared" ca="1" si="874"/>
        <v>#N/A</v>
      </c>
      <c r="AO638" s="112" t="e">
        <f t="shared" ca="1" si="875"/>
        <v>#N/A</v>
      </c>
      <c r="AP638" s="112" t="e">
        <f t="shared" ca="1" si="876"/>
        <v>#N/A</v>
      </c>
      <c r="AQ638" s="112" t="str">
        <f t="shared" si="877"/>
        <v/>
      </c>
      <c r="AT638" s="112" t="str">
        <f t="shared" si="878"/>
        <v/>
      </c>
      <c r="AU638" s="112" t="e">
        <f t="shared" ca="1" si="879"/>
        <v>#N/A</v>
      </c>
      <c r="AV638" s="112" t="e">
        <f t="shared" ca="1" si="880"/>
        <v>#N/A</v>
      </c>
      <c r="AW638" s="112" t="e">
        <f t="shared" ca="1" si="881"/>
        <v>#N/A</v>
      </c>
      <c r="AX638" s="112" t="e">
        <f t="shared" ca="1" si="882"/>
        <v>#N/A</v>
      </c>
      <c r="AY638" s="112" t="str">
        <f t="shared" si="883"/>
        <v/>
      </c>
      <c r="BA638" s="112" t="str">
        <f t="shared" si="884"/>
        <v/>
      </c>
      <c r="BB638" s="112" t="e">
        <f t="shared" ca="1" si="885"/>
        <v>#N/A</v>
      </c>
      <c r="BC638" s="112" t="e">
        <f t="shared" ca="1" si="886"/>
        <v>#N/A</v>
      </c>
      <c r="BD638" s="112" t="e">
        <f t="shared" ca="1" si="887"/>
        <v>#N/A</v>
      </c>
      <c r="BE638" s="112" t="e">
        <f t="shared" ca="1" si="888"/>
        <v>#N/A</v>
      </c>
      <c r="BF638" s="112" t="str">
        <f t="shared" si="889"/>
        <v/>
      </c>
      <c r="BI638" s="112" t="str">
        <f t="shared" si="890"/>
        <v/>
      </c>
      <c r="BJ638" s="112" t="e">
        <f t="shared" ca="1" si="891"/>
        <v>#N/A</v>
      </c>
      <c r="BK638" s="112" t="e">
        <f t="shared" ca="1" si="892"/>
        <v>#N/A</v>
      </c>
      <c r="BL638" s="112" t="e">
        <f t="shared" ca="1" si="893"/>
        <v>#N/A</v>
      </c>
      <c r="BM638" s="112" t="e">
        <f t="shared" ca="1" si="894"/>
        <v>#N/A</v>
      </c>
      <c r="BN638" s="112" t="str">
        <f t="shared" si="895"/>
        <v/>
      </c>
      <c r="BP638" s="238" t="e">
        <f t="shared" ca="1" si="594"/>
        <v>#N/A</v>
      </c>
      <c r="BQ638" s="238">
        <f t="shared" si="912"/>
        <v>584</v>
      </c>
      <c r="BR638" t="s">
        <v>446</v>
      </c>
      <c r="BS638" t="s">
        <v>447</v>
      </c>
      <c r="BT638" s="114">
        <f t="shared" ca="1" si="802"/>
        <v>0</v>
      </c>
      <c r="BU638" s="112"/>
      <c r="BV638">
        <f t="shared" ca="1" si="587"/>
        <v>1</v>
      </c>
      <c r="BW638" s="112">
        <f t="shared" ca="1" si="865"/>
        <v>37411</v>
      </c>
      <c r="BX638" s="112">
        <f t="shared" ca="1" si="897"/>
        <v>37436</v>
      </c>
      <c r="BY638">
        <f t="shared" ca="1" si="568"/>
        <v>5</v>
      </c>
      <c r="BZ638">
        <f t="shared" ca="1" si="569"/>
        <v>24</v>
      </c>
      <c r="CB638">
        <f t="shared" ca="1" si="898"/>
        <v>0</v>
      </c>
      <c r="CC638" s="112">
        <f t="shared" ca="1" si="899"/>
        <v>37411</v>
      </c>
      <c r="CD638" s="112">
        <f t="shared" ca="1" si="900"/>
        <v>37436</v>
      </c>
      <c r="CE638">
        <f t="shared" ca="1" si="901"/>
        <v>5</v>
      </c>
      <c r="CF638">
        <f t="shared" ca="1" si="902"/>
        <v>24</v>
      </c>
      <c r="CH638" s="112">
        <f t="shared" ca="1" si="644"/>
        <v>37437</v>
      </c>
      <c r="CI638">
        <f t="shared" ca="1" si="913"/>
        <v>0</v>
      </c>
      <c r="CJ638">
        <f t="shared" ref="CJ638" ca="1" si="922">IF(AND(CI638=0,CJ639=0,CJ640=0,CC638&lt;100000),1,0)</f>
        <v>1</v>
      </c>
      <c r="CK638" s="112">
        <f t="shared" ca="1" si="651"/>
        <v>1</v>
      </c>
      <c r="CM638" s="112"/>
      <c r="CN638" s="260">
        <f t="shared" ca="1" si="904"/>
        <v>37411</v>
      </c>
      <c r="CO638" s="112">
        <f t="shared" ca="1" si="915"/>
        <v>37437</v>
      </c>
      <c r="CP638" s="238">
        <f t="shared" ca="1" si="652"/>
        <v>5</v>
      </c>
      <c r="CQ638" s="328">
        <f t="shared" ca="1" si="653"/>
        <v>24</v>
      </c>
      <c r="CS638" s="112">
        <f t="shared" ca="1" si="867"/>
        <v>37411</v>
      </c>
      <c r="CT638" s="112">
        <f t="shared" ca="1" si="916"/>
        <v>37437</v>
      </c>
      <c r="CU638" s="238">
        <f t="shared" ca="1" si="907"/>
        <v>5</v>
      </c>
      <c r="CV638" s="238">
        <f t="shared" ca="1" si="908"/>
        <v>24</v>
      </c>
      <c r="CY638">
        <f t="shared" si="917"/>
        <v>68</v>
      </c>
      <c r="DA638" s="112">
        <f t="shared" ca="1" si="918"/>
        <v>43191</v>
      </c>
      <c r="DC638">
        <f t="shared" si="919"/>
        <v>638</v>
      </c>
      <c r="DE638" t="str">
        <f t="shared" si="787"/>
        <v>cs638:dc790</v>
      </c>
      <c r="DF638">
        <f t="shared" ca="1" si="909"/>
        <v>769</v>
      </c>
      <c r="DG638" s="412">
        <f t="shared" ca="1" si="690"/>
        <v>0</v>
      </c>
      <c r="DH638" s="411">
        <f t="shared" ca="1" si="678"/>
        <v>43191</v>
      </c>
      <c r="DI638" s="411">
        <f t="shared" ca="1" si="679"/>
        <v>43343</v>
      </c>
      <c r="DJ638" s="410">
        <f t="shared" ca="1" si="680"/>
        <v>18</v>
      </c>
      <c r="DK638" s="410">
        <f t="shared" ca="1" si="681"/>
        <v>24</v>
      </c>
      <c r="DM638" s="411">
        <f t="shared" ca="1" si="691"/>
        <v>43191</v>
      </c>
      <c r="DN638" s="411">
        <f t="shared" ca="1" si="692"/>
        <v>43343</v>
      </c>
      <c r="DO638" s="410">
        <f t="shared" ca="1" si="693"/>
        <v>18</v>
      </c>
      <c r="DP638" s="410">
        <f t="shared" ca="1" si="694"/>
        <v>24</v>
      </c>
    </row>
    <row r="639" spans="27:120" x14ac:dyDescent="0.25">
      <c r="AA639" s="284" t="str">
        <f t="shared" ref="AA639:AF639" si="923">AA88</f>
        <v/>
      </c>
      <c r="AB639" s="284" t="e">
        <f t="shared" ref="AB639:AE639" ca="1" si="924">IF(OR(AB88&lt;=$AA639,AB88&gt;$AF639),100000,AB88)</f>
        <v>#N/A</v>
      </c>
      <c r="AC639" s="284" t="e">
        <f t="shared" ca="1" si="924"/>
        <v>#N/A</v>
      </c>
      <c r="AD639" s="284" t="e">
        <f t="shared" ca="1" si="924"/>
        <v>#N/A</v>
      </c>
      <c r="AE639" s="284" t="e">
        <f t="shared" ca="1" si="924"/>
        <v>#N/A</v>
      </c>
      <c r="AF639" s="284" t="str">
        <f t="shared" si="923"/>
        <v/>
      </c>
      <c r="AG639" s="238">
        <f t="shared" si="870"/>
        <v>0</v>
      </c>
      <c r="AH639" s="407">
        <f t="shared" si="871"/>
        <v>24</v>
      </c>
      <c r="AL639" s="112" t="str">
        <f t="shared" si="872"/>
        <v/>
      </c>
      <c r="AM639" s="112" t="e">
        <f t="shared" ca="1" si="873"/>
        <v>#N/A</v>
      </c>
      <c r="AN639" s="112" t="e">
        <f t="shared" ca="1" si="874"/>
        <v>#N/A</v>
      </c>
      <c r="AO639" s="112" t="e">
        <f t="shared" ca="1" si="875"/>
        <v>#N/A</v>
      </c>
      <c r="AP639" s="112" t="e">
        <f t="shared" ca="1" si="876"/>
        <v>#N/A</v>
      </c>
      <c r="AQ639" s="112" t="str">
        <f t="shared" si="877"/>
        <v/>
      </c>
      <c r="AT639" s="112" t="str">
        <f t="shared" si="878"/>
        <v/>
      </c>
      <c r="AU639" s="112" t="e">
        <f t="shared" ca="1" si="879"/>
        <v>#N/A</v>
      </c>
      <c r="AV639" s="112" t="e">
        <f t="shared" ca="1" si="880"/>
        <v>#N/A</v>
      </c>
      <c r="AW639" s="112" t="e">
        <f t="shared" ca="1" si="881"/>
        <v>#N/A</v>
      </c>
      <c r="AX639" s="112" t="e">
        <f t="shared" ca="1" si="882"/>
        <v>#N/A</v>
      </c>
      <c r="AY639" s="112" t="str">
        <f t="shared" si="883"/>
        <v/>
      </c>
      <c r="BA639" s="112" t="str">
        <f t="shared" si="884"/>
        <v/>
      </c>
      <c r="BB639" s="112" t="e">
        <f t="shared" ca="1" si="885"/>
        <v>#N/A</v>
      </c>
      <c r="BC639" s="112" t="e">
        <f t="shared" ca="1" si="886"/>
        <v>#N/A</v>
      </c>
      <c r="BD639" s="112" t="e">
        <f t="shared" ca="1" si="887"/>
        <v>#N/A</v>
      </c>
      <c r="BE639" s="112" t="e">
        <f t="shared" ca="1" si="888"/>
        <v>#N/A</v>
      </c>
      <c r="BF639" s="112" t="str">
        <f t="shared" si="889"/>
        <v/>
      </c>
      <c r="BI639" s="112" t="str">
        <f t="shared" si="890"/>
        <v/>
      </c>
      <c r="BJ639" s="112" t="e">
        <f t="shared" ca="1" si="891"/>
        <v>#N/A</v>
      </c>
      <c r="BK639" s="112" t="e">
        <f t="shared" ca="1" si="892"/>
        <v>#N/A</v>
      </c>
      <c r="BL639" s="112" t="e">
        <f t="shared" ca="1" si="893"/>
        <v>#N/A</v>
      </c>
      <c r="BM639" s="112" t="e">
        <f t="shared" ca="1" si="894"/>
        <v>#N/A</v>
      </c>
      <c r="BN639" s="112" t="str">
        <f t="shared" si="895"/>
        <v/>
      </c>
      <c r="BP639" s="238" t="e">
        <f t="shared" ca="1" si="594"/>
        <v>#N/A</v>
      </c>
      <c r="BQ639" s="238">
        <f t="shared" si="912"/>
        <v>584</v>
      </c>
      <c r="BR639" t="s">
        <v>447</v>
      </c>
      <c r="BS639" t="s">
        <v>448</v>
      </c>
      <c r="BT639" s="114">
        <f t="shared" ca="1" si="802"/>
        <v>0</v>
      </c>
      <c r="BU639" s="112"/>
      <c r="BV639">
        <f t="shared" ca="1" si="587"/>
        <v>0</v>
      </c>
      <c r="BW639" s="112">
        <f t="shared" ca="1" si="865"/>
        <v>37437</v>
      </c>
      <c r="BX639" s="112">
        <f t="shared" ref="BX639:BX640" ca="1" si="925">INDIRECT(CONCATENATE(BS639,BQ639))</f>
        <v>37437</v>
      </c>
      <c r="BY639">
        <f t="shared" ca="1" si="568"/>
        <v>5</v>
      </c>
      <c r="BZ639">
        <f t="shared" ca="1" si="569"/>
        <v>24</v>
      </c>
      <c r="CB639">
        <f t="shared" ca="1" si="898"/>
        <v>0</v>
      </c>
      <c r="CC639" s="112">
        <f t="shared" ca="1" si="899"/>
        <v>100000</v>
      </c>
      <c r="CD639" s="112">
        <f t="shared" ca="1" si="900"/>
        <v>37437</v>
      </c>
      <c r="CE639">
        <f t="shared" ca="1" si="901"/>
        <v>5</v>
      </c>
      <c r="CF639">
        <f t="shared" ca="1" si="902"/>
        <v>24</v>
      </c>
      <c r="CH639" s="112">
        <f t="shared" ca="1" si="644"/>
        <v>37437</v>
      </c>
      <c r="CI639">
        <f t="shared" ca="1" si="913"/>
        <v>0</v>
      </c>
      <c r="CJ639">
        <f t="shared" ref="CJ639" ca="1" si="926">IF(AND(CI639=0,CJ640=0,CC639&lt;100000),1,0)</f>
        <v>0</v>
      </c>
      <c r="CK639" s="112">
        <f t="shared" ca="1" si="651"/>
        <v>37437</v>
      </c>
      <c r="CM639" s="112"/>
      <c r="CN639" s="260">
        <f t="shared" ca="1" si="904"/>
        <v>100000</v>
      </c>
      <c r="CO639" s="112">
        <f t="shared" ca="1" si="915"/>
        <v>37437</v>
      </c>
      <c r="CP639" s="238">
        <f t="shared" ca="1" si="652"/>
        <v>5</v>
      </c>
      <c r="CQ639" s="328">
        <f t="shared" ca="1" si="653"/>
        <v>24</v>
      </c>
      <c r="CS639" s="112">
        <f t="shared" ca="1" si="867"/>
        <v>100000</v>
      </c>
      <c r="CT639" s="112">
        <f t="shared" ca="1" si="916"/>
        <v>37437</v>
      </c>
      <c r="CU639" s="238">
        <f t="shared" ca="1" si="907"/>
        <v>5</v>
      </c>
      <c r="CV639" s="238">
        <f t="shared" ca="1" si="908"/>
        <v>24</v>
      </c>
      <c r="CY639">
        <f t="shared" si="917"/>
        <v>69</v>
      </c>
      <c r="DA639" s="112">
        <f t="shared" ca="1" si="918"/>
        <v>43344</v>
      </c>
      <c r="DC639">
        <f t="shared" si="919"/>
        <v>639</v>
      </c>
      <c r="DE639" t="str">
        <f t="shared" si="787"/>
        <v>cs639:dc790</v>
      </c>
      <c r="DF639">
        <f t="shared" ca="1" si="909"/>
        <v>771</v>
      </c>
      <c r="DG639" s="412">
        <f t="shared" ca="1" si="690"/>
        <v>0</v>
      </c>
      <c r="DH639" s="411">
        <f t="shared" ca="1" si="678"/>
        <v>43344</v>
      </c>
      <c r="DI639" s="411">
        <f t="shared" ca="1" si="679"/>
        <v>43465</v>
      </c>
      <c r="DJ639" s="410">
        <f t="shared" ca="1" si="680"/>
        <v>18</v>
      </c>
      <c r="DK639" s="410">
        <f t="shared" ca="1" si="681"/>
        <v>24</v>
      </c>
      <c r="DM639" s="411">
        <f t="shared" ca="1" si="691"/>
        <v>43344</v>
      </c>
      <c r="DN639" s="411">
        <f t="shared" ca="1" si="692"/>
        <v>43465</v>
      </c>
      <c r="DO639" s="410">
        <f t="shared" ca="1" si="693"/>
        <v>18</v>
      </c>
      <c r="DP639" s="410">
        <f t="shared" ca="1" si="694"/>
        <v>24</v>
      </c>
    </row>
    <row r="640" spans="27:120" ht="15.75" thickBot="1" x14ac:dyDescent="0.3">
      <c r="AA640" s="284" t="str">
        <f t="shared" ref="AA640:AF640" si="927">AA89</f>
        <v/>
      </c>
      <c r="AB640" s="284" t="e">
        <f t="shared" ref="AB640:AE640" ca="1" si="928">IF(OR(AB89&lt;=$AA640,AB89&gt;$AF640),100000,AB89)</f>
        <v>#N/A</v>
      </c>
      <c r="AC640" s="284" t="e">
        <f t="shared" ca="1" si="928"/>
        <v>#N/A</v>
      </c>
      <c r="AD640" s="284" t="e">
        <f t="shared" ca="1" si="928"/>
        <v>#N/A</v>
      </c>
      <c r="AE640" s="284" t="e">
        <f t="shared" ca="1" si="928"/>
        <v>#N/A</v>
      </c>
      <c r="AF640" s="284" t="str">
        <f t="shared" si="927"/>
        <v/>
      </c>
      <c r="AG640" s="238">
        <f t="shared" si="870"/>
        <v>0</v>
      </c>
      <c r="AH640" s="407">
        <f t="shared" si="871"/>
        <v>24</v>
      </c>
      <c r="AL640" s="112" t="str">
        <f t="shared" si="872"/>
        <v/>
      </c>
      <c r="AM640" s="112" t="e">
        <f t="shared" ca="1" si="873"/>
        <v>#N/A</v>
      </c>
      <c r="AN640" s="112" t="e">
        <f t="shared" ca="1" si="874"/>
        <v>#N/A</v>
      </c>
      <c r="AO640" s="112" t="e">
        <f t="shared" ca="1" si="875"/>
        <v>#N/A</v>
      </c>
      <c r="AP640" s="112" t="e">
        <f t="shared" ca="1" si="876"/>
        <v>#N/A</v>
      </c>
      <c r="AQ640" s="112" t="str">
        <f t="shared" si="877"/>
        <v/>
      </c>
      <c r="AT640" s="112" t="str">
        <f t="shared" si="878"/>
        <v/>
      </c>
      <c r="AU640" s="112" t="e">
        <f t="shared" ca="1" si="879"/>
        <v>#N/A</v>
      </c>
      <c r="AV640" s="112" t="e">
        <f t="shared" ca="1" si="880"/>
        <v>#N/A</v>
      </c>
      <c r="AW640" s="112" t="e">
        <f t="shared" ca="1" si="881"/>
        <v>#N/A</v>
      </c>
      <c r="AX640" s="112" t="e">
        <f t="shared" ca="1" si="882"/>
        <v>#N/A</v>
      </c>
      <c r="AY640" s="112" t="str">
        <f t="shared" si="883"/>
        <v/>
      </c>
      <c r="BA640" s="112" t="str">
        <f t="shared" si="884"/>
        <v/>
      </c>
      <c r="BB640" s="112" t="e">
        <f t="shared" ca="1" si="885"/>
        <v>#N/A</v>
      </c>
      <c r="BC640" s="112" t="e">
        <f t="shared" ca="1" si="886"/>
        <v>#N/A</v>
      </c>
      <c r="BD640" s="112" t="e">
        <f t="shared" ca="1" si="887"/>
        <v>#N/A</v>
      </c>
      <c r="BE640" s="112" t="e">
        <f t="shared" ca="1" si="888"/>
        <v>#N/A</v>
      </c>
      <c r="BF640" s="112" t="str">
        <f t="shared" si="889"/>
        <v/>
      </c>
      <c r="BI640" s="112" t="str">
        <f t="shared" si="890"/>
        <v/>
      </c>
      <c r="BJ640" s="112" t="e">
        <f t="shared" ca="1" si="891"/>
        <v>#N/A</v>
      </c>
      <c r="BK640" s="112" t="e">
        <f t="shared" ca="1" si="892"/>
        <v>#N/A</v>
      </c>
      <c r="BL640" s="112" t="e">
        <f t="shared" ca="1" si="893"/>
        <v>#N/A</v>
      </c>
      <c r="BM640" s="112" t="e">
        <f t="shared" ca="1" si="894"/>
        <v>#N/A</v>
      </c>
      <c r="BN640" s="112" t="str">
        <f t="shared" si="895"/>
        <v/>
      </c>
      <c r="BP640" s="238" t="e">
        <f t="shared" ca="1" si="594"/>
        <v>#N/A</v>
      </c>
      <c r="BQ640" s="238">
        <f t="shared" si="912"/>
        <v>584</v>
      </c>
      <c r="BR640" t="s">
        <v>448</v>
      </c>
      <c r="BS640" t="s">
        <v>449</v>
      </c>
      <c r="BT640" s="114">
        <f t="shared" ca="1" si="802"/>
        <v>0</v>
      </c>
      <c r="BU640" s="112"/>
      <c r="BV640">
        <f t="shared" ca="1" si="587"/>
        <v>0</v>
      </c>
      <c r="BW640" s="112">
        <f t="shared" ca="1" si="865"/>
        <v>37437</v>
      </c>
      <c r="BX640" s="112">
        <f t="shared" ca="1" si="925"/>
        <v>37437</v>
      </c>
      <c r="BY640">
        <f t="shared" ca="1" si="568"/>
        <v>5</v>
      </c>
      <c r="BZ640">
        <f t="shared" ca="1" si="569"/>
        <v>24</v>
      </c>
      <c r="CB640">
        <f t="shared" ca="1" si="898"/>
        <v>0</v>
      </c>
      <c r="CC640" s="112">
        <f t="shared" ca="1" si="899"/>
        <v>100000</v>
      </c>
      <c r="CD640" s="112">
        <f t="shared" ca="1" si="900"/>
        <v>37437</v>
      </c>
      <c r="CE640">
        <f t="shared" ca="1" si="901"/>
        <v>5</v>
      </c>
      <c r="CF640">
        <f t="shared" ca="1" si="902"/>
        <v>24</v>
      </c>
      <c r="CH640" s="112">
        <f t="shared" ca="1" si="644"/>
        <v>37437</v>
      </c>
      <c r="CI640">
        <f t="shared" ca="1" si="913"/>
        <v>0</v>
      </c>
      <c r="CJ640">
        <f t="shared" ref="CJ640" ca="1" si="929">IF(AND(CI640=0,CC640&lt;100000),1,0)</f>
        <v>0</v>
      </c>
      <c r="CK640" s="112">
        <f t="shared" ca="1" si="651"/>
        <v>37437</v>
      </c>
      <c r="CM640" s="112"/>
      <c r="CN640" s="261">
        <f t="shared" ref="CN640" ca="1" si="930">IF(AND(CN636=100000,CN637=100000,CN638=100000,CN639=100000),INDIRECT(CONCATENATE("aa",BQ640)),CC640)</f>
        <v>100000</v>
      </c>
      <c r="CO640" s="324">
        <f t="shared" ca="1" si="915"/>
        <v>37437</v>
      </c>
      <c r="CP640" s="256">
        <f t="shared" ca="1" si="652"/>
        <v>5</v>
      </c>
      <c r="CQ640" s="329">
        <f t="shared" ca="1" si="653"/>
        <v>24</v>
      </c>
      <c r="CS640" s="112">
        <f t="shared" ca="1" si="867"/>
        <v>100000</v>
      </c>
      <c r="CT640" s="112">
        <f t="shared" ca="1" si="916"/>
        <v>37437</v>
      </c>
      <c r="CU640" s="238">
        <f t="shared" ca="1" si="907"/>
        <v>5</v>
      </c>
      <c r="CV640" s="238">
        <f t="shared" ca="1" si="908"/>
        <v>24</v>
      </c>
      <c r="CY640">
        <f t="shared" si="917"/>
        <v>70</v>
      </c>
      <c r="DA640" s="112">
        <f t="shared" ca="1" si="918"/>
        <v>43466</v>
      </c>
      <c r="DC640">
        <f t="shared" si="919"/>
        <v>640</v>
      </c>
      <c r="DD640">
        <f ca="1">VLOOKUP(DA641,CS640:DC790,11,TRUE)</f>
        <v>716</v>
      </c>
      <c r="DE640" t="str">
        <f>CONCATENATE("cs",DC640,":dc790")</f>
        <v>cs640:dc790</v>
      </c>
      <c r="DF640">
        <f ca="1">VLOOKUP(DA640,INDIRECT(DE640),11,FALSE)</f>
        <v>773</v>
      </c>
      <c r="DG640" s="412" t="e">
        <f ca="1">IF(DI641="",$CS$570,0)</f>
        <v>#REF!</v>
      </c>
      <c r="DH640" s="411">
        <f t="shared" ca="1" si="678"/>
        <v>43466</v>
      </c>
      <c r="DI640" s="411">
        <f t="shared" ca="1" si="679"/>
        <v>43708</v>
      </c>
      <c r="DJ640" s="410">
        <f t="shared" ca="1" si="680"/>
        <v>18</v>
      </c>
      <c r="DK640" s="410">
        <f t="shared" ca="1" si="681"/>
        <v>24</v>
      </c>
      <c r="DM640" s="411">
        <f t="shared" ca="1" si="691"/>
        <v>43466</v>
      </c>
      <c r="DN640" s="411" t="e">
        <f t="shared" ca="1" si="692"/>
        <v>#REF!</v>
      </c>
      <c r="DO640" s="410">
        <f t="shared" ca="1" si="693"/>
        <v>18</v>
      </c>
      <c r="DP640" s="410">
        <f t="shared" ca="1" si="694"/>
        <v>24</v>
      </c>
    </row>
    <row r="641" spans="27:120" x14ac:dyDescent="0.25">
      <c r="AA641" s="284" t="str">
        <f t="shared" ref="AA641:AF641" si="931">AA90</f>
        <v/>
      </c>
      <c r="AB641" s="284" t="e">
        <f t="shared" ref="AB641:AE641" ca="1" si="932">IF(OR(AB90&lt;=$AA641,AB90&gt;$AF641),100000,AB90)</f>
        <v>#N/A</v>
      </c>
      <c r="AC641" s="284" t="e">
        <f t="shared" ca="1" si="932"/>
        <v>#N/A</v>
      </c>
      <c r="AD641" s="284" t="e">
        <f t="shared" ca="1" si="932"/>
        <v>#N/A</v>
      </c>
      <c r="AE641" s="284" t="e">
        <f t="shared" ca="1" si="932"/>
        <v>#N/A</v>
      </c>
      <c r="AF641" s="284" t="str">
        <f t="shared" si="931"/>
        <v/>
      </c>
      <c r="AG641" s="238">
        <f t="shared" si="870"/>
        <v>0</v>
      </c>
      <c r="AH641" s="407">
        <f t="shared" si="871"/>
        <v>24</v>
      </c>
      <c r="AL641" s="112" t="str">
        <f t="shared" si="872"/>
        <v/>
      </c>
      <c r="AM641" s="112" t="e">
        <f t="shared" ca="1" si="873"/>
        <v>#N/A</v>
      </c>
      <c r="AN641" s="112" t="e">
        <f t="shared" ca="1" si="874"/>
        <v>#N/A</v>
      </c>
      <c r="AO641" s="112" t="e">
        <f t="shared" ca="1" si="875"/>
        <v>#N/A</v>
      </c>
      <c r="AP641" s="112" t="e">
        <f t="shared" ca="1" si="876"/>
        <v>#N/A</v>
      </c>
      <c r="AQ641" s="112" t="str">
        <f t="shared" si="877"/>
        <v/>
      </c>
      <c r="AT641" s="112" t="str">
        <f t="shared" si="878"/>
        <v/>
      </c>
      <c r="AU641" s="112" t="e">
        <f t="shared" ca="1" si="879"/>
        <v>#N/A</v>
      </c>
      <c r="AV641" s="112" t="e">
        <f t="shared" ca="1" si="880"/>
        <v>#N/A</v>
      </c>
      <c r="AW641" s="112" t="e">
        <f t="shared" ca="1" si="881"/>
        <v>#N/A</v>
      </c>
      <c r="AX641" s="112" t="e">
        <f t="shared" ca="1" si="882"/>
        <v>#N/A</v>
      </c>
      <c r="AY641" s="112" t="str">
        <f t="shared" si="883"/>
        <v/>
      </c>
      <c r="BA641" s="112" t="str">
        <f t="shared" si="884"/>
        <v/>
      </c>
      <c r="BB641" s="112" t="e">
        <f t="shared" ca="1" si="885"/>
        <v>#N/A</v>
      </c>
      <c r="BC641" s="112" t="e">
        <f t="shared" ca="1" si="886"/>
        <v>#N/A</v>
      </c>
      <c r="BD641" s="112" t="e">
        <f t="shared" ca="1" si="887"/>
        <v>#N/A</v>
      </c>
      <c r="BE641" s="112" t="e">
        <f t="shared" ca="1" si="888"/>
        <v>#N/A</v>
      </c>
      <c r="BF641" s="112" t="str">
        <f t="shared" si="889"/>
        <v/>
      </c>
      <c r="BI641" s="112" t="str">
        <f t="shared" si="890"/>
        <v/>
      </c>
      <c r="BJ641" s="112" t="e">
        <f t="shared" ca="1" si="891"/>
        <v>#N/A</v>
      </c>
      <c r="BK641" s="112" t="e">
        <f t="shared" ca="1" si="892"/>
        <v>#N/A</v>
      </c>
      <c r="BL641" s="112" t="e">
        <f t="shared" ca="1" si="893"/>
        <v>#N/A</v>
      </c>
      <c r="BM641" s="112" t="e">
        <f t="shared" ca="1" si="894"/>
        <v>#N/A</v>
      </c>
      <c r="BN641" s="112" t="str">
        <f t="shared" si="895"/>
        <v/>
      </c>
      <c r="BP641" s="238" t="e">
        <f t="shared" ca="1" si="594"/>
        <v>#N/A</v>
      </c>
      <c r="BQ641" s="238">
        <f t="shared" ref="BQ641" si="933">BQ640+1</f>
        <v>585</v>
      </c>
      <c r="BR641" s="112" t="s">
        <v>444</v>
      </c>
      <c r="BS641" s="112" t="s">
        <v>445</v>
      </c>
      <c r="BT641" s="114">
        <f t="shared" ca="1" si="802"/>
        <v>1</v>
      </c>
      <c r="BU641" s="112"/>
      <c r="BV641">
        <f t="shared" ca="1" si="587"/>
        <v>1</v>
      </c>
      <c r="BW641" s="112">
        <f t="shared" ca="1" si="865"/>
        <v>37537</v>
      </c>
      <c r="BX641" s="112">
        <f t="shared" ref="BX641:BX643" ca="1" si="934">INDIRECT(CONCATENATE(BS641,BQ641))-1</f>
        <v>37550</v>
      </c>
      <c r="BY641">
        <f t="shared" ref="BY641:BY704" ca="1" si="935">INDIRECT(CONCATENATE("ag",BQ641))</f>
        <v>6</v>
      </c>
      <c r="BZ641">
        <f t="shared" ref="BZ641:BZ704" ca="1" si="936">INDIRECT(CONCATENATE("ah",BQ641))</f>
        <v>24</v>
      </c>
      <c r="CB641">
        <f t="shared" ca="1" si="898"/>
        <v>0</v>
      </c>
      <c r="CC641" s="112">
        <f t="shared" ca="1" si="899"/>
        <v>37537</v>
      </c>
      <c r="CD641" s="112">
        <f t="shared" ca="1" si="900"/>
        <v>37550</v>
      </c>
      <c r="CE641">
        <f t="shared" ca="1" si="901"/>
        <v>6</v>
      </c>
      <c r="CF641">
        <f t="shared" ca="1" si="902"/>
        <v>24</v>
      </c>
      <c r="CH641" s="112">
        <f t="shared" ca="1" si="644"/>
        <v>37551</v>
      </c>
      <c r="CI641">
        <f t="shared" ref="CI641" ca="1" si="937">CB641+CB642+CB643+CB644+CB645</f>
        <v>0</v>
      </c>
      <c r="CJ641">
        <v>0</v>
      </c>
      <c r="CK641" s="112">
        <f t="shared" ca="1" si="651"/>
        <v>37551</v>
      </c>
      <c r="CM641" s="112"/>
      <c r="CN641" s="408">
        <f t="shared" ca="1" si="904"/>
        <v>37537</v>
      </c>
      <c r="CO641" s="326">
        <f t="shared" ref="CO641" ca="1" si="938">CD641</f>
        <v>37550</v>
      </c>
      <c r="CP641" s="333">
        <f t="shared" ca="1" si="652"/>
        <v>6</v>
      </c>
      <c r="CQ641" s="327">
        <f t="shared" ca="1" si="653"/>
        <v>24</v>
      </c>
      <c r="CS641" s="112">
        <f t="shared" ca="1" si="867"/>
        <v>37537</v>
      </c>
      <c r="CT641" s="112">
        <f t="shared" ref="CT641" ca="1" si="939">IF(AND( CN642=100000,CN643=100000,CN644=100000,CN645=100000),CO645,                             CO641)</f>
        <v>37551</v>
      </c>
      <c r="CU641" s="238">
        <f t="shared" ca="1" si="907"/>
        <v>6</v>
      </c>
      <c r="CV641" s="238">
        <f t="shared" ca="1" si="908"/>
        <v>24</v>
      </c>
      <c r="CY641">
        <f t="shared" si="917"/>
        <v>71</v>
      </c>
      <c r="DA641" s="112">
        <f t="shared" ca="1" si="918"/>
        <v>43709</v>
      </c>
      <c r="DC641">
        <f t="shared" si="919"/>
        <v>641</v>
      </c>
      <c r="DE641" t="str">
        <f t="shared" ref="DE641:DE704" si="940">CONCATENATE("cs",DC641,":dc790")</f>
        <v>cs641:dc790</v>
      </c>
      <c r="DF641">
        <f t="shared" ca="1" si="909"/>
        <v>0</v>
      </c>
      <c r="DG641" s="412" t="e">
        <f t="shared" ca="1" si="690"/>
        <v>#REF!</v>
      </c>
      <c r="DH641" s="411" t="e">
        <f t="shared" ca="1" si="678"/>
        <v>#REF!</v>
      </c>
      <c r="DI641" s="411" t="e">
        <f t="shared" ca="1" si="679"/>
        <v>#REF!</v>
      </c>
      <c r="DJ641" s="410" t="e">
        <f t="shared" ca="1" si="680"/>
        <v>#REF!</v>
      </c>
      <c r="DK641" s="410" t="e">
        <f t="shared" ca="1" si="681"/>
        <v>#REF!</v>
      </c>
      <c r="DM641" s="411" t="e">
        <f t="shared" ca="1" si="691"/>
        <v>#REF!</v>
      </c>
      <c r="DN641" s="411" t="e">
        <f t="shared" ca="1" si="692"/>
        <v>#REF!</v>
      </c>
      <c r="DO641" s="410" t="e">
        <f t="shared" ca="1" si="693"/>
        <v>#REF!</v>
      </c>
      <c r="DP641" s="410" t="e">
        <f t="shared" ca="1" si="694"/>
        <v>#REF!</v>
      </c>
    </row>
    <row r="642" spans="27:120" x14ac:dyDescent="0.25">
      <c r="AA642" s="284" t="str">
        <f t="shared" ref="AA642:AF642" si="941">AA91</f>
        <v/>
      </c>
      <c r="AB642" s="284" t="e">
        <f t="shared" ref="AB642:AE642" ca="1" si="942">IF(OR(AB91&lt;=$AA642,AB91&gt;$AF642),100000,AB91)</f>
        <v>#N/A</v>
      </c>
      <c r="AC642" s="284" t="e">
        <f t="shared" ca="1" si="942"/>
        <v>#N/A</v>
      </c>
      <c r="AD642" s="284" t="e">
        <f t="shared" ca="1" si="942"/>
        <v>#N/A</v>
      </c>
      <c r="AE642" s="284" t="e">
        <f t="shared" ca="1" si="942"/>
        <v>#N/A</v>
      </c>
      <c r="AF642" s="284" t="str">
        <f t="shared" si="941"/>
        <v/>
      </c>
      <c r="AG642" s="238">
        <f t="shared" si="870"/>
        <v>0</v>
      </c>
      <c r="AH642" s="407">
        <f t="shared" si="871"/>
        <v>24</v>
      </c>
      <c r="AL642" s="112" t="str">
        <f t="shared" si="872"/>
        <v/>
      </c>
      <c r="AM642" s="112" t="e">
        <f t="shared" ca="1" si="873"/>
        <v>#N/A</v>
      </c>
      <c r="AN642" s="112" t="e">
        <f t="shared" ca="1" si="874"/>
        <v>#N/A</v>
      </c>
      <c r="AO642" s="112" t="e">
        <f t="shared" ca="1" si="875"/>
        <v>#N/A</v>
      </c>
      <c r="AP642" s="112" t="e">
        <f t="shared" ca="1" si="876"/>
        <v>#N/A</v>
      </c>
      <c r="AQ642" s="112" t="str">
        <f t="shared" si="877"/>
        <v/>
      </c>
      <c r="AT642" s="112" t="str">
        <f t="shared" si="878"/>
        <v/>
      </c>
      <c r="AU642" s="112" t="e">
        <f t="shared" ca="1" si="879"/>
        <v>#N/A</v>
      </c>
      <c r="AV642" s="112" t="e">
        <f t="shared" ca="1" si="880"/>
        <v>#N/A</v>
      </c>
      <c r="AW642" s="112" t="e">
        <f t="shared" ca="1" si="881"/>
        <v>#N/A</v>
      </c>
      <c r="AX642" s="112" t="e">
        <f t="shared" ca="1" si="882"/>
        <v>#N/A</v>
      </c>
      <c r="AY642" s="112" t="str">
        <f t="shared" si="883"/>
        <v/>
      </c>
      <c r="BA642" s="112" t="str">
        <f t="shared" si="884"/>
        <v/>
      </c>
      <c r="BB642" s="112" t="e">
        <f t="shared" ca="1" si="885"/>
        <v>#N/A</v>
      </c>
      <c r="BC642" s="112" t="e">
        <f t="shared" ca="1" si="886"/>
        <v>#N/A</v>
      </c>
      <c r="BD642" s="112" t="e">
        <f t="shared" ca="1" si="887"/>
        <v>#N/A</v>
      </c>
      <c r="BE642" s="112" t="e">
        <f t="shared" ca="1" si="888"/>
        <v>#N/A</v>
      </c>
      <c r="BF642" s="112" t="str">
        <f t="shared" si="889"/>
        <v/>
      </c>
      <c r="BI642" s="112" t="str">
        <f t="shared" si="890"/>
        <v/>
      </c>
      <c r="BJ642" s="112" t="e">
        <f t="shared" ca="1" si="891"/>
        <v>#N/A</v>
      </c>
      <c r="BK642" s="112" t="e">
        <f t="shared" ca="1" si="892"/>
        <v>#N/A</v>
      </c>
      <c r="BL642" s="112" t="e">
        <f t="shared" ca="1" si="893"/>
        <v>#N/A</v>
      </c>
      <c r="BM642" s="112" t="e">
        <f t="shared" ca="1" si="894"/>
        <v>#N/A</v>
      </c>
      <c r="BN642" s="112" t="str">
        <f t="shared" si="895"/>
        <v/>
      </c>
      <c r="BP642" s="238" t="e">
        <f t="shared" ca="1" si="594"/>
        <v>#N/A</v>
      </c>
      <c r="BQ642" s="238">
        <f t="shared" ref="BQ642:BQ645" si="943">BQ641</f>
        <v>585</v>
      </c>
      <c r="BR642" t="s">
        <v>445</v>
      </c>
      <c r="BS642" t="s">
        <v>446</v>
      </c>
      <c r="BT642" s="114">
        <f t="shared" ca="1" si="802"/>
        <v>1</v>
      </c>
      <c r="BU642" s="112"/>
      <c r="BV642">
        <f t="shared" ca="1" si="587"/>
        <v>0</v>
      </c>
      <c r="BW642" s="112">
        <f t="shared" ca="1" si="865"/>
        <v>37551</v>
      </c>
      <c r="BX642" s="112">
        <f t="shared" ca="1" si="934"/>
        <v>37550</v>
      </c>
      <c r="BY642">
        <f t="shared" ca="1" si="935"/>
        <v>6</v>
      </c>
      <c r="BZ642">
        <f t="shared" ca="1" si="936"/>
        <v>24</v>
      </c>
      <c r="CB642">
        <f t="shared" ca="1" si="898"/>
        <v>0</v>
      </c>
      <c r="CC642" s="112">
        <f t="shared" ca="1" si="899"/>
        <v>100000</v>
      </c>
      <c r="CD642" s="112">
        <f t="shared" ca="1" si="900"/>
        <v>37550</v>
      </c>
      <c r="CE642">
        <f t="shared" ca="1" si="901"/>
        <v>6</v>
      </c>
      <c r="CF642">
        <f t="shared" ca="1" si="902"/>
        <v>24</v>
      </c>
      <c r="CH642" s="112">
        <f t="shared" ca="1" si="644"/>
        <v>37551</v>
      </c>
      <c r="CI642">
        <f t="shared" ref="CI642:CI645" ca="1" si="944">CI641</f>
        <v>0</v>
      </c>
      <c r="CJ642">
        <f t="shared" ref="CJ642" ca="1" si="945">IF(AND(CI642=0,CJ643=0,CJ644=0,CJ645=0,CC642&lt;100000),1,0)</f>
        <v>0</v>
      </c>
      <c r="CK642" s="112">
        <f t="shared" ca="1" si="651"/>
        <v>37551</v>
      </c>
      <c r="CM642" s="112"/>
      <c r="CN642" s="260">
        <f t="shared" ca="1" si="904"/>
        <v>100000</v>
      </c>
      <c r="CO642" s="112">
        <f t="shared" ref="CO642:CO645" ca="1" si="946">IF(CJ642=1,CH642,CD642)</f>
        <v>37550</v>
      </c>
      <c r="CP642" s="238">
        <f t="shared" ca="1" si="652"/>
        <v>6</v>
      </c>
      <c r="CQ642" s="328">
        <f t="shared" ca="1" si="653"/>
        <v>24</v>
      </c>
      <c r="CS642" s="112">
        <f t="shared" ca="1" si="867"/>
        <v>100000</v>
      </c>
      <c r="CT642" s="112">
        <f t="shared" ca="1" si="916"/>
        <v>37550</v>
      </c>
      <c r="CU642" s="238">
        <f t="shared" ca="1" si="907"/>
        <v>6</v>
      </c>
      <c r="CV642" s="238">
        <f t="shared" ca="1" si="908"/>
        <v>24</v>
      </c>
      <c r="CY642">
        <f t="shared" si="917"/>
        <v>72</v>
      </c>
      <c r="DA642" s="112">
        <f t="shared" ca="1" si="918"/>
        <v>43831</v>
      </c>
      <c r="DC642">
        <f t="shared" si="919"/>
        <v>642</v>
      </c>
      <c r="DE642" t="str">
        <f t="shared" si="940"/>
        <v>cs642:dc790</v>
      </c>
      <c r="DF642">
        <f t="shared" ca="1" si="909"/>
        <v>0</v>
      </c>
      <c r="DG642" s="412" t="e">
        <f t="shared" ca="1" si="690"/>
        <v>#REF!</v>
      </c>
      <c r="DH642" s="411" t="e">
        <f t="shared" ca="1" si="678"/>
        <v>#REF!</v>
      </c>
      <c r="DI642" s="411" t="e">
        <f t="shared" ca="1" si="679"/>
        <v>#REF!</v>
      </c>
      <c r="DJ642" s="410" t="e">
        <f t="shared" ca="1" si="680"/>
        <v>#REF!</v>
      </c>
      <c r="DK642" s="410" t="e">
        <f t="shared" ca="1" si="681"/>
        <v>#REF!</v>
      </c>
      <c r="DM642" s="411" t="e">
        <f t="shared" ca="1" si="691"/>
        <v>#REF!</v>
      </c>
      <c r="DN642" s="411" t="e">
        <f t="shared" ca="1" si="692"/>
        <v>#REF!</v>
      </c>
      <c r="DO642" s="410" t="e">
        <f t="shared" ca="1" si="693"/>
        <v>#REF!</v>
      </c>
      <c r="DP642" s="410" t="e">
        <f t="shared" ca="1" si="694"/>
        <v>#REF!</v>
      </c>
    </row>
    <row r="643" spans="27:120" x14ac:dyDescent="0.25">
      <c r="AA643" s="284" t="str">
        <f t="shared" ref="AA643:AF643" si="947">AA92</f>
        <v/>
      </c>
      <c r="AB643" s="284" t="e">
        <f t="shared" ref="AB643:AE643" ca="1" si="948">IF(OR(AB92&lt;=$AA643,AB92&gt;$AF643),100000,AB92)</f>
        <v>#N/A</v>
      </c>
      <c r="AC643" s="284" t="e">
        <f t="shared" ca="1" si="948"/>
        <v>#N/A</v>
      </c>
      <c r="AD643" s="284" t="e">
        <f t="shared" ca="1" si="948"/>
        <v>#N/A</v>
      </c>
      <c r="AE643" s="284" t="e">
        <f t="shared" ca="1" si="948"/>
        <v>#N/A</v>
      </c>
      <c r="AF643" s="284" t="str">
        <f t="shared" si="947"/>
        <v/>
      </c>
      <c r="AG643" s="238">
        <f t="shared" si="870"/>
        <v>0</v>
      </c>
      <c r="AH643" s="407">
        <f t="shared" si="871"/>
        <v>24</v>
      </c>
      <c r="AL643" s="112" t="str">
        <f t="shared" si="872"/>
        <v/>
      </c>
      <c r="AM643" s="112" t="e">
        <f t="shared" ca="1" si="873"/>
        <v>#N/A</v>
      </c>
      <c r="AN643" s="112" t="e">
        <f t="shared" ca="1" si="874"/>
        <v>#N/A</v>
      </c>
      <c r="AO643" s="112" t="e">
        <f t="shared" ca="1" si="875"/>
        <v>#N/A</v>
      </c>
      <c r="AP643" s="112" t="e">
        <f t="shared" ca="1" si="876"/>
        <v>#N/A</v>
      </c>
      <c r="AQ643" s="112" t="str">
        <f t="shared" si="877"/>
        <v/>
      </c>
      <c r="AT643" s="112" t="str">
        <f t="shared" si="878"/>
        <v/>
      </c>
      <c r="AU643" s="112" t="e">
        <f t="shared" ca="1" si="879"/>
        <v>#N/A</v>
      </c>
      <c r="AV643" s="112" t="e">
        <f t="shared" ca="1" si="880"/>
        <v>#N/A</v>
      </c>
      <c r="AW643" s="112" t="e">
        <f t="shared" ca="1" si="881"/>
        <v>#N/A</v>
      </c>
      <c r="AX643" s="112" t="e">
        <f t="shared" ca="1" si="882"/>
        <v>#N/A</v>
      </c>
      <c r="AY643" s="112" t="str">
        <f t="shared" si="883"/>
        <v/>
      </c>
      <c r="BA643" s="112" t="str">
        <f t="shared" si="884"/>
        <v/>
      </c>
      <c r="BB643" s="112" t="e">
        <f t="shared" ca="1" si="885"/>
        <v>#N/A</v>
      </c>
      <c r="BC643" s="112" t="e">
        <f t="shared" ca="1" si="886"/>
        <v>#N/A</v>
      </c>
      <c r="BD643" s="112" t="e">
        <f t="shared" ca="1" si="887"/>
        <v>#N/A</v>
      </c>
      <c r="BE643" s="112" t="e">
        <f t="shared" ca="1" si="888"/>
        <v>#N/A</v>
      </c>
      <c r="BF643" s="112" t="str">
        <f t="shared" si="889"/>
        <v/>
      </c>
      <c r="BI643" s="112" t="str">
        <f t="shared" si="890"/>
        <v/>
      </c>
      <c r="BJ643" s="112" t="e">
        <f t="shared" ca="1" si="891"/>
        <v>#N/A</v>
      </c>
      <c r="BK643" s="112" t="e">
        <f t="shared" ca="1" si="892"/>
        <v>#N/A</v>
      </c>
      <c r="BL643" s="112" t="e">
        <f t="shared" ca="1" si="893"/>
        <v>#N/A</v>
      </c>
      <c r="BM643" s="112" t="e">
        <f t="shared" ca="1" si="894"/>
        <v>#N/A</v>
      </c>
      <c r="BN643" s="112" t="str">
        <f t="shared" si="895"/>
        <v/>
      </c>
      <c r="BP643" s="238" t="e">
        <f t="shared" ca="1" si="594"/>
        <v>#N/A</v>
      </c>
      <c r="BQ643" s="238">
        <f t="shared" si="943"/>
        <v>585</v>
      </c>
      <c r="BR643" t="s">
        <v>446</v>
      </c>
      <c r="BS643" t="s">
        <v>447</v>
      </c>
      <c r="BT643" s="114">
        <f t="shared" ca="1" si="802"/>
        <v>1</v>
      </c>
      <c r="BU643" s="112"/>
      <c r="BV643">
        <f t="shared" ca="1" si="587"/>
        <v>0</v>
      </c>
      <c r="BW643" s="112">
        <f t="shared" ca="1" si="865"/>
        <v>37551</v>
      </c>
      <c r="BX643" s="112">
        <f t="shared" ca="1" si="934"/>
        <v>37550</v>
      </c>
      <c r="BY643">
        <f t="shared" ca="1" si="935"/>
        <v>6</v>
      </c>
      <c r="BZ643">
        <f t="shared" ca="1" si="936"/>
        <v>24</v>
      </c>
      <c r="CB643">
        <f t="shared" ca="1" si="898"/>
        <v>0</v>
      </c>
      <c r="CC643" s="112">
        <f t="shared" ca="1" si="899"/>
        <v>100000</v>
      </c>
      <c r="CD643" s="112">
        <f t="shared" ca="1" si="900"/>
        <v>37550</v>
      </c>
      <c r="CE643">
        <f t="shared" ca="1" si="901"/>
        <v>6</v>
      </c>
      <c r="CF643">
        <f t="shared" ca="1" si="902"/>
        <v>24</v>
      </c>
      <c r="CH643" s="112">
        <f t="shared" ca="1" si="644"/>
        <v>37551</v>
      </c>
      <c r="CI643">
        <f t="shared" ca="1" si="944"/>
        <v>0</v>
      </c>
      <c r="CJ643">
        <f t="shared" ref="CJ643" ca="1" si="949">IF(AND(CI643=0,CJ644=0,CJ645=0,CC643&lt;100000),1,0)</f>
        <v>0</v>
      </c>
      <c r="CK643" s="112">
        <f t="shared" ca="1" si="651"/>
        <v>37551</v>
      </c>
      <c r="CM643" s="112"/>
      <c r="CN643" s="260">
        <f t="shared" ca="1" si="904"/>
        <v>100000</v>
      </c>
      <c r="CO643" s="112">
        <f t="shared" ca="1" si="946"/>
        <v>37550</v>
      </c>
      <c r="CP643" s="238">
        <f t="shared" ca="1" si="652"/>
        <v>6</v>
      </c>
      <c r="CQ643" s="328">
        <f t="shared" ca="1" si="653"/>
        <v>24</v>
      </c>
      <c r="CS643" s="112">
        <f t="shared" ca="1" si="867"/>
        <v>100000</v>
      </c>
      <c r="CT643" s="112">
        <f t="shared" ca="1" si="916"/>
        <v>37550</v>
      </c>
      <c r="CU643" s="238">
        <f t="shared" ca="1" si="907"/>
        <v>6</v>
      </c>
      <c r="CV643" s="238">
        <f t="shared" ca="1" si="908"/>
        <v>24</v>
      </c>
      <c r="CY643">
        <f t="shared" si="917"/>
        <v>73</v>
      </c>
      <c r="DA643" s="112">
        <f t="shared" ca="1" si="918"/>
        <v>44075</v>
      </c>
      <c r="DC643">
        <f t="shared" si="919"/>
        <v>643</v>
      </c>
      <c r="DE643" t="str">
        <f t="shared" si="940"/>
        <v>cs643:dc790</v>
      </c>
      <c r="DF643">
        <f t="shared" ca="1" si="909"/>
        <v>0</v>
      </c>
      <c r="DG643" s="412" t="e">
        <f t="shared" ca="1" si="690"/>
        <v>#REF!</v>
      </c>
      <c r="DH643" s="411" t="e">
        <f t="shared" ca="1" si="678"/>
        <v>#REF!</v>
      </c>
      <c r="DI643" s="411" t="e">
        <f t="shared" ca="1" si="679"/>
        <v>#REF!</v>
      </c>
      <c r="DJ643" s="410" t="e">
        <f t="shared" ca="1" si="680"/>
        <v>#REF!</v>
      </c>
      <c r="DK643" s="410" t="e">
        <f t="shared" ca="1" si="681"/>
        <v>#REF!</v>
      </c>
      <c r="DM643" s="411" t="e">
        <f t="shared" ca="1" si="691"/>
        <v>#REF!</v>
      </c>
      <c r="DN643" s="411" t="e">
        <f t="shared" ca="1" si="692"/>
        <v>#REF!</v>
      </c>
      <c r="DO643" s="410" t="e">
        <f t="shared" ca="1" si="693"/>
        <v>#REF!</v>
      </c>
      <c r="DP643" s="410" t="e">
        <f t="shared" ca="1" si="694"/>
        <v>#REF!</v>
      </c>
    </row>
    <row r="644" spans="27:120" x14ac:dyDescent="0.25">
      <c r="AA644" s="284" t="str">
        <f t="shared" ref="AA644:AF644" si="950">AA93</f>
        <v/>
      </c>
      <c r="AB644" s="284" t="e">
        <f t="shared" ref="AB644:AE644" ca="1" si="951">IF(OR(AB93&lt;=$AA644,AB93&gt;$AF644),100000,AB93)</f>
        <v>#N/A</v>
      </c>
      <c r="AC644" s="284" t="e">
        <f t="shared" ca="1" si="951"/>
        <v>#N/A</v>
      </c>
      <c r="AD644" s="284" t="e">
        <f t="shared" ca="1" si="951"/>
        <v>#N/A</v>
      </c>
      <c r="AE644" s="284" t="e">
        <f t="shared" ca="1" si="951"/>
        <v>#N/A</v>
      </c>
      <c r="AF644" s="284" t="str">
        <f t="shared" si="950"/>
        <v/>
      </c>
      <c r="AG644" s="238">
        <f t="shared" si="870"/>
        <v>0</v>
      </c>
      <c r="AH644" s="407">
        <f t="shared" si="871"/>
        <v>24</v>
      </c>
      <c r="AL644" s="112" t="str">
        <f t="shared" si="872"/>
        <v/>
      </c>
      <c r="AM644" s="112" t="e">
        <f t="shared" ca="1" si="873"/>
        <v>#N/A</v>
      </c>
      <c r="AN644" s="112" t="e">
        <f t="shared" ca="1" si="874"/>
        <v>#N/A</v>
      </c>
      <c r="AO644" s="112" t="e">
        <f t="shared" ca="1" si="875"/>
        <v>#N/A</v>
      </c>
      <c r="AP644" s="112" t="e">
        <f t="shared" ca="1" si="876"/>
        <v>#N/A</v>
      </c>
      <c r="AQ644" s="112" t="str">
        <f t="shared" si="877"/>
        <v/>
      </c>
      <c r="AT644" s="112" t="str">
        <f t="shared" si="878"/>
        <v/>
      </c>
      <c r="AU644" s="112" t="e">
        <f t="shared" ca="1" si="879"/>
        <v>#N/A</v>
      </c>
      <c r="AV644" s="112" t="e">
        <f t="shared" ca="1" si="880"/>
        <v>#N/A</v>
      </c>
      <c r="AW644" s="112" t="e">
        <f t="shared" ca="1" si="881"/>
        <v>#N/A</v>
      </c>
      <c r="AX644" s="112" t="e">
        <f t="shared" ca="1" si="882"/>
        <v>#N/A</v>
      </c>
      <c r="AY644" s="112" t="str">
        <f t="shared" si="883"/>
        <v/>
      </c>
      <c r="BA644" s="112" t="str">
        <f t="shared" si="884"/>
        <v/>
      </c>
      <c r="BB644" s="112" t="e">
        <f t="shared" ca="1" si="885"/>
        <v>#N/A</v>
      </c>
      <c r="BC644" s="112" t="e">
        <f t="shared" ca="1" si="886"/>
        <v>#N/A</v>
      </c>
      <c r="BD644" s="112" t="e">
        <f t="shared" ca="1" si="887"/>
        <v>#N/A</v>
      </c>
      <c r="BE644" s="112" t="e">
        <f t="shared" ca="1" si="888"/>
        <v>#N/A</v>
      </c>
      <c r="BF644" s="112" t="str">
        <f t="shared" si="889"/>
        <v/>
      </c>
      <c r="BI644" s="112" t="str">
        <f t="shared" si="890"/>
        <v/>
      </c>
      <c r="BJ644" s="112" t="e">
        <f t="shared" ca="1" si="891"/>
        <v>#N/A</v>
      </c>
      <c r="BK644" s="112" t="e">
        <f t="shared" ca="1" si="892"/>
        <v>#N/A</v>
      </c>
      <c r="BL644" s="112" t="e">
        <f t="shared" ca="1" si="893"/>
        <v>#N/A</v>
      </c>
      <c r="BM644" s="112" t="e">
        <f t="shared" ca="1" si="894"/>
        <v>#N/A</v>
      </c>
      <c r="BN644" s="112" t="str">
        <f t="shared" si="895"/>
        <v/>
      </c>
      <c r="BP644" s="238" t="e">
        <f t="shared" ca="1" si="594"/>
        <v>#N/A</v>
      </c>
      <c r="BQ644" s="238">
        <f t="shared" si="943"/>
        <v>585</v>
      </c>
      <c r="BR644" t="s">
        <v>447</v>
      </c>
      <c r="BS644" t="s">
        <v>448</v>
      </c>
      <c r="BT644" s="114">
        <f t="shared" ca="1" si="802"/>
        <v>1</v>
      </c>
      <c r="BU644" s="112"/>
      <c r="BV644">
        <f t="shared" ca="1" si="587"/>
        <v>0</v>
      </c>
      <c r="BW644" s="112">
        <f t="shared" ca="1" si="865"/>
        <v>37551</v>
      </c>
      <c r="BX644" s="112">
        <f t="shared" ref="BX644:BX645" ca="1" si="952">INDIRECT(CONCATENATE(BS644,BQ644))</f>
        <v>37551</v>
      </c>
      <c r="BY644">
        <f t="shared" ca="1" si="935"/>
        <v>6</v>
      </c>
      <c r="BZ644">
        <f t="shared" ca="1" si="936"/>
        <v>24</v>
      </c>
      <c r="CB644">
        <f t="shared" ca="1" si="898"/>
        <v>0</v>
      </c>
      <c r="CC644" s="112">
        <f t="shared" ca="1" si="899"/>
        <v>100000</v>
      </c>
      <c r="CD644" s="112">
        <f t="shared" ca="1" si="900"/>
        <v>37551</v>
      </c>
      <c r="CE644">
        <f t="shared" ca="1" si="901"/>
        <v>6</v>
      </c>
      <c r="CF644">
        <f t="shared" ca="1" si="902"/>
        <v>24</v>
      </c>
      <c r="CH644" s="112">
        <f t="shared" ca="1" si="644"/>
        <v>37551</v>
      </c>
      <c r="CI644">
        <f t="shared" ca="1" si="944"/>
        <v>0</v>
      </c>
      <c r="CJ644">
        <f t="shared" ref="CJ644" ca="1" si="953">IF(AND(CI644=0,CJ645=0,CC644&lt;100000),1,0)</f>
        <v>0</v>
      </c>
      <c r="CK644" s="112">
        <f t="shared" ca="1" si="651"/>
        <v>37551</v>
      </c>
      <c r="CM644" s="112"/>
      <c r="CN644" s="260">
        <f t="shared" ca="1" si="904"/>
        <v>100000</v>
      </c>
      <c r="CO644" s="112">
        <f t="shared" ca="1" si="946"/>
        <v>37551</v>
      </c>
      <c r="CP644" s="238">
        <f t="shared" ca="1" si="652"/>
        <v>6</v>
      </c>
      <c r="CQ644" s="328">
        <f t="shared" ca="1" si="653"/>
        <v>24</v>
      </c>
      <c r="CS644" s="112">
        <f t="shared" ca="1" si="867"/>
        <v>100000</v>
      </c>
      <c r="CT644" s="112">
        <f t="shared" ca="1" si="916"/>
        <v>37551</v>
      </c>
      <c r="CU644" s="238">
        <f t="shared" ca="1" si="907"/>
        <v>6</v>
      </c>
      <c r="CV644" s="238">
        <f t="shared" ca="1" si="908"/>
        <v>24</v>
      </c>
      <c r="CY644">
        <f t="shared" si="917"/>
        <v>74</v>
      </c>
      <c r="DA644" s="112">
        <f t="shared" ca="1" si="918"/>
        <v>44197</v>
      </c>
      <c r="DC644">
        <f t="shared" si="919"/>
        <v>644</v>
      </c>
      <c r="DE644" t="str">
        <f t="shared" si="940"/>
        <v>cs644:dc790</v>
      </c>
      <c r="DF644">
        <f t="shared" ca="1" si="909"/>
        <v>0</v>
      </c>
      <c r="DG644" s="412" t="e">
        <f t="shared" ca="1" si="690"/>
        <v>#REF!</v>
      </c>
      <c r="DH644" s="411" t="e">
        <f t="shared" ca="1" si="678"/>
        <v>#REF!</v>
      </c>
      <c r="DI644" s="411" t="e">
        <f t="shared" ca="1" si="679"/>
        <v>#REF!</v>
      </c>
      <c r="DJ644" s="410" t="e">
        <f t="shared" ca="1" si="680"/>
        <v>#REF!</v>
      </c>
      <c r="DK644" s="410" t="e">
        <f t="shared" ca="1" si="681"/>
        <v>#REF!</v>
      </c>
      <c r="DM644" s="411" t="e">
        <f t="shared" ca="1" si="691"/>
        <v>#REF!</v>
      </c>
      <c r="DN644" s="411" t="e">
        <f t="shared" ca="1" si="692"/>
        <v>#REF!</v>
      </c>
      <c r="DO644" s="410" t="e">
        <f t="shared" ca="1" si="693"/>
        <v>#REF!</v>
      </c>
      <c r="DP644" s="410" t="e">
        <f t="shared" ca="1" si="694"/>
        <v>#REF!</v>
      </c>
    </row>
    <row r="645" spans="27:120" ht="15.75" thickBot="1" x14ac:dyDescent="0.3">
      <c r="AA645" s="284" t="str">
        <f t="shared" ref="AA645:AF645" si="954">AA94</f>
        <v/>
      </c>
      <c r="AB645" s="284" t="e">
        <f t="shared" ref="AB645:AE645" ca="1" si="955">IF(OR(AB94&lt;=$AA645,AB94&gt;$AF645),100000,AB94)</f>
        <v>#N/A</v>
      </c>
      <c r="AC645" s="284" t="e">
        <f t="shared" ca="1" si="955"/>
        <v>#N/A</v>
      </c>
      <c r="AD645" s="284" t="e">
        <f t="shared" ca="1" si="955"/>
        <v>#N/A</v>
      </c>
      <c r="AE645" s="284" t="e">
        <f t="shared" ca="1" si="955"/>
        <v>#N/A</v>
      </c>
      <c r="AF645" s="284" t="str">
        <f t="shared" si="954"/>
        <v/>
      </c>
      <c r="AG645" s="238">
        <f t="shared" si="870"/>
        <v>0</v>
      </c>
      <c r="AH645" s="407">
        <f t="shared" si="871"/>
        <v>24</v>
      </c>
      <c r="AL645" s="112" t="str">
        <f t="shared" si="872"/>
        <v/>
      </c>
      <c r="AM645" s="112" t="e">
        <f t="shared" ca="1" si="873"/>
        <v>#N/A</v>
      </c>
      <c r="AN645" s="112" t="e">
        <f t="shared" ca="1" si="874"/>
        <v>#N/A</v>
      </c>
      <c r="AO645" s="112" t="e">
        <f t="shared" ca="1" si="875"/>
        <v>#N/A</v>
      </c>
      <c r="AP645" s="112" t="e">
        <f t="shared" ca="1" si="876"/>
        <v>#N/A</v>
      </c>
      <c r="AQ645" s="112" t="str">
        <f t="shared" si="877"/>
        <v/>
      </c>
      <c r="AT645" s="112" t="str">
        <f t="shared" si="878"/>
        <v/>
      </c>
      <c r="AU645" s="112" t="e">
        <f t="shared" ca="1" si="879"/>
        <v>#N/A</v>
      </c>
      <c r="AV645" s="112" t="e">
        <f t="shared" ca="1" si="880"/>
        <v>#N/A</v>
      </c>
      <c r="AW645" s="112" t="e">
        <f t="shared" ca="1" si="881"/>
        <v>#N/A</v>
      </c>
      <c r="AX645" s="112" t="e">
        <f t="shared" ca="1" si="882"/>
        <v>#N/A</v>
      </c>
      <c r="AY645" s="112" t="str">
        <f t="shared" si="883"/>
        <v/>
      </c>
      <c r="BA645" s="112" t="str">
        <f t="shared" si="884"/>
        <v/>
      </c>
      <c r="BB645" s="112" t="e">
        <f t="shared" ca="1" si="885"/>
        <v>#N/A</v>
      </c>
      <c r="BC645" s="112" t="e">
        <f t="shared" ca="1" si="886"/>
        <v>#N/A</v>
      </c>
      <c r="BD645" s="112" t="e">
        <f t="shared" ca="1" si="887"/>
        <v>#N/A</v>
      </c>
      <c r="BE645" s="112" t="e">
        <f t="shared" ca="1" si="888"/>
        <v>#N/A</v>
      </c>
      <c r="BF645" s="112" t="str">
        <f t="shared" si="889"/>
        <v/>
      </c>
      <c r="BI645" s="112" t="str">
        <f t="shared" si="890"/>
        <v/>
      </c>
      <c r="BJ645" s="112" t="e">
        <f t="shared" ca="1" si="891"/>
        <v>#N/A</v>
      </c>
      <c r="BK645" s="112" t="e">
        <f t="shared" ca="1" si="892"/>
        <v>#N/A</v>
      </c>
      <c r="BL645" s="112" t="e">
        <f t="shared" ca="1" si="893"/>
        <v>#N/A</v>
      </c>
      <c r="BM645" s="112" t="e">
        <f t="shared" ca="1" si="894"/>
        <v>#N/A</v>
      </c>
      <c r="BN645" s="112" t="str">
        <f t="shared" si="895"/>
        <v/>
      </c>
      <c r="BP645" s="238" t="e">
        <f t="shared" ca="1" si="594"/>
        <v>#N/A</v>
      </c>
      <c r="BQ645" s="238">
        <f t="shared" si="943"/>
        <v>585</v>
      </c>
      <c r="BR645" t="s">
        <v>448</v>
      </c>
      <c r="BS645" t="s">
        <v>449</v>
      </c>
      <c r="BT645" s="114">
        <f t="shared" ca="1" si="802"/>
        <v>1</v>
      </c>
      <c r="BU645" s="112"/>
      <c r="BV645">
        <f t="shared" ref="BV645:BV708" ca="1" si="956">IF(BW645=INDIRECT(CONCATENATE("bn",BQ645)),0,1)</f>
        <v>0</v>
      </c>
      <c r="BW645" s="112">
        <f t="shared" ca="1" si="865"/>
        <v>37551</v>
      </c>
      <c r="BX645" s="112">
        <f t="shared" ca="1" si="952"/>
        <v>37551</v>
      </c>
      <c r="BY645">
        <f t="shared" ca="1" si="935"/>
        <v>6</v>
      </c>
      <c r="BZ645">
        <f t="shared" ca="1" si="936"/>
        <v>24</v>
      </c>
      <c r="CB645">
        <f t="shared" ca="1" si="898"/>
        <v>0</v>
      </c>
      <c r="CC645" s="112">
        <f t="shared" ca="1" si="899"/>
        <v>100000</v>
      </c>
      <c r="CD645" s="112">
        <f t="shared" ca="1" si="900"/>
        <v>37551</v>
      </c>
      <c r="CE645">
        <f t="shared" ca="1" si="901"/>
        <v>6</v>
      </c>
      <c r="CF645">
        <f t="shared" ca="1" si="902"/>
        <v>24</v>
      </c>
      <c r="CH645" s="112">
        <f t="shared" ca="1" si="644"/>
        <v>37551</v>
      </c>
      <c r="CI645">
        <f t="shared" ca="1" si="944"/>
        <v>0</v>
      </c>
      <c r="CJ645">
        <f t="shared" ref="CJ645" ca="1" si="957">IF(AND(CI645=0,CC645&lt;100000),1,0)</f>
        <v>0</v>
      </c>
      <c r="CK645" s="112">
        <f t="shared" ca="1" si="651"/>
        <v>37551</v>
      </c>
      <c r="CM645" s="112"/>
      <c r="CN645" s="261">
        <f t="shared" ref="CN645" ca="1" si="958">IF(AND(CN641=100000,CN642=100000,CN643=100000,CN644=100000),INDIRECT(CONCATENATE("aa",BQ645)),CC645)</f>
        <v>100000</v>
      </c>
      <c r="CO645" s="324">
        <f t="shared" ca="1" si="946"/>
        <v>37551</v>
      </c>
      <c r="CP645" s="256">
        <f t="shared" ca="1" si="652"/>
        <v>6</v>
      </c>
      <c r="CQ645" s="329">
        <f t="shared" ca="1" si="653"/>
        <v>24</v>
      </c>
      <c r="CS645" s="112">
        <f t="shared" ca="1" si="867"/>
        <v>100000</v>
      </c>
      <c r="CT645" s="112">
        <f t="shared" ca="1" si="916"/>
        <v>37551</v>
      </c>
      <c r="CU645" s="238">
        <f t="shared" ca="1" si="907"/>
        <v>6</v>
      </c>
      <c r="CV645" s="238">
        <f t="shared" ca="1" si="908"/>
        <v>24</v>
      </c>
      <c r="CY645">
        <f t="shared" si="917"/>
        <v>75</v>
      </c>
      <c r="DA645" s="112">
        <f t="shared" ca="1" si="918"/>
        <v>44440</v>
      </c>
      <c r="DC645">
        <f t="shared" si="919"/>
        <v>645</v>
      </c>
      <c r="DE645" t="str">
        <f t="shared" si="940"/>
        <v>cs645:dc790</v>
      </c>
      <c r="DF645">
        <f t="shared" ca="1" si="909"/>
        <v>0</v>
      </c>
      <c r="DG645" s="412" t="e">
        <f t="shared" ca="1" si="690"/>
        <v>#REF!</v>
      </c>
      <c r="DH645" s="411" t="e">
        <f t="shared" ca="1" si="678"/>
        <v>#REF!</v>
      </c>
      <c r="DI645" s="411" t="e">
        <f t="shared" ca="1" si="679"/>
        <v>#REF!</v>
      </c>
      <c r="DJ645" s="410" t="e">
        <f t="shared" ca="1" si="680"/>
        <v>#REF!</v>
      </c>
      <c r="DK645" s="410" t="e">
        <f t="shared" ca="1" si="681"/>
        <v>#REF!</v>
      </c>
      <c r="DM645" s="411" t="e">
        <f t="shared" ca="1" si="691"/>
        <v>#REF!</v>
      </c>
      <c r="DN645" s="411" t="e">
        <f t="shared" ca="1" si="692"/>
        <v>#REF!</v>
      </c>
      <c r="DO645" s="410" t="e">
        <f t="shared" ca="1" si="693"/>
        <v>#REF!</v>
      </c>
      <c r="DP645" s="410" t="e">
        <f t="shared" ca="1" si="694"/>
        <v>#REF!</v>
      </c>
    </row>
    <row r="646" spans="27:120" x14ac:dyDescent="0.25">
      <c r="AA646" s="284" t="str">
        <f t="shared" ref="AA646:AF646" si="959">AA95</f>
        <v/>
      </c>
      <c r="AB646" s="284" t="e">
        <f t="shared" ref="AB646:AE646" ca="1" si="960">IF(OR(AB95&lt;=$AA646,AB95&gt;$AF646),100000,AB95)</f>
        <v>#N/A</v>
      </c>
      <c r="AC646" s="284" t="e">
        <f t="shared" ca="1" si="960"/>
        <v>#N/A</v>
      </c>
      <c r="AD646" s="284" t="e">
        <f t="shared" ca="1" si="960"/>
        <v>#N/A</v>
      </c>
      <c r="AE646" s="284" t="e">
        <f t="shared" ca="1" si="960"/>
        <v>#N/A</v>
      </c>
      <c r="AF646" s="284" t="str">
        <f t="shared" si="959"/>
        <v/>
      </c>
      <c r="AG646" s="238">
        <f t="shared" si="870"/>
        <v>0</v>
      </c>
      <c r="AH646" s="407">
        <f t="shared" si="871"/>
        <v>24</v>
      </c>
      <c r="AL646" s="112" t="str">
        <f t="shared" si="872"/>
        <v/>
      </c>
      <c r="AM646" s="112" t="e">
        <f t="shared" ca="1" si="873"/>
        <v>#N/A</v>
      </c>
      <c r="AN646" s="112" t="e">
        <f t="shared" ca="1" si="874"/>
        <v>#N/A</v>
      </c>
      <c r="AO646" s="112" t="e">
        <f t="shared" ca="1" si="875"/>
        <v>#N/A</v>
      </c>
      <c r="AP646" s="112" t="e">
        <f t="shared" ca="1" si="876"/>
        <v>#N/A</v>
      </c>
      <c r="AQ646" s="112" t="str">
        <f t="shared" si="877"/>
        <v/>
      </c>
      <c r="AT646" s="112" t="str">
        <f t="shared" si="878"/>
        <v/>
      </c>
      <c r="AU646" s="112" t="e">
        <f t="shared" ca="1" si="879"/>
        <v>#N/A</v>
      </c>
      <c r="AV646" s="112" t="e">
        <f t="shared" ca="1" si="880"/>
        <v>#N/A</v>
      </c>
      <c r="AW646" s="112" t="e">
        <f t="shared" ca="1" si="881"/>
        <v>#N/A</v>
      </c>
      <c r="AX646" s="112" t="e">
        <f t="shared" ca="1" si="882"/>
        <v>#N/A</v>
      </c>
      <c r="AY646" s="112" t="str">
        <f t="shared" si="883"/>
        <v/>
      </c>
      <c r="BA646" s="112" t="str">
        <f t="shared" si="884"/>
        <v/>
      </c>
      <c r="BB646" s="112" t="e">
        <f t="shared" ca="1" si="885"/>
        <v>#N/A</v>
      </c>
      <c r="BC646" s="112" t="e">
        <f t="shared" ca="1" si="886"/>
        <v>#N/A</v>
      </c>
      <c r="BD646" s="112" t="e">
        <f t="shared" ca="1" si="887"/>
        <v>#N/A</v>
      </c>
      <c r="BE646" s="112" t="e">
        <f t="shared" ca="1" si="888"/>
        <v>#N/A</v>
      </c>
      <c r="BF646" s="112" t="str">
        <f t="shared" si="889"/>
        <v/>
      </c>
      <c r="BI646" s="112" t="str">
        <f t="shared" si="890"/>
        <v/>
      </c>
      <c r="BJ646" s="112" t="e">
        <f t="shared" ca="1" si="891"/>
        <v>#N/A</v>
      </c>
      <c r="BK646" s="112" t="e">
        <f t="shared" ca="1" si="892"/>
        <v>#N/A</v>
      </c>
      <c r="BL646" s="112" t="e">
        <f t="shared" ca="1" si="893"/>
        <v>#N/A</v>
      </c>
      <c r="BM646" s="112" t="e">
        <f t="shared" ca="1" si="894"/>
        <v>#N/A</v>
      </c>
      <c r="BN646" s="112" t="str">
        <f t="shared" si="895"/>
        <v/>
      </c>
      <c r="BP646" s="238" t="e">
        <f t="shared" ref="BP646:BP691" ca="1" si="961">IF(AND(BJ646=BK646,BJ646=BL646,BJ646=BM646,BJ646=BN646),1,0)</f>
        <v>#N/A</v>
      </c>
      <c r="BQ646" s="238">
        <f t="shared" ref="BQ646" si="962">BQ645+1</f>
        <v>586</v>
      </c>
      <c r="BR646" s="112" t="s">
        <v>444</v>
      </c>
      <c r="BS646" s="112" t="s">
        <v>445</v>
      </c>
      <c r="BT646" s="114">
        <f t="shared" ca="1" si="802"/>
        <v>1</v>
      </c>
      <c r="BU646" s="112"/>
      <c r="BV646">
        <f t="shared" ca="1" si="956"/>
        <v>1</v>
      </c>
      <c r="BW646" s="112">
        <f t="shared" ca="1" si="865"/>
        <v>37540</v>
      </c>
      <c r="BX646" s="112">
        <f t="shared" ref="BX646:BX648" ca="1" si="963">INDIRECT(CONCATENATE(BS646,BQ646))-1</f>
        <v>37573</v>
      </c>
      <c r="BY646">
        <f t="shared" ca="1" si="935"/>
        <v>8</v>
      </c>
      <c r="BZ646">
        <f t="shared" ca="1" si="936"/>
        <v>24</v>
      </c>
      <c r="CB646">
        <f t="shared" ca="1" si="898"/>
        <v>0</v>
      </c>
      <c r="CC646" s="112">
        <f t="shared" ca="1" si="899"/>
        <v>37540</v>
      </c>
      <c r="CD646" s="112">
        <f t="shared" ca="1" si="900"/>
        <v>37573</v>
      </c>
      <c r="CE646">
        <f t="shared" ca="1" si="901"/>
        <v>8</v>
      </c>
      <c r="CF646">
        <f t="shared" ca="1" si="902"/>
        <v>24</v>
      </c>
      <c r="CH646" s="112">
        <f t="shared" ca="1" si="644"/>
        <v>37574</v>
      </c>
      <c r="CI646">
        <f t="shared" ref="CI646" ca="1" si="964">CB646+CB647+CB648+CB649+CB650</f>
        <v>0</v>
      </c>
      <c r="CJ646">
        <v>0</v>
      </c>
      <c r="CK646" s="112">
        <f t="shared" ca="1" si="651"/>
        <v>37574</v>
      </c>
      <c r="CM646" s="112"/>
      <c r="CN646" s="408">
        <f t="shared" ca="1" si="904"/>
        <v>37540</v>
      </c>
      <c r="CO646" s="326">
        <f t="shared" ref="CO646" ca="1" si="965">CD646</f>
        <v>37573</v>
      </c>
      <c r="CP646" s="333">
        <f t="shared" ca="1" si="652"/>
        <v>8</v>
      </c>
      <c r="CQ646" s="327">
        <f t="shared" ca="1" si="653"/>
        <v>24</v>
      </c>
      <c r="CS646" s="112">
        <f t="shared" ca="1" si="867"/>
        <v>37540</v>
      </c>
      <c r="CT646" s="112">
        <f ca="1">IF(AND( CN647=100000,CN648=100000,CN649=100000,CN650=100000),CO650,                             CO646)</f>
        <v>37574</v>
      </c>
      <c r="CU646" s="238">
        <f t="shared" ca="1" si="907"/>
        <v>8</v>
      </c>
      <c r="CV646" s="238">
        <f t="shared" ca="1" si="908"/>
        <v>24</v>
      </c>
      <c r="CY646">
        <f t="shared" si="917"/>
        <v>76</v>
      </c>
      <c r="DA646" s="112">
        <f t="shared" ca="1" si="918"/>
        <v>44562</v>
      </c>
      <c r="DC646">
        <f t="shared" si="919"/>
        <v>646</v>
      </c>
      <c r="DE646" t="str">
        <f t="shared" si="940"/>
        <v>cs646:dc790</v>
      </c>
      <c r="DF646">
        <f t="shared" ca="1" si="909"/>
        <v>0</v>
      </c>
      <c r="DG646" s="412" t="e">
        <f t="shared" ca="1" si="690"/>
        <v>#REF!</v>
      </c>
      <c r="DH646" s="411" t="e">
        <f t="shared" ca="1" si="678"/>
        <v>#REF!</v>
      </c>
      <c r="DI646" s="411" t="e">
        <f t="shared" ca="1" si="679"/>
        <v>#REF!</v>
      </c>
      <c r="DJ646" s="410" t="e">
        <f t="shared" ca="1" si="680"/>
        <v>#REF!</v>
      </c>
      <c r="DK646" s="410" t="e">
        <f t="shared" ca="1" si="681"/>
        <v>#REF!</v>
      </c>
      <c r="DM646" s="411" t="e">
        <f t="shared" ca="1" si="691"/>
        <v>#REF!</v>
      </c>
      <c r="DN646" s="411" t="e">
        <f t="shared" ca="1" si="692"/>
        <v>#REF!</v>
      </c>
      <c r="DO646" s="410" t="e">
        <f t="shared" ca="1" si="693"/>
        <v>#REF!</v>
      </c>
      <c r="DP646" s="410" t="e">
        <f t="shared" ca="1" si="694"/>
        <v>#REF!</v>
      </c>
    </row>
    <row r="647" spans="27:120" x14ac:dyDescent="0.25">
      <c r="AA647" s="284" t="str">
        <f t="shared" ref="AA647:AF647" si="966">AA96</f>
        <v/>
      </c>
      <c r="AB647" s="284" t="e">
        <f t="shared" ref="AB647:AE647" ca="1" si="967">IF(OR(AB96&lt;=$AA647,AB96&gt;$AF647),100000,AB96)</f>
        <v>#N/A</v>
      </c>
      <c r="AC647" s="284" t="e">
        <f t="shared" ca="1" si="967"/>
        <v>#N/A</v>
      </c>
      <c r="AD647" s="284" t="e">
        <f t="shared" ca="1" si="967"/>
        <v>#N/A</v>
      </c>
      <c r="AE647" s="284" t="e">
        <f t="shared" ca="1" si="967"/>
        <v>#N/A</v>
      </c>
      <c r="AF647" s="284" t="str">
        <f t="shared" si="966"/>
        <v/>
      </c>
      <c r="AG647" s="238">
        <f t="shared" si="870"/>
        <v>0</v>
      </c>
      <c r="AH647" s="407">
        <f t="shared" si="871"/>
        <v>24</v>
      </c>
      <c r="AL647" s="112" t="str">
        <f t="shared" si="872"/>
        <v/>
      </c>
      <c r="AM647" s="112" t="e">
        <f t="shared" ca="1" si="873"/>
        <v>#N/A</v>
      </c>
      <c r="AN647" s="112" t="e">
        <f t="shared" ca="1" si="874"/>
        <v>#N/A</v>
      </c>
      <c r="AO647" s="112" t="e">
        <f t="shared" ca="1" si="875"/>
        <v>#N/A</v>
      </c>
      <c r="AP647" s="112" t="e">
        <f t="shared" ca="1" si="876"/>
        <v>#N/A</v>
      </c>
      <c r="AQ647" s="112" t="str">
        <f t="shared" si="877"/>
        <v/>
      </c>
      <c r="AT647" s="112" t="str">
        <f t="shared" si="878"/>
        <v/>
      </c>
      <c r="AU647" s="112" t="e">
        <f t="shared" ca="1" si="879"/>
        <v>#N/A</v>
      </c>
      <c r="AV647" s="112" t="e">
        <f t="shared" ca="1" si="880"/>
        <v>#N/A</v>
      </c>
      <c r="AW647" s="112" t="e">
        <f t="shared" ca="1" si="881"/>
        <v>#N/A</v>
      </c>
      <c r="AX647" s="112" t="e">
        <f t="shared" ca="1" si="882"/>
        <v>#N/A</v>
      </c>
      <c r="AY647" s="112" t="str">
        <f t="shared" si="883"/>
        <v/>
      </c>
      <c r="BA647" s="112" t="str">
        <f t="shared" si="884"/>
        <v/>
      </c>
      <c r="BB647" s="112" t="e">
        <f t="shared" ca="1" si="885"/>
        <v>#N/A</v>
      </c>
      <c r="BC647" s="112" t="e">
        <f t="shared" ca="1" si="886"/>
        <v>#N/A</v>
      </c>
      <c r="BD647" s="112" t="e">
        <f t="shared" ca="1" si="887"/>
        <v>#N/A</v>
      </c>
      <c r="BE647" s="112" t="e">
        <f t="shared" ca="1" si="888"/>
        <v>#N/A</v>
      </c>
      <c r="BF647" s="112" t="str">
        <f t="shared" si="889"/>
        <v/>
      </c>
      <c r="BI647" s="112" t="str">
        <f t="shared" si="890"/>
        <v/>
      </c>
      <c r="BJ647" s="112" t="e">
        <f t="shared" ca="1" si="891"/>
        <v>#N/A</v>
      </c>
      <c r="BK647" s="112" t="e">
        <f t="shared" ca="1" si="892"/>
        <v>#N/A</v>
      </c>
      <c r="BL647" s="112" t="e">
        <f t="shared" ca="1" si="893"/>
        <v>#N/A</v>
      </c>
      <c r="BM647" s="112" t="e">
        <f t="shared" ca="1" si="894"/>
        <v>#N/A</v>
      </c>
      <c r="BN647" s="112" t="str">
        <f t="shared" si="895"/>
        <v/>
      </c>
      <c r="BP647" s="238" t="e">
        <f t="shared" ca="1" si="961"/>
        <v>#N/A</v>
      </c>
      <c r="BQ647" s="238">
        <f t="shared" ref="BQ647:BQ650" si="968">BQ646</f>
        <v>586</v>
      </c>
      <c r="BR647" t="s">
        <v>445</v>
      </c>
      <c r="BS647" t="s">
        <v>446</v>
      </c>
      <c r="BT647" s="114">
        <f t="shared" ca="1" si="802"/>
        <v>1</v>
      </c>
      <c r="BU647" s="112"/>
      <c r="BV647">
        <f t="shared" ca="1" si="956"/>
        <v>0</v>
      </c>
      <c r="BW647" s="112">
        <f t="shared" ca="1" si="865"/>
        <v>37574</v>
      </c>
      <c r="BX647" s="112">
        <f t="shared" ca="1" si="963"/>
        <v>37573</v>
      </c>
      <c r="BY647">
        <f t="shared" ca="1" si="935"/>
        <v>8</v>
      </c>
      <c r="BZ647">
        <f t="shared" ca="1" si="936"/>
        <v>24</v>
      </c>
      <c r="CB647">
        <f t="shared" ca="1" si="898"/>
        <v>0</v>
      </c>
      <c r="CC647" s="112">
        <f t="shared" ca="1" si="899"/>
        <v>100000</v>
      </c>
      <c r="CD647" s="112">
        <f t="shared" ca="1" si="900"/>
        <v>37573</v>
      </c>
      <c r="CE647">
        <f t="shared" ca="1" si="901"/>
        <v>8</v>
      </c>
      <c r="CF647">
        <f t="shared" ca="1" si="902"/>
        <v>24</v>
      </c>
      <c r="CH647" s="112">
        <f t="shared" ca="1" si="644"/>
        <v>37574</v>
      </c>
      <c r="CI647">
        <f t="shared" ref="CI647:CI650" ca="1" si="969">CI646</f>
        <v>0</v>
      </c>
      <c r="CJ647">
        <f t="shared" ref="CJ647" ca="1" si="970">IF(AND(CI647=0,CJ648=0,CJ649=0,CJ650=0,CC647&lt;100000),1,0)</f>
        <v>0</v>
      </c>
      <c r="CK647" s="112">
        <f t="shared" ca="1" si="651"/>
        <v>37574</v>
      </c>
      <c r="CM647" s="112"/>
      <c r="CN647" s="260">
        <f t="shared" ca="1" si="904"/>
        <v>100000</v>
      </c>
      <c r="CO647" s="112">
        <f t="shared" ref="CO647:CO650" ca="1" si="971">IF(CJ647=1,CH647,CD647)</f>
        <v>37573</v>
      </c>
      <c r="CP647" s="238">
        <f t="shared" ca="1" si="652"/>
        <v>8</v>
      </c>
      <c r="CQ647" s="328">
        <f t="shared" ca="1" si="653"/>
        <v>24</v>
      </c>
      <c r="CS647" s="112">
        <f t="shared" ca="1" si="867"/>
        <v>100000</v>
      </c>
      <c r="CT647" s="112">
        <f t="shared" ref="CT647:CT650" ca="1" si="972">CO647</f>
        <v>37573</v>
      </c>
      <c r="CU647" s="238">
        <f t="shared" ca="1" si="907"/>
        <v>8</v>
      </c>
      <c r="CV647" s="238">
        <f t="shared" ca="1" si="908"/>
        <v>24</v>
      </c>
      <c r="CY647">
        <f t="shared" si="917"/>
        <v>77</v>
      </c>
      <c r="DA647" s="112">
        <f t="shared" ca="1" si="918"/>
        <v>44652</v>
      </c>
      <c r="DC647">
        <f t="shared" si="919"/>
        <v>647</v>
      </c>
      <c r="DE647" t="str">
        <f t="shared" si="940"/>
        <v>cs647:dc790</v>
      </c>
      <c r="DF647">
        <f t="shared" ca="1" si="909"/>
        <v>0</v>
      </c>
      <c r="DG647" s="412" t="e">
        <f t="shared" ca="1" si="690"/>
        <v>#REF!</v>
      </c>
      <c r="DH647" s="411" t="e">
        <f t="shared" ca="1" si="678"/>
        <v>#REF!</v>
      </c>
      <c r="DI647" s="411" t="e">
        <f t="shared" ca="1" si="679"/>
        <v>#REF!</v>
      </c>
      <c r="DJ647" s="410" t="e">
        <f t="shared" ca="1" si="680"/>
        <v>#REF!</v>
      </c>
      <c r="DK647" s="410" t="e">
        <f t="shared" ca="1" si="681"/>
        <v>#REF!</v>
      </c>
      <c r="DM647" s="411" t="e">
        <f t="shared" ca="1" si="691"/>
        <v>#REF!</v>
      </c>
      <c r="DN647" s="411" t="e">
        <f t="shared" ca="1" si="692"/>
        <v>#REF!</v>
      </c>
      <c r="DO647" s="410" t="e">
        <f t="shared" ca="1" si="693"/>
        <v>#REF!</v>
      </c>
      <c r="DP647" s="410" t="e">
        <f t="shared" ca="1" si="694"/>
        <v>#REF!</v>
      </c>
    </row>
    <row r="648" spans="27:120" x14ac:dyDescent="0.25">
      <c r="AA648" s="284" t="str">
        <f t="shared" ref="AA648:AF648" si="973">AA97</f>
        <v/>
      </c>
      <c r="AB648" s="284" t="e">
        <f t="shared" ref="AB648:AE648" ca="1" si="974">IF(OR(AB97&lt;=$AA648,AB97&gt;$AF648),100000,AB97)</f>
        <v>#N/A</v>
      </c>
      <c r="AC648" s="284" t="e">
        <f t="shared" ca="1" si="974"/>
        <v>#N/A</v>
      </c>
      <c r="AD648" s="284" t="e">
        <f t="shared" ca="1" si="974"/>
        <v>#N/A</v>
      </c>
      <c r="AE648" s="284" t="e">
        <f t="shared" ca="1" si="974"/>
        <v>#N/A</v>
      </c>
      <c r="AF648" s="284" t="str">
        <f t="shared" si="973"/>
        <v/>
      </c>
      <c r="AG648" s="238">
        <f t="shared" si="870"/>
        <v>0</v>
      </c>
      <c r="AH648" s="407">
        <f t="shared" si="871"/>
        <v>24</v>
      </c>
      <c r="AL648" s="112" t="str">
        <f t="shared" si="872"/>
        <v/>
      </c>
      <c r="AM648" s="112" t="e">
        <f t="shared" ca="1" si="873"/>
        <v>#N/A</v>
      </c>
      <c r="AN648" s="112" t="e">
        <f t="shared" ca="1" si="874"/>
        <v>#N/A</v>
      </c>
      <c r="AO648" s="112" t="e">
        <f t="shared" ca="1" si="875"/>
        <v>#N/A</v>
      </c>
      <c r="AP648" s="112" t="e">
        <f t="shared" ca="1" si="876"/>
        <v>#N/A</v>
      </c>
      <c r="AQ648" s="112" t="str">
        <f t="shared" si="877"/>
        <v/>
      </c>
      <c r="AT648" s="112" t="str">
        <f t="shared" si="878"/>
        <v/>
      </c>
      <c r="AU648" s="112" t="e">
        <f t="shared" ca="1" si="879"/>
        <v>#N/A</v>
      </c>
      <c r="AV648" s="112" t="e">
        <f t="shared" ca="1" si="880"/>
        <v>#N/A</v>
      </c>
      <c r="AW648" s="112" t="e">
        <f t="shared" ca="1" si="881"/>
        <v>#N/A</v>
      </c>
      <c r="AX648" s="112" t="e">
        <f t="shared" ca="1" si="882"/>
        <v>#N/A</v>
      </c>
      <c r="AY648" s="112" t="str">
        <f t="shared" si="883"/>
        <v/>
      </c>
      <c r="BA648" s="112" t="str">
        <f t="shared" si="884"/>
        <v/>
      </c>
      <c r="BB648" s="112" t="e">
        <f t="shared" ca="1" si="885"/>
        <v>#N/A</v>
      </c>
      <c r="BC648" s="112" t="e">
        <f t="shared" ca="1" si="886"/>
        <v>#N/A</v>
      </c>
      <c r="BD648" s="112" t="e">
        <f t="shared" ca="1" si="887"/>
        <v>#N/A</v>
      </c>
      <c r="BE648" s="112" t="e">
        <f t="shared" ca="1" si="888"/>
        <v>#N/A</v>
      </c>
      <c r="BF648" s="112" t="str">
        <f t="shared" si="889"/>
        <v/>
      </c>
      <c r="BI648" s="112" t="str">
        <f t="shared" si="890"/>
        <v/>
      </c>
      <c r="BJ648" s="112" t="e">
        <f t="shared" ca="1" si="891"/>
        <v>#N/A</v>
      </c>
      <c r="BK648" s="112" t="e">
        <f t="shared" ca="1" si="892"/>
        <v>#N/A</v>
      </c>
      <c r="BL648" s="112" t="e">
        <f t="shared" ca="1" si="893"/>
        <v>#N/A</v>
      </c>
      <c r="BM648" s="112" t="e">
        <f t="shared" ca="1" si="894"/>
        <v>#N/A</v>
      </c>
      <c r="BN648" s="112" t="str">
        <f t="shared" si="895"/>
        <v/>
      </c>
      <c r="BP648" s="238" t="e">
        <f t="shared" ca="1" si="961"/>
        <v>#N/A</v>
      </c>
      <c r="BQ648" s="238">
        <f t="shared" si="968"/>
        <v>586</v>
      </c>
      <c r="BR648" t="s">
        <v>446</v>
      </c>
      <c r="BS648" t="s">
        <v>447</v>
      </c>
      <c r="BT648" s="114">
        <f t="shared" ca="1" si="802"/>
        <v>1</v>
      </c>
      <c r="BU648" s="112"/>
      <c r="BV648">
        <f t="shared" ca="1" si="956"/>
        <v>0</v>
      </c>
      <c r="BW648" s="112">
        <f t="shared" ca="1" si="865"/>
        <v>37574</v>
      </c>
      <c r="BX648" s="112">
        <f t="shared" ca="1" si="963"/>
        <v>37573</v>
      </c>
      <c r="BY648">
        <f t="shared" ca="1" si="935"/>
        <v>8</v>
      </c>
      <c r="BZ648">
        <f t="shared" ca="1" si="936"/>
        <v>24</v>
      </c>
      <c r="CB648">
        <f t="shared" ca="1" si="898"/>
        <v>0</v>
      </c>
      <c r="CC648" s="112">
        <f t="shared" ca="1" si="899"/>
        <v>100000</v>
      </c>
      <c r="CD648" s="112">
        <f t="shared" ca="1" si="900"/>
        <v>37573</v>
      </c>
      <c r="CE648">
        <f t="shared" ca="1" si="901"/>
        <v>8</v>
      </c>
      <c r="CF648">
        <f t="shared" ca="1" si="902"/>
        <v>24</v>
      </c>
      <c r="CH648" s="112">
        <f t="shared" ca="1" si="644"/>
        <v>37574</v>
      </c>
      <c r="CI648">
        <f t="shared" ca="1" si="969"/>
        <v>0</v>
      </c>
      <c r="CJ648">
        <f t="shared" ref="CJ648" ca="1" si="975">IF(AND(CI648=0,CJ649=0,CJ650=0,CC648&lt;100000),1,0)</f>
        <v>0</v>
      </c>
      <c r="CK648" s="112">
        <f t="shared" ca="1" si="651"/>
        <v>37574</v>
      </c>
      <c r="CM648" s="112"/>
      <c r="CN648" s="260">
        <f t="shared" ca="1" si="904"/>
        <v>100000</v>
      </c>
      <c r="CO648" s="112">
        <f t="shared" ca="1" si="971"/>
        <v>37573</v>
      </c>
      <c r="CP648" s="238">
        <f t="shared" ca="1" si="652"/>
        <v>8</v>
      </c>
      <c r="CQ648" s="328">
        <f t="shared" ca="1" si="653"/>
        <v>24</v>
      </c>
      <c r="CS648" s="112">
        <f t="shared" ca="1" si="867"/>
        <v>100000</v>
      </c>
      <c r="CT648" s="112">
        <f t="shared" ca="1" si="972"/>
        <v>37573</v>
      </c>
      <c r="CU648" s="238">
        <f t="shared" ca="1" si="907"/>
        <v>8</v>
      </c>
      <c r="CV648" s="238">
        <f t="shared" ca="1" si="908"/>
        <v>24</v>
      </c>
      <c r="CY648">
        <f t="shared" si="917"/>
        <v>78</v>
      </c>
      <c r="DA648" s="112">
        <f t="shared" ca="1" si="918"/>
        <v>44743</v>
      </c>
      <c r="DC648">
        <f t="shared" si="919"/>
        <v>648</v>
      </c>
      <c r="DE648" t="str">
        <f t="shared" si="940"/>
        <v>cs648:dc790</v>
      </c>
      <c r="DF648">
        <f t="shared" ca="1" si="909"/>
        <v>0</v>
      </c>
      <c r="DG648" s="412">
        <f t="shared" ca="1" si="690"/>
        <v>44804</v>
      </c>
      <c r="DH648" s="411" t="e">
        <f t="shared" ca="1" si="678"/>
        <v>#REF!</v>
      </c>
      <c r="DI648" s="411" t="e">
        <f t="shared" ca="1" si="679"/>
        <v>#REF!</v>
      </c>
      <c r="DJ648" s="410" t="e">
        <f t="shared" ca="1" si="680"/>
        <v>#REF!</v>
      </c>
      <c r="DK648" s="410" t="e">
        <f t="shared" ca="1" si="681"/>
        <v>#REF!</v>
      </c>
      <c r="DM648" s="411" t="e">
        <f t="shared" ca="1" si="691"/>
        <v>#REF!</v>
      </c>
      <c r="DN648" s="411" t="e">
        <f t="shared" ca="1" si="692"/>
        <v>#REF!</v>
      </c>
      <c r="DO648" s="410" t="e">
        <f t="shared" ca="1" si="693"/>
        <v>#REF!</v>
      </c>
      <c r="DP648" s="410" t="e">
        <f t="shared" ca="1" si="694"/>
        <v>#REF!</v>
      </c>
    </row>
    <row r="649" spans="27:120" x14ac:dyDescent="0.25">
      <c r="AA649" s="284" t="str">
        <f t="shared" ref="AA649:AF649" si="976">AA98</f>
        <v/>
      </c>
      <c r="AB649" s="284" t="e">
        <f t="shared" ref="AB649:AE649" ca="1" si="977">IF(OR(AB98&lt;=$AA649,AB98&gt;$AF649),100000,AB98)</f>
        <v>#N/A</v>
      </c>
      <c r="AC649" s="284" t="e">
        <f t="shared" ca="1" si="977"/>
        <v>#N/A</v>
      </c>
      <c r="AD649" s="284" t="e">
        <f t="shared" ca="1" si="977"/>
        <v>#N/A</v>
      </c>
      <c r="AE649" s="284" t="e">
        <f t="shared" ca="1" si="977"/>
        <v>#N/A</v>
      </c>
      <c r="AF649" s="284" t="str">
        <f t="shared" si="976"/>
        <v/>
      </c>
      <c r="AG649" s="238">
        <f t="shared" si="870"/>
        <v>0</v>
      </c>
      <c r="AH649" s="407">
        <f t="shared" si="871"/>
        <v>24</v>
      </c>
      <c r="AL649" s="112" t="str">
        <f t="shared" si="872"/>
        <v/>
      </c>
      <c r="AM649" s="112" t="e">
        <f t="shared" ca="1" si="873"/>
        <v>#N/A</v>
      </c>
      <c r="AN649" s="112" t="e">
        <f t="shared" ca="1" si="874"/>
        <v>#N/A</v>
      </c>
      <c r="AO649" s="112" t="e">
        <f t="shared" ca="1" si="875"/>
        <v>#N/A</v>
      </c>
      <c r="AP649" s="112" t="e">
        <f t="shared" ca="1" si="876"/>
        <v>#N/A</v>
      </c>
      <c r="AQ649" s="112" t="str">
        <f t="shared" si="877"/>
        <v/>
      </c>
      <c r="AT649" s="112" t="str">
        <f t="shared" si="878"/>
        <v/>
      </c>
      <c r="AU649" s="112" t="e">
        <f t="shared" ca="1" si="879"/>
        <v>#N/A</v>
      </c>
      <c r="AV649" s="112" t="e">
        <f t="shared" ca="1" si="880"/>
        <v>#N/A</v>
      </c>
      <c r="AW649" s="112" t="e">
        <f t="shared" ca="1" si="881"/>
        <v>#N/A</v>
      </c>
      <c r="AX649" s="112" t="e">
        <f t="shared" ca="1" si="882"/>
        <v>#N/A</v>
      </c>
      <c r="AY649" s="112" t="str">
        <f t="shared" si="883"/>
        <v/>
      </c>
      <c r="BA649" s="112" t="str">
        <f t="shared" si="884"/>
        <v/>
      </c>
      <c r="BB649" s="112" t="e">
        <f t="shared" ca="1" si="885"/>
        <v>#N/A</v>
      </c>
      <c r="BC649" s="112" t="e">
        <f t="shared" ca="1" si="886"/>
        <v>#N/A</v>
      </c>
      <c r="BD649" s="112" t="e">
        <f t="shared" ca="1" si="887"/>
        <v>#N/A</v>
      </c>
      <c r="BE649" s="112" t="e">
        <f t="shared" ca="1" si="888"/>
        <v>#N/A</v>
      </c>
      <c r="BF649" s="112" t="str">
        <f t="shared" si="889"/>
        <v/>
      </c>
      <c r="BI649" s="112" t="str">
        <f t="shared" si="890"/>
        <v/>
      </c>
      <c r="BJ649" s="112" t="e">
        <f t="shared" ca="1" si="891"/>
        <v>#N/A</v>
      </c>
      <c r="BK649" s="112" t="e">
        <f t="shared" ca="1" si="892"/>
        <v>#N/A</v>
      </c>
      <c r="BL649" s="112" t="e">
        <f t="shared" ca="1" si="893"/>
        <v>#N/A</v>
      </c>
      <c r="BM649" s="112" t="e">
        <f t="shared" ca="1" si="894"/>
        <v>#N/A</v>
      </c>
      <c r="BN649" s="112" t="str">
        <f t="shared" si="895"/>
        <v/>
      </c>
      <c r="BP649" s="238" t="e">
        <f t="shared" ca="1" si="961"/>
        <v>#N/A</v>
      </c>
      <c r="BQ649" s="238">
        <f t="shared" si="968"/>
        <v>586</v>
      </c>
      <c r="BR649" t="s">
        <v>447</v>
      </c>
      <c r="BS649" t="s">
        <v>448</v>
      </c>
      <c r="BT649" s="114">
        <f t="shared" ca="1" si="802"/>
        <v>1</v>
      </c>
      <c r="BU649" s="112"/>
      <c r="BV649">
        <f t="shared" ca="1" si="956"/>
        <v>0</v>
      </c>
      <c r="BW649" s="112">
        <f t="shared" ca="1" si="865"/>
        <v>37574</v>
      </c>
      <c r="BX649" s="112">
        <f t="shared" ref="BX649:BX650" ca="1" si="978">INDIRECT(CONCATENATE(BS649,BQ649))</f>
        <v>37574</v>
      </c>
      <c r="BY649">
        <f t="shared" ca="1" si="935"/>
        <v>8</v>
      </c>
      <c r="BZ649">
        <f t="shared" ca="1" si="936"/>
        <v>24</v>
      </c>
      <c r="CB649">
        <f t="shared" ca="1" si="898"/>
        <v>0</v>
      </c>
      <c r="CC649" s="112">
        <f t="shared" ca="1" si="899"/>
        <v>100000</v>
      </c>
      <c r="CD649" s="112">
        <f t="shared" ca="1" si="900"/>
        <v>37574</v>
      </c>
      <c r="CE649">
        <f t="shared" ca="1" si="901"/>
        <v>8</v>
      </c>
      <c r="CF649">
        <f t="shared" ca="1" si="902"/>
        <v>24</v>
      </c>
      <c r="CH649" s="112">
        <f t="shared" ca="1" si="644"/>
        <v>37574</v>
      </c>
      <c r="CI649">
        <f t="shared" ca="1" si="969"/>
        <v>0</v>
      </c>
      <c r="CJ649">
        <f t="shared" ref="CJ649" ca="1" si="979">IF(AND(CI649=0,CJ650=0,CC649&lt;100000),1,0)</f>
        <v>0</v>
      </c>
      <c r="CK649" s="112">
        <f t="shared" ca="1" si="651"/>
        <v>37574</v>
      </c>
      <c r="CM649" s="112"/>
      <c r="CN649" s="260">
        <f t="shared" ca="1" si="904"/>
        <v>100000</v>
      </c>
      <c r="CO649" s="112">
        <f t="shared" ca="1" si="971"/>
        <v>37574</v>
      </c>
      <c r="CP649" s="238">
        <f t="shared" ca="1" si="652"/>
        <v>8</v>
      </c>
      <c r="CQ649" s="328">
        <f t="shared" ca="1" si="653"/>
        <v>24</v>
      </c>
      <c r="CS649" s="112">
        <f t="shared" ca="1" si="867"/>
        <v>100000</v>
      </c>
      <c r="CT649" s="112">
        <f t="shared" ca="1" si="972"/>
        <v>37574</v>
      </c>
      <c r="CU649" s="238">
        <f t="shared" ca="1" si="907"/>
        <v>8</v>
      </c>
      <c r="CV649" s="238">
        <f t="shared" ca="1" si="908"/>
        <v>24</v>
      </c>
      <c r="CY649">
        <f t="shared" si="917"/>
        <v>79</v>
      </c>
      <c r="DA649" s="112">
        <f t="shared" ca="1" si="918"/>
        <v>100000</v>
      </c>
      <c r="DC649">
        <f t="shared" si="919"/>
        <v>649</v>
      </c>
      <c r="DE649" t="str">
        <f t="shared" si="940"/>
        <v>cs649:dc790</v>
      </c>
      <c r="DF649">
        <f t="shared" ca="1" si="909"/>
        <v>649</v>
      </c>
      <c r="DG649" s="412">
        <f t="shared" ca="1" si="690"/>
        <v>44804</v>
      </c>
      <c r="DH649" s="411" t="str">
        <f t="shared" ca="1" si="678"/>
        <v/>
      </c>
      <c r="DI649" s="411" t="str">
        <f t="shared" ca="1" si="679"/>
        <v/>
      </c>
      <c r="DJ649" s="410" t="str">
        <f t="shared" ca="1" si="680"/>
        <v/>
      </c>
      <c r="DK649" s="410" t="str">
        <f t="shared" ca="1" si="681"/>
        <v/>
      </c>
      <c r="DM649" s="411" t="str">
        <f t="shared" ca="1" si="691"/>
        <v/>
      </c>
      <c r="DN649" s="411" t="str">
        <f t="shared" ca="1" si="692"/>
        <v/>
      </c>
      <c r="DO649" s="410" t="str">
        <f t="shared" ca="1" si="693"/>
        <v/>
      </c>
      <c r="DP649" s="410" t="str">
        <f t="shared" ca="1" si="694"/>
        <v/>
      </c>
    </row>
    <row r="650" spans="27:120" ht="15.75" thickBot="1" x14ac:dyDescent="0.3">
      <c r="AA650" s="284" t="str">
        <f t="shared" ref="AA650:AF650" si="980">AA99</f>
        <v/>
      </c>
      <c r="AB650" s="284" t="e">
        <f t="shared" ref="AB650:AE650" ca="1" si="981">IF(OR(AB99&lt;=$AA650,AB99&gt;$AF650),100000,AB99)</f>
        <v>#N/A</v>
      </c>
      <c r="AC650" s="284" t="e">
        <f t="shared" ca="1" si="981"/>
        <v>#N/A</v>
      </c>
      <c r="AD650" s="284" t="e">
        <f t="shared" ca="1" si="981"/>
        <v>#N/A</v>
      </c>
      <c r="AE650" s="284" t="e">
        <f t="shared" ca="1" si="981"/>
        <v>#N/A</v>
      </c>
      <c r="AF650" s="284" t="str">
        <f t="shared" si="980"/>
        <v/>
      </c>
      <c r="AG650" s="238">
        <f t="shared" si="870"/>
        <v>0</v>
      </c>
      <c r="AH650" s="407">
        <f t="shared" si="871"/>
        <v>24</v>
      </c>
      <c r="AL650" s="112" t="str">
        <f t="shared" si="872"/>
        <v/>
      </c>
      <c r="AM650" s="112" t="e">
        <f t="shared" ca="1" si="873"/>
        <v>#N/A</v>
      </c>
      <c r="AN650" s="112" t="e">
        <f t="shared" ca="1" si="874"/>
        <v>#N/A</v>
      </c>
      <c r="AO650" s="112" t="e">
        <f t="shared" ca="1" si="875"/>
        <v>#N/A</v>
      </c>
      <c r="AP650" s="112" t="e">
        <f t="shared" ca="1" si="876"/>
        <v>#N/A</v>
      </c>
      <c r="AQ650" s="112" t="str">
        <f t="shared" si="877"/>
        <v/>
      </c>
      <c r="AT650" s="112" t="str">
        <f t="shared" si="878"/>
        <v/>
      </c>
      <c r="AU650" s="112" t="e">
        <f t="shared" ca="1" si="879"/>
        <v>#N/A</v>
      </c>
      <c r="AV650" s="112" t="e">
        <f t="shared" ca="1" si="880"/>
        <v>#N/A</v>
      </c>
      <c r="AW650" s="112" t="e">
        <f t="shared" ca="1" si="881"/>
        <v>#N/A</v>
      </c>
      <c r="AX650" s="112" t="e">
        <f t="shared" ca="1" si="882"/>
        <v>#N/A</v>
      </c>
      <c r="AY650" s="112" t="str">
        <f t="shared" si="883"/>
        <v/>
      </c>
      <c r="BA650" s="112" t="str">
        <f t="shared" si="884"/>
        <v/>
      </c>
      <c r="BB650" s="112" t="e">
        <f t="shared" ca="1" si="885"/>
        <v>#N/A</v>
      </c>
      <c r="BC650" s="112" t="e">
        <f t="shared" ca="1" si="886"/>
        <v>#N/A</v>
      </c>
      <c r="BD650" s="112" t="e">
        <f t="shared" ca="1" si="887"/>
        <v>#N/A</v>
      </c>
      <c r="BE650" s="112" t="e">
        <f t="shared" ca="1" si="888"/>
        <v>#N/A</v>
      </c>
      <c r="BF650" s="112" t="str">
        <f t="shared" si="889"/>
        <v/>
      </c>
      <c r="BI650" s="112" t="str">
        <f t="shared" si="890"/>
        <v/>
      </c>
      <c r="BJ650" s="112" t="e">
        <f t="shared" ca="1" si="891"/>
        <v>#N/A</v>
      </c>
      <c r="BK650" s="112" t="e">
        <f t="shared" ca="1" si="892"/>
        <v>#N/A</v>
      </c>
      <c r="BL650" s="112" t="e">
        <f t="shared" ca="1" si="893"/>
        <v>#N/A</v>
      </c>
      <c r="BM650" s="112" t="e">
        <f t="shared" ca="1" si="894"/>
        <v>#N/A</v>
      </c>
      <c r="BN650" s="112" t="str">
        <f t="shared" si="895"/>
        <v/>
      </c>
      <c r="BP650" s="238" t="e">
        <f t="shared" ca="1" si="961"/>
        <v>#N/A</v>
      </c>
      <c r="BQ650" s="238">
        <f t="shared" si="968"/>
        <v>586</v>
      </c>
      <c r="BR650" t="s">
        <v>448</v>
      </c>
      <c r="BS650" t="s">
        <v>449</v>
      </c>
      <c r="BT650" s="114">
        <f t="shared" ca="1" si="802"/>
        <v>1</v>
      </c>
      <c r="BU650" s="112"/>
      <c r="BV650">
        <f t="shared" ca="1" si="956"/>
        <v>0</v>
      </c>
      <c r="BW650" s="112">
        <f t="shared" ca="1" si="865"/>
        <v>37574</v>
      </c>
      <c r="BX650" s="112">
        <f t="shared" ca="1" si="978"/>
        <v>37574</v>
      </c>
      <c r="BY650">
        <f t="shared" ca="1" si="935"/>
        <v>8</v>
      </c>
      <c r="BZ650">
        <f t="shared" ca="1" si="936"/>
        <v>24</v>
      </c>
      <c r="CB650">
        <f t="shared" ca="1" si="898"/>
        <v>0</v>
      </c>
      <c r="CC650" s="112">
        <f t="shared" ca="1" si="899"/>
        <v>100000</v>
      </c>
      <c r="CD650" s="112">
        <f t="shared" ca="1" si="900"/>
        <v>37574</v>
      </c>
      <c r="CE650">
        <f t="shared" ca="1" si="901"/>
        <v>8</v>
      </c>
      <c r="CF650">
        <f t="shared" ca="1" si="902"/>
        <v>24</v>
      </c>
      <c r="CH650" s="112">
        <f t="shared" ca="1" si="644"/>
        <v>37574</v>
      </c>
      <c r="CI650">
        <f t="shared" ca="1" si="969"/>
        <v>0</v>
      </c>
      <c r="CJ650">
        <f t="shared" ref="CJ650" ca="1" si="982">IF(AND(CI650=0,CC650&lt;100000),1,0)</f>
        <v>0</v>
      </c>
      <c r="CK650" s="112">
        <f t="shared" ca="1" si="651"/>
        <v>37574</v>
      </c>
      <c r="CM650" s="112"/>
      <c r="CN650" s="261">
        <f t="shared" ref="CN650" ca="1" si="983">IF(AND(CN646=100000,CN647=100000,CN648=100000,CN649=100000),INDIRECT(CONCATENATE("aa",BQ650)),CC650)</f>
        <v>100000</v>
      </c>
      <c r="CO650" s="324">
        <f t="shared" ca="1" si="971"/>
        <v>37574</v>
      </c>
      <c r="CP650" s="256">
        <f t="shared" ca="1" si="652"/>
        <v>8</v>
      </c>
      <c r="CQ650" s="329">
        <f t="shared" ca="1" si="653"/>
        <v>24</v>
      </c>
      <c r="CS650" s="112">
        <f t="shared" ca="1" si="867"/>
        <v>100000</v>
      </c>
      <c r="CT650" s="112">
        <f t="shared" ca="1" si="972"/>
        <v>37574</v>
      </c>
      <c r="CU650" s="238">
        <f t="shared" ca="1" si="907"/>
        <v>8</v>
      </c>
      <c r="CV650" s="238">
        <f t="shared" ca="1" si="908"/>
        <v>24</v>
      </c>
      <c r="CY650">
        <f t="shared" si="917"/>
        <v>80</v>
      </c>
      <c r="DA650" s="112">
        <f t="shared" ca="1" si="918"/>
        <v>100000</v>
      </c>
      <c r="DC650">
        <f t="shared" si="919"/>
        <v>650</v>
      </c>
      <c r="DE650" t="str">
        <f t="shared" si="940"/>
        <v>cs650:dc790</v>
      </c>
      <c r="DF650">
        <f t="shared" ca="1" si="909"/>
        <v>650</v>
      </c>
      <c r="DG650" s="412">
        <f t="shared" ca="1" si="690"/>
        <v>44804</v>
      </c>
      <c r="DH650" s="411" t="str">
        <f t="shared" ca="1" si="678"/>
        <v/>
      </c>
      <c r="DI650" s="411" t="str">
        <f t="shared" ca="1" si="679"/>
        <v/>
      </c>
      <c r="DJ650" s="410" t="str">
        <f t="shared" ca="1" si="680"/>
        <v/>
      </c>
      <c r="DK650" s="410" t="str">
        <f t="shared" ca="1" si="681"/>
        <v/>
      </c>
      <c r="DM650" s="411" t="str">
        <f t="shared" ca="1" si="691"/>
        <v/>
      </c>
      <c r="DN650" s="411" t="str">
        <f t="shared" ca="1" si="692"/>
        <v/>
      </c>
      <c r="DO650" s="410" t="str">
        <f t="shared" ca="1" si="693"/>
        <v/>
      </c>
      <c r="DP650" s="410" t="str">
        <f t="shared" ca="1" si="694"/>
        <v/>
      </c>
    </row>
    <row r="651" spans="27:120" x14ac:dyDescent="0.25">
      <c r="AA651" s="284" t="str">
        <f t="shared" ref="AA651:AF651" si="984">AA100</f>
        <v/>
      </c>
      <c r="AB651" s="284" t="e">
        <f t="shared" ref="AB651:AE651" ca="1" si="985">IF(OR(AB100&lt;=$AA651,AB100&gt;$AF651),100000,AB100)</f>
        <v>#N/A</v>
      </c>
      <c r="AC651" s="284" t="e">
        <f t="shared" ca="1" si="985"/>
        <v>#N/A</v>
      </c>
      <c r="AD651" s="284" t="e">
        <f t="shared" ca="1" si="985"/>
        <v>#N/A</v>
      </c>
      <c r="AE651" s="284" t="e">
        <f t="shared" ca="1" si="985"/>
        <v>#N/A</v>
      </c>
      <c r="AF651" s="284" t="str">
        <f t="shared" si="984"/>
        <v/>
      </c>
      <c r="AG651" s="238">
        <f t="shared" si="870"/>
        <v>0</v>
      </c>
      <c r="AH651" s="407">
        <f t="shared" si="871"/>
        <v>24</v>
      </c>
      <c r="AL651" s="112" t="str">
        <f t="shared" si="872"/>
        <v/>
      </c>
      <c r="AM651" s="112" t="e">
        <f t="shared" ca="1" si="873"/>
        <v>#N/A</v>
      </c>
      <c r="AN651" s="112" t="e">
        <f t="shared" ca="1" si="874"/>
        <v>#N/A</v>
      </c>
      <c r="AO651" s="112" t="e">
        <f t="shared" ca="1" si="875"/>
        <v>#N/A</v>
      </c>
      <c r="AP651" s="112" t="e">
        <f t="shared" ca="1" si="876"/>
        <v>#N/A</v>
      </c>
      <c r="AQ651" s="112" t="str">
        <f t="shared" si="877"/>
        <v/>
      </c>
      <c r="AT651" s="112" t="str">
        <f t="shared" si="878"/>
        <v/>
      </c>
      <c r="AU651" s="112" t="e">
        <f t="shared" ca="1" si="879"/>
        <v>#N/A</v>
      </c>
      <c r="AV651" s="112" t="e">
        <f t="shared" ca="1" si="880"/>
        <v>#N/A</v>
      </c>
      <c r="AW651" s="112" t="e">
        <f t="shared" ca="1" si="881"/>
        <v>#N/A</v>
      </c>
      <c r="AX651" s="112" t="e">
        <f t="shared" ca="1" si="882"/>
        <v>#N/A</v>
      </c>
      <c r="AY651" s="112" t="str">
        <f t="shared" si="883"/>
        <v/>
      </c>
      <c r="BA651" s="112" t="str">
        <f t="shared" si="884"/>
        <v/>
      </c>
      <c r="BB651" s="112" t="e">
        <f t="shared" ca="1" si="885"/>
        <v>#N/A</v>
      </c>
      <c r="BC651" s="112" t="e">
        <f t="shared" ca="1" si="886"/>
        <v>#N/A</v>
      </c>
      <c r="BD651" s="112" t="e">
        <f t="shared" ca="1" si="887"/>
        <v>#N/A</v>
      </c>
      <c r="BE651" s="112" t="e">
        <f t="shared" ca="1" si="888"/>
        <v>#N/A</v>
      </c>
      <c r="BF651" s="112" t="str">
        <f t="shared" si="889"/>
        <v/>
      </c>
      <c r="BI651" s="112" t="str">
        <f t="shared" si="890"/>
        <v/>
      </c>
      <c r="BJ651" s="112" t="e">
        <f t="shared" ca="1" si="891"/>
        <v>#N/A</v>
      </c>
      <c r="BK651" s="112" t="e">
        <f t="shared" ca="1" si="892"/>
        <v>#N/A</v>
      </c>
      <c r="BL651" s="112" t="e">
        <f t="shared" ca="1" si="893"/>
        <v>#N/A</v>
      </c>
      <c r="BM651" s="112" t="e">
        <f t="shared" ca="1" si="894"/>
        <v>#N/A</v>
      </c>
      <c r="BN651" s="112" t="str">
        <f t="shared" si="895"/>
        <v/>
      </c>
      <c r="BP651" s="238" t="e">
        <f t="shared" ca="1" si="961"/>
        <v>#N/A</v>
      </c>
      <c r="BQ651" s="238">
        <f t="shared" ref="BQ651" si="986">BQ650+1</f>
        <v>587</v>
      </c>
      <c r="BR651" s="112" t="s">
        <v>444</v>
      </c>
      <c r="BS651" s="112" t="s">
        <v>445</v>
      </c>
      <c r="BT651" s="114">
        <f t="shared" ca="1" si="802"/>
        <v>1</v>
      </c>
      <c r="BU651" s="112"/>
      <c r="BV651">
        <f t="shared" ca="1" si="956"/>
        <v>1</v>
      </c>
      <c r="BW651" s="112">
        <f t="shared" ca="1" si="865"/>
        <v>37629</v>
      </c>
      <c r="BX651" s="112">
        <f t="shared" ref="BX651:BX653" ca="1" si="987">INDIRECT(CONCATENATE(BS651,BQ651))-1</f>
        <v>37662</v>
      </c>
      <c r="BY651">
        <f t="shared" ca="1" si="935"/>
        <v>16</v>
      </c>
      <c r="BZ651">
        <f t="shared" ca="1" si="936"/>
        <v>24</v>
      </c>
      <c r="CB651">
        <f t="shared" ca="1" si="898"/>
        <v>0</v>
      </c>
      <c r="CC651" s="112">
        <f t="shared" ca="1" si="899"/>
        <v>37629</v>
      </c>
      <c r="CD651" s="112">
        <f t="shared" ca="1" si="900"/>
        <v>37662</v>
      </c>
      <c r="CE651">
        <f t="shared" ca="1" si="901"/>
        <v>16</v>
      </c>
      <c r="CF651">
        <f t="shared" ca="1" si="902"/>
        <v>24</v>
      </c>
      <c r="CH651" s="112">
        <f t="shared" ca="1" si="644"/>
        <v>37663</v>
      </c>
      <c r="CI651">
        <f t="shared" ref="CI651" ca="1" si="988">CB651+CB652+CB653+CB654+CB655</f>
        <v>0</v>
      </c>
      <c r="CJ651">
        <v>0</v>
      </c>
      <c r="CK651" s="112">
        <f t="shared" ca="1" si="651"/>
        <v>37663</v>
      </c>
      <c r="CM651" s="112"/>
      <c r="CN651" s="408">
        <f t="shared" ca="1" si="904"/>
        <v>37629</v>
      </c>
      <c r="CO651" s="326">
        <f t="shared" ref="CO651" ca="1" si="989">CD651</f>
        <v>37662</v>
      </c>
      <c r="CP651" s="333">
        <f t="shared" ca="1" si="652"/>
        <v>16</v>
      </c>
      <c r="CQ651" s="327">
        <f t="shared" ca="1" si="653"/>
        <v>24</v>
      </c>
      <c r="CS651" s="112">
        <f t="shared" ca="1" si="867"/>
        <v>37629</v>
      </c>
      <c r="CT651" s="112">
        <f t="shared" ref="CT651" ca="1" si="990">IF(AND( CN652=100000,CN653=100000,CN654=100000,CN655=100000),CO655,                             CO651)</f>
        <v>37663</v>
      </c>
      <c r="CU651" s="238">
        <f t="shared" ca="1" si="907"/>
        <v>16</v>
      </c>
      <c r="CV651" s="238">
        <f t="shared" ca="1" si="908"/>
        <v>24</v>
      </c>
      <c r="CY651">
        <f t="shared" si="917"/>
        <v>81</v>
      </c>
      <c r="DA651" s="112">
        <f t="shared" ca="1" si="918"/>
        <v>100000</v>
      </c>
      <c r="DC651">
        <f t="shared" si="919"/>
        <v>651</v>
      </c>
      <c r="DE651" t="str">
        <f t="shared" si="940"/>
        <v>cs651:dc790</v>
      </c>
      <c r="DF651">
        <f t="shared" ca="1" si="909"/>
        <v>652</v>
      </c>
      <c r="DG651" s="412">
        <f t="shared" ca="1" si="690"/>
        <v>44804</v>
      </c>
      <c r="DH651" s="411" t="str">
        <f t="shared" ca="1" si="678"/>
        <v/>
      </c>
      <c r="DI651" s="411" t="str">
        <f t="shared" ca="1" si="679"/>
        <v/>
      </c>
      <c r="DJ651" s="410" t="str">
        <f t="shared" ca="1" si="680"/>
        <v/>
      </c>
      <c r="DK651" s="410" t="str">
        <f t="shared" ca="1" si="681"/>
        <v/>
      </c>
      <c r="DM651" s="411" t="str">
        <f t="shared" ca="1" si="691"/>
        <v/>
      </c>
      <c r="DN651" s="411" t="str">
        <f t="shared" ca="1" si="692"/>
        <v/>
      </c>
      <c r="DO651" s="410" t="str">
        <f t="shared" ca="1" si="693"/>
        <v/>
      </c>
      <c r="DP651" s="410" t="str">
        <f t="shared" ca="1" si="694"/>
        <v/>
      </c>
    </row>
    <row r="652" spans="27:120" x14ac:dyDescent="0.25">
      <c r="AA652" s="284" t="str">
        <f t="shared" ref="AA652:AF652" si="991">AA101</f>
        <v/>
      </c>
      <c r="AB652" s="284" t="e">
        <f t="shared" ref="AB652:AE652" ca="1" si="992">IF(OR(AB101&lt;=$AA652,AB101&gt;$AF652),100000,AB101)</f>
        <v>#N/A</v>
      </c>
      <c r="AC652" s="284" t="e">
        <f t="shared" ca="1" si="992"/>
        <v>#N/A</v>
      </c>
      <c r="AD652" s="284" t="e">
        <f t="shared" ca="1" si="992"/>
        <v>#N/A</v>
      </c>
      <c r="AE652" s="284" t="e">
        <f t="shared" ca="1" si="992"/>
        <v>#N/A</v>
      </c>
      <c r="AF652" s="284" t="str">
        <f t="shared" si="991"/>
        <v/>
      </c>
      <c r="AG652" s="238">
        <f t="shared" si="870"/>
        <v>0</v>
      </c>
      <c r="AH652" s="407">
        <f t="shared" si="871"/>
        <v>24</v>
      </c>
      <c r="AL652" s="112" t="str">
        <f t="shared" si="872"/>
        <v/>
      </c>
      <c r="AM652" s="112" t="e">
        <f t="shared" ca="1" si="873"/>
        <v>#N/A</v>
      </c>
      <c r="AN652" s="112" t="e">
        <f t="shared" ca="1" si="874"/>
        <v>#N/A</v>
      </c>
      <c r="AO652" s="112" t="e">
        <f t="shared" ca="1" si="875"/>
        <v>#N/A</v>
      </c>
      <c r="AP652" s="112" t="e">
        <f t="shared" ca="1" si="876"/>
        <v>#N/A</v>
      </c>
      <c r="AQ652" s="112" t="str">
        <f t="shared" si="877"/>
        <v/>
      </c>
      <c r="AT652" s="112" t="str">
        <f t="shared" si="878"/>
        <v/>
      </c>
      <c r="AU652" s="112" t="e">
        <f t="shared" ca="1" si="879"/>
        <v>#N/A</v>
      </c>
      <c r="AV652" s="112" t="e">
        <f t="shared" ca="1" si="880"/>
        <v>#N/A</v>
      </c>
      <c r="AW652" s="112" t="e">
        <f t="shared" ca="1" si="881"/>
        <v>#N/A</v>
      </c>
      <c r="AX652" s="112" t="e">
        <f t="shared" ca="1" si="882"/>
        <v>#N/A</v>
      </c>
      <c r="AY652" s="112" t="str">
        <f t="shared" si="883"/>
        <v/>
      </c>
      <c r="BA652" s="112" t="str">
        <f t="shared" si="884"/>
        <v/>
      </c>
      <c r="BB652" s="112" t="e">
        <f t="shared" ca="1" si="885"/>
        <v>#N/A</v>
      </c>
      <c r="BC652" s="112" t="e">
        <f t="shared" ca="1" si="886"/>
        <v>#N/A</v>
      </c>
      <c r="BD652" s="112" t="e">
        <f t="shared" ca="1" si="887"/>
        <v>#N/A</v>
      </c>
      <c r="BE652" s="112" t="e">
        <f t="shared" ca="1" si="888"/>
        <v>#N/A</v>
      </c>
      <c r="BF652" s="112" t="str">
        <f t="shared" si="889"/>
        <v/>
      </c>
      <c r="BI652" s="112" t="str">
        <f t="shared" si="890"/>
        <v/>
      </c>
      <c r="BJ652" s="112" t="e">
        <f t="shared" ca="1" si="891"/>
        <v>#N/A</v>
      </c>
      <c r="BK652" s="112" t="e">
        <f t="shared" ca="1" si="892"/>
        <v>#N/A</v>
      </c>
      <c r="BL652" s="112" t="e">
        <f t="shared" ca="1" si="893"/>
        <v>#N/A</v>
      </c>
      <c r="BM652" s="112" t="e">
        <f t="shared" ca="1" si="894"/>
        <v>#N/A</v>
      </c>
      <c r="BN652" s="112" t="str">
        <f t="shared" si="895"/>
        <v/>
      </c>
      <c r="BP652" s="238" t="e">
        <f t="shared" ca="1" si="961"/>
        <v>#N/A</v>
      </c>
      <c r="BQ652" s="238">
        <f t="shared" ref="BQ652:BQ655" si="993">BQ651</f>
        <v>587</v>
      </c>
      <c r="BR652" t="s">
        <v>445</v>
      </c>
      <c r="BS652" t="s">
        <v>446</v>
      </c>
      <c r="BT652" s="114">
        <f t="shared" ca="1" si="802"/>
        <v>1</v>
      </c>
      <c r="BU652" s="112"/>
      <c r="BV652">
        <f t="shared" ca="1" si="956"/>
        <v>0</v>
      </c>
      <c r="BW652" s="112">
        <f t="shared" ca="1" si="865"/>
        <v>37663</v>
      </c>
      <c r="BX652" s="112">
        <f t="shared" ca="1" si="987"/>
        <v>37662</v>
      </c>
      <c r="BY652">
        <f t="shared" ca="1" si="935"/>
        <v>16</v>
      </c>
      <c r="BZ652">
        <f t="shared" ca="1" si="936"/>
        <v>24</v>
      </c>
      <c r="CB652">
        <f t="shared" ca="1" si="898"/>
        <v>0</v>
      </c>
      <c r="CC652" s="112">
        <f t="shared" ca="1" si="899"/>
        <v>100000</v>
      </c>
      <c r="CD652" s="112">
        <f t="shared" ca="1" si="900"/>
        <v>37662</v>
      </c>
      <c r="CE652">
        <f t="shared" ca="1" si="901"/>
        <v>16</v>
      </c>
      <c r="CF652">
        <f t="shared" ca="1" si="902"/>
        <v>24</v>
      </c>
      <c r="CH652" s="112">
        <f t="shared" ca="1" si="644"/>
        <v>37663</v>
      </c>
      <c r="CI652">
        <f t="shared" ref="CI652:CI655" ca="1" si="994">CI651</f>
        <v>0</v>
      </c>
      <c r="CJ652">
        <f t="shared" ref="CJ652" ca="1" si="995">IF(AND(CI652=0,CJ653=0,CJ654=0,CJ655=0,CC652&lt;100000),1,0)</f>
        <v>0</v>
      </c>
      <c r="CK652" s="112">
        <f t="shared" ca="1" si="651"/>
        <v>37663</v>
      </c>
      <c r="CM652" s="112"/>
      <c r="CN652" s="260">
        <f t="shared" ca="1" si="904"/>
        <v>100000</v>
      </c>
      <c r="CO652" s="112">
        <f t="shared" ref="CO652:CO655" ca="1" si="996">IF(CJ652=1,CH652,CD652)</f>
        <v>37662</v>
      </c>
      <c r="CP652" s="238">
        <f t="shared" ca="1" si="652"/>
        <v>16</v>
      </c>
      <c r="CQ652" s="328">
        <f t="shared" ca="1" si="653"/>
        <v>24</v>
      </c>
      <c r="CS652" s="112">
        <f t="shared" ca="1" si="867"/>
        <v>100000</v>
      </c>
      <c r="CT652" s="112">
        <f t="shared" ca="1" si="916"/>
        <v>37662</v>
      </c>
      <c r="CU652" s="238">
        <f t="shared" ca="1" si="907"/>
        <v>16</v>
      </c>
      <c r="CV652" s="238">
        <f t="shared" ca="1" si="908"/>
        <v>24</v>
      </c>
      <c r="CY652">
        <f t="shared" si="917"/>
        <v>82</v>
      </c>
      <c r="DA652" s="112">
        <f t="shared" ca="1" si="918"/>
        <v>100000</v>
      </c>
      <c r="DC652">
        <f t="shared" si="919"/>
        <v>652</v>
      </c>
      <c r="DE652" t="str">
        <f t="shared" si="940"/>
        <v>cs652:dc790</v>
      </c>
      <c r="DF652">
        <f t="shared" ca="1" si="909"/>
        <v>652</v>
      </c>
      <c r="DG652" s="412">
        <f t="shared" ca="1" si="690"/>
        <v>44804</v>
      </c>
      <c r="DH652" s="411" t="str">
        <f t="shared" ca="1" si="678"/>
        <v/>
      </c>
      <c r="DI652" s="411" t="str">
        <f t="shared" ca="1" si="679"/>
        <v/>
      </c>
      <c r="DJ652" s="410" t="str">
        <f t="shared" ca="1" si="680"/>
        <v/>
      </c>
      <c r="DK652" s="410" t="str">
        <f t="shared" ca="1" si="681"/>
        <v/>
      </c>
      <c r="DM652" s="411" t="str">
        <f t="shared" ca="1" si="691"/>
        <v/>
      </c>
      <c r="DN652" s="411" t="str">
        <f t="shared" ca="1" si="692"/>
        <v/>
      </c>
      <c r="DO652" s="410" t="str">
        <f t="shared" ca="1" si="693"/>
        <v/>
      </c>
      <c r="DP652" s="410" t="str">
        <f t="shared" ca="1" si="694"/>
        <v/>
      </c>
    </row>
    <row r="653" spans="27:120" x14ac:dyDescent="0.25">
      <c r="AA653" s="284" t="str">
        <f t="shared" ref="AA653:AF653" si="997">AA102</f>
        <v/>
      </c>
      <c r="AB653" s="284" t="e">
        <f t="shared" ref="AB653:AE653" ca="1" si="998">IF(OR(AB102&lt;=$AA653,AB102&gt;$AF653),100000,AB102)</f>
        <v>#N/A</v>
      </c>
      <c r="AC653" s="284" t="e">
        <f t="shared" ca="1" si="998"/>
        <v>#N/A</v>
      </c>
      <c r="AD653" s="284" t="e">
        <f t="shared" ca="1" si="998"/>
        <v>#N/A</v>
      </c>
      <c r="AE653" s="284" t="e">
        <f t="shared" ca="1" si="998"/>
        <v>#N/A</v>
      </c>
      <c r="AF653" s="284" t="str">
        <f t="shared" si="997"/>
        <v/>
      </c>
      <c r="AG653" s="238">
        <f t="shared" si="870"/>
        <v>0</v>
      </c>
      <c r="AH653" s="407">
        <f t="shared" si="871"/>
        <v>24</v>
      </c>
      <c r="AL653" s="112" t="str">
        <f t="shared" si="872"/>
        <v/>
      </c>
      <c r="AM653" s="112" t="e">
        <f t="shared" ca="1" si="873"/>
        <v>#N/A</v>
      </c>
      <c r="AN653" s="112" t="e">
        <f t="shared" ca="1" si="874"/>
        <v>#N/A</v>
      </c>
      <c r="AO653" s="112" t="e">
        <f t="shared" ca="1" si="875"/>
        <v>#N/A</v>
      </c>
      <c r="AP653" s="112" t="e">
        <f t="shared" ca="1" si="876"/>
        <v>#N/A</v>
      </c>
      <c r="AQ653" s="112" t="str">
        <f t="shared" si="877"/>
        <v/>
      </c>
      <c r="AT653" s="112" t="str">
        <f t="shared" si="878"/>
        <v/>
      </c>
      <c r="AU653" s="112" t="e">
        <f t="shared" ca="1" si="879"/>
        <v>#N/A</v>
      </c>
      <c r="AV653" s="112" t="e">
        <f t="shared" ca="1" si="880"/>
        <v>#N/A</v>
      </c>
      <c r="AW653" s="112" t="e">
        <f t="shared" ca="1" si="881"/>
        <v>#N/A</v>
      </c>
      <c r="AX653" s="112" t="e">
        <f t="shared" ca="1" si="882"/>
        <v>#N/A</v>
      </c>
      <c r="AY653" s="112" t="str">
        <f t="shared" si="883"/>
        <v/>
      </c>
      <c r="BA653" s="112" t="str">
        <f t="shared" si="884"/>
        <v/>
      </c>
      <c r="BB653" s="112" t="e">
        <f t="shared" ca="1" si="885"/>
        <v>#N/A</v>
      </c>
      <c r="BC653" s="112" t="e">
        <f t="shared" ca="1" si="886"/>
        <v>#N/A</v>
      </c>
      <c r="BD653" s="112" t="e">
        <f t="shared" ca="1" si="887"/>
        <v>#N/A</v>
      </c>
      <c r="BE653" s="112" t="e">
        <f t="shared" ca="1" si="888"/>
        <v>#N/A</v>
      </c>
      <c r="BF653" s="112" t="str">
        <f t="shared" si="889"/>
        <v/>
      </c>
      <c r="BI653" s="112" t="str">
        <f t="shared" si="890"/>
        <v/>
      </c>
      <c r="BJ653" s="112" t="e">
        <f t="shared" ca="1" si="891"/>
        <v>#N/A</v>
      </c>
      <c r="BK653" s="112" t="e">
        <f t="shared" ca="1" si="892"/>
        <v>#N/A</v>
      </c>
      <c r="BL653" s="112" t="e">
        <f t="shared" ca="1" si="893"/>
        <v>#N/A</v>
      </c>
      <c r="BM653" s="112" t="e">
        <f t="shared" ca="1" si="894"/>
        <v>#N/A</v>
      </c>
      <c r="BN653" s="112" t="str">
        <f t="shared" si="895"/>
        <v/>
      </c>
      <c r="BP653" s="238" t="e">
        <f t="shared" ca="1" si="961"/>
        <v>#N/A</v>
      </c>
      <c r="BQ653" s="238">
        <f t="shared" si="993"/>
        <v>587</v>
      </c>
      <c r="BR653" t="s">
        <v>446</v>
      </c>
      <c r="BS653" t="s">
        <v>447</v>
      </c>
      <c r="BT653" s="114">
        <f t="shared" ca="1" si="802"/>
        <v>1</v>
      </c>
      <c r="BU653" s="112"/>
      <c r="BV653">
        <f t="shared" ca="1" si="956"/>
        <v>0</v>
      </c>
      <c r="BW653" s="112">
        <f t="shared" ca="1" si="865"/>
        <v>37663</v>
      </c>
      <c r="BX653" s="112">
        <f t="shared" ca="1" si="987"/>
        <v>37662</v>
      </c>
      <c r="BY653">
        <f t="shared" ca="1" si="935"/>
        <v>16</v>
      </c>
      <c r="BZ653">
        <f t="shared" ca="1" si="936"/>
        <v>24</v>
      </c>
      <c r="CB653">
        <f t="shared" ca="1" si="898"/>
        <v>0</v>
      </c>
      <c r="CC653" s="112">
        <f t="shared" ca="1" si="899"/>
        <v>100000</v>
      </c>
      <c r="CD653" s="112">
        <f t="shared" ca="1" si="900"/>
        <v>37662</v>
      </c>
      <c r="CE653">
        <f t="shared" ca="1" si="901"/>
        <v>16</v>
      </c>
      <c r="CF653">
        <f t="shared" ca="1" si="902"/>
        <v>24</v>
      </c>
      <c r="CH653" s="112">
        <f t="shared" ca="1" si="644"/>
        <v>37663</v>
      </c>
      <c r="CI653">
        <f t="shared" ca="1" si="994"/>
        <v>0</v>
      </c>
      <c r="CJ653">
        <f t="shared" ref="CJ653" ca="1" si="999">IF(AND(CI653=0,CJ654=0,CJ655=0,CC653&lt;100000),1,0)</f>
        <v>0</v>
      </c>
      <c r="CK653" s="112">
        <f t="shared" ca="1" si="651"/>
        <v>37663</v>
      </c>
      <c r="CM653" s="112"/>
      <c r="CN653" s="260">
        <f t="shared" ca="1" si="904"/>
        <v>100000</v>
      </c>
      <c r="CO653" s="112">
        <f t="shared" ca="1" si="996"/>
        <v>37662</v>
      </c>
      <c r="CP653" s="238">
        <f t="shared" ca="1" si="652"/>
        <v>16</v>
      </c>
      <c r="CQ653" s="328">
        <f t="shared" ca="1" si="653"/>
        <v>24</v>
      </c>
      <c r="CS653" s="112">
        <f t="shared" ca="1" si="867"/>
        <v>100000</v>
      </c>
      <c r="CT653" s="112">
        <f t="shared" ca="1" si="916"/>
        <v>37662</v>
      </c>
      <c r="CU653" s="238">
        <f t="shared" ca="1" si="907"/>
        <v>16</v>
      </c>
      <c r="CV653" s="238">
        <f t="shared" ca="1" si="908"/>
        <v>24</v>
      </c>
      <c r="CY653">
        <f t="shared" si="917"/>
        <v>83</v>
      </c>
      <c r="DA653" s="112">
        <f t="shared" ca="1" si="918"/>
        <v>100000</v>
      </c>
      <c r="DC653">
        <f t="shared" si="919"/>
        <v>653</v>
      </c>
      <c r="DE653" t="str">
        <f t="shared" si="940"/>
        <v>cs653:dc790</v>
      </c>
      <c r="DF653">
        <f t="shared" ca="1" si="909"/>
        <v>653</v>
      </c>
      <c r="DG653" s="412">
        <f t="shared" ca="1" si="690"/>
        <v>44804</v>
      </c>
      <c r="DH653" s="411" t="str">
        <f t="shared" ca="1" si="678"/>
        <v/>
      </c>
      <c r="DI653" s="411" t="str">
        <f t="shared" ca="1" si="679"/>
        <v/>
      </c>
      <c r="DJ653" s="410" t="str">
        <f t="shared" ca="1" si="680"/>
        <v/>
      </c>
      <c r="DK653" s="410" t="str">
        <f t="shared" ca="1" si="681"/>
        <v/>
      </c>
      <c r="DM653" s="411" t="str">
        <f t="shared" ca="1" si="691"/>
        <v/>
      </c>
      <c r="DN653" s="411" t="str">
        <f t="shared" ca="1" si="692"/>
        <v/>
      </c>
      <c r="DO653" s="410" t="str">
        <f t="shared" ca="1" si="693"/>
        <v/>
      </c>
      <c r="DP653" s="410" t="str">
        <f t="shared" ca="1" si="694"/>
        <v/>
      </c>
    </row>
    <row r="654" spans="27:120" x14ac:dyDescent="0.25">
      <c r="AA654" s="284" t="str">
        <f t="shared" ref="AA654:AF654" si="1000">AA103</f>
        <v/>
      </c>
      <c r="AB654" s="284" t="e">
        <f t="shared" ref="AB654:AE654" ca="1" si="1001">IF(OR(AB103&lt;=$AA654,AB103&gt;$AF654),100000,AB103)</f>
        <v>#N/A</v>
      </c>
      <c r="AC654" s="284" t="e">
        <f t="shared" ca="1" si="1001"/>
        <v>#N/A</v>
      </c>
      <c r="AD654" s="284" t="e">
        <f t="shared" ca="1" si="1001"/>
        <v>#N/A</v>
      </c>
      <c r="AE654" s="284" t="e">
        <f t="shared" ca="1" si="1001"/>
        <v>#N/A</v>
      </c>
      <c r="AF654" s="284" t="str">
        <f t="shared" si="1000"/>
        <v/>
      </c>
      <c r="AG654" s="238">
        <f t="shared" si="870"/>
        <v>0</v>
      </c>
      <c r="AH654" s="407">
        <f t="shared" si="871"/>
        <v>24</v>
      </c>
      <c r="AL654" s="112" t="str">
        <f t="shared" si="872"/>
        <v/>
      </c>
      <c r="AM654" s="112" t="e">
        <f t="shared" ca="1" si="873"/>
        <v>#N/A</v>
      </c>
      <c r="AN654" s="112" t="e">
        <f t="shared" ca="1" si="874"/>
        <v>#N/A</v>
      </c>
      <c r="AO654" s="112" t="e">
        <f t="shared" ca="1" si="875"/>
        <v>#N/A</v>
      </c>
      <c r="AP654" s="112" t="e">
        <f t="shared" ca="1" si="876"/>
        <v>#N/A</v>
      </c>
      <c r="AQ654" s="112" t="str">
        <f t="shared" si="877"/>
        <v/>
      </c>
      <c r="AT654" s="112" t="str">
        <f t="shared" si="878"/>
        <v/>
      </c>
      <c r="AU654" s="112" t="e">
        <f t="shared" ca="1" si="879"/>
        <v>#N/A</v>
      </c>
      <c r="AV654" s="112" t="e">
        <f t="shared" ca="1" si="880"/>
        <v>#N/A</v>
      </c>
      <c r="AW654" s="112" t="e">
        <f t="shared" ca="1" si="881"/>
        <v>#N/A</v>
      </c>
      <c r="AX654" s="112" t="e">
        <f t="shared" ca="1" si="882"/>
        <v>#N/A</v>
      </c>
      <c r="AY654" s="112" t="str">
        <f t="shared" si="883"/>
        <v/>
      </c>
      <c r="BA654" s="112" t="str">
        <f t="shared" si="884"/>
        <v/>
      </c>
      <c r="BB654" s="112" t="e">
        <f t="shared" ca="1" si="885"/>
        <v>#N/A</v>
      </c>
      <c r="BC654" s="112" t="e">
        <f t="shared" ca="1" si="886"/>
        <v>#N/A</v>
      </c>
      <c r="BD654" s="112" t="e">
        <f t="shared" ca="1" si="887"/>
        <v>#N/A</v>
      </c>
      <c r="BE654" s="112" t="e">
        <f t="shared" ca="1" si="888"/>
        <v>#N/A</v>
      </c>
      <c r="BF654" s="112" t="str">
        <f t="shared" si="889"/>
        <v/>
      </c>
      <c r="BI654" s="112" t="str">
        <f t="shared" si="890"/>
        <v/>
      </c>
      <c r="BJ654" s="112" t="e">
        <f t="shared" ca="1" si="891"/>
        <v>#N/A</v>
      </c>
      <c r="BK654" s="112" t="e">
        <f t="shared" ca="1" si="892"/>
        <v>#N/A</v>
      </c>
      <c r="BL654" s="112" t="e">
        <f t="shared" ca="1" si="893"/>
        <v>#N/A</v>
      </c>
      <c r="BM654" s="112" t="e">
        <f t="shared" ca="1" si="894"/>
        <v>#N/A</v>
      </c>
      <c r="BN654" s="112" t="str">
        <f t="shared" si="895"/>
        <v/>
      </c>
      <c r="BP654" s="238" t="e">
        <f t="shared" ca="1" si="961"/>
        <v>#N/A</v>
      </c>
      <c r="BQ654" s="238">
        <f t="shared" si="993"/>
        <v>587</v>
      </c>
      <c r="BR654" t="s">
        <v>447</v>
      </c>
      <c r="BS654" t="s">
        <v>448</v>
      </c>
      <c r="BT654" s="114">
        <f t="shared" ca="1" si="802"/>
        <v>1</v>
      </c>
      <c r="BU654" s="112"/>
      <c r="BV654">
        <f t="shared" ca="1" si="956"/>
        <v>0</v>
      </c>
      <c r="BW654" s="112">
        <f t="shared" ca="1" si="865"/>
        <v>37663</v>
      </c>
      <c r="BX654" s="112">
        <f t="shared" ref="BX654:BX655" ca="1" si="1002">INDIRECT(CONCATENATE(BS654,BQ654))</f>
        <v>37663</v>
      </c>
      <c r="BY654">
        <f t="shared" ca="1" si="935"/>
        <v>16</v>
      </c>
      <c r="BZ654">
        <f t="shared" ca="1" si="936"/>
        <v>24</v>
      </c>
      <c r="CB654">
        <f t="shared" ca="1" si="898"/>
        <v>0</v>
      </c>
      <c r="CC654" s="112">
        <f t="shared" ca="1" si="899"/>
        <v>100000</v>
      </c>
      <c r="CD654" s="112">
        <f t="shared" ca="1" si="900"/>
        <v>37663</v>
      </c>
      <c r="CE654">
        <f t="shared" ca="1" si="901"/>
        <v>16</v>
      </c>
      <c r="CF654">
        <f t="shared" ca="1" si="902"/>
        <v>24</v>
      </c>
      <c r="CH654" s="112">
        <f t="shared" ca="1" si="644"/>
        <v>37663</v>
      </c>
      <c r="CI654">
        <f t="shared" ca="1" si="994"/>
        <v>0</v>
      </c>
      <c r="CJ654">
        <f t="shared" ref="CJ654" ca="1" si="1003">IF(AND(CI654=0,CJ655=0,CC654&lt;100000),1,0)</f>
        <v>0</v>
      </c>
      <c r="CK654" s="112">
        <f t="shared" ca="1" si="651"/>
        <v>37663</v>
      </c>
      <c r="CM654" s="112"/>
      <c r="CN654" s="260">
        <f t="shared" ca="1" si="904"/>
        <v>100000</v>
      </c>
      <c r="CO654" s="112">
        <f t="shared" ca="1" si="996"/>
        <v>37663</v>
      </c>
      <c r="CP654" s="238">
        <f t="shared" ca="1" si="652"/>
        <v>16</v>
      </c>
      <c r="CQ654" s="328">
        <f t="shared" ca="1" si="653"/>
        <v>24</v>
      </c>
      <c r="CS654" s="112">
        <f t="shared" ca="1" si="867"/>
        <v>100000</v>
      </c>
      <c r="CT654" s="112">
        <f t="shared" ca="1" si="916"/>
        <v>37663</v>
      </c>
      <c r="CU654" s="238">
        <f t="shared" ca="1" si="907"/>
        <v>16</v>
      </c>
      <c r="CV654" s="238">
        <f t="shared" ca="1" si="908"/>
        <v>24</v>
      </c>
      <c r="CY654">
        <f t="shared" si="917"/>
        <v>84</v>
      </c>
      <c r="DA654" s="112">
        <f t="shared" ca="1" si="918"/>
        <v>100000</v>
      </c>
      <c r="DC654">
        <f t="shared" si="919"/>
        <v>654</v>
      </c>
      <c r="DE654" t="str">
        <f t="shared" si="940"/>
        <v>cs654:dc790</v>
      </c>
      <c r="DF654">
        <f t="shared" ca="1" si="909"/>
        <v>654</v>
      </c>
      <c r="DG654" s="412">
        <f t="shared" ca="1" si="690"/>
        <v>44804</v>
      </c>
      <c r="DH654" s="411" t="str">
        <f t="shared" ca="1" si="678"/>
        <v/>
      </c>
      <c r="DI654" s="411" t="str">
        <f t="shared" ca="1" si="679"/>
        <v/>
      </c>
      <c r="DJ654" s="410" t="str">
        <f t="shared" ca="1" si="680"/>
        <v/>
      </c>
      <c r="DK654" s="410" t="str">
        <f t="shared" ca="1" si="681"/>
        <v/>
      </c>
      <c r="DM654" s="411" t="str">
        <f t="shared" ca="1" si="691"/>
        <v/>
      </c>
      <c r="DN654" s="411" t="str">
        <f t="shared" ca="1" si="692"/>
        <v/>
      </c>
      <c r="DO654" s="410" t="str">
        <f t="shared" ca="1" si="693"/>
        <v/>
      </c>
      <c r="DP654" s="410" t="str">
        <f t="shared" ca="1" si="694"/>
        <v/>
      </c>
    </row>
    <row r="655" spans="27:120" ht="15.75" thickBot="1" x14ac:dyDescent="0.3">
      <c r="AA655" s="284" t="str">
        <f t="shared" ref="AA655:AF655" si="1004">AA104</f>
        <v/>
      </c>
      <c r="AB655" s="284" t="e">
        <f t="shared" ref="AB655:AE655" ca="1" si="1005">IF(OR(AB104&lt;=$AA655,AB104&gt;$AF655),100000,AB104)</f>
        <v>#N/A</v>
      </c>
      <c r="AC655" s="284" t="e">
        <f t="shared" ca="1" si="1005"/>
        <v>#N/A</v>
      </c>
      <c r="AD655" s="284" t="e">
        <f t="shared" ca="1" si="1005"/>
        <v>#N/A</v>
      </c>
      <c r="AE655" s="284" t="e">
        <f t="shared" ca="1" si="1005"/>
        <v>#N/A</v>
      </c>
      <c r="AF655" s="284" t="str">
        <f t="shared" si="1004"/>
        <v/>
      </c>
      <c r="AG655" s="238">
        <f t="shared" si="870"/>
        <v>0</v>
      </c>
      <c r="AH655" s="407">
        <f t="shared" si="871"/>
        <v>24</v>
      </c>
      <c r="AL655" s="112" t="str">
        <f t="shared" si="872"/>
        <v/>
      </c>
      <c r="AM655" s="112" t="e">
        <f t="shared" ca="1" si="873"/>
        <v>#N/A</v>
      </c>
      <c r="AN655" s="112" t="e">
        <f t="shared" ca="1" si="874"/>
        <v>#N/A</v>
      </c>
      <c r="AO655" s="112" t="e">
        <f t="shared" ca="1" si="875"/>
        <v>#N/A</v>
      </c>
      <c r="AP655" s="112" t="e">
        <f t="shared" ca="1" si="876"/>
        <v>#N/A</v>
      </c>
      <c r="AQ655" s="112" t="str">
        <f t="shared" si="877"/>
        <v/>
      </c>
      <c r="AT655" s="112" t="str">
        <f t="shared" si="878"/>
        <v/>
      </c>
      <c r="AU655" s="112" t="e">
        <f t="shared" ca="1" si="879"/>
        <v>#N/A</v>
      </c>
      <c r="AV655" s="112" t="e">
        <f t="shared" ca="1" si="880"/>
        <v>#N/A</v>
      </c>
      <c r="AW655" s="112" t="e">
        <f t="shared" ca="1" si="881"/>
        <v>#N/A</v>
      </c>
      <c r="AX655" s="112" t="e">
        <f t="shared" ca="1" si="882"/>
        <v>#N/A</v>
      </c>
      <c r="AY655" s="112" t="str">
        <f t="shared" si="883"/>
        <v/>
      </c>
      <c r="BA655" s="112" t="str">
        <f t="shared" si="884"/>
        <v/>
      </c>
      <c r="BB655" s="112" t="e">
        <f t="shared" ca="1" si="885"/>
        <v>#N/A</v>
      </c>
      <c r="BC655" s="112" t="e">
        <f t="shared" ca="1" si="886"/>
        <v>#N/A</v>
      </c>
      <c r="BD655" s="112" t="e">
        <f t="shared" ca="1" si="887"/>
        <v>#N/A</v>
      </c>
      <c r="BE655" s="112" t="e">
        <f t="shared" ca="1" si="888"/>
        <v>#N/A</v>
      </c>
      <c r="BF655" s="112" t="str">
        <f t="shared" si="889"/>
        <v/>
      </c>
      <c r="BI655" s="112" t="str">
        <f t="shared" si="890"/>
        <v/>
      </c>
      <c r="BJ655" s="112" t="e">
        <f t="shared" ca="1" si="891"/>
        <v>#N/A</v>
      </c>
      <c r="BK655" s="112" t="e">
        <f t="shared" ca="1" si="892"/>
        <v>#N/A</v>
      </c>
      <c r="BL655" s="112" t="e">
        <f t="shared" ca="1" si="893"/>
        <v>#N/A</v>
      </c>
      <c r="BM655" s="112" t="e">
        <f t="shared" ca="1" si="894"/>
        <v>#N/A</v>
      </c>
      <c r="BN655" s="112" t="str">
        <f t="shared" si="895"/>
        <v/>
      </c>
      <c r="BP655" s="238" t="e">
        <f t="shared" ca="1" si="961"/>
        <v>#N/A</v>
      </c>
      <c r="BQ655" s="238">
        <f t="shared" si="993"/>
        <v>587</v>
      </c>
      <c r="BR655" t="s">
        <v>448</v>
      </c>
      <c r="BS655" t="s">
        <v>449</v>
      </c>
      <c r="BT655" s="114">
        <f t="shared" ca="1" si="802"/>
        <v>1</v>
      </c>
      <c r="BU655" s="112"/>
      <c r="BV655">
        <f t="shared" ca="1" si="956"/>
        <v>0</v>
      </c>
      <c r="BW655" s="112">
        <f t="shared" ca="1" si="865"/>
        <v>37663</v>
      </c>
      <c r="BX655" s="112">
        <f t="shared" ca="1" si="1002"/>
        <v>37663</v>
      </c>
      <c r="BY655">
        <f t="shared" ca="1" si="935"/>
        <v>16</v>
      </c>
      <c r="BZ655">
        <f t="shared" ca="1" si="936"/>
        <v>24</v>
      </c>
      <c r="CB655">
        <f t="shared" ca="1" si="898"/>
        <v>0</v>
      </c>
      <c r="CC655" s="112">
        <f t="shared" ca="1" si="899"/>
        <v>100000</v>
      </c>
      <c r="CD655" s="112">
        <f t="shared" ca="1" si="900"/>
        <v>37663</v>
      </c>
      <c r="CE655">
        <f t="shared" ca="1" si="901"/>
        <v>16</v>
      </c>
      <c r="CF655">
        <f t="shared" ca="1" si="902"/>
        <v>24</v>
      </c>
      <c r="CH655" s="112">
        <f t="shared" ca="1" si="644"/>
        <v>37663</v>
      </c>
      <c r="CI655">
        <f t="shared" ca="1" si="994"/>
        <v>0</v>
      </c>
      <c r="CJ655">
        <f t="shared" ref="CJ655" ca="1" si="1006">IF(AND(CI655=0,CC655&lt;100000),1,0)</f>
        <v>0</v>
      </c>
      <c r="CK655" s="112">
        <f t="shared" ca="1" si="651"/>
        <v>37663</v>
      </c>
      <c r="CM655" s="112"/>
      <c r="CN655" s="261">
        <f t="shared" ref="CN655" ca="1" si="1007">IF(AND(CN651=100000,CN652=100000,CN653=100000,CN654=100000),INDIRECT(CONCATENATE("aa",BQ655)),CC655)</f>
        <v>100000</v>
      </c>
      <c r="CO655" s="324">
        <f t="shared" ca="1" si="996"/>
        <v>37663</v>
      </c>
      <c r="CP655" s="256">
        <f t="shared" ca="1" si="652"/>
        <v>16</v>
      </c>
      <c r="CQ655" s="329">
        <f t="shared" ca="1" si="653"/>
        <v>24</v>
      </c>
      <c r="CS655" s="112">
        <f t="shared" ca="1" si="867"/>
        <v>100000</v>
      </c>
      <c r="CT655" s="112">
        <f t="shared" ca="1" si="916"/>
        <v>37663</v>
      </c>
      <c r="CU655" s="238">
        <f t="shared" ca="1" si="907"/>
        <v>16</v>
      </c>
      <c r="CV655" s="238">
        <f t="shared" ca="1" si="908"/>
        <v>24</v>
      </c>
      <c r="CY655">
        <f t="shared" si="917"/>
        <v>85</v>
      </c>
      <c r="DA655" s="112">
        <f t="shared" ca="1" si="918"/>
        <v>100000</v>
      </c>
      <c r="DC655">
        <f t="shared" si="919"/>
        <v>655</v>
      </c>
      <c r="DE655" t="str">
        <f t="shared" si="940"/>
        <v>cs655:dc790</v>
      </c>
      <c r="DF655">
        <f t="shared" ca="1" si="909"/>
        <v>655</v>
      </c>
      <c r="DG655" s="412">
        <f t="shared" ca="1" si="690"/>
        <v>44804</v>
      </c>
      <c r="DH655" s="411" t="str">
        <f t="shared" ca="1" si="678"/>
        <v/>
      </c>
      <c r="DI655" s="411" t="str">
        <f t="shared" ca="1" si="679"/>
        <v/>
      </c>
      <c r="DJ655" s="410" t="str">
        <f t="shared" ca="1" si="680"/>
        <v/>
      </c>
      <c r="DK655" s="410" t="str">
        <f t="shared" ca="1" si="681"/>
        <v/>
      </c>
      <c r="DM655" s="411" t="str">
        <f t="shared" ca="1" si="691"/>
        <v/>
      </c>
      <c r="DN655" s="411" t="str">
        <f t="shared" ca="1" si="692"/>
        <v/>
      </c>
      <c r="DO655" s="410" t="str">
        <f t="shared" ca="1" si="693"/>
        <v/>
      </c>
      <c r="DP655" s="410" t="str">
        <f t="shared" ca="1" si="694"/>
        <v/>
      </c>
    </row>
    <row r="656" spans="27:120" x14ac:dyDescent="0.25">
      <c r="AA656" s="284" t="str">
        <f t="shared" ref="AA656:AF656" si="1008">AA105</f>
        <v/>
      </c>
      <c r="AB656" s="284" t="e">
        <f t="shared" ref="AB656:AE656" ca="1" si="1009">IF(OR(AB105&lt;=$AA656,AB105&gt;$AF656),100000,AB105)</f>
        <v>#N/A</v>
      </c>
      <c r="AC656" s="284" t="e">
        <f t="shared" ca="1" si="1009"/>
        <v>#N/A</v>
      </c>
      <c r="AD656" s="284" t="e">
        <f t="shared" ca="1" si="1009"/>
        <v>#N/A</v>
      </c>
      <c r="AE656" s="284" t="e">
        <f t="shared" ca="1" si="1009"/>
        <v>#N/A</v>
      </c>
      <c r="AF656" s="284" t="str">
        <f t="shared" si="1008"/>
        <v/>
      </c>
      <c r="AG656" s="238">
        <f t="shared" si="870"/>
        <v>0</v>
      </c>
      <c r="AH656" s="407">
        <f t="shared" si="871"/>
        <v>24</v>
      </c>
      <c r="AL656" s="112" t="str">
        <f t="shared" si="872"/>
        <v/>
      </c>
      <c r="AM656" s="112" t="e">
        <f t="shared" ca="1" si="873"/>
        <v>#N/A</v>
      </c>
      <c r="AN656" s="112" t="e">
        <f t="shared" ca="1" si="874"/>
        <v>#N/A</v>
      </c>
      <c r="AO656" s="112" t="e">
        <f t="shared" ca="1" si="875"/>
        <v>#N/A</v>
      </c>
      <c r="AP656" s="112" t="e">
        <f t="shared" ca="1" si="876"/>
        <v>#N/A</v>
      </c>
      <c r="AQ656" s="112" t="str">
        <f t="shared" si="877"/>
        <v/>
      </c>
      <c r="AT656" s="112" t="str">
        <f t="shared" si="878"/>
        <v/>
      </c>
      <c r="AU656" s="112" t="e">
        <f t="shared" ca="1" si="879"/>
        <v>#N/A</v>
      </c>
      <c r="AV656" s="112" t="e">
        <f t="shared" ca="1" si="880"/>
        <v>#N/A</v>
      </c>
      <c r="AW656" s="112" t="e">
        <f t="shared" ca="1" si="881"/>
        <v>#N/A</v>
      </c>
      <c r="AX656" s="112" t="e">
        <f t="shared" ca="1" si="882"/>
        <v>#N/A</v>
      </c>
      <c r="AY656" s="112" t="str">
        <f t="shared" si="883"/>
        <v/>
      </c>
      <c r="BA656" s="112" t="str">
        <f t="shared" si="884"/>
        <v/>
      </c>
      <c r="BB656" s="112" t="e">
        <f t="shared" ca="1" si="885"/>
        <v>#N/A</v>
      </c>
      <c r="BC656" s="112" t="e">
        <f t="shared" ca="1" si="886"/>
        <v>#N/A</v>
      </c>
      <c r="BD656" s="112" t="e">
        <f t="shared" ca="1" si="887"/>
        <v>#N/A</v>
      </c>
      <c r="BE656" s="112" t="e">
        <f t="shared" ca="1" si="888"/>
        <v>#N/A</v>
      </c>
      <c r="BF656" s="112" t="str">
        <f t="shared" si="889"/>
        <v/>
      </c>
      <c r="BI656" s="112" t="str">
        <f t="shared" si="890"/>
        <v/>
      </c>
      <c r="BJ656" s="112" t="e">
        <f t="shared" ca="1" si="891"/>
        <v>#N/A</v>
      </c>
      <c r="BK656" s="112" t="e">
        <f t="shared" ca="1" si="892"/>
        <v>#N/A</v>
      </c>
      <c r="BL656" s="112" t="e">
        <f t="shared" ca="1" si="893"/>
        <v>#N/A</v>
      </c>
      <c r="BM656" s="112" t="e">
        <f t="shared" ca="1" si="894"/>
        <v>#N/A</v>
      </c>
      <c r="BN656" s="112" t="str">
        <f t="shared" si="895"/>
        <v/>
      </c>
      <c r="BP656" s="238" t="e">
        <f t="shared" ca="1" si="961"/>
        <v>#N/A</v>
      </c>
      <c r="BQ656" s="238">
        <f t="shared" ref="BQ656" si="1010">BQ655+1</f>
        <v>588</v>
      </c>
      <c r="BR656" s="112" t="s">
        <v>444</v>
      </c>
      <c r="BS656" s="112" t="s">
        <v>445</v>
      </c>
      <c r="BT656" s="114">
        <f t="shared" ca="1" si="802"/>
        <v>1</v>
      </c>
      <c r="BU656" s="112"/>
      <c r="BV656">
        <f t="shared" ca="1" si="956"/>
        <v>1</v>
      </c>
      <c r="BW656" s="112">
        <f t="shared" ca="1" si="865"/>
        <v>37644</v>
      </c>
      <c r="BX656" s="112">
        <f t="shared" ref="BX656:BX658" ca="1" si="1011">INDIRECT(CONCATENATE(BS656,BQ656))-1</f>
        <v>37782</v>
      </c>
      <c r="BY656">
        <f t="shared" ca="1" si="935"/>
        <v>2</v>
      </c>
      <c r="BZ656">
        <f t="shared" ca="1" si="936"/>
        <v>24</v>
      </c>
      <c r="CB656">
        <f t="shared" ca="1" si="898"/>
        <v>0</v>
      </c>
      <c r="CC656" s="112">
        <f t="shared" ca="1" si="899"/>
        <v>37644</v>
      </c>
      <c r="CD656" s="112">
        <f t="shared" ca="1" si="900"/>
        <v>37782</v>
      </c>
      <c r="CE656">
        <f t="shared" ca="1" si="901"/>
        <v>2</v>
      </c>
      <c r="CF656">
        <f t="shared" ca="1" si="902"/>
        <v>24</v>
      </c>
      <c r="CH656" s="112">
        <f t="shared" ref="CH656:CH719" ca="1" si="1012">INDIRECT(CONCATENATE("af",BQ656))</f>
        <v>37783</v>
      </c>
      <c r="CI656">
        <f t="shared" ref="CI656" ca="1" si="1013">CB656+CB657+CB658+CB659+CB660</f>
        <v>0</v>
      </c>
      <c r="CJ656">
        <v>0</v>
      </c>
      <c r="CK656" s="112">
        <f t="shared" ca="1" si="651"/>
        <v>37783</v>
      </c>
      <c r="CM656" s="112"/>
      <c r="CN656" s="408">
        <f t="shared" ca="1" si="904"/>
        <v>37644</v>
      </c>
      <c r="CO656" s="326">
        <f t="shared" ref="CO656" ca="1" si="1014">CD656</f>
        <v>37782</v>
      </c>
      <c r="CP656" s="333">
        <f t="shared" ca="1" si="652"/>
        <v>2</v>
      </c>
      <c r="CQ656" s="327">
        <f t="shared" ca="1" si="653"/>
        <v>24</v>
      </c>
      <c r="CS656" s="112">
        <f t="shared" ca="1" si="867"/>
        <v>37644</v>
      </c>
      <c r="CT656" s="112">
        <f t="shared" ref="CT656" ca="1" si="1015">IF(AND( CN657=100000,CN658=100000,CN659=100000,CN660=100000),CO660,                             CO656)</f>
        <v>37783</v>
      </c>
      <c r="CU656" s="238">
        <f t="shared" ca="1" si="907"/>
        <v>2</v>
      </c>
      <c r="CV656" s="238">
        <f t="shared" ca="1" si="908"/>
        <v>24</v>
      </c>
      <c r="CY656">
        <f t="shared" si="917"/>
        <v>86</v>
      </c>
      <c r="DA656" s="112">
        <f t="shared" ca="1" si="918"/>
        <v>100000</v>
      </c>
      <c r="DC656">
        <f t="shared" si="919"/>
        <v>656</v>
      </c>
      <c r="DE656" t="str">
        <f t="shared" si="940"/>
        <v>cs656:dc790</v>
      </c>
      <c r="DF656">
        <f t="shared" ca="1" si="909"/>
        <v>657</v>
      </c>
      <c r="DG656" s="412">
        <f t="shared" ca="1" si="690"/>
        <v>44804</v>
      </c>
      <c r="DH656" s="411" t="str">
        <f t="shared" ca="1" si="678"/>
        <v/>
      </c>
      <c r="DI656" s="411" t="str">
        <f t="shared" ca="1" si="679"/>
        <v/>
      </c>
      <c r="DJ656" s="410" t="str">
        <f t="shared" ca="1" si="680"/>
        <v/>
      </c>
      <c r="DK656" s="410" t="str">
        <f t="shared" ca="1" si="681"/>
        <v/>
      </c>
      <c r="DM656" s="411" t="str">
        <f t="shared" ca="1" si="691"/>
        <v/>
      </c>
      <c r="DN656" s="411" t="str">
        <f t="shared" ca="1" si="692"/>
        <v/>
      </c>
      <c r="DO656" s="410" t="str">
        <f t="shared" ca="1" si="693"/>
        <v/>
      </c>
      <c r="DP656" s="410" t="str">
        <f t="shared" ca="1" si="694"/>
        <v/>
      </c>
    </row>
    <row r="657" spans="27:120" x14ac:dyDescent="0.25">
      <c r="AA657" s="284" t="str">
        <f t="shared" ref="AA657:AF657" si="1016">AA106</f>
        <v/>
      </c>
      <c r="AB657" s="284" t="e">
        <f t="shared" ref="AB657:AE657" ca="1" si="1017">IF(OR(AB106&lt;=$AA657,AB106&gt;$AF657),100000,AB106)</f>
        <v>#N/A</v>
      </c>
      <c r="AC657" s="284" t="e">
        <f t="shared" ca="1" si="1017"/>
        <v>#N/A</v>
      </c>
      <c r="AD657" s="284" t="e">
        <f t="shared" ca="1" si="1017"/>
        <v>#N/A</v>
      </c>
      <c r="AE657" s="284" t="e">
        <f t="shared" ca="1" si="1017"/>
        <v>#N/A</v>
      </c>
      <c r="AF657" s="284" t="str">
        <f t="shared" si="1016"/>
        <v/>
      </c>
      <c r="AG657" s="238">
        <f t="shared" si="870"/>
        <v>0</v>
      </c>
      <c r="AH657" s="407">
        <f t="shared" si="871"/>
        <v>24</v>
      </c>
      <c r="AL657" s="112" t="str">
        <f t="shared" si="872"/>
        <v/>
      </c>
      <c r="AM657" s="112" t="e">
        <f t="shared" ca="1" si="873"/>
        <v>#N/A</v>
      </c>
      <c r="AN657" s="112" t="e">
        <f t="shared" ca="1" si="874"/>
        <v>#N/A</v>
      </c>
      <c r="AO657" s="112" t="e">
        <f t="shared" ca="1" si="875"/>
        <v>#N/A</v>
      </c>
      <c r="AP657" s="112" t="e">
        <f t="shared" ca="1" si="876"/>
        <v>#N/A</v>
      </c>
      <c r="AQ657" s="112" t="str">
        <f t="shared" si="877"/>
        <v/>
      </c>
      <c r="AT657" s="112" t="str">
        <f t="shared" si="878"/>
        <v/>
      </c>
      <c r="AU657" s="112" t="e">
        <f t="shared" ca="1" si="879"/>
        <v>#N/A</v>
      </c>
      <c r="AV657" s="112" t="e">
        <f t="shared" ca="1" si="880"/>
        <v>#N/A</v>
      </c>
      <c r="AW657" s="112" t="e">
        <f t="shared" ca="1" si="881"/>
        <v>#N/A</v>
      </c>
      <c r="AX657" s="112" t="e">
        <f t="shared" ca="1" si="882"/>
        <v>#N/A</v>
      </c>
      <c r="AY657" s="112" t="str">
        <f t="shared" si="883"/>
        <v/>
      </c>
      <c r="BA657" s="112" t="str">
        <f t="shared" si="884"/>
        <v/>
      </c>
      <c r="BB657" s="112" t="e">
        <f t="shared" ca="1" si="885"/>
        <v>#N/A</v>
      </c>
      <c r="BC657" s="112" t="e">
        <f t="shared" ca="1" si="886"/>
        <v>#N/A</v>
      </c>
      <c r="BD657" s="112" t="e">
        <f t="shared" ca="1" si="887"/>
        <v>#N/A</v>
      </c>
      <c r="BE657" s="112" t="e">
        <f t="shared" ca="1" si="888"/>
        <v>#N/A</v>
      </c>
      <c r="BF657" s="112" t="str">
        <f t="shared" si="889"/>
        <v/>
      </c>
      <c r="BI657" s="112" t="str">
        <f t="shared" si="890"/>
        <v/>
      </c>
      <c r="BJ657" s="112" t="e">
        <f t="shared" ca="1" si="891"/>
        <v>#N/A</v>
      </c>
      <c r="BK657" s="112" t="e">
        <f t="shared" ca="1" si="892"/>
        <v>#N/A</v>
      </c>
      <c r="BL657" s="112" t="e">
        <f t="shared" ca="1" si="893"/>
        <v>#N/A</v>
      </c>
      <c r="BM657" s="112" t="e">
        <f t="shared" ca="1" si="894"/>
        <v>#N/A</v>
      </c>
      <c r="BN657" s="112" t="str">
        <f t="shared" si="895"/>
        <v/>
      </c>
      <c r="BP657" s="238" t="e">
        <f t="shared" ca="1" si="961"/>
        <v>#N/A</v>
      </c>
      <c r="BQ657" s="238">
        <f t="shared" ref="BQ657:BQ660" si="1018">BQ656</f>
        <v>588</v>
      </c>
      <c r="BR657" t="s">
        <v>445</v>
      </c>
      <c r="BS657" t="s">
        <v>446</v>
      </c>
      <c r="BT657" s="114">
        <f t="shared" ca="1" si="802"/>
        <v>1</v>
      </c>
      <c r="BU657" s="112"/>
      <c r="BV657">
        <f t="shared" ca="1" si="956"/>
        <v>0</v>
      </c>
      <c r="BW657" s="112">
        <f t="shared" ca="1" si="865"/>
        <v>37783</v>
      </c>
      <c r="BX657" s="112">
        <f t="shared" ca="1" si="1011"/>
        <v>37782</v>
      </c>
      <c r="BY657">
        <f t="shared" ca="1" si="935"/>
        <v>2</v>
      </c>
      <c r="BZ657">
        <f t="shared" ca="1" si="936"/>
        <v>24</v>
      </c>
      <c r="CB657">
        <f t="shared" ca="1" si="898"/>
        <v>0</v>
      </c>
      <c r="CC657" s="112">
        <f t="shared" ca="1" si="899"/>
        <v>100000</v>
      </c>
      <c r="CD657" s="112">
        <f t="shared" ca="1" si="900"/>
        <v>37782</v>
      </c>
      <c r="CE657">
        <f t="shared" ca="1" si="901"/>
        <v>2</v>
      </c>
      <c r="CF657">
        <f t="shared" ca="1" si="902"/>
        <v>24</v>
      </c>
      <c r="CH657" s="112">
        <f t="shared" ca="1" si="1012"/>
        <v>37783</v>
      </c>
      <c r="CI657">
        <f t="shared" ref="CI657:CI660" ca="1" si="1019">CI656</f>
        <v>0</v>
      </c>
      <c r="CJ657">
        <f t="shared" ref="CJ657" ca="1" si="1020">IF(AND(CI657=0,CJ658=0,CJ659=0,CJ660=0,CC657&lt;100000),1,0)</f>
        <v>0</v>
      </c>
      <c r="CK657" s="112">
        <f t="shared" ref="CK657:CK720" ca="1" si="1021">IF(CJ657=0,INDIRECT(CONCATENATE("af",BQ657)),1)</f>
        <v>37783</v>
      </c>
      <c r="CM657" s="112"/>
      <c r="CN657" s="260">
        <f t="shared" ca="1" si="904"/>
        <v>100000</v>
      </c>
      <c r="CO657" s="112">
        <f t="shared" ref="CO657:CO660" ca="1" si="1022">IF(CJ657=1,CH657,CD657)</f>
        <v>37782</v>
      </c>
      <c r="CP657" s="238">
        <f t="shared" ref="CP657:CP720" ca="1" si="1023">CE657</f>
        <v>2</v>
      </c>
      <c r="CQ657" s="328">
        <f t="shared" ref="CQ657:CQ720" ca="1" si="1024">CF657</f>
        <v>24</v>
      </c>
      <c r="CS657" s="112">
        <f t="shared" ca="1" si="867"/>
        <v>100000</v>
      </c>
      <c r="CT657" s="112">
        <f t="shared" ca="1" si="916"/>
        <v>37782</v>
      </c>
      <c r="CU657" s="238">
        <f t="shared" ca="1" si="907"/>
        <v>2</v>
      </c>
      <c r="CV657" s="238">
        <f t="shared" ca="1" si="908"/>
        <v>24</v>
      </c>
      <c r="CY657">
        <f t="shared" si="917"/>
        <v>87</v>
      </c>
      <c r="DA657" s="112">
        <f t="shared" ca="1" si="918"/>
        <v>100000</v>
      </c>
      <c r="DC657">
        <f t="shared" si="919"/>
        <v>657</v>
      </c>
      <c r="DE657" t="str">
        <f t="shared" si="940"/>
        <v>cs657:dc790</v>
      </c>
      <c r="DF657">
        <f t="shared" ca="1" si="909"/>
        <v>657</v>
      </c>
      <c r="DG657" s="412">
        <f t="shared" ca="1" si="690"/>
        <v>44804</v>
      </c>
      <c r="DH657" s="411" t="str">
        <f t="shared" ca="1" si="678"/>
        <v/>
      </c>
      <c r="DI657" s="411" t="str">
        <f t="shared" ca="1" si="679"/>
        <v/>
      </c>
      <c r="DJ657" s="410" t="str">
        <f t="shared" ca="1" si="680"/>
        <v/>
      </c>
      <c r="DK657" s="410" t="str">
        <f t="shared" ca="1" si="681"/>
        <v/>
      </c>
      <c r="DM657" s="411" t="str">
        <f t="shared" ca="1" si="691"/>
        <v/>
      </c>
      <c r="DN657" s="411" t="str">
        <f t="shared" ca="1" si="692"/>
        <v/>
      </c>
      <c r="DO657" s="410" t="str">
        <f t="shared" ca="1" si="693"/>
        <v/>
      </c>
      <c r="DP657" s="410" t="str">
        <f t="shared" ca="1" si="694"/>
        <v/>
      </c>
    </row>
    <row r="658" spans="27:120" x14ac:dyDescent="0.25">
      <c r="AA658" s="284" t="str">
        <f t="shared" ref="AA658:AF658" si="1025">AA107</f>
        <v/>
      </c>
      <c r="AB658" s="284" t="e">
        <f t="shared" ref="AB658:AE658" ca="1" si="1026">IF(OR(AB107&lt;=$AA658,AB107&gt;$AF658),100000,AB107)</f>
        <v>#N/A</v>
      </c>
      <c r="AC658" s="284" t="e">
        <f t="shared" ca="1" si="1026"/>
        <v>#N/A</v>
      </c>
      <c r="AD658" s="284" t="e">
        <f t="shared" ca="1" si="1026"/>
        <v>#N/A</v>
      </c>
      <c r="AE658" s="284" t="e">
        <f t="shared" ca="1" si="1026"/>
        <v>#N/A</v>
      </c>
      <c r="AF658" s="284" t="str">
        <f t="shared" si="1025"/>
        <v/>
      </c>
      <c r="AG658" s="238">
        <f t="shared" si="870"/>
        <v>0</v>
      </c>
      <c r="AH658" s="407">
        <f t="shared" si="871"/>
        <v>24</v>
      </c>
      <c r="AL658" s="112" t="str">
        <f t="shared" si="872"/>
        <v/>
      </c>
      <c r="AM658" s="112" t="e">
        <f t="shared" ca="1" si="873"/>
        <v>#N/A</v>
      </c>
      <c r="AN658" s="112" t="e">
        <f t="shared" ca="1" si="874"/>
        <v>#N/A</v>
      </c>
      <c r="AO658" s="112" t="e">
        <f t="shared" ca="1" si="875"/>
        <v>#N/A</v>
      </c>
      <c r="AP658" s="112" t="e">
        <f t="shared" ca="1" si="876"/>
        <v>#N/A</v>
      </c>
      <c r="AQ658" s="112" t="str">
        <f t="shared" si="877"/>
        <v/>
      </c>
      <c r="AT658" s="112" t="str">
        <f t="shared" si="878"/>
        <v/>
      </c>
      <c r="AU658" s="112" t="e">
        <f t="shared" ca="1" si="879"/>
        <v>#N/A</v>
      </c>
      <c r="AV658" s="112" t="e">
        <f t="shared" ca="1" si="880"/>
        <v>#N/A</v>
      </c>
      <c r="AW658" s="112" t="e">
        <f t="shared" ca="1" si="881"/>
        <v>#N/A</v>
      </c>
      <c r="AX658" s="112" t="e">
        <f t="shared" ca="1" si="882"/>
        <v>#N/A</v>
      </c>
      <c r="AY658" s="112" t="str">
        <f t="shared" si="883"/>
        <v/>
      </c>
      <c r="BA658" s="112" t="str">
        <f t="shared" si="884"/>
        <v/>
      </c>
      <c r="BB658" s="112" t="e">
        <f t="shared" ca="1" si="885"/>
        <v>#N/A</v>
      </c>
      <c r="BC658" s="112" t="e">
        <f t="shared" ca="1" si="886"/>
        <v>#N/A</v>
      </c>
      <c r="BD658" s="112" t="e">
        <f t="shared" ca="1" si="887"/>
        <v>#N/A</v>
      </c>
      <c r="BE658" s="112" t="e">
        <f t="shared" ca="1" si="888"/>
        <v>#N/A</v>
      </c>
      <c r="BF658" s="112" t="str">
        <f t="shared" si="889"/>
        <v/>
      </c>
      <c r="BI658" s="112" t="str">
        <f t="shared" si="890"/>
        <v/>
      </c>
      <c r="BJ658" s="112" t="e">
        <f t="shared" ca="1" si="891"/>
        <v>#N/A</v>
      </c>
      <c r="BK658" s="112" t="e">
        <f t="shared" ca="1" si="892"/>
        <v>#N/A</v>
      </c>
      <c r="BL658" s="112" t="e">
        <f t="shared" ca="1" si="893"/>
        <v>#N/A</v>
      </c>
      <c r="BM658" s="112" t="e">
        <f t="shared" ca="1" si="894"/>
        <v>#N/A</v>
      </c>
      <c r="BN658" s="112" t="str">
        <f t="shared" si="895"/>
        <v/>
      </c>
      <c r="BP658" s="238" t="e">
        <f t="shared" ca="1" si="961"/>
        <v>#N/A</v>
      </c>
      <c r="BQ658" s="238">
        <f t="shared" si="1018"/>
        <v>588</v>
      </c>
      <c r="BR658" t="s">
        <v>446</v>
      </c>
      <c r="BS658" t="s">
        <v>447</v>
      </c>
      <c r="BT658" s="114">
        <f t="shared" ca="1" si="802"/>
        <v>1</v>
      </c>
      <c r="BU658" s="112"/>
      <c r="BV658">
        <f t="shared" ca="1" si="956"/>
        <v>0</v>
      </c>
      <c r="BW658" s="112">
        <f t="shared" ca="1" si="865"/>
        <v>37783</v>
      </c>
      <c r="BX658" s="112">
        <f t="shared" ca="1" si="1011"/>
        <v>37782</v>
      </c>
      <c r="BY658">
        <f t="shared" ca="1" si="935"/>
        <v>2</v>
      </c>
      <c r="BZ658">
        <f t="shared" ca="1" si="936"/>
        <v>24</v>
      </c>
      <c r="CB658">
        <f t="shared" ca="1" si="898"/>
        <v>0</v>
      </c>
      <c r="CC658" s="112">
        <f t="shared" ca="1" si="899"/>
        <v>100000</v>
      </c>
      <c r="CD658" s="112">
        <f t="shared" ca="1" si="900"/>
        <v>37782</v>
      </c>
      <c r="CE658">
        <f t="shared" ca="1" si="901"/>
        <v>2</v>
      </c>
      <c r="CF658">
        <f t="shared" ca="1" si="902"/>
        <v>24</v>
      </c>
      <c r="CH658" s="112">
        <f t="shared" ca="1" si="1012"/>
        <v>37783</v>
      </c>
      <c r="CI658">
        <f t="shared" ca="1" si="1019"/>
        <v>0</v>
      </c>
      <c r="CJ658">
        <f t="shared" ref="CJ658" ca="1" si="1027">IF(AND(CI658=0,CJ659=0,CJ660=0,CC658&lt;100000),1,0)</f>
        <v>0</v>
      </c>
      <c r="CK658" s="112">
        <f t="shared" ca="1" si="1021"/>
        <v>37783</v>
      </c>
      <c r="CM658" s="112"/>
      <c r="CN658" s="260">
        <f t="shared" ca="1" si="904"/>
        <v>100000</v>
      </c>
      <c r="CO658" s="112">
        <f t="shared" ca="1" si="1022"/>
        <v>37782</v>
      </c>
      <c r="CP658" s="238">
        <f t="shared" ca="1" si="1023"/>
        <v>2</v>
      </c>
      <c r="CQ658" s="328">
        <f t="shared" ca="1" si="1024"/>
        <v>24</v>
      </c>
      <c r="CS658" s="112">
        <f t="shared" ca="1" si="867"/>
        <v>100000</v>
      </c>
      <c r="CT658" s="112">
        <f t="shared" ca="1" si="916"/>
        <v>37782</v>
      </c>
      <c r="CU658" s="238">
        <f t="shared" ca="1" si="907"/>
        <v>2</v>
      </c>
      <c r="CV658" s="238">
        <f t="shared" ca="1" si="908"/>
        <v>24</v>
      </c>
      <c r="CY658">
        <f t="shared" si="917"/>
        <v>88</v>
      </c>
      <c r="DA658" s="112">
        <f t="shared" ca="1" si="918"/>
        <v>100000</v>
      </c>
      <c r="DC658">
        <f t="shared" si="919"/>
        <v>658</v>
      </c>
      <c r="DE658" t="str">
        <f t="shared" si="940"/>
        <v>cs658:dc790</v>
      </c>
      <c r="DF658">
        <f t="shared" ca="1" si="909"/>
        <v>658</v>
      </c>
      <c r="DG658" s="412">
        <f t="shared" ca="1" si="690"/>
        <v>44804</v>
      </c>
      <c r="DH658" s="411" t="str">
        <f t="shared" ca="1" si="678"/>
        <v/>
      </c>
      <c r="DI658" s="411" t="str">
        <f t="shared" ca="1" si="679"/>
        <v/>
      </c>
      <c r="DJ658" s="410" t="str">
        <f t="shared" ca="1" si="680"/>
        <v/>
      </c>
      <c r="DK658" s="410" t="str">
        <f t="shared" ca="1" si="681"/>
        <v/>
      </c>
      <c r="DM658" s="411" t="str">
        <f t="shared" ca="1" si="691"/>
        <v/>
      </c>
      <c r="DN658" s="411" t="str">
        <f t="shared" ca="1" si="692"/>
        <v/>
      </c>
      <c r="DO658" s="410" t="str">
        <f t="shared" ca="1" si="693"/>
        <v/>
      </c>
      <c r="DP658" s="410" t="str">
        <f t="shared" ca="1" si="694"/>
        <v/>
      </c>
    </row>
    <row r="659" spans="27:120" x14ac:dyDescent="0.25">
      <c r="AA659" s="284" t="str">
        <f t="shared" ref="AA659:AF659" si="1028">AA108</f>
        <v/>
      </c>
      <c r="AB659" s="284" t="e">
        <f t="shared" ref="AB659:AE659" ca="1" si="1029">IF(OR(AB108&lt;=$AA659,AB108&gt;$AF659),100000,AB108)</f>
        <v>#N/A</v>
      </c>
      <c r="AC659" s="284" t="e">
        <f t="shared" ca="1" si="1029"/>
        <v>#N/A</v>
      </c>
      <c r="AD659" s="284" t="e">
        <f t="shared" ca="1" si="1029"/>
        <v>#N/A</v>
      </c>
      <c r="AE659" s="284" t="e">
        <f t="shared" ca="1" si="1029"/>
        <v>#N/A</v>
      </c>
      <c r="AF659" s="284" t="str">
        <f t="shared" si="1028"/>
        <v/>
      </c>
      <c r="AG659" s="238">
        <f t="shared" si="870"/>
        <v>0</v>
      </c>
      <c r="AH659" s="407">
        <f t="shared" si="871"/>
        <v>24</v>
      </c>
      <c r="AL659" s="112" t="str">
        <f t="shared" si="872"/>
        <v/>
      </c>
      <c r="AM659" s="112" t="e">
        <f t="shared" ca="1" si="873"/>
        <v>#N/A</v>
      </c>
      <c r="AN659" s="112" t="e">
        <f t="shared" ca="1" si="874"/>
        <v>#N/A</v>
      </c>
      <c r="AO659" s="112" t="e">
        <f t="shared" ca="1" si="875"/>
        <v>#N/A</v>
      </c>
      <c r="AP659" s="112" t="e">
        <f t="shared" ca="1" si="876"/>
        <v>#N/A</v>
      </c>
      <c r="AQ659" s="112" t="str">
        <f t="shared" si="877"/>
        <v/>
      </c>
      <c r="AT659" s="112" t="str">
        <f t="shared" si="878"/>
        <v/>
      </c>
      <c r="AU659" s="112" t="e">
        <f t="shared" ca="1" si="879"/>
        <v>#N/A</v>
      </c>
      <c r="AV659" s="112" t="e">
        <f t="shared" ca="1" si="880"/>
        <v>#N/A</v>
      </c>
      <c r="AW659" s="112" t="e">
        <f t="shared" ca="1" si="881"/>
        <v>#N/A</v>
      </c>
      <c r="AX659" s="112" t="e">
        <f t="shared" ca="1" si="882"/>
        <v>#N/A</v>
      </c>
      <c r="AY659" s="112" t="str">
        <f t="shared" si="883"/>
        <v/>
      </c>
      <c r="BA659" s="112" t="str">
        <f t="shared" si="884"/>
        <v/>
      </c>
      <c r="BB659" s="112" t="e">
        <f t="shared" ca="1" si="885"/>
        <v>#N/A</v>
      </c>
      <c r="BC659" s="112" t="e">
        <f t="shared" ca="1" si="886"/>
        <v>#N/A</v>
      </c>
      <c r="BD659" s="112" t="e">
        <f t="shared" ca="1" si="887"/>
        <v>#N/A</v>
      </c>
      <c r="BE659" s="112" t="e">
        <f t="shared" ca="1" si="888"/>
        <v>#N/A</v>
      </c>
      <c r="BF659" s="112" t="str">
        <f t="shared" si="889"/>
        <v/>
      </c>
      <c r="BI659" s="112" t="str">
        <f t="shared" si="890"/>
        <v/>
      </c>
      <c r="BJ659" s="112" t="e">
        <f t="shared" ca="1" si="891"/>
        <v>#N/A</v>
      </c>
      <c r="BK659" s="112" t="e">
        <f t="shared" ca="1" si="892"/>
        <v>#N/A</v>
      </c>
      <c r="BL659" s="112" t="e">
        <f t="shared" ca="1" si="893"/>
        <v>#N/A</v>
      </c>
      <c r="BM659" s="112" t="e">
        <f t="shared" ca="1" si="894"/>
        <v>#N/A</v>
      </c>
      <c r="BN659" s="112" t="str">
        <f t="shared" si="895"/>
        <v/>
      </c>
      <c r="BP659" s="238" t="e">
        <f t="shared" ca="1" si="961"/>
        <v>#N/A</v>
      </c>
      <c r="BQ659" s="238">
        <f t="shared" si="1018"/>
        <v>588</v>
      </c>
      <c r="BR659" t="s">
        <v>447</v>
      </c>
      <c r="BS659" t="s">
        <v>448</v>
      </c>
      <c r="BT659" s="114">
        <f t="shared" ca="1" si="802"/>
        <v>1</v>
      </c>
      <c r="BU659" s="112"/>
      <c r="BV659">
        <f t="shared" ca="1" si="956"/>
        <v>0</v>
      </c>
      <c r="BW659" s="112">
        <f t="shared" ca="1" si="865"/>
        <v>37783</v>
      </c>
      <c r="BX659" s="112">
        <f t="shared" ref="BX659:BX660" ca="1" si="1030">INDIRECT(CONCATENATE(BS659,BQ659))</f>
        <v>37783</v>
      </c>
      <c r="BY659">
        <f t="shared" ca="1" si="935"/>
        <v>2</v>
      </c>
      <c r="BZ659">
        <f t="shared" ca="1" si="936"/>
        <v>24</v>
      </c>
      <c r="CB659">
        <f t="shared" ca="1" si="898"/>
        <v>0</v>
      </c>
      <c r="CC659" s="112">
        <f t="shared" ca="1" si="899"/>
        <v>100000</v>
      </c>
      <c r="CD659" s="112">
        <f t="shared" ca="1" si="900"/>
        <v>37783</v>
      </c>
      <c r="CE659">
        <f t="shared" ca="1" si="901"/>
        <v>2</v>
      </c>
      <c r="CF659">
        <f t="shared" ca="1" si="902"/>
        <v>24</v>
      </c>
      <c r="CH659" s="112">
        <f t="shared" ca="1" si="1012"/>
        <v>37783</v>
      </c>
      <c r="CI659">
        <f t="shared" ca="1" si="1019"/>
        <v>0</v>
      </c>
      <c r="CJ659">
        <f t="shared" ref="CJ659" ca="1" si="1031">IF(AND(CI659=0,CJ660=0,CC659&lt;100000),1,0)</f>
        <v>0</v>
      </c>
      <c r="CK659" s="112">
        <f t="shared" ca="1" si="1021"/>
        <v>37783</v>
      </c>
      <c r="CM659" s="112"/>
      <c r="CN659" s="260">
        <f t="shared" ca="1" si="904"/>
        <v>100000</v>
      </c>
      <c r="CO659" s="112">
        <f t="shared" ca="1" si="1022"/>
        <v>37783</v>
      </c>
      <c r="CP659" s="238">
        <f t="shared" ca="1" si="1023"/>
        <v>2</v>
      </c>
      <c r="CQ659" s="328">
        <f t="shared" ca="1" si="1024"/>
        <v>24</v>
      </c>
      <c r="CS659" s="112">
        <f t="shared" ca="1" si="867"/>
        <v>100000</v>
      </c>
      <c r="CT659" s="112">
        <f t="shared" ca="1" si="916"/>
        <v>37783</v>
      </c>
      <c r="CU659" s="238">
        <f t="shared" ca="1" si="907"/>
        <v>2</v>
      </c>
      <c r="CV659" s="238">
        <f t="shared" ca="1" si="908"/>
        <v>24</v>
      </c>
      <c r="CY659">
        <f t="shared" si="917"/>
        <v>89</v>
      </c>
      <c r="DA659" s="112">
        <f t="shared" ca="1" si="918"/>
        <v>100000</v>
      </c>
      <c r="DC659">
        <f t="shared" si="919"/>
        <v>659</v>
      </c>
      <c r="DE659" t="str">
        <f t="shared" si="940"/>
        <v>cs659:dc790</v>
      </c>
      <c r="DF659">
        <f t="shared" ca="1" si="909"/>
        <v>659</v>
      </c>
      <c r="DG659" s="412">
        <f t="shared" ca="1" si="690"/>
        <v>44804</v>
      </c>
      <c r="DH659" s="411" t="str">
        <f t="shared" ca="1" si="678"/>
        <v/>
      </c>
      <c r="DI659" s="411" t="str">
        <f t="shared" ca="1" si="679"/>
        <v/>
      </c>
      <c r="DJ659" s="410" t="str">
        <f t="shared" ca="1" si="680"/>
        <v/>
      </c>
      <c r="DK659" s="410" t="str">
        <f t="shared" ca="1" si="681"/>
        <v/>
      </c>
      <c r="DM659" s="411" t="str">
        <f t="shared" ca="1" si="691"/>
        <v/>
      </c>
      <c r="DN659" s="411" t="str">
        <f t="shared" ca="1" si="692"/>
        <v/>
      </c>
      <c r="DO659" s="410" t="str">
        <f t="shared" ca="1" si="693"/>
        <v/>
      </c>
      <c r="DP659" s="410" t="str">
        <f t="shared" ca="1" si="694"/>
        <v/>
      </c>
    </row>
    <row r="660" spans="27:120" ht="15.75" thickBot="1" x14ac:dyDescent="0.3">
      <c r="AA660" s="284" t="str">
        <f t="shared" ref="AA660:AF660" si="1032">AA109</f>
        <v/>
      </c>
      <c r="AB660" s="284" t="e">
        <f t="shared" ref="AB660:AE660" ca="1" si="1033">IF(OR(AB109&lt;=$AA660,AB109&gt;$AF660),100000,AB109)</f>
        <v>#N/A</v>
      </c>
      <c r="AC660" s="284" t="e">
        <f t="shared" ca="1" si="1033"/>
        <v>#N/A</v>
      </c>
      <c r="AD660" s="284" t="e">
        <f t="shared" ca="1" si="1033"/>
        <v>#N/A</v>
      </c>
      <c r="AE660" s="284" t="e">
        <f t="shared" ca="1" si="1033"/>
        <v>#N/A</v>
      </c>
      <c r="AF660" s="284" t="str">
        <f t="shared" si="1032"/>
        <v/>
      </c>
      <c r="AG660" s="238">
        <f t="shared" si="870"/>
        <v>0</v>
      </c>
      <c r="AH660" s="407">
        <f t="shared" si="871"/>
        <v>24</v>
      </c>
      <c r="AL660" s="112" t="str">
        <f t="shared" si="872"/>
        <v/>
      </c>
      <c r="AM660" s="112" t="e">
        <f t="shared" ca="1" si="873"/>
        <v>#N/A</v>
      </c>
      <c r="AN660" s="112" t="e">
        <f t="shared" ca="1" si="874"/>
        <v>#N/A</v>
      </c>
      <c r="AO660" s="112" t="e">
        <f t="shared" ca="1" si="875"/>
        <v>#N/A</v>
      </c>
      <c r="AP660" s="112" t="e">
        <f t="shared" ca="1" si="876"/>
        <v>#N/A</v>
      </c>
      <c r="AQ660" s="112" t="str">
        <f t="shared" si="877"/>
        <v/>
      </c>
      <c r="AT660" s="112" t="str">
        <f t="shared" si="878"/>
        <v/>
      </c>
      <c r="AU660" s="112" t="e">
        <f t="shared" ca="1" si="879"/>
        <v>#N/A</v>
      </c>
      <c r="AV660" s="112" t="e">
        <f t="shared" ca="1" si="880"/>
        <v>#N/A</v>
      </c>
      <c r="AW660" s="112" t="e">
        <f t="shared" ca="1" si="881"/>
        <v>#N/A</v>
      </c>
      <c r="AX660" s="112" t="e">
        <f t="shared" ca="1" si="882"/>
        <v>#N/A</v>
      </c>
      <c r="AY660" s="112" t="str">
        <f t="shared" si="883"/>
        <v/>
      </c>
      <c r="BA660" s="112" t="str">
        <f t="shared" si="884"/>
        <v/>
      </c>
      <c r="BB660" s="112" t="e">
        <f t="shared" ca="1" si="885"/>
        <v>#N/A</v>
      </c>
      <c r="BC660" s="112" t="e">
        <f t="shared" ca="1" si="886"/>
        <v>#N/A</v>
      </c>
      <c r="BD660" s="112" t="e">
        <f t="shared" ca="1" si="887"/>
        <v>#N/A</v>
      </c>
      <c r="BE660" s="112" t="e">
        <f t="shared" ca="1" si="888"/>
        <v>#N/A</v>
      </c>
      <c r="BF660" s="112" t="str">
        <f t="shared" si="889"/>
        <v/>
      </c>
      <c r="BI660" s="112" t="str">
        <f t="shared" si="890"/>
        <v/>
      </c>
      <c r="BJ660" s="112" t="e">
        <f t="shared" ca="1" si="891"/>
        <v>#N/A</v>
      </c>
      <c r="BK660" s="112" t="e">
        <f t="shared" ca="1" si="892"/>
        <v>#N/A</v>
      </c>
      <c r="BL660" s="112" t="e">
        <f t="shared" ca="1" si="893"/>
        <v>#N/A</v>
      </c>
      <c r="BM660" s="112" t="e">
        <f t="shared" ca="1" si="894"/>
        <v>#N/A</v>
      </c>
      <c r="BN660" s="112" t="str">
        <f t="shared" si="895"/>
        <v/>
      </c>
      <c r="BP660" s="238" t="e">
        <f t="shared" ca="1" si="961"/>
        <v>#N/A</v>
      </c>
      <c r="BQ660" s="238">
        <f t="shared" si="1018"/>
        <v>588</v>
      </c>
      <c r="BR660" t="s">
        <v>448</v>
      </c>
      <c r="BS660" t="s">
        <v>449</v>
      </c>
      <c r="BT660" s="114">
        <f t="shared" ca="1" si="802"/>
        <v>1</v>
      </c>
      <c r="BU660" s="112"/>
      <c r="BV660">
        <f t="shared" ca="1" si="956"/>
        <v>0</v>
      </c>
      <c r="BW660" s="112">
        <f t="shared" ca="1" si="865"/>
        <v>37783</v>
      </c>
      <c r="BX660" s="112">
        <f t="shared" ca="1" si="1030"/>
        <v>37783</v>
      </c>
      <c r="BY660">
        <f t="shared" ca="1" si="935"/>
        <v>2</v>
      </c>
      <c r="BZ660">
        <f t="shared" ca="1" si="936"/>
        <v>24</v>
      </c>
      <c r="CB660">
        <f t="shared" ca="1" si="898"/>
        <v>0</v>
      </c>
      <c r="CC660" s="112">
        <f t="shared" ca="1" si="899"/>
        <v>100000</v>
      </c>
      <c r="CD660" s="112">
        <f t="shared" ca="1" si="900"/>
        <v>37783</v>
      </c>
      <c r="CE660">
        <f t="shared" ca="1" si="901"/>
        <v>2</v>
      </c>
      <c r="CF660">
        <f t="shared" ca="1" si="902"/>
        <v>24</v>
      </c>
      <c r="CH660" s="112">
        <f t="shared" ca="1" si="1012"/>
        <v>37783</v>
      </c>
      <c r="CI660">
        <f t="shared" ca="1" si="1019"/>
        <v>0</v>
      </c>
      <c r="CJ660">
        <f t="shared" ref="CJ660" ca="1" si="1034">IF(AND(CI660=0,CC660&lt;100000),1,0)</f>
        <v>0</v>
      </c>
      <c r="CK660" s="112">
        <f t="shared" ca="1" si="1021"/>
        <v>37783</v>
      </c>
      <c r="CM660" s="112"/>
      <c r="CN660" s="261">
        <f t="shared" ref="CN660" ca="1" si="1035">IF(AND(CN656=100000,CN657=100000,CN658=100000,CN659=100000),INDIRECT(CONCATENATE("aa",BQ660)),CC660)</f>
        <v>100000</v>
      </c>
      <c r="CO660" s="324">
        <f t="shared" ca="1" si="1022"/>
        <v>37783</v>
      </c>
      <c r="CP660" s="256">
        <f t="shared" ca="1" si="1023"/>
        <v>2</v>
      </c>
      <c r="CQ660" s="329">
        <f t="shared" ca="1" si="1024"/>
        <v>24</v>
      </c>
      <c r="CS660" s="112">
        <f t="shared" ca="1" si="867"/>
        <v>100000</v>
      </c>
      <c r="CT660" s="112">
        <f t="shared" ca="1" si="916"/>
        <v>37783</v>
      </c>
      <c r="CU660" s="238">
        <f t="shared" ca="1" si="907"/>
        <v>2</v>
      </c>
      <c r="CV660" s="238">
        <f t="shared" ca="1" si="908"/>
        <v>24</v>
      </c>
      <c r="CY660">
        <f t="shared" si="917"/>
        <v>90</v>
      </c>
      <c r="DA660" s="112">
        <f t="shared" ca="1" si="918"/>
        <v>100000</v>
      </c>
      <c r="DC660">
        <f t="shared" si="919"/>
        <v>660</v>
      </c>
      <c r="DE660" t="str">
        <f t="shared" si="940"/>
        <v>cs660:dc790</v>
      </c>
      <c r="DF660">
        <f t="shared" ca="1" si="909"/>
        <v>660</v>
      </c>
      <c r="DG660" s="412">
        <f t="shared" ca="1" si="690"/>
        <v>44804</v>
      </c>
      <c r="DH660" s="411" t="str">
        <f t="shared" ca="1" si="678"/>
        <v/>
      </c>
      <c r="DI660" s="411" t="str">
        <f t="shared" ca="1" si="679"/>
        <v/>
      </c>
      <c r="DJ660" s="410" t="str">
        <f t="shared" ca="1" si="680"/>
        <v/>
      </c>
      <c r="DK660" s="410" t="str">
        <f t="shared" ca="1" si="681"/>
        <v/>
      </c>
      <c r="DM660" s="411" t="str">
        <f t="shared" ca="1" si="691"/>
        <v/>
      </c>
      <c r="DN660" s="411" t="str">
        <f t="shared" ca="1" si="692"/>
        <v/>
      </c>
      <c r="DO660" s="410" t="str">
        <f t="shared" ca="1" si="693"/>
        <v/>
      </c>
      <c r="DP660" s="410" t="str">
        <f t="shared" ca="1" si="694"/>
        <v/>
      </c>
    </row>
    <row r="661" spans="27:120" x14ac:dyDescent="0.25">
      <c r="AA661" s="284" t="str">
        <f t="shared" ref="AA661:AF661" si="1036">AA110</f>
        <v/>
      </c>
      <c r="AB661" s="284" t="e">
        <f t="shared" ref="AB661:AE661" ca="1" si="1037">IF(OR(AB110&lt;=$AA661,AB110&gt;$AF661),100000,AB110)</f>
        <v>#N/A</v>
      </c>
      <c r="AC661" s="284" t="e">
        <f t="shared" ca="1" si="1037"/>
        <v>#N/A</v>
      </c>
      <c r="AD661" s="284" t="e">
        <f t="shared" ca="1" si="1037"/>
        <v>#N/A</v>
      </c>
      <c r="AE661" s="284" t="e">
        <f t="shared" ca="1" si="1037"/>
        <v>#N/A</v>
      </c>
      <c r="AF661" s="284" t="str">
        <f t="shared" si="1036"/>
        <v/>
      </c>
      <c r="AG661" s="238">
        <f t="shared" si="870"/>
        <v>0</v>
      </c>
      <c r="AH661" s="407">
        <f t="shared" si="871"/>
        <v>24</v>
      </c>
      <c r="AL661" s="112" t="str">
        <f t="shared" si="872"/>
        <v/>
      </c>
      <c r="AM661" s="112" t="e">
        <f t="shared" ca="1" si="873"/>
        <v>#N/A</v>
      </c>
      <c r="AN661" s="112" t="e">
        <f t="shared" ca="1" si="874"/>
        <v>#N/A</v>
      </c>
      <c r="AO661" s="112" t="e">
        <f t="shared" ca="1" si="875"/>
        <v>#N/A</v>
      </c>
      <c r="AP661" s="112" t="e">
        <f t="shared" ca="1" si="876"/>
        <v>#N/A</v>
      </c>
      <c r="AQ661" s="112" t="str">
        <f t="shared" si="877"/>
        <v/>
      </c>
      <c r="AT661" s="112" t="str">
        <f t="shared" si="878"/>
        <v/>
      </c>
      <c r="AU661" s="112" t="e">
        <f t="shared" ca="1" si="879"/>
        <v>#N/A</v>
      </c>
      <c r="AV661" s="112" t="e">
        <f t="shared" ca="1" si="880"/>
        <v>#N/A</v>
      </c>
      <c r="AW661" s="112" t="e">
        <f t="shared" ca="1" si="881"/>
        <v>#N/A</v>
      </c>
      <c r="AX661" s="112" t="e">
        <f t="shared" ca="1" si="882"/>
        <v>#N/A</v>
      </c>
      <c r="AY661" s="112" t="str">
        <f t="shared" si="883"/>
        <v/>
      </c>
      <c r="BA661" s="112" t="str">
        <f t="shared" si="884"/>
        <v/>
      </c>
      <c r="BB661" s="112" t="e">
        <f t="shared" ca="1" si="885"/>
        <v>#N/A</v>
      </c>
      <c r="BC661" s="112" t="e">
        <f t="shared" ca="1" si="886"/>
        <v>#N/A</v>
      </c>
      <c r="BD661" s="112" t="e">
        <f t="shared" ca="1" si="887"/>
        <v>#N/A</v>
      </c>
      <c r="BE661" s="112" t="e">
        <f t="shared" ca="1" si="888"/>
        <v>#N/A</v>
      </c>
      <c r="BF661" s="112" t="str">
        <f t="shared" si="889"/>
        <v/>
      </c>
      <c r="BI661" s="112" t="str">
        <f t="shared" si="890"/>
        <v/>
      </c>
      <c r="BJ661" s="112" t="e">
        <f t="shared" ca="1" si="891"/>
        <v>#N/A</v>
      </c>
      <c r="BK661" s="112" t="e">
        <f t="shared" ca="1" si="892"/>
        <v>#N/A</v>
      </c>
      <c r="BL661" s="112" t="e">
        <f t="shared" ca="1" si="893"/>
        <v>#N/A</v>
      </c>
      <c r="BM661" s="112" t="e">
        <f t="shared" ca="1" si="894"/>
        <v>#N/A</v>
      </c>
      <c r="BN661" s="112" t="str">
        <f t="shared" si="895"/>
        <v/>
      </c>
      <c r="BP661" s="238" t="e">
        <f t="shared" ca="1" si="961"/>
        <v>#N/A</v>
      </c>
      <c r="BQ661" s="238">
        <f t="shared" ref="BQ661" si="1038">BQ660+1</f>
        <v>589</v>
      </c>
      <c r="BR661" s="112" t="s">
        <v>444</v>
      </c>
      <c r="BS661" s="112" t="s">
        <v>445</v>
      </c>
      <c r="BT661" s="114">
        <f t="shared" ca="1" si="802"/>
        <v>1</v>
      </c>
      <c r="BU661" s="112"/>
      <c r="BV661">
        <f t="shared" ca="1" si="956"/>
        <v>1</v>
      </c>
      <c r="BW661" s="112">
        <f t="shared" ca="1" si="865"/>
        <v>37673</v>
      </c>
      <c r="BX661" s="112">
        <f t="shared" ref="BX661:BX663" ca="1" si="1039">INDIRECT(CONCATENATE(BS661,BQ661))-1</f>
        <v>37785</v>
      </c>
      <c r="BY661">
        <f t="shared" ca="1" si="935"/>
        <v>16</v>
      </c>
      <c r="BZ661">
        <f t="shared" ca="1" si="936"/>
        <v>24</v>
      </c>
      <c r="CB661">
        <f t="shared" ca="1" si="898"/>
        <v>0</v>
      </c>
      <c r="CC661" s="112">
        <f t="shared" ca="1" si="899"/>
        <v>37673</v>
      </c>
      <c r="CD661" s="112">
        <f t="shared" ca="1" si="900"/>
        <v>37785</v>
      </c>
      <c r="CE661">
        <f t="shared" ca="1" si="901"/>
        <v>16</v>
      </c>
      <c r="CF661">
        <f t="shared" ca="1" si="902"/>
        <v>24</v>
      </c>
      <c r="CH661" s="112">
        <f t="shared" ca="1" si="1012"/>
        <v>37786</v>
      </c>
      <c r="CI661">
        <f t="shared" ref="CI661" ca="1" si="1040">CB661+CB662+CB663+CB664+CB665</f>
        <v>0</v>
      </c>
      <c r="CJ661">
        <v>0</v>
      </c>
      <c r="CK661" s="112">
        <f t="shared" ca="1" si="1021"/>
        <v>37786</v>
      </c>
      <c r="CM661" s="112"/>
      <c r="CN661" s="408">
        <f t="shared" ca="1" si="904"/>
        <v>37673</v>
      </c>
      <c r="CO661" s="326">
        <f t="shared" ref="CO661" ca="1" si="1041">CD661</f>
        <v>37785</v>
      </c>
      <c r="CP661" s="333">
        <f t="shared" ca="1" si="1023"/>
        <v>16</v>
      </c>
      <c r="CQ661" s="327">
        <f t="shared" ca="1" si="1024"/>
        <v>24</v>
      </c>
      <c r="CS661" s="112">
        <f t="shared" ca="1" si="867"/>
        <v>37673</v>
      </c>
      <c r="CT661" s="112">
        <f t="shared" ref="CT661" ca="1" si="1042">IF(AND( CN662=100000,CN663=100000,CN664=100000,CN665=100000),CO665,                             CO661)</f>
        <v>37786</v>
      </c>
      <c r="CU661" s="238">
        <f t="shared" ca="1" si="907"/>
        <v>16</v>
      </c>
      <c r="CV661" s="238">
        <f t="shared" ca="1" si="908"/>
        <v>24</v>
      </c>
      <c r="CY661">
        <f t="shared" si="917"/>
        <v>91</v>
      </c>
      <c r="DA661" s="112">
        <f t="shared" ca="1" si="918"/>
        <v>100000</v>
      </c>
      <c r="DC661">
        <f t="shared" si="919"/>
        <v>661</v>
      </c>
      <c r="DE661" t="str">
        <f t="shared" si="940"/>
        <v>cs661:dc790</v>
      </c>
      <c r="DF661">
        <f t="shared" ca="1" si="909"/>
        <v>662</v>
      </c>
      <c r="DG661" s="412">
        <f t="shared" ca="1" si="690"/>
        <v>44804</v>
      </c>
      <c r="DH661" s="411" t="str">
        <f t="shared" ca="1" si="678"/>
        <v/>
      </c>
      <c r="DI661" s="411" t="str">
        <f t="shared" ca="1" si="679"/>
        <v/>
      </c>
      <c r="DJ661" s="410" t="str">
        <f t="shared" ca="1" si="680"/>
        <v/>
      </c>
      <c r="DK661" s="410" t="str">
        <f t="shared" ca="1" si="681"/>
        <v/>
      </c>
      <c r="DM661" s="411" t="str">
        <f t="shared" ca="1" si="691"/>
        <v/>
      </c>
      <c r="DN661" s="411" t="str">
        <f t="shared" ca="1" si="692"/>
        <v/>
      </c>
      <c r="DO661" s="410" t="str">
        <f t="shared" ca="1" si="693"/>
        <v/>
      </c>
      <c r="DP661" s="410" t="str">
        <f t="shared" ca="1" si="694"/>
        <v/>
      </c>
    </row>
    <row r="662" spans="27:120" x14ac:dyDescent="0.25">
      <c r="AA662" s="284" t="str">
        <f t="shared" ref="AA662:AF662" si="1043">AA111</f>
        <v/>
      </c>
      <c r="AB662" s="284" t="e">
        <f t="shared" ref="AB662:AE662" ca="1" si="1044">IF(OR(AB111&lt;=$AA662,AB111&gt;$AF662),100000,AB111)</f>
        <v>#N/A</v>
      </c>
      <c r="AC662" s="284" t="e">
        <f t="shared" ca="1" si="1044"/>
        <v>#N/A</v>
      </c>
      <c r="AD662" s="284" t="e">
        <f t="shared" ca="1" si="1044"/>
        <v>#N/A</v>
      </c>
      <c r="AE662" s="284" t="e">
        <f t="shared" ca="1" si="1044"/>
        <v>#N/A</v>
      </c>
      <c r="AF662" s="284" t="str">
        <f t="shared" si="1043"/>
        <v/>
      </c>
      <c r="AG662" s="238">
        <f t="shared" si="870"/>
        <v>0</v>
      </c>
      <c r="AH662" s="407">
        <f t="shared" si="871"/>
        <v>24</v>
      </c>
      <c r="AL662" s="112" t="str">
        <f t="shared" si="872"/>
        <v/>
      </c>
      <c r="AM662" s="112" t="e">
        <f t="shared" ca="1" si="873"/>
        <v>#N/A</v>
      </c>
      <c r="AN662" s="112" t="e">
        <f t="shared" ca="1" si="874"/>
        <v>#N/A</v>
      </c>
      <c r="AO662" s="112" t="e">
        <f t="shared" ca="1" si="875"/>
        <v>#N/A</v>
      </c>
      <c r="AP662" s="112" t="e">
        <f t="shared" ca="1" si="876"/>
        <v>#N/A</v>
      </c>
      <c r="AQ662" s="112" t="str">
        <f t="shared" si="877"/>
        <v/>
      </c>
      <c r="AT662" s="112" t="str">
        <f t="shared" si="878"/>
        <v/>
      </c>
      <c r="AU662" s="112" t="e">
        <f t="shared" ca="1" si="879"/>
        <v>#N/A</v>
      </c>
      <c r="AV662" s="112" t="e">
        <f t="shared" ca="1" si="880"/>
        <v>#N/A</v>
      </c>
      <c r="AW662" s="112" t="e">
        <f t="shared" ca="1" si="881"/>
        <v>#N/A</v>
      </c>
      <c r="AX662" s="112" t="e">
        <f t="shared" ca="1" si="882"/>
        <v>#N/A</v>
      </c>
      <c r="AY662" s="112" t="str">
        <f t="shared" si="883"/>
        <v/>
      </c>
      <c r="BA662" s="112" t="str">
        <f t="shared" si="884"/>
        <v/>
      </c>
      <c r="BB662" s="112" t="e">
        <f t="shared" ca="1" si="885"/>
        <v>#N/A</v>
      </c>
      <c r="BC662" s="112" t="e">
        <f t="shared" ca="1" si="886"/>
        <v>#N/A</v>
      </c>
      <c r="BD662" s="112" t="e">
        <f t="shared" ca="1" si="887"/>
        <v>#N/A</v>
      </c>
      <c r="BE662" s="112" t="e">
        <f t="shared" ca="1" si="888"/>
        <v>#N/A</v>
      </c>
      <c r="BF662" s="112" t="str">
        <f t="shared" si="889"/>
        <v/>
      </c>
      <c r="BI662" s="112" t="str">
        <f t="shared" si="890"/>
        <v/>
      </c>
      <c r="BJ662" s="112" t="e">
        <f t="shared" ca="1" si="891"/>
        <v>#N/A</v>
      </c>
      <c r="BK662" s="112" t="e">
        <f t="shared" ca="1" si="892"/>
        <v>#N/A</v>
      </c>
      <c r="BL662" s="112" t="e">
        <f t="shared" ca="1" si="893"/>
        <v>#N/A</v>
      </c>
      <c r="BM662" s="112" t="e">
        <f t="shared" ca="1" si="894"/>
        <v>#N/A</v>
      </c>
      <c r="BN662" s="112" t="str">
        <f t="shared" si="895"/>
        <v/>
      </c>
      <c r="BP662" s="238" t="e">
        <f t="shared" ca="1" si="961"/>
        <v>#N/A</v>
      </c>
      <c r="BQ662" s="238">
        <f t="shared" ref="BQ662:BQ665" si="1045">BQ661</f>
        <v>589</v>
      </c>
      <c r="BR662" t="s">
        <v>445</v>
      </c>
      <c r="BS662" t="s">
        <v>446</v>
      </c>
      <c r="BT662" s="114">
        <f t="shared" ca="1" si="802"/>
        <v>1</v>
      </c>
      <c r="BU662" s="112"/>
      <c r="BV662">
        <f t="shared" ca="1" si="956"/>
        <v>0</v>
      </c>
      <c r="BW662" s="112">
        <f t="shared" ca="1" si="865"/>
        <v>37786</v>
      </c>
      <c r="BX662" s="112">
        <f t="shared" ca="1" si="1039"/>
        <v>37785</v>
      </c>
      <c r="BY662">
        <f t="shared" ca="1" si="935"/>
        <v>16</v>
      </c>
      <c r="BZ662">
        <f t="shared" ca="1" si="936"/>
        <v>24</v>
      </c>
      <c r="CB662">
        <f t="shared" ca="1" si="898"/>
        <v>0</v>
      </c>
      <c r="CC662" s="112">
        <f t="shared" ca="1" si="899"/>
        <v>100000</v>
      </c>
      <c r="CD662" s="112">
        <f t="shared" ca="1" si="900"/>
        <v>37785</v>
      </c>
      <c r="CE662">
        <f t="shared" ca="1" si="901"/>
        <v>16</v>
      </c>
      <c r="CF662">
        <f t="shared" ca="1" si="902"/>
        <v>24</v>
      </c>
      <c r="CH662" s="112">
        <f t="shared" ca="1" si="1012"/>
        <v>37786</v>
      </c>
      <c r="CI662">
        <f t="shared" ref="CI662:CI665" ca="1" si="1046">CI661</f>
        <v>0</v>
      </c>
      <c r="CJ662">
        <f t="shared" ref="CJ662" ca="1" si="1047">IF(AND(CI662=0,CJ663=0,CJ664=0,CJ665=0,CC662&lt;100000),1,0)</f>
        <v>0</v>
      </c>
      <c r="CK662" s="112">
        <f t="shared" ca="1" si="1021"/>
        <v>37786</v>
      </c>
      <c r="CM662" s="112"/>
      <c r="CN662" s="260">
        <f t="shared" ca="1" si="904"/>
        <v>100000</v>
      </c>
      <c r="CO662" s="112">
        <f t="shared" ref="CO662:CO665" ca="1" si="1048">IF(CJ662=1,CH662,CD662)</f>
        <v>37785</v>
      </c>
      <c r="CP662" s="238">
        <f t="shared" ca="1" si="1023"/>
        <v>16</v>
      </c>
      <c r="CQ662" s="328">
        <f t="shared" ca="1" si="1024"/>
        <v>24</v>
      </c>
      <c r="CS662" s="112">
        <f t="shared" ca="1" si="867"/>
        <v>100000</v>
      </c>
      <c r="CT662" s="112">
        <f t="shared" ca="1" si="916"/>
        <v>37785</v>
      </c>
      <c r="CU662" s="238">
        <f t="shared" ca="1" si="907"/>
        <v>16</v>
      </c>
      <c r="CV662" s="238">
        <f t="shared" ca="1" si="908"/>
        <v>24</v>
      </c>
      <c r="CY662">
        <f t="shared" si="917"/>
        <v>92</v>
      </c>
      <c r="DA662" s="112">
        <f t="shared" ca="1" si="918"/>
        <v>100000</v>
      </c>
      <c r="DC662">
        <f t="shared" si="919"/>
        <v>662</v>
      </c>
      <c r="DE662" t="str">
        <f t="shared" si="940"/>
        <v>cs662:dc790</v>
      </c>
      <c r="DF662">
        <f t="shared" ca="1" si="909"/>
        <v>662</v>
      </c>
      <c r="DG662" s="412">
        <f t="shared" ca="1" si="690"/>
        <v>44804</v>
      </c>
      <c r="DH662" s="411" t="str">
        <f t="shared" ref="DH662:DH725" ca="1" si="1049">IF(INDIRECT(CONCATENATE("cs",DF662))=100000,"",INDIRECT(CONCATENATE("cs",DF662)))</f>
        <v/>
      </c>
      <c r="DI662" s="411" t="str">
        <f t="shared" ref="DI662:DI725" ca="1" si="1050" xml:space="preserve">    IF(DH662="","",   INDIRECT(CONCATENATE("ct",DF662)))</f>
        <v/>
      </c>
      <c r="DJ662" s="410" t="str">
        <f t="shared" ref="DJ662:DJ725" ca="1" si="1051">IF(DI662="","",INDIRECT(CONCATENATE("cu",DF662)))</f>
        <v/>
      </c>
      <c r="DK662" s="410" t="str">
        <f t="shared" ref="DK662:DK725" ca="1" si="1052">IF(DJ662="","",INDIRECT(CONCATENATE("cv",DF662)))</f>
        <v/>
      </c>
      <c r="DM662" s="411" t="str">
        <f t="shared" ca="1" si="691"/>
        <v/>
      </c>
      <c r="DN662" s="411" t="str">
        <f t="shared" ca="1" si="692"/>
        <v/>
      </c>
      <c r="DO662" s="410" t="str">
        <f t="shared" ca="1" si="693"/>
        <v/>
      </c>
      <c r="DP662" s="410" t="str">
        <f t="shared" ca="1" si="694"/>
        <v/>
      </c>
    </row>
    <row r="663" spans="27:120" x14ac:dyDescent="0.25">
      <c r="AA663" s="284" t="str">
        <f t="shared" ref="AA663:AF663" si="1053">AA112</f>
        <v/>
      </c>
      <c r="AB663" s="284" t="e">
        <f t="shared" ref="AB663:AE663" ca="1" si="1054">IF(OR(AB112&lt;=$AA663,AB112&gt;$AF663),100000,AB112)</f>
        <v>#N/A</v>
      </c>
      <c r="AC663" s="284" t="e">
        <f t="shared" ca="1" si="1054"/>
        <v>#N/A</v>
      </c>
      <c r="AD663" s="284" t="e">
        <f t="shared" ca="1" si="1054"/>
        <v>#N/A</v>
      </c>
      <c r="AE663" s="284" t="e">
        <f t="shared" ca="1" si="1054"/>
        <v>#N/A</v>
      </c>
      <c r="AF663" s="284" t="str">
        <f t="shared" si="1053"/>
        <v/>
      </c>
      <c r="AG663" s="238">
        <f t="shared" si="870"/>
        <v>0</v>
      </c>
      <c r="AH663" s="407">
        <f t="shared" si="871"/>
        <v>24</v>
      </c>
      <c r="AL663" s="112" t="str">
        <f t="shared" si="872"/>
        <v/>
      </c>
      <c r="AM663" s="112" t="e">
        <f t="shared" ca="1" si="873"/>
        <v>#N/A</v>
      </c>
      <c r="AN663" s="112" t="e">
        <f t="shared" ca="1" si="874"/>
        <v>#N/A</v>
      </c>
      <c r="AO663" s="112" t="e">
        <f t="shared" ca="1" si="875"/>
        <v>#N/A</v>
      </c>
      <c r="AP663" s="112" t="e">
        <f t="shared" ca="1" si="876"/>
        <v>#N/A</v>
      </c>
      <c r="AQ663" s="112" t="str">
        <f t="shared" si="877"/>
        <v/>
      </c>
      <c r="AT663" s="112" t="str">
        <f t="shared" si="878"/>
        <v/>
      </c>
      <c r="AU663" s="112" t="e">
        <f t="shared" ca="1" si="879"/>
        <v>#N/A</v>
      </c>
      <c r="AV663" s="112" t="e">
        <f t="shared" ca="1" si="880"/>
        <v>#N/A</v>
      </c>
      <c r="AW663" s="112" t="e">
        <f t="shared" ca="1" si="881"/>
        <v>#N/A</v>
      </c>
      <c r="AX663" s="112" t="e">
        <f t="shared" ca="1" si="882"/>
        <v>#N/A</v>
      </c>
      <c r="AY663" s="112" t="str">
        <f t="shared" si="883"/>
        <v/>
      </c>
      <c r="BA663" s="112" t="str">
        <f t="shared" si="884"/>
        <v/>
      </c>
      <c r="BB663" s="112" t="e">
        <f t="shared" ca="1" si="885"/>
        <v>#N/A</v>
      </c>
      <c r="BC663" s="112" t="e">
        <f t="shared" ca="1" si="886"/>
        <v>#N/A</v>
      </c>
      <c r="BD663" s="112" t="e">
        <f t="shared" ca="1" si="887"/>
        <v>#N/A</v>
      </c>
      <c r="BE663" s="112" t="e">
        <f t="shared" ca="1" si="888"/>
        <v>#N/A</v>
      </c>
      <c r="BF663" s="112" t="str">
        <f t="shared" si="889"/>
        <v/>
      </c>
      <c r="BI663" s="112" t="str">
        <f t="shared" si="890"/>
        <v/>
      </c>
      <c r="BJ663" s="112" t="e">
        <f t="shared" ca="1" si="891"/>
        <v>#N/A</v>
      </c>
      <c r="BK663" s="112" t="e">
        <f t="shared" ca="1" si="892"/>
        <v>#N/A</v>
      </c>
      <c r="BL663" s="112" t="e">
        <f t="shared" ca="1" si="893"/>
        <v>#N/A</v>
      </c>
      <c r="BM663" s="112" t="e">
        <f t="shared" ca="1" si="894"/>
        <v>#N/A</v>
      </c>
      <c r="BN663" s="112" t="str">
        <f t="shared" si="895"/>
        <v/>
      </c>
      <c r="BP663" s="238" t="e">
        <f t="shared" ca="1" si="961"/>
        <v>#N/A</v>
      </c>
      <c r="BQ663" s="238">
        <f t="shared" si="1045"/>
        <v>589</v>
      </c>
      <c r="BR663" t="s">
        <v>446</v>
      </c>
      <c r="BS663" t="s">
        <v>447</v>
      </c>
      <c r="BT663" s="114">
        <f t="shared" ca="1" si="802"/>
        <v>1</v>
      </c>
      <c r="BU663" s="112"/>
      <c r="BV663">
        <f t="shared" ca="1" si="956"/>
        <v>0</v>
      </c>
      <c r="BW663" s="112">
        <f t="shared" ca="1" si="865"/>
        <v>37786</v>
      </c>
      <c r="BX663" s="112">
        <f t="shared" ca="1" si="1039"/>
        <v>37785</v>
      </c>
      <c r="BY663">
        <f t="shared" ca="1" si="935"/>
        <v>16</v>
      </c>
      <c r="BZ663">
        <f t="shared" ca="1" si="936"/>
        <v>24</v>
      </c>
      <c r="CB663">
        <f t="shared" ca="1" si="898"/>
        <v>0</v>
      </c>
      <c r="CC663" s="112">
        <f t="shared" ca="1" si="899"/>
        <v>100000</v>
      </c>
      <c r="CD663" s="112">
        <f t="shared" ca="1" si="900"/>
        <v>37785</v>
      </c>
      <c r="CE663">
        <f t="shared" ca="1" si="901"/>
        <v>16</v>
      </c>
      <c r="CF663">
        <f t="shared" ca="1" si="902"/>
        <v>24</v>
      </c>
      <c r="CH663" s="112">
        <f t="shared" ca="1" si="1012"/>
        <v>37786</v>
      </c>
      <c r="CI663">
        <f t="shared" ca="1" si="1046"/>
        <v>0</v>
      </c>
      <c r="CJ663">
        <f t="shared" ref="CJ663" ca="1" si="1055">IF(AND(CI663=0,CJ664=0,CJ665=0,CC663&lt;100000),1,0)</f>
        <v>0</v>
      </c>
      <c r="CK663" s="112">
        <f t="shared" ca="1" si="1021"/>
        <v>37786</v>
      </c>
      <c r="CM663" s="112"/>
      <c r="CN663" s="260">
        <f t="shared" ca="1" si="904"/>
        <v>100000</v>
      </c>
      <c r="CO663" s="112">
        <f t="shared" ca="1" si="1048"/>
        <v>37785</v>
      </c>
      <c r="CP663" s="238">
        <f t="shared" ca="1" si="1023"/>
        <v>16</v>
      </c>
      <c r="CQ663" s="328">
        <f t="shared" ca="1" si="1024"/>
        <v>24</v>
      </c>
      <c r="CS663" s="112">
        <f t="shared" ca="1" si="867"/>
        <v>100000</v>
      </c>
      <c r="CT663" s="112">
        <f t="shared" ca="1" si="916"/>
        <v>37785</v>
      </c>
      <c r="CU663" s="238">
        <f t="shared" ca="1" si="907"/>
        <v>16</v>
      </c>
      <c r="CV663" s="238">
        <f t="shared" ca="1" si="908"/>
        <v>24</v>
      </c>
      <c r="CY663">
        <f t="shared" si="917"/>
        <v>93</v>
      </c>
      <c r="DA663" s="112">
        <f t="shared" ca="1" si="918"/>
        <v>100000</v>
      </c>
      <c r="DC663">
        <f t="shared" si="919"/>
        <v>663</v>
      </c>
      <c r="DE663" t="str">
        <f t="shared" si="940"/>
        <v>cs663:dc790</v>
      </c>
      <c r="DF663">
        <f t="shared" ca="1" si="909"/>
        <v>663</v>
      </c>
      <c r="DG663" s="412">
        <f t="shared" ca="1" si="690"/>
        <v>44804</v>
      </c>
      <c r="DH663" s="411" t="str">
        <f t="shared" ca="1" si="1049"/>
        <v/>
      </c>
      <c r="DI663" s="411" t="str">
        <f t="shared" ca="1" si="1050"/>
        <v/>
      </c>
      <c r="DJ663" s="410" t="str">
        <f t="shared" ca="1" si="1051"/>
        <v/>
      </c>
      <c r="DK663" s="410" t="str">
        <f t="shared" ca="1" si="1052"/>
        <v/>
      </c>
      <c r="DM663" s="411" t="str">
        <f t="shared" ca="1" si="691"/>
        <v/>
      </c>
      <c r="DN663" s="411" t="str">
        <f t="shared" ca="1" si="692"/>
        <v/>
      </c>
      <c r="DO663" s="410" t="str">
        <f t="shared" ca="1" si="693"/>
        <v/>
      </c>
      <c r="DP663" s="410" t="str">
        <f t="shared" ca="1" si="694"/>
        <v/>
      </c>
    </row>
    <row r="664" spans="27:120" x14ac:dyDescent="0.25">
      <c r="AA664" s="284" t="str">
        <f t="shared" ref="AA664:AF664" si="1056">AA113</f>
        <v/>
      </c>
      <c r="AB664" s="284" t="e">
        <f t="shared" ref="AB664:AE664" ca="1" si="1057">IF(OR(AB113&lt;=$AA664,AB113&gt;$AF664),100000,AB113)</f>
        <v>#N/A</v>
      </c>
      <c r="AC664" s="284" t="e">
        <f t="shared" ca="1" si="1057"/>
        <v>#N/A</v>
      </c>
      <c r="AD664" s="284" t="e">
        <f t="shared" ca="1" si="1057"/>
        <v>#N/A</v>
      </c>
      <c r="AE664" s="284" t="e">
        <f t="shared" ca="1" si="1057"/>
        <v>#N/A</v>
      </c>
      <c r="AF664" s="284" t="str">
        <f t="shared" si="1056"/>
        <v/>
      </c>
      <c r="AG664" s="238">
        <f t="shared" si="870"/>
        <v>0</v>
      </c>
      <c r="AH664" s="407">
        <f t="shared" si="871"/>
        <v>24</v>
      </c>
      <c r="AL664" s="112" t="str">
        <f t="shared" si="872"/>
        <v/>
      </c>
      <c r="AM664" s="112" t="e">
        <f t="shared" ca="1" si="873"/>
        <v>#N/A</v>
      </c>
      <c r="AN664" s="112" t="e">
        <f t="shared" ca="1" si="874"/>
        <v>#N/A</v>
      </c>
      <c r="AO664" s="112" t="e">
        <f t="shared" ca="1" si="875"/>
        <v>#N/A</v>
      </c>
      <c r="AP664" s="112" t="e">
        <f t="shared" ca="1" si="876"/>
        <v>#N/A</v>
      </c>
      <c r="AQ664" s="112" t="str">
        <f t="shared" si="877"/>
        <v/>
      </c>
      <c r="AT664" s="112" t="str">
        <f t="shared" si="878"/>
        <v/>
      </c>
      <c r="AU664" s="112" t="e">
        <f t="shared" ca="1" si="879"/>
        <v>#N/A</v>
      </c>
      <c r="AV664" s="112" t="e">
        <f t="shared" ca="1" si="880"/>
        <v>#N/A</v>
      </c>
      <c r="AW664" s="112" t="e">
        <f t="shared" ca="1" si="881"/>
        <v>#N/A</v>
      </c>
      <c r="AX664" s="112" t="e">
        <f t="shared" ca="1" si="882"/>
        <v>#N/A</v>
      </c>
      <c r="AY664" s="112" t="str">
        <f t="shared" si="883"/>
        <v/>
      </c>
      <c r="BA664" s="112" t="str">
        <f t="shared" si="884"/>
        <v/>
      </c>
      <c r="BB664" s="112" t="e">
        <f t="shared" ca="1" si="885"/>
        <v>#N/A</v>
      </c>
      <c r="BC664" s="112" t="e">
        <f t="shared" ca="1" si="886"/>
        <v>#N/A</v>
      </c>
      <c r="BD664" s="112" t="e">
        <f t="shared" ca="1" si="887"/>
        <v>#N/A</v>
      </c>
      <c r="BE664" s="112" t="e">
        <f t="shared" ca="1" si="888"/>
        <v>#N/A</v>
      </c>
      <c r="BF664" s="112" t="str">
        <f t="shared" si="889"/>
        <v/>
      </c>
      <c r="BI664" s="112" t="str">
        <f t="shared" si="890"/>
        <v/>
      </c>
      <c r="BJ664" s="112" t="e">
        <f t="shared" ca="1" si="891"/>
        <v>#N/A</v>
      </c>
      <c r="BK664" s="112" t="e">
        <f t="shared" ca="1" si="892"/>
        <v>#N/A</v>
      </c>
      <c r="BL664" s="112" t="e">
        <f t="shared" ca="1" si="893"/>
        <v>#N/A</v>
      </c>
      <c r="BM664" s="112" t="e">
        <f t="shared" ca="1" si="894"/>
        <v>#N/A</v>
      </c>
      <c r="BN664" s="112" t="str">
        <f t="shared" si="895"/>
        <v/>
      </c>
      <c r="BP664" s="238" t="e">
        <f t="shared" ca="1" si="961"/>
        <v>#N/A</v>
      </c>
      <c r="BQ664" s="238">
        <f t="shared" si="1045"/>
        <v>589</v>
      </c>
      <c r="BR664" t="s">
        <v>447</v>
      </c>
      <c r="BS664" t="s">
        <v>448</v>
      </c>
      <c r="BT664" s="114">
        <f t="shared" ca="1" si="802"/>
        <v>1</v>
      </c>
      <c r="BU664" s="112"/>
      <c r="BV664">
        <f t="shared" ca="1" si="956"/>
        <v>0</v>
      </c>
      <c r="BW664" s="112">
        <f t="shared" ca="1" si="865"/>
        <v>37786</v>
      </c>
      <c r="BX664" s="112">
        <f t="shared" ref="BX664:BX665" ca="1" si="1058">INDIRECT(CONCATENATE(BS664,BQ664))</f>
        <v>37786</v>
      </c>
      <c r="BY664">
        <f t="shared" ca="1" si="935"/>
        <v>16</v>
      </c>
      <c r="BZ664">
        <f t="shared" ca="1" si="936"/>
        <v>24</v>
      </c>
      <c r="CB664">
        <f t="shared" ca="1" si="898"/>
        <v>0</v>
      </c>
      <c r="CC664" s="112">
        <f t="shared" ca="1" si="899"/>
        <v>100000</v>
      </c>
      <c r="CD664" s="112">
        <f t="shared" ca="1" si="900"/>
        <v>37786</v>
      </c>
      <c r="CE664">
        <f t="shared" ca="1" si="901"/>
        <v>16</v>
      </c>
      <c r="CF664">
        <f t="shared" ca="1" si="902"/>
        <v>24</v>
      </c>
      <c r="CH664" s="112">
        <f t="shared" ca="1" si="1012"/>
        <v>37786</v>
      </c>
      <c r="CI664">
        <f t="shared" ca="1" si="1046"/>
        <v>0</v>
      </c>
      <c r="CJ664">
        <f t="shared" ref="CJ664" ca="1" si="1059">IF(AND(CI664=0,CJ665=0,CC664&lt;100000),1,0)</f>
        <v>0</v>
      </c>
      <c r="CK664" s="112">
        <f t="shared" ca="1" si="1021"/>
        <v>37786</v>
      </c>
      <c r="CM664" s="112"/>
      <c r="CN664" s="260">
        <f t="shared" ca="1" si="904"/>
        <v>100000</v>
      </c>
      <c r="CO664" s="112">
        <f t="shared" ca="1" si="1048"/>
        <v>37786</v>
      </c>
      <c r="CP664" s="238">
        <f t="shared" ca="1" si="1023"/>
        <v>16</v>
      </c>
      <c r="CQ664" s="328">
        <f t="shared" ca="1" si="1024"/>
        <v>24</v>
      </c>
      <c r="CS664" s="112">
        <f t="shared" ca="1" si="867"/>
        <v>100000</v>
      </c>
      <c r="CT664" s="112">
        <f t="shared" ca="1" si="916"/>
        <v>37786</v>
      </c>
      <c r="CU664" s="238">
        <f t="shared" ca="1" si="907"/>
        <v>16</v>
      </c>
      <c r="CV664" s="238">
        <f t="shared" ca="1" si="908"/>
        <v>24</v>
      </c>
      <c r="CY664">
        <f t="shared" si="917"/>
        <v>94</v>
      </c>
      <c r="DA664" s="112">
        <f t="shared" ca="1" si="918"/>
        <v>100000</v>
      </c>
      <c r="DC664">
        <f t="shared" si="919"/>
        <v>664</v>
      </c>
      <c r="DE664" t="str">
        <f t="shared" si="940"/>
        <v>cs664:dc790</v>
      </c>
      <c r="DF664">
        <f t="shared" ca="1" si="909"/>
        <v>664</v>
      </c>
      <c r="DG664" s="412">
        <f t="shared" ref="DG664:DG727" ca="1" si="1060">IF(DI665="",$CS$570,0)</f>
        <v>44804</v>
      </c>
      <c r="DH664" s="411" t="str">
        <f t="shared" ca="1" si="1049"/>
        <v/>
      </c>
      <c r="DI664" s="411" t="str">
        <f t="shared" ca="1" si="1050"/>
        <v/>
      </c>
      <c r="DJ664" s="410" t="str">
        <f t="shared" ca="1" si="1051"/>
        <v/>
      </c>
      <c r="DK664" s="410" t="str">
        <f t="shared" ca="1" si="1052"/>
        <v/>
      </c>
      <c r="DM664" s="411" t="str">
        <f t="shared" ref="DM664:DM727" ca="1" si="1061">DH664</f>
        <v/>
      </c>
      <c r="DN664" s="411" t="str">
        <f t="shared" ref="DN664:DN727" ca="1" si="1062">IF(AND(DM664&lt;&gt;"",DH665=""),DG664,DI664)</f>
        <v/>
      </c>
      <c r="DO664" s="410" t="str">
        <f t="shared" ref="DO664:DO727" ca="1" si="1063">DJ664</f>
        <v/>
      </c>
      <c r="DP664" s="410" t="str">
        <f t="shared" ref="DP664:DP727" ca="1" si="1064">DK664</f>
        <v/>
      </c>
    </row>
    <row r="665" spans="27:120" ht="15.75" thickBot="1" x14ac:dyDescent="0.3">
      <c r="AA665" s="284" t="str">
        <f t="shared" ref="AA665:AF665" si="1065">AA114</f>
        <v/>
      </c>
      <c r="AB665" s="284" t="e">
        <f t="shared" ref="AB665:AE665" ca="1" si="1066">IF(OR(AB114&lt;=$AA665,AB114&gt;$AF665),100000,AB114)</f>
        <v>#N/A</v>
      </c>
      <c r="AC665" s="284" t="e">
        <f t="shared" ca="1" si="1066"/>
        <v>#N/A</v>
      </c>
      <c r="AD665" s="284" t="e">
        <f t="shared" ca="1" si="1066"/>
        <v>#N/A</v>
      </c>
      <c r="AE665" s="284" t="e">
        <f t="shared" ca="1" si="1066"/>
        <v>#N/A</v>
      </c>
      <c r="AF665" s="284" t="str">
        <f t="shared" si="1065"/>
        <v/>
      </c>
      <c r="AG665" s="238">
        <f t="shared" si="870"/>
        <v>0</v>
      </c>
      <c r="AH665" s="407">
        <f t="shared" si="871"/>
        <v>24</v>
      </c>
      <c r="AL665" s="112" t="str">
        <f t="shared" si="872"/>
        <v/>
      </c>
      <c r="AM665" s="112" t="e">
        <f t="shared" ca="1" si="873"/>
        <v>#N/A</v>
      </c>
      <c r="AN665" s="112" t="e">
        <f t="shared" ca="1" si="874"/>
        <v>#N/A</v>
      </c>
      <c r="AO665" s="112" t="e">
        <f t="shared" ca="1" si="875"/>
        <v>#N/A</v>
      </c>
      <c r="AP665" s="112" t="e">
        <f t="shared" ca="1" si="876"/>
        <v>#N/A</v>
      </c>
      <c r="AQ665" s="112" t="str">
        <f t="shared" si="877"/>
        <v/>
      </c>
      <c r="AT665" s="112" t="str">
        <f t="shared" si="878"/>
        <v/>
      </c>
      <c r="AU665" s="112" t="e">
        <f t="shared" ca="1" si="879"/>
        <v>#N/A</v>
      </c>
      <c r="AV665" s="112" t="e">
        <f t="shared" ca="1" si="880"/>
        <v>#N/A</v>
      </c>
      <c r="AW665" s="112" t="e">
        <f t="shared" ca="1" si="881"/>
        <v>#N/A</v>
      </c>
      <c r="AX665" s="112" t="e">
        <f t="shared" ca="1" si="882"/>
        <v>#N/A</v>
      </c>
      <c r="AY665" s="112" t="str">
        <f t="shared" si="883"/>
        <v/>
      </c>
      <c r="BA665" s="112" t="str">
        <f t="shared" si="884"/>
        <v/>
      </c>
      <c r="BB665" s="112" t="e">
        <f t="shared" ca="1" si="885"/>
        <v>#N/A</v>
      </c>
      <c r="BC665" s="112" t="e">
        <f t="shared" ca="1" si="886"/>
        <v>#N/A</v>
      </c>
      <c r="BD665" s="112" t="e">
        <f t="shared" ca="1" si="887"/>
        <v>#N/A</v>
      </c>
      <c r="BE665" s="112" t="e">
        <f t="shared" ca="1" si="888"/>
        <v>#N/A</v>
      </c>
      <c r="BF665" s="112" t="str">
        <f t="shared" si="889"/>
        <v/>
      </c>
      <c r="BI665" s="112" t="str">
        <f t="shared" si="890"/>
        <v/>
      </c>
      <c r="BJ665" s="112" t="e">
        <f t="shared" ca="1" si="891"/>
        <v>#N/A</v>
      </c>
      <c r="BK665" s="112" t="e">
        <f t="shared" ca="1" si="892"/>
        <v>#N/A</v>
      </c>
      <c r="BL665" s="112" t="e">
        <f t="shared" ca="1" si="893"/>
        <v>#N/A</v>
      </c>
      <c r="BM665" s="112" t="e">
        <f t="shared" ca="1" si="894"/>
        <v>#N/A</v>
      </c>
      <c r="BN665" s="112" t="str">
        <f t="shared" si="895"/>
        <v/>
      </c>
      <c r="BP665" s="238" t="e">
        <f t="shared" ca="1" si="961"/>
        <v>#N/A</v>
      </c>
      <c r="BQ665" s="238">
        <f t="shared" si="1045"/>
        <v>589</v>
      </c>
      <c r="BR665" t="s">
        <v>448</v>
      </c>
      <c r="BS665" t="s">
        <v>449</v>
      </c>
      <c r="BT665" s="114">
        <f t="shared" ca="1" si="802"/>
        <v>1</v>
      </c>
      <c r="BU665" s="112"/>
      <c r="BV665">
        <f t="shared" ca="1" si="956"/>
        <v>0</v>
      </c>
      <c r="BW665" s="112">
        <f t="shared" ca="1" si="865"/>
        <v>37786</v>
      </c>
      <c r="BX665" s="112">
        <f t="shared" ca="1" si="1058"/>
        <v>37786</v>
      </c>
      <c r="BY665">
        <f t="shared" ca="1" si="935"/>
        <v>16</v>
      </c>
      <c r="BZ665">
        <f t="shared" ca="1" si="936"/>
        <v>24</v>
      </c>
      <c r="CB665">
        <f t="shared" ca="1" si="898"/>
        <v>0</v>
      </c>
      <c r="CC665" s="112">
        <f t="shared" ca="1" si="899"/>
        <v>100000</v>
      </c>
      <c r="CD665" s="112">
        <f t="shared" ca="1" si="900"/>
        <v>37786</v>
      </c>
      <c r="CE665">
        <f t="shared" ca="1" si="901"/>
        <v>16</v>
      </c>
      <c r="CF665">
        <f t="shared" ca="1" si="902"/>
        <v>24</v>
      </c>
      <c r="CH665" s="112">
        <f t="shared" ca="1" si="1012"/>
        <v>37786</v>
      </c>
      <c r="CI665">
        <f t="shared" ca="1" si="1046"/>
        <v>0</v>
      </c>
      <c r="CJ665">
        <f t="shared" ref="CJ665" ca="1" si="1067">IF(AND(CI665=0,CC665&lt;100000),1,0)</f>
        <v>0</v>
      </c>
      <c r="CK665" s="112">
        <f t="shared" ca="1" si="1021"/>
        <v>37786</v>
      </c>
      <c r="CM665" s="112"/>
      <c r="CN665" s="261">
        <f t="shared" ref="CN665" ca="1" si="1068">IF(AND(CN661=100000,CN662=100000,CN663=100000,CN664=100000),INDIRECT(CONCATENATE("aa",BQ665)),CC665)</f>
        <v>100000</v>
      </c>
      <c r="CO665" s="324">
        <f t="shared" ca="1" si="1048"/>
        <v>37786</v>
      </c>
      <c r="CP665" s="256">
        <f t="shared" ca="1" si="1023"/>
        <v>16</v>
      </c>
      <c r="CQ665" s="329">
        <f t="shared" ca="1" si="1024"/>
        <v>24</v>
      </c>
      <c r="CS665" s="112">
        <f t="shared" ca="1" si="867"/>
        <v>100000</v>
      </c>
      <c r="CT665" s="112">
        <f t="shared" ca="1" si="916"/>
        <v>37786</v>
      </c>
      <c r="CU665" s="238">
        <f t="shared" ca="1" si="907"/>
        <v>16</v>
      </c>
      <c r="CV665" s="238">
        <f t="shared" ca="1" si="908"/>
        <v>24</v>
      </c>
      <c r="CY665">
        <f t="shared" si="917"/>
        <v>95</v>
      </c>
      <c r="DA665" s="112">
        <f t="shared" ca="1" si="918"/>
        <v>100000</v>
      </c>
      <c r="DC665">
        <f t="shared" si="919"/>
        <v>665</v>
      </c>
      <c r="DE665" t="str">
        <f t="shared" si="940"/>
        <v>cs665:dc790</v>
      </c>
      <c r="DF665">
        <f t="shared" ca="1" si="909"/>
        <v>665</v>
      </c>
      <c r="DG665" s="412">
        <f t="shared" ca="1" si="1060"/>
        <v>44804</v>
      </c>
      <c r="DH665" s="411" t="str">
        <f t="shared" ca="1" si="1049"/>
        <v/>
      </c>
      <c r="DI665" s="411" t="str">
        <f t="shared" ca="1" si="1050"/>
        <v/>
      </c>
      <c r="DJ665" s="410" t="str">
        <f t="shared" ca="1" si="1051"/>
        <v/>
      </c>
      <c r="DK665" s="410" t="str">
        <f t="shared" ca="1" si="1052"/>
        <v/>
      </c>
      <c r="DM665" s="411" t="str">
        <f t="shared" ca="1" si="1061"/>
        <v/>
      </c>
      <c r="DN665" s="411" t="str">
        <f t="shared" ca="1" si="1062"/>
        <v/>
      </c>
      <c r="DO665" s="410" t="str">
        <f t="shared" ca="1" si="1063"/>
        <v/>
      </c>
      <c r="DP665" s="410" t="str">
        <f t="shared" ca="1" si="1064"/>
        <v/>
      </c>
    </row>
    <row r="666" spans="27:120" x14ac:dyDescent="0.25">
      <c r="AA666" s="284" t="str">
        <f t="shared" ref="AA666:AF666" si="1069">AA115</f>
        <v/>
      </c>
      <c r="AB666" s="284" t="e">
        <f t="shared" ref="AB666:AE666" ca="1" si="1070">IF(OR(AB115&lt;=$AA666,AB115&gt;$AF666),100000,AB115)</f>
        <v>#N/A</v>
      </c>
      <c r="AC666" s="284" t="e">
        <f t="shared" ca="1" si="1070"/>
        <v>#N/A</v>
      </c>
      <c r="AD666" s="284" t="e">
        <f t="shared" ca="1" si="1070"/>
        <v>#N/A</v>
      </c>
      <c r="AE666" s="284" t="e">
        <f t="shared" ca="1" si="1070"/>
        <v>#N/A</v>
      </c>
      <c r="AF666" s="284" t="str">
        <f t="shared" si="1069"/>
        <v/>
      </c>
      <c r="AG666" s="238">
        <f t="shared" si="870"/>
        <v>0</v>
      </c>
      <c r="AH666" s="407">
        <f t="shared" si="871"/>
        <v>24</v>
      </c>
      <c r="AL666" s="112" t="str">
        <f t="shared" si="872"/>
        <v/>
      </c>
      <c r="AM666" s="112" t="e">
        <f t="shared" ca="1" si="873"/>
        <v>#N/A</v>
      </c>
      <c r="AN666" s="112" t="e">
        <f t="shared" ca="1" si="874"/>
        <v>#N/A</v>
      </c>
      <c r="AO666" s="112" t="e">
        <f t="shared" ca="1" si="875"/>
        <v>#N/A</v>
      </c>
      <c r="AP666" s="112" t="e">
        <f t="shared" ca="1" si="876"/>
        <v>#N/A</v>
      </c>
      <c r="AQ666" s="112" t="str">
        <f t="shared" si="877"/>
        <v/>
      </c>
      <c r="AT666" s="112" t="str">
        <f t="shared" si="878"/>
        <v/>
      </c>
      <c r="AU666" s="112" t="e">
        <f t="shared" ca="1" si="879"/>
        <v>#N/A</v>
      </c>
      <c r="AV666" s="112" t="e">
        <f t="shared" ca="1" si="880"/>
        <v>#N/A</v>
      </c>
      <c r="AW666" s="112" t="e">
        <f t="shared" ca="1" si="881"/>
        <v>#N/A</v>
      </c>
      <c r="AX666" s="112" t="e">
        <f t="shared" ca="1" si="882"/>
        <v>#N/A</v>
      </c>
      <c r="AY666" s="112" t="str">
        <f t="shared" si="883"/>
        <v/>
      </c>
      <c r="BA666" s="112" t="str">
        <f t="shared" si="884"/>
        <v/>
      </c>
      <c r="BB666" s="112" t="e">
        <f t="shared" ca="1" si="885"/>
        <v>#N/A</v>
      </c>
      <c r="BC666" s="112" t="e">
        <f t="shared" ca="1" si="886"/>
        <v>#N/A</v>
      </c>
      <c r="BD666" s="112" t="e">
        <f t="shared" ca="1" si="887"/>
        <v>#N/A</v>
      </c>
      <c r="BE666" s="112" t="e">
        <f t="shared" ca="1" si="888"/>
        <v>#N/A</v>
      </c>
      <c r="BF666" s="112" t="str">
        <f t="shared" si="889"/>
        <v/>
      </c>
      <c r="BI666" s="112" t="str">
        <f t="shared" si="890"/>
        <v/>
      </c>
      <c r="BJ666" s="112" t="e">
        <f t="shared" ca="1" si="891"/>
        <v>#N/A</v>
      </c>
      <c r="BK666" s="112" t="e">
        <f t="shared" ca="1" si="892"/>
        <v>#N/A</v>
      </c>
      <c r="BL666" s="112" t="e">
        <f t="shared" ca="1" si="893"/>
        <v>#N/A</v>
      </c>
      <c r="BM666" s="112" t="e">
        <f t="shared" ca="1" si="894"/>
        <v>#N/A</v>
      </c>
      <c r="BN666" s="112" t="str">
        <f t="shared" si="895"/>
        <v/>
      </c>
      <c r="BP666" s="238" t="e">
        <f t="shared" ca="1" si="961"/>
        <v>#N/A</v>
      </c>
      <c r="BQ666" s="238">
        <f t="shared" ref="BQ666" si="1071">BQ665+1</f>
        <v>590</v>
      </c>
      <c r="BR666" s="112" t="s">
        <v>444</v>
      </c>
      <c r="BS666" s="112" t="s">
        <v>445</v>
      </c>
      <c r="BT666" s="114">
        <f t="shared" ca="1" si="802"/>
        <v>0</v>
      </c>
      <c r="BU666" s="112"/>
      <c r="BV666">
        <f t="shared" ca="1" si="956"/>
        <v>1</v>
      </c>
      <c r="BW666" s="112">
        <f t="shared" ca="1" si="865"/>
        <v>37865</v>
      </c>
      <c r="BX666" s="112">
        <f t="shared" ref="BX666:BX668" ca="1" si="1072">INDIRECT(CONCATENATE(BS666,BQ666))-1</f>
        <v>37986</v>
      </c>
      <c r="BY666">
        <f t="shared" ca="1" si="935"/>
        <v>18</v>
      </c>
      <c r="BZ666">
        <f t="shared" ca="1" si="936"/>
        <v>24</v>
      </c>
      <c r="CB666">
        <f t="shared" ca="1" si="898"/>
        <v>0</v>
      </c>
      <c r="CC666" s="112">
        <f t="shared" ca="1" si="899"/>
        <v>37865</v>
      </c>
      <c r="CD666" s="112">
        <f t="shared" ca="1" si="900"/>
        <v>37986</v>
      </c>
      <c r="CE666">
        <f t="shared" ca="1" si="901"/>
        <v>18</v>
      </c>
      <c r="CF666">
        <f t="shared" ca="1" si="902"/>
        <v>24</v>
      </c>
      <c r="CH666" s="112">
        <f t="shared" ca="1" si="1012"/>
        <v>38168</v>
      </c>
      <c r="CI666">
        <f t="shared" ref="CI666" ca="1" si="1073">CB666+CB667+CB668+CB669+CB670</f>
        <v>0</v>
      </c>
      <c r="CJ666">
        <v>0</v>
      </c>
      <c r="CK666" s="112">
        <f t="shared" ca="1" si="1021"/>
        <v>38168</v>
      </c>
      <c r="CM666" s="112"/>
      <c r="CN666" s="408">
        <f t="shared" ca="1" si="904"/>
        <v>37865</v>
      </c>
      <c r="CO666" s="326">
        <f t="shared" ref="CO666" ca="1" si="1074">CD666</f>
        <v>37986</v>
      </c>
      <c r="CP666" s="333">
        <f t="shared" ca="1" si="1023"/>
        <v>18</v>
      </c>
      <c r="CQ666" s="327">
        <f t="shared" ca="1" si="1024"/>
        <v>24</v>
      </c>
      <c r="CS666" s="112">
        <f t="shared" ca="1" si="867"/>
        <v>37865</v>
      </c>
      <c r="CT666" s="112">
        <f t="shared" ref="CT666" ca="1" si="1075">IF(AND( CN667=100000,CN668=100000,CN669=100000,CN670=100000),CO670,                             CO666)</f>
        <v>37986</v>
      </c>
      <c r="CU666" s="238">
        <f t="shared" ca="1" si="907"/>
        <v>18</v>
      </c>
      <c r="CV666" s="238">
        <f t="shared" ca="1" si="908"/>
        <v>24</v>
      </c>
      <c r="CY666">
        <f t="shared" si="917"/>
        <v>96</v>
      </c>
      <c r="DA666" s="112">
        <f t="shared" ca="1" si="918"/>
        <v>100000</v>
      </c>
      <c r="DC666">
        <f t="shared" si="919"/>
        <v>666</v>
      </c>
      <c r="DE666" t="str">
        <f t="shared" si="940"/>
        <v>cs666:dc790</v>
      </c>
      <c r="DF666">
        <f t="shared" ca="1" si="909"/>
        <v>667</v>
      </c>
      <c r="DG666" s="412">
        <f t="shared" ca="1" si="1060"/>
        <v>44804</v>
      </c>
      <c r="DH666" s="411" t="str">
        <f t="shared" ca="1" si="1049"/>
        <v/>
      </c>
      <c r="DI666" s="411" t="str">
        <f t="shared" ca="1" si="1050"/>
        <v/>
      </c>
      <c r="DJ666" s="410" t="str">
        <f t="shared" ca="1" si="1051"/>
        <v/>
      </c>
      <c r="DK666" s="410" t="str">
        <f t="shared" ca="1" si="1052"/>
        <v/>
      </c>
      <c r="DM666" s="411" t="str">
        <f t="shared" ca="1" si="1061"/>
        <v/>
      </c>
      <c r="DN666" s="411" t="str">
        <f t="shared" ca="1" si="1062"/>
        <v/>
      </c>
      <c r="DO666" s="410" t="str">
        <f t="shared" ca="1" si="1063"/>
        <v/>
      </c>
      <c r="DP666" s="410" t="str">
        <f t="shared" ca="1" si="1064"/>
        <v/>
      </c>
    </row>
    <row r="667" spans="27:120" x14ac:dyDescent="0.25">
      <c r="AA667" s="284" t="str">
        <f t="shared" ref="AA667:AF667" si="1076">AA116</f>
        <v/>
      </c>
      <c r="AB667" s="284" t="e">
        <f t="shared" ref="AB667:AE667" ca="1" si="1077">IF(OR(AB116&lt;=$AA667,AB116&gt;$AF667),100000,AB116)</f>
        <v>#N/A</v>
      </c>
      <c r="AC667" s="284" t="e">
        <f t="shared" ca="1" si="1077"/>
        <v>#N/A</v>
      </c>
      <c r="AD667" s="284" t="e">
        <f t="shared" ca="1" si="1077"/>
        <v>#N/A</v>
      </c>
      <c r="AE667" s="284" t="e">
        <f t="shared" ca="1" si="1077"/>
        <v>#N/A</v>
      </c>
      <c r="AF667" s="284" t="str">
        <f t="shared" si="1076"/>
        <v/>
      </c>
      <c r="AG667" s="238">
        <f t="shared" si="870"/>
        <v>0</v>
      </c>
      <c r="AH667" s="407">
        <f t="shared" si="871"/>
        <v>24</v>
      </c>
      <c r="AL667" s="112" t="str">
        <f t="shared" si="872"/>
        <v/>
      </c>
      <c r="AM667" s="112" t="e">
        <f t="shared" ca="1" si="873"/>
        <v>#N/A</v>
      </c>
      <c r="AN667" s="112" t="e">
        <f t="shared" ca="1" si="874"/>
        <v>#N/A</v>
      </c>
      <c r="AO667" s="112" t="e">
        <f t="shared" ca="1" si="875"/>
        <v>#N/A</v>
      </c>
      <c r="AP667" s="112" t="e">
        <f t="shared" ca="1" si="876"/>
        <v>#N/A</v>
      </c>
      <c r="AQ667" s="112" t="str">
        <f t="shared" si="877"/>
        <v/>
      </c>
      <c r="AT667" s="112" t="str">
        <f t="shared" si="878"/>
        <v/>
      </c>
      <c r="AU667" s="112" t="e">
        <f t="shared" ca="1" si="879"/>
        <v>#N/A</v>
      </c>
      <c r="AV667" s="112" t="e">
        <f t="shared" ca="1" si="880"/>
        <v>#N/A</v>
      </c>
      <c r="AW667" s="112" t="e">
        <f t="shared" ca="1" si="881"/>
        <v>#N/A</v>
      </c>
      <c r="AX667" s="112" t="e">
        <f t="shared" ca="1" si="882"/>
        <v>#N/A</v>
      </c>
      <c r="AY667" s="112" t="str">
        <f t="shared" si="883"/>
        <v/>
      </c>
      <c r="BA667" s="112" t="str">
        <f t="shared" si="884"/>
        <v/>
      </c>
      <c r="BB667" s="112" t="e">
        <f t="shared" ca="1" si="885"/>
        <v>#N/A</v>
      </c>
      <c r="BC667" s="112" t="e">
        <f t="shared" ca="1" si="886"/>
        <v>#N/A</v>
      </c>
      <c r="BD667" s="112" t="e">
        <f t="shared" ca="1" si="887"/>
        <v>#N/A</v>
      </c>
      <c r="BE667" s="112" t="e">
        <f t="shared" ca="1" si="888"/>
        <v>#N/A</v>
      </c>
      <c r="BF667" s="112" t="str">
        <f t="shared" si="889"/>
        <v/>
      </c>
      <c r="BI667" s="112" t="str">
        <f t="shared" si="890"/>
        <v/>
      </c>
      <c r="BJ667" s="112" t="e">
        <f t="shared" ca="1" si="891"/>
        <v>#N/A</v>
      </c>
      <c r="BK667" s="112" t="e">
        <f t="shared" ca="1" si="892"/>
        <v>#N/A</v>
      </c>
      <c r="BL667" s="112" t="e">
        <f t="shared" ca="1" si="893"/>
        <v>#N/A</v>
      </c>
      <c r="BM667" s="112" t="e">
        <f t="shared" ca="1" si="894"/>
        <v>#N/A</v>
      </c>
      <c r="BN667" s="112" t="str">
        <f t="shared" si="895"/>
        <v/>
      </c>
      <c r="BP667" s="238" t="e">
        <f t="shared" ca="1" si="961"/>
        <v>#N/A</v>
      </c>
      <c r="BQ667" s="238">
        <f t="shared" ref="BQ667:BQ670" si="1078">BQ666</f>
        <v>590</v>
      </c>
      <c r="BR667" t="s">
        <v>445</v>
      </c>
      <c r="BS667" t="s">
        <v>446</v>
      </c>
      <c r="BT667" s="114">
        <f t="shared" ca="1" si="802"/>
        <v>0</v>
      </c>
      <c r="BU667" s="112"/>
      <c r="BV667">
        <f t="shared" ca="1" si="956"/>
        <v>1</v>
      </c>
      <c r="BW667" s="112">
        <f t="shared" ca="1" si="865"/>
        <v>37987</v>
      </c>
      <c r="BX667" s="112">
        <f t="shared" ca="1" si="1072"/>
        <v>37986</v>
      </c>
      <c r="BY667">
        <f t="shared" ca="1" si="935"/>
        <v>18</v>
      </c>
      <c r="BZ667">
        <f t="shared" ca="1" si="936"/>
        <v>24</v>
      </c>
      <c r="CB667">
        <f t="shared" ca="1" si="898"/>
        <v>0</v>
      </c>
      <c r="CC667" s="112">
        <f t="shared" ca="1" si="899"/>
        <v>100000</v>
      </c>
      <c r="CD667" s="112">
        <f t="shared" ca="1" si="900"/>
        <v>37986</v>
      </c>
      <c r="CE667">
        <f t="shared" ca="1" si="901"/>
        <v>18</v>
      </c>
      <c r="CF667">
        <f t="shared" ca="1" si="902"/>
        <v>24</v>
      </c>
      <c r="CH667" s="112">
        <f t="shared" ca="1" si="1012"/>
        <v>38168</v>
      </c>
      <c r="CI667">
        <f t="shared" ref="CI667:CI670" ca="1" si="1079">CI666</f>
        <v>0</v>
      </c>
      <c r="CJ667">
        <f t="shared" ref="CJ667" ca="1" si="1080">IF(AND(CI667=0,CJ668=0,CJ669=0,CJ670=0,CC667&lt;100000),1,0)</f>
        <v>0</v>
      </c>
      <c r="CK667" s="112">
        <f t="shared" ca="1" si="1021"/>
        <v>38168</v>
      </c>
      <c r="CM667" s="112"/>
      <c r="CN667" s="260">
        <f t="shared" ca="1" si="904"/>
        <v>100000</v>
      </c>
      <c r="CO667" s="112">
        <f t="shared" ref="CO667:CO670" ca="1" si="1081">IF(CJ667=1,CH667,CD667)</f>
        <v>37986</v>
      </c>
      <c r="CP667" s="238">
        <f t="shared" ca="1" si="1023"/>
        <v>18</v>
      </c>
      <c r="CQ667" s="328">
        <f t="shared" ca="1" si="1024"/>
        <v>24</v>
      </c>
      <c r="CS667" s="112">
        <f t="shared" ca="1" si="867"/>
        <v>100000</v>
      </c>
      <c r="CT667" s="112">
        <f t="shared" ca="1" si="916"/>
        <v>37986</v>
      </c>
      <c r="CU667" s="238">
        <f t="shared" ca="1" si="907"/>
        <v>18</v>
      </c>
      <c r="CV667" s="238">
        <f t="shared" ca="1" si="908"/>
        <v>24</v>
      </c>
      <c r="CY667">
        <f t="shared" si="917"/>
        <v>97</v>
      </c>
      <c r="DA667" s="112">
        <f t="shared" ca="1" si="918"/>
        <v>100000</v>
      </c>
      <c r="DC667">
        <f t="shared" si="919"/>
        <v>667</v>
      </c>
      <c r="DE667" t="str">
        <f t="shared" si="940"/>
        <v>cs667:dc790</v>
      </c>
      <c r="DF667">
        <f t="shared" ca="1" si="909"/>
        <v>667</v>
      </c>
      <c r="DG667" s="412">
        <f t="shared" ca="1" si="1060"/>
        <v>44804</v>
      </c>
      <c r="DH667" s="411" t="str">
        <f t="shared" ca="1" si="1049"/>
        <v/>
      </c>
      <c r="DI667" s="411" t="str">
        <f t="shared" ca="1" si="1050"/>
        <v/>
      </c>
      <c r="DJ667" s="410" t="str">
        <f t="shared" ca="1" si="1051"/>
        <v/>
      </c>
      <c r="DK667" s="410" t="str">
        <f t="shared" ca="1" si="1052"/>
        <v/>
      </c>
      <c r="DM667" s="411" t="str">
        <f t="shared" ca="1" si="1061"/>
        <v/>
      </c>
      <c r="DN667" s="411" t="str">
        <f t="shared" ca="1" si="1062"/>
        <v/>
      </c>
      <c r="DO667" s="410" t="str">
        <f t="shared" ca="1" si="1063"/>
        <v/>
      </c>
      <c r="DP667" s="410" t="str">
        <f t="shared" ca="1" si="1064"/>
        <v/>
      </c>
    </row>
    <row r="668" spans="27:120" x14ac:dyDescent="0.25">
      <c r="AA668" s="284" t="str">
        <f t="shared" ref="AA668:AF668" si="1082">AA117</f>
        <v/>
      </c>
      <c r="AB668" s="284" t="e">
        <f t="shared" ref="AB668:AE668" ca="1" si="1083">IF(OR(AB117&lt;=$AA668,AB117&gt;$AF668),100000,AB117)</f>
        <v>#N/A</v>
      </c>
      <c r="AC668" s="284" t="e">
        <f t="shared" ca="1" si="1083"/>
        <v>#N/A</v>
      </c>
      <c r="AD668" s="284" t="e">
        <f t="shared" ca="1" si="1083"/>
        <v>#N/A</v>
      </c>
      <c r="AE668" s="284" t="e">
        <f t="shared" ca="1" si="1083"/>
        <v>#N/A</v>
      </c>
      <c r="AF668" s="284" t="str">
        <f t="shared" si="1082"/>
        <v/>
      </c>
      <c r="AG668" s="238">
        <f t="shared" si="870"/>
        <v>0</v>
      </c>
      <c r="AH668" s="407">
        <f t="shared" si="871"/>
        <v>24</v>
      </c>
      <c r="AL668" s="112" t="str">
        <f t="shared" si="872"/>
        <v/>
      </c>
      <c r="AM668" s="112" t="e">
        <f t="shared" ca="1" si="873"/>
        <v>#N/A</v>
      </c>
      <c r="AN668" s="112" t="e">
        <f t="shared" ca="1" si="874"/>
        <v>#N/A</v>
      </c>
      <c r="AO668" s="112" t="e">
        <f t="shared" ca="1" si="875"/>
        <v>#N/A</v>
      </c>
      <c r="AP668" s="112" t="e">
        <f t="shared" ca="1" si="876"/>
        <v>#N/A</v>
      </c>
      <c r="AQ668" s="112" t="str">
        <f t="shared" si="877"/>
        <v/>
      </c>
      <c r="AT668" s="112" t="str">
        <f t="shared" si="878"/>
        <v/>
      </c>
      <c r="AU668" s="112" t="e">
        <f t="shared" ca="1" si="879"/>
        <v>#N/A</v>
      </c>
      <c r="AV668" s="112" t="e">
        <f t="shared" ca="1" si="880"/>
        <v>#N/A</v>
      </c>
      <c r="AW668" s="112" t="e">
        <f t="shared" ca="1" si="881"/>
        <v>#N/A</v>
      </c>
      <c r="AX668" s="112" t="e">
        <f t="shared" ca="1" si="882"/>
        <v>#N/A</v>
      </c>
      <c r="AY668" s="112" t="str">
        <f t="shared" si="883"/>
        <v/>
      </c>
      <c r="BA668" s="112" t="str">
        <f t="shared" si="884"/>
        <v/>
      </c>
      <c r="BB668" s="112" t="e">
        <f t="shared" ca="1" si="885"/>
        <v>#N/A</v>
      </c>
      <c r="BC668" s="112" t="e">
        <f t="shared" ca="1" si="886"/>
        <v>#N/A</v>
      </c>
      <c r="BD668" s="112" t="e">
        <f t="shared" ca="1" si="887"/>
        <v>#N/A</v>
      </c>
      <c r="BE668" s="112" t="e">
        <f t="shared" ca="1" si="888"/>
        <v>#N/A</v>
      </c>
      <c r="BF668" s="112" t="str">
        <f t="shared" si="889"/>
        <v/>
      </c>
      <c r="BI668" s="112" t="str">
        <f t="shared" si="890"/>
        <v/>
      </c>
      <c r="BJ668" s="112" t="e">
        <f t="shared" ca="1" si="891"/>
        <v>#N/A</v>
      </c>
      <c r="BK668" s="112" t="e">
        <f t="shared" ca="1" si="892"/>
        <v>#N/A</v>
      </c>
      <c r="BL668" s="112" t="e">
        <f t="shared" ca="1" si="893"/>
        <v>#N/A</v>
      </c>
      <c r="BM668" s="112" t="e">
        <f t="shared" ca="1" si="894"/>
        <v>#N/A</v>
      </c>
      <c r="BN668" s="112" t="str">
        <f t="shared" si="895"/>
        <v/>
      </c>
      <c r="BP668" s="238" t="e">
        <f t="shared" ca="1" si="961"/>
        <v>#N/A</v>
      </c>
      <c r="BQ668" s="238">
        <f t="shared" si="1078"/>
        <v>590</v>
      </c>
      <c r="BR668" t="s">
        <v>446</v>
      </c>
      <c r="BS668" t="s">
        <v>447</v>
      </c>
      <c r="BT668" s="114">
        <f t="shared" ca="1" si="802"/>
        <v>0</v>
      </c>
      <c r="BU668" s="112"/>
      <c r="BV668">
        <f t="shared" ca="1" si="956"/>
        <v>1</v>
      </c>
      <c r="BW668" s="112">
        <f t="shared" ca="1" si="865"/>
        <v>37987</v>
      </c>
      <c r="BX668" s="112">
        <f t="shared" ca="1" si="1072"/>
        <v>38167</v>
      </c>
      <c r="BY668">
        <f t="shared" ca="1" si="935"/>
        <v>18</v>
      </c>
      <c r="BZ668">
        <f t="shared" ca="1" si="936"/>
        <v>24</v>
      </c>
      <c r="CB668">
        <f t="shared" ca="1" si="898"/>
        <v>0</v>
      </c>
      <c r="CC668" s="112">
        <f t="shared" ca="1" si="899"/>
        <v>37987</v>
      </c>
      <c r="CD668" s="112">
        <f t="shared" ca="1" si="900"/>
        <v>38167</v>
      </c>
      <c r="CE668">
        <f t="shared" ca="1" si="901"/>
        <v>18</v>
      </c>
      <c r="CF668">
        <f t="shared" ca="1" si="902"/>
        <v>24</v>
      </c>
      <c r="CH668" s="112">
        <f t="shared" ca="1" si="1012"/>
        <v>38168</v>
      </c>
      <c r="CI668">
        <f t="shared" ca="1" si="1079"/>
        <v>0</v>
      </c>
      <c r="CJ668">
        <f t="shared" ref="CJ668" ca="1" si="1084">IF(AND(CI668=0,CJ669=0,CJ670=0,CC668&lt;100000),1,0)</f>
        <v>1</v>
      </c>
      <c r="CK668" s="112">
        <f t="shared" ca="1" si="1021"/>
        <v>1</v>
      </c>
      <c r="CM668" s="112"/>
      <c r="CN668" s="260">
        <f t="shared" ca="1" si="904"/>
        <v>37987</v>
      </c>
      <c r="CO668" s="112">
        <f t="shared" ca="1" si="1081"/>
        <v>38168</v>
      </c>
      <c r="CP668" s="238">
        <f t="shared" ca="1" si="1023"/>
        <v>18</v>
      </c>
      <c r="CQ668" s="328">
        <f t="shared" ca="1" si="1024"/>
        <v>24</v>
      </c>
      <c r="CS668" s="112">
        <f t="shared" ca="1" si="867"/>
        <v>37987</v>
      </c>
      <c r="CT668" s="112">
        <f t="shared" ca="1" si="916"/>
        <v>38168</v>
      </c>
      <c r="CU668" s="238">
        <f t="shared" ca="1" si="907"/>
        <v>18</v>
      </c>
      <c r="CV668" s="238">
        <f t="shared" ca="1" si="908"/>
        <v>24</v>
      </c>
      <c r="CY668">
        <f t="shared" si="917"/>
        <v>98</v>
      </c>
      <c r="DA668" s="112">
        <f t="shared" ca="1" si="918"/>
        <v>100000</v>
      </c>
      <c r="DC668">
        <f t="shared" si="919"/>
        <v>668</v>
      </c>
      <c r="DE668" t="str">
        <f t="shared" si="940"/>
        <v>cs668:dc790</v>
      </c>
      <c r="DF668">
        <f t="shared" ca="1" si="909"/>
        <v>669</v>
      </c>
      <c r="DG668" s="412">
        <f t="shared" ca="1" si="1060"/>
        <v>44804</v>
      </c>
      <c r="DH668" s="411" t="str">
        <f t="shared" ca="1" si="1049"/>
        <v/>
      </c>
      <c r="DI668" s="411" t="str">
        <f t="shared" ca="1" si="1050"/>
        <v/>
      </c>
      <c r="DJ668" s="410" t="str">
        <f t="shared" ca="1" si="1051"/>
        <v/>
      </c>
      <c r="DK668" s="410" t="str">
        <f t="shared" ca="1" si="1052"/>
        <v/>
      </c>
      <c r="DM668" s="411" t="str">
        <f t="shared" ca="1" si="1061"/>
        <v/>
      </c>
      <c r="DN668" s="411" t="str">
        <f t="shared" ca="1" si="1062"/>
        <v/>
      </c>
      <c r="DO668" s="410" t="str">
        <f t="shared" ca="1" si="1063"/>
        <v/>
      </c>
      <c r="DP668" s="410" t="str">
        <f t="shared" ca="1" si="1064"/>
        <v/>
      </c>
    </row>
    <row r="669" spans="27:120" x14ac:dyDescent="0.25">
      <c r="AA669" s="284" t="str">
        <f t="shared" ref="AA669:AF669" si="1085">AA118</f>
        <v/>
      </c>
      <c r="AB669" s="284" t="e">
        <f t="shared" ref="AB669:AE669" ca="1" si="1086">IF(OR(AB118&lt;=$AA669,AB118&gt;$AF669),100000,AB118)</f>
        <v>#N/A</v>
      </c>
      <c r="AC669" s="284" t="e">
        <f t="shared" ca="1" si="1086"/>
        <v>#N/A</v>
      </c>
      <c r="AD669" s="284" t="e">
        <f t="shared" ca="1" si="1086"/>
        <v>#N/A</v>
      </c>
      <c r="AE669" s="284" t="e">
        <f t="shared" ca="1" si="1086"/>
        <v>#N/A</v>
      </c>
      <c r="AF669" s="284" t="str">
        <f t="shared" si="1085"/>
        <v/>
      </c>
      <c r="AG669" s="238">
        <f t="shared" si="870"/>
        <v>0</v>
      </c>
      <c r="AH669" s="407">
        <f t="shared" si="871"/>
        <v>24</v>
      </c>
      <c r="AL669" s="112" t="str">
        <f t="shared" si="872"/>
        <v/>
      </c>
      <c r="AM669" s="112" t="e">
        <f t="shared" ca="1" si="873"/>
        <v>#N/A</v>
      </c>
      <c r="AN669" s="112" t="e">
        <f t="shared" ca="1" si="874"/>
        <v>#N/A</v>
      </c>
      <c r="AO669" s="112" t="e">
        <f t="shared" ca="1" si="875"/>
        <v>#N/A</v>
      </c>
      <c r="AP669" s="112" t="e">
        <f t="shared" ca="1" si="876"/>
        <v>#N/A</v>
      </c>
      <c r="AQ669" s="112" t="str">
        <f t="shared" si="877"/>
        <v/>
      </c>
      <c r="AT669" s="112" t="str">
        <f t="shared" si="878"/>
        <v/>
      </c>
      <c r="AU669" s="112" t="e">
        <f t="shared" ca="1" si="879"/>
        <v>#N/A</v>
      </c>
      <c r="AV669" s="112" t="e">
        <f t="shared" ca="1" si="880"/>
        <v>#N/A</v>
      </c>
      <c r="AW669" s="112" t="e">
        <f t="shared" ca="1" si="881"/>
        <v>#N/A</v>
      </c>
      <c r="AX669" s="112" t="e">
        <f t="shared" ca="1" si="882"/>
        <v>#N/A</v>
      </c>
      <c r="AY669" s="112" t="str">
        <f t="shared" si="883"/>
        <v/>
      </c>
      <c r="BA669" s="112" t="str">
        <f t="shared" si="884"/>
        <v/>
      </c>
      <c r="BB669" s="112" t="e">
        <f t="shared" ca="1" si="885"/>
        <v>#N/A</v>
      </c>
      <c r="BC669" s="112" t="e">
        <f t="shared" ca="1" si="886"/>
        <v>#N/A</v>
      </c>
      <c r="BD669" s="112" t="e">
        <f t="shared" ca="1" si="887"/>
        <v>#N/A</v>
      </c>
      <c r="BE669" s="112" t="e">
        <f t="shared" ca="1" si="888"/>
        <v>#N/A</v>
      </c>
      <c r="BF669" s="112" t="str">
        <f t="shared" si="889"/>
        <v/>
      </c>
      <c r="BI669" s="112" t="str">
        <f t="shared" si="890"/>
        <v/>
      </c>
      <c r="BJ669" s="112" t="e">
        <f t="shared" ca="1" si="891"/>
        <v>#N/A</v>
      </c>
      <c r="BK669" s="112" t="e">
        <f t="shared" ca="1" si="892"/>
        <v>#N/A</v>
      </c>
      <c r="BL669" s="112" t="e">
        <f t="shared" ca="1" si="893"/>
        <v>#N/A</v>
      </c>
      <c r="BM669" s="112" t="e">
        <f t="shared" ca="1" si="894"/>
        <v>#N/A</v>
      </c>
      <c r="BN669" s="112" t="str">
        <f t="shared" si="895"/>
        <v/>
      </c>
      <c r="BP669" s="238" t="e">
        <f t="shared" ca="1" si="961"/>
        <v>#N/A</v>
      </c>
      <c r="BQ669" s="238">
        <f t="shared" si="1078"/>
        <v>590</v>
      </c>
      <c r="BR669" t="s">
        <v>447</v>
      </c>
      <c r="BS669" t="s">
        <v>448</v>
      </c>
      <c r="BT669" s="114">
        <f t="shared" ca="1" si="802"/>
        <v>0</v>
      </c>
      <c r="BU669" s="112"/>
      <c r="BV669">
        <f t="shared" ca="1" si="956"/>
        <v>0</v>
      </c>
      <c r="BW669" s="112">
        <f t="shared" ca="1" si="865"/>
        <v>38168</v>
      </c>
      <c r="BX669" s="112">
        <f t="shared" ref="BX669:BX670" ca="1" si="1087">INDIRECT(CONCATENATE(BS669,BQ669))</f>
        <v>38168</v>
      </c>
      <c r="BY669">
        <f t="shared" ca="1" si="935"/>
        <v>18</v>
      </c>
      <c r="BZ669">
        <f t="shared" ca="1" si="936"/>
        <v>24</v>
      </c>
      <c r="CB669">
        <f t="shared" ca="1" si="898"/>
        <v>0</v>
      </c>
      <c r="CC669" s="112">
        <f t="shared" ca="1" si="899"/>
        <v>100000</v>
      </c>
      <c r="CD669" s="112">
        <f t="shared" ca="1" si="900"/>
        <v>38168</v>
      </c>
      <c r="CE669">
        <f t="shared" ca="1" si="901"/>
        <v>18</v>
      </c>
      <c r="CF669">
        <f t="shared" ca="1" si="902"/>
        <v>24</v>
      </c>
      <c r="CH669" s="112">
        <f t="shared" ca="1" si="1012"/>
        <v>38168</v>
      </c>
      <c r="CI669">
        <f t="shared" ca="1" si="1079"/>
        <v>0</v>
      </c>
      <c r="CJ669">
        <f t="shared" ref="CJ669" ca="1" si="1088">IF(AND(CI669=0,CJ670=0,CC669&lt;100000),1,0)</f>
        <v>0</v>
      </c>
      <c r="CK669" s="112">
        <f t="shared" ca="1" si="1021"/>
        <v>38168</v>
      </c>
      <c r="CM669" s="112"/>
      <c r="CN669" s="260">
        <f t="shared" ca="1" si="904"/>
        <v>100000</v>
      </c>
      <c r="CO669" s="112">
        <f t="shared" ca="1" si="1081"/>
        <v>38168</v>
      </c>
      <c r="CP669" s="238">
        <f t="shared" ca="1" si="1023"/>
        <v>18</v>
      </c>
      <c r="CQ669" s="328">
        <f t="shared" ca="1" si="1024"/>
        <v>24</v>
      </c>
      <c r="CS669" s="112">
        <f t="shared" ca="1" si="867"/>
        <v>100000</v>
      </c>
      <c r="CT669" s="112">
        <f t="shared" ca="1" si="916"/>
        <v>38168</v>
      </c>
      <c r="CU669" s="238">
        <f t="shared" ca="1" si="907"/>
        <v>18</v>
      </c>
      <c r="CV669" s="238">
        <f t="shared" ca="1" si="908"/>
        <v>24</v>
      </c>
      <c r="CY669">
        <f t="shared" si="917"/>
        <v>99</v>
      </c>
      <c r="DA669" s="112">
        <f t="shared" ca="1" si="918"/>
        <v>100000</v>
      </c>
      <c r="DC669">
        <f t="shared" si="919"/>
        <v>669</v>
      </c>
      <c r="DE669" t="str">
        <f t="shared" si="940"/>
        <v>cs669:dc790</v>
      </c>
      <c r="DF669">
        <f t="shared" ca="1" si="909"/>
        <v>669</v>
      </c>
      <c r="DG669" s="412">
        <f t="shared" ca="1" si="1060"/>
        <v>44804</v>
      </c>
      <c r="DH669" s="411" t="str">
        <f t="shared" ca="1" si="1049"/>
        <v/>
      </c>
      <c r="DI669" s="411" t="str">
        <f t="shared" ca="1" si="1050"/>
        <v/>
      </c>
      <c r="DJ669" s="410" t="str">
        <f t="shared" ca="1" si="1051"/>
        <v/>
      </c>
      <c r="DK669" s="410" t="str">
        <f t="shared" ca="1" si="1052"/>
        <v/>
      </c>
      <c r="DM669" s="411" t="str">
        <f t="shared" ca="1" si="1061"/>
        <v/>
      </c>
      <c r="DN669" s="411" t="str">
        <f t="shared" ca="1" si="1062"/>
        <v/>
      </c>
      <c r="DO669" s="410" t="str">
        <f t="shared" ca="1" si="1063"/>
        <v/>
      </c>
      <c r="DP669" s="410" t="str">
        <f t="shared" ca="1" si="1064"/>
        <v/>
      </c>
    </row>
    <row r="670" spans="27:120" ht="15.75" thickBot="1" x14ac:dyDescent="0.3">
      <c r="AA670" s="284" t="str">
        <f t="shared" ref="AA670:AF670" si="1089">AA119</f>
        <v/>
      </c>
      <c r="AB670" s="284" t="e">
        <f t="shared" ref="AB670:AE670" ca="1" si="1090">IF(OR(AB119&lt;=$AA670,AB119&gt;$AF670),100000,AB119)</f>
        <v>#N/A</v>
      </c>
      <c r="AC670" s="284" t="e">
        <f t="shared" ca="1" si="1090"/>
        <v>#N/A</v>
      </c>
      <c r="AD670" s="284" t="e">
        <f t="shared" ca="1" si="1090"/>
        <v>#N/A</v>
      </c>
      <c r="AE670" s="284" t="e">
        <f t="shared" ca="1" si="1090"/>
        <v>#N/A</v>
      </c>
      <c r="AF670" s="284" t="str">
        <f t="shared" si="1089"/>
        <v/>
      </c>
      <c r="AG670" s="238">
        <f t="shared" si="870"/>
        <v>0</v>
      </c>
      <c r="AH670" s="407">
        <f t="shared" si="871"/>
        <v>24</v>
      </c>
      <c r="AL670" s="112" t="str">
        <f t="shared" si="872"/>
        <v/>
      </c>
      <c r="AM670" s="112" t="e">
        <f t="shared" ca="1" si="873"/>
        <v>#N/A</v>
      </c>
      <c r="AN670" s="112" t="e">
        <f t="shared" ca="1" si="874"/>
        <v>#N/A</v>
      </c>
      <c r="AO670" s="112" t="e">
        <f t="shared" ca="1" si="875"/>
        <v>#N/A</v>
      </c>
      <c r="AP670" s="112" t="e">
        <f t="shared" ca="1" si="876"/>
        <v>#N/A</v>
      </c>
      <c r="AQ670" s="112" t="str">
        <f t="shared" si="877"/>
        <v/>
      </c>
      <c r="AT670" s="112" t="str">
        <f t="shared" si="878"/>
        <v/>
      </c>
      <c r="AU670" s="112" t="e">
        <f t="shared" ca="1" si="879"/>
        <v>#N/A</v>
      </c>
      <c r="AV670" s="112" t="e">
        <f t="shared" ca="1" si="880"/>
        <v>#N/A</v>
      </c>
      <c r="AW670" s="112" t="e">
        <f t="shared" ca="1" si="881"/>
        <v>#N/A</v>
      </c>
      <c r="AX670" s="112" t="e">
        <f t="shared" ca="1" si="882"/>
        <v>#N/A</v>
      </c>
      <c r="AY670" s="112" t="str">
        <f t="shared" si="883"/>
        <v/>
      </c>
      <c r="BA670" s="112" t="str">
        <f t="shared" si="884"/>
        <v/>
      </c>
      <c r="BB670" s="112" t="e">
        <f t="shared" ca="1" si="885"/>
        <v>#N/A</v>
      </c>
      <c r="BC670" s="112" t="e">
        <f t="shared" ca="1" si="886"/>
        <v>#N/A</v>
      </c>
      <c r="BD670" s="112" t="e">
        <f t="shared" ca="1" si="887"/>
        <v>#N/A</v>
      </c>
      <c r="BE670" s="112" t="e">
        <f t="shared" ca="1" si="888"/>
        <v>#N/A</v>
      </c>
      <c r="BF670" s="112" t="str">
        <f t="shared" si="889"/>
        <v/>
      </c>
      <c r="BI670" s="112" t="str">
        <f t="shared" si="890"/>
        <v/>
      </c>
      <c r="BJ670" s="112" t="e">
        <f t="shared" ca="1" si="891"/>
        <v>#N/A</v>
      </c>
      <c r="BK670" s="112" t="e">
        <f t="shared" ca="1" si="892"/>
        <v>#N/A</v>
      </c>
      <c r="BL670" s="112" t="e">
        <f t="shared" ca="1" si="893"/>
        <v>#N/A</v>
      </c>
      <c r="BM670" s="112" t="e">
        <f t="shared" ca="1" si="894"/>
        <v>#N/A</v>
      </c>
      <c r="BN670" s="112" t="str">
        <f t="shared" si="895"/>
        <v/>
      </c>
      <c r="BP670" s="238" t="e">
        <f t="shared" ca="1" si="961"/>
        <v>#N/A</v>
      </c>
      <c r="BQ670" s="238">
        <f t="shared" si="1078"/>
        <v>590</v>
      </c>
      <c r="BR670" t="s">
        <v>448</v>
      </c>
      <c r="BS670" t="s">
        <v>449</v>
      </c>
      <c r="BT670" s="114">
        <f t="shared" ca="1" si="802"/>
        <v>0</v>
      </c>
      <c r="BU670" s="112"/>
      <c r="BV670">
        <f t="shared" ca="1" si="956"/>
        <v>0</v>
      </c>
      <c r="BW670" s="112">
        <f t="shared" ca="1" si="865"/>
        <v>38168</v>
      </c>
      <c r="BX670" s="112">
        <f t="shared" ca="1" si="1087"/>
        <v>38168</v>
      </c>
      <c r="BY670">
        <f t="shared" ca="1" si="935"/>
        <v>18</v>
      </c>
      <c r="BZ670">
        <f t="shared" ca="1" si="936"/>
        <v>24</v>
      </c>
      <c r="CB670">
        <f t="shared" ca="1" si="898"/>
        <v>0</v>
      </c>
      <c r="CC670" s="112">
        <f t="shared" ca="1" si="899"/>
        <v>100000</v>
      </c>
      <c r="CD670" s="112">
        <f t="shared" ca="1" si="900"/>
        <v>38168</v>
      </c>
      <c r="CE670">
        <f t="shared" ca="1" si="901"/>
        <v>18</v>
      </c>
      <c r="CF670">
        <f t="shared" ca="1" si="902"/>
        <v>24</v>
      </c>
      <c r="CH670" s="112">
        <f t="shared" ca="1" si="1012"/>
        <v>38168</v>
      </c>
      <c r="CI670">
        <f t="shared" ca="1" si="1079"/>
        <v>0</v>
      </c>
      <c r="CJ670">
        <f t="shared" ref="CJ670" ca="1" si="1091">IF(AND(CI670=0,CC670&lt;100000),1,0)</f>
        <v>0</v>
      </c>
      <c r="CK670" s="112">
        <f t="shared" ca="1" si="1021"/>
        <v>38168</v>
      </c>
      <c r="CM670" s="112"/>
      <c r="CN670" s="261">
        <f t="shared" ref="CN670" ca="1" si="1092">IF(AND(CN666=100000,CN667=100000,CN668=100000,CN669=100000),INDIRECT(CONCATENATE("aa",BQ670)),CC670)</f>
        <v>100000</v>
      </c>
      <c r="CO670" s="324">
        <f t="shared" ca="1" si="1081"/>
        <v>38168</v>
      </c>
      <c r="CP670" s="256">
        <f t="shared" ca="1" si="1023"/>
        <v>18</v>
      </c>
      <c r="CQ670" s="329">
        <f t="shared" ca="1" si="1024"/>
        <v>24</v>
      </c>
      <c r="CS670" s="112">
        <f t="shared" ca="1" si="867"/>
        <v>100000</v>
      </c>
      <c r="CT670" s="112">
        <f t="shared" ca="1" si="916"/>
        <v>38168</v>
      </c>
      <c r="CU670" s="238">
        <f t="shared" ca="1" si="907"/>
        <v>18</v>
      </c>
      <c r="CV670" s="238">
        <f t="shared" ca="1" si="908"/>
        <v>24</v>
      </c>
      <c r="CY670">
        <f t="shared" si="917"/>
        <v>100</v>
      </c>
      <c r="DA670" s="112">
        <f t="shared" ca="1" si="918"/>
        <v>100000</v>
      </c>
      <c r="DC670">
        <f t="shared" si="919"/>
        <v>670</v>
      </c>
      <c r="DE670" t="str">
        <f t="shared" si="940"/>
        <v>cs670:dc790</v>
      </c>
      <c r="DF670">
        <f t="shared" ca="1" si="909"/>
        <v>670</v>
      </c>
      <c r="DG670" s="412">
        <f t="shared" ca="1" si="1060"/>
        <v>44804</v>
      </c>
      <c r="DH670" s="411" t="str">
        <f t="shared" ca="1" si="1049"/>
        <v/>
      </c>
      <c r="DI670" s="411" t="str">
        <f t="shared" ca="1" si="1050"/>
        <v/>
      </c>
      <c r="DJ670" s="410" t="str">
        <f t="shared" ca="1" si="1051"/>
        <v/>
      </c>
      <c r="DK670" s="410" t="str">
        <f t="shared" ca="1" si="1052"/>
        <v/>
      </c>
      <c r="DM670" s="411" t="str">
        <f t="shared" ca="1" si="1061"/>
        <v/>
      </c>
      <c r="DN670" s="411" t="str">
        <f t="shared" ca="1" si="1062"/>
        <v/>
      </c>
      <c r="DO670" s="410" t="str">
        <f t="shared" ca="1" si="1063"/>
        <v/>
      </c>
      <c r="DP670" s="410" t="str">
        <f t="shared" ca="1" si="1064"/>
        <v/>
      </c>
    </row>
    <row r="671" spans="27:120" x14ac:dyDescent="0.25">
      <c r="AA671" s="284" t="str">
        <f t="shared" ref="AA671:AF671" si="1093">AA120</f>
        <v/>
      </c>
      <c r="AB671" s="284" t="e">
        <f t="shared" ref="AB671:AE671" ca="1" si="1094">IF(OR(AB120&lt;=$AA671,AB120&gt;$AF671),100000,AB120)</f>
        <v>#N/A</v>
      </c>
      <c r="AC671" s="284" t="e">
        <f t="shared" ca="1" si="1094"/>
        <v>#N/A</v>
      </c>
      <c r="AD671" s="284" t="e">
        <f t="shared" ca="1" si="1094"/>
        <v>#N/A</v>
      </c>
      <c r="AE671" s="284" t="e">
        <f t="shared" ca="1" si="1094"/>
        <v>#N/A</v>
      </c>
      <c r="AF671" s="284" t="str">
        <f t="shared" si="1093"/>
        <v/>
      </c>
      <c r="AG671" s="238">
        <f t="shared" si="870"/>
        <v>0</v>
      </c>
      <c r="AH671" s="407">
        <f t="shared" si="871"/>
        <v>24</v>
      </c>
      <c r="AL671" s="112" t="str">
        <f t="shared" si="872"/>
        <v/>
      </c>
      <c r="AM671" s="112" t="e">
        <f t="shared" ca="1" si="873"/>
        <v>#N/A</v>
      </c>
      <c r="AN671" s="112" t="e">
        <f t="shared" ca="1" si="874"/>
        <v>#N/A</v>
      </c>
      <c r="AO671" s="112" t="e">
        <f t="shared" ca="1" si="875"/>
        <v>#N/A</v>
      </c>
      <c r="AP671" s="112" t="e">
        <f t="shared" ca="1" si="876"/>
        <v>#N/A</v>
      </c>
      <c r="AQ671" s="112" t="str">
        <f t="shared" si="877"/>
        <v/>
      </c>
      <c r="AT671" s="112" t="str">
        <f t="shared" si="878"/>
        <v/>
      </c>
      <c r="AU671" s="112" t="e">
        <f t="shared" ca="1" si="879"/>
        <v>#N/A</v>
      </c>
      <c r="AV671" s="112" t="e">
        <f t="shared" ca="1" si="880"/>
        <v>#N/A</v>
      </c>
      <c r="AW671" s="112" t="e">
        <f t="shared" ca="1" si="881"/>
        <v>#N/A</v>
      </c>
      <c r="AX671" s="112" t="e">
        <f t="shared" ca="1" si="882"/>
        <v>#N/A</v>
      </c>
      <c r="AY671" s="112" t="str">
        <f t="shared" si="883"/>
        <v/>
      </c>
      <c r="BA671" s="112" t="str">
        <f t="shared" si="884"/>
        <v/>
      </c>
      <c r="BB671" s="112" t="e">
        <f t="shared" ca="1" si="885"/>
        <v>#N/A</v>
      </c>
      <c r="BC671" s="112" t="e">
        <f t="shared" ca="1" si="886"/>
        <v>#N/A</v>
      </c>
      <c r="BD671" s="112" t="e">
        <f t="shared" ca="1" si="887"/>
        <v>#N/A</v>
      </c>
      <c r="BE671" s="112" t="e">
        <f t="shared" ca="1" si="888"/>
        <v>#N/A</v>
      </c>
      <c r="BF671" s="112" t="str">
        <f t="shared" si="889"/>
        <v/>
      </c>
      <c r="BI671" s="112" t="str">
        <f t="shared" si="890"/>
        <v/>
      </c>
      <c r="BJ671" s="112" t="e">
        <f t="shared" ca="1" si="891"/>
        <v>#N/A</v>
      </c>
      <c r="BK671" s="112" t="e">
        <f t="shared" ca="1" si="892"/>
        <v>#N/A</v>
      </c>
      <c r="BL671" s="112" t="e">
        <f t="shared" ca="1" si="893"/>
        <v>#N/A</v>
      </c>
      <c r="BM671" s="112" t="e">
        <f t="shared" ca="1" si="894"/>
        <v>#N/A</v>
      </c>
      <c r="BN671" s="112" t="str">
        <f t="shared" si="895"/>
        <v/>
      </c>
      <c r="BP671" s="238" t="e">
        <f t="shared" ca="1" si="961"/>
        <v>#N/A</v>
      </c>
      <c r="BQ671" s="238">
        <f t="shared" ref="BQ671" si="1095">BQ670+1</f>
        <v>591</v>
      </c>
      <c r="BR671" s="112" t="s">
        <v>444</v>
      </c>
      <c r="BS671" s="112" t="s">
        <v>445</v>
      </c>
      <c r="BT671" s="114">
        <f t="shared" ca="1" si="802"/>
        <v>0</v>
      </c>
      <c r="BU671" s="112"/>
      <c r="BV671">
        <f t="shared" ca="1" si="956"/>
        <v>1</v>
      </c>
      <c r="BW671" s="112">
        <f t="shared" ca="1" si="865"/>
        <v>38231</v>
      </c>
      <c r="BX671" s="112">
        <f t="shared" ref="BX671:BX673" ca="1" si="1096">INDIRECT(CONCATENATE(BS671,BQ671))-1</f>
        <v>38383</v>
      </c>
      <c r="BY671">
        <f t="shared" ca="1" si="935"/>
        <v>18</v>
      </c>
      <c r="BZ671">
        <f t="shared" ca="1" si="936"/>
        <v>24</v>
      </c>
      <c r="CB671">
        <f t="shared" ca="1" si="898"/>
        <v>0</v>
      </c>
      <c r="CC671" s="112">
        <f t="shared" ca="1" si="899"/>
        <v>38231</v>
      </c>
      <c r="CD671" s="112">
        <f t="shared" ca="1" si="900"/>
        <v>38383</v>
      </c>
      <c r="CE671">
        <f t="shared" ca="1" si="901"/>
        <v>18</v>
      </c>
      <c r="CF671">
        <f t="shared" ca="1" si="902"/>
        <v>24</v>
      </c>
      <c r="CH671" s="112">
        <f t="shared" ca="1" si="1012"/>
        <v>38551</v>
      </c>
      <c r="CI671">
        <f t="shared" ref="CI671" ca="1" si="1097">CB671+CB672+CB673+CB674+CB675</f>
        <v>0</v>
      </c>
      <c r="CJ671">
        <v>0</v>
      </c>
      <c r="CK671" s="112">
        <f t="shared" ca="1" si="1021"/>
        <v>38551</v>
      </c>
      <c r="CM671" s="112"/>
      <c r="CN671" s="408">
        <f t="shared" ca="1" si="904"/>
        <v>38231</v>
      </c>
      <c r="CO671" s="326">
        <f t="shared" ref="CO671" ca="1" si="1098">CD671</f>
        <v>38383</v>
      </c>
      <c r="CP671" s="333">
        <f t="shared" ca="1" si="1023"/>
        <v>18</v>
      </c>
      <c r="CQ671" s="327">
        <f t="shared" ca="1" si="1024"/>
        <v>24</v>
      </c>
      <c r="CS671" s="112">
        <f t="shared" ca="1" si="867"/>
        <v>38231</v>
      </c>
      <c r="CT671" s="112">
        <f t="shared" ref="CT671" ca="1" si="1099">IF(AND( CN672=100000,CN673=100000,CN674=100000,CN675=100000),CO675,                             CO671)</f>
        <v>38383</v>
      </c>
      <c r="CU671" s="238">
        <f t="shared" ca="1" si="907"/>
        <v>18</v>
      </c>
      <c r="CV671" s="238">
        <f t="shared" ca="1" si="908"/>
        <v>24</v>
      </c>
      <c r="CY671">
        <f t="shared" si="917"/>
        <v>101</v>
      </c>
      <c r="DA671" s="112">
        <f t="shared" ca="1" si="918"/>
        <v>100000</v>
      </c>
      <c r="DC671">
        <f t="shared" si="919"/>
        <v>671</v>
      </c>
      <c r="DE671" t="str">
        <f t="shared" si="940"/>
        <v>cs671:dc790</v>
      </c>
      <c r="DF671">
        <f t="shared" ca="1" si="909"/>
        <v>672</v>
      </c>
      <c r="DG671" s="412">
        <f t="shared" ca="1" si="1060"/>
        <v>44804</v>
      </c>
      <c r="DH671" s="411" t="str">
        <f t="shared" ca="1" si="1049"/>
        <v/>
      </c>
      <c r="DI671" s="411" t="str">
        <f t="shared" ca="1" si="1050"/>
        <v/>
      </c>
      <c r="DJ671" s="410" t="str">
        <f t="shared" ca="1" si="1051"/>
        <v/>
      </c>
      <c r="DK671" s="410" t="str">
        <f t="shared" ca="1" si="1052"/>
        <v/>
      </c>
      <c r="DM671" s="411" t="str">
        <f t="shared" ca="1" si="1061"/>
        <v/>
      </c>
      <c r="DN671" s="411" t="str">
        <f t="shared" ca="1" si="1062"/>
        <v/>
      </c>
      <c r="DO671" s="410" t="str">
        <f t="shared" ca="1" si="1063"/>
        <v/>
      </c>
      <c r="DP671" s="410" t="str">
        <f t="shared" ca="1" si="1064"/>
        <v/>
      </c>
    </row>
    <row r="672" spans="27:120" x14ac:dyDescent="0.25">
      <c r="AA672" s="284" t="str">
        <f t="shared" ref="AA672:AF672" si="1100">AA121</f>
        <v/>
      </c>
      <c r="AB672" s="284" t="e">
        <f t="shared" ref="AB672:AE672" ca="1" si="1101">IF(OR(AB121&lt;=$AA672,AB121&gt;$AF672),100000,AB121)</f>
        <v>#N/A</v>
      </c>
      <c r="AC672" s="284" t="e">
        <f t="shared" ca="1" si="1101"/>
        <v>#N/A</v>
      </c>
      <c r="AD672" s="284" t="e">
        <f t="shared" ca="1" si="1101"/>
        <v>#N/A</v>
      </c>
      <c r="AE672" s="284" t="e">
        <f t="shared" ca="1" si="1101"/>
        <v>#N/A</v>
      </c>
      <c r="AF672" s="284" t="str">
        <f t="shared" si="1100"/>
        <v/>
      </c>
      <c r="AG672" s="238">
        <f t="shared" si="870"/>
        <v>0</v>
      </c>
      <c r="AH672" s="407">
        <f t="shared" si="871"/>
        <v>24</v>
      </c>
      <c r="AL672" s="112" t="str">
        <f t="shared" si="872"/>
        <v/>
      </c>
      <c r="AM672" s="112" t="e">
        <f t="shared" ca="1" si="873"/>
        <v>#N/A</v>
      </c>
      <c r="AN672" s="112" t="e">
        <f t="shared" ca="1" si="874"/>
        <v>#N/A</v>
      </c>
      <c r="AO672" s="112" t="e">
        <f t="shared" ca="1" si="875"/>
        <v>#N/A</v>
      </c>
      <c r="AP672" s="112" t="e">
        <f t="shared" ca="1" si="876"/>
        <v>#N/A</v>
      </c>
      <c r="AQ672" s="112" t="str">
        <f t="shared" si="877"/>
        <v/>
      </c>
      <c r="AT672" s="112" t="str">
        <f t="shared" si="878"/>
        <v/>
      </c>
      <c r="AU672" s="112" t="e">
        <f t="shared" ca="1" si="879"/>
        <v>#N/A</v>
      </c>
      <c r="AV672" s="112" t="e">
        <f t="shared" ca="1" si="880"/>
        <v>#N/A</v>
      </c>
      <c r="AW672" s="112" t="e">
        <f t="shared" ca="1" si="881"/>
        <v>#N/A</v>
      </c>
      <c r="AX672" s="112" t="e">
        <f t="shared" ca="1" si="882"/>
        <v>#N/A</v>
      </c>
      <c r="AY672" s="112" t="str">
        <f t="shared" si="883"/>
        <v/>
      </c>
      <c r="BA672" s="112" t="str">
        <f t="shared" si="884"/>
        <v/>
      </c>
      <c r="BB672" s="112" t="e">
        <f t="shared" ca="1" si="885"/>
        <v>#N/A</v>
      </c>
      <c r="BC672" s="112" t="e">
        <f t="shared" ca="1" si="886"/>
        <v>#N/A</v>
      </c>
      <c r="BD672" s="112" t="e">
        <f t="shared" ca="1" si="887"/>
        <v>#N/A</v>
      </c>
      <c r="BE672" s="112" t="e">
        <f t="shared" ca="1" si="888"/>
        <v>#N/A</v>
      </c>
      <c r="BF672" s="112" t="str">
        <f t="shared" si="889"/>
        <v/>
      </c>
      <c r="BI672" s="112" t="str">
        <f t="shared" si="890"/>
        <v/>
      </c>
      <c r="BJ672" s="112" t="e">
        <f t="shared" ca="1" si="891"/>
        <v>#N/A</v>
      </c>
      <c r="BK672" s="112" t="e">
        <f t="shared" ca="1" si="892"/>
        <v>#N/A</v>
      </c>
      <c r="BL672" s="112" t="e">
        <f t="shared" ca="1" si="893"/>
        <v>#N/A</v>
      </c>
      <c r="BM672" s="112" t="e">
        <f t="shared" ca="1" si="894"/>
        <v>#N/A</v>
      </c>
      <c r="BN672" s="112" t="str">
        <f t="shared" si="895"/>
        <v/>
      </c>
      <c r="BP672" s="238" t="e">
        <f t="shared" ca="1" si="961"/>
        <v>#N/A</v>
      </c>
      <c r="BQ672" s="238">
        <f t="shared" ref="BQ672:BQ675" si="1102">BQ671</f>
        <v>591</v>
      </c>
      <c r="BR672" t="s">
        <v>445</v>
      </c>
      <c r="BS672" t="s">
        <v>446</v>
      </c>
      <c r="BT672" s="114">
        <f t="shared" ca="1" si="802"/>
        <v>0</v>
      </c>
      <c r="BU672" s="112"/>
      <c r="BV672">
        <f t="shared" ca="1" si="956"/>
        <v>1</v>
      </c>
      <c r="BW672" s="112">
        <f t="shared" ca="1" si="865"/>
        <v>38384</v>
      </c>
      <c r="BX672" s="112">
        <f t="shared" ca="1" si="1096"/>
        <v>38383</v>
      </c>
      <c r="BY672">
        <f t="shared" ca="1" si="935"/>
        <v>18</v>
      </c>
      <c r="BZ672">
        <f t="shared" ca="1" si="936"/>
        <v>24</v>
      </c>
      <c r="CB672">
        <f t="shared" ca="1" si="898"/>
        <v>0</v>
      </c>
      <c r="CC672" s="112">
        <f t="shared" ca="1" si="899"/>
        <v>100000</v>
      </c>
      <c r="CD672" s="112">
        <f t="shared" ca="1" si="900"/>
        <v>38383</v>
      </c>
      <c r="CE672">
        <f t="shared" ca="1" si="901"/>
        <v>18</v>
      </c>
      <c r="CF672">
        <f t="shared" ca="1" si="902"/>
        <v>24</v>
      </c>
      <c r="CH672" s="112">
        <f t="shared" ca="1" si="1012"/>
        <v>38551</v>
      </c>
      <c r="CI672">
        <f t="shared" ref="CI672:CI675" ca="1" si="1103">CI671</f>
        <v>0</v>
      </c>
      <c r="CJ672">
        <f t="shared" ref="CJ672" ca="1" si="1104">IF(AND(CI672=0,CJ673=0,CJ674=0,CJ675=0,CC672&lt;100000),1,0)</f>
        <v>0</v>
      </c>
      <c r="CK672" s="112">
        <f t="shared" ca="1" si="1021"/>
        <v>38551</v>
      </c>
      <c r="CM672" s="112"/>
      <c r="CN672" s="260">
        <f t="shared" ca="1" si="904"/>
        <v>100000</v>
      </c>
      <c r="CO672" s="112">
        <f t="shared" ref="CO672:CO675" ca="1" si="1105">IF(CJ672=1,CH672,CD672)</f>
        <v>38383</v>
      </c>
      <c r="CP672" s="238">
        <f t="shared" ca="1" si="1023"/>
        <v>18</v>
      </c>
      <c r="CQ672" s="328">
        <f t="shared" ca="1" si="1024"/>
        <v>24</v>
      </c>
      <c r="CS672" s="112">
        <f t="shared" ca="1" si="867"/>
        <v>100000</v>
      </c>
      <c r="CT672" s="112">
        <f t="shared" ca="1" si="916"/>
        <v>38383</v>
      </c>
      <c r="CU672" s="238">
        <f t="shared" ca="1" si="907"/>
        <v>18</v>
      </c>
      <c r="CV672" s="238">
        <f t="shared" ca="1" si="908"/>
        <v>24</v>
      </c>
      <c r="CY672">
        <f t="shared" si="917"/>
        <v>102</v>
      </c>
      <c r="DA672" s="112">
        <f t="shared" ca="1" si="918"/>
        <v>100000</v>
      </c>
      <c r="DC672">
        <f t="shared" si="919"/>
        <v>672</v>
      </c>
      <c r="DE672" t="str">
        <f t="shared" si="940"/>
        <v>cs672:dc790</v>
      </c>
      <c r="DF672">
        <f t="shared" ca="1" si="909"/>
        <v>672</v>
      </c>
      <c r="DG672" s="412">
        <f t="shared" ca="1" si="1060"/>
        <v>44804</v>
      </c>
      <c r="DH672" s="411" t="str">
        <f t="shared" ca="1" si="1049"/>
        <v/>
      </c>
      <c r="DI672" s="411" t="str">
        <f t="shared" ca="1" si="1050"/>
        <v/>
      </c>
      <c r="DJ672" s="410" t="str">
        <f t="shared" ca="1" si="1051"/>
        <v/>
      </c>
      <c r="DK672" s="410" t="str">
        <f t="shared" ca="1" si="1052"/>
        <v/>
      </c>
      <c r="DM672" s="411" t="str">
        <f t="shared" ca="1" si="1061"/>
        <v/>
      </c>
      <c r="DN672" s="411" t="str">
        <f t="shared" ca="1" si="1062"/>
        <v/>
      </c>
      <c r="DO672" s="410" t="str">
        <f t="shared" ca="1" si="1063"/>
        <v/>
      </c>
      <c r="DP672" s="410" t="str">
        <f t="shared" ca="1" si="1064"/>
        <v/>
      </c>
    </row>
    <row r="673" spans="27:120" x14ac:dyDescent="0.25">
      <c r="AA673" s="284" t="str">
        <f t="shared" ref="AA673:AF673" si="1106">AA122</f>
        <v/>
      </c>
      <c r="AB673" s="284" t="e">
        <f t="shared" ref="AB673:AE673" ca="1" si="1107">IF(OR(AB122&lt;=$AA673,AB122&gt;$AF673),100000,AB122)</f>
        <v>#N/A</v>
      </c>
      <c r="AC673" s="284" t="e">
        <f t="shared" ca="1" si="1107"/>
        <v>#N/A</v>
      </c>
      <c r="AD673" s="284" t="e">
        <f t="shared" ca="1" si="1107"/>
        <v>#N/A</v>
      </c>
      <c r="AE673" s="284" t="e">
        <f t="shared" ca="1" si="1107"/>
        <v>#N/A</v>
      </c>
      <c r="AF673" s="284" t="str">
        <f t="shared" si="1106"/>
        <v/>
      </c>
      <c r="AG673" s="238">
        <f t="shared" si="870"/>
        <v>0</v>
      </c>
      <c r="AH673" s="407">
        <f t="shared" si="871"/>
        <v>24</v>
      </c>
      <c r="AL673" s="112" t="str">
        <f t="shared" si="872"/>
        <v/>
      </c>
      <c r="AM673" s="112" t="e">
        <f t="shared" ca="1" si="873"/>
        <v>#N/A</v>
      </c>
      <c r="AN673" s="112" t="e">
        <f t="shared" ca="1" si="874"/>
        <v>#N/A</v>
      </c>
      <c r="AO673" s="112" t="e">
        <f t="shared" ca="1" si="875"/>
        <v>#N/A</v>
      </c>
      <c r="AP673" s="112" t="e">
        <f t="shared" ca="1" si="876"/>
        <v>#N/A</v>
      </c>
      <c r="AQ673" s="112" t="str">
        <f t="shared" si="877"/>
        <v/>
      </c>
      <c r="AT673" s="112" t="str">
        <f t="shared" si="878"/>
        <v/>
      </c>
      <c r="AU673" s="112" t="e">
        <f t="shared" ca="1" si="879"/>
        <v>#N/A</v>
      </c>
      <c r="AV673" s="112" t="e">
        <f t="shared" ca="1" si="880"/>
        <v>#N/A</v>
      </c>
      <c r="AW673" s="112" t="e">
        <f t="shared" ca="1" si="881"/>
        <v>#N/A</v>
      </c>
      <c r="AX673" s="112" t="e">
        <f t="shared" ca="1" si="882"/>
        <v>#N/A</v>
      </c>
      <c r="AY673" s="112" t="str">
        <f t="shared" si="883"/>
        <v/>
      </c>
      <c r="BA673" s="112" t="str">
        <f t="shared" si="884"/>
        <v/>
      </c>
      <c r="BB673" s="112" t="e">
        <f t="shared" ca="1" si="885"/>
        <v>#N/A</v>
      </c>
      <c r="BC673" s="112" t="e">
        <f t="shared" ca="1" si="886"/>
        <v>#N/A</v>
      </c>
      <c r="BD673" s="112" t="e">
        <f t="shared" ca="1" si="887"/>
        <v>#N/A</v>
      </c>
      <c r="BE673" s="112" t="e">
        <f t="shared" ca="1" si="888"/>
        <v>#N/A</v>
      </c>
      <c r="BF673" s="112" t="str">
        <f t="shared" si="889"/>
        <v/>
      </c>
      <c r="BI673" s="112" t="str">
        <f t="shared" si="890"/>
        <v/>
      </c>
      <c r="BJ673" s="112" t="e">
        <f t="shared" ca="1" si="891"/>
        <v>#N/A</v>
      </c>
      <c r="BK673" s="112" t="e">
        <f t="shared" ca="1" si="892"/>
        <v>#N/A</v>
      </c>
      <c r="BL673" s="112" t="e">
        <f t="shared" ca="1" si="893"/>
        <v>#N/A</v>
      </c>
      <c r="BM673" s="112" t="e">
        <f t="shared" ca="1" si="894"/>
        <v>#N/A</v>
      </c>
      <c r="BN673" s="112" t="str">
        <f t="shared" si="895"/>
        <v/>
      </c>
      <c r="BP673" s="238" t="e">
        <f t="shared" ca="1" si="961"/>
        <v>#N/A</v>
      </c>
      <c r="BQ673" s="238">
        <f t="shared" si="1102"/>
        <v>591</v>
      </c>
      <c r="BR673" t="s">
        <v>446</v>
      </c>
      <c r="BS673" t="s">
        <v>447</v>
      </c>
      <c r="BT673" s="114">
        <f t="shared" ca="1" si="802"/>
        <v>0</v>
      </c>
      <c r="BU673" s="112"/>
      <c r="BV673">
        <f t="shared" ca="1" si="956"/>
        <v>1</v>
      </c>
      <c r="BW673" s="112">
        <f t="shared" ca="1" si="865"/>
        <v>38384</v>
      </c>
      <c r="BX673" s="112">
        <f t="shared" ca="1" si="1096"/>
        <v>38550</v>
      </c>
      <c r="BY673">
        <f t="shared" ca="1" si="935"/>
        <v>18</v>
      </c>
      <c r="BZ673">
        <f t="shared" ca="1" si="936"/>
        <v>24</v>
      </c>
      <c r="CB673">
        <f t="shared" ca="1" si="898"/>
        <v>0</v>
      </c>
      <c r="CC673" s="112">
        <f t="shared" ca="1" si="899"/>
        <v>38384</v>
      </c>
      <c r="CD673" s="112">
        <f t="shared" ca="1" si="900"/>
        <v>38550</v>
      </c>
      <c r="CE673">
        <f t="shared" ca="1" si="901"/>
        <v>18</v>
      </c>
      <c r="CF673">
        <f t="shared" ca="1" si="902"/>
        <v>24</v>
      </c>
      <c r="CH673" s="112">
        <f t="shared" ca="1" si="1012"/>
        <v>38551</v>
      </c>
      <c r="CI673">
        <f t="shared" ca="1" si="1103"/>
        <v>0</v>
      </c>
      <c r="CJ673">
        <f t="shared" ref="CJ673" ca="1" si="1108">IF(AND(CI673=0,CJ674=0,CJ675=0,CC673&lt;100000),1,0)</f>
        <v>1</v>
      </c>
      <c r="CK673" s="112">
        <f t="shared" ca="1" si="1021"/>
        <v>1</v>
      </c>
      <c r="CM673" s="112"/>
      <c r="CN673" s="260">
        <f t="shared" ca="1" si="904"/>
        <v>38384</v>
      </c>
      <c r="CO673" s="112">
        <f t="shared" ca="1" si="1105"/>
        <v>38551</v>
      </c>
      <c r="CP673" s="238">
        <f t="shared" ca="1" si="1023"/>
        <v>18</v>
      </c>
      <c r="CQ673" s="328">
        <f t="shared" ca="1" si="1024"/>
        <v>24</v>
      </c>
      <c r="CS673" s="112">
        <f t="shared" ca="1" si="867"/>
        <v>38384</v>
      </c>
      <c r="CT673" s="112">
        <f t="shared" ca="1" si="916"/>
        <v>38551</v>
      </c>
      <c r="CU673" s="238">
        <f t="shared" ca="1" si="907"/>
        <v>18</v>
      </c>
      <c r="CV673" s="238">
        <f t="shared" ca="1" si="908"/>
        <v>24</v>
      </c>
      <c r="CY673">
        <f t="shared" si="917"/>
        <v>103</v>
      </c>
      <c r="DA673" s="112">
        <f t="shared" ca="1" si="918"/>
        <v>100000</v>
      </c>
      <c r="DC673">
        <f t="shared" si="919"/>
        <v>673</v>
      </c>
      <c r="DE673" t="str">
        <f t="shared" si="940"/>
        <v>cs673:dc790</v>
      </c>
      <c r="DF673">
        <f t="shared" ca="1" si="909"/>
        <v>674</v>
      </c>
      <c r="DG673" s="412">
        <f t="shared" ca="1" si="1060"/>
        <v>44804</v>
      </c>
      <c r="DH673" s="411" t="str">
        <f t="shared" ca="1" si="1049"/>
        <v/>
      </c>
      <c r="DI673" s="411" t="str">
        <f t="shared" ca="1" si="1050"/>
        <v/>
      </c>
      <c r="DJ673" s="410" t="str">
        <f t="shared" ca="1" si="1051"/>
        <v/>
      </c>
      <c r="DK673" s="410" t="str">
        <f t="shared" ca="1" si="1052"/>
        <v/>
      </c>
      <c r="DM673" s="411" t="str">
        <f t="shared" ca="1" si="1061"/>
        <v/>
      </c>
      <c r="DN673" s="411" t="str">
        <f t="shared" ca="1" si="1062"/>
        <v/>
      </c>
      <c r="DO673" s="410" t="str">
        <f t="shared" ca="1" si="1063"/>
        <v/>
      </c>
      <c r="DP673" s="410" t="str">
        <f t="shared" ca="1" si="1064"/>
        <v/>
      </c>
    </row>
    <row r="674" spans="27:120" x14ac:dyDescent="0.25">
      <c r="AA674" s="284" t="str">
        <f t="shared" ref="AA674:AF674" si="1109">AA123</f>
        <v/>
      </c>
      <c r="AB674" s="284" t="e">
        <f t="shared" ref="AB674:AE674" ca="1" si="1110">IF(OR(AB123&lt;=$AA674,AB123&gt;$AF674),100000,AB123)</f>
        <v>#N/A</v>
      </c>
      <c r="AC674" s="284" t="e">
        <f t="shared" ca="1" si="1110"/>
        <v>#N/A</v>
      </c>
      <c r="AD674" s="284" t="e">
        <f t="shared" ca="1" si="1110"/>
        <v>#N/A</v>
      </c>
      <c r="AE674" s="284" t="e">
        <f t="shared" ca="1" si="1110"/>
        <v>#N/A</v>
      </c>
      <c r="AF674" s="284" t="str">
        <f t="shared" si="1109"/>
        <v/>
      </c>
      <c r="AG674" s="238">
        <f t="shared" si="870"/>
        <v>0</v>
      </c>
      <c r="AH674" s="407">
        <f t="shared" si="871"/>
        <v>24</v>
      </c>
      <c r="AL674" s="112" t="str">
        <f t="shared" si="872"/>
        <v/>
      </c>
      <c r="AM674" s="112" t="e">
        <f t="shared" ca="1" si="873"/>
        <v>#N/A</v>
      </c>
      <c r="AN674" s="112" t="e">
        <f t="shared" ca="1" si="874"/>
        <v>#N/A</v>
      </c>
      <c r="AO674" s="112" t="e">
        <f t="shared" ca="1" si="875"/>
        <v>#N/A</v>
      </c>
      <c r="AP674" s="112" t="e">
        <f t="shared" ca="1" si="876"/>
        <v>#N/A</v>
      </c>
      <c r="AQ674" s="112" t="str">
        <f t="shared" si="877"/>
        <v/>
      </c>
      <c r="AT674" s="112" t="str">
        <f t="shared" si="878"/>
        <v/>
      </c>
      <c r="AU674" s="112" t="e">
        <f t="shared" ca="1" si="879"/>
        <v>#N/A</v>
      </c>
      <c r="AV674" s="112" t="e">
        <f t="shared" ca="1" si="880"/>
        <v>#N/A</v>
      </c>
      <c r="AW674" s="112" t="e">
        <f t="shared" ca="1" si="881"/>
        <v>#N/A</v>
      </c>
      <c r="AX674" s="112" t="e">
        <f t="shared" ca="1" si="882"/>
        <v>#N/A</v>
      </c>
      <c r="AY674" s="112" t="str">
        <f t="shared" si="883"/>
        <v/>
      </c>
      <c r="BA674" s="112" t="str">
        <f t="shared" si="884"/>
        <v/>
      </c>
      <c r="BB674" s="112" t="e">
        <f t="shared" ca="1" si="885"/>
        <v>#N/A</v>
      </c>
      <c r="BC674" s="112" t="e">
        <f t="shared" ca="1" si="886"/>
        <v>#N/A</v>
      </c>
      <c r="BD674" s="112" t="e">
        <f t="shared" ca="1" si="887"/>
        <v>#N/A</v>
      </c>
      <c r="BE674" s="112" t="e">
        <f t="shared" ca="1" si="888"/>
        <v>#N/A</v>
      </c>
      <c r="BF674" s="112" t="str">
        <f t="shared" si="889"/>
        <v/>
      </c>
      <c r="BI674" s="112" t="str">
        <f t="shared" si="890"/>
        <v/>
      </c>
      <c r="BJ674" s="112" t="e">
        <f t="shared" ca="1" si="891"/>
        <v>#N/A</v>
      </c>
      <c r="BK674" s="112" t="e">
        <f t="shared" ca="1" si="892"/>
        <v>#N/A</v>
      </c>
      <c r="BL674" s="112" t="e">
        <f t="shared" ca="1" si="893"/>
        <v>#N/A</v>
      </c>
      <c r="BM674" s="112" t="e">
        <f t="shared" ca="1" si="894"/>
        <v>#N/A</v>
      </c>
      <c r="BN674" s="112" t="str">
        <f t="shared" si="895"/>
        <v/>
      </c>
      <c r="BP674" s="238" t="e">
        <f t="shared" ca="1" si="961"/>
        <v>#N/A</v>
      </c>
      <c r="BQ674" s="238">
        <f t="shared" si="1102"/>
        <v>591</v>
      </c>
      <c r="BR674" t="s">
        <v>447</v>
      </c>
      <c r="BS674" t="s">
        <v>448</v>
      </c>
      <c r="BT674" s="114">
        <f t="shared" ca="1" si="802"/>
        <v>0</v>
      </c>
      <c r="BU674" s="112"/>
      <c r="BV674">
        <f t="shared" ca="1" si="956"/>
        <v>0</v>
      </c>
      <c r="BW674" s="112">
        <f t="shared" ca="1" si="865"/>
        <v>38551</v>
      </c>
      <c r="BX674" s="112">
        <f t="shared" ref="BX674:BX675" ca="1" si="1111">INDIRECT(CONCATENATE(BS674,BQ674))</f>
        <v>38551</v>
      </c>
      <c r="BY674">
        <f t="shared" ca="1" si="935"/>
        <v>18</v>
      </c>
      <c r="BZ674">
        <f t="shared" ca="1" si="936"/>
        <v>24</v>
      </c>
      <c r="CB674">
        <f t="shared" ca="1" si="898"/>
        <v>0</v>
      </c>
      <c r="CC674" s="112">
        <f t="shared" ca="1" si="899"/>
        <v>100000</v>
      </c>
      <c r="CD674" s="112">
        <f t="shared" ca="1" si="900"/>
        <v>38551</v>
      </c>
      <c r="CE674">
        <f t="shared" ca="1" si="901"/>
        <v>18</v>
      </c>
      <c r="CF674">
        <f t="shared" ca="1" si="902"/>
        <v>24</v>
      </c>
      <c r="CH674" s="112">
        <f t="shared" ca="1" si="1012"/>
        <v>38551</v>
      </c>
      <c r="CI674">
        <f t="shared" ca="1" si="1103"/>
        <v>0</v>
      </c>
      <c r="CJ674">
        <f t="shared" ref="CJ674" ca="1" si="1112">IF(AND(CI674=0,CJ675=0,CC674&lt;100000),1,0)</f>
        <v>0</v>
      </c>
      <c r="CK674" s="112">
        <f t="shared" ca="1" si="1021"/>
        <v>38551</v>
      </c>
      <c r="CM674" s="112"/>
      <c r="CN674" s="260">
        <f t="shared" ca="1" si="904"/>
        <v>100000</v>
      </c>
      <c r="CO674" s="112">
        <f t="shared" ca="1" si="1105"/>
        <v>38551</v>
      </c>
      <c r="CP674" s="238">
        <f t="shared" ca="1" si="1023"/>
        <v>18</v>
      </c>
      <c r="CQ674" s="328">
        <f t="shared" ca="1" si="1024"/>
        <v>24</v>
      </c>
      <c r="CS674" s="112">
        <f t="shared" ca="1" si="867"/>
        <v>100000</v>
      </c>
      <c r="CT674" s="112">
        <f t="shared" ca="1" si="916"/>
        <v>38551</v>
      </c>
      <c r="CU674" s="238">
        <f t="shared" ca="1" si="907"/>
        <v>18</v>
      </c>
      <c r="CV674" s="238">
        <f t="shared" ca="1" si="908"/>
        <v>24</v>
      </c>
      <c r="CY674">
        <f t="shared" si="917"/>
        <v>104</v>
      </c>
      <c r="DA674" s="112">
        <f t="shared" ca="1" si="918"/>
        <v>100000</v>
      </c>
      <c r="DC674">
        <f t="shared" si="919"/>
        <v>674</v>
      </c>
      <c r="DE674" t="str">
        <f t="shared" si="940"/>
        <v>cs674:dc790</v>
      </c>
      <c r="DF674">
        <f t="shared" ca="1" si="909"/>
        <v>674</v>
      </c>
      <c r="DG674" s="412">
        <f t="shared" ca="1" si="1060"/>
        <v>44804</v>
      </c>
      <c r="DH674" s="411" t="str">
        <f t="shared" ca="1" si="1049"/>
        <v/>
      </c>
      <c r="DI674" s="411" t="str">
        <f t="shared" ca="1" si="1050"/>
        <v/>
      </c>
      <c r="DJ674" s="410" t="str">
        <f t="shared" ca="1" si="1051"/>
        <v/>
      </c>
      <c r="DK674" s="410" t="str">
        <f t="shared" ca="1" si="1052"/>
        <v/>
      </c>
      <c r="DM674" s="411" t="str">
        <f t="shared" ca="1" si="1061"/>
        <v/>
      </c>
      <c r="DN674" s="411" t="str">
        <f t="shared" ca="1" si="1062"/>
        <v/>
      </c>
      <c r="DO674" s="410" t="str">
        <f t="shared" ca="1" si="1063"/>
        <v/>
      </c>
      <c r="DP674" s="410" t="str">
        <f t="shared" ca="1" si="1064"/>
        <v/>
      </c>
    </row>
    <row r="675" spans="27:120" ht="15.75" thickBot="1" x14ac:dyDescent="0.3">
      <c r="AA675" s="284" t="str">
        <f t="shared" ref="AA675:AF675" si="1113">AA124</f>
        <v/>
      </c>
      <c r="AB675" s="284" t="e">
        <f t="shared" ref="AB675:AE675" ca="1" si="1114">IF(OR(AB124&lt;=$AA675,AB124&gt;$AF675),100000,AB124)</f>
        <v>#N/A</v>
      </c>
      <c r="AC675" s="284" t="e">
        <f t="shared" ca="1" si="1114"/>
        <v>#N/A</v>
      </c>
      <c r="AD675" s="284" t="e">
        <f t="shared" ca="1" si="1114"/>
        <v>#N/A</v>
      </c>
      <c r="AE675" s="284" t="e">
        <f t="shared" ca="1" si="1114"/>
        <v>#N/A</v>
      </c>
      <c r="AF675" s="284" t="str">
        <f t="shared" si="1113"/>
        <v/>
      </c>
      <c r="AG675" s="238">
        <f t="shared" si="870"/>
        <v>0</v>
      </c>
      <c r="AH675" s="407">
        <f t="shared" si="871"/>
        <v>24</v>
      </c>
      <c r="AL675" s="112" t="str">
        <f t="shared" si="872"/>
        <v/>
      </c>
      <c r="AM675" s="112" t="e">
        <f t="shared" ca="1" si="873"/>
        <v>#N/A</v>
      </c>
      <c r="AN675" s="112" t="e">
        <f t="shared" ca="1" si="874"/>
        <v>#N/A</v>
      </c>
      <c r="AO675" s="112" t="e">
        <f t="shared" ca="1" si="875"/>
        <v>#N/A</v>
      </c>
      <c r="AP675" s="112" t="e">
        <f t="shared" ca="1" si="876"/>
        <v>#N/A</v>
      </c>
      <c r="AQ675" s="112" t="str">
        <f t="shared" si="877"/>
        <v/>
      </c>
      <c r="AT675" s="112" t="str">
        <f t="shared" si="878"/>
        <v/>
      </c>
      <c r="AU675" s="112" t="e">
        <f t="shared" ca="1" si="879"/>
        <v>#N/A</v>
      </c>
      <c r="AV675" s="112" t="e">
        <f t="shared" ca="1" si="880"/>
        <v>#N/A</v>
      </c>
      <c r="AW675" s="112" t="e">
        <f t="shared" ca="1" si="881"/>
        <v>#N/A</v>
      </c>
      <c r="AX675" s="112" t="e">
        <f t="shared" ca="1" si="882"/>
        <v>#N/A</v>
      </c>
      <c r="AY675" s="112" t="str">
        <f t="shared" si="883"/>
        <v/>
      </c>
      <c r="BA675" s="112" t="str">
        <f t="shared" si="884"/>
        <v/>
      </c>
      <c r="BB675" s="112" t="e">
        <f t="shared" ca="1" si="885"/>
        <v>#N/A</v>
      </c>
      <c r="BC675" s="112" t="e">
        <f t="shared" ca="1" si="886"/>
        <v>#N/A</v>
      </c>
      <c r="BD675" s="112" t="e">
        <f t="shared" ca="1" si="887"/>
        <v>#N/A</v>
      </c>
      <c r="BE675" s="112" t="e">
        <f t="shared" ca="1" si="888"/>
        <v>#N/A</v>
      </c>
      <c r="BF675" s="112" t="str">
        <f t="shared" si="889"/>
        <v/>
      </c>
      <c r="BI675" s="112" t="str">
        <f t="shared" si="890"/>
        <v/>
      </c>
      <c r="BJ675" s="112" t="e">
        <f t="shared" ca="1" si="891"/>
        <v>#N/A</v>
      </c>
      <c r="BK675" s="112" t="e">
        <f t="shared" ca="1" si="892"/>
        <v>#N/A</v>
      </c>
      <c r="BL675" s="112" t="e">
        <f t="shared" ca="1" si="893"/>
        <v>#N/A</v>
      </c>
      <c r="BM675" s="112" t="e">
        <f t="shared" ca="1" si="894"/>
        <v>#N/A</v>
      </c>
      <c r="BN675" s="112" t="str">
        <f t="shared" si="895"/>
        <v/>
      </c>
      <c r="BP675" s="238" t="e">
        <f t="shared" ca="1" si="961"/>
        <v>#N/A</v>
      </c>
      <c r="BQ675" s="238">
        <f t="shared" si="1102"/>
        <v>591</v>
      </c>
      <c r="BR675" t="s">
        <v>448</v>
      </c>
      <c r="BS675" t="s">
        <v>449</v>
      </c>
      <c r="BT675" s="114">
        <f t="shared" ca="1" si="802"/>
        <v>0</v>
      </c>
      <c r="BU675" s="112"/>
      <c r="BV675">
        <f t="shared" ca="1" si="956"/>
        <v>0</v>
      </c>
      <c r="BW675" s="112">
        <f t="shared" ca="1" si="865"/>
        <v>38551</v>
      </c>
      <c r="BX675" s="112">
        <f t="shared" ca="1" si="1111"/>
        <v>38551</v>
      </c>
      <c r="BY675">
        <f t="shared" ca="1" si="935"/>
        <v>18</v>
      </c>
      <c r="BZ675">
        <f t="shared" ca="1" si="936"/>
        <v>24</v>
      </c>
      <c r="CB675">
        <f t="shared" ca="1" si="898"/>
        <v>0</v>
      </c>
      <c r="CC675" s="112">
        <f t="shared" ca="1" si="899"/>
        <v>100000</v>
      </c>
      <c r="CD675" s="112">
        <f t="shared" ca="1" si="900"/>
        <v>38551</v>
      </c>
      <c r="CE675">
        <f t="shared" ca="1" si="901"/>
        <v>18</v>
      </c>
      <c r="CF675">
        <f t="shared" ca="1" si="902"/>
        <v>24</v>
      </c>
      <c r="CH675" s="112">
        <f t="shared" ca="1" si="1012"/>
        <v>38551</v>
      </c>
      <c r="CI675">
        <f t="shared" ca="1" si="1103"/>
        <v>0</v>
      </c>
      <c r="CJ675">
        <f t="shared" ref="CJ675" ca="1" si="1115">IF(AND(CI675=0,CC675&lt;100000),1,0)</f>
        <v>0</v>
      </c>
      <c r="CK675" s="112">
        <f t="shared" ca="1" si="1021"/>
        <v>38551</v>
      </c>
      <c r="CM675" s="112"/>
      <c r="CN675" s="261">
        <f t="shared" ref="CN675" ca="1" si="1116">IF(AND(CN671=100000,CN672=100000,CN673=100000,CN674=100000),INDIRECT(CONCATENATE("aa",BQ675)),CC675)</f>
        <v>100000</v>
      </c>
      <c r="CO675" s="324">
        <f t="shared" ca="1" si="1105"/>
        <v>38551</v>
      </c>
      <c r="CP675" s="256">
        <f t="shared" ca="1" si="1023"/>
        <v>18</v>
      </c>
      <c r="CQ675" s="329">
        <f t="shared" ca="1" si="1024"/>
        <v>24</v>
      </c>
      <c r="CS675" s="112">
        <f t="shared" ca="1" si="867"/>
        <v>100000</v>
      </c>
      <c r="CT675" s="112">
        <f t="shared" ca="1" si="916"/>
        <v>38551</v>
      </c>
      <c r="CU675" s="238">
        <f t="shared" ca="1" si="907"/>
        <v>18</v>
      </c>
      <c r="CV675" s="238">
        <f t="shared" ca="1" si="908"/>
        <v>24</v>
      </c>
      <c r="CY675">
        <f t="shared" si="917"/>
        <v>105</v>
      </c>
      <c r="DA675" s="112">
        <f t="shared" ca="1" si="918"/>
        <v>100000</v>
      </c>
      <c r="DC675">
        <f t="shared" si="919"/>
        <v>675</v>
      </c>
      <c r="DE675" t="str">
        <f t="shared" si="940"/>
        <v>cs675:dc790</v>
      </c>
      <c r="DF675">
        <f t="shared" ca="1" si="909"/>
        <v>675</v>
      </c>
      <c r="DG675" s="412">
        <f t="shared" ca="1" si="1060"/>
        <v>44804</v>
      </c>
      <c r="DH675" s="411" t="str">
        <f t="shared" ca="1" si="1049"/>
        <v/>
      </c>
      <c r="DI675" s="411" t="str">
        <f t="shared" ca="1" si="1050"/>
        <v/>
      </c>
      <c r="DJ675" s="410" t="str">
        <f t="shared" ca="1" si="1051"/>
        <v/>
      </c>
      <c r="DK675" s="410" t="str">
        <f t="shared" ca="1" si="1052"/>
        <v/>
      </c>
      <c r="DM675" s="411" t="str">
        <f t="shared" ca="1" si="1061"/>
        <v/>
      </c>
      <c r="DN675" s="411" t="str">
        <f t="shared" ca="1" si="1062"/>
        <v/>
      </c>
      <c r="DO675" s="410" t="str">
        <f t="shared" ca="1" si="1063"/>
        <v/>
      </c>
      <c r="DP675" s="410" t="str">
        <f t="shared" ca="1" si="1064"/>
        <v/>
      </c>
    </row>
    <row r="676" spans="27:120" x14ac:dyDescent="0.25">
      <c r="AA676" s="284" t="str">
        <f t="shared" ref="AA676:AF676" si="1117">AA125</f>
        <v/>
      </c>
      <c r="AB676" s="284" t="e">
        <f t="shared" ref="AB676:AE676" ca="1" si="1118">IF(OR(AB125&lt;=$AA676,AB125&gt;$AF676),100000,AB125)</f>
        <v>#N/A</v>
      </c>
      <c r="AC676" s="284" t="e">
        <f t="shared" ca="1" si="1118"/>
        <v>#N/A</v>
      </c>
      <c r="AD676" s="284" t="e">
        <f t="shared" ca="1" si="1118"/>
        <v>#N/A</v>
      </c>
      <c r="AE676" s="284" t="e">
        <f t="shared" ca="1" si="1118"/>
        <v>#N/A</v>
      </c>
      <c r="AF676" s="284" t="str">
        <f t="shared" si="1117"/>
        <v/>
      </c>
      <c r="AG676" s="238">
        <f t="shared" si="870"/>
        <v>0</v>
      </c>
      <c r="AH676" s="407">
        <f t="shared" si="871"/>
        <v>24</v>
      </c>
      <c r="AL676" s="112" t="str">
        <f t="shared" si="872"/>
        <v/>
      </c>
      <c r="AM676" s="112" t="e">
        <f t="shared" ca="1" si="873"/>
        <v>#N/A</v>
      </c>
      <c r="AN676" s="112" t="e">
        <f t="shared" ca="1" si="874"/>
        <v>#N/A</v>
      </c>
      <c r="AO676" s="112" t="e">
        <f t="shared" ca="1" si="875"/>
        <v>#N/A</v>
      </c>
      <c r="AP676" s="112" t="e">
        <f t="shared" ca="1" si="876"/>
        <v>#N/A</v>
      </c>
      <c r="AQ676" s="112" t="str">
        <f t="shared" si="877"/>
        <v/>
      </c>
      <c r="AT676" s="112" t="str">
        <f t="shared" si="878"/>
        <v/>
      </c>
      <c r="AU676" s="112" t="e">
        <f t="shared" ca="1" si="879"/>
        <v>#N/A</v>
      </c>
      <c r="AV676" s="112" t="e">
        <f t="shared" ca="1" si="880"/>
        <v>#N/A</v>
      </c>
      <c r="AW676" s="112" t="e">
        <f t="shared" ca="1" si="881"/>
        <v>#N/A</v>
      </c>
      <c r="AX676" s="112" t="e">
        <f t="shared" ca="1" si="882"/>
        <v>#N/A</v>
      </c>
      <c r="AY676" s="112" t="str">
        <f t="shared" si="883"/>
        <v/>
      </c>
      <c r="BA676" s="112" t="str">
        <f t="shared" si="884"/>
        <v/>
      </c>
      <c r="BB676" s="112" t="e">
        <f t="shared" ca="1" si="885"/>
        <v>#N/A</v>
      </c>
      <c r="BC676" s="112" t="e">
        <f t="shared" ca="1" si="886"/>
        <v>#N/A</v>
      </c>
      <c r="BD676" s="112" t="e">
        <f t="shared" ca="1" si="887"/>
        <v>#N/A</v>
      </c>
      <c r="BE676" s="112" t="e">
        <f t="shared" ca="1" si="888"/>
        <v>#N/A</v>
      </c>
      <c r="BF676" s="112" t="str">
        <f t="shared" si="889"/>
        <v/>
      </c>
      <c r="BI676" s="112" t="str">
        <f t="shared" si="890"/>
        <v/>
      </c>
      <c r="BJ676" s="112" t="e">
        <f t="shared" ca="1" si="891"/>
        <v>#N/A</v>
      </c>
      <c r="BK676" s="112" t="e">
        <f t="shared" ca="1" si="892"/>
        <v>#N/A</v>
      </c>
      <c r="BL676" s="112" t="e">
        <f t="shared" ca="1" si="893"/>
        <v>#N/A</v>
      </c>
      <c r="BM676" s="112" t="e">
        <f t="shared" ca="1" si="894"/>
        <v>#N/A</v>
      </c>
      <c r="BN676" s="112" t="str">
        <f t="shared" si="895"/>
        <v/>
      </c>
      <c r="BP676" s="238" t="e">
        <f t="shared" ca="1" si="961"/>
        <v>#N/A</v>
      </c>
      <c r="BQ676" s="238">
        <f t="shared" ref="BQ676" si="1119">BQ675+1</f>
        <v>592</v>
      </c>
      <c r="BR676" s="112" t="s">
        <v>444</v>
      </c>
      <c r="BS676" s="112" t="s">
        <v>445</v>
      </c>
      <c r="BT676" s="114">
        <f t="shared" ca="1" si="802"/>
        <v>0</v>
      </c>
      <c r="BU676" s="112"/>
      <c r="BV676">
        <f t="shared" ca="1" si="956"/>
        <v>1</v>
      </c>
      <c r="BW676" s="112">
        <f t="shared" ca="1" si="865"/>
        <v>38596</v>
      </c>
      <c r="BX676" s="112">
        <f t="shared" ref="BX676:BX678" ca="1" si="1120">INDIRECT(CONCATENATE(BS676,BQ676))-1</f>
        <v>38717</v>
      </c>
      <c r="BY676">
        <f t="shared" ca="1" si="935"/>
        <v>18</v>
      </c>
      <c r="BZ676">
        <f t="shared" ca="1" si="936"/>
        <v>24</v>
      </c>
      <c r="CB676">
        <f t="shared" ca="1" si="898"/>
        <v>0</v>
      </c>
      <c r="CC676" s="112">
        <f t="shared" ca="1" si="899"/>
        <v>38596</v>
      </c>
      <c r="CD676" s="112">
        <f t="shared" ca="1" si="900"/>
        <v>38717</v>
      </c>
      <c r="CE676">
        <f t="shared" ca="1" si="901"/>
        <v>18</v>
      </c>
      <c r="CF676">
        <f t="shared" ca="1" si="902"/>
        <v>24</v>
      </c>
      <c r="CH676" s="112">
        <f t="shared" ca="1" si="1012"/>
        <v>38919</v>
      </c>
      <c r="CI676">
        <f t="shared" ref="CI676" ca="1" si="1121">CB676+CB677+CB678+CB679+CB680</f>
        <v>0</v>
      </c>
      <c r="CJ676">
        <v>0</v>
      </c>
      <c r="CK676" s="112">
        <f t="shared" ca="1" si="1021"/>
        <v>38919</v>
      </c>
      <c r="CM676" s="112"/>
      <c r="CN676" s="408">
        <f t="shared" ca="1" si="904"/>
        <v>38596</v>
      </c>
      <c r="CO676" s="326">
        <f t="shared" ref="CO676" ca="1" si="1122">CD676</f>
        <v>38717</v>
      </c>
      <c r="CP676" s="333">
        <f t="shared" ca="1" si="1023"/>
        <v>18</v>
      </c>
      <c r="CQ676" s="327">
        <f t="shared" ca="1" si="1024"/>
        <v>24</v>
      </c>
      <c r="CS676" s="112">
        <f t="shared" ca="1" si="867"/>
        <v>38596</v>
      </c>
      <c r="CT676" s="112">
        <f t="shared" ref="CT676" ca="1" si="1123">IF(AND( CN677=100000,CN678=100000,CN679=100000,CN680=100000),CO680,                             CO676)</f>
        <v>38717</v>
      </c>
      <c r="CU676" s="238">
        <f t="shared" ca="1" si="907"/>
        <v>18</v>
      </c>
      <c r="CV676" s="238">
        <f t="shared" ca="1" si="908"/>
        <v>24</v>
      </c>
      <c r="CY676">
        <f t="shared" si="917"/>
        <v>106</v>
      </c>
      <c r="DA676" s="112">
        <f t="shared" ca="1" si="918"/>
        <v>100000</v>
      </c>
      <c r="DC676">
        <f t="shared" si="919"/>
        <v>676</v>
      </c>
      <c r="DE676" t="str">
        <f t="shared" si="940"/>
        <v>cs676:dc790</v>
      </c>
      <c r="DF676">
        <f t="shared" ca="1" si="909"/>
        <v>677</v>
      </c>
      <c r="DG676" s="412">
        <f t="shared" ca="1" si="1060"/>
        <v>44804</v>
      </c>
      <c r="DH676" s="411" t="str">
        <f t="shared" ca="1" si="1049"/>
        <v/>
      </c>
      <c r="DI676" s="411" t="str">
        <f t="shared" ca="1" si="1050"/>
        <v/>
      </c>
      <c r="DJ676" s="410" t="str">
        <f t="shared" ca="1" si="1051"/>
        <v/>
      </c>
      <c r="DK676" s="410" t="str">
        <f t="shared" ca="1" si="1052"/>
        <v/>
      </c>
      <c r="DM676" s="411" t="str">
        <f t="shared" ca="1" si="1061"/>
        <v/>
      </c>
      <c r="DN676" s="411" t="str">
        <f t="shared" ca="1" si="1062"/>
        <v/>
      </c>
      <c r="DO676" s="410" t="str">
        <f t="shared" ca="1" si="1063"/>
        <v/>
      </c>
      <c r="DP676" s="410" t="str">
        <f t="shared" ca="1" si="1064"/>
        <v/>
      </c>
    </row>
    <row r="677" spans="27:120" x14ac:dyDescent="0.25">
      <c r="AA677" s="284" t="str">
        <f t="shared" ref="AA677:AF677" si="1124">AA126</f>
        <v/>
      </c>
      <c r="AB677" s="284" t="e">
        <f t="shared" ref="AB677:AE677" ca="1" si="1125">IF(OR(AB126&lt;=$AA677,AB126&gt;$AF677),100000,AB126)</f>
        <v>#N/A</v>
      </c>
      <c r="AC677" s="284" t="e">
        <f t="shared" ca="1" si="1125"/>
        <v>#N/A</v>
      </c>
      <c r="AD677" s="284" t="e">
        <f t="shared" ca="1" si="1125"/>
        <v>#N/A</v>
      </c>
      <c r="AE677" s="284" t="e">
        <f t="shared" ca="1" si="1125"/>
        <v>#N/A</v>
      </c>
      <c r="AF677" s="284" t="str">
        <f t="shared" si="1124"/>
        <v/>
      </c>
      <c r="AG677" s="238">
        <f t="shared" si="870"/>
        <v>0</v>
      </c>
      <c r="AH677" s="407">
        <f t="shared" si="871"/>
        <v>24</v>
      </c>
      <c r="AL677" s="112" t="str">
        <f t="shared" si="872"/>
        <v/>
      </c>
      <c r="AM677" s="112" t="e">
        <f t="shared" ca="1" si="873"/>
        <v>#N/A</v>
      </c>
      <c r="AN677" s="112" t="e">
        <f t="shared" ca="1" si="874"/>
        <v>#N/A</v>
      </c>
      <c r="AO677" s="112" t="e">
        <f t="shared" ca="1" si="875"/>
        <v>#N/A</v>
      </c>
      <c r="AP677" s="112" t="e">
        <f t="shared" ca="1" si="876"/>
        <v>#N/A</v>
      </c>
      <c r="AQ677" s="112" t="str">
        <f t="shared" si="877"/>
        <v/>
      </c>
      <c r="AT677" s="112" t="str">
        <f t="shared" si="878"/>
        <v/>
      </c>
      <c r="AU677" s="112" t="e">
        <f t="shared" ca="1" si="879"/>
        <v>#N/A</v>
      </c>
      <c r="AV677" s="112" t="e">
        <f t="shared" ca="1" si="880"/>
        <v>#N/A</v>
      </c>
      <c r="AW677" s="112" t="e">
        <f t="shared" ca="1" si="881"/>
        <v>#N/A</v>
      </c>
      <c r="AX677" s="112" t="e">
        <f t="shared" ca="1" si="882"/>
        <v>#N/A</v>
      </c>
      <c r="AY677" s="112" t="str">
        <f t="shared" si="883"/>
        <v/>
      </c>
      <c r="BA677" s="112" t="str">
        <f t="shared" si="884"/>
        <v/>
      </c>
      <c r="BB677" s="112" t="e">
        <f t="shared" ca="1" si="885"/>
        <v>#N/A</v>
      </c>
      <c r="BC677" s="112" t="e">
        <f t="shared" ca="1" si="886"/>
        <v>#N/A</v>
      </c>
      <c r="BD677" s="112" t="e">
        <f t="shared" ca="1" si="887"/>
        <v>#N/A</v>
      </c>
      <c r="BE677" s="112" t="e">
        <f t="shared" ca="1" si="888"/>
        <v>#N/A</v>
      </c>
      <c r="BF677" s="112" t="str">
        <f t="shared" si="889"/>
        <v/>
      </c>
      <c r="BI677" s="112" t="str">
        <f t="shared" si="890"/>
        <v/>
      </c>
      <c r="BJ677" s="112" t="e">
        <f t="shared" ca="1" si="891"/>
        <v>#N/A</v>
      </c>
      <c r="BK677" s="112" t="e">
        <f t="shared" ca="1" si="892"/>
        <v>#N/A</v>
      </c>
      <c r="BL677" s="112" t="e">
        <f t="shared" ca="1" si="893"/>
        <v>#N/A</v>
      </c>
      <c r="BM677" s="112" t="e">
        <f t="shared" ca="1" si="894"/>
        <v>#N/A</v>
      </c>
      <c r="BN677" s="112" t="str">
        <f t="shared" si="895"/>
        <v/>
      </c>
      <c r="BP677" s="238" t="e">
        <f t="shared" ca="1" si="961"/>
        <v>#N/A</v>
      </c>
      <c r="BQ677" s="238">
        <f t="shared" ref="BQ677:BQ680" si="1126">BQ676</f>
        <v>592</v>
      </c>
      <c r="BR677" t="s">
        <v>445</v>
      </c>
      <c r="BS677" t="s">
        <v>446</v>
      </c>
      <c r="BT677" s="114">
        <f t="shared" ca="1" si="802"/>
        <v>0</v>
      </c>
      <c r="BU677" s="112"/>
      <c r="BV677">
        <f t="shared" ca="1" si="956"/>
        <v>1</v>
      </c>
      <c r="BW677" s="112">
        <f t="shared" ca="1" si="865"/>
        <v>38718</v>
      </c>
      <c r="BX677" s="112">
        <f t="shared" ca="1" si="1120"/>
        <v>38717</v>
      </c>
      <c r="BY677">
        <f t="shared" ca="1" si="935"/>
        <v>18</v>
      </c>
      <c r="BZ677">
        <f t="shared" ca="1" si="936"/>
        <v>24</v>
      </c>
      <c r="CB677">
        <f t="shared" ca="1" si="898"/>
        <v>0</v>
      </c>
      <c r="CC677" s="112">
        <f t="shared" ca="1" si="899"/>
        <v>100000</v>
      </c>
      <c r="CD677" s="112">
        <f t="shared" ca="1" si="900"/>
        <v>38717</v>
      </c>
      <c r="CE677">
        <f t="shared" ca="1" si="901"/>
        <v>18</v>
      </c>
      <c r="CF677">
        <f t="shared" ca="1" si="902"/>
        <v>24</v>
      </c>
      <c r="CH677" s="112">
        <f t="shared" ca="1" si="1012"/>
        <v>38919</v>
      </c>
      <c r="CI677">
        <f t="shared" ref="CI677:CI680" ca="1" si="1127">CI676</f>
        <v>0</v>
      </c>
      <c r="CJ677">
        <f t="shared" ref="CJ677" ca="1" si="1128">IF(AND(CI677=0,CJ678=0,CJ679=0,CJ680=0,CC677&lt;100000),1,0)</f>
        <v>0</v>
      </c>
      <c r="CK677" s="112">
        <f t="shared" ca="1" si="1021"/>
        <v>38919</v>
      </c>
      <c r="CM677" s="112"/>
      <c r="CN677" s="260">
        <f t="shared" ca="1" si="904"/>
        <v>100000</v>
      </c>
      <c r="CO677" s="112">
        <f t="shared" ref="CO677:CO680" ca="1" si="1129">IF(CJ677=1,CH677,CD677)</f>
        <v>38717</v>
      </c>
      <c r="CP677" s="238">
        <f t="shared" ca="1" si="1023"/>
        <v>18</v>
      </c>
      <c r="CQ677" s="328">
        <f t="shared" ca="1" si="1024"/>
        <v>24</v>
      </c>
      <c r="CS677" s="112">
        <f t="shared" ca="1" si="867"/>
        <v>100000</v>
      </c>
      <c r="CT677" s="112">
        <f t="shared" ca="1" si="916"/>
        <v>38717</v>
      </c>
      <c r="CU677" s="238">
        <f t="shared" ca="1" si="907"/>
        <v>18</v>
      </c>
      <c r="CV677" s="238">
        <f t="shared" ca="1" si="908"/>
        <v>24</v>
      </c>
      <c r="CY677">
        <f t="shared" si="917"/>
        <v>107</v>
      </c>
      <c r="DA677" s="112">
        <f t="shared" ca="1" si="918"/>
        <v>100000</v>
      </c>
      <c r="DC677">
        <f t="shared" si="919"/>
        <v>677</v>
      </c>
      <c r="DE677" t="str">
        <f t="shared" si="940"/>
        <v>cs677:dc790</v>
      </c>
      <c r="DF677">
        <f t="shared" ca="1" si="909"/>
        <v>677</v>
      </c>
      <c r="DG677" s="412">
        <f t="shared" ca="1" si="1060"/>
        <v>44804</v>
      </c>
      <c r="DH677" s="411" t="str">
        <f t="shared" ca="1" si="1049"/>
        <v/>
      </c>
      <c r="DI677" s="411" t="str">
        <f t="shared" ca="1" si="1050"/>
        <v/>
      </c>
      <c r="DJ677" s="410" t="str">
        <f t="shared" ca="1" si="1051"/>
        <v/>
      </c>
      <c r="DK677" s="410" t="str">
        <f t="shared" ca="1" si="1052"/>
        <v/>
      </c>
      <c r="DM677" s="411" t="str">
        <f t="shared" ca="1" si="1061"/>
        <v/>
      </c>
      <c r="DN677" s="411" t="str">
        <f t="shared" ca="1" si="1062"/>
        <v/>
      </c>
      <c r="DO677" s="410" t="str">
        <f t="shared" ca="1" si="1063"/>
        <v/>
      </c>
      <c r="DP677" s="410" t="str">
        <f t="shared" ca="1" si="1064"/>
        <v/>
      </c>
    </row>
    <row r="678" spans="27:120" x14ac:dyDescent="0.25">
      <c r="AA678" s="284" t="str">
        <f t="shared" ref="AA678:AF678" si="1130">AA127</f>
        <v/>
      </c>
      <c r="AB678" s="284" t="e">
        <f t="shared" ref="AB678:AE678" ca="1" si="1131">IF(OR(AB127&lt;=$AA678,AB127&gt;$AF678),100000,AB127)</f>
        <v>#N/A</v>
      </c>
      <c r="AC678" s="284" t="e">
        <f t="shared" ca="1" si="1131"/>
        <v>#N/A</v>
      </c>
      <c r="AD678" s="284" t="e">
        <f t="shared" ca="1" si="1131"/>
        <v>#N/A</v>
      </c>
      <c r="AE678" s="284" t="e">
        <f t="shared" ca="1" si="1131"/>
        <v>#N/A</v>
      </c>
      <c r="AF678" s="284" t="str">
        <f t="shared" si="1130"/>
        <v/>
      </c>
      <c r="AG678" s="238">
        <f t="shared" si="870"/>
        <v>0</v>
      </c>
      <c r="AH678" s="407">
        <f t="shared" si="871"/>
        <v>24</v>
      </c>
      <c r="AL678" s="112" t="str">
        <f t="shared" si="872"/>
        <v/>
      </c>
      <c r="AM678" s="112" t="e">
        <f t="shared" ca="1" si="873"/>
        <v>#N/A</v>
      </c>
      <c r="AN678" s="112" t="e">
        <f t="shared" ca="1" si="874"/>
        <v>#N/A</v>
      </c>
      <c r="AO678" s="112" t="e">
        <f t="shared" ca="1" si="875"/>
        <v>#N/A</v>
      </c>
      <c r="AP678" s="112" t="e">
        <f t="shared" ca="1" si="876"/>
        <v>#N/A</v>
      </c>
      <c r="AQ678" s="112" t="str">
        <f t="shared" si="877"/>
        <v/>
      </c>
      <c r="AT678" s="112" t="str">
        <f t="shared" si="878"/>
        <v/>
      </c>
      <c r="AU678" s="112" t="e">
        <f t="shared" ca="1" si="879"/>
        <v>#N/A</v>
      </c>
      <c r="AV678" s="112" t="e">
        <f t="shared" ca="1" si="880"/>
        <v>#N/A</v>
      </c>
      <c r="AW678" s="112" t="e">
        <f t="shared" ca="1" si="881"/>
        <v>#N/A</v>
      </c>
      <c r="AX678" s="112" t="e">
        <f t="shared" ca="1" si="882"/>
        <v>#N/A</v>
      </c>
      <c r="AY678" s="112" t="str">
        <f t="shared" si="883"/>
        <v/>
      </c>
      <c r="BA678" s="112" t="str">
        <f t="shared" si="884"/>
        <v/>
      </c>
      <c r="BB678" s="112" t="e">
        <f t="shared" ca="1" si="885"/>
        <v>#N/A</v>
      </c>
      <c r="BC678" s="112" t="e">
        <f t="shared" ca="1" si="886"/>
        <v>#N/A</v>
      </c>
      <c r="BD678" s="112" t="e">
        <f t="shared" ca="1" si="887"/>
        <v>#N/A</v>
      </c>
      <c r="BE678" s="112" t="e">
        <f t="shared" ca="1" si="888"/>
        <v>#N/A</v>
      </c>
      <c r="BF678" s="112" t="str">
        <f t="shared" si="889"/>
        <v/>
      </c>
      <c r="BI678" s="112" t="str">
        <f t="shared" si="890"/>
        <v/>
      </c>
      <c r="BJ678" s="112" t="e">
        <f t="shared" ca="1" si="891"/>
        <v>#N/A</v>
      </c>
      <c r="BK678" s="112" t="e">
        <f t="shared" ca="1" si="892"/>
        <v>#N/A</v>
      </c>
      <c r="BL678" s="112" t="e">
        <f t="shared" ca="1" si="893"/>
        <v>#N/A</v>
      </c>
      <c r="BM678" s="112" t="e">
        <f t="shared" ca="1" si="894"/>
        <v>#N/A</v>
      </c>
      <c r="BN678" s="112" t="str">
        <f t="shared" si="895"/>
        <v/>
      </c>
      <c r="BP678" s="238" t="e">
        <f t="shared" ca="1" si="961"/>
        <v>#N/A</v>
      </c>
      <c r="BQ678" s="238">
        <f t="shared" si="1126"/>
        <v>592</v>
      </c>
      <c r="BR678" t="s">
        <v>446</v>
      </c>
      <c r="BS678" t="s">
        <v>447</v>
      </c>
      <c r="BT678" s="114">
        <f t="shared" ca="1" si="802"/>
        <v>0</v>
      </c>
      <c r="BU678" s="112"/>
      <c r="BV678">
        <f t="shared" ca="1" si="956"/>
        <v>1</v>
      </c>
      <c r="BW678" s="112">
        <f t="shared" ca="1" si="865"/>
        <v>38718</v>
      </c>
      <c r="BX678" s="112">
        <f t="shared" ca="1" si="1120"/>
        <v>38918</v>
      </c>
      <c r="BY678">
        <f t="shared" ca="1" si="935"/>
        <v>18</v>
      </c>
      <c r="BZ678">
        <f t="shared" ca="1" si="936"/>
        <v>24</v>
      </c>
      <c r="CB678">
        <f t="shared" ca="1" si="898"/>
        <v>0</v>
      </c>
      <c r="CC678" s="112">
        <f t="shared" ca="1" si="899"/>
        <v>38718</v>
      </c>
      <c r="CD678" s="112">
        <f t="shared" ca="1" si="900"/>
        <v>38918</v>
      </c>
      <c r="CE678">
        <f t="shared" ca="1" si="901"/>
        <v>18</v>
      </c>
      <c r="CF678">
        <f t="shared" ca="1" si="902"/>
        <v>24</v>
      </c>
      <c r="CH678" s="112">
        <f t="shared" ca="1" si="1012"/>
        <v>38919</v>
      </c>
      <c r="CI678">
        <f t="shared" ca="1" si="1127"/>
        <v>0</v>
      </c>
      <c r="CJ678">
        <f t="shared" ref="CJ678" ca="1" si="1132">IF(AND(CI678=0,CJ679=0,CJ680=0,CC678&lt;100000),1,0)</f>
        <v>1</v>
      </c>
      <c r="CK678" s="112">
        <f t="shared" ca="1" si="1021"/>
        <v>1</v>
      </c>
      <c r="CM678" s="112"/>
      <c r="CN678" s="260">
        <f t="shared" ca="1" si="904"/>
        <v>38718</v>
      </c>
      <c r="CO678" s="112">
        <f t="shared" ca="1" si="1129"/>
        <v>38919</v>
      </c>
      <c r="CP678" s="238">
        <f t="shared" ca="1" si="1023"/>
        <v>18</v>
      </c>
      <c r="CQ678" s="328">
        <f t="shared" ca="1" si="1024"/>
        <v>24</v>
      </c>
      <c r="CS678" s="112">
        <f t="shared" ca="1" si="867"/>
        <v>38718</v>
      </c>
      <c r="CT678" s="112">
        <f t="shared" ca="1" si="916"/>
        <v>38919</v>
      </c>
      <c r="CU678" s="238">
        <f t="shared" ca="1" si="907"/>
        <v>18</v>
      </c>
      <c r="CV678" s="238">
        <f t="shared" ca="1" si="908"/>
        <v>24</v>
      </c>
      <c r="CY678">
        <f t="shared" si="917"/>
        <v>108</v>
      </c>
      <c r="DA678" s="112">
        <f t="shared" ca="1" si="918"/>
        <v>100000</v>
      </c>
      <c r="DC678">
        <f t="shared" si="919"/>
        <v>678</v>
      </c>
      <c r="DE678" t="str">
        <f t="shared" si="940"/>
        <v>cs678:dc790</v>
      </c>
      <c r="DF678">
        <f t="shared" ca="1" si="909"/>
        <v>679</v>
      </c>
      <c r="DG678" s="412">
        <f t="shared" ca="1" si="1060"/>
        <v>44804</v>
      </c>
      <c r="DH678" s="411" t="str">
        <f t="shared" ca="1" si="1049"/>
        <v/>
      </c>
      <c r="DI678" s="411" t="str">
        <f t="shared" ca="1" si="1050"/>
        <v/>
      </c>
      <c r="DJ678" s="410" t="str">
        <f t="shared" ca="1" si="1051"/>
        <v/>
      </c>
      <c r="DK678" s="410" t="str">
        <f t="shared" ca="1" si="1052"/>
        <v/>
      </c>
      <c r="DM678" s="411" t="str">
        <f t="shared" ca="1" si="1061"/>
        <v/>
      </c>
      <c r="DN678" s="411" t="str">
        <f t="shared" ca="1" si="1062"/>
        <v/>
      </c>
      <c r="DO678" s="410" t="str">
        <f t="shared" ca="1" si="1063"/>
        <v/>
      </c>
      <c r="DP678" s="410" t="str">
        <f t="shared" ca="1" si="1064"/>
        <v/>
      </c>
    </row>
    <row r="679" spans="27:120" x14ac:dyDescent="0.25">
      <c r="AA679" s="284" t="str">
        <f t="shared" ref="AA679:AF679" si="1133">AA128</f>
        <v/>
      </c>
      <c r="AB679" s="284" t="e">
        <f t="shared" ref="AB679:AE679" ca="1" si="1134">IF(OR(AB128&lt;=$AA679,AB128&gt;$AF679),100000,AB128)</f>
        <v>#N/A</v>
      </c>
      <c r="AC679" s="284" t="e">
        <f t="shared" ca="1" si="1134"/>
        <v>#N/A</v>
      </c>
      <c r="AD679" s="284" t="e">
        <f t="shared" ca="1" si="1134"/>
        <v>#N/A</v>
      </c>
      <c r="AE679" s="284" t="e">
        <f t="shared" ca="1" si="1134"/>
        <v>#N/A</v>
      </c>
      <c r="AF679" s="284" t="str">
        <f t="shared" si="1133"/>
        <v/>
      </c>
      <c r="AG679" s="238">
        <f t="shared" si="870"/>
        <v>0</v>
      </c>
      <c r="AH679" s="407">
        <f t="shared" si="871"/>
        <v>24</v>
      </c>
      <c r="AL679" s="112" t="str">
        <f t="shared" si="872"/>
        <v/>
      </c>
      <c r="AM679" s="112" t="e">
        <f t="shared" ca="1" si="873"/>
        <v>#N/A</v>
      </c>
      <c r="AN679" s="112" t="e">
        <f t="shared" ca="1" si="874"/>
        <v>#N/A</v>
      </c>
      <c r="AO679" s="112" t="e">
        <f t="shared" ca="1" si="875"/>
        <v>#N/A</v>
      </c>
      <c r="AP679" s="112" t="e">
        <f t="shared" ca="1" si="876"/>
        <v>#N/A</v>
      </c>
      <c r="AQ679" s="112" t="str">
        <f t="shared" si="877"/>
        <v/>
      </c>
      <c r="AT679" s="112" t="str">
        <f t="shared" si="878"/>
        <v/>
      </c>
      <c r="AU679" s="112" t="e">
        <f t="shared" ca="1" si="879"/>
        <v>#N/A</v>
      </c>
      <c r="AV679" s="112" t="e">
        <f t="shared" ca="1" si="880"/>
        <v>#N/A</v>
      </c>
      <c r="AW679" s="112" t="e">
        <f t="shared" ca="1" si="881"/>
        <v>#N/A</v>
      </c>
      <c r="AX679" s="112" t="e">
        <f t="shared" ca="1" si="882"/>
        <v>#N/A</v>
      </c>
      <c r="AY679" s="112" t="str">
        <f t="shared" si="883"/>
        <v/>
      </c>
      <c r="BA679" s="112" t="str">
        <f t="shared" si="884"/>
        <v/>
      </c>
      <c r="BB679" s="112" t="e">
        <f t="shared" ca="1" si="885"/>
        <v>#N/A</v>
      </c>
      <c r="BC679" s="112" t="e">
        <f t="shared" ca="1" si="886"/>
        <v>#N/A</v>
      </c>
      <c r="BD679" s="112" t="e">
        <f t="shared" ca="1" si="887"/>
        <v>#N/A</v>
      </c>
      <c r="BE679" s="112" t="e">
        <f t="shared" ca="1" si="888"/>
        <v>#N/A</v>
      </c>
      <c r="BF679" s="112" t="str">
        <f t="shared" si="889"/>
        <v/>
      </c>
      <c r="BI679" s="112" t="str">
        <f t="shared" si="890"/>
        <v/>
      </c>
      <c r="BJ679" s="112" t="e">
        <f t="shared" ca="1" si="891"/>
        <v>#N/A</v>
      </c>
      <c r="BK679" s="112" t="e">
        <f t="shared" ca="1" si="892"/>
        <v>#N/A</v>
      </c>
      <c r="BL679" s="112" t="e">
        <f t="shared" ca="1" si="893"/>
        <v>#N/A</v>
      </c>
      <c r="BM679" s="112" t="e">
        <f t="shared" ca="1" si="894"/>
        <v>#N/A</v>
      </c>
      <c r="BN679" s="112" t="str">
        <f t="shared" si="895"/>
        <v/>
      </c>
      <c r="BP679" s="238" t="e">
        <f t="shared" ca="1" si="961"/>
        <v>#N/A</v>
      </c>
      <c r="BQ679" s="238">
        <f t="shared" si="1126"/>
        <v>592</v>
      </c>
      <c r="BR679" t="s">
        <v>447</v>
      </c>
      <c r="BS679" t="s">
        <v>448</v>
      </c>
      <c r="BT679" s="114">
        <f t="shared" ca="1" si="802"/>
        <v>0</v>
      </c>
      <c r="BU679" s="112"/>
      <c r="BV679">
        <f t="shared" ca="1" si="956"/>
        <v>0</v>
      </c>
      <c r="BW679" s="112">
        <f t="shared" ca="1" si="865"/>
        <v>38919</v>
      </c>
      <c r="BX679" s="112">
        <f t="shared" ref="BX679:BX680" ca="1" si="1135">INDIRECT(CONCATENATE(BS679,BQ679))</f>
        <v>38919</v>
      </c>
      <c r="BY679">
        <f t="shared" ca="1" si="935"/>
        <v>18</v>
      </c>
      <c r="BZ679">
        <f t="shared" ca="1" si="936"/>
        <v>24</v>
      </c>
      <c r="CB679">
        <f t="shared" ca="1" si="898"/>
        <v>0</v>
      </c>
      <c r="CC679" s="112">
        <f t="shared" ca="1" si="899"/>
        <v>100000</v>
      </c>
      <c r="CD679" s="112">
        <f t="shared" ca="1" si="900"/>
        <v>38919</v>
      </c>
      <c r="CE679">
        <f t="shared" ca="1" si="901"/>
        <v>18</v>
      </c>
      <c r="CF679">
        <f t="shared" ca="1" si="902"/>
        <v>24</v>
      </c>
      <c r="CH679" s="112">
        <f t="shared" ca="1" si="1012"/>
        <v>38919</v>
      </c>
      <c r="CI679">
        <f t="shared" ca="1" si="1127"/>
        <v>0</v>
      </c>
      <c r="CJ679">
        <f t="shared" ref="CJ679" ca="1" si="1136">IF(AND(CI679=0,CJ680=0,CC679&lt;100000),1,0)</f>
        <v>0</v>
      </c>
      <c r="CK679" s="112">
        <f t="shared" ca="1" si="1021"/>
        <v>38919</v>
      </c>
      <c r="CM679" s="112"/>
      <c r="CN679" s="260">
        <f t="shared" ca="1" si="904"/>
        <v>100000</v>
      </c>
      <c r="CO679" s="112">
        <f t="shared" ca="1" si="1129"/>
        <v>38919</v>
      </c>
      <c r="CP679" s="238">
        <f t="shared" ca="1" si="1023"/>
        <v>18</v>
      </c>
      <c r="CQ679" s="328">
        <f t="shared" ca="1" si="1024"/>
        <v>24</v>
      </c>
      <c r="CS679" s="112">
        <f t="shared" ca="1" si="867"/>
        <v>100000</v>
      </c>
      <c r="CT679" s="112">
        <f t="shared" ca="1" si="916"/>
        <v>38919</v>
      </c>
      <c r="CU679" s="238">
        <f t="shared" ca="1" si="907"/>
        <v>18</v>
      </c>
      <c r="CV679" s="238">
        <f t="shared" ca="1" si="908"/>
        <v>24</v>
      </c>
      <c r="CY679">
        <f t="shared" si="917"/>
        <v>109</v>
      </c>
      <c r="DA679" s="112">
        <f t="shared" ca="1" si="918"/>
        <v>100000</v>
      </c>
      <c r="DC679">
        <f t="shared" si="919"/>
        <v>679</v>
      </c>
      <c r="DE679" t="str">
        <f t="shared" si="940"/>
        <v>cs679:dc790</v>
      </c>
      <c r="DF679">
        <f t="shared" ca="1" si="909"/>
        <v>679</v>
      </c>
      <c r="DG679" s="412">
        <f t="shared" ca="1" si="1060"/>
        <v>44804</v>
      </c>
      <c r="DH679" s="411" t="str">
        <f t="shared" ca="1" si="1049"/>
        <v/>
      </c>
      <c r="DI679" s="411" t="str">
        <f t="shared" ca="1" si="1050"/>
        <v/>
      </c>
      <c r="DJ679" s="410" t="str">
        <f t="shared" ca="1" si="1051"/>
        <v/>
      </c>
      <c r="DK679" s="410" t="str">
        <f t="shared" ca="1" si="1052"/>
        <v/>
      </c>
      <c r="DM679" s="411" t="str">
        <f t="shared" ca="1" si="1061"/>
        <v/>
      </c>
      <c r="DN679" s="411" t="str">
        <f t="shared" ca="1" si="1062"/>
        <v/>
      </c>
      <c r="DO679" s="410" t="str">
        <f t="shared" ca="1" si="1063"/>
        <v/>
      </c>
      <c r="DP679" s="410" t="str">
        <f t="shared" ca="1" si="1064"/>
        <v/>
      </c>
    </row>
    <row r="680" spans="27:120" ht="15.75" thickBot="1" x14ac:dyDescent="0.3">
      <c r="AA680" s="284" t="str">
        <f t="shared" ref="AA680:AF680" si="1137">AA129</f>
        <v/>
      </c>
      <c r="AB680" s="284" t="e">
        <f t="shared" ref="AB680:AE680" ca="1" si="1138">IF(OR(AB129&lt;=$AA680,AB129&gt;$AF680),100000,AB129)</f>
        <v>#N/A</v>
      </c>
      <c r="AC680" s="284" t="e">
        <f t="shared" ca="1" si="1138"/>
        <v>#N/A</v>
      </c>
      <c r="AD680" s="284" t="e">
        <f t="shared" ca="1" si="1138"/>
        <v>#N/A</v>
      </c>
      <c r="AE680" s="284" t="e">
        <f t="shared" ca="1" si="1138"/>
        <v>#N/A</v>
      </c>
      <c r="AF680" s="284" t="str">
        <f t="shared" si="1137"/>
        <v/>
      </c>
      <c r="AG680" s="238">
        <f t="shared" si="870"/>
        <v>0</v>
      </c>
      <c r="AH680" s="407">
        <f t="shared" si="871"/>
        <v>24</v>
      </c>
      <c r="AL680" s="112" t="str">
        <f t="shared" si="872"/>
        <v/>
      </c>
      <c r="AM680" s="112" t="e">
        <f t="shared" ca="1" si="873"/>
        <v>#N/A</v>
      </c>
      <c r="AN680" s="112" t="e">
        <f t="shared" ca="1" si="874"/>
        <v>#N/A</v>
      </c>
      <c r="AO680" s="112" t="e">
        <f t="shared" ca="1" si="875"/>
        <v>#N/A</v>
      </c>
      <c r="AP680" s="112" t="e">
        <f t="shared" ca="1" si="876"/>
        <v>#N/A</v>
      </c>
      <c r="AQ680" s="112" t="str">
        <f t="shared" si="877"/>
        <v/>
      </c>
      <c r="AT680" s="112" t="str">
        <f t="shared" si="878"/>
        <v/>
      </c>
      <c r="AU680" s="112" t="e">
        <f t="shared" ca="1" si="879"/>
        <v>#N/A</v>
      </c>
      <c r="AV680" s="112" t="e">
        <f t="shared" ca="1" si="880"/>
        <v>#N/A</v>
      </c>
      <c r="AW680" s="112" t="e">
        <f t="shared" ca="1" si="881"/>
        <v>#N/A</v>
      </c>
      <c r="AX680" s="112" t="e">
        <f t="shared" ca="1" si="882"/>
        <v>#N/A</v>
      </c>
      <c r="AY680" s="112" t="str">
        <f t="shared" si="883"/>
        <v/>
      </c>
      <c r="BA680" s="112" t="str">
        <f t="shared" si="884"/>
        <v/>
      </c>
      <c r="BB680" s="112" t="e">
        <f t="shared" ca="1" si="885"/>
        <v>#N/A</v>
      </c>
      <c r="BC680" s="112" t="e">
        <f t="shared" ca="1" si="886"/>
        <v>#N/A</v>
      </c>
      <c r="BD680" s="112" t="e">
        <f t="shared" ca="1" si="887"/>
        <v>#N/A</v>
      </c>
      <c r="BE680" s="112" t="e">
        <f t="shared" ca="1" si="888"/>
        <v>#N/A</v>
      </c>
      <c r="BF680" s="112" t="str">
        <f t="shared" si="889"/>
        <v/>
      </c>
      <c r="BI680" s="112" t="str">
        <f t="shared" si="890"/>
        <v/>
      </c>
      <c r="BJ680" s="112" t="e">
        <f t="shared" ca="1" si="891"/>
        <v>#N/A</v>
      </c>
      <c r="BK680" s="112" t="e">
        <f t="shared" ca="1" si="892"/>
        <v>#N/A</v>
      </c>
      <c r="BL680" s="112" t="e">
        <f t="shared" ca="1" si="893"/>
        <v>#N/A</v>
      </c>
      <c r="BM680" s="112" t="e">
        <f t="shared" ca="1" si="894"/>
        <v>#N/A</v>
      </c>
      <c r="BN680" s="112" t="str">
        <f t="shared" si="895"/>
        <v/>
      </c>
      <c r="BP680" s="238" t="e">
        <f t="shared" ca="1" si="961"/>
        <v>#N/A</v>
      </c>
      <c r="BQ680" s="238">
        <f t="shared" si="1126"/>
        <v>592</v>
      </c>
      <c r="BR680" t="s">
        <v>448</v>
      </c>
      <c r="BS680" t="s">
        <v>449</v>
      </c>
      <c r="BT680" s="114">
        <f t="shared" ca="1" si="802"/>
        <v>0</v>
      </c>
      <c r="BU680" s="112"/>
      <c r="BV680">
        <f t="shared" ca="1" si="956"/>
        <v>0</v>
      </c>
      <c r="BW680" s="112">
        <f t="shared" ca="1" si="865"/>
        <v>38919</v>
      </c>
      <c r="BX680" s="112">
        <f t="shared" ca="1" si="1135"/>
        <v>38919</v>
      </c>
      <c r="BY680">
        <f t="shared" ca="1" si="935"/>
        <v>18</v>
      </c>
      <c r="BZ680">
        <f t="shared" ca="1" si="936"/>
        <v>24</v>
      </c>
      <c r="CB680">
        <f t="shared" ca="1" si="898"/>
        <v>0</v>
      </c>
      <c r="CC680" s="112">
        <f t="shared" ca="1" si="899"/>
        <v>100000</v>
      </c>
      <c r="CD680" s="112">
        <f t="shared" ca="1" si="900"/>
        <v>38919</v>
      </c>
      <c r="CE680">
        <f t="shared" ca="1" si="901"/>
        <v>18</v>
      </c>
      <c r="CF680">
        <f t="shared" ca="1" si="902"/>
        <v>24</v>
      </c>
      <c r="CH680" s="112">
        <f t="shared" ca="1" si="1012"/>
        <v>38919</v>
      </c>
      <c r="CI680">
        <f t="shared" ca="1" si="1127"/>
        <v>0</v>
      </c>
      <c r="CJ680">
        <f t="shared" ref="CJ680" ca="1" si="1139">IF(AND(CI680=0,CC680&lt;100000),1,0)</f>
        <v>0</v>
      </c>
      <c r="CK680" s="112">
        <f t="shared" ca="1" si="1021"/>
        <v>38919</v>
      </c>
      <c r="CM680" s="112"/>
      <c r="CN680" s="261">
        <f t="shared" ref="CN680" ca="1" si="1140">IF(AND(CN676=100000,CN677=100000,CN678=100000,CN679=100000),INDIRECT(CONCATENATE("aa",BQ680)),CC680)</f>
        <v>100000</v>
      </c>
      <c r="CO680" s="324">
        <f t="shared" ca="1" si="1129"/>
        <v>38919</v>
      </c>
      <c r="CP680" s="256">
        <f t="shared" ca="1" si="1023"/>
        <v>18</v>
      </c>
      <c r="CQ680" s="329">
        <f t="shared" ca="1" si="1024"/>
        <v>24</v>
      </c>
      <c r="CS680" s="112">
        <f t="shared" ca="1" si="867"/>
        <v>100000</v>
      </c>
      <c r="CT680" s="112">
        <f t="shared" ca="1" si="916"/>
        <v>38919</v>
      </c>
      <c r="CU680" s="238">
        <f t="shared" ca="1" si="907"/>
        <v>18</v>
      </c>
      <c r="CV680" s="238">
        <f t="shared" ca="1" si="908"/>
        <v>24</v>
      </c>
      <c r="CY680">
        <f t="shared" si="917"/>
        <v>110</v>
      </c>
      <c r="DA680" s="112">
        <f t="shared" ca="1" si="918"/>
        <v>100000</v>
      </c>
      <c r="DC680">
        <f t="shared" si="919"/>
        <v>680</v>
      </c>
      <c r="DE680" t="str">
        <f t="shared" si="940"/>
        <v>cs680:dc790</v>
      </c>
      <c r="DF680">
        <f t="shared" ca="1" si="909"/>
        <v>680</v>
      </c>
      <c r="DG680" s="412">
        <f t="shared" ca="1" si="1060"/>
        <v>44804</v>
      </c>
      <c r="DH680" s="411" t="str">
        <f t="shared" ca="1" si="1049"/>
        <v/>
      </c>
      <c r="DI680" s="411" t="str">
        <f t="shared" ca="1" si="1050"/>
        <v/>
      </c>
      <c r="DJ680" s="410" t="str">
        <f t="shared" ca="1" si="1051"/>
        <v/>
      </c>
      <c r="DK680" s="410" t="str">
        <f t="shared" ca="1" si="1052"/>
        <v/>
      </c>
      <c r="DM680" s="411" t="str">
        <f t="shared" ca="1" si="1061"/>
        <v/>
      </c>
      <c r="DN680" s="411" t="str">
        <f t="shared" ca="1" si="1062"/>
        <v/>
      </c>
      <c r="DO680" s="410" t="str">
        <f t="shared" ca="1" si="1063"/>
        <v/>
      </c>
      <c r="DP680" s="410" t="str">
        <f t="shared" ca="1" si="1064"/>
        <v/>
      </c>
    </row>
    <row r="681" spans="27:120" x14ac:dyDescent="0.25">
      <c r="AA681" s="284" t="str">
        <f t="shared" ref="AA681:AF681" si="1141">AA130</f>
        <v/>
      </c>
      <c r="AB681" s="284" t="e">
        <f t="shared" ref="AB681:AE681" ca="1" si="1142">IF(OR(AB130&lt;=$AA681,AB130&gt;$AF681),100000,AB130)</f>
        <v>#N/A</v>
      </c>
      <c r="AC681" s="284" t="e">
        <f t="shared" ca="1" si="1142"/>
        <v>#N/A</v>
      </c>
      <c r="AD681" s="284" t="e">
        <f t="shared" ca="1" si="1142"/>
        <v>#N/A</v>
      </c>
      <c r="AE681" s="284" t="e">
        <f t="shared" ca="1" si="1142"/>
        <v>#N/A</v>
      </c>
      <c r="AF681" s="284" t="str">
        <f t="shared" si="1141"/>
        <v/>
      </c>
      <c r="AG681" s="238">
        <f t="shared" si="870"/>
        <v>0</v>
      </c>
      <c r="AH681" s="407">
        <f t="shared" si="871"/>
        <v>24</v>
      </c>
      <c r="AL681" s="112" t="str">
        <f t="shared" si="872"/>
        <v/>
      </c>
      <c r="AM681" s="112" t="e">
        <f t="shared" ca="1" si="873"/>
        <v>#N/A</v>
      </c>
      <c r="AN681" s="112" t="e">
        <f t="shared" ca="1" si="874"/>
        <v>#N/A</v>
      </c>
      <c r="AO681" s="112" t="e">
        <f t="shared" ca="1" si="875"/>
        <v>#N/A</v>
      </c>
      <c r="AP681" s="112" t="e">
        <f t="shared" ca="1" si="876"/>
        <v>#N/A</v>
      </c>
      <c r="AQ681" s="112" t="str">
        <f t="shared" si="877"/>
        <v/>
      </c>
      <c r="AT681" s="112" t="str">
        <f t="shared" si="878"/>
        <v/>
      </c>
      <c r="AU681" s="112" t="e">
        <f t="shared" ca="1" si="879"/>
        <v>#N/A</v>
      </c>
      <c r="AV681" s="112" t="e">
        <f t="shared" ca="1" si="880"/>
        <v>#N/A</v>
      </c>
      <c r="AW681" s="112" t="e">
        <f t="shared" ca="1" si="881"/>
        <v>#N/A</v>
      </c>
      <c r="AX681" s="112" t="e">
        <f t="shared" ca="1" si="882"/>
        <v>#N/A</v>
      </c>
      <c r="AY681" s="112" t="str">
        <f t="shared" si="883"/>
        <v/>
      </c>
      <c r="BA681" s="112" t="str">
        <f t="shared" si="884"/>
        <v/>
      </c>
      <c r="BB681" s="112" t="e">
        <f t="shared" ca="1" si="885"/>
        <v>#N/A</v>
      </c>
      <c r="BC681" s="112" t="e">
        <f t="shared" ca="1" si="886"/>
        <v>#N/A</v>
      </c>
      <c r="BD681" s="112" t="e">
        <f t="shared" ca="1" si="887"/>
        <v>#N/A</v>
      </c>
      <c r="BE681" s="112" t="e">
        <f t="shared" ca="1" si="888"/>
        <v>#N/A</v>
      </c>
      <c r="BF681" s="112" t="str">
        <f t="shared" si="889"/>
        <v/>
      </c>
      <c r="BI681" s="112" t="str">
        <f t="shared" si="890"/>
        <v/>
      </c>
      <c r="BJ681" s="112" t="e">
        <f t="shared" ca="1" si="891"/>
        <v>#N/A</v>
      </c>
      <c r="BK681" s="112" t="e">
        <f t="shared" ca="1" si="892"/>
        <v>#N/A</v>
      </c>
      <c r="BL681" s="112" t="e">
        <f t="shared" ca="1" si="893"/>
        <v>#N/A</v>
      </c>
      <c r="BM681" s="112" t="e">
        <f t="shared" ca="1" si="894"/>
        <v>#N/A</v>
      </c>
      <c r="BN681" s="112" t="str">
        <f t="shared" si="895"/>
        <v/>
      </c>
      <c r="BP681" s="238" t="e">
        <f t="shared" ca="1" si="961"/>
        <v>#N/A</v>
      </c>
      <c r="BQ681" s="238">
        <f t="shared" ref="BQ681" si="1143">BQ680+1</f>
        <v>593</v>
      </c>
      <c r="BR681" s="112" t="s">
        <v>444</v>
      </c>
      <c r="BS681" s="112" t="s">
        <v>445</v>
      </c>
      <c r="BT681" s="114">
        <f t="shared" ca="1" si="802"/>
        <v>0</v>
      </c>
      <c r="BU681" s="112"/>
      <c r="BV681">
        <f t="shared" ca="1" si="956"/>
        <v>1</v>
      </c>
      <c r="BW681" s="112">
        <f t="shared" ca="1" si="865"/>
        <v>38961</v>
      </c>
      <c r="BX681" s="112">
        <f t="shared" ref="BX681:BX683" ca="1" si="1144">INDIRECT(CONCATENATE(BS681,BQ681))-1</f>
        <v>39082</v>
      </c>
      <c r="BY681">
        <f t="shared" ca="1" si="935"/>
        <v>18</v>
      </c>
      <c r="BZ681">
        <f t="shared" ca="1" si="936"/>
        <v>24</v>
      </c>
      <c r="CB681">
        <f t="shared" ca="1" si="898"/>
        <v>0</v>
      </c>
      <c r="CC681" s="112">
        <f t="shared" ca="1" si="899"/>
        <v>38961</v>
      </c>
      <c r="CD681" s="112">
        <f t="shared" ca="1" si="900"/>
        <v>39082</v>
      </c>
      <c r="CE681">
        <f t="shared" ca="1" si="901"/>
        <v>18</v>
      </c>
      <c r="CF681">
        <f t="shared" ca="1" si="902"/>
        <v>24</v>
      </c>
      <c r="CH681" s="112">
        <f t="shared" ca="1" si="1012"/>
        <v>39277</v>
      </c>
      <c r="CI681">
        <f t="shared" ref="CI681" ca="1" si="1145">CB681+CB682+CB683+CB684+CB685</f>
        <v>1</v>
      </c>
      <c r="CJ681">
        <v>0</v>
      </c>
      <c r="CK681" s="112">
        <f t="shared" ca="1" si="1021"/>
        <v>39277</v>
      </c>
      <c r="CM681" s="112"/>
      <c r="CN681" s="408">
        <f t="shared" ca="1" si="904"/>
        <v>38961</v>
      </c>
      <c r="CO681" s="326">
        <f t="shared" ref="CO681" ca="1" si="1146">CD681</f>
        <v>39082</v>
      </c>
      <c r="CP681" s="333">
        <f t="shared" ca="1" si="1023"/>
        <v>18</v>
      </c>
      <c r="CQ681" s="327">
        <f t="shared" ca="1" si="1024"/>
        <v>24</v>
      </c>
      <c r="CS681" s="112">
        <f t="shared" ca="1" si="867"/>
        <v>38961</v>
      </c>
      <c r="CT681" s="112">
        <f t="shared" ref="CT681" ca="1" si="1147">IF(AND( CN682=100000,CN683=100000,CN684=100000,CN685=100000),CO685,                             CO681)</f>
        <v>39082</v>
      </c>
      <c r="CU681" s="238">
        <f t="shared" ca="1" si="907"/>
        <v>18</v>
      </c>
      <c r="CV681" s="238">
        <f t="shared" ca="1" si="908"/>
        <v>24</v>
      </c>
      <c r="CY681">
        <f t="shared" si="917"/>
        <v>111</v>
      </c>
      <c r="DA681" s="112">
        <f t="shared" ca="1" si="918"/>
        <v>100000</v>
      </c>
      <c r="DC681">
        <f t="shared" si="919"/>
        <v>681</v>
      </c>
      <c r="DE681" t="str">
        <f t="shared" si="940"/>
        <v>cs681:dc790</v>
      </c>
      <c r="DF681">
        <f t="shared" ca="1" si="909"/>
        <v>682</v>
      </c>
      <c r="DG681" s="412">
        <f t="shared" ca="1" si="1060"/>
        <v>44804</v>
      </c>
      <c r="DH681" s="411" t="str">
        <f t="shared" ca="1" si="1049"/>
        <v/>
      </c>
      <c r="DI681" s="411" t="str">
        <f t="shared" ca="1" si="1050"/>
        <v/>
      </c>
      <c r="DJ681" s="410" t="str">
        <f t="shared" ca="1" si="1051"/>
        <v/>
      </c>
      <c r="DK681" s="410" t="str">
        <f t="shared" ca="1" si="1052"/>
        <v/>
      </c>
      <c r="DM681" s="411" t="str">
        <f t="shared" ca="1" si="1061"/>
        <v/>
      </c>
      <c r="DN681" s="411" t="str">
        <f t="shared" ca="1" si="1062"/>
        <v/>
      </c>
      <c r="DO681" s="410" t="str">
        <f t="shared" ca="1" si="1063"/>
        <v/>
      </c>
      <c r="DP681" s="410" t="str">
        <f t="shared" ca="1" si="1064"/>
        <v/>
      </c>
    </row>
    <row r="682" spans="27:120" x14ac:dyDescent="0.25">
      <c r="AA682" s="284" t="str">
        <f t="shared" ref="AA682:AF682" si="1148">AA131</f>
        <v/>
      </c>
      <c r="AB682" s="284" t="e">
        <f t="shared" ref="AB682:AE682" ca="1" si="1149">IF(OR(AB131&lt;=$AA682,AB131&gt;$AF682),100000,AB131)</f>
        <v>#N/A</v>
      </c>
      <c r="AC682" s="284" t="e">
        <f t="shared" ca="1" si="1149"/>
        <v>#N/A</v>
      </c>
      <c r="AD682" s="284" t="e">
        <f t="shared" ca="1" si="1149"/>
        <v>#N/A</v>
      </c>
      <c r="AE682" s="284" t="e">
        <f t="shared" ca="1" si="1149"/>
        <v>#N/A</v>
      </c>
      <c r="AF682" s="284" t="str">
        <f t="shared" si="1148"/>
        <v/>
      </c>
      <c r="AG682" s="238">
        <f t="shared" si="870"/>
        <v>0</v>
      </c>
      <c r="AH682" s="407">
        <f t="shared" si="871"/>
        <v>24</v>
      </c>
      <c r="AL682" s="112" t="str">
        <f t="shared" si="872"/>
        <v/>
      </c>
      <c r="AM682" s="112" t="e">
        <f t="shared" ca="1" si="873"/>
        <v>#N/A</v>
      </c>
      <c r="AN682" s="112" t="e">
        <f t="shared" ca="1" si="874"/>
        <v>#N/A</v>
      </c>
      <c r="AO682" s="112" t="e">
        <f t="shared" ca="1" si="875"/>
        <v>#N/A</v>
      </c>
      <c r="AP682" s="112" t="e">
        <f t="shared" ca="1" si="876"/>
        <v>#N/A</v>
      </c>
      <c r="AQ682" s="112" t="str">
        <f t="shared" si="877"/>
        <v/>
      </c>
      <c r="AT682" s="112" t="str">
        <f t="shared" si="878"/>
        <v/>
      </c>
      <c r="AU682" s="112" t="e">
        <f t="shared" ca="1" si="879"/>
        <v>#N/A</v>
      </c>
      <c r="AV682" s="112" t="e">
        <f t="shared" ca="1" si="880"/>
        <v>#N/A</v>
      </c>
      <c r="AW682" s="112" t="e">
        <f t="shared" ca="1" si="881"/>
        <v>#N/A</v>
      </c>
      <c r="AX682" s="112" t="e">
        <f t="shared" ca="1" si="882"/>
        <v>#N/A</v>
      </c>
      <c r="AY682" s="112" t="str">
        <f t="shared" si="883"/>
        <v/>
      </c>
      <c r="BA682" s="112" t="str">
        <f t="shared" si="884"/>
        <v/>
      </c>
      <c r="BB682" s="112" t="e">
        <f t="shared" ca="1" si="885"/>
        <v>#N/A</v>
      </c>
      <c r="BC682" s="112" t="e">
        <f t="shared" ca="1" si="886"/>
        <v>#N/A</v>
      </c>
      <c r="BD682" s="112" t="e">
        <f t="shared" ca="1" si="887"/>
        <v>#N/A</v>
      </c>
      <c r="BE682" s="112" t="e">
        <f t="shared" ca="1" si="888"/>
        <v>#N/A</v>
      </c>
      <c r="BF682" s="112" t="str">
        <f t="shared" si="889"/>
        <v/>
      </c>
      <c r="BI682" s="112" t="str">
        <f t="shared" si="890"/>
        <v/>
      </c>
      <c r="BJ682" s="112" t="e">
        <f t="shared" ca="1" si="891"/>
        <v>#N/A</v>
      </c>
      <c r="BK682" s="112" t="e">
        <f t="shared" ca="1" si="892"/>
        <v>#N/A</v>
      </c>
      <c r="BL682" s="112" t="e">
        <f t="shared" ca="1" si="893"/>
        <v>#N/A</v>
      </c>
      <c r="BM682" s="112" t="e">
        <f t="shared" ca="1" si="894"/>
        <v>#N/A</v>
      </c>
      <c r="BN682" s="112" t="str">
        <f t="shared" si="895"/>
        <v/>
      </c>
      <c r="BP682" s="238" t="e">
        <f t="shared" ca="1" si="961"/>
        <v>#N/A</v>
      </c>
      <c r="BQ682" s="238">
        <f t="shared" ref="BQ682:BQ685" si="1150">BQ681</f>
        <v>593</v>
      </c>
      <c r="BR682" t="s">
        <v>445</v>
      </c>
      <c r="BS682" t="s">
        <v>446</v>
      </c>
      <c r="BT682" s="114">
        <f t="shared" ca="1" si="802"/>
        <v>0</v>
      </c>
      <c r="BU682" s="112"/>
      <c r="BV682">
        <f t="shared" ca="1" si="956"/>
        <v>1</v>
      </c>
      <c r="BW682" s="112">
        <f t="shared" ca="1" si="865"/>
        <v>39083</v>
      </c>
      <c r="BX682" s="112">
        <f t="shared" ca="1" si="1144"/>
        <v>39082</v>
      </c>
      <c r="BY682">
        <f t="shared" ca="1" si="935"/>
        <v>18</v>
      </c>
      <c r="BZ682">
        <f t="shared" ca="1" si="936"/>
        <v>24</v>
      </c>
      <c r="CB682">
        <f t="shared" ca="1" si="898"/>
        <v>0</v>
      </c>
      <c r="CC682" s="112">
        <f t="shared" ca="1" si="899"/>
        <v>100000</v>
      </c>
      <c r="CD682" s="112">
        <f t="shared" ca="1" si="900"/>
        <v>39082</v>
      </c>
      <c r="CE682">
        <f t="shared" ca="1" si="901"/>
        <v>18</v>
      </c>
      <c r="CF682">
        <f t="shared" ca="1" si="902"/>
        <v>24</v>
      </c>
      <c r="CH682" s="112">
        <f t="shared" ca="1" si="1012"/>
        <v>39277</v>
      </c>
      <c r="CI682">
        <f t="shared" ref="CI682:CI685" ca="1" si="1151">CI681</f>
        <v>1</v>
      </c>
      <c r="CJ682">
        <f t="shared" ref="CJ682" ca="1" si="1152">IF(AND(CI682=0,CJ683=0,CJ684=0,CJ685=0,CC682&lt;100000),1,0)</f>
        <v>0</v>
      </c>
      <c r="CK682" s="112">
        <f t="shared" ca="1" si="1021"/>
        <v>39277</v>
      </c>
      <c r="CM682" s="112"/>
      <c r="CN682" s="260">
        <f t="shared" ca="1" si="904"/>
        <v>100000</v>
      </c>
      <c r="CO682" s="112">
        <f t="shared" ref="CO682:CO685" ca="1" si="1153">IF(CJ682=1,CH682,CD682)</f>
        <v>39082</v>
      </c>
      <c r="CP682" s="238">
        <f t="shared" ca="1" si="1023"/>
        <v>18</v>
      </c>
      <c r="CQ682" s="328">
        <f t="shared" ca="1" si="1024"/>
        <v>24</v>
      </c>
      <c r="CS682" s="112">
        <f t="shared" ca="1" si="867"/>
        <v>100000</v>
      </c>
      <c r="CT682" s="112">
        <f t="shared" ca="1" si="916"/>
        <v>39082</v>
      </c>
      <c r="CU682" s="238">
        <f t="shared" ca="1" si="907"/>
        <v>18</v>
      </c>
      <c r="CV682" s="238">
        <f t="shared" ca="1" si="908"/>
        <v>24</v>
      </c>
      <c r="CY682">
        <f t="shared" si="917"/>
        <v>112</v>
      </c>
      <c r="DA682" s="112">
        <f t="shared" ca="1" si="918"/>
        <v>100000</v>
      </c>
      <c r="DC682">
        <f t="shared" si="919"/>
        <v>682</v>
      </c>
      <c r="DE682" t="str">
        <f t="shared" si="940"/>
        <v>cs682:dc790</v>
      </c>
      <c r="DF682">
        <f t="shared" ca="1" si="909"/>
        <v>682</v>
      </c>
      <c r="DG682" s="412">
        <f t="shared" ca="1" si="1060"/>
        <v>44804</v>
      </c>
      <c r="DH682" s="411" t="str">
        <f t="shared" ca="1" si="1049"/>
        <v/>
      </c>
      <c r="DI682" s="411" t="str">
        <f t="shared" ca="1" si="1050"/>
        <v/>
      </c>
      <c r="DJ682" s="410" t="str">
        <f t="shared" ca="1" si="1051"/>
        <v/>
      </c>
      <c r="DK682" s="410" t="str">
        <f t="shared" ca="1" si="1052"/>
        <v/>
      </c>
      <c r="DM682" s="411" t="str">
        <f t="shared" ca="1" si="1061"/>
        <v/>
      </c>
      <c r="DN682" s="411" t="str">
        <f t="shared" ca="1" si="1062"/>
        <v/>
      </c>
      <c r="DO682" s="410" t="str">
        <f t="shared" ca="1" si="1063"/>
        <v/>
      </c>
      <c r="DP682" s="410" t="str">
        <f t="shared" ca="1" si="1064"/>
        <v/>
      </c>
    </row>
    <row r="683" spans="27:120" x14ac:dyDescent="0.25">
      <c r="AA683" s="284" t="str">
        <f t="shared" ref="AA683:AF683" si="1154">AA132</f>
        <v/>
      </c>
      <c r="AB683" s="284" t="e">
        <f t="shared" ref="AB683:AE683" ca="1" si="1155">IF(OR(AB132&lt;=$AA683,AB132&gt;$AF683),100000,AB132)</f>
        <v>#N/A</v>
      </c>
      <c r="AC683" s="284" t="e">
        <f t="shared" ca="1" si="1155"/>
        <v>#N/A</v>
      </c>
      <c r="AD683" s="284" t="e">
        <f t="shared" ca="1" si="1155"/>
        <v>#N/A</v>
      </c>
      <c r="AE683" s="284" t="e">
        <f t="shared" ca="1" si="1155"/>
        <v>#N/A</v>
      </c>
      <c r="AF683" s="284" t="str">
        <f t="shared" si="1154"/>
        <v/>
      </c>
      <c r="AG683" s="238">
        <f t="shared" si="870"/>
        <v>0</v>
      </c>
      <c r="AH683" s="407">
        <f t="shared" si="871"/>
        <v>24</v>
      </c>
      <c r="AL683" s="112" t="str">
        <f t="shared" si="872"/>
        <v/>
      </c>
      <c r="AM683" s="112" t="e">
        <f t="shared" ca="1" si="873"/>
        <v>#N/A</v>
      </c>
      <c r="AN683" s="112" t="e">
        <f t="shared" ca="1" si="874"/>
        <v>#N/A</v>
      </c>
      <c r="AO683" s="112" t="e">
        <f t="shared" ca="1" si="875"/>
        <v>#N/A</v>
      </c>
      <c r="AP683" s="112" t="e">
        <f t="shared" ca="1" si="876"/>
        <v>#N/A</v>
      </c>
      <c r="AQ683" s="112" t="str">
        <f t="shared" si="877"/>
        <v/>
      </c>
      <c r="AT683" s="112" t="str">
        <f t="shared" si="878"/>
        <v/>
      </c>
      <c r="AU683" s="112" t="e">
        <f t="shared" ca="1" si="879"/>
        <v>#N/A</v>
      </c>
      <c r="AV683" s="112" t="e">
        <f t="shared" ca="1" si="880"/>
        <v>#N/A</v>
      </c>
      <c r="AW683" s="112" t="e">
        <f t="shared" ca="1" si="881"/>
        <v>#N/A</v>
      </c>
      <c r="AX683" s="112" t="e">
        <f t="shared" ca="1" si="882"/>
        <v>#N/A</v>
      </c>
      <c r="AY683" s="112" t="str">
        <f t="shared" si="883"/>
        <v/>
      </c>
      <c r="BA683" s="112" t="str">
        <f t="shared" si="884"/>
        <v/>
      </c>
      <c r="BB683" s="112" t="e">
        <f t="shared" ca="1" si="885"/>
        <v>#N/A</v>
      </c>
      <c r="BC683" s="112" t="e">
        <f t="shared" ca="1" si="886"/>
        <v>#N/A</v>
      </c>
      <c r="BD683" s="112" t="e">
        <f t="shared" ca="1" si="887"/>
        <v>#N/A</v>
      </c>
      <c r="BE683" s="112" t="e">
        <f t="shared" ca="1" si="888"/>
        <v>#N/A</v>
      </c>
      <c r="BF683" s="112" t="str">
        <f t="shared" si="889"/>
        <v/>
      </c>
      <c r="BI683" s="112" t="str">
        <f t="shared" si="890"/>
        <v/>
      </c>
      <c r="BJ683" s="112" t="e">
        <f t="shared" ca="1" si="891"/>
        <v>#N/A</v>
      </c>
      <c r="BK683" s="112" t="e">
        <f t="shared" ca="1" si="892"/>
        <v>#N/A</v>
      </c>
      <c r="BL683" s="112" t="e">
        <f t="shared" ca="1" si="893"/>
        <v>#N/A</v>
      </c>
      <c r="BM683" s="112" t="e">
        <f t="shared" ca="1" si="894"/>
        <v>#N/A</v>
      </c>
      <c r="BN683" s="112" t="str">
        <f t="shared" si="895"/>
        <v/>
      </c>
      <c r="BP683" s="238" t="e">
        <f t="shared" ca="1" si="961"/>
        <v>#N/A</v>
      </c>
      <c r="BQ683" s="238">
        <f t="shared" si="1150"/>
        <v>593</v>
      </c>
      <c r="BR683" t="s">
        <v>446</v>
      </c>
      <c r="BS683" t="s">
        <v>447</v>
      </c>
      <c r="BT683" s="114">
        <f t="shared" ca="1" si="802"/>
        <v>0</v>
      </c>
      <c r="BU683" s="112"/>
      <c r="BV683">
        <f t="shared" ca="1" si="956"/>
        <v>1</v>
      </c>
      <c r="BW683" s="112">
        <f t="shared" ca="1" si="865"/>
        <v>39083</v>
      </c>
      <c r="BX683" s="112">
        <f t="shared" ca="1" si="1144"/>
        <v>39113</v>
      </c>
      <c r="BY683">
        <f t="shared" ca="1" si="935"/>
        <v>18</v>
      </c>
      <c r="BZ683">
        <f t="shared" ca="1" si="936"/>
        <v>24</v>
      </c>
      <c r="CB683">
        <f t="shared" ca="1" si="898"/>
        <v>0</v>
      </c>
      <c r="CC683" s="112">
        <f t="shared" ca="1" si="899"/>
        <v>39083</v>
      </c>
      <c r="CD683" s="112">
        <f t="shared" ca="1" si="900"/>
        <v>39113</v>
      </c>
      <c r="CE683">
        <f t="shared" ca="1" si="901"/>
        <v>18</v>
      </c>
      <c r="CF683">
        <f t="shared" ca="1" si="902"/>
        <v>24</v>
      </c>
      <c r="CH683" s="112">
        <f t="shared" ca="1" si="1012"/>
        <v>39277</v>
      </c>
      <c r="CI683">
        <f t="shared" ca="1" si="1151"/>
        <v>1</v>
      </c>
      <c r="CJ683">
        <f t="shared" ref="CJ683" ca="1" si="1156">IF(AND(CI683=0,CJ684=0,CJ685=0,CC683&lt;100000),1,0)</f>
        <v>0</v>
      </c>
      <c r="CK683" s="112">
        <f t="shared" ca="1" si="1021"/>
        <v>39277</v>
      </c>
      <c r="CM683" s="112"/>
      <c r="CN683" s="260">
        <f t="shared" ca="1" si="904"/>
        <v>39083</v>
      </c>
      <c r="CO683" s="112">
        <f t="shared" ca="1" si="1153"/>
        <v>39113</v>
      </c>
      <c r="CP683" s="238">
        <f t="shared" ca="1" si="1023"/>
        <v>18</v>
      </c>
      <c r="CQ683" s="328">
        <f t="shared" ca="1" si="1024"/>
        <v>24</v>
      </c>
      <c r="CS683" s="112">
        <f t="shared" ca="1" si="867"/>
        <v>39083</v>
      </c>
      <c r="CT683" s="112">
        <f t="shared" ca="1" si="916"/>
        <v>39113</v>
      </c>
      <c r="CU683" s="238">
        <f t="shared" ca="1" si="907"/>
        <v>18</v>
      </c>
      <c r="CV683" s="238">
        <f t="shared" ca="1" si="908"/>
        <v>24</v>
      </c>
      <c r="CY683">
        <f t="shared" si="917"/>
        <v>113</v>
      </c>
      <c r="DA683" s="112">
        <f t="shared" ca="1" si="918"/>
        <v>100000</v>
      </c>
      <c r="DC683">
        <f t="shared" si="919"/>
        <v>683</v>
      </c>
      <c r="DE683" t="str">
        <f t="shared" si="940"/>
        <v>cs683:dc790</v>
      </c>
      <c r="DF683">
        <f t="shared" ca="1" si="909"/>
        <v>687</v>
      </c>
      <c r="DG683" s="412">
        <f t="shared" ca="1" si="1060"/>
        <v>44804</v>
      </c>
      <c r="DH683" s="411" t="str">
        <f t="shared" ca="1" si="1049"/>
        <v/>
      </c>
      <c r="DI683" s="411" t="str">
        <f t="shared" ca="1" si="1050"/>
        <v/>
      </c>
      <c r="DJ683" s="410" t="str">
        <f t="shared" ca="1" si="1051"/>
        <v/>
      </c>
      <c r="DK683" s="410" t="str">
        <f t="shared" ca="1" si="1052"/>
        <v/>
      </c>
      <c r="DM683" s="411" t="str">
        <f t="shared" ca="1" si="1061"/>
        <v/>
      </c>
      <c r="DN683" s="411" t="str">
        <f t="shared" ca="1" si="1062"/>
        <v/>
      </c>
      <c r="DO683" s="410" t="str">
        <f t="shared" ca="1" si="1063"/>
        <v/>
      </c>
      <c r="DP683" s="410" t="str">
        <f t="shared" ca="1" si="1064"/>
        <v/>
      </c>
    </row>
    <row r="684" spans="27:120" x14ac:dyDescent="0.25">
      <c r="AA684" s="284" t="str">
        <f t="shared" ref="AA684:AF684" si="1157">AA133</f>
        <v/>
      </c>
      <c r="AB684" s="284" t="e">
        <f t="shared" ref="AB684:AE684" ca="1" si="1158">IF(OR(AB133&lt;=$AA684,AB133&gt;$AF684),100000,AB133)</f>
        <v>#N/A</v>
      </c>
      <c r="AC684" s="284" t="e">
        <f t="shared" ca="1" si="1158"/>
        <v>#N/A</v>
      </c>
      <c r="AD684" s="284" t="e">
        <f t="shared" ca="1" si="1158"/>
        <v>#N/A</v>
      </c>
      <c r="AE684" s="284" t="e">
        <f t="shared" ca="1" si="1158"/>
        <v>#N/A</v>
      </c>
      <c r="AF684" s="284" t="str">
        <f t="shared" si="1157"/>
        <v/>
      </c>
      <c r="AG684" s="238">
        <f t="shared" si="870"/>
        <v>0</v>
      </c>
      <c r="AH684" s="407">
        <f t="shared" si="871"/>
        <v>24</v>
      </c>
      <c r="AL684" s="112" t="str">
        <f t="shared" si="872"/>
        <v/>
      </c>
      <c r="AM684" s="112" t="e">
        <f t="shared" ca="1" si="873"/>
        <v>#N/A</v>
      </c>
      <c r="AN684" s="112" t="e">
        <f t="shared" ca="1" si="874"/>
        <v>#N/A</v>
      </c>
      <c r="AO684" s="112" t="e">
        <f t="shared" ca="1" si="875"/>
        <v>#N/A</v>
      </c>
      <c r="AP684" s="112" t="e">
        <f t="shared" ca="1" si="876"/>
        <v>#N/A</v>
      </c>
      <c r="AQ684" s="112" t="str">
        <f t="shared" si="877"/>
        <v/>
      </c>
      <c r="AT684" s="112" t="str">
        <f t="shared" si="878"/>
        <v/>
      </c>
      <c r="AU684" s="112" t="e">
        <f t="shared" ca="1" si="879"/>
        <v>#N/A</v>
      </c>
      <c r="AV684" s="112" t="e">
        <f t="shared" ca="1" si="880"/>
        <v>#N/A</v>
      </c>
      <c r="AW684" s="112" t="e">
        <f t="shared" ca="1" si="881"/>
        <v>#N/A</v>
      </c>
      <c r="AX684" s="112" t="e">
        <f t="shared" ca="1" si="882"/>
        <v>#N/A</v>
      </c>
      <c r="AY684" s="112" t="str">
        <f t="shared" si="883"/>
        <v/>
      </c>
      <c r="BA684" s="112" t="str">
        <f t="shared" si="884"/>
        <v/>
      </c>
      <c r="BB684" s="112" t="e">
        <f t="shared" ca="1" si="885"/>
        <v>#N/A</v>
      </c>
      <c r="BC684" s="112" t="e">
        <f t="shared" ca="1" si="886"/>
        <v>#N/A</v>
      </c>
      <c r="BD684" s="112" t="e">
        <f t="shared" ca="1" si="887"/>
        <v>#N/A</v>
      </c>
      <c r="BE684" s="112" t="e">
        <f t="shared" ca="1" si="888"/>
        <v>#N/A</v>
      </c>
      <c r="BF684" s="112" t="str">
        <f t="shared" si="889"/>
        <v/>
      </c>
      <c r="BI684" s="112" t="str">
        <f t="shared" si="890"/>
        <v/>
      </c>
      <c r="BJ684" s="112" t="e">
        <f t="shared" ca="1" si="891"/>
        <v>#N/A</v>
      </c>
      <c r="BK684" s="112" t="e">
        <f t="shared" ca="1" si="892"/>
        <v>#N/A</v>
      </c>
      <c r="BL684" s="112" t="e">
        <f t="shared" ca="1" si="893"/>
        <v>#N/A</v>
      </c>
      <c r="BM684" s="112" t="e">
        <f t="shared" ca="1" si="894"/>
        <v>#N/A</v>
      </c>
      <c r="BN684" s="112" t="str">
        <f t="shared" si="895"/>
        <v/>
      </c>
      <c r="BP684" s="238" t="e">
        <f t="shared" ca="1" si="961"/>
        <v>#N/A</v>
      </c>
      <c r="BQ684" s="238">
        <f t="shared" si="1150"/>
        <v>593</v>
      </c>
      <c r="BR684" t="s">
        <v>447</v>
      </c>
      <c r="BS684" t="s">
        <v>448</v>
      </c>
      <c r="BT684" s="114">
        <f t="shared" ca="1" si="802"/>
        <v>0</v>
      </c>
      <c r="BU684" s="112"/>
      <c r="BV684">
        <f t="shared" ca="1" si="956"/>
        <v>1</v>
      </c>
      <c r="BW684" s="112">
        <f t="shared" ca="1" si="865"/>
        <v>39114</v>
      </c>
      <c r="BX684" s="112">
        <f t="shared" ref="BX684:BX685" ca="1" si="1159">INDIRECT(CONCATENATE(BS684,BQ684))</f>
        <v>39264</v>
      </c>
      <c r="BY684">
        <f t="shared" ca="1" si="935"/>
        <v>18</v>
      </c>
      <c r="BZ684">
        <f t="shared" ca="1" si="936"/>
        <v>24</v>
      </c>
      <c r="CB684">
        <f t="shared" ca="1" si="898"/>
        <v>0</v>
      </c>
      <c r="CC684" s="112">
        <f t="shared" ca="1" si="899"/>
        <v>39114</v>
      </c>
      <c r="CD684" s="112">
        <f t="shared" ca="1" si="900"/>
        <v>39264</v>
      </c>
      <c r="CE684">
        <f t="shared" ca="1" si="901"/>
        <v>18</v>
      </c>
      <c r="CF684">
        <f t="shared" ca="1" si="902"/>
        <v>24</v>
      </c>
      <c r="CH684" s="112">
        <f t="shared" ca="1" si="1012"/>
        <v>39277</v>
      </c>
      <c r="CI684">
        <f t="shared" ca="1" si="1151"/>
        <v>1</v>
      </c>
      <c r="CJ684">
        <f t="shared" ref="CJ684" ca="1" si="1160">IF(AND(CI684=0,CJ685=0,CC684&lt;100000),1,0)</f>
        <v>0</v>
      </c>
      <c r="CK684" s="112">
        <f t="shared" ca="1" si="1021"/>
        <v>39277</v>
      </c>
      <c r="CM684" s="112"/>
      <c r="CN684" s="260">
        <f t="shared" ca="1" si="904"/>
        <v>39114</v>
      </c>
      <c r="CO684" s="112">
        <f t="shared" ca="1" si="1153"/>
        <v>39264</v>
      </c>
      <c r="CP684" s="238">
        <f t="shared" ca="1" si="1023"/>
        <v>18</v>
      </c>
      <c r="CQ684" s="328">
        <f t="shared" ca="1" si="1024"/>
        <v>24</v>
      </c>
      <c r="CS684" s="112">
        <f t="shared" ca="1" si="867"/>
        <v>39114</v>
      </c>
      <c r="CT684" s="112">
        <f t="shared" ca="1" si="916"/>
        <v>39264</v>
      </c>
      <c r="CU684" s="238">
        <f t="shared" ca="1" si="907"/>
        <v>18</v>
      </c>
      <c r="CV684" s="238">
        <f t="shared" ca="1" si="908"/>
        <v>24</v>
      </c>
      <c r="CY684">
        <f t="shared" si="917"/>
        <v>114</v>
      </c>
      <c r="DA684" s="112">
        <f t="shared" ca="1" si="918"/>
        <v>100000</v>
      </c>
      <c r="DC684">
        <f t="shared" si="919"/>
        <v>684</v>
      </c>
      <c r="DE684" t="str">
        <f t="shared" si="940"/>
        <v>cs684:dc790</v>
      </c>
      <c r="DF684">
        <f t="shared" ca="1" si="909"/>
        <v>687</v>
      </c>
      <c r="DG684" s="412">
        <f t="shared" ca="1" si="1060"/>
        <v>44804</v>
      </c>
      <c r="DH684" s="411" t="str">
        <f t="shared" ca="1" si="1049"/>
        <v/>
      </c>
      <c r="DI684" s="411" t="str">
        <f t="shared" ca="1" si="1050"/>
        <v/>
      </c>
      <c r="DJ684" s="410" t="str">
        <f t="shared" ca="1" si="1051"/>
        <v/>
      </c>
      <c r="DK684" s="410" t="str">
        <f t="shared" ca="1" si="1052"/>
        <v/>
      </c>
      <c r="DM684" s="411" t="str">
        <f t="shared" ca="1" si="1061"/>
        <v/>
      </c>
      <c r="DN684" s="411" t="str">
        <f t="shared" ca="1" si="1062"/>
        <v/>
      </c>
      <c r="DO684" s="410" t="str">
        <f t="shared" ca="1" si="1063"/>
        <v/>
      </c>
      <c r="DP684" s="410" t="str">
        <f t="shared" ca="1" si="1064"/>
        <v/>
      </c>
    </row>
    <row r="685" spans="27:120" ht="15.75" thickBot="1" x14ac:dyDescent="0.3">
      <c r="AA685" s="284">
        <f t="shared" ref="AA685:AF685" si="1161">AA134</f>
        <v>0</v>
      </c>
      <c r="AB685" s="284">
        <f t="shared" ref="AB685:AE685" si="1162">IF(OR(AB134&lt;=$AA685,AB134&gt;$AF685),100000,AB134)</f>
        <v>100000</v>
      </c>
      <c r="AC685" s="284">
        <f t="shared" si="1162"/>
        <v>100000</v>
      </c>
      <c r="AD685" s="284">
        <f t="shared" si="1162"/>
        <v>100000</v>
      </c>
      <c r="AE685" s="284">
        <f t="shared" si="1162"/>
        <v>100000</v>
      </c>
      <c r="AF685" s="284">
        <f t="shared" si="1161"/>
        <v>0</v>
      </c>
      <c r="AG685" s="238">
        <f t="shared" si="870"/>
        <v>0</v>
      </c>
      <c r="AH685" s="407">
        <f t="shared" si="871"/>
        <v>24</v>
      </c>
      <c r="AL685" s="112">
        <f t="shared" si="872"/>
        <v>0</v>
      </c>
      <c r="AM685" s="112">
        <f t="shared" si="873"/>
        <v>100000</v>
      </c>
      <c r="AN685" s="112">
        <f t="shared" si="874"/>
        <v>100000</v>
      </c>
      <c r="AO685" s="112">
        <f t="shared" si="875"/>
        <v>100000</v>
      </c>
      <c r="AP685" s="112">
        <f t="shared" si="876"/>
        <v>0</v>
      </c>
      <c r="AQ685" s="112">
        <f t="shared" si="877"/>
        <v>0</v>
      </c>
      <c r="AT685" s="112">
        <f t="shared" si="878"/>
        <v>0</v>
      </c>
      <c r="AU685" s="112">
        <f t="shared" si="879"/>
        <v>100000</v>
      </c>
      <c r="AV685" s="112">
        <f t="shared" si="880"/>
        <v>100000</v>
      </c>
      <c r="AW685" s="112">
        <f t="shared" si="881"/>
        <v>0</v>
      </c>
      <c r="AX685" s="112">
        <f t="shared" si="882"/>
        <v>0</v>
      </c>
      <c r="AY685" s="112">
        <f t="shared" si="883"/>
        <v>0</v>
      </c>
      <c r="BA685" s="112">
        <f t="shared" si="884"/>
        <v>0</v>
      </c>
      <c r="BB685" s="112">
        <f t="shared" si="885"/>
        <v>100000</v>
      </c>
      <c r="BC685" s="112">
        <f t="shared" si="886"/>
        <v>0</v>
      </c>
      <c r="BD685" s="112">
        <f t="shared" si="887"/>
        <v>0</v>
      </c>
      <c r="BE685" s="112">
        <f t="shared" si="888"/>
        <v>0</v>
      </c>
      <c r="BF685" s="112">
        <f t="shared" si="889"/>
        <v>0</v>
      </c>
      <c r="BI685" s="112">
        <f t="shared" si="890"/>
        <v>0</v>
      </c>
      <c r="BJ685" s="112">
        <f t="shared" si="891"/>
        <v>0</v>
      </c>
      <c r="BK685" s="112">
        <f t="shared" si="892"/>
        <v>0</v>
      </c>
      <c r="BL685" s="112">
        <f t="shared" si="893"/>
        <v>0</v>
      </c>
      <c r="BM685" s="112">
        <f t="shared" si="894"/>
        <v>0</v>
      </c>
      <c r="BN685" s="112">
        <f t="shared" si="895"/>
        <v>0</v>
      </c>
      <c r="BP685" s="238">
        <f t="shared" si="961"/>
        <v>1</v>
      </c>
      <c r="BQ685" s="238">
        <f t="shared" si="1150"/>
        <v>593</v>
      </c>
      <c r="BR685" t="s">
        <v>448</v>
      </c>
      <c r="BS685" t="s">
        <v>449</v>
      </c>
      <c r="BT685" s="114">
        <f t="shared" ca="1" si="802"/>
        <v>0</v>
      </c>
      <c r="BU685" s="112"/>
      <c r="BV685">
        <f t="shared" ca="1" si="956"/>
        <v>1</v>
      </c>
      <c r="BW685" s="112">
        <f t="shared" ca="1" si="865"/>
        <v>39264</v>
      </c>
      <c r="BX685" s="112">
        <f t="shared" ca="1" si="1159"/>
        <v>39277</v>
      </c>
      <c r="BY685">
        <f t="shared" ca="1" si="935"/>
        <v>18</v>
      </c>
      <c r="BZ685">
        <f t="shared" ca="1" si="936"/>
        <v>24</v>
      </c>
      <c r="CB685">
        <f t="shared" ca="1" si="898"/>
        <v>1</v>
      </c>
      <c r="CC685" s="112">
        <f t="shared" ca="1" si="899"/>
        <v>39264</v>
      </c>
      <c r="CD685" s="112">
        <f t="shared" ca="1" si="900"/>
        <v>39277</v>
      </c>
      <c r="CE685">
        <f t="shared" ca="1" si="901"/>
        <v>18</v>
      </c>
      <c r="CF685">
        <f t="shared" ca="1" si="902"/>
        <v>24</v>
      </c>
      <c r="CH685" s="112">
        <f t="shared" ca="1" si="1012"/>
        <v>39277</v>
      </c>
      <c r="CI685">
        <f t="shared" ca="1" si="1151"/>
        <v>1</v>
      </c>
      <c r="CJ685">
        <f t="shared" ref="CJ685" ca="1" si="1163">IF(AND(CI685=0,CC685&lt;100000),1,0)</f>
        <v>0</v>
      </c>
      <c r="CK685" s="112">
        <f t="shared" ca="1" si="1021"/>
        <v>39277</v>
      </c>
      <c r="CM685" s="112"/>
      <c r="CN685" s="261">
        <f t="shared" ref="CN685" ca="1" si="1164">IF(AND(CN681=100000,CN682=100000,CN683=100000,CN684=100000),INDIRECT(CONCATENATE("aa",BQ685)),CC685)</f>
        <v>39264</v>
      </c>
      <c r="CO685" s="324">
        <f t="shared" ca="1" si="1153"/>
        <v>39277</v>
      </c>
      <c r="CP685" s="256">
        <f t="shared" ca="1" si="1023"/>
        <v>18</v>
      </c>
      <c r="CQ685" s="329">
        <f t="shared" ca="1" si="1024"/>
        <v>24</v>
      </c>
      <c r="CS685" s="112">
        <f t="shared" ca="1" si="867"/>
        <v>39264</v>
      </c>
      <c r="CT685" s="112">
        <f t="shared" ca="1" si="916"/>
        <v>39277</v>
      </c>
      <c r="CU685" s="238">
        <f t="shared" ca="1" si="907"/>
        <v>18</v>
      </c>
      <c r="CV685" s="238">
        <f t="shared" ca="1" si="908"/>
        <v>24</v>
      </c>
      <c r="CY685">
        <f t="shared" si="917"/>
        <v>115</v>
      </c>
      <c r="DA685" s="112">
        <f t="shared" ca="1" si="918"/>
        <v>100000</v>
      </c>
      <c r="DC685">
        <f t="shared" si="919"/>
        <v>685</v>
      </c>
      <c r="DE685" t="str">
        <f t="shared" si="940"/>
        <v>cs685:dc790</v>
      </c>
      <c r="DF685">
        <f t="shared" ca="1" si="909"/>
        <v>687</v>
      </c>
      <c r="DG685" s="412">
        <f t="shared" ca="1" si="1060"/>
        <v>44804</v>
      </c>
      <c r="DH685" s="411" t="str">
        <f t="shared" ca="1" si="1049"/>
        <v/>
      </c>
      <c r="DI685" s="411" t="str">
        <f t="shared" ca="1" si="1050"/>
        <v/>
      </c>
      <c r="DJ685" s="410" t="str">
        <f t="shared" ca="1" si="1051"/>
        <v/>
      </c>
      <c r="DK685" s="410" t="str">
        <f t="shared" ca="1" si="1052"/>
        <v/>
      </c>
      <c r="DM685" s="411" t="str">
        <f t="shared" ca="1" si="1061"/>
        <v/>
      </c>
      <c r="DN685" s="411" t="str">
        <f t="shared" ca="1" si="1062"/>
        <v/>
      </c>
      <c r="DO685" s="410" t="str">
        <f t="shared" ca="1" si="1063"/>
        <v/>
      </c>
      <c r="DP685" s="410" t="str">
        <f t="shared" ca="1" si="1064"/>
        <v/>
      </c>
    </row>
    <row r="686" spans="27:120" x14ac:dyDescent="0.25">
      <c r="AA686" s="284">
        <f t="shared" ref="AA686:AF686" si="1165">AA135</f>
        <v>0</v>
      </c>
      <c r="AB686" s="284">
        <f t="shared" ref="AB686:AE686" si="1166">IF(OR(AB135&lt;=$AA686,AB135&gt;$AF686),100000,AB135)</f>
        <v>100000</v>
      </c>
      <c r="AC686" s="284">
        <f t="shared" si="1166"/>
        <v>100000</v>
      </c>
      <c r="AD686" s="284">
        <f t="shared" si="1166"/>
        <v>100000</v>
      </c>
      <c r="AE686" s="284">
        <f t="shared" si="1166"/>
        <v>100000</v>
      </c>
      <c r="AF686" s="284">
        <f t="shared" si="1165"/>
        <v>0</v>
      </c>
      <c r="AG686" s="238">
        <f t="shared" si="870"/>
        <v>0</v>
      </c>
      <c r="AH686" s="407">
        <f t="shared" si="871"/>
        <v>24</v>
      </c>
      <c r="AL686" s="112">
        <f t="shared" si="872"/>
        <v>0</v>
      </c>
      <c r="AM686" s="112">
        <f t="shared" si="873"/>
        <v>100000</v>
      </c>
      <c r="AN686" s="112">
        <f t="shared" si="874"/>
        <v>100000</v>
      </c>
      <c r="AO686" s="112">
        <f t="shared" si="875"/>
        <v>100000</v>
      </c>
      <c r="AP686" s="112">
        <f t="shared" si="876"/>
        <v>0</v>
      </c>
      <c r="AQ686" s="112">
        <f t="shared" si="877"/>
        <v>0</v>
      </c>
      <c r="AT686" s="112">
        <f t="shared" si="878"/>
        <v>0</v>
      </c>
      <c r="AU686" s="112">
        <f t="shared" si="879"/>
        <v>100000</v>
      </c>
      <c r="AV686" s="112">
        <f t="shared" si="880"/>
        <v>100000</v>
      </c>
      <c r="AW686" s="112">
        <f t="shared" si="881"/>
        <v>0</v>
      </c>
      <c r="AX686" s="112">
        <f t="shared" si="882"/>
        <v>0</v>
      </c>
      <c r="AY686" s="112">
        <f t="shared" si="883"/>
        <v>0</v>
      </c>
      <c r="BA686" s="112">
        <f t="shared" si="884"/>
        <v>0</v>
      </c>
      <c r="BB686" s="112">
        <f t="shared" si="885"/>
        <v>100000</v>
      </c>
      <c r="BC686" s="112">
        <f t="shared" si="886"/>
        <v>0</v>
      </c>
      <c r="BD686" s="112">
        <f t="shared" si="887"/>
        <v>0</v>
      </c>
      <c r="BE686" s="112">
        <f t="shared" si="888"/>
        <v>0</v>
      </c>
      <c r="BF686" s="112">
        <f t="shared" si="889"/>
        <v>0</v>
      </c>
      <c r="BI686" s="112">
        <f t="shared" si="890"/>
        <v>0</v>
      </c>
      <c r="BJ686" s="112">
        <f t="shared" si="891"/>
        <v>0</v>
      </c>
      <c r="BK686" s="112">
        <f t="shared" si="892"/>
        <v>0</v>
      </c>
      <c r="BL686" s="112">
        <f t="shared" si="893"/>
        <v>0</v>
      </c>
      <c r="BM686" s="112">
        <f t="shared" si="894"/>
        <v>0</v>
      </c>
      <c r="BN686" s="112">
        <f t="shared" si="895"/>
        <v>0</v>
      </c>
      <c r="BP686" s="238">
        <f t="shared" si="961"/>
        <v>1</v>
      </c>
      <c r="BQ686" s="238">
        <f t="shared" ref="BQ686" si="1167">BQ685+1</f>
        <v>594</v>
      </c>
      <c r="BR686" s="112" t="s">
        <v>444</v>
      </c>
      <c r="BS686" s="112" t="s">
        <v>445</v>
      </c>
      <c r="BT686" s="114">
        <f t="shared" ref="BT686:BT749" ca="1" si="1168">INDIRECT(CONCATENATE("bp",BQ686))</f>
        <v>0</v>
      </c>
      <c r="BU686" s="112"/>
      <c r="BV686">
        <f t="shared" ca="1" si="956"/>
        <v>1</v>
      </c>
      <c r="BW686" s="112">
        <f t="shared" ca="1" si="865"/>
        <v>39338</v>
      </c>
      <c r="BX686" s="112">
        <f t="shared" ref="BX686:BX688" ca="1" si="1169">INDIRECT(CONCATENATE(BS686,BQ686))-1</f>
        <v>39446</v>
      </c>
      <c r="BY686">
        <f t="shared" ca="1" si="935"/>
        <v>18</v>
      </c>
      <c r="BZ686">
        <f t="shared" ca="1" si="936"/>
        <v>24</v>
      </c>
      <c r="CB686">
        <f t="shared" ca="1" si="898"/>
        <v>0</v>
      </c>
      <c r="CC686" s="112">
        <f t="shared" ca="1" si="899"/>
        <v>39338</v>
      </c>
      <c r="CD686" s="112">
        <f t="shared" ca="1" si="900"/>
        <v>39446</v>
      </c>
      <c r="CE686">
        <f t="shared" ca="1" si="901"/>
        <v>18</v>
      </c>
      <c r="CF686">
        <f t="shared" ca="1" si="902"/>
        <v>24</v>
      </c>
      <c r="CH686" s="112">
        <f t="shared" ca="1" si="1012"/>
        <v>39629</v>
      </c>
      <c r="CI686">
        <f t="shared" ref="CI686" ca="1" si="1170">CB686+CB687+CB688+CB689+CB690</f>
        <v>1</v>
      </c>
      <c r="CJ686">
        <v>0</v>
      </c>
      <c r="CK686" s="112">
        <f t="shared" ca="1" si="1021"/>
        <v>39629</v>
      </c>
      <c r="CM686" s="112"/>
      <c r="CN686" s="408">
        <f t="shared" ca="1" si="904"/>
        <v>39338</v>
      </c>
      <c r="CO686" s="326">
        <f t="shared" ref="CO686" ca="1" si="1171">CD686</f>
        <v>39446</v>
      </c>
      <c r="CP686" s="333">
        <f t="shared" ca="1" si="1023"/>
        <v>18</v>
      </c>
      <c r="CQ686" s="327">
        <f t="shared" ca="1" si="1024"/>
        <v>24</v>
      </c>
      <c r="CS686" s="112">
        <f t="shared" ca="1" si="867"/>
        <v>39338</v>
      </c>
      <c r="CT686" s="112">
        <f t="shared" ref="CT686" ca="1" si="1172">IF(AND( CN687=100000,CN688=100000,CN689=100000,CN690=100000),CO690,                             CO686)</f>
        <v>39446</v>
      </c>
      <c r="CU686" s="238">
        <f t="shared" ca="1" si="907"/>
        <v>18</v>
      </c>
      <c r="CV686" s="238">
        <f t="shared" ca="1" si="908"/>
        <v>24</v>
      </c>
      <c r="CY686">
        <f t="shared" si="917"/>
        <v>116</v>
      </c>
      <c r="DA686" s="112">
        <f t="shared" ca="1" si="918"/>
        <v>100000</v>
      </c>
      <c r="DC686">
        <f t="shared" si="919"/>
        <v>686</v>
      </c>
      <c r="DE686" t="str">
        <f t="shared" si="940"/>
        <v>cs686:dc790</v>
      </c>
      <c r="DF686">
        <f t="shared" ca="1" si="909"/>
        <v>687</v>
      </c>
      <c r="DG686" s="412">
        <f t="shared" ca="1" si="1060"/>
        <v>44804</v>
      </c>
      <c r="DH686" s="411" t="str">
        <f t="shared" ca="1" si="1049"/>
        <v/>
      </c>
      <c r="DI686" s="411" t="str">
        <f t="shared" ca="1" si="1050"/>
        <v/>
      </c>
      <c r="DJ686" s="410" t="str">
        <f t="shared" ca="1" si="1051"/>
        <v/>
      </c>
      <c r="DK686" s="410" t="str">
        <f t="shared" ca="1" si="1052"/>
        <v/>
      </c>
      <c r="DM686" s="411" t="str">
        <f t="shared" ca="1" si="1061"/>
        <v/>
      </c>
      <c r="DN686" s="411" t="str">
        <f t="shared" ca="1" si="1062"/>
        <v/>
      </c>
      <c r="DO686" s="410" t="str">
        <f t="shared" ca="1" si="1063"/>
        <v/>
      </c>
      <c r="DP686" s="410" t="str">
        <f t="shared" ca="1" si="1064"/>
        <v/>
      </c>
    </row>
    <row r="687" spans="27:120" x14ac:dyDescent="0.25">
      <c r="AA687" s="284">
        <f t="shared" ref="AA687:AF687" si="1173">AA136</f>
        <v>0</v>
      </c>
      <c r="AB687" s="284">
        <f t="shared" ref="AB687:AE687" si="1174">IF(OR(AB136&lt;=$AA687,AB136&gt;$AF687),100000,AB136)</f>
        <v>100000</v>
      </c>
      <c r="AC687" s="284">
        <f t="shared" si="1174"/>
        <v>100000</v>
      </c>
      <c r="AD687" s="284">
        <f t="shared" si="1174"/>
        <v>100000</v>
      </c>
      <c r="AE687" s="284">
        <f t="shared" si="1174"/>
        <v>100000</v>
      </c>
      <c r="AF687" s="284">
        <f t="shared" si="1173"/>
        <v>0</v>
      </c>
      <c r="AG687" s="238">
        <f t="shared" si="870"/>
        <v>0</v>
      </c>
      <c r="AH687" s="407">
        <f t="shared" si="871"/>
        <v>24</v>
      </c>
      <c r="AL687" s="112">
        <f t="shared" si="872"/>
        <v>0</v>
      </c>
      <c r="AM687" s="112">
        <f t="shared" si="873"/>
        <v>100000</v>
      </c>
      <c r="AN687" s="112">
        <f t="shared" si="874"/>
        <v>100000</v>
      </c>
      <c r="AO687" s="112">
        <f t="shared" si="875"/>
        <v>100000</v>
      </c>
      <c r="AP687" s="112">
        <f t="shared" si="876"/>
        <v>0</v>
      </c>
      <c r="AQ687" s="112">
        <f t="shared" si="877"/>
        <v>0</v>
      </c>
      <c r="AT687" s="112">
        <f t="shared" si="878"/>
        <v>0</v>
      </c>
      <c r="AU687" s="112">
        <f t="shared" si="879"/>
        <v>100000</v>
      </c>
      <c r="AV687" s="112">
        <f t="shared" si="880"/>
        <v>100000</v>
      </c>
      <c r="AW687" s="112">
        <f t="shared" si="881"/>
        <v>0</v>
      </c>
      <c r="AX687" s="112">
        <f t="shared" si="882"/>
        <v>0</v>
      </c>
      <c r="AY687" s="112">
        <f t="shared" si="883"/>
        <v>0</v>
      </c>
      <c r="BA687" s="112">
        <f t="shared" si="884"/>
        <v>0</v>
      </c>
      <c r="BB687" s="112">
        <f t="shared" si="885"/>
        <v>100000</v>
      </c>
      <c r="BC687" s="112">
        <f t="shared" si="886"/>
        <v>0</v>
      </c>
      <c r="BD687" s="112">
        <f t="shared" si="887"/>
        <v>0</v>
      </c>
      <c r="BE687" s="112">
        <f t="shared" si="888"/>
        <v>0</v>
      </c>
      <c r="BF687" s="112">
        <f t="shared" si="889"/>
        <v>0</v>
      </c>
      <c r="BI687" s="112">
        <f t="shared" si="890"/>
        <v>0</v>
      </c>
      <c r="BJ687" s="112">
        <f t="shared" si="891"/>
        <v>0</v>
      </c>
      <c r="BK687" s="112">
        <f t="shared" si="892"/>
        <v>0</v>
      </c>
      <c r="BL687" s="112">
        <f t="shared" si="893"/>
        <v>0</v>
      </c>
      <c r="BM687" s="112">
        <f t="shared" si="894"/>
        <v>0</v>
      </c>
      <c r="BN687" s="112">
        <f t="shared" si="895"/>
        <v>0</v>
      </c>
      <c r="BP687" s="238">
        <f t="shared" si="961"/>
        <v>1</v>
      </c>
      <c r="BQ687" s="238">
        <f t="shared" ref="BQ687:BQ690" si="1175">BQ686</f>
        <v>594</v>
      </c>
      <c r="BR687" t="s">
        <v>445</v>
      </c>
      <c r="BS687" t="s">
        <v>446</v>
      </c>
      <c r="BT687" s="114">
        <f t="shared" ca="1" si="1168"/>
        <v>0</v>
      </c>
      <c r="BU687" s="112"/>
      <c r="BV687">
        <f t="shared" ca="1" si="956"/>
        <v>1</v>
      </c>
      <c r="BW687" s="112">
        <f t="shared" ca="1" si="865"/>
        <v>39447</v>
      </c>
      <c r="BX687" s="112">
        <f t="shared" ca="1" si="1169"/>
        <v>39446</v>
      </c>
      <c r="BY687">
        <f t="shared" ca="1" si="935"/>
        <v>18</v>
      </c>
      <c r="BZ687">
        <f t="shared" ca="1" si="936"/>
        <v>24</v>
      </c>
      <c r="CB687">
        <f t="shared" ca="1" si="898"/>
        <v>0</v>
      </c>
      <c r="CC687" s="112">
        <f t="shared" ca="1" si="899"/>
        <v>100000</v>
      </c>
      <c r="CD687" s="112">
        <f t="shared" ca="1" si="900"/>
        <v>39446</v>
      </c>
      <c r="CE687">
        <f t="shared" ca="1" si="901"/>
        <v>18</v>
      </c>
      <c r="CF687">
        <f t="shared" ca="1" si="902"/>
        <v>24</v>
      </c>
      <c r="CH687" s="112">
        <f t="shared" ca="1" si="1012"/>
        <v>39629</v>
      </c>
      <c r="CI687">
        <f t="shared" ref="CI687:CI690" ca="1" si="1176">CI686</f>
        <v>1</v>
      </c>
      <c r="CJ687">
        <f t="shared" ref="CJ687" ca="1" si="1177">IF(AND(CI687=0,CJ688=0,CJ689=0,CJ690=0,CC687&lt;100000),1,0)</f>
        <v>0</v>
      </c>
      <c r="CK687" s="112">
        <f t="shared" ca="1" si="1021"/>
        <v>39629</v>
      </c>
      <c r="CM687" s="112"/>
      <c r="CN687" s="260">
        <f t="shared" ca="1" si="904"/>
        <v>100000</v>
      </c>
      <c r="CO687" s="112">
        <f t="shared" ref="CO687:CO690" ca="1" si="1178">IF(CJ687=1,CH687,CD687)</f>
        <v>39446</v>
      </c>
      <c r="CP687" s="238">
        <f t="shared" ca="1" si="1023"/>
        <v>18</v>
      </c>
      <c r="CQ687" s="328">
        <f t="shared" ca="1" si="1024"/>
        <v>24</v>
      </c>
      <c r="CS687" s="112">
        <f t="shared" ca="1" si="867"/>
        <v>100000</v>
      </c>
      <c r="CT687" s="112">
        <f t="shared" ca="1" si="916"/>
        <v>39446</v>
      </c>
      <c r="CU687" s="238">
        <f t="shared" ca="1" si="907"/>
        <v>18</v>
      </c>
      <c r="CV687" s="238">
        <f t="shared" ca="1" si="908"/>
        <v>24</v>
      </c>
      <c r="CY687">
        <f t="shared" si="917"/>
        <v>117</v>
      </c>
      <c r="DA687" s="112">
        <f t="shared" ca="1" si="918"/>
        <v>100000</v>
      </c>
      <c r="DC687">
        <f t="shared" si="919"/>
        <v>687</v>
      </c>
      <c r="DE687" t="str">
        <f t="shared" si="940"/>
        <v>cs687:dc790</v>
      </c>
      <c r="DF687">
        <f t="shared" ca="1" si="909"/>
        <v>687</v>
      </c>
      <c r="DG687" s="412">
        <f t="shared" ca="1" si="1060"/>
        <v>44804</v>
      </c>
      <c r="DH687" s="411" t="str">
        <f t="shared" ca="1" si="1049"/>
        <v/>
      </c>
      <c r="DI687" s="411" t="str">
        <f t="shared" ca="1" si="1050"/>
        <v/>
      </c>
      <c r="DJ687" s="410" t="str">
        <f t="shared" ca="1" si="1051"/>
        <v/>
      </c>
      <c r="DK687" s="410" t="str">
        <f t="shared" ca="1" si="1052"/>
        <v/>
      </c>
      <c r="DM687" s="411" t="str">
        <f t="shared" ca="1" si="1061"/>
        <v/>
      </c>
      <c r="DN687" s="411" t="str">
        <f t="shared" ca="1" si="1062"/>
        <v/>
      </c>
      <c r="DO687" s="410" t="str">
        <f t="shared" ca="1" si="1063"/>
        <v/>
      </c>
      <c r="DP687" s="410" t="str">
        <f t="shared" ca="1" si="1064"/>
        <v/>
      </c>
    </row>
    <row r="688" spans="27:120" x14ac:dyDescent="0.25">
      <c r="AA688" s="284">
        <f t="shared" ref="AA688:AF688" si="1179">AA137</f>
        <v>0</v>
      </c>
      <c r="AB688" s="284">
        <f t="shared" ref="AB688:AE688" si="1180">IF(OR(AB137&lt;=$AA688,AB137&gt;$AF688),100000,AB137)</f>
        <v>100000</v>
      </c>
      <c r="AC688" s="284">
        <f t="shared" si="1180"/>
        <v>100000</v>
      </c>
      <c r="AD688" s="284">
        <f t="shared" si="1180"/>
        <v>100000</v>
      </c>
      <c r="AE688" s="284">
        <f t="shared" si="1180"/>
        <v>100000</v>
      </c>
      <c r="AF688" s="284">
        <f t="shared" si="1179"/>
        <v>0</v>
      </c>
      <c r="AG688" s="238">
        <f t="shared" si="870"/>
        <v>0</v>
      </c>
      <c r="AH688" s="407">
        <f t="shared" si="871"/>
        <v>24</v>
      </c>
      <c r="AL688" s="112">
        <f t="shared" si="872"/>
        <v>0</v>
      </c>
      <c r="AM688" s="112">
        <f t="shared" si="873"/>
        <v>100000</v>
      </c>
      <c r="AN688" s="112">
        <f t="shared" si="874"/>
        <v>100000</v>
      </c>
      <c r="AO688" s="112">
        <f t="shared" si="875"/>
        <v>100000</v>
      </c>
      <c r="AP688" s="112">
        <f t="shared" si="876"/>
        <v>0</v>
      </c>
      <c r="AQ688" s="112">
        <f t="shared" si="877"/>
        <v>0</v>
      </c>
      <c r="AT688" s="112">
        <f t="shared" si="878"/>
        <v>0</v>
      </c>
      <c r="AU688" s="112">
        <f t="shared" si="879"/>
        <v>100000</v>
      </c>
      <c r="AV688" s="112">
        <f t="shared" si="880"/>
        <v>100000</v>
      </c>
      <c r="AW688" s="112">
        <f t="shared" si="881"/>
        <v>0</v>
      </c>
      <c r="AX688" s="112">
        <f t="shared" si="882"/>
        <v>0</v>
      </c>
      <c r="AY688" s="112">
        <f t="shared" si="883"/>
        <v>0</v>
      </c>
      <c r="BA688" s="112">
        <f t="shared" si="884"/>
        <v>0</v>
      </c>
      <c r="BB688" s="112">
        <f t="shared" si="885"/>
        <v>100000</v>
      </c>
      <c r="BC688" s="112">
        <f t="shared" si="886"/>
        <v>0</v>
      </c>
      <c r="BD688" s="112">
        <f t="shared" si="887"/>
        <v>0</v>
      </c>
      <c r="BE688" s="112">
        <f t="shared" si="888"/>
        <v>0</v>
      </c>
      <c r="BF688" s="112">
        <f t="shared" si="889"/>
        <v>0</v>
      </c>
      <c r="BI688" s="112">
        <f t="shared" si="890"/>
        <v>0</v>
      </c>
      <c r="BJ688" s="112">
        <f t="shared" si="891"/>
        <v>0</v>
      </c>
      <c r="BK688" s="112">
        <f t="shared" si="892"/>
        <v>0</v>
      </c>
      <c r="BL688" s="112">
        <f t="shared" si="893"/>
        <v>0</v>
      </c>
      <c r="BM688" s="112">
        <f t="shared" si="894"/>
        <v>0</v>
      </c>
      <c r="BN688" s="112">
        <f t="shared" si="895"/>
        <v>0</v>
      </c>
      <c r="BP688" s="238">
        <f t="shared" si="961"/>
        <v>1</v>
      </c>
      <c r="BQ688" s="238">
        <f t="shared" si="1175"/>
        <v>594</v>
      </c>
      <c r="BR688" t="s">
        <v>446</v>
      </c>
      <c r="BS688" t="s">
        <v>447</v>
      </c>
      <c r="BT688" s="114">
        <f t="shared" ca="1" si="1168"/>
        <v>0</v>
      </c>
      <c r="BU688" s="112"/>
      <c r="BV688">
        <f t="shared" ca="1" si="956"/>
        <v>1</v>
      </c>
      <c r="BW688" s="112">
        <f t="shared" ca="1" si="865"/>
        <v>39447</v>
      </c>
      <c r="BX688" s="112">
        <f t="shared" ca="1" si="1169"/>
        <v>39538</v>
      </c>
      <c r="BY688">
        <f t="shared" ca="1" si="935"/>
        <v>18</v>
      </c>
      <c r="BZ688">
        <f t="shared" ca="1" si="936"/>
        <v>24</v>
      </c>
      <c r="CB688">
        <f t="shared" ca="1" si="898"/>
        <v>0</v>
      </c>
      <c r="CC688" s="112">
        <f t="shared" ca="1" si="899"/>
        <v>39447</v>
      </c>
      <c r="CD688" s="112">
        <f t="shared" ca="1" si="900"/>
        <v>39538</v>
      </c>
      <c r="CE688">
        <f t="shared" ca="1" si="901"/>
        <v>18</v>
      </c>
      <c r="CF688">
        <f t="shared" ca="1" si="902"/>
        <v>24</v>
      </c>
      <c r="CH688" s="112">
        <f t="shared" ca="1" si="1012"/>
        <v>39629</v>
      </c>
      <c r="CI688">
        <f t="shared" ca="1" si="1176"/>
        <v>1</v>
      </c>
      <c r="CJ688">
        <f t="shared" ref="CJ688" ca="1" si="1181">IF(AND(CI688=0,CJ689=0,CJ690=0,CC688&lt;100000),1,0)</f>
        <v>0</v>
      </c>
      <c r="CK688" s="112">
        <f t="shared" ca="1" si="1021"/>
        <v>39629</v>
      </c>
      <c r="CM688" s="112"/>
      <c r="CN688" s="260">
        <f t="shared" ca="1" si="904"/>
        <v>39447</v>
      </c>
      <c r="CO688" s="112">
        <f t="shared" ca="1" si="1178"/>
        <v>39538</v>
      </c>
      <c r="CP688" s="238">
        <f t="shared" ca="1" si="1023"/>
        <v>18</v>
      </c>
      <c r="CQ688" s="328">
        <f t="shared" ca="1" si="1024"/>
        <v>24</v>
      </c>
      <c r="CS688" s="112">
        <f t="shared" ca="1" si="867"/>
        <v>39447</v>
      </c>
      <c r="CT688" s="112">
        <f t="shared" ca="1" si="916"/>
        <v>39538</v>
      </c>
      <c r="CU688" s="238">
        <f t="shared" ca="1" si="907"/>
        <v>18</v>
      </c>
      <c r="CV688" s="238">
        <f t="shared" ca="1" si="908"/>
        <v>24</v>
      </c>
      <c r="CY688">
        <f t="shared" si="917"/>
        <v>118</v>
      </c>
      <c r="DA688" s="112">
        <f t="shared" ca="1" si="918"/>
        <v>100000</v>
      </c>
      <c r="DC688">
        <f t="shared" si="919"/>
        <v>688</v>
      </c>
      <c r="DE688" t="str">
        <f t="shared" si="940"/>
        <v>cs688:dc790</v>
      </c>
      <c r="DF688">
        <f t="shared" ca="1" si="909"/>
        <v>690</v>
      </c>
      <c r="DG688" s="412">
        <f t="shared" ca="1" si="1060"/>
        <v>44804</v>
      </c>
      <c r="DH688" s="411" t="str">
        <f t="shared" ca="1" si="1049"/>
        <v/>
      </c>
      <c r="DI688" s="411" t="str">
        <f t="shared" ca="1" si="1050"/>
        <v/>
      </c>
      <c r="DJ688" s="410" t="str">
        <f t="shared" ca="1" si="1051"/>
        <v/>
      </c>
      <c r="DK688" s="410" t="str">
        <f t="shared" ca="1" si="1052"/>
        <v/>
      </c>
      <c r="DM688" s="411" t="str">
        <f t="shared" ca="1" si="1061"/>
        <v/>
      </c>
      <c r="DN688" s="411" t="str">
        <f t="shared" ca="1" si="1062"/>
        <v/>
      </c>
      <c r="DO688" s="410" t="str">
        <f t="shared" ca="1" si="1063"/>
        <v/>
      </c>
      <c r="DP688" s="410" t="str">
        <f t="shared" ca="1" si="1064"/>
        <v/>
      </c>
    </row>
    <row r="689" spans="27:120" x14ac:dyDescent="0.25">
      <c r="AA689" s="284">
        <f t="shared" ref="AA689:AF689" si="1182">AA138</f>
        <v>0</v>
      </c>
      <c r="AB689" s="284">
        <f t="shared" ref="AB689:AE689" si="1183">IF(OR(AB138&lt;=$AA689,AB138&gt;$AF689),100000,AB138)</f>
        <v>100000</v>
      </c>
      <c r="AC689" s="284">
        <f t="shared" si="1183"/>
        <v>100000</v>
      </c>
      <c r="AD689" s="284">
        <f t="shared" si="1183"/>
        <v>100000</v>
      </c>
      <c r="AE689" s="284">
        <f t="shared" si="1183"/>
        <v>100000</v>
      </c>
      <c r="AF689" s="284">
        <f t="shared" si="1182"/>
        <v>0</v>
      </c>
      <c r="AG689" s="238">
        <f t="shared" si="870"/>
        <v>0</v>
      </c>
      <c r="AH689" s="407">
        <f t="shared" si="871"/>
        <v>24</v>
      </c>
      <c r="AL689" s="112">
        <f t="shared" si="872"/>
        <v>0</v>
      </c>
      <c r="AM689" s="112">
        <f t="shared" si="873"/>
        <v>100000</v>
      </c>
      <c r="AN689" s="112">
        <f t="shared" si="874"/>
        <v>100000</v>
      </c>
      <c r="AO689" s="112">
        <f t="shared" si="875"/>
        <v>100000</v>
      </c>
      <c r="AP689" s="112">
        <f t="shared" si="876"/>
        <v>0</v>
      </c>
      <c r="AQ689" s="112">
        <f t="shared" si="877"/>
        <v>0</v>
      </c>
      <c r="AT689" s="112">
        <f t="shared" si="878"/>
        <v>0</v>
      </c>
      <c r="AU689" s="112">
        <f t="shared" si="879"/>
        <v>100000</v>
      </c>
      <c r="AV689" s="112">
        <f t="shared" si="880"/>
        <v>100000</v>
      </c>
      <c r="AW689" s="112">
        <f t="shared" si="881"/>
        <v>0</v>
      </c>
      <c r="AX689" s="112">
        <f t="shared" si="882"/>
        <v>0</v>
      </c>
      <c r="AY689" s="112">
        <f t="shared" si="883"/>
        <v>0</v>
      </c>
      <c r="BA689" s="112">
        <f t="shared" si="884"/>
        <v>0</v>
      </c>
      <c r="BB689" s="112">
        <f t="shared" si="885"/>
        <v>100000</v>
      </c>
      <c r="BC689" s="112">
        <f t="shared" si="886"/>
        <v>0</v>
      </c>
      <c r="BD689" s="112">
        <f t="shared" si="887"/>
        <v>0</v>
      </c>
      <c r="BE689" s="112">
        <f t="shared" si="888"/>
        <v>0</v>
      </c>
      <c r="BF689" s="112">
        <f t="shared" si="889"/>
        <v>0</v>
      </c>
      <c r="BI689" s="112">
        <f t="shared" si="890"/>
        <v>0</v>
      </c>
      <c r="BJ689" s="112">
        <f t="shared" si="891"/>
        <v>0</v>
      </c>
      <c r="BK689" s="112">
        <f t="shared" si="892"/>
        <v>0</v>
      </c>
      <c r="BL689" s="112">
        <f t="shared" si="893"/>
        <v>0</v>
      </c>
      <c r="BM689" s="112">
        <f t="shared" si="894"/>
        <v>0</v>
      </c>
      <c r="BN689" s="112">
        <f t="shared" si="895"/>
        <v>0</v>
      </c>
      <c r="BP689" s="238">
        <f t="shared" si="961"/>
        <v>1</v>
      </c>
      <c r="BQ689" s="238">
        <f t="shared" si="1175"/>
        <v>594</v>
      </c>
      <c r="BR689" t="s">
        <v>447</v>
      </c>
      <c r="BS689" t="s">
        <v>448</v>
      </c>
      <c r="BT689" s="114">
        <f t="shared" ca="1" si="1168"/>
        <v>0</v>
      </c>
      <c r="BU689" s="112"/>
      <c r="BV689">
        <f t="shared" ca="1" si="956"/>
        <v>1</v>
      </c>
      <c r="BW689" s="112">
        <f t="shared" ca="1" si="865"/>
        <v>39539</v>
      </c>
      <c r="BX689" s="112">
        <f t="shared" ref="BX689:BX690" ca="1" si="1184">INDIRECT(CONCATENATE(BS689,BQ689))</f>
        <v>39629</v>
      </c>
      <c r="BY689">
        <f t="shared" ca="1" si="935"/>
        <v>18</v>
      </c>
      <c r="BZ689">
        <f t="shared" ca="1" si="936"/>
        <v>24</v>
      </c>
      <c r="CB689">
        <f t="shared" ca="1" si="898"/>
        <v>1</v>
      </c>
      <c r="CC689" s="112">
        <f t="shared" ca="1" si="899"/>
        <v>39539</v>
      </c>
      <c r="CD689" s="112">
        <f t="shared" ca="1" si="900"/>
        <v>39629</v>
      </c>
      <c r="CE689">
        <f t="shared" ca="1" si="901"/>
        <v>18</v>
      </c>
      <c r="CF689">
        <f t="shared" ca="1" si="902"/>
        <v>24</v>
      </c>
      <c r="CH689" s="112">
        <f t="shared" ca="1" si="1012"/>
        <v>39629</v>
      </c>
      <c r="CI689">
        <f t="shared" ca="1" si="1176"/>
        <v>1</v>
      </c>
      <c r="CJ689">
        <f t="shared" ref="CJ689" ca="1" si="1185">IF(AND(CI689=0,CJ690=0,CC689&lt;100000),1,0)</f>
        <v>0</v>
      </c>
      <c r="CK689" s="112">
        <f t="shared" ca="1" si="1021"/>
        <v>39629</v>
      </c>
      <c r="CM689" s="112"/>
      <c r="CN689" s="260">
        <f t="shared" ca="1" si="904"/>
        <v>39539</v>
      </c>
      <c r="CO689" s="112">
        <f t="shared" ca="1" si="1178"/>
        <v>39629</v>
      </c>
      <c r="CP689" s="238">
        <f t="shared" ca="1" si="1023"/>
        <v>18</v>
      </c>
      <c r="CQ689" s="328">
        <f t="shared" ca="1" si="1024"/>
        <v>24</v>
      </c>
      <c r="CS689" s="112">
        <f t="shared" ca="1" si="867"/>
        <v>39539</v>
      </c>
      <c r="CT689" s="112">
        <f t="shared" ca="1" si="916"/>
        <v>39629</v>
      </c>
      <c r="CU689" s="238">
        <f t="shared" ca="1" si="907"/>
        <v>18</v>
      </c>
      <c r="CV689" s="238">
        <f t="shared" ca="1" si="908"/>
        <v>24</v>
      </c>
      <c r="CY689">
        <f t="shared" si="917"/>
        <v>119</v>
      </c>
      <c r="DA689" s="112">
        <f t="shared" ca="1" si="918"/>
        <v>100000</v>
      </c>
      <c r="DC689">
        <f t="shared" si="919"/>
        <v>689</v>
      </c>
      <c r="DE689" t="str">
        <f t="shared" si="940"/>
        <v>cs689:dc790</v>
      </c>
      <c r="DF689">
        <f t="shared" ca="1" si="909"/>
        <v>690</v>
      </c>
      <c r="DG689" s="412">
        <f t="shared" ca="1" si="1060"/>
        <v>44804</v>
      </c>
      <c r="DH689" s="411" t="str">
        <f t="shared" ca="1" si="1049"/>
        <v/>
      </c>
      <c r="DI689" s="411" t="str">
        <f t="shared" ca="1" si="1050"/>
        <v/>
      </c>
      <c r="DJ689" s="410" t="str">
        <f t="shared" ca="1" si="1051"/>
        <v/>
      </c>
      <c r="DK689" s="410" t="str">
        <f t="shared" ca="1" si="1052"/>
        <v/>
      </c>
      <c r="DM689" s="411" t="str">
        <f t="shared" ca="1" si="1061"/>
        <v/>
      </c>
      <c r="DN689" s="411" t="str">
        <f t="shared" ca="1" si="1062"/>
        <v/>
      </c>
      <c r="DO689" s="410" t="str">
        <f t="shared" ca="1" si="1063"/>
        <v/>
      </c>
      <c r="DP689" s="410" t="str">
        <f t="shared" ca="1" si="1064"/>
        <v/>
      </c>
    </row>
    <row r="690" spans="27:120" ht="15.75" thickBot="1" x14ac:dyDescent="0.3">
      <c r="AA690" s="284">
        <f t="shared" ref="AA690:AF690" si="1186">AA139</f>
        <v>0</v>
      </c>
      <c r="AB690" s="284">
        <f t="shared" ref="AB690:AE690" si="1187">IF(OR(AB139&lt;=$AA690,AB139&gt;$AF690),100000,AB139)</f>
        <v>100000</v>
      </c>
      <c r="AC690" s="284">
        <f t="shared" si="1187"/>
        <v>100000</v>
      </c>
      <c r="AD690" s="284">
        <f t="shared" si="1187"/>
        <v>100000</v>
      </c>
      <c r="AE690" s="284">
        <f t="shared" si="1187"/>
        <v>100000</v>
      </c>
      <c r="AF690" s="284">
        <f t="shared" si="1186"/>
        <v>0</v>
      </c>
      <c r="AG690" s="238">
        <f t="shared" si="870"/>
        <v>0</v>
      </c>
      <c r="AH690" s="407">
        <f t="shared" si="871"/>
        <v>24</v>
      </c>
      <c r="AL690" s="112">
        <f t="shared" si="872"/>
        <v>0</v>
      </c>
      <c r="AM690" s="112">
        <f t="shared" si="873"/>
        <v>100000</v>
      </c>
      <c r="AN690" s="112">
        <f t="shared" si="874"/>
        <v>100000</v>
      </c>
      <c r="AO690" s="112">
        <f t="shared" si="875"/>
        <v>100000</v>
      </c>
      <c r="AP690" s="112">
        <f t="shared" si="876"/>
        <v>0</v>
      </c>
      <c r="AQ690" s="112">
        <f t="shared" si="877"/>
        <v>0</v>
      </c>
      <c r="AT690" s="112">
        <f t="shared" si="878"/>
        <v>0</v>
      </c>
      <c r="AU690" s="112">
        <f t="shared" si="879"/>
        <v>100000</v>
      </c>
      <c r="AV690" s="112">
        <f t="shared" si="880"/>
        <v>100000</v>
      </c>
      <c r="AW690" s="112">
        <f t="shared" si="881"/>
        <v>0</v>
      </c>
      <c r="AX690" s="112">
        <f t="shared" si="882"/>
        <v>0</v>
      </c>
      <c r="AY690" s="112">
        <f t="shared" si="883"/>
        <v>0</v>
      </c>
      <c r="BA690" s="112">
        <f t="shared" si="884"/>
        <v>0</v>
      </c>
      <c r="BB690" s="112">
        <f t="shared" si="885"/>
        <v>100000</v>
      </c>
      <c r="BC690" s="112">
        <f t="shared" si="886"/>
        <v>0</v>
      </c>
      <c r="BD690" s="112">
        <f t="shared" si="887"/>
        <v>0</v>
      </c>
      <c r="BE690" s="112">
        <f t="shared" si="888"/>
        <v>0</v>
      </c>
      <c r="BF690" s="112">
        <f t="shared" si="889"/>
        <v>0</v>
      </c>
      <c r="BI690" s="112">
        <f t="shared" si="890"/>
        <v>0</v>
      </c>
      <c r="BJ690" s="112">
        <f t="shared" si="891"/>
        <v>0</v>
      </c>
      <c r="BK690" s="112">
        <f t="shared" si="892"/>
        <v>0</v>
      </c>
      <c r="BL690" s="112">
        <f t="shared" si="893"/>
        <v>0</v>
      </c>
      <c r="BM690" s="112">
        <f t="shared" si="894"/>
        <v>0</v>
      </c>
      <c r="BN690" s="112">
        <f t="shared" si="895"/>
        <v>0</v>
      </c>
      <c r="BP690" s="238">
        <f t="shared" si="961"/>
        <v>1</v>
      </c>
      <c r="BQ690" s="238">
        <f t="shared" si="1175"/>
        <v>594</v>
      </c>
      <c r="BR690" t="s">
        <v>448</v>
      </c>
      <c r="BS690" t="s">
        <v>449</v>
      </c>
      <c r="BT690" s="114">
        <f t="shared" ca="1" si="1168"/>
        <v>0</v>
      </c>
      <c r="BU690" s="112"/>
      <c r="BV690">
        <f t="shared" ca="1" si="956"/>
        <v>0</v>
      </c>
      <c r="BW690" s="112">
        <f t="shared" ca="1" si="865"/>
        <v>39629</v>
      </c>
      <c r="BX690" s="112">
        <f t="shared" ca="1" si="1184"/>
        <v>39629</v>
      </c>
      <c r="BY690">
        <f t="shared" ca="1" si="935"/>
        <v>18</v>
      </c>
      <c r="BZ690">
        <f t="shared" ca="1" si="936"/>
        <v>24</v>
      </c>
      <c r="CB690">
        <f t="shared" ca="1" si="898"/>
        <v>0</v>
      </c>
      <c r="CC690" s="112">
        <f t="shared" ca="1" si="899"/>
        <v>100000</v>
      </c>
      <c r="CD690" s="112">
        <f t="shared" ca="1" si="900"/>
        <v>39629</v>
      </c>
      <c r="CE690">
        <f t="shared" ca="1" si="901"/>
        <v>18</v>
      </c>
      <c r="CF690">
        <f t="shared" ca="1" si="902"/>
        <v>24</v>
      </c>
      <c r="CH690" s="112">
        <f t="shared" ca="1" si="1012"/>
        <v>39629</v>
      </c>
      <c r="CI690">
        <f t="shared" ca="1" si="1176"/>
        <v>1</v>
      </c>
      <c r="CJ690">
        <f t="shared" ref="CJ690" ca="1" si="1188">IF(AND(CI690=0,CC690&lt;100000),1,0)</f>
        <v>0</v>
      </c>
      <c r="CK690" s="112">
        <f t="shared" ca="1" si="1021"/>
        <v>39629</v>
      </c>
      <c r="CM690" s="112"/>
      <c r="CN690" s="261">
        <f t="shared" ref="CN690" ca="1" si="1189">IF(AND(CN686=100000,CN687=100000,CN688=100000,CN689=100000),INDIRECT(CONCATENATE("aa",BQ690)),CC690)</f>
        <v>100000</v>
      </c>
      <c r="CO690" s="324">
        <f t="shared" ca="1" si="1178"/>
        <v>39629</v>
      </c>
      <c r="CP690" s="256">
        <f t="shared" ca="1" si="1023"/>
        <v>18</v>
      </c>
      <c r="CQ690" s="329">
        <f t="shared" ca="1" si="1024"/>
        <v>24</v>
      </c>
      <c r="CS690" s="112">
        <f t="shared" ca="1" si="867"/>
        <v>100000</v>
      </c>
      <c r="CT690" s="112">
        <f t="shared" ca="1" si="916"/>
        <v>39629</v>
      </c>
      <c r="CU690" s="238">
        <f t="shared" ca="1" si="907"/>
        <v>18</v>
      </c>
      <c r="CV690" s="238">
        <f t="shared" ca="1" si="908"/>
        <v>24</v>
      </c>
      <c r="CY690">
        <f t="shared" si="917"/>
        <v>120</v>
      </c>
      <c r="DA690" s="112">
        <f t="shared" ca="1" si="918"/>
        <v>100000</v>
      </c>
      <c r="DC690">
        <f t="shared" si="919"/>
        <v>690</v>
      </c>
      <c r="DE690" t="str">
        <f t="shared" si="940"/>
        <v>cs690:dc790</v>
      </c>
      <c r="DF690">
        <f t="shared" ca="1" si="909"/>
        <v>690</v>
      </c>
      <c r="DG690" s="412">
        <f t="shared" ca="1" si="1060"/>
        <v>44804</v>
      </c>
      <c r="DH690" s="411" t="str">
        <f t="shared" ca="1" si="1049"/>
        <v/>
      </c>
      <c r="DI690" s="411" t="str">
        <f t="shared" ca="1" si="1050"/>
        <v/>
      </c>
      <c r="DJ690" s="410" t="str">
        <f t="shared" ca="1" si="1051"/>
        <v/>
      </c>
      <c r="DK690" s="410" t="str">
        <f t="shared" ca="1" si="1052"/>
        <v/>
      </c>
      <c r="DM690" s="411" t="str">
        <f t="shared" ca="1" si="1061"/>
        <v/>
      </c>
      <c r="DN690" s="411" t="str">
        <f t="shared" ca="1" si="1062"/>
        <v/>
      </c>
      <c r="DO690" s="410" t="str">
        <f t="shared" ca="1" si="1063"/>
        <v/>
      </c>
      <c r="DP690" s="410" t="str">
        <f t="shared" ca="1" si="1064"/>
        <v/>
      </c>
    </row>
    <row r="691" spans="27:120" x14ac:dyDescent="0.25">
      <c r="AA691" s="284">
        <f t="shared" ref="AA691:AF691" si="1190">AA140</f>
        <v>0</v>
      </c>
      <c r="AB691" s="284">
        <f t="shared" ref="AB691:AE691" si="1191">IF(OR(AB140&lt;=$AA691,AB140&gt;$AF691),100000,AB140)</f>
        <v>100000</v>
      </c>
      <c r="AC691" s="284">
        <f t="shared" si="1191"/>
        <v>100000</v>
      </c>
      <c r="AD691" s="284">
        <f t="shared" si="1191"/>
        <v>100000</v>
      </c>
      <c r="AE691" s="284">
        <f t="shared" si="1191"/>
        <v>100000</v>
      </c>
      <c r="AF691" s="284">
        <f t="shared" si="1190"/>
        <v>0</v>
      </c>
      <c r="AG691" s="238">
        <f t="shared" si="870"/>
        <v>0</v>
      </c>
      <c r="AH691" s="407">
        <f t="shared" si="871"/>
        <v>24</v>
      </c>
      <c r="AL691" s="112">
        <f t="shared" si="872"/>
        <v>0</v>
      </c>
      <c r="AM691" s="112">
        <f t="shared" si="873"/>
        <v>100000</v>
      </c>
      <c r="AN691" s="112">
        <f t="shared" si="874"/>
        <v>100000</v>
      </c>
      <c r="AO691" s="112">
        <f t="shared" si="875"/>
        <v>100000</v>
      </c>
      <c r="AP691" s="112">
        <f t="shared" si="876"/>
        <v>0</v>
      </c>
      <c r="AQ691" s="112">
        <f t="shared" si="877"/>
        <v>0</v>
      </c>
      <c r="AT691" s="112">
        <f t="shared" si="878"/>
        <v>0</v>
      </c>
      <c r="AU691" s="112">
        <f t="shared" si="879"/>
        <v>100000</v>
      </c>
      <c r="AV691" s="112">
        <f t="shared" si="880"/>
        <v>100000</v>
      </c>
      <c r="AW691" s="112">
        <f t="shared" si="881"/>
        <v>0</v>
      </c>
      <c r="AX691" s="112">
        <f t="shared" si="882"/>
        <v>0</v>
      </c>
      <c r="AY691" s="112">
        <f t="shared" si="883"/>
        <v>0</v>
      </c>
      <c r="BA691" s="112">
        <f t="shared" si="884"/>
        <v>0</v>
      </c>
      <c r="BB691" s="112">
        <f t="shared" si="885"/>
        <v>100000</v>
      </c>
      <c r="BC691" s="112">
        <f t="shared" si="886"/>
        <v>0</v>
      </c>
      <c r="BD691" s="112">
        <f t="shared" si="887"/>
        <v>0</v>
      </c>
      <c r="BE691" s="112">
        <f t="shared" si="888"/>
        <v>0</v>
      </c>
      <c r="BF691" s="112">
        <f t="shared" si="889"/>
        <v>0</v>
      </c>
      <c r="BI691" s="112">
        <f t="shared" si="890"/>
        <v>0</v>
      </c>
      <c r="BJ691" s="112">
        <f t="shared" si="891"/>
        <v>0</v>
      </c>
      <c r="BK691" s="112">
        <f t="shared" si="892"/>
        <v>0</v>
      </c>
      <c r="BL691" s="112">
        <f t="shared" si="893"/>
        <v>0</v>
      </c>
      <c r="BM691" s="112">
        <f t="shared" si="894"/>
        <v>0</v>
      </c>
      <c r="BN691" s="112">
        <f t="shared" si="895"/>
        <v>0</v>
      </c>
      <c r="BP691" s="238">
        <f t="shared" si="961"/>
        <v>1</v>
      </c>
      <c r="BQ691" s="238">
        <f t="shared" ref="BQ691" si="1192">BQ690+1</f>
        <v>595</v>
      </c>
      <c r="BR691" s="112" t="s">
        <v>444</v>
      </c>
      <c r="BS691" s="112" t="s">
        <v>445</v>
      </c>
      <c r="BT691" s="114">
        <f t="shared" ca="1" si="1168"/>
        <v>0</v>
      </c>
      <c r="BU691" s="112"/>
      <c r="BV691">
        <f t="shared" ca="1" si="956"/>
        <v>1</v>
      </c>
      <c r="BW691" s="112">
        <f t="shared" ca="1" si="865"/>
        <v>39692</v>
      </c>
      <c r="BX691" s="112">
        <f t="shared" ref="BX691:BX693" ca="1" si="1193">INDIRECT(CONCATENATE(BS691,BQ691))-1</f>
        <v>39813</v>
      </c>
      <c r="BY691">
        <f t="shared" ca="1" si="935"/>
        <v>18</v>
      </c>
      <c r="BZ691">
        <f t="shared" ca="1" si="936"/>
        <v>24</v>
      </c>
      <c r="CB691">
        <f t="shared" ca="1" si="898"/>
        <v>0</v>
      </c>
      <c r="CC691" s="112">
        <f t="shared" ca="1" si="899"/>
        <v>39692</v>
      </c>
      <c r="CD691" s="112">
        <f t="shared" ca="1" si="900"/>
        <v>39813</v>
      </c>
      <c r="CE691">
        <f t="shared" ca="1" si="901"/>
        <v>18</v>
      </c>
      <c r="CF691">
        <f t="shared" ca="1" si="902"/>
        <v>24</v>
      </c>
      <c r="CH691" s="112">
        <f t="shared" ca="1" si="1012"/>
        <v>39994</v>
      </c>
      <c r="CI691">
        <f t="shared" ref="CI691" ca="1" si="1194">CB691+CB692+CB693+CB694+CB695</f>
        <v>0</v>
      </c>
      <c r="CJ691">
        <v>0</v>
      </c>
      <c r="CK691" s="112">
        <f t="shared" ca="1" si="1021"/>
        <v>39994</v>
      </c>
      <c r="CM691" s="112"/>
      <c r="CN691" s="408">
        <f t="shared" ca="1" si="904"/>
        <v>39692</v>
      </c>
      <c r="CO691" s="326">
        <f t="shared" ref="CO691" ca="1" si="1195">CD691</f>
        <v>39813</v>
      </c>
      <c r="CP691" s="333">
        <f t="shared" ca="1" si="1023"/>
        <v>18</v>
      </c>
      <c r="CQ691" s="327">
        <f t="shared" ca="1" si="1024"/>
        <v>24</v>
      </c>
      <c r="CS691" s="112">
        <f t="shared" ca="1" si="867"/>
        <v>39692</v>
      </c>
      <c r="CT691" s="112">
        <f t="shared" ref="CT691" ca="1" si="1196">IF(AND( CN692=100000,CN693=100000,CN694=100000,CN695=100000),CO695,                             CO691)</f>
        <v>39813</v>
      </c>
      <c r="CU691" s="238">
        <f t="shared" ca="1" si="907"/>
        <v>18</v>
      </c>
      <c r="CV691" s="238">
        <f t="shared" ca="1" si="908"/>
        <v>24</v>
      </c>
      <c r="CY691">
        <f t="shared" si="917"/>
        <v>121</v>
      </c>
      <c r="DA691" s="112">
        <f t="shared" ca="1" si="918"/>
        <v>100000</v>
      </c>
      <c r="DC691">
        <f t="shared" si="919"/>
        <v>691</v>
      </c>
      <c r="DE691" t="str">
        <f t="shared" si="940"/>
        <v>cs691:dc790</v>
      </c>
      <c r="DF691">
        <f t="shared" ca="1" si="909"/>
        <v>692</v>
      </c>
      <c r="DG691" s="412">
        <f t="shared" ca="1" si="1060"/>
        <v>44804</v>
      </c>
      <c r="DH691" s="411" t="str">
        <f t="shared" ca="1" si="1049"/>
        <v/>
      </c>
      <c r="DI691" s="411" t="str">
        <f t="shared" ca="1" si="1050"/>
        <v/>
      </c>
      <c r="DJ691" s="410" t="str">
        <f t="shared" ca="1" si="1051"/>
        <v/>
      </c>
      <c r="DK691" s="410" t="str">
        <f t="shared" ca="1" si="1052"/>
        <v/>
      </c>
      <c r="DM691" s="411" t="str">
        <f t="shared" ca="1" si="1061"/>
        <v/>
      </c>
      <c r="DN691" s="411" t="str">
        <f t="shared" ca="1" si="1062"/>
        <v/>
      </c>
      <c r="DO691" s="410" t="str">
        <f t="shared" ca="1" si="1063"/>
        <v/>
      </c>
      <c r="DP691" s="410" t="str">
        <f t="shared" ca="1" si="1064"/>
        <v/>
      </c>
    </row>
    <row r="692" spans="27:120" x14ac:dyDescent="0.25">
      <c r="AA692" s="284">
        <f t="shared" ref="AA692:AF692" si="1197">AA141</f>
        <v>0</v>
      </c>
      <c r="AB692" s="284">
        <f t="shared" ref="AB692:AE692" si="1198">IF(OR(AB141&lt;=$AA692,AB141&gt;$AF692),100000,AB141)</f>
        <v>100000</v>
      </c>
      <c r="AC692" s="284">
        <f t="shared" si="1198"/>
        <v>100000</v>
      </c>
      <c r="AD692" s="284">
        <f t="shared" si="1198"/>
        <v>100000</v>
      </c>
      <c r="AE692" s="284">
        <f t="shared" si="1198"/>
        <v>100000</v>
      </c>
      <c r="AF692" s="284">
        <f t="shared" si="1197"/>
        <v>0</v>
      </c>
      <c r="AG692" s="238">
        <f t="shared" si="870"/>
        <v>0</v>
      </c>
      <c r="AH692" s="407">
        <f t="shared" si="871"/>
        <v>24</v>
      </c>
      <c r="AU692" s="112"/>
      <c r="AV692" s="112"/>
      <c r="BQ692" s="238">
        <f t="shared" ref="BQ692:BQ695" si="1199">BQ691</f>
        <v>595</v>
      </c>
      <c r="BR692" t="s">
        <v>445</v>
      </c>
      <c r="BS692" t="s">
        <v>446</v>
      </c>
      <c r="BT692" s="114">
        <f t="shared" ca="1" si="1168"/>
        <v>0</v>
      </c>
      <c r="BU692" s="112"/>
      <c r="BV692">
        <f t="shared" ca="1" si="956"/>
        <v>1</v>
      </c>
      <c r="BW692" s="112">
        <f t="shared" ca="1" si="865"/>
        <v>39814</v>
      </c>
      <c r="BX692" s="112">
        <f t="shared" ca="1" si="1193"/>
        <v>39813</v>
      </c>
      <c r="BY692">
        <f t="shared" ca="1" si="935"/>
        <v>18</v>
      </c>
      <c r="BZ692">
        <f t="shared" ca="1" si="936"/>
        <v>24</v>
      </c>
      <c r="CB692">
        <f t="shared" ca="1" si="898"/>
        <v>0</v>
      </c>
      <c r="CC692" s="112">
        <f t="shared" ca="1" si="899"/>
        <v>100000</v>
      </c>
      <c r="CD692" s="112">
        <f t="shared" ca="1" si="900"/>
        <v>39813</v>
      </c>
      <c r="CE692">
        <f t="shared" ca="1" si="901"/>
        <v>18</v>
      </c>
      <c r="CF692">
        <f t="shared" ca="1" si="902"/>
        <v>24</v>
      </c>
      <c r="CH692" s="112">
        <f t="shared" ca="1" si="1012"/>
        <v>39994</v>
      </c>
      <c r="CI692">
        <f t="shared" ref="CI692:CI695" ca="1" si="1200">CI691</f>
        <v>0</v>
      </c>
      <c r="CJ692">
        <f t="shared" ref="CJ692" ca="1" si="1201">IF(AND(CI692=0,CJ693=0,CJ694=0,CJ695=0,CC692&lt;100000),1,0)</f>
        <v>0</v>
      </c>
      <c r="CK692" s="112">
        <f t="shared" ca="1" si="1021"/>
        <v>39994</v>
      </c>
      <c r="CM692" s="112"/>
      <c r="CN692" s="260">
        <f t="shared" ca="1" si="904"/>
        <v>100000</v>
      </c>
      <c r="CO692" s="112">
        <f t="shared" ref="CO692:CO695" ca="1" si="1202">IF(CJ692=1,CH692,CD692)</f>
        <v>39813</v>
      </c>
      <c r="CP692" s="238">
        <f t="shared" ca="1" si="1023"/>
        <v>18</v>
      </c>
      <c r="CQ692" s="328">
        <f t="shared" ca="1" si="1024"/>
        <v>24</v>
      </c>
      <c r="CS692" s="112">
        <f t="shared" ca="1" si="867"/>
        <v>100000</v>
      </c>
      <c r="CT692" s="112">
        <f t="shared" ca="1" si="916"/>
        <v>39813</v>
      </c>
      <c r="CU692" s="238">
        <f t="shared" ca="1" si="907"/>
        <v>18</v>
      </c>
      <c r="CV692" s="238">
        <f t="shared" ca="1" si="908"/>
        <v>24</v>
      </c>
      <c r="CY692">
        <f t="shared" si="917"/>
        <v>122</v>
      </c>
      <c r="DA692" s="112">
        <f t="shared" ca="1" si="918"/>
        <v>100000</v>
      </c>
      <c r="DC692">
        <f t="shared" si="919"/>
        <v>692</v>
      </c>
      <c r="DE692" t="str">
        <f t="shared" si="940"/>
        <v>cs692:dc790</v>
      </c>
      <c r="DF692">
        <f t="shared" ca="1" si="909"/>
        <v>692</v>
      </c>
      <c r="DG692" s="412">
        <f t="shared" ca="1" si="1060"/>
        <v>44804</v>
      </c>
      <c r="DH692" s="411" t="str">
        <f t="shared" ca="1" si="1049"/>
        <v/>
      </c>
      <c r="DI692" s="411" t="str">
        <f t="shared" ca="1" si="1050"/>
        <v/>
      </c>
      <c r="DJ692" s="410" t="str">
        <f t="shared" ca="1" si="1051"/>
        <v/>
      </c>
      <c r="DK692" s="410" t="str">
        <f t="shared" ca="1" si="1052"/>
        <v/>
      </c>
      <c r="DM692" s="411" t="str">
        <f t="shared" ca="1" si="1061"/>
        <v/>
      </c>
      <c r="DN692" s="411" t="str">
        <f t="shared" ca="1" si="1062"/>
        <v/>
      </c>
      <c r="DO692" s="410" t="str">
        <f t="shared" ca="1" si="1063"/>
        <v/>
      </c>
      <c r="DP692" s="410" t="str">
        <f t="shared" ca="1" si="1064"/>
        <v/>
      </c>
    </row>
    <row r="693" spans="27:120" x14ac:dyDescent="0.25">
      <c r="AA693" s="284">
        <f t="shared" ref="AA693:AF693" si="1203">AA142</f>
        <v>0</v>
      </c>
      <c r="AB693" s="284">
        <f t="shared" ref="AB693:AE693" si="1204">IF(OR(AB142&lt;=$AA693,AB142&gt;$AF693),100000,AB142)</f>
        <v>100000</v>
      </c>
      <c r="AC693" s="284">
        <f t="shared" si="1204"/>
        <v>100000</v>
      </c>
      <c r="AD693" s="284">
        <f t="shared" si="1204"/>
        <v>100000</v>
      </c>
      <c r="AE693" s="284">
        <f t="shared" si="1204"/>
        <v>100000</v>
      </c>
      <c r="AF693" s="284">
        <f t="shared" si="1203"/>
        <v>0</v>
      </c>
      <c r="AG693" s="238">
        <f t="shared" si="870"/>
        <v>0</v>
      </c>
      <c r="AH693" s="407">
        <f t="shared" si="871"/>
        <v>24</v>
      </c>
      <c r="AU693" s="112"/>
      <c r="AV693" s="112"/>
      <c r="BQ693" s="238">
        <f t="shared" si="1199"/>
        <v>595</v>
      </c>
      <c r="BR693" t="s">
        <v>446</v>
      </c>
      <c r="BS693" t="s">
        <v>447</v>
      </c>
      <c r="BT693" s="114">
        <f t="shared" ca="1" si="1168"/>
        <v>0</v>
      </c>
      <c r="BU693" s="112"/>
      <c r="BV693">
        <f t="shared" ca="1" si="956"/>
        <v>1</v>
      </c>
      <c r="BW693" s="112">
        <f t="shared" ca="1" si="865"/>
        <v>39814</v>
      </c>
      <c r="BX693" s="112">
        <f t="shared" ca="1" si="1193"/>
        <v>39993</v>
      </c>
      <c r="BY693">
        <f t="shared" ca="1" si="935"/>
        <v>18</v>
      </c>
      <c r="BZ693">
        <f t="shared" ca="1" si="936"/>
        <v>24</v>
      </c>
      <c r="CB693">
        <f t="shared" ca="1" si="898"/>
        <v>0</v>
      </c>
      <c r="CC693" s="112">
        <f t="shared" ca="1" si="899"/>
        <v>39814</v>
      </c>
      <c r="CD693" s="112">
        <f t="shared" ca="1" si="900"/>
        <v>39993</v>
      </c>
      <c r="CE693">
        <f t="shared" ca="1" si="901"/>
        <v>18</v>
      </c>
      <c r="CF693">
        <f t="shared" ca="1" si="902"/>
        <v>24</v>
      </c>
      <c r="CH693" s="112">
        <f t="shared" ca="1" si="1012"/>
        <v>39994</v>
      </c>
      <c r="CI693">
        <f t="shared" ca="1" si="1200"/>
        <v>0</v>
      </c>
      <c r="CJ693">
        <f t="shared" ref="CJ693" ca="1" si="1205">IF(AND(CI693=0,CJ694=0,CJ695=0,CC693&lt;100000),1,0)</f>
        <v>1</v>
      </c>
      <c r="CK693" s="112">
        <f t="shared" ca="1" si="1021"/>
        <v>1</v>
      </c>
      <c r="CM693" s="112"/>
      <c r="CN693" s="260">
        <f t="shared" ca="1" si="904"/>
        <v>39814</v>
      </c>
      <c r="CO693" s="112">
        <f t="shared" ca="1" si="1202"/>
        <v>39994</v>
      </c>
      <c r="CP693" s="238">
        <f t="shared" ca="1" si="1023"/>
        <v>18</v>
      </c>
      <c r="CQ693" s="328">
        <f t="shared" ca="1" si="1024"/>
        <v>24</v>
      </c>
      <c r="CS693" s="112">
        <f t="shared" ca="1" si="867"/>
        <v>39814</v>
      </c>
      <c r="CT693" s="112">
        <f t="shared" ca="1" si="916"/>
        <v>39994</v>
      </c>
      <c r="CU693" s="238">
        <f t="shared" ca="1" si="907"/>
        <v>18</v>
      </c>
      <c r="CV693" s="238">
        <f t="shared" ca="1" si="908"/>
        <v>24</v>
      </c>
      <c r="CY693">
        <f t="shared" si="917"/>
        <v>123</v>
      </c>
      <c r="DA693" s="112">
        <f t="shared" ca="1" si="918"/>
        <v>100000</v>
      </c>
      <c r="DC693">
        <f t="shared" si="919"/>
        <v>693</v>
      </c>
      <c r="DE693" t="str">
        <f t="shared" si="940"/>
        <v>cs693:dc790</v>
      </c>
      <c r="DF693">
        <f t="shared" ca="1" si="909"/>
        <v>694</v>
      </c>
      <c r="DG693" s="412">
        <f t="shared" ca="1" si="1060"/>
        <v>44804</v>
      </c>
      <c r="DH693" s="411" t="str">
        <f t="shared" ca="1" si="1049"/>
        <v/>
      </c>
      <c r="DI693" s="411" t="str">
        <f t="shared" ca="1" si="1050"/>
        <v/>
      </c>
      <c r="DJ693" s="410" t="str">
        <f t="shared" ca="1" si="1051"/>
        <v/>
      </c>
      <c r="DK693" s="410" t="str">
        <f t="shared" ca="1" si="1052"/>
        <v/>
      </c>
      <c r="DM693" s="411" t="str">
        <f t="shared" ca="1" si="1061"/>
        <v/>
      </c>
      <c r="DN693" s="411" t="str">
        <f t="shared" ca="1" si="1062"/>
        <v/>
      </c>
      <c r="DO693" s="410" t="str">
        <f t="shared" ca="1" si="1063"/>
        <v/>
      </c>
      <c r="DP693" s="410" t="str">
        <f t="shared" ca="1" si="1064"/>
        <v/>
      </c>
    </row>
    <row r="694" spans="27:120" x14ac:dyDescent="0.25">
      <c r="AA694" s="284">
        <f t="shared" ref="AA694:AF694" si="1206">AA143</f>
        <v>0</v>
      </c>
      <c r="AB694" s="284">
        <f t="shared" ref="AB694:AE694" si="1207">IF(OR(AB143&lt;=$AA694,AB143&gt;$AF694),100000,AB143)</f>
        <v>100000</v>
      </c>
      <c r="AC694" s="284">
        <f t="shared" si="1207"/>
        <v>100000</v>
      </c>
      <c r="AD694" s="284">
        <f t="shared" si="1207"/>
        <v>100000</v>
      </c>
      <c r="AE694" s="284">
        <f t="shared" si="1207"/>
        <v>100000</v>
      </c>
      <c r="AF694" s="284">
        <f t="shared" si="1206"/>
        <v>0</v>
      </c>
      <c r="AG694" s="238">
        <f t="shared" si="870"/>
        <v>0</v>
      </c>
      <c r="AH694" s="407">
        <f t="shared" si="871"/>
        <v>24</v>
      </c>
      <c r="AU694" s="112"/>
      <c r="AV694" s="112"/>
      <c r="BQ694" s="238">
        <f t="shared" si="1199"/>
        <v>595</v>
      </c>
      <c r="BR694" t="s">
        <v>447</v>
      </c>
      <c r="BS694" t="s">
        <v>448</v>
      </c>
      <c r="BT694" s="114">
        <f t="shared" ca="1" si="1168"/>
        <v>0</v>
      </c>
      <c r="BU694" s="112"/>
      <c r="BV694">
        <f t="shared" ca="1" si="956"/>
        <v>0</v>
      </c>
      <c r="BW694" s="112">
        <f t="shared" ca="1" si="865"/>
        <v>39994</v>
      </c>
      <c r="BX694" s="112">
        <f t="shared" ref="BX694:BX695" ca="1" si="1208">INDIRECT(CONCATENATE(BS694,BQ694))</f>
        <v>39994</v>
      </c>
      <c r="BY694">
        <f t="shared" ca="1" si="935"/>
        <v>18</v>
      </c>
      <c r="BZ694">
        <f t="shared" ca="1" si="936"/>
        <v>24</v>
      </c>
      <c r="CB694">
        <f t="shared" ca="1" si="898"/>
        <v>0</v>
      </c>
      <c r="CC694" s="112">
        <f t="shared" ca="1" si="899"/>
        <v>100000</v>
      </c>
      <c r="CD694" s="112">
        <f t="shared" ca="1" si="900"/>
        <v>39994</v>
      </c>
      <c r="CE694">
        <f t="shared" ca="1" si="901"/>
        <v>18</v>
      </c>
      <c r="CF694">
        <f t="shared" ca="1" si="902"/>
        <v>24</v>
      </c>
      <c r="CH694" s="112">
        <f t="shared" ca="1" si="1012"/>
        <v>39994</v>
      </c>
      <c r="CI694">
        <f t="shared" ca="1" si="1200"/>
        <v>0</v>
      </c>
      <c r="CJ694">
        <f t="shared" ref="CJ694" ca="1" si="1209">IF(AND(CI694=0,CJ695=0,CC694&lt;100000),1,0)</f>
        <v>0</v>
      </c>
      <c r="CK694" s="112">
        <f t="shared" ca="1" si="1021"/>
        <v>39994</v>
      </c>
      <c r="CM694" s="112"/>
      <c r="CN694" s="260">
        <f t="shared" ca="1" si="904"/>
        <v>100000</v>
      </c>
      <c r="CO694" s="112">
        <f t="shared" ca="1" si="1202"/>
        <v>39994</v>
      </c>
      <c r="CP694" s="238">
        <f t="shared" ca="1" si="1023"/>
        <v>18</v>
      </c>
      <c r="CQ694" s="328">
        <f t="shared" ca="1" si="1024"/>
        <v>24</v>
      </c>
      <c r="CS694" s="112">
        <f t="shared" ca="1" si="867"/>
        <v>100000</v>
      </c>
      <c r="CT694" s="112">
        <f t="shared" ca="1" si="916"/>
        <v>39994</v>
      </c>
      <c r="CU694" s="238">
        <f t="shared" ca="1" si="907"/>
        <v>18</v>
      </c>
      <c r="CV694" s="238">
        <f t="shared" ca="1" si="908"/>
        <v>24</v>
      </c>
      <c r="CY694">
        <f t="shared" si="917"/>
        <v>124</v>
      </c>
      <c r="DA694" s="112">
        <f t="shared" ca="1" si="918"/>
        <v>100000</v>
      </c>
      <c r="DC694">
        <f t="shared" si="919"/>
        <v>694</v>
      </c>
      <c r="DE694" t="str">
        <f t="shared" si="940"/>
        <v>cs694:dc790</v>
      </c>
      <c r="DF694">
        <f t="shared" ca="1" si="909"/>
        <v>694</v>
      </c>
      <c r="DG694" s="412">
        <f t="shared" ca="1" si="1060"/>
        <v>44804</v>
      </c>
      <c r="DH694" s="411" t="str">
        <f t="shared" ca="1" si="1049"/>
        <v/>
      </c>
      <c r="DI694" s="411" t="str">
        <f t="shared" ca="1" si="1050"/>
        <v/>
      </c>
      <c r="DJ694" s="410" t="str">
        <f t="shared" ca="1" si="1051"/>
        <v/>
      </c>
      <c r="DK694" s="410" t="str">
        <f t="shared" ca="1" si="1052"/>
        <v/>
      </c>
      <c r="DM694" s="411" t="str">
        <f t="shared" ca="1" si="1061"/>
        <v/>
      </c>
      <c r="DN694" s="411" t="str">
        <f t="shared" ca="1" si="1062"/>
        <v/>
      </c>
      <c r="DO694" s="410" t="str">
        <f t="shared" ca="1" si="1063"/>
        <v/>
      </c>
      <c r="DP694" s="410" t="str">
        <f t="shared" ca="1" si="1064"/>
        <v/>
      </c>
    </row>
    <row r="695" spans="27:120" ht="15.75" thickBot="1" x14ac:dyDescent="0.3">
      <c r="AA695" s="284">
        <f t="shared" ref="AA695:AF695" si="1210">AA144</f>
        <v>0</v>
      </c>
      <c r="AB695" s="284">
        <f t="shared" ref="AB695:AE695" si="1211">IF(OR(AB144&lt;=$AA695,AB144&gt;$AF695),100000,AB144)</f>
        <v>100000</v>
      </c>
      <c r="AC695" s="284">
        <f t="shared" si="1211"/>
        <v>100000</v>
      </c>
      <c r="AD695" s="284">
        <f t="shared" si="1211"/>
        <v>100000</v>
      </c>
      <c r="AE695" s="284">
        <f t="shared" si="1211"/>
        <v>100000</v>
      </c>
      <c r="AF695" s="284">
        <f t="shared" si="1210"/>
        <v>0</v>
      </c>
      <c r="AG695" s="238">
        <f t="shared" si="870"/>
        <v>0</v>
      </c>
      <c r="AH695" s="407">
        <f t="shared" si="871"/>
        <v>24</v>
      </c>
      <c r="AU695" s="112"/>
      <c r="AV695" s="112"/>
      <c r="BQ695" s="238">
        <f t="shared" si="1199"/>
        <v>595</v>
      </c>
      <c r="BR695" t="s">
        <v>448</v>
      </c>
      <c r="BS695" t="s">
        <v>449</v>
      </c>
      <c r="BT695" s="114">
        <f t="shared" ca="1" si="1168"/>
        <v>0</v>
      </c>
      <c r="BU695" s="112"/>
      <c r="BV695">
        <f t="shared" ca="1" si="956"/>
        <v>0</v>
      </c>
      <c r="BW695" s="112">
        <f t="shared" ca="1" si="865"/>
        <v>39994</v>
      </c>
      <c r="BX695" s="112">
        <f t="shared" ca="1" si="1208"/>
        <v>39994</v>
      </c>
      <c r="BY695">
        <f t="shared" ca="1" si="935"/>
        <v>18</v>
      </c>
      <c r="BZ695">
        <f t="shared" ca="1" si="936"/>
        <v>24</v>
      </c>
      <c r="CB695">
        <f t="shared" ca="1" si="898"/>
        <v>0</v>
      </c>
      <c r="CC695" s="112">
        <f t="shared" ca="1" si="899"/>
        <v>100000</v>
      </c>
      <c r="CD695" s="112">
        <f t="shared" ca="1" si="900"/>
        <v>39994</v>
      </c>
      <c r="CE695">
        <f t="shared" ca="1" si="901"/>
        <v>18</v>
      </c>
      <c r="CF695">
        <f t="shared" ca="1" si="902"/>
        <v>24</v>
      </c>
      <c r="CH695" s="112">
        <f t="shared" ca="1" si="1012"/>
        <v>39994</v>
      </c>
      <c r="CI695">
        <f t="shared" ca="1" si="1200"/>
        <v>0</v>
      </c>
      <c r="CJ695">
        <f t="shared" ref="CJ695" ca="1" si="1212">IF(AND(CI695=0,CC695&lt;100000),1,0)</f>
        <v>0</v>
      </c>
      <c r="CK695" s="112">
        <f t="shared" ca="1" si="1021"/>
        <v>39994</v>
      </c>
      <c r="CM695" s="112"/>
      <c r="CN695" s="261">
        <f t="shared" ref="CN695" ca="1" si="1213">IF(AND(CN691=100000,CN692=100000,CN693=100000,CN694=100000),INDIRECT(CONCATENATE("aa",BQ695)),CC695)</f>
        <v>100000</v>
      </c>
      <c r="CO695" s="324">
        <f t="shared" ca="1" si="1202"/>
        <v>39994</v>
      </c>
      <c r="CP695" s="256">
        <f t="shared" ca="1" si="1023"/>
        <v>18</v>
      </c>
      <c r="CQ695" s="329">
        <f t="shared" ca="1" si="1024"/>
        <v>24</v>
      </c>
      <c r="CS695" s="112">
        <f t="shared" ca="1" si="867"/>
        <v>100000</v>
      </c>
      <c r="CT695" s="112">
        <f t="shared" ca="1" si="916"/>
        <v>39994</v>
      </c>
      <c r="CU695" s="238">
        <f t="shared" ca="1" si="907"/>
        <v>18</v>
      </c>
      <c r="CV695" s="238">
        <f t="shared" ca="1" si="908"/>
        <v>24</v>
      </c>
      <c r="CY695">
        <f t="shared" si="917"/>
        <v>125</v>
      </c>
      <c r="DA695" s="112">
        <f t="shared" ca="1" si="918"/>
        <v>100000</v>
      </c>
      <c r="DC695">
        <f t="shared" si="919"/>
        <v>695</v>
      </c>
      <c r="DE695" t="str">
        <f t="shared" si="940"/>
        <v>cs695:dc790</v>
      </c>
      <c r="DF695">
        <f t="shared" ca="1" si="909"/>
        <v>695</v>
      </c>
      <c r="DG695" s="412">
        <f t="shared" ca="1" si="1060"/>
        <v>44804</v>
      </c>
      <c r="DH695" s="411" t="str">
        <f t="shared" ca="1" si="1049"/>
        <v/>
      </c>
      <c r="DI695" s="411" t="str">
        <f t="shared" ca="1" si="1050"/>
        <v/>
      </c>
      <c r="DJ695" s="410" t="str">
        <f t="shared" ca="1" si="1051"/>
        <v/>
      </c>
      <c r="DK695" s="410" t="str">
        <f t="shared" ca="1" si="1052"/>
        <v/>
      </c>
      <c r="DM695" s="411" t="str">
        <f t="shared" ca="1" si="1061"/>
        <v/>
      </c>
      <c r="DN695" s="411" t="str">
        <f t="shared" ca="1" si="1062"/>
        <v/>
      </c>
      <c r="DO695" s="410" t="str">
        <f t="shared" ca="1" si="1063"/>
        <v/>
      </c>
      <c r="DP695" s="410" t="str">
        <f t="shared" ca="1" si="1064"/>
        <v/>
      </c>
    </row>
    <row r="696" spans="27:120" x14ac:dyDescent="0.25">
      <c r="AA696" s="284">
        <f t="shared" ref="AA696:AF696" si="1214">AA145</f>
        <v>0</v>
      </c>
      <c r="AB696" s="284">
        <f t="shared" ref="AB696:AE696" si="1215">IF(OR(AB145&lt;=$AA696,AB145&gt;$AF696),100000,AB145)</f>
        <v>100000</v>
      </c>
      <c r="AC696" s="284">
        <f t="shared" si="1215"/>
        <v>100000</v>
      </c>
      <c r="AD696" s="284">
        <f t="shared" si="1215"/>
        <v>100000</v>
      </c>
      <c r="AE696" s="284">
        <f t="shared" si="1215"/>
        <v>100000</v>
      </c>
      <c r="AF696" s="284">
        <f t="shared" si="1214"/>
        <v>0</v>
      </c>
      <c r="AG696" s="238">
        <f t="shared" si="870"/>
        <v>0</v>
      </c>
      <c r="AH696" s="407">
        <f t="shared" si="871"/>
        <v>24</v>
      </c>
      <c r="AU696" s="112"/>
      <c r="AV696" s="112"/>
      <c r="BQ696" s="238">
        <f t="shared" ref="BQ696" si="1216">BQ695+1</f>
        <v>596</v>
      </c>
      <c r="BR696" s="112" t="s">
        <v>444</v>
      </c>
      <c r="BS696" s="112" t="s">
        <v>445</v>
      </c>
      <c r="BT696" s="114">
        <f t="shared" ca="1" si="1168"/>
        <v>1</v>
      </c>
      <c r="BU696" s="112"/>
      <c r="BV696">
        <f t="shared" ca="1" si="956"/>
        <v>0</v>
      </c>
      <c r="BW696" s="112">
        <f t="shared" ca="1" si="865"/>
        <v>40063</v>
      </c>
      <c r="BX696" s="112">
        <f t="shared" ref="BX696:BX698" ca="1" si="1217">INDIRECT(CONCATENATE(BS696,BQ696))-1</f>
        <v>40062</v>
      </c>
      <c r="BY696">
        <f t="shared" ca="1" si="935"/>
        <v>18</v>
      </c>
      <c r="BZ696">
        <f t="shared" ca="1" si="936"/>
        <v>24</v>
      </c>
      <c r="CB696">
        <f t="shared" ca="1" si="898"/>
        <v>0</v>
      </c>
      <c r="CC696" s="112">
        <f t="shared" ca="1" si="899"/>
        <v>100000</v>
      </c>
      <c r="CD696" s="112">
        <f t="shared" ca="1" si="900"/>
        <v>40062</v>
      </c>
      <c r="CE696">
        <f t="shared" ca="1" si="901"/>
        <v>18</v>
      </c>
      <c r="CF696">
        <f t="shared" ca="1" si="902"/>
        <v>24</v>
      </c>
      <c r="CH696" s="112">
        <f t="shared" ca="1" si="1012"/>
        <v>40063</v>
      </c>
      <c r="CI696">
        <f t="shared" ref="CI696" ca="1" si="1218">CB696+CB697+CB698+CB699+CB700</f>
        <v>0</v>
      </c>
      <c r="CJ696">
        <v>0</v>
      </c>
      <c r="CK696" s="112">
        <f t="shared" ca="1" si="1021"/>
        <v>40063</v>
      </c>
      <c r="CM696" s="112"/>
      <c r="CN696" s="408">
        <f t="shared" ca="1" si="904"/>
        <v>100000</v>
      </c>
      <c r="CO696" s="326">
        <f t="shared" ref="CO696" ca="1" si="1219">CD696</f>
        <v>40062</v>
      </c>
      <c r="CP696" s="333">
        <f t="shared" ca="1" si="1023"/>
        <v>18</v>
      </c>
      <c r="CQ696" s="327">
        <f t="shared" ca="1" si="1024"/>
        <v>24</v>
      </c>
      <c r="CS696" s="112">
        <f t="shared" ca="1" si="867"/>
        <v>100000</v>
      </c>
      <c r="CT696" s="112">
        <f t="shared" ref="CT696" ca="1" si="1220">IF(AND( CN697=100000,CN698=100000,CN699=100000,CN700=100000),CO700,                             CO696)</f>
        <v>40062</v>
      </c>
      <c r="CU696" s="238">
        <f t="shared" ca="1" si="907"/>
        <v>18</v>
      </c>
      <c r="CV696" s="238">
        <f t="shared" ca="1" si="908"/>
        <v>24</v>
      </c>
      <c r="CY696">
        <f t="shared" si="917"/>
        <v>126</v>
      </c>
      <c r="DA696" s="112">
        <f t="shared" ca="1" si="918"/>
        <v>100000</v>
      </c>
      <c r="DC696">
        <f t="shared" si="919"/>
        <v>696</v>
      </c>
      <c r="DE696" t="str">
        <f t="shared" si="940"/>
        <v>cs696:dc790</v>
      </c>
      <c r="DF696">
        <f t="shared" ca="1" si="909"/>
        <v>696</v>
      </c>
      <c r="DG696" s="412">
        <f t="shared" ca="1" si="1060"/>
        <v>44804</v>
      </c>
      <c r="DH696" s="411" t="str">
        <f t="shared" ca="1" si="1049"/>
        <v/>
      </c>
      <c r="DI696" s="411" t="str">
        <f t="shared" ca="1" si="1050"/>
        <v/>
      </c>
      <c r="DJ696" s="410" t="str">
        <f t="shared" ca="1" si="1051"/>
        <v/>
      </c>
      <c r="DK696" s="410" t="str">
        <f t="shared" ca="1" si="1052"/>
        <v/>
      </c>
      <c r="DM696" s="411" t="str">
        <f t="shared" ca="1" si="1061"/>
        <v/>
      </c>
      <c r="DN696" s="411" t="str">
        <f t="shared" ca="1" si="1062"/>
        <v/>
      </c>
      <c r="DO696" s="410" t="str">
        <f t="shared" ca="1" si="1063"/>
        <v/>
      </c>
      <c r="DP696" s="410" t="str">
        <f t="shared" ca="1" si="1064"/>
        <v/>
      </c>
    </row>
    <row r="697" spans="27:120" x14ac:dyDescent="0.25">
      <c r="AA697" s="284">
        <f t="shared" ref="AA697:AF697" si="1221">AA146</f>
        <v>0</v>
      </c>
      <c r="AB697" s="284">
        <f t="shared" ref="AB697:AE697" si="1222">IF(OR(AB146&lt;=$AA697,AB146&gt;$AF697),100000,AB146)</f>
        <v>100000</v>
      </c>
      <c r="AC697" s="284">
        <f t="shared" si="1222"/>
        <v>100000</v>
      </c>
      <c r="AD697" s="284">
        <f t="shared" si="1222"/>
        <v>100000</v>
      </c>
      <c r="AE697" s="284">
        <f t="shared" si="1222"/>
        <v>100000</v>
      </c>
      <c r="AF697" s="284">
        <f t="shared" si="1221"/>
        <v>0</v>
      </c>
      <c r="AG697" s="238">
        <f t="shared" si="870"/>
        <v>0</v>
      </c>
      <c r="AH697" s="407">
        <f t="shared" si="871"/>
        <v>24</v>
      </c>
      <c r="AU697" s="112"/>
      <c r="AV697" s="112"/>
      <c r="BQ697" s="238">
        <f t="shared" ref="BQ697:BQ700" si="1223">BQ696</f>
        <v>596</v>
      </c>
      <c r="BR697" t="s">
        <v>445</v>
      </c>
      <c r="BS697" t="s">
        <v>446</v>
      </c>
      <c r="BT697" s="114">
        <f t="shared" ca="1" si="1168"/>
        <v>1</v>
      </c>
      <c r="BU697" s="112"/>
      <c r="BV697">
        <f t="shared" ca="1" si="956"/>
        <v>0</v>
      </c>
      <c r="BW697" s="112">
        <f t="shared" ca="1" si="865"/>
        <v>40063</v>
      </c>
      <c r="BX697" s="112">
        <f t="shared" ca="1" si="1217"/>
        <v>40062</v>
      </c>
      <c r="BY697">
        <f t="shared" ca="1" si="935"/>
        <v>18</v>
      </c>
      <c r="BZ697">
        <f t="shared" ca="1" si="936"/>
        <v>24</v>
      </c>
      <c r="CB697">
        <f t="shared" ca="1" si="898"/>
        <v>0</v>
      </c>
      <c r="CC697" s="112">
        <f t="shared" ca="1" si="899"/>
        <v>100000</v>
      </c>
      <c r="CD697" s="112">
        <f t="shared" ca="1" si="900"/>
        <v>40062</v>
      </c>
      <c r="CE697">
        <f t="shared" ca="1" si="901"/>
        <v>18</v>
      </c>
      <c r="CF697">
        <f t="shared" ca="1" si="902"/>
        <v>24</v>
      </c>
      <c r="CH697" s="112">
        <f t="shared" ca="1" si="1012"/>
        <v>40063</v>
      </c>
      <c r="CI697">
        <f t="shared" ref="CI697:CI700" ca="1" si="1224">CI696</f>
        <v>0</v>
      </c>
      <c r="CJ697">
        <f t="shared" ref="CJ697" ca="1" si="1225">IF(AND(CI697=0,CJ698=0,CJ699=0,CJ700=0,CC697&lt;100000),1,0)</f>
        <v>0</v>
      </c>
      <c r="CK697" s="112">
        <f t="shared" ca="1" si="1021"/>
        <v>40063</v>
      </c>
      <c r="CM697" s="112"/>
      <c r="CN697" s="260">
        <f t="shared" ca="1" si="904"/>
        <v>100000</v>
      </c>
      <c r="CO697" s="112">
        <f t="shared" ref="CO697:CO700" ca="1" si="1226">IF(CJ697=1,CH697,CD697)</f>
        <v>40062</v>
      </c>
      <c r="CP697" s="238">
        <f t="shared" ca="1" si="1023"/>
        <v>18</v>
      </c>
      <c r="CQ697" s="328">
        <f t="shared" ca="1" si="1024"/>
        <v>24</v>
      </c>
      <c r="CS697" s="112">
        <f t="shared" ca="1" si="867"/>
        <v>100000</v>
      </c>
      <c r="CT697" s="112">
        <f t="shared" ca="1" si="916"/>
        <v>40062</v>
      </c>
      <c r="CU697" s="238">
        <f t="shared" ca="1" si="907"/>
        <v>18</v>
      </c>
      <c r="CV697" s="238">
        <f t="shared" ca="1" si="908"/>
        <v>24</v>
      </c>
      <c r="CY697">
        <f t="shared" si="917"/>
        <v>127</v>
      </c>
      <c r="DA697" s="112">
        <f t="shared" ca="1" si="918"/>
        <v>100000</v>
      </c>
      <c r="DC697">
        <f t="shared" si="919"/>
        <v>697</v>
      </c>
      <c r="DE697" t="str">
        <f t="shared" si="940"/>
        <v>cs697:dc790</v>
      </c>
      <c r="DF697">
        <f t="shared" ca="1" si="909"/>
        <v>697</v>
      </c>
      <c r="DG697" s="412">
        <f t="shared" ca="1" si="1060"/>
        <v>44804</v>
      </c>
      <c r="DH697" s="411" t="str">
        <f t="shared" ca="1" si="1049"/>
        <v/>
      </c>
      <c r="DI697" s="411" t="str">
        <f t="shared" ca="1" si="1050"/>
        <v/>
      </c>
      <c r="DJ697" s="410" t="str">
        <f t="shared" ca="1" si="1051"/>
        <v/>
      </c>
      <c r="DK697" s="410" t="str">
        <f t="shared" ca="1" si="1052"/>
        <v/>
      </c>
      <c r="DM697" s="411" t="str">
        <f t="shared" ca="1" si="1061"/>
        <v/>
      </c>
      <c r="DN697" s="411" t="str">
        <f t="shared" ca="1" si="1062"/>
        <v/>
      </c>
      <c r="DO697" s="410" t="str">
        <f t="shared" ca="1" si="1063"/>
        <v/>
      </c>
      <c r="DP697" s="410" t="str">
        <f t="shared" ca="1" si="1064"/>
        <v/>
      </c>
    </row>
    <row r="698" spans="27:120" x14ac:dyDescent="0.25">
      <c r="AA698" s="284">
        <f t="shared" ref="AA698:AF698" si="1227">AA147</f>
        <v>0</v>
      </c>
      <c r="AB698" s="284">
        <f t="shared" ref="AB698:AE698" si="1228">IF(OR(AB147&lt;=$AA698,AB147&gt;$AF698),100000,AB147)</f>
        <v>100000</v>
      </c>
      <c r="AC698" s="284">
        <f t="shared" si="1228"/>
        <v>100000</v>
      </c>
      <c r="AD698" s="284">
        <f t="shared" si="1228"/>
        <v>100000</v>
      </c>
      <c r="AE698" s="284">
        <f t="shared" si="1228"/>
        <v>100000</v>
      </c>
      <c r="AF698" s="284">
        <f t="shared" si="1227"/>
        <v>0</v>
      </c>
      <c r="AG698" s="238">
        <f t="shared" si="870"/>
        <v>0</v>
      </c>
      <c r="AH698" s="407">
        <f t="shared" si="871"/>
        <v>0</v>
      </c>
      <c r="AU698" s="112"/>
      <c r="AV698" s="112"/>
      <c r="BQ698" s="238">
        <f t="shared" si="1223"/>
        <v>596</v>
      </c>
      <c r="BR698" t="s">
        <v>446</v>
      </c>
      <c r="BS698" t="s">
        <v>447</v>
      </c>
      <c r="BT698" s="114">
        <f t="shared" ca="1" si="1168"/>
        <v>1</v>
      </c>
      <c r="BU698" s="112"/>
      <c r="BV698">
        <f t="shared" ca="1" si="956"/>
        <v>0</v>
      </c>
      <c r="BW698" s="112">
        <f t="shared" ca="1" si="865"/>
        <v>40063</v>
      </c>
      <c r="BX698" s="112">
        <f t="shared" ca="1" si="1217"/>
        <v>40062</v>
      </c>
      <c r="BY698">
        <f t="shared" ca="1" si="935"/>
        <v>18</v>
      </c>
      <c r="BZ698">
        <f t="shared" ca="1" si="936"/>
        <v>24</v>
      </c>
      <c r="CB698">
        <f t="shared" ca="1" si="898"/>
        <v>0</v>
      </c>
      <c r="CC698" s="112">
        <f t="shared" ca="1" si="899"/>
        <v>100000</v>
      </c>
      <c r="CD698" s="112">
        <f t="shared" ca="1" si="900"/>
        <v>40062</v>
      </c>
      <c r="CE698">
        <f t="shared" ca="1" si="901"/>
        <v>18</v>
      </c>
      <c r="CF698">
        <f t="shared" ca="1" si="902"/>
        <v>24</v>
      </c>
      <c r="CH698" s="112">
        <f t="shared" ca="1" si="1012"/>
        <v>40063</v>
      </c>
      <c r="CI698">
        <f t="shared" ca="1" si="1224"/>
        <v>0</v>
      </c>
      <c r="CJ698">
        <f t="shared" ref="CJ698" ca="1" si="1229">IF(AND(CI698=0,CJ699=0,CJ700=0,CC698&lt;100000),1,0)</f>
        <v>0</v>
      </c>
      <c r="CK698" s="112">
        <f t="shared" ca="1" si="1021"/>
        <v>40063</v>
      </c>
      <c r="CM698" s="112"/>
      <c r="CN698" s="260">
        <f t="shared" ca="1" si="904"/>
        <v>100000</v>
      </c>
      <c r="CO698" s="112">
        <f t="shared" ca="1" si="1226"/>
        <v>40062</v>
      </c>
      <c r="CP698" s="238">
        <f t="shared" ca="1" si="1023"/>
        <v>18</v>
      </c>
      <c r="CQ698" s="328">
        <f t="shared" ca="1" si="1024"/>
        <v>24</v>
      </c>
      <c r="CS698" s="112">
        <f t="shared" ca="1" si="867"/>
        <v>100000</v>
      </c>
      <c r="CT698" s="112">
        <f t="shared" ca="1" si="916"/>
        <v>40062</v>
      </c>
      <c r="CU698" s="238">
        <f t="shared" ca="1" si="907"/>
        <v>18</v>
      </c>
      <c r="CV698" s="238">
        <f t="shared" ca="1" si="908"/>
        <v>24</v>
      </c>
      <c r="CY698">
        <f t="shared" si="917"/>
        <v>128</v>
      </c>
      <c r="DA698" s="112">
        <f t="shared" ca="1" si="918"/>
        <v>100000</v>
      </c>
      <c r="DC698">
        <f t="shared" si="919"/>
        <v>698</v>
      </c>
      <c r="DE698" t="str">
        <f t="shared" si="940"/>
        <v>cs698:dc790</v>
      </c>
      <c r="DF698">
        <f t="shared" ca="1" si="909"/>
        <v>698</v>
      </c>
      <c r="DG698" s="412">
        <f t="shared" ca="1" si="1060"/>
        <v>44804</v>
      </c>
      <c r="DH698" s="411" t="str">
        <f t="shared" ca="1" si="1049"/>
        <v/>
      </c>
      <c r="DI698" s="411" t="str">
        <f t="shared" ca="1" si="1050"/>
        <v/>
      </c>
      <c r="DJ698" s="410" t="str">
        <f t="shared" ca="1" si="1051"/>
        <v/>
      </c>
      <c r="DK698" s="410" t="str">
        <f t="shared" ca="1" si="1052"/>
        <v/>
      </c>
      <c r="DM698" s="411" t="str">
        <f t="shared" ca="1" si="1061"/>
        <v/>
      </c>
      <c r="DN698" s="411" t="str">
        <f t="shared" ca="1" si="1062"/>
        <v/>
      </c>
      <c r="DO698" s="410" t="str">
        <f t="shared" ca="1" si="1063"/>
        <v/>
      </c>
      <c r="DP698" s="410" t="str">
        <f t="shared" ca="1" si="1064"/>
        <v/>
      </c>
    </row>
    <row r="699" spans="27:120" x14ac:dyDescent="0.25">
      <c r="AA699" s="284">
        <f t="shared" ref="AA699:AF699" si="1230">AA148</f>
        <v>0</v>
      </c>
      <c r="AB699" s="284">
        <f t="shared" ref="AB699:AE699" si="1231">IF(OR(AB148&lt;=$AA699,AB148&gt;$AF699),100000,AB148)</f>
        <v>100000</v>
      </c>
      <c r="AC699" s="284">
        <f t="shared" si="1231"/>
        <v>100000</v>
      </c>
      <c r="AD699" s="284">
        <f t="shared" si="1231"/>
        <v>100000</v>
      </c>
      <c r="AE699" s="284">
        <f t="shared" si="1231"/>
        <v>100000</v>
      </c>
      <c r="AF699" s="284">
        <f t="shared" si="1230"/>
        <v>0</v>
      </c>
      <c r="AG699" s="238">
        <f t="shared" si="870"/>
        <v>0</v>
      </c>
      <c r="AH699" s="407">
        <f t="shared" si="871"/>
        <v>0</v>
      </c>
      <c r="AU699" s="112"/>
      <c r="AV699" s="112"/>
      <c r="BQ699" s="238">
        <f t="shared" si="1223"/>
        <v>596</v>
      </c>
      <c r="BR699" t="s">
        <v>447</v>
      </c>
      <c r="BS699" t="s">
        <v>448</v>
      </c>
      <c r="BT699" s="114">
        <f t="shared" ca="1" si="1168"/>
        <v>1</v>
      </c>
      <c r="BU699" s="112"/>
      <c r="BV699">
        <f t="shared" ca="1" si="956"/>
        <v>0</v>
      </c>
      <c r="BW699" s="112">
        <f t="shared" ref="BW699:BW762" ca="1" si="1232">INDIRECT(CONCATENATE(BR699,BQ699))</f>
        <v>40063</v>
      </c>
      <c r="BX699" s="112">
        <f t="shared" ref="BX699:BX700" ca="1" si="1233">INDIRECT(CONCATENATE(BS699,BQ699))</f>
        <v>40063</v>
      </c>
      <c r="BY699">
        <f t="shared" ca="1" si="935"/>
        <v>18</v>
      </c>
      <c r="BZ699">
        <f t="shared" ca="1" si="936"/>
        <v>24</v>
      </c>
      <c r="CB699">
        <f t="shared" ca="1" si="898"/>
        <v>0</v>
      </c>
      <c r="CC699" s="112">
        <f t="shared" ca="1" si="899"/>
        <v>100000</v>
      </c>
      <c r="CD699" s="112">
        <f t="shared" ca="1" si="900"/>
        <v>40063</v>
      </c>
      <c r="CE699">
        <f t="shared" ca="1" si="901"/>
        <v>18</v>
      </c>
      <c r="CF699">
        <f t="shared" ca="1" si="902"/>
        <v>24</v>
      </c>
      <c r="CH699" s="112">
        <f t="shared" ca="1" si="1012"/>
        <v>40063</v>
      </c>
      <c r="CI699">
        <f t="shared" ca="1" si="1224"/>
        <v>0</v>
      </c>
      <c r="CJ699">
        <f t="shared" ref="CJ699" ca="1" si="1234">IF(AND(CI699=0,CJ700=0,CC699&lt;100000),1,0)</f>
        <v>0</v>
      </c>
      <c r="CK699" s="112">
        <f t="shared" ca="1" si="1021"/>
        <v>40063</v>
      </c>
      <c r="CM699" s="112"/>
      <c r="CN699" s="260">
        <f t="shared" ca="1" si="904"/>
        <v>100000</v>
      </c>
      <c r="CO699" s="112">
        <f t="shared" ca="1" si="1226"/>
        <v>40063</v>
      </c>
      <c r="CP699" s="238">
        <f t="shared" ca="1" si="1023"/>
        <v>18</v>
      </c>
      <c r="CQ699" s="328">
        <f t="shared" ca="1" si="1024"/>
        <v>24</v>
      </c>
      <c r="CS699" s="112">
        <f t="shared" ref="CS699:CS762" ca="1" si="1235">IF(TYPE(CN699)=16,100000,CN699)</f>
        <v>100000</v>
      </c>
      <c r="CT699" s="112">
        <f t="shared" ca="1" si="916"/>
        <v>40063</v>
      </c>
      <c r="CU699" s="238">
        <f t="shared" ca="1" si="907"/>
        <v>18</v>
      </c>
      <c r="CV699" s="238">
        <f t="shared" ca="1" si="908"/>
        <v>24</v>
      </c>
      <c r="CY699">
        <f t="shared" si="917"/>
        <v>129</v>
      </c>
      <c r="DA699" s="112">
        <f t="shared" ca="1" si="918"/>
        <v>100000</v>
      </c>
      <c r="DC699">
        <f t="shared" si="919"/>
        <v>699</v>
      </c>
      <c r="DE699" t="str">
        <f t="shared" si="940"/>
        <v>cs699:dc790</v>
      </c>
      <c r="DF699">
        <f t="shared" ca="1" si="909"/>
        <v>699</v>
      </c>
      <c r="DG699" s="412">
        <f t="shared" ca="1" si="1060"/>
        <v>44804</v>
      </c>
      <c r="DH699" s="411" t="str">
        <f t="shared" ca="1" si="1049"/>
        <v/>
      </c>
      <c r="DI699" s="411" t="str">
        <f t="shared" ca="1" si="1050"/>
        <v/>
      </c>
      <c r="DJ699" s="410" t="str">
        <f t="shared" ca="1" si="1051"/>
        <v/>
      </c>
      <c r="DK699" s="410" t="str">
        <f t="shared" ca="1" si="1052"/>
        <v/>
      </c>
      <c r="DM699" s="411" t="str">
        <f t="shared" ca="1" si="1061"/>
        <v/>
      </c>
      <c r="DN699" s="411" t="str">
        <f t="shared" ca="1" si="1062"/>
        <v/>
      </c>
      <c r="DO699" s="410" t="str">
        <f t="shared" ca="1" si="1063"/>
        <v/>
      </c>
      <c r="DP699" s="410" t="str">
        <f t="shared" ca="1" si="1064"/>
        <v/>
      </c>
    </row>
    <row r="700" spans="27:120" ht="15.75" thickBot="1" x14ac:dyDescent="0.3">
      <c r="AA700" s="284">
        <f t="shared" ref="AA700:AF700" si="1236">AA149</f>
        <v>0</v>
      </c>
      <c r="AB700" s="284">
        <f t="shared" ref="AB700:AE700" si="1237">IF(OR(AB149&lt;=$AA700,AB149&gt;$AF700),100000,AB149)</f>
        <v>100000</v>
      </c>
      <c r="AC700" s="284">
        <f t="shared" si="1237"/>
        <v>100000</v>
      </c>
      <c r="AD700" s="284">
        <f t="shared" si="1237"/>
        <v>100000</v>
      </c>
      <c r="AE700" s="284">
        <f t="shared" si="1237"/>
        <v>100000</v>
      </c>
      <c r="AF700" s="284">
        <f t="shared" si="1236"/>
        <v>0</v>
      </c>
      <c r="AG700" s="238">
        <f t="shared" ref="AG700:AG709" si="1238">H149</f>
        <v>0</v>
      </c>
      <c r="AH700" s="407">
        <f t="shared" ref="AH700:AH709" si="1239">J149</f>
        <v>0</v>
      </c>
      <c r="AU700" s="112"/>
      <c r="AV700" s="112"/>
      <c r="BQ700" s="238">
        <f t="shared" si="1223"/>
        <v>596</v>
      </c>
      <c r="BR700" t="s">
        <v>448</v>
      </c>
      <c r="BS700" t="s">
        <v>449</v>
      </c>
      <c r="BT700" s="114">
        <f t="shared" ca="1" si="1168"/>
        <v>1</v>
      </c>
      <c r="BU700" s="112"/>
      <c r="BV700">
        <f t="shared" ca="1" si="956"/>
        <v>0</v>
      </c>
      <c r="BW700" s="112">
        <f t="shared" ca="1" si="1232"/>
        <v>40063</v>
      </c>
      <c r="BX700" s="112">
        <f t="shared" ca="1" si="1233"/>
        <v>40063</v>
      </c>
      <c r="BY700">
        <f t="shared" ca="1" si="935"/>
        <v>18</v>
      </c>
      <c r="BZ700">
        <f t="shared" ca="1" si="936"/>
        <v>24</v>
      </c>
      <c r="CB700">
        <f t="shared" ref="CB700:CB763" ca="1" si="1240">IF(AND(CC700&lt;&gt;100000,CD700=INDIRECT(CONCATENATE("aq",BQ700))),1,0)</f>
        <v>0</v>
      </c>
      <c r="CC700" s="112">
        <f t="shared" ref="CC700:CC763" ca="1" si="1241">IF(OR(BV700=0,BW700&gt;BX700),100000,BW700)</f>
        <v>100000</v>
      </c>
      <c r="CD700" s="112">
        <f t="shared" ref="CD700:CD763" ca="1" si="1242">BX700</f>
        <v>40063</v>
      </c>
      <c r="CE700">
        <f t="shared" ref="CE700:CE763" ca="1" si="1243">BY700</f>
        <v>18</v>
      </c>
      <c r="CF700">
        <f t="shared" ref="CF700:CF763" ca="1" si="1244">BZ700</f>
        <v>24</v>
      </c>
      <c r="CH700" s="112">
        <f t="shared" ca="1" si="1012"/>
        <v>40063</v>
      </c>
      <c r="CI700">
        <f t="shared" ca="1" si="1224"/>
        <v>0</v>
      </c>
      <c r="CJ700">
        <f t="shared" ref="CJ700" ca="1" si="1245">IF(AND(CI700=0,CC700&lt;100000),1,0)</f>
        <v>0</v>
      </c>
      <c r="CK700" s="112">
        <f t="shared" ca="1" si="1021"/>
        <v>40063</v>
      </c>
      <c r="CM700" s="112"/>
      <c r="CN700" s="261">
        <f t="shared" ref="CN700" ca="1" si="1246">IF(AND(CN696=100000,CN697=100000,CN698=100000,CN699=100000),INDIRECT(CONCATENATE("aa",BQ700)),CC700)</f>
        <v>40063</v>
      </c>
      <c r="CO700" s="324">
        <f t="shared" ca="1" si="1226"/>
        <v>40063</v>
      </c>
      <c r="CP700" s="256">
        <f t="shared" ca="1" si="1023"/>
        <v>18</v>
      </c>
      <c r="CQ700" s="329">
        <f t="shared" ca="1" si="1024"/>
        <v>24</v>
      </c>
      <c r="CS700" s="112">
        <f t="shared" ca="1" si="1235"/>
        <v>40063</v>
      </c>
      <c r="CT700" s="112">
        <f t="shared" ca="1" si="916"/>
        <v>40063</v>
      </c>
      <c r="CU700" s="238">
        <f t="shared" ref="CU700:CU763" ca="1" si="1247">CP700</f>
        <v>18</v>
      </c>
      <c r="CV700" s="238">
        <f t="shared" ref="CV700:CV763" ca="1" si="1248">CQ700</f>
        <v>24</v>
      </c>
      <c r="CY700">
        <f t="shared" si="917"/>
        <v>130</v>
      </c>
      <c r="DA700" s="112">
        <f t="shared" ca="1" si="918"/>
        <v>100000</v>
      </c>
      <c r="DC700">
        <f t="shared" si="919"/>
        <v>700</v>
      </c>
      <c r="DE700" t="str">
        <f t="shared" si="940"/>
        <v>cs700:dc790</v>
      </c>
      <c r="DF700">
        <f t="shared" ref="DF700:DF763" ca="1" si="1249">VLOOKUP(DA700,INDIRECT(DE700),11,FALSE)</f>
        <v>702</v>
      </c>
      <c r="DG700" s="412">
        <f t="shared" ca="1" si="1060"/>
        <v>44804</v>
      </c>
      <c r="DH700" s="411" t="str">
        <f t="shared" ca="1" si="1049"/>
        <v/>
      </c>
      <c r="DI700" s="411" t="str">
        <f t="shared" ca="1" si="1050"/>
        <v/>
      </c>
      <c r="DJ700" s="410" t="str">
        <f t="shared" ca="1" si="1051"/>
        <v/>
      </c>
      <c r="DK700" s="410" t="str">
        <f t="shared" ca="1" si="1052"/>
        <v/>
      </c>
      <c r="DM700" s="411" t="str">
        <f t="shared" ca="1" si="1061"/>
        <v/>
      </c>
      <c r="DN700" s="411" t="str">
        <f t="shared" ca="1" si="1062"/>
        <v/>
      </c>
      <c r="DO700" s="410" t="str">
        <f t="shared" ca="1" si="1063"/>
        <v/>
      </c>
      <c r="DP700" s="410" t="str">
        <f t="shared" ca="1" si="1064"/>
        <v/>
      </c>
    </row>
    <row r="701" spans="27:120" x14ac:dyDescent="0.25">
      <c r="AA701" s="284">
        <f t="shared" ref="AA701:AF701" si="1250">AA150</f>
        <v>0</v>
      </c>
      <c r="AB701" s="284">
        <f t="shared" ref="AB701:AE701" si="1251">IF(OR(AB150&lt;=$AA701,AB150&gt;$AF701),100000,AB150)</f>
        <v>100000</v>
      </c>
      <c r="AC701" s="284">
        <f t="shared" si="1251"/>
        <v>100000</v>
      </c>
      <c r="AD701" s="284">
        <f t="shared" si="1251"/>
        <v>100000</v>
      </c>
      <c r="AE701" s="284">
        <f t="shared" si="1251"/>
        <v>100000</v>
      </c>
      <c r="AF701" s="284">
        <f t="shared" si="1250"/>
        <v>0</v>
      </c>
      <c r="AG701" s="238">
        <f t="shared" si="1238"/>
        <v>0</v>
      </c>
      <c r="AH701" s="407">
        <f t="shared" si="1239"/>
        <v>0</v>
      </c>
      <c r="AU701" s="112"/>
      <c r="AV701" s="112"/>
      <c r="BQ701" s="238">
        <f t="shared" ref="BQ701" si="1252">BQ700+1</f>
        <v>597</v>
      </c>
      <c r="BR701" s="112" t="s">
        <v>444</v>
      </c>
      <c r="BS701" s="112" t="s">
        <v>445</v>
      </c>
      <c r="BT701" s="114">
        <f t="shared" ca="1" si="1168"/>
        <v>0</v>
      </c>
      <c r="BU701" s="112"/>
      <c r="BV701">
        <f t="shared" ca="1" si="956"/>
        <v>1</v>
      </c>
      <c r="BW701" s="112">
        <f t="shared" ca="1" si="1232"/>
        <v>40066</v>
      </c>
      <c r="BX701" s="112">
        <f t="shared" ref="BX701:BX703" ca="1" si="1253">INDIRECT(CONCATENATE(BS701,BQ701))-1</f>
        <v>40170</v>
      </c>
      <c r="BY701">
        <f t="shared" ca="1" si="935"/>
        <v>18</v>
      </c>
      <c r="BZ701">
        <f t="shared" ca="1" si="936"/>
        <v>24</v>
      </c>
      <c r="CB701">
        <f t="shared" ca="1" si="1240"/>
        <v>0</v>
      </c>
      <c r="CC701" s="112">
        <f t="shared" ca="1" si="1241"/>
        <v>40066</v>
      </c>
      <c r="CD701" s="112">
        <f t="shared" ca="1" si="1242"/>
        <v>40170</v>
      </c>
      <c r="CE701">
        <f t="shared" ca="1" si="1243"/>
        <v>18</v>
      </c>
      <c r="CF701">
        <f t="shared" ca="1" si="1244"/>
        <v>24</v>
      </c>
      <c r="CH701" s="112">
        <f t="shared" ca="1" si="1012"/>
        <v>40421</v>
      </c>
      <c r="CI701">
        <f t="shared" ref="CI701" ca="1" si="1254">CB701+CB702+CB703+CB704+CB705</f>
        <v>1</v>
      </c>
      <c r="CJ701">
        <v>0</v>
      </c>
      <c r="CK701" s="112">
        <f t="shared" ca="1" si="1021"/>
        <v>40421</v>
      </c>
      <c r="CM701" s="112"/>
      <c r="CN701" s="408">
        <f t="shared" ref="CN701:CN764" ca="1" si="1255">CC701</f>
        <v>40066</v>
      </c>
      <c r="CO701" s="326">
        <f t="shared" ref="CO701" ca="1" si="1256">CD701</f>
        <v>40170</v>
      </c>
      <c r="CP701" s="333">
        <f t="shared" ca="1" si="1023"/>
        <v>18</v>
      </c>
      <c r="CQ701" s="327">
        <f t="shared" ca="1" si="1024"/>
        <v>24</v>
      </c>
      <c r="CS701" s="112">
        <f t="shared" ca="1" si="1235"/>
        <v>40066</v>
      </c>
      <c r="CT701" s="112">
        <f t="shared" ref="CT701" ca="1" si="1257">IF(AND( CN702=100000,CN703=100000,CN704=100000,CN705=100000),CO705,                             CO701)</f>
        <v>40170</v>
      </c>
      <c r="CU701" s="238">
        <f t="shared" ca="1" si="1247"/>
        <v>18</v>
      </c>
      <c r="CV701" s="238">
        <f t="shared" ca="1" si="1248"/>
        <v>24</v>
      </c>
      <c r="CY701">
        <f t="shared" ref="CY701:CY764" si="1258">CY700+1</f>
        <v>131</v>
      </c>
      <c r="DA701" s="112">
        <f t="shared" ref="DA701:DA764" ca="1" si="1259">SMALL($CS$571:$CS$1100,CY701)</f>
        <v>100000</v>
      </c>
      <c r="DC701">
        <f t="shared" ref="DC701:DC764" si="1260">DC700+1</f>
        <v>701</v>
      </c>
      <c r="DE701" t="str">
        <f t="shared" si="940"/>
        <v>cs701:dc790</v>
      </c>
      <c r="DF701">
        <f t="shared" ca="1" si="1249"/>
        <v>702</v>
      </c>
      <c r="DG701" s="412">
        <f t="shared" ca="1" si="1060"/>
        <v>44804</v>
      </c>
      <c r="DH701" s="411" t="str">
        <f t="shared" ca="1" si="1049"/>
        <v/>
      </c>
      <c r="DI701" s="411" t="str">
        <f t="shared" ca="1" si="1050"/>
        <v/>
      </c>
      <c r="DJ701" s="410" t="str">
        <f t="shared" ca="1" si="1051"/>
        <v/>
      </c>
      <c r="DK701" s="410" t="str">
        <f t="shared" ca="1" si="1052"/>
        <v/>
      </c>
      <c r="DM701" s="411" t="str">
        <f t="shared" ca="1" si="1061"/>
        <v/>
      </c>
      <c r="DN701" s="411" t="str">
        <f t="shared" ca="1" si="1062"/>
        <v/>
      </c>
      <c r="DO701" s="410" t="str">
        <f t="shared" ca="1" si="1063"/>
        <v/>
      </c>
      <c r="DP701" s="410" t="str">
        <f t="shared" ca="1" si="1064"/>
        <v/>
      </c>
    </row>
    <row r="702" spans="27:120" x14ac:dyDescent="0.25">
      <c r="AA702" s="284">
        <f t="shared" ref="AA702:AF702" si="1261">AA151</f>
        <v>0</v>
      </c>
      <c r="AB702" s="284">
        <f t="shared" ref="AB702:AE702" si="1262">IF(OR(AB151&lt;=$AA702,AB151&gt;$AF702),100000,AB151)</f>
        <v>100000</v>
      </c>
      <c r="AC702" s="284">
        <f t="shared" si="1262"/>
        <v>100000</v>
      </c>
      <c r="AD702" s="284">
        <f t="shared" si="1262"/>
        <v>100000</v>
      </c>
      <c r="AE702" s="284">
        <f t="shared" si="1262"/>
        <v>100000</v>
      </c>
      <c r="AF702" s="284">
        <f t="shared" si="1261"/>
        <v>0</v>
      </c>
      <c r="AG702" s="238">
        <f t="shared" si="1238"/>
        <v>0</v>
      </c>
      <c r="AH702" s="407">
        <f t="shared" si="1239"/>
        <v>0</v>
      </c>
      <c r="AU702" s="112"/>
      <c r="AV702" s="112"/>
      <c r="BQ702" s="238">
        <f t="shared" ref="BQ702:BQ705" si="1263">BQ701</f>
        <v>597</v>
      </c>
      <c r="BR702" t="s">
        <v>445</v>
      </c>
      <c r="BS702" t="s">
        <v>446</v>
      </c>
      <c r="BT702" s="114">
        <f t="shared" ca="1" si="1168"/>
        <v>0</v>
      </c>
      <c r="BU702" s="112"/>
      <c r="BV702">
        <f t="shared" ca="1" si="956"/>
        <v>1</v>
      </c>
      <c r="BW702" s="112">
        <f t="shared" ca="1" si="1232"/>
        <v>40171</v>
      </c>
      <c r="BX702" s="112">
        <f t="shared" ca="1" si="1253"/>
        <v>40170</v>
      </c>
      <c r="BY702">
        <f t="shared" ca="1" si="935"/>
        <v>18</v>
      </c>
      <c r="BZ702">
        <f t="shared" ca="1" si="936"/>
        <v>24</v>
      </c>
      <c r="CB702">
        <f t="shared" ca="1" si="1240"/>
        <v>0</v>
      </c>
      <c r="CC702" s="112">
        <f t="shared" ca="1" si="1241"/>
        <v>100000</v>
      </c>
      <c r="CD702" s="112">
        <f t="shared" ca="1" si="1242"/>
        <v>40170</v>
      </c>
      <c r="CE702">
        <f t="shared" ca="1" si="1243"/>
        <v>18</v>
      </c>
      <c r="CF702">
        <f t="shared" ca="1" si="1244"/>
        <v>24</v>
      </c>
      <c r="CH702" s="112">
        <f t="shared" ca="1" si="1012"/>
        <v>40421</v>
      </c>
      <c r="CI702">
        <f t="shared" ref="CI702:CI705" ca="1" si="1264">CI701</f>
        <v>1</v>
      </c>
      <c r="CJ702">
        <f t="shared" ref="CJ702" ca="1" si="1265">IF(AND(CI702=0,CJ703=0,CJ704=0,CJ705=0,CC702&lt;100000),1,0)</f>
        <v>0</v>
      </c>
      <c r="CK702" s="112">
        <f t="shared" ca="1" si="1021"/>
        <v>40421</v>
      </c>
      <c r="CM702" s="112"/>
      <c r="CN702" s="260">
        <f t="shared" ca="1" si="1255"/>
        <v>100000</v>
      </c>
      <c r="CO702" s="112">
        <f t="shared" ref="CO702:CO705" ca="1" si="1266">IF(CJ702=1,CH702,CD702)</f>
        <v>40170</v>
      </c>
      <c r="CP702" s="238">
        <f t="shared" ca="1" si="1023"/>
        <v>18</v>
      </c>
      <c r="CQ702" s="328">
        <f t="shared" ca="1" si="1024"/>
        <v>24</v>
      </c>
      <c r="CS702" s="112">
        <f t="shared" ca="1" si="1235"/>
        <v>100000</v>
      </c>
      <c r="CT702" s="112">
        <f t="shared" ref="CT702:CT765" ca="1" si="1267">CO702</f>
        <v>40170</v>
      </c>
      <c r="CU702" s="238">
        <f t="shared" ca="1" si="1247"/>
        <v>18</v>
      </c>
      <c r="CV702" s="238">
        <f t="shared" ca="1" si="1248"/>
        <v>24</v>
      </c>
      <c r="CY702">
        <f t="shared" si="1258"/>
        <v>132</v>
      </c>
      <c r="DA702" s="112">
        <f t="shared" ca="1" si="1259"/>
        <v>100000</v>
      </c>
      <c r="DC702">
        <f t="shared" si="1260"/>
        <v>702</v>
      </c>
      <c r="DE702" t="str">
        <f t="shared" si="940"/>
        <v>cs702:dc790</v>
      </c>
      <c r="DF702">
        <f t="shared" ca="1" si="1249"/>
        <v>702</v>
      </c>
      <c r="DG702" s="412">
        <f t="shared" ca="1" si="1060"/>
        <v>44804</v>
      </c>
      <c r="DH702" s="411" t="str">
        <f t="shared" ca="1" si="1049"/>
        <v/>
      </c>
      <c r="DI702" s="411" t="str">
        <f t="shared" ca="1" si="1050"/>
        <v/>
      </c>
      <c r="DJ702" s="410" t="str">
        <f t="shared" ca="1" si="1051"/>
        <v/>
      </c>
      <c r="DK702" s="410" t="str">
        <f t="shared" ca="1" si="1052"/>
        <v/>
      </c>
      <c r="DM702" s="411" t="str">
        <f t="shared" ca="1" si="1061"/>
        <v/>
      </c>
      <c r="DN702" s="411" t="str">
        <f t="shared" ca="1" si="1062"/>
        <v/>
      </c>
      <c r="DO702" s="410" t="str">
        <f t="shared" ca="1" si="1063"/>
        <v/>
      </c>
      <c r="DP702" s="410" t="str">
        <f t="shared" ca="1" si="1064"/>
        <v/>
      </c>
    </row>
    <row r="703" spans="27:120" x14ac:dyDescent="0.25">
      <c r="AA703" s="284">
        <f t="shared" ref="AA703:AF703" si="1268">AA152</f>
        <v>0</v>
      </c>
      <c r="AB703" s="284">
        <f t="shared" ref="AB703:AE703" si="1269">IF(OR(AB152&lt;=$AA703,AB152&gt;$AF703),100000,AB152)</f>
        <v>100000</v>
      </c>
      <c r="AC703" s="284">
        <f t="shared" si="1269"/>
        <v>100000</v>
      </c>
      <c r="AD703" s="284">
        <f t="shared" si="1269"/>
        <v>100000</v>
      </c>
      <c r="AE703" s="284">
        <f t="shared" si="1269"/>
        <v>100000</v>
      </c>
      <c r="AF703" s="284">
        <f t="shared" si="1268"/>
        <v>0</v>
      </c>
      <c r="AG703" s="238">
        <f t="shared" si="1238"/>
        <v>0</v>
      </c>
      <c r="AH703" s="407">
        <f t="shared" si="1239"/>
        <v>0</v>
      </c>
      <c r="AU703" s="112"/>
      <c r="AV703" s="112"/>
      <c r="BQ703" s="238">
        <f t="shared" si="1263"/>
        <v>597</v>
      </c>
      <c r="BR703" t="s">
        <v>446</v>
      </c>
      <c r="BS703" t="s">
        <v>447</v>
      </c>
      <c r="BT703" s="114">
        <f t="shared" ca="1" si="1168"/>
        <v>0</v>
      </c>
      <c r="BU703" s="112"/>
      <c r="BV703">
        <f t="shared" ca="1" si="956"/>
        <v>1</v>
      </c>
      <c r="BW703" s="112">
        <f t="shared" ca="1" si="1232"/>
        <v>40171</v>
      </c>
      <c r="BX703" s="112">
        <f t="shared" ca="1" si="1253"/>
        <v>40359</v>
      </c>
      <c r="BY703">
        <f t="shared" ca="1" si="935"/>
        <v>18</v>
      </c>
      <c r="BZ703">
        <f t="shared" ca="1" si="936"/>
        <v>24</v>
      </c>
      <c r="CB703">
        <f t="shared" ca="1" si="1240"/>
        <v>0</v>
      </c>
      <c r="CC703" s="112">
        <f t="shared" ca="1" si="1241"/>
        <v>40171</v>
      </c>
      <c r="CD703" s="112">
        <f t="shared" ca="1" si="1242"/>
        <v>40359</v>
      </c>
      <c r="CE703">
        <f t="shared" ca="1" si="1243"/>
        <v>18</v>
      </c>
      <c r="CF703">
        <f t="shared" ca="1" si="1244"/>
        <v>24</v>
      </c>
      <c r="CH703" s="112">
        <f t="shared" ca="1" si="1012"/>
        <v>40421</v>
      </c>
      <c r="CI703">
        <f t="shared" ca="1" si="1264"/>
        <v>1</v>
      </c>
      <c r="CJ703">
        <f t="shared" ref="CJ703" ca="1" si="1270">IF(AND(CI703=0,CJ704=0,CJ705=0,CC703&lt;100000),1,0)</f>
        <v>0</v>
      </c>
      <c r="CK703" s="112">
        <f t="shared" ca="1" si="1021"/>
        <v>40421</v>
      </c>
      <c r="CM703" s="112"/>
      <c r="CN703" s="260">
        <f t="shared" ca="1" si="1255"/>
        <v>40171</v>
      </c>
      <c r="CO703" s="112">
        <f t="shared" ca="1" si="1266"/>
        <v>40359</v>
      </c>
      <c r="CP703" s="238">
        <f t="shared" ca="1" si="1023"/>
        <v>18</v>
      </c>
      <c r="CQ703" s="328">
        <f t="shared" ca="1" si="1024"/>
        <v>24</v>
      </c>
      <c r="CS703" s="112">
        <f t="shared" ca="1" si="1235"/>
        <v>40171</v>
      </c>
      <c r="CT703" s="112">
        <f t="shared" ca="1" si="1267"/>
        <v>40359</v>
      </c>
      <c r="CU703" s="238">
        <f t="shared" ca="1" si="1247"/>
        <v>18</v>
      </c>
      <c r="CV703" s="238">
        <f t="shared" ca="1" si="1248"/>
        <v>24</v>
      </c>
      <c r="CY703">
        <f t="shared" si="1258"/>
        <v>133</v>
      </c>
      <c r="DA703" s="112">
        <f t="shared" ca="1" si="1259"/>
        <v>100000</v>
      </c>
      <c r="DC703">
        <f t="shared" si="1260"/>
        <v>703</v>
      </c>
      <c r="DE703" t="str">
        <f t="shared" si="940"/>
        <v>cs703:dc790</v>
      </c>
      <c r="DF703">
        <f t="shared" ca="1" si="1249"/>
        <v>705</v>
      </c>
      <c r="DG703" s="412">
        <f t="shared" ca="1" si="1060"/>
        <v>44804</v>
      </c>
      <c r="DH703" s="411" t="str">
        <f t="shared" ca="1" si="1049"/>
        <v/>
      </c>
      <c r="DI703" s="411" t="str">
        <f t="shared" ca="1" si="1050"/>
        <v/>
      </c>
      <c r="DJ703" s="410" t="str">
        <f t="shared" ca="1" si="1051"/>
        <v/>
      </c>
      <c r="DK703" s="410" t="str">
        <f t="shared" ca="1" si="1052"/>
        <v/>
      </c>
      <c r="DM703" s="411" t="str">
        <f t="shared" ca="1" si="1061"/>
        <v/>
      </c>
      <c r="DN703" s="411" t="str">
        <f t="shared" ca="1" si="1062"/>
        <v/>
      </c>
      <c r="DO703" s="410" t="str">
        <f t="shared" ca="1" si="1063"/>
        <v/>
      </c>
      <c r="DP703" s="410" t="str">
        <f t="shared" ca="1" si="1064"/>
        <v/>
      </c>
    </row>
    <row r="704" spans="27:120" x14ac:dyDescent="0.25">
      <c r="AA704" s="284">
        <f t="shared" ref="AA704:AF704" si="1271">AA153</f>
        <v>0</v>
      </c>
      <c r="AB704" s="284">
        <f t="shared" ref="AB704:AE704" si="1272">IF(OR(AB153&lt;=$AA704,AB153&gt;$AF704),100000,AB153)</f>
        <v>100000</v>
      </c>
      <c r="AC704" s="284">
        <f t="shared" si="1272"/>
        <v>100000</v>
      </c>
      <c r="AD704" s="284">
        <f t="shared" si="1272"/>
        <v>100000</v>
      </c>
      <c r="AE704" s="284">
        <f t="shared" si="1272"/>
        <v>100000</v>
      </c>
      <c r="AF704" s="284">
        <f t="shared" si="1271"/>
        <v>0</v>
      </c>
      <c r="AG704" s="238">
        <f t="shared" si="1238"/>
        <v>0</v>
      </c>
      <c r="AH704" s="407">
        <f t="shared" si="1239"/>
        <v>0</v>
      </c>
      <c r="AU704" s="112"/>
      <c r="AV704" s="112"/>
      <c r="BQ704" s="238">
        <f t="shared" si="1263"/>
        <v>597</v>
      </c>
      <c r="BR704" t="s">
        <v>447</v>
      </c>
      <c r="BS704" t="s">
        <v>448</v>
      </c>
      <c r="BT704" s="114">
        <f t="shared" ca="1" si="1168"/>
        <v>0</v>
      </c>
      <c r="BU704" s="112"/>
      <c r="BV704">
        <f t="shared" ca="1" si="956"/>
        <v>1</v>
      </c>
      <c r="BW704" s="112">
        <f t="shared" ca="1" si="1232"/>
        <v>40360</v>
      </c>
      <c r="BX704" s="112">
        <f t="shared" ref="BX704:BX705" ca="1" si="1273">INDIRECT(CONCATENATE(BS704,BQ704))</f>
        <v>40421</v>
      </c>
      <c r="BY704">
        <f t="shared" ca="1" si="935"/>
        <v>18</v>
      </c>
      <c r="BZ704">
        <f t="shared" ca="1" si="936"/>
        <v>24</v>
      </c>
      <c r="CB704">
        <f t="shared" ca="1" si="1240"/>
        <v>1</v>
      </c>
      <c r="CC704" s="112">
        <f t="shared" ca="1" si="1241"/>
        <v>40360</v>
      </c>
      <c r="CD704" s="112">
        <f t="shared" ca="1" si="1242"/>
        <v>40421</v>
      </c>
      <c r="CE704">
        <f t="shared" ca="1" si="1243"/>
        <v>18</v>
      </c>
      <c r="CF704">
        <f t="shared" ca="1" si="1244"/>
        <v>24</v>
      </c>
      <c r="CH704" s="112">
        <f t="shared" ca="1" si="1012"/>
        <v>40421</v>
      </c>
      <c r="CI704">
        <f t="shared" ca="1" si="1264"/>
        <v>1</v>
      </c>
      <c r="CJ704">
        <f t="shared" ref="CJ704" ca="1" si="1274">IF(AND(CI704=0,CJ705=0,CC704&lt;100000),1,0)</f>
        <v>0</v>
      </c>
      <c r="CK704" s="112">
        <f t="shared" ca="1" si="1021"/>
        <v>40421</v>
      </c>
      <c r="CM704" s="112"/>
      <c r="CN704" s="260">
        <f t="shared" ca="1" si="1255"/>
        <v>40360</v>
      </c>
      <c r="CO704" s="112">
        <f t="shared" ca="1" si="1266"/>
        <v>40421</v>
      </c>
      <c r="CP704" s="238">
        <f t="shared" ca="1" si="1023"/>
        <v>18</v>
      </c>
      <c r="CQ704" s="328">
        <f t="shared" ca="1" si="1024"/>
        <v>24</v>
      </c>
      <c r="CS704" s="112">
        <f t="shared" ca="1" si="1235"/>
        <v>40360</v>
      </c>
      <c r="CT704" s="112">
        <f t="shared" ca="1" si="1267"/>
        <v>40421</v>
      </c>
      <c r="CU704" s="238">
        <f t="shared" ca="1" si="1247"/>
        <v>18</v>
      </c>
      <c r="CV704" s="238">
        <f t="shared" ca="1" si="1248"/>
        <v>24</v>
      </c>
      <c r="CY704">
        <f t="shared" si="1258"/>
        <v>134</v>
      </c>
      <c r="DA704" s="112">
        <f t="shared" ca="1" si="1259"/>
        <v>100000</v>
      </c>
      <c r="DC704">
        <f t="shared" si="1260"/>
        <v>704</v>
      </c>
      <c r="DE704" t="str">
        <f t="shared" si="940"/>
        <v>cs704:dc790</v>
      </c>
      <c r="DF704">
        <f t="shared" ca="1" si="1249"/>
        <v>705</v>
      </c>
      <c r="DG704" s="412">
        <f t="shared" ca="1" si="1060"/>
        <v>44804</v>
      </c>
      <c r="DH704" s="411" t="str">
        <f t="shared" ca="1" si="1049"/>
        <v/>
      </c>
      <c r="DI704" s="411" t="str">
        <f t="shared" ca="1" si="1050"/>
        <v/>
      </c>
      <c r="DJ704" s="410" t="str">
        <f t="shared" ca="1" si="1051"/>
        <v/>
      </c>
      <c r="DK704" s="410" t="str">
        <f t="shared" ca="1" si="1052"/>
        <v/>
      </c>
      <c r="DM704" s="411" t="str">
        <f t="shared" ca="1" si="1061"/>
        <v/>
      </c>
      <c r="DN704" s="411" t="str">
        <f t="shared" ca="1" si="1062"/>
        <v/>
      </c>
      <c r="DO704" s="410" t="str">
        <f t="shared" ca="1" si="1063"/>
        <v/>
      </c>
      <c r="DP704" s="410" t="str">
        <f t="shared" ca="1" si="1064"/>
        <v/>
      </c>
    </row>
    <row r="705" spans="27:120" ht="15.75" thickBot="1" x14ac:dyDescent="0.3">
      <c r="AA705" s="284">
        <f t="shared" ref="AA705:AF705" si="1275">AA154</f>
        <v>0</v>
      </c>
      <c r="AB705" s="284">
        <f t="shared" ref="AB705:AE705" si="1276">IF(OR(AB154&lt;=$AA705,AB154&gt;$AF705),100000,AB154)</f>
        <v>100000</v>
      </c>
      <c r="AC705" s="284">
        <f t="shared" si="1276"/>
        <v>100000</v>
      </c>
      <c r="AD705" s="284">
        <f t="shared" si="1276"/>
        <v>100000</v>
      </c>
      <c r="AE705" s="284">
        <f t="shared" si="1276"/>
        <v>100000</v>
      </c>
      <c r="AF705" s="284">
        <f t="shared" si="1275"/>
        <v>0</v>
      </c>
      <c r="AG705" s="238">
        <f t="shared" si="1238"/>
        <v>0</v>
      </c>
      <c r="AH705" s="407">
        <f t="shared" si="1239"/>
        <v>0</v>
      </c>
      <c r="AU705" s="112"/>
      <c r="AV705" s="112"/>
      <c r="BQ705" s="238">
        <f t="shared" si="1263"/>
        <v>597</v>
      </c>
      <c r="BR705" t="s">
        <v>448</v>
      </c>
      <c r="BS705" t="s">
        <v>449</v>
      </c>
      <c r="BT705" s="114">
        <f t="shared" ca="1" si="1168"/>
        <v>0</v>
      </c>
      <c r="BU705" s="112"/>
      <c r="BV705">
        <f t="shared" ca="1" si="956"/>
        <v>0</v>
      </c>
      <c r="BW705" s="112">
        <f t="shared" ca="1" si="1232"/>
        <v>40421</v>
      </c>
      <c r="BX705" s="112">
        <f t="shared" ca="1" si="1273"/>
        <v>40421</v>
      </c>
      <c r="BY705">
        <f t="shared" ref="BY705:BY768" ca="1" si="1277">INDIRECT(CONCATENATE("ag",BQ705))</f>
        <v>18</v>
      </c>
      <c r="BZ705">
        <f t="shared" ref="BZ705:BZ768" ca="1" si="1278">INDIRECT(CONCATENATE("ah",BQ705))</f>
        <v>24</v>
      </c>
      <c r="CB705">
        <f t="shared" ca="1" si="1240"/>
        <v>0</v>
      </c>
      <c r="CC705" s="112">
        <f t="shared" ca="1" si="1241"/>
        <v>100000</v>
      </c>
      <c r="CD705" s="112">
        <f t="shared" ca="1" si="1242"/>
        <v>40421</v>
      </c>
      <c r="CE705">
        <f t="shared" ca="1" si="1243"/>
        <v>18</v>
      </c>
      <c r="CF705">
        <f t="shared" ca="1" si="1244"/>
        <v>24</v>
      </c>
      <c r="CH705" s="112">
        <f t="shared" ca="1" si="1012"/>
        <v>40421</v>
      </c>
      <c r="CI705">
        <f t="shared" ca="1" si="1264"/>
        <v>1</v>
      </c>
      <c r="CJ705">
        <f t="shared" ref="CJ705" ca="1" si="1279">IF(AND(CI705=0,CC705&lt;100000),1,0)</f>
        <v>0</v>
      </c>
      <c r="CK705" s="112">
        <f t="shared" ca="1" si="1021"/>
        <v>40421</v>
      </c>
      <c r="CM705" s="112"/>
      <c r="CN705" s="261">
        <f t="shared" ref="CN705" ca="1" si="1280">IF(AND(CN701=100000,CN702=100000,CN703=100000,CN704=100000),INDIRECT(CONCATENATE("aa",BQ705)),CC705)</f>
        <v>100000</v>
      </c>
      <c r="CO705" s="324">
        <f t="shared" ca="1" si="1266"/>
        <v>40421</v>
      </c>
      <c r="CP705" s="256">
        <f t="shared" ca="1" si="1023"/>
        <v>18</v>
      </c>
      <c r="CQ705" s="329">
        <f t="shared" ca="1" si="1024"/>
        <v>24</v>
      </c>
      <c r="CS705" s="112">
        <f t="shared" ca="1" si="1235"/>
        <v>100000</v>
      </c>
      <c r="CT705" s="112">
        <f t="shared" ca="1" si="1267"/>
        <v>40421</v>
      </c>
      <c r="CU705" s="238">
        <f t="shared" ca="1" si="1247"/>
        <v>18</v>
      </c>
      <c r="CV705" s="238">
        <f t="shared" ca="1" si="1248"/>
        <v>24</v>
      </c>
      <c r="CY705">
        <f t="shared" si="1258"/>
        <v>135</v>
      </c>
      <c r="DA705" s="112">
        <f t="shared" ca="1" si="1259"/>
        <v>100000</v>
      </c>
      <c r="DC705">
        <f t="shared" si="1260"/>
        <v>705</v>
      </c>
      <c r="DE705" t="str">
        <f t="shared" ref="DE705:DE768" si="1281">CONCATENATE("cs",DC705,":dc790")</f>
        <v>cs705:dc790</v>
      </c>
      <c r="DF705">
        <f t="shared" ca="1" si="1249"/>
        <v>705</v>
      </c>
      <c r="DG705" s="412">
        <f t="shared" ca="1" si="1060"/>
        <v>44804</v>
      </c>
      <c r="DH705" s="411" t="str">
        <f t="shared" ca="1" si="1049"/>
        <v/>
      </c>
      <c r="DI705" s="411" t="str">
        <f t="shared" ca="1" si="1050"/>
        <v/>
      </c>
      <c r="DJ705" s="410" t="str">
        <f t="shared" ca="1" si="1051"/>
        <v/>
      </c>
      <c r="DK705" s="410" t="str">
        <f t="shared" ca="1" si="1052"/>
        <v/>
      </c>
      <c r="DM705" s="411" t="str">
        <f t="shared" ca="1" si="1061"/>
        <v/>
      </c>
      <c r="DN705" s="411" t="str">
        <f t="shared" ca="1" si="1062"/>
        <v/>
      </c>
      <c r="DO705" s="410" t="str">
        <f t="shared" ca="1" si="1063"/>
        <v/>
      </c>
      <c r="DP705" s="410" t="str">
        <f t="shared" ca="1" si="1064"/>
        <v/>
      </c>
    </row>
    <row r="706" spans="27:120" x14ac:dyDescent="0.25">
      <c r="AA706" s="284">
        <f t="shared" ref="AA706:AF706" si="1282">AA155</f>
        <v>0</v>
      </c>
      <c r="AB706" s="284">
        <f t="shared" ref="AB706:AE706" si="1283">IF(OR(AB155&lt;=$AA706,AB155&gt;$AF706),100000,AB155)</f>
        <v>100000</v>
      </c>
      <c r="AC706" s="284">
        <f t="shared" si="1283"/>
        <v>100000</v>
      </c>
      <c r="AD706" s="284">
        <f t="shared" si="1283"/>
        <v>100000</v>
      </c>
      <c r="AE706" s="284">
        <f t="shared" si="1283"/>
        <v>100000</v>
      </c>
      <c r="AF706" s="284">
        <f t="shared" si="1282"/>
        <v>0</v>
      </c>
      <c r="AG706" s="238">
        <f t="shared" si="1238"/>
        <v>0</v>
      </c>
      <c r="AH706" s="407">
        <f t="shared" si="1239"/>
        <v>0</v>
      </c>
      <c r="AU706" s="112"/>
      <c r="AV706" s="112"/>
      <c r="BQ706" s="238">
        <f t="shared" ref="BQ706" si="1284">BQ705+1</f>
        <v>598</v>
      </c>
      <c r="BR706" s="112" t="s">
        <v>444</v>
      </c>
      <c r="BS706" s="112" t="s">
        <v>445</v>
      </c>
      <c r="BT706" s="114">
        <f t="shared" ca="1" si="1168"/>
        <v>0</v>
      </c>
      <c r="BU706" s="112"/>
      <c r="BV706">
        <f t="shared" ca="1" si="956"/>
        <v>1</v>
      </c>
      <c r="BW706" s="112">
        <f t="shared" ca="1" si="1232"/>
        <v>40430</v>
      </c>
      <c r="BX706" s="112">
        <f t="shared" ref="BX706:BX708" ca="1" si="1285">INDIRECT(CONCATENATE(BS706,BQ706))-1</f>
        <v>40543</v>
      </c>
      <c r="BY706">
        <f t="shared" ca="1" si="1277"/>
        <v>7</v>
      </c>
      <c r="BZ706">
        <f t="shared" ca="1" si="1278"/>
        <v>24</v>
      </c>
      <c r="CB706">
        <f t="shared" ca="1" si="1240"/>
        <v>0</v>
      </c>
      <c r="CC706" s="112">
        <f t="shared" ca="1" si="1241"/>
        <v>40430</v>
      </c>
      <c r="CD706" s="112">
        <f t="shared" ca="1" si="1242"/>
        <v>40543</v>
      </c>
      <c r="CE706">
        <f t="shared" ca="1" si="1243"/>
        <v>7</v>
      </c>
      <c r="CF706">
        <f t="shared" ca="1" si="1244"/>
        <v>24</v>
      </c>
      <c r="CH706" s="112">
        <f t="shared" ca="1" si="1012"/>
        <v>40739</v>
      </c>
      <c r="CI706">
        <f t="shared" ref="CI706" ca="1" si="1286">CB706+CB707+CB708+CB709+CB710</f>
        <v>1</v>
      </c>
      <c r="CJ706">
        <v>0</v>
      </c>
      <c r="CK706" s="112">
        <f t="shared" ca="1" si="1021"/>
        <v>40739</v>
      </c>
      <c r="CM706" s="112"/>
      <c r="CN706" s="408">
        <f t="shared" ca="1" si="1255"/>
        <v>40430</v>
      </c>
      <c r="CO706" s="326">
        <f t="shared" ref="CO706" ca="1" si="1287">CD706</f>
        <v>40543</v>
      </c>
      <c r="CP706" s="333">
        <f t="shared" ca="1" si="1023"/>
        <v>7</v>
      </c>
      <c r="CQ706" s="327">
        <f t="shared" ca="1" si="1024"/>
        <v>24</v>
      </c>
      <c r="CS706" s="112">
        <f t="shared" ca="1" si="1235"/>
        <v>40430</v>
      </c>
      <c r="CT706" s="112">
        <f t="shared" ref="CT706" ca="1" si="1288">IF(AND( CN707=100000,CN708=100000,CN709=100000,CN710=100000),CO710,                             CO706)</f>
        <v>40543</v>
      </c>
      <c r="CU706" s="238">
        <f t="shared" ca="1" si="1247"/>
        <v>7</v>
      </c>
      <c r="CV706" s="238">
        <f t="shared" ca="1" si="1248"/>
        <v>24</v>
      </c>
      <c r="CY706">
        <f t="shared" si="1258"/>
        <v>136</v>
      </c>
      <c r="DA706" s="112">
        <f t="shared" ca="1" si="1259"/>
        <v>100000</v>
      </c>
      <c r="DC706">
        <f t="shared" si="1260"/>
        <v>706</v>
      </c>
      <c r="DE706" t="str">
        <f t="shared" si="1281"/>
        <v>cs706:dc790</v>
      </c>
      <c r="DF706">
        <f t="shared" ca="1" si="1249"/>
        <v>707</v>
      </c>
      <c r="DG706" s="412">
        <f t="shared" ca="1" si="1060"/>
        <v>44804</v>
      </c>
      <c r="DH706" s="411" t="str">
        <f t="shared" ca="1" si="1049"/>
        <v/>
      </c>
      <c r="DI706" s="411" t="str">
        <f t="shared" ca="1" si="1050"/>
        <v/>
      </c>
      <c r="DJ706" s="410" t="str">
        <f t="shared" ca="1" si="1051"/>
        <v/>
      </c>
      <c r="DK706" s="410" t="str">
        <f t="shared" ca="1" si="1052"/>
        <v/>
      </c>
      <c r="DM706" s="411" t="str">
        <f t="shared" ca="1" si="1061"/>
        <v/>
      </c>
      <c r="DN706" s="411" t="str">
        <f t="shared" ca="1" si="1062"/>
        <v/>
      </c>
      <c r="DO706" s="410" t="str">
        <f t="shared" ca="1" si="1063"/>
        <v/>
      </c>
      <c r="DP706" s="410" t="str">
        <f t="shared" ca="1" si="1064"/>
        <v/>
      </c>
    </row>
    <row r="707" spans="27:120" x14ac:dyDescent="0.25">
      <c r="AA707" s="284">
        <f t="shared" ref="AA707:AF707" si="1289">AA156</f>
        <v>0</v>
      </c>
      <c r="AB707" s="284">
        <f t="shared" ref="AB707:AE707" si="1290">IF(OR(AB156&lt;=$AA707,AB156&gt;$AF707),100000,AB156)</f>
        <v>100000</v>
      </c>
      <c r="AC707" s="284">
        <f t="shared" si="1290"/>
        <v>100000</v>
      </c>
      <c r="AD707" s="284">
        <f t="shared" si="1290"/>
        <v>100000</v>
      </c>
      <c r="AE707" s="284">
        <f t="shared" si="1290"/>
        <v>100000</v>
      </c>
      <c r="AF707" s="284">
        <f t="shared" si="1289"/>
        <v>0</v>
      </c>
      <c r="AG707" s="238">
        <f t="shared" si="1238"/>
        <v>0</v>
      </c>
      <c r="AH707" s="407">
        <f t="shared" si="1239"/>
        <v>0</v>
      </c>
      <c r="AU707" s="112"/>
      <c r="AV707" s="112"/>
      <c r="BQ707" s="238">
        <f t="shared" ref="BQ707:BQ710" si="1291">BQ706</f>
        <v>598</v>
      </c>
      <c r="BR707" t="s">
        <v>445</v>
      </c>
      <c r="BS707" t="s">
        <v>446</v>
      </c>
      <c r="BT707" s="114">
        <f t="shared" ca="1" si="1168"/>
        <v>0</v>
      </c>
      <c r="BU707" s="112"/>
      <c r="BV707">
        <f t="shared" ca="1" si="956"/>
        <v>1</v>
      </c>
      <c r="BW707" s="112">
        <f t="shared" ca="1" si="1232"/>
        <v>40544</v>
      </c>
      <c r="BX707" s="112">
        <f t="shared" ca="1" si="1285"/>
        <v>40543</v>
      </c>
      <c r="BY707">
        <f t="shared" ca="1" si="1277"/>
        <v>7</v>
      </c>
      <c r="BZ707">
        <f t="shared" ca="1" si="1278"/>
        <v>24</v>
      </c>
      <c r="CB707">
        <f t="shared" ca="1" si="1240"/>
        <v>0</v>
      </c>
      <c r="CC707" s="112">
        <f t="shared" ca="1" si="1241"/>
        <v>100000</v>
      </c>
      <c r="CD707" s="112">
        <f t="shared" ca="1" si="1242"/>
        <v>40543</v>
      </c>
      <c r="CE707">
        <f t="shared" ca="1" si="1243"/>
        <v>7</v>
      </c>
      <c r="CF707">
        <f t="shared" ca="1" si="1244"/>
        <v>24</v>
      </c>
      <c r="CH707" s="112">
        <f t="shared" ca="1" si="1012"/>
        <v>40739</v>
      </c>
      <c r="CI707">
        <f t="shared" ref="CI707:CI710" ca="1" si="1292">CI706</f>
        <v>1</v>
      </c>
      <c r="CJ707">
        <f t="shared" ref="CJ707" ca="1" si="1293">IF(AND(CI707=0,CJ708=0,CJ709=0,CJ710=0,CC707&lt;100000),1,0)</f>
        <v>0</v>
      </c>
      <c r="CK707" s="112">
        <f t="shared" ca="1" si="1021"/>
        <v>40739</v>
      </c>
      <c r="CM707" s="112"/>
      <c r="CN707" s="260">
        <f t="shared" ca="1" si="1255"/>
        <v>100000</v>
      </c>
      <c r="CO707" s="112">
        <f t="shared" ref="CO707:CO710" ca="1" si="1294">IF(CJ707=1,CH707,CD707)</f>
        <v>40543</v>
      </c>
      <c r="CP707" s="238">
        <f t="shared" ca="1" si="1023"/>
        <v>7</v>
      </c>
      <c r="CQ707" s="328">
        <f t="shared" ca="1" si="1024"/>
        <v>24</v>
      </c>
      <c r="CS707" s="112">
        <f t="shared" ca="1" si="1235"/>
        <v>100000</v>
      </c>
      <c r="CT707" s="112">
        <f t="shared" ca="1" si="1267"/>
        <v>40543</v>
      </c>
      <c r="CU707" s="238">
        <f t="shared" ca="1" si="1247"/>
        <v>7</v>
      </c>
      <c r="CV707" s="238">
        <f t="shared" ca="1" si="1248"/>
        <v>24</v>
      </c>
      <c r="CY707">
        <f t="shared" si="1258"/>
        <v>137</v>
      </c>
      <c r="DA707" s="112">
        <f t="shared" ca="1" si="1259"/>
        <v>100000</v>
      </c>
      <c r="DC707">
        <f t="shared" si="1260"/>
        <v>707</v>
      </c>
      <c r="DE707" t="str">
        <f t="shared" si="1281"/>
        <v>cs707:dc790</v>
      </c>
      <c r="DF707">
        <f t="shared" ca="1" si="1249"/>
        <v>707</v>
      </c>
      <c r="DG707" s="412">
        <f t="shared" ca="1" si="1060"/>
        <v>44804</v>
      </c>
      <c r="DH707" s="411" t="str">
        <f t="shared" ca="1" si="1049"/>
        <v/>
      </c>
      <c r="DI707" s="411" t="str">
        <f t="shared" ca="1" si="1050"/>
        <v/>
      </c>
      <c r="DJ707" s="410" t="str">
        <f t="shared" ca="1" si="1051"/>
        <v/>
      </c>
      <c r="DK707" s="410" t="str">
        <f t="shared" ca="1" si="1052"/>
        <v/>
      </c>
      <c r="DM707" s="411" t="str">
        <f t="shared" ca="1" si="1061"/>
        <v/>
      </c>
      <c r="DN707" s="411" t="str">
        <f t="shared" ca="1" si="1062"/>
        <v/>
      </c>
      <c r="DO707" s="410" t="str">
        <f t="shared" ca="1" si="1063"/>
        <v/>
      </c>
      <c r="DP707" s="410" t="str">
        <f t="shared" ca="1" si="1064"/>
        <v/>
      </c>
    </row>
    <row r="708" spans="27:120" x14ac:dyDescent="0.25">
      <c r="AA708" s="284">
        <f t="shared" ref="AA708:AF708" si="1295">AA157</f>
        <v>0</v>
      </c>
      <c r="AB708" s="284">
        <f t="shared" ref="AB708:AE708" si="1296">IF(OR(AB157&lt;=$AA708,AB157&gt;$AF708),100000,AB157)</f>
        <v>100000</v>
      </c>
      <c r="AC708" s="284">
        <f t="shared" si="1296"/>
        <v>100000</v>
      </c>
      <c r="AD708" s="284">
        <f t="shared" si="1296"/>
        <v>100000</v>
      </c>
      <c r="AE708" s="284">
        <f t="shared" si="1296"/>
        <v>100000</v>
      </c>
      <c r="AF708" s="284">
        <f t="shared" si="1295"/>
        <v>0</v>
      </c>
      <c r="AG708" s="238">
        <f t="shared" si="1238"/>
        <v>0</v>
      </c>
      <c r="AH708" s="407">
        <f t="shared" si="1239"/>
        <v>0</v>
      </c>
      <c r="AU708" s="112"/>
      <c r="AV708" s="112"/>
      <c r="BQ708" s="238">
        <f t="shared" si="1291"/>
        <v>598</v>
      </c>
      <c r="BR708" t="s">
        <v>446</v>
      </c>
      <c r="BS708" t="s">
        <v>447</v>
      </c>
      <c r="BT708" s="114">
        <f t="shared" ca="1" si="1168"/>
        <v>0</v>
      </c>
      <c r="BU708" s="112"/>
      <c r="BV708">
        <f t="shared" ca="1" si="956"/>
        <v>1</v>
      </c>
      <c r="BW708" s="112">
        <f t="shared" ca="1" si="1232"/>
        <v>40544</v>
      </c>
      <c r="BX708" s="112">
        <f t="shared" ca="1" si="1285"/>
        <v>40543</v>
      </c>
      <c r="BY708">
        <f t="shared" ca="1" si="1277"/>
        <v>7</v>
      </c>
      <c r="BZ708">
        <f t="shared" ca="1" si="1278"/>
        <v>24</v>
      </c>
      <c r="CB708">
        <f t="shared" ca="1" si="1240"/>
        <v>0</v>
      </c>
      <c r="CC708" s="112">
        <f t="shared" ca="1" si="1241"/>
        <v>100000</v>
      </c>
      <c r="CD708" s="112">
        <f t="shared" ca="1" si="1242"/>
        <v>40543</v>
      </c>
      <c r="CE708">
        <f t="shared" ca="1" si="1243"/>
        <v>7</v>
      </c>
      <c r="CF708">
        <f t="shared" ca="1" si="1244"/>
        <v>24</v>
      </c>
      <c r="CH708" s="112">
        <f t="shared" ca="1" si="1012"/>
        <v>40739</v>
      </c>
      <c r="CI708">
        <f t="shared" ca="1" si="1292"/>
        <v>1</v>
      </c>
      <c r="CJ708">
        <f t="shared" ref="CJ708" ca="1" si="1297">IF(AND(CI708=0,CJ709=0,CJ710=0,CC708&lt;100000),1,0)</f>
        <v>0</v>
      </c>
      <c r="CK708" s="112">
        <f t="shared" ca="1" si="1021"/>
        <v>40739</v>
      </c>
      <c r="CM708" s="112"/>
      <c r="CN708" s="260">
        <f t="shared" ca="1" si="1255"/>
        <v>100000</v>
      </c>
      <c r="CO708" s="112">
        <f t="shared" ca="1" si="1294"/>
        <v>40543</v>
      </c>
      <c r="CP708" s="238">
        <f t="shared" ca="1" si="1023"/>
        <v>7</v>
      </c>
      <c r="CQ708" s="328">
        <f t="shared" ca="1" si="1024"/>
        <v>24</v>
      </c>
      <c r="CS708" s="112">
        <f t="shared" ca="1" si="1235"/>
        <v>100000</v>
      </c>
      <c r="CT708" s="112">
        <f t="shared" ca="1" si="1267"/>
        <v>40543</v>
      </c>
      <c r="CU708" s="238">
        <f t="shared" ca="1" si="1247"/>
        <v>7</v>
      </c>
      <c r="CV708" s="238">
        <f t="shared" ca="1" si="1248"/>
        <v>24</v>
      </c>
      <c r="CY708">
        <f t="shared" si="1258"/>
        <v>138</v>
      </c>
      <c r="DA708" s="112">
        <f t="shared" ca="1" si="1259"/>
        <v>100000</v>
      </c>
      <c r="DC708">
        <f t="shared" si="1260"/>
        <v>708</v>
      </c>
      <c r="DE708" t="str">
        <f t="shared" si="1281"/>
        <v>cs708:dc790</v>
      </c>
      <c r="DF708">
        <f t="shared" ca="1" si="1249"/>
        <v>708</v>
      </c>
      <c r="DG708" s="412">
        <f t="shared" ca="1" si="1060"/>
        <v>44804</v>
      </c>
      <c r="DH708" s="411" t="str">
        <f t="shared" ca="1" si="1049"/>
        <v/>
      </c>
      <c r="DI708" s="411" t="str">
        <f t="shared" ca="1" si="1050"/>
        <v/>
      </c>
      <c r="DJ708" s="410" t="str">
        <f t="shared" ca="1" si="1051"/>
        <v/>
      </c>
      <c r="DK708" s="410" t="str">
        <f t="shared" ca="1" si="1052"/>
        <v/>
      </c>
      <c r="DM708" s="411" t="str">
        <f t="shared" ca="1" si="1061"/>
        <v/>
      </c>
      <c r="DN708" s="411" t="str">
        <f t="shared" ca="1" si="1062"/>
        <v/>
      </c>
      <c r="DO708" s="410" t="str">
        <f t="shared" ca="1" si="1063"/>
        <v/>
      </c>
      <c r="DP708" s="410" t="str">
        <f t="shared" ca="1" si="1064"/>
        <v/>
      </c>
    </row>
    <row r="709" spans="27:120" x14ac:dyDescent="0.25">
      <c r="AA709" s="284">
        <f t="shared" ref="AA709:AF709" si="1298">AA158</f>
        <v>0</v>
      </c>
      <c r="AB709" s="284">
        <f t="shared" ref="AB709:AE709" si="1299">IF(OR(AB158&lt;=$AA709,AB158&gt;$AF709),100000,AB158)</f>
        <v>100000</v>
      </c>
      <c r="AC709" s="284">
        <f t="shared" si="1299"/>
        <v>100000</v>
      </c>
      <c r="AD709" s="284">
        <f t="shared" si="1299"/>
        <v>100000</v>
      </c>
      <c r="AE709" s="284">
        <f t="shared" si="1299"/>
        <v>100000</v>
      </c>
      <c r="AF709" s="284">
        <f t="shared" si="1298"/>
        <v>0</v>
      </c>
      <c r="AG709" s="238">
        <f t="shared" si="1238"/>
        <v>0</v>
      </c>
      <c r="AH709" s="407">
        <f t="shared" si="1239"/>
        <v>0</v>
      </c>
      <c r="AU709" s="112"/>
      <c r="AV709" s="112"/>
      <c r="BQ709" s="238">
        <f t="shared" si="1291"/>
        <v>598</v>
      </c>
      <c r="BR709" t="s">
        <v>447</v>
      </c>
      <c r="BS709" t="s">
        <v>448</v>
      </c>
      <c r="BT709" s="114">
        <f t="shared" ca="1" si="1168"/>
        <v>0</v>
      </c>
      <c r="BU709" s="112"/>
      <c r="BV709">
        <f t="shared" ref="BV709:BV772" ca="1" si="1300">IF(BW709=INDIRECT(CONCATENATE("bn",BQ709)),0,1)</f>
        <v>1</v>
      </c>
      <c r="BW709" s="112">
        <f t="shared" ca="1" si="1232"/>
        <v>40544</v>
      </c>
      <c r="BX709" s="112">
        <f t="shared" ref="BX709:BX710" ca="1" si="1301">INDIRECT(CONCATENATE(BS709,BQ709))</f>
        <v>40544</v>
      </c>
      <c r="BY709">
        <f t="shared" ca="1" si="1277"/>
        <v>7</v>
      </c>
      <c r="BZ709">
        <f t="shared" ca="1" si="1278"/>
        <v>24</v>
      </c>
      <c r="CB709">
        <f t="shared" ca="1" si="1240"/>
        <v>0</v>
      </c>
      <c r="CC709" s="112">
        <f t="shared" ca="1" si="1241"/>
        <v>40544</v>
      </c>
      <c r="CD709" s="112">
        <f t="shared" ca="1" si="1242"/>
        <v>40544</v>
      </c>
      <c r="CE709">
        <f t="shared" ca="1" si="1243"/>
        <v>7</v>
      </c>
      <c r="CF709">
        <f t="shared" ca="1" si="1244"/>
        <v>24</v>
      </c>
      <c r="CH709" s="112">
        <f t="shared" ca="1" si="1012"/>
        <v>40739</v>
      </c>
      <c r="CI709">
        <f t="shared" ca="1" si="1292"/>
        <v>1</v>
      </c>
      <c r="CJ709">
        <f t="shared" ref="CJ709" ca="1" si="1302">IF(AND(CI709=0,CJ710=0,CC709&lt;100000),1,0)</f>
        <v>0</v>
      </c>
      <c r="CK709" s="112">
        <f t="shared" ca="1" si="1021"/>
        <v>40739</v>
      </c>
      <c r="CM709" s="112"/>
      <c r="CN709" s="260">
        <f t="shared" ca="1" si="1255"/>
        <v>40544</v>
      </c>
      <c r="CO709" s="112">
        <f t="shared" ca="1" si="1294"/>
        <v>40544</v>
      </c>
      <c r="CP709" s="238">
        <f t="shared" ca="1" si="1023"/>
        <v>7</v>
      </c>
      <c r="CQ709" s="328">
        <f t="shared" ca="1" si="1024"/>
        <v>24</v>
      </c>
      <c r="CS709" s="112">
        <f t="shared" ca="1" si="1235"/>
        <v>40544</v>
      </c>
      <c r="CT709" s="112">
        <f t="shared" ca="1" si="1267"/>
        <v>40544</v>
      </c>
      <c r="CU709" s="238">
        <f t="shared" ca="1" si="1247"/>
        <v>7</v>
      </c>
      <c r="CV709" s="238">
        <f t="shared" ca="1" si="1248"/>
        <v>24</v>
      </c>
      <c r="CY709">
        <f t="shared" si="1258"/>
        <v>139</v>
      </c>
      <c r="DA709" s="112">
        <f t="shared" ca="1" si="1259"/>
        <v>100000</v>
      </c>
      <c r="DC709">
        <f t="shared" si="1260"/>
        <v>709</v>
      </c>
      <c r="DE709" t="str">
        <f t="shared" si="1281"/>
        <v>cs709:dc790</v>
      </c>
      <c r="DF709">
        <f t="shared" ca="1" si="1249"/>
        <v>712</v>
      </c>
      <c r="DG709" s="412">
        <f t="shared" ca="1" si="1060"/>
        <v>44804</v>
      </c>
      <c r="DH709" s="411" t="str">
        <f t="shared" ca="1" si="1049"/>
        <v/>
      </c>
      <c r="DI709" s="411" t="str">
        <f t="shared" ca="1" si="1050"/>
        <v/>
      </c>
      <c r="DJ709" s="410" t="str">
        <f t="shared" ca="1" si="1051"/>
        <v/>
      </c>
      <c r="DK709" s="410" t="str">
        <f t="shared" ca="1" si="1052"/>
        <v/>
      </c>
      <c r="DM709" s="411" t="str">
        <f t="shared" ca="1" si="1061"/>
        <v/>
      </c>
      <c r="DN709" s="411" t="str">
        <f t="shared" ca="1" si="1062"/>
        <v/>
      </c>
      <c r="DO709" s="410" t="str">
        <f t="shared" ca="1" si="1063"/>
        <v/>
      </c>
      <c r="DP709" s="410" t="str">
        <f t="shared" ca="1" si="1064"/>
        <v/>
      </c>
    </row>
    <row r="710" spans="27:120" ht="15.75" thickBot="1" x14ac:dyDescent="0.3">
      <c r="AU710" s="112"/>
      <c r="AV710" s="112"/>
      <c r="BQ710" s="238">
        <f t="shared" si="1291"/>
        <v>598</v>
      </c>
      <c r="BR710" t="s">
        <v>448</v>
      </c>
      <c r="BS710" t="s">
        <v>449</v>
      </c>
      <c r="BT710" s="114">
        <f t="shared" ca="1" si="1168"/>
        <v>0</v>
      </c>
      <c r="BU710" s="112"/>
      <c r="BV710">
        <f t="shared" ca="1" si="1300"/>
        <v>1</v>
      </c>
      <c r="BW710" s="112">
        <f t="shared" ca="1" si="1232"/>
        <v>40544</v>
      </c>
      <c r="BX710" s="112">
        <f t="shared" ca="1" si="1301"/>
        <v>40739</v>
      </c>
      <c r="BY710">
        <f t="shared" ca="1" si="1277"/>
        <v>7</v>
      </c>
      <c r="BZ710">
        <f t="shared" ca="1" si="1278"/>
        <v>24</v>
      </c>
      <c r="CB710">
        <f t="shared" ca="1" si="1240"/>
        <v>1</v>
      </c>
      <c r="CC710" s="112">
        <f t="shared" ca="1" si="1241"/>
        <v>40544</v>
      </c>
      <c r="CD710" s="112">
        <f t="shared" ca="1" si="1242"/>
        <v>40739</v>
      </c>
      <c r="CE710">
        <f t="shared" ca="1" si="1243"/>
        <v>7</v>
      </c>
      <c r="CF710">
        <f t="shared" ca="1" si="1244"/>
        <v>24</v>
      </c>
      <c r="CH710" s="112">
        <f t="shared" ca="1" si="1012"/>
        <v>40739</v>
      </c>
      <c r="CI710">
        <f t="shared" ca="1" si="1292"/>
        <v>1</v>
      </c>
      <c r="CJ710">
        <f t="shared" ref="CJ710" ca="1" si="1303">IF(AND(CI710=0,CC710&lt;100000),1,0)</f>
        <v>0</v>
      </c>
      <c r="CK710" s="112">
        <f t="shared" ca="1" si="1021"/>
        <v>40739</v>
      </c>
      <c r="CM710" s="112"/>
      <c r="CN710" s="261">
        <f t="shared" ref="CN710" ca="1" si="1304">IF(AND(CN706=100000,CN707=100000,CN708=100000,CN709=100000),INDIRECT(CONCATENATE("aa",BQ710)),CC710)</f>
        <v>40544</v>
      </c>
      <c r="CO710" s="324">
        <f t="shared" ca="1" si="1294"/>
        <v>40739</v>
      </c>
      <c r="CP710" s="256">
        <f t="shared" ca="1" si="1023"/>
        <v>7</v>
      </c>
      <c r="CQ710" s="329">
        <f t="shared" ca="1" si="1024"/>
        <v>24</v>
      </c>
      <c r="CS710" s="112">
        <f t="shared" ca="1" si="1235"/>
        <v>40544</v>
      </c>
      <c r="CT710" s="112">
        <f t="shared" ca="1" si="1267"/>
        <v>40739</v>
      </c>
      <c r="CU710" s="238">
        <f t="shared" ca="1" si="1247"/>
        <v>7</v>
      </c>
      <c r="CV710" s="238">
        <f t="shared" ca="1" si="1248"/>
        <v>24</v>
      </c>
      <c r="CY710">
        <f t="shared" si="1258"/>
        <v>140</v>
      </c>
      <c r="DA710" s="112">
        <f t="shared" ca="1" si="1259"/>
        <v>100000</v>
      </c>
      <c r="DC710">
        <f t="shared" si="1260"/>
        <v>710</v>
      </c>
      <c r="DE710" t="str">
        <f t="shared" si="1281"/>
        <v>cs710:dc790</v>
      </c>
      <c r="DF710">
        <f t="shared" ca="1" si="1249"/>
        <v>712</v>
      </c>
      <c r="DG710" s="412">
        <f t="shared" ca="1" si="1060"/>
        <v>44804</v>
      </c>
      <c r="DH710" s="411" t="str">
        <f t="shared" ca="1" si="1049"/>
        <v/>
      </c>
      <c r="DI710" s="411" t="str">
        <f t="shared" ca="1" si="1050"/>
        <v/>
      </c>
      <c r="DJ710" s="410" t="str">
        <f t="shared" ca="1" si="1051"/>
        <v/>
      </c>
      <c r="DK710" s="410" t="str">
        <f t="shared" ca="1" si="1052"/>
        <v/>
      </c>
      <c r="DM710" s="411" t="str">
        <f t="shared" ca="1" si="1061"/>
        <v/>
      </c>
      <c r="DN710" s="411" t="str">
        <f t="shared" ca="1" si="1062"/>
        <v/>
      </c>
      <c r="DO710" s="410" t="str">
        <f t="shared" ca="1" si="1063"/>
        <v/>
      </c>
      <c r="DP710" s="410" t="str">
        <f t="shared" ca="1" si="1064"/>
        <v/>
      </c>
    </row>
    <row r="711" spans="27:120" x14ac:dyDescent="0.25">
      <c r="AU711" s="112"/>
      <c r="AV711" s="112"/>
      <c r="BQ711" s="238">
        <f t="shared" ref="BQ711" si="1305">BQ710+1</f>
        <v>599</v>
      </c>
      <c r="BR711" s="112" t="s">
        <v>444</v>
      </c>
      <c r="BS711" s="112" t="s">
        <v>445</v>
      </c>
      <c r="BT711" s="114">
        <f t="shared" ca="1" si="1168"/>
        <v>0</v>
      </c>
      <c r="BU711" s="112"/>
      <c r="BV711">
        <f t="shared" ca="1" si="1300"/>
        <v>1</v>
      </c>
      <c r="BW711" s="112">
        <f t="shared" ca="1" si="1232"/>
        <v>40431</v>
      </c>
      <c r="BX711" s="112">
        <f t="shared" ref="BX711:BX713" ca="1" si="1306">INDIRECT(CONCATENATE(BS711,BQ711))-1</f>
        <v>40543</v>
      </c>
      <c r="BY711">
        <f t="shared" ca="1" si="1277"/>
        <v>9</v>
      </c>
      <c r="BZ711">
        <f t="shared" ca="1" si="1278"/>
        <v>24</v>
      </c>
      <c r="CB711">
        <f t="shared" ca="1" si="1240"/>
        <v>0</v>
      </c>
      <c r="CC711" s="112">
        <f t="shared" ca="1" si="1241"/>
        <v>40431</v>
      </c>
      <c r="CD711" s="112">
        <f t="shared" ca="1" si="1242"/>
        <v>40543</v>
      </c>
      <c r="CE711">
        <f t="shared" ca="1" si="1243"/>
        <v>9</v>
      </c>
      <c r="CF711">
        <f t="shared" ca="1" si="1244"/>
        <v>24</v>
      </c>
      <c r="CH711" s="112">
        <f t="shared" ca="1" si="1012"/>
        <v>40739</v>
      </c>
      <c r="CI711">
        <f t="shared" ref="CI711" ca="1" si="1307">CB711+CB712+CB713+CB714+CB715</f>
        <v>1</v>
      </c>
      <c r="CJ711">
        <v>0</v>
      </c>
      <c r="CK711" s="112">
        <f t="shared" ca="1" si="1021"/>
        <v>40739</v>
      </c>
      <c r="CM711" s="112"/>
      <c r="CN711" s="408">
        <f t="shared" ca="1" si="1255"/>
        <v>40431</v>
      </c>
      <c r="CO711" s="326">
        <f t="shared" ref="CO711" ca="1" si="1308">CD711</f>
        <v>40543</v>
      </c>
      <c r="CP711" s="333">
        <f t="shared" ca="1" si="1023"/>
        <v>9</v>
      </c>
      <c r="CQ711" s="327">
        <f t="shared" ca="1" si="1024"/>
        <v>24</v>
      </c>
      <c r="CS711" s="112">
        <f t="shared" ca="1" si="1235"/>
        <v>40431</v>
      </c>
      <c r="CT711" s="112">
        <f t="shared" ref="CT711" ca="1" si="1309">IF(AND( CN712=100000,CN713=100000,CN714=100000,CN715=100000),CO715,                             CO711)</f>
        <v>40543</v>
      </c>
      <c r="CU711" s="238">
        <f t="shared" ca="1" si="1247"/>
        <v>9</v>
      </c>
      <c r="CV711" s="238">
        <f t="shared" ca="1" si="1248"/>
        <v>24</v>
      </c>
      <c r="CY711">
        <f t="shared" si="1258"/>
        <v>141</v>
      </c>
      <c r="DA711" s="112">
        <f t="shared" ca="1" si="1259"/>
        <v>100000</v>
      </c>
      <c r="DC711">
        <f t="shared" si="1260"/>
        <v>711</v>
      </c>
      <c r="DE711" t="str">
        <f t="shared" si="1281"/>
        <v>cs711:dc790</v>
      </c>
      <c r="DF711">
        <f t="shared" ca="1" si="1249"/>
        <v>712</v>
      </c>
      <c r="DG711" s="412">
        <f t="shared" ca="1" si="1060"/>
        <v>44804</v>
      </c>
      <c r="DH711" s="411" t="str">
        <f t="shared" ca="1" si="1049"/>
        <v/>
      </c>
      <c r="DI711" s="411" t="str">
        <f t="shared" ca="1" si="1050"/>
        <v/>
      </c>
      <c r="DJ711" s="410" t="str">
        <f t="shared" ca="1" si="1051"/>
        <v/>
      </c>
      <c r="DK711" s="410" t="str">
        <f t="shared" ca="1" si="1052"/>
        <v/>
      </c>
      <c r="DM711" s="411" t="str">
        <f t="shared" ca="1" si="1061"/>
        <v/>
      </c>
      <c r="DN711" s="411" t="str">
        <f t="shared" ca="1" si="1062"/>
        <v/>
      </c>
      <c r="DO711" s="410" t="str">
        <f t="shared" ca="1" si="1063"/>
        <v/>
      </c>
      <c r="DP711" s="410" t="str">
        <f t="shared" ca="1" si="1064"/>
        <v/>
      </c>
    </row>
    <row r="712" spans="27:120" x14ac:dyDescent="0.25">
      <c r="AU712" s="112"/>
      <c r="AV712" s="112"/>
      <c r="BQ712" s="238">
        <f t="shared" ref="BQ712:BQ715" si="1310">BQ711</f>
        <v>599</v>
      </c>
      <c r="BR712" t="s">
        <v>445</v>
      </c>
      <c r="BS712" t="s">
        <v>446</v>
      </c>
      <c r="BT712" s="114">
        <f t="shared" ca="1" si="1168"/>
        <v>0</v>
      </c>
      <c r="BU712" s="112"/>
      <c r="BV712">
        <f t="shared" ca="1" si="1300"/>
        <v>1</v>
      </c>
      <c r="BW712" s="112">
        <f t="shared" ca="1" si="1232"/>
        <v>40544</v>
      </c>
      <c r="BX712" s="112">
        <f t="shared" ca="1" si="1306"/>
        <v>40543</v>
      </c>
      <c r="BY712">
        <f t="shared" ca="1" si="1277"/>
        <v>9</v>
      </c>
      <c r="BZ712">
        <f t="shared" ca="1" si="1278"/>
        <v>24</v>
      </c>
      <c r="CB712">
        <f t="shared" ca="1" si="1240"/>
        <v>0</v>
      </c>
      <c r="CC712" s="112">
        <f t="shared" ca="1" si="1241"/>
        <v>100000</v>
      </c>
      <c r="CD712" s="112">
        <f t="shared" ca="1" si="1242"/>
        <v>40543</v>
      </c>
      <c r="CE712">
        <f t="shared" ca="1" si="1243"/>
        <v>9</v>
      </c>
      <c r="CF712">
        <f t="shared" ca="1" si="1244"/>
        <v>24</v>
      </c>
      <c r="CH712" s="112">
        <f t="shared" ca="1" si="1012"/>
        <v>40739</v>
      </c>
      <c r="CI712">
        <f t="shared" ref="CI712:CI715" ca="1" si="1311">CI711</f>
        <v>1</v>
      </c>
      <c r="CJ712">
        <f t="shared" ref="CJ712" ca="1" si="1312">IF(AND(CI712=0,CJ713=0,CJ714=0,CJ715=0,CC712&lt;100000),1,0)</f>
        <v>0</v>
      </c>
      <c r="CK712" s="112">
        <f t="shared" ca="1" si="1021"/>
        <v>40739</v>
      </c>
      <c r="CM712" s="112"/>
      <c r="CN712" s="260">
        <f t="shared" ca="1" si="1255"/>
        <v>100000</v>
      </c>
      <c r="CO712" s="112">
        <f t="shared" ref="CO712:CO715" ca="1" si="1313">IF(CJ712=1,CH712,CD712)</f>
        <v>40543</v>
      </c>
      <c r="CP712" s="238">
        <f t="shared" ca="1" si="1023"/>
        <v>9</v>
      </c>
      <c r="CQ712" s="328">
        <f t="shared" ca="1" si="1024"/>
        <v>24</v>
      </c>
      <c r="CS712" s="112">
        <f t="shared" ca="1" si="1235"/>
        <v>100000</v>
      </c>
      <c r="CT712" s="112">
        <f t="shared" ca="1" si="1267"/>
        <v>40543</v>
      </c>
      <c r="CU712" s="238">
        <f t="shared" ca="1" si="1247"/>
        <v>9</v>
      </c>
      <c r="CV712" s="238">
        <f t="shared" ca="1" si="1248"/>
        <v>24</v>
      </c>
      <c r="CY712">
        <f t="shared" si="1258"/>
        <v>142</v>
      </c>
      <c r="DA712" s="112">
        <f t="shared" ca="1" si="1259"/>
        <v>100000</v>
      </c>
      <c r="DC712">
        <f t="shared" si="1260"/>
        <v>712</v>
      </c>
      <c r="DE712" t="str">
        <f t="shared" si="1281"/>
        <v>cs712:dc790</v>
      </c>
      <c r="DF712">
        <f t="shared" ca="1" si="1249"/>
        <v>712</v>
      </c>
      <c r="DG712" s="412">
        <f t="shared" ca="1" si="1060"/>
        <v>44804</v>
      </c>
      <c r="DH712" s="411" t="str">
        <f t="shared" ca="1" si="1049"/>
        <v/>
      </c>
      <c r="DI712" s="411" t="str">
        <f t="shared" ca="1" si="1050"/>
        <v/>
      </c>
      <c r="DJ712" s="410" t="str">
        <f t="shared" ca="1" si="1051"/>
        <v/>
      </c>
      <c r="DK712" s="410" t="str">
        <f t="shared" ca="1" si="1052"/>
        <v/>
      </c>
      <c r="DM712" s="411" t="str">
        <f t="shared" ca="1" si="1061"/>
        <v/>
      </c>
      <c r="DN712" s="411" t="str">
        <f t="shared" ca="1" si="1062"/>
        <v/>
      </c>
      <c r="DO712" s="410" t="str">
        <f t="shared" ca="1" si="1063"/>
        <v/>
      </c>
      <c r="DP712" s="410" t="str">
        <f t="shared" ca="1" si="1064"/>
        <v/>
      </c>
    </row>
    <row r="713" spans="27:120" x14ac:dyDescent="0.25">
      <c r="AU713" s="112"/>
      <c r="AV713" s="112"/>
      <c r="BQ713" s="238">
        <f t="shared" si="1310"/>
        <v>599</v>
      </c>
      <c r="BR713" t="s">
        <v>446</v>
      </c>
      <c r="BS713" t="s">
        <v>447</v>
      </c>
      <c r="BT713" s="114">
        <f t="shared" ca="1" si="1168"/>
        <v>0</v>
      </c>
      <c r="BU713" s="112"/>
      <c r="BV713">
        <f t="shared" ca="1" si="1300"/>
        <v>1</v>
      </c>
      <c r="BW713" s="112">
        <f t="shared" ca="1" si="1232"/>
        <v>40544</v>
      </c>
      <c r="BX713" s="112">
        <f t="shared" ca="1" si="1306"/>
        <v>40543</v>
      </c>
      <c r="BY713">
        <f t="shared" ca="1" si="1277"/>
        <v>9</v>
      </c>
      <c r="BZ713">
        <f t="shared" ca="1" si="1278"/>
        <v>24</v>
      </c>
      <c r="CB713">
        <f t="shared" ca="1" si="1240"/>
        <v>0</v>
      </c>
      <c r="CC713" s="112">
        <f t="shared" ca="1" si="1241"/>
        <v>100000</v>
      </c>
      <c r="CD713" s="112">
        <f t="shared" ca="1" si="1242"/>
        <v>40543</v>
      </c>
      <c r="CE713">
        <f t="shared" ca="1" si="1243"/>
        <v>9</v>
      </c>
      <c r="CF713">
        <f t="shared" ca="1" si="1244"/>
        <v>24</v>
      </c>
      <c r="CH713" s="112">
        <f t="shared" ca="1" si="1012"/>
        <v>40739</v>
      </c>
      <c r="CI713">
        <f t="shared" ca="1" si="1311"/>
        <v>1</v>
      </c>
      <c r="CJ713">
        <f t="shared" ref="CJ713" ca="1" si="1314">IF(AND(CI713=0,CJ714=0,CJ715=0,CC713&lt;100000),1,0)</f>
        <v>0</v>
      </c>
      <c r="CK713" s="112">
        <f t="shared" ca="1" si="1021"/>
        <v>40739</v>
      </c>
      <c r="CM713" s="112"/>
      <c r="CN713" s="260">
        <f t="shared" ca="1" si="1255"/>
        <v>100000</v>
      </c>
      <c r="CO713" s="112">
        <f t="shared" ca="1" si="1313"/>
        <v>40543</v>
      </c>
      <c r="CP713" s="238">
        <f t="shared" ca="1" si="1023"/>
        <v>9</v>
      </c>
      <c r="CQ713" s="328">
        <f t="shared" ca="1" si="1024"/>
        <v>24</v>
      </c>
      <c r="CS713" s="112">
        <f t="shared" ca="1" si="1235"/>
        <v>100000</v>
      </c>
      <c r="CT713" s="112">
        <f t="shared" ca="1" si="1267"/>
        <v>40543</v>
      </c>
      <c r="CU713" s="238">
        <f t="shared" ca="1" si="1247"/>
        <v>9</v>
      </c>
      <c r="CV713" s="238">
        <f t="shared" ca="1" si="1248"/>
        <v>24</v>
      </c>
      <c r="CY713">
        <f t="shared" si="1258"/>
        <v>143</v>
      </c>
      <c r="DA713" s="112">
        <f t="shared" ca="1" si="1259"/>
        <v>100000</v>
      </c>
      <c r="DC713">
        <f t="shared" si="1260"/>
        <v>713</v>
      </c>
      <c r="DE713" t="str">
        <f t="shared" si="1281"/>
        <v>cs713:dc790</v>
      </c>
      <c r="DF713">
        <f t="shared" ca="1" si="1249"/>
        <v>713</v>
      </c>
      <c r="DG713" s="412">
        <f t="shared" ca="1" si="1060"/>
        <v>44804</v>
      </c>
      <c r="DH713" s="411" t="str">
        <f t="shared" ca="1" si="1049"/>
        <v/>
      </c>
      <c r="DI713" s="411" t="str">
        <f t="shared" ca="1" si="1050"/>
        <v/>
      </c>
      <c r="DJ713" s="410" t="str">
        <f t="shared" ca="1" si="1051"/>
        <v/>
      </c>
      <c r="DK713" s="410" t="str">
        <f t="shared" ca="1" si="1052"/>
        <v/>
      </c>
      <c r="DM713" s="411" t="str">
        <f t="shared" ca="1" si="1061"/>
        <v/>
      </c>
      <c r="DN713" s="411" t="str">
        <f t="shared" ca="1" si="1062"/>
        <v/>
      </c>
      <c r="DO713" s="410" t="str">
        <f t="shared" ca="1" si="1063"/>
        <v/>
      </c>
      <c r="DP713" s="410" t="str">
        <f t="shared" ca="1" si="1064"/>
        <v/>
      </c>
    </row>
    <row r="714" spans="27:120" x14ac:dyDescent="0.25">
      <c r="AU714" s="112"/>
      <c r="AV714" s="112"/>
      <c r="BQ714" s="238">
        <f t="shared" si="1310"/>
        <v>599</v>
      </c>
      <c r="BR714" t="s">
        <v>447</v>
      </c>
      <c r="BS714" t="s">
        <v>448</v>
      </c>
      <c r="BT714" s="114">
        <f t="shared" ca="1" si="1168"/>
        <v>0</v>
      </c>
      <c r="BU714" s="112"/>
      <c r="BV714">
        <f t="shared" ca="1" si="1300"/>
        <v>1</v>
      </c>
      <c r="BW714" s="112">
        <f t="shared" ca="1" si="1232"/>
        <v>40544</v>
      </c>
      <c r="BX714" s="112">
        <f t="shared" ref="BX714:BX715" ca="1" si="1315">INDIRECT(CONCATENATE(BS714,BQ714))</f>
        <v>40544</v>
      </c>
      <c r="BY714">
        <f t="shared" ca="1" si="1277"/>
        <v>9</v>
      </c>
      <c r="BZ714">
        <f t="shared" ca="1" si="1278"/>
        <v>24</v>
      </c>
      <c r="CB714">
        <f t="shared" ca="1" si="1240"/>
        <v>0</v>
      </c>
      <c r="CC714" s="112">
        <f t="shared" ca="1" si="1241"/>
        <v>40544</v>
      </c>
      <c r="CD714" s="112">
        <f t="shared" ca="1" si="1242"/>
        <v>40544</v>
      </c>
      <c r="CE714">
        <f t="shared" ca="1" si="1243"/>
        <v>9</v>
      </c>
      <c r="CF714">
        <f t="shared" ca="1" si="1244"/>
        <v>24</v>
      </c>
      <c r="CH714" s="112">
        <f t="shared" ca="1" si="1012"/>
        <v>40739</v>
      </c>
      <c r="CI714">
        <f t="shared" ca="1" si="1311"/>
        <v>1</v>
      </c>
      <c r="CJ714">
        <f t="shared" ref="CJ714" ca="1" si="1316">IF(AND(CI714=0,CJ715=0,CC714&lt;100000),1,0)</f>
        <v>0</v>
      </c>
      <c r="CK714" s="112">
        <f t="shared" ca="1" si="1021"/>
        <v>40739</v>
      </c>
      <c r="CM714" s="112"/>
      <c r="CN714" s="260">
        <f t="shared" ca="1" si="1255"/>
        <v>40544</v>
      </c>
      <c r="CO714" s="112">
        <f t="shared" ca="1" si="1313"/>
        <v>40544</v>
      </c>
      <c r="CP714" s="238">
        <f t="shared" ca="1" si="1023"/>
        <v>9</v>
      </c>
      <c r="CQ714" s="328">
        <f t="shared" ca="1" si="1024"/>
        <v>24</v>
      </c>
      <c r="CS714" s="112">
        <f t="shared" ca="1" si="1235"/>
        <v>40544</v>
      </c>
      <c r="CT714" s="112">
        <f t="shared" ca="1" si="1267"/>
        <v>40544</v>
      </c>
      <c r="CU714" s="238">
        <f t="shared" ca="1" si="1247"/>
        <v>9</v>
      </c>
      <c r="CV714" s="238">
        <f t="shared" ca="1" si="1248"/>
        <v>24</v>
      </c>
      <c r="CY714">
        <f t="shared" si="1258"/>
        <v>144</v>
      </c>
      <c r="DA714" s="112">
        <f t="shared" ca="1" si="1259"/>
        <v>100000</v>
      </c>
      <c r="DC714">
        <f t="shared" si="1260"/>
        <v>714</v>
      </c>
      <c r="DE714" t="str">
        <f t="shared" si="1281"/>
        <v>cs714:dc790</v>
      </c>
      <c r="DF714">
        <f t="shared" ca="1" si="1249"/>
        <v>717</v>
      </c>
      <c r="DG714" s="412">
        <f t="shared" ca="1" si="1060"/>
        <v>44804</v>
      </c>
      <c r="DH714" s="411" t="str">
        <f t="shared" ca="1" si="1049"/>
        <v/>
      </c>
      <c r="DI714" s="411" t="str">
        <f t="shared" ca="1" si="1050"/>
        <v/>
      </c>
      <c r="DJ714" s="410" t="str">
        <f t="shared" ca="1" si="1051"/>
        <v/>
      </c>
      <c r="DK714" s="410" t="str">
        <f t="shared" ca="1" si="1052"/>
        <v/>
      </c>
      <c r="DM714" s="411" t="str">
        <f t="shared" ca="1" si="1061"/>
        <v/>
      </c>
      <c r="DN714" s="411" t="str">
        <f t="shared" ca="1" si="1062"/>
        <v/>
      </c>
      <c r="DO714" s="410" t="str">
        <f t="shared" ca="1" si="1063"/>
        <v/>
      </c>
      <c r="DP714" s="410" t="str">
        <f t="shared" ca="1" si="1064"/>
        <v/>
      </c>
    </row>
    <row r="715" spans="27:120" ht="15.75" thickBot="1" x14ac:dyDescent="0.3">
      <c r="AU715" s="112"/>
      <c r="AV715" s="112"/>
      <c r="BQ715" s="238">
        <f t="shared" si="1310"/>
        <v>599</v>
      </c>
      <c r="BR715" t="s">
        <v>448</v>
      </c>
      <c r="BS715" t="s">
        <v>449</v>
      </c>
      <c r="BT715" s="114">
        <f t="shared" ca="1" si="1168"/>
        <v>0</v>
      </c>
      <c r="BU715" s="112"/>
      <c r="BV715">
        <f t="shared" ca="1" si="1300"/>
        <v>1</v>
      </c>
      <c r="BW715" s="112">
        <f t="shared" ca="1" si="1232"/>
        <v>40544</v>
      </c>
      <c r="BX715" s="112">
        <f t="shared" ca="1" si="1315"/>
        <v>40739</v>
      </c>
      <c r="BY715">
        <f t="shared" ca="1" si="1277"/>
        <v>9</v>
      </c>
      <c r="BZ715">
        <f t="shared" ca="1" si="1278"/>
        <v>24</v>
      </c>
      <c r="CB715">
        <f t="shared" ca="1" si="1240"/>
        <v>1</v>
      </c>
      <c r="CC715" s="112">
        <f t="shared" ca="1" si="1241"/>
        <v>40544</v>
      </c>
      <c r="CD715" s="112">
        <f t="shared" ca="1" si="1242"/>
        <v>40739</v>
      </c>
      <c r="CE715">
        <f t="shared" ca="1" si="1243"/>
        <v>9</v>
      </c>
      <c r="CF715">
        <f t="shared" ca="1" si="1244"/>
        <v>24</v>
      </c>
      <c r="CH715" s="112">
        <f t="shared" ca="1" si="1012"/>
        <v>40739</v>
      </c>
      <c r="CI715">
        <f t="shared" ca="1" si="1311"/>
        <v>1</v>
      </c>
      <c r="CJ715">
        <f t="shared" ref="CJ715" ca="1" si="1317">IF(AND(CI715=0,CC715&lt;100000),1,0)</f>
        <v>0</v>
      </c>
      <c r="CK715" s="112">
        <f t="shared" ca="1" si="1021"/>
        <v>40739</v>
      </c>
      <c r="CM715" s="112"/>
      <c r="CN715" s="261">
        <f t="shared" ref="CN715" ca="1" si="1318">IF(AND(CN711=100000,CN712=100000,CN713=100000,CN714=100000),INDIRECT(CONCATENATE("aa",BQ715)),CC715)</f>
        <v>40544</v>
      </c>
      <c r="CO715" s="324">
        <f t="shared" ca="1" si="1313"/>
        <v>40739</v>
      </c>
      <c r="CP715" s="256">
        <f t="shared" ca="1" si="1023"/>
        <v>9</v>
      </c>
      <c r="CQ715" s="329">
        <f t="shared" ca="1" si="1024"/>
        <v>24</v>
      </c>
      <c r="CS715" s="112">
        <f t="shared" ca="1" si="1235"/>
        <v>40544</v>
      </c>
      <c r="CT715" s="112">
        <f t="shared" ca="1" si="1267"/>
        <v>40739</v>
      </c>
      <c r="CU715" s="238">
        <f t="shared" ca="1" si="1247"/>
        <v>9</v>
      </c>
      <c r="CV715" s="238">
        <f t="shared" ca="1" si="1248"/>
        <v>24</v>
      </c>
      <c r="CY715">
        <f t="shared" si="1258"/>
        <v>145</v>
      </c>
      <c r="DA715" s="112">
        <f t="shared" ca="1" si="1259"/>
        <v>100000</v>
      </c>
      <c r="DC715">
        <f t="shared" si="1260"/>
        <v>715</v>
      </c>
      <c r="DE715" t="str">
        <f t="shared" si="1281"/>
        <v>cs715:dc790</v>
      </c>
      <c r="DF715">
        <f t="shared" ca="1" si="1249"/>
        <v>717</v>
      </c>
      <c r="DG715" s="412">
        <f t="shared" ca="1" si="1060"/>
        <v>44804</v>
      </c>
      <c r="DH715" s="411" t="str">
        <f t="shared" ca="1" si="1049"/>
        <v/>
      </c>
      <c r="DI715" s="411" t="str">
        <f t="shared" ca="1" si="1050"/>
        <v/>
      </c>
      <c r="DJ715" s="410" t="str">
        <f t="shared" ca="1" si="1051"/>
        <v/>
      </c>
      <c r="DK715" s="410" t="str">
        <f t="shared" ca="1" si="1052"/>
        <v/>
      </c>
      <c r="DM715" s="411" t="str">
        <f t="shared" ca="1" si="1061"/>
        <v/>
      </c>
      <c r="DN715" s="411" t="str">
        <f t="shared" ca="1" si="1062"/>
        <v/>
      </c>
      <c r="DO715" s="410" t="str">
        <f t="shared" ca="1" si="1063"/>
        <v/>
      </c>
      <c r="DP715" s="410" t="str">
        <f t="shared" ca="1" si="1064"/>
        <v/>
      </c>
    </row>
    <row r="716" spans="27:120" x14ac:dyDescent="0.25">
      <c r="AU716" s="112"/>
      <c r="AV716" s="112"/>
      <c r="BQ716" s="238">
        <f t="shared" ref="BQ716" si="1319">BQ715+1</f>
        <v>600</v>
      </c>
      <c r="BR716" s="112" t="s">
        <v>444</v>
      </c>
      <c r="BS716" s="112" t="s">
        <v>445</v>
      </c>
      <c r="BT716" s="114">
        <f t="shared" ca="1" si="1168"/>
        <v>1</v>
      </c>
      <c r="BU716" s="112"/>
      <c r="BV716">
        <f t="shared" ca="1" si="1300"/>
        <v>1</v>
      </c>
      <c r="BW716" s="112">
        <f t="shared" ca="1" si="1232"/>
        <v>40802</v>
      </c>
      <c r="BX716" s="112">
        <f t="shared" ref="BX716:BX718" ca="1" si="1320">INDIRECT(CONCATENATE(BS716,BQ716))-1</f>
        <v>41089</v>
      </c>
      <c r="BY716">
        <f t="shared" ca="1" si="1277"/>
        <v>18</v>
      </c>
      <c r="BZ716">
        <f t="shared" ca="1" si="1278"/>
        <v>24</v>
      </c>
      <c r="CB716">
        <f t="shared" ca="1" si="1240"/>
        <v>0</v>
      </c>
      <c r="CC716" s="112">
        <f t="shared" ca="1" si="1241"/>
        <v>40802</v>
      </c>
      <c r="CD716" s="112">
        <f t="shared" ca="1" si="1242"/>
        <v>41089</v>
      </c>
      <c r="CE716">
        <f t="shared" ca="1" si="1243"/>
        <v>18</v>
      </c>
      <c r="CF716">
        <f t="shared" ca="1" si="1244"/>
        <v>24</v>
      </c>
      <c r="CH716" s="112">
        <f t="shared" ca="1" si="1012"/>
        <v>41090</v>
      </c>
      <c r="CI716">
        <f t="shared" ref="CI716" ca="1" si="1321">CB716+CB717+CB718+CB719+CB720</f>
        <v>0</v>
      </c>
      <c r="CJ716">
        <v>0</v>
      </c>
      <c r="CK716" s="112">
        <f t="shared" ca="1" si="1021"/>
        <v>41090</v>
      </c>
      <c r="CM716" s="112"/>
      <c r="CN716" s="408">
        <f t="shared" ca="1" si="1255"/>
        <v>40802</v>
      </c>
      <c r="CO716" s="326">
        <f t="shared" ref="CO716" ca="1" si="1322">CD716</f>
        <v>41089</v>
      </c>
      <c r="CP716" s="333">
        <f t="shared" ca="1" si="1023"/>
        <v>18</v>
      </c>
      <c r="CQ716" s="327">
        <f t="shared" ca="1" si="1024"/>
        <v>24</v>
      </c>
      <c r="CS716" s="112">
        <f t="shared" ca="1" si="1235"/>
        <v>40802</v>
      </c>
      <c r="CT716" s="112">
        <f t="shared" ref="CT716" ca="1" si="1323">IF(AND( CN717=100000,CN718=100000,CN719=100000,CN720=100000),CO720,                             CO716)</f>
        <v>41090</v>
      </c>
      <c r="CU716" s="238">
        <f t="shared" ca="1" si="1247"/>
        <v>18</v>
      </c>
      <c r="CV716" s="238">
        <f t="shared" ca="1" si="1248"/>
        <v>24</v>
      </c>
      <c r="CY716">
        <f t="shared" si="1258"/>
        <v>146</v>
      </c>
      <c r="DA716" s="112">
        <f t="shared" ca="1" si="1259"/>
        <v>100000</v>
      </c>
      <c r="DC716">
        <f t="shared" si="1260"/>
        <v>716</v>
      </c>
      <c r="DE716" t="str">
        <f t="shared" si="1281"/>
        <v>cs716:dc790</v>
      </c>
      <c r="DF716">
        <f t="shared" ca="1" si="1249"/>
        <v>717</v>
      </c>
      <c r="DG716" s="412">
        <f t="shared" ca="1" si="1060"/>
        <v>44804</v>
      </c>
      <c r="DH716" s="411" t="str">
        <f t="shared" ca="1" si="1049"/>
        <v/>
      </c>
      <c r="DI716" s="411" t="str">
        <f t="shared" ca="1" si="1050"/>
        <v/>
      </c>
      <c r="DJ716" s="410" t="str">
        <f t="shared" ca="1" si="1051"/>
        <v/>
      </c>
      <c r="DK716" s="410" t="str">
        <f t="shared" ca="1" si="1052"/>
        <v/>
      </c>
      <c r="DM716" s="411" t="str">
        <f t="shared" ca="1" si="1061"/>
        <v/>
      </c>
      <c r="DN716" s="411" t="str">
        <f t="shared" ca="1" si="1062"/>
        <v/>
      </c>
      <c r="DO716" s="410" t="str">
        <f t="shared" ca="1" si="1063"/>
        <v/>
      </c>
      <c r="DP716" s="410" t="str">
        <f t="shared" ca="1" si="1064"/>
        <v/>
      </c>
    </row>
    <row r="717" spans="27:120" x14ac:dyDescent="0.25">
      <c r="AU717" s="112"/>
      <c r="AV717" s="112"/>
      <c r="BQ717" s="238">
        <f t="shared" ref="BQ717:BQ720" si="1324">BQ716</f>
        <v>600</v>
      </c>
      <c r="BR717" t="s">
        <v>445</v>
      </c>
      <c r="BS717" t="s">
        <v>446</v>
      </c>
      <c r="BT717" s="114">
        <f t="shared" ca="1" si="1168"/>
        <v>1</v>
      </c>
      <c r="BU717" s="112"/>
      <c r="BV717">
        <f t="shared" ca="1" si="1300"/>
        <v>0</v>
      </c>
      <c r="BW717" s="112">
        <f t="shared" ca="1" si="1232"/>
        <v>41090</v>
      </c>
      <c r="BX717" s="112">
        <f t="shared" ca="1" si="1320"/>
        <v>41089</v>
      </c>
      <c r="BY717">
        <f t="shared" ca="1" si="1277"/>
        <v>18</v>
      </c>
      <c r="BZ717">
        <f t="shared" ca="1" si="1278"/>
        <v>24</v>
      </c>
      <c r="CB717">
        <f t="shared" ca="1" si="1240"/>
        <v>0</v>
      </c>
      <c r="CC717" s="112">
        <f t="shared" ca="1" si="1241"/>
        <v>100000</v>
      </c>
      <c r="CD717" s="112">
        <f t="shared" ca="1" si="1242"/>
        <v>41089</v>
      </c>
      <c r="CE717">
        <f t="shared" ca="1" si="1243"/>
        <v>18</v>
      </c>
      <c r="CF717">
        <f t="shared" ca="1" si="1244"/>
        <v>24</v>
      </c>
      <c r="CH717" s="112">
        <f t="shared" ca="1" si="1012"/>
        <v>41090</v>
      </c>
      <c r="CI717">
        <f t="shared" ref="CI717:CI720" ca="1" si="1325">CI716</f>
        <v>0</v>
      </c>
      <c r="CJ717">
        <f t="shared" ref="CJ717" ca="1" si="1326">IF(AND(CI717=0,CJ718=0,CJ719=0,CJ720=0,CC717&lt;100000),1,0)</f>
        <v>0</v>
      </c>
      <c r="CK717" s="112">
        <f t="shared" ca="1" si="1021"/>
        <v>41090</v>
      </c>
      <c r="CM717" s="112"/>
      <c r="CN717" s="260">
        <f t="shared" ca="1" si="1255"/>
        <v>100000</v>
      </c>
      <c r="CO717" s="112">
        <f t="shared" ref="CO717:CO720" ca="1" si="1327">IF(CJ717=1,CH717,CD717)</f>
        <v>41089</v>
      </c>
      <c r="CP717" s="238">
        <f t="shared" ca="1" si="1023"/>
        <v>18</v>
      </c>
      <c r="CQ717" s="328">
        <f t="shared" ca="1" si="1024"/>
        <v>24</v>
      </c>
      <c r="CS717" s="112">
        <f t="shared" ca="1" si="1235"/>
        <v>100000</v>
      </c>
      <c r="CT717" s="112">
        <f t="shared" ca="1" si="1267"/>
        <v>41089</v>
      </c>
      <c r="CU717" s="238">
        <f t="shared" ca="1" si="1247"/>
        <v>18</v>
      </c>
      <c r="CV717" s="238">
        <f t="shared" ca="1" si="1248"/>
        <v>24</v>
      </c>
      <c r="CY717">
        <f t="shared" si="1258"/>
        <v>147</v>
      </c>
      <c r="DA717" s="112">
        <f t="shared" ca="1" si="1259"/>
        <v>100000</v>
      </c>
      <c r="DC717">
        <f t="shared" si="1260"/>
        <v>717</v>
      </c>
      <c r="DE717" t="str">
        <f t="shared" si="1281"/>
        <v>cs717:dc790</v>
      </c>
      <c r="DF717">
        <f t="shared" ca="1" si="1249"/>
        <v>717</v>
      </c>
      <c r="DG717" s="412">
        <f t="shared" ca="1" si="1060"/>
        <v>44804</v>
      </c>
      <c r="DH717" s="411" t="str">
        <f t="shared" ca="1" si="1049"/>
        <v/>
      </c>
      <c r="DI717" s="411" t="str">
        <f t="shared" ca="1" si="1050"/>
        <v/>
      </c>
      <c r="DJ717" s="410" t="str">
        <f t="shared" ca="1" si="1051"/>
        <v/>
      </c>
      <c r="DK717" s="410" t="str">
        <f t="shared" ca="1" si="1052"/>
        <v/>
      </c>
      <c r="DM717" s="411" t="str">
        <f t="shared" ca="1" si="1061"/>
        <v/>
      </c>
      <c r="DN717" s="411" t="str">
        <f t="shared" ca="1" si="1062"/>
        <v/>
      </c>
      <c r="DO717" s="410" t="str">
        <f t="shared" ca="1" si="1063"/>
        <v/>
      </c>
      <c r="DP717" s="410" t="str">
        <f t="shared" ca="1" si="1064"/>
        <v/>
      </c>
    </row>
    <row r="718" spans="27:120" x14ac:dyDescent="0.25">
      <c r="AU718" s="112"/>
      <c r="AV718" s="112"/>
      <c r="BQ718" s="238">
        <f t="shared" si="1324"/>
        <v>600</v>
      </c>
      <c r="BR718" t="s">
        <v>446</v>
      </c>
      <c r="BS718" t="s">
        <v>447</v>
      </c>
      <c r="BT718" s="114">
        <f t="shared" ca="1" si="1168"/>
        <v>1</v>
      </c>
      <c r="BU718" s="112"/>
      <c r="BV718">
        <f t="shared" ca="1" si="1300"/>
        <v>0</v>
      </c>
      <c r="BW718" s="112">
        <f t="shared" ca="1" si="1232"/>
        <v>41090</v>
      </c>
      <c r="BX718" s="112">
        <f t="shared" ca="1" si="1320"/>
        <v>41089</v>
      </c>
      <c r="BY718">
        <f t="shared" ca="1" si="1277"/>
        <v>18</v>
      </c>
      <c r="BZ718">
        <f t="shared" ca="1" si="1278"/>
        <v>24</v>
      </c>
      <c r="CB718">
        <f t="shared" ca="1" si="1240"/>
        <v>0</v>
      </c>
      <c r="CC718" s="112">
        <f t="shared" ca="1" si="1241"/>
        <v>100000</v>
      </c>
      <c r="CD718" s="112">
        <f t="shared" ca="1" si="1242"/>
        <v>41089</v>
      </c>
      <c r="CE718">
        <f t="shared" ca="1" si="1243"/>
        <v>18</v>
      </c>
      <c r="CF718">
        <f t="shared" ca="1" si="1244"/>
        <v>24</v>
      </c>
      <c r="CH718" s="112">
        <f t="shared" ca="1" si="1012"/>
        <v>41090</v>
      </c>
      <c r="CI718">
        <f t="shared" ca="1" si="1325"/>
        <v>0</v>
      </c>
      <c r="CJ718">
        <f t="shared" ref="CJ718" ca="1" si="1328">IF(AND(CI718=0,CJ719=0,CJ720=0,CC718&lt;100000),1,0)</f>
        <v>0</v>
      </c>
      <c r="CK718" s="112">
        <f t="shared" ca="1" si="1021"/>
        <v>41090</v>
      </c>
      <c r="CM718" s="112"/>
      <c r="CN718" s="260">
        <f t="shared" ca="1" si="1255"/>
        <v>100000</v>
      </c>
      <c r="CO718" s="112">
        <f t="shared" ca="1" si="1327"/>
        <v>41089</v>
      </c>
      <c r="CP718" s="238">
        <f t="shared" ca="1" si="1023"/>
        <v>18</v>
      </c>
      <c r="CQ718" s="328">
        <f t="shared" ca="1" si="1024"/>
        <v>24</v>
      </c>
      <c r="CS718" s="112">
        <f t="shared" ca="1" si="1235"/>
        <v>100000</v>
      </c>
      <c r="CT718" s="112">
        <f t="shared" ca="1" si="1267"/>
        <v>41089</v>
      </c>
      <c r="CU718" s="238">
        <f t="shared" ca="1" si="1247"/>
        <v>18</v>
      </c>
      <c r="CV718" s="238">
        <f t="shared" ca="1" si="1248"/>
        <v>24</v>
      </c>
      <c r="CY718">
        <f t="shared" si="1258"/>
        <v>148</v>
      </c>
      <c r="DA718" s="112">
        <f t="shared" ca="1" si="1259"/>
        <v>100000</v>
      </c>
      <c r="DC718">
        <f t="shared" si="1260"/>
        <v>718</v>
      </c>
      <c r="DE718" t="str">
        <f t="shared" si="1281"/>
        <v>cs718:dc790</v>
      </c>
      <c r="DF718">
        <f t="shared" ca="1" si="1249"/>
        <v>718</v>
      </c>
      <c r="DG718" s="412">
        <f t="shared" ca="1" si="1060"/>
        <v>44804</v>
      </c>
      <c r="DH718" s="411" t="str">
        <f t="shared" ca="1" si="1049"/>
        <v/>
      </c>
      <c r="DI718" s="411" t="str">
        <f t="shared" ca="1" si="1050"/>
        <v/>
      </c>
      <c r="DJ718" s="410" t="str">
        <f t="shared" ca="1" si="1051"/>
        <v/>
      </c>
      <c r="DK718" s="410" t="str">
        <f t="shared" ca="1" si="1052"/>
        <v/>
      </c>
      <c r="DM718" s="411" t="str">
        <f t="shared" ca="1" si="1061"/>
        <v/>
      </c>
      <c r="DN718" s="411" t="str">
        <f t="shared" ca="1" si="1062"/>
        <v/>
      </c>
      <c r="DO718" s="410" t="str">
        <f t="shared" ca="1" si="1063"/>
        <v/>
      </c>
      <c r="DP718" s="410" t="str">
        <f t="shared" ca="1" si="1064"/>
        <v/>
      </c>
    </row>
    <row r="719" spans="27:120" x14ac:dyDescent="0.25">
      <c r="AU719" s="112"/>
      <c r="AV719" s="112"/>
      <c r="BQ719" s="238">
        <f t="shared" si="1324"/>
        <v>600</v>
      </c>
      <c r="BR719" t="s">
        <v>447</v>
      </c>
      <c r="BS719" t="s">
        <v>448</v>
      </c>
      <c r="BT719" s="114">
        <f t="shared" ca="1" si="1168"/>
        <v>1</v>
      </c>
      <c r="BU719" s="112"/>
      <c r="BV719">
        <f t="shared" ca="1" si="1300"/>
        <v>0</v>
      </c>
      <c r="BW719" s="112">
        <f t="shared" ca="1" si="1232"/>
        <v>41090</v>
      </c>
      <c r="BX719" s="112">
        <f t="shared" ref="BX719:BX720" ca="1" si="1329">INDIRECT(CONCATENATE(BS719,BQ719))</f>
        <v>41090</v>
      </c>
      <c r="BY719">
        <f t="shared" ca="1" si="1277"/>
        <v>18</v>
      </c>
      <c r="BZ719">
        <f t="shared" ca="1" si="1278"/>
        <v>24</v>
      </c>
      <c r="CB719">
        <f t="shared" ca="1" si="1240"/>
        <v>0</v>
      </c>
      <c r="CC719" s="112">
        <f t="shared" ca="1" si="1241"/>
        <v>100000</v>
      </c>
      <c r="CD719" s="112">
        <f t="shared" ca="1" si="1242"/>
        <v>41090</v>
      </c>
      <c r="CE719">
        <f t="shared" ca="1" si="1243"/>
        <v>18</v>
      </c>
      <c r="CF719">
        <f t="shared" ca="1" si="1244"/>
        <v>24</v>
      </c>
      <c r="CH719" s="112">
        <f t="shared" ca="1" si="1012"/>
        <v>41090</v>
      </c>
      <c r="CI719">
        <f t="shared" ca="1" si="1325"/>
        <v>0</v>
      </c>
      <c r="CJ719">
        <f t="shared" ref="CJ719" ca="1" si="1330">IF(AND(CI719=0,CJ720=0,CC719&lt;100000),1,0)</f>
        <v>0</v>
      </c>
      <c r="CK719" s="112">
        <f t="shared" ca="1" si="1021"/>
        <v>41090</v>
      </c>
      <c r="CM719" s="112"/>
      <c r="CN719" s="260">
        <f t="shared" ca="1" si="1255"/>
        <v>100000</v>
      </c>
      <c r="CO719" s="112">
        <f t="shared" ca="1" si="1327"/>
        <v>41090</v>
      </c>
      <c r="CP719" s="238">
        <f t="shared" ca="1" si="1023"/>
        <v>18</v>
      </c>
      <c r="CQ719" s="328">
        <f t="shared" ca="1" si="1024"/>
        <v>24</v>
      </c>
      <c r="CS719" s="112">
        <f t="shared" ca="1" si="1235"/>
        <v>100000</v>
      </c>
      <c r="CT719" s="112">
        <f t="shared" ca="1" si="1267"/>
        <v>41090</v>
      </c>
      <c r="CU719" s="238">
        <f t="shared" ca="1" si="1247"/>
        <v>18</v>
      </c>
      <c r="CV719" s="238">
        <f t="shared" ca="1" si="1248"/>
        <v>24</v>
      </c>
      <c r="CY719">
        <f t="shared" si="1258"/>
        <v>149</v>
      </c>
      <c r="DA719" s="112">
        <f t="shared" ca="1" si="1259"/>
        <v>100000</v>
      </c>
      <c r="DC719">
        <f t="shared" si="1260"/>
        <v>719</v>
      </c>
      <c r="DE719" t="str">
        <f t="shared" si="1281"/>
        <v>cs719:dc790</v>
      </c>
      <c r="DF719">
        <f t="shared" ca="1" si="1249"/>
        <v>719</v>
      </c>
      <c r="DG719" s="412">
        <f t="shared" ca="1" si="1060"/>
        <v>44804</v>
      </c>
      <c r="DH719" s="411" t="str">
        <f t="shared" ca="1" si="1049"/>
        <v/>
      </c>
      <c r="DI719" s="411" t="str">
        <f t="shared" ca="1" si="1050"/>
        <v/>
      </c>
      <c r="DJ719" s="410" t="str">
        <f t="shared" ca="1" si="1051"/>
        <v/>
      </c>
      <c r="DK719" s="410" t="str">
        <f t="shared" ca="1" si="1052"/>
        <v/>
      </c>
      <c r="DM719" s="411" t="str">
        <f t="shared" ca="1" si="1061"/>
        <v/>
      </c>
      <c r="DN719" s="411" t="str">
        <f t="shared" ca="1" si="1062"/>
        <v/>
      </c>
      <c r="DO719" s="410" t="str">
        <f t="shared" ca="1" si="1063"/>
        <v/>
      </c>
      <c r="DP719" s="410" t="str">
        <f t="shared" ca="1" si="1064"/>
        <v/>
      </c>
    </row>
    <row r="720" spans="27:120" ht="15.75" thickBot="1" x14ac:dyDescent="0.3">
      <c r="AU720" s="112"/>
      <c r="AV720" s="112"/>
      <c r="BQ720" s="238">
        <f t="shared" si="1324"/>
        <v>600</v>
      </c>
      <c r="BR720" t="s">
        <v>448</v>
      </c>
      <c r="BS720" t="s">
        <v>449</v>
      </c>
      <c r="BT720" s="114">
        <f t="shared" ca="1" si="1168"/>
        <v>1</v>
      </c>
      <c r="BU720" s="112"/>
      <c r="BV720">
        <f t="shared" ca="1" si="1300"/>
        <v>0</v>
      </c>
      <c r="BW720" s="112">
        <f t="shared" ca="1" si="1232"/>
        <v>41090</v>
      </c>
      <c r="BX720" s="112">
        <f t="shared" ca="1" si="1329"/>
        <v>41090</v>
      </c>
      <c r="BY720">
        <f t="shared" ca="1" si="1277"/>
        <v>18</v>
      </c>
      <c r="BZ720">
        <f t="shared" ca="1" si="1278"/>
        <v>24</v>
      </c>
      <c r="CB720">
        <f t="shared" ca="1" si="1240"/>
        <v>0</v>
      </c>
      <c r="CC720" s="112">
        <f t="shared" ca="1" si="1241"/>
        <v>100000</v>
      </c>
      <c r="CD720" s="112">
        <f t="shared" ca="1" si="1242"/>
        <v>41090</v>
      </c>
      <c r="CE720">
        <f t="shared" ca="1" si="1243"/>
        <v>18</v>
      </c>
      <c r="CF720">
        <f t="shared" ca="1" si="1244"/>
        <v>24</v>
      </c>
      <c r="CH720" s="112">
        <f t="shared" ref="CH720:CH783" ca="1" si="1331">INDIRECT(CONCATENATE("af",BQ720))</f>
        <v>41090</v>
      </c>
      <c r="CI720">
        <f t="shared" ca="1" si="1325"/>
        <v>0</v>
      </c>
      <c r="CJ720">
        <f t="shared" ref="CJ720" ca="1" si="1332">IF(AND(CI720=0,CC720&lt;100000),1,0)</f>
        <v>0</v>
      </c>
      <c r="CK720" s="112">
        <f t="shared" ca="1" si="1021"/>
        <v>41090</v>
      </c>
      <c r="CM720" s="112"/>
      <c r="CN720" s="261">
        <f t="shared" ref="CN720" ca="1" si="1333">IF(AND(CN716=100000,CN717=100000,CN718=100000,CN719=100000),INDIRECT(CONCATENATE("aa",BQ720)),CC720)</f>
        <v>100000</v>
      </c>
      <c r="CO720" s="324">
        <f t="shared" ca="1" si="1327"/>
        <v>41090</v>
      </c>
      <c r="CP720" s="256">
        <f t="shared" ca="1" si="1023"/>
        <v>18</v>
      </c>
      <c r="CQ720" s="329">
        <f t="shared" ca="1" si="1024"/>
        <v>24</v>
      </c>
      <c r="CS720" s="112">
        <f t="shared" ca="1" si="1235"/>
        <v>100000</v>
      </c>
      <c r="CT720" s="112">
        <f t="shared" ca="1" si="1267"/>
        <v>41090</v>
      </c>
      <c r="CU720" s="238">
        <f t="shared" ca="1" si="1247"/>
        <v>18</v>
      </c>
      <c r="CV720" s="238">
        <f t="shared" ca="1" si="1248"/>
        <v>24</v>
      </c>
      <c r="CY720">
        <f t="shared" si="1258"/>
        <v>150</v>
      </c>
      <c r="DA720" s="112">
        <f t="shared" ca="1" si="1259"/>
        <v>100000</v>
      </c>
      <c r="DC720">
        <f t="shared" si="1260"/>
        <v>720</v>
      </c>
      <c r="DE720" t="str">
        <f t="shared" si="1281"/>
        <v>cs720:dc790</v>
      </c>
      <c r="DF720">
        <f t="shared" ca="1" si="1249"/>
        <v>720</v>
      </c>
      <c r="DG720" s="412">
        <f t="shared" ca="1" si="1060"/>
        <v>44804</v>
      </c>
      <c r="DH720" s="411" t="str">
        <f t="shared" ca="1" si="1049"/>
        <v/>
      </c>
      <c r="DI720" s="411" t="str">
        <f t="shared" ca="1" si="1050"/>
        <v/>
      </c>
      <c r="DJ720" s="410" t="str">
        <f t="shared" ca="1" si="1051"/>
        <v/>
      </c>
      <c r="DK720" s="410" t="str">
        <f t="shared" ca="1" si="1052"/>
        <v/>
      </c>
      <c r="DM720" s="411" t="str">
        <f t="shared" ca="1" si="1061"/>
        <v/>
      </c>
      <c r="DN720" s="411" t="str">
        <f t="shared" ca="1" si="1062"/>
        <v/>
      </c>
      <c r="DO720" s="410" t="str">
        <f t="shared" ca="1" si="1063"/>
        <v/>
      </c>
      <c r="DP720" s="410" t="str">
        <f t="shared" ca="1" si="1064"/>
        <v/>
      </c>
    </row>
    <row r="721" spans="47:120" x14ac:dyDescent="0.25">
      <c r="AU721" s="112"/>
      <c r="AV721" s="112"/>
      <c r="BQ721" s="238">
        <f t="shared" ref="BQ721" si="1334">BQ720+1</f>
        <v>601</v>
      </c>
      <c r="BR721" s="112" t="s">
        <v>444</v>
      </c>
      <c r="BS721" s="112" t="s">
        <v>445</v>
      </c>
      <c r="BT721" s="114">
        <f t="shared" ca="1" si="1168"/>
        <v>1</v>
      </c>
      <c r="BU721" s="112"/>
      <c r="BV721">
        <f t="shared" ca="1" si="1300"/>
        <v>1</v>
      </c>
      <c r="BW721" s="112">
        <f t="shared" ca="1" si="1232"/>
        <v>41171</v>
      </c>
      <c r="BX721" s="112">
        <f t="shared" ref="BX721:BX723" ca="1" si="1335">INDIRECT(CONCATENATE(BS721,BQ721))-1</f>
        <v>41470</v>
      </c>
      <c r="BY721">
        <f t="shared" ca="1" si="1277"/>
        <v>7</v>
      </c>
      <c r="BZ721">
        <f t="shared" ca="1" si="1278"/>
        <v>24</v>
      </c>
      <c r="CB721">
        <f t="shared" ca="1" si="1240"/>
        <v>0</v>
      </c>
      <c r="CC721" s="112">
        <f t="shared" ca="1" si="1241"/>
        <v>41171</v>
      </c>
      <c r="CD721" s="112">
        <f t="shared" ca="1" si="1242"/>
        <v>41470</v>
      </c>
      <c r="CE721">
        <f t="shared" ca="1" si="1243"/>
        <v>7</v>
      </c>
      <c r="CF721">
        <f t="shared" ca="1" si="1244"/>
        <v>24</v>
      </c>
      <c r="CH721" s="112">
        <f t="shared" ca="1" si="1331"/>
        <v>41471</v>
      </c>
      <c r="CI721">
        <f t="shared" ref="CI721" ca="1" si="1336">CB721+CB722+CB723+CB724+CB725</f>
        <v>0</v>
      </c>
      <c r="CJ721">
        <v>0</v>
      </c>
      <c r="CK721" s="112">
        <f t="shared" ref="CK721:CK784" ca="1" si="1337">IF(CJ721=0,INDIRECT(CONCATENATE("af",BQ721)),1)</f>
        <v>41471</v>
      </c>
      <c r="CM721" s="112"/>
      <c r="CN721" s="408">
        <f t="shared" ca="1" si="1255"/>
        <v>41171</v>
      </c>
      <c r="CO721" s="326">
        <f t="shared" ref="CO721" ca="1" si="1338">CD721</f>
        <v>41470</v>
      </c>
      <c r="CP721" s="333">
        <f t="shared" ref="CP721:CP784" ca="1" si="1339">CE721</f>
        <v>7</v>
      </c>
      <c r="CQ721" s="327">
        <f t="shared" ref="CQ721:CQ784" ca="1" si="1340">CF721</f>
        <v>24</v>
      </c>
      <c r="CS721" s="112">
        <f t="shared" ca="1" si="1235"/>
        <v>41171</v>
      </c>
      <c r="CT721" s="112">
        <f t="shared" ref="CT721" ca="1" si="1341">IF(AND( CN722=100000,CN723=100000,CN724=100000,CN725=100000),CO725,                             CO721)</f>
        <v>41471</v>
      </c>
      <c r="CU721" s="238">
        <f t="shared" ca="1" si="1247"/>
        <v>7</v>
      </c>
      <c r="CV721" s="238">
        <f t="shared" ca="1" si="1248"/>
        <v>24</v>
      </c>
      <c r="CY721">
        <f t="shared" si="1258"/>
        <v>151</v>
      </c>
      <c r="DA721" s="112">
        <f t="shared" ca="1" si="1259"/>
        <v>100000</v>
      </c>
      <c r="DC721">
        <f t="shared" si="1260"/>
        <v>721</v>
      </c>
      <c r="DE721" t="str">
        <f t="shared" si="1281"/>
        <v>cs721:dc790</v>
      </c>
      <c r="DF721">
        <f t="shared" ca="1" si="1249"/>
        <v>722</v>
      </c>
      <c r="DG721" s="412">
        <f t="shared" ca="1" si="1060"/>
        <v>44804</v>
      </c>
      <c r="DH721" s="411" t="str">
        <f t="shared" ca="1" si="1049"/>
        <v/>
      </c>
      <c r="DI721" s="411" t="str">
        <f t="shared" ca="1" si="1050"/>
        <v/>
      </c>
      <c r="DJ721" s="410" t="str">
        <f t="shared" ca="1" si="1051"/>
        <v/>
      </c>
      <c r="DK721" s="410" t="str">
        <f t="shared" ca="1" si="1052"/>
        <v/>
      </c>
      <c r="DM721" s="411" t="str">
        <f t="shared" ca="1" si="1061"/>
        <v/>
      </c>
      <c r="DN721" s="411" t="str">
        <f t="shared" ca="1" si="1062"/>
        <v/>
      </c>
      <c r="DO721" s="410" t="str">
        <f t="shared" ca="1" si="1063"/>
        <v/>
      </c>
      <c r="DP721" s="410" t="str">
        <f t="shared" ca="1" si="1064"/>
        <v/>
      </c>
    </row>
    <row r="722" spans="47:120" x14ac:dyDescent="0.25">
      <c r="AU722" s="112"/>
      <c r="AV722" s="112"/>
      <c r="BQ722" s="238">
        <f t="shared" ref="BQ722:BQ725" si="1342">BQ721</f>
        <v>601</v>
      </c>
      <c r="BR722" t="s">
        <v>445</v>
      </c>
      <c r="BS722" t="s">
        <v>446</v>
      </c>
      <c r="BT722" s="114">
        <f t="shared" ca="1" si="1168"/>
        <v>1</v>
      </c>
      <c r="BU722" s="112"/>
      <c r="BV722">
        <f t="shared" ca="1" si="1300"/>
        <v>0</v>
      </c>
      <c r="BW722" s="112">
        <f t="shared" ca="1" si="1232"/>
        <v>41471</v>
      </c>
      <c r="BX722" s="112">
        <f t="shared" ca="1" si="1335"/>
        <v>41470</v>
      </c>
      <c r="BY722">
        <f t="shared" ca="1" si="1277"/>
        <v>7</v>
      </c>
      <c r="BZ722">
        <f t="shared" ca="1" si="1278"/>
        <v>24</v>
      </c>
      <c r="CB722">
        <f t="shared" ca="1" si="1240"/>
        <v>0</v>
      </c>
      <c r="CC722" s="112">
        <f t="shared" ca="1" si="1241"/>
        <v>100000</v>
      </c>
      <c r="CD722" s="112">
        <f t="shared" ca="1" si="1242"/>
        <v>41470</v>
      </c>
      <c r="CE722">
        <f t="shared" ca="1" si="1243"/>
        <v>7</v>
      </c>
      <c r="CF722">
        <f t="shared" ca="1" si="1244"/>
        <v>24</v>
      </c>
      <c r="CH722" s="112">
        <f t="shared" ca="1" si="1331"/>
        <v>41471</v>
      </c>
      <c r="CI722">
        <f t="shared" ref="CI722:CI725" ca="1" si="1343">CI721</f>
        <v>0</v>
      </c>
      <c r="CJ722">
        <f t="shared" ref="CJ722" ca="1" si="1344">IF(AND(CI722=0,CJ723=0,CJ724=0,CJ725=0,CC722&lt;100000),1,0)</f>
        <v>0</v>
      </c>
      <c r="CK722" s="112">
        <f t="shared" ca="1" si="1337"/>
        <v>41471</v>
      </c>
      <c r="CM722" s="112"/>
      <c r="CN722" s="260">
        <f t="shared" ca="1" si="1255"/>
        <v>100000</v>
      </c>
      <c r="CO722" s="112">
        <f t="shared" ref="CO722:CO725" ca="1" si="1345">IF(CJ722=1,CH722,CD722)</f>
        <v>41470</v>
      </c>
      <c r="CP722" s="238">
        <f t="shared" ca="1" si="1339"/>
        <v>7</v>
      </c>
      <c r="CQ722" s="328">
        <f t="shared" ca="1" si="1340"/>
        <v>24</v>
      </c>
      <c r="CS722" s="112">
        <f t="shared" ca="1" si="1235"/>
        <v>100000</v>
      </c>
      <c r="CT722" s="112">
        <f t="shared" ca="1" si="1267"/>
        <v>41470</v>
      </c>
      <c r="CU722" s="238">
        <f t="shared" ca="1" si="1247"/>
        <v>7</v>
      </c>
      <c r="CV722" s="238">
        <f t="shared" ca="1" si="1248"/>
        <v>24</v>
      </c>
      <c r="CY722">
        <f t="shared" si="1258"/>
        <v>152</v>
      </c>
      <c r="DA722" s="112">
        <f t="shared" ca="1" si="1259"/>
        <v>100000</v>
      </c>
      <c r="DC722">
        <f t="shared" si="1260"/>
        <v>722</v>
      </c>
      <c r="DE722" t="str">
        <f t="shared" si="1281"/>
        <v>cs722:dc790</v>
      </c>
      <c r="DF722">
        <f t="shared" ca="1" si="1249"/>
        <v>722</v>
      </c>
      <c r="DG722" s="412">
        <f t="shared" ca="1" si="1060"/>
        <v>44804</v>
      </c>
      <c r="DH722" s="411" t="str">
        <f t="shared" ca="1" si="1049"/>
        <v/>
      </c>
      <c r="DI722" s="411" t="str">
        <f t="shared" ca="1" si="1050"/>
        <v/>
      </c>
      <c r="DJ722" s="410" t="str">
        <f t="shared" ca="1" si="1051"/>
        <v/>
      </c>
      <c r="DK722" s="410" t="str">
        <f t="shared" ca="1" si="1052"/>
        <v/>
      </c>
      <c r="DM722" s="411" t="str">
        <f t="shared" ca="1" si="1061"/>
        <v/>
      </c>
      <c r="DN722" s="411" t="str">
        <f t="shared" ca="1" si="1062"/>
        <v/>
      </c>
      <c r="DO722" s="410" t="str">
        <f t="shared" ca="1" si="1063"/>
        <v/>
      </c>
      <c r="DP722" s="410" t="str">
        <f t="shared" ca="1" si="1064"/>
        <v/>
      </c>
    </row>
    <row r="723" spans="47:120" x14ac:dyDescent="0.25">
      <c r="AU723" s="112"/>
      <c r="AV723" s="112"/>
      <c r="BQ723" s="238">
        <f t="shared" si="1342"/>
        <v>601</v>
      </c>
      <c r="BR723" t="s">
        <v>446</v>
      </c>
      <c r="BS723" t="s">
        <v>447</v>
      </c>
      <c r="BT723" s="114">
        <f t="shared" ca="1" si="1168"/>
        <v>1</v>
      </c>
      <c r="BU723" s="112"/>
      <c r="BV723">
        <f t="shared" ca="1" si="1300"/>
        <v>0</v>
      </c>
      <c r="BW723" s="112">
        <f t="shared" ca="1" si="1232"/>
        <v>41471</v>
      </c>
      <c r="BX723" s="112">
        <f t="shared" ca="1" si="1335"/>
        <v>41470</v>
      </c>
      <c r="BY723">
        <f t="shared" ca="1" si="1277"/>
        <v>7</v>
      </c>
      <c r="BZ723">
        <f t="shared" ca="1" si="1278"/>
        <v>24</v>
      </c>
      <c r="CB723">
        <f t="shared" ca="1" si="1240"/>
        <v>0</v>
      </c>
      <c r="CC723" s="112">
        <f t="shared" ca="1" si="1241"/>
        <v>100000</v>
      </c>
      <c r="CD723" s="112">
        <f t="shared" ca="1" si="1242"/>
        <v>41470</v>
      </c>
      <c r="CE723">
        <f t="shared" ca="1" si="1243"/>
        <v>7</v>
      </c>
      <c r="CF723">
        <f t="shared" ca="1" si="1244"/>
        <v>24</v>
      </c>
      <c r="CH723" s="112">
        <f t="shared" ca="1" si="1331"/>
        <v>41471</v>
      </c>
      <c r="CI723">
        <f t="shared" ca="1" si="1343"/>
        <v>0</v>
      </c>
      <c r="CJ723">
        <f t="shared" ref="CJ723" ca="1" si="1346">IF(AND(CI723=0,CJ724=0,CJ725=0,CC723&lt;100000),1,0)</f>
        <v>0</v>
      </c>
      <c r="CK723" s="112">
        <f t="shared" ca="1" si="1337"/>
        <v>41471</v>
      </c>
      <c r="CM723" s="112"/>
      <c r="CN723" s="260">
        <f t="shared" ca="1" si="1255"/>
        <v>100000</v>
      </c>
      <c r="CO723" s="112">
        <f t="shared" ca="1" si="1345"/>
        <v>41470</v>
      </c>
      <c r="CP723" s="238">
        <f t="shared" ca="1" si="1339"/>
        <v>7</v>
      </c>
      <c r="CQ723" s="328">
        <f t="shared" ca="1" si="1340"/>
        <v>24</v>
      </c>
      <c r="CS723" s="112">
        <f t="shared" ca="1" si="1235"/>
        <v>100000</v>
      </c>
      <c r="CT723" s="112">
        <f t="shared" ca="1" si="1267"/>
        <v>41470</v>
      </c>
      <c r="CU723" s="238">
        <f t="shared" ca="1" si="1247"/>
        <v>7</v>
      </c>
      <c r="CV723" s="238">
        <f t="shared" ca="1" si="1248"/>
        <v>24</v>
      </c>
      <c r="CY723">
        <f t="shared" si="1258"/>
        <v>153</v>
      </c>
      <c r="DA723" s="112">
        <f t="shared" ca="1" si="1259"/>
        <v>100000</v>
      </c>
      <c r="DC723">
        <f t="shared" si="1260"/>
        <v>723</v>
      </c>
      <c r="DE723" t="str">
        <f t="shared" si="1281"/>
        <v>cs723:dc790</v>
      </c>
      <c r="DF723">
        <f t="shared" ca="1" si="1249"/>
        <v>723</v>
      </c>
      <c r="DG723" s="412">
        <f t="shared" ca="1" si="1060"/>
        <v>44804</v>
      </c>
      <c r="DH723" s="411" t="str">
        <f t="shared" ca="1" si="1049"/>
        <v/>
      </c>
      <c r="DI723" s="411" t="str">
        <f t="shared" ca="1" si="1050"/>
        <v/>
      </c>
      <c r="DJ723" s="410" t="str">
        <f t="shared" ca="1" si="1051"/>
        <v/>
      </c>
      <c r="DK723" s="410" t="str">
        <f t="shared" ca="1" si="1052"/>
        <v/>
      </c>
      <c r="DM723" s="411" t="str">
        <f t="shared" ca="1" si="1061"/>
        <v/>
      </c>
      <c r="DN723" s="411" t="str">
        <f t="shared" ca="1" si="1062"/>
        <v/>
      </c>
      <c r="DO723" s="410" t="str">
        <f t="shared" ca="1" si="1063"/>
        <v/>
      </c>
      <c r="DP723" s="410" t="str">
        <f t="shared" ca="1" si="1064"/>
        <v/>
      </c>
    </row>
    <row r="724" spans="47:120" x14ac:dyDescent="0.25">
      <c r="AU724" s="112"/>
      <c r="AV724" s="112"/>
      <c r="BQ724" s="238">
        <f t="shared" si="1342"/>
        <v>601</v>
      </c>
      <c r="BR724" t="s">
        <v>447</v>
      </c>
      <c r="BS724" t="s">
        <v>448</v>
      </c>
      <c r="BT724" s="114">
        <f t="shared" ca="1" si="1168"/>
        <v>1</v>
      </c>
      <c r="BU724" s="112"/>
      <c r="BV724">
        <f t="shared" ca="1" si="1300"/>
        <v>0</v>
      </c>
      <c r="BW724" s="112">
        <f t="shared" ca="1" si="1232"/>
        <v>41471</v>
      </c>
      <c r="BX724" s="112">
        <f t="shared" ref="BX724:BX725" ca="1" si="1347">INDIRECT(CONCATENATE(BS724,BQ724))</f>
        <v>41471</v>
      </c>
      <c r="BY724">
        <f t="shared" ca="1" si="1277"/>
        <v>7</v>
      </c>
      <c r="BZ724">
        <f t="shared" ca="1" si="1278"/>
        <v>24</v>
      </c>
      <c r="CB724">
        <f t="shared" ca="1" si="1240"/>
        <v>0</v>
      </c>
      <c r="CC724" s="112">
        <f t="shared" ca="1" si="1241"/>
        <v>100000</v>
      </c>
      <c r="CD724" s="112">
        <f t="shared" ca="1" si="1242"/>
        <v>41471</v>
      </c>
      <c r="CE724">
        <f t="shared" ca="1" si="1243"/>
        <v>7</v>
      </c>
      <c r="CF724">
        <f t="shared" ca="1" si="1244"/>
        <v>24</v>
      </c>
      <c r="CH724" s="112">
        <f t="shared" ca="1" si="1331"/>
        <v>41471</v>
      </c>
      <c r="CI724">
        <f t="shared" ca="1" si="1343"/>
        <v>0</v>
      </c>
      <c r="CJ724">
        <f t="shared" ref="CJ724" ca="1" si="1348">IF(AND(CI724=0,CJ725=0,CC724&lt;100000),1,0)</f>
        <v>0</v>
      </c>
      <c r="CK724" s="112">
        <f t="shared" ca="1" si="1337"/>
        <v>41471</v>
      </c>
      <c r="CM724" s="112"/>
      <c r="CN724" s="260">
        <f t="shared" ca="1" si="1255"/>
        <v>100000</v>
      </c>
      <c r="CO724" s="112">
        <f t="shared" ca="1" si="1345"/>
        <v>41471</v>
      </c>
      <c r="CP724" s="238">
        <f t="shared" ca="1" si="1339"/>
        <v>7</v>
      </c>
      <c r="CQ724" s="328">
        <f t="shared" ca="1" si="1340"/>
        <v>24</v>
      </c>
      <c r="CS724" s="112">
        <f t="shared" ca="1" si="1235"/>
        <v>100000</v>
      </c>
      <c r="CT724" s="112">
        <f t="shared" ca="1" si="1267"/>
        <v>41471</v>
      </c>
      <c r="CU724" s="238">
        <f t="shared" ca="1" si="1247"/>
        <v>7</v>
      </c>
      <c r="CV724" s="238">
        <f t="shared" ca="1" si="1248"/>
        <v>24</v>
      </c>
      <c r="CY724">
        <f t="shared" si="1258"/>
        <v>154</v>
      </c>
      <c r="DA724" s="112">
        <f t="shared" ca="1" si="1259"/>
        <v>100000</v>
      </c>
      <c r="DC724">
        <f t="shared" si="1260"/>
        <v>724</v>
      </c>
      <c r="DE724" t="str">
        <f t="shared" si="1281"/>
        <v>cs724:dc790</v>
      </c>
      <c r="DF724">
        <f t="shared" ca="1" si="1249"/>
        <v>724</v>
      </c>
      <c r="DG724" s="412">
        <f t="shared" ca="1" si="1060"/>
        <v>44804</v>
      </c>
      <c r="DH724" s="411" t="str">
        <f t="shared" ca="1" si="1049"/>
        <v/>
      </c>
      <c r="DI724" s="411" t="str">
        <f t="shared" ca="1" si="1050"/>
        <v/>
      </c>
      <c r="DJ724" s="410" t="str">
        <f t="shared" ca="1" si="1051"/>
        <v/>
      </c>
      <c r="DK724" s="410" t="str">
        <f t="shared" ca="1" si="1052"/>
        <v/>
      </c>
      <c r="DM724" s="411" t="str">
        <f t="shared" ca="1" si="1061"/>
        <v/>
      </c>
      <c r="DN724" s="411" t="str">
        <f t="shared" ca="1" si="1062"/>
        <v/>
      </c>
      <c r="DO724" s="410" t="str">
        <f t="shared" ca="1" si="1063"/>
        <v/>
      </c>
      <c r="DP724" s="410" t="str">
        <f t="shared" ca="1" si="1064"/>
        <v/>
      </c>
    </row>
    <row r="725" spans="47:120" ht="15.75" thickBot="1" x14ac:dyDescent="0.3">
      <c r="AU725" s="112"/>
      <c r="AV725" s="112"/>
      <c r="BQ725" s="238">
        <f t="shared" si="1342"/>
        <v>601</v>
      </c>
      <c r="BR725" t="s">
        <v>448</v>
      </c>
      <c r="BS725" t="s">
        <v>449</v>
      </c>
      <c r="BT725" s="114">
        <f t="shared" ca="1" si="1168"/>
        <v>1</v>
      </c>
      <c r="BU725" s="112"/>
      <c r="BV725">
        <f t="shared" ca="1" si="1300"/>
        <v>0</v>
      </c>
      <c r="BW725" s="112">
        <f t="shared" ca="1" si="1232"/>
        <v>41471</v>
      </c>
      <c r="BX725" s="112">
        <f t="shared" ca="1" si="1347"/>
        <v>41471</v>
      </c>
      <c r="BY725">
        <f t="shared" ca="1" si="1277"/>
        <v>7</v>
      </c>
      <c r="BZ725">
        <f t="shared" ca="1" si="1278"/>
        <v>24</v>
      </c>
      <c r="CB725">
        <f t="shared" ca="1" si="1240"/>
        <v>0</v>
      </c>
      <c r="CC725" s="112">
        <f t="shared" ca="1" si="1241"/>
        <v>100000</v>
      </c>
      <c r="CD725" s="112">
        <f t="shared" ca="1" si="1242"/>
        <v>41471</v>
      </c>
      <c r="CE725">
        <f t="shared" ca="1" si="1243"/>
        <v>7</v>
      </c>
      <c r="CF725">
        <f t="shared" ca="1" si="1244"/>
        <v>24</v>
      </c>
      <c r="CH725" s="112">
        <f t="shared" ca="1" si="1331"/>
        <v>41471</v>
      </c>
      <c r="CI725">
        <f t="shared" ca="1" si="1343"/>
        <v>0</v>
      </c>
      <c r="CJ725">
        <f t="shared" ref="CJ725" ca="1" si="1349">IF(AND(CI725=0,CC725&lt;100000),1,0)</f>
        <v>0</v>
      </c>
      <c r="CK725" s="112">
        <f t="shared" ca="1" si="1337"/>
        <v>41471</v>
      </c>
      <c r="CM725" s="112"/>
      <c r="CN725" s="261">
        <f t="shared" ref="CN725" ca="1" si="1350">IF(AND(CN721=100000,CN722=100000,CN723=100000,CN724=100000),INDIRECT(CONCATENATE("aa",BQ725)),CC725)</f>
        <v>100000</v>
      </c>
      <c r="CO725" s="324">
        <f t="shared" ca="1" si="1345"/>
        <v>41471</v>
      </c>
      <c r="CP725" s="256">
        <f t="shared" ca="1" si="1339"/>
        <v>7</v>
      </c>
      <c r="CQ725" s="329">
        <f t="shared" ca="1" si="1340"/>
        <v>24</v>
      </c>
      <c r="CS725" s="112">
        <f t="shared" ca="1" si="1235"/>
        <v>100000</v>
      </c>
      <c r="CT725" s="112">
        <f t="shared" ca="1" si="1267"/>
        <v>41471</v>
      </c>
      <c r="CU725" s="238">
        <f t="shared" ca="1" si="1247"/>
        <v>7</v>
      </c>
      <c r="CV725" s="238">
        <f t="shared" ca="1" si="1248"/>
        <v>24</v>
      </c>
      <c r="CY725">
        <f t="shared" si="1258"/>
        <v>155</v>
      </c>
      <c r="DA725" s="112">
        <f t="shared" ca="1" si="1259"/>
        <v>100000</v>
      </c>
      <c r="DC725">
        <f t="shared" si="1260"/>
        <v>725</v>
      </c>
      <c r="DE725" t="str">
        <f t="shared" si="1281"/>
        <v>cs725:dc790</v>
      </c>
      <c r="DF725">
        <f t="shared" ca="1" si="1249"/>
        <v>725</v>
      </c>
      <c r="DG725" s="412">
        <f t="shared" ca="1" si="1060"/>
        <v>44804</v>
      </c>
      <c r="DH725" s="411" t="str">
        <f t="shared" ca="1" si="1049"/>
        <v/>
      </c>
      <c r="DI725" s="411" t="str">
        <f t="shared" ca="1" si="1050"/>
        <v/>
      </c>
      <c r="DJ725" s="410" t="str">
        <f t="shared" ca="1" si="1051"/>
        <v/>
      </c>
      <c r="DK725" s="410" t="str">
        <f t="shared" ca="1" si="1052"/>
        <v/>
      </c>
      <c r="DM725" s="411" t="str">
        <f t="shared" ca="1" si="1061"/>
        <v/>
      </c>
      <c r="DN725" s="411" t="str">
        <f t="shared" ca="1" si="1062"/>
        <v/>
      </c>
      <c r="DO725" s="410" t="str">
        <f t="shared" ca="1" si="1063"/>
        <v/>
      </c>
      <c r="DP725" s="410" t="str">
        <f t="shared" ca="1" si="1064"/>
        <v/>
      </c>
    </row>
    <row r="726" spans="47:120" x14ac:dyDescent="0.25">
      <c r="AU726" s="112"/>
      <c r="AV726" s="112"/>
      <c r="BQ726" s="238">
        <f t="shared" ref="BQ726" si="1351">BQ725+1</f>
        <v>602</v>
      </c>
      <c r="BR726" s="112" t="s">
        <v>444</v>
      </c>
      <c r="BS726" s="112" t="s">
        <v>445</v>
      </c>
      <c r="BT726" s="114">
        <f t="shared" ca="1" si="1168"/>
        <v>1</v>
      </c>
      <c r="BU726" s="112"/>
      <c r="BV726">
        <f t="shared" ca="1" si="1300"/>
        <v>1</v>
      </c>
      <c r="BW726" s="112">
        <f t="shared" ca="1" si="1232"/>
        <v>41178</v>
      </c>
      <c r="BX726" s="112">
        <f t="shared" ref="BX726:BX728" ca="1" si="1352">INDIRECT(CONCATENATE(BS726,BQ726))-1</f>
        <v>41470</v>
      </c>
      <c r="BY726">
        <f t="shared" ca="1" si="1277"/>
        <v>5</v>
      </c>
      <c r="BZ726">
        <f t="shared" ca="1" si="1278"/>
        <v>24</v>
      </c>
      <c r="CB726">
        <f t="shared" ca="1" si="1240"/>
        <v>0</v>
      </c>
      <c r="CC726" s="112">
        <f t="shared" ca="1" si="1241"/>
        <v>41178</v>
      </c>
      <c r="CD726" s="112">
        <f t="shared" ca="1" si="1242"/>
        <v>41470</v>
      </c>
      <c r="CE726">
        <f t="shared" ca="1" si="1243"/>
        <v>5</v>
      </c>
      <c r="CF726">
        <f t="shared" ca="1" si="1244"/>
        <v>24</v>
      </c>
      <c r="CH726" s="112">
        <f t="shared" ca="1" si="1331"/>
        <v>41471</v>
      </c>
      <c r="CI726">
        <f t="shared" ref="CI726" ca="1" si="1353">CB726+CB727+CB728+CB729+CB730</f>
        <v>0</v>
      </c>
      <c r="CJ726">
        <v>0</v>
      </c>
      <c r="CK726" s="112">
        <f t="shared" ca="1" si="1337"/>
        <v>41471</v>
      </c>
      <c r="CM726" s="112"/>
      <c r="CN726" s="408">
        <f t="shared" ca="1" si="1255"/>
        <v>41178</v>
      </c>
      <c r="CO726" s="326">
        <f t="shared" ref="CO726" ca="1" si="1354">CD726</f>
        <v>41470</v>
      </c>
      <c r="CP726" s="333">
        <f t="shared" ca="1" si="1339"/>
        <v>5</v>
      </c>
      <c r="CQ726" s="327">
        <f t="shared" ca="1" si="1340"/>
        <v>24</v>
      </c>
      <c r="CS726" s="112">
        <f t="shared" ca="1" si="1235"/>
        <v>41178</v>
      </c>
      <c r="CT726" s="112">
        <f t="shared" ref="CT726" ca="1" si="1355">IF(AND( CN727=100000,CN728=100000,CN729=100000,CN730=100000),CO730,                             CO726)</f>
        <v>41471</v>
      </c>
      <c r="CU726" s="238">
        <f t="shared" ca="1" si="1247"/>
        <v>5</v>
      </c>
      <c r="CV726" s="238">
        <f t="shared" ca="1" si="1248"/>
        <v>24</v>
      </c>
      <c r="CY726">
        <f t="shared" si="1258"/>
        <v>156</v>
      </c>
      <c r="DA726" s="112">
        <f t="shared" ca="1" si="1259"/>
        <v>100000</v>
      </c>
      <c r="DC726">
        <f t="shared" si="1260"/>
        <v>726</v>
      </c>
      <c r="DE726" t="str">
        <f t="shared" si="1281"/>
        <v>cs726:dc790</v>
      </c>
      <c r="DF726">
        <f t="shared" ca="1" si="1249"/>
        <v>727</v>
      </c>
      <c r="DG726" s="412">
        <f t="shared" ca="1" si="1060"/>
        <v>44804</v>
      </c>
      <c r="DH726" s="411" t="str">
        <f t="shared" ref="DH726:DH773" ca="1" si="1356">IF(INDIRECT(CONCATENATE("cs",DF726))=100000,"",INDIRECT(CONCATENATE("cs",DF726)))</f>
        <v/>
      </c>
      <c r="DI726" s="411" t="str">
        <f t="shared" ref="DI726:DI773" ca="1" si="1357" xml:space="preserve">    IF(DH726="","",   INDIRECT(CONCATENATE("ct",DF726)))</f>
        <v/>
      </c>
      <c r="DJ726" s="410" t="str">
        <f t="shared" ref="DJ726:DJ773" ca="1" si="1358">IF(DI726="","",INDIRECT(CONCATENATE("cu",DF726)))</f>
        <v/>
      </c>
      <c r="DK726" s="410" t="str">
        <f t="shared" ref="DK726:DK773" ca="1" si="1359">IF(DJ726="","",INDIRECT(CONCATENATE("cv",DF726)))</f>
        <v/>
      </c>
      <c r="DM726" s="411" t="str">
        <f t="shared" ca="1" si="1061"/>
        <v/>
      </c>
      <c r="DN726" s="411" t="str">
        <f t="shared" ca="1" si="1062"/>
        <v/>
      </c>
      <c r="DO726" s="410" t="str">
        <f t="shared" ca="1" si="1063"/>
        <v/>
      </c>
      <c r="DP726" s="410" t="str">
        <f t="shared" ca="1" si="1064"/>
        <v/>
      </c>
    </row>
    <row r="727" spans="47:120" x14ac:dyDescent="0.25">
      <c r="AU727" s="112"/>
      <c r="AV727" s="112"/>
      <c r="BQ727" s="238">
        <f t="shared" ref="BQ727:BQ730" si="1360">BQ726</f>
        <v>602</v>
      </c>
      <c r="BR727" t="s">
        <v>445</v>
      </c>
      <c r="BS727" t="s">
        <v>446</v>
      </c>
      <c r="BT727" s="114">
        <f t="shared" ca="1" si="1168"/>
        <v>1</v>
      </c>
      <c r="BU727" s="112"/>
      <c r="BV727">
        <f t="shared" ca="1" si="1300"/>
        <v>0</v>
      </c>
      <c r="BW727" s="112">
        <f t="shared" ca="1" si="1232"/>
        <v>41471</v>
      </c>
      <c r="BX727" s="112">
        <f t="shared" ca="1" si="1352"/>
        <v>41470</v>
      </c>
      <c r="BY727">
        <f t="shared" ca="1" si="1277"/>
        <v>5</v>
      </c>
      <c r="BZ727">
        <f t="shared" ca="1" si="1278"/>
        <v>24</v>
      </c>
      <c r="CB727">
        <f t="shared" ca="1" si="1240"/>
        <v>0</v>
      </c>
      <c r="CC727" s="112">
        <f t="shared" ca="1" si="1241"/>
        <v>100000</v>
      </c>
      <c r="CD727" s="112">
        <f t="shared" ca="1" si="1242"/>
        <v>41470</v>
      </c>
      <c r="CE727">
        <f t="shared" ca="1" si="1243"/>
        <v>5</v>
      </c>
      <c r="CF727">
        <f t="shared" ca="1" si="1244"/>
        <v>24</v>
      </c>
      <c r="CH727" s="112">
        <f t="shared" ca="1" si="1331"/>
        <v>41471</v>
      </c>
      <c r="CI727">
        <f t="shared" ref="CI727:CI730" ca="1" si="1361">CI726</f>
        <v>0</v>
      </c>
      <c r="CJ727">
        <f t="shared" ref="CJ727" ca="1" si="1362">IF(AND(CI727=0,CJ728=0,CJ729=0,CJ730=0,CC727&lt;100000),1,0)</f>
        <v>0</v>
      </c>
      <c r="CK727" s="112">
        <f t="shared" ca="1" si="1337"/>
        <v>41471</v>
      </c>
      <c r="CM727" s="112"/>
      <c r="CN727" s="260">
        <f t="shared" ca="1" si="1255"/>
        <v>100000</v>
      </c>
      <c r="CO727" s="112">
        <f t="shared" ref="CO727:CO730" ca="1" si="1363">IF(CJ727=1,CH727,CD727)</f>
        <v>41470</v>
      </c>
      <c r="CP727" s="238">
        <f t="shared" ca="1" si="1339"/>
        <v>5</v>
      </c>
      <c r="CQ727" s="328">
        <f t="shared" ca="1" si="1340"/>
        <v>24</v>
      </c>
      <c r="CS727" s="112">
        <f t="shared" ca="1" si="1235"/>
        <v>100000</v>
      </c>
      <c r="CT727" s="112">
        <f t="shared" ca="1" si="1267"/>
        <v>41470</v>
      </c>
      <c r="CU727" s="238">
        <f t="shared" ca="1" si="1247"/>
        <v>5</v>
      </c>
      <c r="CV727" s="238">
        <f t="shared" ca="1" si="1248"/>
        <v>24</v>
      </c>
      <c r="CY727">
        <f t="shared" si="1258"/>
        <v>157</v>
      </c>
      <c r="DA727" s="112">
        <f t="shared" ca="1" si="1259"/>
        <v>100000</v>
      </c>
      <c r="DC727">
        <f t="shared" si="1260"/>
        <v>727</v>
      </c>
      <c r="DE727" t="str">
        <f t="shared" si="1281"/>
        <v>cs727:dc790</v>
      </c>
      <c r="DF727">
        <f t="shared" ca="1" si="1249"/>
        <v>727</v>
      </c>
      <c r="DG727" s="412">
        <f t="shared" ca="1" si="1060"/>
        <v>44804</v>
      </c>
      <c r="DH727" s="411" t="str">
        <f t="shared" ca="1" si="1356"/>
        <v/>
      </c>
      <c r="DI727" s="411" t="str">
        <f t="shared" ca="1" si="1357"/>
        <v/>
      </c>
      <c r="DJ727" s="410" t="str">
        <f t="shared" ca="1" si="1358"/>
        <v/>
      </c>
      <c r="DK727" s="410" t="str">
        <f t="shared" ca="1" si="1359"/>
        <v/>
      </c>
      <c r="DM727" s="411" t="str">
        <f t="shared" ca="1" si="1061"/>
        <v/>
      </c>
      <c r="DN727" s="411" t="str">
        <f t="shared" ca="1" si="1062"/>
        <v/>
      </c>
      <c r="DO727" s="410" t="str">
        <f t="shared" ca="1" si="1063"/>
        <v/>
      </c>
      <c r="DP727" s="410" t="str">
        <f t="shared" ca="1" si="1064"/>
        <v/>
      </c>
    </row>
    <row r="728" spans="47:120" x14ac:dyDescent="0.25">
      <c r="AU728" s="112"/>
      <c r="AV728" s="112"/>
      <c r="BQ728" s="238">
        <f t="shared" si="1360"/>
        <v>602</v>
      </c>
      <c r="BR728" t="s">
        <v>446</v>
      </c>
      <c r="BS728" t="s">
        <v>447</v>
      </c>
      <c r="BT728" s="114">
        <f t="shared" ca="1" si="1168"/>
        <v>1</v>
      </c>
      <c r="BU728" s="112"/>
      <c r="BV728">
        <f t="shared" ca="1" si="1300"/>
        <v>0</v>
      </c>
      <c r="BW728" s="112">
        <f t="shared" ca="1" si="1232"/>
        <v>41471</v>
      </c>
      <c r="BX728" s="112">
        <f t="shared" ca="1" si="1352"/>
        <v>41470</v>
      </c>
      <c r="BY728">
        <f t="shared" ca="1" si="1277"/>
        <v>5</v>
      </c>
      <c r="BZ728">
        <f t="shared" ca="1" si="1278"/>
        <v>24</v>
      </c>
      <c r="CB728">
        <f t="shared" ca="1" si="1240"/>
        <v>0</v>
      </c>
      <c r="CC728" s="112">
        <f t="shared" ca="1" si="1241"/>
        <v>100000</v>
      </c>
      <c r="CD728" s="112">
        <f t="shared" ca="1" si="1242"/>
        <v>41470</v>
      </c>
      <c r="CE728">
        <f t="shared" ca="1" si="1243"/>
        <v>5</v>
      </c>
      <c r="CF728">
        <f t="shared" ca="1" si="1244"/>
        <v>24</v>
      </c>
      <c r="CH728" s="112">
        <f t="shared" ca="1" si="1331"/>
        <v>41471</v>
      </c>
      <c r="CI728">
        <f t="shared" ca="1" si="1361"/>
        <v>0</v>
      </c>
      <c r="CJ728">
        <f t="shared" ref="CJ728" ca="1" si="1364">IF(AND(CI728=0,CJ729=0,CJ730=0,CC728&lt;100000),1,0)</f>
        <v>0</v>
      </c>
      <c r="CK728" s="112">
        <f t="shared" ca="1" si="1337"/>
        <v>41471</v>
      </c>
      <c r="CM728" s="112"/>
      <c r="CN728" s="260">
        <f t="shared" ca="1" si="1255"/>
        <v>100000</v>
      </c>
      <c r="CO728" s="112">
        <f t="shared" ca="1" si="1363"/>
        <v>41470</v>
      </c>
      <c r="CP728" s="238">
        <f t="shared" ca="1" si="1339"/>
        <v>5</v>
      </c>
      <c r="CQ728" s="328">
        <f t="shared" ca="1" si="1340"/>
        <v>24</v>
      </c>
      <c r="CS728" s="112">
        <f t="shared" ca="1" si="1235"/>
        <v>100000</v>
      </c>
      <c r="CT728" s="112">
        <f t="shared" ca="1" si="1267"/>
        <v>41470</v>
      </c>
      <c r="CU728" s="238">
        <f t="shared" ca="1" si="1247"/>
        <v>5</v>
      </c>
      <c r="CV728" s="238">
        <f t="shared" ca="1" si="1248"/>
        <v>24</v>
      </c>
      <c r="CY728">
        <f t="shared" si="1258"/>
        <v>158</v>
      </c>
      <c r="DA728" s="112">
        <f t="shared" ca="1" si="1259"/>
        <v>100000</v>
      </c>
      <c r="DC728">
        <f t="shared" si="1260"/>
        <v>728</v>
      </c>
      <c r="DE728" t="str">
        <f t="shared" si="1281"/>
        <v>cs728:dc790</v>
      </c>
      <c r="DF728">
        <f t="shared" ca="1" si="1249"/>
        <v>728</v>
      </c>
      <c r="DG728" s="412">
        <f t="shared" ref="DG728:DG773" ca="1" si="1365">IF(DI729="",$CS$570,0)</f>
        <v>44804</v>
      </c>
      <c r="DH728" s="411" t="str">
        <f t="shared" ca="1" si="1356"/>
        <v/>
      </c>
      <c r="DI728" s="411" t="str">
        <f t="shared" ca="1" si="1357"/>
        <v/>
      </c>
      <c r="DJ728" s="410" t="str">
        <f t="shared" ca="1" si="1358"/>
        <v/>
      </c>
      <c r="DK728" s="410" t="str">
        <f t="shared" ca="1" si="1359"/>
        <v/>
      </c>
      <c r="DM728" s="411" t="str">
        <f t="shared" ref="DM728:DM773" ca="1" si="1366">DH728</f>
        <v/>
      </c>
      <c r="DN728" s="411" t="str">
        <f t="shared" ref="DN728:DN773" ca="1" si="1367">IF(AND(DM728&lt;&gt;"",DH729=""),DG728,DI728)</f>
        <v/>
      </c>
      <c r="DO728" s="410" t="str">
        <f t="shared" ref="DO728:DO773" ca="1" si="1368">DJ728</f>
        <v/>
      </c>
      <c r="DP728" s="410" t="str">
        <f t="shared" ref="DP728:DP773" ca="1" si="1369">DK728</f>
        <v/>
      </c>
    </row>
    <row r="729" spans="47:120" x14ac:dyDescent="0.25">
      <c r="AU729" s="112"/>
      <c r="AV729" s="112"/>
      <c r="BQ729" s="238">
        <f t="shared" si="1360"/>
        <v>602</v>
      </c>
      <c r="BR729" t="s">
        <v>447</v>
      </c>
      <c r="BS729" t="s">
        <v>448</v>
      </c>
      <c r="BT729" s="114">
        <f t="shared" ca="1" si="1168"/>
        <v>1</v>
      </c>
      <c r="BU729" s="112"/>
      <c r="BV729">
        <f t="shared" ca="1" si="1300"/>
        <v>0</v>
      </c>
      <c r="BW729" s="112">
        <f t="shared" ca="1" si="1232"/>
        <v>41471</v>
      </c>
      <c r="BX729" s="112">
        <f t="shared" ref="BX729:BX730" ca="1" si="1370">INDIRECT(CONCATENATE(BS729,BQ729))</f>
        <v>41471</v>
      </c>
      <c r="BY729">
        <f t="shared" ca="1" si="1277"/>
        <v>5</v>
      </c>
      <c r="BZ729">
        <f t="shared" ca="1" si="1278"/>
        <v>24</v>
      </c>
      <c r="CB729">
        <f t="shared" ca="1" si="1240"/>
        <v>0</v>
      </c>
      <c r="CC729" s="112">
        <f t="shared" ca="1" si="1241"/>
        <v>100000</v>
      </c>
      <c r="CD729" s="112">
        <f t="shared" ca="1" si="1242"/>
        <v>41471</v>
      </c>
      <c r="CE729">
        <f t="shared" ca="1" si="1243"/>
        <v>5</v>
      </c>
      <c r="CF729">
        <f t="shared" ca="1" si="1244"/>
        <v>24</v>
      </c>
      <c r="CH729" s="112">
        <f t="shared" ca="1" si="1331"/>
        <v>41471</v>
      </c>
      <c r="CI729">
        <f t="shared" ca="1" si="1361"/>
        <v>0</v>
      </c>
      <c r="CJ729">
        <f t="shared" ref="CJ729" ca="1" si="1371">IF(AND(CI729=0,CJ730=0,CC729&lt;100000),1,0)</f>
        <v>0</v>
      </c>
      <c r="CK729" s="112">
        <f t="shared" ca="1" si="1337"/>
        <v>41471</v>
      </c>
      <c r="CM729" s="112"/>
      <c r="CN729" s="260">
        <f t="shared" ca="1" si="1255"/>
        <v>100000</v>
      </c>
      <c r="CO729" s="112">
        <f t="shared" ca="1" si="1363"/>
        <v>41471</v>
      </c>
      <c r="CP729" s="238">
        <f t="shared" ca="1" si="1339"/>
        <v>5</v>
      </c>
      <c r="CQ729" s="328">
        <f t="shared" ca="1" si="1340"/>
        <v>24</v>
      </c>
      <c r="CS729" s="112">
        <f t="shared" ca="1" si="1235"/>
        <v>100000</v>
      </c>
      <c r="CT729" s="112">
        <f t="shared" ca="1" si="1267"/>
        <v>41471</v>
      </c>
      <c r="CU729" s="238">
        <f t="shared" ca="1" si="1247"/>
        <v>5</v>
      </c>
      <c r="CV729" s="238">
        <f t="shared" ca="1" si="1248"/>
        <v>24</v>
      </c>
      <c r="CY729">
        <f t="shared" si="1258"/>
        <v>159</v>
      </c>
      <c r="DA729" s="112">
        <f t="shared" ca="1" si="1259"/>
        <v>100000</v>
      </c>
      <c r="DC729">
        <f t="shared" si="1260"/>
        <v>729</v>
      </c>
      <c r="DE729" t="str">
        <f t="shared" si="1281"/>
        <v>cs729:dc790</v>
      </c>
      <c r="DF729">
        <f t="shared" ca="1" si="1249"/>
        <v>729</v>
      </c>
      <c r="DG729" s="412">
        <f t="shared" ca="1" si="1365"/>
        <v>44804</v>
      </c>
      <c r="DH729" s="411" t="str">
        <f t="shared" ca="1" si="1356"/>
        <v/>
      </c>
      <c r="DI729" s="411" t="str">
        <f t="shared" ca="1" si="1357"/>
        <v/>
      </c>
      <c r="DJ729" s="410" t="str">
        <f t="shared" ca="1" si="1358"/>
        <v/>
      </c>
      <c r="DK729" s="410" t="str">
        <f t="shared" ca="1" si="1359"/>
        <v/>
      </c>
      <c r="DM729" s="411" t="str">
        <f t="shared" ca="1" si="1366"/>
        <v/>
      </c>
      <c r="DN729" s="411" t="str">
        <f t="shared" ca="1" si="1367"/>
        <v/>
      </c>
      <c r="DO729" s="410" t="str">
        <f t="shared" ca="1" si="1368"/>
        <v/>
      </c>
      <c r="DP729" s="410" t="str">
        <f t="shared" ca="1" si="1369"/>
        <v/>
      </c>
    </row>
    <row r="730" spans="47:120" ht="15.75" thickBot="1" x14ac:dyDescent="0.3">
      <c r="AU730" s="112"/>
      <c r="AV730" s="112"/>
      <c r="BQ730" s="238">
        <f t="shared" si="1360"/>
        <v>602</v>
      </c>
      <c r="BR730" t="s">
        <v>448</v>
      </c>
      <c r="BS730" t="s">
        <v>449</v>
      </c>
      <c r="BT730" s="114">
        <f t="shared" ca="1" si="1168"/>
        <v>1</v>
      </c>
      <c r="BU730" s="112"/>
      <c r="BV730">
        <f t="shared" ca="1" si="1300"/>
        <v>0</v>
      </c>
      <c r="BW730" s="112">
        <f t="shared" ca="1" si="1232"/>
        <v>41471</v>
      </c>
      <c r="BX730" s="112">
        <f t="shared" ca="1" si="1370"/>
        <v>41471</v>
      </c>
      <c r="BY730">
        <f t="shared" ca="1" si="1277"/>
        <v>5</v>
      </c>
      <c r="BZ730">
        <f t="shared" ca="1" si="1278"/>
        <v>24</v>
      </c>
      <c r="CB730">
        <f t="shared" ca="1" si="1240"/>
        <v>0</v>
      </c>
      <c r="CC730" s="112">
        <f t="shared" ca="1" si="1241"/>
        <v>100000</v>
      </c>
      <c r="CD730" s="112">
        <f t="shared" ca="1" si="1242"/>
        <v>41471</v>
      </c>
      <c r="CE730">
        <f t="shared" ca="1" si="1243"/>
        <v>5</v>
      </c>
      <c r="CF730">
        <f t="shared" ca="1" si="1244"/>
        <v>24</v>
      </c>
      <c r="CH730" s="112">
        <f t="shared" ca="1" si="1331"/>
        <v>41471</v>
      </c>
      <c r="CI730">
        <f t="shared" ca="1" si="1361"/>
        <v>0</v>
      </c>
      <c r="CJ730">
        <f t="shared" ref="CJ730" ca="1" si="1372">IF(AND(CI730=0,CC730&lt;100000),1,0)</f>
        <v>0</v>
      </c>
      <c r="CK730" s="112">
        <f t="shared" ca="1" si="1337"/>
        <v>41471</v>
      </c>
      <c r="CM730" s="112"/>
      <c r="CN730" s="261">
        <f t="shared" ref="CN730" ca="1" si="1373">IF(AND(CN726=100000,CN727=100000,CN728=100000,CN729=100000),INDIRECT(CONCATENATE("aa",BQ730)),CC730)</f>
        <v>100000</v>
      </c>
      <c r="CO730" s="324">
        <f t="shared" ca="1" si="1363"/>
        <v>41471</v>
      </c>
      <c r="CP730" s="256">
        <f t="shared" ca="1" si="1339"/>
        <v>5</v>
      </c>
      <c r="CQ730" s="329">
        <f t="shared" ca="1" si="1340"/>
        <v>24</v>
      </c>
      <c r="CS730" s="112">
        <f t="shared" ca="1" si="1235"/>
        <v>100000</v>
      </c>
      <c r="CT730" s="112">
        <f t="shared" ca="1" si="1267"/>
        <v>41471</v>
      </c>
      <c r="CU730" s="238">
        <f t="shared" ca="1" si="1247"/>
        <v>5</v>
      </c>
      <c r="CV730" s="238">
        <f t="shared" ca="1" si="1248"/>
        <v>24</v>
      </c>
      <c r="CY730">
        <f t="shared" si="1258"/>
        <v>160</v>
      </c>
      <c r="DA730" s="112">
        <f t="shared" ca="1" si="1259"/>
        <v>100000</v>
      </c>
      <c r="DC730">
        <f t="shared" si="1260"/>
        <v>730</v>
      </c>
      <c r="DE730" t="str">
        <f t="shared" si="1281"/>
        <v>cs730:dc790</v>
      </c>
      <c r="DF730">
        <f t="shared" ca="1" si="1249"/>
        <v>730</v>
      </c>
      <c r="DG730" s="412">
        <f t="shared" ca="1" si="1365"/>
        <v>44804</v>
      </c>
      <c r="DH730" s="411" t="str">
        <f t="shared" ca="1" si="1356"/>
        <v/>
      </c>
      <c r="DI730" s="411" t="str">
        <f t="shared" ca="1" si="1357"/>
        <v/>
      </c>
      <c r="DJ730" s="410" t="str">
        <f t="shared" ca="1" si="1358"/>
        <v/>
      </c>
      <c r="DK730" s="410" t="str">
        <f t="shared" ca="1" si="1359"/>
        <v/>
      </c>
      <c r="DM730" s="411" t="str">
        <f t="shared" ca="1" si="1366"/>
        <v/>
      </c>
      <c r="DN730" s="411" t="str">
        <f t="shared" ca="1" si="1367"/>
        <v/>
      </c>
      <c r="DO730" s="410" t="str">
        <f t="shared" ca="1" si="1368"/>
        <v/>
      </c>
      <c r="DP730" s="410" t="str">
        <f t="shared" ca="1" si="1369"/>
        <v/>
      </c>
    </row>
    <row r="731" spans="47:120" x14ac:dyDescent="0.25">
      <c r="AU731" s="112"/>
      <c r="AV731" s="112"/>
      <c r="BQ731" s="238">
        <f t="shared" ref="BQ731" si="1374">BQ730+1</f>
        <v>603</v>
      </c>
      <c r="BR731" s="112" t="s">
        <v>444</v>
      </c>
      <c r="BS731" s="112" t="s">
        <v>445</v>
      </c>
      <c r="BT731" s="114">
        <f t="shared" ca="1" si="1168"/>
        <v>1</v>
      </c>
      <c r="BU731" s="112"/>
      <c r="BV731">
        <f t="shared" ca="1" si="1300"/>
        <v>1</v>
      </c>
      <c r="BW731" s="112">
        <f t="shared" ca="1" si="1232"/>
        <v>41184</v>
      </c>
      <c r="BX731" s="112">
        <f t="shared" ref="BX731:BX733" ca="1" si="1375">INDIRECT(CONCATENATE(BS731,BQ731))-1</f>
        <v>41195</v>
      </c>
      <c r="BY731">
        <f t="shared" ca="1" si="1277"/>
        <v>6</v>
      </c>
      <c r="BZ731">
        <f t="shared" ca="1" si="1278"/>
        <v>24</v>
      </c>
      <c r="CB731">
        <f t="shared" ca="1" si="1240"/>
        <v>0</v>
      </c>
      <c r="CC731" s="112">
        <f t="shared" ca="1" si="1241"/>
        <v>41184</v>
      </c>
      <c r="CD731" s="112">
        <f t="shared" ca="1" si="1242"/>
        <v>41195</v>
      </c>
      <c r="CE731">
        <f t="shared" ca="1" si="1243"/>
        <v>6</v>
      </c>
      <c r="CF731">
        <f t="shared" ca="1" si="1244"/>
        <v>24</v>
      </c>
      <c r="CH731" s="112">
        <f t="shared" ca="1" si="1331"/>
        <v>41196</v>
      </c>
      <c r="CI731">
        <f t="shared" ref="CI731" ca="1" si="1376">CB731+CB732+CB733+CB734+CB735</f>
        <v>0</v>
      </c>
      <c r="CJ731">
        <v>0</v>
      </c>
      <c r="CK731" s="112">
        <f t="shared" ca="1" si="1337"/>
        <v>41196</v>
      </c>
      <c r="CM731" s="112"/>
      <c r="CN731" s="408">
        <f t="shared" ca="1" si="1255"/>
        <v>41184</v>
      </c>
      <c r="CO731" s="326">
        <f t="shared" ref="CO731" ca="1" si="1377">CD731</f>
        <v>41195</v>
      </c>
      <c r="CP731" s="333">
        <f t="shared" ca="1" si="1339"/>
        <v>6</v>
      </c>
      <c r="CQ731" s="327">
        <f t="shared" ca="1" si="1340"/>
        <v>24</v>
      </c>
      <c r="CS731" s="112">
        <f t="shared" ca="1" si="1235"/>
        <v>41184</v>
      </c>
      <c r="CT731" s="112">
        <f t="shared" ref="CT731" ca="1" si="1378">IF(AND( CN732=100000,CN733=100000,CN734=100000,CN735=100000),CO735,                             CO731)</f>
        <v>41196</v>
      </c>
      <c r="CU731" s="238">
        <f t="shared" ca="1" si="1247"/>
        <v>6</v>
      </c>
      <c r="CV731" s="238">
        <f t="shared" ca="1" si="1248"/>
        <v>24</v>
      </c>
      <c r="CY731">
        <f t="shared" si="1258"/>
        <v>161</v>
      </c>
      <c r="DA731" s="112">
        <f t="shared" ca="1" si="1259"/>
        <v>100000</v>
      </c>
      <c r="DC731">
        <f t="shared" si="1260"/>
        <v>731</v>
      </c>
      <c r="DE731" t="str">
        <f t="shared" si="1281"/>
        <v>cs731:dc790</v>
      </c>
      <c r="DF731">
        <f t="shared" ca="1" si="1249"/>
        <v>732</v>
      </c>
      <c r="DG731" s="412">
        <f t="shared" ca="1" si="1365"/>
        <v>44804</v>
      </c>
      <c r="DH731" s="411" t="str">
        <f t="shared" ca="1" si="1356"/>
        <v/>
      </c>
      <c r="DI731" s="411" t="str">
        <f t="shared" ca="1" si="1357"/>
        <v/>
      </c>
      <c r="DJ731" s="410" t="str">
        <f t="shared" ca="1" si="1358"/>
        <v/>
      </c>
      <c r="DK731" s="410" t="str">
        <f t="shared" ca="1" si="1359"/>
        <v/>
      </c>
      <c r="DM731" s="411" t="str">
        <f t="shared" ca="1" si="1366"/>
        <v/>
      </c>
      <c r="DN731" s="411" t="str">
        <f t="shared" ca="1" si="1367"/>
        <v/>
      </c>
      <c r="DO731" s="410" t="str">
        <f t="shared" ca="1" si="1368"/>
        <v/>
      </c>
      <c r="DP731" s="410" t="str">
        <f t="shared" ca="1" si="1369"/>
        <v/>
      </c>
    </row>
    <row r="732" spans="47:120" x14ac:dyDescent="0.25">
      <c r="AU732" s="112"/>
      <c r="AV732" s="112"/>
      <c r="BQ732" s="238">
        <f t="shared" ref="BQ732:BQ735" si="1379">BQ731</f>
        <v>603</v>
      </c>
      <c r="BR732" t="s">
        <v>445</v>
      </c>
      <c r="BS732" t="s">
        <v>446</v>
      </c>
      <c r="BT732" s="114">
        <f t="shared" ca="1" si="1168"/>
        <v>1</v>
      </c>
      <c r="BU732" s="112"/>
      <c r="BV732">
        <f t="shared" ca="1" si="1300"/>
        <v>0</v>
      </c>
      <c r="BW732" s="112">
        <f t="shared" ca="1" si="1232"/>
        <v>41196</v>
      </c>
      <c r="BX732" s="112">
        <f t="shared" ca="1" si="1375"/>
        <v>41195</v>
      </c>
      <c r="BY732">
        <f t="shared" ca="1" si="1277"/>
        <v>6</v>
      </c>
      <c r="BZ732">
        <f t="shared" ca="1" si="1278"/>
        <v>24</v>
      </c>
      <c r="CB732">
        <f t="shared" ca="1" si="1240"/>
        <v>0</v>
      </c>
      <c r="CC732" s="112">
        <f t="shared" ca="1" si="1241"/>
        <v>100000</v>
      </c>
      <c r="CD732" s="112">
        <f t="shared" ca="1" si="1242"/>
        <v>41195</v>
      </c>
      <c r="CE732">
        <f t="shared" ca="1" si="1243"/>
        <v>6</v>
      </c>
      <c r="CF732">
        <f t="shared" ca="1" si="1244"/>
        <v>24</v>
      </c>
      <c r="CH732" s="112">
        <f t="shared" ca="1" si="1331"/>
        <v>41196</v>
      </c>
      <c r="CI732">
        <f t="shared" ref="CI732:CI735" ca="1" si="1380">CI731</f>
        <v>0</v>
      </c>
      <c r="CJ732">
        <f t="shared" ref="CJ732" ca="1" si="1381">IF(AND(CI732=0,CJ733=0,CJ734=0,CJ735=0,CC732&lt;100000),1,0)</f>
        <v>0</v>
      </c>
      <c r="CK732" s="112">
        <f t="shared" ca="1" si="1337"/>
        <v>41196</v>
      </c>
      <c r="CM732" s="112"/>
      <c r="CN732" s="260">
        <f t="shared" ca="1" si="1255"/>
        <v>100000</v>
      </c>
      <c r="CO732" s="112">
        <f t="shared" ref="CO732:CO735" ca="1" si="1382">IF(CJ732=1,CH732,CD732)</f>
        <v>41195</v>
      </c>
      <c r="CP732" s="238">
        <f t="shared" ca="1" si="1339"/>
        <v>6</v>
      </c>
      <c r="CQ732" s="328">
        <f t="shared" ca="1" si="1340"/>
        <v>24</v>
      </c>
      <c r="CS732" s="112">
        <f t="shared" ca="1" si="1235"/>
        <v>100000</v>
      </c>
      <c r="CT732" s="112">
        <f t="shared" ca="1" si="1267"/>
        <v>41195</v>
      </c>
      <c r="CU732" s="238">
        <f t="shared" ca="1" si="1247"/>
        <v>6</v>
      </c>
      <c r="CV732" s="238">
        <f t="shared" ca="1" si="1248"/>
        <v>24</v>
      </c>
      <c r="CY732">
        <f t="shared" si="1258"/>
        <v>162</v>
      </c>
      <c r="DA732" s="112">
        <f t="shared" ca="1" si="1259"/>
        <v>100000</v>
      </c>
      <c r="DC732">
        <f t="shared" si="1260"/>
        <v>732</v>
      </c>
      <c r="DE732" t="str">
        <f t="shared" si="1281"/>
        <v>cs732:dc790</v>
      </c>
      <c r="DF732">
        <f t="shared" ca="1" si="1249"/>
        <v>732</v>
      </c>
      <c r="DG732" s="412">
        <f t="shared" ca="1" si="1365"/>
        <v>44804</v>
      </c>
      <c r="DH732" s="411" t="str">
        <f t="shared" ca="1" si="1356"/>
        <v/>
      </c>
      <c r="DI732" s="411" t="str">
        <f t="shared" ca="1" si="1357"/>
        <v/>
      </c>
      <c r="DJ732" s="410" t="str">
        <f t="shared" ca="1" si="1358"/>
        <v/>
      </c>
      <c r="DK732" s="410" t="str">
        <f t="shared" ca="1" si="1359"/>
        <v/>
      </c>
      <c r="DM732" s="411" t="str">
        <f t="shared" ca="1" si="1366"/>
        <v/>
      </c>
      <c r="DN732" s="411" t="str">
        <f t="shared" ca="1" si="1367"/>
        <v/>
      </c>
      <c r="DO732" s="410" t="str">
        <f t="shared" ca="1" si="1368"/>
        <v/>
      </c>
      <c r="DP732" s="410" t="str">
        <f t="shared" ca="1" si="1369"/>
        <v/>
      </c>
    </row>
    <row r="733" spans="47:120" x14ac:dyDescent="0.25">
      <c r="AU733" s="112"/>
      <c r="AV733" s="112"/>
      <c r="BQ733" s="238">
        <f t="shared" si="1379"/>
        <v>603</v>
      </c>
      <c r="BR733" t="s">
        <v>446</v>
      </c>
      <c r="BS733" t="s">
        <v>447</v>
      </c>
      <c r="BT733" s="114">
        <f t="shared" ca="1" si="1168"/>
        <v>1</v>
      </c>
      <c r="BU733" s="112"/>
      <c r="BV733">
        <f t="shared" ca="1" si="1300"/>
        <v>0</v>
      </c>
      <c r="BW733" s="112">
        <f t="shared" ca="1" si="1232"/>
        <v>41196</v>
      </c>
      <c r="BX733" s="112">
        <f t="shared" ca="1" si="1375"/>
        <v>41195</v>
      </c>
      <c r="BY733">
        <f t="shared" ca="1" si="1277"/>
        <v>6</v>
      </c>
      <c r="BZ733">
        <f t="shared" ca="1" si="1278"/>
        <v>24</v>
      </c>
      <c r="CB733">
        <f t="shared" ca="1" si="1240"/>
        <v>0</v>
      </c>
      <c r="CC733" s="112">
        <f t="shared" ca="1" si="1241"/>
        <v>100000</v>
      </c>
      <c r="CD733" s="112">
        <f t="shared" ca="1" si="1242"/>
        <v>41195</v>
      </c>
      <c r="CE733">
        <f t="shared" ca="1" si="1243"/>
        <v>6</v>
      </c>
      <c r="CF733">
        <f t="shared" ca="1" si="1244"/>
        <v>24</v>
      </c>
      <c r="CH733" s="112">
        <f t="shared" ca="1" si="1331"/>
        <v>41196</v>
      </c>
      <c r="CI733">
        <f t="shared" ca="1" si="1380"/>
        <v>0</v>
      </c>
      <c r="CJ733">
        <f t="shared" ref="CJ733" ca="1" si="1383">IF(AND(CI733=0,CJ734=0,CJ735=0,CC733&lt;100000),1,0)</f>
        <v>0</v>
      </c>
      <c r="CK733" s="112">
        <f t="shared" ca="1" si="1337"/>
        <v>41196</v>
      </c>
      <c r="CM733" s="112"/>
      <c r="CN733" s="260">
        <f t="shared" ca="1" si="1255"/>
        <v>100000</v>
      </c>
      <c r="CO733" s="112">
        <f t="shared" ca="1" si="1382"/>
        <v>41195</v>
      </c>
      <c r="CP733" s="238">
        <f t="shared" ca="1" si="1339"/>
        <v>6</v>
      </c>
      <c r="CQ733" s="328">
        <f t="shared" ca="1" si="1340"/>
        <v>24</v>
      </c>
      <c r="CS733" s="112">
        <f t="shared" ca="1" si="1235"/>
        <v>100000</v>
      </c>
      <c r="CT733" s="112">
        <f t="shared" ca="1" si="1267"/>
        <v>41195</v>
      </c>
      <c r="CU733" s="238">
        <f t="shared" ca="1" si="1247"/>
        <v>6</v>
      </c>
      <c r="CV733" s="238">
        <f t="shared" ca="1" si="1248"/>
        <v>24</v>
      </c>
      <c r="CY733">
        <f t="shared" si="1258"/>
        <v>163</v>
      </c>
      <c r="DA733" s="112">
        <f t="shared" ca="1" si="1259"/>
        <v>100000</v>
      </c>
      <c r="DC733">
        <f t="shared" si="1260"/>
        <v>733</v>
      </c>
      <c r="DE733" t="str">
        <f t="shared" si="1281"/>
        <v>cs733:dc790</v>
      </c>
      <c r="DF733">
        <f t="shared" ca="1" si="1249"/>
        <v>733</v>
      </c>
      <c r="DG733" s="412">
        <f t="shared" ca="1" si="1365"/>
        <v>44804</v>
      </c>
      <c r="DH733" s="411" t="str">
        <f t="shared" ca="1" si="1356"/>
        <v/>
      </c>
      <c r="DI733" s="411" t="str">
        <f t="shared" ca="1" si="1357"/>
        <v/>
      </c>
      <c r="DJ733" s="410" t="str">
        <f t="shared" ca="1" si="1358"/>
        <v/>
      </c>
      <c r="DK733" s="410" t="str">
        <f t="shared" ca="1" si="1359"/>
        <v/>
      </c>
      <c r="DM733" s="411" t="str">
        <f t="shared" ca="1" si="1366"/>
        <v/>
      </c>
      <c r="DN733" s="411" t="str">
        <f t="shared" ca="1" si="1367"/>
        <v/>
      </c>
      <c r="DO733" s="410" t="str">
        <f t="shared" ca="1" si="1368"/>
        <v/>
      </c>
      <c r="DP733" s="410" t="str">
        <f t="shared" ca="1" si="1369"/>
        <v/>
      </c>
    </row>
    <row r="734" spans="47:120" x14ac:dyDescent="0.25">
      <c r="AU734" s="112"/>
      <c r="AV734" s="112"/>
      <c r="BQ734" s="238">
        <f t="shared" si="1379"/>
        <v>603</v>
      </c>
      <c r="BR734" t="s">
        <v>447</v>
      </c>
      <c r="BS734" t="s">
        <v>448</v>
      </c>
      <c r="BT734" s="114">
        <f t="shared" ca="1" si="1168"/>
        <v>1</v>
      </c>
      <c r="BU734" s="112"/>
      <c r="BV734">
        <f t="shared" ca="1" si="1300"/>
        <v>0</v>
      </c>
      <c r="BW734" s="112">
        <f t="shared" ca="1" si="1232"/>
        <v>41196</v>
      </c>
      <c r="BX734" s="112">
        <f t="shared" ref="BX734:BX735" ca="1" si="1384">INDIRECT(CONCATENATE(BS734,BQ734))</f>
        <v>41196</v>
      </c>
      <c r="BY734">
        <f t="shared" ca="1" si="1277"/>
        <v>6</v>
      </c>
      <c r="BZ734">
        <f t="shared" ca="1" si="1278"/>
        <v>24</v>
      </c>
      <c r="CB734">
        <f t="shared" ca="1" si="1240"/>
        <v>0</v>
      </c>
      <c r="CC734" s="112">
        <f t="shared" ca="1" si="1241"/>
        <v>100000</v>
      </c>
      <c r="CD734" s="112">
        <f t="shared" ca="1" si="1242"/>
        <v>41196</v>
      </c>
      <c r="CE734">
        <f t="shared" ca="1" si="1243"/>
        <v>6</v>
      </c>
      <c r="CF734">
        <f t="shared" ca="1" si="1244"/>
        <v>24</v>
      </c>
      <c r="CH734" s="112">
        <f t="shared" ca="1" si="1331"/>
        <v>41196</v>
      </c>
      <c r="CI734">
        <f t="shared" ca="1" si="1380"/>
        <v>0</v>
      </c>
      <c r="CJ734">
        <f t="shared" ref="CJ734" ca="1" si="1385">IF(AND(CI734=0,CJ735=0,CC734&lt;100000),1,0)</f>
        <v>0</v>
      </c>
      <c r="CK734" s="112">
        <f t="shared" ca="1" si="1337"/>
        <v>41196</v>
      </c>
      <c r="CM734" s="112"/>
      <c r="CN734" s="260">
        <f t="shared" ca="1" si="1255"/>
        <v>100000</v>
      </c>
      <c r="CO734" s="112">
        <f t="shared" ca="1" si="1382"/>
        <v>41196</v>
      </c>
      <c r="CP734" s="238">
        <f t="shared" ca="1" si="1339"/>
        <v>6</v>
      </c>
      <c r="CQ734" s="328">
        <f t="shared" ca="1" si="1340"/>
        <v>24</v>
      </c>
      <c r="CS734" s="112">
        <f t="shared" ca="1" si="1235"/>
        <v>100000</v>
      </c>
      <c r="CT734" s="112">
        <f t="shared" ca="1" si="1267"/>
        <v>41196</v>
      </c>
      <c r="CU734" s="238">
        <f t="shared" ca="1" si="1247"/>
        <v>6</v>
      </c>
      <c r="CV734" s="238">
        <f t="shared" ca="1" si="1248"/>
        <v>24</v>
      </c>
      <c r="CY734">
        <f t="shared" si="1258"/>
        <v>164</v>
      </c>
      <c r="DA734" s="112">
        <f t="shared" ca="1" si="1259"/>
        <v>100000</v>
      </c>
      <c r="DC734">
        <f t="shared" si="1260"/>
        <v>734</v>
      </c>
      <c r="DE734" t="str">
        <f t="shared" si="1281"/>
        <v>cs734:dc790</v>
      </c>
      <c r="DF734">
        <f t="shared" ca="1" si="1249"/>
        <v>734</v>
      </c>
      <c r="DG734" s="412">
        <f t="shared" ca="1" si="1365"/>
        <v>44804</v>
      </c>
      <c r="DH734" s="411" t="str">
        <f t="shared" ca="1" si="1356"/>
        <v/>
      </c>
      <c r="DI734" s="411" t="str">
        <f t="shared" ca="1" si="1357"/>
        <v/>
      </c>
      <c r="DJ734" s="410" t="str">
        <f t="shared" ca="1" si="1358"/>
        <v/>
      </c>
      <c r="DK734" s="410" t="str">
        <f t="shared" ca="1" si="1359"/>
        <v/>
      </c>
      <c r="DM734" s="411" t="str">
        <f t="shared" ca="1" si="1366"/>
        <v/>
      </c>
      <c r="DN734" s="411" t="str">
        <f t="shared" ca="1" si="1367"/>
        <v/>
      </c>
      <c r="DO734" s="410" t="str">
        <f t="shared" ca="1" si="1368"/>
        <v/>
      </c>
      <c r="DP734" s="410" t="str">
        <f t="shared" ca="1" si="1369"/>
        <v/>
      </c>
    </row>
    <row r="735" spans="47:120" ht="15.75" thickBot="1" x14ac:dyDescent="0.3">
      <c r="AU735" s="112"/>
      <c r="AV735" s="112"/>
      <c r="BQ735" s="238">
        <f t="shared" si="1379"/>
        <v>603</v>
      </c>
      <c r="BR735" t="s">
        <v>448</v>
      </c>
      <c r="BS735" t="s">
        <v>449</v>
      </c>
      <c r="BT735" s="114">
        <f t="shared" ca="1" si="1168"/>
        <v>1</v>
      </c>
      <c r="BU735" s="112"/>
      <c r="BV735">
        <f t="shared" ca="1" si="1300"/>
        <v>0</v>
      </c>
      <c r="BW735" s="112">
        <f t="shared" ca="1" si="1232"/>
        <v>41196</v>
      </c>
      <c r="BX735" s="112">
        <f t="shared" ca="1" si="1384"/>
        <v>41196</v>
      </c>
      <c r="BY735">
        <f t="shared" ca="1" si="1277"/>
        <v>6</v>
      </c>
      <c r="BZ735">
        <f t="shared" ca="1" si="1278"/>
        <v>24</v>
      </c>
      <c r="CB735">
        <f t="shared" ca="1" si="1240"/>
        <v>0</v>
      </c>
      <c r="CC735" s="112">
        <f t="shared" ca="1" si="1241"/>
        <v>100000</v>
      </c>
      <c r="CD735" s="112">
        <f t="shared" ca="1" si="1242"/>
        <v>41196</v>
      </c>
      <c r="CE735">
        <f t="shared" ca="1" si="1243"/>
        <v>6</v>
      </c>
      <c r="CF735">
        <f t="shared" ca="1" si="1244"/>
        <v>24</v>
      </c>
      <c r="CH735" s="112">
        <f t="shared" ca="1" si="1331"/>
        <v>41196</v>
      </c>
      <c r="CI735">
        <f t="shared" ca="1" si="1380"/>
        <v>0</v>
      </c>
      <c r="CJ735">
        <f t="shared" ref="CJ735" ca="1" si="1386">IF(AND(CI735=0,CC735&lt;100000),1,0)</f>
        <v>0</v>
      </c>
      <c r="CK735" s="112">
        <f t="shared" ca="1" si="1337"/>
        <v>41196</v>
      </c>
      <c r="CM735" s="112"/>
      <c r="CN735" s="261">
        <f t="shared" ref="CN735" ca="1" si="1387">IF(AND(CN731=100000,CN732=100000,CN733=100000,CN734=100000),INDIRECT(CONCATENATE("aa",BQ735)),CC735)</f>
        <v>100000</v>
      </c>
      <c r="CO735" s="324">
        <f t="shared" ca="1" si="1382"/>
        <v>41196</v>
      </c>
      <c r="CP735" s="256">
        <f t="shared" ca="1" si="1339"/>
        <v>6</v>
      </c>
      <c r="CQ735" s="329">
        <f t="shared" ca="1" si="1340"/>
        <v>24</v>
      </c>
      <c r="CS735" s="112">
        <f t="shared" ca="1" si="1235"/>
        <v>100000</v>
      </c>
      <c r="CT735" s="112">
        <f t="shared" ca="1" si="1267"/>
        <v>41196</v>
      </c>
      <c r="CU735" s="238">
        <f t="shared" ca="1" si="1247"/>
        <v>6</v>
      </c>
      <c r="CV735" s="238">
        <f t="shared" ca="1" si="1248"/>
        <v>24</v>
      </c>
      <c r="CY735">
        <f t="shared" si="1258"/>
        <v>165</v>
      </c>
      <c r="DA735" s="112">
        <f t="shared" ca="1" si="1259"/>
        <v>100000</v>
      </c>
      <c r="DC735">
        <f t="shared" si="1260"/>
        <v>735</v>
      </c>
      <c r="DE735" t="str">
        <f t="shared" si="1281"/>
        <v>cs735:dc790</v>
      </c>
      <c r="DF735">
        <f t="shared" ca="1" si="1249"/>
        <v>735</v>
      </c>
      <c r="DG735" s="412">
        <f t="shared" ca="1" si="1365"/>
        <v>44804</v>
      </c>
      <c r="DH735" s="411" t="str">
        <f t="shared" ca="1" si="1356"/>
        <v/>
      </c>
      <c r="DI735" s="411" t="str">
        <f t="shared" ca="1" si="1357"/>
        <v/>
      </c>
      <c r="DJ735" s="410" t="str">
        <f t="shared" ca="1" si="1358"/>
        <v/>
      </c>
      <c r="DK735" s="410" t="str">
        <f t="shared" ca="1" si="1359"/>
        <v/>
      </c>
      <c r="DM735" s="411" t="str">
        <f t="shared" ca="1" si="1366"/>
        <v/>
      </c>
      <c r="DN735" s="411" t="str">
        <f t="shared" ca="1" si="1367"/>
        <v/>
      </c>
      <c r="DO735" s="410" t="str">
        <f t="shared" ca="1" si="1368"/>
        <v/>
      </c>
      <c r="DP735" s="410" t="str">
        <f t="shared" ca="1" si="1369"/>
        <v/>
      </c>
    </row>
    <row r="736" spans="47:120" x14ac:dyDescent="0.25">
      <c r="AU736" s="112"/>
      <c r="AV736" s="112"/>
      <c r="BQ736" s="238">
        <f t="shared" ref="BQ736" si="1388">BQ735+1</f>
        <v>604</v>
      </c>
      <c r="BR736" s="112" t="s">
        <v>444</v>
      </c>
      <c r="BS736" s="112" t="s">
        <v>445</v>
      </c>
      <c r="BT736" s="114">
        <f t="shared" ca="1" si="1168"/>
        <v>1</v>
      </c>
      <c r="BU736" s="112"/>
      <c r="BV736">
        <f t="shared" ca="1" si="1300"/>
        <v>1</v>
      </c>
      <c r="BW736" s="112">
        <f t="shared" ca="1" si="1232"/>
        <v>41197</v>
      </c>
      <c r="BX736" s="112">
        <f t="shared" ref="BX736:BX738" ca="1" si="1389">INDIRECT(CONCATENATE(BS736,BQ736))-1</f>
        <v>41238</v>
      </c>
      <c r="BY736">
        <f t="shared" ca="1" si="1277"/>
        <v>6</v>
      </c>
      <c r="BZ736">
        <f t="shared" ca="1" si="1278"/>
        <v>24</v>
      </c>
      <c r="CB736">
        <f t="shared" ca="1" si="1240"/>
        <v>0</v>
      </c>
      <c r="CC736" s="112">
        <f t="shared" ca="1" si="1241"/>
        <v>41197</v>
      </c>
      <c r="CD736" s="112">
        <f t="shared" ca="1" si="1242"/>
        <v>41238</v>
      </c>
      <c r="CE736">
        <f t="shared" ca="1" si="1243"/>
        <v>6</v>
      </c>
      <c r="CF736">
        <f t="shared" ca="1" si="1244"/>
        <v>24</v>
      </c>
      <c r="CH736" s="112">
        <f t="shared" ca="1" si="1331"/>
        <v>41239</v>
      </c>
      <c r="CI736">
        <f t="shared" ref="CI736" ca="1" si="1390">CB736+CB737+CB738+CB739+CB740</f>
        <v>0</v>
      </c>
      <c r="CJ736">
        <v>0</v>
      </c>
      <c r="CK736" s="112">
        <f t="shared" ca="1" si="1337"/>
        <v>41239</v>
      </c>
      <c r="CM736" s="112"/>
      <c r="CN736" s="408">
        <f t="shared" ca="1" si="1255"/>
        <v>41197</v>
      </c>
      <c r="CO736" s="326">
        <f t="shared" ref="CO736" ca="1" si="1391">CD736</f>
        <v>41238</v>
      </c>
      <c r="CP736" s="333">
        <f t="shared" ca="1" si="1339"/>
        <v>6</v>
      </c>
      <c r="CQ736" s="327">
        <f t="shared" ca="1" si="1340"/>
        <v>24</v>
      </c>
      <c r="CS736" s="112">
        <f t="shared" ca="1" si="1235"/>
        <v>41197</v>
      </c>
      <c r="CT736" s="112">
        <f t="shared" ref="CT736" ca="1" si="1392">IF(AND( CN737=100000,CN738=100000,CN739=100000,CN740=100000),CO740,                             CO736)</f>
        <v>41239</v>
      </c>
      <c r="CU736" s="238">
        <f t="shared" ca="1" si="1247"/>
        <v>6</v>
      </c>
      <c r="CV736" s="238">
        <f t="shared" ca="1" si="1248"/>
        <v>24</v>
      </c>
      <c r="CY736">
        <f t="shared" si="1258"/>
        <v>166</v>
      </c>
      <c r="DA736" s="112">
        <f t="shared" ca="1" si="1259"/>
        <v>100000</v>
      </c>
      <c r="DC736">
        <f t="shared" si="1260"/>
        <v>736</v>
      </c>
      <c r="DE736" t="str">
        <f t="shared" si="1281"/>
        <v>cs736:dc790</v>
      </c>
      <c r="DF736">
        <f t="shared" ca="1" si="1249"/>
        <v>737</v>
      </c>
      <c r="DG736" s="412">
        <f t="shared" ca="1" si="1365"/>
        <v>44804</v>
      </c>
      <c r="DH736" s="411" t="str">
        <f t="shared" ca="1" si="1356"/>
        <v/>
      </c>
      <c r="DI736" s="411" t="str">
        <f t="shared" ca="1" si="1357"/>
        <v/>
      </c>
      <c r="DJ736" s="410" t="str">
        <f t="shared" ca="1" si="1358"/>
        <v/>
      </c>
      <c r="DK736" s="410" t="str">
        <f t="shared" ca="1" si="1359"/>
        <v/>
      </c>
      <c r="DM736" s="411" t="str">
        <f t="shared" ca="1" si="1366"/>
        <v/>
      </c>
      <c r="DN736" s="411" t="str">
        <f t="shared" ca="1" si="1367"/>
        <v/>
      </c>
      <c r="DO736" s="410" t="str">
        <f t="shared" ca="1" si="1368"/>
        <v/>
      </c>
      <c r="DP736" s="410" t="str">
        <f t="shared" ca="1" si="1369"/>
        <v/>
      </c>
    </row>
    <row r="737" spans="47:120" x14ac:dyDescent="0.25">
      <c r="AU737" s="112"/>
      <c r="AV737" s="112"/>
      <c r="BQ737" s="238">
        <f t="shared" ref="BQ737:BQ740" si="1393">BQ736</f>
        <v>604</v>
      </c>
      <c r="BR737" t="s">
        <v>445</v>
      </c>
      <c r="BS737" t="s">
        <v>446</v>
      </c>
      <c r="BT737" s="114">
        <f t="shared" ca="1" si="1168"/>
        <v>1</v>
      </c>
      <c r="BU737" s="112"/>
      <c r="BV737">
        <f t="shared" ca="1" si="1300"/>
        <v>0</v>
      </c>
      <c r="BW737" s="112">
        <f t="shared" ca="1" si="1232"/>
        <v>41239</v>
      </c>
      <c r="BX737" s="112">
        <f t="shared" ca="1" si="1389"/>
        <v>41238</v>
      </c>
      <c r="BY737">
        <f t="shared" ca="1" si="1277"/>
        <v>6</v>
      </c>
      <c r="BZ737">
        <f t="shared" ca="1" si="1278"/>
        <v>24</v>
      </c>
      <c r="CB737">
        <f t="shared" ca="1" si="1240"/>
        <v>0</v>
      </c>
      <c r="CC737" s="112">
        <f t="shared" ca="1" si="1241"/>
        <v>100000</v>
      </c>
      <c r="CD737" s="112">
        <f t="shared" ca="1" si="1242"/>
        <v>41238</v>
      </c>
      <c r="CE737">
        <f t="shared" ca="1" si="1243"/>
        <v>6</v>
      </c>
      <c r="CF737">
        <f t="shared" ca="1" si="1244"/>
        <v>24</v>
      </c>
      <c r="CH737" s="112">
        <f t="shared" ca="1" si="1331"/>
        <v>41239</v>
      </c>
      <c r="CI737">
        <f t="shared" ref="CI737:CI740" ca="1" si="1394">CI736</f>
        <v>0</v>
      </c>
      <c r="CJ737">
        <f t="shared" ref="CJ737" ca="1" si="1395">IF(AND(CI737=0,CJ738=0,CJ739=0,CJ740=0,CC737&lt;100000),1,0)</f>
        <v>0</v>
      </c>
      <c r="CK737" s="112">
        <f t="shared" ca="1" si="1337"/>
        <v>41239</v>
      </c>
      <c r="CM737" s="112"/>
      <c r="CN737" s="260">
        <f t="shared" ca="1" si="1255"/>
        <v>100000</v>
      </c>
      <c r="CO737" s="112">
        <f t="shared" ref="CO737:CO740" ca="1" si="1396">IF(CJ737=1,CH737,CD737)</f>
        <v>41238</v>
      </c>
      <c r="CP737" s="238">
        <f t="shared" ca="1" si="1339"/>
        <v>6</v>
      </c>
      <c r="CQ737" s="328">
        <f t="shared" ca="1" si="1340"/>
        <v>24</v>
      </c>
      <c r="CS737" s="112">
        <f t="shared" ca="1" si="1235"/>
        <v>100000</v>
      </c>
      <c r="CT737" s="112">
        <f t="shared" ca="1" si="1267"/>
        <v>41238</v>
      </c>
      <c r="CU737" s="238">
        <f t="shared" ca="1" si="1247"/>
        <v>6</v>
      </c>
      <c r="CV737" s="238">
        <f t="shared" ca="1" si="1248"/>
        <v>24</v>
      </c>
      <c r="CY737">
        <f t="shared" si="1258"/>
        <v>167</v>
      </c>
      <c r="DA737" s="112">
        <f t="shared" ca="1" si="1259"/>
        <v>100000</v>
      </c>
      <c r="DC737">
        <f t="shared" si="1260"/>
        <v>737</v>
      </c>
      <c r="DE737" t="str">
        <f t="shared" si="1281"/>
        <v>cs737:dc790</v>
      </c>
      <c r="DF737">
        <f t="shared" ca="1" si="1249"/>
        <v>737</v>
      </c>
      <c r="DG737" s="412">
        <f t="shared" ca="1" si="1365"/>
        <v>44804</v>
      </c>
      <c r="DH737" s="411" t="str">
        <f t="shared" ca="1" si="1356"/>
        <v/>
      </c>
      <c r="DI737" s="411" t="str">
        <f t="shared" ca="1" si="1357"/>
        <v/>
      </c>
      <c r="DJ737" s="410" t="str">
        <f t="shared" ca="1" si="1358"/>
        <v/>
      </c>
      <c r="DK737" s="410" t="str">
        <f t="shared" ca="1" si="1359"/>
        <v/>
      </c>
      <c r="DM737" s="411" t="str">
        <f t="shared" ca="1" si="1366"/>
        <v/>
      </c>
      <c r="DN737" s="411" t="str">
        <f t="shared" ca="1" si="1367"/>
        <v/>
      </c>
      <c r="DO737" s="410" t="str">
        <f t="shared" ca="1" si="1368"/>
        <v/>
      </c>
      <c r="DP737" s="410" t="str">
        <f t="shared" ca="1" si="1369"/>
        <v/>
      </c>
    </row>
    <row r="738" spans="47:120" x14ac:dyDescent="0.25">
      <c r="AU738" s="112"/>
      <c r="AV738" s="112"/>
      <c r="BQ738" s="238">
        <f t="shared" si="1393"/>
        <v>604</v>
      </c>
      <c r="BR738" t="s">
        <v>446</v>
      </c>
      <c r="BS738" t="s">
        <v>447</v>
      </c>
      <c r="BT738" s="114">
        <f t="shared" ca="1" si="1168"/>
        <v>1</v>
      </c>
      <c r="BU738" s="112"/>
      <c r="BV738">
        <f t="shared" ca="1" si="1300"/>
        <v>0</v>
      </c>
      <c r="BW738" s="112">
        <f t="shared" ca="1" si="1232"/>
        <v>41239</v>
      </c>
      <c r="BX738" s="112">
        <f t="shared" ca="1" si="1389"/>
        <v>41238</v>
      </c>
      <c r="BY738">
        <f t="shared" ca="1" si="1277"/>
        <v>6</v>
      </c>
      <c r="BZ738">
        <f t="shared" ca="1" si="1278"/>
        <v>24</v>
      </c>
      <c r="CB738">
        <f t="shared" ca="1" si="1240"/>
        <v>0</v>
      </c>
      <c r="CC738" s="112">
        <f t="shared" ca="1" si="1241"/>
        <v>100000</v>
      </c>
      <c r="CD738" s="112">
        <f t="shared" ca="1" si="1242"/>
        <v>41238</v>
      </c>
      <c r="CE738">
        <f t="shared" ca="1" si="1243"/>
        <v>6</v>
      </c>
      <c r="CF738">
        <f t="shared" ca="1" si="1244"/>
        <v>24</v>
      </c>
      <c r="CH738" s="112">
        <f t="shared" ca="1" si="1331"/>
        <v>41239</v>
      </c>
      <c r="CI738">
        <f t="shared" ca="1" si="1394"/>
        <v>0</v>
      </c>
      <c r="CJ738">
        <f t="shared" ref="CJ738" ca="1" si="1397">IF(AND(CI738=0,CJ739=0,CJ740=0,CC738&lt;100000),1,0)</f>
        <v>0</v>
      </c>
      <c r="CK738" s="112">
        <f t="shared" ca="1" si="1337"/>
        <v>41239</v>
      </c>
      <c r="CM738" s="112"/>
      <c r="CN738" s="260">
        <f t="shared" ca="1" si="1255"/>
        <v>100000</v>
      </c>
      <c r="CO738" s="112">
        <f t="shared" ca="1" si="1396"/>
        <v>41238</v>
      </c>
      <c r="CP738" s="238">
        <f t="shared" ca="1" si="1339"/>
        <v>6</v>
      </c>
      <c r="CQ738" s="328">
        <f t="shared" ca="1" si="1340"/>
        <v>24</v>
      </c>
      <c r="CS738" s="112">
        <f t="shared" ca="1" si="1235"/>
        <v>100000</v>
      </c>
      <c r="CT738" s="112">
        <f t="shared" ca="1" si="1267"/>
        <v>41238</v>
      </c>
      <c r="CU738" s="238">
        <f t="shared" ca="1" si="1247"/>
        <v>6</v>
      </c>
      <c r="CV738" s="238">
        <f t="shared" ca="1" si="1248"/>
        <v>24</v>
      </c>
      <c r="CY738">
        <f t="shared" si="1258"/>
        <v>168</v>
      </c>
      <c r="DA738" s="112">
        <f t="shared" ca="1" si="1259"/>
        <v>100000</v>
      </c>
      <c r="DC738">
        <f t="shared" si="1260"/>
        <v>738</v>
      </c>
      <c r="DE738" t="str">
        <f t="shared" si="1281"/>
        <v>cs738:dc790</v>
      </c>
      <c r="DF738">
        <f t="shared" ca="1" si="1249"/>
        <v>738</v>
      </c>
      <c r="DG738" s="412">
        <f t="shared" ca="1" si="1365"/>
        <v>44804</v>
      </c>
      <c r="DH738" s="411" t="str">
        <f t="shared" ca="1" si="1356"/>
        <v/>
      </c>
      <c r="DI738" s="411" t="str">
        <f t="shared" ca="1" si="1357"/>
        <v/>
      </c>
      <c r="DJ738" s="410" t="str">
        <f t="shared" ca="1" si="1358"/>
        <v/>
      </c>
      <c r="DK738" s="410" t="str">
        <f t="shared" ca="1" si="1359"/>
        <v/>
      </c>
      <c r="DM738" s="411" t="str">
        <f t="shared" ca="1" si="1366"/>
        <v/>
      </c>
      <c r="DN738" s="411" t="str">
        <f t="shared" ca="1" si="1367"/>
        <v/>
      </c>
      <c r="DO738" s="410" t="str">
        <f t="shared" ca="1" si="1368"/>
        <v/>
      </c>
      <c r="DP738" s="410" t="str">
        <f t="shared" ca="1" si="1369"/>
        <v/>
      </c>
    </row>
    <row r="739" spans="47:120" x14ac:dyDescent="0.25">
      <c r="AU739" s="112"/>
      <c r="AV739" s="112"/>
      <c r="BQ739" s="238">
        <f t="shared" si="1393"/>
        <v>604</v>
      </c>
      <c r="BR739" t="s">
        <v>447</v>
      </c>
      <c r="BS739" t="s">
        <v>448</v>
      </c>
      <c r="BT739" s="114">
        <f t="shared" ca="1" si="1168"/>
        <v>1</v>
      </c>
      <c r="BU739" s="112"/>
      <c r="BV739">
        <f t="shared" ca="1" si="1300"/>
        <v>0</v>
      </c>
      <c r="BW739" s="112">
        <f t="shared" ca="1" si="1232"/>
        <v>41239</v>
      </c>
      <c r="BX739" s="112">
        <f t="shared" ref="BX739:BX740" ca="1" si="1398">INDIRECT(CONCATENATE(BS739,BQ739))</f>
        <v>41239</v>
      </c>
      <c r="BY739">
        <f t="shared" ca="1" si="1277"/>
        <v>6</v>
      </c>
      <c r="BZ739">
        <f t="shared" ca="1" si="1278"/>
        <v>24</v>
      </c>
      <c r="CB739">
        <f t="shared" ca="1" si="1240"/>
        <v>0</v>
      </c>
      <c r="CC739" s="112">
        <f t="shared" ca="1" si="1241"/>
        <v>100000</v>
      </c>
      <c r="CD739" s="112">
        <f t="shared" ca="1" si="1242"/>
        <v>41239</v>
      </c>
      <c r="CE739">
        <f t="shared" ca="1" si="1243"/>
        <v>6</v>
      </c>
      <c r="CF739">
        <f t="shared" ca="1" si="1244"/>
        <v>24</v>
      </c>
      <c r="CH739" s="112">
        <f t="shared" ca="1" si="1331"/>
        <v>41239</v>
      </c>
      <c r="CI739">
        <f t="shared" ca="1" si="1394"/>
        <v>0</v>
      </c>
      <c r="CJ739">
        <f t="shared" ref="CJ739" ca="1" si="1399">IF(AND(CI739=0,CJ740=0,CC739&lt;100000),1,0)</f>
        <v>0</v>
      </c>
      <c r="CK739" s="112">
        <f t="shared" ca="1" si="1337"/>
        <v>41239</v>
      </c>
      <c r="CM739" s="112"/>
      <c r="CN739" s="260">
        <f t="shared" ca="1" si="1255"/>
        <v>100000</v>
      </c>
      <c r="CO739" s="112">
        <f t="shared" ca="1" si="1396"/>
        <v>41239</v>
      </c>
      <c r="CP739" s="238">
        <f t="shared" ca="1" si="1339"/>
        <v>6</v>
      </c>
      <c r="CQ739" s="328">
        <f t="shared" ca="1" si="1340"/>
        <v>24</v>
      </c>
      <c r="CS739" s="112">
        <f t="shared" ca="1" si="1235"/>
        <v>100000</v>
      </c>
      <c r="CT739" s="112">
        <f t="shared" ca="1" si="1267"/>
        <v>41239</v>
      </c>
      <c r="CU739" s="238">
        <f t="shared" ca="1" si="1247"/>
        <v>6</v>
      </c>
      <c r="CV739" s="238">
        <f t="shared" ca="1" si="1248"/>
        <v>24</v>
      </c>
      <c r="CY739">
        <f t="shared" si="1258"/>
        <v>169</v>
      </c>
      <c r="DA739" s="112">
        <f t="shared" ca="1" si="1259"/>
        <v>100000</v>
      </c>
      <c r="DC739">
        <f t="shared" si="1260"/>
        <v>739</v>
      </c>
      <c r="DE739" t="str">
        <f t="shared" si="1281"/>
        <v>cs739:dc790</v>
      </c>
      <c r="DF739">
        <f t="shared" ca="1" si="1249"/>
        <v>739</v>
      </c>
      <c r="DG739" s="412">
        <f t="shared" ca="1" si="1365"/>
        <v>44804</v>
      </c>
      <c r="DH739" s="411" t="str">
        <f t="shared" ca="1" si="1356"/>
        <v/>
      </c>
      <c r="DI739" s="411" t="str">
        <f t="shared" ca="1" si="1357"/>
        <v/>
      </c>
      <c r="DJ739" s="410" t="str">
        <f t="shared" ca="1" si="1358"/>
        <v/>
      </c>
      <c r="DK739" s="410" t="str">
        <f t="shared" ca="1" si="1359"/>
        <v/>
      </c>
      <c r="DM739" s="411" t="str">
        <f t="shared" ca="1" si="1366"/>
        <v/>
      </c>
      <c r="DN739" s="411" t="str">
        <f t="shared" ca="1" si="1367"/>
        <v/>
      </c>
      <c r="DO739" s="410" t="str">
        <f t="shared" ca="1" si="1368"/>
        <v/>
      </c>
      <c r="DP739" s="410" t="str">
        <f t="shared" ca="1" si="1369"/>
        <v/>
      </c>
    </row>
    <row r="740" spans="47:120" ht="15.75" thickBot="1" x14ac:dyDescent="0.3">
      <c r="AU740" s="112"/>
      <c r="AV740" s="112"/>
      <c r="BQ740" s="238">
        <f t="shared" si="1393"/>
        <v>604</v>
      </c>
      <c r="BR740" t="s">
        <v>448</v>
      </c>
      <c r="BS740" t="s">
        <v>449</v>
      </c>
      <c r="BT740" s="114">
        <f t="shared" ca="1" si="1168"/>
        <v>1</v>
      </c>
      <c r="BU740" s="112"/>
      <c r="BV740">
        <f t="shared" ca="1" si="1300"/>
        <v>0</v>
      </c>
      <c r="BW740" s="112">
        <f t="shared" ca="1" si="1232"/>
        <v>41239</v>
      </c>
      <c r="BX740" s="112">
        <f t="shared" ca="1" si="1398"/>
        <v>41239</v>
      </c>
      <c r="BY740">
        <f t="shared" ca="1" si="1277"/>
        <v>6</v>
      </c>
      <c r="BZ740">
        <f t="shared" ca="1" si="1278"/>
        <v>24</v>
      </c>
      <c r="CB740">
        <f t="shared" ca="1" si="1240"/>
        <v>0</v>
      </c>
      <c r="CC740" s="112">
        <f t="shared" ca="1" si="1241"/>
        <v>100000</v>
      </c>
      <c r="CD740" s="112">
        <f t="shared" ca="1" si="1242"/>
        <v>41239</v>
      </c>
      <c r="CE740">
        <f t="shared" ca="1" si="1243"/>
        <v>6</v>
      </c>
      <c r="CF740">
        <f t="shared" ca="1" si="1244"/>
        <v>24</v>
      </c>
      <c r="CH740" s="112">
        <f t="shared" ca="1" si="1331"/>
        <v>41239</v>
      </c>
      <c r="CI740">
        <f t="shared" ca="1" si="1394"/>
        <v>0</v>
      </c>
      <c r="CJ740">
        <f t="shared" ref="CJ740" ca="1" si="1400">IF(AND(CI740=0,CC740&lt;100000),1,0)</f>
        <v>0</v>
      </c>
      <c r="CK740" s="112">
        <f t="shared" ca="1" si="1337"/>
        <v>41239</v>
      </c>
      <c r="CM740" s="112"/>
      <c r="CN740" s="261">
        <f t="shared" ref="CN740" ca="1" si="1401">IF(AND(CN736=100000,CN737=100000,CN738=100000,CN739=100000),INDIRECT(CONCATENATE("aa",BQ740)),CC740)</f>
        <v>100000</v>
      </c>
      <c r="CO740" s="324">
        <f t="shared" ca="1" si="1396"/>
        <v>41239</v>
      </c>
      <c r="CP740" s="256">
        <f t="shared" ca="1" si="1339"/>
        <v>6</v>
      </c>
      <c r="CQ740" s="329">
        <f t="shared" ca="1" si="1340"/>
        <v>24</v>
      </c>
      <c r="CS740" s="112">
        <f t="shared" ca="1" si="1235"/>
        <v>100000</v>
      </c>
      <c r="CT740" s="112">
        <f t="shared" ca="1" si="1267"/>
        <v>41239</v>
      </c>
      <c r="CU740" s="238">
        <f t="shared" ca="1" si="1247"/>
        <v>6</v>
      </c>
      <c r="CV740" s="238">
        <f t="shared" ca="1" si="1248"/>
        <v>24</v>
      </c>
      <c r="CY740">
        <f t="shared" si="1258"/>
        <v>170</v>
      </c>
      <c r="DA740" s="112">
        <f t="shared" ca="1" si="1259"/>
        <v>100000</v>
      </c>
      <c r="DC740">
        <f t="shared" si="1260"/>
        <v>740</v>
      </c>
      <c r="DE740" t="str">
        <f t="shared" si="1281"/>
        <v>cs740:dc790</v>
      </c>
      <c r="DF740">
        <f t="shared" ca="1" si="1249"/>
        <v>740</v>
      </c>
      <c r="DG740" s="412">
        <f t="shared" ca="1" si="1365"/>
        <v>44804</v>
      </c>
      <c r="DH740" s="411" t="str">
        <f t="shared" ca="1" si="1356"/>
        <v/>
      </c>
      <c r="DI740" s="411" t="str">
        <f t="shared" ca="1" si="1357"/>
        <v/>
      </c>
      <c r="DJ740" s="410" t="str">
        <f t="shared" ca="1" si="1358"/>
        <v/>
      </c>
      <c r="DK740" s="410" t="str">
        <f t="shared" ca="1" si="1359"/>
        <v/>
      </c>
      <c r="DM740" s="411" t="str">
        <f t="shared" ca="1" si="1366"/>
        <v/>
      </c>
      <c r="DN740" s="411" t="str">
        <f t="shared" ca="1" si="1367"/>
        <v/>
      </c>
      <c r="DO740" s="410" t="str">
        <f t="shared" ca="1" si="1368"/>
        <v/>
      </c>
      <c r="DP740" s="410" t="str">
        <f t="shared" ca="1" si="1369"/>
        <v/>
      </c>
    </row>
    <row r="741" spans="47:120" x14ac:dyDescent="0.25">
      <c r="AU741" s="112"/>
      <c r="AV741" s="112"/>
      <c r="BQ741" s="238">
        <f t="shared" ref="BQ741" si="1402">BQ740+1</f>
        <v>605</v>
      </c>
      <c r="BR741" s="112" t="s">
        <v>444</v>
      </c>
      <c r="BS741" s="112" t="s">
        <v>445</v>
      </c>
      <c r="BT741" s="114">
        <f t="shared" ca="1" si="1168"/>
        <v>1</v>
      </c>
      <c r="BU741" s="112"/>
      <c r="BV741">
        <f t="shared" ca="1" si="1300"/>
        <v>1</v>
      </c>
      <c r="BW741" s="112">
        <f t="shared" ca="1" si="1232"/>
        <v>41240</v>
      </c>
      <c r="BX741" s="112">
        <f t="shared" ref="BX741:BX743" ca="1" si="1403">INDIRECT(CONCATENATE(BS741,BQ741))-1</f>
        <v>41470</v>
      </c>
      <c r="BY741">
        <f t="shared" ca="1" si="1277"/>
        <v>6</v>
      </c>
      <c r="BZ741">
        <f t="shared" ca="1" si="1278"/>
        <v>24</v>
      </c>
      <c r="CB741">
        <f t="shared" ca="1" si="1240"/>
        <v>0</v>
      </c>
      <c r="CC741" s="112">
        <f t="shared" ca="1" si="1241"/>
        <v>41240</v>
      </c>
      <c r="CD741" s="112">
        <f t="shared" ca="1" si="1242"/>
        <v>41470</v>
      </c>
      <c r="CE741">
        <f t="shared" ca="1" si="1243"/>
        <v>6</v>
      </c>
      <c r="CF741">
        <f t="shared" ca="1" si="1244"/>
        <v>24</v>
      </c>
      <c r="CH741" s="112">
        <f t="shared" ca="1" si="1331"/>
        <v>41471</v>
      </c>
      <c r="CI741">
        <f t="shared" ref="CI741" ca="1" si="1404">CB741+CB742+CB743+CB744+CB745</f>
        <v>0</v>
      </c>
      <c r="CJ741">
        <v>0</v>
      </c>
      <c r="CK741" s="112">
        <f t="shared" ca="1" si="1337"/>
        <v>41471</v>
      </c>
      <c r="CM741" s="112"/>
      <c r="CN741" s="408">
        <f t="shared" ca="1" si="1255"/>
        <v>41240</v>
      </c>
      <c r="CO741" s="326">
        <f t="shared" ref="CO741" ca="1" si="1405">CD741</f>
        <v>41470</v>
      </c>
      <c r="CP741" s="333">
        <f t="shared" ca="1" si="1339"/>
        <v>6</v>
      </c>
      <c r="CQ741" s="327">
        <f t="shared" ca="1" si="1340"/>
        <v>24</v>
      </c>
      <c r="CS741" s="112">
        <f t="shared" ca="1" si="1235"/>
        <v>41240</v>
      </c>
      <c r="CT741" s="112">
        <f t="shared" ref="CT741" ca="1" si="1406">IF(AND( CN742=100000,CN743=100000,CN744=100000,CN745=100000),CO745,                             CO741)</f>
        <v>41471</v>
      </c>
      <c r="CU741" s="238">
        <f t="shared" ca="1" si="1247"/>
        <v>6</v>
      </c>
      <c r="CV741" s="238">
        <f t="shared" ca="1" si="1248"/>
        <v>24</v>
      </c>
      <c r="CY741">
        <f t="shared" si="1258"/>
        <v>171</v>
      </c>
      <c r="DA741" s="112">
        <f t="shared" ca="1" si="1259"/>
        <v>100000</v>
      </c>
      <c r="DC741">
        <f t="shared" si="1260"/>
        <v>741</v>
      </c>
      <c r="DE741" t="str">
        <f t="shared" si="1281"/>
        <v>cs741:dc790</v>
      </c>
      <c r="DF741">
        <f t="shared" ca="1" si="1249"/>
        <v>742</v>
      </c>
      <c r="DG741" s="412">
        <f t="shared" ca="1" si="1365"/>
        <v>44804</v>
      </c>
      <c r="DH741" s="411" t="str">
        <f t="shared" ca="1" si="1356"/>
        <v/>
      </c>
      <c r="DI741" s="411" t="str">
        <f t="shared" ca="1" si="1357"/>
        <v/>
      </c>
      <c r="DJ741" s="410" t="str">
        <f t="shared" ca="1" si="1358"/>
        <v/>
      </c>
      <c r="DK741" s="410" t="str">
        <f t="shared" ca="1" si="1359"/>
        <v/>
      </c>
      <c r="DM741" s="411" t="str">
        <f t="shared" ca="1" si="1366"/>
        <v/>
      </c>
      <c r="DN741" s="411" t="str">
        <f t="shared" ca="1" si="1367"/>
        <v/>
      </c>
      <c r="DO741" s="410" t="str">
        <f t="shared" ca="1" si="1368"/>
        <v/>
      </c>
      <c r="DP741" s="410" t="str">
        <f t="shared" ca="1" si="1369"/>
        <v/>
      </c>
    </row>
    <row r="742" spans="47:120" x14ac:dyDescent="0.25">
      <c r="AU742" s="112"/>
      <c r="AV742" s="112"/>
      <c r="BQ742" s="238">
        <f t="shared" ref="BQ742:BQ745" si="1407">BQ741</f>
        <v>605</v>
      </c>
      <c r="BR742" t="s">
        <v>445</v>
      </c>
      <c r="BS742" t="s">
        <v>446</v>
      </c>
      <c r="BT742" s="114">
        <f t="shared" ca="1" si="1168"/>
        <v>1</v>
      </c>
      <c r="BU742" s="112"/>
      <c r="BV742">
        <f t="shared" ca="1" si="1300"/>
        <v>0</v>
      </c>
      <c r="BW742" s="112">
        <f t="shared" ca="1" si="1232"/>
        <v>41471</v>
      </c>
      <c r="BX742" s="112">
        <f t="shared" ca="1" si="1403"/>
        <v>41470</v>
      </c>
      <c r="BY742">
        <f t="shared" ca="1" si="1277"/>
        <v>6</v>
      </c>
      <c r="BZ742">
        <f t="shared" ca="1" si="1278"/>
        <v>24</v>
      </c>
      <c r="CB742">
        <f t="shared" ca="1" si="1240"/>
        <v>0</v>
      </c>
      <c r="CC742" s="112">
        <f t="shared" ca="1" si="1241"/>
        <v>100000</v>
      </c>
      <c r="CD742" s="112">
        <f t="shared" ca="1" si="1242"/>
        <v>41470</v>
      </c>
      <c r="CE742">
        <f t="shared" ca="1" si="1243"/>
        <v>6</v>
      </c>
      <c r="CF742">
        <f t="shared" ca="1" si="1244"/>
        <v>24</v>
      </c>
      <c r="CH742" s="112">
        <f t="shared" ca="1" si="1331"/>
        <v>41471</v>
      </c>
      <c r="CI742">
        <f t="shared" ref="CI742:CI745" ca="1" si="1408">CI741</f>
        <v>0</v>
      </c>
      <c r="CJ742">
        <f t="shared" ref="CJ742" ca="1" si="1409">IF(AND(CI742=0,CJ743=0,CJ744=0,CJ745=0,CC742&lt;100000),1,0)</f>
        <v>0</v>
      </c>
      <c r="CK742" s="112">
        <f t="shared" ca="1" si="1337"/>
        <v>41471</v>
      </c>
      <c r="CM742" s="112"/>
      <c r="CN742" s="260">
        <f t="shared" ca="1" si="1255"/>
        <v>100000</v>
      </c>
      <c r="CO742" s="112">
        <f t="shared" ref="CO742:CO745" ca="1" si="1410">IF(CJ742=1,CH742,CD742)</f>
        <v>41470</v>
      </c>
      <c r="CP742" s="238">
        <f t="shared" ca="1" si="1339"/>
        <v>6</v>
      </c>
      <c r="CQ742" s="328">
        <f t="shared" ca="1" si="1340"/>
        <v>24</v>
      </c>
      <c r="CS742" s="112">
        <f t="shared" ca="1" si="1235"/>
        <v>100000</v>
      </c>
      <c r="CT742" s="112">
        <f t="shared" ca="1" si="1267"/>
        <v>41470</v>
      </c>
      <c r="CU742" s="238">
        <f t="shared" ca="1" si="1247"/>
        <v>6</v>
      </c>
      <c r="CV742" s="238">
        <f t="shared" ca="1" si="1248"/>
        <v>24</v>
      </c>
      <c r="CY742">
        <f t="shared" si="1258"/>
        <v>172</v>
      </c>
      <c r="DA742" s="112">
        <f t="shared" ca="1" si="1259"/>
        <v>100000</v>
      </c>
      <c r="DC742">
        <f t="shared" si="1260"/>
        <v>742</v>
      </c>
      <c r="DE742" t="str">
        <f t="shared" si="1281"/>
        <v>cs742:dc790</v>
      </c>
      <c r="DF742">
        <f t="shared" ca="1" si="1249"/>
        <v>742</v>
      </c>
      <c r="DG742" s="412">
        <f t="shared" ca="1" si="1365"/>
        <v>44804</v>
      </c>
      <c r="DH742" s="411" t="str">
        <f t="shared" ca="1" si="1356"/>
        <v/>
      </c>
      <c r="DI742" s="411" t="str">
        <f t="shared" ca="1" si="1357"/>
        <v/>
      </c>
      <c r="DJ742" s="410" t="str">
        <f t="shared" ca="1" si="1358"/>
        <v/>
      </c>
      <c r="DK742" s="410" t="str">
        <f t="shared" ca="1" si="1359"/>
        <v/>
      </c>
      <c r="DM742" s="411" t="str">
        <f t="shared" ca="1" si="1366"/>
        <v/>
      </c>
      <c r="DN742" s="411" t="str">
        <f t="shared" ca="1" si="1367"/>
        <v/>
      </c>
      <c r="DO742" s="410" t="str">
        <f t="shared" ca="1" si="1368"/>
        <v/>
      </c>
      <c r="DP742" s="410" t="str">
        <f t="shared" ca="1" si="1369"/>
        <v/>
      </c>
    </row>
    <row r="743" spans="47:120" x14ac:dyDescent="0.25">
      <c r="AU743" s="112"/>
      <c r="AV743" s="112"/>
      <c r="BQ743" s="238">
        <f t="shared" si="1407"/>
        <v>605</v>
      </c>
      <c r="BR743" t="s">
        <v>446</v>
      </c>
      <c r="BS743" t="s">
        <v>447</v>
      </c>
      <c r="BT743" s="114">
        <f t="shared" ca="1" si="1168"/>
        <v>1</v>
      </c>
      <c r="BU743" s="112"/>
      <c r="BV743">
        <f t="shared" ca="1" si="1300"/>
        <v>0</v>
      </c>
      <c r="BW743" s="112">
        <f t="shared" ca="1" si="1232"/>
        <v>41471</v>
      </c>
      <c r="BX743" s="112">
        <f t="shared" ca="1" si="1403"/>
        <v>41470</v>
      </c>
      <c r="BY743">
        <f t="shared" ca="1" si="1277"/>
        <v>6</v>
      </c>
      <c r="BZ743">
        <f t="shared" ca="1" si="1278"/>
        <v>24</v>
      </c>
      <c r="CB743">
        <f t="shared" ca="1" si="1240"/>
        <v>0</v>
      </c>
      <c r="CC743" s="112">
        <f t="shared" ca="1" si="1241"/>
        <v>100000</v>
      </c>
      <c r="CD743" s="112">
        <f t="shared" ca="1" si="1242"/>
        <v>41470</v>
      </c>
      <c r="CE743">
        <f t="shared" ca="1" si="1243"/>
        <v>6</v>
      </c>
      <c r="CF743">
        <f t="shared" ca="1" si="1244"/>
        <v>24</v>
      </c>
      <c r="CH743" s="112">
        <f t="shared" ca="1" si="1331"/>
        <v>41471</v>
      </c>
      <c r="CI743">
        <f t="shared" ca="1" si="1408"/>
        <v>0</v>
      </c>
      <c r="CJ743">
        <f t="shared" ref="CJ743" ca="1" si="1411">IF(AND(CI743=0,CJ744=0,CJ745=0,CC743&lt;100000),1,0)</f>
        <v>0</v>
      </c>
      <c r="CK743" s="112">
        <f t="shared" ca="1" si="1337"/>
        <v>41471</v>
      </c>
      <c r="CM743" s="112"/>
      <c r="CN743" s="260">
        <f t="shared" ca="1" si="1255"/>
        <v>100000</v>
      </c>
      <c r="CO743" s="112">
        <f t="shared" ca="1" si="1410"/>
        <v>41470</v>
      </c>
      <c r="CP743" s="238">
        <f t="shared" ca="1" si="1339"/>
        <v>6</v>
      </c>
      <c r="CQ743" s="328">
        <f t="shared" ca="1" si="1340"/>
        <v>24</v>
      </c>
      <c r="CS743" s="112">
        <f t="shared" ca="1" si="1235"/>
        <v>100000</v>
      </c>
      <c r="CT743" s="112">
        <f t="shared" ca="1" si="1267"/>
        <v>41470</v>
      </c>
      <c r="CU743" s="238">
        <f t="shared" ca="1" si="1247"/>
        <v>6</v>
      </c>
      <c r="CV743" s="238">
        <f t="shared" ca="1" si="1248"/>
        <v>24</v>
      </c>
      <c r="CY743">
        <f t="shared" si="1258"/>
        <v>173</v>
      </c>
      <c r="DA743" s="112">
        <f t="shared" ca="1" si="1259"/>
        <v>100000</v>
      </c>
      <c r="DC743">
        <f t="shared" si="1260"/>
        <v>743</v>
      </c>
      <c r="DE743" t="str">
        <f t="shared" si="1281"/>
        <v>cs743:dc790</v>
      </c>
      <c r="DF743">
        <f t="shared" ca="1" si="1249"/>
        <v>743</v>
      </c>
      <c r="DG743" s="412">
        <f t="shared" ca="1" si="1365"/>
        <v>44804</v>
      </c>
      <c r="DH743" s="411" t="str">
        <f t="shared" ca="1" si="1356"/>
        <v/>
      </c>
      <c r="DI743" s="411" t="str">
        <f t="shared" ca="1" si="1357"/>
        <v/>
      </c>
      <c r="DJ743" s="410" t="str">
        <f t="shared" ca="1" si="1358"/>
        <v/>
      </c>
      <c r="DK743" s="410" t="str">
        <f t="shared" ca="1" si="1359"/>
        <v/>
      </c>
      <c r="DM743" s="411" t="str">
        <f t="shared" ca="1" si="1366"/>
        <v/>
      </c>
      <c r="DN743" s="411" t="str">
        <f t="shared" ca="1" si="1367"/>
        <v/>
      </c>
      <c r="DO743" s="410" t="str">
        <f t="shared" ca="1" si="1368"/>
        <v/>
      </c>
      <c r="DP743" s="410" t="str">
        <f t="shared" ca="1" si="1369"/>
        <v/>
      </c>
    </row>
    <row r="744" spans="47:120" x14ac:dyDescent="0.25">
      <c r="AU744" s="112"/>
      <c r="AV744" s="112"/>
      <c r="BQ744" s="238">
        <f t="shared" si="1407"/>
        <v>605</v>
      </c>
      <c r="BR744" t="s">
        <v>447</v>
      </c>
      <c r="BS744" t="s">
        <v>448</v>
      </c>
      <c r="BT744" s="114">
        <f t="shared" ca="1" si="1168"/>
        <v>1</v>
      </c>
      <c r="BU744" s="112"/>
      <c r="BV744">
        <f t="shared" ca="1" si="1300"/>
        <v>0</v>
      </c>
      <c r="BW744" s="112">
        <f t="shared" ca="1" si="1232"/>
        <v>41471</v>
      </c>
      <c r="BX744" s="112">
        <f t="shared" ref="BX744:BX745" ca="1" si="1412">INDIRECT(CONCATENATE(BS744,BQ744))</f>
        <v>41471</v>
      </c>
      <c r="BY744">
        <f t="shared" ca="1" si="1277"/>
        <v>6</v>
      </c>
      <c r="BZ744">
        <f t="shared" ca="1" si="1278"/>
        <v>24</v>
      </c>
      <c r="CB744">
        <f t="shared" ca="1" si="1240"/>
        <v>0</v>
      </c>
      <c r="CC744" s="112">
        <f t="shared" ca="1" si="1241"/>
        <v>100000</v>
      </c>
      <c r="CD744" s="112">
        <f t="shared" ca="1" si="1242"/>
        <v>41471</v>
      </c>
      <c r="CE744">
        <f t="shared" ca="1" si="1243"/>
        <v>6</v>
      </c>
      <c r="CF744">
        <f t="shared" ca="1" si="1244"/>
        <v>24</v>
      </c>
      <c r="CH744" s="112">
        <f t="shared" ca="1" si="1331"/>
        <v>41471</v>
      </c>
      <c r="CI744">
        <f t="shared" ca="1" si="1408"/>
        <v>0</v>
      </c>
      <c r="CJ744">
        <f t="shared" ref="CJ744" ca="1" si="1413">IF(AND(CI744=0,CJ745=0,CC744&lt;100000),1,0)</f>
        <v>0</v>
      </c>
      <c r="CK744" s="112">
        <f t="shared" ca="1" si="1337"/>
        <v>41471</v>
      </c>
      <c r="CM744" s="112"/>
      <c r="CN744" s="260">
        <f t="shared" ca="1" si="1255"/>
        <v>100000</v>
      </c>
      <c r="CO744" s="112">
        <f t="shared" ca="1" si="1410"/>
        <v>41471</v>
      </c>
      <c r="CP744" s="238">
        <f t="shared" ca="1" si="1339"/>
        <v>6</v>
      </c>
      <c r="CQ744" s="328">
        <f t="shared" ca="1" si="1340"/>
        <v>24</v>
      </c>
      <c r="CS744" s="112">
        <f t="shared" ca="1" si="1235"/>
        <v>100000</v>
      </c>
      <c r="CT744" s="112">
        <f t="shared" ca="1" si="1267"/>
        <v>41471</v>
      </c>
      <c r="CU744" s="238">
        <f t="shared" ca="1" si="1247"/>
        <v>6</v>
      </c>
      <c r="CV744" s="238">
        <f t="shared" ca="1" si="1248"/>
        <v>24</v>
      </c>
      <c r="CY744">
        <f t="shared" si="1258"/>
        <v>174</v>
      </c>
      <c r="DA744" s="112">
        <f t="shared" ca="1" si="1259"/>
        <v>100000</v>
      </c>
      <c r="DC744">
        <f t="shared" si="1260"/>
        <v>744</v>
      </c>
      <c r="DE744" t="str">
        <f t="shared" si="1281"/>
        <v>cs744:dc790</v>
      </c>
      <c r="DF744">
        <f t="shared" ca="1" si="1249"/>
        <v>744</v>
      </c>
      <c r="DG744" s="412">
        <f t="shared" ca="1" si="1365"/>
        <v>44804</v>
      </c>
      <c r="DH744" s="411" t="str">
        <f t="shared" ca="1" si="1356"/>
        <v/>
      </c>
      <c r="DI744" s="411" t="str">
        <f t="shared" ca="1" si="1357"/>
        <v/>
      </c>
      <c r="DJ744" s="410" t="str">
        <f t="shared" ca="1" si="1358"/>
        <v/>
      </c>
      <c r="DK744" s="410" t="str">
        <f t="shared" ca="1" si="1359"/>
        <v/>
      </c>
      <c r="DM744" s="411" t="str">
        <f t="shared" ca="1" si="1366"/>
        <v/>
      </c>
      <c r="DN744" s="411" t="str">
        <f t="shared" ca="1" si="1367"/>
        <v/>
      </c>
      <c r="DO744" s="410" t="str">
        <f t="shared" ca="1" si="1368"/>
        <v/>
      </c>
      <c r="DP744" s="410" t="str">
        <f t="shared" ca="1" si="1369"/>
        <v/>
      </c>
    </row>
    <row r="745" spans="47:120" ht="15.75" thickBot="1" x14ac:dyDescent="0.3">
      <c r="AU745" s="112"/>
      <c r="AV745" s="112"/>
      <c r="BQ745" s="238">
        <f t="shared" si="1407"/>
        <v>605</v>
      </c>
      <c r="BR745" t="s">
        <v>448</v>
      </c>
      <c r="BS745" t="s">
        <v>449</v>
      </c>
      <c r="BT745" s="114">
        <f t="shared" ca="1" si="1168"/>
        <v>1</v>
      </c>
      <c r="BU745" s="112"/>
      <c r="BV745">
        <f t="shared" ca="1" si="1300"/>
        <v>0</v>
      </c>
      <c r="BW745" s="112">
        <f t="shared" ca="1" si="1232"/>
        <v>41471</v>
      </c>
      <c r="BX745" s="112">
        <f t="shared" ca="1" si="1412"/>
        <v>41471</v>
      </c>
      <c r="BY745">
        <f t="shared" ca="1" si="1277"/>
        <v>6</v>
      </c>
      <c r="BZ745">
        <f t="shared" ca="1" si="1278"/>
        <v>24</v>
      </c>
      <c r="CB745">
        <f t="shared" ca="1" si="1240"/>
        <v>0</v>
      </c>
      <c r="CC745" s="112">
        <f t="shared" ca="1" si="1241"/>
        <v>100000</v>
      </c>
      <c r="CD745" s="112">
        <f t="shared" ca="1" si="1242"/>
        <v>41471</v>
      </c>
      <c r="CE745">
        <f t="shared" ca="1" si="1243"/>
        <v>6</v>
      </c>
      <c r="CF745">
        <f t="shared" ca="1" si="1244"/>
        <v>24</v>
      </c>
      <c r="CH745" s="112">
        <f t="shared" ca="1" si="1331"/>
        <v>41471</v>
      </c>
      <c r="CI745">
        <f t="shared" ca="1" si="1408"/>
        <v>0</v>
      </c>
      <c r="CJ745">
        <f t="shared" ref="CJ745" ca="1" si="1414">IF(AND(CI745=0,CC745&lt;100000),1,0)</f>
        <v>0</v>
      </c>
      <c r="CK745" s="112">
        <f t="shared" ca="1" si="1337"/>
        <v>41471</v>
      </c>
      <c r="CM745" s="112"/>
      <c r="CN745" s="261">
        <f t="shared" ref="CN745" ca="1" si="1415">IF(AND(CN741=100000,CN742=100000,CN743=100000,CN744=100000),INDIRECT(CONCATENATE("aa",BQ745)),CC745)</f>
        <v>100000</v>
      </c>
      <c r="CO745" s="324">
        <f t="shared" ca="1" si="1410"/>
        <v>41471</v>
      </c>
      <c r="CP745" s="256">
        <f t="shared" ca="1" si="1339"/>
        <v>6</v>
      </c>
      <c r="CQ745" s="329">
        <f t="shared" ca="1" si="1340"/>
        <v>24</v>
      </c>
      <c r="CS745" s="112">
        <f t="shared" ca="1" si="1235"/>
        <v>100000</v>
      </c>
      <c r="CT745" s="112">
        <f t="shared" ca="1" si="1267"/>
        <v>41471</v>
      </c>
      <c r="CU745" s="238">
        <f t="shared" ca="1" si="1247"/>
        <v>6</v>
      </c>
      <c r="CV745" s="238">
        <f t="shared" ca="1" si="1248"/>
        <v>24</v>
      </c>
      <c r="CY745">
        <f t="shared" si="1258"/>
        <v>175</v>
      </c>
      <c r="DA745" s="112">
        <f t="shared" ca="1" si="1259"/>
        <v>100000</v>
      </c>
      <c r="DC745">
        <f t="shared" si="1260"/>
        <v>745</v>
      </c>
      <c r="DE745" t="str">
        <f t="shared" si="1281"/>
        <v>cs745:dc790</v>
      </c>
      <c r="DF745">
        <f t="shared" ca="1" si="1249"/>
        <v>745</v>
      </c>
      <c r="DG745" s="412">
        <f t="shared" ca="1" si="1365"/>
        <v>44804</v>
      </c>
      <c r="DH745" s="411" t="str">
        <f t="shared" ca="1" si="1356"/>
        <v/>
      </c>
      <c r="DI745" s="411" t="str">
        <f t="shared" ca="1" si="1357"/>
        <v/>
      </c>
      <c r="DJ745" s="410" t="str">
        <f t="shared" ca="1" si="1358"/>
        <v/>
      </c>
      <c r="DK745" s="410" t="str">
        <f t="shared" ca="1" si="1359"/>
        <v/>
      </c>
      <c r="DM745" s="411" t="str">
        <f t="shared" ca="1" si="1366"/>
        <v/>
      </c>
      <c r="DN745" s="411" t="str">
        <f t="shared" ca="1" si="1367"/>
        <v/>
      </c>
      <c r="DO745" s="410" t="str">
        <f t="shared" ca="1" si="1368"/>
        <v/>
      </c>
      <c r="DP745" s="410" t="str">
        <f t="shared" ca="1" si="1369"/>
        <v/>
      </c>
    </row>
    <row r="746" spans="47:120" x14ac:dyDescent="0.25">
      <c r="AU746" s="112"/>
      <c r="AV746" s="112"/>
      <c r="BQ746" s="238">
        <f t="shared" ref="BQ746" si="1416">BQ745+1</f>
        <v>606</v>
      </c>
      <c r="BR746" s="112" t="s">
        <v>444</v>
      </c>
      <c r="BS746" s="112" t="s">
        <v>445</v>
      </c>
      <c r="BT746" s="114">
        <f t="shared" ca="1" si="1168"/>
        <v>1</v>
      </c>
      <c r="BU746" s="112"/>
      <c r="BV746">
        <f t="shared" ca="1" si="1300"/>
        <v>1</v>
      </c>
      <c r="BW746" s="112">
        <f t="shared" ca="1" si="1232"/>
        <v>41530</v>
      </c>
      <c r="BX746" s="112">
        <f t="shared" ref="BX746:BX748" ca="1" si="1417">INDIRECT(CONCATENATE(BS746,BQ746))-1</f>
        <v>41881</v>
      </c>
      <c r="BY746">
        <f t="shared" ca="1" si="1277"/>
        <v>18</v>
      </c>
      <c r="BZ746">
        <f t="shared" ca="1" si="1278"/>
        <v>24</v>
      </c>
      <c r="CB746">
        <f t="shared" ca="1" si="1240"/>
        <v>0</v>
      </c>
      <c r="CC746" s="112">
        <f t="shared" ca="1" si="1241"/>
        <v>41530</v>
      </c>
      <c r="CD746" s="112">
        <f t="shared" ca="1" si="1242"/>
        <v>41881</v>
      </c>
      <c r="CE746">
        <f t="shared" ca="1" si="1243"/>
        <v>18</v>
      </c>
      <c r="CF746">
        <f t="shared" ca="1" si="1244"/>
        <v>24</v>
      </c>
      <c r="CH746" s="112">
        <f t="shared" ca="1" si="1331"/>
        <v>41882</v>
      </c>
      <c r="CI746">
        <f t="shared" ref="CI746" ca="1" si="1418">CB746+CB747+CB748+CB749+CB750</f>
        <v>0</v>
      </c>
      <c r="CJ746">
        <v>0</v>
      </c>
      <c r="CK746" s="112">
        <f t="shared" ca="1" si="1337"/>
        <v>41882</v>
      </c>
      <c r="CM746" s="112"/>
      <c r="CN746" s="408">
        <f t="shared" ca="1" si="1255"/>
        <v>41530</v>
      </c>
      <c r="CO746" s="326">
        <f t="shared" ref="CO746" ca="1" si="1419">CD746</f>
        <v>41881</v>
      </c>
      <c r="CP746" s="333">
        <f t="shared" ca="1" si="1339"/>
        <v>18</v>
      </c>
      <c r="CQ746" s="327">
        <f t="shared" ca="1" si="1340"/>
        <v>24</v>
      </c>
      <c r="CS746" s="112">
        <f t="shared" ca="1" si="1235"/>
        <v>41530</v>
      </c>
      <c r="CT746" s="112">
        <f t="shared" ref="CT746" ca="1" si="1420">IF(AND( CN747=100000,CN748=100000,CN749=100000,CN750=100000),CO750,                             CO746)</f>
        <v>41882</v>
      </c>
      <c r="CU746" s="238">
        <f t="shared" ca="1" si="1247"/>
        <v>18</v>
      </c>
      <c r="CV746" s="238">
        <f t="shared" ca="1" si="1248"/>
        <v>24</v>
      </c>
      <c r="CY746">
        <f t="shared" si="1258"/>
        <v>176</v>
      </c>
      <c r="DA746" s="112">
        <f t="shared" ca="1" si="1259"/>
        <v>100000</v>
      </c>
      <c r="DC746">
        <f t="shared" si="1260"/>
        <v>746</v>
      </c>
      <c r="DE746" t="str">
        <f t="shared" si="1281"/>
        <v>cs746:dc790</v>
      </c>
      <c r="DF746">
        <f t="shared" ca="1" si="1249"/>
        <v>747</v>
      </c>
      <c r="DG746" s="412">
        <f t="shared" ca="1" si="1365"/>
        <v>44804</v>
      </c>
      <c r="DH746" s="411" t="str">
        <f t="shared" ca="1" si="1356"/>
        <v/>
      </c>
      <c r="DI746" s="411" t="str">
        <f t="shared" ca="1" si="1357"/>
        <v/>
      </c>
      <c r="DJ746" s="410" t="str">
        <f t="shared" ca="1" si="1358"/>
        <v/>
      </c>
      <c r="DK746" s="410" t="str">
        <f t="shared" ca="1" si="1359"/>
        <v/>
      </c>
      <c r="DM746" s="411" t="str">
        <f t="shared" ca="1" si="1366"/>
        <v/>
      </c>
      <c r="DN746" s="411" t="str">
        <f t="shared" ca="1" si="1367"/>
        <v/>
      </c>
      <c r="DO746" s="410" t="str">
        <f t="shared" ca="1" si="1368"/>
        <v/>
      </c>
      <c r="DP746" s="410" t="str">
        <f t="shared" ca="1" si="1369"/>
        <v/>
      </c>
    </row>
    <row r="747" spans="47:120" x14ac:dyDescent="0.25">
      <c r="AU747" s="112"/>
      <c r="AV747" s="112"/>
      <c r="BQ747" s="238">
        <f t="shared" ref="BQ747:BQ750" si="1421">BQ746</f>
        <v>606</v>
      </c>
      <c r="BR747" t="s">
        <v>445</v>
      </c>
      <c r="BS747" t="s">
        <v>446</v>
      </c>
      <c r="BT747" s="114">
        <f t="shared" ca="1" si="1168"/>
        <v>1</v>
      </c>
      <c r="BU747" s="112"/>
      <c r="BV747">
        <f t="shared" ca="1" si="1300"/>
        <v>0</v>
      </c>
      <c r="BW747" s="112">
        <f t="shared" ca="1" si="1232"/>
        <v>41882</v>
      </c>
      <c r="BX747" s="112">
        <f t="shared" ca="1" si="1417"/>
        <v>41881</v>
      </c>
      <c r="BY747">
        <f t="shared" ca="1" si="1277"/>
        <v>18</v>
      </c>
      <c r="BZ747">
        <f t="shared" ca="1" si="1278"/>
        <v>24</v>
      </c>
      <c r="CB747">
        <f t="shared" ca="1" si="1240"/>
        <v>0</v>
      </c>
      <c r="CC747" s="112">
        <f t="shared" ca="1" si="1241"/>
        <v>100000</v>
      </c>
      <c r="CD747" s="112">
        <f t="shared" ca="1" si="1242"/>
        <v>41881</v>
      </c>
      <c r="CE747">
        <f t="shared" ca="1" si="1243"/>
        <v>18</v>
      </c>
      <c r="CF747">
        <f t="shared" ca="1" si="1244"/>
        <v>24</v>
      </c>
      <c r="CH747" s="112">
        <f t="shared" ca="1" si="1331"/>
        <v>41882</v>
      </c>
      <c r="CI747">
        <f t="shared" ref="CI747:CI750" ca="1" si="1422">CI746</f>
        <v>0</v>
      </c>
      <c r="CJ747">
        <f t="shared" ref="CJ747" ca="1" si="1423">IF(AND(CI747=0,CJ748=0,CJ749=0,CJ750=0,CC747&lt;100000),1,0)</f>
        <v>0</v>
      </c>
      <c r="CK747" s="112">
        <f t="shared" ca="1" si="1337"/>
        <v>41882</v>
      </c>
      <c r="CM747" s="112"/>
      <c r="CN747" s="260">
        <f t="shared" ca="1" si="1255"/>
        <v>100000</v>
      </c>
      <c r="CO747" s="112">
        <f t="shared" ref="CO747:CO750" ca="1" si="1424">IF(CJ747=1,CH747,CD747)</f>
        <v>41881</v>
      </c>
      <c r="CP747" s="238">
        <f t="shared" ca="1" si="1339"/>
        <v>18</v>
      </c>
      <c r="CQ747" s="328">
        <f t="shared" ca="1" si="1340"/>
        <v>24</v>
      </c>
      <c r="CS747" s="112">
        <f t="shared" ca="1" si="1235"/>
        <v>100000</v>
      </c>
      <c r="CT747" s="112">
        <f t="shared" ca="1" si="1267"/>
        <v>41881</v>
      </c>
      <c r="CU747" s="238">
        <f t="shared" ca="1" si="1247"/>
        <v>18</v>
      </c>
      <c r="CV747" s="238">
        <f t="shared" ca="1" si="1248"/>
        <v>24</v>
      </c>
      <c r="CY747">
        <f t="shared" si="1258"/>
        <v>177</v>
      </c>
      <c r="DA747" s="112">
        <f t="shared" ca="1" si="1259"/>
        <v>100000</v>
      </c>
      <c r="DC747">
        <f t="shared" si="1260"/>
        <v>747</v>
      </c>
      <c r="DE747" t="str">
        <f t="shared" si="1281"/>
        <v>cs747:dc790</v>
      </c>
      <c r="DF747">
        <f t="shared" ca="1" si="1249"/>
        <v>747</v>
      </c>
      <c r="DG747" s="412">
        <f t="shared" ca="1" si="1365"/>
        <v>44804</v>
      </c>
      <c r="DH747" s="411" t="str">
        <f t="shared" ca="1" si="1356"/>
        <v/>
      </c>
      <c r="DI747" s="411" t="str">
        <f t="shared" ca="1" si="1357"/>
        <v/>
      </c>
      <c r="DJ747" s="410" t="str">
        <f t="shared" ca="1" si="1358"/>
        <v/>
      </c>
      <c r="DK747" s="410" t="str">
        <f t="shared" ca="1" si="1359"/>
        <v/>
      </c>
      <c r="DM747" s="411" t="str">
        <f t="shared" ca="1" si="1366"/>
        <v/>
      </c>
      <c r="DN747" s="411" t="str">
        <f t="shared" ca="1" si="1367"/>
        <v/>
      </c>
      <c r="DO747" s="410" t="str">
        <f t="shared" ca="1" si="1368"/>
        <v/>
      </c>
      <c r="DP747" s="410" t="str">
        <f t="shared" ca="1" si="1369"/>
        <v/>
      </c>
    </row>
    <row r="748" spans="47:120" x14ac:dyDescent="0.25">
      <c r="AU748" s="112"/>
      <c r="AV748" s="112"/>
      <c r="BQ748" s="238">
        <f t="shared" si="1421"/>
        <v>606</v>
      </c>
      <c r="BR748" t="s">
        <v>446</v>
      </c>
      <c r="BS748" t="s">
        <v>447</v>
      </c>
      <c r="BT748" s="114">
        <f t="shared" ca="1" si="1168"/>
        <v>1</v>
      </c>
      <c r="BU748" s="112"/>
      <c r="BV748">
        <f t="shared" ca="1" si="1300"/>
        <v>0</v>
      </c>
      <c r="BW748" s="112">
        <f t="shared" ca="1" si="1232"/>
        <v>41882</v>
      </c>
      <c r="BX748" s="112">
        <f t="shared" ca="1" si="1417"/>
        <v>41881</v>
      </c>
      <c r="BY748">
        <f t="shared" ca="1" si="1277"/>
        <v>18</v>
      </c>
      <c r="BZ748">
        <f t="shared" ca="1" si="1278"/>
        <v>24</v>
      </c>
      <c r="CB748">
        <f t="shared" ca="1" si="1240"/>
        <v>0</v>
      </c>
      <c r="CC748" s="112">
        <f t="shared" ca="1" si="1241"/>
        <v>100000</v>
      </c>
      <c r="CD748" s="112">
        <f t="shared" ca="1" si="1242"/>
        <v>41881</v>
      </c>
      <c r="CE748">
        <f t="shared" ca="1" si="1243"/>
        <v>18</v>
      </c>
      <c r="CF748">
        <f t="shared" ca="1" si="1244"/>
        <v>24</v>
      </c>
      <c r="CH748" s="112">
        <f t="shared" ca="1" si="1331"/>
        <v>41882</v>
      </c>
      <c r="CI748">
        <f t="shared" ca="1" si="1422"/>
        <v>0</v>
      </c>
      <c r="CJ748">
        <f t="shared" ref="CJ748" ca="1" si="1425">IF(AND(CI748=0,CJ749=0,CJ750=0,CC748&lt;100000),1,0)</f>
        <v>0</v>
      </c>
      <c r="CK748" s="112">
        <f t="shared" ca="1" si="1337"/>
        <v>41882</v>
      </c>
      <c r="CM748" s="112"/>
      <c r="CN748" s="260">
        <f t="shared" ca="1" si="1255"/>
        <v>100000</v>
      </c>
      <c r="CO748" s="112">
        <f t="shared" ca="1" si="1424"/>
        <v>41881</v>
      </c>
      <c r="CP748" s="238">
        <f t="shared" ca="1" si="1339"/>
        <v>18</v>
      </c>
      <c r="CQ748" s="328">
        <f t="shared" ca="1" si="1340"/>
        <v>24</v>
      </c>
      <c r="CS748" s="112">
        <f t="shared" ca="1" si="1235"/>
        <v>100000</v>
      </c>
      <c r="CT748" s="112">
        <f t="shared" ca="1" si="1267"/>
        <v>41881</v>
      </c>
      <c r="CU748" s="238">
        <f t="shared" ca="1" si="1247"/>
        <v>18</v>
      </c>
      <c r="CV748" s="238">
        <f t="shared" ca="1" si="1248"/>
        <v>24</v>
      </c>
      <c r="CY748">
        <f t="shared" si="1258"/>
        <v>178</v>
      </c>
      <c r="DA748" s="112">
        <f t="shared" ca="1" si="1259"/>
        <v>100000</v>
      </c>
      <c r="DC748">
        <f t="shared" si="1260"/>
        <v>748</v>
      </c>
      <c r="DE748" t="str">
        <f t="shared" si="1281"/>
        <v>cs748:dc790</v>
      </c>
      <c r="DF748">
        <f t="shared" ca="1" si="1249"/>
        <v>748</v>
      </c>
      <c r="DG748" s="412">
        <f t="shared" ca="1" si="1365"/>
        <v>44804</v>
      </c>
      <c r="DH748" s="411" t="str">
        <f t="shared" ca="1" si="1356"/>
        <v/>
      </c>
      <c r="DI748" s="411" t="str">
        <f t="shared" ca="1" si="1357"/>
        <v/>
      </c>
      <c r="DJ748" s="410" t="str">
        <f t="shared" ca="1" si="1358"/>
        <v/>
      </c>
      <c r="DK748" s="410" t="str">
        <f t="shared" ca="1" si="1359"/>
        <v/>
      </c>
      <c r="DM748" s="411" t="str">
        <f t="shared" ca="1" si="1366"/>
        <v/>
      </c>
      <c r="DN748" s="411" t="str">
        <f t="shared" ca="1" si="1367"/>
        <v/>
      </c>
      <c r="DO748" s="410" t="str">
        <f t="shared" ca="1" si="1368"/>
        <v/>
      </c>
      <c r="DP748" s="410" t="str">
        <f t="shared" ca="1" si="1369"/>
        <v/>
      </c>
    </row>
    <row r="749" spans="47:120" x14ac:dyDescent="0.25">
      <c r="AU749" s="112"/>
      <c r="AV749" s="112"/>
      <c r="BQ749" s="238">
        <f t="shared" si="1421"/>
        <v>606</v>
      </c>
      <c r="BR749" t="s">
        <v>447</v>
      </c>
      <c r="BS749" t="s">
        <v>448</v>
      </c>
      <c r="BT749" s="114">
        <f t="shared" ca="1" si="1168"/>
        <v>1</v>
      </c>
      <c r="BU749" s="112"/>
      <c r="BV749">
        <f t="shared" ca="1" si="1300"/>
        <v>0</v>
      </c>
      <c r="BW749" s="112">
        <f t="shared" ca="1" si="1232"/>
        <v>41882</v>
      </c>
      <c r="BX749" s="112">
        <f t="shared" ref="BX749:BX750" ca="1" si="1426">INDIRECT(CONCATENATE(BS749,BQ749))</f>
        <v>41882</v>
      </c>
      <c r="BY749">
        <f t="shared" ca="1" si="1277"/>
        <v>18</v>
      </c>
      <c r="BZ749">
        <f t="shared" ca="1" si="1278"/>
        <v>24</v>
      </c>
      <c r="CB749">
        <f t="shared" ca="1" si="1240"/>
        <v>0</v>
      </c>
      <c r="CC749" s="112">
        <f t="shared" ca="1" si="1241"/>
        <v>100000</v>
      </c>
      <c r="CD749" s="112">
        <f t="shared" ca="1" si="1242"/>
        <v>41882</v>
      </c>
      <c r="CE749">
        <f t="shared" ca="1" si="1243"/>
        <v>18</v>
      </c>
      <c r="CF749">
        <f t="shared" ca="1" si="1244"/>
        <v>24</v>
      </c>
      <c r="CH749" s="112">
        <f t="shared" ca="1" si="1331"/>
        <v>41882</v>
      </c>
      <c r="CI749">
        <f t="shared" ca="1" si="1422"/>
        <v>0</v>
      </c>
      <c r="CJ749">
        <f t="shared" ref="CJ749" ca="1" si="1427">IF(AND(CI749=0,CJ750=0,CC749&lt;100000),1,0)</f>
        <v>0</v>
      </c>
      <c r="CK749" s="112">
        <f t="shared" ca="1" si="1337"/>
        <v>41882</v>
      </c>
      <c r="CM749" s="112"/>
      <c r="CN749" s="260">
        <f t="shared" ca="1" si="1255"/>
        <v>100000</v>
      </c>
      <c r="CO749" s="112">
        <f t="shared" ca="1" si="1424"/>
        <v>41882</v>
      </c>
      <c r="CP749" s="238">
        <f t="shared" ca="1" si="1339"/>
        <v>18</v>
      </c>
      <c r="CQ749" s="328">
        <f t="shared" ca="1" si="1340"/>
        <v>24</v>
      </c>
      <c r="CS749" s="112">
        <f t="shared" ca="1" si="1235"/>
        <v>100000</v>
      </c>
      <c r="CT749" s="112">
        <f t="shared" ca="1" si="1267"/>
        <v>41882</v>
      </c>
      <c r="CU749" s="238">
        <f t="shared" ca="1" si="1247"/>
        <v>18</v>
      </c>
      <c r="CV749" s="238">
        <f t="shared" ca="1" si="1248"/>
        <v>24</v>
      </c>
      <c r="CY749">
        <f t="shared" si="1258"/>
        <v>179</v>
      </c>
      <c r="DA749" s="112">
        <f t="shared" ca="1" si="1259"/>
        <v>100000</v>
      </c>
      <c r="DC749">
        <f t="shared" si="1260"/>
        <v>749</v>
      </c>
      <c r="DE749" t="str">
        <f t="shared" si="1281"/>
        <v>cs749:dc790</v>
      </c>
      <c r="DF749">
        <f t="shared" ca="1" si="1249"/>
        <v>749</v>
      </c>
      <c r="DG749" s="412">
        <f t="shared" ca="1" si="1365"/>
        <v>44804</v>
      </c>
      <c r="DH749" s="411" t="str">
        <f t="shared" ca="1" si="1356"/>
        <v/>
      </c>
      <c r="DI749" s="411" t="str">
        <f t="shared" ca="1" si="1357"/>
        <v/>
      </c>
      <c r="DJ749" s="410" t="str">
        <f t="shared" ca="1" si="1358"/>
        <v/>
      </c>
      <c r="DK749" s="410" t="str">
        <f t="shared" ca="1" si="1359"/>
        <v/>
      </c>
      <c r="DM749" s="411" t="str">
        <f t="shared" ca="1" si="1366"/>
        <v/>
      </c>
      <c r="DN749" s="411" t="str">
        <f t="shared" ca="1" si="1367"/>
        <v/>
      </c>
      <c r="DO749" s="410" t="str">
        <f t="shared" ca="1" si="1368"/>
        <v/>
      </c>
      <c r="DP749" s="410" t="str">
        <f t="shared" ca="1" si="1369"/>
        <v/>
      </c>
    </row>
    <row r="750" spans="47:120" ht="15.75" thickBot="1" x14ac:dyDescent="0.3">
      <c r="AU750" s="112"/>
      <c r="AV750" s="112"/>
      <c r="BQ750" s="238">
        <f t="shared" si="1421"/>
        <v>606</v>
      </c>
      <c r="BR750" t="s">
        <v>448</v>
      </c>
      <c r="BS750" t="s">
        <v>449</v>
      </c>
      <c r="BT750" s="114">
        <f t="shared" ref="BT750:BT813" ca="1" si="1428">INDIRECT(CONCATENATE("bp",BQ750))</f>
        <v>1</v>
      </c>
      <c r="BU750" s="112"/>
      <c r="BV750">
        <f t="shared" ca="1" si="1300"/>
        <v>0</v>
      </c>
      <c r="BW750" s="112">
        <f t="shared" ca="1" si="1232"/>
        <v>41882</v>
      </c>
      <c r="BX750" s="112">
        <f t="shared" ca="1" si="1426"/>
        <v>41882</v>
      </c>
      <c r="BY750">
        <f t="shared" ca="1" si="1277"/>
        <v>18</v>
      </c>
      <c r="BZ750">
        <f t="shared" ca="1" si="1278"/>
        <v>24</v>
      </c>
      <c r="CB750">
        <f t="shared" ca="1" si="1240"/>
        <v>0</v>
      </c>
      <c r="CC750" s="112">
        <f t="shared" ca="1" si="1241"/>
        <v>100000</v>
      </c>
      <c r="CD750" s="112">
        <f t="shared" ca="1" si="1242"/>
        <v>41882</v>
      </c>
      <c r="CE750">
        <f t="shared" ca="1" si="1243"/>
        <v>18</v>
      </c>
      <c r="CF750">
        <f t="shared" ca="1" si="1244"/>
        <v>24</v>
      </c>
      <c r="CH750" s="112">
        <f t="shared" ca="1" si="1331"/>
        <v>41882</v>
      </c>
      <c r="CI750">
        <f t="shared" ca="1" si="1422"/>
        <v>0</v>
      </c>
      <c r="CJ750">
        <f t="shared" ref="CJ750" ca="1" si="1429">IF(AND(CI750=0,CC750&lt;100000),1,0)</f>
        <v>0</v>
      </c>
      <c r="CK750" s="112">
        <f t="shared" ca="1" si="1337"/>
        <v>41882</v>
      </c>
      <c r="CM750" s="112"/>
      <c r="CN750" s="261">
        <f t="shared" ref="CN750" ca="1" si="1430">IF(AND(CN746=100000,CN747=100000,CN748=100000,CN749=100000),INDIRECT(CONCATENATE("aa",BQ750)),CC750)</f>
        <v>100000</v>
      </c>
      <c r="CO750" s="324">
        <f t="shared" ca="1" si="1424"/>
        <v>41882</v>
      </c>
      <c r="CP750" s="256">
        <f t="shared" ca="1" si="1339"/>
        <v>18</v>
      </c>
      <c r="CQ750" s="329">
        <f t="shared" ca="1" si="1340"/>
        <v>24</v>
      </c>
      <c r="CS750" s="112">
        <f t="shared" ca="1" si="1235"/>
        <v>100000</v>
      </c>
      <c r="CT750" s="112">
        <f t="shared" ca="1" si="1267"/>
        <v>41882</v>
      </c>
      <c r="CU750" s="238">
        <f t="shared" ca="1" si="1247"/>
        <v>18</v>
      </c>
      <c r="CV750" s="238">
        <f t="shared" ca="1" si="1248"/>
        <v>24</v>
      </c>
      <c r="CY750">
        <f t="shared" si="1258"/>
        <v>180</v>
      </c>
      <c r="DA750" s="112">
        <f t="shared" ca="1" si="1259"/>
        <v>100000</v>
      </c>
      <c r="DC750">
        <f t="shared" si="1260"/>
        <v>750</v>
      </c>
      <c r="DE750" t="str">
        <f t="shared" si="1281"/>
        <v>cs750:dc790</v>
      </c>
      <c r="DF750">
        <f t="shared" ca="1" si="1249"/>
        <v>750</v>
      </c>
      <c r="DG750" s="412">
        <f t="shared" ca="1" si="1365"/>
        <v>44804</v>
      </c>
      <c r="DH750" s="411" t="str">
        <f t="shared" ca="1" si="1356"/>
        <v/>
      </c>
      <c r="DI750" s="411" t="str">
        <f t="shared" ca="1" si="1357"/>
        <v/>
      </c>
      <c r="DJ750" s="410" t="str">
        <f t="shared" ca="1" si="1358"/>
        <v/>
      </c>
      <c r="DK750" s="410" t="str">
        <f t="shared" ca="1" si="1359"/>
        <v/>
      </c>
      <c r="DM750" s="411" t="str">
        <f t="shared" ca="1" si="1366"/>
        <v/>
      </c>
      <c r="DN750" s="411" t="str">
        <f t="shared" ca="1" si="1367"/>
        <v/>
      </c>
      <c r="DO750" s="410" t="str">
        <f t="shared" ca="1" si="1368"/>
        <v/>
      </c>
      <c r="DP750" s="410" t="str">
        <f t="shared" ca="1" si="1369"/>
        <v/>
      </c>
    </row>
    <row r="751" spans="47:120" x14ac:dyDescent="0.25">
      <c r="AU751" s="112"/>
      <c r="AV751" s="112"/>
      <c r="BQ751" s="238">
        <f t="shared" ref="BQ751" si="1431">BQ750+1</f>
        <v>607</v>
      </c>
      <c r="BR751" s="112" t="s">
        <v>444</v>
      </c>
      <c r="BS751" s="112" t="s">
        <v>445</v>
      </c>
      <c r="BT751" s="114">
        <f t="shared" ca="1" si="1428"/>
        <v>1</v>
      </c>
      <c r="BU751" s="112"/>
      <c r="BV751">
        <f t="shared" ca="1" si="1300"/>
        <v>1</v>
      </c>
      <c r="BW751" s="112">
        <f t="shared" ca="1" si="1232"/>
        <v>41915</v>
      </c>
      <c r="BX751" s="112">
        <f t="shared" ref="BX751:BX753" ca="1" si="1432">INDIRECT(CONCATENATE(BS751,BQ751))-1</f>
        <v>42184</v>
      </c>
      <c r="BY751">
        <f t="shared" ca="1" si="1277"/>
        <v>18</v>
      </c>
      <c r="BZ751">
        <f t="shared" ca="1" si="1278"/>
        <v>24</v>
      </c>
      <c r="CB751">
        <f t="shared" ca="1" si="1240"/>
        <v>0</v>
      </c>
      <c r="CC751" s="112">
        <f t="shared" ca="1" si="1241"/>
        <v>41915</v>
      </c>
      <c r="CD751" s="112">
        <f t="shared" ca="1" si="1242"/>
        <v>42184</v>
      </c>
      <c r="CE751">
        <f t="shared" ca="1" si="1243"/>
        <v>18</v>
      </c>
      <c r="CF751">
        <f t="shared" ca="1" si="1244"/>
        <v>24</v>
      </c>
      <c r="CH751" s="112">
        <f t="shared" ca="1" si="1331"/>
        <v>42185</v>
      </c>
      <c r="CI751">
        <f t="shared" ref="CI751" ca="1" si="1433">CB751+CB752+CB753+CB754+CB755</f>
        <v>0</v>
      </c>
      <c r="CJ751">
        <v>0</v>
      </c>
      <c r="CK751" s="112">
        <f t="shared" ca="1" si="1337"/>
        <v>42185</v>
      </c>
      <c r="CM751" s="112"/>
      <c r="CN751" s="408">
        <f t="shared" ca="1" si="1255"/>
        <v>41915</v>
      </c>
      <c r="CO751" s="326">
        <f t="shared" ref="CO751" ca="1" si="1434">CD751</f>
        <v>42184</v>
      </c>
      <c r="CP751" s="333">
        <f t="shared" ca="1" si="1339"/>
        <v>18</v>
      </c>
      <c r="CQ751" s="327">
        <f t="shared" ca="1" si="1340"/>
        <v>24</v>
      </c>
      <c r="CS751" s="112">
        <f t="shared" ca="1" si="1235"/>
        <v>41915</v>
      </c>
      <c r="CT751" s="112">
        <f t="shared" ref="CT751" ca="1" si="1435">IF(AND( CN752=100000,CN753=100000,CN754=100000,CN755=100000),CO755,                             CO751)</f>
        <v>42185</v>
      </c>
      <c r="CU751" s="238">
        <f t="shared" ca="1" si="1247"/>
        <v>18</v>
      </c>
      <c r="CV751" s="238">
        <f t="shared" ca="1" si="1248"/>
        <v>24</v>
      </c>
      <c r="CY751">
        <f t="shared" si="1258"/>
        <v>181</v>
      </c>
      <c r="DA751" s="112">
        <f t="shared" ca="1" si="1259"/>
        <v>100000</v>
      </c>
      <c r="DC751">
        <f t="shared" si="1260"/>
        <v>751</v>
      </c>
      <c r="DE751" t="str">
        <f t="shared" si="1281"/>
        <v>cs751:dc790</v>
      </c>
      <c r="DF751">
        <f t="shared" ca="1" si="1249"/>
        <v>752</v>
      </c>
      <c r="DG751" s="412">
        <f t="shared" ca="1" si="1365"/>
        <v>44804</v>
      </c>
      <c r="DH751" s="411" t="str">
        <f t="shared" ca="1" si="1356"/>
        <v/>
      </c>
      <c r="DI751" s="411" t="str">
        <f t="shared" ca="1" si="1357"/>
        <v/>
      </c>
      <c r="DJ751" s="410" t="str">
        <f t="shared" ca="1" si="1358"/>
        <v/>
      </c>
      <c r="DK751" s="410" t="str">
        <f t="shared" ca="1" si="1359"/>
        <v/>
      </c>
      <c r="DM751" s="411" t="str">
        <f t="shared" ca="1" si="1366"/>
        <v/>
      </c>
      <c r="DN751" s="411" t="str">
        <f t="shared" ca="1" si="1367"/>
        <v/>
      </c>
      <c r="DO751" s="410" t="str">
        <f t="shared" ca="1" si="1368"/>
        <v/>
      </c>
      <c r="DP751" s="410" t="str">
        <f t="shared" ca="1" si="1369"/>
        <v/>
      </c>
    </row>
    <row r="752" spans="47:120" x14ac:dyDescent="0.25">
      <c r="AU752" s="112"/>
      <c r="AV752" s="112"/>
      <c r="BQ752" s="238">
        <f t="shared" ref="BQ752:BQ755" si="1436">BQ751</f>
        <v>607</v>
      </c>
      <c r="BR752" t="s">
        <v>445</v>
      </c>
      <c r="BS752" t="s">
        <v>446</v>
      </c>
      <c r="BT752" s="114">
        <f t="shared" ca="1" si="1428"/>
        <v>1</v>
      </c>
      <c r="BU752" s="112"/>
      <c r="BV752">
        <f t="shared" ca="1" si="1300"/>
        <v>0</v>
      </c>
      <c r="BW752" s="112">
        <f t="shared" ca="1" si="1232"/>
        <v>42185</v>
      </c>
      <c r="BX752" s="112">
        <f t="shared" ca="1" si="1432"/>
        <v>42184</v>
      </c>
      <c r="BY752">
        <f t="shared" ca="1" si="1277"/>
        <v>18</v>
      </c>
      <c r="BZ752">
        <f t="shared" ca="1" si="1278"/>
        <v>24</v>
      </c>
      <c r="CB752">
        <f t="shared" ca="1" si="1240"/>
        <v>0</v>
      </c>
      <c r="CC752" s="112">
        <f t="shared" ca="1" si="1241"/>
        <v>100000</v>
      </c>
      <c r="CD752" s="112">
        <f t="shared" ca="1" si="1242"/>
        <v>42184</v>
      </c>
      <c r="CE752">
        <f t="shared" ca="1" si="1243"/>
        <v>18</v>
      </c>
      <c r="CF752">
        <f t="shared" ca="1" si="1244"/>
        <v>24</v>
      </c>
      <c r="CH752" s="112">
        <f t="shared" ca="1" si="1331"/>
        <v>42185</v>
      </c>
      <c r="CI752">
        <f t="shared" ref="CI752:CI755" ca="1" si="1437">CI751</f>
        <v>0</v>
      </c>
      <c r="CJ752">
        <f t="shared" ref="CJ752" ca="1" si="1438">IF(AND(CI752=0,CJ753=0,CJ754=0,CJ755=0,CC752&lt;100000),1,0)</f>
        <v>0</v>
      </c>
      <c r="CK752" s="112">
        <f t="shared" ca="1" si="1337"/>
        <v>42185</v>
      </c>
      <c r="CM752" s="112"/>
      <c r="CN752" s="260">
        <f t="shared" ca="1" si="1255"/>
        <v>100000</v>
      </c>
      <c r="CO752" s="112">
        <f t="shared" ref="CO752:CO755" ca="1" si="1439">IF(CJ752=1,CH752,CD752)</f>
        <v>42184</v>
      </c>
      <c r="CP752" s="238">
        <f t="shared" ca="1" si="1339"/>
        <v>18</v>
      </c>
      <c r="CQ752" s="328">
        <f t="shared" ca="1" si="1340"/>
        <v>24</v>
      </c>
      <c r="CS752" s="112">
        <f t="shared" ca="1" si="1235"/>
        <v>100000</v>
      </c>
      <c r="CT752" s="112">
        <f t="shared" ca="1" si="1267"/>
        <v>42184</v>
      </c>
      <c r="CU752" s="238">
        <f t="shared" ca="1" si="1247"/>
        <v>18</v>
      </c>
      <c r="CV752" s="238">
        <f t="shared" ca="1" si="1248"/>
        <v>24</v>
      </c>
      <c r="CY752">
        <f t="shared" si="1258"/>
        <v>182</v>
      </c>
      <c r="DA752" s="112">
        <f t="shared" ca="1" si="1259"/>
        <v>100000</v>
      </c>
      <c r="DC752">
        <f t="shared" si="1260"/>
        <v>752</v>
      </c>
      <c r="DE752" t="str">
        <f t="shared" si="1281"/>
        <v>cs752:dc790</v>
      </c>
      <c r="DF752">
        <f t="shared" ca="1" si="1249"/>
        <v>752</v>
      </c>
      <c r="DG752" s="412">
        <f t="shared" ca="1" si="1365"/>
        <v>44804</v>
      </c>
      <c r="DH752" s="411" t="str">
        <f t="shared" ca="1" si="1356"/>
        <v/>
      </c>
      <c r="DI752" s="411" t="str">
        <f t="shared" ca="1" si="1357"/>
        <v/>
      </c>
      <c r="DJ752" s="410" t="str">
        <f t="shared" ca="1" si="1358"/>
        <v/>
      </c>
      <c r="DK752" s="410" t="str">
        <f t="shared" ca="1" si="1359"/>
        <v/>
      </c>
      <c r="DM752" s="411" t="str">
        <f t="shared" ca="1" si="1366"/>
        <v/>
      </c>
      <c r="DN752" s="411" t="str">
        <f t="shared" ca="1" si="1367"/>
        <v/>
      </c>
      <c r="DO752" s="410" t="str">
        <f t="shared" ca="1" si="1368"/>
        <v/>
      </c>
      <c r="DP752" s="410" t="str">
        <f t="shared" ca="1" si="1369"/>
        <v/>
      </c>
    </row>
    <row r="753" spans="47:120" x14ac:dyDescent="0.25">
      <c r="AU753" s="112"/>
      <c r="AV753" s="112"/>
      <c r="BQ753" s="238">
        <f t="shared" si="1436"/>
        <v>607</v>
      </c>
      <c r="BR753" t="s">
        <v>446</v>
      </c>
      <c r="BS753" t="s">
        <v>447</v>
      </c>
      <c r="BT753" s="114">
        <f t="shared" ca="1" si="1428"/>
        <v>1</v>
      </c>
      <c r="BU753" s="112"/>
      <c r="BV753">
        <f t="shared" ca="1" si="1300"/>
        <v>0</v>
      </c>
      <c r="BW753" s="112">
        <f t="shared" ca="1" si="1232"/>
        <v>42185</v>
      </c>
      <c r="BX753" s="112">
        <f t="shared" ca="1" si="1432"/>
        <v>42184</v>
      </c>
      <c r="BY753">
        <f t="shared" ca="1" si="1277"/>
        <v>18</v>
      </c>
      <c r="BZ753">
        <f t="shared" ca="1" si="1278"/>
        <v>24</v>
      </c>
      <c r="CB753">
        <f t="shared" ca="1" si="1240"/>
        <v>0</v>
      </c>
      <c r="CC753" s="112">
        <f t="shared" ca="1" si="1241"/>
        <v>100000</v>
      </c>
      <c r="CD753" s="112">
        <f t="shared" ca="1" si="1242"/>
        <v>42184</v>
      </c>
      <c r="CE753">
        <f t="shared" ca="1" si="1243"/>
        <v>18</v>
      </c>
      <c r="CF753">
        <f t="shared" ca="1" si="1244"/>
        <v>24</v>
      </c>
      <c r="CH753" s="112">
        <f t="shared" ca="1" si="1331"/>
        <v>42185</v>
      </c>
      <c r="CI753">
        <f t="shared" ca="1" si="1437"/>
        <v>0</v>
      </c>
      <c r="CJ753">
        <f t="shared" ref="CJ753" ca="1" si="1440">IF(AND(CI753=0,CJ754=0,CJ755=0,CC753&lt;100000),1,0)</f>
        <v>0</v>
      </c>
      <c r="CK753" s="112">
        <f t="shared" ca="1" si="1337"/>
        <v>42185</v>
      </c>
      <c r="CM753" s="112"/>
      <c r="CN753" s="260">
        <f t="shared" ca="1" si="1255"/>
        <v>100000</v>
      </c>
      <c r="CO753" s="112">
        <f t="shared" ca="1" si="1439"/>
        <v>42184</v>
      </c>
      <c r="CP753" s="238">
        <f t="shared" ca="1" si="1339"/>
        <v>18</v>
      </c>
      <c r="CQ753" s="328">
        <f t="shared" ca="1" si="1340"/>
        <v>24</v>
      </c>
      <c r="CS753" s="112">
        <f t="shared" ca="1" si="1235"/>
        <v>100000</v>
      </c>
      <c r="CT753" s="112">
        <f t="shared" ca="1" si="1267"/>
        <v>42184</v>
      </c>
      <c r="CU753" s="238">
        <f t="shared" ca="1" si="1247"/>
        <v>18</v>
      </c>
      <c r="CV753" s="238">
        <f t="shared" ca="1" si="1248"/>
        <v>24</v>
      </c>
      <c r="CY753">
        <f t="shared" si="1258"/>
        <v>183</v>
      </c>
      <c r="DA753" s="112">
        <f t="shared" ca="1" si="1259"/>
        <v>100000</v>
      </c>
      <c r="DC753">
        <f t="shared" si="1260"/>
        <v>753</v>
      </c>
      <c r="DE753" t="str">
        <f t="shared" si="1281"/>
        <v>cs753:dc790</v>
      </c>
      <c r="DF753">
        <f t="shared" ca="1" si="1249"/>
        <v>753</v>
      </c>
      <c r="DG753" s="412">
        <f t="shared" ca="1" si="1365"/>
        <v>44804</v>
      </c>
      <c r="DH753" s="411" t="str">
        <f t="shared" ca="1" si="1356"/>
        <v/>
      </c>
      <c r="DI753" s="411" t="str">
        <f t="shared" ca="1" si="1357"/>
        <v/>
      </c>
      <c r="DJ753" s="410" t="str">
        <f t="shared" ca="1" si="1358"/>
        <v/>
      </c>
      <c r="DK753" s="410" t="str">
        <f t="shared" ca="1" si="1359"/>
        <v/>
      </c>
      <c r="DM753" s="411" t="str">
        <f t="shared" ca="1" si="1366"/>
        <v/>
      </c>
      <c r="DN753" s="411" t="str">
        <f t="shared" ca="1" si="1367"/>
        <v/>
      </c>
      <c r="DO753" s="410" t="str">
        <f t="shared" ca="1" si="1368"/>
        <v/>
      </c>
      <c r="DP753" s="410" t="str">
        <f t="shared" ca="1" si="1369"/>
        <v/>
      </c>
    </row>
    <row r="754" spans="47:120" x14ac:dyDescent="0.25">
      <c r="AU754" s="112"/>
      <c r="AV754" s="112"/>
      <c r="BQ754" s="238">
        <f t="shared" si="1436"/>
        <v>607</v>
      </c>
      <c r="BR754" t="s">
        <v>447</v>
      </c>
      <c r="BS754" t="s">
        <v>448</v>
      </c>
      <c r="BT754" s="114">
        <f t="shared" ca="1" si="1428"/>
        <v>1</v>
      </c>
      <c r="BU754" s="112"/>
      <c r="BV754">
        <f t="shared" ca="1" si="1300"/>
        <v>0</v>
      </c>
      <c r="BW754" s="112">
        <f t="shared" ca="1" si="1232"/>
        <v>42185</v>
      </c>
      <c r="BX754" s="112">
        <f t="shared" ref="BX754:BX755" ca="1" si="1441">INDIRECT(CONCATENATE(BS754,BQ754))</f>
        <v>42185</v>
      </c>
      <c r="BY754">
        <f t="shared" ca="1" si="1277"/>
        <v>18</v>
      </c>
      <c r="BZ754">
        <f t="shared" ca="1" si="1278"/>
        <v>24</v>
      </c>
      <c r="CB754">
        <f t="shared" ca="1" si="1240"/>
        <v>0</v>
      </c>
      <c r="CC754" s="112">
        <f t="shared" ca="1" si="1241"/>
        <v>100000</v>
      </c>
      <c r="CD754" s="112">
        <f t="shared" ca="1" si="1242"/>
        <v>42185</v>
      </c>
      <c r="CE754">
        <f t="shared" ca="1" si="1243"/>
        <v>18</v>
      </c>
      <c r="CF754">
        <f t="shared" ca="1" si="1244"/>
        <v>24</v>
      </c>
      <c r="CH754" s="112">
        <f t="shared" ca="1" si="1331"/>
        <v>42185</v>
      </c>
      <c r="CI754">
        <f t="shared" ca="1" si="1437"/>
        <v>0</v>
      </c>
      <c r="CJ754">
        <f t="shared" ref="CJ754" ca="1" si="1442">IF(AND(CI754=0,CJ755=0,CC754&lt;100000),1,0)</f>
        <v>0</v>
      </c>
      <c r="CK754" s="112">
        <f t="shared" ca="1" si="1337"/>
        <v>42185</v>
      </c>
      <c r="CM754" s="112"/>
      <c r="CN754" s="260">
        <f t="shared" ca="1" si="1255"/>
        <v>100000</v>
      </c>
      <c r="CO754" s="112">
        <f t="shared" ca="1" si="1439"/>
        <v>42185</v>
      </c>
      <c r="CP754" s="238">
        <f t="shared" ca="1" si="1339"/>
        <v>18</v>
      </c>
      <c r="CQ754" s="328">
        <f t="shared" ca="1" si="1340"/>
        <v>24</v>
      </c>
      <c r="CS754" s="112">
        <f t="shared" ca="1" si="1235"/>
        <v>100000</v>
      </c>
      <c r="CT754" s="112">
        <f t="shared" ca="1" si="1267"/>
        <v>42185</v>
      </c>
      <c r="CU754" s="238">
        <f t="shared" ca="1" si="1247"/>
        <v>18</v>
      </c>
      <c r="CV754" s="238">
        <f t="shared" ca="1" si="1248"/>
        <v>24</v>
      </c>
      <c r="CY754">
        <f t="shared" si="1258"/>
        <v>184</v>
      </c>
      <c r="DA754" s="112">
        <f t="shared" ca="1" si="1259"/>
        <v>100000</v>
      </c>
      <c r="DC754">
        <f t="shared" si="1260"/>
        <v>754</v>
      </c>
      <c r="DE754" t="str">
        <f t="shared" si="1281"/>
        <v>cs754:dc790</v>
      </c>
      <c r="DF754">
        <f t="shared" ca="1" si="1249"/>
        <v>754</v>
      </c>
      <c r="DG754" s="412">
        <f t="shared" ca="1" si="1365"/>
        <v>44804</v>
      </c>
      <c r="DH754" s="411" t="str">
        <f t="shared" ca="1" si="1356"/>
        <v/>
      </c>
      <c r="DI754" s="411" t="str">
        <f t="shared" ca="1" si="1357"/>
        <v/>
      </c>
      <c r="DJ754" s="410" t="str">
        <f t="shared" ca="1" si="1358"/>
        <v/>
      </c>
      <c r="DK754" s="410" t="str">
        <f t="shared" ca="1" si="1359"/>
        <v/>
      </c>
      <c r="DM754" s="411" t="str">
        <f t="shared" ca="1" si="1366"/>
        <v/>
      </c>
      <c r="DN754" s="411" t="str">
        <f t="shared" ca="1" si="1367"/>
        <v/>
      </c>
      <c r="DO754" s="410" t="str">
        <f t="shared" ca="1" si="1368"/>
        <v/>
      </c>
      <c r="DP754" s="410" t="str">
        <f t="shared" ca="1" si="1369"/>
        <v/>
      </c>
    </row>
    <row r="755" spans="47:120" ht="15.75" thickBot="1" x14ac:dyDescent="0.3">
      <c r="AU755" s="112"/>
      <c r="AV755" s="112"/>
      <c r="BQ755" s="238">
        <f t="shared" si="1436"/>
        <v>607</v>
      </c>
      <c r="BR755" t="s">
        <v>448</v>
      </c>
      <c r="BS755" t="s">
        <v>449</v>
      </c>
      <c r="BT755" s="114">
        <f t="shared" ca="1" si="1428"/>
        <v>1</v>
      </c>
      <c r="BU755" s="112"/>
      <c r="BV755">
        <f t="shared" ca="1" si="1300"/>
        <v>0</v>
      </c>
      <c r="BW755" s="112">
        <f t="shared" ca="1" si="1232"/>
        <v>42185</v>
      </c>
      <c r="BX755" s="112">
        <f t="shared" ca="1" si="1441"/>
        <v>42185</v>
      </c>
      <c r="BY755">
        <f t="shared" ca="1" si="1277"/>
        <v>18</v>
      </c>
      <c r="BZ755">
        <f t="shared" ca="1" si="1278"/>
        <v>24</v>
      </c>
      <c r="CB755">
        <f t="shared" ca="1" si="1240"/>
        <v>0</v>
      </c>
      <c r="CC755" s="112">
        <f t="shared" ca="1" si="1241"/>
        <v>100000</v>
      </c>
      <c r="CD755" s="112">
        <f t="shared" ca="1" si="1242"/>
        <v>42185</v>
      </c>
      <c r="CE755">
        <f t="shared" ca="1" si="1243"/>
        <v>18</v>
      </c>
      <c r="CF755">
        <f t="shared" ca="1" si="1244"/>
        <v>24</v>
      </c>
      <c r="CH755" s="112">
        <f t="shared" ca="1" si="1331"/>
        <v>42185</v>
      </c>
      <c r="CI755">
        <f t="shared" ca="1" si="1437"/>
        <v>0</v>
      </c>
      <c r="CJ755">
        <f t="shared" ref="CJ755" ca="1" si="1443">IF(AND(CI755=0,CC755&lt;100000),1,0)</f>
        <v>0</v>
      </c>
      <c r="CK755" s="112">
        <f t="shared" ca="1" si="1337"/>
        <v>42185</v>
      </c>
      <c r="CM755" s="112"/>
      <c r="CN755" s="261">
        <f t="shared" ref="CN755" ca="1" si="1444">IF(AND(CN751=100000,CN752=100000,CN753=100000,CN754=100000),INDIRECT(CONCATENATE("aa",BQ755)),CC755)</f>
        <v>100000</v>
      </c>
      <c r="CO755" s="324">
        <f t="shared" ca="1" si="1439"/>
        <v>42185</v>
      </c>
      <c r="CP755" s="256">
        <f t="shared" ca="1" si="1339"/>
        <v>18</v>
      </c>
      <c r="CQ755" s="329">
        <f t="shared" ca="1" si="1340"/>
        <v>24</v>
      </c>
      <c r="CS755" s="112">
        <f t="shared" ca="1" si="1235"/>
        <v>100000</v>
      </c>
      <c r="CT755" s="112">
        <f t="shared" ca="1" si="1267"/>
        <v>42185</v>
      </c>
      <c r="CU755" s="238">
        <f t="shared" ca="1" si="1247"/>
        <v>18</v>
      </c>
      <c r="CV755" s="238">
        <f t="shared" ca="1" si="1248"/>
        <v>24</v>
      </c>
      <c r="CY755">
        <f t="shared" si="1258"/>
        <v>185</v>
      </c>
      <c r="DA755" s="112">
        <f t="shared" ca="1" si="1259"/>
        <v>100000</v>
      </c>
      <c r="DC755">
        <f t="shared" si="1260"/>
        <v>755</v>
      </c>
      <c r="DE755" t="str">
        <f t="shared" si="1281"/>
        <v>cs755:dc790</v>
      </c>
      <c r="DF755">
        <f t="shared" ca="1" si="1249"/>
        <v>755</v>
      </c>
      <c r="DG755" s="412">
        <f t="shared" ca="1" si="1365"/>
        <v>44804</v>
      </c>
      <c r="DH755" s="411" t="str">
        <f t="shared" ca="1" si="1356"/>
        <v/>
      </c>
      <c r="DI755" s="411" t="str">
        <f t="shared" ca="1" si="1357"/>
        <v/>
      </c>
      <c r="DJ755" s="410" t="str">
        <f t="shared" ca="1" si="1358"/>
        <v/>
      </c>
      <c r="DK755" s="410" t="str">
        <f t="shared" ca="1" si="1359"/>
        <v/>
      </c>
      <c r="DM755" s="411" t="str">
        <f t="shared" ca="1" si="1366"/>
        <v/>
      </c>
      <c r="DN755" s="411" t="str">
        <f t="shared" ca="1" si="1367"/>
        <v/>
      </c>
      <c r="DO755" s="410" t="str">
        <f t="shared" ca="1" si="1368"/>
        <v/>
      </c>
      <c r="DP755" s="410" t="str">
        <f t="shared" ca="1" si="1369"/>
        <v/>
      </c>
    </row>
    <row r="756" spans="47:120" x14ac:dyDescent="0.25">
      <c r="AU756" s="112"/>
      <c r="AV756" s="112"/>
      <c r="BQ756" s="238">
        <f t="shared" ref="BQ756" si="1445">BQ755+1</f>
        <v>608</v>
      </c>
      <c r="BR756" s="112" t="s">
        <v>444</v>
      </c>
      <c r="BS756" s="112" t="s">
        <v>445</v>
      </c>
      <c r="BT756" s="114">
        <f t="shared" ca="1" si="1428"/>
        <v>1</v>
      </c>
      <c r="BU756" s="112"/>
      <c r="BV756">
        <f t="shared" ca="1" si="1300"/>
        <v>1</v>
      </c>
      <c r="BW756" s="112">
        <f t="shared" ca="1" si="1232"/>
        <v>42248</v>
      </c>
      <c r="BX756" s="112">
        <f t="shared" ref="BX756:BX758" ca="1" si="1446">INDIRECT(CONCATENATE(BS756,BQ756))-1</f>
        <v>42612</v>
      </c>
      <c r="BY756">
        <f t="shared" ca="1" si="1277"/>
        <v>18</v>
      </c>
      <c r="BZ756">
        <f t="shared" ca="1" si="1278"/>
        <v>24</v>
      </c>
      <c r="CB756">
        <f t="shared" ca="1" si="1240"/>
        <v>0</v>
      </c>
      <c r="CC756" s="112">
        <f t="shared" ca="1" si="1241"/>
        <v>42248</v>
      </c>
      <c r="CD756" s="112">
        <f t="shared" ca="1" si="1242"/>
        <v>42612</v>
      </c>
      <c r="CE756">
        <f t="shared" ca="1" si="1243"/>
        <v>18</v>
      </c>
      <c r="CF756">
        <f t="shared" ca="1" si="1244"/>
        <v>24</v>
      </c>
      <c r="CH756" s="112">
        <f t="shared" ca="1" si="1331"/>
        <v>42613</v>
      </c>
      <c r="CI756">
        <f t="shared" ref="CI756" ca="1" si="1447">CB756+CB757+CB758+CB759+CB760</f>
        <v>0</v>
      </c>
      <c r="CJ756">
        <v>0</v>
      </c>
      <c r="CK756" s="112">
        <f t="shared" ca="1" si="1337"/>
        <v>42613</v>
      </c>
      <c r="CM756" s="112"/>
      <c r="CN756" s="408">
        <f t="shared" ca="1" si="1255"/>
        <v>42248</v>
      </c>
      <c r="CO756" s="326">
        <f t="shared" ref="CO756" ca="1" si="1448">CD756</f>
        <v>42612</v>
      </c>
      <c r="CP756" s="333">
        <f t="shared" ca="1" si="1339"/>
        <v>18</v>
      </c>
      <c r="CQ756" s="327">
        <f t="shared" ca="1" si="1340"/>
        <v>24</v>
      </c>
      <c r="CS756" s="112">
        <f t="shared" ca="1" si="1235"/>
        <v>42248</v>
      </c>
      <c r="CT756" s="112">
        <f t="shared" ref="CT756" ca="1" si="1449">IF(AND( CN757=100000,CN758=100000,CN759=100000,CN760=100000),CO760,                             CO756)</f>
        <v>42613</v>
      </c>
      <c r="CU756" s="238">
        <f t="shared" ca="1" si="1247"/>
        <v>18</v>
      </c>
      <c r="CV756" s="238">
        <f t="shared" ca="1" si="1248"/>
        <v>24</v>
      </c>
      <c r="CY756">
        <f t="shared" si="1258"/>
        <v>186</v>
      </c>
      <c r="DA756" s="112">
        <f t="shared" ca="1" si="1259"/>
        <v>100000</v>
      </c>
      <c r="DC756">
        <f t="shared" si="1260"/>
        <v>756</v>
      </c>
      <c r="DE756" t="str">
        <f t="shared" si="1281"/>
        <v>cs756:dc790</v>
      </c>
      <c r="DF756">
        <f t="shared" ca="1" si="1249"/>
        <v>757</v>
      </c>
      <c r="DG756" s="412">
        <f t="shared" ca="1" si="1365"/>
        <v>44804</v>
      </c>
      <c r="DH756" s="411" t="str">
        <f t="shared" ca="1" si="1356"/>
        <v/>
      </c>
      <c r="DI756" s="411" t="str">
        <f t="shared" ca="1" si="1357"/>
        <v/>
      </c>
      <c r="DJ756" s="410" t="str">
        <f t="shared" ca="1" si="1358"/>
        <v/>
      </c>
      <c r="DK756" s="410" t="str">
        <f t="shared" ca="1" si="1359"/>
        <v/>
      </c>
      <c r="DM756" s="411" t="str">
        <f t="shared" ca="1" si="1366"/>
        <v/>
      </c>
      <c r="DN756" s="411" t="str">
        <f t="shared" ca="1" si="1367"/>
        <v/>
      </c>
      <c r="DO756" s="410" t="str">
        <f t="shared" ca="1" si="1368"/>
        <v/>
      </c>
      <c r="DP756" s="410" t="str">
        <f t="shared" ca="1" si="1369"/>
        <v/>
      </c>
    </row>
    <row r="757" spans="47:120" x14ac:dyDescent="0.25">
      <c r="AU757" s="112"/>
      <c r="AV757" s="112"/>
      <c r="BQ757" s="238">
        <f t="shared" ref="BQ757:BQ760" si="1450">BQ756</f>
        <v>608</v>
      </c>
      <c r="BR757" t="s">
        <v>445</v>
      </c>
      <c r="BS757" t="s">
        <v>446</v>
      </c>
      <c r="BT757" s="114">
        <f t="shared" ca="1" si="1428"/>
        <v>1</v>
      </c>
      <c r="BU757" s="112"/>
      <c r="BV757">
        <f t="shared" ca="1" si="1300"/>
        <v>0</v>
      </c>
      <c r="BW757" s="112">
        <f t="shared" ca="1" si="1232"/>
        <v>42613</v>
      </c>
      <c r="BX757" s="112">
        <f t="shared" ca="1" si="1446"/>
        <v>42612</v>
      </c>
      <c r="BY757">
        <f t="shared" ca="1" si="1277"/>
        <v>18</v>
      </c>
      <c r="BZ757">
        <f t="shared" ca="1" si="1278"/>
        <v>24</v>
      </c>
      <c r="CB757">
        <f t="shared" ca="1" si="1240"/>
        <v>0</v>
      </c>
      <c r="CC757" s="112">
        <f t="shared" ca="1" si="1241"/>
        <v>100000</v>
      </c>
      <c r="CD757" s="112">
        <f t="shared" ca="1" si="1242"/>
        <v>42612</v>
      </c>
      <c r="CE757">
        <f t="shared" ca="1" si="1243"/>
        <v>18</v>
      </c>
      <c r="CF757">
        <f t="shared" ca="1" si="1244"/>
        <v>24</v>
      </c>
      <c r="CH757" s="112">
        <f t="shared" ca="1" si="1331"/>
        <v>42613</v>
      </c>
      <c r="CI757">
        <f t="shared" ref="CI757:CI760" ca="1" si="1451">CI756</f>
        <v>0</v>
      </c>
      <c r="CJ757">
        <f t="shared" ref="CJ757" ca="1" si="1452">IF(AND(CI757=0,CJ758=0,CJ759=0,CJ760=0,CC757&lt;100000),1,0)</f>
        <v>0</v>
      </c>
      <c r="CK757" s="112">
        <f t="shared" ca="1" si="1337"/>
        <v>42613</v>
      </c>
      <c r="CM757" s="112"/>
      <c r="CN757" s="260">
        <f t="shared" ca="1" si="1255"/>
        <v>100000</v>
      </c>
      <c r="CO757" s="112">
        <f t="shared" ref="CO757:CO760" ca="1" si="1453">IF(CJ757=1,CH757,CD757)</f>
        <v>42612</v>
      </c>
      <c r="CP757" s="238">
        <f t="shared" ca="1" si="1339"/>
        <v>18</v>
      </c>
      <c r="CQ757" s="328">
        <f t="shared" ca="1" si="1340"/>
        <v>24</v>
      </c>
      <c r="CS757" s="112">
        <f t="shared" ca="1" si="1235"/>
        <v>100000</v>
      </c>
      <c r="CT757" s="112">
        <f t="shared" ca="1" si="1267"/>
        <v>42612</v>
      </c>
      <c r="CU757" s="238">
        <f t="shared" ca="1" si="1247"/>
        <v>18</v>
      </c>
      <c r="CV757" s="238">
        <f t="shared" ca="1" si="1248"/>
        <v>24</v>
      </c>
      <c r="CY757">
        <f t="shared" si="1258"/>
        <v>187</v>
      </c>
      <c r="DA757" s="112">
        <f t="shared" ca="1" si="1259"/>
        <v>100000</v>
      </c>
      <c r="DC757">
        <f t="shared" si="1260"/>
        <v>757</v>
      </c>
      <c r="DE757" t="str">
        <f t="shared" si="1281"/>
        <v>cs757:dc790</v>
      </c>
      <c r="DF757">
        <f t="shared" ca="1" si="1249"/>
        <v>757</v>
      </c>
      <c r="DG757" s="412">
        <f t="shared" ca="1" si="1365"/>
        <v>44804</v>
      </c>
      <c r="DH757" s="411" t="str">
        <f t="shared" ca="1" si="1356"/>
        <v/>
      </c>
      <c r="DI757" s="411" t="str">
        <f t="shared" ca="1" si="1357"/>
        <v/>
      </c>
      <c r="DJ757" s="410" t="str">
        <f t="shared" ca="1" si="1358"/>
        <v/>
      </c>
      <c r="DK757" s="410" t="str">
        <f t="shared" ca="1" si="1359"/>
        <v/>
      </c>
      <c r="DM757" s="411" t="str">
        <f t="shared" ca="1" si="1366"/>
        <v/>
      </c>
      <c r="DN757" s="411" t="str">
        <f t="shared" ca="1" si="1367"/>
        <v/>
      </c>
      <c r="DO757" s="410" t="str">
        <f t="shared" ca="1" si="1368"/>
        <v/>
      </c>
      <c r="DP757" s="410" t="str">
        <f t="shared" ca="1" si="1369"/>
        <v/>
      </c>
    </row>
    <row r="758" spans="47:120" x14ac:dyDescent="0.25">
      <c r="AU758" s="112"/>
      <c r="AV758" s="112"/>
      <c r="BQ758" s="238">
        <f t="shared" si="1450"/>
        <v>608</v>
      </c>
      <c r="BR758" t="s">
        <v>446</v>
      </c>
      <c r="BS758" t="s">
        <v>447</v>
      </c>
      <c r="BT758" s="114">
        <f t="shared" ca="1" si="1428"/>
        <v>1</v>
      </c>
      <c r="BU758" s="112"/>
      <c r="BV758">
        <f t="shared" ca="1" si="1300"/>
        <v>0</v>
      </c>
      <c r="BW758" s="112">
        <f t="shared" ca="1" si="1232"/>
        <v>42613</v>
      </c>
      <c r="BX758" s="112">
        <f t="shared" ca="1" si="1446"/>
        <v>42612</v>
      </c>
      <c r="BY758">
        <f t="shared" ca="1" si="1277"/>
        <v>18</v>
      </c>
      <c r="BZ758">
        <f t="shared" ca="1" si="1278"/>
        <v>24</v>
      </c>
      <c r="CB758">
        <f t="shared" ca="1" si="1240"/>
        <v>0</v>
      </c>
      <c r="CC758" s="112">
        <f t="shared" ca="1" si="1241"/>
        <v>100000</v>
      </c>
      <c r="CD758" s="112">
        <f t="shared" ca="1" si="1242"/>
        <v>42612</v>
      </c>
      <c r="CE758">
        <f t="shared" ca="1" si="1243"/>
        <v>18</v>
      </c>
      <c r="CF758">
        <f t="shared" ca="1" si="1244"/>
        <v>24</v>
      </c>
      <c r="CH758" s="112">
        <f t="shared" ca="1" si="1331"/>
        <v>42613</v>
      </c>
      <c r="CI758">
        <f t="shared" ca="1" si="1451"/>
        <v>0</v>
      </c>
      <c r="CJ758">
        <f t="shared" ref="CJ758" ca="1" si="1454">IF(AND(CI758=0,CJ759=0,CJ760=0,CC758&lt;100000),1,0)</f>
        <v>0</v>
      </c>
      <c r="CK758" s="112">
        <f t="shared" ca="1" si="1337"/>
        <v>42613</v>
      </c>
      <c r="CM758" s="112"/>
      <c r="CN758" s="260">
        <f t="shared" ca="1" si="1255"/>
        <v>100000</v>
      </c>
      <c r="CO758" s="112">
        <f t="shared" ca="1" si="1453"/>
        <v>42612</v>
      </c>
      <c r="CP758" s="238">
        <f t="shared" ca="1" si="1339"/>
        <v>18</v>
      </c>
      <c r="CQ758" s="328">
        <f t="shared" ca="1" si="1340"/>
        <v>24</v>
      </c>
      <c r="CS758" s="112">
        <f t="shared" ca="1" si="1235"/>
        <v>100000</v>
      </c>
      <c r="CT758" s="112">
        <f t="shared" ca="1" si="1267"/>
        <v>42612</v>
      </c>
      <c r="CU758" s="238">
        <f t="shared" ca="1" si="1247"/>
        <v>18</v>
      </c>
      <c r="CV758" s="238">
        <f t="shared" ca="1" si="1248"/>
        <v>24</v>
      </c>
      <c r="CY758">
        <f t="shared" si="1258"/>
        <v>188</v>
      </c>
      <c r="DA758" s="112">
        <f t="shared" ca="1" si="1259"/>
        <v>100000</v>
      </c>
      <c r="DC758">
        <f t="shared" si="1260"/>
        <v>758</v>
      </c>
      <c r="DE758" t="str">
        <f t="shared" si="1281"/>
        <v>cs758:dc790</v>
      </c>
      <c r="DF758">
        <f t="shared" ca="1" si="1249"/>
        <v>758</v>
      </c>
      <c r="DG758" s="412">
        <f t="shared" ca="1" si="1365"/>
        <v>44804</v>
      </c>
      <c r="DH758" s="411" t="str">
        <f t="shared" ca="1" si="1356"/>
        <v/>
      </c>
      <c r="DI758" s="411" t="str">
        <f t="shared" ca="1" si="1357"/>
        <v/>
      </c>
      <c r="DJ758" s="410" t="str">
        <f t="shared" ca="1" si="1358"/>
        <v/>
      </c>
      <c r="DK758" s="410" t="str">
        <f t="shared" ca="1" si="1359"/>
        <v/>
      </c>
      <c r="DM758" s="411" t="str">
        <f t="shared" ca="1" si="1366"/>
        <v/>
      </c>
      <c r="DN758" s="411" t="str">
        <f t="shared" ca="1" si="1367"/>
        <v/>
      </c>
      <c r="DO758" s="410" t="str">
        <f t="shared" ca="1" si="1368"/>
        <v/>
      </c>
      <c r="DP758" s="410" t="str">
        <f t="shared" ca="1" si="1369"/>
        <v/>
      </c>
    </row>
    <row r="759" spans="47:120" x14ac:dyDescent="0.25">
      <c r="AU759" s="112"/>
      <c r="AV759" s="112"/>
      <c r="BQ759" s="238">
        <f t="shared" si="1450"/>
        <v>608</v>
      </c>
      <c r="BR759" t="s">
        <v>447</v>
      </c>
      <c r="BS759" t="s">
        <v>448</v>
      </c>
      <c r="BT759" s="114">
        <f t="shared" ca="1" si="1428"/>
        <v>1</v>
      </c>
      <c r="BU759" s="112"/>
      <c r="BV759">
        <f t="shared" ca="1" si="1300"/>
        <v>0</v>
      </c>
      <c r="BW759" s="112">
        <f t="shared" ca="1" si="1232"/>
        <v>42613</v>
      </c>
      <c r="BX759" s="112">
        <f t="shared" ref="BX759:BX760" ca="1" si="1455">INDIRECT(CONCATENATE(BS759,BQ759))</f>
        <v>42613</v>
      </c>
      <c r="BY759">
        <f t="shared" ca="1" si="1277"/>
        <v>18</v>
      </c>
      <c r="BZ759">
        <f t="shared" ca="1" si="1278"/>
        <v>24</v>
      </c>
      <c r="CB759">
        <f t="shared" ca="1" si="1240"/>
        <v>0</v>
      </c>
      <c r="CC759" s="112">
        <f t="shared" ca="1" si="1241"/>
        <v>100000</v>
      </c>
      <c r="CD759" s="112">
        <f t="shared" ca="1" si="1242"/>
        <v>42613</v>
      </c>
      <c r="CE759">
        <f t="shared" ca="1" si="1243"/>
        <v>18</v>
      </c>
      <c r="CF759">
        <f t="shared" ca="1" si="1244"/>
        <v>24</v>
      </c>
      <c r="CH759" s="112">
        <f t="shared" ca="1" si="1331"/>
        <v>42613</v>
      </c>
      <c r="CI759">
        <f t="shared" ca="1" si="1451"/>
        <v>0</v>
      </c>
      <c r="CJ759">
        <f t="shared" ref="CJ759" ca="1" si="1456">IF(AND(CI759=0,CJ760=0,CC759&lt;100000),1,0)</f>
        <v>0</v>
      </c>
      <c r="CK759" s="112">
        <f t="shared" ca="1" si="1337"/>
        <v>42613</v>
      </c>
      <c r="CM759" s="112"/>
      <c r="CN759" s="260">
        <f t="shared" ca="1" si="1255"/>
        <v>100000</v>
      </c>
      <c r="CO759" s="112">
        <f t="shared" ca="1" si="1453"/>
        <v>42613</v>
      </c>
      <c r="CP759" s="238">
        <f t="shared" ca="1" si="1339"/>
        <v>18</v>
      </c>
      <c r="CQ759" s="328">
        <f t="shared" ca="1" si="1340"/>
        <v>24</v>
      </c>
      <c r="CS759" s="112">
        <f t="shared" ca="1" si="1235"/>
        <v>100000</v>
      </c>
      <c r="CT759" s="112">
        <f t="shared" ca="1" si="1267"/>
        <v>42613</v>
      </c>
      <c r="CU759" s="238">
        <f t="shared" ca="1" si="1247"/>
        <v>18</v>
      </c>
      <c r="CV759" s="238">
        <f t="shared" ca="1" si="1248"/>
        <v>24</v>
      </c>
      <c r="CY759">
        <f t="shared" si="1258"/>
        <v>189</v>
      </c>
      <c r="DA759" s="112">
        <f t="shared" ca="1" si="1259"/>
        <v>100000</v>
      </c>
      <c r="DC759">
        <f t="shared" si="1260"/>
        <v>759</v>
      </c>
      <c r="DE759" t="str">
        <f t="shared" si="1281"/>
        <v>cs759:dc790</v>
      </c>
      <c r="DF759">
        <f t="shared" ca="1" si="1249"/>
        <v>759</v>
      </c>
      <c r="DG759" s="412">
        <f t="shared" ca="1" si="1365"/>
        <v>44804</v>
      </c>
      <c r="DH759" s="411" t="str">
        <f t="shared" ca="1" si="1356"/>
        <v/>
      </c>
      <c r="DI759" s="411" t="str">
        <f t="shared" ca="1" si="1357"/>
        <v/>
      </c>
      <c r="DJ759" s="410" t="str">
        <f t="shared" ca="1" si="1358"/>
        <v/>
      </c>
      <c r="DK759" s="410" t="str">
        <f t="shared" ca="1" si="1359"/>
        <v/>
      </c>
      <c r="DM759" s="411" t="str">
        <f t="shared" ca="1" si="1366"/>
        <v/>
      </c>
      <c r="DN759" s="411" t="str">
        <f t="shared" ca="1" si="1367"/>
        <v/>
      </c>
      <c r="DO759" s="410" t="str">
        <f t="shared" ca="1" si="1368"/>
        <v/>
      </c>
      <c r="DP759" s="410" t="str">
        <f t="shared" ca="1" si="1369"/>
        <v/>
      </c>
    </row>
    <row r="760" spans="47:120" ht="15.75" thickBot="1" x14ac:dyDescent="0.3">
      <c r="AU760" s="112"/>
      <c r="AV760" s="112"/>
      <c r="BQ760" s="238">
        <f t="shared" si="1450"/>
        <v>608</v>
      </c>
      <c r="BR760" t="s">
        <v>448</v>
      </c>
      <c r="BS760" t="s">
        <v>449</v>
      </c>
      <c r="BT760" s="114">
        <f t="shared" ca="1" si="1428"/>
        <v>1</v>
      </c>
      <c r="BU760" s="112"/>
      <c r="BV760">
        <f t="shared" ca="1" si="1300"/>
        <v>0</v>
      </c>
      <c r="BW760" s="112">
        <f t="shared" ca="1" si="1232"/>
        <v>42613</v>
      </c>
      <c r="BX760" s="112">
        <f t="shared" ca="1" si="1455"/>
        <v>42613</v>
      </c>
      <c r="BY760">
        <f t="shared" ca="1" si="1277"/>
        <v>18</v>
      </c>
      <c r="BZ760">
        <f t="shared" ca="1" si="1278"/>
        <v>24</v>
      </c>
      <c r="CB760">
        <f t="shared" ca="1" si="1240"/>
        <v>0</v>
      </c>
      <c r="CC760" s="112">
        <f t="shared" ca="1" si="1241"/>
        <v>100000</v>
      </c>
      <c r="CD760" s="112">
        <f t="shared" ca="1" si="1242"/>
        <v>42613</v>
      </c>
      <c r="CE760">
        <f t="shared" ca="1" si="1243"/>
        <v>18</v>
      </c>
      <c r="CF760">
        <f t="shared" ca="1" si="1244"/>
        <v>24</v>
      </c>
      <c r="CH760" s="112">
        <f t="shared" ca="1" si="1331"/>
        <v>42613</v>
      </c>
      <c r="CI760">
        <f t="shared" ca="1" si="1451"/>
        <v>0</v>
      </c>
      <c r="CJ760">
        <f t="shared" ref="CJ760" ca="1" si="1457">IF(AND(CI760=0,CC760&lt;100000),1,0)</f>
        <v>0</v>
      </c>
      <c r="CK760" s="112">
        <f t="shared" ca="1" si="1337"/>
        <v>42613</v>
      </c>
      <c r="CM760" s="112"/>
      <c r="CN760" s="261">
        <f t="shared" ref="CN760" ca="1" si="1458">IF(AND(CN756=100000,CN757=100000,CN758=100000,CN759=100000),INDIRECT(CONCATENATE("aa",BQ760)),CC760)</f>
        <v>100000</v>
      </c>
      <c r="CO760" s="324">
        <f t="shared" ca="1" si="1453"/>
        <v>42613</v>
      </c>
      <c r="CP760" s="256">
        <f t="shared" ca="1" si="1339"/>
        <v>18</v>
      </c>
      <c r="CQ760" s="329">
        <f t="shared" ca="1" si="1340"/>
        <v>24</v>
      </c>
      <c r="CS760" s="112">
        <f t="shared" ca="1" si="1235"/>
        <v>100000</v>
      </c>
      <c r="CT760" s="112">
        <f t="shared" ca="1" si="1267"/>
        <v>42613</v>
      </c>
      <c r="CU760" s="238">
        <f t="shared" ca="1" si="1247"/>
        <v>18</v>
      </c>
      <c r="CV760" s="238">
        <f t="shared" ca="1" si="1248"/>
        <v>24</v>
      </c>
      <c r="CY760">
        <f t="shared" si="1258"/>
        <v>190</v>
      </c>
      <c r="DA760" s="112">
        <f t="shared" ca="1" si="1259"/>
        <v>100000</v>
      </c>
      <c r="DC760">
        <f t="shared" si="1260"/>
        <v>760</v>
      </c>
      <c r="DE760" t="str">
        <f t="shared" si="1281"/>
        <v>cs760:dc790</v>
      </c>
      <c r="DF760">
        <f t="shared" ca="1" si="1249"/>
        <v>760</v>
      </c>
      <c r="DG760" s="412">
        <f t="shared" ca="1" si="1365"/>
        <v>44804</v>
      </c>
      <c r="DH760" s="411" t="str">
        <f t="shared" ca="1" si="1356"/>
        <v/>
      </c>
      <c r="DI760" s="411" t="str">
        <f t="shared" ca="1" si="1357"/>
        <v/>
      </c>
      <c r="DJ760" s="410" t="str">
        <f t="shared" ca="1" si="1358"/>
        <v/>
      </c>
      <c r="DK760" s="410" t="str">
        <f t="shared" ca="1" si="1359"/>
        <v/>
      </c>
      <c r="DM760" s="411" t="str">
        <f t="shared" ca="1" si="1366"/>
        <v/>
      </c>
      <c r="DN760" s="411" t="str">
        <f t="shared" ca="1" si="1367"/>
        <v/>
      </c>
      <c r="DO760" s="410" t="str">
        <f t="shared" ca="1" si="1368"/>
        <v/>
      </c>
      <c r="DP760" s="410" t="str">
        <f t="shared" ca="1" si="1369"/>
        <v/>
      </c>
    </row>
    <row r="761" spans="47:120" x14ac:dyDescent="0.25">
      <c r="AU761" s="112"/>
      <c r="AV761" s="112"/>
      <c r="BQ761" s="238">
        <f t="shared" ref="BQ761" si="1459">BQ760+1</f>
        <v>609</v>
      </c>
      <c r="BR761" s="112" t="s">
        <v>444</v>
      </c>
      <c r="BS761" s="112" t="s">
        <v>445</v>
      </c>
      <c r="BT761" s="114">
        <f t="shared" ca="1" si="1428"/>
        <v>0</v>
      </c>
      <c r="BU761" s="112"/>
      <c r="BV761">
        <f t="shared" ca="1" si="1300"/>
        <v>1</v>
      </c>
      <c r="BW761" s="112">
        <f t="shared" ca="1" si="1232"/>
        <v>42614</v>
      </c>
      <c r="BX761" s="112">
        <f t="shared" ref="BX761:BX763" ca="1" si="1460">INDIRECT(CONCATENATE(BS761,BQ761))-1</f>
        <v>42735</v>
      </c>
      <c r="BY761">
        <f t="shared" ca="1" si="1277"/>
        <v>18</v>
      </c>
      <c r="BZ761">
        <f t="shared" ca="1" si="1278"/>
        <v>24</v>
      </c>
      <c r="CB761">
        <f t="shared" ca="1" si="1240"/>
        <v>0</v>
      </c>
      <c r="CC761" s="112">
        <f t="shared" ca="1" si="1241"/>
        <v>42614</v>
      </c>
      <c r="CD761" s="112">
        <f t="shared" ca="1" si="1242"/>
        <v>42735</v>
      </c>
      <c r="CE761">
        <f t="shared" ca="1" si="1243"/>
        <v>18</v>
      </c>
      <c r="CF761">
        <f t="shared" ca="1" si="1244"/>
        <v>24</v>
      </c>
      <c r="CH761" s="112">
        <f t="shared" ca="1" si="1331"/>
        <v>42978</v>
      </c>
      <c r="CI761">
        <f t="shared" ref="CI761" ca="1" si="1461">CB761+CB762+CB763+CB764+CB765</f>
        <v>1</v>
      </c>
      <c r="CJ761">
        <v>0</v>
      </c>
      <c r="CK761" s="112">
        <f t="shared" ca="1" si="1337"/>
        <v>42978</v>
      </c>
      <c r="CM761" s="112"/>
      <c r="CN761" s="408">
        <f t="shared" ca="1" si="1255"/>
        <v>42614</v>
      </c>
      <c r="CO761" s="326">
        <f t="shared" ref="CO761" ca="1" si="1462">CD761</f>
        <v>42735</v>
      </c>
      <c r="CP761" s="333">
        <f t="shared" ca="1" si="1339"/>
        <v>18</v>
      </c>
      <c r="CQ761" s="327">
        <f t="shared" ca="1" si="1340"/>
        <v>24</v>
      </c>
      <c r="CS761" s="112">
        <f t="shared" ca="1" si="1235"/>
        <v>42614</v>
      </c>
      <c r="CT761" s="112">
        <f t="shared" ref="CT761" ca="1" si="1463">IF(AND( CN762=100000,CN763=100000,CN764=100000,CN765=100000),CO765,                             CO761)</f>
        <v>42735</v>
      </c>
      <c r="CU761" s="238">
        <f t="shared" ca="1" si="1247"/>
        <v>18</v>
      </c>
      <c r="CV761" s="238">
        <f t="shared" ca="1" si="1248"/>
        <v>24</v>
      </c>
      <c r="CY761">
        <f t="shared" si="1258"/>
        <v>191</v>
      </c>
      <c r="DA761" s="112">
        <f t="shared" ca="1" si="1259"/>
        <v>100000</v>
      </c>
      <c r="DC761">
        <f t="shared" si="1260"/>
        <v>761</v>
      </c>
      <c r="DE761" t="str">
        <f t="shared" si="1281"/>
        <v>cs761:dc790</v>
      </c>
      <c r="DF761">
        <f t="shared" ca="1" si="1249"/>
        <v>762</v>
      </c>
      <c r="DG761" s="412">
        <f t="shared" ca="1" si="1365"/>
        <v>44804</v>
      </c>
      <c r="DH761" s="411" t="str">
        <f t="shared" ca="1" si="1356"/>
        <v/>
      </c>
      <c r="DI761" s="411" t="str">
        <f t="shared" ca="1" si="1357"/>
        <v/>
      </c>
      <c r="DJ761" s="410" t="str">
        <f t="shared" ca="1" si="1358"/>
        <v/>
      </c>
      <c r="DK761" s="410" t="str">
        <f t="shared" ca="1" si="1359"/>
        <v/>
      </c>
      <c r="DM761" s="411" t="str">
        <f t="shared" ca="1" si="1366"/>
        <v/>
      </c>
      <c r="DN761" s="411" t="str">
        <f t="shared" ca="1" si="1367"/>
        <v/>
      </c>
      <c r="DO761" s="410" t="str">
        <f t="shared" ca="1" si="1368"/>
        <v/>
      </c>
      <c r="DP761" s="410" t="str">
        <f t="shared" ca="1" si="1369"/>
        <v/>
      </c>
    </row>
    <row r="762" spans="47:120" x14ac:dyDescent="0.25">
      <c r="AU762" s="112"/>
      <c r="AV762" s="112"/>
      <c r="BQ762" s="238">
        <f t="shared" ref="BQ762:BQ765" si="1464">BQ761</f>
        <v>609</v>
      </c>
      <c r="BR762" t="s">
        <v>445</v>
      </c>
      <c r="BS762" t="s">
        <v>446</v>
      </c>
      <c r="BT762" s="114">
        <f t="shared" ca="1" si="1428"/>
        <v>0</v>
      </c>
      <c r="BU762" s="112"/>
      <c r="BV762">
        <f t="shared" ca="1" si="1300"/>
        <v>1</v>
      </c>
      <c r="BW762" s="112">
        <f t="shared" ca="1" si="1232"/>
        <v>42736</v>
      </c>
      <c r="BX762" s="112">
        <f t="shared" ca="1" si="1460"/>
        <v>42735</v>
      </c>
      <c r="BY762">
        <f t="shared" ca="1" si="1277"/>
        <v>18</v>
      </c>
      <c r="BZ762">
        <f t="shared" ca="1" si="1278"/>
        <v>24</v>
      </c>
      <c r="CB762">
        <f t="shared" ca="1" si="1240"/>
        <v>0</v>
      </c>
      <c r="CC762" s="112">
        <f t="shared" ca="1" si="1241"/>
        <v>100000</v>
      </c>
      <c r="CD762" s="112">
        <f t="shared" ca="1" si="1242"/>
        <v>42735</v>
      </c>
      <c r="CE762">
        <f t="shared" ca="1" si="1243"/>
        <v>18</v>
      </c>
      <c r="CF762">
        <f t="shared" ca="1" si="1244"/>
        <v>24</v>
      </c>
      <c r="CH762" s="112">
        <f t="shared" ca="1" si="1331"/>
        <v>42978</v>
      </c>
      <c r="CI762">
        <f t="shared" ref="CI762:CI765" ca="1" si="1465">CI761</f>
        <v>1</v>
      </c>
      <c r="CJ762">
        <f t="shared" ref="CJ762" ca="1" si="1466">IF(AND(CI762=0,CJ763=0,CJ764=0,CJ765=0,CC762&lt;100000),1,0)</f>
        <v>0</v>
      </c>
      <c r="CK762" s="112">
        <f t="shared" ca="1" si="1337"/>
        <v>42978</v>
      </c>
      <c r="CM762" s="112"/>
      <c r="CN762" s="260">
        <f t="shared" ca="1" si="1255"/>
        <v>100000</v>
      </c>
      <c r="CO762" s="112">
        <f t="shared" ref="CO762:CO765" ca="1" si="1467">IF(CJ762=1,CH762,CD762)</f>
        <v>42735</v>
      </c>
      <c r="CP762" s="238">
        <f t="shared" ca="1" si="1339"/>
        <v>18</v>
      </c>
      <c r="CQ762" s="328">
        <f t="shared" ca="1" si="1340"/>
        <v>24</v>
      </c>
      <c r="CS762" s="112">
        <f t="shared" ca="1" si="1235"/>
        <v>100000</v>
      </c>
      <c r="CT762" s="112">
        <f t="shared" ca="1" si="1267"/>
        <v>42735</v>
      </c>
      <c r="CU762" s="238">
        <f t="shared" ca="1" si="1247"/>
        <v>18</v>
      </c>
      <c r="CV762" s="238">
        <f t="shared" ca="1" si="1248"/>
        <v>24</v>
      </c>
      <c r="CY762">
        <f t="shared" si="1258"/>
        <v>192</v>
      </c>
      <c r="DA762" s="112">
        <f t="shared" ca="1" si="1259"/>
        <v>100000</v>
      </c>
      <c r="DC762">
        <f t="shared" si="1260"/>
        <v>762</v>
      </c>
      <c r="DE762" t="str">
        <f t="shared" si="1281"/>
        <v>cs762:dc790</v>
      </c>
      <c r="DF762">
        <f t="shared" ca="1" si="1249"/>
        <v>762</v>
      </c>
      <c r="DG762" s="412">
        <f t="shared" ca="1" si="1365"/>
        <v>44804</v>
      </c>
      <c r="DH762" s="411" t="str">
        <f t="shared" ca="1" si="1356"/>
        <v/>
      </c>
      <c r="DI762" s="411" t="str">
        <f t="shared" ca="1" si="1357"/>
        <v/>
      </c>
      <c r="DJ762" s="410" t="str">
        <f t="shared" ca="1" si="1358"/>
        <v/>
      </c>
      <c r="DK762" s="410" t="str">
        <f t="shared" ca="1" si="1359"/>
        <v/>
      </c>
      <c r="DM762" s="411" t="str">
        <f t="shared" ca="1" si="1366"/>
        <v/>
      </c>
      <c r="DN762" s="411" t="str">
        <f t="shared" ca="1" si="1367"/>
        <v/>
      </c>
      <c r="DO762" s="410" t="str">
        <f t="shared" ca="1" si="1368"/>
        <v/>
      </c>
      <c r="DP762" s="410" t="str">
        <f t="shared" ca="1" si="1369"/>
        <v/>
      </c>
    </row>
    <row r="763" spans="47:120" x14ac:dyDescent="0.25">
      <c r="AU763" s="112"/>
      <c r="AV763" s="112"/>
      <c r="BQ763" s="238">
        <f t="shared" si="1464"/>
        <v>609</v>
      </c>
      <c r="BR763" t="s">
        <v>446</v>
      </c>
      <c r="BS763" t="s">
        <v>447</v>
      </c>
      <c r="BT763" s="114">
        <f t="shared" ca="1" si="1428"/>
        <v>0</v>
      </c>
      <c r="BU763" s="112"/>
      <c r="BV763">
        <f t="shared" ca="1" si="1300"/>
        <v>1</v>
      </c>
      <c r="BW763" s="112">
        <f t="shared" ref="BW763:BW826" ca="1" si="1468">INDIRECT(CONCATENATE(BR763,BQ763))</f>
        <v>42736</v>
      </c>
      <c r="BX763" s="112">
        <f t="shared" ca="1" si="1460"/>
        <v>42781</v>
      </c>
      <c r="BY763">
        <f t="shared" ca="1" si="1277"/>
        <v>18</v>
      </c>
      <c r="BZ763">
        <f t="shared" ca="1" si="1278"/>
        <v>24</v>
      </c>
      <c r="CB763">
        <f t="shared" ca="1" si="1240"/>
        <v>0</v>
      </c>
      <c r="CC763" s="112">
        <f t="shared" ca="1" si="1241"/>
        <v>42736</v>
      </c>
      <c r="CD763" s="112">
        <f t="shared" ca="1" si="1242"/>
        <v>42781</v>
      </c>
      <c r="CE763">
        <f t="shared" ca="1" si="1243"/>
        <v>18</v>
      </c>
      <c r="CF763">
        <f t="shared" ca="1" si="1244"/>
        <v>24</v>
      </c>
      <c r="CH763" s="112">
        <f t="shared" ca="1" si="1331"/>
        <v>42978</v>
      </c>
      <c r="CI763">
        <f t="shared" ca="1" si="1465"/>
        <v>1</v>
      </c>
      <c r="CJ763">
        <f t="shared" ref="CJ763" ca="1" si="1469">IF(AND(CI763=0,CJ764=0,CJ765=0,CC763&lt;100000),1,0)</f>
        <v>0</v>
      </c>
      <c r="CK763" s="112">
        <f t="shared" ca="1" si="1337"/>
        <v>42978</v>
      </c>
      <c r="CM763" s="112"/>
      <c r="CN763" s="260">
        <f t="shared" ca="1" si="1255"/>
        <v>42736</v>
      </c>
      <c r="CO763" s="112">
        <f t="shared" ca="1" si="1467"/>
        <v>42781</v>
      </c>
      <c r="CP763" s="238">
        <f t="shared" ca="1" si="1339"/>
        <v>18</v>
      </c>
      <c r="CQ763" s="328">
        <f t="shared" ca="1" si="1340"/>
        <v>24</v>
      </c>
      <c r="CS763" s="112">
        <f t="shared" ref="CS763:CS826" ca="1" si="1470">IF(TYPE(CN763)=16,100000,CN763)</f>
        <v>42736</v>
      </c>
      <c r="CT763" s="112">
        <f t="shared" ca="1" si="1267"/>
        <v>42781</v>
      </c>
      <c r="CU763" s="238">
        <f t="shared" ca="1" si="1247"/>
        <v>18</v>
      </c>
      <c r="CV763" s="238">
        <f t="shared" ca="1" si="1248"/>
        <v>24</v>
      </c>
      <c r="CY763">
        <f t="shared" si="1258"/>
        <v>193</v>
      </c>
      <c r="DA763" s="112">
        <f t="shared" ca="1" si="1259"/>
        <v>100000</v>
      </c>
      <c r="DC763">
        <f t="shared" si="1260"/>
        <v>763</v>
      </c>
      <c r="DE763" t="str">
        <f t="shared" si="1281"/>
        <v>cs763:dc790</v>
      </c>
      <c r="DF763">
        <f t="shared" ca="1" si="1249"/>
        <v>765</v>
      </c>
      <c r="DG763" s="412">
        <f t="shared" ca="1" si="1365"/>
        <v>44804</v>
      </c>
      <c r="DH763" s="411" t="str">
        <f t="shared" ca="1" si="1356"/>
        <v/>
      </c>
      <c r="DI763" s="411" t="str">
        <f t="shared" ca="1" si="1357"/>
        <v/>
      </c>
      <c r="DJ763" s="410" t="str">
        <f t="shared" ca="1" si="1358"/>
        <v/>
      </c>
      <c r="DK763" s="410" t="str">
        <f t="shared" ca="1" si="1359"/>
        <v/>
      </c>
      <c r="DM763" s="411" t="str">
        <f t="shared" ca="1" si="1366"/>
        <v/>
      </c>
      <c r="DN763" s="411" t="str">
        <f t="shared" ca="1" si="1367"/>
        <v/>
      </c>
      <c r="DO763" s="410" t="str">
        <f t="shared" ca="1" si="1368"/>
        <v/>
      </c>
      <c r="DP763" s="410" t="str">
        <f t="shared" ca="1" si="1369"/>
        <v/>
      </c>
    </row>
    <row r="764" spans="47:120" x14ac:dyDescent="0.25">
      <c r="AU764" s="112"/>
      <c r="AV764" s="112"/>
      <c r="BQ764" s="238">
        <f t="shared" si="1464"/>
        <v>609</v>
      </c>
      <c r="BR764" t="s">
        <v>447</v>
      </c>
      <c r="BS764" t="s">
        <v>448</v>
      </c>
      <c r="BT764" s="114">
        <f t="shared" ca="1" si="1428"/>
        <v>0</v>
      </c>
      <c r="BU764" s="112"/>
      <c r="BV764">
        <f t="shared" ca="1" si="1300"/>
        <v>1</v>
      </c>
      <c r="BW764" s="112">
        <f t="shared" ca="1" si="1468"/>
        <v>42782</v>
      </c>
      <c r="BX764" s="112">
        <f t="shared" ref="BX764:BX765" ca="1" si="1471">INDIRECT(CONCATENATE(BS764,BQ764))</f>
        <v>42978</v>
      </c>
      <c r="BY764">
        <f t="shared" ca="1" si="1277"/>
        <v>18</v>
      </c>
      <c r="BZ764">
        <f t="shared" ca="1" si="1278"/>
        <v>24</v>
      </c>
      <c r="CB764">
        <f t="shared" ref="CB764:CB827" ca="1" si="1472">IF(AND(CC764&lt;&gt;100000,CD764=INDIRECT(CONCATENATE("aq",BQ764))),1,0)</f>
        <v>1</v>
      </c>
      <c r="CC764" s="112">
        <f t="shared" ref="CC764:CC827" ca="1" si="1473">IF(OR(BV764=0,BW764&gt;BX764),100000,BW764)</f>
        <v>42782</v>
      </c>
      <c r="CD764" s="112">
        <f t="shared" ref="CD764:CD827" ca="1" si="1474">BX764</f>
        <v>42978</v>
      </c>
      <c r="CE764">
        <f t="shared" ref="CE764:CE827" ca="1" si="1475">BY764</f>
        <v>18</v>
      </c>
      <c r="CF764">
        <f t="shared" ref="CF764:CF827" ca="1" si="1476">BZ764</f>
        <v>24</v>
      </c>
      <c r="CH764" s="112">
        <f t="shared" ca="1" si="1331"/>
        <v>42978</v>
      </c>
      <c r="CI764">
        <f t="shared" ca="1" si="1465"/>
        <v>1</v>
      </c>
      <c r="CJ764">
        <f t="shared" ref="CJ764" ca="1" si="1477">IF(AND(CI764=0,CJ765=0,CC764&lt;100000),1,0)</f>
        <v>0</v>
      </c>
      <c r="CK764" s="112">
        <f t="shared" ca="1" si="1337"/>
        <v>42978</v>
      </c>
      <c r="CM764" s="112"/>
      <c r="CN764" s="260">
        <f t="shared" ca="1" si="1255"/>
        <v>42782</v>
      </c>
      <c r="CO764" s="112">
        <f t="shared" ca="1" si="1467"/>
        <v>42978</v>
      </c>
      <c r="CP764" s="238">
        <f t="shared" ca="1" si="1339"/>
        <v>18</v>
      </c>
      <c r="CQ764" s="328">
        <f t="shared" ca="1" si="1340"/>
        <v>24</v>
      </c>
      <c r="CS764" s="112">
        <f t="shared" ca="1" si="1470"/>
        <v>42782</v>
      </c>
      <c r="CT764" s="112">
        <f t="shared" ca="1" si="1267"/>
        <v>42978</v>
      </c>
      <c r="CU764" s="238">
        <f t="shared" ref="CU764:CU827" ca="1" si="1478">CP764</f>
        <v>18</v>
      </c>
      <c r="CV764" s="238">
        <f t="shared" ref="CV764:CV827" ca="1" si="1479">CQ764</f>
        <v>24</v>
      </c>
      <c r="CY764">
        <f t="shared" si="1258"/>
        <v>194</v>
      </c>
      <c r="DA764" s="112">
        <f t="shared" ca="1" si="1259"/>
        <v>100000</v>
      </c>
      <c r="DC764">
        <f t="shared" si="1260"/>
        <v>764</v>
      </c>
      <c r="DE764" t="str">
        <f t="shared" si="1281"/>
        <v>cs764:dc790</v>
      </c>
      <c r="DF764">
        <f t="shared" ref="DF764:DF827" ca="1" si="1480">VLOOKUP(DA764,INDIRECT(DE764),11,FALSE)</f>
        <v>765</v>
      </c>
      <c r="DG764" s="412">
        <f t="shared" ca="1" si="1365"/>
        <v>44804</v>
      </c>
      <c r="DH764" s="411" t="str">
        <f t="shared" ca="1" si="1356"/>
        <v/>
      </c>
      <c r="DI764" s="411" t="str">
        <f t="shared" ca="1" si="1357"/>
        <v/>
      </c>
      <c r="DJ764" s="410" t="str">
        <f t="shared" ca="1" si="1358"/>
        <v/>
      </c>
      <c r="DK764" s="410" t="str">
        <f t="shared" ca="1" si="1359"/>
        <v/>
      </c>
      <c r="DM764" s="411" t="str">
        <f t="shared" ca="1" si="1366"/>
        <v/>
      </c>
      <c r="DN764" s="411" t="str">
        <f t="shared" ca="1" si="1367"/>
        <v/>
      </c>
      <c r="DO764" s="410" t="str">
        <f t="shared" ca="1" si="1368"/>
        <v/>
      </c>
      <c r="DP764" s="410" t="str">
        <f t="shared" ca="1" si="1369"/>
        <v/>
      </c>
    </row>
    <row r="765" spans="47:120" ht="15.75" thickBot="1" x14ac:dyDescent="0.3">
      <c r="AU765" s="112"/>
      <c r="AV765" s="112"/>
      <c r="BQ765" s="238">
        <f t="shared" si="1464"/>
        <v>609</v>
      </c>
      <c r="BR765" t="s">
        <v>448</v>
      </c>
      <c r="BS765" t="s">
        <v>449</v>
      </c>
      <c r="BT765" s="114">
        <f t="shared" ca="1" si="1428"/>
        <v>0</v>
      </c>
      <c r="BU765" s="112"/>
      <c r="BV765">
        <f t="shared" ca="1" si="1300"/>
        <v>0</v>
      </c>
      <c r="BW765" s="112">
        <f t="shared" ca="1" si="1468"/>
        <v>42978</v>
      </c>
      <c r="BX765" s="112">
        <f t="shared" ca="1" si="1471"/>
        <v>42978</v>
      </c>
      <c r="BY765">
        <f t="shared" ca="1" si="1277"/>
        <v>18</v>
      </c>
      <c r="BZ765">
        <f t="shared" ca="1" si="1278"/>
        <v>24</v>
      </c>
      <c r="CB765">
        <f t="shared" ca="1" si="1472"/>
        <v>0</v>
      </c>
      <c r="CC765" s="112">
        <f t="shared" ca="1" si="1473"/>
        <v>100000</v>
      </c>
      <c r="CD765" s="112">
        <f t="shared" ca="1" si="1474"/>
        <v>42978</v>
      </c>
      <c r="CE765">
        <f t="shared" ca="1" si="1475"/>
        <v>18</v>
      </c>
      <c r="CF765">
        <f t="shared" ca="1" si="1476"/>
        <v>24</v>
      </c>
      <c r="CH765" s="112">
        <f t="shared" ca="1" si="1331"/>
        <v>42978</v>
      </c>
      <c r="CI765">
        <f t="shared" ca="1" si="1465"/>
        <v>1</v>
      </c>
      <c r="CJ765">
        <f t="shared" ref="CJ765" ca="1" si="1481">IF(AND(CI765=0,CC765&lt;100000),1,0)</f>
        <v>0</v>
      </c>
      <c r="CK765" s="112">
        <f t="shared" ca="1" si="1337"/>
        <v>42978</v>
      </c>
      <c r="CM765" s="112"/>
      <c r="CN765" s="261">
        <f t="shared" ref="CN765" ca="1" si="1482">IF(AND(CN761=100000,CN762=100000,CN763=100000,CN764=100000),INDIRECT(CONCATENATE("aa",BQ765)),CC765)</f>
        <v>100000</v>
      </c>
      <c r="CO765" s="324">
        <f t="shared" ca="1" si="1467"/>
        <v>42978</v>
      </c>
      <c r="CP765" s="256">
        <f t="shared" ca="1" si="1339"/>
        <v>18</v>
      </c>
      <c r="CQ765" s="329">
        <f t="shared" ca="1" si="1340"/>
        <v>24</v>
      </c>
      <c r="CS765" s="112">
        <f t="shared" ca="1" si="1470"/>
        <v>100000</v>
      </c>
      <c r="CT765" s="112">
        <f t="shared" ca="1" si="1267"/>
        <v>42978</v>
      </c>
      <c r="CU765" s="238">
        <f t="shared" ca="1" si="1478"/>
        <v>18</v>
      </c>
      <c r="CV765" s="238">
        <f t="shared" ca="1" si="1479"/>
        <v>24</v>
      </c>
      <c r="CY765">
        <f t="shared" ref="CY765:CY828" si="1483">CY764+1</f>
        <v>195</v>
      </c>
      <c r="DA765" s="112">
        <f t="shared" ref="DA765:DA828" ca="1" si="1484">SMALL($CS$571:$CS$1100,CY765)</f>
        <v>100000</v>
      </c>
      <c r="DC765">
        <f t="shared" ref="DC765:DC773" si="1485">DC764+1</f>
        <v>765</v>
      </c>
      <c r="DE765" t="str">
        <f t="shared" si="1281"/>
        <v>cs765:dc790</v>
      </c>
      <c r="DF765">
        <f t="shared" ca="1" si="1480"/>
        <v>765</v>
      </c>
      <c r="DG765" s="412">
        <f t="shared" ca="1" si="1365"/>
        <v>44804</v>
      </c>
      <c r="DH765" s="411" t="str">
        <f t="shared" ca="1" si="1356"/>
        <v/>
      </c>
      <c r="DI765" s="411" t="str">
        <f t="shared" ca="1" si="1357"/>
        <v/>
      </c>
      <c r="DJ765" s="410" t="str">
        <f t="shared" ca="1" si="1358"/>
        <v/>
      </c>
      <c r="DK765" s="410" t="str">
        <f t="shared" ca="1" si="1359"/>
        <v/>
      </c>
      <c r="DM765" s="411" t="str">
        <f t="shared" ca="1" si="1366"/>
        <v/>
      </c>
      <c r="DN765" s="411" t="str">
        <f t="shared" ca="1" si="1367"/>
        <v/>
      </c>
      <c r="DO765" s="410" t="str">
        <f t="shared" ca="1" si="1368"/>
        <v/>
      </c>
      <c r="DP765" s="410" t="str">
        <f t="shared" ca="1" si="1369"/>
        <v/>
      </c>
    </row>
    <row r="766" spans="47:120" x14ac:dyDescent="0.25">
      <c r="AU766" s="112"/>
      <c r="AV766" s="112"/>
      <c r="BQ766" s="238">
        <f t="shared" ref="BQ766" si="1486">BQ765+1</f>
        <v>610</v>
      </c>
      <c r="BR766" s="112" t="s">
        <v>444</v>
      </c>
      <c r="BS766" s="112" t="s">
        <v>445</v>
      </c>
      <c r="BT766" s="114">
        <f t="shared" ca="1" si="1428"/>
        <v>0</v>
      </c>
      <c r="BU766" s="112"/>
      <c r="BV766">
        <f t="shared" ca="1" si="1300"/>
        <v>1</v>
      </c>
      <c r="BW766" s="112">
        <f t="shared" ca="1" si="1468"/>
        <v>42979</v>
      </c>
      <c r="BX766" s="112">
        <f t="shared" ref="BX766:BX768" ca="1" si="1487">INDIRECT(CONCATENATE(BS766,BQ766))-1</f>
        <v>43159</v>
      </c>
      <c r="BY766">
        <f t="shared" ca="1" si="1277"/>
        <v>18</v>
      </c>
      <c r="BZ766">
        <f t="shared" ca="1" si="1278"/>
        <v>24</v>
      </c>
      <c r="CB766">
        <f t="shared" ca="1" si="1472"/>
        <v>0</v>
      </c>
      <c r="CC766" s="112">
        <f t="shared" ca="1" si="1473"/>
        <v>42979</v>
      </c>
      <c r="CD766" s="112">
        <f t="shared" ca="1" si="1474"/>
        <v>43159</v>
      </c>
      <c r="CE766">
        <f t="shared" ca="1" si="1475"/>
        <v>18</v>
      </c>
      <c r="CF766">
        <f t="shared" ca="1" si="1476"/>
        <v>24</v>
      </c>
      <c r="CH766" s="112">
        <f t="shared" ca="1" si="1331"/>
        <v>43343</v>
      </c>
      <c r="CI766">
        <f t="shared" ref="CI766" ca="1" si="1488">CB766+CB767+CB768+CB769+CB770</f>
        <v>1</v>
      </c>
      <c r="CJ766">
        <v>0</v>
      </c>
      <c r="CK766" s="112">
        <f t="shared" ca="1" si="1337"/>
        <v>43343</v>
      </c>
      <c r="CM766" s="112"/>
      <c r="CN766" s="408">
        <f t="shared" ref="CN766:CN829" ca="1" si="1489">CC766</f>
        <v>42979</v>
      </c>
      <c r="CO766" s="326">
        <f t="shared" ref="CO766" ca="1" si="1490">CD766</f>
        <v>43159</v>
      </c>
      <c r="CP766" s="333">
        <f t="shared" ca="1" si="1339"/>
        <v>18</v>
      </c>
      <c r="CQ766" s="327">
        <f t="shared" ca="1" si="1340"/>
        <v>24</v>
      </c>
      <c r="CS766" s="112">
        <f t="shared" ca="1" si="1470"/>
        <v>42979</v>
      </c>
      <c r="CT766" s="112">
        <f t="shared" ref="CT766" ca="1" si="1491">IF(AND( CN767=100000,CN768=100000,CN769=100000,CN770=100000),CO770,                             CO766)</f>
        <v>43159</v>
      </c>
      <c r="CU766" s="238">
        <f t="shared" ca="1" si="1478"/>
        <v>18</v>
      </c>
      <c r="CV766" s="238">
        <f t="shared" ca="1" si="1479"/>
        <v>24</v>
      </c>
      <c r="CY766">
        <f t="shared" si="1483"/>
        <v>196</v>
      </c>
      <c r="DA766" s="112">
        <f t="shared" ca="1" si="1484"/>
        <v>100000</v>
      </c>
      <c r="DC766">
        <f t="shared" si="1485"/>
        <v>766</v>
      </c>
      <c r="DE766" t="str">
        <f t="shared" si="1281"/>
        <v>cs766:dc790</v>
      </c>
      <c r="DF766">
        <f t="shared" ca="1" si="1480"/>
        <v>767</v>
      </c>
      <c r="DG766" s="412">
        <f t="shared" ca="1" si="1365"/>
        <v>44804</v>
      </c>
      <c r="DH766" s="411" t="str">
        <f t="shared" ca="1" si="1356"/>
        <v/>
      </c>
      <c r="DI766" s="411" t="str">
        <f t="shared" ca="1" si="1357"/>
        <v/>
      </c>
      <c r="DJ766" s="410" t="str">
        <f t="shared" ca="1" si="1358"/>
        <v/>
      </c>
      <c r="DK766" s="410" t="str">
        <f t="shared" ca="1" si="1359"/>
        <v/>
      </c>
      <c r="DM766" s="411" t="str">
        <f t="shared" ca="1" si="1366"/>
        <v/>
      </c>
      <c r="DN766" s="411" t="str">
        <f t="shared" ca="1" si="1367"/>
        <v/>
      </c>
      <c r="DO766" s="410" t="str">
        <f t="shared" ca="1" si="1368"/>
        <v/>
      </c>
      <c r="DP766" s="410" t="str">
        <f t="shared" ca="1" si="1369"/>
        <v/>
      </c>
    </row>
    <row r="767" spans="47:120" x14ac:dyDescent="0.25">
      <c r="AU767" s="112"/>
      <c r="AV767" s="112"/>
      <c r="BQ767" s="238">
        <f t="shared" ref="BQ767:BQ770" si="1492">BQ766</f>
        <v>610</v>
      </c>
      <c r="BR767" t="s">
        <v>445</v>
      </c>
      <c r="BS767" t="s">
        <v>446</v>
      </c>
      <c r="BT767" s="114">
        <f t="shared" ca="1" si="1428"/>
        <v>0</v>
      </c>
      <c r="BU767" s="112"/>
      <c r="BV767">
        <f t="shared" ca="1" si="1300"/>
        <v>1</v>
      </c>
      <c r="BW767" s="112">
        <f t="shared" ca="1" si="1468"/>
        <v>43160</v>
      </c>
      <c r="BX767" s="112">
        <f t="shared" ca="1" si="1487"/>
        <v>43159</v>
      </c>
      <c r="BY767">
        <f t="shared" ca="1" si="1277"/>
        <v>18</v>
      </c>
      <c r="BZ767">
        <f t="shared" ca="1" si="1278"/>
        <v>24</v>
      </c>
      <c r="CB767">
        <f t="shared" ca="1" si="1472"/>
        <v>0</v>
      </c>
      <c r="CC767" s="112">
        <f t="shared" ca="1" si="1473"/>
        <v>100000</v>
      </c>
      <c r="CD767" s="112">
        <f t="shared" ca="1" si="1474"/>
        <v>43159</v>
      </c>
      <c r="CE767">
        <f t="shared" ca="1" si="1475"/>
        <v>18</v>
      </c>
      <c r="CF767">
        <f t="shared" ca="1" si="1476"/>
        <v>24</v>
      </c>
      <c r="CH767" s="112">
        <f t="shared" ca="1" si="1331"/>
        <v>43343</v>
      </c>
      <c r="CI767">
        <f t="shared" ref="CI767:CI770" ca="1" si="1493">CI766</f>
        <v>1</v>
      </c>
      <c r="CJ767">
        <f t="shared" ref="CJ767" ca="1" si="1494">IF(AND(CI767=0,CJ768=0,CJ769=0,CJ770=0,CC767&lt;100000),1,0)</f>
        <v>0</v>
      </c>
      <c r="CK767" s="112">
        <f t="shared" ca="1" si="1337"/>
        <v>43343</v>
      </c>
      <c r="CM767" s="112"/>
      <c r="CN767" s="260">
        <f t="shared" ca="1" si="1489"/>
        <v>100000</v>
      </c>
      <c r="CO767" s="112">
        <f t="shared" ref="CO767:CO770" ca="1" si="1495">IF(CJ767=1,CH767,CD767)</f>
        <v>43159</v>
      </c>
      <c r="CP767" s="238">
        <f t="shared" ca="1" si="1339"/>
        <v>18</v>
      </c>
      <c r="CQ767" s="328">
        <f t="shared" ca="1" si="1340"/>
        <v>24</v>
      </c>
      <c r="CS767" s="112">
        <f t="shared" ca="1" si="1470"/>
        <v>100000</v>
      </c>
      <c r="CT767" s="112">
        <f t="shared" ref="CT767:CT830" ca="1" si="1496">CO767</f>
        <v>43159</v>
      </c>
      <c r="CU767" s="238">
        <f t="shared" ca="1" si="1478"/>
        <v>18</v>
      </c>
      <c r="CV767" s="238">
        <f t="shared" ca="1" si="1479"/>
        <v>24</v>
      </c>
      <c r="CY767">
        <f t="shared" si="1483"/>
        <v>197</v>
      </c>
      <c r="DA767" s="112">
        <f t="shared" ca="1" si="1484"/>
        <v>100000</v>
      </c>
      <c r="DC767">
        <f t="shared" si="1485"/>
        <v>767</v>
      </c>
      <c r="DE767" t="str">
        <f t="shared" si="1281"/>
        <v>cs767:dc790</v>
      </c>
      <c r="DF767">
        <f t="shared" ca="1" si="1480"/>
        <v>767</v>
      </c>
      <c r="DG767" s="412">
        <f t="shared" ca="1" si="1365"/>
        <v>44804</v>
      </c>
      <c r="DH767" s="411" t="str">
        <f t="shared" ca="1" si="1356"/>
        <v/>
      </c>
      <c r="DI767" s="411" t="str">
        <f t="shared" ca="1" si="1357"/>
        <v/>
      </c>
      <c r="DJ767" s="410" t="str">
        <f t="shared" ca="1" si="1358"/>
        <v/>
      </c>
      <c r="DK767" s="410" t="str">
        <f t="shared" ca="1" si="1359"/>
        <v/>
      </c>
      <c r="DM767" s="411" t="str">
        <f t="shared" ca="1" si="1366"/>
        <v/>
      </c>
      <c r="DN767" s="411" t="str">
        <f t="shared" ca="1" si="1367"/>
        <v/>
      </c>
      <c r="DO767" s="410" t="str">
        <f t="shared" ca="1" si="1368"/>
        <v/>
      </c>
      <c r="DP767" s="410" t="str">
        <f t="shared" ca="1" si="1369"/>
        <v/>
      </c>
    </row>
    <row r="768" spans="47:120" x14ac:dyDescent="0.25">
      <c r="AU768" s="112"/>
      <c r="AV768" s="112"/>
      <c r="BQ768" s="238">
        <f t="shared" si="1492"/>
        <v>610</v>
      </c>
      <c r="BR768" t="s">
        <v>446</v>
      </c>
      <c r="BS768" t="s">
        <v>447</v>
      </c>
      <c r="BT768" s="114">
        <f t="shared" ca="1" si="1428"/>
        <v>0</v>
      </c>
      <c r="BU768" s="112"/>
      <c r="BV768">
        <f t="shared" ca="1" si="1300"/>
        <v>1</v>
      </c>
      <c r="BW768" s="112">
        <f t="shared" ca="1" si="1468"/>
        <v>43160</v>
      </c>
      <c r="BX768" s="112">
        <f t="shared" ca="1" si="1487"/>
        <v>43190</v>
      </c>
      <c r="BY768">
        <f t="shared" ca="1" si="1277"/>
        <v>18</v>
      </c>
      <c r="BZ768">
        <f t="shared" ca="1" si="1278"/>
        <v>24</v>
      </c>
      <c r="CB768">
        <f t="shared" ca="1" si="1472"/>
        <v>0</v>
      </c>
      <c r="CC768" s="112">
        <f t="shared" ca="1" si="1473"/>
        <v>43160</v>
      </c>
      <c r="CD768" s="112">
        <f t="shared" ca="1" si="1474"/>
        <v>43190</v>
      </c>
      <c r="CE768">
        <f t="shared" ca="1" si="1475"/>
        <v>18</v>
      </c>
      <c r="CF768">
        <f t="shared" ca="1" si="1476"/>
        <v>24</v>
      </c>
      <c r="CH768" s="112">
        <f t="shared" ca="1" si="1331"/>
        <v>43343</v>
      </c>
      <c r="CI768">
        <f t="shared" ca="1" si="1493"/>
        <v>1</v>
      </c>
      <c r="CJ768">
        <f t="shared" ref="CJ768" ca="1" si="1497">IF(AND(CI768=0,CJ769=0,CJ770=0,CC768&lt;100000),1,0)</f>
        <v>0</v>
      </c>
      <c r="CK768" s="112">
        <f t="shared" ca="1" si="1337"/>
        <v>43343</v>
      </c>
      <c r="CM768" s="112"/>
      <c r="CN768" s="260">
        <f t="shared" ca="1" si="1489"/>
        <v>43160</v>
      </c>
      <c r="CO768" s="112">
        <f t="shared" ca="1" si="1495"/>
        <v>43190</v>
      </c>
      <c r="CP768" s="238">
        <f t="shared" ca="1" si="1339"/>
        <v>18</v>
      </c>
      <c r="CQ768" s="328">
        <f t="shared" ca="1" si="1340"/>
        <v>24</v>
      </c>
      <c r="CS768" s="112">
        <f t="shared" ca="1" si="1470"/>
        <v>43160</v>
      </c>
      <c r="CT768" s="112">
        <f t="shared" ca="1" si="1496"/>
        <v>43190</v>
      </c>
      <c r="CU768" s="238">
        <f t="shared" ca="1" si="1478"/>
        <v>18</v>
      </c>
      <c r="CV768" s="238">
        <f t="shared" ca="1" si="1479"/>
        <v>24</v>
      </c>
      <c r="CY768">
        <f t="shared" si="1483"/>
        <v>198</v>
      </c>
      <c r="DA768" s="112">
        <f t="shared" ca="1" si="1484"/>
        <v>100000</v>
      </c>
      <c r="DC768">
        <f t="shared" si="1485"/>
        <v>768</v>
      </c>
      <c r="DE768" t="str">
        <f t="shared" si="1281"/>
        <v>cs768:dc790</v>
      </c>
      <c r="DF768">
        <f t="shared" ca="1" si="1480"/>
        <v>770</v>
      </c>
      <c r="DG768" s="412">
        <f t="shared" ca="1" si="1365"/>
        <v>44804</v>
      </c>
      <c r="DH768" s="411" t="str">
        <f t="shared" ca="1" si="1356"/>
        <v/>
      </c>
      <c r="DI768" s="411" t="str">
        <f t="shared" ca="1" si="1357"/>
        <v/>
      </c>
      <c r="DJ768" s="410" t="str">
        <f t="shared" ca="1" si="1358"/>
        <v/>
      </c>
      <c r="DK768" s="410" t="str">
        <f t="shared" ca="1" si="1359"/>
        <v/>
      </c>
      <c r="DM768" s="411" t="str">
        <f t="shared" ca="1" si="1366"/>
        <v/>
      </c>
      <c r="DN768" s="411" t="str">
        <f t="shared" ca="1" si="1367"/>
        <v/>
      </c>
      <c r="DO768" s="410" t="str">
        <f t="shared" ca="1" si="1368"/>
        <v/>
      </c>
      <c r="DP768" s="410" t="str">
        <f t="shared" ca="1" si="1369"/>
        <v/>
      </c>
    </row>
    <row r="769" spans="47:120" x14ac:dyDescent="0.25">
      <c r="AU769" s="112"/>
      <c r="AV769" s="112"/>
      <c r="BQ769" s="238">
        <f t="shared" si="1492"/>
        <v>610</v>
      </c>
      <c r="BR769" t="s">
        <v>447</v>
      </c>
      <c r="BS769" t="s">
        <v>448</v>
      </c>
      <c r="BT769" s="114">
        <f t="shared" ca="1" si="1428"/>
        <v>0</v>
      </c>
      <c r="BU769" s="112"/>
      <c r="BV769">
        <f t="shared" ca="1" si="1300"/>
        <v>1</v>
      </c>
      <c r="BW769" s="112">
        <f t="shared" ca="1" si="1468"/>
        <v>43191</v>
      </c>
      <c r="BX769" s="112">
        <f t="shared" ref="BX769:BX770" ca="1" si="1498">INDIRECT(CONCATENATE(BS769,BQ769))</f>
        <v>43343</v>
      </c>
      <c r="BY769">
        <f t="shared" ref="BY769:BY832" ca="1" si="1499">INDIRECT(CONCATENATE("ag",BQ769))</f>
        <v>18</v>
      </c>
      <c r="BZ769">
        <f t="shared" ref="BZ769:BZ832" ca="1" si="1500">INDIRECT(CONCATENATE("ah",BQ769))</f>
        <v>24</v>
      </c>
      <c r="CB769">
        <f t="shared" ca="1" si="1472"/>
        <v>1</v>
      </c>
      <c r="CC769" s="112">
        <f t="shared" ca="1" si="1473"/>
        <v>43191</v>
      </c>
      <c r="CD769" s="112">
        <f t="shared" ca="1" si="1474"/>
        <v>43343</v>
      </c>
      <c r="CE769">
        <f t="shared" ca="1" si="1475"/>
        <v>18</v>
      </c>
      <c r="CF769">
        <f t="shared" ca="1" si="1476"/>
        <v>24</v>
      </c>
      <c r="CH769" s="112">
        <f t="shared" ca="1" si="1331"/>
        <v>43343</v>
      </c>
      <c r="CI769">
        <f t="shared" ca="1" si="1493"/>
        <v>1</v>
      </c>
      <c r="CJ769">
        <f t="shared" ref="CJ769" ca="1" si="1501">IF(AND(CI769=0,CJ770=0,CC769&lt;100000),1,0)</f>
        <v>0</v>
      </c>
      <c r="CK769" s="112">
        <f t="shared" ca="1" si="1337"/>
        <v>43343</v>
      </c>
      <c r="CM769" s="112"/>
      <c r="CN769" s="260">
        <f t="shared" ca="1" si="1489"/>
        <v>43191</v>
      </c>
      <c r="CO769" s="112">
        <f t="shared" ca="1" si="1495"/>
        <v>43343</v>
      </c>
      <c r="CP769" s="238">
        <f t="shared" ca="1" si="1339"/>
        <v>18</v>
      </c>
      <c r="CQ769" s="328">
        <f t="shared" ca="1" si="1340"/>
        <v>24</v>
      </c>
      <c r="CS769" s="112">
        <f t="shared" ca="1" si="1470"/>
        <v>43191</v>
      </c>
      <c r="CT769" s="112">
        <f t="shared" ca="1" si="1496"/>
        <v>43343</v>
      </c>
      <c r="CU769" s="238">
        <f t="shared" ca="1" si="1478"/>
        <v>18</v>
      </c>
      <c r="CV769" s="238">
        <f t="shared" ca="1" si="1479"/>
        <v>24</v>
      </c>
      <c r="CY769">
        <f t="shared" si="1483"/>
        <v>199</v>
      </c>
      <c r="DA769" s="112">
        <f t="shared" ca="1" si="1484"/>
        <v>100000</v>
      </c>
      <c r="DC769">
        <f t="shared" si="1485"/>
        <v>769</v>
      </c>
      <c r="DE769" t="str">
        <f t="shared" ref="DE769:DE790" si="1502">CONCATENATE("cs",DC769,":dc790")</f>
        <v>cs769:dc790</v>
      </c>
      <c r="DF769">
        <f t="shared" ca="1" si="1480"/>
        <v>770</v>
      </c>
      <c r="DG769" s="412">
        <f t="shared" ca="1" si="1365"/>
        <v>44804</v>
      </c>
      <c r="DH769" s="411" t="str">
        <f t="shared" ca="1" si="1356"/>
        <v/>
      </c>
      <c r="DI769" s="411" t="str">
        <f t="shared" ca="1" si="1357"/>
        <v/>
      </c>
      <c r="DJ769" s="410" t="str">
        <f t="shared" ca="1" si="1358"/>
        <v/>
      </c>
      <c r="DK769" s="410" t="str">
        <f t="shared" ca="1" si="1359"/>
        <v/>
      </c>
      <c r="DM769" s="411" t="str">
        <f t="shared" ca="1" si="1366"/>
        <v/>
      </c>
      <c r="DN769" s="411" t="str">
        <f t="shared" ca="1" si="1367"/>
        <v/>
      </c>
      <c r="DO769" s="410" t="str">
        <f t="shared" ca="1" si="1368"/>
        <v/>
      </c>
      <c r="DP769" s="410" t="str">
        <f t="shared" ca="1" si="1369"/>
        <v/>
      </c>
    </row>
    <row r="770" spans="47:120" ht="15.75" thickBot="1" x14ac:dyDescent="0.3">
      <c r="AU770" s="112"/>
      <c r="AV770" s="112"/>
      <c r="BQ770" s="238">
        <f t="shared" si="1492"/>
        <v>610</v>
      </c>
      <c r="BR770" t="s">
        <v>448</v>
      </c>
      <c r="BS770" t="s">
        <v>449</v>
      </c>
      <c r="BT770" s="114">
        <f t="shared" ca="1" si="1428"/>
        <v>0</v>
      </c>
      <c r="BU770" s="112"/>
      <c r="BV770">
        <f t="shared" ca="1" si="1300"/>
        <v>0</v>
      </c>
      <c r="BW770" s="112">
        <f t="shared" ca="1" si="1468"/>
        <v>43343</v>
      </c>
      <c r="BX770" s="112">
        <f t="shared" ca="1" si="1498"/>
        <v>43343</v>
      </c>
      <c r="BY770">
        <f t="shared" ca="1" si="1499"/>
        <v>18</v>
      </c>
      <c r="BZ770">
        <f t="shared" ca="1" si="1500"/>
        <v>24</v>
      </c>
      <c r="CB770">
        <f t="shared" ca="1" si="1472"/>
        <v>0</v>
      </c>
      <c r="CC770" s="112">
        <f t="shared" ca="1" si="1473"/>
        <v>100000</v>
      </c>
      <c r="CD770" s="112">
        <f t="shared" ca="1" si="1474"/>
        <v>43343</v>
      </c>
      <c r="CE770">
        <f t="shared" ca="1" si="1475"/>
        <v>18</v>
      </c>
      <c r="CF770">
        <f t="shared" ca="1" si="1476"/>
        <v>24</v>
      </c>
      <c r="CH770" s="112">
        <f t="shared" ca="1" si="1331"/>
        <v>43343</v>
      </c>
      <c r="CI770">
        <f t="shared" ca="1" si="1493"/>
        <v>1</v>
      </c>
      <c r="CJ770">
        <f t="shared" ref="CJ770" ca="1" si="1503">IF(AND(CI770=0,CC770&lt;100000),1,0)</f>
        <v>0</v>
      </c>
      <c r="CK770" s="112">
        <f t="shared" ca="1" si="1337"/>
        <v>43343</v>
      </c>
      <c r="CM770" s="112"/>
      <c r="CN770" s="261">
        <f t="shared" ref="CN770" ca="1" si="1504">IF(AND(CN766=100000,CN767=100000,CN768=100000,CN769=100000),INDIRECT(CONCATENATE("aa",BQ770)),CC770)</f>
        <v>100000</v>
      </c>
      <c r="CO770" s="324">
        <f t="shared" ca="1" si="1495"/>
        <v>43343</v>
      </c>
      <c r="CP770" s="256">
        <f t="shared" ca="1" si="1339"/>
        <v>18</v>
      </c>
      <c r="CQ770" s="329">
        <f t="shared" ca="1" si="1340"/>
        <v>24</v>
      </c>
      <c r="CS770" s="112">
        <f t="shared" ca="1" si="1470"/>
        <v>100000</v>
      </c>
      <c r="CT770" s="112">
        <f t="shared" ca="1" si="1496"/>
        <v>43343</v>
      </c>
      <c r="CU770" s="238">
        <f t="shared" ca="1" si="1478"/>
        <v>18</v>
      </c>
      <c r="CV770" s="238">
        <f t="shared" ca="1" si="1479"/>
        <v>24</v>
      </c>
      <c r="CY770">
        <f t="shared" si="1483"/>
        <v>200</v>
      </c>
      <c r="DA770" s="112">
        <f t="shared" ca="1" si="1484"/>
        <v>100000</v>
      </c>
      <c r="DC770">
        <f t="shared" si="1485"/>
        <v>770</v>
      </c>
      <c r="DE770" t="str">
        <f t="shared" si="1502"/>
        <v>cs770:dc790</v>
      </c>
      <c r="DF770">
        <f t="shared" ca="1" si="1480"/>
        <v>770</v>
      </c>
      <c r="DG770" s="412">
        <f t="shared" ca="1" si="1365"/>
        <v>44804</v>
      </c>
      <c r="DH770" s="411" t="str">
        <f t="shared" ca="1" si="1356"/>
        <v/>
      </c>
      <c r="DI770" s="411" t="str">
        <f t="shared" ca="1" si="1357"/>
        <v/>
      </c>
      <c r="DJ770" s="410" t="str">
        <f t="shared" ca="1" si="1358"/>
        <v/>
      </c>
      <c r="DK770" s="410" t="str">
        <f t="shared" ca="1" si="1359"/>
        <v/>
      </c>
      <c r="DM770" s="411" t="str">
        <f t="shared" ca="1" si="1366"/>
        <v/>
      </c>
      <c r="DN770" s="411" t="str">
        <f t="shared" ca="1" si="1367"/>
        <v/>
      </c>
      <c r="DO770" s="410" t="str">
        <f t="shared" ca="1" si="1368"/>
        <v/>
      </c>
      <c r="DP770" s="410" t="str">
        <f t="shared" ca="1" si="1369"/>
        <v/>
      </c>
    </row>
    <row r="771" spans="47:120" x14ac:dyDescent="0.25">
      <c r="AU771" s="112"/>
      <c r="AV771" s="112"/>
      <c r="BQ771" s="238">
        <f t="shared" ref="BQ771" si="1505">BQ770+1</f>
        <v>611</v>
      </c>
      <c r="BR771" s="112" t="s">
        <v>444</v>
      </c>
      <c r="BS771" s="112" t="s">
        <v>445</v>
      </c>
      <c r="BT771" s="114">
        <f t="shared" ca="1" si="1428"/>
        <v>0</v>
      </c>
      <c r="BU771" s="112"/>
      <c r="BV771">
        <f t="shared" ca="1" si="1300"/>
        <v>1</v>
      </c>
      <c r="BW771" s="112">
        <f t="shared" ca="1" si="1468"/>
        <v>43344</v>
      </c>
      <c r="BX771" s="112">
        <f t="shared" ref="BX771:BX773" ca="1" si="1506">INDIRECT(CONCATENATE(BS771,BQ771))-1</f>
        <v>43465</v>
      </c>
      <c r="BY771">
        <f t="shared" ca="1" si="1499"/>
        <v>18</v>
      </c>
      <c r="BZ771">
        <f t="shared" ca="1" si="1500"/>
        <v>24</v>
      </c>
      <c r="CB771">
        <f t="shared" ca="1" si="1472"/>
        <v>0</v>
      </c>
      <c r="CC771" s="112">
        <f t="shared" ca="1" si="1473"/>
        <v>43344</v>
      </c>
      <c r="CD771" s="112">
        <f t="shared" ca="1" si="1474"/>
        <v>43465</v>
      </c>
      <c r="CE771">
        <f t="shared" ca="1" si="1475"/>
        <v>18</v>
      </c>
      <c r="CF771">
        <f t="shared" ca="1" si="1476"/>
        <v>24</v>
      </c>
      <c r="CH771" s="112">
        <f t="shared" ca="1" si="1331"/>
        <v>43708</v>
      </c>
      <c r="CI771">
        <f t="shared" ref="CI771" ca="1" si="1507">CB771+CB772+CB773+CB774+CB775</f>
        <v>0</v>
      </c>
      <c r="CJ771">
        <v>0</v>
      </c>
      <c r="CK771" s="112">
        <f t="shared" ca="1" si="1337"/>
        <v>43708</v>
      </c>
      <c r="CM771" s="112"/>
      <c r="CN771" s="408">
        <f t="shared" ca="1" si="1489"/>
        <v>43344</v>
      </c>
      <c r="CO771" s="326">
        <f t="shared" ref="CO771" ca="1" si="1508">CD771</f>
        <v>43465</v>
      </c>
      <c r="CP771" s="333">
        <f t="shared" ca="1" si="1339"/>
        <v>18</v>
      </c>
      <c r="CQ771" s="327">
        <f t="shared" ca="1" si="1340"/>
        <v>24</v>
      </c>
      <c r="CS771" s="112">
        <f t="shared" ca="1" si="1470"/>
        <v>43344</v>
      </c>
      <c r="CT771" s="112">
        <f t="shared" ref="CT771" ca="1" si="1509">IF(AND( CN772=100000,CN773=100000,CN774=100000,CN775=100000),CO775,                             CO771)</f>
        <v>43465</v>
      </c>
      <c r="CU771" s="238">
        <f t="shared" ca="1" si="1478"/>
        <v>18</v>
      </c>
      <c r="CV771" s="238">
        <f t="shared" ca="1" si="1479"/>
        <v>24</v>
      </c>
      <c r="CY771">
        <f t="shared" si="1483"/>
        <v>201</v>
      </c>
      <c r="DA771" s="112">
        <f t="shared" ca="1" si="1484"/>
        <v>100000</v>
      </c>
      <c r="DC771">
        <f t="shared" si="1485"/>
        <v>771</v>
      </c>
      <c r="DE771" t="str">
        <f t="shared" si="1502"/>
        <v>cs771:dc790</v>
      </c>
      <c r="DF771">
        <f t="shared" ca="1" si="1480"/>
        <v>772</v>
      </c>
      <c r="DG771" s="412">
        <f t="shared" ca="1" si="1365"/>
        <v>44804</v>
      </c>
      <c r="DH771" s="411" t="str">
        <f t="shared" ca="1" si="1356"/>
        <v/>
      </c>
      <c r="DI771" s="411" t="str">
        <f t="shared" ca="1" si="1357"/>
        <v/>
      </c>
      <c r="DJ771" s="410" t="str">
        <f t="shared" ca="1" si="1358"/>
        <v/>
      </c>
      <c r="DK771" s="410" t="str">
        <f t="shared" ca="1" si="1359"/>
        <v/>
      </c>
      <c r="DM771" s="411" t="str">
        <f t="shared" ca="1" si="1366"/>
        <v/>
      </c>
      <c r="DN771" s="411" t="str">
        <f t="shared" ca="1" si="1367"/>
        <v/>
      </c>
      <c r="DO771" s="410" t="str">
        <f t="shared" ca="1" si="1368"/>
        <v/>
      </c>
      <c r="DP771" s="410" t="str">
        <f t="shared" ca="1" si="1369"/>
        <v/>
      </c>
    </row>
    <row r="772" spans="47:120" x14ac:dyDescent="0.25">
      <c r="AU772" s="112"/>
      <c r="AV772" s="112"/>
      <c r="BQ772" s="238">
        <f t="shared" ref="BQ772:BQ775" si="1510">BQ771</f>
        <v>611</v>
      </c>
      <c r="BR772" t="s">
        <v>445</v>
      </c>
      <c r="BS772" t="s">
        <v>446</v>
      </c>
      <c r="BT772" s="114">
        <f t="shared" ca="1" si="1428"/>
        <v>0</v>
      </c>
      <c r="BU772" s="112"/>
      <c r="BV772">
        <f t="shared" ca="1" si="1300"/>
        <v>1</v>
      </c>
      <c r="BW772" s="112">
        <f t="shared" ca="1" si="1468"/>
        <v>43466</v>
      </c>
      <c r="BX772" s="112">
        <f t="shared" ca="1" si="1506"/>
        <v>43465</v>
      </c>
      <c r="BY772">
        <f t="shared" ca="1" si="1499"/>
        <v>18</v>
      </c>
      <c r="BZ772">
        <f t="shared" ca="1" si="1500"/>
        <v>24</v>
      </c>
      <c r="CB772">
        <f t="shared" ca="1" si="1472"/>
        <v>0</v>
      </c>
      <c r="CC772" s="112">
        <f t="shared" ca="1" si="1473"/>
        <v>100000</v>
      </c>
      <c r="CD772" s="112">
        <f t="shared" ca="1" si="1474"/>
        <v>43465</v>
      </c>
      <c r="CE772">
        <f t="shared" ca="1" si="1475"/>
        <v>18</v>
      </c>
      <c r="CF772">
        <f t="shared" ca="1" si="1476"/>
        <v>24</v>
      </c>
      <c r="CH772" s="112">
        <f t="shared" ca="1" si="1331"/>
        <v>43708</v>
      </c>
      <c r="CI772">
        <f t="shared" ref="CI772:CI775" ca="1" si="1511">CI771</f>
        <v>0</v>
      </c>
      <c r="CJ772">
        <f t="shared" ref="CJ772" ca="1" si="1512">IF(AND(CI772=0,CJ773=0,CJ774=0,CJ775=0,CC772&lt;100000),1,0)</f>
        <v>0</v>
      </c>
      <c r="CK772" s="112">
        <f t="shared" ca="1" si="1337"/>
        <v>43708</v>
      </c>
      <c r="CM772" s="112"/>
      <c r="CN772" s="260">
        <f t="shared" ca="1" si="1489"/>
        <v>100000</v>
      </c>
      <c r="CO772" s="112">
        <f t="shared" ref="CO772:CO775" ca="1" si="1513">IF(CJ772=1,CH772,CD772)</f>
        <v>43465</v>
      </c>
      <c r="CP772" s="238">
        <f t="shared" ca="1" si="1339"/>
        <v>18</v>
      </c>
      <c r="CQ772" s="328">
        <f t="shared" ca="1" si="1340"/>
        <v>24</v>
      </c>
      <c r="CS772" s="112">
        <f t="shared" ca="1" si="1470"/>
        <v>100000</v>
      </c>
      <c r="CT772" s="112">
        <f t="shared" ca="1" si="1496"/>
        <v>43465</v>
      </c>
      <c r="CU772" s="238">
        <f t="shared" ca="1" si="1478"/>
        <v>18</v>
      </c>
      <c r="CV772" s="238">
        <f t="shared" ca="1" si="1479"/>
        <v>24</v>
      </c>
      <c r="CY772">
        <f t="shared" si="1483"/>
        <v>202</v>
      </c>
      <c r="DA772" s="112">
        <f t="shared" ca="1" si="1484"/>
        <v>100000</v>
      </c>
      <c r="DC772">
        <f t="shared" si="1485"/>
        <v>772</v>
      </c>
      <c r="DE772" t="str">
        <f t="shared" si="1502"/>
        <v>cs772:dc790</v>
      </c>
      <c r="DF772">
        <f t="shared" ca="1" si="1480"/>
        <v>772</v>
      </c>
      <c r="DG772" s="412" t="e">
        <f t="shared" ca="1" si="1365"/>
        <v>#REF!</v>
      </c>
      <c r="DH772" s="411" t="str">
        <f t="shared" ca="1" si="1356"/>
        <v/>
      </c>
      <c r="DI772" s="411" t="str">
        <f t="shared" ca="1" si="1357"/>
        <v/>
      </c>
      <c r="DJ772" s="410" t="str">
        <f t="shared" ca="1" si="1358"/>
        <v/>
      </c>
      <c r="DK772" s="410" t="str">
        <f t="shared" ca="1" si="1359"/>
        <v/>
      </c>
      <c r="DM772" s="411" t="str">
        <f t="shared" ca="1" si="1366"/>
        <v/>
      </c>
      <c r="DN772" s="411" t="e">
        <f t="shared" ca="1" si="1367"/>
        <v>#REF!</v>
      </c>
      <c r="DO772" s="410" t="str">
        <f t="shared" ca="1" si="1368"/>
        <v/>
      </c>
      <c r="DP772" s="410" t="str">
        <f t="shared" ca="1" si="1369"/>
        <v/>
      </c>
    </row>
    <row r="773" spans="47:120" x14ac:dyDescent="0.25">
      <c r="AU773" s="112"/>
      <c r="AV773" s="112"/>
      <c r="BQ773" s="238">
        <f t="shared" si="1510"/>
        <v>611</v>
      </c>
      <c r="BR773" t="s">
        <v>446</v>
      </c>
      <c r="BS773" t="s">
        <v>447</v>
      </c>
      <c r="BT773" s="114">
        <f t="shared" ca="1" si="1428"/>
        <v>0</v>
      </c>
      <c r="BU773" s="112"/>
      <c r="BV773">
        <f t="shared" ref="BV773:BV836" ca="1" si="1514">IF(BW773=INDIRECT(CONCATENATE("bn",BQ773)),0,1)</f>
        <v>1</v>
      </c>
      <c r="BW773" s="112">
        <f t="shared" ca="1" si="1468"/>
        <v>43466</v>
      </c>
      <c r="BX773" s="112">
        <f t="shared" ca="1" si="1506"/>
        <v>43707</v>
      </c>
      <c r="BY773">
        <f t="shared" ca="1" si="1499"/>
        <v>18</v>
      </c>
      <c r="BZ773">
        <f t="shared" ca="1" si="1500"/>
        <v>24</v>
      </c>
      <c r="CB773">
        <f t="shared" ca="1" si="1472"/>
        <v>0</v>
      </c>
      <c r="CC773" s="112">
        <f t="shared" ca="1" si="1473"/>
        <v>43466</v>
      </c>
      <c r="CD773" s="112">
        <f t="shared" ca="1" si="1474"/>
        <v>43707</v>
      </c>
      <c r="CE773">
        <f t="shared" ca="1" si="1475"/>
        <v>18</v>
      </c>
      <c r="CF773">
        <f t="shared" ca="1" si="1476"/>
        <v>24</v>
      </c>
      <c r="CH773" s="112">
        <f t="shared" ca="1" si="1331"/>
        <v>43708</v>
      </c>
      <c r="CI773">
        <f t="shared" ca="1" si="1511"/>
        <v>0</v>
      </c>
      <c r="CJ773">
        <f t="shared" ref="CJ773" ca="1" si="1515">IF(AND(CI773=0,CJ774=0,CJ775=0,CC773&lt;100000),1,0)</f>
        <v>1</v>
      </c>
      <c r="CK773" s="112">
        <f t="shared" ca="1" si="1337"/>
        <v>1</v>
      </c>
      <c r="CM773" s="112"/>
      <c r="CN773" s="260">
        <f t="shared" ca="1" si="1489"/>
        <v>43466</v>
      </c>
      <c r="CO773" s="112">
        <f t="shared" ca="1" si="1513"/>
        <v>43708</v>
      </c>
      <c r="CP773" s="238">
        <f t="shared" ca="1" si="1339"/>
        <v>18</v>
      </c>
      <c r="CQ773" s="328">
        <f t="shared" ca="1" si="1340"/>
        <v>24</v>
      </c>
      <c r="CS773" s="112">
        <f t="shared" ca="1" si="1470"/>
        <v>43466</v>
      </c>
      <c r="CT773" s="112">
        <f t="shared" ca="1" si="1496"/>
        <v>43708</v>
      </c>
      <c r="CU773" s="238">
        <f t="shared" ca="1" si="1478"/>
        <v>18</v>
      </c>
      <c r="CV773" s="238">
        <f t="shared" ca="1" si="1479"/>
        <v>24</v>
      </c>
      <c r="CY773">
        <f t="shared" si="1483"/>
        <v>203</v>
      </c>
      <c r="DA773" s="112">
        <f t="shared" ca="1" si="1484"/>
        <v>100000</v>
      </c>
      <c r="DC773">
        <f t="shared" si="1485"/>
        <v>773</v>
      </c>
      <c r="DE773" t="str">
        <f t="shared" si="1502"/>
        <v>cs773:dc790</v>
      </c>
      <c r="DF773">
        <f t="shared" ca="1" si="1480"/>
        <v>0</v>
      </c>
      <c r="DG773" s="412">
        <f t="shared" si="1365"/>
        <v>44804</v>
      </c>
      <c r="DH773" s="411" t="e">
        <f t="shared" ca="1" si="1356"/>
        <v>#REF!</v>
      </c>
      <c r="DI773" s="411" t="e">
        <f t="shared" ca="1" si="1357"/>
        <v>#REF!</v>
      </c>
      <c r="DJ773" s="410" t="e">
        <f t="shared" ca="1" si="1358"/>
        <v>#REF!</v>
      </c>
      <c r="DK773" s="410" t="e">
        <f t="shared" ca="1" si="1359"/>
        <v>#REF!</v>
      </c>
      <c r="DM773" s="411" t="e">
        <f t="shared" ca="1" si="1366"/>
        <v>#REF!</v>
      </c>
      <c r="DN773" s="411" t="e">
        <f t="shared" ca="1" si="1367"/>
        <v>#REF!</v>
      </c>
      <c r="DO773" s="410" t="e">
        <f t="shared" ca="1" si="1368"/>
        <v>#REF!</v>
      </c>
      <c r="DP773" s="410" t="e">
        <f t="shared" ca="1" si="1369"/>
        <v>#REF!</v>
      </c>
    </row>
    <row r="774" spans="47:120" x14ac:dyDescent="0.25">
      <c r="AU774" s="112"/>
      <c r="AV774" s="112"/>
      <c r="BQ774" s="238">
        <f t="shared" si="1510"/>
        <v>611</v>
      </c>
      <c r="BR774" t="s">
        <v>447</v>
      </c>
      <c r="BS774" t="s">
        <v>448</v>
      </c>
      <c r="BT774" s="114">
        <f t="shared" ca="1" si="1428"/>
        <v>0</v>
      </c>
      <c r="BU774" s="112"/>
      <c r="BV774">
        <f t="shared" ca="1" si="1514"/>
        <v>0</v>
      </c>
      <c r="BW774" s="112">
        <f t="shared" ca="1" si="1468"/>
        <v>43708</v>
      </c>
      <c r="BX774" s="112">
        <f t="shared" ref="BX774:BX775" ca="1" si="1516">INDIRECT(CONCATENATE(BS774,BQ774))</f>
        <v>43708</v>
      </c>
      <c r="BY774">
        <f t="shared" ca="1" si="1499"/>
        <v>18</v>
      </c>
      <c r="BZ774">
        <f t="shared" ca="1" si="1500"/>
        <v>24</v>
      </c>
      <c r="CB774">
        <f t="shared" ca="1" si="1472"/>
        <v>0</v>
      </c>
      <c r="CC774" s="112">
        <f t="shared" ca="1" si="1473"/>
        <v>100000</v>
      </c>
      <c r="CD774" s="112">
        <f t="shared" ca="1" si="1474"/>
        <v>43708</v>
      </c>
      <c r="CE774">
        <f t="shared" ca="1" si="1475"/>
        <v>18</v>
      </c>
      <c r="CF774">
        <f t="shared" ca="1" si="1476"/>
        <v>24</v>
      </c>
      <c r="CH774" s="112">
        <f t="shared" ca="1" si="1331"/>
        <v>43708</v>
      </c>
      <c r="CI774">
        <f t="shared" ca="1" si="1511"/>
        <v>0</v>
      </c>
      <c r="CJ774">
        <f t="shared" ref="CJ774" ca="1" si="1517">IF(AND(CI774=0,CJ775=0,CC774&lt;100000),1,0)</f>
        <v>0</v>
      </c>
      <c r="CK774" s="112">
        <f t="shared" ca="1" si="1337"/>
        <v>43708</v>
      </c>
      <c r="CM774" s="112"/>
      <c r="CN774" s="260">
        <f t="shared" ca="1" si="1489"/>
        <v>100000</v>
      </c>
      <c r="CO774" s="112">
        <f t="shared" ca="1" si="1513"/>
        <v>43708</v>
      </c>
      <c r="CP774" s="238">
        <f t="shared" ca="1" si="1339"/>
        <v>18</v>
      </c>
      <c r="CQ774" s="328">
        <f t="shared" ca="1" si="1340"/>
        <v>24</v>
      </c>
      <c r="CS774" s="112">
        <f t="shared" ca="1" si="1470"/>
        <v>100000</v>
      </c>
      <c r="CT774" s="112">
        <f t="shared" ca="1" si="1496"/>
        <v>43708</v>
      </c>
      <c r="CU774" s="238">
        <f t="shared" ca="1" si="1478"/>
        <v>18</v>
      </c>
      <c r="CV774" s="238">
        <f t="shared" ca="1" si="1479"/>
        <v>24</v>
      </c>
      <c r="CY774">
        <f t="shared" si="1483"/>
        <v>204</v>
      </c>
      <c r="DA774" s="112">
        <f t="shared" ca="1" si="1484"/>
        <v>100000</v>
      </c>
      <c r="DE774" t="str">
        <f t="shared" si="1502"/>
        <v>cs:dc790</v>
      </c>
      <c r="DF774" t="e">
        <f t="shared" ca="1" si="1480"/>
        <v>#REF!</v>
      </c>
    </row>
    <row r="775" spans="47:120" ht="15.75" thickBot="1" x14ac:dyDescent="0.3">
      <c r="AU775" s="112"/>
      <c r="AV775" s="112"/>
      <c r="BQ775" s="238">
        <f t="shared" si="1510"/>
        <v>611</v>
      </c>
      <c r="BR775" t="s">
        <v>448</v>
      </c>
      <c r="BS775" t="s">
        <v>449</v>
      </c>
      <c r="BT775" s="114">
        <f t="shared" ca="1" si="1428"/>
        <v>0</v>
      </c>
      <c r="BU775" s="112"/>
      <c r="BV775">
        <f t="shared" ca="1" si="1514"/>
        <v>0</v>
      </c>
      <c r="BW775" s="112">
        <f t="shared" ca="1" si="1468"/>
        <v>43708</v>
      </c>
      <c r="BX775" s="112">
        <f t="shared" ca="1" si="1516"/>
        <v>43708</v>
      </c>
      <c r="BY775">
        <f t="shared" ca="1" si="1499"/>
        <v>18</v>
      </c>
      <c r="BZ775">
        <f t="shared" ca="1" si="1500"/>
        <v>24</v>
      </c>
      <c r="CB775">
        <f t="shared" ca="1" si="1472"/>
        <v>0</v>
      </c>
      <c r="CC775" s="112">
        <f t="shared" ca="1" si="1473"/>
        <v>100000</v>
      </c>
      <c r="CD775" s="112">
        <f t="shared" ca="1" si="1474"/>
        <v>43708</v>
      </c>
      <c r="CE775">
        <f t="shared" ca="1" si="1475"/>
        <v>18</v>
      </c>
      <c r="CF775">
        <f t="shared" ca="1" si="1476"/>
        <v>24</v>
      </c>
      <c r="CH775" s="112">
        <f t="shared" ca="1" si="1331"/>
        <v>43708</v>
      </c>
      <c r="CI775">
        <f t="shared" ca="1" si="1511"/>
        <v>0</v>
      </c>
      <c r="CJ775">
        <f t="shared" ref="CJ775" ca="1" si="1518">IF(AND(CI775=0,CC775&lt;100000),1,0)</f>
        <v>0</v>
      </c>
      <c r="CK775" s="112">
        <f t="shared" ca="1" si="1337"/>
        <v>43708</v>
      </c>
      <c r="CM775" s="112"/>
      <c r="CN775" s="261">
        <f t="shared" ref="CN775" ca="1" si="1519">IF(AND(CN771=100000,CN772=100000,CN773=100000,CN774=100000),INDIRECT(CONCATENATE("aa",BQ775)),CC775)</f>
        <v>100000</v>
      </c>
      <c r="CO775" s="324">
        <f t="shared" ca="1" si="1513"/>
        <v>43708</v>
      </c>
      <c r="CP775" s="256">
        <f t="shared" ca="1" si="1339"/>
        <v>18</v>
      </c>
      <c r="CQ775" s="329">
        <f t="shared" ca="1" si="1340"/>
        <v>24</v>
      </c>
      <c r="CS775" s="112">
        <f t="shared" ca="1" si="1470"/>
        <v>100000</v>
      </c>
      <c r="CT775" s="112">
        <f t="shared" ca="1" si="1496"/>
        <v>43708</v>
      </c>
      <c r="CU775" s="238">
        <f t="shared" ca="1" si="1478"/>
        <v>18</v>
      </c>
      <c r="CV775" s="238">
        <f t="shared" ca="1" si="1479"/>
        <v>24</v>
      </c>
      <c r="CY775">
        <f t="shared" si="1483"/>
        <v>205</v>
      </c>
      <c r="DA775" s="112">
        <f t="shared" ca="1" si="1484"/>
        <v>100000</v>
      </c>
      <c r="DE775" t="str">
        <f t="shared" si="1502"/>
        <v>cs:dc790</v>
      </c>
      <c r="DF775" t="e">
        <f t="shared" ca="1" si="1480"/>
        <v>#REF!</v>
      </c>
    </row>
    <row r="776" spans="47:120" x14ac:dyDescent="0.25">
      <c r="AU776" s="112"/>
      <c r="AV776" s="112"/>
      <c r="BQ776" s="238">
        <f t="shared" ref="BQ776" si="1520">BQ775+1</f>
        <v>612</v>
      </c>
      <c r="BR776" s="112" t="s">
        <v>444</v>
      </c>
      <c r="BS776" s="112" t="s">
        <v>445</v>
      </c>
      <c r="BT776" s="114">
        <f t="shared" ca="1" si="1428"/>
        <v>0</v>
      </c>
      <c r="BU776" s="112"/>
      <c r="BV776">
        <f t="shared" ca="1" si="1514"/>
        <v>1</v>
      </c>
      <c r="BW776" s="112">
        <f t="shared" ca="1" si="1468"/>
        <v>43709</v>
      </c>
      <c r="BX776" s="112">
        <f t="shared" ref="BX776:BX778" ca="1" si="1521">INDIRECT(CONCATENATE(BS776,BQ776))-1</f>
        <v>43830</v>
      </c>
      <c r="BY776">
        <f t="shared" ca="1" si="1499"/>
        <v>18</v>
      </c>
      <c r="BZ776">
        <f t="shared" ca="1" si="1500"/>
        <v>24</v>
      </c>
      <c r="CB776">
        <f t="shared" ca="1" si="1472"/>
        <v>0</v>
      </c>
      <c r="CC776" s="112">
        <f t="shared" ca="1" si="1473"/>
        <v>43709</v>
      </c>
      <c r="CD776" s="112">
        <f t="shared" ca="1" si="1474"/>
        <v>43830</v>
      </c>
      <c r="CE776">
        <f t="shared" ca="1" si="1475"/>
        <v>18</v>
      </c>
      <c r="CF776">
        <f t="shared" ca="1" si="1476"/>
        <v>24</v>
      </c>
      <c r="CH776" s="112">
        <f t="shared" ca="1" si="1331"/>
        <v>44074</v>
      </c>
      <c r="CI776">
        <f t="shared" ref="CI776" ca="1" si="1522">CB776+CB777+CB778+CB779+CB780</f>
        <v>0</v>
      </c>
      <c r="CJ776">
        <v>0</v>
      </c>
      <c r="CK776" s="112">
        <f t="shared" ca="1" si="1337"/>
        <v>44074</v>
      </c>
      <c r="CM776" s="112"/>
      <c r="CN776" s="408">
        <f t="shared" ca="1" si="1489"/>
        <v>43709</v>
      </c>
      <c r="CO776" s="326">
        <f t="shared" ref="CO776" ca="1" si="1523">CD776</f>
        <v>43830</v>
      </c>
      <c r="CP776" s="333">
        <f t="shared" ca="1" si="1339"/>
        <v>18</v>
      </c>
      <c r="CQ776" s="327">
        <f t="shared" ca="1" si="1340"/>
        <v>24</v>
      </c>
      <c r="CS776" s="112">
        <f t="shared" ca="1" si="1470"/>
        <v>43709</v>
      </c>
      <c r="CT776" s="112">
        <f t="shared" ref="CT776" ca="1" si="1524">IF(AND( CN777=100000,CN778=100000,CN779=100000,CN780=100000),CO780,                             CO776)</f>
        <v>43830</v>
      </c>
      <c r="CU776" s="238">
        <f t="shared" ca="1" si="1478"/>
        <v>18</v>
      </c>
      <c r="CV776" s="238">
        <f t="shared" ca="1" si="1479"/>
        <v>24</v>
      </c>
      <c r="CY776">
        <f t="shared" si="1483"/>
        <v>206</v>
      </c>
      <c r="DA776" s="112">
        <f t="shared" ca="1" si="1484"/>
        <v>100000</v>
      </c>
      <c r="DE776" t="str">
        <f t="shared" si="1502"/>
        <v>cs:dc790</v>
      </c>
      <c r="DF776" t="e">
        <f t="shared" ca="1" si="1480"/>
        <v>#REF!</v>
      </c>
    </row>
    <row r="777" spans="47:120" x14ac:dyDescent="0.25">
      <c r="AU777" s="112"/>
      <c r="AV777" s="112"/>
      <c r="BQ777" s="238">
        <f t="shared" ref="BQ777:BQ780" si="1525">BQ776</f>
        <v>612</v>
      </c>
      <c r="BR777" t="s">
        <v>445</v>
      </c>
      <c r="BS777" t="s">
        <v>446</v>
      </c>
      <c r="BT777" s="114">
        <f t="shared" ca="1" si="1428"/>
        <v>0</v>
      </c>
      <c r="BU777" s="112"/>
      <c r="BV777">
        <f t="shared" ca="1" si="1514"/>
        <v>1</v>
      </c>
      <c r="BW777" s="112">
        <f t="shared" ca="1" si="1468"/>
        <v>43831</v>
      </c>
      <c r="BX777" s="112">
        <f t="shared" ca="1" si="1521"/>
        <v>43830</v>
      </c>
      <c r="BY777">
        <f t="shared" ca="1" si="1499"/>
        <v>18</v>
      </c>
      <c r="BZ777">
        <f t="shared" ca="1" si="1500"/>
        <v>24</v>
      </c>
      <c r="CB777">
        <f t="shared" ca="1" si="1472"/>
        <v>0</v>
      </c>
      <c r="CC777" s="112">
        <f t="shared" ca="1" si="1473"/>
        <v>100000</v>
      </c>
      <c r="CD777" s="112">
        <f t="shared" ca="1" si="1474"/>
        <v>43830</v>
      </c>
      <c r="CE777">
        <f t="shared" ca="1" si="1475"/>
        <v>18</v>
      </c>
      <c r="CF777">
        <f t="shared" ca="1" si="1476"/>
        <v>24</v>
      </c>
      <c r="CH777" s="112">
        <f t="shared" ca="1" si="1331"/>
        <v>44074</v>
      </c>
      <c r="CI777">
        <f t="shared" ref="CI777:CI780" ca="1" si="1526">CI776</f>
        <v>0</v>
      </c>
      <c r="CJ777">
        <f t="shared" ref="CJ777" ca="1" si="1527">IF(AND(CI777=0,CJ778=0,CJ779=0,CJ780=0,CC777&lt;100000),1,0)</f>
        <v>0</v>
      </c>
      <c r="CK777" s="112">
        <f t="shared" ca="1" si="1337"/>
        <v>44074</v>
      </c>
      <c r="CM777" s="112"/>
      <c r="CN777" s="260">
        <f t="shared" ca="1" si="1489"/>
        <v>100000</v>
      </c>
      <c r="CO777" s="112">
        <f t="shared" ref="CO777:CO780" ca="1" si="1528">IF(CJ777=1,CH777,CD777)</f>
        <v>43830</v>
      </c>
      <c r="CP777" s="238">
        <f t="shared" ca="1" si="1339"/>
        <v>18</v>
      </c>
      <c r="CQ777" s="328">
        <f t="shared" ca="1" si="1340"/>
        <v>24</v>
      </c>
      <c r="CS777" s="112">
        <f t="shared" ca="1" si="1470"/>
        <v>100000</v>
      </c>
      <c r="CT777" s="112">
        <f t="shared" ca="1" si="1496"/>
        <v>43830</v>
      </c>
      <c r="CU777" s="238">
        <f t="shared" ca="1" si="1478"/>
        <v>18</v>
      </c>
      <c r="CV777" s="238">
        <f t="shared" ca="1" si="1479"/>
        <v>24</v>
      </c>
      <c r="CY777">
        <f t="shared" si="1483"/>
        <v>207</v>
      </c>
      <c r="DA777" s="112">
        <f t="shared" ca="1" si="1484"/>
        <v>100000</v>
      </c>
      <c r="DE777" t="str">
        <f t="shared" si="1502"/>
        <v>cs:dc790</v>
      </c>
      <c r="DF777" t="e">
        <f t="shared" ca="1" si="1480"/>
        <v>#REF!</v>
      </c>
    </row>
    <row r="778" spans="47:120" x14ac:dyDescent="0.25">
      <c r="AU778" s="112"/>
      <c r="AV778" s="112"/>
      <c r="BQ778" s="238">
        <f t="shared" si="1525"/>
        <v>612</v>
      </c>
      <c r="BR778" t="s">
        <v>446</v>
      </c>
      <c r="BS778" t="s">
        <v>447</v>
      </c>
      <c r="BT778" s="114">
        <f t="shared" ca="1" si="1428"/>
        <v>0</v>
      </c>
      <c r="BU778" s="112"/>
      <c r="BV778">
        <f t="shared" ca="1" si="1514"/>
        <v>1</v>
      </c>
      <c r="BW778" s="112">
        <f t="shared" ca="1" si="1468"/>
        <v>43831</v>
      </c>
      <c r="BX778" s="112">
        <f t="shared" ca="1" si="1521"/>
        <v>44073</v>
      </c>
      <c r="BY778">
        <f t="shared" ca="1" si="1499"/>
        <v>18</v>
      </c>
      <c r="BZ778">
        <f t="shared" ca="1" si="1500"/>
        <v>24</v>
      </c>
      <c r="CB778">
        <f t="shared" ca="1" si="1472"/>
        <v>0</v>
      </c>
      <c r="CC778" s="112">
        <f t="shared" ca="1" si="1473"/>
        <v>43831</v>
      </c>
      <c r="CD778" s="112">
        <f t="shared" ca="1" si="1474"/>
        <v>44073</v>
      </c>
      <c r="CE778">
        <f t="shared" ca="1" si="1475"/>
        <v>18</v>
      </c>
      <c r="CF778">
        <f t="shared" ca="1" si="1476"/>
        <v>24</v>
      </c>
      <c r="CH778" s="112">
        <f t="shared" ca="1" si="1331"/>
        <v>44074</v>
      </c>
      <c r="CI778">
        <f t="shared" ca="1" si="1526"/>
        <v>0</v>
      </c>
      <c r="CJ778">
        <f t="shared" ref="CJ778" ca="1" si="1529">IF(AND(CI778=0,CJ779=0,CJ780=0,CC778&lt;100000),1,0)</f>
        <v>1</v>
      </c>
      <c r="CK778" s="112">
        <f t="shared" ca="1" si="1337"/>
        <v>1</v>
      </c>
      <c r="CM778" s="112"/>
      <c r="CN778" s="260">
        <f t="shared" ca="1" si="1489"/>
        <v>43831</v>
      </c>
      <c r="CO778" s="112">
        <f t="shared" ca="1" si="1528"/>
        <v>44074</v>
      </c>
      <c r="CP778" s="238">
        <f t="shared" ca="1" si="1339"/>
        <v>18</v>
      </c>
      <c r="CQ778" s="328">
        <f t="shared" ca="1" si="1340"/>
        <v>24</v>
      </c>
      <c r="CS778" s="112">
        <f t="shared" ca="1" si="1470"/>
        <v>43831</v>
      </c>
      <c r="CT778" s="112">
        <f t="shared" ca="1" si="1496"/>
        <v>44074</v>
      </c>
      <c r="CU778" s="238">
        <f t="shared" ca="1" si="1478"/>
        <v>18</v>
      </c>
      <c r="CV778" s="238">
        <f t="shared" ca="1" si="1479"/>
        <v>24</v>
      </c>
      <c r="CY778">
        <f t="shared" si="1483"/>
        <v>208</v>
      </c>
      <c r="DA778" s="112">
        <f t="shared" ca="1" si="1484"/>
        <v>100000</v>
      </c>
      <c r="DE778" t="str">
        <f t="shared" si="1502"/>
        <v>cs:dc790</v>
      </c>
      <c r="DF778" t="e">
        <f t="shared" ca="1" si="1480"/>
        <v>#REF!</v>
      </c>
    </row>
    <row r="779" spans="47:120" x14ac:dyDescent="0.25">
      <c r="AU779" s="112"/>
      <c r="AV779" s="112"/>
      <c r="BQ779" s="238">
        <f t="shared" si="1525"/>
        <v>612</v>
      </c>
      <c r="BR779" t="s">
        <v>447</v>
      </c>
      <c r="BS779" t="s">
        <v>448</v>
      </c>
      <c r="BT779" s="114">
        <f t="shared" ca="1" si="1428"/>
        <v>0</v>
      </c>
      <c r="BU779" s="112"/>
      <c r="BV779">
        <f t="shared" ca="1" si="1514"/>
        <v>0</v>
      </c>
      <c r="BW779" s="112">
        <f t="shared" ca="1" si="1468"/>
        <v>44074</v>
      </c>
      <c r="BX779" s="112">
        <f t="shared" ref="BX779:BX780" ca="1" si="1530">INDIRECT(CONCATENATE(BS779,BQ779))</f>
        <v>44074</v>
      </c>
      <c r="BY779">
        <f t="shared" ca="1" si="1499"/>
        <v>18</v>
      </c>
      <c r="BZ779">
        <f t="shared" ca="1" si="1500"/>
        <v>24</v>
      </c>
      <c r="CB779">
        <f t="shared" ca="1" si="1472"/>
        <v>0</v>
      </c>
      <c r="CC779" s="112">
        <f t="shared" ca="1" si="1473"/>
        <v>100000</v>
      </c>
      <c r="CD779" s="112">
        <f t="shared" ca="1" si="1474"/>
        <v>44074</v>
      </c>
      <c r="CE779">
        <f t="shared" ca="1" si="1475"/>
        <v>18</v>
      </c>
      <c r="CF779">
        <f t="shared" ca="1" si="1476"/>
        <v>24</v>
      </c>
      <c r="CH779" s="112">
        <f t="shared" ca="1" si="1331"/>
        <v>44074</v>
      </c>
      <c r="CI779">
        <f t="shared" ca="1" si="1526"/>
        <v>0</v>
      </c>
      <c r="CJ779">
        <f t="shared" ref="CJ779" ca="1" si="1531">IF(AND(CI779=0,CJ780=0,CC779&lt;100000),1,0)</f>
        <v>0</v>
      </c>
      <c r="CK779" s="112">
        <f t="shared" ca="1" si="1337"/>
        <v>44074</v>
      </c>
      <c r="CM779" s="112"/>
      <c r="CN779" s="260">
        <f t="shared" ca="1" si="1489"/>
        <v>100000</v>
      </c>
      <c r="CO779" s="112">
        <f t="shared" ca="1" si="1528"/>
        <v>44074</v>
      </c>
      <c r="CP779" s="238">
        <f t="shared" ca="1" si="1339"/>
        <v>18</v>
      </c>
      <c r="CQ779" s="328">
        <f t="shared" ca="1" si="1340"/>
        <v>24</v>
      </c>
      <c r="CS779" s="112">
        <f t="shared" ca="1" si="1470"/>
        <v>100000</v>
      </c>
      <c r="CT779" s="112">
        <f t="shared" ca="1" si="1496"/>
        <v>44074</v>
      </c>
      <c r="CU779" s="238">
        <f t="shared" ca="1" si="1478"/>
        <v>18</v>
      </c>
      <c r="CV779" s="238">
        <f t="shared" ca="1" si="1479"/>
        <v>24</v>
      </c>
      <c r="CY779">
        <f t="shared" si="1483"/>
        <v>209</v>
      </c>
      <c r="DA779" s="112">
        <f t="shared" ca="1" si="1484"/>
        <v>100000</v>
      </c>
      <c r="DE779" t="str">
        <f t="shared" si="1502"/>
        <v>cs:dc790</v>
      </c>
      <c r="DF779" t="e">
        <f t="shared" ca="1" si="1480"/>
        <v>#REF!</v>
      </c>
    </row>
    <row r="780" spans="47:120" ht="15.75" thickBot="1" x14ac:dyDescent="0.3">
      <c r="AU780" s="112"/>
      <c r="AV780" s="112"/>
      <c r="BQ780" s="238">
        <f t="shared" si="1525"/>
        <v>612</v>
      </c>
      <c r="BR780" t="s">
        <v>448</v>
      </c>
      <c r="BS780" t="s">
        <v>449</v>
      </c>
      <c r="BT780" s="114">
        <f t="shared" ca="1" si="1428"/>
        <v>0</v>
      </c>
      <c r="BU780" s="112"/>
      <c r="BV780">
        <f t="shared" ca="1" si="1514"/>
        <v>0</v>
      </c>
      <c r="BW780" s="112">
        <f t="shared" ca="1" si="1468"/>
        <v>44074</v>
      </c>
      <c r="BX780" s="112">
        <f t="shared" ca="1" si="1530"/>
        <v>44074</v>
      </c>
      <c r="BY780">
        <f t="shared" ca="1" si="1499"/>
        <v>18</v>
      </c>
      <c r="BZ780">
        <f t="shared" ca="1" si="1500"/>
        <v>24</v>
      </c>
      <c r="CB780">
        <f t="shared" ca="1" si="1472"/>
        <v>0</v>
      </c>
      <c r="CC780" s="112">
        <f t="shared" ca="1" si="1473"/>
        <v>100000</v>
      </c>
      <c r="CD780" s="112">
        <f t="shared" ca="1" si="1474"/>
        <v>44074</v>
      </c>
      <c r="CE780">
        <f t="shared" ca="1" si="1475"/>
        <v>18</v>
      </c>
      <c r="CF780">
        <f t="shared" ca="1" si="1476"/>
        <v>24</v>
      </c>
      <c r="CH780" s="112">
        <f t="shared" ca="1" si="1331"/>
        <v>44074</v>
      </c>
      <c r="CI780">
        <f t="shared" ca="1" si="1526"/>
        <v>0</v>
      </c>
      <c r="CJ780">
        <f t="shared" ref="CJ780" ca="1" si="1532">IF(AND(CI780=0,CC780&lt;100000),1,0)</f>
        <v>0</v>
      </c>
      <c r="CK780" s="112">
        <f t="shared" ca="1" si="1337"/>
        <v>44074</v>
      </c>
      <c r="CM780" s="112"/>
      <c r="CN780" s="261">
        <f t="shared" ref="CN780" ca="1" si="1533">IF(AND(CN776=100000,CN777=100000,CN778=100000,CN779=100000),INDIRECT(CONCATENATE("aa",BQ780)),CC780)</f>
        <v>100000</v>
      </c>
      <c r="CO780" s="324">
        <f t="shared" ca="1" si="1528"/>
        <v>44074</v>
      </c>
      <c r="CP780" s="256">
        <f t="shared" ca="1" si="1339"/>
        <v>18</v>
      </c>
      <c r="CQ780" s="329">
        <f t="shared" ca="1" si="1340"/>
        <v>24</v>
      </c>
      <c r="CS780" s="112">
        <f t="shared" ca="1" si="1470"/>
        <v>100000</v>
      </c>
      <c r="CT780" s="112">
        <f t="shared" ca="1" si="1496"/>
        <v>44074</v>
      </c>
      <c r="CU780" s="238">
        <f t="shared" ca="1" si="1478"/>
        <v>18</v>
      </c>
      <c r="CV780" s="238">
        <f t="shared" ca="1" si="1479"/>
        <v>24</v>
      </c>
      <c r="CY780">
        <f t="shared" si="1483"/>
        <v>210</v>
      </c>
      <c r="DA780" s="112">
        <f t="shared" ca="1" si="1484"/>
        <v>100000</v>
      </c>
      <c r="DE780" t="str">
        <f t="shared" si="1502"/>
        <v>cs:dc790</v>
      </c>
      <c r="DF780" t="e">
        <f t="shared" ca="1" si="1480"/>
        <v>#REF!</v>
      </c>
    </row>
    <row r="781" spans="47:120" x14ac:dyDescent="0.25">
      <c r="AU781" s="112"/>
      <c r="AV781" s="112"/>
      <c r="BQ781" s="238">
        <f t="shared" ref="BQ781" si="1534">BQ780+1</f>
        <v>613</v>
      </c>
      <c r="BR781" s="112" t="s">
        <v>444</v>
      </c>
      <c r="BS781" s="112" t="s">
        <v>445</v>
      </c>
      <c r="BT781" s="114">
        <f t="shared" ca="1" si="1428"/>
        <v>0</v>
      </c>
      <c r="BU781" s="112"/>
      <c r="BV781">
        <f t="shared" ca="1" si="1514"/>
        <v>1</v>
      </c>
      <c r="BW781" s="112">
        <f t="shared" ca="1" si="1468"/>
        <v>44075</v>
      </c>
      <c r="BX781" s="112">
        <f t="shared" ref="BX781:BX783" ca="1" si="1535">INDIRECT(CONCATENATE(BS781,BQ781))-1</f>
        <v>44196</v>
      </c>
      <c r="BY781">
        <f t="shared" ca="1" si="1499"/>
        <v>18</v>
      </c>
      <c r="BZ781">
        <f t="shared" ca="1" si="1500"/>
        <v>24</v>
      </c>
      <c r="CB781">
        <f t="shared" ca="1" si="1472"/>
        <v>0</v>
      </c>
      <c r="CC781" s="112">
        <f t="shared" ca="1" si="1473"/>
        <v>44075</v>
      </c>
      <c r="CD781" s="112">
        <f t="shared" ca="1" si="1474"/>
        <v>44196</v>
      </c>
      <c r="CE781">
        <f t="shared" ca="1" si="1475"/>
        <v>18</v>
      </c>
      <c r="CF781">
        <f t="shared" ca="1" si="1476"/>
        <v>24</v>
      </c>
      <c r="CH781" s="112">
        <f t="shared" ca="1" si="1331"/>
        <v>44439</v>
      </c>
      <c r="CI781">
        <f t="shared" ref="CI781" ca="1" si="1536">CB781+CB782+CB783+CB784+CB785</f>
        <v>0</v>
      </c>
      <c r="CJ781">
        <v>0</v>
      </c>
      <c r="CK781" s="112">
        <f t="shared" ca="1" si="1337"/>
        <v>44439</v>
      </c>
      <c r="CM781" s="112"/>
      <c r="CN781" s="408">
        <f t="shared" ca="1" si="1489"/>
        <v>44075</v>
      </c>
      <c r="CO781" s="326">
        <f t="shared" ref="CO781" ca="1" si="1537">CD781</f>
        <v>44196</v>
      </c>
      <c r="CP781" s="333">
        <f t="shared" ca="1" si="1339"/>
        <v>18</v>
      </c>
      <c r="CQ781" s="327">
        <f t="shared" ca="1" si="1340"/>
        <v>24</v>
      </c>
      <c r="CS781" s="112">
        <f t="shared" ca="1" si="1470"/>
        <v>44075</v>
      </c>
      <c r="CT781" s="112">
        <f t="shared" ref="CT781" ca="1" si="1538">IF(AND( CN782=100000,CN783=100000,CN784=100000,CN785=100000),CO785,                             CO781)</f>
        <v>44196</v>
      </c>
      <c r="CU781" s="238">
        <f t="shared" ca="1" si="1478"/>
        <v>18</v>
      </c>
      <c r="CV781" s="238">
        <f t="shared" ca="1" si="1479"/>
        <v>24</v>
      </c>
      <c r="CY781">
        <f t="shared" si="1483"/>
        <v>211</v>
      </c>
      <c r="DA781" s="112">
        <f t="shared" ca="1" si="1484"/>
        <v>100000</v>
      </c>
      <c r="DE781" t="str">
        <f t="shared" si="1502"/>
        <v>cs:dc790</v>
      </c>
      <c r="DF781" t="e">
        <f t="shared" ca="1" si="1480"/>
        <v>#REF!</v>
      </c>
    </row>
    <row r="782" spans="47:120" x14ac:dyDescent="0.25">
      <c r="AU782" s="112"/>
      <c r="AV782" s="112"/>
      <c r="BQ782" s="238">
        <f t="shared" ref="BQ782:BQ785" si="1539">BQ781</f>
        <v>613</v>
      </c>
      <c r="BR782" t="s">
        <v>445</v>
      </c>
      <c r="BS782" t="s">
        <v>446</v>
      </c>
      <c r="BT782" s="114">
        <f t="shared" ca="1" si="1428"/>
        <v>0</v>
      </c>
      <c r="BU782" s="112"/>
      <c r="BV782">
        <f t="shared" ca="1" si="1514"/>
        <v>1</v>
      </c>
      <c r="BW782" s="112">
        <f t="shared" ca="1" si="1468"/>
        <v>44197</v>
      </c>
      <c r="BX782" s="112">
        <f t="shared" ca="1" si="1535"/>
        <v>44196</v>
      </c>
      <c r="BY782">
        <f t="shared" ca="1" si="1499"/>
        <v>18</v>
      </c>
      <c r="BZ782">
        <f t="shared" ca="1" si="1500"/>
        <v>24</v>
      </c>
      <c r="CB782">
        <f t="shared" ca="1" si="1472"/>
        <v>0</v>
      </c>
      <c r="CC782" s="112">
        <f t="shared" ca="1" si="1473"/>
        <v>100000</v>
      </c>
      <c r="CD782" s="112">
        <f t="shared" ca="1" si="1474"/>
        <v>44196</v>
      </c>
      <c r="CE782">
        <f t="shared" ca="1" si="1475"/>
        <v>18</v>
      </c>
      <c r="CF782">
        <f t="shared" ca="1" si="1476"/>
        <v>24</v>
      </c>
      <c r="CH782" s="112">
        <f t="shared" ca="1" si="1331"/>
        <v>44439</v>
      </c>
      <c r="CI782">
        <f t="shared" ref="CI782:CI785" ca="1" si="1540">CI781</f>
        <v>0</v>
      </c>
      <c r="CJ782">
        <f t="shared" ref="CJ782" ca="1" si="1541">IF(AND(CI782=0,CJ783=0,CJ784=0,CJ785=0,CC782&lt;100000),1,0)</f>
        <v>0</v>
      </c>
      <c r="CK782" s="112">
        <f t="shared" ca="1" si="1337"/>
        <v>44439</v>
      </c>
      <c r="CM782" s="112"/>
      <c r="CN782" s="260">
        <f t="shared" ca="1" si="1489"/>
        <v>100000</v>
      </c>
      <c r="CO782" s="112">
        <f t="shared" ref="CO782:CO785" ca="1" si="1542">IF(CJ782=1,CH782,CD782)</f>
        <v>44196</v>
      </c>
      <c r="CP782" s="238">
        <f t="shared" ca="1" si="1339"/>
        <v>18</v>
      </c>
      <c r="CQ782" s="328">
        <f t="shared" ca="1" si="1340"/>
        <v>24</v>
      </c>
      <c r="CS782" s="112">
        <f t="shared" ca="1" si="1470"/>
        <v>100000</v>
      </c>
      <c r="CT782" s="112">
        <f t="shared" ca="1" si="1496"/>
        <v>44196</v>
      </c>
      <c r="CU782" s="238">
        <f t="shared" ca="1" si="1478"/>
        <v>18</v>
      </c>
      <c r="CV782" s="238">
        <f t="shared" ca="1" si="1479"/>
        <v>24</v>
      </c>
      <c r="CY782">
        <f t="shared" si="1483"/>
        <v>212</v>
      </c>
      <c r="DA782" s="112">
        <f t="shared" ca="1" si="1484"/>
        <v>100000</v>
      </c>
      <c r="DE782" t="str">
        <f t="shared" si="1502"/>
        <v>cs:dc790</v>
      </c>
      <c r="DF782" t="e">
        <f t="shared" ca="1" si="1480"/>
        <v>#REF!</v>
      </c>
    </row>
    <row r="783" spans="47:120" x14ac:dyDescent="0.25">
      <c r="AU783" s="112"/>
      <c r="AV783" s="112"/>
      <c r="BQ783" s="238">
        <f t="shared" si="1539"/>
        <v>613</v>
      </c>
      <c r="BR783" t="s">
        <v>446</v>
      </c>
      <c r="BS783" t="s">
        <v>447</v>
      </c>
      <c r="BT783" s="114">
        <f t="shared" ca="1" si="1428"/>
        <v>0</v>
      </c>
      <c r="BU783" s="112"/>
      <c r="BV783">
        <f t="shared" ca="1" si="1514"/>
        <v>1</v>
      </c>
      <c r="BW783" s="112">
        <f t="shared" ca="1" si="1468"/>
        <v>44197</v>
      </c>
      <c r="BX783" s="112">
        <f t="shared" ca="1" si="1535"/>
        <v>44438</v>
      </c>
      <c r="BY783">
        <f t="shared" ca="1" si="1499"/>
        <v>18</v>
      </c>
      <c r="BZ783">
        <f t="shared" ca="1" si="1500"/>
        <v>24</v>
      </c>
      <c r="CB783">
        <f t="shared" ca="1" si="1472"/>
        <v>0</v>
      </c>
      <c r="CC783" s="112">
        <f t="shared" ca="1" si="1473"/>
        <v>44197</v>
      </c>
      <c r="CD783" s="112">
        <f t="shared" ca="1" si="1474"/>
        <v>44438</v>
      </c>
      <c r="CE783">
        <f t="shared" ca="1" si="1475"/>
        <v>18</v>
      </c>
      <c r="CF783">
        <f t="shared" ca="1" si="1476"/>
        <v>24</v>
      </c>
      <c r="CH783" s="112">
        <f t="shared" ca="1" si="1331"/>
        <v>44439</v>
      </c>
      <c r="CI783">
        <f t="shared" ca="1" si="1540"/>
        <v>0</v>
      </c>
      <c r="CJ783">
        <f t="shared" ref="CJ783" ca="1" si="1543">IF(AND(CI783=0,CJ784=0,CJ785=0,CC783&lt;100000),1,0)</f>
        <v>1</v>
      </c>
      <c r="CK783" s="112">
        <f t="shared" ca="1" si="1337"/>
        <v>1</v>
      </c>
      <c r="CM783" s="112"/>
      <c r="CN783" s="260">
        <f t="shared" ca="1" si="1489"/>
        <v>44197</v>
      </c>
      <c r="CO783" s="112">
        <f t="shared" ca="1" si="1542"/>
        <v>44439</v>
      </c>
      <c r="CP783" s="238">
        <f t="shared" ca="1" si="1339"/>
        <v>18</v>
      </c>
      <c r="CQ783" s="328">
        <f t="shared" ca="1" si="1340"/>
        <v>24</v>
      </c>
      <c r="CS783" s="112">
        <f t="shared" ca="1" si="1470"/>
        <v>44197</v>
      </c>
      <c r="CT783" s="112">
        <f t="shared" ca="1" si="1496"/>
        <v>44439</v>
      </c>
      <c r="CU783" s="238">
        <f t="shared" ca="1" si="1478"/>
        <v>18</v>
      </c>
      <c r="CV783" s="238">
        <f t="shared" ca="1" si="1479"/>
        <v>24</v>
      </c>
      <c r="CY783">
        <f t="shared" si="1483"/>
        <v>213</v>
      </c>
      <c r="DA783" s="112">
        <f t="shared" ca="1" si="1484"/>
        <v>100000</v>
      </c>
      <c r="DE783" t="str">
        <f t="shared" si="1502"/>
        <v>cs:dc790</v>
      </c>
      <c r="DF783" t="e">
        <f t="shared" ca="1" si="1480"/>
        <v>#REF!</v>
      </c>
    </row>
    <row r="784" spans="47:120" x14ac:dyDescent="0.25">
      <c r="AU784" s="112"/>
      <c r="AV784" s="112"/>
      <c r="BQ784" s="238">
        <f t="shared" si="1539"/>
        <v>613</v>
      </c>
      <c r="BR784" t="s">
        <v>447</v>
      </c>
      <c r="BS784" t="s">
        <v>448</v>
      </c>
      <c r="BT784" s="114">
        <f t="shared" ca="1" si="1428"/>
        <v>0</v>
      </c>
      <c r="BU784" s="112"/>
      <c r="BV784">
        <f t="shared" ca="1" si="1514"/>
        <v>0</v>
      </c>
      <c r="BW784" s="112">
        <f t="shared" ca="1" si="1468"/>
        <v>44439</v>
      </c>
      <c r="BX784" s="112">
        <f t="shared" ref="BX784:BX785" ca="1" si="1544">INDIRECT(CONCATENATE(BS784,BQ784))</f>
        <v>44439</v>
      </c>
      <c r="BY784">
        <f t="shared" ca="1" si="1499"/>
        <v>18</v>
      </c>
      <c r="BZ784">
        <f t="shared" ca="1" si="1500"/>
        <v>24</v>
      </c>
      <c r="CB784">
        <f t="shared" ca="1" si="1472"/>
        <v>0</v>
      </c>
      <c r="CC784" s="112">
        <f t="shared" ca="1" si="1473"/>
        <v>100000</v>
      </c>
      <c r="CD784" s="112">
        <f t="shared" ca="1" si="1474"/>
        <v>44439</v>
      </c>
      <c r="CE784">
        <f t="shared" ca="1" si="1475"/>
        <v>18</v>
      </c>
      <c r="CF784">
        <f t="shared" ca="1" si="1476"/>
        <v>24</v>
      </c>
      <c r="CH784" s="112">
        <f t="shared" ref="CH784:CH847" ca="1" si="1545">INDIRECT(CONCATENATE("af",BQ784))</f>
        <v>44439</v>
      </c>
      <c r="CI784">
        <f t="shared" ca="1" si="1540"/>
        <v>0</v>
      </c>
      <c r="CJ784">
        <f t="shared" ref="CJ784" ca="1" si="1546">IF(AND(CI784=0,CJ785=0,CC784&lt;100000),1,0)</f>
        <v>0</v>
      </c>
      <c r="CK784" s="112">
        <f t="shared" ca="1" si="1337"/>
        <v>44439</v>
      </c>
      <c r="CM784" s="112"/>
      <c r="CN784" s="260">
        <f t="shared" ca="1" si="1489"/>
        <v>100000</v>
      </c>
      <c r="CO784" s="112">
        <f t="shared" ca="1" si="1542"/>
        <v>44439</v>
      </c>
      <c r="CP784" s="238">
        <f t="shared" ca="1" si="1339"/>
        <v>18</v>
      </c>
      <c r="CQ784" s="328">
        <f t="shared" ca="1" si="1340"/>
        <v>24</v>
      </c>
      <c r="CS784" s="112">
        <f t="shared" ca="1" si="1470"/>
        <v>100000</v>
      </c>
      <c r="CT784" s="112">
        <f t="shared" ca="1" si="1496"/>
        <v>44439</v>
      </c>
      <c r="CU784" s="238">
        <f t="shared" ca="1" si="1478"/>
        <v>18</v>
      </c>
      <c r="CV784" s="238">
        <f t="shared" ca="1" si="1479"/>
        <v>24</v>
      </c>
      <c r="CY784">
        <f t="shared" si="1483"/>
        <v>214</v>
      </c>
      <c r="DA784" s="112">
        <f t="shared" ca="1" si="1484"/>
        <v>100000</v>
      </c>
      <c r="DE784" t="str">
        <f t="shared" si="1502"/>
        <v>cs:dc790</v>
      </c>
      <c r="DF784" t="e">
        <f t="shared" ca="1" si="1480"/>
        <v>#REF!</v>
      </c>
    </row>
    <row r="785" spans="47:110" ht="15.75" thickBot="1" x14ac:dyDescent="0.3">
      <c r="AU785" s="112"/>
      <c r="AV785" s="112"/>
      <c r="BQ785" s="238">
        <f t="shared" si="1539"/>
        <v>613</v>
      </c>
      <c r="BR785" t="s">
        <v>448</v>
      </c>
      <c r="BS785" t="s">
        <v>449</v>
      </c>
      <c r="BT785" s="114">
        <f t="shared" ca="1" si="1428"/>
        <v>0</v>
      </c>
      <c r="BU785" s="112"/>
      <c r="BV785">
        <f t="shared" ca="1" si="1514"/>
        <v>0</v>
      </c>
      <c r="BW785" s="112">
        <f t="shared" ca="1" si="1468"/>
        <v>44439</v>
      </c>
      <c r="BX785" s="112">
        <f t="shared" ca="1" si="1544"/>
        <v>44439</v>
      </c>
      <c r="BY785">
        <f t="shared" ca="1" si="1499"/>
        <v>18</v>
      </c>
      <c r="BZ785">
        <f t="shared" ca="1" si="1500"/>
        <v>24</v>
      </c>
      <c r="CB785">
        <f t="shared" ca="1" si="1472"/>
        <v>0</v>
      </c>
      <c r="CC785" s="112">
        <f t="shared" ca="1" si="1473"/>
        <v>100000</v>
      </c>
      <c r="CD785" s="112">
        <f t="shared" ca="1" si="1474"/>
        <v>44439</v>
      </c>
      <c r="CE785">
        <f t="shared" ca="1" si="1475"/>
        <v>18</v>
      </c>
      <c r="CF785">
        <f t="shared" ca="1" si="1476"/>
        <v>24</v>
      </c>
      <c r="CH785" s="112">
        <f t="shared" ca="1" si="1545"/>
        <v>44439</v>
      </c>
      <c r="CI785">
        <f t="shared" ca="1" si="1540"/>
        <v>0</v>
      </c>
      <c r="CJ785">
        <f t="shared" ref="CJ785" ca="1" si="1547">IF(AND(CI785=0,CC785&lt;100000),1,0)</f>
        <v>0</v>
      </c>
      <c r="CK785" s="112">
        <f t="shared" ref="CK785:CK848" ca="1" si="1548">IF(CJ785=0,INDIRECT(CONCATENATE("af",BQ785)),1)</f>
        <v>44439</v>
      </c>
      <c r="CM785" s="112"/>
      <c r="CN785" s="261">
        <f t="shared" ref="CN785" ca="1" si="1549">IF(AND(CN781=100000,CN782=100000,CN783=100000,CN784=100000),INDIRECT(CONCATENATE("aa",BQ785)),CC785)</f>
        <v>100000</v>
      </c>
      <c r="CO785" s="324">
        <f t="shared" ca="1" si="1542"/>
        <v>44439</v>
      </c>
      <c r="CP785" s="256">
        <f t="shared" ref="CP785:CP848" ca="1" si="1550">CE785</f>
        <v>18</v>
      </c>
      <c r="CQ785" s="329">
        <f t="shared" ref="CQ785:CQ848" ca="1" si="1551">CF785</f>
        <v>24</v>
      </c>
      <c r="CS785" s="112">
        <f t="shared" ca="1" si="1470"/>
        <v>100000</v>
      </c>
      <c r="CT785" s="112">
        <f t="shared" ca="1" si="1496"/>
        <v>44439</v>
      </c>
      <c r="CU785" s="238">
        <f t="shared" ca="1" si="1478"/>
        <v>18</v>
      </c>
      <c r="CV785" s="238">
        <f t="shared" ca="1" si="1479"/>
        <v>24</v>
      </c>
      <c r="CY785">
        <f t="shared" si="1483"/>
        <v>215</v>
      </c>
      <c r="DA785" s="112">
        <f t="shared" ca="1" si="1484"/>
        <v>100000</v>
      </c>
      <c r="DE785" t="str">
        <f t="shared" si="1502"/>
        <v>cs:dc790</v>
      </c>
      <c r="DF785" t="e">
        <f t="shared" ca="1" si="1480"/>
        <v>#REF!</v>
      </c>
    </row>
    <row r="786" spans="47:110" x14ac:dyDescent="0.25">
      <c r="AU786" s="112"/>
      <c r="AV786" s="112"/>
      <c r="BQ786" s="238">
        <f t="shared" ref="BQ786" si="1552">BQ785+1</f>
        <v>614</v>
      </c>
      <c r="BR786" s="112" t="s">
        <v>444</v>
      </c>
      <c r="BS786" s="112" t="s">
        <v>445</v>
      </c>
      <c r="BT786" s="114">
        <f t="shared" ca="1" si="1428"/>
        <v>0</v>
      </c>
      <c r="BU786" s="112"/>
      <c r="BV786">
        <f t="shared" ca="1" si="1514"/>
        <v>1</v>
      </c>
      <c r="BW786" s="112">
        <f t="shared" ca="1" si="1468"/>
        <v>44440</v>
      </c>
      <c r="BX786" s="112">
        <f t="shared" ref="BX786:BX788" ca="1" si="1553">INDIRECT(CONCATENATE(BS786,BQ786))-1</f>
        <v>44561</v>
      </c>
      <c r="BY786">
        <f t="shared" ca="1" si="1499"/>
        <v>18</v>
      </c>
      <c r="BZ786">
        <f t="shared" ca="1" si="1500"/>
        <v>24</v>
      </c>
      <c r="CB786">
        <f t="shared" ca="1" si="1472"/>
        <v>0</v>
      </c>
      <c r="CC786" s="112">
        <f t="shared" ca="1" si="1473"/>
        <v>44440</v>
      </c>
      <c r="CD786" s="112">
        <f t="shared" ca="1" si="1474"/>
        <v>44561</v>
      </c>
      <c r="CE786">
        <f t="shared" ca="1" si="1475"/>
        <v>18</v>
      </c>
      <c r="CF786">
        <f t="shared" ca="1" si="1476"/>
        <v>24</v>
      </c>
      <c r="CH786" s="112">
        <f t="shared" ca="1" si="1545"/>
        <v>44804</v>
      </c>
      <c r="CI786">
        <f t="shared" ref="CI786" ca="1" si="1554">CB786+CB787+CB788+CB789+CB790</f>
        <v>1</v>
      </c>
      <c r="CJ786">
        <v>0</v>
      </c>
      <c r="CK786" s="112">
        <f t="shared" ca="1" si="1548"/>
        <v>44804</v>
      </c>
      <c r="CM786" s="112"/>
      <c r="CN786" s="408">
        <f t="shared" ca="1" si="1489"/>
        <v>44440</v>
      </c>
      <c r="CO786" s="326">
        <f t="shared" ref="CO786" ca="1" si="1555">CD786</f>
        <v>44561</v>
      </c>
      <c r="CP786" s="333">
        <f t="shared" ca="1" si="1550"/>
        <v>18</v>
      </c>
      <c r="CQ786" s="327">
        <f t="shared" ca="1" si="1551"/>
        <v>24</v>
      </c>
      <c r="CS786" s="112">
        <f t="shared" ca="1" si="1470"/>
        <v>44440</v>
      </c>
      <c r="CT786" s="112">
        <f t="shared" ref="CT786" ca="1" si="1556">IF(AND( CN787=100000,CN788=100000,CN789=100000,CN790=100000),CO790,                             CO786)</f>
        <v>44561</v>
      </c>
      <c r="CU786" s="238">
        <f t="shared" ca="1" si="1478"/>
        <v>18</v>
      </c>
      <c r="CV786" s="238">
        <f t="shared" ca="1" si="1479"/>
        <v>24</v>
      </c>
      <c r="CY786">
        <f t="shared" si="1483"/>
        <v>216</v>
      </c>
      <c r="DA786" s="112">
        <f t="shared" ca="1" si="1484"/>
        <v>100000</v>
      </c>
      <c r="DE786" t="str">
        <f t="shared" si="1502"/>
        <v>cs:dc790</v>
      </c>
      <c r="DF786" t="e">
        <f t="shared" ca="1" si="1480"/>
        <v>#REF!</v>
      </c>
    </row>
    <row r="787" spans="47:110" x14ac:dyDescent="0.25">
      <c r="AU787" s="112"/>
      <c r="AV787" s="112"/>
      <c r="BQ787" s="238">
        <f t="shared" ref="BQ787:BQ790" si="1557">BQ786</f>
        <v>614</v>
      </c>
      <c r="BR787" t="s">
        <v>445</v>
      </c>
      <c r="BS787" t="s">
        <v>446</v>
      </c>
      <c r="BT787" s="114">
        <f t="shared" ca="1" si="1428"/>
        <v>0</v>
      </c>
      <c r="BU787" s="112"/>
      <c r="BV787">
        <f t="shared" ca="1" si="1514"/>
        <v>1</v>
      </c>
      <c r="BW787" s="112">
        <f t="shared" ca="1" si="1468"/>
        <v>44562</v>
      </c>
      <c r="BX787" s="112">
        <f t="shared" ca="1" si="1553"/>
        <v>44561</v>
      </c>
      <c r="BY787">
        <f t="shared" ca="1" si="1499"/>
        <v>18</v>
      </c>
      <c r="BZ787">
        <f t="shared" ca="1" si="1500"/>
        <v>24</v>
      </c>
      <c r="CB787">
        <f t="shared" ca="1" si="1472"/>
        <v>0</v>
      </c>
      <c r="CC787" s="112">
        <f t="shared" ca="1" si="1473"/>
        <v>100000</v>
      </c>
      <c r="CD787" s="112">
        <f t="shared" ca="1" si="1474"/>
        <v>44561</v>
      </c>
      <c r="CE787">
        <f t="shared" ca="1" si="1475"/>
        <v>18</v>
      </c>
      <c r="CF787">
        <f t="shared" ca="1" si="1476"/>
        <v>24</v>
      </c>
      <c r="CH787" s="112">
        <f t="shared" ca="1" si="1545"/>
        <v>44804</v>
      </c>
      <c r="CI787">
        <f t="shared" ref="CI787:CI790" ca="1" si="1558">CI786</f>
        <v>1</v>
      </c>
      <c r="CJ787">
        <f t="shared" ref="CJ787" ca="1" si="1559">IF(AND(CI787=0,CJ788=0,CJ789=0,CJ790=0,CC787&lt;100000),1,0)</f>
        <v>0</v>
      </c>
      <c r="CK787" s="112">
        <f t="shared" ca="1" si="1548"/>
        <v>44804</v>
      </c>
      <c r="CM787" s="112"/>
      <c r="CN787" s="260">
        <f t="shared" ca="1" si="1489"/>
        <v>100000</v>
      </c>
      <c r="CO787" s="112">
        <f t="shared" ref="CO787:CO790" ca="1" si="1560">IF(CJ787=1,CH787,CD787)</f>
        <v>44561</v>
      </c>
      <c r="CP787" s="238">
        <f t="shared" ca="1" si="1550"/>
        <v>18</v>
      </c>
      <c r="CQ787" s="328">
        <f t="shared" ca="1" si="1551"/>
        <v>24</v>
      </c>
      <c r="CS787" s="112">
        <f t="shared" ca="1" si="1470"/>
        <v>100000</v>
      </c>
      <c r="CT787" s="112">
        <f t="shared" ca="1" si="1496"/>
        <v>44561</v>
      </c>
      <c r="CU787" s="238">
        <f t="shared" ca="1" si="1478"/>
        <v>18</v>
      </c>
      <c r="CV787" s="238">
        <f t="shared" ca="1" si="1479"/>
        <v>24</v>
      </c>
      <c r="CY787">
        <f t="shared" si="1483"/>
        <v>217</v>
      </c>
      <c r="DA787" s="112">
        <f t="shared" ca="1" si="1484"/>
        <v>100000</v>
      </c>
      <c r="DE787" t="str">
        <f t="shared" si="1502"/>
        <v>cs:dc790</v>
      </c>
      <c r="DF787" t="e">
        <f t="shared" ca="1" si="1480"/>
        <v>#REF!</v>
      </c>
    </row>
    <row r="788" spans="47:110" x14ac:dyDescent="0.25">
      <c r="AU788" s="112"/>
      <c r="AV788" s="112"/>
      <c r="BQ788" s="238">
        <f t="shared" si="1557"/>
        <v>614</v>
      </c>
      <c r="BR788" t="s">
        <v>446</v>
      </c>
      <c r="BS788" t="s">
        <v>447</v>
      </c>
      <c r="BT788" s="114">
        <f t="shared" ca="1" si="1428"/>
        <v>0</v>
      </c>
      <c r="BU788" s="112"/>
      <c r="BV788">
        <f t="shared" ca="1" si="1514"/>
        <v>1</v>
      </c>
      <c r="BW788" s="112">
        <f t="shared" ca="1" si="1468"/>
        <v>44562</v>
      </c>
      <c r="BX788" s="112">
        <f t="shared" ca="1" si="1553"/>
        <v>44651</v>
      </c>
      <c r="BY788">
        <f t="shared" ca="1" si="1499"/>
        <v>18</v>
      </c>
      <c r="BZ788">
        <f t="shared" ca="1" si="1500"/>
        <v>24</v>
      </c>
      <c r="CB788">
        <f t="shared" ca="1" si="1472"/>
        <v>0</v>
      </c>
      <c r="CC788" s="112">
        <f t="shared" ca="1" si="1473"/>
        <v>44562</v>
      </c>
      <c r="CD788" s="112">
        <f t="shared" ca="1" si="1474"/>
        <v>44651</v>
      </c>
      <c r="CE788">
        <f t="shared" ca="1" si="1475"/>
        <v>18</v>
      </c>
      <c r="CF788">
        <f t="shared" ca="1" si="1476"/>
        <v>24</v>
      </c>
      <c r="CH788" s="112">
        <f t="shared" ca="1" si="1545"/>
        <v>44804</v>
      </c>
      <c r="CI788">
        <f t="shared" ca="1" si="1558"/>
        <v>1</v>
      </c>
      <c r="CJ788">
        <f t="shared" ref="CJ788" ca="1" si="1561">IF(AND(CI788=0,CJ789=0,CJ790=0,CC788&lt;100000),1,0)</f>
        <v>0</v>
      </c>
      <c r="CK788" s="112">
        <f t="shared" ca="1" si="1548"/>
        <v>44804</v>
      </c>
      <c r="CM788" s="112"/>
      <c r="CN788" s="260">
        <f t="shared" ca="1" si="1489"/>
        <v>44562</v>
      </c>
      <c r="CO788" s="112">
        <f t="shared" ca="1" si="1560"/>
        <v>44651</v>
      </c>
      <c r="CP788" s="238">
        <f t="shared" ca="1" si="1550"/>
        <v>18</v>
      </c>
      <c r="CQ788" s="328">
        <f t="shared" ca="1" si="1551"/>
        <v>24</v>
      </c>
      <c r="CS788" s="112">
        <f t="shared" ca="1" si="1470"/>
        <v>44562</v>
      </c>
      <c r="CT788" s="112">
        <f t="shared" ca="1" si="1496"/>
        <v>44651</v>
      </c>
      <c r="CU788" s="238">
        <f t="shared" ca="1" si="1478"/>
        <v>18</v>
      </c>
      <c r="CV788" s="238">
        <f t="shared" ca="1" si="1479"/>
        <v>24</v>
      </c>
      <c r="CY788">
        <f t="shared" si="1483"/>
        <v>218</v>
      </c>
      <c r="DA788" s="112">
        <f t="shared" ca="1" si="1484"/>
        <v>100000</v>
      </c>
      <c r="DE788" t="str">
        <f t="shared" si="1502"/>
        <v>cs:dc790</v>
      </c>
      <c r="DF788" t="e">
        <f t="shared" ca="1" si="1480"/>
        <v>#REF!</v>
      </c>
    </row>
    <row r="789" spans="47:110" x14ac:dyDescent="0.25">
      <c r="AU789" s="112"/>
      <c r="AV789" s="112"/>
      <c r="BQ789" s="238">
        <f t="shared" si="1557"/>
        <v>614</v>
      </c>
      <c r="BR789" t="s">
        <v>447</v>
      </c>
      <c r="BS789" t="s">
        <v>448</v>
      </c>
      <c r="BT789" s="114">
        <f t="shared" ca="1" si="1428"/>
        <v>0</v>
      </c>
      <c r="BU789" s="112"/>
      <c r="BV789">
        <f t="shared" ca="1" si="1514"/>
        <v>1</v>
      </c>
      <c r="BW789" s="112">
        <f t="shared" ca="1" si="1468"/>
        <v>44652</v>
      </c>
      <c r="BX789" s="112">
        <f t="shared" ref="BX789:BX790" ca="1" si="1562">INDIRECT(CONCATENATE(BS789,BQ789))</f>
        <v>44743</v>
      </c>
      <c r="BY789">
        <f t="shared" ca="1" si="1499"/>
        <v>18</v>
      </c>
      <c r="BZ789">
        <f t="shared" ca="1" si="1500"/>
        <v>24</v>
      </c>
      <c r="CB789">
        <f t="shared" ca="1" si="1472"/>
        <v>0</v>
      </c>
      <c r="CC789" s="112">
        <f t="shared" ca="1" si="1473"/>
        <v>44652</v>
      </c>
      <c r="CD789" s="112">
        <f t="shared" ca="1" si="1474"/>
        <v>44743</v>
      </c>
      <c r="CE789">
        <f t="shared" ca="1" si="1475"/>
        <v>18</v>
      </c>
      <c r="CF789">
        <f t="shared" ca="1" si="1476"/>
        <v>24</v>
      </c>
      <c r="CH789" s="112">
        <f t="shared" ca="1" si="1545"/>
        <v>44804</v>
      </c>
      <c r="CI789">
        <f t="shared" ca="1" si="1558"/>
        <v>1</v>
      </c>
      <c r="CJ789">
        <f t="shared" ref="CJ789" ca="1" si="1563">IF(AND(CI789=0,CJ790=0,CC789&lt;100000),1,0)</f>
        <v>0</v>
      </c>
      <c r="CK789" s="112">
        <f t="shared" ca="1" si="1548"/>
        <v>44804</v>
      </c>
      <c r="CM789" s="112"/>
      <c r="CN789" s="260">
        <f t="shared" ca="1" si="1489"/>
        <v>44652</v>
      </c>
      <c r="CO789" s="112">
        <f t="shared" ca="1" si="1560"/>
        <v>44743</v>
      </c>
      <c r="CP789" s="238">
        <f t="shared" ca="1" si="1550"/>
        <v>18</v>
      </c>
      <c r="CQ789" s="328">
        <f t="shared" ca="1" si="1551"/>
        <v>24</v>
      </c>
      <c r="CS789" s="112">
        <f t="shared" ca="1" si="1470"/>
        <v>44652</v>
      </c>
      <c r="CT789" s="112">
        <f t="shared" ca="1" si="1496"/>
        <v>44743</v>
      </c>
      <c r="CU789" s="238">
        <f t="shared" ca="1" si="1478"/>
        <v>18</v>
      </c>
      <c r="CV789" s="238">
        <f t="shared" ca="1" si="1479"/>
        <v>24</v>
      </c>
      <c r="CY789">
        <f t="shared" si="1483"/>
        <v>219</v>
      </c>
      <c r="DA789" s="112">
        <f t="shared" ca="1" si="1484"/>
        <v>100000</v>
      </c>
      <c r="DE789" t="str">
        <f t="shared" si="1502"/>
        <v>cs:dc790</v>
      </c>
      <c r="DF789" t="e">
        <f t="shared" ca="1" si="1480"/>
        <v>#REF!</v>
      </c>
    </row>
    <row r="790" spans="47:110" ht="15.75" thickBot="1" x14ac:dyDescent="0.3">
      <c r="AU790" s="112"/>
      <c r="AV790" s="112"/>
      <c r="BQ790" s="238">
        <f t="shared" si="1557"/>
        <v>614</v>
      </c>
      <c r="BR790" t="s">
        <v>448</v>
      </c>
      <c r="BS790" t="s">
        <v>449</v>
      </c>
      <c r="BT790" s="114">
        <f t="shared" ca="1" si="1428"/>
        <v>0</v>
      </c>
      <c r="BU790" s="112"/>
      <c r="BV790">
        <f t="shared" ca="1" si="1514"/>
        <v>1</v>
      </c>
      <c r="BW790" s="112">
        <f t="shared" ca="1" si="1468"/>
        <v>44743</v>
      </c>
      <c r="BX790" s="112">
        <f t="shared" ca="1" si="1562"/>
        <v>44804</v>
      </c>
      <c r="BY790">
        <f t="shared" ca="1" si="1499"/>
        <v>18</v>
      </c>
      <c r="BZ790">
        <f t="shared" ca="1" si="1500"/>
        <v>24</v>
      </c>
      <c r="CB790">
        <f t="shared" ca="1" si="1472"/>
        <v>1</v>
      </c>
      <c r="CC790" s="112">
        <f t="shared" ca="1" si="1473"/>
        <v>44743</v>
      </c>
      <c r="CD790" s="112">
        <f t="shared" ca="1" si="1474"/>
        <v>44804</v>
      </c>
      <c r="CE790">
        <f t="shared" ca="1" si="1475"/>
        <v>18</v>
      </c>
      <c r="CF790">
        <f t="shared" ca="1" si="1476"/>
        <v>24</v>
      </c>
      <c r="CH790" s="112">
        <f t="shared" ca="1" si="1545"/>
        <v>44804</v>
      </c>
      <c r="CI790">
        <f t="shared" ca="1" si="1558"/>
        <v>1</v>
      </c>
      <c r="CJ790">
        <f t="shared" ref="CJ790" ca="1" si="1564">IF(AND(CI790=0,CC790&lt;100000),1,0)</f>
        <v>0</v>
      </c>
      <c r="CK790" s="112">
        <f t="shared" ca="1" si="1548"/>
        <v>44804</v>
      </c>
      <c r="CM790" s="112"/>
      <c r="CN790" s="261">
        <f t="shared" ref="CN790" ca="1" si="1565">IF(AND(CN786=100000,CN787=100000,CN788=100000,CN789=100000),INDIRECT(CONCATENATE("aa",BQ790)),CC790)</f>
        <v>44743</v>
      </c>
      <c r="CO790" s="324">
        <f t="shared" ca="1" si="1560"/>
        <v>44804</v>
      </c>
      <c r="CP790" s="256">
        <f t="shared" ca="1" si="1550"/>
        <v>18</v>
      </c>
      <c r="CQ790" s="329">
        <f t="shared" ca="1" si="1551"/>
        <v>24</v>
      </c>
      <c r="CS790" s="112">
        <f t="shared" ca="1" si="1470"/>
        <v>44743</v>
      </c>
      <c r="CT790" s="112">
        <f t="shared" ca="1" si="1496"/>
        <v>44804</v>
      </c>
      <c r="CU790" s="238">
        <f t="shared" ca="1" si="1478"/>
        <v>18</v>
      </c>
      <c r="CV790" s="238">
        <f t="shared" ca="1" si="1479"/>
        <v>24</v>
      </c>
      <c r="CY790">
        <f t="shared" si="1483"/>
        <v>220</v>
      </c>
      <c r="DA790" s="112">
        <f t="shared" ca="1" si="1484"/>
        <v>100000</v>
      </c>
      <c r="DE790" t="str">
        <f t="shared" si="1502"/>
        <v>cs:dc790</v>
      </c>
      <c r="DF790" t="e">
        <f t="shared" ca="1" si="1480"/>
        <v>#REF!</v>
      </c>
    </row>
    <row r="791" spans="47:110" x14ac:dyDescent="0.25">
      <c r="AU791" s="112"/>
      <c r="AV791" s="112"/>
      <c r="BQ791" s="238">
        <f t="shared" ref="BQ791" si="1566">BQ790+1</f>
        <v>615</v>
      </c>
      <c r="BR791" s="112" t="s">
        <v>444</v>
      </c>
      <c r="BS791" s="112" t="s">
        <v>445</v>
      </c>
      <c r="BT791" s="114" t="e">
        <f t="shared" ca="1" si="1428"/>
        <v>#N/A</v>
      </c>
      <c r="BU791" s="112"/>
      <c r="BV791">
        <f t="shared" ca="1" si="1514"/>
        <v>0</v>
      </c>
      <c r="BW791" s="112" t="str">
        <f t="shared" ca="1" si="1468"/>
        <v/>
      </c>
      <c r="BX791" s="112" t="e">
        <f t="shared" ref="BX791:BX793" ca="1" si="1567">INDIRECT(CONCATENATE(BS791,BQ791))-1</f>
        <v>#N/A</v>
      </c>
      <c r="BY791">
        <f t="shared" ca="1" si="1499"/>
        <v>0</v>
      </c>
      <c r="BZ791">
        <f t="shared" ca="1" si="1500"/>
        <v>24</v>
      </c>
      <c r="CB791" t="e">
        <f t="shared" ca="1" si="1472"/>
        <v>#N/A</v>
      </c>
      <c r="CC791" s="112" t="e">
        <f t="shared" ca="1" si="1473"/>
        <v>#N/A</v>
      </c>
      <c r="CD791" s="112" t="e">
        <f t="shared" ca="1" si="1474"/>
        <v>#N/A</v>
      </c>
      <c r="CE791">
        <f t="shared" ca="1" si="1475"/>
        <v>0</v>
      </c>
      <c r="CF791">
        <f t="shared" ca="1" si="1476"/>
        <v>24</v>
      </c>
      <c r="CH791" s="112" t="str">
        <f t="shared" ca="1" si="1545"/>
        <v/>
      </c>
      <c r="CI791" t="e">
        <f t="shared" ref="CI791" ca="1" si="1568">CB791+CB792+CB793+CB794+CB795</f>
        <v>#N/A</v>
      </c>
      <c r="CJ791">
        <v>0</v>
      </c>
      <c r="CK791" s="112" t="str">
        <f t="shared" ca="1" si="1548"/>
        <v/>
      </c>
      <c r="CM791" s="112"/>
      <c r="CN791" s="408" t="e">
        <f t="shared" ca="1" si="1489"/>
        <v>#N/A</v>
      </c>
      <c r="CO791" s="326" t="e">
        <f t="shared" ref="CO791" ca="1" si="1569">CD791</f>
        <v>#N/A</v>
      </c>
      <c r="CP791" s="333">
        <f t="shared" ca="1" si="1550"/>
        <v>0</v>
      </c>
      <c r="CQ791" s="327">
        <f t="shared" ca="1" si="1551"/>
        <v>24</v>
      </c>
      <c r="CS791" s="112">
        <f t="shared" ca="1" si="1470"/>
        <v>100000</v>
      </c>
      <c r="CT791" s="112" t="e">
        <f t="shared" ref="CT791" ca="1" si="1570">IF(AND( CN792=100000,CN793=100000,CN794=100000,CN795=100000),CO795,                             CO791)</f>
        <v>#N/A</v>
      </c>
      <c r="CU791" s="238">
        <f t="shared" ca="1" si="1478"/>
        <v>0</v>
      </c>
      <c r="CV791" s="238">
        <f t="shared" ca="1" si="1479"/>
        <v>24</v>
      </c>
      <c r="CY791">
        <f t="shared" si="1483"/>
        <v>221</v>
      </c>
      <c r="DA791" s="112">
        <f t="shared" ca="1" si="1484"/>
        <v>100000</v>
      </c>
      <c r="DE791" t="str">
        <f t="shared" ref="DE791:DE827" si="1571">CONCATENATE("cs",DC791,":dc771")</f>
        <v>cs:dc771</v>
      </c>
      <c r="DF791" t="e">
        <f t="shared" ca="1" si="1480"/>
        <v>#REF!</v>
      </c>
    </row>
    <row r="792" spans="47:110" x14ac:dyDescent="0.25">
      <c r="AU792" s="112"/>
      <c r="AV792" s="112"/>
      <c r="BQ792" s="238">
        <f t="shared" ref="BQ792:BQ795" si="1572">BQ791</f>
        <v>615</v>
      </c>
      <c r="BR792" t="s">
        <v>445</v>
      </c>
      <c r="BS792" t="s">
        <v>446</v>
      </c>
      <c r="BT792" s="114" t="e">
        <f t="shared" ca="1" si="1428"/>
        <v>#N/A</v>
      </c>
      <c r="BU792" s="112"/>
      <c r="BV792" t="e">
        <f t="shared" ca="1" si="1514"/>
        <v>#N/A</v>
      </c>
      <c r="BW792" s="112" t="e">
        <f t="shared" ca="1" si="1468"/>
        <v>#N/A</v>
      </c>
      <c r="BX792" s="112" t="e">
        <f t="shared" ca="1" si="1567"/>
        <v>#N/A</v>
      </c>
      <c r="BY792">
        <f t="shared" ca="1" si="1499"/>
        <v>0</v>
      </c>
      <c r="BZ792">
        <f t="shared" ca="1" si="1500"/>
        <v>24</v>
      </c>
      <c r="CB792" t="e">
        <f t="shared" ca="1" si="1472"/>
        <v>#N/A</v>
      </c>
      <c r="CC792" s="112" t="e">
        <f t="shared" ca="1" si="1473"/>
        <v>#N/A</v>
      </c>
      <c r="CD792" s="112" t="e">
        <f t="shared" ca="1" si="1474"/>
        <v>#N/A</v>
      </c>
      <c r="CE792">
        <f t="shared" ca="1" si="1475"/>
        <v>0</v>
      </c>
      <c r="CF792">
        <f t="shared" ca="1" si="1476"/>
        <v>24</v>
      </c>
      <c r="CH792" s="112" t="str">
        <f t="shared" ca="1" si="1545"/>
        <v/>
      </c>
      <c r="CI792" t="e">
        <f t="shared" ref="CI792:CI795" ca="1" si="1573">CI791</f>
        <v>#N/A</v>
      </c>
      <c r="CJ792" t="e">
        <f t="shared" ref="CJ792" ca="1" si="1574">IF(AND(CI792=0,CJ793=0,CJ794=0,CJ795=0,CC792&lt;100000),1,0)</f>
        <v>#N/A</v>
      </c>
      <c r="CK792" s="112" t="e">
        <f t="shared" ca="1" si="1548"/>
        <v>#N/A</v>
      </c>
      <c r="CM792" s="112"/>
      <c r="CN792" s="260" t="e">
        <f t="shared" ca="1" si="1489"/>
        <v>#N/A</v>
      </c>
      <c r="CO792" s="112" t="e">
        <f t="shared" ref="CO792:CO795" ca="1" si="1575">IF(CJ792=1,CH792,CD792)</f>
        <v>#N/A</v>
      </c>
      <c r="CP792" s="238">
        <f t="shared" ca="1" si="1550"/>
        <v>0</v>
      </c>
      <c r="CQ792" s="328">
        <f t="shared" ca="1" si="1551"/>
        <v>24</v>
      </c>
      <c r="CS792" s="112">
        <f t="shared" ca="1" si="1470"/>
        <v>100000</v>
      </c>
      <c r="CT792" s="112" t="e">
        <f t="shared" ca="1" si="1496"/>
        <v>#N/A</v>
      </c>
      <c r="CU792" s="238">
        <f t="shared" ca="1" si="1478"/>
        <v>0</v>
      </c>
      <c r="CV792" s="238">
        <f t="shared" ca="1" si="1479"/>
        <v>24</v>
      </c>
      <c r="CY792">
        <f t="shared" si="1483"/>
        <v>222</v>
      </c>
      <c r="DA792" s="112">
        <f t="shared" ca="1" si="1484"/>
        <v>100000</v>
      </c>
      <c r="DE792" t="str">
        <f t="shared" si="1571"/>
        <v>cs:dc771</v>
      </c>
      <c r="DF792" t="e">
        <f t="shared" ca="1" si="1480"/>
        <v>#REF!</v>
      </c>
    </row>
    <row r="793" spans="47:110" x14ac:dyDescent="0.25">
      <c r="AU793" s="112"/>
      <c r="AV793" s="112"/>
      <c r="BQ793" s="238">
        <f t="shared" si="1572"/>
        <v>615</v>
      </c>
      <c r="BR793" t="s">
        <v>446</v>
      </c>
      <c r="BS793" t="s">
        <v>447</v>
      </c>
      <c r="BT793" s="114" t="e">
        <f t="shared" ca="1" si="1428"/>
        <v>#N/A</v>
      </c>
      <c r="BU793" s="112"/>
      <c r="BV793" t="e">
        <f t="shared" ca="1" si="1514"/>
        <v>#N/A</v>
      </c>
      <c r="BW793" s="112" t="e">
        <f t="shared" ca="1" si="1468"/>
        <v>#N/A</v>
      </c>
      <c r="BX793" s="112" t="e">
        <f t="shared" ca="1" si="1567"/>
        <v>#N/A</v>
      </c>
      <c r="BY793">
        <f t="shared" ca="1" si="1499"/>
        <v>0</v>
      </c>
      <c r="BZ793">
        <f t="shared" ca="1" si="1500"/>
        <v>24</v>
      </c>
      <c r="CB793" t="e">
        <f t="shared" ca="1" si="1472"/>
        <v>#N/A</v>
      </c>
      <c r="CC793" s="112" t="e">
        <f t="shared" ca="1" si="1473"/>
        <v>#N/A</v>
      </c>
      <c r="CD793" s="112" t="e">
        <f t="shared" ca="1" si="1474"/>
        <v>#N/A</v>
      </c>
      <c r="CE793">
        <f t="shared" ca="1" si="1475"/>
        <v>0</v>
      </c>
      <c r="CF793">
        <f t="shared" ca="1" si="1476"/>
        <v>24</v>
      </c>
      <c r="CH793" s="112" t="str">
        <f t="shared" ca="1" si="1545"/>
        <v/>
      </c>
      <c r="CI793" t="e">
        <f t="shared" ca="1" si="1573"/>
        <v>#N/A</v>
      </c>
      <c r="CJ793" t="e">
        <f t="shared" ref="CJ793" ca="1" si="1576">IF(AND(CI793=0,CJ794=0,CJ795=0,CC793&lt;100000),1,0)</f>
        <v>#N/A</v>
      </c>
      <c r="CK793" s="112" t="e">
        <f t="shared" ca="1" si="1548"/>
        <v>#N/A</v>
      </c>
      <c r="CM793" s="112"/>
      <c r="CN793" s="260" t="e">
        <f t="shared" ca="1" si="1489"/>
        <v>#N/A</v>
      </c>
      <c r="CO793" s="112" t="e">
        <f t="shared" ca="1" si="1575"/>
        <v>#N/A</v>
      </c>
      <c r="CP793" s="238">
        <f t="shared" ca="1" si="1550"/>
        <v>0</v>
      </c>
      <c r="CQ793" s="328">
        <f t="shared" ca="1" si="1551"/>
        <v>24</v>
      </c>
      <c r="CS793" s="112">
        <f t="shared" ca="1" si="1470"/>
        <v>100000</v>
      </c>
      <c r="CT793" s="112" t="e">
        <f t="shared" ca="1" si="1496"/>
        <v>#N/A</v>
      </c>
      <c r="CU793" s="238">
        <f t="shared" ca="1" si="1478"/>
        <v>0</v>
      </c>
      <c r="CV793" s="238">
        <f t="shared" ca="1" si="1479"/>
        <v>24</v>
      </c>
      <c r="CY793">
        <f t="shared" si="1483"/>
        <v>223</v>
      </c>
      <c r="DA793" s="112">
        <f t="shared" ca="1" si="1484"/>
        <v>100000</v>
      </c>
      <c r="DE793" t="str">
        <f t="shared" si="1571"/>
        <v>cs:dc771</v>
      </c>
      <c r="DF793" t="e">
        <f t="shared" ca="1" si="1480"/>
        <v>#REF!</v>
      </c>
    </row>
    <row r="794" spans="47:110" x14ac:dyDescent="0.25">
      <c r="AU794" s="112"/>
      <c r="AV794" s="112"/>
      <c r="BQ794" s="238">
        <f t="shared" si="1572"/>
        <v>615</v>
      </c>
      <c r="BR794" t="s">
        <v>447</v>
      </c>
      <c r="BS794" t="s">
        <v>448</v>
      </c>
      <c r="BT794" s="114" t="e">
        <f t="shared" ca="1" si="1428"/>
        <v>#N/A</v>
      </c>
      <c r="BU794" s="112"/>
      <c r="BV794" t="e">
        <f t="shared" ca="1" si="1514"/>
        <v>#N/A</v>
      </c>
      <c r="BW794" s="112" t="e">
        <f t="shared" ca="1" si="1468"/>
        <v>#N/A</v>
      </c>
      <c r="BX794" s="112" t="e">
        <f t="shared" ref="BX794:BX795" ca="1" si="1577">INDIRECT(CONCATENATE(BS794,BQ794))</f>
        <v>#N/A</v>
      </c>
      <c r="BY794">
        <f t="shared" ca="1" si="1499"/>
        <v>0</v>
      </c>
      <c r="BZ794">
        <f t="shared" ca="1" si="1500"/>
        <v>24</v>
      </c>
      <c r="CB794" t="e">
        <f t="shared" ca="1" si="1472"/>
        <v>#N/A</v>
      </c>
      <c r="CC794" s="112" t="e">
        <f t="shared" ca="1" si="1473"/>
        <v>#N/A</v>
      </c>
      <c r="CD794" s="112" t="e">
        <f t="shared" ca="1" si="1474"/>
        <v>#N/A</v>
      </c>
      <c r="CE794">
        <f t="shared" ca="1" si="1475"/>
        <v>0</v>
      </c>
      <c r="CF794">
        <f t="shared" ca="1" si="1476"/>
        <v>24</v>
      </c>
      <c r="CH794" s="112" t="str">
        <f t="shared" ca="1" si="1545"/>
        <v/>
      </c>
      <c r="CI794" t="e">
        <f t="shared" ca="1" si="1573"/>
        <v>#N/A</v>
      </c>
      <c r="CJ794" t="e">
        <f t="shared" ref="CJ794" ca="1" si="1578">IF(AND(CI794=0,CJ795=0,CC794&lt;100000),1,0)</f>
        <v>#N/A</v>
      </c>
      <c r="CK794" s="112" t="e">
        <f t="shared" ca="1" si="1548"/>
        <v>#N/A</v>
      </c>
      <c r="CM794" s="112"/>
      <c r="CN794" s="260" t="e">
        <f t="shared" ca="1" si="1489"/>
        <v>#N/A</v>
      </c>
      <c r="CO794" s="112" t="e">
        <f t="shared" ca="1" si="1575"/>
        <v>#N/A</v>
      </c>
      <c r="CP794" s="238">
        <f t="shared" ca="1" si="1550"/>
        <v>0</v>
      </c>
      <c r="CQ794" s="328">
        <f t="shared" ca="1" si="1551"/>
        <v>24</v>
      </c>
      <c r="CS794" s="112">
        <f t="shared" ca="1" si="1470"/>
        <v>100000</v>
      </c>
      <c r="CT794" s="112" t="e">
        <f t="shared" ca="1" si="1496"/>
        <v>#N/A</v>
      </c>
      <c r="CU794" s="238">
        <f t="shared" ca="1" si="1478"/>
        <v>0</v>
      </c>
      <c r="CV794" s="238">
        <f t="shared" ca="1" si="1479"/>
        <v>24</v>
      </c>
      <c r="CY794">
        <f t="shared" si="1483"/>
        <v>224</v>
      </c>
      <c r="DA794" s="112">
        <f t="shared" ca="1" si="1484"/>
        <v>100000</v>
      </c>
      <c r="DE794" t="str">
        <f t="shared" si="1571"/>
        <v>cs:dc771</v>
      </c>
      <c r="DF794" t="e">
        <f t="shared" ca="1" si="1480"/>
        <v>#REF!</v>
      </c>
    </row>
    <row r="795" spans="47:110" ht="15.75" thickBot="1" x14ac:dyDescent="0.3">
      <c r="AU795" s="112"/>
      <c r="AV795" s="112"/>
      <c r="BQ795" s="238">
        <f t="shared" si="1572"/>
        <v>615</v>
      </c>
      <c r="BR795" t="s">
        <v>448</v>
      </c>
      <c r="BS795" t="s">
        <v>449</v>
      </c>
      <c r="BT795" s="114" t="e">
        <f t="shared" ca="1" si="1428"/>
        <v>#N/A</v>
      </c>
      <c r="BU795" s="112"/>
      <c r="BV795" t="e">
        <f t="shared" ca="1" si="1514"/>
        <v>#N/A</v>
      </c>
      <c r="BW795" s="112" t="e">
        <f t="shared" ca="1" si="1468"/>
        <v>#N/A</v>
      </c>
      <c r="BX795" s="112" t="str">
        <f t="shared" ca="1" si="1577"/>
        <v/>
      </c>
      <c r="BY795">
        <f t="shared" ca="1" si="1499"/>
        <v>0</v>
      </c>
      <c r="BZ795">
        <f t="shared" ca="1" si="1500"/>
        <v>24</v>
      </c>
      <c r="CB795" t="e">
        <f t="shared" ca="1" si="1472"/>
        <v>#N/A</v>
      </c>
      <c r="CC795" s="112" t="e">
        <f t="shared" ca="1" si="1473"/>
        <v>#N/A</v>
      </c>
      <c r="CD795" s="112" t="str">
        <f t="shared" ca="1" si="1474"/>
        <v/>
      </c>
      <c r="CE795">
        <f t="shared" ca="1" si="1475"/>
        <v>0</v>
      </c>
      <c r="CF795">
        <f t="shared" ca="1" si="1476"/>
        <v>24</v>
      </c>
      <c r="CH795" s="112" t="str">
        <f t="shared" ca="1" si="1545"/>
        <v/>
      </c>
      <c r="CI795" t="e">
        <f t="shared" ca="1" si="1573"/>
        <v>#N/A</v>
      </c>
      <c r="CJ795" t="e">
        <f t="shared" ref="CJ795" ca="1" si="1579">IF(AND(CI795=0,CC795&lt;100000),1,0)</f>
        <v>#N/A</v>
      </c>
      <c r="CK795" s="112" t="e">
        <f t="shared" ca="1" si="1548"/>
        <v>#N/A</v>
      </c>
      <c r="CM795" s="112"/>
      <c r="CN795" s="261" t="e">
        <f t="shared" ref="CN795" ca="1" si="1580">IF(AND(CN791=100000,CN792=100000,CN793=100000,CN794=100000),INDIRECT(CONCATENATE("aa",BQ795)),CC795)</f>
        <v>#N/A</v>
      </c>
      <c r="CO795" s="324" t="e">
        <f t="shared" ca="1" si="1575"/>
        <v>#N/A</v>
      </c>
      <c r="CP795" s="256">
        <f t="shared" ca="1" si="1550"/>
        <v>0</v>
      </c>
      <c r="CQ795" s="329">
        <f t="shared" ca="1" si="1551"/>
        <v>24</v>
      </c>
      <c r="CS795" s="112">
        <f t="shared" ca="1" si="1470"/>
        <v>100000</v>
      </c>
      <c r="CT795" s="112" t="e">
        <f t="shared" ca="1" si="1496"/>
        <v>#N/A</v>
      </c>
      <c r="CU795" s="238">
        <f t="shared" ca="1" si="1478"/>
        <v>0</v>
      </c>
      <c r="CV795" s="238">
        <f t="shared" ca="1" si="1479"/>
        <v>24</v>
      </c>
      <c r="CY795">
        <f t="shared" si="1483"/>
        <v>225</v>
      </c>
      <c r="DA795" s="112">
        <f t="shared" ca="1" si="1484"/>
        <v>100000</v>
      </c>
      <c r="DE795" t="str">
        <f t="shared" si="1571"/>
        <v>cs:dc771</v>
      </c>
      <c r="DF795" t="e">
        <f t="shared" ca="1" si="1480"/>
        <v>#REF!</v>
      </c>
    </row>
    <row r="796" spans="47:110" x14ac:dyDescent="0.25">
      <c r="AU796" s="112"/>
      <c r="AV796" s="112"/>
      <c r="BQ796" s="238">
        <f t="shared" ref="BQ796" si="1581">BQ795+1</f>
        <v>616</v>
      </c>
      <c r="BR796" s="112" t="s">
        <v>444</v>
      </c>
      <c r="BS796" s="112" t="s">
        <v>445</v>
      </c>
      <c r="BT796" s="114" t="e">
        <f t="shared" ca="1" si="1428"/>
        <v>#N/A</v>
      </c>
      <c r="BU796" s="112"/>
      <c r="BV796">
        <f t="shared" ca="1" si="1514"/>
        <v>0</v>
      </c>
      <c r="BW796" s="112" t="str">
        <f t="shared" ca="1" si="1468"/>
        <v/>
      </c>
      <c r="BX796" s="112" t="e">
        <f t="shared" ref="BX796:BX798" ca="1" si="1582">INDIRECT(CONCATENATE(BS796,BQ796))-1</f>
        <v>#N/A</v>
      </c>
      <c r="BY796">
        <f t="shared" ca="1" si="1499"/>
        <v>0</v>
      </c>
      <c r="BZ796">
        <f t="shared" ca="1" si="1500"/>
        <v>24</v>
      </c>
      <c r="CB796" t="e">
        <f t="shared" ca="1" si="1472"/>
        <v>#N/A</v>
      </c>
      <c r="CC796" s="112" t="e">
        <f t="shared" ca="1" si="1473"/>
        <v>#N/A</v>
      </c>
      <c r="CD796" s="112" t="e">
        <f t="shared" ca="1" si="1474"/>
        <v>#N/A</v>
      </c>
      <c r="CE796">
        <f t="shared" ca="1" si="1475"/>
        <v>0</v>
      </c>
      <c r="CF796">
        <f t="shared" ca="1" si="1476"/>
        <v>24</v>
      </c>
      <c r="CH796" s="112" t="str">
        <f t="shared" ca="1" si="1545"/>
        <v/>
      </c>
      <c r="CI796" t="e">
        <f t="shared" ref="CI796" ca="1" si="1583">CB796+CB797+CB798+CB799+CB800</f>
        <v>#N/A</v>
      </c>
      <c r="CJ796">
        <v>0</v>
      </c>
      <c r="CK796" s="112" t="str">
        <f t="shared" ca="1" si="1548"/>
        <v/>
      </c>
      <c r="CM796" s="112"/>
      <c r="CN796" s="408" t="e">
        <f t="shared" ca="1" si="1489"/>
        <v>#N/A</v>
      </c>
      <c r="CO796" s="326" t="e">
        <f t="shared" ref="CO796" ca="1" si="1584">CD796</f>
        <v>#N/A</v>
      </c>
      <c r="CP796" s="333">
        <f t="shared" ca="1" si="1550"/>
        <v>0</v>
      </c>
      <c r="CQ796" s="327">
        <f t="shared" ca="1" si="1551"/>
        <v>24</v>
      </c>
      <c r="CS796" s="112">
        <f t="shared" ca="1" si="1470"/>
        <v>100000</v>
      </c>
      <c r="CT796" s="112" t="e">
        <f t="shared" ref="CT796" ca="1" si="1585">IF(AND( CN797=100000,CN798=100000,CN799=100000,CN800=100000),CO800,                             CO796)</f>
        <v>#N/A</v>
      </c>
      <c r="CU796" s="238">
        <f t="shared" ca="1" si="1478"/>
        <v>0</v>
      </c>
      <c r="CV796" s="238">
        <f t="shared" ca="1" si="1479"/>
        <v>24</v>
      </c>
      <c r="CY796">
        <f t="shared" si="1483"/>
        <v>226</v>
      </c>
      <c r="DA796" s="112">
        <f t="shared" ca="1" si="1484"/>
        <v>100000</v>
      </c>
      <c r="DE796" t="str">
        <f t="shared" si="1571"/>
        <v>cs:dc771</v>
      </c>
      <c r="DF796" t="e">
        <f t="shared" ca="1" si="1480"/>
        <v>#REF!</v>
      </c>
    </row>
    <row r="797" spans="47:110" x14ac:dyDescent="0.25">
      <c r="AU797" s="112"/>
      <c r="AV797" s="112"/>
      <c r="BQ797" s="238">
        <f t="shared" ref="BQ797:BQ800" si="1586">BQ796</f>
        <v>616</v>
      </c>
      <c r="BR797" t="s">
        <v>445</v>
      </c>
      <c r="BS797" t="s">
        <v>446</v>
      </c>
      <c r="BT797" s="114" t="e">
        <f t="shared" ca="1" si="1428"/>
        <v>#N/A</v>
      </c>
      <c r="BU797" s="112"/>
      <c r="BV797" t="e">
        <f t="shared" ca="1" si="1514"/>
        <v>#N/A</v>
      </c>
      <c r="BW797" s="112" t="e">
        <f t="shared" ca="1" si="1468"/>
        <v>#N/A</v>
      </c>
      <c r="BX797" s="112" t="e">
        <f t="shared" ca="1" si="1582"/>
        <v>#N/A</v>
      </c>
      <c r="BY797">
        <f t="shared" ca="1" si="1499"/>
        <v>0</v>
      </c>
      <c r="BZ797">
        <f t="shared" ca="1" si="1500"/>
        <v>24</v>
      </c>
      <c r="CB797" t="e">
        <f t="shared" ca="1" si="1472"/>
        <v>#N/A</v>
      </c>
      <c r="CC797" s="112" t="e">
        <f t="shared" ca="1" si="1473"/>
        <v>#N/A</v>
      </c>
      <c r="CD797" s="112" t="e">
        <f t="shared" ca="1" si="1474"/>
        <v>#N/A</v>
      </c>
      <c r="CE797">
        <f t="shared" ca="1" si="1475"/>
        <v>0</v>
      </c>
      <c r="CF797">
        <f t="shared" ca="1" si="1476"/>
        <v>24</v>
      </c>
      <c r="CH797" s="112" t="str">
        <f t="shared" ca="1" si="1545"/>
        <v/>
      </c>
      <c r="CI797" t="e">
        <f t="shared" ref="CI797:CI800" ca="1" si="1587">CI796</f>
        <v>#N/A</v>
      </c>
      <c r="CJ797" t="e">
        <f t="shared" ref="CJ797" ca="1" si="1588">IF(AND(CI797=0,CJ798=0,CJ799=0,CJ800=0,CC797&lt;100000),1,0)</f>
        <v>#N/A</v>
      </c>
      <c r="CK797" s="112" t="e">
        <f t="shared" ca="1" si="1548"/>
        <v>#N/A</v>
      </c>
      <c r="CM797" s="112"/>
      <c r="CN797" s="260" t="e">
        <f t="shared" ca="1" si="1489"/>
        <v>#N/A</v>
      </c>
      <c r="CO797" s="112" t="e">
        <f t="shared" ref="CO797:CO800" ca="1" si="1589">IF(CJ797=1,CH797,CD797)</f>
        <v>#N/A</v>
      </c>
      <c r="CP797" s="238">
        <f t="shared" ca="1" si="1550"/>
        <v>0</v>
      </c>
      <c r="CQ797" s="328">
        <f t="shared" ca="1" si="1551"/>
        <v>24</v>
      </c>
      <c r="CS797" s="112">
        <f t="shared" ca="1" si="1470"/>
        <v>100000</v>
      </c>
      <c r="CT797" s="112" t="e">
        <f t="shared" ca="1" si="1496"/>
        <v>#N/A</v>
      </c>
      <c r="CU797" s="238">
        <f t="shared" ca="1" si="1478"/>
        <v>0</v>
      </c>
      <c r="CV797" s="238">
        <f t="shared" ca="1" si="1479"/>
        <v>24</v>
      </c>
      <c r="CY797">
        <f t="shared" si="1483"/>
        <v>227</v>
      </c>
      <c r="DA797" s="112">
        <f t="shared" ca="1" si="1484"/>
        <v>100000</v>
      </c>
      <c r="DE797" t="str">
        <f t="shared" si="1571"/>
        <v>cs:dc771</v>
      </c>
      <c r="DF797" t="e">
        <f t="shared" ca="1" si="1480"/>
        <v>#REF!</v>
      </c>
    </row>
    <row r="798" spans="47:110" x14ac:dyDescent="0.25">
      <c r="AU798" s="112"/>
      <c r="AV798" s="112"/>
      <c r="BQ798" s="238">
        <f t="shared" si="1586"/>
        <v>616</v>
      </c>
      <c r="BR798" t="s">
        <v>446</v>
      </c>
      <c r="BS798" t="s">
        <v>447</v>
      </c>
      <c r="BT798" s="114" t="e">
        <f t="shared" ca="1" si="1428"/>
        <v>#N/A</v>
      </c>
      <c r="BU798" s="112"/>
      <c r="BV798" t="e">
        <f t="shared" ca="1" si="1514"/>
        <v>#N/A</v>
      </c>
      <c r="BW798" s="112" t="e">
        <f t="shared" ca="1" si="1468"/>
        <v>#N/A</v>
      </c>
      <c r="BX798" s="112" t="e">
        <f t="shared" ca="1" si="1582"/>
        <v>#N/A</v>
      </c>
      <c r="BY798">
        <f t="shared" ca="1" si="1499"/>
        <v>0</v>
      </c>
      <c r="BZ798">
        <f t="shared" ca="1" si="1500"/>
        <v>24</v>
      </c>
      <c r="CB798" t="e">
        <f t="shared" ca="1" si="1472"/>
        <v>#N/A</v>
      </c>
      <c r="CC798" s="112" t="e">
        <f t="shared" ca="1" si="1473"/>
        <v>#N/A</v>
      </c>
      <c r="CD798" s="112" t="e">
        <f t="shared" ca="1" si="1474"/>
        <v>#N/A</v>
      </c>
      <c r="CE798">
        <f t="shared" ca="1" si="1475"/>
        <v>0</v>
      </c>
      <c r="CF798">
        <f t="shared" ca="1" si="1476"/>
        <v>24</v>
      </c>
      <c r="CH798" s="112" t="str">
        <f t="shared" ca="1" si="1545"/>
        <v/>
      </c>
      <c r="CI798" t="e">
        <f t="shared" ca="1" si="1587"/>
        <v>#N/A</v>
      </c>
      <c r="CJ798" t="e">
        <f t="shared" ref="CJ798" ca="1" si="1590">IF(AND(CI798=0,CJ799=0,CJ800=0,CC798&lt;100000),1,0)</f>
        <v>#N/A</v>
      </c>
      <c r="CK798" s="112" t="e">
        <f t="shared" ca="1" si="1548"/>
        <v>#N/A</v>
      </c>
      <c r="CM798" s="112"/>
      <c r="CN798" s="260" t="e">
        <f t="shared" ca="1" si="1489"/>
        <v>#N/A</v>
      </c>
      <c r="CO798" s="112" t="e">
        <f t="shared" ca="1" si="1589"/>
        <v>#N/A</v>
      </c>
      <c r="CP798" s="238">
        <f t="shared" ca="1" si="1550"/>
        <v>0</v>
      </c>
      <c r="CQ798" s="328">
        <f t="shared" ca="1" si="1551"/>
        <v>24</v>
      </c>
      <c r="CS798" s="112">
        <f t="shared" ca="1" si="1470"/>
        <v>100000</v>
      </c>
      <c r="CT798" s="112" t="e">
        <f t="shared" ca="1" si="1496"/>
        <v>#N/A</v>
      </c>
      <c r="CU798" s="238">
        <f t="shared" ca="1" si="1478"/>
        <v>0</v>
      </c>
      <c r="CV798" s="238">
        <f t="shared" ca="1" si="1479"/>
        <v>24</v>
      </c>
      <c r="CY798">
        <f t="shared" si="1483"/>
        <v>228</v>
      </c>
      <c r="DA798" s="112">
        <f t="shared" ca="1" si="1484"/>
        <v>100000</v>
      </c>
      <c r="DE798" t="str">
        <f t="shared" si="1571"/>
        <v>cs:dc771</v>
      </c>
      <c r="DF798" t="e">
        <f t="shared" ca="1" si="1480"/>
        <v>#REF!</v>
      </c>
    </row>
    <row r="799" spans="47:110" x14ac:dyDescent="0.25">
      <c r="AU799" s="112"/>
      <c r="AV799" s="112"/>
      <c r="BQ799" s="238">
        <f t="shared" si="1586"/>
        <v>616</v>
      </c>
      <c r="BR799" t="s">
        <v>447</v>
      </c>
      <c r="BS799" t="s">
        <v>448</v>
      </c>
      <c r="BT799" s="114" t="e">
        <f t="shared" ca="1" si="1428"/>
        <v>#N/A</v>
      </c>
      <c r="BU799" s="112"/>
      <c r="BV799" t="e">
        <f t="shared" ca="1" si="1514"/>
        <v>#N/A</v>
      </c>
      <c r="BW799" s="112" t="e">
        <f t="shared" ca="1" si="1468"/>
        <v>#N/A</v>
      </c>
      <c r="BX799" s="112" t="e">
        <f t="shared" ref="BX799:BX800" ca="1" si="1591">INDIRECT(CONCATENATE(BS799,BQ799))</f>
        <v>#N/A</v>
      </c>
      <c r="BY799">
        <f t="shared" ca="1" si="1499"/>
        <v>0</v>
      </c>
      <c r="BZ799">
        <f t="shared" ca="1" si="1500"/>
        <v>24</v>
      </c>
      <c r="CB799" t="e">
        <f t="shared" ca="1" si="1472"/>
        <v>#N/A</v>
      </c>
      <c r="CC799" s="112" t="e">
        <f t="shared" ca="1" si="1473"/>
        <v>#N/A</v>
      </c>
      <c r="CD799" s="112" t="e">
        <f t="shared" ca="1" si="1474"/>
        <v>#N/A</v>
      </c>
      <c r="CE799">
        <f t="shared" ca="1" si="1475"/>
        <v>0</v>
      </c>
      <c r="CF799">
        <f t="shared" ca="1" si="1476"/>
        <v>24</v>
      </c>
      <c r="CH799" s="112" t="str">
        <f t="shared" ca="1" si="1545"/>
        <v/>
      </c>
      <c r="CI799" t="e">
        <f t="shared" ca="1" si="1587"/>
        <v>#N/A</v>
      </c>
      <c r="CJ799" t="e">
        <f t="shared" ref="CJ799" ca="1" si="1592">IF(AND(CI799=0,CJ800=0,CC799&lt;100000),1,0)</f>
        <v>#N/A</v>
      </c>
      <c r="CK799" s="112" t="e">
        <f t="shared" ca="1" si="1548"/>
        <v>#N/A</v>
      </c>
      <c r="CM799" s="112"/>
      <c r="CN799" s="260" t="e">
        <f t="shared" ca="1" si="1489"/>
        <v>#N/A</v>
      </c>
      <c r="CO799" s="112" t="e">
        <f t="shared" ca="1" si="1589"/>
        <v>#N/A</v>
      </c>
      <c r="CP799" s="238">
        <f t="shared" ca="1" si="1550"/>
        <v>0</v>
      </c>
      <c r="CQ799" s="328">
        <f t="shared" ca="1" si="1551"/>
        <v>24</v>
      </c>
      <c r="CS799" s="112">
        <f t="shared" ca="1" si="1470"/>
        <v>100000</v>
      </c>
      <c r="CT799" s="112" t="e">
        <f t="shared" ca="1" si="1496"/>
        <v>#N/A</v>
      </c>
      <c r="CU799" s="238">
        <f t="shared" ca="1" si="1478"/>
        <v>0</v>
      </c>
      <c r="CV799" s="238">
        <f t="shared" ca="1" si="1479"/>
        <v>24</v>
      </c>
      <c r="CY799">
        <f t="shared" si="1483"/>
        <v>229</v>
      </c>
      <c r="DA799" s="112">
        <f t="shared" ca="1" si="1484"/>
        <v>100000</v>
      </c>
      <c r="DE799" t="str">
        <f t="shared" si="1571"/>
        <v>cs:dc771</v>
      </c>
      <c r="DF799" t="e">
        <f t="shared" ca="1" si="1480"/>
        <v>#REF!</v>
      </c>
    </row>
    <row r="800" spans="47:110" ht="15.75" thickBot="1" x14ac:dyDescent="0.3">
      <c r="AU800" s="112"/>
      <c r="AV800" s="112"/>
      <c r="BQ800" s="238">
        <f t="shared" si="1586"/>
        <v>616</v>
      </c>
      <c r="BR800" t="s">
        <v>448</v>
      </c>
      <c r="BS800" t="s">
        <v>449</v>
      </c>
      <c r="BT800" s="114" t="e">
        <f t="shared" ca="1" si="1428"/>
        <v>#N/A</v>
      </c>
      <c r="BU800" s="112"/>
      <c r="BV800" t="e">
        <f t="shared" ca="1" si="1514"/>
        <v>#N/A</v>
      </c>
      <c r="BW800" s="112" t="e">
        <f t="shared" ca="1" si="1468"/>
        <v>#N/A</v>
      </c>
      <c r="BX800" s="112" t="str">
        <f t="shared" ca="1" si="1591"/>
        <v/>
      </c>
      <c r="BY800">
        <f t="shared" ca="1" si="1499"/>
        <v>0</v>
      </c>
      <c r="BZ800">
        <f t="shared" ca="1" si="1500"/>
        <v>24</v>
      </c>
      <c r="CB800" t="e">
        <f t="shared" ca="1" si="1472"/>
        <v>#N/A</v>
      </c>
      <c r="CC800" s="112" t="e">
        <f t="shared" ca="1" si="1473"/>
        <v>#N/A</v>
      </c>
      <c r="CD800" s="112" t="str">
        <f t="shared" ca="1" si="1474"/>
        <v/>
      </c>
      <c r="CE800">
        <f t="shared" ca="1" si="1475"/>
        <v>0</v>
      </c>
      <c r="CF800">
        <f t="shared" ca="1" si="1476"/>
        <v>24</v>
      </c>
      <c r="CH800" s="112" t="str">
        <f t="shared" ca="1" si="1545"/>
        <v/>
      </c>
      <c r="CI800" t="e">
        <f t="shared" ca="1" si="1587"/>
        <v>#N/A</v>
      </c>
      <c r="CJ800" t="e">
        <f t="shared" ref="CJ800" ca="1" si="1593">IF(AND(CI800=0,CC800&lt;100000),1,0)</f>
        <v>#N/A</v>
      </c>
      <c r="CK800" s="112" t="e">
        <f t="shared" ca="1" si="1548"/>
        <v>#N/A</v>
      </c>
      <c r="CM800" s="112"/>
      <c r="CN800" s="261" t="e">
        <f t="shared" ref="CN800" ca="1" si="1594">IF(AND(CN796=100000,CN797=100000,CN798=100000,CN799=100000),INDIRECT(CONCATENATE("aa",BQ800)),CC800)</f>
        <v>#N/A</v>
      </c>
      <c r="CO800" s="324" t="e">
        <f t="shared" ca="1" si="1589"/>
        <v>#N/A</v>
      </c>
      <c r="CP800" s="256">
        <f t="shared" ca="1" si="1550"/>
        <v>0</v>
      </c>
      <c r="CQ800" s="329">
        <f t="shared" ca="1" si="1551"/>
        <v>24</v>
      </c>
      <c r="CS800" s="112">
        <f t="shared" ca="1" si="1470"/>
        <v>100000</v>
      </c>
      <c r="CT800" s="112" t="e">
        <f t="shared" ca="1" si="1496"/>
        <v>#N/A</v>
      </c>
      <c r="CU800" s="238">
        <f t="shared" ca="1" si="1478"/>
        <v>0</v>
      </c>
      <c r="CV800" s="238">
        <f t="shared" ca="1" si="1479"/>
        <v>24</v>
      </c>
      <c r="CY800">
        <f t="shared" si="1483"/>
        <v>230</v>
      </c>
      <c r="DA800" s="112">
        <f t="shared" ca="1" si="1484"/>
        <v>100000</v>
      </c>
      <c r="DE800" t="str">
        <f t="shared" si="1571"/>
        <v>cs:dc771</v>
      </c>
      <c r="DF800" t="e">
        <f t="shared" ca="1" si="1480"/>
        <v>#REF!</v>
      </c>
    </row>
    <row r="801" spans="47:110" x14ac:dyDescent="0.25">
      <c r="AU801" s="112"/>
      <c r="AV801" s="112"/>
      <c r="BQ801" s="238">
        <f t="shared" ref="BQ801" si="1595">BQ800+1</f>
        <v>617</v>
      </c>
      <c r="BR801" s="112" t="s">
        <v>444</v>
      </c>
      <c r="BS801" s="112" t="s">
        <v>445</v>
      </c>
      <c r="BT801" s="114" t="e">
        <f t="shared" ca="1" si="1428"/>
        <v>#N/A</v>
      </c>
      <c r="BU801" s="112"/>
      <c r="BV801">
        <f t="shared" ca="1" si="1514"/>
        <v>0</v>
      </c>
      <c r="BW801" s="112" t="str">
        <f t="shared" ca="1" si="1468"/>
        <v/>
      </c>
      <c r="BX801" s="112" t="e">
        <f t="shared" ref="BX801:BX803" ca="1" si="1596">INDIRECT(CONCATENATE(BS801,BQ801))-1</f>
        <v>#N/A</v>
      </c>
      <c r="BY801">
        <f t="shared" ca="1" si="1499"/>
        <v>0</v>
      </c>
      <c r="BZ801">
        <f t="shared" ca="1" si="1500"/>
        <v>24</v>
      </c>
      <c r="CB801" t="e">
        <f t="shared" ca="1" si="1472"/>
        <v>#N/A</v>
      </c>
      <c r="CC801" s="112" t="e">
        <f t="shared" ca="1" si="1473"/>
        <v>#N/A</v>
      </c>
      <c r="CD801" s="112" t="e">
        <f t="shared" ca="1" si="1474"/>
        <v>#N/A</v>
      </c>
      <c r="CE801">
        <f t="shared" ca="1" si="1475"/>
        <v>0</v>
      </c>
      <c r="CF801">
        <f t="shared" ca="1" si="1476"/>
        <v>24</v>
      </c>
      <c r="CH801" s="112" t="str">
        <f t="shared" ca="1" si="1545"/>
        <v/>
      </c>
      <c r="CI801" t="e">
        <f t="shared" ref="CI801" ca="1" si="1597">CB801+CB802+CB803+CB804+CB805</f>
        <v>#N/A</v>
      </c>
      <c r="CJ801">
        <v>0</v>
      </c>
      <c r="CK801" s="112" t="str">
        <f t="shared" ca="1" si="1548"/>
        <v/>
      </c>
      <c r="CM801" s="112"/>
      <c r="CN801" s="408" t="e">
        <f t="shared" ca="1" si="1489"/>
        <v>#N/A</v>
      </c>
      <c r="CO801" s="326" t="e">
        <f t="shared" ref="CO801" ca="1" si="1598">CD801</f>
        <v>#N/A</v>
      </c>
      <c r="CP801" s="333">
        <f t="shared" ca="1" si="1550"/>
        <v>0</v>
      </c>
      <c r="CQ801" s="327">
        <f t="shared" ca="1" si="1551"/>
        <v>24</v>
      </c>
      <c r="CS801" s="112">
        <f t="shared" ca="1" si="1470"/>
        <v>100000</v>
      </c>
      <c r="CT801" s="112" t="e">
        <f t="shared" ref="CT801" ca="1" si="1599">IF(AND( CN802=100000,CN803=100000,CN804=100000,CN805=100000),CO805,                             CO801)</f>
        <v>#N/A</v>
      </c>
      <c r="CU801" s="238">
        <f t="shared" ca="1" si="1478"/>
        <v>0</v>
      </c>
      <c r="CV801" s="238">
        <f t="shared" ca="1" si="1479"/>
        <v>24</v>
      </c>
      <c r="CY801">
        <f t="shared" si="1483"/>
        <v>231</v>
      </c>
      <c r="DA801" s="112">
        <f t="shared" ca="1" si="1484"/>
        <v>100000</v>
      </c>
      <c r="DE801" t="str">
        <f t="shared" si="1571"/>
        <v>cs:dc771</v>
      </c>
      <c r="DF801" t="e">
        <f t="shared" ca="1" si="1480"/>
        <v>#REF!</v>
      </c>
    </row>
    <row r="802" spans="47:110" x14ac:dyDescent="0.25">
      <c r="AU802" s="112"/>
      <c r="AV802" s="112"/>
      <c r="BQ802" s="238">
        <f t="shared" ref="BQ802:BQ805" si="1600">BQ801</f>
        <v>617</v>
      </c>
      <c r="BR802" t="s">
        <v>445</v>
      </c>
      <c r="BS802" t="s">
        <v>446</v>
      </c>
      <c r="BT802" s="114" t="e">
        <f t="shared" ca="1" si="1428"/>
        <v>#N/A</v>
      </c>
      <c r="BU802" s="112"/>
      <c r="BV802" t="e">
        <f t="shared" ca="1" si="1514"/>
        <v>#N/A</v>
      </c>
      <c r="BW802" s="112" t="e">
        <f t="shared" ca="1" si="1468"/>
        <v>#N/A</v>
      </c>
      <c r="BX802" s="112" t="e">
        <f t="shared" ca="1" si="1596"/>
        <v>#N/A</v>
      </c>
      <c r="BY802">
        <f t="shared" ca="1" si="1499"/>
        <v>0</v>
      </c>
      <c r="BZ802">
        <f t="shared" ca="1" si="1500"/>
        <v>24</v>
      </c>
      <c r="CB802" t="e">
        <f t="shared" ca="1" si="1472"/>
        <v>#N/A</v>
      </c>
      <c r="CC802" s="112" t="e">
        <f t="shared" ca="1" si="1473"/>
        <v>#N/A</v>
      </c>
      <c r="CD802" s="112" t="e">
        <f t="shared" ca="1" si="1474"/>
        <v>#N/A</v>
      </c>
      <c r="CE802">
        <f t="shared" ca="1" si="1475"/>
        <v>0</v>
      </c>
      <c r="CF802">
        <f t="shared" ca="1" si="1476"/>
        <v>24</v>
      </c>
      <c r="CH802" s="112" t="str">
        <f t="shared" ca="1" si="1545"/>
        <v/>
      </c>
      <c r="CI802" t="e">
        <f t="shared" ref="CI802:CI805" ca="1" si="1601">CI801</f>
        <v>#N/A</v>
      </c>
      <c r="CJ802" t="e">
        <f t="shared" ref="CJ802" ca="1" si="1602">IF(AND(CI802=0,CJ803=0,CJ804=0,CJ805=0,CC802&lt;100000),1,0)</f>
        <v>#N/A</v>
      </c>
      <c r="CK802" s="112" t="e">
        <f t="shared" ca="1" si="1548"/>
        <v>#N/A</v>
      </c>
      <c r="CM802" s="112"/>
      <c r="CN802" s="260" t="e">
        <f t="shared" ca="1" si="1489"/>
        <v>#N/A</v>
      </c>
      <c r="CO802" s="112" t="e">
        <f t="shared" ref="CO802:CO805" ca="1" si="1603">IF(CJ802=1,CH802,CD802)</f>
        <v>#N/A</v>
      </c>
      <c r="CP802" s="238">
        <f t="shared" ca="1" si="1550"/>
        <v>0</v>
      </c>
      <c r="CQ802" s="328">
        <f t="shared" ca="1" si="1551"/>
        <v>24</v>
      </c>
      <c r="CS802" s="112">
        <f t="shared" ca="1" si="1470"/>
        <v>100000</v>
      </c>
      <c r="CT802" s="112" t="e">
        <f t="shared" ca="1" si="1496"/>
        <v>#N/A</v>
      </c>
      <c r="CU802" s="238">
        <f t="shared" ca="1" si="1478"/>
        <v>0</v>
      </c>
      <c r="CV802" s="238">
        <f t="shared" ca="1" si="1479"/>
        <v>24</v>
      </c>
      <c r="CY802">
        <f t="shared" si="1483"/>
        <v>232</v>
      </c>
      <c r="DA802" s="112">
        <f t="shared" ca="1" si="1484"/>
        <v>100000</v>
      </c>
      <c r="DE802" t="str">
        <f t="shared" si="1571"/>
        <v>cs:dc771</v>
      </c>
      <c r="DF802" t="e">
        <f t="shared" ca="1" si="1480"/>
        <v>#REF!</v>
      </c>
    </row>
    <row r="803" spans="47:110" x14ac:dyDescent="0.25">
      <c r="AU803" s="112"/>
      <c r="AV803" s="112"/>
      <c r="BQ803" s="238">
        <f t="shared" si="1600"/>
        <v>617</v>
      </c>
      <c r="BR803" t="s">
        <v>446</v>
      </c>
      <c r="BS803" t="s">
        <v>447</v>
      </c>
      <c r="BT803" s="114" t="e">
        <f t="shared" ca="1" si="1428"/>
        <v>#N/A</v>
      </c>
      <c r="BU803" s="112"/>
      <c r="BV803" t="e">
        <f t="shared" ca="1" si="1514"/>
        <v>#N/A</v>
      </c>
      <c r="BW803" s="112" t="e">
        <f t="shared" ca="1" si="1468"/>
        <v>#N/A</v>
      </c>
      <c r="BX803" s="112" t="e">
        <f t="shared" ca="1" si="1596"/>
        <v>#N/A</v>
      </c>
      <c r="BY803">
        <f t="shared" ca="1" si="1499"/>
        <v>0</v>
      </c>
      <c r="BZ803">
        <f t="shared" ca="1" si="1500"/>
        <v>24</v>
      </c>
      <c r="CB803" t="e">
        <f t="shared" ca="1" si="1472"/>
        <v>#N/A</v>
      </c>
      <c r="CC803" s="112" t="e">
        <f t="shared" ca="1" si="1473"/>
        <v>#N/A</v>
      </c>
      <c r="CD803" s="112" t="e">
        <f t="shared" ca="1" si="1474"/>
        <v>#N/A</v>
      </c>
      <c r="CE803">
        <f t="shared" ca="1" si="1475"/>
        <v>0</v>
      </c>
      <c r="CF803">
        <f t="shared" ca="1" si="1476"/>
        <v>24</v>
      </c>
      <c r="CH803" s="112" t="str">
        <f t="shared" ca="1" si="1545"/>
        <v/>
      </c>
      <c r="CI803" t="e">
        <f t="shared" ca="1" si="1601"/>
        <v>#N/A</v>
      </c>
      <c r="CJ803" t="e">
        <f t="shared" ref="CJ803" ca="1" si="1604">IF(AND(CI803=0,CJ804=0,CJ805=0,CC803&lt;100000),1,0)</f>
        <v>#N/A</v>
      </c>
      <c r="CK803" s="112" t="e">
        <f t="shared" ca="1" si="1548"/>
        <v>#N/A</v>
      </c>
      <c r="CM803" s="112"/>
      <c r="CN803" s="260" t="e">
        <f t="shared" ca="1" si="1489"/>
        <v>#N/A</v>
      </c>
      <c r="CO803" s="112" t="e">
        <f t="shared" ca="1" si="1603"/>
        <v>#N/A</v>
      </c>
      <c r="CP803" s="238">
        <f t="shared" ca="1" si="1550"/>
        <v>0</v>
      </c>
      <c r="CQ803" s="328">
        <f t="shared" ca="1" si="1551"/>
        <v>24</v>
      </c>
      <c r="CS803" s="112">
        <f t="shared" ca="1" si="1470"/>
        <v>100000</v>
      </c>
      <c r="CT803" s="112" t="e">
        <f t="shared" ca="1" si="1496"/>
        <v>#N/A</v>
      </c>
      <c r="CU803" s="238">
        <f t="shared" ca="1" si="1478"/>
        <v>0</v>
      </c>
      <c r="CV803" s="238">
        <f t="shared" ca="1" si="1479"/>
        <v>24</v>
      </c>
      <c r="CY803">
        <f t="shared" si="1483"/>
        <v>233</v>
      </c>
      <c r="DA803" s="112">
        <f t="shared" ca="1" si="1484"/>
        <v>100000</v>
      </c>
      <c r="DE803" t="str">
        <f t="shared" si="1571"/>
        <v>cs:dc771</v>
      </c>
      <c r="DF803" t="e">
        <f t="shared" ca="1" si="1480"/>
        <v>#REF!</v>
      </c>
    </row>
    <row r="804" spans="47:110" x14ac:dyDescent="0.25">
      <c r="AU804" s="112"/>
      <c r="AV804" s="112"/>
      <c r="BQ804" s="238">
        <f t="shared" si="1600"/>
        <v>617</v>
      </c>
      <c r="BR804" t="s">
        <v>447</v>
      </c>
      <c r="BS804" t="s">
        <v>448</v>
      </c>
      <c r="BT804" s="114" t="e">
        <f t="shared" ca="1" si="1428"/>
        <v>#N/A</v>
      </c>
      <c r="BU804" s="112"/>
      <c r="BV804" t="e">
        <f t="shared" ca="1" si="1514"/>
        <v>#N/A</v>
      </c>
      <c r="BW804" s="112" t="e">
        <f t="shared" ca="1" si="1468"/>
        <v>#N/A</v>
      </c>
      <c r="BX804" s="112" t="e">
        <f t="shared" ref="BX804:BX805" ca="1" si="1605">INDIRECT(CONCATENATE(BS804,BQ804))</f>
        <v>#N/A</v>
      </c>
      <c r="BY804">
        <f t="shared" ca="1" si="1499"/>
        <v>0</v>
      </c>
      <c r="BZ804">
        <f t="shared" ca="1" si="1500"/>
        <v>24</v>
      </c>
      <c r="CB804" t="e">
        <f t="shared" ca="1" si="1472"/>
        <v>#N/A</v>
      </c>
      <c r="CC804" s="112" t="e">
        <f t="shared" ca="1" si="1473"/>
        <v>#N/A</v>
      </c>
      <c r="CD804" s="112" t="e">
        <f t="shared" ca="1" si="1474"/>
        <v>#N/A</v>
      </c>
      <c r="CE804">
        <f t="shared" ca="1" si="1475"/>
        <v>0</v>
      </c>
      <c r="CF804">
        <f t="shared" ca="1" si="1476"/>
        <v>24</v>
      </c>
      <c r="CH804" s="112" t="str">
        <f t="shared" ca="1" si="1545"/>
        <v/>
      </c>
      <c r="CI804" t="e">
        <f t="shared" ca="1" si="1601"/>
        <v>#N/A</v>
      </c>
      <c r="CJ804" t="e">
        <f t="shared" ref="CJ804" ca="1" si="1606">IF(AND(CI804=0,CJ805=0,CC804&lt;100000),1,0)</f>
        <v>#N/A</v>
      </c>
      <c r="CK804" s="112" t="e">
        <f t="shared" ca="1" si="1548"/>
        <v>#N/A</v>
      </c>
      <c r="CM804" s="112"/>
      <c r="CN804" s="260" t="e">
        <f t="shared" ca="1" si="1489"/>
        <v>#N/A</v>
      </c>
      <c r="CO804" s="112" t="e">
        <f t="shared" ca="1" si="1603"/>
        <v>#N/A</v>
      </c>
      <c r="CP804" s="238">
        <f t="shared" ca="1" si="1550"/>
        <v>0</v>
      </c>
      <c r="CQ804" s="328">
        <f t="shared" ca="1" si="1551"/>
        <v>24</v>
      </c>
      <c r="CS804" s="112">
        <f t="shared" ca="1" si="1470"/>
        <v>100000</v>
      </c>
      <c r="CT804" s="112" t="e">
        <f t="shared" ca="1" si="1496"/>
        <v>#N/A</v>
      </c>
      <c r="CU804" s="238">
        <f t="shared" ca="1" si="1478"/>
        <v>0</v>
      </c>
      <c r="CV804" s="238">
        <f t="shared" ca="1" si="1479"/>
        <v>24</v>
      </c>
      <c r="CY804">
        <f t="shared" si="1483"/>
        <v>234</v>
      </c>
      <c r="DA804" s="112">
        <f t="shared" ca="1" si="1484"/>
        <v>100000</v>
      </c>
      <c r="DE804" t="str">
        <f t="shared" si="1571"/>
        <v>cs:dc771</v>
      </c>
      <c r="DF804" t="e">
        <f t="shared" ca="1" si="1480"/>
        <v>#REF!</v>
      </c>
    </row>
    <row r="805" spans="47:110" ht="15.75" thickBot="1" x14ac:dyDescent="0.3">
      <c r="AU805" s="112"/>
      <c r="AV805" s="112"/>
      <c r="BQ805" s="238">
        <f t="shared" si="1600"/>
        <v>617</v>
      </c>
      <c r="BR805" t="s">
        <v>448</v>
      </c>
      <c r="BS805" t="s">
        <v>449</v>
      </c>
      <c r="BT805" s="114" t="e">
        <f t="shared" ca="1" si="1428"/>
        <v>#N/A</v>
      </c>
      <c r="BU805" s="112"/>
      <c r="BV805" t="e">
        <f t="shared" ca="1" si="1514"/>
        <v>#N/A</v>
      </c>
      <c r="BW805" s="112" t="e">
        <f t="shared" ca="1" si="1468"/>
        <v>#N/A</v>
      </c>
      <c r="BX805" s="112" t="str">
        <f t="shared" ca="1" si="1605"/>
        <v/>
      </c>
      <c r="BY805">
        <f t="shared" ca="1" si="1499"/>
        <v>0</v>
      </c>
      <c r="BZ805">
        <f t="shared" ca="1" si="1500"/>
        <v>24</v>
      </c>
      <c r="CB805" t="e">
        <f t="shared" ca="1" si="1472"/>
        <v>#N/A</v>
      </c>
      <c r="CC805" s="112" t="e">
        <f t="shared" ca="1" si="1473"/>
        <v>#N/A</v>
      </c>
      <c r="CD805" s="112" t="str">
        <f t="shared" ca="1" si="1474"/>
        <v/>
      </c>
      <c r="CE805">
        <f t="shared" ca="1" si="1475"/>
        <v>0</v>
      </c>
      <c r="CF805">
        <f t="shared" ca="1" si="1476"/>
        <v>24</v>
      </c>
      <c r="CH805" s="112" t="str">
        <f t="shared" ca="1" si="1545"/>
        <v/>
      </c>
      <c r="CI805" t="e">
        <f t="shared" ca="1" si="1601"/>
        <v>#N/A</v>
      </c>
      <c r="CJ805" t="e">
        <f t="shared" ref="CJ805" ca="1" si="1607">IF(AND(CI805=0,CC805&lt;100000),1,0)</f>
        <v>#N/A</v>
      </c>
      <c r="CK805" s="112" t="e">
        <f t="shared" ca="1" si="1548"/>
        <v>#N/A</v>
      </c>
      <c r="CM805" s="112"/>
      <c r="CN805" s="261" t="e">
        <f t="shared" ref="CN805" ca="1" si="1608">IF(AND(CN801=100000,CN802=100000,CN803=100000,CN804=100000),INDIRECT(CONCATENATE("aa",BQ805)),CC805)</f>
        <v>#N/A</v>
      </c>
      <c r="CO805" s="324" t="e">
        <f t="shared" ca="1" si="1603"/>
        <v>#N/A</v>
      </c>
      <c r="CP805" s="256">
        <f t="shared" ca="1" si="1550"/>
        <v>0</v>
      </c>
      <c r="CQ805" s="329">
        <f t="shared" ca="1" si="1551"/>
        <v>24</v>
      </c>
      <c r="CS805" s="112">
        <f t="shared" ca="1" si="1470"/>
        <v>100000</v>
      </c>
      <c r="CT805" s="112" t="e">
        <f t="shared" ca="1" si="1496"/>
        <v>#N/A</v>
      </c>
      <c r="CU805" s="238">
        <f t="shared" ca="1" si="1478"/>
        <v>0</v>
      </c>
      <c r="CV805" s="238">
        <f t="shared" ca="1" si="1479"/>
        <v>24</v>
      </c>
      <c r="CY805">
        <f t="shared" si="1483"/>
        <v>235</v>
      </c>
      <c r="DA805" s="112">
        <f t="shared" ca="1" si="1484"/>
        <v>100000</v>
      </c>
      <c r="DE805" t="str">
        <f t="shared" si="1571"/>
        <v>cs:dc771</v>
      </c>
      <c r="DF805" t="e">
        <f t="shared" ca="1" si="1480"/>
        <v>#REF!</v>
      </c>
    </row>
    <row r="806" spans="47:110" x14ac:dyDescent="0.25">
      <c r="AU806" s="112"/>
      <c r="AV806" s="112"/>
      <c r="BQ806" s="238">
        <f t="shared" ref="BQ806" si="1609">BQ805+1</f>
        <v>618</v>
      </c>
      <c r="BR806" s="112" t="s">
        <v>444</v>
      </c>
      <c r="BS806" s="112" t="s">
        <v>445</v>
      </c>
      <c r="BT806" s="114" t="e">
        <f t="shared" ca="1" si="1428"/>
        <v>#N/A</v>
      </c>
      <c r="BU806" s="112"/>
      <c r="BV806">
        <f t="shared" ca="1" si="1514"/>
        <v>0</v>
      </c>
      <c r="BW806" s="112" t="str">
        <f t="shared" ca="1" si="1468"/>
        <v/>
      </c>
      <c r="BX806" s="112" t="e">
        <f t="shared" ref="BX806:BX808" ca="1" si="1610">INDIRECT(CONCATENATE(BS806,BQ806))-1</f>
        <v>#N/A</v>
      </c>
      <c r="BY806">
        <f t="shared" ca="1" si="1499"/>
        <v>0</v>
      </c>
      <c r="BZ806">
        <f t="shared" ca="1" si="1500"/>
        <v>24</v>
      </c>
      <c r="CB806" t="e">
        <f t="shared" ca="1" si="1472"/>
        <v>#N/A</v>
      </c>
      <c r="CC806" s="112" t="e">
        <f t="shared" ca="1" si="1473"/>
        <v>#N/A</v>
      </c>
      <c r="CD806" s="112" t="e">
        <f t="shared" ca="1" si="1474"/>
        <v>#N/A</v>
      </c>
      <c r="CE806">
        <f t="shared" ca="1" si="1475"/>
        <v>0</v>
      </c>
      <c r="CF806">
        <f t="shared" ca="1" si="1476"/>
        <v>24</v>
      </c>
      <c r="CH806" s="112" t="str">
        <f t="shared" ca="1" si="1545"/>
        <v/>
      </c>
      <c r="CI806" t="e">
        <f t="shared" ref="CI806" ca="1" si="1611">CB806+CB807+CB808+CB809+CB810</f>
        <v>#N/A</v>
      </c>
      <c r="CJ806">
        <v>0</v>
      </c>
      <c r="CK806" s="112" t="str">
        <f t="shared" ca="1" si="1548"/>
        <v/>
      </c>
      <c r="CM806" s="112"/>
      <c r="CN806" s="408" t="e">
        <f t="shared" ca="1" si="1489"/>
        <v>#N/A</v>
      </c>
      <c r="CO806" s="326" t="e">
        <f t="shared" ref="CO806" ca="1" si="1612">CD806</f>
        <v>#N/A</v>
      </c>
      <c r="CP806" s="333">
        <f t="shared" ca="1" si="1550"/>
        <v>0</v>
      </c>
      <c r="CQ806" s="327">
        <f t="shared" ca="1" si="1551"/>
        <v>24</v>
      </c>
      <c r="CS806" s="112">
        <f t="shared" ca="1" si="1470"/>
        <v>100000</v>
      </c>
      <c r="CT806" s="112" t="e">
        <f t="shared" ref="CT806" ca="1" si="1613">IF(AND( CN807=100000,CN808=100000,CN809=100000,CN810=100000),CO810,                             CO806)</f>
        <v>#N/A</v>
      </c>
      <c r="CU806" s="238">
        <f t="shared" ca="1" si="1478"/>
        <v>0</v>
      </c>
      <c r="CV806" s="238">
        <f t="shared" ca="1" si="1479"/>
        <v>24</v>
      </c>
      <c r="CY806">
        <f t="shared" si="1483"/>
        <v>236</v>
      </c>
      <c r="DA806" s="112">
        <f t="shared" ca="1" si="1484"/>
        <v>100000</v>
      </c>
      <c r="DE806" t="str">
        <f t="shared" si="1571"/>
        <v>cs:dc771</v>
      </c>
      <c r="DF806" t="e">
        <f t="shared" ca="1" si="1480"/>
        <v>#REF!</v>
      </c>
    </row>
    <row r="807" spans="47:110" x14ac:dyDescent="0.25">
      <c r="AU807" s="112"/>
      <c r="AV807" s="112"/>
      <c r="BQ807" s="238">
        <f t="shared" ref="BQ807:BQ810" si="1614">BQ806</f>
        <v>618</v>
      </c>
      <c r="BR807" t="s">
        <v>445</v>
      </c>
      <c r="BS807" t="s">
        <v>446</v>
      </c>
      <c r="BT807" s="114" t="e">
        <f t="shared" ca="1" si="1428"/>
        <v>#N/A</v>
      </c>
      <c r="BU807" s="112"/>
      <c r="BV807" t="e">
        <f t="shared" ca="1" si="1514"/>
        <v>#N/A</v>
      </c>
      <c r="BW807" s="112" t="e">
        <f t="shared" ca="1" si="1468"/>
        <v>#N/A</v>
      </c>
      <c r="BX807" s="112" t="e">
        <f t="shared" ca="1" si="1610"/>
        <v>#N/A</v>
      </c>
      <c r="BY807">
        <f t="shared" ca="1" si="1499"/>
        <v>0</v>
      </c>
      <c r="BZ807">
        <f t="shared" ca="1" si="1500"/>
        <v>24</v>
      </c>
      <c r="CB807" t="e">
        <f t="shared" ca="1" si="1472"/>
        <v>#N/A</v>
      </c>
      <c r="CC807" s="112" t="e">
        <f t="shared" ca="1" si="1473"/>
        <v>#N/A</v>
      </c>
      <c r="CD807" s="112" t="e">
        <f t="shared" ca="1" si="1474"/>
        <v>#N/A</v>
      </c>
      <c r="CE807">
        <f t="shared" ca="1" si="1475"/>
        <v>0</v>
      </c>
      <c r="CF807">
        <f t="shared" ca="1" si="1476"/>
        <v>24</v>
      </c>
      <c r="CH807" s="112" t="str">
        <f t="shared" ca="1" si="1545"/>
        <v/>
      </c>
      <c r="CI807" t="e">
        <f t="shared" ref="CI807:CI810" ca="1" si="1615">CI806</f>
        <v>#N/A</v>
      </c>
      <c r="CJ807" t="e">
        <f t="shared" ref="CJ807" ca="1" si="1616">IF(AND(CI807=0,CJ808=0,CJ809=0,CJ810=0,CC807&lt;100000),1,0)</f>
        <v>#N/A</v>
      </c>
      <c r="CK807" s="112" t="e">
        <f t="shared" ca="1" si="1548"/>
        <v>#N/A</v>
      </c>
      <c r="CM807" s="112"/>
      <c r="CN807" s="260" t="e">
        <f t="shared" ca="1" si="1489"/>
        <v>#N/A</v>
      </c>
      <c r="CO807" s="112" t="e">
        <f t="shared" ref="CO807:CO810" ca="1" si="1617">IF(CJ807=1,CH807,CD807)</f>
        <v>#N/A</v>
      </c>
      <c r="CP807" s="238">
        <f t="shared" ca="1" si="1550"/>
        <v>0</v>
      </c>
      <c r="CQ807" s="328">
        <f t="shared" ca="1" si="1551"/>
        <v>24</v>
      </c>
      <c r="CS807" s="112">
        <f t="shared" ca="1" si="1470"/>
        <v>100000</v>
      </c>
      <c r="CT807" s="112" t="e">
        <f t="shared" ca="1" si="1496"/>
        <v>#N/A</v>
      </c>
      <c r="CU807" s="238">
        <f t="shared" ca="1" si="1478"/>
        <v>0</v>
      </c>
      <c r="CV807" s="238">
        <f t="shared" ca="1" si="1479"/>
        <v>24</v>
      </c>
      <c r="CY807">
        <f t="shared" si="1483"/>
        <v>237</v>
      </c>
      <c r="DA807" s="112">
        <f t="shared" ca="1" si="1484"/>
        <v>100000</v>
      </c>
      <c r="DE807" t="str">
        <f t="shared" si="1571"/>
        <v>cs:dc771</v>
      </c>
      <c r="DF807" t="e">
        <f t="shared" ca="1" si="1480"/>
        <v>#REF!</v>
      </c>
    </row>
    <row r="808" spans="47:110" x14ac:dyDescent="0.25">
      <c r="AU808" s="112"/>
      <c r="AV808" s="112"/>
      <c r="BQ808" s="238">
        <f t="shared" si="1614"/>
        <v>618</v>
      </c>
      <c r="BR808" t="s">
        <v>446</v>
      </c>
      <c r="BS808" t="s">
        <v>447</v>
      </c>
      <c r="BT808" s="114" t="e">
        <f t="shared" ca="1" si="1428"/>
        <v>#N/A</v>
      </c>
      <c r="BU808" s="112"/>
      <c r="BV808" t="e">
        <f t="shared" ca="1" si="1514"/>
        <v>#N/A</v>
      </c>
      <c r="BW808" s="112" t="e">
        <f t="shared" ca="1" si="1468"/>
        <v>#N/A</v>
      </c>
      <c r="BX808" s="112" t="e">
        <f t="shared" ca="1" si="1610"/>
        <v>#N/A</v>
      </c>
      <c r="BY808">
        <f t="shared" ca="1" si="1499"/>
        <v>0</v>
      </c>
      <c r="BZ808">
        <f t="shared" ca="1" si="1500"/>
        <v>24</v>
      </c>
      <c r="CB808" t="e">
        <f t="shared" ca="1" si="1472"/>
        <v>#N/A</v>
      </c>
      <c r="CC808" s="112" t="e">
        <f t="shared" ca="1" si="1473"/>
        <v>#N/A</v>
      </c>
      <c r="CD808" s="112" t="e">
        <f t="shared" ca="1" si="1474"/>
        <v>#N/A</v>
      </c>
      <c r="CE808">
        <f t="shared" ca="1" si="1475"/>
        <v>0</v>
      </c>
      <c r="CF808">
        <f t="shared" ca="1" si="1476"/>
        <v>24</v>
      </c>
      <c r="CH808" s="112" t="str">
        <f t="shared" ca="1" si="1545"/>
        <v/>
      </c>
      <c r="CI808" t="e">
        <f t="shared" ca="1" si="1615"/>
        <v>#N/A</v>
      </c>
      <c r="CJ808" t="e">
        <f t="shared" ref="CJ808" ca="1" si="1618">IF(AND(CI808=0,CJ809=0,CJ810=0,CC808&lt;100000),1,0)</f>
        <v>#N/A</v>
      </c>
      <c r="CK808" s="112" t="e">
        <f t="shared" ca="1" si="1548"/>
        <v>#N/A</v>
      </c>
      <c r="CM808" s="112"/>
      <c r="CN808" s="260" t="e">
        <f t="shared" ca="1" si="1489"/>
        <v>#N/A</v>
      </c>
      <c r="CO808" s="112" t="e">
        <f t="shared" ca="1" si="1617"/>
        <v>#N/A</v>
      </c>
      <c r="CP808" s="238">
        <f t="shared" ca="1" si="1550"/>
        <v>0</v>
      </c>
      <c r="CQ808" s="328">
        <f t="shared" ca="1" si="1551"/>
        <v>24</v>
      </c>
      <c r="CS808" s="112">
        <f t="shared" ca="1" si="1470"/>
        <v>100000</v>
      </c>
      <c r="CT808" s="112" t="e">
        <f t="shared" ca="1" si="1496"/>
        <v>#N/A</v>
      </c>
      <c r="CU808" s="238">
        <f t="shared" ca="1" si="1478"/>
        <v>0</v>
      </c>
      <c r="CV808" s="238">
        <f t="shared" ca="1" si="1479"/>
        <v>24</v>
      </c>
      <c r="CY808">
        <f t="shared" si="1483"/>
        <v>238</v>
      </c>
      <c r="DA808" s="112">
        <f t="shared" ca="1" si="1484"/>
        <v>100000</v>
      </c>
      <c r="DE808" t="str">
        <f t="shared" si="1571"/>
        <v>cs:dc771</v>
      </c>
      <c r="DF808" t="e">
        <f t="shared" ca="1" si="1480"/>
        <v>#REF!</v>
      </c>
    </row>
    <row r="809" spans="47:110" x14ac:dyDescent="0.25">
      <c r="AU809" s="112"/>
      <c r="AV809" s="112"/>
      <c r="BQ809" s="238">
        <f t="shared" si="1614"/>
        <v>618</v>
      </c>
      <c r="BR809" t="s">
        <v>447</v>
      </c>
      <c r="BS809" t="s">
        <v>448</v>
      </c>
      <c r="BT809" s="114" t="e">
        <f t="shared" ca="1" si="1428"/>
        <v>#N/A</v>
      </c>
      <c r="BU809" s="112"/>
      <c r="BV809" t="e">
        <f t="shared" ca="1" si="1514"/>
        <v>#N/A</v>
      </c>
      <c r="BW809" s="112" t="e">
        <f t="shared" ca="1" si="1468"/>
        <v>#N/A</v>
      </c>
      <c r="BX809" s="112" t="e">
        <f t="shared" ref="BX809:BX810" ca="1" si="1619">INDIRECT(CONCATENATE(BS809,BQ809))</f>
        <v>#N/A</v>
      </c>
      <c r="BY809">
        <f t="shared" ca="1" si="1499"/>
        <v>0</v>
      </c>
      <c r="BZ809">
        <f t="shared" ca="1" si="1500"/>
        <v>24</v>
      </c>
      <c r="CB809" t="e">
        <f t="shared" ca="1" si="1472"/>
        <v>#N/A</v>
      </c>
      <c r="CC809" s="112" t="e">
        <f t="shared" ca="1" si="1473"/>
        <v>#N/A</v>
      </c>
      <c r="CD809" s="112" t="e">
        <f t="shared" ca="1" si="1474"/>
        <v>#N/A</v>
      </c>
      <c r="CE809">
        <f t="shared" ca="1" si="1475"/>
        <v>0</v>
      </c>
      <c r="CF809">
        <f t="shared" ca="1" si="1476"/>
        <v>24</v>
      </c>
      <c r="CH809" s="112" t="str">
        <f t="shared" ca="1" si="1545"/>
        <v/>
      </c>
      <c r="CI809" t="e">
        <f t="shared" ca="1" si="1615"/>
        <v>#N/A</v>
      </c>
      <c r="CJ809" t="e">
        <f t="shared" ref="CJ809" ca="1" si="1620">IF(AND(CI809=0,CJ810=0,CC809&lt;100000),1,0)</f>
        <v>#N/A</v>
      </c>
      <c r="CK809" s="112" t="e">
        <f t="shared" ca="1" si="1548"/>
        <v>#N/A</v>
      </c>
      <c r="CM809" s="112"/>
      <c r="CN809" s="260" t="e">
        <f t="shared" ca="1" si="1489"/>
        <v>#N/A</v>
      </c>
      <c r="CO809" s="112" t="e">
        <f t="shared" ca="1" si="1617"/>
        <v>#N/A</v>
      </c>
      <c r="CP809" s="238">
        <f t="shared" ca="1" si="1550"/>
        <v>0</v>
      </c>
      <c r="CQ809" s="328">
        <f t="shared" ca="1" si="1551"/>
        <v>24</v>
      </c>
      <c r="CS809" s="112">
        <f t="shared" ca="1" si="1470"/>
        <v>100000</v>
      </c>
      <c r="CT809" s="112" t="e">
        <f t="shared" ca="1" si="1496"/>
        <v>#N/A</v>
      </c>
      <c r="CU809" s="238">
        <f t="shared" ca="1" si="1478"/>
        <v>0</v>
      </c>
      <c r="CV809" s="238">
        <f t="shared" ca="1" si="1479"/>
        <v>24</v>
      </c>
      <c r="CY809">
        <f t="shared" si="1483"/>
        <v>239</v>
      </c>
      <c r="DA809" s="112">
        <f t="shared" ca="1" si="1484"/>
        <v>100000</v>
      </c>
      <c r="DE809" t="str">
        <f t="shared" si="1571"/>
        <v>cs:dc771</v>
      </c>
      <c r="DF809" t="e">
        <f t="shared" ca="1" si="1480"/>
        <v>#REF!</v>
      </c>
    </row>
    <row r="810" spans="47:110" ht="15.75" thickBot="1" x14ac:dyDescent="0.3">
      <c r="AU810" s="112"/>
      <c r="AV810" s="112"/>
      <c r="BQ810" s="238">
        <f t="shared" si="1614"/>
        <v>618</v>
      </c>
      <c r="BR810" t="s">
        <v>448</v>
      </c>
      <c r="BS810" t="s">
        <v>449</v>
      </c>
      <c r="BT810" s="114" t="e">
        <f t="shared" ca="1" si="1428"/>
        <v>#N/A</v>
      </c>
      <c r="BU810" s="112"/>
      <c r="BV810" t="e">
        <f t="shared" ca="1" si="1514"/>
        <v>#N/A</v>
      </c>
      <c r="BW810" s="112" t="e">
        <f t="shared" ca="1" si="1468"/>
        <v>#N/A</v>
      </c>
      <c r="BX810" s="112" t="str">
        <f t="shared" ca="1" si="1619"/>
        <v/>
      </c>
      <c r="BY810">
        <f t="shared" ca="1" si="1499"/>
        <v>0</v>
      </c>
      <c r="BZ810">
        <f t="shared" ca="1" si="1500"/>
        <v>24</v>
      </c>
      <c r="CB810" t="e">
        <f t="shared" ca="1" si="1472"/>
        <v>#N/A</v>
      </c>
      <c r="CC810" s="112" t="e">
        <f t="shared" ca="1" si="1473"/>
        <v>#N/A</v>
      </c>
      <c r="CD810" s="112" t="str">
        <f t="shared" ca="1" si="1474"/>
        <v/>
      </c>
      <c r="CE810">
        <f t="shared" ca="1" si="1475"/>
        <v>0</v>
      </c>
      <c r="CF810">
        <f t="shared" ca="1" si="1476"/>
        <v>24</v>
      </c>
      <c r="CH810" s="112" t="str">
        <f t="shared" ca="1" si="1545"/>
        <v/>
      </c>
      <c r="CI810" t="e">
        <f t="shared" ca="1" si="1615"/>
        <v>#N/A</v>
      </c>
      <c r="CJ810" t="e">
        <f t="shared" ref="CJ810" ca="1" si="1621">IF(AND(CI810=0,CC810&lt;100000),1,0)</f>
        <v>#N/A</v>
      </c>
      <c r="CK810" s="112" t="e">
        <f t="shared" ca="1" si="1548"/>
        <v>#N/A</v>
      </c>
      <c r="CM810" s="112"/>
      <c r="CN810" s="261" t="e">
        <f t="shared" ref="CN810" ca="1" si="1622">IF(AND(CN806=100000,CN807=100000,CN808=100000,CN809=100000),INDIRECT(CONCATENATE("aa",BQ810)),CC810)</f>
        <v>#N/A</v>
      </c>
      <c r="CO810" s="324" t="e">
        <f t="shared" ca="1" si="1617"/>
        <v>#N/A</v>
      </c>
      <c r="CP810" s="256">
        <f t="shared" ca="1" si="1550"/>
        <v>0</v>
      </c>
      <c r="CQ810" s="329">
        <f t="shared" ca="1" si="1551"/>
        <v>24</v>
      </c>
      <c r="CS810" s="112">
        <f t="shared" ca="1" si="1470"/>
        <v>100000</v>
      </c>
      <c r="CT810" s="112" t="e">
        <f t="shared" ca="1" si="1496"/>
        <v>#N/A</v>
      </c>
      <c r="CU810" s="238">
        <f t="shared" ca="1" si="1478"/>
        <v>0</v>
      </c>
      <c r="CV810" s="238">
        <f t="shared" ca="1" si="1479"/>
        <v>24</v>
      </c>
      <c r="CY810">
        <f t="shared" si="1483"/>
        <v>240</v>
      </c>
      <c r="DA810" s="112">
        <f t="shared" ca="1" si="1484"/>
        <v>100000</v>
      </c>
      <c r="DE810" t="str">
        <f t="shared" si="1571"/>
        <v>cs:dc771</v>
      </c>
      <c r="DF810" t="e">
        <f t="shared" ca="1" si="1480"/>
        <v>#REF!</v>
      </c>
    </row>
    <row r="811" spans="47:110" x14ac:dyDescent="0.25">
      <c r="AU811" s="112"/>
      <c r="AV811" s="112"/>
      <c r="BQ811" s="238">
        <f t="shared" ref="BQ811" si="1623">BQ810+1</f>
        <v>619</v>
      </c>
      <c r="BR811" s="112" t="s">
        <v>444</v>
      </c>
      <c r="BS811" s="112" t="s">
        <v>445</v>
      </c>
      <c r="BT811" s="114" t="e">
        <f t="shared" ca="1" si="1428"/>
        <v>#N/A</v>
      </c>
      <c r="BU811" s="112"/>
      <c r="BV811">
        <f t="shared" ca="1" si="1514"/>
        <v>0</v>
      </c>
      <c r="BW811" s="112" t="str">
        <f t="shared" ca="1" si="1468"/>
        <v/>
      </c>
      <c r="BX811" s="112" t="e">
        <f t="shared" ref="BX811:BX813" ca="1" si="1624">INDIRECT(CONCATENATE(BS811,BQ811))-1</f>
        <v>#N/A</v>
      </c>
      <c r="BY811">
        <f t="shared" ca="1" si="1499"/>
        <v>0</v>
      </c>
      <c r="BZ811">
        <f t="shared" ca="1" si="1500"/>
        <v>24</v>
      </c>
      <c r="CB811" t="e">
        <f t="shared" ca="1" si="1472"/>
        <v>#N/A</v>
      </c>
      <c r="CC811" s="112" t="e">
        <f t="shared" ca="1" si="1473"/>
        <v>#N/A</v>
      </c>
      <c r="CD811" s="112" t="e">
        <f t="shared" ca="1" si="1474"/>
        <v>#N/A</v>
      </c>
      <c r="CE811">
        <f t="shared" ca="1" si="1475"/>
        <v>0</v>
      </c>
      <c r="CF811">
        <f t="shared" ca="1" si="1476"/>
        <v>24</v>
      </c>
      <c r="CH811" s="112" t="str">
        <f t="shared" ca="1" si="1545"/>
        <v/>
      </c>
      <c r="CI811" t="e">
        <f t="shared" ref="CI811" ca="1" si="1625">CB811+CB812+CB813+CB814+CB815</f>
        <v>#N/A</v>
      </c>
      <c r="CJ811">
        <v>0</v>
      </c>
      <c r="CK811" s="112" t="str">
        <f t="shared" ca="1" si="1548"/>
        <v/>
      </c>
      <c r="CM811" s="112"/>
      <c r="CN811" s="408" t="e">
        <f t="shared" ca="1" si="1489"/>
        <v>#N/A</v>
      </c>
      <c r="CO811" s="326" t="e">
        <f t="shared" ref="CO811" ca="1" si="1626">CD811</f>
        <v>#N/A</v>
      </c>
      <c r="CP811" s="333">
        <f t="shared" ca="1" si="1550"/>
        <v>0</v>
      </c>
      <c r="CQ811" s="327">
        <f t="shared" ca="1" si="1551"/>
        <v>24</v>
      </c>
      <c r="CS811" s="112">
        <f t="shared" ca="1" si="1470"/>
        <v>100000</v>
      </c>
      <c r="CT811" s="112" t="e">
        <f t="shared" ref="CT811" ca="1" si="1627">IF(AND( CN812=100000,CN813=100000,CN814=100000,CN815=100000),CO815,                             CO811)</f>
        <v>#N/A</v>
      </c>
      <c r="CU811" s="238">
        <f t="shared" ca="1" si="1478"/>
        <v>0</v>
      </c>
      <c r="CV811" s="238">
        <f t="shared" ca="1" si="1479"/>
        <v>24</v>
      </c>
      <c r="CY811">
        <f t="shared" si="1483"/>
        <v>241</v>
      </c>
      <c r="DA811" s="112">
        <f t="shared" ca="1" si="1484"/>
        <v>100000</v>
      </c>
      <c r="DE811" t="str">
        <f t="shared" si="1571"/>
        <v>cs:dc771</v>
      </c>
      <c r="DF811" t="e">
        <f t="shared" ca="1" si="1480"/>
        <v>#REF!</v>
      </c>
    </row>
    <row r="812" spans="47:110" x14ac:dyDescent="0.25">
      <c r="AU812" s="112"/>
      <c r="AV812" s="112"/>
      <c r="BQ812" s="238">
        <f t="shared" ref="BQ812:BQ815" si="1628">BQ811</f>
        <v>619</v>
      </c>
      <c r="BR812" t="s">
        <v>445</v>
      </c>
      <c r="BS812" t="s">
        <v>446</v>
      </c>
      <c r="BT812" s="114" t="e">
        <f t="shared" ca="1" si="1428"/>
        <v>#N/A</v>
      </c>
      <c r="BU812" s="112"/>
      <c r="BV812" t="e">
        <f t="shared" ca="1" si="1514"/>
        <v>#N/A</v>
      </c>
      <c r="BW812" s="112" t="e">
        <f t="shared" ca="1" si="1468"/>
        <v>#N/A</v>
      </c>
      <c r="BX812" s="112" t="e">
        <f t="shared" ca="1" si="1624"/>
        <v>#N/A</v>
      </c>
      <c r="BY812">
        <f t="shared" ca="1" si="1499"/>
        <v>0</v>
      </c>
      <c r="BZ812">
        <f t="shared" ca="1" si="1500"/>
        <v>24</v>
      </c>
      <c r="CB812" t="e">
        <f t="shared" ca="1" si="1472"/>
        <v>#N/A</v>
      </c>
      <c r="CC812" s="112" t="e">
        <f t="shared" ca="1" si="1473"/>
        <v>#N/A</v>
      </c>
      <c r="CD812" s="112" t="e">
        <f t="shared" ca="1" si="1474"/>
        <v>#N/A</v>
      </c>
      <c r="CE812">
        <f t="shared" ca="1" si="1475"/>
        <v>0</v>
      </c>
      <c r="CF812">
        <f t="shared" ca="1" si="1476"/>
        <v>24</v>
      </c>
      <c r="CH812" s="112" t="str">
        <f t="shared" ca="1" si="1545"/>
        <v/>
      </c>
      <c r="CI812" t="e">
        <f t="shared" ref="CI812:CI815" ca="1" si="1629">CI811</f>
        <v>#N/A</v>
      </c>
      <c r="CJ812" t="e">
        <f t="shared" ref="CJ812" ca="1" si="1630">IF(AND(CI812=0,CJ813=0,CJ814=0,CJ815=0,CC812&lt;100000),1,0)</f>
        <v>#N/A</v>
      </c>
      <c r="CK812" s="112" t="e">
        <f t="shared" ca="1" si="1548"/>
        <v>#N/A</v>
      </c>
      <c r="CM812" s="112"/>
      <c r="CN812" s="260" t="e">
        <f t="shared" ca="1" si="1489"/>
        <v>#N/A</v>
      </c>
      <c r="CO812" s="112" t="e">
        <f t="shared" ref="CO812:CO815" ca="1" si="1631">IF(CJ812=1,CH812,CD812)</f>
        <v>#N/A</v>
      </c>
      <c r="CP812" s="238">
        <f t="shared" ca="1" si="1550"/>
        <v>0</v>
      </c>
      <c r="CQ812" s="328">
        <f t="shared" ca="1" si="1551"/>
        <v>24</v>
      </c>
      <c r="CS812" s="112">
        <f t="shared" ca="1" si="1470"/>
        <v>100000</v>
      </c>
      <c r="CT812" s="112" t="e">
        <f t="shared" ca="1" si="1496"/>
        <v>#N/A</v>
      </c>
      <c r="CU812" s="238">
        <f t="shared" ca="1" si="1478"/>
        <v>0</v>
      </c>
      <c r="CV812" s="238">
        <f t="shared" ca="1" si="1479"/>
        <v>24</v>
      </c>
      <c r="CY812">
        <f t="shared" si="1483"/>
        <v>242</v>
      </c>
      <c r="DA812" s="112">
        <f t="shared" ca="1" si="1484"/>
        <v>100000</v>
      </c>
      <c r="DE812" t="str">
        <f t="shared" si="1571"/>
        <v>cs:dc771</v>
      </c>
      <c r="DF812" t="e">
        <f t="shared" ca="1" si="1480"/>
        <v>#REF!</v>
      </c>
    </row>
    <row r="813" spans="47:110" x14ac:dyDescent="0.25">
      <c r="AU813" s="112"/>
      <c r="AV813" s="112"/>
      <c r="BQ813" s="238">
        <f t="shared" si="1628"/>
        <v>619</v>
      </c>
      <c r="BR813" t="s">
        <v>446</v>
      </c>
      <c r="BS813" t="s">
        <v>447</v>
      </c>
      <c r="BT813" s="114" t="e">
        <f t="shared" ca="1" si="1428"/>
        <v>#N/A</v>
      </c>
      <c r="BU813" s="112"/>
      <c r="BV813" t="e">
        <f t="shared" ca="1" si="1514"/>
        <v>#N/A</v>
      </c>
      <c r="BW813" s="112" t="e">
        <f t="shared" ca="1" si="1468"/>
        <v>#N/A</v>
      </c>
      <c r="BX813" s="112" t="e">
        <f t="shared" ca="1" si="1624"/>
        <v>#N/A</v>
      </c>
      <c r="BY813">
        <f t="shared" ca="1" si="1499"/>
        <v>0</v>
      </c>
      <c r="BZ813">
        <f t="shared" ca="1" si="1500"/>
        <v>24</v>
      </c>
      <c r="CB813" t="e">
        <f t="shared" ca="1" si="1472"/>
        <v>#N/A</v>
      </c>
      <c r="CC813" s="112" t="e">
        <f t="shared" ca="1" si="1473"/>
        <v>#N/A</v>
      </c>
      <c r="CD813" s="112" t="e">
        <f t="shared" ca="1" si="1474"/>
        <v>#N/A</v>
      </c>
      <c r="CE813">
        <f t="shared" ca="1" si="1475"/>
        <v>0</v>
      </c>
      <c r="CF813">
        <f t="shared" ca="1" si="1476"/>
        <v>24</v>
      </c>
      <c r="CH813" s="112" t="str">
        <f t="shared" ca="1" si="1545"/>
        <v/>
      </c>
      <c r="CI813" t="e">
        <f t="shared" ca="1" si="1629"/>
        <v>#N/A</v>
      </c>
      <c r="CJ813" t="e">
        <f t="shared" ref="CJ813" ca="1" si="1632">IF(AND(CI813=0,CJ814=0,CJ815=0,CC813&lt;100000),1,0)</f>
        <v>#N/A</v>
      </c>
      <c r="CK813" s="112" t="e">
        <f t="shared" ca="1" si="1548"/>
        <v>#N/A</v>
      </c>
      <c r="CM813" s="112"/>
      <c r="CN813" s="260" t="e">
        <f t="shared" ca="1" si="1489"/>
        <v>#N/A</v>
      </c>
      <c r="CO813" s="112" t="e">
        <f t="shared" ca="1" si="1631"/>
        <v>#N/A</v>
      </c>
      <c r="CP813" s="238">
        <f t="shared" ca="1" si="1550"/>
        <v>0</v>
      </c>
      <c r="CQ813" s="328">
        <f t="shared" ca="1" si="1551"/>
        <v>24</v>
      </c>
      <c r="CS813" s="112">
        <f t="shared" ca="1" si="1470"/>
        <v>100000</v>
      </c>
      <c r="CT813" s="112" t="e">
        <f t="shared" ca="1" si="1496"/>
        <v>#N/A</v>
      </c>
      <c r="CU813" s="238">
        <f t="shared" ca="1" si="1478"/>
        <v>0</v>
      </c>
      <c r="CV813" s="238">
        <f t="shared" ca="1" si="1479"/>
        <v>24</v>
      </c>
      <c r="CY813">
        <f t="shared" si="1483"/>
        <v>243</v>
      </c>
      <c r="DA813" s="112">
        <f t="shared" ca="1" si="1484"/>
        <v>100000</v>
      </c>
      <c r="DE813" t="str">
        <f t="shared" si="1571"/>
        <v>cs:dc771</v>
      </c>
      <c r="DF813" t="e">
        <f t="shared" ca="1" si="1480"/>
        <v>#REF!</v>
      </c>
    </row>
    <row r="814" spans="47:110" x14ac:dyDescent="0.25">
      <c r="AU814" s="112"/>
      <c r="AV814" s="112"/>
      <c r="BQ814" s="238">
        <f t="shared" si="1628"/>
        <v>619</v>
      </c>
      <c r="BR814" t="s">
        <v>447</v>
      </c>
      <c r="BS814" t="s">
        <v>448</v>
      </c>
      <c r="BT814" s="114" t="e">
        <f t="shared" ref="BT814:BT877" ca="1" si="1633">INDIRECT(CONCATENATE("bp",BQ814))</f>
        <v>#N/A</v>
      </c>
      <c r="BU814" s="112"/>
      <c r="BV814" t="e">
        <f t="shared" ca="1" si="1514"/>
        <v>#N/A</v>
      </c>
      <c r="BW814" s="112" t="e">
        <f t="shared" ca="1" si="1468"/>
        <v>#N/A</v>
      </c>
      <c r="BX814" s="112" t="e">
        <f t="shared" ref="BX814:BX815" ca="1" si="1634">INDIRECT(CONCATENATE(BS814,BQ814))</f>
        <v>#N/A</v>
      </c>
      <c r="BY814">
        <f t="shared" ca="1" si="1499"/>
        <v>0</v>
      </c>
      <c r="BZ814">
        <f t="shared" ca="1" si="1500"/>
        <v>24</v>
      </c>
      <c r="CB814" t="e">
        <f t="shared" ca="1" si="1472"/>
        <v>#N/A</v>
      </c>
      <c r="CC814" s="112" t="e">
        <f t="shared" ca="1" si="1473"/>
        <v>#N/A</v>
      </c>
      <c r="CD814" s="112" t="e">
        <f t="shared" ca="1" si="1474"/>
        <v>#N/A</v>
      </c>
      <c r="CE814">
        <f t="shared" ca="1" si="1475"/>
        <v>0</v>
      </c>
      <c r="CF814">
        <f t="shared" ca="1" si="1476"/>
        <v>24</v>
      </c>
      <c r="CH814" s="112" t="str">
        <f t="shared" ca="1" si="1545"/>
        <v/>
      </c>
      <c r="CI814" t="e">
        <f t="shared" ca="1" si="1629"/>
        <v>#N/A</v>
      </c>
      <c r="CJ814" t="e">
        <f t="shared" ref="CJ814" ca="1" si="1635">IF(AND(CI814=0,CJ815=0,CC814&lt;100000),1,0)</f>
        <v>#N/A</v>
      </c>
      <c r="CK814" s="112" t="e">
        <f t="shared" ca="1" si="1548"/>
        <v>#N/A</v>
      </c>
      <c r="CM814" s="112"/>
      <c r="CN814" s="260" t="e">
        <f t="shared" ca="1" si="1489"/>
        <v>#N/A</v>
      </c>
      <c r="CO814" s="112" t="e">
        <f t="shared" ca="1" si="1631"/>
        <v>#N/A</v>
      </c>
      <c r="CP814" s="238">
        <f t="shared" ca="1" si="1550"/>
        <v>0</v>
      </c>
      <c r="CQ814" s="328">
        <f t="shared" ca="1" si="1551"/>
        <v>24</v>
      </c>
      <c r="CS814" s="112">
        <f t="shared" ca="1" si="1470"/>
        <v>100000</v>
      </c>
      <c r="CT814" s="112" t="e">
        <f t="shared" ca="1" si="1496"/>
        <v>#N/A</v>
      </c>
      <c r="CU814" s="238">
        <f t="shared" ca="1" si="1478"/>
        <v>0</v>
      </c>
      <c r="CV814" s="238">
        <f t="shared" ca="1" si="1479"/>
        <v>24</v>
      </c>
      <c r="CY814">
        <f t="shared" si="1483"/>
        <v>244</v>
      </c>
      <c r="DA814" s="112">
        <f t="shared" ca="1" si="1484"/>
        <v>100000</v>
      </c>
      <c r="DE814" t="str">
        <f t="shared" si="1571"/>
        <v>cs:dc771</v>
      </c>
      <c r="DF814" t="e">
        <f t="shared" ca="1" si="1480"/>
        <v>#REF!</v>
      </c>
    </row>
    <row r="815" spans="47:110" ht="15.75" thickBot="1" x14ac:dyDescent="0.3">
      <c r="AU815" s="112"/>
      <c r="AV815" s="112"/>
      <c r="BQ815" s="238">
        <f t="shared" si="1628"/>
        <v>619</v>
      </c>
      <c r="BR815" t="s">
        <v>448</v>
      </c>
      <c r="BS815" t="s">
        <v>449</v>
      </c>
      <c r="BT815" s="114" t="e">
        <f t="shared" ca="1" si="1633"/>
        <v>#N/A</v>
      </c>
      <c r="BU815" s="112"/>
      <c r="BV815" t="e">
        <f t="shared" ca="1" si="1514"/>
        <v>#N/A</v>
      </c>
      <c r="BW815" s="112" t="e">
        <f t="shared" ca="1" si="1468"/>
        <v>#N/A</v>
      </c>
      <c r="BX815" s="112" t="str">
        <f t="shared" ca="1" si="1634"/>
        <v/>
      </c>
      <c r="BY815">
        <f t="shared" ca="1" si="1499"/>
        <v>0</v>
      </c>
      <c r="BZ815">
        <f t="shared" ca="1" si="1500"/>
        <v>24</v>
      </c>
      <c r="CB815" t="e">
        <f t="shared" ca="1" si="1472"/>
        <v>#N/A</v>
      </c>
      <c r="CC815" s="112" t="e">
        <f t="shared" ca="1" si="1473"/>
        <v>#N/A</v>
      </c>
      <c r="CD815" s="112" t="str">
        <f t="shared" ca="1" si="1474"/>
        <v/>
      </c>
      <c r="CE815">
        <f t="shared" ca="1" si="1475"/>
        <v>0</v>
      </c>
      <c r="CF815">
        <f t="shared" ca="1" si="1476"/>
        <v>24</v>
      </c>
      <c r="CH815" s="112" t="str">
        <f t="shared" ca="1" si="1545"/>
        <v/>
      </c>
      <c r="CI815" t="e">
        <f t="shared" ca="1" si="1629"/>
        <v>#N/A</v>
      </c>
      <c r="CJ815" t="e">
        <f t="shared" ref="CJ815" ca="1" si="1636">IF(AND(CI815=0,CC815&lt;100000),1,0)</f>
        <v>#N/A</v>
      </c>
      <c r="CK815" s="112" t="e">
        <f t="shared" ca="1" si="1548"/>
        <v>#N/A</v>
      </c>
      <c r="CM815" s="112"/>
      <c r="CN815" s="261" t="e">
        <f t="shared" ref="CN815" ca="1" si="1637">IF(AND(CN811=100000,CN812=100000,CN813=100000,CN814=100000),INDIRECT(CONCATENATE("aa",BQ815)),CC815)</f>
        <v>#N/A</v>
      </c>
      <c r="CO815" s="324" t="e">
        <f t="shared" ca="1" si="1631"/>
        <v>#N/A</v>
      </c>
      <c r="CP815" s="256">
        <f t="shared" ca="1" si="1550"/>
        <v>0</v>
      </c>
      <c r="CQ815" s="329">
        <f t="shared" ca="1" si="1551"/>
        <v>24</v>
      </c>
      <c r="CS815" s="112">
        <f t="shared" ca="1" si="1470"/>
        <v>100000</v>
      </c>
      <c r="CT815" s="112" t="e">
        <f t="shared" ca="1" si="1496"/>
        <v>#N/A</v>
      </c>
      <c r="CU815" s="238">
        <f t="shared" ca="1" si="1478"/>
        <v>0</v>
      </c>
      <c r="CV815" s="238">
        <f t="shared" ca="1" si="1479"/>
        <v>24</v>
      </c>
      <c r="CY815">
        <f t="shared" si="1483"/>
        <v>245</v>
      </c>
      <c r="DA815" s="112">
        <f t="shared" ca="1" si="1484"/>
        <v>100000</v>
      </c>
      <c r="DE815" t="str">
        <f t="shared" si="1571"/>
        <v>cs:dc771</v>
      </c>
      <c r="DF815" t="e">
        <f t="shared" ca="1" si="1480"/>
        <v>#REF!</v>
      </c>
    </row>
    <row r="816" spans="47:110" x14ac:dyDescent="0.25">
      <c r="AU816" s="112"/>
      <c r="AV816" s="112"/>
      <c r="BQ816" s="238">
        <f t="shared" ref="BQ816" si="1638">BQ815+1</f>
        <v>620</v>
      </c>
      <c r="BR816" s="112" t="s">
        <v>444</v>
      </c>
      <c r="BS816" s="112" t="s">
        <v>445</v>
      </c>
      <c r="BT816" s="114" t="e">
        <f t="shared" ca="1" si="1633"/>
        <v>#N/A</v>
      </c>
      <c r="BU816" s="112"/>
      <c r="BV816">
        <f t="shared" ca="1" si="1514"/>
        <v>0</v>
      </c>
      <c r="BW816" s="112" t="str">
        <f t="shared" ca="1" si="1468"/>
        <v/>
      </c>
      <c r="BX816" s="112" t="e">
        <f t="shared" ref="BX816:BX818" ca="1" si="1639">INDIRECT(CONCATENATE(BS816,BQ816))-1</f>
        <v>#N/A</v>
      </c>
      <c r="BY816">
        <f t="shared" ca="1" si="1499"/>
        <v>0</v>
      </c>
      <c r="BZ816">
        <f t="shared" ca="1" si="1500"/>
        <v>24</v>
      </c>
      <c r="CB816" t="e">
        <f t="shared" ca="1" si="1472"/>
        <v>#N/A</v>
      </c>
      <c r="CC816" s="112" t="e">
        <f t="shared" ca="1" si="1473"/>
        <v>#N/A</v>
      </c>
      <c r="CD816" s="112" t="e">
        <f t="shared" ca="1" si="1474"/>
        <v>#N/A</v>
      </c>
      <c r="CE816">
        <f t="shared" ca="1" si="1475"/>
        <v>0</v>
      </c>
      <c r="CF816">
        <f t="shared" ca="1" si="1476"/>
        <v>24</v>
      </c>
      <c r="CH816" s="112" t="str">
        <f t="shared" ca="1" si="1545"/>
        <v/>
      </c>
      <c r="CI816" t="e">
        <f t="shared" ref="CI816" ca="1" si="1640">CB816+CB817+CB818+CB819+CB820</f>
        <v>#N/A</v>
      </c>
      <c r="CJ816">
        <v>0</v>
      </c>
      <c r="CK816" s="112" t="str">
        <f t="shared" ca="1" si="1548"/>
        <v/>
      </c>
      <c r="CM816" s="112"/>
      <c r="CN816" s="408" t="e">
        <f t="shared" ca="1" si="1489"/>
        <v>#N/A</v>
      </c>
      <c r="CO816" s="326" t="e">
        <f t="shared" ref="CO816" ca="1" si="1641">CD816</f>
        <v>#N/A</v>
      </c>
      <c r="CP816" s="333">
        <f t="shared" ca="1" si="1550"/>
        <v>0</v>
      </c>
      <c r="CQ816" s="327">
        <f t="shared" ca="1" si="1551"/>
        <v>24</v>
      </c>
      <c r="CS816" s="112">
        <f t="shared" ca="1" si="1470"/>
        <v>100000</v>
      </c>
      <c r="CT816" s="112" t="e">
        <f t="shared" ref="CT816" ca="1" si="1642">IF(AND( CN817=100000,CN818=100000,CN819=100000,CN820=100000),CO820,                             CO816)</f>
        <v>#N/A</v>
      </c>
      <c r="CU816" s="238">
        <f t="shared" ca="1" si="1478"/>
        <v>0</v>
      </c>
      <c r="CV816" s="238">
        <f t="shared" ca="1" si="1479"/>
        <v>24</v>
      </c>
      <c r="CY816">
        <f t="shared" si="1483"/>
        <v>246</v>
      </c>
      <c r="DA816" s="112">
        <f t="shared" ca="1" si="1484"/>
        <v>100000</v>
      </c>
      <c r="DE816" t="str">
        <f t="shared" si="1571"/>
        <v>cs:dc771</v>
      </c>
      <c r="DF816" t="e">
        <f t="shared" ca="1" si="1480"/>
        <v>#REF!</v>
      </c>
    </row>
    <row r="817" spans="47:110" x14ac:dyDescent="0.25">
      <c r="AU817" s="112"/>
      <c r="AV817" s="112"/>
      <c r="BQ817" s="238">
        <f t="shared" ref="BQ817:BQ820" si="1643">BQ816</f>
        <v>620</v>
      </c>
      <c r="BR817" t="s">
        <v>445</v>
      </c>
      <c r="BS817" t="s">
        <v>446</v>
      </c>
      <c r="BT817" s="114" t="e">
        <f t="shared" ca="1" si="1633"/>
        <v>#N/A</v>
      </c>
      <c r="BU817" s="112"/>
      <c r="BV817" t="e">
        <f t="shared" ca="1" si="1514"/>
        <v>#N/A</v>
      </c>
      <c r="BW817" s="112" t="e">
        <f t="shared" ca="1" si="1468"/>
        <v>#N/A</v>
      </c>
      <c r="BX817" s="112" t="e">
        <f t="shared" ca="1" si="1639"/>
        <v>#N/A</v>
      </c>
      <c r="BY817">
        <f t="shared" ca="1" si="1499"/>
        <v>0</v>
      </c>
      <c r="BZ817">
        <f t="shared" ca="1" si="1500"/>
        <v>24</v>
      </c>
      <c r="CB817" t="e">
        <f t="shared" ca="1" si="1472"/>
        <v>#N/A</v>
      </c>
      <c r="CC817" s="112" t="e">
        <f t="shared" ca="1" si="1473"/>
        <v>#N/A</v>
      </c>
      <c r="CD817" s="112" t="e">
        <f t="shared" ca="1" si="1474"/>
        <v>#N/A</v>
      </c>
      <c r="CE817">
        <f t="shared" ca="1" si="1475"/>
        <v>0</v>
      </c>
      <c r="CF817">
        <f t="shared" ca="1" si="1476"/>
        <v>24</v>
      </c>
      <c r="CH817" s="112" t="str">
        <f t="shared" ca="1" si="1545"/>
        <v/>
      </c>
      <c r="CI817" t="e">
        <f t="shared" ref="CI817:CI820" ca="1" si="1644">CI816</f>
        <v>#N/A</v>
      </c>
      <c r="CJ817" t="e">
        <f t="shared" ref="CJ817" ca="1" si="1645">IF(AND(CI817=0,CJ818=0,CJ819=0,CJ820=0,CC817&lt;100000),1,0)</f>
        <v>#N/A</v>
      </c>
      <c r="CK817" s="112" t="e">
        <f t="shared" ca="1" si="1548"/>
        <v>#N/A</v>
      </c>
      <c r="CM817" s="112"/>
      <c r="CN817" s="260" t="e">
        <f t="shared" ca="1" si="1489"/>
        <v>#N/A</v>
      </c>
      <c r="CO817" s="112" t="e">
        <f t="shared" ref="CO817:CO820" ca="1" si="1646">IF(CJ817=1,CH817,CD817)</f>
        <v>#N/A</v>
      </c>
      <c r="CP817" s="238">
        <f t="shared" ca="1" si="1550"/>
        <v>0</v>
      </c>
      <c r="CQ817" s="328">
        <f t="shared" ca="1" si="1551"/>
        <v>24</v>
      </c>
      <c r="CS817" s="112">
        <f t="shared" ca="1" si="1470"/>
        <v>100000</v>
      </c>
      <c r="CT817" s="112" t="e">
        <f t="shared" ca="1" si="1496"/>
        <v>#N/A</v>
      </c>
      <c r="CU817" s="238">
        <f t="shared" ca="1" si="1478"/>
        <v>0</v>
      </c>
      <c r="CV817" s="238">
        <f t="shared" ca="1" si="1479"/>
        <v>24</v>
      </c>
      <c r="CY817">
        <f t="shared" si="1483"/>
        <v>247</v>
      </c>
      <c r="DA817" s="112">
        <f t="shared" ca="1" si="1484"/>
        <v>100000</v>
      </c>
      <c r="DE817" t="str">
        <f t="shared" si="1571"/>
        <v>cs:dc771</v>
      </c>
      <c r="DF817" t="e">
        <f t="shared" ca="1" si="1480"/>
        <v>#REF!</v>
      </c>
    </row>
    <row r="818" spans="47:110" x14ac:dyDescent="0.25">
      <c r="AU818" s="112"/>
      <c r="AV818" s="112"/>
      <c r="BQ818" s="238">
        <f t="shared" si="1643"/>
        <v>620</v>
      </c>
      <c r="BR818" t="s">
        <v>446</v>
      </c>
      <c r="BS818" t="s">
        <v>447</v>
      </c>
      <c r="BT818" s="114" t="e">
        <f t="shared" ca="1" si="1633"/>
        <v>#N/A</v>
      </c>
      <c r="BU818" s="112"/>
      <c r="BV818" t="e">
        <f t="shared" ca="1" si="1514"/>
        <v>#N/A</v>
      </c>
      <c r="BW818" s="112" t="e">
        <f t="shared" ca="1" si="1468"/>
        <v>#N/A</v>
      </c>
      <c r="BX818" s="112" t="e">
        <f t="shared" ca="1" si="1639"/>
        <v>#N/A</v>
      </c>
      <c r="BY818">
        <f t="shared" ca="1" si="1499"/>
        <v>0</v>
      </c>
      <c r="BZ818">
        <f t="shared" ca="1" si="1500"/>
        <v>24</v>
      </c>
      <c r="CB818" t="e">
        <f t="shared" ca="1" si="1472"/>
        <v>#N/A</v>
      </c>
      <c r="CC818" s="112" t="e">
        <f t="shared" ca="1" si="1473"/>
        <v>#N/A</v>
      </c>
      <c r="CD818" s="112" t="e">
        <f t="shared" ca="1" si="1474"/>
        <v>#N/A</v>
      </c>
      <c r="CE818">
        <f t="shared" ca="1" si="1475"/>
        <v>0</v>
      </c>
      <c r="CF818">
        <f t="shared" ca="1" si="1476"/>
        <v>24</v>
      </c>
      <c r="CH818" s="112" t="str">
        <f t="shared" ca="1" si="1545"/>
        <v/>
      </c>
      <c r="CI818" t="e">
        <f t="shared" ca="1" si="1644"/>
        <v>#N/A</v>
      </c>
      <c r="CJ818" t="e">
        <f t="shared" ref="CJ818" ca="1" si="1647">IF(AND(CI818=0,CJ819=0,CJ820=0,CC818&lt;100000),1,0)</f>
        <v>#N/A</v>
      </c>
      <c r="CK818" s="112" t="e">
        <f t="shared" ca="1" si="1548"/>
        <v>#N/A</v>
      </c>
      <c r="CM818" s="112"/>
      <c r="CN818" s="260" t="e">
        <f t="shared" ca="1" si="1489"/>
        <v>#N/A</v>
      </c>
      <c r="CO818" s="112" t="e">
        <f t="shared" ca="1" si="1646"/>
        <v>#N/A</v>
      </c>
      <c r="CP818" s="238">
        <f t="shared" ca="1" si="1550"/>
        <v>0</v>
      </c>
      <c r="CQ818" s="328">
        <f t="shared" ca="1" si="1551"/>
        <v>24</v>
      </c>
      <c r="CS818" s="112">
        <f t="shared" ca="1" si="1470"/>
        <v>100000</v>
      </c>
      <c r="CT818" s="112" t="e">
        <f t="shared" ca="1" si="1496"/>
        <v>#N/A</v>
      </c>
      <c r="CU818" s="238">
        <f t="shared" ca="1" si="1478"/>
        <v>0</v>
      </c>
      <c r="CV818" s="238">
        <f t="shared" ca="1" si="1479"/>
        <v>24</v>
      </c>
      <c r="CY818">
        <f t="shared" si="1483"/>
        <v>248</v>
      </c>
      <c r="DA818" s="112">
        <f t="shared" ca="1" si="1484"/>
        <v>100000</v>
      </c>
      <c r="DE818" t="str">
        <f t="shared" si="1571"/>
        <v>cs:dc771</v>
      </c>
      <c r="DF818" t="e">
        <f t="shared" ca="1" si="1480"/>
        <v>#REF!</v>
      </c>
    </row>
    <row r="819" spans="47:110" x14ac:dyDescent="0.25">
      <c r="AU819" s="112"/>
      <c r="AV819" s="112"/>
      <c r="BQ819" s="238">
        <f t="shared" si="1643"/>
        <v>620</v>
      </c>
      <c r="BR819" t="s">
        <v>447</v>
      </c>
      <c r="BS819" t="s">
        <v>448</v>
      </c>
      <c r="BT819" s="114" t="e">
        <f t="shared" ca="1" si="1633"/>
        <v>#N/A</v>
      </c>
      <c r="BU819" s="112"/>
      <c r="BV819" t="e">
        <f t="shared" ca="1" si="1514"/>
        <v>#N/A</v>
      </c>
      <c r="BW819" s="112" t="e">
        <f t="shared" ca="1" si="1468"/>
        <v>#N/A</v>
      </c>
      <c r="BX819" s="112" t="e">
        <f t="shared" ref="BX819:BX820" ca="1" si="1648">INDIRECT(CONCATENATE(BS819,BQ819))</f>
        <v>#N/A</v>
      </c>
      <c r="BY819">
        <f t="shared" ca="1" si="1499"/>
        <v>0</v>
      </c>
      <c r="BZ819">
        <f t="shared" ca="1" si="1500"/>
        <v>24</v>
      </c>
      <c r="CB819" t="e">
        <f t="shared" ca="1" si="1472"/>
        <v>#N/A</v>
      </c>
      <c r="CC819" s="112" t="e">
        <f t="shared" ca="1" si="1473"/>
        <v>#N/A</v>
      </c>
      <c r="CD819" s="112" t="e">
        <f t="shared" ca="1" si="1474"/>
        <v>#N/A</v>
      </c>
      <c r="CE819">
        <f t="shared" ca="1" si="1475"/>
        <v>0</v>
      </c>
      <c r="CF819">
        <f t="shared" ca="1" si="1476"/>
        <v>24</v>
      </c>
      <c r="CH819" s="112" t="str">
        <f t="shared" ca="1" si="1545"/>
        <v/>
      </c>
      <c r="CI819" t="e">
        <f t="shared" ca="1" si="1644"/>
        <v>#N/A</v>
      </c>
      <c r="CJ819" t="e">
        <f t="shared" ref="CJ819" ca="1" si="1649">IF(AND(CI819=0,CJ820=0,CC819&lt;100000),1,0)</f>
        <v>#N/A</v>
      </c>
      <c r="CK819" s="112" t="e">
        <f t="shared" ca="1" si="1548"/>
        <v>#N/A</v>
      </c>
      <c r="CM819" s="112"/>
      <c r="CN819" s="260" t="e">
        <f t="shared" ca="1" si="1489"/>
        <v>#N/A</v>
      </c>
      <c r="CO819" s="112" t="e">
        <f t="shared" ca="1" si="1646"/>
        <v>#N/A</v>
      </c>
      <c r="CP819" s="238">
        <f t="shared" ca="1" si="1550"/>
        <v>0</v>
      </c>
      <c r="CQ819" s="328">
        <f t="shared" ca="1" si="1551"/>
        <v>24</v>
      </c>
      <c r="CS819" s="112">
        <f t="shared" ca="1" si="1470"/>
        <v>100000</v>
      </c>
      <c r="CT819" s="112" t="e">
        <f t="shared" ca="1" si="1496"/>
        <v>#N/A</v>
      </c>
      <c r="CU819" s="238">
        <f t="shared" ca="1" si="1478"/>
        <v>0</v>
      </c>
      <c r="CV819" s="238">
        <f t="shared" ca="1" si="1479"/>
        <v>24</v>
      </c>
      <c r="CY819">
        <f t="shared" si="1483"/>
        <v>249</v>
      </c>
      <c r="DA819" s="112">
        <f t="shared" ca="1" si="1484"/>
        <v>100000</v>
      </c>
      <c r="DE819" t="str">
        <f t="shared" si="1571"/>
        <v>cs:dc771</v>
      </c>
      <c r="DF819" t="e">
        <f t="shared" ca="1" si="1480"/>
        <v>#REF!</v>
      </c>
    </row>
    <row r="820" spans="47:110" ht="15.75" thickBot="1" x14ac:dyDescent="0.3">
      <c r="AU820" s="112"/>
      <c r="AV820" s="112"/>
      <c r="BQ820" s="238">
        <f t="shared" si="1643"/>
        <v>620</v>
      </c>
      <c r="BR820" t="s">
        <v>448</v>
      </c>
      <c r="BS820" t="s">
        <v>449</v>
      </c>
      <c r="BT820" s="114" t="e">
        <f t="shared" ca="1" si="1633"/>
        <v>#N/A</v>
      </c>
      <c r="BU820" s="112"/>
      <c r="BV820" t="e">
        <f t="shared" ca="1" si="1514"/>
        <v>#N/A</v>
      </c>
      <c r="BW820" s="112" t="e">
        <f t="shared" ca="1" si="1468"/>
        <v>#N/A</v>
      </c>
      <c r="BX820" s="112" t="str">
        <f t="shared" ca="1" si="1648"/>
        <v/>
      </c>
      <c r="BY820">
        <f t="shared" ca="1" si="1499"/>
        <v>0</v>
      </c>
      <c r="BZ820">
        <f t="shared" ca="1" si="1500"/>
        <v>24</v>
      </c>
      <c r="CB820" t="e">
        <f t="shared" ca="1" si="1472"/>
        <v>#N/A</v>
      </c>
      <c r="CC820" s="112" t="e">
        <f t="shared" ca="1" si="1473"/>
        <v>#N/A</v>
      </c>
      <c r="CD820" s="112" t="str">
        <f t="shared" ca="1" si="1474"/>
        <v/>
      </c>
      <c r="CE820">
        <f t="shared" ca="1" si="1475"/>
        <v>0</v>
      </c>
      <c r="CF820">
        <f t="shared" ca="1" si="1476"/>
        <v>24</v>
      </c>
      <c r="CH820" s="112" t="str">
        <f t="shared" ca="1" si="1545"/>
        <v/>
      </c>
      <c r="CI820" t="e">
        <f t="shared" ca="1" si="1644"/>
        <v>#N/A</v>
      </c>
      <c r="CJ820" t="e">
        <f t="shared" ref="CJ820" ca="1" si="1650">IF(AND(CI820=0,CC820&lt;100000),1,0)</f>
        <v>#N/A</v>
      </c>
      <c r="CK820" s="112" t="e">
        <f t="shared" ca="1" si="1548"/>
        <v>#N/A</v>
      </c>
      <c r="CM820" s="112"/>
      <c r="CN820" s="261" t="e">
        <f t="shared" ref="CN820" ca="1" si="1651">IF(AND(CN816=100000,CN817=100000,CN818=100000,CN819=100000),INDIRECT(CONCATENATE("aa",BQ820)),CC820)</f>
        <v>#N/A</v>
      </c>
      <c r="CO820" s="324" t="e">
        <f t="shared" ca="1" si="1646"/>
        <v>#N/A</v>
      </c>
      <c r="CP820" s="256">
        <f t="shared" ca="1" si="1550"/>
        <v>0</v>
      </c>
      <c r="CQ820" s="329">
        <f t="shared" ca="1" si="1551"/>
        <v>24</v>
      </c>
      <c r="CS820" s="112">
        <f t="shared" ca="1" si="1470"/>
        <v>100000</v>
      </c>
      <c r="CT820" s="112" t="e">
        <f t="shared" ca="1" si="1496"/>
        <v>#N/A</v>
      </c>
      <c r="CU820" s="238">
        <f t="shared" ca="1" si="1478"/>
        <v>0</v>
      </c>
      <c r="CV820" s="238">
        <f t="shared" ca="1" si="1479"/>
        <v>24</v>
      </c>
      <c r="CY820">
        <f t="shared" si="1483"/>
        <v>250</v>
      </c>
      <c r="DA820" s="112">
        <f t="shared" ca="1" si="1484"/>
        <v>100000</v>
      </c>
      <c r="DE820" t="str">
        <f t="shared" si="1571"/>
        <v>cs:dc771</v>
      </c>
      <c r="DF820" t="e">
        <f t="shared" ca="1" si="1480"/>
        <v>#REF!</v>
      </c>
    </row>
    <row r="821" spans="47:110" x14ac:dyDescent="0.25">
      <c r="AU821" s="112"/>
      <c r="AV821" s="112"/>
      <c r="BQ821" s="238">
        <f t="shared" ref="BQ821" si="1652">BQ820+1</f>
        <v>621</v>
      </c>
      <c r="BR821" s="112" t="s">
        <v>444</v>
      </c>
      <c r="BS821" s="112" t="s">
        <v>445</v>
      </c>
      <c r="BT821" s="114" t="e">
        <f t="shared" ca="1" si="1633"/>
        <v>#N/A</v>
      </c>
      <c r="BU821" s="112"/>
      <c r="BV821">
        <f t="shared" ca="1" si="1514"/>
        <v>0</v>
      </c>
      <c r="BW821" s="112" t="str">
        <f t="shared" ca="1" si="1468"/>
        <v/>
      </c>
      <c r="BX821" s="112" t="e">
        <f t="shared" ref="BX821:BX823" ca="1" si="1653">INDIRECT(CONCATENATE(BS821,BQ821))-1</f>
        <v>#N/A</v>
      </c>
      <c r="BY821">
        <f t="shared" ca="1" si="1499"/>
        <v>0</v>
      </c>
      <c r="BZ821">
        <f t="shared" ca="1" si="1500"/>
        <v>24</v>
      </c>
      <c r="CB821" t="e">
        <f t="shared" ca="1" si="1472"/>
        <v>#N/A</v>
      </c>
      <c r="CC821" s="112" t="e">
        <f t="shared" ca="1" si="1473"/>
        <v>#N/A</v>
      </c>
      <c r="CD821" s="112" t="e">
        <f t="shared" ca="1" si="1474"/>
        <v>#N/A</v>
      </c>
      <c r="CE821">
        <f t="shared" ca="1" si="1475"/>
        <v>0</v>
      </c>
      <c r="CF821">
        <f t="shared" ca="1" si="1476"/>
        <v>24</v>
      </c>
      <c r="CH821" s="112" t="str">
        <f t="shared" ca="1" si="1545"/>
        <v/>
      </c>
      <c r="CI821" t="e">
        <f t="shared" ref="CI821" ca="1" si="1654">CB821+CB822+CB823+CB824+CB825</f>
        <v>#N/A</v>
      </c>
      <c r="CJ821">
        <v>0</v>
      </c>
      <c r="CK821" s="112" t="str">
        <f t="shared" ca="1" si="1548"/>
        <v/>
      </c>
      <c r="CM821" s="112"/>
      <c r="CN821" s="408" t="e">
        <f t="shared" ca="1" si="1489"/>
        <v>#N/A</v>
      </c>
      <c r="CO821" s="326" t="e">
        <f t="shared" ref="CO821" ca="1" si="1655">CD821</f>
        <v>#N/A</v>
      </c>
      <c r="CP821" s="333">
        <f t="shared" ca="1" si="1550"/>
        <v>0</v>
      </c>
      <c r="CQ821" s="327">
        <f t="shared" ca="1" si="1551"/>
        <v>24</v>
      </c>
      <c r="CS821" s="112">
        <f t="shared" ca="1" si="1470"/>
        <v>100000</v>
      </c>
      <c r="CT821" s="112" t="e">
        <f t="shared" ref="CT821" ca="1" si="1656">IF(AND( CN822=100000,CN823=100000,CN824=100000,CN825=100000),CO825,                             CO821)</f>
        <v>#N/A</v>
      </c>
      <c r="CU821" s="238">
        <f t="shared" ca="1" si="1478"/>
        <v>0</v>
      </c>
      <c r="CV821" s="238">
        <f t="shared" ca="1" si="1479"/>
        <v>24</v>
      </c>
      <c r="CY821">
        <f t="shared" si="1483"/>
        <v>251</v>
      </c>
      <c r="DA821" s="112">
        <f t="shared" ca="1" si="1484"/>
        <v>100000</v>
      </c>
      <c r="DE821" t="str">
        <f t="shared" si="1571"/>
        <v>cs:dc771</v>
      </c>
      <c r="DF821" t="e">
        <f t="shared" ca="1" si="1480"/>
        <v>#REF!</v>
      </c>
    </row>
    <row r="822" spans="47:110" x14ac:dyDescent="0.25">
      <c r="AU822" s="112"/>
      <c r="AV822" s="112"/>
      <c r="BQ822" s="238">
        <f t="shared" ref="BQ822:BQ825" si="1657">BQ821</f>
        <v>621</v>
      </c>
      <c r="BR822" t="s">
        <v>445</v>
      </c>
      <c r="BS822" t="s">
        <v>446</v>
      </c>
      <c r="BT822" s="114" t="e">
        <f t="shared" ca="1" si="1633"/>
        <v>#N/A</v>
      </c>
      <c r="BU822" s="112"/>
      <c r="BV822" t="e">
        <f t="shared" ca="1" si="1514"/>
        <v>#N/A</v>
      </c>
      <c r="BW822" s="112" t="e">
        <f t="shared" ca="1" si="1468"/>
        <v>#N/A</v>
      </c>
      <c r="BX822" s="112" t="e">
        <f t="shared" ca="1" si="1653"/>
        <v>#N/A</v>
      </c>
      <c r="BY822">
        <f t="shared" ca="1" si="1499"/>
        <v>0</v>
      </c>
      <c r="BZ822">
        <f t="shared" ca="1" si="1500"/>
        <v>24</v>
      </c>
      <c r="CB822" t="e">
        <f t="shared" ca="1" si="1472"/>
        <v>#N/A</v>
      </c>
      <c r="CC822" s="112" t="e">
        <f t="shared" ca="1" si="1473"/>
        <v>#N/A</v>
      </c>
      <c r="CD822" s="112" t="e">
        <f t="shared" ca="1" si="1474"/>
        <v>#N/A</v>
      </c>
      <c r="CE822">
        <f t="shared" ca="1" si="1475"/>
        <v>0</v>
      </c>
      <c r="CF822">
        <f t="shared" ca="1" si="1476"/>
        <v>24</v>
      </c>
      <c r="CH822" s="112" t="str">
        <f t="shared" ca="1" si="1545"/>
        <v/>
      </c>
      <c r="CI822" t="e">
        <f t="shared" ref="CI822:CI825" ca="1" si="1658">CI821</f>
        <v>#N/A</v>
      </c>
      <c r="CJ822" t="e">
        <f t="shared" ref="CJ822" ca="1" si="1659">IF(AND(CI822=0,CJ823=0,CJ824=0,CJ825=0,CC822&lt;100000),1,0)</f>
        <v>#N/A</v>
      </c>
      <c r="CK822" s="112" t="e">
        <f t="shared" ca="1" si="1548"/>
        <v>#N/A</v>
      </c>
      <c r="CM822" s="112"/>
      <c r="CN822" s="260" t="e">
        <f t="shared" ca="1" si="1489"/>
        <v>#N/A</v>
      </c>
      <c r="CO822" s="112" t="e">
        <f t="shared" ref="CO822:CO825" ca="1" si="1660">IF(CJ822=1,CH822,CD822)</f>
        <v>#N/A</v>
      </c>
      <c r="CP822" s="238">
        <f t="shared" ca="1" si="1550"/>
        <v>0</v>
      </c>
      <c r="CQ822" s="328">
        <f t="shared" ca="1" si="1551"/>
        <v>24</v>
      </c>
      <c r="CS822" s="112">
        <f t="shared" ca="1" si="1470"/>
        <v>100000</v>
      </c>
      <c r="CT822" s="112" t="e">
        <f t="shared" ca="1" si="1496"/>
        <v>#N/A</v>
      </c>
      <c r="CU822" s="238">
        <f t="shared" ca="1" si="1478"/>
        <v>0</v>
      </c>
      <c r="CV822" s="238">
        <f t="shared" ca="1" si="1479"/>
        <v>24</v>
      </c>
      <c r="CY822">
        <f t="shared" si="1483"/>
        <v>252</v>
      </c>
      <c r="DA822" s="112">
        <f t="shared" ca="1" si="1484"/>
        <v>100000</v>
      </c>
      <c r="DE822" t="str">
        <f t="shared" si="1571"/>
        <v>cs:dc771</v>
      </c>
      <c r="DF822" t="e">
        <f t="shared" ca="1" si="1480"/>
        <v>#REF!</v>
      </c>
    </row>
    <row r="823" spans="47:110" x14ac:dyDescent="0.25">
      <c r="AU823" s="112"/>
      <c r="AV823" s="112"/>
      <c r="BQ823" s="238">
        <f t="shared" si="1657"/>
        <v>621</v>
      </c>
      <c r="BR823" t="s">
        <v>446</v>
      </c>
      <c r="BS823" t="s">
        <v>447</v>
      </c>
      <c r="BT823" s="114" t="e">
        <f t="shared" ca="1" si="1633"/>
        <v>#N/A</v>
      </c>
      <c r="BU823" s="112"/>
      <c r="BV823" t="e">
        <f t="shared" ca="1" si="1514"/>
        <v>#N/A</v>
      </c>
      <c r="BW823" s="112" t="e">
        <f t="shared" ca="1" si="1468"/>
        <v>#N/A</v>
      </c>
      <c r="BX823" s="112" t="e">
        <f t="shared" ca="1" si="1653"/>
        <v>#N/A</v>
      </c>
      <c r="BY823">
        <f t="shared" ca="1" si="1499"/>
        <v>0</v>
      </c>
      <c r="BZ823">
        <f t="shared" ca="1" si="1500"/>
        <v>24</v>
      </c>
      <c r="CB823" t="e">
        <f t="shared" ca="1" si="1472"/>
        <v>#N/A</v>
      </c>
      <c r="CC823" s="112" t="e">
        <f t="shared" ca="1" si="1473"/>
        <v>#N/A</v>
      </c>
      <c r="CD823" s="112" t="e">
        <f t="shared" ca="1" si="1474"/>
        <v>#N/A</v>
      </c>
      <c r="CE823">
        <f t="shared" ca="1" si="1475"/>
        <v>0</v>
      </c>
      <c r="CF823">
        <f t="shared" ca="1" si="1476"/>
        <v>24</v>
      </c>
      <c r="CH823" s="112" t="str">
        <f t="shared" ca="1" si="1545"/>
        <v/>
      </c>
      <c r="CI823" t="e">
        <f t="shared" ca="1" si="1658"/>
        <v>#N/A</v>
      </c>
      <c r="CJ823" t="e">
        <f t="shared" ref="CJ823" ca="1" si="1661">IF(AND(CI823=0,CJ824=0,CJ825=0,CC823&lt;100000),1,0)</f>
        <v>#N/A</v>
      </c>
      <c r="CK823" s="112" t="e">
        <f t="shared" ca="1" si="1548"/>
        <v>#N/A</v>
      </c>
      <c r="CM823" s="112"/>
      <c r="CN823" s="260" t="e">
        <f t="shared" ca="1" si="1489"/>
        <v>#N/A</v>
      </c>
      <c r="CO823" s="112" t="e">
        <f t="shared" ca="1" si="1660"/>
        <v>#N/A</v>
      </c>
      <c r="CP823" s="238">
        <f t="shared" ca="1" si="1550"/>
        <v>0</v>
      </c>
      <c r="CQ823" s="328">
        <f t="shared" ca="1" si="1551"/>
        <v>24</v>
      </c>
      <c r="CS823" s="112">
        <f t="shared" ca="1" si="1470"/>
        <v>100000</v>
      </c>
      <c r="CT823" s="112" t="e">
        <f t="shared" ca="1" si="1496"/>
        <v>#N/A</v>
      </c>
      <c r="CU823" s="238">
        <f t="shared" ca="1" si="1478"/>
        <v>0</v>
      </c>
      <c r="CV823" s="238">
        <f t="shared" ca="1" si="1479"/>
        <v>24</v>
      </c>
      <c r="CY823">
        <f t="shared" si="1483"/>
        <v>253</v>
      </c>
      <c r="DA823" s="112">
        <f t="shared" ca="1" si="1484"/>
        <v>100000</v>
      </c>
      <c r="DE823" t="str">
        <f t="shared" si="1571"/>
        <v>cs:dc771</v>
      </c>
      <c r="DF823" t="e">
        <f t="shared" ca="1" si="1480"/>
        <v>#REF!</v>
      </c>
    </row>
    <row r="824" spans="47:110" x14ac:dyDescent="0.25">
      <c r="AU824" s="112"/>
      <c r="AV824" s="112"/>
      <c r="BQ824" s="238">
        <f t="shared" si="1657"/>
        <v>621</v>
      </c>
      <c r="BR824" t="s">
        <v>447</v>
      </c>
      <c r="BS824" t="s">
        <v>448</v>
      </c>
      <c r="BT824" s="114" t="e">
        <f t="shared" ca="1" si="1633"/>
        <v>#N/A</v>
      </c>
      <c r="BU824" s="112"/>
      <c r="BV824" t="e">
        <f t="shared" ca="1" si="1514"/>
        <v>#N/A</v>
      </c>
      <c r="BW824" s="112" t="e">
        <f t="shared" ca="1" si="1468"/>
        <v>#N/A</v>
      </c>
      <c r="BX824" s="112" t="e">
        <f t="shared" ref="BX824:BX825" ca="1" si="1662">INDIRECT(CONCATENATE(BS824,BQ824))</f>
        <v>#N/A</v>
      </c>
      <c r="BY824">
        <f t="shared" ca="1" si="1499"/>
        <v>0</v>
      </c>
      <c r="BZ824">
        <f t="shared" ca="1" si="1500"/>
        <v>24</v>
      </c>
      <c r="CB824" t="e">
        <f t="shared" ca="1" si="1472"/>
        <v>#N/A</v>
      </c>
      <c r="CC824" s="112" t="e">
        <f t="shared" ca="1" si="1473"/>
        <v>#N/A</v>
      </c>
      <c r="CD824" s="112" t="e">
        <f t="shared" ca="1" si="1474"/>
        <v>#N/A</v>
      </c>
      <c r="CE824">
        <f t="shared" ca="1" si="1475"/>
        <v>0</v>
      </c>
      <c r="CF824">
        <f t="shared" ca="1" si="1476"/>
        <v>24</v>
      </c>
      <c r="CH824" s="112" t="str">
        <f t="shared" ca="1" si="1545"/>
        <v/>
      </c>
      <c r="CI824" t="e">
        <f t="shared" ca="1" si="1658"/>
        <v>#N/A</v>
      </c>
      <c r="CJ824" t="e">
        <f t="shared" ref="CJ824" ca="1" si="1663">IF(AND(CI824=0,CJ825=0,CC824&lt;100000),1,0)</f>
        <v>#N/A</v>
      </c>
      <c r="CK824" s="112" t="e">
        <f t="shared" ca="1" si="1548"/>
        <v>#N/A</v>
      </c>
      <c r="CM824" s="112"/>
      <c r="CN824" s="260" t="e">
        <f t="shared" ca="1" si="1489"/>
        <v>#N/A</v>
      </c>
      <c r="CO824" s="112" t="e">
        <f t="shared" ca="1" si="1660"/>
        <v>#N/A</v>
      </c>
      <c r="CP824" s="238">
        <f t="shared" ca="1" si="1550"/>
        <v>0</v>
      </c>
      <c r="CQ824" s="328">
        <f t="shared" ca="1" si="1551"/>
        <v>24</v>
      </c>
      <c r="CS824" s="112">
        <f t="shared" ca="1" si="1470"/>
        <v>100000</v>
      </c>
      <c r="CT824" s="112" t="e">
        <f t="shared" ca="1" si="1496"/>
        <v>#N/A</v>
      </c>
      <c r="CU824" s="238">
        <f t="shared" ca="1" si="1478"/>
        <v>0</v>
      </c>
      <c r="CV824" s="238">
        <f t="shared" ca="1" si="1479"/>
        <v>24</v>
      </c>
      <c r="CY824">
        <f t="shared" si="1483"/>
        <v>254</v>
      </c>
      <c r="DA824" s="112">
        <f t="shared" ca="1" si="1484"/>
        <v>100000</v>
      </c>
      <c r="DE824" t="str">
        <f t="shared" si="1571"/>
        <v>cs:dc771</v>
      </c>
      <c r="DF824" t="e">
        <f t="shared" ca="1" si="1480"/>
        <v>#REF!</v>
      </c>
    </row>
    <row r="825" spans="47:110" ht="15.75" thickBot="1" x14ac:dyDescent="0.3">
      <c r="AU825" s="112"/>
      <c r="AV825" s="112"/>
      <c r="BQ825" s="238">
        <f t="shared" si="1657"/>
        <v>621</v>
      </c>
      <c r="BR825" t="s">
        <v>448</v>
      </c>
      <c r="BS825" t="s">
        <v>449</v>
      </c>
      <c r="BT825" s="114" t="e">
        <f t="shared" ca="1" si="1633"/>
        <v>#N/A</v>
      </c>
      <c r="BU825" s="112"/>
      <c r="BV825" t="e">
        <f t="shared" ca="1" si="1514"/>
        <v>#N/A</v>
      </c>
      <c r="BW825" s="112" t="e">
        <f t="shared" ca="1" si="1468"/>
        <v>#N/A</v>
      </c>
      <c r="BX825" s="112" t="str">
        <f t="shared" ca="1" si="1662"/>
        <v/>
      </c>
      <c r="BY825">
        <f t="shared" ca="1" si="1499"/>
        <v>0</v>
      </c>
      <c r="BZ825">
        <f t="shared" ca="1" si="1500"/>
        <v>24</v>
      </c>
      <c r="CB825" t="e">
        <f t="shared" ca="1" si="1472"/>
        <v>#N/A</v>
      </c>
      <c r="CC825" s="112" t="e">
        <f t="shared" ca="1" si="1473"/>
        <v>#N/A</v>
      </c>
      <c r="CD825" s="112" t="str">
        <f t="shared" ca="1" si="1474"/>
        <v/>
      </c>
      <c r="CE825">
        <f t="shared" ca="1" si="1475"/>
        <v>0</v>
      </c>
      <c r="CF825">
        <f t="shared" ca="1" si="1476"/>
        <v>24</v>
      </c>
      <c r="CH825" s="112" t="str">
        <f t="shared" ca="1" si="1545"/>
        <v/>
      </c>
      <c r="CI825" t="e">
        <f t="shared" ca="1" si="1658"/>
        <v>#N/A</v>
      </c>
      <c r="CJ825" t="e">
        <f t="shared" ref="CJ825" ca="1" si="1664">IF(AND(CI825=0,CC825&lt;100000),1,0)</f>
        <v>#N/A</v>
      </c>
      <c r="CK825" s="112" t="e">
        <f t="shared" ca="1" si="1548"/>
        <v>#N/A</v>
      </c>
      <c r="CM825" s="112"/>
      <c r="CN825" s="261" t="e">
        <f t="shared" ref="CN825" ca="1" si="1665">IF(AND(CN821=100000,CN822=100000,CN823=100000,CN824=100000),INDIRECT(CONCATENATE("aa",BQ825)),CC825)</f>
        <v>#N/A</v>
      </c>
      <c r="CO825" s="324" t="e">
        <f t="shared" ca="1" si="1660"/>
        <v>#N/A</v>
      </c>
      <c r="CP825" s="256">
        <f t="shared" ca="1" si="1550"/>
        <v>0</v>
      </c>
      <c r="CQ825" s="329">
        <f t="shared" ca="1" si="1551"/>
        <v>24</v>
      </c>
      <c r="CS825" s="112">
        <f t="shared" ca="1" si="1470"/>
        <v>100000</v>
      </c>
      <c r="CT825" s="112" t="e">
        <f t="shared" ca="1" si="1496"/>
        <v>#N/A</v>
      </c>
      <c r="CU825" s="238">
        <f t="shared" ca="1" si="1478"/>
        <v>0</v>
      </c>
      <c r="CV825" s="238">
        <f t="shared" ca="1" si="1479"/>
        <v>24</v>
      </c>
      <c r="CY825">
        <f t="shared" si="1483"/>
        <v>255</v>
      </c>
      <c r="DA825" s="112">
        <f t="shared" ca="1" si="1484"/>
        <v>100000</v>
      </c>
      <c r="DE825" t="str">
        <f t="shared" si="1571"/>
        <v>cs:dc771</v>
      </c>
      <c r="DF825" t="e">
        <f t="shared" ca="1" si="1480"/>
        <v>#REF!</v>
      </c>
    </row>
    <row r="826" spans="47:110" x14ac:dyDescent="0.25">
      <c r="AU826" s="112"/>
      <c r="AV826" s="112"/>
      <c r="BQ826" s="238">
        <f t="shared" ref="BQ826" si="1666">BQ825+1</f>
        <v>622</v>
      </c>
      <c r="BR826" s="112" t="s">
        <v>444</v>
      </c>
      <c r="BS826" s="112" t="s">
        <v>445</v>
      </c>
      <c r="BT826" s="114" t="e">
        <f t="shared" ca="1" si="1633"/>
        <v>#N/A</v>
      </c>
      <c r="BU826" s="112"/>
      <c r="BV826">
        <f t="shared" ca="1" si="1514"/>
        <v>0</v>
      </c>
      <c r="BW826" s="112" t="str">
        <f t="shared" ca="1" si="1468"/>
        <v/>
      </c>
      <c r="BX826" s="112" t="e">
        <f t="shared" ref="BX826:BX828" ca="1" si="1667">INDIRECT(CONCATENATE(BS826,BQ826))-1</f>
        <v>#N/A</v>
      </c>
      <c r="BY826">
        <f t="shared" ca="1" si="1499"/>
        <v>0</v>
      </c>
      <c r="BZ826">
        <f t="shared" ca="1" si="1500"/>
        <v>24</v>
      </c>
      <c r="CB826" t="e">
        <f t="shared" ca="1" si="1472"/>
        <v>#N/A</v>
      </c>
      <c r="CC826" s="112" t="e">
        <f t="shared" ca="1" si="1473"/>
        <v>#N/A</v>
      </c>
      <c r="CD826" s="112" t="e">
        <f t="shared" ca="1" si="1474"/>
        <v>#N/A</v>
      </c>
      <c r="CE826">
        <f t="shared" ca="1" si="1475"/>
        <v>0</v>
      </c>
      <c r="CF826">
        <f t="shared" ca="1" si="1476"/>
        <v>24</v>
      </c>
      <c r="CH826" s="112" t="str">
        <f t="shared" ca="1" si="1545"/>
        <v/>
      </c>
      <c r="CI826" t="e">
        <f t="shared" ref="CI826" ca="1" si="1668">CB826+CB827+CB828+CB829+CB830</f>
        <v>#N/A</v>
      </c>
      <c r="CJ826">
        <v>0</v>
      </c>
      <c r="CK826" s="112" t="str">
        <f t="shared" ca="1" si="1548"/>
        <v/>
      </c>
      <c r="CM826" s="112"/>
      <c r="CN826" s="408" t="e">
        <f t="shared" ca="1" si="1489"/>
        <v>#N/A</v>
      </c>
      <c r="CO826" s="326" t="e">
        <f t="shared" ref="CO826" ca="1" si="1669">CD826</f>
        <v>#N/A</v>
      </c>
      <c r="CP826" s="333">
        <f t="shared" ca="1" si="1550"/>
        <v>0</v>
      </c>
      <c r="CQ826" s="327">
        <f t="shared" ca="1" si="1551"/>
        <v>24</v>
      </c>
      <c r="CS826" s="112">
        <f t="shared" ca="1" si="1470"/>
        <v>100000</v>
      </c>
      <c r="CT826" s="112" t="e">
        <f t="shared" ref="CT826" ca="1" si="1670">IF(AND( CN827=100000,CN828=100000,CN829=100000,CN830=100000),CO830,                             CO826)</f>
        <v>#N/A</v>
      </c>
      <c r="CU826" s="238">
        <f t="shared" ca="1" si="1478"/>
        <v>0</v>
      </c>
      <c r="CV826" s="238">
        <f t="shared" ca="1" si="1479"/>
        <v>24</v>
      </c>
      <c r="CY826">
        <f t="shared" si="1483"/>
        <v>256</v>
      </c>
      <c r="DA826" s="112">
        <f t="shared" ca="1" si="1484"/>
        <v>100000</v>
      </c>
      <c r="DE826" t="str">
        <f t="shared" si="1571"/>
        <v>cs:dc771</v>
      </c>
      <c r="DF826" t="e">
        <f t="shared" ca="1" si="1480"/>
        <v>#REF!</v>
      </c>
    </row>
    <row r="827" spans="47:110" x14ac:dyDescent="0.25">
      <c r="AU827" s="112"/>
      <c r="AV827" s="112"/>
      <c r="BQ827" s="238">
        <f t="shared" ref="BQ827:BQ830" si="1671">BQ826</f>
        <v>622</v>
      </c>
      <c r="BR827" t="s">
        <v>445</v>
      </c>
      <c r="BS827" t="s">
        <v>446</v>
      </c>
      <c r="BT827" s="114" t="e">
        <f t="shared" ca="1" si="1633"/>
        <v>#N/A</v>
      </c>
      <c r="BU827" s="112"/>
      <c r="BV827" t="e">
        <f t="shared" ca="1" si="1514"/>
        <v>#N/A</v>
      </c>
      <c r="BW827" s="112" t="e">
        <f t="shared" ref="BW827:BW890" ca="1" si="1672">INDIRECT(CONCATENATE(BR827,BQ827))</f>
        <v>#N/A</v>
      </c>
      <c r="BX827" s="112" t="e">
        <f t="shared" ca="1" si="1667"/>
        <v>#N/A</v>
      </c>
      <c r="BY827">
        <f t="shared" ca="1" si="1499"/>
        <v>0</v>
      </c>
      <c r="BZ827">
        <f t="shared" ca="1" si="1500"/>
        <v>24</v>
      </c>
      <c r="CB827" t="e">
        <f t="shared" ca="1" si="1472"/>
        <v>#N/A</v>
      </c>
      <c r="CC827" s="112" t="e">
        <f t="shared" ca="1" si="1473"/>
        <v>#N/A</v>
      </c>
      <c r="CD827" s="112" t="e">
        <f t="shared" ca="1" si="1474"/>
        <v>#N/A</v>
      </c>
      <c r="CE827">
        <f t="shared" ca="1" si="1475"/>
        <v>0</v>
      </c>
      <c r="CF827">
        <f t="shared" ca="1" si="1476"/>
        <v>24</v>
      </c>
      <c r="CH827" s="112" t="str">
        <f t="shared" ca="1" si="1545"/>
        <v/>
      </c>
      <c r="CI827" t="e">
        <f t="shared" ref="CI827:CI830" ca="1" si="1673">CI826</f>
        <v>#N/A</v>
      </c>
      <c r="CJ827" t="e">
        <f t="shared" ref="CJ827" ca="1" si="1674">IF(AND(CI827=0,CJ828=0,CJ829=0,CJ830=0,CC827&lt;100000),1,0)</f>
        <v>#N/A</v>
      </c>
      <c r="CK827" s="112" t="e">
        <f t="shared" ca="1" si="1548"/>
        <v>#N/A</v>
      </c>
      <c r="CM827" s="112"/>
      <c r="CN827" s="260" t="e">
        <f t="shared" ca="1" si="1489"/>
        <v>#N/A</v>
      </c>
      <c r="CO827" s="112" t="e">
        <f t="shared" ref="CO827:CO830" ca="1" si="1675">IF(CJ827=1,CH827,CD827)</f>
        <v>#N/A</v>
      </c>
      <c r="CP827" s="238">
        <f t="shared" ca="1" si="1550"/>
        <v>0</v>
      </c>
      <c r="CQ827" s="328">
        <f t="shared" ca="1" si="1551"/>
        <v>24</v>
      </c>
      <c r="CS827" s="112">
        <f t="shared" ref="CS827:CS890" ca="1" si="1676">IF(TYPE(CN827)=16,100000,CN827)</f>
        <v>100000</v>
      </c>
      <c r="CT827" s="112" t="e">
        <f t="shared" ca="1" si="1496"/>
        <v>#N/A</v>
      </c>
      <c r="CU827" s="238">
        <f t="shared" ca="1" si="1478"/>
        <v>0</v>
      </c>
      <c r="CV827" s="238">
        <f t="shared" ca="1" si="1479"/>
        <v>24</v>
      </c>
      <c r="CY827">
        <f t="shared" si="1483"/>
        <v>257</v>
      </c>
      <c r="DA827" s="112">
        <f t="shared" ca="1" si="1484"/>
        <v>100000</v>
      </c>
      <c r="DE827" t="str">
        <f t="shared" si="1571"/>
        <v>cs:dc771</v>
      </c>
      <c r="DF827" t="e">
        <f t="shared" ca="1" si="1480"/>
        <v>#REF!</v>
      </c>
    </row>
    <row r="828" spans="47:110" x14ac:dyDescent="0.25">
      <c r="AU828" s="112"/>
      <c r="AV828" s="112"/>
      <c r="BQ828" s="238">
        <f t="shared" si="1671"/>
        <v>622</v>
      </c>
      <c r="BR828" t="s">
        <v>446</v>
      </c>
      <c r="BS828" t="s">
        <v>447</v>
      </c>
      <c r="BT828" s="114" t="e">
        <f t="shared" ca="1" si="1633"/>
        <v>#N/A</v>
      </c>
      <c r="BU828" s="112"/>
      <c r="BV828" t="e">
        <f t="shared" ca="1" si="1514"/>
        <v>#N/A</v>
      </c>
      <c r="BW828" s="112" t="e">
        <f t="shared" ca="1" si="1672"/>
        <v>#N/A</v>
      </c>
      <c r="BX828" s="112" t="e">
        <f t="shared" ca="1" si="1667"/>
        <v>#N/A</v>
      </c>
      <c r="BY828">
        <f t="shared" ca="1" si="1499"/>
        <v>0</v>
      </c>
      <c r="BZ828">
        <f t="shared" ca="1" si="1500"/>
        <v>24</v>
      </c>
      <c r="CB828" t="e">
        <f t="shared" ref="CB828:CB891" ca="1" si="1677">IF(AND(CC828&lt;&gt;100000,CD828=INDIRECT(CONCATENATE("aq",BQ828))),1,0)</f>
        <v>#N/A</v>
      </c>
      <c r="CC828" s="112" t="e">
        <f t="shared" ref="CC828:CC891" ca="1" si="1678">IF(OR(BV828=0,BW828&gt;BX828),100000,BW828)</f>
        <v>#N/A</v>
      </c>
      <c r="CD828" s="112" t="e">
        <f t="shared" ref="CD828:CD891" ca="1" si="1679">BX828</f>
        <v>#N/A</v>
      </c>
      <c r="CE828">
        <f t="shared" ref="CE828:CE891" ca="1" si="1680">BY828</f>
        <v>0</v>
      </c>
      <c r="CF828">
        <f t="shared" ref="CF828:CF891" ca="1" si="1681">BZ828</f>
        <v>24</v>
      </c>
      <c r="CH828" s="112" t="str">
        <f t="shared" ca="1" si="1545"/>
        <v/>
      </c>
      <c r="CI828" t="e">
        <f t="shared" ca="1" si="1673"/>
        <v>#N/A</v>
      </c>
      <c r="CJ828" t="e">
        <f t="shared" ref="CJ828" ca="1" si="1682">IF(AND(CI828=0,CJ829=0,CJ830=0,CC828&lt;100000),1,0)</f>
        <v>#N/A</v>
      </c>
      <c r="CK828" s="112" t="e">
        <f t="shared" ca="1" si="1548"/>
        <v>#N/A</v>
      </c>
      <c r="CM828" s="112"/>
      <c r="CN828" s="260" t="e">
        <f t="shared" ca="1" si="1489"/>
        <v>#N/A</v>
      </c>
      <c r="CO828" s="112" t="e">
        <f t="shared" ca="1" si="1675"/>
        <v>#N/A</v>
      </c>
      <c r="CP828" s="238">
        <f t="shared" ca="1" si="1550"/>
        <v>0</v>
      </c>
      <c r="CQ828" s="328">
        <f t="shared" ca="1" si="1551"/>
        <v>24</v>
      </c>
      <c r="CS828" s="112">
        <f t="shared" ca="1" si="1676"/>
        <v>100000</v>
      </c>
      <c r="CT828" s="112" t="e">
        <f t="shared" ca="1" si="1496"/>
        <v>#N/A</v>
      </c>
      <c r="CU828" s="238">
        <f t="shared" ref="CU828:CU891" ca="1" si="1683">CP828</f>
        <v>0</v>
      </c>
      <c r="CV828" s="238">
        <f t="shared" ref="CV828:CV891" ca="1" si="1684">CQ828</f>
        <v>24</v>
      </c>
      <c r="CY828">
        <f t="shared" si="1483"/>
        <v>258</v>
      </c>
      <c r="DA828" s="112">
        <f t="shared" ca="1" si="1484"/>
        <v>100000</v>
      </c>
      <c r="DE828" t="str">
        <f t="shared" ref="DE828:DE891" si="1685">CONCATENATE("cs",DC828,":dc771")</f>
        <v>cs:dc771</v>
      </c>
      <c r="DF828" t="e">
        <f t="shared" ref="DF828:DF891" ca="1" si="1686">VLOOKUP(DA828,INDIRECT(DE828),11,FALSE)</f>
        <v>#REF!</v>
      </c>
    </row>
    <row r="829" spans="47:110" x14ac:dyDescent="0.25">
      <c r="AU829" s="112"/>
      <c r="AV829" s="112"/>
      <c r="BQ829" s="238">
        <f t="shared" si="1671"/>
        <v>622</v>
      </c>
      <c r="BR829" t="s">
        <v>447</v>
      </c>
      <c r="BS829" t="s">
        <v>448</v>
      </c>
      <c r="BT829" s="114" t="e">
        <f t="shared" ca="1" si="1633"/>
        <v>#N/A</v>
      </c>
      <c r="BU829" s="112"/>
      <c r="BV829" t="e">
        <f t="shared" ca="1" si="1514"/>
        <v>#N/A</v>
      </c>
      <c r="BW829" s="112" t="e">
        <f t="shared" ca="1" si="1672"/>
        <v>#N/A</v>
      </c>
      <c r="BX829" s="112" t="e">
        <f t="shared" ref="BX829:BX830" ca="1" si="1687">INDIRECT(CONCATENATE(BS829,BQ829))</f>
        <v>#N/A</v>
      </c>
      <c r="BY829">
        <f t="shared" ca="1" si="1499"/>
        <v>0</v>
      </c>
      <c r="BZ829">
        <f t="shared" ca="1" si="1500"/>
        <v>24</v>
      </c>
      <c r="CB829" t="e">
        <f t="shared" ca="1" si="1677"/>
        <v>#N/A</v>
      </c>
      <c r="CC829" s="112" t="e">
        <f t="shared" ca="1" si="1678"/>
        <v>#N/A</v>
      </c>
      <c r="CD829" s="112" t="e">
        <f t="shared" ca="1" si="1679"/>
        <v>#N/A</v>
      </c>
      <c r="CE829">
        <f t="shared" ca="1" si="1680"/>
        <v>0</v>
      </c>
      <c r="CF829">
        <f t="shared" ca="1" si="1681"/>
        <v>24</v>
      </c>
      <c r="CH829" s="112" t="str">
        <f t="shared" ca="1" si="1545"/>
        <v/>
      </c>
      <c r="CI829" t="e">
        <f t="shared" ca="1" si="1673"/>
        <v>#N/A</v>
      </c>
      <c r="CJ829" t="e">
        <f t="shared" ref="CJ829" ca="1" si="1688">IF(AND(CI829=0,CJ830=0,CC829&lt;100000),1,0)</f>
        <v>#N/A</v>
      </c>
      <c r="CK829" s="112" t="e">
        <f t="shared" ca="1" si="1548"/>
        <v>#N/A</v>
      </c>
      <c r="CM829" s="112"/>
      <c r="CN829" s="260" t="e">
        <f t="shared" ca="1" si="1489"/>
        <v>#N/A</v>
      </c>
      <c r="CO829" s="112" t="e">
        <f t="shared" ca="1" si="1675"/>
        <v>#N/A</v>
      </c>
      <c r="CP829" s="238">
        <f t="shared" ca="1" si="1550"/>
        <v>0</v>
      </c>
      <c r="CQ829" s="328">
        <f t="shared" ca="1" si="1551"/>
        <v>24</v>
      </c>
      <c r="CS829" s="112">
        <f t="shared" ca="1" si="1676"/>
        <v>100000</v>
      </c>
      <c r="CT829" s="112" t="e">
        <f t="shared" ca="1" si="1496"/>
        <v>#N/A</v>
      </c>
      <c r="CU829" s="238">
        <f t="shared" ca="1" si="1683"/>
        <v>0</v>
      </c>
      <c r="CV829" s="238">
        <f t="shared" ca="1" si="1684"/>
        <v>24</v>
      </c>
      <c r="CY829">
        <f t="shared" ref="CY829:CY892" si="1689">CY828+1</f>
        <v>259</v>
      </c>
      <c r="DA829" s="112">
        <f t="shared" ref="DA829:DA892" ca="1" si="1690">SMALL($CS$571:$CS$1100,CY829)</f>
        <v>100000</v>
      </c>
      <c r="DE829" t="str">
        <f t="shared" si="1685"/>
        <v>cs:dc771</v>
      </c>
      <c r="DF829" t="e">
        <f t="shared" ca="1" si="1686"/>
        <v>#REF!</v>
      </c>
    </row>
    <row r="830" spans="47:110" ht="15.75" thickBot="1" x14ac:dyDescent="0.3">
      <c r="AU830" s="112"/>
      <c r="AV830" s="112"/>
      <c r="BQ830" s="238">
        <f t="shared" si="1671"/>
        <v>622</v>
      </c>
      <c r="BR830" t="s">
        <v>448</v>
      </c>
      <c r="BS830" t="s">
        <v>449</v>
      </c>
      <c r="BT830" s="114" t="e">
        <f t="shared" ca="1" si="1633"/>
        <v>#N/A</v>
      </c>
      <c r="BU830" s="112"/>
      <c r="BV830" t="e">
        <f t="shared" ca="1" si="1514"/>
        <v>#N/A</v>
      </c>
      <c r="BW830" s="112" t="e">
        <f t="shared" ca="1" si="1672"/>
        <v>#N/A</v>
      </c>
      <c r="BX830" s="112" t="str">
        <f t="shared" ca="1" si="1687"/>
        <v/>
      </c>
      <c r="BY830">
        <f t="shared" ca="1" si="1499"/>
        <v>0</v>
      </c>
      <c r="BZ830">
        <f t="shared" ca="1" si="1500"/>
        <v>24</v>
      </c>
      <c r="CB830" t="e">
        <f t="shared" ca="1" si="1677"/>
        <v>#N/A</v>
      </c>
      <c r="CC830" s="112" t="e">
        <f t="shared" ca="1" si="1678"/>
        <v>#N/A</v>
      </c>
      <c r="CD830" s="112" t="str">
        <f t="shared" ca="1" si="1679"/>
        <v/>
      </c>
      <c r="CE830">
        <f t="shared" ca="1" si="1680"/>
        <v>0</v>
      </c>
      <c r="CF830">
        <f t="shared" ca="1" si="1681"/>
        <v>24</v>
      </c>
      <c r="CH830" s="112" t="str">
        <f t="shared" ca="1" si="1545"/>
        <v/>
      </c>
      <c r="CI830" t="e">
        <f t="shared" ca="1" si="1673"/>
        <v>#N/A</v>
      </c>
      <c r="CJ830" t="e">
        <f t="shared" ref="CJ830" ca="1" si="1691">IF(AND(CI830=0,CC830&lt;100000),1,0)</f>
        <v>#N/A</v>
      </c>
      <c r="CK830" s="112" t="e">
        <f t="shared" ca="1" si="1548"/>
        <v>#N/A</v>
      </c>
      <c r="CM830" s="112"/>
      <c r="CN830" s="261" t="e">
        <f t="shared" ref="CN830" ca="1" si="1692">IF(AND(CN826=100000,CN827=100000,CN828=100000,CN829=100000),INDIRECT(CONCATENATE("aa",BQ830)),CC830)</f>
        <v>#N/A</v>
      </c>
      <c r="CO830" s="324" t="e">
        <f t="shared" ca="1" si="1675"/>
        <v>#N/A</v>
      </c>
      <c r="CP830" s="256">
        <f t="shared" ca="1" si="1550"/>
        <v>0</v>
      </c>
      <c r="CQ830" s="329">
        <f t="shared" ca="1" si="1551"/>
        <v>24</v>
      </c>
      <c r="CS830" s="112">
        <f t="shared" ca="1" si="1676"/>
        <v>100000</v>
      </c>
      <c r="CT830" s="112" t="e">
        <f t="shared" ca="1" si="1496"/>
        <v>#N/A</v>
      </c>
      <c r="CU830" s="238">
        <f t="shared" ca="1" si="1683"/>
        <v>0</v>
      </c>
      <c r="CV830" s="238">
        <f t="shared" ca="1" si="1684"/>
        <v>24</v>
      </c>
      <c r="CY830">
        <f t="shared" si="1689"/>
        <v>260</v>
      </c>
      <c r="DA830" s="112">
        <f t="shared" ca="1" si="1690"/>
        <v>100000</v>
      </c>
      <c r="DE830" t="str">
        <f t="shared" si="1685"/>
        <v>cs:dc771</v>
      </c>
      <c r="DF830" t="e">
        <f t="shared" ca="1" si="1686"/>
        <v>#REF!</v>
      </c>
    </row>
    <row r="831" spans="47:110" x14ac:dyDescent="0.25">
      <c r="AU831" s="112"/>
      <c r="AV831" s="112"/>
      <c r="BQ831" s="238">
        <f t="shared" ref="BQ831" si="1693">BQ830+1</f>
        <v>623</v>
      </c>
      <c r="BR831" s="112" t="s">
        <v>444</v>
      </c>
      <c r="BS831" s="112" t="s">
        <v>445</v>
      </c>
      <c r="BT831" s="114" t="e">
        <f t="shared" ca="1" si="1633"/>
        <v>#N/A</v>
      </c>
      <c r="BU831" s="112"/>
      <c r="BV831">
        <f t="shared" ca="1" si="1514"/>
        <v>0</v>
      </c>
      <c r="BW831" s="112" t="str">
        <f t="shared" ca="1" si="1672"/>
        <v/>
      </c>
      <c r="BX831" s="112" t="e">
        <f t="shared" ref="BX831:BX833" ca="1" si="1694">INDIRECT(CONCATENATE(BS831,BQ831))-1</f>
        <v>#N/A</v>
      </c>
      <c r="BY831">
        <f t="shared" ca="1" si="1499"/>
        <v>0</v>
      </c>
      <c r="BZ831">
        <f t="shared" ca="1" si="1500"/>
        <v>24</v>
      </c>
      <c r="CB831" t="e">
        <f t="shared" ca="1" si="1677"/>
        <v>#N/A</v>
      </c>
      <c r="CC831" s="112" t="e">
        <f t="shared" ca="1" si="1678"/>
        <v>#N/A</v>
      </c>
      <c r="CD831" s="112" t="e">
        <f t="shared" ca="1" si="1679"/>
        <v>#N/A</v>
      </c>
      <c r="CE831">
        <f t="shared" ca="1" si="1680"/>
        <v>0</v>
      </c>
      <c r="CF831">
        <f t="shared" ca="1" si="1681"/>
        <v>24</v>
      </c>
      <c r="CH831" s="112" t="str">
        <f t="shared" ca="1" si="1545"/>
        <v/>
      </c>
      <c r="CI831" t="e">
        <f t="shared" ref="CI831" ca="1" si="1695">CB831+CB832+CB833+CB834+CB835</f>
        <v>#N/A</v>
      </c>
      <c r="CJ831">
        <v>0</v>
      </c>
      <c r="CK831" s="112" t="str">
        <f t="shared" ca="1" si="1548"/>
        <v/>
      </c>
      <c r="CM831" s="112"/>
      <c r="CN831" s="408" t="e">
        <f t="shared" ref="CN831:CN894" ca="1" si="1696">CC831</f>
        <v>#N/A</v>
      </c>
      <c r="CO831" s="326" t="e">
        <f t="shared" ref="CO831" ca="1" si="1697">CD831</f>
        <v>#N/A</v>
      </c>
      <c r="CP831" s="333">
        <f t="shared" ca="1" si="1550"/>
        <v>0</v>
      </c>
      <c r="CQ831" s="327">
        <f t="shared" ca="1" si="1551"/>
        <v>24</v>
      </c>
      <c r="CS831" s="112">
        <f t="shared" ca="1" si="1676"/>
        <v>100000</v>
      </c>
      <c r="CT831" s="112" t="e">
        <f t="shared" ref="CT831" ca="1" si="1698">IF(AND( CN832=100000,CN833=100000,CN834=100000,CN835=100000),CO835,                             CO831)</f>
        <v>#N/A</v>
      </c>
      <c r="CU831" s="238">
        <f t="shared" ca="1" si="1683"/>
        <v>0</v>
      </c>
      <c r="CV831" s="238">
        <f t="shared" ca="1" si="1684"/>
        <v>24</v>
      </c>
      <c r="CY831">
        <f t="shared" si="1689"/>
        <v>261</v>
      </c>
      <c r="DA831" s="112">
        <f t="shared" ca="1" si="1690"/>
        <v>100000</v>
      </c>
      <c r="DE831" t="str">
        <f t="shared" si="1685"/>
        <v>cs:dc771</v>
      </c>
      <c r="DF831" t="e">
        <f t="shared" ca="1" si="1686"/>
        <v>#REF!</v>
      </c>
    </row>
    <row r="832" spans="47:110" x14ac:dyDescent="0.25">
      <c r="AU832" s="112"/>
      <c r="AV832" s="112"/>
      <c r="BQ832" s="238">
        <f t="shared" ref="BQ832:BQ835" si="1699">BQ831</f>
        <v>623</v>
      </c>
      <c r="BR832" t="s">
        <v>445</v>
      </c>
      <c r="BS832" t="s">
        <v>446</v>
      </c>
      <c r="BT832" s="114" t="e">
        <f t="shared" ca="1" si="1633"/>
        <v>#N/A</v>
      </c>
      <c r="BU832" s="112"/>
      <c r="BV832" t="e">
        <f t="shared" ca="1" si="1514"/>
        <v>#N/A</v>
      </c>
      <c r="BW832" s="112" t="e">
        <f t="shared" ca="1" si="1672"/>
        <v>#N/A</v>
      </c>
      <c r="BX832" s="112" t="e">
        <f t="shared" ca="1" si="1694"/>
        <v>#N/A</v>
      </c>
      <c r="BY832">
        <f t="shared" ca="1" si="1499"/>
        <v>0</v>
      </c>
      <c r="BZ832">
        <f t="shared" ca="1" si="1500"/>
        <v>24</v>
      </c>
      <c r="CB832" t="e">
        <f t="shared" ca="1" si="1677"/>
        <v>#N/A</v>
      </c>
      <c r="CC832" s="112" t="e">
        <f t="shared" ca="1" si="1678"/>
        <v>#N/A</v>
      </c>
      <c r="CD832" s="112" t="e">
        <f t="shared" ca="1" si="1679"/>
        <v>#N/A</v>
      </c>
      <c r="CE832">
        <f t="shared" ca="1" si="1680"/>
        <v>0</v>
      </c>
      <c r="CF832">
        <f t="shared" ca="1" si="1681"/>
        <v>24</v>
      </c>
      <c r="CH832" s="112" t="str">
        <f t="shared" ca="1" si="1545"/>
        <v/>
      </c>
      <c r="CI832" t="e">
        <f t="shared" ref="CI832:CI835" ca="1" si="1700">CI831</f>
        <v>#N/A</v>
      </c>
      <c r="CJ832" t="e">
        <f t="shared" ref="CJ832" ca="1" si="1701">IF(AND(CI832=0,CJ833=0,CJ834=0,CJ835=0,CC832&lt;100000),1,0)</f>
        <v>#N/A</v>
      </c>
      <c r="CK832" s="112" t="e">
        <f t="shared" ca="1" si="1548"/>
        <v>#N/A</v>
      </c>
      <c r="CM832" s="112"/>
      <c r="CN832" s="260" t="e">
        <f t="shared" ca="1" si="1696"/>
        <v>#N/A</v>
      </c>
      <c r="CO832" s="112" t="e">
        <f t="shared" ref="CO832:CO835" ca="1" si="1702">IF(CJ832=1,CH832,CD832)</f>
        <v>#N/A</v>
      </c>
      <c r="CP832" s="238">
        <f t="shared" ca="1" si="1550"/>
        <v>0</v>
      </c>
      <c r="CQ832" s="328">
        <f t="shared" ca="1" si="1551"/>
        <v>24</v>
      </c>
      <c r="CS832" s="112">
        <f t="shared" ca="1" si="1676"/>
        <v>100000</v>
      </c>
      <c r="CT832" s="112" t="e">
        <f t="shared" ref="CT832:CT895" ca="1" si="1703">CO832</f>
        <v>#N/A</v>
      </c>
      <c r="CU832" s="238">
        <f t="shared" ca="1" si="1683"/>
        <v>0</v>
      </c>
      <c r="CV832" s="238">
        <f t="shared" ca="1" si="1684"/>
        <v>24</v>
      </c>
      <c r="CY832">
        <f t="shared" si="1689"/>
        <v>262</v>
      </c>
      <c r="DA832" s="112">
        <f t="shared" ca="1" si="1690"/>
        <v>100000</v>
      </c>
      <c r="DE832" t="str">
        <f t="shared" si="1685"/>
        <v>cs:dc771</v>
      </c>
      <c r="DF832" t="e">
        <f t="shared" ca="1" si="1686"/>
        <v>#REF!</v>
      </c>
    </row>
    <row r="833" spans="47:110" x14ac:dyDescent="0.25">
      <c r="AU833" s="112"/>
      <c r="AV833" s="112"/>
      <c r="BQ833" s="238">
        <f t="shared" si="1699"/>
        <v>623</v>
      </c>
      <c r="BR833" t="s">
        <v>446</v>
      </c>
      <c r="BS833" t="s">
        <v>447</v>
      </c>
      <c r="BT833" s="114" t="e">
        <f t="shared" ca="1" si="1633"/>
        <v>#N/A</v>
      </c>
      <c r="BU833" s="112"/>
      <c r="BV833" t="e">
        <f t="shared" ca="1" si="1514"/>
        <v>#N/A</v>
      </c>
      <c r="BW833" s="112" t="e">
        <f t="shared" ca="1" si="1672"/>
        <v>#N/A</v>
      </c>
      <c r="BX833" s="112" t="e">
        <f t="shared" ca="1" si="1694"/>
        <v>#N/A</v>
      </c>
      <c r="BY833">
        <f t="shared" ref="BY833:BY896" ca="1" si="1704">INDIRECT(CONCATENATE("ag",BQ833))</f>
        <v>0</v>
      </c>
      <c r="BZ833">
        <f t="shared" ref="BZ833:BZ896" ca="1" si="1705">INDIRECT(CONCATENATE("ah",BQ833))</f>
        <v>24</v>
      </c>
      <c r="CB833" t="e">
        <f t="shared" ca="1" si="1677"/>
        <v>#N/A</v>
      </c>
      <c r="CC833" s="112" t="e">
        <f t="shared" ca="1" si="1678"/>
        <v>#N/A</v>
      </c>
      <c r="CD833" s="112" t="e">
        <f t="shared" ca="1" si="1679"/>
        <v>#N/A</v>
      </c>
      <c r="CE833">
        <f t="shared" ca="1" si="1680"/>
        <v>0</v>
      </c>
      <c r="CF833">
        <f t="shared" ca="1" si="1681"/>
        <v>24</v>
      </c>
      <c r="CH833" s="112" t="str">
        <f t="shared" ca="1" si="1545"/>
        <v/>
      </c>
      <c r="CI833" t="e">
        <f t="shared" ca="1" si="1700"/>
        <v>#N/A</v>
      </c>
      <c r="CJ833" t="e">
        <f t="shared" ref="CJ833" ca="1" si="1706">IF(AND(CI833=0,CJ834=0,CJ835=0,CC833&lt;100000),1,0)</f>
        <v>#N/A</v>
      </c>
      <c r="CK833" s="112" t="e">
        <f t="shared" ca="1" si="1548"/>
        <v>#N/A</v>
      </c>
      <c r="CM833" s="112"/>
      <c r="CN833" s="260" t="e">
        <f t="shared" ca="1" si="1696"/>
        <v>#N/A</v>
      </c>
      <c r="CO833" s="112" t="e">
        <f t="shared" ca="1" si="1702"/>
        <v>#N/A</v>
      </c>
      <c r="CP833" s="238">
        <f t="shared" ca="1" si="1550"/>
        <v>0</v>
      </c>
      <c r="CQ833" s="328">
        <f t="shared" ca="1" si="1551"/>
        <v>24</v>
      </c>
      <c r="CS833" s="112">
        <f t="shared" ca="1" si="1676"/>
        <v>100000</v>
      </c>
      <c r="CT833" s="112" t="e">
        <f t="shared" ca="1" si="1703"/>
        <v>#N/A</v>
      </c>
      <c r="CU833" s="238">
        <f t="shared" ca="1" si="1683"/>
        <v>0</v>
      </c>
      <c r="CV833" s="238">
        <f t="shared" ca="1" si="1684"/>
        <v>24</v>
      </c>
      <c r="CY833">
        <f t="shared" si="1689"/>
        <v>263</v>
      </c>
      <c r="DA833" s="112">
        <f t="shared" ca="1" si="1690"/>
        <v>100000</v>
      </c>
      <c r="DE833" t="str">
        <f t="shared" si="1685"/>
        <v>cs:dc771</v>
      </c>
      <c r="DF833" t="e">
        <f t="shared" ca="1" si="1686"/>
        <v>#REF!</v>
      </c>
    </row>
    <row r="834" spans="47:110" x14ac:dyDescent="0.25">
      <c r="AU834" s="112"/>
      <c r="AV834" s="112"/>
      <c r="BQ834" s="238">
        <f t="shared" si="1699"/>
        <v>623</v>
      </c>
      <c r="BR834" t="s">
        <v>447</v>
      </c>
      <c r="BS834" t="s">
        <v>448</v>
      </c>
      <c r="BT834" s="114" t="e">
        <f t="shared" ca="1" si="1633"/>
        <v>#N/A</v>
      </c>
      <c r="BU834" s="112"/>
      <c r="BV834" t="e">
        <f t="shared" ca="1" si="1514"/>
        <v>#N/A</v>
      </c>
      <c r="BW834" s="112" t="e">
        <f t="shared" ca="1" si="1672"/>
        <v>#N/A</v>
      </c>
      <c r="BX834" s="112" t="e">
        <f t="shared" ref="BX834:BX835" ca="1" si="1707">INDIRECT(CONCATENATE(BS834,BQ834))</f>
        <v>#N/A</v>
      </c>
      <c r="BY834">
        <f t="shared" ca="1" si="1704"/>
        <v>0</v>
      </c>
      <c r="BZ834">
        <f t="shared" ca="1" si="1705"/>
        <v>24</v>
      </c>
      <c r="CB834" t="e">
        <f t="shared" ca="1" si="1677"/>
        <v>#N/A</v>
      </c>
      <c r="CC834" s="112" t="e">
        <f t="shared" ca="1" si="1678"/>
        <v>#N/A</v>
      </c>
      <c r="CD834" s="112" t="e">
        <f t="shared" ca="1" si="1679"/>
        <v>#N/A</v>
      </c>
      <c r="CE834">
        <f t="shared" ca="1" si="1680"/>
        <v>0</v>
      </c>
      <c r="CF834">
        <f t="shared" ca="1" si="1681"/>
        <v>24</v>
      </c>
      <c r="CH834" s="112" t="str">
        <f t="shared" ca="1" si="1545"/>
        <v/>
      </c>
      <c r="CI834" t="e">
        <f t="shared" ca="1" si="1700"/>
        <v>#N/A</v>
      </c>
      <c r="CJ834" t="e">
        <f t="shared" ref="CJ834" ca="1" si="1708">IF(AND(CI834=0,CJ835=0,CC834&lt;100000),1,0)</f>
        <v>#N/A</v>
      </c>
      <c r="CK834" s="112" t="e">
        <f t="shared" ca="1" si="1548"/>
        <v>#N/A</v>
      </c>
      <c r="CM834" s="112"/>
      <c r="CN834" s="260" t="e">
        <f t="shared" ca="1" si="1696"/>
        <v>#N/A</v>
      </c>
      <c r="CO834" s="112" t="e">
        <f t="shared" ca="1" si="1702"/>
        <v>#N/A</v>
      </c>
      <c r="CP834" s="238">
        <f t="shared" ca="1" si="1550"/>
        <v>0</v>
      </c>
      <c r="CQ834" s="328">
        <f t="shared" ca="1" si="1551"/>
        <v>24</v>
      </c>
      <c r="CS834" s="112">
        <f t="shared" ca="1" si="1676"/>
        <v>100000</v>
      </c>
      <c r="CT834" s="112" t="e">
        <f t="shared" ca="1" si="1703"/>
        <v>#N/A</v>
      </c>
      <c r="CU834" s="238">
        <f t="shared" ca="1" si="1683"/>
        <v>0</v>
      </c>
      <c r="CV834" s="238">
        <f t="shared" ca="1" si="1684"/>
        <v>24</v>
      </c>
      <c r="CY834">
        <f t="shared" si="1689"/>
        <v>264</v>
      </c>
      <c r="DA834" s="112">
        <f t="shared" ca="1" si="1690"/>
        <v>100000</v>
      </c>
      <c r="DE834" t="str">
        <f t="shared" si="1685"/>
        <v>cs:dc771</v>
      </c>
      <c r="DF834" t="e">
        <f t="shared" ca="1" si="1686"/>
        <v>#REF!</v>
      </c>
    </row>
    <row r="835" spans="47:110" ht="15.75" thickBot="1" x14ac:dyDescent="0.3">
      <c r="AU835" s="112"/>
      <c r="AV835" s="112"/>
      <c r="BQ835" s="238">
        <f t="shared" si="1699"/>
        <v>623</v>
      </c>
      <c r="BR835" t="s">
        <v>448</v>
      </c>
      <c r="BS835" t="s">
        <v>449</v>
      </c>
      <c r="BT835" s="114" t="e">
        <f t="shared" ca="1" si="1633"/>
        <v>#N/A</v>
      </c>
      <c r="BU835" s="112"/>
      <c r="BV835" t="e">
        <f t="shared" ca="1" si="1514"/>
        <v>#N/A</v>
      </c>
      <c r="BW835" s="112" t="e">
        <f t="shared" ca="1" si="1672"/>
        <v>#N/A</v>
      </c>
      <c r="BX835" s="112" t="str">
        <f t="shared" ca="1" si="1707"/>
        <v/>
      </c>
      <c r="BY835">
        <f t="shared" ca="1" si="1704"/>
        <v>0</v>
      </c>
      <c r="BZ835">
        <f t="shared" ca="1" si="1705"/>
        <v>24</v>
      </c>
      <c r="CB835" t="e">
        <f t="shared" ca="1" si="1677"/>
        <v>#N/A</v>
      </c>
      <c r="CC835" s="112" t="e">
        <f t="shared" ca="1" si="1678"/>
        <v>#N/A</v>
      </c>
      <c r="CD835" s="112" t="str">
        <f t="shared" ca="1" si="1679"/>
        <v/>
      </c>
      <c r="CE835">
        <f t="shared" ca="1" si="1680"/>
        <v>0</v>
      </c>
      <c r="CF835">
        <f t="shared" ca="1" si="1681"/>
        <v>24</v>
      </c>
      <c r="CH835" s="112" t="str">
        <f t="shared" ca="1" si="1545"/>
        <v/>
      </c>
      <c r="CI835" t="e">
        <f t="shared" ca="1" si="1700"/>
        <v>#N/A</v>
      </c>
      <c r="CJ835" t="e">
        <f t="shared" ref="CJ835" ca="1" si="1709">IF(AND(CI835=0,CC835&lt;100000),1,0)</f>
        <v>#N/A</v>
      </c>
      <c r="CK835" s="112" t="e">
        <f t="shared" ca="1" si="1548"/>
        <v>#N/A</v>
      </c>
      <c r="CM835" s="112"/>
      <c r="CN835" s="261" t="e">
        <f t="shared" ref="CN835" ca="1" si="1710">IF(AND(CN831=100000,CN832=100000,CN833=100000,CN834=100000),INDIRECT(CONCATENATE("aa",BQ835)),CC835)</f>
        <v>#N/A</v>
      </c>
      <c r="CO835" s="324" t="e">
        <f t="shared" ca="1" si="1702"/>
        <v>#N/A</v>
      </c>
      <c r="CP835" s="256">
        <f t="shared" ca="1" si="1550"/>
        <v>0</v>
      </c>
      <c r="CQ835" s="329">
        <f t="shared" ca="1" si="1551"/>
        <v>24</v>
      </c>
      <c r="CS835" s="112">
        <f t="shared" ca="1" si="1676"/>
        <v>100000</v>
      </c>
      <c r="CT835" s="112" t="e">
        <f t="shared" ca="1" si="1703"/>
        <v>#N/A</v>
      </c>
      <c r="CU835" s="238">
        <f t="shared" ca="1" si="1683"/>
        <v>0</v>
      </c>
      <c r="CV835" s="238">
        <f t="shared" ca="1" si="1684"/>
        <v>24</v>
      </c>
      <c r="CY835">
        <f t="shared" si="1689"/>
        <v>265</v>
      </c>
      <c r="DA835" s="112">
        <f t="shared" ca="1" si="1690"/>
        <v>100000</v>
      </c>
      <c r="DE835" t="str">
        <f t="shared" si="1685"/>
        <v>cs:dc771</v>
      </c>
      <c r="DF835" t="e">
        <f t="shared" ca="1" si="1686"/>
        <v>#REF!</v>
      </c>
    </row>
    <row r="836" spans="47:110" x14ac:dyDescent="0.25">
      <c r="AU836" s="112"/>
      <c r="AV836" s="112"/>
      <c r="BQ836" s="238">
        <f t="shared" ref="BQ836" si="1711">BQ835+1</f>
        <v>624</v>
      </c>
      <c r="BR836" s="112" t="s">
        <v>444</v>
      </c>
      <c r="BS836" s="112" t="s">
        <v>445</v>
      </c>
      <c r="BT836" s="114" t="e">
        <f t="shared" ca="1" si="1633"/>
        <v>#N/A</v>
      </c>
      <c r="BU836" s="112"/>
      <c r="BV836">
        <f t="shared" ca="1" si="1514"/>
        <v>0</v>
      </c>
      <c r="BW836" s="112" t="str">
        <f t="shared" ca="1" si="1672"/>
        <v/>
      </c>
      <c r="BX836" s="112" t="e">
        <f t="shared" ref="BX836:BX838" ca="1" si="1712">INDIRECT(CONCATENATE(BS836,BQ836))-1</f>
        <v>#N/A</v>
      </c>
      <c r="BY836">
        <f t="shared" ca="1" si="1704"/>
        <v>0</v>
      </c>
      <c r="BZ836">
        <f t="shared" ca="1" si="1705"/>
        <v>24</v>
      </c>
      <c r="CB836" t="e">
        <f t="shared" ca="1" si="1677"/>
        <v>#N/A</v>
      </c>
      <c r="CC836" s="112" t="e">
        <f t="shared" ca="1" si="1678"/>
        <v>#N/A</v>
      </c>
      <c r="CD836" s="112" t="e">
        <f t="shared" ca="1" si="1679"/>
        <v>#N/A</v>
      </c>
      <c r="CE836">
        <f t="shared" ca="1" si="1680"/>
        <v>0</v>
      </c>
      <c r="CF836">
        <f t="shared" ca="1" si="1681"/>
        <v>24</v>
      </c>
      <c r="CH836" s="112" t="str">
        <f t="shared" ca="1" si="1545"/>
        <v/>
      </c>
      <c r="CI836" t="e">
        <f t="shared" ref="CI836" ca="1" si="1713">CB836+CB837+CB838+CB839+CB840</f>
        <v>#N/A</v>
      </c>
      <c r="CJ836">
        <v>0</v>
      </c>
      <c r="CK836" s="112" t="str">
        <f t="shared" ca="1" si="1548"/>
        <v/>
      </c>
      <c r="CM836" s="112"/>
      <c r="CN836" s="408" t="e">
        <f t="shared" ca="1" si="1696"/>
        <v>#N/A</v>
      </c>
      <c r="CO836" s="326" t="e">
        <f t="shared" ref="CO836" ca="1" si="1714">CD836</f>
        <v>#N/A</v>
      </c>
      <c r="CP836" s="333">
        <f t="shared" ca="1" si="1550"/>
        <v>0</v>
      </c>
      <c r="CQ836" s="327">
        <f t="shared" ca="1" si="1551"/>
        <v>24</v>
      </c>
      <c r="CS836" s="112">
        <f t="shared" ca="1" si="1676"/>
        <v>100000</v>
      </c>
      <c r="CT836" s="112" t="e">
        <f t="shared" ref="CT836" ca="1" si="1715">IF(AND( CN837=100000,CN838=100000,CN839=100000,CN840=100000),CO840,                             CO836)</f>
        <v>#N/A</v>
      </c>
      <c r="CU836" s="238">
        <f t="shared" ca="1" si="1683"/>
        <v>0</v>
      </c>
      <c r="CV836" s="238">
        <f t="shared" ca="1" si="1684"/>
        <v>24</v>
      </c>
      <c r="CY836">
        <f t="shared" si="1689"/>
        <v>266</v>
      </c>
      <c r="DA836" s="112">
        <f t="shared" ca="1" si="1690"/>
        <v>100000</v>
      </c>
      <c r="DE836" t="str">
        <f t="shared" si="1685"/>
        <v>cs:dc771</v>
      </c>
      <c r="DF836" t="e">
        <f t="shared" ca="1" si="1686"/>
        <v>#REF!</v>
      </c>
    </row>
    <row r="837" spans="47:110" x14ac:dyDescent="0.25">
      <c r="AU837" s="112"/>
      <c r="AV837" s="112"/>
      <c r="BQ837" s="238">
        <f t="shared" ref="BQ837:BQ840" si="1716">BQ836</f>
        <v>624</v>
      </c>
      <c r="BR837" t="s">
        <v>445</v>
      </c>
      <c r="BS837" t="s">
        <v>446</v>
      </c>
      <c r="BT837" s="114" t="e">
        <f t="shared" ca="1" si="1633"/>
        <v>#N/A</v>
      </c>
      <c r="BU837" s="112"/>
      <c r="BV837" t="e">
        <f t="shared" ref="BV837:BV900" ca="1" si="1717">IF(BW837=INDIRECT(CONCATENATE("bn",BQ837)),0,1)</f>
        <v>#N/A</v>
      </c>
      <c r="BW837" s="112" t="e">
        <f t="shared" ca="1" si="1672"/>
        <v>#N/A</v>
      </c>
      <c r="BX837" s="112" t="e">
        <f t="shared" ca="1" si="1712"/>
        <v>#N/A</v>
      </c>
      <c r="BY837">
        <f t="shared" ca="1" si="1704"/>
        <v>0</v>
      </c>
      <c r="BZ837">
        <f t="shared" ca="1" si="1705"/>
        <v>24</v>
      </c>
      <c r="CB837" t="e">
        <f t="shared" ca="1" si="1677"/>
        <v>#N/A</v>
      </c>
      <c r="CC837" s="112" t="e">
        <f t="shared" ca="1" si="1678"/>
        <v>#N/A</v>
      </c>
      <c r="CD837" s="112" t="e">
        <f t="shared" ca="1" si="1679"/>
        <v>#N/A</v>
      </c>
      <c r="CE837">
        <f t="shared" ca="1" si="1680"/>
        <v>0</v>
      </c>
      <c r="CF837">
        <f t="shared" ca="1" si="1681"/>
        <v>24</v>
      </c>
      <c r="CH837" s="112" t="str">
        <f t="shared" ca="1" si="1545"/>
        <v/>
      </c>
      <c r="CI837" t="e">
        <f t="shared" ref="CI837:CI840" ca="1" si="1718">CI836</f>
        <v>#N/A</v>
      </c>
      <c r="CJ837" t="e">
        <f t="shared" ref="CJ837" ca="1" si="1719">IF(AND(CI837=0,CJ838=0,CJ839=0,CJ840=0,CC837&lt;100000),1,0)</f>
        <v>#N/A</v>
      </c>
      <c r="CK837" s="112" t="e">
        <f t="shared" ca="1" si="1548"/>
        <v>#N/A</v>
      </c>
      <c r="CM837" s="112"/>
      <c r="CN837" s="260" t="e">
        <f t="shared" ca="1" si="1696"/>
        <v>#N/A</v>
      </c>
      <c r="CO837" s="112" t="e">
        <f t="shared" ref="CO837:CO840" ca="1" si="1720">IF(CJ837=1,CH837,CD837)</f>
        <v>#N/A</v>
      </c>
      <c r="CP837" s="238">
        <f t="shared" ca="1" si="1550"/>
        <v>0</v>
      </c>
      <c r="CQ837" s="328">
        <f t="shared" ca="1" si="1551"/>
        <v>24</v>
      </c>
      <c r="CS837" s="112">
        <f t="shared" ca="1" si="1676"/>
        <v>100000</v>
      </c>
      <c r="CT837" s="112" t="e">
        <f t="shared" ca="1" si="1703"/>
        <v>#N/A</v>
      </c>
      <c r="CU837" s="238">
        <f t="shared" ca="1" si="1683"/>
        <v>0</v>
      </c>
      <c r="CV837" s="238">
        <f t="shared" ca="1" si="1684"/>
        <v>24</v>
      </c>
      <c r="CY837">
        <f t="shared" si="1689"/>
        <v>267</v>
      </c>
      <c r="DA837" s="112">
        <f t="shared" ca="1" si="1690"/>
        <v>100000</v>
      </c>
      <c r="DE837" t="str">
        <f t="shared" si="1685"/>
        <v>cs:dc771</v>
      </c>
      <c r="DF837" t="e">
        <f t="shared" ca="1" si="1686"/>
        <v>#REF!</v>
      </c>
    </row>
    <row r="838" spans="47:110" x14ac:dyDescent="0.25">
      <c r="AU838" s="112"/>
      <c r="AV838" s="112"/>
      <c r="BQ838" s="238">
        <f t="shared" si="1716"/>
        <v>624</v>
      </c>
      <c r="BR838" t="s">
        <v>446</v>
      </c>
      <c r="BS838" t="s">
        <v>447</v>
      </c>
      <c r="BT838" s="114" t="e">
        <f t="shared" ca="1" si="1633"/>
        <v>#N/A</v>
      </c>
      <c r="BU838" s="112"/>
      <c r="BV838" t="e">
        <f t="shared" ca="1" si="1717"/>
        <v>#N/A</v>
      </c>
      <c r="BW838" s="112" t="e">
        <f t="shared" ca="1" si="1672"/>
        <v>#N/A</v>
      </c>
      <c r="BX838" s="112" t="e">
        <f t="shared" ca="1" si="1712"/>
        <v>#N/A</v>
      </c>
      <c r="BY838">
        <f t="shared" ca="1" si="1704"/>
        <v>0</v>
      </c>
      <c r="BZ838">
        <f t="shared" ca="1" si="1705"/>
        <v>24</v>
      </c>
      <c r="CB838" t="e">
        <f t="shared" ca="1" si="1677"/>
        <v>#N/A</v>
      </c>
      <c r="CC838" s="112" t="e">
        <f t="shared" ca="1" si="1678"/>
        <v>#N/A</v>
      </c>
      <c r="CD838" s="112" t="e">
        <f t="shared" ca="1" si="1679"/>
        <v>#N/A</v>
      </c>
      <c r="CE838">
        <f t="shared" ca="1" si="1680"/>
        <v>0</v>
      </c>
      <c r="CF838">
        <f t="shared" ca="1" si="1681"/>
        <v>24</v>
      </c>
      <c r="CH838" s="112" t="str">
        <f t="shared" ca="1" si="1545"/>
        <v/>
      </c>
      <c r="CI838" t="e">
        <f t="shared" ca="1" si="1718"/>
        <v>#N/A</v>
      </c>
      <c r="CJ838" t="e">
        <f t="shared" ref="CJ838" ca="1" si="1721">IF(AND(CI838=0,CJ839=0,CJ840=0,CC838&lt;100000),1,0)</f>
        <v>#N/A</v>
      </c>
      <c r="CK838" s="112" t="e">
        <f t="shared" ca="1" si="1548"/>
        <v>#N/A</v>
      </c>
      <c r="CM838" s="112"/>
      <c r="CN838" s="260" t="e">
        <f t="shared" ca="1" si="1696"/>
        <v>#N/A</v>
      </c>
      <c r="CO838" s="112" t="e">
        <f t="shared" ca="1" si="1720"/>
        <v>#N/A</v>
      </c>
      <c r="CP838" s="238">
        <f t="shared" ca="1" si="1550"/>
        <v>0</v>
      </c>
      <c r="CQ838" s="328">
        <f t="shared" ca="1" si="1551"/>
        <v>24</v>
      </c>
      <c r="CS838" s="112">
        <f t="shared" ca="1" si="1676"/>
        <v>100000</v>
      </c>
      <c r="CT838" s="112" t="e">
        <f t="shared" ca="1" si="1703"/>
        <v>#N/A</v>
      </c>
      <c r="CU838" s="238">
        <f t="shared" ca="1" si="1683"/>
        <v>0</v>
      </c>
      <c r="CV838" s="238">
        <f t="shared" ca="1" si="1684"/>
        <v>24</v>
      </c>
      <c r="CY838">
        <f t="shared" si="1689"/>
        <v>268</v>
      </c>
      <c r="DA838" s="112">
        <f t="shared" ca="1" si="1690"/>
        <v>100000</v>
      </c>
      <c r="DE838" t="str">
        <f t="shared" si="1685"/>
        <v>cs:dc771</v>
      </c>
      <c r="DF838" t="e">
        <f t="shared" ca="1" si="1686"/>
        <v>#REF!</v>
      </c>
    </row>
    <row r="839" spans="47:110" x14ac:dyDescent="0.25">
      <c r="AU839" s="112"/>
      <c r="AV839" s="112"/>
      <c r="BQ839" s="238">
        <f t="shared" si="1716"/>
        <v>624</v>
      </c>
      <c r="BR839" t="s">
        <v>447</v>
      </c>
      <c r="BS839" t="s">
        <v>448</v>
      </c>
      <c r="BT839" s="114" t="e">
        <f t="shared" ca="1" si="1633"/>
        <v>#N/A</v>
      </c>
      <c r="BU839" s="112"/>
      <c r="BV839" t="e">
        <f t="shared" ca="1" si="1717"/>
        <v>#N/A</v>
      </c>
      <c r="BW839" s="112" t="e">
        <f t="shared" ca="1" si="1672"/>
        <v>#N/A</v>
      </c>
      <c r="BX839" s="112" t="e">
        <f t="shared" ref="BX839:BX840" ca="1" si="1722">INDIRECT(CONCATENATE(BS839,BQ839))</f>
        <v>#N/A</v>
      </c>
      <c r="BY839">
        <f t="shared" ca="1" si="1704"/>
        <v>0</v>
      </c>
      <c r="BZ839">
        <f t="shared" ca="1" si="1705"/>
        <v>24</v>
      </c>
      <c r="CB839" t="e">
        <f t="shared" ca="1" si="1677"/>
        <v>#N/A</v>
      </c>
      <c r="CC839" s="112" t="e">
        <f t="shared" ca="1" si="1678"/>
        <v>#N/A</v>
      </c>
      <c r="CD839" s="112" t="e">
        <f t="shared" ca="1" si="1679"/>
        <v>#N/A</v>
      </c>
      <c r="CE839">
        <f t="shared" ca="1" si="1680"/>
        <v>0</v>
      </c>
      <c r="CF839">
        <f t="shared" ca="1" si="1681"/>
        <v>24</v>
      </c>
      <c r="CH839" s="112" t="str">
        <f t="shared" ca="1" si="1545"/>
        <v/>
      </c>
      <c r="CI839" t="e">
        <f t="shared" ca="1" si="1718"/>
        <v>#N/A</v>
      </c>
      <c r="CJ839" t="e">
        <f t="shared" ref="CJ839" ca="1" si="1723">IF(AND(CI839=0,CJ840=0,CC839&lt;100000),1,0)</f>
        <v>#N/A</v>
      </c>
      <c r="CK839" s="112" t="e">
        <f t="shared" ca="1" si="1548"/>
        <v>#N/A</v>
      </c>
      <c r="CM839" s="112"/>
      <c r="CN839" s="260" t="e">
        <f t="shared" ca="1" si="1696"/>
        <v>#N/A</v>
      </c>
      <c r="CO839" s="112" t="e">
        <f t="shared" ca="1" si="1720"/>
        <v>#N/A</v>
      </c>
      <c r="CP839" s="238">
        <f t="shared" ca="1" si="1550"/>
        <v>0</v>
      </c>
      <c r="CQ839" s="328">
        <f t="shared" ca="1" si="1551"/>
        <v>24</v>
      </c>
      <c r="CS839" s="112">
        <f t="shared" ca="1" si="1676"/>
        <v>100000</v>
      </c>
      <c r="CT839" s="112" t="e">
        <f t="shared" ca="1" si="1703"/>
        <v>#N/A</v>
      </c>
      <c r="CU839" s="238">
        <f t="shared" ca="1" si="1683"/>
        <v>0</v>
      </c>
      <c r="CV839" s="238">
        <f t="shared" ca="1" si="1684"/>
        <v>24</v>
      </c>
      <c r="CY839">
        <f t="shared" si="1689"/>
        <v>269</v>
      </c>
      <c r="DA839" s="112">
        <f t="shared" ca="1" si="1690"/>
        <v>100000</v>
      </c>
      <c r="DE839" t="str">
        <f t="shared" si="1685"/>
        <v>cs:dc771</v>
      </c>
      <c r="DF839" t="e">
        <f t="shared" ca="1" si="1686"/>
        <v>#REF!</v>
      </c>
    </row>
    <row r="840" spans="47:110" ht="15.75" thickBot="1" x14ac:dyDescent="0.3">
      <c r="AU840" s="112"/>
      <c r="AV840" s="112"/>
      <c r="BQ840" s="238">
        <f t="shared" si="1716"/>
        <v>624</v>
      </c>
      <c r="BR840" t="s">
        <v>448</v>
      </c>
      <c r="BS840" t="s">
        <v>449</v>
      </c>
      <c r="BT840" s="114" t="e">
        <f t="shared" ca="1" si="1633"/>
        <v>#N/A</v>
      </c>
      <c r="BU840" s="112"/>
      <c r="BV840" t="e">
        <f t="shared" ca="1" si="1717"/>
        <v>#N/A</v>
      </c>
      <c r="BW840" s="112" t="e">
        <f t="shared" ca="1" si="1672"/>
        <v>#N/A</v>
      </c>
      <c r="BX840" s="112" t="str">
        <f t="shared" ca="1" si="1722"/>
        <v/>
      </c>
      <c r="BY840">
        <f t="shared" ca="1" si="1704"/>
        <v>0</v>
      </c>
      <c r="BZ840">
        <f t="shared" ca="1" si="1705"/>
        <v>24</v>
      </c>
      <c r="CB840" t="e">
        <f t="shared" ca="1" si="1677"/>
        <v>#N/A</v>
      </c>
      <c r="CC840" s="112" t="e">
        <f t="shared" ca="1" si="1678"/>
        <v>#N/A</v>
      </c>
      <c r="CD840" s="112" t="str">
        <f t="shared" ca="1" si="1679"/>
        <v/>
      </c>
      <c r="CE840">
        <f t="shared" ca="1" si="1680"/>
        <v>0</v>
      </c>
      <c r="CF840">
        <f t="shared" ca="1" si="1681"/>
        <v>24</v>
      </c>
      <c r="CH840" s="112" t="str">
        <f t="shared" ca="1" si="1545"/>
        <v/>
      </c>
      <c r="CI840" t="e">
        <f t="shared" ca="1" si="1718"/>
        <v>#N/A</v>
      </c>
      <c r="CJ840" t="e">
        <f t="shared" ref="CJ840" ca="1" si="1724">IF(AND(CI840=0,CC840&lt;100000),1,0)</f>
        <v>#N/A</v>
      </c>
      <c r="CK840" s="112" t="e">
        <f t="shared" ca="1" si="1548"/>
        <v>#N/A</v>
      </c>
      <c r="CM840" s="112"/>
      <c r="CN840" s="261" t="e">
        <f t="shared" ref="CN840" ca="1" si="1725">IF(AND(CN836=100000,CN837=100000,CN838=100000,CN839=100000),INDIRECT(CONCATENATE("aa",BQ840)),CC840)</f>
        <v>#N/A</v>
      </c>
      <c r="CO840" s="324" t="e">
        <f t="shared" ca="1" si="1720"/>
        <v>#N/A</v>
      </c>
      <c r="CP840" s="256">
        <f t="shared" ca="1" si="1550"/>
        <v>0</v>
      </c>
      <c r="CQ840" s="329">
        <f t="shared" ca="1" si="1551"/>
        <v>24</v>
      </c>
      <c r="CS840" s="112">
        <f t="shared" ca="1" si="1676"/>
        <v>100000</v>
      </c>
      <c r="CT840" s="112" t="e">
        <f t="shared" ca="1" si="1703"/>
        <v>#N/A</v>
      </c>
      <c r="CU840" s="238">
        <f t="shared" ca="1" si="1683"/>
        <v>0</v>
      </c>
      <c r="CV840" s="238">
        <f t="shared" ca="1" si="1684"/>
        <v>24</v>
      </c>
      <c r="CY840">
        <f t="shared" si="1689"/>
        <v>270</v>
      </c>
      <c r="DA840" s="112">
        <f t="shared" ca="1" si="1690"/>
        <v>100000</v>
      </c>
      <c r="DE840" t="str">
        <f t="shared" si="1685"/>
        <v>cs:dc771</v>
      </c>
      <c r="DF840" t="e">
        <f t="shared" ca="1" si="1686"/>
        <v>#REF!</v>
      </c>
    </row>
    <row r="841" spans="47:110" x14ac:dyDescent="0.25">
      <c r="AU841" s="112"/>
      <c r="AV841" s="112"/>
      <c r="BQ841" s="238">
        <f t="shared" ref="BQ841" si="1726">BQ840+1</f>
        <v>625</v>
      </c>
      <c r="BR841" s="112" t="s">
        <v>444</v>
      </c>
      <c r="BS841" s="112" t="s">
        <v>445</v>
      </c>
      <c r="BT841" s="114" t="e">
        <f t="shared" ca="1" si="1633"/>
        <v>#N/A</v>
      </c>
      <c r="BU841" s="112"/>
      <c r="BV841">
        <f t="shared" ca="1" si="1717"/>
        <v>0</v>
      </c>
      <c r="BW841" s="112" t="str">
        <f t="shared" ca="1" si="1672"/>
        <v/>
      </c>
      <c r="BX841" s="112" t="e">
        <f t="shared" ref="BX841:BX843" ca="1" si="1727">INDIRECT(CONCATENATE(BS841,BQ841))-1</f>
        <v>#N/A</v>
      </c>
      <c r="BY841">
        <f t="shared" ca="1" si="1704"/>
        <v>0</v>
      </c>
      <c r="BZ841">
        <f t="shared" ca="1" si="1705"/>
        <v>24</v>
      </c>
      <c r="CB841" t="e">
        <f t="shared" ca="1" si="1677"/>
        <v>#N/A</v>
      </c>
      <c r="CC841" s="112" t="e">
        <f t="shared" ca="1" si="1678"/>
        <v>#N/A</v>
      </c>
      <c r="CD841" s="112" t="e">
        <f t="shared" ca="1" si="1679"/>
        <v>#N/A</v>
      </c>
      <c r="CE841">
        <f t="shared" ca="1" si="1680"/>
        <v>0</v>
      </c>
      <c r="CF841">
        <f t="shared" ca="1" si="1681"/>
        <v>24</v>
      </c>
      <c r="CH841" s="112" t="str">
        <f t="shared" ca="1" si="1545"/>
        <v/>
      </c>
      <c r="CI841" t="e">
        <f t="shared" ref="CI841" ca="1" si="1728">CB841+CB842+CB843+CB844+CB845</f>
        <v>#N/A</v>
      </c>
      <c r="CJ841">
        <v>0</v>
      </c>
      <c r="CK841" s="112" t="str">
        <f t="shared" ca="1" si="1548"/>
        <v/>
      </c>
      <c r="CM841" s="112"/>
      <c r="CN841" s="408" t="e">
        <f t="shared" ca="1" si="1696"/>
        <v>#N/A</v>
      </c>
      <c r="CO841" s="326" t="e">
        <f t="shared" ref="CO841" ca="1" si="1729">CD841</f>
        <v>#N/A</v>
      </c>
      <c r="CP841" s="333">
        <f t="shared" ca="1" si="1550"/>
        <v>0</v>
      </c>
      <c r="CQ841" s="327">
        <f t="shared" ca="1" si="1551"/>
        <v>24</v>
      </c>
      <c r="CS841" s="112">
        <f t="shared" ca="1" si="1676"/>
        <v>100000</v>
      </c>
      <c r="CT841" s="112" t="e">
        <f t="shared" ref="CT841" ca="1" si="1730">IF(AND( CN842=100000,CN843=100000,CN844=100000,CN845=100000),CO845,                             CO841)</f>
        <v>#N/A</v>
      </c>
      <c r="CU841" s="238">
        <f t="shared" ca="1" si="1683"/>
        <v>0</v>
      </c>
      <c r="CV841" s="238">
        <f t="shared" ca="1" si="1684"/>
        <v>24</v>
      </c>
      <c r="CY841">
        <f t="shared" si="1689"/>
        <v>271</v>
      </c>
      <c r="DA841" s="112">
        <f t="shared" ca="1" si="1690"/>
        <v>100000</v>
      </c>
      <c r="DE841" t="str">
        <f t="shared" si="1685"/>
        <v>cs:dc771</v>
      </c>
      <c r="DF841" t="e">
        <f t="shared" ca="1" si="1686"/>
        <v>#REF!</v>
      </c>
    </row>
    <row r="842" spans="47:110" x14ac:dyDescent="0.25">
      <c r="AU842" s="112"/>
      <c r="AV842" s="112"/>
      <c r="BQ842" s="238">
        <f t="shared" ref="BQ842:BQ845" si="1731">BQ841</f>
        <v>625</v>
      </c>
      <c r="BR842" t="s">
        <v>445</v>
      </c>
      <c r="BS842" t="s">
        <v>446</v>
      </c>
      <c r="BT842" s="114" t="e">
        <f t="shared" ca="1" si="1633"/>
        <v>#N/A</v>
      </c>
      <c r="BU842" s="112"/>
      <c r="BV842" t="e">
        <f t="shared" ca="1" si="1717"/>
        <v>#N/A</v>
      </c>
      <c r="BW842" s="112" t="e">
        <f t="shared" ca="1" si="1672"/>
        <v>#N/A</v>
      </c>
      <c r="BX842" s="112" t="e">
        <f t="shared" ca="1" si="1727"/>
        <v>#N/A</v>
      </c>
      <c r="BY842">
        <f t="shared" ca="1" si="1704"/>
        <v>0</v>
      </c>
      <c r="BZ842">
        <f t="shared" ca="1" si="1705"/>
        <v>24</v>
      </c>
      <c r="CB842" t="e">
        <f t="shared" ca="1" si="1677"/>
        <v>#N/A</v>
      </c>
      <c r="CC842" s="112" t="e">
        <f t="shared" ca="1" si="1678"/>
        <v>#N/A</v>
      </c>
      <c r="CD842" s="112" t="e">
        <f t="shared" ca="1" si="1679"/>
        <v>#N/A</v>
      </c>
      <c r="CE842">
        <f t="shared" ca="1" si="1680"/>
        <v>0</v>
      </c>
      <c r="CF842">
        <f t="shared" ca="1" si="1681"/>
        <v>24</v>
      </c>
      <c r="CH842" s="112" t="str">
        <f t="shared" ca="1" si="1545"/>
        <v/>
      </c>
      <c r="CI842" t="e">
        <f t="shared" ref="CI842:CI845" ca="1" si="1732">CI841</f>
        <v>#N/A</v>
      </c>
      <c r="CJ842" t="e">
        <f t="shared" ref="CJ842" ca="1" si="1733">IF(AND(CI842=0,CJ843=0,CJ844=0,CJ845=0,CC842&lt;100000),1,0)</f>
        <v>#N/A</v>
      </c>
      <c r="CK842" s="112" t="e">
        <f t="shared" ca="1" si="1548"/>
        <v>#N/A</v>
      </c>
      <c r="CM842" s="112"/>
      <c r="CN842" s="260" t="e">
        <f t="shared" ca="1" si="1696"/>
        <v>#N/A</v>
      </c>
      <c r="CO842" s="112" t="e">
        <f t="shared" ref="CO842:CO845" ca="1" si="1734">IF(CJ842=1,CH842,CD842)</f>
        <v>#N/A</v>
      </c>
      <c r="CP842" s="238">
        <f t="shared" ca="1" si="1550"/>
        <v>0</v>
      </c>
      <c r="CQ842" s="328">
        <f t="shared" ca="1" si="1551"/>
        <v>24</v>
      </c>
      <c r="CS842" s="112">
        <f t="shared" ca="1" si="1676"/>
        <v>100000</v>
      </c>
      <c r="CT842" s="112" t="e">
        <f t="shared" ca="1" si="1703"/>
        <v>#N/A</v>
      </c>
      <c r="CU842" s="238">
        <f t="shared" ca="1" si="1683"/>
        <v>0</v>
      </c>
      <c r="CV842" s="238">
        <f t="shared" ca="1" si="1684"/>
        <v>24</v>
      </c>
      <c r="CY842">
        <f t="shared" si="1689"/>
        <v>272</v>
      </c>
      <c r="DA842" s="112">
        <f t="shared" ca="1" si="1690"/>
        <v>100000</v>
      </c>
      <c r="DE842" t="str">
        <f t="shared" si="1685"/>
        <v>cs:dc771</v>
      </c>
      <c r="DF842" t="e">
        <f t="shared" ca="1" si="1686"/>
        <v>#REF!</v>
      </c>
    </row>
    <row r="843" spans="47:110" x14ac:dyDescent="0.25">
      <c r="AU843" s="112"/>
      <c r="AV843" s="112"/>
      <c r="BQ843" s="238">
        <f t="shared" si="1731"/>
        <v>625</v>
      </c>
      <c r="BR843" t="s">
        <v>446</v>
      </c>
      <c r="BS843" t="s">
        <v>447</v>
      </c>
      <c r="BT843" s="114" t="e">
        <f t="shared" ca="1" si="1633"/>
        <v>#N/A</v>
      </c>
      <c r="BU843" s="112"/>
      <c r="BV843" t="e">
        <f t="shared" ca="1" si="1717"/>
        <v>#N/A</v>
      </c>
      <c r="BW843" s="112" t="e">
        <f t="shared" ca="1" si="1672"/>
        <v>#N/A</v>
      </c>
      <c r="BX843" s="112" t="e">
        <f t="shared" ca="1" si="1727"/>
        <v>#N/A</v>
      </c>
      <c r="BY843">
        <f t="shared" ca="1" si="1704"/>
        <v>0</v>
      </c>
      <c r="BZ843">
        <f t="shared" ca="1" si="1705"/>
        <v>24</v>
      </c>
      <c r="CB843" t="e">
        <f t="shared" ca="1" si="1677"/>
        <v>#N/A</v>
      </c>
      <c r="CC843" s="112" t="e">
        <f t="shared" ca="1" si="1678"/>
        <v>#N/A</v>
      </c>
      <c r="CD843" s="112" t="e">
        <f t="shared" ca="1" si="1679"/>
        <v>#N/A</v>
      </c>
      <c r="CE843">
        <f t="shared" ca="1" si="1680"/>
        <v>0</v>
      </c>
      <c r="CF843">
        <f t="shared" ca="1" si="1681"/>
        <v>24</v>
      </c>
      <c r="CH843" s="112" t="str">
        <f t="shared" ca="1" si="1545"/>
        <v/>
      </c>
      <c r="CI843" t="e">
        <f t="shared" ca="1" si="1732"/>
        <v>#N/A</v>
      </c>
      <c r="CJ843" t="e">
        <f t="shared" ref="CJ843" ca="1" si="1735">IF(AND(CI843=0,CJ844=0,CJ845=0,CC843&lt;100000),1,0)</f>
        <v>#N/A</v>
      </c>
      <c r="CK843" s="112" t="e">
        <f t="shared" ca="1" si="1548"/>
        <v>#N/A</v>
      </c>
      <c r="CM843" s="112"/>
      <c r="CN843" s="260" t="e">
        <f t="shared" ca="1" si="1696"/>
        <v>#N/A</v>
      </c>
      <c r="CO843" s="112" t="e">
        <f t="shared" ca="1" si="1734"/>
        <v>#N/A</v>
      </c>
      <c r="CP843" s="238">
        <f t="shared" ca="1" si="1550"/>
        <v>0</v>
      </c>
      <c r="CQ843" s="328">
        <f t="shared" ca="1" si="1551"/>
        <v>24</v>
      </c>
      <c r="CS843" s="112">
        <f t="shared" ca="1" si="1676"/>
        <v>100000</v>
      </c>
      <c r="CT843" s="112" t="e">
        <f t="shared" ca="1" si="1703"/>
        <v>#N/A</v>
      </c>
      <c r="CU843" s="238">
        <f t="shared" ca="1" si="1683"/>
        <v>0</v>
      </c>
      <c r="CV843" s="238">
        <f t="shared" ca="1" si="1684"/>
        <v>24</v>
      </c>
      <c r="CY843">
        <f t="shared" si="1689"/>
        <v>273</v>
      </c>
      <c r="DA843" s="112">
        <f t="shared" ca="1" si="1690"/>
        <v>100000</v>
      </c>
      <c r="DE843" t="str">
        <f t="shared" si="1685"/>
        <v>cs:dc771</v>
      </c>
      <c r="DF843" t="e">
        <f t="shared" ca="1" si="1686"/>
        <v>#REF!</v>
      </c>
    </row>
    <row r="844" spans="47:110" x14ac:dyDescent="0.25">
      <c r="AU844" s="112"/>
      <c r="AV844" s="112"/>
      <c r="BQ844" s="238">
        <f t="shared" si="1731"/>
        <v>625</v>
      </c>
      <c r="BR844" t="s">
        <v>447</v>
      </c>
      <c r="BS844" t="s">
        <v>448</v>
      </c>
      <c r="BT844" s="114" t="e">
        <f t="shared" ca="1" si="1633"/>
        <v>#N/A</v>
      </c>
      <c r="BU844" s="112"/>
      <c r="BV844" t="e">
        <f t="shared" ca="1" si="1717"/>
        <v>#N/A</v>
      </c>
      <c r="BW844" s="112" t="e">
        <f t="shared" ca="1" si="1672"/>
        <v>#N/A</v>
      </c>
      <c r="BX844" s="112" t="e">
        <f t="shared" ref="BX844:BX845" ca="1" si="1736">INDIRECT(CONCATENATE(BS844,BQ844))</f>
        <v>#N/A</v>
      </c>
      <c r="BY844">
        <f t="shared" ca="1" si="1704"/>
        <v>0</v>
      </c>
      <c r="BZ844">
        <f t="shared" ca="1" si="1705"/>
        <v>24</v>
      </c>
      <c r="CB844" t="e">
        <f t="shared" ca="1" si="1677"/>
        <v>#N/A</v>
      </c>
      <c r="CC844" s="112" t="e">
        <f t="shared" ca="1" si="1678"/>
        <v>#N/A</v>
      </c>
      <c r="CD844" s="112" t="e">
        <f t="shared" ca="1" si="1679"/>
        <v>#N/A</v>
      </c>
      <c r="CE844">
        <f t="shared" ca="1" si="1680"/>
        <v>0</v>
      </c>
      <c r="CF844">
        <f t="shared" ca="1" si="1681"/>
        <v>24</v>
      </c>
      <c r="CH844" s="112" t="str">
        <f t="shared" ca="1" si="1545"/>
        <v/>
      </c>
      <c r="CI844" t="e">
        <f t="shared" ca="1" si="1732"/>
        <v>#N/A</v>
      </c>
      <c r="CJ844" t="e">
        <f t="shared" ref="CJ844" ca="1" si="1737">IF(AND(CI844=0,CJ845=0,CC844&lt;100000),1,0)</f>
        <v>#N/A</v>
      </c>
      <c r="CK844" s="112" t="e">
        <f t="shared" ca="1" si="1548"/>
        <v>#N/A</v>
      </c>
      <c r="CM844" s="112"/>
      <c r="CN844" s="260" t="e">
        <f t="shared" ca="1" si="1696"/>
        <v>#N/A</v>
      </c>
      <c r="CO844" s="112" t="e">
        <f t="shared" ca="1" si="1734"/>
        <v>#N/A</v>
      </c>
      <c r="CP844" s="238">
        <f t="shared" ca="1" si="1550"/>
        <v>0</v>
      </c>
      <c r="CQ844" s="328">
        <f t="shared" ca="1" si="1551"/>
        <v>24</v>
      </c>
      <c r="CS844" s="112">
        <f t="shared" ca="1" si="1676"/>
        <v>100000</v>
      </c>
      <c r="CT844" s="112" t="e">
        <f t="shared" ca="1" si="1703"/>
        <v>#N/A</v>
      </c>
      <c r="CU844" s="238">
        <f t="shared" ca="1" si="1683"/>
        <v>0</v>
      </c>
      <c r="CV844" s="238">
        <f t="shared" ca="1" si="1684"/>
        <v>24</v>
      </c>
      <c r="CY844">
        <f t="shared" si="1689"/>
        <v>274</v>
      </c>
      <c r="DA844" s="112">
        <f t="shared" ca="1" si="1690"/>
        <v>100000</v>
      </c>
      <c r="DE844" t="str">
        <f t="shared" si="1685"/>
        <v>cs:dc771</v>
      </c>
      <c r="DF844" t="e">
        <f t="shared" ca="1" si="1686"/>
        <v>#REF!</v>
      </c>
    </row>
    <row r="845" spans="47:110" ht="15.75" thickBot="1" x14ac:dyDescent="0.3">
      <c r="AU845" s="112"/>
      <c r="AV845" s="112"/>
      <c r="BQ845" s="238">
        <f t="shared" si="1731"/>
        <v>625</v>
      </c>
      <c r="BR845" t="s">
        <v>448</v>
      </c>
      <c r="BS845" t="s">
        <v>449</v>
      </c>
      <c r="BT845" s="114" t="e">
        <f t="shared" ca="1" si="1633"/>
        <v>#N/A</v>
      </c>
      <c r="BU845" s="112"/>
      <c r="BV845" t="e">
        <f t="shared" ca="1" si="1717"/>
        <v>#N/A</v>
      </c>
      <c r="BW845" s="112" t="e">
        <f t="shared" ca="1" si="1672"/>
        <v>#N/A</v>
      </c>
      <c r="BX845" s="112" t="str">
        <f t="shared" ca="1" si="1736"/>
        <v/>
      </c>
      <c r="BY845">
        <f t="shared" ca="1" si="1704"/>
        <v>0</v>
      </c>
      <c r="BZ845">
        <f t="shared" ca="1" si="1705"/>
        <v>24</v>
      </c>
      <c r="CB845" t="e">
        <f t="shared" ca="1" si="1677"/>
        <v>#N/A</v>
      </c>
      <c r="CC845" s="112" t="e">
        <f t="shared" ca="1" si="1678"/>
        <v>#N/A</v>
      </c>
      <c r="CD845" s="112" t="str">
        <f t="shared" ca="1" si="1679"/>
        <v/>
      </c>
      <c r="CE845">
        <f t="shared" ca="1" si="1680"/>
        <v>0</v>
      </c>
      <c r="CF845">
        <f t="shared" ca="1" si="1681"/>
        <v>24</v>
      </c>
      <c r="CH845" s="112" t="str">
        <f t="shared" ca="1" si="1545"/>
        <v/>
      </c>
      <c r="CI845" t="e">
        <f t="shared" ca="1" si="1732"/>
        <v>#N/A</v>
      </c>
      <c r="CJ845" t="e">
        <f t="shared" ref="CJ845" ca="1" si="1738">IF(AND(CI845=0,CC845&lt;100000),1,0)</f>
        <v>#N/A</v>
      </c>
      <c r="CK845" s="112" t="e">
        <f t="shared" ca="1" si="1548"/>
        <v>#N/A</v>
      </c>
      <c r="CM845" s="112"/>
      <c r="CN845" s="261" t="e">
        <f t="shared" ref="CN845" ca="1" si="1739">IF(AND(CN841=100000,CN842=100000,CN843=100000,CN844=100000),INDIRECT(CONCATENATE("aa",BQ845)),CC845)</f>
        <v>#N/A</v>
      </c>
      <c r="CO845" s="324" t="e">
        <f t="shared" ca="1" si="1734"/>
        <v>#N/A</v>
      </c>
      <c r="CP845" s="256">
        <f t="shared" ca="1" si="1550"/>
        <v>0</v>
      </c>
      <c r="CQ845" s="329">
        <f t="shared" ca="1" si="1551"/>
        <v>24</v>
      </c>
      <c r="CS845" s="112">
        <f t="shared" ca="1" si="1676"/>
        <v>100000</v>
      </c>
      <c r="CT845" s="112" t="e">
        <f t="shared" ca="1" si="1703"/>
        <v>#N/A</v>
      </c>
      <c r="CU845" s="238">
        <f t="shared" ca="1" si="1683"/>
        <v>0</v>
      </c>
      <c r="CV845" s="238">
        <f t="shared" ca="1" si="1684"/>
        <v>24</v>
      </c>
      <c r="CY845">
        <f t="shared" si="1689"/>
        <v>275</v>
      </c>
      <c r="DA845" s="112">
        <f t="shared" ca="1" si="1690"/>
        <v>100000</v>
      </c>
      <c r="DE845" t="str">
        <f t="shared" si="1685"/>
        <v>cs:dc771</v>
      </c>
      <c r="DF845" t="e">
        <f t="shared" ca="1" si="1686"/>
        <v>#REF!</v>
      </c>
    </row>
    <row r="846" spans="47:110" x14ac:dyDescent="0.25">
      <c r="AU846" s="112"/>
      <c r="AV846" s="112"/>
      <c r="BQ846" s="238">
        <f t="shared" ref="BQ846" si="1740">BQ845+1</f>
        <v>626</v>
      </c>
      <c r="BR846" s="112" t="s">
        <v>444</v>
      </c>
      <c r="BS846" s="112" t="s">
        <v>445</v>
      </c>
      <c r="BT846" s="114" t="e">
        <f t="shared" ca="1" si="1633"/>
        <v>#N/A</v>
      </c>
      <c r="BU846" s="112"/>
      <c r="BV846">
        <f t="shared" ca="1" si="1717"/>
        <v>0</v>
      </c>
      <c r="BW846" s="112" t="str">
        <f t="shared" ca="1" si="1672"/>
        <v/>
      </c>
      <c r="BX846" s="112" t="e">
        <f t="shared" ref="BX846:BX848" ca="1" si="1741">INDIRECT(CONCATENATE(BS846,BQ846))-1</f>
        <v>#N/A</v>
      </c>
      <c r="BY846">
        <f t="shared" ca="1" si="1704"/>
        <v>0</v>
      </c>
      <c r="BZ846">
        <f t="shared" ca="1" si="1705"/>
        <v>24</v>
      </c>
      <c r="CB846" t="e">
        <f t="shared" ca="1" si="1677"/>
        <v>#N/A</v>
      </c>
      <c r="CC846" s="112" t="e">
        <f t="shared" ca="1" si="1678"/>
        <v>#N/A</v>
      </c>
      <c r="CD846" s="112" t="e">
        <f t="shared" ca="1" si="1679"/>
        <v>#N/A</v>
      </c>
      <c r="CE846">
        <f t="shared" ca="1" si="1680"/>
        <v>0</v>
      </c>
      <c r="CF846">
        <f t="shared" ca="1" si="1681"/>
        <v>24</v>
      </c>
      <c r="CH846" s="112" t="str">
        <f t="shared" ca="1" si="1545"/>
        <v/>
      </c>
      <c r="CI846" t="e">
        <f t="shared" ref="CI846" ca="1" si="1742">CB846+CB847+CB848+CB849+CB850</f>
        <v>#N/A</v>
      </c>
      <c r="CJ846">
        <v>0</v>
      </c>
      <c r="CK846" s="112" t="str">
        <f t="shared" ca="1" si="1548"/>
        <v/>
      </c>
      <c r="CM846" s="112"/>
      <c r="CN846" s="408" t="e">
        <f t="shared" ca="1" si="1696"/>
        <v>#N/A</v>
      </c>
      <c r="CO846" s="326" t="e">
        <f t="shared" ref="CO846" ca="1" si="1743">CD846</f>
        <v>#N/A</v>
      </c>
      <c r="CP846" s="333">
        <f t="shared" ca="1" si="1550"/>
        <v>0</v>
      </c>
      <c r="CQ846" s="327">
        <f t="shared" ca="1" si="1551"/>
        <v>24</v>
      </c>
      <c r="CS846" s="112">
        <f t="shared" ca="1" si="1676"/>
        <v>100000</v>
      </c>
      <c r="CT846" s="112" t="e">
        <f t="shared" ref="CT846" ca="1" si="1744">IF(AND( CN847=100000,CN848=100000,CN849=100000,CN850=100000),CO850,                             CO846)</f>
        <v>#N/A</v>
      </c>
      <c r="CU846" s="238">
        <f t="shared" ca="1" si="1683"/>
        <v>0</v>
      </c>
      <c r="CV846" s="238">
        <f t="shared" ca="1" si="1684"/>
        <v>24</v>
      </c>
      <c r="CY846">
        <f t="shared" si="1689"/>
        <v>276</v>
      </c>
      <c r="DA846" s="112">
        <f t="shared" ca="1" si="1690"/>
        <v>100000</v>
      </c>
      <c r="DE846" t="str">
        <f t="shared" si="1685"/>
        <v>cs:dc771</v>
      </c>
      <c r="DF846" t="e">
        <f t="shared" ca="1" si="1686"/>
        <v>#REF!</v>
      </c>
    </row>
    <row r="847" spans="47:110" x14ac:dyDescent="0.25">
      <c r="AU847" s="112"/>
      <c r="AV847" s="112"/>
      <c r="BQ847" s="238">
        <f t="shared" ref="BQ847:BQ850" si="1745">BQ846</f>
        <v>626</v>
      </c>
      <c r="BR847" t="s">
        <v>445</v>
      </c>
      <c r="BS847" t="s">
        <v>446</v>
      </c>
      <c r="BT847" s="114" t="e">
        <f t="shared" ca="1" si="1633"/>
        <v>#N/A</v>
      </c>
      <c r="BU847" s="112"/>
      <c r="BV847" t="e">
        <f t="shared" ca="1" si="1717"/>
        <v>#N/A</v>
      </c>
      <c r="BW847" s="112" t="e">
        <f t="shared" ca="1" si="1672"/>
        <v>#N/A</v>
      </c>
      <c r="BX847" s="112" t="e">
        <f t="shared" ca="1" si="1741"/>
        <v>#N/A</v>
      </c>
      <c r="BY847">
        <f t="shared" ca="1" si="1704"/>
        <v>0</v>
      </c>
      <c r="BZ847">
        <f t="shared" ca="1" si="1705"/>
        <v>24</v>
      </c>
      <c r="CB847" t="e">
        <f t="shared" ca="1" si="1677"/>
        <v>#N/A</v>
      </c>
      <c r="CC847" s="112" t="e">
        <f t="shared" ca="1" si="1678"/>
        <v>#N/A</v>
      </c>
      <c r="CD847" s="112" t="e">
        <f t="shared" ca="1" si="1679"/>
        <v>#N/A</v>
      </c>
      <c r="CE847">
        <f t="shared" ca="1" si="1680"/>
        <v>0</v>
      </c>
      <c r="CF847">
        <f t="shared" ca="1" si="1681"/>
        <v>24</v>
      </c>
      <c r="CH847" s="112" t="str">
        <f t="shared" ca="1" si="1545"/>
        <v/>
      </c>
      <c r="CI847" t="e">
        <f t="shared" ref="CI847:CI850" ca="1" si="1746">CI846</f>
        <v>#N/A</v>
      </c>
      <c r="CJ847" t="e">
        <f t="shared" ref="CJ847" ca="1" si="1747">IF(AND(CI847=0,CJ848=0,CJ849=0,CJ850=0,CC847&lt;100000),1,0)</f>
        <v>#N/A</v>
      </c>
      <c r="CK847" s="112" t="e">
        <f t="shared" ca="1" si="1548"/>
        <v>#N/A</v>
      </c>
      <c r="CM847" s="112"/>
      <c r="CN847" s="260" t="e">
        <f t="shared" ca="1" si="1696"/>
        <v>#N/A</v>
      </c>
      <c r="CO847" s="112" t="e">
        <f t="shared" ref="CO847:CO850" ca="1" si="1748">IF(CJ847=1,CH847,CD847)</f>
        <v>#N/A</v>
      </c>
      <c r="CP847" s="238">
        <f t="shared" ca="1" si="1550"/>
        <v>0</v>
      </c>
      <c r="CQ847" s="328">
        <f t="shared" ca="1" si="1551"/>
        <v>24</v>
      </c>
      <c r="CS847" s="112">
        <f t="shared" ca="1" si="1676"/>
        <v>100000</v>
      </c>
      <c r="CT847" s="112" t="e">
        <f t="shared" ca="1" si="1703"/>
        <v>#N/A</v>
      </c>
      <c r="CU847" s="238">
        <f t="shared" ca="1" si="1683"/>
        <v>0</v>
      </c>
      <c r="CV847" s="238">
        <f t="shared" ca="1" si="1684"/>
        <v>24</v>
      </c>
      <c r="CY847">
        <f t="shared" si="1689"/>
        <v>277</v>
      </c>
      <c r="DA847" s="112">
        <f t="shared" ca="1" si="1690"/>
        <v>100000</v>
      </c>
      <c r="DE847" t="str">
        <f t="shared" si="1685"/>
        <v>cs:dc771</v>
      </c>
      <c r="DF847" t="e">
        <f t="shared" ca="1" si="1686"/>
        <v>#REF!</v>
      </c>
    </row>
    <row r="848" spans="47:110" x14ac:dyDescent="0.25">
      <c r="AU848" s="112"/>
      <c r="AV848" s="112"/>
      <c r="BQ848" s="238">
        <f t="shared" si="1745"/>
        <v>626</v>
      </c>
      <c r="BR848" t="s">
        <v>446</v>
      </c>
      <c r="BS848" t="s">
        <v>447</v>
      </c>
      <c r="BT848" s="114" t="e">
        <f t="shared" ca="1" si="1633"/>
        <v>#N/A</v>
      </c>
      <c r="BU848" s="112"/>
      <c r="BV848" t="e">
        <f t="shared" ca="1" si="1717"/>
        <v>#N/A</v>
      </c>
      <c r="BW848" s="112" t="e">
        <f t="shared" ca="1" si="1672"/>
        <v>#N/A</v>
      </c>
      <c r="BX848" s="112" t="e">
        <f t="shared" ca="1" si="1741"/>
        <v>#N/A</v>
      </c>
      <c r="BY848">
        <f t="shared" ca="1" si="1704"/>
        <v>0</v>
      </c>
      <c r="BZ848">
        <f t="shared" ca="1" si="1705"/>
        <v>24</v>
      </c>
      <c r="CB848" t="e">
        <f t="shared" ca="1" si="1677"/>
        <v>#N/A</v>
      </c>
      <c r="CC848" s="112" t="e">
        <f t="shared" ca="1" si="1678"/>
        <v>#N/A</v>
      </c>
      <c r="CD848" s="112" t="e">
        <f t="shared" ca="1" si="1679"/>
        <v>#N/A</v>
      </c>
      <c r="CE848">
        <f t="shared" ca="1" si="1680"/>
        <v>0</v>
      </c>
      <c r="CF848">
        <f t="shared" ca="1" si="1681"/>
        <v>24</v>
      </c>
      <c r="CH848" s="112" t="str">
        <f t="shared" ref="CH848:CH911" ca="1" si="1749">INDIRECT(CONCATENATE("af",BQ848))</f>
        <v/>
      </c>
      <c r="CI848" t="e">
        <f t="shared" ca="1" si="1746"/>
        <v>#N/A</v>
      </c>
      <c r="CJ848" t="e">
        <f t="shared" ref="CJ848" ca="1" si="1750">IF(AND(CI848=0,CJ849=0,CJ850=0,CC848&lt;100000),1,0)</f>
        <v>#N/A</v>
      </c>
      <c r="CK848" s="112" t="e">
        <f t="shared" ca="1" si="1548"/>
        <v>#N/A</v>
      </c>
      <c r="CM848" s="112"/>
      <c r="CN848" s="260" t="e">
        <f t="shared" ca="1" si="1696"/>
        <v>#N/A</v>
      </c>
      <c r="CO848" s="112" t="e">
        <f t="shared" ca="1" si="1748"/>
        <v>#N/A</v>
      </c>
      <c r="CP848" s="238">
        <f t="shared" ca="1" si="1550"/>
        <v>0</v>
      </c>
      <c r="CQ848" s="328">
        <f t="shared" ca="1" si="1551"/>
        <v>24</v>
      </c>
      <c r="CS848" s="112">
        <f t="shared" ca="1" si="1676"/>
        <v>100000</v>
      </c>
      <c r="CT848" s="112" t="e">
        <f t="shared" ca="1" si="1703"/>
        <v>#N/A</v>
      </c>
      <c r="CU848" s="238">
        <f t="shared" ca="1" si="1683"/>
        <v>0</v>
      </c>
      <c r="CV848" s="238">
        <f t="shared" ca="1" si="1684"/>
        <v>24</v>
      </c>
      <c r="CY848">
        <f t="shared" si="1689"/>
        <v>278</v>
      </c>
      <c r="DA848" s="112">
        <f t="shared" ca="1" si="1690"/>
        <v>100000</v>
      </c>
      <c r="DE848" t="str">
        <f t="shared" si="1685"/>
        <v>cs:dc771</v>
      </c>
      <c r="DF848" t="e">
        <f t="shared" ca="1" si="1686"/>
        <v>#REF!</v>
      </c>
    </row>
    <row r="849" spans="47:110" x14ac:dyDescent="0.25">
      <c r="AU849" s="112"/>
      <c r="AV849" s="112"/>
      <c r="BQ849" s="238">
        <f t="shared" si="1745"/>
        <v>626</v>
      </c>
      <c r="BR849" t="s">
        <v>447</v>
      </c>
      <c r="BS849" t="s">
        <v>448</v>
      </c>
      <c r="BT849" s="114" t="e">
        <f t="shared" ca="1" si="1633"/>
        <v>#N/A</v>
      </c>
      <c r="BU849" s="112"/>
      <c r="BV849" t="e">
        <f t="shared" ca="1" si="1717"/>
        <v>#N/A</v>
      </c>
      <c r="BW849" s="112" t="e">
        <f t="shared" ca="1" si="1672"/>
        <v>#N/A</v>
      </c>
      <c r="BX849" s="112" t="e">
        <f t="shared" ref="BX849:BX850" ca="1" si="1751">INDIRECT(CONCATENATE(BS849,BQ849))</f>
        <v>#N/A</v>
      </c>
      <c r="BY849">
        <f t="shared" ca="1" si="1704"/>
        <v>0</v>
      </c>
      <c r="BZ849">
        <f t="shared" ca="1" si="1705"/>
        <v>24</v>
      </c>
      <c r="CB849" t="e">
        <f t="shared" ca="1" si="1677"/>
        <v>#N/A</v>
      </c>
      <c r="CC849" s="112" t="e">
        <f t="shared" ca="1" si="1678"/>
        <v>#N/A</v>
      </c>
      <c r="CD849" s="112" t="e">
        <f t="shared" ca="1" si="1679"/>
        <v>#N/A</v>
      </c>
      <c r="CE849">
        <f t="shared" ca="1" si="1680"/>
        <v>0</v>
      </c>
      <c r="CF849">
        <f t="shared" ca="1" si="1681"/>
        <v>24</v>
      </c>
      <c r="CH849" s="112" t="str">
        <f t="shared" ca="1" si="1749"/>
        <v/>
      </c>
      <c r="CI849" t="e">
        <f t="shared" ca="1" si="1746"/>
        <v>#N/A</v>
      </c>
      <c r="CJ849" t="e">
        <f t="shared" ref="CJ849" ca="1" si="1752">IF(AND(CI849=0,CJ850=0,CC849&lt;100000),1,0)</f>
        <v>#N/A</v>
      </c>
      <c r="CK849" s="112" t="e">
        <f t="shared" ref="CK849:CK912" ca="1" si="1753">IF(CJ849=0,INDIRECT(CONCATENATE("af",BQ849)),1)</f>
        <v>#N/A</v>
      </c>
      <c r="CM849" s="112"/>
      <c r="CN849" s="260" t="e">
        <f t="shared" ca="1" si="1696"/>
        <v>#N/A</v>
      </c>
      <c r="CO849" s="112" t="e">
        <f t="shared" ca="1" si="1748"/>
        <v>#N/A</v>
      </c>
      <c r="CP849" s="238">
        <f t="shared" ref="CP849:CP912" ca="1" si="1754">CE849</f>
        <v>0</v>
      </c>
      <c r="CQ849" s="328">
        <f t="shared" ref="CQ849:CQ912" ca="1" si="1755">CF849</f>
        <v>24</v>
      </c>
      <c r="CS849" s="112">
        <f t="shared" ca="1" si="1676"/>
        <v>100000</v>
      </c>
      <c r="CT849" s="112" t="e">
        <f t="shared" ca="1" si="1703"/>
        <v>#N/A</v>
      </c>
      <c r="CU849" s="238">
        <f t="shared" ca="1" si="1683"/>
        <v>0</v>
      </c>
      <c r="CV849" s="238">
        <f t="shared" ca="1" si="1684"/>
        <v>24</v>
      </c>
      <c r="CY849">
        <f t="shared" si="1689"/>
        <v>279</v>
      </c>
      <c r="DA849" s="112">
        <f t="shared" ca="1" si="1690"/>
        <v>100000</v>
      </c>
      <c r="DE849" t="str">
        <f t="shared" si="1685"/>
        <v>cs:dc771</v>
      </c>
      <c r="DF849" t="e">
        <f t="shared" ca="1" si="1686"/>
        <v>#REF!</v>
      </c>
    </row>
    <row r="850" spans="47:110" ht="15.75" thickBot="1" x14ac:dyDescent="0.3">
      <c r="AU850" s="112"/>
      <c r="AV850" s="112"/>
      <c r="BQ850" s="238">
        <f t="shared" si="1745"/>
        <v>626</v>
      </c>
      <c r="BR850" t="s">
        <v>448</v>
      </c>
      <c r="BS850" t="s">
        <v>449</v>
      </c>
      <c r="BT850" s="114" t="e">
        <f t="shared" ca="1" si="1633"/>
        <v>#N/A</v>
      </c>
      <c r="BU850" s="112"/>
      <c r="BV850" t="e">
        <f t="shared" ca="1" si="1717"/>
        <v>#N/A</v>
      </c>
      <c r="BW850" s="112" t="e">
        <f t="shared" ca="1" si="1672"/>
        <v>#N/A</v>
      </c>
      <c r="BX850" s="112" t="str">
        <f t="shared" ca="1" si="1751"/>
        <v/>
      </c>
      <c r="BY850">
        <f t="shared" ca="1" si="1704"/>
        <v>0</v>
      </c>
      <c r="BZ850">
        <f t="shared" ca="1" si="1705"/>
        <v>24</v>
      </c>
      <c r="CB850" t="e">
        <f t="shared" ca="1" si="1677"/>
        <v>#N/A</v>
      </c>
      <c r="CC850" s="112" t="e">
        <f t="shared" ca="1" si="1678"/>
        <v>#N/A</v>
      </c>
      <c r="CD850" s="112" t="str">
        <f t="shared" ca="1" si="1679"/>
        <v/>
      </c>
      <c r="CE850">
        <f t="shared" ca="1" si="1680"/>
        <v>0</v>
      </c>
      <c r="CF850">
        <f t="shared" ca="1" si="1681"/>
        <v>24</v>
      </c>
      <c r="CH850" s="112" t="str">
        <f t="shared" ca="1" si="1749"/>
        <v/>
      </c>
      <c r="CI850" t="e">
        <f t="shared" ca="1" si="1746"/>
        <v>#N/A</v>
      </c>
      <c r="CJ850" t="e">
        <f t="shared" ref="CJ850" ca="1" si="1756">IF(AND(CI850=0,CC850&lt;100000),1,0)</f>
        <v>#N/A</v>
      </c>
      <c r="CK850" s="112" t="e">
        <f t="shared" ca="1" si="1753"/>
        <v>#N/A</v>
      </c>
      <c r="CM850" s="112"/>
      <c r="CN850" s="261" t="e">
        <f t="shared" ref="CN850" ca="1" si="1757">IF(AND(CN846=100000,CN847=100000,CN848=100000,CN849=100000),INDIRECT(CONCATENATE("aa",BQ850)),CC850)</f>
        <v>#N/A</v>
      </c>
      <c r="CO850" s="324" t="e">
        <f t="shared" ca="1" si="1748"/>
        <v>#N/A</v>
      </c>
      <c r="CP850" s="256">
        <f t="shared" ca="1" si="1754"/>
        <v>0</v>
      </c>
      <c r="CQ850" s="329">
        <f t="shared" ca="1" si="1755"/>
        <v>24</v>
      </c>
      <c r="CS850" s="112">
        <f t="shared" ca="1" si="1676"/>
        <v>100000</v>
      </c>
      <c r="CT850" s="112" t="e">
        <f t="shared" ca="1" si="1703"/>
        <v>#N/A</v>
      </c>
      <c r="CU850" s="238">
        <f t="shared" ca="1" si="1683"/>
        <v>0</v>
      </c>
      <c r="CV850" s="238">
        <f t="shared" ca="1" si="1684"/>
        <v>24</v>
      </c>
      <c r="CY850">
        <f t="shared" si="1689"/>
        <v>280</v>
      </c>
      <c r="DA850" s="112">
        <f t="shared" ca="1" si="1690"/>
        <v>100000</v>
      </c>
      <c r="DE850" t="str">
        <f t="shared" si="1685"/>
        <v>cs:dc771</v>
      </c>
      <c r="DF850" t="e">
        <f t="shared" ca="1" si="1686"/>
        <v>#REF!</v>
      </c>
    </row>
    <row r="851" spans="47:110" x14ac:dyDescent="0.25">
      <c r="AU851" s="112"/>
      <c r="AV851" s="112"/>
      <c r="BQ851" s="238">
        <f t="shared" ref="BQ851" si="1758">BQ850+1</f>
        <v>627</v>
      </c>
      <c r="BR851" s="112" t="s">
        <v>444</v>
      </c>
      <c r="BS851" s="112" t="s">
        <v>445</v>
      </c>
      <c r="BT851" s="114" t="e">
        <f t="shared" ca="1" si="1633"/>
        <v>#N/A</v>
      </c>
      <c r="BU851" s="112"/>
      <c r="BV851">
        <f t="shared" ca="1" si="1717"/>
        <v>0</v>
      </c>
      <c r="BW851" s="112" t="str">
        <f t="shared" ca="1" si="1672"/>
        <v/>
      </c>
      <c r="BX851" s="112" t="e">
        <f t="shared" ref="BX851:BX853" ca="1" si="1759">INDIRECT(CONCATENATE(BS851,BQ851))-1</f>
        <v>#N/A</v>
      </c>
      <c r="BY851">
        <f t="shared" ca="1" si="1704"/>
        <v>0</v>
      </c>
      <c r="BZ851">
        <f t="shared" ca="1" si="1705"/>
        <v>24</v>
      </c>
      <c r="CB851" t="e">
        <f t="shared" ca="1" si="1677"/>
        <v>#N/A</v>
      </c>
      <c r="CC851" s="112" t="e">
        <f t="shared" ca="1" si="1678"/>
        <v>#N/A</v>
      </c>
      <c r="CD851" s="112" t="e">
        <f t="shared" ca="1" si="1679"/>
        <v>#N/A</v>
      </c>
      <c r="CE851">
        <f t="shared" ca="1" si="1680"/>
        <v>0</v>
      </c>
      <c r="CF851">
        <f t="shared" ca="1" si="1681"/>
        <v>24</v>
      </c>
      <c r="CH851" s="112" t="str">
        <f t="shared" ca="1" si="1749"/>
        <v/>
      </c>
      <c r="CI851" t="e">
        <f t="shared" ref="CI851" ca="1" si="1760">CB851+CB852+CB853+CB854+CB855</f>
        <v>#N/A</v>
      </c>
      <c r="CJ851">
        <v>0</v>
      </c>
      <c r="CK851" s="112" t="str">
        <f t="shared" ca="1" si="1753"/>
        <v/>
      </c>
      <c r="CM851" s="112"/>
      <c r="CN851" s="408" t="e">
        <f t="shared" ca="1" si="1696"/>
        <v>#N/A</v>
      </c>
      <c r="CO851" s="326" t="e">
        <f t="shared" ref="CO851" ca="1" si="1761">CD851</f>
        <v>#N/A</v>
      </c>
      <c r="CP851" s="333">
        <f t="shared" ca="1" si="1754"/>
        <v>0</v>
      </c>
      <c r="CQ851" s="327">
        <f t="shared" ca="1" si="1755"/>
        <v>24</v>
      </c>
      <c r="CS851" s="112">
        <f t="shared" ca="1" si="1676"/>
        <v>100000</v>
      </c>
      <c r="CT851" s="112" t="e">
        <f t="shared" ref="CT851" ca="1" si="1762">IF(AND( CN852=100000,CN853=100000,CN854=100000,CN855=100000),CO855,                             CO851)</f>
        <v>#N/A</v>
      </c>
      <c r="CU851" s="238">
        <f t="shared" ca="1" si="1683"/>
        <v>0</v>
      </c>
      <c r="CV851" s="238">
        <f t="shared" ca="1" si="1684"/>
        <v>24</v>
      </c>
      <c r="CY851">
        <f t="shared" si="1689"/>
        <v>281</v>
      </c>
      <c r="DA851" s="112">
        <f t="shared" ca="1" si="1690"/>
        <v>100000</v>
      </c>
      <c r="DE851" t="str">
        <f t="shared" si="1685"/>
        <v>cs:dc771</v>
      </c>
      <c r="DF851" t="e">
        <f t="shared" ca="1" si="1686"/>
        <v>#REF!</v>
      </c>
    </row>
    <row r="852" spans="47:110" x14ac:dyDescent="0.25">
      <c r="AU852" s="112"/>
      <c r="AV852" s="112"/>
      <c r="BQ852" s="238">
        <f t="shared" ref="BQ852:BQ855" si="1763">BQ851</f>
        <v>627</v>
      </c>
      <c r="BR852" t="s">
        <v>445</v>
      </c>
      <c r="BS852" t="s">
        <v>446</v>
      </c>
      <c r="BT852" s="114" t="e">
        <f t="shared" ca="1" si="1633"/>
        <v>#N/A</v>
      </c>
      <c r="BU852" s="112"/>
      <c r="BV852" t="e">
        <f t="shared" ca="1" si="1717"/>
        <v>#N/A</v>
      </c>
      <c r="BW852" s="112" t="e">
        <f t="shared" ca="1" si="1672"/>
        <v>#N/A</v>
      </c>
      <c r="BX852" s="112" t="e">
        <f t="shared" ca="1" si="1759"/>
        <v>#N/A</v>
      </c>
      <c r="BY852">
        <f t="shared" ca="1" si="1704"/>
        <v>0</v>
      </c>
      <c r="BZ852">
        <f t="shared" ca="1" si="1705"/>
        <v>24</v>
      </c>
      <c r="CB852" t="e">
        <f t="shared" ca="1" si="1677"/>
        <v>#N/A</v>
      </c>
      <c r="CC852" s="112" t="e">
        <f t="shared" ca="1" si="1678"/>
        <v>#N/A</v>
      </c>
      <c r="CD852" s="112" t="e">
        <f t="shared" ca="1" si="1679"/>
        <v>#N/A</v>
      </c>
      <c r="CE852">
        <f t="shared" ca="1" si="1680"/>
        <v>0</v>
      </c>
      <c r="CF852">
        <f t="shared" ca="1" si="1681"/>
        <v>24</v>
      </c>
      <c r="CH852" s="112" t="str">
        <f t="shared" ca="1" si="1749"/>
        <v/>
      </c>
      <c r="CI852" t="e">
        <f t="shared" ref="CI852:CI855" ca="1" si="1764">CI851</f>
        <v>#N/A</v>
      </c>
      <c r="CJ852" t="e">
        <f t="shared" ref="CJ852" ca="1" si="1765">IF(AND(CI852=0,CJ853=0,CJ854=0,CJ855=0,CC852&lt;100000),1,0)</f>
        <v>#N/A</v>
      </c>
      <c r="CK852" s="112" t="e">
        <f t="shared" ca="1" si="1753"/>
        <v>#N/A</v>
      </c>
      <c r="CM852" s="112"/>
      <c r="CN852" s="260" t="e">
        <f t="shared" ca="1" si="1696"/>
        <v>#N/A</v>
      </c>
      <c r="CO852" s="112" t="e">
        <f t="shared" ref="CO852:CO855" ca="1" si="1766">IF(CJ852=1,CH852,CD852)</f>
        <v>#N/A</v>
      </c>
      <c r="CP852" s="238">
        <f t="shared" ca="1" si="1754"/>
        <v>0</v>
      </c>
      <c r="CQ852" s="328">
        <f t="shared" ca="1" si="1755"/>
        <v>24</v>
      </c>
      <c r="CS852" s="112">
        <f t="shared" ca="1" si="1676"/>
        <v>100000</v>
      </c>
      <c r="CT852" s="112" t="e">
        <f t="shared" ca="1" si="1703"/>
        <v>#N/A</v>
      </c>
      <c r="CU852" s="238">
        <f t="shared" ca="1" si="1683"/>
        <v>0</v>
      </c>
      <c r="CV852" s="238">
        <f t="shared" ca="1" si="1684"/>
        <v>24</v>
      </c>
      <c r="CY852">
        <f t="shared" si="1689"/>
        <v>282</v>
      </c>
      <c r="DA852" s="112">
        <f t="shared" ca="1" si="1690"/>
        <v>100000</v>
      </c>
      <c r="DE852" t="str">
        <f t="shared" si="1685"/>
        <v>cs:dc771</v>
      </c>
      <c r="DF852" t="e">
        <f t="shared" ca="1" si="1686"/>
        <v>#REF!</v>
      </c>
    </row>
    <row r="853" spans="47:110" x14ac:dyDescent="0.25">
      <c r="AU853" s="112"/>
      <c r="AV853" s="112"/>
      <c r="BQ853" s="238">
        <f t="shared" si="1763"/>
        <v>627</v>
      </c>
      <c r="BR853" t="s">
        <v>446</v>
      </c>
      <c r="BS853" t="s">
        <v>447</v>
      </c>
      <c r="BT853" s="114" t="e">
        <f t="shared" ca="1" si="1633"/>
        <v>#N/A</v>
      </c>
      <c r="BU853" s="112"/>
      <c r="BV853" t="e">
        <f t="shared" ca="1" si="1717"/>
        <v>#N/A</v>
      </c>
      <c r="BW853" s="112" t="e">
        <f t="shared" ca="1" si="1672"/>
        <v>#N/A</v>
      </c>
      <c r="BX853" s="112" t="e">
        <f t="shared" ca="1" si="1759"/>
        <v>#N/A</v>
      </c>
      <c r="BY853">
        <f t="shared" ca="1" si="1704"/>
        <v>0</v>
      </c>
      <c r="BZ853">
        <f t="shared" ca="1" si="1705"/>
        <v>24</v>
      </c>
      <c r="CB853" t="e">
        <f t="shared" ca="1" si="1677"/>
        <v>#N/A</v>
      </c>
      <c r="CC853" s="112" t="e">
        <f t="shared" ca="1" si="1678"/>
        <v>#N/A</v>
      </c>
      <c r="CD853" s="112" t="e">
        <f t="shared" ca="1" si="1679"/>
        <v>#N/A</v>
      </c>
      <c r="CE853">
        <f t="shared" ca="1" si="1680"/>
        <v>0</v>
      </c>
      <c r="CF853">
        <f t="shared" ca="1" si="1681"/>
        <v>24</v>
      </c>
      <c r="CH853" s="112" t="str">
        <f t="shared" ca="1" si="1749"/>
        <v/>
      </c>
      <c r="CI853" t="e">
        <f t="shared" ca="1" si="1764"/>
        <v>#N/A</v>
      </c>
      <c r="CJ853" t="e">
        <f t="shared" ref="CJ853" ca="1" si="1767">IF(AND(CI853=0,CJ854=0,CJ855=0,CC853&lt;100000),1,0)</f>
        <v>#N/A</v>
      </c>
      <c r="CK853" s="112" t="e">
        <f t="shared" ca="1" si="1753"/>
        <v>#N/A</v>
      </c>
      <c r="CM853" s="112"/>
      <c r="CN853" s="260" t="e">
        <f t="shared" ca="1" si="1696"/>
        <v>#N/A</v>
      </c>
      <c r="CO853" s="112" t="e">
        <f t="shared" ca="1" si="1766"/>
        <v>#N/A</v>
      </c>
      <c r="CP853" s="238">
        <f t="shared" ca="1" si="1754"/>
        <v>0</v>
      </c>
      <c r="CQ853" s="328">
        <f t="shared" ca="1" si="1755"/>
        <v>24</v>
      </c>
      <c r="CS853" s="112">
        <f t="shared" ca="1" si="1676"/>
        <v>100000</v>
      </c>
      <c r="CT853" s="112" t="e">
        <f t="shared" ca="1" si="1703"/>
        <v>#N/A</v>
      </c>
      <c r="CU853" s="238">
        <f t="shared" ca="1" si="1683"/>
        <v>0</v>
      </c>
      <c r="CV853" s="238">
        <f t="shared" ca="1" si="1684"/>
        <v>24</v>
      </c>
      <c r="CY853">
        <f t="shared" si="1689"/>
        <v>283</v>
      </c>
      <c r="DA853" s="112">
        <f t="shared" ca="1" si="1690"/>
        <v>100000</v>
      </c>
      <c r="DE853" t="str">
        <f t="shared" si="1685"/>
        <v>cs:dc771</v>
      </c>
      <c r="DF853" t="e">
        <f t="shared" ca="1" si="1686"/>
        <v>#REF!</v>
      </c>
    </row>
    <row r="854" spans="47:110" x14ac:dyDescent="0.25">
      <c r="AU854" s="112"/>
      <c r="AV854" s="112"/>
      <c r="BQ854" s="238">
        <f t="shared" si="1763"/>
        <v>627</v>
      </c>
      <c r="BR854" t="s">
        <v>447</v>
      </c>
      <c r="BS854" t="s">
        <v>448</v>
      </c>
      <c r="BT854" s="114" t="e">
        <f t="shared" ca="1" si="1633"/>
        <v>#N/A</v>
      </c>
      <c r="BU854" s="112"/>
      <c r="BV854" t="e">
        <f t="shared" ca="1" si="1717"/>
        <v>#N/A</v>
      </c>
      <c r="BW854" s="112" t="e">
        <f t="shared" ca="1" si="1672"/>
        <v>#N/A</v>
      </c>
      <c r="BX854" s="112" t="e">
        <f t="shared" ref="BX854:BX855" ca="1" si="1768">INDIRECT(CONCATENATE(BS854,BQ854))</f>
        <v>#N/A</v>
      </c>
      <c r="BY854">
        <f t="shared" ca="1" si="1704"/>
        <v>0</v>
      </c>
      <c r="BZ854">
        <f t="shared" ca="1" si="1705"/>
        <v>24</v>
      </c>
      <c r="CB854" t="e">
        <f t="shared" ca="1" si="1677"/>
        <v>#N/A</v>
      </c>
      <c r="CC854" s="112" t="e">
        <f t="shared" ca="1" si="1678"/>
        <v>#N/A</v>
      </c>
      <c r="CD854" s="112" t="e">
        <f t="shared" ca="1" si="1679"/>
        <v>#N/A</v>
      </c>
      <c r="CE854">
        <f t="shared" ca="1" si="1680"/>
        <v>0</v>
      </c>
      <c r="CF854">
        <f t="shared" ca="1" si="1681"/>
        <v>24</v>
      </c>
      <c r="CH854" s="112" t="str">
        <f t="shared" ca="1" si="1749"/>
        <v/>
      </c>
      <c r="CI854" t="e">
        <f t="shared" ca="1" si="1764"/>
        <v>#N/A</v>
      </c>
      <c r="CJ854" t="e">
        <f t="shared" ref="CJ854" ca="1" si="1769">IF(AND(CI854=0,CJ855=0,CC854&lt;100000),1,0)</f>
        <v>#N/A</v>
      </c>
      <c r="CK854" s="112" t="e">
        <f t="shared" ca="1" si="1753"/>
        <v>#N/A</v>
      </c>
      <c r="CM854" s="112"/>
      <c r="CN854" s="260" t="e">
        <f t="shared" ca="1" si="1696"/>
        <v>#N/A</v>
      </c>
      <c r="CO854" s="112" t="e">
        <f t="shared" ca="1" si="1766"/>
        <v>#N/A</v>
      </c>
      <c r="CP854" s="238">
        <f t="shared" ca="1" si="1754"/>
        <v>0</v>
      </c>
      <c r="CQ854" s="328">
        <f t="shared" ca="1" si="1755"/>
        <v>24</v>
      </c>
      <c r="CS854" s="112">
        <f t="shared" ca="1" si="1676"/>
        <v>100000</v>
      </c>
      <c r="CT854" s="112" t="e">
        <f t="shared" ca="1" si="1703"/>
        <v>#N/A</v>
      </c>
      <c r="CU854" s="238">
        <f t="shared" ca="1" si="1683"/>
        <v>0</v>
      </c>
      <c r="CV854" s="238">
        <f t="shared" ca="1" si="1684"/>
        <v>24</v>
      </c>
      <c r="CY854">
        <f t="shared" si="1689"/>
        <v>284</v>
      </c>
      <c r="DA854" s="112">
        <f t="shared" ca="1" si="1690"/>
        <v>100000</v>
      </c>
      <c r="DE854" t="str">
        <f t="shared" si="1685"/>
        <v>cs:dc771</v>
      </c>
      <c r="DF854" t="e">
        <f t="shared" ca="1" si="1686"/>
        <v>#REF!</v>
      </c>
    </row>
    <row r="855" spans="47:110" ht="15.75" thickBot="1" x14ac:dyDescent="0.3">
      <c r="AU855" s="112"/>
      <c r="AV855" s="112"/>
      <c r="BQ855" s="238">
        <f t="shared" si="1763"/>
        <v>627</v>
      </c>
      <c r="BR855" t="s">
        <v>448</v>
      </c>
      <c r="BS855" t="s">
        <v>449</v>
      </c>
      <c r="BT855" s="114" t="e">
        <f t="shared" ca="1" si="1633"/>
        <v>#N/A</v>
      </c>
      <c r="BU855" s="112"/>
      <c r="BV855" t="e">
        <f t="shared" ca="1" si="1717"/>
        <v>#N/A</v>
      </c>
      <c r="BW855" s="112" t="e">
        <f t="shared" ca="1" si="1672"/>
        <v>#N/A</v>
      </c>
      <c r="BX855" s="112" t="str">
        <f t="shared" ca="1" si="1768"/>
        <v/>
      </c>
      <c r="BY855">
        <f t="shared" ca="1" si="1704"/>
        <v>0</v>
      </c>
      <c r="BZ855">
        <f t="shared" ca="1" si="1705"/>
        <v>24</v>
      </c>
      <c r="CB855" t="e">
        <f t="shared" ca="1" si="1677"/>
        <v>#N/A</v>
      </c>
      <c r="CC855" s="112" t="e">
        <f t="shared" ca="1" si="1678"/>
        <v>#N/A</v>
      </c>
      <c r="CD855" s="112" t="str">
        <f t="shared" ca="1" si="1679"/>
        <v/>
      </c>
      <c r="CE855">
        <f t="shared" ca="1" si="1680"/>
        <v>0</v>
      </c>
      <c r="CF855">
        <f t="shared" ca="1" si="1681"/>
        <v>24</v>
      </c>
      <c r="CH855" s="112" t="str">
        <f t="shared" ca="1" si="1749"/>
        <v/>
      </c>
      <c r="CI855" t="e">
        <f t="shared" ca="1" si="1764"/>
        <v>#N/A</v>
      </c>
      <c r="CJ855" t="e">
        <f t="shared" ref="CJ855" ca="1" si="1770">IF(AND(CI855=0,CC855&lt;100000),1,0)</f>
        <v>#N/A</v>
      </c>
      <c r="CK855" s="112" t="e">
        <f t="shared" ca="1" si="1753"/>
        <v>#N/A</v>
      </c>
      <c r="CM855" s="112"/>
      <c r="CN855" s="261" t="e">
        <f t="shared" ref="CN855" ca="1" si="1771">IF(AND(CN851=100000,CN852=100000,CN853=100000,CN854=100000),INDIRECT(CONCATENATE("aa",BQ855)),CC855)</f>
        <v>#N/A</v>
      </c>
      <c r="CO855" s="324" t="e">
        <f t="shared" ca="1" si="1766"/>
        <v>#N/A</v>
      </c>
      <c r="CP855" s="256">
        <f t="shared" ca="1" si="1754"/>
        <v>0</v>
      </c>
      <c r="CQ855" s="329">
        <f t="shared" ca="1" si="1755"/>
        <v>24</v>
      </c>
      <c r="CS855" s="112">
        <f t="shared" ca="1" si="1676"/>
        <v>100000</v>
      </c>
      <c r="CT855" s="112" t="e">
        <f t="shared" ca="1" si="1703"/>
        <v>#N/A</v>
      </c>
      <c r="CU855" s="238">
        <f t="shared" ca="1" si="1683"/>
        <v>0</v>
      </c>
      <c r="CV855" s="238">
        <f t="shared" ca="1" si="1684"/>
        <v>24</v>
      </c>
      <c r="CY855">
        <f t="shared" si="1689"/>
        <v>285</v>
      </c>
      <c r="DA855" s="112">
        <f t="shared" ca="1" si="1690"/>
        <v>100000</v>
      </c>
      <c r="DE855" t="str">
        <f t="shared" si="1685"/>
        <v>cs:dc771</v>
      </c>
      <c r="DF855" t="e">
        <f t="shared" ca="1" si="1686"/>
        <v>#REF!</v>
      </c>
    </row>
    <row r="856" spans="47:110" x14ac:dyDescent="0.25">
      <c r="AU856" s="112"/>
      <c r="AV856" s="112"/>
      <c r="BQ856" s="238">
        <f t="shared" ref="BQ856" si="1772">BQ855+1</f>
        <v>628</v>
      </c>
      <c r="BR856" s="112" t="s">
        <v>444</v>
      </c>
      <c r="BS856" s="112" t="s">
        <v>445</v>
      </c>
      <c r="BT856" s="114" t="e">
        <f t="shared" ca="1" si="1633"/>
        <v>#N/A</v>
      </c>
      <c r="BU856" s="112"/>
      <c r="BV856">
        <f t="shared" ca="1" si="1717"/>
        <v>0</v>
      </c>
      <c r="BW856" s="112" t="str">
        <f t="shared" ca="1" si="1672"/>
        <v/>
      </c>
      <c r="BX856" s="112" t="e">
        <f t="shared" ref="BX856:BX858" ca="1" si="1773">INDIRECT(CONCATENATE(BS856,BQ856))-1</f>
        <v>#N/A</v>
      </c>
      <c r="BY856">
        <f t="shared" ca="1" si="1704"/>
        <v>0</v>
      </c>
      <c r="BZ856">
        <f t="shared" ca="1" si="1705"/>
        <v>24</v>
      </c>
      <c r="CB856" t="e">
        <f t="shared" ca="1" si="1677"/>
        <v>#N/A</v>
      </c>
      <c r="CC856" s="112" t="e">
        <f t="shared" ca="1" si="1678"/>
        <v>#N/A</v>
      </c>
      <c r="CD856" s="112" t="e">
        <f t="shared" ca="1" si="1679"/>
        <v>#N/A</v>
      </c>
      <c r="CE856">
        <f t="shared" ca="1" si="1680"/>
        <v>0</v>
      </c>
      <c r="CF856">
        <f t="shared" ca="1" si="1681"/>
        <v>24</v>
      </c>
      <c r="CH856" s="112" t="str">
        <f t="shared" ca="1" si="1749"/>
        <v/>
      </c>
      <c r="CI856" t="e">
        <f t="shared" ref="CI856" ca="1" si="1774">CB856+CB857+CB858+CB859+CB860</f>
        <v>#N/A</v>
      </c>
      <c r="CJ856">
        <v>0</v>
      </c>
      <c r="CK856" s="112" t="str">
        <f t="shared" ca="1" si="1753"/>
        <v/>
      </c>
      <c r="CM856" s="112"/>
      <c r="CN856" s="408" t="e">
        <f t="shared" ca="1" si="1696"/>
        <v>#N/A</v>
      </c>
      <c r="CO856" s="326" t="e">
        <f t="shared" ref="CO856" ca="1" si="1775">CD856</f>
        <v>#N/A</v>
      </c>
      <c r="CP856" s="333">
        <f t="shared" ca="1" si="1754"/>
        <v>0</v>
      </c>
      <c r="CQ856" s="327">
        <f t="shared" ca="1" si="1755"/>
        <v>24</v>
      </c>
      <c r="CS856" s="112">
        <f t="shared" ca="1" si="1676"/>
        <v>100000</v>
      </c>
      <c r="CT856" s="112" t="e">
        <f t="shared" ref="CT856" ca="1" si="1776">IF(AND( CN857=100000,CN858=100000,CN859=100000,CN860=100000),CO860,                             CO856)</f>
        <v>#N/A</v>
      </c>
      <c r="CU856" s="238">
        <f t="shared" ca="1" si="1683"/>
        <v>0</v>
      </c>
      <c r="CV856" s="238">
        <f t="shared" ca="1" si="1684"/>
        <v>24</v>
      </c>
      <c r="CY856">
        <f t="shared" si="1689"/>
        <v>286</v>
      </c>
      <c r="DA856" s="112">
        <f t="shared" ca="1" si="1690"/>
        <v>100000</v>
      </c>
      <c r="DE856" t="str">
        <f t="shared" si="1685"/>
        <v>cs:dc771</v>
      </c>
      <c r="DF856" t="e">
        <f t="shared" ca="1" si="1686"/>
        <v>#REF!</v>
      </c>
    </row>
    <row r="857" spans="47:110" x14ac:dyDescent="0.25">
      <c r="AU857" s="112"/>
      <c r="AV857" s="112"/>
      <c r="BQ857" s="238">
        <f t="shared" ref="BQ857:BQ860" si="1777">BQ856</f>
        <v>628</v>
      </c>
      <c r="BR857" t="s">
        <v>445</v>
      </c>
      <c r="BS857" t="s">
        <v>446</v>
      </c>
      <c r="BT857" s="114" t="e">
        <f t="shared" ca="1" si="1633"/>
        <v>#N/A</v>
      </c>
      <c r="BU857" s="112"/>
      <c r="BV857" t="e">
        <f t="shared" ca="1" si="1717"/>
        <v>#N/A</v>
      </c>
      <c r="BW857" s="112" t="e">
        <f t="shared" ca="1" si="1672"/>
        <v>#N/A</v>
      </c>
      <c r="BX857" s="112" t="e">
        <f t="shared" ca="1" si="1773"/>
        <v>#N/A</v>
      </c>
      <c r="BY857">
        <f t="shared" ca="1" si="1704"/>
        <v>0</v>
      </c>
      <c r="BZ857">
        <f t="shared" ca="1" si="1705"/>
        <v>24</v>
      </c>
      <c r="CB857" t="e">
        <f t="shared" ca="1" si="1677"/>
        <v>#N/A</v>
      </c>
      <c r="CC857" s="112" t="e">
        <f t="shared" ca="1" si="1678"/>
        <v>#N/A</v>
      </c>
      <c r="CD857" s="112" t="e">
        <f t="shared" ca="1" si="1679"/>
        <v>#N/A</v>
      </c>
      <c r="CE857">
        <f t="shared" ca="1" si="1680"/>
        <v>0</v>
      </c>
      <c r="CF857">
        <f t="shared" ca="1" si="1681"/>
        <v>24</v>
      </c>
      <c r="CH857" s="112" t="str">
        <f t="shared" ca="1" si="1749"/>
        <v/>
      </c>
      <c r="CI857" t="e">
        <f t="shared" ref="CI857:CI860" ca="1" si="1778">CI856</f>
        <v>#N/A</v>
      </c>
      <c r="CJ857" t="e">
        <f t="shared" ref="CJ857" ca="1" si="1779">IF(AND(CI857=0,CJ858=0,CJ859=0,CJ860=0,CC857&lt;100000),1,0)</f>
        <v>#N/A</v>
      </c>
      <c r="CK857" s="112" t="e">
        <f t="shared" ca="1" si="1753"/>
        <v>#N/A</v>
      </c>
      <c r="CM857" s="112"/>
      <c r="CN857" s="260" t="e">
        <f t="shared" ca="1" si="1696"/>
        <v>#N/A</v>
      </c>
      <c r="CO857" s="112" t="e">
        <f t="shared" ref="CO857:CO860" ca="1" si="1780">IF(CJ857=1,CH857,CD857)</f>
        <v>#N/A</v>
      </c>
      <c r="CP857" s="238">
        <f t="shared" ca="1" si="1754"/>
        <v>0</v>
      </c>
      <c r="CQ857" s="328">
        <f t="shared" ca="1" si="1755"/>
        <v>24</v>
      </c>
      <c r="CS857" s="112">
        <f t="shared" ca="1" si="1676"/>
        <v>100000</v>
      </c>
      <c r="CT857" s="112" t="e">
        <f t="shared" ca="1" si="1703"/>
        <v>#N/A</v>
      </c>
      <c r="CU857" s="238">
        <f t="shared" ca="1" si="1683"/>
        <v>0</v>
      </c>
      <c r="CV857" s="238">
        <f t="shared" ca="1" si="1684"/>
        <v>24</v>
      </c>
      <c r="CY857">
        <f t="shared" si="1689"/>
        <v>287</v>
      </c>
      <c r="DA857" s="112">
        <f t="shared" ca="1" si="1690"/>
        <v>100000</v>
      </c>
      <c r="DE857" t="str">
        <f t="shared" si="1685"/>
        <v>cs:dc771</v>
      </c>
      <c r="DF857" t="e">
        <f t="shared" ca="1" si="1686"/>
        <v>#REF!</v>
      </c>
    </row>
    <row r="858" spans="47:110" x14ac:dyDescent="0.25">
      <c r="AU858" s="112"/>
      <c r="AV858" s="112"/>
      <c r="BQ858" s="238">
        <f t="shared" si="1777"/>
        <v>628</v>
      </c>
      <c r="BR858" t="s">
        <v>446</v>
      </c>
      <c r="BS858" t="s">
        <v>447</v>
      </c>
      <c r="BT858" s="114" t="e">
        <f t="shared" ca="1" si="1633"/>
        <v>#N/A</v>
      </c>
      <c r="BU858" s="112"/>
      <c r="BV858" t="e">
        <f t="shared" ca="1" si="1717"/>
        <v>#N/A</v>
      </c>
      <c r="BW858" s="112" t="e">
        <f t="shared" ca="1" si="1672"/>
        <v>#N/A</v>
      </c>
      <c r="BX858" s="112" t="e">
        <f t="shared" ca="1" si="1773"/>
        <v>#N/A</v>
      </c>
      <c r="BY858">
        <f t="shared" ca="1" si="1704"/>
        <v>0</v>
      </c>
      <c r="BZ858">
        <f t="shared" ca="1" si="1705"/>
        <v>24</v>
      </c>
      <c r="CB858" t="e">
        <f t="shared" ca="1" si="1677"/>
        <v>#N/A</v>
      </c>
      <c r="CC858" s="112" t="e">
        <f t="shared" ca="1" si="1678"/>
        <v>#N/A</v>
      </c>
      <c r="CD858" s="112" t="e">
        <f t="shared" ca="1" si="1679"/>
        <v>#N/A</v>
      </c>
      <c r="CE858">
        <f t="shared" ca="1" si="1680"/>
        <v>0</v>
      </c>
      <c r="CF858">
        <f t="shared" ca="1" si="1681"/>
        <v>24</v>
      </c>
      <c r="CH858" s="112" t="str">
        <f t="shared" ca="1" si="1749"/>
        <v/>
      </c>
      <c r="CI858" t="e">
        <f t="shared" ca="1" si="1778"/>
        <v>#N/A</v>
      </c>
      <c r="CJ858" t="e">
        <f t="shared" ref="CJ858" ca="1" si="1781">IF(AND(CI858=0,CJ859=0,CJ860=0,CC858&lt;100000),1,0)</f>
        <v>#N/A</v>
      </c>
      <c r="CK858" s="112" t="e">
        <f t="shared" ca="1" si="1753"/>
        <v>#N/A</v>
      </c>
      <c r="CM858" s="112"/>
      <c r="CN858" s="260" t="e">
        <f t="shared" ca="1" si="1696"/>
        <v>#N/A</v>
      </c>
      <c r="CO858" s="112" t="e">
        <f t="shared" ca="1" si="1780"/>
        <v>#N/A</v>
      </c>
      <c r="CP858" s="238">
        <f t="shared" ca="1" si="1754"/>
        <v>0</v>
      </c>
      <c r="CQ858" s="328">
        <f t="shared" ca="1" si="1755"/>
        <v>24</v>
      </c>
      <c r="CS858" s="112">
        <f t="shared" ca="1" si="1676"/>
        <v>100000</v>
      </c>
      <c r="CT858" s="112" t="e">
        <f t="shared" ca="1" si="1703"/>
        <v>#N/A</v>
      </c>
      <c r="CU858" s="238">
        <f t="shared" ca="1" si="1683"/>
        <v>0</v>
      </c>
      <c r="CV858" s="238">
        <f t="shared" ca="1" si="1684"/>
        <v>24</v>
      </c>
      <c r="CY858">
        <f t="shared" si="1689"/>
        <v>288</v>
      </c>
      <c r="DA858" s="112">
        <f t="shared" ca="1" si="1690"/>
        <v>100000</v>
      </c>
      <c r="DE858" t="str">
        <f t="shared" si="1685"/>
        <v>cs:dc771</v>
      </c>
      <c r="DF858" t="e">
        <f t="shared" ca="1" si="1686"/>
        <v>#REF!</v>
      </c>
    </row>
    <row r="859" spans="47:110" x14ac:dyDescent="0.25">
      <c r="AU859" s="112"/>
      <c r="AV859" s="112"/>
      <c r="BQ859" s="238">
        <f t="shared" si="1777"/>
        <v>628</v>
      </c>
      <c r="BR859" t="s">
        <v>447</v>
      </c>
      <c r="BS859" t="s">
        <v>448</v>
      </c>
      <c r="BT859" s="114" t="e">
        <f t="shared" ca="1" si="1633"/>
        <v>#N/A</v>
      </c>
      <c r="BU859" s="112"/>
      <c r="BV859" t="e">
        <f t="shared" ca="1" si="1717"/>
        <v>#N/A</v>
      </c>
      <c r="BW859" s="112" t="e">
        <f t="shared" ca="1" si="1672"/>
        <v>#N/A</v>
      </c>
      <c r="BX859" s="112" t="e">
        <f t="shared" ref="BX859:BX860" ca="1" si="1782">INDIRECT(CONCATENATE(BS859,BQ859))</f>
        <v>#N/A</v>
      </c>
      <c r="BY859">
        <f t="shared" ca="1" si="1704"/>
        <v>0</v>
      </c>
      <c r="BZ859">
        <f t="shared" ca="1" si="1705"/>
        <v>24</v>
      </c>
      <c r="CB859" t="e">
        <f t="shared" ca="1" si="1677"/>
        <v>#N/A</v>
      </c>
      <c r="CC859" s="112" t="e">
        <f t="shared" ca="1" si="1678"/>
        <v>#N/A</v>
      </c>
      <c r="CD859" s="112" t="e">
        <f t="shared" ca="1" si="1679"/>
        <v>#N/A</v>
      </c>
      <c r="CE859">
        <f t="shared" ca="1" si="1680"/>
        <v>0</v>
      </c>
      <c r="CF859">
        <f t="shared" ca="1" si="1681"/>
        <v>24</v>
      </c>
      <c r="CH859" s="112" t="str">
        <f t="shared" ca="1" si="1749"/>
        <v/>
      </c>
      <c r="CI859" t="e">
        <f t="shared" ca="1" si="1778"/>
        <v>#N/A</v>
      </c>
      <c r="CJ859" t="e">
        <f t="shared" ref="CJ859" ca="1" si="1783">IF(AND(CI859=0,CJ860=0,CC859&lt;100000),1,0)</f>
        <v>#N/A</v>
      </c>
      <c r="CK859" s="112" t="e">
        <f t="shared" ca="1" si="1753"/>
        <v>#N/A</v>
      </c>
      <c r="CM859" s="112"/>
      <c r="CN859" s="260" t="e">
        <f t="shared" ca="1" si="1696"/>
        <v>#N/A</v>
      </c>
      <c r="CO859" s="112" t="e">
        <f t="shared" ca="1" si="1780"/>
        <v>#N/A</v>
      </c>
      <c r="CP859" s="238">
        <f t="shared" ca="1" si="1754"/>
        <v>0</v>
      </c>
      <c r="CQ859" s="328">
        <f t="shared" ca="1" si="1755"/>
        <v>24</v>
      </c>
      <c r="CS859" s="112">
        <f t="shared" ca="1" si="1676"/>
        <v>100000</v>
      </c>
      <c r="CT859" s="112" t="e">
        <f t="shared" ca="1" si="1703"/>
        <v>#N/A</v>
      </c>
      <c r="CU859" s="238">
        <f t="shared" ca="1" si="1683"/>
        <v>0</v>
      </c>
      <c r="CV859" s="238">
        <f t="shared" ca="1" si="1684"/>
        <v>24</v>
      </c>
      <c r="CY859">
        <f t="shared" si="1689"/>
        <v>289</v>
      </c>
      <c r="DA859" s="112">
        <f t="shared" ca="1" si="1690"/>
        <v>100000</v>
      </c>
      <c r="DE859" t="str">
        <f t="shared" si="1685"/>
        <v>cs:dc771</v>
      </c>
      <c r="DF859" t="e">
        <f t="shared" ca="1" si="1686"/>
        <v>#REF!</v>
      </c>
    </row>
    <row r="860" spans="47:110" ht="15.75" thickBot="1" x14ac:dyDescent="0.3">
      <c r="AU860" s="112"/>
      <c r="AV860" s="112"/>
      <c r="BQ860" s="238">
        <f t="shared" si="1777"/>
        <v>628</v>
      </c>
      <c r="BR860" t="s">
        <v>448</v>
      </c>
      <c r="BS860" t="s">
        <v>449</v>
      </c>
      <c r="BT860" s="114" t="e">
        <f t="shared" ca="1" si="1633"/>
        <v>#N/A</v>
      </c>
      <c r="BU860" s="112"/>
      <c r="BV860" t="e">
        <f t="shared" ca="1" si="1717"/>
        <v>#N/A</v>
      </c>
      <c r="BW860" s="112" t="e">
        <f t="shared" ca="1" si="1672"/>
        <v>#N/A</v>
      </c>
      <c r="BX860" s="112" t="str">
        <f t="shared" ca="1" si="1782"/>
        <v/>
      </c>
      <c r="BY860">
        <f t="shared" ca="1" si="1704"/>
        <v>0</v>
      </c>
      <c r="BZ860">
        <f t="shared" ca="1" si="1705"/>
        <v>24</v>
      </c>
      <c r="CB860" t="e">
        <f t="shared" ca="1" si="1677"/>
        <v>#N/A</v>
      </c>
      <c r="CC860" s="112" t="e">
        <f t="shared" ca="1" si="1678"/>
        <v>#N/A</v>
      </c>
      <c r="CD860" s="112" t="str">
        <f t="shared" ca="1" si="1679"/>
        <v/>
      </c>
      <c r="CE860">
        <f t="shared" ca="1" si="1680"/>
        <v>0</v>
      </c>
      <c r="CF860">
        <f t="shared" ca="1" si="1681"/>
        <v>24</v>
      </c>
      <c r="CH860" s="112" t="str">
        <f t="shared" ca="1" si="1749"/>
        <v/>
      </c>
      <c r="CI860" t="e">
        <f t="shared" ca="1" si="1778"/>
        <v>#N/A</v>
      </c>
      <c r="CJ860" t="e">
        <f t="shared" ref="CJ860" ca="1" si="1784">IF(AND(CI860=0,CC860&lt;100000),1,0)</f>
        <v>#N/A</v>
      </c>
      <c r="CK860" s="112" t="e">
        <f t="shared" ca="1" si="1753"/>
        <v>#N/A</v>
      </c>
      <c r="CM860" s="112"/>
      <c r="CN860" s="261" t="e">
        <f t="shared" ref="CN860" ca="1" si="1785">IF(AND(CN856=100000,CN857=100000,CN858=100000,CN859=100000),INDIRECT(CONCATENATE("aa",BQ860)),CC860)</f>
        <v>#N/A</v>
      </c>
      <c r="CO860" s="324" t="e">
        <f t="shared" ca="1" si="1780"/>
        <v>#N/A</v>
      </c>
      <c r="CP860" s="256">
        <f t="shared" ca="1" si="1754"/>
        <v>0</v>
      </c>
      <c r="CQ860" s="329">
        <f t="shared" ca="1" si="1755"/>
        <v>24</v>
      </c>
      <c r="CS860" s="112">
        <f t="shared" ca="1" si="1676"/>
        <v>100000</v>
      </c>
      <c r="CT860" s="112" t="e">
        <f t="shared" ca="1" si="1703"/>
        <v>#N/A</v>
      </c>
      <c r="CU860" s="238">
        <f t="shared" ca="1" si="1683"/>
        <v>0</v>
      </c>
      <c r="CV860" s="238">
        <f t="shared" ca="1" si="1684"/>
        <v>24</v>
      </c>
      <c r="CY860">
        <f t="shared" si="1689"/>
        <v>290</v>
      </c>
      <c r="DA860" s="112">
        <f t="shared" ca="1" si="1690"/>
        <v>100000</v>
      </c>
      <c r="DE860" t="str">
        <f t="shared" si="1685"/>
        <v>cs:dc771</v>
      </c>
      <c r="DF860" t="e">
        <f t="shared" ca="1" si="1686"/>
        <v>#REF!</v>
      </c>
    </row>
    <row r="861" spans="47:110" x14ac:dyDescent="0.25">
      <c r="AU861" s="112"/>
      <c r="AV861" s="112"/>
      <c r="BQ861" s="238">
        <f t="shared" ref="BQ861" si="1786">BQ860+1</f>
        <v>629</v>
      </c>
      <c r="BR861" s="112" t="s">
        <v>444</v>
      </c>
      <c r="BS861" s="112" t="s">
        <v>445</v>
      </c>
      <c r="BT861" s="114" t="e">
        <f t="shared" ca="1" si="1633"/>
        <v>#N/A</v>
      </c>
      <c r="BU861" s="112"/>
      <c r="BV861">
        <f t="shared" ca="1" si="1717"/>
        <v>0</v>
      </c>
      <c r="BW861" s="112" t="str">
        <f t="shared" ca="1" si="1672"/>
        <v/>
      </c>
      <c r="BX861" s="112" t="e">
        <f t="shared" ref="BX861:BX863" ca="1" si="1787">INDIRECT(CONCATENATE(BS861,BQ861))-1</f>
        <v>#N/A</v>
      </c>
      <c r="BY861">
        <f t="shared" ca="1" si="1704"/>
        <v>0</v>
      </c>
      <c r="BZ861">
        <f t="shared" ca="1" si="1705"/>
        <v>24</v>
      </c>
      <c r="CB861" t="e">
        <f t="shared" ca="1" si="1677"/>
        <v>#N/A</v>
      </c>
      <c r="CC861" s="112" t="e">
        <f t="shared" ca="1" si="1678"/>
        <v>#N/A</v>
      </c>
      <c r="CD861" s="112" t="e">
        <f t="shared" ca="1" si="1679"/>
        <v>#N/A</v>
      </c>
      <c r="CE861">
        <f t="shared" ca="1" si="1680"/>
        <v>0</v>
      </c>
      <c r="CF861">
        <f t="shared" ca="1" si="1681"/>
        <v>24</v>
      </c>
      <c r="CH861" s="112" t="str">
        <f t="shared" ca="1" si="1749"/>
        <v/>
      </c>
      <c r="CI861" t="e">
        <f t="shared" ref="CI861" ca="1" si="1788">CB861+CB862+CB863+CB864+CB865</f>
        <v>#N/A</v>
      </c>
      <c r="CJ861">
        <v>0</v>
      </c>
      <c r="CK861" s="112" t="str">
        <f t="shared" ca="1" si="1753"/>
        <v/>
      </c>
      <c r="CM861" s="112"/>
      <c r="CN861" s="408" t="e">
        <f t="shared" ca="1" si="1696"/>
        <v>#N/A</v>
      </c>
      <c r="CO861" s="326" t="e">
        <f t="shared" ref="CO861" ca="1" si="1789">CD861</f>
        <v>#N/A</v>
      </c>
      <c r="CP861" s="333">
        <f t="shared" ca="1" si="1754"/>
        <v>0</v>
      </c>
      <c r="CQ861" s="327">
        <f t="shared" ca="1" si="1755"/>
        <v>24</v>
      </c>
      <c r="CS861" s="112">
        <f t="shared" ca="1" si="1676"/>
        <v>100000</v>
      </c>
      <c r="CT861" s="112" t="e">
        <f t="shared" ref="CT861" ca="1" si="1790">IF(AND( CN862=100000,CN863=100000,CN864=100000,CN865=100000),CO865,                             CO861)</f>
        <v>#N/A</v>
      </c>
      <c r="CU861" s="238">
        <f t="shared" ca="1" si="1683"/>
        <v>0</v>
      </c>
      <c r="CV861" s="238">
        <f t="shared" ca="1" si="1684"/>
        <v>24</v>
      </c>
      <c r="CY861">
        <f t="shared" si="1689"/>
        <v>291</v>
      </c>
      <c r="DA861" s="112">
        <f t="shared" ca="1" si="1690"/>
        <v>100000</v>
      </c>
      <c r="DE861" t="str">
        <f t="shared" si="1685"/>
        <v>cs:dc771</v>
      </c>
      <c r="DF861" t="e">
        <f t="shared" ca="1" si="1686"/>
        <v>#REF!</v>
      </c>
    </row>
    <row r="862" spans="47:110" x14ac:dyDescent="0.25">
      <c r="AU862" s="112"/>
      <c r="AV862" s="112"/>
      <c r="BQ862" s="238">
        <f t="shared" ref="BQ862:BQ865" si="1791">BQ861</f>
        <v>629</v>
      </c>
      <c r="BR862" t="s">
        <v>445</v>
      </c>
      <c r="BS862" t="s">
        <v>446</v>
      </c>
      <c r="BT862" s="114" t="e">
        <f t="shared" ca="1" si="1633"/>
        <v>#N/A</v>
      </c>
      <c r="BU862" s="112"/>
      <c r="BV862" t="e">
        <f t="shared" ca="1" si="1717"/>
        <v>#N/A</v>
      </c>
      <c r="BW862" s="112" t="e">
        <f t="shared" ca="1" si="1672"/>
        <v>#N/A</v>
      </c>
      <c r="BX862" s="112" t="e">
        <f t="shared" ca="1" si="1787"/>
        <v>#N/A</v>
      </c>
      <c r="BY862">
        <f t="shared" ca="1" si="1704"/>
        <v>0</v>
      </c>
      <c r="BZ862">
        <f t="shared" ca="1" si="1705"/>
        <v>24</v>
      </c>
      <c r="CB862" t="e">
        <f t="shared" ca="1" si="1677"/>
        <v>#N/A</v>
      </c>
      <c r="CC862" s="112" t="e">
        <f t="shared" ca="1" si="1678"/>
        <v>#N/A</v>
      </c>
      <c r="CD862" s="112" t="e">
        <f t="shared" ca="1" si="1679"/>
        <v>#N/A</v>
      </c>
      <c r="CE862">
        <f t="shared" ca="1" si="1680"/>
        <v>0</v>
      </c>
      <c r="CF862">
        <f t="shared" ca="1" si="1681"/>
        <v>24</v>
      </c>
      <c r="CH862" s="112" t="str">
        <f t="shared" ca="1" si="1749"/>
        <v/>
      </c>
      <c r="CI862" t="e">
        <f t="shared" ref="CI862:CI865" ca="1" si="1792">CI861</f>
        <v>#N/A</v>
      </c>
      <c r="CJ862" t="e">
        <f t="shared" ref="CJ862" ca="1" si="1793">IF(AND(CI862=0,CJ863=0,CJ864=0,CJ865=0,CC862&lt;100000),1,0)</f>
        <v>#N/A</v>
      </c>
      <c r="CK862" s="112" t="e">
        <f t="shared" ca="1" si="1753"/>
        <v>#N/A</v>
      </c>
      <c r="CM862" s="112"/>
      <c r="CN862" s="260" t="e">
        <f t="shared" ca="1" si="1696"/>
        <v>#N/A</v>
      </c>
      <c r="CO862" s="112" t="e">
        <f t="shared" ref="CO862:CO865" ca="1" si="1794">IF(CJ862=1,CH862,CD862)</f>
        <v>#N/A</v>
      </c>
      <c r="CP862" s="238">
        <f t="shared" ca="1" si="1754"/>
        <v>0</v>
      </c>
      <c r="CQ862" s="328">
        <f t="shared" ca="1" si="1755"/>
        <v>24</v>
      </c>
      <c r="CS862" s="112">
        <f t="shared" ca="1" si="1676"/>
        <v>100000</v>
      </c>
      <c r="CT862" s="112" t="e">
        <f t="shared" ca="1" si="1703"/>
        <v>#N/A</v>
      </c>
      <c r="CU862" s="238">
        <f t="shared" ca="1" si="1683"/>
        <v>0</v>
      </c>
      <c r="CV862" s="238">
        <f t="shared" ca="1" si="1684"/>
        <v>24</v>
      </c>
      <c r="CY862">
        <f t="shared" si="1689"/>
        <v>292</v>
      </c>
      <c r="DA862" s="112">
        <f t="shared" ca="1" si="1690"/>
        <v>100000</v>
      </c>
      <c r="DE862" t="str">
        <f t="shared" si="1685"/>
        <v>cs:dc771</v>
      </c>
      <c r="DF862" t="e">
        <f t="shared" ca="1" si="1686"/>
        <v>#REF!</v>
      </c>
    </row>
    <row r="863" spans="47:110" x14ac:dyDescent="0.25">
      <c r="AU863" s="112"/>
      <c r="AV863" s="112"/>
      <c r="BQ863" s="238">
        <f t="shared" si="1791"/>
        <v>629</v>
      </c>
      <c r="BR863" t="s">
        <v>446</v>
      </c>
      <c r="BS863" t="s">
        <v>447</v>
      </c>
      <c r="BT863" s="114" t="e">
        <f t="shared" ca="1" si="1633"/>
        <v>#N/A</v>
      </c>
      <c r="BU863" s="112"/>
      <c r="BV863" t="e">
        <f t="shared" ca="1" si="1717"/>
        <v>#N/A</v>
      </c>
      <c r="BW863" s="112" t="e">
        <f t="shared" ca="1" si="1672"/>
        <v>#N/A</v>
      </c>
      <c r="BX863" s="112" t="e">
        <f t="shared" ca="1" si="1787"/>
        <v>#N/A</v>
      </c>
      <c r="BY863">
        <f t="shared" ca="1" si="1704"/>
        <v>0</v>
      </c>
      <c r="BZ863">
        <f t="shared" ca="1" si="1705"/>
        <v>24</v>
      </c>
      <c r="CB863" t="e">
        <f t="shared" ca="1" si="1677"/>
        <v>#N/A</v>
      </c>
      <c r="CC863" s="112" t="e">
        <f t="shared" ca="1" si="1678"/>
        <v>#N/A</v>
      </c>
      <c r="CD863" s="112" t="e">
        <f t="shared" ca="1" si="1679"/>
        <v>#N/A</v>
      </c>
      <c r="CE863">
        <f t="shared" ca="1" si="1680"/>
        <v>0</v>
      </c>
      <c r="CF863">
        <f t="shared" ca="1" si="1681"/>
        <v>24</v>
      </c>
      <c r="CH863" s="112" t="str">
        <f t="shared" ca="1" si="1749"/>
        <v/>
      </c>
      <c r="CI863" t="e">
        <f t="shared" ca="1" si="1792"/>
        <v>#N/A</v>
      </c>
      <c r="CJ863" t="e">
        <f t="shared" ref="CJ863" ca="1" si="1795">IF(AND(CI863=0,CJ864=0,CJ865=0,CC863&lt;100000),1,0)</f>
        <v>#N/A</v>
      </c>
      <c r="CK863" s="112" t="e">
        <f t="shared" ca="1" si="1753"/>
        <v>#N/A</v>
      </c>
      <c r="CM863" s="112"/>
      <c r="CN863" s="260" t="e">
        <f t="shared" ca="1" si="1696"/>
        <v>#N/A</v>
      </c>
      <c r="CO863" s="112" t="e">
        <f t="shared" ca="1" si="1794"/>
        <v>#N/A</v>
      </c>
      <c r="CP863" s="238">
        <f t="shared" ca="1" si="1754"/>
        <v>0</v>
      </c>
      <c r="CQ863" s="328">
        <f t="shared" ca="1" si="1755"/>
        <v>24</v>
      </c>
      <c r="CS863" s="112">
        <f t="shared" ca="1" si="1676"/>
        <v>100000</v>
      </c>
      <c r="CT863" s="112" t="e">
        <f t="shared" ca="1" si="1703"/>
        <v>#N/A</v>
      </c>
      <c r="CU863" s="238">
        <f t="shared" ca="1" si="1683"/>
        <v>0</v>
      </c>
      <c r="CV863" s="238">
        <f t="shared" ca="1" si="1684"/>
        <v>24</v>
      </c>
      <c r="CY863">
        <f t="shared" si="1689"/>
        <v>293</v>
      </c>
      <c r="DA863" s="112">
        <f t="shared" ca="1" si="1690"/>
        <v>100000</v>
      </c>
      <c r="DE863" t="str">
        <f t="shared" si="1685"/>
        <v>cs:dc771</v>
      </c>
      <c r="DF863" t="e">
        <f t="shared" ca="1" si="1686"/>
        <v>#REF!</v>
      </c>
    </row>
    <row r="864" spans="47:110" x14ac:dyDescent="0.25">
      <c r="AU864" s="112"/>
      <c r="AV864" s="112"/>
      <c r="BQ864" s="238">
        <f t="shared" si="1791"/>
        <v>629</v>
      </c>
      <c r="BR864" t="s">
        <v>447</v>
      </c>
      <c r="BS864" t="s">
        <v>448</v>
      </c>
      <c r="BT864" s="114" t="e">
        <f t="shared" ca="1" si="1633"/>
        <v>#N/A</v>
      </c>
      <c r="BU864" s="112"/>
      <c r="BV864" t="e">
        <f t="shared" ca="1" si="1717"/>
        <v>#N/A</v>
      </c>
      <c r="BW864" s="112" t="e">
        <f t="shared" ca="1" si="1672"/>
        <v>#N/A</v>
      </c>
      <c r="BX864" s="112" t="e">
        <f t="shared" ref="BX864:BX865" ca="1" si="1796">INDIRECT(CONCATENATE(BS864,BQ864))</f>
        <v>#N/A</v>
      </c>
      <c r="BY864">
        <f t="shared" ca="1" si="1704"/>
        <v>0</v>
      </c>
      <c r="BZ864">
        <f t="shared" ca="1" si="1705"/>
        <v>24</v>
      </c>
      <c r="CB864" t="e">
        <f t="shared" ca="1" si="1677"/>
        <v>#N/A</v>
      </c>
      <c r="CC864" s="112" t="e">
        <f t="shared" ca="1" si="1678"/>
        <v>#N/A</v>
      </c>
      <c r="CD864" s="112" t="e">
        <f t="shared" ca="1" si="1679"/>
        <v>#N/A</v>
      </c>
      <c r="CE864">
        <f t="shared" ca="1" si="1680"/>
        <v>0</v>
      </c>
      <c r="CF864">
        <f t="shared" ca="1" si="1681"/>
        <v>24</v>
      </c>
      <c r="CH864" s="112" t="str">
        <f t="shared" ca="1" si="1749"/>
        <v/>
      </c>
      <c r="CI864" t="e">
        <f t="shared" ca="1" si="1792"/>
        <v>#N/A</v>
      </c>
      <c r="CJ864" t="e">
        <f t="shared" ref="CJ864" ca="1" si="1797">IF(AND(CI864=0,CJ865=0,CC864&lt;100000),1,0)</f>
        <v>#N/A</v>
      </c>
      <c r="CK864" s="112" t="e">
        <f t="shared" ca="1" si="1753"/>
        <v>#N/A</v>
      </c>
      <c r="CM864" s="112"/>
      <c r="CN864" s="260" t="e">
        <f t="shared" ca="1" si="1696"/>
        <v>#N/A</v>
      </c>
      <c r="CO864" s="112" t="e">
        <f t="shared" ca="1" si="1794"/>
        <v>#N/A</v>
      </c>
      <c r="CP864" s="238">
        <f t="shared" ca="1" si="1754"/>
        <v>0</v>
      </c>
      <c r="CQ864" s="328">
        <f t="shared" ca="1" si="1755"/>
        <v>24</v>
      </c>
      <c r="CS864" s="112">
        <f t="shared" ca="1" si="1676"/>
        <v>100000</v>
      </c>
      <c r="CT864" s="112" t="e">
        <f t="shared" ca="1" si="1703"/>
        <v>#N/A</v>
      </c>
      <c r="CU864" s="238">
        <f t="shared" ca="1" si="1683"/>
        <v>0</v>
      </c>
      <c r="CV864" s="238">
        <f t="shared" ca="1" si="1684"/>
        <v>24</v>
      </c>
      <c r="CY864">
        <f t="shared" si="1689"/>
        <v>294</v>
      </c>
      <c r="DA864" s="112">
        <f t="shared" ca="1" si="1690"/>
        <v>100000</v>
      </c>
      <c r="DE864" t="str">
        <f t="shared" si="1685"/>
        <v>cs:dc771</v>
      </c>
      <c r="DF864" t="e">
        <f t="shared" ca="1" si="1686"/>
        <v>#REF!</v>
      </c>
    </row>
    <row r="865" spans="47:110" ht="15.75" thickBot="1" x14ac:dyDescent="0.3">
      <c r="AU865" s="112"/>
      <c r="AV865" s="112"/>
      <c r="BQ865" s="238">
        <f t="shared" si="1791"/>
        <v>629</v>
      </c>
      <c r="BR865" t="s">
        <v>448</v>
      </c>
      <c r="BS865" t="s">
        <v>449</v>
      </c>
      <c r="BT865" s="114" t="e">
        <f t="shared" ca="1" si="1633"/>
        <v>#N/A</v>
      </c>
      <c r="BU865" s="112"/>
      <c r="BV865" t="e">
        <f t="shared" ca="1" si="1717"/>
        <v>#N/A</v>
      </c>
      <c r="BW865" s="112" t="e">
        <f t="shared" ca="1" si="1672"/>
        <v>#N/A</v>
      </c>
      <c r="BX865" s="112" t="str">
        <f t="shared" ca="1" si="1796"/>
        <v/>
      </c>
      <c r="BY865">
        <f t="shared" ca="1" si="1704"/>
        <v>0</v>
      </c>
      <c r="BZ865">
        <f t="shared" ca="1" si="1705"/>
        <v>24</v>
      </c>
      <c r="CB865" t="e">
        <f t="shared" ca="1" si="1677"/>
        <v>#N/A</v>
      </c>
      <c r="CC865" s="112" t="e">
        <f t="shared" ca="1" si="1678"/>
        <v>#N/A</v>
      </c>
      <c r="CD865" s="112" t="str">
        <f t="shared" ca="1" si="1679"/>
        <v/>
      </c>
      <c r="CE865">
        <f t="shared" ca="1" si="1680"/>
        <v>0</v>
      </c>
      <c r="CF865">
        <f t="shared" ca="1" si="1681"/>
        <v>24</v>
      </c>
      <c r="CH865" s="112" t="str">
        <f t="shared" ca="1" si="1749"/>
        <v/>
      </c>
      <c r="CI865" t="e">
        <f t="shared" ca="1" si="1792"/>
        <v>#N/A</v>
      </c>
      <c r="CJ865" t="e">
        <f t="shared" ref="CJ865" ca="1" si="1798">IF(AND(CI865=0,CC865&lt;100000),1,0)</f>
        <v>#N/A</v>
      </c>
      <c r="CK865" s="112" t="e">
        <f t="shared" ca="1" si="1753"/>
        <v>#N/A</v>
      </c>
      <c r="CM865" s="112"/>
      <c r="CN865" s="261" t="e">
        <f t="shared" ref="CN865" ca="1" si="1799">IF(AND(CN861=100000,CN862=100000,CN863=100000,CN864=100000),INDIRECT(CONCATENATE("aa",BQ865)),CC865)</f>
        <v>#N/A</v>
      </c>
      <c r="CO865" s="324" t="e">
        <f t="shared" ca="1" si="1794"/>
        <v>#N/A</v>
      </c>
      <c r="CP865" s="256">
        <f t="shared" ca="1" si="1754"/>
        <v>0</v>
      </c>
      <c r="CQ865" s="329">
        <f t="shared" ca="1" si="1755"/>
        <v>24</v>
      </c>
      <c r="CS865" s="112">
        <f t="shared" ca="1" si="1676"/>
        <v>100000</v>
      </c>
      <c r="CT865" s="112" t="e">
        <f t="shared" ca="1" si="1703"/>
        <v>#N/A</v>
      </c>
      <c r="CU865" s="238">
        <f t="shared" ca="1" si="1683"/>
        <v>0</v>
      </c>
      <c r="CV865" s="238">
        <f t="shared" ca="1" si="1684"/>
        <v>24</v>
      </c>
      <c r="CY865">
        <f t="shared" si="1689"/>
        <v>295</v>
      </c>
      <c r="DA865" s="112">
        <f t="shared" ca="1" si="1690"/>
        <v>100000</v>
      </c>
      <c r="DE865" t="str">
        <f t="shared" si="1685"/>
        <v>cs:dc771</v>
      </c>
      <c r="DF865" t="e">
        <f t="shared" ca="1" si="1686"/>
        <v>#REF!</v>
      </c>
    </row>
    <row r="866" spans="47:110" x14ac:dyDescent="0.25">
      <c r="AU866" s="112"/>
      <c r="AV866" s="112"/>
      <c r="BQ866" s="238">
        <f t="shared" ref="BQ866" si="1800">BQ865+1</f>
        <v>630</v>
      </c>
      <c r="BR866" s="112" t="s">
        <v>444</v>
      </c>
      <c r="BS866" s="112" t="s">
        <v>445</v>
      </c>
      <c r="BT866" s="114" t="e">
        <f t="shared" ca="1" si="1633"/>
        <v>#N/A</v>
      </c>
      <c r="BU866" s="112"/>
      <c r="BV866">
        <f t="shared" ca="1" si="1717"/>
        <v>0</v>
      </c>
      <c r="BW866" s="112" t="str">
        <f t="shared" ca="1" si="1672"/>
        <v/>
      </c>
      <c r="BX866" s="112" t="e">
        <f t="shared" ref="BX866:BX868" ca="1" si="1801">INDIRECT(CONCATENATE(BS866,BQ866))-1</f>
        <v>#N/A</v>
      </c>
      <c r="BY866">
        <f t="shared" ca="1" si="1704"/>
        <v>0</v>
      </c>
      <c r="BZ866">
        <f t="shared" ca="1" si="1705"/>
        <v>24</v>
      </c>
      <c r="CB866" t="e">
        <f t="shared" ca="1" si="1677"/>
        <v>#N/A</v>
      </c>
      <c r="CC866" s="112" t="e">
        <f t="shared" ca="1" si="1678"/>
        <v>#N/A</v>
      </c>
      <c r="CD866" s="112" t="e">
        <f t="shared" ca="1" si="1679"/>
        <v>#N/A</v>
      </c>
      <c r="CE866">
        <f t="shared" ca="1" si="1680"/>
        <v>0</v>
      </c>
      <c r="CF866">
        <f t="shared" ca="1" si="1681"/>
        <v>24</v>
      </c>
      <c r="CH866" s="112" t="str">
        <f t="shared" ca="1" si="1749"/>
        <v/>
      </c>
      <c r="CI866" t="e">
        <f t="shared" ref="CI866" ca="1" si="1802">CB866+CB867+CB868+CB869+CB870</f>
        <v>#N/A</v>
      </c>
      <c r="CJ866">
        <v>0</v>
      </c>
      <c r="CK866" s="112" t="str">
        <f t="shared" ca="1" si="1753"/>
        <v/>
      </c>
      <c r="CM866" s="112"/>
      <c r="CN866" s="408" t="e">
        <f t="shared" ca="1" si="1696"/>
        <v>#N/A</v>
      </c>
      <c r="CO866" s="326" t="e">
        <f t="shared" ref="CO866" ca="1" si="1803">CD866</f>
        <v>#N/A</v>
      </c>
      <c r="CP866" s="333">
        <f t="shared" ca="1" si="1754"/>
        <v>0</v>
      </c>
      <c r="CQ866" s="327">
        <f t="shared" ca="1" si="1755"/>
        <v>24</v>
      </c>
      <c r="CS866" s="112">
        <f t="shared" ca="1" si="1676"/>
        <v>100000</v>
      </c>
      <c r="CT866" s="112" t="e">
        <f t="shared" ref="CT866" ca="1" si="1804">IF(AND( CN867=100000,CN868=100000,CN869=100000,CN870=100000),CO870,                             CO866)</f>
        <v>#N/A</v>
      </c>
      <c r="CU866" s="238">
        <f t="shared" ca="1" si="1683"/>
        <v>0</v>
      </c>
      <c r="CV866" s="238">
        <f t="shared" ca="1" si="1684"/>
        <v>24</v>
      </c>
      <c r="CY866">
        <f t="shared" si="1689"/>
        <v>296</v>
      </c>
      <c r="DA866" s="112">
        <f t="shared" ca="1" si="1690"/>
        <v>100000</v>
      </c>
      <c r="DE866" t="str">
        <f t="shared" si="1685"/>
        <v>cs:dc771</v>
      </c>
      <c r="DF866" t="e">
        <f t="shared" ca="1" si="1686"/>
        <v>#REF!</v>
      </c>
    </row>
    <row r="867" spans="47:110" x14ac:dyDescent="0.25">
      <c r="AU867" s="112"/>
      <c r="AV867" s="112"/>
      <c r="BQ867" s="238">
        <f t="shared" ref="BQ867:BQ870" si="1805">BQ866</f>
        <v>630</v>
      </c>
      <c r="BR867" t="s">
        <v>445</v>
      </c>
      <c r="BS867" t="s">
        <v>446</v>
      </c>
      <c r="BT867" s="114" t="e">
        <f t="shared" ca="1" si="1633"/>
        <v>#N/A</v>
      </c>
      <c r="BU867" s="112"/>
      <c r="BV867" t="e">
        <f t="shared" ca="1" si="1717"/>
        <v>#N/A</v>
      </c>
      <c r="BW867" s="112" t="e">
        <f t="shared" ca="1" si="1672"/>
        <v>#N/A</v>
      </c>
      <c r="BX867" s="112" t="e">
        <f t="shared" ca="1" si="1801"/>
        <v>#N/A</v>
      </c>
      <c r="BY867">
        <f t="shared" ca="1" si="1704"/>
        <v>0</v>
      </c>
      <c r="BZ867">
        <f t="shared" ca="1" si="1705"/>
        <v>24</v>
      </c>
      <c r="CB867" t="e">
        <f t="shared" ca="1" si="1677"/>
        <v>#N/A</v>
      </c>
      <c r="CC867" s="112" t="e">
        <f t="shared" ca="1" si="1678"/>
        <v>#N/A</v>
      </c>
      <c r="CD867" s="112" t="e">
        <f t="shared" ca="1" si="1679"/>
        <v>#N/A</v>
      </c>
      <c r="CE867">
        <f t="shared" ca="1" si="1680"/>
        <v>0</v>
      </c>
      <c r="CF867">
        <f t="shared" ca="1" si="1681"/>
        <v>24</v>
      </c>
      <c r="CH867" s="112" t="str">
        <f t="shared" ca="1" si="1749"/>
        <v/>
      </c>
      <c r="CI867" t="e">
        <f t="shared" ref="CI867:CI870" ca="1" si="1806">CI866</f>
        <v>#N/A</v>
      </c>
      <c r="CJ867" t="e">
        <f t="shared" ref="CJ867" ca="1" si="1807">IF(AND(CI867=0,CJ868=0,CJ869=0,CJ870=0,CC867&lt;100000),1,0)</f>
        <v>#N/A</v>
      </c>
      <c r="CK867" s="112" t="e">
        <f t="shared" ca="1" si="1753"/>
        <v>#N/A</v>
      </c>
      <c r="CM867" s="112"/>
      <c r="CN867" s="260" t="e">
        <f t="shared" ca="1" si="1696"/>
        <v>#N/A</v>
      </c>
      <c r="CO867" s="112" t="e">
        <f t="shared" ref="CO867:CO870" ca="1" si="1808">IF(CJ867=1,CH867,CD867)</f>
        <v>#N/A</v>
      </c>
      <c r="CP867" s="238">
        <f t="shared" ca="1" si="1754"/>
        <v>0</v>
      </c>
      <c r="CQ867" s="328">
        <f t="shared" ca="1" si="1755"/>
        <v>24</v>
      </c>
      <c r="CS867" s="112">
        <f t="shared" ca="1" si="1676"/>
        <v>100000</v>
      </c>
      <c r="CT867" s="112" t="e">
        <f t="shared" ca="1" si="1703"/>
        <v>#N/A</v>
      </c>
      <c r="CU867" s="238">
        <f t="shared" ca="1" si="1683"/>
        <v>0</v>
      </c>
      <c r="CV867" s="238">
        <f t="shared" ca="1" si="1684"/>
        <v>24</v>
      </c>
      <c r="CY867">
        <f t="shared" si="1689"/>
        <v>297</v>
      </c>
      <c r="DA867" s="112">
        <f t="shared" ca="1" si="1690"/>
        <v>100000</v>
      </c>
      <c r="DE867" t="str">
        <f t="shared" si="1685"/>
        <v>cs:dc771</v>
      </c>
      <c r="DF867" t="e">
        <f t="shared" ca="1" si="1686"/>
        <v>#REF!</v>
      </c>
    </row>
    <row r="868" spans="47:110" x14ac:dyDescent="0.25">
      <c r="AU868" s="112"/>
      <c r="AV868" s="112"/>
      <c r="BQ868" s="238">
        <f t="shared" si="1805"/>
        <v>630</v>
      </c>
      <c r="BR868" t="s">
        <v>446</v>
      </c>
      <c r="BS868" t="s">
        <v>447</v>
      </c>
      <c r="BT868" s="114" t="e">
        <f t="shared" ca="1" si="1633"/>
        <v>#N/A</v>
      </c>
      <c r="BU868" s="112"/>
      <c r="BV868" t="e">
        <f t="shared" ca="1" si="1717"/>
        <v>#N/A</v>
      </c>
      <c r="BW868" s="112" t="e">
        <f t="shared" ca="1" si="1672"/>
        <v>#N/A</v>
      </c>
      <c r="BX868" s="112" t="e">
        <f t="shared" ca="1" si="1801"/>
        <v>#N/A</v>
      </c>
      <c r="BY868">
        <f t="shared" ca="1" si="1704"/>
        <v>0</v>
      </c>
      <c r="BZ868">
        <f t="shared" ca="1" si="1705"/>
        <v>24</v>
      </c>
      <c r="CB868" t="e">
        <f t="shared" ca="1" si="1677"/>
        <v>#N/A</v>
      </c>
      <c r="CC868" s="112" t="e">
        <f t="shared" ca="1" si="1678"/>
        <v>#N/A</v>
      </c>
      <c r="CD868" s="112" t="e">
        <f t="shared" ca="1" si="1679"/>
        <v>#N/A</v>
      </c>
      <c r="CE868">
        <f t="shared" ca="1" si="1680"/>
        <v>0</v>
      </c>
      <c r="CF868">
        <f t="shared" ca="1" si="1681"/>
        <v>24</v>
      </c>
      <c r="CH868" s="112" t="str">
        <f t="shared" ca="1" si="1749"/>
        <v/>
      </c>
      <c r="CI868" t="e">
        <f t="shared" ca="1" si="1806"/>
        <v>#N/A</v>
      </c>
      <c r="CJ868" t="e">
        <f t="shared" ref="CJ868" ca="1" si="1809">IF(AND(CI868=0,CJ869=0,CJ870=0,CC868&lt;100000),1,0)</f>
        <v>#N/A</v>
      </c>
      <c r="CK868" s="112" t="e">
        <f t="shared" ca="1" si="1753"/>
        <v>#N/A</v>
      </c>
      <c r="CM868" s="112"/>
      <c r="CN868" s="260" t="e">
        <f t="shared" ca="1" si="1696"/>
        <v>#N/A</v>
      </c>
      <c r="CO868" s="112" t="e">
        <f t="shared" ca="1" si="1808"/>
        <v>#N/A</v>
      </c>
      <c r="CP868" s="238">
        <f t="shared" ca="1" si="1754"/>
        <v>0</v>
      </c>
      <c r="CQ868" s="328">
        <f t="shared" ca="1" si="1755"/>
        <v>24</v>
      </c>
      <c r="CS868" s="112">
        <f t="shared" ca="1" si="1676"/>
        <v>100000</v>
      </c>
      <c r="CT868" s="112" t="e">
        <f t="shared" ca="1" si="1703"/>
        <v>#N/A</v>
      </c>
      <c r="CU868" s="238">
        <f t="shared" ca="1" si="1683"/>
        <v>0</v>
      </c>
      <c r="CV868" s="238">
        <f t="shared" ca="1" si="1684"/>
        <v>24</v>
      </c>
      <c r="CY868">
        <f t="shared" si="1689"/>
        <v>298</v>
      </c>
      <c r="DA868" s="112">
        <f t="shared" ca="1" si="1690"/>
        <v>100000</v>
      </c>
      <c r="DE868" t="str">
        <f t="shared" si="1685"/>
        <v>cs:dc771</v>
      </c>
      <c r="DF868" t="e">
        <f t="shared" ca="1" si="1686"/>
        <v>#REF!</v>
      </c>
    </row>
    <row r="869" spans="47:110" x14ac:dyDescent="0.25">
      <c r="AU869" s="112"/>
      <c r="AV869" s="112"/>
      <c r="BQ869" s="238">
        <f t="shared" si="1805"/>
        <v>630</v>
      </c>
      <c r="BR869" t="s">
        <v>447</v>
      </c>
      <c r="BS869" t="s">
        <v>448</v>
      </c>
      <c r="BT869" s="114" t="e">
        <f t="shared" ca="1" si="1633"/>
        <v>#N/A</v>
      </c>
      <c r="BU869" s="112"/>
      <c r="BV869" t="e">
        <f t="shared" ca="1" si="1717"/>
        <v>#N/A</v>
      </c>
      <c r="BW869" s="112" t="e">
        <f t="shared" ca="1" si="1672"/>
        <v>#N/A</v>
      </c>
      <c r="BX869" s="112" t="e">
        <f t="shared" ref="BX869:BX870" ca="1" si="1810">INDIRECT(CONCATENATE(BS869,BQ869))</f>
        <v>#N/A</v>
      </c>
      <c r="BY869">
        <f t="shared" ca="1" si="1704"/>
        <v>0</v>
      </c>
      <c r="BZ869">
        <f t="shared" ca="1" si="1705"/>
        <v>24</v>
      </c>
      <c r="CB869" t="e">
        <f t="shared" ca="1" si="1677"/>
        <v>#N/A</v>
      </c>
      <c r="CC869" s="112" t="e">
        <f t="shared" ca="1" si="1678"/>
        <v>#N/A</v>
      </c>
      <c r="CD869" s="112" t="e">
        <f t="shared" ca="1" si="1679"/>
        <v>#N/A</v>
      </c>
      <c r="CE869">
        <f t="shared" ca="1" si="1680"/>
        <v>0</v>
      </c>
      <c r="CF869">
        <f t="shared" ca="1" si="1681"/>
        <v>24</v>
      </c>
      <c r="CH869" s="112" t="str">
        <f t="shared" ca="1" si="1749"/>
        <v/>
      </c>
      <c r="CI869" t="e">
        <f t="shared" ca="1" si="1806"/>
        <v>#N/A</v>
      </c>
      <c r="CJ869" t="e">
        <f t="shared" ref="CJ869" ca="1" si="1811">IF(AND(CI869=0,CJ870=0,CC869&lt;100000),1,0)</f>
        <v>#N/A</v>
      </c>
      <c r="CK869" s="112" t="e">
        <f t="shared" ca="1" si="1753"/>
        <v>#N/A</v>
      </c>
      <c r="CM869" s="112"/>
      <c r="CN869" s="260" t="e">
        <f t="shared" ca="1" si="1696"/>
        <v>#N/A</v>
      </c>
      <c r="CO869" s="112" t="e">
        <f t="shared" ca="1" si="1808"/>
        <v>#N/A</v>
      </c>
      <c r="CP869" s="238">
        <f t="shared" ca="1" si="1754"/>
        <v>0</v>
      </c>
      <c r="CQ869" s="328">
        <f t="shared" ca="1" si="1755"/>
        <v>24</v>
      </c>
      <c r="CS869" s="112">
        <f t="shared" ca="1" si="1676"/>
        <v>100000</v>
      </c>
      <c r="CT869" s="112" t="e">
        <f t="shared" ca="1" si="1703"/>
        <v>#N/A</v>
      </c>
      <c r="CU869" s="238">
        <f t="shared" ca="1" si="1683"/>
        <v>0</v>
      </c>
      <c r="CV869" s="238">
        <f t="shared" ca="1" si="1684"/>
        <v>24</v>
      </c>
      <c r="CY869">
        <f t="shared" si="1689"/>
        <v>299</v>
      </c>
      <c r="DA869" s="112">
        <f t="shared" ca="1" si="1690"/>
        <v>100000</v>
      </c>
      <c r="DE869" t="str">
        <f t="shared" si="1685"/>
        <v>cs:dc771</v>
      </c>
      <c r="DF869" t="e">
        <f t="shared" ca="1" si="1686"/>
        <v>#REF!</v>
      </c>
    </row>
    <row r="870" spans="47:110" ht="15.75" thickBot="1" x14ac:dyDescent="0.3">
      <c r="AU870" s="112"/>
      <c r="AV870" s="112"/>
      <c r="BQ870" s="238">
        <f t="shared" si="1805"/>
        <v>630</v>
      </c>
      <c r="BR870" t="s">
        <v>448</v>
      </c>
      <c r="BS870" t="s">
        <v>449</v>
      </c>
      <c r="BT870" s="114" t="e">
        <f t="shared" ca="1" si="1633"/>
        <v>#N/A</v>
      </c>
      <c r="BU870" s="112"/>
      <c r="BV870" t="e">
        <f t="shared" ca="1" si="1717"/>
        <v>#N/A</v>
      </c>
      <c r="BW870" s="112" t="e">
        <f t="shared" ca="1" si="1672"/>
        <v>#N/A</v>
      </c>
      <c r="BX870" s="112" t="str">
        <f t="shared" ca="1" si="1810"/>
        <v/>
      </c>
      <c r="BY870">
        <f t="shared" ca="1" si="1704"/>
        <v>0</v>
      </c>
      <c r="BZ870">
        <f t="shared" ca="1" si="1705"/>
        <v>24</v>
      </c>
      <c r="CB870" t="e">
        <f t="shared" ca="1" si="1677"/>
        <v>#N/A</v>
      </c>
      <c r="CC870" s="112" t="e">
        <f t="shared" ca="1" si="1678"/>
        <v>#N/A</v>
      </c>
      <c r="CD870" s="112" t="str">
        <f t="shared" ca="1" si="1679"/>
        <v/>
      </c>
      <c r="CE870">
        <f t="shared" ca="1" si="1680"/>
        <v>0</v>
      </c>
      <c r="CF870">
        <f t="shared" ca="1" si="1681"/>
        <v>24</v>
      </c>
      <c r="CH870" s="112" t="str">
        <f t="shared" ca="1" si="1749"/>
        <v/>
      </c>
      <c r="CI870" t="e">
        <f t="shared" ca="1" si="1806"/>
        <v>#N/A</v>
      </c>
      <c r="CJ870" t="e">
        <f t="shared" ref="CJ870" ca="1" si="1812">IF(AND(CI870=0,CC870&lt;100000),1,0)</f>
        <v>#N/A</v>
      </c>
      <c r="CK870" s="112" t="e">
        <f t="shared" ca="1" si="1753"/>
        <v>#N/A</v>
      </c>
      <c r="CM870" s="112"/>
      <c r="CN870" s="261" t="e">
        <f t="shared" ref="CN870" ca="1" si="1813">IF(AND(CN866=100000,CN867=100000,CN868=100000,CN869=100000),INDIRECT(CONCATENATE("aa",BQ870)),CC870)</f>
        <v>#N/A</v>
      </c>
      <c r="CO870" s="324" t="e">
        <f t="shared" ca="1" si="1808"/>
        <v>#N/A</v>
      </c>
      <c r="CP870" s="256">
        <f t="shared" ca="1" si="1754"/>
        <v>0</v>
      </c>
      <c r="CQ870" s="329">
        <f t="shared" ca="1" si="1755"/>
        <v>24</v>
      </c>
      <c r="CS870" s="112">
        <f t="shared" ca="1" si="1676"/>
        <v>100000</v>
      </c>
      <c r="CT870" s="112" t="e">
        <f t="shared" ca="1" si="1703"/>
        <v>#N/A</v>
      </c>
      <c r="CU870" s="238">
        <f t="shared" ca="1" si="1683"/>
        <v>0</v>
      </c>
      <c r="CV870" s="238">
        <f t="shared" ca="1" si="1684"/>
        <v>24</v>
      </c>
      <c r="CY870">
        <f t="shared" si="1689"/>
        <v>300</v>
      </c>
      <c r="DA870" s="112">
        <f t="shared" ca="1" si="1690"/>
        <v>100000</v>
      </c>
      <c r="DE870" t="str">
        <f t="shared" si="1685"/>
        <v>cs:dc771</v>
      </c>
      <c r="DF870" t="e">
        <f t="shared" ca="1" si="1686"/>
        <v>#REF!</v>
      </c>
    </row>
    <row r="871" spans="47:110" x14ac:dyDescent="0.25">
      <c r="AU871" s="112"/>
      <c r="AV871" s="112"/>
      <c r="BQ871" s="238">
        <f t="shared" ref="BQ871" si="1814">BQ870+1</f>
        <v>631</v>
      </c>
      <c r="BR871" s="112" t="s">
        <v>444</v>
      </c>
      <c r="BS871" s="112" t="s">
        <v>445</v>
      </c>
      <c r="BT871" s="114" t="e">
        <f t="shared" ca="1" si="1633"/>
        <v>#N/A</v>
      </c>
      <c r="BU871" s="112"/>
      <c r="BV871">
        <f t="shared" ca="1" si="1717"/>
        <v>0</v>
      </c>
      <c r="BW871" s="112" t="str">
        <f t="shared" ca="1" si="1672"/>
        <v/>
      </c>
      <c r="BX871" s="112" t="e">
        <f t="shared" ref="BX871:BX873" ca="1" si="1815">INDIRECT(CONCATENATE(BS871,BQ871))-1</f>
        <v>#N/A</v>
      </c>
      <c r="BY871">
        <f t="shared" ca="1" si="1704"/>
        <v>0</v>
      </c>
      <c r="BZ871">
        <f t="shared" ca="1" si="1705"/>
        <v>24</v>
      </c>
      <c r="CB871" t="e">
        <f t="shared" ca="1" si="1677"/>
        <v>#N/A</v>
      </c>
      <c r="CC871" s="112" t="e">
        <f t="shared" ca="1" si="1678"/>
        <v>#N/A</v>
      </c>
      <c r="CD871" s="112" t="e">
        <f t="shared" ca="1" si="1679"/>
        <v>#N/A</v>
      </c>
      <c r="CE871">
        <f t="shared" ca="1" si="1680"/>
        <v>0</v>
      </c>
      <c r="CF871">
        <f t="shared" ca="1" si="1681"/>
        <v>24</v>
      </c>
      <c r="CH871" s="112" t="str">
        <f t="shared" ca="1" si="1749"/>
        <v/>
      </c>
      <c r="CI871" t="e">
        <f t="shared" ref="CI871" ca="1" si="1816">CB871+CB872+CB873+CB874+CB875</f>
        <v>#N/A</v>
      </c>
      <c r="CJ871">
        <v>0</v>
      </c>
      <c r="CK871" s="112" t="str">
        <f t="shared" ca="1" si="1753"/>
        <v/>
      </c>
      <c r="CM871" s="112"/>
      <c r="CN871" s="408" t="e">
        <f t="shared" ca="1" si="1696"/>
        <v>#N/A</v>
      </c>
      <c r="CO871" s="326" t="e">
        <f t="shared" ref="CO871" ca="1" si="1817">CD871</f>
        <v>#N/A</v>
      </c>
      <c r="CP871" s="333">
        <f t="shared" ca="1" si="1754"/>
        <v>0</v>
      </c>
      <c r="CQ871" s="327">
        <f t="shared" ca="1" si="1755"/>
        <v>24</v>
      </c>
      <c r="CS871" s="112">
        <f t="shared" ca="1" si="1676"/>
        <v>100000</v>
      </c>
      <c r="CT871" s="112" t="e">
        <f t="shared" ref="CT871" ca="1" si="1818">IF(AND( CN872=100000,CN873=100000,CN874=100000,CN875=100000),CO875,                             CO871)</f>
        <v>#N/A</v>
      </c>
      <c r="CU871" s="238">
        <f t="shared" ca="1" si="1683"/>
        <v>0</v>
      </c>
      <c r="CV871" s="238">
        <f t="shared" ca="1" si="1684"/>
        <v>24</v>
      </c>
      <c r="CY871">
        <f t="shared" si="1689"/>
        <v>301</v>
      </c>
      <c r="DA871" s="112">
        <f t="shared" ca="1" si="1690"/>
        <v>100000</v>
      </c>
      <c r="DE871" t="str">
        <f t="shared" si="1685"/>
        <v>cs:dc771</v>
      </c>
      <c r="DF871" t="e">
        <f t="shared" ca="1" si="1686"/>
        <v>#REF!</v>
      </c>
    </row>
    <row r="872" spans="47:110" x14ac:dyDescent="0.25">
      <c r="AU872" s="112"/>
      <c r="AV872" s="112"/>
      <c r="BQ872" s="238">
        <f t="shared" ref="BQ872:BQ875" si="1819">BQ871</f>
        <v>631</v>
      </c>
      <c r="BR872" t="s">
        <v>445</v>
      </c>
      <c r="BS872" t="s">
        <v>446</v>
      </c>
      <c r="BT872" s="114" t="e">
        <f t="shared" ca="1" si="1633"/>
        <v>#N/A</v>
      </c>
      <c r="BU872" s="112"/>
      <c r="BV872" t="e">
        <f t="shared" ca="1" si="1717"/>
        <v>#N/A</v>
      </c>
      <c r="BW872" s="112" t="e">
        <f t="shared" ca="1" si="1672"/>
        <v>#N/A</v>
      </c>
      <c r="BX872" s="112" t="e">
        <f t="shared" ca="1" si="1815"/>
        <v>#N/A</v>
      </c>
      <c r="BY872">
        <f t="shared" ca="1" si="1704"/>
        <v>0</v>
      </c>
      <c r="BZ872">
        <f t="shared" ca="1" si="1705"/>
        <v>24</v>
      </c>
      <c r="CB872" t="e">
        <f t="shared" ca="1" si="1677"/>
        <v>#N/A</v>
      </c>
      <c r="CC872" s="112" t="e">
        <f t="shared" ca="1" si="1678"/>
        <v>#N/A</v>
      </c>
      <c r="CD872" s="112" t="e">
        <f t="shared" ca="1" si="1679"/>
        <v>#N/A</v>
      </c>
      <c r="CE872">
        <f t="shared" ca="1" si="1680"/>
        <v>0</v>
      </c>
      <c r="CF872">
        <f t="shared" ca="1" si="1681"/>
        <v>24</v>
      </c>
      <c r="CH872" s="112" t="str">
        <f t="shared" ca="1" si="1749"/>
        <v/>
      </c>
      <c r="CI872" t="e">
        <f t="shared" ref="CI872:CI875" ca="1" si="1820">CI871</f>
        <v>#N/A</v>
      </c>
      <c r="CJ872" t="e">
        <f t="shared" ref="CJ872" ca="1" si="1821">IF(AND(CI872=0,CJ873=0,CJ874=0,CJ875=0,CC872&lt;100000),1,0)</f>
        <v>#N/A</v>
      </c>
      <c r="CK872" s="112" t="e">
        <f t="shared" ca="1" si="1753"/>
        <v>#N/A</v>
      </c>
      <c r="CM872" s="112"/>
      <c r="CN872" s="260" t="e">
        <f t="shared" ca="1" si="1696"/>
        <v>#N/A</v>
      </c>
      <c r="CO872" s="112" t="e">
        <f t="shared" ref="CO872:CO875" ca="1" si="1822">IF(CJ872=1,CH872,CD872)</f>
        <v>#N/A</v>
      </c>
      <c r="CP872" s="238">
        <f t="shared" ca="1" si="1754"/>
        <v>0</v>
      </c>
      <c r="CQ872" s="328">
        <f t="shared" ca="1" si="1755"/>
        <v>24</v>
      </c>
      <c r="CS872" s="112">
        <f t="shared" ca="1" si="1676"/>
        <v>100000</v>
      </c>
      <c r="CT872" s="112" t="e">
        <f t="shared" ca="1" si="1703"/>
        <v>#N/A</v>
      </c>
      <c r="CU872" s="238">
        <f t="shared" ca="1" si="1683"/>
        <v>0</v>
      </c>
      <c r="CV872" s="238">
        <f t="shared" ca="1" si="1684"/>
        <v>24</v>
      </c>
      <c r="CY872">
        <f t="shared" si="1689"/>
        <v>302</v>
      </c>
      <c r="DA872" s="112">
        <f t="shared" ca="1" si="1690"/>
        <v>100000</v>
      </c>
      <c r="DE872" t="str">
        <f t="shared" si="1685"/>
        <v>cs:dc771</v>
      </c>
      <c r="DF872" t="e">
        <f t="shared" ca="1" si="1686"/>
        <v>#REF!</v>
      </c>
    </row>
    <row r="873" spans="47:110" x14ac:dyDescent="0.25">
      <c r="AU873" s="112"/>
      <c r="AV873" s="112"/>
      <c r="BQ873" s="238">
        <f t="shared" si="1819"/>
        <v>631</v>
      </c>
      <c r="BR873" t="s">
        <v>446</v>
      </c>
      <c r="BS873" t="s">
        <v>447</v>
      </c>
      <c r="BT873" s="114" t="e">
        <f t="shared" ca="1" si="1633"/>
        <v>#N/A</v>
      </c>
      <c r="BU873" s="112"/>
      <c r="BV873" t="e">
        <f t="shared" ca="1" si="1717"/>
        <v>#N/A</v>
      </c>
      <c r="BW873" s="112" t="e">
        <f t="shared" ca="1" si="1672"/>
        <v>#N/A</v>
      </c>
      <c r="BX873" s="112" t="e">
        <f t="shared" ca="1" si="1815"/>
        <v>#N/A</v>
      </c>
      <c r="BY873">
        <f t="shared" ca="1" si="1704"/>
        <v>0</v>
      </c>
      <c r="BZ873">
        <f t="shared" ca="1" si="1705"/>
        <v>24</v>
      </c>
      <c r="CB873" t="e">
        <f t="shared" ca="1" si="1677"/>
        <v>#N/A</v>
      </c>
      <c r="CC873" s="112" t="e">
        <f t="shared" ca="1" si="1678"/>
        <v>#N/A</v>
      </c>
      <c r="CD873" s="112" t="e">
        <f t="shared" ca="1" si="1679"/>
        <v>#N/A</v>
      </c>
      <c r="CE873">
        <f t="shared" ca="1" si="1680"/>
        <v>0</v>
      </c>
      <c r="CF873">
        <f t="shared" ca="1" si="1681"/>
        <v>24</v>
      </c>
      <c r="CH873" s="112" t="str">
        <f t="shared" ca="1" si="1749"/>
        <v/>
      </c>
      <c r="CI873" t="e">
        <f t="shared" ca="1" si="1820"/>
        <v>#N/A</v>
      </c>
      <c r="CJ873" t="e">
        <f t="shared" ref="CJ873" ca="1" si="1823">IF(AND(CI873=0,CJ874=0,CJ875=0,CC873&lt;100000),1,0)</f>
        <v>#N/A</v>
      </c>
      <c r="CK873" s="112" t="e">
        <f t="shared" ca="1" si="1753"/>
        <v>#N/A</v>
      </c>
      <c r="CM873" s="112"/>
      <c r="CN873" s="260" t="e">
        <f t="shared" ca="1" si="1696"/>
        <v>#N/A</v>
      </c>
      <c r="CO873" s="112" t="e">
        <f t="shared" ca="1" si="1822"/>
        <v>#N/A</v>
      </c>
      <c r="CP873" s="238">
        <f t="shared" ca="1" si="1754"/>
        <v>0</v>
      </c>
      <c r="CQ873" s="328">
        <f t="shared" ca="1" si="1755"/>
        <v>24</v>
      </c>
      <c r="CS873" s="112">
        <f t="shared" ca="1" si="1676"/>
        <v>100000</v>
      </c>
      <c r="CT873" s="112" t="e">
        <f t="shared" ca="1" si="1703"/>
        <v>#N/A</v>
      </c>
      <c r="CU873" s="238">
        <f t="shared" ca="1" si="1683"/>
        <v>0</v>
      </c>
      <c r="CV873" s="238">
        <f t="shared" ca="1" si="1684"/>
        <v>24</v>
      </c>
      <c r="CY873">
        <f t="shared" si="1689"/>
        <v>303</v>
      </c>
      <c r="DA873" s="112">
        <f t="shared" ca="1" si="1690"/>
        <v>100000</v>
      </c>
      <c r="DE873" t="str">
        <f t="shared" si="1685"/>
        <v>cs:dc771</v>
      </c>
      <c r="DF873" t="e">
        <f t="shared" ca="1" si="1686"/>
        <v>#REF!</v>
      </c>
    </row>
    <row r="874" spans="47:110" x14ac:dyDescent="0.25">
      <c r="AU874" s="112"/>
      <c r="AV874" s="112"/>
      <c r="BQ874" s="238">
        <f t="shared" si="1819"/>
        <v>631</v>
      </c>
      <c r="BR874" t="s">
        <v>447</v>
      </c>
      <c r="BS874" t="s">
        <v>448</v>
      </c>
      <c r="BT874" s="114" t="e">
        <f t="shared" ca="1" si="1633"/>
        <v>#N/A</v>
      </c>
      <c r="BU874" s="112"/>
      <c r="BV874" t="e">
        <f t="shared" ca="1" si="1717"/>
        <v>#N/A</v>
      </c>
      <c r="BW874" s="112" t="e">
        <f t="shared" ca="1" si="1672"/>
        <v>#N/A</v>
      </c>
      <c r="BX874" s="112" t="e">
        <f t="shared" ref="BX874:BX875" ca="1" si="1824">INDIRECT(CONCATENATE(BS874,BQ874))</f>
        <v>#N/A</v>
      </c>
      <c r="BY874">
        <f t="shared" ca="1" si="1704"/>
        <v>0</v>
      </c>
      <c r="BZ874">
        <f t="shared" ca="1" si="1705"/>
        <v>24</v>
      </c>
      <c r="CB874" t="e">
        <f t="shared" ca="1" si="1677"/>
        <v>#N/A</v>
      </c>
      <c r="CC874" s="112" t="e">
        <f t="shared" ca="1" si="1678"/>
        <v>#N/A</v>
      </c>
      <c r="CD874" s="112" t="e">
        <f t="shared" ca="1" si="1679"/>
        <v>#N/A</v>
      </c>
      <c r="CE874">
        <f t="shared" ca="1" si="1680"/>
        <v>0</v>
      </c>
      <c r="CF874">
        <f t="shared" ca="1" si="1681"/>
        <v>24</v>
      </c>
      <c r="CH874" s="112" t="str">
        <f t="shared" ca="1" si="1749"/>
        <v/>
      </c>
      <c r="CI874" t="e">
        <f t="shared" ca="1" si="1820"/>
        <v>#N/A</v>
      </c>
      <c r="CJ874" t="e">
        <f t="shared" ref="CJ874" ca="1" si="1825">IF(AND(CI874=0,CJ875=0,CC874&lt;100000),1,0)</f>
        <v>#N/A</v>
      </c>
      <c r="CK874" s="112" t="e">
        <f t="shared" ca="1" si="1753"/>
        <v>#N/A</v>
      </c>
      <c r="CM874" s="112"/>
      <c r="CN874" s="260" t="e">
        <f t="shared" ca="1" si="1696"/>
        <v>#N/A</v>
      </c>
      <c r="CO874" s="112" t="e">
        <f t="shared" ca="1" si="1822"/>
        <v>#N/A</v>
      </c>
      <c r="CP874" s="238">
        <f t="shared" ca="1" si="1754"/>
        <v>0</v>
      </c>
      <c r="CQ874" s="328">
        <f t="shared" ca="1" si="1755"/>
        <v>24</v>
      </c>
      <c r="CS874" s="112">
        <f t="shared" ca="1" si="1676"/>
        <v>100000</v>
      </c>
      <c r="CT874" s="112" t="e">
        <f t="shared" ca="1" si="1703"/>
        <v>#N/A</v>
      </c>
      <c r="CU874" s="238">
        <f t="shared" ca="1" si="1683"/>
        <v>0</v>
      </c>
      <c r="CV874" s="238">
        <f t="shared" ca="1" si="1684"/>
        <v>24</v>
      </c>
      <c r="CY874">
        <f t="shared" si="1689"/>
        <v>304</v>
      </c>
      <c r="DA874" s="112">
        <f t="shared" ca="1" si="1690"/>
        <v>100000</v>
      </c>
      <c r="DE874" t="str">
        <f t="shared" si="1685"/>
        <v>cs:dc771</v>
      </c>
      <c r="DF874" t="e">
        <f t="shared" ca="1" si="1686"/>
        <v>#REF!</v>
      </c>
    </row>
    <row r="875" spans="47:110" ht="15.75" thickBot="1" x14ac:dyDescent="0.3">
      <c r="AU875" s="112"/>
      <c r="AV875" s="112"/>
      <c r="BQ875" s="238">
        <f t="shared" si="1819"/>
        <v>631</v>
      </c>
      <c r="BR875" t="s">
        <v>448</v>
      </c>
      <c r="BS875" t="s">
        <v>449</v>
      </c>
      <c r="BT875" s="114" t="e">
        <f t="shared" ca="1" si="1633"/>
        <v>#N/A</v>
      </c>
      <c r="BU875" s="112"/>
      <c r="BV875" t="e">
        <f t="shared" ca="1" si="1717"/>
        <v>#N/A</v>
      </c>
      <c r="BW875" s="112" t="e">
        <f t="shared" ca="1" si="1672"/>
        <v>#N/A</v>
      </c>
      <c r="BX875" s="112" t="str">
        <f t="shared" ca="1" si="1824"/>
        <v/>
      </c>
      <c r="BY875">
        <f t="shared" ca="1" si="1704"/>
        <v>0</v>
      </c>
      <c r="BZ875">
        <f t="shared" ca="1" si="1705"/>
        <v>24</v>
      </c>
      <c r="CB875" t="e">
        <f t="shared" ca="1" si="1677"/>
        <v>#N/A</v>
      </c>
      <c r="CC875" s="112" t="e">
        <f t="shared" ca="1" si="1678"/>
        <v>#N/A</v>
      </c>
      <c r="CD875" s="112" t="str">
        <f t="shared" ca="1" si="1679"/>
        <v/>
      </c>
      <c r="CE875">
        <f t="shared" ca="1" si="1680"/>
        <v>0</v>
      </c>
      <c r="CF875">
        <f t="shared" ca="1" si="1681"/>
        <v>24</v>
      </c>
      <c r="CH875" s="112" t="str">
        <f t="shared" ca="1" si="1749"/>
        <v/>
      </c>
      <c r="CI875" t="e">
        <f t="shared" ca="1" si="1820"/>
        <v>#N/A</v>
      </c>
      <c r="CJ875" t="e">
        <f t="shared" ref="CJ875" ca="1" si="1826">IF(AND(CI875=0,CC875&lt;100000),1,0)</f>
        <v>#N/A</v>
      </c>
      <c r="CK875" s="112" t="e">
        <f t="shared" ca="1" si="1753"/>
        <v>#N/A</v>
      </c>
      <c r="CM875" s="112"/>
      <c r="CN875" s="261" t="e">
        <f t="shared" ref="CN875" ca="1" si="1827">IF(AND(CN871=100000,CN872=100000,CN873=100000,CN874=100000),INDIRECT(CONCATENATE("aa",BQ875)),CC875)</f>
        <v>#N/A</v>
      </c>
      <c r="CO875" s="324" t="e">
        <f t="shared" ca="1" si="1822"/>
        <v>#N/A</v>
      </c>
      <c r="CP875" s="256">
        <f t="shared" ca="1" si="1754"/>
        <v>0</v>
      </c>
      <c r="CQ875" s="329">
        <f t="shared" ca="1" si="1755"/>
        <v>24</v>
      </c>
      <c r="CS875" s="112">
        <f t="shared" ca="1" si="1676"/>
        <v>100000</v>
      </c>
      <c r="CT875" s="112" t="e">
        <f t="shared" ca="1" si="1703"/>
        <v>#N/A</v>
      </c>
      <c r="CU875" s="238">
        <f t="shared" ca="1" si="1683"/>
        <v>0</v>
      </c>
      <c r="CV875" s="238">
        <f t="shared" ca="1" si="1684"/>
        <v>24</v>
      </c>
      <c r="CY875">
        <f t="shared" si="1689"/>
        <v>305</v>
      </c>
      <c r="DA875" s="112">
        <f t="shared" ca="1" si="1690"/>
        <v>100000</v>
      </c>
      <c r="DE875" t="str">
        <f t="shared" si="1685"/>
        <v>cs:dc771</v>
      </c>
      <c r="DF875" t="e">
        <f t="shared" ca="1" si="1686"/>
        <v>#REF!</v>
      </c>
    </row>
    <row r="876" spans="47:110" x14ac:dyDescent="0.25">
      <c r="AU876" s="112"/>
      <c r="AV876" s="112"/>
      <c r="BQ876" s="238">
        <f t="shared" ref="BQ876" si="1828">BQ875+1</f>
        <v>632</v>
      </c>
      <c r="BR876" s="112" t="s">
        <v>444</v>
      </c>
      <c r="BS876" s="112" t="s">
        <v>445</v>
      </c>
      <c r="BT876" s="114" t="e">
        <f t="shared" ca="1" si="1633"/>
        <v>#N/A</v>
      </c>
      <c r="BU876" s="112"/>
      <c r="BV876">
        <f t="shared" ca="1" si="1717"/>
        <v>0</v>
      </c>
      <c r="BW876" s="112" t="str">
        <f t="shared" ca="1" si="1672"/>
        <v/>
      </c>
      <c r="BX876" s="112" t="e">
        <f t="shared" ref="BX876:BX878" ca="1" si="1829">INDIRECT(CONCATENATE(BS876,BQ876))-1</f>
        <v>#N/A</v>
      </c>
      <c r="BY876">
        <f t="shared" ca="1" si="1704"/>
        <v>0</v>
      </c>
      <c r="BZ876">
        <f t="shared" ca="1" si="1705"/>
        <v>24</v>
      </c>
      <c r="CB876" t="e">
        <f t="shared" ca="1" si="1677"/>
        <v>#N/A</v>
      </c>
      <c r="CC876" s="112" t="e">
        <f t="shared" ca="1" si="1678"/>
        <v>#N/A</v>
      </c>
      <c r="CD876" s="112" t="e">
        <f t="shared" ca="1" si="1679"/>
        <v>#N/A</v>
      </c>
      <c r="CE876">
        <f t="shared" ca="1" si="1680"/>
        <v>0</v>
      </c>
      <c r="CF876">
        <f t="shared" ca="1" si="1681"/>
        <v>24</v>
      </c>
      <c r="CH876" s="112" t="str">
        <f t="shared" ca="1" si="1749"/>
        <v/>
      </c>
      <c r="CI876" t="e">
        <f t="shared" ref="CI876" ca="1" si="1830">CB876+CB877+CB878+CB879+CB880</f>
        <v>#N/A</v>
      </c>
      <c r="CJ876">
        <v>0</v>
      </c>
      <c r="CK876" s="112" t="str">
        <f t="shared" ca="1" si="1753"/>
        <v/>
      </c>
      <c r="CM876" s="112"/>
      <c r="CN876" s="408" t="e">
        <f t="shared" ca="1" si="1696"/>
        <v>#N/A</v>
      </c>
      <c r="CO876" s="326" t="e">
        <f t="shared" ref="CO876" ca="1" si="1831">CD876</f>
        <v>#N/A</v>
      </c>
      <c r="CP876" s="333">
        <f t="shared" ca="1" si="1754"/>
        <v>0</v>
      </c>
      <c r="CQ876" s="327">
        <f t="shared" ca="1" si="1755"/>
        <v>24</v>
      </c>
      <c r="CS876" s="112">
        <f t="shared" ca="1" si="1676"/>
        <v>100000</v>
      </c>
      <c r="CT876" s="112" t="e">
        <f t="shared" ref="CT876" ca="1" si="1832">IF(AND( CN877=100000,CN878=100000,CN879=100000,CN880=100000),CO880,                             CO876)</f>
        <v>#N/A</v>
      </c>
      <c r="CU876" s="238">
        <f t="shared" ca="1" si="1683"/>
        <v>0</v>
      </c>
      <c r="CV876" s="238">
        <f t="shared" ca="1" si="1684"/>
        <v>24</v>
      </c>
      <c r="CY876">
        <f t="shared" si="1689"/>
        <v>306</v>
      </c>
      <c r="DA876" s="112">
        <f t="shared" ca="1" si="1690"/>
        <v>100000</v>
      </c>
      <c r="DE876" t="str">
        <f t="shared" si="1685"/>
        <v>cs:dc771</v>
      </c>
      <c r="DF876" t="e">
        <f t="shared" ca="1" si="1686"/>
        <v>#REF!</v>
      </c>
    </row>
    <row r="877" spans="47:110" x14ac:dyDescent="0.25">
      <c r="AU877" s="112"/>
      <c r="AV877" s="112"/>
      <c r="BQ877" s="238">
        <f t="shared" ref="BQ877:BQ880" si="1833">BQ876</f>
        <v>632</v>
      </c>
      <c r="BR877" t="s">
        <v>445</v>
      </c>
      <c r="BS877" t="s">
        <v>446</v>
      </c>
      <c r="BT877" s="114" t="e">
        <f t="shared" ca="1" si="1633"/>
        <v>#N/A</v>
      </c>
      <c r="BU877" s="112"/>
      <c r="BV877" t="e">
        <f t="shared" ca="1" si="1717"/>
        <v>#N/A</v>
      </c>
      <c r="BW877" s="112" t="e">
        <f t="shared" ca="1" si="1672"/>
        <v>#N/A</v>
      </c>
      <c r="BX877" s="112" t="e">
        <f t="shared" ca="1" si="1829"/>
        <v>#N/A</v>
      </c>
      <c r="BY877">
        <f t="shared" ca="1" si="1704"/>
        <v>0</v>
      </c>
      <c r="BZ877">
        <f t="shared" ca="1" si="1705"/>
        <v>24</v>
      </c>
      <c r="CB877" t="e">
        <f t="shared" ca="1" si="1677"/>
        <v>#N/A</v>
      </c>
      <c r="CC877" s="112" t="e">
        <f t="shared" ca="1" si="1678"/>
        <v>#N/A</v>
      </c>
      <c r="CD877" s="112" t="e">
        <f t="shared" ca="1" si="1679"/>
        <v>#N/A</v>
      </c>
      <c r="CE877">
        <f t="shared" ca="1" si="1680"/>
        <v>0</v>
      </c>
      <c r="CF877">
        <f t="shared" ca="1" si="1681"/>
        <v>24</v>
      </c>
      <c r="CH877" s="112" t="str">
        <f t="shared" ca="1" si="1749"/>
        <v/>
      </c>
      <c r="CI877" t="e">
        <f t="shared" ref="CI877:CI880" ca="1" si="1834">CI876</f>
        <v>#N/A</v>
      </c>
      <c r="CJ877" t="e">
        <f t="shared" ref="CJ877" ca="1" si="1835">IF(AND(CI877=0,CJ878=0,CJ879=0,CJ880=0,CC877&lt;100000),1,0)</f>
        <v>#N/A</v>
      </c>
      <c r="CK877" s="112" t="e">
        <f t="shared" ca="1" si="1753"/>
        <v>#N/A</v>
      </c>
      <c r="CM877" s="112"/>
      <c r="CN877" s="260" t="e">
        <f t="shared" ca="1" si="1696"/>
        <v>#N/A</v>
      </c>
      <c r="CO877" s="112" t="e">
        <f t="shared" ref="CO877:CO880" ca="1" si="1836">IF(CJ877=1,CH877,CD877)</f>
        <v>#N/A</v>
      </c>
      <c r="CP877" s="238">
        <f t="shared" ca="1" si="1754"/>
        <v>0</v>
      </c>
      <c r="CQ877" s="328">
        <f t="shared" ca="1" si="1755"/>
        <v>24</v>
      </c>
      <c r="CS877" s="112">
        <f t="shared" ca="1" si="1676"/>
        <v>100000</v>
      </c>
      <c r="CT877" s="112" t="e">
        <f t="shared" ca="1" si="1703"/>
        <v>#N/A</v>
      </c>
      <c r="CU877" s="238">
        <f t="shared" ca="1" si="1683"/>
        <v>0</v>
      </c>
      <c r="CV877" s="238">
        <f t="shared" ca="1" si="1684"/>
        <v>24</v>
      </c>
      <c r="CY877">
        <f t="shared" si="1689"/>
        <v>307</v>
      </c>
      <c r="DA877" s="112">
        <f t="shared" ca="1" si="1690"/>
        <v>100000</v>
      </c>
      <c r="DE877" t="str">
        <f t="shared" si="1685"/>
        <v>cs:dc771</v>
      </c>
      <c r="DF877" t="e">
        <f t="shared" ca="1" si="1686"/>
        <v>#REF!</v>
      </c>
    </row>
    <row r="878" spans="47:110" x14ac:dyDescent="0.25">
      <c r="AU878" s="112"/>
      <c r="AV878" s="112"/>
      <c r="BQ878" s="238">
        <f t="shared" si="1833"/>
        <v>632</v>
      </c>
      <c r="BR878" t="s">
        <v>446</v>
      </c>
      <c r="BS878" t="s">
        <v>447</v>
      </c>
      <c r="BT878" s="114" t="e">
        <f t="shared" ref="BT878:BT941" ca="1" si="1837">INDIRECT(CONCATENATE("bp",BQ878))</f>
        <v>#N/A</v>
      </c>
      <c r="BU878" s="112"/>
      <c r="BV878" t="e">
        <f t="shared" ca="1" si="1717"/>
        <v>#N/A</v>
      </c>
      <c r="BW878" s="112" t="e">
        <f t="shared" ca="1" si="1672"/>
        <v>#N/A</v>
      </c>
      <c r="BX878" s="112" t="e">
        <f t="shared" ca="1" si="1829"/>
        <v>#N/A</v>
      </c>
      <c r="BY878">
        <f t="shared" ca="1" si="1704"/>
        <v>0</v>
      </c>
      <c r="BZ878">
        <f t="shared" ca="1" si="1705"/>
        <v>24</v>
      </c>
      <c r="CB878" t="e">
        <f t="shared" ca="1" si="1677"/>
        <v>#N/A</v>
      </c>
      <c r="CC878" s="112" t="e">
        <f t="shared" ca="1" si="1678"/>
        <v>#N/A</v>
      </c>
      <c r="CD878" s="112" t="e">
        <f t="shared" ca="1" si="1679"/>
        <v>#N/A</v>
      </c>
      <c r="CE878">
        <f t="shared" ca="1" si="1680"/>
        <v>0</v>
      </c>
      <c r="CF878">
        <f t="shared" ca="1" si="1681"/>
        <v>24</v>
      </c>
      <c r="CH878" s="112" t="str">
        <f t="shared" ca="1" si="1749"/>
        <v/>
      </c>
      <c r="CI878" t="e">
        <f t="shared" ca="1" si="1834"/>
        <v>#N/A</v>
      </c>
      <c r="CJ878" t="e">
        <f t="shared" ref="CJ878" ca="1" si="1838">IF(AND(CI878=0,CJ879=0,CJ880=0,CC878&lt;100000),1,0)</f>
        <v>#N/A</v>
      </c>
      <c r="CK878" s="112" t="e">
        <f t="shared" ca="1" si="1753"/>
        <v>#N/A</v>
      </c>
      <c r="CM878" s="112"/>
      <c r="CN878" s="260" t="e">
        <f t="shared" ca="1" si="1696"/>
        <v>#N/A</v>
      </c>
      <c r="CO878" s="112" t="e">
        <f t="shared" ca="1" si="1836"/>
        <v>#N/A</v>
      </c>
      <c r="CP878" s="238">
        <f t="shared" ca="1" si="1754"/>
        <v>0</v>
      </c>
      <c r="CQ878" s="328">
        <f t="shared" ca="1" si="1755"/>
        <v>24</v>
      </c>
      <c r="CS878" s="112">
        <f t="shared" ca="1" si="1676"/>
        <v>100000</v>
      </c>
      <c r="CT878" s="112" t="e">
        <f t="shared" ca="1" si="1703"/>
        <v>#N/A</v>
      </c>
      <c r="CU878" s="238">
        <f t="shared" ca="1" si="1683"/>
        <v>0</v>
      </c>
      <c r="CV878" s="238">
        <f t="shared" ca="1" si="1684"/>
        <v>24</v>
      </c>
      <c r="CY878">
        <f t="shared" si="1689"/>
        <v>308</v>
      </c>
      <c r="DA878" s="112">
        <f t="shared" ca="1" si="1690"/>
        <v>100000</v>
      </c>
      <c r="DE878" t="str">
        <f t="shared" si="1685"/>
        <v>cs:dc771</v>
      </c>
      <c r="DF878" t="e">
        <f t="shared" ca="1" si="1686"/>
        <v>#REF!</v>
      </c>
    </row>
    <row r="879" spans="47:110" x14ac:dyDescent="0.25">
      <c r="AU879" s="112"/>
      <c r="AV879" s="112"/>
      <c r="BQ879" s="238">
        <f t="shared" si="1833"/>
        <v>632</v>
      </c>
      <c r="BR879" t="s">
        <v>447</v>
      </c>
      <c r="BS879" t="s">
        <v>448</v>
      </c>
      <c r="BT879" s="114" t="e">
        <f t="shared" ca="1" si="1837"/>
        <v>#N/A</v>
      </c>
      <c r="BU879" s="112"/>
      <c r="BV879" t="e">
        <f t="shared" ca="1" si="1717"/>
        <v>#N/A</v>
      </c>
      <c r="BW879" s="112" t="e">
        <f t="shared" ca="1" si="1672"/>
        <v>#N/A</v>
      </c>
      <c r="BX879" s="112" t="e">
        <f t="shared" ref="BX879:BX880" ca="1" si="1839">INDIRECT(CONCATENATE(BS879,BQ879))</f>
        <v>#N/A</v>
      </c>
      <c r="BY879">
        <f t="shared" ca="1" si="1704"/>
        <v>0</v>
      </c>
      <c r="BZ879">
        <f t="shared" ca="1" si="1705"/>
        <v>24</v>
      </c>
      <c r="CB879" t="e">
        <f t="shared" ca="1" si="1677"/>
        <v>#N/A</v>
      </c>
      <c r="CC879" s="112" t="e">
        <f t="shared" ca="1" si="1678"/>
        <v>#N/A</v>
      </c>
      <c r="CD879" s="112" t="e">
        <f t="shared" ca="1" si="1679"/>
        <v>#N/A</v>
      </c>
      <c r="CE879">
        <f t="shared" ca="1" si="1680"/>
        <v>0</v>
      </c>
      <c r="CF879">
        <f t="shared" ca="1" si="1681"/>
        <v>24</v>
      </c>
      <c r="CH879" s="112" t="str">
        <f t="shared" ca="1" si="1749"/>
        <v/>
      </c>
      <c r="CI879" t="e">
        <f t="shared" ca="1" si="1834"/>
        <v>#N/A</v>
      </c>
      <c r="CJ879" t="e">
        <f t="shared" ref="CJ879" ca="1" si="1840">IF(AND(CI879=0,CJ880=0,CC879&lt;100000),1,0)</f>
        <v>#N/A</v>
      </c>
      <c r="CK879" s="112" t="e">
        <f t="shared" ca="1" si="1753"/>
        <v>#N/A</v>
      </c>
      <c r="CM879" s="112"/>
      <c r="CN879" s="260" t="e">
        <f t="shared" ca="1" si="1696"/>
        <v>#N/A</v>
      </c>
      <c r="CO879" s="112" t="e">
        <f t="shared" ca="1" si="1836"/>
        <v>#N/A</v>
      </c>
      <c r="CP879" s="238">
        <f t="shared" ca="1" si="1754"/>
        <v>0</v>
      </c>
      <c r="CQ879" s="328">
        <f t="shared" ca="1" si="1755"/>
        <v>24</v>
      </c>
      <c r="CS879" s="112">
        <f t="shared" ca="1" si="1676"/>
        <v>100000</v>
      </c>
      <c r="CT879" s="112" t="e">
        <f t="shared" ca="1" si="1703"/>
        <v>#N/A</v>
      </c>
      <c r="CU879" s="238">
        <f t="shared" ca="1" si="1683"/>
        <v>0</v>
      </c>
      <c r="CV879" s="238">
        <f t="shared" ca="1" si="1684"/>
        <v>24</v>
      </c>
      <c r="CY879">
        <f t="shared" si="1689"/>
        <v>309</v>
      </c>
      <c r="DA879" s="112">
        <f t="shared" ca="1" si="1690"/>
        <v>100000</v>
      </c>
      <c r="DE879" t="str">
        <f t="shared" si="1685"/>
        <v>cs:dc771</v>
      </c>
      <c r="DF879" t="e">
        <f t="shared" ca="1" si="1686"/>
        <v>#REF!</v>
      </c>
    </row>
    <row r="880" spans="47:110" ht="15.75" thickBot="1" x14ac:dyDescent="0.3">
      <c r="AU880" s="112"/>
      <c r="AV880" s="112"/>
      <c r="BQ880" s="238">
        <f t="shared" si="1833"/>
        <v>632</v>
      </c>
      <c r="BR880" t="s">
        <v>448</v>
      </c>
      <c r="BS880" t="s">
        <v>449</v>
      </c>
      <c r="BT880" s="114" t="e">
        <f t="shared" ca="1" si="1837"/>
        <v>#N/A</v>
      </c>
      <c r="BU880" s="112"/>
      <c r="BV880" t="e">
        <f t="shared" ca="1" si="1717"/>
        <v>#N/A</v>
      </c>
      <c r="BW880" s="112" t="e">
        <f t="shared" ca="1" si="1672"/>
        <v>#N/A</v>
      </c>
      <c r="BX880" s="112" t="str">
        <f t="shared" ca="1" si="1839"/>
        <v/>
      </c>
      <c r="BY880">
        <f t="shared" ca="1" si="1704"/>
        <v>0</v>
      </c>
      <c r="BZ880">
        <f t="shared" ca="1" si="1705"/>
        <v>24</v>
      </c>
      <c r="CB880" t="e">
        <f t="shared" ca="1" si="1677"/>
        <v>#N/A</v>
      </c>
      <c r="CC880" s="112" t="e">
        <f t="shared" ca="1" si="1678"/>
        <v>#N/A</v>
      </c>
      <c r="CD880" s="112" t="str">
        <f t="shared" ca="1" si="1679"/>
        <v/>
      </c>
      <c r="CE880">
        <f t="shared" ca="1" si="1680"/>
        <v>0</v>
      </c>
      <c r="CF880">
        <f t="shared" ca="1" si="1681"/>
        <v>24</v>
      </c>
      <c r="CH880" s="112" t="str">
        <f t="shared" ca="1" si="1749"/>
        <v/>
      </c>
      <c r="CI880" t="e">
        <f t="shared" ca="1" si="1834"/>
        <v>#N/A</v>
      </c>
      <c r="CJ880" t="e">
        <f t="shared" ref="CJ880" ca="1" si="1841">IF(AND(CI880=0,CC880&lt;100000),1,0)</f>
        <v>#N/A</v>
      </c>
      <c r="CK880" s="112" t="e">
        <f t="shared" ca="1" si="1753"/>
        <v>#N/A</v>
      </c>
      <c r="CM880" s="112"/>
      <c r="CN880" s="261" t="e">
        <f t="shared" ref="CN880" ca="1" si="1842">IF(AND(CN876=100000,CN877=100000,CN878=100000,CN879=100000),INDIRECT(CONCATENATE("aa",BQ880)),CC880)</f>
        <v>#N/A</v>
      </c>
      <c r="CO880" s="324" t="e">
        <f t="shared" ca="1" si="1836"/>
        <v>#N/A</v>
      </c>
      <c r="CP880" s="256">
        <f t="shared" ca="1" si="1754"/>
        <v>0</v>
      </c>
      <c r="CQ880" s="329">
        <f t="shared" ca="1" si="1755"/>
        <v>24</v>
      </c>
      <c r="CS880" s="112">
        <f t="shared" ca="1" si="1676"/>
        <v>100000</v>
      </c>
      <c r="CT880" s="112" t="e">
        <f t="shared" ca="1" si="1703"/>
        <v>#N/A</v>
      </c>
      <c r="CU880" s="238">
        <f t="shared" ca="1" si="1683"/>
        <v>0</v>
      </c>
      <c r="CV880" s="238">
        <f t="shared" ca="1" si="1684"/>
        <v>24</v>
      </c>
      <c r="CY880">
        <f t="shared" si="1689"/>
        <v>310</v>
      </c>
      <c r="DA880" s="112">
        <f t="shared" ca="1" si="1690"/>
        <v>100000</v>
      </c>
      <c r="DE880" t="str">
        <f t="shared" si="1685"/>
        <v>cs:dc771</v>
      </c>
      <c r="DF880" t="e">
        <f t="shared" ca="1" si="1686"/>
        <v>#REF!</v>
      </c>
    </row>
    <row r="881" spans="47:110" x14ac:dyDescent="0.25">
      <c r="AU881" s="112"/>
      <c r="AV881" s="112"/>
      <c r="BQ881" s="238">
        <f t="shared" ref="BQ881" si="1843">BQ880+1</f>
        <v>633</v>
      </c>
      <c r="BR881" s="112" t="s">
        <v>444</v>
      </c>
      <c r="BS881" s="112" t="s">
        <v>445</v>
      </c>
      <c r="BT881" s="114" t="e">
        <f t="shared" ca="1" si="1837"/>
        <v>#N/A</v>
      </c>
      <c r="BU881" s="112"/>
      <c r="BV881">
        <f t="shared" ca="1" si="1717"/>
        <v>0</v>
      </c>
      <c r="BW881" s="112" t="str">
        <f t="shared" ca="1" si="1672"/>
        <v/>
      </c>
      <c r="BX881" s="112" t="e">
        <f t="shared" ref="BX881:BX883" ca="1" si="1844">INDIRECT(CONCATENATE(BS881,BQ881))-1</f>
        <v>#N/A</v>
      </c>
      <c r="BY881">
        <f t="shared" ca="1" si="1704"/>
        <v>0</v>
      </c>
      <c r="BZ881">
        <f t="shared" ca="1" si="1705"/>
        <v>24</v>
      </c>
      <c r="CB881" t="e">
        <f t="shared" ca="1" si="1677"/>
        <v>#N/A</v>
      </c>
      <c r="CC881" s="112" t="e">
        <f t="shared" ca="1" si="1678"/>
        <v>#N/A</v>
      </c>
      <c r="CD881" s="112" t="e">
        <f t="shared" ca="1" si="1679"/>
        <v>#N/A</v>
      </c>
      <c r="CE881">
        <f t="shared" ca="1" si="1680"/>
        <v>0</v>
      </c>
      <c r="CF881">
        <f t="shared" ca="1" si="1681"/>
        <v>24</v>
      </c>
      <c r="CH881" s="112" t="str">
        <f t="shared" ca="1" si="1749"/>
        <v/>
      </c>
      <c r="CI881" t="e">
        <f t="shared" ref="CI881" ca="1" si="1845">CB881+CB882+CB883+CB884+CB885</f>
        <v>#N/A</v>
      </c>
      <c r="CJ881">
        <v>0</v>
      </c>
      <c r="CK881" s="112" t="str">
        <f t="shared" ca="1" si="1753"/>
        <v/>
      </c>
      <c r="CM881" s="112"/>
      <c r="CN881" s="408" t="e">
        <f t="shared" ca="1" si="1696"/>
        <v>#N/A</v>
      </c>
      <c r="CO881" s="326" t="e">
        <f t="shared" ref="CO881" ca="1" si="1846">CD881</f>
        <v>#N/A</v>
      </c>
      <c r="CP881" s="333">
        <f t="shared" ca="1" si="1754"/>
        <v>0</v>
      </c>
      <c r="CQ881" s="327">
        <f t="shared" ca="1" si="1755"/>
        <v>24</v>
      </c>
      <c r="CS881" s="112">
        <f t="shared" ca="1" si="1676"/>
        <v>100000</v>
      </c>
      <c r="CT881" s="112" t="e">
        <f t="shared" ref="CT881" ca="1" si="1847">IF(AND( CN882=100000,CN883=100000,CN884=100000,CN885=100000),CO885,                             CO881)</f>
        <v>#N/A</v>
      </c>
      <c r="CU881" s="238">
        <f t="shared" ca="1" si="1683"/>
        <v>0</v>
      </c>
      <c r="CV881" s="238">
        <f t="shared" ca="1" si="1684"/>
        <v>24</v>
      </c>
      <c r="CY881">
        <f t="shared" si="1689"/>
        <v>311</v>
      </c>
      <c r="DA881" s="112">
        <f t="shared" ca="1" si="1690"/>
        <v>100000</v>
      </c>
      <c r="DE881" t="str">
        <f t="shared" si="1685"/>
        <v>cs:dc771</v>
      </c>
      <c r="DF881" t="e">
        <f t="shared" ca="1" si="1686"/>
        <v>#REF!</v>
      </c>
    </row>
    <row r="882" spans="47:110" x14ac:dyDescent="0.25">
      <c r="AU882" s="112"/>
      <c r="AV882" s="112"/>
      <c r="BQ882" s="238">
        <f t="shared" ref="BQ882:BQ885" si="1848">BQ881</f>
        <v>633</v>
      </c>
      <c r="BR882" t="s">
        <v>445</v>
      </c>
      <c r="BS882" t="s">
        <v>446</v>
      </c>
      <c r="BT882" s="114" t="e">
        <f t="shared" ca="1" si="1837"/>
        <v>#N/A</v>
      </c>
      <c r="BU882" s="112"/>
      <c r="BV882" t="e">
        <f t="shared" ca="1" si="1717"/>
        <v>#N/A</v>
      </c>
      <c r="BW882" s="112" t="e">
        <f t="shared" ca="1" si="1672"/>
        <v>#N/A</v>
      </c>
      <c r="BX882" s="112" t="e">
        <f t="shared" ca="1" si="1844"/>
        <v>#N/A</v>
      </c>
      <c r="BY882">
        <f t="shared" ca="1" si="1704"/>
        <v>0</v>
      </c>
      <c r="BZ882">
        <f t="shared" ca="1" si="1705"/>
        <v>24</v>
      </c>
      <c r="CB882" t="e">
        <f t="shared" ca="1" si="1677"/>
        <v>#N/A</v>
      </c>
      <c r="CC882" s="112" t="e">
        <f t="shared" ca="1" si="1678"/>
        <v>#N/A</v>
      </c>
      <c r="CD882" s="112" t="e">
        <f t="shared" ca="1" si="1679"/>
        <v>#N/A</v>
      </c>
      <c r="CE882">
        <f t="shared" ca="1" si="1680"/>
        <v>0</v>
      </c>
      <c r="CF882">
        <f t="shared" ca="1" si="1681"/>
        <v>24</v>
      </c>
      <c r="CH882" s="112" t="str">
        <f t="shared" ca="1" si="1749"/>
        <v/>
      </c>
      <c r="CI882" t="e">
        <f t="shared" ref="CI882:CI885" ca="1" si="1849">CI881</f>
        <v>#N/A</v>
      </c>
      <c r="CJ882" t="e">
        <f t="shared" ref="CJ882" ca="1" si="1850">IF(AND(CI882=0,CJ883=0,CJ884=0,CJ885=0,CC882&lt;100000),1,0)</f>
        <v>#N/A</v>
      </c>
      <c r="CK882" s="112" t="e">
        <f t="shared" ca="1" si="1753"/>
        <v>#N/A</v>
      </c>
      <c r="CM882" s="112"/>
      <c r="CN882" s="260" t="e">
        <f t="shared" ca="1" si="1696"/>
        <v>#N/A</v>
      </c>
      <c r="CO882" s="112" t="e">
        <f t="shared" ref="CO882:CO885" ca="1" si="1851">IF(CJ882=1,CH882,CD882)</f>
        <v>#N/A</v>
      </c>
      <c r="CP882" s="238">
        <f t="shared" ca="1" si="1754"/>
        <v>0</v>
      </c>
      <c r="CQ882" s="328">
        <f t="shared" ca="1" si="1755"/>
        <v>24</v>
      </c>
      <c r="CS882" s="112">
        <f t="shared" ca="1" si="1676"/>
        <v>100000</v>
      </c>
      <c r="CT882" s="112" t="e">
        <f t="shared" ca="1" si="1703"/>
        <v>#N/A</v>
      </c>
      <c r="CU882" s="238">
        <f t="shared" ca="1" si="1683"/>
        <v>0</v>
      </c>
      <c r="CV882" s="238">
        <f t="shared" ca="1" si="1684"/>
        <v>24</v>
      </c>
      <c r="CY882">
        <f t="shared" si="1689"/>
        <v>312</v>
      </c>
      <c r="DA882" s="112">
        <f t="shared" ca="1" si="1690"/>
        <v>100000</v>
      </c>
      <c r="DE882" t="str">
        <f t="shared" si="1685"/>
        <v>cs:dc771</v>
      </c>
      <c r="DF882" t="e">
        <f t="shared" ca="1" si="1686"/>
        <v>#REF!</v>
      </c>
    </row>
    <row r="883" spans="47:110" x14ac:dyDescent="0.25">
      <c r="AU883" s="112"/>
      <c r="AV883" s="112"/>
      <c r="BQ883" s="238">
        <f t="shared" si="1848"/>
        <v>633</v>
      </c>
      <c r="BR883" t="s">
        <v>446</v>
      </c>
      <c r="BS883" t="s">
        <v>447</v>
      </c>
      <c r="BT883" s="114" t="e">
        <f t="shared" ca="1" si="1837"/>
        <v>#N/A</v>
      </c>
      <c r="BU883" s="112"/>
      <c r="BV883" t="e">
        <f t="shared" ca="1" si="1717"/>
        <v>#N/A</v>
      </c>
      <c r="BW883" s="112" t="e">
        <f t="shared" ca="1" si="1672"/>
        <v>#N/A</v>
      </c>
      <c r="BX883" s="112" t="e">
        <f t="shared" ca="1" si="1844"/>
        <v>#N/A</v>
      </c>
      <c r="BY883">
        <f t="shared" ca="1" si="1704"/>
        <v>0</v>
      </c>
      <c r="BZ883">
        <f t="shared" ca="1" si="1705"/>
        <v>24</v>
      </c>
      <c r="CB883" t="e">
        <f t="shared" ca="1" si="1677"/>
        <v>#N/A</v>
      </c>
      <c r="CC883" s="112" t="e">
        <f t="shared" ca="1" si="1678"/>
        <v>#N/A</v>
      </c>
      <c r="CD883" s="112" t="e">
        <f t="shared" ca="1" si="1679"/>
        <v>#N/A</v>
      </c>
      <c r="CE883">
        <f t="shared" ca="1" si="1680"/>
        <v>0</v>
      </c>
      <c r="CF883">
        <f t="shared" ca="1" si="1681"/>
        <v>24</v>
      </c>
      <c r="CH883" s="112" t="str">
        <f t="shared" ca="1" si="1749"/>
        <v/>
      </c>
      <c r="CI883" t="e">
        <f t="shared" ca="1" si="1849"/>
        <v>#N/A</v>
      </c>
      <c r="CJ883" t="e">
        <f t="shared" ref="CJ883" ca="1" si="1852">IF(AND(CI883=0,CJ884=0,CJ885=0,CC883&lt;100000),1,0)</f>
        <v>#N/A</v>
      </c>
      <c r="CK883" s="112" t="e">
        <f t="shared" ca="1" si="1753"/>
        <v>#N/A</v>
      </c>
      <c r="CM883" s="112"/>
      <c r="CN883" s="260" t="e">
        <f t="shared" ca="1" si="1696"/>
        <v>#N/A</v>
      </c>
      <c r="CO883" s="112" t="e">
        <f t="shared" ca="1" si="1851"/>
        <v>#N/A</v>
      </c>
      <c r="CP883" s="238">
        <f t="shared" ca="1" si="1754"/>
        <v>0</v>
      </c>
      <c r="CQ883" s="328">
        <f t="shared" ca="1" si="1755"/>
        <v>24</v>
      </c>
      <c r="CS883" s="112">
        <f t="shared" ca="1" si="1676"/>
        <v>100000</v>
      </c>
      <c r="CT883" s="112" t="e">
        <f t="shared" ca="1" si="1703"/>
        <v>#N/A</v>
      </c>
      <c r="CU883" s="238">
        <f t="shared" ca="1" si="1683"/>
        <v>0</v>
      </c>
      <c r="CV883" s="238">
        <f t="shared" ca="1" si="1684"/>
        <v>24</v>
      </c>
      <c r="CY883">
        <f t="shared" si="1689"/>
        <v>313</v>
      </c>
      <c r="DA883" s="112">
        <f t="shared" ca="1" si="1690"/>
        <v>100000</v>
      </c>
      <c r="DE883" t="str">
        <f t="shared" si="1685"/>
        <v>cs:dc771</v>
      </c>
      <c r="DF883" t="e">
        <f t="shared" ca="1" si="1686"/>
        <v>#REF!</v>
      </c>
    </row>
    <row r="884" spans="47:110" x14ac:dyDescent="0.25">
      <c r="AU884" s="112"/>
      <c r="AV884" s="112"/>
      <c r="BQ884" s="238">
        <f t="shared" si="1848"/>
        <v>633</v>
      </c>
      <c r="BR884" t="s">
        <v>447</v>
      </c>
      <c r="BS884" t="s">
        <v>448</v>
      </c>
      <c r="BT884" s="114" t="e">
        <f t="shared" ca="1" si="1837"/>
        <v>#N/A</v>
      </c>
      <c r="BU884" s="112"/>
      <c r="BV884" t="e">
        <f t="shared" ca="1" si="1717"/>
        <v>#N/A</v>
      </c>
      <c r="BW884" s="112" t="e">
        <f t="shared" ca="1" si="1672"/>
        <v>#N/A</v>
      </c>
      <c r="BX884" s="112" t="e">
        <f t="shared" ref="BX884:BX885" ca="1" si="1853">INDIRECT(CONCATENATE(BS884,BQ884))</f>
        <v>#N/A</v>
      </c>
      <c r="BY884">
        <f t="shared" ca="1" si="1704"/>
        <v>0</v>
      </c>
      <c r="BZ884">
        <f t="shared" ca="1" si="1705"/>
        <v>24</v>
      </c>
      <c r="CB884" t="e">
        <f t="shared" ca="1" si="1677"/>
        <v>#N/A</v>
      </c>
      <c r="CC884" s="112" t="e">
        <f t="shared" ca="1" si="1678"/>
        <v>#N/A</v>
      </c>
      <c r="CD884" s="112" t="e">
        <f t="shared" ca="1" si="1679"/>
        <v>#N/A</v>
      </c>
      <c r="CE884">
        <f t="shared" ca="1" si="1680"/>
        <v>0</v>
      </c>
      <c r="CF884">
        <f t="shared" ca="1" si="1681"/>
        <v>24</v>
      </c>
      <c r="CH884" s="112" t="str">
        <f t="shared" ca="1" si="1749"/>
        <v/>
      </c>
      <c r="CI884" t="e">
        <f t="shared" ca="1" si="1849"/>
        <v>#N/A</v>
      </c>
      <c r="CJ884" t="e">
        <f t="shared" ref="CJ884" ca="1" si="1854">IF(AND(CI884=0,CJ885=0,CC884&lt;100000),1,0)</f>
        <v>#N/A</v>
      </c>
      <c r="CK884" s="112" t="e">
        <f t="shared" ca="1" si="1753"/>
        <v>#N/A</v>
      </c>
      <c r="CM884" s="112"/>
      <c r="CN884" s="260" t="e">
        <f t="shared" ca="1" si="1696"/>
        <v>#N/A</v>
      </c>
      <c r="CO884" s="112" t="e">
        <f t="shared" ca="1" si="1851"/>
        <v>#N/A</v>
      </c>
      <c r="CP884" s="238">
        <f t="shared" ca="1" si="1754"/>
        <v>0</v>
      </c>
      <c r="CQ884" s="328">
        <f t="shared" ca="1" si="1755"/>
        <v>24</v>
      </c>
      <c r="CS884" s="112">
        <f t="shared" ca="1" si="1676"/>
        <v>100000</v>
      </c>
      <c r="CT884" s="112" t="e">
        <f t="shared" ca="1" si="1703"/>
        <v>#N/A</v>
      </c>
      <c r="CU884" s="238">
        <f t="shared" ca="1" si="1683"/>
        <v>0</v>
      </c>
      <c r="CV884" s="238">
        <f t="shared" ca="1" si="1684"/>
        <v>24</v>
      </c>
      <c r="CY884">
        <f t="shared" si="1689"/>
        <v>314</v>
      </c>
      <c r="DA884" s="112">
        <f t="shared" ca="1" si="1690"/>
        <v>100000</v>
      </c>
      <c r="DE884" t="str">
        <f t="shared" si="1685"/>
        <v>cs:dc771</v>
      </c>
      <c r="DF884" t="e">
        <f t="shared" ca="1" si="1686"/>
        <v>#REF!</v>
      </c>
    </row>
    <row r="885" spans="47:110" ht="15.75" thickBot="1" x14ac:dyDescent="0.3">
      <c r="AU885" s="112"/>
      <c r="AV885" s="112"/>
      <c r="BQ885" s="238">
        <f t="shared" si="1848"/>
        <v>633</v>
      </c>
      <c r="BR885" t="s">
        <v>448</v>
      </c>
      <c r="BS885" t="s">
        <v>449</v>
      </c>
      <c r="BT885" s="114" t="e">
        <f t="shared" ca="1" si="1837"/>
        <v>#N/A</v>
      </c>
      <c r="BU885" s="112"/>
      <c r="BV885" t="e">
        <f t="shared" ca="1" si="1717"/>
        <v>#N/A</v>
      </c>
      <c r="BW885" s="112" t="e">
        <f t="shared" ca="1" si="1672"/>
        <v>#N/A</v>
      </c>
      <c r="BX885" s="112" t="str">
        <f t="shared" ca="1" si="1853"/>
        <v/>
      </c>
      <c r="BY885">
        <f t="shared" ca="1" si="1704"/>
        <v>0</v>
      </c>
      <c r="BZ885">
        <f t="shared" ca="1" si="1705"/>
        <v>24</v>
      </c>
      <c r="CB885" t="e">
        <f t="shared" ca="1" si="1677"/>
        <v>#N/A</v>
      </c>
      <c r="CC885" s="112" t="e">
        <f t="shared" ca="1" si="1678"/>
        <v>#N/A</v>
      </c>
      <c r="CD885" s="112" t="str">
        <f t="shared" ca="1" si="1679"/>
        <v/>
      </c>
      <c r="CE885">
        <f t="shared" ca="1" si="1680"/>
        <v>0</v>
      </c>
      <c r="CF885">
        <f t="shared" ca="1" si="1681"/>
        <v>24</v>
      </c>
      <c r="CH885" s="112" t="str">
        <f t="shared" ca="1" si="1749"/>
        <v/>
      </c>
      <c r="CI885" t="e">
        <f t="shared" ca="1" si="1849"/>
        <v>#N/A</v>
      </c>
      <c r="CJ885" t="e">
        <f t="shared" ref="CJ885" ca="1" si="1855">IF(AND(CI885=0,CC885&lt;100000),1,0)</f>
        <v>#N/A</v>
      </c>
      <c r="CK885" s="112" t="e">
        <f t="shared" ca="1" si="1753"/>
        <v>#N/A</v>
      </c>
      <c r="CM885" s="112"/>
      <c r="CN885" s="261" t="e">
        <f t="shared" ref="CN885" ca="1" si="1856">IF(AND(CN881=100000,CN882=100000,CN883=100000,CN884=100000),INDIRECT(CONCATENATE("aa",BQ885)),CC885)</f>
        <v>#N/A</v>
      </c>
      <c r="CO885" s="324" t="e">
        <f t="shared" ca="1" si="1851"/>
        <v>#N/A</v>
      </c>
      <c r="CP885" s="256">
        <f t="shared" ca="1" si="1754"/>
        <v>0</v>
      </c>
      <c r="CQ885" s="329">
        <f t="shared" ca="1" si="1755"/>
        <v>24</v>
      </c>
      <c r="CS885" s="112">
        <f t="shared" ca="1" si="1676"/>
        <v>100000</v>
      </c>
      <c r="CT885" s="112" t="e">
        <f t="shared" ca="1" si="1703"/>
        <v>#N/A</v>
      </c>
      <c r="CU885" s="238">
        <f t="shared" ca="1" si="1683"/>
        <v>0</v>
      </c>
      <c r="CV885" s="238">
        <f t="shared" ca="1" si="1684"/>
        <v>24</v>
      </c>
      <c r="CY885">
        <f t="shared" si="1689"/>
        <v>315</v>
      </c>
      <c r="DA885" s="112">
        <f t="shared" ca="1" si="1690"/>
        <v>100000</v>
      </c>
      <c r="DE885" t="str">
        <f t="shared" si="1685"/>
        <v>cs:dc771</v>
      </c>
      <c r="DF885" t="e">
        <f t="shared" ca="1" si="1686"/>
        <v>#REF!</v>
      </c>
    </row>
    <row r="886" spans="47:110" x14ac:dyDescent="0.25">
      <c r="AU886" s="112"/>
      <c r="AV886" s="112"/>
      <c r="BQ886" s="238">
        <f t="shared" ref="BQ886" si="1857">BQ885+1</f>
        <v>634</v>
      </c>
      <c r="BR886" s="112" t="s">
        <v>444</v>
      </c>
      <c r="BS886" s="112" t="s">
        <v>445</v>
      </c>
      <c r="BT886" s="114" t="e">
        <f t="shared" ca="1" si="1837"/>
        <v>#N/A</v>
      </c>
      <c r="BU886" s="112"/>
      <c r="BV886">
        <f t="shared" ca="1" si="1717"/>
        <v>0</v>
      </c>
      <c r="BW886" s="112" t="str">
        <f t="shared" ca="1" si="1672"/>
        <v/>
      </c>
      <c r="BX886" s="112" t="e">
        <f t="shared" ref="BX886:BX888" ca="1" si="1858">INDIRECT(CONCATENATE(BS886,BQ886))-1</f>
        <v>#N/A</v>
      </c>
      <c r="BY886">
        <f t="shared" ca="1" si="1704"/>
        <v>0</v>
      </c>
      <c r="BZ886">
        <f t="shared" ca="1" si="1705"/>
        <v>24</v>
      </c>
      <c r="CB886" t="e">
        <f t="shared" ca="1" si="1677"/>
        <v>#N/A</v>
      </c>
      <c r="CC886" s="112" t="e">
        <f t="shared" ca="1" si="1678"/>
        <v>#N/A</v>
      </c>
      <c r="CD886" s="112" t="e">
        <f t="shared" ca="1" si="1679"/>
        <v>#N/A</v>
      </c>
      <c r="CE886">
        <f t="shared" ca="1" si="1680"/>
        <v>0</v>
      </c>
      <c r="CF886">
        <f t="shared" ca="1" si="1681"/>
        <v>24</v>
      </c>
      <c r="CH886" s="112" t="str">
        <f t="shared" ca="1" si="1749"/>
        <v/>
      </c>
      <c r="CI886" t="e">
        <f t="shared" ref="CI886" ca="1" si="1859">CB886+CB887+CB888+CB889+CB890</f>
        <v>#N/A</v>
      </c>
      <c r="CJ886">
        <v>0</v>
      </c>
      <c r="CK886" s="112" t="str">
        <f t="shared" ca="1" si="1753"/>
        <v/>
      </c>
      <c r="CM886" s="112"/>
      <c r="CN886" s="408" t="e">
        <f t="shared" ca="1" si="1696"/>
        <v>#N/A</v>
      </c>
      <c r="CO886" s="326" t="e">
        <f t="shared" ref="CO886" ca="1" si="1860">CD886</f>
        <v>#N/A</v>
      </c>
      <c r="CP886" s="333">
        <f t="shared" ca="1" si="1754"/>
        <v>0</v>
      </c>
      <c r="CQ886" s="327">
        <f t="shared" ca="1" si="1755"/>
        <v>24</v>
      </c>
      <c r="CS886" s="112">
        <f t="shared" ca="1" si="1676"/>
        <v>100000</v>
      </c>
      <c r="CT886" s="112" t="e">
        <f t="shared" ref="CT886" ca="1" si="1861">IF(AND( CN887=100000,CN888=100000,CN889=100000,CN890=100000),CO890,                             CO886)</f>
        <v>#N/A</v>
      </c>
      <c r="CU886" s="238">
        <f t="shared" ca="1" si="1683"/>
        <v>0</v>
      </c>
      <c r="CV886" s="238">
        <f t="shared" ca="1" si="1684"/>
        <v>24</v>
      </c>
      <c r="CY886">
        <f t="shared" si="1689"/>
        <v>316</v>
      </c>
      <c r="DA886" s="112">
        <f t="shared" ca="1" si="1690"/>
        <v>100000</v>
      </c>
      <c r="DE886" t="str">
        <f t="shared" si="1685"/>
        <v>cs:dc771</v>
      </c>
      <c r="DF886" t="e">
        <f t="shared" ca="1" si="1686"/>
        <v>#REF!</v>
      </c>
    </row>
    <row r="887" spans="47:110" x14ac:dyDescent="0.25">
      <c r="AU887" s="112"/>
      <c r="AV887" s="112"/>
      <c r="BQ887" s="238">
        <f t="shared" ref="BQ887:BQ890" si="1862">BQ886</f>
        <v>634</v>
      </c>
      <c r="BR887" t="s">
        <v>445</v>
      </c>
      <c r="BS887" t="s">
        <v>446</v>
      </c>
      <c r="BT887" s="114" t="e">
        <f t="shared" ca="1" si="1837"/>
        <v>#N/A</v>
      </c>
      <c r="BU887" s="112"/>
      <c r="BV887" t="e">
        <f t="shared" ca="1" si="1717"/>
        <v>#N/A</v>
      </c>
      <c r="BW887" s="112" t="e">
        <f t="shared" ca="1" si="1672"/>
        <v>#N/A</v>
      </c>
      <c r="BX887" s="112" t="e">
        <f t="shared" ca="1" si="1858"/>
        <v>#N/A</v>
      </c>
      <c r="BY887">
        <f t="shared" ca="1" si="1704"/>
        <v>0</v>
      </c>
      <c r="BZ887">
        <f t="shared" ca="1" si="1705"/>
        <v>24</v>
      </c>
      <c r="CB887" t="e">
        <f t="shared" ca="1" si="1677"/>
        <v>#N/A</v>
      </c>
      <c r="CC887" s="112" t="e">
        <f t="shared" ca="1" si="1678"/>
        <v>#N/A</v>
      </c>
      <c r="CD887" s="112" t="e">
        <f t="shared" ca="1" si="1679"/>
        <v>#N/A</v>
      </c>
      <c r="CE887">
        <f t="shared" ca="1" si="1680"/>
        <v>0</v>
      </c>
      <c r="CF887">
        <f t="shared" ca="1" si="1681"/>
        <v>24</v>
      </c>
      <c r="CH887" s="112" t="str">
        <f t="shared" ca="1" si="1749"/>
        <v/>
      </c>
      <c r="CI887" t="e">
        <f t="shared" ref="CI887:CI890" ca="1" si="1863">CI886</f>
        <v>#N/A</v>
      </c>
      <c r="CJ887" t="e">
        <f t="shared" ref="CJ887" ca="1" si="1864">IF(AND(CI887=0,CJ888=0,CJ889=0,CJ890=0,CC887&lt;100000),1,0)</f>
        <v>#N/A</v>
      </c>
      <c r="CK887" s="112" t="e">
        <f t="shared" ca="1" si="1753"/>
        <v>#N/A</v>
      </c>
      <c r="CM887" s="112"/>
      <c r="CN887" s="260" t="e">
        <f t="shared" ca="1" si="1696"/>
        <v>#N/A</v>
      </c>
      <c r="CO887" s="112" t="e">
        <f t="shared" ref="CO887:CO890" ca="1" si="1865">IF(CJ887=1,CH887,CD887)</f>
        <v>#N/A</v>
      </c>
      <c r="CP887" s="238">
        <f t="shared" ca="1" si="1754"/>
        <v>0</v>
      </c>
      <c r="CQ887" s="328">
        <f t="shared" ca="1" si="1755"/>
        <v>24</v>
      </c>
      <c r="CS887" s="112">
        <f t="shared" ca="1" si="1676"/>
        <v>100000</v>
      </c>
      <c r="CT887" s="112" t="e">
        <f t="shared" ca="1" si="1703"/>
        <v>#N/A</v>
      </c>
      <c r="CU887" s="238">
        <f t="shared" ca="1" si="1683"/>
        <v>0</v>
      </c>
      <c r="CV887" s="238">
        <f t="shared" ca="1" si="1684"/>
        <v>24</v>
      </c>
      <c r="CY887">
        <f t="shared" si="1689"/>
        <v>317</v>
      </c>
      <c r="DA887" s="112">
        <f t="shared" ca="1" si="1690"/>
        <v>100000</v>
      </c>
      <c r="DE887" t="str">
        <f t="shared" si="1685"/>
        <v>cs:dc771</v>
      </c>
      <c r="DF887" t="e">
        <f t="shared" ca="1" si="1686"/>
        <v>#REF!</v>
      </c>
    </row>
    <row r="888" spans="47:110" x14ac:dyDescent="0.25">
      <c r="AU888" s="112"/>
      <c r="AV888" s="112"/>
      <c r="BQ888" s="238">
        <f t="shared" si="1862"/>
        <v>634</v>
      </c>
      <c r="BR888" t="s">
        <v>446</v>
      </c>
      <c r="BS888" t="s">
        <v>447</v>
      </c>
      <c r="BT888" s="114" t="e">
        <f t="shared" ca="1" si="1837"/>
        <v>#N/A</v>
      </c>
      <c r="BU888" s="112"/>
      <c r="BV888" t="e">
        <f t="shared" ca="1" si="1717"/>
        <v>#N/A</v>
      </c>
      <c r="BW888" s="112" t="e">
        <f t="shared" ca="1" si="1672"/>
        <v>#N/A</v>
      </c>
      <c r="BX888" s="112" t="e">
        <f t="shared" ca="1" si="1858"/>
        <v>#N/A</v>
      </c>
      <c r="BY888">
        <f t="shared" ca="1" si="1704"/>
        <v>0</v>
      </c>
      <c r="BZ888">
        <f t="shared" ca="1" si="1705"/>
        <v>24</v>
      </c>
      <c r="CB888" t="e">
        <f t="shared" ca="1" si="1677"/>
        <v>#N/A</v>
      </c>
      <c r="CC888" s="112" t="e">
        <f t="shared" ca="1" si="1678"/>
        <v>#N/A</v>
      </c>
      <c r="CD888" s="112" t="e">
        <f t="shared" ca="1" si="1679"/>
        <v>#N/A</v>
      </c>
      <c r="CE888">
        <f t="shared" ca="1" si="1680"/>
        <v>0</v>
      </c>
      <c r="CF888">
        <f t="shared" ca="1" si="1681"/>
        <v>24</v>
      </c>
      <c r="CH888" s="112" t="str">
        <f t="shared" ca="1" si="1749"/>
        <v/>
      </c>
      <c r="CI888" t="e">
        <f t="shared" ca="1" si="1863"/>
        <v>#N/A</v>
      </c>
      <c r="CJ888" t="e">
        <f t="shared" ref="CJ888" ca="1" si="1866">IF(AND(CI888=0,CJ889=0,CJ890=0,CC888&lt;100000),1,0)</f>
        <v>#N/A</v>
      </c>
      <c r="CK888" s="112" t="e">
        <f t="shared" ca="1" si="1753"/>
        <v>#N/A</v>
      </c>
      <c r="CM888" s="112"/>
      <c r="CN888" s="260" t="e">
        <f t="shared" ca="1" si="1696"/>
        <v>#N/A</v>
      </c>
      <c r="CO888" s="112" t="e">
        <f t="shared" ca="1" si="1865"/>
        <v>#N/A</v>
      </c>
      <c r="CP888" s="238">
        <f t="shared" ca="1" si="1754"/>
        <v>0</v>
      </c>
      <c r="CQ888" s="328">
        <f t="shared" ca="1" si="1755"/>
        <v>24</v>
      </c>
      <c r="CS888" s="112">
        <f t="shared" ca="1" si="1676"/>
        <v>100000</v>
      </c>
      <c r="CT888" s="112" t="e">
        <f t="shared" ca="1" si="1703"/>
        <v>#N/A</v>
      </c>
      <c r="CU888" s="238">
        <f t="shared" ca="1" si="1683"/>
        <v>0</v>
      </c>
      <c r="CV888" s="238">
        <f t="shared" ca="1" si="1684"/>
        <v>24</v>
      </c>
      <c r="CY888">
        <f t="shared" si="1689"/>
        <v>318</v>
      </c>
      <c r="DA888" s="112">
        <f t="shared" ca="1" si="1690"/>
        <v>100000</v>
      </c>
      <c r="DE888" t="str">
        <f t="shared" si="1685"/>
        <v>cs:dc771</v>
      </c>
      <c r="DF888" t="e">
        <f t="shared" ca="1" si="1686"/>
        <v>#REF!</v>
      </c>
    </row>
    <row r="889" spans="47:110" x14ac:dyDescent="0.25">
      <c r="AU889" s="112"/>
      <c r="AV889" s="112"/>
      <c r="BQ889" s="238">
        <f t="shared" si="1862"/>
        <v>634</v>
      </c>
      <c r="BR889" t="s">
        <v>447</v>
      </c>
      <c r="BS889" t="s">
        <v>448</v>
      </c>
      <c r="BT889" s="114" t="e">
        <f t="shared" ca="1" si="1837"/>
        <v>#N/A</v>
      </c>
      <c r="BU889" s="112"/>
      <c r="BV889" t="e">
        <f t="shared" ca="1" si="1717"/>
        <v>#N/A</v>
      </c>
      <c r="BW889" s="112" t="e">
        <f t="shared" ca="1" si="1672"/>
        <v>#N/A</v>
      </c>
      <c r="BX889" s="112" t="e">
        <f t="shared" ref="BX889:BX890" ca="1" si="1867">INDIRECT(CONCATENATE(BS889,BQ889))</f>
        <v>#N/A</v>
      </c>
      <c r="BY889">
        <f t="shared" ca="1" si="1704"/>
        <v>0</v>
      </c>
      <c r="BZ889">
        <f t="shared" ca="1" si="1705"/>
        <v>24</v>
      </c>
      <c r="CB889" t="e">
        <f t="shared" ca="1" si="1677"/>
        <v>#N/A</v>
      </c>
      <c r="CC889" s="112" t="e">
        <f t="shared" ca="1" si="1678"/>
        <v>#N/A</v>
      </c>
      <c r="CD889" s="112" t="e">
        <f t="shared" ca="1" si="1679"/>
        <v>#N/A</v>
      </c>
      <c r="CE889">
        <f t="shared" ca="1" si="1680"/>
        <v>0</v>
      </c>
      <c r="CF889">
        <f t="shared" ca="1" si="1681"/>
        <v>24</v>
      </c>
      <c r="CH889" s="112" t="str">
        <f t="shared" ca="1" si="1749"/>
        <v/>
      </c>
      <c r="CI889" t="e">
        <f t="shared" ca="1" si="1863"/>
        <v>#N/A</v>
      </c>
      <c r="CJ889" t="e">
        <f t="shared" ref="CJ889" ca="1" si="1868">IF(AND(CI889=0,CJ890=0,CC889&lt;100000),1,0)</f>
        <v>#N/A</v>
      </c>
      <c r="CK889" s="112" t="e">
        <f t="shared" ca="1" si="1753"/>
        <v>#N/A</v>
      </c>
      <c r="CM889" s="112"/>
      <c r="CN889" s="260" t="e">
        <f t="shared" ca="1" si="1696"/>
        <v>#N/A</v>
      </c>
      <c r="CO889" s="112" t="e">
        <f t="shared" ca="1" si="1865"/>
        <v>#N/A</v>
      </c>
      <c r="CP889" s="238">
        <f t="shared" ca="1" si="1754"/>
        <v>0</v>
      </c>
      <c r="CQ889" s="328">
        <f t="shared" ca="1" si="1755"/>
        <v>24</v>
      </c>
      <c r="CS889" s="112">
        <f t="shared" ca="1" si="1676"/>
        <v>100000</v>
      </c>
      <c r="CT889" s="112" t="e">
        <f t="shared" ca="1" si="1703"/>
        <v>#N/A</v>
      </c>
      <c r="CU889" s="238">
        <f t="shared" ca="1" si="1683"/>
        <v>0</v>
      </c>
      <c r="CV889" s="238">
        <f t="shared" ca="1" si="1684"/>
        <v>24</v>
      </c>
      <c r="CY889">
        <f t="shared" si="1689"/>
        <v>319</v>
      </c>
      <c r="DA889" s="112">
        <f t="shared" ca="1" si="1690"/>
        <v>100000</v>
      </c>
      <c r="DE889" t="str">
        <f t="shared" si="1685"/>
        <v>cs:dc771</v>
      </c>
      <c r="DF889" t="e">
        <f t="shared" ca="1" si="1686"/>
        <v>#REF!</v>
      </c>
    </row>
    <row r="890" spans="47:110" ht="15.75" thickBot="1" x14ac:dyDescent="0.3">
      <c r="AU890" s="112"/>
      <c r="AV890" s="112"/>
      <c r="BQ890" s="238">
        <f t="shared" si="1862"/>
        <v>634</v>
      </c>
      <c r="BR890" t="s">
        <v>448</v>
      </c>
      <c r="BS890" t="s">
        <v>449</v>
      </c>
      <c r="BT890" s="114" t="e">
        <f t="shared" ca="1" si="1837"/>
        <v>#N/A</v>
      </c>
      <c r="BU890" s="112"/>
      <c r="BV890" t="e">
        <f t="shared" ca="1" si="1717"/>
        <v>#N/A</v>
      </c>
      <c r="BW890" s="112" t="e">
        <f t="shared" ca="1" si="1672"/>
        <v>#N/A</v>
      </c>
      <c r="BX890" s="112" t="str">
        <f t="shared" ca="1" si="1867"/>
        <v/>
      </c>
      <c r="BY890">
        <f t="shared" ca="1" si="1704"/>
        <v>0</v>
      </c>
      <c r="BZ890">
        <f t="shared" ca="1" si="1705"/>
        <v>24</v>
      </c>
      <c r="CB890" t="e">
        <f t="shared" ca="1" si="1677"/>
        <v>#N/A</v>
      </c>
      <c r="CC890" s="112" t="e">
        <f t="shared" ca="1" si="1678"/>
        <v>#N/A</v>
      </c>
      <c r="CD890" s="112" t="str">
        <f t="shared" ca="1" si="1679"/>
        <v/>
      </c>
      <c r="CE890">
        <f t="shared" ca="1" si="1680"/>
        <v>0</v>
      </c>
      <c r="CF890">
        <f t="shared" ca="1" si="1681"/>
        <v>24</v>
      </c>
      <c r="CH890" s="112" t="str">
        <f t="shared" ca="1" si="1749"/>
        <v/>
      </c>
      <c r="CI890" t="e">
        <f t="shared" ca="1" si="1863"/>
        <v>#N/A</v>
      </c>
      <c r="CJ890" t="e">
        <f t="shared" ref="CJ890" ca="1" si="1869">IF(AND(CI890=0,CC890&lt;100000),1,0)</f>
        <v>#N/A</v>
      </c>
      <c r="CK890" s="112" t="e">
        <f t="shared" ca="1" si="1753"/>
        <v>#N/A</v>
      </c>
      <c r="CM890" s="112"/>
      <c r="CN890" s="261" t="e">
        <f t="shared" ref="CN890" ca="1" si="1870">IF(AND(CN886=100000,CN887=100000,CN888=100000,CN889=100000),INDIRECT(CONCATENATE("aa",BQ890)),CC890)</f>
        <v>#N/A</v>
      </c>
      <c r="CO890" s="324" t="e">
        <f t="shared" ca="1" si="1865"/>
        <v>#N/A</v>
      </c>
      <c r="CP890" s="256">
        <f t="shared" ca="1" si="1754"/>
        <v>0</v>
      </c>
      <c r="CQ890" s="329">
        <f t="shared" ca="1" si="1755"/>
        <v>24</v>
      </c>
      <c r="CS890" s="112">
        <f t="shared" ca="1" si="1676"/>
        <v>100000</v>
      </c>
      <c r="CT890" s="112" t="e">
        <f t="shared" ca="1" si="1703"/>
        <v>#N/A</v>
      </c>
      <c r="CU890" s="238">
        <f t="shared" ca="1" si="1683"/>
        <v>0</v>
      </c>
      <c r="CV890" s="238">
        <f t="shared" ca="1" si="1684"/>
        <v>24</v>
      </c>
      <c r="CY890">
        <f t="shared" si="1689"/>
        <v>320</v>
      </c>
      <c r="DA890" s="112">
        <f t="shared" ca="1" si="1690"/>
        <v>100000</v>
      </c>
      <c r="DE890" t="str">
        <f t="shared" si="1685"/>
        <v>cs:dc771</v>
      </c>
      <c r="DF890" t="e">
        <f t="shared" ca="1" si="1686"/>
        <v>#REF!</v>
      </c>
    </row>
    <row r="891" spans="47:110" x14ac:dyDescent="0.25">
      <c r="AU891" s="112"/>
      <c r="AV891" s="112"/>
      <c r="BQ891" s="238">
        <f t="shared" ref="BQ891" si="1871">BQ890+1</f>
        <v>635</v>
      </c>
      <c r="BR891" s="112" t="s">
        <v>444</v>
      </c>
      <c r="BS891" s="112" t="s">
        <v>445</v>
      </c>
      <c r="BT891" s="114" t="e">
        <f t="shared" ca="1" si="1837"/>
        <v>#N/A</v>
      </c>
      <c r="BU891" s="112"/>
      <c r="BV891">
        <f t="shared" ca="1" si="1717"/>
        <v>0</v>
      </c>
      <c r="BW891" s="112" t="str">
        <f t="shared" ref="BW891:BW954" ca="1" si="1872">INDIRECT(CONCATENATE(BR891,BQ891))</f>
        <v/>
      </c>
      <c r="BX891" s="112" t="e">
        <f t="shared" ref="BX891:BX893" ca="1" si="1873">INDIRECT(CONCATENATE(BS891,BQ891))-1</f>
        <v>#N/A</v>
      </c>
      <c r="BY891">
        <f t="shared" ca="1" si="1704"/>
        <v>0</v>
      </c>
      <c r="BZ891">
        <f t="shared" ca="1" si="1705"/>
        <v>24</v>
      </c>
      <c r="CB891" t="e">
        <f t="shared" ca="1" si="1677"/>
        <v>#N/A</v>
      </c>
      <c r="CC891" s="112" t="e">
        <f t="shared" ca="1" si="1678"/>
        <v>#N/A</v>
      </c>
      <c r="CD891" s="112" t="e">
        <f t="shared" ca="1" si="1679"/>
        <v>#N/A</v>
      </c>
      <c r="CE891">
        <f t="shared" ca="1" si="1680"/>
        <v>0</v>
      </c>
      <c r="CF891">
        <f t="shared" ca="1" si="1681"/>
        <v>24</v>
      </c>
      <c r="CH891" s="112" t="str">
        <f t="shared" ca="1" si="1749"/>
        <v/>
      </c>
      <c r="CI891" t="e">
        <f t="shared" ref="CI891" ca="1" si="1874">CB891+CB892+CB893+CB894+CB895</f>
        <v>#N/A</v>
      </c>
      <c r="CJ891">
        <v>0</v>
      </c>
      <c r="CK891" s="112" t="str">
        <f t="shared" ca="1" si="1753"/>
        <v/>
      </c>
      <c r="CM891" s="112"/>
      <c r="CN891" s="408" t="e">
        <f t="shared" ca="1" si="1696"/>
        <v>#N/A</v>
      </c>
      <c r="CO891" s="326" t="e">
        <f t="shared" ref="CO891" ca="1" si="1875">CD891</f>
        <v>#N/A</v>
      </c>
      <c r="CP891" s="333">
        <f t="shared" ca="1" si="1754"/>
        <v>0</v>
      </c>
      <c r="CQ891" s="327">
        <f t="shared" ca="1" si="1755"/>
        <v>24</v>
      </c>
      <c r="CS891" s="112">
        <f t="shared" ref="CS891:CS954" ca="1" si="1876">IF(TYPE(CN891)=16,100000,CN891)</f>
        <v>100000</v>
      </c>
      <c r="CT891" s="112" t="e">
        <f t="shared" ref="CT891" ca="1" si="1877">IF(AND( CN892=100000,CN893=100000,CN894=100000,CN895=100000),CO895,                             CO891)</f>
        <v>#N/A</v>
      </c>
      <c r="CU891" s="238">
        <f t="shared" ca="1" si="1683"/>
        <v>0</v>
      </c>
      <c r="CV891" s="238">
        <f t="shared" ca="1" si="1684"/>
        <v>24</v>
      </c>
      <c r="CY891">
        <f t="shared" si="1689"/>
        <v>321</v>
      </c>
      <c r="DA891" s="112">
        <f t="shared" ca="1" si="1690"/>
        <v>100000</v>
      </c>
      <c r="DE891" t="str">
        <f t="shared" si="1685"/>
        <v>cs:dc771</v>
      </c>
      <c r="DF891" t="e">
        <f t="shared" ca="1" si="1686"/>
        <v>#REF!</v>
      </c>
    </row>
    <row r="892" spans="47:110" x14ac:dyDescent="0.25">
      <c r="AU892" s="112"/>
      <c r="AV892" s="112"/>
      <c r="BQ892" s="238">
        <f t="shared" ref="BQ892:BQ895" si="1878">BQ891</f>
        <v>635</v>
      </c>
      <c r="BR892" t="s">
        <v>445</v>
      </c>
      <c r="BS892" t="s">
        <v>446</v>
      </c>
      <c r="BT892" s="114" t="e">
        <f t="shared" ca="1" si="1837"/>
        <v>#N/A</v>
      </c>
      <c r="BU892" s="112"/>
      <c r="BV892" t="e">
        <f t="shared" ca="1" si="1717"/>
        <v>#N/A</v>
      </c>
      <c r="BW892" s="112" t="e">
        <f t="shared" ca="1" si="1872"/>
        <v>#N/A</v>
      </c>
      <c r="BX892" s="112" t="e">
        <f t="shared" ca="1" si="1873"/>
        <v>#N/A</v>
      </c>
      <c r="BY892">
        <f t="shared" ca="1" si="1704"/>
        <v>0</v>
      </c>
      <c r="BZ892">
        <f t="shared" ca="1" si="1705"/>
        <v>24</v>
      </c>
      <c r="CB892" t="e">
        <f t="shared" ref="CB892:CB955" ca="1" si="1879">IF(AND(CC892&lt;&gt;100000,CD892=INDIRECT(CONCATENATE("aq",BQ892))),1,0)</f>
        <v>#N/A</v>
      </c>
      <c r="CC892" s="112" t="e">
        <f t="shared" ref="CC892:CC955" ca="1" si="1880">IF(OR(BV892=0,BW892&gt;BX892),100000,BW892)</f>
        <v>#N/A</v>
      </c>
      <c r="CD892" s="112" t="e">
        <f t="shared" ref="CD892:CD955" ca="1" si="1881">BX892</f>
        <v>#N/A</v>
      </c>
      <c r="CE892">
        <f t="shared" ref="CE892:CE955" ca="1" si="1882">BY892</f>
        <v>0</v>
      </c>
      <c r="CF892">
        <f t="shared" ref="CF892:CF955" ca="1" si="1883">BZ892</f>
        <v>24</v>
      </c>
      <c r="CH892" s="112" t="str">
        <f t="shared" ca="1" si="1749"/>
        <v/>
      </c>
      <c r="CI892" t="e">
        <f t="shared" ref="CI892:CI895" ca="1" si="1884">CI891</f>
        <v>#N/A</v>
      </c>
      <c r="CJ892" t="e">
        <f t="shared" ref="CJ892" ca="1" si="1885">IF(AND(CI892=0,CJ893=0,CJ894=0,CJ895=0,CC892&lt;100000),1,0)</f>
        <v>#N/A</v>
      </c>
      <c r="CK892" s="112" t="e">
        <f t="shared" ca="1" si="1753"/>
        <v>#N/A</v>
      </c>
      <c r="CM892" s="112"/>
      <c r="CN892" s="260" t="e">
        <f t="shared" ca="1" si="1696"/>
        <v>#N/A</v>
      </c>
      <c r="CO892" s="112" t="e">
        <f t="shared" ref="CO892:CO895" ca="1" si="1886">IF(CJ892=1,CH892,CD892)</f>
        <v>#N/A</v>
      </c>
      <c r="CP892" s="238">
        <f t="shared" ca="1" si="1754"/>
        <v>0</v>
      </c>
      <c r="CQ892" s="328">
        <f t="shared" ca="1" si="1755"/>
        <v>24</v>
      </c>
      <c r="CS892" s="112">
        <f t="shared" ca="1" si="1876"/>
        <v>100000</v>
      </c>
      <c r="CT892" s="112" t="e">
        <f t="shared" ca="1" si="1703"/>
        <v>#N/A</v>
      </c>
      <c r="CU892" s="238">
        <f t="shared" ref="CU892:CU955" ca="1" si="1887">CP892</f>
        <v>0</v>
      </c>
      <c r="CV892" s="238">
        <f t="shared" ref="CV892:CV955" ca="1" si="1888">CQ892</f>
        <v>24</v>
      </c>
      <c r="CY892">
        <f t="shared" si="1689"/>
        <v>322</v>
      </c>
      <c r="DA892" s="112">
        <f t="shared" ca="1" si="1690"/>
        <v>100000</v>
      </c>
      <c r="DE892" t="str">
        <f t="shared" ref="DE892:DE955" si="1889">CONCATENATE("cs",DC892,":dc771")</f>
        <v>cs:dc771</v>
      </c>
      <c r="DF892" t="e">
        <f t="shared" ref="DF892:DF955" ca="1" si="1890">VLOOKUP(DA892,INDIRECT(DE892),11,FALSE)</f>
        <v>#REF!</v>
      </c>
    </row>
    <row r="893" spans="47:110" x14ac:dyDescent="0.25">
      <c r="AU893" s="112"/>
      <c r="AV893" s="112"/>
      <c r="BQ893" s="238">
        <f t="shared" si="1878"/>
        <v>635</v>
      </c>
      <c r="BR893" t="s">
        <v>446</v>
      </c>
      <c r="BS893" t="s">
        <v>447</v>
      </c>
      <c r="BT893" s="114" t="e">
        <f t="shared" ca="1" si="1837"/>
        <v>#N/A</v>
      </c>
      <c r="BU893" s="112"/>
      <c r="BV893" t="e">
        <f t="shared" ca="1" si="1717"/>
        <v>#N/A</v>
      </c>
      <c r="BW893" s="112" t="e">
        <f t="shared" ca="1" si="1872"/>
        <v>#N/A</v>
      </c>
      <c r="BX893" s="112" t="e">
        <f t="shared" ca="1" si="1873"/>
        <v>#N/A</v>
      </c>
      <c r="BY893">
        <f t="shared" ca="1" si="1704"/>
        <v>0</v>
      </c>
      <c r="BZ893">
        <f t="shared" ca="1" si="1705"/>
        <v>24</v>
      </c>
      <c r="CB893" t="e">
        <f t="shared" ca="1" si="1879"/>
        <v>#N/A</v>
      </c>
      <c r="CC893" s="112" t="e">
        <f t="shared" ca="1" si="1880"/>
        <v>#N/A</v>
      </c>
      <c r="CD893" s="112" t="e">
        <f t="shared" ca="1" si="1881"/>
        <v>#N/A</v>
      </c>
      <c r="CE893">
        <f t="shared" ca="1" si="1882"/>
        <v>0</v>
      </c>
      <c r="CF893">
        <f t="shared" ca="1" si="1883"/>
        <v>24</v>
      </c>
      <c r="CH893" s="112" t="str">
        <f t="shared" ca="1" si="1749"/>
        <v/>
      </c>
      <c r="CI893" t="e">
        <f t="shared" ca="1" si="1884"/>
        <v>#N/A</v>
      </c>
      <c r="CJ893" t="e">
        <f t="shared" ref="CJ893" ca="1" si="1891">IF(AND(CI893=0,CJ894=0,CJ895=0,CC893&lt;100000),1,0)</f>
        <v>#N/A</v>
      </c>
      <c r="CK893" s="112" t="e">
        <f t="shared" ca="1" si="1753"/>
        <v>#N/A</v>
      </c>
      <c r="CM893" s="112"/>
      <c r="CN893" s="260" t="e">
        <f t="shared" ca="1" si="1696"/>
        <v>#N/A</v>
      </c>
      <c r="CO893" s="112" t="e">
        <f t="shared" ca="1" si="1886"/>
        <v>#N/A</v>
      </c>
      <c r="CP893" s="238">
        <f t="shared" ca="1" si="1754"/>
        <v>0</v>
      </c>
      <c r="CQ893" s="328">
        <f t="shared" ca="1" si="1755"/>
        <v>24</v>
      </c>
      <c r="CS893" s="112">
        <f t="shared" ca="1" si="1876"/>
        <v>100000</v>
      </c>
      <c r="CT893" s="112" t="e">
        <f t="shared" ca="1" si="1703"/>
        <v>#N/A</v>
      </c>
      <c r="CU893" s="238">
        <f t="shared" ca="1" si="1887"/>
        <v>0</v>
      </c>
      <c r="CV893" s="238">
        <f t="shared" ca="1" si="1888"/>
        <v>24</v>
      </c>
      <c r="CY893">
        <f t="shared" ref="CY893:CY956" si="1892">CY892+1</f>
        <v>323</v>
      </c>
      <c r="DA893" s="112">
        <f t="shared" ref="DA893:DA956" ca="1" si="1893">SMALL($CS$571:$CS$1100,CY893)</f>
        <v>100000</v>
      </c>
      <c r="DE893" t="str">
        <f t="shared" si="1889"/>
        <v>cs:dc771</v>
      </c>
      <c r="DF893" t="e">
        <f t="shared" ca="1" si="1890"/>
        <v>#REF!</v>
      </c>
    </row>
    <row r="894" spans="47:110" x14ac:dyDescent="0.25">
      <c r="AU894" s="112"/>
      <c r="AV894" s="112"/>
      <c r="BQ894" s="238">
        <f t="shared" si="1878"/>
        <v>635</v>
      </c>
      <c r="BR894" t="s">
        <v>447</v>
      </c>
      <c r="BS894" t="s">
        <v>448</v>
      </c>
      <c r="BT894" s="114" t="e">
        <f t="shared" ca="1" si="1837"/>
        <v>#N/A</v>
      </c>
      <c r="BU894" s="112"/>
      <c r="BV894" t="e">
        <f t="shared" ca="1" si="1717"/>
        <v>#N/A</v>
      </c>
      <c r="BW894" s="112" t="e">
        <f t="shared" ca="1" si="1872"/>
        <v>#N/A</v>
      </c>
      <c r="BX894" s="112" t="e">
        <f t="shared" ref="BX894:BX895" ca="1" si="1894">INDIRECT(CONCATENATE(BS894,BQ894))</f>
        <v>#N/A</v>
      </c>
      <c r="BY894">
        <f t="shared" ca="1" si="1704"/>
        <v>0</v>
      </c>
      <c r="BZ894">
        <f t="shared" ca="1" si="1705"/>
        <v>24</v>
      </c>
      <c r="CB894" t="e">
        <f t="shared" ca="1" si="1879"/>
        <v>#N/A</v>
      </c>
      <c r="CC894" s="112" t="e">
        <f t="shared" ca="1" si="1880"/>
        <v>#N/A</v>
      </c>
      <c r="CD894" s="112" t="e">
        <f t="shared" ca="1" si="1881"/>
        <v>#N/A</v>
      </c>
      <c r="CE894">
        <f t="shared" ca="1" si="1882"/>
        <v>0</v>
      </c>
      <c r="CF894">
        <f t="shared" ca="1" si="1883"/>
        <v>24</v>
      </c>
      <c r="CH894" s="112" t="str">
        <f t="shared" ca="1" si="1749"/>
        <v/>
      </c>
      <c r="CI894" t="e">
        <f t="shared" ca="1" si="1884"/>
        <v>#N/A</v>
      </c>
      <c r="CJ894" t="e">
        <f t="shared" ref="CJ894" ca="1" si="1895">IF(AND(CI894=0,CJ895=0,CC894&lt;100000),1,0)</f>
        <v>#N/A</v>
      </c>
      <c r="CK894" s="112" t="e">
        <f t="shared" ca="1" si="1753"/>
        <v>#N/A</v>
      </c>
      <c r="CM894" s="112"/>
      <c r="CN894" s="260" t="e">
        <f t="shared" ca="1" si="1696"/>
        <v>#N/A</v>
      </c>
      <c r="CO894" s="112" t="e">
        <f t="shared" ca="1" si="1886"/>
        <v>#N/A</v>
      </c>
      <c r="CP894" s="238">
        <f t="shared" ca="1" si="1754"/>
        <v>0</v>
      </c>
      <c r="CQ894" s="328">
        <f t="shared" ca="1" si="1755"/>
        <v>24</v>
      </c>
      <c r="CS894" s="112">
        <f t="shared" ca="1" si="1876"/>
        <v>100000</v>
      </c>
      <c r="CT894" s="112" t="e">
        <f t="shared" ca="1" si="1703"/>
        <v>#N/A</v>
      </c>
      <c r="CU894" s="238">
        <f t="shared" ca="1" si="1887"/>
        <v>0</v>
      </c>
      <c r="CV894" s="238">
        <f t="shared" ca="1" si="1888"/>
        <v>24</v>
      </c>
      <c r="CY894">
        <f t="shared" si="1892"/>
        <v>324</v>
      </c>
      <c r="DA894" s="112">
        <f t="shared" ca="1" si="1893"/>
        <v>100000</v>
      </c>
      <c r="DE894" t="str">
        <f t="shared" si="1889"/>
        <v>cs:dc771</v>
      </c>
      <c r="DF894" t="e">
        <f t="shared" ca="1" si="1890"/>
        <v>#REF!</v>
      </c>
    </row>
    <row r="895" spans="47:110" ht="15.75" thickBot="1" x14ac:dyDescent="0.3">
      <c r="AU895" s="112"/>
      <c r="AV895" s="112"/>
      <c r="BQ895" s="238">
        <f t="shared" si="1878"/>
        <v>635</v>
      </c>
      <c r="BR895" t="s">
        <v>448</v>
      </c>
      <c r="BS895" t="s">
        <v>449</v>
      </c>
      <c r="BT895" s="114" t="e">
        <f t="shared" ca="1" si="1837"/>
        <v>#N/A</v>
      </c>
      <c r="BU895" s="112"/>
      <c r="BV895" t="e">
        <f t="shared" ca="1" si="1717"/>
        <v>#N/A</v>
      </c>
      <c r="BW895" s="112" t="e">
        <f t="shared" ca="1" si="1872"/>
        <v>#N/A</v>
      </c>
      <c r="BX895" s="112" t="str">
        <f t="shared" ca="1" si="1894"/>
        <v/>
      </c>
      <c r="BY895">
        <f t="shared" ca="1" si="1704"/>
        <v>0</v>
      </c>
      <c r="BZ895">
        <f t="shared" ca="1" si="1705"/>
        <v>24</v>
      </c>
      <c r="CB895" t="e">
        <f t="shared" ca="1" si="1879"/>
        <v>#N/A</v>
      </c>
      <c r="CC895" s="112" t="e">
        <f t="shared" ca="1" si="1880"/>
        <v>#N/A</v>
      </c>
      <c r="CD895" s="112" t="str">
        <f t="shared" ca="1" si="1881"/>
        <v/>
      </c>
      <c r="CE895">
        <f t="shared" ca="1" si="1882"/>
        <v>0</v>
      </c>
      <c r="CF895">
        <f t="shared" ca="1" si="1883"/>
        <v>24</v>
      </c>
      <c r="CH895" s="112" t="str">
        <f t="shared" ca="1" si="1749"/>
        <v/>
      </c>
      <c r="CI895" t="e">
        <f t="shared" ca="1" si="1884"/>
        <v>#N/A</v>
      </c>
      <c r="CJ895" t="e">
        <f t="shared" ref="CJ895" ca="1" si="1896">IF(AND(CI895=0,CC895&lt;100000),1,0)</f>
        <v>#N/A</v>
      </c>
      <c r="CK895" s="112" t="e">
        <f t="shared" ca="1" si="1753"/>
        <v>#N/A</v>
      </c>
      <c r="CM895" s="112"/>
      <c r="CN895" s="261" t="e">
        <f t="shared" ref="CN895" ca="1" si="1897">IF(AND(CN891=100000,CN892=100000,CN893=100000,CN894=100000),INDIRECT(CONCATENATE("aa",BQ895)),CC895)</f>
        <v>#N/A</v>
      </c>
      <c r="CO895" s="324" t="e">
        <f t="shared" ca="1" si="1886"/>
        <v>#N/A</v>
      </c>
      <c r="CP895" s="256">
        <f t="shared" ca="1" si="1754"/>
        <v>0</v>
      </c>
      <c r="CQ895" s="329">
        <f t="shared" ca="1" si="1755"/>
        <v>24</v>
      </c>
      <c r="CS895" s="112">
        <f t="shared" ca="1" si="1876"/>
        <v>100000</v>
      </c>
      <c r="CT895" s="112" t="e">
        <f t="shared" ca="1" si="1703"/>
        <v>#N/A</v>
      </c>
      <c r="CU895" s="238">
        <f t="shared" ca="1" si="1887"/>
        <v>0</v>
      </c>
      <c r="CV895" s="238">
        <f t="shared" ca="1" si="1888"/>
        <v>24</v>
      </c>
      <c r="CY895">
        <f t="shared" si="1892"/>
        <v>325</v>
      </c>
      <c r="DA895" s="112">
        <f t="shared" ca="1" si="1893"/>
        <v>100000</v>
      </c>
      <c r="DE895" t="str">
        <f t="shared" si="1889"/>
        <v>cs:dc771</v>
      </c>
      <c r="DF895" t="e">
        <f t="shared" ca="1" si="1890"/>
        <v>#REF!</v>
      </c>
    </row>
    <row r="896" spans="47:110" x14ac:dyDescent="0.25">
      <c r="AU896" s="112"/>
      <c r="AV896" s="112"/>
      <c r="BQ896" s="238">
        <f t="shared" ref="BQ896" si="1898">BQ895+1</f>
        <v>636</v>
      </c>
      <c r="BR896" s="112" t="s">
        <v>444</v>
      </c>
      <c r="BS896" s="112" t="s">
        <v>445</v>
      </c>
      <c r="BT896" s="114" t="e">
        <f t="shared" ca="1" si="1837"/>
        <v>#N/A</v>
      </c>
      <c r="BU896" s="112"/>
      <c r="BV896">
        <f t="shared" ca="1" si="1717"/>
        <v>0</v>
      </c>
      <c r="BW896" s="112" t="str">
        <f t="shared" ca="1" si="1872"/>
        <v/>
      </c>
      <c r="BX896" s="112" t="e">
        <f t="shared" ref="BX896:BX898" ca="1" si="1899">INDIRECT(CONCATENATE(BS896,BQ896))-1</f>
        <v>#N/A</v>
      </c>
      <c r="BY896">
        <f t="shared" ca="1" si="1704"/>
        <v>0</v>
      </c>
      <c r="BZ896">
        <f t="shared" ca="1" si="1705"/>
        <v>24</v>
      </c>
      <c r="CB896" t="e">
        <f t="shared" ca="1" si="1879"/>
        <v>#N/A</v>
      </c>
      <c r="CC896" s="112" t="e">
        <f t="shared" ca="1" si="1880"/>
        <v>#N/A</v>
      </c>
      <c r="CD896" s="112" t="e">
        <f t="shared" ca="1" si="1881"/>
        <v>#N/A</v>
      </c>
      <c r="CE896">
        <f t="shared" ca="1" si="1882"/>
        <v>0</v>
      </c>
      <c r="CF896">
        <f t="shared" ca="1" si="1883"/>
        <v>24</v>
      </c>
      <c r="CH896" s="112" t="str">
        <f t="shared" ca="1" si="1749"/>
        <v/>
      </c>
      <c r="CI896" t="e">
        <f t="shared" ref="CI896" ca="1" si="1900">CB896+CB897+CB898+CB899+CB900</f>
        <v>#N/A</v>
      </c>
      <c r="CJ896">
        <v>0</v>
      </c>
      <c r="CK896" s="112" t="str">
        <f t="shared" ca="1" si="1753"/>
        <v/>
      </c>
      <c r="CM896" s="112"/>
      <c r="CN896" s="408" t="e">
        <f t="shared" ref="CN896:CN959" ca="1" si="1901">CC896</f>
        <v>#N/A</v>
      </c>
      <c r="CO896" s="326" t="e">
        <f t="shared" ref="CO896" ca="1" si="1902">CD896</f>
        <v>#N/A</v>
      </c>
      <c r="CP896" s="333">
        <f t="shared" ca="1" si="1754"/>
        <v>0</v>
      </c>
      <c r="CQ896" s="327">
        <f t="shared" ca="1" si="1755"/>
        <v>24</v>
      </c>
      <c r="CS896" s="112">
        <f t="shared" ca="1" si="1876"/>
        <v>100000</v>
      </c>
      <c r="CT896" s="112" t="e">
        <f t="shared" ref="CT896" ca="1" si="1903">IF(AND( CN897=100000,CN898=100000,CN899=100000,CN900=100000),CO900,                             CO896)</f>
        <v>#N/A</v>
      </c>
      <c r="CU896" s="238">
        <f t="shared" ca="1" si="1887"/>
        <v>0</v>
      </c>
      <c r="CV896" s="238">
        <f t="shared" ca="1" si="1888"/>
        <v>24</v>
      </c>
      <c r="CY896">
        <f t="shared" si="1892"/>
        <v>326</v>
      </c>
      <c r="DA896" s="112">
        <f t="shared" ca="1" si="1893"/>
        <v>100000</v>
      </c>
      <c r="DE896" t="str">
        <f t="shared" si="1889"/>
        <v>cs:dc771</v>
      </c>
      <c r="DF896" t="e">
        <f t="shared" ca="1" si="1890"/>
        <v>#REF!</v>
      </c>
    </row>
    <row r="897" spans="47:110" x14ac:dyDescent="0.25">
      <c r="AU897" s="112"/>
      <c r="AV897" s="112"/>
      <c r="BQ897" s="238">
        <f t="shared" ref="BQ897:BQ900" si="1904">BQ896</f>
        <v>636</v>
      </c>
      <c r="BR897" t="s">
        <v>445</v>
      </c>
      <c r="BS897" t="s">
        <v>446</v>
      </c>
      <c r="BT897" s="114" t="e">
        <f t="shared" ca="1" si="1837"/>
        <v>#N/A</v>
      </c>
      <c r="BU897" s="112"/>
      <c r="BV897" t="e">
        <f t="shared" ca="1" si="1717"/>
        <v>#N/A</v>
      </c>
      <c r="BW897" s="112" t="e">
        <f t="shared" ca="1" si="1872"/>
        <v>#N/A</v>
      </c>
      <c r="BX897" s="112" t="e">
        <f t="shared" ca="1" si="1899"/>
        <v>#N/A</v>
      </c>
      <c r="BY897">
        <f t="shared" ref="BY897:BY960" ca="1" si="1905">INDIRECT(CONCATENATE("ag",BQ897))</f>
        <v>0</v>
      </c>
      <c r="BZ897">
        <f t="shared" ref="BZ897:BZ960" ca="1" si="1906">INDIRECT(CONCATENATE("ah",BQ897))</f>
        <v>24</v>
      </c>
      <c r="CB897" t="e">
        <f t="shared" ca="1" si="1879"/>
        <v>#N/A</v>
      </c>
      <c r="CC897" s="112" t="e">
        <f t="shared" ca="1" si="1880"/>
        <v>#N/A</v>
      </c>
      <c r="CD897" s="112" t="e">
        <f t="shared" ca="1" si="1881"/>
        <v>#N/A</v>
      </c>
      <c r="CE897">
        <f t="shared" ca="1" si="1882"/>
        <v>0</v>
      </c>
      <c r="CF897">
        <f t="shared" ca="1" si="1883"/>
        <v>24</v>
      </c>
      <c r="CH897" s="112" t="str">
        <f t="shared" ca="1" si="1749"/>
        <v/>
      </c>
      <c r="CI897" t="e">
        <f t="shared" ref="CI897:CI900" ca="1" si="1907">CI896</f>
        <v>#N/A</v>
      </c>
      <c r="CJ897" t="e">
        <f t="shared" ref="CJ897" ca="1" si="1908">IF(AND(CI897=0,CJ898=0,CJ899=0,CJ900=0,CC897&lt;100000),1,0)</f>
        <v>#N/A</v>
      </c>
      <c r="CK897" s="112" t="e">
        <f t="shared" ca="1" si="1753"/>
        <v>#N/A</v>
      </c>
      <c r="CM897" s="112"/>
      <c r="CN897" s="260" t="e">
        <f t="shared" ca="1" si="1901"/>
        <v>#N/A</v>
      </c>
      <c r="CO897" s="112" t="e">
        <f t="shared" ref="CO897:CO900" ca="1" si="1909">IF(CJ897=1,CH897,CD897)</f>
        <v>#N/A</v>
      </c>
      <c r="CP897" s="238">
        <f t="shared" ca="1" si="1754"/>
        <v>0</v>
      </c>
      <c r="CQ897" s="328">
        <f t="shared" ca="1" si="1755"/>
        <v>24</v>
      </c>
      <c r="CS897" s="112">
        <f t="shared" ca="1" si="1876"/>
        <v>100000</v>
      </c>
      <c r="CT897" s="112" t="e">
        <f t="shared" ref="CT897:CT960" ca="1" si="1910">CO897</f>
        <v>#N/A</v>
      </c>
      <c r="CU897" s="238">
        <f t="shared" ca="1" si="1887"/>
        <v>0</v>
      </c>
      <c r="CV897" s="238">
        <f t="shared" ca="1" si="1888"/>
        <v>24</v>
      </c>
      <c r="CY897">
        <f t="shared" si="1892"/>
        <v>327</v>
      </c>
      <c r="DA897" s="112">
        <f t="shared" ca="1" si="1893"/>
        <v>100000</v>
      </c>
      <c r="DE897" t="str">
        <f t="shared" si="1889"/>
        <v>cs:dc771</v>
      </c>
      <c r="DF897" t="e">
        <f t="shared" ca="1" si="1890"/>
        <v>#REF!</v>
      </c>
    </row>
    <row r="898" spans="47:110" x14ac:dyDescent="0.25">
      <c r="AU898" s="112"/>
      <c r="AV898" s="112"/>
      <c r="BQ898" s="238">
        <f t="shared" si="1904"/>
        <v>636</v>
      </c>
      <c r="BR898" t="s">
        <v>446</v>
      </c>
      <c r="BS898" t="s">
        <v>447</v>
      </c>
      <c r="BT898" s="114" t="e">
        <f t="shared" ca="1" si="1837"/>
        <v>#N/A</v>
      </c>
      <c r="BU898" s="112"/>
      <c r="BV898" t="e">
        <f t="shared" ca="1" si="1717"/>
        <v>#N/A</v>
      </c>
      <c r="BW898" s="112" t="e">
        <f t="shared" ca="1" si="1872"/>
        <v>#N/A</v>
      </c>
      <c r="BX898" s="112" t="e">
        <f t="shared" ca="1" si="1899"/>
        <v>#N/A</v>
      </c>
      <c r="BY898">
        <f t="shared" ca="1" si="1905"/>
        <v>0</v>
      </c>
      <c r="BZ898">
        <f t="shared" ca="1" si="1906"/>
        <v>24</v>
      </c>
      <c r="CB898" t="e">
        <f t="shared" ca="1" si="1879"/>
        <v>#N/A</v>
      </c>
      <c r="CC898" s="112" t="e">
        <f t="shared" ca="1" si="1880"/>
        <v>#N/A</v>
      </c>
      <c r="CD898" s="112" t="e">
        <f t="shared" ca="1" si="1881"/>
        <v>#N/A</v>
      </c>
      <c r="CE898">
        <f t="shared" ca="1" si="1882"/>
        <v>0</v>
      </c>
      <c r="CF898">
        <f t="shared" ca="1" si="1883"/>
        <v>24</v>
      </c>
      <c r="CH898" s="112" t="str">
        <f t="shared" ca="1" si="1749"/>
        <v/>
      </c>
      <c r="CI898" t="e">
        <f t="shared" ca="1" si="1907"/>
        <v>#N/A</v>
      </c>
      <c r="CJ898" t="e">
        <f t="shared" ref="CJ898" ca="1" si="1911">IF(AND(CI898=0,CJ899=0,CJ900=0,CC898&lt;100000),1,0)</f>
        <v>#N/A</v>
      </c>
      <c r="CK898" s="112" t="e">
        <f t="shared" ca="1" si="1753"/>
        <v>#N/A</v>
      </c>
      <c r="CM898" s="112"/>
      <c r="CN898" s="260" t="e">
        <f t="shared" ca="1" si="1901"/>
        <v>#N/A</v>
      </c>
      <c r="CO898" s="112" t="e">
        <f t="shared" ca="1" si="1909"/>
        <v>#N/A</v>
      </c>
      <c r="CP898" s="238">
        <f t="shared" ca="1" si="1754"/>
        <v>0</v>
      </c>
      <c r="CQ898" s="328">
        <f t="shared" ca="1" si="1755"/>
        <v>24</v>
      </c>
      <c r="CS898" s="112">
        <f t="shared" ca="1" si="1876"/>
        <v>100000</v>
      </c>
      <c r="CT898" s="112" t="e">
        <f t="shared" ca="1" si="1910"/>
        <v>#N/A</v>
      </c>
      <c r="CU898" s="238">
        <f t="shared" ca="1" si="1887"/>
        <v>0</v>
      </c>
      <c r="CV898" s="238">
        <f t="shared" ca="1" si="1888"/>
        <v>24</v>
      </c>
      <c r="CY898">
        <f t="shared" si="1892"/>
        <v>328</v>
      </c>
      <c r="DA898" s="112">
        <f t="shared" ca="1" si="1893"/>
        <v>100000</v>
      </c>
      <c r="DE898" t="str">
        <f t="shared" si="1889"/>
        <v>cs:dc771</v>
      </c>
      <c r="DF898" t="e">
        <f t="shared" ca="1" si="1890"/>
        <v>#REF!</v>
      </c>
    </row>
    <row r="899" spans="47:110" x14ac:dyDescent="0.25">
      <c r="AU899" s="112"/>
      <c r="AV899" s="112"/>
      <c r="BQ899" s="238">
        <f t="shared" si="1904"/>
        <v>636</v>
      </c>
      <c r="BR899" t="s">
        <v>447</v>
      </c>
      <c r="BS899" t="s">
        <v>448</v>
      </c>
      <c r="BT899" s="114" t="e">
        <f t="shared" ca="1" si="1837"/>
        <v>#N/A</v>
      </c>
      <c r="BU899" s="112"/>
      <c r="BV899" t="e">
        <f t="shared" ca="1" si="1717"/>
        <v>#N/A</v>
      </c>
      <c r="BW899" s="112" t="e">
        <f t="shared" ca="1" si="1872"/>
        <v>#N/A</v>
      </c>
      <c r="BX899" s="112" t="e">
        <f t="shared" ref="BX899:BX900" ca="1" si="1912">INDIRECT(CONCATENATE(BS899,BQ899))</f>
        <v>#N/A</v>
      </c>
      <c r="BY899">
        <f t="shared" ca="1" si="1905"/>
        <v>0</v>
      </c>
      <c r="BZ899">
        <f t="shared" ca="1" si="1906"/>
        <v>24</v>
      </c>
      <c r="CB899" t="e">
        <f t="shared" ca="1" si="1879"/>
        <v>#N/A</v>
      </c>
      <c r="CC899" s="112" t="e">
        <f t="shared" ca="1" si="1880"/>
        <v>#N/A</v>
      </c>
      <c r="CD899" s="112" t="e">
        <f t="shared" ca="1" si="1881"/>
        <v>#N/A</v>
      </c>
      <c r="CE899">
        <f t="shared" ca="1" si="1882"/>
        <v>0</v>
      </c>
      <c r="CF899">
        <f t="shared" ca="1" si="1883"/>
        <v>24</v>
      </c>
      <c r="CH899" s="112" t="str">
        <f t="shared" ca="1" si="1749"/>
        <v/>
      </c>
      <c r="CI899" t="e">
        <f t="shared" ca="1" si="1907"/>
        <v>#N/A</v>
      </c>
      <c r="CJ899" t="e">
        <f t="shared" ref="CJ899" ca="1" si="1913">IF(AND(CI899=0,CJ900=0,CC899&lt;100000),1,0)</f>
        <v>#N/A</v>
      </c>
      <c r="CK899" s="112" t="e">
        <f t="shared" ca="1" si="1753"/>
        <v>#N/A</v>
      </c>
      <c r="CM899" s="112"/>
      <c r="CN899" s="260" t="e">
        <f t="shared" ca="1" si="1901"/>
        <v>#N/A</v>
      </c>
      <c r="CO899" s="112" t="e">
        <f t="shared" ca="1" si="1909"/>
        <v>#N/A</v>
      </c>
      <c r="CP899" s="238">
        <f t="shared" ca="1" si="1754"/>
        <v>0</v>
      </c>
      <c r="CQ899" s="328">
        <f t="shared" ca="1" si="1755"/>
        <v>24</v>
      </c>
      <c r="CS899" s="112">
        <f t="shared" ca="1" si="1876"/>
        <v>100000</v>
      </c>
      <c r="CT899" s="112" t="e">
        <f t="shared" ca="1" si="1910"/>
        <v>#N/A</v>
      </c>
      <c r="CU899" s="238">
        <f t="shared" ca="1" si="1887"/>
        <v>0</v>
      </c>
      <c r="CV899" s="238">
        <f t="shared" ca="1" si="1888"/>
        <v>24</v>
      </c>
      <c r="CY899">
        <f t="shared" si="1892"/>
        <v>329</v>
      </c>
      <c r="DA899" s="112">
        <f t="shared" ca="1" si="1893"/>
        <v>100000</v>
      </c>
      <c r="DE899" t="str">
        <f t="shared" si="1889"/>
        <v>cs:dc771</v>
      </c>
      <c r="DF899" t="e">
        <f t="shared" ca="1" si="1890"/>
        <v>#REF!</v>
      </c>
    </row>
    <row r="900" spans="47:110" ht="15.75" thickBot="1" x14ac:dyDescent="0.3">
      <c r="AU900" s="112"/>
      <c r="AV900" s="112"/>
      <c r="BQ900" s="238">
        <f t="shared" si="1904"/>
        <v>636</v>
      </c>
      <c r="BR900" t="s">
        <v>448</v>
      </c>
      <c r="BS900" t="s">
        <v>449</v>
      </c>
      <c r="BT900" s="114" t="e">
        <f t="shared" ca="1" si="1837"/>
        <v>#N/A</v>
      </c>
      <c r="BU900" s="112"/>
      <c r="BV900" t="e">
        <f t="shared" ca="1" si="1717"/>
        <v>#N/A</v>
      </c>
      <c r="BW900" s="112" t="e">
        <f t="shared" ca="1" si="1872"/>
        <v>#N/A</v>
      </c>
      <c r="BX900" s="112" t="str">
        <f t="shared" ca="1" si="1912"/>
        <v/>
      </c>
      <c r="BY900">
        <f t="shared" ca="1" si="1905"/>
        <v>0</v>
      </c>
      <c r="BZ900">
        <f t="shared" ca="1" si="1906"/>
        <v>24</v>
      </c>
      <c r="CB900" t="e">
        <f t="shared" ca="1" si="1879"/>
        <v>#N/A</v>
      </c>
      <c r="CC900" s="112" t="e">
        <f t="shared" ca="1" si="1880"/>
        <v>#N/A</v>
      </c>
      <c r="CD900" s="112" t="str">
        <f t="shared" ca="1" si="1881"/>
        <v/>
      </c>
      <c r="CE900">
        <f t="shared" ca="1" si="1882"/>
        <v>0</v>
      </c>
      <c r="CF900">
        <f t="shared" ca="1" si="1883"/>
        <v>24</v>
      </c>
      <c r="CH900" s="112" t="str">
        <f t="shared" ca="1" si="1749"/>
        <v/>
      </c>
      <c r="CI900" t="e">
        <f t="shared" ca="1" si="1907"/>
        <v>#N/A</v>
      </c>
      <c r="CJ900" t="e">
        <f t="shared" ref="CJ900" ca="1" si="1914">IF(AND(CI900=0,CC900&lt;100000),1,0)</f>
        <v>#N/A</v>
      </c>
      <c r="CK900" s="112" t="e">
        <f t="shared" ca="1" si="1753"/>
        <v>#N/A</v>
      </c>
      <c r="CM900" s="112"/>
      <c r="CN900" s="261" t="e">
        <f t="shared" ref="CN900" ca="1" si="1915">IF(AND(CN896=100000,CN897=100000,CN898=100000,CN899=100000),INDIRECT(CONCATENATE("aa",BQ900)),CC900)</f>
        <v>#N/A</v>
      </c>
      <c r="CO900" s="324" t="e">
        <f t="shared" ca="1" si="1909"/>
        <v>#N/A</v>
      </c>
      <c r="CP900" s="256">
        <f t="shared" ca="1" si="1754"/>
        <v>0</v>
      </c>
      <c r="CQ900" s="329">
        <f t="shared" ca="1" si="1755"/>
        <v>24</v>
      </c>
      <c r="CS900" s="112">
        <f t="shared" ca="1" si="1876"/>
        <v>100000</v>
      </c>
      <c r="CT900" s="112" t="e">
        <f t="shared" ca="1" si="1910"/>
        <v>#N/A</v>
      </c>
      <c r="CU900" s="238">
        <f t="shared" ca="1" si="1887"/>
        <v>0</v>
      </c>
      <c r="CV900" s="238">
        <f t="shared" ca="1" si="1888"/>
        <v>24</v>
      </c>
      <c r="CY900">
        <f t="shared" si="1892"/>
        <v>330</v>
      </c>
      <c r="DA900" s="112">
        <f t="shared" ca="1" si="1893"/>
        <v>100000</v>
      </c>
      <c r="DE900" t="str">
        <f t="shared" si="1889"/>
        <v>cs:dc771</v>
      </c>
      <c r="DF900" t="e">
        <f t="shared" ca="1" si="1890"/>
        <v>#REF!</v>
      </c>
    </row>
    <row r="901" spans="47:110" x14ac:dyDescent="0.25">
      <c r="AU901" s="112"/>
      <c r="AV901" s="112"/>
      <c r="BQ901" s="238">
        <f t="shared" ref="BQ901" si="1916">BQ900+1</f>
        <v>637</v>
      </c>
      <c r="BR901" s="112" t="s">
        <v>444</v>
      </c>
      <c r="BS901" s="112" t="s">
        <v>445</v>
      </c>
      <c r="BT901" s="114" t="e">
        <f t="shared" ca="1" si="1837"/>
        <v>#N/A</v>
      </c>
      <c r="BU901" s="112"/>
      <c r="BV901">
        <f t="shared" ref="BV901:BV964" ca="1" si="1917">IF(BW901=INDIRECT(CONCATENATE("bn",BQ901)),0,1)</f>
        <v>0</v>
      </c>
      <c r="BW901" s="112" t="str">
        <f t="shared" ca="1" si="1872"/>
        <v/>
      </c>
      <c r="BX901" s="112" t="e">
        <f t="shared" ref="BX901:BX903" ca="1" si="1918">INDIRECT(CONCATENATE(BS901,BQ901))-1</f>
        <v>#N/A</v>
      </c>
      <c r="BY901">
        <f t="shared" ca="1" si="1905"/>
        <v>0</v>
      </c>
      <c r="BZ901">
        <f t="shared" ca="1" si="1906"/>
        <v>24</v>
      </c>
      <c r="CB901" t="e">
        <f t="shared" ca="1" si="1879"/>
        <v>#N/A</v>
      </c>
      <c r="CC901" s="112" t="e">
        <f t="shared" ca="1" si="1880"/>
        <v>#N/A</v>
      </c>
      <c r="CD901" s="112" t="e">
        <f t="shared" ca="1" si="1881"/>
        <v>#N/A</v>
      </c>
      <c r="CE901">
        <f t="shared" ca="1" si="1882"/>
        <v>0</v>
      </c>
      <c r="CF901">
        <f t="shared" ca="1" si="1883"/>
        <v>24</v>
      </c>
      <c r="CH901" s="112" t="str">
        <f t="shared" ca="1" si="1749"/>
        <v/>
      </c>
      <c r="CI901" t="e">
        <f t="shared" ref="CI901" ca="1" si="1919">CB901+CB902+CB903+CB904+CB905</f>
        <v>#N/A</v>
      </c>
      <c r="CJ901">
        <v>0</v>
      </c>
      <c r="CK901" s="112" t="str">
        <f t="shared" ca="1" si="1753"/>
        <v/>
      </c>
      <c r="CM901" s="112"/>
      <c r="CN901" s="408" t="e">
        <f t="shared" ca="1" si="1901"/>
        <v>#N/A</v>
      </c>
      <c r="CO901" s="326" t="e">
        <f t="shared" ref="CO901" ca="1" si="1920">CD901</f>
        <v>#N/A</v>
      </c>
      <c r="CP901" s="333">
        <f t="shared" ca="1" si="1754"/>
        <v>0</v>
      </c>
      <c r="CQ901" s="327">
        <f t="shared" ca="1" si="1755"/>
        <v>24</v>
      </c>
      <c r="CS901" s="112">
        <f t="shared" ca="1" si="1876"/>
        <v>100000</v>
      </c>
      <c r="CT901" s="112" t="e">
        <f t="shared" ref="CT901" ca="1" si="1921">IF(AND( CN902=100000,CN903=100000,CN904=100000,CN905=100000),CO905,                             CO901)</f>
        <v>#N/A</v>
      </c>
      <c r="CU901" s="238">
        <f t="shared" ca="1" si="1887"/>
        <v>0</v>
      </c>
      <c r="CV901" s="238">
        <f t="shared" ca="1" si="1888"/>
        <v>24</v>
      </c>
      <c r="CY901">
        <f t="shared" si="1892"/>
        <v>331</v>
      </c>
      <c r="DA901" s="112">
        <f t="shared" ca="1" si="1893"/>
        <v>100000</v>
      </c>
      <c r="DE901" t="str">
        <f t="shared" si="1889"/>
        <v>cs:dc771</v>
      </c>
      <c r="DF901" t="e">
        <f t="shared" ca="1" si="1890"/>
        <v>#REF!</v>
      </c>
    </row>
    <row r="902" spans="47:110" x14ac:dyDescent="0.25">
      <c r="AU902" s="112"/>
      <c r="AV902" s="112"/>
      <c r="BQ902" s="238">
        <f t="shared" ref="BQ902:BQ905" si="1922">BQ901</f>
        <v>637</v>
      </c>
      <c r="BR902" t="s">
        <v>445</v>
      </c>
      <c r="BS902" t="s">
        <v>446</v>
      </c>
      <c r="BT902" s="114" t="e">
        <f t="shared" ca="1" si="1837"/>
        <v>#N/A</v>
      </c>
      <c r="BU902" s="112"/>
      <c r="BV902" t="e">
        <f t="shared" ca="1" si="1917"/>
        <v>#N/A</v>
      </c>
      <c r="BW902" s="112" t="e">
        <f t="shared" ca="1" si="1872"/>
        <v>#N/A</v>
      </c>
      <c r="BX902" s="112" t="e">
        <f t="shared" ca="1" si="1918"/>
        <v>#N/A</v>
      </c>
      <c r="BY902">
        <f t="shared" ca="1" si="1905"/>
        <v>0</v>
      </c>
      <c r="BZ902">
        <f t="shared" ca="1" si="1906"/>
        <v>24</v>
      </c>
      <c r="CB902" t="e">
        <f t="shared" ca="1" si="1879"/>
        <v>#N/A</v>
      </c>
      <c r="CC902" s="112" t="e">
        <f t="shared" ca="1" si="1880"/>
        <v>#N/A</v>
      </c>
      <c r="CD902" s="112" t="e">
        <f t="shared" ca="1" si="1881"/>
        <v>#N/A</v>
      </c>
      <c r="CE902">
        <f t="shared" ca="1" si="1882"/>
        <v>0</v>
      </c>
      <c r="CF902">
        <f t="shared" ca="1" si="1883"/>
        <v>24</v>
      </c>
      <c r="CH902" s="112" t="str">
        <f t="shared" ca="1" si="1749"/>
        <v/>
      </c>
      <c r="CI902" t="e">
        <f t="shared" ref="CI902:CI905" ca="1" si="1923">CI901</f>
        <v>#N/A</v>
      </c>
      <c r="CJ902" t="e">
        <f t="shared" ref="CJ902" ca="1" si="1924">IF(AND(CI902=0,CJ903=0,CJ904=0,CJ905=0,CC902&lt;100000),1,0)</f>
        <v>#N/A</v>
      </c>
      <c r="CK902" s="112" t="e">
        <f t="shared" ca="1" si="1753"/>
        <v>#N/A</v>
      </c>
      <c r="CM902" s="112"/>
      <c r="CN902" s="260" t="e">
        <f t="shared" ca="1" si="1901"/>
        <v>#N/A</v>
      </c>
      <c r="CO902" s="112" t="e">
        <f t="shared" ref="CO902:CO905" ca="1" si="1925">IF(CJ902=1,CH902,CD902)</f>
        <v>#N/A</v>
      </c>
      <c r="CP902" s="238">
        <f t="shared" ca="1" si="1754"/>
        <v>0</v>
      </c>
      <c r="CQ902" s="328">
        <f t="shared" ca="1" si="1755"/>
        <v>24</v>
      </c>
      <c r="CS902" s="112">
        <f t="shared" ca="1" si="1876"/>
        <v>100000</v>
      </c>
      <c r="CT902" s="112" t="e">
        <f t="shared" ca="1" si="1910"/>
        <v>#N/A</v>
      </c>
      <c r="CU902" s="238">
        <f t="shared" ca="1" si="1887"/>
        <v>0</v>
      </c>
      <c r="CV902" s="238">
        <f t="shared" ca="1" si="1888"/>
        <v>24</v>
      </c>
      <c r="CY902">
        <f t="shared" si="1892"/>
        <v>332</v>
      </c>
      <c r="DA902" s="112">
        <f t="shared" ca="1" si="1893"/>
        <v>100000</v>
      </c>
      <c r="DE902" t="str">
        <f t="shared" si="1889"/>
        <v>cs:dc771</v>
      </c>
      <c r="DF902" t="e">
        <f t="shared" ca="1" si="1890"/>
        <v>#REF!</v>
      </c>
    </row>
    <row r="903" spans="47:110" x14ac:dyDescent="0.25">
      <c r="AU903" s="112"/>
      <c r="AV903" s="112"/>
      <c r="BQ903" s="238">
        <f t="shared" si="1922"/>
        <v>637</v>
      </c>
      <c r="BR903" t="s">
        <v>446</v>
      </c>
      <c r="BS903" t="s">
        <v>447</v>
      </c>
      <c r="BT903" s="114" t="e">
        <f t="shared" ca="1" si="1837"/>
        <v>#N/A</v>
      </c>
      <c r="BU903" s="112"/>
      <c r="BV903" t="e">
        <f t="shared" ca="1" si="1917"/>
        <v>#N/A</v>
      </c>
      <c r="BW903" s="112" t="e">
        <f t="shared" ca="1" si="1872"/>
        <v>#N/A</v>
      </c>
      <c r="BX903" s="112" t="e">
        <f t="shared" ca="1" si="1918"/>
        <v>#N/A</v>
      </c>
      <c r="BY903">
        <f t="shared" ca="1" si="1905"/>
        <v>0</v>
      </c>
      <c r="BZ903">
        <f t="shared" ca="1" si="1906"/>
        <v>24</v>
      </c>
      <c r="CB903" t="e">
        <f t="shared" ca="1" si="1879"/>
        <v>#N/A</v>
      </c>
      <c r="CC903" s="112" t="e">
        <f t="shared" ca="1" si="1880"/>
        <v>#N/A</v>
      </c>
      <c r="CD903" s="112" t="e">
        <f t="shared" ca="1" si="1881"/>
        <v>#N/A</v>
      </c>
      <c r="CE903">
        <f t="shared" ca="1" si="1882"/>
        <v>0</v>
      </c>
      <c r="CF903">
        <f t="shared" ca="1" si="1883"/>
        <v>24</v>
      </c>
      <c r="CH903" s="112" t="str">
        <f t="shared" ca="1" si="1749"/>
        <v/>
      </c>
      <c r="CI903" t="e">
        <f t="shared" ca="1" si="1923"/>
        <v>#N/A</v>
      </c>
      <c r="CJ903" t="e">
        <f t="shared" ref="CJ903" ca="1" si="1926">IF(AND(CI903=0,CJ904=0,CJ905=0,CC903&lt;100000),1,0)</f>
        <v>#N/A</v>
      </c>
      <c r="CK903" s="112" t="e">
        <f t="shared" ca="1" si="1753"/>
        <v>#N/A</v>
      </c>
      <c r="CM903" s="112"/>
      <c r="CN903" s="260" t="e">
        <f t="shared" ca="1" si="1901"/>
        <v>#N/A</v>
      </c>
      <c r="CO903" s="112" t="e">
        <f t="shared" ca="1" si="1925"/>
        <v>#N/A</v>
      </c>
      <c r="CP903" s="238">
        <f t="shared" ca="1" si="1754"/>
        <v>0</v>
      </c>
      <c r="CQ903" s="328">
        <f t="shared" ca="1" si="1755"/>
        <v>24</v>
      </c>
      <c r="CS903" s="112">
        <f t="shared" ca="1" si="1876"/>
        <v>100000</v>
      </c>
      <c r="CT903" s="112" t="e">
        <f t="shared" ca="1" si="1910"/>
        <v>#N/A</v>
      </c>
      <c r="CU903" s="238">
        <f t="shared" ca="1" si="1887"/>
        <v>0</v>
      </c>
      <c r="CV903" s="238">
        <f t="shared" ca="1" si="1888"/>
        <v>24</v>
      </c>
      <c r="CY903">
        <f t="shared" si="1892"/>
        <v>333</v>
      </c>
      <c r="DA903" s="112">
        <f t="shared" ca="1" si="1893"/>
        <v>100000</v>
      </c>
      <c r="DE903" t="str">
        <f t="shared" si="1889"/>
        <v>cs:dc771</v>
      </c>
      <c r="DF903" t="e">
        <f t="shared" ca="1" si="1890"/>
        <v>#REF!</v>
      </c>
    </row>
    <row r="904" spans="47:110" x14ac:dyDescent="0.25">
      <c r="AU904" s="112"/>
      <c r="AV904" s="112"/>
      <c r="BQ904" s="238">
        <f t="shared" si="1922"/>
        <v>637</v>
      </c>
      <c r="BR904" t="s">
        <v>447</v>
      </c>
      <c r="BS904" t="s">
        <v>448</v>
      </c>
      <c r="BT904" s="114" t="e">
        <f t="shared" ca="1" si="1837"/>
        <v>#N/A</v>
      </c>
      <c r="BU904" s="112"/>
      <c r="BV904" t="e">
        <f t="shared" ca="1" si="1917"/>
        <v>#N/A</v>
      </c>
      <c r="BW904" s="112" t="e">
        <f t="shared" ca="1" si="1872"/>
        <v>#N/A</v>
      </c>
      <c r="BX904" s="112" t="e">
        <f t="shared" ref="BX904:BX905" ca="1" si="1927">INDIRECT(CONCATENATE(BS904,BQ904))</f>
        <v>#N/A</v>
      </c>
      <c r="BY904">
        <f t="shared" ca="1" si="1905"/>
        <v>0</v>
      </c>
      <c r="BZ904">
        <f t="shared" ca="1" si="1906"/>
        <v>24</v>
      </c>
      <c r="CB904" t="e">
        <f t="shared" ca="1" si="1879"/>
        <v>#N/A</v>
      </c>
      <c r="CC904" s="112" t="e">
        <f t="shared" ca="1" si="1880"/>
        <v>#N/A</v>
      </c>
      <c r="CD904" s="112" t="e">
        <f t="shared" ca="1" si="1881"/>
        <v>#N/A</v>
      </c>
      <c r="CE904">
        <f t="shared" ca="1" si="1882"/>
        <v>0</v>
      </c>
      <c r="CF904">
        <f t="shared" ca="1" si="1883"/>
        <v>24</v>
      </c>
      <c r="CH904" s="112" t="str">
        <f t="shared" ca="1" si="1749"/>
        <v/>
      </c>
      <c r="CI904" t="e">
        <f t="shared" ca="1" si="1923"/>
        <v>#N/A</v>
      </c>
      <c r="CJ904" t="e">
        <f t="shared" ref="CJ904" ca="1" si="1928">IF(AND(CI904=0,CJ905=0,CC904&lt;100000),1,0)</f>
        <v>#N/A</v>
      </c>
      <c r="CK904" s="112" t="e">
        <f t="shared" ca="1" si="1753"/>
        <v>#N/A</v>
      </c>
      <c r="CM904" s="112"/>
      <c r="CN904" s="260" t="e">
        <f t="shared" ca="1" si="1901"/>
        <v>#N/A</v>
      </c>
      <c r="CO904" s="112" t="e">
        <f t="shared" ca="1" si="1925"/>
        <v>#N/A</v>
      </c>
      <c r="CP904" s="238">
        <f t="shared" ca="1" si="1754"/>
        <v>0</v>
      </c>
      <c r="CQ904" s="328">
        <f t="shared" ca="1" si="1755"/>
        <v>24</v>
      </c>
      <c r="CS904" s="112">
        <f t="shared" ca="1" si="1876"/>
        <v>100000</v>
      </c>
      <c r="CT904" s="112" t="e">
        <f t="shared" ca="1" si="1910"/>
        <v>#N/A</v>
      </c>
      <c r="CU904" s="238">
        <f t="shared" ca="1" si="1887"/>
        <v>0</v>
      </c>
      <c r="CV904" s="238">
        <f t="shared" ca="1" si="1888"/>
        <v>24</v>
      </c>
      <c r="CY904">
        <f t="shared" si="1892"/>
        <v>334</v>
      </c>
      <c r="DA904" s="112">
        <f t="shared" ca="1" si="1893"/>
        <v>100000</v>
      </c>
      <c r="DE904" t="str">
        <f t="shared" si="1889"/>
        <v>cs:dc771</v>
      </c>
      <c r="DF904" t="e">
        <f t="shared" ca="1" si="1890"/>
        <v>#REF!</v>
      </c>
    </row>
    <row r="905" spans="47:110" ht="15.75" thickBot="1" x14ac:dyDescent="0.3">
      <c r="AU905" s="112"/>
      <c r="AV905" s="112"/>
      <c r="BQ905" s="238">
        <f t="shared" si="1922"/>
        <v>637</v>
      </c>
      <c r="BR905" t="s">
        <v>448</v>
      </c>
      <c r="BS905" t="s">
        <v>449</v>
      </c>
      <c r="BT905" s="114" t="e">
        <f t="shared" ca="1" si="1837"/>
        <v>#N/A</v>
      </c>
      <c r="BU905" s="112"/>
      <c r="BV905" t="e">
        <f t="shared" ca="1" si="1917"/>
        <v>#N/A</v>
      </c>
      <c r="BW905" s="112" t="e">
        <f t="shared" ca="1" si="1872"/>
        <v>#N/A</v>
      </c>
      <c r="BX905" s="112" t="str">
        <f t="shared" ca="1" si="1927"/>
        <v/>
      </c>
      <c r="BY905">
        <f t="shared" ca="1" si="1905"/>
        <v>0</v>
      </c>
      <c r="BZ905">
        <f t="shared" ca="1" si="1906"/>
        <v>24</v>
      </c>
      <c r="CB905" t="e">
        <f t="shared" ca="1" si="1879"/>
        <v>#N/A</v>
      </c>
      <c r="CC905" s="112" t="e">
        <f t="shared" ca="1" si="1880"/>
        <v>#N/A</v>
      </c>
      <c r="CD905" s="112" t="str">
        <f t="shared" ca="1" si="1881"/>
        <v/>
      </c>
      <c r="CE905">
        <f t="shared" ca="1" si="1882"/>
        <v>0</v>
      </c>
      <c r="CF905">
        <f t="shared" ca="1" si="1883"/>
        <v>24</v>
      </c>
      <c r="CH905" s="112" t="str">
        <f t="shared" ca="1" si="1749"/>
        <v/>
      </c>
      <c r="CI905" t="e">
        <f t="shared" ca="1" si="1923"/>
        <v>#N/A</v>
      </c>
      <c r="CJ905" t="e">
        <f t="shared" ref="CJ905" ca="1" si="1929">IF(AND(CI905=0,CC905&lt;100000),1,0)</f>
        <v>#N/A</v>
      </c>
      <c r="CK905" s="112" t="e">
        <f t="shared" ca="1" si="1753"/>
        <v>#N/A</v>
      </c>
      <c r="CM905" s="112"/>
      <c r="CN905" s="261" t="e">
        <f t="shared" ref="CN905" ca="1" si="1930">IF(AND(CN901=100000,CN902=100000,CN903=100000,CN904=100000),INDIRECT(CONCATENATE("aa",BQ905)),CC905)</f>
        <v>#N/A</v>
      </c>
      <c r="CO905" s="324" t="e">
        <f t="shared" ca="1" si="1925"/>
        <v>#N/A</v>
      </c>
      <c r="CP905" s="256">
        <f t="shared" ca="1" si="1754"/>
        <v>0</v>
      </c>
      <c r="CQ905" s="329">
        <f t="shared" ca="1" si="1755"/>
        <v>24</v>
      </c>
      <c r="CS905" s="112">
        <f t="shared" ca="1" si="1876"/>
        <v>100000</v>
      </c>
      <c r="CT905" s="112" t="e">
        <f t="shared" ca="1" si="1910"/>
        <v>#N/A</v>
      </c>
      <c r="CU905" s="238">
        <f t="shared" ca="1" si="1887"/>
        <v>0</v>
      </c>
      <c r="CV905" s="238">
        <f t="shared" ca="1" si="1888"/>
        <v>24</v>
      </c>
      <c r="CY905">
        <f t="shared" si="1892"/>
        <v>335</v>
      </c>
      <c r="DA905" s="112">
        <f t="shared" ca="1" si="1893"/>
        <v>100000</v>
      </c>
      <c r="DE905" t="str">
        <f t="shared" si="1889"/>
        <v>cs:dc771</v>
      </c>
      <c r="DF905" t="e">
        <f t="shared" ca="1" si="1890"/>
        <v>#REF!</v>
      </c>
    </row>
    <row r="906" spans="47:110" x14ac:dyDescent="0.25">
      <c r="AU906" s="112"/>
      <c r="AV906" s="112"/>
      <c r="BQ906" s="238">
        <f t="shared" ref="BQ906" si="1931">BQ905+1</f>
        <v>638</v>
      </c>
      <c r="BR906" s="112" t="s">
        <v>444</v>
      </c>
      <c r="BS906" s="112" t="s">
        <v>445</v>
      </c>
      <c r="BT906" s="114" t="e">
        <f t="shared" ca="1" si="1837"/>
        <v>#N/A</v>
      </c>
      <c r="BU906" s="112"/>
      <c r="BV906">
        <f t="shared" ca="1" si="1917"/>
        <v>0</v>
      </c>
      <c r="BW906" s="112" t="str">
        <f t="shared" ca="1" si="1872"/>
        <v/>
      </c>
      <c r="BX906" s="112" t="e">
        <f t="shared" ref="BX906:BX908" ca="1" si="1932">INDIRECT(CONCATENATE(BS906,BQ906))-1</f>
        <v>#N/A</v>
      </c>
      <c r="BY906">
        <f t="shared" ca="1" si="1905"/>
        <v>0</v>
      </c>
      <c r="BZ906">
        <f t="shared" ca="1" si="1906"/>
        <v>24</v>
      </c>
      <c r="CB906" t="e">
        <f t="shared" ca="1" si="1879"/>
        <v>#N/A</v>
      </c>
      <c r="CC906" s="112" t="e">
        <f t="shared" ca="1" si="1880"/>
        <v>#N/A</v>
      </c>
      <c r="CD906" s="112" t="e">
        <f t="shared" ca="1" si="1881"/>
        <v>#N/A</v>
      </c>
      <c r="CE906">
        <f t="shared" ca="1" si="1882"/>
        <v>0</v>
      </c>
      <c r="CF906">
        <f t="shared" ca="1" si="1883"/>
        <v>24</v>
      </c>
      <c r="CH906" s="112" t="str">
        <f t="shared" ca="1" si="1749"/>
        <v/>
      </c>
      <c r="CI906" t="e">
        <f t="shared" ref="CI906" ca="1" si="1933">CB906+CB907+CB908+CB909+CB910</f>
        <v>#N/A</v>
      </c>
      <c r="CJ906">
        <v>0</v>
      </c>
      <c r="CK906" s="112" t="str">
        <f t="shared" ca="1" si="1753"/>
        <v/>
      </c>
      <c r="CM906" s="112"/>
      <c r="CN906" s="408" t="e">
        <f t="shared" ca="1" si="1901"/>
        <v>#N/A</v>
      </c>
      <c r="CO906" s="326" t="e">
        <f t="shared" ref="CO906" ca="1" si="1934">CD906</f>
        <v>#N/A</v>
      </c>
      <c r="CP906" s="333">
        <f t="shared" ca="1" si="1754"/>
        <v>0</v>
      </c>
      <c r="CQ906" s="327">
        <f t="shared" ca="1" si="1755"/>
        <v>24</v>
      </c>
      <c r="CS906" s="112">
        <f t="shared" ca="1" si="1876"/>
        <v>100000</v>
      </c>
      <c r="CT906" s="112" t="e">
        <f t="shared" ref="CT906" ca="1" si="1935">IF(AND( CN907=100000,CN908=100000,CN909=100000,CN910=100000),CO910,                             CO906)</f>
        <v>#N/A</v>
      </c>
      <c r="CU906" s="238">
        <f t="shared" ca="1" si="1887"/>
        <v>0</v>
      </c>
      <c r="CV906" s="238">
        <f t="shared" ca="1" si="1888"/>
        <v>24</v>
      </c>
      <c r="CY906">
        <f t="shared" si="1892"/>
        <v>336</v>
      </c>
      <c r="DA906" s="112">
        <f t="shared" ca="1" si="1893"/>
        <v>100000</v>
      </c>
      <c r="DE906" t="str">
        <f t="shared" si="1889"/>
        <v>cs:dc771</v>
      </c>
      <c r="DF906" t="e">
        <f t="shared" ca="1" si="1890"/>
        <v>#REF!</v>
      </c>
    </row>
    <row r="907" spans="47:110" x14ac:dyDescent="0.25">
      <c r="AU907" s="112"/>
      <c r="AV907" s="112"/>
      <c r="BQ907" s="238">
        <f t="shared" ref="BQ907:BQ910" si="1936">BQ906</f>
        <v>638</v>
      </c>
      <c r="BR907" t="s">
        <v>445</v>
      </c>
      <c r="BS907" t="s">
        <v>446</v>
      </c>
      <c r="BT907" s="114" t="e">
        <f t="shared" ca="1" si="1837"/>
        <v>#N/A</v>
      </c>
      <c r="BU907" s="112"/>
      <c r="BV907" t="e">
        <f t="shared" ca="1" si="1917"/>
        <v>#N/A</v>
      </c>
      <c r="BW907" s="112" t="e">
        <f t="shared" ca="1" si="1872"/>
        <v>#N/A</v>
      </c>
      <c r="BX907" s="112" t="e">
        <f t="shared" ca="1" si="1932"/>
        <v>#N/A</v>
      </c>
      <c r="BY907">
        <f t="shared" ca="1" si="1905"/>
        <v>0</v>
      </c>
      <c r="BZ907">
        <f t="shared" ca="1" si="1906"/>
        <v>24</v>
      </c>
      <c r="CB907" t="e">
        <f t="shared" ca="1" si="1879"/>
        <v>#N/A</v>
      </c>
      <c r="CC907" s="112" t="e">
        <f t="shared" ca="1" si="1880"/>
        <v>#N/A</v>
      </c>
      <c r="CD907" s="112" t="e">
        <f t="shared" ca="1" si="1881"/>
        <v>#N/A</v>
      </c>
      <c r="CE907">
        <f t="shared" ca="1" si="1882"/>
        <v>0</v>
      </c>
      <c r="CF907">
        <f t="shared" ca="1" si="1883"/>
        <v>24</v>
      </c>
      <c r="CH907" s="112" t="str">
        <f t="shared" ca="1" si="1749"/>
        <v/>
      </c>
      <c r="CI907" t="e">
        <f t="shared" ref="CI907:CI910" ca="1" si="1937">CI906</f>
        <v>#N/A</v>
      </c>
      <c r="CJ907" t="e">
        <f t="shared" ref="CJ907" ca="1" si="1938">IF(AND(CI907=0,CJ908=0,CJ909=0,CJ910=0,CC907&lt;100000),1,0)</f>
        <v>#N/A</v>
      </c>
      <c r="CK907" s="112" t="e">
        <f t="shared" ca="1" si="1753"/>
        <v>#N/A</v>
      </c>
      <c r="CM907" s="112"/>
      <c r="CN907" s="260" t="e">
        <f t="shared" ca="1" si="1901"/>
        <v>#N/A</v>
      </c>
      <c r="CO907" s="112" t="e">
        <f t="shared" ref="CO907:CO910" ca="1" si="1939">IF(CJ907=1,CH907,CD907)</f>
        <v>#N/A</v>
      </c>
      <c r="CP907" s="238">
        <f t="shared" ca="1" si="1754"/>
        <v>0</v>
      </c>
      <c r="CQ907" s="328">
        <f t="shared" ca="1" si="1755"/>
        <v>24</v>
      </c>
      <c r="CS907" s="112">
        <f t="shared" ca="1" si="1876"/>
        <v>100000</v>
      </c>
      <c r="CT907" s="112" t="e">
        <f t="shared" ca="1" si="1910"/>
        <v>#N/A</v>
      </c>
      <c r="CU907" s="238">
        <f t="shared" ca="1" si="1887"/>
        <v>0</v>
      </c>
      <c r="CV907" s="238">
        <f t="shared" ca="1" si="1888"/>
        <v>24</v>
      </c>
      <c r="CY907">
        <f t="shared" si="1892"/>
        <v>337</v>
      </c>
      <c r="DA907" s="112">
        <f t="shared" ca="1" si="1893"/>
        <v>100000</v>
      </c>
      <c r="DE907" t="str">
        <f t="shared" si="1889"/>
        <v>cs:dc771</v>
      </c>
      <c r="DF907" t="e">
        <f t="shared" ca="1" si="1890"/>
        <v>#REF!</v>
      </c>
    </row>
    <row r="908" spans="47:110" x14ac:dyDescent="0.25">
      <c r="AU908" s="112"/>
      <c r="AV908" s="112"/>
      <c r="BQ908" s="238">
        <f t="shared" si="1936"/>
        <v>638</v>
      </c>
      <c r="BR908" t="s">
        <v>446</v>
      </c>
      <c r="BS908" t="s">
        <v>447</v>
      </c>
      <c r="BT908" s="114" t="e">
        <f t="shared" ca="1" si="1837"/>
        <v>#N/A</v>
      </c>
      <c r="BU908" s="112"/>
      <c r="BV908" t="e">
        <f t="shared" ca="1" si="1917"/>
        <v>#N/A</v>
      </c>
      <c r="BW908" s="112" t="e">
        <f t="shared" ca="1" si="1872"/>
        <v>#N/A</v>
      </c>
      <c r="BX908" s="112" t="e">
        <f t="shared" ca="1" si="1932"/>
        <v>#N/A</v>
      </c>
      <c r="BY908">
        <f t="shared" ca="1" si="1905"/>
        <v>0</v>
      </c>
      <c r="BZ908">
        <f t="shared" ca="1" si="1906"/>
        <v>24</v>
      </c>
      <c r="CB908" t="e">
        <f t="shared" ca="1" si="1879"/>
        <v>#N/A</v>
      </c>
      <c r="CC908" s="112" t="e">
        <f t="shared" ca="1" si="1880"/>
        <v>#N/A</v>
      </c>
      <c r="CD908" s="112" t="e">
        <f t="shared" ca="1" si="1881"/>
        <v>#N/A</v>
      </c>
      <c r="CE908">
        <f t="shared" ca="1" si="1882"/>
        <v>0</v>
      </c>
      <c r="CF908">
        <f t="shared" ca="1" si="1883"/>
        <v>24</v>
      </c>
      <c r="CH908" s="112" t="str">
        <f t="shared" ca="1" si="1749"/>
        <v/>
      </c>
      <c r="CI908" t="e">
        <f t="shared" ca="1" si="1937"/>
        <v>#N/A</v>
      </c>
      <c r="CJ908" t="e">
        <f t="shared" ref="CJ908" ca="1" si="1940">IF(AND(CI908=0,CJ909=0,CJ910=0,CC908&lt;100000),1,0)</f>
        <v>#N/A</v>
      </c>
      <c r="CK908" s="112" t="e">
        <f t="shared" ca="1" si="1753"/>
        <v>#N/A</v>
      </c>
      <c r="CM908" s="112"/>
      <c r="CN908" s="260" t="e">
        <f t="shared" ca="1" si="1901"/>
        <v>#N/A</v>
      </c>
      <c r="CO908" s="112" t="e">
        <f t="shared" ca="1" si="1939"/>
        <v>#N/A</v>
      </c>
      <c r="CP908" s="238">
        <f t="shared" ca="1" si="1754"/>
        <v>0</v>
      </c>
      <c r="CQ908" s="328">
        <f t="shared" ca="1" si="1755"/>
        <v>24</v>
      </c>
      <c r="CS908" s="112">
        <f t="shared" ca="1" si="1876"/>
        <v>100000</v>
      </c>
      <c r="CT908" s="112" t="e">
        <f t="shared" ca="1" si="1910"/>
        <v>#N/A</v>
      </c>
      <c r="CU908" s="238">
        <f t="shared" ca="1" si="1887"/>
        <v>0</v>
      </c>
      <c r="CV908" s="238">
        <f t="shared" ca="1" si="1888"/>
        <v>24</v>
      </c>
      <c r="CY908">
        <f t="shared" si="1892"/>
        <v>338</v>
      </c>
      <c r="DA908" s="112">
        <f t="shared" ca="1" si="1893"/>
        <v>100000</v>
      </c>
      <c r="DE908" t="str">
        <f t="shared" si="1889"/>
        <v>cs:dc771</v>
      </c>
      <c r="DF908" t="e">
        <f t="shared" ca="1" si="1890"/>
        <v>#REF!</v>
      </c>
    </row>
    <row r="909" spans="47:110" x14ac:dyDescent="0.25">
      <c r="AU909" s="112"/>
      <c r="AV909" s="112"/>
      <c r="BQ909" s="238">
        <f t="shared" si="1936"/>
        <v>638</v>
      </c>
      <c r="BR909" t="s">
        <v>447</v>
      </c>
      <c r="BS909" t="s">
        <v>448</v>
      </c>
      <c r="BT909" s="114" t="e">
        <f t="shared" ca="1" si="1837"/>
        <v>#N/A</v>
      </c>
      <c r="BU909" s="112"/>
      <c r="BV909" t="e">
        <f t="shared" ca="1" si="1917"/>
        <v>#N/A</v>
      </c>
      <c r="BW909" s="112" t="e">
        <f t="shared" ca="1" si="1872"/>
        <v>#N/A</v>
      </c>
      <c r="BX909" s="112" t="e">
        <f t="shared" ref="BX909:BX910" ca="1" si="1941">INDIRECT(CONCATENATE(BS909,BQ909))</f>
        <v>#N/A</v>
      </c>
      <c r="BY909">
        <f t="shared" ca="1" si="1905"/>
        <v>0</v>
      </c>
      <c r="BZ909">
        <f t="shared" ca="1" si="1906"/>
        <v>24</v>
      </c>
      <c r="CB909" t="e">
        <f t="shared" ca="1" si="1879"/>
        <v>#N/A</v>
      </c>
      <c r="CC909" s="112" t="e">
        <f t="shared" ca="1" si="1880"/>
        <v>#N/A</v>
      </c>
      <c r="CD909" s="112" t="e">
        <f t="shared" ca="1" si="1881"/>
        <v>#N/A</v>
      </c>
      <c r="CE909">
        <f t="shared" ca="1" si="1882"/>
        <v>0</v>
      </c>
      <c r="CF909">
        <f t="shared" ca="1" si="1883"/>
        <v>24</v>
      </c>
      <c r="CH909" s="112" t="str">
        <f t="shared" ca="1" si="1749"/>
        <v/>
      </c>
      <c r="CI909" t="e">
        <f t="shared" ca="1" si="1937"/>
        <v>#N/A</v>
      </c>
      <c r="CJ909" t="e">
        <f t="shared" ref="CJ909" ca="1" si="1942">IF(AND(CI909=0,CJ910=0,CC909&lt;100000),1,0)</f>
        <v>#N/A</v>
      </c>
      <c r="CK909" s="112" t="e">
        <f t="shared" ca="1" si="1753"/>
        <v>#N/A</v>
      </c>
      <c r="CM909" s="112"/>
      <c r="CN909" s="260" t="e">
        <f t="shared" ca="1" si="1901"/>
        <v>#N/A</v>
      </c>
      <c r="CO909" s="112" t="e">
        <f t="shared" ca="1" si="1939"/>
        <v>#N/A</v>
      </c>
      <c r="CP909" s="238">
        <f t="shared" ca="1" si="1754"/>
        <v>0</v>
      </c>
      <c r="CQ909" s="328">
        <f t="shared" ca="1" si="1755"/>
        <v>24</v>
      </c>
      <c r="CS909" s="112">
        <f t="shared" ca="1" si="1876"/>
        <v>100000</v>
      </c>
      <c r="CT909" s="112" t="e">
        <f t="shared" ca="1" si="1910"/>
        <v>#N/A</v>
      </c>
      <c r="CU909" s="238">
        <f t="shared" ca="1" si="1887"/>
        <v>0</v>
      </c>
      <c r="CV909" s="238">
        <f t="shared" ca="1" si="1888"/>
        <v>24</v>
      </c>
      <c r="CY909">
        <f t="shared" si="1892"/>
        <v>339</v>
      </c>
      <c r="DA909" s="112">
        <f t="shared" ca="1" si="1893"/>
        <v>100000</v>
      </c>
      <c r="DE909" t="str">
        <f t="shared" si="1889"/>
        <v>cs:dc771</v>
      </c>
      <c r="DF909" t="e">
        <f t="shared" ca="1" si="1890"/>
        <v>#REF!</v>
      </c>
    </row>
    <row r="910" spans="47:110" ht="15.75" thickBot="1" x14ac:dyDescent="0.3">
      <c r="AU910" s="112"/>
      <c r="AV910" s="112"/>
      <c r="BQ910" s="238">
        <f t="shared" si="1936"/>
        <v>638</v>
      </c>
      <c r="BR910" t="s">
        <v>448</v>
      </c>
      <c r="BS910" t="s">
        <v>449</v>
      </c>
      <c r="BT910" s="114" t="e">
        <f t="shared" ca="1" si="1837"/>
        <v>#N/A</v>
      </c>
      <c r="BU910" s="112"/>
      <c r="BV910" t="e">
        <f t="shared" ca="1" si="1917"/>
        <v>#N/A</v>
      </c>
      <c r="BW910" s="112" t="e">
        <f t="shared" ca="1" si="1872"/>
        <v>#N/A</v>
      </c>
      <c r="BX910" s="112" t="str">
        <f t="shared" ca="1" si="1941"/>
        <v/>
      </c>
      <c r="BY910">
        <f t="shared" ca="1" si="1905"/>
        <v>0</v>
      </c>
      <c r="BZ910">
        <f t="shared" ca="1" si="1906"/>
        <v>24</v>
      </c>
      <c r="CB910" t="e">
        <f t="shared" ca="1" si="1879"/>
        <v>#N/A</v>
      </c>
      <c r="CC910" s="112" t="e">
        <f t="shared" ca="1" si="1880"/>
        <v>#N/A</v>
      </c>
      <c r="CD910" s="112" t="str">
        <f t="shared" ca="1" si="1881"/>
        <v/>
      </c>
      <c r="CE910">
        <f t="shared" ca="1" si="1882"/>
        <v>0</v>
      </c>
      <c r="CF910">
        <f t="shared" ca="1" si="1883"/>
        <v>24</v>
      </c>
      <c r="CH910" s="112" t="str">
        <f t="shared" ca="1" si="1749"/>
        <v/>
      </c>
      <c r="CI910" t="e">
        <f t="shared" ca="1" si="1937"/>
        <v>#N/A</v>
      </c>
      <c r="CJ910" t="e">
        <f t="shared" ref="CJ910" ca="1" si="1943">IF(AND(CI910=0,CC910&lt;100000),1,0)</f>
        <v>#N/A</v>
      </c>
      <c r="CK910" s="112" t="e">
        <f t="shared" ca="1" si="1753"/>
        <v>#N/A</v>
      </c>
      <c r="CM910" s="112"/>
      <c r="CN910" s="261" t="e">
        <f t="shared" ref="CN910" ca="1" si="1944">IF(AND(CN906=100000,CN907=100000,CN908=100000,CN909=100000),INDIRECT(CONCATENATE("aa",BQ910)),CC910)</f>
        <v>#N/A</v>
      </c>
      <c r="CO910" s="324" t="e">
        <f t="shared" ca="1" si="1939"/>
        <v>#N/A</v>
      </c>
      <c r="CP910" s="256">
        <f t="shared" ca="1" si="1754"/>
        <v>0</v>
      </c>
      <c r="CQ910" s="329">
        <f t="shared" ca="1" si="1755"/>
        <v>24</v>
      </c>
      <c r="CS910" s="112">
        <f t="shared" ca="1" si="1876"/>
        <v>100000</v>
      </c>
      <c r="CT910" s="112" t="e">
        <f t="shared" ca="1" si="1910"/>
        <v>#N/A</v>
      </c>
      <c r="CU910" s="238">
        <f t="shared" ca="1" si="1887"/>
        <v>0</v>
      </c>
      <c r="CV910" s="238">
        <f t="shared" ca="1" si="1888"/>
        <v>24</v>
      </c>
      <c r="CY910">
        <f t="shared" si="1892"/>
        <v>340</v>
      </c>
      <c r="DA910" s="112">
        <f t="shared" ca="1" si="1893"/>
        <v>100000</v>
      </c>
      <c r="DE910" t="str">
        <f t="shared" si="1889"/>
        <v>cs:dc771</v>
      </c>
      <c r="DF910" t="e">
        <f t="shared" ca="1" si="1890"/>
        <v>#REF!</v>
      </c>
    </row>
    <row r="911" spans="47:110" x14ac:dyDescent="0.25">
      <c r="AU911" s="112"/>
      <c r="AV911" s="112"/>
      <c r="BQ911" s="238">
        <f t="shared" ref="BQ911" si="1945">BQ910+1</f>
        <v>639</v>
      </c>
      <c r="BR911" s="112" t="s">
        <v>444</v>
      </c>
      <c r="BS911" s="112" t="s">
        <v>445</v>
      </c>
      <c r="BT911" s="114" t="e">
        <f t="shared" ca="1" si="1837"/>
        <v>#N/A</v>
      </c>
      <c r="BU911" s="112"/>
      <c r="BV911">
        <f t="shared" ca="1" si="1917"/>
        <v>0</v>
      </c>
      <c r="BW911" s="112" t="str">
        <f t="shared" ca="1" si="1872"/>
        <v/>
      </c>
      <c r="BX911" s="112" t="e">
        <f t="shared" ref="BX911:BX913" ca="1" si="1946">INDIRECT(CONCATENATE(BS911,BQ911))-1</f>
        <v>#N/A</v>
      </c>
      <c r="BY911">
        <f t="shared" ca="1" si="1905"/>
        <v>0</v>
      </c>
      <c r="BZ911">
        <f t="shared" ca="1" si="1906"/>
        <v>24</v>
      </c>
      <c r="CB911" t="e">
        <f t="shared" ca="1" si="1879"/>
        <v>#N/A</v>
      </c>
      <c r="CC911" s="112" t="e">
        <f t="shared" ca="1" si="1880"/>
        <v>#N/A</v>
      </c>
      <c r="CD911" s="112" t="e">
        <f t="shared" ca="1" si="1881"/>
        <v>#N/A</v>
      </c>
      <c r="CE911">
        <f t="shared" ca="1" si="1882"/>
        <v>0</v>
      </c>
      <c r="CF911">
        <f t="shared" ca="1" si="1883"/>
        <v>24</v>
      </c>
      <c r="CH911" s="112" t="str">
        <f t="shared" ca="1" si="1749"/>
        <v/>
      </c>
      <c r="CI911" t="e">
        <f t="shared" ref="CI911" ca="1" si="1947">CB911+CB912+CB913+CB914+CB915</f>
        <v>#N/A</v>
      </c>
      <c r="CJ911">
        <v>0</v>
      </c>
      <c r="CK911" s="112" t="str">
        <f t="shared" ca="1" si="1753"/>
        <v/>
      </c>
      <c r="CM911" s="112"/>
      <c r="CN911" s="408" t="e">
        <f t="shared" ca="1" si="1901"/>
        <v>#N/A</v>
      </c>
      <c r="CO911" s="326" t="e">
        <f t="shared" ref="CO911" ca="1" si="1948">CD911</f>
        <v>#N/A</v>
      </c>
      <c r="CP911" s="333">
        <f t="shared" ca="1" si="1754"/>
        <v>0</v>
      </c>
      <c r="CQ911" s="327">
        <f t="shared" ca="1" si="1755"/>
        <v>24</v>
      </c>
      <c r="CS911" s="112">
        <f t="shared" ca="1" si="1876"/>
        <v>100000</v>
      </c>
      <c r="CT911" s="112" t="e">
        <f t="shared" ref="CT911" ca="1" si="1949">IF(AND( CN912=100000,CN913=100000,CN914=100000,CN915=100000),CO915,                             CO911)</f>
        <v>#N/A</v>
      </c>
      <c r="CU911" s="238">
        <f t="shared" ca="1" si="1887"/>
        <v>0</v>
      </c>
      <c r="CV911" s="238">
        <f t="shared" ca="1" si="1888"/>
        <v>24</v>
      </c>
      <c r="CY911">
        <f t="shared" si="1892"/>
        <v>341</v>
      </c>
      <c r="DA911" s="112">
        <f t="shared" ca="1" si="1893"/>
        <v>100000</v>
      </c>
      <c r="DE911" t="str">
        <f t="shared" si="1889"/>
        <v>cs:dc771</v>
      </c>
      <c r="DF911" t="e">
        <f t="shared" ca="1" si="1890"/>
        <v>#REF!</v>
      </c>
    </row>
    <row r="912" spans="47:110" x14ac:dyDescent="0.25">
      <c r="AU912" s="112"/>
      <c r="AV912" s="112"/>
      <c r="BQ912" s="238">
        <f t="shared" ref="BQ912:BQ915" si="1950">BQ911</f>
        <v>639</v>
      </c>
      <c r="BR912" t="s">
        <v>445</v>
      </c>
      <c r="BS912" t="s">
        <v>446</v>
      </c>
      <c r="BT912" s="114" t="e">
        <f t="shared" ca="1" si="1837"/>
        <v>#N/A</v>
      </c>
      <c r="BU912" s="112"/>
      <c r="BV912" t="e">
        <f t="shared" ca="1" si="1917"/>
        <v>#N/A</v>
      </c>
      <c r="BW912" s="112" t="e">
        <f t="shared" ca="1" si="1872"/>
        <v>#N/A</v>
      </c>
      <c r="BX912" s="112" t="e">
        <f t="shared" ca="1" si="1946"/>
        <v>#N/A</v>
      </c>
      <c r="BY912">
        <f t="shared" ca="1" si="1905"/>
        <v>0</v>
      </c>
      <c r="BZ912">
        <f t="shared" ca="1" si="1906"/>
        <v>24</v>
      </c>
      <c r="CB912" t="e">
        <f t="shared" ca="1" si="1879"/>
        <v>#N/A</v>
      </c>
      <c r="CC912" s="112" t="e">
        <f t="shared" ca="1" si="1880"/>
        <v>#N/A</v>
      </c>
      <c r="CD912" s="112" t="e">
        <f t="shared" ca="1" si="1881"/>
        <v>#N/A</v>
      </c>
      <c r="CE912">
        <f t="shared" ca="1" si="1882"/>
        <v>0</v>
      </c>
      <c r="CF912">
        <f t="shared" ca="1" si="1883"/>
        <v>24</v>
      </c>
      <c r="CH912" s="112" t="str">
        <f t="shared" ref="CH912:CH975" ca="1" si="1951">INDIRECT(CONCATENATE("af",BQ912))</f>
        <v/>
      </c>
      <c r="CI912" t="e">
        <f t="shared" ref="CI912:CI915" ca="1" si="1952">CI911</f>
        <v>#N/A</v>
      </c>
      <c r="CJ912" t="e">
        <f t="shared" ref="CJ912" ca="1" si="1953">IF(AND(CI912=0,CJ913=0,CJ914=0,CJ915=0,CC912&lt;100000),1,0)</f>
        <v>#N/A</v>
      </c>
      <c r="CK912" s="112" t="e">
        <f t="shared" ca="1" si="1753"/>
        <v>#N/A</v>
      </c>
      <c r="CM912" s="112"/>
      <c r="CN912" s="260" t="e">
        <f t="shared" ca="1" si="1901"/>
        <v>#N/A</v>
      </c>
      <c r="CO912" s="112" t="e">
        <f t="shared" ref="CO912:CO915" ca="1" si="1954">IF(CJ912=1,CH912,CD912)</f>
        <v>#N/A</v>
      </c>
      <c r="CP912" s="238">
        <f t="shared" ca="1" si="1754"/>
        <v>0</v>
      </c>
      <c r="CQ912" s="328">
        <f t="shared" ca="1" si="1755"/>
        <v>24</v>
      </c>
      <c r="CS912" s="112">
        <f t="shared" ca="1" si="1876"/>
        <v>100000</v>
      </c>
      <c r="CT912" s="112" t="e">
        <f t="shared" ca="1" si="1910"/>
        <v>#N/A</v>
      </c>
      <c r="CU912" s="238">
        <f t="shared" ca="1" si="1887"/>
        <v>0</v>
      </c>
      <c r="CV912" s="238">
        <f t="shared" ca="1" si="1888"/>
        <v>24</v>
      </c>
      <c r="CY912">
        <f t="shared" si="1892"/>
        <v>342</v>
      </c>
      <c r="DA912" s="112">
        <f t="shared" ca="1" si="1893"/>
        <v>100000</v>
      </c>
      <c r="DE912" t="str">
        <f t="shared" si="1889"/>
        <v>cs:dc771</v>
      </c>
      <c r="DF912" t="e">
        <f t="shared" ca="1" si="1890"/>
        <v>#REF!</v>
      </c>
    </row>
    <row r="913" spans="47:110" x14ac:dyDescent="0.25">
      <c r="AU913" s="112"/>
      <c r="AV913" s="112"/>
      <c r="BQ913" s="238">
        <f t="shared" si="1950"/>
        <v>639</v>
      </c>
      <c r="BR913" t="s">
        <v>446</v>
      </c>
      <c r="BS913" t="s">
        <v>447</v>
      </c>
      <c r="BT913" s="114" t="e">
        <f t="shared" ca="1" si="1837"/>
        <v>#N/A</v>
      </c>
      <c r="BU913" s="112"/>
      <c r="BV913" t="e">
        <f t="shared" ca="1" si="1917"/>
        <v>#N/A</v>
      </c>
      <c r="BW913" s="112" t="e">
        <f t="shared" ca="1" si="1872"/>
        <v>#N/A</v>
      </c>
      <c r="BX913" s="112" t="e">
        <f t="shared" ca="1" si="1946"/>
        <v>#N/A</v>
      </c>
      <c r="BY913">
        <f t="shared" ca="1" si="1905"/>
        <v>0</v>
      </c>
      <c r="BZ913">
        <f t="shared" ca="1" si="1906"/>
        <v>24</v>
      </c>
      <c r="CB913" t="e">
        <f t="shared" ca="1" si="1879"/>
        <v>#N/A</v>
      </c>
      <c r="CC913" s="112" t="e">
        <f t="shared" ca="1" si="1880"/>
        <v>#N/A</v>
      </c>
      <c r="CD913" s="112" t="e">
        <f t="shared" ca="1" si="1881"/>
        <v>#N/A</v>
      </c>
      <c r="CE913">
        <f t="shared" ca="1" si="1882"/>
        <v>0</v>
      </c>
      <c r="CF913">
        <f t="shared" ca="1" si="1883"/>
        <v>24</v>
      </c>
      <c r="CH913" s="112" t="str">
        <f t="shared" ca="1" si="1951"/>
        <v/>
      </c>
      <c r="CI913" t="e">
        <f t="shared" ca="1" si="1952"/>
        <v>#N/A</v>
      </c>
      <c r="CJ913" t="e">
        <f t="shared" ref="CJ913" ca="1" si="1955">IF(AND(CI913=0,CJ914=0,CJ915=0,CC913&lt;100000),1,0)</f>
        <v>#N/A</v>
      </c>
      <c r="CK913" s="112" t="e">
        <f t="shared" ref="CK913:CK976" ca="1" si="1956">IF(CJ913=0,INDIRECT(CONCATENATE("af",BQ913)),1)</f>
        <v>#N/A</v>
      </c>
      <c r="CM913" s="112"/>
      <c r="CN913" s="260" t="e">
        <f t="shared" ca="1" si="1901"/>
        <v>#N/A</v>
      </c>
      <c r="CO913" s="112" t="e">
        <f t="shared" ca="1" si="1954"/>
        <v>#N/A</v>
      </c>
      <c r="CP913" s="238">
        <f t="shared" ref="CP913:CP976" ca="1" si="1957">CE913</f>
        <v>0</v>
      </c>
      <c r="CQ913" s="328">
        <f t="shared" ref="CQ913:CQ976" ca="1" si="1958">CF913</f>
        <v>24</v>
      </c>
      <c r="CS913" s="112">
        <f t="shared" ca="1" si="1876"/>
        <v>100000</v>
      </c>
      <c r="CT913" s="112" t="e">
        <f t="shared" ca="1" si="1910"/>
        <v>#N/A</v>
      </c>
      <c r="CU913" s="238">
        <f t="shared" ca="1" si="1887"/>
        <v>0</v>
      </c>
      <c r="CV913" s="238">
        <f t="shared" ca="1" si="1888"/>
        <v>24</v>
      </c>
      <c r="CY913">
        <f t="shared" si="1892"/>
        <v>343</v>
      </c>
      <c r="DA913" s="112">
        <f t="shared" ca="1" si="1893"/>
        <v>100000</v>
      </c>
      <c r="DE913" t="str">
        <f t="shared" si="1889"/>
        <v>cs:dc771</v>
      </c>
      <c r="DF913" t="e">
        <f t="shared" ca="1" si="1890"/>
        <v>#REF!</v>
      </c>
    </row>
    <row r="914" spans="47:110" x14ac:dyDescent="0.25">
      <c r="AU914" s="112"/>
      <c r="AV914" s="112"/>
      <c r="BQ914" s="238">
        <f t="shared" si="1950"/>
        <v>639</v>
      </c>
      <c r="BR914" t="s">
        <v>447</v>
      </c>
      <c r="BS914" t="s">
        <v>448</v>
      </c>
      <c r="BT914" s="114" t="e">
        <f t="shared" ca="1" si="1837"/>
        <v>#N/A</v>
      </c>
      <c r="BU914" s="112"/>
      <c r="BV914" t="e">
        <f t="shared" ca="1" si="1917"/>
        <v>#N/A</v>
      </c>
      <c r="BW914" s="112" t="e">
        <f t="shared" ca="1" si="1872"/>
        <v>#N/A</v>
      </c>
      <c r="BX914" s="112" t="e">
        <f t="shared" ref="BX914:BX915" ca="1" si="1959">INDIRECT(CONCATENATE(BS914,BQ914))</f>
        <v>#N/A</v>
      </c>
      <c r="BY914">
        <f t="shared" ca="1" si="1905"/>
        <v>0</v>
      </c>
      <c r="BZ914">
        <f t="shared" ca="1" si="1906"/>
        <v>24</v>
      </c>
      <c r="CB914" t="e">
        <f t="shared" ca="1" si="1879"/>
        <v>#N/A</v>
      </c>
      <c r="CC914" s="112" t="e">
        <f t="shared" ca="1" si="1880"/>
        <v>#N/A</v>
      </c>
      <c r="CD914" s="112" t="e">
        <f t="shared" ca="1" si="1881"/>
        <v>#N/A</v>
      </c>
      <c r="CE914">
        <f t="shared" ca="1" si="1882"/>
        <v>0</v>
      </c>
      <c r="CF914">
        <f t="shared" ca="1" si="1883"/>
        <v>24</v>
      </c>
      <c r="CH914" s="112" t="str">
        <f t="shared" ca="1" si="1951"/>
        <v/>
      </c>
      <c r="CI914" t="e">
        <f t="shared" ca="1" si="1952"/>
        <v>#N/A</v>
      </c>
      <c r="CJ914" t="e">
        <f t="shared" ref="CJ914" ca="1" si="1960">IF(AND(CI914=0,CJ915=0,CC914&lt;100000),1,0)</f>
        <v>#N/A</v>
      </c>
      <c r="CK914" s="112" t="e">
        <f t="shared" ca="1" si="1956"/>
        <v>#N/A</v>
      </c>
      <c r="CM914" s="112"/>
      <c r="CN914" s="260" t="e">
        <f t="shared" ca="1" si="1901"/>
        <v>#N/A</v>
      </c>
      <c r="CO914" s="112" t="e">
        <f t="shared" ca="1" si="1954"/>
        <v>#N/A</v>
      </c>
      <c r="CP914" s="238">
        <f t="shared" ca="1" si="1957"/>
        <v>0</v>
      </c>
      <c r="CQ914" s="328">
        <f t="shared" ca="1" si="1958"/>
        <v>24</v>
      </c>
      <c r="CS914" s="112">
        <f t="shared" ca="1" si="1876"/>
        <v>100000</v>
      </c>
      <c r="CT914" s="112" t="e">
        <f t="shared" ca="1" si="1910"/>
        <v>#N/A</v>
      </c>
      <c r="CU914" s="238">
        <f t="shared" ca="1" si="1887"/>
        <v>0</v>
      </c>
      <c r="CV914" s="238">
        <f t="shared" ca="1" si="1888"/>
        <v>24</v>
      </c>
      <c r="CY914">
        <f t="shared" si="1892"/>
        <v>344</v>
      </c>
      <c r="DA914" s="112">
        <f t="shared" ca="1" si="1893"/>
        <v>100000</v>
      </c>
      <c r="DE914" t="str">
        <f t="shared" si="1889"/>
        <v>cs:dc771</v>
      </c>
      <c r="DF914" t="e">
        <f t="shared" ca="1" si="1890"/>
        <v>#REF!</v>
      </c>
    </row>
    <row r="915" spans="47:110" ht="15.75" thickBot="1" x14ac:dyDescent="0.3">
      <c r="AU915" s="112"/>
      <c r="AV915" s="112"/>
      <c r="BQ915" s="238">
        <f t="shared" si="1950"/>
        <v>639</v>
      </c>
      <c r="BR915" t="s">
        <v>448</v>
      </c>
      <c r="BS915" t="s">
        <v>449</v>
      </c>
      <c r="BT915" s="114" t="e">
        <f t="shared" ca="1" si="1837"/>
        <v>#N/A</v>
      </c>
      <c r="BU915" s="112"/>
      <c r="BV915" t="e">
        <f t="shared" ca="1" si="1917"/>
        <v>#N/A</v>
      </c>
      <c r="BW915" s="112" t="e">
        <f t="shared" ca="1" si="1872"/>
        <v>#N/A</v>
      </c>
      <c r="BX915" s="112" t="str">
        <f t="shared" ca="1" si="1959"/>
        <v/>
      </c>
      <c r="BY915">
        <f t="shared" ca="1" si="1905"/>
        <v>0</v>
      </c>
      <c r="BZ915">
        <f t="shared" ca="1" si="1906"/>
        <v>24</v>
      </c>
      <c r="CB915" t="e">
        <f t="shared" ca="1" si="1879"/>
        <v>#N/A</v>
      </c>
      <c r="CC915" s="112" t="e">
        <f t="shared" ca="1" si="1880"/>
        <v>#N/A</v>
      </c>
      <c r="CD915" s="112" t="str">
        <f t="shared" ca="1" si="1881"/>
        <v/>
      </c>
      <c r="CE915">
        <f t="shared" ca="1" si="1882"/>
        <v>0</v>
      </c>
      <c r="CF915">
        <f t="shared" ca="1" si="1883"/>
        <v>24</v>
      </c>
      <c r="CH915" s="112" t="str">
        <f t="shared" ca="1" si="1951"/>
        <v/>
      </c>
      <c r="CI915" t="e">
        <f t="shared" ca="1" si="1952"/>
        <v>#N/A</v>
      </c>
      <c r="CJ915" t="e">
        <f t="shared" ref="CJ915" ca="1" si="1961">IF(AND(CI915=0,CC915&lt;100000),1,0)</f>
        <v>#N/A</v>
      </c>
      <c r="CK915" s="112" t="e">
        <f t="shared" ca="1" si="1956"/>
        <v>#N/A</v>
      </c>
      <c r="CM915" s="112"/>
      <c r="CN915" s="261" t="e">
        <f t="shared" ref="CN915" ca="1" si="1962">IF(AND(CN911=100000,CN912=100000,CN913=100000,CN914=100000),INDIRECT(CONCATENATE("aa",BQ915)),CC915)</f>
        <v>#N/A</v>
      </c>
      <c r="CO915" s="324" t="e">
        <f t="shared" ca="1" si="1954"/>
        <v>#N/A</v>
      </c>
      <c r="CP915" s="256">
        <f t="shared" ca="1" si="1957"/>
        <v>0</v>
      </c>
      <c r="CQ915" s="329">
        <f t="shared" ca="1" si="1958"/>
        <v>24</v>
      </c>
      <c r="CS915" s="112">
        <f t="shared" ca="1" si="1876"/>
        <v>100000</v>
      </c>
      <c r="CT915" s="112" t="e">
        <f t="shared" ca="1" si="1910"/>
        <v>#N/A</v>
      </c>
      <c r="CU915" s="238">
        <f t="shared" ca="1" si="1887"/>
        <v>0</v>
      </c>
      <c r="CV915" s="238">
        <f t="shared" ca="1" si="1888"/>
        <v>24</v>
      </c>
      <c r="CY915">
        <f t="shared" si="1892"/>
        <v>345</v>
      </c>
      <c r="DA915" s="112">
        <f t="shared" ca="1" si="1893"/>
        <v>100000</v>
      </c>
      <c r="DE915" t="str">
        <f t="shared" si="1889"/>
        <v>cs:dc771</v>
      </c>
      <c r="DF915" t="e">
        <f t="shared" ca="1" si="1890"/>
        <v>#REF!</v>
      </c>
    </row>
    <row r="916" spans="47:110" x14ac:dyDescent="0.25">
      <c r="AU916" s="112"/>
      <c r="AV916" s="112"/>
      <c r="BQ916" s="238">
        <f t="shared" ref="BQ916" si="1963">BQ915+1</f>
        <v>640</v>
      </c>
      <c r="BR916" s="112" t="s">
        <v>444</v>
      </c>
      <c r="BS916" s="112" t="s">
        <v>445</v>
      </c>
      <c r="BT916" s="114" t="e">
        <f t="shared" ca="1" si="1837"/>
        <v>#N/A</v>
      </c>
      <c r="BU916" s="112"/>
      <c r="BV916">
        <f t="shared" ca="1" si="1917"/>
        <v>0</v>
      </c>
      <c r="BW916" s="112" t="str">
        <f t="shared" ca="1" si="1872"/>
        <v/>
      </c>
      <c r="BX916" s="112" t="e">
        <f t="shared" ref="BX916:BX918" ca="1" si="1964">INDIRECT(CONCATENATE(BS916,BQ916))-1</f>
        <v>#N/A</v>
      </c>
      <c r="BY916">
        <f t="shared" ca="1" si="1905"/>
        <v>0</v>
      </c>
      <c r="BZ916">
        <f t="shared" ca="1" si="1906"/>
        <v>24</v>
      </c>
      <c r="CB916" t="e">
        <f t="shared" ca="1" si="1879"/>
        <v>#N/A</v>
      </c>
      <c r="CC916" s="112" t="e">
        <f t="shared" ca="1" si="1880"/>
        <v>#N/A</v>
      </c>
      <c r="CD916" s="112" t="e">
        <f t="shared" ca="1" si="1881"/>
        <v>#N/A</v>
      </c>
      <c r="CE916">
        <f t="shared" ca="1" si="1882"/>
        <v>0</v>
      </c>
      <c r="CF916">
        <f t="shared" ca="1" si="1883"/>
        <v>24</v>
      </c>
      <c r="CH916" s="112" t="str">
        <f t="shared" ca="1" si="1951"/>
        <v/>
      </c>
      <c r="CI916" t="e">
        <f t="shared" ref="CI916" ca="1" si="1965">CB916+CB917+CB918+CB919+CB920</f>
        <v>#N/A</v>
      </c>
      <c r="CJ916">
        <v>0</v>
      </c>
      <c r="CK916" s="112" t="str">
        <f t="shared" ca="1" si="1956"/>
        <v/>
      </c>
      <c r="CM916" s="112"/>
      <c r="CN916" s="408" t="e">
        <f t="shared" ca="1" si="1901"/>
        <v>#N/A</v>
      </c>
      <c r="CO916" s="326" t="e">
        <f t="shared" ref="CO916" ca="1" si="1966">CD916</f>
        <v>#N/A</v>
      </c>
      <c r="CP916" s="333">
        <f t="shared" ca="1" si="1957"/>
        <v>0</v>
      </c>
      <c r="CQ916" s="327">
        <f t="shared" ca="1" si="1958"/>
        <v>24</v>
      </c>
      <c r="CS916" s="112">
        <f t="shared" ca="1" si="1876"/>
        <v>100000</v>
      </c>
      <c r="CT916" s="112" t="e">
        <f t="shared" ref="CT916" ca="1" si="1967">IF(AND( CN917=100000,CN918=100000,CN919=100000,CN920=100000),CO920,                             CO916)</f>
        <v>#N/A</v>
      </c>
      <c r="CU916" s="238">
        <f t="shared" ca="1" si="1887"/>
        <v>0</v>
      </c>
      <c r="CV916" s="238">
        <f t="shared" ca="1" si="1888"/>
        <v>24</v>
      </c>
      <c r="CY916">
        <f t="shared" si="1892"/>
        <v>346</v>
      </c>
      <c r="DA916" s="112">
        <f t="shared" ca="1" si="1893"/>
        <v>100000</v>
      </c>
      <c r="DE916" t="str">
        <f t="shared" si="1889"/>
        <v>cs:dc771</v>
      </c>
      <c r="DF916" t="e">
        <f t="shared" ca="1" si="1890"/>
        <v>#REF!</v>
      </c>
    </row>
    <row r="917" spans="47:110" x14ac:dyDescent="0.25">
      <c r="AU917" s="112"/>
      <c r="AV917" s="112"/>
      <c r="BQ917" s="238">
        <f t="shared" ref="BQ917:BQ920" si="1968">BQ916</f>
        <v>640</v>
      </c>
      <c r="BR917" t="s">
        <v>445</v>
      </c>
      <c r="BS917" t="s">
        <v>446</v>
      </c>
      <c r="BT917" s="114" t="e">
        <f t="shared" ca="1" si="1837"/>
        <v>#N/A</v>
      </c>
      <c r="BU917" s="112"/>
      <c r="BV917" t="e">
        <f t="shared" ca="1" si="1917"/>
        <v>#N/A</v>
      </c>
      <c r="BW917" s="112" t="e">
        <f t="shared" ca="1" si="1872"/>
        <v>#N/A</v>
      </c>
      <c r="BX917" s="112" t="e">
        <f t="shared" ca="1" si="1964"/>
        <v>#N/A</v>
      </c>
      <c r="BY917">
        <f t="shared" ca="1" si="1905"/>
        <v>0</v>
      </c>
      <c r="BZ917">
        <f t="shared" ca="1" si="1906"/>
        <v>24</v>
      </c>
      <c r="CB917" t="e">
        <f t="shared" ca="1" si="1879"/>
        <v>#N/A</v>
      </c>
      <c r="CC917" s="112" t="e">
        <f t="shared" ca="1" si="1880"/>
        <v>#N/A</v>
      </c>
      <c r="CD917" s="112" t="e">
        <f t="shared" ca="1" si="1881"/>
        <v>#N/A</v>
      </c>
      <c r="CE917">
        <f t="shared" ca="1" si="1882"/>
        <v>0</v>
      </c>
      <c r="CF917">
        <f t="shared" ca="1" si="1883"/>
        <v>24</v>
      </c>
      <c r="CH917" s="112" t="str">
        <f t="shared" ca="1" si="1951"/>
        <v/>
      </c>
      <c r="CI917" t="e">
        <f t="shared" ref="CI917:CI920" ca="1" si="1969">CI916</f>
        <v>#N/A</v>
      </c>
      <c r="CJ917" t="e">
        <f t="shared" ref="CJ917" ca="1" si="1970">IF(AND(CI917=0,CJ918=0,CJ919=0,CJ920=0,CC917&lt;100000),1,0)</f>
        <v>#N/A</v>
      </c>
      <c r="CK917" s="112" t="e">
        <f t="shared" ca="1" si="1956"/>
        <v>#N/A</v>
      </c>
      <c r="CM917" s="112"/>
      <c r="CN917" s="260" t="e">
        <f t="shared" ca="1" si="1901"/>
        <v>#N/A</v>
      </c>
      <c r="CO917" s="112" t="e">
        <f t="shared" ref="CO917:CO920" ca="1" si="1971">IF(CJ917=1,CH917,CD917)</f>
        <v>#N/A</v>
      </c>
      <c r="CP917" s="238">
        <f t="shared" ca="1" si="1957"/>
        <v>0</v>
      </c>
      <c r="CQ917" s="328">
        <f t="shared" ca="1" si="1958"/>
        <v>24</v>
      </c>
      <c r="CS917" s="112">
        <f t="shared" ca="1" si="1876"/>
        <v>100000</v>
      </c>
      <c r="CT917" s="112" t="e">
        <f t="shared" ca="1" si="1910"/>
        <v>#N/A</v>
      </c>
      <c r="CU917" s="238">
        <f t="shared" ca="1" si="1887"/>
        <v>0</v>
      </c>
      <c r="CV917" s="238">
        <f t="shared" ca="1" si="1888"/>
        <v>24</v>
      </c>
      <c r="CY917">
        <f t="shared" si="1892"/>
        <v>347</v>
      </c>
      <c r="DA917" s="112">
        <f t="shared" ca="1" si="1893"/>
        <v>100000</v>
      </c>
      <c r="DE917" t="str">
        <f t="shared" si="1889"/>
        <v>cs:dc771</v>
      </c>
      <c r="DF917" t="e">
        <f t="shared" ca="1" si="1890"/>
        <v>#REF!</v>
      </c>
    </row>
    <row r="918" spans="47:110" x14ac:dyDescent="0.25">
      <c r="AU918" s="112"/>
      <c r="AV918" s="112"/>
      <c r="BQ918" s="238">
        <f t="shared" si="1968"/>
        <v>640</v>
      </c>
      <c r="BR918" t="s">
        <v>446</v>
      </c>
      <c r="BS918" t="s">
        <v>447</v>
      </c>
      <c r="BT918" s="114" t="e">
        <f t="shared" ca="1" si="1837"/>
        <v>#N/A</v>
      </c>
      <c r="BU918" s="112"/>
      <c r="BV918" t="e">
        <f t="shared" ca="1" si="1917"/>
        <v>#N/A</v>
      </c>
      <c r="BW918" s="112" t="e">
        <f t="shared" ca="1" si="1872"/>
        <v>#N/A</v>
      </c>
      <c r="BX918" s="112" t="e">
        <f t="shared" ca="1" si="1964"/>
        <v>#N/A</v>
      </c>
      <c r="BY918">
        <f t="shared" ca="1" si="1905"/>
        <v>0</v>
      </c>
      <c r="BZ918">
        <f t="shared" ca="1" si="1906"/>
        <v>24</v>
      </c>
      <c r="CB918" t="e">
        <f t="shared" ca="1" si="1879"/>
        <v>#N/A</v>
      </c>
      <c r="CC918" s="112" t="e">
        <f t="shared" ca="1" si="1880"/>
        <v>#N/A</v>
      </c>
      <c r="CD918" s="112" t="e">
        <f t="shared" ca="1" si="1881"/>
        <v>#N/A</v>
      </c>
      <c r="CE918">
        <f t="shared" ca="1" si="1882"/>
        <v>0</v>
      </c>
      <c r="CF918">
        <f t="shared" ca="1" si="1883"/>
        <v>24</v>
      </c>
      <c r="CH918" s="112" t="str">
        <f t="shared" ca="1" si="1951"/>
        <v/>
      </c>
      <c r="CI918" t="e">
        <f t="shared" ca="1" si="1969"/>
        <v>#N/A</v>
      </c>
      <c r="CJ918" t="e">
        <f t="shared" ref="CJ918" ca="1" si="1972">IF(AND(CI918=0,CJ919=0,CJ920=0,CC918&lt;100000),1,0)</f>
        <v>#N/A</v>
      </c>
      <c r="CK918" s="112" t="e">
        <f t="shared" ca="1" si="1956"/>
        <v>#N/A</v>
      </c>
      <c r="CM918" s="112"/>
      <c r="CN918" s="260" t="e">
        <f t="shared" ca="1" si="1901"/>
        <v>#N/A</v>
      </c>
      <c r="CO918" s="112" t="e">
        <f t="shared" ca="1" si="1971"/>
        <v>#N/A</v>
      </c>
      <c r="CP918" s="238">
        <f t="shared" ca="1" si="1957"/>
        <v>0</v>
      </c>
      <c r="CQ918" s="328">
        <f t="shared" ca="1" si="1958"/>
        <v>24</v>
      </c>
      <c r="CS918" s="112">
        <f t="shared" ca="1" si="1876"/>
        <v>100000</v>
      </c>
      <c r="CT918" s="112" t="e">
        <f t="shared" ca="1" si="1910"/>
        <v>#N/A</v>
      </c>
      <c r="CU918" s="238">
        <f t="shared" ca="1" si="1887"/>
        <v>0</v>
      </c>
      <c r="CV918" s="238">
        <f t="shared" ca="1" si="1888"/>
        <v>24</v>
      </c>
      <c r="CY918">
        <f t="shared" si="1892"/>
        <v>348</v>
      </c>
      <c r="DA918" s="112">
        <f t="shared" ca="1" si="1893"/>
        <v>100000</v>
      </c>
      <c r="DE918" t="str">
        <f t="shared" si="1889"/>
        <v>cs:dc771</v>
      </c>
      <c r="DF918" t="e">
        <f t="shared" ca="1" si="1890"/>
        <v>#REF!</v>
      </c>
    </row>
    <row r="919" spans="47:110" x14ac:dyDescent="0.25">
      <c r="AU919" s="112"/>
      <c r="AV919" s="112"/>
      <c r="BQ919" s="238">
        <f t="shared" si="1968"/>
        <v>640</v>
      </c>
      <c r="BR919" t="s">
        <v>447</v>
      </c>
      <c r="BS919" t="s">
        <v>448</v>
      </c>
      <c r="BT919" s="114" t="e">
        <f t="shared" ca="1" si="1837"/>
        <v>#N/A</v>
      </c>
      <c r="BU919" s="112"/>
      <c r="BV919" t="e">
        <f t="shared" ca="1" si="1917"/>
        <v>#N/A</v>
      </c>
      <c r="BW919" s="112" t="e">
        <f t="shared" ca="1" si="1872"/>
        <v>#N/A</v>
      </c>
      <c r="BX919" s="112" t="e">
        <f t="shared" ref="BX919:BX920" ca="1" si="1973">INDIRECT(CONCATENATE(BS919,BQ919))</f>
        <v>#N/A</v>
      </c>
      <c r="BY919">
        <f t="shared" ca="1" si="1905"/>
        <v>0</v>
      </c>
      <c r="BZ919">
        <f t="shared" ca="1" si="1906"/>
        <v>24</v>
      </c>
      <c r="CB919" t="e">
        <f t="shared" ca="1" si="1879"/>
        <v>#N/A</v>
      </c>
      <c r="CC919" s="112" t="e">
        <f t="shared" ca="1" si="1880"/>
        <v>#N/A</v>
      </c>
      <c r="CD919" s="112" t="e">
        <f t="shared" ca="1" si="1881"/>
        <v>#N/A</v>
      </c>
      <c r="CE919">
        <f t="shared" ca="1" si="1882"/>
        <v>0</v>
      </c>
      <c r="CF919">
        <f t="shared" ca="1" si="1883"/>
        <v>24</v>
      </c>
      <c r="CH919" s="112" t="str">
        <f t="shared" ca="1" si="1951"/>
        <v/>
      </c>
      <c r="CI919" t="e">
        <f t="shared" ca="1" si="1969"/>
        <v>#N/A</v>
      </c>
      <c r="CJ919" t="e">
        <f t="shared" ref="CJ919" ca="1" si="1974">IF(AND(CI919=0,CJ920=0,CC919&lt;100000),1,0)</f>
        <v>#N/A</v>
      </c>
      <c r="CK919" s="112" t="e">
        <f t="shared" ca="1" si="1956"/>
        <v>#N/A</v>
      </c>
      <c r="CM919" s="112"/>
      <c r="CN919" s="260" t="e">
        <f t="shared" ca="1" si="1901"/>
        <v>#N/A</v>
      </c>
      <c r="CO919" s="112" t="e">
        <f t="shared" ca="1" si="1971"/>
        <v>#N/A</v>
      </c>
      <c r="CP919" s="238">
        <f t="shared" ca="1" si="1957"/>
        <v>0</v>
      </c>
      <c r="CQ919" s="328">
        <f t="shared" ca="1" si="1958"/>
        <v>24</v>
      </c>
      <c r="CS919" s="112">
        <f t="shared" ca="1" si="1876"/>
        <v>100000</v>
      </c>
      <c r="CT919" s="112" t="e">
        <f t="shared" ca="1" si="1910"/>
        <v>#N/A</v>
      </c>
      <c r="CU919" s="238">
        <f t="shared" ca="1" si="1887"/>
        <v>0</v>
      </c>
      <c r="CV919" s="238">
        <f t="shared" ca="1" si="1888"/>
        <v>24</v>
      </c>
      <c r="CY919">
        <f t="shared" si="1892"/>
        <v>349</v>
      </c>
      <c r="DA919" s="112">
        <f t="shared" ca="1" si="1893"/>
        <v>100000</v>
      </c>
      <c r="DE919" t="str">
        <f t="shared" si="1889"/>
        <v>cs:dc771</v>
      </c>
      <c r="DF919" t="e">
        <f t="shared" ca="1" si="1890"/>
        <v>#REF!</v>
      </c>
    </row>
    <row r="920" spans="47:110" ht="15.75" thickBot="1" x14ac:dyDescent="0.3">
      <c r="AU920" s="112"/>
      <c r="AV920" s="112"/>
      <c r="BQ920" s="238">
        <f t="shared" si="1968"/>
        <v>640</v>
      </c>
      <c r="BR920" t="s">
        <v>448</v>
      </c>
      <c r="BS920" t="s">
        <v>449</v>
      </c>
      <c r="BT920" s="114" t="e">
        <f t="shared" ca="1" si="1837"/>
        <v>#N/A</v>
      </c>
      <c r="BU920" s="112"/>
      <c r="BV920" t="e">
        <f t="shared" ca="1" si="1917"/>
        <v>#N/A</v>
      </c>
      <c r="BW920" s="112" t="e">
        <f t="shared" ca="1" si="1872"/>
        <v>#N/A</v>
      </c>
      <c r="BX920" s="112" t="str">
        <f t="shared" ca="1" si="1973"/>
        <v/>
      </c>
      <c r="BY920">
        <f t="shared" ca="1" si="1905"/>
        <v>0</v>
      </c>
      <c r="BZ920">
        <f t="shared" ca="1" si="1906"/>
        <v>24</v>
      </c>
      <c r="CB920" t="e">
        <f t="shared" ca="1" si="1879"/>
        <v>#N/A</v>
      </c>
      <c r="CC920" s="112" t="e">
        <f t="shared" ca="1" si="1880"/>
        <v>#N/A</v>
      </c>
      <c r="CD920" s="112" t="str">
        <f t="shared" ca="1" si="1881"/>
        <v/>
      </c>
      <c r="CE920">
        <f t="shared" ca="1" si="1882"/>
        <v>0</v>
      </c>
      <c r="CF920">
        <f t="shared" ca="1" si="1883"/>
        <v>24</v>
      </c>
      <c r="CH920" s="112" t="str">
        <f t="shared" ca="1" si="1951"/>
        <v/>
      </c>
      <c r="CI920" t="e">
        <f t="shared" ca="1" si="1969"/>
        <v>#N/A</v>
      </c>
      <c r="CJ920" t="e">
        <f t="shared" ref="CJ920" ca="1" si="1975">IF(AND(CI920=0,CC920&lt;100000),1,0)</f>
        <v>#N/A</v>
      </c>
      <c r="CK920" s="112" t="e">
        <f t="shared" ca="1" si="1956"/>
        <v>#N/A</v>
      </c>
      <c r="CM920" s="112"/>
      <c r="CN920" s="261" t="e">
        <f t="shared" ref="CN920" ca="1" si="1976">IF(AND(CN916=100000,CN917=100000,CN918=100000,CN919=100000),INDIRECT(CONCATENATE("aa",BQ920)),CC920)</f>
        <v>#N/A</v>
      </c>
      <c r="CO920" s="324" t="e">
        <f t="shared" ca="1" si="1971"/>
        <v>#N/A</v>
      </c>
      <c r="CP920" s="256">
        <f t="shared" ca="1" si="1957"/>
        <v>0</v>
      </c>
      <c r="CQ920" s="329">
        <f t="shared" ca="1" si="1958"/>
        <v>24</v>
      </c>
      <c r="CS920" s="112">
        <f t="shared" ca="1" si="1876"/>
        <v>100000</v>
      </c>
      <c r="CT920" s="112" t="e">
        <f t="shared" ca="1" si="1910"/>
        <v>#N/A</v>
      </c>
      <c r="CU920" s="238">
        <f t="shared" ca="1" si="1887"/>
        <v>0</v>
      </c>
      <c r="CV920" s="238">
        <f t="shared" ca="1" si="1888"/>
        <v>24</v>
      </c>
      <c r="CY920">
        <f t="shared" si="1892"/>
        <v>350</v>
      </c>
      <c r="DA920" s="112">
        <f t="shared" ca="1" si="1893"/>
        <v>100000</v>
      </c>
      <c r="DE920" t="str">
        <f t="shared" si="1889"/>
        <v>cs:dc771</v>
      </c>
      <c r="DF920" t="e">
        <f t="shared" ca="1" si="1890"/>
        <v>#REF!</v>
      </c>
    </row>
    <row r="921" spans="47:110" x14ac:dyDescent="0.25">
      <c r="AU921" s="112"/>
      <c r="AV921" s="112"/>
      <c r="BQ921" s="238">
        <f t="shared" ref="BQ921" si="1977">BQ920+1</f>
        <v>641</v>
      </c>
      <c r="BR921" s="112" t="s">
        <v>444</v>
      </c>
      <c r="BS921" s="112" t="s">
        <v>445</v>
      </c>
      <c r="BT921" s="114" t="e">
        <f t="shared" ca="1" si="1837"/>
        <v>#N/A</v>
      </c>
      <c r="BU921" s="112"/>
      <c r="BV921">
        <f t="shared" ca="1" si="1917"/>
        <v>0</v>
      </c>
      <c r="BW921" s="112" t="str">
        <f t="shared" ca="1" si="1872"/>
        <v/>
      </c>
      <c r="BX921" s="112" t="e">
        <f t="shared" ref="BX921:BX923" ca="1" si="1978">INDIRECT(CONCATENATE(BS921,BQ921))-1</f>
        <v>#N/A</v>
      </c>
      <c r="BY921">
        <f t="shared" ca="1" si="1905"/>
        <v>0</v>
      </c>
      <c r="BZ921">
        <f t="shared" ca="1" si="1906"/>
        <v>24</v>
      </c>
      <c r="CB921" t="e">
        <f t="shared" ca="1" si="1879"/>
        <v>#N/A</v>
      </c>
      <c r="CC921" s="112" t="e">
        <f t="shared" ca="1" si="1880"/>
        <v>#N/A</v>
      </c>
      <c r="CD921" s="112" t="e">
        <f t="shared" ca="1" si="1881"/>
        <v>#N/A</v>
      </c>
      <c r="CE921">
        <f t="shared" ca="1" si="1882"/>
        <v>0</v>
      </c>
      <c r="CF921">
        <f t="shared" ca="1" si="1883"/>
        <v>24</v>
      </c>
      <c r="CH921" s="112" t="str">
        <f t="shared" ca="1" si="1951"/>
        <v/>
      </c>
      <c r="CI921" t="e">
        <f t="shared" ref="CI921" ca="1" si="1979">CB921+CB922+CB923+CB924+CB925</f>
        <v>#N/A</v>
      </c>
      <c r="CJ921">
        <v>0</v>
      </c>
      <c r="CK921" s="112" t="str">
        <f t="shared" ca="1" si="1956"/>
        <v/>
      </c>
      <c r="CM921" s="112"/>
      <c r="CN921" s="408" t="e">
        <f t="shared" ca="1" si="1901"/>
        <v>#N/A</v>
      </c>
      <c r="CO921" s="326" t="e">
        <f t="shared" ref="CO921" ca="1" si="1980">CD921</f>
        <v>#N/A</v>
      </c>
      <c r="CP921" s="333">
        <f t="shared" ca="1" si="1957"/>
        <v>0</v>
      </c>
      <c r="CQ921" s="327">
        <f t="shared" ca="1" si="1958"/>
        <v>24</v>
      </c>
      <c r="CS921" s="112">
        <f t="shared" ca="1" si="1876"/>
        <v>100000</v>
      </c>
      <c r="CT921" s="112" t="e">
        <f t="shared" ref="CT921" ca="1" si="1981">IF(AND( CN922=100000,CN923=100000,CN924=100000,CN925=100000),CO925,                             CO921)</f>
        <v>#N/A</v>
      </c>
      <c r="CU921" s="238">
        <f t="shared" ca="1" si="1887"/>
        <v>0</v>
      </c>
      <c r="CV921" s="238">
        <f t="shared" ca="1" si="1888"/>
        <v>24</v>
      </c>
      <c r="CY921">
        <f t="shared" si="1892"/>
        <v>351</v>
      </c>
      <c r="DA921" s="112">
        <f t="shared" ca="1" si="1893"/>
        <v>100000</v>
      </c>
      <c r="DE921" t="str">
        <f t="shared" si="1889"/>
        <v>cs:dc771</v>
      </c>
      <c r="DF921" t="e">
        <f t="shared" ca="1" si="1890"/>
        <v>#REF!</v>
      </c>
    </row>
    <row r="922" spans="47:110" x14ac:dyDescent="0.25">
      <c r="AU922" s="112"/>
      <c r="AV922" s="112"/>
      <c r="BQ922" s="238">
        <f t="shared" ref="BQ922:BQ925" si="1982">BQ921</f>
        <v>641</v>
      </c>
      <c r="BR922" t="s">
        <v>445</v>
      </c>
      <c r="BS922" t="s">
        <v>446</v>
      </c>
      <c r="BT922" s="114" t="e">
        <f t="shared" ca="1" si="1837"/>
        <v>#N/A</v>
      </c>
      <c r="BU922" s="112"/>
      <c r="BV922" t="e">
        <f t="shared" ca="1" si="1917"/>
        <v>#N/A</v>
      </c>
      <c r="BW922" s="112" t="e">
        <f t="shared" ca="1" si="1872"/>
        <v>#N/A</v>
      </c>
      <c r="BX922" s="112" t="e">
        <f t="shared" ca="1" si="1978"/>
        <v>#N/A</v>
      </c>
      <c r="BY922">
        <f t="shared" ca="1" si="1905"/>
        <v>0</v>
      </c>
      <c r="BZ922">
        <f t="shared" ca="1" si="1906"/>
        <v>24</v>
      </c>
      <c r="CB922" t="e">
        <f t="shared" ca="1" si="1879"/>
        <v>#N/A</v>
      </c>
      <c r="CC922" s="112" t="e">
        <f t="shared" ca="1" si="1880"/>
        <v>#N/A</v>
      </c>
      <c r="CD922" s="112" t="e">
        <f t="shared" ca="1" si="1881"/>
        <v>#N/A</v>
      </c>
      <c r="CE922">
        <f t="shared" ca="1" si="1882"/>
        <v>0</v>
      </c>
      <c r="CF922">
        <f t="shared" ca="1" si="1883"/>
        <v>24</v>
      </c>
      <c r="CH922" s="112" t="str">
        <f t="shared" ca="1" si="1951"/>
        <v/>
      </c>
      <c r="CI922" t="e">
        <f t="shared" ref="CI922:CI925" ca="1" si="1983">CI921</f>
        <v>#N/A</v>
      </c>
      <c r="CJ922" t="e">
        <f t="shared" ref="CJ922" ca="1" si="1984">IF(AND(CI922=0,CJ923=0,CJ924=0,CJ925=0,CC922&lt;100000),1,0)</f>
        <v>#N/A</v>
      </c>
      <c r="CK922" s="112" t="e">
        <f t="shared" ca="1" si="1956"/>
        <v>#N/A</v>
      </c>
      <c r="CM922" s="112"/>
      <c r="CN922" s="260" t="e">
        <f t="shared" ca="1" si="1901"/>
        <v>#N/A</v>
      </c>
      <c r="CO922" s="112" t="e">
        <f t="shared" ref="CO922:CO925" ca="1" si="1985">IF(CJ922=1,CH922,CD922)</f>
        <v>#N/A</v>
      </c>
      <c r="CP922" s="238">
        <f t="shared" ca="1" si="1957"/>
        <v>0</v>
      </c>
      <c r="CQ922" s="328">
        <f t="shared" ca="1" si="1958"/>
        <v>24</v>
      </c>
      <c r="CS922" s="112">
        <f t="shared" ca="1" si="1876"/>
        <v>100000</v>
      </c>
      <c r="CT922" s="112" t="e">
        <f t="shared" ca="1" si="1910"/>
        <v>#N/A</v>
      </c>
      <c r="CU922" s="238">
        <f t="shared" ca="1" si="1887"/>
        <v>0</v>
      </c>
      <c r="CV922" s="238">
        <f t="shared" ca="1" si="1888"/>
        <v>24</v>
      </c>
      <c r="CY922">
        <f t="shared" si="1892"/>
        <v>352</v>
      </c>
      <c r="DA922" s="112">
        <f t="shared" ca="1" si="1893"/>
        <v>100000</v>
      </c>
      <c r="DE922" t="str">
        <f t="shared" si="1889"/>
        <v>cs:dc771</v>
      </c>
      <c r="DF922" t="e">
        <f t="shared" ca="1" si="1890"/>
        <v>#REF!</v>
      </c>
    </row>
    <row r="923" spans="47:110" x14ac:dyDescent="0.25">
      <c r="AU923" s="112"/>
      <c r="AV923" s="112"/>
      <c r="BQ923" s="238">
        <f t="shared" si="1982"/>
        <v>641</v>
      </c>
      <c r="BR923" t="s">
        <v>446</v>
      </c>
      <c r="BS923" t="s">
        <v>447</v>
      </c>
      <c r="BT923" s="114" t="e">
        <f t="shared" ca="1" si="1837"/>
        <v>#N/A</v>
      </c>
      <c r="BU923" s="112"/>
      <c r="BV923" t="e">
        <f t="shared" ca="1" si="1917"/>
        <v>#N/A</v>
      </c>
      <c r="BW923" s="112" t="e">
        <f t="shared" ca="1" si="1872"/>
        <v>#N/A</v>
      </c>
      <c r="BX923" s="112" t="e">
        <f t="shared" ca="1" si="1978"/>
        <v>#N/A</v>
      </c>
      <c r="BY923">
        <f t="shared" ca="1" si="1905"/>
        <v>0</v>
      </c>
      <c r="BZ923">
        <f t="shared" ca="1" si="1906"/>
        <v>24</v>
      </c>
      <c r="CB923" t="e">
        <f t="shared" ca="1" si="1879"/>
        <v>#N/A</v>
      </c>
      <c r="CC923" s="112" t="e">
        <f t="shared" ca="1" si="1880"/>
        <v>#N/A</v>
      </c>
      <c r="CD923" s="112" t="e">
        <f t="shared" ca="1" si="1881"/>
        <v>#N/A</v>
      </c>
      <c r="CE923">
        <f t="shared" ca="1" si="1882"/>
        <v>0</v>
      </c>
      <c r="CF923">
        <f t="shared" ca="1" si="1883"/>
        <v>24</v>
      </c>
      <c r="CH923" s="112" t="str">
        <f t="shared" ca="1" si="1951"/>
        <v/>
      </c>
      <c r="CI923" t="e">
        <f t="shared" ca="1" si="1983"/>
        <v>#N/A</v>
      </c>
      <c r="CJ923" t="e">
        <f t="shared" ref="CJ923" ca="1" si="1986">IF(AND(CI923=0,CJ924=0,CJ925=0,CC923&lt;100000),1,0)</f>
        <v>#N/A</v>
      </c>
      <c r="CK923" s="112" t="e">
        <f t="shared" ca="1" si="1956"/>
        <v>#N/A</v>
      </c>
      <c r="CM923" s="112"/>
      <c r="CN923" s="260" t="e">
        <f t="shared" ca="1" si="1901"/>
        <v>#N/A</v>
      </c>
      <c r="CO923" s="112" t="e">
        <f t="shared" ca="1" si="1985"/>
        <v>#N/A</v>
      </c>
      <c r="CP923" s="238">
        <f t="shared" ca="1" si="1957"/>
        <v>0</v>
      </c>
      <c r="CQ923" s="328">
        <f t="shared" ca="1" si="1958"/>
        <v>24</v>
      </c>
      <c r="CS923" s="112">
        <f t="shared" ca="1" si="1876"/>
        <v>100000</v>
      </c>
      <c r="CT923" s="112" t="e">
        <f t="shared" ca="1" si="1910"/>
        <v>#N/A</v>
      </c>
      <c r="CU923" s="238">
        <f t="shared" ca="1" si="1887"/>
        <v>0</v>
      </c>
      <c r="CV923" s="238">
        <f t="shared" ca="1" si="1888"/>
        <v>24</v>
      </c>
      <c r="CY923">
        <f t="shared" si="1892"/>
        <v>353</v>
      </c>
      <c r="DA923" s="112">
        <f t="shared" ca="1" si="1893"/>
        <v>100000</v>
      </c>
      <c r="DE923" t="str">
        <f t="shared" si="1889"/>
        <v>cs:dc771</v>
      </c>
      <c r="DF923" t="e">
        <f t="shared" ca="1" si="1890"/>
        <v>#REF!</v>
      </c>
    </row>
    <row r="924" spans="47:110" x14ac:dyDescent="0.25">
      <c r="AU924" s="112"/>
      <c r="AV924" s="112"/>
      <c r="BQ924" s="238">
        <f t="shared" si="1982"/>
        <v>641</v>
      </c>
      <c r="BR924" t="s">
        <v>447</v>
      </c>
      <c r="BS924" t="s">
        <v>448</v>
      </c>
      <c r="BT924" s="114" t="e">
        <f t="shared" ca="1" si="1837"/>
        <v>#N/A</v>
      </c>
      <c r="BU924" s="112"/>
      <c r="BV924" t="e">
        <f t="shared" ca="1" si="1917"/>
        <v>#N/A</v>
      </c>
      <c r="BW924" s="112" t="e">
        <f t="shared" ca="1" si="1872"/>
        <v>#N/A</v>
      </c>
      <c r="BX924" s="112" t="e">
        <f t="shared" ref="BX924:BX925" ca="1" si="1987">INDIRECT(CONCATENATE(BS924,BQ924))</f>
        <v>#N/A</v>
      </c>
      <c r="BY924">
        <f t="shared" ca="1" si="1905"/>
        <v>0</v>
      </c>
      <c r="BZ924">
        <f t="shared" ca="1" si="1906"/>
        <v>24</v>
      </c>
      <c r="CB924" t="e">
        <f t="shared" ca="1" si="1879"/>
        <v>#N/A</v>
      </c>
      <c r="CC924" s="112" t="e">
        <f t="shared" ca="1" si="1880"/>
        <v>#N/A</v>
      </c>
      <c r="CD924" s="112" t="e">
        <f t="shared" ca="1" si="1881"/>
        <v>#N/A</v>
      </c>
      <c r="CE924">
        <f t="shared" ca="1" si="1882"/>
        <v>0</v>
      </c>
      <c r="CF924">
        <f t="shared" ca="1" si="1883"/>
        <v>24</v>
      </c>
      <c r="CH924" s="112" t="str">
        <f t="shared" ca="1" si="1951"/>
        <v/>
      </c>
      <c r="CI924" t="e">
        <f t="shared" ca="1" si="1983"/>
        <v>#N/A</v>
      </c>
      <c r="CJ924" t="e">
        <f t="shared" ref="CJ924" ca="1" si="1988">IF(AND(CI924=0,CJ925=0,CC924&lt;100000),1,0)</f>
        <v>#N/A</v>
      </c>
      <c r="CK924" s="112" t="e">
        <f t="shared" ca="1" si="1956"/>
        <v>#N/A</v>
      </c>
      <c r="CM924" s="112"/>
      <c r="CN924" s="260" t="e">
        <f t="shared" ca="1" si="1901"/>
        <v>#N/A</v>
      </c>
      <c r="CO924" s="112" t="e">
        <f t="shared" ca="1" si="1985"/>
        <v>#N/A</v>
      </c>
      <c r="CP924" s="238">
        <f t="shared" ca="1" si="1957"/>
        <v>0</v>
      </c>
      <c r="CQ924" s="328">
        <f t="shared" ca="1" si="1958"/>
        <v>24</v>
      </c>
      <c r="CS924" s="112">
        <f t="shared" ca="1" si="1876"/>
        <v>100000</v>
      </c>
      <c r="CT924" s="112" t="e">
        <f t="shared" ca="1" si="1910"/>
        <v>#N/A</v>
      </c>
      <c r="CU924" s="238">
        <f t="shared" ca="1" si="1887"/>
        <v>0</v>
      </c>
      <c r="CV924" s="238">
        <f t="shared" ca="1" si="1888"/>
        <v>24</v>
      </c>
      <c r="CY924">
        <f t="shared" si="1892"/>
        <v>354</v>
      </c>
      <c r="DA924" s="112">
        <f t="shared" ca="1" si="1893"/>
        <v>100000</v>
      </c>
      <c r="DE924" t="str">
        <f t="shared" si="1889"/>
        <v>cs:dc771</v>
      </c>
      <c r="DF924" t="e">
        <f t="shared" ca="1" si="1890"/>
        <v>#REF!</v>
      </c>
    </row>
    <row r="925" spans="47:110" ht="15.75" thickBot="1" x14ac:dyDescent="0.3">
      <c r="AU925" s="112"/>
      <c r="AV925" s="112"/>
      <c r="BQ925" s="238">
        <f t="shared" si="1982"/>
        <v>641</v>
      </c>
      <c r="BR925" t="s">
        <v>448</v>
      </c>
      <c r="BS925" t="s">
        <v>449</v>
      </c>
      <c r="BT925" s="114" t="e">
        <f t="shared" ca="1" si="1837"/>
        <v>#N/A</v>
      </c>
      <c r="BU925" s="112"/>
      <c r="BV925" t="e">
        <f t="shared" ca="1" si="1917"/>
        <v>#N/A</v>
      </c>
      <c r="BW925" s="112" t="e">
        <f t="shared" ca="1" si="1872"/>
        <v>#N/A</v>
      </c>
      <c r="BX925" s="112" t="str">
        <f t="shared" ca="1" si="1987"/>
        <v/>
      </c>
      <c r="BY925">
        <f t="shared" ca="1" si="1905"/>
        <v>0</v>
      </c>
      <c r="BZ925">
        <f t="shared" ca="1" si="1906"/>
        <v>24</v>
      </c>
      <c r="CB925" t="e">
        <f t="shared" ca="1" si="1879"/>
        <v>#N/A</v>
      </c>
      <c r="CC925" s="112" t="e">
        <f t="shared" ca="1" si="1880"/>
        <v>#N/A</v>
      </c>
      <c r="CD925" s="112" t="str">
        <f t="shared" ca="1" si="1881"/>
        <v/>
      </c>
      <c r="CE925">
        <f t="shared" ca="1" si="1882"/>
        <v>0</v>
      </c>
      <c r="CF925">
        <f t="shared" ca="1" si="1883"/>
        <v>24</v>
      </c>
      <c r="CH925" s="112" t="str">
        <f t="shared" ca="1" si="1951"/>
        <v/>
      </c>
      <c r="CI925" t="e">
        <f t="shared" ca="1" si="1983"/>
        <v>#N/A</v>
      </c>
      <c r="CJ925" t="e">
        <f t="shared" ref="CJ925" ca="1" si="1989">IF(AND(CI925=0,CC925&lt;100000),1,0)</f>
        <v>#N/A</v>
      </c>
      <c r="CK925" s="112" t="e">
        <f t="shared" ca="1" si="1956"/>
        <v>#N/A</v>
      </c>
      <c r="CM925" s="112"/>
      <c r="CN925" s="261" t="e">
        <f t="shared" ref="CN925" ca="1" si="1990">IF(AND(CN921=100000,CN922=100000,CN923=100000,CN924=100000),INDIRECT(CONCATENATE("aa",BQ925)),CC925)</f>
        <v>#N/A</v>
      </c>
      <c r="CO925" s="324" t="e">
        <f t="shared" ca="1" si="1985"/>
        <v>#N/A</v>
      </c>
      <c r="CP925" s="256">
        <f t="shared" ca="1" si="1957"/>
        <v>0</v>
      </c>
      <c r="CQ925" s="329">
        <f t="shared" ca="1" si="1958"/>
        <v>24</v>
      </c>
      <c r="CS925" s="112">
        <f t="shared" ca="1" si="1876"/>
        <v>100000</v>
      </c>
      <c r="CT925" s="112" t="e">
        <f t="shared" ca="1" si="1910"/>
        <v>#N/A</v>
      </c>
      <c r="CU925" s="238">
        <f t="shared" ca="1" si="1887"/>
        <v>0</v>
      </c>
      <c r="CV925" s="238">
        <f t="shared" ca="1" si="1888"/>
        <v>24</v>
      </c>
      <c r="CY925">
        <f t="shared" si="1892"/>
        <v>355</v>
      </c>
      <c r="DA925" s="112">
        <f t="shared" ca="1" si="1893"/>
        <v>100000</v>
      </c>
      <c r="DE925" t="str">
        <f t="shared" si="1889"/>
        <v>cs:dc771</v>
      </c>
      <c r="DF925" t="e">
        <f t="shared" ca="1" si="1890"/>
        <v>#REF!</v>
      </c>
    </row>
    <row r="926" spans="47:110" x14ac:dyDescent="0.25">
      <c r="AU926" s="112"/>
      <c r="AV926" s="112"/>
      <c r="BQ926" s="238">
        <f t="shared" ref="BQ926" si="1991">BQ925+1</f>
        <v>642</v>
      </c>
      <c r="BR926" s="112" t="s">
        <v>444</v>
      </c>
      <c r="BS926" s="112" t="s">
        <v>445</v>
      </c>
      <c r="BT926" s="114" t="e">
        <f t="shared" ca="1" si="1837"/>
        <v>#N/A</v>
      </c>
      <c r="BU926" s="112"/>
      <c r="BV926">
        <f t="shared" ca="1" si="1917"/>
        <v>0</v>
      </c>
      <c r="BW926" s="112" t="str">
        <f t="shared" ca="1" si="1872"/>
        <v/>
      </c>
      <c r="BX926" s="112" t="e">
        <f t="shared" ref="BX926:BX928" ca="1" si="1992">INDIRECT(CONCATENATE(BS926,BQ926))-1</f>
        <v>#N/A</v>
      </c>
      <c r="BY926">
        <f t="shared" ca="1" si="1905"/>
        <v>0</v>
      </c>
      <c r="BZ926">
        <f t="shared" ca="1" si="1906"/>
        <v>24</v>
      </c>
      <c r="CB926" t="e">
        <f t="shared" ca="1" si="1879"/>
        <v>#N/A</v>
      </c>
      <c r="CC926" s="112" t="e">
        <f t="shared" ca="1" si="1880"/>
        <v>#N/A</v>
      </c>
      <c r="CD926" s="112" t="e">
        <f t="shared" ca="1" si="1881"/>
        <v>#N/A</v>
      </c>
      <c r="CE926">
        <f t="shared" ca="1" si="1882"/>
        <v>0</v>
      </c>
      <c r="CF926">
        <f t="shared" ca="1" si="1883"/>
        <v>24</v>
      </c>
      <c r="CH926" s="112" t="str">
        <f t="shared" ca="1" si="1951"/>
        <v/>
      </c>
      <c r="CI926" t="e">
        <f t="shared" ref="CI926" ca="1" si="1993">CB926+CB927+CB928+CB929+CB930</f>
        <v>#N/A</v>
      </c>
      <c r="CJ926">
        <v>0</v>
      </c>
      <c r="CK926" s="112" t="str">
        <f t="shared" ca="1" si="1956"/>
        <v/>
      </c>
      <c r="CM926" s="112"/>
      <c r="CN926" s="408" t="e">
        <f t="shared" ca="1" si="1901"/>
        <v>#N/A</v>
      </c>
      <c r="CO926" s="326" t="e">
        <f t="shared" ref="CO926" ca="1" si="1994">CD926</f>
        <v>#N/A</v>
      </c>
      <c r="CP926" s="333">
        <f t="shared" ca="1" si="1957"/>
        <v>0</v>
      </c>
      <c r="CQ926" s="327">
        <f t="shared" ca="1" si="1958"/>
        <v>24</v>
      </c>
      <c r="CS926" s="112">
        <f t="shared" ca="1" si="1876"/>
        <v>100000</v>
      </c>
      <c r="CT926" s="112" t="e">
        <f t="shared" ref="CT926" ca="1" si="1995">IF(AND( CN927=100000,CN928=100000,CN929=100000,CN930=100000),CO930,                             CO926)</f>
        <v>#N/A</v>
      </c>
      <c r="CU926" s="238">
        <f t="shared" ca="1" si="1887"/>
        <v>0</v>
      </c>
      <c r="CV926" s="238">
        <f t="shared" ca="1" si="1888"/>
        <v>24</v>
      </c>
      <c r="CY926">
        <f t="shared" si="1892"/>
        <v>356</v>
      </c>
      <c r="DA926" s="112">
        <f t="shared" ca="1" si="1893"/>
        <v>100000</v>
      </c>
      <c r="DE926" t="str">
        <f t="shared" si="1889"/>
        <v>cs:dc771</v>
      </c>
      <c r="DF926" t="e">
        <f t="shared" ca="1" si="1890"/>
        <v>#REF!</v>
      </c>
    </row>
    <row r="927" spans="47:110" x14ac:dyDescent="0.25">
      <c r="AU927" s="112"/>
      <c r="AV927" s="112"/>
      <c r="BQ927" s="238">
        <f t="shared" ref="BQ927:BQ930" si="1996">BQ926</f>
        <v>642</v>
      </c>
      <c r="BR927" t="s">
        <v>445</v>
      </c>
      <c r="BS927" t="s">
        <v>446</v>
      </c>
      <c r="BT927" s="114" t="e">
        <f t="shared" ca="1" si="1837"/>
        <v>#N/A</v>
      </c>
      <c r="BU927" s="112"/>
      <c r="BV927" t="e">
        <f t="shared" ca="1" si="1917"/>
        <v>#N/A</v>
      </c>
      <c r="BW927" s="112" t="e">
        <f t="shared" ca="1" si="1872"/>
        <v>#N/A</v>
      </c>
      <c r="BX927" s="112" t="e">
        <f t="shared" ca="1" si="1992"/>
        <v>#N/A</v>
      </c>
      <c r="BY927">
        <f t="shared" ca="1" si="1905"/>
        <v>0</v>
      </c>
      <c r="BZ927">
        <f t="shared" ca="1" si="1906"/>
        <v>24</v>
      </c>
      <c r="CB927" t="e">
        <f t="shared" ca="1" si="1879"/>
        <v>#N/A</v>
      </c>
      <c r="CC927" s="112" t="e">
        <f t="shared" ca="1" si="1880"/>
        <v>#N/A</v>
      </c>
      <c r="CD927" s="112" t="e">
        <f t="shared" ca="1" si="1881"/>
        <v>#N/A</v>
      </c>
      <c r="CE927">
        <f t="shared" ca="1" si="1882"/>
        <v>0</v>
      </c>
      <c r="CF927">
        <f t="shared" ca="1" si="1883"/>
        <v>24</v>
      </c>
      <c r="CH927" s="112" t="str">
        <f t="shared" ca="1" si="1951"/>
        <v/>
      </c>
      <c r="CI927" t="e">
        <f t="shared" ref="CI927:CI930" ca="1" si="1997">CI926</f>
        <v>#N/A</v>
      </c>
      <c r="CJ927" t="e">
        <f t="shared" ref="CJ927" ca="1" si="1998">IF(AND(CI927=0,CJ928=0,CJ929=0,CJ930=0,CC927&lt;100000),1,0)</f>
        <v>#N/A</v>
      </c>
      <c r="CK927" s="112" t="e">
        <f t="shared" ca="1" si="1956"/>
        <v>#N/A</v>
      </c>
      <c r="CM927" s="112"/>
      <c r="CN927" s="260" t="e">
        <f t="shared" ca="1" si="1901"/>
        <v>#N/A</v>
      </c>
      <c r="CO927" s="112" t="e">
        <f t="shared" ref="CO927:CO930" ca="1" si="1999">IF(CJ927=1,CH927,CD927)</f>
        <v>#N/A</v>
      </c>
      <c r="CP927" s="238">
        <f t="shared" ca="1" si="1957"/>
        <v>0</v>
      </c>
      <c r="CQ927" s="328">
        <f t="shared" ca="1" si="1958"/>
        <v>24</v>
      </c>
      <c r="CS927" s="112">
        <f t="shared" ca="1" si="1876"/>
        <v>100000</v>
      </c>
      <c r="CT927" s="112" t="e">
        <f t="shared" ca="1" si="1910"/>
        <v>#N/A</v>
      </c>
      <c r="CU927" s="238">
        <f t="shared" ca="1" si="1887"/>
        <v>0</v>
      </c>
      <c r="CV927" s="238">
        <f t="shared" ca="1" si="1888"/>
        <v>24</v>
      </c>
      <c r="CY927">
        <f t="shared" si="1892"/>
        <v>357</v>
      </c>
      <c r="DA927" s="112">
        <f t="shared" ca="1" si="1893"/>
        <v>100000</v>
      </c>
      <c r="DE927" t="str">
        <f t="shared" si="1889"/>
        <v>cs:dc771</v>
      </c>
      <c r="DF927" t="e">
        <f t="shared" ca="1" si="1890"/>
        <v>#REF!</v>
      </c>
    </row>
    <row r="928" spans="47:110" x14ac:dyDescent="0.25">
      <c r="AU928" s="112"/>
      <c r="AV928" s="112"/>
      <c r="BQ928" s="238">
        <f t="shared" si="1996"/>
        <v>642</v>
      </c>
      <c r="BR928" t="s">
        <v>446</v>
      </c>
      <c r="BS928" t="s">
        <v>447</v>
      </c>
      <c r="BT928" s="114" t="e">
        <f t="shared" ca="1" si="1837"/>
        <v>#N/A</v>
      </c>
      <c r="BU928" s="112"/>
      <c r="BV928" t="e">
        <f t="shared" ca="1" si="1917"/>
        <v>#N/A</v>
      </c>
      <c r="BW928" s="112" t="e">
        <f t="shared" ca="1" si="1872"/>
        <v>#N/A</v>
      </c>
      <c r="BX928" s="112" t="e">
        <f t="shared" ca="1" si="1992"/>
        <v>#N/A</v>
      </c>
      <c r="BY928">
        <f t="shared" ca="1" si="1905"/>
        <v>0</v>
      </c>
      <c r="BZ928">
        <f t="shared" ca="1" si="1906"/>
        <v>24</v>
      </c>
      <c r="CB928" t="e">
        <f t="shared" ca="1" si="1879"/>
        <v>#N/A</v>
      </c>
      <c r="CC928" s="112" t="e">
        <f t="shared" ca="1" si="1880"/>
        <v>#N/A</v>
      </c>
      <c r="CD928" s="112" t="e">
        <f t="shared" ca="1" si="1881"/>
        <v>#N/A</v>
      </c>
      <c r="CE928">
        <f t="shared" ca="1" si="1882"/>
        <v>0</v>
      </c>
      <c r="CF928">
        <f t="shared" ca="1" si="1883"/>
        <v>24</v>
      </c>
      <c r="CH928" s="112" t="str">
        <f t="shared" ca="1" si="1951"/>
        <v/>
      </c>
      <c r="CI928" t="e">
        <f t="shared" ca="1" si="1997"/>
        <v>#N/A</v>
      </c>
      <c r="CJ928" t="e">
        <f t="shared" ref="CJ928" ca="1" si="2000">IF(AND(CI928=0,CJ929=0,CJ930=0,CC928&lt;100000),1,0)</f>
        <v>#N/A</v>
      </c>
      <c r="CK928" s="112" t="e">
        <f t="shared" ca="1" si="1956"/>
        <v>#N/A</v>
      </c>
      <c r="CM928" s="112"/>
      <c r="CN928" s="260" t="e">
        <f t="shared" ca="1" si="1901"/>
        <v>#N/A</v>
      </c>
      <c r="CO928" s="112" t="e">
        <f t="shared" ca="1" si="1999"/>
        <v>#N/A</v>
      </c>
      <c r="CP928" s="238">
        <f t="shared" ca="1" si="1957"/>
        <v>0</v>
      </c>
      <c r="CQ928" s="328">
        <f t="shared" ca="1" si="1958"/>
        <v>24</v>
      </c>
      <c r="CS928" s="112">
        <f t="shared" ca="1" si="1876"/>
        <v>100000</v>
      </c>
      <c r="CT928" s="112" t="e">
        <f t="shared" ca="1" si="1910"/>
        <v>#N/A</v>
      </c>
      <c r="CU928" s="238">
        <f t="shared" ca="1" si="1887"/>
        <v>0</v>
      </c>
      <c r="CV928" s="238">
        <f t="shared" ca="1" si="1888"/>
        <v>24</v>
      </c>
      <c r="CY928">
        <f t="shared" si="1892"/>
        <v>358</v>
      </c>
      <c r="DA928" s="112">
        <f t="shared" ca="1" si="1893"/>
        <v>100000</v>
      </c>
      <c r="DE928" t="str">
        <f t="shared" si="1889"/>
        <v>cs:dc771</v>
      </c>
      <c r="DF928" t="e">
        <f t="shared" ca="1" si="1890"/>
        <v>#REF!</v>
      </c>
    </row>
    <row r="929" spans="47:110" x14ac:dyDescent="0.25">
      <c r="AU929" s="112"/>
      <c r="AV929" s="112"/>
      <c r="BQ929" s="238">
        <f t="shared" si="1996"/>
        <v>642</v>
      </c>
      <c r="BR929" t="s">
        <v>447</v>
      </c>
      <c r="BS929" t="s">
        <v>448</v>
      </c>
      <c r="BT929" s="114" t="e">
        <f t="shared" ca="1" si="1837"/>
        <v>#N/A</v>
      </c>
      <c r="BU929" s="112"/>
      <c r="BV929" t="e">
        <f t="shared" ca="1" si="1917"/>
        <v>#N/A</v>
      </c>
      <c r="BW929" s="112" t="e">
        <f t="shared" ca="1" si="1872"/>
        <v>#N/A</v>
      </c>
      <c r="BX929" s="112" t="e">
        <f t="shared" ref="BX929:BX930" ca="1" si="2001">INDIRECT(CONCATENATE(BS929,BQ929))</f>
        <v>#N/A</v>
      </c>
      <c r="BY929">
        <f t="shared" ca="1" si="1905"/>
        <v>0</v>
      </c>
      <c r="BZ929">
        <f t="shared" ca="1" si="1906"/>
        <v>24</v>
      </c>
      <c r="CB929" t="e">
        <f t="shared" ca="1" si="1879"/>
        <v>#N/A</v>
      </c>
      <c r="CC929" s="112" t="e">
        <f t="shared" ca="1" si="1880"/>
        <v>#N/A</v>
      </c>
      <c r="CD929" s="112" t="e">
        <f t="shared" ca="1" si="1881"/>
        <v>#N/A</v>
      </c>
      <c r="CE929">
        <f t="shared" ca="1" si="1882"/>
        <v>0</v>
      </c>
      <c r="CF929">
        <f t="shared" ca="1" si="1883"/>
        <v>24</v>
      </c>
      <c r="CH929" s="112" t="str">
        <f t="shared" ca="1" si="1951"/>
        <v/>
      </c>
      <c r="CI929" t="e">
        <f t="shared" ca="1" si="1997"/>
        <v>#N/A</v>
      </c>
      <c r="CJ929" t="e">
        <f t="shared" ref="CJ929" ca="1" si="2002">IF(AND(CI929=0,CJ930=0,CC929&lt;100000),1,0)</f>
        <v>#N/A</v>
      </c>
      <c r="CK929" s="112" t="e">
        <f t="shared" ca="1" si="1956"/>
        <v>#N/A</v>
      </c>
      <c r="CM929" s="112"/>
      <c r="CN929" s="260" t="e">
        <f t="shared" ca="1" si="1901"/>
        <v>#N/A</v>
      </c>
      <c r="CO929" s="112" t="e">
        <f t="shared" ca="1" si="1999"/>
        <v>#N/A</v>
      </c>
      <c r="CP929" s="238">
        <f t="shared" ca="1" si="1957"/>
        <v>0</v>
      </c>
      <c r="CQ929" s="328">
        <f t="shared" ca="1" si="1958"/>
        <v>24</v>
      </c>
      <c r="CS929" s="112">
        <f t="shared" ca="1" si="1876"/>
        <v>100000</v>
      </c>
      <c r="CT929" s="112" t="e">
        <f t="shared" ca="1" si="1910"/>
        <v>#N/A</v>
      </c>
      <c r="CU929" s="238">
        <f t="shared" ca="1" si="1887"/>
        <v>0</v>
      </c>
      <c r="CV929" s="238">
        <f t="shared" ca="1" si="1888"/>
        <v>24</v>
      </c>
      <c r="CY929">
        <f t="shared" si="1892"/>
        <v>359</v>
      </c>
      <c r="DA929" s="112">
        <f t="shared" ca="1" si="1893"/>
        <v>100000</v>
      </c>
      <c r="DE929" t="str">
        <f t="shared" si="1889"/>
        <v>cs:dc771</v>
      </c>
      <c r="DF929" t="e">
        <f t="shared" ca="1" si="1890"/>
        <v>#REF!</v>
      </c>
    </row>
    <row r="930" spans="47:110" ht="15.75" thickBot="1" x14ac:dyDescent="0.3">
      <c r="AU930" s="112"/>
      <c r="AV930" s="112"/>
      <c r="BQ930" s="238">
        <f t="shared" si="1996"/>
        <v>642</v>
      </c>
      <c r="BR930" t="s">
        <v>448</v>
      </c>
      <c r="BS930" t="s">
        <v>449</v>
      </c>
      <c r="BT930" s="114" t="e">
        <f t="shared" ca="1" si="1837"/>
        <v>#N/A</v>
      </c>
      <c r="BU930" s="112"/>
      <c r="BV930" t="e">
        <f t="shared" ca="1" si="1917"/>
        <v>#N/A</v>
      </c>
      <c r="BW930" s="112" t="e">
        <f t="shared" ca="1" si="1872"/>
        <v>#N/A</v>
      </c>
      <c r="BX930" s="112" t="str">
        <f t="shared" ca="1" si="2001"/>
        <v/>
      </c>
      <c r="BY930">
        <f t="shared" ca="1" si="1905"/>
        <v>0</v>
      </c>
      <c r="BZ930">
        <f t="shared" ca="1" si="1906"/>
        <v>24</v>
      </c>
      <c r="CB930" t="e">
        <f t="shared" ca="1" si="1879"/>
        <v>#N/A</v>
      </c>
      <c r="CC930" s="112" t="e">
        <f t="shared" ca="1" si="1880"/>
        <v>#N/A</v>
      </c>
      <c r="CD930" s="112" t="str">
        <f t="shared" ca="1" si="1881"/>
        <v/>
      </c>
      <c r="CE930">
        <f t="shared" ca="1" si="1882"/>
        <v>0</v>
      </c>
      <c r="CF930">
        <f t="shared" ca="1" si="1883"/>
        <v>24</v>
      </c>
      <c r="CH930" s="112" t="str">
        <f t="shared" ca="1" si="1951"/>
        <v/>
      </c>
      <c r="CI930" t="e">
        <f t="shared" ca="1" si="1997"/>
        <v>#N/A</v>
      </c>
      <c r="CJ930" t="e">
        <f t="shared" ref="CJ930" ca="1" si="2003">IF(AND(CI930=0,CC930&lt;100000),1,0)</f>
        <v>#N/A</v>
      </c>
      <c r="CK930" s="112" t="e">
        <f t="shared" ca="1" si="1956"/>
        <v>#N/A</v>
      </c>
      <c r="CM930" s="112"/>
      <c r="CN930" s="261" t="e">
        <f t="shared" ref="CN930" ca="1" si="2004">IF(AND(CN926=100000,CN927=100000,CN928=100000,CN929=100000),INDIRECT(CONCATENATE("aa",BQ930)),CC930)</f>
        <v>#N/A</v>
      </c>
      <c r="CO930" s="324" t="e">
        <f t="shared" ca="1" si="1999"/>
        <v>#N/A</v>
      </c>
      <c r="CP930" s="256">
        <f t="shared" ca="1" si="1957"/>
        <v>0</v>
      </c>
      <c r="CQ930" s="329">
        <f t="shared" ca="1" si="1958"/>
        <v>24</v>
      </c>
      <c r="CS930" s="112">
        <f t="shared" ca="1" si="1876"/>
        <v>100000</v>
      </c>
      <c r="CT930" s="112" t="e">
        <f t="shared" ca="1" si="1910"/>
        <v>#N/A</v>
      </c>
      <c r="CU930" s="238">
        <f t="shared" ca="1" si="1887"/>
        <v>0</v>
      </c>
      <c r="CV930" s="238">
        <f t="shared" ca="1" si="1888"/>
        <v>24</v>
      </c>
      <c r="CY930">
        <f t="shared" si="1892"/>
        <v>360</v>
      </c>
      <c r="DA930" s="112">
        <f t="shared" ca="1" si="1893"/>
        <v>100000</v>
      </c>
      <c r="DE930" t="str">
        <f t="shared" si="1889"/>
        <v>cs:dc771</v>
      </c>
      <c r="DF930" t="e">
        <f t="shared" ca="1" si="1890"/>
        <v>#REF!</v>
      </c>
    </row>
    <row r="931" spans="47:110" x14ac:dyDescent="0.25">
      <c r="AU931" s="112"/>
      <c r="AV931" s="112"/>
      <c r="BQ931" s="238">
        <f t="shared" ref="BQ931" si="2005">BQ930+1</f>
        <v>643</v>
      </c>
      <c r="BR931" s="112" t="s">
        <v>444</v>
      </c>
      <c r="BS931" s="112" t="s">
        <v>445</v>
      </c>
      <c r="BT931" s="114" t="e">
        <f t="shared" ca="1" si="1837"/>
        <v>#N/A</v>
      </c>
      <c r="BU931" s="112"/>
      <c r="BV931">
        <f t="shared" ca="1" si="1917"/>
        <v>0</v>
      </c>
      <c r="BW931" s="112" t="str">
        <f t="shared" ca="1" si="1872"/>
        <v/>
      </c>
      <c r="BX931" s="112" t="e">
        <f t="shared" ref="BX931:BX933" ca="1" si="2006">INDIRECT(CONCATENATE(BS931,BQ931))-1</f>
        <v>#N/A</v>
      </c>
      <c r="BY931">
        <f t="shared" ca="1" si="1905"/>
        <v>0</v>
      </c>
      <c r="BZ931">
        <f t="shared" ca="1" si="1906"/>
        <v>24</v>
      </c>
      <c r="CB931" t="e">
        <f t="shared" ca="1" si="1879"/>
        <v>#N/A</v>
      </c>
      <c r="CC931" s="112" t="e">
        <f t="shared" ca="1" si="1880"/>
        <v>#N/A</v>
      </c>
      <c r="CD931" s="112" t="e">
        <f t="shared" ca="1" si="1881"/>
        <v>#N/A</v>
      </c>
      <c r="CE931">
        <f t="shared" ca="1" si="1882"/>
        <v>0</v>
      </c>
      <c r="CF931">
        <f t="shared" ca="1" si="1883"/>
        <v>24</v>
      </c>
      <c r="CH931" s="112" t="str">
        <f t="shared" ca="1" si="1951"/>
        <v/>
      </c>
      <c r="CI931" t="e">
        <f t="shared" ref="CI931" ca="1" si="2007">CB931+CB932+CB933+CB934+CB935</f>
        <v>#N/A</v>
      </c>
      <c r="CJ931">
        <v>0</v>
      </c>
      <c r="CK931" s="112" t="str">
        <f t="shared" ca="1" si="1956"/>
        <v/>
      </c>
      <c r="CM931" s="112"/>
      <c r="CN931" s="408" t="e">
        <f t="shared" ca="1" si="1901"/>
        <v>#N/A</v>
      </c>
      <c r="CO931" s="326" t="e">
        <f t="shared" ref="CO931" ca="1" si="2008">CD931</f>
        <v>#N/A</v>
      </c>
      <c r="CP931" s="333">
        <f t="shared" ca="1" si="1957"/>
        <v>0</v>
      </c>
      <c r="CQ931" s="327">
        <f t="shared" ca="1" si="1958"/>
        <v>24</v>
      </c>
      <c r="CS931" s="112">
        <f t="shared" ca="1" si="1876"/>
        <v>100000</v>
      </c>
      <c r="CT931" s="112" t="e">
        <f t="shared" ref="CT931" ca="1" si="2009">IF(AND( CN932=100000,CN933=100000,CN934=100000,CN935=100000),CO935,                             CO931)</f>
        <v>#N/A</v>
      </c>
      <c r="CU931" s="238">
        <f t="shared" ca="1" si="1887"/>
        <v>0</v>
      </c>
      <c r="CV931" s="238">
        <f t="shared" ca="1" si="1888"/>
        <v>24</v>
      </c>
      <c r="CY931">
        <f t="shared" si="1892"/>
        <v>361</v>
      </c>
      <c r="DA931" s="112">
        <f t="shared" ca="1" si="1893"/>
        <v>100000</v>
      </c>
      <c r="DE931" t="str">
        <f t="shared" si="1889"/>
        <v>cs:dc771</v>
      </c>
      <c r="DF931" t="e">
        <f t="shared" ca="1" si="1890"/>
        <v>#REF!</v>
      </c>
    </row>
    <row r="932" spans="47:110" x14ac:dyDescent="0.25">
      <c r="AU932" s="112"/>
      <c r="AV932" s="112"/>
      <c r="BQ932" s="238">
        <f t="shared" ref="BQ932:BQ935" si="2010">BQ931</f>
        <v>643</v>
      </c>
      <c r="BR932" t="s">
        <v>445</v>
      </c>
      <c r="BS932" t="s">
        <v>446</v>
      </c>
      <c r="BT932" s="114" t="e">
        <f t="shared" ca="1" si="1837"/>
        <v>#N/A</v>
      </c>
      <c r="BU932" s="112"/>
      <c r="BV932" t="e">
        <f t="shared" ca="1" si="1917"/>
        <v>#N/A</v>
      </c>
      <c r="BW932" s="112" t="e">
        <f t="shared" ca="1" si="1872"/>
        <v>#N/A</v>
      </c>
      <c r="BX932" s="112" t="e">
        <f t="shared" ca="1" si="2006"/>
        <v>#N/A</v>
      </c>
      <c r="BY932">
        <f t="shared" ca="1" si="1905"/>
        <v>0</v>
      </c>
      <c r="BZ932">
        <f t="shared" ca="1" si="1906"/>
        <v>24</v>
      </c>
      <c r="CB932" t="e">
        <f t="shared" ca="1" si="1879"/>
        <v>#N/A</v>
      </c>
      <c r="CC932" s="112" t="e">
        <f t="shared" ca="1" si="1880"/>
        <v>#N/A</v>
      </c>
      <c r="CD932" s="112" t="e">
        <f t="shared" ca="1" si="1881"/>
        <v>#N/A</v>
      </c>
      <c r="CE932">
        <f t="shared" ca="1" si="1882"/>
        <v>0</v>
      </c>
      <c r="CF932">
        <f t="shared" ca="1" si="1883"/>
        <v>24</v>
      </c>
      <c r="CH932" s="112" t="str">
        <f t="shared" ca="1" si="1951"/>
        <v/>
      </c>
      <c r="CI932" t="e">
        <f t="shared" ref="CI932:CI935" ca="1" si="2011">CI931</f>
        <v>#N/A</v>
      </c>
      <c r="CJ932" t="e">
        <f t="shared" ref="CJ932" ca="1" si="2012">IF(AND(CI932=0,CJ933=0,CJ934=0,CJ935=0,CC932&lt;100000),1,0)</f>
        <v>#N/A</v>
      </c>
      <c r="CK932" s="112" t="e">
        <f t="shared" ca="1" si="1956"/>
        <v>#N/A</v>
      </c>
      <c r="CM932" s="112"/>
      <c r="CN932" s="260" t="e">
        <f t="shared" ca="1" si="1901"/>
        <v>#N/A</v>
      </c>
      <c r="CO932" s="112" t="e">
        <f t="shared" ref="CO932:CO935" ca="1" si="2013">IF(CJ932=1,CH932,CD932)</f>
        <v>#N/A</v>
      </c>
      <c r="CP932" s="238">
        <f t="shared" ca="1" si="1957"/>
        <v>0</v>
      </c>
      <c r="CQ932" s="328">
        <f t="shared" ca="1" si="1958"/>
        <v>24</v>
      </c>
      <c r="CS932" s="112">
        <f t="shared" ca="1" si="1876"/>
        <v>100000</v>
      </c>
      <c r="CT932" s="112" t="e">
        <f t="shared" ca="1" si="1910"/>
        <v>#N/A</v>
      </c>
      <c r="CU932" s="238">
        <f t="shared" ca="1" si="1887"/>
        <v>0</v>
      </c>
      <c r="CV932" s="238">
        <f t="shared" ca="1" si="1888"/>
        <v>24</v>
      </c>
      <c r="CY932">
        <f t="shared" si="1892"/>
        <v>362</v>
      </c>
      <c r="DA932" s="112">
        <f t="shared" ca="1" si="1893"/>
        <v>100000</v>
      </c>
      <c r="DE932" t="str">
        <f t="shared" si="1889"/>
        <v>cs:dc771</v>
      </c>
      <c r="DF932" t="e">
        <f t="shared" ca="1" si="1890"/>
        <v>#REF!</v>
      </c>
    </row>
    <row r="933" spans="47:110" x14ac:dyDescent="0.25">
      <c r="AU933" s="112"/>
      <c r="AV933" s="112"/>
      <c r="BQ933" s="238">
        <f t="shared" si="2010"/>
        <v>643</v>
      </c>
      <c r="BR933" t="s">
        <v>446</v>
      </c>
      <c r="BS933" t="s">
        <v>447</v>
      </c>
      <c r="BT933" s="114" t="e">
        <f t="shared" ca="1" si="1837"/>
        <v>#N/A</v>
      </c>
      <c r="BU933" s="112"/>
      <c r="BV933" t="e">
        <f t="shared" ca="1" si="1917"/>
        <v>#N/A</v>
      </c>
      <c r="BW933" s="112" t="e">
        <f t="shared" ca="1" si="1872"/>
        <v>#N/A</v>
      </c>
      <c r="BX933" s="112" t="e">
        <f t="shared" ca="1" si="2006"/>
        <v>#N/A</v>
      </c>
      <c r="BY933">
        <f t="shared" ca="1" si="1905"/>
        <v>0</v>
      </c>
      <c r="BZ933">
        <f t="shared" ca="1" si="1906"/>
        <v>24</v>
      </c>
      <c r="CB933" t="e">
        <f t="shared" ca="1" si="1879"/>
        <v>#N/A</v>
      </c>
      <c r="CC933" s="112" t="e">
        <f t="shared" ca="1" si="1880"/>
        <v>#N/A</v>
      </c>
      <c r="CD933" s="112" t="e">
        <f t="shared" ca="1" si="1881"/>
        <v>#N/A</v>
      </c>
      <c r="CE933">
        <f t="shared" ca="1" si="1882"/>
        <v>0</v>
      </c>
      <c r="CF933">
        <f t="shared" ca="1" si="1883"/>
        <v>24</v>
      </c>
      <c r="CH933" s="112" t="str">
        <f t="shared" ca="1" si="1951"/>
        <v/>
      </c>
      <c r="CI933" t="e">
        <f t="shared" ca="1" si="2011"/>
        <v>#N/A</v>
      </c>
      <c r="CJ933" t="e">
        <f t="shared" ref="CJ933" ca="1" si="2014">IF(AND(CI933=0,CJ934=0,CJ935=0,CC933&lt;100000),1,0)</f>
        <v>#N/A</v>
      </c>
      <c r="CK933" s="112" t="e">
        <f t="shared" ca="1" si="1956"/>
        <v>#N/A</v>
      </c>
      <c r="CM933" s="112"/>
      <c r="CN933" s="260" t="e">
        <f t="shared" ca="1" si="1901"/>
        <v>#N/A</v>
      </c>
      <c r="CO933" s="112" t="e">
        <f t="shared" ca="1" si="2013"/>
        <v>#N/A</v>
      </c>
      <c r="CP933" s="238">
        <f t="shared" ca="1" si="1957"/>
        <v>0</v>
      </c>
      <c r="CQ933" s="328">
        <f t="shared" ca="1" si="1958"/>
        <v>24</v>
      </c>
      <c r="CS933" s="112">
        <f t="shared" ca="1" si="1876"/>
        <v>100000</v>
      </c>
      <c r="CT933" s="112" t="e">
        <f t="shared" ca="1" si="1910"/>
        <v>#N/A</v>
      </c>
      <c r="CU933" s="238">
        <f t="shared" ca="1" si="1887"/>
        <v>0</v>
      </c>
      <c r="CV933" s="238">
        <f t="shared" ca="1" si="1888"/>
        <v>24</v>
      </c>
      <c r="CY933">
        <f t="shared" si="1892"/>
        <v>363</v>
      </c>
      <c r="DA933" s="112">
        <f t="shared" ca="1" si="1893"/>
        <v>100000</v>
      </c>
      <c r="DE933" t="str">
        <f t="shared" si="1889"/>
        <v>cs:dc771</v>
      </c>
      <c r="DF933" t="e">
        <f t="shared" ca="1" si="1890"/>
        <v>#REF!</v>
      </c>
    </row>
    <row r="934" spans="47:110" x14ac:dyDescent="0.25">
      <c r="AU934" s="112"/>
      <c r="AV934" s="112"/>
      <c r="BQ934" s="238">
        <f t="shared" si="2010"/>
        <v>643</v>
      </c>
      <c r="BR934" t="s">
        <v>447</v>
      </c>
      <c r="BS934" t="s">
        <v>448</v>
      </c>
      <c r="BT934" s="114" t="e">
        <f t="shared" ca="1" si="1837"/>
        <v>#N/A</v>
      </c>
      <c r="BU934" s="112"/>
      <c r="BV934" t="e">
        <f t="shared" ca="1" si="1917"/>
        <v>#N/A</v>
      </c>
      <c r="BW934" s="112" t="e">
        <f t="shared" ca="1" si="1872"/>
        <v>#N/A</v>
      </c>
      <c r="BX934" s="112" t="e">
        <f t="shared" ref="BX934:BX935" ca="1" si="2015">INDIRECT(CONCATENATE(BS934,BQ934))</f>
        <v>#N/A</v>
      </c>
      <c r="BY934">
        <f t="shared" ca="1" si="1905"/>
        <v>0</v>
      </c>
      <c r="BZ934">
        <f t="shared" ca="1" si="1906"/>
        <v>24</v>
      </c>
      <c r="CB934" t="e">
        <f t="shared" ca="1" si="1879"/>
        <v>#N/A</v>
      </c>
      <c r="CC934" s="112" t="e">
        <f t="shared" ca="1" si="1880"/>
        <v>#N/A</v>
      </c>
      <c r="CD934" s="112" t="e">
        <f t="shared" ca="1" si="1881"/>
        <v>#N/A</v>
      </c>
      <c r="CE934">
        <f t="shared" ca="1" si="1882"/>
        <v>0</v>
      </c>
      <c r="CF934">
        <f t="shared" ca="1" si="1883"/>
        <v>24</v>
      </c>
      <c r="CH934" s="112" t="str">
        <f t="shared" ca="1" si="1951"/>
        <v/>
      </c>
      <c r="CI934" t="e">
        <f t="shared" ca="1" si="2011"/>
        <v>#N/A</v>
      </c>
      <c r="CJ934" t="e">
        <f t="shared" ref="CJ934" ca="1" si="2016">IF(AND(CI934=0,CJ935=0,CC934&lt;100000),1,0)</f>
        <v>#N/A</v>
      </c>
      <c r="CK934" s="112" t="e">
        <f t="shared" ca="1" si="1956"/>
        <v>#N/A</v>
      </c>
      <c r="CM934" s="112"/>
      <c r="CN934" s="260" t="e">
        <f t="shared" ca="1" si="1901"/>
        <v>#N/A</v>
      </c>
      <c r="CO934" s="112" t="e">
        <f t="shared" ca="1" si="2013"/>
        <v>#N/A</v>
      </c>
      <c r="CP934" s="238">
        <f t="shared" ca="1" si="1957"/>
        <v>0</v>
      </c>
      <c r="CQ934" s="328">
        <f t="shared" ca="1" si="1958"/>
        <v>24</v>
      </c>
      <c r="CS934" s="112">
        <f t="shared" ca="1" si="1876"/>
        <v>100000</v>
      </c>
      <c r="CT934" s="112" t="e">
        <f t="shared" ca="1" si="1910"/>
        <v>#N/A</v>
      </c>
      <c r="CU934" s="238">
        <f t="shared" ca="1" si="1887"/>
        <v>0</v>
      </c>
      <c r="CV934" s="238">
        <f t="shared" ca="1" si="1888"/>
        <v>24</v>
      </c>
      <c r="CY934">
        <f t="shared" si="1892"/>
        <v>364</v>
      </c>
      <c r="DA934" s="112">
        <f t="shared" ca="1" si="1893"/>
        <v>100000</v>
      </c>
      <c r="DE934" t="str">
        <f t="shared" si="1889"/>
        <v>cs:dc771</v>
      </c>
      <c r="DF934" t="e">
        <f t="shared" ca="1" si="1890"/>
        <v>#REF!</v>
      </c>
    </row>
    <row r="935" spans="47:110" ht="15.75" thickBot="1" x14ac:dyDescent="0.3">
      <c r="AU935" s="112"/>
      <c r="AV935" s="112"/>
      <c r="BQ935" s="238">
        <f t="shared" si="2010"/>
        <v>643</v>
      </c>
      <c r="BR935" t="s">
        <v>448</v>
      </c>
      <c r="BS935" t="s">
        <v>449</v>
      </c>
      <c r="BT935" s="114" t="e">
        <f t="shared" ca="1" si="1837"/>
        <v>#N/A</v>
      </c>
      <c r="BU935" s="112"/>
      <c r="BV935" t="e">
        <f t="shared" ca="1" si="1917"/>
        <v>#N/A</v>
      </c>
      <c r="BW935" s="112" t="e">
        <f t="shared" ca="1" si="1872"/>
        <v>#N/A</v>
      </c>
      <c r="BX935" s="112" t="str">
        <f t="shared" ca="1" si="2015"/>
        <v/>
      </c>
      <c r="BY935">
        <f t="shared" ca="1" si="1905"/>
        <v>0</v>
      </c>
      <c r="BZ935">
        <f t="shared" ca="1" si="1906"/>
        <v>24</v>
      </c>
      <c r="CB935" t="e">
        <f t="shared" ca="1" si="1879"/>
        <v>#N/A</v>
      </c>
      <c r="CC935" s="112" t="e">
        <f t="shared" ca="1" si="1880"/>
        <v>#N/A</v>
      </c>
      <c r="CD935" s="112" t="str">
        <f t="shared" ca="1" si="1881"/>
        <v/>
      </c>
      <c r="CE935">
        <f t="shared" ca="1" si="1882"/>
        <v>0</v>
      </c>
      <c r="CF935">
        <f t="shared" ca="1" si="1883"/>
        <v>24</v>
      </c>
      <c r="CH935" s="112" t="str">
        <f t="shared" ca="1" si="1951"/>
        <v/>
      </c>
      <c r="CI935" t="e">
        <f t="shared" ca="1" si="2011"/>
        <v>#N/A</v>
      </c>
      <c r="CJ935" t="e">
        <f t="shared" ref="CJ935" ca="1" si="2017">IF(AND(CI935=0,CC935&lt;100000),1,0)</f>
        <v>#N/A</v>
      </c>
      <c r="CK935" s="112" t="e">
        <f t="shared" ca="1" si="1956"/>
        <v>#N/A</v>
      </c>
      <c r="CM935" s="112"/>
      <c r="CN935" s="261" t="e">
        <f t="shared" ref="CN935" ca="1" si="2018">IF(AND(CN931=100000,CN932=100000,CN933=100000,CN934=100000),INDIRECT(CONCATENATE("aa",BQ935)),CC935)</f>
        <v>#N/A</v>
      </c>
      <c r="CO935" s="324" t="e">
        <f t="shared" ca="1" si="2013"/>
        <v>#N/A</v>
      </c>
      <c r="CP935" s="256">
        <f t="shared" ca="1" si="1957"/>
        <v>0</v>
      </c>
      <c r="CQ935" s="329">
        <f t="shared" ca="1" si="1958"/>
        <v>24</v>
      </c>
      <c r="CS935" s="112">
        <f t="shared" ca="1" si="1876"/>
        <v>100000</v>
      </c>
      <c r="CT935" s="112" t="e">
        <f t="shared" ca="1" si="1910"/>
        <v>#N/A</v>
      </c>
      <c r="CU935" s="238">
        <f t="shared" ca="1" si="1887"/>
        <v>0</v>
      </c>
      <c r="CV935" s="238">
        <f t="shared" ca="1" si="1888"/>
        <v>24</v>
      </c>
      <c r="CY935">
        <f t="shared" si="1892"/>
        <v>365</v>
      </c>
      <c r="DA935" s="112">
        <f t="shared" ca="1" si="1893"/>
        <v>100000</v>
      </c>
      <c r="DE935" t="str">
        <f t="shared" si="1889"/>
        <v>cs:dc771</v>
      </c>
      <c r="DF935" t="e">
        <f t="shared" ca="1" si="1890"/>
        <v>#REF!</v>
      </c>
    </row>
    <row r="936" spans="47:110" x14ac:dyDescent="0.25">
      <c r="AU936" s="112"/>
      <c r="AV936" s="112"/>
      <c r="BQ936" s="238">
        <f t="shared" ref="BQ936" si="2019">BQ935+1</f>
        <v>644</v>
      </c>
      <c r="BR936" s="112" t="s">
        <v>444</v>
      </c>
      <c r="BS936" s="112" t="s">
        <v>445</v>
      </c>
      <c r="BT936" s="114" t="e">
        <f t="shared" ca="1" si="1837"/>
        <v>#N/A</v>
      </c>
      <c r="BU936" s="112"/>
      <c r="BV936">
        <f t="shared" ca="1" si="1917"/>
        <v>0</v>
      </c>
      <c r="BW936" s="112" t="str">
        <f t="shared" ca="1" si="1872"/>
        <v/>
      </c>
      <c r="BX936" s="112" t="e">
        <f t="shared" ref="BX936:BX938" ca="1" si="2020">INDIRECT(CONCATENATE(BS936,BQ936))-1</f>
        <v>#N/A</v>
      </c>
      <c r="BY936">
        <f t="shared" ca="1" si="1905"/>
        <v>0</v>
      </c>
      <c r="BZ936">
        <f t="shared" ca="1" si="1906"/>
        <v>24</v>
      </c>
      <c r="CB936" t="e">
        <f t="shared" ca="1" si="1879"/>
        <v>#N/A</v>
      </c>
      <c r="CC936" s="112" t="e">
        <f t="shared" ca="1" si="1880"/>
        <v>#N/A</v>
      </c>
      <c r="CD936" s="112" t="e">
        <f t="shared" ca="1" si="1881"/>
        <v>#N/A</v>
      </c>
      <c r="CE936">
        <f t="shared" ca="1" si="1882"/>
        <v>0</v>
      </c>
      <c r="CF936">
        <f t="shared" ca="1" si="1883"/>
        <v>24</v>
      </c>
      <c r="CH936" s="112" t="str">
        <f t="shared" ca="1" si="1951"/>
        <v/>
      </c>
      <c r="CI936" t="e">
        <f t="shared" ref="CI936" ca="1" si="2021">CB936+CB937+CB938+CB939+CB940</f>
        <v>#N/A</v>
      </c>
      <c r="CJ936">
        <v>0</v>
      </c>
      <c r="CK936" s="112" t="str">
        <f t="shared" ca="1" si="1956"/>
        <v/>
      </c>
      <c r="CM936" s="112"/>
      <c r="CN936" s="408" t="e">
        <f t="shared" ca="1" si="1901"/>
        <v>#N/A</v>
      </c>
      <c r="CO936" s="326" t="e">
        <f t="shared" ref="CO936" ca="1" si="2022">CD936</f>
        <v>#N/A</v>
      </c>
      <c r="CP936" s="333">
        <f t="shared" ca="1" si="1957"/>
        <v>0</v>
      </c>
      <c r="CQ936" s="327">
        <f t="shared" ca="1" si="1958"/>
        <v>24</v>
      </c>
      <c r="CS936" s="112">
        <f t="shared" ca="1" si="1876"/>
        <v>100000</v>
      </c>
      <c r="CT936" s="112" t="e">
        <f t="shared" ref="CT936" ca="1" si="2023">IF(AND( CN937=100000,CN938=100000,CN939=100000,CN940=100000),CO940,                             CO936)</f>
        <v>#N/A</v>
      </c>
      <c r="CU936" s="238">
        <f t="shared" ca="1" si="1887"/>
        <v>0</v>
      </c>
      <c r="CV936" s="238">
        <f t="shared" ca="1" si="1888"/>
        <v>24</v>
      </c>
      <c r="CY936">
        <f t="shared" si="1892"/>
        <v>366</v>
      </c>
      <c r="DA936" s="112">
        <f t="shared" ca="1" si="1893"/>
        <v>100000</v>
      </c>
      <c r="DE936" t="str">
        <f t="shared" si="1889"/>
        <v>cs:dc771</v>
      </c>
      <c r="DF936" t="e">
        <f t="shared" ca="1" si="1890"/>
        <v>#REF!</v>
      </c>
    </row>
    <row r="937" spans="47:110" x14ac:dyDescent="0.25">
      <c r="AU937" s="112"/>
      <c r="AV937" s="112"/>
      <c r="BQ937" s="238">
        <f t="shared" ref="BQ937:BQ940" si="2024">BQ936</f>
        <v>644</v>
      </c>
      <c r="BR937" t="s">
        <v>445</v>
      </c>
      <c r="BS937" t="s">
        <v>446</v>
      </c>
      <c r="BT937" s="114" t="e">
        <f t="shared" ca="1" si="1837"/>
        <v>#N/A</v>
      </c>
      <c r="BU937" s="112"/>
      <c r="BV937" t="e">
        <f t="shared" ca="1" si="1917"/>
        <v>#N/A</v>
      </c>
      <c r="BW937" s="112" t="e">
        <f t="shared" ca="1" si="1872"/>
        <v>#N/A</v>
      </c>
      <c r="BX937" s="112" t="e">
        <f t="shared" ca="1" si="2020"/>
        <v>#N/A</v>
      </c>
      <c r="BY937">
        <f t="shared" ca="1" si="1905"/>
        <v>0</v>
      </c>
      <c r="BZ937">
        <f t="shared" ca="1" si="1906"/>
        <v>24</v>
      </c>
      <c r="CB937" t="e">
        <f t="shared" ca="1" si="1879"/>
        <v>#N/A</v>
      </c>
      <c r="CC937" s="112" t="e">
        <f t="shared" ca="1" si="1880"/>
        <v>#N/A</v>
      </c>
      <c r="CD937" s="112" t="e">
        <f t="shared" ca="1" si="1881"/>
        <v>#N/A</v>
      </c>
      <c r="CE937">
        <f t="shared" ca="1" si="1882"/>
        <v>0</v>
      </c>
      <c r="CF937">
        <f t="shared" ca="1" si="1883"/>
        <v>24</v>
      </c>
      <c r="CH937" s="112" t="str">
        <f t="shared" ca="1" si="1951"/>
        <v/>
      </c>
      <c r="CI937" t="e">
        <f t="shared" ref="CI937:CI940" ca="1" si="2025">CI936</f>
        <v>#N/A</v>
      </c>
      <c r="CJ937" t="e">
        <f t="shared" ref="CJ937" ca="1" si="2026">IF(AND(CI937=0,CJ938=0,CJ939=0,CJ940=0,CC937&lt;100000),1,0)</f>
        <v>#N/A</v>
      </c>
      <c r="CK937" s="112" t="e">
        <f t="shared" ca="1" si="1956"/>
        <v>#N/A</v>
      </c>
      <c r="CM937" s="112"/>
      <c r="CN937" s="260" t="e">
        <f t="shared" ca="1" si="1901"/>
        <v>#N/A</v>
      </c>
      <c r="CO937" s="112" t="e">
        <f t="shared" ref="CO937:CO940" ca="1" si="2027">IF(CJ937=1,CH937,CD937)</f>
        <v>#N/A</v>
      </c>
      <c r="CP937" s="238">
        <f t="shared" ca="1" si="1957"/>
        <v>0</v>
      </c>
      <c r="CQ937" s="328">
        <f t="shared" ca="1" si="1958"/>
        <v>24</v>
      </c>
      <c r="CS937" s="112">
        <f t="shared" ca="1" si="1876"/>
        <v>100000</v>
      </c>
      <c r="CT937" s="112" t="e">
        <f t="shared" ca="1" si="1910"/>
        <v>#N/A</v>
      </c>
      <c r="CU937" s="238">
        <f t="shared" ca="1" si="1887"/>
        <v>0</v>
      </c>
      <c r="CV937" s="238">
        <f t="shared" ca="1" si="1888"/>
        <v>24</v>
      </c>
      <c r="CY937">
        <f t="shared" si="1892"/>
        <v>367</v>
      </c>
      <c r="DA937" s="112">
        <f t="shared" ca="1" si="1893"/>
        <v>100000</v>
      </c>
      <c r="DE937" t="str">
        <f t="shared" si="1889"/>
        <v>cs:dc771</v>
      </c>
      <c r="DF937" t="e">
        <f t="shared" ca="1" si="1890"/>
        <v>#REF!</v>
      </c>
    </row>
    <row r="938" spans="47:110" x14ac:dyDescent="0.25">
      <c r="AU938" s="112"/>
      <c r="AV938" s="112"/>
      <c r="BQ938" s="238">
        <f t="shared" si="2024"/>
        <v>644</v>
      </c>
      <c r="BR938" t="s">
        <v>446</v>
      </c>
      <c r="BS938" t="s">
        <v>447</v>
      </c>
      <c r="BT938" s="114" t="e">
        <f t="shared" ca="1" si="1837"/>
        <v>#N/A</v>
      </c>
      <c r="BU938" s="112"/>
      <c r="BV938" t="e">
        <f t="shared" ca="1" si="1917"/>
        <v>#N/A</v>
      </c>
      <c r="BW938" s="112" t="e">
        <f t="shared" ca="1" si="1872"/>
        <v>#N/A</v>
      </c>
      <c r="BX938" s="112" t="e">
        <f t="shared" ca="1" si="2020"/>
        <v>#N/A</v>
      </c>
      <c r="BY938">
        <f t="shared" ca="1" si="1905"/>
        <v>0</v>
      </c>
      <c r="BZ938">
        <f t="shared" ca="1" si="1906"/>
        <v>24</v>
      </c>
      <c r="CB938" t="e">
        <f t="shared" ca="1" si="1879"/>
        <v>#N/A</v>
      </c>
      <c r="CC938" s="112" t="e">
        <f t="shared" ca="1" si="1880"/>
        <v>#N/A</v>
      </c>
      <c r="CD938" s="112" t="e">
        <f t="shared" ca="1" si="1881"/>
        <v>#N/A</v>
      </c>
      <c r="CE938">
        <f t="shared" ca="1" si="1882"/>
        <v>0</v>
      </c>
      <c r="CF938">
        <f t="shared" ca="1" si="1883"/>
        <v>24</v>
      </c>
      <c r="CH938" s="112" t="str">
        <f t="shared" ca="1" si="1951"/>
        <v/>
      </c>
      <c r="CI938" t="e">
        <f t="shared" ca="1" si="2025"/>
        <v>#N/A</v>
      </c>
      <c r="CJ938" t="e">
        <f t="shared" ref="CJ938" ca="1" si="2028">IF(AND(CI938=0,CJ939=0,CJ940=0,CC938&lt;100000),1,0)</f>
        <v>#N/A</v>
      </c>
      <c r="CK938" s="112" t="e">
        <f t="shared" ca="1" si="1956"/>
        <v>#N/A</v>
      </c>
      <c r="CM938" s="112"/>
      <c r="CN938" s="260" t="e">
        <f t="shared" ca="1" si="1901"/>
        <v>#N/A</v>
      </c>
      <c r="CO938" s="112" t="e">
        <f t="shared" ca="1" si="2027"/>
        <v>#N/A</v>
      </c>
      <c r="CP938" s="238">
        <f t="shared" ca="1" si="1957"/>
        <v>0</v>
      </c>
      <c r="CQ938" s="328">
        <f t="shared" ca="1" si="1958"/>
        <v>24</v>
      </c>
      <c r="CS938" s="112">
        <f t="shared" ca="1" si="1876"/>
        <v>100000</v>
      </c>
      <c r="CT938" s="112" t="e">
        <f t="shared" ca="1" si="1910"/>
        <v>#N/A</v>
      </c>
      <c r="CU938" s="238">
        <f t="shared" ca="1" si="1887"/>
        <v>0</v>
      </c>
      <c r="CV938" s="238">
        <f t="shared" ca="1" si="1888"/>
        <v>24</v>
      </c>
      <c r="CY938">
        <f t="shared" si="1892"/>
        <v>368</v>
      </c>
      <c r="DA938" s="112">
        <f t="shared" ca="1" si="1893"/>
        <v>100000</v>
      </c>
      <c r="DE938" t="str">
        <f t="shared" si="1889"/>
        <v>cs:dc771</v>
      </c>
      <c r="DF938" t="e">
        <f t="shared" ca="1" si="1890"/>
        <v>#REF!</v>
      </c>
    </row>
    <row r="939" spans="47:110" x14ac:dyDescent="0.25">
      <c r="AU939" s="112"/>
      <c r="AV939" s="112"/>
      <c r="BQ939" s="238">
        <f t="shared" si="2024"/>
        <v>644</v>
      </c>
      <c r="BR939" t="s">
        <v>447</v>
      </c>
      <c r="BS939" t="s">
        <v>448</v>
      </c>
      <c r="BT939" s="114" t="e">
        <f t="shared" ca="1" si="1837"/>
        <v>#N/A</v>
      </c>
      <c r="BU939" s="112"/>
      <c r="BV939" t="e">
        <f t="shared" ca="1" si="1917"/>
        <v>#N/A</v>
      </c>
      <c r="BW939" s="112" t="e">
        <f t="shared" ca="1" si="1872"/>
        <v>#N/A</v>
      </c>
      <c r="BX939" s="112" t="e">
        <f t="shared" ref="BX939:BX940" ca="1" si="2029">INDIRECT(CONCATENATE(BS939,BQ939))</f>
        <v>#N/A</v>
      </c>
      <c r="BY939">
        <f t="shared" ca="1" si="1905"/>
        <v>0</v>
      </c>
      <c r="BZ939">
        <f t="shared" ca="1" si="1906"/>
        <v>24</v>
      </c>
      <c r="CB939" t="e">
        <f t="shared" ca="1" si="1879"/>
        <v>#N/A</v>
      </c>
      <c r="CC939" s="112" t="e">
        <f t="shared" ca="1" si="1880"/>
        <v>#N/A</v>
      </c>
      <c r="CD939" s="112" t="e">
        <f t="shared" ca="1" si="1881"/>
        <v>#N/A</v>
      </c>
      <c r="CE939">
        <f t="shared" ca="1" si="1882"/>
        <v>0</v>
      </c>
      <c r="CF939">
        <f t="shared" ca="1" si="1883"/>
        <v>24</v>
      </c>
      <c r="CH939" s="112" t="str">
        <f t="shared" ca="1" si="1951"/>
        <v/>
      </c>
      <c r="CI939" t="e">
        <f t="shared" ca="1" si="2025"/>
        <v>#N/A</v>
      </c>
      <c r="CJ939" t="e">
        <f t="shared" ref="CJ939" ca="1" si="2030">IF(AND(CI939=0,CJ940=0,CC939&lt;100000),1,0)</f>
        <v>#N/A</v>
      </c>
      <c r="CK939" s="112" t="e">
        <f t="shared" ca="1" si="1956"/>
        <v>#N/A</v>
      </c>
      <c r="CM939" s="112"/>
      <c r="CN939" s="260" t="e">
        <f t="shared" ca="1" si="1901"/>
        <v>#N/A</v>
      </c>
      <c r="CO939" s="112" t="e">
        <f t="shared" ca="1" si="2027"/>
        <v>#N/A</v>
      </c>
      <c r="CP939" s="238">
        <f t="shared" ca="1" si="1957"/>
        <v>0</v>
      </c>
      <c r="CQ939" s="328">
        <f t="shared" ca="1" si="1958"/>
        <v>24</v>
      </c>
      <c r="CS939" s="112">
        <f t="shared" ca="1" si="1876"/>
        <v>100000</v>
      </c>
      <c r="CT939" s="112" t="e">
        <f t="shared" ca="1" si="1910"/>
        <v>#N/A</v>
      </c>
      <c r="CU939" s="238">
        <f t="shared" ca="1" si="1887"/>
        <v>0</v>
      </c>
      <c r="CV939" s="238">
        <f t="shared" ca="1" si="1888"/>
        <v>24</v>
      </c>
      <c r="CY939">
        <f t="shared" si="1892"/>
        <v>369</v>
      </c>
      <c r="DA939" s="112">
        <f t="shared" ca="1" si="1893"/>
        <v>100000</v>
      </c>
      <c r="DE939" t="str">
        <f t="shared" si="1889"/>
        <v>cs:dc771</v>
      </c>
      <c r="DF939" t="e">
        <f t="shared" ca="1" si="1890"/>
        <v>#REF!</v>
      </c>
    </row>
    <row r="940" spans="47:110" ht="15.75" thickBot="1" x14ac:dyDescent="0.3">
      <c r="AU940" s="112"/>
      <c r="AV940" s="112"/>
      <c r="BQ940" s="238">
        <f t="shared" si="2024"/>
        <v>644</v>
      </c>
      <c r="BR940" t="s">
        <v>448</v>
      </c>
      <c r="BS940" t="s">
        <v>449</v>
      </c>
      <c r="BT940" s="114" t="e">
        <f t="shared" ca="1" si="1837"/>
        <v>#N/A</v>
      </c>
      <c r="BU940" s="112"/>
      <c r="BV940" t="e">
        <f t="shared" ca="1" si="1917"/>
        <v>#N/A</v>
      </c>
      <c r="BW940" s="112" t="e">
        <f t="shared" ca="1" si="1872"/>
        <v>#N/A</v>
      </c>
      <c r="BX940" s="112" t="str">
        <f t="shared" ca="1" si="2029"/>
        <v/>
      </c>
      <c r="BY940">
        <f t="shared" ca="1" si="1905"/>
        <v>0</v>
      </c>
      <c r="BZ940">
        <f t="shared" ca="1" si="1906"/>
        <v>24</v>
      </c>
      <c r="CB940" t="e">
        <f t="shared" ca="1" si="1879"/>
        <v>#N/A</v>
      </c>
      <c r="CC940" s="112" t="e">
        <f t="shared" ca="1" si="1880"/>
        <v>#N/A</v>
      </c>
      <c r="CD940" s="112" t="str">
        <f t="shared" ca="1" si="1881"/>
        <v/>
      </c>
      <c r="CE940">
        <f t="shared" ca="1" si="1882"/>
        <v>0</v>
      </c>
      <c r="CF940">
        <f t="shared" ca="1" si="1883"/>
        <v>24</v>
      </c>
      <c r="CH940" s="112" t="str">
        <f t="shared" ca="1" si="1951"/>
        <v/>
      </c>
      <c r="CI940" t="e">
        <f t="shared" ca="1" si="2025"/>
        <v>#N/A</v>
      </c>
      <c r="CJ940" t="e">
        <f t="shared" ref="CJ940" ca="1" si="2031">IF(AND(CI940=0,CC940&lt;100000),1,0)</f>
        <v>#N/A</v>
      </c>
      <c r="CK940" s="112" t="e">
        <f t="shared" ca="1" si="1956"/>
        <v>#N/A</v>
      </c>
      <c r="CM940" s="112"/>
      <c r="CN940" s="261" t="e">
        <f t="shared" ref="CN940" ca="1" si="2032">IF(AND(CN936=100000,CN937=100000,CN938=100000,CN939=100000),INDIRECT(CONCATENATE("aa",BQ940)),CC940)</f>
        <v>#N/A</v>
      </c>
      <c r="CO940" s="324" t="e">
        <f t="shared" ca="1" si="2027"/>
        <v>#N/A</v>
      </c>
      <c r="CP940" s="256">
        <f t="shared" ca="1" si="1957"/>
        <v>0</v>
      </c>
      <c r="CQ940" s="329">
        <f t="shared" ca="1" si="1958"/>
        <v>24</v>
      </c>
      <c r="CS940" s="112">
        <f t="shared" ca="1" si="1876"/>
        <v>100000</v>
      </c>
      <c r="CT940" s="112" t="e">
        <f t="shared" ca="1" si="1910"/>
        <v>#N/A</v>
      </c>
      <c r="CU940" s="238">
        <f t="shared" ca="1" si="1887"/>
        <v>0</v>
      </c>
      <c r="CV940" s="238">
        <f t="shared" ca="1" si="1888"/>
        <v>24</v>
      </c>
      <c r="CY940">
        <f t="shared" si="1892"/>
        <v>370</v>
      </c>
      <c r="DA940" s="112">
        <f t="shared" ca="1" si="1893"/>
        <v>100000</v>
      </c>
      <c r="DE940" t="str">
        <f t="shared" si="1889"/>
        <v>cs:dc771</v>
      </c>
      <c r="DF940" t="e">
        <f t="shared" ca="1" si="1890"/>
        <v>#REF!</v>
      </c>
    </row>
    <row r="941" spans="47:110" x14ac:dyDescent="0.25">
      <c r="AU941" s="112"/>
      <c r="AV941" s="112"/>
      <c r="BQ941" s="238">
        <f t="shared" ref="BQ941" si="2033">BQ940+1</f>
        <v>645</v>
      </c>
      <c r="BR941" s="112" t="s">
        <v>444</v>
      </c>
      <c r="BS941" s="112" t="s">
        <v>445</v>
      </c>
      <c r="BT941" s="114" t="e">
        <f t="shared" ca="1" si="1837"/>
        <v>#N/A</v>
      </c>
      <c r="BU941" s="112"/>
      <c r="BV941">
        <f t="shared" ca="1" si="1917"/>
        <v>0</v>
      </c>
      <c r="BW941" s="112" t="str">
        <f t="shared" ca="1" si="1872"/>
        <v/>
      </c>
      <c r="BX941" s="112" t="e">
        <f t="shared" ref="BX941:BX943" ca="1" si="2034">INDIRECT(CONCATENATE(BS941,BQ941))-1</f>
        <v>#N/A</v>
      </c>
      <c r="BY941">
        <f t="shared" ca="1" si="1905"/>
        <v>0</v>
      </c>
      <c r="BZ941">
        <f t="shared" ca="1" si="1906"/>
        <v>24</v>
      </c>
      <c r="CB941" t="e">
        <f t="shared" ca="1" si="1879"/>
        <v>#N/A</v>
      </c>
      <c r="CC941" s="112" t="e">
        <f t="shared" ca="1" si="1880"/>
        <v>#N/A</v>
      </c>
      <c r="CD941" s="112" t="e">
        <f t="shared" ca="1" si="1881"/>
        <v>#N/A</v>
      </c>
      <c r="CE941">
        <f t="shared" ca="1" si="1882"/>
        <v>0</v>
      </c>
      <c r="CF941">
        <f t="shared" ca="1" si="1883"/>
        <v>24</v>
      </c>
      <c r="CH941" s="112" t="str">
        <f t="shared" ca="1" si="1951"/>
        <v/>
      </c>
      <c r="CI941" t="e">
        <f t="shared" ref="CI941" ca="1" si="2035">CB941+CB942+CB943+CB944+CB945</f>
        <v>#N/A</v>
      </c>
      <c r="CJ941">
        <v>0</v>
      </c>
      <c r="CK941" s="112" t="str">
        <f t="shared" ca="1" si="1956"/>
        <v/>
      </c>
      <c r="CM941" s="112"/>
      <c r="CN941" s="408" t="e">
        <f t="shared" ca="1" si="1901"/>
        <v>#N/A</v>
      </c>
      <c r="CO941" s="326" t="e">
        <f t="shared" ref="CO941" ca="1" si="2036">CD941</f>
        <v>#N/A</v>
      </c>
      <c r="CP941" s="333">
        <f t="shared" ca="1" si="1957"/>
        <v>0</v>
      </c>
      <c r="CQ941" s="327">
        <f t="shared" ca="1" si="1958"/>
        <v>24</v>
      </c>
      <c r="CS941" s="112">
        <f t="shared" ca="1" si="1876"/>
        <v>100000</v>
      </c>
      <c r="CT941" s="112" t="e">
        <f t="shared" ref="CT941" ca="1" si="2037">IF(AND( CN942=100000,CN943=100000,CN944=100000,CN945=100000),CO945,                             CO941)</f>
        <v>#N/A</v>
      </c>
      <c r="CU941" s="238">
        <f t="shared" ca="1" si="1887"/>
        <v>0</v>
      </c>
      <c r="CV941" s="238">
        <f t="shared" ca="1" si="1888"/>
        <v>24</v>
      </c>
      <c r="CY941">
        <f t="shared" si="1892"/>
        <v>371</v>
      </c>
      <c r="DA941" s="112">
        <f t="shared" ca="1" si="1893"/>
        <v>100000</v>
      </c>
      <c r="DE941" t="str">
        <f t="shared" si="1889"/>
        <v>cs:dc771</v>
      </c>
      <c r="DF941" t="e">
        <f t="shared" ca="1" si="1890"/>
        <v>#REF!</v>
      </c>
    </row>
    <row r="942" spans="47:110" x14ac:dyDescent="0.25">
      <c r="AU942" s="112"/>
      <c r="AV942" s="112"/>
      <c r="BQ942" s="238">
        <f t="shared" ref="BQ942:BQ945" si="2038">BQ941</f>
        <v>645</v>
      </c>
      <c r="BR942" t="s">
        <v>445</v>
      </c>
      <c r="BS942" t="s">
        <v>446</v>
      </c>
      <c r="BT942" s="114" t="e">
        <f t="shared" ref="BT942:BT1005" ca="1" si="2039">INDIRECT(CONCATENATE("bp",BQ942))</f>
        <v>#N/A</v>
      </c>
      <c r="BU942" s="112"/>
      <c r="BV942" t="e">
        <f t="shared" ca="1" si="1917"/>
        <v>#N/A</v>
      </c>
      <c r="BW942" s="112" t="e">
        <f t="shared" ca="1" si="1872"/>
        <v>#N/A</v>
      </c>
      <c r="BX942" s="112" t="e">
        <f t="shared" ca="1" si="2034"/>
        <v>#N/A</v>
      </c>
      <c r="BY942">
        <f t="shared" ca="1" si="1905"/>
        <v>0</v>
      </c>
      <c r="BZ942">
        <f t="shared" ca="1" si="1906"/>
        <v>24</v>
      </c>
      <c r="CB942" t="e">
        <f t="shared" ca="1" si="1879"/>
        <v>#N/A</v>
      </c>
      <c r="CC942" s="112" t="e">
        <f t="shared" ca="1" si="1880"/>
        <v>#N/A</v>
      </c>
      <c r="CD942" s="112" t="e">
        <f t="shared" ca="1" si="1881"/>
        <v>#N/A</v>
      </c>
      <c r="CE942">
        <f t="shared" ca="1" si="1882"/>
        <v>0</v>
      </c>
      <c r="CF942">
        <f t="shared" ca="1" si="1883"/>
        <v>24</v>
      </c>
      <c r="CH942" s="112" t="str">
        <f t="shared" ca="1" si="1951"/>
        <v/>
      </c>
      <c r="CI942" t="e">
        <f t="shared" ref="CI942:CI945" ca="1" si="2040">CI941</f>
        <v>#N/A</v>
      </c>
      <c r="CJ942" t="e">
        <f t="shared" ref="CJ942" ca="1" si="2041">IF(AND(CI942=0,CJ943=0,CJ944=0,CJ945=0,CC942&lt;100000),1,0)</f>
        <v>#N/A</v>
      </c>
      <c r="CK942" s="112" t="e">
        <f t="shared" ca="1" si="1956"/>
        <v>#N/A</v>
      </c>
      <c r="CM942" s="112"/>
      <c r="CN942" s="260" t="e">
        <f t="shared" ca="1" si="1901"/>
        <v>#N/A</v>
      </c>
      <c r="CO942" s="112" t="e">
        <f t="shared" ref="CO942:CO945" ca="1" si="2042">IF(CJ942=1,CH942,CD942)</f>
        <v>#N/A</v>
      </c>
      <c r="CP942" s="238">
        <f t="shared" ca="1" si="1957"/>
        <v>0</v>
      </c>
      <c r="CQ942" s="328">
        <f t="shared" ca="1" si="1958"/>
        <v>24</v>
      </c>
      <c r="CS942" s="112">
        <f t="shared" ca="1" si="1876"/>
        <v>100000</v>
      </c>
      <c r="CT942" s="112" t="e">
        <f t="shared" ca="1" si="1910"/>
        <v>#N/A</v>
      </c>
      <c r="CU942" s="238">
        <f t="shared" ca="1" si="1887"/>
        <v>0</v>
      </c>
      <c r="CV942" s="238">
        <f t="shared" ca="1" si="1888"/>
        <v>24</v>
      </c>
      <c r="CY942">
        <f t="shared" si="1892"/>
        <v>372</v>
      </c>
      <c r="DA942" s="112">
        <f t="shared" ca="1" si="1893"/>
        <v>100000</v>
      </c>
      <c r="DE942" t="str">
        <f t="shared" si="1889"/>
        <v>cs:dc771</v>
      </c>
      <c r="DF942" t="e">
        <f t="shared" ca="1" si="1890"/>
        <v>#REF!</v>
      </c>
    </row>
    <row r="943" spans="47:110" x14ac:dyDescent="0.25">
      <c r="AU943" s="112"/>
      <c r="AV943" s="112"/>
      <c r="BQ943" s="238">
        <f t="shared" si="2038"/>
        <v>645</v>
      </c>
      <c r="BR943" t="s">
        <v>446</v>
      </c>
      <c r="BS943" t="s">
        <v>447</v>
      </c>
      <c r="BT943" s="114" t="e">
        <f t="shared" ca="1" si="2039"/>
        <v>#N/A</v>
      </c>
      <c r="BU943" s="112"/>
      <c r="BV943" t="e">
        <f t="shared" ca="1" si="1917"/>
        <v>#N/A</v>
      </c>
      <c r="BW943" s="112" t="e">
        <f t="shared" ca="1" si="1872"/>
        <v>#N/A</v>
      </c>
      <c r="BX943" s="112" t="e">
        <f t="shared" ca="1" si="2034"/>
        <v>#N/A</v>
      </c>
      <c r="BY943">
        <f t="shared" ca="1" si="1905"/>
        <v>0</v>
      </c>
      <c r="BZ943">
        <f t="shared" ca="1" si="1906"/>
        <v>24</v>
      </c>
      <c r="CB943" t="e">
        <f t="shared" ca="1" si="1879"/>
        <v>#N/A</v>
      </c>
      <c r="CC943" s="112" t="e">
        <f t="shared" ca="1" si="1880"/>
        <v>#N/A</v>
      </c>
      <c r="CD943" s="112" t="e">
        <f t="shared" ca="1" si="1881"/>
        <v>#N/A</v>
      </c>
      <c r="CE943">
        <f t="shared" ca="1" si="1882"/>
        <v>0</v>
      </c>
      <c r="CF943">
        <f t="shared" ca="1" si="1883"/>
        <v>24</v>
      </c>
      <c r="CH943" s="112" t="str">
        <f t="shared" ca="1" si="1951"/>
        <v/>
      </c>
      <c r="CI943" t="e">
        <f t="shared" ca="1" si="2040"/>
        <v>#N/A</v>
      </c>
      <c r="CJ943" t="e">
        <f t="shared" ref="CJ943" ca="1" si="2043">IF(AND(CI943=0,CJ944=0,CJ945=0,CC943&lt;100000),1,0)</f>
        <v>#N/A</v>
      </c>
      <c r="CK943" s="112" t="e">
        <f t="shared" ca="1" si="1956"/>
        <v>#N/A</v>
      </c>
      <c r="CM943" s="112"/>
      <c r="CN943" s="260" t="e">
        <f t="shared" ca="1" si="1901"/>
        <v>#N/A</v>
      </c>
      <c r="CO943" s="112" t="e">
        <f t="shared" ca="1" si="2042"/>
        <v>#N/A</v>
      </c>
      <c r="CP943" s="238">
        <f t="shared" ca="1" si="1957"/>
        <v>0</v>
      </c>
      <c r="CQ943" s="328">
        <f t="shared" ca="1" si="1958"/>
        <v>24</v>
      </c>
      <c r="CS943" s="112">
        <f t="shared" ca="1" si="1876"/>
        <v>100000</v>
      </c>
      <c r="CT943" s="112" t="e">
        <f t="shared" ca="1" si="1910"/>
        <v>#N/A</v>
      </c>
      <c r="CU943" s="238">
        <f t="shared" ca="1" si="1887"/>
        <v>0</v>
      </c>
      <c r="CV943" s="238">
        <f t="shared" ca="1" si="1888"/>
        <v>24</v>
      </c>
      <c r="CY943">
        <f t="shared" si="1892"/>
        <v>373</v>
      </c>
      <c r="DA943" s="112">
        <f t="shared" ca="1" si="1893"/>
        <v>100000</v>
      </c>
      <c r="DE943" t="str">
        <f t="shared" si="1889"/>
        <v>cs:dc771</v>
      </c>
      <c r="DF943" t="e">
        <f t="shared" ca="1" si="1890"/>
        <v>#REF!</v>
      </c>
    </row>
    <row r="944" spans="47:110" x14ac:dyDescent="0.25">
      <c r="AU944" s="112"/>
      <c r="AV944" s="112"/>
      <c r="BQ944" s="238">
        <f t="shared" si="2038"/>
        <v>645</v>
      </c>
      <c r="BR944" t="s">
        <v>447</v>
      </c>
      <c r="BS944" t="s">
        <v>448</v>
      </c>
      <c r="BT944" s="114" t="e">
        <f t="shared" ca="1" si="2039"/>
        <v>#N/A</v>
      </c>
      <c r="BU944" s="112"/>
      <c r="BV944" t="e">
        <f t="shared" ca="1" si="1917"/>
        <v>#N/A</v>
      </c>
      <c r="BW944" s="112" t="e">
        <f t="shared" ca="1" si="1872"/>
        <v>#N/A</v>
      </c>
      <c r="BX944" s="112" t="e">
        <f t="shared" ref="BX944:BX945" ca="1" si="2044">INDIRECT(CONCATENATE(BS944,BQ944))</f>
        <v>#N/A</v>
      </c>
      <c r="BY944">
        <f t="shared" ca="1" si="1905"/>
        <v>0</v>
      </c>
      <c r="BZ944">
        <f t="shared" ca="1" si="1906"/>
        <v>24</v>
      </c>
      <c r="CB944" t="e">
        <f t="shared" ca="1" si="1879"/>
        <v>#N/A</v>
      </c>
      <c r="CC944" s="112" t="e">
        <f t="shared" ca="1" si="1880"/>
        <v>#N/A</v>
      </c>
      <c r="CD944" s="112" t="e">
        <f t="shared" ca="1" si="1881"/>
        <v>#N/A</v>
      </c>
      <c r="CE944">
        <f t="shared" ca="1" si="1882"/>
        <v>0</v>
      </c>
      <c r="CF944">
        <f t="shared" ca="1" si="1883"/>
        <v>24</v>
      </c>
      <c r="CH944" s="112" t="str">
        <f t="shared" ca="1" si="1951"/>
        <v/>
      </c>
      <c r="CI944" t="e">
        <f t="shared" ca="1" si="2040"/>
        <v>#N/A</v>
      </c>
      <c r="CJ944" t="e">
        <f t="shared" ref="CJ944" ca="1" si="2045">IF(AND(CI944=0,CJ945=0,CC944&lt;100000),1,0)</f>
        <v>#N/A</v>
      </c>
      <c r="CK944" s="112" t="e">
        <f t="shared" ca="1" si="1956"/>
        <v>#N/A</v>
      </c>
      <c r="CM944" s="112"/>
      <c r="CN944" s="260" t="e">
        <f t="shared" ca="1" si="1901"/>
        <v>#N/A</v>
      </c>
      <c r="CO944" s="112" t="e">
        <f t="shared" ca="1" si="2042"/>
        <v>#N/A</v>
      </c>
      <c r="CP944" s="238">
        <f t="shared" ca="1" si="1957"/>
        <v>0</v>
      </c>
      <c r="CQ944" s="328">
        <f t="shared" ca="1" si="1958"/>
        <v>24</v>
      </c>
      <c r="CS944" s="112">
        <f t="shared" ca="1" si="1876"/>
        <v>100000</v>
      </c>
      <c r="CT944" s="112" t="e">
        <f t="shared" ca="1" si="1910"/>
        <v>#N/A</v>
      </c>
      <c r="CU944" s="238">
        <f t="shared" ca="1" si="1887"/>
        <v>0</v>
      </c>
      <c r="CV944" s="238">
        <f t="shared" ca="1" si="1888"/>
        <v>24</v>
      </c>
      <c r="CY944">
        <f t="shared" si="1892"/>
        <v>374</v>
      </c>
      <c r="DA944" s="112">
        <f t="shared" ca="1" si="1893"/>
        <v>100000</v>
      </c>
      <c r="DE944" t="str">
        <f t="shared" si="1889"/>
        <v>cs:dc771</v>
      </c>
      <c r="DF944" t="e">
        <f t="shared" ca="1" si="1890"/>
        <v>#REF!</v>
      </c>
    </row>
    <row r="945" spans="47:110" ht="15.75" thickBot="1" x14ac:dyDescent="0.3">
      <c r="AU945" s="112"/>
      <c r="AV945" s="112"/>
      <c r="BQ945" s="238">
        <f t="shared" si="2038"/>
        <v>645</v>
      </c>
      <c r="BR945" t="s">
        <v>448</v>
      </c>
      <c r="BS945" t="s">
        <v>449</v>
      </c>
      <c r="BT945" s="114" t="e">
        <f t="shared" ca="1" si="2039"/>
        <v>#N/A</v>
      </c>
      <c r="BU945" s="112"/>
      <c r="BV945" t="e">
        <f t="shared" ca="1" si="1917"/>
        <v>#N/A</v>
      </c>
      <c r="BW945" s="112" t="e">
        <f t="shared" ca="1" si="1872"/>
        <v>#N/A</v>
      </c>
      <c r="BX945" s="112" t="str">
        <f t="shared" ca="1" si="2044"/>
        <v/>
      </c>
      <c r="BY945">
        <f t="shared" ca="1" si="1905"/>
        <v>0</v>
      </c>
      <c r="BZ945">
        <f t="shared" ca="1" si="1906"/>
        <v>24</v>
      </c>
      <c r="CB945" t="e">
        <f t="shared" ca="1" si="1879"/>
        <v>#N/A</v>
      </c>
      <c r="CC945" s="112" t="e">
        <f t="shared" ca="1" si="1880"/>
        <v>#N/A</v>
      </c>
      <c r="CD945" s="112" t="str">
        <f t="shared" ca="1" si="1881"/>
        <v/>
      </c>
      <c r="CE945">
        <f t="shared" ca="1" si="1882"/>
        <v>0</v>
      </c>
      <c r="CF945">
        <f t="shared" ca="1" si="1883"/>
        <v>24</v>
      </c>
      <c r="CH945" s="112" t="str">
        <f t="shared" ca="1" si="1951"/>
        <v/>
      </c>
      <c r="CI945" t="e">
        <f t="shared" ca="1" si="2040"/>
        <v>#N/A</v>
      </c>
      <c r="CJ945" t="e">
        <f t="shared" ref="CJ945" ca="1" si="2046">IF(AND(CI945=0,CC945&lt;100000),1,0)</f>
        <v>#N/A</v>
      </c>
      <c r="CK945" s="112" t="e">
        <f t="shared" ca="1" si="1956"/>
        <v>#N/A</v>
      </c>
      <c r="CM945" s="112"/>
      <c r="CN945" s="261" t="e">
        <f t="shared" ref="CN945" ca="1" si="2047">IF(AND(CN941=100000,CN942=100000,CN943=100000,CN944=100000),INDIRECT(CONCATENATE("aa",BQ945)),CC945)</f>
        <v>#N/A</v>
      </c>
      <c r="CO945" s="324" t="e">
        <f t="shared" ca="1" si="2042"/>
        <v>#N/A</v>
      </c>
      <c r="CP945" s="256">
        <f t="shared" ca="1" si="1957"/>
        <v>0</v>
      </c>
      <c r="CQ945" s="329">
        <f t="shared" ca="1" si="1958"/>
        <v>24</v>
      </c>
      <c r="CS945" s="112">
        <f t="shared" ca="1" si="1876"/>
        <v>100000</v>
      </c>
      <c r="CT945" s="112" t="e">
        <f t="shared" ca="1" si="1910"/>
        <v>#N/A</v>
      </c>
      <c r="CU945" s="238">
        <f t="shared" ca="1" si="1887"/>
        <v>0</v>
      </c>
      <c r="CV945" s="238">
        <f t="shared" ca="1" si="1888"/>
        <v>24</v>
      </c>
      <c r="CY945">
        <f t="shared" si="1892"/>
        <v>375</v>
      </c>
      <c r="DA945" s="112">
        <f t="shared" ca="1" si="1893"/>
        <v>100000</v>
      </c>
      <c r="DE945" t="str">
        <f t="shared" si="1889"/>
        <v>cs:dc771</v>
      </c>
      <c r="DF945" t="e">
        <f t="shared" ca="1" si="1890"/>
        <v>#REF!</v>
      </c>
    </row>
    <row r="946" spans="47:110" x14ac:dyDescent="0.25">
      <c r="AU946" s="112"/>
      <c r="AV946" s="112"/>
      <c r="BQ946" s="238">
        <f t="shared" ref="BQ946" si="2048">BQ945+1</f>
        <v>646</v>
      </c>
      <c r="BR946" s="112" t="s">
        <v>444</v>
      </c>
      <c r="BS946" s="112" t="s">
        <v>445</v>
      </c>
      <c r="BT946" s="114" t="e">
        <f t="shared" ca="1" si="2039"/>
        <v>#N/A</v>
      </c>
      <c r="BU946" s="112"/>
      <c r="BV946">
        <f t="shared" ca="1" si="1917"/>
        <v>0</v>
      </c>
      <c r="BW946" s="112" t="str">
        <f t="shared" ca="1" si="1872"/>
        <v/>
      </c>
      <c r="BX946" s="112" t="e">
        <f t="shared" ref="BX946:BX948" ca="1" si="2049">INDIRECT(CONCATENATE(BS946,BQ946))-1</f>
        <v>#N/A</v>
      </c>
      <c r="BY946">
        <f t="shared" ca="1" si="1905"/>
        <v>0</v>
      </c>
      <c r="BZ946">
        <f t="shared" ca="1" si="1906"/>
        <v>24</v>
      </c>
      <c r="CB946" t="e">
        <f t="shared" ca="1" si="1879"/>
        <v>#N/A</v>
      </c>
      <c r="CC946" s="112" t="e">
        <f t="shared" ca="1" si="1880"/>
        <v>#N/A</v>
      </c>
      <c r="CD946" s="112" t="e">
        <f t="shared" ca="1" si="1881"/>
        <v>#N/A</v>
      </c>
      <c r="CE946">
        <f t="shared" ca="1" si="1882"/>
        <v>0</v>
      </c>
      <c r="CF946">
        <f t="shared" ca="1" si="1883"/>
        <v>24</v>
      </c>
      <c r="CH946" s="112" t="str">
        <f t="shared" ca="1" si="1951"/>
        <v/>
      </c>
      <c r="CI946" t="e">
        <f t="shared" ref="CI946" ca="1" si="2050">CB946+CB947+CB948+CB949+CB950</f>
        <v>#N/A</v>
      </c>
      <c r="CJ946">
        <v>0</v>
      </c>
      <c r="CK946" s="112" t="str">
        <f t="shared" ca="1" si="1956"/>
        <v/>
      </c>
      <c r="CM946" s="112"/>
      <c r="CN946" s="408" t="e">
        <f t="shared" ca="1" si="1901"/>
        <v>#N/A</v>
      </c>
      <c r="CO946" s="326" t="e">
        <f t="shared" ref="CO946" ca="1" si="2051">CD946</f>
        <v>#N/A</v>
      </c>
      <c r="CP946" s="333">
        <f t="shared" ca="1" si="1957"/>
        <v>0</v>
      </c>
      <c r="CQ946" s="327">
        <f t="shared" ca="1" si="1958"/>
        <v>24</v>
      </c>
      <c r="CS946" s="112">
        <f t="shared" ca="1" si="1876"/>
        <v>100000</v>
      </c>
      <c r="CT946" s="112" t="e">
        <f t="shared" ref="CT946" ca="1" si="2052">IF(AND( CN947=100000,CN948=100000,CN949=100000,CN950=100000),CO950,                             CO946)</f>
        <v>#N/A</v>
      </c>
      <c r="CU946" s="238">
        <f t="shared" ca="1" si="1887"/>
        <v>0</v>
      </c>
      <c r="CV946" s="238">
        <f t="shared" ca="1" si="1888"/>
        <v>24</v>
      </c>
      <c r="CY946">
        <f t="shared" si="1892"/>
        <v>376</v>
      </c>
      <c r="DA946" s="112">
        <f t="shared" ca="1" si="1893"/>
        <v>100000</v>
      </c>
      <c r="DE946" t="str">
        <f t="shared" si="1889"/>
        <v>cs:dc771</v>
      </c>
      <c r="DF946" t="e">
        <f t="shared" ca="1" si="1890"/>
        <v>#REF!</v>
      </c>
    </row>
    <row r="947" spans="47:110" x14ac:dyDescent="0.25">
      <c r="AU947" s="112"/>
      <c r="AV947" s="112"/>
      <c r="BQ947" s="238">
        <f t="shared" ref="BQ947:BQ950" si="2053">BQ946</f>
        <v>646</v>
      </c>
      <c r="BR947" t="s">
        <v>445</v>
      </c>
      <c r="BS947" t="s">
        <v>446</v>
      </c>
      <c r="BT947" s="114" t="e">
        <f t="shared" ca="1" si="2039"/>
        <v>#N/A</v>
      </c>
      <c r="BU947" s="112"/>
      <c r="BV947" t="e">
        <f t="shared" ca="1" si="1917"/>
        <v>#N/A</v>
      </c>
      <c r="BW947" s="112" t="e">
        <f t="shared" ca="1" si="1872"/>
        <v>#N/A</v>
      </c>
      <c r="BX947" s="112" t="e">
        <f t="shared" ca="1" si="2049"/>
        <v>#N/A</v>
      </c>
      <c r="BY947">
        <f t="shared" ca="1" si="1905"/>
        <v>0</v>
      </c>
      <c r="BZ947">
        <f t="shared" ca="1" si="1906"/>
        <v>24</v>
      </c>
      <c r="CB947" t="e">
        <f t="shared" ca="1" si="1879"/>
        <v>#N/A</v>
      </c>
      <c r="CC947" s="112" t="e">
        <f t="shared" ca="1" si="1880"/>
        <v>#N/A</v>
      </c>
      <c r="CD947" s="112" t="e">
        <f t="shared" ca="1" si="1881"/>
        <v>#N/A</v>
      </c>
      <c r="CE947">
        <f t="shared" ca="1" si="1882"/>
        <v>0</v>
      </c>
      <c r="CF947">
        <f t="shared" ca="1" si="1883"/>
        <v>24</v>
      </c>
      <c r="CH947" s="112" t="str">
        <f t="shared" ca="1" si="1951"/>
        <v/>
      </c>
      <c r="CI947" t="e">
        <f t="shared" ref="CI947:CI950" ca="1" si="2054">CI946</f>
        <v>#N/A</v>
      </c>
      <c r="CJ947" t="e">
        <f t="shared" ref="CJ947" ca="1" si="2055">IF(AND(CI947=0,CJ948=0,CJ949=0,CJ950=0,CC947&lt;100000),1,0)</f>
        <v>#N/A</v>
      </c>
      <c r="CK947" s="112" t="e">
        <f t="shared" ca="1" si="1956"/>
        <v>#N/A</v>
      </c>
      <c r="CM947" s="112"/>
      <c r="CN947" s="260" t="e">
        <f t="shared" ca="1" si="1901"/>
        <v>#N/A</v>
      </c>
      <c r="CO947" s="112" t="e">
        <f t="shared" ref="CO947:CO950" ca="1" si="2056">IF(CJ947=1,CH947,CD947)</f>
        <v>#N/A</v>
      </c>
      <c r="CP947" s="238">
        <f t="shared" ca="1" si="1957"/>
        <v>0</v>
      </c>
      <c r="CQ947" s="328">
        <f t="shared" ca="1" si="1958"/>
        <v>24</v>
      </c>
      <c r="CS947" s="112">
        <f t="shared" ca="1" si="1876"/>
        <v>100000</v>
      </c>
      <c r="CT947" s="112" t="e">
        <f t="shared" ca="1" si="1910"/>
        <v>#N/A</v>
      </c>
      <c r="CU947" s="238">
        <f t="shared" ca="1" si="1887"/>
        <v>0</v>
      </c>
      <c r="CV947" s="238">
        <f t="shared" ca="1" si="1888"/>
        <v>24</v>
      </c>
      <c r="CY947">
        <f t="shared" si="1892"/>
        <v>377</v>
      </c>
      <c r="DA947" s="112">
        <f t="shared" ca="1" si="1893"/>
        <v>100000</v>
      </c>
      <c r="DE947" t="str">
        <f t="shared" si="1889"/>
        <v>cs:dc771</v>
      </c>
      <c r="DF947" t="e">
        <f t="shared" ca="1" si="1890"/>
        <v>#REF!</v>
      </c>
    </row>
    <row r="948" spans="47:110" x14ac:dyDescent="0.25">
      <c r="AU948" s="112"/>
      <c r="AV948" s="112"/>
      <c r="BQ948" s="238">
        <f t="shared" si="2053"/>
        <v>646</v>
      </c>
      <c r="BR948" t="s">
        <v>446</v>
      </c>
      <c r="BS948" t="s">
        <v>447</v>
      </c>
      <c r="BT948" s="114" t="e">
        <f t="shared" ca="1" si="2039"/>
        <v>#N/A</v>
      </c>
      <c r="BU948" s="112"/>
      <c r="BV948" t="e">
        <f t="shared" ca="1" si="1917"/>
        <v>#N/A</v>
      </c>
      <c r="BW948" s="112" t="e">
        <f t="shared" ca="1" si="1872"/>
        <v>#N/A</v>
      </c>
      <c r="BX948" s="112" t="e">
        <f t="shared" ca="1" si="2049"/>
        <v>#N/A</v>
      </c>
      <c r="BY948">
        <f t="shared" ca="1" si="1905"/>
        <v>0</v>
      </c>
      <c r="BZ948">
        <f t="shared" ca="1" si="1906"/>
        <v>24</v>
      </c>
      <c r="CB948" t="e">
        <f t="shared" ca="1" si="1879"/>
        <v>#N/A</v>
      </c>
      <c r="CC948" s="112" t="e">
        <f t="shared" ca="1" si="1880"/>
        <v>#N/A</v>
      </c>
      <c r="CD948" s="112" t="e">
        <f t="shared" ca="1" si="1881"/>
        <v>#N/A</v>
      </c>
      <c r="CE948">
        <f t="shared" ca="1" si="1882"/>
        <v>0</v>
      </c>
      <c r="CF948">
        <f t="shared" ca="1" si="1883"/>
        <v>24</v>
      </c>
      <c r="CH948" s="112" t="str">
        <f t="shared" ca="1" si="1951"/>
        <v/>
      </c>
      <c r="CI948" t="e">
        <f t="shared" ca="1" si="2054"/>
        <v>#N/A</v>
      </c>
      <c r="CJ948" t="e">
        <f t="shared" ref="CJ948" ca="1" si="2057">IF(AND(CI948=0,CJ949=0,CJ950=0,CC948&lt;100000),1,0)</f>
        <v>#N/A</v>
      </c>
      <c r="CK948" s="112" t="e">
        <f t="shared" ca="1" si="1956"/>
        <v>#N/A</v>
      </c>
      <c r="CM948" s="112"/>
      <c r="CN948" s="260" t="e">
        <f t="shared" ca="1" si="1901"/>
        <v>#N/A</v>
      </c>
      <c r="CO948" s="112" t="e">
        <f t="shared" ca="1" si="2056"/>
        <v>#N/A</v>
      </c>
      <c r="CP948" s="238">
        <f t="shared" ca="1" si="1957"/>
        <v>0</v>
      </c>
      <c r="CQ948" s="328">
        <f t="shared" ca="1" si="1958"/>
        <v>24</v>
      </c>
      <c r="CS948" s="112">
        <f t="shared" ca="1" si="1876"/>
        <v>100000</v>
      </c>
      <c r="CT948" s="112" t="e">
        <f t="shared" ca="1" si="1910"/>
        <v>#N/A</v>
      </c>
      <c r="CU948" s="238">
        <f t="shared" ca="1" si="1887"/>
        <v>0</v>
      </c>
      <c r="CV948" s="238">
        <f t="shared" ca="1" si="1888"/>
        <v>24</v>
      </c>
      <c r="CY948">
        <f t="shared" si="1892"/>
        <v>378</v>
      </c>
      <c r="DA948" s="112">
        <f t="shared" ca="1" si="1893"/>
        <v>100000</v>
      </c>
      <c r="DE948" t="str">
        <f t="shared" si="1889"/>
        <v>cs:dc771</v>
      </c>
      <c r="DF948" t="e">
        <f t="shared" ca="1" si="1890"/>
        <v>#REF!</v>
      </c>
    </row>
    <row r="949" spans="47:110" x14ac:dyDescent="0.25">
      <c r="AU949" s="112"/>
      <c r="AV949" s="112"/>
      <c r="BQ949" s="238">
        <f t="shared" si="2053"/>
        <v>646</v>
      </c>
      <c r="BR949" t="s">
        <v>447</v>
      </c>
      <c r="BS949" t="s">
        <v>448</v>
      </c>
      <c r="BT949" s="114" t="e">
        <f t="shared" ca="1" si="2039"/>
        <v>#N/A</v>
      </c>
      <c r="BU949" s="112"/>
      <c r="BV949" t="e">
        <f t="shared" ca="1" si="1917"/>
        <v>#N/A</v>
      </c>
      <c r="BW949" s="112" t="e">
        <f t="shared" ca="1" si="1872"/>
        <v>#N/A</v>
      </c>
      <c r="BX949" s="112" t="e">
        <f t="shared" ref="BX949:BX950" ca="1" si="2058">INDIRECT(CONCATENATE(BS949,BQ949))</f>
        <v>#N/A</v>
      </c>
      <c r="BY949">
        <f t="shared" ca="1" si="1905"/>
        <v>0</v>
      </c>
      <c r="BZ949">
        <f t="shared" ca="1" si="1906"/>
        <v>24</v>
      </c>
      <c r="CB949" t="e">
        <f t="shared" ca="1" si="1879"/>
        <v>#N/A</v>
      </c>
      <c r="CC949" s="112" t="e">
        <f t="shared" ca="1" si="1880"/>
        <v>#N/A</v>
      </c>
      <c r="CD949" s="112" t="e">
        <f t="shared" ca="1" si="1881"/>
        <v>#N/A</v>
      </c>
      <c r="CE949">
        <f t="shared" ca="1" si="1882"/>
        <v>0</v>
      </c>
      <c r="CF949">
        <f t="shared" ca="1" si="1883"/>
        <v>24</v>
      </c>
      <c r="CH949" s="112" t="str">
        <f t="shared" ca="1" si="1951"/>
        <v/>
      </c>
      <c r="CI949" t="e">
        <f t="shared" ca="1" si="2054"/>
        <v>#N/A</v>
      </c>
      <c r="CJ949" t="e">
        <f t="shared" ref="CJ949" ca="1" si="2059">IF(AND(CI949=0,CJ950=0,CC949&lt;100000),1,0)</f>
        <v>#N/A</v>
      </c>
      <c r="CK949" s="112" t="e">
        <f t="shared" ca="1" si="1956"/>
        <v>#N/A</v>
      </c>
      <c r="CM949" s="112"/>
      <c r="CN949" s="260" t="e">
        <f t="shared" ca="1" si="1901"/>
        <v>#N/A</v>
      </c>
      <c r="CO949" s="112" t="e">
        <f t="shared" ca="1" si="2056"/>
        <v>#N/A</v>
      </c>
      <c r="CP949" s="238">
        <f t="shared" ca="1" si="1957"/>
        <v>0</v>
      </c>
      <c r="CQ949" s="328">
        <f t="shared" ca="1" si="1958"/>
        <v>24</v>
      </c>
      <c r="CS949" s="112">
        <f t="shared" ca="1" si="1876"/>
        <v>100000</v>
      </c>
      <c r="CT949" s="112" t="e">
        <f t="shared" ca="1" si="1910"/>
        <v>#N/A</v>
      </c>
      <c r="CU949" s="238">
        <f t="shared" ca="1" si="1887"/>
        <v>0</v>
      </c>
      <c r="CV949" s="238">
        <f t="shared" ca="1" si="1888"/>
        <v>24</v>
      </c>
      <c r="CY949">
        <f t="shared" si="1892"/>
        <v>379</v>
      </c>
      <c r="DA949" s="112">
        <f t="shared" ca="1" si="1893"/>
        <v>100000</v>
      </c>
      <c r="DE949" t="str">
        <f t="shared" si="1889"/>
        <v>cs:dc771</v>
      </c>
      <c r="DF949" t="e">
        <f t="shared" ca="1" si="1890"/>
        <v>#REF!</v>
      </c>
    </row>
    <row r="950" spans="47:110" ht="15.75" thickBot="1" x14ac:dyDescent="0.3">
      <c r="AU950" s="112"/>
      <c r="AV950" s="112"/>
      <c r="BQ950" s="238">
        <f t="shared" si="2053"/>
        <v>646</v>
      </c>
      <c r="BR950" t="s">
        <v>448</v>
      </c>
      <c r="BS950" t="s">
        <v>449</v>
      </c>
      <c r="BT950" s="114" t="e">
        <f t="shared" ca="1" si="2039"/>
        <v>#N/A</v>
      </c>
      <c r="BU950" s="112"/>
      <c r="BV950" t="e">
        <f t="shared" ca="1" si="1917"/>
        <v>#N/A</v>
      </c>
      <c r="BW950" s="112" t="e">
        <f t="shared" ca="1" si="1872"/>
        <v>#N/A</v>
      </c>
      <c r="BX950" s="112" t="str">
        <f t="shared" ca="1" si="2058"/>
        <v/>
      </c>
      <c r="BY950">
        <f t="shared" ca="1" si="1905"/>
        <v>0</v>
      </c>
      <c r="BZ950">
        <f t="shared" ca="1" si="1906"/>
        <v>24</v>
      </c>
      <c r="CB950" t="e">
        <f t="shared" ca="1" si="1879"/>
        <v>#N/A</v>
      </c>
      <c r="CC950" s="112" t="e">
        <f t="shared" ca="1" si="1880"/>
        <v>#N/A</v>
      </c>
      <c r="CD950" s="112" t="str">
        <f t="shared" ca="1" si="1881"/>
        <v/>
      </c>
      <c r="CE950">
        <f t="shared" ca="1" si="1882"/>
        <v>0</v>
      </c>
      <c r="CF950">
        <f t="shared" ca="1" si="1883"/>
        <v>24</v>
      </c>
      <c r="CH950" s="112" t="str">
        <f t="shared" ca="1" si="1951"/>
        <v/>
      </c>
      <c r="CI950" t="e">
        <f t="shared" ca="1" si="2054"/>
        <v>#N/A</v>
      </c>
      <c r="CJ950" t="e">
        <f t="shared" ref="CJ950" ca="1" si="2060">IF(AND(CI950=0,CC950&lt;100000),1,0)</f>
        <v>#N/A</v>
      </c>
      <c r="CK950" s="112" t="e">
        <f t="shared" ca="1" si="1956"/>
        <v>#N/A</v>
      </c>
      <c r="CM950" s="112"/>
      <c r="CN950" s="261" t="e">
        <f t="shared" ref="CN950" ca="1" si="2061">IF(AND(CN946=100000,CN947=100000,CN948=100000,CN949=100000),INDIRECT(CONCATENATE("aa",BQ950)),CC950)</f>
        <v>#N/A</v>
      </c>
      <c r="CO950" s="324" t="e">
        <f t="shared" ca="1" si="2056"/>
        <v>#N/A</v>
      </c>
      <c r="CP950" s="256">
        <f t="shared" ca="1" si="1957"/>
        <v>0</v>
      </c>
      <c r="CQ950" s="329">
        <f t="shared" ca="1" si="1958"/>
        <v>24</v>
      </c>
      <c r="CS950" s="112">
        <f t="shared" ca="1" si="1876"/>
        <v>100000</v>
      </c>
      <c r="CT950" s="112" t="e">
        <f t="shared" ca="1" si="1910"/>
        <v>#N/A</v>
      </c>
      <c r="CU950" s="238">
        <f t="shared" ca="1" si="1887"/>
        <v>0</v>
      </c>
      <c r="CV950" s="238">
        <f t="shared" ca="1" si="1888"/>
        <v>24</v>
      </c>
      <c r="CY950">
        <f t="shared" si="1892"/>
        <v>380</v>
      </c>
      <c r="DA950" s="112">
        <f t="shared" ca="1" si="1893"/>
        <v>100000</v>
      </c>
      <c r="DE950" t="str">
        <f t="shared" si="1889"/>
        <v>cs:dc771</v>
      </c>
      <c r="DF950" t="e">
        <f t="shared" ca="1" si="1890"/>
        <v>#REF!</v>
      </c>
    </row>
    <row r="951" spans="47:110" x14ac:dyDescent="0.25">
      <c r="AU951" s="112"/>
      <c r="AV951" s="112"/>
      <c r="BQ951" s="238">
        <f t="shared" ref="BQ951" si="2062">BQ950+1</f>
        <v>647</v>
      </c>
      <c r="BR951" s="112" t="s">
        <v>444</v>
      </c>
      <c r="BS951" s="112" t="s">
        <v>445</v>
      </c>
      <c r="BT951" s="114" t="e">
        <f t="shared" ca="1" si="2039"/>
        <v>#N/A</v>
      </c>
      <c r="BU951" s="112"/>
      <c r="BV951">
        <f t="shared" ca="1" si="1917"/>
        <v>0</v>
      </c>
      <c r="BW951" s="112" t="str">
        <f t="shared" ca="1" si="1872"/>
        <v/>
      </c>
      <c r="BX951" s="112" t="e">
        <f t="shared" ref="BX951:BX953" ca="1" si="2063">INDIRECT(CONCATENATE(BS951,BQ951))-1</f>
        <v>#N/A</v>
      </c>
      <c r="BY951">
        <f t="shared" ca="1" si="1905"/>
        <v>0</v>
      </c>
      <c r="BZ951">
        <f t="shared" ca="1" si="1906"/>
        <v>24</v>
      </c>
      <c r="CB951" t="e">
        <f t="shared" ca="1" si="1879"/>
        <v>#N/A</v>
      </c>
      <c r="CC951" s="112" t="e">
        <f t="shared" ca="1" si="1880"/>
        <v>#N/A</v>
      </c>
      <c r="CD951" s="112" t="e">
        <f t="shared" ca="1" si="1881"/>
        <v>#N/A</v>
      </c>
      <c r="CE951">
        <f t="shared" ca="1" si="1882"/>
        <v>0</v>
      </c>
      <c r="CF951">
        <f t="shared" ca="1" si="1883"/>
        <v>24</v>
      </c>
      <c r="CH951" s="112" t="str">
        <f t="shared" ca="1" si="1951"/>
        <v/>
      </c>
      <c r="CI951" t="e">
        <f t="shared" ref="CI951" ca="1" si="2064">CB951+CB952+CB953+CB954+CB955</f>
        <v>#N/A</v>
      </c>
      <c r="CJ951">
        <v>0</v>
      </c>
      <c r="CK951" s="112" t="str">
        <f t="shared" ca="1" si="1956"/>
        <v/>
      </c>
      <c r="CM951" s="112"/>
      <c r="CN951" s="408" t="e">
        <f t="shared" ca="1" si="1901"/>
        <v>#N/A</v>
      </c>
      <c r="CO951" s="326" t="e">
        <f t="shared" ref="CO951" ca="1" si="2065">CD951</f>
        <v>#N/A</v>
      </c>
      <c r="CP951" s="333">
        <f t="shared" ca="1" si="1957"/>
        <v>0</v>
      </c>
      <c r="CQ951" s="327">
        <f t="shared" ca="1" si="1958"/>
        <v>24</v>
      </c>
      <c r="CS951" s="112">
        <f t="shared" ca="1" si="1876"/>
        <v>100000</v>
      </c>
      <c r="CT951" s="112" t="e">
        <f t="shared" ref="CT951" ca="1" si="2066">IF(AND( CN952=100000,CN953=100000,CN954=100000,CN955=100000),CO955,                             CO951)</f>
        <v>#N/A</v>
      </c>
      <c r="CU951" s="238">
        <f t="shared" ca="1" si="1887"/>
        <v>0</v>
      </c>
      <c r="CV951" s="238">
        <f t="shared" ca="1" si="1888"/>
        <v>24</v>
      </c>
      <c r="CY951">
        <f t="shared" si="1892"/>
        <v>381</v>
      </c>
      <c r="DA951" s="112">
        <f t="shared" ca="1" si="1893"/>
        <v>100000</v>
      </c>
      <c r="DE951" t="str">
        <f t="shared" si="1889"/>
        <v>cs:dc771</v>
      </c>
      <c r="DF951" t="e">
        <f t="shared" ca="1" si="1890"/>
        <v>#REF!</v>
      </c>
    </row>
    <row r="952" spans="47:110" x14ac:dyDescent="0.25">
      <c r="AU952" s="112"/>
      <c r="AV952" s="112"/>
      <c r="BQ952" s="238">
        <f t="shared" ref="BQ952:BQ955" si="2067">BQ951</f>
        <v>647</v>
      </c>
      <c r="BR952" t="s">
        <v>445</v>
      </c>
      <c r="BS952" t="s">
        <v>446</v>
      </c>
      <c r="BT952" s="114" t="e">
        <f t="shared" ca="1" si="2039"/>
        <v>#N/A</v>
      </c>
      <c r="BU952" s="112"/>
      <c r="BV952" t="e">
        <f t="shared" ca="1" si="1917"/>
        <v>#N/A</v>
      </c>
      <c r="BW952" s="112" t="e">
        <f t="shared" ca="1" si="1872"/>
        <v>#N/A</v>
      </c>
      <c r="BX952" s="112" t="e">
        <f t="shared" ca="1" si="2063"/>
        <v>#N/A</v>
      </c>
      <c r="BY952">
        <f t="shared" ca="1" si="1905"/>
        <v>0</v>
      </c>
      <c r="BZ952">
        <f t="shared" ca="1" si="1906"/>
        <v>24</v>
      </c>
      <c r="CB952" t="e">
        <f t="shared" ca="1" si="1879"/>
        <v>#N/A</v>
      </c>
      <c r="CC952" s="112" t="e">
        <f t="shared" ca="1" si="1880"/>
        <v>#N/A</v>
      </c>
      <c r="CD952" s="112" t="e">
        <f t="shared" ca="1" si="1881"/>
        <v>#N/A</v>
      </c>
      <c r="CE952">
        <f t="shared" ca="1" si="1882"/>
        <v>0</v>
      </c>
      <c r="CF952">
        <f t="shared" ca="1" si="1883"/>
        <v>24</v>
      </c>
      <c r="CH952" s="112" t="str">
        <f t="shared" ca="1" si="1951"/>
        <v/>
      </c>
      <c r="CI952" t="e">
        <f t="shared" ref="CI952:CI955" ca="1" si="2068">CI951</f>
        <v>#N/A</v>
      </c>
      <c r="CJ952" t="e">
        <f t="shared" ref="CJ952" ca="1" si="2069">IF(AND(CI952=0,CJ953=0,CJ954=0,CJ955=0,CC952&lt;100000),1,0)</f>
        <v>#N/A</v>
      </c>
      <c r="CK952" s="112" t="e">
        <f t="shared" ca="1" si="1956"/>
        <v>#N/A</v>
      </c>
      <c r="CM952" s="112"/>
      <c r="CN952" s="260" t="e">
        <f t="shared" ca="1" si="1901"/>
        <v>#N/A</v>
      </c>
      <c r="CO952" s="112" t="e">
        <f t="shared" ref="CO952:CO955" ca="1" si="2070">IF(CJ952=1,CH952,CD952)</f>
        <v>#N/A</v>
      </c>
      <c r="CP952" s="238">
        <f t="shared" ca="1" si="1957"/>
        <v>0</v>
      </c>
      <c r="CQ952" s="328">
        <f t="shared" ca="1" si="1958"/>
        <v>24</v>
      </c>
      <c r="CS952" s="112">
        <f t="shared" ca="1" si="1876"/>
        <v>100000</v>
      </c>
      <c r="CT952" s="112" t="e">
        <f t="shared" ca="1" si="1910"/>
        <v>#N/A</v>
      </c>
      <c r="CU952" s="238">
        <f t="shared" ca="1" si="1887"/>
        <v>0</v>
      </c>
      <c r="CV952" s="238">
        <f t="shared" ca="1" si="1888"/>
        <v>24</v>
      </c>
      <c r="CY952">
        <f t="shared" si="1892"/>
        <v>382</v>
      </c>
      <c r="DA952" s="112">
        <f t="shared" ca="1" si="1893"/>
        <v>100000</v>
      </c>
      <c r="DE952" t="str">
        <f t="shared" si="1889"/>
        <v>cs:dc771</v>
      </c>
      <c r="DF952" t="e">
        <f t="shared" ca="1" si="1890"/>
        <v>#REF!</v>
      </c>
    </row>
    <row r="953" spans="47:110" x14ac:dyDescent="0.25">
      <c r="AU953" s="112"/>
      <c r="AV953" s="112"/>
      <c r="BQ953" s="238">
        <f t="shared" si="2067"/>
        <v>647</v>
      </c>
      <c r="BR953" t="s">
        <v>446</v>
      </c>
      <c r="BS953" t="s">
        <v>447</v>
      </c>
      <c r="BT953" s="114" t="e">
        <f t="shared" ca="1" si="2039"/>
        <v>#N/A</v>
      </c>
      <c r="BU953" s="112"/>
      <c r="BV953" t="e">
        <f t="shared" ca="1" si="1917"/>
        <v>#N/A</v>
      </c>
      <c r="BW953" s="112" t="e">
        <f t="shared" ca="1" si="1872"/>
        <v>#N/A</v>
      </c>
      <c r="BX953" s="112" t="e">
        <f t="shared" ca="1" si="2063"/>
        <v>#N/A</v>
      </c>
      <c r="BY953">
        <f t="shared" ca="1" si="1905"/>
        <v>0</v>
      </c>
      <c r="BZ953">
        <f t="shared" ca="1" si="1906"/>
        <v>24</v>
      </c>
      <c r="CB953" t="e">
        <f t="shared" ca="1" si="1879"/>
        <v>#N/A</v>
      </c>
      <c r="CC953" s="112" t="e">
        <f t="shared" ca="1" si="1880"/>
        <v>#N/A</v>
      </c>
      <c r="CD953" s="112" t="e">
        <f t="shared" ca="1" si="1881"/>
        <v>#N/A</v>
      </c>
      <c r="CE953">
        <f t="shared" ca="1" si="1882"/>
        <v>0</v>
      </c>
      <c r="CF953">
        <f t="shared" ca="1" si="1883"/>
        <v>24</v>
      </c>
      <c r="CH953" s="112" t="str">
        <f t="shared" ca="1" si="1951"/>
        <v/>
      </c>
      <c r="CI953" t="e">
        <f t="shared" ca="1" si="2068"/>
        <v>#N/A</v>
      </c>
      <c r="CJ953" t="e">
        <f t="shared" ref="CJ953" ca="1" si="2071">IF(AND(CI953=0,CJ954=0,CJ955=0,CC953&lt;100000),1,0)</f>
        <v>#N/A</v>
      </c>
      <c r="CK953" s="112" t="e">
        <f t="shared" ca="1" si="1956"/>
        <v>#N/A</v>
      </c>
      <c r="CM953" s="112"/>
      <c r="CN953" s="260" t="e">
        <f t="shared" ca="1" si="1901"/>
        <v>#N/A</v>
      </c>
      <c r="CO953" s="112" t="e">
        <f t="shared" ca="1" si="2070"/>
        <v>#N/A</v>
      </c>
      <c r="CP953" s="238">
        <f t="shared" ca="1" si="1957"/>
        <v>0</v>
      </c>
      <c r="CQ953" s="328">
        <f t="shared" ca="1" si="1958"/>
        <v>24</v>
      </c>
      <c r="CS953" s="112">
        <f t="shared" ca="1" si="1876"/>
        <v>100000</v>
      </c>
      <c r="CT953" s="112" t="e">
        <f t="shared" ca="1" si="1910"/>
        <v>#N/A</v>
      </c>
      <c r="CU953" s="238">
        <f t="shared" ca="1" si="1887"/>
        <v>0</v>
      </c>
      <c r="CV953" s="238">
        <f t="shared" ca="1" si="1888"/>
        <v>24</v>
      </c>
      <c r="CY953">
        <f t="shared" si="1892"/>
        <v>383</v>
      </c>
      <c r="DA953" s="112">
        <f t="shared" ca="1" si="1893"/>
        <v>100000</v>
      </c>
      <c r="DE953" t="str">
        <f t="shared" si="1889"/>
        <v>cs:dc771</v>
      </c>
      <c r="DF953" t="e">
        <f t="shared" ca="1" si="1890"/>
        <v>#REF!</v>
      </c>
    </row>
    <row r="954" spans="47:110" x14ac:dyDescent="0.25">
      <c r="AU954" s="112"/>
      <c r="AV954" s="112"/>
      <c r="BQ954" s="238">
        <f t="shared" si="2067"/>
        <v>647</v>
      </c>
      <c r="BR954" t="s">
        <v>447</v>
      </c>
      <c r="BS954" t="s">
        <v>448</v>
      </c>
      <c r="BT954" s="114" t="e">
        <f t="shared" ca="1" si="2039"/>
        <v>#N/A</v>
      </c>
      <c r="BU954" s="112"/>
      <c r="BV954" t="e">
        <f t="shared" ca="1" si="1917"/>
        <v>#N/A</v>
      </c>
      <c r="BW954" s="112" t="e">
        <f t="shared" ca="1" si="1872"/>
        <v>#N/A</v>
      </c>
      <c r="BX954" s="112" t="e">
        <f t="shared" ref="BX954:BX955" ca="1" si="2072">INDIRECT(CONCATENATE(BS954,BQ954))</f>
        <v>#N/A</v>
      </c>
      <c r="BY954">
        <f t="shared" ca="1" si="1905"/>
        <v>0</v>
      </c>
      <c r="BZ954">
        <f t="shared" ca="1" si="1906"/>
        <v>24</v>
      </c>
      <c r="CB954" t="e">
        <f t="shared" ca="1" si="1879"/>
        <v>#N/A</v>
      </c>
      <c r="CC954" s="112" t="e">
        <f t="shared" ca="1" si="1880"/>
        <v>#N/A</v>
      </c>
      <c r="CD954" s="112" t="e">
        <f t="shared" ca="1" si="1881"/>
        <v>#N/A</v>
      </c>
      <c r="CE954">
        <f t="shared" ca="1" si="1882"/>
        <v>0</v>
      </c>
      <c r="CF954">
        <f t="shared" ca="1" si="1883"/>
        <v>24</v>
      </c>
      <c r="CH954" s="112" t="str">
        <f t="shared" ca="1" si="1951"/>
        <v/>
      </c>
      <c r="CI954" t="e">
        <f t="shared" ca="1" si="2068"/>
        <v>#N/A</v>
      </c>
      <c r="CJ954" t="e">
        <f t="shared" ref="CJ954" ca="1" si="2073">IF(AND(CI954=0,CJ955=0,CC954&lt;100000),1,0)</f>
        <v>#N/A</v>
      </c>
      <c r="CK954" s="112" t="e">
        <f t="shared" ca="1" si="1956"/>
        <v>#N/A</v>
      </c>
      <c r="CM954" s="112"/>
      <c r="CN954" s="260" t="e">
        <f t="shared" ca="1" si="1901"/>
        <v>#N/A</v>
      </c>
      <c r="CO954" s="112" t="e">
        <f t="shared" ca="1" si="2070"/>
        <v>#N/A</v>
      </c>
      <c r="CP954" s="238">
        <f t="shared" ca="1" si="1957"/>
        <v>0</v>
      </c>
      <c r="CQ954" s="328">
        <f t="shared" ca="1" si="1958"/>
        <v>24</v>
      </c>
      <c r="CS954" s="112">
        <f t="shared" ca="1" si="1876"/>
        <v>100000</v>
      </c>
      <c r="CT954" s="112" t="e">
        <f t="shared" ca="1" si="1910"/>
        <v>#N/A</v>
      </c>
      <c r="CU954" s="238">
        <f t="shared" ca="1" si="1887"/>
        <v>0</v>
      </c>
      <c r="CV954" s="238">
        <f t="shared" ca="1" si="1888"/>
        <v>24</v>
      </c>
      <c r="CY954">
        <f t="shared" si="1892"/>
        <v>384</v>
      </c>
      <c r="DA954" s="112">
        <f t="shared" ca="1" si="1893"/>
        <v>100000</v>
      </c>
      <c r="DE954" t="str">
        <f t="shared" si="1889"/>
        <v>cs:dc771</v>
      </c>
      <c r="DF954" t="e">
        <f t="shared" ca="1" si="1890"/>
        <v>#REF!</v>
      </c>
    </row>
    <row r="955" spans="47:110" ht="15.75" thickBot="1" x14ac:dyDescent="0.3">
      <c r="AU955" s="112"/>
      <c r="AV955" s="112"/>
      <c r="BQ955" s="238">
        <f t="shared" si="2067"/>
        <v>647</v>
      </c>
      <c r="BR955" t="s">
        <v>448</v>
      </c>
      <c r="BS955" t="s">
        <v>449</v>
      </c>
      <c r="BT955" s="114" t="e">
        <f t="shared" ca="1" si="2039"/>
        <v>#N/A</v>
      </c>
      <c r="BU955" s="112"/>
      <c r="BV955" t="e">
        <f t="shared" ca="1" si="1917"/>
        <v>#N/A</v>
      </c>
      <c r="BW955" s="112" t="e">
        <f t="shared" ref="BW955:BW1018" ca="1" si="2074">INDIRECT(CONCATENATE(BR955,BQ955))</f>
        <v>#N/A</v>
      </c>
      <c r="BX955" s="112" t="str">
        <f t="shared" ca="1" si="2072"/>
        <v/>
      </c>
      <c r="BY955">
        <f t="shared" ca="1" si="1905"/>
        <v>0</v>
      </c>
      <c r="BZ955">
        <f t="shared" ca="1" si="1906"/>
        <v>24</v>
      </c>
      <c r="CB955" t="e">
        <f t="shared" ca="1" si="1879"/>
        <v>#N/A</v>
      </c>
      <c r="CC955" s="112" t="e">
        <f t="shared" ca="1" si="1880"/>
        <v>#N/A</v>
      </c>
      <c r="CD955" s="112" t="str">
        <f t="shared" ca="1" si="1881"/>
        <v/>
      </c>
      <c r="CE955">
        <f t="shared" ca="1" si="1882"/>
        <v>0</v>
      </c>
      <c r="CF955">
        <f t="shared" ca="1" si="1883"/>
        <v>24</v>
      </c>
      <c r="CH955" s="112" t="str">
        <f t="shared" ca="1" si="1951"/>
        <v/>
      </c>
      <c r="CI955" t="e">
        <f t="shared" ca="1" si="2068"/>
        <v>#N/A</v>
      </c>
      <c r="CJ955" t="e">
        <f t="shared" ref="CJ955" ca="1" si="2075">IF(AND(CI955=0,CC955&lt;100000),1,0)</f>
        <v>#N/A</v>
      </c>
      <c r="CK955" s="112" t="e">
        <f t="shared" ca="1" si="1956"/>
        <v>#N/A</v>
      </c>
      <c r="CM955" s="112"/>
      <c r="CN955" s="261" t="e">
        <f t="shared" ref="CN955" ca="1" si="2076">IF(AND(CN951=100000,CN952=100000,CN953=100000,CN954=100000),INDIRECT(CONCATENATE("aa",BQ955)),CC955)</f>
        <v>#N/A</v>
      </c>
      <c r="CO955" s="324" t="e">
        <f t="shared" ca="1" si="2070"/>
        <v>#N/A</v>
      </c>
      <c r="CP955" s="256">
        <f t="shared" ca="1" si="1957"/>
        <v>0</v>
      </c>
      <c r="CQ955" s="329">
        <f t="shared" ca="1" si="1958"/>
        <v>24</v>
      </c>
      <c r="CS955" s="112">
        <f t="shared" ref="CS955:CS1018" ca="1" si="2077">IF(TYPE(CN955)=16,100000,CN955)</f>
        <v>100000</v>
      </c>
      <c r="CT955" s="112" t="e">
        <f t="shared" ca="1" si="1910"/>
        <v>#N/A</v>
      </c>
      <c r="CU955" s="238">
        <f t="shared" ca="1" si="1887"/>
        <v>0</v>
      </c>
      <c r="CV955" s="238">
        <f t="shared" ca="1" si="1888"/>
        <v>24</v>
      </c>
      <c r="CY955">
        <f t="shared" si="1892"/>
        <v>385</v>
      </c>
      <c r="DA955" s="112">
        <f t="shared" ca="1" si="1893"/>
        <v>100000</v>
      </c>
      <c r="DE955" t="str">
        <f t="shared" si="1889"/>
        <v>cs:dc771</v>
      </c>
      <c r="DF955" t="e">
        <f t="shared" ca="1" si="1890"/>
        <v>#REF!</v>
      </c>
    </row>
    <row r="956" spans="47:110" x14ac:dyDescent="0.25">
      <c r="AU956" s="112"/>
      <c r="AV956" s="112"/>
      <c r="BQ956" s="238">
        <f t="shared" ref="BQ956" si="2078">BQ955+1</f>
        <v>648</v>
      </c>
      <c r="BR956" s="112" t="s">
        <v>444</v>
      </c>
      <c r="BS956" s="112" t="s">
        <v>445</v>
      </c>
      <c r="BT956" s="114" t="e">
        <f t="shared" ca="1" si="2039"/>
        <v>#N/A</v>
      </c>
      <c r="BU956" s="112"/>
      <c r="BV956">
        <f t="shared" ca="1" si="1917"/>
        <v>0</v>
      </c>
      <c r="BW956" s="112" t="str">
        <f t="shared" ca="1" si="2074"/>
        <v/>
      </c>
      <c r="BX956" s="112" t="e">
        <f t="shared" ref="BX956:BX958" ca="1" si="2079">INDIRECT(CONCATENATE(BS956,BQ956))-1</f>
        <v>#N/A</v>
      </c>
      <c r="BY956">
        <f t="shared" ca="1" si="1905"/>
        <v>0</v>
      </c>
      <c r="BZ956">
        <f t="shared" ca="1" si="1906"/>
        <v>24</v>
      </c>
      <c r="CB956" t="e">
        <f t="shared" ref="CB956:CB1019" ca="1" si="2080">IF(AND(CC956&lt;&gt;100000,CD956=INDIRECT(CONCATENATE("aq",BQ956))),1,0)</f>
        <v>#N/A</v>
      </c>
      <c r="CC956" s="112" t="e">
        <f t="shared" ref="CC956:CC1019" ca="1" si="2081">IF(OR(BV956=0,BW956&gt;BX956),100000,BW956)</f>
        <v>#N/A</v>
      </c>
      <c r="CD956" s="112" t="e">
        <f t="shared" ref="CD956:CD1019" ca="1" si="2082">BX956</f>
        <v>#N/A</v>
      </c>
      <c r="CE956">
        <f t="shared" ref="CE956:CE1019" ca="1" si="2083">BY956</f>
        <v>0</v>
      </c>
      <c r="CF956">
        <f t="shared" ref="CF956:CF1019" ca="1" si="2084">BZ956</f>
        <v>24</v>
      </c>
      <c r="CH956" s="112" t="str">
        <f t="shared" ca="1" si="1951"/>
        <v/>
      </c>
      <c r="CI956" t="e">
        <f t="shared" ref="CI956" ca="1" si="2085">CB956+CB957+CB958+CB959+CB960</f>
        <v>#N/A</v>
      </c>
      <c r="CJ956">
        <v>0</v>
      </c>
      <c r="CK956" s="112" t="str">
        <f t="shared" ca="1" si="1956"/>
        <v/>
      </c>
      <c r="CM956" s="112"/>
      <c r="CN956" s="408" t="e">
        <f t="shared" ca="1" si="1901"/>
        <v>#N/A</v>
      </c>
      <c r="CO956" s="326" t="e">
        <f t="shared" ref="CO956" ca="1" si="2086">CD956</f>
        <v>#N/A</v>
      </c>
      <c r="CP956" s="333">
        <f t="shared" ca="1" si="1957"/>
        <v>0</v>
      </c>
      <c r="CQ956" s="327">
        <f t="shared" ca="1" si="1958"/>
        <v>24</v>
      </c>
      <c r="CS956" s="112">
        <f t="shared" ca="1" si="2077"/>
        <v>100000</v>
      </c>
      <c r="CT956" s="112" t="e">
        <f t="shared" ref="CT956" ca="1" si="2087">IF(AND( CN957=100000,CN958=100000,CN959=100000,CN960=100000),CO960,                             CO956)</f>
        <v>#N/A</v>
      </c>
      <c r="CU956" s="238">
        <f t="shared" ref="CU956:CU1019" ca="1" si="2088">CP956</f>
        <v>0</v>
      </c>
      <c r="CV956" s="238">
        <f t="shared" ref="CV956:CV1019" ca="1" si="2089">CQ956</f>
        <v>24</v>
      </c>
      <c r="CY956">
        <f t="shared" si="1892"/>
        <v>386</v>
      </c>
      <c r="DA956" s="112">
        <f t="shared" ca="1" si="1893"/>
        <v>100000</v>
      </c>
      <c r="DE956" t="str">
        <f t="shared" ref="DE956:DE1019" si="2090">CONCATENATE("cs",DC956,":dc771")</f>
        <v>cs:dc771</v>
      </c>
      <c r="DF956" t="e">
        <f t="shared" ref="DF956:DF1019" ca="1" si="2091">VLOOKUP(DA956,INDIRECT(DE956),11,FALSE)</f>
        <v>#REF!</v>
      </c>
    </row>
    <row r="957" spans="47:110" x14ac:dyDescent="0.25">
      <c r="AU957" s="112"/>
      <c r="AV957" s="112"/>
      <c r="BQ957" s="238">
        <f t="shared" ref="BQ957:BQ960" si="2092">BQ956</f>
        <v>648</v>
      </c>
      <c r="BR957" t="s">
        <v>445</v>
      </c>
      <c r="BS957" t="s">
        <v>446</v>
      </c>
      <c r="BT957" s="114" t="e">
        <f t="shared" ca="1" si="2039"/>
        <v>#N/A</v>
      </c>
      <c r="BU957" s="112"/>
      <c r="BV957" t="e">
        <f t="shared" ca="1" si="1917"/>
        <v>#N/A</v>
      </c>
      <c r="BW957" s="112" t="e">
        <f t="shared" ca="1" si="2074"/>
        <v>#N/A</v>
      </c>
      <c r="BX957" s="112" t="e">
        <f t="shared" ca="1" si="2079"/>
        <v>#N/A</v>
      </c>
      <c r="BY957">
        <f t="shared" ca="1" si="1905"/>
        <v>0</v>
      </c>
      <c r="BZ957">
        <f t="shared" ca="1" si="1906"/>
        <v>24</v>
      </c>
      <c r="CB957" t="e">
        <f t="shared" ca="1" si="2080"/>
        <v>#N/A</v>
      </c>
      <c r="CC957" s="112" t="e">
        <f t="shared" ca="1" si="2081"/>
        <v>#N/A</v>
      </c>
      <c r="CD957" s="112" t="e">
        <f t="shared" ca="1" si="2082"/>
        <v>#N/A</v>
      </c>
      <c r="CE957">
        <f t="shared" ca="1" si="2083"/>
        <v>0</v>
      </c>
      <c r="CF957">
        <f t="shared" ca="1" si="2084"/>
        <v>24</v>
      </c>
      <c r="CH957" s="112" t="str">
        <f t="shared" ca="1" si="1951"/>
        <v/>
      </c>
      <c r="CI957" t="e">
        <f t="shared" ref="CI957:CI960" ca="1" si="2093">CI956</f>
        <v>#N/A</v>
      </c>
      <c r="CJ957" t="e">
        <f t="shared" ref="CJ957" ca="1" si="2094">IF(AND(CI957=0,CJ958=0,CJ959=0,CJ960=0,CC957&lt;100000),1,0)</f>
        <v>#N/A</v>
      </c>
      <c r="CK957" s="112" t="e">
        <f t="shared" ca="1" si="1956"/>
        <v>#N/A</v>
      </c>
      <c r="CM957" s="112"/>
      <c r="CN957" s="260" t="e">
        <f t="shared" ca="1" si="1901"/>
        <v>#N/A</v>
      </c>
      <c r="CO957" s="112" t="e">
        <f t="shared" ref="CO957:CO960" ca="1" si="2095">IF(CJ957=1,CH957,CD957)</f>
        <v>#N/A</v>
      </c>
      <c r="CP957" s="238">
        <f t="shared" ca="1" si="1957"/>
        <v>0</v>
      </c>
      <c r="CQ957" s="328">
        <f t="shared" ca="1" si="1958"/>
        <v>24</v>
      </c>
      <c r="CS957" s="112">
        <f t="shared" ca="1" si="2077"/>
        <v>100000</v>
      </c>
      <c r="CT957" s="112" t="e">
        <f t="shared" ca="1" si="1910"/>
        <v>#N/A</v>
      </c>
      <c r="CU957" s="238">
        <f t="shared" ca="1" si="2088"/>
        <v>0</v>
      </c>
      <c r="CV957" s="238">
        <f t="shared" ca="1" si="2089"/>
        <v>24</v>
      </c>
      <c r="CY957">
        <f t="shared" ref="CY957:CY1020" si="2096">CY956+1</f>
        <v>387</v>
      </c>
      <c r="DA957" s="112">
        <f t="shared" ref="DA957:DA959" ca="1" si="2097">SMALL($CS$571:$CS$1100,CY957)</f>
        <v>100000</v>
      </c>
      <c r="DE957" t="str">
        <f t="shared" si="2090"/>
        <v>cs:dc771</v>
      </c>
      <c r="DF957" t="e">
        <f t="shared" ca="1" si="2091"/>
        <v>#REF!</v>
      </c>
    </row>
    <row r="958" spans="47:110" x14ac:dyDescent="0.25">
      <c r="AU958" s="112"/>
      <c r="AV958" s="112"/>
      <c r="BQ958" s="238">
        <f t="shared" si="2092"/>
        <v>648</v>
      </c>
      <c r="BR958" t="s">
        <v>446</v>
      </c>
      <c r="BS958" t="s">
        <v>447</v>
      </c>
      <c r="BT958" s="114" t="e">
        <f t="shared" ca="1" si="2039"/>
        <v>#N/A</v>
      </c>
      <c r="BU958" s="112"/>
      <c r="BV958" t="e">
        <f t="shared" ca="1" si="1917"/>
        <v>#N/A</v>
      </c>
      <c r="BW958" s="112" t="e">
        <f t="shared" ca="1" si="2074"/>
        <v>#N/A</v>
      </c>
      <c r="BX958" s="112" t="e">
        <f t="shared" ca="1" si="2079"/>
        <v>#N/A</v>
      </c>
      <c r="BY958">
        <f t="shared" ca="1" si="1905"/>
        <v>0</v>
      </c>
      <c r="BZ958">
        <f t="shared" ca="1" si="1906"/>
        <v>24</v>
      </c>
      <c r="CB958" t="e">
        <f t="shared" ca="1" si="2080"/>
        <v>#N/A</v>
      </c>
      <c r="CC958" s="112" t="e">
        <f t="shared" ca="1" si="2081"/>
        <v>#N/A</v>
      </c>
      <c r="CD958" s="112" t="e">
        <f t="shared" ca="1" si="2082"/>
        <v>#N/A</v>
      </c>
      <c r="CE958">
        <f t="shared" ca="1" si="2083"/>
        <v>0</v>
      </c>
      <c r="CF958">
        <f t="shared" ca="1" si="2084"/>
        <v>24</v>
      </c>
      <c r="CH958" s="112" t="str">
        <f t="shared" ca="1" si="1951"/>
        <v/>
      </c>
      <c r="CI958" t="e">
        <f t="shared" ca="1" si="2093"/>
        <v>#N/A</v>
      </c>
      <c r="CJ958" t="e">
        <f t="shared" ref="CJ958" ca="1" si="2098">IF(AND(CI958=0,CJ959=0,CJ960=0,CC958&lt;100000),1,0)</f>
        <v>#N/A</v>
      </c>
      <c r="CK958" s="112" t="e">
        <f t="shared" ca="1" si="1956"/>
        <v>#N/A</v>
      </c>
      <c r="CM958" s="112"/>
      <c r="CN958" s="260" t="e">
        <f t="shared" ca="1" si="1901"/>
        <v>#N/A</v>
      </c>
      <c r="CO958" s="112" t="e">
        <f t="shared" ca="1" si="2095"/>
        <v>#N/A</v>
      </c>
      <c r="CP958" s="238">
        <f t="shared" ca="1" si="1957"/>
        <v>0</v>
      </c>
      <c r="CQ958" s="328">
        <f t="shared" ca="1" si="1958"/>
        <v>24</v>
      </c>
      <c r="CS958" s="112">
        <f t="shared" ca="1" si="2077"/>
        <v>100000</v>
      </c>
      <c r="CT958" s="112" t="e">
        <f t="shared" ca="1" si="1910"/>
        <v>#N/A</v>
      </c>
      <c r="CU958" s="238">
        <f t="shared" ca="1" si="2088"/>
        <v>0</v>
      </c>
      <c r="CV958" s="238">
        <f t="shared" ca="1" si="2089"/>
        <v>24</v>
      </c>
      <c r="CY958">
        <f t="shared" si="2096"/>
        <v>388</v>
      </c>
      <c r="DA958" s="112">
        <f t="shared" ca="1" si="2097"/>
        <v>100000</v>
      </c>
      <c r="DE958" t="str">
        <f t="shared" si="2090"/>
        <v>cs:dc771</v>
      </c>
      <c r="DF958" t="e">
        <f t="shared" ca="1" si="2091"/>
        <v>#REF!</v>
      </c>
    </row>
    <row r="959" spans="47:110" x14ac:dyDescent="0.25">
      <c r="AU959" s="112"/>
      <c r="AV959" s="112"/>
      <c r="BQ959" s="238">
        <f t="shared" si="2092"/>
        <v>648</v>
      </c>
      <c r="BR959" t="s">
        <v>447</v>
      </c>
      <c r="BS959" t="s">
        <v>448</v>
      </c>
      <c r="BT959" s="114" t="e">
        <f t="shared" ca="1" si="2039"/>
        <v>#N/A</v>
      </c>
      <c r="BU959" s="112"/>
      <c r="BV959" t="e">
        <f t="shared" ca="1" si="1917"/>
        <v>#N/A</v>
      </c>
      <c r="BW959" s="112" t="e">
        <f t="shared" ca="1" si="2074"/>
        <v>#N/A</v>
      </c>
      <c r="BX959" s="112" t="e">
        <f t="shared" ref="BX959:BX960" ca="1" si="2099">INDIRECT(CONCATENATE(BS959,BQ959))</f>
        <v>#N/A</v>
      </c>
      <c r="BY959">
        <f t="shared" ca="1" si="1905"/>
        <v>0</v>
      </c>
      <c r="BZ959">
        <f t="shared" ca="1" si="1906"/>
        <v>24</v>
      </c>
      <c r="CB959" t="e">
        <f t="shared" ca="1" si="2080"/>
        <v>#N/A</v>
      </c>
      <c r="CC959" s="112" t="e">
        <f t="shared" ca="1" si="2081"/>
        <v>#N/A</v>
      </c>
      <c r="CD959" s="112" t="e">
        <f t="shared" ca="1" si="2082"/>
        <v>#N/A</v>
      </c>
      <c r="CE959">
        <f t="shared" ca="1" si="2083"/>
        <v>0</v>
      </c>
      <c r="CF959">
        <f t="shared" ca="1" si="2084"/>
        <v>24</v>
      </c>
      <c r="CH959" s="112" t="str">
        <f t="shared" ca="1" si="1951"/>
        <v/>
      </c>
      <c r="CI959" t="e">
        <f t="shared" ca="1" si="2093"/>
        <v>#N/A</v>
      </c>
      <c r="CJ959" t="e">
        <f t="shared" ref="CJ959" ca="1" si="2100">IF(AND(CI959=0,CJ960=0,CC959&lt;100000),1,0)</f>
        <v>#N/A</v>
      </c>
      <c r="CK959" s="112" t="e">
        <f t="shared" ca="1" si="1956"/>
        <v>#N/A</v>
      </c>
      <c r="CM959" s="112"/>
      <c r="CN959" s="260" t="e">
        <f t="shared" ca="1" si="1901"/>
        <v>#N/A</v>
      </c>
      <c r="CO959" s="112" t="e">
        <f t="shared" ca="1" si="2095"/>
        <v>#N/A</v>
      </c>
      <c r="CP959" s="238">
        <f t="shared" ca="1" si="1957"/>
        <v>0</v>
      </c>
      <c r="CQ959" s="328">
        <f t="shared" ca="1" si="1958"/>
        <v>24</v>
      </c>
      <c r="CS959" s="112">
        <f t="shared" ca="1" si="2077"/>
        <v>100000</v>
      </c>
      <c r="CT959" s="112" t="e">
        <f t="shared" ca="1" si="1910"/>
        <v>#N/A</v>
      </c>
      <c r="CU959" s="238">
        <f t="shared" ca="1" si="2088"/>
        <v>0</v>
      </c>
      <c r="CV959" s="238">
        <f t="shared" ca="1" si="2089"/>
        <v>24</v>
      </c>
      <c r="CY959">
        <f t="shared" si="2096"/>
        <v>389</v>
      </c>
      <c r="DA959" s="112">
        <f t="shared" ca="1" si="2097"/>
        <v>100000</v>
      </c>
      <c r="DE959" t="str">
        <f t="shared" si="2090"/>
        <v>cs:dc771</v>
      </c>
      <c r="DF959" t="e">
        <f t="shared" ca="1" si="2091"/>
        <v>#REF!</v>
      </c>
    </row>
    <row r="960" spans="47:110" ht="15.75" thickBot="1" x14ac:dyDescent="0.3">
      <c r="AU960" s="112"/>
      <c r="AV960" s="112"/>
      <c r="BQ960" s="238">
        <f t="shared" si="2092"/>
        <v>648</v>
      </c>
      <c r="BR960" t="s">
        <v>448</v>
      </c>
      <c r="BS960" t="s">
        <v>449</v>
      </c>
      <c r="BT960" s="114" t="e">
        <f t="shared" ca="1" si="2039"/>
        <v>#N/A</v>
      </c>
      <c r="BU960" s="112"/>
      <c r="BV960" t="e">
        <f t="shared" ca="1" si="1917"/>
        <v>#N/A</v>
      </c>
      <c r="BW960" s="112" t="e">
        <f t="shared" ca="1" si="2074"/>
        <v>#N/A</v>
      </c>
      <c r="BX960" s="112" t="str">
        <f t="shared" ca="1" si="2099"/>
        <v/>
      </c>
      <c r="BY960">
        <f t="shared" ca="1" si="1905"/>
        <v>0</v>
      </c>
      <c r="BZ960">
        <f t="shared" ca="1" si="1906"/>
        <v>24</v>
      </c>
      <c r="CB960" t="e">
        <f t="shared" ca="1" si="2080"/>
        <v>#N/A</v>
      </c>
      <c r="CC960" s="112" t="e">
        <f t="shared" ca="1" si="2081"/>
        <v>#N/A</v>
      </c>
      <c r="CD960" s="112" t="str">
        <f t="shared" ca="1" si="2082"/>
        <v/>
      </c>
      <c r="CE960">
        <f t="shared" ca="1" si="2083"/>
        <v>0</v>
      </c>
      <c r="CF960">
        <f t="shared" ca="1" si="2084"/>
        <v>24</v>
      </c>
      <c r="CH960" s="112" t="str">
        <f t="shared" ca="1" si="1951"/>
        <v/>
      </c>
      <c r="CI960" t="e">
        <f t="shared" ca="1" si="2093"/>
        <v>#N/A</v>
      </c>
      <c r="CJ960" t="e">
        <f t="shared" ref="CJ960" ca="1" si="2101">IF(AND(CI960=0,CC960&lt;100000),1,0)</f>
        <v>#N/A</v>
      </c>
      <c r="CK960" s="112" t="e">
        <f t="shared" ca="1" si="1956"/>
        <v>#N/A</v>
      </c>
      <c r="CM960" s="112"/>
      <c r="CN960" s="261" t="e">
        <f t="shared" ref="CN960" ca="1" si="2102">IF(AND(CN956=100000,CN957=100000,CN958=100000,CN959=100000),INDIRECT(CONCATENATE("aa",BQ960)),CC960)</f>
        <v>#N/A</v>
      </c>
      <c r="CO960" s="324" t="e">
        <f t="shared" ca="1" si="2095"/>
        <v>#N/A</v>
      </c>
      <c r="CP960" s="256">
        <f t="shared" ca="1" si="1957"/>
        <v>0</v>
      </c>
      <c r="CQ960" s="329">
        <f t="shared" ca="1" si="1958"/>
        <v>24</v>
      </c>
      <c r="CS960" s="112">
        <f t="shared" ca="1" si="2077"/>
        <v>100000</v>
      </c>
      <c r="CT960" s="112" t="e">
        <f t="shared" ca="1" si="1910"/>
        <v>#N/A</v>
      </c>
      <c r="CU960" s="238">
        <f t="shared" ca="1" si="2088"/>
        <v>0</v>
      </c>
      <c r="CV960" s="238">
        <f t="shared" ca="1" si="2089"/>
        <v>24</v>
      </c>
      <c r="CY960">
        <f t="shared" si="2096"/>
        <v>390</v>
      </c>
      <c r="DE960" t="str">
        <f t="shared" si="2090"/>
        <v>cs:dc771</v>
      </c>
      <c r="DF960" t="e">
        <f t="shared" ca="1" si="2091"/>
        <v>#REF!</v>
      </c>
    </row>
    <row r="961" spans="47:110" x14ac:dyDescent="0.25">
      <c r="AU961" s="112"/>
      <c r="AV961" s="112"/>
      <c r="BQ961" s="238">
        <f t="shared" ref="BQ961" si="2103">BQ960+1</f>
        <v>649</v>
      </c>
      <c r="BR961" s="112" t="s">
        <v>444</v>
      </c>
      <c r="BS961" s="112" t="s">
        <v>445</v>
      </c>
      <c r="BT961" s="114" t="e">
        <f t="shared" ca="1" si="2039"/>
        <v>#N/A</v>
      </c>
      <c r="BU961" s="112"/>
      <c r="BV961">
        <f t="shared" ca="1" si="1917"/>
        <v>0</v>
      </c>
      <c r="BW961" s="112" t="str">
        <f t="shared" ca="1" si="2074"/>
        <v/>
      </c>
      <c r="BX961" s="112" t="e">
        <f t="shared" ref="BX961:BX963" ca="1" si="2104">INDIRECT(CONCATENATE(BS961,BQ961))-1</f>
        <v>#N/A</v>
      </c>
      <c r="BY961">
        <f t="shared" ref="BY961:BY1024" ca="1" si="2105">INDIRECT(CONCATENATE("ag",BQ961))</f>
        <v>0</v>
      </c>
      <c r="BZ961">
        <f t="shared" ref="BZ961:BZ1024" ca="1" si="2106">INDIRECT(CONCATENATE("ah",BQ961))</f>
        <v>24</v>
      </c>
      <c r="CB961" t="e">
        <f t="shared" ca="1" si="2080"/>
        <v>#N/A</v>
      </c>
      <c r="CC961" s="112" t="e">
        <f t="shared" ca="1" si="2081"/>
        <v>#N/A</v>
      </c>
      <c r="CD961" s="112" t="e">
        <f t="shared" ca="1" si="2082"/>
        <v>#N/A</v>
      </c>
      <c r="CE961">
        <f t="shared" ca="1" si="2083"/>
        <v>0</v>
      </c>
      <c r="CF961">
        <f t="shared" ca="1" si="2084"/>
        <v>24</v>
      </c>
      <c r="CH961" s="112" t="str">
        <f t="shared" ca="1" si="1951"/>
        <v/>
      </c>
      <c r="CI961" t="e">
        <f t="shared" ref="CI961" ca="1" si="2107">CB961+CB962+CB963+CB964+CB965</f>
        <v>#N/A</v>
      </c>
      <c r="CJ961">
        <v>0</v>
      </c>
      <c r="CK961" s="112" t="str">
        <f t="shared" ca="1" si="1956"/>
        <v/>
      </c>
      <c r="CM961" s="112"/>
      <c r="CN961" s="408" t="e">
        <f t="shared" ref="CN961:CN1024" ca="1" si="2108">CC961</f>
        <v>#N/A</v>
      </c>
      <c r="CO961" s="326" t="e">
        <f t="shared" ref="CO961" ca="1" si="2109">CD961</f>
        <v>#N/A</v>
      </c>
      <c r="CP961" s="333">
        <f t="shared" ca="1" si="1957"/>
        <v>0</v>
      </c>
      <c r="CQ961" s="327">
        <f t="shared" ca="1" si="1958"/>
        <v>24</v>
      </c>
      <c r="CS961" s="112">
        <f t="shared" ca="1" si="2077"/>
        <v>100000</v>
      </c>
      <c r="CT961" s="112" t="e">
        <f t="shared" ref="CT961" ca="1" si="2110">IF(AND( CN962=100000,CN963=100000,CN964=100000,CN965=100000),CO965,                             CO961)</f>
        <v>#N/A</v>
      </c>
      <c r="CU961" s="238">
        <f t="shared" ca="1" si="2088"/>
        <v>0</v>
      </c>
      <c r="CV961" s="238">
        <f t="shared" ca="1" si="2089"/>
        <v>24</v>
      </c>
      <c r="CY961">
        <f t="shared" si="2096"/>
        <v>391</v>
      </c>
      <c r="DE961" t="str">
        <f t="shared" si="2090"/>
        <v>cs:dc771</v>
      </c>
      <c r="DF961" t="e">
        <f t="shared" ca="1" si="2091"/>
        <v>#REF!</v>
      </c>
    </row>
    <row r="962" spans="47:110" x14ac:dyDescent="0.25">
      <c r="AU962" s="112"/>
      <c r="AV962" s="112"/>
      <c r="BQ962" s="238">
        <f t="shared" ref="BQ962:BQ965" si="2111">BQ961</f>
        <v>649</v>
      </c>
      <c r="BR962" t="s">
        <v>445</v>
      </c>
      <c r="BS962" t="s">
        <v>446</v>
      </c>
      <c r="BT962" s="114" t="e">
        <f t="shared" ca="1" si="2039"/>
        <v>#N/A</v>
      </c>
      <c r="BU962" s="112"/>
      <c r="BV962" t="e">
        <f t="shared" ca="1" si="1917"/>
        <v>#N/A</v>
      </c>
      <c r="BW962" s="112" t="e">
        <f t="shared" ca="1" si="2074"/>
        <v>#N/A</v>
      </c>
      <c r="BX962" s="112" t="e">
        <f t="shared" ca="1" si="2104"/>
        <v>#N/A</v>
      </c>
      <c r="BY962">
        <f t="shared" ca="1" si="2105"/>
        <v>0</v>
      </c>
      <c r="BZ962">
        <f t="shared" ca="1" si="2106"/>
        <v>24</v>
      </c>
      <c r="CB962" t="e">
        <f t="shared" ca="1" si="2080"/>
        <v>#N/A</v>
      </c>
      <c r="CC962" s="112" t="e">
        <f t="shared" ca="1" si="2081"/>
        <v>#N/A</v>
      </c>
      <c r="CD962" s="112" t="e">
        <f t="shared" ca="1" si="2082"/>
        <v>#N/A</v>
      </c>
      <c r="CE962">
        <f t="shared" ca="1" si="2083"/>
        <v>0</v>
      </c>
      <c r="CF962">
        <f t="shared" ca="1" si="2084"/>
        <v>24</v>
      </c>
      <c r="CH962" s="112" t="str">
        <f t="shared" ca="1" si="1951"/>
        <v/>
      </c>
      <c r="CI962" t="e">
        <f t="shared" ref="CI962:CI965" ca="1" si="2112">CI961</f>
        <v>#N/A</v>
      </c>
      <c r="CJ962" t="e">
        <f t="shared" ref="CJ962" ca="1" si="2113">IF(AND(CI962=0,CJ963=0,CJ964=0,CJ965=0,CC962&lt;100000),1,0)</f>
        <v>#N/A</v>
      </c>
      <c r="CK962" s="112" t="e">
        <f t="shared" ca="1" si="1956"/>
        <v>#N/A</v>
      </c>
      <c r="CM962" s="112"/>
      <c r="CN962" s="260" t="e">
        <f t="shared" ca="1" si="2108"/>
        <v>#N/A</v>
      </c>
      <c r="CO962" s="112" t="e">
        <f t="shared" ref="CO962:CO965" ca="1" si="2114">IF(CJ962=1,CH962,CD962)</f>
        <v>#N/A</v>
      </c>
      <c r="CP962" s="238">
        <f t="shared" ca="1" si="1957"/>
        <v>0</v>
      </c>
      <c r="CQ962" s="328">
        <f t="shared" ca="1" si="1958"/>
        <v>24</v>
      </c>
      <c r="CS962" s="112">
        <f t="shared" ca="1" si="2077"/>
        <v>100000</v>
      </c>
      <c r="CT962" s="112" t="e">
        <f t="shared" ref="CT962:CT1025" ca="1" si="2115">CO962</f>
        <v>#N/A</v>
      </c>
      <c r="CU962" s="238">
        <f t="shared" ca="1" si="2088"/>
        <v>0</v>
      </c>
      <c r="CV962" s="238">
        <f t="shared" ca="1" si="2089"/>
        <v>24</v>
      </c>
      <c r="CY962">
        <f t="shared" si="2096"/>
        <v>392</v>
      </c>
      <c r="DE962" t="str">
        <f t="shared" si="2090"/>
        <v>cs:dc771</v>
      </c>
      <c r="DF962" t="e">
        <f t="shared" ca="1" si="2091"/>
        <v>#REF!</v>
      </c>
    </row>
    <row r="963" spans="47:110" x14ac:dyDescent="0.25">
      <c r="AU963" s="112"/>
      <c r="AV963" s="112"/>
      <c r="BQ963" s="238">
        <f t="shared" si="2111"/>
        <v>649</v>
      </c>
      <c r="BR963" t="s">
        <v>446</v>
      </c>
      <c r="BS963" t="s">
        <v>447</v>
      </c>
      <c r="BT963" s="114" t="e">
        <f t="shared" ca="1" si="2039"/>
        <v>#N/A</v>
      </c>
      <c r="BU963" s="112"/>
      <c r="BV963" t="e">
        <f t="shared" ca="1" si="1917"/>
        <v>#N/A</v>
      </c>
      <c r="BW963" s="112" t="e">
        <f t="shared" ca="1" si="2074"/>
        <v>#N/A</v>
      </c>
      <c r="BX963" s="112" t="e">
        <f t="shared" ca="1" si="2104"/>
        <v>#N/A</v>
      </c>
      <c r="BY963">
        <f t="shared" ca="1" si="2105"/>
        <v>0</v>
      </c>
      <c r="BZ963">
        <f t="shared" ca="1" si="2106"/>
        <v>24</v>
      </c>
      <c r="CB963" t="e">
        <f t="shared" ca="1" si="2080"/>
        <v>#N/A</v>
      </c>
      <c r="CC963" s="112" t="e">
        <f t="shared" ca="1" si="2081"/>
        <v>#N/A</v>
      </c>
      <c r="CD963" s="112" t="e">
        <f t="shared" ca="1" si="2082"/>
        <v>#N/A</v>
      </c>
      <c r="CE963">
        <f t="shared" ca="1" si="2083"/>
        <v>0</v>
      </c>
      <c r="CF963">
        <f t="shared" ca="1" si="2084"/>
        <v>24</v>
      </c>
      <c r="CH963" s="112" t="str">
        <f t="shared" ca="1" si="1951"/>
        <v/>
      </c>
      <c r="CI963" t="e">
        <f t="shared" ca="1" si="2112"/>
        <v>#N/A</v>
      </c>
      <c r="CJ963" t="e">
        <f t="shared" ref="CJ963" ca="1" si="2116">IF(AND(CI963=0,CJ964=0,CJ965=0,CC963&lt;100000),1,0)</f>
        <v>#N/A</v>
      </c>
      <c r="CK963" s="112" t="e">
        <f t="shared" ca="1" si="1956"/>
        <v>#N/A</v>
      </c>
      <c r="CM963" s="112"/>
      <c r="CN963" s="260" t="e">
        <f t="shared" ca="1" si="2108"/>
        <v>#N/A</v>
      </c>
      <c r="CO963" s="112" t="e">
        <f t="shared" ca="1" si="2114"/>
        <v>#N/A</v>
      </c>
      <c r="CP963" s="238">
        <f t="shared" ca="1" si="1957"/>
        <v>0</v>
      </c>
      <c r="CQ963" s="328">
        <f t="shared" ca="1" si="1958"/>
        <v>24</v>
      </c>
      <c r="CS963" s="112">
        <f t="shared" ca="1" si="2077"/>
        <v>100000</v>
      </c>
      <c r="CT963" s="112" t="e">
        <f t="shared" ca="1" si="2115"/>
        <v>#N/A</v>
      </c>
      <c r="CU963" s="238">
        <f t="shared" ca="1" si="2088"/>
        <v>0</v>
      </c>
      <c r="CV963" s="238">
        <f t="shared" ca="1" si="2089"/>
        <v>24</v>
      </c>
      <c r="CY963">
        <f t="shared" si="2096"/>
        <v>393</v>
      </c>
      <c r="DE963" t="str">
        <f t="shared" si="2090"/>
        <v>cs:dc771</v>
      </c>
      <c r="DF963" t="e">
        <f t="shared" ca="1" si="2091"/>
        <v>#REF!</v>
      </c>
    </row>
    <row r="964" spans="47:110" x14ac:dyDescent="0.25">
      <c r="AU964" s="112"/>
      <c r="AV964" s="112"/>
      <c r="BQ964" s="238">
        <f t="shared" si="2111"/>
        <v>649</v>
      </c>
      <c r="BR964" t="s">
        <v>447</v>
      </c>
      <c r="BS964" t="s">
        <v>448</v>
      </c>
      <c r="BT964" s="114" t="e">
        <f t="shared" ca="1" si="2039"/>
        <v>#N/A</v>
      </c>
      <c r="BU964" s="112"/>
      <c r="BV964" t="e">
        <f t="shared" ca="1" si="1917"/>
        <v>#N/A</v>
      </c>
      <c r="BW964" s="112" t="e">
        <f t="shared" ca="1" si="2074"/>
        <v>#N/A</v>
      </c>
      <c r="BX964" s="112" t="e">
        <f t="shared" ref="BX964:BX965" ca="1" si="2117">INDIRECT(CONCATENATE(BS964,BQ964))</f>
        <v>#N/A</v>
      </c>
      <c r="BY964">
        <f t="shared" ca="1" si="2105"/>
        <v>0</v>
      </c>
      <c r="BZ964">
        <f t="shared" ca="1" si="2106"/>
        <v>24</v>
      </c>
      <c r="CB964" t="e">
        <f t="shared" ca="1" si="2080"/>
        <v>#N/A</v>
      </c>
      <c r="CC964" s="112" t="e">
        <f t="shared" ca="1" si="2081"/>
        <v>#N/A</v>
      </c>
      <c r="CD964" s="112" t="e">
        <f t="shared" ca="1" si="2082"/>
        <v>#N/A</v>
      </c>
      <c r="CE964">
        <f t="shared" ca="1" si="2083"/>
        <v>0</v>
      </c>
      <c r="CF964">
        <f t="shared" ca="1" si="2084"/>
        <v>24</v>
      </c>
      <c r="CH964" s="112" t="str">
        <f t="shared" ca="1" si="1951"/>
        <v/>
      </c>
      <c r="CI964" t="e">
        <f t="shared" ca="1" si="2112"/>
        <v>#N/A</v>
      </c>
      <c r="CJ964" t="e">
        <f t="shared" ref="CJ964" ca="1" si="2118">IF(AND(CI964=0,CJ965=0,CC964&lt;100000),1,0)</f>
        <v>#N/A</v>
      </c>
      <c r="CK964" s="112" t="e">
        <f t="shared" ca="1" si="1956"/>
        <v>#N/A</v>
      </c>
      <c r="CM964" s="112"/>
      <c r="CN964" s="260" t="e">
        <f t="shared" ca="1" si="2108"/>
        <v>#N/A</v>
      </c>
      <c r="CO964" s="112" t="e">
        <f t="shared" ca="1" si="2114"/>
        <v>#N/A</v>
      </c>
      <c r="CP964" s="238">
        <f t="shared" ca="1" si="1957"/>
        <v>0</v>
      </c>
      <c r="CQ964" s="328">
        <f t="shared" ca="1" si="1958"/>
        <v>24</v>
      </c>
      <c r="CS964" s="112">
        <f t="shared" ca="1" si="2077"/>
        <v>100000</v>
      </c>
      <c r="CT964" s="112" t="e">
        <f t="shared" ca="1" si="2115"/>
        <v>#N/A</v>
      </c>
      <c r="CU964" s="238">
        <f t="shared" ca="1" si="2088"/>
        <v>0</v>
      </c>
      <c r="CV964" s="238">
        <f t="shared" ca="1" si="2089"/>
        <v>24</v>
      </c>
      <c r="CY964">
        <f t="shared" si="2096"/>
        <v>394</v>
      </c>
      <c r="DE964" t="str">
        <f t="shared" si="2090"/>
        <v>cs:dc771</v>
      </c>
      <c r="DF964" t="e">
        <f t="shared" ca="1" si="2091"/>
        <v>#REF!</v>
      </c>
    </row>
    <row r="965" spans="47:110" ht="15.75" thickBot="1" x14ac:dyDescent="0.3">
      <c r="AU965" s="112"/>
      <c r="AV965" s="112"/>
      <c r="BQ965" s="238">
        <f t="shared" si="2111"/>
        <v>649</v>
      </c>
      <c r="BR965" t="s">
        <v>448</v>
      </c>
      <c r="BS965" t="s">
        <v>449</v>
      </c>
      <c r="BT965" s="114" t="e">
        <f t="shared" ca="1" si="2039"/>
        <v>#N/A</v>
      </c>
      <c r="BU965" s="112"/>
      <c r="BV965" t="e">
        <f t="shared" ref="BV965:BV1028" ca="1" si="2119">IF(BW965=INDIRECT(CONCATENATE("bn",BQ965)),0,1)</f>
        <v>#N/A</v>
      </c>
      <c r="BW965" s="112" t="e">
        <f t="shared" ca="1" si="2074"/>
        <v>#N/A</v>
      </c>
      <c r="BX965" s="112" t="str">
        <f t="shared" ca="1" si="2117"/>
        <v/>
      </c>
      <c r="BY965">
        <f t="shared" ca="1" si="2105"/>
        <v>0</v>
      </c>
      <c r="BZ965">
        <f t="shared" ca="1" si="2106"/>
        <v>24</v>
      </c>
      <c r="CB965" t="e">
        <f t="shared" ca="1" si="2080"/>
        <v>#N/A</v>
      </c>
      <c r="CC965" s="112" t="e">
        <f t="shared" ca="1" si="2081"/>
        <v>#N/A</v>
      </c>
      <c r="CD965" s="112" t="str">
        <f t="shared" ca="1" si="2082"/>
        <v/>
      </c>
      <c r="CE965">
        <f t="shared" ca="1" si="2083"/>
        <v>0</v>
      </c>
      <c r="CF965">
        <f t="shared" ca="1" si="2084"/>
        <v>24</v>
      </c>
      <c r="CH965" s="112" t="str">
        <f t="shared" ca="1" si="1951"/>
        <v/>
      </c>
      <c r="CI965" t="e">
        <f t="shared" ca="1" si="2112"/>
        <v>#N/A</v>
      </c>
      <c r="CJ965" t="e">
        <f t="shared" ref="CJ965" ca="1" si="2120">IF(AND(CI965=0,CC965&lt;100000),1,0)</f>
        <v>#N/A</v>
      </c>
      <c r="CK965" s="112" t="e">
        <f t="shared" ca="1" si="1956"/>
        <v>#N/A</v>
      </c>
      <c r="CM965" s="112"/>
      <c r="CN965" s="261" t="e">
        <f t="shared" ref="CN965" ca="1" si="2121">IF(AND(CN961=100000,CN962=100000,CN963=100000,CN964=100000),INDIRECT(CONCATENATE("aa",BQ965)),CC965)</f>
        <v>#N/A</v>
      </c>
      <c r="CO965" s="324" t="e">
        <f t="shared" ca="1" si="2114"/>
        <v>#N/A</v>
      </c>
      <c r="CP965" s="256">
        <f t="shared" ca="1" si="1957"/>
        <v>0</v>
      </c>
      <c r="CQ965" s="329">
        <f t="shared" ca="1" si="1958"/>
        <v>24</v>
      </c>
      <c r="CS965" s="112">
        <f t="shared" ca="1" si="2077"/>
        <v>100000</v>
      </c>
      <c r="CT965" s="112" t="e">
        <f t="shared" ca="1" si="2115"/>
        <v>#N/A</v>
      </c>
      <c r="CU965" s="238">
        <f t="shared" ca="1" si="2088"/>
        <v>0</v>
      </c>
      <c r="CV965" s="238">
        <f t="shared" ca="1" si="2089"/>
        <v>24</v>
      </c>
      <c r="CY965">
        <f t="shared" si="2096"/>
        <v>395</v>
      </c>
      <c r="DE965" t="str">
        <f t="shared" si="2090"/>
        <v>cs:dc771</v>
      </c>
      <c r="DF965" t="e">
        <f t="shared" ca="1" si="2091"/>
        <v>#REF!</v>
      </c>
    </row>
    <row r="966" spans="47:110" x14ac:dyDescent="0.25">
      <c r="AU966" s="112"/>
      <c r="AV966" s="112"/>
      <c r="BQ966" s="238">
        <f t="shared" ref="BQ966" si="2122">BQ965+1</f>
        <v>650</v>
      </c>
      <c r="BR966" s="112" t="s">
        <v>444</v>
      </c>
      <c r="BS966" s="112" t="s">
        <v>445</v>
      </c>
      <c r="BT966" s="114" t="e">
        <f t="shared" ca="1" si="2039"/>
        <v>#N/A</v>
      </c>
      <c r="BU966" s="112"/>
      <c r="BV966">
        <f t="shared" ca="1" si="2119"/>
        <v>0</v>
      </c>
      <c r="BW966" s="112" t="str">
        <f t="shared" ca="1" si="2074"/>
        <v/>
      </c>
      <c r="BX966" s="112" t="e">
        <f t="shared" ref="BX966:BX968" ca="1" si="2123">INDIRECT(CONCATENATE(BS966,BQ966))-1</f>
        <v>#N/A</v>
      </c>
      <c r="BY966">
        <f t="shared" ca="1" si="2105"/>
        <v>0</v>
      </c>
      <c r="BZ966">
        <f t="shared" ca="1" si="2106"/>
        <v>24</v>
      </c>
      <c r="CB966" t="e">
        <f t="shared" ca="1" si="2080"/>
        <v>#N/A</v>
      </c>
      <c r="CC966" s="112" t="e">
        <f t="shared" ca="1" si="2081"/>
        <v>#N/A</v>
      </c>
      <c r="CD966" s="112" t="e">
        <f t="shared" ca="1" si="2082"/>
        <v>#N/A</v>
      </c>
      <c r="CE966">
        <f t="shared" ca="1" si="2083"/>
        <v>0</v>
      </c>
      <c r="CF966">
        <f t="shared" ca="1" si="2084"/>
        <v>24</v>
      </c>
      <c r="CH966" s="112" t="str">
        <f t="shared" ca="1" si="1951"/>
        <v/>
      </c>
      <c r="CI966" t="e">
        <f t="shared" ref="CI966" ca="1" si="2124">CB966+CB967+CB968+CB969+CB970</f>
        <v>#N/A</v>
      </c>
      <c r="CJ966">
        <v>0</v>
      </c>
      <c r="CK966" s="112" t="str">
        <f t="shared" ca="1" si="1956"/>
        <v/>
      </c>
      <c r="CM966" s="112"/>
      <c r="CN966" s="408" t="e">
        <f t="shared" ca="1" si="2108"/>
        <v>#N/A</v>
      </c>
      <c r="CO966" s="326" t="e">
        <f t="shared" ref="CO966" ca="1" si="2125">CD966</f>
        <v>#N/A</v>
      </c>
      <c r="CP966" s="333">
        <f t="shared" ca="1" si="1957"/>
        <v>0</v>
      </c>
      <c r="CQ966" s="327">
        <f t="shared" ca="1" si="1958"/>
        <v>24</v>
      </c>
      <c r="CS966" s="112">
        <f t="shared" ca="1" si="2077"/>
        <v>100000</v>
      </c>
      <c r="CT966" s="112" t="e">
        <f t="shared" ref="CT966" ca="1" si="2126">IF(AND( CN967=100000,CN968=100000,CN969=100000,CN970=100000),CO970,                             CO966)</f>
        <v>#N/A</v>
      </c>
      <c r="CU966" s="238">
        <f t="shared" ca="1" si="2088"/>
        <v>0</v>
      </c>
      <c r="CV966" s="238">
        <f t="shared" ca="1" si="2089"/>
        <v>24</v>
      </c>
      <c r="CY966">
        <f t="shared" si="2096"/>
        <v>396</v>
      </c>
      <c r="DE966" t="str">
        <f t="shared" si="2090"/>
        <v>cs:dc771</v>
      </c>
      <c r="DF966" t="e">
        <f t="shared" ca="1" si="2091"/>
        <v>#REF!</v>
      </c>
    </row>
    <row r="967" spans="47:110" x14ac:dyDescent="0.25">
      <c r="AU967" s="112"/>
      <c r="AV967" s="112"/>
      <c r="BQ967" s="238">
        <f t="shared" ref="BQ967:BQ970" si="2127">BQ966</f>
        <v>650</v>
      </c>
      <c r="BR967" t="s">
        <v>445</v>
      </c>
      <c r="BS967" t="s">
        <v>446</v>
      </c>
      <c r="BT967" s="114" t="e">
        <f t="shared" ca="1" si="2039"/>
        <v>#N/A</v>
      </c>
      <c r="BU967" s="112"/>
      <c r="BV967" t="e">
        <f t="shared" ca="1" si="2119"/>
        <v>#N/A</v>
      </c>
      <c r="BW967" s="112" t="e">
        <f t="shared" ca="1" si="2074"/>
        <v>#N/A</v>
      </c>
      <c r="BX967" s="112" t="e">
        <f t="shared" ca="1" si="2123"/>
        <v>#N/A</v>
      </c>
      <c r="BY967">
        <f t="shared" ca="1" si="2105"/>
        <v>0</v>
      </c>
      <c r="BZ967">
        <f t="shared" ca="1" si="2106"/>
        <v>24</v>
      </c>
      <c r="CB967" t="e">
        <f t="shared" ca="1" si="2080"/>
        <v>#N/A</v>
      </c>
      <c r="CC967" s="112" t="e">
        <f t="shared" ca="1" si="2081"/>
        <v>#N/A</v>
      </c>
      <c r="CD967" s="112" t="e">
        <f t="shared" ca="1" si="2082"/>
        <v>#N/A</v>
      </c>
      <c r="CE967">
        <f t="shared" ca="1" si="2083"/>
        <v>0</v>
      </c>
      <c r="CF967">
        <f t="shared" ca="1" si="2084"/>
        <v>24</v>
      </c>
      <c r="CH967" s="112" t="str">
        <f t="shared" ca="1" si="1951"/>
        <v/>
      </c>
      <c r="CI967" t="e">
        <f t="shared" ref="CI967:CI970" ca="1" si="2128">CI966</f>
        <v>#N/A</v>
      </c>
      <c r="CJ967" t="e">
        <f t="shared" ref="CJ967" ca="1" si="2129">IF(AND(CI967=0,CJ968=0,CJ969=0,CJ970=0,CC967&lt;100000),1,0)</f>
        <v>#N/A</v>
      </c>
      <c r="CK967" s="112" t="e">
        <f t="shared" ca="1" si="1956"/>
        <v>#N/A</v>
      </c>
      <c r="CM967" s="112"/>
      <c r="CN967" s="260" t="e">
        <f t="shared" ca="1" si="2108"/>
        <v>#N/A</v>
      </c>
      <c r="CO967" s="112" t="e">
        <f t="shared" ref="CO967:CO970" ca="1" si="2130">IF(CJ967=1,CH967,CD967)</f>
        <v>#N/A</v>
      </c>
      <c r="CP967" s="238">
        <f t="shared" ca="1" si="1957"/>
        <v>0</v>
      </c>
      <c r="CQ967" s="328">
        <f t="shared" ca="1" si="1958"/>
        <v>24</v>
      </c>
      <c r="CS967" s="112">
        <f t="shared" ca="1" si="2077"/>
        <v>100000</v>
      </c>
      <c r="CT967" s="112" t="e">
        <f t="shared" ca="1" si="2115"/>
        <v>#N/A</v>
      </c>
      <c r="CU967" s="238">
        <f t="shared" ca="1" si="2088"/>
        <v>0</v>
      </c>
      <c r="CV967" s="238">
        <f t="shared" ca="1" si="2089"/>
        <v>24</v>
      </c>
      <c r="CY967">
        <f t="shared" si="2096"/>
        <v>397</v>
      </c>
      <c r="DE967" t="str">
        <f t="shared" si="2090"/>
        <v>cs:dc771</v>
      </c>
      <c r="DF967" t="e">
        <f t="shared" ca="1" si="2091"/>
        <v>#REF!</v>
      </c>
    </row>
    <row r="968" spans="47:110" x14ac:dyDescent="0.25">
      <c r="AU968" s="112"/>
      <c r="AV968" s="112"/>
      <c r="BQ968" s="238">
        <f t="shared" si="2127"/>
        <v>650</v>
      </c>
      <c r="BR968" t="s">
        <v>446</v>
      </c>
      <c r="BS968" t="s">
        <v>447</v>
      </c>
      <c r="BT968" s="114" t="e">
        <f t="shared" ca="1" si="2039"/>
        <v>#N/A</v>
      </c>
      <c r="BU968" s="112"/>
      <c r="BV968" t="e">
        <f t="shared" ca="1" si="2119"/>
        <v>#N/A</v>
      </c>
      <c r="BW968" s="112" t="e">
        <f t="shared" ca="1" si="2074"/>
        <v>#N/A</v>
      </c>
      <c r="BX968" s="112" t="e">
        <f t="shared" ca="1" si="2123"/>
        <v>#N/A</v>
      </c>
      <c r="BY968">
        <f t="shared" ca="1" si="2105"/>
        <v>0</v>
      </c>
      <c r="BZ968">
        <f t="shared" ca="1" si="2106"/>
        <v>24</v>
      </c>
      <c r="CB968" t="e">
        <f t="shared" ca="1" si="2080"/>
        <v>#N/A</v>
      </c>
      <c r="CC968" s="112" t="e">
        <f t="shared" ca="1" si="2081"/>
        <v>#N/A</v>
      </c>
      <c r="CD968" s="112" t="e">
        <f t="shared" ca="1" si="2082"/>
        <v>#N/A</v>
      </c>
      <c r="CE968">
        <f t="shared" ca="1" si="2083"/>
        <v>0</v>
      </c>
      <c r="CF968">
        <f t="shared" ca="1" si="2084"/>
        <v>24</v>
      </c>
      <c r="CH968" s="112" t="str">
        <f t="shared" ca="1" si="1951"/>
        <v/>
      </c>
      <c r="CI968" t="e">
        <f t="shared" ca="1" si="2128"/>
        <v>#N/A</v>
      </c>
      <c r="CJ968" t="e">
        <f t="shared" ref="CJ968" ca="1" si="2131">IF(AND(CI968=0,CJ969=0,CJ970=0,CC968&lt;100000),1,0)</f>
        <v>#N/A</v>
      </c>
      <c r="CK968" s="112" t="e">
        <f t="shared" ca="1" si="1956"/>
        <v>#N/A</v>
      </c>
      <c r="CM968" s="112"/>
      <c r="CN968" s="260" t="e">
        <f t="shared" ca="1" si="2108"/>
        <v>#N/A</v>
      </c>
      <c r="CO968" s="112" t="e">
        <f t="shared" ca="1" si="2130"/>
        <v>#N/A</v>
      </c>
      <c r="CP968" s="238">
        <f t="shared" ca="1" si="1957"/>
        <v>0</v>
      </c>
      <c r="CQ968" s="328">
        <f t="shared" ca="1" si="1958"/>
        <v>24</v>
      </c>
      <c r="CS968" s="112">
        <f t="shared" ca="1" si="2077"/>
        <v>100000</v>
      </c>
      <c r="CT968" s="112" t="e">
        <f t="shared" ca="1" si="2115"/>
        <v>#N/A</v>
      </c>
      <c r="CU968" s="238">
        <f t="shared" ca="1" si="2088"/>
        <v>0</v>
      </c>
      <c r="CV968" s="238">
        <f t="shared" ca="1" si="2089"/>
        <v>24</v>
      </c>
      <c r="CY968">
        <f t="shared" si="2096"/>
        <v>398</v>
      </c>
      <c r="DE968" t="str">
        <f t="shared" si="2090"/>
        <v>cs:dc771</v>
      </c>
      <c r="DF968" t="e">
        <f t="shared" ca="1" si="2091"/>
        <v>#REF!</v>
      </c>
    </row>
    <row r="969" spans="47:110" x14ac:dyDescent="0.25">
      <c r="AU969" s="112"/>
      <c r="AV969" s="112"/>
      <c r="BQ969" s="238">
        <f t="shared" si="2127"/>
        <v>650</v>
      </c>
      <c r="BR969" t="s">
        <v>447</v>
      </c>
      <c r="BS969" t="s">
        <v>448</v>
      </c>
      <c r="BT969" s="114" t="e">
        <f t="shared" ca="1" si="2039"/>
        <v>#N/A</v>
      </c>
      <c r="BU969" s="112"/>
      <c r="BV969" t="e">
        <f t="shared" ca="1" si="2119"/>
        <v>#N/A</v>
      </c>
      <c r="BW969" s="112" t="e">
        <f t="shared" ca="1" si="2074"/>
        <v>#N/A</v>
      </c>
      <c r="BX969" s="112" t="e">
        <f t="shared" ref="BX969:BX970" ca="1" si="2132">INDIRECT(CONCATENATE(BS969,BQ969))</f>
        <v>#N/A</v>
      </c>
      <c r="BY969">
        <f t="shared" ca="1" si="2105"/>
        <v>0</v>
      </c>
      <c r="BZ969">
        <f t="shared" ca="1" si="2106"/>
        <v>24</v>
      </c>
      <c r="CB969" t="e">
        <f t="shared" ca="1" si="2080"/>
        <v>#N/A</v>
      </c>
      <c r="CC969" s="112" t="e">
        <f t="shared" ca="1" si="2081"/>
        <v>#N/A</v>
      </c>
      <c r="CD969" s="112" t="e">
        <f t="shared" ca="1" si="2082"/>
        <v>#N/A</v>
      </c>
      <c r="CE969">
        <f t="shared" ca="1" si="2083"/>
        <v>0</v>
      </c>
      <c r="CF969">
        <f t="shared" ca="1" si="2084"/>
        <v>24</v>
      </c>
      <c r="CH969" s="112" t="str">
        <f t="shared" ca="1" si="1951"/>
        <v/>
      </c>
      <c r="CI969" t="e">
        <f t="shared" ca="1" si="2128"/>
        <v>#N/A</v>
      </c>
      <c r="CJ969" t="e">
        <f t="shared" ref="CJ969" ca="1" si="2133">IF(AND(CI969=0,CJ970=0,CC969&lt;100000),1,0)</f>
        <v>#N/A</v>
      </c>
      <c r="CK969" s="112" t="e">
        <f t="shared" ca="1" si="1956"/>
        <v>#N/A</v>
      </c>
      <c r="CM969" s="112"/>
      <c r="CN969" s="260" t="e">
        <f t="shared" ca="1" si="2108"/>
        <v>#N/A</v>
      </c>
      <c r="CO969" s="112" t="e">
        <f t="shared" ca="1" si="2130"/>
        <v>#N/A</v>
      </c>
      <c r="CP969" s="238">
        <f t="shared" ca="1" si="1957"/>
        <v>0</v>
      </c>
      <c r="CQ969" s="328">
        <f t="shared" ca="1" si="1958"/>
        <v>24</v>
      </c>
      <c r="CS969" s="112">
        <f t="shared" ca="1" si="2077"/>
        <v>100000</v>
      </c>
      <c r="CT969" s="112" t="e">
        <f t="shared" ca="1" si="2115"/>
        <v>#N/A</v>
      </c>
      <c r="CU969" s="238">
        <f t="shared" ca="1" si="2088"/>
        <v>0</v>
      </c>
      <c r="CV969" s="238">
        <f t="shared" ca="1" si="2089"/>
        <v>24</v>
      </c>
      <c r="CY969">
        <f t="shared" si="2096"/>
        <v>399</v>
      </c>
      <c r="DE969" t="str">
        <f t="shared" si="2090"/>
        <v>cs:dc771</v>
      </c>
      <c r="DF969" t="e">
        <f t="shared" ca="1" si="2091"/>
        <v>#REF!</v>
      </c>
    </row>
    <row r="970" spans="47:110" ht="15.75" thickBot="1" x14ac:dyDescent="0.3">
      <c r="AU970" s="112"/>
      <c r="AV970" s="112"/>
      <c r="BQ970" s="238">
        <f t="shared" si="2127"/>
        <v>650</v>
      </c>
      <c r="BR970" t="s">
        <v>448</v>
      </c>
      <c r="BS970" t="s">
        <v>449</v>
      </c>
      <c r="BT970" s="114" t="e">
        <f t="shared" ca="1" si="2039"/>
        <v>#N/A</v>
      </c>
      <c r="BU970" s="112"/>
      <c r="BV970" t="e">
        <f t="shared" ca="1" si="2119"/>
        <v>#N/A</v>
      </c>
      <c r="BW970" s="112" t="e">
        <f t="shared" ca="1" si="2074"/>
        <v>#N/A</v>
      </c>
      <c r="BX970" s="112" t="str">
        <f t="shared" ca="1" si="2132"/>
        <v/>
      </c>
      <c r="BY970">
        <f t="shared" ca="1" si="2105"/>
        <v>0</v>
      </c>
      <c r="BZ970">
        <f t="shared" ca="1" si="2106"/>
        <v>24</v>
      </c>
      <c r="CB970" t="e">
        <f t="shared" ca="1" si="2080"/>
        <v>#N/A</v>
      </c>
      <c r="CC970" s="112" t="e">
        <f t="shared" ca="1" si="2081"/>
        <v>#N/A</v>
      </c>
      <c r="CD970" s="112" t="str">
        <f t="shared" ca="1" si="2082"/>
        <v/>
      </c>
      <c r="CE970">
        <f t="shared" ca="1" si="2083"/>
        <v>0</v>
      </c>
      <c r="CF970">
        <f t="shared" ca="1" si="2084"/>
        <v>24</v>
      </c>
      <c r="CH970" s="112" t="str">
        <f t="shared" ca="1" si="1951"/>
        <v/>
      </c>
      <c r="CI970" t="e">
        <f t="shared" ca="1" si="2128"/>
        <v>#N/A</v>
      </c>
      <c r="CJ970" t="e">
        <f t="shared" ref="CJ970" ca="1" si="2134">IF(AND(CI970=0,CC970&lt;100000),1,0)</f>
        <v>#N/A</v>
      </c>
      <c r="CK970" s="112" t="e">
        <f t="shared" ca="1" si="1956"/>
        <v>#N/A</v>
      </c>
      <c r="CM970" s="112"/>
      <c r="CN970" s="261" t="e">
        <f t="shared" ref="CN970" ca="1" si="2135">IF(AND(CN966=100000,CN967=100000,CN968=100000,CN969=100000),INDIRECT(CONCATENATE("aa",BQ970)),CC970)</f>
        <v>#N/A</v>
      </c>
      <c r="CO970" s="324" t="e">
        <f t="shared" ca="1" si="2130"/>
        <v>#N/A</v>
      </c>
      <c r="CP970" s="256">
        <f t="shared" ca="1" si="1957"/>
        <v>0</v>
      </c>
      <c r="CQ970" s="329">
        <f t="shared" ca="1" si="1958"/>
        <v>24</v>
      </c>
      <c r="CS970" s="112">
        <f t="shared" ca="1" si="2077"/>
        <v>100000</v>
      </c>
      <c r="CT970" s="112" t="e">
        <f t="shared" ca="1" si="2115"/>
        <v>#N/A</v>
      </c>
      <c r="CU970" s="238">
        <f t="shared" ca="1" si="2088"/>
        <v>0</v>
      </c>
      <c r="CV970" s="238">
        <f t="shared" ca="1" si="2089"/>
        <v>24</v>
      </c>
      <c r="CY970">
        <f t="shared" si="2096"/>
        <v>400</v>
      </c>
      <c r="DE970" t="str">
        <f t="shared" si="2090"/>
        <v>cs:dc771</v>
      </c>
      <c r="DF970" t="e">
        <f t="shared" ca="1" si="2091"/>
        <v>#REF!</v>
      </c>
    </row>
    <row r="971" spans="47:110" x14ac:dyDescent="0.25">
      <c r="AU971" s="112"/>
      <c r="AV971" s="112"/>
      <c r="BQ971" s="238">
        <f t="shared" ref="BQ971" si="2136">BQ970+1</f>
        <v>651</v>
      </c>
      <c r="BR971" s="112" t="s">
        <v>444</v>
      </c>
      <c r="BS971" s="112" t="s">
        <v>445</v>
      </c>
      <c r="BT971" s="114" t="e">
        <f t="shared" ca="1" si="2039"/>
        <v>#N/A</v>
      </c>
      <c r="BU971" s="112"/>
      <c r="BV971">
        <f t="shared" ca="1" si="2119"/>
        <v>0</v>
      </c>
      <c r="BW971" s="112" t="str">
        <f t="shared" ca="1" si="2074"/>
        <v/>
      </c>
      <c r="BX971" s="112" t="e">
        <f t="shared" ref="BX971:BX973" ca="1" si="2137">INDIRECT(CONCATENATE(BS971,BQ971))-1</f>
        <v>#N/A</v>
      </c>
      <c r="BY971">
        <f t="shared" ca="1" si="2105"/>
        <v>0</v>
      </c>
      <c r="BZ971">
        <f t="shared" ca="1" si="2106"/>
        <v>24</v>
      </c>
      <c r="CB971" t="e">
        <f t="shared" ca="1" si="2080"/>
        <v>#N/A</v>
      </c>
      <c r="CC971" s="112" t="e">
        <f t="shared" ca="1" si="2081"/>
        <v>#N/A</v>
      </c>
      <c r="CD971" s="112" t="e">
        <f t="shared" ca="1" si="2082"/>
        <v>#N/A</v>
      </c>
      <c r="CE971">
        <f t="shared" ca="1" si="2083"/>
        <v>0</v>
      </c>
      <c r="CF971">
        <f t="shared" ca="1" si="2084"/>
        <v>24</v>
      </c>
      <c r="CH971" s="112" t="str">
        <f t="shared" ca="1" si="1951"/>
        <v/>
      </c>
      <c r="CI971" t="e">
        <f t="shared" ref="CI971" ca="1" si="2138">CB971+CB972+CB973+CB974+CB975</f>
        <v>#N/A</v>
      </c>
      <c r="CJ971">
        <v>0</v>
      </c>
      <c r="CK971" s="112" t="str">
        <f t="shared" ca="1" si="1956"/>
        <v/>
      </c>
      <c r="CM971" s="112"/>
      <c r="CN971" s="408" t="e">
        <f t="shared" ca="1" si="2108"/>
        <v>#N/A</v>
      </c>
      <c r="CO971" s="326" t="e">
        <f t="shared" ref="CO971" ca="1" si="2139">CD971</f>
        <v>#N/A</v>
      </c>
      <c r="CP971" s="333">
        <f t="shared" ca="1" si="1957"/>
        <v>0</v>
      </c>
      <c r="CQ971" s="327">
        <f t="shared" ca="1" si="1958"/>
        <v>24</v>
      </c>
      <c r="CS971" s="112">
        <f t="shared" ca="1" si="2077"/>
        <v>100000</v>
      </c>
      <c r="CT971" s="112" t="e">
        <f t="shared" ref="CT971" ca="1" si="2140">IF(AND( CN972=100000,CN973=100000,CN974=100000,CN975=100000),CO975,                             CO971)</f>
        <v>#N/A</v>
      </c>
      <c r="CU971" s="238">
        <f t="shared" ca="1" si="2088"/>
        <v>0</v>
      </c>
      <c r="CV971" s="238">
        <f t="shared" ca="1" si="2089"/>
        <v>24</v>
      </c>
      <c r="CY971">
        <f t="shared" si="2096"/>
        <v>401</v>
      </c>
      <c r="DE971" t="str">
        <f t="shared" si="2090"/>
        <v>cs:dc771</v>
      </c>
      <c r="DF971" t="e">
        <f t="shared" ca="1" si="2091"/>
        <v>#REF!</v>
      </c>
    </row>
    <row r="972" spans="47:110" x14ac:dyDescent="0.25">
      <c r="AU972" s="112"/>
      <c r="AV972" s="112"/>
      <c r="BQ972" s="238">
        <f t="shared" ref="BQ972:BQ975" si="2141">BQ971</f>
        <v>651</v>
      </c>
      <c r="BR972" t="s">
        <v>445</v>
      </c>
      <c r="BS972" t="s">
        <v>446</v>
      </c>
      <c r="BT972" s="114" t="e">
        <f t="shared" ca="1" si="2039"/>
        <v>#N/A</v>
      </c>
      <c r="BU972" s="112"/>
      <c r="BV972" t="e">
        <f t="shared" ca="1" si="2119"/>
        <v>#N/A</v>
      </c>
      <c r="BW972" s="112" t="e">
        <f t="shared" ca="1" si="2074"/>
        <v>#N/A</v>
      </c>
      <c r="BX972" s="112" t="e">
        <f t="shared" ca="1" si="2137"/>
        <v>#N/A</v>
      </c>
      <c r="BY972">
        <f t="shared" ca="1" si="2105"/>
        <v>0</v>
      </c>
      <c r="BZ972">
        <f t="shared" ca="1" si="2106"/>
        <v>24</v>
      </c>
      <c r="CB972" t="e">
        <f t="shared" ca="1" si="2080"/>
        <v>#N/A</v>
      </c>
      <c r="CC972" s="112" t="e">
        <f t="shared" ca="1" si="2081"/>
        <v>#N/A</v>
      </c>
      <c r="CD972" s="112" t="e">
        <f t="shared" ca="1" si="2082"/>
        <v>#N/A</v>
      </c>
      <c r="CE972">
        <f t="shared" ca="1" si="2083"/>
        <v>0</v>
      </c>
      <c r="CF972">
        <f t="shared" ca="1" si="2084"/>
        <v>24</v>
      </c>
      <c r="CH972" s="112" t="str">
        <f t="shared" ca="1" si="1951"/>
        <v/>
      </c>
      <c r="CI972" t="e">
        <f t="shared" ref="CI972:CI975" ca="1" si="2142">CI971</f>
        <v>#N/A</v>
      </c>
      <c r="CJ972" t="e">
        <f t="shared" ref="CJ972" ca="1" si="2143">IF(AND(CI972=0,CJ973=0,CJ974=0,CJ975=0,CC972&lt;100000),1,0)</f>
        <v>#N/A</v>
      </c>
      <c r="CK972" s="112" t="e">
        <f t="shared" ca="1" si="1956"/>
        <v>#N/A</v>
      </c>
      <c r="CM972" s="112"/>
      <c r="CN972" s="260" t="e">
        <f t="shared" ca="1" si="2108"/>
        <v>#N/A</v>
      </c>
      <c r="CO972" s="112" t="e">
        <f t="shared" ref="CO972:CO975" ca="1" si="2144">IF(CJ972=1,CH972,CD972)</f>
        <v>#N/A</v>
      </c>
      <c r="CP972" s="238">
        <f t="shared" ca="1" si="1957"/>
        <v>0</v>
      </c>
      <c r="CQ972" s="328">
        <f t="shared" ca="1" si="1958"/>
        <v>24</v>
      </c>
      <c r="CS972" s="112">
        <f t="shared" ca="1" si="2077"/>
        <v>100000</v>
      </c>
      <c r="CT972" s="112" t="e">
        <f t="shared" ca="1" si="2115"/>
        <v>#N/A</v>
      </c>
      <c r="CU972" s="238">
        <f t="shared" ca="1" si="2088"/>
        <v>0</v>
      </c>
      <c r="CV972" s="238">
        <f t="shared" ca="1" si="2089"/>
        <v>24</v>
      </c>
      <c r="CY972">
        <f t="shared" si="2096"/>
        <v>402</v>
      </c>
      <c r="DE972" t="str">
        <f t="shared" si="2090"/>
        <v>cs:dc771</v>
      </c>
      <c r="DF972" t="e">
        <f t="shared" ca="1" si="2091"/>
        <v>#REF!</v>
      </c>
    </row>
    <row r="973" spans="47:110" x14ac:dyDescent="0.25">
      <c r="AU973" s="112"/>
      <c r="AV973" s="112"/>
      <c r="BQ973" s="238">
        <f t="shared" si="2141"/>
        <v>651</v>
      </c>
      <c r="BR973" t="s">
        <v>446</v>
      </c>
      <c r="BS973" t="s">
        <v>447</v>
      </c>
      <c r="BT973" s="114" t="e">
        <f t="shared" ca="1" si="2039"/>
        <v>#N/A</v>
      </c>
      <c r="BU973" s="112"/>
      <c r="BV973" t="e">
        <f t="shared" ca="1" si="2119"/>
        <v>#N/A</v>
      </c>
      <c r="BW973" s="112" t="e">
        <f t="shared" ca="1" si="2074"/>
        <v>#N/A</v>
      </c>
      <c r="BX973" s="112" t="e">
        <f t="shared" ca="1" si="2137"/>
        <v>#N/A</v>
      </c>
      <c r="BY973">
        <f t="shared" ca="1" si="2105"/>
        <v>0</v>
      </c>
      <c r="BZ973">
        <f t="shared" ca="1" si="2106"/>
        <v>24</v>
      </c>
      <c r="CB973" t="e">
        <f t="shared" ca="1" si="2080"/>
        <v>#N/A</v>
      </c>
      <c r="CC973" s="112" t="e">
        <f t="shared" ca="1" si="2081"/>
        <v>#N/A</v>
      </c>
      <c r="CD973" s="112" t="e">
        <f t="shared" ca="1" si="2082"/>
        <v>#N/A</v>
      </c>
      <c r="CE973">
        <f t="shared" ca="1" si="2083"/>
        <v>0</v>
      </c>
      <c r="CF973">
        <f t="shared" ca="1" si="2084"/>
        <v>24</v>
      </c>
      <c r="CH973" s="112" t="str">
        <f t="shared" ca="1" si="1951"/>
        <v/>
      </c>
      <c r="CI973" t="e">
        <f t="shared" ca="1" si="2142"/>
        <v>#N/A</v>
      </c>
      <c r="CJ973" t="e">
        <f t="shared" ref="CJ973" ca="1" si="2145">IF(AND(CI973=0,CJ974=0,CJ975=0,CC973&lt;100000),1,0)</f>
        <v>#N/A</v>
      </c>
      <c r="CK973" s="112" t="e">
        <f t="shared" ca="1" si="1956"/>
        <v>#N/A</v>
      </c>
      <c r="CM973" s="112"/>
      <c r="CN973" s="260" t="e">
        <f t="shared" ca="1" si="2108"/>
        <v>#N/A</v>
      </c>
      <c r="CO973" s="112" t="e">
        <f t="shared" ca="1" si="2144"/>
        <v>#N/A</v>
      </c>
      <c r="CP973" s="238">
        <f t="shared" ca="1" si="1957"/>
        <v>0</v>
      </c>
      <c r="CQ973" s="328">
        <f t="shared" ca="1" si="1958"/>
        <v>24</v>
      </c>
      <c r="CS973" s="112">
        <f t="shared" ca="1" si="2077"/>
        <v>100000</v>
      </c>
      <c r="CT973" s="112" t="e">
        <f t="shared" ca="1" si="2115"/>
        <v>#N/A</v>
      </c>
      <c r="CU973" s="238">
        <f t="shared" ca="1" si="2088"/>
        <v>0</v>
      </c>
      <c r="CV973" s="238">
        <f t="shared" ca="1" si="2089"/>
        <v>24</v>
      </c>
      <c r="CY973">
        <f t="shared" si="2096"/>
        <v>403</v>
      </c>
      <c r="DE973" t="str">
        <f t="shared" si="2090"/>
        <v>cs:dc771</v>
      </c>
      <c r="DF973" t="e">
        <f t="shared" ca="1" si="2091"/>
        <v>#REF!</v>
      </c>
    </row>
    <row r="974" spans="47:110" x14ac:dyDescent="0.25">
      <c r="AU974" s="112"/>
      <c r="AV974" s="112"/>
      <c r="BQ974" s="238">
        <f t="shared" si="2141"/>
        <v>651</v>
      </c>
      <c r="BR974" t="s">
        <v>447</v>
      </c>
      <c r="BS974" t="s">
        <v>448</v>
      </c>
      <c r="BT974" s="114" t="e">
        <f t="shared" ca="1" si="2039"/>
        <v>#N/A</v>
      </c>
      <c r="BU974" s="112"/>
      <c r="BV974" t="e">
        <f t="shared" ca="1" si="2119"/>
        <v>#N/A</v>
      </c>
      <c r="BW974" s="112" t="e">
        <f t="shared" ca="1" si="2074"/>
        <v>#N/A</v>
      </c>
      <c r="BX974" s="112" t="e">
        <f t="shared" ref="BX974:BX975" ca="1" si="2146">INDIRECT(CONCATENATE(BS974,BQ974))</f>
        <v>#N/A</v>
      </c>
      <c r="BY974">
        <f t="shared" ca="1" si="2105"/>
        <v>0</v>
      </c>
      <c r="BZ974">
        <f t="shared" ca="1" si="2106"/>
        <v>24</v>
      </c>
      <c r="CB974" t="e">
        <f t="shared" ca="1" si="2080"/>
        <v>#N/A</v>
      </c>
      <c r="CC974" s="112" t="e">
        <f t="shared" ca="1" si="2081"/>
        <v>#N/A</v>
      </c>
      <c r="CD974" s="112" t="e">
        <f t="shared" ca="1" si="2082"/>
        <v>#N/A</v>
      </c>
      <c r="CE974">
        <f t="shared" ca="1" si="2083"/>
        <v>0</v>
      </c>
      <c r="CF974">
        <f t="shared" ca="1" si="2084"/>
        <v>24</v>
      </c>
      <c r="CH974" s="112" t="str">
        <f t="shared" ca="1" si="1951"/>
        <v/>
      </c>
      <c r="CI974" t="e">
        <f t="shared" ca="1" si="2142"/>
        <v>#N/A</v>
      </c>
      <c r="CJ974" t="e">
        <f t="shared" ref="CJ974" ca="1" si="2147">IF(AND(CI974=0,CJ975=0,CC974&lt;100000),1,0)</f>
        <v>#N/A</v>
      </c>
      <c r="CK974" s="112" t="e">
        <f t="shared" ca="1" si="1956"/>
        <v>#N/A</v>
      </c>
      <c r="CM974" s="112"/>
      <c r="CN974" s="260" t="e">
        <f t="shared" ca="1" si="2108"/>
        <v>#N/A</v>
      </c>
      <c r="CO974" s="112" t="e">
        <f t="shared" ca="1" si="2144"/>
        <v>#N/A</v>
      </c>
      <c r="CP974" s="238">
        <f t="shared" ca="1" si="1957"/>
        <v>0</v>
      </c>
      <c r="CQ974" s="328">
        <f t="shared" ca="1" si="1958"/>
        <v>24</v>
      </c>
      <c r="CS974" s="112">
        <f t="shared" ca="1" si="2077"/>
        <v>100000</v>
      </c>
      <c r="CT974" s="112" t="e">
        <f t="shared" ca="1" si="2115"/>
        <v>#N/A</v>
      </c>
      <c r="CU974" s="238">
        <f t="shared" ca="1" si="2088"/>
        <v>0</v>
      </c>
      <c r="CV974" s="238">
        <f t="shared" ca="1" si="2089"/>
        <v>24</v>
      </c>
      <c r="CY974">
        <f t="shared" si="2096"/>
        <v>404</v>
      </c>
      <c r="DE974" t="str">
        <f t="shared" si="2090"/>
        <v>cs:dc771</v>
      </c>
      <c r="DF974" t="e">
        <f t="shared" ca="1" si="2091"/>
        <v>#REF!</v>
      </c>
    </row>
    <row r="975" spans="47:110" ht="15.75" thickBot="1" x14ac:dyDescent="0.3">
      <c r="AU975" s="112"/>
      <c r="AV975" s="112"/>
      <c r="BQ975" s="238">
        <f t="shared" si="2141"/>
        <v>651</v>
      </c>
      <c r="BR975" t="s">
        <v>448</v>
      </c>
      <c r="BS975" t="s">
        <v>449</v>
      </c>
      <c r="BT975" s="114" t="e">
        <f t="shared" ca="1" si="2039"/>
        <v>#N/A</v>
      </c>
      <c r="BU975" s="112"/>
      <c r="BV975" t="e">
        <f t="shared" ca="1" si="2119"/>
        <v>#N/A</v>
      </c>
      <c r="BW975" s="112" t="e">
        <f t="shared" ca="1" si="2074"/>
        <v>#N/A</v>
      </c>
      <c r="BX975" s="112" t="str">
        <f t="shared" ca="1" si="2146"/>
        <v/>
      </c>
      <c r="BY975">
        <f t="shared" ca="1" si="2105"/>
        <v>0</v>
      </c>
      <c r="BZ975">
        <f t="shared" ca="1" si="2106"/>
        <v>24</v>
      </c>
      <c r="CB975" t="e">
        <f t="shared" ca="1" si="2080"/>
        <v>#N/A</v>
      </c>
      <c r="CC975" s="112" t="e">
        <f t="shared" ca="1" si="2081"/>
        <v>#N/A</v>
      </c>
      <c r="CD975" s="112" t="str">
        <f t="shared" ca="1" si="2082"/>
        <v/>
      </c>
      <c r="CE975">
        <f t="shared" ca="1" si="2083"/>
        <v>0</v>
      </c>
      <c r="CF975">
        <f t="shared" ca="1" si="2084"/>
        <v>24</v>
      </c>
      <c r="CH975" s="112" t="str">
        <f t="shared" ca="1" si="1951"/>
        <v/>
      </c>
      <c r="CI975" t="e">
        <f t="shared" ca="1" si="2142"/>
        <v>#N/A</v>
      </c>
      <c r="CJ975" t="e">
        <f t="shared" ref="CJ975" ca="1" si="2148">IF(AND(CI975=0,CC975&lt;100000),1,0)</f>
        <v>#N/A</v>
      </c>
      <c r="CK975" s="112" t="e">
        <f t="shared" ca="1" si="1956"/>
        <v>#N/A</v>
      </c>
      <c r="CM975" s="112"/>
      <c r="CN975" s="261" t="e">
        <f t="shared" ref="CN975" ca="1" si="2149">IF(AND(CN971=100000,CN972=100000,CN973=100000,CN974=100000),INDIRECT(CONCATENATE("aa",BQ975)),CC975)</f>
        <v>#N/A</v>
      </c>
      <c r="CO975" s="324" t="e">
        <f t="shared" ca="1" si="2144"/>
        <v>#N/A</v>
      </c>
      <c r="CP975" s="256">
        <f t="shared" ca="1" si="1957"/>
        <v>0</v>
      </c>
      <c r="CQ975" s="329">
        <f t="shared" ca="1" si="1958"/>
        <v>24</v>
      </c>
      <c r="CS975" s="112">
        <f t="shared" ca="1" si="2077"/>
        <v>100000</v>
      </c>
      <c r="CT975" s="112" t="e">
        <f t="shared" ca="1" si="2115"/>
        <v>#N/A</v>
      </c>
      <c r="CU975" s="238">
        <f t="shared" ca="1" si="2088"/>
        <v>0</v>
      </c>
      <c r="CV975" s="238">
        <f t="shared" ca="1" si="2089"/>
        <v>24</v>
      </c>
      <c r="CY975">
        <f t="shared" si="2096"/>
        <v>405</v>
      </c>
      <c r="DE975" t="str">
        <f t="shared" si="2090"/>
        <v>cs:dc771</v>
      </c>
      <c r="DF975" t="e">
        <f t="shared" ca="1" si="2091"/>
        <v>#REF!</v>
      </c>
    </row>
    <row r="976" spans="47:110" x14ac:dyDescent="0.25">
      <c r="AU976" s="112"/>
      <c r="AV976" s="112"/>
      <c r="BQ976" s="238">
        <f t="shared" ref="BQ976" si="2150">BQ975+1</f>
        <v>652</v>
      </c>
      <c r="BR976" s="112" t="s">
        <v>444</v>
      </c>
      <c r="BS976" s="112" t="s">
        <v>445</v>
      </c>
      <c r="BT976" s="114" t="e">
        <f t="shared" ca="1" si="2039"/>
        <v>#N/A</v>
      </c>
      <c r="BU976" s="112"/>
      <c r="BV976">
        <f t="shared" ca="1" si="2119"/>
        <v>0</v>
      </c>
      <c r="BW976" s="112" t="str">
        <f t="shared" ca="1" si="2074"/>
        <v/>
      </c>
      <c r="BX976" s="112" t="e">
        <f t="shared" ref="BX976:BX978" ca="1" si="2151">INDIRECT(CONCATENATE(BS976,BQ976))-1</f>
        <v>#N/A</v>
      </c>
      <c r="BY976">
        <f t="shared" ca="1" si="2105"/>
        <v>0</v>
      </c>
      <c r="BZ976">
        <f t="shared" ca="1" si="2106"/>
        <v>24</v>
      </c>
      <c r="CB976" t="e">
        <f t="shared" ca="1" si="2080"/>
        <v>#N/A</v>
      </c>
      <c r="CC976" s="112" t="e">
        <f t="shared" ca="1" si="2081"/>
        <v>#N/A</v>
      </c>
      <c r="CD976" s="112" t="e">
        <f t="shared" ca="1" si="2082"/>
        <v>#N/A</v>
      </c>
      <c r="CE976">
        <f t="shared" ca="1" si="2083"/>
        <v>0</v>
      </c>
      <c r="CF976">
        <f t="shared" ca="1" si="2084"/>
        <v>24</v>
      </c>
      <c r="CH976" s="112" t="str">
        <f t="shared" ref="CH976:CH1039" ca="1" si="2152">INDIRECT(CONCATENATE("af",BQ976))</f>
        <v/>
      </c>
      <c r="CI976" t="e">
        <f t="shared" ref="CI976" ca="1" si="2153">CB976+CB977+CB978+CB979+CB980</f>
        <v>#N/A</v>
      </c>
      <c r="CJ976">
        <v>0</v>
      </c>
      <c r="CK976" s="112" t="str">
        <f t="shared" ca="1" si="1956"/>
        <v/>
      </c>
      <c r="CM976" s="112"/>
      <c r="CN976" s="408" t="e">
        <f t="shared" ca="1" si="2108"/>
        <v>#N/A</v>
      </c>
      <c r="CO976" s="326" t="e">
        <f t="shared" ref="CO976" ca="1" si="2154">CD976</f>
        <v>#N/A</v>
      </c>
      <c r="CP976" s="333">
        <f t="shared" ca="1" si="1957"/>
        <v>0</v>
      </c>
      <c r="CQ976" s="327">
        <f t="shared" ca="1" si="1958"/>
        <v>24</v>
      </c>
      <c r="CS976" s="112">
        <f t="shared" ca="1" si="2077"/>
        <v>100000</v>
      </c>
      <c r="CT976" s="112" t="e">
        <f t="shared" ref="CT976" ca="1" si="2155">IF(AND( CN977=100000,CN978=100000,CN979=100000,CN980=100000),CO980,                             CO976)</f>
        <v>#N/A</v>
      </c>
      <c r="CU976" s="238">
        <f t="shared" ca="1" si="2088"/>
        <v>0</v>
      </c>
      <c r="CV976" s="238">
        <f t="shared" ca="1" si="2089"/>
        <v>24</v>
      </c>
      <c r="CY976">
        <f t="shared" si="2096"/>
        <v>406</v>
      </c>
      <c r="DE976" t="str">
        <f t="shared" si="2090"/>
        <v>cs:dc771</v>
      </c>
      <c r="DF976" t="e">
        <f t="shared" ca="1" si="2091"/>
        <v>#REF!</v>
      </c>
    </row>
    <row r="977" spans="47:110" x14ac:dyDescent="0.25">
      <c r="AU977" s="112"/>
      <c r="AV977" s="112"/>
      <c r="BQ977" s="238">
        <f t="shared" ref="BQ977:BQ980" si="2156">BQ976</f>
        <v>652</v>
      </c>
      <c r="BR977" t="s">
        <v>445</v>
      </c>
      <c r="BS977" t="s">
        <v>446</v>
      </c>
      <c r="BT977" s="114" t="e">
        <f t="shared" ca="1" si="2039"/>
        <v>#N/A</v>
      </c>
      <c r="BU977" s="112"/>
      <c r="BV977" t="e">
        <f t="shared" ca="1" si="2119"/>
        <v>#N/A</v>
      </c>
      <c r="BW977" s="112" t="e">
        <f t="shared" ca="1" si="2074"/>
        <v>#N/A</v>
      </c>
      <c r="BX977" s="112" t="e">
        <f t="shared" ca="1" si="2151"/>
        <v>#N/A</v>
      </c>
      <c r="BY977">
        <f t="shared" ca="1" si="2105"/>
        <v>0</v>
      </c>
      <c r="BZ977">
        <f t="shared" ca="1" si="2106"/>
        <v>24</v>
      </c>
      <c r="CB977" t="e">
        <f t="shared" ca="1" si="2080"/>
        <v>#N/A</v>
      </c>
      <c r="CC977" s="112" t="e">
        <f t="shared" ca="1" si="2081"/>
        <v>#N/A</v>
      </c>
      <c r="CD977" s="112" t="e">
        <f t="shared" ca="1" si="2082"/>
        <v>#N/A</v>
      </c>
      <c r="CE977">
        <f t="shared" ca="1" si="2083"/>
        <v>0</v>
      </c>
      <c r="CF977">
        <f t="shared" ca="1" si="2084"/>
        <v>24</v>
      </c>
      <c r="CH977" s="112" t="str">
        <f t="shared" ca="1" si="2152"/>
        <v/>
      </c>
      <c r="CI977" t="e">
        <f t="shared" ref="CI977:CI980" ca="1" si="2157">CI976</f>
        <v>#N/A</v>
      </c>
      <c r="CJ977" t="e">
        <f t="shared" ref="CJ977" ca="1" si="2158">IF(AND(CI977=0,CJ978=0,CJ979=0,CJ980=0,CC977&lt;100000),1,0)</f>
        <v>#N/A</v>
      </c>
      <c r="CK977" s="112" t="e">
        <f t="shared" ref="CK977:CK1040" ca="1" si="2159">IF(CJ977=0,INDIRECT(CONCATENATE("af",BQ977)),1)</f>
        <v>#N/A</v>
      </c>
      <c r="CM977" s="112"/>
      <c r="CN977" s="260" t="e">
        <f t="shared" ca="1" si="2108"/>
        <v>#N/A</v>
      </c>
      <c r="CO977" s="112" t="e">
        <f t="shared" ref="CO977:CO980" ca="1" si="2160">IF(CJ977=1,CH977,CD977)</f>
        <v>#N/A</v>
      </c>
      <c r="CP977" s="238">
        <f t="shared" ref="CP977:CP1040" ca="1" si="2161">CE977</f>
        <v>0</v>
      </c>
      <c r="CQ977" s="328">
        <f t="shared" ref="CQ977:CQ1040" ca="1" si="2162">CF977</f>
        <v>24</v>
      </c>
      <c r="CS977" s="112">
        <f t="shared" ca="1" si="2077"/>
        <v>100000</v>
      </c>
      <c r="CT977" s="112" t="e">
        <f t="shared" ca="1" si="2115"/>
        <v>#N/A</v>
      </c>
      <c r="CU977" s="238">
        <f t="shared" ca="1" si="2088"/>
        <v>0</v>
      </c>
      <c r="CV977" s="238">
        <f t="shared" ca="1" si="2089"/>
        <v>24</v>
      </c>
      <c r="CY977">
        <f t="shared" si="2096"/>
        <v>407</v>
      </c>
      <c r="DE977" t="str">
        <f t="shared" si="2090"/>
        <v>cs:dc771</v>
      </c>
      <c r="DF977" t="e">
        <f t="shared" ca="1" si="2091"/>
        <v>#REF!</v>
      </c>
    </row>
    <row r="978" spans="47:110" x14ac:dyDescent="0.25">
      <c r="AU978" s="112"/>
      <c r="AV978" s="112"/>
      <c r="BQ978" s="238">
        <f t="shared" si="2156"/>
        <v>652</v>
      </c>
      <c r="BR978" t="s">
        <v>446</v>
      </c>
      <c r="BS978" t="s">
        <v>447</v>
      </c>
      <c r="BT978" s="114" t="e">
        <f t="shared" ca="1" si="2039"/>
        <v>#N/A</v>
      </c>
      <c r="BU978" s="112"/>
      <c r="BV978" t="e">
        <f t="shared" ca="1" si="2119"/>
        <v>#N/A</v>
      </c>
      <c r="BW978" s="112" t="e">
        <f t="shared" ca="1" si="2074"/>
        <v>#N/A</v>
      </c>
      <c r="BX978" s="112" t="e">
        <f t="shared" ca="1" si="2151"/>
        <v>#N/A</v>
      </c>
      <c r="BY978">
        <f t="shared" ca="1" si="2105"/>
        <v>0</v>
      </c>
      <c r="BZ978">
        <f t="shared" ca="1" si="2106"/>
        <v>24</v>
      </c>
      <c r="CB978" t="e">
        <f t="shared" ca="1" si="2080"/>
        <v>#N/A</v>
      </c>
      <c r="CC978" s="112" t="e">
        <f t="shared" ca="1" si="2081"/>
        <v>#N/A</v>
      </c>
      <c r="CD978" s="112" t="e">
        <f t="shared" ca="1" si="2082"/>
        <v>#N/A</v>
      </c>
      <c r="CE978">
        <f t="shared" ca="1" si="2083"/>
        <v>0</v>
      </c>
      <c r="CF978">
        <f t="shared" ca="1" si="2084"/>
        <v>24</v>
      </c>
      <c r="CH978" s="112" t="str">
        <f t="shared" ca="1" si="2152"/>
        <v/>
      </c>
      <c r="CI978" t="e">
        <f t="shared" ca="1" si="2157"/>
        <v>#N/A</v>
      </c>
      <c r="CJ978" t="e">
        <f t="shared" ref="CJ978" ca="1" si="2163">IF(AND(CI978=0,CJ979=0,CJ980=0,CC978&lt;100000),1,0)</f>
        <v>#N/A</v>
      </c>
      <c r="CK978" s="112" t="e">
        <f t="shared" ca="1" si="2159"/>
        <v>#N/A</v>
      </c>
      <c r="CM978" s="112"/>
      <c r="CN978" s="260" t="e">
        <f t="shared" ca="1" si="2108"/>
        <v>#N/A</v>
      </c>
      <c r="CO978" s="112" t="e">
        <f t="shared" ca="1" si="2160"/>
        <v>#N/A</v>
      </c>
      <c r="CP978" s="238">
        <f t="shared" ca="1" si="2161"/>
        <v>0</v>
      </c>
      <c r="CQ978" s="328">
        <f t="shared" ca="1" si="2162"/>
        <v>24</v>
      </c>
      <c r="CS978" s="112">
        <f t="shared" ca="1" si="2077"/>
        <v>100000</v>
      </c>
      <c r="CT978" s="112" t="e">
        <f t="shared" ca="1" si="2115"/>
        <v>#N/A</v>
      </c>
      <c r="CU978" s="238">
        <f t="shared" ca="1" si="2088"/>
        <v>0</v>
      </c>
      <c r="CV978" s="238">
        <f t="shared" ca="1" si="2089"/>
        <v>24</v>
      </c>
      <c r="CY978">
        <f t="shared" si="2096"/>
        <v>408</v>
      </c>
      <c r="DE978" t="str">
        <f t="shared" si="2090"/>
        <v>cs:dc771</v>
      </c>
      <c r="DF978" t="e">
        <f t="shared" ca="1" si="2091"/>
        <v>#REF!</v>
      </c>
    </row>
    <row r="979" spans="47:110" x14ac:dyDescent="0.25">
      <c r="AU979" s="112"/>
      <c r="AV979" s="112"/>
      <c r="BQ979" s="238">
        <f t="shared" si="2156"/>
        <v>652</v>
      </c>
      <c r="BR979" t="s">
        <v>447</v>
      </c>
      <c r="BS979" t="s">
        <v>448</v>
      </c>
      <c r="BT979" s="114" t="e">
        <f t="shared" ca="1" si="2039"/>
        <v>#N/A</v>
      </c>
      <c r="BU979" s="112"/>
      <c r="BV979" t="e">
        <f t="shared" ca="1" si="2119"/>
        <v>#N/A</v>
      </c>
      <c r="BW979" s="112" t="e">
        <f t="shared" ca="1" si="2074"/>
        <v>#N/A</v>
      </c>
      <c r="BX979" s="112" t="e">
        <f t="shared" ref="BX979:BX980" ca="1" si="2164">INDIRECT(CONCATENATE(BS979,BQ979))</f>
        <v>#N/A</v>
      </c>
      <c r="BY979">
        <f t="shared" ca="1" si="2105"/>
        <v>0</v>
      </c>
      <c r="BZ979">
        <f t="shared" ca="1" si="2106"/>
        <v>24</v>
      </c>
      <c r="CB979" t="e">
        <f t="shared" ca="1" si="2080"/>
        <v>#N/A</v>
      </c>
      <c r="CC979" s="112" t="e">
        <f t="shared" ca="1" si="2081"/>
        <v>#N/A</v>
      </c>
      <c r="CD979" s="112" t="e">
        <f t="shared" ca="1" si="2082"/>
        <v>#N/A</v>
      </c>
      <c r="CE979">
        <f t="shared" ca="1" si="2083"/>
        <v>0</v>
      </c>
      <c r="CF979">
        <f t="shared" ca="1" si="2084"/>
        <v>24</v>
      </c>
      <c r="CH979" s="112" t="str">
        <f t="shared" ca="1" si="2152"/>
        <v/>
      </c>
      <c r="CI979" t="e">
        <f t="shared" ca="1" si="2157"/>
        <v>#N/A</v>
      </c>
      <c r="CJ979" t="e">
        <f t="shared" ref="CJ979" ca="1" si="2165">IF(AND(CI979=0,CJ980=0,CC979&lt;100000),1,0)</f>
        <v>#N/A</v>
      </c>
      <c r="CK979" s="112" t="e">
        <f t="shared" ca="1" si="2159"/>
        <v>#N/A</v>
      </c>
      <c r="CM979" s="112"/>
      <c r="CN979" s="260" t="e">
        <f t="shared" ca="1" si="2108"/>
        <v>#N/A</v>
      </c>
      <c r="CO979" s="112" t="e">
        <f t="shared" ca="1" si="2160"/>
        <v>#N/A</v>
      </c>
      <c r="CP979" s="238">
        <f t="shared" ca="1" si="2161"/>
        <v>0</v>
      </c>
      <c r="CQ979" s="328">
        <f t="shared" ca="1" si="2162"/>
        <v>24</v>
      </c>
      <c r="CS979" s="112">
        <f t="shared" ca="1" si="2077"/>
        <v>100000</v>
      </c>
      <c r="CT979" s="112" t="e">
        <f t="shared" ca="1" si="2115"/>
        <v>#N/A</v>
      </c>
      <c r="CU979" s="238">
        <f t="shared" ca="1" si="2088"/>
        <v>0</v>
      </c>
      <c r="CV979" s="238">
        <f t="shared" ca="1" si="2089"/>
        <v>24</v>
      </c>
      <c r="CY979">
        <f t="shared" si="2096"/>
        <v>409</v>
      </c>
      <c r="DE979" t="str">
        <f t="shared" si="2090"/>
        <v>cs:dc771</v>
      </c>
      <c r="DF979" t="e">
        <f t="shared" ca="1" si="2091"/>
        <v>#REF!</v>
      </c>
    </row>
    <row r="980" spans="47:110" ht="15.75" thickBot="1" x14ac:dyDescent="0.3">
      <c r="AU980" s="112"/>
      <c r="AV980" s="112"/>
      <c r="BQ980" s="238">
        <f t="shared" si="2156"/>
        <v>652</v>
      </c>
      <c r="BR980" t="s">
        <v>448</v>
      </c>
      <c r="BS980" t="s">
        <v>449</v>
      </c>
      <c r="BT980" s="114" t="e">
        <f t="shared" ca="1" si="2039"/>
        <v>#N/A</v>
      </c>
      <c r="BU980" s="112"/>
      <c r="BV980" t="e">
        <f t="shared" ca="1" si="2119"/>
        <v>#N/A</v>
      </c>
      <c r="BW980" s="112" t="e">
        <f t="shared" ca="1" si="2074"/>
        <v>#N/A</v>
      </c>
      <c r="BX980" s="112" t="str">
        <f t="shared" ca="1" si="2164"/>
        <v/>
      </c>
      <c r="BY980">
        <f t="shared" ca="1" si="2105"/>
        <v>0</v>
      </c>
      <c r="BZ980">
        <f t="shared" ca="1" si="2106"/>
        <v>24</v>
      </c>
      <c r="CB980" t="e">
        <f t="shared" ca="1" si="2080"/>
        <v>#N/A</v>
      </c>
      <c r="CC980" s="112" t="e">
        <f t="shared" ca="1" si="2081"/>
        <v>#N/A</v>
      </c>
      <c r="CD980" s="112" t="str">
        <f t="shared" ca="1" si="2082"/>
        <v/>
      </c>
      <c r="CE980">
        <f t="shared" ca="1" si="2083"/>
        <v>0</v>
      </c>
      <c r="CF980">
        <f t="shared" ca="1" si="2084"/>
        <v>24</v>
      </c>
      <c r="CH980" s="112" t="str">
        <f t="shared" ca="1" si="2152"/>
        <v/>
      </c>
      <c r="CI980" t="e">
        <f t="shared" ca="1" si="2157"/>
        <v>#N/A</v>
      </c>
      <c r="CJ980" t="e">
        <f t="shared" ref="CJ980" ca="1" si="2166">IF(AND(CI980=0,CC980&lt;100000),1,0)</f>
        <v>#N/A</v>
      </c>
      <c r="CK980" s="112" t="e">
        <f t="shared" ca="1" si="2159"/>
        <v>#N/A</v>
      </c>
      <c r="CM980" s="112"/>
      <c r="CN980" s="261" t="e">
        <f t="shared" ref="CN980" ca="1" si="2167">IF(AND(CN976=100000,CN977=100000,CN978=100000,CN979=100000),INDIRECT(CONCATENATE("aa",BQ980)),CC980)</f>
        <v>#N/A</v>
      </c>
      <c r="CO980" s="324" t="e">
        <f t="shared" ca="1" si="2160"/>
        <v>#N/A</v>
      </c>
      <c r="CP980" s="256">
        <f t="shared" ca="1" si="2161"/>
        <v>0</v>
      </c>
      <c r="CQ980" s="329">
        <f t="shared" ca="1" si="2162"/>
        <v>24</v>
      </c>
      <c r="CS980" s="112">
        <f t="shared" ca="1" si="2077"/>
        <v>100000</v>
      </c>
      <c r="CT980" s="112" t="e">
        <f t="shared" ca="1" si="2115"/>
        <v>#N/A</v>
      </c>
      <c r="CU980" s="238">
        <f t="shared" ca="1" si="2088"/>
        <v>0</v>
      </c>
      <c r="CV980" s="238">
        <f t="shared" ca="1" si="2089"/>
        <v>24</v>
      </c>
      <c r="CY980">
        <f t="shared" si="2096"/>
        <v>410</v>
      </c>
      <c r="DE980" t="str">
        <f t="shared" si="2090"/>
        <v>cs:dc771</v>
      </c>
      <c r="DF980" t="e">
        <f t="shared" ca="1" si="2091"/>
        <v>#REF!</v>
      </c>
    </row>
    <row r="981" spans="47:110" x14ac:dyDescent="0.25">
      <c r="AU981" s="112"/>
      <c r="AV981" s="112"/>
      <c r="BQ981" s="238">
        <f t="shared" ref="BQ981" si="2168">BQ980+1</f>
        <v>653</v>
      </c>
      <c r="BR981" s="112" t="s">
        <v>444</v>
      </c>
      <c r="BS981" s="112" t="s">
        <v>445</v>
      </c>
      <c r="BT981" s="114" t="e">
        <f t="shared" ca="1" si="2039"/>
        <v>#N/A</v>
      </c>
      <c r="BU981" s="112"/>
      <c r="BV981">
        <f t="shared" ca="1" si="2119"/>
        <v>0</v>
      </c>
      <c r="BW981" s="112" t="str">
        <f t="shared" ca="1" si="2074"/>
        <v/>
      </c>
      <c r="BX981" s="112" t="e">
        <f t="shared" ref="BX981:BX983" ca="1" si="2169">INDIRECT(CONCATENATE(BS981,BQ981))-1</f>
        <v>#N/A</v>
      </c>
      <c r="BY981">
        <f t="shared" ca="1" si="2105"/>
        <v>0</v>
      </c>
      <c r="BZ981">
        <f t="shared" ca="1" si="2106"/>
        <v>24</v>
      </c>
      <c r="CB981" t="e">
        <f t="shared" ca="1" si="2080"/>
        <v>#N/A</v>
      </c>
      <c r="CC981" s="112" t="e">
        <f t="shared" ca="1" si="2081"/>
        <v>#N/A</v>
      </c>
      <c r="CD981" s="112" t="e">
        <f t="shared" ca="1" si="2082"/>
        <v>#N/A</v>
      </c>
      <c r="CE981">
        <f t="shared" ca="1" si="2083"/>
        <v>0</v>
      </c>
      <c r="CF981">
        <f t="shared" ca="1" si="2084"/>
        <v>24</v>
      </c>
      <c r="CH981" s="112" t="str">
        <f t="shared" ca="1" si="2152"/>
        <v/>
      </c>
      <c r="CI981" t="e">
        <f t="shared" ref="CI981" ca="1" si="2170">CB981+CB982+CB983+CB984+CB985</f>
        <v>#N/A</v>
      </c>
      <c r="CJ981">
        <v>0</v>
      </c>
      <c r="CK981" s="112" t="str">
        <f t="shared" ca="1" si="2159"/>
        <v/>
      </c>
      <c r="CM981" s="112"/>
      <c r="CN981" s="408" t="e">
        <f t="shared" ca="1" si="2108"/>
        <v>#N/A</v>
      </c>
      <c r="CO981" s="326" t="e">
        <f t="shared" ref="CO981" ca="1" si="2171">CD981</f>
        <v>#N/A</v>
      </c>
      <c r="CP981" s="333">
        <f t="shared" ca="1" si="2161"/>
        <v>0</v>
      </c>
      <c r="CQ981" s="327">
        <f t="shared" ca="1" si="2162"/>
        <v>24</v>
      </c>
      <c r="CS981" s="112">
        <f t="shared" ca="1" si="2077"/>
        <v>100000</v>
      </c>
      <c r="CT981" s="112" t="e">
        <f t="shared" ref="CT981" ca="1" si="2172">IF(AND( CN982=100000,CN983=100000,CN984=100000,CN985=100000),CO985,                             CO981)</f>
        <v>#N/A</v>
      </c>
      <c r="CU981" s="238">
        <f t="shared" ca="1" si="2088"/>
        <v>0</v>
      </c>
      <c r="CV981" s="238">
        <f t="shared" ca="1" si="2089"/>
        <v>24</v>
      </c>
      <c r="CY981">
        <f t="shared" si="2096"/>
        <v>411</v>
      </c>
      <c r="DE981" t="str">
        <f t="shared" si="2090"/>
        <v>cs:dc771</v>
      </c>
      <c r="DF981" t="e">
        <f t="shared" ca="1" si="2091"/>
        <v>#REF!</v>
      </c>
    </row>
    <row r="982" spans="47:110" x14ac:dyDescent="0.25">
      <c r="AU982" s="112"/>
      <c r="AV982" s="112"/>
      <c r="BQ982" s="238">
        <f t="shared" ref="BQ982:BQ985" si="2173">BQ981</f>
        <v>653</v>
      </c>
      <c r="BR982" t="s">
        <v>445</v>
      </c>
      <c r="BS982" t="s">
        <v>446</v>
      </c>
      <c r="BT982" s="114" t="e">
        <f t="shared" ca="1" si="2039"/>
        <v>#N/A</v>
      </c>
      <c r="BU982" s="112"/>
      <c r="BV982" t="e">
        <f t="shared" ca="1" si="2119"/>
        <v>#N/A</v>
      </c>
      <c r="BW982" s="112" t="e">
        <f t="shared" ca="1" si="2074"/>
        <v>#N/A</v>
      </c>
      <c r="BX982" s="112" t="e">
        <f t="shared" ca="1" si="2169"/>
        <v>#N/A</v>
      </c>
      <c r="BY982">
        <f t="shared" ca="1" si="2105"/>
        <v>0</v>
      </c>
      <c r="BZ982">
        <f t="shared" ca="1" si="2106"/>
        <v>24</v>
      </c>
      <c r="CB982" t="e">
        <f t="shared" ca="1" si="2080"/>
        <v>#N/A</v>
      </c>
      <c r="CC982" s="112" t="e">
        <f t="shared" ca="1" si="2081"/>
        <v>#N/A</v>
      </c>
      <c r="CD982" s="112" t="e">
        <f t="shared" ca="1" si="2082"/>
        <v>#N/A</v>
      </c>
      <c r="CE982">
        <f t="shared" ca="1" si="2083"/>
        <v>0</v>
      </c>
      <c r="CF982">
        <f t="shared" ca="1" si="2084"/>
        <v>24</v>
      </c>
      <c r="CH982" s="112" t="str">
        <f t="shared" ca="1" si="2152"/>
        <v/>
      </c>
      <c r="CI982" t="e">
        <f t="shared" ref="CI982:CI985" ca="1" si="2174">CI981</f>
        <v>#N/A</v>
      </c>
      <c r="CJ982" t="e">
        <f t="shared" ref="CJ982" ca="1" si="2175">IF(AND(CI982=0,CJ983=0,CJ984=0,CJ985=0,CC982&lt;100000),1,0)</f>
        <v>#N/A</v>
      </c>
      <c r="CK982" s="112" t="e">
        <f t="shared" ca="1" si="2159"/>
        <v>#N/A</v>
      </c>
      <c r="CM982" s="112"/>
      <c r="CN982" s="260" t="e">
        <f t="shared" ca="1" si="2108"/>
        <v>#N/A</v>
      </c>
      <c r="CO982" s="112" t="e">
        <f t="shared" ref="CO982:CO985" ca="1" si="2176">IF(CJ982=1,CH982,CD982)</f>
        <v>#N/A</v>
      </c>
      <c r="CP982" s="238">
        <f t="shared" ca="1" si="2161"/>
        <v>0</v>
      </c>
      <c r="CQ982" s="328">
        <f t="shared" ca="1" si="2162"/>
        <v>24</v>
      </c>
      <c r="CS982" s="112">
        <f t="shared" ca="1" si="2077"/>
        <v>100000</v>
      </c>
      <c r="CT982" s="112" t="e">
        <f t="shared" ca="1" si="2115"/>
        <v>#N/A</v>
      </c>
      <c r="CU982" s="238">
        <f t="shared" ca="1" si="2088"/>
        <v>0</v>
      </c>
      <c r="CV982" s="238">
        <f t="shared" ca="1" si="2089"/>
        <v>24</v>
      </c>
      <c r="CY982">
        <f t="shared" si="2096"/>
        <v>412</v>
      </c>
      <c r="DE982" t="str">
        <f t="shared" si="2090"/>
        <v>cs:dc771</v>
      </c>
      <c r="DF982" t="e">
        <f t="shared" ca="1" si="2091"/>
        <v>#REF!</v>
      </c>
    </row>
    <row r="983" spans="47:110" x14ac:dyDescent="0.25">
      <c r="AU983" s="112"/>
      <c r="AV983" s="112"/>
      <c r="BQ983" s="238">
        <f t="shared" si="2173"/>
        <v>653</v>
      </c>
      <c r="BR983" t="s">
        <v>446</v>
      </c>
      <c r="BS983" t="s">
        <v>447</v>
      </c>
      <c r="BT983" s="114" t="e">
        <f t="shared" ca="1" si="2039"/>
        <v>#N/A</v>
      </c>
      <c r="BU983" s="112"/>
      <c r="BV983" t="e">
        <f t="shared" ca="1" si="2119"/>
        <v>#N/A</v>
      </c>
      <c r="BW983" s="112" t="e">
        <f t="shared" ca="1" si="2074"/>
        <v>#N/A</v>
      </c>
      <c r="BX983" s="112" t="e">
        <f t="shared" ca="1" si="2169"/>
        <v>#N/A</v>
      </c>
      <c r="BY983">
        <f t="shared" ca="1" si="2105"/>
        <v>0</v>
      </c>
      <c r="BZ983">
        <f t="shared" ca="1" si="2106"/>
        <v>24</v>
      </c>
      <c r="CB983" t="e">
        <f t="shared" ca="1" si="2080"/>
        <v>#N/A</v>
      </c>
      <c r="CC983" s="112" t="e">
        <f t="shared" ca="1" si="2081"/>
        <v>#N/A</v>
      </c>
      <c r="CD983" s="112" t="e">
        <f t="shared" ca="1" si="2082"/>
        <v>#N/A</v>
      </c>
      <c r="CE983">
        <f t="shared" ca="1" si="2083"/>
        <v>0</v>
      </c>
      <c r="CF983">
        <f t="shared" ca="1" si="2084"/>
        <v>24</v>
      </c>
      <c r="CH983" s="112" t="str">
        <f t="shared" ca="1" si="2152"/>
        <v/>
      </c>
      <c r="CI983" t="e">
        <f t="shared" ca="1" si="2174"/>
        <v>#N/A</v>
      </c>
      <c r="CJ983" t="e">
        <f t="shared" ref="CJ983" ca="1" si="2177">IF(AND(CI983=0,CJ984=0,CJ985=0,CC983&lt;100000),1,0)</f>
        <v>#N/A</v>
      </c>
      <c r="CK983" s="112" t="e">
        <f t="shared" ca="1" si="2159"/>
        <v>#N/A</v>
      </c>
      <c r="CM983" s="112"/>
      <c r="CN983" s="260" t="e">
        <f t="shared" ca="1" si="2108"/>
        <v>#N/A</v>
      </c>
      <c r="CO983" s="112" t="e">
        <f t="shared" ca="1" si="2176"/>
        <v>#N/A</v>
      </c>
      <c r="CP983" s="238">
        <f t="shared" ca="1" si="2161"/>
        <v>0</v>
      </c>
      <c r="CQ983" s="328">
        <f t="shared" ca="1" si="2162"/>
        <v>24</v>
      </c>
      <c r="CS983" s="112">
        <f t="shared" ca="1" si="2077"/>
        <v>100000</v>
      </c>
      <c r="CT983" s="112" t="e">
        <f t="shared" ca="1" si="2115"/>
        <v>#N/A</v>
      </c>
      <c r="CU983" s="238">
        <f t="shared" ca="1" si="2088"/>
        <v>0</v>
      </c>
      <c r="CV983" s="238">
        <f t="shared" ca="1" si="2089"/>
        <v>24</v>
      </c>
      <c r="CY983">
        <f t="shared" si="2096"/>
        <v>413</v>
      </c>
      <c r="DE983" t="str">
        <f t="shared" si="2090"/>
        <v>cs:dc771</v>
      </c>
      <c r="DF983" t="e">
        <f t="shared" ca="1" si="2091"/>
        <v>#REF!</v>
      </c>
    </row>
    <row r="984" spans="47:110" x14ac:dyDescent="0.25">
      <c r="AU984" s="112"/>
      <c r="AV984" s="112"/>
      <c r="BQ984" s="238">
        <f t="shared" si="2173"/>
        <v>653</v>
      </c>
      <c r="BR984" t="s">
        <v>447</v>
      </c>
      <c r="BS984" t="s">
        <v>448</v>
      </c>
      <c r="BT984" s="114" t="e">
        <f t="shared" ca="1" si="2039"/>
        <v>#N/A</v>
      </c>
      <c r="BU984" s="112"/>
      <c r="BV984" t="e">
        <f t="shared" ca="1" si="2119"/>
        <v>#N/A</v>
      </c>
      <c r="BW984" s="112" t="e">
        <f t="shared" ca="1" si="2074"/>
        <v>#N/A</v>
      </c>
      <c r="BX984" s="112" t="e">
        <f t="shared" ref="BX984:BX985" ca="1" si="2178">INDIRECT(CONCATENATE(BS984,BQ984))</f>
        <v>#N/A</v>
      </c>
      <c r="BY984">
        <f t="shared" ca="1" si="2105"/>
        <v>0</v>
      </c>
      <c r="BZ984">
        <f t="shared" ca="1" si="2106"/>
        <v>24</v>
      </c>
      <c r="CB984" t="e">
        <f t="shared" ca="1" si="2080"/>
        <v>#N/A</v>
      </c>
      <c r="CC984" s="112" t="e">
        <f t="shared" ca="1" si="2081"/>
        <v>#N/A</v>
      </c>
      <c r="CD984" s="112" t="e">
        <f t="shared" ca="1" si="2082"/>
        <v>#N/A</v>
      </c>
      <c r="CE984">
        <f t="shared" ca="1" si="2083"/>
        <v>0</v>
      </c>
      <c r="CF984">
        <f t="shared" ca="1" si="2084"/>
        <v>24</v>
      </c>
      <c r="CH984" s="112" t="str">
        <f t="shared" ca="1" si="2152"/>
        <v/>
      </c>
      <c r="CI984" t="e">
        <f t="shared" ca="1" si="2174"/>
        <v>#N/A</v>
      </c>
      <c r="CJ984" t="e">
        <f t="shared" ref="CJ984" ca="1" si="2179">IF(AND(CI984=0,CJ985=0,CC984&lt;100000),1,0)</f>
        <v>#N/A</v>
      </c>
      <c r="CK984" s="112" t="e">
        <f t="shared" ca="1" si="2159"/>
        <v>#N/A</v>
      </c>
      <c r="CM984" s="112"/>
      <c r="CN984" s="260" t="e">
        <f t="shared" ca="1" si="2108"/>
        <v>#N/A</v>
      </c>
      <c r="CO984" s="112" t="e">
        <f t="shared" ca="1" si="2176"/>
        <v>#N/A</v>
      </c>
      <c r="CP984" s="238">
        <f t="shared" ca="1" si="2161"/>
        <v>0</v>
      </c>
      <c r="CQ984" s="328">
        <f t="shared" ca="1" si="2162"/>
        <v>24</v>
      </c>
      <c r="CS984" s="112">
        <f t="shared" ca="1" si="2077"/>
        <v>100000</v>
      </c>
      <c r="CT984" s="112" t="e">
        <f t="shared" ca="1" si="2115"/>
        <v>#N/A</v>
      </c>
      <c r="CU984" s="238">
        <f t="shared" ca="1" si="2088"/>
        <v>0</v>
      </c>
      <c r="CV984" s="238">
        <f t="shared" ca="1" si="2089"/>
        <v>24</v>
      </c>
      <c r="CY984">
        <f t="shared" si="2096"/>
        <v>414</v>
      </c>
      <c r="DE984" t="str">
        <f t="shared" si="2090"/>
        <v>cs:dc771</v>
      </c>
      <c r="DF984" t="e">
        <f t="shared" ca="1" si="2091"/>
        <v>#REF!</v>
      </c>
    </row>
    <row r="985" spans="47:110" ht="15.75" thickBot="1" x14ac:dyDescent="0.3">
      <c r="AU985" s="112"/>
      <c r="AV985" s="112"/>
      <c r="BQ985" s="238">
        <f t="shared" si="2173"/>
        <v>653</v>
      </c>
      <c r="BR985" t="s">
        <v>448</v>
      </c>
      <c r="BS985" t="s">
        <v>449</v>
      </c>
      <c r="BT985" s="114" t="e">
        <f t="shared" ca="1" si="2039"/>
        <v>#N/A</v>
      </c>
      <c r="BU985" s="112"/>
      <c r="BV985" t="e">
        <f t="shared" ca="1" si="2119"/>
        <v>#N/A</v>
      </c>
      <c r="BW985" s="112" t="e">
        <f t="shared" ca="1" si="2074"/>
        <v>#N/A</v>
      </c>
      <c r="BX985" s="112" t="str">
        <f t="shared" ca="1" si="2178"/>
        <v/>
      </c>
      <c r="BY985">
        <f t="shared" ca="1" si="2105"/>
        <v>0</v>
      </c>
      <c r="BZ985">
        <f t="shared" ca="1" si="2106"/>
        <v>24</v>
      </c>
      <c r="CB985" t="e">
        <f t="shared" ca="1" si="2080"/>
        <v>#N/A</v>
      </c>
      <c r="CC985" s="112" t="e">
        <f t="shared" ca="1" si="2081"/>
        <v>#N/A</v>
      </c>
      <c r="CD985" s="112" t="str">
        <f t="shared" ca="1" si="2082"/>
        <v/>
      </c>
      <c r="CE985">
        <f t="shared" ca="1" si="2083"/>
        <v>0</v>
      </c>
      <c r="CF985">
        <f t="shared" ca="1" si="2084"/>
        <v>24</v>
      </c>
      <c r="CH985" s="112" t="str">
        <f t="shared" ca="1" si="2152"/>
        <v/>
      </c>
      <c r="CI985" t="e">
        <f t="shared" ca="1" si="2174"/>
        <v>#N/A</v>
      </c>
      <c r="CJ985" t="e">
        <f t="shared" ref="CJ985" ca="1" si="2180">IF(AND(CI985=0,CC985&lt;100000),1,0)</f>
        <v>#N/A</v>
      </c>
      <c r="CK985" s="112" t="e">
        <f t="shared" ca="1" si="2159"/>
        <v>#N/A</v>
      </c>
      <c r="CM985" s="112"/>
      <c r="CN985" s="261" t="e">
        <f t="shared" ref="CN985" ca="1" si="2181">IF(AND(CN981=100000,CN982=100000,CN983=100000,CN984=100000),INDIRECT(CONCATENATE("aa",BQ985)),CC985)</f>
        <v>#N/A</v>
      </c>
      <c r="CO985" s="324" t="e">
        <f t="shared" ca="1" si="2176"/>
        <v>#N/A</v>
      </c>
      <c r="CP985" s="256">
        <f t="shared" ca="1" si="2161"/>
        <v>0</v>
      </c>
      <c r="CQ985" s="329">
        <f t="shared" ca="1" si="2162"/>
        <v>24</v>
      </c>
      <c r="CS985" s="112">
        <f t="shared" ca="1" si="2077"/>
        <v>100000</v>
      </c>
      <c r="CT985" s="112" t="e">
        <f t="shared" ca="1" si="2115"/>
        <v>#N/A</v>
      </c>
      <c r="CU985" s="238">
        <f t="shared" ca="1" si="2088"/>
        <v>0</v>
      </c>
      <c r="CV985" s="238">
        <f t="shared" ca="1" si="2089"/>
        <v>24</v>
      </c>
      <c r="CY985">
        <f t="shared" si="2096"/>
        <v>415</v>
      </c>
      <c r="DE985" t="str">
        <f t="shared" si="2090"/>
        <v>cs:dc771</v>
      </c>
      <c r="DF985" t="e">
        <f t="shared" ca="1" si="2091"/>
        <v>#REF!</v>
      </c>
    </row>
    <row r="986" spans="47:110" x14ac:dyDescent="0.25">
      <c r="AU986" s="112"/>
      <c r="AV986" s="112"/>
      <c r="BQ986" s="238">
        <f t="shared" ref="BQ986" si="2182">BQ985+1</f>
        <v>654</v>
      </c>
      <c r="BR986" s="112" t="s">
        <v>444</v>
      </c>
      <c r="BS986" s="112" t="s">
        <v>445</v>
      </c>
      <c r="BT986" s="114" t="e">
        <f t="shared" ca="1" si="2039"/>
        <v>#N/A</v>
      </c>
      <c r="BU986" s="112"/>
      <c r="BV986">
        <f t="shared" ca="1" si="2119"/>
        <v>0</v>
      </c>
      <c r="BW986" s="112" t="str">
        <f t="shared" ca="1" si="2074"/>
        <v/>
      </c>
      <c r="BX986" s="112" t="e">
        <f t="shared" ref="BX986:BX988" ca="1" si="2183">INDIRECT(CONCATENATE(BS986,BQ986))-1</f>
        <v>#N/A</v>
      </c>
      <c r="BY986">
        <f t="shared" ca="1" si="2105"/>
        <v>0</v>
      </c>
      <c r="BZ986">
        <f t="shared" ca="1" si="2106"/>
        <v>24</v>
      </c>
      <c r="CB986" t="e">
        <f t="shared" ca="1" si="2080"/>
        <v>#N/A</v>
      </c>
      <c r="CC986" s="112" t="e">
        <f t="shared" ca="1" si="2081"/>
        <v>#N/A</v>
      </c>
      <c r="CD986" s="112" t="e">
        <f t="shared" ca="1" si="2082"/>
        <v>#N/A</v>
      </c>
      <c r="CE986">
        <f t="shared" ca="1" si="2083"/>
        <v>0</v>
      </c>
      <c r="CF986">
        <f t="shared" ca="1" si="2084"/>
        <v>24</v>
      </c>
      <c r="CH986" s="112" t="str">
        <f t="shared" ca="1" si="2152"/>
        <v/>
      </c>
      <c r="CI986" t="e">
        <f t="shared" ref="CI986" ca="1" si="2184">CB986+CB987+CB988+CB989+CB990</f>
        <v>#N/A</v>
      </c>
      <c r="CJ986">
        <v>0</v>
      </c>
      <c r="CK986" s="112" t="str">
        <f t="shared" ca="1" si="2159"/>
        <v/>
      </c>
      <c r="CM986" s="112"/>
      <c r="CN986" s="408" t="e">
        <f t="shared" ca="1" si="2108"/>
        <v>#N/A</v>
      </c>
      <c r="CO986" s="326" t="e">
        <f t="shared" ref="CO986" ca="1" si="2185">CD986</f>
        <v>#N/A</v>
      </c>
      <c r="CP986" s="333">
        <f t="shared" ca="1" si="2161"/>
        <v>0</v>
      </c>
      <c r="CQ986" s="327">
        <f t="shared" ca="1" si="2162"/>
        <v>24</v>
      </c>
      <c r="CS986" s="112">
        <f t="shared" ca="1" si="2077"/>
        <v>100000</v>
      </c>
      <c r="CT986" s="112" t="e">
        <f t="shared" ref="CT986" ca="1" si="2186">IF(AND( CN987=100000,CN988=100000,CN989=100000,CN990=100000),CO990,                             CO986)</f>
        <v>#N/A</v>
      </c>
      <c r="CU986" s="238">
        <f t="shared" ca="1" si="2088"/>
        <v>0</v>
      </c>
      <c r="CV986" s="238">
        <f t="shared" ca="1" si="2089"/>
        <v>24</v>
      </c>
      <c r="CY986">
        <f t="shared" si="2096"/>
        <v>416</v>
      </c>
      <c r="DE986" t="str">
        <f t="shared" si="2090"/>
        <v>cs:dc771</v>
      </c>
      <c r="DF986" t="e">
        <f t="shared" ca="1" si="2091"/>
        <v>#REF!</v>
      </c>
    </row>
    <row r="987" spans="47:110" x14ac:dyDescent="0.25">
      <c r="AU987" s="112"/>
      <c r="AV987" s="112"/>
      <c r="BQ987" s="238">
        <f t="shared" ref="BQ987:BQ990" si="2187">BQ986</f>
        <v>654</v>
      </c>
      <c r="BR987" t="s">
        <v>445</v>
      </c>
      <c r="BS987" t="s">
        <v>446</v>
      </c>
      <c r="BT987" s="114" t="e">
        <f t="shared" ca="1" si="2039"/>
        <v>#N/A</v>
      </c>
      <c r="BU987" s="112"/>
      <c r="BV987" t="e">
        <f t="shared" ca="1" si="2119"/>
        <v>#N/A</v>
      </c>
      <c r="BW987" s="112" t="e">
        <f t="shared" ca="1" si="2074"/>
        <v>#N/A</v>
      </c>
      <c r="BX987" s="112" t="e">
        <f t="shared" ca="1" si="2183"/>
        <v>#N/A</v>
      </c>
      <c r="BY987">
        <f t="shared" ca="1" si="2105"/>
        <v>0</v>
      </c>
      <c r="BZ987">
        <f t="shared" ca="1" si="2106"/>
        <v>24</v>
      </c>
      <c r="CB987" t="e">
        <f t="shared" ca="1" si="2080"/>
        <v>#N/A</v>
      </c>
      <c r="CC987" s="112" t="e">
        <f t="shared" ca="1" si="2081"/>
        <v>#N/A</v>
      </c>
      <c r="CD987" s="112" t="e">
        <f t="shared" ca="1" si="2082"/>
        <v>#N/A</v>
      </c>
      <c r="CE987">
        <f t="shared" ca="1" si="2083"/>
        <v>0</v>
      </c>
      <c r="CF987">
        <f t="shared" ca="1" si="2084"/>
        <v>24</v>
      </c>
      <c r="CH987" s="112" t="str">
        <f t="shared" ca="1" si="2152"/>
        <v/>
      </c>
      <c r="CI987" t="e">
        <f t="shared" ref="CI987:CI990" ca="1" si="2188">CI986</f>
        <v>#N/A</v>
      </c>
      <c r="CJ987" t="e">
        <f t="shared" ref="CJ987" ca="1" si="2189">IF(AND(CI987=0,CJ988=0,CJ989=0,CJ990=0,CC987&lt;100000),1,0)</f>
        <v>#N/A</v>
      </c>
      <c r="CK987" s="112" t="e">
        <f t="shared" ca="1" si="2159"/>
        <v>#N/A</v>
      </c>
      <c r="CM987" s="112"/>
      <c r="CN987" s="260" t="e">
        <f t="shared" ca="1" si="2108"/>
        <v>#N/A</v>
      </c>
      <c r="CO987" s="112" t="e">
        <f t="shared" ref="CO987:CO990" ca="1" si="2190">IF(CJ987=1,CH987,CD987)</f>
        <v>#N/A</v>
      </c>
      <c r="CP987" s="238">
        <f t="shared" ca="1" si="2161"/>
        <v>0</v>
      </c>
      <c r="CQ987" s="328">
        <f t="shared" ca="1" si="2162"/>
        <v>24</v>
      </c>
      <c r="CS987" s="112">
        <f t="shared" ca="1" si="2077"/>
        <v>100000</v>
      </c>
      <c r="CT987" s="112" t="e">
        <f t="shared" ca="1" si="2115"/>
        <v>#N/A</v>
      </c>
      <c r="CU987" s="238">
        <f t="shared" ca="1" si="2088"/>
        <v>0</v>
      </c>
      <c r="CV987" s="238">
        <f t="shared" ca="1" si="2089"/>
        <v>24</v>
      </c>
      <c r="CY987">
        <f t="shared" si="2096"/>
        <v>417</v>
      </c>
      <c r="DE987" t="str">
        <f t="shared" si="2090"/>
        <v>cs:dc771</v>
      </c>
      <c r="DF987" t="e">
        <f t="shared" ca="1" si="2091"/>
        <v>#REF!</v>
      </c>
    </row>
    <row r="988" spans="47:110" x14ac:dyDescent="0.25">
      <c r="AU988" s="112"/>
      <c r="AV988" s="112"/>
      <c r="BQ988" s="238">
        <f t="shared" si="2187"/>
        <v>654</v>
      </c>
      <c r="BR988" t="s">
        <v>446</v>
      </c>
      <c r="BS988" t="s">
        <v>447</v>
      </c>
      <c r="BT988" s="114" t="e">
        <f t="shared" ca="1" si="2039"/>
        <v>#N/A</v>
      </c>
      <c r="BU988" s="112"/>
      <c r="BV988" t="e">
        <f t="shared" ca="1" si="2119"/>
        <v>#N/A</v>
      </c>
      <c r="BW988" s="112" t="e">
        <f t="shared" ca="1" si="2074"/>
        <v>#N/A</v>
      </c>
      <c r="BX988" s="112" t="e">
        <f t="shared" ca="1" si="2183"/>
        <v>#N/A</v>
      </c>
      <c r="BY988">
        <f t="shared" ca="1" si="2105"/>
        <v>0</v>
      </c>
      <c r="BZ988">
        <f t="shared" ca="1" si="2106"/>
        <v>24</v>
      </c>
      <c r="CB988" t="e">
        <f t="shared" ca="1" si="2080"/>
        <v>#N/A</v>
      </c>
      <c r="CC988" s="112" t="e">
        <f t="shared" ca="1" si="2081"/>
        <v>#N/A</v>
      </c>
      <c r="CD988" s="112" t="e">
        <f t="shared" ca="1" si="2082"/>
        <v>#N/A</v>
      </c>
      <c r="CE988">
        <f t="shared" ca="1" si="2083"/>
        <v>0</v>
      </c>
      <c r="CF988">
        <f t="shared" ca="1" si="2084"/>
        <v>24</v>
      </c>
      <c r="CH988" s="112" t="str">
        <f t="shared" ca="1" si="2152"/>
        <v/>
      </c>
      <c r="CI988" t="e">
        <f t="shared" ca="1" si="2188"/>
        <v>#N/A</v>
      </c>
      <c r="CJ988" t="e">
        <f t="shared" ref="CJ988" ca="1" si="2191">IF(AND(CI988=0,CJ989=0,CJ990=0,CC988&lt;100000),1,0)</f>
        <v>#N/A</v>
      </c>
      <c r="CK988" s="112" t="e">
        <f t="shared" ca="1" si="2159"/>
        <v>#N/A</v>
      </c>
      <c r="CM988" s="112"/>
      <c r="CN988" s="260" t="e">
        <f t="shared" ca="1" si="2108"/>
        <v>#N/A</v>
      </c>
      <c r="CO988" s="112" t="e">
        <f t="shared" ca="1" si="2190"/>
        <v>#N/A</v>
      </c>
      <c r="CP988" s="238">
        <f t="shared" ca="1" si="2161"/>
        <v>0</v>
      </c>
      <c r="CQ988" s="328">
        <f t="shared" ca="1" si="2162"/>
        <v>24</v>
      </c>
      <c r="CS988" s="112">
        <f t="shared" ca="1" si="2077"/>
        <v>100000</v>
      </c>
      <c r="CT988" s="112" t="e">
        <f t="shared" ca="1" si="2115"/>
        <v>#N/A</v>
      </c>
      <c r="CU988" s="238">
        <f t="shared" ca="1" si="2088"/>
        <v>0</v>
      </c>
      <c r="CV988" s="238">
        <f t="shared" ca="1" si="2089"/>
        <v>24</v>
      </c>
      <c r="CY988">
        <f t="shared" si="2096"/>
        <v>418</v>
      </c>
      <c r="DE988" t="str">
        <f t="shared" si="2090"/>
        <v>cs:dc771</v>
      </c>
      <c r="DF988" t="e">
        <f t="shared" ca="1" si="2091"/>
        <v>#REF!</v>
      </c>
    </row>
    <row r="989" spans="47:110" x14ac:dyDescent="0.25">
      <c r="AU989" s="112"/>
      <c r="AV989" s="112"/>
      <c r="BQ989" s="238">
        <f t="shared" si="2187"/>
        <v>654</v>
      </c>
      <c r="BR989" t="s">
        <v>447</v>
      </c>
      <c r="BS989" t="s">
        <v>448</v>
      </c>
      <c r="BT989" s="114" t="e">
        <f t="shared" ca="1" si="2039"/>
        <v>#N/A</v>
      </c>
      <c r="BU989" s="112"/>
      <c r="BV989" t="e">
        <f t="shared" ca="1" si="2119"/>
        <v>#N/A</v>
      </c>
      <c r="BW989" s="112" t="e">
        <f t="shared" ca="1" si="2074"/>
        <v>#N/A</v>
      </c>
      <c r="BX989" s="112" t="e">
        <f t="shared" ref="BX989:BX990" ca="1" si="2192">INDIRECT(CONCATENATE(BS989,BQ989))</f>
        <v>#N/A</v>
      </c>
      <c r="BY989">
        <f t="shared" ca="1" si="2105"/>
        <v>0</v>
      </c>
      <c r="BZ989">
        <f t="shared" ca="1" si="2106"/>
        <v>24</v>
      </c>
      <c r="CB989" t="e">
        <f t="shared" ca="1" si="2080"/>
        <v>#N/A</v>
      </c>
      <c r="CC989" s="112" t="e">
        <f t="shared" ca="1" si="2081"/>
        <v>#N/A</v>
      </c>
      <c r="CD989" s="112" t="e">
        <f t="shared" ca="1" si="2082"/>
        <v>#N/A</v>
      </c>
      <c r="CE989">
        <f t="shared" ca="1" si="2083"/>
        <v>0</v>
      </c>
      <c r="CF989">
        <f t="shared" ca="1" si="2084"/>
        <v>24</v>
      </c>
      <c r="CH989" s="112" t="str">
        <f t="shared" ca="1" si="2152"/>
        <v/>
      </c>
      <c r="CI989" t="e">
        <f t="shared" ca="1" si="2188"/>
        <v>#N/A</v>
      </c>
      <c r="CJ989" t="e">
        <f t="shared" ref="CJ989" ca="1" si="2193">IF(AND(CI989=0,CJ990=0,CC989&lt;100000),1,0)</f>
        <v>#N/A</v>
      </c>
      <c r="CK989" s="112" t="e">
        <f t="shared" ca="1" si="2159"/>
        <v>#N/A</v>
      </c>
      <c r="CM989" s="112"/>
      <c r="CN989" s="260" t="e">
        <f t="shared" ca="1" si="2108"/>
        <v>#N/A</v>
      </c>
      <c r="CO989" s="112" t="e">
        <f t="shared" ca="1" si="2190"/>
        <v>#N/A</v>
      </c>
      <c r="CP989" s="238">
        <f t="shared" ca="1" si="2161"/>
        <v>0</v>
      </c>
      <c r="CQ989" s="328">
        <f t="shared" ca="1" si="2162"/>
        <v>24</v>
      </c>
      <c r="CS989" s="112">
        <f t="shared" ca="1" si="2077"/>
        <v>100000</v>
      </c>
      <c r="CT989" s="112" t="e">
        <f t="shared" ca="1" si="2115"/>
        <v>#N/A</v>
      </c>
      <c r="CU989" s="238">
        <f t="shared" ca="1" si="2088"/>
        <v>0</v>
      </c>
      <c r="CV989" s="238">
        <f t="shared" ca="1" si="2089"/>
        <v>24</v>
      </c>
      <c r="CY989">
        <f t="shared" si="2096"/>
        <v>419</v>
      </c>
      <c r="DE989" t="str">
        <f t="shared" si="2090"/>
        <v>cs:dc771</v>
      </c>
      <c r="DF989" t="e">
        <f t="shared" ca="1" si="2091"/>
        <v>#REF!</v>
      </c>
    </row>
    <row r="990" spans="47:110" ht="15.75" thickBot="1" x14ac:dyDescent="0.3">
      <c r="AU990" s="112"/>
      <c r="AV990" s="112"/>
      <c r="BQ990" s="238">
        <f t="shared" si="2187"/>
        <v>654</v>
      </c>
      <c r="BR990" t="s">
        <v>448</v>
      </c>
      <c r="BS990" t="s">
        <v>449</v>
      </c>
      <c r="BT990" s="114" t="e">
        <f t="shared" ca="1" si="2039"/>
        <v>#N/A</v>
      </c>
      <c r="BU990" s="112"/>
      <c r="BV990" t="e">
        <f t="shared" ca="1" si="2119"/>
        <v>#N/A</v>
      </c>
      <c r="BW990" s="112" t="e">
        <f t="shared" ca="1" si="2074"/>
        <v>#N/A</v>
      </c>
      <c r="BX990" s="112" t="str">
        <f t="shared" ca="1" si="2192"/>
        <v/>
      </c>
      <c r="BY990">
        <f t="shared" ca="1" si="2105"/>
        <v>0</v>
      </c>
      <c r="BZ990">
        <f t="shared" ca="1" si="2106"/>
        <v>24</v>
      </c>
      <c r="CB990" t="e">
        <f t="shared" ca="1" si="2080"/>
        <v>#N/A</v>
      </c>
      <c r="CC990" s="112" t="e">
        <f t="shared" ca="1" si="2081"/>
        <v>#N/A</v>
      </c>
      <c r="CD990" s="112" t="str">
        <f t="shared" ca="1" si="2082"/>
        <v/>
      </c>
      <c r="CE990">
        <f t="shared" ca="1" si="2083"/>
        <v>0</v>
      </c>
      <c r="CF990">
        <f t="shared" ca="1" si="2084"/>
        <v>24</v>
      </c>
      <c r="CH990" s="112" t="str">
        <f t="shared" ca="1" si="2152"/>
        <v/>
      </c>
      <c r="CI990" t="e">
        <f t="shared" ca="1" si="2188"/>
        <v>#N/A</v>
      </c>
      <c r="CJ990" t="e">
        <f t="shared" ref="CJ990" ca="1" si="2194">IF(AND(CI990=0,CC990&lt;100000),1,0)</f>
        <v>#N/A</v>
      </c>
      <c r="CK990" s="112" t="e">
        <f t="shared" ca="1" si="2159"/>
        <v>#N/A</v>
      </c>
      <c r="CM990" s="112"/>
      <c r="CN990" s="261" t="e">
        <f t="shared" ref="CN990" ca="1" si="2195">IF(AND(CN986=100000,CN987=100000,CN988=100000,CN989=100000),INDIRECT(CONCATENATE("aa",BQ990)),CC990)</f>
        <v>#N/A</v>
      </c>
      <c r="CO990" s="324" t="e">
        <f t="shared" ca="1" si="2190"/>
        <v>#N/A</v>
      </c>
      <c r="CP990" s="256">
        <f t="shared" ca="1" si="2161"/>
        <v>0</v>
      </c>
      <c r="CQ990" s="329">
        <f t="shared" ca="1" si="2162"/>
        <v>24</v>
      </c>
      <c r="CS990" s="112">
        <f t="shared" ca="1" si="2077"/>
        <v>100000</v>
      </c>
      <c r="CT990" s="112" t="e">
        <f t="shared" ca="1" si="2115"/>
        <v>#N/A</v>
      </c>
      <c r="CU990" s="238">
        <f t="shared" ca="1" si="2088"/>
        <v>0</v>
      </c>
      <c r="CV990" s="238">
        <f t="shared" ca="1" si="2089"/>
        <v>24</v>
      </c>
      <c r="CY990">
        <f t="shared" si="2096"/>
        <v>420</v>
      </c>
      <c r="DE990" t="str">
        <f t="shared" si="2090"/>
        <v>cs:dc771</v>
      </c>
      <c r="DF990" t="e">
        <f t="shared" ca="1" si="2091"/>
        <v>#REF!</v>
      </c>
    </row>
    <row r="991" spans="47:110" x14ac:dyDescent="0.25">
      <c r="AU991" s="112"/>
      <c r="AV991" s="112"/>
      <c r="BQ991" s="238">
        <f t="shared" ref="BQ991" si="2196">BQ990+1</f>
        <v>655</v>
      </c>
      <c r="BR991" s="112" t="s">
        <v>444</v>
      </c>
      <c r="BS991" s="112" t="s">
        <v>445</v>
      </c>
      <c r="BT991" s="114" t="e">
        <f t="shared" ca="1" si="2039"/>
        <v>#N/A</v>
      </c>
      <c r="BU991" s="112"/>
      <c r="BV991">
        <f t="shared" ca="1" si="2119"/>
        <v>0</v>
      </c>
      <c r="BW991" s="112" t="str">
        <f t="shared" ca="1" si="2074"/>
        <v/>
      </c>
      <c r="BX991" s="112" t="e">
        <f t="shared" ref="BX991:BX993" ca="1" si="2197">INDIRECT(CONCATENATE(BS991,BQ991))-1</f>
        <v>#N/A</v>
      </c>
      <c r="BY991">
        <f t="shared" ca="1" si="2105"/>
        <v>0</v>
      </c>
      <c r="BZ991">
        <f t="shared" ca="1" si="2106"/>
        <v>24</v>
      </c>
      <c r="CB991" t="e">
        <f t="shared" ca="1" si="2080"/>
        <v>#N/A</v>
      </c>
      <c r="CC991" s="112" t="e">
        <f t="shared" ca="1" si="2081"/>
        <v>#N/A</v>
      </c>
      <c r="CD991" s="112" t="e">
        <f t="shared" ca="1" si="2082"/>
        <v>#N/A</v>
      </c>
      <c r="CE991">
        <f t="shared" ca="1" si="2083"/>
        <v>0</v>
      </c>
      <c r="CF991">
        <f t="shared" ca="1" si="2084"/>
        <v>24</v>
      </c>
      <c r="CH991" s="112" t="str">
        <f t="shared" ca="1" si="2152"/>
        <v/>
      </c>
      <c r="CI991" t="e">
        <f t="shared" ref="CI991" ca="1" si="2198">CB991+CB992+CB993+CB994+CB995</f>
        <v>#N/A</v>
      </c>
      <c r="CJ991">
        <v>0</v>
      </c>
      <c r="CK991" s="112" t="str">
        <f t="shared" ca="1" si="2159"/>
        <v/>
      </c>
      <c r="CM991" s="112"/>
      <c r="CN991" s="408" t="e">
        <f t="shared" ca="1" si="2108"/>
        <v>#N/A</v>
      </c>
      <c r="CO991" s="326" t="e">
        <f t="shared" ref="CO991" ca="1" si="2199">CD991</f>
        <v>#N/A</v>
      </c>
      <c r="CP991" s="333">
        <f t="shared" ca="1" si="2161"/>
        <v>0</v>
      </c>
      <c r="CQ991" s="327">
        <f t="shared" ca="1" si="2162"/>
        <v>24</v>
      </c>
      <c r="CS991" s="112">
        <f t="shared" ca="1" si="2077"/>
        <v>100000</v>
      </c>
      <c r="CT991" s="112" t="e">
        <f t="shared" ref="CT991" ca="1" si="2200">IF(AND( CN992=100000,CN993=100000,CN994=100000,CN995=100000),CO995,                             CO991)</f>
        <v>#N/A</v>
      </c>
      <c r="CU991" s="238">
        <f t="shared" ca="1" si="2088"/>
        <v>0</v>
      </c>
      <c r="CV991" s="238">
        <f t="shared" ca="1" si="2089"/>
        <v>24</v>
      </c>
      <c r="CY991">
        <f t="shared" si="2096"/>
        <v>421</v>
      </c>
      <c r="DE991" t="str">
        <f t="shared" si="2090"/>
        <v>cs:dc771</v>
      </c>
      <c r="DF991" t="e">
        <f t="shared" ca="1" si="2091"/>
        <v>#REF!</v>
      </c>
    </row>
    <row r="992" spans="47:110" x14ac:dyDescent="0.25">
      <c r="AU992" s="112"/>
      <c r="AV992" s="112"/>
      <c r="BQ992" s="238">
        <f t="shared" ref="BQ992:BQ995" si="2201">BQ991</f>
        <v>655</v>
      </c>
      <c r="BR992" t="s">
        <v>445</v>
      </c>
      <c r="BS992" t="s">
        <v>446</v>
      </c>
      <c r="BT992" s="114" t="e">
        <f t="shared" ca="1" si="2039"/>
        <v>#N/A</v>
      </c>
      <c r="BU992" s="112"/>
      <c r="BV992" t="e">
        <f t="shared" ca="1" si="2119"/>
        <v>#N/A</v>
      </c>
      <c r="BW992" s="112" t="e">
        <f t="shared" ca="1" si="2074"/>
        <v>#N/A</v>
      </c>
      <c r="BX992" s="112" t="e">
        <f t="shared" ca="1" si="2197"/>
        <v>#N/A</v>
      </c>
      <c r="BY992">
        <f t="shared" ca="1" si="2105"/>
        <v>0</v>
      </c>
      <c r="BZ992">
        <f t="shared" ca="1" si="2106"/>
        <v>24</v>
      </c>
      <c r="CB992" t="e">
        <f t="shared" ca="1" si="2080"/>
        <v>#N/A</v>
      </c>
      <c r="CC992" s="112" t="e">
        <f t="shared" ca="1" si="2081"/>
        <v>#N/A</v>
      </c>
      <c r="CD992" s="112" t="e">
        <f t="shared" ca="1" si="2082"/>
        <v>#N/A</v>
      </c>
      <c r="CE992">
        <f t="shared" ca="1" si="2083"/>
        <v>0</v>
      </c>
      <c r="CF992">
        <f t="shared" ca="1" si="2084"/>
        <v>24</v>
      </c>
      <c r="CH992" s="112" t="str">
        <f t="shared" ca="1" si="2152"/>
        <v/>
      </c>
      <c r="CI992" t="e">
        <f t="shared" ref="CI992:CI995" ca="1" si="2202">CI991</f>
        <v>#N/A</v>
      </c>
      <c r="CJ992" t="e">
        <f t="shared" ref="CJ992" ca="1" si="2203">IF(AND(CI992=0,CJ993=0,CJ994=0,CJ995=0,CC992&lt;100000),1,0)</f>
        <v>#N/A</v>
      </c>
      <c r="CK992" s="112" t="e">
        <f t="shared" ca="1" si="2159"/>
        <v>#N/A</v>
      </c>
      <c r="CM992" s="112"/>
      <c r="CN992" s="260" t="e">
        <f t="shared" ca="1" si="2108"/>
        <v>#N/A</v>
      </c>
      <c r="CO992" s="112" t="e">
        <f t="shared" ref="CO992:CO995" ca="1" si="2204">IF(CJ992=1,CH992,CD992)</f>
        <v>#N/A</v>
      </c>
      <c r="CP992" s="238">
        <f t="shared" ca="1" si="2161"/>
        <v>0</v>
      </c>
      <c r="CQ992" s="328">
        <f t="shared" ca="1" si="2162"/>
        <v>24</v>
      </c>
      <c r="CS992" s="112">
        <f t="shared" ca="1" si="2077"/>
        <v>100000</v>
      </c>
      <c r="CT992" s="112" t="e">
        <f t="shared" ca="1" si="2115"/>
        <v>#N/A</v>
      </c>
      <c r="CU992" s="238">
        <f t="shared" ca="1" si="2088"/>
        <v>0</v>
      </c>
      <c r="CV992" s="238">
        <f t="shared" ca="1" si="2089"/>
        <v>24</v>
      </c>
      <c r="CY992">
        <f t="shared" si="2096"/>
        <v>422</v>
      </c>
      <c r="DE992" t="str">
        <f t="shared" si="2090"/>
        <v>cs:dc771</v>
      </c>
      <c r="DF992" t="e">
        <f t="shared" ca="1" si="2091"/>
        <v>#REF!</v>
      </c>
    </row>
    <row r="993" spans="47:110" x14ac:dyDescent="0.25">
      <c r="AU993" s="112"/>
      <c r="AV993" s="112"/>
      <c r="BQ993" s="238">
        <f t="shared" si="2201"/>
        <v>655</v>
      </c>
      <c r="BR993" t="s">
        <v>446</v>
      </c>
      <c r="BS993" t="s">
        <v>447</v>
      </c>
      <c r="BT993" s="114" t="e">
        <f t="shared" ca="1" si="2039"/>
        <v>#N/A</v>
      </c>
      <c r="BU993" s="112"/>
      <c r="BV993" t="e">
        <f t="shared" ca="1" si="2119"/>
        <v>#N/A</v>
      </c>
      <c r="BW993" s="112" t="e">
        <f t="shared" ca="1" si="2074"/>
        <v>#N/A</v>
      </c>
      <c r="BX993" s="112" t="e">
        <f t="shared" ca="1" si="2197"/>
        <v>#N/A</v>
      </c>
      <c r="BY993">
        <f t="shared" ca="1" si="2105"/>
        <v>0</v>
      </c>
      <c r="BZ993">
        <f t="shared" ca="1" si="2106"/>
        <v>24</v>
      </c>
      <c r="CB993" t="e">
        <f t="shared" ca="1" si="2080"/>
        <v>#N/A</v>
      </c>
      <c r="CC993" s="112" t="e">
        <f t="shared" ca="1" si="2081"/>
        <v>#N/A</v>
      </c>
      <c r="CD993" s="112" t="e">
        <f t="shared" ca="1" si="2082"/>
        <v>#N/A</v>
      </c>
      <c r="CE993">
        <f t="shared" ca="1" si="2083"/>
        <v>0</v>
      </c>
      <c r="CF993">
        <f t="shared" ca="1" si="2084"/>
        <v>24</v>
      </c>
      <c r="CH993" s="112" t="str">
        <f t="shared" ca="1" si="2152"/>
        <v/>
      </c>
      <c r="CI993" t="e">
        <f t="shared" ca="1" si="2202"/>
        <v>#N/A</v>
      </c>
      <c r="CJ993" t="e">
        <f t="shared" ref="CJ993" ca="1" si="2205">IF(AND(CI993=0,CJ994=0,CJ995=0,CC993&lt;100000),1,0)</f>
        <v>#N/A</v>
      </c>
      <c r="CK993" s="112" t="e">
        <f t="shared" ca="1" si="2159"/>
        <v>#N/A</v>
      </c>
      <c r="CM993" s="112"/>
      <c r="CN993" s="260" t="e">
        <f t="shared" ca="1" si="2108"/>
        <v>#N/A</v>
      </c>
      <c r="CO993" s="112" t="e">
        <f t="shared" ca="1" si="2204"/>
        <v>#N/A</v>
      </c>
      <c r="CP993" s="238">
        <f t="shared" ca="1" si="2161"/>
        <v>0</v>
      </c>
      <c r="CQ993" s="328">
        <f t="shared" ca="1" si="2162"/>
        <v>24</v>
      </c>
      <c r="CS993" s="112">
        <f t="shared" ca="1" si="2077"/>
        <v>100000</v>
      </c>
      <c r="CT993" s="112" t="e">
        <f t="shared" ca="1" si="2115"/>
        <v>#N/A</v>
      </c>
      <c r="CU993" s="238">
        <f t="shared" ca="1" si="2088"/>
        <v>0</v>
      </c>
      <c r="CV993" s="238">
        <f t="shared" ca="1" si="2089"/>
        <v>24</v>
      </c>
      <c r="CY993">
        <f t="shared" si="2096"/>
        <v>423</v>
      </c>
      <c r="DE993" t="str">
        <f t="shared" si="2090"/>
        <v>cs:dc771</v>
      </c>
      <c r="DF993" t="e">
        <f t="shared" ca="1" si="2091"/>
        <v>#REF!</v>
      </c>
    </row>
    <row r="994" spans="47:110" x14ac:dyDescent="0.25">
      <c r="AU994" s="112"/>
      <c r="AV994" s="112"/>
      <c r="BQ994" s="238">
        <f t="shared" si="2201"/>
        <v>655</v>
      </c>
      <c r="BR994" t="s">
        <v>447</v>
      </c>
      <c r="BS994" t="s">
        <v>448</v>
      </c>
      <c r="BT994" s="114" t="e">
        <f t="shared" ca="1" si="2039"/>
        <v>#N/A</v>
      </c>
      <c r="BU994" s="112"/>
      <c r="BV994" t="e">
        <f t="shared" ca="1" si="2119"/>
        <v>#N/A</v>
      </c>
      <c r="BW994" s="112" t="e">
        <f t="shared" ca="1" si="2074"/>
        <v>#N/A</v>
      </c>
      <c r="BX994" s="112" t="e">
        <f t="shared" ref="BX994:BX995" ca="1" si="2206">INDIRECT(CONCATENATE(BS994,BQ994))</f>
        <v>#N/A</v>
      </c>
      <c r="BY994">
        <f t="shared" ca="1" si="2105"/>
        <v>0</v>
      </c>
      <c r="BZ994">
        <f t="shared" ca="1" si="2106"/>
        <v>24</v>
      </c>
      <c r="CB994" t="e">
        <f t="shared" ca="1" si="2080"/>
        <v>#N/A</v>
      </c>
      <c r="CC994" s="112" t="e">
        <f t="shared" ca="1" si="2081"/>
        <v>#N/A</v>
      </c>
      <c r="CD994" s="112" t="e">
        <f t="shared" ca="1" si="2082"/>
        <v>#N/A</v>
      </c>
      <c r="CE994">
        <f t="shared" ca="1" si="2083"/>
        <v>0</v>
      </c>
      <c r="CF994">
        <f t="shared" ca="1" si="2084"/>
        <v>24</v>
      </c>
      <c r="CH994" s="112" t="str">
        <f t="shared" ca="1" si="2152"/>
        <v/>
      </c>
      <c r="CI994" t="e">
        <f t="shared" ca="1" si="2202"/>
        <v>#N/A</v>
      </c>
      <c r="CJ994" t="e">
        <f t="shared" ref="CJ994" ca="1" si="2207">IF(AND(CI994=0,CJ995=0,CC994&lt;100000),1,0)</f>
        <v>#N/A</v>
      </c>
      <c r="CK994" s="112" t="e">
        <f t="shared" ca="1" si="2159"/>
        <v>#N/A</v>
      </c>
      <c r="CM994" s="112"/>
      <c r="CN994" s="260" t="e">
        <f t="shared" ca="1" si="2108"/>
        <v>#N/A</v>
      </c>
      <c r="CO994" s="112" t="e">
        <f t="shared" ca="1" si="2204"/>
        <v>#N/A</v>
      </c>
      <c r="CP994" s="238">
        <f t="shared" ca="1" si="2161"/>
        <v>0</v>
      </c>
      <c r="CQ994" s="328">
        <f t="shared" ca="1" si="2162"/>
        <v>24</v>
      </c>
      <c r="CS994" s="112">
        <f t="shared" ca="1" si="2077"/>
        <v>100000</v>
      </c>
      <c r="CT994" s="112" t="e">
        <f t="shared" ca="1" si="2115"/>
        <v>#N/A</v>
      </c>
      <c r="CU994" s="238">
        <f t="shared" ca="1" si="2088"/>
        <v>0</v>
      </c>
      <c r="CV994" s="238">
        <f t="shared" ca="1" si="2089"/>
        <v>24</v>
      </c>
      <c r="CY994">
        <f t="shared" si="2096"/>
        <v>424</v>
      </c>
      <c r="DE994" t="str">
        <f t="shared" si="2090"/>
        <v>cs:dc771</v>
      </c>
      <c r="DF994" t="e">
        <f t="shared" ca="1" si="2091"/>
        <v>#REF!</v>
      </c>
    </row>
    <row r="995" spans="47:110" ht="15.75" thickBot="1" x14ac:dyDescent="0.3">
      <c r="AU995" s="112"/>
      <c r="AV995" s="112"/>
      <c r="BQ995" s="238">
        <f t="shared" si="2201"/>
        <v>655</v>
      </c>
      <c r="BR995" t="s">
        <v>448</v>
      </c>
      <c r="BS995" t="s">
        <v>449</v>
      </c>
      <c r="BT995" s="114" t="e">
        <f t="shared" ca="1" si="2039"/>
        <v>#N/A</v>
      </c>
      <c r="BU995" s="112"/>
      <c r="BV995" t="e">
        <f t="shared" ca="1" si="2119"/>
        <v>#N/A</v>
      </c>
      <c r="BW995" s="112" t="e">
        <f t="shared" ca="1" si="2074"/>
        <v>#N/A</v>
      </c>
      <c r="BX995" s="112" t="str">
        <f t="shared" ca="1" si="2206"/>
        <v/>
      </c>
      <c r="BY995">
        <f t="shared" ca="1" si="2105"/>
        <v>0</v>
      </c>
      <c r="BZ995">
        <f t="shared" ca="1" si="2106"/>
        <v>24</v>
      </c>
      <c r="CB995" t="e">
        <f t="shared" ca="1" si="2080"/>
        <v>#N/A</v>
      </c>
      <c r="CC995" s="112" t="e">
        <f t="shared" ca="1" si="2081"/>
        <v>#N/A</v>
      </c>
      <c r="CD995" s="112" t="str">
        <f t="shared" ca="1" si="2082"/>
        <v/>
      </c>
      <c r="CE995">
        <f t="shared" ca="1" si="2083"/>
        <v>0</v>
      </c>
      <c r="CF995">
        <f t="shared" ca="1" si="2084"/>
        <v>24</v>
      </c>
      <c r="CH995" s="112" t="str">
        <f t="shared" ca="1" si="2152"/>
        <v/>
      </c>
      <c r="CI995" t="e">
        <f t="shared" ca="1" si="2202"/>
        <v>#N/A</v>
      </c>
      <c r="CJ995" t="e">
        <f t="shared" ref="CJ995" ca="1" si="2208">IF(AND(CI995=0,CC995&lt;100000),1,0)</f>
        <v>#N/A</v>
      </c>
      <c r="CK995" s="112" t="e">
        <f t="shared" ca="1" si="2159"/>
        <v>#N/A</v>
      </c>
      <c r="CM995" s="112"/>
      <c r="CN995" s="261" t="e">
        <f t="shared" ref="CN995" ca="1" si="2209">IF(AND(CN991=100000,CN992=100000,CN993=100000,CN994=100000),INDIRECT(CONCATENATE("aa",BQ995)),CC995)</f>
        <v>#N/A</v>
      </c>
      <c r="CO995" s="324" t="e">
        <f t="shared" ca="1" si="2204"/>
        <v>#N/A</v>
      </c>
      <c r="CP995" s="256">
        <f t="shared" ca="1" si="2161"/>
        <v>0</v>
      </c>
      <c r="CQ995" s="329">
        <f t="shared" ca="1" si="2162"/>
        <v>24</v>
      </c>
      <c r="CS995" s="112">
        <f t="shared" ca="1" si="2077"/>
        <v>100000</v>
      </c>
      <c r="CT995" s="112" t="e">
        <f t="shared" ca="1" si="2115"/>
        <v>#N/A</v>
      </c>
      <c r="CU995" s="238">
        <f t="shared" ca="1" si="2088"/>
        <v>0</v>
      </c>
      <c r="CV995" s="238">
        <f t="shared" ca="1" si="2089"/>
        <v>24</v>
      </c>
      <c r="CY995">
        <f t="shared" si="2096"/>
        <v>425</v>
      </c>
      <c r="DE995" t="str">
        <f t="shared" si="2090"/>
        <v>cs:dc771</v>
      </c>
      <c r="DF995" t="e">
        <f t="shared" ca="1" si="2091"/>
        <v>#REF!</v>
      </c>
    </row>
    <row r="996" spans="47:110" x14ac:dyDescent="0.25">
      <c r="AU996" s="112"/>
      <c r="AV996" s="112"/>
      <c r="BQ996" s="238">
        <f t="shared" ref="BQ996" si="2210">BQ995+1</f>
        <v>656</v>
      </c>
      <c r="BR996" s="112" t="s">
        <v>444</v>
      </c>
      <c r="BS996" s="112" t="s">
        <v>445</v>
      </c>
      <c r="BT996" s="114" t="e">
        <f t="shared" ca="1" si="2039"/>
        <v>#N/A</v>
      </c>
      <c r="BU996" s="112"/>
      <c r="BV996">
        <f t="shared" ca="1" si="2119"/>
        <v>0</v>
      </c>
      <c r="BW996" s="112" t="str">
        <f t="shared" ca="1" si="2074"/>
        <v/>
      </c>
      <c r="BX996" s="112" t="e">
        <f t="shared" ref="BX996:BX998" ca="1" si="2211">INDIRECT(CONCATENATE(BS996,BQ996))-1</f>
        <v>#N/A</v>
      </c>
      <c r="BY996">
        <f t="shared" ca="1" si="2105"/>
        <v>0</v>
      </c>
      <c r="BZ996">
        <f t="shared" ca="1" si="2106"/>
        <v>24</v>
      </c>
      <c r="CB996" t="e">
        <f t="shared" ca="1" si="2080"/>
        <v>#N/A</v>
      </c>
      <c r="CC996" s="112" t="e">
        <f t="shared" ca="1" si="2081"/>
        <v>#N/A</v>
      </c>
      <c r="CD996" s="112" t="e">
        <f t="shared" ca="1" si="2082"/>
        <v>#N/A</v>
      </c>
      <c r="CE996">
        <f t="shared" ca="1" si="2083"/>
        <v>0</v>
      </c>
      <c r="CF996">
        <f t="shared" ca="1" si="2084"/>
        <v>24</v>
      </c>
      <c r="CH996" s="112" t="str">
        <f t="shared" ca="1" si="2152"/>
        <v/>
      </c>
      <c r="CI996" t="e">
        <f t="shared" ref="CI996" ca="1" si="2212">CB996+CB997+CB998+CB999+CB1000</f>
        <v>#N/A</v>
      </c>
      <c r="CJ996">
        <v>0</v>
      </c>
      <c r="CK996" s="112" t="str">
        <f t="shared" ca="1" si="2159"/>
        <v/>
      </c>
      <c r="CM996" s="112"/>
      <c r="CN996" s="408" t="e">
        <f t="shared" ca="1" si="2108"/>
        <v>#N/A</v>
      </c>
      <c r="CO996" s="326" t="e">
        <f t="shared" ref="CO996" ca="1" si="2213">CD996</f>
        <v>#N/A</v>
      </c>
      <c r="CP996" s="333">
        <f t="shared" ca="1" si="2161"/>
        <v>0</v>
      </c>
      <c r="CQ996" s="327">
        <f t="shared" ca="1" si="2162"/>
        <v>24</v>
      </c>
      <c r="CS996" s="112">
        <f t="shared" ca="1" si="2077"/>
        <v>100000</v>
      </c>
      <c r="CT996" s="112" t="e">
        <f t="shared" ref="CT996" ca="1" si="2214">IF(AND( CN997=100000,CN998=100000,CN999=100000,CN1000=100000),CO1000,                             CO996)</f>
        <v>#N/A</v>
      </c>
      <c r="CU996" s="238">
        <f t="shared" ca="1" si="2088"/>
        <v>0</v>
      </c>
      <c r="CV996" s="238">
        <f t="shared" ca="1" si="2089"/>
        <v>24</v>
      </c>
      <c r="CY996">
        <f t="shared" si="2096"/>
        <v>426</v>
      </c>
      <c r="DE996" t="str">
        <f t="shared" si="2090"/>
        <v>cs:dc771</v>
      </c>
      <c r="DF996" t="e">
        <f t="shared" ca="1" si="2091"/>
        <v>#REF!</v>
      </c>
    </row>
    <row r="997" spans="47:110" x14ac:dyDescent="0.25">
      <c r="AU997" s="112"/>
      <c r="AV997" s="112"/>
      <c r="BQ997" s="238">
        <f t="shared" ref="BQ997:BQ1000" si="2215">BQ996</f>
        <v>656</v>
      </c>
      <c r="BR997" t="s">
        <v>445</v>
      </c>
      <c r="BS997" t="s">
        <v>446</v>
      </c>
      <c r="BT997" s="114" t="e">
        <f t="shared" ca="1" si="2039"/>
        <v>#N/A</v>
      </c>
      <c r="BU997" s="112"/>
      <c r="BV997" t="e">
        <f t="shared" ca="1" si="2119"/>
        <v>#N/A</v>
      </c>
      <c r="BW997" s="112" t="e">
        <f t="shared" ca="1" si="2074"/>
        <v>#N/A</v>
      </c>
      <c r="BX997" s="112" t="e">
        <f t="shared" ca="1" si="2211"/>
        <v>#N/A</v>
      </c>
      <c r="BY997">
        <f t="shared" ca="1" si="2105"/>
        <v>0</v>
      </c>
      <c r="BZ997">
        <f t="shared" ca="1" si="2106"/>
        <v>24</v>
      </c>
      <c r="CB997" t="e">
        <f t="shared" ca="1" si="2080"/>
        <v>#N/A</v>
      </c>
      <c r="CC997" s="112" t="e">
        <f t="shared" ca="1" si="2081"/>
        <v>#N/A</v>
      </c>
      <c r="CD997" s="112" t="e">
        <f t="shared" ca="1" si="2082"/>
        <v>#N/A</v>
      </c>
      <c r="CE997">
        <f t="shared" ca="1" si="2083"/>
        <v>0</v>
      </c>
      <c r="CF997">
        <f t="shared" ca="1" si="2084"/>
        <v>24</v>
      </c>
      <c r="CH997" s="112" t="str">
        <f t="shared" ca="1" si="2152"/>
        <v/>
      </c>
      <c r="CI997" t="e">
        <f t="shared" ref="CI997:CI1000" ca="1" si="2216">CI996</f>
        <v>#N/A</v>
      </c>
      <c r="CJ997" t="e">
        <f t="shared" ref="CJ997" ca="1" si="2217">IF(AND(CI997=0,CJ998=0,CJ999=0,CJ1000=0,CC997&lt;100000),1,0)</f>
        <v>#N/A</v>
      </c>
      <c r="CK997" s="112" t="e">
        <f t="shared" ca="1" si="2159"/>
        <v>#N/A</v>
      </c>
      <c r="CM997" s="112"/>
      <c r="CN997" s="260" t="e">
        <f t="shared" ca="1" si="2108"/>
        <v>#N/A</v>
      </c>
      <c r="CO997" s="112" t="e">
        <f t="shared" ref="CO997:CO1000" ca="1" si="2218">IF(CJ997=1,CH997,CD997)</f>
        <v>#N/A</v>
      </c>
      <c r="CP997" s="238">
        <f t="shared" ca="1" si="2161"/>
        <v>0</v>
      </c>
      <c r="CQ997" s="328">
        <f t="shared" ca="1" si="2162"/>
        <v>24</v>
      </c>
      <c r="CS997" s="112">
        <f t="shared" ca="1" si="2077"/>
        <v>100000</v>
      </c>
      <c r="CT997" s="112" t="e">
        <f t="shared" ca="1" si="2115"/>
        <v>#N/A</v>
      </c>
      <c r="CU997" s="238">
        <f t="shared" ca="1" si="2088"/>
        <v>0</v>
      </c>
      <c r="CV997" s="238">
        <f t="shared" ca="1" si="2089"/>
        <v>24</v>
      </c>
      <c r="CY997">
        <f t="shared" si="2096"/>
        <v>427</v>
      </c>
      <c r="DE997" t="str">
        <f t="shared" si="2090"/>
        <v>cs:dc771</v>
      </c>
      <c r="DF997" t="e">
        <f t="shared" ca="1" si="2091"/>
        <v>#REF!</v>
      </c>
    </row>
    <row r="998" spans="47:110" x14ac:dyDescent="0.25">
      <c r="AU998" s="112"/>
      <c r="AV998" s="112"/>
      <c r="BQ998" s="238">
        <f t="shared" si="2215"/>
        <v>656</v>
      </c>
      <c r="BR998" t="s">
        <v>446</v>
      </c>
      <c r="BS998" t="s">
        <v>447</v>
      </c>
      <c r="BT998" s="114" t="e">
        <f t="shared" ca="1" si="2039"/>
        <v>#N/A</v>
      </c>
      <c r="BU998" s="112"/>
      <c r="BV998" t="e">
        <f t="shared" ca="1" si="2119"/>
        <v>#N/A</v>
      </c>
      <c r="BW998" s="112" t="e">
        <f t="shared" ca="1" si="2074"/>
        <v>#N/A</v>
      </c>
      <c r="BX998" s="112" t="e">
        <f t="shared" ca="1" si="2211"/>
        <v>#N/A</v>
      </c>
      <c r="BY998">
        <f t="shared" ca="1" si="2105"/>
        <v>0</v>
      </c>
      <c r="BZ998">
        <f t="shared" ca="1" si="2106"/>
        <v>24</v>
      </c>
      <c r="CB998" t="e">
        <f t="shared" ca="1" si="2080"/>
        <v>#N/A</v>
      </c>
      <c r="CC998" s="112" t="e">
        <f t="shared" ca="1" si="2081"/>
        <v>#N/A</v>
      </c>
      <c r="CD998" s="112" t="e">
        <f t="shared" ca="1" si="2082"/>
        <v>#N/A</v>
      </c>
      <c r="CE998">
        <f t="shared" ca="1" si="2083"/>
        <v>0</v>
      </c>
      <c r="CF998">
        <f t="shared" ca="1" si="2084"/>
        <v>24</v>
      </c>
      <c r="CH998" s="112" t="str">
        <f t="shared" ca="1" si="2152"/>
        <v/>
      </c>
      <c r="CI998" t="e">
        <f t="shared" ca="1" si="2216"/>
        <v>#N/A</v>
      </c>
      <c r="CJ998" t="e">
        <f t="shared" ref="CJ998" ca="1" si="2219">IF(AND(CI998=0,CJ999=0,CJ1000=0,CC998&lt;100000),1,0)</f>
        <v>#N/A</v>
      </c>
      <c r="CK998" s="112" t="e">
        <f t="shared" ca="1" si="2159"/>
        <v>#N/A</v>
      </c>
      <c r="CM998" s="112"/>
      <c r="CN998" s="260" t="e">
        <f t="shared" ca="1" si="2108"/>
        <v>#N/A</v>
      </c>
      <c r="CO998" s="112" t="e">
        <f t="shared" ca="1" si="2218"/>
        <v>#N/A</v>
      </c>
      <c r="CP998" s="238">
        <f t="shared" ca="1" si="2161"/>
        <v>0</v>
      </c>
      <c r="CQ998" s="328">
        <f t="shared" ca="1" si="2162"/>
        <v>24</v>
      </c>
      <c r="CS998" s="112">
        <f t="shared" ca="1" si="2077"/>
        <v>100000</v>
      </c>
      <c r="CT998" s="112" t="e">
        <f t="shared" ca="1" si="2115"/>
        <v>#N/A</v>
      </c>
      <c r="CU998" s="238">
        <f t="shared" ca="1" si="2088"/>
        <v>0</v>
      </c>
      <c r="CV998" s="238">
        <f t="shared" ca="1" si="2089"/>
        <v>24</v>
      </c>
      <c r="CY998">
        <f t="shared" si="2096"/>
        <v>428</v>
      </c>
      <c r="DE998" t="str">
        <f t="shared" si="2090"/>
        <v>cs:dc771</v>
      </c>
      <c r="DF998" t="e">
        <f t="shared" ca="1" si="2091"/>
        <v>#REF!</v>
      </c>
    </row>
    <row r="999" spans="47:110" x14ac:dyDescent="0.25">
      <c r="AU999" s="112"/>
      <c r="AV999" s="112"/>
      <c r="BQ999" s="238">
        <f t="shared" si="2215"/>
        <v>656</v>
      </c>
      <c r="BR999" t="s">
        <v>447</v>
      </c>
      <c r="BS999" t="s">
        <v>448</v>
      </c>
      <c r="BT999" s="114" t="e">
        <f t="shared" ca="1" si="2039"/>
        <v>#N/A</v>
      </c>
      <c r="BU999" s="112"/>
      <c r="BV999" t="e">
        <f t="shared" ca="1" si="2119"/>
        <v>#N/A</v>
      </c>
      <c r="BW999" s="112" t="e">
        <f t="shared" ca="1" si="2074"/>
        <v>#N/A</v>
      </c>
      <c r="BX999" s="112" t="e">
        <f t="shared" ref="BX999:BX1000" ca="1" si="2220">INDIRECT(CONCATENATE(BS999,BQ999))</f>
        <v>#N/A</v>
      </c>
      <c r="BY999">
        <f t="shared" ca="1" si="2105"/>
        <v>0</v>
      </c>
      <c r="BZ999">
        <f t="shared" ca="1" si="2106"/>
        <v>24</v>
      </c>
      <c r="CB999" t="e">
        <f t="shared" ca="1" si="2080"/>
        <v>#N/A</v>
      </c>
      <c r="CC999" s="112" t="e">
        <f t="shared" ca="1" si="2081"/>
        <v>#N/A</v>
      </c>
      <c r="CD999" s="112" t="e">
        <f t="shared" ca="1" si="2082"/>
        <v>#N/A</v>
      </c>
      <c r="CE999">
        <f t="shared" ca="1" si="2083"/>
        <v>0</v>
      </c>
      <c r="CF999">
        <f t="shared" ca="1" si="2084"/>
        <v>24</v>
      </c>
      <c r="CH999" s="112" t="str">
        <f t="shared" ca="1" si="2152"/>
        <v/>
      </c>
      <c r="CI999" t="e">
        <f t="shared" ca="1" si="2216"/>
        <v>#N/A</v>
      </c>
      <c r="CJ999" t="e">
        <f t="shared" ref="CJ999" ca="1" si="2221">IF(AND(CI999=0,CJ1000=0,CC999&lt;100000),1,0)</f>
        <v>#N/A</v>
      </c>
      <c r="CK999" s="112" t="e">
        <f t="shared" ca="1" si="2159"/>
        <v>#N/A</v>
      </c>
      <c r="CM999" s="112"/>
      <c r="CN999" s="260" t="e">
        <f t="shared" ca="1" si="2108"/>
        <v>#N/A</v>
      </c>
      <c r="CO999" s="112" t="e">
        <f t="shared" ca="1" si="2218"/>
        <v>#N/A</v>
      </c>
      <c r="CP999" s="238">
        <f t="shared" ca="1" si="2161"/>
        <v>0</v>
      </c>
      <c r="CQ999" s="328">
        <f t="shared" ca="1" si="2162"/>
        <v>24</v>
      </c>
      <c r="CS999" s="112">
        <f t="shared" ca="1" si="2077"/>
        <v>100000</v>
      </c>
      <c r="CT999" s="112" t="e">
        <f t="shared" ca="1" si="2115"/>
        <v>#N/A</v>
      </c>
      <c r="CU999" s="238">
        <f t="shared" ca="1" si="2088"/>
        <v>0</v>
      </c>
      <c r="CV999" s="238">
        <f t="shared" ca="1" si="2089"/>
        <v>24</v>
      </c>
      <c r="CY999">
        <f t="shared" si="2096"/>
        <v>429</v>
      </c>
      <c r="DE999" t="str">
        <f t="shared" si="2090"/>
        <v>cs:dc771</v>
      </c>
      <c r="DF999" t="e">
        <f t="shared" ca="1" si="2091"/>
        <v>#REF!</v>
      </c>
    </row>
    <row r="1000" spans="47:110" ht="15.75" thickBot="1" x14ac:dyDescent="0.3">
      <c r="AU1000" s="112"/>
      <c r="AV1000" s="112"/>
      <c r="BQ1000" s="238">
        <f t="shared" si="2215"/>
        <v>656</v>
      </c>
      <c r="BR1000" t="s">
        <v>448</v>
      </c>
      <c r="BS1000" t="s">
        <v>449</v>
      </c>
      <c r="BT1000" s="114" t="e">
        <f t="shared" ca="1" si="2039"/>
        <v>#N/A</v>
      </c>
      <c r="BU1000" s="112"/>
      <c r="BV1000" t="e">
        <f t="shared" ca="1" si="2119"/>
        <v>#N/A</v>
      </c>
      <c r="BW1000" s="112" t="e">
        <f t="shared" ca="1" si="2074"/>
        <v>#N/A</v>
      </c>
      <c r="BX1000" s="112" t="str">
        <f t="shared" ca="1" si="2220"/>
        <v/>
      </c>
      <c r="BY1000">
        <f t="shared" ca="1" si="2105"/>
        <v>0</v>
      </c>
      <c r="BZ1000">
        <f t="shared" ca="1" si="2106"/>
        <v>24</v>
      </c>
      <c r="CB1000" t="e">
        <f t="shared" ca="1" si="2080"/>
        <v>#N/A</v>
      </c>
      <c r="CC1000" s="112" t="e">
        <f t="shared" ca="1" si="2081"/>
        <v>#N/A</v>
      </c>
      <c r="CD1000" s="112" t="str">
        <f t="shared" ca="1" si="2082"/>
        <v/>
      </c>
      <c r="CE1000">
        <f t="shared" ca="1" si="2083"/>
        <v>0</v>
      </c>
      <c r="CF1000">
        <f t="shared" ca="1" si="2084"/>
        <v>24</v>
      </c>
      <c r="CH1000" s="112" t="str">
        <f t="shared" ca="1" si="2152"/>
        <v/>
      </c>
      <c r="CI1000" t="e">
        <f t="shared" ca="1" si="2216"/>
        <v>#N/A</v>
      </c>
      <c r="CJ1000" t="e">
        <f t="shared" ref="CJ1000" ca="1" si="2222">IF(AND(CI1000=0,CC1000&lt;100000),1,0)</f>
        <v>#N/A</v>
      </c>
      <c r="CK1000" s="112" t="e">
        <f t="shared" ca="1" si="2159"/>
        <v>#N/A</v>
      </c>
      <c r="CM1000" s="112"/>
      <c r="CN1000" s="261" t="e">
        <f t="shared" ref="CN1000" ca="1" si="2223">IF(AND(CN996=100000,CN997=100000,CN998=100000,CN999=100000),INDIRECT(CONCATENATE("aa",BQ1000)),CC1000)</f>
        <v>#N/A</v>
      </c>
      <c r="CO1000" s="324" t="e">
        <f t="shared" ca="1" si="2218"/>
        <v>#N/A</v>
      </c>
      <c r="CP1000" s="256">
        <f t="shared" ca="1" si="2161"/>
        <v>0</v>
      </c>
      <c r="CQ1000" s="329">
        <f t="shared" ca="1" si="2162"/>
        <v>24</v>
      </c>
      <c r="CS1000" s="112">
        <f t="shared" ca="1" si="2077"/>
        <v>100000</v>
      </c>
      <c r="CT1000" s="112" t="e">
        <f t="shared" ca="1" si="2115"/>
        <v>#N/A</v>
      </c>
      <c r="CU1000" s="238">
        <f t="shared" ca="1" si="2088"/>
        <v>0</v>
      </c>
      <c r="CV1000" s="238">
        <f t="shared" ca="1" si="2089"/>
        <v>24</v>
      </c>
      <c r="CY1000">
        <f t="shared" si="2096"/>
        <v>430</v>
      </c>
      <c r="DE1000" t="str">
        <f t="shared" si="2090"/>
        <v>cs:dc771</v>
      </c>
      <c r="DF1000" t="e">
        <f t="shared" ca="1" si="2091"/>
        <v>#REF!</v>
      </c>
    </row>
    <row r="1001" spans="47:110" x14ac:dyDescent="0.25">
      <c r="AU1001" s="112"/>
      <c r="AV1001" s="112"/>
      <c r="BQ1001" s="238">
        <f t="shared" ref="BQ1001" si="2224">BQ1000+1</f>
        <v>657</v>
      </c>
      <c r="BR1001" s="112" t="s">
        <v>444</v>
      </c>
      <c r="BS1001" s="112" t="s">
        <v>445</v>
      </c>
      <c r="BT1001" s="114" t="e">
        <f t="shared" ca="1" si="2039"/>
        <v>#N/A</v>
      </c>
      <c r="BU1001" s="112"/>
      <c r="BV1001">
        <f t="shared" ca="1" si="2119"/>
        <v>0</v>
      </c>
      <c r="BW1001" s="112" t="str">
        <f t="shared" ca="1" si="2074"/>
        <v/>
      </c>
      <c r="BX1001" s="112" t="e">
        <f t="shared" ref="BX1001:BX1003" ca="1" si="2225">INDIRECT(CONCATENATE(BS1001,BQ1001))-1</f>
        <v>#N/A</v>
      </c>
      <c r="BY1001">
        <f t="shared" ca="1" si="2105"/>
        <v>0</v>
      </c>
      <c r="BZ1001">
        <f t="shared" ca="1" si="2106"/>
        <v>24</v>
      </c>
      <c r="CB1001" t="e">
        <f t="shared" ca="1" si="2080"/>
        <v>#N/A</v>
      </c>
      <c r="CC1001" s="112" t="e">
        <f t="shared" ca="1" si="2081"/>
        <v>#N/A</v>
      </c>
      <c r="CD1001" s="112" t="e">
        <f t="shared" ca="1" si="2082"/>
        <v>#N/A</v>
      </c>
      <c r="CE1001">
        <f t="shared" ca="1" si="2083"/>
        <v>0</v>
      </c>
      <c r="CF1001">
        <f t="shared" ca="1" si="2084"/>
        <v>24</v>
      </c>
      <c r="CH1001" s="112" t="str">
        <f t="shared" ca="1" si="2152"/>
        <v/>
      </c>
      <c r="CI1001" t="e">
        <f t="shared" ref="CI1001" ca="1" si="2226">CB1001+CB1002+CB1003+CB1004+CB1005</f>
        <v>#N/A</v>
      </c>
      <c r="CJ1001">
        <v>0</v>
      </c>
      <c r="CK1001" s="112" t="str">
        <f t="shared" ca="1" si="2159"/>
        <v/>
      </c>
      <c r="CM1001" s="112"/>
      <c r="CN1001" s="408" t="e">
        <f t="shared" ca="1" si="2108"/>
        <v>#N/A</v>
      </c>
      <c r="CO1001" s="326" t="e">
        <f t="shared" ref="CO1001" ca="1" si="2227">CD1001</f>
        <v>#N/A</v>
      </c>
      <c r="CP1001" s="333">
        <f t="shared" ca="1" si="2161"/>
        <v>0</v>
      </c>
      <c r="CQ1001" s="327">
        <f t="shared" ca="1" si="2162"/>
        <v>24</v>
      </c>
      <c r="CS1001" s="112">
        <f t="shared" ca="1" si="2077"/>
        <v>100000</v>
      </c>
      <c r="CT1001" s="112" t="e">
        <f t="shared" ref="CT1001" ca="1" si="2228">IF(AND( CN1002=100000,CN1003=100000,CN1004=100000,CN1005=100000),CO1005,                             CO1001)</f>
        <v>#N/A</v>
      </c>
      <c r="CU1001" s="238">
        <f t="shared" ca="1" si="2088"/>
        <v>0</v>
      </c>
      <c r="CV1001" s="238">
        <f t="shared" ca="1" si="2089"/>
        <v>24</v>
      </c>
      <c r="CY1001">
        <f t="shared" si="2096"/>
        <v>431</v>
      </c>
      <c r="DE1001" t="str">
        <f t="shared" si="2090"/>
        <v>cs:dc771</v>
      </c>
      <c r="DF1001" t="e">
        <f t="shared" ca="1" si="2091"/>
        <v>#REF!</v>
      </c>
    </row>
    <row r="1002" spans="47:110" x14ac:dyDescent="0.25">
      <c r="AU1002" s="112"/>
      <c r="AV1002" s="112"/>
      <c r="BQ1002" s="238">
        <f t="shared" ref="BQ1002:BQ1005" si="2229">BQ1001</f>
        <v>657</v>
      </c>
      <c r="BR1002" t="s">
        <v>445</v>
      </c>
      <c r="BS1002" t="s">
        <v>446</v>
      </c>
      <c r="BT1002" s="114" t="e">
        <f t="shared" ca="1" si="2039"/>
        <v>#N/A</v>
      </c>
      <c r="BU1002" s="112"/>
      <c r="BV1002" t="e">
        <f t="shared" ca="1" si="2119"/>
        <v>#N/A</v>
      </c>
      <c r="BW1002" s="112" t="e">
        <f t="shared" ca="1" si="2074"/>
        <v>#N/A</v>
      </c>
      <c r="BX1002" s="112" t="e">
        <f t="shared" ca="1" si="2225"/>
        <v>#N/A</v>
      </c>
      <c r="BY1002">
        <f t="shared" ca="1" si="2105"/>
        <v>0</v>
      </c>
      <c r="BZ1002">
        <f t="shared" ca="1" si="2106"/>
        <v>24</v>
      </c>
      <c r="CB1002" t="e">
        <f t="shared" ca="1" si="2080"/>
        <v>#N/A</v>
      </c>
      <c r="CC1002" s="112" t="e">
        <f t="shared" ca="1" si="2081"/>
        <v>#N/A</v>
      </c>
      <c r="CD1002" s="112" t="e">
        <f t="shared" ca="1" si="2082"/>
        <v>#N/A</v>
      </c>
      <c r="CE1002">
        <f t="shared" ca="1" si="2083"/>
        <v>0</v>
      </c>
      <c r="CF1002">
        <f t="shared" ca="1" si="2084"/>
        <v>24</v>
      </c>
      <c r="CH1002" s="112" t="str">
        <f t="shared" ca="1" si="2152"/>
        <v/>
      </c>
      <c r="CI1002" t="e">
        <f t="shared" ref="CI1002:CI1005" ca="1" si="2230">CI1001</f>
        <v>#N/A</v>
      </c>
      <c r="CJ1002" t="e">
        <f t="shared" ref="CJ1002" ca="1" si="2231">IF(AND(CI1002=0,CJ1003=0,CJ1004=0,CJ1005=0,CC1002&lt;100000),1,0)</f>
        <v>#N/A</v>
      </c>
      <c r="CK1002" s="112" t="e">
        <f t="shared" ca="1" si="2159"/>
        <v>#N/A</v>
      </c>
      <c r="CM1002" s="112"/>
      <c r="CN1002" s="260" t="e">
        <f t="shared" ca="1" si="2108"/>
        <v>#N/A</v>
      </c>
      <c r="CO1002" s="112" t="e">
        <f t="shared" ref="CO1002:CO1005" ca="1" si="2232">IF(CJ1002=1,CH1002,CD1002)</f>
        <v>#N/A</v>
      </c>
      <c r="CP1002" s="238">
        <f t="shared" ca="1" si="2161"/>
        <v>0</v>
      </c>
      <c r="CQ1002" s="328">
        <f t="shared" ca="1" si="2162"/>
        <v>24</v>
      </c>
      <c r="CS1002" s="112">
        <f t="shared" ca="1" si="2077"/>
        <v>100000</v>
      </c>
      <c r="CT1002" s="112" t="e">
        <f t="shared" ca="1" si="2115"/>
        <v>#N/A</v>
      </c>
      <c r="CU1002" s="238">
        <f t="shared" ca="1" si="2088"/>
        <v>0</v>
      </c>
      <c r="CV1002" s="238">
        <f t="shared" ca="1" si="2089"/>
        <v>24</v>
      </c>
      <c r="CY1002">
        <f t="shared" si="2096"/>
        <v>432</v>
      </c>
      <c r="DE1002" t="str">
        <f t="shared" si="2090"/>
        <v>cs:dc771</v>
      </c>
      <c r="DF1002" t="e">
        <f t="shared" ca="1" si="2091"/>
        <v>#REF!</v>
      </c>
    </row>
    <row r="1003" spans="47:110" x14ac:dyDescent="0.25">
      <c r="AU1003" s="112"/>
      <c r="AV1003" s="112"/>
      <c r="BQ1003" s="238">
        <f t="shared" si="2229"/>
        <v>657</v>
      </c>
      <c r="BR1003" t="s">
        <v>446</v>
      </c>
      <c r="BS1003" t="s">
        <v>447</v>
      </c>
      <c r="BT1003" s="114" t="e">
        <f t="shared" ca="1" si="2039"/>
        <v>#N/A</v>
      </c>
      <c r="BU1003" s="112"/>
      <c r="BV1003" t="e">
        <f t="shared" ca="1" si="2119"/>
        <v>#N/A</v>
      </c>
      <c r="BW1003" s="112" t="e">
        <f t="shared" ca="1" si="2074"/>
        <v>#N/A</v>
      </c>
      <c r="BX1003" s="112" t="e">
        <f t="shared" ca="1" si="2225"/>
        <v>#N/A</v>
      </c>
      <c r="BY1003">
        <f t="shared" ca="1" si="2105"/>
        <v>0</v>
      </c>
      <c r="BZ1003">
        <f t="shared" ca="1" si="2106"/>
        <v>24</v>
      </c>
      <c r="CB1003" t="e">
        <f t="shared" ca="1" si="2080"/>
        <v>#N/A</v>
      </c>
      <c r="CC1003" s="112" t="e">
        <f t="shared" ca="1" si="2081"/>
        <v>#N/A</v>
      </c>
      <c r="CD1003" s="112" t="e">
        <f t="shared" ca="1" si="2082"/>
        <v>#N/A</v>
      </c>
      <c r="CE1003">
        <f t="shared" ca="1" si="2083"/>
        <v>0</v>
      </c>
      <c r="CF1003">
        <f t="shared" ca="1" si="2084"/>
        <v>24</v>
      </c>
      <c r="CH1003" s="112" t="str">
        <f t="shared" ca="1" si="2152"/>
        <v/>
      </c>
      <c r="CI1003" t="e">
        <f t="shared" ca="1" si="2230"/>
        <v>#N/A</v>
      </c>
      <c r="CJ1003" t="e">
        <f t="shared" ref="CJ1003" ca="1" si="2233">IF(AND(CI1003=0,CJ1004=0,CJ1005=0,CC1003&lt;100000),1,0)</f>
        <v>#N/A</v>
      </c>
      <c r="CK1003" s="112" t="e">
        <f t="shared" ca="1" si="2159"/>
        <v>#N/A</v>
      </c>
      <c r="CM1003" s="112"/>
      <c r="CN1003" s="260" t="e">
        <f t="shared" ca="1" si="2108"/>
        <v>#N/A</v>
      </c>
      <c r="CO1003" s="112" t="e">
        <f t="shared" ca="1" si="2232"/>
        <v>#N/A</v>
      </c>
      <c r="CP1003" s="238">
        <f t="shared" ca="1" si="2161"/>
        <v>0</v>
      </c>
      <c r="CQ1003" s="328">
        <f t="shared" ca="1" si="2162"/>
        <v>24</v>
      </c>
      <c r="CS1003" s="112">
        <f t="shared" ca="1" si="2077"/>
        <v>100000</v>
      </c>
      <c r="CT1003" s="112" t="e">
        <f t="shared" ca="1" si="2115"/>
        <v>#N/A</v>
      </c>
      <c r="CU1003" s="238">
        <f t="shared" ca="1" si="2088"/>
        <v>0</v>
      </c>
      <c r="CV1003" s="238">
        <f t="shared" ca="1" si="2089"/>
        <v>24</v>
      </c>
      <c r="CY1003">
        <f t="shared" si="2096"/>
        <v>433</v>
      </c>
      <c r="DE1003" t="str">
        <f t="shared" si="2090"/>
        <v>cs:dc771</v>
      </c>
      <c r="DF1003" t="e">
        <f t="shared" ca="1" si="2091"/>
        <v>#REF!</v>
      </c>
    </row>
    <row r="1004" spans="47:110" x14ac:dyDescent="0.25">
      <c r="AU1004" s="112"/>
      <c r="AV1004" s="112"/>
      <c r="BQ1004" s="238">
        <f t="shared" si="2229"/>
        <v>657</v>
      </c>
      <c r="BR1004" t="s">
        <v>447</v>
      </c>
      <c r="BS1004" t="s">
        <v>448</v>
      </c>
      <c r="BT1004" s="114" t="e">
        <f t="shared" ca="1" si="2039"/>
        <v>#N/A</v>
      </c>
      <c r="BU1004" s="112"/>
      <c r="BV1004" t="e">
        <f t="shared" ca="1" si="2119"/>
        <v>#N/A</v>
      </c>
      <c r="BW1004" s="112" t="e">
        <f t="shared" ca="1" si="2074"/>
        <v>#N/A</v>
      </c>
      <c r="BX1004" s="112" t="e">
        <f t="shared" ref="BX1004:BX1005" ca="1" si="2234">INDIRECT(CONCATENATE(BS1004,BQ1004))</f>
        <v>#N/A</v>
      </c>
      <c r="BY1004">
        <f t="shared" ca="1" si="2105"/>
        <v>0</v>
      </c>
      <c r="BZ1004">
        <f t="shared" ca="1" si="2106"/>
        <v>24</v>
      </c>
      <c r="CB1004" t="e">
        <f t="shared" ca="1" si="2080"/>
        <v>#N/A</v>
      </c>
      <c r="CC1004" s="112" t="e">
        <f t="shared" ca="1" si="2081"/>
        <v>#N/A</v>
      </c>
      <c r="CD1004" s="112" t="e">
        <f t="shared" ca="1" si="2082"/>
        <v>#N/A</v>
      </c>
      <c r="CE1004">
        <f t="shared" ca="1" si="2083"/>
        <v>0</v>
      </c>
      <c r="CF1004">
        <f t="shared" ca="1" si="2084"/>
        <v>24</v>
      </c>
      <c r="CH1004" s="112" t="str">
        <f t="shared" ca="1" si="2152"/>
        <v/>
      </c>
      <c r="CI1004" t="e">
        <f t="shared" ca="1" si="2230"/>
        <v>#N/A</v>
      </c>
      <c r="CJ1004" t="e">
        <f t="shared" ref="CJ1004" ca="1" si="2235">IF(AND(CI1004=0,CJ1005=0,CC1004&lt;100000),1,0)</f>
        <v>#N/A</v>
      </c>
      <c r="CK1004" s="112" t="e">
        <f t="shared" ca="1" si="2159"/>
        <v>#N/A</v>
      </c>
      <c r="CM1004" s="112"/>
      <c r="CN1004" s="260" t="e">
        <f t="shared" ca="1" si="2108"/>
        <v>#N/A</v>
      </c>
      <c r="CO1004" s="112" t="e">
        <f t="shared" ca="1" si="2232"/>
        <v>#N/A</v>
      </c>
      <c r="CP1004" s="238">
        <f t="shared" ca="1" si="2161"/>
        <v>0</v>
      </c>
      <c r="CQ1004" s="328">
        <f t="shared" ca="1" si="2162"/>
        <v>24</v>
      </c>
      <c r="CS1004" s="112">
        <f t="shared" ca="1" si="2077"/>
        <v>100000</v>
      </c>
      <c r="CT1004" s="112" t="e">
        <f t="shared" ca="1" si="2115"/>
        <v>#N/A</v>
      </c>
      <c r="CU1004" s="238">
        <f t="shared" ca="1" si="2088"/>
        <v>0</v>
      </c>
      <c r="CV1004" s="238">
        <f t="shared" ca="1" si="2089"/>
        <v>24</v>
      </c>
      <c r="CY1004">
        <f t="shared" si="2096"/>
        <v>434</v>
      </c>
      <c r="DE1004" t="str">
        <f t="shared" si="2090"/>
        <v>cs:dc771</v>
      </c>
      <c r="DF1004" t="e">
        <f t="shared" ca="1" si="2091"/>
        <v>#REF!</v>
      </c>
    </row>
    <row r="1005" spans="47:110" ht="15.75" thickBot="1" x14ac:dyDescent="0.3">
      <c r="AU1005" s="112"/>
      <c r="AV1005" s="112"/>
      <c r="BQ1005" s="238">
        <f t="shared" si="2229"/>
        <v>657</v>
      </c>
      <c r="BR1005" t="s">
        <v>448</v>
      </c>
      <c r="BS1005" t="s">
        <v>449</v>
      </c>
      <c r="BT1005" s="114" t="e">
        <f t="shared" ca="1" si="2039"/>
        <v>#N/A</v>
      </c>
      <c r="BU1005" s="112"/>
      <c r="BV1005" t="e">
        <f t="shared" ca="1" si="2119"/>
        <v>#N/A</v>
      </c>
      <c r="BW1005" s="112" t="e">
        <f t="shared" ca="1" si="2074"/>
        <v>#N/A</v>
      </c>
      <c r="BX1005" s="112" t="str">
        <f t="shared" ca="1" si="2234"/>
        <v/>
      </c>
      <c r="BY1005">
        <f t="shared" ca="1" si="2105"/>
        <v>0</v>
      </c>
      <c r="BZ1005">
        <f t="shared" ca="1" si="2106"/>
        <v>24</v>
      </c>
      <c r="CB1005" t="e">
        <f t="shared" ca="1" si="2080"/>
        <v>#N/A</v>
      </c>
      <c r="CC1005" s="112" t="e">
        <f t="shared" ca="1" si="2081"/>
        <v>#N/A</v>
      </c>
      <c r="CD1005" s="112" t="str">
        <f t="shared" ca="1" si="2082"/>
        <v/>
      </c>
      <c r="CE1005">
        <f t="shared" ca="1" si="2083"/>
        <v>0</v>
      </c>
      <c r="CF1005">
        <f t="shared" ca="1" si="2084"/>
        <v>24</v>
      </c>
      <c r="CH1005" s="112" t="str">
        <f t="shared" ca="1" si="2152"/>
        <v/>
      </c>
      <c r="CI1005" t="e">
        <f t="shared" ca="1" si="2230"/>
        <v>#N/A</v>
      </c>
      <c r="CJ1005" t="e">
        <f t="shared" ref="CJ1005" ca="1" si="2236">IF(AND(CI1005=0,CC1005&lt;100000),1,0)</f>
        <v>#N/A</v>
      </c>
      <c r="CK1005" s="112" t="e">
        <f t="shared" ca="1" si="2159"/>
        <v>#N/A</v>
      </c>
      <c r="CM1005" s="112"/>
      <c r="CN1005" s="261" t="e">
        <f t="shared" ref="CN1005" ca="1" si="2237">IF(AND(CN1001=100000,CN1002=100000,CN1003=100000,CN1004=100000),INDIRECT(CONCATENATE("aa",BQ1005)),CC1005)</f>
        <v>#N/A</v>
      </c>
      <c r="CO1005" s="324" t="e">
        <f t="shared" ca="1" si="2232"/>
        <v>#N/A</v>
      </c>
      <c r="CP1005" s="256">
        <f t="shared" ca="1" si="2161"/>
        <v>0</v>
      </c>
      <c r="CQ1005" s="329">
        <f t="shared" ca="1" si="2162"/>
        <v>24</v>
      </c>
      <c r="CS1005" s="112">
        <f t="shared" ca="1" si="2077"/>
        <v>100000</v>
      </c>
      <c r="CT1005" s="112" t="e">
        <f t="shared" ca="1" si="2115"/>
        <v>#N/A</v>
      </c>
      <c r="CU1005" s="238">
        <f t="shared" ca="1" si="2088"/>
        <v>0</v>
      </c>
      <c r="CV1005" s="238">
        <f t="shared" ca="1" si="2089"/>
        <v>24</v>
      </c>
      <c r="CY1005">
        <f t="shared" si="2096"/>
        <v>435</v>
      </c>
      <c r="DE1005" t="str">
        <f t="shared" si="2090"/>
        <v>cs:dc771</v>
      </c>
      <c r="DF1005" t="e">
        <f t="shared" ca="1" si="2091"/>
        <v>#REF!</v>
      </c>
    </row>
    <row r="1006" spans="47:110" x14ac:dyDescent="0.25">
      <c r="AU1006" s="112"/>
      <c r="AV1006" s="112"/>
      <c r="BQ1006" s="238">
        <f t="shared" ref="BQ1006" si="2238">BQ1005+1</f>
        <v>658</v>
      </c>
      <c r="BR1006" s="112" t="s">
        <v>444</v>
      </c>
      <c r="BS1006" s="112" t="s">
        <v>445</v>
      </c>
      <c r="BT1006" s="114" t="e">
        <f t="shared" ref="BT1006:BT1069" ca="1" si="2239">INDIRECT(CONCATENATE("bp",BQ1006))</f>
        <v>#N/A</v>
      </c>
      <c r="BU1006" s="112"/>
      <c r="BV1006">
        <f t="shared" ca="1" si="2119"/>
        <v>0</v>
      </c>
      <c r="BW1006" s="112" t="str">
        <f t="shared" ca="1" si="2074"/>
        <v/>
      </c>
      <c r="BX1006" s="112" t="e">
        <f t="shared" ref="BX1006:BX1008" ca="1" si="2240">INDIRECT(CONCATENATE(BS1006,BQ1006))-1</f>
        <v>#N/A</v>
      </c>
      <c r="BY1006">
        <f t="shared" ca="1" si="2105"/>
        <v>0</v>
      </c>
      <c r="BZ1006">
        <f t="shared" ca="1" si="2106"/>
        <v>24</v>
      </c>
      <c r="CB1006" t="e">
        <f t="shared" ca="1" si="2080"/>
        <v>#N/A</v>
      </c>
      <c r="CC1006" s="112" t="e">
        <f t="shared" ca="1" si="2081"/>
        <v>#N/A</v>
      </c>
      <c r="CD1006" s="112" t="e">
        <f t="shared" ca="1" si="2082"/>
        <v>#N/A</v>
      </c>
      <c r="CE1006">
        <f t="shared" ca="1" si="2083"/>
        <v>0</v>
      </c>
      <c r="CF1006">
        <f t="shared" ca="1" si="2084"/>
        <v>24</v>
      </c>
      <c r="CH1006" s="112" t="str">
        <f t="shared" ca="1" si="2152"/>
        <v/>
      </c>
      <c r="CI1006" t="e">
        <f t="shared" ref="CI1006" ca="1" si="2241">CB1006+CB1007+CB1008+CB1009+CB1010</f>
        <v>#N/A</v>
      </c>
      <c r="CJ1006">
        <v>0</v>
      </c>
      <c r="CK1006" s="112" t="str">
        <f t="shared" ca="1" si="2159"/>
        <v/>
      </c>
      <c r="CM1006" s="112"/>
      <c r="CN1006" s="408" t="e">
        <f t="shared" ca="1" si="2108"/>
        <v>#N/A</v>
      </c>
      <c r="CO1006" s="326" t="e">
        <f t="shared" ref="CO1006" ca="1" si="2242">CD1006</f>
        <v>#N/A</v>
      </c>
      <c r="CP1006" s="333">
        <f t="shared" ca="1" si="2161"/>
        <v>0</v>
      </c>
      <c r="CQ1006" s="327">
        <f t="shared" ca="1" si="2162"/>
        <v>24</v>
      </c>
      <c r="CS1006" s="112">
        <f t="shared" ca="1" si="2077"/>
        <v>100000</v>
      </c>
      <c r="CT1006" s="112" t="e">
        <f t="shared" ref="CT1006" ca="1" si="2243">IF(AND( CN1007=100000,CN1008=100000,CN1009=100000,CN1010=100000),CO1010,                             CO1006)</f>
        <v>#N/A</v>
      </c>
      <c r="CU1006" s="238">
        <f t="shared" ca="1" si="2088"/>
        <v>0</v>
      </c>
      <c r="CV1006" s="238">
        <f t="shared" ca="1" si="2089"/>
        <v>24</v>
      </c>
      <c r="CY1006">
        <f t="shared" si="2096"/>
        <v>436</v>
      </c>
      <c r="DE1006" t="str">
        <f t="shared" si="2090"/>
        <v>cs:dc771</v>
      </c>
      <c r="DF1006" t="e">
        <f t="shared" ca="1" si="2091"/>
        <v>#REF!</v>
      </c>
    </row>
    <row r="1007" spans="47:110" x14ac:dyDescent="0.25">
      <c r="AU1007" s="112"/>
      <c r="AV1007" s="112"/>
      <c r="BQ1007" s="238">
        <f t="shared" ref="BQ1007:BQ1010" si="2244">BQ1006</f>
        <v>658</v>
      </c>
      <c r="BR1007" t="s">
        <v>445</v>
      </c>
      <c r="BS1007" t="s">
        <v>446</v>
      </c>
      <c r="BT1007" s="114" t="e">
        <f t="shared" ca="1" si="2239"/>
        <v>#N/A</v>
      </c>
      <c r="BU1007" s="112"/>
      <c r="BV1007" t="e">
        <f t="shared" ca="1" si="2119"/>
        <v>#N/A</v>
      </c>
      <c r="BW1007" s="112" t="e">
        <f t="shared" ca="1" si="2074"/>
        <v>#N/A</v>
      </c>
      <c r="BX1007" s="112" t="e">
        <f t="shared" ca="1" si="2240"/>
        <v>#N/A</v>
      </c>
      <c r="BY1007">
        <f t="shared" ca="1" si="2105"/>
        <v>0</v>
      </c>
      <c r="BZ1007">
        <f t="shared" ca="1" si="2106"/>
        <v>24</v>
      </c>
      <c r="CB1007" t="e">
        <f t="shared" ca="1" si="2080"/>
        <v>#N/A</v>
      </c>
      <c r="CC1007" s="112" t="e">
        <f t="shared" ca="1" si="2081"/>
        <v>#N/A</v>
      </c>
      <c r="CD1007" s="112" t="e">
        <f t="shared" ca="1" si="2082"/>
        <v>#N/A</v>
      </c>
      <c r="CE1007">
        <f t="shared" ca="1" si="2083"/>
        <v>0</v>
      </c>
      <c r="CF1007">
        <f t="shared" ca="1" si="2084"/>
        <v>24</v>
      </c>
      <c r="CH1007" s="112" t="str">
        <f t="shared" ca="1" si="2152"/>
        <v/>
      </c>
      <c r="CI1007" t="e">
        <f t="shared" ref="CI1007:CI1010" ca="1" si="2245">CI1006</f>
        <v>#N/A</v>
      </c>
      <c r="CJ1007" t="e">
        <f t="shared" ref="CJ1007" ca="1" si="2246">IF(AND(CI1007=0,CJ1008=0,CJ1009=0,CJ1010=0,CC1007&lt;100000),1,0)</f>
        <v>#N/A</v>
      </c>
      <c r="CK1007" s="112" t="e">
        <f t="shared" ca="1" si="2159"/>
        <v>#N/A</v>
      </c>
      <c r="CM1007" s="112"/>
      <c r="CN1007" s="260" t="e">
        <f t="shared" ca="1" si="2108"/>
        <v>#N/A</v>
      </c>
      <c r="CO1007" s="112" t="e">
        <f t="shared" ref="CO1007:CO1010" ca="1" si="2247">IF(CJ1007=1,CH1007,CD1007)</f>
        <v>#N/A</v>
      </c>
      <c r="CP1007" s="238">
        <f t="shared" ca="1" si="2161"/>
        <v>0</v>
      </c>
      <c r="CQ1007" s="328">
        <f t="shared" ca="1" si="2162"/>
        <v>24</v>
      </c>
      <c r="CS1007" s="112">
        <f t="shared" ca="1" si="2077"/>
        <v>100000</v>
      </c>
      <c r="CT1007" s="112" t="e">
        <f t="shared" ca="1" si="2115"/>
        <v>#N/A</v>
      </c>
      <c r="CU1007" s="238">
        <f t="shared" ca="1" si="2088"/>
        <v>0</v>
      </c>
      <c r="CV1007" s="238">
        <f t="shared" ca="1" si="2089"/>
        <v>24</v>
      </c>
      <c r="CY1007">
        <f t="shared" si="2096"/>
        <v>437</v>
      </c>
      <c r="DE1007" t="str">
        <f t="shared" si="2090"/>
        <v>cs:dc771</v>
      </c>
      <c r="DF1007" t="e">
        <f t="shared" ca="1" si="2091"/>
        <v>#REF!</v>
      </c>
    </row>
    <row r="1008" spans="47:110" x14ac:dyDescent="0.25">
      <c r="AU1008" s="112"/>
      <c r="AV1008" s="112"/>
      <c r="BQ1008" s="238">
        <f t="shared" si="2244"/>
        <v>658</v>
      </c>
      <c r="BR1008" t="s">
        <v>446</v>
      </c>
      <c r="BS1008" t="s">
        <v>447</v>
      </c>
      <c r="BT1008" s="114" t="e">
        <f t="shared" ca="1" si="2239"/>
        <v>#N/A</v>
      </c>
      <c r="BU1008" s="112"/>
      <c r="BV1008" t="e">
        <f t="shared" ca="1" si="2119"/>
        <v>#N/A</v>
      </c>
      <c r="BW1008" s="112" t="e">
        <f t="shared" ca="1" si="2074"/>
        <v>#N/A</v>
      </c>
      <c r="BX1008" s="112" t="e">
        <f t="shared" ca="1" si="2240"/>
        <v>#N/A</v>
      </c>
      <c r="BY1008">
        <f t="shared" ca="1" si="2105"/>
        <v>0</v>
      </c>
      <c r="BZ1008">
        <f t="shared" ca="1" si="2106"/>
        <v>24</v>
      </c>
      <c r="CB1008" t="e">
        <f t="shared" ca="1" si="2080"/>
        <v>#N/A</v>
      </c>
      <c r="CC1008" s="112" t="e">
        <f t="shared" ca="1" si="2081"/>
        <v>#N/A</v>
      </c>
      <c r="CD1008" s="112" t="e">
        <f t="shared" ca="1" si="2082"/>
        <v>#N/A</v>
      </c>
      <c r="CE1008">
        <f t="shared" ca="1" si="2083"/>
        <v>0</v>
      </c>
      <c r="CF1008">
        <f t="shared" ca="1" si="2084"/>
        <v>24</v>
      </c>
      <c r="CH1008" s="112" t="str">
        <f t="shared" ca="1" si="2152"/>
        <v/>
      </c>
      <c r="CI1008" t="e">
        <f t="shared" ca="1" si="2245"/>
        <v>#N/A</v>
      </c>
      <c r="CJ1008" t="e">
        <f t="shared" ref="CJ1008" ca="1" si="2248">IF(AND(CI1008=0,CJ1009=0,CJ1010=0,CC1008&lt;100000),1,0)</f>
        <v>#N/A</v>
      </c>
      <c r="CK1008" s="112" t="e">
        <f t="shared" ca="1" si="2159"/>
        <v>#N/A</v>
      </c>
      <c r="CM1008" s="112"/>
      <c r="CN1008" s="260" t="e">
        <f t="shared" ca="1" si="2108"/>
        <v>#N/A</v>
      </c>
      <c r="CO1008" s="112" t="e">
        <f t="shared" ca="1" si="2247"/>
        <v>#N/A</v>
      </c>
      <c r="CP1008" s="238">
        <f t="shared" ca="1" si="2161"/>
        <v>0</v>
      </c>
      <c r="CQ1008" s="328">
        <f t="shared" ca="1" si="2162"/>
        <v>24</v>
      </c>
      <c r="CS1008" s="112">
        <f t="shared" ca="1" si="2077"/>
        <v>100000</v>
      </c>
      <c r="CT1008" s="112" t="e">
        <f t="shared" ca="1" si="2115"/>
        <v>#N/A</v>
      </c>
      <c r="CU1008" s="238">
        <f t="shared" ca="1" si="2088"/>
        <v>0</v>
      </c>
      <c r="CV1008" s="238">
        <f t="shared" ca="1" si="2089"/>
        <v>24</v>
      </c>
      <c r="CY1008">
        <f t="shared" si="2096"/>
        <v>438</v>
      </c>
      <c r="DE1008" t="str">
        <f t="shared" si="2090"/>
        <v>cs:dc771</v>
      </c>
      <c r="DF1008" t="e">
        <f t="shared" ca="1" si="2091"/>
        <v>#REF!</v>
      </c>
    </row>
    <row r="1009" spans="47:110" x14ac:dyDescent="0.25">
      <c r="AU1009" s="112"/>
      <c r="AV1009" s="112"/>
      <c r="BQ1009" s="238">
        <f t="shared" si="2244"/>
        <v>658</v>
      </c>
      <c r="BR1009" t="s">
        <v>447</v>
      </c>
      <c r="BS1009" t="s">
        <v>448</v>
      </c>
      <c r="BT1009" s="114" t="e">
        <f t="shared" ca="1" si="2239"/>
        <v>#N/A</v>
      </c>
      <c r="BU1009" s="112"/>
      <c r="BV1009" t="e">
        <f t="shared" ca="1" si="2119"/>
        <v>#N/A</v>
      </c>
      <c r="BW1009" s="112" t="e">
        <f t="shared" ca="1" si="2074"/>
        <v>#N/A</v>
      </c>
      <c r="BX1009" s="112" t="e">
        <f t="shared" ref="BX1009:BX1010" ca="1" si="2249">INDIRECT(CONCATENATE(BS1009,BQ1009))</f>
        <v>#N/A</v>
      </c>
      <c r="BY1009">
        <f t="shared" ca="1" si="2105"/>
        <v>0</v>
      </c>
      <c r="BZ1009">
        <f t="shared" ca="1" si="2106"/>
        <v>24</v>
      </c>
      <c r="CB1009" t="e">
        <f t="shared" ca="1" si="2080"/>
        <v>#N/A</v>
      </c>
      <c r="CC1009" s="112" t="e">
        <f t="shared" ca="1" si="2081"/>
        <v>#N/A</v>
      </c>
      <c r="CD1009" s="112" t="e">
        <f t="shared" ca="1" si="2082"/>
        <v>#N/A</v>
      </c>
      <c r="CE1009">
        <f t="shared" ca="1" si="2083"/>
        <v>0</v>
      </c>
      <c r="CF1009">
        <f t="shared" ca="1" si="2084"/>
        <v>24</v>
      </c>
      <c r="CH1009" s="112" t="str">
        <f t="shared" ca="1" si="2152"/>
        <v/>
      </c>
      <c r="CI1009" t="e">
        <f t="shared" ca="1" si="2245"/>
        <v>#N/A</v>
      </c>
      <c r="CJ1009" t="e">
        <f t="shared" ref="CJ1009" ca="1" si="2250">IF(AND(CI1009=0,CJ1010=0,CC1009&lt;100000),1,0)</f>
        <v>#N/A</v>
      </c>
      <c r="CK1009" s="112" t="e">
        <f t="shared" ca="1" si="2159"/>
        <v>#N/A</v>
      </c>
      <c r="CM1009" s="112"/>
      <c r="CN1009" s="260" t="e">
        <f t="shared" ca="1" si="2108"/>
        <v>#N/A</v>
      </c>
      <c r="CO1009" s="112" t="e">
        <f t="shared" ca="1" si="2247"/>
        <v>#N/A</v>
      </c>
      <c r="CP1009" s="238">
        <f t="shared" ca="1" si="2161"/>
        <v>0</v>
      </c>
      <c r="CQ1009" s="328">
        <f t="shared" ca="1" si="2162"/>
        <v>24</v>
      </c>
      <c r="CS1009" s="112">
        <f t="shared" ca="1" si="2077"/>
        <v>100000</v>
      </c>
      <c r="CT1009" s="112" t="e">
        <f t="shared" ca="1" si="2115"/>
        <v>#N/A</v>
      </c>
      <c r="CU1009" s="238">
        <f t="shared" ca="1" si="2088"/>
        <v>0</v>
      </c>
      <c r="CV1009" s="238">
        <f t="shared" ca="1" si="2089"/>
        <v>24</v>
      </c>
      <c r="CY1009">
        <f t="shared" si="2096"/>
        <v>439</v>
      </c>
      <c r="DE1009" t="str">
        <f t="shared" si="2090"/>
        <v>cs:dc771</v>
      </c>
      <c r="DF1009" t="e">
        <f t="shared" ca="1" si="2091"/>
        <v>#REF!</v>
      </c>
    </row>
    <row r="1010" spans="47:110" ht="15.75" thickBot="1" x14ac:dyDescent="0.3">
      <c r="AU1010" s="112"/>
      <c r="AV1010" s="112"/>
      <c r="BQ1010" s="238">
        <f t="shared" si="2244"/>
        <v>658</v>
      </c>
      <c r="BR1010" t="s">
        <v>448</v>
      </c>
      <c r="BS1010" t="s">
        <v>449</v>
      </c>
      <c r="BT1010" s="114" t="e">
        <f t="shared" ca="1" si="2239"/>
        <v>#N/A</v>
      </c>
      <c r="BU1010" s="112"/>
      <c r="BV1010" t="e">
        <f t="shared" ca="1" si="2119"/>
        <v>#N/A</v>
      </c>
      <c r="BW1010" s="112" t="e">
        <f t="shared" ca="1" si="2074"/>
        <v>#N/A</v>
      </c>
      <c r="BX1010" s="112" t="str">
        <f t="shared" ca="1" si="2249"/>
        <v/>
      </c>
      <c r="BY1010">
        <f t="shared" ca="1" si="2105"/>
        <v>0</v>
      </c>
      <c r="BZ1010">
        <f t="shared" ca="1" si="2106"/>
        <v>24</v>
      </c>
      <c r="CB1010" t="e">
        <f t="shared" ca="1" si="2080"/>
        <v>#N/A</v>
      </c>
      <c r="CC1010" s="112" t="e">
        <f t="shared" ca="1" si="2081"/>
        <v>#N/A</v>
      </c>
      <c r="CD1010" s="112" t="str">
        <f t="shared" ca="1" si="2082"/>
        <v/>
      </c>
      <c r="CE1010">
        <f t="shared" ca="1" si="2083"/>
        <v>0</v>
      </c>
      <c r="CF1010">
        <f t="shared" ca="1" si="2084"/>
        <v>24</v>
      </c>
      <c r="CH1010" s="112" t="str">
        <f t="shared" ca="1" si="2152"/>
        <v/>
      </c>
      <c r="CI1010" t="e">
        <f t="shared" ca="1" si="2245"/>
        <v>#N/A</v>
      </c>
      <c r="CJ1010" t="e">
        <f t="shared" ref="CJ1010" ca="1" si="2251">IF(AND(CI1010=0,CC1010&lt;100000),1,0)</f>
        <v>#N/A</v>
      </c>
      <c r="CK1010" s="112" t="e">
        <f t="shared" ca="1" si="2159"/>
        <v>#N/A</v>
      </c>
      <c r="CM1010" s="112"/>
      <c r="CN1010" s="261" t="e">
        <f t="shared" ref="CN1010" ca="1" si="2252">IF(AND(CN1006=100000,CN1007=100000,CN1008=100000,CN1009=100000),INDIRECT(CONCATENATE("aa",BQ1010)),CC1010)</f>
        <v>#N/A</v>
      </c>
      <c r="CO1010" s="324" t="e">
        <f t="shared" ca="1" si="2247"/>
        <v>#N/A</v>
      </c>
      <c r="CP1010" s="256">
        <f t="shared" ca="1" si="2161"/>
        <v>0</v>
      </c>
      <c r="CQ1010" s="329">
        <f t="shared" ca="1" si="2162"/>
        <v>24</v>
      </c>
      <c r="CS1010" s="112">
        <f t="shared" ca="1" si="2077"/>
        <v>100000</v>
      </c>
      <c r="CT1010" s="112" t="e">
        <f t="shared" ca="1" si="2115"/>
        <v>#N/A</v>
      </c>
      <c r="CU1010" s="238">
        <f t="shared" ca="1" si="2088"/>
        <v>0</v>
      </c>
      <c r="CV1010" s="238">
        <f t="shared" ca="1" si="2089"/>
        <v>24</v>
      </c>
      <c r="CY1010">
        <f t="shared" si="2096"/>
        <v>440</v>
      </c>
      <c r="DE1010" t="str">
        <f t="shared" si="2090"/>
        <v>cs:dc771</v>
      </c>
      <c r="DF1010" t="e">
        <f t="shared" ca="1" si="2091"/>
        <v>#REF!</v>
      </c>
    </row>
    <row r="1011" spans="47:110" x14ac:dyDescent="0.25">
      <c r="AU1011" s="112"/>
      <c r="AV1011" s="112"/>
      <c r="BQ1011" s="238">
        <f t="shared" ref="BQ1011" si="2253">BQ1010+1</f>
        <v>659</v>
      </c>
      <c r="BR1011" s="112" t="s">
        <v>444</v>
      </c>
      <c r="BS1011" s="112" t="s">
        <v>445</v>
      </c>
      <c r="BT1011" s="114" t="e">
        <f t="shared" ca="1" si="2239"/>
        <v>#N/A</v>
      </c>
      <c r="BU1011" s="112"/>
      <c r="BV1011">
        <f t="shared" ca="1" si="2119"/>
        <v>0</v>
      </c>
      <c r="BW1011" s="112" t="str">
        <f t="shared" ca="1" si="2074"/>
        <v/>
      </c>
      <c r="BX1011" s="112" t="e">
        <f t="shared" ref="BX1011:BX1013" ca="1" si="2254">INDIRECT(CONCATENATE(BS1011,BQ1011))-1</f>
        <v>#N/A</v>
      </c>
      <c r="BY1011">
        <f t="shared" ca="1" si="2105"/>
        <v>0</v>
      </c>
      <c r="BZ1011">
        <f t="shared" ca="1" si="2106"/>
        <v>24</v>
      </c>
      <c r="CB1011" t="e">
        <f t="shared" ca="1" si="2080"/>
        <v>#N/A</v>
      </c>
      <c r="CC1011" s="112" t="e">
        <f t="shared" ca="1" si="2081"/>
        <v>#N/A</v>
      </c>
      <c r="CD1011" s="112" t="e">
        <f t="shared" ca="1" si="2082"/>
        <v>#N/A</v>
      </c>
      <c r="CE1011">
        <f t="shared" ca="1" si="2083"/>
        <v>0</v>
      </c>
      <c r="CF1011">
        <f t="shared" ca="1" si="2084"/>
        <v>24</v>
      </c>
      <c r="CH1011" s="112" t="str">
        <f t="shared" ca="1" si="2152"/>
        <v/>
      </c>
      <c r="CI1011" t="e">
        <f t="shared" ref="CI1011" ca="1" si="2255">CB1011+CB1012+CB1013+CB1014+CB1015</f>
        <v>#N/A</v>
      </c>
      <c r="CJ1011">
        <v>0</v>
      </c>
      <c r="CK1011" s="112" t="str">
        <f t="shared" ca="1" si="2159"/>
        <v/>
      </c>
      <c r="CM1011" s="112"/>
      <c r="CN1011" s="408" t="e">
        <f t="shared" ca="1" si="2108"/>
        <v>#N/A</v>
      </c>
      <c r="CO1011" s="326" t="e">
        <f t="shared" ref="CO1011" ca="1" si="2256">CD1011</f>
        <v>#N/A</v>
      </c>
      <c r="CP1011" s="333">
        <f t="shared" ca="1" si="2161"/>
        <v>0</v>
      </c>
      <c r="CQ1011" s="327">
        <f t="shared" ca="1" si="2162"/>
        <v>24</v>
      </c>
      <c r="CS1011" s="112">
        <f t="shared" ca="1" si="2077"/>
        <v>100000</v>
      </c>
      <c r="CT1011" s="112" t="e">
        <f t="shared" ref="CT1011" ca="1" si="2257">IF(AND( CN1012=100000,CN1013=100000,CN1014=100000,CN1015=100000),CO1015,                             CO1011)</f>
        <v>#N/A</v>
      </c>
      <c r="CU1011" s="238">
        <f t="shared" ca="1" si="2088"/>
        <v>0</v>
      </c>
      <c r="CV1011" s="238">
        <f t="shared" ca="1" si="2089"/>
        <v>24</v>
      </c>
      <c r="CY1011">
        <f t="shared" si="2096"/>
        <v>441</v>
      </c>
      <c r="DE1011" t="str">
        <f t="shared" si="2090"/>
        <v>cs:dc771</v>
      </c>
      <c r="DF1011" t="e">
        <f t="shared" ca="1" si="2091"/>
        <v>#REF!</v>
      </c>
    </row>
    <row r="1012" spans="47:110" x14ac:dyDescent="0.25">
      <c r="AU1012" s="112"/>
      <c r="AV1012" s="112"/>
      <c r="BQ1012" s="238">
        <f t="shared" ref="BQ1012:BQ1015" si="2258">BQ1011</f>
        <v>659</v>
      </c>
      <c r="BR1012" t="s">
        <v>445</v>
      </c>
      <c r="BS1012" t="s">
        <v>446</v>
      </c>
      <c r="BT1012" s="114" t="e">
        <f t="shared" ca="1" si="2239"/>
        <v>#N/A</v>
      </c>
      <c r="BU1012" s="112"/>
      <c r="BV1012" t="e">
        <f t="shared" ca="1" si="2119"/>
        <v>#N/A</v>
      </c>
      <c r="BW1012" s="112" t="e">
        <f t="shared" ca="1" si="2074"/>
        <v>#N/A</v>
      </c>
      <c r="BX1012" s="112" t="e">
        <f t="shared" ca="1" si="2254"/>
        <v>#N/A</v>
      </c>
      <c r="BY1012">
        <f t="shared" ca="1" si="2105"/>
        <v>0</v>
      </c>
      <c r="BZ1012">
        <f t="shared" ca="1" si="2106"/>
        <v>24</v>
      </c>
      <c r="CB1012" t="e">
        <f t="shared" ca="1" si="2080"/>
        <v>#N/A</v>
      </c>
      <c r="CC1012" s="112" t="e">
        <f t="shared" ca="1" si="2081"/>
        <v>#N/A</v>
      </c>
      <c r="CD1012" s="112" t="e">
        <f t="shared" ca="1" si="2082"/>
        <v>#N/A</v>
      </c>
      <c r="CE1012">
        <f t="shared" ca="1" si="2083"/>
        <v>0</v>
      </c>
      <c r="CF1012">
        <f t="shared" ca="1" si="2084"/>
        <v>24</v>
      </c>
      <c r="CH1012" s="112" t="str">
        <f t="shared" ca="1" si="2152"/>
        <v/>
      </c>
      <c r="CI1012" t="e">
        <f t="shared" ref="CI1012:CI1015" ca="1" si="2259">CI1011</f>
        <v>#N/A</v>
      </c>
      <c r="CJ1012" t="e">
        <f t="shared" ref="CJ1012" ca="1" si="2260">IF(AND(CI1012=0,CJ1013=0,CJ1014=0,CJ1015=0,CC1012&lt;100000),1,0)</f>
        <v>#N/A</v>
      </c>
      <c r="CK1012" s="112" t="e">
        <f t="shared" ca="1" si="2159"/>
        <v>#N/A</v>
      </c>
      <c r="CM1012" s="112"/>
      <c r="CN1012" s="260" t="e">
        <f t="shared" ca="1" si="2108"/>
        <v>#N/A</v>
      </c>
      <c r="CO1012" s="112" t="e">
        <f t="shared" ref="CO1012:CO1015" ca="1" si="2261">IF(CJ1012=1,CH1012,CD1012)</f>
        <v>#N/A</v>
      </c>
      <c r="CP1012" s="238">
        <f t="shared" ca="1" si="2161"/>
        <v>0</v>
      </c>
      <c r="CQ1012" s="328">
        <f t="shared" ca="1" si="2162"/>
        <v>24</v>
      </c>
      <c r="CS1012" s="112">
        <f t="shared" ca="1" si="2077"/>
        <v>100000</v>
      </c>
      <c r="CT1012" s="112" t="e">
        <f t="shared" ca="1" si="2115"/>
        <v>#N/A</v>
      </c>
      <c r="CU1012" s="238">
        <f t="shared" ca="1" si="2088"/>
        <v>0</v>
      </c>
      <c r="CV1012" s="238">
        <f t="shared" ca="1" si="2089"/>
        <v>24</v>
      </c>
      <c r="CY1012">
        <f t="shared" si="2096"/>
        <v>442</v>
      </c>
      <c r="DE1012" t="str">
        <f t="shared" si="2090"/>
        <v>cs:dc771</v>
      </c>
      <c r="DF1012" t="e">
        <f t="shared" ca="1" si="2091"/>
        <v>#REF!</v>
      </c>
    </row>
    <row r="1013" spans="47:110" x14ac:dyDescent="0.25">
      <c r="AU1013" s="112"/>
      <c r="AV1013" s="112"/>
      <c r="BQ1013" s="238">
        <f t="shared" si="2258"/>
        <v>659</v>
      </c>
      <c r="BR1013" t="s">
        <v>446</v>
      </c>
      <c r="BS1013" t="s">
        <v>447</v>
      </c>
      <c r="BT1013" s="114" t="e">
        <f t="shared" ca="1" si="2239"/>
        <v>#N/A</v>
      </c>
      <c r="BU1013" s="112"/>
      <c r="BV1013" t="e">
        <f t="shared" ca="1" si="2119"/>
        <v>#N/A</v>
      </c>
      <c r="BW1013" s="112" t="e">
        <f t="shared" ca="1" si="2074"/>
        <v>#N/A</v>
      </c>
      <c r="BX1013" s="112" t="e">
        <f t="shared" ca="1" si="2254"/>
        <v>#N/A</v>
      </c>
      <c r="BY1013">
        <f t="shared" ca="1" si="2105"/>
        <v>0</v>
      </c>
      <c r="BZ1013">
        <f t="shared" ca="1" si="2106"/>
        <v>24</v>
      </c>
      <c r="CB1013" t="e">
        <f t="shared" ca="1" si="2080"/>
        <v>#N/A</v>
      </c>
      <c r="CC1013" s="112" t="e">
        <f t="shared" ca="1" si="2081"/>
        <v>#N/A</v>
      </c>
      <c r="CD1013" s="112" t="e">
        <f t="shared" ca="1" si="2082"/>
        <v>#N/A</v>
      </c>
      <c r="CE1013">
        <f t="shared" ca="1" si="2083"/>
        <v>0</v>
      </c>
      <c r="CF1013">
        <f t="shared" ca="1" si="2084"/>
        <v>24</v>
      </c>
      <c r="CH1013" s="112" t="str">
        <f t="shared" ca="1" si="2152"/>
        <v/>
      </c>
      <c r="CI1013" t="e">
        <f t="shared" ca="1" si="2259"/>
        <v>#N/A</v>
      </c>
      <c r="CJ1013" t="e">
        <f t="shared" ref="CJ1013" ca="1" si="2262">IF(AND(CI1013=0,CJ1014=0,CJ1015=0,CC1013&lt;100000),1,0)</f>
        <v>#N/A</v>
      </c>
      <c r="CK1013" s="112" t="e">
        <f t="shared" ca="1" si="2159"/>
        <v>#N/A</v>
      </c>
      <c r="CM1013" s="112"/>
      <c r="CN1013" s="260" t="e">
        <f t="shared" ca="1" si="2108"/>
        <v>#N/A</v>
      </c>
      <c r="CO1013" s="112" t="e">
        <f t="shared" ca="1" si="2261"/>
        <v>#N/A</v>
      </c>
      <c r="CP1013" s="238">
        <f t="shared" ca="1" si="2161"/>
        <v>0</v>
      </c>
      <c r="CQ1013" s="328">
        <f t="shared" ca="1" si="2162"/>
        <v>24</v>
      </c>
      <c r="CS1013" s="112">
        <f t="shared" ca="1" si="2077"/>
        <v>100000</v>
      </c>
      <c r="CT1013" s="112" t="e">
        <f t="shared" ca="1" si="2115"/>
        <v>#N/A</v>
      </c>
      <c r="CU1013" s="238">
        <f t="shared" ca="1" si="2088"/>
        <v>0</v>
      </c>
      <c r="CV1013" s="238">
        <f t="shared" ca="1" si="2089"/>
        <v>24</v>
      </c>
      <c r="CY1013">
        <f t="shared" si="2096"/>
        <v>443</v>
      </c>
      <c r="DE1013" t="str">
        <f t="shared" si="2090"/>
        <v>cs:dc771</v>
      </c>
      <c r="DF1013" t="e">
        <f t="shared" ca="1" si="2091"/>
        <v>#REF!</v>
      </c>
    </row>
    <row r="1014" spans="47:110" x14ac:dyDescent="0.25">
      <c r="AU1014" s="112"/>
      <c r="AV1014" s="112"/>
      <c r="BQ1014" s="238">
        <f t="shared" si="2258"/>
        <v>659</v>
      </c>
      <c r="BR1014" t="s">
        <v>447</v>
      </c>
      <c r="BS1014" t="s">
        <v>448</v>
      </c>
      <c r="BT1014" s="114" t="e">
        <f t="shared" ca="1" si="2239"/>
        <v>#N/A</v>
      </c>
      <c r="BU1014" s="112"/>
      <c r="BV1014" t="e">
        <f t="shared" ca="1" si="2119"/>
        <v>#N/A</v>
      </c>
      <c r="BW1014" s="112" t="e">
        <f t="shared" ca="1" si="2074"/>
        <v>#N/A</v>
      </c>
      <c r="BX1014" s="112" t="e">
        <f t="shared" ref="BX1014:BX1015" ca="1" si="2263">INDIRECT(CONCATENATE(BS1014,BQ1014))</f>
        <v>#N/A</v>
      </c>
      <c r="BY1014">
        <f t="shared" ca="1" si="2105"/>
        <v>0</v>
      </c>
      <c r="BZ1014">
        <f t="shared" ca="1" si="2106"/>
        <v>24</v>
      </c>
      <c r="CB1014" t="e">
        <f t="shared" ca="1" si="2080"/>
        <v>#N/A</v>
      </c>
      <c r="CC1014" s="112" t="e">
        <f t="shared" ca="1" si="2081"/>
        <v>#N/A</v>
      </c>
      <c r="CD1014" s="112" t="e">
        <f t="shared" ca="1" si="2082"/>
        <v>#N/A</v>
      </c>
      <c r="CE1014">
        <f t="shared" ca="1" si="2083"/>
        <v>0</v>
      </c>
      <c r="CF1014">
        <f t="shared" ca="1" si="2084"/>
        <v>24</v>
      </c>
      <c r="CH1014" s="112" t="str">
        <f t="shared" ca="1" si="2152"/>
        <v/>
      </c>
      <c r="CI1014" t="e">
        <f t="shared" ca="1" si="2259"/>
        <v>#N/A</v>
      </c>
      <c r="CJ1014" t="e">
        <f t="shared" ref="CJ1014" ca="1" si="2264">IF(AND(CI1014=0,CJ1015=0,CC1014&lt;100000),1,0)</f>
        <v>#N/A</v>
      </c>
      <c r="CK1014" s="112" t="e">
        <f t="shared" ca="1" si="2159"/>
        <v>#N/A</v>
      </c>
      <c r="CM1014" s="112"/>
      <c r="CN1014" s="260" t="e">
        <f t="shared" ca="1" si="2108"/>
        <v>#N/A</v>
      </c>
      <c r="CO1014" s="112" t="e">
        <f t="shared" ca="1" si="2261"/>
        <v>#N/A</v>
      </c>
      <c r="CP1014" s="238">
        <f t="shared" ca="1" si="2161"/>
        <v>0</v>
      </c>
      <c r="CQ1014" s="328">
        <f t="shared" ca="1" si="2162"/>
        <v>24</v>
      </c>
      <c r="CS1014" s="112">
        <f t="shared" ca="1" si="2077"/>
        <v>100000</v>
      </c>
      <c r="CT1014" s="112" t="e">
        <f t="shared" ca="1" si="2115"/>
        <v>#N/A</v>
      </c>
      <c r="CU1014" s="238">
        <f t="shared" ca="1" si="2088"/>
        <v>0</v>
      </c>
      <c r="CV1014" s="238">
        <f t="shared" ca="1" si="2089"/>
        <v>24</v>
      </c>
      <c r="CY1014">
        <f t="shared" si="2096"/>
        <v>444</v>
      </c>
      <c r="DE1014" t="str">
        <f t="shared" si="2090"/>
        <v>cs:dc771</v>
      </c>
      <c r="DF1014" t="e">
        <f t="shared" ca="1" si="2091"/>
        <v>#REF!</v>
      </c>
    </row>
    <row r="1015" spans="47:110" ht="15.75" thickBot="1" x14ac:dyDescent="0.3">
      <c r="AU1015" s="112"/>
      <c r="AV1015" s="112"/>
      <c r="BQ1015" s="238">
        <f t="shared" si="2258"/>
        <v>659</v>
      </c>
      <c r="BR1015" t="s">
        <v>448</v>
      </c>
      <c r="BS1015" t="s">
        <v>449</v>
      </c>
      <c r="BT1015" s="114" t="e">
        <f t="shared" ca="1" si="2239"/>
        <v>#N/A</v>
      </c>
      <c r="BU1015" s="112"/>
      <c r="BV1015" t="e">
        <f t="shared" ca="1" si="2119"/>
        <v>#N/A</v>
      </c>
      <c r="BW1015" s="112" t="e">
        <f t="shared" ca="1" si="2074"/>
        <v>#N/A</v>
      </c>
      <c r="BX1015" s="112" t="str">
        <f t="shared" ca="1" si="2263"/>
        <v/>
      </c>
      <c r="BY1015">
        <f t="shared" ca="1" si="2105"/>
        <v>0</v>
      </c>
      <c r="BZ1015">
        <f t="shared" ca="1" si="2106"/>
        <v>24</v>
      </c>
      <c r="CB1015" t="e">
        <f t="shared" ca="1" si="2080"/>
        <v>#N/A</v>
      </c>
      <c r="CC1015" s="112" t="e">
        <f t="shared" ca="1" si="2081"/>
        <v>#N/A</v>
      </c>
      <c r="CD1015" s="112" t="str">
        <f t="shared" ca="1" si="2082"/>
        <v/>
      </c>
      <c r="CE1015">
        <f t="shared" ca="1" si="2083"/>
        <v>0</v>
      </c>
      <c r="CF1015">
        <f t="shared" ca="1" si="2084"/>
        <v>24</v>
      </c>
      <c r="CH1015" s="112" t="str">
        <f t="shared" ca="1" si="2152"/>
        <v/>
      </c>
      <c r="CI1015" t="e">
        <f t="shared" ca="1" si="2259"/>
        <v>#N/A</v>
      </c>
      <c r="CJ1015" t="e">
        <f t="shared" ref="CJ1015" ca="1" si="2265">IF(AND(CI1015=0,CC1015&lt;100000),1,0)</f>
        <v>#N/A</v>
      </c>
      <c r="CK1015" s="112" t="e">
        <f t="shared" ca="1" si="2159"/>
        <v>#N/A</v>
      </c>
      <c r="CM1015" s="112"/>
      <c r="CN1015" s="261" t="e">
        <f t="shared" ref="CN1015" ca="1" si="2266">IF(AND(CN1011=100000,CN1012=100000,CN1013=100000,CN1014=100000),INDIRECT(CONCATENATE("aa",BQ1015)),CC1015)</f>
        <v>#N/A</v>
      </c>
      <c r="CO1015" s="324" t="e">
        <f t="shared" ca="1" si="2261"/>
        <v>#N/A</v>
      </c>
      <c r="CP1015" s="256">
        <f t="shared" ca="1" si="2161"/>
        <v>0</v>
      </c>
      <c r="CQ1015" s="329">
        <f t="shared" ca="1" si="2162"/>
        <v>24</v>
      </c>
      <c r="CS1015" s="112">
        <f t="shared" ca="1" si="2077"/>
        <v>100000</v>
      </c>
      <c r="CT1015" s="112" t="e">
        <f t="shared" ca="1" si="2115"/>
        <v>#N/A</v>
      </c>
      <c r="CU1015" s="238">
        <f t="shared" ca="1" si="2088"/>
        <v>0</v>
      </c>
      <c r="CV1015" s="238">
        <f t="shared" ca="1" si="2089"/>
        <v>24</v>
      </c>
      <c r="CY1015">
        <f t="shared" si="2096"/>
        <v>445</v>
      </c>
      <c r="DE1015" t="str">
        <f t="shared" si="2090"/>
        <v>cs:dc771</v>
      </c>
      <c r="DF1015" t="e">
        <f t="shared" ca="1" si="2091"/>
        <v>#REF!</v>
      </c>
    </row>
    <row r="1016" spans="47:110" x14ac:dyDescent="0.25">
      <c r="AU1016" s="112"/>
      <c r="AV1016" s="112"/>
      <c r="BQ1016" s="238">
        <f t="shared" ref="BQ1016" si="2267">BQ1015+1</f>
        <v>660</v>
      </c>
      <c r="BR1016" s="112" t="s">
        <v>444</v>
      </c>
      <c r="BS1016" s="112" t="s">
        <v>445</v>
      </c>
      <c r="BT1016" s="114" t="e">
        <f t="shared" ca="1" si="2239"/>
        <v>#N/A</v>
      </c>
      <c r="BU1016" s="112"/>
      <c r="BV1016">
        <f t="shared" ca="1" si="2119"/>
        <v>0</v>
      </c>
      <c r="BW1016" s="112" t="str">
        <f t="shared" ca="1" si="2074"/>
        <v/>
      </c>
      <c r="BX1016" s="112" t="e">
        <f t="shared" ref="BX1016:BX1018" ca="1" si="2268">INDIRECT(CONCATENATE(BS1016,BQ1016))-1</f>
        <v>#N/A</v>
      </c>
      <c r="BY1016">
        <f t="shared" ca="1" si="2105"/>
        <v>0</v>
      </c>
      <c r="BZ1016">
        <f t="shared" ca="1" si="2106"/>
        <v>24</v>
      </c>
      <c r="CB1016" t="e">
        <f t="shared" ca="1" si="2080"/>
        <v>#N/A</v>
      </c>
      <c r="CC1016" s="112" t="e">
        <f t="shared" ca="1" si="2081"/>
        <v>#N/A</v>
      </c>
      <c r="CD1016" s="112" t="e">
        <f t="shared" ca="1" si="2082"/>
        <v>#N/A</v>
      </c>
      <c r="CE1016">
        <f t="shared" ca="1" si="2083"/>
        <v>0</v>
      </c>
      <c r="CF1016">
        <f t="shared" ca="1" si="2084"/>
        <v>24</v>
      </c>
      <c r="CH1016" s="112" t="str">
        <f t="shared" ca="1" si="2152"/>
        <v/>
      </c>
      <c r="CI1016" t="e">
        <f t="shared" ref="CI1016" ca="1" si="2269">CB1016+CB1017+CB1018+CB1019+CB1020</f>
        <v>#N/A</v>
      </c>
      <c r="CJ1016">
        <v>0</v>
      </c>
      <c r="CK1016" s="112" t="str">
        <f t="shared" ca="1" si="2159"/>
        <v/>
      </c>
      <c r="CM1016" s="112"/>
      <c r="CN1016" s="408" t="e">
        <f t="shared" ca="1" si="2108"/>
        <v>#N/A</v>
      </c>
      <c r="CO1016" s="326" t="e">
        <f t="shared" ref="CO1016" ca="1" si="2270">CD1016</f>
        <v>#N/A</v>
      </c>
      <c r="CP1016" s="333">
        <f t="shared" ca="1" si="2161"/>
        <v>0</v>
      </c>
      <c r="CQ1016" s="327">
        <f t="shared" ca="1" si="2162"/>
        <v>24</v>
      </c>
      <c r="CS1016" s="112">
        <f t="shared" ca="1" si="2077"/>
        <v>100000</v>
      </c>
      <c r="CT1016" s="112" t="e">
        <f t="shared" ref="CT1016" ca="1" si="2271">IF(AND( CN1017=100000,CN1018=100000,CN1019=100000,CN1020=100000),CO1020,                             CO1016)</f>
        <v>#N/A</v>
      </c>
      <c r="CU1016" s="238">
        <f t="shared" ca="1" si="2088"/>
        <v>0</v>
      </c>
      <c r="CV1016" s="238">
        <f t="shared" ca="1" si="2089"/>
        <v>24</v>
      </c>
      <c r="CY1016">
        <f t="shared" si="2096"/>
        <v>446</v>
      </c>
      <c r="DE1016" t="str">
        <f t="shared" si="2090"/>
        <v>cs:dc771</v>
      </c>
      <c r="DF1016" t="e">
        <f t="shared" ca="1" si="2091"/>
        <v>#REF!</v>
      </c>
    </row>
    <row r="1017" spans="47:110" x14ac:dyDescent="0.25">
      <c r="AU1017" s="112"/>
      <c r="AV1017" s="112"/>
      <c r="BQ1017" s="238">
        <f t="shared" ref="BQ1017:BQ1020" si="2272">BQ1016</f>
        <v>660</v>
      </c>
      <c r="BR1017" t="s">
        <v>445</v>
      </c>
      <c r="BS1017" t="s">
        <v>446</v>
      </c>
      <c r="BT1017" s="114" t="e">
        <f t="shared" ca="1" si="2239"/>
        <v>#N/A</v>
      </c>
      <c r="BU1017" s="112"/>
      <c r="BV1017" t="e">
        <f t="shared" ca="1" si="2119"/>
        <v>#N/A</v>
      </c>
      <c r="BW1017" s="112" t="e">
        <f t="shared" ca="1" si="2074"/>
        <v>#N/A</v>
      </c>
      <c r="BX1017" s="112" t="e">
        <f t="shared" ca="1" si="2268"/>
        <v>#N/A</v>
      </c>
      <c r="BY1017">
        <f t="shared" ca="1" si="2105"/>
        <v>0</v>
      </c>
      <c r="BZ1017">
        <f t="shared" ca="1" si="2106"/>
        <v>24</v>
      </c>
      <c r="CB1017" t="e">
        <f t="shared" ca="1" si="2080"/>
        <v>#N/A</v>
      </c>
      <c r="CC1017" s="112" t="e">
        <f t="shared" ca="1" si="2081"/>
        <v>#N/A</v>
      </c>
      <c r="CD1017" s="112" t="e">
        <f t="shared" ca="1" si="2082"/>
        <v>#N/A</v>
      </c>
      <c r="CE1017">
        <f t="shared" ca="1" si="2083"/>
        <v>0</v>
      </c>
      <c r="CF1017">
        <f t="shared" ca="1" si="2084"/>
        <v>24</v>
      </c>
      <c r="CH1017" s="112" t="str">
        <f t="shared" ca="1" si="2152"/>
        <v/>
      </c>
      <c r="CI1017" t="e">
        <f t="shared" ref="CI1017:CI1020" ca="1" si="2273">CI1016</f>
        <v>#N/A</v>
      </c>
      <c r="CJ1017" t="e">
        <f t="shared" ref="CJ1017" ca="1" si="2274">IF(AND(CI1017=0,CJ1018=0,CJ1019=0,CJ1020=0,CC1017&lt;100000),1,0)</f>
        <v>#N/A</v>
      </c>
      <c r="CK1017" s="112" t="e">
        <f t="shared" ca="1" si="2159"/>
        <v>#N/A</v>
      </c>
      <c r="CM1017" s="112"/>
      <c r="CN1017" s="260" t="e">
        <f t="shared" ca="1" si="2108"/>
        <v>#N/A</v>
      </c>
      <c r="CO1017" s="112" t="e">
        <f t="shared" ref="CO1017:CO1020" ca="1" si="2275">IF(CJ1017=1,CH1017,CD1017)</f>
        <v>#N/A</v>
      </c>
      <c r="CP1017" s="238">
        <f t="shared" ca="1" si="2161"/>
        <v>0</v>
      </c>
      <c r="CQ1017" s="328">
        <f t="shared" ca="1" si="2162"/>
        <v>24</v>
      </c>
      <c r="CS1017" s="112">
        <f t="shared" ca="1" si="2077"/>
        <v>100000</v>
      </c>
      <c r="CT1017" s="112" t="e">
        <f t="shared" ca="1" si="2115"/>
        <v>#N/A</v>
      </c>
      <c r="CU1017" s="238">
        <f t="shared" ca="1" si="2088"/>
        <v>0</v>
      </c>
      <c r="CV1017" s="238">
        <f t="shared" ca="1" si="2089"/>
        <v>24</v>
      </c>
      <c r="CY1017">
        <f t="shared" si="2096"/>
        <v>447</v>
      </c>
      <c r="DE1017" t="str">
        <f t="shared" si="2090"/>
        <v>cs:dc771</v>
      </c>
      <c r="DF1017" t="e">
        <f t="shared" ca="1" si="2091"/>
        <v>#REF!</v>
      </c>
    </row>
    <row r="1018" spans="47:110" x14ac:dyDescent="0.25">
      <c r="AU1018" s="112"/>
      <c r="AV1018" s="112"/>
      <c r="BQ1018" s="238">
        <f t="shared" si="2272"/>
        <v>660</v>
      </c>
      <c r="BR1018" t="s">
        <v>446</v>
      </c>
      <c r="BS1018" t="s">
        <v>447</v>
      </c>
      <c r="BT1018" s="114" t="e">
        <f t="shared" ca="1" si="2239"/>
        <v>#N/A</v>
      </c>
      <c r="BU1018" s="112"/>
      <c r="BV1018" t="e">
        <f t="shared" ca="1" si="2119"/>
        <v>#N/A</v>
      </c>
      <c r="BW1018" s="112" t="e">
        <f t="shared" ca="1" si="2074"/>
        <v>#N/A</v>
      </c>
      <c r="BX1018" s="112" t="e">
        <f t="shared" ca="1" si="2268"/>
        <v>#N/A</v>
      </c>
      <c r="BY1018">
        <f t="shared" ca="1" si="2105"/>
        <v>0</v>
      </c>
      <c r="BZ1018">
        <f t="shared" ca="1" si="2106"/>
        <v>24</v>
      </c>
      <c r="CB1018" t="e">
        <f t="shared" ca="1" si="2080"/>
        <v>#N/A</v>
      </c>
      <c r="CC1018" s="112" t="e">
        <f t="shared" ca="1" si="2081"/>
        <v>#N/A</v>
      </c>
      <c r="CD1018" s="112" t="e">
        <f t="shared" ca="1" si="2082"/>
        <v>#N/A</v>
      </c>
      <c r="CE1018">
        <f t="shared" ca="1" si="2083"/>
        <v>0</v>
      </c>
      <c r="CF1018">
        <f t="shared" ca="1" si="2084"/>
        <v>24</v>
      </c>
      <c r="CH1018" s="112" t="str">
        <f t="shared" ca="1" si="2152"/>
        <v/>
      </c>
      <c r="CI1018" t="e">
        <f t="shared" ca="1" si="2273"/>
        <v>#N/A</v>
      </c>
      <c r="CJ1018" t="e">
        <f t="shared" ref="CJ1018" ca="1" si="2276">IF(AND(CI1018=0,CJ1019=0,CJ1020=0,CC1018&lt;100000),1,0)</f>
        <v>#N/A</v>
      </c>
      <c r="CK1018" s="112" t="e">
        <f t="shared" ca="1" si="2159"/>
        <v>#N/A</v>
      </c>
      <c r="CM1018" s="112"/>
      <c r="CN1018" s="260" t="e">
        <f t="shared" ca="1" si="2108"/>
        <v>#N/A</v>
      </c>
      <c r="CO1018" s="112" t="e">
        <f t="shared" ca="1" si="2275"/>
        <v>#N/A</v>
      </c>
      <c r="CP1018" s="238">
        <f t="shared" ca="1" si="2161"/>
        <v>0</v>
      </c>
      <c r="CQ1018" s="328">
        <f t="shared" ca="1" si="2162"/>
        <v>24</v>
      </c>
      <c r="CS1018" s="112">
        <f t="shared" ca="1" si="2077"/>
        <v>100000</v>
      </c>
      <c r="CT1018" s="112" t="e">
        <f t="shared" ca="1" si="2115"/>
        <v>#N/A</v>
      </c>
      <c r="CU1018" s="238">
        <f t="shared" ca="1" si="2088"/>
        <v>0</v>
      </c>
      <c r="CV1018" s="238">
        <f t="shared" ca="1" si="2089"/>
        <v>24</v>
      </c>
      <c r="CY1018">
        <f t="shared" si="2096"/>
        <v>448</v>
      </c>
      <c r="DE1018" t="str">
        <f t="shared" si="2090"/>
        <v>cs:dc771</v>
      </c>
      <c r="DF1018" t="e">
        <f t="shared" ca="1" si="2091"/>
        <v>#REF!</v>
      </c>
    </row>
    <row r="1019" spans="47:110" x14ac:dyDescent="0.25">
      <c r="AU1019" s="112"/>
      <c r="AV1019" s="112"/>
      <c r="BQ1019" s="238">
        <f t="shared" si="2272"/>
        <v>660</v>
      </c>
      <c r="BR1019" t="s">
        <v>447</v>
      </c>
      <c r="BS1019" t="s">
        <v>448</v>
      </c>
      <c r="BT1019" s="114" t="e">
        <f t="shared" ca="1" si="2239"/>
        <v>#N/A</v>
      </c>
      <c r="BU1019" s="112"/>
      <c r="BV1019" t="e">
        <f t="shared" ca="1" si="2119"/>
        <v>#N/A</v>
      </c>
      <c r="BW1019" s="112" t="e">
        <f t="shared" ref="BW1019:BW1082" ca="1" si="2277">INDIRECT(CONCATENATE(BR1019,BQ1019))</f>
        <v>#N/A</v>
      </c>
      <c r="BX1019" s="112" t="e">
        <f t="shared" ref="BX1019:BX1020" ca="1" si="2278">INDIRECT(CONCATENATE(BS1019,BQ1019))</f>
        <v>#N/A</v>
      </c>
      <c r="BY1019">
        <f t="shared" ca="1" si="2105"/>
        <v>0</v>
      </c>
      <c r="BZ1019">
        <f t="shared" ca="1" si="2106"/>
        <v>24</v>
      </c>
      <c r="CB1019" t="e">
        <f t="shared" ca="1" si="2080"/>
        <v>#N/A</v>
      </c>
      <c r="CC1019" s="112" t="e">
        <f t="shared" ca="1" si="2081"/>
        <v>#N/A</v>
      </c>
      <c r="CD1019" s="112" t="e">
        <f t="shared" ca="1" si="2082"/>
        <v>#N/A</v>
      </c>
      <c r="CE1019">
        <f t="shared" ca="1" si="2083"/>
        <v>0</v>
      </c>
      <c r="CF1019">
        <f t="shared" ca="1" si="2084"/>
        <v>24</v>
      </c>
      <c r="CH1019" s="112" t="str">
        <f t="shared" ca="1" si="2152"/>
        <v/>
      </c>
      <c r="CI1019" t="e">
        <f t="shared" ca="1" si="2273"/>
        <v>#N/A</v>
      </c>
      <c r="CJ1019" t="e">
        <f t="shared" ref="CJ1019" ca="1" si="2279">IF(AND(CI1019=0,CJ1020=0,CC1019&lt;100000),1,0)</f>
        <v>#N/A</v>
      </c>
      <c r="CK1019" s="112" t="e">
        <f t="shared" ca="1" si="2159"/>
        <v>#N/A</v>
      </c>
      <c r="CM1019" s="112"/>
      <c r="CN1019" s="260" t="e">
        <f t="shared" ca="1" si="2108"/>
        <v>#N/A</v>
      </c>
      <c r="CO1019" s="112" t="e">
        <f t="shared" ca="1" si="2275"/>
        <v>#N/A</v>
      </c>
      <c r="CP1019" s="238">
        <f t="shared" ca="1" si="2161"/>
        <v>0</v>
      </c>
      <c r="CQ1019" s="328">
        <f t="shared" ca="1" si="2162"/>
        <v>24</v>
      </c>
      <c r="CS1019" s="112">
        <f t="shared" ref="CS1019:CS1082" ca="1" si="2280">IF(TYPE(CN1019)=16,100000,CN1019)</f>
        <v>100000</v>
      </c>
      <c r="CT1019" s="112" t="e">
        <f t="shared" ca="1" si="2115"/>
        <v>#N/A</v>
      </c>
      <c r="CU1019" s="238">
        <f t="shared" ca="1" si="2088"/>
        <v>0</v>
      </c>
      <c r="CV1019" s="238">
        <f t="shared" ca="1" si="2089"/>
        <v>24</v>
      </c>
      <c r="CY1019">
        <f t="shared" si="2096"/>
        <v>449</v>
      </c>
      <c r="DE1019" t="str">
        <f t="shared" si="2090"/>
        <v>cs:dc771</v>
      </c>
      <c r="DF1019" t="e">
        <f t="shared" ca="1" si="2091"/>
        <v>#REF!</v>
      </c>
    </row>
    <row r="1020" spans="47:110" ht="15.75" thickBot="1" x14ac:dyDescent="0.3">
      <c r="AU1020" s="112"/>
      <c r="AV1020" s="112"/>
      <c r="BQ1020" s="238">
        <f t="shared" si="2272"/>
        <v>660</v>
      </c>
      <c r="BR1020" t="s">
        <v>448</v>
      </c>
      <c r="BS1020" t="s">
        <v>449</v>
      </c>
      <c r="BT1020" s="114" t="e">
        <f t="shared" ca="1" si="2239"/>
        <v>#N/A</v>
      </c>
      <c r="BU1020" s="112"/>
      <c r="BV1020" t="e">
        <f t="shared" ca="1" si="2119"/>
        <v>#N/A</v>
      </c>
      <c r="BW1020" s="112" t="e">
        <f t="shared" ca="1" si="2277"/>
        <v>#N/A</v>
      </c>
      <c r="BX1020" s="112" t="str">
        <f t="shared" ca="1" si="2278"/>
        <v/>
      </c>
      <c r="BY1020">
        <f t="shared" ca="1" si="2105"/>
        <v>0</v>
      </c>
      <c r="BZ1020">
        <f t="shared" ca="1" si="2106"/>
        <v>24</v>
      </c>
      <c r="CB1020" t="e">
        <f t="shared" ref="CB1020:CB1083" ca="1" si="2281">IF(AND(CC1020&lt;&gt;100000,CD1020=INDIRECT(CONCATENATE("aq",BQ1020))),1,0)</f>
        <v>#N/A</v>
      </c>
      <c r="CC1020" s="112" t="e">
        <f t="shared" ref="CC1020:CC1083" ca="1" si="2282">IF(OR(BV1020=0,BW1020&gt;BX1020),100000,BW1020)</f>
        <v>#N/A</v>
      </c>
      <c r="CD1020" s="112" t="str">
        <f t="shared" ref="CD1020:CD1083" ca="1" si="2283">BX1020</f>
        <v/>
      </c>
      <c r="CE1020">
        <f t="shared" ref="CE1020:CE1083" ca="1" si="2284">BY1020</f>
        <v>0</v>
      </c>
      <c r="CF1020">
        <f t="shared" ref="CF1020:CF1083" ca="1" si="2285">BZ1020</f>
        <v>24</v>
      </c>
      <c r="CH1020" s="112" t="str">
        <f t="shared" ca="1" si="2152"/>
        <v/>
      </c>
      <c r="CI1020" t="e">
        <f t="shared" ca="1" si="2273"/>
        <v>#N/A</v>
      </c>
      <c r="CJ1020" t="e">
        <f t="shared" ref="CJ1020" ca="1" si="2286">IF(AND(CI1020=0,CC1020&lt;100000),1,0)</f>
        <v>#N/A</v>
      </c>
      <c r="CK1020" s="112" t="e">
        <f t="shared" ca="1" si="2159"/>
        <v>#N/A</v>
      </c>
      <c r="CM1020" s="112"/>
      <c r="CN1020" s="261" t="e">
        <f t="shared" ref="CN1020" ca="1" si="2287">IF(AND(CN1016=100000,CN1017=100000,CN1018=100000,CN1019=100000),INDIRECT(CONCATENATE("aa",BQ1020)),CC1020)</f>
        <v>#N/A</v>
      </c>
      <c r="CO1020" s="324" t="e">
        <f t="shared" ca="1" si="2275"/>
        <v>#N/A</v>
      </c>
      <c r="CP1020" s="256">
        <f t="shared" ca="1" si="2161"/>
        <v>0</v>
      </c>
      <c r="CQ1020" s="329">
        <f t="shared" ca="1" si="2162"/>
        <v>24</v>
      </c>
      <c r="CS1020" s="112">
        <f t="shared" ca="1" si="2280"/>
        <v>100000</v>
      </c>
      <c r="CT1020" s="112" t="e">
        <f t="shared" ca="1" si="2115"/>
        <v>#N/A</v>
      </c>
      <c r="CU1020" s="238">
        <f t="shared" ref="CU1020:CU1083" ca="1" si="2288">CP1020</f>
        <v>0</v>
      </c>
      <c r="CV1020" s="238">
        <f t="shared" ref="CV1020:CV1083" ca="1" si="2289">CQ1020</f>
        <v>24</v>
      </c>
      <c r="CY1020">
        <f t="shared" si="2096"/>
        <v>450</v>
      </c>
      <c r="DE1020" t="str">
        <f t="shared" ref="DE1020:DE1083" si="2290">CONCATENATE("cs",DC1020,":dc771")</f>
        <v>cs:dc771</v>
      </c>
      <c r="DF1020" t="e">
        <f t="shared" ref="DF1020:DF1083" ca="1" si="2291">VLOOKUP(DA1020,INDIRECT(DE1020),11,FALSE)</f>
        <v>#REF!</v>
      </c>
    </row>
    <row r="1021" spans="47:110" x14ac:dyDescent="0.25">
      <c r="AU1021" s="112"/>
      <c r="AV1021" s="112"/>
      <c r="BQ1021" s="238">
        <f t="shared" ref="BQ1021" si="2292">BQ1020+1</f>
        <v>661</v>
      </c>
      <c r="BR1021" s="112" t="s">
        <v>444</v>
      </c>
      <c r="BS1021" s="112" t="s">
        <v>445</v>
      </c>
      <c r="BT1021" s="114" t="e">
        <f t="shared" ca="1" si="2239"/>
        <v>#N/A</v>
      </c>
      <c r="BU1021" s="112"/>
      <c r="BV1021">
        <f t="shared" ca="1" si="2119"/>
        <v>0</v>
      </c>
      <c r="BW1021" s="112" t="str">
        <f t="shared" ca="1" si="2277"/>
        <v/>
      </c>
      <c r="BX1021" s="112" t="e">
        <f t="shared" ref="BX1021:BX1023" ca="1" si="2293">INDIRECT(CONCATENATE(BS1021,BQ1021))-1</f>
        <v>#N/A</v>
      </c>
      <c r="BY1021">
        <f t="shared" ca="1" si="2105"/>
        <v>0</v>
      </c>
      <c r="BZ1021">
        <f t="shared" ca="1" si="2106"/>
        <v>24</v>
      </c>
      <c r="CB1021" t="e">
        <f t="shared" ca="1" si="2281"/>
        <v>#N/A</v>
      </c>
      <c r="CC1021" s="112" t="e">
        <f t="shared" ca="1" si="2282"/>
        <v>#N/A</v>
      </c>
      <c r="CD1021" s="112" t="e">
        <f t="shared" ca="1" si="2283"/>
        <v>#N/A</v>
      </c>
      <c r="CE1021">
        <f t="shared" ca="1" si="2284"/>
        <v>0</v>
      </c>
      <c r="CF1021">
        <f t="shared" ca="1" si="2285"/>
        <v>24</v>
      </c>
      <c r="CH1021" s="112" t="str">
        <f t="shared" ca="1" si="2152"/>
        <v/>
      </c>
      <c r="CI1021" t="e">
        <f t="shared" ref="CI1021" ca="1" si="2294">CB1021+CB1022+CB1023+CB1024+CB1025</f>
        <v>#N/A</v>
      </c>
      <c r="CJ1021">
        <v>0</v>
      </c>
      <c r="CK1021" s="112" t="str">
        <f t="shared" ca="1" si="2159"/>
        <v/>
      </c>
      <c r="CM1021" s="112"/>
      <c r="CN1021" s="408" t="e">
        <f t="shared" ca="1" si="2108"/>
        <v>#N/A</v>
      </c>
      <c r="CO1021" s="326" t="e">
        <f t="shared" ref="CO1021" ca="1" si="2295">CD1021</f>
        <v>#N/A</v>
      </c>
      <c r="CP1021" s="333">
        <f t="shared" ca="1" si="2161"/>
        <v>0</v>
      </c>
      <c r="CQ1021" s="327">
        <f t="shared" ca="1" si="2162"/>
        <v>24</v>
      </c>
      <c r="CS1021" s="112">
        <f t="shared" ca="1" si="2280"/>
        <v>100000</v>
      </c>
      <c r="CT1021" s="112" t="e">
        <f t="shared" ref="CT1021" ca="1" si="2296">IF(AND( CN1022=100000,CN1023=100000,CN1024=100000,CN1025=100000),CO1025,                             CO1021)</f>
        <v>#N/A</v>
      </c>
      <c r="CU1021" s="238">
        <f t="shared" ca="1" si="2288"/>
        <v>0</v>
      </c>
      <c r="CV1021" s="238">
        <f t="shared" ca="1" si="2289"/>
        <v>24</v>
      </c>
      <c r="CY1021">
        <f t="shared" ref="CY1021:CY1084" si="2297">CY1020+1</f>
        <v>451</v>
      </c>
      <c r="DE1021" t="str">
        <f t="shared" si="2290"/>
        <v>cs:dc771</v>
      </c>
      <c r="DF1021" t="e">
        <f t="shared" ca="1" si="2291"/>
        <v>#REF!</v>
      </c>
    </row>
    <row r="1022" spans="47:110" x14ac:dyDescent="0.25">
      <c r="AU1022" s="112"/>
      <c r="AV1022" s="112"/>
      <c r="BQ1022" s="238">
        <f t="shared" ref="BQ1022:BQ1025" si="2298">BQ1021</f>
        <v>661</v>
      </c>
      <c r="BR1022" t="s">
        <v>445</v>
      </c>
      <c r="BS1022" t="s">
        <v>446</v>
      </c>
      <c r="BT1022" s="114" t="e">
        <f t="shared" ca="1" si="2239"/>
        <v>#N/A</v>
      </c>
      <c r="BU1022" s="112"/>
      <c r="BV1022" t="e">
        <f t="shared" ca="1" si="2119"/>
        <v>#N/A</v>
      </c>
      <c r="BW1022" s="112" t="e">
        <f t="shared" ca="1" si="2277"/>
        <v>#N/A</v>
      </c>
      <c r="BX1022" s="112" t="e">
        <f t="shared" ca="1" si="2293"/>
        <v>#N/A</v>
      </c>
      <c r="BY1022">
        <f t="shared" ca="1" si="2105"/>
        <v>0</v>
      </c>
      <c r="BZ1022">
        <f t="shared" ca="1" si="2106"/>
        <v>24</v>
      </c>
      <c r="CB1022" t="e">
        <f t="shared" ca="1" si="2281"/>
        <v>#N/A</v>
      </c>
      <c r="CC1022" s="112" t="e">
        <f t="shared" ca="1" si="2282"/>
        <v>#N/A</v>
      </c>
      <c r="CD1022" s="112" t="e">
        <f t="shared" ca="1" si="2283"/>
        <v>#N/A</v>
      </c>
      <c r="CE1022">
        <f t="shared" ca="1" si="2284"/>
        <v>0</v>
      </c>
      <c r="CF1022">
        <f t="shared" ca="1" si="2285"/>
        <v>24</v>
      </c>
      <c r="CH1022" s="112" t="str">
        <f t="shared" ca="1" si="2152"/>
        <v/>
      </c>
      <c r="CI1022" t="e">
        <f t="shared" ref="CI1022:CI1025" ca="1" si="2299">CI1021</f>
        <v>#N/A</v>
      </c>
      <c r="CJ1022" t="e">
        <f t="shared" ref="CJ1022" ca="1" si="2300">IF(AND(CI1022=0,CJ1023=0,CJ1024=0,CJ1025=0,CC1022&lt;100000),1,0)</f>
        <v>#N/A</v>
      </c>
      <c r="CK1022" s="112" t="e">
        <f t="shared" ca="1" si="2159"/>
        <v>#N/A</v>
      </c>
      <c r="CM1022" s="112"/>
      <c r="CN1022" s="260" t="e">
        <f t="shared" ca="1" si="2108"/>
        <v>#N/A</v>
      </c>
      <c r="CO1022" s="112" t="e">
        <f t="shared" ref="CO1022:CO1025" ca="1" si="2301">IF(CJ1022=1,CH1022,CD1022)</f>
        <v>#N/A</v>
      </c>
      <c r="CP1022" s="238">
        <f t="shared" ca="1" si="2161"/>
        <v>0</v>
      </c>
      <c r="CQ1022" s="328">
        <f t="shared" ca="1" si="2162"/>
        <v>24</v>
      </c>
      <c r="CS1022" s="112">
        <f t="shared" ca="1" si="2280"/>
        <v>100000</v>
      </c>
      <c r="CT1022" s="112" t="e">
        <f t="shared" ca="1" si="2115"/>
        <v>#N/A</v>
      </c>
      <c r="CU1022" s="238">
        <f t="shared" ca="1" si="2288"/>
        <v>0</v>
      </c>
      <c r="CV1022" s="238">
        <f t="shared" ca="1" si="2289"/>
        <v>24</v>
      </c>
      <c r="CY1022">
        <f t="shared" si="2297"/>
        <v>452</v>
      </c>
      <c r="DE1022" t="str">
        <f t="shared" si="2290"/>
        <v>cs:dc771</v>
      </c>
      <c r="DF1022" t="e">
        <f t="shared" ca="1" si="2291"/>
        <v>#REF!</v>
      </c>
    </row>
    <row r="1023" spans="47:110" x14ac:dyDescent="0.25">
      <c r="AU1023" s="112"/>
      <c r="AV1023" s="112"/>
      <c r="BQ1023" s="238">
        <f t="shared" si="2298"/>
        <v>661</v>
      </c>
      <c r="BR1023" t="s">
        <v>446</v>
      </c>
      <c r="BS1023" t="s">
        <v>447</v>
      </c>
      <c r="BT1023" s="114" t="e">
        <f t="shared" ca="1" si="2239"/>
        <v>#N/A</v>
      </c>
      <c r="BU1023" s="112"/>
      <c r="BV1023" t="e">
        <f t="shared" ca="1" si="2119"/>
        <v>#N/A</v>
      </c>
      <c r="BW1023" s="112" t="e">
        <f t="shared" ca="1" si="2277"/>
        <v>#N/A</v>
      </c>
      <c r="BX1023" s="112" t="e">
        <f t="shared" ca="1" si="2293"/>
        <v>#N/A</v>
      </c>
      <c r="BY1023">
        <f t="shared" ca="1" si="2105"/>
        <v>0</v>
      </c>
      <c r="BZ1023">
        <f t="shared" ca="1" si="2106"/>
        <v>24</v>
      </c>
      <c r="CB1023" t="e">
        <f t="shared" ca="1" si="2281"/>
        <v>#N/A</v>
      </c>
      <c r="CC1023" s="112" t="e">
        <f t="shared" ca="1" si="2282"/>
        <v>#N/A</v>
      </c>
      <c r="CD1023" s="112" t="e">
        <f t="shared" ca="1" si="2283"/>
        <v>#N/A</v>
      </c>
      <c r="CE1023">
        <f t="shared" ca="1" si="2284"/>
        <v>0</v>
      </c>
      <c r="CF1023">
        <f t="shared" ca="1" si="2285"/>
        <v>24</v>
      </c>
      <c r="CH1023" s="112" t="str">
        <f t="shared" ca="1" si="2152"/>
        <v/>
      </c>
      <c r="CI1023" t="e">
        <f t="shared" ca="1" si="2299"/>
        <v>#N/A</v>
      </c>
      <c r="CJ1023" t="e">
        <f t="shared" ref="CJ1023" ca="1" si="2302">IF(AND(CI1023=0,CJ1024=0,CJ1025=0,CC1023&lt;100000),1,0)</f>
        <v>#N/A</v>
      </c>
      <c r="CK1023" s="112" t="e">
        <f t="shared" ca="1" si="2159"/>
        <v>#N/A</v>
      </c>
      <c r="CM1023" s="112"/>
      <c r="CN1023" s="260" t="e">
        <f t="shared" ca="1" si="2108"/>
        <v>#N/A</v>
      </c>
      <c r="CO1023" s="112" t="e">
        <f t="shared" ca="1" si="2301"/>
        <v>#N/A</v>
      </c>
      <c r="CP1023" s="238">
        <f t="shared" ca="1" si="2161"/>
        <v>0</v>
      </c>
      <c r="CQ1023" s="328">
        <f t="shared" ca="1" si="2162"/>
        <v>24</v>
      </c>
      <c r="CS1023" s="112">
        <f t="shared" ca="1" si="2280"/>
        <v>100000</v>
      </c>
      <c r="CT1023" s="112" t="e">
        <f t="shared" ca="1" si="2115"/>
        <v>#N/A</v>
      </c>
      <c r="CU1023" s="238">
        <f t="shared" ca="1" si="2288"/>
        <v>0</v>
      </c>
      <c r="CV1023" s="238">
        <f t="shared" ca="1" si="2289"/>
        <v>24</v>
      </c>
      <c r="CY1023">
        <f t="shared" si="2297"/>
        <v>453</v>
      </c>
      <c r="DE1023" t="str">
        <f t="shared" si="2290"/>
        <v>cs:dc771</v>
      </c>
      <c r="DF1023" t="e">
        <f t="shared" ca="1" si="2291"/>
        <v>#REF!</v>
      </c>
    </row>
    <row r="1024" spans="47:110" x14ac:dyDescent="0.25">
      <c r="AU1024" s="112"/>
      <c r="AV1024" s="112"/>
      <c r="BQ1024" s="238">
        <f t="shared" si="2298"/>
        <v>661</v>
      </c>
      <c r="BR1024" t="s">
        <v>447</v>
      </c>
      <c r="BS1024" t="s">
        <v>448</v>
      </c>
      <c r="BT1024" s="114" t="e">
        <f t="shared" ca="1" si="2239"/>
        <v>#N/A</v>
      </c>
      <c r="BU1024" s="112"/>
      <c r="BV1024" t="e">
        <f t="shared" ca="1" si="2119"/>
        <v>#N/A</v>
      </c>
      <c r="BW1024" s="112" t="e">
        <f t="shared" ca="1" si="2277"/>
        <v>#N/A</v>
      </c>
      <c r="BX1024" s="112" t="e">
        <f t="shared" ref="BX1024:BX1025" ca="1" si="2303">INDIRECT(CONCATENATE(BS1024,BQ1024))</f>
        <v>#N/A</v>
      </c>
      <c r="BY1024">
        <f t="shared" ca="1" si="2105"/>
        <v>0</v>
      </c>
      <c r="BZ1024">
        <f t="shared" ca="1" si="2106"/>
        <v>24</v>
      </c>
      <c r="CB1024" t="e">
        <f t="shared" ca="1" si="2281"/>
        <v>#N/A</v>
      </c>
      <c r="CC1024" s="112" t="e">
        <f t="shared" ca="1" si="2282"/>
        <v>#N/A</v>
      </c>
      <c r="CD1024" s="112" t="e">
        <f t="shared" ca="1" si="2283"/>
        <v>#N/A</v>
      </c>
      <c r="CE1024">
        <f t="shared" ca="1" si="2284"/>
        <v>0</v>
      </c>
      <c r="CF1024">
        <f t="shared" ca="1" si="2285"/>
        <v>24</v>
      </c>
      <c r="CH1024" s="112" t="str">
        <f t="shared" ca="1" si="2152"/>
        <v/>
      </c>
      <c r="CI1024" t="e">
        <f t="shared" ca="1" si="2299"/>
        <v>#N/A</v>
      </c>
      <c r="CJ1024" t="e">
        <f t="shared" ref="CJ1024" ca="1" si="2304">IF(AND(CI1024=0,CJ1025=0,CC1024&lt;100000),1,0)</f>
        <v>#N/A</v>
      </c>
      <c r="CK1024" s="112" t="e">
        <f t="shared" ca="1" si="2159"/>
        <v>#N/A</v>
      </c>
      <c r="CM1024" s="112"/>
      <c r="CN1024" s="260" t="e">
        <f t="shared" ca="1" si="2108"/>
        <v>#N/A</v>
      </c>
      <c r="CO1024" s="112" t="e">
        <f t="shared" ca="1" si="2301"/>
        <v>#N/A</v>
      </c>
      <c r="CP1024" s="238">
        <f t="shared" ca="1" si="2161"/>
        <v>0</v>
      </c>
      <c r="CQ1024" s="328">
        <f t="shared" ca="1" si="2162"/>
        <v>24</v>
      </c>
      <c r="CS1024" s="112">
        <f t="shared" ca="1" si="2280"/>
        <v>100000</v>
      </c>
      <c r="CT1024" s="112" t="e">
        <f t="shared" ca="1" si="2115"/>
        <v>#N/A</v>
      </c>
      <c r="CU1024" s="238">
        <f t="shared" ca="1" si="2288"/>
        <v>0</v>
      </c>
      <c r="CV1024" s="238">
        <f t="shared" ca="1" si="2289"/>
        <v>24</v>
      </c>
      <c r="CY1024">
        <f t="shared" si="2297"/>
        <v>454</v>
      </c>
      <c r="DE1024" t="str">
        <f t="shared" si="2290"/>
        <v>cs:dc771</v>
      </c>
      <c r="DF1024" t="e">
        <f t="shared" ca="1" si="2291"/>
        <v>#REF!</v>
      </c>
    </row>
    <row r="1025" spans="47:110" ht="15.75" thickBot="1" x14ac:dyDescent="0.3">
      <c r="AU1025" s="112"/>
      <c r="AV1025" s="112"/>
      <c r="BQ1025" s="238">
        <f t="shared" si="2298"/>
        <v>661</v>
      </c>
      <c r="BR1025" t="s">
        <v>448</v>
      </c>
      <c r="BS1025" t="s">
        <v>449</v>
      </c>
      <c r="BT1025" s="114" t="e">
        <f t="shared" ca="1" si="2239"/>
        <v>#N/A</v>
      </c>
      <c r="BU1025" s="112"/>
      <c r="BV1025" t="e">
        <f t="shared" ca="1" si="2119"/>
        <v>#N/A</v>
      </c>
      <c r="BW1025" s="112" t="e">
        <f t="shared" ca="1" si="2277"/>
        <v>#N/A</v>
      </c>
      <c r="BX1025" s="112" t="str">
        <f t="shared" ca="1" si="2303"/>
        <v/>
      </c>
      <c r="BY1025">
        <f t="shared" ref="BY1025:BY1088" ca="1" si="2305">INDIRECT(CONCATENATE("ag",BQ1025))</f>
        <v>0</v>
      </c>
      <c r="BZ1025">
        <f t="shared" ref="BZ1025:BZ1088" ca="1" si="2306">INDIRECT(CONCATENATE("ah",BQ1025))</f>
        <v>24</v>
      </c>
      <c r="CB1025" t="e">
        <f t="shared" ca="1" si="2281"/>
        <v>#N/A</v>
      </c>
      <c r="CC1025" s="112" t="e">
        <f t="shared" ca="1" si="2282"/>
        <v>#N/A</v>
      </c>
      <c r="CD1025" s="112" t="str">
        <f t="shared" ca="1" si="2283"/>
        <v/>
      </c>
      <c r="CE1025">
        <f t="shared" ca="1" si="2284"/>
        <v>0</v>
      </c>
      <c r="CF1025">
        <f t="shared" ca="1" si="2285"/>
        <v>24</v>
      </c>
      <c r="CH1025" s="112" t="str">
        <f t="shared" ca="1" si="2152"/>
        <v/>
      </c>
      <c r="CI1025" t="e">
        <f t="shared" ca="1" si="2299"/>
        <v>#N/A</v>
      </c>
      <c r="CJ1025" t="e">
        <f t="shared" ref="CJ1025" ca="1" si="2307">IF(AND(CI1025=0,CC1025&lt;100000),1,0)</f>
        <v>#N/A</v>
      </c>
      <c r="CK1025" s="112" t="e">
        <f t="shared" ca="1" si="2159"/>
        <v>#N/A</v>
      </c>
      <c r="CM1025" s="112"/>
      <c r="CN1025" s="261" t="e">
        <f t="shared" ref="CN1025" ca="1" si="2308">IF(AND(CN1021=100000,CN1022=100000,CN1023=100000,CN1024=100000),INDIRECT(CONCATENATE("aa",BQ1025)),CC1025)</f>
        <v>#N/A</v>
      </c>
      <c r="CO1025" s="324" t="e">
        <f t="shared" ca="1" si="2301"/>
        <v>#N/A</v>
      </c>
      <c r="CP1025" s="256">
        <f t="shared" ca="1" si="2161"/>
        <v>0</v>
      </c>
      <c r="CQ1025" s="329">
        <f t="shared" ca="1" si="2162"/>
        <v>24</v>
      </c>
      <c r="CS1025" s="112">
        <f t="shared" ca="1" si="2280"/>
        <v>100000</v>
      </c>
      <c r="CT1025" s="112" t="e">
        <f t="shared" ca="1" si="2115"/>
        <v>#N/A</v>
      </c>
      <c r="CU1025" s="238">
        <f t="shared" ca="1" si="2288"/>
        <v>0</v>
      </c>
      <c r="CV1025" s="238">
        <f t="shared" ca="1" si="2289"/>
        <v>24</v>
      </c>
      <c r="CY1025">
        <f t="shared" si="2297"/>
        <v>455</v>
      </c>
      <c r="DE1025" t="str">
        <f t="shared" si="2290"/>
        <v>cs:dc771</v>
      </c>
      <c r="DF1025" t="e">
        <f t="shared" ca="1" si="2291"/>
        <v>#REF!</v>
      </c>
    </row>
    <row r="1026" spans="47:110" x14ac:dyDescent="0.25">
      <c r="AU1026" s="112"/>
      <c r="AV1026" s="112"/>
      <c r="BQ1026" s="238">
        <f t="shared" ref="BQ1026" si="2309">BQ1025+1</f>
        <v>662</v>
      </c>
      <c r="BR1026" s="112" t="s">
        <v>444</v>
      </c>
      <c r="BS1026" s="112" t="s">
        <v>445</v>
      </c>
      <c r="BT1026" s="114" t="e">
        <f t="shared" ca="1" si="2239"/>
        <v>#N/A</v>
      </c>
      <c r="BU1026" s="112"/>
      <c r="BV1026">
        <f t="shared" ca="1" si="2119"/>
        <v>0</v>
      </c>
      <c r="BW1026" s="112" t="str">
        <f t="shared" ca="1" si="2277"/>
        <v/>
      </c>
      <c r="BX1026" s="112" t="e">
        <f t="shared" ref="BX1026:BX1028" ca="1" si="2310">INDIRECT(CONCATENATE(BS1026,BQ1026))-1</f>
        <v>#N/A</v>
      </c>
      <c r="BY1026">
        <f t="shared" ca="1" si="2305"/>
        <v>0</v>
      </c>
      <c r="BZ1026">
        <f t="shared" ca="1" si="2306"/>
        <v>24</v>
      </c>
      <c r="CB1026" t="e">
        <f t="shared" ca="1" si="2281"/>
        <v>#N/A</v>
      </c>
      <c r="CC1026" s="112" t="e">
        <f t="shared" ca="1" si="2282"/>
        <v>#N/A</v>
      </c>
      <c r="CD1026" s="112" t="e">
        <f t="shared" ca="1" si="2283"/>
        <v>#N/A</v>
      </c>
      <c r="CE1026">
        <f t="shared" ca="1" si="2284"/>
        <v>0</v>
      </c>
      <c r="CF1026">
        <f t="shared" ca="1" si="2285"/>
        <v>24</v>
      </c>
      <c r="CH1026" s="112" t="str">
        <f t="shared" ca="1" si="2152"/>
        <v/>
      </c>
      <c r="CI1026" t="e">
        <f t="shared" ref="CI1026" ca="1" si="2311">CB1026+CB1027+CB1028+CB1029+CB1030</f>
        <v>#N/A</v>
      </c>
      <c r="CJ1026">
        <v>0</v>
      </c>
      <c r="CK1026" s="112" t="str">
        <f t="shared" ca="1" si="2159"/>
        <v/>
      </c>
      <c r="CM1026" s="112"/>
      <c r="CN1026" s="408" t="e">
        <f t="shared" ref="CN1026:CN1089" ca="1" si="2312">CC1026</f>
        <v>#N/A</v>
      </c>
      <c r="CO1026" s="326" t="e">
        <f t="shared" ref="CO1026" ca="1" si="2313">CD1026</f>
        <v>#N/A</v>
      </c>
      <c r="CP1026" s="333">
        <f t="shared" ca="1" si="2161"/>
        <v>0</v>
      </c>
      <c r="CQ1026" s="327">
        <f t="shared" ca="1" si="2162"/>
        <v>24</v>
      </c>
      <c r="CS1026" s="112">
        <f t="shared" ca="1" si="2280"/>
        <v>100000</v>
      </c>
      <c r="CT1026" s="112" t="e">
        <f t="shared" ref="CT1026" ca="1" si="2314">IF(AND( CN1027=100000,CN1028=100000,CN1029=100000,CN1030=100000),CO1030,                             CO1026)</f>
        <v>#N/A</v>
      </c>
      <c r="CU1026" s="238">
        <f t="shared" ca="1" si="2288"/>
        <v>0</v>
      </c>
      <c r="CV1026" s="238">
        <f t="shared" ca="1" si="2289"/>
        <v>24</v>
      </c>
      <c r="CY1026">
        <f t="shared" si="2297"/>
        <v>456</v>
      </c>
      <c r="DE1026" t="str">
        <f t="shared" si="2290"/>
        <v>cs:dc771</v>
      </c>
      <c r="DF1026" t="e">
        <f t="shared" ca="1" si="2291"/>
        <v>#REF!</v>
      </c>
    </row>
    <row r="1027" spans="47:110" x14ac:dyDescent="0.25">
      <c r="AU1027" s="112"/>
      <c r="AV1027" s="112"/>
      <c r="BQ1027" s="238">
        <f t="shared" ref="BQ1027:BQ1030" si="2315">BQ1026</f>
        <v>662</v>
      </c>
      <c r="BR1027" t="s">
        <v>445</v>
      </c>
      <c r="BS1027" t="s">
        <v>446</v>
      </c>
      <c r="BT1027" s="114" t="e">
        <f t="shared" ca="1" si="2239"/>
        <v>#N/A</v>
      </c>
      <c r="BU1027" s="112"/>
      <c r="BV1027" t="e">
        <f t="shared" ca="1" si="2119"/>
        <v>#N/A</v>
      </c>
      <c r="BW1027" s="112" t="e">
        <f t="shared" ca="1" si="2277"/>
        <v>#N/A</v>
      </c>
      <c r="BX1027" s="112" t="e">
        <f t="shared" ca="1" si="2310"/>
        <v>#N/A</v>
      </c>
      <c r="BY1027">
        <f t="shared" ca="1" si="2305"/>
        <v>0</v>
      </c>
      <c r="BZ1027">
        <f t="shared" ca="1" si="2306"/>
        <v>24</v>
      </c>
      <c r="CB1027" t="e">
        <f t="shared" ca="1" si="2281"/>
        <v>#N/A</v>
      </c>
      <c r="CC1027" s="112" t="e">
        <f t="shared" ca="1" si="2282"/>
        <v>#N/A</v>
      </c>
      <c r="CD1027" s="112" t="e">
        <f t="shared" ca="1" si="2283"/>
        <v>#N/A</v>
      </c>
      <c r="CE1027">
        <f t="shared" ca="1" si="2284"/>
        <v>0</v>
      </c>
      <c r="CF1027">
        <f t="shared" ca="1" si="2285"/>
        <v>24</v>
      </c>
      <c r="CH1027" s="112" t="str">
        <f t="shared" ca="1" si="2152"/>
        <v/>
      </c>
      <c r="CI1027" t="e">
        <f t="shared" ref="CI1027:CI1030" ca="1" si="2316">CI1026</f>
        <v>#N/A</v>
      </c>
      <c r="CJ1027" t="e">
        <f t="shared" ref="CJ1027" ca="1" si="2317">IF(AND(CI1027=0,CJ1028=0,CJ1029=0,CJ1030=0,CC1027&lt;100000),1,0)</f>
        <v>#N/A</v>
      </c>
      <c r="CK1027" s="112" t="e">
        <f t="shared" ca="1" si="2159"/>
        <v>#N/A</v>
      </c>
      <c r="CM1027" s="112"/>
      <c r="CN1027" s="260" t="e">
        <f t="shared" ca="1" si="2312"/>
        <v>#N/A</v>
      </c>
      <c r="CO1027" s="112" t="e">
        <f t="shared" ref="CO1027:CO1030" ca="1" si="2318">IF(CJ1027=1,CH1027,CD1027)</f>
        <v>#N/A</v>
      </c>
      <c r="CP1027" s="238">
        <f t="shared" ca="1" si="2161"/>
        <v>0</v>
      </c>
      <c r="CQ1027" s="328">
        <f t="shared" ca="1" si="2162"/>
        <v>24</v>
      </c>
      <c r="CS1027" s="112">
        <f t="shared" ca="1" si="2280"/>
        <v>100000</v>
      </c>
      <c r="CT1027" s="112" t="e">
        <f t="shared" ref="CT1027:CT1090" ca="1" si="2319">CO1027</f>
        <v>#N/A</v>
      </c>
      <c r="CU1027" s="238">
        <f t="shared" ca="1" si="2288"/>
        <v>0</v>
      </c>
      <c r="CV1027" s="238">
        <f t="shared" ca="1" si="2289"/>
        <v>24</v>
      </c>
      <c r="CY1027">
        <f t="shared" si="2297"/>
        <v>457</v>
      </c>
      <c r="DE1027" t="str">
        <f t="shared" si="2290"/>
        <v>cs:dc771</v>
      </c>
      <c r="DF1027" t="e">
        <f t="shared" ca="1" si="2291"/>
        <v>#REF!</v>
      </c>
    </row>
    <row r="1028" spans="47:110" x14ac:dyDescent="0.25">
      <c r="AU1028" s="112"/>
      <c r="AV1028" s="112"/>
      <c r="BQ1028" s="238">
        <f t="shared" si="2315"/>
        <v>662</v>
      </c>
      <c r="BR1028" t="s">
        <v>446</v>
      </c>
      <c r="BS1028" t="s">
        <v>447</v>
      </c>
      <c r="BT1028" s="114" t="e">
        <f t="shared" ca="1" si="2239"/>
        <v>#N/A</v>
      </c>
      <c r="BU1028" s="112"/>
      <c r="BV1028" t="e">
        <f t="shared" ca="1" si="2119"/>
        <v>#N/A</v>
      </c>
      <c r="BW1028" s="112" t="e">
        <f t="shared" ca="1" si="2277"/>
        <v>#N/A</v>
      </c>
      <c r="BX1028" s="112" t="e">
        <f t="shared" ca="1" si="2310"/>
        <v>#N/A</v>
      </c>
      <c r="BY1028">
        <f t="shared" ca="1" si="2305"/>
        <v>0</v>
      </c>
      <c r="BZ1028">
        <f t="shared" ca="1" si="2306"/>
        <v>24</v>
      </c>
      <c r="CB1028" t="e">
        <f t="shared" ca="1" si="2281"/>
        <v>#N/A</v>
      </c>
      <c r="CC1028" s="112" t="e">
        <f t="shared" ca="1" si="2282"/>
        <v>#N/A</v>
      </c>
      <c r="CD1028" s="112" t="e">
        <f t="shared" ca="1" si="2283"/>
        <v>#N/A</v>
      </c>
      <c r="CE1028">
        <f t="shared" ca="1" si="2284"/>
        <v>0</v>
      </c>
      <c r="CF1028">
        <f t="shared" ca="1" si="2285"/>
        <v>24</v>
      </c>
      <c r="CH1028" s="112" t="str">
        <f t="shared" ca="1" si="2152"/>
        <v/>
      </c>
      <c r="CI1028" t="e">
        <f t="shared" ca="1" si="2316"/>
        <v>#N/A</v>
      </c>
      <c r="CJ1028" t="e">
        <f t="shared" ref="CJ1028" ca="1" si="2320">IF(AND(CI1028=0,CJ1029=0,CJ1030=0,CC1028&lt;100000),1,0)</f>
        <v>#N/A</v>
      </c>
      <c r="CK1028" s="112" t="e">
        <f t="shared" ca="1" si="2159"/>
        <v>#N/A</v>
      </c>
      <c r="CM1028" s="112"/>
      <c r="CN1028" s="260" t="e">
        <f t="shared" ca="1" si="2312"/>
        <v>#N/A</v>
      </c>
      <c r="CO1028" s="112" t="e">
        <f t="shared" ca="1" si="2318"/>
        <v>#N/A</v>
      </c>
      <c r="CP1028" s="238">
        <f t="shared" ca="1" si="2161"/>
        <v>0</v>
      </c>
      <c r="CQ1028" s="328">
        <f t="shared" ca="1" si="2162"/>
        <v>24</v>
      </c>
      <c r="CS1028" s="112">
        <f t="shared" ca="1" si="2280"/>
        <v>100000</v>
      </c>
      <c r="CT1028" s="112" t="e">
        <f t="shared" ca="1" si="2319"/>
        <v>#N/A</v>
      </c>
      <c r="CU1028" s="238">
        <f t="shared" ca="1" si="2288"/>
        <v>0</v>
      </c>
      <c r="CV1028" s="238">
        <f t="shared" ca="1" si="2289"/>
        <v>24</v>
      </c>
      <c r="CY1028">
        <f t="shared" si="2297"/>
        <v>458</v>
      </c>
      <c r="DE1028" t="str">
        <f t="shared" si="2290"/>
        <v>cs:dc771</v>
      </c>
      <c r="DF1028" t="e">
        <f t="shared" ca="1" si="2291"/>
        <v>#REF!</v>
      </c>
    </row>
    <row r="1029" spans="47:110" x14ac:dyDescent="0.25">
      <c r="AU1029" s="112"/>
      <c r="AV1029" s="112"/>
      <c r="BQ1029" s="238">
        <f t="shared" si="2315"/>
        <v>662</v>
      </c>
      <c r="BR1029" t="s">
        <v>447</v>
      </c>
      <c r="BS1029" t="s">
        <v>448</v>
      </c>
      <c r="BT1029" s="114" t="e">
        <f t="shared" ca="1" si="2239"/>
        <v>#N/A</v>
      </c>
      <c r="BU1029" s="112"/>
      <c r="BV1029" t="e">
        <f t="shared" ref="BV1029:BV1092" ca="1" si="2321">IF(BW1029=INDIRECT(CONCATENATE("bn",BQ1029)),0,1)</f>
        <v>#N/A</v>
      </c>
      <c r="BW1029" s="112" t="e">
        <f t="shared" ca="1" si="2277"/>
        <v>#N/A</v>
      </c>
      <c r="BX1029" s="112" t="e">
        <f t="shared" ref="BX1029:BX1030" ca="1" si="2322">INDIRECT(CONCATENATE(BS1029,BQ1029))</f>
        <v>#N/A</v>
      </c>
      <c r="BY1029">
        <f t="shared" ca="1" si="2305"/>
        <v>0</v>
      </c>
      <c r="BZ1029">
        <f t="shared" ca="1" si="2306"/>
        <v>24</v>
      </c>
      <c r="CB1029" t="e">
        <f t="shared" ca="1" si="2281"/>
        <v>#N/A</v>
      </c>
      <c r="CC1029" s="112" t="e">
        <f t="shared" ca="1" si="2282"/>
        <v>#N/A</v>
      </c>
      <c r="CD1029" s="112" t="e">
        <f t="shared" ca="1" si="2283"/>
        <v>#N/A</v>
      </c>
      <c r="CE1029">
        <f t="shared" ca="1" si="2284"/>
        <v>0</v>
      </c>
      <c r="CF1029">
        <f t="shared" ca="1" si="2285"/>
        <v>24</v>
      </c>
      <c r="CH1029" s="112" t="str">
        <f t="shared" ca="1" si="2152"/>
        <v/>
      </c>
      <c r="CI1029" t="e">
        <f t="shared" ca="1" si="2316"/>
        <v>#N/A</v>
      </c>
      <c r="CJ1029" t="e">
        <f t="shared" ref="CJ1029" ca="1" si="2323">IF(AND(CI1029=0,CJ1030=0,CC1029&lt;100000),1,0)</f>
        <v>#N/A</v>
      </c>
      <c r="CK1029" s="112" t="e">
        <f t="shared" ca="1" si="2159"/>
        <v>#N/A</v>
      </c>
      <c r="CM1029" s="112"/>
      <c r="CN1029" s="260" t="e">
        <f t="shared" ca="1" si="2312"/>
        <v>#N/A</v>
      </c>
      <c r="CO1029" s="112" t="e">
        <f t="shared" ca="1" si="2318"/>
        <v>#N/A</v>
      </c>
      <c r="CP1029" s="238">
        <f t="shared" ca="1" si="2161"/>
        <v>0</v>
      </c>
      <c r="CQ1029" s="328">
        <f t="shared" ca="1" si="2162"/>
        <v>24</v>
      </c>
      <c r="CS1029" s="112">
        <f t="shared" ca="1" si="2280"/>
        <v>100000</v>
      </c>
      <c r="CT1029" s="112" t="e">
        <f t="shared" ca="1" si="2319"/>
        <v>#N/A</v>
      </c>
      <c r="CU1029" s="238">
        <f t="shared" ca="1" si="2288"/>
        <v>0</v>
      </c>
      <c r="CV1029" s="238">
        <f t="shared" ca="1" si="2289"/>
        <v>24</v>
      </c>
      <c r="CY1029">
        <f t="shared" si="2297"/>
        <v>459</v>
      </c>
      <c r="DE1029" t="str">
        <f t="shared" si="2290"/>
        <v>cs:dc771</v>
      </c>
      <c r="DF1029" t="e">
        <f t="shared" ca="1" si="2291"/>
        <v>#REF!</v>
      </c>
    </row>
    <row r="1030" spans="47:110" ht="15.75" thickBot="1" x14ac:dyDescent="0.3">
      <c r="AU1030" s="112"/>
      <c r="AV1030" s="112"/>
      <c r="BQ1030" s="238">
        <f t="shared" si="2315"/>
        <v>662</v>
      </c>
      <c r="BR1030" t="s">
        <v>448</v>
      </c>
      <c r="BS1030" t="s">
        <v>449</v>
      </c>
      <c r="BT1030" s="114" t="e">
        <f t="shared" ca="1" si="2239"/>
        <v>#N/A</v>
      </c>
      <c r="BU1030" s="112"/>
      <c r="BV1030" t="e">
        <f t="shared" ca="1" si="2321"/>
        <v>#N/A</v>
      </c>
      <c r="BW1030" s="112" t="e">
        <f t="shared" ca="1" si="2277"/>
        <v>#N/A</v>
      </c>
      <c r="BX1030" s="112" t="str">
        <f t="shared" ca="1" si="2322"/>
        <v/>
      </c>
      <c r="BY1030">
        <f t="shared" ca="1" si="2305"/>
        <v>0</v>
      </c>
      <c r="BZ1030">
        <f t="shared" ca="1" si="2306"/>
        <v>24</v>
      </c>
      <c r="CB1030" t="e">
        <f t="shared" ca="1" si="2281"/>
        <v>#N/A</v>
      </c>
      <c r="CC1030" s="112" t="e">
        <f t="shared" ca="1" si="2282"/>
        <v>#N/A</v>
      </c>
      <c r="CD1030" s="112" t="str">
        <f t="shared" ca="1" si="2283"/>
        <v/>
      </c>
      <c r="CE1030">
        <f t="shared" ca="1" si="2284"/>
        <v>0</v>
      </c>
      <c r="CF1030">
        <f t="shared" ca="1" si="2285"/>
        <v>24</v>
      </c>
      <c r="CH1030" s="112" t="str">
        <f t="shared" ca="1" si="2152"/>
        <v/>
      </c>
      <c r="CI1030" t="e">
        <f t="shared" ca="1" si="2316"/>
        <v>#N/A</v>
      </c>
      <c r="CJ1030" t="e">
        <f t="shared" ref="CJ1030" ca="1" si="2324">IF(AND(CI1030=0,CC1030&lt;100000),1,0)</f>
        <v>#N/A</v>
      </c>
      <c r="CK1030" s="112" t="e">
        <f t="shared" ca="1" si="2159"/>
        <v>#N/A</v>
      </c>
      <c r="CM1030" s="112"/>
      <c r="CN1030" s="261" t="e">
        <f t="shared" ref="CN1030" ca="1" si="2325">IF(AND(CN1026=100000,CN1027=100000,CN1028=100000,CN1029=100000),INDIRECT(CONCATENATE("aa",BQ1030)),CC1030)</f>
        <v>#N/A</v>
      </c>
      <c r="CO1030" s="324" t="e">
        <f t="shared" ca="1" si="2318"/>
        <v>#N/A</v>
      </c>
      <c r="CP1030" s="256">
        <f t="shared" ca="1" si="2161"/>
        <v>0</v>
      </c>
      <c r="CQ1030" s="329">
        <f t="shared" ca="1" si="2162"/>
        <v>24</v>
      </c>
      <c r="CS1030" s="112">
        <f t="shared" ca="1" si="2280"/>
        <v>100000</v>
      </c>
      <c r="CT1030" s="112" t="e">
        <f t="shared" ca="1" si="2319"/>
        <v>#N/A</v>
      </c>
      <c r="CU1030" s="238">
        <f t="shared" ca="1" si="2288"/>
        <v>0</v>
      </c>
      <c r="CV1030" s="238">
        <f t="shared" ca="1" si="2289"/>
        <v>24</v>
      </c>
      <c r="CY1030">
        <f t="shared" si="2297"/>
        <v>460</v>
      </c>
      <c r="DE1030" t="str">
        <f t="shared" si="2290"/>
        <v>cs:dc771</v>
      </c>
      <c r="DF1030" t="e">
        <f t="shared" ca="1" si="2291"/>
        <v>#REF!</v>
      </c>
    </row>
    <row r="1031" spans="47:110" x14ac:dyDescent="0.25">
      <c r="AU1031" s="112"/>
      <c r="AV1031" s="112"/>
      <c r="BQ1031" s="238">
        <f t="shared" ref="BQ1031" si="2326">BQ1030+1</f>
        <v>663</v>
      </c>
      <c r="BR1031" s="112" t="s">
        <v>444</v>
      </c>
      <c r="BS1031" s="112" t="s">
        <v>445</v>
      </c>
      <c r="BT1031" s="114" t="e">
        <f t="shared" ca="1" si="2239"/>
        <v>#N/A</v>
      </c>
      <c r="BU1031" s="112"/>
      <c r="BV1031">
        <f t="shared" ca="1" si="2321"/>
        <v>0</v>
      </c>
      <c r="BW1031" s="112" t="str">
        <f t="shared" ca="1" si="2277"/>
        <v/>
      </c>
      <c r="BX1031" s="112" t="e">
        <f t="shared" ref="BX1031:BX1033" ca="1" si="2327">INDIRECT(CONCATENATE(BS1031,BQ1031))-1</f>
        <v>#N/A</v>
      </c>
      <c r="BY1031">
        <f t="shared" ca="1" si="2305"/>
        <v>0</v>
      </c>
      <c r="BZ1031">
        <f t="shared" ca="1" si="2306"/>
        <v>24</v>
      </c>
      <c r="CB1031" t="e">
        <f t="shared" ca="1" si="2281"/>
        <v>#N/A</v>
      </c>
      <c r="CC1031" s="112" t="e">
        <f t="shared" ca="1" si="2282"/>
        <v>#N/A</v>
      </c>
      <c r="CD1031" s="112" t="e">
        <f t="shared" ca="1" si="2283"/>
        <v>#N/A</v>
      </c>
      <c r="CE1031">
        <f t="shared" ca="1" si="2284"/>
        <v>0</v>
      </c>
      <c r="CF1031">
        <f t="shared" ca="1" si="2285"/>
        <v>24</v>
      </c>
      <c r="CH1031" s="112" t="str">
        <f t="shared" ca="1" si="2152"/>
        <v/>
      </c>
      <c r="CI1031" t="e">
        <f t="shared" ref="CI1031" ca="1" si="2328">CB1031+CB1032+CB1033+CB1034+CB1035</f>
        <v>#N/A</v>
      </c>
      <c r="CJ1031">
        <v>0</v>
      </c>
      <c r="CK1031" s="112" t="str">
        <f t="shared" ca="1" si="2159"/>
        <v/>
      </c>
      <c r="CM1031" s="112"/>
      <c r="CN1031" s="408" t="e">
        <f t="shared" ca="1" si="2312"/>
        <v>#N/A</v>
      </c>
      <c r="CO1031" s="326" t="e">
        <f t="shared" ref="CO1031" ca="1" si="2329">CD1031</f>
        <v>#N/A</v>
      </c>
      <c r="CP1031" s="333">
        <f t="shared" ca="1" si="2161"/>
        <v>0</v>
      </c>
      <c r="CQ1031" s="327">
        <f t="shared" ca="1" si="2162"/>
        <v>24</v>
      </c>
      <c r="CS1031" s="112">
        <f t="shared" ca="1" si="2280"/>
        <v>100000</v>
      </c>
      <c r="CT1031" s="112" t="e">
        <f t="shared" ref="CT1031" ca="1" si="2330">IF(AND( CN1032=100000,CN1033=100000,CN1034=100000,CN1035=100000),CO1035,                             CO1031)</f>
        <v>#N/A</v>
      </c>
      <c r="CU1031" s="238">
        <f t="shared" ca="1" si="2288"/>
        <v>0</v>
      </c>
      <c r="CV1031" s="238">
        <f t="shared" ca="1" si="2289"/>
        <v>24</v>
      </c>
      <c r="CY1031">
        <f t="shared" si="2297"/>
        <v>461</v>
      </c>
      <c r="DE1031" t="str">
        <f t="shared" si="2290"/>
        <v>cs:dc771</v>
      </c>
      <c r="DF1031" t="e">
        <f t="shared" ca="1" si="2291"/>
        <v>#REF!</v>
      </c>
    </row>
    <row r="1032" spans="47:110" x14ac:dyDescent="0.25">
      <c r="AU1032" s="112"/>
      <c r="AV1032" s="112"/>
      <c r="BQ1032" s="238">
        <f t="shared" ref="BQ1032:BQ1035" si="2331">BQ1031</f>
        <v>663</v>
      </c>
      <c r="BR1032" t="s">
        <v>445</v>
      </c>
      <c r="BS1032" t="s">
        <v>446</v>
      </c>
      <c r="BT1032" s="114" t="e">
        <f t="shared" ca="1" si="2239"/>
        <v>#N/A</v>
      </c>
      <c r="BU1032" s="112"/>
      <c r="BV1032" t="e">
        <f t="shared" ca="1" si="2321"/>
        <v>#N/A</v>
      </c>
      <c r="BW1032" s="112" t="e">
        <f t="shared" ca="1" si="2277"/>
        <v>#N/A</v>
      </c>
      <c r="BX1032" s="112" t="e">
        <f t="shared" ca="1" si="2327"/>
        <v>#N/A</v>
      </c>
      <c r="BY1032">
        <f t="shared" ca="1" si="2305"/>
        <v>0</v>
      </c>
      <c r="BZ1032">
        <f t="shared" ca="1" si="2306"/>
        <v>24</v>
      </c>
      <c r="CB1032" t="e">
        <f t="shared" ca="1" si="2281"/>
        <v>#N/A</v>
      </c>
      <c r="CC1032" s="112" t="e">
        <f t="shared" ca="1" si="2282"/>
        <v>#N/A</v>
      </c>
      <c r="CD1032" s="112" t="e">
        <f t="shared" ca="1" si="2283"/>
        <v>#N/A</v>
      </c>
      <c r="CE1032">
        <f t="shared" ca="1" si="2284"/>
        <v>0</v>
      </c>
      <c r="CF1032">
        <f t="shared" ca="1" si="2285"/>
        <v>24</v>
      </c>
      <c r="CH1032" s="112" t="str">
        <f t="shared" ca="1" si="2152"/>
        <v/>
      </c>
      <c r="CI1032" t="e">
        <f t="shared" ref="CI1032:CI1035" ca="1" si="2332">CI1031</f>
        <v>#N/A</v>
      </c>
      <c r="CJ1032" t="e">
        <f t="shared" ref="CJ1032" ca="1" si="2333">IF(AND(CI1032=0,CJ1033=0,CJ1034=0,CJ1035=0,CC1032&lt;100000),1,0)</f>
        <v>#N/A</v>
      </c>
      <c r="CK1032" s="112" t="e">
        <f t="shared" ca="1" si="2159"/>
        <v>#N/A</v>
      </c>
      <c r="CM1032" s="112"/>
      <c r="CN1032" s="260" t="e">
        <f t="shared" ca="1" si="2312"/>
        <v>#N/A</v>
      </c>
      <c r="CO1032" s="112" t="e">
        <f t="shared" ref="CO1032:CO1035" ca="1" si="2334">IF(CJ1032=1,CH1032,CD1032)</f>
        <v>#N/A</v>
      </c>
      <c r="CP1032" s="238">
        <f t="shared" ca="1" si="2161"/>
        <v>0</v>
      </c>
      <c r="CQ1032" s="328">
        <f t="shared" ca="1" si="2162"/>
        <v>24</v>
      </c>
      <c r="CS1032" s="112">
        <f t="shared" ca="1" si="2280"/>
        <v>100000</v>
      </c>
      <c r="CT1032" s="112" t="e">
        <f t="shared" ca="1" si="2319"/>
        <v>#N/A</v>
      </c>
      <c r="CU1032" s="238">
        <f t="shared" ca="1" si="2288"/>
        <v>0</v>
      </c>
      <c r="CV1032" s="238">
        <f t="shared" ca="1" si="2289"/>
        <v>24</v>
      </c>
      <c r="CY1032">
        <f t="shared" si="2297"/>
        <v>462</v>
      </c>
      <c r="DE1032" t="str">
        <f t="shared" si="2290"/>
        <v>cs:dc771</v>
      </c>
      <c r="DF1032" t="e">
        <f t="shared" ca="1" si="2291"/>
        <v>#REF!</v>
      </c>
    </row>
    <row r="1033" spans="47:110" x14ac:dyDescent="0.25">
      <c r="AU1033" s="112"/>
      <c r="AV1033" s="112"/>
      <c r="BQ1033" s="238">
        <f t="shared" si="2331"/>
        <v>663</v>
      </c>
      <c r="BR1033" t="s">
        <v>446</v>
      </c>
      <c r="BS1033" t="s">
        <v>447</v>
      </c>
      <c r="BT1033" s="114" t="e">
        <f t="shared" ca="1" si="2239"/>
        <v>#N/A</v>
      </c>
      <c r="BU1033" s="112"/>
      <c r="BV1033" t="e">
        <f t="shared" ca="1" si="2321"/>
        <v>#N/A</v>
      </c>
      <c r="BW1033" s="112" t="e">
        <f t="shared" ca="1" si="2277"/>
        <v>#N/A</v>
      </c>
      <c r="BX1033" s="112" t="e">
        <f t="shared" ca="1" si="2327"/>
        <v>#N/A</v>
      </c>
      <c r="BY1033">
        <f t="shared" ca="1" si="2305"/>
        <v>0</v>
      </c>
      <c r="BZ1033">
        <f t="shared" ca="1" si="2306"/>
        <v>24</v>
      </c>
      <c r="CB1033" t="e">
        <f t="shared" ca="1" si="2281"/>
        <v>#N/A</v>
      </c>
      <c r="CC1033" s="112" t="e">
        <f t="shared" ca="1" si="2282"/>
        <v>#N/A</v>
      </c>
      <c r="CD1033" s="112" t="e">
        <f t="shared" ca="1" si="2283"/>
        <v>#N/A</v>
      </c>
      <c r="CE1033">
        <f t="shared" ca="1" si="2284"/>
        <v>0</v>
      </c>
      <c r="CF1033">
        <f t="shared" ca="1" si="2285"/>
        <v>24</v>
      </c>
      <c r="CH1033" s="112" t="str">
        <f t="shared" ca="1" si="2152"/>
        <v/>
      </c>
      <c r="CI1033" t="e">
        <f t="shared" ca="1" si="2332"/>
        <v>#N/A</v>
      </c>
      <c r="CJ1033" t="e">
        <f t="shared" ref="CJ1033" ca="1" si="2335">IF(AND(CI1033=0,CJ1034=0,CJ1035=0,CC1033&lt;100000),1,0)</f>
        <v>#N/A</v>
      </c>
      <c r="CK1033" s="112" t="e">
        <f t="shared" ca="1" si="2159"/>
        <v>#N/A</v>
      </c>
      <c r="CM1033" s="112"/>
      <c r="CN1033" s="260" t="e">
        <f t="shared" ca="1" si="2312"/>
        <v>#N/A</v>
      </c>
      <c r="CO1033" s="112" t="e">
        <f t="shared" ca="1" si="2334"/>
        <v>#N/A</v>
      </c>
      <c r="CP1033" s="238">
        <f t="shared" ca="1" si="2161"/>
        <v>0</v>
      </c>
      <c r="CQ1033" s="328">
        <f t="shared" ca="1" si="2162"/>
        <v>24</v>
      </c>
      <c r="CS1033" s="112">
        <f t="shared" ca="1" si="2280"/>
        <v>100000</v>
      </c>
      <c r="CT1033" s="112" t="e">
        <f t="shared" ca="1" si="2319"/>
        <v>#N/A</v>
      </c>
      <c r="CU1033" s="238">
        <f t="shared" ca="1" si="2288"/>
        <v>0</v>
      </c>
      <c r="CV1033" s="238">
        <f t="shared" ca="1" si="2289"/>
        <v>24</v>
      </c>
      <c r="CY1033">
        <f t="shared" si="2297"/>
        <v>463</v>
      </c>
      <c r="DE1033" t="str">
        <f t="shared" si="2290"/>
        <v>cs:dc771</v>
      </c>
      <c r="DF1033" t="e">
        <f t="shared" ca="1" si="2291"/>
        <v>#REF!</v>
      </c>
    </row>
    <row r="1034" spans="47:110" x14ac:dyDescent="0.25">
      <c r="AU1034" s="112"/>
      <c r="AV1034" s="112"/>
      <c r="BQ1034" s="238">
        <f t="shared" si="2331"/>
        <v>663</v>
      </c>
      <c r="BR1034" t="s">
        <v>447</v>
      </c>
      <c r="BS1034" t="s">
        <v>448</v>
      </c>
      <c r="BT1034" s="114" t="e">
        <f t="shared" ca="1" si="2239"/>
        <v>#N/A</v>
      </c>
      <c r="BU1034" s="112"/>
      <c r="BV1034" t="e">
        <f t="shared" ca="1" si="2321"/>
        <v>#N/A</v>
      </c>
      <c r="BW1034" s="112" t="e">
        <f t="shared" ca="1" si="2277"/>
        <v>#N/A</v>
      </c>
      <c r="BX1034" s="112" t="e">
        <f t="shared" ref="BX1034:BX1035" ca="1" si="2336">INDIRECT(CONCATENATE(BS1034,BQ1034))</f>
        <v>#N/A</v>
      </c>
      <c r="BY1034">
        <f t="shared" ca="1" si="2305"/>
        <v>0</v>
      </c>
      <c r="BZ1034">
        <f t="shared" ca="1" si="2306"/>
        <v>24</v>
      </c>
      <c r="CB1034" t="e">
        <f t="shared" ca="1" si="2281"/>
        <v>#N/A</v>
      </c>
      <c r="CC1034" s="112" t="e">
        <f t="shared" ca="1" si="2282"/>
        <v>#N/A</v>
      </c>
      <c r="CD1034" s="112" t="e">
        <f t="shared" ca="1" si="2283"/>
        <v>#N/A</v>
      </c>
      <c r="CE1034">
        <f t="shared" ca="1" si="2284"/>
        <v>0</v>
      </c>
      <c r="CF1034">
        <f t="shared" ca="1" si="2285"/>
        <v>24</v>
      </c>
      <c r="CH1034" s="112" t="str">
        <f t="shared" ca="1" si="2152"/>
        <v/>
      </c>
      <c r="CI1034" t="e">
        <f t="shared" ca="1" si="2332"/>
        <v>#N/A</v>
      </c>
      <c r="CJ1034" t="e">
        <f t="shared" ref="CJ1034" ca="1" si="2337">IF(AND(CI1034=0,CJ1035=0,CC1034&lt;100000),1,0)</f>
        <v>#N/A</v>
      </c>
      <c r="CK1034" s="112" t="e">
        <f t="shared" ca="1" si="2159"/>
        <v>#N/A</v>
      </c>
      <c r="CM1034" s="112"/>
      <c r="CN1034" s="260" t="e">
        <f t="shared" ca="1" si="2312"/>
        <v>#N/A</v>
      </c>
      <c r="CO1034" s="112" t="e">
        <f t="shared" ca="1" si="2334"/>
        <v>#N/A</v>
      </c>
      <c r="CP1034" s="238">
        <f t="shared" ca="1" si="2161"/>
        <v>0</v>
      </c>
      <c r="CQ1034" s="328">
        <f t="shared" ca="1" si="2162"/>
        <v>24</v>
      </c>
      <c r="CS1034" s="112">
        <f t="shared" ca="1" si="2280"/>
        <v>100000</v>
      </c>
      <c r="CT1034" s="112" t="e">
        <f t="shared" ca="1" si="2319"/>
        <v>#N/A</v>
      </c>
      <c r="CU1034" s="238">
        <f t="shared" ca="1" si="2288"/>
        <v>0</v>
      </c>
      <c r="CV1034" s="238">
        <f t="shared" ca="1" si="2289"/>
        <v>24</v>
      </c>
      <c r="CY1034">
        <f t="shared" si="2297"/>
        <v>464</v>
      </c>
      <c r="DE1034" t="str">
        <f t="shared" si="2290"/>
        <v>cs:dc771</v>
      </c>
      <c r="DF1034" t="e">
        <f t="shared" ca="1" si="2291"/>
        <v>#REF!</v>
      </c>
    </row>
    <row r="1035" spans="47:110" ht="15.75" thickBot="1" x14ac:dyDescent="0.3">
      <c r="AU1035" s="112"/>
      <c r="AV1035" s="112"/>
      <c r="BQ1035" s="238">
        <f t="shared" si="2331"/>
        <v>663</v>
      </c>
      <c r="BR1035" t="s">
        <v>448</v>
      </c>
      <c r="BS1035" t="s">
        <v>449</v>
      </c>
      <c r="BT1035" s="114" t="e">
        <f t="shared" ca="1" si="2239"/>
        <v>#N/A</v>
      </c>
      <c r="BU1035" s="112"/>
      <c r="BV1035" t="e">
        <f t="shared" ca="1" si="2321"/>
        <v>#N/A</v>
      </c>
      <c r="BW1035" s="112" t="e">
        <f t="shared" ca="1" si="2277"/>
        <v>#N/A</v>
      </c>
      <c r="BX1035" s="112" t="str">
        <f t="shared" ca="1" si="2336"/>
        <v/>
      </c>
      <c r="BY1035">
        <f t="shared" ca="1" si="2305"/>
        <v>0</v>
      </c>
      <c r="BZ1035">
        <f t="shared" ca="1" si="2306"/>
        <v>24</v>
      </c>
      <c r="CB1035" t="e">
        <f t="shared" ca="1" si="2281"/>
        <v>#N/A</v>
      </c>
      <c r="CC1035" s="112" t="e">
        <f t="shared" ca="1" si="2282"/>
        <v>#N/A</v>
      </c>
      <c r="CD1035" s="112" t="str">
        <f t="shared" ca="1" si="2283"/>
        <v/>
      </c>
      <c r="CE1035">
        <f t="shared" ca="1" si="2284"/>
        <v>0</v>
      </c>
      <c r="CF1035">
        <f t="shared" ca="1" si="2285"/>
        <v>24</v>
      </c>
      <c r="CH1035" s="112" t="str">
        <f t="shared" ca="1" si="2152"/>
        <v/>
      </c>
      <c r="CI1035" t="e">
        <f t="shared" ca="1" si="2332"/>
        <v>#N/A</v>
      </c>
      <c r="CJ1035" t="e">
        <f t="shared" ref="CJ1035" ca="1" si="2338">IF(AND(CI1035=0,CC1035&lt;100000),1,0)</f>
        <v>#N/A</v>
      </c>
      <c r="CK1035" s="112" t="e">
        <f t="shared" ca="1" si="2159"/>
        <v>#N/A</v>
      </c>
      <c r="CM1035" s="112"/>
      <c r="CN1035" s="261" t="e">
        <f t="shared" ref="CN1035" ca="1" si="2339">IF(AND(CN1031=100000,CN1032=100000,CN1033=100000,CN1034=100000),INDIRECT(CONCATENATE("aa",BQ1035)),CC1035)</f>
        <v>#N/A</v>
      </c>
      <c r="CO1035" s="324" t="e">
        <f t="shared" ca="1" si="2334"/>
        <v>#N/A</v>
      </c>
      <c r="CP1035" s="256">
        <f t="shared" ca="1" si="2161"/>
        <v>0</v>
      </c>
      <c r="CQ1035" s="329">
        <f t="shared" ca="1" si="2162"/>
        <v>24</v>
      </c>
      <c r="CS1035" s="112">
        <f t="shared" ca="1" si="2280"/>
        <v>100000</v>
      </c>
      <c r="CT1035" s="112" t="e">
        <f t="shared" ca="1" si="2319"/>
        <v>#N/A</v>
      </c>
      <c r="CU1035" s="238">
        <f t="shared" ca="1" si="2288"/>
        <v>0</v>
      </c>
      <c r="CV1035" s="238">
        <f t="shared" ca="1" si="2289"/>
        <v>24</v>
      </c>
      <c r="CY1035">
        <f t="shared" si="2297"/>
        <v>465</v>
      </c>
      <c r="DE1035" t="str">
        <f t="shared" si="2290"/>
        <v>cs:dc771</v>
      </c>
      <c r="DF1035" t="e">
        <f t="shared" ca="1" si="2291"/>
        <v>#REF!</v>
      </c>
    </row>
    <row r="1036" spans="47:110" x14ac:dyDescent="0.25">
      <c r="AU1036" s="112"/>
      <c r="AV1036" s="112"/>
      <c r="BQ1036" s="238">
        <f t="shared" ref="BQ1036" si="2340">BQ1035+1</f>
        <v>664</v>
      </c>
      <c r="BR1036" s="112" t="s">
        <v>444</v>
      </c>
      <c r="BS1036" s="112" t="s">
        <v>445</v>
      </c>
      <c r="BT1036" s="114" t="e">
        <f t="shared" ca="1" si="2239"/>
        <v>#N/A</v>
      </c>
      <c r="BU1036" s="112"/>
      <c r="BV1036">
        <f t="shared" ca="1" si="2321"/>
        <v>0</v>
      </c>
      <c r="BW1036" s="112" t="str">
        <f t="shared" ca="1" si="2277"/>
        <v/>
      </c>
      <c r="BX1036" s="112" t="e">
        <f t="shared" ref="BX1036:BX1038" ca="1" si="2341">INDIRECT(CONCATENATE(BS1036,BQ1036))-1</f>
        <v>#N/A</v>
      </c>
      <c r="BY1036">
        <f t="shared" ca="1" si="2305"/>
        <v>0</v>
      </c>
      <c r="BZ1036">
        <f t="shared" ca="1" si="2306"/>
        <v>24</v>
      </c>
      <c r="CB1036" t="e">
        <f t="shared" ca="1" si="2281"/>
        <v>#N/A</v>
      </c>
      <c r="CC1036" s="112" t="e">
        <f t="shared" ca="1" si="2282"/>
        <v>#N/A</v>
      </c>
      <c r="CD1036" s="112" t="e">
        <f t="shared" ca="1" si="2283"/>
        <v>#N/A</v>
      </c>
      <c r="CE1036">
        <f t="shared" ca="1" si="2284"/>
        <v>0</v>
      </c>
      <c r="CF1036">
        <f t="shared" ca="1" si="2285"/>
        <v>24</v>
      </c>
      <c r="CH1036" s="112" t="str">
        <f t="shared" ca="1" si="2152"/>
        <v/>
      </c>
      <c r="CI1036" t="e">
        <f t="shared" ref="CI1036" ca="1" si="2342">CB1036+CB1037+CB1038+CB1039+CB1040</f>
        <v>#N/A</v>
      </c>
      <c r="CJ1036">
        <v>0</v>
      </c>
      <c r="CK1036" s="112" t="str">
        <f t="shared" ca="1" si="2159"/>
        <v/>
      </c>
      <c r="CM1036" s="112"/>
      <c r="CN1036" s="408" t="e">
        <f t="shared" ca="1" si="2312"/>
        <v>#N/A</v>
      </c>
      <c r="CO1036" s="326" t="e">
        <f t="shared" ref="CO1036" ca="1" si="2343">CD1036</f>
        <v>#N/A</v>
      </c>
      <c r="CP1036" s="333">
        <f t="shared" ca="1" si="2161"/>
        <v>0</v>
      </c>
      <c r="CQ1036" s="327">
        <f t="shared" ca="1" si="2162"/>
        <v>24</v>
      </c>
      <c r="CS1036" s="112">
        <f t="shared" ca="1" si="2280"/>
        <v>100000</v>
      </c>
      <c r="CT1036" s="112" t="e">
        <f t="shared" ref="CT1036" ca="1" si="2344">IF(AND( CN1037=100000,CN1038=100000,CN1039=100000,CN1040=100000),CO1040,                             CO1036)</f>
        <v>#N/A</v>
      </c>
      <c r="CU1036" s="238">
        <f t="shared" ca="1" si="2288"/>
        <v>0</v>
      </c>
      <c r="CV1036" s="238">
        <f t="shared" ca="1" si="2289"/>
        <v>24</v>
      </c>
      <c r="CY1036">
        <f t="shared" si="2297"/>
        <v>466</v>
      </c>
      <c r="DE1036" t="str">
        <f t="shared" si="2290"/>
        <v>cs:dc771</v>
      </c>
      <c r="DF1036" t="e">
        <f t="shared" ca="1" si="2291"/>
        <v>#REF!</v>
      </c>
    </row>
    <row r="1037" spans="47:110" x14ac:dyDescent="0.25">
      <c r="AU1037" s="112"/>
      <c r="AV1037" s="112"/>
      <c r="BQ1037" s="238">
        <f t="shared" ref="BQ1037:BQ1040" si="2345">BQ1036</f>
        <v>664</v>
      </c>
      <c r="BR1037" t="s">
        <v>445</v>
      </c>
      <c r="BS1037" t="s">
        <v>446</v>
      </c>
      <c r="BT1037" s="114" t="e">
        <f t="shared" ca="1" si="2239"/>
        <v>#N/A</v>
      </c>
      <c r="BU1037" s="112"/>
      <c r="BV1037" t="e">
        <f t="shared" ca="1" si="2321"/>
        <v>#N/A</v>
      </c>
      <c r="BW1037" s="112" t="e">
        <f t="shared" ca="1" si="2277"/>
        <v>#N/A</v>
      </c>
      <c r="BX1037" s="112" t="e">
        <f t="shared" ca="1" si="2341"/>
        <v>#N/A</v>
      </c>
      <c r="BY1037">
        <f t="shared" ca="1" si="2305"/>
        <v>0</v>
      </c>
      <c r="BZ1037">
        <f t="shared" ca="1" si="2306"/>
        <v>24</v>
      </c>
      <c r="CB1037" t="e">
        <f t="shared" ca="1" si="2281"/>
        <v>#N/A</v>
      </c>
      <c r="CC1037" s="112" t="e">
        <f t="shared" ca="1" si="2282"/>
        <v>#N/A</v>
      </c>
      <c r="CD1037" s="112" t="e">
        <f t="shared" ca="1" si="2283"/>
        <v>#N/A</v>
      </c>
      <c r="CE1037">
        <f t="shared" ca="1" si="2284"/>
        <v>0</v>
      </c>
      <c r="CF1037">
        <f t="shared" ca="1" si="2285"/>
        <v>24</v>
      </c>
      <c r="CH1037" s="112" t="str">
        <f t="shared" ca="1" si="2152"/>
        <v/>
      </c>
      <c r="CI1037" t="e">
        <f t="shared" ref="CI1037:CI1040" ca="1" si="2346">CI1036</f>
        <v>#N/A</v>
      </c>
      <c r="CJ1037" t="e">
        <f t="shared" ref="CJ1037" ca="1" si="2347">IF(AND(CI1037=0,CJ1038=0,CJ1039=0,CJ1040=0,CC1037&lt;100000),1,0)</f>
        <v>#N/A</v>
      </c>
      <c r="CK1037" s="112" t="e">
        <f t="shared" ca="1" si="2159"/>
        <v>#N/A</v>
      </c>
      <c r="CM1037" s="112"/>
      <c r="CN1037" s="260" t="e">
        <f t="shared" ca="1" si="2312"/>
        <v>#N/A</v>
      </c>
      <c r="CO1037" s="112" t="e">
        <f t="shared" ref="CO1037:CO1040" ca="1" si="2348">IF(CJ1037=1,CH1037,CD1037)</f>
        <v>#N/A</v>
      </c>
      <c r="CP1037" s="238">
        <f t="shared" ca="1" si="2161"/>
        <v>0</v>
      </c>
      <c r="CQ1037" s="328">
        <f t="shared" ca="1" si="2162"/>
        <v>24</v>
      </c>
      <c r="CS1037" s="112">
        <f t="shared" ca="1" si="2280"/>
        <v>100000</v>
      </c>
      <c r="CT1037" s="112" t="e">
        <f t="shared" ca="1" si="2319"/>
        <v>#N/A</v>
      </c>
      <c r="CU1037" s="238">
        <f t="shared" ca="1" si="2288"/>
        <v>0</v>
      </c>
      <c r="CV1037" s="238">
        <f t="shared" ca="1" si="2289"/>
        <v>24</v>
      </c>
      <c r="CY1037">
        <f t="shared" si="2297"/>
        <v>467</v>
      </c>
      <c r="DE1037" t="str">
        <f t="shared" si="2290"/>
        <v>cs:dc771</v>
      </c>
      <c r="DF1037" t="e">
        <f t="shared" ca="1" si="2291"/>
        <v>#REF!</v>
      </c>
    </row>
    <row r="1038" spans="47:110" x14ac:dyDescent="0.25">
      <c r="AU1038" s="112"/>
      <c r="AV1038" s="112"/>
      <c r="BQ1038" s="238">
        <f t="shared" si="2345"/>
        <v>664</v>
      </c>
      <c r="BR1038" t="s">
        <v>446</v>
      </c>
      <c r="BS1038" t="s">
        <v>447</v>
      </c>
      <c r="BT1038" s="114" t="e">
        <f t="shared" ca="1" si="2239"/>
        <v>#N/A</v>
      </c>
      <c r="BU1038" s="112"/>
      <c r="BV1038" t="e">
        <f t="shared" ca="1" si="2321"/>
        <v>#N/A</v>
      </c>
      <c r="BW1038" s="112" t="e">
        <f t="shared" ca="1" si="2277"/>
        <v>#N/A</v>
      </c>
      <c r="BX1038" s="112" t="e">
        <f t="shared" ca="1" si="2341"/>
        <v>#N/A</v>
      </c>
      <c r="BY1038">
        <f t="shared" ca="1" si="2305"/>
        <v>0</v>
      </c>
      <c r="BZ1038">
        <f t="shared" ca="1" si="2306"/>
        <v>24</v>
      </c>
      <c r="CB1038" t="e">
        <f t="shared" ca="1" si="2281"/>
        <v>#N/A</v>
      </c>
      <c r="CC1038" s="112" t="e">
        <f t="shared" ca="1" si="2282"/>
        <v>#N/A</v>
      </c>
      <c r="CD1038" s="112" t="e">
        <f t="shared" ca="1" si="2283"/>
        <v>#N/A</v>
      </c>
      <c r="CE1038">
        <f t="shared" ca="1" si="2284"/>
        <v>0</v>
      </c>
      <c r="CF1038">
        <f t="shared" ca="1" si="2285"/>
        <v>24</v>
      </c>
      <c r="CH1038" s="112" t="str">
        <f t="shared" ca="1" si="2152"/>
        <v/>
      </c>
      <c r="CI1038" t="e">
        <f t="shared" ca="1" si="2346"/>
        <v>#N/A</v>
      </c>
      <c r="CJ1038" t="e">
        <f t="shared" ref="CJ1038" ca="1" si="2349">IF(AND(CI1038=0,CJ1039=0,CJ1040=0,CC1038&lt;100000),1,0)</f>
        <v>#N/A</v>
      </c>
      <c r="CK1038" s="112" t="e">
        <f t="shared" ca="1" si="2159"/>
        <v>#N/A</v>
      </c>
      <c r="CM1038" s="112"/>
      <c r="CN1038" s="260" t="e">
        <f t="shared" ca="1" si="2312"/>
        <v>#N/A</v>
      </c>
      <c r="CO1038" s="112" t="e">
        <f t="shared" ca="1" si="2348"/>
        <v>#N/A</v>
      </c>
      <c r="CP1038" s="238">
        <f t="shared" ca="1" si="2161"/>
        <v>0</v>
      </c>
      <c r="CQ1038" s="328">
        <f t="shared" ca="1" si="2162"/>
        <v>24</v>
      </c>
      <c r="CS1038" s="112">
        <f t="shared" ca="1" si="2280"/>
        <v>100000</v>
      </c>
      <c r="CT1038" s="112" t="e">
        <f t="shared" ca="1" si="2319"/>
        <v>#N/A</v>
      </c>
      <c r="CU1038" s="238">
        <f t="shared" ca="1" si="2288"/>
        <v>0</v>
      </c>
      <c r="CV1038" s="238">
        <f t="shared" ca="1" si="2289"/>
        <v>24</v>
      </c>
      <c r="CY1038">
        <f t="shared" si="2297"/>
        <v>468</v>
      </c>
      <c r="DE1038" t="str">
        <f t="shared" si="2290"/>
        <v>cs:dc771</v>
      </c>
      <c r="DF1038" t="e">
        <f t="shared" ca="1" si="2291"/>
        <v>#REF!</v>
      </c>
    </row>
    <row r="1039" spans="47:110" x14ac:dyDescent="0.25">
      <c r="AU1039" s="112"/>
      <c r="AV1039" s="112"/>
      <c r="BQ1039" s="238">
        <f t="shared" si="2345"/>
        <v>664</v>
      </c>
      <c r="BR1039" t="s">
        <v>447</v>
      </c>
      <c r="BS1039" t="s">
        <v>448</v>
      </c>
      <c r="BT1039" s="114" t="e">
        <f t="shared" ca="1" si="2239"/>
        <v>#N/A</v>
      </c>
      <c r="BU1039" s="112"/>
      <c r="BV1039" t="e">
        <f t="shared" ca="1" si="2321"/>
        <v>#N/A</v>
      </c>
      <c r="BW1039" s="112" t="e">
        <f t="shared" ca="1" si="2277"/>
        <v>#N/A</v>
      </c>
      <c r="BX1039" s="112" t="e">
        <f t="shared" ref="BX1039:BX1040" ca="1" si="2350">INDIRECT(CONCATENATE(BS1039,BQ1039))</f>
        <v>#N/A</v>
      </c>
      <c r="BY1039">
        <f t="shared" ca="1" si="2305"/>
        <v>0</v>
      </c>
      <c r="BZ1039">
        <f t="shared" ca="1" si="2306"/>
        <v>24</v>
      </c>
      <c r="CB1039" t="e">
        <f t="shared" ca="1" si="2281"/>
        <v>#N/A</v>
      </c>
      <c r="CC1039" s="112" t="e">
        <f t="shared" ca="1" si="2282"/>
        <v>#N/A</v>
      </c>
      <c r="CD1039" s="112" t="e">
        <f t="shared" ca="1" si="2283"/>
        <v>#N/A</v>
      </c>
      <c r="CE1039">
        <f t="shared" ca="1" si="2284"/>
        <v>0</v>
      </c>
      <c r="CF1039">
        <f t="shared" ca="1" si="2285"/>
        <v>24</v>
      </c>
      <c r="CH1039" s="112" t="str">
        <f t="shared" ca="1" si="2152"/>
        <v/>
      </c>
      <c r="CI1039" t="e">
        <f t="shared" ca="1" si="2346"/>
        <v>#N/A</v>
      </c>
      <c r="CJ1039" t="e">
        <f t="shared" ref="CJ1039" ca="1" si="2351">IF(AND(CI1039=0,CJ1040=0,CC1039&lt;100000),1,0)</f>
        <v>#N/A</v>
      </c>
      <c r="CK1039" s="112" t="e">
        <f t="shared" ca="1" si="2159"/>
        <v>#N/A</v>
      </c>
      <c r="CM1039" s="112"/>
      <c r="CN1039" s="260" t="e">
        <f t="shared" ca="1" si="2312"/>
        <v>#N/A</v>
      </c>
      <c r="CO1039" s="112" t="e">
        <f t="shared" ca="1" si="2348"/>
        <v>#N/A</v>
      </c>
      <c r="CP1039" s="238">
        <f t="shared" ca="1" si="2161"/>
        <v>0</v>
      </c>
      <c r="CQ1039" s="328">
        <f t="shared" ca="1" si="2162"/>
        <v>24</v>
      </c>
      <c r="CS1039" s="112">
        <f t="shared" ca="1" si="2280"/>
        <v>100000</v>
      </c>
      <c r="CT1039" s="112" t="e">
        <f t="shared" ca="1" si="2319"/>
        <v>#N/A</v>
      </c>
      <c r="CU1039" s="238">
        <f t="shared" ca="1" si="2288"/>
        <v>0</v>
      </c>
      <c r="CV1039" s="238">
        <f t="shared" ca="1" si="2289"/>
        <v>24</v>
      </c>
      <c r="CY1039">
        <f t="shared" si="2297"/>
        <v>469</v>
      </c>
      <c r="DE1039" t="str">
        <f t="shared" si="2290"/>
        <v>cs:dc771</v>
      </c>
      <c r="DF1039" t="e">
        <f t="shared" ca="1" si="2291"/>
        <v>#REF!</v>
      </c>
    </row>
    <row r="1040" spans="47:110" ht="15.75" thickBot="1" x14ac:dyDescent="0.3">
      <c r="AU1040" s="112"/>
      <c r="AV1040" s="112"/>
      <c r="BQ1040" s="238">
        <f t="shared" si="2345"/>
        <v>664</v>
      </c>
      <c r="BR1040" t="s">
        <v>448</v>
      </c>
      <c r="BS1040" t="s">
        <v>449</v>
      </c>
      <c r="BT1040" s="114" t="e">
        <f t="shared" ca="1" si="2239"/>
        <v>#N/A</v>
      </c>
      <c r="BU1040" s="112"/>
      <c r="BV1040" t="e">
        <f t="shared" ca="1" si="2321"/>
        <v>#N/A</v>
      </c>
      <c r="BW1040" s="112" t="e">
        <f t="shared" ca="1" si="2277"/>
        <v>#N/A</v>
      </c>
      <c r="BX1040" s="112" t="str">
        <f t="shared" ca="1" si="2350"/>
        <v/>
      </c>
      <c r="BY1040">
        <f t="shared" ca="1" si="2305"/>
        <v>0</v>
      </c>
      <c r="BZ1040">
        <f t="shared" ca="1" si="2306"/>
        <v>24</v>
      </c>
      <c r="CB1040" t="e">
        <f t="shared" ca="1" si="2281"/>
        <v>#N/A</v>
      </c>
      <c r="CC1040" s="112" t="e">
        <f t="shared" ca="1" si="2282"/>
        <v>#N/A</v>
      </c>
      <c r="CD1040" s="112" t="str">
        <f t="shared" ca="1" si="2283"/>
        <v/>
      </c>
      <c r="CE1040">
        <f t="shared" ca="1" si="2284"/>
        <v>0</v>
      </c>
      <c r="CF1040">
        <f t="shared" ca="1" si="2285"/>
        <v>24</v>
      </c>
      <c r="CH1040" s="112" t="str">
        <f t="shared" ref="CH1040:CH1100" ca="1" si="2352">INDIRECT(CONCATENATE("af",BQ1040))</f>
        <v/>
      </c>
      <c r="CI1040" t="e">
        <f t="shared" ca="1" si="2346"/>
        <v>#N/A</v>
      </c>
      <c r="CJ1040" t="e">
        <f t="shared" ref="CJ1040" ca="1" si="2353">IF(AND(CI1040=0,CC1040&lt;100000),1,0)</f>
        <v>#N/A</v>
      </c>
      <c r="CK1040" s="112" t="e">
        <f t="shared" ca="1" si="2159"/>
        <v>#N/A</v>
      </c>
      <c r="CM1040" s="112"/>
      <c r="CN1040" s="261" t="e">
        <f t="shared" ref="CN1040" ca="1" si="2354">IF(AND(CN1036=100000,CN1037=100000,CN1038=100000,CN1039=100000),INDIRECT(CONCATENATE("aa",BQ1040)),CC1040)</f>
        <v>#N/A</v>
      </c>
      <c r="CO1040" s="324" t="e">
        <f t="shared" ca="1" si="2348"/>
        <v>#N/A</v>
      </c>
      <c r="CP1040" s="256">
        <f t="shared" ca="1" si="2161"/>
        <v>0</v>
      </c>
      <c r="CQ1040" s="329">
        <f t="shared" ca="1" si="2162"/>
        <v>24</v>
      </c>
      <c r="CS1040" s="112">
        <f t="shared" ca="1" si="2280"/>
        <v>100000</v>
      </c>
      <c r="CT1040" s="112" t="e">
        <f t="shared" ca="1" si="2319"/>
        <v>#N/A</v>
      </c>
      <c r="CU1040" s="238">
        <f t="shared" ca="1" si="2288"/>
        <v>0</v>
      </c>
      <c r="CV1040" s="238">
        <f t="shared" ca="1" si="2289"/>
        <v>24</v>
      </c>
      <c r="CY1040">
        <f t="shared" si="2297"/>
        <v>470</v>
      </c>
      <c r="DE1040" t="str">
        <f t="shared" si="2290"/>
        <v>cs:dc771</v>
      </c>
      <c r="DF1040" t="e">
        <f t="shared" ca="1" si="2291"/>
        <v>#REF!</v>
      </c>
    </row>
    <row r="1041" spans="47:110" x14ac:dyDescent="0.25">
      <c r="AU1041" s="112"/>
      <c r="AV1041" s="112"/>
      <c r="BQ1041" s="238">
        <f t="shared" ref="BQ1041" si="2355">BQ1040+1</f>
        <v>665</v>
      </c>
      <c r="BR1041" s="112" t="s">
        <v>444</v>
      </c>
      <c r="BS1041" s="112" t="s">
        <v>445</v>
      </c>
      <c r="BT1041" s="114" t="e">
        <f t="shared" ca="1" si="2239"/>
        <v>#N/A</v>
      </c>
      <c r="BU1041" s="112"/>
      <c r="BV1041">
        <f t="shared" ca="1" si="2321"/>
        <v>0</v>
      </c>
      <c r="BW1041" s="112" t="str">
        <f t="shared" ca="1" si="2277"/>
        <v/>
      </c>
      <c r="BX1041" s="112" t="e">
        <f t="shared" ref="BX1041:BX1043" ca="1" si="2356">INDIRECT(CONCATENATE(BS1041,BQ1041))-1</f>
        <v>#N/A</v>
      </c>
      <c r="BY1041">
        <f t="shared" ca="1" si="2305"/>
        <v>0</v>
      </c>
      <c r="BZ1041">
        <f t="shared" ca="1" si="2306"/>
        <v>24</v>
      </c>
      <c r="CB1041" t="e">
        <f t="shared" ca="1" si="2281"/>
        <v>#N/A</v>
      </c>
      <c r="CC1041" s="112" t="e">
        <f t="shared" ca="1" si="2282"/>
        <v>#N/A</v>
      </c>
      <c r="CD1041" s="112" t="e">
        <f t="shared" ca="1" si="2283"/>
        <v>#N/A</v>
      </c>
      <c r="CE1041">
        <f t="shared" ca="1" si="2284"/>
        <v>0</v>
      </c>
      <c r="CF1041">
        <f t="shared" ca="1" si="2285"/>
        <v>24</v>
      </c>
      <c r="CH1041" s="112" t="str">
        <f t="shared" ca="1" si="2352"/>
        <v/>
      </c>
      <c r="CI1041" t="e">
        <f t="shared" ref="CI1041" ca="1" si="2357">CB1041+CB1042+CB1043+CB1044+CB1045</f>
        <v>#N/A</v>
      </c>
      <c r="CJ1041">
        <v>0</v>
      </c>
      <c r="CK1041" s="112" t="str">
        <f t="shared" ref="CK1041:CK1100" ca="1" si="2358">IF(CJ1041=0,INDIRECT(CONCATENATE("af",BQ1041)),1)</f>
        <v/>
      </c>
      <c r="CM1041" s="112"/>
      <c r="CN1041" s="408" t="e">
        <f t="shared" ca="1" si="2312"/>
        <v>#N/A</v>
      </c>
      <c r="CO1041" s="326" t="e">
        <f t="shared" ref="CO1041" ca="1" si="2359">CD1041</f>
        <v>#N/A</v>
      </c>
      <c r="CP1041" s="333">
        <f t="shared" ref="CP1041:CP1100" ca="1" si="2360">CE1041</f>
        <v>0</v>
      </c>
      <c r="CQ1041" s="327">
        <f t="shared" ref="CQ1041:CQ1100" ca="1" si="2361">CF1041</f>
        <v>24</v>
      </c>
      <c r="CS1041" s="112">
        <f t="shared" ca="1" si="2280"/>
        <v>100000</v>
      </c>
      <c r="CT1041" s="112" t="e">
        <f t="shared" ref="CT1041" ca="1" si="2362">IF(AND( CN1042=100000,CN1043=100000,CN1044=100000,CN1045=100000),CO1045,                             CO1041)</f>
        <v>#N/A</v>
      </c>
      <c r="CU1041" s="238">
        <f t="shared" ca="1" si="2288"/>
        <v>0</v>
      </c>
      <c r="CV1041" s="238">
        <f t="shared" ca="1" si="2289"/>
        <v>24</v>
      </c>
      <c r="CY1041">
        <f t="shared" si="2297"/>
        <v>471</v>
      </c>
      <c r="DE1041" t="str">
        <f t="shared" si="2290"/>
        <v>cs:dc771</v>
      </c>
      <c r="DF1041" t="e">
        <f t="shared" ca="1" si="2291"/>
        <v>#REF!</v>
      </c>
    </row>
    <row r="1042" spans="47:110" x14ac:dyDescent="0.25">
      <c r="AU1042" s="112"/>
      <c r="AV1042" s="112"/>
      <c r="BQ1042" s="238">
        <f t="shared" ref="BQ1042:BQ1045" si="2363">BQ1041</f>
        <v>665</v>
      </c>
      <c r="BR1042" t="s">
        <v>445</v>
      </c>
      <c r="BS1042" t="s">
        <v>446</v>
      </c>
      <c r="BT1042" s="114" t="e">
        <f t="shared" ca="1" si="2239"/>
        <v>#N/A</v>
      </c>
      <c r="BU1042" s="112"/>
      <c r="BV1042" t="e">
        <f t="shared" ca="1" si="2321"/>
        <v>#N/A</v>
      </c>
      <c r="BW1042" s="112" t="e">
        <f t="shared" ca="1" si="2277"/>
        <v>#N/A</v>
      </c>
      <c r="BX1042" s="112" t="e">
        <f t="shared" ca="1" si="2356"/>
        <v>#N/A</v>
      </c>
      <c r="BY1042">
        <f t="shared" ca="1" si="2305"/>
        <v>0</v>
      </c>
      <c r="BZ1042">
        <f t="shared" ca="1" si="2306"/>
        <v>24</v>
      </c>
      <c r="CB1042" t="e">
        <f t="shared" ca="1" si="2281"/>
        <v>#N/A</v>
      </c>
      <c r="CC1042" s="112" t="e">
        <f t="shared" ca="1" si="2282"/>
        <v>#N/A</v>
      </c>
      <c r="CD1042" s="112" t="e">
        <f t="shared" ca="1" si="2283"/>
        <v>#N/A</v>
      </c>
      <c r="CE1042">
        <f t="shared" ca="1" si="2284"/>
        <v>0</v>
      </c>
      <c r="CF1042">
        <f t="shared" ca="1" si="2285"/>
        <v>24</v>
      </c>
      <c r="CH1042" s="112" t="str">
        <f t="shared" ca="1" si="2352"/>
        <v/>
      </c>
      <c r="CI1042" t="e">
        <f t="shared" ref="CI1042:CI1045" ca="1" si="2364">CI1041</f>
        <v>#N/A</v>
      </c>
      <c r="CJ1042" t="e">
        <f t="shared" ref="CJ1042" ca="1" si="2365">IF(AND(CI1042=0,CJ1043=0,CJ1044=0,CJ1045=0,CC1042&lt;100000),1,0)</f>
        <v>#N/A</v>
      </c>
      <c r="CK1042" s="112" t="e">
        <f t="shared" ca="1" si="2358"/>
        <v>#N/A</v>
      </c>
      <c r="CM1042" s="112"/>
      <c r="CN1042" s="260" t="e">
        <f t="shared" ca="1" si="2312"/>
        <v>#N/A</v>
      </c>
      <c r="CO1042" s="112" t="e">
        <f t="shared" ref="CO1042:CO1045" ca="1" si="2366">IF(CJ1042=1,CH1042,CD1042)</f>
        <v>#N/A</v>
      </c>
      <c r="CP1042" s="238">
        <f t="shared" ca="1" si="2360"/>
        <v>0</v>
      </c>
      <c r="CQ1042" s="328">
        <f t="shared" ca="1" si="2361"/>
        <v>24</v>
      </c>
      <c r="CS1042" s="112">
        <f t="shared" ca="1" si="2280"/>
        <v>100000</v>
      </c>
      <c r="CT1042" s="112" t="e">
        <f t="shared" ca="1" si="2319"/>
        <v>#N/A</v>
      </c>
      <c r="CU1042" s="238">
        <f t="shared" ca="1" si="2288"/>
        <v>0</v>
      </c>
      <c r="CV1042" s="238">
        <f t="shared" ca="1" si="2289"/>
        <v>24</v>
      </c>
      <c r="CY1042">
        <f t="shared" si="2297"/>
        <v>472</v>
      </c>
      <c r="DE1042" t="str">
        <f t="shared" si="2290"/>
        <v>cs:dc771</v>
      </c>
      <c r="DF1042" t="e">
        <f t="shared" ca="1" si="2291"/>
        <v>#REF!</v>
      </c>
    </row>
    <row r="1043" spans="47:110" x14ac:dyDescent="0.25">
      <c r="AU1043" s="112"/>
      <c r="AV1043" s="112"/>
      <c r="BQ1043" s="238">
        <f t="shared" si="2363"/>
        <v>665</v>
      </c>
      <c r="BR1043" t="s">
        <v>446</v>
      </c>
      <c r="BS1043" t="s">
        <v>447</v>
      </c>
      <c r="BT1043" s="114" t="e">
        <f t="shared" ca="1" si="2239"/>
        <v>#N/A</v>
      </c>
      <c r="BU1043" s="112"/>
      <c r="BV1043" t="e">
        <f t="shared" ca="1" si="2321"/>
        <v>#N/A</v>
      </c>
      <c r="BW1043" s="112" t="e">
        <f t="shared" ca="1" si="2277"/>
        <v>#N/A</v>
      </c>
      <c r="BX1043" s="112" t="e">
        <f t="shared" ca="1" si="2356"/>
        <v>#N/A</v>
      </c>
      <c r="BY1043">
        <f t="shared" ca="1" si="2305"/>
        <v>0</v>
      </c>
      <c r="BZ1043">
        <f t="shared" ca="1" si="2306"/>
        <v>24</v>
      </c>
      <c r="CB1043" t="e">
        <f t="shared" ca="1" si="2281"/>
        <v>#N/A</v>
      </c>
      <c r="CC1043" s="112" t="e">
        <f t="shared" ca="1" si="2282"/>
        <v>#N/A</v>
      </c>
      <c r="CD1043" s="112" t="e">
        <f t="shared" ca="1" si="2283"/>
        <v>#N/A</v>
      </c>
      <c r="CE1043">
        <f t="shared" ca="1" si="2284"/>
        <v>0</v>
      </c>
      <c r="CF1043">
        <f t="shared" ca="1" si="2285"/>
        <v>24</v>
      </c>
      <c r="CH1043" s="112" t="str">
        <f t="shared" ca="1" si="2352"/>
        <v/>
      </c>
      <c r="CI1043" t="e">
        <f t="shared" ca="1" si="2364"/>
        <v>#N/A</v>
      </c>
      <c r="CJ1043" t="e">
        <f t="shared" ref="CJ1043" ca="1" si="2367">IF(AND(CI1043=0,CJ1044=0,CJ1045=0,CC1043&lt;100000),1,0)</f>
        <v>#N/A</v>
      </c>
      <c r="CK1043" s="112" t="e">
        <f t="shared" ca="1" si="2358"/>
        <v>#N/A</v>
      </c>
      <c r="CM1043" s="112"/>
      <c r="CN1043" s="260" t="e">
        <f t="shared" ca="1" si="2312"/>
        <v>#N/A</v>
      </c>
      <c r="CO1043" s="112" t="e">
        <f t="shared" ca="1" si="2366"/>
        <v>#N/A</v>
      </c>
      <c r="CP1043" s="238">
        <f t="shared" ca="1" si="2360"/>
        <v>0</v>
      </c>
      <c r="CQ1043" s="328">
        <f t="shared" ca="1" si="2361"/>
        <v>24</v>
      </c>
      <c r="CS1043" s="112">
        <f t="shared" ca="1" si="2280"/>
        <v>100000</v>
      </c>
      <c r="CT1043" s="112" t="e">
        <f t="shared" ca="1" si="2319"/>
        <v>#N/A</v>
      </c>
      <c r="CU1043" s="238">
        <f t="shared" ca="1" si="2288"/>
        <v>0</v>
      </c>
      <c r="CV1043" s="238">
        <f t="shared" ca="1" si="2289"/>
        <v>24</v>
      </c>
      <c r="CY1043">
        <f t="shared" si="2297"/>
        <v>473</v>
      </c>
      <c r="DE1043" t="str">
        <f t="shared" si="2290"/>
        <v>cs:dc771</v>
      </c>
      <c r="DF1043" t="e">
        <f t="shared" ca="1" si="2291"/>
        <v>#REF!</v>
      </c>
    </row>
    <row r="1044" spans="47:110" x14ac:dyDescent="0.25">
      <c r="AU1044" s="112"/>
      <c r="AV1044" s="112"/>
      <c r="BQ1044" s="238">
        <f t="shared" si="2363"/>
        <v>665</v>
      </c>
      <c r="BR1044" t="s">
        <v>447</v>
      </c>
      <c r="BS1044" t="s">
        <v>448</v>
      </c>
      <c r="BT1044" s="114" t="e">
        <f t="shared" ca="1" si="2239"/>
        <v>#N/A</v>
      </c>
      <c r="BU1044" s="112"/>
      <c r="BV1044" t="e">
        <f t="shared" ca="1" si="2321"/>
        <v>#N/A</v>
      </c>
      <c r="BW1044" s="112" t="e">
        <f t="shared" ca="1" si="2277"/>
        <v>#N/A</v>
      </c>
      <c r="BX1044" s="112" t="e">
        <f t="shared" ref="BX1044:BX1045" ca="1" si="2368">INDIRECT(CONCATENATE(BS1044,BQ1044))</f>
        <v>#N/A</v>
      </c>
      <c r="BY1044">
        <f t="shared" ca="1" si="2305"/>
        <v>0</v>
      </c>
      <c r="BZ1044">
        <f t="shared" ca="1" si="2306"/>
        <v>24</v>
      </c>
      <c r="CB1044" t="e">
        <f t="shared" ca="1" si="2281"/>
        <v>#N/A</v>
      </c>
      <c r="CC1044" s="112" t="e">
        <f t="shared" ca="1" si="2282"/>
        <v>#N/A</v>
      </c>
      <c r="CD1044" s="112" t="e">
        <f t="shared" ca="1" si="2283"/>
        <v>#N/A</v>
      </c>
      <c r="CE1044">
        <f t="shared" ca="1" si="2284"/>
        <v>0</v>
      </c>
      <c r="CF1044">
        <f t="shared" ca="1" si="2285"/>
        <v>24</v>
      </c>
      <c r="CH1044" s="112" t="str">
        <f t="shared" ca="1" si="2352"/>
        <v/>
      </c>
      <c r="CI1044" t="e">
        <f t="shared" ca="1" si="2364"/>
        <v>#N/A</v>
      </c>
      <c r="CJ1044" t="e">
        <f t="shared" ref="CJ1044" ca="1" si="2369">IF(AND(CI1044=0,CJ1045=0,CC1044&lt;100000),1,0)</f>
        <v>#N/A</v>
      </c>
      <c r="CK1044" s="112" t="e">
        <f t="shared" ca="1" si="2358"/>
        <v>#N/A</v>
      </c>
      <c r="CM1044" s="112"/>
      <c r="CN1044" s="260" t="e">
        <f t="shared" ca="1" si="2312"/>
        <v>#N/A</v>
      </c>
      <c r="CO1044" s="112" t="e">
        <f t="shared" ca="1" si="2366"/>
        <v>#N/A</v>
      </c>
      <c r="CP1044" s="238">
        <f t="shared" ca="1" si="2360"/>
        <v>0</v>
      </c>
      <c r="CQ1044" s="328">
        <f t="shared" ca="1" si="2361"/>
        <v>24</v>
      </c>
      <c r="CS1044" s="112">
        <f t="shared" ca="1" si="2280"/>
        <v>100000</v>
      </c>
      <c r="CT1044" s="112" t="e">
        <f t="shared" ca="1" si="2319"/>
        <v>#N/A</v>
      </c>
      <c r="CU1044" s="238">
        <f t="shared" ca="1" si="2288"/>
        <v>0</v>
      </c>
      <c r="CV1044" s="238">
        <f t="shared" ca="1" si="2289"/>
        <v>24</v>
      </c>
      <c r="CY1044">
        <f t="shared" si="2297"/>
        <v>474</v>
      </c>
      <c r="DE1044" t="str">
        <f t="shared" si="2290"/>
        <v>cs:dc771</v>
      </c>
      <c r="DF1044" t="e">
        <f t="shared" ca="1" si="2291"/>
        <v>#REF!</v>
      </c>
    </row>
    <row r="1045" spans="47:110" ht="15.75" thickBot="1" x14ac:dyDescent="0.3">
      <c r="AU1045" s="112"/>
      <c r="AV1045" s="112"/>
      <c r="BQ1045" s="238">
        <f t="shared" si="2363"/>
        <v>665</v>
      </c>
      <c r="BR1045" t="s">
        <v>448</v>
      </c>
      <c r="BS1045" t="s">
        <v>449</v>
      </c>
      <c r="BT1045" s="114" t="e">
        <f t="shared" ca="1" si="2239"/>
        <v>#N/A</v>
      </c>
      <c r="BU1045" s="112"/>
      <c r="BV1045" t="e">
        <f t="shared" ca="1" si="2321"/>
        <v>#N/A</v>
      </c>
      <c r="BW1045" s="112" t="e">
        <f t="shared" ca="1" si="2277"/>
        <v>#N/A</v>
      </c>
      <c r="BX1045" s="112" t="str">
        <f t="shared" ca="1" si="2368"/>
        <v/>
      </c>
      <c r="BY1045">
        <f t="shared" ca="1" si="2305"/>
        <v>0</v>
      </c>
      <c r="BZ1045">
        <f t="shared" ca="1" si="2306"/>
        <v>24</v>
      </c>
      <c r="CB1045" t="e">
        <f t="shared" ca="1" si="2281"/>
        <v>#N/A</v>
      </c>
      <c r="CC1045" s="112" t="e">
        <f t="shared" ca="1" si="2282"/>
        <v>#N/A</v>
      </c>
      <c r="CD1045" s="112" t="str">
        <f t="shared" ca="1" si="2283"/>
        <v/>
      </c>
      <c r="CE1045">
        <f t="shared" ca="1" si="2284"/>
        <v>0</v>
      </c>
      <c r="CF1045">
        <f t="shared" ca="1" si="2285"/>
        <v>24</v>
      </c>
      <c r="CH1045" s="112" t="str">
        <f t="shared" ca="1" si="2352"/>
        <v/>
      </c>
      <c r="CI1045" t="e">
        <f t="shared" ca="1" si="2364"/>
        <v>#N/A</v>
      </c>
      <c r="CJ1045" t="e">
        <f t="shared" ref="CJ1045" ca="1" si="2370">IF(AND(CI1045=0,CC1045&lt;100000),1,0)</f>
        <v>#N/A</v>
      </c>
      <c r="CK1045" s="112" t="e">
        <f t="shared" ca="1" si="2358"/>
        <v>#N/A</v>
      </c>
      <c r="CM1045" s="112"/>
      <c r="CN1045" s="261" t="e">
        <f t="shared" ref="CN1045" ca="1" si="2371">IF(AND(CN1041=100000,CN1042=100000,CN1043=100000,CN1044=100000),INDIRECT(CONCATENATE("aa",BQ1045)),CC1045)</f>
        <v>#N/A</v>
      </c>
      <c r="CO1045" s="324" t="e">
        <f t="shared" ca="1" si="2366"/>
        <v>#N/A</v>
      </c>
      <c r="CP1045" s="256">
        <f t="shared" ca="1" si="2360"/>
        <v>0</v>
      </c>
      <c r="CQ1045" s="329">
        <f t="shared" ca="1" si="2361"/>
        <v>24</v>
      </c>
      <c r="CS1045" s="112">
        <f t="shared" ca="1" si="2280"/>
        <v>100000</v>
      </c>
      <c r="CT1045" s="112" t="e">
        <f t="shared" ca="1" si="2319"/>
        <v>#N/A</v>
      </c>
      <c r="CU1045" s="238">
        <f t="shared" ca="1" si="2288"/>
        <v>0</v>
      </c>
      <c r="CV1045" s="238">
        <f t="shared" ca="1" si="2289"/>
        <v>24</v>
      </c>
      <c r="CY1045">
        <f t="shared" si="2297"/>
        <v>475</v>
      </c>
      <c r="DE1045" t="str">
        <f t="shared" si="2290"/>
        <v>cs:dc771</v>
      </c>
      <c r="DF1045" t="e">
        <f t="shared" ca="1" si="2291"/>
        <v>#REF!</v>
      </c>
    </row>
    <row r="1046" spans="47:110" x14ac:dyDescent="0.25">
      <c r="AU1046" s="112"/>
      <c r="AV1046" s="112"/>
      <c r="BQ1046" s="238">
        <f t="shared" ref="BQ1046" si="2372">BQ1045+1</f>
        <v>666</v>
      </c>
      <c r="BR1046" s="112" t="s">
        <v>444</v>
      </c>
      <c r="BS1046" s="112" t="s">
        <v>445</v>
      </c>
      <c r="BT1046" s="114" t="e">
        <f t="shared" ca="1" si="2239"/>
        <v>#N/A</v>
      </c>
      <c r="BU1046" s="112"/>
      <c r="BV1046">
        <f t="shared" ca="1" si="2321"/>
        <v>0</v>
      </c>
      <c r="BW1046" s="112" t="str">
        <f t="shared" ca="1" si="2277"/>
        <v/>
      </c>
      <c r="BX1046" s="112" t="e">
        <f t="shared" ref="BX1046:BX1048" ca="1" si="2373">INDIRECT(CONCATENATE(BS1046,BQ1046))-1</f>
        <v>#N/A</v>
      </c>
      <c r="BY1046">
        <f t="shared" ca="1" si="2305"/>
        <v>0</v>
      </c>
      <c r="BZ1046">
        <f t="shared" ca="1" si="2306"/>
        <v>24</v>
      </c>
      <c r="CB1046" t="e">
        <f t="shared" ca="1" si="2281"/>
        <v>#N/A</v>
      </c>
      <c r="CC1046" s="112" t="e">
        <f t="shared" ca="1" si="2282"/>
        <v>#N/A</v>
      </c>
      <c r="CD1046" s="112" t="e">
        <f t="shared" ca="1" si="2283"/>
        <v>#N/A</v>
      </c>
      <c r="CE1046">
        <f t="shared" ca="1" si="2284"/>
        <v>0</v>
      </c>
      <c r="CF1046">
        <f t="shared" ca="1" si="2285"/>
        <v>24</v>
      </c>
      <c r="CH1046" s="112" t="str">
        <f t="shared" ca="1" si="2352"/>
        <v/>
      </c>
      <c r="CI1046" t="e">
        <f t="shared" ref="CI1046" ca="1" si="2374">CB1046+CB1047+CB1048+CB1049+CB1050</f>
        <v>#N/A</v>
      </c>
      <c r="CJ1046">
        <v>0</v>
      </c>
      <c r="CK1046" s="112" t="str">
        <f t="shared" ca="1" si="2358"/>
        <v/>
      </c>
      <c r="CM1046" s="112"/>
      <c r="CN1046" s="408" t="e">
        <f t="shared" ca="1" si="2312"/>
        <v>#N/A</v>
      </c>
      <c r="CO1046" s="326" t="e">
        <f t="shared" ref="CO1046" ca="1" si="2375">CD1046</f>
        <v>#N/A</v>
      </c>
      <c r="CP1046" s="333">
        <f t="shared" ca="1" si="2360"/>
        <v>0</v>
      </c>
      <c r="CQ1046" s="327">
        <f t="shared" ca="1" si="2361"/>
        <v>24</v>
      </c>
      <c r="CS1046" s="112">
        <f t="shared" ca="1" si="2280"/>
        <v>100000</v>
      </c>
      <c r="CT1046" s="112" t="e">
        <f t="shared" ref="CT1046" ca="1" si="2376">IF(AND( CN1047=100000,CN1048=100000,CN1049=100000,CN1050=100000),CO1050,                             CO1046)</f>
        <v>#N/A</v>
      </c>
      <c r="CU1046" s="238">
        <f t="shared" ca="1" si="2288"/>
        <v>0</v>
      </c>
      <c r="CV1046" s="238">
        <f t="shared" ca="1" si="2289"/>
        <v>24</v>
      </c>
      <c r="CY1046">
        <f t="shared" si="2297"/>
        <v>476</v>
      </c>
      <c r="DE1046" t="str">
        <f t="shared" si="2290"/>
        <v>cs:dc771</v>
      </c>
      <c r="DF1046" t="e">
        <f t="shared" ca="1" si="2291"/>
        <v>#REF!</v>
      </c>
    </row>
    <row r="1047" spans="47:110" x14ac:dyDescent="0.25">
      <c r="AU1047" s="112"/>
      <c r="AV1047" s="112"/>
      <c r="BQ1047" s="238">
        <f t="shared" ref="BQ1047:BQ1050" si="2377">BQ1046</f>
        <v>666</v>
      </c>
      <c r="BR1047" t="s">
        <v>445</v>
      </c>
      <c r="BS1047" t="s">
        <v>446</v>
      </c>
      <c r="BT1047" s="114" t="e">
        <f t="shared" ca="1" si="2239"/>
        <v>#N/A</v>
      </c>
      <c r="BU1047" s="112"/>
      <c r="BV1047" t="e">
        <f t="shared" ca="1" si="2321"/>
        <v>#N/A</v>
      </c>
      <c r="BW1047" s="112" t="e">
        <f t="shared" ca="1" si="2277"/>
        <v>#N/A</v>
      </c>
      <c r="BX1047" s="112" t="e">
        <f t="shared" ca="1" si="2373"/>
        <v>#N/A</v>
      </c>
      <c r="BY1047">
        <f t="shared" ca="1" si="2305"/>
        <v>0</v>
      </c>
      <c r="BZ1047">
        <f t="shared" ca="1" si="2306"/>
        <v>24</v>
      </c>
      <c r="CB1047" t="e">
        <f t="shared" ca="1" si="2281"/>
        <v>#N/A</v>
      </c>
      <c r="CC1047" s="112" t="e">
        <f t="shared" ca="1" si="2282"/>
        <v>#N/A</v>
      </c>
      <c r="CD1047" s="112" t="e">
        <f t="shared" ca="1" si="2283"/>
        <v>#N/A</v>
      </c>
      <c r="CE1047">
        <f t="shared" ca="1" si="2284"/>
        <v>0</v>
      </c>
      <c r="CF1047">
        <f t="shared" ca="1" si="2285"/>
        <v>24</v>
      </c>
      <c r="CH1047" s="112" t="str">
        <f t="shared" ca="1" si="2352"/>
        <v/>
      </c>
      <c r="CI1047" t="e">
        <f t="shared" ref="CI1047:CI1050" ca="1" si="2378">CI1046</f>
        <v>#N/A</v>
      </c>
      <c r="CJ1047" t="e">
        <f t="shared" ref="CJ1047" ca="1" si="2379">IF(AND(CI1047=0,CJ1048=0,CJ1049=0,CJ1050=0,CC1047&lt;100000),1,0)</f>
        <v>#N/A</v>
      </c>
      <c r="CK1047" s="112" t="e">
        <f t="shared" ca="1" si="2358"/>
        <v>#N/A</v>
      </c>
      <c r="CM1047" s="112"/>
      <c r="CN1047" s="260" t="e">
        <f t="shared" ca="1" si="2312"/>
        <v>#N/A</v>
      </c>
      <c r="CO1047" s="112" t="e">
        <f t="shared" ref="CO1047:CO1050" ca="1" si="2380">IF(CJ1047=1,CH1047,CD1047)</f>
        <v>#N/A</v>
      </c>
      <c r="CP1047" s="238">
        <f t="shared" ca="1" si="2360"/>
        <v>0</v>
      </c>
      <c r="CQ1047" s="328">
        <f t="shared" ca="1" si="2361"/>
        <v>24</v>
      </c>
      <c r="CS1047" s="112">
        <f t="shared" ca="1" si="2280"/>
        <v>100000</v>
      </c>
      <c r="CT1047" s="112" t="e">
        <f t="shared" ca="1" si="2319"/>
        <v>#N/A</v>
      </c>
      <c r="CU1047" s="238">
        <f t="shared" ca="1" si="2288"/>
        <v>0</v>
      </c>
      <c r="CV1047" s="238">
        <f t="shared" ca="1" si="2289"/>
        <v>24</v>
      </c>
      <c r="CY1047">
        <f t="shared" si="2297"/>
        <v>477</v>
      </c>
      <c r="DE1047" t="str">
        <f t="shared" si="2290"/>
        <v>cs:dc771</v>
      </c>
      <c r="DF1047" t="e">
        <f t="shared" ca="1" si="2291"/>
        <v>#REF!</v>
      </c>
    </row>
    <row r="1048" spans="47:110" x14ac:dyDescent="0.25">
      <c r="AU1048" s="112"/>
      <c r="AV1048" s="112"/>
      <c r="BQ1048" s="238">
        <f t="shared" si="2377"/>
        <v>666</v>
      </c>
      <c r="BR1048" t="s">
        <v>446</v>
      </c>
      <c r="BS1048" t="s">
        <v>447</v>
      </c>
      <c r="BT1048" s="114" t="e">
        <f t="shared" ca="1" si="2239"/>
        <v>#N/A</v>
      </c>
      <c r="BU1048" s="112"/>
      <c r="BV1048" t="e">
        <f t="shared" ca="1" si="2321"/>
        <v>#N/A</v>
      </c>
      <c r="BW1048" s="112" t="e">
        <f t="shared" ca="1" si="2277"/>
        <v>#N/A</v>
      </c>
      <c r="BX1048" s="112" t="e">
        <f t="shared" ca="1" si="2373"/>
        <v>#N/A</v>
      </c>
      <c r="BY1048">
        <f t="shared" ca="1" si="2305"/>
        <v>0</v>
      </c>
      <c r="BZ1048">
        <f t="shared" ca="1" si="2306"/>
        <v>24</v>
      </c>
      <c r="CB1048" t="e">
        <f t="shared" ca="1" si="2281"/>
        <v>#N/A</v>
      </c>
      <c r="CC1048" s="112" t="e">
        <f t="shared" ca="1" si="2282"/>
        <v>#N/A</v>
      </c>
      <c r="CD1048" s="112" t="e">
        <f t="shared" ca="1" si="2283"/>
        <v>#N/A</v>
      </c>
      <c r="CE1048">
        <f t="shared" ca="1" si="2284"/>
        <v>0</v>
      </c>
      <c r="CF1048">
        <f t="shared" ca="1" si="2285"/>
        <v>24</v>
      </c>
      <c r="CH1048" s="112" t="str">
        <f t="shared" ca="1" si="2352"/>
        <v/>
      </c>
      <c r="CI1048" t="e">
        <f t="shared" ca="1" si="2378"/>
        <v>#N/A</v>
      </c>
      <c r="CJ1048" t="e">
        <f t="shared" ref="CJ1048" ca="1" si="2381">IF(AND(CI1048=0,CJ1049=0,CJ1050=0,CC1048&lt;100000),1,0)</f>
        <v>#N/A</v>
      </c>
      <c r="CK1048" s="112" t="e">
        <f t="shared" ca="1" si="2358"/>
        <v>#N/A</v>
      </c>
      <c r="CM1048" s="112"/>
      <c r="CN1048" s="260" t="e">
        <f t="shared" ca="1" si="2312"/>
        <v>#N/A</v>
      </c>
      <c r="CO1048" s="112" t="e">
        <f t="shared" ca="1" si="2380"/>
        <v>#N/A</v>
      </c>
      <c r="CP1048" s="238">
        <f t="shared" ca="1" si="2360"/>
        <v>0</v>
      </c>
      <c r="CQ1048" s="328">
        <f t="shared" ca="1" si="2361"/>
        <v>24</v>
      </c>
      <c r="CS1048" s="112">
        <f t="shared" ca="1" si="2280"/>
        <v>100000</v>
      </c>
      <c r="CT1048" s="112" t="e">
        <f t="shared" ca="1" si="2319"/>
        <v>#N/A</v>
      </c>
      <c r="CU1048" s="238">
        <f t="shared" ca="1" si="2288"/>
        <v>0</v>
      </c>
      <c r="CV1048" s="238">
        <f t="shared" ca="1" si="2289"/>
        <v>24</v>
      </c>
      <c r="CY1048">
        <f t="shared" si="2297"/>
        <v>478</v>
      </c>
      <c r="DE1048" t="str">
        <f t="shared" si="2290"/>
        <v>cs:dc771</v>
      </c>
      <c r="DF1048" t="e">
        <f t="shared" ca="1" si="2291"/>
        <v>#REF!</v>
      </c>
    </row>
    <row r="1049" spans="47:110" x14ac:dyDescent="0.25">
      <c r="AU1049" s="112"/>
      <c r="AV1049" s="112"/>
      <c r="BQ1049" s="238">
        <f t="shared" si="2377"/>
        <v>666</v>
      </c>
      <c r="BR1049" t="s">
        <v>447</v>
      </c>
      <c r="BS1049" t="s">
        <v>448</v>
      </c>
      <c r="BT1049" s="114" t="e">
        <f t="shared" ca="1" si="2239"/>
        <v>#N/A</v>
      </c>
      <c r="BU1049" s="112"/>
      <c r="BV1049" t="e">
        <f t="shared" ca="1" si="2321"/>
        <v>#N/A</v>
      </c>
      <c r="BW1049" s="112" t="e">
        <f t="shared" ca="1" si="2277"/>
        <v>#N/A</v>
      </c>
      <c r="BX1049" s="112" t="e">
        <f t="shared" ref="BX1049:BX1050" ca="1" si="2382">INDIRECT(CONCATENATE(BS1049,BQ1049))</f>
        <v>#N/A</v>
      </c>
      <c r="BY1049">
        <f t="shared" ca="1" si="2305"/>
        <v>0</v>
      </c>
      <c r="BZ1049">
        <f t="shared" ca="1" si="2306"/>
        <v>24</v>
      </c>
      <c r="CB1049" t="e">
        <f t="shared" ca="1" si="2281"/>
        <v>#N/A</v>
      </c>
      <c r="CC1049" s="112" t="e">
        <f t="shared" ca="1" si="2282"/>
        <v>#N/A</v>
      </c>
      <c r="CD1049" s="112" t="e">
        <f t="shared" ca="1" si="2283"/>
        <v>#N/A</v>
      </c>
      <c r="CE1049">
        <f t="shared" ca="1" si="2284"/>
        <v>0</v>
      </c>
      <c r="CF1049">
        <f t="shared" ca="1" si="2285"/>
        <v>24</v>
      </c>
      <c r="CH1049" s="112" t="str">
        <f t="shared" ca="1" si="2352"/>
        <v/>
      </c>
      <c r="CI1049" t="e">
        <f t="shared" ca="1" si="2378"/>
        <v>#N/A</v>
      </c>
      <c r="CJ1049" t="e">
        <f t="shared" ref="CJ1049" ca="1" si="2383">IF(AND(CI1049=0,CJ1050=0,CC1049&lt;100000),1,0)</f>
        <v>#N/A</v>
      </c>
      <c r="CK1049" s="112" t="e">
        <f t="shared" ca="1" si="2358"/>
        <v>#N/A</v>
      </c>
      <c r="CM1049" s="112"/>
      <c r="CN1049" s="260" t="e">
        <f t="shared" ca="1" si="2312"/>
        <v>#N/A</v>
      </c>
      <c r="CO1049" s="112" t="e">
        <f t="shared" ca="1" si="2380"/>
        <v>#N/A</v>
      </c>
      <c r="CP1049" s="238">
        <f t="shared" ca="1" si="2360"/>
        <v>0</v>
      </c>
      <c r="CQ1049" s="328">
        <f t="shared" ca="1" si="2361"/>
        <v>24</v>
      </c>
      <c r="CS1049" s="112">
        <f t="shared" ca="1" si="2280"/>
        <v>100000</v>
      </c>
      <c r="CT1049" s="112" t="e">
        <f t="shared" ca="1" si="2319"/>
        <v>#N/A</v>
      </c>
      <c r="CU1049" s="238">
        <f t="shared" ca="1" si="2288"/>
        <v>0</v>
      </c>
      <c r="CV1049" s="238">
        <f t="shared" ca="1" si="2289"/>
        <v>24</v>
      </c>
      <c r="CY1049">
        <f t="shared" si="2297"/>
        <v>479</v>
      </c>
      <c r="DE1049" t="str">
        <f t="shared" si="2290"/>
        <v>cs:dc771</v>
      </c>
      <c r="DF1049" t="e">
        <f t="shared" ca="1" si="2291"/>
        <v>#REF!</v>
      </c>
    </row>
    <row r="1050" spans="47:110" ht="15.75" thickBot="1" x14ac:dyDescent="0.3">
      <c r="AU1050" s="112"/>
      <c r="AV1050" s="112"/>
      <c r="BQ1050" s="238">
        <f t="shared" si="2377"/>
        <v>666</v>
      </c>
      <c r="BR1050" t="s">
        <v>448</v>
      </c>
      <c r="BS1050" t="s">
        <v>449</v>
      </c>
      <c r="BT1050" s="114" t="e">
        <f t="shared" ca="1" si="2239"/>
        <v>#N/A</v>
      </c>
      <c r="BU1050" s="112"/>
      <c r="BV1050" t="e">
        <f t="shared" ca="1" si="2321"/>
        <v>#N/A</v>
      </c>
      <c r="BW1050" s="112" t="e">
        <f t="shared" ca="1" si="2277"/>
        <v>#N/A</v>
      </c>
      <c r="BX1050" s="112" t="str">
        <f t="shared" ca="1" si="2382"/>
        <v/>
      </c>
      <c r="BY1050">
        <f t="shared" ca="1" si="2305"/>
        <v>0</v>
      </c>
      <c r="BZ1050">
        <f t="shared" ca="1" si="2306"/>
        <v>24</v>
      </c>
      <c r="CB1050" t="e">
        <f t="shared" ca="1" si="2281"/>
        <v>#N/A</v>
      </c>
      <c r="CC1050" s="112" t="e">
        <f t="shared" ca="1" si="2282"/>
        <v>#N/A</v>
      </c>
      <c r="CD1050" s="112" t="str">
        <f t="shared" ca="1" si="2283"/>
        <v/>
      </c>
      <c r="CE1050">
        <f t="shared" ca="1" si="2284"/>
        <v>0</v>
      </c>
      <c r="CF1050">
        <f t="shared" ca="1" si="2285"/>
        <v>24</v>
      </c>
      <c r="CH1050" s="112" t="str">
        <f t="shared" ca="1" si="2352"/>
        <v/>
      </c>
      <c r="CI1050" t="e">
        <f t="shared" ca="1" si="2378"/>
        <v>#N/A</v>
      </c>
      <c r="CJ1050" t="e">
        <f t="shared" ref="CJ1050" ca="1" si="2384">IF(AND(CI1050=0,CC1050&lt;100000),1,0)</f>
        <v>#N/A</v>
      </c>
      <c r="CK1050" s="112" t="e">
        <f t="shared" ca="1" si="2358"/>
        <v>#N/A</v>
      </c>
      <c r="CM1050" s="112"/>
      <c r="CN1050" s="261" t="e">
        <f t="shared" ref="CN1050" ca="1" si="2385">IF(AND(CN1046=100000,CN1047=100000,CN1048=100000,CN1049=100000),INDIRECT(CONCATENATE("aa",BQ1050)),CC1050)</f>
        <v>#N/A</v>
      </c>
      <c r="CO1050" s="324" t="e">
        <f t="shared" ca="1" si="2380"/>
        <v>#N/A</v>
      </c>
      <c r="CP1050" s="256">
        <f t="shared" ca="1" si="2360"/>
        <v>0</v>
      </c>
      <c r="CQ1050" s="329">
        <f t="shared" ca="1" si="2361"/>
        <v>24</v>
      </c>
      <c r="CS1050" s="112">
        <f t="shared" ca="1" si="2280"/>
        <v>100000</v>
      </c>
      <c r="CT1050" s="112" t="e">
        <f t="shared" ca="1" si="2319"/>
        <v>#N/A</v>
      </c>
      <c r="CU1050" s="238">
        <f t="shared" ca="1" si="2288"/>
        <v>0</v>
      </c>
      <c r="CV1050" s="238">
        <f t="shared" ca="1" si="2289"/>
        <v>24</v>
      </c>
      <c r="CY1050">
        <f t="shared" si="2297"/>
        <v>480</v>
      </c>
      <c r="DE1050" t="str">
        <f t="shared" si="2290"/>
        <v>cs:dc771</v>
      </c>
      <c r="DF1050" t="e">
        <f t="shared" ca="1" si="2291"/>
        <v>#REF!</v>
      </c>
    </row>
    <row r="1051" spans="47:110" x14ac:dyDescent="0.25">
      <c r="AU1051" s="112"/>
      <c r="AV1051" s="112"/>
      <c r="BQ1051" s="238">
        <f t="shared" ref="BQ1051" si="2386">BQ1050+1</f>
        <v>667</v>
      </c>
      <c r="BR1051" s="112" t="s">
        <v>444</v>
      </c>
      <c r="BS1051" s="112" t="s">
        <v>445</v>
      </c>
      <c r="BT1051" s="114" t="e">
        <f t="shared" ca="1" si="2239"/>
        <v>#N/A</v>
      </c>
      <c r="BU1051" s="112"/>
      <c r="BV1051">
        <f t="shared" ca="1" si="2321"/>
        <v>0</v>
      </c>
      <c r="BW1051" s="112" t="str">
        <f t="shared" ca="1" si="2277"/>
        <v/>
      </c>
      <c r="BX1051" s="112" t="e">
        <f t="shared" ref="BX1051:BX1053" ca="1" si="2387">INDIRECT(CONCATENATE(BS1051,BQ1051))-1</f>
        <v>#N/A</v>
      </c>
      <c r="BY1051">
        <f t="shared" ca="1" si="2305"/>
        <v>0</v>
      </c>
      <c r="BZ1051">
        <f t="shared" ca="1" si="2306"/>
        <v>24</v>
      </c>
      <c r="CB1051" t="e">
        <f t="shared" ca="1" si="2281"/>
        <v>#N/A</v>
      </c>
      <c r="CC1051" s="112" t="e">
        <f t="shared" ca="1" si="2282"/>
        <v>#N/A</v>
      </c>
      <c r="CD1051" s="112" t="e">
        <f t="shared" ca="1" si="2283"/>
        <v>#N/A</v>
      </c>
      <c r="CE1051">
        <f t="shared" ca="1" si="2284"/>
        <v>0</v>
      </c>
      <c r="CF1051">
        <f t="shared" ca="1" si="2285"/>
        <v>24</v>
      </c>
      <c r="CH1051" s="112" t="str">
        <f t="shared" ca="1" si="2352"/>
        <v/>
      </c>
      <c r="CI1051" t="e">
        <f t="shared" ref="CI1051" ca="1" si="2388">CB1051+CB1052+CB1053+CB1054+CB1055</f>
        <v>#N/A</v>
      </c>
      <c r="CJ1051">
        <v>0</v>
      </c>
      <c r="CK1051" s="112" t="str">
        <f t="shared" ca="1" si="2358"/>
        <v/>
      </c>
      <c r="CM1051" s="112"/>
      <c r="CN1051" s="408" t="e">
        <f t="shared" ca="1" si="2312"/>
        <v>#N/A</v>
      </c>
      <c r="CO1051" s="326" t="e">
        <f t="shared" ref="CO1051" ca="1" si="2389">CD1051</f>
        <v>#N/A</v>
      </c>
      <c r="CP1051" s="333">
        <f t="shared" ca="1" si="2360"/>
        <v>0</v>
      </c>
      <c r="CQ1051" s="327">
        <f t="shared" ca="1" si="2361"/>
        <v>24</v>
      </c>
      <c r="CS1051" s="112">
        <f t="shared" ca="1" si="2280"/>
        <v>100000</v>
      </c>
      <c r="CT1051" s="112" t="e">
        <f t="shared" ref="CT1051" ca="1" si="2390">IF(AND( CN1052=100000,CN1053=100000,CN1054=100000,CN1055=100000),CO1055,                             CO1051)</f>
        <v>#N/A</v>
      </c>
      <c r="CU1051" s="238">
        <f t="shared" ca="1" si="2288"/>
        <v>0</v>
      </c>
      <c r="CV1051" s="238">
        <f t="shared" ca="1" si="2289"/>
        <v>24</v>
      </c>
      <c r="CY1051">
        <f t="shared" si="2297"/>
        <v>481</v>
      </c>
      <c r="DE1051" t="str">
        <f t="shared" si="2290"/>
        <v>cs:dc771</v>
      </c>
      <c r="DF1051" t="e">
        <f t="shared" ca="1" si="2291"/>
        <v>#REF!</v>
      </c>
    </row>
    <row r="1052" spans="47:110" x14ac:dyDescent="0.25">
      <c r="AU1052" s="112"/>
      <c r="AV1052" s="112"/>
      <c r="BQ1052" s="238">
        <f t="shared" ref="BQ1052:BQ1055" si="2391">BQ1051</f>
        <v>667</v>
      </c>
      <c r="BR1052" t="s">
        <v>445</v>
      </c>
      <c r="BS1052" t="s">
        <v>446</v>
      </c>
      <c r="BT1052" s="114" t="e">
        <f t="shared" ca="1" si="2239"/>
        <v>#N/A</v>
      </c>
      <c r="BU1052" s="112"/>
      <c r="BV1052" t="e">
        <f t="shared" ca="1" si="2321"/>
        <v>#N/A</v>
      </c>
      <c r="BW1052" s="112" t="e">
        <f t="shared" ca="1" si="2277"/>
        <v>#N/A</v>
      </c>
      <c r="BX1052" s="112" t="e">
        <f t="shared" ca="1" si="2387"/>
        <v>#N/A</v>
      </c>
      <c r="BY1052">
        <f t="shared" ca="1" si="2305"/>
        <v>0</v>
      </c>
      <c r="BZ1052">
        <f t="shared" ca="1" si="2306"/>
        <v>24</v>
      </c>
      <c r="CB1052" t="e">
        <f t="shared" ca="1" si="2281"/>
        <v>#N/A</v>
      </c>
      <c r="CC1052" s="112" t="e">
        <f t="shared" ca="1" si="2282"/>
        <v>#N/A</v>
      </c>
      <c r="CD1052" s="112" t="e">
        <f t="shared" ca="1" si="2283"/>
        <v>#N/A</v>
      </c>
      <c r="CE1052">
        <f t="shared" ca="1" si="2284"/>
        <v>0</v>
      </c>
      <c r="CF1052">
        <f t="shared" ca="1" si="2285"/>
        <v>24</v>
      </c>
      <c r="CH1052" s="112" t="str">
        <f t="shared" ca="1" si="2352"/>
        <v/>
      </c>
      <c r="CI1052" t="e">
        <f t="shared" ref="CI1052:CI1055" ca="1" si="2392">CI1051</f>
        <v>#N/A</v>
      </c>
      <c r="CJ1052" t="e">
        <f t="shared" ref="CJ1052" ca="1" si="2393">IF(AND(CI1052=0,CJ1053=0,CJ1054=0,CJ1055=0,CC1052&lt;100000),1,0)</f>
        <v>#N/A</v>
      </c>
      <c r="CK1052" s="112" t="e">
        <f t="shared" ca="1" si="2358"/>
        <v>#N/A</v>
      </c>
      <c r="CM1052" s="112"/>
      <c r="CN1052" s="260" t="e">
        <f t="shared" ca="1" si="2312"/>
        <v>#N/A</v>
      </c>
      <c r="CO1052" s="112" t="e">
        <f t="shared" ref="CO1052:CO1055" ca="1" si="2394">IF(CJ1052=1,CH1052,CD1052)</f>
        <v>#N/A</v>
      </c>
      <c r="CP1052" s="238">
        <f t="shared" ca="1" si="2360"/>
        <v>0</v>
      </c>
      <c r="CQ1052" s="328">
        <f t="shared" ca="1" si="2361"/>
        <v>24</v>
      </c>
      <c r="CS1052" s="112">
        <f t="shared" ca="1" si="2280"/>
        <v>100000</v>
      </c>
      <c r="CT1052" s="112" t="e">
        <f t="shared" ca="1" si="2319"/>
        <v>#N/A</v>
      </c>
      <c r="CU1052" s="238">
        <f t="shared" ca="1" si="2288"/>
        <v>0</v>
      </c>
      <c r="CV1052" s="238">
        <f t="shared" ca="1" si="2289"/>
        <v>24</v>
      </c>
      <c r="CY1052">
        <f t="shared" si="2297"/>
        <v>482</v>
      </c>
      <c r="DE1052" t="str">
        <f t="shared" si="2290"/>
        <v>cs:dc771</v>
      </c>
      <c r="DF1052" t="e">
        <f t="shared" ca="1" si="2291"/>
        <v>#REF!</v>
      </c>
    </row>
    <row r="1053" spans="47:110" x14ac:dyDescent="0.25">
      <c r="AU1053" s="112"/>
      <c r="AV1053" s="112"/>
      <c r="BQ1053" s="238">
        <f t="shared" si="2391"/>
        <v>667</v>
      </c>
      <c r="BR1053" t="s">
        <v>446</v>
      </c>
      <c r="BS1053" t="s">
        <v>447</v>
      </c>
      <c r="BT1053" s="114" t="e">
        <f t="shared" ca="1" si="2239"/>
        <v>#N/A</v>
      </c>
      <c r="BU1053" s="112"/>
      <c r="BV1053" t="e">
        <f t="shared" ca="1" si="2321"/>
        <v>#N/A</v>
      </c>
      <c r="BW1053" s="112" t="e">
        <f t="shared" ca="1" si="2277"/>
        <v>#N/A</v>
      </c>
      <c r="BX1053" s="112" t="e">
        <f t="shared" ca="1" si="2387"/>
        <v>#N/A</v>
      </c>
      <c r="BY1053">
        <f t="shared" ca="1" si="2305"/>
        <v>0</v>
      </c>
      <c r="BZ1053">
        <f t="shared" ca="1" si="2306"/>
        <v>24</v>
      </c>
      <c r="CB1053" t="e">
        <f t="shared" ca="1" si="2281"/>
        <v>#N/A</v>
      </c>
      <c r="CC1053" s="112" t="e">
        <f t="shared" ca="1" si="2282"/>
        <v>#N/A</v>
      </c>
      <c r="CD1053" s="112" t="e">
        <f t="shared" ca="1" si="2283"/>
        <v>#N/A</v>
      </c>
      <c r="CE1053">
        <f t="shared" ca="1" si="2284"/>
        <v>0</v>
      </c>
      <c r="CF1053">
        <f t="shared" ca="1" si="2285"/>
        <v>24</v>
      </c>
      <c r="CH1053" s="112" t="str">
        <f t="shared" ca="1" si="2352"/>
        <v/>
      </c>
      <c r="CI1053" t="e">
        <f t="shared" ca="1" si="2392"/>
        <v>#N/A</v>
      </c>
      <c r="CJ1053" t="e">
        <f t="shared" ref="CJ1053" ca="1" si="2395">IF(AND(CI1053=0,CJ1054=0,CJ1055=0,CC1053&lt;100000),1,0)</f>
        <v>#N/A</v>
      </c>
      <c r="CK1053" s="112" t="e">
        <f t="shared" ca="1" si="2358"/>
        <v>#N/A</v>
      </c>
      <c r="CM1053" s="112"/>
      <c r="CN1053" s="260" t="e">
        <f t="shared" ca="1" si="2312"/>
        <v>#N/A</v>
      </c>
      <c r="CO1053" s="112" t="e">
        <f t="shared" ca="1" si="2394"/>
        <v>#N/A</v>
      </c>
      <c r="CP1053" s="238">
        <f t="shared" ca="1" si="2360"/>
        <v>0</v>
      </c>
      <c r="CQ1053" s="328">
        <f t="shared" ca="1" si="2361"/>
        <v>24</v>
      </c>
      <c r="CS1053" s="112">
        <f t="shared" ca="1" si="2280"/>
        <v>100000</v>
      </c>
      <c r="CT1053" s="112" t="e">
        <f t="shared" ca="1" si="2319"/>
        <v>#N/A</v>
      </c>
      <c r="CU1053" s="238">
        <f t="shared" ca="1" si="2288"/>
        <v>0</v>
      </c>
      <c r="CV1053" s="238">
        <f t="shared" ca="1" si="2289"/>
        <v>24</v>
      </c>
      <c r="CY1053">
        <f t="shared" si="2297"/>
        <v>483</v>
      </c>
      <c r="DE1053" t="str">
        <f t="shared" si="2290"/>
        <v>cs:dc771</v>
      </c>
      <c r="DF1053" t="e">
        <f t="shared" ca="1" si="2291"/>
        <v>#REF!</v>
      </c>
    </row>
    <row r="1054" spans="47:110" x14ac:dyDescent="0.25">
      <c r="AU1054" s="112"/>
      <c r="AV1054" s="112"/>
      <c r="BQ1054" s="238">
        <f t="shared" si="2391"/>
        <v>667</v>
      </c>
      <c r="BR1054" t="s">
        <v>447</v>
      </c>
      <c r="BS1054" t="s">
        <v>448</v>
      </c>
      <c r="BT1054" s="114" t="e">
        <f t="shared" ca="1" si="2239"/>
        <v>#N/A</v>
      </c>
      <c r="BU1054" s="112"/>
      <c r="BV1054" t="e">
        <f t="shared" ca="1" si="2321"/>
        <v>#N/A</v>
      </c>
      <c r="BW1054" s="112" t="e">
        <f t="shared" ca="1" si="2277"/>
        <v>#N/A</v>
      </c>
      <c r="BX1054" s="112" t="e">
        <f t="shared" ref="BX1054:BX1055" ca="1" si="2396">INDIRECT(CONCATENATE(BS1054,BQ1054))</f>
        <v>#N/A</v>
      </c>
      <c r="BY1054">
        <f t="shared" ca="1" si="2305"/>
        <v>0</v>
      </c>
      <c r="BZ1054">
        <f t="shared" ca="1" si="2306"/>
        <v>24</v>
      </c>
      <c r="CB1054" t="e">
        <f t="shared" ca="1" si="2281"/>
        <v>#N/A</v>
      </c>
      <c r="CC1054" s="112" t="e">
        <f t="shared" ca="1" si="2282"/>
        <v>#N/A</v>
      </c>
      <c r="CD1054" s="112" t="e">
        <f t="shared" ca="1" si="2283"/>
        <v>#N/A</v>
      </c>
      <c r="CE1054">
        <f t="shared" ca="1" si="2284"/>
        <v>0</v>
      </c>
      <c r="CF1054">
        <f t="shared" ca="1" si="2285"/>
        <v>24</v>
      </c>
      <c r="CH1054" s="112" t="str">
        <f t="shared" ca="1" si="2352"/>
        <v/>
      </c>
      <c r="CI1054" t="e">
        <f t="shared" ca="1" si="2392"/>
        <v>#N/A</v>
      </c>
      <c r="CJ1054" t="e">
        <f t="shared" ref="CJ1054" ca="1" si="2397">IF(AND(CI1054=0,CJ1055=0,CC1054&lt;100000),1,0)</f>
        <v>#N/A</v>
      </c>
      <c r="CK1054" s="112" t="e">
        <f t="shared" ca="1" si="2358"/>
        <v>#N/A</v>
      </c>
      <c r="CM1054" s="112"/>
      <c r="CN1054" s="260" t="e">
        <f t="shared" ca="1" si="2312"/>
        <v>#N/A</v>
      </c>
      <c r="CO1054" s="112" t="e">
        <f t="shared" ca="1" si="2394"/>
        <v>#N/A</v>
      </c>
      <c r="CP1054" s="238">
        <f t="shared" ca="1" si="2360"/>
        <v>0</v>
      </c>
      <c r="CQ1054" s="328">
        <f t="shared" ca="1" si="2361"/>
        <v>24</v>
      </c>
      <c r="CS1054" s="112">
        <f t="shared" ca="1" si="2280"/>
        <v>100000</v>
      </c>
      <c r="CT1054" s="112" t="e">
        <f t="shared" ca="1" si="2319"/>
        <v>#N/A</v>
      </c>
      <c r="CU1054" s="238">
        <f t="shared" ca="1" si="2288"/>
        <v>0</v>
      </c>
      <c r="CV1054" s="238">
        <f t="shared" ca="1" si="2289"/>
        <v>24</v>
      </c>
      <c r="CY1054">
        <f t="shared" si="2297"/>
        <v>484</v>
      </c>
      <c r="DE1054" t="str">
        <f t="shared" si="2290"/>
        <v>cs:dc771</v>
      </c>
      <c r="DF1054" t="e">
        <f t="shared" ca="1" si="2291"/>
        <v>#REF!</v>
      </c>
    </row>
    <row r="1055" spans="47:110" ht="15.75" thickBot="1" x14ac:dyDescent="0.3">
      <c r="AU1055" s="112"/>
      <c r="AV1055" s="112"/>
      <c r="BQ1055" s="238">
        <f t="shared" si="2391"/>
        <v>667</v>
      </c>
      <c r="BR1055" t="s">
        <v>448</v>
      </c>
      <c r="BS1055" t="s">
        <v>449</v>
      </c>
      <c r="BT1055" s="114" t="e">
        <f t="shared" ca="1" si="2239"/>
        <v>#N/A</v>
      </c>
      <c r="BU1055" s="112"/>
      <c r="BV1055" t="e">
        <f t="shared" ca="1" si="2321"/>
        <v>#N/A</v>
      </c>
      <c r="BW1055" s="112" t="e">
        <f t="shared" ca="1" si="2277"/>
        <v>#N/A</v>
      </c>
      <c r="BX1055" s="112" t="str">
        <f t="shared" ca="1" si="2396"/>
        <v/>
      </c>
      <c r="BY1055">
        <f t="shared" ca="1" si="2305"/>
        <v>0</v>
      </c>
      <c r="BZ1055">
        <f t="shared" ca="1" si="2306"/>
        <v>24</v>
      </c>
      <c r="CB1055" t="e">
        <f t="shared" ca="1" si="2281"/>
        <v>#N/A</v>
      </c>
      <c r="CC1055" s="112" t="e">
        <f t="shared" ca="1" si="2282"/>
        <v>#N/A</v>
      </c>
      <c r="CD1055" s="112" t="str">
        <f t="shared" ca="1" si="2283"/>
        <v/>
      </c>
      <c r="CE1055">
        <f t="shared" ca="1" si="2284"/>
        <v>0</v>
      </c>
      <c r="CF1055">
        <f t="shared" ca="1" si="2285"/>
        <v>24</v>
      </c>
      <c r="CH1055" s="112" t="str">
        <f t="shared" ca="1" si="2352"/>
        <v/>
      </c>
      <c r="CI1055" t="e">
        <f t="shared" ca="1" si="2392"/>
        <v>#N/A</v>
      </c>
      <c r="CJ1055" t="e">
        <f t="shared" ref="CJ1055" ca="1" si="2398">IF(AND(CI1055=0,CC1055&lt;100000),1,0)</f>
        <v>#N/A</v>
      </c>
      <c r="CK1055" s="112" t="e">
        <f t="shared" ca="1" si="2358"/>
        <v>#N/A</v>
      </c>
      <c r="CM1055" s="112"/>
      <c r="CN1055" s="261" t="e">
        <f t="shared" ref="CN1055" ca="1" si="2399">IF(AND(CN1051=100000,CN1052=100000,CN1053=100000,CN1054=100000),INDIRECT(CONCATENATE("aa",BQ1055)),CC1055)</f>
        <v>#N/A</v>
      </c>
      <c r="CO1055" s="324" t="e">
        <f t="shared" ca="1" si="2394"/>
        <v>#N/A</v>
      </c>
      <c r="CP1055" s="256">
        <f t="shared" ca="1" si="2360"/>
        <v>0</v>
      </c>
      <c r="CQ1055" s="329">
        <f t="shared" ca="1" si="2361"/>
        <v>24</v>
      </c>
      <c r="CS1055" s="112">
        <f t="shared" ca="1" si="2280"/>
        <v>100000</v>
      </c>
      <c r="CT1055" s="112" t="e">
        <f t="shared" ca="1" si="2319"/>
        <v>#N/A</v>
      </c>
      <c r="CU1055" s="238">
        <f t="shared" ca="1" si="2288"/>
        <v>0</v>
      </c>
      <c r="CV1055" s="238">
        <f t="shared" ca="1" si="2289"/>
        <v>24</v>
      </c>
      <c r="CY1055">
        <f t="shared" si="2297"/>
        <v>485</v>
      </c>
      <c r="DE1055" t="str">
        <f t="shared" si="2290"/>
        <v>cs:dc771</v>
      </c>
      <c r="DF1055" t="e">
        <f t="shared" ca="1" si="2291"/>
        <v>#REF!</v>
      </c>
    </row>
    <row r="1056" spans="47:110" x14ac:dyDescent="0.25">
      <c r="AU1056" s="112"/>
      <c r="AV1056" s="112"/>
      <c r="BQ1056" s="238">
        <f t="shared" ref="BQ1056" si="2400">BQ1055+1</f>
        <v>668</v>
      </c>
      <c r="BR1056" s="112" t="s">
        <v>444</v>
      </c>
      <c r="BS1056" s="112" t="s">
        <v>445</v>
      </c>
      <c r="BT1056" s="114" t="e">
        <f t="shared" ca="1" si="2239"/>
        <v>#N/A</v>
      </c>
      <c r="BU1056" s="112"/>
      <c r="BV1056">
        <f t="shared" ca="1" si="2321"/>
        <v>0</v>
      </c>
      <c r="BW1056" s="112" t="str">
        <f t="shared" ca="1" si="2277"/>
        <v/>
      </c>
      <c r="BX1056" s="112" t="e">
        <f t="shared" ref="BX1056:BX1058" ca="1" si="2401">INDIRECT(CONCATENATE(BS1056,BQ1056))-1</f>
        <v>#N/A</v>
      </c>
      <c r="BY1056">
        <f t="shared" ca="1" si="2305"/>
        <v>0</v>
      </c>
      <c r="BZ1056">
        <f t="shared" ca="1" si="2306"/>
        <v>24</v>
      </c>
      <c r="CB1056" t="e">
        <f t="shared" ca="1" si="2281"/>
        <v>#N/A</v>
      </c>
      <c r="CC1056" s="112" t="e">
        <f t="shared" ca="1" si="2282"/>
        <v>#N/A</v>
      </c>
      <c r="CD1056" s="112" t="e">
        <f t="shared" ca="1" si="2283"/>
        <v>#N/A</v>
      </c>
      <c r="CE1056">
        <f t="shared" ca="1" si="2284"/>
        <v>0</v>
      </c>
      <c r="CF1056">
        <f t="shared" ca="1" si="2285"/>
        <v>24</v>
      </c>
      <c r="CH1056" s="112" t="str">
        <f t="shared" ca="1" si="2352"/>
        <v/>
      </c>
      <c r="CI1056" t="e">
        <f t="shared" ref="CI1056" ca="1" si="2402">CB1056+CB1057+CB1058+CB1059+CB1060</f>
        <v>#N/A</v>
      </c>
      <c r="CJ1056">
        <v>0</v>
      </c>
      <c r="CK1056" s="112" t="str">
        <f t="shared" ca="1" si="2358"/>
        <v/>
      </c>
      <c r="CM1056" s="112"/>
      <c r="CN1056" s="408" t="e">
        <f t="shared" ca="1" si="2312"/>
        <v>#N/A</v>
      </c>
      <c r="CO1056" s="326" t="e">
        <f t="shared" ref="CO1056" ca="1" si="2403">CD1056</f>
        <v>#N/A</v>
      </c>
      <c r="CP1056" s="333">
        <f t="shared" ca="1" si="2360"/>
        <v>0</v>
      </c>
      <c r="CQ1056" s="327">
        <f t="shared" ca="1" si="2361"/>
        <v>24</v>
      </c>
      <c r="CS1056" s="112">
        <f t="shared" ca="1" si="2280"/>
        <v>100000</v>
      </c>
      <c r="CT1056" s="112" t="e">
        <f t="shared" ref="CT1056" ca="1" si="2404">IF(AND( CN1057=100000,CN1058=100000,CN1059=100000,CN1060=100000),CO1060,                             CO1056)</f>
        <v>#N/A</v>
      </c>
      <c r="CU1056" s="238">
        <f t="shared" ca="1" si="2288"/>
        <v>0</v>
      </c>
      <c r="CV1056" s="238">
        <f t="shared" ca="1" si="2289"/>
        <v>24</v>
      </c>
      <c r="CY1056">
        <f t="shared" si="2297"/>
        <v>486</v>
      </c>
      <c r="DE1056" t="str">
        <f t="shared" si="2290"/>
        <v>cs:dc771</v>
      </c>
      <c r="DF1056" t="e">
        <f t="shared" ca="1" si="2291"/>
        <v>#REF!</v>
      </c>
    </row>
    <row r="1057" spans="47:110" x14ac:dyDescent="0.25">
      <c r="AU1057" s="112"/>
      <c r="AV1057" s="112"/>
      <c r="BQ1057" s="238">
        <f t="shared" ref="BQ1057:BQ1060" si="2405">BQ1056</f>
        <v>668</v>
      </c>
      <c r="BR1057" t="s">
        <v>445</v>
      </c>
      <c r="BS1057" t="s">
        <v>446</v>
      </c>
      <c r="BT1057" s="114" t="e">
        <f t="shared" ca="1" si="2239"/>
        <v>#N/A</v>
      </c>
      <c r="BU1057" s="112"/>
      <c r="BV1057" t="e">
        <f t="shared" ca="1" si="2321"/>
        <v>#N/A</v>
      </c>
      <c r="BW1057" s="112" t="e">
        <f t="shared" ca="1" si="2277"/>
        <v>#N/A</v>
      </c>
      <c r="BX1057" s="112" t="e">
        <f t="shared" ca="1" si="2401"/>
        <v>#N/A</v>
      </c>
      <c r="BY1057">
        <f t="shared" ca="1" si="2305"/>
        <v>0</v>
      </c>
      <c r="BZ1057">
        <f t="shared" ca="1" si="2306"/>
        <v>24</v>
      </c>
      <c r="CB1057" t="e">
        <f t="shared" ca="1" si="2281"/>
        <v>#N/A</v>
      </c>
      <c r="CC1057" s="112" t="e">
        <f t="shared" ca="1" si="2282"/>
        <v>#N/A</v>
      </c>
      <c r="CD1057" s="112" t="e">
        <f t="shared" ca="1" si="2283"/>
        <v>#N/A</v>
      </c>
      <c r="CE1057">
        <f t="shared" ca="1" si="2284"/>
        <v>0</v>
      </c>
      <c r="CF1057">
        <f t="shared" ca="1" si="2285"/>
        <v>24</v>
      </c>
      <c r="CH1057" s="112" t="str">
        <f t="shared" ca="1" si="2352"/>
        <v/>
      </c>
      <c r="CI1057" t="e">
        <f t="shared" ref="CI1057:CI1060" ca="1" si="2406">CI1056</f>
        <v>#N/A</v>
      </c>
      <c r="CJ1057" t="e">
        <f t="shared" ref="CJ1057" ca="1" si="2407">IF(AND(CI1057=0,CJ1058=0,CJ1059=0,CJ1060=0,CC1057&lt;100000),1,0)</f>
        <v>#N/A</v>
      </c>
      <c r="CK1057" s="112" t="e">
        <f t="shared" ca="1" si="2358"/>
        <v>#N/A</v>
      </c>
      <c r="CM1057" s="112"/>
      <c r="CN1057" s="260" t="e">
        <f t="shared" ca="1" si="2312"/>
        <v>#N/A</v>
      </c>
      <c r="CO1057" s="112" t="e">
        <f t="shared" ref="CO1057:CO1060" ca="1" si="2408">IF(CJ1057=1,CH1057,CD1057)</f>
        <v>#N/A</v>
      </c>
      <c r="CP1057" s="238">
        <f t="shared" ca="1" si="2360"/>
        <v>0</v>
      </c>
      <c r="CQ1057" s="328">
        <f t="shared" ca="1" si="2361"/>
        <v>24</v>
      </c>
      <c r="CS1057" s="112">
        <f t="shared" ca="1" si="2280"/>
        <v>100000</v>
      </c>
      <c r="CT1057" s="112" t="e">
        <f t="shared" ca="1" si="2319"/>
        <v>#N/A</v>
      </c>
      <c r="CU1057" s="238">
        <f t="shared" ca="1" si="2288"/>
        <v>0</v>
      </c>
      <c r="CV1057" s="238">
        <f t="shared" ca="1" si="2289"/>
        <v>24</v>
      </c>
      <c r="CY1057">
        <f t="shared" si="2297"/>
        <v>487</v>
      </c>
      <c r="DE1057" t="str">
        <f t="shared" si="2290"/>
        <v>cs:dc771</v>
      </c>
      <c r="DF1057" t="e">
        <f t="shared" ca="1" si="2291"/>
        <v>#REF!</v>
      </c>
    </row>
    <row r="1058" spans="47:110" x14ac:dyDescent="0.25">
      <c r="AU1058" s="112"/>
      <c r="AV1058" s="112"/>
      <c r="BQ1058" s="238">
        <f t="shared" si="2405"/>
        <v>668</v>
      </c>
      <c r="BR1058" t="s">
        <v>446</v>
      </c>
      <c r="BS1058" t="s">
        <v>447</v>
      </c>
      <c r="BT1058" s="114" t="e">
        <f t="shared" ca="1" si="2239"/>
        <v>#N/A</v>
      </c>
      <c r="BU1058" s="112"/>
      <c r="BV1058" t="e">
        <f t="shared" ca="1" si="2321"/>
        <v>#N/A</v>
      </c>
      <c r="BW1058" s="112" t="e">
        <f t="shared" ca="1" si="2277"/>
        <v>#N/A</v>
      </c>
      <c r="BX1058" s="112" t="e">
        <f t="shared" ca="1" si="2401"/>
        <v>#N/A</v>
      </c>
      <c r="BY1058">
        <f t="shared" ca="1" si="2305"/>
        <v>0</v>
      </c>
      <c r="BZ1058">
        <f t="shared" ca="1" si="2306"/>
        <v>24</v>
      </c>
      <c r="CB1058" t="e">
        <f t="shared" ca="1" si="2281"/>
        <v>#N/A</v>
      </c>
      <c r="CC1058" s="112" t="e">
        <f t="shared" ca="1" si="2282"/>
        <v>#N/A</v>
      </c>
      <c r="CD1058" s="112" t="e">
        <f t="shared" ca="1" si="2283"/>
        <v>#N/A</v>
      </c>
      <c r="CE1058">
        <f t="shared" ca="1" si="2284"/>
        <v>0</v>
      </c>
      <c r="CF1058">
        <f t="shared" ca="1" si="2285"/>
        <v>24</v>
      </c>
      <c r="CH1058" s="112" t="str">
        <f t="shared" ca="1" si="2352"/>
        <v/>
      </c>
      <c r="CI1058" t="e">
        <f t="shared" ca="1" si="2406"/>
        <v>#N/A</v>
      </c>
      <c r="CJ1058" t="e">
        <f t="shared" ref="CJ1058" ca="1" si="2409">IF(AND(CI1058=0,CJ1059=0,CJ1060=0,CC1058&lt;100000),1,0)</f>
        <v>#N/A</v>
      </c>
      <c r="CK1058" s="112" t="e">
        <f t="shared" ca="1" si="2358"/>
        <v>#N/A</v>
      </c>
      <c r="CM1058" s="112"/>
      <c r="CN1058" s="260" t="e">
        <f t="shared" ca="1" si="2312"/>
        <v>#N/A</v>
      </c>
      <c r="CO1058" s="112" t="e">
        <f t="shared" ca="1" si="2408"/>
        <v>#N/A</v>
      </c>
      <c r="CP1058" s="238">
        <f t="shared" ca="1" si="2360"/>
        <v>0</v>
      </c>
      <c r="CQ1058" s="328">
        <f t="shared" ca="1" si="2361"/>
        <v>24</v>
      </c>
      <c r="CS1058" s="112">
        <f t="shared" ca="1" si="2280"/>
        <v>100000</v>
      </c>
      <c r="CT1058" s="112" t="e">
        <f t="shared" ca="1" si="2319"/>
        <v>#N/A</v>
      </c>
      <c r="CU1058" s="238">
        <f t="shared" ca="1" si="2288"/>
        <v>0</v>
      </c>
      <c r="CV1058" s="238">
        <f t="shared" ca="1" si="2289"/>
        <v>24</v>
      </c>
      <c r="CY1058">
        <f t="shared" si="2297"/>
        <v>488</v>
      </c>
      <c r="DE1058" t="str">
        <f t="shared" si="2290"/>
        <v>cs:dc771</v>
      </c>
      <c r="DF1058" t="e">
        <f t="shared" ca="1" si="2291"/>
        <v>#REF!</v>
      </c>
    </row>
    <row r="1059" spans="47:110" x14ac:dyDescent="0.25">
      <c r="AU1059" s="112"/>
      <c r="AV1059" s="112"/>
      <c r="BQ1059" s="238">
        <f t="shared" si="2405"/>
        <v>668</v>
      </c>
      <c r="BR1059" t="s">
        <v>447</v>
      </c>
      <c r="BS1059" t="s">
        <v>448</v>
      </c>
      <c r="BT1059" s="114" t="e">
        <f t="shared" ca="1" si="2239"/>
        <v>#N/A</v>
      </c>
      <c r="BU1059" s="112"/>
      <c r="BV1059" t="e">
        <f t="shared" ca="1" si="2321"/>
        <v>#N/A</v>
      </c>
      <c r="BW1059" s="112" t="e">
        <f t="shared" ca="1" si="2277"/>
        <v>#N/A</v>
      </c>
      <c r="BX1059" s="112" t="e">
        <f t="shared" ref="BX1059:BX1060" ca="1" si="2410">INDIRECT(CONCATENATE(BS1059,BQ1059))</f>
        <v>#N/A</v>
      </c>
      <c r="BY1059">
        <f t="shared" ca="1" si="2305"/>
        <v>0</v>
      </c>
      <c r="BZ1059">
        <f t="shared" ca="1" si="2306"/>
        <v>24</v>
      </c>
      <c r="CB1059" t="e">
        <f t="shared" ca="1" si="2281"/>
        <v>#N/A</v>
      </c>
      <c r="CC1059" s="112" t="e">
        <f t="shared" ca="1" si="2282"/>
        <v>#N/A</v>
      </c>
      <c r="CD1059" s="112" t="e">
        <f t="shared" ca="1" si="2283"/>
        <v>#N/A</v>
      </c>
      <c r="CE1059">
        <f t="shared" ca="1" si="2284"/>
        <v>0</v>
      </c>
      <c r="CF1059">
        <f t="shared" ca="1" si="2285"/>
        <v>24</v>
      </c>
      <c r="CH1059" s="112" t="str">
        <f t="shared" ca="1" si="2352"/>
        <v/>
      </c>
      <c r="CI1059" t="e">
        <f t="shared" ca="1" si="2406"/>
        <v>#N/A</v>
      </c>
      <c r="CJ1059" t="e">
        <f t="shared" ref="CJ1059" ca="1" si="2411">IF(AND(CI1059=0,CJ1060=0,CC1059&lt;100000),1,0)</f>
        <v>#N/A</v>
      </c>
      <c r="CK1059" s="112" t="e">
        <f t="shared" ca="1" si="2358"/>
        <v>#N/A</v>
      </c>
      <c r="CM1059" s="112"/>
      <c r="CN1059" s="260" t="e">
        <f t="shared" ca="1" si="2312"/>
        <v>#N/A</v>
      </c>
      <c r="CO1059" s="112" t="e">
        <f t="shared" ca="1" si="2408"/>
        <v>#N/A</v>
      </c>
      <c r="CP1059" s="238">
        <f t="shared" ca="1" si="2360"/>
        <v>0</v>
      </c>
      <c r="CQ1059" s="328">
        <f t="shared" ca="1" si="2361"/>
        <v>24</v>
      </c>
      <c r="CS1059" s="112">
        <f t="shared" ca="1" si="2280"/>
        <v>100000</v>
      </c>
      <c r="CT1059" s="112" t="e">
        <f t="shared" ca="1" si="2319"/>
        <v>#N/A</v>
      </c>
      <c r="CU1059" s="238">
        <f t="shared" ca="1" si="2288"/>
        <v>0</v>
      </c>
      <c r="CV1059" s="238">
        <f t="shared" ca="1" si="2289"/>
        <v>24</v>
      </c>
      <c r="CY1059">
        <f t="shared" si="2297"/>
        <v>489</v>
      </c>
      <c r="DE1059" t="str">
        <f t="shared" si="2290"/>
        <v>cs:dc771</v>
      </c>
      <c r="DF1059" t="e">
        <f t="shared" ca="1" si="2291"/>
        <v>#REF!</v>
      </c>
    </row>
    <row r="1060" spans="47:110" ht="15.75" thickBot="1" x14ac:dyDescent="0.3">
      <c r="AU1060" s="112"/>
      <c r="AV1060" s="112"/>
      <c r="BQ1060" s="238">
        <f t="shared" si="2405"/>
        <v>668</v>
      </c>
      <c r="BR1060" t="s">
        <v>448</v>
      </c>
      <c r="BS1060" t="s">
        <v>449</v>
      </c>
      <c r="BT1060" s="114" t="e">
        <f t="shared" ca="1" si="2239"/>
        <v>#N/A</v>
      </c>
      <c r="BU1060" s="112"/>
      <c r="BV1060" t="e">
        <f t="shared" ca="1" si="2321"/>
        <v>#N/A</v>
      </c>
      <c r="BW1060" s="112" t="e">
        <f t="shared" ca="1" si="2277"/>
        <v>#N/A</v>
      </c>
      <c r="BX1060" s="112" t="str">
        <f t="shared" ca="1" si="2410"/>
        <v/>
      </c>
      <c r="BY1060">
        <f t="shared" ca="1" si="2305"/>
        <v>0</v>
      </c>
      <c r="BZ1060">
        <f t="shared" ca="1" si="2306"/>
        <v>24</v>
      </c>
      <c r="CB1060" t="e">
        <f t="shared" ca="1" si="2281"/>
        <v>#N/A</v>
      </c>
      <c r="CC1060" s="112" t="e">
        <f t="shared" ca="1" si="2282"/>
        <v>#N/A</v>
      </c>
      <c r="CD1060" s="112" t="str">
        <f t="shared" ca="1" si="2283"/>
        <v/>
      </c>
      <c r="CE1060">
        <f t="shared" ca="1" si="2284"/>
        <v>0</v>
      </c>
      <c r="CF1060">
        <f t="shared" ca="1" si="2285"/>
        <v>24</v>
      </c>
      <c r="CH1060" s="112" t="str">
        <f t="shared" ca="1" si="2352"/>
        <v/>
      </c>
      <c r="CI1060" t="e">
        <f t="shared" ca="1" si="2406"/>
        <v>#N/A</v>
      </c>
      <c r="CJ1060" t="e">
        <f t="shared" ref="CJ1060" ca="1" si="2412">IF(AND(CI1060=0,CC1060&lt;100000),1,0)</f>
        <v>#N/A</v>
      </c>
      <c r="CK1060" s="112" t="e">
        <f t="shared" ca="1" si="2358"/>
        <v>#N/A</v>
      </c>
      <c r="CM1060" s="112"/>
      <c r="CN1060" s="261" t="e">
        <f t="shared" ref="CN1060" ca="1" si="2413">IF(AND(CN1056=100000,CN1057=100000,CN1058=100000,CN1059=100000),INDIRECT(CONCATENATE("aa",BQ1060)),CC1060)</f>
        <v>#N/A</v>
      </c>
      <c r="CO1060" s="324" t="e">
        <f t="shared" ca="1" si="2408"/>
        <v>#N/A</v>
      </c>
      <c r="CP1060" s="256">
        <f t="shared" ca="1" si="2360"/>
        <v>0</v>
      </c>
      <c r="CQ1060" s="329">
        <f t="shared" ca="1" si="2361"/>
        <v>24</v>
      </c>
      <c r="CS1060" s="112">
        <f t="shared" ca="1" si="2280"/>
        <v>100000</v>
      </c>
      <c r="CT1060" s="112" t="e">
        <f t="shared" ca="1" si="2319"/>
        <v>#N/A</v>
      </c>
      <c r="CU1060" s="238">
        <f t="shared" ca="1" si="2288"/>
        <v>0</v>
      </c>
      <c r="CV1060" s="238">
        <f t="shared" ca="1" si="2289"/>
        <v>24</v>
      </c>
      <c r="CY1060">
        <f t="shared" si="2297"/>
        <v>490</v>
      </c>
      <c r="DE1060" t="str">
        <f t="shared" si="2290"/>
        <v>cs:dc771</v>
      </c>
      <c r="DF1060" t="e">
        <f t="shared" ca="1" si="2291"/>
        <v>#REF!</v>
      </c>
    </row>
    <row r="1061" spans="47:110" x14ac:dyDescent="0.25">
      <c r="AU1061" s="112"/>
      <c r="AV1061" s="112"/>
      <c r="BQ1061" s="238">
        <f t="shared" ref="BQ1061" si="2414">BQ1060+1</f>
        <v>669</v>
      </c>
      <c r="BR1061" s="112" t="s">
        <v>444</v>
      </c>
      <c r="BS1061" s="112" t="s">
        <v>445</v>
      </c>
      <c r="BT1061" s="114" t="e">
        <f t="shared" ca="1" si="2239"/>
        <v>#N/A</v>
      </c>
      <c r="BU1061" s="112"/>
      <c r="BV1061">
        <f t="shared" ca="1" si="2321"/>
        <v>0</v>
      </c>
      <c r="BW1061" s="112" t="str">
        <f t="shared" ca="1" si="2277"/>
        <v/>
      </c>
      <c r="BX1061" s="112" t="e">
        <f t="shared" ref="BX1061:BX1063" ca="1" si="2415">INDIRECT(CONCATENATE(BS1061,BQ1061))-1</f>
        <v>#N/A</v>
      </c>
      <c r="BY1061">
        <f t="shared" ca="1" si="2305"/>
        <v>0</v>
      </c>
      <c r="BZ1061">
        <f t="shared" ca="1" si="2306"/>
        <v>24</v>
      </c>
      <c r="CB1061" t="e">
        <f t="shared" ca="1" si="2281"/>
        <v>#N/A</v>
      </c>
      <c r="CC1061" s="112" t="e">
        <f t="shared" ca="1" si="2282"/>
        <v>#N/A</v>
      </c>
      <c r="CD1061" s="112" t="e">
        <f t="shared" ca="1" si="2283"/>
        <v>#N/A</v>
      </c>
      <c r="CE1061">
        <f t="shared" ca="1" si="2284"/>
        <v>0</v>
      </c>
      <c r="CF1061">
        <f t="shared" ca="1" si="2285"/>
        <v>24</v>
      </c>
      <c r="CH1061" s="112" t="str">
        <f t="shared" ca="1" si="2352"/>
        <v/>
      </c>
      <c r="CI1061" t="e">
        <f t="shared" ref="CI1061" ca="1" si="2416">CB1061+CB1062+CB1063+CB1064+CB1065</f>
        <v>#N/A</v>
      </c>
      <c r="CJ1061">
        <v>0</v>
      </c>
      <c r="CK1061" s="112" t="str">
        <f t="shared" ca="1" si="2358"/>
        <v/>
      </c>
      <c r="CM1061" s="112"/>
      <c r="CN1061" s="408" t="e">
        <f t="shared" ca="1" si="2312"/>
        <v>#N/A</v>
      </c>
      <c r="CO1061" s="326" t="e">
        <f t="shared" ref="CO1061" ca="1" si="2417">CD1061</f>
        <v>#N/A</v>
      </c>
      <c r="CP1061" s="333">
        <f t="shared" ca="1" si="2360"/>
        <v>0</v>
      </c>
      <c r="CQ1061" s="327">
        <f t="shared" ca="1" si="2361"/>
        <v>24</v>
      </c>
      <c r="CS1061" s="112">
        <f t="shared" ca="1" si="2280"/>
        <v>100000</v>
      </c>
      <c r="CT1061" s="112" t="e">
        <f t="shared" ref="CT1061" ca="1" si="2418">IF(AND( CN1062=100000,CN1063=100000,CN1064=100000,CN1065=100000),CO1065,                             CO1061)</f>
        <v>#N/A</v>
      </c>
      <c r="CU1061" s="238">
        <f t="shared" ca="1" si="2288"/>
        <v>0</v>
      </c>
      <c r="CV1061" s="238">
        <f t="shared" ca="1" si="2289"/>
        <v>24</v>
      </c>
      <c r="CY1061">
        <f t="shared" si="2297"/>
        <v>491</v>
      </c>
      <c r="DE1061" t="str">
        <f t="shared" si="2290"/>
        <v>cs:dc771</v>
      </c>
      <c r="DF1061" t="e">
        <f t="shared" ca="1" si="2291"/>
        <v>#REF!</v>
      </c>
    </row>
    <row r="1062" spans="47:110" x14ac:dyDescent="0.25">
      <c r="AU1062" s="112"/>
      <c r="AV1062" s="112"/>
      <c r="BQ1062" s="238">
        <f t="shared" ref="BQ1062:BQ1065" si="2419">BQ1061</f>
        <v>669</v>
      </c>
      <c r="BR1062" t="s">
        <v>445</v>
      </c>
      <c r="BS1062" t="s">
        <v>446</v>
      </c>
      <c r="BT1062" s="114" t="e">
        <f t="shared" ca="1" si="2239"/>
        <v>#N/A</v>
      </c>
      <c r="BU1062" s="112"/>
      <c r="BV1062" t="e">
        <f t="shared" ca="1" si="2321"/>
        <v>#N/A</v>
      </c>
      <c r="BW1062" s="112" t="e">
        <f t="shared" ca="1" si="2277"/>
        <v>#N/A</v>
      </c>
      <c r="BX1062" s="112" t="e">
        <f t="shared" ca="1" si="2415"/>
        <v>#N/A</v>
      </c>
      <c r="BY1062">
        <f t="shared" ca="1" si="2305"/>
        <v>0</v>
      </c>
      <c r="BZ1062">
        <f t="shared" ca="1" si="2306"/>
        <v>24</v>
      </c>
      <c r="CB1062" t="e">
        <f t="shared" ca="1" si="2281"/>
        <v>#N/A</v>
      </c>
      <c r="CC1062" s="112" t="e">
        <f t="shared" ca="1" si="2282"/>
        <v>#N/A</v>
      </c>
      <c r="CD1062" s="112" t="e">
        <f t="shared" ca="1" si="2283"/>
        <v>#N/A</v>
      </c>
      <c r="CE1062">
        <f t="shared" ca="1" si="2284"/>
        <v>0</v>
      </c>
      <c r="CF1062">
        <f t="shared" ca="1" si="2285"/>
        <v>24</v>
      </c>
      <c r="CH1062" s="112" t="str">
        <f t="shared" ca="1" si="2352"/>
        <v/>
      </c>
      <c r="CI1062" t="e">
        <f t="shared" ref="CI1062:CI1065" ca="1" si="2420">CI1061</f>
        <v>#N/A</v>
      </c>
      <c r="CJ1062" t="e">
        <f t="shared" ref="CJ1062" ca="1" si="2421">IF(AND(CI1062=0,CJ1063=0,CJ1064=0,CJ1065=0,CC1062&lt;100000),1,0)</f>
        <v>#N/A</v>
      </c>
      <c r="CK1062" s="112" t="e">
        <f t="shared" ca="1" si="2358"/>
        <v>#N/A</v>
      </c>
      <c r="CM1062" s="112"/>
      <c r="CN1062" s="260" t="e">
        <f t="shared" ca="1" si="2312"/>
        <v>#N/A</v>
      </c>
      <c r="CO1062" s="112" t="e">
        <f t="shared" ref="CO1062:CO1065" ca="1" si="2422">IF(CJ1062=1,CH1062,CD1062)</f>
        <v>#N/A</v>
      </c>
      <c r="CP1062" s="238">
        <f t="shared" ca="1" si="2360"/>
        <v>0</v>
      </c>
      <c r="CQ1062" s="328">
        <f t="shared" ca="1" si="2361"/>
        <v>24</v>
      </c>
      <c r="CS1062" s="112">
        <f t="shared" ca="1" si="2280"/>
        <v>100000</v>
      </c>
      <c r="CT1062" s="112" t="e">
        <f t="shared" ca="1" si="2319"/>
        <v>#N/A</v>
      </c>
      <c r="CU1062" s="238">
        <f t="shared" ca="1" si="2288"/>
        <v>0</v>
      </c>
      <c r="CV1062" s="238">
        <f t="shared" ca="1" si="2289"/>
        <v>24</v>
      </c>
      <c r="CY1062">
        <f t="shared" si="2297"/>
        <v>492</v>
      </c>
      <c r="DE1062" t="str">
        <f t="shared" si="2290"/>
        <v>cs:dc771</v>
      </c>
      <c r="DF1062" t="e">
        <f t="shared" ca="1" si="2291"/>
        <v>#REF!</v>
      </c>
    </row>
    <row r="1063" spans="47:110" x14ac:dyDescent="0.25">
      <c r="AU1063" s="112"/>
      <c r="AV1063" s="112"/>
      <c r="BQ1063" s="238">
        <f t="shared" si="2419"/>
        <v>669</v>
      </c>
      <c r="BR1063" t="s">
        <v>446</v>
      </c>
      <c r="BS1063" t="s">
        <v>447</v>
      </c>
      <c r="BT1063" s="114" t="e">
        <f t="shared" ca="1" si="2239"/>
        <v>#N/A</v>
      </c>
      <c r="BU1063" s="112"/>
      <c r="BV1063" t="e">
        <f t="shared" ca="1" si="2321"/>
        <v>#N/A</v>
      </c>
      <c r="BW1063" s="112" t="e">
        <f t="shared" ca="1" si="2277"/>
        <v>#N/A</v>
      </c>
      <c r="BX1063" s="112" t="e">
        <f t="shared" ca="1" si="2415"/>
        <v>#N/A</v>
      </c>
      <c r="BY1063">
        <f t="shared" ca="1" si="2305"/>
        <v>0</v>
      </c>
      <c r="BZ1063">
        <f t="shared" ca="1" si="2306"/>
        <v>24</v>
      </c>
      <c r="CB1063" t="e">
        <f t="shared" ca="1" si="2281"/>
        <v>#N/A</v>
      </c>
      <c r="CC1063" s="112" t="e">
        <f t="shared" ca="1" si="2282"/>
        <v>#N/A</v>
      </c>
      <c r="CD1063" s="112" t="e">
        <f t="shared" ca="1" si="2283"/>
        <v>#N/A</v>
      </c>
      <c r="CE1063">
        <f t="shared" ca="1" si="2284"/>
        <v>0</v>
      </c>
      <c r="CF1063">
        <f t="shared" ca="1" si="2285"/>
        <v>24</v>
      </c>
      <c r="CH1063" s="112" t="str">
        <f t="shared" ca="1" si="2352"/>
        <v/>
      </c>
      <c r="CI1063" t="e">
        <f t="shared" ca="1" si="2420"/>
        <v>#N/A</v>
      </c>
      <c r="CJ1063" t="e">
        <f t="shared" ref="CJ1063" ca="1" si="2423">IF(AND(CI1063=0,CJ1064=0,CJ1065=0,CC1063&lt;100000),1,0)</f>
        <v>#N/A</v>
      </c>
      <c r="CK1063" s="112" t="e">
        <f t="shared" ca="1" si="2358"/>
        <v>#N/A</v>
      </c>
      <c r="CM1063" s="112"/>
      <c r="CN1063" s="260" t="e">
        <f t="shared" ca="1" si="2312"/>
        <v>#N/A</v>
      </c>
      <c r="CO1063" s="112" t="e">
        <f t="shared" ca="1" si="2422"/>
        <v>#N/A</v>
      </c>
      <c r="CP1063" s="238">
        <f t="shared" ca="1" si="2360"/>
        <v>0</v>
      </c>
      <c r="CQ1063" s="328">
        <f t="shared" ca="1" si="2361"/>
        <v>24</v>
      </c>
      <c r="CS1063" s="112">
        <f t="shared" ca="1" si="2280"/>
        <v>100000</v>
      </c>
      <c r="CT1063" s="112" t="e">
        <f t="shared" ca="1" si="2319"/>
        <v>#N/A</v>
      </c>
      <c r="CU1063" s="238">
        <f t="shared" ca="1" si="2288"/>
        <v>0</v>
      </c>
      <c r="CV1063" s="238">
        <f t="shared" ca="1" si="2289"/>
        <v>24</v>
      </c>
      <c r="CY1063">
        <f t="shared" si="2297"/>
        <v>493</v>
      </c>
      <c r="DE1063" t="str">
        <f t="shared" si="2290"/>
        <v>cs:dc771</v>
      </c>
      <c r="DF1063" t="e">
        <f t="shared" ca="1" si="2291"/>
        <v>#REF!</v>
      </c>
    </row>
    <row r="1064" spans="47:110" x14ac:dyDescent="0.25">
      <c r="AU1064" s="112"/>
      <c r="AV1064" s="112"/>
      <c r="BQ1064" s="238">
        <f t="shared" si="2419"/>
        <v>669</v>
      </c>
      <c r="BR1064" t="s">
        <v>447</v>
      </c>
      <c r="BS1064" t="s">
        <v>448</v>
      </c>
      <c r="BT1064" s="114" t="e">
        <f t="shared" ca="1" si="2239"/>
        <v>#N/A</v>
      </c>
      <c r="BU1064" s="112"/>
      <c r="BV1064" t="e">
        <f t="shared" ca="1" si="2321"/>
        <v>#N/A</v>
      </c>
      <c r="BW1064" s="112" t="e">
        <f t="shared" ca="1" si="2277"/>
        <v>#N/A</v>
      </c>
      <c r="BX1064" s="112" t="e">
        <f t="shared" ref="BX1064:BX1065" ca="1" si="2424">INDIRECT(CONCATENATE(BS1064,BQ1064))</f>
        <v>#N/A</v>
      </c>
      <c r="BY1064">
        <f t="shared" ca="1" si="2305"/>
        <v>0</v>
      </c>
      <c r="BZ1064">
        <f t="shared" ca="1" si="2306"/>
        <v>24</v>
      </c>
      <c r="CB1064" t="e">
        <f t="shared" ca="1" si="2281"/>
        <v>#N/A</v>
      </c>
      <c r="CC1064" s="112" t="e">
        <f t="shared" ca="1" si="2282"/>
        <v>#N/A</v>
      </c>
      <c r="CD1064" s="112" t="e">
        <f t="shared" ca="1" si="2283"/>
        <v>#N/A</v>
      </c>
      <c r="CE1064">
        <f t="shared" ca="1" si="2284"/>
        <v>0</v>
      </c>
      <c r="CF1064">
        <f t="shared" ca="1" si="2285"/>
        <v>24</v>
      </c>
      <c r="CH1064" s="112" t="str">
        <f t="shared" ca="1" si="2352"/>
        <v/>
      </c>
      <c r="CI1064" t="e">
        <f t="shared" ca="1" si="2420"/>
        <v>#N/A</v>
      </c>
      <c r="CJ1064" t="e">
        <f t="shared" ref="CJ1064" ca="1" si="2425">IF(AND(CI1064=0,CJ1065=0,CC1064&lt;100000),1,0)</f>
        <v>#N/A</v>
      </c>
      <c r="CK1064" s="112" t="e">
        <f t="shared" ca="1" si="2358"/>
        <v>#N/A</v>
      </c>
      <c r="CM1064" s="112"/>
      <c r="CN1064" s="260" t="e">
        <f t="shared" ca="1" si="2312"/>
        <v>#N/A</v>
      </c>
      <c r="CO1064" s="112" t="e">
        <f t="shared" ca="1" si="2422"/>
        <v>#N/A</v>
      </c>
      <c r="CP1064" s="238">
        <f t="shared" ca="1" si="2360"/>
        <v>0</v>
      </c>
      <c r="CQ1064" s="328">
        <f t="shared" ca="1" si="2361"/>
        <v>24</v>
      </c>
      <c r="CS1064" s="112">
        <f t="shared" ca="1" si="2280"/>
        <v>100000</v>
      </c>
      <c r="CT1064" s="112" t="e">
        <f t="shared" ca="1" si="2319"/>
        <v>#N/A</v>
      </c>
      <c r="CU1064" s="238">
        <f t="shared" ca="1" si="2288"/>
        <v>0</v>
      </c>
      <c r="CV1064" s="238">
        <f t="shared" ca="1" si="2289"/>
        <v>24</v>
      </c>
      <c r="CY1064">
        <f t="shared" si="2297"/>
        <v>494</v>
      </c>
      <c r="DE1064" t="str">
        <f t="shared" si="2290"/>
        <v>cs:dc771</v>
      </c>
      <c r="DF1064" t="e">
        <f t="shared" ca="1" si="2291"/>
        <v>#REF!</v>
      </c>
    </row>
    <row r="1065" spans="47:110" ht="15.75" thickBot="1" x14ac:dyDescent="0.3">
      <c r="AU1065" s="112"/>
      <c r="AV1065" s="112"/>
      <c r="BQ1065" s="238">
        <f t="shared" si="2419"/>
        <v>669</v>
      </c>
      <c r="BR1065" t="s">
        <v>448</v>
      </c>
      <c r="BS1065" t="s">
        <v>449</v>
      </c>
      <c r="BT1065" s="114" t="e">
        <f t="shared" ca="1" si="2239"/>
        <v>#N/A</v>
      </c>
      <c r="BU1065" s="112"/>
      <c r="BV1065" t="e">
        <f t="shared" ca="1" si="2321"/>
        <v>#N/A</v>
      </c>
      <c r="BW1065" s="112" t="e">
        <f t="shared" ca="1" si="2277"/>
        <v>#N/A</v>
      </c>
      <c r="BX1065" s="112" t="str">
        <f t="shared" ca="1" si="2424"/>
        <v/>
      </c>
      <c r="BY1065">
        <f t="shared" ca="1" si="2305"/>
        <v>0</v>
      </c>
      <c r="BZ1065">
        <f t="shared" ca="1" si="2306"/>
        <v>24</v>
      </c>
      <c r="CB1065" t="e">
        <f t="shared" ca="1" si="2281"/>
        <v>#N/A</v>
      </c>
      <c r="CC1065" s="112" t="e">
        <f t="shared" ca="1" si="2282"/>
        <v>#N/A</v>
      </c>
      <c r="CD1065" s="112" t="str">
        <f t="shared" ca="1" si="2283"/>
        <v/>
      </c>
      <c r="CE1065">
        <f t="shared" ca="1" si="2284"/>
        <v>0</v>
      </c>
      <c r="CF1065">
        <f t="shared" ca="1" si="2285"/>
        <v>24</v>
      </c>
      <c r="CH1065" s="112" t="str">
        <f t="shared" ca="1" si="2352"/>
        <v/>
      </c>
      <c r="CI1065" t="e">
        <f t="shared" ca="1" si="2420"/>
        <v>#N/A</v>
      </c>
      <c r="CJ1065" t="e">
        <f t="shared" ref="CJ1065" ca="1" si="2426">IF(AND(CI1065=0,CC1065&lt;100000),1,0)</f>
        <v>#N/A</v>
      </c>
      <c r="CK1065" s="112" t="e">
        <f t="shared" ca="1" si="2358"/>
        <v>#N/A</v>
      </c>
      <c r="CM1065" s="112"/>
      <c r="CN1065" s="261" t="e">
        <f t="shared" ref="CN1065" ca="1" si="2427">IF(AND(CN1061=100000,CN1062=100000,CN1063=100000,CN1064=100000),INDIRECT(CONCATENATE("aa",BQ1065)),CC1065)</f>
        <v>#N/A</v>
      </c>
      <c r="CO1065" s="324" t="e">
        <f t="shared" ca="1" si="2422"/>
        <v>#N/A</v>
      </c>
      <c r="CP1065" s="256">
        <f t="shared" ca="1" si="2360"/>
        <v>0</v>
      </c>
      <c r="CQ1065" s="329">
        <f t="shared" ca="1" si="2361"/>
        <v>24</v>
      </c>
      <c r="CS1065" s="112">
        <f t="shared" ca="1" si="2280"/>
        <v>100000</v>
      </c>
      <c r="CT1065" s="112" t="e">
        <f t="shared" ca="1" si="2319"/>
        <v>#N/A</v>
      </c>
      <c r="CU1065" s="238">
        <f t="shared" ca="1" si="2288"/>
        <v>0</v>
      </c>
      <c r="CV1065" s="238">
        <f t="shared" ca="1" si="2289"/>
        <v>24</v>
      </c>
      <c r="CY1065">
        <f t="shared" si="2297"/>
        <v>495</v>
      </c>
      <c r="DE1065" t="str">
        <f t="shared" si="2290"/>
        <v>cs:dc771</v>
      </c>
      <c r="DF1065" t="e">
        <f t="shared" ca="1" si="2291"/>
        <v>#REF!</v>
      </c>
    </row>
    <row r="1066" spans="47:110" x14ac:dyDescent="0.25">
      <c r="AU1066" s="112"/>
      <c r="AV1066" s="112"/>
      <c r="BQ1066" s="238">
        <f t="shared" ref="BQ1066" si="2428">BQ1065+1</f>
        <v>670</v>
      </c>
      <c r="BR1066" s="112" t="s">
        <v>444</v>
      </c>
      <c r="BS1066" s="112" t="s">
        <v>445</v>
      </c>
      <c r="BT1066" s="114" t="e">
        <f t="shared" ca="1" si="2239"/>
        <v>#N/A</v>
      </c>
      <c r="BU1066" s="112"/>
      <c r="BV1066">
        <f t="shared" ca="1" si="2321"/>
        <v>0</v>
      </c>
      <c r="BW1066" s="112" t="str">
        <f t="shared" ca="1" si="2277"/>
        <v/>
      </c>
      <c r="BX1066" s="112" t="e">
        <f t="shared" ref="BX1066:BX1068" ca="1" si="2429">INDIRECT(CONCATENATE(BS1066,BQ1066))-1</f>
        <v>#N/A</v>
      </c>
      <c r="BY1066">
        <f t="shared" ca="1" si="2305"/>
        <v>0</v>
      </c>
      <c r="BZ1066">
        <f t="shared" ca="1" si="2306"/>
        <v>24</v>
      </c>
      <c r="CB1066" t="e">
        <f t="shared" ca="1" si="2281"/>
        <v>#N/A</v>
      </c>
      <c r="CC1066" s="112" t="e">
        <f t="shared" ca="1" si="2282"/>
        <v>#N/A</v>
      </c>
      <c r="CD1066" s="112" t="e">
        <f t="shared" ca="1" si="2283"/>
        <v>#N/A</v>
      </c>
      <c r="CE1066">
        <f t="shared" ca="1" si="2284"/>
        <v>0</v>
      </c>
      <c r="CF1066">
        <f t="shared" ca="1" si="2285"/>
        <v>24</v>
      </c>
      <c r="CH1066" s="112" t="str">
        <f t="shared" ca="1" si="2352"/>
        <v/>
      </c>
      <c r="CI1066" t="e">
        <f t="shared" ref="CI1066" ca="1" si="2430">CB1066+CB1067+CB1068+CB1069+CB1070</f>
        <v>#N/A</v>
      </c>
      <c r="CJ1066">
        <v>0</v>
      </c>
      <c r="CK1066" s="112" t="str">
        <f t="shared" ca="1" si="2358"/>
        <v/>
      </c>
      <c r="CM1066" s="112"/>
      <c r="CN1066" s="408" t="e">
        <f t="shared" ca="1" si="2312"/>
        <v>#N/A</v>
      </c>
      <c r="CO1066" s="326" t="e">
        <f t="shared" ref="CO1066" ca="1" si="2431">CD1066</f>
        <v>#N/A</v>
      </c>
      <c r="CP1066" s="333">
        <f t="shared" ca="1" si="2360"/>
        <v>0</v>
      </c>
      <c r="CQ1066" s="327">
        <f t="shared" ca="1" si="2361"/>
        <v>24</v>
      </c>
      <c r="CS1066" s="112">
        <f t="shared" ca="1" si="2280"/>
        <v>100000</v>
      </c>
      <c r="CT1066" s="112" t="e">
        <f t="shared" ref="CT1066" ca="1" si="2432">IF(AND( CN1067=100000,CN1068=100000,CN1069=100000,CN1070=100000),CO1070,                             CO1066)</f>
        <v>#N/A</v>
      </c>
      <c r="CU1066" s="238">
        <f t="shared" ca="1" si="2288"/>
        <v>0</v>
      </c>
      <c r="CV1066" s="238">
        <f t="shared" ca="1" si="2289"/>
        <v>24</v>
      </c>
      <c r="CY1066">
        <f t="shared" si="2297"/>
        <v>496</v>
      </c>
      <c r="DE1066" t="str">
        <f t="shared" si="2290"/>
        <v>cs:dc771</v>
      </c>
      <c r="DF1066" t="e">
        <f t="shared" ca="1" si="2291"/>
        <v>#REF!</v>
      </c>
    </row>
    <row r="1067" spans="47:110" x14ac:dyDescent="0.25">
      <c r="AU1067" s="112"/>
      <c r="AV1067" s="112"/>
      <c r="BQ1067" s="238">
        <f t="shared" ref="BQ1067:BQ1070" si="2433">BQ1066</f>
        <v>670</v>
      </c>
      <c r="BR1067" t="s">
        <v>445</v>
      </c>
      <c r="BS1067" t="s">
        <v>446</v>
      </c>
      <c r="BT1067" s="114" t="e">
        <f t="shared" ca="1" si="2239"/>
        <v>#N/A</v>
      </c>
      <c r="BU1067" s="112"/>
      <c r="BV1067" t="e">
        <f t="shared" ca="1" si="2321"/>
        <v>#N/A</v>
      </c>
      <c r="BW1067" s="112" t="e">
        <f t="shared" ca="1" si="2277"/>
        <v>#N/A</v>
      </c>
      <c r="BX1067" s="112" t="e">
        <f t="shared" ca="1" si="2429"/>
        <v>#N/A</v>
      </c>
      <c r="BY1067">
        <f t="shared" ca="1" si="2305"/>
        <v>0</v>
      </c>
      <c r="BZ1067">
        <f t="shared" ca="1" si="2306"/>
        <v>24</v>
      </c>
      <c r="CB1067" t="e">
        <f t="shared" ca="1" si="2281"/>
        <v>#N/A</v>
      </c>
      <c r="CC1067" s="112" t="e">
        <f t="shared" ca="1" si="2282"/>
        <v>#N/A</v>
      </c>
      <c r="CD1067" s="112" t="e">
        <f t="shared" ca="1" si="2283"/>
        <v>#N/A</v>
      </c>
      <c r="CE1067">
        <f t="shared" ca="1" si="2284"/>
        <v>0</v>
      </c>
      <c r="CF1067">
        <f t="shared" ca="1" si="2285"/>
        <v>24</v>
      </c>
      <c r="CH1067" s="112" t="str">
        <f t="shared" ca="1" si="2352"/>
        <v/>
      </c>
      <c r="CI1067" t="e">
        <f t="shared" ref="CI1067:CI1070" ca="1" si="2434">CI1066</f>
        <v>#N/A</v>
      </c>
      <c r="CJ1067" t="e">
        <f t="shared" ref="CJ1067" ca="1" si="2435">IF(AND(CI1067=0,CJ1068=0,CJ1069=0,CJ1070=0,CC1067&lt;100000),1,0)</f>
        <v>#N/A</v>
      </c>
      <c r="CK1067" s="112" t="e">
        <f t="shared" ca="1" si="2358"/>
        <v>#N/A</v>
      </c>
      <c r="CM1067" s="112"/>
      <c r="CN1067" s="260" t="e">
        <f t="shared" ca="1" si="2312"/>
        <v>#N/A</v>
      </c>
      <c r="CO1067" s="112" t="e">
        <f t="shared" ref="CO1067:CO1070" ca="1" si="2436">IF(CJ1067=1,CH1067,CD1067)</f>
        <v>#N/A</v>
      </c>
      <c r="CP1067" s="238">
        <f t="shared" ca="1" si="2360"/>
        <v>0</v>
      </c>
      <c r="CQ1067" s="328">
        <f t="shared" ca="1" si="2361"/>
        <v>24</v>
      </c>
      <c r="CS1067" s="112">
        <f t="shared" ca="1" si="2280"/>
        <v>100000</v>
      </c>
      <c r="CT1067" s="112" t="e">
        <f t="shared" ca="1" si="2319"/>
        <v>#N/A</v>
      </c>
      <c r="CU1067" s="238">
        <f t="shared" ca="1" si="2288"/>
        <v>0</v>
      </c>
      <c r="CV1067" s="238">
        <f t="shared" ca="1" si="2289"/>
        <v>24</v>
      </c>
      <c r="CY1067">
        <f t="shared" si="2297"/>
        <v>497</v>
      </c>
      <c r="DE1067" t="str">
        <f t="shared" si="2290"/>
        <v>cs:dc771</v>
      </c>
      <c r="DF1067" t="e">
        <f t="shared" ca="1" si="2291"/>
        <v>#REF!</v>
      </c>
    </row>
    <row r="1068" spans="47:110" x14ac:dyDescent="0.25">
      <c r="AU1068" s="112"/>
      <c r="AV1068" s="112"/>
      <c r="BQ1068" s="238">
        <f t="shared" si="2433"/>
        <v>670</v>
      </c>
      <c r="BR1068" t="s">
        <v>446</v>
      </c>
      <c r="BS1068" t="s">
        <v>447</v>
      </c>
      <c r="BT1068" s="114" t="e">
        <f t="shared" ca="1" si="2239"/>
        <v>#N/A</v>
      </c>
      <c r="BU1068" s="112"/>
      <c r="BV1068" t="e">
        <f t="shared" ca="1" si="2321"/>
        <v>#N/A</v>
      </c>
      <c r="BW1068" s="112" t="e">
        <f t="shared" ca="1" si="2277"/>
        <v>#N/A</v>
      </c>
      <c r="BX1068" s="112" t="e">
        <f t="shared" ca="1" si="2429"/>
        <v>#N/A</v>
      </c>
      <c r="BY1068">
        <f t="shared" ca="1" si="2305"/>
        <v>0</v>
      </c>
      <c r="BZ1068">
        <f t="shared" ca="1" si="2306"/>
        <v>24</v>
      </c>
      <c r="CB1068" t="e">
        <f t="shared" ca="1" si="2281"/>
        <v>#N/A</v>
      </c>
      <c r="CC1068" s="112" t="e">
        <f t="shared" ca="1" si="2282"/>
        <v>#N/A</v>
      </c>
      <c r="CD1068" s="112" t="e">
        <f t="shared" ca="1" si="2283"/>
        <v>#N/A</v>
      </c>
      <c r="CE1068">
        <f t="shared" ca="1" si="2284"/>
        <v>0</v>
      </c>
      <c r="CF1068">
        <f t="shared" ca="1" si="2285"/>
        <v>24</v>
      </c>
      <c r="CH1068" s="112" t="str">
        <f t="shared" ca="1" si="2352"/>
        <v/>
      </c>
      <c r="CI1068" t="e">
        <f t="shared" ca="1" si="2434"/>
        <v>#N/A</v>
      </c>
      <c r="CJ1068" t="e">
        <f t="shared" ref="CJ1068" ca="1" si="2437">IF(AND(CI1068=0,CJ1069=0,CJ1070=0,CC1068&lt;100000),1,0)</f>
        <v>#N/A</v>
      </c>
      <c r="CK1068" s="112" t="e">
        <f t="shared" ca="1" si="2358"/>
        <v>#N/A</v>
      </c>
      <c r="CM1068" s="112"/>
      <c r="CN1068" s="260" t="e">
        <f t="shared" ca="1" si="2312"/>
        <v>#N/A</v>
      </c>
      <c r="CO1068" s="112" t="e">
        <f t="shared" ca="1" si="2436"/>
        <v>#N/A</v>
      </c>
      <c r="CP1068" s="238">
        <f t="shared" ca="1" si="2360"/>
        <v>0</v>
      </c>
      <c r="CQ1068" s="328">
        <f t="shared" ca="1" si="2361"/>
        <v>24</v>
      </c>
      <c r="CS1068" s="112">
        <f t="shared" ca="1" si="2280"/>
        <v>100000</v>
      </c>
      <c r="CT1068" s="112" t="e">
        <f t="shared" ca="1" si="2319"/>
        <v>#N/A</v>
      </c>
      <c r="CU1068" s="238">
        <f t="shared" ca="1" si="2288"/>
        <v>0</v>
      </c>
      <c r="CV1068" s="238">
        <f t="shared" ca="1" si="2289"/>
        <v>24</v>
      </c>
      <c r="CY1068">
        <f t="shared" si="2297"/>
        <v>498</v>
      </c>
      <c r="DE1068" t="str">
        <f t="shared" si="2290"/>
        <v>cs:dc771</v>
      </c>
      <c r="DF1068" t="e">
        <f t="shared" ca="1" si="2291"/>
        <v>#REF!</v>
      </c>
    </row>
    <row r="1069" spans="47:110" x14ac:dyDescent="0.25">
      <c r="AU1069" s="112"/>
      <c r="AV1069" s="112"/>
      <c r="BQ1069" s="238">
        <f t="shared" si="2433"/>
        <v>670</v>
      </c>
      <c r="BR1069" t="s">
        <v>447</v>
      </c>
      <c r="BS1069" t="s">
        <v>448</v>
      </c>
      <c r="BT1069" s="114" t="e">
        <f t="shared" ca="1" si="2239"/>
        <v>#N/A</v>
      </c>
      <c r="BU1069" s="112"/>
      <c r="BV1069" t="e">
        <f t="shared" ca="1" si="2321"/>
        <v>#N/A</v>
      </c>
      <c r="BW1069" s="112" t="e">
        <f t="shared" ca="1" si="2277"/>
        <v>#N/A</v>
      </c>
      <c r="BX1069" s="112" t="e">
        <f t="shared" ref="BX1069:BX1070" ca="1" si="2438">INDIRECT(CONCATENATE(BS1069,BQ1069))</f>
        <v>#N/A</v>
      </c>
      <c r="BY1069">
        <f t="shared" ca="1" si="2305"/>
        <v>0</v>
      </c>
      <c r="BZ1069">
        <f t="shared" ca="1" si="2306"/>
        <v>24</v>
      </c>
      <c r="CB1069" t="e">
        <f t="shared" ca="1" si="2281"/>
        <v>#N/A</v>
      </c>
      <c r="CC1069" s="112" t="e">
        <f t="shared" ca="1" si="2282"/>
        <v>#N/A</v>
      </c>
      <c r="CD1069" s="112" t="e">
        <f t="shared" ca="1" si="2283"/>
        <v>#N/A</v>
      </c>
      <c r="CE1069">
        <f t="shared" ca="1" si="2284"/>
        <v>0</v>
      </c>
      <c r="CF1069">
        <f t="shared" ca="1" si="2285"/>
        <v>24</v>
      </c>
      <c r="CH1069" s="112" t="str">
        <f t="shared" ca="1" si="2352"/>
        <v/>
      </c>
      <c r="CI1069" t="e">
        <f t="shared" ca="1" si="2434"/>
        <v>#N/A</v>
      </c>
      <c r="CJ1069" t="e">
        <f t="shared" ref="CJ1069" ca="1" si="2439">IF(AND(CI1069=0,CJ1070=0,CC1069&lt;100000),1,0)</f>
        <v>#N/A</v>
      </c>
      <c r="CK1069" s="112" t="e">
        <f t="shared" ca="1" si="2358"/>
        <v>#N/A</v>
      </c>
      <c r="CM1069" s="112"/>
      <c r="CN1069" s="260" t="e">
        <f t="shared" ca="1" si="2312"/>
        <v>#N/A</v>
      </c>
      <c r="CO1069" s="112" t="e">
        <f t="shared" ca="1" si="2436"/>
        <v>#N/A</v>
      </c>
      <c r="CP1069" s="238">
        <f t="shared" ca="1" si="2360"/>
        <v>0</v>
      </c>
      <c r="CQ1069" s="328">
        <f t="shared" ca="1" si="2361"/>
        <v>24</v>
      </c>
      <c r="CS1069" s="112">
        <f t="shared" ca="1" si="2280"/>
        <v>100000</v>
      </c>
      <c r="CT1069" s="112" t="e">
        <f t="shared" ca="1" si="2319"/>
        <v>#N/A</v>
      </c>
      <c r="CU1069" s="238">
        <f t="shared" ca="1" si="2288"/>
        <v>0</v>
      </c>
      <c r="CV1069" s="238">
        <f t="shared" ca="1" si="2289"/>
        <v>24</v>
      </c>
      <c r="CY1069">
        <f t="shared" si="2297"/>
        <v>499</v>
      </c>
      <c r="DE1069" t="str">
        <f t="shared" si="2290"/>
        <v>cs:dc771</v>
      </c>
      <c r="DF1069" t="e">
        <f t="shared" ca="1" si="2291"/>
        <v>#REF!</v>
      </c>
    </row>
    <row r="1070" spans="47:110" ht="15.75" thickBot="1" x14ac:dyDescent="0.3">
      <c r="AU1070" s="112"/>
      <c r="AV1070" s="112"/>
      <c r="BQ1070" s="238">
        <f t="shared" si="2433"/>
        <v>670</v>
      </c>
      <c r="BR1070" t="s">
        <v>448</v>
      </c>
      <c r="BS1070" t="s">
        <v>449</v>
      </c>
      <c r="BT1070" s="114" t="e">
        <f t="shared" ref="BT1070:BT1100" ca="1" si="2440">INDIRECT(CONCATENATE("bp",BQ1070))</f>
        <v>#N/A</v>
      </c>
      <c r="BU1070" s="112"/>
      <c r="BV1070" t="e">
        <f t="shared" ca="1" si="2321"/>
        <v>#N/A</v>
      </c>
      <c r="BW1070" s="112" t="e">
        <f t="shared" ca="1" si="2277"/>
        <v>#N/A</v>
      </c>
      <c r="BX1070" s="112" t="str">
        <f t="shared" ca="1" si="2438"/>
        <v/>
      </c>
      <c r="BY1070">
        <f t="shared" ca="1" si="2305"/>
        <v>0</v>
      </c>
      <c r="BZ1070">
        <f t="shared" ca="1" si="2306"/>
        <v>24</v>
      </c>
      <c r="CB1070" t="e">
        <f t="shared" ca="1" si="2281"/>
        <v>#N/A</v>
      </c>
      <c r="CC1070" s="112" t="e">
        <f t="shared" ca="1" si="2282"/>
        <v>#N/A</v>
      </c>
      <c r="CD1070" s="112" t="str">
        <f t="shared" ca="1" si="2283"/>
        <v/>
      </c>
      <c r="CE1070">
        <f t="shared" ca="1" si="2284"/>
        <v>0</v>
      </c>
      <c r="CF1070">
        <f t="shared" ca="1" si="2285"/>
        <v>24</v>
      </c>
      <c r="CH1070" s="112" t="str">
        <f t="shared" ca="1" si="2352"/>
        <v/>
      </c>
      <c r="CI1070" t="e">
        <f t="shared" ca="1" si="2434"/>
        <v>#N/A</v>
      </c>
      <c r="CJ1070" t="e">
        <f t="shared" ref="CJ1070" ca="1" si="2441">IF(AND(CI1070=0,CC1070&lt;100000),1,0)</f>
        <v>#N/A</v>
      </c>
      <c r="CK1070" s="112" t="e">
        <f t="shared" ca="1" si="2358"/>
        <v>#N/A</v>
      </c>
      <c r="CM1070" s="112"/>
      <c r="CN1070" s="261" t="e">
        <f t="shared" ref="CN1070" ca="1" si="2442">IF(AND(CN1066=100000,CN1067=100000,CN1068=100000,CN1069=100000),INDIRECT(CONCATENATE("aa",BQ1070)),CC1070)</f>
        <v>#N/A</v>
      </c>
      <c r="CO1070" s="324" t="e">
        <f t="shared" ca="1" si="2436"/>
        <v>#N/A</v>
      </c>
      <c r="CP1070" s="256">
        <f t="shared" ca="1" si="2360"/>
        <v>0</v>
      </c>
      <c r="CQ1070" s="329">
        <f t="shared" ca="1" si="2361"/>
        <v>24</v>
      </c>
      <c r="CS1070" s="112">
        <f t="shared" ca="1" si="2280"/>
        <v>100000</v>
      </c>
      <c r="CT1070" s="112" t="e">
        <f t="shared" ca="1" si="2319"/>
        <v>#N/A</v>
      </c>
      <c r="CU1070" s="238">
        <f t="shared" ca="1" si="2288"/>
        <v>0</v>
      </c>
      <c r="CV1070" s="238">
        <f t="shared" ca="1" si="2289"/>
        <v>24</v>
      </c>
      <c r="CY1070">
        <f t="shared" si="2297"/>
        <v>500</v>
      </c>
      <c r="DE1070" t="str">
        <f t="shared" si="2290"/>
        <v>cs:dc771</v>
      </c>
      <c r="DF1070" t="e">
        <f t="shared" ca="1" si="2291"/>
        <v>#REF!</v>
      </c>
    </row>
    <row r="1071" spans="47:110" x14ac:dyDescent="0.25">
      <c r="AU1071" s="112"/>
      <c r="AV1071" s="112"/>
      <c r="BQ1071" s="238">
        <f t="shared" ref="BQ1071" si="2443">BQ1070+1</f>
        <v>671</v>
      </c>
      <c r="BR1071" s="112" t="s">
        <v>444</v>
      </c>
      <c r="BS1071" s="112" t="s">
        <v>445</v>
      </c>
      <c r="BT1071" s="114" t="e">
        <f t="shared" ca="1" si="2440"/>
        <v>#N/A</v>
      </c>
      <c r="BU1071" s="112"/>
      <c r="BV1071">
        <f t="shared" ca="1" si="2321"/>
        <v>0</v>
      </c>
      <c r="BW1071" s="112" t="str">
        <f t="shared" ca="1" si="2277"/>
        <v/>
      </c>
      <c r="BX1071" s="112" t="e">
        <f t="shared" ref="BX1071:BX1073" ca="1" si="2444">INDIRECT(CONCATENATE(BS1071,BQ1071))-1</f>
        <v>#N/A</v>
      </c>
      <c r="BY1071">
        <f t="shared" ca="1" si="2305"/>
        <v>0</v>
      </c>
      <c r="BZ1071">
        <f t="shared" ca="1" si="2306"/>
        <v>24</v>
      </c>
      <c r="CB1071" t="e">
        <f t="shared" ca="1" si="2281"/>
        <v>#N/A</v>
      </c>
      <c r="CC1071" s="112" t="e">
        <f t="shared" ca="1" si="2282"/>
        <v>#N/A</v>
      </c>
      <c r="CD1071" s="112" t="e">
        <f t="shared" ca="1" si="2283"/>
        <v>#N/A</v>
      </c>
      <c r="CE1071">
        <f t="shared" ca="1" si="2284"/>
        <v>0</v>
      </c>
      <c r="CF1071">
        <f t="shared" ca="1" si="2285"/>
        <v>24</v>
      </c>
      <c r="CH1071" s="112" t="str">
        <f t="shared" ca="1" si="2352"/>
        <v/>
      </c>
      <c r="CI1071" t="e">
        <f t="shared" ref="CI1071" ca="1" si="2445">CB1071+CB1072+CB1073+CB1074+CB1075</f>
        <v>#N/A</v>
      </c>
      <c r="CJ1071">
        <v>0</v>
      </c>
      <c r="CK1071" s="112" t="str">
        <f t="shared" ca="1" si="2358"/>
        <v/>
      </c>
      <c r="CM1071" s="112"/>
      <c r="CN1071" s="408" t="e">
        <f t="shared" ca="1" si="2312"/>
        <v>#N/A</v>
      </c>
      <c r="CO1071" s="326" t="e">
        <f t="shared" ref="CO1071" ca="1" si="2446">CD1071</f>
        <v>#N/A</v>
      </c>
      <c r="CP1071" s="333">
        <f t="shared" ca="1" si="2360"/>
        <v>0</v>
      </c>
      <c r="CQ1071" s="327">
        <f t="shared" ca="1" si="2361"/>
        <v>24</v>
      </c>
      <c r="CS1071" s="112">
        <f t="shared" ca="1" si="2280"/>
        <v>100000</v>
      </c>
      <c r="CT1071" s="112" t="e">
        <f t="shared" ref="CT1071" ca="1" si="2447">IF(AND( CN1072=100000,CN1073=100000,CN1074=100000,CN1075=100000),CO1075,                             CO1071)</f>
        <v>#N/A</v>
      </c>
      <c r="CU1071" s="238">
        <f t="shared" ca="1" si="2288"/>
        <v>0</v>
      </c>
      <c r="CV1071" s="238">
        <f t="shared" ca="1" si="2289"/>
        <v>24</v>
      </c>
      <c r="CY1071">
        <f t="shared" si="2297"/>
        <v>501</v>
      </c>
      <c r="DE1071" t="str">
        <f t="shared" si="2290"/>
        <v>cs:dc771</v>
      </c>
      <c r="DF1071" t="e">
        <f t="shared" ca="1" si="2291"/>
        <v>#REF!</v>
      </c>
    </row>
    <row r="1072" spans="47:110" x14ac:dyDescent="0.25">
      <c r="AU1072" s="112"/>
      <c r="AV1072" s="112"/>
      <c r="BQ1072" s="238">
        <f t="shared" ref="BQ1072:BQ1075" si="2448">BQ1071</f>
        <v>671</v>
      </c>
      <c r="BR1072" t="s">
        <v>445</v>
      </c>
      <c r="BS1072" t="s">
        <v>446</v>
      </c>
      <c r="BT1072" s="114" t="e">
        <f t="shared" ca="1" si="2440"/>
        <v>#N/A</v>
      </c>
      <c r="BU1072" s="112"/>
      <c r="BV1072" t="e">
        <f t="shared" ca="1" si="2321"/>
        <v>#N/A</v>
      </c>
      <c r="BW1072" s="112" t="e">
        <f t="shared" ca="1" si="2277"/>
        <v>#N/A</v>
      </c>
      <c r="BX1072" s="112" t="e">
        <f t="shared" ca="1" si="2444"/>
        <v>#N/A</v>
      </c>
      <c r="BY1072">
        <f t="shared" ca="1" si="2305"/>
        <v>0</v>
      </c>
      <c r="BZ1072">
        <f t="shared" ca="1" si="2306"/>
        <v>24</v>
      </c>
      <c r="CB1072" t="e">
        <f t="shared" ca="1" si="2281"/>
        <v>#N/A</v>
      </c>
      <c r="CC1072" s="112" t="e">
        <f t="shared" ca="1" si="2282"/>
        <v>#N/A</v>
      </c>
      <c r="CD1072" s="112" t="e">
        <f t="shared" ca="1" si="2283"/>
        <v>#N/A</v>
      </c>
      <c r="CE1072">
        <f t="shared" ca="1" si="2284"/>
        <v>0</v>
      </c>
      <c r="CF1072">
        <f t="shared" ca="1" si="2285"/>
        <v>24</v>
      </c>
      <c r="CH1072" s="112" t="str">
        <f t="shared" ca="1" si="2352"/>
        <v/>
      </c>
      <c r="CI1072" t="e">
        <f t="shared" ref="CI1072:CI1075" ca="1" si="2449">CI1071</f>
        <v>#N/A</v>
      </c>
      <c r="CJ1072" t="e">
        <f t="shared" ref="CJ1072" ca="1" si="2450">IF(AND(CI1072=0,CJ1073=0,CJ1074=0,CJ1075=0,CC1072&lt;100000),1,0)</f>
        <v>#N/A</v>
      </c>
      <c r="CK1072" s="112" t="e">
        <f t="shared" ca="1" si="2358"/>
        <v>#N/A</v>
      </c>
      <c r="CM1072" s="112"/>
      <c r="CN1072" s="260" t="e">
        <f t="shared" ca="1" si="2312"/>
        <v>#N/A</v>
      </c>
      <c r="CO1072" s="112" t="e">
        <f t="shared" ref="CO1072:CO1075" ca="1" si="2451">IF(CJ1072=1,CH1072,CD1072)</f>
        <v>#N/A</v>
      </c>
      <c r="CP1072" s="238">
        <f t="shared" ca="1" si="2360"/>
        <v>0</v>
      </c>
      <c r="CQ1072" s="328">
        <f t="shared" ca="1" si="2361"/>
        <v>24</v>
      </c>
      <c r="CS1072" s="112">
        <f t="shared" ca="1" si="2280"/>
        <v>100000</v>
      </c>
      <c r="CT1072" s="112" t="e">
        <f t="shared" ca="1" si="2319"/>
        <v>#N/A</v>
      </c>
      <c r="CU1072" s="238">
        <f t="shared" ca="1" si="2288"/>
        <v>0</v>
      </c>
      <c r="CV1072" s="238">
        <f t="shared" ca="1" si="2289"/>
        <v>24</v>
      </c>
      <c r="CY1072">
        <f t="shared" si="2297"/>
        <v>502</v>
      </c>
      <c r="DE1072" t="str">
        <f t="shared" si="2290"/>
        <v>cs:dc771</v>
      </c>
      <c r="DF1072" t="e">
        <f t="shared" ca="1" si="2291"/>
        <v>#REF!</v>
      </c>
    </row>
    <row r="1073" spans="47:110" x14ac:dyDescent="0.25">
      <c r="AU1073" s="112"/>
      <c r="AV1073" s="112"/>
      <c r="BQ1073" s="238">
        <f t="shared" si="2448"/>
        <v>671</v>
      </c>
      <c r="BR1073" t="s">
        <v>446</v>
      </c>
      <c r="BS1073" t="s">
        <v>447</v>
      </c>
      <c r="BT1073" s="114" t="e">
        <f t="shared" ca="1" si="2440"/>
        <v>#N/A</v>
      </c>
      <c r="BU1073" s="112"/>
      <c r="BV1073" t="e">
        <f t="shared" ca="1" si="2321"/>
        <v>#N/A</v>
      </c>
      <c r="BW1073" s="112" t="e">
        <f t="shared" ca="1" si="2277"/>
        <v>#N/A</v>
      </c>
      <c r="BX1073" s="112" t="e">
        <f t="shared" ca="1" si="2444"/>
        <v>#N/A</v>
      </c>
      <c r="BY1073">
        <f t="shared" ca="1" si="2305"/>
        <v>0</v>
      </c>
      <c r="BZ1073">
        <f t="shared" ca="1" si="2306"/>
        <v>24</v>
      </c>
      <c r="CB1073" t="e">
        <f t="shared" ca="1" si="2281"/>
        <v>#N/A</v>
      </c>
      <c r="CC1073" s="112" t="e">
        <f t="shared" ca="1" si="2282"/>
        <v>#N/A</v>
      </c>
      <c r="CD1073" s="112" t="e">
        <f t="shared" ca="1" si="2283"/>
        <v>#N/A</v>
      </c>
      <c r="CE1073">
        <f t="shared" ca="1" si="2284"/>
        <v>0</v>
      </c>
      <c r="CF1073">
        <f t="shared" ca="1" si="2285"/>
        <v>24</v>
      </c>
      <c r="CH1073" s="112" t="str">
        <f t="shared" ca="1" si="2352"/>
        <v/>
      </c>
      <c r="CI1073" t="e">
        <f t="shared" ca="1" si="2449"/>
        <v>#N/A</v>
      </c>
      <c r="CJ1073" t="e">
        <f t="shared" ref="CJ1073" ca="1" si="2452">IF(AND(CI1073=0,CJ1074=0,CJ1075=0,CC1073&lt;100000),1,0)</f>
        <v>#N/A</v>
      </c>
      <c r="CK1073" s="112" t="e">
        <f t="shared" ca="1" si="2358"/>
        <v>#N/A</v>
      </c>
      <c r="CM1073" s="112"/>
      <c r="CN1073" s="260" t="e">
        <f t="shared" ca="1" si="2312"/>
        <v>#N/A</v>
      </c>
      <c r="CO1073" s="112" t="e">
        <f t="shared" ca="1" si="2451"/>
        <v>#N/A</v>
      </c>
      <c r="CP1073" s="238">
        <f t="shared" ca="1" si="2360"/>
        <v>0</v>
      </c>
      <c r="CQ1073" s="328">
        <f t="shared" ca="1" si="2361"/>
        <v>24</v>
      </c>
      <c r="CS1073" s="112">
        <f t="shared" ca="1" si="2280"/>
        <v>100000</v>
      </c>
      <c r="CT1073" s="112" t="e">
        <f t="shared" ca="1" si="2319"/>
        <v>#N/A</v>
      </c>
      <c r="CU1073" s="238">
        <f t="shared" ca="1" si="2288"/>
        <v>0</v>
      </c>
      <c r="CV1073" s="238">
        <f t="shared" ca="1" si="2289"/>
        <v>24</v>
      </c>
      <c r="CY1073">
        <f t="shared" si="2297"/>
        <v>503</v>
      </c>
      <c r="DE1073" t="str">
        <f t="shared" si="2290"/>
        <v>cs:dc771</v>
      </c>
      <c r="DF1073" t="e">
        <f t="shared" ca="1" si="2291"/>
        <v>#REF!</v>
      </c>
    </row>
    <row r="1074" spans="47:110" x14ac:dyDescent="0.25">
      <c r="AU1074" s="112"/>
      <c r="AV1074" s="112"/>
      <c r="BQ1074" s="238">
        <f t="shared" si="2448"/>
        <v>671</v>
      </c>
      <c r="BR1074" t="s">
        <v>447</v>
      </c>
      <c r="BS1074" t="s">
        <v>448</v>
      </c>
      <c r="BT1074" s="114" t="e">
        <f t="shared" ca="1" si="2440"/>
        <v>#N/A</v>
      </c>
      <c r="BU1074" s="112"/>
      <c r="BV1074" t="e">
        <f t="shared" ca="1" si="2321"/>
        <v>#N/A</v>
      </c>
      <c r="BW1074" s="112" t="e">
        <f t="shared" ca="1" si="2277"/>
        <v>#N/A</v>
      </c>
      <c r="BX1074" s="112" t="e">
        <f t="shared" ref="BX1074:BX1075" ca="1" si="2453">INDIRECT(CONCATENATE(BS1074,BQ1074))</f>
        <v>#N/A</v>
      </c>
      <c r="BY1074">
        <f t="shared" ca="1" si="2305"/>
        <v>0</v>
      </c>
      <c r="BZ1074">
        <f t="shared" ca="1" si="2306"/>
        <v>24</v>
      </c>
      <c r="CB1074" t="e">
        <f t="shared" ca="1" si="2281"/>
        <v>#N/A</v>
      </c>
      <c r="CC1074" s="112" t="e">
        <f t="shared" ca="1" si="2282"/>
        <v>#N/A</v>
      </c>
      <c r="CD1074" s="112" t="e">
        <f t="shared" ca="1" si="2283"/>
        <v>#N/A</v>
      </c>
      <c r="CE1074">
        <f t="shared" ca="1" si="2284"/>
        <v>0</v>
      </c>
      <c r="CF1074">
        <f t="shared" ca="1" si="2285"/>
        <v>24</v>
      </c>
      <c r="CH1074" s="112" t="str">
        <f t="shared" ca="1" si="2352"/>
        <v/>
      </c>
      <c r="CI1074" t="e">
        <f t="shared" ca="1" si="2449"/>
        <v>#N/A</v>
      </c>
      <c r="CJ1074" t="e">
        <f t="shared" ref="CJ1074" ca="1" si="2454">IF(AND(CI1074=0,CJ1075=0,CC1074&lt;100000),1,0)</f>
        <v>#N/A</v>
      </c>
      <c r="CK1074" s="112" t="e">
        <f t="shared" ca="1" si="2358"/>
        <v>#N/A</v>
      </c>
      <c r="CM1074" s="112"/>
      <c r="CN1074" s="260" t="e">
        <f t="shared" ca="1" si="2312"/>
        <v>#N/A</v>
      </c>
      <c r="CO1074" s="112" t="e">
        <f t="shared" ca="1" si="2451"/>
        <v>#N/A</v>
      </c>
      <c r="CP1074" s="238">
        <f t="shared" ca="1" si="2360"/>
        <v>0</v>
      </c>
      <c r="CQ1074" s="328">
        <f t="shared" ca="1" si="2361"/>
        <v>24</v>
      </c>
      <c r="CS1074" s="112">
        <f t="shared" ca="1" si="2280"/>
        <v>100000</v>
      </c>
      <c r="CT1074" s="112" t="e">
        <f t="shared" ca="1" si="2319"/>
        <v>#N/A</v>
      </c>
      <c r="CU1074" s="238">
        <f t="shared" ca="1" si="2288"/>
        <v>0</v>
      </c>
      <c r="CV1074" s="238">
        <f t="shared" ca="1" si="2289"/>
        <v>24</v>
      </c>
      <c r="CY1074">
        <f t="shared" si="2297"/>
        <v>504</v>
      </c>
      <c r="DE1074" t="str">
        <f t="shared" si="2290"/>
        <v>cs:dc771</v>
      </c>
      <c r="DF1074" t="e">
        <f t="shared" ca="1" si="2291"/>
        <v>#REF!</v>
      </c>
    </row>
    <row r="1075" spans="47:110" ht="15.75" thickBot="1" x14ac:dyDescent="0.3">
      <c r="AU1075" s="112"/>
      <c r="AV1075" s="112"/>
      <c r="BQ1075" s="238">
        <f t="shared" si="2448"/>
        <v>671</v>
      </c>
      <c r="BR1075" t="s">
        <v>448</v>
      </c>
      <c r="BS1075" t="s">
        <v>449</v>
      </c>
      <c r="BT1075" s="114" t="e">
        <f t="shared" ca="1" si="2440"/>
        <v>#N/A</v>
      </c>
      <c r="BU1075" s="112"/>
      <c r="BV1075" t="e">
        <f t="shared" ca="1" si="2321"/>
        <v>#N/A</v>
      </c>
      <c r="BW1075" s="112" t="e">
        <f t="shared" ca="1" si="2277"/>
        <v>#N/A</v>
      </c>
      <c r="BX1075" s="112" t="str">
        <f t="shared" ca="1" si="2453"/>
        <v/>
      </c>
      <c r="BY1075">
        <f t="shared" ca="1" si="2305"/>
        <v>0</v>
      </c>
      <c r="BZ1075">
        <f t="shared" ca="1" si="2306"/>
        <v>24</v>
      </c>
      <c r="CB1075" t="e">
        <f t="shared" ca="1" si="2281"/>
        <v>#N/A</v>
      </c>
      <c r="CC1075" s="112" t="e">
        <f t="shared" ca="1" si="2282"/>
        <v>#N/A</v>
      </c>
      <c r="CD1075" s="112" t="str">
        <f t="shared" ca="1" si="2283"/>
        <v/>
      </c>
      <c r="CE1075">
        <f t="shared" ca="1" si="2284"/>
        <v>0</v>
      </c>
      <c r="CF1075">
        <f t="shared" ca="1" si="2285"/>
        <v>24</v>
      </c>
      <c r="CH1075" s="112" t="str">
        <f t="shared" ca="1" si="2352"/>
        <v/>
      </c>
      <c r="CI1075" t="e">
        <f t="shared" ca="1" si="2449"/>
        <v>#N/A</v>
      </c>
      <c r="CJ1075" t="e">
        <f t="shared" ref="CJ1075" ca="1" si="2455">IF(AND(CI1075=0,CC1075&lt;100000),1,0)</f>
        <v>#N/A</v>
      </c>
      <c r="CK1075" s="112" t="e">
        <f t="shared" ca="1" si="2358"/>
        <v>#N/A</v>
      </c>
      <c r="CM1075" s="112"/>
      <c r="CN1075" s="261" t="e">
        <f t="shared" ref="CN1075" ca="1" si="2456">IF(AND(CN1071=100000,CN1072=100000,CN1073=100000,CN1074=100000),INDIRECT(CONCATENATE("aa",BQ1075)),CC1075)</f>
        <v>#N/A</v>
      </c>
      <c r="CO1075" s="324" t="e">
        <f t="shared" ca="1" si="2451"/>
        <v>#N/A</v>
      </c>
      <c r="CP1075" s="256">
        <f t="shared" ca="1" si="2360"/>
        <v>0</v>
      </c>
      <c r="CQ1075" s="329">
        <f t="shared" ca="1" si="2361"/>
        <v>24</v>
      </c>
      <c r="CS1075" s="112">
        <f t="shared" ca="1" si="2280"/>
        <v>100000</v>
      </c>
      <c r="CT1075" s="112" t="e">
        <f t="shared" ca="1" si="2319"/>
        <v>#N/A</v>
      </c>
      <c r="CU1075" s="238">
        <f t="shared" ca="1" si="2288"/>
        <v>0</v>
      </c>
      <c r="CV1075" s="238">
        <f t="shared" ca="1" si="2289"/>
        <v>24</v>
      </c>
      <c r="CY1075">
        <f t="shared" si="2297"/>
        <v>505</v>
      </c>
      <c r="DE1075" t="str">
        <f t="shared" si="2290"/>
        <v>cs:dc771</v>
      </c>
      <c r="DF1075" t="e">
        <f t="shared" ca="1" si="2291"/>
        <v>#REF!</v>
      </c>
    </row>
    <row r="1076" spans="47:110" x14ac:dyDescent="0.25">
      <c r="AU1076" s="112"/>
      <c r="AV1076" s="112"/>
      <c r="BQ1076" s="238">
        <f t="shared" ref="BQ1076" si="2457">BQ1075+1</f>
        <v>672</v>
      </c>
      <c r="BR1076" s="112" t="s">
        <v>444</v>
      </c>
      <c r="BS1076" s="112" t="s">
        <v>445</v>
      </c>
      <c r="BT1076" s="114" t="e">
        <f t="shared" ca="1" si="2440"/>
        <v>#N/A</v>
      </c>
      <c r="BU1076" s="112"/>
      <c r="BV1076">
        <f t="shared" ca="1" si="2321"/>
        <v>0</v>
      </c>
      <c r="BW1076" s="112" t="str">
        <f t="shared" ca="1" si="2277"/>
        <v/>
      </c>
      <c r="BX1076" s="112" t="e">
        <f t="shared" ref="BX1076:BX1078" ca="1" si="2458">INDIRECT(CONCATENATE(BS1076,BQ1076))-1</f>
        <v>#N/A</v>
      </c>
      <c r="BY1076">
        <f t="shared" ca="1" si="2305"/>
        <v>0</v>
      </c>
      <c r="BZ1076">
        <f t="shared" ca="1" si="2306"/>
        <v>24</v>
      </c>
      <c r="CB1076" t="e">
        <f t="shared" ca="1" si="2281"/>
        <v>#N/A</v>
      </c>
      <c r="CC1076" s="112" t="e">
        <f t="shared" ca="1" si="2282"/>
        <v>#N/A</v>
      </c>
      <c r="CD1076" s="112" t="e">
        <f t="shared" ca="1" si="2283"/>
        <v>#N/A</v>
      </c>
      <c r="CE1076">
        <f t="shared" ca="1" si="2284"/>
        <v>0</v>
      </c>
      <c r="CF1076">
        <f t="shared" ca="1" si="2285"/>
        <v>24</v>
      </c>
      <c r="CH1076" s="112" t="str">
        <f t="shared" ca="1" si="2352"/>
        <v/>
      </c>
      <c r="CI1076" t="e">
        <f t="shared" ref="CI1076" ca="1" si="2459">CB1076+CB1077+CB1078+CB1079+CB1080</f>
        <v>#N/A</v>
      </c>
      <c r="CJ1076">
        <v>0</v>
      </c>
      <c r="CK1076" s="112" t="str">
        <f t="shared" ca="1" si="2358"/>
        <v/>
      </c>
      <c r="CM1076" s="112"/>
      <c r="CN1076" s="408" t="e">
        <f t="shared" ca="1" si="2312"/>
        <v>#N/A</v>
      </c>
      <c r="CO1076" s="326" t="e">
        <f t="shared" ref="CO1076" ca="1" si="2460">CD1076</f>
        <v>#N/A</v>
      </c>
      <c r="CP1076" s="333">
        <f t="shared" ca="1" si="2360"/>
        <v>0</v>
      </c>
      <c r="CQ1076" s="327">
        <f t="shared" ca="1" si="2361"/>
        <v>24</v>
      </c>
      <c r="CS1076" s="112">
        <f t="shared" ca="1" si="2280"/>
        <v>100000</v>
      </c>
      <c r="CT1076" s="112" t="e">
        <f t="shared" ref="CT1076" ca="1" si="2461">IF(AND( CN1077=100000,CN1078=100000,CN1079=100000,CN1080=100000),CO1080,                             CO1076)</f>
        <v>#N/A</v>
      </c>
      <c r="CU1076" s="238">
        <f t="shared" ca="1" si="2288"/>
        <v>0</v>
      </c>
      <c r="CV1076" s="238">
        <f t="shared" ca="1" si="2289"/>
        <v>24</v>
      </c>
      <c r="CY1076">
        <f t="shared" si="2297"/>
        <v>506</v>
      </c>
      <c r="DE1076" t="str">
        <f t="shared" si="2290"/>
        <v>cs:dc771</v>
      </c>
      <c r="DF1076" t="e">
        <f t="shared" ca="1" si="2291"/>
        <v>#REF!</v>
      </c>
    </row>
    <row r="1077" spans="47:110" x14ac:dyDescent="0.25">
      <c r="AU1077" s="112"/>
      <c r="AV1077" s="112"/>
      <c r="BQ1077" s="238">
        <f t="shared" ref="BQ1077:BQ1080" si="2462">BQ1076</f>
        <v>672</v>
      </c>
      <c r="BR1077" t="s">
        <v>445</v>
      </c>
      <c r="BS1077" t="s">
        <v>446</v>
      </c>
      <c r="BT1077" s="114" t="e">
        <f t="shared" ca="1" si="2440"/>
        <v>#N/A</v>
      </c>
      <c r="BU1077" s="112"/>
      <c r="BV1077" t="e">
        <f t="shared" ca="1" si="2321"/>
        <v>#N/A</v>
      </c>
      <c r="BW1077" s="112" t="e">
        <f t="shared" ca="1" si="2277"/>
        <v>#N/A</v>
      </c>
      <c r="BX1077" s="112" t="e">
        <f t="shared" ca="1" si="2458"/>
        <v>#N/A</v>
      </c>
      <c r="BY1077">
        <f t="shared" ca="1" si="2305"/>
        <v>0</v>
      </c>
      <c r="BZ1077">
        <f t="shared" ca="1" si="2306"/>
        <v>24</v>
      </c>
      <c r="CB1077" t="e">
        <f t="shared" ca="1" si="2281"/>
        <v>#N/A</v>
      </c>
      <c r="CC1077" s="112" t="e">
        <f t="shared" ca="1" si="2282"/>
        <v>#N/A</v>
      </c>
      <c r="CD1077" s="112" t="e">
        <f t="shared" ca="1" si="2283"/>
        <v>#N/A</v>
      </c>
      <c r="CE1077">
        <f t="shared" ca="1" si="2284"/>
        <v>0</v>
      </c>
      <c r="CF1077">
        <f t="shared" ca="1" si="2285"/>
        <v>24</v>
      </c>
      <c r="CH1077" s="112" t="str">
        <f t="shared" ca="1" si="2352"/>
        <v/>
      </c>
      <c r="CI1077" t="e">
        <f t="shared" ref="CI1077:CI1080" ca="1" si="2463">CI1076</f>
        <v>#N/A</v>
      </c>
      <c r="CJ1077" t="e">
        <f t="shared" ref="CJ1077" ca="1" si="2464">IF(AND(CI1077=0,CJ1078=0,CJ1079=0,CJ1080=0,CC1077&lt;100000),1,0)</f>
        <v>#N/A</v>
      </c>
      <c r="CK1077" s="112" t="e">
        <f t="shared" ca="1" si="2358"/>
        <v>#N/A</v>
      </c>
      <c r="CM1077" s="112"/>
      <c r="CN1077" s="260" t="e">
        <f t="shared" ca="1" si="2312"/>
        <v>#N/A</v>
      </c>
      <c r="CO1077" s="112" t="e">
        <f t="shared" ref="CO1077:CO1080" ca="1" si="2465">IF(CJ1077=1,CH1077,CD1077)</f>
        <v>#N/A</v>
      </c>
      <c r="CP1077" s="238">
        <f t="shared" ca="1" si="2360"/>
        <v>0</v>
      </c>
      <c r="CQ1077" s="328">
        <f t="shared" ca="1" si="2361"/>
        <v>24</v>
      </c>
      <c r="CS1077" s="112">
        <f t="shared" ca="1" si="2280"/>
        <v>100000</v>
      </c>
      <c r="CT1077" s="112" t="e">
        <f t="shared" ca="1" si="2319"/>
        <v>#N/A</v>
      </c>
      <c r="CU1077" s="238">
        <f t="shared" ca="1" si="2288"/>
        <v>0</v>
      </c>
      <c r="CV1077" s="238">
        <f t="shared" ca="1" si="2289"/>
        <v>24</v>
      </c>
      <c r="CY1077">
        <f t="shared" si="2297"/>
        <v>507</v>
      </c>
      <c r="DE1077" t="str">
        <f t="shared" si="2290"/>
        <v>cs:dc771</v>
      </c>
      <c r="DF1077" t="e">
        <f t="shared" ca="1" si="2291"/>
        <v>#REF!</v>
      </c>
    </row>
    <row r="1078" spans="47:110" x14ac:dyDescent="0.25">
      <c r="AU1078" s="112"/>
      <c r="AV1078" s="112"/>
      <c r="BQ1078" s="238">
        <f t="shared" si="2462"/>
        <v>672</v>
      </c>
      <c r="BR1078" t="s">
        <v>446</v>
      </c>
      <c r="BS1078" t="s">
        <v>447</v>
      </c>
      <c r="BT1078" s="114" t="e">
        <f t="shared" ca="1" si="2440"/>
        <v>#N/A</v>
      </c>
      <c r="BU1078" s="112"/>
      <c r="BV1078" t="e">
        <f t="shared" ca="1" si="2321"/>
        <v>#N/A</v>
      </c>
      <c r="BW1078" s="112" t="e">
        <f t="shared" ca="1" si="2277"/>
        <v>#N/A</v>
      </c>
      <c r="BX1078" s="112" t="e">
        <f t="shared" ca="1" si="2458"/>
        <v>#N/A</v>
      </c>
      <c r="BY1078">
        <f t="shared" ca="1" si="2305"/>
        <v>0</v>
      </c>
      <c r="BZ1078">
        <f t="shared" ca="1" si="2306"/>
        <v>24</v>
      </c>
      <c r="CB1078" t="e">
        <f t="shared" ca="1" si="2281"/>
        <v>#N/A</v>
      </c>
      <c r="CC1078" s="112" t="e">
        <f t="shared" ca="1" si="2282"/>
        <v>#N/A</v>
      </c>
      <c r="CD1078" s="112" t="e">
        <f t="shared" ca="1" si="2283"/>
        <v>#N/A</v>
      </c>
      <c r="CE1078">
        <f t="shared" ca="1" si="2284"/>
        <v>0</v>
      </c>
      <c r="CF1078">
        <f t="shared" ca="1" si="2285"/>
        <v>24</v>
      </c>
      <c r="CH1078" s="112" t="str">
        <f t="shared" ca="1" si="2352"/>
        <v/>
      </c>
      <c r="CI1078" t="e">
        <f t="shared" ca="1" si="2463"/>
        <v>#N/A</v>
      </c>
      <c r="CJ1078" t="e">
        <f t="shared" ref="CJ1078" ca="1" si="2466">IF(AND(CI1078=0,CJ1079=0,CJ1080=0,CC1078&lt;100000),1,0)</f>
        <v>#N/A</v>
      </c>
      <c r="CK1078" s="112" t="e">
        <f t="shared" ca="1" si="2358"/>
        <v>#N/A</v>
      </c>
      <c r="CM1078" s="112"/>
      <c r="CN1078" s="260" t="e">
        <f t="shared" ca="1" si="2312"/>
        <v>#N/A</v>
      </c>
      <c r="CO1078" s="112" t="e">
        <f t="shared" ca="1" si="2465"/>
        <v>#N/A</v>
      </c>
      <c r="CP1078" s="238">
        <f t="shared" ca="1" si="2360"/>
        <v>0</v>
      </c>
      <c r="CQ1078" s="328">
        <f t="shared" ca="1" si="2361"/>
        <v>24</v>
      </c>
      <c r="CS1078" s="112">
        <f t="shared" ca="1" si="2280"/>
        <v>100000</v>
      </c>
      <c r="CT1078" s="112" t="e">
        <f t="shared" ca="1" si="2319"/>
        <v>#N/A</v>
      </c>
      <c r="CU1078" s="238">
        <f t="shared" ca="1" si="2288"/>
        <v>0</v>
      </c>
      <c r="CV1078" s="238">
        <f t="shared" ca="1" si="2289"/>
        <v>24</v>
      </c>
      <c r="CY1078">
        <f t="shared" si="2297"/>
        <v>508</v>
      </c>
      <c r="DE1078" t="str">
        <f t="shared" si="2290"/>
        <v>cs:dc771</v>
      </c>
      <c r="DF1078" t="e">
        <f t="shared" ca="1" si="2291"/>
        <v>#REF!</v>
      </c>
    </row>
    <row r="1079" spans="47:110" x14ac:dyDescent="0.25">
      <c r="AU1079" s="112"/>
      <c r="AV1079" s="112"/>
      <c r="BQ1079" s="238">
        <f t="shared" si="2462"/>
        <v>672</v>
      </c>
      <c r="BR1079" t="s">
        <v>447</v>
      </c>
      <c r="BS1079" t="s">
        <v>448</v>
      </c>
      <c r="BT1079" s="114" t="e">
        <f t="shared" ca="1" si="2440"/>
        <v>#N/A</v>
      </c>
      <c r="BU1079" s="112"/>
      <c r="BV1079" t="e">
        <f t="shared" ca="1" si="2321"/>
        <v>#N/A</v>
      </c>
      <c r="BW1079" s="112" t="e">
        <f t="shared" ca="1" si="2277"/>
        <v>#N/A</v>
      </c>
      <c r="BX1079" s="112" t="e">
        <f t="shared" ref="BX1079:BX1080" ca="1" si="2467">INDIRECT(CONCATENATE(BS1079,BQ1079))</f>
        <v>#N/A</v>
      </c>
      <c r="BY1079">
        <f t="shared" ca="1" si="2305"/>
        <v>0</v>
      </c>
      <c r="BZ1079">
        <f t="shared" ca="1" si="2306"/>
        <v>24</v>
      </c>
      <c r="CB1079" t="e">
        <f t="shared" ca="1" si="2281"/>
        <v>#N/A</v>
      </c>
      <c r="CC1079" s="112" t="e">
        <f t="shared" ca="1" si="2282"/>
        <v>#N/A</v>
      </c>
      <c r="CD1079" s="112" t="e">
        <f t="shared" ca="1" si="2283"/>
        <v>#N/A</v>
      </c>
      <c r="CE1079">
        <f t="shared" ca="1" si="2284"/>
        <v>0</v>
      </c>
      <c r="CF1079">
        <f t="shared" ca="1" si="2285"/>
        <v>24</v>
      </c>
      <c r="CH1079" s="112" t="str">
        <f t="shared" ca="1" si="2352"/>
        <v/>
      </c>
      <c r="CI1079" t="e">
        <f t="shared" ca="1" si="2463"/>
        <v>#N/A</v>
      </c>
      <c r="CJ1079" t="e">
        <f t="shared" ref="CJ1079" ca="1" si="2468">IF(AND(CI1079=0,CJ1080=0,CC1079&lt;100000),1,0)</f>
        <v>#N/A</v>
      </c>
      <c r="CK1079" s="112" t="e">
        <f t="shared" ca="1" si="2358"/>
        <v>#N/A</v>
      </c>
      <c r="CM1079" s="112"/>
      <c r="CN1079" s="260" t="e">
        <f t="shared" ca="1" si="2312"/>
        <v>#N/A</v>
      </c>
      <c r="CO1079" s="112" t="e">
        <f t="shared" ca="1" si="2465"/>
        <v>#N/A</v>
      </c>
      <c r="CP1079" s="238">
        <f t="shared" ca="1" si="2360"/>
        <v>0</v>
      </c>
      <c r="CQ1079" s="328">
        <f t="shared" ca="1" si="2361"/>
        <v>24</v>
      </c>
      <c r="CS1079" s="112">
        <f t="shared" ca="1" si="2280"/>
        <v>100000</v>
      </c>
      <c r="CT1079" s="112" t="e">
        <f t="shared" ca="1" si="2319"/>
        <v>#N/A</v>
      </c>
      <c r="CU1079" s="238">
        <f t="shared" ca="1" si="2288"/>
        <v>0</v>
      </c>
      <c r="CV1079" s="238">
        <f t="shared" ca="1" si="2289"/>
        <v>24</v>
      </c>
      <c r="CY1079">
        <f t="shared" si="2297"/>
        <v>509</v>
      </c>
      <c r="DE1079" t="str">
        <f t="shared" si="2290"/>
        <v>cs:dc771</v>
      </c>
      <c r="DF1079" t="e">
        <f t="shared" ca="1" si="2291"/>
        <v>#REF!</v>
      </c>
    </row>
    <row r="1080" spans="47:110" ht="15.75" thickBot="1" x14ac:dyDescent="0.3">
      <c r="AU1080" s="112"/>
      <c r="AV1080" s="112"/>
      <c r="BQ1080" s="238">
        <f t="shared" si="2462"/>
        <v>672</v>
      </c>
      <c r="BR1080" t="s">
        <v>448</v>
      </c>
      <c r="BS1080" t="s">
        <v>449</v>
      </c>
      <c r="BT1080" s="114" t="e">
        <f t="shared" ca="1" si="2440"/>
        <v>#N/A</v>
      </c>
      <c r="BU1080" s="112"/>
      <c r="BV1080" t="e">
        <f t="shared" ca="1" si="2321"/>
        <v>#N/A</v>
      </c>
      <c r="BW1080" s="112" t="e">
        <f t="shared" ca="1" si="2277"/>
        <v>#N/A</v>
      </c>
      <c r="BX1080" s="112" t="str">
        <f t="shared" ca="1" si="2467"/>
        <v/>
      </c>
      <c r="BY1080">
        <f t="shared" ca="1" si="2305"/>
        <v>0</v>
      </c>
      <c r="BZ1080">
        <f t="shared" ca="1" si="2306"/>
        <v>24</v>
      </c>
      <c r="CB1080" t="e">
        <f t="shared" ca="1" si="2281"/>
        <v>#N/A</v>
      </c>
      <c r="CC1080" s="112" t="e">
        <f t="shared" ca="1" si="2282"/>
        <v>#N/A</v>
      </c>
      <c r="CD1080" s="112" t="str">
        <f t="shared" ca="1" si="2283"/>
        <v/>
      </c>
      <c r="CE1080">
        <f t="shared" ca="1" si="2284"/>
        <v>0</v>
      </c>
      <c r="CF1080">
        <f t="shared" ca="1" si="2285"/>
        <v>24</v>
      </c>
      <c r="CH1080" s="112" t="str">
        <f t="shared" ca="1" si="2352"/>
        <v/>
      </c>
      <c r="CI1080" t="e">
        <f t="shared" ca="1" si="2463"/>
        <v>#N/A</v>
      </c>
      <c r="CJ1080" t="e">
        <f t="shared" ref="CJ1080" ca="1" si="2469">IF(AND(CI1080=0,CC1080&lt;100000),1,0)</f>
        <v>#N/A</v>
      </c>
      <c r="CK1080" s="112" t="e">
        <f t="shared" ca="1" si="2358"/>
        <v>#N/A</v>
      </c>
      <c r="CM1080" s="112"/>
      <c r="CN1080" s="261" t="e">
        <f t="shared" ref="CN1080" ca="1" si="2470">IF(AND(CN1076=100000,CN1077=100000,CN1078=100000,CN1079=100000),INDIRECT(CONCATENATE("aa",BQ1080)),CC1080)</f>
        <v>#N/A</v>
      </c>
      <c r="CO1080" s="324" t="e">
        <f t="shared" ca="1" si="2465"/>
        <v>#N/A</v>
      </c>
      <c r="CP1080" s="256">
        <f t="shared" ca="1" si="2360"/>
        <v>0</v>
      </c>
      <c r="CQ1080" s="329">
        <f t="shared" ca="1" si="2361"/>
        <v>24</v>
      </c>
      <c r="CS1080" s="112">
        <f t="shared" ca="1" si="2280"/>
        <v>100000</v>
      </c>
      <c r="CT1080" s="112" t="e">
        <f t="shared" ca="1" si="2319"/>
        <v>#N/A</v>
      </c>
      <c r="CU1080" s="238">
        <f t="shared" ca="1" si="2288"/>
        <v>0</v>
      </c>
      <c r="CV1080" s="238">
        <f t="shared" ca="1" si="2289"/>
        <v>24</v>
      </c>
      <c r="CY1080">
        <f t="shared" si="2297"/>
        <v>510</v>
      </c>
      <c r="DE1080" t="str">
        <f t="shared" si="2290"/>
        <v>cs:dc771</v>
      </c>
      <c r="DF1080" t="e">
        <f t="shared" ca="1" si="2291"/>
        <v>#REF!</v>
      </c>
    </row>
    <row r="1081" spans="47:110" x14ac:dyDescent="0.25">
      <c r="BQ1081" s="238">
        <f t="shared" ref="BQ1081" si="2471">BQ1080+1</f>
        <v>673</v>
      </c>
      <c r="BR1081" s="112" t="s">
        <v>444</v>
      </c>
      <c r="BS1081" s="112" t="s">
        <v>445</v>
      </c>
      <c r="BT1081" s="114" t="e">
        <f t="shared" ca="1" si="2440"/>
        <v>#N/A</v>
      </c>
      <c r="BU1081" s="112"/>
      <c r="BV1081">
        <f t="shared" ca="1" si="2321"/>
        <v>0</v>
      </c>
      <c r="BW1081" s="112" t="str">
        <f t="shared" ca="1" si="2277"/>
        <v/>
      </c>
      <c r="BX1081" s="112" t="e">
        <f t="shared" ref="BX1081:BX1083" ca="1" si="2472">INDIRECT(CONCATENATE(BS1081,BQ1081))-1</f>
        <v>#N/A</v>
      </c>
      <c r="BY1081">
        <f t="shared" ca="1" si="2305"/>
        <v>0</v>
      </c>
      <c r="BZ1081">
        <f t="shared" ca="1" si="2306"/>
        <v>24</v>
      </c>
      <c r="CB1081" t="e">
        <f t="shared" ca="1" si="2281"/>
        <v>#N/A</v>
      </c>
      <c r="CC1081" s="112" t="e">
        <f t="shared" ca="1" si="2282"/>
        <v>#N/A</v>
      </c>
      <c r="CD1081" s="112" t="e">
        <f t="shared" ca="1" si="2283"/>
        <v>#N/A</v>
      </c>
      <c r="CE1081">
        <f t="shared" ca="1" si="2284"/>
        <v>0</v>
      </c>
      <c r="CF1081">
        <f t="shared" ca="1" si="2285"/>
        <v>24</v>
      </c>
      <c r="CH1081" s="112" t="str">
        <f t="shared" ca="1" si="2352"/>
        <v/>
      </c>
      <c r="CI1081" t="e">
        <f t="shared" ref="CI1081" ca="1" si="2473">CB1081+CB1082+CB1083+CB1084+CB1085</f>
        <v>#N/A</v>
      </c>
      <c r="CJ1081">
        <v>0</v>
      </c>
      <c r="CK1081" s="112" t="str">
        <f t="shared" ca="1" si="2358"/>
        <v/>
      </c>
      <c r="CM1081" s="112"/>
      <c r="CN1081" s="408" t="e">
        <f t="shared" ca="1" si="2312"/>
        <v>#N/A</v>
      </c>
      <c r="CO1081" s="326" t="e">
        <f t="shared" ref="CO1081" ca="1" si="2474">CD1081</f>
        <v>#N/A</v>
      </c>
      <c r="CP1081" s="333">
        <f t="shared" ca="1" si="2360"/>
        <v>0</v>
      </c>
      <c r="CQ1081" s="327">
        <f t="shared" ca="1" si="2361"/>
        <v>24</v>
      </c>
      <c r="CS1081" s="112">
        <f t="shared" ca="1" si="2280"/>
        <v>100000</v>
      </c>
      <c r="CT1081" s="112" t="e">
        <f t="shared" ref="CT1081" ca="1" si="2475">IF(AND( CN1082=100000,CN1083=100000,CN1084=100000,CN1085=100000),CO1085,                             CO1081)</f>
        <v>#N/A</v>
      </c>
      <c r="CU1081" s="238">
        <f t="shared" ca="1" si="2288"/>
        <v>0</v>
      </c>
      <c r="CV1081" s="238">
        <f t="shared" ca="1" si="2289"/>
        <v>24</v>
      </c>
      <c r="CY1081">
        <f t="shared" si="2297"/>
        <v>511</v>
      </c>
      <c r="DE1081" t="str">
        <f t="shared" si="2290"/>
        <v>cs:dc771</v>
      </c>
      <c r="DF1081" t="e">
        <f t="shared" ca="1" si="2291"/>
        <v>#REF!</v>
      </c>
    </row>
    <row r="1082" spans="47:110" x14ac:dyDescent="0.25">
      <c r="BQ1082" s="238">
        <f t="shared" ref="BQ1082:BQ1085" si="2476">BQ1081</f>
        <v>673</v>
      </c>
      <c r="BR1082" t="s">
        <v>445</v>
      </c>
      <c r="BS1082" t="s">
        <v>446</v>
      </c>
      <c r="BT1082" s="114" t="e">
        <f t="shared" ca="1" si="2440"/>
        <v>#N/A</v>
      </c>
      <c r="BU1082" s="112"/>
      <c r="BV1082" t="e">
        <f t="shared" ca="1" si="2321"/>
        <v>#N/A</v>
      </c>
      <c r="BW1082" s="112" t="e">
        <f t="shared" ca="1" si="2277"/>
        <v>#N/A</v>
      </c>
      <c r="BX1082" s="112" t="e">
        <f t="shared" ca="1" si="2472"/>
        <v>#N/A</v>
      </c>
      <c r="BY1082">
        <f t="shared" ca="1" si="2305"/>
        <v>0</v>
      </c>
      <c r="BZ1082">
        <f t="shared" ca="1" si="2306"/>
        <v>24</v>
      </c>
      <c r="CB1082" t="e">
        <f t="shared" ca="1" si="2281"/>
        <v>#N/A</v>
      </c>
      <c r="CC1082" s="112" t="e">
        <f t="shared" ca="1" si="2282"/>
        <v>#N/A</v>
      </c>
      <c r="CD1082" s="112" t="e">
        <f t="shared" ca="1" si="2283"/>
        <v>#N/A</v>
      </c>
      <c r="CE1082">
        <f t="shared" ca="1" si="2284"/>
        <v>0</v>
      </c>
      <c r="CF1082">
        <f t="shared" ca="1" si="2285"/>
        <v>24</v>
      </c>
      <c r="CH1082" s="112" t="str">
        <f t="shared" ca="1" si="2352"/>
        <v/>
      </c>
      <c r="CI1082" t="e">
        <f t="shared" ref="CI1082:CI1085" ca="1" si="2477">CI1081</f>
        <v>#N/A</v>
      </c>
      <c r="CJ1082" t="e">
        <f t="shared" ref="CJ1082" ca="1" si="2478">IF(AND(CI1082=0,CJ1083=0,CJ1084=0,CJ1085=0,CC1082&lt;100000),1,0)</f>
        <v>#N/A</v>
      </c>
      <c r="CK1082" s="112" t="e">
        <f t="shared" ca="1" si="2358"/>
        <v>#N/A</v>
      </c>
      <c r="CM1082" s="112"/>
      <c r="CN1082" s="260" t="e">
        <f t="shared" ca="1" si="2312"/>
        <v>#N/A</v>
      </c>
      <c r="CO1082" s="112" t="e">
        <f t="shared" ref="CO1082:CO1085" ca="1" si="2479">IF(CJ1082=1,CH1082,CD1082)</f>
        <v>#N/A</v>
      </c>
      <c r="CP1082" s="238">
        <f t="shared" ca="1" si="2360"/>
        <v>0</v>
      </c>
      <c r="CQ1082" s="328">
        <f t="shared" ca="1" si="2361"/>
        <v>24</v>
      </c>
      <c r="CS1082" s="112">
        <f t="shared" ca="1" si="2280"/>
        <v>100000</v>
      </c>
      <c r="CT1082" s="112" t="e">
        <f t="shared" ca="1" si="2319"/>
        <v>#N/A</v>
      </c>
      <c r="CU1082" s="238">
        <f t="shared" ca="1" si="2288"/>
        <v>0</v>
      </c>
      <c r="CV1082" s="238">
        <f t="shared" ca="1" si="2289"/>
        <v>24</v>
      </c>
      <c r="CY1082">
        <f t="shared" si="2297"/>
        <v>512</v>
      </c>
      <c r="DE1082" t="str">
        <f t="shared" si="2290"/>
        <v>cs:dc771</v>
      </c>
      <c r="DF1082" t="e">
        <f t="shared" ca="1" si="2291"/>
        <v>#REF!</v>
      </c>
    </row>
    <row r="1083" spans="47:110" x14ac:dyDescent="0.25">
      <c r="BQ1083" s="238">
        <f t="shared" si="2476"/>
        <v>673</v>
      </c>
      <c r="BR1083" t="s">
        <v>446</v>
      </c>
      <c r="BS1083" t="s">
        <v>447</v>
      </c>
      <c r="BT1083" s="114" t="e">
        <f t="shared" ca="1" si="2440"/>
        <v>#N/A</v>
      </c>
      <c r="BU1083" s="112"/>
      <c r="BV1083" t="e">
        <f t="shared" ca="1" si="2321"/>
        <v>#N/A</v>
      </c>
      <c r="BW1083" s="112" t="e">
        <f t="shared" ref="BW1083:BW1100" ca="1" si="2480">INDIRECT(CONCATENATE(BR1083,BQ1083))</f>
        <v>#N/A</v>
      </c>
      <c r="BX1083" s="112" t="e">
        <f t="shared" ca="1" si="2472"/>
        <v>#N/A</v>
      </c>
      <c r="BY1083">
        <f t="shared" ca="1" si="2305"/>
        <v>0</v>
      </c>
      <c r="BZ1083">
        <f t="shared" ca="1" si="2306"/>
        <v>24</v>
      </c>
      <c r="CB1083" t="e">
        <f t="shared" ca="1" si="2281"/>
        <v>#N/A</v>
      </c>
      <c r="CC1083" s="112" t="e">
        <f t="shared" ca="1" si="2282"/>
        <v>#N/A</v>
      </c>
      <c r="CD1083" s="112" t="e">
        <f t="shared" ca="1" si="2283"/>
        <v>#N/A</v>
      </c>
      <c r="CE1083">
        <f t="shared" ca="1" si="2284"/>
        <v>0</v>
      </c>
      <c r="CF1083">
        <f t="shared" ca="1" si="2285"/>
        <v>24</v>
      </c>
      <c r="CH1083" s="112" t="str">
        <f t="shared" ca="1" si="2352"/>
        <v/>
      </c>
      <c r="CI1083" t="e">
        <f t="shared" ca="1" si="2477"/>
        <v>#N/A</v>
      </c>
      <c r="CJ1083" t="e">
        <f t="shared" ref="CJ1083" ca="1" si="2481">IF(AND(CI1083=0,CJ1084=0,CJ1085=0,CC1083&lt;100000),1,0)</f>
        <v>#N/A</v>
      </c>
      <c r="CK1083" s="112" t="e">
        <f t="shared" ca="1" si="2358"/>
        <v>#N/A</v>
      </c>
      <c r="CM1083" s="112"/>
      <c r="CN1083" s="260" t="e">
        <f t="shared" ca="1" si="2312"/>
        <v>#N/A</v>
      </c>
      <c r="CO1083" s="112" t="e">
        <f t="shared" ca="1" si="2479"/>
        <v>#N/A</v>
      </c>
      <c r="CP1083" s="238">
        <f t="shared" ca="1" si="2360"/>
        <v>0</v>
      </c>
      <c r="CQ1083" s="328">
        <f t="shared" ca="1" si="2361"/>
        <v>24</v>
      </c>
      <c r="CS1083" s="112">
        <f t="shared" ref="CS1083:CS1100" ca="1" si="2482">IF(TYPE(CN1083)=16,100000,CN1083)</f>
        <v>100000</v>
      </c>
      <c r="CT1083" s="112" t="e">
        <f t="shared" ca="1" si="2319"/>
        <v>#N/A</v>
      </c>
      <c r="CU1083" s="238">
        <f t="shared" ca="1" si="2288"/>
        <v>0</v>
      </c>
      <c r="CV1083" s="238">
        <f t="shared" ca="1" si="2289"/>
        <v>24</v>
      </c>
      <c r="CY1083">
        <f t="shared" si="2297"/>
        <v>513</v>
      </c>
      <c r="DE1083" t="str">
        <f t="shared" si="2290"/>
        <v>cs:dc771</v>
      </c>
      <c r="DF1083" t="e">
        <f t="shared" ca="1" si="2291"/>
        <v>#REF!</v>
      </c>
    </row>
    <row r="1084" spans="47:110" x14ac:dyDescent="0.25">
      <c r="BQ1084" s="238">
        <f t="shared" si="2476"/>
        <v>673</v>
      </c>
      <c r="BR1084" t="s">
        <v>447</v>
      </c>
      <c r="BS1084" t="s">
        <v>448</v>
      </c>
      <c r="BT1084" s="114" t="e">
        <f t="shared" ca="1" si="2440"/>
        <v>#N/A</v>
      </c>
      <c r="BU1084" s="112"/>
      <c r="BV1084" t="e">
        <f t="shared" ca="1" si="2321"/>
        <v>#N/A</v>
      </c>
      <c r="BW1084" s="112" t="e">
        <f t="shared" ca="1" si="2480"/>
        <v>#N/A</v>
      </c>
      <c r="BX1084" s="112" t="e">
        <f t="shared" ref="BX1084:BX1085" ca="1" si="2483">INDIRECT(CONCATENATE(BS1084,BQ1084))</f>
        <v>#N/A</v>
      </c>
      <c r="BY1084">
        <f t="shared" ca="1" si="2305"/>
        <v>0</v>
      </c>
      <c r="BZ1084">
        <f t="shared" ca="1" si="2306"/>
        <v>24</v>
      </c>
      <c r="CB1084" t="e">
        <f t="shared" ref="CB1084:CB1100" ca="1" si="2484">IF(AND(CC1084&lt;&gt;100000,CD1084=INDIRECT(CONCATENATE("aq",BQ1084))),1,0)</f>
        <v>#N/A</v>
      </c>
      <c r="CC1084" s="112" t="e">
        <f t="shared" ref="CC1084:CC1100" ca="1" si="2485">IF(OR(BV1084=0,BW1084&gt;BX1084),100000,BW1084)</f>
        <v>#N/A</v>
      </c>
      <c r="CD1084" s="112" t="e">
        <f t="shared" ref="CD1084:CD1100" ca="1" si="2486">BX1084</f>
        <v>#N/A</v>
      </c>
      <c r="CE1084">
        <f t="shared" ref="CE1084:CE1100" ca="1" si="2487">BY1084</f>
        <v>0</v>
      </c>
      <c r="CF1084">
        <f t="shared" ref="CF1084:CF1100" ca="1" si="2488">BZ1084</f>
        <v>24</v>
      </c>
      <c r="CH1084" s="112" t="str">
        <f t="shared" ca="1" si="2352"/>
        <v/>
      </c>
      <c r="CI1084" t="e">
        <f t="shared" ca="1" si="2477"/>
        <v>#N/A</v>
      </c>
      <c r="CJ1084" t="e">
        <f t="shared" ref="CJ1084" ca="1" si="2489">IF(AND(CI1084=0,CJ1085=0,CC1084&lt;100000),1,0)</f>
        <v>#N/A</v>
      </c>
      <c r="CK1084" s="112" t="e">
        <f t="shared" ca="1" si="2358"/>
        <v>#N/A</v>
      </c>
      <c r="CM1084" s="112"/>
      <c r="CN1084" s="260" t="e">
        <f t="shared" ca="1" si="2312"/>
        <v>#N/A</v>
      </c>
      <c r="CO1084" s="112" t="e">
        <f t="shared" ca="1" si="2479"/>
        <v>#N/A</v>
      </c>
      <c r="CP1084" s="238">
        <f t="shared" ca="1" si="2360"/>
        <v>0</v>
      </c>
      <c r="CQ1084" s="328">
        <f t="shared" ca="1" si="2361"/>
        <v>24</v>
      </c>
      <c r="CS1084" s="112">
        <f t="shared" ca="1" si="2482"/>
        <v>100000</v>
      </c>
      <c r="CT1084" s="112" t="e">
        <f t="shared" ca="1" si="2319"/>
        <v>#N/A</v>
      </c>
      <c r="CU1084" s="238">
        <f t="shared" ref="CU1084:CU1100" ca="1" si="2490">CP1084</f>
        <v>0</v>
      </c>
      <c r="CV1084" s="238">
        <f t="shared" ref="CV1084:CV1100" ca="1" si="2491">CQ1084</f>
        <v>24</v>
      </c>
      <c r="CY1084">
        <f t="shared" si="2297"/>
        <v>514</v>
      </c>
      <c r="DE1084" t="str">
        <f t="shared" ref="DE1084:DE1100" si="2492">CONCATENATE("cs",DC1084,":dc771")</f>
        <v>cs:dc771</v>
      </c>
      <c r="DF1084" t="e">
        <f t="shared" ref="DF1084:DF1100" ca="1" si="2493">VLOOKUP(DA1084,INDIRECT(DE1084),11,FALSE)</f>
        <v>#REF!</v>
      </c>
    </row>
    <row r="1085" spans="47:110" ht="15.75" thickBot="1" x14ac:dyDescent="0.3">
      <c r="BQ1085" s="238">
        <f t="shared" si="2476"/>
        <v>673</v>
      </c>
      <c r="BR1085" t="s">
        <v>448</v>
      </c>
      <c r="BS1085" t="s">
        <v>449</v>
      </c>
      <c r="BT1085" s="114" t="e">
        <f t="shared" ca="1" si="2440"/>
        <v>#N/A</v>
      </c>
      <c r="BU1085" s="112"/>
      <c r="BV1085" t="e">
        <f t="shared" ca="1" si="2321"/>
        <v>#N/A</v>
      </c>
      <c r="BW1085" s="112" t="e">
        <f t="shared" ca="1" si="2480"/>
        <v>#N/A</v>
      </c>
      <c r="BX1085" s="112" t="str">
        <f t="shared" ca="1" si="2483"/>
        <v/>
      </c>
      <c r="BY1085">
        <f t="shared" ca="1" si="2305"/>
        <v>0</v>
      </c>
      <c r="BZ1085">
        <f t="shared" ca="1" si="2306"/>
        <v>24</v>
      </c>
      <c r="CB1085" t="e">
        <f t="shared" ca="1" si="2484"/>
        <v>#N/A</v>
      </c>
      <c r="CC1085" s="112" t="e">
        <f t="shared" ca="1" si="2485"/>
        <v>#N/A</v>
      </c>
      <c r="CD1085" s="112" t="str">
        <f t="shared" ca="1" si="2486"/>
        <v/>
      </c>
      <c r="CE1085">
        <f t="shared" ca="1" si="2487"/>
        <v>0</v>
      </c>
      <c r="CF1085">
        <f t="shared" ca="1" si="2488"/>
        <v>24</v>
      </c>
      <c r="CH1085" s="112" t="str">
        <f t="shared" ca="1" si="2352"/>
        <v/>
      </c>
      <c r="CI1085" t="e">
        <f t="shared" ca="1" si="2477"/>
        <v>#N/A</v>
      </c>
      <c r="CJ1085" t="e">
        <f t="shared" ref="CJ1085" ca="1" si="2494">IF(AND(CI1085=0,CC1085&lt;100000),1,0)</f>
        <v>#N/A</v>
      </c>
      <c r="CK1085" s="112" t="e">
        <f t="shared" ca="1" si="2358"/>
        <v>#N/A</v>
      </c>
      <c r="CM1085" s="112"/>
      <c r="CN1085" s="261" t="e">
        <f t="shared" ref="CN1085" ca="1" si="2495">IF(AND(CN1081=100000,CN1082=100000,CN1083=100000,CN1084=100000),INDIRECT(CONCATENATE("aa",BQ1085)),CC1085)</f>
        <v>#N/A</v>
      </c>
      <c r="CO1085" s="324" t="e">
        <f t="shared" ca="1" si="2479"/>
        <v>#N/A</v>
      </c>
      <c r="CP1085" s="256">
        <f t="shared" ca="1" si="2360"/>
        <v>0</v>
      </c>
      <c r="CQ1085" s="329">
        <f t="shared" ca="1" si="2361"/>
        <v>24</v>
      </c>
      <c r="CS1085" s="112">
        <f t="shared" ca="1" si="2482"/>
        <v>100000</v>
      </c>
      <c r="CT1085" s="112" t="e">
        <f t="shared" ca="1" si="2319"/>
        <v>#N/A</v>
      </c>
      <c r="CU1085" s="238">
        <f t="shared" ca="1" si="2490"/>
        <v>0</v>
      </c>
      <c r="CV1085" s="238">
        <f t="shared" ca="1" si="2491"/>
        <v>24</v>
      </c>
      <c r="CY1085">
        <f t="shared" ref="CY1085:CY1100" si="2496">CY1084+1</f>
        <v>515</v>
      </c>
      <c r="DE1085" t="str">
        <f t="shared" si="2492"/>
        <v>cs:dc771</v>
      </c>
      <c r="DF1085" t="e">
        <f t="shared" ca="1" si="2493"/>
        <v>#REF!</v>
      </c>
    </row>
    <row r="1086" spans="47:110" x14ac:dyDescent="0.25">
      <c r="BQ1086" s="238">
        <f t="shared" ref="BQ1086" si="2497">BQ1085+1</f>
        <v>674</v>
      </c>
      <c r="BR1086" s="112" t="s">
        <v>444</v>
      </c>
      <c r="BS1086" s="112" t="s">
        <v>445</v>
      </c>
      <c r="BT1086" s="114" t="e">
        <f t="shared" ca="1" si="2440"/>
        <v>#N/A</v>
      </c>
      <c r="BU1086" s="112"/>
      <c r="BV1086">
        <f t="shared" ca="1" si="2321"/>
        <v>0</v>
      </c>
      <c r="BW1086" s="112" t="str">
        <f t="shared" ca="1" si="2480"/>
        <v/>
      </c>
      <c r="BX1086" s="112" t="e">
        <f t="shared" ref="BX1086:BX1088" ca="1" si="2498">INDIRECT(CONCATENATE(BS1086,BQ1086))-1</f>
        <v>#N/A</v>
      </c>
      <c r="BY1086">
        <f t="shared" ca="1" si="2305"/>
        <v>0</v>
      </c>
      <c r="BZ1086">
        <f t="shared" ca="1" si="2306"/>
        <v>24</v>
      </c>
      <c r="CB1086" t="e">
        <f t="shared" ca="1" si="2484"/>
        <v>#N/A</v>
      </c>
      <c r="CC1086" s="112" t="e">
        <f t="shared" ca="1" si="2485"/>
        <v>#N/A</v>
      </c>
      <c r="CD1086" s="112" t="e">
        <f t="shared" ca="1" si="2486"/>
        <v>#N/A</v>
      </c>
      <c r="CE1086">
        <f t="shared" ca="1" si="2487"/>
        <v>0</v>
      </c>
      <c r="CF1086">
        <f t="shared" ca="1" si="2488"/>
        <v>24</v>
      </c>
      <c r="CH1086" s="112" t="str">
        <f t="shared" ca="1" si="2352"/>
        <v/>
      </c>
      <c r="CI1086" t="e">
        <f t="shared" ref="CI1086" ca="1" si="2499">CB1086+CB1087+CB1088+CB1089+CB1090</f>
        <v>#N/A</v>
      </c>
      <c r="CJ1086">
        <v>0</v>
      </c>
      <c r="CK1086" s="112" t="str">
        <f t="shared" ca="1" si="2358"/>
        <v/>
      </c>
      <c r="CM1086" s="112"/>
      <c r="CN1086" s="408" t="e">
        <f t="shared" ca="1" si="2312"/>
        <v>#N/A</v>
      </c>
      <c r="CO1086" s="112" t="e">
        <f t="shared" ref="CO1086" ca="1" si="2500">CD1086</f>
        <v>#N/A</v>
      </c>
      <c r="CP1086" s="238">
        <f t="shared" ca="1" si="2360"/>
        <v>0</v>
      </c>
      <c r="CQ1086" s="238">
        <f t="shared" ca="1" si="2361"/>
        <v>24</v>
      </c>
      <c r="CS1086" s="112">
        <f t="shared" ca="1" si="2482"/>
        <v>100000</v>
      </c>
      <c r="CT1086" s="112" t="e">
        <f t="shared" ref="CT1086" ca="1" si="2501">IF(AND( CN1087=100000,CN1088=100000,CN1089=100000,CN1090=100000),CO1090,                             CO1086)</f>
        <v>#N/A</v>
      </c>
      <c r="CU1086" s="238">
        <f t="shared" ca="1" si="2490"/>
        <v>0</v>
      </c>
      <c r="CV1086" s="238">
        <f t="shared" ca="1" si="2491"/>
        <v>24</v>
      </c>
      <c r="CY1086">
        <f t="shared" si="2496"/>
        <v>516</v>
      </c>
      <c r="DE1086" t="str">
        <f t="shared" si="2492"/>
        <v>cs:dc771</v>
      </c>
      <c r="DF1086" t="e">
        <f t="shared" ca="1" si="2493"/>
        <v>#REF!</v>
      </c>
    </row>
    <row r="1087" spans="47:110" x14ac:dyDescent="0.25">
      <c r="BQ1087" s="238">
        <f t="shared" ref="BQ1087:BQ1090" si="2502">BQ1086</f>
        <v>674</v>
      </c>
      <c r="BR1087" t="s">
        <v>445</v>
      </c>
      <c r="BS1087" t="s">
        <v>446</v>
      </c>
      <c r="BT1087" s="114" t="e">
        <f t="shared" ca="1" si="2440"/>
        <v>#N/A</v>
      </c>
      <c r="BU1087" s="112"/>
      <c r="BV1087" t="e">
        <f t="shared" ca="1" si="2321"/>
        <v>#N/A</v>
      </c>
      <c r="BW1087" s="112" t="e">
        <f t="shared" ca="1" si="2480"/>
        <v>#N/A</v>
      </c>
      <c r="BX1087" s="112" t="e">
        <f t="shared" ca="1" si="2498"/>
        <v>#N/A</v>
      </c>
      <c r="BY1087">
        <f t="shared" ca="1" si="2305"/>
        <v>0</v>
      </c>
      <c r="BZ1087">
        <f t="shared" ca="1" si="2306"/>
        <v>24</v>
      </c>
      <c r="CB1087" t="e">
        <f t="shared" ca="1" si="2484"/>
        <v>#N/A</v>
      </c>
      <c r="CC1087" s="112" t="e">
        <f t="shared" ca="1" si="2485"/>
        <v>#N/A</v>
      </c>
      <c r="CD1087" s="112" t="e">
        <f t="shared" ca="1" si="2486"/>
        <v>#N/A</v>
      </c>
      <c r="CE1087">
        <f t="shared" ca="1" si="2487"/>
        <v>0</v>
      </c>
      <c r="CF1087">
        <f t="shared" ca="1" si="2488"/>
        <v>24</v>
      </c>
      <c r="CH1087" s="112" t="str">
        <f t="shared" ca="1" si="2352"/>
        <v/>
      </c>
      <c r="CI1087" t="e">
        <f t="shared" ref="CI1087:CI1090" ca="1" si="2503">CI1086</f>
        <v>#N/A</v>
      </c>
      <c r="CJ1087" t="e">
        <f t="shared" ref="CJ1087" ca="1" si="2504">IF(AND(CI1087=0,CJ1088=0,CJ1089=0,CJ1090=0,CC1087&lt;100000),1,0)</f>
        <v>#N/A</v>
      </c>
      <c r="CK1087" s="112" t="e">
        <f t="shared" ca="1" si="2358"/>
        <v>#N/A</v>
      </c>
      <c r="CM1087" s="112"/>
      <c r="CN1087" s="260" t="e">
        <f t="shared" ca="1" si="2312"/>
        <v>#N/A</v>
      </c>
      <c r="CO1087" s="112" t="e">
        <f t="shared" ref="CO1087:CO1090" ca="1" si="2505">IF(CJ1087=1,CH1087,CD1087)</f>
        <v>#N/A</v>
      </c>
      <c r="CP1087" s="238">
        <f t="shared" ca="1" si="2360"/>
        <v>0</v>
      </c>
      <c r="CQ1087" s="238">
        <f t="shared" ca="1" si="2361"/>
        <v>24</v>
      </c>
      <c r="CS1087" s="112">
        <f t="shared" ca="1" si="2482"/>
        <v>100000</v>
      </c>
      <c r="CT1087" s="112" t="e">
        <f t="shared" ca="1" si="2319"/>
        <v>#N/A</v>
      </c>
      <c r="CU1087" s="238">
        <f t="shared" ca="1" si="2490"/>
        <v>0</v>
      </c>
      <c r="CV1087" s="238">
        <f t="shared" ca="1" si="2491"/>
        <v>24</v>
      </c>
      <c r="CY1087">
        <f t="shared" si="2496"/>
        <v>517</v>
      </c>
      <c r="DE1087" t="str">
        <f t="shared" si="2492"/>
        <v>cs:dc771</v>
      </c>
      <c r="DF1087" t="e">
        <f t="shared" ca="1" si="2493"/>
        <v>#REF!</v>
      </c>
    </row>
    <row r="1088" spans="47:110" x14ac:dyDescent="0.25">
      <c r="BQ1088" s="238">
        <f t="shared" si="2502"/>
        <v>674</v>
      </c>
      <c r="BR1088" t="s">
        <v>446</v>
      </c>
      <c r="BS1088" t="s">
        <v>447</v>
      </c>
      <c r="BT1088" s="114" t="e">
        <f t="shared" ca="1" si="2440"/>
        <v>#N/A</v>
      </c>
      <c r="BU1088" s="112"/>
      <c r="BV1088" t="e">
        <f t="shared" ca="1" si="2321"/>
        <v>#N/A</v>
      </c>
      <c r="BW1088" s="112" t="e">
        <f t="shared" ca="1" si="2480"/>
        <v>#N/A</v>
      </c>
      <c r="BX1088" s="112" t="e">
        <f t="shared" ca="1" si="2498"/>
        <v>#N/A</v>
      </c>
      <c r="BY1088">
        <f t="shared" ca="1" si="2305"/>
        <v>0</v>
      </c>
      <c r="BZ1088">
        <f t="shared" ca="1" si="2306"/>
        <v>24</v>
      </c>
      <c r="CB1088" t="e">
        <f t="shared" ca="1" si="2484"/>
        <v>#N/A</v>
      </c>
      <c r="CC1088" s="112" t="e">
        <f t="shared" ca="1" si="2485"/>
        <v>#N/A</v>
      </c>
      <c r="CD1088" s="112" t="e">
        <f t="shared" ca="1" si="2486"/>
        <v>#N/A</v>
      </c>
      <c r="CE1088">
        <f t="shared" ca="1" si="2487"/>
        <v>0</v>
      </c>
      <c r="CF1088">
        <f t="shared" ca="1" si="2488"/>
        <v>24</v>
      </c>
      <c r="CH1088" s="112" t="str">
        <f t="shared" ca="1" si="2352"/>
        <v/>
      </c>
      <c r="CI1088" t="e">
        <f t="shared" ca="1" si="2503"/>
        <v>#N/A</v>
      </c>
      <c r="CJ1088" t="e">
        <f t="shared" ref="CJ1088" ca="1" si="2506">IF(AND(CI1088=0,CJ1089=0,CJ1090=0,CC1088&lt;100000),1,0)</f>
        <v>#N/A</v>
      </c>
      <c r="CK1088" s="112" t="e">
        <f t="shared" ca="1" si="2358"/>
        <v>#N/A</v>
      </c>
      <c r="CM1088" s="112"/>
      <c r="CN1088" s="260" t="e">
        <f t="shared" ca="1" si="2312"/>
        <v>#N/A</v>
      </c>
      <c r="CO1088" s="112" t="e">
        <f t="shared" ca="1" si="2505"/>
        <v>#N/A</v>
      </c>
      <c r="CP1088" s="238">
        <f t="shared" ca="1" si="2360"/>
        <v>0</v>
      </c>
      <c r="CQ1088" s="238">
        <f t="shared" ca="1" si="2361"/>
        <v>24</v>
      </c>
      <c r="CS1088" s="112">
        <f t="shared" ca="1" si="2482"/>
        <v>100000</v>
      </c>
      <c r="CT1088" s="112" t="e">
        <f t="shared" ca="1" si="2319"/>
        <v>#N/A</v>
      </c>
      <c r="CU1088" s="238">
        <f t="shared" ca="1" si="2490"/>
        <v>0</v>
      </c>
      <c r="CV1088" s="238">
        <f t="shared" ca="1" si="2491"/>
        <v>24</v>
      </c>
      <c r="CY1088">
        <f t="shared" si="2496"/>
        <v>518</v>
      </c>
      <c r="DE1088" t="str">
        <f t="shared" si="2492"/>
        <v>cs:dc771</v>
      </c>
      <c r="DF1088" t="e">
        <f t="shared" ca="1" si="2493"/>
        <v>#REF!</v>
      </c>
    </row>
    <row r="1089" spans="69:110" x14ac:dyDescent="0.25">
      <c r="BQ1089" s="238">
        <f t="shared" si="2502"/>
        <v>674</v>
      </c>
      <c r="BR1089" t="s">
        <v>447</v>
      </c>
      <c r="BS1089" t="s">
        <v>448</v>
      </c>
      <c r="BT1089" s="114" t="e">
        <f t="shared" ca="1" si="2440"/>
        <v>#N/A</v>
      </c>
      <c r="BU1089" s="112"/>
      <c r="BV1089" t="e">
        <f t="shared" ca="1" si="2321"/>
        <v>#N/A</v>
      </c>
      <c r="BW1089" s="112" t="e">
        <f t="shared" ca="1" si="2480"/>
        <v>#N/A</v>
      </c>
      <c r="BX1089" s="112" t="e">
        <f t="shared" ref="BX1089:BX1090" ca="1" si="2507">INDIRECT(CONCATENATE(BS1089,BQ1089))</f>
        <v>#N/A</v>
      </c>
      <c r="BY1089">
        <f t="shared" ref="BY1089:BY1100" ca="1" si="2508">INDIRECT(CONCATENATE("ag",BQ1089))</f>
        <v>0</v>
      </c>
      <c r="BZ1089">
        <f t="shared" ref="BZ1089:BZ1100" ca="1" si="2509">INDIRECT(CONCATENATE("ah",BQ1089))</f>
        <v>24</v>
      </c>
      <c r="CB1089" t="e">
        <f t="shared" ca="1" si="2484"/>
        <v>#N/A</v>
      </c>
      <c r="CC1089" s="112" t="e">
        <f t="shared" ca="1" si="2485"/>
        <v>#N/A</v>
      </c>
      <c r="CD1089" s="112" t="e">
        <f t="shared" ca="1" si="2486"/>
        <v>#N/A</v>
      </c>
      <c r="CE1089">
        <f t="shared" ca="1" si="2487"/>
        <v>0</v>
      </c>
      <c r="CF1089">
        <f t="shared" ca="1" si="2488"/>
        <v>24</v>
      </c>
      <c r="CH1089" s="112" t="str">
        <f t="shared" ca="1" si="2352"/>
        <v/>
      </c>
      <c r="CI1089" t="e">
        <f t="shared" ca="1" si="2503"/>
        <v>#N/A</v>
      </c>
      <c r="CJ1089" t="e">
        <f t="shared" ref="CJ1089" ca="1" si="2510">IF(AND(CI1089=0,CJ1090=0,CC1089&lt;100000),1,0)</f>
        <v>#N/A</v>
      </c>
      <c r="CK1089" s="112" t="e">
        <f t="shared" ca="1" si="2358"/>
        <v>#N/A</v>
      </c>
      <c r="CM1089" s="112"/>
      <c r="CN1089" s="260" t="e">
        <f t="shared" ca="1" si="2312"/>
        <v>#N/A</v>
      </c>
      <c r="CO1089" s="112" t="e">
        <f t="shared" ca="1" si="2505"/>
        <v>#N/A</v>
      </c>
      <c r="CP1089" s="238">
        <f t="shared" ca="1" si="2360"/>
        <v>0</v>
      </c>
      <c r="CQ1089" s="238">
        <f t="shared" ca="1" si="2361"/>
        <v>24</v>
      </c>
      <c r="CS1089" s="112">
        <f t="shared" ca="1" si="2482"/>
        <v>100000</v>
      </c>
      <c r="CT1089" s="112" t="e">
        <f t="shared" ca="1" si="2319"/>
        <v>#N/A</v>
      </c>
      <c r="CU1089" s="238">
        <f t="shared" ca="1" si="2490"/>
        <v>0</v>
      </c>
      <c r="CV1089" s="238">
        <f t="shared" ca="1" si="2491"/>
        <v>24</v>
      </c>
      <c r="CY1089">
        <f t="shared" si="2496"/>
        <v>519</v>
      </c>
      <c r="DE1089" t="str">
        <f t="shared" si="2492"/>
        <v>cs:dc771</v>
      </c>
      <c r="DF1089" t="e">
        <f t="shared" ca="1" si="2493"/>
        <v>#REF!</v>
      </c>
    </row>
    <row r="1090" spans="69:110" ht="15.75" thickBot="1" x14ac:dyDescent="0.3">
      <c r="BQ1090" s="238">
        <f t="shared" si="2502"/>
        <v>674</v>
      </c>
      <c r="BR1090" t="s">
        <v>448</v>
      </c>
      <c r="BS1090" t="s">
        <v>449</v>
      </c>
      <c r="BT1090" s="114" t="e">
        <f t="shared" ca="1" si="2440"/>
        <v>#N/A</v>
      </c>
      <c r="BU1090" s="112"/>
      <c r="BV1090" t="e">
        <f t="shared" ca="1" si="2321"/>
        <v>#N/A</v>
      </c>
      <c r="BW1090" s="112" t="e">
        <f t="shared" ca="1" si="2480"/>
        <v>#N/A</v>
      </c>
      <c r="BX1090" s="112" t="str">
        <f t="shared" ca="1" si="2507"/>
        <v/>
      </c>
      <c r="BY1090">
        <f t="shared" ca="1" si="2508"/>
        <v>0</v>
      </c>
      <c r="BZ1090">
        <f t="shared" ca="1" si="2509"/>
        <v>24</v>
      </c>
      <c r="CB1090" t="e">
        <f t="shared" ca="1" si="2484"/>
        <v>#N/A</v>
      </c>
      <c r="CC1090" s="112" t="e">
        <f t="shared" ca="1" si="2485"/>
        <v>#N/A</v>
      </c>
      <c r="CD1090" s="112" t="str">
        <f t="shared" ca="1" si="2486"/>
        <v/>
      </c>
      <c r="CE1090">
        <f t="shared" ca="1" si="2487"/>
        <v>0</v>
      </c>
      <c r="CF1090">
        <f t="shared" ca="1" si="2488"/>
        <v>24</v>
      </c>
      <c r="CH1090" s="112" t="str">
        <f t="shared" ca="1" si="2352"/>
        <v/>
      </c>
      <c r="CI1090" t="e">
        <f t="shared" ca="1" si="2503"/>
        <v>#N/A</v>
      </c>
      <c r="CJ1090" t="e">
        <f t="shared" ref="CJ1090" ca="1" si="2511">IF(AND(CI1090=0,CC1090&lt;100000),1,0)</f>
        <v>#N/A</v>
      </c>
      <c r="CK1090" s="112" t="e">
        <f t="shared" ca="1" si="2358"/>
        <v>#N/A</v>
      </c>
      <c r="CM1090" s="112"/>
      <c r="CN1090" s="261" t="e">
        <f t="shared" ref="CN1090" ca="1" si="2512">IF(AND(CN1086=100000,CN1087=100000,CN1088=100000,CN1089=100000),INDIRECT(CONCATENATE("aa",BQ1090)),CC1090)</f>
        <v>#N/A</v>
      </c>
      <c r="CO1090" s="112" t="e">
        <f t="shared" ca="1" si="2505"/>
        <v>#N/A</v>
      </c>
      <c r="CP1090" s="238">
        <f t="shared" ca="1" si="2360"/>
        <v>0</v>
      </c>
      <c r="CQ1090" s="238">
        <f t="shared" ca="1" si="2361"/>
        <v>24</v>
      </c>
      <c r="CS1090" s="112">
        <f t="shared" ca="1" si="2482"/>
        <v>100000</v>
      </c>
      <c r="CT1090" s="112" t="e">
        <f t="shared" ca="1" si="2319"/>
        <v>#N/A</v>
      </c>
      <c r="CU1090" s="238">
        <f t="shared" ca="1" si="2490"/>
        <v>0</v>
      </c>
      <c r="CV1090" s="238">
        <f t="shared" ca="1" si="2491"/>
        <v>24</v>
      </c>
      <c r="CY1090">
        <f t="shared" si="2496"/>
        <v>520</v>
      </c>
      <c r="DE1090" t="str">
        <f t="shared" si="2492"/>
        <v>cs:dc771</v>
      </c>
      <c r="DF1090" t="e">
        <f t="shared" ca="1" si="2493"/>
        <v>#REF!</v>
      </c>
    </row>
    <row r="1091" spans="69:110" x14ac:dyDescent="0.25">
      <c r="BQ1091" s="238">
        <f t="shared" ref="BQ1091" si="2513">BQ1090+1</f>
        <v>675</v>
      </c>
      <c r="BR1091" s="112" t="s">
        <v>444</v>
      </c>
      <c r="BS1091" s="112" t="s">
        <v>445</v>
      </c>
      <c r="BT1091" s="114" t="e">
        <f t="shared" ca="1" si="2440"/>
        <v>#N/A</v>
      </c>
      <c r="BU1091" s="112"/>
      <c r="BV1091">
        <f t="shared" ca="1" si="2321"/>
        <v>0</v>
      </c>
      <c r="BW1091" s="112" t="str">
        <f t="shared" ca="1" si="2480"/>
        <v/>
      </c>
      <c r="BX1091" s="112" t="e">
        <f t="shared" ref="BX1091:BX1093" ca="1" si="2514">INDIRECT(CONCATENATE(BS1091,BQ1091))-1</f>
        <v>#N/A</v>
      </c>
      <c r="BY1091">
        <f t="shared" ca="1" si="2508"/>
        <v>0</v>
      </c>
      <c r="BZ1091">
        <f t="shared" ca="1" si="2509"/>
        <v>24</v>
      </c>
      <c r="CB1091" t="e">
        <f t="shared" ca="1" si="2484"/>
        <v>#N/A</v>
      </c>
      <c r="CC1091" s="112" t="e">
        <f t="shared" ca="1" si="2485"/>
        <v>#N/A</v>
      </c>
      <c r="CD1091" s="112" t="e">
        <f t="shared" ca="1" si="2486"/>
        <v>#N/A</v>
      </c>
      <c r="CE1091">
        <f t="shared" ca="1" si="2487"/>
        <v>0</v>
      </c>
      <c r="CF1091">
        <f t="shared" ca="1" si="2488"/>
        <v>24</v>
      </c>
      <c r="CH1091" s="112" t="str">
        <f t="shared" ca="1" si="2352"/>
        <v/>
      </c>
      <c r="CI1091" t="e">
        <f t="shared" ref="CI1091" ca="1" si="2515">CB1091+CB1092+CB1093+CB1094+CB1095</f>
        <v>#N/A</v>
      </c>
      <c r="CJ1091">
        <v>0</v>
      </c>
      <c r="CK1091" s="112" t="str">
        <f t="shared" ca="1" si="2358"/>
        <v/>
      </c>
      <c r="CM1091" s="112"/>
      <c r="CN1091" s="408" t="e">
        <f t="shared" ref="CN1091:CN1099" ca="1" si="2516">CC1091</f>
        <v>#N/A</v>
      </c>
      <c r="CO1091" s="112" t="e">
        <f t="shared" ref="CO1091" ca="1" si="2517">CD1091</f>
        <v>#N/A</v>
      </c>
      <c r="CP1091" s="238">
        <f t="shared" ca="1" si="2360"/>
        <v>0</v>
      </c>
      <c r="CQ1091" s="238">
        <f t="shared" ca="1" si="2361"/>
        <v>24</v>
      </c>
      <c r="CS1091" s="112">
        <f t="shared" ca="1" si="2482"/>
        <v>100000</v>
      </c>
      <c r="CT1091" s="112" t="e">
        <f t="shared" ref="CT1091" ca="1" si="2518">IF(AND( CN1092=100000,CN1093=100000,CN1094=100000,CN1095=100000),CO1095,                             CO1091)</f>
        <v>#N/A</v>
      </c>
      <c r="CU1091" s="238">
        <f t="shared" ca="1" si="2490"/>
        <v>0</v>
      </c>
      <c r="CV1091" s="238">
        <f t="shared" ca="1" si="2491"/>
        <v>24</v>
      </c>
      <c r="CY1091">
        <f t="shared" si="2496"/>
        <v>521</v>
      </c>
      <c r="DE1091" t="str">
        <f t="shared" si="2492"/>
        <v>cs:dc771</v>
      </c>
      <c r="DF1091" t="e">
        <f t="shared" ca="1" si="2493"/>
        <v>#REF!</v>
      </c>
    </row>
    <row r="1092" spans="69:110" x14ac:dyDescent="0.25">
      <c r="BQ1092" s="238">
        <f t="shared" ref="BQ1092:BQ1095" si="2519">BQ1091</f>
        <v>675</v>
      </c>
      <c r="BR1092" t="s">
        <v>445</v>
      </c>
      <c r="BS1092" t="s">
        <v>446</v>
      </c>
      <c r="BT1092" s="114" t="e">
        <f t="shared" ca="1" si="2440"/>
        <v>#N/A</v>
      </c>
      <c r="BU1092" s="112"/>
      <c r="BV1092" t="e">
        <f t="shared" ca="1" si="2321"/>
        <v>#N/A</v>
      </c>
      <c r="BW1092" s="112" t="e">
        <f t="shared" ca="1" si="2480"/>
        <v>#N/A</v>
      </c>
      <c r="BX1092" s="112" t="e">
        <f t="shared" ca="1" si="2514"/>
        <v>#N/A</v>
      </c>
      <c r="BY1092">
        <f t="shared" ca="1" si="2508"/>
        <v>0</v>
      </c>
      <c r="BZ1092">
        <f t="shared" ca="1" si="2509"/>
        <v>24</v>
      </c>
      <c r="CB1092" t="e">
        <f t="shared" ca="1" si="2484"/>
        <v>#N/A</v>
      </c>
      <c r="CC1092" s="112" t="e">
        <f t="shared" ca="1" si="2485"/>
        <v>#N/A</v>
      </c>
      <c r="CD1092" s="112" t="e">
        <f t="shared" ca="1" si="2486"/>
        <v>#N/A</v>
      </c>
      <c r="CE1092">
        <f t="shared" ca="1" si="2487"/>
        <v>0</v>
      </c>
      <c r="CF1092">
        <f t="shared" ca="1" si="2488"/>
        <v>24</v>
      </c>
      <c r="CH1092" s="112" t="str">
        <f t="shared" ca="1" si="2352"/>
        <v/>
      </c>
      <c r="CI1092" t="e">
        <f t="shared" ref="CI1092:CI1095" ca="1" si="2520">CI1091</f>
        <v>#N/A</v>
      </c>
      <c r="CJ1092" t="e">
        <f t="shared" ref="CJ1092" ca="1" si="2521">IF(AND(CI1092=0,CJ1093=0,CJ1094=0,CJ1095=0,CC1092&lt;100000),1,0)</f>
        <v>#N/A</v>
      </c>
      <c r="CK1092" s="112" t="e">
        <f t="shared" ca="1" si="2358"/>
        <v>#N/A</v>
      </c>
      <c r="CM1092" s="112"/>
      <c r="CN1092" s="260" t="e">
        <f t="shared" ca="1" si="2516"/>
        <v>#N/A</v>
      </c>
      <c r="CO1092" s="112" t="e">
        <f t="shared" ref="CO1092:CO1095" ca="1" si="2522">IF(CJ1092=1,CH1092,CD1092)</f>
        <v>#N/A</v>
      </c>
      <c r="CP1092" s="238">
        <f t="shared" ca="1" si="2360"/>
        <v>0</v>
      </c>
      <c r="CQ1092" s="238">
        <f t="shared" ca="1" si="2361"/>
        <v>24</v>
      </c>
      <c r="CS1092" s="112">
        <f t="shared" ca="1" si="2482"/>
        <v>100000</v>
      </c>
      <c r="CT1092" s="112" t="e">
        <f t="shared" ref="CT1092:CT1100" ca="1" si="2523">CO1092</f>
        <v>#N/A</v>
      </c>
      <c r="CU1092" s="238">
        <f t="shared" ca="1" si="2490"/>
        <v>0</v>
      </c>
      <c r="CV1092" s="238">
        <f t="shared" ca="1" si="2491"/>
        <v>24</v>
      </c>
      <c r="CY1092">
        <f t="shared" si="2496"/>
        <v>522</v>
      </c>
      <c r="DE1092" t="str">
        <f t="shared" si="2492"/>
        <v>cs:dc771</v>
      </c>
      <c r="DF1092" t="e">
        <f t="shared" ca="1" si="2493"/>
        <v>#REF!</v>
      </c>
    </row>
    <row r="1093" spans="69:110" x14ac:dyDescent="0.25">
      <c r="BQ1093" s="238">
        <f t="shared" si="2519"/>
        <v>675</v>
      </c>
      <c r="BR1093" t="s">
        <v>446</v>
      </c>
      <c r="BS1093" t="s">
        <v>447</v>
      </c>
      <c r="BT1093" s="114" t="e">
        <f t="shared" ca="1" si="2440"/>
        <v>#N/A</v>
      </c>
      <c r="BU1093" s="112"/>
      <c r="BV1093" t="e">
        <f t="shared" ref="BV1093:BV1100" ca="1" si="2524">IF(BW1093=INDIRECT(CONCATENATE("bn",BQ1093)),0,1)</f>
        <v>#N/A</v>
      </c>
      <c r="BW1093" s="112" t="e">
        <f t="shared" ca="1" si="2480"/>
        <v>#N/A</v>
      </c>
      <c r="BX1093" s="112" t="e">
        <f t="shared" ca="1" si="2514"/>
        <v>#N/A</v>
      </c>
      <c r="BY1093">
        <f t="shared" ca="1" si="2508"/>
        <v>0</v>
      </c>
      <c r="BZ1093">
        <f t="shared" ca="1" si="2509"/>
        <v>24</v>
      </c>
      <c r="CB1093" t="e">
        <f t="shared" ca="1" si="2484"/>
        <v>#N/A</v>
      </c>
      <c r="CC1093" s="112" t="e">
        <f t="shared" ca="1" si="2485"/>
        <v>#N/A</v>
      </c>
      <c r="CD1093" s="112" t="e">
        <f t="shared" ca="1" si="2486"/>
        <v>#N/A</v>
      </c>
      <c r="CE1093">
        <f t="shared" ca="1" si="2487"/>
        <v>0</v>
      </c>
      <c r="CF1093">
        <f t="shared" ca="1" si="2488"/>
        <v>24</v>
      </c>
      <c r="CH1093" s="112" t="str">
        <f t="shared" ca="1" si="2352"/>
        <v/>
      </c>
      <c r="CI1093" t="e">
        <f t="shared" ca="1" si="2520"/>
        <v>#N/A</v>
      </c>
      <c r="CJ1093" t="e">
        <f t="shared" ref="CJ1093" ca="1" si="2525">IF(AND(CI1093=0,CJ1094=0,CJ1095=0,CC1093&lt;100000),1,0)</f>
        <v>#N/A</v>
      </c>
      <c r="CK1093" s="112" t="e">
        <f t="shared" ca="1" si="2358"/>
        <v>#N/A</v>
      </c>
      <c r="CM1093" s="112"/>
      <c r="CN1093" s="260" t="e">
        <f t="shared" ca="1" si="2516"/>
        <v>#N/A</v>
      </c>
      <c r="CO1093" s="112" t="e">
        <f t="shared" ca="1" si="2522"/>
        <v>#N/A</v>
      </c>
      <c r="CP1093" s="238">
        <f t="shared" ca="1" si="2360"/>
        <v>0</v>
      </c>
      <c r="CQ1093" s="238">
        <f t="shared" ca="1" si="2361"/>
        <v>24</v>
      </c>
      <c r="CS1093" s="112">
        <f t="shared" ca="1" si="2482"/>
        <v>100000</v>
      </c>
      <c r="CT1093" s="112" t="e">
        <f t="shared" ca="1" si="2523"/>
        <v>#N/A</v>
      </c>
      <c r="CU1093" s="238">
        <f t="shared" ca="1" si="2490"/>
        <v>0</v>
      </c>
      <c r="CV1093" s="238">
        <f t="shared" ca="1" si="2491"/>
        <v>24</v>
      </c>
      <c r="CY1093">
        <f t="shared" si="2496"/>
        <v>523</v>
      </c>
      <c r="DE1093" t="str">
        <f t="shared" si="2492"/>
        <v>cs:dc771</v>
      </c>
      <c r="DF1093" t="e">
        <f t="shared" ca="1" si="2493"/>
        <v>#REF!</v>
      </c>
    </row>
    <row r="1094" spans="69:110" x14ac:dyDescent="0.25">
      <c r="BQ1094" s="238">
        <f t="shared" si="2519"/>
        <v>675</v>
      </c>
      <c r="BR1094" t="s">
        <v>447</v>
      </c>
      <c r="BS1094" t="s">
        <v>448</v>
      </c>
      <c r="BT1094" s="114" t="e">
        <f t="shared" ca="1" si="2440"/>
        <v>#N/A</v>
      </c>
      <c r="BU1094" s="112"/>
      <c r="BV1094" t="e">
        <f t="shared" ca="1" si="2524"/>
        <v>#N/A</v>
      </c>
      <c r="BW1094" s="112" t="e">
        <f t="shared" ca="1" si="2480"/>
        <v>#N/A</v>
      </c>
      <c r="BX1094" s="112" t="e">
        <f t="shared" ref="BX1094:BX1095" ca="1" si="2526">INDIRECT(CONCATENATE(BS1094,BQ1094))</f>
        <v>#N/A</v>
      </c>
      <c r="BY1094">
        <f t="shared" ca="1" si="2508"/>
        <v>0</v>
      </c>
      <c r="BZ1094">
        <f t="shared" ca="1" si="2509"/>
        <v>24</v>
      </c>
      <c r="CB1094" t="e">
        <f t="shared" ca="1" si="2484"/>
        <v>#N/A</v>
      </c>
      <c r="CC1094" s="112" t="e">
        <f t="shared" ca="1" si="2485"/>
        <v>#N/A</v>
      </c>
      <c r="CD1094" s="112" t="e">
        <f t="shared" ca="1" si="2486"/>
        <v>#N/A</v>
      </c>
      <c r="CE1094">
        <f t="shared" ca="1" si="2487"/>
        <v>0</v>
      </c>
      <c r="CF1094">
        <f t="shared" ca="1" si="2488"/>
        <v>24</v>
      </c>
      <c r="CH1094" s="112" t="str">
        <f t="shared" ca="1" si="2352"/>
        <v/>
      </c>
      <c r="CI1094" t="e">
        <f t="shared" ca="1" si="2520"/>
        <v>#N/A</v>
      </c>
      <c r="CJ1094" t="e">
        <f t="shared" ref="CJ1094" ca="1" si="2527">IF(AND(CI1094=0,CJ1095=0,CC1094&lt;100000),1,0)</f>
        <v>#N/A</v>
      </c>
      <c r="CK1094" s="112" t="e">
        <f t="shared" ca="1" si="2358"/>
        <v>#N/A</v>
      </c>
      <c r="CM1094" s="112"/>
      <c r="CN1094" s="260" t="e">
        <f t="shared" ca="1" si="2516"/>
        <v>#N/A</v>
      </c>
      <c r="CO1094" s="112" t="e">
        <f t="shared" ca="1" si="2522"/>
        <v>#N/A</v>
      </c>
      <c r="CP1094" s="238">
        <f t="shared" ca="1" si="2360"/>
        <v>0</v>
      </c>
      <c r="CQ1094" s="238">
        <f t="shared" ca="1" si="2361"/>
        <v>24</v>
      </c>
      <c r="CS1094" s="112">
        <f t="shared" ca="1" si="2482"/>
        <v>100000</v>
      </c>
      <c r="CT1094" s="112" t="e">
        <f t="shared" ca="1" si="2523"/>
        <v>#N/A</v>
      </c>
      <c r="CU1094" s="238">
        <f t="shared" ca="1" si="2490"/>
        <v>0</v>
      </c>
      <c r="CV1094" s="238">
        <f t="shared" ca="1" si="2491"/>
        <v>24</v>
      </c>
      <c r="CY1094">
        <f t="shared" si="2496"/>
        <v>524</v>
      </c>
      <c r="DE1094" t="str">
        <f t="shared" si="2492"/>
        <v>cs:dc771</v>
      </c>
      <c r="DF1094" t="e">
        <f t="shared" ca="1" si="2493"/>
        <v>#REF!</v>
      </c>
    </row>
    <row r="1095" spans="69:110" ht="15.75" thickBot="1" x14ac:dyDescent="0.3">
      <c r="BQ1095" s="238">
        <f t="shared" si="2519"/>
        <v>675</v>
      </c>
      <c r="BR1095" t="s">
        <v>448</v>
      </c>
      <c r="BS1095" t="s">
        <v>449</v>
      </c>
      <c r="BT1095" s="114" t="e">
        <f t="shared" ca="1" si="2440"/>
        <v>#N/A</v>
      </c>
      <c r="BU1095" s="112"/>
      <c r="BV1095" t="e">
        <f t="shared" ca="1" si="2524"/>
        <v>#N/A</v>
      </c>
      <c r="BW1095" s="112" t="e">
        <f t="shared" ca="1" si="2480"/>
        <v>#N/A</v>
      </c>
      <c r="BX1095" s="112" t="str">
        <f t="shared" ca="1" si="2526"/>
        <v/>
      </c>
      <c r="BY1095">
        <f t="shared" ca="1" si="2508"/>
        <v>0</v>
      </c>
      <c r="BZ1095">
        <f t="shared" ca="1" si="2509"/>
        <v>24</v>
      </c>
      <c r="CB1095" t="e">
        <f t="shared" ca="1" si="2484"/>
        <v>#N/A</v>
      </c>
      <c r="CC1095" s="112" t="e">
        <f t="shared" ca="1" si="2485"/>
        <v>#N/A</v>
      </c>
      <c r="CD1095" s="112" t="str">
        <f t="shared" ca="1" si="2486"/>
        <v/>
      </c>
      <c r="CE1095">
        <f t="shared" ca="1" si="2487"/>
        <v>0</v>
      </c>
      <c r="CF1095">
        <f t="shared" ca="1" si="2488"/>
        <v>24</v>
      </c>
      <c r="CH1095" s="112" t="str">
        <f t="shared" ca="1" si="2352"/>
        <v/>
      </c>
      <c r="CI1095" t="e">
        <f t="shared" ca="1" si="2520"/>
        <v>#N/A</v>
      </c>
      <c r="CJ1095" t="e">
        <f t="shared" ref="CJ1095" ca="1" si="2528">IF(AND(CI1095=0,CC1095&lt;100000),1,0)</f>
        <v>#N/A</v>
      </c>
      <c r="CK1095" s="112" t="e">
        <f t="shared" ca="1" si="2358"/>
        <v>#N/A</v>
      </c>
      <c r="CM1095" s="112"/>
      <c r="CN1095" s="261" t="e">
        <f t="shared" ref="CN1095" ca="1" si="2529">IF(AND(CN1091=100000,CN1092=100000,CN1093=100000,CN1094=100000),INDIRECT(CONCATENATE("aa",BQ1095)),CC1095)</f>
        <v>#N/A</v>
      </c>
      <c r="CO1095" s="112" t="e">
        <f t="shared" ca="1" si="2522"/>
        <v>#N/A</v>
      </c>
      <c r="CP1095" s="238">
        <f t="shared" ca="1" si="2360"/>
        <v>0</v>
      </c>
      <c r="CQ1095" s="238">
        <f t="shared" ca="1" si="2361"/>
        <v>24</v>
      </c>
      <c r="CS1095" s="112">
        <f t="shared" ca="1" si="2482"/>
        <v>100000</v>
      </c>
      <c r="CT1095" s="112" t="e">
        <f t="shared" ca="1" si="2523"/>
        <v>#N/A</v>
      </c>
      <c r="CU1095" s="238">
        <f t="shared" ca="1" si="2490"/>
        <v>0</v>
      </c>
      <c r="CV1095" s="238">
        <f t="shared" ca="1" si="2491"/>
        <v>24</v>
      </c>
      <c r="CY1095">
        <f t="shared" si="2496"/>
        <v>525</v>
      </c>
      <c r="DE1095" t="str">
        <f t="shared" si="2492"/>
        <v>cs:dc771</v>
      </c>
      <c r="DF1095" t="e">
        <f t="shared" ca="1" si="2493"/>
        <v>#REF!</v>
      </c>
    </row>
    <row r="1096" spans="69:110" x14ac:dyDescent="0.25">
      <c r="BQ1096" s="238">
        <f t="shared" ref="BQ1096" si="2530">BQ1095+1</f>
        <v>676</v>
      </c>
      <c r="BR1096" s="112" t="s">
        <v>444</v>
      </c>
      <c r="BS1096" s="112" t="s">
        <v>445</v>
      </c>
      <c r="BT1096" s="114" t="e">
        <f t="shared" ca="1" si="2440"/>
        <v>#N/A</v>
      </c>
      <c r="BU1096" s="112"/>
      <c r="BV1096">
        <f t="shared" ca="1" si="2524"/>
        <v>0</v>
      </c>
      <c r="BW1096" s="112" t="str">
        <f t="shared" ca="1" si="2480"/>
        <v/>
      </c>
      <c r="BX1096" s="112" t="e">
        <f t="shared" ref="BX1096:BX1098" ca="1" si="2531">INDIRECT(CONCATENATE(BS1096,BQ1096))-1</f>
        <v>#N/A</v>
      </c>
      <c r="BY1096">
        <f t="shared" ca="1" si="2508"/>
        <v>0</v>
      </c>
      <c r="BZ1096">
        <f t="shared" ca="1" si="2509"/>
        <v>24</v>
      </c>
      <c r="CB1096" t="e">
        <f t="shared" ca="1" si="2484"/>
        <v>#N/A</v>
      </c>
      <c r="CC1096" s="112" t="e">
        <f t="shared" ca="1" si="2485"/>
        <v>#N/A</v>
      </c>
      <c r="CD1096" s="112" t="e">
        <f t="shared" ca="1" si="2486"/>
        <v>#N/A</v>
      </c>
      <c r="CE1096">
        <f t="shared" ca="1" si="2487"/>
        <v>0</v>
      </c>
      <c r="CF1096">
        <f t="shared" ca="1" si="2488"/>
        <v>24</v>
      </c>
      <c r="CH1096" s="112" t="str">
        <f t="shared" ca="1" si="2352"/>
        <v/>
      </c>
      <c r="CI1096" t="e">
        <f t="shared" ref="CI1096" ca="1" si="2532">CB1096+CB1097+CB1098+CB1099+CB1100</f>
        <v>#N/A</v>
      </c>
      <c r="CJ1096">
        <v>0</v>
      </c>
      <c r="CK1096" s="112" t="str">
        <f t="shared" ca="1" si="2358"/>
        <v/>
      </c>
      <c r="CM1096" s="112"/>
      <c r="CN1096" s="408" t="e">
        <f t="shared" ca="1" si="2516"/>
        <v>#N/A</v>
      </c>
      <c r="CO1096" s="112" t="e">
        <f t="shared" ref="CO1096" ca="1" si="2533">CD1096</f>
        <v>#N/A</v>
      </c>
      <c r="CP1096" s="238">
        <f t="shared" ca="1" si="2360"/>
        <v>0</v>
      </c>
      <c r="CQ1096" s="238">
        <f t="shared" ca="1" si="2361"/>
        <v>24</v>
      </c>
      <c r="CS1096" s="112">
        <f t="shared" ca="1" si="2482"/>
        <v>100000</v>
      </c>
      <c r="CT1096" s="112" t="e">
        <f t="shared" ref="CT1096" ca="1" si="2534">IF(AND( CN1097=100000,CN1098=100000,CN1099=100000,CN1100=100000),CO1100,                             CO1096)</f>
        <v>#N/A</v>
      </c>
      <c r="CU1096" s="238">
        <f t="shared" ca="1" si="2490"/>
        <v>0</v>
      </c>
      <c r="CV1096" s="238">
        <f t="shared" ca="1" si="2491"/>
        <v>24</v>
      </c>
      <c r="CY1096">
        <f t="shared" si="2496"/>
        <v>526</v>
      </c>
      <c r="DE1096" t="str">
        <f t="shared" si="2492"/>
        <v>cs:dc771</v>
      </c>
      <c r="DF1096" t="e">
        <f t="shared" ca="1" si="2493"/>
        <v>#REF!</v>
      </c>
    </row>
    <row r="1097" spans="69:110" x14ac:dyDescent="0.25">
      <c r="BQ1097" s="238">
        <f t="shared" ref="BQ1097:BQ1100" si="2535">BQ1096</f>
        <v>676</v>
      </c>
      <c r="BR1097" t="s">
        <v>445</v>
      </c>
      <c r="BS1097" t="s">
        <v>446</v>
      </c>
      <c r="BT1097" s="114" t="e">
        <f t="shared" ca="1" si="2440"/>
        <v>#N/A</v>
      </c>
      <c r="BU1097" s="112"/>
      <c r="BV1097" t="e">
        <f t="shared" ca="1" si="2524"/>
        <v>#N/A</v>
      </c>
      <c r="BW1097" s="112" t="e">
        <f t="shared" ca="1" si="2480"/>
        <v>#N/A</v>
      </c>
      <c r="BX1097" s="112" t="e">
        <f t="shared" ca="1" si="2531"/>
        <v>#N/A</v>
      </c>
      <c r="BY1097">
        <f t="shared" ca="1" si="2508"/>
        <v>0</v>
      </c>
      <c r="BZ1097">
        <f t="shared" ca="1" si="2509"/>
        <v>24</v>
      </c>
      <c r="CB1097" t="e">
        <f t="shared" ca="1" si="2484"/>
        <v>#N/A</v>
      </c>
      <c r="CC1097" s="112" t="e">
        <f t="shared" ca="1" si="2485"/>
        <v>#N/A</v>
      </c>
      <c r="CD1097" s="112" t="e">
        <f t="shared" ca="1" si="2486"/>
        <v>#N/A</v>
      </c>
      <c r="CE1097">
        <f t="shared" ca="1" si="2487"/>
        <v>0</v>
      </c>
      <c r="CF1097">
        <f t="shared" ca="1" si="2488"/>
        <v>24</v>
      </c>
      <c r="CH1097" s="112" t="str">
        <f t="shared" ca="1" si="2352"/>
        <v/>
      </c>
      <c r="CI1097" t="e">
        <f t="shared" ref="CI1097:CI1100" ca="1" si="2536">CI1096</f>
        <v>#N/A</v>
      </c>
      <c r="CJ1097" t="e">
        <f t="shared" ref="CJ1097" ca="1" si="2537">IF(AND(CI1097=0,CJ1098=0,CJ1099=0,CJ1100=0,CC1097&lt;100000),1,0)</f>
        <v>#N/A</v>
      </c>
      <c r="CK1097" s="112" t="e">
        <f t="shared" ca="1" si="2358"/>
        <v>#N/A</v>
      </c>
      <c r="CM1097" s="112"/>
      <c r="CN1097" s="260" t="e">
        <f t="shared" ca="1" si="2516"/>
        <v>#N/A</v>
      </c>
      <c r="CO1097" s="112" t="e">
        <f t="shared" ref="CO1097:CO1100" ca="1" si="2538">IF(CJ1097=1,CH1097,CD1097)</f>
        <v>#N/A</v>
      </c>
      <c r="CP1097" s="238">
        <f t="shared" ca="1" si="2360"/>
        <v>0</v>
      </c>
      <c r="CQ1097" s="238">
        <f t="shared" ca="1" si="2361"/>
        <v>24</v>
      </c>
      <c r="CS1097" s="112">
        <f t="shared" ca="1" si="2482"/>
        <v>100000</v>
      </c>
      <c r="CT1097" s="112" t="e">
        <f t="shared" ca="1" si="2523"/>
        <v>#N/A</v>
      </c>
      <c r="CU1097" s="238">
        <f t="shared" ca="1" si="2490"/>
        <v>0</v>
      </c>
      <c r="CV1097" s="238">
        <f t="shared" ca="1" si="2491"/>
        <v>24</v>
      </c>
      <c r="CY1097">
        <f t="shared" si="2496"/>
        <v>527</v>
      </c>
      <c r="DE1097" t="str">
        <f t="shared" si="2492"/>
        <v>cs:dc771</v>
      </c>
      <c r="DF1097" t="e">
        <f t="shared" ca="1" si="2493"/>
        <v>#REF!</v>
      </c>
    </row>
    <row r="1098" spans="69:110" x14ac:dyDescent="0.25">
      <c r="BQ1098" s="238">
        <f t="shared" si="2535"/>
        <v>676</v>
      </c>
      <c r="BR1098" t="s">
        <v>446</v>
      </c>
      <c r="BS1098" t="s">
        <v>447</v>
      </c>
      <c r="BT1098" s="114" t="e">
        <f t="shared" ca="1" si="2440"/>
        <v>#N/A</v>
      </c>
      <c r="BU1098" s="112"/>
      <c r="BV1098" t="e">
        <f t="shared" ca="1" si="2524"/>
        <v>#N/A</v>
      </c>
      <c r="BW1098" s="112" t="e">
        <f t="shared" ca="1" si="2480"/>
        <v>#N/A</v>
      </c>
      <c r="BX1098" s="112" t="e">
        <f t="shared" ca="1" si="2531"/>
        <v>#N/A</v>
      </c>
      <c r="BY1098">
        <f t="shared" ca="1" si="2508"/>
        <v>0</v>
      </c>
      <c r="BZ1098">
        <f t="shared" ca="1" si="2509"/>
        <v>24</v>
      </c>
      <c r="CB1098" t="e">
        <f t="shared" ca="1" si="2484"/>
        <v>#N/A</v>
      </c>
      <c r="CC1098" s="112" t="e">
        <f t="shared" ca="1" si="2485"/>
        <v>#N/A</v>
      </c>
      <c r="CD1098" s="112" t="e">
        <f t="shared" ca="1" si="2486"/>
        <v>#N/A</v>
      </c>
      <c r="CE1098">
        <f t="shared" ca="1" si="2487"/>
        <v>0</v>
      </c>
      <c r="CF1098">
        <f t="shared" ca="1" si="2488"/>
        <v>24</v>
      </c>
      <c r="CH1098" s="112" t="str">
        <f t="shared" ca="1" si="2352"/>
        <v/>
      </c>
      <c r="CI1098" t="e">
        <f t="shared" ca="1" si="2536"/>
        <v>#N/A</v>
      </c>
      <c r="CJ1098" t="e">
        <f t="shared" ref="CJ1098" ca="1" si="2539">IF(AND(CI1098=0,CJ1099=0,CJ1100=0,CC1098&lt;100000),1,0)</f>
        <v>#N/A</v>
      </c>
      <c r="CK1098" s="112" t="e">
        <f t="shared" ca="1" si="2358"/>
        <v>#N/A</v>
      </c>
      <c r="CM1098" s="112"/>
      <c r="CN1098" s="260" t="e">
        <f t="shared" ca="1" si="2516"/>
        <v>#N/A</v>
      </c>
      <c r="CO1098" s="112" t="e">
        <f t="shared" ca="1" si="2538"/>
        <v>#N/A</v>
      </c>
      <c r="CP1098" s="238">
        <f t="shared" ca="1" si="2360"/>
        <v>0</v>
      </c>
      <c r="CQ1098" s="238">
        <f t="shared" ca="1" si="2361"/>
        <v>24</v>
      </c>
      <c r="CS1098" s="112">
        <f t="shared" ca="1" si="2482"/>
        <v>100000</v>
      </c>
      <c r="CT1098" s="112" t="e">
        <f t="shared" ca="1" si="2523"/>
        <v>#N/A</v>
      </c>
      <c r="CU1098" s="238">
        <f t="shared" ca="1" si="2490"/>
        <v>0</v>
      </c>
      <c r="CV1098" s="238">
        <f t="shared" ca="1" si="2491"/>
        <v>24</v>
      </c>
      <c r="CY1098">
        <f t="shared" si="2496"/>
        <v>528</v>
      </c>
      <c r="DE1098" t="str">
        <f t="shared" si="2492"/>
        <v>cs:dc771</v>
      </c>
      <c r="DF1098" t="e">
        <f t="shared" ca="1" si="2493"/>
        <v>#REF!</v>
      </c>
    </row>
    <row r="1099" spans="69:110" x14ac:dyDescent="0.25">
      <c r="BQ1099" s="238">
        <f t="shared" si="2535"/>
        <v>676</v>
      </c>
      <c r="BR1099" t="s">
        <v>447</v>
      </c>
      <c r="BS1099" t="s">
        <v>448</v>
      </c>
      <c r="BT1099" s="114" t="e">
        <f t="shared" ca="1" si="2440"/>
        <v>#N/A</v>
      </c>
      <c r="BU1099" s="112"/>
      <c r="BV1099" t="e">
        <f t="shared" ca="1" si="2524"/>
        <v>#N/A</v>
      </c>
      <c r="BW1099" s="112" t="e">
        <f t="shared" ca="1" si="2480"/>
        <v>#N/A</v>
      </c>
      <c r="BX1099" s="112" t="e">
        <f t="shared" ref="BX1099:BX1100" ca="1" si="2540">INDIRECT(CONCATENATE(BS1099,BQ1099))</f>
        <v>#N/A</v>
      </c>
      <c r="BY1099">
        <f t="shared" ca="1" si="2508"/>
        <v>0</v>
      </c>
      <c r="BZ1099">
        <f t="shared" ca="1" si="2509"/>
        <v>24</v>
      </c>
      <c r="CB1099" t="e">
        <f t="shared" ca="1" si="2484"/>
        <v>#N/A</v>
      </c>
      <c r="CC1099" s="112" t="e">
        <f t="shared" ca="1" si="2485"/>
        <v>#N/A</v>
      </c>
      <c r="CD1099" s="112" t="e">
        <f t="shared" ca="1" si="2486"/>
        <v>#N/A</v>
      </c>
      <c r="CE1099">
        <f t="shared" ca="1" si="2487"/>
        <v>0</v>
      </c>
      <c r="CF1099">
        <f t="shared" ca="1" si="2488"/>
        <v>24</v>
      </c>
      <c r="CH1099" s="112" t="str">
        <f t="shared" ca="1" si="2352"/>
        <v/>
      </c>
      <c r="CI1099" t="e">
        <f t="shared" ca="1" si="2536"/>
        <v>#N/A</v>
      </c>
      <c r="CJ1099" t="e">
        <f t="shared" ref="CJ1099" ca="1" si="2541">IF(AND(CI1099=0,CJ1100=0,CC1099&lt;100000),1,0)</f>
        <v>#N/A</v>
      </c>
      <c r="CK1099" s="112" t="e">
        <f t="shared" ca="1" si="2358"/>
        <v>#N/A</v>
      </c>
      <c r="CM1099" s="112"/>
      <c r="CN1099" s="260" t="e">
        <f t="shared" ca="1" si="2516"/>
        <v>#N/A</v>
      </c>
      <c r="CO1099" s="112" t="e">
        <f t="shared" ca="1" si="2538"/>
        <v>#N/A</v>
      </c>
      <c r="CP1099" s="238">
        <f t="shared" ca="1" si="2360"/>
        <v>0</v>
      </c>
      <c r="CQ1099" s="238">
        <f t="shared" ca="1" si="2361"/>
        <v>24</v>
      </c>
      <c r="CS1099" s="112">
        <f t="shared" ca="1" si="2482"/>
        <v>100000</v>
      </c>
      <c r="CT1099" s="112" t="e">
        <f t="shared" ca="1" si="2523"/>
        <v>#N/A</v>
      </c>
      <c r="CU1099" s="238">
        <f t="shared" ca="1" si="2490"/>
        <v>0</v>
      </c>
      <c r="CV1099" s="238">
        <f t="shared" ca="1" si="2491"/>
        <v>24</v>
      </c>
      <c r="CY1099">
        <f t="shared" si="2496"/>
        <v>529</v>
      </c>
      <c r="DE1099" t="str">
        <f t="shared" si="2492"/>
        <v>cs:dc771</v>
      </c>
      <c r="DF1099" t="e">
        <f t="shared" ca="1" si="2493"/>
        <v>#REF!</v>
      </c>
    </row>
    <row r="1100" spans="69:110" ht="15.75" thickBot="1" x14ac:dyDescent="0.3">
      <c r="BQ1100" s="238">
        <f t="shared" si="2535"/>
        <v>676</v>
      </c>
      <c r="BR1100" t="s">
        <v>448</v>
      </c>
      <c r="BS1100" t="s">
        <v>449</v>
      </c>
      <c r="BT1100" s="114" t="e">
        <f t="shared" ca="1" si="2440"/>
        <v>#N/A</v>
      </c>
      <c r="BU1100" s="112"/>
      <c r="BV1100" t="e">
        <f t="shared" ca="1" si="2524"/>
        <v>#N/A</v>
      </c>
      <c r="BW1100" s="112" t="e">
        <f t="shared" ca="1" si="2480"/>
        <v>#N/A</v>
      </c>
      <c r="BX1100" s="112" t="str">
        <f t="shared" ca="1" si="2540"/>
        <v/>
      </c>
      <c r="BY1100">
        <f t="shared" ca="1" si="2508"/>
        <v>0</v>
      </c>
      <c r="BZ1100">
        <f t="shared" ca="1" si="2509"/>
        <v>24</v>
      </c>
      <c r="CB1100" t="e">
        <f t="shared" ca="1" si="2484"/>
        <v>#N/A</v>
      </c>
      <c r="CC1100" s="112" t="e">
        <f t="shared" ca="1" si="2485"/>
        <v>#N/A</v>
      </c>
      <c r="CD1100" s="112" t="str">
        <f t="shared" ca="1" si="2486"/>
        <v/>
      </c>
      <c r="CE1100">
        <f t="shared" ca="1" si="2487"/>
        <v>0</v>
      </c>
      <c r="CF1100">
        <f t="shared" ca="1" si="2488"/>
        <v>24</v>
      </c>
      <c r="CH1100" s="112" t="str">
        <f t="shared" ca="1" si="2352"/>
        <v/>
      </c>
      <c r="CI1100" t="e">
        <f t="shared" ca="1" si="2536"/>
        <v>#N/A</v>
      </c>
      <c r="CJ1100" t="e">
        <f t="shared" ref="CJ1100" ca="1" si="2542">IF(AND(CI1100=0,CC1100&lt;100000),1,0)</f>
        <v>#N/A</v>
      </c>
      <c r="CK1100" s="112" t="e">
        <f t="shared" ca="1" si="2358"/>
        <v>#N/A</v>
      </c>
      <c r="CM1100" s="112"/>
      <c r="CN1100" s="261" t="e">
        <f t="shared" ref="CN1100" ca="1" si="2543">IF(AND(CN1096=100000,CN1097=100000,CN1098=100000,CN1099=100000),INDIRECT(CONCATENATE("aa",BQ1100)),CC1100)</f>
        <v>#N/A</v>
      </c>
      <c r="CO1100" s="112" t="e">
        <f t="shared" ca="1" si="2538"/>
        <v>#N/A</v>
      </c>
      <c r="CP1100" s="238">
        <f t="shared" ca="1" si="2360"/>
        <v>0</v>
      </c>
      <c r="CQ1100" s="238">
        <f t="shared" ca="1" si="2361"/>
        <v>24</v>
      </c>
      <c r="CS1100" s="112">
        <f t="shared" ca="1" si="2482"/>
        <v>100000</v>
      </c>
      <c r="CT1100" s="112" t="e">
        <f t="shared" ca="1" si="2523"/>
        <v>#N/A</v>
      </c>
      <c r="CU1100" s="238">
        <f t="shared" ca="1" si="2490"/>
        <v>0</v>
      </c>
      <c r="CV1100" s="238">
        <f t="shared" ca="1" si="2491"/>
        <v>24</v>
      </c>
      <c r="CY1100">
        <f t="shared" si="2496"/>
        <v>530</v>
      </c>
      <c r="DE1100" t="str">
        <f t="shared" si="2492"/>
        <v>cs:dc771</v>
      </c>
      <c r="DF1100" t="e">
        <f t="shared" ca="1" si="2493"/>
        <v>#REF!</v>
      </c>
    </row>
  </sheetData>
  <mergeCells count="2">
    <mergeCell ref="EA19:EM19"/>
    <mergeCell ref="EW19:FI19"/>
  </mergeCells>
  <dataValidations count="1">
    <dataValidation type="list" allowBlank="1" showInputMessage="1" showErrorMessage="1" sqref="G7" xr:uid="{00000000-0002-0000-0900-000000000000}">
      <formula1>$B$6:$B$14</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3"/>
  <dimension ref="A2:LJ256"/>
  <sheetViews>
    <sheetView topLeftCell="JM85" zoomScale="80" zoomScaleNormal="80" workbookViewId="0">
      <selection activeCell="JR116" sqref="JR116"/>
    </sheetView>
  </sheetViews>
  <sheetFormatPr defaultRowHeight="15" x14ac:dyDescent="0.25"/>
  <cols>
    <col min="1" max="1" width="14" customWidth="1"/>
    <col min="2" max="2" width="14.85546875" customWidth="1"/>
    <col min="3" max="3" width="14.28515625" customWidth="1"/>
    <col min="4" max="4" width="10.5703125" bestFit="1" customWidth="1"/>
    <col min="5" max="5" width="12.5703125" customWidth="1"/>
    <col min="6" max="6" width="11.42578125" customWidth="1"/>
    <col min="7" max="7" width="14" customWidth="1"/>
    <col min="8" max="8" width="13.42578125" customWidth="1"/>
    <col min="9" max="9" width="11.7109375" customWidth="1"/>
    <col min="12" max="12" width="6.42578125" customWidth="1"/>
    <col min="13" max="13" width="13.5703125" customWidth="1"/>
    <col min="14" max="14" width="15.140625" customWidth="1"/>
    <col min="15" max="16" width="2.7109375" customWidth="1"/>
    <col min="17" max="17" width="7.7109375" customWidth="1"/>
    <col min="18" max="18" width="14.140625" customWidth="1"/>
    <col min="23" max="23" width="11.5703125" customWidth="1"/>
    <col min="26" max="26" width="5.28515625" customWidth="1"/>
    <col min="27" max="27" width="14.85546875" customWidth="1"/>
    <col min="28" max="28" width="13.7109375" customWidth="1"/>
    <col min="29" max="29" width="7.140625" customWidth="1"/>
    <col min="30" max="30" width="8.28515625" customWidth="1"/>
    <col min="31" max="32" width="1.7109375" customWidth="1"/>
    <col min="33" max="33" width="3.7109375" customWidth="1"/>
    <col min="34" max="34" width="14.140625" customWidth="1"/>
    <col min="35" max="35" width="13.85546875" customWidth="1"/>
    <col min="37" max="37" width="14.7109375" customWidth="1"/>
    <col min="45" max="45" width="11.140625" customWidth="1"/>
    <col min="46" max="46" width="11.42578125" customWidth="1"/>
    <col min="64" max="64" width="12.28515625" customWidth="1"/>
    <col min="86" max="87" width="10.5703125" bestFit="1" customWidth="1"/>
    <col min="99" max="99" width="13.140625" customWidth="1"/>
    <col min="100" max="100" width="12.5703125" customWidth="1"/>
    <col min="102" max="102" width="13.7109375" customWidth="1"/>
    <col min="103" max="103" width="13.5703125" customWidth="1"/>
    <col min="104" max="105" width="12.5703125" customWidth="1"/>
    <col min="106" max="106" width="13.28515625" customWidth="1"/>
    <col min="107" max="107" width="12.7109375" customWidth="1"/>
    <col min="108" max="110" width="16" style="247" customWidth="1"/>
    <col min="111" max="111" width="14.28515625" style="247" customWidth="1"/>
    <col min="114" max="114" width="13.28515625" customWidth="1"/>
    <col min="120" max="120" width="12.140625" customWidth="1"/>
    <col min="121" max="121" width="10.7109375" customWidth="1"/>
    <col min="125" max="125" width="10.5703125" bestFit="1" customWidth="1"/>
    <col min="126" max="126" width="14.28515625" customWidth="1"/>
    <col min="127" max="127" width="12.140625" customWidth="1"/>
    <col min="130" max="130" width="15.42578125" customWidth="1"/>
    <col min="136" max="136" width="12.28515625" customWidth="1"/>
    <col min="140" max="140" width="12" customWidth="1"/>
    <col min="143" max="143" width="11.85546875" customWidth="1"/>
    <col min="145" max="145" width="10.5703125" bestFit="1" customWidth="1"/>
    <col min="146" max="146" width="12" customWidth="1"/>
    <col min="151" max="151" width="12.42578125" customWidth="1"/>
    <col min="154" max="154" width="10.5703125" bestFit="1" customWidth="1"/>
    <col min="158" max="158" width="10.5703125" bestFit="1" customWidth="1"/>
    <col min="177" max="177" width="17.85546875" customWidth="1"/>
    <col min="186" max="188" width="12.7109375" customWidth="1"/>
    <col min="189" max="189" width="17.7109375" customWidth="1"/>
    <col min="192" max="192" width="11.28515625" customWidth="1"/>
    <col min="194" max="194" width="11.28515625" customWidth="1"/>
    <col min="195" max="195" width="14" customWidth="1"/>
    <col min="197" max="197" width="10.5703125" bestFit="1" customWidth="1"/>
    <col min="200" max="200" width="13.7109375" customWidth="1"/>
    <col min="201" max="201" width="11.7109375" customWidth="1"/>
    <col min="202" max="202" width="47.85546875" customWidth="1"/>
    <col min="203" max="203" width="19.28515625" customWidth="1"/>
    <col min="204" max="204" width="90.7109375" customWidth="1"/>
    <col min="205" max="205" width="26.7109375" customWidth="1"/>
    <col min="206" max="206" width="27.7109375" customWidth="1"/>
    <col min="207" max="207" width="82.42578125" customWidth="1"/>
    <col min="208" max="208" width="51.7109375" customWidth="1"/>
    <col min="209" max="209" width="61.7109375" customWidth="1"/>
    <col min="210" max="210" width="29.42578125" customWidth="1"/>
    <col min="211" max="211" width="18.7109375" customWidth="1"/>
    <col min="212" max="212" width="13.85546875" customWidth="1"/>
    <col min="220" max="220" width="72.28515625" customWidth="1"/>
    <col min="222" max="222" width="49.5703125" customWidth="1"/>
    <col min="224" max="224" width="29.5703125" customWidth="1"/>
    <col min="225" max="225" width="17.7109375" customWidth="1"/>
    <col min="226" max="226" width="35.42578125" customWidth="1"/>
    <col min="232" max="232" width="11.7109375" bestFit="1" customWidth="1"/>
    <col min="234" max="234" width="13" customWidth="1"/>
    <col min="245" max="245" width="29.5703125" customWidth="1"/>
    <col min="253" max="253" width="10.5703125" bestFit="1" customWidth="1"/>
    <col min="256" max="256" width="39.7109375" customWidth="1"/>
    <col min="259" max="259" width="77.5703125" customWidth="1"/>
    <col min="264" max="264" width="44.7109375" customWidth="1"/>
    <col min="265" max="265" width="14.85546875" customWidth="1"/>
    <col min="268" max="268" width="54.28515625" customWidth="1"/>
    <col min="271" max="271" width="11.28515625" customWidth="1"/>
    <col min="277" max="277" width="51" customWidth="1"/>
    <col min="278" max="278" width="17" customWidth="1"/>
    <col min="290" max="290" width="10.5703125" bestFit="1" customWidth="1"/>
    <col min="313" max="314" width="10.5703125" bestFit="1" customWidth="1"/>
    <col min="316" max="316" width="10.28515625" bestFit="1" customWidth="1"/>
    <col min="318" max="318" width="12.7109375" customWidth="1"/>
  </cols>
  <sheetData>
    <row r="2" spans="1:200" x14ac:dyDescent="0.25">
      <c r="A2">
        <f>IF(B2="","",IF(COUNTIF($B$1:B1:B1,B2)=0,MAX($A$1:A1)+1,""))</f>
        <v>1</v>
      </c>
      <c r="B2" s="112">
        <v>40179</v>
      </c>
      <c r="C2" s="112">
        <f>IFERROR(VLOOKUP(COUNTBLANK($E$2:E2),A:B,2,FALSE),"")</f>
        <v>40179</v>
      </c>
      <c r="H2" s="610" t="s">
        <v>207</v>
      </c>
      <c r="I2" s="610"/>
      <c r="J2" s="610"/>
      <c r="K2" s="610"/>
      <c r="L2" s="610"/>
      <c r="M2" s="610"/>
      <c r="N2" s="610"/>
    </row>
    <row r="3" spans="1:200" x14ac:dyDescent="0.25">
      <c r="A3">
        <f>IF(B3="","",IF(COUNTIF($B$1:B2:B2,B3)=0,MAX($A$1:A2)+1,""))</f>
        <v>2</v>
      </c>
      <c r="B3" s="112">
        <v>42491</v>
      </c>
      <c r="C3" s="112">
        <f>IFERROR(VLOOKUP(COUNTBLANK($E$2:E3),A:B,2,FALSE),"")</f>
        <v>42491</v>
      </c>
      <c r="H3" s="610"/>
      <c r="I3" s="610"/>
      <c r="J3" s="610"/>
      <c r="K3" s="610"/>
      <c r="L3" s="610"/>
      <c r="M3" s="610"/>
      <c r="N3" s="610"/>
    </row>
    <row r="4" spans="1:200" x14ac:dyDescent="0.25">
      <c r="A4">
        <f>IF(B4="","",IF(COUNTIF($B$1:B3:B3,B4)=0,MAX($A$1:A3)+1,""))</f>
        <v>3</v>
      </c>
      <c r="B4" s="112">
        <v>45047</v>
      </c>
      <c r="C4" s="112">
        <f>IFERROR(VLOOKUP(COUNTBLANK($E$2:E4),A:B,2,FALSE),"")</f>
        <v>45047</v>
      </c>
      <c r="H4" s="610"/>
      <c r="I4" s="610"/>
      <c r="J4" s="610"/>
      <c r="K4" s="610"/>
      <c r="L4" s="610"/>
      <c r="M4" s="610"/>
      <c r="N4" s="610"/>
    </row>
    <row r="5" spans="1:200" x14ac:dyDescent="0.25">
      <c r="A5" t="str">
        <f>IF(B5="","",IF(COUNTIF($B$1:B4:B4,B5)=0,MAX($A$1:A4)+1,""))</f>
        <v/>
      </c>
      <c r="B5" s="112" t="s">
        <v>134</v>
      </c>
      <c r="C5" s="112">
        <f>IFERROR(VLOOKUP(COUNTBLANK($E$2:E5),A:B,2,FALSE),"")</f>
        <v>40269</v>
      </c>
      <c r="H5" s="610"/>
      <c r="I5" s="610"/>
      <c r="J5" s="610"/>
      <c r="K5" s="610"/>
      <c r="L5" s="610"/>
      <c r="M5" s="610"/>
      <c r="N5" s="610"/>
    </row>
    <row r="6" spans="1:200" x14ac:dyDescent="0.25">
      <c r="A6" t="str">
        <f>IF(B6="","",IF(COUNTIF($B$1:B5:B5,B6)=0,MAX($A$1:A5)+1,""))</f>
        <v/>
      </c>
      <c r="B6" s="112" t="s">
        <v>134</v>
      </c>
      <c r="C6" s="112">
        <f>IFERROR(VLOOKUP(COUNTBLANK($E$2:E6),A:B,2,FALSE),"")</f>
        <v>40360</v>
      </c>
      <c r="H6" s="610"/>
      <c r="I6" s="610"/>
      <c r="J6" s="610"/>
      <c r="K6" s="610"/>
      <c r="L6" s="610"/>
      <c r="M6" s="610"/>
      <c r="N6" s="610"/>
    </row>
    <row r="7" spans="1:200" x14ac:dyDescent="0.25">
      <c r="A7" t="str">
        <f>IF(B7="","",IF(COUNTIF($B$1:B6:B6,B7)=0,MAX($A$1:A6)+1,""))</f>
        <v/>
      </c>
      <c r="B7" s="112" t="s">
        <v>134</v>
      </c>
      <c r="C7" s="112">
        <f>IFERROR(VLOOKUP(COUNTBLANK($E$2:E7),A:B,2,FALSE),"")</f>
        <v>40422</v>
      </c>
    </row>
    <row r="8" spans="1:200" x14ac:dyDescent="0.25">
      <c r="A8" t="str">
        <f>IF(B8="","",IF(COUNTIF($B$1:B7:B7,B8)=0,MAX($A$1:A7)+1,""))</f>
        <v/>
      </c>
      <c r="B8" s="112" t="s">
        <v>134</v>
      </c>
      <c r="C8" s="112">
        <f>IFERROR(VLOOKUP(COUNTBLANK($E$2:E8),A:B,2,FALSE),"")</f>
        <v>40544</v>
      </c>
    </row>
    <row r="9" spans="1:200" x14ac:dyDescent="0.25">
      <c r="A9" t="str">
        <f>IF(B9="","",IF(COUNTIF($B$1:B8:B8,B9)=0,MAX($A$1:A8)+1,""))</f>
        <v/>
      </c>
      <c r="B9" s="112" t="s">
        <v>134</v>
      </c>
      <c r="C9" s="112">
        <f>IFERROR(VLOOKUP(COUNTBLANK($E$2:E9),A:B,2,FALSE),"")</f>
        <v>42370</v>
      </c>
    </row>
    <row r="10" spans="1:200" x14ac:dyDescent="0.25">
      <c r="A10" t="str">
        <f>IF(B10="","",IF(COUNTIF($B$1:B9:B9,B10)=0,MAX($A$1:A9)+1,""))</f>
        <v/>
      </c>
      <c r="B10" s="112" t="s">
        <v>134</v>
      </c>
      <c r="C10" s="112">
        <f>IFERROR(VLOOKUP(COUNTBLANK($E$2:E10),A:B,2,FALSE),"")</f>
        <v>42736</v>
      </c>
    </row>
    <row r="11" spans="1:200" x14ac:dyDescent="0.25">
      <c r="A11" t="str">
        <f>IF(B11="","",IF(COUNTIF($B$1:B10:B10,B11)=0,MAX($A$1:A10)+1,""))</f>
        <v/>
      </c>
      <c r="B11" s="112" t="s">
        <v>134</v>
      </c>
      <c r="C11" s="112">
        <f>IFERROR(VLOOKUP(COUNTBLANK($E$2:E11),A:B,2,FALSE),"")</f>
        <v>43160</v>
      </c>
    </row>
    <row r="12" spans="1:200" x14ac:dyDescent="0.25">
      <c r="A12" t="str">
        <f>IF(B12="","",IF(COUNTIF($B$1:B11:B11,B12)=0,MAX($A$1:A11)+1,""))</f>
        <v/>
      </c>
      <c r="B12" s="112" t="s">
        <v>134</v>
      </c>
      <c r="C12" s="112">
        <f>IFERROR(VLOOKUP(COUNTBLANK($E$2:E12),A:B,2,FALSE),"")</f>
        <v>43191</v>
      </c>
    </row>
    <row r="13" spans="1:200" x14ac:dyDescent="0.25">
      <c r="A13" t="str">
        <f>IF(B13="","",IF(COUNTIF($B$1:B12:B12,B13)=0,MAX($A$1:A12)+1,""))</f>
        <v/>
      </c>
      <c r="B13" s="112" t="s">
        <v>134</v>
      </c>
      <c r="C13" s="112">
        <f>IFERROR(VLOOKUP(COUNTBLANK($E$2:E13),A:B,2,FALSE),"")</f>
        <v>43466</v>
      </c>
    </row>
    <row r="14" spans="1:200" x14ac:dyDescent="0.25">
      <c r="A14" t="str">
        <f>IF(B14="","",IF(COUNTIF($B$1:B13:B13,B14)=0,MAX($A$1:A13)+1,""))</f>
        <v/>
      </c>
      <c r="B14" s="112" t="s">
        <v>134</v>
      </c>
      <c r="C14" s="112">
        <f>IFERROR(VLOOKUP(COUNTBLANK($E$2:E14),A:B,2,FALSE),"")</f>
        <v>40210</v>
      </c>
      <c r="GN14" s="239" t="s">
        <v>299</v>
      </c>
      <c r="GO14" s="239"/>
      <c r="GP14" s="239"/>
      <c r="GQ14" s="239"/>
      <c r="GR14" s="239"/>
    </row>
    <row r="15" spans="1:200" x14ac:dyDescent="0.25">
      <c r="A15" t="str">
        <f>IF(B15="","",IF(COUNTIF($B$1:B14:B14,B15)=0,MAX($A$1:A14)+1,""))</f>
        <v/>
      </c>
      <c r="B15" s="112" t="s">
        <v>134</v>
      </c>
      <c r="C15" t="str">
        <f>IFERROR(VLOOKUP(COUNTBLANK($E$2:E15),A:B,2,FALSE),"")</f>
        <v/>
      </c>
      <c r="GN15" s="239"/>
      <c r="GO15" s="239"/>
      <c r="GP15" s="239"/>
      <c r="GQ15" s="239"/>
      <c r="GR15" s="239"/>
    </row>
    <row r="16" spans="1:200" x14ac:dyDescent="0.25">
      <c r="A16" t="str">
        <f>IF(B16="","",IF(COUNTIF($B$1:B15:B15,B16)=0,MAX($A$1:A15)+1,""))</f>
        <v/>
      </c>
      <c r="B16" s="112" t="s">
        <v>134</v>
      </c>
      <c r="C16" t="str">
        <f>IFERROR(VLOOKUP(COUNTBLANK($E$2:E16),A:B,2,FALSE),"")</f>
        <v/>
      </c>
      <c r="GN16" s="239"/>
      <c r="GO16" s="240">
        <v>35065</v>
      </c>
      <c r="GP16" s="239" t="s">
        <v>300</v>
      </c>
      <c r="GQ16" s="239"/>
      <c r="GR16" s="239"/>
    </row>
    <row r="17" spans="1:302" x14ac:dyDescent="0.25">
      <c r="A17" t="str">
        <f>IF(B17="","",IF(COUNTIF($B$1:B16:B16,B17)=0,MAX($A$1:A16)+1,""))</f>
        <v/>
      </c>
      <c r="B17" s="112" t="s">
        <v>134</v>
      </c>
      <c r="C17" t="str">
        <f>IFERROR(VLOOKUP(COUNTBLANK($E$2:E17),A:B,2,FALSE),"")</f>
        <v/>
      </c>
      <c r="GN17" s="239"/>
      <c r="GO17" s="240">
        <v>37257</v>
      </c>
      <c r="GP17" s="239" t="s">
        <v>301</v>
      </c>
      <c r="GQ17" s="239"/>
      <c r="GR17" s="239"/>
    </row>
    <row r="18" spans="1:302" x14ac:dyDescent="0.25">
      <c r="A18" t="str">
        <f>IF(B18="","",IF(COUNTIF($B$1:B17:B17,B18)=0,MAX($A$1:A17)+1,""))</f>
        <v/>
      </c>
      <c r="B18" s="112" t="s">
        <v>134</v>
      </c>
      <c r="C18" t="str">
        <f>IFERROR(VLOOKUP(COUNTBLANK($E$2:E18),A:B,2,FALSE),"")</f>
        <v/>
      </c>
      <c r="GN18" s="239"/>
      <c r="GO18" s="240">
        <v>38718</v>
      </c>
      <c r="GP18" s="239" t="s">
        <v>302</v>
      </c>
      <c r="GQ18" s="239"/>
      <c r="GR18" s="239"/>
    </row>
    <row r="19" spans="1:302" x14ac:dyDescent="0.25">
      <c r="A19" t="str">
        <f>IF(B19="","",IF(COUNTIF($B$1:B18:B18,B19)=0,MAX($A$1:A18)+1,""))</f>
        <v/>
      </c>
      <c r="B19" s="112" t="s">
        <v>134</v>
      </c>
      <c r="C19" t="str">
        <f>IFERROR(VLOOKUP(COUNTBLANK($E$2:E19),A:B,2,FALSE),"")</f>
        <v/>
      </c>
      <c r="GN19" s="239"/>
      <c r="GO19" s="240">
        <v>40269</v>
      </c>
      <c r="GP19" s="239" t="s">
        <v>302</v>
      </c>
      <c r="GQ19" s="239"/>
      <c r="GR19" s="239"/>
    </row>
    <row r="20" spans="1:302" x14ac:dyDescent="0.25">
      <c r="A20" t="str">
        <f>IF(B20="","",IF(COUNTIF($B$1:B19:B19,B20)=0,MAX($A$1:A19)+1,""))</f>
        <v/>
      </c>
      <c r="B20" s="112" t="s">
        <v>134</v>
      </c>
      <c r="C20" t="str">
        <f>IFERROR(VLOOKUP(COUNTBLANK($E$2:E20),A:B,2,FALSE),"")</f>
        <v/>
      </c>
      <c r="GN20" s="239"/>
      <c r="GO20" s="240">
        <v>40360</v>
      </c>
      <c r="GP20" s="239" t="s">
        <v>302</v>
      </c>
      <c r="GQ20" s="239"/>
      <c r="GR20" s="239"/>
    </row>
    <row r="21" spans="1:302" x14ac:dyDescent="0.25">
      <c r="A21" t="str">
        <f>IF(B21="","",IF(COUNTIF($B$1:B20:B20,B21)=0,MAX($A$1:A20)+1,""))</f>
        <v/>
      </c>
      <c r="B21" s="112" t="s">
        <v>134</v>
      </c>
      <c r="C21" t="str">
        <f>IFERROR(VLOOKUP(COUNTBLANK($E$2:E21),A:B,2,FALSE),"")</f>
        <v/>
      </c>
      <c r="GN21" s="239"/>
      <c r="GO21" s="240">
        <v>42248</v>
      </c>
      <c r="GP21" s="239" t="s">
        <v>303</v>
      </c>
      <c r="GQ21" s="239"/>
      <c r="GR21" s="239"/>
    </row>
    <row r="22" spans="1:302" x14ac:dyDescent="0.25">
      <c r="A22" t="str">
        <f>IF(B22="","",IF(COUNTIF($B$1:B21:B21,B22)=0,MAX($A$1:A21)+1,""))</f>
        <v/>
      </c>
      <c r="B22" s="112" t="s">
        <v>134</v>
      </c>
      <c r="C22" t="str">
        <f>IFERROR(VLOOKUP(COUNTBLANK($E$2:E22),A:B,2,FALSE),"")</f>
        <v/>
      </c>
      <c r="GN22" s="239"/>
      <c r="GO22" s="240">
        <v>42248</v>
      </c>
      <c r="GP22" s="239" t="s">
        <v>303</v>
      </c>
      <c r="GQ22" s="239"/>
      <c r="GR22" s="239"/>
    </row>
    <row r="23" spans="1:302" x14ac:dyDescent="0.25">
      <c r="A23" t="str">
        <f>IF(B23="","",IF(COUNTIF($B$1:B22:B22,B23)=0,MAX($A$1:A22)+1,""))</f>
        <v/>
      </c>
      <c r="B23" s="112" t="s">
        <v>134</v>
      </c>
      <c r="C23" t="str">
        <f>IFERROR(VLOOKUP(COUNTBLANK($E$2:E23),A:B,2,FALSE),"")</f>
        <v/>
      </c>
      <c r="GN23" s="239"/>
      <c r="GO23" s="240">
        <v>42370</v>
      </c>
      <c r="GP23" s="239" t="s">
        <v>304</v>
      </c>
      <c r="GQ23" s="239"/>
      <c r="GR23" s="239"/>
    </row>
    <row r="24" spans="1:302" x14ac:dyDescent="0.25">
      <c r="A24" t="str">
        <f>IF(B24="","",IF(COUNTIF($B$1:B23:B23,B24)=0,MAX($A$1:A23)+1,""))</f>
        <v/>
      </c>
      <c r="B24" s="112" t="s">
        <v>134</v>
      </c>
      <c r="C24" t="str">
        <f>IFERROR(VLOOKUP(COUNTBLANK($E$2:E24),A:B,2,FALSE),"")</f>
        <v/>
      </c>
      <c r="GN24" s="239"/>
      <c r="GO24" s="240">
        <v>43466</v>
      </c>
      <c r="GP24" s="239" t="s">
        <v>305</v>
      </c>
      <c r="GQ24" s="239"/>
      <c r="GR24" s="239"/>
    </row>
    <row r="25" spans="1:302" x14ac:dyDescent="0.25">
      <c r="A25" t="str">
        <f>IF(B25="","",IF(COUNTIF($B$1:B24:B24,B25)=0,MAX($A$1:A24)+1,""))</f>
        <v/>
      </c>
      <c r="B25" s="112" t="s">
        <v>134</v>
      </c>
      <c r="C25" t="str">
        <f>IFERROR(VLOOKUP(COUNTBLANK($E$2:E25),A:B,2,FALSE),"")</f>
        <v/>
      </c>
      <c r="GN25" s="239"/>
      <c r="GO25" s="239"/>
      <c r="GP25" s="239"/>
      <c r="GQ25" s="239"/>
      <c r="GR25" s="239"/>
    </row>
    <row r="26" spans="1:302" x14ac:dyDescent="0.25">
      <c r="A26" t="str">
        <f>IF(B26="","",IF(COUNTIF($B$1:B25:B25,B26)=0,MAX($A$1:A25)+1,""))</f>
        <v/>
      </c>
      <c r="B26" s="112" t="s">
        <v>134</v>
      </c>
      <c r="C26" t="str">
        <f>IFERROR(VLOOKUP(COUNTBLANK($E$2:E26),A:B,2,FALSE),"")</f>
        <v/>
      </c>
      <c r="GN26" s="239"/>
      <c r="GO26" s="239"/>
      <c r="GP26" s="239"/>
      <c r="GQ26" s="239"/>
      <c r="GR26" s="239"/>
    </row>
    <row r="27" spans="1:302" x14ac:dyDescent="0.25">
      <c r="A27">
        <f>IF(B27="","",IF(COUNTIF($B$1:B26:B26,B27)=0,MAX($A$1:A26)+1,""))</f>
        <v>4</v>
      </c>
      <c r="B27" s="112">
        <v>40269</v>
      </c>
      <c r="C27" t="str">
        <f>IFERROR(VLOOKUP(COUNTBLANK($E$2:E27),A:B,2,FALSE),"")</f>
        <v/>
      </c>
      <c r="GN27" s="239"/>
      <c r="GO27" s="239"/>
      <c r="GP27" s="239"/>
      <c r="GQ27" s="239"/>
      <c r="GR27" s="239"/>
    </row>
    <row r="28" spans="1:302" x14ac:dyDescent="0.25">
      <c r="A28">
        <f>IF(B28="","",IF(COUNTIF($B$1:B27:B27,B28)=0,MAX($A$1:A27)+1,""))</f>
        <v>5</v>
      </c>
      <c r="B28" s="112">
        <v>40360</v>
      </c>
      <c r="C28" t="str">
        <f>IFERROR(VLOOKUP(COUNTBLANK($E$2:E28),A:B,2,FALSE),"")</f>
        <v/>
      </c>
      <c r="GN28" s="239"/>
      <c r="GO28" s="239"/>
      <c r="GP28" s="239"/>
      <c r="GQ28" s="239"/>
      <c r="GR28" s="239"/>
    </row>
    <row r="29" spans="1:302" x14ac:dyDescent="0.25">
      <c r="A29">
        <f>IF(B29="","",IF(COUNTIF($B$1:B28:B28,B29)=0,MAX($A$1:A28)+1,""))</f>
        <v>6</v>
      </c>
      <c r="B29" s="112">
        <v>40422</v>
      </c>
      <c r="C29" t="str">
        <f>IFERROR(VLOOKUP(COUNTBLANK($E$2:E29),A:B,2,FALSE),"")</f>
        <v/>
      </c>
      <c r="E29" s="246" t="str">
        <f>CONCATENATE(Foglio3!G7,"!")</f>
        <v>DocentePrimaria!</v>
      </c>
      <c r="F29" s="246"/>
      <c r="G29" s="246"/>
    </row>
    <row r="30" spans="1:302" x14ac:dyDescent="0.25">
      <c r="A30">
        <f>IF(B30="","",IF(COUNTIF($B$1:B29:B29,B30)=0,MAX($A$1:A29)+1,""))</f>
        <v>7</v>
      </c>
      <c r="B30" s="112">
        <v>40544</v>
      </c>
      <c r="C30" t="str">
        <f>IFERROR(VLOOKUP(COUNTBLANK($E$2:E30),A:B,2,FALSE),"")</f>
        <v/>
      </c>
      <c r="KD30" s="611" t="s">
        <v>208</v>
      </c>
      <c r="KE30" s="611"/>
      <c r="KF30" s="611"/>
      <c r="KG30" s="611"/>
      <c r="KH30" s="611"/>
      <c r="KI30" s="611"/>
      <c r="KJ30" s="611"/>
      <c r="KK30" s="611"/>
      <c r="KL30" s="611"/>
      <c r="KM30" s="611"/>
      <c r="KN30" s="611"/>
      <c r="KO30" s="611"/>
      <c r="KP30" s="611"/>
    </row>
    <row r="31" spans="1:302" x14ac:dyDescent="0.25">
      <c r="A31">
        <f>IF(B31="","",IF(COUNTIF($B$1:B30:B30,B31)=0,MAX($A$1:A30)+1,""))</f>
        <v>8</v>
      </c>
      <c r="B31" s="112">
        <v>42370</v>
      </c>
      <c r="C31" t="str">
        <f>IFERROR(VLOOKUP(COUNTBLANK($E$2:E31),A:B,2,FALSE),"")</f>
        <v/>
      </c>
      <c r="KD31" s="611"/>
      <c r="KE31" s="611"/>
      <c r="KF31" s="611"/>
      <c r="KG31" s="611"/>
      <c r="KH31" s="611"/>
      <c r="KI31" s="611"/>
      <c r="KJ31" s="611"/>
      <c r="KK31" s="611"/>
      <c r="KL31" s="611"/>
      <c r="KM31" s="611"/>
      <c r="KN31" s="611"/>
      <c r="KO31" s="611"/>
      <c r="KP31" s="611"/>
    </row>
    <row r="32" spans="1:302" x14ac:dyDescent="0.25">
      <c r="A32">
        <f>IF(B32="","",IF(COUNTIF($B$1:B31:B31,B32)=0,MAX($A$1:A31)+1,""))</f>
        <v>9</v>
      </c>
      <c r="B32" s="112">
        <v>42736</v>
      </c>
      <c r="C32" t="str">
        <f>IFERROR(VLOOKUP(COUNTBLANK($E$2:E32),A:B,2,FALSE),"")</f>
        <v/>
      </c>
      <c r="CH32" s="112">
        <f>CH38</f>
        <v>41275</v>
      </c>
      <c r="CI32" s="112">
        <f>F46</f>
        <v>36920</v>
      </c>
      <c r="CK32">
        <f>CI32-CH32</f>
        <v>-4355</v>
      </c>
      <c r="KD32" s="611"/>
      <c r="KE32" s="611"/>
      <c r="KF32" s="611"/>
      <c r="KG32" s="611"/>
      <c r="KH32" s="611"/>
      <c r="KI32" s="611"/>
      <c r="KJ32" s="611"/>
      <c r="KK32" s="611"/>
      <c r="KL32" s="611"/>
      <c r="KM32" s="611"/>
      <c r="KN32" s="611"/>
      <c r="KO32" s="611"/>
      <c r="KP32" s="611"/>
    </row>
    <row r="33" spans="1:322" ht="15.75" thickBot="1" x14ac:dyDescent="0.3">
      <c r="A33">
        <f>IF(B33="","",IF(COUNTIF($B$1:B32:B32,B33)=0,MAX($A$1:A32)+1,""))</f>
        <v>10</v>
      </c>
      <c r="B33" s="112">
        <v>43160</v>
      </c>
      <c r="C33" t="str">
        <f>IFERROR(VLOOKUP(COUNTBLANK($E$2:E33),A:B,2,FALSE),"")</f>
        <v/>
      </c>
      <c r="E33" t="s">
        <v>202</v>
      </c>
      <c r="G33" s="270">
        <f>Foglio3!E14</f>
        <v>0</v>
      </c>
      <c r="KD33" s="612"/>
      <c r="KE33" s="612"/>
      <c r="KF33" s="612"/>
      <c r="KG33" s="612"/>
      <c r="KH33" s="612"/>
      <c r="KI33" s="612"/>
      <c r="KJ33" s="612"/>
      <c r="KK33" s="612"/>
      <c r="KL33" s="612"/>
      <c r="KM33" s="612"/>
      <c r="KN33" s="612"/>
      <c r="KO33" s="612"/>
      <c r="KP33" s="612"/>
    </row>
    <row r="34" spans="1:322" ht="15.75" thickBot="1" x14ac:dyDescent="0.3">
      <c r="A34">
        <f>IF(B34="","",IF(COUNTIF($B$1:B33:B33,B34)=0,MAX($A$1:A33)+1,""))</f>
        <v>11</v>
      </c>
      <c r="B34" s="112">
        <v>43191</v>
      </c>
      <c r="C34" t="str">
        <f>IFERROR(VLOOKUP(COUNTBLANK($E$2:E34),A:B,2,FALSE),"")</f>
        <v/>
      </c>
      <c r="EU34" s="250"/>
      <c r="EV34" s="251"/>
      <c r="EW34" s="251"/>
      <c r="EX34" s="251"/>
      <c r="EY34" s="251"/>
      <c r="EZ34" s="251"/>
      <c r="FA34" s="251" t="s">
        <v>16</v>
      </c>
      <c r="FB34" s="251" t="s">
        <v>17</v>
      </c>
      <c r="FC34" s="251" t="s">
        <v>18</v>
      </c>
      <c r="FD34" s="251" t="s">
        <v>19</v>
      </c>
      <c r="FE34" s="251" t="s">
        <v>20</v>
      </c>
      <c r="FF34" s="251" t="s">
        <v>41</v>
      </c>
      <c r="FG34" s="251" t="s">
        <v>306</v>
      </c>
      <c r="FH34" s="251"/>
      <c r="FI34" s="251"/>
      <c r="FJ34" s="251"/>
      <c r="FK34" s="251"/>
      <c r="FL34" s="251" t="s">
        <v>22</v>
      </c>
      <c r="FM34" s="251" t="s">
        <v>163</v>
      </c>
      <c r="FN34" s="251" t="s">
        <v>164</v>
      </c>
      <c r="FO34" s="251"/>
      <c r="FP34" s="251"/>
      <c r="FQ34" s="252"/>
      <c r="FS34" t="s">
        <v>167</v>
      </c>
      <c r="FT34" t="s">
        <v>153</v>
      </c>
      <c r="FU34" t="s">
        <v>154</v>
      </c>
      <c r="FV34" t="s">
        <v>155</v>
      </c>
      <c r="FW34" t="s">
        <v>156</v>
      </c>
      <c r="FX34" t="s">
        <v>157</v>
      </c>
      <c r="FY34" t="s">
        <v>158</v>
      </c>
      <c r="FZ34" t="s">
        <v>307</v>
      </c>
      <c r="GA34" t="s">
        <v>159</v>
      </c>
      <c r="GB34" t="s">
        <v>160</v>
      </c>
      <c r="GC34" t="s">
        <v>161</v>
      </c>
      <c r="KD34" s="250"/>
      <c r="KE34" s="251"/>
      <c r="KF34" s="251"/>
      <c r="KG34" s="251"/>
      <c r="KH34" s="251"/>
      <c r="KI34" s="251"/>
      <c r="KJ34" s="251" t="s">
        <v>16</v>
      </c>
      <c r="KK34" s="251" t="s">
        <v>17</v>
      </c>
      <c r="KL34" s="251" t="s">
        <v>18</v>
      </c>
      <c r="KM34" s="251" t="s">
        <v>19</v>
      </c>
      <c r="KN34" s="251" t="s">
        <v>20</v>
      </c>
      <c r="KO34" s="251" t="s">
        <v>41</v>
      </c>
      <c r="KP34" s="251"/>
      <c r="KQ34" s="251"/>
      <c r="KR34" s="251"/>
      <c r="KS34" s="251"/>
      <c r="KT34" s="251"/>
      <c r="KU34" s="251" t="s">
        <v>22</v>
      </c>
      <c r="KV34" s="251" t="s">
        <v>163</v>
      </c>
      <c r="KW34" s="251" t="s">
        <v>164</v>
      </c>
      <c r="KX34" s="251"/>
      <c r="KY34" s="251"/>
      <c r="KZ34" s="252"/>
    </row>
    <row r="35" spans="1:322" x14ac:dyDescent="0.25">
      <c r="A35">
        <f>IF(B35="","",IF(COUNTIF($B$1:B34:B34,B35)=0,MAX($A$1:A34)+1,""))</f>
        <v>12</v>
      </c>
      <c r="B35" s="112">
        <v>43466</v>
      </c>
      <c r="C35" t="str">
        <f>IFERROR(VLOOKUP(COUNTBLANK($E$2:E35),A:B,2,FALSE),"")</f>
        <v/>
      </c>
      <c r="EU35" s="253"/>
      <c r="EZ35" t="s">
        <v>151</v>
      </c>
      <c r="FA35" t="s">
        <v>139</v>
      </c>
      <c r="FB35" t="s">
        <v>140</v>
      </c>
      <c r="FC35" t="s">
        <v>141</v>
      </c>
      <c r="FD35" t="s">
        <v>142</v>
      </c>
      <c r="FE35" t="s">
        <v>143</v>
      </c>
      <c r="FF35" t="s">
        <v>144</v>
      </c>
      <c r="FG35" t="s">
        <v>234</v>
      </c>
      <c r="FH35" t="s">
        <v>147</v>
      </c>
      <c r="FI35" t="s">
        <v>148</v>
      </c>
      <c r="FJ35" t="s">
        <v>149</v>
      </c>
      <c r="FK35" t="s">
        <v>150</v>
      </c>
      <c r="FL35" t="s">
        <v>146</v>
      </c>
      <c r="FQ35" s="254"/>
      <c r="GS35" s="250"/>
      <c r="GT35" s="251"/>
      <c r="GU35" s="251"/>
      <c r="GV35" s="251"/>
      <c r="GW35" s="251"/>
      <c r="GX35" s="251"/>
      <c r="GY35" s="251"/>
      <c r="GZ35" s="251"/>
      <c r="HA35" s="251"/>
      <c r="HB35" s="251"/>
      <c r="HC35" s="251"/>
      <c r="HD35" s="252"/>
      <c r="KD35" s="253"/>
      <c r="KI35" t="s">
        <v>151</v>
      </c>
      <c r="KJ35" t="s">
        <v>139</v>
      </c>
      <c r="KK35" t="s">
        <v>140</v>
      </c>
      <c r="KL35" t="s">
        <v>141</v>
      </c>
      <c r="KM35" t="s">
        <v>142</v>
      </c>
      <c r="KN35" t="s">
        <v>143</v>
      </c>
      <c r="KO35" t="s">
        <v>144</v>
      </c>
      <c r="KP35" t="s">
        <v>145</v>
      </c>
      <c r="KQ35" t="s">
        <v>147</v>
      </c>
      <c r="KR35" t="s">
        <v>148</v>
      </c>
      <c r="KS35" t="s">
        <v>149</v>
      </c>
      <c r="KT35" t="s">
        <v>150</v>
      </c>
      <c r="KU35" t="s">
        <v>146</v>
      </c>
      <c r="KZ35" s="254"/>
    </row>
    <row r="36" spans="1:322" x14ac:dyDescent="0.25">
      <c r="A36" t="str">
        <f>IF(B36="","",IF(COUNTIF($B$1:B35:B35,B36)=0,MAX($A$1:A35)+1,""))</f>
        <v/>
      </c>
      <c r="B36" s="112" t="s">
        <v>134</v>
      </c>
      <c r="C36" t="str">
        <f>IFERROR(VLOOKUP(COUNTBLANK($E$2:E36),A:B,2,FALSE),"")</f>
        <v/>
      </c>
      <c r="DL36" t="str">
        <f ca="1">CONCATENATE("Foglio1!AA",DJ40-6,":AK",DJ40)</f>
        <v>Foglio1!AA87:AK93</v>
      </c>
      <c r="EU36" s="253"/>
      <c r="FQ36" s="254"/>
      <c r="GS36" s="253"/>
      <c r="GT36" t="s">
        <v>182</v>
      </c>
      <c r="HD36" s="254"/>
      <c r="KD36" s="253"/>
      <c r="KZ36" s="254"/>
    </row>
    <row r="37" spans="1:322" ht="87" customHeight="1" thickBot="1" x14ac:dyDescent="0.3">
      <c r="A37">
        <f>IF(B37="","",IF(COUNTIF($B$1:B36:B36,B37)=0,MAX($A$1:A36)+1,""))</f>
        <v>13</v>
      </c>
      <c r="B37" s="112">
        <v>40210</v>
      </c>
      <c r="C37" t="str">
        <f>IFERROR(VLOOKUP(COUNTBLANK($E$2:E37),A:B,2,FALSE),"")</f>
        <v/>
      </c>
      <c r="CG37" t="s">
        <v>116</v>
      </c>
      <c r="EU37" s="253" t="s">
        <v>197</v>
      </c>
      <c r="EX37" t="s">
        <v>138</v>
      </c>
      <c r="FB37" s="343">
        <v>37622</v>
      </c>
      <c r="FQ37" s="254"/>
      <c r="FS37" t="s">
        <v>136</v>
      </c>
      <c r="FT37" t="s">
        <v>93</v>
      </c>
      <c r="FU37" t="s">
        <v>16</v>
      </c>
      <c r="FV37" t="s">
        <v>17</v>
      </c>
      <c r="FW37" t="s">
        <v>18</v>
      </c>
      <c r="FX37" t="s">
        <v>19</v>
      </c>
      <c r="FY37" t="s">
        <v>20</v>
      </c>
      <c r="FZ37" t="s">
        <v>166</v>
      </c>
      <c r="GA37" t="s">
        <v>162</v>
      </c>
      <c r="GB37" t="s">
        <v>163</v>
      </c>
      <c r="GC37" t="s">
        <v>164</v>
      </c>
      <c r="GD37" t="s">
        <v>371</v>
      </c>
      <c r="GE37" t="s">
        <v>175</v>
      </c>
      <c r="GF37" t="s">
        <v>176</v>
      </c>
      <c r="GG37" s="263" t="s">
        <v>369</v>
      </c>
      <c r="GH37" t="s">
        <v>17</v>
      </c>
      <c r="GI37" t="s">
        <v>18</v>
      </c>
      <c r="GJ37" t="s">
        <v>365</v>
      </c>
      <c r="GK37" t="s">
        <v>366</v>
      </c>
      <c r="GL37" t="s">
        <v>367</v>
      </c>
      <c r="GM37" t="s">
        <v>368</v>
      </c>
      <c r="GN37" t="s">
        <v>163</v>
      </c>
      <c r="GO37" t="s">
        <v>164</v>
      </c>
      <c r="GQ37" s="263" t="s">
        <v>298</v>
      </c>
      <c r="GR37" s="263" t="s">
        <v>370</v>
      </c>
      <c r="GS37" s="253" t="s">
        <v>371</v>
      </c>
      <c r="GT37" t="s">
        <v>175</v>
      </c>
      <c r="GU37" t="s">
        <v>176</v>
      </c>
      <c r="GV37" t="s">
        <v>177</v>
      </c>
      <c r="GW37" t="s">
        <v>17</v>
      </c>
      <c r="GX37" t="s">
        <v>18</v>
      </c>
      <c r="GY37" t="s">
        <v>178</v>
      </c>
      <c r="GZ37" t="s">
        <v>186</v>
      </c>
      <c r="HA37" t="s">
        <v>180</v>
      </c>
      <c r="HB37" t="s">
        <v>181</v>
      </c>
      <c r="HC37" t="s">
        <v>163</v>
      </c>
      <c r="HD37" s="254" t="s">
        <v>164</v>
      </c>
      <c r="HE37" t="s">
        <v>184</v>
      </c>
      <c r="IS37" s="112">
        <f>G33</f>
        <v>0</v>
      </c>
      <c r="IV37" s="263" t="s">
        <v>204</v>
      </c>
      <c r="KD37" s="253" t="s">
        <v>197</v>
      </c>
      <c r="KG37" t="s">
        <v>138</v>
      </c>
      <c r="KZ37" s="254"/>
    </row>
    <row r="38" spans="1:322" ht="204.75" thickBot="1" x14ac:dyDescent="0.3">
      <c r="B38" s="112" t="s">
        <v>134</v>
      </c>
      <c r="C38" t="str">
        <f>IFERROR(VLOOKUP(COUNTBLANK($E$2:E38),A:B,2,FALSE),"")</f>
        <v/>
      </c>
      <c r="E38" t="s">
        <v>198</v>
      </c>
      <c r="W38" t="s">
        <v>110</v>
      </c>
      <c r="CF38" t="str">
        <f>fronttd!K9</f>
        <v>SI</v>
      </c>
      <c r="CG38">
        <f>IF(CF38="NO","",2013)</f>
        <v>2013</v>
      </c>
      <c r="CH38" s="112">
        <v>41275</v>
      </c>
      <c r="CI38" s="112">
        <v>41639</v>
      </c>
      <c r="CJ38" t="s">
        <v>117</v>
      </c>
      <c r="CQ38" t="s">
        <v>121</v>
      </c>
      <c r="CR38" t="s">
        <v>120</v>
      </c>
      <c r="CU38" s="243">
        <f>MAX(CU40:CU117)</f>
        <v>7497</v>
      </c>
      <c r="DO38" s="615" t="s">
        <v>129</v>
      </c>
      <c r="DP38" s="615"/>
      <c r="DQ38" s="615"/>
      <c r="DW38" s="276"/>
      <c r="DX38" s="276"/>
      <c r="DY38" s="276"/>
      <c r="DZ38" s="276"/>
      <c r="EF38" s="250"/>
      <c r="EG38" s="251"/>
      <c r="EH38" s="251"/>
      <c r="EI38" s="251"/>
      <c r="EJ38" s="251"/>
      <c r="EK38" s="252"/>
      <c r="EM38" s="250"/>
      <c r="EN38" s="251"/>
      <c r="EO38" s="251"/>
      <c r="EP38" s="251"/>
      <c r="EQ38" s="251"/>
      <c r="ER38" s="251"/>
      <c r="ES38" s="251"/>
      <c r="ET38" s="251"/>
      <c r="EU38" s="260">
        <f>HQ39</f>
        <v>44804</v>
      </c>
      <c r="EW38" t="s">
        <v>152</v>
      </c>
      <c r="EX38" t="str">
        <f>CONCATENATE("Foglio1!Ab",31,":An",300)</f>
        <v>Foglio1!Ab31:An300</v>
      </c>
      <c r="FQ38" s="254"/>
      <c r="GS38" s="253"/>
      <c r="HD38" s="254"/>
      <c r="IQ38" t="s">
        <v>203</v>
      </c>
      <c r="IS38" s="112" t="str">
        <f>CONCATENATE(DAY(G33),"/",MONTH(G33),"/",YEAR(G33))</f>
        <v>0/1/1900</v>
      </c>
      <c r="IV38" s="263" t="s">
        <v>205</v>
      </c>
      <c r="IW38" t="str">
        <f>IF(IS37&gt;100,CONCATENATE(IV38,IS38),"")</f>
        <v/>
      </c>
      <c r="IY38" s="264" t="s">
        <v>193</v>
      </c>
      <c r="JD38" t="s">
        <v>194</v>
      </c>
      <c r="JE38" s="112" t="str">
        <f>IF(DP40=0,"",CONCATENATE(DAY(DP40),"/",MONTH(DP40),"/",YEAR(DP40),"
"))</f>
        <v xml:space="preserve">9/12/1998
</v>
      </c>
      <c r="JH38" s="263" t="str">
        <f>CONCATENATE(JD38,JE38,JD39,JE39,JD40,JE40,JD41,JE41,JD42,JE42,JD43,JE43,"
","IL PRESENTE DECRETO TERMINA I SUOI EFFETTI GIURIDICI ECONOMICI IN DATA:",Foglio3!DG21,"/",Foglio3!DH21,"/",Foglio3!DI21," - ULTIMO GIORNO A TEMPO DETERMINATO IMPUGNATO ")</f>
        <v xml:space="preserve">considerato che spetta la fascia 0/2 anni in data:9/12/1998
fascia 3/8 anni in data:4/6/2002
fascia 9/14 anni in data:24/12/2009
fascia 15/20 anni in data:16/2/2017
IL PRESENTE DECRETO TERMINA I SUOI EFFETTI GIURIDICI ECONOMICI IN DATA:31/8/2022 - ULTIMO GIORNO A TEMPO DETERMINATO IMPUGNATO </v>
      </c>
      <c r="JQ38" s="269" t="s">
        <v>322</v>
      </c>
      <c r="KC38" s="251"/>
      <c r="KD38" s="260">
        <f>EU38</f>
        <v>44804</v>
      </c>
      <c r="KF38" t="s">
        <v>152</v>
      </c>
      <c r="KG38" t="str">
        <f>CONCATENATE("Foglio1!Ab",31,":An",300)</f>
        <v>Foglio1!Ab31:An300</v>
      </c>
      <c r="KZ38" s="254"/>
      <c r="LF38" s="273">
        <f>G33*1</f>
        <v>0</v>
      </c>
    </row>
    <row r="39" spans="1:322" ht="68.45" customHeight="1" x14ac:dyDescent="0.25">
      <c r="A39" s="613" t="s">
        <v>213</v>
      </c>
      <c r="B39" s="598"/>
      <c r="C39" t="str">
        <f>IFERROR(VLOOKUP(COUNTBLANK($E$2:E39),A:B,2,FALSE),"")</f>
        <v/>
      </c>
      <c r="E39" s="239" t="s">
        <v>105</v>
      </c>
      <c r="F39" s="239" t="s">
        <v>106</v>
      </c>
      <c r="G39" s="244"/>
      <c r="H39" s="244"/>
      <c r="I39" s="244"/>
      <c r="J39" s="244"/>
      <c r="K39" s="244"/>
      <c r="Q39" t="s">
        <v>107</v>
      </c>
      <c r="R39" t="s">
        <v>115</v>
      </c>
      <c r="S39" t="s">
        <v>108</v>
      </c>
      <c r="T39" t="s">
        <v>109</v>
      </c>
      <c r="U39" t="s">
        <v>107</v>
      </c>
      <c r="W39" t="s">
        <v>108</v>
      </c>
      <c r="X39" t="s">
        <v>109</v>
      </c>
      <c r="Y39" t="s">
        <v>107</v>
      </c>
      <c r="AA39" t="s">
        <v>118</v>
      </c>
      <c r="AH39" t="s">
        <v>105</v>
      </c>
      <c r="AI39" t="s">
        <v>106</v>
      </c>
      <c r="AK39" t="s">
        <v>111</v>
      </c>
      <c r="AL39" t="s">
        <v>112</v>
      </c>
      <c r="AS39" t="s">
        <v>111</v>
      </c>
      <c r="AT39" t="s">
        <v>112</v>
      </c>
      <c r="BA39" t="s">
        <v>111</v>
      </c>
      <c r="BB39" t="s">
        <v>112</v>
      </c>
      <c r="BI39" t="s">
        <v>111</v>
      </c>
      <c r="BJ39" t="s">
        <v>112</v>
      </c>
      <c r="BO39" t="s">
        <v>111</v>
      </c>
      <c r="BP39" t="s">
        <v>112</v>
      </c>
      <c r="CN39" t="s">
        <v>119</v>
      </c>
      <c r="CQ39">
        <v>1095</v>
      </c>
      <c r="CU39" s="263" t="s">
        <v>378</v>
      </c>
      <c r="CV39" t="s">
        <v>122</v>
      </c>
      <c r="CX39" t="s">
        <v>123</v>
      </c>
      <c r="CY39" t="s">
        <v>124</v>
      </c>
      <c r="CZ39" t="s">
        <v>125</v>
      </c>
      <c r="DA39" t="s">
        <v>126</v>
      </c>
      <c r="DB39" t="s">
        <v>127</v>
      </c>
      <c r="DC39">
        <v>35</v>
      </c>
      <c r="DD39" s="614" t="s">
        <v>137</v>
      </c>
      <c r="DE39" s="614"/>
      <c r="DF39" s="614"/>
      <c r="DG39" s="614"/>
      <c r="DH39" s="614"/>
      <c r="DI39" s="614"/>
      <c r="DJ39" s="614"/>
      <c r="DK39" s="614"/>
      <c r="DL39" s="614"/>
      <c r="DO39" t="s">
        <v>128</v>
      </c>
      <c r="DP39" t="s">
        <v>93</v>
      </c>
      <c r="DW39" s="276" t="s">
        <v>130</v>
      </c>
      <c r="DX39" s="276"/>
      <c r="DY39" s="276"/>
      <c r="DZ39" s="276" t="s">
        <v>131</v>
      </c>
      <c r="EF39" s="253" t="s">
        <v>132</v>
      </c>
      <c r="EJ39" s="259">
        <f>E40</f>
        <v>36138</v>
      </c>
      <c r="EK39" s="254"/>
      <c r="EM39" s="253" t="s">
        <v>133</v>
      </c>
      <c r="EP39" t="s">
        <v>135</v>
      </c>
      <c r="ET39" t="s">
        <v>136</v>
      </c>
      <c r="EU39" s="253" t="s">
        <v>93</v>
      </c>
      <c r="EV39" t="s">
        <v>136</v>
      </c>
      <c r="FA39" t="str">
        <f>FA34</f>
        <v>Stipendio
annuo</v>
      </c>
      <c r="FB39" t="str">
        <f>FB34</f>
        <v>Indennità funzione</v>
      </c>
      <c r="FC39" t="str">
        <f t="shared" ref="FC39:FL39" si="0">FC34</f>
        <v>art. 7 L. 438/92</v>
      </c>
      <c r="FD39" t="str">
        <f t="shared" si="0"/>
        <v>I.I.S.</v>
      </c>
      <c r="FE39" t="str">
        <f t="shared" si="0"/>
        <v>Vacanza contr.le</v>
      </c>
      <c r="FF39" t="str">
        <f t="shared" si="0"/>
        <v>13^ da
col.(d) a (f)</v>
      </c>
      <c r="FG39" t="str">
        <f t="shared" si="0"/>
        <v>DIFFERENZIALE EX FASCIA 3/8 ANNI</v>
      </c>
      <c r="FH39">
        <f t="shared" si="0"/>
        <v>0</v>
      </c>
      <c r="FI39">
        <f t="shared" si="0"/>
        <v>0</v>
      </c>
      <c r="FJ39">
        <f t="shared" si="0"/>
        <v>0</v>
      </c>
      <c r="FK39">
        <f t="shared" si="0"/>
        <v>0</v>
      </c>
      <c r="FL39" t="str">
        <f t="shared" si="0"/>
        <v>Retribuzione Professionale Docenti</v>
      </c>
      <c r="FM39" t="s">
        <v>163</v>
      </c>
      <c r="FN39" t="s">
        <v>164</v>
      </c>
      <c r="FO39" t="s">
        <v>136</v>
      </c>
      <c r="FP39" t="s">
        <v>136</v>
      </c>
      <c r="FQ39" s="254" t="s">
        <v>136</v>
      </c>
      <c r="GS39" s="253"/>
      <c r="HD39" s="254"/>
      <c r="HN39" s="239"/>
      <c r="HP39" s="263" t="s">
        <v>195</v>
      </c>
      <c r="HQ39" s="112">
        <f>MAX(F40:F131)</f>
        <v>44804</v>
      </c>
      <c r="HR39" s="263" t="str">
        <f>CONCATENATE("
",HP39,DAY(HQ39),"/",MONTH(HQ39),"/",YEAR(HQ39),"
",HP40)</f>
        <v xml:space="preserve">
GLI EFFETTI DEL PRESENTE DECRETO SONO LIMITATI ALLA DATA DEL:31/8/2022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LO STIPENDIO VA  RAPPORTATO ALLE EFFETTIVE ORE DI SERVIZIO PRESTATE. IL PRESENTE DECRETO SARA’ INVIATO ALLA RAGIONERIA PROVINCIALE  DELLO STATO PER QUANTO DI COMPETENZA .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W39" s="616" t="s">
        <v>190</v>
      </c>
      <c r="HX39" s="617"/>
      <c r="HY39" s="617"/>
      <c r="HZ39" s="617"/>
      <c r="IA39" s="617"/>
      <c r="IB39" s="617"/>
      <c r="IC39" s="617"/>
      <c r="ID39" s="617"/>
      <c r="IE39" s="617"/>
      <c r="IF39" s="618"/>
      <c r="IY39" s="265"/>
      <c r="JD39" t="str">
        <f>IF(JE39&lt;&gt;"","fascia 3/8 anni in data:","")</f>
        <v>fascia 3/8 anni in data:</v>
      </c>
      <c r="JE39" s="112" t="str">
        <f>IF(DP41="","",CONCATENATE(DAY(DP41),"/",MONTH(DP41),"/",YEAR(DP41),"
"))</f>
        <v xml:space="preserve">4/6/2002
</v>
      </c>
      <c r="JQ39" s="269" t="s">
        <v>199</v>
      </c>
      <c r="KC39" t="s">
        <v>136</v>
      </c>
      <c r="KD39" s="253" t="s">
        <v>93</v>
      </c>
      <c r="KE39" t="s">
        <v>136</v>
      </c>
      <c r="KJ39" t="str">
        <f>KJ34</f>
        <v>Stipendio
annuo</v>
      </c>
      <c r="KK39" t="str">
        <f>KK34</f>
        <v>Indennità funzione</v>
      </c>
      <c r="KL39" t="str">
        <f t="shared" ref="KL39:KU39" si="1">KL34</f>
        <v>art. 7 L. 438/92</v>
      </c>
      <c r="KM39" t="str">
        <f t="shared" si="1"/>
        <v>I.I.S.</v>
      </c>
      <c r="KN39" t="str">
        <f t="shared" si="1"/>
        <v>Vacanza contr.le</v>
      </c>
      <c r="KO39" t="str">
        <f t="shared" si="1"/>
        <v>13^ da
col.(d) a (f)</v>
      </c>
      <c r="KP39">
        <f t="shared" si="1"/>
        <v>0</v>
      </c>
      <c r="KQ39">
        <f t="shared" si="1"/>
        <v>0</v>
      </c>
      <c r="KR39">
        <f t="shared" si="1"/>
        <v>0</v>
      </c>
      <c r="KS39">
        <f t="shared" si="1"/>
        <v>0</v>
      </c>
      <c r="KT39">
        <f t="shared" si="1"/>
        <v>0</v>
      </c>
      <c r="KU39" t="str">
        <f t="shared" si="1"/>
        <v>Retribuzione Professionale Docenti</v>
      </c>
      <c r="KV39" t="s">
        <v>163</v>
      </c>
      <c r="KW39" t="s">
        <v>164</v>
      </c>
      <c r="KX39" t="s">
        <v>136</v>
      </c>
      <c r="KY39" t="s">
        <v>136</v>
      </c>
      <c r="KZ39" s="254" t="s">
        <v>136</v>
      </c>
      <c r="LA39" t="s">
        <v>105</v>
      </c>
      <c r="LB39" t="s">
        <v>106</v>
      </c>
      <c r="LC39" s="263" t="s">
        <v>209</v>
      </c>
      <c r="LD39" s="263" t="s">
        <v>210</v>
      </c>
      <c r="LE39" s="263" t="s">
        <v>211</v>
      </c>
      <c r="LF39" s="263" t="s">
        <v>212</v>
      </c>
      <c r="LG39" s="263"/>
      <c r="LH39" s="263"/>
      <c r="LI39" s="263"/>
      <c r="LJ39" s="263"/>
    </row>
    <row r="40" spans="1:322" ht="120.6" customHeight="1" thickBot="1" x14ac:dyDescent="0.35">
      <c r="A40" s="112">
        <f>VLOOKUP(B40-1,$DW$40:$DW$72,1)</f>
        <v>35612</v>
      </c>
      <c r="B40" s="112">
        <f>VLOOKUP(F40,$DW$40:$DW$72,1)</f>
        <v>36100</v>
      </c>
      <c r="C40" t="str">
        <f>IFERROR(VLOOKUP(COUNTBLANK($E$2:E40),A:B,2,FALSE),"")</f>
        <v/>
      </c>
      <c r="E40" s="240">
        <f>Foglio3!F20</f>
        <v>36138</v>
      </c>
      <c r="F40" s="240">
        <f>Foglio3!G20</f>
        <v>36280</v>
      </c>
      <c r="G40" s="244"/>
      <c r="H40" s="245">
        <f>AH40</f>
        <v>36138</v>
      </c>
      <c r="I40" s="245">
        <f t="shared" ref="I40:I103" si="2">AI40</f>
        <v>36280</v>
      </c>
      <c r="J40" s="244"/>
      <c r="K40" s="244"/>
      <c r="M40" s="112">
        <f>EDATE(E40,3)</f>
        <v>36228</v>
      </c>
      <c r="N40" s="112">
        <f>EOMONTH(E40,3)</f>
        <v>36250</v>
      </c>
      <c r="Q40">
        <f t="shared" ref="Q40:Q52" si="3">I40-H40+1</f>
        <v>143</v>
      </c>
      <c r="R40">
        <f>Q40*AG40</f>
        <v>143</v>
      </c>
      <c r="S40">
        <f>INT(R40/365)</f>
        <v>0</v>
      </c>
      <c r="T40">
        <f>INT( (R40-(S40*365))/30)</f>
        <v>4</v>
      </c>
      <c r="U40">
        <f>R40- ((S40*365)+T40*30)</f>
        <v>23</v>
      </c>
      <c r="W40">
        <f>S40</f>
        <v>0</v>
      </c>
      <c r="X40">
        <f>T40</f>
        <v>4</v>
      </c>
      <c r="Y40">
        <f>U40</f>
        <v>23</v>
      </c>
      <c r="AA40" s="112">
        <f>IF(AND(YEAR(E40)=$CG$38,YEAR(F40)&gt;$CG$38),"01/01/2014",E40)</f>
        <v>36138</v>
      </c>
      <c r="AB40" s="112">
        <f>IF(YEAR(F40)=$CG$38,"31/12/12"*1,F40)</f>
        <v>36280</v>
      </c>
      <c r="AG40">
        <f>IF(AI40&lt;AH40,0,1)</f>
        <v>1</v>
      </c>
      <c r="AH40" s="112">
        <f>AA40*1</f>
        <v>36138</v>
      </c>
      <c r="AI40" s="112">
        <f>AB40*1</f>
        <v>36280</v>
      </c>
      <c r="AJ40">
        <f>IF(AH40=0,0,1)</f>
        <v>1</v>
      </c>
      <c r="AN40" t="s">
        <v>113</v>
      </c>
      <c r="BV40" t="s">
        <v>114</v>
      </c>
      <c r="CG40">
        <f>YEAR(E40)</f>
        <v>1998</v>
      </c>
      <c r="CH40">
        <f>YEAR(F40)</f>
        <v>1999</v>
      </c>
      <c r="CJ40">
        <f>IF(AND(CG40=$CG$38,CH40=$CG$38),F40-E40+1,0)</f>
        <v>0</v>
      </c>
      <c r="CK40">
        <f t="shared" ref="CK40:CK45" si="4">IF(AND(CG40&lt;&gt;$CG$38,CH40=$CG$38),F40-$CH$38,0)</f>
        <v>0</v>
      </c>
      <c r="CL40">
        <f>IF(AND(CG40=$CG$38,CH40&lt;&gt;$CG$38),$CI$38-E40+1,0)</f>
        <v>0</v>
      </c>
      <c r="CN40">
        <f>CJ40+CK40+CL40</f>
        <v>0</v>
      </c>
      <c r="CQ40" s="246">
        <f>365*9</f>
        <v>3285</v>
      </c>
      <c r="CS40">
        <f>R40</f>
        <v>143</v>
      </c>
      <c r="CT40" s="246">
        <f xml:space="preserve">  IF(E40&lt;&gt;"",           CS40,0)</f>
        <v>143</v>
      </c>
      <c r="CU40" s="243">
        <f>IF(CV40&gt;0,CT40,0)</f>
        <v>143</v>
      </c>
      <c r="CV40" s="112">
        <f>I40</f>
        <v>36280</v>
      </c>
      <c r="CX40" s="112">
        <f>IF(CT40&gt;=$CQ$39,CV40-(CT40-$CQ$39),100000)</f>
        <v>100000</v>
      </c>
      <c r="CY40" s="270">
        <f>IF(CT40&gt;=$CQ$40,CV40-(CT40-$CQ$40),100000)</f>
        <v>100000</v>
      </c>
      <c r="CZ40" s="112">
        <f>IF(CT40&gt;=$CQ$41,CV40-(CT40-$CQ$41),100000)</f>
        <v>100000</v>
      </c>
      <c r="DA40" s="112">
        <f>IF(CT40&gt;=$CQ$42,CV40-(CT40-$CQ$42),100000)</f>
        <v>100000</v>
      </c>
      <c r="DB40" s="112">
        <f>IF(CT40&gt;=$CQ$43,CV40-(CT40-$CQ$43),100000)</f>
        <v>100000</v>
      </c>
      <c r="DC40" s="112">
        <f>IF(CT40&gt;=$CQ$44,CV40-(CT40-$CQ$44),100000)</f>
        <v>100000</v>
      </c>
      <c r="DE40" s="247">
        <v>0</v>
      </c>
      <c r="DG40" s="249">
        <f>EJ39</f>
        <v>36138</v>
      </c>
      <c r="DJ40" s="238">
        <f ca="1">VLOOKUP(DG40,Foglio1!$AB$31:$AN$284,13)</f>
        <v>93</v>
      </c>
      <c r="DL40">
        <f ca="1">VLOOKUP(DE40,INDIRECT($DL$36),6)</f>
        <v>0</v>
      </c>
      <c r="DO40">
        <v>0</v>
      </c>
      <c r="DP40" s="112">
        <f>EJ39</f>
        <v>36138</v>
      </c>
      <c r="DR40">
        <v>0</v>
      </c>
      <c r="DU40" s="112"/>
      <c r="DV40" s="112"/>
      <c r="DW40" s="277">
        <v>35065</v>
      </c>
      <c r="DX40" s="276"/>
      <c r="DY40" s="276" t="s">
        <v>206</v>
      </c>
      <c r="DZ40" s="277">
        <f>IF(G33&gt;E40,G33,0)</f>
        <v>0</v>
      </c>
      <c r="EF40" s="260">
        <f>EJ39</f>
        <v>36138</v>
      </c>
      <c r="EK40" s="254"/>
      <c r="EL40">
        <v>1</v>
      </c>
      <c r="EM40" s="260">
        <f>SMALL($EF$40:$EF$137,EL40)</f>
        <v>36138</v>
      </c>
      <c r="EN40">
        <f>EL40</f>
        <v>1</v>
      </c>
      <c r="EO40" s="112">
        <f>SMALL($EF$40:$EF$137,EN40)</f>
        <v>36138</v>
      </c>
      <c r="EP40" s="112">
        <f>IF(ISERR(EM40)=FALSE,EO40,"")</f>
        <v>36138</v>
      </c>
      <c r="ER40">
        <v>0</v>
      </c>
      <c r="ES40">
        <v>6</v>
      </c>
      <c r="ET40">
        <f>VLOOKUP(EP40,$DP$40:$DR$46,3)</f>
        <v>0</v>
      </c>
      <c r="EU40" s="260">
        <f>IF($EU$38&gt;EP40,$EP40,"")</f>
        <v>36138</v>
      </c>
      <c r="EV40" t="str">
        <f>FQ40</f>
        <v>0-2 anni</v>
      </c>
      <c r="EW40">
        <f t="shared" ref="EW40:EW87" si="5">VLOOKUP(ET40,$ER$40:$ES$46,2)</f>
        <v>6</v>
      </c>
      <c r="EX40" s="238">
        <f t="shared" ref="EX40:EX87" ca="1" si="6">VLOOKUP(EU40,INDIRECT($EX$38),13)-EW40</f>
        <v>52</v>
      </c>
      <c r="FA40">
        <f ca="1" xml:space="preserve">  IF(EU40&lt;$FB$37,             INDIRECT(CONCATENATE($EZ$35,FA$35,$EX40)),INDIRECT(CONCATENATE($EZ$35,FA$35,$EX40))+INDIRECT(CONCATENATE($EZ$35,FD$35,$EX40)))</f>
        <v>8787</v>
      </c>
      <c r="FB40">
        <f t="shared" ref="FB40:FE55" ca="1" si="7">INDIRECT(CONCATENATE($EZ$35,FB$35,$EX40))</f>
        <v>0</v>
      </c>
      <c r="FC40">
        <f t="shared" ca="1" si="7"/>
        <v>0</v>
      </c>
      <c r="FD40">
        <f ca="1" xml:space="preserve">   IF(EU40&lt;$FB$37,              INDIRECT(CONCATENATE($EZ$35,FD$35,$EX40)),0)</f>
        <v>6384.11</v>
      </c>
      <c r="FE40">
        <f t="shared" ca="1" si="7"/>
        <v>0</v>
      </c>
      <c r="FG40">
        <f ca="1">INDIRECT(CONCATENATE($EZ$35,$FG$35,$EX40))</f>
        <v>0</v>
      </c>
      <c r="FL40">
        <f t="shared" ref="FL40:FL87" ca="1" si="8">INDIRECT(CONCATENATE($EZ$35,FL$35,$EX40))</f>
        <v>0</v>
      </c>
      <c r="FO40">
        <v>0</v>
      </c>
      <c r="FP40" t="s">
        <v>174</v>
      </c>
      <c r="FQ40" s="254" t="str">
        <f>VLOOKUP(EW40,$FO$40:$FP$46,2)</f>
        <v>0-2 anni</v>
      </c>
      <c r="FR40">
        <v>40</v>
      </c>
      <c r="FS40" t="str">
        <f t="shared" ref="FS40:GC40" ca="1" si="9">IF(INDIRECT(  CONCATENATE(FS$34,$FR40 ))&lt;&gt;"",     CONCATENATE(FS$34,$FR40 ),"")</f>
        <v>ev40</v>
      </c>
      <c r="FT40" t="str">
        <f t="shared" ca="1" si="9"/>
        <v>EU40</v>
      </c>
      <c r="FU40" t="str">
        <f t="shared" ca="1" si="9"/>
        <v>FA40</v>
      </c>
      <c r="FV40" t="str">
        <f t="shared" ca="1" si="9"/>
        <v>FB40</v>
      </c>
      <c r="FW40" t="str">
        <f t="shared" ca="1" si="9"/>
        <v>FC40</v>
      </c>
      <c r="FX40" t="str">
        <f t="shared" ca="1" si="9"/>
        <v>FD40</v>
      </c>
      <c r="FY40" t="str">
        <f t="shared" ca="1" si="9"/>
        <v>FE40</v>
      </c>
      <c r="FZ40" t="str">
        <f t="shared" ca="1" si="9"/>
        <v>FG40</v>
      </c>
      <c r="GA40" t="str">
        <f t="shared" ca="1" si="9"/>
        <v>FL40</v>
      </c>
      <c r="GB40" t="str">
        <f t="shared" ca="1" si="9"/>
        <v/>
      </c>
      <c r="GC40" t="str">
        <f t="shared" ca="1" si="9"/>
        <v/>
      </c>
      <c r="GD40">
        <v>1</v>
      </c>
      <c r="GE40" s="112">
        <f ca="1" xml:space="preserve">   IF(FT40="","",          INDIRECT(CONCATENATE(FT40)))</f>
        <v>36138</v>
      </c>
      <c r="GF40" s="112" t="str">
        <f ca="1" xml:space="preserve">   IF(FS40="","",          INDIRECT(CONCATENATE(FS40)))</f>
        <v>0-2 anni</v>
      </c>
      <c r="GG40" s="262">
        <f ca="1" xml:space="preserve">   IF(FU40="","",          INDIRECT(CONCATENATE(FU40)))</f>
        <v>8787</v>
      </c>
      <c r="GH40" s="262">
        <f ca="1" xml:space="preserve">   IF(FV40="","",          INDIRECT(CONCATENATE(FV40)))</f>
        <v>0</v>
      </c>
      <c r="GI40" s="262">
        <f ca="1" xml:space="preserve">   IF(FW40="","",          INDIRECT(CONCATENATE(FW40)))</f>
        <v>0</v>
      </c>
      <c r="GJ40" s="262">
        <f ca="1" xml:space="preserve">   IF(FX40="","",          INDIRECT(CONCATENATE(FX40)))</f>
        <v>6384.11</v>
      </c>
      <c r="GK40" s="262">
        <f ca="1" xml:space="preserve">   IF(FY40="","",          INDIRECT(CONCATENATE(FY40)))</f>
        <v>0</v>
      </c>
      <c r="GL40" s="262">
        <f t="shared" ref="GL40:GL45" ca="1" si="10">IF(FZ40="",0,ROUND(INDIRECT(CONCATENATE(FZ40)),2))</f>
        <v>0</v>
      </c>
      <c r="GM40" s="262">
        <f ca="1" xml:space="preserve">   IF(GA40="","",          INDIRECT(CONCATENATE(GA40)))</f>
        <v>0</v>
      </c>
      <c r="GN40" s="262">
        <f ca="1" xml:space="preserve">   IF(GB40="",0,          INDIRECT(CONCATENATE(GB40)))</f>
        <v>0</v>
      </c>
      <c r="GO40" s="262">
        <f t="shared" ref="GO40:GO75" ca="1" si="11" xml:space="preserve">   IF(GC40="",0,          INDIRECT(CONCATENATE(GC40)))</f>
        <v>0</v>
      </c>
      <c r="GQ40" s="263" t="str">
        <f ca="1">VLOOKUP(GE40,$GO$16:$GP$24,2)</f>
        <v>C.C.N.L. COMPARTO SCUOLA 1998/01</v>
      </c>
      <c r="GR40" s="262">
        <f ca="1">GG40+GH40+GI40+GJ40+GK40+GL40+GM40+GN40+GO40</f>
        <v>15171.11</v>
      </c>
      <c r="GS40" s="253" t="str">
        <f>IF($GD40&gt;0,CONCATENATE(GD$37," ",GD40,"
",),"")</f>
        <v xml:space="preserve">ARTICOLO 1
</v>
      </c>
      <c r="GT40" t="str">
        <f ca="1">IF($GD40&gt;0,CONCATENATE(GE$37," ",                DAY(  GE40),"/",MONTH(GE40),"/",YEAR(GE40),"  "                                    ),"")</f>
        <v xml:space="preserve">con decorrenza dalla data: 9/12/1998  </v>
      </c>
      <c r="GU40" t="str">
        <f ca="1">IF($GD40&gt;0,CONCATENATE(GF$37," ",GF40," - ",GQ40,"
"),"")</f>
        <v xml:space="preserve"> Fascia: 0-2 anni - C.C.N.L. COMPARTO SCUOLA 1998/01
</v>
      </c>
      <c r="GV40" t="str">
        <f ca="1">IF($GD40&gt;0,CONCATENATE(GG$37," ",GG40,"
"),"")</f>
        <v xml:space="preserve">
                              Stipendio annuo lordo                            euro: 8787
</v>
      </c>
      <c r="GW40" t="str">
        <f t="shared" ref="GW40:HD40" ca="1" si="12">IF(GH40&gt;0,CONCATENATE(GH$37," ",GH40,"
"),"")</f>
        <v/>
      </c>
      <c r="GX40" t="str">
        <f t="shared" ca="1" si="12"/>
        <v/>
      </c>
      <c r="GY40" t="str">
        <f t="shared" ca="1" si="12"/>
        <v xml:space="preserve">                                                        I.I.S. annuo lordo             euro: 6384,11
</v>
      </c>
      <c r="GZ40" t="str">
        <f t="shared" ca="1" si="12"/>
        <v/>
      </c>
      <c r="HA40" t="str">
        <f t="shared" ca="1" si="12"/>
        <v/>
      </c>
      <c r="HB40" t="str">
        <f t="shared" ca="1" si="12"/>
        <v/>
      </c>
      <c r="HC40" t="str">
        <f t="shared" ca="1" si="12"/>
        <v/>
      </c>
      <c r="HD40" s="254" t="str">
        <f t="shared" ca="1" si="12"/>
        <v/>
      </c>
      <c r="HE40" s="254" t="str">
        <f ca="1">IF(GR40&gt;0,CONCATENATE(GR$37," ",GR40,"
"),"")</f>
        <v xml:space="preserve">
TOTALE ANNUO LORDO EURO 15171,11
</v>
      </c>
      <c r="HL40" s="263" t="str">
        <f ca="1">CONCATENATE(GS40,GT40,GU40,GV40,GW40,GX40,GY40,GZ40,HA40,HB40,HC40,HD40,HE40)</f>
        <v xml:space="preserve">ARTICOLO 1
con decorrenza dalla data: 9/12/1998   Fascia: 0-2 anni - C.C.N.L. COMPARTO SCUOLA 1998/01
                              Stipendio annuo lordo                            euro: 8787
                                                        I.I.S. annuo lordo             euro: 6384,11
TOTALE ANNUO LORDO EURO 15171,11
</v>
      </c>
      <c r="HM40" s="263"/>
      <c r="HN40" s="272" t="str">
        <f t="shared" ref="HN40:HN96" ca="1" si="13">IF(HO40=0,CONCATENATE(HP40,HQ40,HR40),IF($GD40&gt;0,HL40,IF(HO39=0,"",$HR$39)))</f>
        <v xml:space="preserve">ARTICOLO 1
con decorrenza dalla data: 9/12/1998   Fascia: 0-2 anni - C.C.N.L. COMPARTO SCUOLA 1998/01
                              Stipendio annuo lordo                            euro: 8787
                                                        I.I.S. annuo lordo             euro: 6384,11
TOTALE ANNUO LORDO EURO 15171,11
</v>
      </c>
      <c r="HO40">
        <f>$GD40</f>
        <v>1</v>
      </c>
      <c r="HP40" s="263" t="s">
        <v>196</v>
      </c>
      <c r="HW40" s="253" t="s">
        <v>187</v>
      </c>
      <c r="HX40" s="112" t="str">
        <f>CONCATENATE(DAY(E40),"/",MONTH(E40),"/",YEAR(E40))</f>
        <v>9/12/1998</v>
      </c>
      <c r="HY40" t="s">
        <v>188</v>
      </c>
      <c r="HZ40" s="112" t="str">
        <f>CONCATENATE(DAY(F40),"/",MONTH(F40),"/",YEAR(F40))</f>
        <v>30/4/1999</v>
      </c>
      <c r="IA40" t="s">
        <v>189</v>
      </c>
      <c r="IB40">
        <f>S40</f>
        <v>0</v>
      </c>
      <c r="IC40" t="s">
        <v>192</v>
      </c>
      <c r="ID40">
        <f>T40</f>
        <v>4</v>
      </c>
      <c r="IE40" t="s">
        <v>191</v>
      </c>
      <c r="IF40" s="254">
        <f>U40</f>
        <v>23</v>
      </c>
      <c r="IK40" t="str">
        <f t="shared" ref="IK40:IK58" si="14">IF(  AND(  E40&gt;0, E40&lt;&gt;""),CONCATENATE(HW40,HX40,HY40,HZ40,IA40,IB40,IC40,ID40,IE40,IF40,"
"),"")</f>
        <v xml:space="preserve">DAL: 9/12/1998 - AL:30/4/1999 - ANNI:0 - MESI:4 -GIORNI:23
</v>
      </c>
      <c r="IV40" s="263" t="str">
        <f>CONCATENATE(IK40,IK41,IK42,IK43,IK44,IK45,IK46,IK47,IK48,IK49,IK50,IK51,IK52,IK53,IK54,I545,IK56,IK57,IK58,IK59,)</f>
        <v xml:space="preserve">DAL: 9/12/1998 - AL:30/4/1999 - ANNI:0 - MESI:4 -GIORNI:23
DAL: 1/5/1999 - AL:10/6/1999 - ANNI:0 - MESI:1 -GIORNI:11
DAL: 14/6/1999 - AL:14/6/1999 - ANNI:0 - MESI:0 -GIORNI:1
DAL: 29/9/1999 - AL:30/9/1999 - ANNI:0 - MESI:0 -GIORNI:2
DAL: 1/10/1999 - AL:21/10/1999 - ANNI:0 - MESI:0 -GIORNI:21
DAL: 23/10/1999 - AL:31/8/2000 - ANNI:0 - MESI:10 -GIORNI:14
DAL: 8/9/2000 - AL:29/1/2001 - ANNI:0 - MESI:4 -GIORNI:24
DAL: 30/1/2001 - AL:30/6/2001 - ANNI:0 - MESI:5 -GIORNI:2
DAL: 1/9/2001 - AL:30/6/2002 - ANNI:0 - MESI:10 -GIORNI:3
DAL: 3/10/2001 - AL:5/11/2001 - ANNI:0 - MESI:0 -GIORNI:0
DAL: 3/10/2001 - AL:5/11/2001 - ANNI:0 - MESI:0 -GIORNI:0
DAL: 6/11/2001 - AL:30/6/2002 - ANNI:0 - MESI:0 -GIORNI:0
DAL: 7/11/2001 - AL:26/1/2002 - ANNI:0 - MESI:0 -GIORNI:0
DAL: 28/1/2002 - AL:30/6/2002 - ANNI:0 - MESI:0 -GIORNI:0
DAL: 8/10/2002 - AL:22/10/2002 - ANNI:0 - MESI:0 -GIORNI:15
DAL: 8/1/2003 - AL:11/2/2003 - ANNI:0 - MESI:1 -GIORNI:5
DAL: 23/1/2003 - AL:11/6/2003 - ANNI:0 - MESI:4 -GIORNI:0
DAL: 21/2/2003 - AL:14/6/2003 - ANNI:0 - MESI:0 -GIORNI:3
DAL: 1/9/2003 - AL:30/6/2004 - ANNI:0 - MESI:10 -GIORNI:4
</v>
      </c>
      <c r="IY40" s="271" t="str">
        <f>CONCATENATE(IV40,IV60,IV80,IV100,IV120,IV140,IV160,IV180,IV200,IW38)</f>
        <v xml:space="preserve">DAL: 9/12/1998 - AL:30/4/1999 - ANNI:0 - MESI:4 -GIORNI:23
DAL: 1/5/1999 - AL:10/6/1999 - ANNI:0 - MESI:1 -GIORNI:11
DAL: 14/6/1999 - AL:14/6/1999 - ANNI:0 - MESI:0 -GIORNI:1
DAL: 29/9/1999 - AL:30/9/1999 - ANNI:0 - MESI:0 -GIORNI:2
DAL: 1/10/1999 - AL:21/10/1999 - ANNI:0 - MESI:0 -GIORNI:21
DAL: 23/10/1999 - AL:31/8/2000 - ANNI:0 - MESI:10 -GIORNI:14
DAL: 8/9/2000 - AL:29/1/2001 - ANNI:0 - MESI:4 -GIORNI:24
DAL: 30/1/2001 - AL:30/6/2001 - ANNI:0 - MESI:5 -GIORNI:2
DAL: 1/9/2001 - AL:30/6/2002 - ANNI:0 - MESI:10 -GIORNI:3
DAL: 3/10/2001 - AL:5/11/2001 - ANNI:0 - MESI:0 -GIORNI:0
DAL: 3/10/2001 - AL:5/11/2001 - ANNI:0 - MESI:0 -GIORNI:0
DAL: 6/11/2001 - AL:30/6/2002 - ANNI:0 - MESI:0 -GIORNI:0
DAL: 7/11/2001 - AL:26/1/2002 - ANNI:0 - MESI:0 -GIORNI:0
DAL: 28/1/2002 - AL:30/6/2002 - ANNI:0 - MESI:0 -GIORNI:0
DAL: 8/10/2002 - AL:22/10/2002 - ANNI:0 - MESI:0 -GIORNI:15
DAL: 8/1/2003 - AL:11/2/2003 - ANNI:0 - MESI:1 -GIORNI:5
DAL: 23/1/2003 - AL:11/6/2003 - ANNI:0 - MESI:4 -GIORNI:0
DAL: 21/2/2003 - AL:14/6/2003 - ANNI:0 - MESI:0 -GIORNI:3
DAL: 1/9/2003 - AL:30/6/2004 - ANNI:0 - MESI:10 -GIORNI:4
DAL: 1/9/2004 - AL:18/7/2005 - ANNI:0 - MESI:10 -GIORNI:21
DAL: 1/9/2005 - AL:21/7/2006 - ANNI:0 - MESI:10 -GIORNI:24
DAL: 1/9/2006 - AL:14/7/2007 - ANNI:0 - MESI:10 -GIORNI:17
DAL: 13/9/2007 - AL:30/6/2008 - ANNI:0 - MESI:9 -GIORNI:22
DAL: 1/9/2008 - AL:30/6/2009 - ANNI:0 - MESI:10 -GIORNI:3
DAL: 7/9/2009 - AL:7/9/2009 - ANNI:0 - MESI:0 -GIORNI:1
DAL: 10/9/2009 - AL:31/8/2010 - ANNI:0 - MESI:11 -GIORNI:26
DAL: 9/9/2010 - AL:15/7/2011 - ANNI:0 - MESI:10 -GIORNI:10
DAL: 10/9/2010 - AL:15/7/2011 - ANNI:0 - MESI:0 -GIORNI:0
DAL: 16/9/2011 - AL:30/6/2012 - ANNI:0 - MESI:9 -GIORNI:19
DAL: 19/9/2012 - AL:16/7/2013 - ANNI:0 - MESI:3 -GIORNI:14
DAL: 26/9/2012 - AL:16/7/2013 - ANNI:0 - MESI:3 -GIORNI:7
DAL: 2/10/2012 - AL:14/10/2012 - ANNI:0 - MESI:0 -GIORNI:13
DAL: 15/10/2012 - AL:26/11/2012 - ANNI:0 - MESI:1 -GIORNI:13
DAL: 27/11/2012 - AL:16/7/2013 - ANNI:0 - MESI:1 -GIORNI:5
DAL: 3/10/2014 - AL:30/6/2015 - ANNI:0 - MESI:9 -GIORNI:1
DAL: 1/9/2015 - AL:31/8/2016 - ANNI:1 - MESI:0 -GIORNI:1
DAL: 1/9/2016 - AL:31/8/2017 - ANNI:1 - MESI:0 -GIORNI:0
DAL: 1/9/2017 - AL:31/8/2018 - ANNI:1 - MESI:0 -GIORNI:0
DAL: 1/9/2018 - AL:31/8/2019 - ANNI:1 - MESI:0 -GIORNI:0
DAL: 1/9/2019 - AL:31/8/2020 - ANNI:1 - MESI:0 -GIORNI:1
DAL: 1/9/2020 - AL:31/8/2021 - ANNI:1 - MESI:0 -GIORNI:0
DAL: 1/9/2021 - AL:31/8/2022 - ANNI:1 - MESI:0 -GIORNI:0
</v>
      </c>
      <c r="JD40" t="str">
        <f>IF(JE40&lt;&gt;"","fascia 9/14 anni in data:","")</f>
        <v>fascia 9/14 anni in data:</v>
      </c>
      <c r="JE40" s="112" t="str">
        <f>IF(DP42="","",CONCATENATE(DAY(DP42),"/",MONTH(DP42),"/",YEAR(DP42),"
"))</f>
        <v xml:space="preserve">24/12/2009
</v>
      </c>
      <c r="JQ40" s="269" t="s">
        <v>200</v>
      </c>
      <c r="JR40" s="340" t="s">
        <v>206</v>
      </c>
      <c r="KC40">
        <v>0</v>
      </c>
      <c r="KD40" s="260">
        <f>IF($EU$38&gt;JY40,$EU40,"")</f>
        <v>36138</v>
      </c>
      <c r="KE40" t="str">
        <f>KZ40</f>
        <v>0-2 anni</v>
      </c>
      <c r="KF40">
        <f t="shared" ref="KF40:KF87" si="15">VLOOKUP(KC40,$ER$40:$ES$46,2)</f>
        <v>6</v>
      </c>
      <c r="KG40" s="238">
        <f t="shared" ref="KG40:KG87" ca="1" si="16">VLOOKUP(KD40,INDIRECT($EX$38),13)-KF40</f>
        <v>52</v>
      </c>
      <c r="KJ40">
        <f ca="1">INDIRECT(CONCATENATE($EZ$35,KJ$35,$EX40))</f>
        <v>8787</v>
      </c>
      <c r="KK40">
        <f t="shared" ref="KK40:KN55" ca="1" si="17">INDIRECT(CONCATENATE($EZ$35,KK$35,$EX40))</f>
        <v>0</v>
      </c>
      <c r="KL40">
        <f t="shared" ca="1" si="17"/>
        <v>0</v>
      </c>
      <c r="KM40">
        <f t="shared" ca="1" si="17"/>
        <v>6384.11</v>
      </c>
      <c r="KN40">
        <f t="shared" ca="1" si="17"/>
        <v>0</v>
      </c>
      <c r="KU40">
        <f t="shared" ref="KU40:KU87" ca="1" si="18">INDIRECT(CONCATENATE($EZ$35,KU$35,$EX40))</f>
        <v>0</v>
      </c>
      <c r="KX40">
        <v>0</v>
      </c>
      <c r="KY40" t="s">
        <v>174</v>
      </c>
      <c r="KZ40" s="254" t="str">
        <f>VLOOKUP(KF40,$FO$40:$FP$46,2)</f>
        <v>0-2 anni</v>
      </c>
      <c r="LA40" s="112">
        <f>E40</f>
        <v>36138</v>
      </c>
      <c r="LB40" s="112">
        <f>F40</f>
        <v>36280</v>
      </c>
      <c r="LC40">
        <f ca="1">KJ40+KK40+KL40+KM40+KN40+KP40+KQ40+KR40+KS40+KT40+KU40+KV40+KW40</f>
        <v>15171.11</v>
      </c>
      <c r="LD40" s="262">
        <f ca="1">GR40</f>
        <v>15171.11</v>
      </c>
      <c r="LE40">
        <f>R40</f>
        <v>143</v>
      </c>
      <c r="LF40">
        <f ca="1">IF(LB40&lt;$LF$38,"prescritte",ROUND((LD40-LC40)/365*LE40,2))</f>
        <v>0</v>
      </c>
    </row>
    <row r="41" spans="1:322" ht="68.45" customHeight="1" x14ac:dyDescent="0.3">
      <c r="A41" s="112">
        <f>VLOOKUP(B41-1,$DW$40:$DW$72,1)</f>
        <v>36100</v>
      </c>
      <c r="B41" s="112">
        <f t="shared" ref="B41:B89" si="19">VLOOKUP(F41,$DW$40:$DW$72,1)</f>
        <v>36312</v>
      </c>
      <c r="C41" t="str">
        <f>IFERROR(VLOOKUP(COUNTBLANK($E$2:E41),A:B,2,FALSE),"")</f>
        <v/>
      </c>
      <c r="E41" s="240">
        <f>Foglio3!F21</f>
        <v>36281</v>
      </c>
      <c r="F41" s="240">
        <f>Foglio3!G21</f>
        <v>36321</v>
      </c>
      <c r="G41" s="244"/>
      <c r="H41" s="245">
        <f t="shared" ref="H41:H104" si="20">AH41</f>
        <v>36281</v>
      </c>
      <c r="I41" s="245">
        <f t="shared" si="2"/>
        <v>36321</v>
      </c>
      <c r="J41" s="244"/>
      <c r="K41" s="244"/>
      <c r="Q41">
        <f t="shared" si="3"/>
        <v>41</v>
      </c>
      <c r="R41">
        <f>IF(Q41&lt;0,0,Q41-BV41*AG41)</f>
        <v>41</v>
      </c>
      <c r="S41">
        <f t="shared" ref="S41:S52" si="21">INT(R41/365)</f>
        <v>0</v>
      </c>
      <c r="T41">
        <f>INT( (R41-(S41*365))/30)</f>
        <v>1</v>
      </c>
      <c r="U41">
        <f>R41- ((S41*365)+T41*30)</f>
        <v>11</v>
      </c>
      <c r="W41">
        <f>W40+S41</f>
        <v>0</v>
      </c>
      <c r="X41">
        <f>X40+T41</f>
        <v>5</v>
      </c>
      <c r="Y41">
        <f>U40+U41</f>
        <v>34</v>
      </c>
      <c r="AA41" s="112">
        <f>IF(AND(YEAR(E41)=$CG$38,YEAR(F41)&gt;$CG$38),"01/01/2014",E41)</f>
        <v>36281</v>
      </c>
      <c r="AB41" s="112">
        <f>IF(YEAR(F41)=$CG$38,"31/12/12"*1,F41)</f>
        <v>36321</v>
      </c>
      <c r="AG41">
        <f t="shared" ref="AG41:AG104" si="22">IF(AI41&lt;AH41,0,1)</f>
        <v>1</v>
      </c>
      <c r="AH41" s="112">
        <f xml:space="preserve">    IF(TYPE(AA41)=16,0,               AA41*1)</f>
        <v>36281</v>
      </c>
      <c r="AI41" s="112">
        <f>IF(TYPE(AB41)=16,0,AB41*1)</f>
        <v>36321</v>
      </c>
      <c r="AJ41">
        <f t="shared" ref="AJ41:AJ70" si="23">IF(AH41=0,0,1)</f>
        <v>1</v>
      </c>
      <c r="AK41">
        <f>IF(AND(AH41&lt;=AI40,AI41&lt;=AI40),1,0)*AJ41</f>
        <v>0</v>
      </c>
      <c r="AL41">
        <f>IF(AND(AH41&lt;=AI40,AI41&gt;AI40),1,0)*AJ41</f>
        <v>0</v>
      </c>
      <c r="AN41">
        <f>(AI41-AH41+1)*AK41</f>
        <v>0</v>
      </c>
      <c r="AO41">
        <f>(AI40-AH41+1)*AL41</f>
        <v>0</v>
      </c>
      <c r="AP41">
        <f>AN41+AO41</f>
        <v>0</v>
      </c>
      <c r="AV41" t="s">
        <v>113</v>
      </c>
      <c r="BV41">
        <f>MAX(BX41:CB41)</f>
        <v>0</v>
      </c>
      <c r="BX41">
        <f>AP41</f>
        <v>0</v>
      </c>
      <c r="BY41">
        <f>AX41</f>
        <v>0</v>
      </c>
      <c r="BZ41">
        <f>BF41</f>
        <v>0</v>
      </c>
      <c r="CA41">
        <f>BM41</f>
        <v>0</v>
      </c>
      <c r="CB41">
        <f>BT41</f>
        <v>0</v>
      </c>
      <c r="CG41">
        <f t="shared" ref="CG41:CG75" si="24">YEAR(E41)</f>
        <v>1999</v>
      </c>
      <c r="CH41">
        <f t="shared" ref="CH41:CH75" si="25">YEAR(F41)</f>
        <v>1999</v>
      </c>
      <c r="CJ41">
        <f t="shared" ref="CJ41:CJ75" si="26">IF(AND(CG41=$CG$38,CH41=$CG$38),F41-E41+1,0)</f>
        <v>0</v>
      </c>
      <c r="CK41">
        <f t="shared" si="4"/>
        <v>0</v>
      </c>
      <c r="CL41">
        <f t="shared" ref="CL41:CL75" si="27">IF(AND(CG41=$CG$38,CH41&lt;&gt;$CG$38),$CI$38-E41+1,0)</f>
        <v>0</v>
      </c>
      <c r="CN41">
        <f t="shared" ref="CN41:CN75" si="28">CJ41+CK41+CL41</f>
        <v>0</v>
      </c>
      <c r="CQ41">
        <f>365*15</f>
        <v>5475</v>
      </c>
      <c r="CS41">
        <f t="shared" ref="CS41:CS71" si="29">R41</f>
        <v>41</v>
      </c>
      <c r="CT41" s="246">
        <f xml:space="preserve">  IF(E41&lt;&gt;"",           CS41+CT40,0)</f>
        <v>184</v>
      </c>
      <c r="CU41" s="243">
        <f t="shared" ref="CU41:CU104" si="30">IF(CV41&gt;0,CT41,0)</f>
        <v>184</v>
      </c>
      <c r="CV41" s="112">
        <f t="shared" ref="CV41:CV71" si="31">I41</f>
        <v>36321</v>
      </c>
      <c r="CX41" s="112">
        <f t="shared" ref="CX41:CX49" si="32">IF(                    AND( CT41&gt;=$CQ$39,CT40&lt;=$CQ$39   ),CV41-(CT41-$CQ$39),100000)</f>
        <v>100000</v>
      </c>
      <c r="CY41" s="270">
        <f>IF(                    AND( CT41&gt;=$CQ$40,CT40&lt;=$CQ$40   ),CV41-(CT41-$CQ$40),100000)</f>
        <v>100000</v>
      </c>
      <c r="CZ41" s="112">
        <f>IF(                    AND( CT41&gt;=$CQ$41,CT40&lt;=$CQ$41   ),CV41-(CT41-$CQ$41),100000)</f>
        <v>100000</v>
      </c>
      <c r="DA41" s="112">
        <f>IF(                    AND( CT41&gt;=$CQ$42,CT40&lt;=$CQ$42   ),CV41-(CT41-$CQ$42),100000)</f>
        <v>100000</v>
      </c>
      <c r="DB41" s="112">
        <f>IF(                    AND( CT41&gt;=$CQ$43,CT40&lt;=$CQ$43  ),CV41-(CT41-$CQ$43),100000)</f>
        <v>100000</v>
      </c>
      <c r="DC41" s="112">
        <f>IF(                    AND( CT41&gt;=$CQ$43,CT40&lt;=$CQ$43   ),CV41-(CT41-$CQ$43),100000)</f>
        <v>100000</v>
      </c>
      <c r="DE41" s="247">
        <v>3</v>
      </c>
      <c r="DG41" s="248">
        <f>MIN(CX40:CX125)</f>
        <v>37411</v>
      </c>
      <c r="DJ41" s="238">
        <f ca="1">VLOOKUP(DG41,Foglio1!$AB$31:$AN$284,13)</f>
        <v>93</v>
      </c>
      <c r="DL41">
        <f t="shared" ref="DL41:DL46" ca="1" si="33">VLOOKUP(DE41,INDIRECT($DL$36),6)</f>
        <v>0</v>
      </c>
      <c r="DO41">
        <v>3</v>
      </c>
      <c r="DP41" s="112">
        <f t="shared" ref="DP41:DP46" si="34">IF(DG41&lt;100000,DG41,"")</f>
        <v>37411</v>
      </c>
      <c r="DQ41">
        <f t="shared" ref="DQ41:DQ46" ca="1" si="35">IF(DG41&lt;100000,DL40,0)</f>
        <v>0</v>
      </c>
      <c r="DR41">
        <v>3</v>
      </c>
      <c r="DU41" s="112"/>
      <c r="DV41" s="112"/>
      <c r="DW41" s="277">
        <v>35370</v>
      </c>
      <c r="DX41" s="276"/>
      <c r="DY41" s="276"/>
      <c r="DZ41" s="277">
        <v>39264</v>
      </c>
      <c r="EF41" s="260">
        <f>IF(DP41="",100000,DP41)</f>
        <v>37411</v>
      </c>
      <c r="EK41" s="254"/>
      <c r="EL41">
        <v>2</v>
      </c>
      <c r="EM41" s="260">
        <f>SMALL($EF$40:$EF$137,EL41)</f>
        <v>36312</v>
      </c>
      <c r="EN41">
        <f>IF(EM41=EM40,EN40+2,EN40+1)</f>
        <v>2</v>
      </c>
      <c r="EO41" s="112">
        <f>SMALL($EF$40:$EF$137,EN41)</f>
        <v>36312</v>
      </c>
      <c r="EP41" s="112">
        <f t="shared" ref="EP41:EP53" si="36">IF(             AND(ISERR(EM41)=FALSE,ISERR(EO41)=FALSE  ),EO41,"")</f>
        <v>36312</v>
      </c>
      <c r="ER41">
        <v>3</v>
      </c>
      <c r="ES41">
        <v>5</v>
      </c>
      <c r="ET41">
        <f t="shared" ref="ET41:ET87" si="37">VLOOKUP(EP41,$DP$40:$DR$46,3)</f>
        <v>0</v>
      </c>
      <c r="EU41" s="260">
        <f t="shared" ref="EU41:EU85" si="38">IF($EU$38&gt;EP41,$EP41,"")</f>
        <v>36312</v>
      </c>
      <c r="EV41" t="str">
        <f t="shared" ref="EV41:EV85" si="39">FQ41</f>
        <v>0-2 anni</v>
      </c>
      <c r="EW41">
        <f t="shared" si="5"/>
        <v>6</v>
      </c>
      <c r="EX41" s="238">
        <f t="shared" ca="1" si="6"/>
        <v>59</v>
      </c>
      <c r="FA41">
        <f t="shared" ref="FA41:FA87" ca="1" si="40" xml:space="preserve">  IF(EU41&lt;$FB$37,             INDIRECT(CONCATENATE($EZ$35,FA$35,$EX41)),INDIRECT(CONCATENATE($EZ$35,FA$35,$EX41))+INDIRECT(CONCATENATE($EZ$35,FD$35,$EX41)))</f>
        <v>9010.11</v>
      </c>
      <c r="FB41">
        <f t="shared" ca="1" si="7"/>
        <v>0</v>
      </c>
      <c r="FC41">
        <f t="shared" ca="1" si="7"/>
        <v>0</v>
      </c>
      <c r="FD41">
        <f t="shared" ref="FD41:FD87" ca="1" si="41" xml:space="preserve">   IF(EU41&lt;$FB$37,              INDIRECT(CONCATENATE($EZ$35,FD$35,$EX41)),0)</f>
        <v>6384.11</v>
      </c>
      <c r="FE41">
        <f t="shared" ca="1" si="7"/>
        <v>0</v>
      </c>
      <c r="FG41">
        <f t="shared" ref="FG41:FG87" ca="1" si="42">INDIRECT(CONCATENATE($EZ$35,$FG$35,$EX41))</f>
        <v>0</v>
      </c>
      <c r="FL41">
        <f t="shared" ca="1" si="8"/>
        <v>0</v>
      </c>
      <c r="FO41">
        <v>1</v>
      </c>
      <c r="FP41" t="s">
        <v>173</v>
      </c>
      <c r="FQ41" s="254" t="str">
        <f t="shared" ref="FQ41:FQ87" si="43">VLOOKUP(EW41,$FO$40:$FP$46,2)</f>
        <v>0-2 anni</v>
      </c>
      <c r="FR41">
        <f>FR40+1</f>
        <v>41</v>
      </c>
      <c r="FS41" t="str">
        <f t="shared" ref="FS41:FS86" ca="1" si="44">IF(INDIRECT(  CONCATENATE(FS$34,$FR41 ))&lt;&gt;"",     CONCATENATE(FS$34,$FR41 ),"")</f>
        <v>ev41</v>
      </c>
      <c r="FT41" t="str">
        <f t="shared" ref="FT41:GC87" ca="1" si="45">IF(INDIRECT(  CONCATENATE(FT$34,$FR41 ))&lt;&gt;"",     CONCATENATE(FT$34,$FR41 ),"")</f>
        <v>EU41</v>
      </c>
      <c r="FU41" t="str">
        <f t="shared" ca="1" si="45"/>
        <v>FA41</v>
      </c>
      <c r="FV41" t="str">
        <f t="shared" ref="FV41:GC50" ca="1" si="46">IF(INDIRECT(  CONCATENATE(FV$34,$FR41 ))&lt;&gt;"",     CONCATENATE(FV$34,$FR41 ),"")</f>
        <v>FB41</v>
      </c>
      <c r="FW41" t="str">
        <f t="shared" ca="1" si="46"/>
        <v>FC41</v>
      </c>
      <c r="FX41" t="str">
        <f t="shared" ca="1" si="46"/>
        <v>FD41</v>
      </c>
      <c r="FY41" t="str">
        <f t="shared" ca="1" si="46"/>
        <v>FE41</v>
      </c>
      <c r="FZ41" t="str">
        <f t="shared" ca="1" si="46"/>
        <v>FG41</v>
      </c>
      <c r="GA41" t="str">
        <f t="shared" ca="1" si="46"/>
        <v>FL41</v>
      </c>
      <c r="GB41" t="str">
        <f t="shared" ca="1" si="46"/>
        <v/>
      </c>
      <c r="GC41" t="str">
        <f t="shared" ca="1" si="46"/>
        <v/>
      </c>
      <c r="GD41">
        <f ca="1">IF(GE41="",0,GD40+1)</f>
        <v>2</v>
      </c>
      <c r="GE41" s="112">
        <f t="shared" ref="GE41:GE65" ca="1" si="47" xml:space="preserve">   IF(FT41="","",          INDIRECT(CONCATENATE(FT41)))</f>
        <v>36312</v>
      </c>
      <c r="GF41" s="112" t="str">
        <f t="shared" ref="GF41:GF65" ca="1" si="48" xml:space="preserve">   IF(FS41="","",          INDIRECT(CONCATENATE(FS41)))</f>
        <v>0-2 anni</v>
      </c>
      <c r="GG41" s="262">
        <f t="shared" ref="GG41:GG65" ca="1" si="49" xml:space="preserve">   IF(FU41="","",          INDIRECT(CONCATENATE(FU41)))</f>
        <v>9010.11</v>
      </c>
      <c r="GH41" s="262">
        <f t="shared" ref="GH41:GH65" ca="1" si="50" xml:space="preserve">   IF(FV41="","",          INDIRECT(CONCATENATE(FV41)))</f>
        <v>0</v>
      </c>
      <c r="GI41" s="262">
        <f t="shared" ref="GI41:GI65" ca="1" si="51" xml:space="preserve">   IF(FW41="","",          INDIRECT(CONCATENATE(FW41)))</f>
        <v>0</v>
      </c>
      <c r="GJ41" s="262">
        <f t="shared" ref="GJ41:GJ65" ca="1" si="52" xml:space="preserve">   IF(FX41="","",          INDIRECT(CONCATENATE(FX41)))</f>
        <v>6384.11</v>
      </c>
      <c r="GK41" s="262">
        <f t="shared" ref="GK41:GK65" ca="1" si="53" xml:space="preserve">   IF(FY41="","",          INDIRECT(CONCATENATE(FY41)))</f>
        <v>0</v>
      </c>
      <c r="GL41" s="262">
        <f t="shared" ca="1" si="10"/>
        <v>0</v>
      </c>
      <c r="GM41" s="262">
        <f t="shared" ref="GM41:GM65" ca="1" si="54" xml:space="preserve">   IF(GA41="","",          INDIRECT(CONCATENATE(GA41)))</f>
        <v>0</v>
      </c>
      <c r="GN41" s="262">
        <f t="shared" ref="GN41:GN75" ca="1" si="55" xml:space="preserve">   IF(GB41="",0,          INDIRECT(CONCATENATE(GB41)))</f>
        <v>0</v>
      </c>
      <c r="GO41" s="262">
        <f t="shared" ca="1" si="11"/>
        <v>0</v>
      </c>
      <c r="GQ41" s="263" t="str">
        <f t="shared" ref="GQ41:GQ104" ca="1" si="56">VLOOKUP(GE41,$GO$16:$GP$24,2)</f>
        <v>C.C.N.L. COMPARTO SCUOLA 1998/01</v>
      </c>
      <c r="GR41" s="262">
        <f t="shared" ref="GR41:GR74" ca="1" si="57">GG41+GH41+GI41+GJ41+GK41+GL41+GM41+GN41+GO41</f>
        <v>15394.220000000001</v>
      </c>
      <c r="GS41" s="253" t="str">
        <f t="shared" ref="GS41:GS74" ca="1" si="58">IF($GD41&gt;0,CONCATENATE(GD$37," ",GD41,"
",),"")</f>
        <v xml:space="preserve">ARTICOLO 2
</v>
      </c>
      <c r="GT41" t="str">
        <f t="shared" ref="GT41:GT74" ca="1" si="59">IF($GD41&gt;0,CONCATENATE(GE$37," ",                DAY(  GE41),"/",MONTH(GE41),"/",YEAR(GE41),"  "                                    ),"")</f>
        <v xml:space="preserve">con decorrenza dalla data: 1/6/1999  </v>
      </c>
      <c r="GU41" t="str">
        <f t="shared" ref="GU41:GU75" ca="1" si="60">IF($GD41&gt;0,CONCATENATE(GF$37," ",GF41," - ",GQ41,"
"),"")</f>
        <v xml:space="preserve"> Fascia: 0-2 anni - C.C.N.L. COMPARTO SCUOLA 1998/01
</v>
      </c>
      <c r="GV41" t="str">
        <f t="shared" ref="GV41:GV74" ca="1" si="61">IF($GD41&gt;0,CONCATENATE(GG$37," ",GG41,"
"),"")</f>
        <v xml:space="preserve">
                              Stipendio annuo lordo                            euro: 9010,11
</v>
      </c>
      <c r="GW41" t="str">
        <f t="shared" ref="GW41:GW74" ca="1" si="62">IF(GH41&gt;0,CONCATENATE(GH$37," ",GH41,"
"),"")</f>
        <v/>
      </c>
      <c r="GX41" t="str">
        <f t="shared" ref="GX41:GX74" ca="1" si="63">IF(GI41&gt;0,CONCATENATE(GI$37," ",GI41,"
"),"")</f>
        <v/>
      </c>
      <c r="GY41" s="342" t="str">
        <f t="shared" ref="GY41:GY74" ca="1" si="64">IF(GJ41&gt;0,CONCATENATE(GJ$37," ",GJ41,"
"),"")</f>
        <v xml:space="preserve">                                                        I.I.S. annuo lordo             euro: 6384,11
</v>
      </c>
      <c r="GZ41" t="str">
        <f t="shared" ref="GZ41:GZ74" ca="1" si="65">IF(GK41&gt;0,CONCATENATE(GK$37," ",GK41,"
"),"")</f>
        <v/>
      </c>
      <c r="HA41" t="str">
        <f t="shared" ref="HA41:HA74" ca="1" si="66">IF(GL41&gt;0,CONCATENATE(GL$37," ",GL41,"
"),"")</f>
        <v/>
      </c>
      <c r="HB41" t="str">
        <f t="shared" ref="HB41:HB74" ca="1" si="67">IF(GM41&gt;0,CONCATENATE(GM$37," ",GM41,"
"),"")</f>
        <v/>
      </c>
      <c r="HC41" t="str">
        <f t="shared" ref="HC41:HC74" ca="1" si="68">IF(GN41&gt;0,CONCATENATE(GN$37," ",GN41,"
"),"")</f>
        <v/>
      </c>
      <c r="HD41" s="254" t="str">
        <f t="shared" ref="HD41:HD74" ca="1" si="69">IF(GO41&gt;0,CONCATENATE(GO$37," ",GO41,"
"),"")</f>
        <v/>
      </c>
      <c r="HE41" s="254" t="str">
        <f t="shared" ref="HE41:HE65" ca="1" si="70">IF(GR41&gt;0,CONCATENATE(GR$37," ",GR41,"
"),"")</f>
        <v xml:space="preserve">
TOTALE ANNUO LORDO EURO 15394,22
</v>
      </c>
      <c r="HL41" s="263" t="str">
        <f t="shared" ref="HL41:HL82" ca="1" si="71">CONCATENATE(GS41,GT41,GU41,GV41,GW41,GX41,GY41,GZ41,HA41,HB41,HC41,HD41,HE41)</f>
        <v xml:space="preserve">ARTICOLO 2
con decorrenza dalla data: 1/6/1999   Fascia: 0-2 anni - C.C.N.L. COMPARTO SCUOLA 1998/01
                              Stipendio annuo lordo                            euro: 9010,11
                                                        I.I.S. annuo lordo             euro: 6384,11
TOTALE ANNUO LORDO EURO 15394,22
</v>
      </c>
      <c r="HM41" s="263"/>
      <c r="HN41" s="272" t="str">
        <f t="shared" ca="1" si="13"/>
        <v xml:space="preserve">ARTICOLO 2
con decorrenza dalla data: 1/6/1999   Fascia: 0-2 anni - C.C.N.L. COMPARTO SCUOLA 1998/01
                              Stipendio annuo lordo                            euro: 9010,11
                                                        I.I.S. annuo lordo             euro: 6384,11
TOTALE ANNUO LORDO EURO 15394,22
</v>
      </c>
      <c r="HO41">
        <f t="shared" ref="HO41:HO96" ca="1" si="72">$GD41</f>
        <v>2</v>
      </c>
      <c r="HP41" t="str">
        <f t="shared" ref="HP41:HP96" ca="1" si="73">IF(AND(HO41=0,HO40&gt;0),$JQ$38,"")</f>
        <v/>
      </c>
      <c r="HQ41" t="str">
        <f t="shared" ref="HQ41:HQ57" ca="1" si="74">IF(AND(HO41=0,HO40=0,HO39&gt;0),$JQ$39,"")</f>
        <v/>
      </c>
      <c r="HR41" t="str">
        <f t="shared" ref="HR41:HR57" ca="1" si="75">IF(AND(HO41=0,HO40=0,HO39=0,HO38&gt;0),$JQ$40,"")</f>
        <v/>
      </c>
      <c r="HW41" s="253" t="s">
        <v>187</v>
      </c>
      <c r="HX41" s="112" t="str">
        <f t="shared" ref="HX41:HX104" si="76">CONCATENATE(DAY(E41),"/",MONTH(E41),"/",YEAR(E41))</f>
        <v>1/5/1999</v>
      </c>
      <c r="HY41" t="s">
        <v>188</v>
      </c>
      <c r="HZ41" s="112" t="str">
        <f t="shared" ref="HZ41:HZ104" si="77">CONCATENATE(DAY(F41),"/",MONTH(F41),"/",YEAR(F41))</f>
        <v>10/6/1999</v>
      </c>
      <c r="IA41" t="s">
        <v>189</v>
      </c>
      <c r="IB41">
        <f t="shared" ref="IB41:IB104" si="78">S41</f>
        <v>0</v>
      </c>
      <c r="IC41" t="s">
        <v>192</v>
      </c>
      <c r="ID41">
        <f t="shared" ref="ID41:ID104" si="79">T41</f>
        <v>1</v>
      </c>
      <c r="IE41" t="s">
        <v>191</v>
      </c>
      <c r="IF41" s="254">
        <f t="shared" ref="IF41:IF104" si="80">U41</f>
        <v>11</v>
      </c>
      <c r="IK41" t="str">
        <f t="shared" si="14"/>
        <v xml:space="preserve">DAL: 1/5/1999 - AL:10/6/1999 - ANNI:0 - MESI:1 -GIORNI:11
</v>
      </c>
      <c r="JD41" t="str">
        <f>IF(JE41&lt;&gt;"","fascia 15/20 anni in data:","")</f>
        <v>fascia 15/20 anni in data:</v>
      </c>
      <c r="JE41" s="112" t="str">
        <f>IF(DP43="","",CONCATENATE(DAY(DP43),"/",MONTH(DP43),"/",YEAR(DP43),"
"))</f>
        <v xml:space="preserve">16/2/2017
</v>
      </c>
      <c r="JQ41" s="313"/>
      <c r="JR41" s="341">
        <f>Foglio3!DK16</f>
        <v>0</v>
      </c>
      <c r="KC41">
        <v>0</v>
      </c>
      <c r="KD41" s="260">
        <f t="shared" ref="KD41:KD87" si="81">IF($EU$38&gt;JY41,$EU41,"")</f>
        <v>36312</v>
      </c>
      <c r="KE41" t="str">
        <f t="shared" ref="KE41:KE85" si="82">KZ41</f>
        <v>0-2 anni</v>
      </c>
      <c r="KF41">
        <f t="shared" si="15"/>
        <v>6</v>
      </c>
      <c r="KG41" s="238">
        <f t="shared" ca="1" si="16"/>
        <v>59</v>
      </c>
      <c r="KJ41">
        <f t="shared" ref="KJ41:KJ87" ca="1" si="83">INDIRECT(CONCATENATE($EZ$35,KJ$35,KG41))</f>
        <v>9010.11</v>
      </c>
      <c r="KK41">
        <f t="shared" ca="1" si="17"/>
        <v>0</v>
      </c>
      <c r="KL41">
        <f t="shared" ca="1" si="17"/>
        <v>0</v>
      </c>
      <c r="KM41">
        <f t="shared" ca="1" si="17"/>
        <v>6384.11</v>
      </c>
      <c r="KN41">
        <f t="shared" ca="1" si="17"/>
        <v>0</v>
      </c>
      <c r="KU41">
        <f t="shared" ca="1" si="18"/>
        <v>0</v>
      </c>
      <c r="KX41">
        <v>1</v>
      </c>
      <c r="KY41" t="s">
        <v>173</v>
      </c>
      <c r="KZ41" s="254" t="str">
        <f t="shared" ref="KZ41:KZ87" si="84">VLOOKUP(KF41,$FO$40:$FP$46,2)</f>
        <v>0-2 anni</v>
      </c>
      <c r="LA41" s="112">
        <f t="shared" ref="LA41:LA86" si="85">E41</f>
        <v>36281</v>
      </c>
      <c r="LB41" s="112">
        <f t="shared" ref="LB41:LB86" si="86">F41</f>
        <v>36321</v>
      </c>
      <c r="LC41">
        <f t="shared" ref="LC41:LC87" ca="1" si="87">KJ41+KK41+KL41+KM41+KN41+KP41+KQ41+KR41+KS41+KT41+KU41+KV41+KW41</f>
        <v>15394.220000000001</v>
      </c>
      <c r="LD41" s="262">
        <f t="shared" ref="LD41:LD87" ca="1" si="88">GR41</f>
        <v>15394.220000000001</v>
      </c>
      <c r="LE41">
        <f t="shared" ref="LE41:LE87" si="89">R41</f>
        <v>41</v>
      </c>
      <c r="LF41">
        <f t="shared" ref="LF41:LF87" ca="1" si="90">IF(LB41&lt;$LF$38,"prescritte",ROUND((LD41-LC41)/365*LE41,2))</f>
        <v>0</v>
      </c>
    </row>
    <row r="42" spans="1:322" ht="117" customHeight="1" x14ac:dyDescent="0.25">
      <c r="A42" s="112">
        <f>VLOOKUP(B42-1,$DW$40:$DW$72,1)</f>
        <v>36100</v>
      </c>
      <c r="B42" s="112">
        <f t="shared" si="19"/>
        <v>36312</v>
      </c>
      <c r="C42" t="str">
        <f>IFERROR(VLOOKUP(COUNTBLANK($E$2:E42),A:B,2,FALSE),"")</f>
        <v/>
      </c>
      <c r="E42" s="240">
        <f>Foglio3!F22</f>
        <v>36325</v>
      </c>
      <c r="F42" s="240">
        <f>Foglio3!G22</f>
        <v>36325</v>
      </c>
      <c r="G42" s="244"/>
      <c r="H42" s="245">
        <f t="shared" si="20"/>
        <v>36325</v>
      </c>
      <c r="I42" s="245">
        <f t="shared" si="2"/>
        <v>36325</v>
      </c>
      <c r="J42" s="244"/>
      <c r="K42" s="244"/>
      <c r="Q42">
        <f t="shared" si="3"/>
        <v>1</v>
      </c>
      <c r="R42">
        <f>IF(Q42&lt;0,0,Q42-BV42*AG42)</f>
        <v>1</v>
      </c>
      <c r="S42">
        <f t="shared" si="21"/>
        <v>0</v>
      </c>
      <c r="T42">
        <f>INT( (R42-(S42*365))/30)</f>
        <v>0</v>
      </c>
      <c r="U42">
        <f>R42- ((S42*365)+T42*30)</f>
        <v>1</v>
      </c>
      <c r="W42">
        <f>S42+W41</f>
        <v>0</v>
      </c>
      <c r="X42">
        <f>T42+X41</f>
        <v>5</v>
      </c>
      <c r="Y42">
        <f>U42+Y41</f>
        <v>35</v>
      </c>
      <c r="AA42" s="112">
        <f t="shared" ref="AA42:AA105" si="91">IF(AND(YEAR(E42)=$CG$38,YEAR(F42)&gt;$CG$38),"01/01/2014",E42)</f>
        <v>36325</v>
      </c>
      <c r="AB42" s="112">
        <f t="shared" ref="AB42:AB105" si="92">IF(YEAR(F42)=$CG$38,"31/12/12"*1,F42)</f>
        <v>36325</v>
      </c>
      <c r="AG42">
        <f t="shared" si="22"/>
        <v>1</v>
      </c>
      <c r="AH42" s="112">
        <f t="shared" ref="AH42:AH105" si="93" xml:space="preserve">    IF(TYPE(AA42)=16,0,               AA42*1)</f>
        <v>36325</v>
      </c>
      <c r="AI42" s="112">
        <f t="shared" ref="AI42:AI105" si="94">IF(TYPE(AB42)=16,0,AB42*1)</f>
        <v>36325</v>
      </c>
      <c r="AJ42">
        <f t="shared" si="23"/>
        <v>1</v>
      </c>
      <c r="AK42">
        <f t="shared" ref="AK42:AK70" si="95">IF(AND(AH42&lt;=AI41,AI42&lt;=AI41),1,0)*AJ42</f>
        <v>0</v>
      </c>
      <c r="AL42">
        <f>IF(AND(AH42&lt;=AI41,AI42&gt;AI41),1,0)*AJ42</f>
        <v>0</v>
      </c>
      <c r="AN42">
        <f>(AI42-AH42+1)*AK42</f>
        <v>0</v>
      </c>
      <c r="AO42">
        <f>(AI41-AH42+1)*AL42</f>
        <v>0</v>
      </c>
      <c r="AP42">
        <f t="shared" ref="AP42:AP70" si="96">AN42+AO42</f>
        <v>0</v>
      </c>
      <c r="AS42">
        <f>IF(AND(AH42&lt;=AI40,AI42&lt;=AI40),1,0)*AJ42</f>
        <v>0</v>
      </c>
      <c r="AT42">
        <f>IF(AND(AH42&lt;=AI40,AI42&gt;AI40),1,0)*AJ42</f>
        <v>0</v>
      </c>
      <c r="AV42">
        <f>(AI42-AH42+1)*AS42</f>
        <v>0</v>
      </c>
      <c r="AW42">
        <f>(AI40-AH42+1)*AT42</f>
        <v>0</v>
      </c>
      <c r="AX42">
        <f t="shared" ref="AX42:AX71" si="97">AV42+AW42</f>
        <v>0</v>
      </c>
      <c r="BD42" t="s">
        <v>113</v>
      </c>
      <c r="BV42">
        <f t="shared" ref="BV42:BV71" si="98">MAX(BX42:CB42)</f>
        <v>0</v>
      </c>
      <c r="BX42">
        <f t="shared" ref="BX42:BX71" si="99">AP42</f>
        <v>0</v>
      </c>
      <c r="BY42">
        <f t="shared" ref="BY42:BY71" si="100">AX42</f>
        <v>0</v>
      </c>
      <c r="BZ42">
        <f t="shared" ref="BZ42:BZ71" si="101">BF42</f>
        <v>0</v>
      </c>
      <c r="CA42">
        <f t="shared" ref="CA42:CA71" si="102">BM42</f>
        <v>0</v>
      </c>
      <c r="CB42">
        <f t="shared" ref="CB42:CB71" si="103">BT42</f>
        <v>0</v>
      </c>
      <c r="CG42">
        <f t="shared" si="24"/>
        <v>1999</v>
      </c>
      <c r="CH42">
        <f t="shared" si="25"/>
        <v>1999</v>
      </c>
      <c r="CJ42">
        <f t="shared" si="26"/>
        <v>0</v>
      </c>
      <c r="CK42">
        <f t="shared" si="4"/>
        <v>0</v>
      </c>
      <c r="CL42">
        <f t="shared" si="27"/>
        <v>0</v>
      </c>
      <c r="CN42">
        <f t="shared" si="28"/>
        <v>0</v>
      </c>
      <c r="CQ42">
        <f>365*21</f>
        <v>7665</v>
      </c>
      <c r="CS42">
        <f t="shared" si="29"/>
        <v>1</v>
      </c>
      <c r="CT42" s="246">
        <f t="shared" ref="CT42:CT71" si="104" xml:space="preserve">  IF(E42&lt;&gt;"",           CS42+CT41,0)</f>
        <v>185</v>
      </c>
      <c r="CU42" s="243">
        <f t="shared" si="30"/>
        <v>185</v>
      </c>
      <c r="CV42" s="112">
        <f t="shared" si="31"/>
        <v>36325</v>
      </c>
      <c r="CX42" s="112">
        <f t="shared" si="32"/>
        <v>100000</v>
      </c>
      <c r="CY42" s="270">
        <f t="shared" ref="CY42:CY105" si="105">IF(                    AND( CT42&gt;=$CQ$40,CT41&lt;=$CQ$40   ),CV42-(CT42-$CQ$40),100000)</f>
        <v>100000</v>
      </c>
      <c r="CZ42" s="112">
        <f t="shared" ref="CZ42:CZ105" si="106">IF(                    AND( CT42&gt;=$CQ$41,CT41&lt;=$CQ$41   ),CV42-(CT42-$CQ$41),100000)</f>
        <v>100000</v>
      </c>
      <c r="DA42" s="112">
        <f t="shared" ref="DA42:DA105" si="107">IF(                    AND( CT42&gt;=$CQ$42,CT41&lt;=$CQ$42   ),CV42-(CT42-$CQ$42),100000)</f>
        <v>100000</v>
      </c>
      <c r="DB42" s="112">
        <f t="shared" ref="DB42:DB105" si="108">IF(                    AND( CT42&gt;=$CQ$43,CT41&lt;=$CQ$43  ),CV42-(CT42-$CQ$43),100000)</f>
        <v>100000</v>
      </c>
      <c r="DC42" s="112">
        <f t="shared" ref="DC42:DC105" si="109">IF(                    AND( CT42&gt;=$CQ$43,CT41&lt;=$CQ$43   ),CV42-(CT42-$CQ$43),100000)</f>
        <v>100000</v>
      </c>
      <c r="DE42" s="247">
        <v>9</v>
      </c>
      <c r="DG42" s="248">
        <f>MIN(CY40:CY117)</f>
        <v>40171</v>
      </c>
      <c r="DJ42" s="238">
        <f ca="1">VLOOKUP(DG42,Foglio1!$AB$31:$AN$284,13)</f>
        <v>163</v>
      </c>
      <c r="DL42">
        <f t="shared" ca="1" si="33"/>
        <v>0</v>
      </c>
      <c r="DO42">
        <v>9</v>
      </c>
      <c r="DP42" s="112">
        <f t="shared" si="34"/>
        <v>40171</v>
      </c>
      <c r="DQ42">
        <f t="shared" ca="1" si="35"/>
        <v>0</v>
      </c>
      <c r="DR42">
        <v>9</v>
      </c>
      <c r="DU42" s="112"/>
      <c r="DV42" s="112"/>
      <c r="DW42" s="277">
        <v>35612</v>
      </c>
      <c r="DX42" s="276"/>
      <c r="DY42" s="276" t="s">
        <v>216</v>
      </c>
      <c r="DZ42" s="277">
        <f t="shared" ref="DZ42:DZ47" si="110">EF41</f>
        <v>37411</v>
      </c>
      <c r="EF42" s="260">
        <f>DP42</f>
        <v>40171</v>
      </c>
      <c r="EK42" s="254"/>
      <c r="EL42">
        <v>3</v>
      </c>
      <c r="EM42" s="260">
        <f t="shared" ref="EM42:EM87" si="111">SMALL($EF$40:$EF$137,EL42)</f>
        <v>36708</v>
      </c>
      <c r="EN42">
        <f t="shared" ref="EN42:EN87" si="112">IF(EM42=EM41,EN41+2,EN41+1)</f>
        <v>3</v>
      </c>
      <c r="EO42" s="112">
        <f t="shared" ref="EO42:EO87" si="113">SMALL($EF$40:$EF$137,EN42)</f>
        <v>36708</v>
      </c>
      <c r="EP42" s="112">
        <f t="shared" si="36"/>
        <v>36708</v>
      </c>
      <c r="ER42">
        <v>9</v>
      </c>
      <c r="ES42">
        <v>4</v>
      </c>
      <c r="ET42">
        <f t="shared" si="37"/>
        <v>0</v>
      </c>
      <c r="EU42" s="260">
        <f t="shared" si="38"/>
        <v>36708</v>
      </c>
      <c r="EV42" t="str">
        <f t="shared" si="39"/>
        <v>0-2 anni</v>
      </c>
      <c r="EW42">
        <f t="shared" si="5"/>
        <v>6</v>
      </c>
      <c r="EX42" s="238">
        <f t="shared" ca="1" si="6"/>
        <v>66</v>
      </c>
      <c r="FA42">
        <f t="shared" ca="1" si="40"/>
        <v>9196.0300000000007</v>
      </c>
      <c r="FB42">
        <f t="shared" ca="1" si="7"/>
        <v>0</v>
      </c>
      <c r="FC42">
        <f t="shared" ca="1" si="7"/>
        <v>0</v>
      </c>
      <c r="FD42">
        <f t="shared" ca="1" si="41"/>
        <v>6384.11</v>
      </c>
      <c r="FE42">
        <f t="shared" ca="1" si="7"/>
        <v>0</v>
      </c>
      <c r="FG42">
        <f t="shared" ca="1" si="42"/>
        <v>0</v>
      </c>
      <c r="FL42">
        <f t="shared" ca="1" si="8"/>
        <v>0</v>
      </c>
      <c r="FO42">
        <v>2</v>
      </c>
      <c r="FP42" t="s">
        <v>172</v>
      </c>
      <c r="FQ42" s="254" t="str">
        <f t="shared" si="43"/>
        <v>0-2 anni</v>
      </c>
      <c r="FR42">
        <f t="shared" ref="FR42:FR87" si="114">FR41+1</f>
        <v>42</v>
      </c>
      <c r="FS42" t="str">
        <f t="shared" ca="1" si="44"/>
        <v>ev42</v>
      </c>
      <c r="FT42" t="str">
        <f t="shared" ca="1" si="45"/>
        <v>EU42</v>
      </c>
      <c r="FU42" t="str">
        <f t="shared" ca="1" si="45"/>
        <v>FA42</v>
      </c>
      <c r="FV42" t="str">
        <f t="shared" ca="1" si="46"/>
        <v>FB42</v>
      </c>
      <c r="FW42" t="str">
        <f t="shared" ca="1" si="46"/>
        <v>FC42</v>
      </c>
      <c r="FX42" t="str">
        <f t="shared" ca="1" si="46"/>
        <v>FD42</v>
      </c>
      <c r="FY42" t="str">
        <f t="shared" ca="1" si="46"/>
        <v>FE42</v>
      </c>
      <c r="FZ42" t="str">
        <f t="shared" ca="1" si="46"/>
        <v>FG42</v>
      </c>
      <c r="GA42" t="str">
        <f t="shared" ca="1" si="46"/>
        <v>FL42</v>
      </c>
      <c r="GB42" t="str">
        <f t="shared" ca="1" si="46"/>
        <v/>
      </c>
      <c r="GC42" t="str">
        <f t="shared" ca="1" si="46"/>
        <v/>
      </c>
      <c r="GD42">
        <f t="shared" ref="GD42:GD65" ca="1" si="115">IF(GE42="",0,GD41+1)</f>
        <v>3</v>
      </c>
      <c r="GE42" s="112">
        <f t="shared" ca="1" si="47"/>
        <v>36708</v>
      </c>
      <c r="GF42" s="112" t="str">
        <f t="shared" ca="1" si="48"/>
        <v>0-2 anni</v>
      </c>
      <c r="GG42" s="262">
        <f t="shared" ca="1" si="49"/>
        <v>9196.0300000000007</v>
      </c>
      <c r="GH42" s="262">
        <f t="shared" ca="1" si="50"/>
        <v>0</v>
      </c>
      <c r="GI42" s="262">
        <f t="shared" ca="1" si="51"/>
        <v>0</v>
      </c>
      <c r="GJ42" s="262">
        <f t="shared" ca="1" si="52"/>
        <v>6384.11</v>
      </c>
      <c r="GK42" s="262">
        <f t="shared" ca="1" si="53"/>
        <v>0</v>
      </c>
      <c r="GL42" s="262">
        <f t="shared" ca="1" si="10"/>
        <v>0</v>
      </c>
      <c r="GM42" s="262">
        <f t="shared" ca="1" si="54"/>
        <v>0</v>
      </c>
      <c r="GN42" s="262">
        <f t="shared" ca="1" si="55"/>
        <v>0</v>
      </c>
      <c r="GO42" s="262">
        <f t="shared" ca="1" si="11"/>
        <v>0</v>
      </c>
      <c r="GQ42" s="263" t="str">
        <f t="shared" ca="1" si="56"/>
        <v>C.C.N.L. COMPARTO SCUOLA 1998/01</v>
      </c>
      <c r="GR42" s="262">
        <f t="shared" ca="1" si="57"/>
        <v>15580.14</v>
      </c>
      <c r="GS42" s="253" t="str">
        <f t="shared" ca="1" si="58"/>
        <v xml:space="preserve">ARTICOLO 3
</v>
      </c>
      <c r="GT42" t="str">
        <f t="shared" ca="1" si="59"/>
        <v xml:space="preserve">con decorrenza dalla data: 1/7/2000  </v>
      </c>
      <c r="GU42" t="str">
        <f t="shared" ca="1" si="60"/>
        <v xml:space="preserve"> Fascia: 0-2 anni - C.C.N.L. COMPARTO SCUOLA 1998/01
</v>
      </c>
      <c r="GV42" t="str">
        <f t="shared" ca="1" si="61"/>
        <v xml:space="preserve">
                              Stipendio annuo lordo                            euro: 9196,03
</v>
      </c>
      <c r="GW42" t="str">
        <f t="shared" ca="1" si="62"/>
        <v/>
      </c>
      <c r="GX42" t="str">
        <f t="shared" ca="1" si="63"/>
        <v/>
      </c>
      <c r="GY42" t="str">
        <f t="shared" ca="1" si="64"/>
        <v xml:space="preserve">                                                        I.I.S. annuo lordo             euro: 6384,11
</v>
      </c>
      <c r="GZ42" t="str">
        <f t="shared" ca="1" si="65"/>
        <v/>
      </c>
      <c r="HA42" t="str">
        <f t="shared" ca="1" si="66"/>
        <v/>
      </c>
      <c r="HB42" t="str">
        <f t="shared" ca="1" si="67"/>
        <v/>
      </c>
      <c r="HC42" t="str">
        <f t="shared" ca="1" si="68"/>
        <v/>
      </c>
      <c r="HD42" s="254" t="str">
        <f t="shared" ca="1" si="69"/>
        <v/>
      </c>
      <c r="HE42" s="254" t="str">
        <f t="shared" ca="1" si="70"/>
        <v xml:space="preserve">
TOTALE ANNUO LORDO EURO 15580,14
</v>
      </c>
      <c r="HL42" s="263" t="str">
        <f t="shared" ca="1" si="71"/>
        <v xml:space="preserve">ARTICOLO 3
con decorrenza dalla data: 1/7/2000   Fascia: 0-2 anni - C.C.N.L. COMPARTO SCUOLA 1998/01
                              Stipendio annuo lordo                            euro: 9196,03
                                                        I.I.S. annuo lordo             euro: 6384,11
TOTALE ANNUO LORDO EURO 15580,14
</v>
      </c>
      <c r="HM42" s="263"/>
      <c r="HN42" s="272" t="str">
        <f t="shared" ca="1" si="13"/>
        <v xml:space="preserve">ARTICOLO 3
con decorrenza dalla data: 1/7/2000   Fascia: 0-2 anni - C.C.N.L. COMPARTO SCUOLA 1998/01
                              Stipendio annuo lordo                            euro: 9196,03
                                                        I.I.S. annuo lordo             euro: 6384,11
TOTALE ANNUO LORDO EURO 15580,14
</v>
      </c>
      <c r="HO42">
        <f t="shared" ca="1" si="72"/>
        <v>3</v>
      </c>
      <c r="HP42" t="str">
        <f t="shared" ca="1" si="73"/>
        <v/>
      </c>
      <c r="HQ42" t="str">
        <f t="shared" ca="1" si="74"/>
        <v/>
      </c>
      <c r="HR42" t="str">
        <f t="shared" ca="1" si="75"/>
        <v/>
      </c>
      <c r="HW42" s="253" t="s">
        <v>187</v>
      </c>
      <c r="HX42" s="112" t="str">
        <f t="shared" si="76"/>
        <v>14/6/1999</v>
      </c>
      <c r="HY42" t="s">
        <v>188</v>
      </c>
      <c r="HZ42" s="112" t="str">
        <f t="shared" si="77"/>
        <v>14/6/1999</v>
      </c>
      <c r="IA42" t="s">
        <v>189</v>
      </c>
      <c r="IB42">
        <f t="shared" si="78"/>
        <v>0</v>
      </c>
      <c r="IC42" t="s">
        <v>192</v>
      </c>
      <c r="ID42">
        <f t="shared" si="79"/>
        <v>0</v>
      </c>
      <c r="IE42" t="s">
        <v>191</v>
      </c>
      <c r="IF42" s="254">
        <f t="shared" si="80"/>
        <v>1</v>
      </c>
      <c r="IK42" t="str">
        <f t="shared" si="14"/>
        <v xml:space="preserve">DAL: 14/6/1999 - AL:14/6/1999 - ANNI:0 - MESI:0 -GIORNI:1
</v>
      </c>
      <c r="JD42" t="str">
        <f>IF(JE42&lt;&gt;"","fascia 21/27 anni in data:","")</f>
        <v/>
      </c>
      <c r="JE42" s="112" t="str">
        <f t="shared" ref="JE42:JE48" si="116">IF(DP44="","",CONCATENATE(DAY(DP44),"/",MONTH(DP44),"/",YEAR(DP44),"
"))</f>
        <v/>
      </c>
      <c r="JQ42" s="313" t="s">
        <v>319</v>
      </c>
      <c r="JR42" s="263" t="str">
        <f>IF(JR41&lt;&gt;0,CONCATENATE(" NEI LIMITI DELLA PRESCRIZIONE QUINQUENNALE, CONSIDERANDO PRESCRITTE LE SOMMA MATURATE PRIMA DEL:",  DAY(JR41),"/",MONTH(JR41),"/",YEAR(JR41)),"")</f>
        <v/>
      </c>
      <c r="KC42">
        <v>0</v>
      </c>
      <c r="KD42" s="260">
        <f t="shared" si="81"/>
        <v>36708</v>
      </c>
      <c r="KE42" t="str">
        <f t="shared" si="82"/>
        <v>0-2 anni</v>
      </c>
      <c r="KF42">
        <f t="shared" si="15"/>
        <v>6</v>
      </c>
      <c r="KG42" s="238">
        <f t="shared" ca="1" si="16"/>
        <v>66</v>
      </c>
      <c r="KJ42">
        <f t="shared" ca="1" si="83"/>
        <v>9196.0300000000007</v>
      </c>
      <c r="KK42">
        <f t="shared" ca="1" si="17"/>
        <v>0</v>
      </c>
      <c r="KL42">
        <f t="shared" ca="1" si="17"/>
        <v>0</v>
      </c>
      <c r="KM42">
        <f t="shared" ca="1" si="17"/>
        <v>6384.11</v>
      </c>
      <c r="KN42">
        <f t="shared" ca="1" si="17"/>
        <v>0</v>
      </c>
      <c r="KU42">
        <f t="shared" ca="1" si="18"/>
        <v>0</v>
      </c>
      <c r="KX42">
        <v>2</v>
      </c>
      <c r="KY42" t="s">
        <v>172</v>
      </c>
      <c r="KZ42" s="254" t="str">
        <f t="shared" si="84"/>
        <v>0-2 anni</v>
      </c>
      <c r="LA42" s="112">
        <f t="shared" si="85"/>
        <v>36325</v>
      </c>
      <c r="LB42" s="112">
        <f t="shared" si="86"/>
        <v>36325</v>
      </c>
      <c r="LC42">
        <f t="shared" ca="1" si="87"/>
        <v>15580.14</v>
      </c>
      <c r="LD42" s="262">
        <f t="shared" ca="1" si="88"/>
        <v>15580.14</v>
      </c>
      <c r="LE42">
        <f t="shared" si="89"/>
        <v>1</v>
      </c>
      <c r="LF42">
        <f t="shared" ca="1" si="90"/>
        <v>0</v>
      </c>
    </row>
    <row r="43" spans="1:322" ht="207.6" customHeight="1" x14ac:dyDescent="0.25">
      <c r="A43" s="112">
        <f>VLOOKUP(B43-1,$DW$40:$DW$72,1)</f>
        <v>36100</v>
      </c>
      <c r="B43" s="112">
        <f t="shared" si="19"/>
        <v>36312</v>
      </c>
      <c r="C43" t="str">
        <f>IFERROR(VLOOKUP(COUNTBLANK($E$2:E43),A:B,2,FALSE),"")</f>
        <v/>
      </c>
      <c r="E43" s="240">
        <f>Foglio3!F23</f>
        <v>36432</v>
      </c>
      <c r="F43" s="240">
        <f>Foglio3!G23</f>
        <v>36433</v>
      </c>
      <c r="G43" s="244"/>
      <c r="H43" s="245">
        <f t="shared" si="20"/>
        <v>36432</v>
      </c>
      <c r="I43" s="245">
        <f t="shared" si="2"/>
        <v>36433</v>
      </c>
      <c r="J43" s="244"/>
      <c r="K43" s="244"/>
      <c r="Q43">
        <f t="shared" si="3"/>
        <v>2</v>
      </c>
      <c r="R43">
        <f>IF(Q43&lt;0,0,Q43-BV43*AG43)</f>
        <v>2</v>
      </c>
      <c r="S43">
        <f t="shared" si="21"/>
        <v>0</v>
      </c>
      <c r="T43">
        <f t="shared" ref="T43:T52" si="117">INT( (R43-(S43*365))/30)</f>
        <v>0</v>
      </c>
      <c r="U43">
        <f t="shared" ref="U43:U52" si="118">R43- ((S43*365)+T43*30)</f>
        <v>2</v>
      </c>
      <c r="W43">
        <f t="shared" ref="W43:W52" si="119">S43+W42</f>
        <v>0</v>
      </c>
      <c r="X43">
        <f t="shared" ref="X43:X52" si="120">T43+X42</f>
        <v>5</v>
      </c>
      <c r="Y43">
        <f t="shared" ref="Y43:Y52" si="121">U43+Y42</f>
        <v>37</v>
      </c>
      <c r="AA43" s="112">
        <f t="shared" si="91"/>
        <v>36432</v>
      </c>
      <c r="AB43" s="112">
        <f t="shared" si="92"/>
        <v>36433</v>
      </c>
      <c r="AG43">
        <f t="shared" si="22"/>
        <v>1</v>
      </c>
      <c r="AH43" s="112">
        <f t="shared" si="93"/>
        <v>36432</v>
      </c>
      <c r="AI43" s="112">
        <f t="shared" si="94"/>
        <v>36433</v>
      </c>
      <c r="AJ43">
        <f t="shared" si="23"/>
        <v>1</v>
      </c>
      <c r="AK43">
        <f t="shared" si="95"/>
        <v>0</v>
      </c>
      <c r="AL43">
        <f t="shared" ref="AL43:AL70" si="122">IF(AND(AH43&lt;=AI42,AI43&gt;AI42),1,0)*AJ43</f>
        <v>0</v>
      </c>
      <c r="AN43">
        <f t="shared" ref="AN43:AN70" si="123">(AI43-AH43+1)*AK43</f>
        <v>0</v>
      </c>
      <c r="AO43">
        <f t="shared" ref="AO43:AO70" si="124">(AI42-AH43+1)*AL43</f>
        <v>0</v>
      </c>
      <c r="AP43">
        <f t="shared" si="96"/>
        <v>0</v>
      </c>
      <c r="AS43">
        <f>IF(AND(AH43&lt;=AI41,AI43&lt;=AI41),1,0)*AJ43</f>
        <v>0</v>
      </c>
      <c r="AT43">
        <f>IF(AND(AH43&lt;=AI41,AI43&gt;AI41),1,0)*AJ43</f>
        <v>0</v>
      </c>
      <c r="AV43">
        <f>(AI43-AH43+1)*AS43</f>
        <v>0</v>
      </c>
      <c r="AW43">
        <f>(AI41-AH43+1)*AT43</f>
        <v>0</v>
      </c>
      <c r="AX43">
        <f t="shared" si="97"/>
        <v>0</v>
      </c>
      <c r="BA43">
        <f t="shared" ref="BA43:BA49" si="125">IF(AND(AH43&lt;=AI40,AI43&lt;=AI40),1,0)*AJ43</f>
        <v>0</v>
      </c>
      <c r="BB43">
        <f t="shared" ref="BB43:BB49" si="126">IF(AND(AH43&lt;=AI40,AI43&gt;AI40),1,0)*AJ43</f>
        <v>0</v>
      </c>
      <c r="BD43">
        <f>(AI43-AH43+1)*BA43</f>
        <v>0</v>
      </c>
      <c r="BE43">
        <f>(AI40-AH43+1)*BB43</f>
        <v>0</v>
      </c>
      <c r="BF43">
        <f t="shared" ref="BF43:BF71" si="127">BD43+BE43</f>
        <v>0</v>
      </c>
      <c r="BK43" t="s">
        <v>113</v>
      </c>
      <c r="BV43">
        <f t="shared" si="98"/>
        <v>0</v>
      </c>
      <c r="BX43">
        <f t="shared" si="99"/>
        <v>0</v>
      </c>
      <c r="BY43">
        <f t="shared" si="100"/>
        <v>0</v>
      </c>
      <c r="BZ43">
        <f t="shared" si="101"/>
        <v>0</v>
      </c>
      <c r="CA43">
        <f t="shared" si="102"/>
        <v>0</v>
      </c>
      <c r="CB43">
        <f t="shared" si="103"/>
        <v>0</v>
      </c>
      <c r="CG43">
        <f t="shared" si="24"/>
        <v>1999</v>
      </c>
      <c r="CH43">
        <f t="shared" si="25"/>
        <v>1999</v>
      </c>
      <c r="CJ43">
        <f t="shared" si="26"/>
        <v>0</v>
      </c>
      <c r="CK43">
        <f t="shared" si="4"/>
        <v>0</v>
      </c>
      <c r="CL43">
        <f t="shared" si="27"/>
        <v>0</v>
      </c>
      <c r="CN43">
        <f t="shared" si="28"/>
        <v>0</v>
      </c>
      <c r="CQ43">
        <f>365*28</f>
        <v>10220</v>
      </c>
      <c r="CS43">
        <f t="shared" si="29"/>
        <v>2</v>
      </c>
      <c r="CT43" s="246">
        <f t="shared" si="104"/>
        <v>187</v>
      </c>
      <c r="CU43" s="243">
        <f t="shared" si="30"/>
        <v>187</v>
      </c>
      <c r="CV43" s="112">
        <f t="shared" si="31"/>
        <v>36433</v>
      </c>
      <c r="CX43" s="112">
        <f t="shared" si="32"/>
        <v>100000</v>
      </c>
      <c r="CY43" s="270">
        <f t="shared" si="105"/>
        <v>100000</v>
      </c>
      <c r="CZ43" s="112">
        <f t="shared" si="106"/>
        <v>100000</v>
      </c>
      <c r="DA43" s="112">
        <f t="shared" si="107"/>
        <v>100000</v>
      </c>
      <c r="DB43" s="112">
        <f t="shared" si="108"/>
        <v>100000</v>
      </c>
      <c r="DC43" s="112">
        <f t="shared" si="109"/>
        <v>100000</v>
      </c>
      <c r="DE43" s="247">
        <v>15</v>
      </c>
      <c r="DG43" s="248">
        <f>MIN(CZ40:CZ117)</f>
        <v>42782</v>
      </c>
      <c r="DJ43" s="238">
        <f ca="1">VLOOKUP(DG43,Foglio1!$AB$31:$AN$284,13)</f>
        <v>205</v>
      </c>
      <c r="DL43">
        <f t="shared" ca="1" si="33"/>
        <v>9907.19</v>
      </c>
      <c r="DO43">
        <v>15</v>
      </c>
      <c r="DP43" s="112">
        <f t="shared" si="34"/>
        <v>42782</v>
      </c>
      <c r="DQ43">
        <f t="shared" ca="1" si="35"/>
        <v>0</v>
      </c>
      <c r="DR43">
        <v>15</v>
      </c>
      <c r="DU43" s="112"/>
      <c r="DV43" s="112"/>
      <c r="DW43" s="277">
        <v>36100</v>
      </c>
      <c r="DX43" s="276"/>
      <c r="DY43" s="276" t="s">
        <v>217</v>
      </c>
      <c r="DZ43" s="277">
        <f t="shared" si="110"/>
        <v>40171</v>
      </c>
      <c r="EF43" s="260">
        <f>DP43</f>
        <v>42782</v>
      </c>
      <c r="EK43" s="254"/>
      <c r="EL43">
        <v>4</v>
      </c>
      <c r="EM43" s="260">
        <f t="shared" si="111"/>
        <v>36770</v>
      </c>
      <c r="EN43">
        <f t="shared" si="112"/>
        <v>4</v>
      </c>
      <c r="EO43" s="112">
        <f t="shared" si="113"/>
        <v>36770</v>
      </c>
      <c r="EP43" s="112">
        <f t="shared" si="36"/>
        <v>36770</v>
      </c>
      <c r="ER43">
        <v>15</v>
      </c>
      <c r="ES43">
        <v>3</v>
      </c>
      <c r="ET43">
        <f t="shared" si="37"/>
        <v>0</v>
      </c>
      <c r="EU43" s="260">
        <f t="shared" si="38"/>
        <v>36770</v>
      </c>
      <c r="EV43" t="str">
        <f t="shared" si="39"/>
        <v>0-2 anni</v>
      </c>
      <c r="EW43">
        <f t="shared" si="5"/>
        <v>6</v>
      </c>
      <c r="EX43" s="238">
        <f t="shared" ca="1" si="6"/>
        <v>73</v>
      </c>
      <c r="FA43">
        <f t="shared" ca="1" si="40"/>
        <v>9196.0300000000007</v>
      </c>
      <c r="FB43">
        <f t="shared" ca="1" si="7"/>
        <v>0</v>
      </c>
      <c r="FC43">
        <f t="shared" ca="1" si="7"/>
        <v>0</v>
      </c>
      <c r="FD43">
        <f t="shared" ca="1" si="41"/>
        <v>6384.11</v>
      </c>
      <c r="FE43">
        <f t="shared" ca="1" si="7"/>
        <v>0</v>
      </c>
      <c r="FG43">
        <f t="shared" ca="1" si="42"/>
        <v>0</v>
      </c>
      <c r="FL43">
        <f t="shared" ca="1" si="8"/>
        <v>0</v>
      </c>
      <c r="FO43">
        <v>3</v>
      </c>
      <c r="FP43" t="s">
        <v>171</v>
      </c>
      <c r="FQ43" s="254" t="str">
        <f t="shared" si="43"/>
        <v>0-2 anni</v>
      </c>
      <c r="FR43">
        <f t="shared" si="114"/>
        <v>43</v>
      </c>
      <c r="FS43" t="str">
        <f t="shared" ca="1" si="44"/>
        <v>ev43</v>
      </c>
      <c r="FT43" t="str">
        <f t="shared" ca="1" si="45"/>
        <v>EU43</v>
      </c>
      <c r="FU43" t="str">
        <f t="shared" ca="1" si="45"/>
        <v>FA43</v>
      </c>
      <c r="FV43" t="str">
        <f t="shared" ca="1" si="46"/>
        <v>FB43</v>
      </c>
      <c r="FW43" t="str">
        <f t="shared" ca="1" si="46"/>
        <v>FC43</v>
      </c>
      <c r="FX43" t="str">
        <f t="shared" ca="1" si="46"/>
        <v>FD43</v>
      </c>
      <c r="FY43" t="str">
        <f t="shared" ca="1" si="46"/>
        <v>FE43</v>
      </c>
      <c r="FZ43" t="str">
        <f t="shared" ca="1" si="46"/>
        <v>FG43</v>
      </c>
      <c r="GA43" t="str">
        <f t="shared" ca="1" si="46"/>
        <v>FL43</v>
      </c>
      <c r="GB43" t="str">
        <f t="shared" ca="1" si="46"/>
        <v/>
      </c>
      <c r="GC43" t="str">
        <f t="shared" ca="1" si="46"/>
        <v/>
      </c>
      <c r="GD43">
        <f t="shared" ca="1" si="115"/>
        <v>4</v>
      </c>
      <c r="GE43" s="112">
        <f t="shared" ca="1" si="47"/>
        <v>36770</v>
      </c>
      <c r="GF43" s="112" t="str">
        <f t="shared" ca="1" si="48"/>
        <v>0-2 anni</v>
      </c>
      <c r="GG43" s="262">
        <f t="shared" ca="1" si="49"/>
        <v>9196.0300000000007</v>
      </c>
      <c r="GH43" s="262">
        <f t="shared" ca="1" si="50"/>
        <v>0</v>
      </c>
      <c r="GI43" s="262">
        <f t="shared" ca="1" si="51"/>
        <v>0</v>
      </c>
      <c r="GJ43" s="262">
        <f t="shared" ca="1" si="52"/>
        <v>6384.11</v>
      </c>
      <c r="GK43" s="262">
        <f t="shared" ca="1" si="53"/>
        <v>0</v>
      </c>
      <c r="GL43" s="262">
        <f t="shared" ca="1" si="10"/>
        <v>0</v>
      </c>
      <c r="GM43" s="262">
        <f t="shared" ca="1" si="54"/>
        <v>0</v>
      </c>
      <c r="GN43" s="262">
        <f t="shared" ca="1" si="55"/>
        <v>0</v>
      </c>
      <c r="GO43" s="262">
        <f t="shared" ca="1" si="11"/>
        <v>0</v>
      </c>
      <c r="GQ43" s="263" t="str">
        <f t="shared" ca="1" si="56"/>
        <v>C.C.N.L. COMPARTO SCUOLA 1998/01</v>
      </c>
      <c r="GR43" s="262">
        <f t="shared" ca="1" si="57"/>
        <v>15580.14</v>
      </c>
      <c r="GS43" s="253" t="str">
        <f t="shared" ca="1" si="58"/>
        <v xml:space="preserve">ARTICOLO 4
</v>
      </c>
      <c r="GT43" t="str">
        <f t="shared" ca="1" si="59"/>
        <v xml:space="preserve">con decorrenza dalla data: 1/9/2000  </v>
      </c>
      <c r="GU43" t="str">
        <f t="shared" ca="1" si="60"/>
        <v xml:space="preserve"> Fascia: 0-2 anni - C.C.N.L. COMPARTO SCUOLA 1998/01
</v>
      </c>
      <c r="GV43" t="str">
        <f t="shared" ca="1" si="61"/>
        <v xml:space="preserve">
                              Stipendio annuo lordo                            euro: 9196,03
</v>
      </c>
      <c r="GW43" t="str">
        <f t="shared" ca="1" si="62"/>
        <v/>
      </c>
      <c r="GX43" t="str">
        <f t="shared" ca="1" si="63"/>
        <v/>
      </c>
      <c r="GY43" t="str">
        <f t="shared" ca="1" si="64"/>
        <v xml:space="preserve">                                                        I.I.S. annuo lordo             euro: 6384,11
</v>
      </c>
      <c r="GZ43" t="str">
        <f t="shared" ca="1" si="65"/>
        <v/>
      </c>
      <c r="HA43" t="str">
        <f t="shared" ca="1" si="66"/>
        <v/>
      </c>
      <c r="HB43" t="str">
        <f t="shared" ca="1" si="67"/>
        <v/>
      </c>
      <c r="HC43" t="str">
        <f t="shared" ca="1" si="68"/>
        <v/>
      </c>
      <c r="HD43" s="254" t="str">
        <f t="shared" ca="1" si="69"/>
        <v/>
      </c>
      <c r="HE43" s="254" t="str">
        <f t="shared" ca="1" si="70"/>
        <v xml:space="preserve">
TOTALE ANNUO LORDO EURO 15580,14
</v>
      </c>
      <c r="HL43" s="263" t="str">
        <f t="shared" ca="1" si="71"/>
        <v xml:space="preserve">ARTICOLO 4
con decorrenza dalla data: 1/9/2000   Fascia: 0-2 anni - C.C.N.L. COMPARTO SCUOLA 1998/01
                              Stipendio annuo lordo                            euro: 9196,03
                                                        I.I.S. annuo lordo             euro: 6384,11
TOTALE ANNUO LORDO EURO 15580,14
</v>
      </c>
      <c r="HM43" s="263"/>
      <c r="HN43" s="272" t="str">
        <f t="shared" ca="1" si="13"/>
        <v xml:space="preserve">ARTICOLO 4
con decorrenza dalla data: 1/9/2000   Fascia: 0-2 anni - C.C.N.L. COMPARTO SCUOLA 1998/01
                              Stipendio annuo lordo                            euro: 9196,03
                                                        I.I.S. annuo lordo             euro: 6384,11
TOTALE ANNUO LORDO EURO 15580,14
</v>
      </c>
      <c r="HO43">
        <f t="shared" ca="1" si="72"/>
        <v>4</v>
      </c>
      <c r="HP43" t="str">
        <f t="shared" ca="1" si="73"/>
        <v/>
      </c>
      <c r="HQ43" t="str">
        <f t="shared" ca="1" si="74"/>
        <v/>
      </c>
      <c r="HR43" t="str">
        <f t="shared" ca="1" si="75"/>
        <v/>
      </c>
      <c r="HW43" s="253" t="s">
        <v>187</v>
      </c>
      <c r="HX43" s="112" t="str">
        <f t="shared" si="76"/>
        <v>29/9/1999</v>
      </c>
      <c r="HY43" t="s">
        <v>188</v>
      </c>
      <c r="HZ43" s="112" t="str">
        <f t="shared" si="77"/>
        <v>30/9/1999</v>
      </c>
      <c r="IA43" t="s">
        <v>189</v>
      </c>
      <c r="IB43">
        <f t="shared" si="78"/>
        <v>0</v>
      </c>
      <c r="IC43" t="s">
        <v>192</v>
      </c>
      <c r="ID43">
        <f t="shared" si="79"/>
        <v>0</v>
      </c>
      <c r="IE43" t="s">
        <v>191</v>
      </c>
      <c r="IF43" s="254">
        <f t="shared" si="80"/>
        <v>2</v>
      </c>
      <c r="IK43" t="str">
        <f t="shared" si="14"/>
        <v xml:space="preserve">DAL: 29/9/1999 - AL:30/9/1999 - ANNI:0 - MESI:0 -GIORNI:2
</v>
      </c>
      <c r="JD43" t="str">
        <f>IF(JE43&lt;&gt;"","fascia 28/34 anni in data:","")</f>
        <v/>
      </c>
      <c r="JE43" s="112" t="str">
        <f t="shared" si="116"/>
        <v/>
      </c>
      <c r="JI43" s="263" t="s">
        <v>308</v>
      </c>
      <c r="JJ43" t="e">
        <f ca="1">Foglio3!DY22</f>
        <v>#REF!</v>
      </c>
      <c r="JQ43" s="310" t="e">
        <f ca="1">CONCATENATE(JI43," ",JJ43, "  PER DIFFERENZE RETRIBUTIVE MATURATE",JR42," - E DI CUI SI ALLEGA PROSPETTO CONTEGGIO." )</f>
        <v>#REF!</v>
      </c>
      <c r="KC43">
        <v>0</v>
      </c>
      <c r="KD43" s="260">
        <f t="shared" si="81"/>
        <v>36770</v>
      </c>
      <c r="KE43" t="str">
        <f t="shared" si="82"/>
        <v>0-2 anni</v>
      </c>
      <c r="KF43">
        <f t="shared" si="15"/>
        <v>6</v>
      </c>
      <c r="KG43" s="238">
        <f t="shared" ca="1" si="16"/>
        <v>73</v>
      </c>
      <c r="KJ43">
        <f t="shared" ca="1" si="83"/>
        <v>9196.0300000000007</v>
      </c>
      <c r="KK43">
        <f t="shared" ca="1" si="17"/>
        <v>0</v>
      </c>
      <c r="KL43">
        <f t="shared" ca="1" si="17"/>
        <v>0</v>
      </c>
      <c r="KM43">
        <f t="shared" ca="1" si="17"/>
        <v>6384.11</v>
      </c>
      <c r="KN43">
        <f t="shared" ca="1" si="17"/>
        <v>0</v>
      </c>
      <c r="KU43">
        <f t="shared" ca="1" si="18"/>
        <v>0</v>
      </c>
      <c r="KX43">
        <v>3</v>
      </c>
      <c r="KY43" t="s">
        <v>171</v>
      </c>
      <c r="KZ43" s="254" t="str">
        <f t="shared" si="84"/>
        <v>0-2 anni</v>
      </c>
      <c r="LA43" s="112">
        <f t="shared" si="85"/>
        <v>36432</v>
      </c>
      <c r="LB43" s="112">
        <f t="shared" si="86"/>
        <v>36433</v>
      </c>
      <c r="LC43">
        <f t="shared" ca="1" si="87"/>
        <v>15580.14</v>
      </c>
      <c r="LD43" s="262">
        <f t="shared" ca="1" si="88"/>
        <v>15580.14</v>
      </c>
      <c r="LE43">
        <f t="shared" si="89"/>
        <v>2</v>
      </c>
      <c r="LF43">
        <f t="shared" ca="1" si="90"/>
        <v>0</v>
      </c>
    </row>
    <row r="44" spans="1:322" ht="195" x14ac:dyDescent="0.25">
      <c r="A44" s="112">
        <f t="shared" ref="A44:A87" si="128">VLOOKUP(B44-1,$DW$40:$DW$72,1)</f>
        <v>36100</v>
      </c>
      <c r="B44" s="112">
        <f t="shared" si="19"/>
        <v>36312</v>
      </c>
      <c r="C44" t="str">
        <f>IFERROR(VLOOKUP(COUNTBLANK($E$2:E44),A:B,2,FALSE),"")</f>
        <v/>
      </c>
      <c r="E44" s="240">
        <f>Foglio3!F24</f>
        <v>36434</v>
      </c>
      <c r="F44" s="240">
        <f>Foglio3!G24</f>
        <v>36454</v>
      </c>
      <c r="G44" s="244"/>
      <c r="H44" s="245">
        <f t="shared" si="20"/>
        <v>36434</v>
      </c>
      <c r="I44" s="245">
        <f t="shared" si="2"/>
        <v>36454</v>
      </c>
      <c r="J44" s="244"/>
      <c r="K44" s="244"/>
      <c r="Q44">
        <f t="shared" si="3"/>
        <v>21</v>
      </c>
      <c r="R44">
        <f t="shared" ref="R44:R52" si="129">IF(Q44&lt;0,0,Q44-BV44*AG44)</f>
        <v>21</v>
      </c>
      <c r="S44">
        <f t="shared" si="21"/>
        <v>0</v>
      </c>
      <c r="T44">
        <f t="shared" si="117"/>
        <v>0</v>
      </c>
      <c r="U44">
        <f t="shared" si="118"/>
        <v>21</v>
      </c>
      <c r="W44">
        <f t="shared" si="119"/>
        <v>0</v>
      </c>
      <c r="X44">
        <f t="shared" si="120"/>
        <v>5</v>
      </c>
      <c r="Y44">
        <f t="shared" si="121"/>
        <v>58</v>
      </c>
      <c r="AA44" s="112">
        <f t="shared" si="91"/>
        <v>36434</v>
      </c>
      <c r="AB44" s="112">
        <f t="shared" si="92"/>
        <v>36454</v>
      </c>
      <c r="AG44">
        <f t="shared" si="22"/>
        <v>1</v>
      </c>
      <c r="AH44" s="112">
        <f t="shared" si="93"/>
        <v>36434</v>
      </c>
      <c r="AI44" s="112">
        <f t="shared" si="94"/>
        <v>36454</v>
      </c>
      <c r="AJ44">
        <f t="shared" si="23"/>
        <v>1</v>
      </c>
      <c r="AK44">
        <f t="shared" si="95"/>
        <v>0</v>
      </c>
      <c r="AL44">
        <f t="shared" si="122"/>
        <v>0</v>
      </c>
      <c r="AN44">
        <f t="shared" si="123"/>
        <v>0</v>
      </c>
      <c r="AO44">
        <f t="shared" si="124"/>
        <v>0</v>
      </c>
      <c r="AP44">
        <f t="shared" si="96"/>
        <v>0</v>
      </c>
      <c r="AS44">
        <f t="shared" ref="AS44:AS71" si="130">IF(AND(AH44&lt;=AI42,AI44&lt;=AI42),1,0)*AJ44</f>
        <v>0</v>
      </c>
      <c r="AT44">
        <f t="shared" ref="AT44:AT71" si="131">IF(AND(AH44&lt;=AI42,AI44&gt;AI42),1,0)*AJ44</f>
        <v>0</v>
      </c>
      <c r="AV44">
        <f t="shared" ref="AV44:AV71" si="132">(AI44-AH44+1)*AS44</f>
        <v>0</v>
      </c>
      <c r="AW44">
        <f t="shared" ref="AW44:AW71" si="133">(AI42-AH44+1)*AT44</f>
        <v>0</v>
      </c>
      <c r="AX44">
        <f t="shared" si="97"/>
        <v>0</v>
      </c>
      <c r="BA44">
        <f t="shared" si="125"/>
        <v>0</v>
      </c>
      <c r="BB44">
        <f t="shared" si="126"/>
        <v>0</v>
      </c>
      <c r="BD44">
        <f>(AI44-AH44+1)*BA44</f>
        <v>0</v>
      </c>
      <c r="BE44">
        <f>(AI41-AH44+1)*BB44</f>
        <v>0</v>
      </c>
      <c r="BF44">
        <f t="shared" si="127"/>
        <v>0</v>
      </c>
      <c r="BI44">
        <f>IF(AND(AH44&lt;=AI40,AI44&lt;=AI40),1,0)*AJ44</f>
        <v>0</v>
      </c>
      <c r="BJ44">
        <f>IF(AND(AH44&lt;=AI40,AI44&gt;AI40),1,0)*AJ44</f>
        <v>0</v>
      </c>
      <c r="BK44">
        <f>(AI44-AH44+1)*BI44</f>
        <v>0</v>
      </c>
      <c r="BL44">
        <f>(AI40-AH44+1)*BJ44</f>
        <v>0</v>
      </c>
      <c r="BM44">
        <f t="shared" ref="BM44:BM71" si="134">BK44+BL44</f>
        <v>0</v>
      </c>
      <c r="BR44" t="s">
        <v>113</v>
      </c>
      <c r="BV44">
        <f t="shared" si="98"/>
        <v>0</v>
      </c>
      <c r="BX44">
        <f t="shared" si="99"/>
        <v>0</v>
      </c>
      <c r="BY44">
        <f t="shared" si="100"/>
        <v>0</v>
      </c>
      <c r="BZ44">
        <f t="shared" si="101"/>
        <v>0</v>
      </c>
      <c r="CA44">
        <f t="shared" si="102"/>
        <v>0</v>
      </c>
      <c r="CB44">
        <f t="shared" si="103"/>
        <v>0</v>
      </c>
      <c r="CG44">
        <f t="shared" si="24"/>
        <v>1999</v>
      </c>
      <c r="CH44">
        <f t="shared" si="25"/>
        <v>1999</v>
      </c>
      <c r="CJ44">
        <f t="shared" si="26"/>
        <v>0</v>
      </c>
      <c r="CK44">
        <f t="shared" si="4"/>
        <v>0</v>
      </c>
      <c r="CL44">
        <f t="shared" si="27"/>
        <v>0</v>
      </c>
      <c r="CN44">
        <f t="shared" si="28"/>
        <v>0</v>
      </c>
      <c r="CQ44">
        <f>365*35</f>
        <v>12775</v>
      </c>
      <c r="CS44">
        <f t="shared" si="29"/>
        <v>21</v>
      </c>
      <c r="CT44" s="246">
        <f t="shared" si="104"/>
        <v>208</v>
      </c>
      <c r="CU44" s="243">
        <f t="shared" si="30"/>
        <v>208</v>
      </c>
      <c r="CV44" s="112">
        <f t="shared" si="31"/>
        <v>36454</v>
      </c>
      <c r="CX44" s="112">
        <f t="shared" si="32"/>
        <v>100000</v>
      </c>
      <c r="CY44" s="270">
        <f t="shared" si="105"/>
        <v>100000</v>
      </c>
      <c r="CZ44" s="112">
        <f t="shared" si="106"/>
        <v>100000</v>
      </c>
      <c r="DA44" s="112">
        <f t="shared" si="107"/>
        <v>100000</v>
      </c>
      <c r="DB44" s="112">
        <f t="shared" si="108"/>
        <v>100000</v>
      </c>
      <c r="DC44" s="112">
        <f t="shared" si="109"/>
        <v>100000</v>
      </c>
      <c r="DE44" s="247">
        <v>21</v>
      </c>
      <c r="DG44" s="248">
        <f>MIN(DA40:DA117)</f>
        <v>100000</v>
      </c>
      <c r="DJ44" s="238">
        <f ca="1">VLOOKUP(DG44,Foglio1!$AB$31:$AN$284,13)</f>
        <v>261</v>
      </c>
      <c r="DL44">
        <f t="shared" ca="1" si="33"/>
        <v>10347.280000000001</v>
      </c>
      <c r="DO44">
        <v>21</v>
      </c>
      <c r="DP44" s="112" t="str">
        <f t="shared" si="34"/>
        <v/>
      </c>
      <c r="DQ44">
        <f t="shared" si="35"/>
        <v>0</v>
      </c>
      <c r="DR44">
        <v>21</v>
      </c>
      <c r="DU44" s="112"/>
      <c r="DV44" s="112"/>
      <c r="DW44" s="277">
        <v>36312</v>
      </c>
      <c r="DX44" s="276"/>
      <c r="DY44" s="276" t="s">
        <v>218</v>
      </c>
      <c r="DZ44" s="277">
        <f t="shared" si="110"/>
        <v>42782</v>
      </c>
      <c r="EF44" s="260" t="str">
        <f>DP44</f>
        <v/>
      </c>
      <c r="EK44" s="254"/>
      <c r="EL44">
        <v>5</v>
      </c>
      <c r="EM44" s="260">
        <f t="shared" si="111"/>
        <v>36892</v>
      </c>
      <c r="EN44">
        <f t="shared" si="112"/>
        <v>5</v>
      </c>
      <c r="EO44" s="112">
        <f t="shared" si="113"/>
        <v>36892</v>
      </c>
      <c r="EP44" s="112">
        <f t="shared" si="36"/>
        <v>36892</v>
      </c>
      <c r="ER44">
        <v>21</v>
      </c>
      <c r="ES44">
        <v>2</v>
      </c>
      <c r="ET44">
        <f t="shared" si="37"/>
        <v>0</v>
      </c>
      <c r="EU44" s="260">
        <f t="shared" si="38"/>
        <v>36892</v>
      </c>
      <c r="EV44" t="str">
        <f t="shared" si="39"/>
        <v>0-2 anni</v>
      </c>
      <c r="EW44">
        <f t="shared" si="5"/>
        <v>6</v>
      </c>
      <c r="EX44" s="238">
        <f t="shared" ca="1" si="6"/>
        <v>80</v>
      </c>
      <c r="FA44">
        <f t="shared" ca="1" si="40"/>
        <v>9505.91</v>
      </c>
      <c r="FB44">
        <f t="shared" ca="1" si="7"/>
        <v>0</v>
      </c>
      <c r="FC44">
        <f t="shared" ca="1" si="7"/>
        <v>0</v>
      </c>
      <c r="FD44">
        <f t="shared" ca="1" si="41"/>
        <v>6384.11</v>
      </c>
      <c r="FE44">
        <f t="shared" ca="1" si="7"/>
        <v>0</v>
      </c>
      <c r="FG44">
        <f t="shared" ca="1" si="42"/>
        <v>0</v>
      </c>
      <c r="FL44">
        <f t="shared" ca="1" si="8"/>
        <v>1338.6</v>
      </c>
      <c r="FO44">
        <v>4</v>
      </c>
      <c r="FP44" t="s">
        <v>170</v>
      </c>
      <c r="FQ44" s="254" t="str">
        <f t="shared" si="43"/>
        <v>0-2 anni</v>
      </c>
      <c r="FR44">
        <f t="shared" si="114"/>
        <v>44</v>
      </c>
      <c r="FS44" t="str">
        <f t="shared" ca="1" si="44"/>
        <v>ev44</v>
      </c>
      <c r="FT44" t="str">
        <f t="shared" ca="1" si="45"/>
        <v>EU44</v>
      </c>
      <c r="FU44" t="str">
        <f t="shared" ca="1" si="45"/>
        <v>FA44</v>
      </c>
      <c r="FV44" t="str">
        <f t="shared" ca="1" si="46"/>
        <v>FB44</v>
      </c>
      <c r="FW44" t="str">
        <f t="shared" ca="1" si="46"/>
        <v>FC44</v>
      </c>
      <c r="FX44" t="str">
        <f t="shared" ca="1" si="46"/>
        <v>FD44</v>
      </c>
      <c r="FY44" t="str">
        <f t="shared" ca="1" si="46"/>
        <v>FE44</v>
      </c>
      <c r="FZ44" t="str">
        <f t="shared" ca="1" si="46"/>
        <v>FG44</v>
      </c>
      <c r="GA44" t="str">
        <f t="shared" ca="1" si="46"/>
        <v>FL44</v>
      </c>
      <c r="GB44" t="str">
        <f t="shared" ca="1" si="46"/>
        <v/>
      </c>
      <c r="GC44" t="str">
        <f t="shared" ca="1" si="46"/>
        <v/>
      </c>
      <c r="GD44">
        <f t="shared" ca="1" si="115"/>
        <v>5</v>
      </c>
      <c r="GE44" s="112">
        <f t="shared" ca="1" si="47"/>
        <v>36892</v>
      </c>
      <c r="GF44" s="112" t="str">
        <f t="shared" ca="1" si="48"/>
        <v>0-2 anni</v>
      </c>
      <c r="GG44" s="262">
        <f t="shared" ca="1" si="49"/>
        <v>9505.91</v>
      </c>
      <c r="GH44" s="262">
        <f t="shared" ca="1" si="50"/>
        <v>0</v>
      </c>
      <c r="GI44" s="262">
        <f t="shared" ca="1" si="51"/>
        <v>0</v>
      </c>
      <c r="GJ44" s="262">
        <f t="shared" ca="1" si="52"/>
        <v>6384.11</v>
      </c>
      <c r="GK44" s="262">
        <f t="shared" ca="1" si="53"/>
        <v>0</v>
      </c>
      <c r="GL44" s="262">
        <f t="shared" ca="1" si="10"/>
        <v>0</v>
      </c>
      <c r="GM44" s="262">
        <f t="shared" ca="1" si="54"/>
        <v>1338.6</v>
      </c>
      <c r="GN44" s="262">
        <f t="shared" ca="1" si="55"/>
        <v>0</v>
      </c>
      <c r="GO44" s="262">
        <f t="shared" ca="1" si="11"/>
        <v>0</v>
      </c>
      <c r="GQ44" s="263" t="str">
        <f t="shared" ca="1" si="56"/>
        <v>C.C.N.L. COMPARTO SCUOLA 1998/01</v>
      </c>
      <c r="GR44" s="262">
        <f t="shared" ca="1" si="57"/>
        <v>17228.62</v>
      </c>
      <c r="GS44" s="253" t="str">
        <f t="shared" ca="1" si="58"/>
        <v xml:space="preserve">ARTICOLO 5
</v>
      </c>
      <c r="GT44" t="str">
        <f t="shared" ca="1" si="59"/>
        <v xml:space="preserve">con decorrenza dalla data: 1/1/2001  </v>
      </c>
      <c r="GU44" t="str">
        <f t="shared" ca="1" si="60"/>
        <v xml:space="preserve"> Fascia: 0-2 anni - C.C.N.L. COMPARTO SCUOLA 1998/01
</v>
      </c>
      <c r="GV44" t="str">
        <f t="shared" ca="1" si="61"/>
        <v xml:space="preserve">
                              Stipendio annuo lordo                            euro: 9505,91
</v>
      </c>
      <c r="GW44" t="str">
        <f t="shared" ca="1" si="62"/>
        <v/>
      </c>
      <c r="GX44" t="str">
        <f t="shared" ca="1" si="63"/>
        <v/>
      </c>
      <c r="GY44" t="str">
        <f t="shared" ca="1" si="64"/>
        <v xml:space="preserve">                                                        I.I.S. annuo lordo             euro: 6384,11
</v>
      </c>
      <c r="GZ44" t="str">
        <f t="shared" ca="1" si="65"/>
        <v/>
      </c>
      <c r="HA44" t="str">
        <f t="shared" ca="1" si="66"/>
        <v/>
      </c>
      <c r="HB44" t="str">
        <f t="shared" ca="1" si="67"/>
        <v xml:space="preserve">                                rpd/cia - annuo lordo                             euro: 1338,6
</v>
      </c>
      <c r="HC44" t="str">
        <f t="shared" ca="1" si="68"/>
        <v/>
      </c>
      <c r="HD44" s="254" t="str">
        <f t="shared" ca="1" si="69"/>
        <v/>
      </c>
      <c r="HE44" s="254" t="str">
        <f t="shared" ca="1" si="70"/>
        <v xml:space="preserve">
TOTALE ANNUO LORDO EURO 17228,62
</v>
      </c>
      <c r="HL44" s="263" t="str">
        <f t="shared" ca="1" si="71"/>
        <v xml:space="preserve">ARTICOLO 5
con decorrenza dalla data: 1/1/2001   Fascia: 0-2 anni - C.C.N.L. COMPARTO SCUOLA 1998/01
                              Stipendio annuo lordo                            euro: 9505,91
                                                        I.I.S. annuo lordo             euro: 6384,11
                                rpd/cia - annuo lordo                             euro: 1338,6
TOTALE ANNUO LORDO EURO 17228,62
</v>
      </c>
      <c r="HM44" s="263"/>
      <c r="HN44" s="272" t="str">
        <f t="shared" ca="1" si="13"/>
        <v xml:space="preserve">ARTICOLO 5
con decorrenza dalla data: 1/1/2001   Fascia: 0-2 anni - C.C.N.L. COMPARTO SCUOLA 1998/01
                              Stipendio annuo lordo                            euro: 9505,91
                                                        I.I.S. annuo lordo             euro: 6384,11
                                rpd/cia - annuo lordo                             euro: 1338,6
TOTALE ANNUO LORDO EURO 17228,62
</v>
      </c>
      <c r="HO44">
        <f t="shared" ca="1" si="72"/>
        <v>5</v>
      </c>
      <c r="HP44" t="str">
        <f t="shared" ca="1" si="73"/>
        <v/>
      </c>
      <c r="HQ44" t="str">
        <f t="shared" ca="1" si="74"/>
        <v/>
      </c>
      <c r="HR44" t="str">
        <f t="shared" ca="1" si="75"/>
        <v/>
      </c>
      <c r="HW44" s="253" t="s">
        <v>187</v>
      </c>
      <c r="HX44" s="112" t="str">
        <f t="shared" si="76"/>
        <v>1/10/1999</v>
      </c>
      <c r="HY44" t="s">
        <v>188</v>
      </c>
      <c r="HZ44" s="112" t="str">
        <f t="shared" si="77"/>
        <v>21/10/1999</v>
      </c>
      <c r="IA44" t="s">
        <v>189</v>
      </c>
      <c r="IB44">
        <f t="shared" si="78"/>
        <v>0</v>
      </c>
      <c r="IC44" t="s">
        <v>192</v>
      </c>
      <c r="ID44">
        <f t="shared" si="79"/>
        <v>0</v>
      </c>
      <c r="IE44" t="s">
        <v>191</v>
      </c>
      <c r="IF44" s="254">
        <f t="shared" si="80"/>
        <v>21</v>
      </c>
      <c r="IK44" t="str">
        <f t="shared" si="14"/>
        <v xml:space="preserve">DAL: 1/10/1999 - AL:21/10/1999 - ANNI:0 - MESI:0 -GIORNI:21
</v>
      </c>
      <c r="JD44" t="str">
        <f>IF(JE44&lt;&gt;"","fascia 35 anni in data:","")</f>
        <v/>
      </c>
      <c r="JE44" s="112" t="str">
        <f t="shared" si="116"/>
        <v/>
      </c>
      <c r="JQ44" s="246"/>
      <c r="KC44">
        <v>0</v>
      </c>
      <c r="KD44" s="260">
        <f t="shared" si="81"/>
        <v>36892</v>
      </c>
      <c r="KE44" t="str">
        <f t="shared" si="82"/>
        <v>0-2 anni</v>
      </c>
      <c r="KF44">
        <f t="shared" si="15"/>
        <v>6</v>
      </c>
      <c r="KG44" s="238">
        <f t="shared" ca="1" si="16"/>
        <v>80</v>
      </c>
      <c r="KJ44">
        <f t="shared" ca="1" si="83"/>
        <v>9505.91</v>
      </c>
      <c r="KK44">
        <f t="shared" ca="1" si="17"/>
        <v>0</v>
      </c>
      <c r="KL44">
        <f t="shared" ca="1" si="17"/>
        <v>0</v>
      </c>
      <c r="KM44">
        <f t="shared" ca="1" si="17"/>
        <v>6384.11</v>
      </c>
      <c r="KN44">
        <f t="shared" ca="1" si="17"/>
        <v>0</v>
      </c>
      <c r="KU44">
        <f t="shared" ca="1" si="18"/>
        <v>1338.6</v>
      </c>
      <c r="KX44">
        <v>4</v>
      </c>
      <c r="KY44" t="s">
        <v>170</v>
      </c>
      <c r="KZ44" s="254" t="str">
        <f t="shared" si="84"/>
        <v>0-2 anni</v>
      </c>
      <c r="LA44" s="112">
        <f t="shared" si="85"/>
        <v>36434</v>
      </c>
      <c r="LB44" s="112">
        <f t="shared" si="86"/>
        <v>36454</v>
      </c>
      <c r="LC44">
        <f t="shared" ca="1" si="87"/>
        <v>17228.62</v>
      </c>
      <c r="LD44" s="262">
        <f t="shared" ca="1" si="88"/>
        <v>17228.62</v>
      </c>
      <c r="LE44">
        <f t="shared" si="89"/>
        <v>21</v>
      </c>
      <c r="LF44">
        <f t="shared" ca="1" si="90"/>
        <v>0</v>
      </c>
    </row>
    <row r="45" spans="1:322" ht="105" x14ac:dyDescent="0.25">
      <c r="A45" s="112">
        <f t="shared" si="128"/>
        <v>36312</v>
      </c>
      <c r="B45" s="112">
        <f t="shared" si="19"/>
        <v>36708</v>
      </c>
      <c r="E45" s="240">
        <f>Foglio3!F25</f>
        <v>36456</v>
      </c>
      <c r="F45" s="240">
        <f>Foglio3!G25</f>
        <v>36769</v>
      </c>
      <c r="G45" s="244"/>
      <c r="H45" s="245">
        <f t="shared" si="20"/>
        <v>36456</v>
      </c>
      <c r="I45" s="245">
        <f t="shared" si="2"/>
        <v>36769</v>
      </c>
      <c r="J45" s="244"/>
      <c r="K45" s="244"/>
      <c r="Q45">
        <f t="shared" si="3"/>
        <v>314</v>
      </c>
      <c r="R45">
        <f t="shared" si="129"/>
        <v>314</v>
      </c>
      <c r="S45">
        <f t="shared" si="21"/>
        <v>0</v>
      </c>
      <c r="T45">
        <f t="shared" si="117"/>
        <v>10</v>
      </c>
      <c r="U45">
        <f t="shared" si="118"/>
        <v>14</v>
      </c>
      <c r="W45">
        <f t="shared" si="119"/>
        <v>0</v>
      </c>
      <c r="X45">
        <f t="shared" si="120"/>
        <v>15</v>
      </c>
      <c r="Y45">
        <f t="shared" si="121"/>
        <v>72</v>
      </c>
      <c r="AA45" s="112">
        <f t="shared" si="91"/>
        <v>36456</v>
      </c>
      <c r="AB45" s="112">
        <f t="shared" si="92"/>
        <v>36769</v>
      </c>
      <c r="AG45">
        <f t="shared" si="22"/>
        <v>1</v>
      </c>
      <c r="AH45" s="112">
        <f t="shared" si="93"/>
        <v>36456</v>
      </c>
      <c r="AI45" s="112">
        <f t="shared" si="94"/>
        <v>36769</v>
      </c>
      <c r="AJ45">
        <f t="shared" si="23"/>
        <v>1</v>
      </c>
      <c r="AK45">
        <f t="shared" si="95"/>
        <v>0</v>
      </c>
      <c r="AL45">
        <f t="shared" si="122"/>
        <v>0</v>
      </c>
      <c r="AN45">
        <f t="shared" si="123"/>
        <v>0</v>
      </c>
      <c r="AO45">
        <f t="shared" si="124"/>
        <v>0</v>
      </c>
      <c r="AP45">
        <f t="shared" si="96"/>
        <v>0</v>
      </c>
      <c r="AS45">
        <f t="shared" si="130"/>
        <v>0</v>
      </c>
      <c r="AT45">
        <f t="shared" si="131"/>
        <v>0</v>
      </c>
      <c r="AV45">
        <f t="shared" si="132"/>
        <v>0</v>
      </c>
      <c r="AW45">
        <f t="shared" si="133"/>
        <v>0</v>
      </c>
      <c r="AX45">
        <f t="shared" si="97"/>
        <v>0</v>
      </c>
      <c r="BA45">
        <f t="shared" si="125"/>
        <v>0</v>
      </c>
      <c r="BB45">
        <f t="shared" si="126"/>
        <v>0</v>
      </c>
      <c r="BD45">
        <f t="shared" ref="BD45:BD71" si="135">(AI45-AH45+1)*BA45</f>
        <v>0</v>
      </c>
      <c r="BE45">
        <f t="shared" ref="BE45:BE71" si="136">(AI42-AH45+1)*BB45</f>
        <v>0</v>
      </c>
      <c r="BF45">
        <f t="shared" si="127"/>
        <v>0</v>
      </c>
      <c r="BI45">
        <f t="shared" ref="BI45:BI71" si="137">IF(AND(AH45&lt;=AI41,AI45&lt;=AI41),1,0)*AJ45</f>
        <v>0</v>
      </c>
      <c r="BJ45">
        <f>IF(AND(AH45&lt;=AI41,AI45&gt;AI41),1,0)*AJ45</f>
        <v>0</v>
      </c>
      <c r="BK45">
        <f>(AI45-AH45+1)*BI45</f>
        <v>0</v>
      </c>
      <c r="BL45">
        <f>(AI41-AH45+1)*BJ45</f>
        <v>0</v>
      </c>
      <c r="BM45">
        <f t="shared" si="134"/>
        <v>0</v>
      </c>
      <c r="BO45">
        <f>IF(AND(AH45&lt;=AI40,AI45&lt;=AI40),1,0)*AJ45</f>
        <v>0</v>
      </c>
      <c r="BP45">
        <f>IF(AND(AH45&lt;=AI40,AI45&gt;AI40),1,0)*AJ45</f>
        <v>0</v>
      </c>
      <c r="BR45">
        <f>(AI45-AH45+1)*BO45</f>
        <v>0</v>
      </c>
      <c r="BS45">
        <f>(AI40-AH45+1)*BP45</f>
        <v>0</v>
      </c>
      <c r="BT45">
        <f t="shared" ref="BT45:BT71" si="138">BR45+BS45</f>
        <v>0</v>
      </c>
      <c r="BV45">
        <f t="shared" si="98"/>
        <v>0</v>
      </c>
      <c r="BX45">
        <f t="shared" si="99"/>
        <v>0</v>
      </c>
      <c r="BY45">
        <f t="shared" si="100"/>
        <v>0</v>
      </c>
      <c r="BZ45">
        <f t="shared" si="101"/>
        <v>0</v>
      </c>
      <c r="CA45">
        <f t="shared" si="102"/>
        <v>0</v>
      </c>
      <c r="CB45">
        <f t="shared" si="103"/>
        <v>0</v>
      </c>
      <c r="CG45">
        <f t="shared" si="24"/>
        <v>1999</v>
      </c>
      <c r="CH45">
        <f t="shared" si="25"/>
        <v>2000</v>
      </c>
      <c r="CJ45">
        <f t="shared" si="26"/>
        <v>0</v>
      </c>
      <c r="CK45">
        <f t="shared" si="4"/>
        <v>0</v>
      </c>
      <c r="CL45">
        <f t="shared" si="27"/>
        <v>0</v>
      </c>
      <c r="CN45">
        <f t="shared" si="28"/>
        <v>0</v>
      </c>
      <c r="CS45">
        <f t="shared" si="29"/>
        <v>314</v>
      </c>
      <c r="CT45" s="246">
        <f t="shared" si="104"/>
        <v>522</v>
      </c>
      <c r="CU45" s="243">
        <f t="shared" si="30"/>
        <v>522</v>
      </c>
      <c r="CV45" s="112">
        <f t="shared" si="31"/>
        <v>36769</v>
      </c>
      <c r="CX45" s="112">
        <f t="shared" si="32"/>
        <v>100000</v>
      </c>
      <c r="CY45" s="270">
        <f t="shared" si="105"/>
        <v>100000</v>
      </c>
      <c r="CZ45" s="112">
        <f t="shared" si="106"/>
        <v>100000</v>
      </c>
      <c r="DA45" s="112">
        <f t="shared" si="107"/>
        <v>100000</v>
      </c>
      <c r="DB45" s="112">
        <f t="shared" si="108"/>
        <v>100000</v>
      </c>
      <c r="DC45" s="112">
        <f t="shared" si="109"/>
        <v>100000</v>
      </c>
      <c r="DE45" s="247">
        <v>28</v>
      </c>
      <c r="DG45" s="248">
        <f>MIN(DB40:DB117)</f>
        <v>100000</v>
      </c>
      <c r="DJ45" s="238">
        <f ca="1">VLOOKUP(DG45,Foglio1!$AB$31:$AN$284,13)</f>
        <v>261</v>
      </c>
      <c r="DL45">
        <f t="shared" ca="1" si="33"/>
        <v>11702.77</v>
      </c>
      <c r="DO45">
        <v>28</v>
      </c>
      <c r="DP45" s="112" t="str">
        <f t="shared" si="34"/>
        <v/>
      </c>
      <c r="DQ45">
        <f t="shared" si="35"/>
        <v>0</v>
      </c>
      <c r="DR45">
        <v>28</v>
      </c>
      <c r="DU45" s="112"/>
      <c r="DV45" s="112"/>
      <c r="DW45" s="277">
        <v>36708</v>
      </c>
      <c r="DX45" s="276"/>
      <c r="DY45" s="276" t="s">
        <v>219</v>
      </c>
      <c r="DZ45" s="277" t="str">
        <f t="shared" si="110"/>
        <v/>
      </c>
      <c r="EF45" s="260" t="str">
        <f>DP45</f>
        <v/>
      </c>
      <c r="EK45" s="254"/>
      <c r="EL45">
        <v>6</v>
      </c>
      <c r="EM45" s="260">
        <f t="shared" si="111"/>
        <v>37257</v>
      </c>
      <c r="EN45">
        <f t="shared" si="112"/>
        <v>6</v>
      </c>
      <c r="EO45" s="112">
        <f t="shared" si="113"/>
        <v>37257</v>
      </c>
      <c r="EP45" s="112">
        <f t="shared" si="36"/>
        <v>37257</v>
      </c>
      <c r="ER45">
        <v>28</v>
      </c>
      <c r="ES45">
        <v>1</v>
      </c>
      <c r="ET45">
        <f t="shared" si="37"/>
        <v>0</v>
      </c>
      <c r="EU45" s="260">
        <f t="shared" si="38"/>
        <v>37257</v>
      </c>
      <c r="EV45" t="str">
        <f t="shared" si="39"/>
        <v>0-2 anni</v>
      </c>
      <c r="EW45">
        <f t="shared" si="5"/>
        <v>6</v>
      </c>
      <c r="EX45" s="238">
        <f t="shared" ca="1" si="6"/>
        <v>87</v>
      </c>
      <c r="FA45">
        <f t="shared" ca="1" si="40"/>
        <v>0</v>
      </c>
      <c r="FB45">
        <f t="shared" ca="1" si="7"/>
        <v>0</v>
      </c>
      <c r="FC45">
        <f t="shared" ca="1" si="7"/>
        <v>0</v>
      </c>
      <c r="FD45">
        <f t="shared" ca="1" si="41"/>
        <v>0</v>
      </c>
      <c r="FE45">
        <f t="shared" ca="1" si="7"/>
        <v>0</v>
      </c>
      <c r="FG45">
        <f t="shared" ca="1" si="42"/>
        <v>0</v>
      </c>
      <c r="FL45">
        <f t="shared" ca="1" si="8"/>
        <v>0</v>
      </c>
      <c r="FO45">
        <v>5</v>
      </c>
      <c r="FP45" t="s">
        <v>169</v>
      </c>
      <c r="FQ45" s="254" t="str">
        <f t="shared" si="43"/>
        <v>0-2 anni</v>
      </c>
      <c r="FR45">
        <f t="shared" si="114"/>
        <v>45</v>
      </c>
      <c r="FS45" t="str">
        <f t="shared" ca="1" si="44"/>
        <v>ev45</v>
      </c>
      <c r="FT45" t="str">
        <f t="shared" ca="1" si="45"/>
        <v>EU45</v>
      </c>
      <c r="FU45" t="str">
        <f t="shared" ca="1" si="45"/>
        <v>FA45</v>
      </c>
      <c r="FV45" t="str">
        <f t="shared" ca="1" si="46"/>
        <v>FB45</v>
      </c>
      <c r="FW45" t="str">
        <f t="shared" ca="1" si="46"/>
        <v>FC45</v>
      </c>
      <c r="FX45" t="str">
        <f t="shared" ca="1" si="46"/>
        <v>FD45</v>
      </c>
      <c r="FY45" t="str">
        <f t="shared" ca="1" si="46"/>
        <v>FE45</v>
      </c>
      <c r="FZ45" t="str">
        <f t="shared" ca="1" si="46"/>
        <v>FG45</v>
      </c>
      <c r="GA45" t="str">
        <f t="shared" ca="1" si="46"/>
        <v>FL45</v>
      </c>
      <c r="GB45" t="str">
        <f t="shared" ca="1" si="46"/>
        <v/>
      </c>
      <c r="GC45" t="str">
        <f t="shared" ca="1" si="46"/>
        <v/>
      </c>
      <c r="GD45">
        <f t="shared" ca="1" si="115"/>
        <v>6</v>
      </c>
      <c r="GE45" s="112">
        <f t="shared" ca="1" si="47"/>
        <v>37257</v>
      </c>
      <c r="GF45" s="112" t="str">
        <f t="shared" ca="1" si="48"/>
        <v>0-2 anni</v>
      </c>
      <c r="GG45" s="262">
        <f t="shared" ca="1" si="49"/>
        <v>0</v>
      </c>
      <c r="GH45" s="262">
        <f t="shared" ca="1" si="50"/>
        <v>0</v>
      </c>
      <c r="GI45" s="262">
        <f t="shared" ca="1" si="51"/>
        <v>0</v>
      </c>
      <c r="GJ45" s="262">
        <f t="shared" ca="1" si="52"/>
        <v>0</v>
      </c>
      <c r="GK45" s="262">
        <f t="shared" ca="1" si="53"/>
        <v>0</v>
      </c>
      <c r="GL45" s="262">
        <f t="shared" ca="1" si="10"/>
        <v>0</v>
      </c>
      <c r="GM45" s="262">
        <f t="shared" ca="1" si="54"/>
        <v>0</v>
      </c>
      <c r="GN45" s="262">
        <f t="shared" ca="1" si="55"/>
        <v>0</v>
      </c>
      <c r="GO45" s="262">
        <f t="shared" ca="1" si="11"/>
        <v>0</v>
      </c>
      <c r="GQ45" s="263" t="str">
        <f t="shared" ca="1" si="56"/>
        <v>C.C.N.L. COMPARTO SCUOLA 2002/05</v>
      </c>
      <c r="GR45" s="262">
        <f t="shared" ca="1" si="57"/>
        <v>0</v>
      </c>
      <c r="GS45" s="253" t="str">
        <f t="shared" ca="1" si="58"/>
        <v xml:space="preserve">ARTICOLO 6
</v>
      </c>
      <c r="GT45" t="str">
        <f t="shared" ca="1" si="59"/>
        <v xml:space="preserve">con decorrenza dalla data: 1/1/2002  </v>
      </c>
      <c r="GU45" t="str">
        <f t="shared" ca="1" si="60"/>
        <v xml:space="preserve"> Fascia: 0-2 anni - C.C.N.L. COMPARTO SCUOLA 2002/05
</v>
      </c>
      <c r="GV45" t="str">
        <f t="shared" ca="1" si="61"/>
        <v xml:space="preserve">
                              Stipendio annuo lordo                            euro: 0
</v>
      </c>
      <c r="GW45" t="str">
        <f t="shared" ca="1" si="62"/>
        <v/>
      </c>
      <c r="GX45" t="str">
        <f t="shared" ca="1" si="63"/>
        <v/>
      </c>
      <c r="GY45" t="str">
        <f t="shared" ca="1" si="64"/>
        <v/>
      </c>
      <c r="GZ45" t="str">
        <f t="shared" ca="1" si="65"/>
        <v/>
      </c>
      <c r="HA45" t="str">
        <f t="shared" ca="1" si="66"/>
        <v/>
      </c>
      <c r="HB45" t="str">
        <f t="shared" ca="1" si="67"/>
        <v/>
      </c>
      <c r="HC45" t="str">
        <f t="shared" ca="1" si="68"/>
        <v/>
      </c>
      <c r="HD45" s="254" t="str">
        <f t="shared" ca="1" si="69"/>
        <v/>
      </c>
      <c r="HE45" s="254" t="str">
        <f t="shared" ca="1" si="70"/>
        <v/>
      </c>
      <c r="HL45" s="263" t="str">
        <f t="shared" ca="1" si="71"/>
        <v xml:space="preserve">ARTICOLO 6
con decorrenza dalla data: 1/1/2002   Fascia: 0-2 anni - C.C.N.L. COMPARTO SCUOLA 2002/05
                              Stipendio annuo lordo                            euro: 0
</v>
      </c>
      <c r="HM45" s="263"/>
      <c r="HN45" s="272" t="str">
        <f t="shared" ca="1" si="13"/>
        <v xml:space="preserve">ARTICOLO 6
con decorrenza dalla data: 1/1/2002   Fascia: 0-2 anni - C.C.N.L. COMPARTO SCUOLA 2002/05
                              Stipendio annuo lordo                            euro: 0
</v>
      </c>
      <c r="HO45">
        <f t="shared" ca="1" si="72"/>
        <v>6</v>
      </c>
      <c r="HP45" t="str">
        <f t="shared" ca="1" si="73"/>
        <v/>
      </c>
      <c r="HQ45" t="str">
        <f t="shared" ca="1" si="74"/>
        <v/>
      </c>
      <c r="HR45" t="str">
        <f t="shared" ca="1" si="75"/>
        <v/>
      </c>
      <c r="HW45" s="253" t="s">
        <v>187</v>
      </c>
      <c r="HX45" s="112" t="str">
        <f t="shared" si="76"/>
        <v>23/10/1999</v>
      </c>
      <c r="HY45" t="s">
        <v>188</v>
      </c>
      <c r="HZ45" s="112" t="str">
        <f t="shared" si="77"/>
        <v>31/8/2000</v>
      </c>
      <c r="IA45" t="s">
        <v>189</v>
      </c>
      <c r="IB45">
        <f t="shared" si="78"/>
        <v>0</v>
      </c>
      <c r="IC45" t="s">
        <v>192</v>
      </c>
      <c r="ID45">
        <f t="shared" si="79"/>
        <v>10</v>
      </c>
      <c r="IE45" t="s">
        <v>191</v>
      </c>
      <c r="IF45" s="254">
        <f t="shared" si="80"/>
        <v>14</v>
      </c>
      <c r="IK45" t="str">
        <f t="shared" si="14"/>
        <v xml:space="preserve">DAL: 23/10/1999 - AL:31/8/2000 - ANNI:0 - MESI:10 -GIORNI:14
</v>
      </c>
      <c r="JD45" t="str">
        <f>IF(JE45&lt;&gt;"","fascia 3/8 anni in data:","")</f>
        <v/>
      </c>
      <c r="JE45" s="112" t="str">
        <f t="shared" si="116"/>
        <v/>
      </c>
      <c r="JQ45" s="310" t="str">
        <f>CONCATENATE(
,JK60,
,JO60)</f>
        <v xml:space="preserve">
IL PRESENTE PROVVEDIMENTO SARA' INVIATO ALLA RAGIONERIA TERRITORIALE DELLO STATO PER QUANTO DI COMPETENZA
 IL DIRIGENTE SCOLASTICO</v>
      </c>
      <c r="KC45">
        <v>0</v>
      </c>
      <c r="KD45" s="260">
        <f t="shared" si="81"/>
        <v>37257</v>
      </c>
      <c r="KE45" t="str">
        <f t="shared" si="82"/>
        <v>0-2 anni</v>
      </c>
      <c r="KF45">
        <f t="shared" si="15"/>
        <v>6</v>
      </c>
      <c r="KG45" s="238">
        <f t="shared" ca="1" si="16"/>
        <v>87</v>
      </c>
      <c r="KJ45">
        <f t="shared" ca="1" si="83"/>
        <v>0</v>
      </c>
      <c r="KK45">
        <f t="shared" ca="1" si="17"/>
        <v>0</v>
      </c>
      <c r="KL45">
        <f t="shared" ca="1" si="17"/>
        <v>0</v>
      </c>
      <c r="KM45">
        <f t="shared" ca="1" si="17"/>
        <v>0</v>
      </c>
      <c r="KN45">
        <f t="shared" ca="1" si="17"/>
        <v>0</v>
      </c>
      <c r="KU45">
        <f t="shared" ca="1" si="18"/>
        <v>0</v>
      </c>
      <c r="KX45">
        <v>5</v>
      </c>
      <c r="KY45" t="s">
        <v>169</v>
      </c>
      <c r="KZ45" s="254" t="str">
        <f t="shared" si="84"/>
        <v>0-2 anni</v>
      </c>
      <c r="LA45" s="112">
        <f t="shared" si="85"/>
        <v>36456</v>
      </c>
      <c r="LB45" s="112">
        <f t="shared" si="86"/>
        <v>36769</v>
      </c>
      <c r="LC45">
        <f t="shared" ca="1" si="87"/>
        <v>0</v>
      </c>
      <c r="LD45" s="262">
        <f t="shared" ca="1" si="88"/>
        <v>0</v>
      </c>
      <c r="LE45">
        <f t="shared" si="89"/>
        <v>314</v>
      </c>
      <c r="LF45">
        <f t="shared" ca="1" si="90"/>
        <v>0</v>
      </c>
    </row>
    <row r="46" spans="1:322" ht="135" x14ac:dyDescent="0.25">
      <c r="A46" s="112">
        <f t="shared" si="128"/>
        <v>36770</v>
      </c>
      <c r="B46" s="112">
        <f t="shared" si="19"/>
        <v>36892</v>
      </c>
      <c r="E46" s="240">
        <f>Foglio3!F26</f>
        <v>36777</v>
      </c>
      <c r="F46" s="240">
        <f>Foglio3!G26</f>
        <v>36920</v>
      </c>
      <c r="G46" s="244"/>
      <c r="H46" s="245">
        <f t="shared" si="20"/>
        <v>36777</v>
      </c>
      <c r="I46" s="245">
        <f t="shared" si="2"/>
        <v>36920</v>
      </c>
      <c r="J46" s="244"/>
      <c r="K46" s="244"/>
      <c r="Q46">
        <f t="shared" si="3"/>
        <v>144</v>
      </c>
      <c r="R46">
        <f t="shared" si="129"/>
        <v>144</v>
      </c>
      <c r="S46">
        <f t="shared" si="21"/>
        <v>0</v>
      </c>
      <c r="T46">
        <f t="shared" si="117"/>
        <v>4</v>
      </c>
      <c r="U46">
        <f t="shared" si="118"/>
        <v>24</v>
      </c>
      <c r="W46">
        <f t="shared" si="119"/>
        <v>0</v>
      </c>
      <c r="X46">
        <f t="shared" si="120"/>
        <v>19</v>
      </c>
      <c r="Y46">
        <f t="shared" si="121"/>
        <v>96</v>
      </c>
      <c r="AA46" s="112">
        <f t="shared" si="91"/>
        <v>36777</v>
      </c>
      <c r="AB46" s="112">
        <f t="shared" si="92"/>
        <v>36920</v>
      </c>
      <c r="AG46">
        <f t="shared" si="22"/>
        <v>1</v>
      </c>
      <c r="AH46" s="112">
        <f t="shared" si="93"/>
        <v>36777</v>
      </c>
      <c r="AI46" s="112">
        <f t="shared" si="94"/>
        <v>36920</v>
      </c>
      <c r="AJ46">
        <f t="shared" si="23"/>
        <v>1</v>
      </c>
      <c r="AK46">
        <f t="shared" si="95"/>
        <v>0</v>
      </c>
      <c r="AL46">
        <f t="shared" si="122"/>
        <v>0</v>
      </c>
      <c r="AN46">
        <f t="shared" si="123"/>
        <v>0</v>
      </c>
      <c r="AO46">
        <f t="shared" si="124"/>
        <v>0</v>
      </c>
      <c r="AP46">
        <f t="shared" si="96"/>
        <v>0</v>
      </c>
      <c r="AS46">
        <f t="shared" si="130"/>
        <v>0</v>
      </c>
      <c r="AT46">
        <f t="shared" si="131"/>
        <v>0</v>
      </c>
      <c r="AV46">
        <f t="shared" si="132"/>
        <v>0</v>
      </c>
      <c r="AW46">
        <f t="shared" si="133"/>
        <v>0</v>
      </c>
      <c r="AX46">
        <f t="shared" si="97"/>
        <v>0</v>
      </c>
      <c r="BA46">
        <f t="shared" si="125"/>
        <v>0</v>
      </c>
      <c r="BB46">
        <f t="shared" si="126"/>
        <v>0</v>
      </c>
      <c r="BD46">
        <f t="shared" si="135"/>
        <v>0</v>
      </c>
      <c r="BE46">
        <f t="shared" si="136"/>
        <v>0</v>
      </c>
      <c r="BF46">
        <f t="shared" si="127"/>
        <v>0</v>
      </c>
      <c r="BI46">
        <f t="shared" si="137"/>
        <v>0</v>
      </c>
      <c r="BJ46">
        <f t="shared" ref="BJ46:BJ71" si="139">IF(AND(AH46&lt;=AI42,AI46&gt;AI42),1,0)*AJ46</f>
        <v>0</v>
      </c>
      <c r="BK46">
        <f t="shared" ref="BK46:BK71" si="140">(AI46-AH46+1)*BI46</f>
        <v>0</v>
      </c>
      <c r="BL46">
        <f t="shared" ref="BL46:BL71" si="141">(AI42-AH46+1)*BJ46</f>
        <v>0</v>
      </c>
      <c r="BM46">
        <f t="shared" si="134"/>
        <v>0</v>
      </c>
      <c r="BO46">
        <f t="shared" ref="BO46:BO71" si="142">IF(AND(AH46&lt;=AI41,AI46&lt;=AI41),1,0)*AJ46</f>
        <v>0</v>
      </c>
      <c r="BP46">
        <f t="shared" ref="BP46:BP71" si="143">IF(AND(AH46&lt;=AI41,AI46&gt;AI41),1,0)*AJ46</f>
        <v>0</v>
      </c>
      <c r="BR46">
        <f t="shared" ref="BR46:BR71" si="144">(AI46-AH46+1)*BO46</f>
        <v>0</v>
      </c>
      <c r="BS46">
        <f t="shared" ref="BS46:BS71" si="145">(AI41-AH46+1)*BP46</f>
        <v>0</v>
      </c>
      <c r="BT46">
        <f t="shared" si="138"/>
        <v>0</v>
      </c>
      <c r="BV46">
        <f t="shared" si="98"/>
        <v>0</v>
      </c>
      <c r="BX46">
        <f t="shared" si="99"/>
        <v>0</v>
      </c>
      <c r="BY46">
        <f t="shared" si="100"/>
        <v>0</v>
      </c>
      <c r="BZ46">
        <f t="shared" si="101"/>
        <v>0</v>
      </c>
      <c r="CA46">
        <f t="shared" si="102"/>
        <v>0</v>
      </c>
      <c r="CB46">
        <f t="shared" si="103"/>
        <v>0</v>
      </c>
      <c r="CG46">
        <f t="shared" si="24"/>
        <v>2000</v>
      </c>
      <c r="CH46">
        <f t="shared" si="25"/>
        <v>2001</v>
      </c>
      <c r="CJ46">
        <f t="shared" si="26"/>
        <v>0</v>
      </c>
      <c r="CK46">
        <f>IF(AND(CG46&lt;&gt;$CG$38,CH46=$CG$38),F46-$CH$38,0)</f>
        <v>0</v>
      </c>
      <c r="CL46">
        <f t="shared" si="27"/>
        <v>0</v>
      </c>
      <c r="CN46">
        <f t="shared" si="28"/>
        <v>0</v>
      </c>
      <c r="CS46">
        <f t="shared" si="29"/>
        <v>144</v>
      </c>
      <c r="CT46" s="246">
        <f t="shared" si="104"/>
        <v>666</v>
      </c>
      <c r="CU46" s="243">
        <f t="shared" si="30"/>
        <v>666</v>
      </c>
      <c r="CV46" s="112">
        <f t="shared" si="31"/>
        <v>36920</v>
      </c>
      <c r="CX46" s="112">
        <f t="shared" si="32"/>
        <v>100000</v>
      </c>
      <c r="CY46" s="270">
        <f t="shared" si="105"/>
        <v>100000</v>
      </c>
      <c r="CZ46" s="112">
        <f t="shared" si="106"/>
        <v>100000</v>
      </c>
      <c r="DA46" s="112">
        <f t="shared" si="107"/>
        <v>100000</v>
      </c>
      <c r="DB46" s="112">
        <f t="shared" si="108"/>
        <v>100000</v>
      </c>
      <c r="DC46" s="112">
        <f t="shared" si="109"/>
        <v>100000</v>
      </c>
      <c r="DE46" s="247">
        <v>35</v>
      </c>
      <c r="DG46" s="248">
        <f>MIN(DC40:DC117)</f>
        <v>100000</v>
      </c>
      <c r="DJ46" s="238">
        <f ca="1">VLOOKUP(DG46,Foglio1!$AB$31:$AN$284,13)</f>
        <v>261</v>
      </c>
      <c r="DL46">
        <f t="shared" ca="1" si="33"/>
        <v>13285.98</v>
      </c>
      <c r="DO46">
        <v>35</v>
      </c>
      <c r="DP46" s="112" t="str">
        <f t="shared" si="34"/>
        <v/>
      </c>
      <c r="DQ46">
        <f t="shared" si="35"/>
        <v>0</v>
      </c>
      <c r="DR46">
        <v>35</v>
      </c>
      <c r="DU46" s="112"/>
      <c r="DV46" s="112"/>
      <c r="DW46" s="277">
        <v>36770</v>
      </c>
      <c r="DX46" s="276"/>
      <c r="DY46" s="276" t="s">
        <v>220</v>
      </c>
      <c r="DZ46" s="277" t="str">
        <f t="shared" si="110"/>
        <v/>
      </c>
      <c r="EF46" s="260" t="str">
        <f>IF(DW40&gt;=$EJ$39,DW40,"")</f>
        <v/>
      </c>
      <c r="EK46" s="254"/>
      <c r="EL46">
        <v>7</v>
      </c>
      <c r="EM46" s="260">
        <f t="shared" si="111"/>
        <v>37411</v>
      </c>
      <c r="EN46">
        <f t="shared" si="112"/>
        <v>7</v>
      </c>
      <c r="EO46" s="112">
        <f t="shared" si="113"/>
        <v>37411</v>
      </c>
      <c r="EP46" s="112">
        <f t="shared" si="36"/>
        <v>37411</v>
      </c>
      <c r="ER46">
        <v>35</v>
      </c>
      <c r="ES46">
        <v>0</v>
      </c>
      <c r="ET46">
        <f t="shared" si="37"/>
        <v>3</v>
      </c>
      <c r="EU46" s="260">
        <f t="shared" si="38"/>
        <v>37411</v>
      </c>
      <c r="EV46" t="str">
        <f t="shared" si="39"/>
        <v>3-8 anni</v>
      </c>
      <c r="EW46">
        <f t="shared" si="5"/>
        <v>5</v>
      </c>
      <c r="EX46" s="238">
        <f t="shared" ca="1" si="6"/>
        <v>88</v>
      </c>
      <c r="FA46">
        <f t="shared" ca="1" si="40"/>
        <v>0</v>
      </c>
      <c r="FB46">
        <f t="shared" ca="1" si="7"/>
        <v>0</v>
      </c>
      <c r="FC46">
        <f t="shared" ca="1" si="7"/>
        <v>0</v>
      </c>
      <c r="FD46">
        <f t="shared" ca="1" si="41"/>
        <v>0</v>
      </c>
      <c r="FE46">
        <f t="shared" ca="1" si="7"/>
        <v>0</v>
      </c>
      <c r="FG46">
        <f t="shared" ca="1" si="42"/>
        <v>0</v>
      </c>
      <c r="FL46">
        <f t="shared" ca="1" si="8"/>
        <v>0</v>
      </c>
      <c r="FO46">
        <v>6</v>
      </c>
      <c r="FP46" t="s">
        <v>168</v>
      </c>
      <c r="FQ46" s="254" t="str">
        <f t="shared" si="43"/>
        <v>3-8 anni</v>
      </c>
      <c r="FR46">
        <f t="shared" si="114"/>
        <v>46</v>
      </c>
      <c r="FS46" t="str">
        <f t="shared" ca="1" si="44"/>
        <v>ev46</v>
      </c>
      <c r="FT46" t="str">
        <f t="shared" ca="1" si="45"/>
        <v>EU46</v>
      </c>
      <c r="FU46" t="str">
        <f t="shared" ca="1" si="45"/>
        <v>FA46</v>
      </c>
      <c r="FV46" t="str">
        <f t="shared" ca="1" si="46"/>
        <v>FB46</v>
      </c>
      <c r="FW46" t="str">
        <f t="shared" ca="1" si="46"/>
        <v>FC46</v>
      </c>
      <c r="FX46" t="str">
        <f t="shared" ca="1" si="46"/>
        <v>FD46</v>
      </c>
      <c r="FY46" t="str">
        <f t="shared" ca="1" si="46"/>
        <v>FE46</v>
      </c>
      <c r="FZ46" t="str">
        <f t="shared" ca="1" si="46"/>
        <v>FG46</v>
      </c>
      <c r="GA46" t="str">
        <f t="shared" ca="1" si="46"/>
        <v>FL46</v>
      </c>
      <c r="GB46" t="str">
        <f t="shared" ca="1" si="46"/>
        <v/>
      </c>
      <c r="GC46" t="str">
        <f t="shared" ca="1" si="46"/>
        <v/>
      </c>
      <c r="GD46">
        <f t="shared" ca="1" si="115"/>
        <v>7</v>
      </c>
      <c r="GE46" s="112">
        <f t="shared" ca="1" si="47"/>
        <v>37411</v>
      </c>
      <c r="GF46" s="112" t="str">
        <f t="shared" ca="1" si="48"/>
        <v>3-8 anni</v>
      </c>
      <c r="GG46" s="262">
        <f t="shared" ca="1" si="49"/>
        <v>0</v>
      </c>
      <c r="GH46" s="262">
        <f t="shared" ca="1" si="50"/>
        <v>0</v>
      </c>
      <c r="GI46" s="262">
        <f t="shared" ca="1" si="51"/>
        <v>0</v>
      </c>
      <c r="GJ46" s="262">
        <f t="shared" ca="1" si="52"/>
        <v>0</v>
      </c>
      <c r="GK46" s="262">
        <f t="shared" ca="1" si="53"/>
        <v>0</v>
      </c>
      <c r="GL46" s="262">
        <f t="shared" ref="GL46:GL65" ca="1" si="146">IF(FZ46="",0,ROUND(INDIRECT(CONCATENATE(FZ46)),2))</f>
        <v>0</v>
      </c>
      <c r="GM46" s="262">
        <f t="shared" ca="1" si="54"/>
        <v>0</v>
      </c>
      <c r="GN46" s="262">
        <f t="shared" ca="1" si="55"/>
        <v>0</v>
      </c>
      <c r="GO46" s="262">
        <f t="shared" ca="1" si="11"/>
        <v>0</v>
      </c>
      <c r="GQ46" s="263" t="str">
        <f t="shared" ca="1" si="56"/>
        <v>C.C.N.L. COMPARTO SCUOLA 2002/05</v>
      </c>
      <c r="GR46" s="262">
        <f t="shared" ca="1" si="57"/>
        <v>0</v>
      </c>
      <c r="GS46" s="253" t="str">
        <f t="shared" ca="1" si="58"/>
        <v xml:space="preserve">ARTICOLO 7
</v>
      </c>
      <c r="GT46" t="str">
        <f t="shared" ca="1" si="59"/>
        <v xml:space="preserve">con decorrenza dalla data: 4/6/2002  </v>
      </c>
      <c r="GU46" t="str">
        <f t="shared" ca="1" si="60"/>
        <v xml:space="preserve"> Fascia: 3-8 anni - C.C.N.L. COMPARTO SCUOLA 2002/05
</v>
      </c>
      <c r="GV46" t="str">
        <f t="shared" ca="1" si="61"/>
        <v xml:space="preserve">
                              Stipendio annuo lordo                            euro: 0
</v>
      </c>
      <c r="GW46" t="str">
        <f t="shared" ca="1" si="62"/>
        <v/>
      </c>
      <c r="GX46" t="str">
        <f t="shared" ca="1" si="63"/>
        <v/>
      </c>
      <c r="GY46" t="str">
        <f t="shared" ca="1" si="64"/>
        <v/>
      </c>
      <c r="GZ46" t="str">
        <f t="shared" ca="1" si="65"/>
        <v/>
      </c>
      <c r="HA46" t="str">
        <f t="shared" ca="1" si="66"/>
        <v/>
      </c>
      <c r="HB46" t="str">
        <f t="shared" ca="1" si="67"/>
        <v/>
      </c>
      <c r="HC46" t="str">
        <f t="shared" ca="1" si="68"/>
        <v/>
      </c>
      <c r="HD46" s="254" t="str">
        <f t="shared" ca="1" si="69"/>
        <v/>
      </c>
      <c r="HE46" s="254" t="str">
        <f t="shared" ca="1" si="70"/>
        <v/>
      </c>
      <c r="HL46" s="263" t="str">
        <f t="shared" ca="1" si="71"/>
        <v xml:space="preserve">ARTICOLO 7
con decorrenza dalla data: 4/6/2002   Fascia: 3-8 anni - C.C.N.L. COMPARTO SCUOLA 2002/05
                              Stipendio annuo lordo                            euro: 0
</v>
      </c>
      <c r="HM46" s="263"/>
      <c r="HN46" s="272" t="str">
        <f t="shared" ca="1" si="13"/>
        <v xml:space="preserve">ARTICOLO 7
con decorrenza dalla data: 4/6/2002   Fascia: 3-8 anni - C.C.N.L. COMPARTO SCUOLA 2002/05
                              Stipendio annuo lordo                            euro: 0
</v>
      </c>
      <c r="HO46">
        <f t="shared" ca="1" si="72"/>
        <v>7</v>
      </c>
      <c r="HP46" t="str">
        <f t="shared" ca="1" si="73"/>
        <v/>
      </c>
      <c r="HQ46" t="str">
        <f t="shared" ca="1" si="74"/>
        <v/>
      </c>
      <c r="HR46" t="str">
        <f t="shared" ca="1" si="75"/>
        <v/>
      </c>
      <c r="HW46" s="253" t="s">
        <v>187</v>
      </c>
      <c r="HX46" s="112" t="str">
        <f t="shared" si="76"/>
        <v>8/9/2000</v>
      </c>
      <c r="HY46" t="s">
        <v>188</v>
      </c>
      <c r="HZ46" s="112" t="str">
        <f t="shared" si="77"/>
        <v>29/1/2001</v>
      </c>
      <c r="IA46" t="s">
        <v>189</v>
      </c>
      <c r="IB46">
        <f t="shared" si="78"/>
        <v>0</v>
      </c>
      <c r="IC46" t="s">
        <v>192</v>
      </c>
      <c r="ID46">
        <f t="shared" si="79"/>
        <v>4</v>
      </c>
      <c r="IE46" t="s">
        <v>191</v>
      </c>
      <c r="IF46" s="254">
        <f t="shared" si="80"/>
        <v>24</v>
      </c>
      <c r="IK46" t="str">
        <f t="shared" si="14"/>
        <v xml:space="preserve">DAL: 8/9/2000 - AL:29/1/2001 - ANNI:0 - MESI:4 -GIORNI:24
</v>
      </c>
      <c r="JD46" t="str">
        <f>IF(JE46&lt;&gt;"","fascia 3/8 anni in data:","")</f>
        <v/>
      </c>
      <c r="JE46" s="112" t="str">
        <f t="shared" si="116"/>
        <v/>
      </c>
      <c r="JQ46" s="272" t="str">
        <f>Foglio3!DM19</f>
        <v>dal</v>
      </c>
      <c r="JR46" s="272" t="str">
        <f>Foglio3!DN19</f>
        <v>al</v>
      </c>
      <c r="JS46" s="272" t="str">
        <f>Foglio3!DO19</f>
        <v>orario</v>
      </c>
      <c r="JT46" s="272" t="s">
        <v>310</v>
      </c>
      <c r="JU46" s="272" t="str">
        <f>Foglio3!DQ19</f>
        <v>n.giorni</v>
      </c>
      <c r="JV46" s="272" t="s">
        <v>375</v>
      </c>
      <c r="JW46" s="272" t="str">
        <f>Foglio3!DS19</f>
        <v>totale retribuzione che sarebbe spettata ANNUO LORDO</v>
      </c>
      <c r="JX46" s="272" t="str">
        <f>Foglio3!DT19</f>
        <v>totale retribuzione effettivamente percepita ANNUO LORDO</v>
      </c>
      <c r="JY46" s="272" t="str">
        <f>Foglio3!DU19</f>
        <v>DIFFERENZA SPETTANTE IN BASE AL N.DEI GIORNI E ALLE ORE</v>
      </c>
      <c r="JZ46" s="272" t="str">
        <f>Foglio3!DV19</f>
        <v>anzianità che sarebbe spettata</v>
      </c>
      <c r="KC46">
        <v>0</v>
      </c>
      <c r="KD46" s="260" t="str">
        <f t="shared" si="81"/>
        <v/>
      </c>
      <c r="KE46" t="str">
        <f t="shared" si="82"/>
        <v>0-2 anni</v>
      </c>
      <c r="KF46">
        <f t="shared" si="15"/>
        <v>6</v>
      </c>
      <c r="KG46" s="238" t="e">
        <f t="shared" ca="1" si="16"/>
        <v>#N/A</v>
      </c>
      <c r="KJ46" t="e">
        <f t="shared" ca="1" si="83"/>
        <v>#N/A</v>
      </c>
      <c r="KK46">
        <f t="shared" ca="1" si="17"/>
        <v>0</v>
      </c>
      <c r="KL46">
        <f t="shared" ca="1" si="17"/>
        <v>0</v>
      </c>
      <c r="KM46">
        <f t="shared" ca="1" si="17"/>
        <v>0</v>
      </c>
      <c r="KN46">
        <f t="shared" ca="1" si="17"/>
        <v>0</v>
      </c>
      <c r="KU46">
        <f t="shared" ca="1" si="18"/>
        <v>0</v>
      </c>
      <c r="KX46">
        <v>6</v>
      </c>
      <c r="KY46" t="s">
        <v>168</v>
      </c>
      <c r="KZ46" s="254" t="str">
        <f t="shared" si="84"/>
        <v>0-2 anni</v>
      </c>
      <c r="LA46" s="112">
        <f t="shared" si="85"/>
        <v>36777</v>
      </c>
      <c r="LB46" s="112">
        <f t="shared" si="86"/>
        <v>36920</v>
      </c>
      <c r="LC46" t="e">
        <f t="shared" ca="1" si="87"/>
        <v>#N/A</v>
      </c>
      <c r="LD46" s="262">
        <f t="shared" ca="1" si="88"/>
        <v>0</v>
      </c>
      <c r="LE46">
        <f t="shared" si="89"/>
        <v>144</v>
      </c>
      <c r="LF46" t="e">
        <f t="shared" ca="1" si="90"/>
        <v>#N/A</v>
      </c>
    </row>
    <row r="47" spans="1:322" ht="165" x14ac:dyDescent="0.25">
      <c r="A47" s="112">
        <f t="shared" si="128"/>
        <v>36770</v>
      </c>
      <c r="B47" s="112">
        <f t="shared" si="19"/>
        <v>36892</v>
      </c>
      <c r="E47" s="240">
        <f>Foglio3!F27</f>
        <v>36921</v>
      </c>
      <c r="F47" s="240">
        <f>Foglio3!G27</f>
        <v>37072</v>
      </c>
      <c r="G47" s="244"/>
      <c r="H47" s="245">
        <f t="shared" si="20"/>
        <v>36921</v>
      </c>
      <c r="I47" s="245">
        <f t="shared" si="2"/>
        <v>37072</v>
      </c>
      <c r="J47" s="244"/>
      <c r="K47" s="244"/>
      <c r="Q47">
        <f t="shared" si="3"/>
        <v>152</v>
      </c>
      <c r="R47">
        <f t="shared" si="129"/>
        <v>152</v>
      </c>
      <c r="S47">
        <f t="shared" si="21"/>
        <v>0</v>
      </c>
      <c r="T47">
        <f t="shared" si="117"/>
        <v>5</v>
      </c>
      <c r="U47">
        <f t="shared" si="118"/>
        <v>2</v>
      </c>
      <c r="W47">
        <f t="shared" si="119"/>
        <v>0</v>
      </c>
      <c r="X47">
        <f t="shared" si="120"/>
        <v>24</v>
      </c>
      <c r="Y47">
        <f t="shared" si="121"/>
        <v>98</v>
      </c>
      <c r="AA47" s="112">
        <f t="shared" si="91"/>
        <v>36921</v>
      </c>
      <c r="AB47" s="112">
        <f t="shared" si="92"/>
        <v>37072</v>
      </c>
      <c r="AG47">
        <f t="shared" si="22"/>
        <v>1</v>
      </c>
      <c r="AH47" s="112">
        <f t="shared" si="93"/>
        <v>36921</v>
      </c>
      <c r="AI47" s="112">
        <f t="shared" si="94"/>
        <v>37072</v>
      </c>
      <c r="AJ47">
        <f t="shared" si="23"/>
        <v>1</v>
      </c>
      <c r="AK47">
        <f t="shared" si="95"/>
        <v>0</v>
      </c>
      <c r="AL47">
        <f t="shared" si="122"/>
        <v>0</v>
      </c>
      <c r="AN47">
        <f t="shared" si="123"/>
        <v>0</v>
      </c>
      <c r="AO47">
        <f t="shared" si="124"/>
        <v>0</v>
      </c>
      <c r="AP47">
        <f t="shared" si="96"/>
        <v>0</v>
      </c>
      <c r="AS47">
        <f t="shared" si="130"/>
        <v>0</v>
      </c>
      <c r="AT47">
        <f t="shared" si="131"/>
        <v>0</v>
      </c>
      <c r="AV47">
        <f t="shared" si="132"/>
        <v>0</v>
      </c>
      <c r="AW47">
        <f t="shared" si="133"/>
        <v>0</v>
      </c>
      <c r="AX47">
        <f t="shared" si="97"/>
        <v>0</v>
      </c>
      <c r="BA47">
        <f t="shared" si="125"/>
        <v>0</v>
      </c>
      <c r="BB47">
        <f t="shared" si="126"/>
        <v>0</v>
      </c>
      <c r="BD47">
        <f t="shared" si="135"/>
        <v>0</v>
      </c>
      <c r="BE47">
        <f t="shared" si="136"/>
        <v>0</v>
      </c>
      <c r="BF47">
        <f t="shared" si="127"/>
        <v>0</v>
      </c>
      <c r="BI47">
        <f t="shared" si="137"/>
        <v>0</v>
      </c>
      <c r="BJ47">
        <f t="shared" si="139"/>
        <v>0</v>
      </c>
      <c r="BK47">
        <f t="shared" si="140"/>
        <v>0</v>
      </c>
      <c r="BL47">
        <f t="shared" si="141"/>
        <v>0</v>
      </c>
      <c r="BM47">
        <f t="shared" si="134"/>
        <v>0</v>
      </c>
      <c r="BO47">
        <f t="shared" si="142"/>
        <v>0</v>
      </c>
      <c r="BP47">
        <f t="shared" si="143"/>
        <v>0</v>
      </c>
      <c r="BR47">
        <f t="shared" si="144"/>
        <v>0</v>
      </c>
      <c r="BS47">
        <f t="shared" si="145"/>
        <v>0</v>
      </c>
      <c r="BT47">
        <f t="shared" si="138"/>
        <v>0</v>
      </c>
      <c r="BV47">
        <f t="shared" si="98"/>
        <v>0</v>
      </c>
      <c r="BX47">
        <f t="shared" si="99"/>
        <v>0</v>
      </c>
      <c r="BY47">
        <f t="shared" si="100"/>
        <v>0</v>
      </c>
      <c r="BZ47">
        <f t="shared" si="101"/>
        <v>0</v>
      </c>
      <c r="CA47">
        <f t="shared" si="102"/>
        <v>0</v>
      </c>
      <c r="CB47">
        <f t="shared" si="103"/>
        <v>0</v>
      </c>
      <c r="CG47">
        <f t="shared" si="24"/>
        <v>2001</v>
      </c>
      <c r="CH47">
        <f t="shared" si="25"/>
        <v>2001</v>
      </c>
      <c r="CJ47">
        <f t="shared" si="26"/>
        <v>0</v>
      </c>
      <c r="CK47">
        <f t="shared" ref="CK47:CK75" si="147">IF(AND(CG47&lt;&gt;$CG$38,CH47=$CG$38),F47-$CH$38,0)</f>
        <v>0</v>
      </c>
      <c r="CL47">
        <f t="shared" si="27"/>
        <v>0</v>
      </c>
      <c r="CN47">
        <f t="shared" si="28"/>
        <v>0</v>
      </c>
      <c r="CS47">
        <f t="shared" si="29"/>
        <v>152</v>
      </c>
      <c r="CT47" s="246">
        <f t="shared" si="104"/>
        <v>818</v>
      </c>
      <c r="CU47" s="243">
        <f t="shared" si="30"/>
        <v>818</v>
      </c>
      <c r="CV47" s="112">
        <f t="shared" si="31"/>
        <v>37072</v>
      </c>
      <c r="CX47" s="112">
        <f t="shared" si="32"/>
        <v>100000</v>
      </c>
      <c r="CY47" s="270">
        <f t="shared" si="105"/>
        <v>100000</v>
      </c>
      <c r="CZ47" s="112">
        <f t="shared" si="106"/>
        <v>100000</v>
      </c>
      <c r="DA47" s="112">
        <f t="shared" si="107"/>
        <v>100000</v>
      </c>
      <c r="DB47" s="112">
        <f t="shared" si="108"/>
        <v>100000</v>
      </c>
      <c r="DC47" s="112">
        <f t="shared" si="109"/>
        <v>100000</v>
      </c>
      <c r="DU47" s="112"/>
      <c r="DV47" s="112"/>
      <c r="DW47" s="277">
        <v>36892</v>
      </c>
      <c r="DX47" s="276"/>
      <c r="DY47" s="276" t="s">
        <v>221</v>
      </c>
      <c r="DZ47" s="277" t="str">
        <f t="shared" si="110"/>
        <v/>
      </c>
      <c r="EF47" s="260" t="str">
        <f t="shared" ref="EF47:EF84" si="148">IF(DW41&gt;=$EJ$39,DW41,"")</f>
        <v/>
      </c>
      <c r="EK47" s="254"/>
      <c r="EL47">
        <v>8</v>
      </c>
      <c r="EM47" s="260">
        <f t="shared" si="111"/>
        <v>37411</v>
      </c>
      <c r="EN47">
        <f t="shared" si="112"/>
        <v>9</v>
      </c>
      <c r="EO47" s="112">
        <f t="shared" si="113"/>
        <v>37622</v>
      </c>
      <c r="EP47" s="112">
        <f t="shared" si="36"/>
        <v>37622</v>
      </c>
      <c r="ET47">
        <f t="shared" si="37"/>
        <v>3</v>
      </c>
      <c r="EU47" s="260">
        <f t="shared" si="38"/>
        <v>37622</v>
      </c>
      <c r="EV47" t="str">
        <f t="shared" si="39"/>
        <v>3-8 anni</v>
      </c>
      <c r="EW47">
        <f t="shared" si="5"/>
        <v>5</v>
      </c>
      <c r="EX47" s="238">
        <f t="shared" ca="1" si="6"/>
        <v>95</v>
      </c>
      <c r="FA47">
        <f t="shared" ca="1" si="40"/>
        <v>17154.75</v>
      </c>
      <c r="FB47">
        <f t="shared" ca="1" si="7"/>
        <v>0</v>
      </c>
      <c r="FC47">
        <f t="shared" ca="1" si="7"/>
        <v>0</v>
      </c>
      <c r="FD47">
        <f t="shared" ca="1" si="41"/>
        <v>0</v>
      </c>
      <c r="FE47">
        <f t="shared" ca="1" si="7"/>
        <v>0</v>
      </c>
      <c r="FG47">
        <f t="shared" ca="1" si="42"/>
        <v>0</v>
      </c>
      <c r="FL47">
        <f t="shared" ca="1" si="8"/>
        <v>1710.6</v>
      </c>
      <c r="FQ47" s="254" t="str">
        <f t="shared" si="43"/>
        <v>3-8 anni</v>
      </c>
      <c r="FR47">
        <f t="shared" si="114"/>
        <v>47</v>
      </c>
      <c r="FS47" t="str">
        <f t="shared" ca="1" si="44"/>
        <v>ev47</v>
      </c>
      <c r="FT47" t="str">
        <f t="shared" ca="1" si="45"/>
        <v>EU47</v>
      </c>
      <c r="FU47" t="str">
        <f t="shared" ca="1" si="45"/>
        <v>FA47</v>
      </c>
      <c r="FV47" t="str">
        <f t="shared" ca="1" si="46"/>
        <v>FB47</v>
      </c>
      <c r="FW47" t="str">
        <f t="shared" ca="1" si="46"/>
        <v>FC47</v>
      </c>
      <c r="FX47" t="str">
        <f t="shared" ca="1" si="46"/>
        <v>FD47</v>
      </c>
      <c r="FY47" t="str">
        <f t="shared" ca="1" si="46"/>
        <v>FE47</v>
      </c>
      <c r="FZ47" t="str">
        <f t="shared" ca="1" si="46"/>
        <v>FG47</v>
      </c>
      <c r="GA47" t="str">
        <f t="shared" ca="1" si="46"/>
        <v>FL47</v>
      </c>
      <c r="GB47" t="str">
        <f t="shared" ca="1" si="46"/>
        <v/>
      </c>
      <c r="GC47" t="str">
        <f t="shared" ca="1" si="46"/>
        <v/>
      </c>
      <c r="GD47">
        <f t="shared" ca="1" si="115"/>
        <v>8</v>
      </c>
      <c r="GE47" s="112">
        <f t="shared" ca="1" si="47"/>
        <v>37622</v>
      </c>
      <c r="GF47" s="112" t="str">
        <f t="shared" ca="1" si="48"/>
        <v>3-8 anni</v>
      </c>
      <c r="GG47" s="262">
        <f t="shared" ca="1" si="49"/>
        <v>17154.75</v>
      </c>
      <c r="GH47" s="262">
        <f t="shared" ca="1" si="50"/>
        <v>0</v>
      </c>
      <c r="GI47" s="262">
        <f t="shared" ca="1" si="51"/>
        <v>0</v>
      </c>
      <c r="GJ47" s="262">
        <f t="shared" ca="1" si="52"/>
        <v>0</v>
      </c>
      <c r="GK47" s="262">
        <f t="shared" ca="1" si="53"/>
        <v>0</v>
      </c>
      <c r="GL47" s="262">
        <f t="shared" ca="1" si="146"/>
        <v>0</v>
      </c>
      <c r="GM47" s="262">
        <f t="shared" ca="1" si="54"/>
        <v>1710.6</v>
      </c>
      <c r="GN47" s="262">
        <f t="shared" ca="1" si="55"/>
        <v>0</v>
      </c>
      <c r="GO47" s="262">
        <f t="shared" ca="1" si="11"/>
        <v>0</v>
      </c>
      <c r="GQ47" s="263" t="str">
        <f t="shared" ca="1" si="56"/>
        <v>C.C.N.L. COMPARTO SCUOLA 2002/05</v>
      </c>
      <c r="GR47" s="262">
        <f t="shared" ca="1" si="57"/>
        <v>18865.349999999999</v>
      </c>
      <c r="GS47" s="253" t="str">
        <f t="shared" ca="1" si="58"/>
        <v xml:space="preserve">ARTICOLO 8
</v>
      </c>
      <c r="GT47" t="str">
        <f t="shared" ca="1" si="59"/>
        <v xml:space="preserve">con decorrenza dalla data: 1/1/2003  </v>
      </c>
      <c r="GU47" t="str">
        <f t="shared" ca="1" si="60"/>
        <v xml:space="preserve"> Fascia: 3-8 anni - C.C.N.L. COMPARTO SCUOLA 2002/05
</v>
      </c>
      <c r="GV47" t="str">
        <f t="shared" ca="1" si="61"/>
        <v xml:space="preserve">
                              Stipendio annuo lordo                            euro: 17154,75
</v>
      </c>
      <c r="GW47" t="str">
        <f t="shared" ca="1" si="62"/>
        <v/>
      </c>
      <c r="GX47" t="str">
        <f t="shared" ca="1" si="63"/>
        <v/>
      </c>
      <c r="GY47" t="str">
        <f t="shared" ca="1" si="64"/>
        <v/>
      </c>
      <c r="GZ47" t="str">
        <f t="shared" ca="1" si="65"/>
        <v/>
      </c>
      <c r="HA47" t="str">
        <f t="shared" ca="1" si="66"/>
        <v/>
      </c>
      <c r="HB47" t="str">
        <f t="shared" ca="1" si="67"/>
        <v xml:space="preserve">                                rpd/cia - annuo lordo                             euro: 1710,6
</v>
      </c>
      <c r="HC47" t="str">
        <f t="shared" ca="1" si="68"/>
        <v/>
      </c>
      <c r="HD47" s="254" t="str">
        <f t="shared" ca="1" si="69"/>
        <v/>
      </c>
      <c r="HE47" s="254" t="str">
        <f t="shared" ca="1" si="70"/>
        <v xml:space="preserve">
TOTALE ANNUO LORDO EURO 18865,35
</v>
      </c>
      <c r="HL47" s="263" t="str">
        <f t="shared" ca="1" si="71"/>
        <v xml:space="preserve">ARTICOLO 8
con decorrenza dalla data: 1/1/2003   Fascia: 3-8 anni - C.C.N.L. COMPARTO SCUOLA 2002/05
                              Stipendio annuo lordo                            euro: 17154,75
                                rpd/cia - annuo lordo                             euro: 1710,6
TOTALE ANNUO LORDO EURO 18865,35
</v>
      </c>
      <c r="HM47" s="263"/>
      <c r="HN47" s="272" t="str">
        <f t="shared" ca="1" si="13"/>
        <v xml:space="preserve">ARTICOLO 8
con decorrenza dalla data: 1/1/2003   Fascia: 3-8 anni - C.C.N.L. COMPARTO SCUOLA 2002/05
                              Stipendio annuo lordo                            euro: 17154,75
                                rpd/cia - annuo lordo                             euro: 1710,6
TOTALE ANNUO LORDO EURO 18865,35
</v>
      </c>
      <c r="HO47">
        <f t="shared" ca="1" si="72"/>
        <v>8</v>
      </c>
      <c r="HP47" t="str">
        <f t="shared" ca="1" si="73"/>
        <v/>
      </c>
      <c r="HQ47" t="str">
        <f t="shared" ca="1" si="74"/>
        <v/>
      </c>
      <c r="HR47" t="str">
        <f t="shared" ca="1" si="75"/>
        <v/>
      </c>
      <c r="HW47" s="253" t="s">
        <v>187</v>
      </c>
      <c r="HX47" s="112" t="str">
        <f t="shared" si="76"/>
        <v>30/1/2001</v>
      </c>
      <c r="HY47" t="s">
        <v>188</v>
      </c>
      <c r="HZ47" s="112" t="str">
        <f t="shared" si="77"/>
        <v>30/6/2001</v>
      </c>
      <c r="IA47" t="s">
        <v>189</v>
      </c>
      <c r="IB47">
        <f t="shared" si="78"/>
        <v>0</v>
      </c>
      <c r="IC47" t="s">
        <v>192</v>
      </c>
      <c r="ID47">
        <f t="shared" si="79"/>
        <v>5</v>
      </c>
      <c r="IE47" t="s">
        <v>191</v>
      </c>
      <c r="IF47" s="254">
        <f t="shared" si="80"/>
        <v>2</v>
      </c>
      <c r="IK47" t="str">
        <f t="shared" si="14"/>
        <v xml:space="preserve">DAL: 30/1/2001 - AL:30/6/2001 - ANNI:0 - MESI:5 -GIORNI:2
</v>
      </c>
      <c r="JE47" s="112" t="str">
        <f t="shared" si="116"/>
        <v/>
      </c>
      <c r="JP47">
        <f ca="1">IF(Foglio3!DM20=100000,0,IF(Foglio3!DM20="",0,1))</f>
        <v>1</v>
      </c>
      <c r="JQ47" s="314">
        <f ca="1" xml:space="preserve">   IF(JP47=1,     Foglio3!DM20,IF(JP47=0,IF(JP46=1,$JK$55,"")))</f>
        <v>36138</v>
      </c>
      <c r="JR47" s="314">
        <f ca="1">IF(          Foglio3!DN20=100000,"",Foglio3!DN20)</f>
        <v>36280</v>
      </c>
      <c r="JS47" s="272">
        <f ca="1">IF(Foglio3!DN20=100000,"",Foglio3!DO20)</f>
        <v>9</v>
      </c>
      <c r="JT47" s="272">
        <f ca="1">IF(Foglio3!DN20=100000,"",Foglio3!DP20)</f>
        <v>24</v>
      </c>
      <c r="JU47" s="272">
        <f ca="1">IF(Foglio3!DN20=100000,"",Foglio3!DQ20)</f>
        <v>143</v>
      </c>
      <c r="JV47" s="272">
        <f ca="1">IF(JU47="","",Foglio3!DR20)</f>
        <v>0</v>
      </c>
      <c r="JW47" s="272">
        <f ca="1">IF(Foglio3!DN20=100000,"",Foglio3!DS20)</f>
        <v>0</v>
      </c>
      <c r="JX47" s="272">
        <f ca="1">IF(Foglio3!DN20=100000,"",Foglio3!DT20)</f>
        <v>0</v>
      </c>
      <c r="JY47" s="272">
        <f ca="1">IF(Foglio3!DN20=100000,"",Foglio3!DU20)</f>
        <v>0</v>
      </c>
      <c r="JZ47" s="272" t="str">
        <f ca="1">IF(Foglio3!DN20=100000,"",Foglio3!DV20)</f>
        <v>0/2 anni</v>
      </c>
      <c r="KC47">
        <v>0</v>
      </c>
      <c r="KD47" s="260">
        <f t="shared" ca="1" si="81"/>
        <v>37622</v>
      </c>
      <c r="KE47" t="str">
        <f t="shared" si="82"/>
        <v>0-2 anni</v>
      </c>
      <c r="KF47">
        <f t="shared" si="15"/>
        <v>6</v>
      </c>
      <c r="KG47" s="238">
        <f t="shared" ca="1" si="16"/>
        <v>94</v>
      </c>
      <c r="KJ47">
        <f t="shared" ca="1" si="83"/>
        <v>10319.39</v>
      </c>
      <c r="KK47">
        <f t="shared" ca="1" si="17"/>
        <v>0</v>
      </c>
      <c r="KL47">
        <f t="shared" ca="1" si="17"/>
        <v>0</v>
      </c>
      <c r="KM47">
        <f t="shared" ca="1" si="17"/>
        <v>6384.11</v>
      </c>
      <c r="KN47">
        <f t="shared" ca="1" si="17"/>
        <v>0</v>
      </c>
      <c r="KU47">
        <f t="shared" ca="1" si="18"/>
        <v>1710.6</v>
      </c>
      <c r="KZ47" s="254" t="str">
        <f t="shared" si="84"/>
        <v>0-2 anni</v>
      </c>
      <c r="LA47" s="112">
        <f t="shared" si="85"/>
        <v>36921</v>
      </c>
      <c r="LB47" s="112">
        <f t="shared" si="86"/>
        <v>37072</v>
      </c>
      <c r="LC47">
        <f t="shared" ca="1" si="87"/>
        <v>18414.099999999999</v>
      </c>
      <c r="LD47" s="262">
        <f t="shared" ca="1" si="88"/>
        <v>18865.349999999999</v>
      </c>
      <c r="LE47">
        <f t="shared" si="89"/>
        <v>152</v>
      </c>
      <c r="LF47">
        <f t="shared" ca="1" si="90"/>
        <v>187.92</v>
      </c>
    </row>
    <row r="48" spans="1:322" ht="126.6" customHeight="1" x14ac:dyDescent="0.25">
      <c r="A48" s="112">
        <f t="shared" si="128"/>
        <v>36892</v>
      </c>
      <c r="B48" s="112">
        <f t="shared" si="19"/>
        <v>37257</v>
      </c>
      <c r="E48" s="240">
        <f>Foglio3!F28</f>
        <v>37135</v>
      </c>
      <c r="F48" s="240">
        <f>Foglio3!G28</f>
        <v>37437</v>
      </c>
      <c r="G48" s="244"/>
      <c r="H48" s="245">
        <f t="shared" si="20"/>
        <v>37135</v>
      </c>
      <c r="I48" s="245">
        <f t="shared" si="2"/>
        <v>37437</v>
      </c>
      <c r="J48" s="244"/>
      <c r="K48" s="244"/>
      <c r="Q48">
        <f t="shared" si="3"/>
        <v>303</v>
      </c>
      <c r="R48">
        <f t="shared" si="129"/>
        <v>303</v>
      </c>
      <c r="S48">
        <f t="shared" si="21"/>
        <v>0</v>
      </c>
      <c r="T48">
        <f t="shared" si="117"/>
        <v>10</v>
      </c>
      <c r="U48">
        <f t="shared" si="118"/>
        <v>3</v>
      </c>
      <c r="W48">
        <f t="shared" si="119"/>
        <v>0</v>
      </c>
      <c r="X48">
        <f t="shared" si="120"/>
        <v>34</v>
      </c>
      <c r="Y48">
        <f t="shared" si="121"/>
        <v>101</v>
      </c>
      <c r="AA48" s="112">
        <f t="shared" si="91"/>
        <v>37135</v>
      </c>
      <c r="AB48" s="112">
        <f t="shared" si="92"/>
        <v>37437</v>
      </c>
      <c r="AG48">
        <f t="shared" si="22"/>
        <v>1</v>
      </c>
      <c r="AH48" s="112">
        <f t="shared" si="93"/>
        <v>37135</v>
      </c>
      <c r="AI48" s="112">
        <f t="shared" si="94"/>
        <v>37437</v>
      </c>
      <c r="AJ48">
        <f t="shared" si="23"/>
        <v>1</v>
      </c>
      <c r="AK48">
        <f t="shared" si="95"/>
        <v>0</v>
      </c>
      <c r="AL48">
        <f t="shared" si="122"/>
        <v>0</v>
      </c>
      <c r="AN48">
        <f t="shared" si="123"/>
        <v>0</v>
      </c>
      <c r="AO48">
        <f t="shared" si="124"/>
        <v>0</v>
      </c>
      <c r="AP48">
        <f t="shared" si="96"/>
        <v>0</v>
      </c>
      <c r="AS48">
        <f t="shared" si="130"/>
        <v>0</v>
      </c>
      <c r="AT48">
        <f t="shared" si="131"/>
        <v>0</v>
      </c>
      <c r="AV48">
        <f t="shared" si="132"/>
        <v>0</v>
      </c>
      <c r="AW48">
        <f t="shared" si="133"/>
        <v>0</v>
      </c>
      <c r="AX48">
        <f t="shared" si="97"/>
        <v>0</v>
      </c>
      <c r="BA48">
        <f t="shared" si="125"/>
        <v>0</v>
      </c>
      <c r="BB48">
        <f t="shared" si="126"/>
        <v>0</v>
      </c>
      <c r="BD48">
        <f t="shared" si="135"/>
        <v>0</v>
      </c>
      <c r="BE48">
        <f t="shared" si="136"/>
        <v>0</v>
      </c>
      <c r="BF48">
        <f t="shared" si="127"/>
        <v>0</v>
      </c>
      <c r="BI48">
        <f t="shared" si="137"/>
        <v>0</v>
      </c>
      <c r="BJ48">
        <f t="shared" si="139"/>
        <v>0</v>
      </c>
      <c r="BK48">
        <f t="shared" si="140"/>
        <v>0</v>
      </c>
      <c r="BL48">
        <f t="shared" si="141"/>
        <v>0</v>
      </c>
      <c r="BM48">
        <f t="shared" si="134"/>
        <v>0</v>
      </c>
      <c r="BO48">
        <f t="shared" si="142"/>
        <v>0</v>
      </c>
      <c r="BP48">
        <f t="shared" si="143"/>
        <v>0</v>
      </c>
      <c r="BR48">
        <f t="shared" si="144"/>
        <v>0</v>
      </c>
      <c r="BS48">
        <f t="shared" si="145"/>
        <v>0</v>
      </c>
      <c r="BT48">
        <f t="shared" si="138"/>
        <v>0</v>
      </c>
      <c r="BV48">
        <f t="shared" si="98"/>
        <v>0</v>
      </c>
      <c r="BX48">
        <f t="shared" si="99"/>
        <v>0</v>
      </c>
      <c r="BY48">
        <f t="shared" si="100"/>
        <v>0</v>
      </c>
      <c r="BZ48">
        <f t="shared" si="101"/>
        <v>0</v>
      </c>
      <c r="CA48">
        <f t="shared" si="102"/>
        <v>0</v>
      </c>
      <c r="CB48">
        <f t="shared" si="103"/>
        <v>0</v>
      </c>
      <c r="CG48">
        <f t="shared" si="24"/>
        <v>2001</v>
      </c>
      <c r="CH48">
        <f t="shared" si="25"/>
        <v>2002</v>
      </c>
      <c r="CJ48">
        <f t="shared" si="26"/>
        <v>0</v>
      </c>
      <c r="CK48">
        <f t="shared" si="147"/>
        <v>0</v>
      </c>
      <c r="CL48">
        <f t="shared" si="27"/>
        <v>0</v>
      </c>
      <c r="CN48">
        <f t="shared" si="28"/>
        <v>0</v>
      </c>
      <c r="CS48">
        <f t="shared" si="29"/>
        <v>303</v>
      </c>
      <c r="CT48" s="246">
        <f t="shared" si="104"/>
        <v>1121</v>
      </c>
      <c r="CU48" s="243">
        <f t="shared" si="30"/>
        <v>1121</v>
      </c>
      <c r="CV48" s="112">
        <f t="shared" si="31"/>
        <v>37437</v>
      </c>
      <c r="CX48" s="112">
        <f t="shared" si="32"/>
        <v>37411</v>
      </c>
      <c r="CY48" s="270">
        <f t="shared" si="105"/>
        <v>100000</v>
      </c>
      <c r="CZ48" s="112">
        <f t="shared" si="106"/>
        <v>100000</v>
      </c>
      <c r="DA48" s="112">
        <f t="shared" si="107"/>
        <v>100000</v>
      </c>
      <c r="DB48" s="112">
        <f t="shared" si="108"/>
        <v>100000</v>
      </c>
      <c r="DC48" s="112">
        <f t="shared" si="109"/>
        <v>100000</v>
      </c>
      <c r="DU48" s="112"/>
      <c r="DV48" s="112"/>
      <c r="DW48" s="277">
        <v>37257</v>
      </c>
      <c r="DX48" s="276"/>
      <c r="DY48" s="276"/>
      <c r="DZ48" s="276"/>
      <c r="EF48" s="260" t="str">
        <f t="shared" si="148"/>
        <v/>
      </c>
      <c r="EK48" s="254"/>
      <c r="EL48">
        <v>9</v>
      </c>
      <c r="EM48" s="260">
        <f t="shared" si="111"/>
        <v>37622</v>
      </c>
      <c r="EN48">
        <f t="shared" si="112"/>
        <v>10</v>
      </c>
      <c r="EO48" s="112">
        <f t="shared" si="113"/>
        <v>37987</v>
      </c>
      <c r="EP48" s="112">
        <f t="shared" si="36"/>
        <v>37987</v>
      </c>
      <c r="ET48">
        <f t="shared" si="37"/>
        <v>3</v>
      </c>
      <c r="EU48" s="260">
        <f t="shared" si="38"/>
        <v>37987</v>
      </c>
      <c r="EV48" t="str">
        <f t="shared" si="39"/>
        <v>3-8 anni</v>
      </c>
      <c r="EW48">
        <f t="shared" si="5"/>
        <v>5</v>
      </c>
      <c r="EX48" s="238">
        <f t="shared" ca="1" si="6"/>
        <v>102</v>
      </c>
      <c r="FA48">
        <f t="shared" ca="1" si="40"/>
        <v>17569.349999999999</v>
      </c>
      <c r="FB48">
        <f t="shared" ca="1" si="7"/>
        <v>0</v>
      </c>
      <c r="FC48">
        <f t="shared" ca="1" si="7"/>
        <v>0</v>
      </c>
      <c r="FD48">
        <f t="shared" ca="1" si="41"/>
        <v>0</v>
      </c>
      <c r="FE48">
        <f t="shared" ca="1" si="7"/>
        <v>0</v>
      </c>
      <c r="FG48">
        <f t="shared" ca="1" si="42"/>
        <v>0</v>
      </c>
      <c r="FL48">
        <f t="shared" ca="1" si="8"/>
        <v>1857.84</v>
      </c>
      <c r="FQ48" s="254" t="str">
        <f t="shared" si="43"/>
        <v>3-8 anni</v>
      </c>
      <c r="FR48">
        <f t="shared" si="114"/>
        <v>48</v>
      </c>
      <c r="FS48" t="str">
        <f t="shared" ca="1" si="44"/>
        <v>ev48</v>
      </c>
      <c r="FT48" t="str">
        <f t="shared" ca="1" si="45"/>
        <v>EU48</v>
      </c>
      <c r="FU48" t="str">
        <f t="shared" ca="1" si="45"/>
        <v>FA48</v>
      </c>
      <c r="FV48" t="str">
        <f t="shared" ca="1" si="46"/>
        <v>FB48</v>
      </c>
      <c r="FW48" t="str">
        <f t="shared" ca="1" si="46"/>
        <v>FC48</v>
      </c>
      <c r="FX48" t="str">
        <f t="shared" ca="1" si="46"/>
        <v>FD48</v>
      </c>
      <c r="FY48" t="str">
        <f t="shared" ca="1" si="46"/>
        <v>FE48</v>
      </c>
      <c r="FZ48" t="str">
        <f t="shared" ca="1" si="46"/>
        <v>FG48</v>
      </c>
      <c r="GA48" t="str">
        <f t="shared" ca="1" si="46"/>
        <v>FL48</v>
      </c>
      <c r="GB48" t="str">
        <f t="shared" ca="1" si="46"/>
        <v/>
      </c>
      <c r="GC48" t="str">
        <f t="shared" ca="1" si="46"/>
        <v/>
      </c>
      <c r="GD48">
        <f t="shared" ca="1" si="115"/>
        <v>9</v>
      </c>
      <c r="GE48" s="112">
        <f t="shared" ca="1" si="47"/>
        <v>37987</v>
      </c>
      <c r="GF48" s="112" t="str">
        <f t="shared" ca="1" si="48"/>
        <v>3-8 anni</v>
      </c>
      <c r="GG48" s="262">
        <f t="shared" ca="1" si="49"/>
        <v>17569.349999999999</v>
      </c>
      <c r="GH48" s="262">
        <f t="shared" ca="1" si="50"/>
        <v>0</v>
      </c>
      <c r="GI48" s="262">
        <f t="shared" ca="1" si="51"/>
        <v>0</v>
      </c>
      <c r="GJ48" s="262">
        <f t="shared" ca="1" si="52"/>
        <v>0</v>
      </c>
      <c r="GK48" s="262">
        <f t="shared" ca="1" si="53"/>
        <v>0</v>
      </c>
      <c r="GL48" s="262">
        <f t="shared" ca="1" si="146"/>
        <v>0</v>
      </c>
      <c r="GM48" s="262">
        <f t="shared" ca="1" si="54"/>
        <v>1857.84</v>
      </c>
      <c r="GN48" s="262">
        <f t="shared" ca="1" si="55"/>
        <v>0</v>
      </c>
      <c r="GO48" s="262">
        <f t="shared" ca="1" si="11"/>
        <v>0</v>
      </c>
      <c r="GQ48" s="263" t="str">
        <f t="shared" ca="1" si="56"/>
        <v>C.C.N.L. COMPARTO SCUOLA 2002/05</v>
      </c>
      <c r="GR48" s="262">
        <f t="shared" ca="1" si="57"/>
        <v>19427.189999999999</v>
      </c>
      <c r="GS48" s="253" t="str">
        <f t="shared" ca="1" si="58"/>
        <v xml:space="preserve">ARTICOLO 9
</v>
      </c>
      <c r="GT48" t="str">
        <f t="shared" ca="1" si="59"/>
        <v xml:space="preserve">con decorrenza dalla data: 1/1/2004  </v>
      </c>
      <c r="GU48" t="str">
        <f t="shared" ca="1" si="60"/>
        <v xml:space="preserve"> Fascia: 3-8 anni - C.C.N.L. COMPARTO SCUOLA 2002/05
</v>
      </c>
      <c r="GV48" t="str">
        <f t="shared" ca="1" si="61"/>
        <v xml:space="preserve">
                              Stipendio annuo lordo                            euro: 17569,35
</v>
      </c>
      <c r="GW48" t="str">
        <f t="shared" ca="1" si="62"/>
        <v/>
      </c>
      <c r="GX48" t="str">
        <f t="shared" ca="1" si="63"/>
        <v/>
      </c>
      <c r="GY48" t="str">
        <f t="shared" ca="1" si="64"/>
        <v/>
      </c>
      <c r="GZ48" t="str">
        <f t="shared" ca="1" si="65"/>
        <v/>
      </c>
      <c r="HA48" t="str">
        <f t="shared" ca="1" si="66"/>
        <v/>
      </c>
      <c r="HB48" t="str">
        <f t="shared" ca="1" si="67"/>
        <v xml:space="preserve">                                rpd/cia - annuo lordo                             euro: 1857,84
</v>
      </c>
      <c r="HC48" t="str">
        <f t="shared" ca="1" si="68"/>
        <v/>
      </c>
      <c r="HD48" s="254" t="str">
        <f t="shared" ca="1" si="69"/>
        <v/>
      </c>
      <c r="HE48" s="254" t="str">
        <f t="shared" ca="1" si="70"/>
        <v xml:space="preserve">
TOTALE ANNUO LORDO EURO 19427,19
</v>
      </c>
      <c r="HL48" s="263" t="str">
        <f t="shared" ca="1" si="71"/>
        <v xml:space="preserve">ARTICOLO 9
con decorrenza dalla data: 1/1/2004   Fascia: 3-8 anni - C.C.N.L. COMPARTO SCUOLA 2002/05
                              Stipendio annuo lordo                            euro: 17569,35
                                rpd/cia - annuo lordo                             euro: 1857,84
TOTALE ANNUO LORDO EURO 19427,19
</v>
      </c>
      <c r="HM48" s="263"/>
      <c r="HN48" s="272" t="str">
        <f t="shared" ca="1" si="13"/>
        <v xml:space="preserve">ARTICOLO 9
con decorrenza dalla data: 1/1/2004   Fascia: 3-8 anni - C.C.N.L. COMPARTO SCUOLA 2002/05
                              Stipendio annuo lordo                            euro: 17569,35
                                rpd/cia - annuo lordo                             euro: 1857,84
TOTALE ANNUO LORDO EURO 19427,19
</v>
      </c>
      <c r="HO48">
        <f t="shared" ca="1" si="72"/>
        <v>9</v>
      </c>
      <c r="HP48" t="str">
        <f t="shared" ca="1" si="73"/>
        <v/>
      </c>
      <c r="HQ48" t="str">
        <f t="shared" ca="1" si="74"/>
        <v/>
      </c>
      <c r="HR48" t="str">
        <f t="shared" ca="1" si="75"/>
        <v/>
      </c>
      <c r="HW48" s="253" t="s">
        <v>187</v>
      </c>
      <c r="HX48" s="112" t="str">
        <f t="shared" si="76"/>
        <v>1/9/2001</v>
      </c>
      <c r="HY48" t="s">
        <v>188</v>
      </c>
      <c r="HZ48" s="112" t="str">
        <f t="shared" si="77"/>
        <v>30/6/2002</v>
      </c>
      <c r="IA48" t="s">
        <v>189</v>
      </c>
      <c r="IB48">
        <f t="shared" si="78"/>
        <v>0</v>
      </c>
      <c r="IC48" t="s">
        <v>192</v>
      </c>
      <c r="ID48">
        <f t="shared" si="79"/>
        <v>10</v>
      </c>
      <c r="IE48" t="s">
        <v>191</v>
      </c>
      <c r="IF48" s="254">
        <f t="shared" si="80"/>
        <v>3</v>
      </c>
      <c r="IK48" t="str">
        <f t="shared" si="14"/>
        <v xml:space="preserve">DAL: 1/9/2001 - AL:30/6/2002 - ANNI:0 - MESI:10 -GIORNI:3
</v>
      </c>
      <c r="JE48" s="112" t="str">
        <f t="shared" si="116"/>
        <v/>
      </c>
      <c r="JP48">
        <f ca="1">IF(Foglio3!DM21=100000,0,IF(Foglio3!DM21="",0,1))</f>
        <v>1</v>
      </c>
      <c r="JQ48" s="314">
        <f ca="1" xml:space="preserve">   IF(JP48=1,     Foglio3!DM21,IF(JP48=0,IF(JP47=1,"","")))</f>
        <v>36281</v>
      </c>
      <c r="JR48" s="314">
        <f ca="1">IF(          Foglio3!DN21=100000,"",Foglio3!DN21)</f>
        <v>36311</v>
      </c>
      <c r="JS48" s="272">
        <f ca="1">IF(Foglio3!DN21=100000,"",Foglio3!DO21)</f>
        <v>9</v>
      </c>
      <c r="JT48" s="272">
        <f ca="1">IF(Foglio3!DN21=100000,"",Foglio3!DP21)</f>
        <v>24</v>
      </c>
      <c r="JU48" s="272">
        <f ca="1">IF(Foglio3!DN21=100000,"",Foglio3!DQ21)</f>
        <v>31</v>
      </c>
      <c r="JV48" s="272">
        <f ca="1">IF(JU48="","",Foglio3!DR21)</f>
        <v>0</v>
      </c>
      <c r="JW48" s="272">
        <f ca="1">IF(Foglio3!DN21=100000,"",Foglio3!DS21)</f>
        <v>0</v>
      </c>
      <c r="JX48" s="272">
        <f ca="1">IF(Foglio3!DN21=100000,"",Foglio3!DT21)</f>
        <v>0</v>
      </c>
      <c r="JY48" s="272">
        <f ca="1">IF(Foglio3!DN21=100000,"",Foglio3!DU21)</f>
        <v>0</v>
      </c>
      <c r="JZ48" s="272" t="str">
        <f ca="1">IF(Foglio3!DN21=100000,"",Foglio3!DV21)</f>
        <v>0/2 anni</v>
      </c>
      <c r="KC48">
        <v>0</v>
      </c>
      <c r="KD48" s="260">
        <f t="shared" ca="1" si="81"/>
        <v>37987</v>
      </c>
      <c r="KE48" t="str">
        <f t="shared" si="82"/>
        <v>0-2 anni</v>
      </c>
      <c r="KF48">
        <f t="shared" si="15"/>
        <v>6</v>
      </c>
      <c r="KG48" s="238">
        <f t="shared" ca="1" si="16"/>
        <v>101</v>
      </c>
      <c r="KJ48">
        <f t="shared" ca="1" si="83"/>
        <v>10723.07</v>
      </c>
      <c r="KK48">
        <f t="shared" ca="1" si="17"/>
        <v>0</v>
      </c>
      <c r="KL48">
        <f t="shared" ca="1" si="17"/>
        <v>0</v>
      </c>
      <c r="KM48">
        <f t="shared" ca="1" si="17"/>
        <v>6384.11</v>
      </c>
      <c r="KN48">
        <f t="shared" ca="1" si="17"/>
        <v>0</v>
      </c>
      <c r="KU48">
        <f t="shared" ca="1" si="18"/>
        <v>1857.84</v>
      </c>
      <c r="KZ48" s="254" t="str">
        <f t="shared" si="84"/>
        <v>0-2 anni</v>
      </c>
      <c r="LA48" s="112">
        <f t="shared" si="85"/>
        <v>37135</v>
      </c>
      <c r="LB48" s="112">
        <f t="shared" si="86"/>
        <v>37437</v>
      </c>
      <c r="LC48">
        <f t="shared" ca="1" si="87"/>
        <v>18965.02</v>
      </c>
      <c r="LD48" s="262">
        <f t="shared" ca="1" si="88"/>
        <v>19427.189999999999</v>
      </c>
      <c r="LE48">
        <f t="shared" si="89"/>
        <v>303</v>
      </c>
      <c r="LF48">
        <f t="shared" ca="1" si="90"/>
        <v>383.66</v>
      </c>
    </row>
    <row r="49" spans="1:318" ht="165" x14ac:dyDescent="0.25">
      <c r="A49" s="112">
        <f t="shared" si="128"/>
        <v>36770</v>
      </c>
      <c r="B49" s="112">
        <f t="shared" si="19"/>
        <v>36892</v>
      </c>
      <c r="D49" s="112"/>
      <c r="E49" s="240">
        <f>Foglio3!F29</f>
        <v>37167</v>
      </c>
      <c r="F49" s="240">
        <f>Foglio3!G29</f>
        <v>37200</v>
      </c>
      <c r="G49" s="244"/>
      <c r="H49" s="245">
        <f t="shared" si="20"/>
        <v>37167</v>
      </c>
      <c r="I49" s="245">
        <f t="shared" si="2"/>
        <v>37200</v>
      </c>
      <c r="J49" s="244"/>
      <c r="K49" s="244"/>
      <c r="Q49">
        <f t="shared" si="3"/>
        <v>34</v>
      </c>
      <c r="R49">
        <f t="shared" si="129"/>
        <v>0</v>
      </c>
      <c r="S49">
        <f t="shared" si="21"/>
        <v>0</v>
      </c>
      <c r="T49">
        <f t="shared" si="117"/>
        <v>0</v>
      </c>
      <c r="U49">
        <f t="shared" si="118"/>
        <v>0</v>
      </c>
      <c r="W49">
        <f t="shared" si="119"/>
        <v>0</v>
      </c>
      <c r="X49">
        <f t="shared" si="120"/>
        <v>34</v>
      </c>
      <c r="Y49">
        <f t="shared" si="121"/>
        <v>101</v>
      </c>
      <c r="AA49" s="112">
        <f t="shared" si="91"/>
        <v>37167</v>
      </c>
      <c r="AB49" s="112">
        <f t="shared" si="92"/>
        <v>37200</v>
      </c>
      <c r="AG49">
        <f t="shared" si="22"/>
        <v>1</v>
      </c>
      <c r="AH49" s="112">
        <f t="shared" si="93"/>
        <v>37167</v>
      </c>
      <c r="AI49" s="112">
        <f t="shared" si="94"/>
        <v>37200</v>
      </c>
      <c r="AJ49">
        <f t="shared" si="23"/>
        <v>1</v>
      </c>
      <c r="AK49">
        <f t="shared" si="95"/>
        <v>1</v>
      </c>
      <c r="AL49">
        <f t="shared" si="122"/>
        <v>0</v>
      </c>
      <c r="AN49">
        <f t="shared" si="123"/>
        <v>34</v>
      </c>
      <c r="AO49">
        <f t="shared" si="124"/>
        <v>0</v>
      </c>
      <c r="AP49">
        <f t="shared" si="96"/>
        <v>34</v>
      </c>
      <c r="AS49">
        <f t="shared" si="130"/>
        <v>0</v>
      </c>
      <c r="AT49">
        <f t="shared" si="131"/>
        <v>0</v>
      </c>
      <c r="AV49">
        <f t="shared" si="132"/>
        <v>0</v>
      </c>
      <c r="AW49">
        <f t="shared" si="133"/>
        <v>0</v>
      </c>
      <c r="AX49">
        <f t="shared" si="97"/>
        <v>0</v>
      </c>
      <c r="BA49">
        <f t="shared" si="125"/>
        <v>0</v>
      </c>
      <c r="BB49">
        <f t="shared" si="126"/>
        <v>0</v>
      </c>
      <c r="BD49">
        <f t="shared" si="135"/>
        <v>0</v>
      </c>
      <c r="BE49">
        <f t="shared" si="136"/>
        <v>0</v>
      </c>
      <c r="BF49">
        <f t="shared" si="127"/>
        <v>0</v>
      </c>
      <c r="BI49">
        <f t="shared" si="137"/>
        <v>0</v>
      </c>
      <c r="BJ49">
        <f t="shared" si="139"/>
        <v>0</v>
      </c>
      <c r="BK49">
        <f t="shared" si="140"/>
        <v>0</v>
      </c>
      <c r="BL49">
        <f t="shared" si="141"/>
        <v>0</v>
      </c>
      <c r="BM49">
        <f t="shared" si="134"/>
        <v>0</v>
      </c>
      <c r="BO49">
        <f t="shared" si="142"/>
        <v>0</v>
      </c>
      <c r="BP49">
        <f t="shared" si="143"/>
        <v>0</v>
      </c>
      <c r="BR49">
        <f t="shared" si="144"/>
        <v>0</v>
      </c>
      <c r="BS49">
        <f t="shared" si="145"/>
        <v>0</v>
      </c>
      <c r="BT49">
        <f t="shared" si="138"/>
        <v>0</v>
      </c>
      <c r="BV49">
        <f t="shared" si="98"/>
        <v>34</v>
      </c>
      <c r="BX49">
        <f t="shared" si="99"/>
        <v>34</v>
      </c>
      <c r="BY49">
        <f t="shared" si="100"/>
        <v>0</v>
      </c>
      <c r="BZ49">
        <f t="shared" si="101"/>
        <v>0</v>
      </c>
      <c r="CA49">
        <f t="shared" si="102"/>
        <v>0</v>
      </c>
      <c r="CB49">
        <f t="shared" si="103"/>
        <v>0</v>
      </c>
      <c r="CG49">
        <f t="shared" si="24"/>
        <v>2001</v>
      </c>
      <c r="CH49">
        <f t="shared" si="25"/>
        <v>2001</v>
      </c>
      <c r="CJ49">
        <f t="shared" si="26"/>
        <v>0</v>
      </c>
      <c r="CK49">
        <f t="shared" si="147"/>
        <v>0</v>
      </c>
      <c r="CL49">
        <f t="shared" si="27"/>
        <v>0</v>
      </c>
      <c r="CN49">
        <f t="shared" si="28"/>
        <v>0</v>
      </c>
      <c r="CS49">
        <f t="shared" si="29"/>
        <v>0</v>
      </c>
      <c r="CT49" s="246">
        <f t="shared" si="104"/>
        <v>1121</v>
      </c>
      <c r="CU49" s="243">
        <f t="shared" si="30"/>
        <v>1121</v>
      </c>
      <c r="CV49" s="112">
        <f t="shared" si="31"/>
        <v>37200</v>
      </c>
      <c r="CX49" s="112">
        <f t="shared" si="32"/>
        <v>100000</v>
      </c>
      <c r="CY49" s="270">
        <f t="shared" si="105"/>
        <v>100000</v>
      </c>
      <c r="CZ49" s="112">
        <f t="shared" si="106"/>
        <v>100000</v>
      </c>
      <c r="DA49" s="112">
        <f t="shared" si="107"/>
        <v>100000</v>
      </c>
      <c r="DB49" s="112">
        <f t="shared" si="108"/>
        <v>100000</v>
      </c>
      <c r="DC49" s="112">
        <f t="shared" si="109"/>
        <v>100000</v>
      </c>
      <c r="DU49" s="112"/>
      <c r="DV49" s="112"/>
      <c r="DW49" s="277">
        <v>37622</v>
      </c>
      <c r="DX49" s="276"/>
      <c r="DY49" s="276"/>
      <c r="DZ49" s="276"/>
      <c r="EF49" s="260" t="str">
        <f t="shared" si="148"/>
        <v/>
      </c>
      <c r="EK49" s="254"/>
      <c r="EL49">
        <v>10</v>
      </c>
      <c r="EM49" s="260">
        <f t="shared" si="111"/>
        <v>37987</v>
      </c>
      <c r="EN49">
        <f t="shared" si="112"/>
        <v>11</v>
      </c>
      <c r="EO49" s="112">
        <f t="shared" si="113"/>
        <v>38384</v>
      </c>
      <c r="EP49" s="112">
        <f t="shared" si="36"/>
        <v>38384</v>
      </c>
      <c r="ET49">
        <f t="shared" si="37"/>
        <v>3</v>
      </c>
      <c r="EU49" s="260">
        <f t="shared" si="38"/>
        <v>38384</v>
      </c>
      <c r="EV49" t="str">
        <f t="shared" si="39"/>
        <v>3-8 anni</v>
      </c>
      <c r="EW49">
        <f t="shared" si="5"/>
        <v>5</v>
      </c>
      <c r="EX49" s="238">
        <f t="shared" ca="1" si="6"/>
        <v>109</v>
      </c>
      <c r="FA49">
        <f t="shared" ca="1" si="40"/>
        <v>18057.150000000001</v>
      </c>
      <c r="FB49">
        <f t="shared" ca="1" si="7"/>
        <v>0</v>
      </c>
      <c r="FC49">
        <f t="shared" ca="1" si="7"/>
        <v>0</v>
      </c>
      <c r="FD49">
        <f t="shared" ca="1" si="41"/>
        <v>0</v>
      </c>
      <c r="FE49">
        <f t="shared" ca="1" si="7"/>
        <v>0</v>
      </c>
      <c r="FG49">
        <f t="shared" ca="1" si="42"/>
        <v>0</v>
      </c>
      <c r="FL49">
        <f t="shared" ca="1" si="8"/>
        <v>1857.84</v>
      </c>
      <c r="FQ49" s="254" t="str">
        <f t="shared" si="43"/>
        <v>3-8 anni</v>
      </c>
      <c r="FR49">
        <f t="shared" si="114"/>
        <v>49</v>
      </c>
      <c r="FS49" t="str">
        <f t="shared" ca="1" si="44"/>
        <v>ev49</v>
      </c>
      <c r="FT49" t="str">
        <f t="shared" ca="1" si="45"/>
        <v>EU49</v>
      </c>
      <c r="FU49" t="str">
        <f t="shared" ca="1" si="45"/>
        <v>FA49</v>
      </c>
      <c r="FV49" t="str">
        <f t="shared" ca="1" si="46"/>
        <v>FB49</v>
      </c>
      <c r="FW49" t="str">
        <f t="shared" ca="1" si="46"/>
        <v>FC49</v>
      </c>
      <c r="FX49" t="str">
        <f t="shared" ca="1" si="46"/>
        <v>FD49</v>
      </c>
      <c r="FY49" t="str">
        <f t="shared" ca="1" si="46"/>
        <v>FE49</v>
      </c>
      <c r="FZ49" t="str">
        <f t="shared" ca="1" si="46"/>
        <v>FG49</v>
      </c>
      <c r="GA49" t="str">
        <f t="shared" ca="1" si="46"/>
        <v>FL49</v>
      </c>
      <c r="GB49" t="str">
        <f t="shared" ca="1" si="46"/>
        <v/>
      </c>
      <c r="GC49" t="str">
        <f t="shared" ca="1" si="46"/>
        <v/>
      </c>
      <c r="GD49">
        <f t="shared" ca="1" si="115"/>
        <v>10</v>
      </c>
      <c r="GE49" s="112">
        <f t="shared" ca="1" si="47"/>
        <v>38384</v>
      </c>
      <c r="GF49" s="112" t="str">
        <f t="shared" ca="1" si="48"/>
        <v>3-8 anni</v>
      </c>
      <c r="GG49" s="262">
        <f t="shared" ca="1" si="49"/>
        <v>18057.150000000001</v>
      </c>
      <c r="GH49" s="262">
        <f t="shared" ca="1" si="50"/>
        <v>0</v>
      </c>
      <c r="GI49" s="262">
        <f t="shared" ca="1" si="51"/>
        <v>0</v>
      </c>
      <c r="GJ49" s="262">
        <f t="shared" ca="1" si="52"/>
        <v>0</v>
      </c>
      <c r="GK49" s="262">
        <f t="shared" ca="1" si="53"/>
        <v>0</v>
      </c>
      <c r="GL49" s="262">
        <f t="shared" ca="1" si="146"/>
        <v>0</v>
      </c>
      <c r="GM49" s="262">
        <f t="shared" ca="1" si="54"/>
        <v>1857.84</v>
      </c>
      <c r="GN49" s="262">
        <f t="shared" ca="1" si="55"/>
        <v>0</v>
      </c>
      <c r="GO49" s="262">
        <f t="shared" ca="1" si="11"/>
        <v>0</v>
      </c>
      <c r="GQ49" s="263" t="str">
        <f t="shared" ca="1" si="56"/>
        <v>C.C.N.L. COMPARTO SCUOLA 2002/05</v>
      </c>
      <c r="GR49" s="262">
        <f t="shared" ca="1" si="57"/>
        <v>19914.990000000002</v>
      </c>
      <c r="GS49" s="253" t="str">
        <f t="shared" ca="1" si="58"/>
        <v xml:space="preserve">ARTICOLO 10
</v>
      </c>
      <c r="GT49" t="str">
        <f t="shared" ca="1" si="59"/>
        <v xml:space="preserve">con decorrenza dalla data: 1/2/2005  </v>
      </c>
      <c r="GU49" t="str">
        <f t="shared" ca="1" si="60"/>
        <v xml:space="preserve"> Fascia: 3-8 anni - C.C.N.L. COMPARTO SCUOLA 2002/05
</v>
      </c>
      <c r="GV49" t="str">
        <f t="shared" ca="1" si="61"/>
        <v xml:space="preserve">
                              Stipendio annuo lordo                            euro: 18057,15
</v>
      </c>
      <c r="GW49" t="str">
        <f t="shared" ca="1" si="62"/>
        <v/>
      </c>
      <c r="GX49" t="str">
        <f t="shared" ca="1" si="63"/>
        <v/>
      </c>
      <c r="GY49" t="str">
        <f t="shared" ca="1" si="64"/>
        <v/>
      </c>
      <c r="GZ49" t="str">
        <f t="shared" ca="1" si="65"/>
        <v/>
      </c>
      <c r="HA49" t="str">
        <f t="shared" ca="1" si="66"/>
        <v/>
      </c>
      <c r="HB49" t="str">
        <f t="shared" ca="1" si="67"/>
        <v xml:space="preserve">                                rpd/cia - annuo lordo                             euro: 1857,84
</v>
      </c>
      <c r="HC49" t="str">
        <f t="shared" ca="1" si="68"/>
        <v/>
      </c>
      <c r="HD49" s="254" t="str">
        <f t="shared" ca="1" si="69"/>
        <v/>
      </c>
      <c r="HE49" s="254" t="str">
        <f t="shared" ca="1" si="70"/>
        <v xml:space="preserve">
TOTALE ANNUO LORDO EURO 19914,99
</v>
      </c>
      <c r="HL49" s="263" t="str">
        <f t="shared" ca="1" si="71"/>
        <v xml:space="preserve">ARTICOLO 10
con decorrenza dalla data: 1/2/2005   Fascia: 3-8 anni - C.C.N.L. COMPARTO SCUOLA 2002/05
                              Stipendio annuo lordo                            euro: 18057,15
                                rpd/cia - annuo lordo                             euro: 1857,84
TOTALE ANNUO LORDO EURO 19914,99
</v>
      </c>
      <c r="HM49" s="263"/>
      <c r="HN49" s="272" t="str">
        <f t="shared" ca="1" si="13"/>
        <v xml:space="preserve">ARTICOLO 10
con decorrenza dalla data: 1/2/2005   Fascia: 3-8 anni - C.C.N.L. COMPARTO SCUOLA 2002/05
                              Stipendio annuo lordo                            euro: 18057,15
                                rpd/cia - annuo lordo                             euro: 1857,84
TOTALE ANNUO LORDO EURO 19914,99
</v>
      </c>
      <c r="HO49">
        <f t="shared" ca="1" si="72"/>
        <v>10</v>
      </c>
      <c r="HP49" t="str">
        <f t="shared" ca="1" si="73"/>
        <v/>
      </c>
      <c r="HQ49" t="str">
        <f t="shared" ca="1" si="74"/>
        <v/>
      </c>
      <c r="HR49" t="str">
        <f t="shared" ca="1" si="75"/>
        <v/>
      </c>
      <c r="HW49" s="253" t="s">
        <v>187</v>
      </c>
      <c r="HX49" s="112" t="str">
        <f t="shared" si="76"/>
        <v>3/10/2001</v>
      </c>
      <c r="HY49" t="s">
        <v>188</v>
      </c>
      <c r="HZ49" s="112" t="str">
        <f t="shared" si="77"/>
        <v>5/11/2001</v>
      </c>
      <c r="IA49" t="s">
        <v>189</v>
      </c>
      <c r="IB49">
        <f t="shared" si="78"/>
        <v>0</v>
      </c>
      <c r="IC49" t="s">
        <v>192</v>
      </c>
      <c r="ID49">
        <f t="shared" si="79"/>
        <v>0</v>
      </c>
      <c r="IE49" t="s">
        <v>191</v>
      </c>
      <c r="IF49" s="254">
        <f t="shared" si="80"/>
        <v>0</v>
      </c>
      <c r="IK49" t="str">
        <f t="shared" si="14"/>
        <v xml:space="preserve">DAL: 3/10/2001 - AL:5/11/2001 - ANNI:0 - MESI:0 -GIORNI:0
</v>
      </c>
      <c r="JE49" s="112" t="str">
        <f>IF(DP51=0,"",CONCATENATE(DAY(DP51),"/",MONTH(DP51),"/",YEAR(DP51),"
"))</f>
        <v/>
      </c>
      <c r="JP49">
        <f ca="1">IF(Foglio3!DM22=100000,0,IF(Foglio3!DM22="",0,1))</f>
        <v>1</v>
      </c>
      <c r="JQ49" s="314">
        <f ca="1" xml:space="preserve">   IF(JP49=1,     Foglio3!DM22,IF(JP49=0,IF(JP48=1,"","")))</f>
        <v>36312</v>
      </c>
      <c r="JR49" s="314">
        <f ca="1">IF(          Foglio3!DN22=100000,"",Foglio3!DN22)</f>
        <v>36321</v>
      </c>
      <c r="JS49" s="272">
        <f ca="1">IF(Foglio3!DN22=100000,"",Foglio3!DO22)</f>
        <v>9</v>
      </c>
      <c r="JT49" s="272">
        <f ca="1">IF(Foglio3!DN22=100000,"",Foglio3!DP22)</f>
        <v>24</v>
      </c>
      <c r="JU49" s="272">
        <f ca="1">IF(Foglio3!DN22=100000,"",Foglio3!DQ22)</f>
        <v>10</v>
      </c>
      <c r="JV49" s="272">
        <f ca="1">IF(JU49="","",Foglio3!DR22)</f>
        <v>0</v>
      </c>
      <c r="JW49" s="272">
        <f ca="1">IF(Foglio3!DN22=100000,"",Foglio3!DS22)</f>
        <v>0</v>
      </c>
      <c r="JX49" s="272">
        <f ca="1">IF(Foglio3!DN22=100000,"",Foglio3!DT22)</f>
        <v>0</v>
      </c>
      <c r="JY49" s="272">
        <f ca="1">IF(Foglio3!DN22=100000,"",Foglio3!DU22)</f>
        <v>0</v>
      </c>
      <c r="JZ49" s="272" t="str">
        <f ca="1">IF(Foglio3!DN22=100000,"",Foglio3!DV22)</f>
        <v>0/2 anni</v>
      </c>
      <c r="KC49">
        <v>0</v>
      </c>
      <c r="KD49" s="260">
        <f t="shared" ca="1" si="81"/>
        <v>38384</v>
      </c>
      <c r="KE49" t="str">
        <f t="shared" si="82"/>
        <v>0-2 anni</v>
      </c>
      <c r="KF49">
        <f t="shared" si="15"/>
        <v>6</v>
      </c>
      <c r="KG49" s="238">
        <f t="shared" ca="1" si="16"/>
        <v>108</v>
      </c>
      <c r="KJ49">
        <f t="shared" ca="1" si="83"/>
        <v>11198.03</v>
      </c>
      <c r="KK49">
        <f t="shared" ca="1" si="17"/>
        <v>0</v>
      </c>
      <c r="KL49">
        <f t="shared" ca="1" si="17"/>
        <v>0</v>
      </c>
      <c r="KM49">
        <f t="shared" ca="1" si="17"/>
        <v>6384.11</v>
      </c>
      <c r="KN49">
        <f t="shared" ca="1" si="17"/>
        <v>0</v>
      </c>
      <c r="KU49">
        <f t="shared" ca="1" si="18"/>
        <v>1857.84</v>
      </c>
      <c r="KZ49" s="254" t="str">
        <f t="shared" si="84"/>
        <v>0-2 anni</v>
      </c>
      <c r="LA49" s="112">
        <f t="shared" si="85"/>
        <v>37167</v>
      </c>
      <c r="LB49" s="112">
        <f t="shared" si="86"/>
        <v>37200</v>
      </c>
      <c r="LC49">
        <f t="shared" ca="1" si="87"/>
        <v>19439.98</v>
      </c>
      <c r="LD49" s="262">
        <f t="shared" ca="1" si="88"/>
        <v>19914.990000000002</v>
      </c>
      <c r="LE49">
        <f t="shared" si="89"/>
        <v>0</v>
      </c>
      <c r="LF49">
        <f t="shared" ca="1" si="90"/>
        <v>0</v>
      </c>
    </row>
    <row r="50" spans="1:318" ht="165" x14ac:dyDescent="0.25">
      <c r="A50" s="112">
        <f t="shared" si="128"/>
        <v>36770</v>
      </c>
      <c r="B50" s="112">
        <f t="shared" si="19"/>
        <v>36892</v>
      </c>
      <c r="E50" s="240">
        <f>Foglio3!F30</f>
        <v>37167</v>
      </c>
      <c r="F50" s="240">
        <f>Foglio3!G30</f>
        <v>37200</v>
      </c>
      <c r="G50" s="244"/>
      <c r="H50" s="245">
        <f t="shared" si="20"/>
        <v>37167</v>
      </c>
      <c r="I50" s="245">
        <f t="shared" si="2"/>
        <v>37200</v>
      </c>
      <c r="J50" s="244"/>
      <c r="K50" s="244"/>
      <c r="Q50">
        <f t="shared" si="3"/>
        <v>34</v>
      </c>
      <c r="R50">
        <f t="shared" si="129"/>
        <v>0</v>
      </c>
      <c r="S50">
        <f t="shared" si="21"/>
        <v>0</v>
      </c>
      <c r="T50">
        <f t="shared" si="117"/>
        <v>0</v>
      </c>
      <c r="U50">
        <f t="shared" si="118"/>
        <v>0</v>
      </c>
      <c r="W50">
        <f t="shared" si="119"/>
        <v>0</v>
      </c>
      <c r="X50">
        <f t="shared" si="120"/>
        <v>34</v>
      </c>
      <c r="Y50">
        <f t="shared" si="121"/>
        <v>101</v>
      </c>
      <c r="AA50" s="112">
        <f t="shared" si="91"/>
        <v>37167</v>
      </c>
      <c r="AB50" s="112">
        <f t="shared" si="92"/>
        <v>37200</v>
      </c>
      <c r="AG50">
        <f t="shared" si="22"/>
        <v>1</v>
      </c>
      <c r="AH50" s="112">
        <f t="shared" si="93"/>
        <v>37167</v>
      </c>
      <c r="AI50" s="112">
        <f t="shared" si="94"/>
        <v>37200</v>
      </c>
      <c r="AJ50">
        <f t="shared" si="23"/>
        <v>1</v>
      </c>
      <c r="AK50">
        <f t="shared" si="95"/>
        <v>1</v>
      </c>
      <c r="AL50">
        <f t="shared" si="122"/>
        <v>0</v>
      </c>
      <c r="AN50">
        <f t="shared" si="123"/>
        <v>34</v>
      </c>
      <c r="AO50">
        <f t="shared" si="124"/>
        <v>0</v>
      </c>
      <c r="AP50">
        <f t="shared" si="96"/>
        <v>34</v>
      </c>
      <c r="AS50">
        <f t="shared" si="130"/>
        <v>1</v>
      </c>
      <c r="AT50">
        <f t="shared" si="131"/>
        <v>0</v>
      </c>
      <c r="AV50">
        <f t="shared" si="132"/>
        <v>34</v>
      </c>
      <c r="AW50">
        <f t="shared" si="133"/>
        <v>0</v>
      </c>
      <c r="AX50">
        <f t="shared" si="97"/>
        <v>34</v>
      </c>
      <c r="BA50">
        <f>IF(AND(AH50&lt;=AI47,AI50&lt;=AI47),1,0)*AJ50</f>
        <v>0</v>
      </c>
      <c r="BB50">
        <f>IF(AND(AH50&lt;=AI47,AI50&gt;AI47),1,0)*AJ50</f>
        <v>0</v>
      </c>
      <c r="BD50">
        <f t="shared" si="135"/>
        <v>0</v>
      </c>
      <c r="BE50">
        <f t="shared" si="136"/>
        <v>0</v>
      </c>
      <c r="BF50">
        <f t="shared" si="127"/>
        <v>0</v>
      </c>
      <c r="BI50">
        <f t="shared" si="137"/>
        <v>0</v>
      </c>
      <c r="BJ50">
        <f t="shared" si="139"/>
        <v>0</v>
      </c>
      <c r="BK50">
        <f t="shared" si="140"/>
        <v>0</v>
      </c>
      <c r="BL50">
        <f t="shared" si="141"/>
        <v>0</v>
      </c>
      <c r="BM50">
        <f t="shared" si="134"/>
        <v>0</v>
      </c>
      <c r="BO50">
        <f t="shared" si="142"/>
        <v>0</v>
      </c>
      <c r="BP50">
        <f t="shared" si="143"/>
        <v>0</v>
      </c>
      <c r="BR50">
        <f t="shared" si="144"/>
        <v>0</v>
      </c>
      <c r="BS50">
        <f t="shared" si="145"/>
        <v>0</v>
      </c>
      <c r="BT50">
        <f t="shared" si="138"/>
        <v>0</v>
      </c>
      <c r="BV50">
        <f t="shared" si="98"/>
        <v>34</v>
      </c>
      <c r="BX50">
        <f t="shared" si="99"/>
        <v>34</v>
      </c>
      <c r="BY50">
        <f t="shared" si="100"/>
        <v>34</v>
      </c>
      <c r="BZ50">
        <f t="shared" si="101"/>
        <v>0</v>
      </c>
      <c r="CA50">
        <f t="shared" si="102"/>
        <v>0</v>
      </c>
      <c r="CB50">
        <f t="shared" si="103"/>
        <v>0</v>
      </c>
      <c r="CG50">
        <f t="shared" si="24"/>
        <v>2001</v>
      </c>
      <c r="CH50">
        <f t="shared" si="25"/>
        <v>2001</v>
      </c>
      <c r="CJ50">
        <f t="shared" si="26"/>
        <v>0</v>
      </c>
      <c r="CK50">
        <f t="shared" si="147"/>
        <v>0</v>
      </c>
      <c r="CL50">
        <f t="shared" si="27"/>
        <v>0</v>
      </c>
      <c r="CN50">
        <f t="shared" si="28"/>
        <v>0</v>
      </c>
      <c r="CS50">
        <f t="shared" si="29"/>
        <v>0</v>
      </c>
      <c r="CT50" s="246">
        <f t="shared" si="104"/>
        <v>1121</v>
      </c>
      <c r="CU50" s="243">
        <f t="shared" si="30"/>
        <v>1121</v>
      </c>
      <c r="CV50" s="112">
        <f t="shared" si="31"/>
        <v>37200</v>
      </c>
      <c r="CX50" s="112">
        <f t="shared" ref="CX50:CX113" si="149">IF(                    AND( CT50&gt;=$CQ$39,CT49&lt;=$CQ$39   ),CV50-(CT50-$CQ$39),100000)</f>
        <v>100000</v>
      </c>
      <c r="CY50" s="270">
        <f t="shared" si="105"/>
        <v>100000</v>
      </c>
      <c r="CZ50" s="112">
        <f t="shared" si="106"/>
        <v>100000</v>
      </c>
      <c r="DA50" s="112">
        <f t="shared" si="107"/>
        <v>100000</v>
      </c>
      <c r="DB50" s="112">
        <f t="shared" si="108"/>
        <v>100000</v>
      </c>
      <c r="DC50" s="112">
        <f t="shared" si="109"/>
        <v>100000</v>
      </c>
      <c r="DU50" s="112"/>
      <c r="DV50" s="112"/>
      <c r="DW50" s="277">
        <v>37987</v>
      </c>
      <c r="DX50" s="276"/>
      <c r="DY50" s="276"/>
      <c r="DZ50" s="276"/>
      <c r="EF50" s="260">
        <f t="shared" si="148"/>
        <v>36312</v>
      </c>
      <c r="EK50" s="254"/>
      <c r="EL50">
        <f>EL49+1</f>
        <v>11</v>
      </c>
      <c r="EM50" s="260">
        <f t="shared" si="111"/>
        <v>38384</v>
      </c>
      <c r="EN50">
        <f t="shared" si="112"/>
        <v>12</v>
      </c>
      <c r="EO50" s="112">
        <f t="shared" si="113"/>
        <v>38718</v>
      </c>
      <c r="EP50" s="112">
        <f t="shared" si="36"/>
        <v>38718</v>
      </c>
      <c r="ET50">
        <f t="shared" si="37"/>
        <v>3</v>
      </c>
      <c r="EU50" s="260">
        <f t="shared" si="38"/>
        <v>38718</v>
      </c>
      <c r="EV50" t="str">
        <f t="shared" si="39"/>
        <v>3-8 anni</v>
      </c>
      <c r="EW50">
        <f t="shared" si="5"/>
        <v>5</v>
      </c>
      <c r="EX50" s="238">
        <f t="shared" ca="1" si="6"/>
        <v>116</v>
      </c>
      <c r="FA50">
        <f t="shared" ca="1" si="40"/>
        <v>18140.79</v>
      </c>
      <c r="FB50">
        <f t="shared" ca="1" si="7"/>
        <v>0</v>
      </c>
      <c r="FC50">
        <f t="shared" ca="1" si="7"/>
        <v>0</v>
      </c>
      <c r="FD50">
        <f t="shared" ca="1" si="41"/>
        <v>0</v>
      </c>
      <c r="FE50">
        <f t="shared" ca="1" si="7"/>
        <v>0</v>
      </c>
      <c r="FG50">
        <f t="shared" ca="1" si="42"/>
        <v>0</v>
      </c>
      <c r="FL50">
        <f t="shared" ca="1" si="8"/>
        <v>1968</v>
      </c>
      <c r="FQ50" s="254" t="str">
        <f t="shared" si="43"/>
        <v>3-8 anni</v>
      </c>
      <c r="FR50">
        <f t="shared" si="114"/>
        <v>50</v>
      </c>
      <c r="FS50" t="str">
        <f t="shared" ca="1" si="44"/>
        <v>ev50</v>
      </c>
      <c r="FT50" t="str">
        <f t="shared" ca="1" si="45"/>
        <v>EU50</v>
      </c>
      <c r="FU50" t="str">
        <f t="shared" ca="1" si="45"/>
        <v>FA50</v>
      </c>
      <c r="FV50" t="str">
        <f t="shared" ca="1" si="46"/>
        <v>FB50</v>
      </c>
      <c r="FW50" t="str">
        <f t="shared" ca="1" si="46"/>
        <v>FC50</v>
      </c>
      <c r="FX50" t="str">
        <f t="shared" ca="1" si="46"/>
        <v>FD50</v>
      </c>
      <c r="FY50" t="str">
        <f t="shared" ca="1" si="46"/>
        <v>FE50</v>
      </c>
      <c r="FZ50" t="str">
        <f t="shared" ca="1" si="46"/>
        <v>FG50</v>
      </c>
      <c r="GA50" t="str">
        <f t="shared" ca="1" si="46"/>
        <v>FL50</v>
      </c>
      <c r="GB50" t="str">
        <f t="shared" ca="1" si="46"/>
        <v/>
      </c>
      <c r="GC50" t="str">
        <f t="shared" ca="1" si="46"/>
        <v/>
      </c>
      <c r="GD50">
        <f t="shared" ca="1" si="115"/>
        <v>11</v>
      </c>
      <c r="GE50" s="112">
        <f t="shared" ca="1" si="47"/>
        <v>38718</v>
      </c>
      <c r="GF50" s="112" t="str">
        <f t="shared" ca="1" si="48"/>
        <v>3-8 anni</v>
      </c>
      <c r="GG50" s="262">
        <f t="shared" ca="1" si="49"/>
        <v>18140.79</v>
      </c>
      <c r="GH50" s="262">
        <f t="shared" ca="1" si="50"/>
        <v>0</v>
      </c>
      <c r="GI50" s="262">
        <f t="shared" ca="1" si="51"/>
        <v>0</v>
      </c>
      <c r="GJ50" s="262">
        <f t="shared" ca="1" si="52"/>
        <v>0</v>
      </c>
      <c r="GK50" s="262">
        <f t="shared" ca="1" si="53"/>
        <v>0</v>
      </c>
      <c r="GL50" s="262">
        <f t="shared" ca="1" si="146"/>
        <v>0</v>
      </c>
      <c r="GM50" s="262">
        <f t="shared" ca="1" si="54"/>
        <v>1968</v>
      </c>
      <c r="GN50" s="262">
        <f t="shared" ca="1" si="55"/>
        <v>0</v>
      </c>
      <c r="GO50" s="262">
        <f t="shared" ca="1" si="11"/>
        <v>0</v>
      </c>
      <c r="GQ50" s="263" t="str">
        <f t="shared" ca="1" si="56"/>
        <v>C.C.N.L. COMPARTO  SCUOLA 2006/09</v>
      </c>
      <c r="GR50" s="262">
        <f t="shared" ca="1" si="57"/>
        <v>20108.79</v>
      </c>
      <c r="GS50" s="253" t="str">
        <f t="shared" ca="1" si="58"/>
        <v xml:space="preserve">ARTICOLO 11
</v>
      </c>
      <c r="GT50" t="str">
        <f t="shared" ca="1" si="59"/>
        <v xml:space="preserve">con decorrenza dalla data: 1/1/2006  </v>
      </c>
      <c r="GU50" t="str">
        <f t="shared" ca="1" si="60"/>
        <v xml:space="preserve"> Fascia: 3-8 anni - C.C.N.L. COMPARTO  SCUOLA 2006/09
</v>
      </c>
      <c r="GV50" t="str">
        <f t="shared" ca="1" si="61"/>
        <v xml:space="preserve">
                              Stipendio annuo lordo                            euro: 18140,79
</v>
      </c>
      <c r="GW50" t="str">
        <f t="shared" ca="1" si="62"/>
        <v/>
      </c>
      <c r="GX50" t="str">
        <f t="shared" ca="1" si="63"/>
        <v/>
      </c>
      <c r="GY50" t="str">
        <f t="shared" ca="1" si="64"/>
        <v/>
      </c>
      <c r="GZ50" t="str">
        <f t="shared" ca="1" si="65"/>
        <v/>
      </c>
      <c r="HA50" t="str">
        <f t="shared" ca="1" si="66"/>
        <v/>
      </c>
      <c r="HB50" t="str">
        <f t="shared" ca="1" si="67"/>
        <v xml:space="preserve">                                rpd/cia - annuo lordo                             euro: 1968
</v>
      </c>
      <c r="HC50" t="str">
        <f t="shared" ca="1" si="68"/>
        <v/>
      </c>
      <c r="HD50" s="254" t="str">
        <f t="shared" ca="1" si="69"/>
        <v/>
      </c>
      <c r="HE50" s="254" t="str">
        <f t="shared" ca="1" si="70"/>
        <v xml:space="preserve">
TOTALE ANNUO LORDO EURO 20108,79
</v>
      </c>
      <c r="HL50" s="263" t="str">
        <f t="shared" ca="1" si="71"/>
        <v xml:space="preserve">ARTICOLO 11
con decorrenza dalla data: 1/1/2006   Fascia: 3-8 anni - C.C.N.L. COMPARTO  SCUOLA 2006/09
                              Stipendio annuo lordo                            euro: 18140,79
                                rpd/cia - annuo lordo                             euro: 1968
TOTALE ANNUO LORDO EURO 20108,79
</v>
      </c>
      <c r="HM50" s="263"/>
      <c r="HN50" s="272" t="str">
        <f t="shared" ca="1" si="13"/>
        <v xml:space="preserve">ARTICOLO 11
con decorrenza dalla data: 1/1/2006   Fascia: 3-8 anni - C.C.N.L. COMPARTO  SCUOLA 2006/09
                              Stipendio annuo lordo                            euro: 18140,79
                                rpd/cia - annuo lordo                             euro: 1968
TOTALE ANNUO LORDO EURO 20108,79
</v>
      </c>
      <c r="HO50">
        <f t="shared" ca="1" si="72"/>
        <v>11</v>
      </c>
      <c r="HP50" t="str">
        <f t="shared" ca="1" si="73"/>
        <v/>
      </c>
      <c r="HQ50" t="str">
        <f t="shared" ca="1" si="74"/>
        <v/>
      </c>
      <c r="HR50" t="str">
        <f t="shared" ca="1" si="75"/>
        <v/>
      </c>
      <c r="HW50" s="253" t="s">
        <v>187</v>
      </c>
      <c r="HX50" s="112" t="str">
        <f t="shared" si="76"/>
        <v>3/10/2001</v>
      </c>
      <c r="HY50" t="s">
        <v>188</v>
      </c>
      <c r="HZ50" s="112" t="str">
        <f t="shared" si="77"/>
        <v>5/11/2001</v>
      </c>
      <c r="IA50" t="s">
        <v>189</v>
      </c>
      <c r="IB50">
        <f t="shared" si="78"/>
        <v>0</v>
      </c>
      <c r="IC50" t="s">
        <v>192</v>
      </c>
      <c r="ID50">
        <f t="shared" si="79"/>
        <v>0</v>
      </c>
      <c r="IE50" t="s">
        <v>191</v>
      </c>
      <c r="IF50" s="254">
        <f t="shared" si="80"/>
        <v>0</v>
      </c>
      <c r="IK50" t="str">
        <f t="shared" si="14"/>
        <v xml:space="preserve">DAL: 3/10/2001 - AL:5/11/2001 - ANNI:0 - MESI:0 -GIORNI:0
</v>
      </c>
      <c r="JE50" s="112" t="str">
        <f>IF(DP52=0,"",CONCATENATE(DAY(DP52),"/",MONTH(DP52),"/",YEAR(DP52),"
"))</f>
        <v/>
      </c>
      <c r="JP50">
        <f ca="1">IF(Foglio3!DM23=100000,0,IF(Foglio3!DM23="",0,1))</f>
        <v>1</v>
      </c>
      <c r="JQ50" s="314">
        <f ca="1" xml:space="preserve">   IF(JP50=1,     Foglio3!DM23,IF(JP50=0,IF(JP49=1,"","")))</f>
        <v>36325</v>
      </c>
      <c r="JR50" s="314">
        <f ca="1">IF(          Foglio3!DN23=100000,"",Foglio3!DN23)</f>
        <v>36325</v>
      </c>
      <c r="JS50" s="272">
        <f ca="1">IF(Foglio3!DN23=100000,"",Foglio3!DO23)</f>
        <v>9</v>
      </c>
      <c r="JT50" s="272">
        <f ca="1">IF(Foglio3!DN23=100000,"",Foglio3!DP23)</f>
        <v>24</v>
      </c>
      <c r="JU50" s="272">
        <f ca="1">IF(Foglio3!DN23=100000,"",Foglio3!DQ23)</f>
        <v>1</v>
      </c>
      <c r="JV50" s="272">
        <f ca="1">IF(JU50="","",Foglio3!DR23)</f>
        <v>0</v>
      </c>
      <c r="JW50" s="272">
        <f ca="1">IF(Foglio3!DN23=100000,"",Foglio3!DS23)</f>
        <v>0</v>
      </c>
      <c r="JX50" s="272">
        <f ca="1">IF(Foglio3!DN23=100000,"",Foglio3!DT23)</f>
        <v>0</v>
      </c>
      <c r="JY50" s="272">
        <f ca="1">IF(Foglio3!DN23=100000,"",Foglio3!DU23)</f>
        <v>0</v>
      </c>
      <c r="JZ50" s="272" t="str">
        <f ca="1">IF(Foglio3!DN23=100000,"",Foglio3!DV23)</f>
        <v>0/2 anni</v>
      </c>
      <c r="KC50">
        <v>0</v>
      </c>
      <c r="KD50" s="260">
        <f t="shared" ca="1" si="81"/>
        <v>38718</v>
      </c>
      <c r="KE50" t="str">
        <f t="shared" si="82"/>
        <v>0-2 anni</v>
      </c>
      <c r="KF50">
        <f t="shared" si="15"/>
        <v>6</v>
      </c>
      <c r="KG50" s="238">
        <f t="shared" ca="1" si="16"/>
        <v>115</v>
      </c>
      <c r="KJ50">
        <f t="shared" ca="1" si="83"/>
        <v>11279.51</v>
      </c>
      <c r="KK50">
        <f t="shared" ca="1" si="17"/>
        <v>0</v>
      </c>
      <c r="KL50">
        <f t="shared" ca="1" si="17"/>
        <v>0</v>
      </c>
      <c r="KM50">
        <f t="shared" ca="1" si="17"/>
        <v>6384.11</v>
      </c>
      <c r="KN50">
        <f t="shared" ca="1" si="17"/>
        <v>0</v>
      </c>
      <c r="KU50">
        <f t="shared" ca="1" si="18"/>
        <v>1968</v>
      </c>
      <c r="KZ50" s="254" t="str">
        <f t="shared" si="84"/>
        <v>0-2 anni</v>
      </c>
      <c r="LA50" s="112">
        <f t="shared" si="85"/>
        <v>37167</v>
      </c>
      <c r="LB50" s="112">
        <f t="shared" si="86"/>
        <v>37200</v>
      </c>
      <c r="LC50">
        <f t="shared" ca="1" si="87"/>
        <v>19631.62</v>
      </c>
      <c r="LD50" s="262">
        <f t="shared" ca="1" si="88"/>
        <v>20108.79</v>
      </c>
      <c r="LE50">
        <f t="shared" si="89"/>
        <v>0</v>
      </c>
      <c r="LF50">
        <f t="shared" ca="1" si="90"/>
        <v>0</v>
      </c>
    </row>
    <row r="51" spans="1:318" ht="165" x14ac:dyDescent="0.25">
      <c r="A51" s="112">
        <f t="shared" si="128"/>
        <v>36892</v>
      </c>
      <c r="B51" s="112">
        <f t="shared" si="19"/>
        <v>37257</v>
      </c>
      <c r="E51" s="240">
        <f>Foglio3!F31</f>
        <v>37201</v>
      </c>
      <c r="F51" s="240">
        <f>Foglio3!G31</f>
        <v>37437</v>
      </c>
      <c r="G51" s="244"/>
      <c r="H51" s="245">
        <f t="shared" si="20"/>
        <v>37201</v>
      </c>
      <c r="I51" s="245">
        <f t="shared" si="2"/>
        <v>37437</v>
      </c>
      <c r="J51" s="244"/>
      <c r="K51" s="244"/>
      <c r="Q51">
        <f t="shared" si="3"/>
        <v>237</v>
      </c>
      <c r="R51">
        <f t="shared" si="129"/>
        <v>0</v>
      </c>
      <c r="S51">
        <f t="shared" si="21"/>
        <v>0</v>
      </c>
      <c r="T51">
        <f t="shared" si="117"/>
        <v>0</v>
      </c>
      <c r="U51">
        <f t="shared" si="118"/>
        <v>0</v>
      </c>
      <c r="W51">
        <f t="shared" si="119"/>
        <v>0</v>
      </c>
      <c r="X51">
        <f t="shared" si="120"/>
        <v>34</v>
      </c>
      <c r="Y51">
        <f t="shared" si="121"/>
        <v>101</v>
      </c>
      <c r="AA51" s="112">
        <f t="shared" si="91"/>
        <v>37201</v>
      </c>
      <c r="AB51" s="112">
        <f t="shared" si="92"/>
        <v>37437</v>
      </c>
      <c r="AG51">
        <f t="shared" si="22"/>
        <v>1</v>
      </c>
      <c r="AH51" s="112">
        <f t="shared" si="93"/>
        <v>37201</v>
      </c>
      <c r="AI51" s="112">
        <f t="shared" si="94"/>
        <v>37437</v>
      </c>
      <c r="AJ51">
        <f t="shared" si="23"/>
        <v>1</v>
      </c>
      <c r="AK51">
        <f t="shared" si="95"/>
        <v>0</v>
      </c>
      <c r="AL51">
        <f t="shared" si="122"/>
        <v>0</v>
      </c>
      <c r="AN51">
        <f t="shared" si="123"/>
        <v>0</v>
      </c>
      <c r="AO51">
        <f t="shared" si="124"/>
        <v>0</v>
      </c>
      <c r="AP51">
        <f t="shared" si="96"/>
        <v>0</v>
      </c>
      <c r="AS51">
        <f t="shared" si="130"/>
        <v>0</v>
      </c>
      <c r="AT51">
        <f t="shared" si="131"/>
        <v>0</v>
      </c>
      <c r="AV51">
        <f t="shared" si="132"/>
        <v>0</v>
      </c>
      <c r="AW51">
        <f t="shared" si="133"/>
        <v>0</v>
      </c>
      <c r="AX51">
        <f t="shared" si="97"/>
        <v>0</v>
      </c>
      <c r="BA51">
        <f t="shared" ref="BA51:BA71" si="150">IF(AND(AH51&lt;=AI48,AI51&lt;=AI48),1,0)*AJ51</f>
        <v>1</v>
      </c>
      <c r="BB51">
        <f t="shared" ref="BB51:BB71" si="151">IF(AND(AH51&lt;=AI48,AI51&gt;AI48),1,0)*AJ51</f>
        <v>0</v>
      </c>
      <c r="BD51">
        <f t="shared" si="135"/>
        <v>237</v>
      </c>
      <c r="BE51">
        <f t="shared" si="136"/>
        <v>0</v>
      </c>
      <c r="BF51">
        <f t="shared" si="127"/>
        <v>237</v>
      </c>
      <c r="BI51">
        <f t="shared" si="137"/>
        <v>0</v>
      </c>
      <c r="BJ51">
        <f t="shared" si="139"/>
        <v>0</v>
      </c>
      <c r="BK51">
        <f t="shared" si="140"/>
        <v>0</v>
      </c>
      <c r="BL51">
        <f t="shared" si="141"/>
        <v>0</v>
      </c>
      <c r="BM51">
        <f t="shared" si="134"/>
        <v>0</v>
      </c>
      <c r="BO51">
        <f t="shared" si="142"/>
        <v>0</v>
      </c>
      <c r="BP51">
        <f t="shared" si="143"/>
        <v>0</v>
      </c>
      <c r="BR51">
        <f t="shared" si="144"/>
        <v>0</v>
      </c>
      <c r="BS51">
        <f t="shared" si="145"/>
        <v>0</v>
      </c>
      <c r="BT51">
        <f t="shared" si="138"/>
        <v>0</v>
      </c>
      <c r="BV51">
        <f t="shared" si="98"/>
        <v>237</v>
      </c>
      <c r="BX51">
        <f t="shared" si="99"/>
        <v>0</v>
      </c>
      <c r="BY51">
        <f t="shared" si="100"/>
        <v>0</v>
      </c>
      <c r="BZ51">
        <f t="shared" si="101"/>
        <v>237</v>
      </c>
      <c r="CA51">
        <f t="shared" si="102"/>
        <v>0</v>
      </c>
      <c r="CB51">
        <f t="shared" si="103"/>
        <v>0</v>
      </c>
      <c r="CG51">
        <f t="shared" si="24"/>
        <v>2001</v>
      </c>
      <c r="CH51">
        <f t="shared" si="25"/>
        <v>2002</v>
      </c>
      <c r="CJ51">
        <f t="shared" si="26"/>
        <v>0</v>
      </c>
      <c r="CK51">
        <f t="shared" si="147"/>
        <v>0</v>
      </c>
      <c r="CL51">
        <f t="shared" si="27"/>
        <v>0</v>
      </c>
      <c r="CN51">
        <f t="shared" si="28"/>
        <v>0</v>
      </c>
      <c r="CS51">
        <f t="shared" si="29"/>
        <v>0</v>
      </c>
      <c r="CT51" s="246">
        <f t="shared" si="104"/>
        <v>1121</v>
      </c>
      <c r="CU51" s="243">
        <f t="shared" si="30"/>
        <v>1121</v>
      </c>
      <c r="CV51" s="112">
        <f t="shared" si="31"/>
        <v>37437</v>
      </c>
      <c r="CX51" s="112">
        <f t="shared" si="149"/>
        <v>100000</v>
      </c>
      <c r="CY51" s="270">
        <f t="shared" si="105"/>
        <v>100000</v>
      </c>
      <c r="CZ51" s="112">
        <f t="shared" si="106"/>
        <v>100000</v>
      </c>
      <c r="DA51" s="112">
        <f t="shared" si="107"/>
        <v>100000</v>
      </c>
      <c r="DB51" s="112">
        <f t="shared" si="108"/>
        <v>100000</v>
      </c>
      <c r="DC51" s="112">
        <f t="shared" si="109"/>
        <v>100000</v>
      </c>
      <c r="DU51" s="112"/>
      <c r="DV51" s="112"/>
      <c r="DW51" s="277">
        <v>38384</v>
      </c>
      <c r="DX51" s="276"/>
      <c r="DY51" s="276"/>
      <c r="DZ51" s="276"/>
      <c r="EF51" s="260">
        <f t="shared" si="148"/>
        <v>36708</v>
      </c>
      <c r="EK51" s="254"/>
      <c r="EL51">
        <f t="shared" ref="EL51:EL87" si="152">EL50+1</f>
        <v>12</v>
      </c>
      <c r="EM51" s="260">
        <f t="shared" si="111"/>
        <v>38718</v>
      </c>
      <c r="EN51">
        <f t="shared" si="112"/>
        <v>13</v>
      </c>
      <c r="EO51" s="112">
        <f t="shared" si="113"/>
        <v>39083</v>
      </c>
      <c r="EP51" s="112">
        <f t="shared" si="36"/>
        <v>39083</v>
      </c>
      <c r="ET51">
        <f t="shared" si="37"/>
        <v>3</v>
      </c>
      <c r="EU51" s="260">
        <f t="shared" si="38"/>
        <v>39083</v>
      </c>
      <c r="EV51" t="str">
        <f t="shared" si="39"/>
        <v>3-8 anni</v>
      </c>
      <c r="EW51">
        <f t="shared" si="5"/>
        <v>5</v>
      </c>
      <c r="EX51" s="238">
        <f t="shared" ca="1" si="6"/>
        <v>123</v>
      </c>
      <c r="FA51">
        <f t="shared" ca="1" si="40"/>
        <v>18486.03</v>
      </c>
      <c r="FB51">
        <f t="shared" ca="1" si="7"/>
        <v>0</v>
      </c>
      <c r="FC51">
        <f t="shared" ca="1" si="7"/>
        <v>0</v>
      </c>
      <c r="FD51">
        <f t="shared" ca="1" si="41"/>
        <v>0</v>
      </c>
      <c r="FE51">
        <f t="shared" ca="1" si="7"/>
        <v>0</v>
      </c>
      <c r="FG51">
        <f t="shared" ca="1" si="42"/>
        <v>0</v>
      </c>
      <c r="FL51">
        <f t="shared" ca="1" si="8"/>
        <v>1968</v>
      </c>
      <c r="FQ51" s="254" t="str">
        <f t="shared" si="43"/>
        <v>3-8 anni</v>
      </c>
      <c r="FR51">
        <f t="shared" si="114"/>
        <v>51</v>
      </c>
      <c r="FS51" t="str">
        <f t="shared" ca="1" si="44"/>
        <v>ev51</v>
      </c>
      <c r="FT51" t="str">
        <f t="shared" ca="1" si="45"/>
        <v>EU51</v>
      </c>
      <c r="FU51" t="str">
        <f t="shared" ca="1" si="45"/>
        <v>FA51</v>
      </c>
      <c r="FV51" t="str">
        <f t="shared" ref="FV51:GC59" ca="1" si="153">IF(INDIRECT(  CONCATENATE(FV$34,$FR51 ))&lt;&gt;"",     CONCATENATE(FV$34,$FR51 ),"")</f>
        <v>FB51</v>
      </c>
      <c r="FW51" t="str">
        <f t="shared" ca="1" si="153"/>
        <v>FC51</v>
      </c>
      <c r="FX51" t="str">
        <f t="shared" ca="1" si="153"/>
        <v>FD51</v>
      </c>
      <c r="FY51" t="str">
        <f t="shared" ca="1" si="153"/>
        <v>FE51</v>
      </c>
      <c r="FZ51" t="str">
        <f t="shared" ca="1" si="153"/>
        <v>FG51</v>
      </c>
      <c r="GA51" t="str">
        <f t="shared" ca="1" si="153"/>
        <v>FL51</v>
      </c>
      <c r="GB51" t="str">
        <f t="shared" ca="1" si="153"/>
        <v/>
      </c>
      <c r="GC51" t="str">
        <f t="shared" ca="1" si="153"/>
        <v/>
      </c>
      <c r="GD51">
        <f t="shared" ca="1" si="115"/>
        <v>12</v>
      </c>
      <c r="GE51" s="112">
        <f t="shared" ca="1" si="47"/>
        <v>39083</v>
      </c>
      <c r="GF51" s="112" t="str">
        <f t="shared" ca="1" si="48"/>
        <v>3-8 anni</v>
      </c>
      <c r="GG51" s="262">
        <f t="shared" ca="1" si="49"/>
        <v>18486.03</v>
      </c>
      <c r="GH51" s="262">
        <f t="shared" ca="1" si="50"/>
        <v>0</v>
      </c>
      <c r="GI51" s="262">
        <f t="shared" ca="1" si="51"/>
        <v>0</v>
      </c>
      <c r="GJ51" s="262">
        <f t="shared" ca="1" si="52"/>
        <v>0</v>
      </c>
      <c r="GK51" s="262">
        <f t="shared" ca="1" si="53"/>
        <v>0</v>
      </c>
      <c r="GL51" s="262">
        <f t="shared" ca="1" si="146"/>
        <v>0</v>
      </c>
      <c r="GM51" s="262">
        <f t="shared" ca="1" si="54"/>
        <v>1968</v>
      </c>
      <c r="GN51" s="262">
        <f t="shared" ca="1" si="55"/>
        <v>0</v>
      </c>
      <c r="GO51" s="262">
        <f t="shared" ca="1" si="11"/>
        <v>0</v>
      </c>
      <c r="GQ51" s="263" t="str">
        <f t="shared" ca="1" si="56"/>
        <v>C.C.N.L. COMPARTO  SCUOLA 2006/09</v>
      </c>
      <c r="GR51" s="262">
        <f t="shared" ca="1" si="57"/>
        <v>20454.03</v>
      </c>
      <c r="GS51" s="253" t="str">
        <f t="shared" ca="1" si="58"/>
        <v xml:space="preserve">ARTICOLO 12
</v>
      </c>
      <c r="GT51" t="str">
        <f t="shared" ca="1" si="59"/>
        <v xml:space="preserve">con decorrenza dalla data: 1/1/2007  </v>
      </c>
      <c r="GU51" t="str">
        <f t="shared" ca="1" si="60"/>
        <v xml:space="preserve"> Fascia: 3-8 anni - C.C.N.L. COMPARTO  SCUOLA 2006/09
</v>
      </c>
      <c r="GV51" t="str">
        <f t="shared" ca="1" si="61"/>
        <v xml:space="preserve">
                              Stipendio annuo lordo                            euro: 18486,03
</v>
      </c>
      <c r="GW51" t="str">
        <f t="shared" ca="1" si="62"/>
        <v/>
      </c>
      <c r="GX51" t="str">
        <f t="shared" ca="1" si="63"/>
        <v/>
      </c>
      <c r="GY51" t="str">
        <f t="shared" ca="1" si="64"/>
        <v/>
      </c>
      <c r="GZ51" t="str">
        <f t="shared" ca="1" si="65"/>
        <v/>
      </c>
      <c r="HA51" t="str">
        <f t="shared" ca="1" si="66"/>
        <v/>
      </c>
      <c r="HB51" t="str">
        <f t="shared" ca="1" si="67"/>
        <v xml:space="preserve">                                rpd/cia - annuo lordo                             euro: 1968
</v>
      </c>
      <c r="HC51" t="str">
        <f t="shared" ca="1" si="68"/>
        <v/>
      </c>
      <c r="HD51" s="254" t="str">
        <f t="shared" ca="1" si="69"/>
        <v/>
      </c>
      <c r="HE51" s="254" t="str">
        <f t="shared" ca="1" si="70"/>
        <v xml:space="preserve">
TOTALE ANNUO LORDO EURO 20454,03
</v>
      </c>
      <c r="HL51" s="263" t="str">
        <f t="shared" ca="1" si="71"/>
        <v xml:space="preserve">ARTICOLO 12
con decorrenza dalla data: 1/1/2007   Fascia: 3-8 anni - C.C.N.L. COMPARTO  SCUOLA 2006/09
                              Stipendio annuo lordo                            euro: 18486,03
                                rpd/cia - annuo lordo                             euro: 1968
TOTALE ANNUO LORDO EURO 20454,03
</v>
      </c>
      <c r="HM51" s="263"/>
      <c r="HN51" s="272" t="str">
        <f t="shared" ca="1" si="13"/>
        <v xml:space="preserve">ARTICOLO 12
con decorrenza dalla data: 1/1/2007   Fascia: 3-8 anni - C.C.N.L. COMPARTO  SCUOLA 2006/09
                              Stipendio annuo lordo                            euro: 18486,03
                                rpd/cia - annuo lordo                             euro: 1968
TOTALE ANNUO LORDO EURO 20454,03
</v>
      </c>
      <c r="HO51">
        <f t="shared" ca="1" si="72"/>
        <v>12</v>
      </c>
      <c r="HP51" t="str">
        <f t="shared" ca="1" si="73"/>
        <v/>
      </c>
      <c r="HQ51" t="str">
        <f t="shared" ca="1" si="74"/>
        <v/>
      </c>
      <c r="HR51" t="str">
        <f t="shared" ca="1" si="75"/>
        <v/>
      </c>
      <c r="HW51" s="253" t="s">
        <v>187</v>
      </c>
      <c r="HX51" s="112" t="str">
        <f t="shared" si="76"/>
        <v>6/11/2001</v>
      </c>
      <c r="HY51" t="s">
        <v>188</v>
      </c>
      <c r="HZ51" s="112" t="str">
        <f t="shared" si="77"/>
        <v>30/6/2002</v>
      </c>
      <c r="IA51" t="s">
        <v>189</v>
      </c>
      <c r="IB51">
        <f t="shared" si="78"/>
        <v>0</v>
      </c>
      <c r="IC51" t="s">
        <v>192</v>
      </c>
      <c r="ID51">
        <f t="shared" si="79"/>
        <v>0</v>
      </c>
      <c r="IE51" t="s">
        <v>191</v>
      </c>
      <c r="IF51" s="254">
        <f t="shared" si="80"/>
        <v>0</v>
      </c>
      <c r="IK51" t="str">
        <f t="shared" si="14"/>
        <v xml:space="preserve">DAL: 6/11/2001 - AL:30/6/2002 - ANNI:0 - MESI:0 -GIORNI:0
</v>
      </c>
      <c r="JE51" s="112" t="str">
        <f>IF(DP53=0,"",CONCATENATE(DAY(DP53),"/",MONTH(DP53),"/",YEAR(DP53),"
"))</f>
        <v/>
      </c>
      <c r="JP51">
        <f ca="1">IF(Foglio3!DM24=100000,0,IF(Foglio3!DM24="",0,1))</f>
        <v>1</v>
      </c>
      <c r="JQ51" s="314">
        <f ca="1" xml:space="preserve">   IF(JP51=1,     Foglio3!DM24,IF(JP51=0,IF(JP50=1,"","")))</f>
        <v>36432</v>
      </c>
      <c r="JR51" s="314">
        <f ca="1">IF(          Foglio3!DN24=100000,"",Foglio3!DN24)</f>
        <v>36433</v>
      </c>
      <c r="JS51" s="272">
        <f ca="1">IF(Foglio3!DN24=100000,"",Foglio3!DO24)</f>
        <v>13</v>
      </c>
      <c r="JT51" s="272">
        <f ca="1">IF(Foglio3!DN24=100000,"",Foglio3!DP24)</f>
        <v>24</v>
      </c>
      <c r="JU51" s="272">
        <f ca="1">IF(Foglio3!DN24=100000,"",Foglio3!DQ24)</f>
        <v>2</v>
      </c>
      <c r="JV51" s="272">
        <f ca="1">IF(JU51="","",Foglio3!DR24)</f>
        <v>0</v>
      </c>
      <c r="JW51" s="272">
        <f ca="1">IF(Foglio3!DN24=100000,"",Foglio3!DS24)</f>
        <v>0</v>
      </c>
      <c r="JX51" s="272">
        <f ca="1">IF(Foglio3!DN24=100000,"",Foglio3!DT24)</f>
        <v>0</v>
      </c>
      <c r="JY51" s="272">
        <f ca="1">IF(Foglio3!DN24=100000,"",Foglio3!DU24)</f>
        <v>0</v>
      </c>
      <c r="JZ51" s="272" t="str">
        <f ca="1">IF(Foglio3!DN24=100000,"",Foglio3!DV24)</f>
        <v>0/2 anni</v>
      </c>
      <c r="KC51">
        <v>0</v>
      </c>
      <c r="KD51" s="260">
        <f t="shared" ca="1" si="81"/>
        <v>39083</v>
      </c>
      <c r="KE51" t="str">
        <f t="shared" si="82"/>
        <v>0-2 anni</v>
      </c>
      <c r="KF51">
        <f t="shared" si="15"/>
        <v>6</v>
      </c>
      <c r="KG51" s="238">
        <f t="shared" ca="1" si="16"/>
        <v>122</v>
      </c>
      <c r="KJ51">
        <f t="shared" ca="1" si="83"/>
        <v>11615.63</v>
      </c>
      <c r="KK51">
        <f t="shared" ca="1" si="17"/>
        <v>0</v>
      </c>
      <c r="KL51">
        <f t="shared" ca="1" si="17"/>
        <v>0</v>
      </c>
      <c r="KM51">
        <f t="shared" ca="1" si="17"/>
        <v>6384.11</v>
      </c>
      <c r="KN51">
        <f t="shared" ca="1" si="17"/>
        <v>0</v>
      </c>
      <c r="KU51">
        <f t="shared" ca="1" si="18"/>
        <v>1968</v>
      </c>
      <c r="KZ51" s="254" t="str">
        <f t="shared" si="84"/>
        <v>0-2 anni</v>
      </c>
      <c r="LA51" s="112">
        <f t="shared" si="85"/>
        <v>37201</v>
      </c>
      <c r="LB51" s="112">
        <f t="shared" si="86"/>
        <v>37437</v>
      </c>
      <c r="LC51">
        <f t="shared" ca="1" si="87"/>
        <v>19967.739999999998</v>
      </c>
      <c r="LD51" s="262">
        <f t="shared" ca="1" si="88"/>
        <v>20454.03</v>
      </c>
      <c r="LE51">
        <f t="shared" si="89"/>
        <v>0</v>
      </c>
      <c r="LF51">
        <f t="shared" ca="1" si="90"/>
        <v>0</v>
      </c>
    </row>
    <row r="52" spans="1:318" ht="52.9" customHeight="1" x14ac:dyDescent="0.25">
      <c r="A52" s="112">
        <f t="shared" si="128"/>
        <v>36892</v>
      </c>
      <c r="B52" s="112">
        <f t="shared" si="19"/>
        <v>37257</v>
      </c>
      <c r="E52" s="240">
        <f>Foglio3!F32</f>
        <v>37202</v>
      </c>
      <c r="F52" s="240">
        <f>Foglio3!G32</f>
        <v>37282</v>
      </c>
      <c r="G52" s="244"/>
      <c r="H52" s="245">
        <f t="shared" si="20"/>
        <v>37202</v>
      </c>
      <c r="I52" s="245">
        <f t="shared" si="2"/>
        <v>37282</v>
      </c>
      <c r="J52" s="244"/>
      <c r="K52" s="244"/>
      <c r="Q52">
        <f t="shared" si="3"/>
        <v>81</v>
      </c>
      <c r="R52">
        <f t="shared" si="129"/>
        <v>0</v>
      </c>
      <c r="S52">
        <f t="shared" si="21"/>
        <v>0</v>
      </c>
      <c r="T52">
        <f t="shared" si="117"/>
        <v>0</v>
      </c>
      <c r="U52">
        <f t="shared" si="118"/>
        <v>0</v>
      </c>
      <c r="W52">
        <f t="shared" si="119"/>
        <v>0</v>
      </c>
      <c r="X52">
        <f t="shared" si="120"/>
        <v>34</v>
      </c>
      <c r="Y52">
        <f t="shared" si="121"/>
        <v>101</v>
      </c>
      <c r="AA52" s="112">
        <f t="shared" si="91"/>
        <v>37202</v>
      </c>
      <c r="AB52" s="112">
        <f t="shared" si="92"/>
        <v>37282</v>
      </c>
      <c r="AG52">
        <f t="shared" si="22"/>
        <v>1</v>
      </c>
      <c r="AH52" s="112">
        <f t="shared" si="93"/>
        <v>37202</v>
      </c>
      <c r="AI52" s="112">
        <f t="shared" si="94"/>
        <v>37282</v>
      </c>
      <c r="AJ52">
        <f t="shared" si="23"/>
        <v>1</v>
      </c>
      <c r="AK52">
        <f t="shared" si="95"/>
        <v>1</v>
      </c>
      <c r="AL52">
        <f t="shared" si="122"/>
        <v>0</v>
      </c>
      <c r="AN52">
        <f t="shared" si="123"/>
        <v>81</v>
      </c>
      <c r="AO52">
        <f t="shared" si="124"/>
        <v>0</v>
      </c>
      <c r="AP52">
        <f t="shared" si="96"/>
        <v>81</v>
      </c>
      <c r="AS52">
        <f t="shared" si="130"/>
        <v>0</v>
      </c>
      <c r="AT52">
        <f t="shared" si="131"/>
        <v>0</v>
      </c>
      <c r="AV52">
        <f t="shared" si="132"/>
        <v>0</v>
      </c>
      <c r="AW52">
        <f t="shared" si="133"/>
        <v>0</v>
      </c>
      <c r="AX52">
        <f t="shared" si="97"/>
        <v>0</v>
      </c>
      <c r="BA52">
        <f t="shared" si="150"/>
        <v>0</v>
      </c>
      <c r="BB52">
        <f t="shared" si="151"/>
        <v>0</v>
      </c>
      <c r="BD52">
        <f t="shared" si="135"/>
        <v>0</v>
      </c>
      <c r="BE52">
        <f t="shared" si="136"/>
        <v>0</v>
      </c>
      <c r="BF52">
        <f t="shared" si="127"/>
        <v>0</v>
      </c>
      <c r="BI52">
        <f t="shared" si="137"/>
        <v>1</v>
      </c>
      <c r="BJ52">
        <f t="shared" si="139"/>
        <v>0</v>
      </c>
      <c r="BK52">
        <f t="shared" si="140"/>
        <v>81</v>
      </c>
      <c r="BL52">
        <f t="shared" si="141"/>
        <v>0</v>
      </c>
      <c r="BM52">
        <f t="shared" si="134"/>
        <v>81</v>
      </c>
      <c r="BO52">
        <f t="shared" si="142"/>
        <v>0</v>
      </c>
      <c r="BP52">
        <f t="shared" si="143"/>
        <v>0</v>
      </c>
      <c r="BR52">
        <f t="shared" si="144"/>
        <v>0</v>
      </c>
      <c r="BS52">
        <f t="shared" si="145"/>
        <v>0</v>
      </c>
      <c r="BT52">
        <f t="shared" si="138"/>
        <v>0</v>
      </c>
      <c r="BV52">
        <f t="shared" si="98"/>
        <v>81</v>
      </c>
      <c r="BX52">
        <f t="shared" si="99"/>
        <v>81</v>
      </c>
      <c r="BY52">
        <f t="shared" si="100"/>
        <v>0</v>
      </c>
      <c r="BZ52">
        <f t="shared" si="101"/>
        <v>0</v>
      </c>
      <c r="CA52">
        <f t="shared" si="102"/>
        <v>81</v>
      </c>
      <c r="CB52">
        <f t="shared" si="103"/>
        <v>0</v>
      </c>
      <c r="CG52">
        <f t="shared" si="24"/>
        <v>2001</v>
      </c>
      <c r="CH52">
        <f t="shared" si="25"/>
        <v>2002</v>
      </c>
      <c r="CJ52">
        <f t="shared" si="26"/>
        <v>0</v>
      </c>
      <c r="CK52">
        <f t="shared" si="147"/>
        <v>0</v>
      </c>
      <c r="CL52">
        <f t="shared" si="27"/>
        <v>0</v>
      </c>
      <c r="CN52">
        <f t="shared" si="28"/>
        <v>0</v>
      </c>
      <c r="CS52">
        <f t="shared" si="29"/>
        <v>0</v>
      </c>
      <c r="CT52" s="246">
        <f t="shared" si="104"/>
        <v>1121</v>
      </c>
      <c r="CU52" s="243">
        <f t="shared" si="30"/>
        <v>1121</v>
      </c>
      <c r="CV52" s="112">
        <f t="shared" si="31"/>
        <v>37282</v>
      </c>
      <c r="CX52" s="112">
        <f t="shared" si="149"/>
        <v>100000</v>
      </c>
      <c r="CY52" s="270">
        <f t="shared" si="105"/>
        <v>100000</v>
      </c>
      <c r="CZ52" s="112">
        <f t="shared" si="106"/>
        <v>100000</v>
      </c>
      <c r="DA52" s="112">
        <f t="shared" si="107"/>
        <v>100000</v>
      </c>
      <c r="DB52" s="112">
        <f t="shared" si="108"/>
        <v>100000</v>
      </c>
      <c r="DC52" s="112">
        <f t="shared" si="109"/>
        <v>100000</v>
      </c>
      <c r="DU52" s="112"/>
      <c r="DV52" s="112"/>
      <c r="DW52" s="277">
        <v>38718</v>
      </c>
      <c r="DX52" s="276"/>
      <c r="DY52" s="276"/>
      <c r="DZ52" s="276"/>
      <c r="EF52" s="260">
        <f t="shared" si="148"/>
        <v>36770</v>
      </c>
      <c r="EK52" s="254"/>
      <c r="EL52">
        <f t="shared" si="152"/>
        <v>13</v>
      </c>
      <c r="EM52" s="260">
        <f t="shared" si="111"/>
        <v>39083</v>
      </c>
      <c r="EN52">
        <f t="shared" si="112"/>
        <v>14</v>
      </c>
      <c r="EO52" s="112">
        <f t="shared" si="113"/>
        <v>39114</v>
      </c>
      <c r="EP52" s="112">
        <f t="shared" si="36"/>
        <v>39114</v>
      </c>
      <c r="ET52">
        <f t="shared" si="37"/>
        <v>3</v>
      </c>
      <c r="EU52" s="260">
        <f t="shared" si="38"/>
        <v>39114</v>
      </c>
      <c r="EV52" t="str">
        <f t="shared" si="39"/>
        <v>3-8 anni</v>
      </c>
      <c r="EW52">
        <f t="shared" si="5"/>
        <v>5</v>
      </c>
      <c r="EX52" s="238">
        <f t="shared" ca="1" si="6"/>
        <v>130</v>
      </c>
      <c r="FA52">
        <f t="shared" ca="1" si="40"/>
        <v>18990.03</v>
      </c>
      <c r="FB52">
        <f t="shared" ca="1" si="7"/>
        <v>0</v>
      </c>
      <c r="FC52">
        <f t="shared" ca="1" si="7"/>
        <v>0</v>
      </c>
      <c r="FD52">
        <f t="shared" ca="1" si="41"/>
        <v>0</v>
      </c>
      <c r="FE52">
        <f t="shared" ca="1" si="7"/>
        <v>0</v>
      </c>
      <c r="FG52">
        <f t="shared" ca="1" si="42"/>
        <v>0</v>
      </c>
      <c r="FL52">
        <f t="shared" ca="1" si="8"/>
        <v>1968</v>
      </c>
      <c r="FQ52" s="254" t="str">
        <f t="shared" si="43"/>
        <v>3-8 anni</v>
      </c>
      <c r="FR52">
        <f t="shared" si="114"/>
        <v>52</v>
      </c>
      <c r="FS52" t="str">
        <f t="shared" ca="1" si="44"/>
        <v>ev52</v>
      </c>
      <c r="FT52" t="str">
        <f t="shared" ca="1" si="45"/>
        <v>EU52</v>
      </c>
      <c r="FU52" t="str">
        <f t="shared" ca="1" si="45"/>
        <v>FA52</v>
      </c>
      <c r="FV52" t="str">
        <f t="shared" ca="1" si="153"/>
        <v>FB52</v>
      </c>
      <c r="FW52" t="str">
        <f t="shared" ca="1" si="153"/>
        <v>FC52</v>
      </c>
      <c r="FX52" t="str">
        <f t="shared" ca="1" si="153"/>
        <v>FD52</v>
      </c>
      <c r="FY52" t="str">
        <f t="shared" ca="1" si="153"/>
        <v>FE52</v>
      </c>
      <c r="FZ52" t="str">
        <f t="shared" ca="1" si="153"/>
        <v>FG52</v>
      </c>
      <c r="GA52" t="str">
        <f t="shared" ca="1" si="153"/>
        <v>FL52</v>
      </c>
      <c r="GB52" t="str">
        <f t="shared" ca="1" si="153"/>
        <v/>
      </c>
      <c r="GC52" t="str">
        <f t="shared" ca="1" si="153"/>
        <v/>
      </c>
      <c r="GD52">
        <f t="shared" ca="1" si="115"/>
        <v>13</v>
      </c>
      <c r="GE52" s="112">
        <f t="shared" ca="1" si="47"/>
        <v>39114</v>
      </c>
      <c r="GF52" s="112" t="str">
        <f t="shared" ca="1" si="48"/>
        <v>3-8 anni</v>
      </c>
      <c r="GG52" s="262">
        <f t="shared" ca="1" si="49"/>
        <v>18990.03</v>
      </c>
      <c r="GH52" s="262">
        <f t="shared" ca="1" si="50"/>
        <v>0</v>
      </c>
      <c r="GI52" s="262">
        <f t="shared" ca="1" si="51"/>
        <v>0</v>
      </c>
      <c r="GJ52" s="262">
        <f t="shared" ca="1" si="52"/>
        <v>0</v>
      </c>
      <c r="GK52" s="262">
        <f t="shared" ca="1" si="53"/>
        <v>0</v>
      </c>
      <c r="GL52" s="262">
        <f t="shared" ca="1" si="146"/>
        <v>0</v>
      </c>
      <c r="GM52" s="262">
        <f t="shared" ca="1" si="54"/>
        <v>1968</v>
      </c>
      <c r="GN52" s="262">
        <f t="shared" ca="1" si="55"/>
        <v>0</v>
      </c>
      <c r="GO52" s="262">
        <f t="shared" ca="1" si="11"/>
        <v>0</v>
      </c>
      <c r="GQ52" s="263" t="str">
        <f t="shared" ca="1" si="56"/>
        <v>C.C.N.L. COMPARTO  SCUOLA 2006/09</v>
      </c>
      <c r="GR52" s="262">
        <f t="shared" ca="1" si="57"/>
        <v>20958.03</v>
      </c>
      <c r="GS52" s="253" t="str">
        <f t="shared" ca="1" si="58"/>
        <v xml:space="preserve">ARTICOLO 13
</v>
      </c>
      <c r="GT52" t="str">
        <f t="shared" ca="1" si="59"/>
        <v xml:space="preserve">con decorrenza dalla data: 1/2/2007  </v>
      </c>
      <c r="GU52" t="str">
        <f t="shared" ca="1" si="60"/>
        <v xml:space="preserve"> Fascia: 3-8 anni - C.C.N.L. COMPARTO  SCUOLA 2006/09
</v>
      </c>
      <c r="GV52" t="str">
        <f t="shared" ca="1" si="61"/>
        <v xml:space="preserve">
                              Stipendio annuo lordo                            euro: 18990,03
</v>
      </c>
      <c r="GW52" t="str">
        <f t="shared" ca="1" si="62"/>
        <v/>
      </c>
      <c r="GX52" t="str">
        <f t="shared" ca="1" si="63"/>
        <v/>
      </c>
      <c r="GY52" t="str">
        <f t="shared" ca="1" si="64"/>
        <v/>
      </c>
      <c r="GZ52" t="str">
        <f t="shared" ca="1" si="65"/>
        <v/>
      </c>
      <c r="HA52" t="str">
        <f t="shared" ca="1" si="66"/>
        <v/>
      </c>
      <c r="HB52" t="str">
        <f t="shared" ca="1" si="67"/>
        <v xml:space="preserve">                                rpd/cia - annuo lordo                             euro: 1968
</v>
      </c>
      <c r="HC52" t="str">
        <f t="shared" ca="1" si="68"/>
        <v/>
      </c>
      <c r="HD52" s="254" t="str">
        <f t="shared" ca="1" si="69"/>
        <v/>
      </c>
      <c r="HE52" s="254" t="str">
        <f t="shared" ca="1" si="70"/>
        <v xml:space="preserve">
TOTALE ANNUO LORDO EURO 20958,03
</v>
      </c>
      <c r="HL52" s="263" t="str">
        <f t="shared" ca="1" si="71"/>
        <v xml:space="preserve">ARTICOLO 13
con decorrenza dalla data: 1/2/2007   Fascia: 3-8 anni - C.C.N.L. COMPARTO  SCUOLA 2006/09
                              Stipendio annuo lordo                            euro: 18990,03
                                rpd/cia - annuo lordo                             euro: 1968
TOTALE ANNUO LORDO EURO 20958,03
</v>
      </c>
      <c r="HM52" s="263"/>
      <c r="HN52" s="272" t="str">
        <f t="shared" ca="1" si="13"/>
        <v xml:space="preserve">ARTICOLO 13
con decorrenza dalla data: 1/2/2007   Fascia: 3-8 anni - C.C.N.L. COMPARTO  SCUOLA 2006/09
                              Stipendio annuo lordo                            euro: 18990,03
                                rpd/cia - annuo lordo                             euro: 1968
TOTALE ANNUO LORDO EURO 20958,03
</v>
      </c>
      <c r="HO52">
        <f t="shared" ca="1" si="72"/>
        <v>13</v>
      </c>
      <c r="HP52" t="str">
        <f t="shared" ca="1" si="73"/>
        <v/>
      </c>
      <c r="HQ52" t="str">
        <f t="shared" ca="1" si="74"/>
        <v/>
      </c>
      <c r="HR52" t="str">
        <f t="shared" ca="1" si="75"/>
        <v/>
      </c>
      <c r="HW52" s="253" t="s">
        <v>187</v>
      </c>
      <c r="HX52" s="112" t="str">
        <f t="shared" si="76"/>
        <v>7/11/2001</v>
      </c>
      <c r="HY52" t="s">
        <v>188</v>
      </c>
      <c r="HZ52" s="112" t="str">
        <f t="shared" si="77"/>
        <v>26/1/2002</v>
      </c>
      <c r="IA52" t="s">
        <v>189</v>
      </c>
      <c r="IB52">
        <f t="shared" si="78"/>
        <v>0</v>
      </c>
      <c r="IC52" t="s">
        <v>192</v>
      </c>
      <c r="ID52">
        <f t="shared" si="79"/>
        <v>0</v>
      </c>
      <c r="IE52" t="s">
        <v>191</v>
      </c>
      <c r="IF52" s="254">
        <f t="shared" si="80"/>
        <v>0</v>
      </c>
      <c r="IK52" t="str">
        <f t="shared" si="14"/>
        <v xml:space="preserve">DAL: 7/11/2001 - AL:26/1/2002 - ANNI:0 - MESI:0 -GIORNI:0
</v>
      </c>
      <c r="JE52" s="112" t="str">
        <f>IF(DP54=0,"",CONCATENATE(DAY(DP54),"/",MONTH(DP54),"/",YEAR(DP54),"
"))</f>
        <v/>
      </c>
      <c r="JP52">
        <f ca="1">IF(Foglio3!DM25=100000,0,IF(Foglio3!DM25="",0,1))</f>
        <v>1</v>
      </c>
      <c r="JQ52" s="314">
        <f ca="1" xml:space="preserve">   IF(JP52=1,     Foglio3!DM25,IF(JP52=0,IF(JP51=1,"","")))</f>
        <v>36434</v>
      </c>
      <c r="JR52" s="314">
        <f ca="1">IF(          Foglio3!DN25=100000,"",Foglio3!DN25)</f>
        <v>36454</v>
      </c>
      <c r="JS52" s="272">
        <f ca="1">IF(Foglio3!DN25=100000,"",Foglio3!DO25)</f>
        <v>7</v>
      </c>
      <c r="JT52" s="272">
        <f ca="1">IF(Foglio3!DN25=100000,"",Foglio3!DP25)</f>
        <v>24</v>
      </c>
      <c r="JU52" s="272">
        <f ca="1">IF(Foglio3!DN25=100000,"",Foglio3!DQ25)</f>
        <v>21</v>
      </c>
      <c r="JV52" s="272">
        <f ca="1">IF(JU52="","",Foglio3!DR25)</f>
        <v>0</v>
      </c>
      <c r="JW52" s="272">
        <f ca="1">IF(Foglio3!DN25=100000,"",Foglio3!DS25)</f>
        <v>0</v>
      </c>
      <c r="JX52" s="272">
        <f ca="1">IF(Foglio3!DN25=100000,"",Foglio3!DT25)</f>
        <v>0</v>
      </c>
      <c r="JY52" s="272">
        <f ca="1">IF(Foglio3!DN25=100000,"",Foglio3!DU25)</f>
        <v>0</v>
      </c>
      <c r="JZ52" s="272" t="str">
        <f ca="1">IF(Foglio3!DN25=100000,"",Foglio3!DV25)</f>
        <v>0/2 anni</v>
      </c>
      <c r="KC52">
        <v>0</v>
      </c>
      <c r="KD52" s="260">
        <f t="shared" ca="1" si="81"/>
        <v>39114</v>
      </c>
      <c r="KE52" t="str">
        <f t="shared" si="82"/>
        <v>0-2 anni</v>
      </c>
      <c r="KF52">
        <f t="shared" si="15"/>
        <v>6</v>
      </c>
      <c r="KG52" s="238">
        <f t="shared" ca="1" si="16"/>
        <v>129</v>
      </c>
      <c r="KJ52">
        <f t="shared" ca="1" si="83"/>
        <v>12106.43</v>
      </c>
      <c r="KK52">
        <f t="shared" ca="1" si="17"/>
        <v>0</v>
      </c>
      <c r="KL52">
        <f t="shared" ca="1" si="17"/>
        <v>0</v>
      </c>
      <c r="KM52">
        <f t="shared" ca="1" si="17"/>
        <v>6384.11</v>
      </c>
      <c r="KN52">
        <f t="shared" ca="1" si="17"/>
        <v>0</v>
      </c>
      <c r="KU52">
        <f t="shared" ca="1" si="18"/>
        <v>1968</v>
      </c>
      <c r="KZ52" s="254" t="str">
        <f t="shared" si="84"/>
        <v>0-2 anni</v>
      </c>
      <c r="LA52" s="112">
        <f t="shared" si="85"/>
        <v>37202</v>
      </c>
      <c r="LB52" s="112">
        <f t="shared" si="86"/>
        <v>37282</v>
      </c>
      <c r="LC52">
        <f t="shared" ca="1" si="87"/>
        <v>20458.54</v>
      </c>
      <c r="LD52" s="262">
        <f t="shared" ca="1" si="88"/>
        <v>20958.03</v>
      </c>
      <c r="LE52">
        <f t="shared" si="89"/>
        <v>0</v>
      </c>
      <c r="LF52">
        <f t="shared" ca="1" si="90"/>
        <v>0</v>
      </c>
    </row>
    <row r="53" spans="1:318" ht="82.15" customHeight="1" x14ac:dyDescent="0.25">
      <c r="A53" s="112">
        <f t="shared" si="128"/>
        <v>36892</v>
      </c>
      <c r="B53" s="112">
        <f t="shared" si="19"/>
        <v>37257</v>
      </c>
      <c r="E53" s="240">
        <f>Foglio3!F33</f>
        <v>37284</v>
      </c>
      <c r="F53" s="240">
        <f>Foglio3!G33</f>
        <v>37437</v>
      </c>
      <c r="G53" s="244"/>
      <c r="H53" s="245">
        <f t="shared" si="20"/>
        <v>37284</v>
      </c>
      <c r="I53" s="245">
        <f t="shared" si="2"/>
        <v>37437</v>
      </c>
      <c r="J53" s="244"/>
      <c r="K53" s="244"/>
      <c r="Q53">
        <f t="shared" ref="Q53:Q116" si="154">I53-H53+1</f>
        <v>154</v>
      </c>
      <c r="R53">
        <f t="shared" ref="R53:R116" si="155">IF(Q53&lt;0,0,Q53-BV53*AG53)</f>
        <v>0</v>
      </c>
      <c r="S53">
        <f t="shared" ref="S53:S116" si="156">INT(R53/365)</f>
        <v>0</v>
      </c>
      <c r="T53">
        <f t="shared" ref="T53:T116" si="157">INT( (R53-(S53*365))/30)</f>
        <v>0</v>
      </c>
      <c r="U53">
        <f t="shared" ref="U53:U116" si="158">R53- ((S53*365)+T53*30)</f>
        <v>0</v>
      </c>
      <c r="W53">
        <f t="shared" ref="W53:W116" si="159">S53+W52</f>
        <v>0</v>
      </c>
      <c r="X53">
        <f t="shared" ref="X53:X116" si="160">T53+X52</f>
        <v>34</v>
      </c>
      <c r="Y53">
        <f t="shared" ref="Y53:Y116" si="161">U53+Y52</f>
        <v>101</v>
      </c>
      <c r="AA53" s="112">
        <f t="shared" si="91"/>
        <v>37284</v>
      </c>
      <c r="AB53" s="112">
        <f t="shared" si="92"/>
        <v>37437</v>
      </c>
      <c r="AG53">
        <f t="shared" si="22"/>
        <v>1</v>
      </c>
      <c r="AH53" s="112">
        <f t="shared" si="93"/>
        <v>37284</v>
      </c>
      <c r="AI53" s="112">
        <f t="shared" si="94"/>
        <v>37437</v>
      </c>
      <c r="AJ53">
        <f t="shared" si="23"/>
        <v>1</v>
      </c>
      <c r="AK53">
        <f t="shared" si="95"/>
        <v>0</v>
      </c>
      <c r="AL53">
        <f t="shared" si="122"/>
        <v>0</v>
      </c>
      <c r="AN53">
        <f t="shared" si="123"/>
        <v>0</v>
      </c>
      <c r="AO53">
        <f t="shared" si="124"/>
        <v>0</v>
      </c>
      <c r="AP53">
        <f t="shared" si="96"/>
        <v>0</v>
      </c>
      <c r="AS53">
        <f t="shared" si="130"/>
        <v>1</v>
      </c>
      <c r="AT53">
        <f t="shared" si="131"/>
        <v>0</v>
      </c>
      <c r="AV53">
        <f t="shared" si="132"/>
        <v>154</v>
      </c>
      <c r="AW53">
        <f t="shared" si="133"/>
        <v>0</v>
      </c>
      <c r="AX53">
        <f t="shared" si="97"/>
        <v>154</v>
      </c>
      <c r="BA53">
        <f t="shared" si="150"/>
        <v>0</v>
      </c>
      <c r="BB53">
        <f t="shared" si="151"/>
        <v>0</v>
      </c>
      <c r="BD53">
        <f t="shared" si="135"/>
        <v>0</v>
      </c>
      <c r="BE53">
        <f t="shared" si="136"/>
        <v>0</v>
      </c>
      <c r="BF53">
        <f t="shared" si="127"/>
        <v>0</v>
      </c>
      <c r="BI53">
        <f t="shared" si="137"/>
        <v>0</v>
      </c>
      <c r="BJ53">
        <f t="shared" si="139"/>
        <v>0</v>
      </c>
      <c r="BK53">
        <f t="shared" si="140"/>
        <v>0</v>
      </c>
      <c r="BL53">
        <f t="shared" si="141"/>
        <v>0</v>
      </c>
      <c r="BM53">
        <f t="shared" si="134"/>
        <v>0</v>
      </c>
      <c r="BO53">
        <f t="shared" si="142"/>
        <v>1</v>
      </c>
      <c r="BP53">
        <f t="shared" si="143"/>
        <v>0</v>
      </c>
      <c r="BR53">
        <f t="shared" si="144"/>
        <v>154</v>
      </c>
      <c r="BS53">
        <f t="shared" si="145"/>
        <v>0</v>
      </c>
      <c r="BT53">
        <f t="shared" si="138"/>
        <v>154</v>
      </c>
      <c r="BV53">
        <f t="shared" si="98"/>
        <v>154</v>
      </c>
      <c r="BX53">
        <f t="shared" si="99"/>
        <v>0</v>
      </c>
      <c r="BY53">
        <f t="shared" si="100"/>
        <v>154</v>
      </c>
      <c r="BZ53">
        <f t="shared" si="101"/>
        <v>0</v>
      </c>
      <c r="CA53">
        <f t="shared" si="102"/>
        <v>0</v>
      </c>
      <c r="CB53">
        <f t="shared" si="103"/>
        <v>154</v>
      </c>
      <c r="CG53">
        <f t="shared" si="24"/>
        <v>2002</v>
      </c>
      <c r="CH53">
        <f t="shared" si="25"/>
        <v>2002</v>
      </c>
      <c r="CJ53">
        <f t="shared" si="26"/>
        <v>0</v>
      </c>
      <c r="CK53">
        <f t="shared" si="147"/>
        <v>0</v>
      </c>
      <c r="CL53">
        <f t="shared" si="27"/>
        <v>0</v>
      </c>
      <c r="CN53">
        <f t="shared" si="28"/>
        <v>0</v>
      </c>
      <c r="CS53">
        <f t="shared" si="29"/>
        <v>0</v>
      </c>
      <c r="CT53">
        <f t="shared" si="104"/>
        <v>1121</v>
      </c>
      <c r="CU53" s="243">
        <f t="shared" si="30"/>
        <v>1121</v>
      </c>
      <c r="CV53" s="112">
        <f t="shared" si="31"/>
        <v>37437</v>
      </c>
      <c r="CX53" s="112">
        <f t="shared" si="149"/>
        <v>100000</v>
      </c>
      <c r="CY53" s="270">
        <f t="shared" si="105"/>
        <v>100000</v>
      </c>
      <c r="CZ53" s="112">
        <f t="shared" si="106"/>
        <v>100000</v>
      </c>
      <c r="DA53" s="112">
        <f t="shared" si="107"/>
        <v>100000</v>
      </c>
      <c r="DB53" s="112">
        <f t="shared" si="108"/>
        <v>100000</v>
      </c>
      <c r="DC53" s="112">
        <f t="shared" si="109"/>
        <v>100000</v>
      </c>
      <c r="DU53" s="112"/>
      <c r="DV53" s="112"/>
      <c r="DW53" s="277">
        <v>39083</v>
      </c>
      <c r="DX53" s="276"/>
      <c r="DY53" s="276"/>
      <c r="DZ53" s="276"/>
      <c r="EF53" s="260">
        <f t="shared" si="148"/>
        <v>36892</v>
      </c>
      <c r="EK53" s="254"/>
      <c r="EL53">
        <f t="shared" si="152"/>
        <v>14</v>
      </c>
      <c r="EM53" s="260">
        <f t="shared" si="111"/>
        <v>39114</v>
      </c>
      <c r="EN53">
        <f t="shared" si="112"/>
        <v>15</v>
      </c>
      <c r="EO53" s="112">
        <f t="shared" si="113"/>
        <v>39264</v>
      </c>
      <c r="EP53" s="112">
        <f t="shared" si="36"/>
        <v>39264</v>
      </c>
      <c r="ET53">
        <f t="shared" si="37"/>
        <v>3</v>
      </c>
      <c r="EU53" s="260">
        <f t="shared" si="38"/>
        <v>39264</v>
      </c>
      <c r="EV53" t="str">
        <f t="shared" si="39"/>
        <v>3-8 anni</v>
      </c>
      <c r="EW53">
        <f t="shared" si="5"/>
        <v>5</v>
      </c>
      <c r="EX53" s="238">
        <f t="shared" ca="1" si="6"/>
        <v>130</v>
      </c>
      <c r="FA53">
        <f t="shared" ca="1" si="40"/>
        <v>18990.03</v>
      </c>
      <c r="FB53">
        <f t="shared" ca="1" si="7"/>
        <v>0</v>
      </c>
      <c r="FC53">
        <f t="shared" ca="1" si="7"/>
        <v>0</v>
      </c>
      <c r="FD53">
        <f t="shared" ca="1" si="41"/>
        <v>0</v>
      </c>
      <c r="FE53">
        <f t="shared" ca="1" si="7"/>
        <v>0</v>
      </c>
      <c r="FG53">
        <f t="shared" ca="1" si="42"/>
        <v>0</v>
      </c>
      <c r="FL53">
        <f t="shared" ca="1" si="8"/>
        <v>1968</v>
      </c>
      <c r="FQ53" s="254" t="str">
        <f t="shared" si="43"/>
        <v>3-8 anni</v>
      </c>
      <c r="FR53">
        <f t="shared" si="114"/>
        <v>53</v>
      </c>
      <c r="FS53" t="str">
        <f t="shared" ca="1" si="44"/>
        <v>ev53</v>
      </c>
      <c r="FT53" t="str">
        <f t="shared" ca="1" si="45"/>
        <v>EU53</v>
      </c>
      <c r="FU53" t="str">
        <f t="shared" ca="1" si="45"/>
        <v>FA53</v>
      </c>
      <c r="FV53" t="str">
        <f t="shared" ca="1" si="153"/>
        <v>FB53</v>
      </c>
      <c r="FW53" t="str">
        <f t="shared" ca="1" si="153"/>
        <v>FC53</v>
      </c>
      <c r="FX53" t="str">
        <f t="shared" ca="1" si="153"/>
        <v>FD53</v>
      </c>
      <c r="FY53" t="str">
        <f t="shared" ca="1" si="153"/>
        <v>FE53</v>
      </c>
      <c r="FZ53" t="str">
        <f t="shared" ca="1" si="153"/>
        <v>FG53</v>
      </c>
      <c r="GA53" t="str">
        <f t="shared" ca="1" si="153"/>
        <v>FL53</v>
      </c>
      <c r="GB53" t="str">
        <f t="shared" ca="1" si="153"/>
        <v/>
      </c>
      <c r="GC53" t="str">
        <f t="shared" ca="1" si="153"/>
        <v/>
      </c>
      <c r="GD53">
        <f t="shared" ca="1" si="115"/>
        <v>14</v>
      </c>
      <c r="GE53" s="112">
        <f t="shared" ca="1" si="47"/>
        <v>39264</v>
      </c>
      <c r="GF53" s="112" t="str">
        <f t="shared" ca="1" si="48"/>
        <v>3-8 anni</v>
      </c>
      <c r="GG53" s="262">
        <f t="shared" ca="1" si="49"/>
        <v>18990.03</v>
      </c>
      <c r="GH53" s="262">
        <f t="shared" ca="1" si="50"/>
        <v>0</v>
      </c>
      <c r="GI53" s="262">
        <f t="shared" ca="1" si="51"/>
        <v>0</v>
      </c>
      <c r="GJ53" s="262">
        <f t="shared" ca="1" si="52"/>
        <v>0</v>
      </c>
      <c r="GK53" s="262">
        <f t="shared" ca="1" si="53"/>
        <v>0</v>
      </c>
      <c r="GL53" s="262">
        <f t="shared" ca="1" si="146"/>
        <v>0</v>
      </c>
      <c r="GM53" s="262">
        <f t="shared" ca="1" si="54"/>
        <v>1968</v>
      </c>
      <c r="GN53" s="262">
        <f t="shared" ca="1" si="55"/>
        <v>0</v>
      </c>
      <c r="GO53" s="262">
        <f t="shared" ca="1" si="11"/>
        <v>0</v>
      </c>
      <c r="GQ53" s="263" t="str">
        <f t="shared" ca="1" si="56"/>
        <v>C.C.N.L. COMPARTO  SCUOLA 2006/09</v>
      </c>
      <c r="GR53" s="262">
        <f t="shared" ca="1" si="57"/>
        <v>20958.03</v>
      </c>
      <c r="GS53" s="253" t="str">
        <f t="shared" ca="1" si="58"/>
        <v xml:space="preserve">ARTICOLO 14
</v>
      </c>
      <c r="GT53" t="str">
        <f t="shared" ca="1" si="59"/>
        <v xml:space="preserve">con decorrenza dalla data: 1/7/2007  </v>
      </c>
      <c r="GU53" t="str">
        <f t="shared" ca="1" si="60"/>
        <v xml:space="preserve"> Fascia: 3-8 anni - C.C.N.L. COMPARTO  SCUOLA 2006/09
</v>
      </c>
      <c r="GV53" t="str">
        <f t="shared" ca="1" si="61"/>
        <v xml:space="preserve">
                              Stipendio annuo lordo                            euro: 18990,03
</v>
      </c>
      <c r="GW53" t="str">
        <f t="shared" ca="1" si="62"/>
        <v/>
      </c>
      <c r="GX53" t="str">
        <f t="shared" ca="1" si="63"/>
        <v/>
      </c>
      <c r="GY53" t="str">
        <f t="shared" ca="1" si="64"/>
        <v/>
      </c>
      <c r="GZ53" t="str">
        <f t="shared" ca="1" si="65"/>
        <v/>
      </c>
      <c r="HA53" t="str">
        <f t="shared" ca="1" si="66"/>
        <v/>
      </c>
      <c r="HB53" t="str">
        <f t="shared" ca="1" si="67"/>
        <v xml:space="preserve">                                rpd/cia - annuo lordo                             euro: 1968
</v>
      </c>
      <c r="HC53" t="str">
        <f t="shared" ca="1" si="68"/>
        <v/>
      </c>
      <c r="HD53" s="254" t="str">
        <f t="shared" ca="1" si="69"/>
        <v/>
      </c>
      <c r="HE53" s="254" t="str">
        <f t="shared" ca="1" si="70"/>
        <v xml:space="preserve">
TOTALE ANNUO LORDO EURO 20958,03
</v>
      </c>
      <c r="HL53" s="263" t="str">
        <f t="shared" ca="1" si="71"/>
        <v xml:space="preserve">ARTICOLO 14
con decorrenza dalla data: 1/7/2007   Fascia: 3-8 anni - C.C.N.L. COMPARTO  SCUOLA 2006/09
                              Stipendio annuo lordo                            euro: 18990,03
                                rpd/cia - annuo lordo                             euro: 1968
TOTALE ANNUO LORDO EURO 20958,03
</v>
      </c>
      <c r="HM53" s="263"/>
      <c r="HN53" s="272" t="str">
        <f t="shared" ca="1" si="13"/>
        <v xml:space="preserve">ARTICOLO 14
con decorrenza dalla data: 1/7/2007   Fascia: 3-8 anni - C.C.N.L. COMPARTO  SCUOLA 2006/09
                              Stipendio annuo lordo                            euro: 18990,03
                                rpd/cia - annuo lordo                             euro: 1968
TOTALE ANNUO LORDO EURO 20958,03
</v>
      </c>
      <c r="HO53">
        <f t="shared" ca="1" si="72"/>
        <v>14</v>
      </c>
      <c r="HP53" t="str">
        <f t="shared" ca="1" si="73"/>
        <v/>
      </c>
      <c r="HQ53" t="str">
        <f t="shared" ca="1" si="74"/>
        <v/>
      </c>
      <c r="HR53" t="str">
        <f t="shared" ca="1" si="75"/>
        <v/>
      </c>
      <c r="HW53" s="253" t="s">
        <v>187</v>
      </c>
      <c r="HX53" s="112" t="str">
        <f t="shared" si="76"/>
        <v>28/1/2002</v>
      </c>
      <c r="HY53" t="s">
        <v>188</v>
      </c>
      <c r="HZ53" s="112" t="str">
        <f t="shared" si="77"/>
        <v>30/6/2002</v>
      </c>
      <c r="IA53" t="s">
        <v>189</v>
      </c>
      <c r="IB53">
        <f t="shared" si="78"/>
        <v>0</v>
      </c>
      <c r="IC53" t="s">
        <v>192</v>
      </c>
      <c r="ID53">
        <f t="shared" si="79"/>
        <v>0</v>
      </c>
      <c r="IE53" t="s">
        <v>191</v>
      </c>
      <c r="IF53" s="254">
        <f t="shared" si="80"/>
        <v>0</v>
      </c>
      <c r="IK53" t="str">
        <f t="shared" si="14"/>
        <v xml:space="preserve">DAL: 28/1/2002 - AL:30/6/2002 - ANNI:0 - MESI:0 -GIORNI:0
</v>
      </c>
      <c r="JP53">
        <f ca="1">IF(Foglio3!DM26=100000,0,IF(Foglio3!DM26="",0,1))</f>
        <v>1</v>
      </c>
      <c r="JQ53" s="314">
        <f ca="1" xml:space="preserve">   IF(JP53=1,     Foglio3!DM26,IF(JP53=0,IF(JP52=1,"","")))</f>
        <v>36456</v>
      </c>
      <c r="JR53" s="314">
        <f ca="1">IF(          Foglio3!DN26=100000,"",Foglio3!DN26)</f>
        <v>36707</v>
      </c>
      <c r="JS53" s="272">
        <f ca="1">IF(Foglio3!DN26=100000,"",Foglio3!DO26)</f>
        <v>18</v>
      </c>
      <c r="JT53" s="272">
        <f ca="1">IF(Foglio3!DN26=100000,"",Foglio3!DP26)</f>
        <v>24</v>
      </c>
      <c r="JU53" s="272">
        <f ca="1">IF(Foglio3!DN26=100000,"",Foglio3!DQ26)</f>
        <v>252</v>
      </c>
      <c r="JV53" s="272">
        <f ca="1">IF(JU53="","",Foglio3!DR26)</f>
        <v>0</v>
      </c>
      <c r="JW53" s="272">
        <f ca="1">IF(Foglio3!DN26=100000,"",Foglio3!DS26)</f>
        <v>0</v>
      </c>
      <c r="JX53" s="272">
        <f ca="1">IF(Foglio3!DN26=100000,"",Foglio3!DT26)</f>
        <v>0</v>
      </c>
      <c r="JY53" s="272">
        <f ca="1">IF(Foglio3!DN26=100000,"",Foglio3!DU26)</f>
        <v>0</v>
      </c>
      <c r="JZ53" s="272" t="str">
        <f ca="1">IF(Foglio3!DN26=100000,"",Foglio3!DV26)</f>
        <v>0/2 anni</v>
      </c>
      <c r="KC53">
        <v>0</v>
      </c>
      <c r="KD53" s="260">
        <f t="shared" ca="1" si="81"/>
        <v>39264</v>
      </c>
      <c r="KE53" t="str">
        <f t="shared" si="82"/>
        <v>0-2 anni</v>
      </c>
      <c r="KF53">
        <f t="shared" si="15"/>
        <v>6</v>
      </c>
      <c r="KG53" s="238">
        <f t="shared" ca="1" si="16"/>
        <v>129</v>
      </c>
      <c r="KJ53">
        <f t="shared" ca="1" si="83"/>
        <v>12106.43</v>
      </c>
      <c r="KK53">
        <f t="shared" ca="1" si="17"/>
        <v>0</v>
      </c>
      <c r="KL53">
        <f t="shared" ca="1" si="17"/>
        <v>0</v>
      </c>
      <c r="KM53">
        <f t="shared" ca="1" si="17"/>
        <v>6384.11</v>
      </c>
      <c r="KN53">
        <f t="shared" ca="1" si="17"/>
        <v>0</v>
      </c>
      <c r="KU53">
        <f t="shared" ca="1" si="18"/>
        <v>1968</v>
      </c>
      <c r="KZ53" s="254" t="str">
        <f t="shared" si="84"/>
        <v>0-2 anni</v>
      </c>
      <c r="LA53" s="112">
        <f t="shared" si="85"/>
        <v>37284</v>
      </c>
      <c r="LB53" s="112">
        <f t="shared" si="86"/>
        <v>37437</v>
      </c>
      <c r="LC53">
        <f t="shared" ca="1" si="87"/>
        <v>20458.54</v>
      </c>
      <c r="LD53" s="262">
        <f t="shared" ca="1" si="88"/>
        <v>20958.03</v>
      </c>
      <c r="LE53">
        <f t="shared" si="89"/>
        <v>0</v>
      </c>
      <c r="LF53">
        <f t="shared" ca="1" si="90"/>
        <v>0</v>
      </c>
    </row>
    <row r="54" spans="1:318" ht="165" x14ac:dyDescent="0.25">
      <c r="A54" s="112">
        <f t="shared" si="128"/>
        <v>36892</v>
      </c>
      <c r="B54" s="112">
        <f t="shared" si="19"/>
        <v>37257</v>
      </c>
      <c r="E54" s="240">
        <f>Foglio3!F34</f>
        <v>37537</v>
      </c>
      <c r="F54" s="240">
        <f>Foglio3!G34</f>
        <v>37551</v>
      </c>
      <c r="G54" s="244"/>
      <c r="H54" s="245">
        <f t="shared" si="20"/>
        <v>37537</v>
      </c>
      <c r="I54" s="245">
        <f t="shared" si="2"/>
        <v>37551</v>
      </c>
      <c r="J54" s="244"/>
      <c r="K54" s="244"/>
      <c r="Q54">
        <f t="shared" si="154"/>
        <v>15</v>
      </c>
      <c r="R54">
        <f t="shared" si="155"/>
        <v>15</v>
      </c>
      <c r="S54">
        <f t="shared" si="156"/>
        <v>0</v>
      </c>
      <c r="T54">
        <f t="shared" si="157"/>
        <v>0</v>
      </c>
      <c r="U54">
        <f t="shared" si="158"/>
        <v>15</v>
      </c>
      <c r="W54">
        <f t="shared" si="159"/>
        <v>0</v>
      </c>
      <c r="X54">
        <f t="shared" si="160"/>
        <v>34</v>
      </c>
      <c r="Y54">
        <f t="shared" si="161"/>
        <v>116</v>
      </c>
      <c r="AA54" s="112">
        <f t="shared" si="91"/>
        <v>37537</v>
      </c>
      <c r="AB54" s="112">
        <f t="shared" si="92"/>
        <v>37551</v>
      </c>
      <c r="AG54">
        <f t="shared" si="22"/>
        <v>1</v>
      </c>
      <c r="AH54" s="112">
        <f t="shared" si="93"/>
        <v>37537</v>
      </c>
      <c r="AI54" s="112">
        <f t="shared" si="94"/>
        <v>37551</v>
      </c>
      <c r="AJ54">
        <f t="shared" si="23"/>
        <v>1</v>
      </c>
      <c r="AK54">
        <f t="shared" si="95"/>
        <v>0</v>
      </c>
      <c r="AL54">
        <f t="shared" si="122"/>
        <v>0</v>
      </c>
      <c r="AN54">
        <f t="shared" si="123"/>
        <v>0</v>
      </c>
      <c r="AO54">
        <f t="shared" si="124"/>
        <v>0</v>
      </c>
      <c r="AP54">
        <f t="shared" si="96"/>
        <v>0</v>
      </c>
      <c r="AS54">
        <f t="shared" si="130"/>
        <v>0</v>
      </c>
      <c r="AT54">
        <f t="shared" si="131"/>
        <v>0</v>
      </c>
      <c r="AV54">
        <f t="shared" si="132"/>
        <v>0</v>
      </c>
      <c r="AW54">
        <f t="shared" si="133"/>
        <v>0</v>
      </c>
      <c r="AX54">
        <f t="shared" si="97"/>
        <v>0</v>
      </c>
      <c r="BA54">
        <f t="shared" si="150"/>
        <v>0</v>
      </c>
      <c r="BB54">
        <f t="shared" si="151"/>
        <v>0</v>
      </c>
      <c r="BD54">
        <f t="shared" si="135"/>
        <v>0</v>
      </c>
      <c r="BE54">
        <f t="shared" si="136"/>
        <v>0</v>
      </c>
      <c r="BF54">
        <f t="shared" si="127"/>
        <v>0</v>
      </c>
      <c r="BI54">
        <f t="shared" si="137"/>
        <v>0</v>
      </c>
      <c r="BJ54">
        <f t="shared" si="139"/>
        <v>0</v>
      </c>
      <c r="BK54">
        <f t="shared" si="140"/>
        <v>0</v>
      </c>
      <c r="BL54">
        <f t="shared" si="141"/>
        <v>0</v>
      </c>
      <c r="BM54">
        <f t="shared" si="134"/>
        <v>0</v>
      </c>
      <c r="BO54">
        <f t="shared" si="142"/>
        <v>0</v>
      </c>
      <c r="BP54">
        <f t="shared" si="143"/>
        <v>0</v>
      </c>
      <c r="BR54">
        <f t="shared" si="144"/>
        <v>0</v>
      </c>
      <c r="BS54">
        <f t="shared" si="145"/>
        <v>0</v>
      </c>
      <c r="BT54">
        <f t="shared" si="138"/>
        <v>0</v>
      </c>
      <c r="BV54">
        <f t="shared" si="98"/>
        <v>0</v>
      </c>
      <c r="BX54">
        <f t="shared" si="99"/>
        <v>0</v>
      </c>
      <c r="BY54">
        <f t="shared" si="100"/>
        <v>0</v>
      </c>
      <c r="BZ54">
        <f t="shared" si="101"/>
        <v>0</v>
      </c>
      <c r="CA54">
        <f t="shared" si="102"/>
        <v>0</v>
      </c>
      <c r="CB54">
        <f t="shared" si="103"/>
        <v>0</v>
      </c>
      <c r="CG54">
        <f t="shared" si="24"/>
        <v>2002</v>
      </c>
      <c r="CH54">
        <f t="shared" si="25"/>
        <v>2002</v>
      </c>
      <c r="CJ54">
        <f t="shared" si="26"/>
        <v>0</v>
      </c>
      <c r="CK54">
        <f t="shared" si="147"/>
        <v>0</v>
      </c>
      <c r="CL54">
        <f t="shared" si="27"/>
        <v>0</v>
      </c>
      <c r="CN54">
        <f t="shared" si="28"/>
        <v>0</v>
      </c>
      <c r="CS54">
        <f t="shared" si="29"/>
        <v>15</v>
      </c>
      <c r="CT54">
        <f t="shared" si="104"/>
        <v>1136</v>
      </c>
      <c r="CU54" s="243">
        <f t="shared" si="30"/>
        <v>1136</v>
      </c>
      <c r="CV54" s="112">
        <f t="shared" si="31"/>
        <v>37551</v>
      </c>
      <c r="CX54" s="112">
        <f t="shared" si="149"/>
        <v>100000</v>
      </c>
      <c r="CY54" s="112">
        <f t="shared" si="105"/>
        <v>100000</v>
      </c>
      <c r="CZ54" s="112">
        <f t="shared" si="106"/>
        <v>100000</v>
      </c>
      <c r="DA54" s="112">
        <f t="shared" si="107"/>
        <v>100000</v>
      </c>
      <c r="DB54" s="112">
        <f t="shared" si="108"/>
        <v>100000</v>
      </c>
      <c r="DC54" s="112">
        <f t="shared" si="109"/>
        <v>100000</v>
      </c>
      <c r="DU54" s="112"/>
      <c r="DV54" s="112"/>
      <c r="DW54" s="277">
        <v>39114</v>
      </c>
      <c r="DX54" s="276"/>
      <c r="DY54" s="276"/>
      <c r="DZ54" s="276"/>
      <c r="EF54" s="260">
        <f t="shared" si="148"/>
        <v>37257</v>
      </c>
      <c r="EK54" s="254"/>
      <c r="EL54">
        <f t="shared" si="152"/>
        <v>15</v>
      </c>
      <c r="EM54" s="260">
        <f t="shared" si="111"/>
        <v>39264</v>
      </c>
      <c r="EN54">
        <f t="shared" si="112"/>
        <v>16</v>
      </c>
      <c r="EO54" s="112">
        <f t="shared" si="113"/>
        <v>39447</v>
      </c>
      <c r="EP54" s="112">
        <f>IF(             AND(ISERR(EM54)=FALSE,ISERR(EO54)=FALSE  ),EO54,"")</f>
        <v>39447</v>
      </c>
      <c r="ET54">
        <f t="shared" si="37"/>
        <v>3</v>
      </c>
      <c r="EU54" s="260">
        <f t="shared" si="38"/>
        <v>39447</v>
      </c>
      <c r="EV54" t="str">
        <f t="shared" si="39"/>
        <v>3-8 anni</v>
      </c>
      <c r="EW54">
        <f t="shared" si="5"/>
        <v>5</v>
      </c>
      <c r="EX54" s="238">
        <f t="shared" ca="1" si="6"/>
        <v>137</v>
      </c>
      <c r="FA54">
        <f t="shared" ca="1" si="40"/>
        <v>19112.07</v>
      </c>
      <c r="FB54">
        <f t="shared" ca="1" si="7"/>
        <v>0</v>
      </c>
      <c r="FC54">
        <f t="shared" ca="1" si="7"/>
        <v>0</v>
      </c>
      <c r="FD54">
        <f t="shared" ca="1" si="41"/>
        <v>0</v>
      </c>
      <c r="FE54">
        <f t="shared" ca="1" si="7"/>
        <v>0</v>
      </c>
      <c r="FG54">
        <f t="shared" ca="1" si="42"/>
        <v>0</v>
      </c>
      <c r="FL54">
        <f t="shared" ca="1" si="8"/>
        <v>1968</v>
      </c>
      <c r="FQ54" s="254" t="str">
        <f t="shared" si="43"/>
        <v>3-8 anni</v>
      </c>
      <c r="FR54">
        <f t="shared" si="114"/>
        <v>54</v>
      </c>
      <c r="FS54" t="str">
        <f t="shared" ca="1" si="44"/>
        <v>ev54</v>
      </c>
      <c r="FT54" t="str">
        <f t="shared" ca="1" si="45"/>
        <v>EU54</v>
      </c>
      <c r="FU54" t="str">
        <f t="shared" ca="1" si="45"/>
        <v>FA54</v>
      </c>
      <c r="FV54" t="str">
        <f t="shared" ca="1" si="153"/>
        <v>FB54</v>
      </c>
      <c r="FW54" t="str">
        <f t="shared" ca="1" si="153"/>
        <v>FC54</v>
      </c>
      <c r="FX54" t="str">
        <f t="shared" ca="1" si="153"/>
        <v>FD54</v>
      </c>
      <c r="FY54" t="str">
        <f t="shared" ca="1" si="153"/>
        <v>FE54</v>
      </c>
      <c r="FZ54" t="str">
        <f t="shared" ca="1" si="153"/>
        <v>FG54</v>
      </c>
      <c r="GA54" t="str">
        <f t="shared" ca="1" si="153"/>
        <v>FL54</v>
      </c>
      <c r="GB54" t="str">
        <f t="shared" ca="1" si="153"/>
        <v/>
      </c>
      <c r="GC54" t="str">
        <f t="shared" ca="1" si="153"/>
        <v/>
      </c>
      <c r="GD54">
        <f t="shared" ca="1" si="115"/>
        <v>15</v>
      </c>
      <c r="GE54" s="112">
        <f t="shared" ca="1" si="47"/>
        <v>39447</v>
      </c>
      <c r="GF54" s="112" t="str">
        <f t="shared" ca="1" si="48"/>
        <v>3-8 anni</v>
      </c>
      <c r="GG54" s="262">
        <f t="shared" ca="1" si="49"/>
        <v>19112.07</v>
      </c>
      <c r="GH54" s="262">
        <f t="shared" ca="1" si="50"/>
        <v>0</v>
      </c>
      <c r="GI54" s="262">
        <f t="shared" ca="1" si="51"/>
        <v>0</v>
      </c>
      <c r="GJ54" s="262">
        <f t="shared" ca="1" si="52"/>
        <v>0</v>
      </c>
      <c r="GK54" s="262">
        <f t="shared" ca="1" si="53"/>
        <v>0</v>
      </c>
      <c r="GL54" s="262">
        <f t="shared" ca="1" si="146"/>
        <v>0</v>
      </c>
      <c r="GM54" s="262">
        <f t="shared" ca="1" si="54"/>
        <v>1968</v>
      </c>
      <c r="GN54" s="262">
        <f t="shared" ca="1" si="55"/>
        <v>0</v>
      </c>
      <c r="GO54" s="262">
        <f t="shared" ca="1" si="11"/>
        <v>0</v>
      </c>
      <c r="GQ54" s="263" t="str">
        <f t="shared" ca="1" si="56"/>
        <v>C.C.N.L. COMPARTO  SCUOLA 2006/09</v>
      </c>
      <c r="GR54" s="262">
        <f t="shared" ca="1" si="57"/>
        <v>21080.07</v>
      </c>
      <c r="GS54" s="253" t="str">
        <f t="shared" ca="1" si="58"/>
        <v xml:space="preserve">ARTICOLO 15
</v>
      </c>
      <c r="GT54" t="str">
        <f t="shared" ca="1" si="59"/>
        <v xml:space="preserve">con decorrenza dalla data: 31/12/2007  </v>
      </c>
      <c r="GU54" t="str">
        <f t="shared" ca="1" si="60"/>
        <v xml:space="preserve"> Fascia: 3-8 anni - C.C.N.L. COMPARTO  SCUOLA 2006/09
</v>
      </c>
      <c r="GV54" t="str">
        <f t="shared" ca="1" si="61"/>
        <v xml:space="preserve">
                              Stipendio annuo lordo                            euro: 19112,07
</v>
      </c>
      <c r="GW54" t="str">
        <f t="shared" ca="1" si="62"/>
        <v/>
      </c>
      <c r="GX54" t="str">
        <f t="shared" ca="1" si="63"/>
        <v/>
      </c>
      <c r="GY54" t="str">
        <f t="shared" ca="1" si="64"/>
        <v/>
      </c>
      <c r="GZ54" t="str">
        <f t="shared" ca="1" si="65"/>
        <v/>
      </c>
      <c r="HA54" t="str">
        <f t="shared" ca="1" si="66"/>
        <v/>
      </c>
      <c r="HB54" t="str">
        <f t="shared" ca="1" si="67"/>
        <v xml:space="preserve">                                rpd/cia - annuo lordo                             euro: 1968
</v>
      </c>
      <c r="HC54" t="str">
        <f t="shared" ca="1" si="68"/>
        <v/>
      </c>
      <c r="HD54" s="254" t="str">
        <f t="shared" ca="1" si="69"/>
        <v/>
      </c>
      <c r="HE54" s="254" t="str">
        <f t="shared" ca="1" si="70"/>
        <v xml:space="preserve">
TOTALE ANNUO LORDO EURO 21080,07
</v>
      </c>
      <c r="HL54" s="263" t="str">
        <f t="shared" ca="1" si="71"/>
        <v xml:space="preserve">ARTICOLO 15
con decorrenza dalla data: 31/12/2007   Fascia: 3-8 anni - C.C.N.L. COMPARTO  SCUOLA 2006/09
                              Stipendio annuo lordo                            euro: 19112,07
                                rpd/cia - annuo lordo                             euro: 1968
TOTALE ANNUO LORDO EURO 21080,07
</v>
      </c>
      <c r="HM54" s="263"/>
      <c r="HN54" s="272" t="str">
        <f t="shared" ca="1" si="13"/>
        <v xml:space="preserve">ARTICOLO 15
con decorrenza dalla data: 31/12/2007   Fascia: 3-8 anni - C.C.N.L. COMPARTO  SCUOLA 2006/09
                              Stipendio annuo lordo                            euro: 19112,07
                                rpd/cia - annuo lordo                             euro: 1968
TOTALE ANNUO LORDO EURO 21080,07
</v>
      </c>
      <c r="HO54">
        <f t="shared" ca="1" si="72"/>
        <v>15</v>
      </c>
      <c r="HP54" t="str">
        <f t="shared" ca="1" si="73"/>
        <v/>
      </c>
      <c r="HQ54" t="str">
        <f t="shared" ca="1" si="74"/>
        <v/>
      </c>
      <c r="HR54" t="str">
        <f t="shared" ca="1" si="75"/>
        <v/>
      </c>
      <c r="HW54" s="253" t="s">
        <v>187</v>
      </c>
      <c r="HX54" s="112" t="str">
        <f t="shared" si="76"/>
        <v>8/10/2002</v>
      </c>
      <c r="HY54" t="s">
        <v>188</v>
      </c>
      <c r="HZ54" s="112" t="str">
        <f t="shared" si="77"/>
        <v>22/10/2002</v>
      </c>
      <c r="IA54" t="s">
        <v>189</v>
      </c>
      <c r="IB54">
        <f t="shared" si="78"/>
        <v>0</v>
      </c>
      <c r="IC54" t="s">
        <v>192</v>
      </c>
      <c r="ID54">
        <f t="shared" si="79"/>
        <v>0</v>
      </c>
      <c r="IE54" t="s">
        <v>191</v>
      </c>
      <c r="IF54" s="254">
        <f t="shared" si="80"/>
        <v>15</v>
      </c>
      <c r="IK54" t="str">
        <f t="shared" si="14"/>
        <v xml:space="preserve">DAL: 8/10/2002 - AL:22/10/2002 - ANNI:0 - MESI:0 -GIORNI:15
</v>
      </c>
      <c r="JP54">
        <f ca="1">IF(Foglio3!DM27=100000,0,IF(Foglio3!DM27="",0,1))</f>
        <v>1</v>
      </c>
      <c r="JQ54" s="314">
        <f ca="1" xml:space="preserve">   IF(JP54=1,     Foglio3!DM27,IF(JP54=0,IF(JP53=1,"","")))</f>
        <v>36708</v>
      </c>
      <c r="JR54" s="314">
        <f ca="1">IF(          Foglio3!DN27=100000,"",Foglio3!DN27)</f>
        <v>36769</v>
      </c>
      <c r="JS54" s="272">
        <f ca="1">IF(Foglio3!DN27=100000,"",Foglio3!DO27)</f>
        <v>18</v>
      </c>
      <c r="JT54" s="272">
        <f ca="1">IF(Foglio3!DN27=100000,"",Foglio3!DP27)</f>
        <v>24</v>
      </c>
      <c r="JU54" s="272">
        <f ca="1">IF(Foglio3!DN27=100000,"",Foglio3!DQ27)</f>
        <v>62</v>
      </c>
      <c r="JV54" s="272">
        <f ca="1">IF(JU54="","",Foglio3!DR27)</f>
        <v>0</v>
      </c>
      <c r="JW54" s="272">
        <f ca="1">IF(Foglio3!DN27=100000,"",Foglio3!DS27)</f>
        <v>0</v>
      </c>
      <c r="JX54" s="272">
        <f ca="1">IF(Foglio3!DN27=100000,"",Foglio3!DT27)</f>
        <v>0</v>
      </c>
      <c r="JY54" s="272">
        <f ca="1">IF(Foglio3!DN27=100000,"",Foglio3!DU27)</f>
        <v>0</v>
      </c>
      <c r="JZ54" s="272" t="str">
        <f ca="1">IF(Foglio3!DN27=100000,"",Foglio3!DV27)</f>
        <v>0/2 anni</v>
      </c>
      <c r="KC54">
        <v>0</v>
      </c>
      <c r="KD54" s="260">
        <f t="shared" ca="1" si="81"/>
        <v>39447</v>
      </c>
      <c r="KE54" t="str">
        <f t="shared" si="82"/>
        <v>0-2 anni</v>
      </c>
      <c r="KF54">
        <f t="shared" si="15"/>
        <v>6</v>
      </c>
      <c r="KG54" s="238">
        <f t="shared" ca="1" si="16"/>
        <v>136</v>
      </c>
      <c r="KJ54">
        <f t="shared" ca="1" si="83"/>
        <v>12225.23</v>
      </c>
      <c r="KK54">
        <f t="shared" ca="1" si="17"/>
        <v>0</v>
      </c>
      <c r="KL54">
        <f t="shared" ca="1" si="17"/>
        <v>0</v>
      </c>
      <c r="KM54">
        <f t="shared" ca="1" si="17"/>
        <v>6384.11</v>
      </c>
      <c r="KN54">
        <f t="shared" ca="1" si="17"/>
        <v>0</v>
      </c>
      <c r="KU54">
        <f t="shared" ca="1" si="18"/>
        <v>1968</v>
      </c>
      <c r="KZ54" s="254" t="str">
        <f t="shared" si="84"/>
        <v>0-2 anni</v>
      </c>
      <c r="LA54" s="112">
        <f t="shared" si="85"/>
        <v>37537</v>
      </c>
      <c r="LB54" s="112">
        <f t="shared" si="86"/>
        <v>37551</v>
      </c>
      <c r="LC54">
        <f t="shared" ca="1" si="87"/>
        <v>20577.34</v>
      </c>
      <c r="LD54" s="262">
        <f t="shared" ca="1" si="88"/>
        <v>21080.07</v>
      </c>
      <c r="LE54">
        <f t="shared" si="89"/>
        <v>15</v>
      </c>
      <c r="LF54">
        <f t="shared" ca="1" si="90"/>
        <v>20.66</v>
      </c>
    </row>
    <row r="55" spans="1:318" ht="165" x14ac:dyDescent="0.25">
      <c r="A55" s="112">
        <f t="shared" si="128"/>
        <v>36892</v>
      </c>
      <c r="B55" s="112">
        <f t="shared" si="19"/>
        <v>37257</v>
      </c>
      <c r="E55" s="240">
        <f>Foglio3!F35</f>
        <v>37540</v>
      </c>
      <c r="F55" s="240">
        <f>Foglio3!G35</f>
        <v>37574</v>
      </c>
      <c r="G55" s="244"/>
      <c r="H55" s="245">
        <f t="shared" si="20"/>
        <v>37540</v>
      </c>
      <c r="I55" s="245">
        <f t="shared" si="2"/>
        <v>37574</v>
      </c>
      <c r="J55" s="244"/>
      <c r="K55" s="244"/>
      <c r="Q55">
        <f t="shared" si="154"/>
        <v>35</v>
      </c>
      <c r="R55">
        <f t="shared" si="155"/>
        <v>23</v>
      </c>
      <c r="S55">
        <f t="shared" si="156"/>
        <v>0</v>
      </c>
      <c r="T55">
        <f t="shared" si="157"/>
        <v>0</v>
      </c>
      <c r="U55">
        <f t="shared" si="158"/>
        <v>23</v>
      </c>
      <c r="W55">
        <f t="shared" si="159"/>
        <v>0</v>
      </c>
      <c r="X55">
        <f t="shared" si="160"/>
        <v>34</v>
      </c>
      <c r="Y55">
        <f t="shared" si="161"/>
        <v>139</v>
      </c>
      <c r="AA55" s="112">
        <f t="shared" si="91"/>
        <v>37540</v>
      </c>
      <c r="AB55" s="112">
        <f t="shared" si="92"/>
        <v>37574</v>
      </c>
      <c r="AG55">
        <f t="shared" si="22"/>
        <v>1</v>
      </c>
      <c r="AH55" s="112">
        <f t="shared" si="93"/>
        <v>37540</v>
      </c>
      <c r="AI55" s="112">
        <f t="shared" si="94"/>
        <v>37574</v>
      </c>
      <c r="AJ55">
        <f t="shared" si="23"/>
        <v>1</v>
      </c>
      <c r="AK55">
        <f t="shared" si="95"/>
        <v>0</v>
      </c>
      <c r="AL55">
        <f t="shared" si="122"/>
        <v>1</v>
      </c>
      <c r="AN55">
        <f t="shared" si="123"/>
        <v>0</v>
      </c>
      <c r="AO55">
        <f t="shared" si="124"/>
        <v>12</v>
      </c>
      <c r="AP55">
        <f t="shared" si="96"/>
        <v>12</v>
      </c>
      <c r="AS55">
        <f t="shared" si="130"/>
        <v>0</v>
      </c>
      <c r="AT55">
        <f t="shared" si="131"/>
        <v>0</v>
      </c>
      <c r="AV55">
        <f t="shared" si="132"/>
        <v>0</v>
      </c>
      <c r="AW55">
        <f t="shared" si="133"/>
        <v>0</v>
      </c>
      <c r="AX55">
        <f t="shared" si="97"/>
        <v>0</v>
      </c>
      <c r="BA55">
        <f t="shared" si="150"/>
        <v>0</v>
      </c>
      <c r="BB55">
        <f t="shared" si="151"/>
        <v>0</v>
      </c>
      <c r="BD55">
        <f t="shared" si="135"/>
        <v>0</v>
      </c>
      <c r="BE55">
        <f t="shared" si="136"/>
        <v>0</v>
      </c>
      <c r="BF55">
        <f t="shared" si="127"/>
        <v>0</v>
      </c>
      <c r="BI55">
        <f t="shared" si="137"/>
        <v>0</v>
      </c>
      <c r="BJ55">
        <f t="shared" si="139"/>
        <v>0</v>
      </c>
      <c r="BK55">
        <f t="shared" si="140"/>
        <v>0</v>
      </c>
      <c r="BL55">
        <f t="shared" si="141"/>
        <v>0</v>
      </c>
      <c r="BM55">
        <f t="shared" si="134"/>
        <v>0</v>
      </c>
      <c r="BO55">
        <f t="shared" si="142"/>
        <v>0</v>
      </c>
      <c r="BP55">
        <f t="shared" si="143"/>
        <v>0</v>
      </c>
      <c r="BR55">
        <f t="shared" si="144"/>
        <v>0</v>
      </c>
      <c r="BS55">
        <f t="shared" si="145"/>
        <v>0</v>
      </c>
      <c r="BT55">
        <f t="shared" si="138"/>
        <v>0</v>
      </c>
      <c r="BV55">
        <f t="shared" si="98"/>
        <v>12</v>
      </c>
      <c r="BX55">
        <f t="shared" si="99"/>
        <v>12</v>
      </c>
      <c r="BY55">
        <f t="shared" si="100"/>
        <v>0</v>
      </c>
      <c r="BZ55">
        <f t="shared" si="101"/>
        <v>0</v>
      </c>
      <c r="CA55">
        <f t="shared" si="102"/>
        <v>0</v>
      </c>
      <c r="CB55">
        <f t="shared" si="103"/>
        <v>0</v>
      </c>
      <c r="CG55">
        <f t="shared" si="24"/>
        <v>2002</v>
      </c>
      <c r="CH55">
        <f t="shared" si="25"/>
        <v>2002</v>
      </c>
      <c r="CJ55">
        <f t="shared" si="26"/>
        <v>0</v>
      </c>
      <c r="CK55">
        <f t="shared" si="147"/>
        <v>0</v>
      </c>
      <c r="CL55">
        <f t="shared" si="27"/>
        <v>0</v>
      </c>
      <c r="CN55">
        <f t="shared" si="28"/>
        <v>0</v>
      </c>
      <c r="CS55">
        <f t="shared" si="29"/>
        <v>23</v>
      </c>
      <c r="CT55">
        <f t="shared" si="104"/>
        <v>1159</v>
      </c>
      <c r="CU55" s="243">
        <f t="shared" si="30"/>
        <v>1159</v>
      </c>
      <c r="CV55" s="112">
        <f t="shared" si="31"/>
        <v>37574</v>
      </c>
      <c r="CX55" s="112">
        <f t="shared" si="149"/>
        <v>100000</v>
      </c>
      <c r="CY55" s="112">
        <f t="shared" si="105"/>
        <v>100000</v>
      </c>
      <c r="CZ55" s="112">
        <f t="shared" si="106"/>
        <v>100000</v>
      </c>
      <c r="DA55" s="112">
        <f t="shared" si="107"/>
        <v>100000</v>
      </c>
      <c r="DB55" s="112">
        <f t="shared" si="108"/>
        <v>100000</v>
      </c>
      <c r="DC55" s="112">
        <f t="shared" si="109"/>
        <v>100000</v>
      </c>
      <c r="DU55" s="112"/>
      <c r="DV55" s="112"/>
      <c r="DW55" s="277">
        <v>39447</v>
      </c>
      <c r="DX55" s="276"/>
      <c r="DY55" s="276"/>
      <c r="DZ55" s="276"/>
      <c r="EF55" s="260">
        <f t="shared" si="148"/>
        <v>37622</v>
      </c>
      <c r="EK55" s="254"/>
      <c r="EL55">
        <f t="shared" si="152"/>
        <v>16</v>
      </c>
      <c r="EM55" s="260">
        <f t="shared" si="111"/>
        <v>39447</v>
      </c>
      <c r="EN55">
        <f t="shared" si="112"/>
        <v>17</v>
      </c>
      <c r="EO55" s="112">
        <f t="shared" si="113"/>
        <v>39539</v>
      </c>
      <c r="EP55" s="112">
        <f t="shared" ref="EP55:EP87" si="162">IF(             AND(ISERR(EM55)=FALSE,ISERR(EO55)=FALSE  ),EO55,"")</f>
        <v>39539</v>
      </c>
      <c r="ET55">
        <f t="shared" si="37"/>
        <v>3</v>
      </c>
      <c r="EU55" s="260">
        <f t="shared" si="38"/>
        <v>39539</v>
      </c>
      <c r="EV55" t="str">
        <f t="shared" si="39"/>
        <v>3-8 anni</v>
      </c>
      <c r="EW55">
        <f t="shared" si="5"/>
        <v>5</v>
      </c>
      <c r="EX55" s="238">
        <f t="shared" ca="1" si="6"/>
        <v>144</v>
      </c>
      <c r="FA55">
        <f t="shared" ca="1" si="40"/>
        <v>19206.989999999998</v>
      </c>
      <c r="FB55">
        <f t="shared" ca="1" si="7"/>
        <v>0</v>
      </c>
      <c r="FC55">
        <f t="shared" ca="1" si="7"/>
        <v>0</v>
      </c>
      <c r="FD55">
        <f t="shared" ca="1" si="41"/>
        <v>0</v>
      </c>
      <c r="FE55">
        <f t="shared" ca="1" si="7"/>
        <v>0</v>
      </c>
      <c r="FG55">
        <f t="shared" ca="1" si="42"/>
        <v>0</v>
      </c>
      <c r="FL55">
        <f t="shared" ca="1" si="8"/>
        <v>1968</v>
      </c>
      <c r="FQ55" s="254" t="str">
        <f t="shared" si="43"/>
        <v>3-8 anni</v>
      </c>
      <c r="FR55">
        <f t="shared" si="114"/>
        <v>55</v>
      </c>
      <c r="FS55" t="str">
        <f t="shared" ca="1" si="44"/>
        <v>ev55</v>
      </c>
      <c r="FT55" t="str">
        <f t="shared" ca="1" si="45"/>
        <v>EU55</v>
      </c>
      <c r="FU55" t="str">
        <f t="shared" ca="1" si="45"/>
        <v>FA55</v>
      </c>
      <c r="FV55" t="str">
        <f t="shared" ca="1" si="153"/>
        <v>FB55</v>
      </c>
      <c r="FW55" t="str">
        <f t="shared" ca="1" si="153"/>
        <v>FC55</v>
      </c>
      <c r="FX55" t="str">
        <f t="shared" ca="1" si="153"/>
        <v>FD55</v>
      </c>
      <c r="FY55" t="str">
        <f t="shared" ca="1" si="153"/>
        <v>FE55</v>
      </c>
      <c r="FZ55" t="str">
        <f t="shared" ca="1" si="153"/>
        <v>FG55</v>
      </c>
      <c r="GA55" t="str">
        <f t="shared" ca="1" si="153"/>
        <v>FL55</v>
      </c>
      <c r="GB55" t="str">
        <f t="shared" ca="1" si="153"/>
        <v/>
      </c>
      <c r="GC55" t="str">
        <f t="shared" ca="1" si="153"/>
        <v/>
      </c>
      <c r="GD55">
        <f t="shared" ca="1" si="115"/>
        <v>16</v>
      </c>
      <c r="GE55" s="112">
        <f t="shared" ca="1" si="47"/>
        <v>39539</v>
      </c>
      <c r="GF55" s="112" t="str">
        <f t="shared" ca="1" si="48"/>
        <v>3-8 anni</v>
      </c>
      <c r="GG55" s="262">
        <f t="shared" ca="1" si="49"/>
        <v>19206.989999999998</v>
      </c>
      <c r="GH55" s="262">
        <f t="shared" ca="1" si="50"/>
        <v>0</v>
      </c>
      <c r="GI55" s="262">
        <f t="shared" ca="1" si="51"/>
        <v>0</v>
      </c>
      <c r="GJ55" s="262">
        <f t="shared" ca="1" si="52"/>
        <v>0</v>
      </c>
      <c r="GK55" s="262">
        <f t="shared" ca="1" si="53"/>
        <v>0</v>
      </c>
      <c r="GL55" s="262">
        <f t="shared" ca="1" si="146"/>
        <v>0</v>
      </c>
      <c r="GM55" s="262">
        <f t="shared" ca="1" si="54"/>
        <v>1968</v>
      </c>
      <c r="GN55" s="262">
        <f t="shared" ca="1" si="55"/>
        <v>0</v>
      </c>
      <c r="GO55" s="262">
        <f t="shared" ca="1" si="11"/>
        <v>0</v>
      </c>
      <c r="GQ55" s="263" t="str">
        <f t="shared" ca="1" si="56"/>
        <v>C.C.N.L. COMPARTO  SCUOLA 2006/09</v>
      </c>
      <c r="GR55" s="262">
        <f t="shared" ca="1" si="57"/>
        <v>21174.989999999998</v>
      </c>
      <c r="GS55" s="253" t="str">
        <f t="shared" ca="1" si="58"/>
        <v xml:space="preserve">ARTICOLO 16
</v>
      </c>
      <c r="GT55" t="str">
        <f t="shared" ca="1" si="59"/>
        <v xml:space="preserve">con decorrenza dalla data: 1/4/2008  </v>
      </c>
      <c r="GU55" t="str">
        <f t="shared" ca="1" si="60"/>
        <v xml:space="preserve"> Fascia: 3-8 anni - C.C.N.L. COMPARTO  SCUOLA 2006/09
</v>
      </c>
      <c r="GV55" t="str">
        <f t="shared" ca="1" si="61"/>
        <v xml:space="preserve">
                              Stipendio annuo lordo                            euro: 19206,99
</v>
      </c>
      <c r="GW55" t="str">
        <f t="shared" ca="1" si="62"/>
        <v/>
      </c>
      <c r="GX55" t="str">
        <f t="shared" ca="1" si="63"/>
        <v/>
      </c>
      <c r="GY55" t="str">
        <f t="shared" ca="1" si="64"/>
        <v/>
      </c>
      <c r="GZ55" t="str">
        <f t="shared" ca="1" si="65"/>
        <v/>
      </c>
      <c r="HA55" t="str">
        <f t="shared" ca="1" si="66"/>
        <v/>
      </c>
      <c r="HB55" t="str">
        <f t="shared" ca="1" si="67"/>
        <v xml:space="preserve">                                rpd/cia - annuo lordo                             euro: 1968
</v>
      </c>
      <c r="HC55" t="str">
        <f t="shared" ca="1" si="68"/>
        <v/>
      </c>
      <c r="HD55" s="254" t="str">
        <f t="shared" ca="1" si="69"/>
        <v/>
      </c>
      <c r="HE55" s="254" t="str">
        <f t="shared" ca="1" si="70"/>
        <v xml:space="preserve">
TOTALE ANNUO LORDO EURO 21174,99
</v>
      </c>
      <c r="HL55" s="263" t="str">
        <f t="shared" ca="1" si="71"/>
        <v xml:space="preserve">ARTICOLO 16
con decorrenza dalla data: 1/4/2008   Fascia: 3-8 anni - C.C.N.L. COMPARTO  SCUOLA 2006/09
                              Stipendio annuo lordo                            euro: 19206,99
                                rpd/cia - annuo lordo                             euro: 1968
TOTALE ANNUO LORDO EURO 21174,99
</v>
      </c>
      <c r="HM55" s="263"/>
      <c r="HN55" s="272" t="str">
        <f ca="1">IF(HO55=0,CONCATENATE(HP55,HQ55,HR55),IF($GD55&gt;0,HL55,IF(HO54=0,"",$HR$39)))</f>
        <v xml:space="preserve">ARTICOLO 16
con decorrenza dalla data: 1/4/2008   Fascia: 3-8 anni - C.C.N.L. COMPARTO  SCUOLA 2006/09
                              Stipendio annuo lordo                            euro: 19206,99
                                rpd/cia - annuo lordo                             euro: 1968
TOTALE ANNUO LORDO EURO 21174,99
</v>
      </c>
      <c r="HO55">
        <f t="shared" ca="1" si="72"/>
        <v>16</v>
      </c>
      <c r="HP55" t="str">
        <f t="shared" ca="1" si="73"/>
        <v/>
      </c>
      <c r="HQ55" t="str">
        <f t="shared" ca="1" si="74"/>
        <v/>
      </c>
      <c r="HR55" t="str">
        <f t="shared" ca="1" si="75"/>
        <v/>
      </c>
      <c r="HW55" s="253" t="s">
        <v>187</v>
      </c>
      <c r="HX55" s="112" t="str">
        <f t="shared" si="76"/>
        <v>11/10/2002</v>
      </c>
      <c r="HY55" t="s">
        <v>188</v>
      </c>
      <c r="HZ55" s="112" t="str">
        <f t="shared" si="77"/>
        <v>14/11/2002</v>
      </c>
      <c r="IA55" t="s">
        <v>189</v>
      </c>
      <c r="IB55">
        <f t="shared" si="78"/>
        <v>0</v>
      </c>
      <c r="IC55" t="s">
        <v>192</v>
      </c>
      <c r="ID55">
        <f t="shared" si="79"/>
        <v>0</v>
      </c>
      <c r="IE55" t="s">
        <v>191</v>
      </c>
      <c r="IF55" s="254">
        <f t="shared" si="80"/>
        <v>23</v>
      </c>
      <c r="IK55" t="str">
        <f t="shared" si="14"/>
        <v xml:space="preserve">DAL: 11/10/2002 - AL:14/11/2002 - ANNI:0 - MESI:0 -GIORNI:23
</v>
      </c>
      <c r="JJ55" t="e">
        <f ca="1">CONCATENATE(JK56,JO56,JK57,JO57,"
",
JK58,JO58)</f>
        <v>#REF!</v>
      </c>
      <c r="JK55" t="e">
        <f ca="1">CONCATENATE(JK56,JO56,JK57,JO57,JK58,JO58,JK59,JO59,JK60,JO60)</f>
        <v>#REF!</v>
      </c>
      <c r="JP55">
        <f ca="1">IF(Foglio3!DM28=100000,0,IF(Foglio3!DM28="",0,1))</f>
        <v>1</v>
      </c>
      <c r="JQ55" s="314">
        <f ca="1" xml:space="preserve">   IF(JP55=1,     Foglio3!DM28,IF(JP55=0,IF(JP54=1,"","")))</f>
        <v>36777</v>
      </c>
      <c r="JR55" s="314">
        <f ca="1">IF(          Foglio3!DN28=100000,"",Foglio3!DN28)</f>
        <v>36891</v>
      </c>
      <c r="JS55" s="272">
        <f ca="1">IF(Foglio3!DN28=100000,"",Foglio3!DO28)</f>
        <v>18</v>
      </c>
      <c r="JT55" s="272">
        <f ca="1">IF(Foglio3!DN28=100000,"",Foglio3!DP28)</f>
        <v>24</v>
      </c>
      <c r="JU55" s="272">
        <f ca="1">IF(Foglio3!DN28=100000,"",Foglio3!DQ28)</f>
        <v>115</v>
      </c>
      <c r="JV55" s="272">
        <f ca="1">IF(JU55="","",Foglio3!DR28)</f>
        <v>0</v>
      </c>
      <c r="JW55" s="272">
        <f ca="1">IF(Foglio3!DN28=100000,"",Foglio3!DS28)</f>
        <v>0</v>
      </c>
      <c r="JX55" s="272">
        <f ca="1">IF(Foglio3!DN28=100000,"",Foglio3!DT28)</f>
        <v>0</v>
      </c>
      <c r="JY55" s="272">
        <f ca="1">IF(Foglio3!DN28=100000,"",Foglio3!DU28)</f>
        <v>0</v>
      </c>
      <c r="JZ55" s="272" t="str">
        <f ca="1">IF(Foglio3!DN28=100000,"",Foglio3!DV28)</f>
        <v>0/2 anni</v>
      </c>
      <c r="KC55">
        <v>0</v>
      </c>
      <c r="KD55" s="260">
        <f t="shared" ca="1" si="81"/>
        <v>39539</v>
      </c>
      <c r="KE55" t="str">
        <f t="shared" si="82"/>
        <v>0-2 anni</v>
      </c>
      <c r="KF55">
        <f t="shared" si="15"/>
        <v>6</v>
      </c>
      <c r="KG55" s="238">
        <f t="shared" ca="1" si="16"/>
        <v>143</v>
      </c>
      <c r="KJ55">
        <f t="shared" ca="1" si="83"/>
        <v>12320.15</v>
      </c>
      <c r="KK55">
        <f t="shared" ca="1" si="17"/>
        <v>0</v>
      </c>
      <c r="KL55">
        <f t="shared" ca="1" si="17"/>
        <v>0</v>
      </c>
      <c r="KM55">
        <f t="shared" ca="1" si="17"/>
        <v>6384.11</v>
      </c>
      <c r="KN55">
        <f t="shared" ca="1" si="17"/>
        <v>0</v>
      </c>
      <c r="KU55">
        <f t="shared" ca="1" si="18"/>
        <v>1968</v>
      </c>
      <c r="KZ55" s="254" t="str">
        <f t="shared" si="84"/>
        <v>0-2 anni</v>
      </c>
      <c r="LA55" s="112">
        <f t="shared" si="85"/>
        <v>37540</v>
      </c>
      <c r="LB55" s="112">
        <f t="shared" si="86"/>
        <v>37574</v>
      </c>
      <c r="LC55">
        <f t="shared" ca="1" si="87"/>
        <v>20672.259999999998</v>
      </c>
      <c r="LD55" s="262">
        <f t="shared" ca="1" si="88"/>
        <v>21174.989999999998</v>
      </c>
      <c r="LE55">
        <f t="shared" si="89"/>
        <v>23</v>
      </c>
      <c r="LF55">
        <f t="shared" ca="1" si="90"/>
        <v>31.68</v>
      </c>
    </row>
    <row r="56" spans="1:318" ht="165" x14ac:dyDescent="0.25">
      <c r="A56" s="112">
        <f t="shared" si="128"/>
        <v>37257</v>
      </c>
      <c r="B56" s="112">
        <f t="shared" si="19"/>
        <v>37622</v>
      </c>
      <c r="D56" s="112"/>
      <c r="E56" s="240">
        <f>Foglio3!F36</f>
        <v>37629</v>
      </c>
      <c r="F56" s="240">
        <f>Foglio3!G36</f>
        <v>37663</v>
      </c>
      <c r="G56" s="244"/>
      <c r="H56" s="245">
        <f t="shared" si="20"/>
        <v>37629</v>
      </c>
      <c r="I56" s="245">
        <f t="shared" si="2"/>
        <v>37663</v>
      </c>
      <c r="J56" s="244"/>
      <c r="K56" s="244"/>
      <c r="Q56">
        <f t="shared" si="154"/>
        <v>35</v>
      </c>
      <c r="R56">
        <f t="shared" si="155"/>
        <v>35</v>
      </c>
      <c r="S56">
        <f t="shared" si="156"/>
        <v>0</v>
      </c>
      <c r="T56">
        <f t="shared" si="157"/>
        <v>1</v>
      </c>
      <c r="U56">
        <f t="shared" si="158"/>
        <v>5</v>
      </c>
      <c r="W56">
        <f t="shared" si="159"/>
        <v>0</v>
      </c>
      <c r="X56">
        <f t="shared" si="160"/>
        <v>35</v>
      </c>
      <c r="Y56">
        <f t="shared" si="161"/>
        <v>144</v>
      </c>
      <c r="AA56" s="112">
        <f t="shared" si="91"/>
        <v>37629</v>
      </c>
      <c r="AB56" s="112">
        <f t="shared" si="92"/>
        <v>37663</v>
      </c>
      <c r="AG56">
        <f t="shared" si="22"/>
        <v>1</v>
      </c>
      <c r="AH56" s="112">
        <f t="shared" si="93"/>
        <v>37629</v>
      </c>
      <c r="AI56" s="112">
        <f t="shared" si="94"/>
        <v>37663</v>
      </c>
      <c r="AJ56">
        <f t="shared" si="23"/>
        <v>1</v>
      </c>
      <c r="AK56">
        <f t="shared" si="95"/>
        <v>0</v>
      </c>
      <c r="AL56">
        <f t="shared" si="122"/>
        <v>0</v>
      </c>
      <c r="AN56">
        <f t="shared" si="123"/>
        <v>0</v>
      </c>
      <c r="AO56">
        <f t="shared" si="124"/>
        <v>0</v>
      </c>
      <c r="AP56">
        <f t="shared" si="96"/>
        <v>0</v>
      </c>
      <c r="AS56">
        <f t="shared" si="130"/>
        <v>0</v>
      </c>
      <c r="AT56">
        <f t="shared" si="131"/>
        <v>0</v>
      </c>
      <c r="AV56">
        <f t="shared" si="132"/>
        <v>0</v>
      </c>
      <c r="AW56">
        <f t="shared" si="133"/>
        <v>0</v>
      </c>
      <c r="AX56">
        <f t="shared" si="97"/>
        <v>0</v>
      </c>
      <c r="BA56">
        <f t="shared" si="150"/>
        <v>0</v>
      </c>
      <c r="BB56">
        <f t="shared" si="151"/>
        <v>0</v>
      </c>
      <c r="BD56">
        <f t="shared" si="135"/>
        <v>0</v>
      </c>
      <c r="BE56">
        <f t="shared" si="136"/>
        <v>0</v>
      </c>
      <c r="BF56">
        <f t="shared" si="127"/>
        <v>0</v>
      </c>
      <c r="BI56">
        <f t="shared" si="137"/>
        <v>0</v>
      </c>
      <c r="BJ56">
        <f t="shared" si="139"/>
        <v>0</v>
      </c>
      <c r="BK56">
        <f t="shared" si="140"/>
        <v>0</v>
      </c>
      <c r="BL56">
        <f t="shared" si="141"/>
        <v>0</v>
      </c>
      <c r="BM56">
        <f t="shared" si="134"/>
        <v>0</v>
      </c>
      <c r="BO56">
        <f t="shared" si="142"/>
        <v>0</v>
      </c>
      <c r="BP56">
        <f t="shared" si="143"/>
        <v>0</v>
      </c>
      <c r="BR56">
        <f t="shared" si="144"/>
        <v>0</v>
      </c>
      <c r="BS56">
        <f t="shared" si="145"/>
        <v>0</v>
      </c>
      <c r="BT56">
        <f t="shared" si="138"/>
        <v>0</v>
      </c>
      <c r="BV56">
        <f t="shared" si="98"/>
        <v>0</v>
      </c>
      <c r="BX56">
        <f t="shared" si="99"/>
        <v>0</v>
      </c>
      <c r="BY56">
        <f t="shared" si="100"/>
        <v>0</v>
      </c>
      <c r="BZ56">
        <f t="shared" si="101"/>
        <v>0</v>
      </c>
      <c r="CA56">
        <f t="shared" si="102"/>
        <v>0</v>
      </c>
      <c r="CB56">
        <f t="shared" si="103"/>
        <v>0</v>
      </c>
      <c r="CG56">
        <f t="shared" si="24"/>
        <v>2003</v>
      </c>
      <c r="CH56">
        <f t="shared" si="25"/>
        <v>2003</v>
      </c>
      <c r="CJ56">
        <f t="shared" si="26"/>
        <v>0</v>
      </c>
      <c r="CK56">
        <f t="shared" si="147"/>
        <v>0</v>
      </c>
      <c r="CL56">
        <f t="shared" si="27"/>
        <v>0</v>
      </c>
      <c r="CN56">
        <f t="shared" si="28"/>
        <v>0</v>
      </c>
      <c r="CS56">
        <f t="shared" si="29"/>
        <v>35</v>
      </c>
      <c r="CT56">
        <f t="shared" si="104"/>
        <v>1194</v>
      </c>
      <c r="CU56" s="243">
        <f t="shared" si="30"/>
        <v>1194</v>
      </c>
      <c r="CV56" s="112">
        <f t="shared" si="31"/>
        <v>37663</v>
      </c>
      <c r="CX56" s="112">
        <f t="shared" si="149"/>
        <v>100000</v>
      </c>
      <c r="CY56" s="112">
        <f t="shared" si="105"/>
        <v>100000</v>
      </c>
      <c r="CZ56" s="112">
        <f t="shared" si="106"/>
        <v>100000</v>
      </c>
      <c r="DA56" s="112">
        <f t="shared" si="107"/>
        <v>100000</v>
      </c>
      <c r="DB56" s="112">
        <f t="shared" si="108"/>
        <v>100000</v>
      </c>
      <c r="DC56" s="112">
        <f t="shared" si="109"/>
        <v>100000</v>
      </c>
      <c r="DU56" s="112"/>
      <c r="DV56" s="112"/>
      <c r="DW56" s="277">
        <v>39539</v>
      </c>
      <c r="DX56" s="276"/>
      <c r="DY56" s="276"/>
      <c r="DZ56" s="276"/>
      <c r="EF56" s="260">
        <f t="shared" si="148"/>
        <v>37987</v>
      </c>
      <c r="EK56" s="254"/>
      <c r="EL56">
        <f t="shared" si="152"/>
        <v>17</v>
      </c>
      <c r="EM56" s="260">
        <f t="shared" si="111"/>
        <v>39539</v>
      </c>
      <c r="EN56">
        <f t="shared" si="112"/>
        <v>18</v>
      </c>
      <c r="EO56" s="112">
        <f t="shared" si="113"/>
        <v>39630</v>
      </c>
      <c r="EP56" s="112">
        <f t="shared" si="162"/>
        <v>39630</v>
      </c>
      <c r="ET56">
        <f t="shared" si="37"/>
        <v>3</v>
      </c>
      <c r="EU56" s="260">
        <f t="shared" si="38"/>
        <v>39630</v>
      </c>
      <c r="EV56" t="str">
        <f t="shared" si="39"/>
        <v>3-8 anni</v>
      </c>
      <c r="EW56">
        <f t="shared" si="5"/>
        <v>5</v>
      </c>
      <c r="EX56" s="238">
        <f t="shared" ca="1" si="6"/>
        <v>151</v>
      </c>
      <c r="FA56">
        <f t="shared" ca="1" si="40"/>
        <v>19270.23</v>
      </c>
      <c r="FB56">
        <f t="shared" ref="FB56:FE87" ca="1" si="163">INDIRECT(CONCATENATE($EZ$35,FB$35,$EX56))</f>
        <v>0</v>
      </c>
      <c r="FC56">
        <f t="shared" ca="1" si="163"/>
        <v>0</v>
      </c>
      <c r="FD56">
        <f t="shared" ca="1" si="41"/>
        <v>0</v>
      </c>
      <c r="FE56">
        <f t="shared" ca="1" si="163"/>
        <v>0</v>
      </c>
      <c r="FG56">
        <f t="shared" ca="1" si="42"/>
        <v>0</v>
      </c>
      <c r="FL56">
        <f t="shared" ca="1" si="8"/>
        <v>1968</v>
      </c>
      <c r="FQ56" s="254" t="str">
        <f t="shared" si="43"/>
        <v>3-8 anni</v>
      </c>
      <c r="FR56">
        <f t="shared" si="114"/>
        <v>56</v>
      </c>
      <c r="FS56" t="str">
        <f t="shared" ca="1" si="44"/>
        <v>ev56</v>
      </c>
      <c r="FT56" t="str">
        <f t="shared" ca="1" si="45"/>
        <v>EU56</v>
      </c>
      <c r="FU56" t="str">
        <f t="shared" ca="1" si="45"/>
        <v>FA56</v>
      </c>
      <c r="FV56" t="str">
        <f t="shared" ca="1" si="153"/>
        <v>FB56</v>
      </c>
      <c r="FW56" t="str">
        <f t="shared" ca="1" si="153"/>
        <v>FC56</v>
      </c>
      <c r="FX56" t="str">
        <f t="shared" ca="1" si="153"/>
        <v>FD56</v>
      </c>
      <c r="FY56" t="str">
        <f t="shared" ca="1" si="153"/>
        <v>FE56</v>
      </c>
      <c r="FZ56" t="str">
        <f t="shared" ca="1" si="153"/>
        <v>FG56</v>
      </c>
      <c r="GA56" t="str">
        <f t="shared" ca="1" si="153"/>
        <v>FL56</v>
      </c>
      <c r="GB56" t="str">
        <f t="shared" ca="1" si="153"/>
        <v/>
      </c>
      <c r="GC56" t="str">
        <f t="shared" ca="1" si="153"/>
        <v/>
      </c>
      <c r="GD56">
        <f t="shared" ca="1" si="115"/>
        <v>17</v>
      </c>
      <c r="GE56" s="112">
        <f t="shared" ca="1" si="47"/>
        <v>39630</v>
      </c>
      <c r="GF56" s="112" t="str">
        <f t="shared" ca="1" si="48"/>
        <v>3-8 anni</v>
      </c>
      <c r="GG56" s="262">
        <f t="shared" ca="1" si="49"/>
        <v>19270.23</v>
      </c>
      <c r="GH56" s="262">
        <f t="shared" ca="1" si="50"/>
        <v>0</v>
      </c>
      <c r="GI56" s="262">
        <f t="shared" ca="1" si="51"/>
        <v>0</v>
      </c>
      <c r="GJ56" s="262">
        <f t="shared" ca="1" si="52"/>
        <v>0</v>
      </c>
      <c r="GK56" s="262">
        <f t="shared" ca="1" si="53"/>
        <v>0</v>
      </c>
      <c r="GL56" s="262">
        <f t="shared" ca="1" si="146"/>
        <v>0</v>
      </c>
      <c r="GM56" s="262">
        <f t="shared" ca="1" si="54"/>
        <v>1968</v>
      </c>
      <c r="GN56" s="262">
        <f t="shared" ca="1" si="55"/>
        <v>0</v>
      </c>
      <c r="GO56" s="262">
        <f t="shared" ca="1" si="11"/>
        <v>0</v>
      </c>
      <c r="GQ56" s="263" t="str">
        <f t="shared" ca="1" si="56"/>
        <v>C.C.N.L. COMPARTO  SCUOLA 2006/09</v>
      </c>
      <c r="GR56" s="262">
        <f t="shared" ca="1" si="57"/>
        <v>21238.23</v>
      </c>
      <c r="GS56" s="253" t="str">
        <f t="shared" ca="1" si="58"/>
        <v xml:space="preserve">ARTICOLO 17
</v>
      </c>
      <c r="GT56" t="str">
        <f t="shared" ca="1" si="59"/>
        <v xml:space="preserve">con decorrenza dalla data: 1/7/2008  </v>
      </c>
      <c r="GU56" t="str">
        <f t="shared" ca="1" si="60"/>
        <v xml:space="preserve"> Fascia: 3-8 anni - C.C.N.L. COMPARTO  SCUOLA 2006/09
</v>
      </c>
      <c r="GV56" t="str">
        <f t="shared" ca="1" si="61"/>
        <v xml:space="preserve">
                              Stipendio annuo lordo                            euro: 19270,23
</v>
      </c>
      <c r="GW56" t="str">
        <f t="shared" ca="1" si="62"/>
        <v/>
      </c>
      <c r="GX56" t="str">
        <f t="shared" ca="1" si="63"/>
        <v/>
      </c>
      <c r="GY56" t="str">
        <f t="shared" ca="1" si="64"/>
        <v/>
      </c>
      <c r="GZ56" t="str">
        <f t="shared" ca="1" si="65"/>
        <v/>
      </c>
      <c r="HA56" t="str">
        <f t="shared" ca="1" si="66"/>
        <v/>
      </c>
      <c r="HB56" t="str">
        <f t="shared" ca="1" si="67"/>
        <v xml:space="preserve">                                rpd/cia - annuo lordo                             euro: 1968
</v>
      </c>
      <c r="HC56" t="str">
        <f t="shared" ca="1" si="68"/>
        <v/>
      </c>
      <c r="HD56" s="254" t="str">
        <f t="shared" ca="1" si="69"/>
        <v/>
      </c>
      <c r="HE56" s="254" t="str">
        <f t="shared" ca="1" si="70"/>
        <v xml:space="preserve">
TOTALE ANNUO LORDO EURO 21238,23
</v>
      </c>
      <c r="HL56" s="263" t="str">
        <f t="shared" ca="1" si="71"/>
        <v xml:space="preserve">ARTICOLO 17
con decorrenza dalla data: 1/7/2008   Fascia: 3-8 anni - C.C.N.L. COMPARTO  SCUOLA 2006/09
                              Stipendio annuo lordo                            euro: 19270,23
                                rpd/cia - annuo lordo                             euro: 1968
TOTALE ANNUO LORDO EURO 21238,23
</v>
      </c>
      <c r="HM56" s="263"/>
      <c r="HN56" s="272" t="str">
        <f t="shared" ca="1" si="13"/>
        <v xml:space="preserve">ARTICOLO 17
con decorrenza dalla data: 1/7/2008   Fascia: 3-8 anni - C.C.N.L. COMPARTO  SCUOLA 2006/09
                              Stipendio annuo lordo                            euro: 19270,23
                                rpd/cia - annuo lordo                             euro: 1968
TOTALE ANNUO LORDO EURO 21238,23
</v>
      </c>
      <c r="HO56">
        <f t="shared" ca="1" si="72"/>
        <v>17</v>
      </c>
      <c r="HP56" t="str">
        <f t="shared" ca="1" si="73"/>
        <v/>
      </c>
      <c r="HQ56" t="str">
        <f t="shared" ca="1" si="74"/>
        <v/>
      </c>
      <c r="HR56" t="str">
        <f t="shared" ca="1" si="75"/>
        <v/>
      </c>
      <c r="HW56" s="253" t="s">
        <v>187</v>
      </c>
      <c r="HX56" s="112" t="str">
        <f t="shared" si="76"/>
        <v>8/1/2003</v>
      </c>
      <c r="HY56" t="s">
        <v>188</v>
      </c>
      <c r="HZ56" s="112" t="str">
        <f t="shared" si="77"/>
        <v>11/2/2003</v>
      </c>
      <c r="IA56" t="s">
        <v>189</v>
      </c>
      <c r="IB56">
        <f t="shared" si="78"/>
        <v>0</v>
      </c>
      <c r="IC56" t="s">
        <v>192</v>
      </c>
      <c r="ID56">
        <f t="shared" si="79"/>
        <v>1</v>
      </c>
      <c r="IE56" t="s">
        <v>191</v>
      </c>
      <c r="IF56" s="254">
        <f t="shared" si="80"/>
        <v>5</v>
      </c>
      <c r="IK56" t="str">
        <f t="shared" si="14"/>
        <v xml:space="preserve">DAL: 8/1/2003 - AL:11/2/2003 - ANNI:0 - MESI:1 -GIORNI:5
</v>
      </c>
      <c r="JK56" s="263" t="s">
        <v>313</v>
      </c>
      <c r="JO56" t="e">
        <f ca="1">Foglio3!DY20</f>
        <v>#REF!</v>
      </c>
      <c r="JP56">
        <f ca="1">IF(Foglio3!DM29=100000,0,IF(Foglio3!DM29="",0,1))</f>
        <v>1</v>
      </c>
      <c r="JQ56" s="314">
        <f ca="1" xml:space="preserve">   IF(JP56=1,     Foglio3!DM29,IF(JP56=0,IF(JP55=1,"","")))</f>
        <v>36892</v>
      </c>
      <c r="JR56" s="314">
        <f ca="1">IF(          Foglio3!DN29=100000,"",Foglio3!DN29)</f>
        <v>36920</v>
      </c>
      <c r="JS56" s="272">
        <f ca="1">IF(Foglio3!DN29=100000,"",Foglio3!DO29)</f>
        <v>18</v>
      </c>
      <c r="JT56" s="272">
        <f ca="1">IF(Foglio3!DN29=100000,"",Foglio3!DP29)</f>
        <v>24</v>
      </c>
      <c r="JU56" s="272">
        <f ca="1">IF(Foglio3!DN29=100000,"",Foglio3!DQ29)</f>
        <v>29</v>
      </c>
      <c r="JV56" s="272">
        <f ca="1">IF(JU56="","",Foglio3!DR29)</f>
        <v>0</v>
      </c>
      <c r="JW56" s="272">
        <f ca="1">IF(Foglio3!DN29=100000,"",Foglio3!DS29)</f>
        <v>0</v>
      </c>
      <c r="JX56" s="272">
        <f ca="1">IF(Foglio3!DN29=100000,"",Foglio3!DT29)</f>
        <v>0</v>
      </c>
      <c r="JY56" s="272">
        <f ca="1">IF(Foglio3!DN29=100000,"",Foglio3!DU29)</f>
        <v>0</v>
      </c>
      <c r="JZ56" s="272" t="str">
        <f ca="1">IF(Foglio3!DN29=100000,"",Foglio3!DV29)</f>
        <v>0/2 anni</v>
      </c>
      <c r="KC56">
        <v>0</v>
      </c>
      <c r="KD56" s="260">
        <f t="shared" ca="1" si="81"/>
        <v>39630</v>
      </c>
      <c r="KE56" t="str">
        <f t="shared" si="82"/>
        <v>0-2 anni</v>
      </c>
      <c r="KF56">
        <f t="shared" si="15"/>
        <v>6</v>
      </c>
      <c r="KG56" s="238">
        <f t="shared" ca="1" si="16"/>
        <v>150</v>
      </c>
      <c r="KJ56">
        <f t="shared" ca="1" si="83"/>
        <v>12383.39</v>
      </c>
      <c r="KK56">
        <f t="shared" ref="KK56:KN87" ca="1" si="164">INDIRECT(CONCATENATE($EZ$35,KK$35,$EX56))</f>
        <v>0</v>
      </c>
      <c r="KL56">
        <f t="shared" ca="1" si="164"/>
        <v>0</v>
      </c>
      <c r="KM56">
        <f t="shared" ca="1" si="164"/>
        <v>6384.11</v>
      </c>
      <c r="KN56">
        <f t="shared" ca="1" si="164"/>
        <v>0</v>
      </c>
      <c r="KU56">
        <f t="shared" ca="1" si="18"/>
        <v>1968</v>
      </c>
      <c r="KZ56" s="254" t="str">
        <f t="shared" si="84"/>
        <v>0-2 anni</v>
      </c>
      <c r="LA56" s="112">
        <f t="shared" si="85"/>
        <v>37629</v>
      </c>
      <c r="LB56" s="112">
        <f t="shared" si="86"/>
        <v>37663</v>
      </c>
      <c r="LC56">
        <f t="shared" ca="1" si="87"/>
        <v>20735.5</v>
      </c>
      <c r="LD56" s="262">
        <f t="shared" ca="1" si="88"/>
        <v>21238.23</v>
      </c>
      <c r="LE56">
        <f t="shared" si="89"/>
        <v>35</v>
      </c>
      <c r="LF56">
        <f t="shared" ca="1" si="90"/>
        <v>48.21</v>
      </c>
    </row>
    <row r="57" spans="1:318" ht="165" x14ac:dyDescent="0.25">
      <c r="A57" s="112">
        <f t="shared" si="128"/>
        <v>37257</v>
      </c>
      <c r="B57" s="112">
        <f t="shared" si="19"/>
        <v>37622</v>
      </c>
      <c r="E57" s="240">
        <f>Foglio3!F37</f>
        <v>37644</v>
      </c>
      <c r="F57" s="240">
        <f>Foglio3!G37</f>
        <v>37783</v>
      </c>
      <c r="G57" s="244"/>
      <c r="H57" s="245">
        <f t="shared" si="20"/>
        <v>37644</v>
      </c>
      <c r="I57" s="245">
        <f t="shared" si="2"/>
        <v>37783</v>
      </c>
      <c r="J57" s="244"/>
      <c r="K57" s="244"/>
      <c r="Q57">
        <f t="shared" si="154"/>
        <v>140</v>
      </c>
      <c r="R57">
        <f t="shared" si="155"/>
        <v>120</v>
      </c>
      <c r="S57">
        <f t="shared" si="156"/>
        <v>0</v>
      </c>
      <c r="T57">
        <f t="shared" si="157"/>
        <v>4</v>
      </c>
      <c r="U57">
        <f t="shared" si="158"/>
        <v>0</v>
      </c>
      <c r="W57">
        <f t="shared" si="159"/>
        <v>0</v>
      </c>
      <c r="X57">
        <f t="shared" si="160"/>
        <v>39</v>
      </c>
      <c r="Y57">
        <f t="shared" si="161"/>
        <v>144</v>
      </c>
      <c r="AA57" s="112">
        <f t="shared" si="91"/>
        <v>37644</v>
      </c>
      <c r="AB57" s="112">
        <f t="shared" si="92"/>
        <v>37783</v>
      </c>
      <c r="AG57">
        <f t="shared" si="22"/>
        <v>1</v>
      </c>
      <c r="AH57" s="112">
        <f t="shared" si="93"/>
        <v>37644</v>
      </c>
      <c r="AI57" s="112">
        <f t="shared" si="94"/>
        <v>37783</v>
      </c>
      <c r="AJ57">
        <f t="shared" si="23"/>
        <v>1</v>
      </c>
      <c r="AK57">
        <f t="shared" si="95"/>
        <v>0</v>
      </c>
      <c r="AL57">
        <f t="shared" si="122"/>
        <v>1</v>
      </c>
      <c r="AN57">
        <f t="shared" si="123"/>
        <v>0</v>
      </c>
      <c r="AO57">
        <f t="shared" si="124"/>
        <v>20</v>
      </c>
      <c r="AP57">
        <f t="shared" si="96"/>
        <v>20</v>
      </c>
      <c r="AS57">
        <f t="shared" si="130"/>
        <v>0</v>
      </c>
      <c r="AT57">
        <f t="shared" si="131"/>
        <v>0</v>
      </c>
      <c r="AV57">
        <f t="shared" si="132"/>
        <v>0</v>
      </c>
      <c r="AW57">
        <f t="shared" si="133"/>
        <v>0</v>
      </c>
      <c r="AX57">
        <f t="shared" si="97"/>
        <v>0</v>
      </c>
      <c r="BA57">
        <f t="shared" si="150"/>
        <v>0</v>
      </c>
      <c r="BB57">
        <f t="shared" si="151"/>
        <v>0</v>
      </c>
      <c r="BD57">
        <f t="shared" si="135"/>
        <v>0</v>
      </c>
      <c r="BE57">
        <f t="shared" si="136"/>
        <v>0</v>
      </c>
      <c r="BF57">
        <f t="shared" si="127"/>
        <v>0</v>
      </c>
      <c r="BI57">
        <f t="shared" si="137"/>
        <v>0</v>
      </c>
      <c r="BJ57">
        <f t="shared" si="139"/>
        <v>0</v>
      </c>
      <c r="BK57">
        <f t="shared" si="140"/>
        <v>0</v>
      </c>
      <c r="BL57">
        <f t="shared" si="141"/>
        <v>0</v>
      </c>
      <c r="BM57">
        <f t="shared" si="134"/>
        <v>0</v>
      </c>
      <c r="BO57">
        <f t="shared" si="142"/>
        <v>0</v>
      </c>
      <c r="BP57">
        <f t="shared" si="143"/>
        <v>0</v>
      </c>
      <c r="BR57">
        <f t="shared" si="144"/>
        <v>0</v>
      </c>
      <c r="BS57">
        <f t="shared" si="145"/>
        <v>0</v>
      </c>
      <c r="BT57">
        <f t="shared" si="138"/>
        <v>0</v>
      </c>
      <c r="BV57">
        <f t="shared" si="98"/>
        <v>20</v>
      </c>
      <c r="BX57">
        <f t="shared" si="99"/>
        <v>20</v>
      </c>
      <c r="BY57">
        <f t="shared" si="100"/>
        <v>0</v>
      </c>
      <c r="BZ57">
        <f t="shared" si="101"/>
        <v>0</v>
      </c>
      <c r="CA57">
        <f t="shared" si="102"/>
        <v>0</v>
      </c>
      <c r="CB57">
        <f t="shared" si="103"/>
        <v>0</v>
      </c>
      <c r="CG57">
        <f t="shared" si="24"/>
        <v>2003</v>
      </c>
      <c r="CH57">
        <f t="shared" si="25"/>
        <v>2003</v>
      </c>
      <c r="CJ57">
        <f t="shared" si="26"/>
        <v>0</v>
      </c>
      <c r="CK57">
        <f t="shared" si="147"/>
        <v>0</v>
      </c>
      <c r="CL57">
        <f t="shared" si="27"/>
        <v>0</v>
      </c>
      <c r="CN57">
        <f t="shared" si="28"/>
        <v>0</v>
      </c>
      <c r="CS57">
        <f t="shared" si="29"/>
        <v>120</v>
      </c>
      <c r="CT57">
        <f t="shared" si="104"/>
        <v>1314</v>
      </c>
      <c r="CU57" s="243">
        <f t="shared" si="30"/>
        <v>1314</v>
      </c>
      <c r="CV57" s="112">
        <f t="shared" si="31"/>
        <v>37783</v>
      </c>
      <c r="CX57" s="112">
        <f t="shared" si="149"/>
        <v>100000</v>
      </c>
      <c r="CY57" s="112">
        <f t="shared" si="105"/>
        <v>100000</v>
      </c>
      <c r="CZ57" s="112">
        <f t="shared" si="106"/>
        <v>100000</v>
      </c>
      <c r="DA57" s="112">
        <f t="shared" si="107"/>
        <v>100000</v>
      </c>
      <c r="DB57" s="112">
        <f t="shared" si="108"/>
        <v>100000</v>
      </c>
      <c r="DC57" s="112">
        <f t="shared" si="109"/>
        <v>100000</v>
      </c>
      <c r="DU57" s="112"/>
      <c r="DV57" s="112"/>
      <c r="DW57" s="277">
        <v>39630</v>
      </c>
      <c r="DX57" s="276"/>
      <c r="DY57" s="276"/>
      <c r="DZ57" s="276"/>
      <c r="EF57" s="260">
        <f t="shared" si="148"/>
        <v>38384</v>
      </c>
      <c r="EK57" s="254"/>
      <c r="EL57">
        <f t="shared" si="152"/>
        <v>18</v>
      </c>
      <c r="EM57" s="260">
        <f t="shared" si="111"/>
        <v>39630</v>
      </c>
      <c r="EN57">
        <f t="shared" si="112"/>
        <v>19</v>
      </c>
      <c r="EO57" s="112">
        <f t="shared" si="113"/>
        <v>39814</v>
      </c>
      <c r="EP57" s="112">
        <f t="shared" si="162"/>
        <v>39814</v>
      </c>
      <c r="ET57">
        <f t="shared" si="37"/>
        <v>3</v>
      </c>
      <c r="EU57" s="260">
        <f t="shared" si="38"/>
        <v>39814</v>
      </c>
      <c r="EV57" t="str">
        <f t="shared" si="39"/>
        <v>3-8 anni</v>
      </c>
      <c r="EW57">
        <f t="shared" si="5"/>
        <v>5</v>
      </c>
      <c r="EX57" s="238">
        <f t="shared" ca="1" si="6"/>
        <v>158</v>
      </c>
      <c r="FA57">
        <f t="shared" ca="1" si="40"/>
        <v>19846.349999999999</v>
      </c>
      <c r="FB57">
        <f t="shared" ca="1" si="163"/>
        <v>0</v>
      </c>
      <c r="FC57">
        <f t="shared" ca="1" si="163"/>
        <v>0</v>
      </c>
      <c r="FD57">
        <f t="shared" ca="1" si="41"/>
        <v>0</v>
      </c>
      <c r="FE57">
        <f t="shared" ca="1" si="163"/>
        <v>0</v>
      </c>
      <c r="FG57">
        <f t="shared" ca="1" si="42"/>
        <v>0</v>
      </c>
      <c r="FL57">
        <f t="shared" ca="1" si="8"/>
        <v>1968</v>
      </c>
      <c r="FQ57" s="254" t="str">
        <f t="shared" si="43"/>
        <v>3-8 anni</v>
      </c>
      <c r="FR57">
        <f t="shared" si="114"/>
        <v>57</v>
      </c>
      <c r="FS57" t="str">
        <f t="shared" ca="1" si="44"/>
        <v>ev57</v>
      </c>
      <c r="FT57" t="str">
        <f t="shared" ca="1" si="45"/>
        <v>EU57</v>
      </c>
      <c r="FU57" t="str">
        <f t="shared" ca="1" si="45"/>
        <v>FA57</v>
      </c>
      <c r="FV57" t="str">
        <f t="shared" ca="1" si="153"/>
        <v>FB57</v>
      </c>
      <c r="FW57" t="str">
        <f t="shared" ca="1" si="153"/>
        <v>FC57</v>
      </c>
      <c r="FX57" t="str">
        <f t="shared" ca="1" si="153"/>
        <v>FD57</v>
      </c>
      <c r="FY57" t="str">
        <f t="shared" ca="1" si="153"/>
        <v>FE57</v>
      </c>
      <c r="FZ57" t="str">
        <f t="shared" ca="1" si="153"/>
        <v>FG57</v>
      </c>
      <c r="GA57" t="str">
        <f t="shared" ca="1" si="153"/>
        <v>FL57</v>
      </c>
      <c r="GB57" t="str">
        <f t="shared" ca="1" si="153"/>
        <v/>
      </c>
      <c r="GC57" t="str">
        <f t="shared" ca="1" si="153"/>
        <v/>
      </c>
      <c r="GD57">
        <f t="shared" ca="1" si="115"/>
        <v>18</v>
      </c>
      <c r="GE57" s="112">
        <f t="shared" ca="1" si="47"/>
        <v>39814</v>
      </c>
      <c r="GF57" s="112" t="str">
        <f t="shared" ca="1" si="48"/>
        <v>3-8 anni</v>
      </c>
      <c r="GG57" s="262">
        <f t="shared" ca="1" si="49"/>
        <v>19846.349999999999</v>
      </c>
      <c r="GH57" s="262">
        <f t="shared" ca="1" si="50"/>
        <v>0</v>
      </c>
      <c r="GI57" s="262">
        <f t="shared" ca="1" si="51"/>
        <v>0</v>
      </c>
      <c r="GJ57" s="262">
        <f t="shared" ca="1" si="52"/>
        <v>0</v>
      </c>
      <c r="GK57" s="262">
        <f t="shared" ca="1" si="53"/>
        <v>0</v>
      </c>
      <c r="GL57" s="262">
        <f t="shared" ca="1" si="146"/>
        <v>0</v>
      </c>
      <c r="GM57" s="262">
        <f t="shared" ca="1" si="54"/>
        <v>1968</v>
      </c>
      <c r="GN57" s="262">
        <f t="shared" ca="1" si="55"/>
        <v>0</v>
      </c>
      <c r="GO57" s="262">
        <f t="shared" ca="1" si="11"/>
        <v>0</v>
      </c>
      <c r="GQ57" s="263" t="str">
        <f t="shared" ca="1" si="56"/>
        <v>C.C.N.L. COMPARTO  SCUOLA 2006/09</v>
      </c>
      <c r="GR57" s="262">
        <f t="shared" ca="1" si="57"/>
        <v>21814.35</v>
      </c>
      <c r="GS57" s="253" t="str">
        <f t="shared" ca="1" si="58"/>
        <v xml:space="preserve">ARTICOLO 18
</v>
      </c>
      <c r="GT57" t="str">
        <f t="shared" ca="1" si="59"/>
        <v xml:space="preserve">con decorrenza dalla data: 1/1/2009  </v>
      </c>
      <c r="GU57" t="str">
        <f t="shared" ca="1" si="60"/>
        <v xml:space="preserve"> Fascia: 3-8 anni - C.C.N.L. COMPARTO  SCUOLA 2006/09
</v>
      </c>
      <c r="GV57" t="str">
        <f t="shared" ca="1" si="61"/>
        <v xml:space="preserve">
                              Stipendio annuo lordo                            euro: 19846,35
</v>
      </c>
      <c r="GW57" t="str">
        <f t="shared" ca="1" si="62"/>
        <v/>
      </c>
      <c r="GX57" t="str">
        <f t="shared" ca="1" si="63"/>
        <v/>
      </c>
      <c r="GY57" t="str">
        <f t="shared" ca="1" si="64"/>
        <v/>
      </c>
      <c r="GZ57" t="str">
        <f t="shared" ca="1" si="65"/>
        <v/>
      </c>
      <c r="HA57" t="str">
        <f t="shared" ca="1" si="66"/>
        <v/>
      </c>
      <c r="HB57" t="str">
        <f t="shared" ca="1" si="67"/>
        <v xml:space="preserve">                                rpd/cia - annuo lordo                             euro: 1968
</v>
      </c>
      <c r="HC57" t="str">
        <f t="shared" ca="1" si="68"/>
        <v/>
      </c>
      <c r="HD57" s="254" t="str">
        <f t="shared" ca="1" si="69"/>
        <v/>
      </c>
      <c r="HE57" s="254" t="str">
        <f t="shared" ca="1" si="70"/>
        <v xml:space="preserve">
TOTALE ANNUO LORDO EURO 21814,35
</v>
      </c>
      <c r="HL57" s="263" t="str">
        <f t="shared" ca="1" si="71"/>
        <v xml:space="preserve">ARTICOLO 18
con decorrenza dalla data: 1/1/2009   Fascia: 3-8 anni - C.C.N.L. COMPARTO  SCUOLA 2006/09
                              Stipendio annuo lordo                            euro: 19846,35
                                rpd/cia - annuo lordo                             euro: 1968
TOTALE ANNUO LORDO EURO 21814,35
</v>
      </c>
      <c r="HM57" s="263"/>
      <c r="HN57" s="272" t="str">
        <f t="shared" ca="1" si="13"/>
        <v xml:space="preserve">ARTICOLO 18
con decorrenza dalla data: 1/1/2009   Fascia: 3-8 anni - C.C.N.L. COMPARTO  SCUOLA 2006/09
                              Stipendio annuo lordo                            euro: 19846,35
                                rpd/cia - annuo lordo                             euro: 1968
TOTALE ANNUO LORDO EURO 21814,35
</v>
      </c>
      <c r="HO57">
        <f t="shared" ca="1" si="72"/>
        <v>18</v>
      </c>
      <c r="HP57" t="str">
        <f t="shared" ca="1" si="73"/>
        <v/>
      </c>
      <c r="HQ57" t="str">
        <f t="shared" ca="1" si="74"/>
        <v/>
      </c>
      <c r="HR57" t="str">
        <f t="shared" ca="1" si="75"/>
        <v/>
      </c>
      <c r="HW57" s="253" t="s">
        <v>187</v>
      </c>
      <c r="HX57" s="112" t="str">
        <f t="shared" si="76"/>
        <v>23/1/2003</v>
      </c>
      <c r="HY57" t="s">
        <v>188</v>
      </c>
      <c r="HZ57" s="112" t="str">
        <f t="shared" si="77"/>
        <v>11/6/2003</v>
      </c>
      <c r="IA57" t="s">
        <v>189</v>
      </c>
      <c r="IB57">
        <f t="shared" si="78"/>
        <v>0</v>
      </c>
      <c r="IC57" t="s">
        <v>192</v>
      </c>
      <c r="ID57">
        <f t="shared" si="79"/>
        <v>4</v>
      </c>
      <c r="IE57" t="s">
        <v>191</v>
      </c>
      <c r="IF57" s="254">
        <f t="shared" si="80"/>
        <v>0</v>
      </c>
      <c r="IK57" t="str">
        <f t="shared" si="14"/>
        <v xml:space="preserve">DAL: 23/1/2003 - AL:11/6/2003 - ANNI:0 - MESI:4 -GIORNI:0
</v>
      </c>
      <c r="JK57" t="s">
        <v>314</v>
      </c>
      <c r="JO57" t="e">
        <f ca="1">Foglio3!DY21</f>
        <v>#REF!</v>
      </c>
      <c r="JP57">
        <f ca="1">IF(Foglio3!DM30=100000,0,IF(Foglio3!DM30="",0,1))</f>
        <v>1</v>
      </c>
      <c r="JQ57" s="314">
        <f ca="1" xml:space="preserve">   IF(JP57=1,     Foglio3!DM30,IF(JP57=0,IF(JP56=1,"","")))</f>
        <v>36921</v>
      </c>
      <c r="JR57" s="314">
        <f ca="1">IF(          Foglio3!DN30=100000,"",Foglio3!DN30)</f>
        <v>37072</v>
      </c>
      <c r="JS57" s="272">
        <f ca="1">IF(Foglio3!DN30=100000,"",Foglio3!DO30)</f>
        <v>18</v>
      </c>
      <c r="JT57" s="272">
        <f ca="1">IF(Foglio3!DN30=100000,"",Foglio3!DP30)</f>
        <v>24</v>
      </c>
      <c r="JU57" s="272">
        <f ca="1">IF(Foglio3!DN30=100000,"",Foglio3!DQ30)</f>
        <v>152</v>
      </c>
      <c r="JV57" s="272">
        <f ca="1">IF(JU57="","",Foglio3!DR30)</f>
        <v>0</v>
      </c>
      <c r="JW57" s="272">
        <f ca="1">IF(Foglio3!DN30=100000,"",Foglio3!DS30)</f>
        <v>0</v>
      </c>
      <c r="JX57" s="272">
        <f ca="1">IF(Foglio3!DN30=100000,"",Foglio3!DT30)</f>
        <v>0</v>
      </c>
      <c r="JY57" s="272">
        <f ca="1">IF(Foglio3!DN30=100000,"",Foglio3!DU30)</f>
        <v>0</v>
      </c>
      <c r="JZ57" s="272" t="str">
        <f ca="1">IF(Foglio3!DN30=100000,"",Foglio3!DV30)</f>
        <v>0/2 anni</v>
      </c>
      <c r="KC57">
        <v>0</v>
      </c>
      <c r="KD57" s="260">
        <f t="shared" ca="1" si="81"/>
        <v>39814</v>
      </c>
      <c r="KE57" t="str">
        <f t="shared" si="82"/>
        <v>0-2 anni</v>
      </c>
      <c r="KF57">
        <f t="shared" si="15"/>
        <v>6</v>
      </c>
      <c r="KG57" s="238">
        <f t="shared" ca="1" si="16"/>
        <v>157</v>
      </c>
      <c r="KJ57">
        <f t="shared" ca="1" si="83"/>
        <v>12940.19</v>
      </c>
      <c r="KK57">
        <f t="shared" ca="1" si="164"/>
        <v>0</v>
      </c>
      <c r="KL57">
        <f t="shared" ca="1" si="164"/>
        <v>0</v>
      </c>
      <c r="KM57">
        <f t="shared" ca="1" si="164"/>
        <v>6384.11</v>
      </c>
      <c r="KN57">
        <f t="shared" ca="1" si="164"/>
        <v>0</v>
      </c>
      <c r="KU57">
        <f t="shared" ca="1" si="18"/>
        <v>1968</v>
      </c>
      <c r="KZ57" s="254" t="str">
        <f t="shared" si="84"/>
        <v>0-2 anni</v>
      </c>
      <c r="LA57" s="112">
        <f t="shared" si="85"/>
        <v>37644</v>
      </c>
      <c r="LB57" s="112">
        <f t="shared" si="86"/>
        <v>37783</v>
      </c>
      <c r="LC57">
        <f t="shared" ca="1" si="87"/>
        <v>21292.3</v>
      </c>
      <c r="LD57" s="262">
        <f t="shared" ca="1" si="88"/>
        <v>21814.35</v>
      </c>
      <c r="LE57">
        <f t="shared" si="89"/>
        <v>120</v>
      </c>
      <c r="LF57">
        <f t="shared" ca="1" si="90"/>
        <v>171.63</v>
      </c>
    </row>
    <row r="58" spans="1:318" ht="165" x14ac:dyDescent="0.25">
      <c r="A58" s="112">
        <f t="shared" si="128"/>
        <v>37257</v>
      </c>
      <c r="B58" s="112">
        <f t="shared" si="19"/>
        <v>37622</v>
      </c>
      <c r="E58" s="240">
        <f>Foglio3!F38</f>
        <v>37673</v>
      </c>
      <c r="F58" s="240">
        <f>Foglio3!G38</f>
        <v>37786</v>
      </c>
      <c r="G58" s="244"/>
      <c r="H58" s="245">
        <f t="shared" si="20"/>
        <v>37673</v>
      </c>
      <c r="I58" s="245">
        <f t="shared" si="2"/>
        <v>37786</v>
      </c>
      <c r="J58" s="244"/>
      <c r="K58" s="244"/>
      <c r="Q58">
        <f t="shared" si="154"/>
        <v>114</v>
      </c>
      <c r="R58">
        <f t="shared" si="155"/>
        <v>3</v>
      </c>
      <c r="S58">
        <f t="shared" si="156"/>
        <v>0</v>
      </c>
      <c r="T58">
        <f t="shared" si="157"/>
        <v>0</v>
      </c>
      <c r="U58">
        <f t="shared" si="158"/>
        <v>3</v>
      </c>
      <c r="W58">
        <f t="shared" si="159"/>
        <v>0</v>
      </c>
      <c r="X58">
        <f t="shared" si="160"/>
        <v>39</v>
      </c>
      <c r="Y58">
        <f t="shared" si="161"/>
        <v>147</v>
      </c>
      <c r="AA58" s="112">
        <f t="shared" si="91"/>
        <v>37673</v>
      </c>
      <c r="AB58" s="112">
        <f t="shared" si="92"/>
        <v>37786</v>
      </c>
      <c r="AG58">
        <f t="shared" si="22"/>
        <v>1</v>
      </c>
      <c r="AH58" s="112">
        <f t="shared" si="93"/>
        <v>37673</v>
      </c>
      <c r="AI58" s="112">
        <f t="shared" si="94"/>
        <v>37786</v>
      </c>
      <c r="AJ58">
        <f t="shared" si="23"/>
        <v>1</v>
      </c>
      <c r="AK58">
        <f t="shared" si="95"/>
        <v>0</v>
      </c>
      <c r="AL58">
        <f t="shared" si="122"/>
        <v>1</v>
      </c>
      <c r="AN58">
        <f t="shared" si="123"/>
        <v>0</v>
      </c>
      <c r="AO58">
        <f t="shared" si="124"/>
        <v>111</v>
      </c>
      <c r="AP58">
        <f t="shared" si="96"/>
        <v>111</v>
      </c>
      <c r="AS58">
        <f t="shared" si="130"/>
        <v>0</v>
      </c>
      <c r="AT58">
        <f t="shared" si="131"/>
        <v>0</v>
      </c>
      <c r="AV58">
        <f t="shared" si="132"/>
        <v>0</v>
      </c>
      <c r="AW58">
        <f t="shared" si="133"/>
        <v>0</v>
      </c>
      <c r="AX58">
        <f t="shared" si="97"/>
        <v>0</v>
      </c>
      <c r="BA58">
        <f t="shared" si="150"/>
        <v>0</v>
      </c>
      <c r="BB58">
        <f t="shared" si="151"/>
        <v>0</v>
      </c>
      <c r="BD58">
        <f t="shared" si="135"/>
        <v>0</v>
      </c>
      <c r="BE58">
        <f t="shared" si="136"/>
        <v>0</v>
      </c>
      <c r="BF58">
        <f t="shared" si="127"/>
        <v>0</v>
      </c>
      <c r="BI58">
        <f t="shared" si="137"/>
        <v>0</v>
      </c>
      <c r="BJ58">
        <f t="shared" si="139"/>
        <v>0</v>
      </c>
      <c r="BK58">
        <f t="shared" si="140"/>
        <v>0</v>
      </c>
      <c r="BL58">
        <f t="shared" si="141"/>
        <v>0</v>
      </c>
      <c r="BM58">
        <f t="shared" si="134"/>
        <v>0</v>
      </c>
      <c r="BO58">
        <f t="shared" si="142"/>
        <v>0</v>
      </c>
      <c r="BP58">
        <f t="shared" si="143"/>
        <v>0</v>
      </c>
      <c r="BR58">
        <f t="shared" si="144"/>
        <v>0</v>
      </c>
      <c r="BS58">
        <f t="shared" si="145"/>
        <v>0</v>
      </c>
      <c r="BT58">
        <f t="shared" si="138"/>
        <v>0</v>
      </c>
      <c r="BV58">
        <f t="shared" si="98"/>
        <v>111</v>
      </c>
      <c r="BX58">
        <f t="shared" si="99"/>
        <v>111</v>
      </c>
      <c r="BY58">
        <f t="shared" si="100"/>
        <v>0</v>
      </c>
      <c r="BZ58">
        <f t="shared" si="101"/>
        <v>0</v>
      </c>
      <c r="CA58">
        <f t="shared" si="102"/>
        <v>0</v>
      </c>
      <c r="CB58">
        <f t="shared" si="103"/>
        <v>0</v>
      </c>
      <c r="CG58">
        <f t="shared" si="24"/>
        <v>2003</v>
      </c>
      <c r="CH58">
        <f t="shared" si="25"/>
        <v>2003</v>
      </c>
      <c r="CJ58">
        <f t="shared" si="26"/>
        <v>0</v>
      </c>
      <c r="CK58">
        <f t="shared" si="147"/>
        <v>0</v>
      </c>
      <c r="CL58">
        <f t="shared" si="27"/>
        <v>0</v>
      </c>
      <c r="CN58">
        <f t="shared" si="28"/>
        <v>0</v>
      </c>
      <c r="CS58">
        <f t="shared" si="29"/>
        <v>3</v>
      </c>
      <c r="CT58">
        <f t="shared" si="104"/>
        <v>1317</v>
      </c>
      <c r="CU58" s="243">
        <f t="shared" si="30"/>
        <v>1317</v>
      </c>
      <c r="CV58" s="112">
        <f t="shared" si="31"/>
        <v>37786</v>
      </c>
      <c r="CX58" s="112">
        <f t="shared" si="149"/>
        <v>100000</v>
      </c>
      <c r="CY58" s="112">
        <f t="shared" si="105"/>
        <v>100000</v>
      </c>
      <c r="CZ58" s="112">
        <f t="shared" si="106"/>
        <v>100000</v>
      </c>
      <c r="DA58" s="112">
        <f t="shared" si="107"/>
        <v>100000</v>
      </c>
      <c r="DB58" s="112">
        <f t="shared" si="108"/>
        <v>100000</v>
      </c>
      <c r="DC58" s="112">
        <f t="shared" si="109"/>
        <v>100000</v>
      </c>
      <c r="DU58" s="112"/>
      <c r="DV58" s="112"/>
      <c r="DW58" s="277">
        <v>39814</v>
      </c>
      <c r="DX58" s="276"/>
      <c r="DY58" s="276"/>
      <c r="DZ58" s="276"/>
      <c r="EF58" s="260">
        <f t="shared" si="148"/>
        <v>38718</v>
      </c>
      <c r="EK58" s="254"/>
      <c r="EL58">
        <f t="shared" si="152"/>
        <v>19</v>
      </c>
      <c r="EM58" s="260">
        <f t="shared" si="111"/>
        <v>39814</v>
      </c>
      <c r="EN58">
        <f t="shared" si="112"/>
        <v>20</v>
      </c>
      <c r="EO58" s="112">
        <f t="shared" si="113"/>
        <v>40171</v>
      </c>
      <c r="EP58" s="112">
        <f t="shared" si="162"/>
        <v>40171</v>
      </c>
      <c r="ET58">
        <f t="shared" si="37"/>
        <v>9</v>
      </c>
      <c r="EU58" s="260">
        <f t="shared" si="38"/>
        <v>40171</v>
      </c>
      <c r="EV58" t="str">
        <f t="shared" si="39"/>
        <v>9-14 anni</v>
      </c>
      <c r="EW58">
        <f t="shared" si="5"/>
        <v>4</v>
      </c>
      <c r="EX58" s="238">
        <f t="shared" ca="1" si="6"/>
        <v>159</v>
      </c>
      <c r="FA58">
        <f t="shared" ca="1" si="40"/>
        <v>21454.079999999998</v>
      </c>
      <c r="FB58">
        <f t="shared" ca="1" si="163"/>
        <v>0</v>
      </c>
      <c r="FC58">
        <f t="shared" ca="1" si="163"/>
        <v>0</v>
      </c>
      <c r="FD58">
        <f t="shared" ca="1" si="41"/>
        <v>0</v>
      </c>
      <c r="FE58">
        <f t="shared" ca="1" si="163"/>
        <v>0</v>
      </c>
      <c r="FG58">
        <f t="shared" ca="1" si="42"/>
        <v>0</v>
      </c>
      <c r="FL58">
        <f t="shared" ca="1" si="8"/>
        <v>1968</v>
      </c>
      <c r="FQ58" s="254" t="str">
        <f t="shared" si="43"/>
        <v>9-14 anni</v>
      </c>
      <c r="FR58">
        <f t="shared" si="114"/>
        <v>58</v>
      </c>
      <c r="FS58" t="str">
        <f t="shared" ca="1" si="44"/>
        <v>ev58</v>
      </c>
      <c r="FT58" t="str">
        <f t="shared" ca="1" si="45"/>
        <v>EU58</v>
      </c>
      <c r="FU58" t="str">
        <f t="shared" ca="1" si="45"/>
        <v>FA58</v>
      </c>
      <c r="FV58" t="str">
        <f t="shared" ca="1" si="153"/>
        <v>FB58</v>
      </c>
      <c r="FW58" t="str">
        <f t="shared" ca="1" si="153"/>
        <v>FC58</v>
      </c>
      <c r="FX58" t="str">
        <f t="shared" ca="1" si="153"/>
        <v>FD58</v>
      </c>
      <c r="FY58" t="str">
        <f t="shared" ca="1" si="153"/>
        <v>FE58</v>
      </c>
      <c r="FZ58" t="str">
        <f t="shared" ca="1" si="153"/>
        <v>FG58</v>
      </c>
      <c r="GA58" t="str">
        <f t="shared" ca="1" si="153"/>
        <v>FL58</v>
      </c>
      <c r="GB58" t="str">
        <f t="shared" ca="1" si="153"/>
        <v/>
      </c>
      <c r="GC58" t="str">
        <f t="shared" ca="1" si="153"/>
        <v/>
      </c>
      <c r="GD58">
        <f t="shared" ca="1" si="115"/>
        <v>19</v>
      </c>
      <c r="GE58" s="112">
        <f t="shared" ca="1" si="47"/>
        <v>40171</v>
      </c>
      <c r="GF58" s="112" t="str">
        <f t="shared" ca="1" si="48"/>
        <v>9-14 anni</v>
      </c>
      <c r="GG58" s="262">
        <f t="shared" ca="1" si="49"/>
        <v>21454.079999999998</v>
      </c>
      <c r="GH58" s="262">
        <f t="shared" ca="1" si="50"/>
        <v>0</v>
      </c>
      <c r="GI58" s="262">
        <f t="shared" ca="1" si="51"/>
        <v>0</v>
      </c>
      <c r="GJ58" s="262">
        <f t="shared" ca="1" si="52"/>
        <v>0</v>
      </c>
      <c r="GK58" s="262">
        <f t="shared" ca="1" si="53"/>
        <v>0</v>
      </c>
      <c r="GL58" s="262">
        <f t="shared" ca="1" si="146"/>
        <v>0</v>
      </c>
      <c r="GM58" s="262">
        <f t="shared" ca="1" si="54"/>
        <v>1968</v>
      </c>
      <c r="GN58" s="262">
        <f t="shared" ca="1" si="55"/>
        <v>0</v>
      </c>
      <c r="GO58" s="262">
        <f t="shared" ca="1" si="11"/>
        <v>0</v>
      </c>
      <c r="GQ58" s="263" t="str">
        <f t="shared" ca="1" si="56"/>
        <v>C.C.N.L. COMPARTO  SCUOLA 2006/09</v>
      </c>
      <c r="GR58" s="262">
        <f t="shared" ca="1" si="57"/>
        <v>23422.079999999998</v>
      </c>
      <c r="GS58" s="253" t="str">
        <f t="shared" ca="1" si="58"/>
        <v xml:space="preserve">ARTICOLO 19
</v>
      </c>
      <c r="GT58" t="str">
        <f t="shared" ca="1" si="59"/>
        <v xml:space="preserve">con decorrenza dalla data: 24/12/2009  </v>
      </c>
      <c r="GU58" t="str">
        <f t="shared" ca="1" si="60"/>
        <v xml:space="preserve"> Fascia: 9-14 anni - C.C.N.L. COMPARTO  SCUOLA 2006/09
</v>
      </c>
      <c r="GV58" t="str">
        <f t="shared" ca="1" si="61"/>
        <v xml:space="preserve">
                              Stipendio annuo lordo                            euro: 21454,08
</v>
      </c>
      <c r="GW58" t="str">
        <f t="shared" ca="1" si="62"/>
        <v/>
      </c>
      <c r="GX58" t="str">
        <f t="shared" ca="1" si="63"/>
        <v/>
      </c>
      <c r="GY58" t="str">
        <f t="shared" ca="1" si="64"/>
        <v/>
      </c>
      <c r="GZ58" t="str">
        <f t="shared" ca="1" si="65"/>
        <v/>
      </c>
      <c r="HA58" t="str">
        <f t="shared" ca="1" si="66"/>
        <v/>
      </c>
      <c r="HB58" t="str">
        <f t="shared" ca="1" si="67"/>
        <v xml:space="preserve">                                rpd/cia - annuo lordo                             euro: 1968
</v>
      </c>
      <c r="HC58" t="str">
        <f t="shared" ca="1" si="68"/>
        <v/>
      </c>
      <c r="HD58" s="254" t="str">
        <f t="shared" ca="1" si="69"/>
        <v/>
      </c>
      <c r="HE58" s="254" t="str">
        <f t="shared" ca="1" si="70"/>
        <v xml:space="preserve">
TOTALE ANNUO LORDO EURO 23422,08
</v>
      </c>
      <c r="HL58" s="263" t="str">
        <f t="shared" ca="1" si="71"/>
        <v xml:space="preserve">ARTICOLO 19
con decorrenza dalla data: 24/12/2009   Fascia: 9-14 anni - C.C.N.L. COMPARTO  SCUOLA 2006/09
                              Stipendio annuo lordo                            euro: 21454,08
                                rpd/cia - annuo lordo                             euro: 1968
TOTALE ANNUO LORDO EURO 23422,08
</v>
      </c>
      <c r="HM58" s="263"/>
      <c r="HN58" s="272" t="str">
        <f t="shared" ca="1" si="13"/>
        <v xml:space="preserve">ARTICOLO 19
con decorrenza dalla data: 24/12/2009   Fascia: 9-14 anni - C.C.N.L. COMPARTO  SCUOLA 2006/09
                              Stipendio annuo lordo                            euro: 21454,08
                                rpd/cia - annuo lordo                             euro: 1968
TOTALE ANNUO LORDO EURO 23422,08
</v>
      </c>
      <c r="HO58">
        <f t="shared" ca="1" si="72"/>
        <v>19</v>
      </c>
      <c r="HP58" t="str">
        <f ca="1">IF(AND(HO58=0,HO57&gt;0),$JQ$38,"")</f>
        <v/>
      </c>
      <c r="HQ58" t="str">
        <f ca="1">IF(AND(HO58=0,HO57=0,HO56&gt;0),$JQ$39,"")</f>
        <v/>
      </c>
      <c r="HR58" t="str">
        <f ca="1">IF(AND(HO58=0,HO57=0,HO56=0,HO55&gt;0),$JQ$40,"")</f>
        <v/>
      </c>
      <c r="HW58" s="253" t="s">
        <v>187</v>
      </c>
      <c r="HX58" s="112" t="str">
        <f t="shared" si="76"/>
        <v>21/2/2003</v>
      </c>
      <c r="HY58" t="s">
        <v>188</v>
      </c>
      <c r="HZ58" s="112" t="str">
        <f t="shared" si="77"/>
        <v>14/6/2003</v>
      </c>
      <c r="IA58" t="s">
        <v>189</v>
      </c>
      <c r="IB58">
        <f t="shared" si="78"/>
        <v>0</v>
      </c>
      <c r="IC58" t="s">
        <v>192</v>
      </c>
      <c r="ID58">
        <f t="shared" si="79"/>
        <v>0</v>
      </c>
      <c r="IE58" t="s">
        <v>191</v>
      </c>
      <c r="IF58" s="254">
        <f t="shared" si="80"/>
        <v>3</v>
      </c>
      <c r="IJ58" s="112"/>
      <c r="IK58" t="str">
        <f t="shared" si="14"/>
        <v xml:space="preserve">DAL: 21/2/2003 - AL:14/6/2003 - ANNI:0 - MESI:0 -GIORNI:3
</v>
      </c>
      <c r="JK58" t="s">
        <v>315</v>
      </c>
      <c r="JO58" t="e">
        <f ca="1">Foglio3!DY22</f>
        <v>#REF!</v>
      </c>
      <c r="JP58">
        <f ca="1">IF(Foglio3!DM31=100000,0,IF(Foglio3!DM31="",0,1))</f>
        <v>1</v>
      </c>
      <c r="JQ58" s="314">
        <f ca="1" xml:space="preserve">   IF(JP58=1,     Foglio3!DM31,IF(JP58=0,IF(JP57=1,"","")))</f>
        <v>37135</v>
      </c>
      <c r="JR58" s="314">
        <f ca="1">IF(          Foglio3!DN31=100000,"",Foglio3!DN31)</f>
        <v>37256</v>
      </c>
      <c r="JS58" s="272">
        <f ca="1">IF(Foglio3!DN31=100000,"",Foglio3!DO31)</f>
        <v>8</v>
      </c>
      <c r="JT58" s="272">
        <f ca="1">IF(Foglio3!DN31=100000,"",Foglio3!DP31)</f>
        <v>24</v>
      </c>
      <c r="JU58" s="272">
        <f ca="1">IF(Foglio3!DN31=100000,"",Foglio3!DQ31)</f>
        <v>122</v>
      </c>
      <c r="JV58" s="272">
        <f ca="1">IF(JU58="","",Foglio3!DR31)</f>
        <v>0</v>
      </c>
      <c r="JW58" s="272">
        <f ca="1">IF(Foglio3!DN31=100000,"",Foglio3!DS31)</f>
        <v>0</v>
      </c>
      <c r="JX58" s="272">
        <f ca="1">IF(Foglio3!DN31=100000,"",Foglio3!DT31)</f>
        <v>0</v>
      </c>
      <c r="JY58" s="272">
        <f ca="1">IF(Foglio3!DN31=100000,"",Foglio3!DU31)</f>
        <v>0</v>
      </c>
      <c r="JZ58" s="272" t="str">
        <f ca="1">IF(Foglio3!DN31=100000,"",Foglio3!DV31)</f>
        <v>0/2 anni</v>
      </c>
      <c r="KC58">
        <v>0</v>
      </c>
      <c r="KD58" s="260">
        <f t="shared" ca="1" si="81"/>
        <v>40171</v>
      </c>
      <c r="KE58" t="str">
        <f t="shared" si="82"/>
        <v>0-2 anni</v>
      </c>
      <c r="KF58">
        <f t="shared" si="15"/>
        <v>6</v>
      </c>
      <c r="KG58" s="238">
        <f t="shared" ca="1" si="16"/>
        <v>157</v>
      </c>
      <c r="KJ58">
        <f t="shared" ca="1" si="83"/>
        <v>12940.19</v>
      </c>
      <c r="KK58">
        <f t="shared" ca="1" si="164"/>
        <v>0</v>
      </c>
      <c r="KL58">
        <f t="shared" ca="1" si="164"/>
        <v>0</v>
      </c>
      <c r="KM58">
        <f t="shared" ca="1" si="164"/>
        <v>6384.11</v>
      </c>
      <c r="KN58">
        <f t="shared" ca="1" si="164"/>
        <v>0</v>
      </c>
      <c r="KU58">
        <f t="shared" ca="1" si="18"/>
        <v>1968</v>
      </c>
      <c r="KZ58" s="254" t="str">
        <f t="shared" si="84"/>
        <v>0-2 anni</v>
      </c>
      <c r="LA58" s="112">
        <f t="shared" si="85"/>
        <v>37673</v>
      </c>
      <c r="LB58" s="112">
        <f t="shared" si="86"/>
        <v>37786</v>
      </c>
      <c r="LC58">
        <f t="shared" ca="1" si="87"/>
        <v>21292.3</v>
      </c>
      <c r="LD58" s="262">
        <f t="shared" ca="1" si="88"/>
        <v>23422.079999999998</v>
      </c>
      <c r="LE58">
        <f t="shared" si="89"/>
        <v>3</v>
      </c>
      <c r="LF58">
        <f t="shared" ca="1" si="90"/>
        <v>17.510000000000002</v>
      </c>
    </row>
    <row r="59" spans="1:318" ht="40.15" customHeight="1" x14ac:dyDescent="0.25">
      <c r="A59" s="112">
        <f t="shared" si="128"/>
        <v>37622</v>
      </c>
      <c r="B59" s="112">
        <f t="shared" si="19"/>
        <v>37987</v>
      </c>
      <c r="E59" s="240">
        <f>Foglio3!F39</f>
        <v>37865</v>
      </c>
      <c r="F59" s="240">
        <f>Foglio3!G39</f>
        <v>38168</v>
      </c>
      <c r="G59" s="244"/>
      <c r="H59" s="245">
        <f t="shared" si="20"/>
        <v>37865</v>
      </c>
      <c r="I59" s="245">
        <f t="shared" si="2"/>
        <v>38168</v>
      </c>
      <c r="J59" s="244"/>
      <c r="K59" s="244"/>
      <c r="Q59">
        <f t="shared" si="154"/>
        <v>304</v>
      </c>
      <c r="R59">
        <f t="shared" si="155"/>
        <v>304</v>
      </c>
      <c r="S59">
        <f t="shared" si="156"/>
        <v>0</v>
      </c>
      <c r="T59">
        <f t="shared" si="157"/>
        <v>10</v>
      </c>
      <c r="U59">
        <f t="shared" si="158"/>
        <v>4</v>
      </c>
      <c r="W59">
        <f t="shared" si="159"/>
        <v>0</v>
      </c>
      <c r="X59">
        <f t="shared" si="160"/>
        <v>49</v>
      </c>
      <c r="Y59">
        <f t="shared" si="161"/>
        <v>151</v>
      </c>
      <c r="AA59" s="112">
        <f t="shared" si="91"/>
        <v>37865</v>
      </c>
      <c r="AB59" s="112">
        <f t="shared" si="92"/>
        <v>38168</v>
      </c>
      <c r="AG59">
        <f t="shared" si="22"/>
        <v>1</v>
      </c>
      <c r="AH59" s="112">
        <f t="shared" si="93"/>
        <v>37865</v>
      </c>
      <c r="AI59" s="112">
        <f t="shared" si="94"/>
        <v>38168</v>
      </c>
      <c r="AJ59">
        <f t="shared" si="23"/>
        <v>1</v>
      </c>
      <c r="AK59">
        <f t="shared" si="95"/>
        <v>0</v>
      </c>
      <c r="AL59">
        <f t="shared" si="122"/>
        <v>0</v>
      </c>
      <c r="AN59">
        <f t="shared" si="123"/>
        <v>0</v>
      </c>
      <c r="AO59">
        <f t="shared" si="124"/>
        <v>0</v>
      </c>
      <c r="AP59">
        <f t="shared" si="96"/>
        <v>0</v>
      </c>
      <c r="AS59">
        <f t="shared" si="130"/>
        <v>0</v>
      </c>
      <c r="AT59">
        <f t="shared" si="131"/>
        <v>0</v>
      </c>
      <c r="AV59">
        <f t="shared" si="132"/>
        <v>0</v>
      </c>
      <c r="AW59">
        <f t="shared" si="133"/>
        <v>0</v>
      </c>
      <c r="AX59">
        <f t="shared" si="97"/>
        <v>0</v>
      </c>
      <c r="BA59">
        <f t="shared" si="150"/>
        <v>0</v>
      </c>
      <c r="BB59">
        <f t="shared" si="151"/>
        <v>0</v>
      </c>
      <c r="BD59">
        <f t="shared" si="135"/>
        <v>0</v>
      </c>
      <c r="BE59">
        <f t="shared" si="136"/>
        <v>0</v>
      </c>
      <c r="BF59">
        <f t="shared" si="127"/>
        <v>0</v>
      </c>
      <c r="BI59">
        <f t="shared" si="137"/>
        <v>0</v>
      </c>
      <c r="BJ59">
        <f t="shared" si="139"/>
        <v>0</v>
      </c>
      <c r="BK59">
        <f t="shared" si="140"/>
        <v>0</v>
      </c>
      <c r="BL59">
        <f t="shared" si="141"/>
        <v>0</v>
      </c>
      <c r="BM59">
        <f t="shared" si="134"/>
        <v>0</v>
      </c>
      <c r="BO59">
        <f t="shared" si="142"/>
        <v>0</v>
      </c>
      <c r="BP59">
        <f t="shared" si="143"/>
        <v>0</v>
      </c>
      <c r="BR59">
        <f t="shared" si="144"/>
        <v>0</v>
      </c>
      <c r="BS59">
        <f t="shared" si="145"/>
        <v>0</v>
      </c>
      <c r="BT59">
        <f t="shared" si="138"/>
        <v>0</v>
      </c>
      <c r="BV59">
        <f t="shared" si="98"/>
        <v>0</v>
      </c>
      <c r="BX59">
        <f t="shared" si="99"/>
        <v>0</v>
      </c>
      <c r="BY59">
        <f t="shared" si="100"/>
        <v>0</v>
      </c>
      <c r="BZ59">
        <f t="shared" si="101"/>
        <v>0</v>
      </c>
      <c r="CA59">
        <f t="shared" si="102"/>
        <v>0</v>
      </c>
      <c r="CB59">
        <f t="shared" si="103"/>
        <v>0</v>
      </c>
      <c r="CG59">
        <f t="shared" si="24"/>
        <v>2003</v>
      </c>
      <c r="CH59">
        <f t="shared" si="25"/>
        <v>2004</v>
      </c>
      <c r="CJ59">
        <f t="shared" si="26"/>
        <v>0</v>
      </c>
      <c r="CK59">
        <f t="shared" si="147"/>
        <v>0</v>
      </c>
      <c r="CL59">
        <f t="shared" si="27"/>
        <v>0</v>
      </c>
      <c r="CN59">
        <f t="shared" si="28"/>
        <v>0</v>
      </c>
      <c r="CS59">
        <f t="shared" si="29"/>
        <v>304</v>
      </c>
      <c r="CT59">
        <f t="shared" si="104"/>
        <v>1621</v>
      </c>
      <c r="CU59" s="243">
        <f t="shared" si="30"/>
        <v>1621</v>
      </c>
      <c r="CV59" s="112">
        <f t="shared" si="31"/>
        <v>38168</v>
      </c>
      <c r="CX59" s="112">
        <f t="shared" si="149"/>
        <v>100000</v>
      </c>
      <c r="CY59" s="112">
        <f t="shared" si="105"/>
        <v>100000</v>
      </c>
      <c r="CZ59" s="112">
        <f t="shared" si="106"/>
        <v>100000</v>
      </c>
      <c r="DA59" s="112">
        <f t="shared" si="107"/>
        <v>100000</v>
      </c>
      <c r="DB59" s="112">
        <f t="shared" si="108"/>
        <v>100000</v>
      </c>
      <c r="DC59" s="112">
        <f t="shared" si="109"/>
        <v>100000</v>
      </c>
      <c r="DU59" s="112"/>
      <c r="DV59" s="112"/>
      <c r="DW59" s="277">
        <v>40269</v>
      </c>
      <c r="DX59" s="276"/>
      <c r="DY59" s="276"/>
      <c r="DZ59" s="276"/>
      <c r="EF59" s="260">
        <f t="shared" si="148"/>
        <v>39083</v>
      </c>
      <c r="EK59" s="254"/>
      <c r="EL59">
        <f t="shared" si="152"/>
        <v>20</v>
      </c>
      <c r="EM59" s="260">
        <f t="shared" si="111"/>
        <v>40171</v>
      </c>
      <c r="EN59">
        <f t="shared" si="112"/>
        <v>21</v>
      </c>
      <c r="EO59" s="112">
        <f t="shared" si="113"/>
        <v>40171</v>
      </c>
      <c r="EP59" s="112">
        <f t="shared" si="162"/>
        <v>40171</v>
      </c>
      <c r="ET59">
        <f t="shared" si="37"/>
        <v>9</v>
      </c>
      <c r="EU59" s="260">
        <f t="shared" si="38"/>
        <v>40171</v>
      </c>
      <c r="EV59" t="str">
        <f t="shared" si="39"/>
        <v>9-14 anni</v>
      </c>
      <c r="EW59">
        <f t="shared" si="5"/>
        <v>4</v>
      </c>
      <c r="EX59" s="238">
        <f t="shared" ca="1" si="6"/>
        <v>159</v>
      </c>
      <c r="FA59">
        <f t="shared" ca="1" si="40"/>
        <v>21454.079999999998</v>
      </c>
      <c r="FB59">
        <f t="shared" ca="1" si="163"/>
        <v>0</v>
      </c>
      <c r="FC59">
        <f t="shared" ca="1" si="163"/>
        <v>0</v>
      </c>
      <c r="FD59">
        <f t="shared" ca="1" si="41"/>
        <v>0</v>
      </c>
      <c r="FE59">
        <f t="shared" ca="1" si="163"/>
        <v>0</v>
      </c>
      <c r="FG59">
        <f t="shared" ca="1" si="42"/>
        <v>0</v>
      </c>
      <c r="FL59">
        <f t="shared" ca="1" si="8"/>
        <v>1968</v>
      </c>
      <c r="FQ59" s="254" t="str">
        <f t="shared" si="43"/>
        <v>9-14 anni</v>
      </c>
      <c r="FR59">
        <f t="shared" si="114"/>
        <v>59</v>
      </c>
      <c r="FS59" t="str">
        <f t="shared" ca="1" si="44"/>
        <v>ev59</v>
      </c>
      <c r="FT59" t="str">
        <f t="shared" ca="1" si="45"/>
        <v>EU59</v>
      </c>
      <c r="FU59" t="str">
        <f t="shared" ca="1" si="45"/>
        <v>FA59</v>
      </c>
      <c r="FV59" t="str">
        <f t="shared" ca="1" si="153"/>
        <v>FB59</v>
      </c>
      <c r="FW59" t="str">
        <f t="shared" ca="1" si="153"/>
        <v>FC59</v>
      </c>
      <c r="FX59" t="str">
        <f t="shared" ca="1" si="153"/>
        <v>FD59</v>
      </c>
      <c r="FY59" t="str">
        <f t="shared" ca="1" si="153"/>
        <v>FE59</v>
      </c>
      <c r="FZ59" t="str">
        <f t="shared" ca="1" si="153"/>
        <v>FG59</v>
      </c>
      <c r="GA59" t="str">
        <f t="shared" ca="1" si="153"/>
        <v>FL59</v>
      </c>
      <c r="GB59" t="str">
        <f t="shared" ca="1" si="153"/>
        <v/>
      </c>
      <c r="GC59" t="str">
        <f t="shared" ca="1" si="153"/>
        <v/>
      </c>
      <c r="GD59">
        <f t="shared" ca="1" si="115"/>
        <v>20</v>
      </c>
      <c r="GE59" s="112">
        <f t="shared" ca="1" si="47"/>
        <v>40171</v>
      </c>
      <c r="GF59" s="112" t="str">
        <f t="shared" ca="1" si="48"/>
        <v>9-14 anni</v>
      </c>
      <c r="GG59" s="262">
        <f t="shared" ca="1" si="49"/>
        <v>21454.079999999998</v>
      </c>
      <c r="GH59" s="262">
        <f t="shared" ca="1" si="50"/>
        <v>0</v>
      </c>
      <c r="GI59" s="262">
        <f t="shared" ca="1" si="51"/>
        <v>0</v>
      </c>
      <c r="GJ59" s="262">
        <f t="shared" ca="1" si="52"/>
        <v>0</v>
      </c>
      <c r="GK59" s="262">
        <f t="shared" ca="1" si="53"/>
        <v>0</v>
      </c>
      <c r="GL59" s="262">
        <f t="shared" ca="1" si="146"/>
        <v>0</v>
      </c>
      <c r="GM59" s="262">
        <f t="shared" ca="1" si="54"/>
        <v>1968</v>
      </c>
      <c r="GN59" s="262">
        <f t="shared" ca="1" si="55"/>
        <v>0</v>
      </c>
      <c r="GO59" s="262">
        <f t="shared" ca="1" si="11"/>
        <v>0</v>
      </c>
      <c r="GQ59" s="263" t="str">
        <f t="shared" ca="1" si="56"/>
        <v>C.C.N.L. COMPARTO  SCUOLA 2006/09</v>
      </c>
      <c r="GR59" s="262">
        <f t="shared" ca="1" si="57"/>
        <v>23422.079999999998</v>
      </c>
      <c r="GS59" s="253" t="str">
        <f t="shared" ca="1" si="58"/>
        <v xml:space="preserve">ARTICOLO 20
</v>
      </c>
      <c r="GT59" t="str">
        <f t="shared" ca="1" si="59"/>
        <v xml:space="preserve">con decorrenza dalla data: 24/12/2009  </v>
      </c>
      <c r="GU59" t="str">
        <f t="shared" ca="1" si="60"/>
        <v xml:space="preserve"> Fascia: 9-14 anni - C.C.N.L. COMPARTO  SCUOLA 2006/09
</v>
      </c>
      <c r="GV59" t="str">
        <f t="shared" ca="1" si="61"/>
        <v xml:space="preserve">
                              Stipendio annuo lordo                            euro: 21454,08
</v>
      </c>
      <c r="GW59" t="str">
        <f t="shared" ca="1" si="62"/>
        <v/>
      </c>
      <c r="GX59" t="str">
        <f t="shared" ca="1" si="63"/>
        <v/>
      </c>
      <c r="GY59" t="str">
        <f t="shared" ca="1" si="64"/>
        <v/>
      </c>
      <c r="GZ59" t="str">
        <f t="shared" ca="1" si="65"/>
        <v/>
      </c>
      <c r="HA59" t="str">
        <f t="shared" ca="1" si="66"/>
        <v/>
      </c>
      <c r="HB59" t="str">
        <f t="shared" ca="1" si="67"/>
        <v xml:space="preserve">                                rpd/cia - annuo lordo                             euro: 1968
</v>
      </c>
      <c r="HC59" t="str">
        <f t="shared" ca="1" si="68"/>
        <v/>
      </c>
      <c r="HD59" s="254" t="str">
        <f t="shared" ca="1" si="69"/>
        <v/>
      </c>
      <c r="HE59" s="254" t="str">
        <f t="shared" ca="1" si="70"/>
        <v xml:space="preserve">
TOTALE ANNUO LORDO EURO 23422,08
</v>
      </c>
      <c r="HL59" s="263" t="str">
        <f t="shared" ca="1" si="71"/>
        <v xml:space="preserve">ARTICOLO 20
con decorrenza dalla data: 24/12/2009   Fascia: 9-14 anni - C.C.N.L. COMPARTO  SCUOLA 2006/09
                              Stipendio annuo lordo                            euro: 21454,08
                                rpd/cia - annuo lordo                             euro: 1968
TOTALE ANNUO LORDO EURO 23422,08
</v>
      </c>
      <c r="HM59" s="263"/>
      <c r="HN59" s="272" t="str">
        <f t="shared" ca="1" si="13"/>
        <v xml:space="preserve">ARTICOLO 20
con decorrenza dalla data: 24/12/2009   Fascia: 9-14 anni - C.C.N.L. COMPARTO  SCUOLA 2006/09
                              Stipendio annuo lordo                            euro: 21454,08
                                rpd/cia - annuo lordo                             euro: 1968
TOTALE ANNUO LORDO EURO 23422,08
</v>
      </c>
      <c r="HO59">
        <f t="shared" ca="1" si="72"/>
        <v>20</v>
      </c>
      <c r="HP59" t="str">
        <f t="shared" ca="1" si="73"/>
        <v/>
      </c>
      <c r="HQ59" t="str">
        <f t="shared" ref="HQ59:HQ96" ca="1" si="165">IF(AND(HO59=0,HO58=0,HO57&gt;0),$JQ$39,"")</f>
        <v/>
      </c>
      <c r="HR59" t="str">
        <f t="shared" ref="HR59:HR96" ca="1" si="166">IF(AND(HO59=0,HO58=0,HO57=0,HO56&gt;0),$JQ$40,"")</f>
        <v/>
      </c>
      <c r="HW59" s="253" t="s">
        <v>187</v>
      </c>
      <c r="HX59" s="112" t="str">
        <f t="shared" si="76"/>
        <v>1/9/2003</v>
      </c>
      <c r="HY59" t="s">
        <v>188</v>
      </c>
      <c r="HZ59" s="112" t="str">
        <f t="shared" si="77"/>
        <v>30/6/2004</v>
      </c>
      <c r="IA59" t="s">
        <v>189</v>
      </c>
      <c r="IB59">
        <f t="shared" si="78"/>
        <v>0</v>
      </c>
      <c r="IC59" t="s">
        <v>192</v>
      </c>
      <c r="ID59">
        <f t="shared" si="79"/>
        <v>10</v>
      </c>
      <c r="IE59" t="s">
        <v>191</v>
      </c>
      <c r="IF59" s="254">
        <f t="shared" si="80"/>
        <v>4</v>
      </c>
      <c r="IJ59" s="112">
        <f>E59</f>
        <v>37865</v>
      </c>
      <c r="IK59" t="str">
        <f>IF(  AND(  E59&gt;0, E59&lt;&gt;""),CONCATENATE(HW59,HX59,HY59,HZ59,IA59,IB59,IC59,ID59,IE59,IF59,"
"),"")</f>
        <v xml:space="preserve">DAL: 1/9/2003 - AL:30/6/2004 - ANNI:0 - MESI:10 -GIORNI:4
</v>
      </c>
      <c r="JP59">
        <f ca="1">IF(Foglio3!DM32=100000,0,IF(Foglio3!DM32="",0,1))</f>
        <v>1</v>
      </c>
      <c r="JQ59" s="314">
        <f ca="1" xml:space="preserve">   IF(JP59=1,     Foglio3!DM32,IF(JP59=0,IF(JP58=1,"","")))</f>
        <v>37167</v>
      </c>
      <c r="JR59" s="314">
        <f ca="1">IF(          Foglio3!DN32=100000,"",Foglio3!DN32)</f>
        <v>37200</v>
      </c>
      <c r="JS59" s="272">
        <f ca="1">IF(Foglio3!DN32=100000,"",Foglio3!DO32)</f>
        <v>5</v>
      </c>
      <c r="JT59" s="272">
        <f ca="1">IF(Foglio3!DN32=100000,"",Foglio3!DP32)</f>
        <v>24</v>
      </c>
      <c r="JU59" s="272">
        <f ca="1">IF(Foglio3!DN32=100000,"",Foglio3!DQ32)</f>
        <v>34</v>
      </c>
      <c r="JV59" s="272">
        <f ca="1">IF(JU59="","",Foglio3!DR32)</f>
        <v>0</v>
      </c>
      <c r="JW59" s="272">
        <f ca="1">IF(Foglio3!DN32=100000,"",Foglio3!DS32)</f>
        <v>0</v>
      </c>
      <c r="JX59" s="272">
        <f ca="1">IF(Foglio3!DN32=100000,"",Foglio3!DT32)</f>
        <v>0</v>
      </c>
      <c r="JY59" s="272">
        <f ca="1">IF(Foglio3!DN32=100000,"",Foglio3!DU32)</f>
        <v>0</v>
      </c>
      <c r="JZ59" s="272" t="str">
        <f ca="1">IF(Foglio3!DN32=100000,"",Foglio3!DV32)</f>
        <v>0/2 anni</v>
      </c>
      <c r="KC59">
        <v>0</v>
      </c>
      <c r="KD59" s="260">
        <f t="shared" ca="1" si="81"/>
        <v>40171</v>
      </c>
      <c r="KE59" t="str">
        <f t="shared" si="82"/>
        <v>0-2 anni</v>
      </c>
      <c r="KF59">
        <f t="shared" si="15"/>
        <v>6</v>
      </c>
      <c r="KG59" s="238">
        <f t="shared" ca="1" si="16"/>
        <v>157</v>
      </c>
      <c r="KJ59">
        <f t="shared" ca="1" si="83"/>
        <v>12940.19</v>
      </c>
      <c r="KK59">
        <f t="shared" ca="1" si="164"/>
        <v>0</v>
      </c>
      <c r="KL59">
        <f t="shared" ca="1" si="164"/>
        <v>0</v>
      </c>
      <c r="KM59">
        <f t="shared" ca="1" si="164"/>
        <v>6384.11</v>
      </c>
      <c r="KN59">
        <f t="shared" ca="1" si="164"/>
        <v>0</v>
      </c>
      <c r="KU59">
        <f t="shared" ca="1" si="18"/>
        <v>1968</v>
      </c>
      <c r="KZ59" s="254" t="str">
        <f t="shared" si="84"/>
        <v>0-2 anni</v>
      </c>
      <c r="LA59" s="112">
        <f t="shared" si="85"/>
        <v>37865</v>
      </c>
      <c r="LB59" s="112">
        <f t="shared" si="86"/>
        <v>38168</v>
      </c>
      <c r="LC59">
        <f t="shared" ca="1" si="87"/>
        <v>21292.3</v>
      </c>
      <c r="LD59" s="262">
        <f t="shared" ca="1" si="88"/>
        <v>23422.079999999998</v>
      </c>
      <c r="LE59">
        <f t="shared" si="89"/>
        <v>304</v>
      </c>
      <c r="LF59">
        <f t="shared" ca="1" si="90"/>
        <v>1773.84</v>
      </c>
    </row>
    <row r="60" spans="1:318" ht="44.45" customHeight="1" x14ac:dyDescent="0.25">
      <c r="A60" s="112">
        <f t="shared" si="128"/>
        <v>37987</v>
      </c>
      <c r="B60" s="112">
        <f t="shared" si="19"/>
        <v>38384</v>
      </c>
      <c r="E60" s="240">
        <f>Foglio3!F40</f>
        <v>38231</v>
      </c>
      <c r="F60" s="240">
        <f>Foglio3!G40</f>
        <v>38551</v>
      </c>
      <c r="G60" s="244"/>
      <c r="H60" s="245">
        <f t="shared" si="20"/>
        <v>38231</v>
      </c>
      <c r="I60" s="245">
        <f t="shared" si="2"/>
        <v>38551</v>
      </c>
      <c r="J60" s="244"/>
      <c r="K60" s="244"/>
      <c r="Q60">
        <f t="shared" si="154"/>
        <v>321</v>
      </c>
      <c r="R60">
        <f t="shared" si="155"/>
        <v>321</v>
      </c>
      <c r="S60">
        <f t="shared" si="156"/>
        <v>0</v>
      </c>
      <c r="T60">
        <f t="shared" si="157"/>
        <v>10</v>
      </c>
      <c r="U60">
        <f t="shared" si="158"/>
        <v>21</v>
      </c>
      <c r="W60">
        <f t="shared" si="159"/>
        <v>0</v>
      </c>
      <c r="X60">
        <f t="shared" si="160"/>
        <v>59</v>
      </c>
      <c r="Y60">
        <f t="shared" si="161"/>
        <v>172</v>
      </c>
      <c r="AA60" s="112">
        <f t="shared" si="91"/>
        <v>38231</v>
      </c>
      <c r="AB60" s="112">
        <f t="shared" si="92"/>
        <v>38551</v>
      </c>
      <c r="AG60">
        <f t="shared" si="22"/>
        <v>1</v>
      </c>
      <c r="AH60" s="112">
        <f t="shared" si="93"/>
        <v>38231</v>
      </c>
      <c r="AI60" s="112">
        <f t="shared" si="94"/>
        <v>38551</v>
      </c>
      <c r="AJ60">
        <f t="shared" si="23"/>
        <v>1</v>
      </c>
      <c r="AK60">
        <f t="shared" si="95"/>
        <v>0</v>
      </c>
      <c r="AL60">
        <f t="shared" si="122"/>
        <v>0</v>
      </c>
      <c r="AN60">
        <f t="shared" si="123"/>
        <v>0</v>
      </c>
      <c r="AO60">
        <f t="shared" si="124"/>
        <v>0</v>
      </c>
      <c r="AP60">
        <f t="shared" si="96"/>
        <v>0</v>
      </c>
      <c r="AS60">
        <f t="shared" si="130"/>
        <v>0</v>
      </c>
      <c r="AT60">
        <f t="shared" si="131"/>
        <v>0</v>
      </c>
      <c r="AV60">
        <f t="shared" si="132"/>
        <v>0</v>
      </c>
      <c r="AW60">
        <f t="shared" si="133"/>
        <v>0</v>
      </c>
      <c r="AX60">
        <f t="shared" si="97"/>
        <v>0</v>
      </c>
      <c r="BA60">
        <f t="shared" si="150"/>
        <v>0</v>
      </c>
      <c r="BB60">
        <f t="shared" si="151"/>
        <v>0</v>
      </c>
      <c r="BD60">
        <f t="shared" si="135"/>
        <v>0</v>
      </c>
      <c r="BE60">
        <f t="shared" si="136"/>
        <v>0</v>
      </c>
      <c r="BF60">
        <f t="shared" si="127"/>
        <v>0</v>
      </c>
      <c r="BI60">
        <f t="shared" si="137"/>
        <v>0</v>
      </c>
      <c r="BJ60">
        <f t="shared" si="139"/>
        <v>0</v>
      </c>
      <c r="BK60">
        <f t="shared" si="140"/>
        <v>0</v>
      </c>
      <c r="BL60">
        <f t="shared" si="141"/>
        <v>0</v>
      </c>
      <c r="BM60">
        <f t="shared" si="134"/>
        <v>0</v>
      </c>
      <c r="BO60">
        <f t="shared" si="142"/>
        <v>0</v>
      </c>
      <c r="BP60">
        <f t="shared" si="143"/>
        <v>0</v>
      </c>
      <c r="BR60">
        <f t="shared" si="144"/>
        <v>0</v>
      </c>
      <c r="BS60">
        <f t="shared" si="145"/>
        <v>0</v>
      </c>
      <c r="BT60">
        <f t="shared" si="138"/>
        <v>0</v>
      </c>
      <c r="BV60">
        <f t="shared" si="98"/>
        <v>0</v>
      </c>
      <c r="BX60">
        <f t="shared" si="99"/>
        <v>0</v>
      </c>
      <c r="BY60">
        <f t="shared" si="100"/>
        <v>0</v>
      </c>
      <c r="BZ60">
        <f t="shared" si="101"/>
        <v>0</v>
      </c>
      <c r="CA60">
        <f t="shared" si="102"/>
        <v>0</v>
      </c>
      <c r="CB60">
        <f t="shared" si="103"/>
        <v>0</v>
      </c>
      <c r="CG60">
        <f t="shared" si="24"/>
        <v>2004</v>
      </c>
      <c r="CH60">
        <f t="shared" si="25"/>
        <v>2005</v>
      </c>
      <c r="CJ60">
        <f t="shared" si="26"/>
        <v>0</v>
      </c>
      <c r="CK60">
        <f t="shared" si="147"/>
        <v>0</v>
      </c>
      <c r="CL60">
        <f t="shared" si="27"/>
        <v>0</v>
      </c>
      <c r="CN60">
        <f t="shared" si="28"/>
        <v>0</v>
      </c>
      <c r="CS60">
        <f t="shared" si="29"/>
        <v>321</v>
      </c>
      <c r="CT60">
        <f t="shared" si="104"/>
        <v>1942</v>
      </c>
      <c r="CU60" s="243">
        <f t="shared" si="30"/>
        <v>1942</v>
      </c>
      <c r="CV60" s="112">
        <f t="shared" si="31"/>
        <v>38551</v>
      </c>
      <c r="CX60" s="112">
        <f t="shared" si="149"/>
        <v>100000</v>
      </c>
      <c r="CY60" s="112">
        <f t="shared" si="105"/>
        <v>100000</v>
      </c>
      <c r="CZ60" s="112">
        <f t="shared" si="106"/>
        <v>100000</v>
      </c>
      <c r="DA60" s="112">
        <f t="shared" si="107"/>
        <v>100000</v>
      </c>
      <c r="DB60" s="112">
        <f t="shared" si="108"/>
        <v>100000</v>
      </c>
      <c r="DC60" s="112">
        <f t="shared" si="109"/>
        <v>100000</v>
      </c>
      <c r="DU60" s="112"/>
      <c r="DV60" s="112"/>
      <c r="DW60" s="277">
        <v>40360</v>
      </c>
      <c r="DX60" s="276"/>
      <c r="DY60" s="276"/>
      <c r="DZ60" s="276"/>
      <c r="EF60" s="260">
        <f t="shared" si="148"/>
        <v>39114</v>
      </c>
      <c r="EK60" s="254"/>
      <c r="EL60">
        <f t="shared" si="152"/>
        <v>21</v>
      </c>
      <c r="EM60" s="260">
        <f t="shared" si="111"/>
        <v>40171</v>
      </c>
      <c r="EN60">
        <f t="shared" si="112"/>
        <v>23</v>
      </c>
      <c r="EO60" s="112">
        <f t="shared" si="113"/>
        <v>40360</v>
      </c>
      <c r="EP60" s="112">
        <f t="shared" si="162"/>
        <v>40360</v>
      </c>
      <c r="ET60">
        <f t="shared" si="37"/>
        <v>9</v>
      </c>
      <c r="EU60" s="260">
        <f t="shared" si="38"/>
        <v>40360</v>
      </c>
      <c r="EV60" t="str">
        <f t="shared" si="39"/>
        <v>9-14 anni</v>
      </c>
      <c r="EW60">
        <f t="shared" si="5"/>
        <v>4</v>
      </c>
      <c r="EX60" s="238">
        <f t="shared" ca="1" si="6"/>
        <v>173</v>
      </c>
      <c r="FA60">
        <f t="shared" ca="1" si="40"/>
        <v>21454.079999999998</v>
      </c>
      <c r="FB60">
        <f t="shared" ca="1" si="163"/>
        <v>0</v>
      </c>
      <c r="FC60">
        <f t="shared" ca="1" si="163"/>
        <v>0</v>
      </c>
      <c r="FD60">
        <f t="shared" ca="1" si="41"/>
        <v>0</v>
      </c>
      <c r="FE60">
        <f t="shared" ca="1" si="163"/>
        <v>144.93</v>
      </c>
      <c r="FG60">
        <f t="shared" ca="1" si="42"/>
        <v>0</v>
      </c>
      <c r="FL60">
        <f t="shared" ca="1" si="8"/>
        <v>1968</v>
      </c>
      <c r="FQ60" s="254" t="str">
        <f t="shared" si="43"/>
        <v>9-14 anni</v>
      </c>
      <c r="FR60">
        <f t="shared" si="114"/>
        <v>60</v>
      </c>
      <c r="FS60" t="str">
        <f t="shared" ca="1" si="44"/>
        <v>ev60</v>
      </c>
      <c r="FT60" t="str">
        <f t="shared" ca="1" si="45"/>
        <v>EU60</v>
      </c>
      <c r="FU60" t="str">
        <f t="shared" ca="1" si="45"/>
        <v>FA60</v>
      </c>
      <c r="FV60" t="str">
        <f t="shared" ca="1" si="45"/>
        <v>FB60</v>
      </c>
      <c r="FW60" t="str">
        <f t="shared" ca="1" si="45"/>
        <v>FC60</v>
      </c>
      <c r="FX60" t="str">
        <f t="shared" ca="1" si="45"/>
        <v>FD60</v>
      </c>
      <c r="FY60" t="str">
        <f t="shared" ca="1" si="45"/>
        <v>FE60</v>
      </c>
      <c r="FZ60" t="str">
        <f t="shared" ca="1" si="45"/>
        <v>FG60</v>
      </c>
      <c r="GA60" t="str">
        <f t="shared" ca="1" si="45"/>
        <v>FL60</v>
      </c>
      <c r="GB60" t="str">
        <f t="shared" ca="1" si="45"/>
        <v/>
      </c>
      <c r="GC60" t="str">
        <f t="shared" ca="1" si="45"/>
        <v/>
      </c>
      <c r="GD60">
        <f t="shared" ca="1" si="115"/>
        <v>21</v>
      </c>
      <c r="GE60" s="112">
        <f t="shared" ca="1" si="47"/>
        <v>40360</v>
      </c>
      <c r="GF60" s="112" t="str">
        <f t="shared" ca="1" si="48"/>
        <v>9-14 anni</v>
      </c>
      <c r="GG60" s="262">
        <f t="shared" ca="1" si="49"/>
        <v>21454.079999999998</v>
      </c>
      <c r="GH60" s="262">
        <f t="shared" ca="1" si="50"/>
        <v>0</v>
      </c>
      <c r="GI60" s="262">
        <f t="shared" ca="1" si="51"/>
        <v>0</v>
      </c>
      <c r="GJ60" s="262">
        <f t="shared" ca="1" si="52"/>
        <v>0</v>
      </c>
      <c r="GK60" s="262">
        <f t="shared" ca="1" si="53"/>
        <v>144.93</v>
      </c>
      <c r="GL60" s="262">
        <f t="shared" ca="1" si="146"/>
        <v>0</v>
      </c>
      <c r="GM60" s="262">
        <f t="shared" ca="1" si="54"/>
        <v>1968</v>
      </c>
      <c r="GN60" s="262">
        <f t="shared" ca="1" si="55"/>
        <v>0</v>
      </c>
      <c r="GO60" s="262">
        <f t="shared" ca="1" si="11"/>
        <v>0</v>
      </c>
      <c r="GQ60" s="263" t="str">
        <f t="shared" ca="1" si="56"/>
        <v>C.C.N.L. COMPARTO  SCUOLA 2006/09</v>
      </c>
      <c r="GR60" s="262">
        <f t="shared" ca="1" si="57"/>
        <v>23567.01</v>
      </c>
      <c r="GS60" s="253" t="str">
        <f t="shared" ca="1" si="58"/>
        <v xml:space="preserve">ARTICOLO 21
</v>
      </c>
      <c r="GT60" t="str">
        <f t="shared" ca="1" si="59"/>
        <v xml:space="preserve">con decorrenza dalla data: 1/7/2010  </v>
      </c>
      <c r="GU60" t="str">
        <f t="shared" ca="1" si="60"/>
        <v xml:space="preserve"> Fascia: 9-14 anni - C.C.N.L. COMPARTO  SCUOLA 2006/09
</v>
      </c>
      <c r="GV60" t="str">
        <f t="shared" ca="1" si="61"/>
        <v xml:space="preserve">
                              Stipendio annuo lordo                            euro: 21454,08
</v>
      </c>
      <c r="GW60" t="str">
        <f t="shared" ca="1" si="62"/>
        <v/>
      </c>
      <c r="GX60" t="str">
        <f t="shared" ca="1" si="63"/>
        <v/>
      </c>
      <c r="GY60" t="str">
        <f t="shared" ca="1" si="64"/>
        <v/>
      </c>
      <c r="GZ60" t="str">
        <f t="shared" ca="1" si="65"/>
        <v xml:space="preserve">               Indennita di Vacanza contr.le -     annuo lordo    euro : 144,93
</v>
      </c>
      <c r="HA60" t="str">
        <f t="shared" ca="1" si="66"/>
        <v/>
      </c>
      <c r="HB60" t="str">
        <f t="shared" ca="1" si="67"/>
        <v xml:space="preserve">                                rpd/cia - annuo lordo                             euro: 1968
</v>
      </c>
      <c r="HC60" t="str">
        <f t="shared" ca="1" si="68"/>
        <v/>
      </c>
      <c r="HD60" s="254" t="str">
        <f t="shared" ca="1" si="69"/>
        <v/>
      </c>
      <c r="HE60" s="254" t="str">
        <f t="shared" ca="1" si="70"/>
        <v xml:space="preserve">
TOTALE ANNUO LORDO EURO 23567,01
</v>
      </c>
      <c r="HL60" s="263" t="str">
        <f t="shared" ca="1" si="71"/>
        <v xml:space="preserve">ARTICOLO 21
con decorrenza dalla data: 1/7/2010   Fascia: 9-14 anni - C.C.N.L. COMPARTO  SCUOLA 2006/09
                              Stipendio annuo lordo                            euro: 21454,08
               Indennita di Vacanza contr.le -     annuo lordo    euro : 144,93
                                rpd/cia - annuo lordo                             euro: 1968
TOTALE ANNUO LORDO EURO 23567,01
</v>
      </c>
      <c r="HM60" s="263"/>
      <c r="HN60" s="272" t="str">
        <f t="shared" ca="1" si="13"/>
        <v xml:space="preserve">ARTICOLO 21
con decorrenza dalla data: 1/7/2010   Fascia: 9-14 anni - C.C.N.L. COMPARTO  SCUOLA 2006/09
                              Stipendio annuo lordo                            euro: 21454,08
               Indennita di Vacanza contr.le -     annuo lordo    euro : 144,93
                                rpd/cia - annuo lordo                             euro: 1968
TOTALE ANNUO LORDO EURO 23567,01
</v>
      </c>
      <c r="HO60">
        <f t="shared" ca="1" si="72"/>
        <v>21</v>
      </c>
      <c r="HP60" t="str">
        <f t="shared" ca="1" si="73"/>
        <v/>
      </c>
      <c r="HQ60" t="str">
        <f t="shared" ca="1" si="165"/>
        <v/>
      </c>
      <c r="HR60" t="str">
        <f t="shared" ca="1" si="166"/>
        <v/>
      </c>
      <c r="HW60" s="253" t="s">
        <v>187</v>
      </c>
      <c r="HX60" s="112" t="str">
        <f t="shared" si="76"/>
        <v>1/9/2004</v>
      </c>
      <c r="HY60" t="s">
        <v>188</v>
      </c>
      <c r="HZ60" s="112" t="str">
        <f t="shared" si="77"/>
        <v>18/7/2005</v>
      </c>
      <c r="IA60" t="s">
        <v>189</v>
      </c>
      <c r="IB60">
        <f t="shared" si="78"/>
        <v>0</v>
      </c>
      <c r="IC60" t="s">
        <v>192</v>
      </c>
      <c r="ID60">
        <f t="shared" si="79"/>
        <v>10</v>
      </c>
      <c r="IE60" t="s">
        <v>191</v>
      </c>
      <c r="IF60" s="254">
        <f t="shared" si="80"/>
        <v>21</v>
      </c>
      <c r="IK60" t="str">
        <f t="shared" ref="IK60:IK123" si="167">IF(  AND(  E60&gt;0, E60&lt;&gt;""),CONCATENATE(HW60,HX60,HY60,HZ60,IA60,IB60,IC60,ID60,IE60,IF60,"
"),"")</f>
        <v xml:space="preserve">DAL: 1/9/2004 - AL:18/7/2005 - ANNI:0 - MESI:10 -GIORNI:21
</v>
      </c>
      <c r="IV60" s="263" t="str">
        <f>CONCATENATE(IK60,IK61,IK62,IK63,IK64,IK65,IK66,IK67,IK68,IK69,IK70,IK71,IK72,IK73,IK74,I565,IK76,IK77,IK78,IK79,)</f>
        <v xml:space="preserve">DAL: 1/9/2004 - AL:18/7/2005 - ANNI:0 - MESI:10 -GIORNI:21
DAL: 1/9/2005 - AL:21/7/2006 - ANNI:0 - MESI:10 -GIORNI:24
DAL: 1/9/2006 - AL:14/7/2007 - ANNI:0 - MESI:10 -GIORNI:17
DAL: 13/9/2007 - AL:30/6/2008 - ANNI:0 - MESI:9 -GIORNI:22
DAL: 1/9/2008 - AL:30/6/2009 - ANNI:0 - MESI:10 -GIORNI:3
DAL: 7/9/2009 - AL:7/9/2009 - ANNI:0 - MESI:0 -GIORNI:1
DAL: 10/9/2009 - AL:31/8/2010 - ANNI:0 - MESI:11 -GIORNI:26
DAL: 9/9/2010 - AL:15/7/2011 - ANNI:0 - MESI:10 -GIORNI:10
DAL: 10/9/2010 - AL:15/7/2011 - ANNI:0 - MESI:0 -GIORNI:0
DAL: 16/9/2011 - AL:30/6/2012 - ANNI:0 - MESI:9 -GIORNI:19
DAL: 19/9/2012 - AL:16/7/2013 - ANNI:0 - MESI:3 -GIORNI:14
DAL: 26/9/2012 - AL:16/7/2013 - ANNI:0 - MESI:3 -GIORNI:7
DAL: 2/10/2012 - AL:14/10/2012 - ANNI:0 - MESI:0 -GIORNI:13
DAL: 15/10/2012 - AL:26/11/2012 - ANNI:0 - MESI:1 -GIORNI:13
DAL: 27/11/2012 - AL:16/7/2013 - ANNI:0 - MESI:1 -GIORNI:5
DAL: 3/10/2014 - AL:30/6/2015 - ANNI:0 - MESI:9 -GIORNI:1
DAL: 1/9/2015 - AL:31/8/2016 - ANNI:1 - MESI:0 -GIORNI:1
DAL: 1/9/2016 - AL:31/8/2017 - ANNI:1 - MESI:0 -GIORNI:0
DAL: 1/9/2017 - AL:31/8/2018 - ANNI:1 - MESI:0 -GIORNI:0
</v>
      </c>
      <c r="JK60" s="263" t="s">
        <v>316</v>
      </c>
      <c r="JO60" s="263" t="s">
        <v>317</v>
      </c>
      <c r="JP60">
        <f ca="1">IF(Foglio3!DM33=100000,0,IF(Foglio3!DM33="",0,1))</f>
        <v>1</v>
      </c>
      <c r="JQ60" s="314">
        <f ca="1" xml:space="preserve">   IF(JP60=1,     Foglio3!DM33,IF(JP60=0,IF(JP59=1,"","")))</f>
        <v>37167</v>
      </c>
      <c r="JR60" s="314">
        <f ca="1">IF(          Foglio3!DN33=100000,"",Foglio3!DN33)</f>
        <v>37200</v>
      </c>
      <c r="JS60" s="272">
        <f ca="1">IF(Foglio3!DN33=100000,"",Foglio3!DO33)</f>
        <v>5</v>
      </c>
      <c r="JT60" s="272">
        <f ca="1">IF(Foglio3!DN33=100000,"",Foglio3!DP33)</f>
        <v>24</v>
      </c>
      <c r="JU60" s="272">
        <f ca="1">IF(Foglio3!DN33=100000,"",Foglio3!DQ33)</f>
        <v>34</v>
      </c>
      <c r="JV60" s="272">
        <f ca="1">IF(JU60="","",Foglio3!DR33)</f>
        <v>0</v>
      </c>
      <c r="JW60" s="272">
        <f ca="1">IF(Foglio3!DN33=100000,"",Foglio3!DS33)</f>
        <v>0</v>
      </c>
      <c r="JX60" s="272">
        <f ca="1">IF(Foglio3!DN33=100000,"",Foglio3!DT33)</f>
        <v>0</v>
      </c>
      <c r="JY60" s="272">
        <f ca="1">IF(Foglio3!DN33=100000,"",Foglio3!DU33)</f>
        <v>0</v>
      </c>
      <c r="JZ60" s="272" t="str">
        <f ca="1">IF(Foglio3!DN33=100000,"",Foglio3!DV33)</f>
        <v>0/2 anni</v>
      </c>
      <c r="KC60">
        <v>0</v>
      </c>
      <c r="KD60" s="260">
        <f t="shared" ca="1" si="81"/>
        <v>40360</v>
      </c>
      <c r="KE60" t="str">
        <f t="shared" si="82"/>
        <v>0-2 anni</v>
      </c>
      <c r="KF60">
        <f t="shared" si="15"/>
        <v>6</v>
      </c>
      <c r="KG60" s="238">
        <f t="shared" ca="1" si="16"/>
        <v>171</v>
      </c>
      <c r="KJ60">
        <f t="shared" ca="1" si="83"/>
        <v>12940.19</v>
      </c>
      <c r="KK60">
        <f t="shared" ca="1" si="164"/>
        <v>0</v>
      </c>
      <c r="KL60">
        <f t="shared" ca="1" si="164"/>
        <v>0</v>
      </c>
      <c r="KM60">
        <f t="shared" ca="1" si="164"/>
        <v>6384.11</v>
      </c>
      <c r="KN60">
        <f t="shared" ca="1" si="164"/>
        <v>144.93</v>
      </c>
      <c r="KU60">
        <f t="shared" ca="1" si="18"/>
        <v>1968</v>
      </c>
      <c r="KZ60" s="254" t="str">
        <f t="shared" si="84"/>
        <v>0-2 anni</v>
      </c>
      <c r="LA60" s="112">
        <f t="shared" si="85"/>
        <v>38231</v>
      </c>
      <c r="LB60" s="112">
        <f t="shared" si="86"/>
        <v>38551</v>
      </c>
      <c r="LC60">
        <f t="shared" ca="1" si="87"/>
        <v>21437.23</v>
      </c>
      <c r="LD60" s="262">
        <f t="shared" ca="1" si="88"/>
        <v>23567.01</v>
      </c>
      <c r="LE60">
        <f t="shared" si="89"/>
        <v>321</v>
      </c>
      <c r="LF60">
        <f t="shared" ca="1" si="90"/>
        <v>1873.04</v>
      </c>
    </row>
    <row r="61" spans="1:318" ht="195" x14ac:dyDescent="0.25">
      <c r="A61" s="112">
        <f t="shared" si="128"/>
        <v>38384</v>
      </c>
      <c r="B61" s="112">
        <f t="shared" si="19"/>
        <v>38718</v>
      </c>
      <c r="E61" s="240">
        <f>Foglio3!F41</f>
        <v>38596</v>
      </c>
      <c r="F61" s="240">
        <f>Foglio3!G41</f>
        <v>38919</v>
      </c>
      <c r="G61" s="244"/>
      <c r="H61" s="245">
        <f t="shared" si="20"/>
        <v>38596</v>
      </c>
      <c r="I61" s="245">
        <f t="shared" si="2"/>
        <v>38919</v>
      </c>
      <c r="J61" s="244"/>
      <c r="K61" s="244"/>
      <c r="Q61">
        <f t="shared" si="154"/>
        <v>324</v>
      </c>
      <c r="R61">
        <f t="shared" si="155"/>
        <v>324</v>
      </c>
      <c r="S61">
        <f t="shared" si="156"/>
        <v>0</v>
      </c>
      <c r="T61">
        <f t="shared" si="157"/>
        <v>10</v>
      </c>
      <c r="U61">
        <f t="shared" si="158"/>
        <v>24</v>
      </c>
      <c r="W61">
        <f t="shared" si="159"/>
        <v>0</v>
      </c>
      <c r="X61">
        <f t="shared" si="160"/>
        <v>69</v>
      </c>
      <c r="Y61">
        <f t="shared" si="161"/>
        <v>196</v>
      </c>
      <c r="AA61" s="112">
        <f t="shared" si="91"/>
        <v>38596</v>
      </c>
      <c r="AB61" s="112">
        <f t="shared" si="92"/>
        <v>38919</v>
      </c>
      <c r="AG61">
        <f t="shared" si="22"/>
        <v>1</v>
      </c>
      <c r="AH61" s="112">
        <f t="shared" si="93"/>
        <v>38596</v>
      </c>
      <c r="AI61" s="112">
        <f t="shared" si="94"/>
        <v>38919</v>
      </c>
      <c r="AJ61">
        <f t="shared" si="23"/>
        <v>1</v>
      </c>
      <c r="AK61">
        <f t="shared" si="95"/>
        <v>0</v>
      </c>
      <c r="AL61">
        <f t="shared" si="122"/>
        <v>0</v>
      </c>
      <c r="AN61">
        <f t="shared" si="123"/>
        <v>0</v>
      </c>
      <c r="AO61">
        <f t="shared" si="124"/>
        <v>0</v>
      </c>
      <c r="AP61">
        <f t="shared" si="96"/>
        <v>0</v>
      </c>
      <c r="AS61">
        <f t="shared" si="130"/>
        <v>0</v>
      </c>
      <c r="AT61">
        <f t="shared" si="131"/>
        <v>0</v>
      </c>
      <c r="AV61">
        <f t="shared" si="132"/>
        <v>0</v>
      </c>
      <c r="AW61">
        <f t="shared" si="133"/>
        <v>0</v>
      </c>
      <c r="AX61">
        <f t="shared" si="97"/>
        <v>0</v>
      </c>
      <c r="BA61">
        <f t="shared" si="150"/>
        <v>0</v>
      </c>
      <c r="BB61">
        <f t="shared" si="151"/>
        <v>0</v>
      </c>
      <c r="BD61">
        <f t="shared" si="135"/>
        <v>0</v>
      </c>
      <c r="BE61">
        <f t="shared" si="136"/>
        <v>0</v>
      </c>
      <c r="BF61">
        <f t="shared" si="127"/>
        <v>0</v>
      </c>
      <c r="BI61">
        <f t="shared" si="137"/>
        <v>0</v>
      </c>
      <c r="BJ61">
        <f t="shared" si="139"/>
        <v>0</v>
      </c>
      <c r="BK61">
        <f t="shared" si="140"/>
        <v>0</v>
      </c>
      <c r="BL61">
        <f t="shared" si="141"/>
        <v>0</v>
      </c>
      <c r="BM61">
        <f t="shared" si="134"/>
        <v>0</v>
      </c>
      <c r="BO61">
        <f t="shared" si="142"/>
        <v>0</v>
      </c>
      <c r="BP61">
        <f t="shared" si="143"/>
        <v>0</v>
      </c>
      <c r="BR61">
        <f t="shared" si="144"/>
        <v>0</v>
      </c>
      <c r="BS61">
        <f t="shared" si="145"/>
        <v>0</v>
      </c>
      <c r="BT61">
        <f t="shared" si="138"/>
        <v>0</v>
      </c>
      <c r="BV61">
        <f t="shared" si="98"/>
        <v>0</v>
      </c>
      <c r="BX61">
        <f t="shared" si="99"/>
        <v>0</v>
      </c>
      <c r="BY61">
        <f t="shared" si="100"/>
        <v>0</v>
      </c>
      <c r="BZ61">
        <f t="shared" si="101"/>
        <v>0</v>
      </c>
      <c r="CA61">
        <f t="shared" si="102"/>
        <v>0</v>
      </c>
      <c r="CB61">
        <f t="shared" si="103"/>
        <v>0</v>
      </c>
      <c r="CG61">
        <f t="shared" si="24"/>
        <v>2005</v>
      </c>
      <c r="CH61">
        <f t="shared" si="25"/>
        <v>2006</v>
      </c>
      <c r="CJ61">
        <f t="shared" si="26"/>
        <v>0</v>
      </c>
      <c r="CK61">
        <f t="shared" si="147"/>
        <v>0</v>
      </c>
      <c r="CL61">
        <f t="shared" si="27"/>
        <v>0</v>
      </c>
      <c r="CN61">
        <f t="shared" si="28"/>
        <v>0</v>
      </c>
      <c r="CS61">
        <f t="shared" si="29"/>
        <v>324</v>
      </c>
      <c r="CT61">
        <f t="shared" si="104"/>
        <v>2266</v>
      </c>
      <c r="CU61" s="243">
        <f t="shared" si="30"/>
        <v>2266</v>
      </c>
      <c r="CV61" s="112">
        <f t="shared" si="31"/>
        <v>38919</v>
      </c>
      <c r="CX61" s="112">
        <f t="shared" si="149"/>
        <v>100000</v>
      </c>
      <c r="CY61" s="112">
        <f t="shared" si="105"/>
        <v>100000</v>
      </c>
      <c r="CZ61" s="112">
        <f t="shared" si="106"/>
        <v>100000</v>
      </c>
      <c r="DA61" s="112">
        <f t="shared" si="107"/>
        <v>100000</v>
      </c>
      <c r="DB61" s="112">
        <f t="shared" si="108"/>
        <v>100000</v>
      </c>
      <c r="DC61" s="112">
        <f t="shared" si="109"/>
        <v>100000</v>
      </c>
      <c r="DU61" s="112"/>
      <c r="DV61" s="112"/>
      <c r="DW61" s="277">
        <v>40422</v>
      </c>
      <c r="DX61" s="276"/>
      <c r="DY61" s="276"/>
      <c r="DZ61" s="276"/>
      <c r="EF61" s="260">
        <f t="shared" si="148"/>
        <v>39447</v>
      </c>
      <c r="EK61" s="254"/>
      <c r="EL61">
        <f t="shared" si="152"/>
        <v>22</v>
      </c>
      <c r="EM61" s="260">
        <f t="shared" si="111"/>
        <v>40269</v>
      </c>
      <c r="EN61">
        <f t="shared" si="112"/>
        <v>24</v>
      </c>
      <c r="EO61" s="112">
        <f t="shared" si="113"/>
        <v>40422</v>
      </c>
      <c r="EP61" s="112">
        <f t="shared" si="162"/>
        <v>40422</v>
      </c>
      <c r="ET61">
        <f t="shared" si="37"/>
        <v>9</v>
      </c>
      <c r="EU61" s="260">
        <f t="shared" si="38"/>
        <v>40422</v>
      </c>
      <c r="EV61" t="str">
        <f t="shared" si="39"/>
        <v>9-14 anni</v>
      </c>
      <c r="EW61">
        <f t="shared" si="5"/>
        <v>4</v>
      </c>
      <c r="EX61" s="238">
        <f t="shared" ca="1" si="6"/>
        <v>180</v>
      </c>
      <c r="FA61">
        <f t="shared" ca="1" si="40"/>
        <v>21454.079999999998</v>
      </c>
      <c r="FB61">
        <f t="shared" ca="1" si="163"/>
        <v>0</v>
      </c>
      <c r="FC61">
        <f t="shared" ca="1" si="163"/>
        <v>0</v>
      </c>
      <c r="FD61">
        <f t="shared" ca="1" si="41"/>
        <v>0</v>
      </c>
      <c r="FE61">
        <f t="shared" ca="1" si="163"/>
        <v>144.93</v>
      </c>
      <c r="FG61">
        <f t="shared" ca="1" si="42"/>
        <v>0</v>
      </c>
      <c r="FL61">
        <f t="shared" ca="1" si="8"/>
        <v>1968</v>
      </c>
      <c r="FQ61" s="254" t="str">
        <f t="shared" si="43"/>
        <v>9-14 anni</v>
      </c>
      <c r="FR61">
        <f t="shared" si="114"/>
        <v>61</v>
      </c>
      <c r="FS61" t="str">
        <f t="shared" ca="1" si="44"/>
        <v>ev61</v>
      </c>
      <c r="FT61" t="str">
        <f t="shared" ca="1" si="45"/>
        <v>EU61</v>
      </c>
      <c r="FU61" t="str">
        <f t="shared" ca="1" si="45"/>
        <v>FA61</v>
      </c>
      <c r="FV61" t="str">
        <f t="shared" ca="1" si="45"/>
        <v>FB61</v>
      </c>
      <c r="FW61" t="str">
        <f t="shared" ca="1" si="45"/>
        <v>FC61</v>
      </c>
      <c r="FX61" t="str">
        <f t="shared" ca="1" si="45"/>
        <v>FD61</v>
      </c>
      <c r="FY61" t="str">
        <f t="shared" ca="1" si="45"/>
        <v>FE61</v>
      </c>
      <c r="FZ61" t="str">
        <f t="shared" ca="1" si="45"/>
        <v>FG61</v>
      </c>
      <c r="GA61" t="str">
        <f t="shared" ca="1" si="45"/>
        <v>FL61</v>
      </c>
      <c r="GB61" t="str">
        <f t="shared" ca="1" si="45"/>
        <v/>
      </c>
      <c r="GC61" t="str">
        <f t="shared" ca="1" si="45"/>
        <v/>
      </c>
      <c r="GD61">
        <f t="shared" ca="1" si="115"/>
        <v>22</v>
      </c>
      <c r="GE61" s="112">
        <f t="shared" ca="1" si="47"/>
        <v>40422</v>
      </c>
      <c r="GF61" s="112" t="str">
        <f t="shared" ca="1" si="48"/>
        <v>9-14 anni</v>
      </c>
      <c r="GG61" s="262">
        <f t="shared" ca="1" si="49"/>
        <v>21454.079999999998</v>
      </c>
      <c r="GH61" s="262">
        <f t="shared" ca="1" si="50"/>
        <v>0</v>
      </c>
      <c r="GI61" s="262">
        <f t="shared" ca="1" si="51"/>
        <v>0</v>
      </c>
      <c r="GJ61" s="262">
        <f t="shared" ca="1" si="52"/>
        <v>0</v>
      </c>
      <c r="GK61" s="262">
        <f t="shared" ca="1" si="53"/>
        <v>144.93</v>
      </c>
      <c r="GL61" s="262">
        <f t="shared" ca="1" si="146"/>
        <v>0</v>
      </c>
      <c r="GM61" s="262">
        <f t="shared" ca="1" si="54"/>
        <v>1968</v>
      </c>
      <c r="GN61" s="262">
        <f t="shared" ca="1" si="55"/>
        <v>0</v>
      </c>
      <c r="GO61" s="262">
        <f t="shared" ca="1" si="11"/>
        <v>0</v>
      </c>
      <c r="GQ61" s="263" t="str">
        <f t="shared" ca="1" si="56"/>
        <v>C.C.N.L. COMPARTO  SCUOLA 2006/09</v>
      </c>
      <c r="GR61" s="262">
        <f t="shared" ca="1" si="57"/>
        <v>23567.01</v>
      </c>
      <c r="GS61" s="253" t="str">
        <f t="shared" ca="1" si="58"/>
        <v xml:space="preserve">ARTICOLO 22
</v>
      </c>
      <c r="GT61" t="str">
        <f t="shared" ca="1" si="59"/>
        <v xml:space="preserve">con decorrenza dalla data: 1/9/2010  </v>
      </c>
      <c r="GU61" t="str">
        <f t="shared" ca="1" si="60"/>
        <v xml:space="preserve"> Fascia: 9-14 anni - C.C.N.L. COMPARTO  SCUOLA 2006/09
</v>
      </c>
      <c r="GV61" t="str">
        <f t="shared" ca="1" si="61"/>
        <v xml:space="preserve">
                              Stipendio annuo lordo                            euro: 21454,08
</v>
      </c>
      <c r="GW61" t="str">
        <f t="shared" ca="1" si="62"/>
        <v/>
      </c>
      <c r="GX61" t="str">
        <f t="shared" ca="1" si="63"/>
        <v/>
      </c>
      <c r="GY61" t="str">
        <f t="shared" ca="1" si="64"/>
        <v/>
      </c>
      <c r="GZ61" t="str">
        <f t="shared" ca="1" si="65"/>
        <v xml:space="preserve">               Indennita di Vacanza contr.le -     annuo lordo    euro : 144,93
</v>
      </c>
      <c r="HA61" t="str">
        <f t="shared" ca="1" si="66"/>
        <v/>
      </c>
      <c r="HB61" t="str">
        <f t="shared" ca="1" si="67"/>
        <v xml:space="preserve">                                rpd/cia - annuo lordo                             euro: 1968
</v>
      </c>
      <c r="HC61" t="str">
        <f t="shared" ca="1" si="68"/>
        <v/>
      </c>
      <c r="HD61" s="254" t="str">
        <f t="shared" ca="1" si="69"/>
        <v/>
      </c>
      <c r="HE61" s="254" t="str">
        <f t="shared" ca="1" si="70"/>
        <v xml:space="preserve">
TOTALE ANNUO LORDO EURO 23567,01
</v>
      </c>
      <c r="HL61" s="263" t="str">
        <f t="shared" ca="1" si="71"/>
        <v xml:space="preserve">ARTICOLO 22
con decorrenza dalla data: 1/9/2010   Fascia: 9-14 anni - C.C.N.L. COMPARTO  SCUOLA 2006/09
                              Stipendio annuo lordo                            euro: 21454,08
               Indennita di Vacanza contr.le -     annuo lordo    euro : 144,93
                                rpd/cia - annuo lordo                             euro: 1968
TOTALE ANNUO LORDO EURO 23567,01
</v>
      </c>
      <c r="HN61" s="272" t="str">
        <f t="shared" ca="1" si="13"/>
        <v xml:space="preserve">ARTICOLO 22
con decorrenza dalla data: 1/9/2010   Fascia: 9-14 anni - C.C.N.L. COMPARTO  SCUOLA 2006/09
                              Stipendio annuo lordo                            euro: 21454,08
               Indennita di Vacanza contr.le -     annuo lordo    euro : 144,93
                                rpd/cia - annuo lordo                             euro: 1968
TOTALE ANNUO LORDO EURO 23567,01
</v>
      </c>
      <c r="HO61">
        <f t="shared" ca="1" si="72"/>
        <v>22</v>
      </c>
      <c r="HP61" t="str">
        <f t="shared" ca="1" si="73"/>
        <v/>
      </c>
      <c r="HQ61" t="str">
        <f t="shared" ca="1" si="165"/>
        <v/>
      </c>
      <c r="HR61" t="str">
        <f t="shared" ca="1" si="166"/>
        <v/>
      </c>
      <c r="HW61" s="253" t="s">
        <v>187</v>
      </c>
      <c r="HX61" s="112" t="str">
        <f t="shared" si="76"/>
        <v>1/9/2005</v>
      </c>
      <c r="HY61" t="s">
        <v>188</v>
      </c>
      <c r="HZ61" s="112" t="str">
        <f t="shared" si="77"/>
        <v>21/7/2006</v>
      </c>
      <c r="IA61" t="s">
        <v>189</v>
      </c>
      <c r="IB61">
        <f t="shared" si="78"/>
        <v>0</v>
      </c>
      <c r="IC61" t="s">
        <v>192</v>
      </c>
      <c r="ID61">
        <f t="shared" si="79"/>
        <v>10</v>
      </c>
      <c r="IE61" t="s">
        <v>191</v>
      </c>
      <c r="IF61" s="254">
        <f t="shared" si="80"/>
        <v>24</v>
      </c>
      <c r="IK61" t="str">
        <f t="shared" si="167"/>
        <v xml:space="preserve">DAL: 1/9/2005 - AL:21/7/2006 - ANNI:0 - MESI:10 -GIORNI:24
</v>
      </c>
      <c r="JP61">
        <f ca="1">IF(Foglio3!DM34=100000,0,IF(Foglio3!DM34="",0,1))</f>
        <v>1</v>
      </c>
      <c r="JQ61" s="314">
        <f ca="1" xml:space="preserve">   IF(JP61=1,     Foglio3!DM34,IF(JP61=0,IF(JP60=1,"","")))</f>
        <v>37201</v>
      </c>
      <c r="JR61" s="314">
        <f ca="1">IF(          Foglio3!DN34=100000,"",Foglio3!DN34)</f>
        <v>37256</v>
      </c>
      <c r="JS61" s="272">
        <f ca="1">IF(Foglio3!DN34=100000,"",Foglio3!DO34)</f>
        <v>4</v>
      </c>
      <c r="JT61" s="272">
        <f ca="1">IF(Foglio3!DN34=100000,"",Foglio3!DP34)</f>
        <v>24</v>
      </c>
      <c r="JU61" s="272">
        <f ca="1">IF(Foglio3!DN34=100000,"",Foglio3!DQ34)</f>
        <v>56</v>
      </c>
      <c r="JV61" s="272">
        <f ca="1">IF(JU61="","",Foglio3!DR34)</f>
        <v>0</v>
      </c>
      <c r="JW61" s="272">
        <f ca="1">IF(Foglio3!DN34=100000,"",Foglio3!DS34)</f>
        <v>0</v>
      </c>
      <c r="JX61" s="272">
        <f ca="1">IF(Foglio3!DN34=100000,"",Foglio3!DT34)</f>
        <v>0</v>
      </c>
      <c r="JY61" s="272">
        <f ca="1">IF(Foglio3!DN34=100000,"",Foglio3!DU34)</f>
        <v>0</v>
      </c>
      <c r="JZ61" s="272" t="str">
        <f ca="1">IF(Foglio3!DN34=100000,"",Foglio3!DV34)</f>
        <v>0/2 anni</v>
      </c>
      <c r="KC61">
        <v>0</v>
      </c>
      <c r="KD61" s="260">
        <f t="shared" ca="1" si="81"/>
        <v>40422</v>
      </c>
      <c r="KE61" t="str">
        <f t="shared" si="82"/>
        <v>0-2 anni</v>
      </c>
      <c r="KF61">
        <f t="shared" si="15"/>
        <v>6</v>
      </c>
      <c r="KG61" s="238">
        <f t="shared" ca="1" si="16"/>
        <v>178</v>
      </c>
      <c r="KJ61">
        <f t="shared" ca="1" si="83"/>
        <v>12940.19</v>
      </c>
      <c r="KK61">
        <f t="shared" ca="1" si="164"/>
        <v>0</v>
      </c>
      <c r="KL61">
        <f t="shared" ca="1" si="164"/>
        <v>0</v>
      </c>
      <c r="KM61">
        <f t="shared" ca="1" si="164"/>
        <v>6384.11</v>
      </c>
      <c r="KN61">
        <f t="shared" ca="1" si="164"/>
        <v>144.93</v>
      </c>
      <c r="KU61">
        <f t="shared" ca="1" si="18"/>
        <v>1968</v>
      </c>
      <c r="KZ61" s="254" t="str">
        <f t="shared" si="84"/>
        <v>0-2 anni</v>
      </c>
      <c r="LA61" s="112">
        <f t="shared" si="85"/>
        <v>38596</v>
      </c>
      <c r="LB61" s="112">
        <f t="shared" si="86"/>
        <v>38919</v>
      </c>
      <c r="LC61">
        <f t="shared" ca="1" si="87"/>
        <v>21437.23</v>
      </c>
      <c r="LD61" s="262">
        <f t="shared" ca="1" si="88"/>
        <v>23567.01</v>
      </c>
      <c r="LE61">
        <f t="shared" si="89"/>
        <v>324</v>
      </c>
      <c r="LF61">
        <f t="shared" ca="1" si="90"/>
        <v>1890.54</v>
      </c>
    </row>
    <row r="62" spans="1:318" ht="195" x14ac:dyDescent="0.25">
      <c r="A62" s="112">
        <f t="shared" si="128"/>
        <v>39083</v>
      </c>
      <c r="B62" s="112">
        <f t="shared" si="19"/>
        <v>39114</v>
      </c>
      <c r="E62" s="240">
        <f>Foglio3!F42</f>
        <v>38961</v>
      </c>
      <c r="F62" s="240">
        <f>Foglio3!G42</f>
        <v>39277</v>
      </c>
      <c r="G62" s="244"/>
      <c r="H62" s="245">
        <f t="shared" si="20"/>
        <v>38961</v>
      </c>
      <c r="I62" s="245">
        <f t="shared" si="2"/>
        <v>39277</v>
      </c>
      <c r="J62" s="244"/>
      <c r="K62" s="244"/>
      <c r="Q62">
        <f t="shared" si="154"/>
        <v>317</v>
      </c>
      <c r="R62">
        <f t="shared" si="155"/>
        <v>317</v>
      </c>
      <c r="S62">
        <f t="shared" si="156"/>
        <v>0</v>
      </c>
      <c r="T62">
        <f t="shared" si="157"/>
        <v>10</v>
      </c>
      <c r="U62">
        <f t="shared" si="158"/>
        <v>17</v>
      </c>
      <c r="W62">
        <f t="shared" si="159"/>
        <v>0</v>
      </c>
      <c r="X62">
        <f t="shared" si="160"/>
        <v>79</v>
      </c>
      <c r="Y62">
        <f t="shared" si="161"/>
        <v>213</v>
      </c>
      <c r="AA62" s="112">
        <f t="shared" si="91"/>
        <v>38961</v>
      </c>
      <c r="AB62" s="112">
        <f t="shared" si="92"/>
        <v>39277</v>
      </c>
      <c r="AG62">
        <f t="shared" si="22"/>
        <v>1</v>
      </c>
      <c r="AH62" s="112">
        <f t="shared" si="93"/>
        <v>38961</v>
      </c>
      <c r="AI62" s="112">
        <f t="shared" si="94"/>
        <v>39277</v>
      </c>
      <c r="AJ62">
        <f t="shared" si="23"/>
        <v>1</v>
      </c>
      <c r="AK62">
        <f t="shared" si="95"/>
        <v>0</v>
      </c>
      <c r="AL62">
        <f t="shared" si="122"/>
        <v>0</v>
      </c>
      <c r="AN62">
        <f t="shared" si="123"/>
        <v>0</v>
      </c>
      <c r="AO62">
        <f t="shared" si="124"/>
        <v>0</v>
      </c>
      <c r="AP62">
        <f t="shared" si="96"/>
        <v>0</v>
      </c>
      <c r="AS62">
        <f t="shared" si="130"/>
        <v>0</v>
      </c>
      <c r="AT62">
        <f t="shared" si="131"/>
        <v>0</v>
      </c>
      <c r="AV62">
        <f t="shared" si="132"/>
        <v>0</v>
      </c>
      <c r="AW62">
        <f t="shared" si="133"/>
        <v>0</v>
      </c>
      <c r="AX62">
        <f t="shared" si="97"/>
        <v>0</v>
      </c>
      <c r="BA62">
        <f t="shared" si="150"/>
        <v>0</v>
      </c>
      <c r="BB62">
        <f t="shared" si="151"/>
        <v>0</v>
      </c>
      <c r="BD62">
        <f t="shared" si="135"/>
        <v>0</v>
      </c>
      <c r="BE62">
        <f t="shared" si="136"/>
        <v>0</v>
      </c>
      <c r="BF62">
        <f t="shared" si="127"/>
        <v>0</v>
      </c>
      <c r="BI62">
        <f t="shared" si="137"/>
        <v>0</v>
      </c>
      <c r="BJ62">
        <f t="shared" si="139"/>
        <v>0</v>
      </c>
      <c r="BK62">
        <f t="shared" si="140"/>
        <v>0</v>
      </c>
      <c r="BL62">
        <f t="shared" si="141"/>
        <v>0</v>
      </c>
      <c r="BM62">
        <f t="shared" si="134"/>
        <v>0</v>
      </c>
      <c r="BO62">
        <f t="shared" si="142"/>
        <v>0</v>
      </c>
      <c r="BP62">
        <f t="shared" si="143"/>
        <v>0</v>
      </c>
      <c r="BR62">
        <f t="shared" si="144"/>
        <v>0</v>
      </c>
      <c r="BS62">
        <f t="shared" si="145"/>
        <v>0</v>
      </c>
      <c r="BT62">
        <f t="shared" si="138"/>
        <v>0</v>
      </c>
      <c r="BV62">
        <f t="shared" si="98"/>
        <v>0</v>
      </c>
      <c r="BX62">
        <f t="shared" si="99"/>
        <v>0</v>
      </c>
      <c r="BY62">
        <f t="shared" si="100"/>
        <v>0</v>
      </c>
      <c r="BZ62">
        <f t="shared" si="101"/>
        <v>0</v>
      </c>
      <c r="CA62">
        <f t="shared" si="102"/>
        <v>0</v>
      </c>
      <c r="CB62">
        <f t="shared" si="103"/>
        <v>0</v>
      </c>
      <c r="CG62">
        <f t="shared" si="24"/>
        <v>2006</v>
      </c>
      <c r="CH62">
        <f t="shared" si="25"/>
        <v>2007</v>
      </c>
      <c r="CJ62">
        <f t="shared" si="26"/>
        <v>0</v>
      </c>
      <c r="CK62">
        <f t="shared" si="147"/>
        <v>0</v>
      </c>
      <c r="CL62">
        <f t="shared" si="27"/>
        <v>0</v>
      </c>
      <c r="CN62">
        <f t="shared" si="28"/>
        <v>0</v>
      </c>
      <c r="CS62">
        <f t="shared" si="29"/>
        <v>317</v>
      </c>
      <c r="CT62">
        <f t="shared" si="104"/>
        <v>2583</v>
      </c>
      <c r="CU62" s="243">
        <f t="shared" si="30"/>
        <v>2583</v>
      </c>
      <c r="CV62" s="112">
        <f t="shared" si="31"/>
        <v>39277</v>
      </c>
      <c r="CX62" s="112">
        <f t="shared" si="149"/>
        <v>100000</v>
      </c>
      <c r="CY62" s="112">
        <f t="shared" si="105"/>
        <v>100000</v>
      </c>
      <c r="CZ62" s="112">
        <f t="shared" si="106"/>
        <v>100000</v>
      </c>
      <c r="DA62" s="112">
        <f t="shared" si="107"/>
        <v>100000</v>
      </c>
      <c r="DB62" s="112">
        <f t="shared" si="108"/>
        <v>100000</v>
      </c>
      <c r="DC62" s="112">
        <f t="shared" si="109"/>
        <v>100000</v>
      </c>
      <c r="DU62" s="112"/>
      <c r="DV62" s="112"/>
      <c r="DW62" s="277">
        <v>40544</v>
      </c>
      <c r="DX62" s="276"/>
      <c r="DY62" s="276"/>
      <c r="DZ62" s="276"/>
      <c r="EF62" s="260">
        <f t="shared" si="148"/>
        <v>39539</v>
      </c>
      <c r="EK62" s="254"/>
      <c r="EL62">
        <f t="shared" si="152"/>
        <v>23</v>
      </c>
      <c r="EM62" s="260">
        <f t="shared" si="111"/>
        <v>40360</v>
      </c>
      <c r="EN62">
        <f t="shared" si="112"/>
        <v>25</v>
      </c>
      <c r="EO62" s="112">
        <f t="shared" si="113"/>
        <v>40544</v>
      </c>
      <c r="EP62" s="112">
        <f t="shared" si="162"/>
        <v>40544</v>
      </c>
      <c r="ET62">
        <f t="shared" si="37"/>
        <v>9</v>
      </c>
      <c r="EU62" s="260">
        <f t="shared" si="38"/>
        <v>40544</v>
      </c>
      <c r="EV62" t="str">
        <f t="shared" si="39"/>
        <v>9-14 anni</v>
      </c>
      <c r="EW62">
        <f t="shared" si="5"/>
        <v>4</v>
      </c>
      <c r="EX62" s="238">
        <f t="shared" ca="1" si="6"/>
        <v>187</v>
      </c>
      <c r="FA62">
        <f t="shared" ca="1" si="40"/>
        <v>21454.079999999998</v>
      </c>
      <c r="FB62">
        <f t="shared" ca="1" si="163"/>
        <v>0</v>
      </c>
      <c r="FC62">
        <f t="shared" ca="1" si="163"/>
        <v>0</v>
      </c>
      <c r="FD62">
        <f t="shared" ca="1" si="41"/>
        <v>0</v>
      </c>
      <c r="FE62">
        <f t="shared" ca="1" si="163"/>
        <v>144.93</v>
      </c>
      <c r="FG62">
        <f t="shared" ca="1" si="42"/>
        <v>0</v>
      </c>
      <c r="FL62">
        <f t="shared" ca="1" si="8"/>
        <v>1968</v>
      </c>
      <c r="FQ62" s="254" t="str">
        <f t="shared" si="43"/>
        <v>9-14 anni</v>
      </c>
      <c r="FR62">
        <f t="shared" si="114"/>
        <v>62</v>
      </c>
      <c r="FS62" t="str">
        <f t="shared" ca="1" si="44"/>
        <v>ev62</v>
      </c>
      <c r="FT62" t="str">
        <f t="shared" ca="1" si="45"/>
        <v>EU62</v>
      </c>
      <c r="FU62" t="str">
        <f t="shared" ca="1" si="45"/>
        <v>FA62</v>
      </c>
      <c r="FV62" t="str">
        <f t="shared" ca="1" si="45"/>
        <v>FB62</v>
      </c>
      <c r="FW62" t="str">
        <f t="shared" ca="1" si="45"/>
        <v>FC62</v>
      </c>
      <c r="FX62" t="str">
        <f t="shared" ca="1" si="45"/>
        <v>FD62</v>
      </c>
      <c r="FY62" t="str">
        <f t="shared" ca="1" si="45"/>
        <v>FE62</v>
      </c>
      <c r="FZ62" t="str">
        <f t="shared" ca="1" si="45"/>
        <v>FG62</v>
      </c>
      <c r="GA62" t="str">
        <f t="shared" ca="1" si="45"/>
        <v>FL62</v>
      </c>
      <c r="GB62" t="str">
        <f t="shared" ca="1" si="45"/>
        <v/>
      </c>
      <c r="GC62" t="str">
        <f t="shared" ca="1" si="45"/>
        <v/>
      </c>
      <c r="GD62">
        <f t="shared" ca="1" si="115"/>
        <v>23</v>
      </c>
      <c r="GE62" s="112">
        <f t="shared" ca="1" si="47"/>
        <v>40544</v>
      </c>
      <c r="GF62" s="112" t="str">
        <f t="shared" ca="1" si="48"/>
        <v>9-14 anni</v>
      </c>
      <c r="GG62" s="262">
        <f t="shared" ca="1" si="49"/>
        <v>21454.079999999998</v>
      </c>
      <c r="GH62" s="262">
        <f t="shared" ca="1" si="50"/>
        <v>0</v>
      </c>
      <c r="GI62" s="262">
        <f t="shared" ca="1" si="51"/>
        <v>0</v>
      </c>
      <c r="GJ62" s="262">
        <f t="shared" ca="1" si="52"/>
        <v>0</v>
      </c>
      <c r="GK62" s="262">
        <f t="shared" ca="1" si="53"/>
        <v>144.93</v>
      </c>
      <c r="GL62" s="262">
        <f t="shared" ca="1" si="146"/>
        <v>0</v>
      </c>
      <c r="GM62" s="262">
        <f t="shared" ca="1" si="54"/>
        <v>1968</v>
      </c>
      <c r="GN62" s="262">
        <f t="shared" ca="1" si="55"/>
        <v>0</v>
      </c>
      <c r="GO62" s="262">
        <f t="shared" ca="1" si="11"/>
        <v>0</v>
      </c>
      <c r="GQ62" s="263" t="str">
        <f t="shared" ca="1" si="56"/>
        <v>C.C.N.L. COMPARTO  SCUOLA 2006/09</v>
      </c>
      <c r="GR62" s="262">
        <f t="shared" ca="1" si="57"/>
        <v>23567.01</v>
      </c>
      <c r="GS62" s="253" t="str">
        <f t="shared" ca="1" si="58"/>
        <v xml:space="preserve">ARTICOLO 23
</v>
      </c>
      <c r="GT62" t="str">
        <f t="shared" ca="1" si="59"/>
        <v xml:space="preserve">con decorrenza dalla data: 1/1/2011  </v>
      </c>
      <c r="GU62" t="str">
        <f t="shared" ca="1" si="60"/>
        <v xml:space="preserve"> Fascia: 9-14 anni - C.C.N.L. COMPARTO  SCUOLA 2006/09
</v>
      </c>
      <c r="GV62" t="str">
        <f t="shared" ca="1" si="61"/>
        <v xml:space="preserve">
                              Stipendio annuo lordo                            euro: 21454,08
</v>
      </c>
      <c r="GW62" t="str">
        <f t="shared" ca="1" si="62"/>
        <v/>
      </c>
      <c r="GX62" t="str">
        <f t="shared" ca="1" si="63"/>
        <v/>
      </c>
      <c r="GY62" t="str">
        <f t="shared" ca="1" si="64"/>
        <v/>
      </c>
      <c r="GZ62" t="str">
        <f t="shared" ca="1" si="65"/>
        <v xml:space="preserve">               Indennita di Vacanza contr.le -     annuo lordo    euro : 144,93
</v>
      </c>
      <c r="HA62" t="str">
        <f t="shared" ca="1" si="66"/>
        <v/>
      </c>
      <c r="HB62" t="str">
        <f t="shared" ca="1" si="67"/>
        <v xml:space="preserve">                                rpd/cia - annuo lordo                             euro: 1968
</v>
      </c>
      <c r="HC62" t="str">
        <f t="shared" ca="1" si="68"/>
        <v/>
      </c>
      <c r="HD62" s="254" t="str">
        <f t="shared" ca="1" si="69"/>
        <v/>
      </c>
      <c r="HE62" s="254" t="str">
        <f t="shared" ca="1" si="70"/>
        <v xml:space="preserve">
TOTALE ANNUO LORDO EURO 23567,01
</v>
      </c>
      <c r="HL62" s="263" t="str">
        <f t="shared" ca="1" si="71"/>
        <v xml:space="preserve">ARTICOLO 23
con decorrenza dalla data: 1/1/2011   Fascia: 9-14 anni - C.C.N.L. COMPARTO  SCUOLA 2006/09
                              Stipendio annuo lordo                            euro: 21454,08
               Indennita di Vacanza contr.le -     annuo lordo    euro : 144,93
                                rpd/cia - annuo lordo                             euro: 1968
TOTALE ANNUO LORDO EURO 23567,01
</v>
      </c>
      <c r="HN62" s="272" t="str">
        <f t="shared" ca="1" si="13"/>
        <v xml:space="preserve">ARTICOLO 23
con decorrenza dalla data: 1/1/2011   Fascia: 9-14 anni - C.C.N.L. COMPARTO  SCUOLA 2006/09
                              Stipendio annuo lordo                            euro: 21454,08
               Indennita di Vacanza contr.le -     annuo lordo    euro : 144,93
                                rpd/cia - annuo lordo                             euro: 1968
TOTALE ANNUO LORDO EURO 23567,01
</v>
      </c>
      <c r="HO62">
        <f t="shared" ca="1" si="72"/>
        <v>23</v>
      </c>
      <c r="HP62" t="str">
        <f t="shared" ca="1" si="73"/>
        <v/>
      </c>
      <c r="HQ62" t="str">
        <f t="shared" ca="1" si="165"/>
        <v/>
      </c>
      <c r="HR62" t="str">
        <f t="shared" ca="1" si="166"/>
        <v/>
      </c>
      <c r="HW62" s="253" t="s">
        <v>187</v>
      </c>
      <c r="HX62" s="112" t="str">
        <f t="shared" si="76"/>
        <v>1/9/2006</v>
      </c>
      <c r="HY62" t="s">
        <v>188</v>
      </c>
      <c r="HZ62" s="112" t="str">
        <f t="shared" si="77"/>
        <v>14/7/2007</v>
      </c>
      <c r="IA62" t="s">
        <v>189</v>
      </c>
      <c r="IB62">
        <f t="shared" si="78"/>
        <v>0</v>
      </c>
      <c r="IC62" t="s">
        <v>192</v>
      </c>
      <c r="ID62">
        <f t="shared" si="79"/>
        <v>10</v>
      </c>
      <c r="IE62" t="s">
        <v>191</v>
      </c>
      <c r="IF62" s="254">
        <f t="shared" si="80"/>
        <v>17</v>
      </c>
      <c r="IK62" t="str">
        <f t="shared" si="167"/>
        <v xml:space="preserve">DAL: 1/9/2006 - AL:14/7/2007 - ANNI:0 - MESI:10 -GIORNI:17
</v>
      </c>
      <c r="JP62">
        <f ca="1">IF(Foglio3!DM35=100000,0,IF(Foglio3!DM35="",0,1))</f>
        <v>1</v>
      </c>
      <c r="JQ62" s="314">
        <f ca="1" xml:space="preserve">   IF(JP62=1,     Foglio3!DM35,IF(JP62=0,IF(JP61=1,"","")))</f>
        <v>37202</v>
      </c>
      <c r="JR62" s="314">
        <f ca="1">IF(          Foglio3!DN35=100000,"",Foglio3!DN35)</f>
        <v>37256</v>
      </c>
      <c r="JS62" s="272">
        <f ca="1">IF(Foglio3!DN35=100000,"",Foglio3!DO35)</f>
        <v>6</v>
      </c>
      <c r="JT62" s="272">
        <f ca="1">IF(Foglio3!DN35=100000,"",Foglio3!DP35)</f>
        <v>24</v>
      </c>
      <c r="JU62" s="272">
        <f ca="1">IF(Foglio3!DN35=100000,"",Foglio3!DQ35)</f>
        <v>55</v>
      </c>
      <c r="JV62" s="272">
        <f ca="1">IF(JU62="","",Foglio3!DR35)</f>
        <v>0</v>
      </c>
      <c r="JW62" s="272">
        <f ca="1">IF(Foglio3!DN35=100000,"",Foglio3!DS35)</f>
        <v>0</v>
      </c>
      <c r="JX62" s="272">
        <f ca="1">IF(Foglio3!DN35=100000,"",Foglio3!DT35)</f>
        <v>0</v>
      </c>
      <c r="JY62" s="272">
        <f ca="1">IF(Foglio3!DN35=100000,"",Foglio3!DU35)</f>
        <v>0</v>
      </c>
      <c r="JZ62" s="272" t="str">
        <f ca="1">IF(Foglio3!DN35=100000,"",Foglio3!DV35)</f>
        <v>0/2 anni</v>
      </c>
      <c r="KC62">
        <v>0</v>
      </c>
      <c r="KD62" s="260">
        <f t="shared" ca="1" si="81"/>
        <v>40544</v>
      </c>
      <c r="KE62" t="str">
        <f t="shared" si="82"/>
        <v>0-2 anni</v>
      </c>
      <c r="KF62">
        <f t="shared" si="15"/>
        <v>6</v>
      </c>
      <c r="KG62" s="238">
        <f t="shared" ca="1" si="16"/>
        <v>185</v>
      </c>
      <c r="KJ62">
        <f t="shared" ca="1" si="83"/>
        <v>12940.19</v>
      </c>
      <c r="KK62">
        <f t="shared" ca="1" si="164"/>
        <v>0</v>
      </c>
      <c r="KL62">
        <f t="shared" ca="1" si="164"/>
        <v>0</v>
      </c>
      <c r="KM62">
        <f t="shared" ca="1" si="164"/>
        <v>6384.11</v>
      </c>
      <c r="KN62">
        <f t="shared" ca="1" si="164"/>
        <v>144.93</v>
      </c>
      <c r="KU62">
        <f t="shared" ca="1" si="18"/>
        <v>1968</v>
      </c>
      <c r="KZ62" s="254" t="str">
        <f t="shared" si="84"/>
        <v>0-2 anni</v>
      </c>
      <c r="LA62" s="112">
        <f t="shared" si="85"/>
        <v>38961</v>
      </c>
      <c r="LB62" s="112">
        <f t="shared" si="86"/>
        <v>39277</v>
      </c>
      <c r="LC62">
        <f t="shared" ca="1" si="87"/>
        <v>21437.23</v>
      </c>
      <c r="LD62" s="262">
        <f t="shared" ca="1" si="88"/>
        <v>23567.01</v>
      </c>
      <c r="LE62">
        <f t="shared" si="89"/>
        <v>317</v>
      </c>
      <c r="LF62">
        <f t="shared" ca="1" si="90"/>
        <v>1849.7</v>
      </c>
    </row>
    <row r="63" spans="1:318" ht="195" x14ac:dyDescent="0.25">
      <c r="A63" s="112">
        <f t="shared" si="128"/>
        <v>39447</v>
      </c>
      <c r="B63" s="112">
        <f t="shared" si="19"/>
        <v>39539</v>
      </c>
      <c r="E63" s="240">
        <f>Foglio3!F43</f>
        <v>39338</v>
      </c>
      <c r="F63" s="240">
        <f>Foglio3!G43</f>
        <v>39629</v>
      </c>
      <c r="G63" s="244"/>
      <c r="H63" s="245">
        <f t="shared" si="20"/>
        <v>39338</v>
      </c>
      <c r="I63" s="245">
        <f t="shared" si="2"/>
        <v>39629</v>
      </c>
      <c r="J63" s="244"/>
      <c r="K63" s="244"/>
      <c r="Q63">
        <f t="shared" si="154"/>
        <v>292</v>
      </c>
      <c r="R63">
        <f t="shared" si="155"/>
        <v>292</v>
      </c>
      <c r="S63">
        <f t="shared" si="156"/>
        <v>0</v>
      </c>
      <c r="T63">
        <f t="shared" si="157"/>
        <v>9</v>
      </c>
      <c r="U63">
        <f t="shared" si="158"/>
        <v>22</v>
      </c>
      <c r="W63">
        <f t="shared" si="159"/>
        <v>0</v>
      </c>
      <c r="X63">
        <f t="shared" si="160"/>
        <v>88</v>
      </c>
      <c r="Y63">
        <f t="shared" si="161"/>
        <v>235</v>
      </c>
      <c r="AA63" s="112">
        <f t="shared" si="91"/>
        <v>39338</v>
      </c>
      <c r="AB63" s="112">
        <f t="shared" si="92"/>
        <v>39629</v>
      </c>
      <c r="AG63">
        <f t="shared" si="22"/>
        <v>1</v>
      </c>
      <c r="AH63" s="112">
        <f t="shared" si="93"/>
        <v>39338</v>
      </c>
      <c r="AI63" s="112">
        <f t="shared" si="94"/>
        <v>39629</v>
      </c>
      <c r="AJ63">
        <f t="shared" si="23"/>
        <v>1</v>
      </c>
      <c r="AK63">
        <f t="shared" si="95"/>
        <v>0</v>
      </c>
      <c r="AL63">
        <f t="shared" si="122"/>
        <v>0</v>
      </c>
      <c r="AN63">
        <f t="shared" si="123"/>
        <v>0</v>
      </c>
      <c r="AO63">
        <f t="shared" si="124"/>
        <v>0</v>
      </c>
      <c r="AP63">
        <f t="shared" si="96"/>
        <v>0</v>
      </c>
      <c r="AS63">
        <f t="shared" si="130"/>
        <v>0</v>
      </c>
      <c r="AT63">
        <f t="shared" si="131"/>
        <v>0</v>
      </c>
      <c r="AV63">
        <f t="shared" si="132"/>
        <v>0</v>
      </c>
      <c r="AW63">
        <f t="shared" si="133"/>
        <v>0</v>
      </c>
      <c r="AX63">
        <f t="shared" si="97"/>
        <v>0</v>
      </c>
      <c r="BA63">
        <f t="shared" si="150"/>
        <v>0</v>
      </c>
      <c r="BB63">
        <f t="shared" si="151"/>
        <v>0</v>
      </c>
      <c r="BD63">
        <f t="shared" si="135"/>
        <v>0</v>
      </c>
      <c r="BE63">
        <f t="shared" si="136"/>
        <v>0</v>
      </c>
      <c r="BF63">
        <f t="shared" si="127"/>
        <v>0</v>
      </c>
      <c r="BI63">
        <f t="shared" si="137"/>
        <v>0</v>
      </c>
      <c r="BJ63">
        <f t="shared" si="139"/>
        <v>0</v>
      </c>
      <c r="BK63">
        <f t="shared" si="140"/>
        <v>0</v>
      </c>
      <c r="BL63">
        <f t="shared" si="141"/>
        <v>0</v>
      </c>
      <c r="BM63">
        <f t="shared" si="134"/>
        <v>0</v>
      </c>
      <c r="BO63">
        <f t="shared" si="142"/>
        <v>0</v>
      </c>
      <c r="BP63">
        <f t="shared" si="143"/>
        <v>0</v>
      </c>
      <c r="BR63">
        <f t="shared" si="144"/>
        <v>0</v>
      </c>
      <c r="BS63">
        <f t="shared" si="145"/>
        <v>0</v>
      </c>
      <c r="BT63">
        <f t="shared" si="138"/>
        <v>0</v>
      </c>
      <c r="BV63">
        <f t="shared" si="98"/>
        <v>0</v>
      </c>
      <c r="BX63">
        <f t="shared" si="99"/>
        <v>0</v>
      </c>
      <c r="BY63">
        <f t="shared" si="100"/>
        <v>0</v>
      </c>
      <c r="BZ63">
        <f t="shared" si="101"/>
        <v>0</v>
      </c>
      <c r="CA63">
        <f t="shared" si="102"/>
        <v>0</v>
      </c>
      <c r="CB63">
        <f t="shared" si="103"/>
        <v>0</v>
      </c>
      <c r="CG63">
        <f t="shared" si="24"/>
        <v>2007</v>
      </c>
      <c r="CH63">
        <f t="shared" si="25"/>
        <v>2008</v>
      </c>
      <c r="CJ63">
        <f t="shared" si="26"/>
        <v>0</v>
      </c>
      <c r="CK63">
        <f t="shared" si="147"/>
        <v>0</v>
      </c>
      <c r="CL63">
        <f t="shared" si="27"/>
        <v>0</v>
      </c>
      <c r="CN63">
        <f t="shared" si="28"/>
        <v>0</v>
      </c>
      <c r="CS63">
        <f t="shared" si="29"/>
        <v>292</v>
      </c>
      <c r="CT63">
        <f t="shared" si="104"/>
        <v>2875</v>
      </c>
      <c r="CU63" s="243">
        <f t="shared" si="30"/>
        <v>2875</v>
      </c>
      <c r="CV63" s="112">
        <f t="shared" si="31"/>
        <v>39629</v>
      </c>
      <c r="CX63" s="112">
        <f t="shared" si="149"/>
        <v>100000</v>
      </c>
      <c r="CY63" s="112">
        <f t="shared" si="105"/>
        <v>100000</v>
      </c>
      <c r="CZ63" s="112">
        <f t="shared" si="106"/>
        <v>100000</v>
      </c>
      <c r="DA63" s="112">
        <f t="shared" si="107"/>
        <v>100000</v>
      </c>
      <c r="DB63" s="112">
        <f t="shared" si="108"/>
        <v>100000</v>
      </c>
      <c r="DC63" s="112">
        <f t="shared" si="109"/>
        <v>100000</v>
      </c>
      <c r="DU63" s="112"/>
      <c r="DV63" s="112"/>
      <c r="DW63" s="277">
        <v>42370</v>
      </c>
      <c r="DX63" s="276"/>
      <c r="DY63" s="276"/>
      <c r="DZ63" s="276"/>
      <c r="EF63" s="260">
        <f t="shared" si="148"/>
        <v>39630</v>
      </c>
      <c r="EK63" s="254"/>
      <c r="EL63">
        <f t="shared" si="152"/>
        <v>24</v>
      </c>
      <c r="EM63" s="260">
        <f t="shared" si="111"/>
        <v>40422</v>
      </c>
      <c r="EN63">
        <f t="shared" si="112"/>
        <v>26</v>
      </c>
      <c r="EO63" s="112">
        <f t="shared" si="113"/>
        <v>42370</v>
      </c>
      <c r="EP63" s="112">
        <f t="shared" si="162"/>
        <v>42370</v>
      </c>
      <c r="ET63">
        <f t="shared" si="37"/>
        <v>9</v>
      </c>
      <c r="EU63" s="260">
        <f t="shared" si="38"/>
        <v>42370</v>
      </c>
      <c r="EV63" t="str">
        <f t="shared" si="39"/>
        <v>9-14 anni</v>
      </c>
      <c r="EW63">
        <f t="shared" si="5"/>
        <v>4</v>
      </c>
      <c r="EX63" s="238">
        <f t="shared" ca="1" si="6"/>
        <v>194</v>
      </c>
      <c r="FA63">
        <f t="shared" ca="1" si="40"/>
        <v>21538.079999999998</v>
      </c>
      <c r="FB63">
        <f t="shared" ca="1" si="163"/>
        <v>0</v>
      </c>
      <c r="FC63">
        <f t="shared" ca="1" si="163"/>
        <v>0</v>
      </c>
      <c r="FD63">
        <f t="shared" ca="1" si="41"/>
        <v>0</v>
      </c>
      <c r="FE63">
        <f t="shared" ca="1" si="163"/>
        <v>144.93</v>
      </c>
      <c r="FG63">
        <f t="shared" ca="1" si="42"/>
        <v>0</v>
      </c>
      <c r="FL63">
        <f t="shared" ca="1" si="8"/>
        <v>1968</v>
      </c>
      <c r="FQ63" s="254" t="str">
        <f t="shared" si="43"/>
        <v>9-14 anni</v>
      </c>
      <c r="FR63">
        <f t="shared" si="114"/>
        <v>63</v>
      </c>
      <c r="FS63" t="str">
        <f t="shared" ca="1" si="44"/>
        <v>ev63</v>
      </c>
      <c r="FT63" t="str">
        <f t="shared" ca="1" si="45"/>
        <v>EU63</v>
      </c>
      <c r="FU63" t="str">
        <f t="shared" ca="1" si="45"/>
        <v>FA63</v>
      </c>
      <c r="FV63" t="str">
        <f t="shared" ca="1" si="45"/>
        <v>FB63</v>
      </c>
      <c r="FW63" t="str">
        <f t="shared" ca="1" si="45"/>
        <v>FC63</v>
      </c>
      <c r="FX63" t="str">
        <f t="shared" ca="1" si="45"/>
        <v>FD63</v>
      </c>
      <c r="FY63" t="str">
        <f t="shared" ca="1" si="45"/>
        <v>FE63</v>
      </c>
      <c r="FZ63" t="str">
        <f t="shared" ca="1" si="45"/>
        <v>FG63</v>
      </c>
      <c r="GA63" t="str">
        <f t="shared" ca="1" si="45"/>
        <v>FL63</v>
      </c>
      <c r="GB63" t="str">
        <f t="shared" ca="1" si="45"/>
        <v/>
      </c>
      <c r="GC63" t="str">
        <f t="shared" ca="1" si="45"/>
        <v/>
      </c>
      <c r="GD63">
        <f t="shared" ca="1" si="115"/>
        <v>24</v>
      </c>
      <c r="GE63" s="112">
        <f t="shared" ca="1" si="47"/>
        <v>42370</v>
      </c>
      <c r="GF63" s="112" t="str">
        <f t="shared" ca="1" si="48"/>
        <v>9-14 anni</v>
      </c>
      <c r="GG63" s="262">
        <f t="shared" ca="1" si="49"/>
        <v>21538.079999999998</v>
      </c>
      <c r="GH63" s="262">
        <f t="shared" ca="1" si="50"/>
        <v>0</v>
      </c>
      <c r="GI63" s="262">
        <f t="shared" ca="1" si="51"/>
        <v>0</v>
      </c>
      <c r="GJ63" s="262">
        <f t="shared" ca="1" si="52"/>
        <v>0</v>
      </c>
      <c r="GK63" s="262">
        <f t="shared" ca="1" si="53"/>
        <v>144.93</v>
      </c>
      <c r="GL63" s="262">
        <f t="shared" ca="1" si="146"/>
        <v>0</v>
      </c>
      <c r="GM63" s="262">
        <f t="shared" ca="1" si="54"/>
        <v>1968</v>
      </c>
      <c r="GN63" s="262">
        <f t="shared" ca="1" si="55"/>
        <v>0</v>
      </c>
      <c r="GO63" s="262">
        <f t="shared" ca="1" si="11"/>
        <v>0</v>
      </c>
      <c r="GQ63" s="263" t="str">
        <f t="shared" ca="1" si="56"/>
        <v>C.C.N.L. COMPARTO  SCUOLA 2016/18</v>
      </c>
      <c r="GR63" s="262">
        <f t="shared" ca="1" si="57"/>
        <v>23651.01</v>
      </c>
      <c r="GS63" s="253" t="str">
        <f t="shared" ca="1" si="58"/>
        <v xml:space="preserve">ARTICOLO 24
</v>
      </c>
      <c r="GT63" t="str">
        <f t="shared" ca="1" si="59"/>
        <v xml:space="preserve">con decorrenza dalla data: 1/1/2016  </v>
      </c>
      <c r="GU63" t="str">
        <f t="shared" ca="1" si="60"/>
        <v xml:space="preserve"> Fascia: 9-14 anni - C.C.N.L. COMPARTO  SCUOLA 2016/18
</v>
      </c>
      <c r="GV63" t="str">
        <f t="shared" ca="1" si="61"/>
        <v xml:space="preserve">
                              Stipendio annuo lordo                            euro: 21538,08
</v>
      </c>
      <c r="GW63" t="str">
        <f t="shared" ca="1" si="62"/>
        <v/>
      </c>
      <c r="GX63" t="str">
        <f t="shared" ca="1" si="63"/>
        <v/>
      </c>
      <c r="GY63" t="str">
        <f t="shared" ca="1" si="64"/>
        <v/>
      </c>
      <c r="GZ63" t="str">
        <f t="shared" ca="1" si="65"/>
        <v xml:space="preserve">               Indennita di Vacanza contr.le -     annuo lordo    euro : 144,93
</v>
      </c>
      <c r="HA63" t="str">
        <f t="shared" ca="1" si="66"/>
        <v/>
      </c>
      <c r="HB63" t="str">
        <f t="shared" ca="1" si="67"/>
        <v xml:space="preserve">                                rpd/cia - annuo lordo                             euro: 1968
</v>
      </c>
      <c r="HC63" t="str">
        <f t="shared" ca="1" si="68"/>
        <v/>
      </c>
      <c r="HD63" s="254" t="str">
        <f t="shared" ca="1" si="69"/>
        <v/>
      </c>
      <c r="HE63" s="254" t="str">
        <f t="shared" ca="1" si="70"/>
        <v xml:space="preserve">
TOTALE ANNUO LORDO EURO 23651,01
</v>
      </c>
      <c r="HL63" s="263" t="str">
        <f t="shared" ca="1" si="71"/>
        <v xml:space="preserve">ARTICOLO 24
con decorrenza dalla data: 1/1/2016   Fascia: 9-14 anni - C.C.N.L. COMPARTO  SCUOLA 2016/18
                              Stipendio annuo lordo                            euro: 21538,08
               Indennita di Vacanza contr.le -     annuo lordo    euro : 144,93
                                rpd/cia - annuo lordo                             euro: 1968
TOTALE ANNUO LORDO EURO 23651,01
</v>
      </c>
      <c r="HN63" s="272" t="str">
        <f t="shared" ca="1" si="13"/>
        <v xml:space="preserve">ARTICOLO 24
con decorrenza dalla data: 1/1/2016   Fascia: 9-14 anni - C.C.N.L. COMPARTO  SCUOLA 2016/18
                              Stipendio annuo lordo                            euro: 21538,08
               Indennita di Vacanza contr.le -     annuo lordo    euro : 144,93
                                rpd/cia - annuo lordo                             euro: 1968
TOTALE ANNUO LORDO EURO 23651,01
</v>
      </c>
      <c r="HO63">
        <f t="shared" ca="1" si="72"/>
        <v>24</v>
      </c>
      <c r="HP63" t="str">
        <f t="shared" ca="1" si="73"/>
        <v/>
      </c>
      <c r="HQ63" t="str">
        <f t="shared" ca="1" si="165"/>
        <v/>
      </c>
      <c r="HR63" t="str">
        <f t="shared" ca="1" si="166"/>
        <v/>
      </c>
      <c r="HW63" s="253" t="s">
        <v>187</v>
      </c>
      <c r="HX63" s="112" t="str">
        <f t="shared" si="76"/>
        <v>13/9/2007</v>
      </c>
      <c r="HY63" t="s">
        <v>188</v>
      </c>
      <c r="HZ63" s="112" t="str">
        <f t="shared" si="77"/>
        <v>30/6/2008</v>
      </c>
      <c r="IA63" t="s">
        <v>189</v>
      </c>
      <c r="IB63">
        <f t="shared" si="78"/>
        <v>0</v>
      </c>
      <c r="IC63" t="s">
        <v>192</v>
      </c>
      <c r="ID63">
        <f t="shared" si="79"/>
        <v>9</v>
      </c>
      <c r="IE63" t="s">
        <v>191</v>
      </c>
      <c r="IF63" s="254">
        <f t="shared" si="80"/>
        <v>22</v>
      </c>
      <c r="IK63" t="str">
        <f t="shared" si="167"/>
        <v xml:space="preserve">DAL: 13/9/2007 - AL:30/6/2008 - ANNI:0 - MESI:9 -GIORNI:22
</v>
      </c>
      <c r="JP63">
        <f ca="1">IF(Foglio3!DM36=100000,0,IF(Foglio3!DM36="",0,1))</f>
        <v>1</v>
      </c>
      <c r="JQ63" s="314">
        <f ca="1" xml:space="preserve">   IF(JP63=1,     Foglio3!DM36,IF(JP63=0,IF(JP62=1,"","")))</f>
        <v>37257</v>
      </c>
      <c r="JR63" s="314">
        <f ca="1">IF(          Foglio3!DN36=100000,"",Foglio3!DN36)</f>
        <v>37410</v>
      </c>
      <c r="JS63" s="272">
        <f ca="1">IF(Foglio3!DN36=100000,"",Foglio3!DO36)</f>
        <v>8</v>
      </c>
      <c r="JT63" s="272">
        <f ca="1">IF(Foglio3!DN36=100000,"",Foglio3!DP36)</f>
        <v>24</v>
      </c>
      <c r="JU63" s="272">
        <f ca="1">IF(Foglio3!DN36=100000,"",Foglio3!DQ36)</f>
        <v>154</v>
      </c>
      <c r="JV63" s="272">
        <f ca="1">IF(JU63="","",Foglio3!DR36)</f>
        <v>0</v>
      </c>
      <c r="JW63" s="272">
        <f ca="1">IF(Foglio3!DN36=100000,"",Foglio3!DS36)</f>
        <v>0</v>
      </c>
      <c r="JX63" s="272">
        <f ca="1">IF(Foglio3!DN36=100000,"",Foglio3!DT36)</f>
        <v>0</v>
      </c>
      <c r="JY63" s="272">
        <f ca="1">IF(Foglio3!DN36=100000,"",Foglio3!DU36)</f>
        <v>0</v>
      </c>
      <c r="JZ63" s="272" t="str">
        <f ca="1">IF(Foglio3!DN36=100000,"",Foglio3!DV36)</f>
        <v>0/2 anni</v>
      </c>
      <c r="KC63">
        <v>0</v>
      </c>
      <c r="KD63" s="260">
        <f t="shared" ca="1" si="81"/>
        <v>42370</v>
      </c>
      <c r="KE63" t="str">
        <f t="shared" si="82"/>
        <v>0-2 anni</v>
      </c>
      <c r="KF63">
        <f t="shared" si="15"/>
        <v>6</v>
      </c>
      <c r="KG63" s="238">
        <f t="shared" ca="1" si="16"/>
        <v>192</v>
      </c>
      <c r="KJ63">
        <f t="shared" ca="1" si="83"/>
        <v>13015.79</v>
      </c>
      <c r="KK63">
        <f t="shared" ca="1" si="164"/>
        <v>0</v>
      </c>
      <c r="KL63">
        <f t="shared" ca="1" si="164"/>
        <v>0</v>
      </c>
      <c r="KM63">
        <f t="shared" ca="1" si="164"/>
        <v>6384.11</v>
      </c>
      <c r="KN63">
        <f t="shared" ca="1" si="164"/>
        <v>144.93</v>
      </c>
      <c r="KU63">
        <f t="shared" ca="1" si="18"/>
        <v>1968</v>
      </c>
      <c r="KZ63" s="254" t="str">
        <f t="shared" si="84"/>
        <v>0-2 anni</v>
      </c>
      <c r="LA63" s="112">
        <f t="shared" si="85"/>
        <v>39338</v>
      </c>
      <c r="LB63" s="112">
        <f t="shared" si="86"/>
        <v>39629</v>
      </c>
      <c r="LC63">
        <f t="shared" ca="1" si="87"/>
        <v>21512.83</v>
      </c>
      <c r="LD63" s="262">
        <f t="shared" ca="1" si="88"/>
        <v>23651.01</v>
      </c>
      <c r="LE63">
        <f t="shared" si="89"/>
        <v>292</v>
      </c>
      <c r="LF63">
        <f t="shared" ca="1" si="90"/>
        <v>1710.54</v>
      </c>
    </row>
    <row r="64" spans="1:318" ht="195" x14ac:dyDescent="0.25">
      <c r="A64" s="112">
        <f t="shared" si="128"/>
        <v>39630</v>
      </c>
      <c r="B64" s="112">
        <f t="shared" si="19"/>
        <v>39814</v>
      </c>
      <c r="E64" s="240">
        <f>Foglio3!F44</f>
        <v>39692</v>
      </c>
      <c r="F64" s="240">
        <f>Foglio3!G44</f>
        <v>39994</v>
      </c>
      <c r="G64" s="244"/>
      <c r="H64" s="245">
        <f t="shared" si="20"/>
        <v>39692</v>
      </c>
      <c r="I64" s="245">
        <f t="shared" si="2"/>
        <v>39994</v>
      </c>
      <c r="J64" s="244"/>
      <c r="K64" s="244"/>
      <c r="Q64">
        <f t="shared" si="154"/>
        <v>303</v>
      </c>
      <c r="R64">
        <f t="shared" si="155"/>
        <v>303</v>
      </c>
      <c r="S64">
        <f t="shared" si="156"/>
        <v>0</v>
      </c>
      <c r="T64">
        <f t="shared" si="157"/>
        <v>10</v>
      </c>
      <c r="U64">
        <f t="shared" si="158"/>
        <v>3</v>
      </c>
      <c r="W64">
        <f t="shared" si="159"/>
        <v>0</v>
      </c>
      <c r="X64">
        <f t="shared" si="160"/>
        <v>98</v>
      </c>
      <c r="Y64">
        <f t="shared" si="161"/>
        <v>238</v>
      </c>
      <c r="AA64" s="112">
        <f t="shared" si="91"/>
        <v>39692</v>
      </c>
      <c r="AB64" s="112">
        <f t="shared" si="92"/>
        <v>39994</v>
      </c>
      <c r="AG64">
        <f t="shared" si="22"/>
        <v>1</v>
      </c>
      <c r="AH64" s="112">
        <f t="shared" si="93"/>
        <v>39692</v>
      </c>
      <c r="AI64" s="112">
        <f t="shared" si="94"/>
        <v>39994</v>
      </c>
      <c r="AJ64">
        <f t="shared" si="23"/>
        <v>1</v>
      </c>
      <c r="AK64">
        <f t="shared" si="95"/>
        <v>0</v>
      </c>
      <c r="AL64">
        <f t="shared" si="122"/>
        <v>0</v>
      </c>
      <c r="AN64">
        <f t="shared" si="123"/>
        <v>0</v>
      </c>
      <c r="AO64">
        <f t="shared" si="124"/>
        <v>0</v>
      </c>
      <c r="AP64">
        <f t="shared" si="96"/>
        <v>0</v>
      </c>
      <c r="AS64">
        <f t="shared" si="130"/>
        <v>0</v>
      </c>
      <c r="AT64">
        <f t="shared" si="131"/>
        <v>0</v>
      </c>
      <c r="AV64">
        <f t="shared" si="132"/>
        <v>0</v>
      </c>
      <c r="AW64">
        <f t="shared" si="133"/>
        <v>0</v>
      </c>
      <c r="AX64">
        <f t="shared" si="97"/>
        <v>0</v>
      </c>
      <c r="BA64">
        <f t="shared" si="150"/>
        <v>0</v>
      </c>
      <c r="BB64">
        <f t="shared" si="151"/>
        <v>0</v>
      </c>
      <c r="BD64">
        <f t="shared" si="135"/>
        <v>0</v>
      </c>
      <c r="BE64">
        <f t="shared" si="136"/>
        <v>0</v>
      </c>
      <c r="BF64">
        <f t="shared" si="127"/>
        <v>0</v>
      </c>
      <c r="BI64">
        <f t="shared" si="137"/>
        <v>0</v>
      </c>
      <c r="BJ64">
        <f t="shared" si="139"/>
        <v>0</v>
      </c>
      <c r="BK64">
        <f t="shared" si="140"/>
        <v>0</v>
      </c>
      <c r="BL64">
        <f t="shared" si="141"/>
        <v>0</v>
      </c>
      <c r="BM64">
        <f t="shared" si="134"/>
        <v>0</v>
      </c>
      <c r="BO64">
        <f t="shared" si="142"/>
        <v>0</v>
      </c>
      <c r="BP64">
        <f t="shared" si="143"/>
        <v>0</v>
      </c>
      <c r="BR64">
        <f t="shared" si="144"/>
        <v>0</v>
      </c>
      <c r="BS64">
        <f t="shared" si="145"/>
        <v>0</v>
      </c>
      <c r="BT64">
        <f t="shared" si="138"/>
        <v>0</v>
      </c>
      <c r="BV64">
        <f t="shared" si="98"/>
        <v>0</v>
      </c>
      <c r="BX64">
        <f t="shared" si="99"/>
        <v>0</v>
      </c>
      <c r="BY64">
        <f t="shared" si="100"/>
        <v>0</v>
      </c>
      <c r="BZ64">
        <f t="shared" si="101"/>
        <v>0</v>
      </c>
      <c r="CA64">
        <f t="shared" si="102"/>
        <v>0</v>
      </c>
      <c r="CB64">
        <f t="shared" si="103"/>
        <v>0</v>
      </c>
      <c r="CG64">
        <f t="shared" si="24"/>
        <v>2008</v>
      </c>
      <c r="CH64">
        <f t="shared" si="25"/>
        <v>2009</v>
      </c>
      <c r="CJ64">
        <f t="shared" si="26"/>
        <v>0</v>
      </c>
      <c r="CK64">
        <f t="shared" si="147"/>
        <v>0</v>
      </c>
      <c r="CL64">
        <f t="shared" si="27"/>
        <v>0</v>
      </c>
      <c r="CN64">
        <f t="shared" si="28"/>
        <v>0</v>
      </c>
      <c r="CS64">
        <f t="shared" si="29"/>
        <v>303</v>
      </c>
      <c r="CT64">
        <f t="shared" si="104"/>
        <v>3178</v>
      </c>
      <c r="CU64" s="243">
        <f t="shared" si="30"/>
        <v>3178</v>
      </c>
      <c r="CV64" s="112">
        <f t="shared" si="31"/>
        <v>39994</v>
      </c>
      <c r="CX64" s="112">
        <f t="shared" si="149"/>
        <v>100000</v>
      </c>
      <c r="CY64" s="112">
        <f t="shared" si="105"/>
        <v>100000</v>
      </c>
      <c r="CZ64" s="112">
        <f t="shared" si="106"/>
        <v>100000</v>
      </c>
      <c r="DA64" s="112">
        <f t="shared" si="107"/>
        <v>100000</v>
      </c>
      <c r="DB64" s="112">
        <f t="shared" si="108"/>
        <v>100000</v>
      </c>
      <c r="DC64" s="112">
        <f t="shared" si="109"/>
        <v>100000</v>
      </c>
      <c r="DU64" s="112"/>
      <c r="DV64" s="112"/>
      <c r="DW64" s="277">
        <v>42736</v>
      </c>
      <c r="DX64" s="276"/>
      <c r="DY64" s="276"/>
      <c r="DZ64" s="276"/>
      <c r="EF64" s="260">
        <f t="shared" si="148"/>
        <v>39814</v>
      </c>
      <c r="EK64" s="254"/>
      <c r="EL64">
        <f t="shared" si="152"/>
        <v>25</v>
      </c>
      <c r="EM64" s="260">
        <f t="shared" si="111"/>
        <v>40544</v>
      </c>
      <c r="EN64">
        <f t="shared" si="112"/>
        <v>27</v>
      </c>
      <c r="EO64" s="112">
        <f t="shared" si="113"/>
        <v>42736</v>
      </c>
      <c r="EP64" s="112">
        <f t="shared" si="162"/>
        <v>42736</v>
      </c>
      <c r="ET64">
        <f t="shared" si="37"/>
        <v>9</v>
      </c>
      <c r="EU64" s="260">
        <f t="shared" si="38"/>
        <v>42736</v>
      </c>
      <c r="EV64" t="str">
        <f t="shared" si="39"/>
        <v>9-14 anni</v>
      </c>
      <c r="EW64">
        <f t="shared" si="5"/>
        <v>4</v>
      </c>
      <c r="EX64" s="238">
        <f t="shared" ca="1" si="6"/>
        <v>201</v>
      </c>
      <c r="FA64">
        <f t="shared" ca="1" si="40"/>
        <v>21709.68</v>
      </c>
      <c r="FB64">
        <f t="shared" ca="1" si="163"/>
        <v>0</v>
      </c>
      <c r="FC64">
        <f t="shared" ca="1" si="163"/>
        <v>0</v>
      </c>
      <c r="FD64">
        <f t="shared" ca="1" si="41"/>
        <v>0</v>
      </c>
      <c r="FE64">
        <f t="shared" ca="1" si="163"/>
        <v>144.93</v>
      </c>
      <c r="FG64">
        <f t="shared" ca="1" si="42"/>
        <v>0</v>
      </c>
      <c r="FL64">
        <f t="shared" ca="1" si="8"/>
        <v>1968</v>
      </c>
      <c r="FQ64" s="254" t="str">
        <f t="shared" si="43"/>
        <v>9-14 anni</v>
      </c>
      <c r="FR64">
        <f t="shared" si="114"/>
        <v>64</v>
      </c>
      <c r="FS64" t="str">
        <f t="shared" ca="1" si="44"/>
        <v>ev64</v>
      </c>
      <c r="FT64" t="str">
        <f t="shared" ca="1" si="45"/>
        <v>EU64</v>
      </c>
      <c r="FU64" t="str">
        <f t="shared" ca="1" si="45"/>
        <v>FA64</v>
      </c>
      <c r="FV64" t="str">
        <f t="shared" ca="1" si="45"/>
        <v>FB64</v>
      </c>
      <c r="FW64" t="str">
        <f t="shared" ca="1" si="45"/>
        <v>FC64</v>
      </c>
      <c r="FX64" t="str">
        <f t="shared" ca="1" si="45"/>
        <v>FD64</v>
      </c>
      <c r="FY64" t="str">
        <f t="shared" ca="1" si="45"/>
        <v>FE64</v>
      </c>
      <c r="FZ64" t="str">
        <f t="shared" ca="1" si="45"/>
        <v>FG64</v>
      </c>
      <c r="GA64" t="str">
        <f t="shared" ca="1" si="45"/>
        <v>FL64</v>
      </c>
      <c r="GB64" t="str">
        <f t="shared" ca="1" si="45"/>
        <v/>
      </c>
      <c r="GC64" t="str">
        <f t="shared" ca="1" si="45"/>
        <v/>
      </c>
      <c r="GD64">
        <f t="shared" ca="1" si="115"/>
        <v>25</v>
      </c>
      <c r="GE64" s="112">
        <f t="shared" ca="1" si="47"/>
        <v>42736</v>
      </c>
      <c r="GF64" s="112" t="str">
        <f t="shared" ca="1" si="48"/>
        <v>9-14 anni</v>
      </c>
      <c r="GG64" s="262">
        <f t="shared" ca="1" si="49"/>
        <v>21709.68</v>
      </c>
      <c r="GH64" s="262">
        <f t="shared" ca="1" si="50"/>
        <v>0</v>
      </c>
      <c r="GI64" s="262">
        <f t="shared" ca="1" si="51"/>
        <v>0</v>
      </c>
      <c r="GJ64" s="262">
        <f t="shared" ca="1" si="52"/>
        <v>0</v>
      </c>
      <c r="GK64" s="262">
        <f t="shared" ca="1" si="53"/>
        <v>144.93</v>
      </c>
      <c r="GL64" s="262">
        <f t="shared" ca="1" si="146"/>
        <v>0</v>
      </c>
      <c r="GM64" s="262">
        <f t="shared" ca="1" si="54"/>
        <v>1968</v>
      </c>
      <c r="GN64" s="262">
        <f t="shared" ca="1" si="55"/>
        <v>0</v>
      </c>
      <c r="GO64" s="262">
        <f t="shared" ca="1" si="11"/>
        <v>0</v>
      </c>
      <c r="GQ64" s="263" t="str">
        <f t="shared" ca="1" si="56"/>
        <v>C.C.N.L. COMPARTO  SCUOLA 2016/18</v>
      </c>
      <c r="GR64" s="262">
        <f t="shared" ca="1" si="57"/>
        <v>23822.61</v>
      </c>
      <c r="GS64" s="253" t="str">
        <f t="shared" ca="1" si="58"/>
        <v xml:space="preserve">ARTICOLO 25
</v>
      </c>
      <c r="GT64" t="str">
        <f t="shared" ca="1" si="59"/>
        <v xml:space="preserve">con decorrenza dalla data: 1/1/2017  </v>
      </c>
      <c r="GU64" t="str">
        <f t="shared" ca="1" si="60"/>
        <v xml:space="preserve"> Fascia: 9-14 anni - C.C.N.L. COMPARTO  SCUOLA 2016/18
</v>
      </c>
      <c r="GV64" t="str">
        <f t="shared" ca="1" si="61"/>
        <v xml:space="preserve">
                              Stipendio annuo lordo                            euro: 21709,68
</v>
      </c>
      <c r="GW64" t="str">
        <f t="shared" ca="1" si="62"/>
        <v/>
      </c>
      <c r="GX64" t="str">
        <f t="shared" ca="1" si="63"/>
        <v/>
      </c>
      <c r="GY64" t="str">
        <f t="shared" ca="1" si="64"/>
        <v/>
      </c>
      <c r="GZ64" t="str">
        <f t="shared" ca="1" si="65"/>
        <v xml:space="preserve">               Indennita di Vacanza contr.le -     annuo lordo    euro : 144,93
</v>
      </c>
      <c r="HA64" t="str">
        <f t="shared" ca="1" si="66"/>
        <v/>
      </c>
      <c r="HB64" t="str">
        <f t="shared" ca="1" si="67"/>
        <v xml:space="preserve">                                rpd/cia - annuo lordo                             euro: 1968
</v>
      </c>
      <c r="HC64" t="str">
        <f t="shared" ca="1" si="68"/>
        <v/>
      </c>
      <c r="HD64" s="254" t="str">
        <f t="shared" ca="1" si="69"/>
        <v/>
      </c>
      <c r="HE64" s="254" t="str">
        <f t="shared" ca="1" si="70"/>
        <v xml:space="preserve">
TOTALE ANNUO LORDO EURO 23822,61
</v>
      </c>
      <c r="HL64" s="263" t="str">
        <f t="shared" ca="1" si="71"/>
        <v xml:space="preserve">ARTICOLO 25
con decorrenza dalla data: 1/1/2017   Fascia: 9-14 anni - C.C.N.L. COMPARTO  SCUOLA 2016/18
                              Stipendio annuo lordo                            euro: 21709,68
               Indennita di Vacanza contr.le -     annuo lordo    euro : 144,93
                                rpd/cia - annuo lordo                             euro: 1968
TOTALE ANNUO LORDO EURO 23822,61
</v>
      </c>
      <c r="HN64" s="272" t="str">
        <f t="shared" ca="1" si="13"/>
        <v xml:space="preserve">ARTICOLO 25
con decorrenza dalla data: 1/1/2017   Fascia: 9-14 anni - C.C.N.L. COMPARTO  SCUOLA 2016/18
                              Stipendio annuo lordo                            euro: 21709,68
               Indennita di Vacanza contr.le -     annuo lordo    euro : 144,93
                                rpd/cia - annuo lordo                             euro: 1968
TOTALE ANNUO LORDO EURO 23822,61
</v>
      </c>
      <c r="HO64">
        <f t="shared" ca="1" si="72"/>
        <v>25</v>
      </c>
      <c r="HP64" t="str">
        <f t="shared" ca="1" si="73"/>
        <v/>
      </c>
      <c r="HQ64" t="str">
        <f t="shared" ca="1" si="165"/>
        <v/>
      </c>
      <c r="HR64" t="str">
        <f t="shared" ca="1" si="166"/>
        <v/>
      </c>
      <c r="HW64" s="253" t="s">
        <v>187</v>
      </c>
      <c r="HX64" s="112" t="str">
        <f t="shared" si="76"/>
        <v>1/9/2008</v>
      </c>
      <c r="HY64" t="s">
        <v>188</v>
      </c>
      <c r="HZ64" s="112" t="str">
        <f t="shared" si="77"/>
        <v>30/6/2009</v>
      </c>
      <c r="IA64" t="s">
        <v>189</v>
      </c>
      <c r="IB64">
        <f t="shared" si="78"/>
        <v>0</v>
      </c>
      <c r="IC64" t="s">
        <v>192</v>
      </c>
      <c r="ID64">
        <f t="shared" si="79"/>
        <v>10</v>
      </c>
      <c r="IE64" t="s">
        <v>191</v>
      </c>
      <c r="IF64" s="254">
        <f t="shared" si="80"/>
        <v>3</v>
      </c>
      <c r="IK64" t="str">
        <f t="shared" si="167"/>
        <v xml:space="preserve">DAL: 1/9/2008 - AL:30/6/2009 - ANNI:0 - MESI:10 -GIORNI:3
</v>
      </c>
      <c r="JP64">
        <f ca="1">IF(Foglio3!DM37=100000,0,IF(Foglio3!DM37="",0,1))</f>
        <v>1</v>
      </c>
      <c r="JQ64" s="314">
        <f ca="1" xml:space="preserve">   IF(JP64=1,     Foglio3!DM37,IF(JP64=0,IF(JP63=1,"","")))</f>
        <v>37257</v>
      </c>
      <c r="JR64" s="314">
        <f ca="1">IF(          Foglio3!DN37=100000,"",Foglio3!DN37)</f>
        <v>37410</v>
      </c>
      <c r="JS64" s="272">
        <f ca="1">IF(Foglio3!DN37=100000,"",Foglio3!DO37)</f>
        <v>8</v>
      </c>
      <c r="JT64" s="272">
        <f ca="1">IF(Foglio3!DN37=100000,"",Foglio3!DP37)</f>
        <v>24</v>
      </c>
      <c r="JU64" s="272">
        <f ca="1">IF(Foglio3!DN37=100000,"",Foglio3!DQ37)</f>
        <v>154</v>
      </c>
      <c r="JV64" s="272">
        <f ca="1">IF(JU64="","",Foglio3!DR37)</f>
        <v>0</v>
      </c>
      <c r="JW64" s="272">
        <f ca="1">IF(Foglio3!DN37=100000,"",Foglio3!DS37)</f>
        <v>0</v>
      </c>
      <c r="JX64" s="272">
        <f ca="1">IF(Foglio3!DN37=100000,"",Foglio3!DT37)</f>
        <v>0</v>
      </c>
      <c r="JY64" s="272">
        <f ca="1">IF(Foglio3!DN37=100000,"",Foglio3!DU37)</f>
        <v>0</v>
      </c>
      <c r="JZ64" s="272" t="str">
        <f ca="1">IF(Foglio3!DN37=100000,"",Foglio3!DV37)</f>
        <v>0/2 anni</v>
      </c>
      <c r="KC64">
        <v>0</v>
      </c>
      <c r="KD64" s="260">
        <f t="shared" ca="1" si="81"/>
        <v>42736</v>
      </c>
      <c r="KE64" t="str">
        <f t="shared" si="82"/>
        <v>0-2 anni</v>
      </c>
      <c r="KF64">
        <f t="shared" si="15"/>
        <v>6</v>
      </c>
      <c r="KG64" s="238">
        <f t="shared" ca="1" si="16"/>
        <v>199</v>
      </c>
      <c r="KJ64">
        <f t="shared" ca="1" si="83"/>
        <v>13170.59</v>
      </c>
      <c r="KK64">
        <f t="shared" ca="1" si="164"/>
        <v>0</v>
      </c>
      <c r="KL64">
        <f t="shared" ca="1" si="164"/>
        <v>0</v>
      </c>
      <c r="KM64">
        <f t="shared" ca="1" si="164"/>
        <v>6384.11</v>
      </c>
      <c r="KN64">
        <f t="shared" ca="1" si="164"/>
        <v>144.93</v>
      </c>
      <c r="KU64">
        <f t="shared" ca="1" si="18"/>
        <v>1968</v>
      </c>
      <c r="KZ64" s="254" t="str">
        <f t="shared" si="84"/>
        <v>0-2 anni</v>
      </c>
      <c r="LA64" s="112">
        <f t="shared" si="85"/>
        <v>39692</v>
      </c>
      <c r="LB64" s="112">
        <f t="shared" si="86"/>
        <v>39994</v>
      </c>
      <c r="LC64">
        <f t="shared" ca="1" si="87"/>
        <v>21667.63</v>
      </c>
      <c r="LD64" s="262">
        <f t="shared" ca="1" si="88"/>
        <v>23822.61</v>
      </c>
      <c r="LE64">
        <f t="shared" si="89"/>
        <v>303</v>
      </c>
      <c r="LF64">
        <f t="shared" ca="1" si="90"/>
        <v>1788.93</v>
      </c>
    </row>
    <row r="65" spans="1:318" ht="195" x14ac:dyDescent="0.25">
      <c r="A65" s="112">
        <f t="shared" si="128"/>
        <v>39630</v>
      </c>
      <c r="B65" s="112">
        <f t="shared" si="19"/>
        <v>39814</v>
      </c>
      <c r="E65" s="240">
        <f>Foglio3!F45</f>
        <v>40063</v>
      </c>
      <c r="F65" s="240">
        <f>Foglio3!G45</f>
        <v>40063</v>
      </c>
      <c r="G65" s="244"/>
      <c r="H65" s="245">
        <f t="shared" si="20"/>
        <v>40063</v>
      </c>
      <c r="I65" s="245">
        <f t="shared" si="2"/>
        <v>40063</v>
      </c>
      <c r="J65" s="244"/>
      <c r="K65" s="244"/>
      <c r="Q65">
        <f t="shared" si="154"/>
        <v>1</v>
      </c>
      <c r="R65">
        <f t="shared" si="155"/>
        <v>1</v>
      </c>
      <c r="S65">
        <f t="shared" si="156"/>
        <v>0</v>
      </c>
      <c r="T65">
        <f t="shared" si="157"/>
        <v>0</v>
      </c>
      <c r="U65">
        <f t="shared" si="158"/>
        <v>1</v>
      </c>
      <c r="W65">
        <f t="shared" si="159"/>
        <v>0</v>
      </c>
      <c r="X65">
        <f t="shared" si="160"/>
        <v>98</v>
      </c>
      <c r="Y65">
        <f t="shared" si="161"/>
        <v>239</v>
      </c>
      <c r="AA65" s="112">
        <f t="shared" si="91"/>
        <v>40063</v>
      </c>
      <c r="AB65" s="112">
        <f t="shared" si="92"/>
        <v>40063</v>
      </c>
      <c r="AG65">
        <f t="shared" si="22"/>
        <v>1</v>
      </c>
      <c r="AH65" s="112">
        <f t="shared" si="93"/>
        <v>40063</v>
      </c>
      <c r="AI65" s="112">
        <f t="shared" si="94"/>
        <v>40063</v>
      </c>
      <c r="AJ65">
        <f t="shared" si="23"/>
        <v>1</v>
      </c>
      <c r="AK65">
        <f t="shared" si="95"/>
        <v>0</v>
      </c>
      <c r="AL65">
        <f t="shared" si="122"/>
        <v>0</v>
      </c>
      <c r="AN65">
        <f t="shared" si="123"/>
        <v>0</v>
      </c>
      <c r="AO65">
        <f t="shared" si="124"/>
        <v>0</v>
      </c>
      <c r="AP65">
        <f t="shared" si="96"/>
        <v>0</v>
      </c>
      <c r="AS65">
        <f t="shared" si="130"/>
        <v>0</v>
      </c>
      <c r="AT65">
        <f t="shared" si="131"/>
        <v>0</v>
      </c>
      <c r="AV65">
        <f t="shared" si="132"/>
        <v>0</v>
      </c>
      <c r="AW65">
        <f t="shared" si="133"/>
        <v>0</v>
      </c>
      <c r="AX65">
        <f t="shared" si="97"/>
        <v>0</v>
      </c>
      <c r="BA65">
        <f t="shared" si="150"/>
        <v>0</v>
      </c>
      <c r="BB65">
        <f t="shared" si="151"/>
        <v>0</v>
      </c>
      <c r="BD65">
        <f t="shared" si="135"/>
        <v>0</v>
      </c>
      <c r="BE65">
        <f t="shared" si="136"/>
        <v>0</v>
      </c>
      <c r="BF65">
        <f t="shared" si="127"/>
        <v>0</v>
      </c>
      <c r="BI65">
        <f t="shared" si="137"/>
        <v>0</v>
      </c>
      <c r="BJ65">
        <f t="shared" si="139"/>
        <v>0</v>
      </c>
      <c r="BK65">
        <f t="shared" si="140"/>
        <v>0</v>
      </c>
      <c r="BL65">
        <f t="shared" si="141"/>
        <v>0</v>
      </c>
      <c r="BM65">
        <f t="shared" si="134"/>
        <v>0</v>
      </c>
      <c r="BO65">
        <f t="shared" si="142"/>
        <v>0</v>
      </c>
      <c r="BP65">
        <f t="shared" si="143"/>
        <v>0</v>
      </c>
      <c r="BR65">
        <f t="shared" si="144"/>
        <v>0</v>
      </c>
      <c r="BS65">
        <f t="shared" si="145"/>
        <v>0</v>
      </c>
      <c r="BT65">
        <f t="shared" si="138"/>
        <v>0</v>
      </c>
      <c r="BV65">
        <f t="shared" si="98"/>
        <v>0</v>
      </c>
      <c r="BX65">
        <f t="shared" si="99"/>
        <v>0</v>
      </c>
      <c r="BY65">
        <f t="shared" si="100"/>
        <v>0</v>
      </c>
      <c r="BZ65">
        <f t="shared" si="101"/>
        <v>0</v>
      </c>
      <c r="CA65">
        <f t="shared" si="102"/>
        <v>0</v>
      </c>
      <c r="CB65">
        <f t="shared" si="103"/>
        <v>0</v>
      </c>
      <c r="CG65">
        <f t="shared" si="24"/>
        <v>2009</v>
      </c>
      <c r="CH65">
        <f t="shared" si="25"/>
        <v>2009</v>
      </c>
      <c r="CJ65">
        <f t="shared" si="26"/>
        <v>0</v>
      </c>
      <c r="CK65">
        <f t="shared" si="147"/>
        <v>0</v>
      </c>
      <c r="CL65">
        <f t="shared" si="27"/>
        <v>0</v>
      </c>
      <c r="CN65">
        <f t="shared" si="28"/>
        <v>0</v>
      </c>
      <c r="CS65">
        <f t="shared" si="29"/>
        <v>1</v>
      </c>
      <c r="CT65">
        <f t="shared" si="104"/>
        <v>3179</v>
      </c>
      <c r="CU65" s="243">
        <f t="shared" si="30"/>
        <v>3179</v>
      </c>
      <c r="CV65" s="112">
        <f t="shared" si="31"/>
        <v>40063</v>
      </c>
      <c r="CX65" s="112">
        <f t="shared" si="149"/>
        <v>100000</v>
      </c>
      <c r="CY65" s="112">
        <f t="shared" si="105"/>
        <v>100000</v>
      </c>
      <c r="CZ65" s="112">
        <f t="shared" si="106"/>
        <v>100000</v>
      </c>
      <c r="DA65" s="112">
        <f t="shared" si="107"/>
        <v>100000</v>
      </c>
      <c r="DB65" s="112">
        <f t="shared" si="108"/>
        <v>100000</v>
      </c>
      <c r="DC65" s="112">
        <f t="shared" si="109"/>
        <v>100000</v>
      </c>
      <c r="DU65" s="112"/>
      <c r="DV65" s="112"/>
      <c r="DW65" s="277">
        <v>43160</v>
      </c>
      <c r="DX65" s="276"/>
      <c r="DY65" s="276"/>
      <c r="DZ65" s="276"/>
      <c r="EF65" s="260">
        <f t="shared" si="148"/>
        <v>40269</v>
      </c>
      <c r="EK65" s="254"/>
      <c r="EL65">
        <f t="shared" si="152"/>
        <v>26</v>
      </c>
      <c r="EM65" s="260">
        <f t="shared" si="111"/>
        <v>42370</v>
      </c>
      <c r="EN65">
        <f t="shared" si="112"/>
        <v>28</v>
      </c>
      <c r="EO65" s="112">
        <f t="shared" si="113"/>
        <v>42782</v>
      </c>
      <c r="EP65" s="112">
        <f t="shared" si="162"/>
        <v>42782</v>
      </c>
      <c r="ET65">
        <f t="shared" si="37"/>
        <v>15</v>
      </c>
      <c r="EU65" s="260">
        <f t="shared" si="38"/>
        <v>42782</v>
      </c>
      <c r="EV65" t="str">
        <f t="shared" si="39"/>
        <v>15-20 anni</v>
      </c>
      <c r="EW65">
        <f t="shared" si="5"/>
        <v>3</v>
      </c>
      <c r="EX65" s="238">
        <f t="shared" ca="1" si="6"/>
        <v>202</v>
      </c>
      <c r="FA65">
        <f t="shared" ca="1" si="40"/>
        <v>23609.21</v>
      </c>
      <c r="FB65">
        <f t="shared" ca="1" si="163"/>
        <v>0</v>
      </c>
      <c r="FC65">
        <f t="shared" ca="1" si="163"/>
        <v>0</v>
      </c>
      <c r="FD65">
        <f t="shared" ca="1" si="41"/>
        <v>0</v>
      </c>
      <c r="FE65">
        <f t="shared" ca="1" si="163"/>
        <v>144.93</v>
      </c>
      <c r="FG65">
        <f t="shared" ca="1" si="42"/>
        <v>0</v>
      </c>
      <c r="FL65">
        <f t="shared" ca="1" si="8"/>
        <v>2424</v>
      </c>
      <c r="FQ65" s="254" t="str">
        <f t="shared" si="43"/>
        <v>15-20 anni</v>
      </c>
      <c r="FR65">
        <f t="shared" si="114"/>
        <v>65</v>
      </c>
      <c r="FS65" t="str">
        <f t="shared" ca="1" si="44"/>
        <v>ev65</v>
      </c>
      <c r="FT65" t="str">
        <f t="shared" ca="1" si="45"/>
        <v>EU65</v>
      </c>
      <c r="FU65" t="str">
        <f t="shared" ca="1" si="45"/>
        <v>FA65</v>
      </c>
      <c r="FV65" t="str">
        <f t="shared" ca="1" si="45"/>
        <v>FB65</v>
      </c>
      <c r="FW65" t="str">
        <f t="shared" ca="1" si="45"/>
        <v>FC65</v>
      </c>
      <c r="FX65" t="str">
        <f t="shared" ca="1" si="45"/>
        <v>FD65</v>
      </c>
      <c r="FY65" t="str">
        <f t="shared" ca="1" si="45"/>
        <v>FE65</v>
      </c>
      <c r="FZ65" t="str">
        <f t="shared" ca="1" si="45"/>
        <v>FG65</v>
      </c>
      <c r="GA65" t="str">
        <f t="shared" ca="1" si="45"/>
        <v>FL65</v>
      </c>
      <c r="GB65" t="str">
        <f t="shared" ca="1" si="45"/>
        <v/>
      </c>
      <c r="GC65" t="str">
        <f t="shared" ca="1" si="45"/>
        <v/>
      </c>
      <c r="GD65">
        <f t="shared" ca="1" si="115"/>
        <v>26</v>
      </c>
      <c r="GE65" s="112">
        <f t="shared" ca="1" si="47"/>
        <v>42782</v>
      </c>
      <c r="GF65" s="112" t="str">
        <f t="shared" ca="1" si="48"/>
        <v>15-20 anni</v>
      </c>
      <c r="GG65" s="262">
        <f t="shared" ca="1" si="49"/>
        <v>23609.21</v>
      </c>
      <c r="GH65" s="262">
        <f t="shared" ca="1" si="50"/>
        <v>0</v>
      </c>
      <c r="GI65" s="262">
        <f t="shared" ca="1" si="51"/>
        <v>0</v>
      </c>
      <c r="GJ65" s="262">
        <f t="shared" ca="1" si="52"/>
        <v>0</v>
      </c>
      <c r="GK65" s="262">
        <f t="shared" ca="1" si="53"/>
        <v>144.93</v>
      </c>
      <c r="GL65" s="262">
        <f t="shared" ca="1" si="146"/>
        <v>0</v>
      </c>
      <c r="GM65" s="262">
        <f t="shared" ca="1" si="54"/>
        <v>2424</v>
      </c>
      <c r="GN65" s="262">
        <f t="shared" ca="1" si="55"/>
        <v>0</v>
      </c>
      <c r="GO65" s="262">
        <f t="shared" ca="1" si="11"/>
        <v>0</v>
      </c>
      <c r="GQ65" s="263" t="str">
        <f t="shared" ca="1" si="56"/>
        <v>C.C.N.L. COMPARTO  SCUOLA 2016/18</v>
      </c>
      <c r="GR65" s="262">
        <f t="shared" ca="1" si="57"/>
        <v>26178.14</v>
      </c>
      <c r="GS65" s="253" t="str">
        <f t="shared" ca="1" si="58"/>
        <v xml:space="preserve">ARTICOLO 26
</v>
      </c>
      <c r="GT65" t="str">
        <f t="shared" ca="1" si="59"/>
        <v xml:space="preserve">con decorrenza dalla data: 16/2/2017  </v>
      </c>
      <c r="GU65" t="str">
        <f t="shared" ca="1" si="60"/>
        <v xml:space="preserve"> Fascia: 15-20 anni - C.C.N.L. COMPARTO  SCUOLA 2016/18
</v>
      </c>
      <c r="GV65" t="str">
        <f t="shared" ca="1" si="61"/>
        <v xml:space="preserve">
                              Stipendio annuo lordo                            euro: 23609,21
</v>
      </c>
      <c r="GW65" t="str">
        <f t="shared" ca="1" si="62"/>
        <v/>
      </c>
      <c r="GX65" t="str">
        <f t="shared" ca="1" si="63"/>
        <v/>
      </c>
      <c r="GY65" t="str">
        <f t="shared" ca="1" si="64"/>
        <v/>
      </c>
      <c r="GZ65" t="str">
        <f t="shared" ca="1" si="65"/>
        <v xml:space="preserve">               Indennita di Vacanza contr.le -     annuo lordo    euro : 144,93
</v>
      </c>
      <c r="HA65" t="str">
        <f t="shared" ca="1" si="66"/>
        <v/>
      </c>
      <c r="HB65" t="str">
        <f t="shared" ca="1" si="67"/>
        <v xml:space="preserve">                                rpd/cia - annuo lordo                             euro: 2424
</v>
      </c>
      <c r="HC65" t="str">
        <f t="shared" ca="1" si="68"/>
        <v/>
      </c>
      <c r="HD65" s="254" t="str">
        <f t="shared" ca="1" si="69"/>
        <v/>
      </c>
      <c r="HE65" s="254" t="str">
        <f t="shared" ca="1" si="70"/>
        <v xml:space="preserve">
TOTALE ANNUO LORDO EURO 26178,14
</v>
      </c>
      <c r="HL65" s="263" t="str">
        <f t="shared" ca="1" si="71"/>
        <v xml:space="preserve">ARTICOLO 26
con decorrenza dalla data: 16/2/2017   Fascia: 15-20 anni - C.C.N.L. COMPARTO  SCUOLA 2016/18
                              Stipendio annuo lordo                            euro: 23609,21
               Indennita di Vacanza contr.le -     annuo lordo    euro : 144,93
                                rpd/cia - annuo lordo                             euro: 2424
TOTALE ANNUO LORDO EURO 26178,14
</v>
      </c>
      <c r="HN65" s="272" t="str">
        <f t="shared" ca="1" si="13"/>
        <v xml:space="preserve">ARTICOLO 26
con decorrenza dalla data: 16/2/2017   Fascia: 15-20 anni - C.C.N.L. COMPARTO  SCUOLA 2016/18
                              Stipendio annuo lordo                            euro: 23609,21
               Indennita di Vacanza contr.le -     annuo lordo    euro : 144,93
                                rpd/cia - annuo lordo                             euro: 2424
TOTALE ANNUO LORDO EURO 26178,14
</v>
      </c>
      <c r="HO65">
        <f t="shared" ca="1" si="72"/>
        <v>26</v>
      </c>
      <c r="HP65" t="str">
        <f t="shared" ca="1" si="73"/>
        <v/>
      </c>
      <c r="HQ65" t="str">
        <f t="shared" ca="1" si="165"/>
        <v/>
      </c>
      <c r="HR65" t="str">
        <f t="shared" ca="1" si="166"/>
        <v/>
      </c>
      <c r="HW65" s="253" t="s">
        <v>187</v>
      </c>
      <c r="HX65" s="112" t="str">
        <f t="shared" si="76"/>
        <v>7/9/2009</v>
      </c>
      <c r="HY65" t="s">
        <v>188</v>
      </c>
      <c r="HZ65" s="112" t="str">
        <f t="shared" si="77"/>
        <v>7/9/2009</v>
      </c>
      <c r="IA65" t="s">
        <v>189</v>
      </c>
      <c r="IB65">
        <f t="shared" si="78"/>
        <v>0</v>
      </c>
      <c r="IC65" t="s">
        <v>192</v>
      </c>
      <c r="ID65">
        <f t="shared" si="79"/>
        <v>0</v>
      </c>
      <c r="IE65" t="s">
        <v>191</v>
      </c>
      <c r="IF65" s="254">
        <f t="shared" si="80"/>
        <v>1</v>
      </c>
      <c r="IK65" t="str">
        <f t="shared" si="167"/>
        <v xml:space="preserve">DAL: 7/9/2009 - AL:7/9/2009 - ANNI:0 - MESI:0 -GIORNI:1
</v>
      </c>
      <c r="JP65">
        <f ca="1">IF(Foglio3!DM38=100000,0,IF(Foglio3!DM38="",0,1))</f>
        <v>1</v>
      </c>
      <c r="JQ65" s="314">
        <f ca="1" xml:space="preserve">   IF(JP65=1,     Foglio3!DM38,IF(JP65=0,IF(JP64=1,"","")))</f>
        <v>37257</v>
      </c>
      <c r="JR65" s="314">
        <f ca="1">IF(          Foglio3!DN38=100000,"",Foglio3!DN38)</f>
        <v>37410</v>
      </c>
      <c r="JS65" s="272">
        <f ca="1">IF(Foglio3!DN38=100000,"",Foglio3!DO38)</f>
        <v>8</v>
      </c>
      <c r="JT65" s="272">
        <f ca="1">IF(Foglio3!DN38=100000,"",Foglio3!DP38)</f>
        <v>24</v>
      </c>
      <c r="JU65" s="272">
        <f ca="1">IF(Foglio3!DN38=100000,"",Foglio3!DQ38)</f>
        <v>154</v>
      </c>
      <c r="JV65" s="272">
        <f ca="1">IF(JU65="","",Foglio3!DR38)</f>
        <v>0</v>
      </c>
      <c r="JW65" s="272">
        <f ca="1">IF(Foglio3!DN38=100000,"",Foglio3!DS38)</f>
        <v>0</v>
      </c>
      <c r="JX65" s="272">
        <f ca="1">IF(Foglio3!DN38=100000,"",Foglio3!DT38)</f>
        <v>0</v>
      </c>
      <c r="JY65" s="272">
        <f ca="1">IF(Foglio3!DN38=100000,"",Foglio3!DU38)</f>
        <v>0</v>
      </c>
      <c r="JZ65" s="272" t="str">
        <f ca="1">IF(Foglio3!DN38=100000,"",Foglio3!DV38)</f>
        <v>0/2 anni</v>
      </c>
      <c r="KC65">
        <v>0</v>
      </c>
      <c r="KD65" s="260">
        <f t="shared" ca="1" si="81"/>
        <v>42782</v>
      </c>
      <c r="KE65" t="str">
        <f t="shared" si="82"/>
        <v>0-2 anni</v>
      </c>
      <c r="KF65">
        <f t="shared" si="15"/>
        <v>6</v>
      </c>
      <c r="KG65" s="238">
        <f t="shared" ca="1" si="16"/>
        <v>199</v>
      </c>
      <c r="KJ65">
        <f t="shared" ca="1" si="83"/>
        <v>13170.59</v>
      </c>
      <c r="KK65">
        <f t="shared" ca="1" si="164"/>
        <v>0</v>
      </c>
      <c r="KL65">
        <f t="shared" ca="1" si="164"/>
        <v>0</v>
      </c>
      <c r="KM65">
        <f t="shared" ca="1" si="164"/>
        <v>6384.11</v>
      </c>
      <c r="KN65">
        <f t="shared" ca="1" si="164"/>
        <v>144.93</v>
      </c>
      <c r="KU65">
        <f t="shared" ca="1" si="18"/>
        <v>2424</v>
      </c>
      <c r="KZ65" s="254" t="str">
        <f t="shared" si="84"/>
        <v>0-2 anni</v>
      </c>
      <c r="LA65" s="112">
        <f t="shared" si="85"/>
        <v>40063</v>
      </c>
      <c r="LB65" s="112">
        <f t="shared" si="86"/>
        <v>40063</v>
      </c>
      <c r="LC65">
        <f t="shared" ca="1" si="87"/>
        <v>22123.63</v>
      </c>
      <c r="LD65" s="262">
        <f t="shared" ca="1" si="88"/>
        <v>26178.14</v>
      </c>
      <c r="LE65">
        <f t="shared" si="89"/>
        <v>1</v>
      </c>
      <c r="LF65">
        <f t="shared" ca="1" si="90"/>
        <v>11.11</v>
      </c>
    </row>
    <row r="66" spans="1:318" ht="165" x14ac:dyDescent="0.25">
      <c r="A66" s="112">
        <f t="shared" si="128"/>
        <v>40269</v>
      </c>
      <c r="B66" s="112">
        <f t="shared" si="19"/>
        <v>40360</v>
      </c>
      <c r="E66" s="240">
        <f>Foglio3!F46</f>
        <v>40066</v>
      </c>
      <c r="F66" s="240">
        <f>Foglio3!G46</f>
        <v>40421</v>
      </c>
      <c r="G66" s="244"/>
      <c r="H66" s="245">
        <f t="shared" si="20"/>
        <v>40066</v>
      </c>
      <c r="I66" s="245">
        <f t="shared" si="2"/>
        <v>40421</v>
      </c>
      <c r="J66" s="244"/>
      <c r="K66" s="244"/>
      <c r="Q66">
        <f t="shared" si="154"/>
        <v>356</v>
      </c>
      <c r="R66">
        <f t="shared" si="155"/>
        <v>356</v>
      </c>
      <c r="S66">
        <f t="shared" si="156"/>
        <v>0</v>
      </c>
      <c r="T66">
        <f t="shared" si="157"/>
        <v>11</v>
      </c>
      <c r="U66">
        <f t="shared" si="158"/>
        <v>26</v>
      </c>
      <c r="W66">
        <f t="shared" si="159"/>
        <v>0</v>
      </c>
      <c r="X66">
        <f t="shared" si="160"/>
        <v>109</v>
      </c>
      <c r="Y66">
        <f t="shared" si="161"/>
        <v>265</v>
      </c>
      <c r="AA66" s="112">
        <f t="shared" si="91"/>
        <v>40066</v>
      </c>
      <c r="AB66" s="112">
        <f t="shared" si="92"/>
        <v>40421</v>
      </c>
      <c r="AG66">
        <f t="shared" si="22"/>
        <v>1</v>
      </c>
      <c r="AH66" s="112">
        <f t="shared" si="93"/>
        <v>40066</v>
      </c>
      <c r="AI66" s="112">
        <f t="shared" si="94"/>
        <v>40421</v>
      </c>
      <c r="AJ66">
        <f t="shared" si="23"/>
        <v>1</v>
      </c>
      <c r="AK66">
        <f t="shared" si="95"/>
        <v>0</v>
      </c>
      <c r="AL66">
        <f t="shared" si="122"/>
        <v>0</v>
      </c>
      <c r="AN66">
        <f t="shared" si="123"/>
        <v>0</v>
      </c>
      <c r="AO66">
        <f t="shared" si="124"/>
        <v>0</v>
      </c>
      <c r="AP66">
        <f t="shared" si="96"/>
        <v>0</v>
      </c>
      <c r="AS66">
        <f t="shared" si="130"/>
        <v>0</v>
      </c>
      <c r="AT66">
        <f t="shared" si="131"/>
        <v>0</v>
      </c>
      <c r="AV66">
        <f t="shared" si="132"/>
        <v>0</v>
      </c>
      <c r="AW66">
        <f t="shared" si="133"/>
        <v>0</v>
      </c>
      <c r="AX66">
        <f t="shared" si="97"/>
        <v>0</v>
      </c>
      <c r="BA66">
        <f t="shared" si="150"/>
        <v>0</v>
      </c>
      <c r="BB66">
        <f t="shared" si="151"/>
        <v>0</v>
      </c>
      <c r="BD66">
        <f t="shared" si="135"/>
        <v>0</v>
      </c>
      <c r="BE66">
        <f t="shared" si="136"/>
        <v>0</v>
      </c>
      <c r="BF66">
        <f t="shared" si="127"/>
        <v>0</v>
      </c>
      <c r="BI66">
        <f t="shared" si="137"/>
        <v>0</v>
      </c>
      <c r="BJ66">
        <f t="shared" si="139"/>
        <v>0</v>
      </c>
      <c r="BK66">
        <f t="shared" si="140"/>
        <v>0</v>
      </c>
      <c r="BL66">
        <f t="shared" si="141"/>
        <v>0</v>
      </c>
      <c r="BM66">
        <f t="shared" si="134"/>
        <v>0</v>
      </c>
      <c r="BO66">
        <f t="shared" si="142"/>
        <v>0</v>
      </c>
      <c r="BP66">
        <f t="shared" si="143"/>
        <v>0</v>
      </c>
      <c r="BR66">
        <f t="shared" si="144"/>
        <v>0</v>
      </c>
      <c r="BS66">
        <f t="shared" si="145"/>
        <v>0</v>
      </c>
      <c r="BT66">
        <f t="shared" si="138"/>
        <v>0</v>
      </c>
      <c r="BV66">
        <f t="shared" si="98"/>
        <v>0</v>
      </c>
      <c r="BX66">
        <f t="shared" si="99"/>
        <v>0</v>
      </c>
      <c r="BY66">
        <f t="shared" si="100"/>
        <v>0</v>
      </c>
      <c r="BZ66">
        <f t="shared" si="101"/>
        <v>0</v>
      </c>
      <c r="CA66">
        <f t="shared" si="102"/>
        <v>0</v>
      </c>
      <c r="CB66">
        <f t="shared" si="103"/>
        <v>0</v>
      </c>
      <c r="CG66">
        <f t="shared" si="24"/>
        <v>2009</v>
      </c>
      <c r="CH66">
        <f t="shared" si="25"/>
        <v>2010</v>
      </c>
      <c r="CJ66">
        <f t="shared" si="26"/>
        <v>0</v>
      </c>
      <c r="CK66">
        <f t="shared" si="147"/>
        <v>0</v>
      </c>
      <c r="CL66">
        <f t="shared" si="27"/>
        <v>0</v>
      </c>
      <c r="CN66">
        <f t="shared" si="28"/>
        <v>0</v>
      </c>
      <c r="CS66">
        <f t="shared" si="29"/>
        <v>356</v>
      </c>
      <c r="CT66">
        <f t="shared" si="104"/>
        <v>3535</v>
      </c>
      <c r="CU66" s="243">
        <f t="shared" si="30"/>
        <v>3535</v>
      </c>
      <c r="CV66" s="112">
        <f t="shared" si="31"/>
        <v>40421</v>
      </c>
      <c r="CX66" s="112">
        <f t="shared" si="149"/>
        <v>100000</v>
      </c>
      <c r="CY66" s="112">
        <f t="shared" si="105"/>
        <v>40171</v>
      </c>
      <c r="CZ66" s="112">
        <f t="shared" si="106"/>
        <v>100000</v>
      </c>
      <c r="DA66" s="112">
        <f t="shared" si="107"/>
        <v>100000</v>
      </c>
      <c r="DB66" s="112">
        <f t="shared" si="108"/>
        <v>100000</v>
      </c>
      <c r="DC66" s="112">
        <f t="shared" si="109"/>
        <v>100000</v>
      </c>
      <c r="DU66" s="112"/>
      <c r="DV66" s="112"/>
      <c r="DW66" s="277">
        <v>43191</v>
      </c>
      <c r="DX66" s="276"/>
      <c r="DY66" s="276"/>
      <c r="DZ66" s="276"/>
      <c r="EF66" s="260">
        <f t="shared" si="148"/>
        <v>40360</v>
      </c>
      <c r="EK66" s="254"/>
      <c r="EL66">
        <f t="shared" si="152"/>
        <v>27</v>
      </c>
      <c r="EM66" s="260">
        <f t="shared" si="111"/>
        <v>42736</v>
      </c>
      <c r="EN66">
        <f t="shared" si="112"/>
        <v>29</v>
      </c>
      <c r="EO66" s="112">
        <f t="shared" si="113"/>
        <v>43160</v>
      </c>
      <c r="EP66" s="112">
        <f t="shared" si="162"/>
        <v>43160</v>
      </c>
      <c r="ET66">
        <f t="shared" si="37"/>
        <v>15</v>
      </c>
      <c r="EU66" s="260">
        <f t="shared" si="38"/>
        <v>43160</v>
      </c>
      <c r="EV66" t="str">
        <f t="shared" si="39"/>
        <v>15-20 anni</v>
      </c>
      <c r="EW66">
        <f t="shared" si="5"/>
        <v>3</v>
      </c>
      <c r="EX66" s="238">
        <f t="shared" ca="1" si="6"/>
        <v>209</v>
      </c>
      <c r="FA66">
        <f t="shared" ca="1" si="40"/>
        <v>24136.010000000002</v>
      </c>
      <c r="FB66">
        <f t="shared" ca="1" si="163"/>
        <v>0</v>
      </c>
      <c r="FC66">
        <f t="shared" ca="1" si="163"/>
        <v>0</v>
      </c>
      <c r="FD66">
        <f t="shared" ca="1" si="41"/>
        <v>0</v>
      </c>
      <c r="FE66">
        <f t="shared" ca="1" si="163"/>
        <v>144.93</v>
      </c>
      <c r="FG66">
        <f t="shared" ca="1" si="42"/>
        <v>0</v>
      </c>
      <c r="FL66">
        <f t="shared" ca="1" si="8"/>
        <v>2577.6</v>
      </c>
      <c r="FQ66" s="254" t="str">
        <f t="shared" si="43"/>
        <v>15-20 anni</v>
      </c>
      <c r="FR66">
        <f t="shared" si="114"/>
        <v>66</v>
      </c>
      <c r="FS66" t="str">
        <f t="shared" ca="1" si="44"/>
        <v>ev66</v>
      </c>
      <c r="FT66" t="str">
        <f t="shared" ca="1" si="45"/>
        <v>EU66</v>
      </c>
      <c r="FU66" t="str">
        <f t="shared" ca="1" si="45"/>
        <v>FA66</v>
      </c>
      <c r="FV66" t="str">
        <f t="shared" ca="1" si="45"/>
        <v>FB66</v>
      </c>
      <c r="FW66" t="str">
        <f t="shared" ca="1" si="45"/>
        <v>FC66</v>
      </c>
      <c r="FX66" t="str">
        <f t="shared" ca="1" si="45"/>
        <v>FD66</v>
      </c>
      <c r="FY66" t="str">
        <f t="shared" ca="1" si="45"/>
        <v>FE66</v>
      </c>
      <c r="FZ66" t="str">
        <f t="shared" ca="1" si="45"/>
        <v>FG66</v>
      </c>
      <c r="GA66" t="str">
        <f t="shared" ca="1" si="45"/>
        <v>FL66</v>
      </c>
      <c r="GB66" t="str">
        <f t="shared" ca="1" si="45"/>
        <v/>
      </c>
      <c r="GC66" t="str">
        <f t="shared" ca="1" si="45"/>
        <v/>
      </c>
      <c r="GD66">
        <f t="shared" ref="GD66:GD73" ca="1" si="168">IF(GE66="",0,GD65+1)</f>
        <v>27</v>
      </c>
      <c r="GE66" s="112">
        <f t="shared" ref="GE66:GE73" ca="1" si="169" xml:space="preserve">   IF(FT66="","",          INDIRECT(CONCATENATE(FT66)))</f>
        <v>43160</v>
      </c>
      <c r="GF66" s="112" t="str">
        <f t="shared" ref="GF66:GF73" ca="1" si="170" xml:space="preserve">   IF(FS66="","",          INDIRECT(CONCATENATE(FS66)))</f>
        <v>15-20 anni</v>
      </c>
      <c r="GG66" s="262">
        <f t="shared" ref="GG66:GG73" ca="1" si="171" xml:space="preserve">   IF(FU66="","",          INDIRECT(CONCATENATE(FU66)))</f>
        <v>24136.010000000002</v>
      </c>
      <c r="GH66" s="262">
        <f t="shared" ref="GH66:GH73" ca="1" si="172" xml:space="preserve">   IF(FV66="","",          INDIRECT(CONCATENATE(FV66)))</f>
        <v>0</v>
      </c>
      <c r="GI66" s="262">
        <f t="shared" ref="GI66:GI73" ca="1" si="173" xml:space="preserve">   IF(FW66="","",          INDIRECT(CONCATENATE(FW66)))</f>
        <v>0</v>
      </c>
      <c r="GJ66" s="262">
        <f t="shared" ref="GJ66:GJ73" ca="1" si="174" xml:space="preserve">   IF(FX66="","",          INDIRECT(CONCATENATE(FX66)))</f>
        <v>0</v>
      </c>
      <c r="GK66" s="262">
        <f t="shared" ref="GK66:GK73" ca="1" si="175" xml:space="preserve">   IF(FY66="","",          INDIRECT(CONCATENATE(FY66)))</f>
        <v>144.93</v>
      </c>
      <c r="GL66" s="262">
        <f t="shared" ref="GL66:GL73" ca="1" si="176">IF(FZ66="",0,ROUND(INDIRECT(CONCATENATE(FZ66)),2))</f>
        <v>0</v>
      </c>
      <c r="GM66" s="262">
        <f t="shared" ref="GM66:GM73" ca="1" si="177" xml:space="preserve">   IF(GA66="","",          INDIRECT(CONCATENATE(GA66)))</f>
        <v>2577.6</v>
      </c>
      <c r="GN66" s="262">
        <f t="shared" ca="1" si="55"/>
        <v>0</v>
      </c>
      <c r="GO66" s="262">
        <f t="shared" ca="1" si="11"/>
        <v>0</v>
      </c>
      <c r="GQ66" s="263" t="str">
        <f t="shared" ca="1" si="56"/>
        <v>C.C.N.L. COMPARTO  SCUOLA 2016/18</v>
      </c>
      <c r="GR66" s="262">
        <f t="shared" ca="1" si="57"/>
        <v>26858.54</v>
      </c>
      <c r="GS66" s="253" t="str">
        <f t="shared" ca="1" si="58"/>
        <v xml:space="preserve">ARTICOLO 27
</v>
      </c>
      <c r="GT66" t="str">
        <f t="shared" ca="1" si="59"/>
        <v xml:space="preserve">con decorrenza dalla data: 1/3/2018  </v>
      </c>
      <c r="GU66" t="str">
        <f t="shared" ca="1" si="60"/>
        <v xml:space="preserve"> Fascia: 15-20 anni - C.C.N.L. COMPARTO  SCUOLA 2016/18
</v>
      </c>
      <c r="GV66" t="str">
        <f t="shared" ca="1" si="61"/>
        <v xml:space="preserve">
                              Stipendio annuo lordo                            euro: 24136,01
</v>
      </c>
      <c r="GW66" t="str">
        <f t="shared" ca="1" si="62"/>
        <v/>
      </c>
      <c r="GX66" t="str">
        <f t="shared" ca="1" si="63"/>
        <v/>
      </c>
      <c r="GY66" t="str">
        <f t="shared" ca="1" si="64"/>
        <v/>
      </c>
      <c r="GZ66" t="str">
        <f t="shared" ca="1" si="65"/>
        <v xml:space="preserve">               Indennita di Vacanza contr.le -     annuo lordo    euro : 144,93
</v>
      </c>
      <c r="HA66" t="str">
        <f t="shared" ca="1" si="66"/>
        <v/>
      </c>
      <c r="HB66" t="str">
        <f t="shared" ca="1" si="67"/>
        <v xml:space="preserve">                                rpd/cia - annuo lordo                             euro: 2577,6
</v>
      </c>
      <c r="HC66" t="str">
        <f t="shared" ca="1" si="68"/>
        <v/>
      </c>
      <c r="HD66" s="254" t="str">
        <f t="shared" ca="1" si="69"/>
        <v/>
      </c>
      <c r="HL66" s="263" t="str">
        <f t="shared" ca="1" si="71"/>
        <v xml:space="preserve">ARTICOLO 27
con decorrenza dalla data: 1/3/2018   Fascia: 15-20 anni - C.C.N.L. COMPARTO  SCUOLA 2016/18
                              Stipendio annuo lordo                            euro: 24136,01
               Indennita di Vacanza contr.le -     annuo lordo    euro : 144,93
                                rpd/cia - annuo lordo                             euro: 2577,6
</v>
      </c>
      <c r="HN66" s="272" t="str">
        <f t="shared" ca="1" si="13"/>
        <v xml:space="preserve">ARTICOLO 27
con decorrenza dalla data: 1/3/2018   Fascia: 15-20 anni - C.C.N.L. COMPARTO  SCUOLA 2016/18
                              Stipendio annuo lordo                            euro: 24136,01
               Indennita di Vacanza contr.le -     annuo lordo    euro : 144,93
                                rpd/cia - annuo lordo                             euro: 2577,6
</v>
      </c>
      <c r="HO66">
        <f t="shared" ca="1" si="72"/>
        <v>27</v>
      </c>
      <c r="HP66" t="str">
        <f t="shared" ca="1" si="73"/>
        <v/>
      </c>
      <c r="HQ66" t="str">
        <f t="shared" ca="1" si="165"/>
        <v/>
      </c>
      <c r="HR66" t="str">
        <f t="shared" ca="1" si="166"/>
        <v/>
      </c>
      <c r="HW66" s="253" t="s">
        <v>187</v>
      </c>
      <c r="HX66" s="112" t="str">
        <f t="shared" si="76"/>
        <v>10/9/2009</v>
      </c>
      <c r="HY66" t="s">
        <v>188</v>
      </c>
      <c r="HZ66" s="112" t="str">
        <f t="shared" si="77"/>
        <v>31/8/2010</v>
      </c>
      <c r="IA66" t="s">
        <v>189</v>
      </c>
      <c r="IB66">
        <f t="shared" si="78"/>
        <v>0</v>
      </c>
      <c r="IC66" t="s">
        <v>192</v>
      </c>
      <c r="ID66">
        <f t="shared" si="79"/>
        <v>11</v>
      </c>
      <c r="IE66" t="s">
        <v>191</v>
      </c>
      <c r="IF66" s="254">
        <f t="shared" si="80"/>
        <v>26</v>
      </c>
      <c r="IK66" t="str">
        <f t="shared" si="167"/>
        <v xml:space="preserve">DAL: 10/9/2009 - AL:31/8/2010 - ANNI:0 - MESI:11 -GIORNI:26
</v>
      </c>
      <c r="JP66">
        <f ca="1">IF(Foglio3!DM39=100000,0,IF(Foglio3!DM39="",0,1))</f>
        <v>1</v>
      </c>
      <c r="JQ66" s="314">
        <f ca="1" xml:space="preserve">   IF(JP66=1,     Foglio3!DM39,IF(JP66=0,IF(JP65=1,"","")))</f>
        <v>37284</v>
      </c>
      <c r="JR66" s="314">
        <f ca="1">IF(          Foglio3!DN39=100000,"",Foglio3!DN39)</f>
        <v>37410</v>
      </c>
      <c r="JS66" s="272">
        <f ca="1">IF(Foglio3!DN39=100000,"",Foglio3!DO39)</f>
        <v>5</v>
      </c>
      <c r="JT66" s="272">
        <f ca="1">IF(Foglio3!DN39=100000,"",Foglio3!DP39)</f>
        <v>24</v>
      </c>
      <c r="JU66" s="272">
        <f ca="1">IF(Foglio3!DN39=100000,"",Foglio3!DQ39)</f>
        <v>127</v>
      </c>
      <c r="JV66" s="272">
        <f ca="1">IF(JU66="","",Foglio3!DR39)</f>
        <v>0</v>
      </c>
      <c r="JW66" s="272">
        <f ca="1">IF(Foglio3!DN39=100000,"",Foglio3!DS39)</f>
        <v>0</v>
      </c>
      <c r="JX66" s="272">
        <f ca="1">IF(Foglio3!DN39=100000,"",Foglio3!DT39)</f>
        <v>0</v>
      </c>
      <c r="JY66" s="272">
        <f ca="1">IF(Foglio3!DN39=100000,"",Foglio3!DU39)</f>
        <v>0</v>
      </c>
      <c r="JZ66" s="272" t="str">
        <f ca="1">IF(Foglio3!DN39=100000,"",Foglio3!DV39)</f>
        <v>0/2 anni</v>
      </c>
      <c r="KC66">
        <v>0</v>
      </c>
      <c r="KD66" s="260">
        <f t="shared" ca="1" si="81"/>
        <v>43160</v>
      </c>
      <c r="KE66" t="str">
        <f t="shared" si="82"/>
        <v>0-2 anni</v>
      </c>
      <c r="KF66">
        <f t="shared" si="15"/>
        <v>6</v>
      </c>
      <c r="KG66" s="238">
        <f t="shared" ca="1" si="16"/>
        <v>206</v>
      </c>
      <c r="KJ66">
        <f t="shared" ca="1" si="83"/>
        <v>13612.19</v>
      </c>
      <c r="KK66">
        <f t="shared" ca="1" si="164"/>
        <v>0</v>
      </c>
      <c r="KL66">
        <f t="shared" ca="1" si="164"/>
        <v>0</v>
      </c>
      <c r="KM66">
        <f t="shared" ca="1" si="164"/>
        <v>6384.11</v>
      </c>
      <c r="KN66">
        <f t="shared" ca="1" si="164"/>
        <v>144.93</v>
      </c>
      <c r="KU66">
        <f t="shared" ca="1" si="18"/>
        <v>2577.6</v>
      </c>
      <c r="KZ66" s="254" t="str">
        <f t="shared" si="84"/>
        <v>0-2 anni</v>
      </c>
      <c r="LA66" s="112">
        <f t="shared" si="85"/>
        <v>40066</v>
      </c>
      <c r="LB66" s="112">
        <f t="shared" si="86"/>
        <v>40421</v>
      </c>
      <c r="LC66">
        <f t="shared" ca="1" si="87"/>
        <v>22718.829999999998</v>
      </c>
      <c r="LD66" s="262">
        <f t="shared" ca="1" si="88"/>
        <v>26858.54</v>
      </c>
      <c r="LE66">
        <f t="shared" si="89"/>
        <v>356</v>
      </c>
      <c r="LF66">
        <f t="shared" ca="1" si="90"/>
        <v>4037.63</v>
      </c>
    </row>
    <row r="67" spans="1:318" ht="135" x14ac:dyDescent="0.25">
      <c r="A67" s="112">
        <f t="shared" si="128"/>
        <v>40422</v>
      </c>
      <c r="B67" s="112">
        <f t="shared" si="19"/>
        <v>40544</v>
      </c>
      <c r="E67" s="240">
        <f>Foglio3!F47</f>
        <v>40430</v>
      </c>
      <c r="F67" s="240">
        <f>Foglio3!G47</f>
        <v>40739</v>
      </c>
      <c r="G67" s="244"/>
      <c r="H67" s="245">
        <f t="shared" si="20"/>
        <v>40430</v>
      </c>
      <c r="I67" s="245">
        <f t="shared" si="2"/>
        <v>40739</v>
      </c>
      <c r="J67" s="244"/>
      <c r="K67" s="244"/>
      <c r="Q67">
        <f t="shared" si="154"/>
        <v>310</v>
      </c>
      <c r="R67">
        <f t="shared" si="155"/>
        <v>310</v>
      </c>
      <c r="S67">
        <f t="shared" si="156"/>
        <v>0</v>
      </c>
      <c r="T67">
        <f t="shared" si="157"/>
        <v>10</v>
      </c>
      <c r="U67">
        <f t="shared" si="158"/>
        <v>10</v>
      </c>
      <c r="W67">
        <f t="shared" si="159"/>
        <v>0</v>
      </c>
      <c r="X67">
        <f t="shared" si="160"/>
        <v>119</v>
      </c>
      <c r="Y67">
        <f t="shared" si="161"/>
        <v>275</v>
      </c>
      <c r="AA67" s="112">
        <f t="shared" si="91"/>
        <v>40430</v>
      </c>
      <c r="AB67" s="112">
        <f t="shared" si="92"/>
        <v>40739</v>
      </c>
      <c r="AG67">
        <f t="shared" si="22"/>
        <v>1</v>
      </c>
      <c r="AH67" s="112">
        <f t="shared" si="93"/>
        <v>40430</v>
      </c>
      <c r="AI67" s="112">
        <f t="shared" si="94"/>
        <v>40739</v>
      </c>
      <c r="AJ67">
        <f t="shared" si="23"/>
        <v>1</v>
      </c>
      <c r="AK67">
        <f t="shared" si="95"/>
        <v>0</v>
      </c>
      <c r="AL67">
        <f t="shared" si="122"/>
        <v>0</v>
      </c>
      <c r="AN67">
        <f t="shared" si="123"/>
        <v>0</v>
      </c>
      <c r="AO67">
        <f t="shared" si="124"/>
        <v>0</v>
      </c>
      <c r="AP67">
        <f t="shared" si="96"/>
        <v>0</v>
      </c>
      <c r="AS67">
        <f t="shared" si="130"/>
        <v>0</v>
      </c>
      <c r="AT67">
        <f t="shared" si="131"/>
        <v>0</v>
      </c>
      <c r="AV67">
        <f t="shared" si="132"/>
        <v>0</v>
      </c>
      <c r="AW67">
        <f t="shared" si="133"/>
        <v>0</v>
      </c>
      <c r="AX67">
        <f t="shared" si="97"/>
        <v>0</v>
      </c>
      <c r="BA67">
        <f t="shared" si="150"/>
        <v>0</v>
      </c>
      <c r="BB67">
        <f t="shared" si="151"/>
        <v>0</v>
      </c>
      <c r="BD67">
        <f t="shared" si="135"/>
        <v>0</v>
      </c>
      <c r="BE67">
        <f t="shared" si="136"/>
        <v>0</v>
      </c>
      <c r="BF67">
        <f t="shared" si="127"/>
        <v>0</v>
      </c>
      <c r="BI67">
        <f t="shared" si="137"/>
        <v>0</v>
      </c>
      <c r="BJ67">
        <f t="shared" si="139"/>
        <v>0</v>
      </c>
      <c r="BK67">
        <f t="shared" si="140"/>
        <v>0</v>
      </c>
      <c r="BL67">
        <f t="shared" si="141"/>
        <v>0</v>
      </c>
      <c r="BM67">
        <f t="shared" si="134"/>
        <v>0</v>
      </c>
      <c r="BO67">
        <f t="shared" si="142"/>
        <v>0</v>
      </c>
      <c r="BP67">
        <f t="shared" si="143"/>
        <v>0</v>
      </c>
      <c r="BR67">
        <f t="shared" si="144"/>
        <v>0</v>
      </c>
      <c r="BS67">
        <f t="shared" si="145"/>
        <v>0</v>
      </c>
      <c r="BT67">
        <f t="shared" si="138"/>
        <v>0</v>
      </c>
      <c r="BV67">
        <f t="shared" si="98"/>
        <v>0</v>
      </c>
      <c r="BX67">
        <f t="shared" si="99"/>
        <v>0</v>
      </c>
      <c r="BY67">
        <f t="shared" si="100"/>
        <v>0</v>
      </c>
      <c r="BZ67">
        <f t="shared" si="101"/>
        <v>0</v>
      </c>
      <c r="CA67">
        <f t="shared" si="102"/>
        <v>0</v>
      </c>
      <c r="CB67">
        <f t="shared" si="103"/>
        <v>0</v>
      </c>
      <c r="CG67">
        <f t="shared" si="24"/>
        <v>2010</v>
      </c>
      <c r="CH67">
        <f t="shared" si="25"/>
        <v>2011</v>
      </c>
      <c r="CJ67">
        <f t="shared" si="26"/>
        <v>0</v>
      </c>
      <c r="CK67">
        <f t="shared" si="147"/>
        <v>0</v>
      </c>
      <c r="CL67">
        <f t="shared" si="27"/>
        <v>0</v>
      </c>
      <c r="CN67">
        <f t="shared" si="28"/>
        <v>0</v>
      </c>
      <c r="CS67">
        <f t="shared" si="29"/>
        <v>310</v>
      </c>
      <c r="CT67">
        <f t="shared" si="104"/>
        <v>3845</v>
      </c>
      <c r="CU67" s="243">
        <f t="shared" si="30"/>
        <v>3845</v>
      </c>
      <c r="CV67" s="112">
        <f t="shared" si="31"/>
        <v>40739</v>
      </c>
      <c r="CX67" s="112">
        <f t="shared" si="149"/>
        <v>100000</v>
      </c>
      <c r="CY67" s="112">
        <f t="shared" si="105"/>
        <v>100000</v>
      </c>
      <c r="CZ67" s="112">
        <f t="shared" si="106"/>
        <v>100000</v>
      </c>
      <c r="DA67" s="112">
        <f t="shared" si="107"/>
        <v>100000</v>
      </c>
      <c r="DB67" s="112">
        <f t="shared" si="108"/>
        <v>100000</v>
      </c>
      <c r="DC67" s="112">
        <f t="shared" si="109"/>
        <v>100000</v>
      </c>
      <c r="DU67" s="112"/>
      <c r="DV67" s="112"/>
      <c r="DW67" s="277">
        <v>43466</v>
      </c>
      <c r="DX67" s="276"/>
      <c r="DY67" s="276"/>
      <c r="DZ67" s="276"/>
      <c r="EF67" s="260">
        <f t="shared" si="148"/>
        <v>40422</v>
      </c>
      <c r="EK67" s="254"/>
      <c r="EL67">
        <f t="shared" si="152"/>
        <v>28</v>
      </c>
      <c r="EM67" s="260">
        <f t="shared" si="111"/>
        <v>42782</v>
      </c>
      <c r="EN67">
        <f t="shared" si="112"/>
        <v>30</v>
      </c>
      <c r="EO67" s="112">
        <f t="shared" si="113"/>
        <v>43191</v>
      </c>
      <c r="EP67" s="112">
        <f t="shared" si="162"/>
        <v>43191</v>
      </c>
      <c r="ET67">
        <f t="shared" si="37"/>
        <v>15</v>
      </c>
      <c r="EU67" s="260">
        <f t="shared" si="38"/>
        <v>43191</v>
      </c>
      <c r="EV67" t="str">
        <f t="shared" si="39"/>
        <v>15-20 anni</v>
      </c>
      <c r="EW67">
        <f t="shared" si="5"/>
        <v>3</v>
      </c>
      <c r="EX67" s="238">
        <f t="shared" ca="1" si="6"/>
        <v>216</v>
      </c>
      <c r="FA67">
        <f t="shared" ca="1" si="40"/>
        <v>24280.940000000002</v>
      </c>
      <c r="FB67">
        <f t="shared" ca="1" si="163"/>
        <v>0</v>
      </c>
      <c r="FC67">
        <f t="shared" ca="1" si="163"/>
        <v>0</v>
      </c>
      <c r="FD67">
        <f t="shared" ca="1" si="41"/>
        <v>0</v>
      </c>
      <c r="FE67">
        <f t="shared" ca="1" si="163"/>
        <v>0</v>
      </c>
      <c r="FG67">
        <f t="shared" ca="1" si="42"/>
        <v>0</v>
      </c>
      <c r="FL67">
        <f t="shared" ca="1" si="8"/>
        <v>2577.6</v>
      </c>
      <c r="FQ67" s="254" t="str">
        <f t="shared" si="43"/>
        <v>15-20 anni</v>
      </c>
      <c r="FR67">
        <f t="shared" si="114"/>
        <v>67</v>
      </c>
      <c r="FS67" t="str">
        <f t="shared" ca="1" si="44"/>
        <v>ev67</v>
      </c>
      <c r="FT67" t="str">
        <f t="shared" ca="1" si="45"/>
        <v>EU67</v>
      </c>
      <c r="FU67" t="str">
        <f t="shared" ca="1" si="45"/>
        <v>FA67</v>
      </c>
      <c r="FV67" t="str">
        <f t="shared" ca="1" si="45"/>
        <v>FB67</v>
      </c>
      <c r="FW67" t="str">
        <f t="shared" ca="1" si="45"/>
        <v>FC67</v>
      </c>
      <c r="FX67" t="str">
        <f t="shared" ca="1" si="45"/>
        <v>FD67</v>
      </c>
      <c r="FY67" t="str">
        <f t="shared" ca="1" si="45"/>
        <v>FE67</v>
      </c>
      <c r="FZ67" t="str">
        <f t="shared" ca="1" si="45"/>
        <v>FG67</v>
      </c>
      <c r="GA67" t="str">
        <f t="shared" ca="1" si="45"/>
        <v>FL67</v>
      </c>
      <c r="GB67" t="str">
        <f t="shared" ca="1" si="45"/>
        <v/>
      </c>
      <c r="GC67" t="str">
        <f t="shared" ca="1" si="45"/>
        <v/>
      </c>
      <c r="GD67">
        <f t="shared" ca="1" si="168"/>
        <v>28</v>
      </c>
      <c r="GE67" s="112">
        <f t="shared" ca="1" si="169"/>
        <v>43191</v>
      </c>
      <c r="GF67" s="112" t="str">
        <f t="shared" ca="1" si="170"/>
        <v>15-20 anni</v>
      </c>
      <c r="GG67" s="262">
        <f t="shared" ca="1" si="171"/>
        <v>24280.940000000002</v>
      </c>
      <c r="GH67" s="262">
        <f t="shared" ca="1" si="172"/>
        <v>0</v>
      </c>
      <c r="GI67" s="262">
        <f t="shared" ca="1" si="173"/>
        <v>0</v>
      </c>
      <c r="GJ67" s="262">
        <f t="shared" ca="1" si="174"/>
        <v>0</v>
      </c>
      <c r="GK67" s="262">
        <f t="shared" ca="1" si="175"/>
        <v>0</v>
      </c>
      <c r="GL67" s="262">
        <f t="shared" ca="1" si="176"/>
        <v>0</v>
      </c>
      <c r="GM67" s="262">
        <f t="shared" ca="1" si="177"/>
        <v>2577.6</v>
      </c>
      <c r="GN67" s="262">
        <f t="shared" ca="1" si="55"/>
        <v>0</v>
      </c>
      <c r="GO67" s="262">
        <f t="shared" ca="1" si="11"/>
        <v>0</v>
      </c>
      <c r="GQ67" s="263" t="str">
        <f t="shared" ca="1" si="56"/>
        <v>C.C.N.L. COMPARTO  SCUOLA 2016/18</v>
      </c>
      <c r="GR67" s="262">
        <f t="shared" ca="1" si="57"/>
        <v>26858.54</v>
      </c>
      <c r="GS67" s="253" t="str">
        <f t="shared" ca="1" si="58"/>
        <v xml:space="preserve">ARTICOLO 28
</v>
      </c>
      <c r="GT67" t="str">
        <f t="shared" ca="1" si="59"/>
        <v xml:space="preserve">con decorrenza dalla data: 1/4/2018  </v>
      </c>
      <c r="GU67" t="str">
        <f t="shared" ca="1" si="60"/>
        <v xml:space="preserve"> Fascia: 15-20 anni - C.C.N.L. COMPARTO  SCUOLA 2016/18
</v>
      </c>
      <c r="GV67" t="str">
        <f t="shared" ca="1" si="61"/>
        <v xml:space="preserve">
                              Stipendio annuo lordo                            euro: 24280,94
</v>
      </c>
      <c r="GW67" t="str">
        <f t="shared" ca="1" si="62"/>
        <v/>
      </c>
      <c r="GX67" t="str">
        <f t="shared" ca="1" si="63"/>
        <v/>
      </c>
      <c r="GY67" t="str">
        <f t="shared" ca="1" si="64"/>
        <v/>
      </c>
      <c r="GZ67" t="str">
        <f t="shared" ca="1" si="65"/>
        <v/>
      </c>
      <c r="HA67" t="str">
        <f t="shared" ca="1" si="66"/>
        <v/>
      </c>
      <c r="HB67" t="str">
        <f t="shared" ca="1" si="67"/>
        <v xml:space="preserve">                                rpd/cia - annuo lordo                             euro: 2577,6
</v>
      </c>
      <c r="HC67" t="str">
        <f t="shared" ca="1" si="68"/>
        <v/>
      </c>
      <c r="HD67" s="254" t="str">
        <f t="shared" ca="1" si="69"/>
        <v/>
      </c>
      <c r="HL67" s="263" t="str">
        <f t="shared" ca="1" si="71"/>
        <v xml:space="preserve">ARTICOLO 28
con decorrenza dalla data: 1/4/2018   Fascia: 15-20 anni - C.C.N.L. COMPARTO  SCUOLA 2016/18
                              Stipendio annuo lordo                            euro: 24280,94
                                rpd/cia - annuo lordo                             euro: 2577,6
</v>
      </c>
      <c r="HN67" s="272" t="str">
        <f t="shared" ca="1" si="13"/>
        <v xml:space="preserve">ARTICOLO 28
con decorrenza dalla data: 1/4/2018   Fascia: 15-20 anni - C.C.N.L. COMPARTO  SCUOLA 2016/18
                              Stipendio annuo lordo                            euro: 24280,94
                                rpd/cia - annuo lordo                             euro: 2577,6
</v>
      </c>
      <c r="HO67">
        <f t="shared" ca="1" si="72"/>
        <v>28</v>
      </c>
      <c r="HP67" t="str">
        <f t="shared" ca="1" si="73"/>
        <v/>
      </c>
      <c r="HQ67" t="str">
        <f t="shared" ca="1" si="165"/>
        <v/>
      </c>
      <c r="HR67" t="str">
        <f t="shared" ca="1" si="166"/>
        <v/>
      </c>
      <c r="HW67" s="253" t="s">
        <v>187</v>
      </c>
      <c r="HX67" s="112" t="str">
        <f t="shared" si="76"/>
        <v>9/9/2010</v>
      </c>
      <c r="HY67" t="s">
        <v>188</v>
      </c>
      <c r="HZ67" s="112" t="str">
        <f t="shared" si="77"/>
        <v>15/7/2011</v>
      </c>
      <c r="IA67" t="s">
        <v>189</v>
      </c>
      <c r="IB67">
        <f t="shared" si="78"/>
        <v>0</v>
      </c>
      <c r="IC67" t="s">
        <v>192</v>
      </c>
      <c r="ID67">
        <f t="shared" si="79"/>
        <v>10</v>
      </c>
      <c r="IE67" t="s">
        <v>191</v>
      </c>
      <c r="IF67" s="254">
        <f t="shared" si="80"/>
        <v>10</v>
      </c>
      <c r="IK67" t="str">
        <f t="shared" si="167"/>
        <v xml:space="preserve">DAL: 9/9/2010 - AL:15/7/2011 - ANNI:0 - MESI:10 -GIORNI:10
</v>
      </c>
      <c r="JP67">
        <f ca="1">IF(Foglio3!DM40=100000,0,IF(Foglio3!DM40="",0,1))</f>
        <v>1</v>
      </c>
      <c r="JQ67" s="314">
        <f ca="1" xml:space="preserve">   IF(JP67=1,     Foglio3!DM40,IF(JP67=0,IF(JP66=1,"","")))</f>
        <v>37411</v>
      </c>
      <c r="JR67" s="314">
        <f ca="1">IF(          Foglio3!DN40=100000,"",Foglio3!DN40)</f>
        <v>37437</v>
      </c>
      <c r="JS67" s="272">
        <f ca="1">IF(Foglio3!DN40=100000,"",Foglio3!DO40)</f>
        <v>8</v>
      </c>
      <c r="JT67" s="272">
        <f ca="1">IF(Foglio3!DN40=100000,"",Foglio3!DP40)</f>
        <v>24</v>
      </c>
      <c r="JU67" s="272">
        <f ca="1">IF(Foglio3!DN40=100000,"",Foglio3!DQ40)</f>
        <v>27</v>
      </c>
      <c r="JV67" s="272">
        <f ca="1">IF(JU67="","",Foglio3!DR40)</f>
        <v>0</v>
      </c>
      <c r="JW67" s="272">
        <f ca="1">IF(Foglio3!DN40=100000,"",Foglio3!DS40)</f>
        <v>0</v>
      </c>
      <c r="JX67" s="272">
        <f ca="1">IF(Foglio3!DN40=100000,"",Foglio3!DT40)</f>
        <v>0</v>
      </c>
      <c r="JY67" s="272">
        <f ca="1">IF(Foglio3!DN40=100000,"",Foglio3!DU40)</f>
        <v>0</v>
      </c>
      <c r="JZ67" s="272" t="str">
        <f ca="1">IF(Foglio3!DN40=100000,"",Foglio3!DV40)</f>
        <v>3/8 anni</v>
      </c>
      <c r="KC67">
        <v>0</v>
      </c>
      <c r="KD67" s="260">
        <f t="shared" ca="1" si="81"/>
        <v>43191</v>
      </c>
      <c r="KE67" t="str">
        <f t="shared" si="82"/>
        <v>0-2 anni</v>
      </c>
      <c r="KF67">
        <f t="shared" si="15"/>
        <v>6</v>
      </c>
      <c r="KG67" s="238">
        <f t="shared" ca="1" si="16"/>
        <v>213</v>
      </c>
      <c r="KJ67">
        <f t="shared" ca="1" si="83"/>
        <v>13757.12</v>
      </c>
      <c r="KK67">
        <f t="shared" ca="1" si="164"/>
        <v>0</v>
      </c>
      <c r="KL67">
        <f t="shared" ca="1" si="164"/>
        <v>0</v>
      </c>
      <c r="KM67">
        <f t="shared" ca="1" si="164"/>
        <v>6384.11</v>
      </c>
      <c r="KN67">
        <f t="shared" ca="1" si="164"/>
        <v>0</v>
      </c>
      <c r="KU67">
        <f t="shared" ca="1" si="18"/>
        <v>2577.6</v>
      </c>
      <c r="KZ67" s="254" t="str">
        <f t="shared" si="84"/>
        <v>0-2 anni</v>
      </c>
      <c r="LA67" s="112">
        <f t="shared" si="85"/>
        <v>40430</v>
      </c>
      <c r="LB67" s="112">
        <f t="shared" si="86"/>
        <v>40739</v>
      </c>
      <c r="LC67">
        <f t="shared" ca="1" si="87"/>
        <v>22718.829999999998</v>
      </c>
      <c r="LD67" s="262">
        <f t="shared" ca="1" si="88"/>
        <v>26858.54</v>
      </c>
      <c r="LE67">
        <f t="shared" si="89"/>
        <v>310</v>
      </c>
      <c r="LF67">
        <f t="shared" ca="1" si="90"/>
        <v>3515.92</v>
      </c>
    </row>
    <row r="68" spans="1:318" ht="150" x14ac:dyDescent="0.25">
      <c r="A68" s="112">
        <f t="shared" si="128"/>
        <v>40422</v>
      </c>
      <c r="B68" s="112">
        <f t="shared" si="19"/>
        <v>40544</v>
      </c>
      <c r="E68" s="240">
        <f>Foglio3!F48</f>
        <v>40431</v>
      </c>
      <c r="F68" s="240">
        <f>Foglio3!G48</f>
        <v>40739</v>
      </c>
      <c r="G68" s="244"/>
      <c r="H68" s="245">
        <f t="shared" si="20"/>
        <v>40431</v>
      </c>
      <c r="I68" s="245">
        <f t="shared" si="2"/>
        <v>40739</v>
      </c>
      <c r="J68" s="244"/>
      <c r="K68" s="244"/>
      <c r="Q68">
        <f t="shared" si="154"/>
        <v>309</v>
      </c>
      <c r="R68">
        <f t="shared" si="155"/>
        <v>0</v>
      </c>
      <c r="S68">
        <f t="shared" si="156"/>
        <v>0</v>
      </c>
      <c r="T68">
        <f t="shared" si="157"/>
        <v>0</v>
      </c>
      <c r="U68">
        <f t="shared" si="158"/>
        <v>0</v>
      </c>
      <c r="W68">
        <f t="shared" si="159"/>
        <v>0</v>
      </c>
      <c r="X68">
        <f t="shared" si="160"/>
        <v>119</v>
      </c>
      <c r="Y68">
        <f t="shared" si="161"/>
        <v>275</v>
      </c>
      <c r="AA68" s="112">
        <f t="shared" si="91"/>
        <v>40431</v>
      </c>
      <c r="AB68" s="112">
        <f t="shared" si="92"/>
        <v>40739</v>
      </c>
      <c r="AG68">
        <f t="shared" si="22"/>
        <v>1</v>
      </c>
      <c r="AH68" s="112">
        <f t="shared" si="93"/>
        <v>40431</v>
      </c>
      <c r="AI68" s="112">
        <f t="shared" si="94"/>
        <v>40739</v>
      </c>
      <c r="AJ68">
        <f t="shared" si="23"/>
        <v>1</v>
      </c>
      <c r="AK68">
        <f t="shared" si="95"/>
        <v>1</v>
      </c>
      <c r="AL68">
        <f t="shared" si="122"/>
        <v>0</v>
      </c>
      <c r="AN68">
        <f t="shared" si="123"/>
        <v>309</v>
      </c>
      <c r="AO68">
        <f t="shared" si="124"/>
        <v>0</v>
      </c>
      <c r="AP68">
        <f t="shared" si="96"/>
        <v>309</v>
      </c>
      <c r="AS68">
        <f t="shared" si="130"/>
        <v>0</v>
      </c>
      <c r="AT68">
        <f t="shared" si="131"/>
        <v>0</v>
      </c>
      <c r="AV68">
        <f t="shared" si="132"/>
        <v>0</v>
      </c>
      <c r="AW68">
        <f t="shared" si="133"/>
        <v>0</v>
      </c>
      <c r="AX68">
        <f t="shared" si="97"/>
        <v>0</v>
      </c>
      <c r="BA68">
        <f t="shared" si="150"/>
        <v>0</v>
      </c>
      <c r="BB68">
        <f t="shared" si="151"/>
        <v>0</v>
      </c>
      <c r="BD68">
        <f t="shared" si="135"/>
        <v>0</v>
      </c>
      <c r="BE68">
        <f t="shared" si="136"/>
        <v>0</v>
      </c>
      <c r="BF68">
        <f t="shared" si="127"/>
        <v>0</v>
      </c>
      <c r="BI68">
        <f t="shared" si="137"/>
        <v>0</v>
      </c>
      <c r="BJ68">
        <f t="shared" si="139"/>
        <v>0</v>
      </c>
      <c r="BK68">
        <f t="shared" si="140"/>
        <v>0</v>
      </c>
      <c r="BL68">
        <f t="shared" si="141"/>
        <v>0</v>
      </c>
      <c r="BM68">
        <f t="shared" si="134"/>
        <v>0</v>
      </c>
      <c r="BO68">
        <f t="shared" si="142"/>
        <v>0</v>
      </c>
      <c r="BP68">
        <f t="shared" si="143"/>
        <v>0</v>
      </c>
      <c r="BR68">
        <f t="shared" si="144"/>
        <v>0</v>
      </c>
      <c r="BS68">
        <f t="shared" si="145"/>
        <v>0</v>
      </c>
      <c r="BT68">
        <f t="shared" si="138"/>
        <v>0</v>
      </c>
      <c r="BV68">
        <f t="shared" si="98"/>
        <v>309</v>
      </c>
      <c r="BX68">
        <f t="shared" si="99"/>
        <v>309</v>
      </c>
      <c r="BY68">
        <f t="shared" si="100"/>
        <v>0</v>
      </c>
      <c r="BZ68">
        <f t="shared" si="101"/>
        <v>0</v>
      </c>
      <c r="CA68">
        <f t="shared" si="102"/>
        <v>0</v>
      </c>
      <c r="CB68">
        <f t="shared" si="103"/>
        <v>0</v>
      </c>
      <c r="CG68">
        <f t="shared" si="24"/>
        <v>2010</v>
      </c>
      <c r="CH68">
        <f t="shared" si="25"/>
        <v>2011</v>
      </c>
      <c r="CJ68">
        <f t="shared" si="26"/>
        <v>0</v>
      </c>
      <c r="CK68">
        <f t="shared" si="147"/>
        <v>0</v>
      </c>
      <c r="CL68">
        <f t="shared" si="27"/>
        <v>0</v>
      </c>
      <c r="CN68">
        <f t="shared" si="28"/>
        <v>0</v>
      </c>
      <c r="CS68">
        <f t="shared" si="29"/>
        <v>0</v>
      </c>
      <c r="CT68">
        <f t="shared" si="104"/>
        <v>3845</v>
      </c>
      <c r="CU68" s="243">
        <f t="shared" si="30"/>
        <v>3845</v>
      </c>
      <c r="CV68" s="112">
        <f t="shared" si="31"/>
        <v>40739</v>
      </c>
      <c r="CX68" s="112">
        <f t="shared" si="149"/>
        <v>100000</v>
      </c>
      <c r="CY68" s="112">
        <f t="shared" si="105"/>
        <v>100000</v>
      </c>
      <c r="CZ68" s="112">
        <f t="shared" si="106"/>
        <v>100000</v>
      </c>
      <c r="DA68" s="112">
        <f t="shared" si="107"/>
        <v>100000</v>
      </c>
      <c r="DB68" s="112">
        <f t="shared" si="108"/>
        <v>100000</v>
      </c>
      <c r="DC68" s="112">
        <f t="shared" si="109"/>
        <v>100000</v>
      </c>
      <c r="DU68" s="112"/>
      <c r="DV68" s="112"/>
      <c r="DW68" s="277">
        <v>43831</v>
      </c>
      <c r="DX68" s="276"/>
      <c r="DY68" s="276"/>
      <c r="DZ68" s="276"/>
      <c r="EF68" s="260">
        <f t="shared" si="148"/>
        <v>40544</v>
      </c>
      <c r="EK68" s="254"/>
      <c r="EL68">
        <f t="shared" si="152"/>
        <v>29</v>
      </c>
      <c r="EM68" s="260">
        <f t="shared" si="111"/>
        <v>43160</v>
      </c>
      <c r="EN68">
        <f t="shared" si="112"/>
        <v>31</v>
      </c>
      <c r="EO68" s="112">
        <f t="shared" si="113"/>
        <v>43466</v>
      </c>
      <c r="EP68" s="112">
        <f t="shared" si="162"/>
        <v>43466</v>
      </c>
      <c r="ET68">
        <f t="shared" si="37"/>
        <v>15</v>
      </c>
      <c r="EU68" s="260">
        <f t="shared" si="38"/>
        <v>43466</v>
      </c>
      <c r="EV68" t="str">
        <f t="shared" si="39"/>
        <v>15-20 anni</v>
      </c>
      <c r="EW68">
        <f t="shared" si="5"/>
        <v>3</v>
      </c>
      <c r="EX68" s="238">
        <f t="shared" ca="1" si="6"/>
        <v>223</v>
      </c>
      <c r="FA68">
        <f t="shared" ca="1" si="40"/>
        <v>24506.49</v>
      </c>
      <c r="FB68">
        <f t="shared" ca="1" si="163"/>
        <v>0</v>
      </c>
      <c r="FC68">
        <f t="shared" ca="1" si="163"/>
        <v>0</v>
      </c>
      <c r="FD68">
        <f t="shared" ca="1" si="41"/>
        <v>0</v>
      </c>
      <c r="FE68">
        <f t="shared" ca="1" si="163"/>
        <v>0</v>
      </c>
      <c r="FG68">
        <f t="shared" ca="1" si="42"/>
        <v>0</v>
      </c>
      <c r="FL68">
        <f t="shared" ca="1" si="8"/>
        <v>2577.6</v>
      </c>
      <c r="FQ68" s="254" t="str">
        <f t="shared" si="43"/>
        <v>15-20 anni</v>
      </c>
      <c r="FR68">
        <f t="shared" si="114"/>
        <v>68</v>
      </c>
      <c r="FS68" t="str">
        <f t="shared" ca="1" si="44"/>
        <v>ev68</v>
      </c>
      <c r="FT68" t="str">
        <f t="shared" ca="1" si="45"/>
        <v>EU68</v>
      </c>
      <c r="FU68" t="str">
        <f t="shared" ca="1" si="45"/>
        <v>FA68</v>
      </c>
      <c r="FV68" t="str">
        <f t="shared" ca="1" si="45"/>
        <v>FB68</v>
      </c>
      <c r="FW68" t="str">
        <f t="shared" ca="1" si="45"/>
        <v>FC68</v>
      </c>
      <c r="FX68" t="str">
        <f t="shared" ca="1" si="45"/>
        <v>FD68</v>
      </c>
      <c r="FY68" t="str">
        <f t="shared" ca="1" si="45"/>
        <v>FE68</v>
      </c>
      <c r="FZ68" t="str">
        <f t="shared" ca="1" si="45"/>
        <v>FG68</v>
      </c>
      <c r="GA68" t="str">
        <f t="shared" ca="1" si="45"/>
        <v>FL68</v>
      </c>
      <c r="GB68" t="str">
        <f t="shared" ca="1" si="45"/>
        <v/>
      </c>
      <c r="GC68" t="str">
        <f t="shared" ca="1" si="45"/>
        <v/>
      </c>
      <c r="GD68">
        <f t="shared" ca="1" si="168"/>
        <v>29</v>
      </c>
      <c r="GE68" s="112">
        <f t="shared" ca="1" si="169"/>
        <v>43466</v>
      </c>
      <c r="GF68" s="112" t="str">
        <f t="shared" ca="1" si="170"/>
        <v>15-20 anni</v>
      </c>
      <c r="GG68" s="262">
        <f t="shared" ca="1" si="171"/>
        <v>24506.49</v>
      </c>
      <c r="GH68" s="262">
        <f t="shared" ca="1" si="172"/>
        <v>0</v>
      </c>
      <c r="GI68" s="262">
        <f t="shared" ca="1" si="173"/>
        <v>0</v>
      </c>
      <c r="GJ68" s="262">
        <f t="shared" ca="1" si="174"/>
        <v>0</v>
      </c>
      <c r="GK68" s="262">
        <f t="shared" ca="1" si="175"/>
        <v>0</v>
      </c>
      <c r="GL68" s="262">
        <f t="shared" ca="1" si="176"/>
        <v>0</v>
      </c>
      <c r="GM68" s="262">
        <f t="shared" ca="1" si="177"/>
        <v>2577.6</v>
      </c>
      <c r="GN68" s="262">
        <f t="shared" ca="1" si="55"/>
        <v>0</v>
      </c>
      <c r="GO68" s="262">
        <f t="shared" ca="1" si="11"/>
        <v>0</v>
      </c>
      <c r="GQ68" s="263" t="str">
        <f t="shared" ca="1" si="56"/>
        <v>C.C.N.L. COMPARTO  SCUOLA del Dicembre 2022</v>
      </c>
      <c r="GR68" s="262">
        <f t="shared" ca="1" si="57"/>
        <v>27084.09</v>
      </c>
      <c r="GS68" s="253" t="str">
        <f t="shared" ca="1" si="58"/>
        <v xml:space="preserve">ARTICOLO 29
</v>
      </c>
      <c r="GT68" t="str">
        <f t="shared" ca="1" si="59"/>
        <v xml:space="preserve">con decorrenza dalla data: 1/1/2019  </v>
      </c>
      <c r="GU68" t="str">
        <f t="shared" ca="1" si="60"/>
        <v xml:space="preserve"> Fascia: 15-20 anni - C.C.N.L. COMPARTO  SCUOLA del Dicembre 2022
</v>
      </c>
      <c r="GV68" t="str">
        <f t="shared" ca="1" si="61"/>
        <v xml:space="preserve">
                              Stipendio annuo lordo                            euro: 24506,49
</v>
      </c>
      <c r="GW68" t="str">
        <f t="shared" ca="1" si="62"/>
        <v/>
      </c>
      <c r="GX68" t="str">
        <f t="shared" ca="1" si="63"/>
        <v/>
      </c>
      <c r="GY68" t="str">
        <f t="shared" ca="1" si="64"/>
        <v/>
      </c>
      <c r="GZ68" t="str">
        <f t="shared" ca="1" si="65"/>
        <v/>
      </c>
      <c r="HA68" t="str">
        <f t="shared" ca="1" si="66"/>
        <v/>
      </c>
      <c r="HB68" t="str">
        <f t="shared" ca="1" si="67"/>
        <v xml:space="preserve">                                rpd/cia - annuo lordo                             euro: 2577,6
</v>
      </c>
      <c r="HC68" t="str">
        <f t="shared" ca="1" si="68"/>
        <v/>
      </c>
      <c r="HD68" s="254" t="str">
        <f t="shared" ca="1" si="69"/>
        <v/>
      </c>
      <c r="HL68" s="263" t="str">
        <f t="shared" ca="1" si="71"/>
        <v xml:space="preserve">ARTICOLO 29
con decorrenza dalla data: 1/1/2019   Fascia: 15-20 anni - C.C.N.L. COMPARTO  SCUOLA del Dicembre 2022
                              Stipendio annuo lordo                            euro: 24506,49
                                rpd/cia - annuo lordo                             euro: 2577,6
</v>
      </c>
      <c r="HN68" s="272" t="str">
        <f t="shared" ca="1" si="13"/>
        <v xml:space="preserve">ARTICOLO 29
con decorrenza dalla data: 1/1/2019   Fascia: 15-20 anni - C.C.N.L. COMPARTO  SCUOLA del Dicembre 2022
                              Stipendio annuo lordo                            euro: 24506,49
                                rpd/cia - annuo lordo                             euro: 2577,6
</v>
      </c>
      <c r="HO68">
        <f t="shared" ca="1" si="72"/>
        <v>29</v>
      </c>
      <c r="HP68" t="str">
        <f t="shared" ca="1" si="73"/>
        <v/>
      </c>
      <c r="HQ68" t="str">
        <f t="shared" ca="1" si="165"/>
        <v/>
      </c>
      <c r="HR68" t="str">
        <f t="shared" ca="1" si="166"/>
        <v/>
      </c>
      <c r="HW68" s="253" t="s">
        <v>187</v>
      </c>
      <c r="HX68" s="112" t="str">
        <f t="shared" si="76"/>
        <v>10/9/2010</v>
      </c>
      <c r="HY68" t="s">
        <v>188</v>
      </c>
      <c r="HZ68" s="112" t="str">
        <f t="shared" si="77"/>
        <v>15/7/2011</v>
      </c>
      <c r="IA68" t="s">
        <v>189</v>
      </c>
      <c r="IB68">
        <f t="shared" si="78"/>
        <v>0</v>
      </c>
      <c r="IC68" t="s">
        <v>192</v>
      </c>
      <c r="ID68">
        <f t="shared" si="79"/>
        <v>0</v>
      </c>
      <c r="IE68" t="s">
        <v>191</v>
      </c>
      <c r="IF68" s="254">
        <f t="shared" si="80"/>
        <v>0</v>
      </c>
      <c r="IK68" t="str">
        <f t="shared" si="167"/>
        <v xml:space="preserve">DAL: 10/9/2010 - AL:15/7/2011 - ANNI:0 - MESI:0 -GIORNI:0
</v>
      </c>
      <c r="JP68">
        <f ca="1">IF(Foglio3!DM41=100000,0,IF(Foglio3!DM41="",0,1))</f>
        <v>1</v>
      </c>
      <c r="JQ68" s="314">
        <f ca="1" xml:space="preserve">   IF(JP68=1,     Foglio3!DM41,IF(JP68=0,IF(JP67=1,"","")))</f>
        <v>37411</v>
      </c>
      <c r="JR68" s="314">
        <f ca="1">IF(          Foglio3!DN41=100000,"",Foglio3!DN41)</f>
        <v>37437</v>
      </c>
      <c r="JS68" s="272">
        <f ca="1">IF(Foglio3!DN41=100000,"",Foglio3!DO41)</f>
        <v>8</v>
      </c>
      <c r="JT68" s="272">
        <f ca="1">IF(Foglio3!DN41=100000,"",Foglio3!DP41)</f>
        <v>24</v>
      </c>
      <c r="JU68" s="272">
        <f ca="1">IF(Foglio3!DN41=100000,"",Foglio3!DQ41)</f>
        <v>27</v>
      </c>
      <c r="JV68" s="272">
        <f ca="1">IF(JU68="","",Foglio3!DR41)</f>
        <v>0</v>
      </c>
      <c r="JW68" s="272">
        <f ca="1">IF(Foglio3!DN41=100000,"",Foglio3!DS41)</f>
        <v>0</v>
      </c>
      <c r="JX68" s="272">
        <f ca="1">IF(Foglio3!DN41=100000,"",Foglio3!DT41)</f>
        <v>0</v>
      </c>
      <c r="JY68" s="272">
        <f ca="1">IF(Foglio3!DN41=100000,"",Foglio3!DU41)</f>
        <v>0</v>
      </c>
      <c r="JZ68" s="272" t="str">
        <f ca="1">IF(Foglio3!DN41=100000,"",Foglio3!DV41)</f>
        <v>3/8 anni</v>
      </c>
      <c r="KC68">
        <v>0</v>
      </c>
      <c r="KD68" s="260">
        <f t="shared" ca="1" si="81"/>
        <v>43466</v>
      </c>
      <c r="KE68" t="str">
        <f t="shared" si="82"/>
        <v>0-2 anni</v>
      </c>
      <c r="KF68">
        <f t="shared" si="15"/>
        <v>6</v>
      </c>
      <c r="KG68" s="238">
        <f t="shared" ca="1" si="16"/>
        <v>220</v>
      </c>
      <c r="KJ68">
        <f t="shared" ca="1" si="83"/>
        <v>13944.29</v>
      </c>
      <c r="KK68">
        <f t="shared" ca="1" si="164"/>
        <v>0</v>
      </c>
      <c r="KL68">
        <f t="shared" ca="1" si="164"/>
        <v>0</v>
      </c>
      <c r="KM68">
        <f t="shared" ca="1" si="164"/>
        <v>6384.11</v>
      </c>
      <c r="KN68">
        <f t="shared" ca="1" si="164"/>
        <v>0</v>
      </c>
      <c r="KU68">
        <f t="shared" ca="1" si="18"/>
        <v>2577.6</v>
      </c>
      <c r="KZ68" s="254" t="str">
        <f t="shared" si="84"/>
        <v>0-2 anni</v>
      </c>
      <c r="LA68" s="112">
        <f t="shared" si="85"/>
        <v>40431</v>
      </c>
      <c r="LB68" s="112">
        <f t="shared" si="86"/>
        <v>40739</v>
      </c>
      <c r="LC68">
        <f t="shared" ca="1" si="87"/>
        <v>22906</v>
      </c>
      <c r="LD68" s="262">
        <f t="shared" ca="1" si="88"/>
        <v>27084.09</v>
      </c>
      <c r="LE68">
        <f t="shared" si="89"/>
        <v>0</v>
      </c>
      <c r="LF68">
        <f t="shared" ca="1" si="90"/>
        <v>0</v>
      </c>
    </row>
    <row r="69" spans="1:318" ht="150" x14ac:dyDescent="0.25">
      <c r="A69" s="112">
        <f t="shared" si="128"/>
        <v>40422</v>
      </c>
      <c r="B69" s="112">
        <f t="shared" si="19"/>
        <v>40544</v>
      </c>
      <c r="E69" s="240">
        <f>Foglio3!F49</f>
        <v>40802</v>
      </c>
      <c r="F69" s="240">
        <f>Foglio3!G49</f>
        <v>41090</v>
      </c>
      <c r="G69" s="244"/>
      <c r="H69" s="245">
        <f t="shared" si="20"/>
        <v>40802</v>
      </c>
      <c r="I69" s="245">
        <f t="shared" si="2"/>
        <v>41090</v>
      </c>
      <c r="J69" s="244"/>
      <c r="K69" s="244"/>
      <c r="Q69">
        <f t="shared" si="154"/>
        <v>289</v>
      </c>
      <c r="R69">
        <f t="shared" si="155"/>
        <v>289</v>
      </c>
      <c r="S69">
        <f t="shared" si="156"/>
        <v>0</v>
      </c>
      <c r="T69">
        <f t="shared" si="157"/>
        <v>9</v>
      </c>
      <c r="U69">
        <f t="shared" si="158"/>
        <v>19</v>
      </c>
      <c r="W69">
        <f t="shared" si="159"/>
        <v>0</v>
      </c>
      <c r="X69">
        <f t="shared" si="160"/>
        <v>128</v>
      </c>
      <c r="Y69">
        <f t="shared" si="161"/>
        <v>294</v>
      </c>
      <c r="AA69" s="112">
        <f t="shared" si="91"/>
        <v>40802</v>
      </c>
      <c r="AB69" s="112">
        <f t="shared" si="92"/>
        <v>41090</v>
      </c>
      <c r="AG69">
        <f t="shared" si="22"/>
        <v>1</v>
      </c>
      <c r="AH69" s="112">
        <f t="shared" si="93"/>
        <v>40802</v>
      </c>
      <c r="AI69" s="112">
        <f t="shared" si="94"/>
        <v>41090</v>
      </c>
      <c r="AJ69">
        <f t="shared" si="23"/>
        <v>1</v>
      </c>
      <c r="AK69">
        <f t="shared" si="95"/>
        <v>0</v>
      </c>
      <c r="AL69">
        <f t="shared" si="122"/>
        <v>0</v>
      </c>
      <c r="AN69">
        <f t="shared" si="123"/>
        <v>0</v>
      </c>
      <c r="AO69">
        <f t="shared" si="124"/>
        <v>0</v>
      </c>
      <c r="AP69">
        <f t="shared" si="96"/>
        <v>0</v>
      </c>
      <c r="AS69">
        <f t="shared" si="130"/>
        <v>0</v>
      </c>
      <c r="AT69">
        <f t="shared" si="131"/>
        <v>0</v>
      </c>
      <c r="AV69">
        <f t="shared" si="132"/>
        <v>0</v>
      </c>
      <c r="AW69">
        <f t="shared" si="133"/>
        <v>0</v>
      </c>
      <c r="AX69">
        <f t="shared" si="97"/>
        <v>0</v>
      </c>
      <c r="BA69">
        <f t="shared" si="150"/>
        <v>0</v>
      </c>
      <c r="BB69">
        <f t="shared" si="151"/>
        <v>0</v>
      </c>
      <c r="BD69">
        <f t="shared" si="135"/>
        <v>0</v>
      </c>
      <c r="BE69">
        <f t="shared" si="136"/>
        <v>0</v>
      </c>
      <c r="BF69">
        <f t="shared" si="127"/>
        <v>0</v>
      </c>
      <c r="BI69">
        <f t="shared" si="137"/>
        <v>0</v>
      </c>
      <c r="BJ69">
        <f t="shared" si="139"/>
        <v>0</v>
      </c>
      <c r="BK69">
        <f t="shared" si="140"/>
        <v>0</v>
      </c>
      <c r="BL69">
        <f t="shared" si="141"/>
        <v>0</v>
      </c>
      <c r="BM69">
        <f t="shared" si="134"/>
        <v>0</v>
      </c>
      <c r="BO69">
        <f t="shared" si="142"/>
        <v>0</v>
      </c>
      <c r="BP69">
        <f t="shared" si="143"/>
        <v>0</v>
      </c>
      <c r="BR69">
        <f t="shared" si="144"/>
        <v>0</v>
      </c>
      <c r="BS69">
        <f t="shared" si="145"/>
        <v>0</v>
      </c>
      <c r="BT69">
        <f t="shared" si="138"/>
        <v>0</v>
      </c>
      <c r="BV69">
        <f t="shared" si="98"/>
        <v>0</v>
      </c>
      <c r="BX69">
        <f t="shared" si="99"/>
        <v>0</v>
      </c>
      <c r="BY69">
        <f t="shared" si="100"/>
        <v>0</v>
      </c>
      <c r="BZ69">
        <f t="shared" si="101"/>
        <v>0</v>
      </c>
      <c r="CA69">
        <f t="shared" si="102"/>
        <v>0</v>
      </c>
      <c r="CB69">
        <f t="shared" si="103"/>
        <v>0</v>
      </c>
      <c r="CG69">
        <f t="shared" si="24"/>
        <v>2011</v>
      </c>
      <c r="CH69">
        <f t="shared" si="25"/>
        <v>2012</v>
      </c>
      <c r="CJ69">
        <f t="shared" si="26"/>
        <v>0</v>
      </c>
      <c r="CK69">
        <f t="shared" si="147"/>
        <v>0</v>
      </c>
      <c r="CL69">
        <f t="shared" si="27"/>
        <v>0</v>
      </c>
      <c r="CN69">
        <f t="shared" si="28"/>
        <v>0</v>
      </c>
      <c r="CS69">
        <f t="shared" si="29"/>
        <v>289</v>
      </c>
      <c r="CT69">
        <f t="shared" si="104"/>
        <v>4134</v>
      </c>
      <c r="CU69" s="243">
        <f t="shared" si="30"/>
        <v>4134</v>
      </c>
      <c r="CV69" s="112">
        <f t="shared" si="31"/>
        <v>41090</v>
      </c>
      <c r="CX69" s="112">
        <f t="shared" si="149"/>
        <v>100000</v>
      </c>
      <c r="CY69" s="112">
        <f t="shared" si="105"/>
        <v>100000</v>
      </c>
      <c r="CZ69" s="112">
        <f t="shared" si="106"/>
        <v>100000</v>
      </c>
      <c r="DA69" s="112">
        <f t="shared" si="107"/>
        <v>100000</v>
      </c>
      <c r="DB69" s="112">
        <f t="shared" si="108"/>
        <v>100000</v>
      </c>
      <c r="DC69" s="112">
        <f t="shared" si="109"/>
        <v>100000</v>
      </c>
      <c r="DU69" s="112"/>
      <c r="DV69" s="112"/>
      <c r="DW69" s="277">
        <v>44197</v>
      </c>
      <c r="DX69" s="276"/>
      <c r="DY69" s="276"/>
      <c r="DZ69" s="276"/>
      <c r="EF69" s="260">
        <f t="shared" si="148"/>
        <v>42370</v>
      </c>
      <c r="EK69" s="254"/>
      <c r="EL69">
        <f t="shared" si="152"/>
        <v>30</v>
      </c>
      <c r="EM69" s="260">
        <f t="shared" si="111"/>
        <v>43191</v>
      </c>
      <c r="EN69">
        <f t="shared" si="112"/>
        <v>32</v>
      </c>
      <c r="EO69" s="112">
        <f t="shared" si="113"/>
        <v>43831</v>
      </c>
      <c r="EP69" s="112">
        <f t="shared" si="162"/>
        <v>43831</v>
      </c>
      <c r="ET69">
        <f t="shared" si="37"/>
        <v>15</v>
      </c>
      <c r="EU69" s="260">
        <f t="shared" si="38"/>
        <v>43831</v>
      </c>
      <c r="EV69" t="str">
        <f t="shared" si="39"/>
        <v>15-20 anni</v>
      </c>
      <c r="EW69">
        <f t="shared" si="5"/>
        <v>3</v>
      </c>
      <c r="EX69" s="238">
        <f t="shared" ca="1" si="6"/>
        <v>230</v>
      </c>
      <c r="FA69">
        <f t="shared" ca="1" si="40"/>
        <v>24696.19</v>
      </c>
      <c r="FB69">
        <f t="shared" ca="1" si="163"/>
        <v>0</v>
      </c>
      <c r="FC69">
        <f t="shared" ca="1" si="163"/>
        <v>0</v>
      </c>
      <c r="FD69">
        <f t="shared" ca="1" si="41"/>
        <v>0</v>
      </c>
      <c r="FE69">
        <f t="shared" ca="1" si="163"/>
        <v>0</v>
      </c>
      <c r="FG69">
        <f t="shared" ca="1" si="42"/>
        <v>0</v>
      </c>
      <c r="FL69">
        <f t="shared" ca="1" si="8"/>
        <v>2577.6</v>
      </c>
      <c r="FQ69" s="254" t="str">
        <f t="shared" si="43"/>
        <v>15-20 anni</v>
      </c>
      <c r="FR69">
        <f t="shared" si="114"/>
        <v>69</v>
      </c>
      <c r="FS69" t="str">
        <f t="shared" ca="1" si="44"/>
        <v>ev69</v>
      </c>
      <c r="FT69" t="str">
        <f t="shared" ca="1" si="45"/>
        <v>EU69</v>
      </c>
      <c r="FU69" t="str">
        <f t="shared" ca="1" si="45"/>
        <v>FA69</v>
      </c>
      <c r="FV69" t="str">
        <f t="shared" ca="1" si="45"/>
        <v>FB69</v>
      </c>
      <c r="FW69" t="str">
        <f t="shared" ca="1" si="45"/>
        <v>FC69</v>
      </c>
      <c r="FX69" t="str">
        <f t="shared" ca="1" si="45"/>
        <v>FD69</v>
      </c>
      <c r="FY69" t="str">
        <f t="shared" ca="1" si="45"/>
        <v>FE69</v>
      </c>
      <c r="FZ69" t="str">
        <f t="shared" ca="1" si="45"/>
        <v>FG69</v>
      </c>
      <c r="GA69" t="str">
        <f t="shared" ca="1" si="45"/>
        <v>FL69</v>
      </c>
      <c r="GB69" t="str">
        <f t="shared" ca="1" si="45"/>
        <v/>
      </c>
      <c r="GC69" t="str">
        <f t="shared" ca="1" si="45"/>
        <v/>
      </c>
      <c r="GD69">
        <f t="shared" ca="1" si="168"/>
        <v>30</v>
      </c>
      <c r="GE69" s="112">
        <f t="shared" ca="1" si="169"/>
        <v>43831</v>
      </c>
      <c r="GF69" s="112" t="str">
        <f t="shared" ca="1" si="170"/>
        <v>15-20 anni</v>
      </c>
      <c r="GG69" s="262">
        <f t="shared" ca="1" si="171"/>
        <v>24696.19</v>
      </c>
      <c r="GH69" s="262">
        <f t="shared" ca="1" si="172"/>
        <v>0</v>
      </c>
      <c r="GI69" s="262">
        <f t="shared" ca="1" si="173"/>
        <v>0</v>
      </c>
      <c r="GJ69" s="262">
        <f t="shared" ca="1" si="174"/>
        <v>0</v>
      </c>
      <c r="GK69" s="262">
        <f t="shared" ca="1" si="175"/>
        <v>0</v>
      </c>
      <c r="GL69" s="262">
        <f t="shared" ca="1" si="176"/>
        <v>0</v>
      </c>
      <c r="GM69" s="262">
        <f t="shared" ca="1" si="177"/>
        <v>2577.6</v>
      </c>
      <c r="GN69" s="262">
        <f t="shared" ca="1" si="55"/>
        <v>0</v>
      </c>
      <c r="GO69" s="262">
        <f t="shared" ca="1" si="11"/>
        <v>0</v>
      </c>
      <c r="GQ69" s="263" t="str">
        <f t="shared" ca="1" si="56"/>
        <v>C.C.N.L. COMPARTO  SCUOLA del Dicembre 2022</v>
      </c>
      <c r="GR69" s="262">
        <f t="shared" ca="1" si="57"/>
        <v>27273.789999999997</v>
      </c>
      <c r="GS69" s="253" t="str">
        <f t="shared" ca="1" si="58"/>
        <v xml:space="preserve">ARTICOLO 30
</v>
      </c>
      <c r="GT69" t="str">
        <f t="shared" ca="1" si="59"/>
        <v xml:space="preserve">con decorrenza dalla data: 1/1/2020  </v>
      </c>
      <c r="GU69" t="str">
        <f t="shared" ca="1" si="60"/>
        <v xml:space="preserve"> Fascia: 15-20 anni - C.C.N.L. COMPARTO  SCUOLA del Dicembre 2022
</v>
      </c>
      <c r="GV69" t="str">
        <f t="shared" ca="1" si="61"/>
        <v xml:space="preserve">
                              Stipendio annuo lordo                            euro: 24696,19
</v>
      </c>
      <c r="GW69" t="str">
        <f t="shared" ca="1" si="62"/>
        <v/>
      </c>
      <c r="GX69" t="str">
        <f t="shared" ca="1" si="63"/>
        <v/>
      </c>
      <c r="GY69" t="str">
        <f t="shared" ca="1" si="64"/>
        <v/>
      </c>
      <c r="GZ69" t="str">
        <f t="shared" ca="1" si="65"/>
        <v/>
      </c>
      <c r="HA69" t="str">
        <f t="shared" ca="1" si="66"/>
        <v/>
      </c>
      <c r="HB69" t="str">
        <f t="shared" ca="1" si="67"/>
        <v xml:space="preserve">                                rpd/cia - annuo lordo                             euro: 2577,6
</v>
      </c>
      <c r="HC69" t="str">
        <f t="shared" ca="1" si="68"/>
        <v/>
      </c>
      <c r="HD69" s="254" t="str">
        <f t="shared" ca="1" si="69"/>
        <v/>
      </c>
      <c r="HL69" s="263" t="str">
        <f t="shared" ca="1" si="71"/>
        <v xml:space="preserve">ARTICOLO 30
con decorrenza dalla data: 1/1/2020   Fascia: 15-20 anni - C.C.N.L. COMPARTO  SCUOLA del Dicembre 2022
                              Stipendio annuo lordo                            euro: 24696,19
                                rpd/cia - annuo lordo                             euro: 2577,6
</v>
      </c>
      <c r="HN69" s="272" t="str">
        <f t="shared" ca="1" si="13"/>
        <v xml:space="preserve">ARTICOLO 30
con decorrenza dalla data: 1/1/2020   Fascia: 15-20 anni - C.C.N.L. COMPARTO  SCUOLA del Dicembre 2022
                              Stipendio annuo lordo                            euro: 24696,19
                                rpd/cia - annuo lordo                             euro: 2577,6
</v>
      </c>
      <c r="HO69">
        <f t="shared" ca="1" si="72"/>
        <v>30</v>
      </c>
      <c r="HP69" t="str">
        <f t="shared" ca="1" si="73"/>
        <v/>
      </c>
      <c r="HQ69" t="str">
        <f t="shared" ca="1" si="165"/>
        <v/>
      </c>
      <c r="HR69" t="str">
        <f t="shared" ca="1" si="166"/>
        <v/>
      </c>
      <c r="HW69" s="253" t="s">
        <v>187</v>
      </c>
      <c r="HX69" s="112" t="str">
        <f t="shared" si="76"/>
        <v>16/9/2011</v>
      </c>
      <c r="HY69" t="s">
        <v>188</v>
      </c>
      <c r="HZ69" s="112" t="str">
        <f t="shared" si="77"/>
        <v>30/6/2012</v>
      </c>
      <c r="IA69" t="s">
        <v>189</v>
      </c>
      <c r="IB69">
        <f t="shared" si="78"/>
        <v>0</v>
      </c>
      <c r="IC69" t="s">
        <v>192</v>
      </c>
      <c r="ID69">
        <f t="shared" si="79"/>
        <v>9</v>
      </c>
      <c r="IE69" t="s">
        <v>191</v>
      </c>
      <c r="IF69" s="254">
        <f t="shared" si="80"/>
        <v>19</v>
      </c>
      <c r="IK69" t="str">
        <f t="shared" si="167"/>
        <v xml:space="preserve">DAL: 16/9/2011 - AL:30/6/2012 - ANNI:0 - MESI:9 -GIORNI:19
</v>
      </c>
      <c r="JP69">
        <f ca="1">IF(Foglio3!DM42=100000,0,IF(Foglio3!DM42="",0,1))</f>
        <v>1</v>
      </c>
      <c r="JQ69" s="314">
        <f ca="1" xml:space="preserve">   IF(JP69=1,     Foglio3!DM42,IF(JP69=0,IF(JP68=1,"","")))</f>
        <v>37411</v>
      </c>
      <c r="JR69" s="314">
        <f ca="1">IF(          Foglio3!DN42=100000,"",Foglio3!DN42)</f>
        <v>37437</v>
      </c>
      <c r="JS69" s="272">
        <f ca="1">IF(Foglio3!DN42=100000,"",Foglio3!DO42)</f>
        <v>8</v>
      </c>
      <c r="JT69" s="272">
        <f ca="1">IF(Foglio3!DN42=100000,"",Foglio3!DP42)</f>
        <v>24</v>
      </c>
      <c r="JU69" s="272">
        <f ca="1">IF(Foglio3!DN42=100000,"",Foglio3!DQ42)</f>
        <v>27</v>
      </c>
      <c r="JV69" s="272">
        <f ca="1">IF(JU69="","",Foglio3!DR42)</f>
        <v>0</v>
      </c>
      <c r="JW69" s="272">
        <f ca="1">IF(Foglio3!DN42=100000,"",Foglio3!DS42)</f>
        <v>0</v>
      </c>
      <c r="JX69" s="272">
        <f ca="1">IF(Foglio3!DN42=100000,"",Foglio3!DT42)</f>
        <v>0</v>
      </c>
      <c r="JY69" s="272">
        <f ca="1">IF(Foglio3!DN42=100000,"",Foglio3!DU42)</f>
        <v>0</v>
      </c>
      <c r="JZ69" s="272" t="str">
        <f ca="1">IF(Foglio3!DN42=100000,"",Foglio3!DV42)</f>
        <v>3/8 anni</v>
      </c>
      <c r="KC69">
        <v>0</v>
      </c>
      <c r="KD69" s="260">
        <f t="shared" ca="1" si="81"/>
        <v>43831</v>
      </c>
      <c r="KE69" t="str">
        <f t="shared" si="82"/>
        <v>0-2 anni</v>
      </c>
      <c r="KF69">
        <f t="shared" si="15"/>
        <v>6</v>
      </c>
      <c r="KG69" s="238">
        <f t="shared" ca="1" si="16"/>
        <v>227</v>
      </c>
      <c r="KJ69">
        <f t="shared" ca="1" si="83"/>
        <v>14101.489999999998</v>
      </c>
      <c r="KK69">
        <f t="shared" ca="1" si="164"/>
        <v>0</v>
      </c>
      <c r="KL69">
        <f t="shared" ca="1" si="164"/>
        <v>0</v>
      </c>
      <c r="KM69">
        <f t="shared" ca="1" si="164"/>
        <v>6384.11</v>
      </c>
      <c r="KN69">
        <f t="shared" ca="1" si="164"/>
        <v>0</v>
      </c>
      <c r="KU69">
        <f t="shared" ca="1" si="18"/>
        <v>2577.6</v>
      </c>
      <c r="KZ69" s="254" t="str">
        <f t="shared" si="84"/>
        <v>0-2 anni</v>
      </c>
      <c r="LA69" s="112">
        <f t="shared" si="85"/>
        <v>40802</v>
      </c>
      <c r="LB69" s="112">
        <f t="shared" si="86"/>
        <v>41090</v>
      </c>
      <c r="LC69">
        <f t="shared" ca="1" si="87"/>
        <v>23063.199999999997</v>
      </c>
      <c r="LD69" s="262">
        <f t="shared" ca="1" si="88"/>
        <v>27273.789999999997</v>
      </c>
      <c r="LE69">
        <f t="shared" si="89"/>
        <v>289</v>
      </c>
      <c r="LF69">
        <f t="shared" ca="1" si="90"/>
        <v>3333.86</v>
      </c>
    </row>
    <row r="70" spans="1:318" ht="150" x14ac:dyDescent="0.25">
      <c r="A70" s="112">
        <f t="shared" si="128"/>
        <v>40422</v>
      </c>
      <c r="B70" s="112">
        <f t="shared" si="19"/>
        <v>40544</v>
      </c>
      <c r="E70" s="240">
        <f>Foglio3!F50</f>
        <v>41171</v>
      </c>
      <c r="F70" s="240">
        <f>Foglio3!G50</f>
        <v>41471</v>
      </c>
      <c r="G70" s="244"/>
      <c r="H70" s="245">
        <f t="shared" si="20"/>
        <v>41171</v>
      </c>
      <c r="I70" s="245">
        <f t="shared" si="2"/>
        <v>41274</v>
      </c>
      <c r="J70" s="244"/>
      <c r="K70" s="244"/>
      <c r="Q70">
        <f t="shared" si="154"/>
        <v>104</v>
      </c>
      <c r="R70">
        <f t="shared" si="155"/>
        <v>104</v>
      </c>
      <c r="S70">
        <f t="shared" si="156"/>
        <v>0</v>
      </c>
      <c r="T70">
        <f t="shared" si="157"/>
        <v>3</v>
      </c>
      <c r="U70">
        <f t="shared" si="158"/>
        <v>14</v>
      </c>
      <c r="W70">
        <f t="shared" si="159"/>
        <v>0</v>
      </c>
      <c r="X70">
        <f t="shared" si="160"/>
        <v>131</v>
      </c>
      <c r="Y70">
        <f t="shared" si="161"/>
        <v>308</v>
      </c>
      <c r="AA70" s="112">
        <f t="shared" si="91"/>
        <v>41171</v>
      </c>
      <c r="AB70" s="112">
        <f t="shared" si="92"/>
        <v>41274</v>
      </c>
      <c r="AG70">
        <f t="shared" si="22"/>
        <v>1</v>
      </c>
      <c r="AH70" s="112">
        <f t="shared" si="93"/>
        <v>41171</v>
      </c>
      <c r="AI70" s="112">
        <f t="shared" si="94"/>
        <v>41274</v>
      </c>
      <c r="AJ70">
        <f t="shared" si="23"/>
        <v>1</v>
      </c>
      <c r="AK70">
        <f t="shared" si="95"/>
        <v>0</v>
      </c>
      <c r="AL70">
        <f t="shared" si="122"/>
        <v>0</v>
      </c>
      <c r="AN70">
        <f t="shared" si="123"/>
        <v>0</v>
      </c>
      <c r="AO70">
        <f t="shared" si="124"/>
        <v>0</v>
      </c>
      <c r="AP70">
        <f t="shared" si="96"/>
        <v>0</v>
      </c>
      <c r="AS70">
        <f t="shared" si="130"/>
        <v>0</v>
      </c>
      <c r="AT70">
        <f t="shared" si="131"/>
        <v>0</v>
      </c>
      <c r="AV70">
        <f t="shared" si="132"/>
        <v>0</v>
      </c>
      <c r="AW70">
        <f t="shared" si="133"/>
        <v>0</v>
      </c>
      <c r="AX70">
        <f t="shared" si="97"/>
        <v>0</v>
      </c>
      <c r="BA70">
        <f t="shared" si="150"/>
        <v>0</v>
      </c>
      <c r="BB70">
        <f t="shared" si="151"/>
        <v>0</v>
      </c>
      <c r="BD70">
        <f t="shared" si="135"/>
        <v>0</v>
      </c>
      <c r="BE70">
        <f t="shared" si="136"/>
        <v>0</v>
      </c>
      <c r="BF70">
        <f t="shared" si="127"/>
        <v>0</v>
      </c>
      <c r="BI70">
        <f t="shared" si="137"/>
        <v>0</v>
      </c>
      <c r="BJ70">
        <f t="shared" si="139"/>
        <v>0</v>
      </c>
      <c r="BK70">
        <f t="shared" si="140"/>
        <v>0</v>
      </c>
      <c r="BL70">
        <f t="shared" si="141"/>
        <v>0</v>
      </c>
      <c r="BM70">
        <f t="shared" si="134"/>
        <v>0</v>
      </c>
      <c r="BO70">
        <f t="shared" si="142"/>
        <v>0</v>
      </c>
      <c r="BP70">
        <f t="shared" si="143"/>
        <v>0</v>
      </c>
      <c r="BR70">
        <f t="shared" si="144"/>
        <v>0</v>
      </c>
      <c r="BS70">
        <f t="shared" si="145"/>
        <v>0</v>
      </c>
      <c r="BT70">
        <f t="shared" si="138"/>
        <v>0</v>
      </c>
      <c r="BV70">
        <f t="shared" si="98"/>
        <v>0</v>
      </c>
      <c r="BX70">
        <f t="shared" si="99"/>
        <v>0</v>
      </c>
      <c r="BY70">
        <f t="shared" si="100"/>
        <v>0</v>
      </c>
      <c r="BZ70">
        <f t="shared" si="101"/>
        <v>0</v>
      </c>
      <c r="CA70">
        <f t="shared" si="102"/>
        <v>0</v>
      </c>
      <c r="CB70">
        <f t="shared" si="103"/>
        <v>0</v>
      </c>
      <c r="CG70">
        <f t="shared" si="24"/>
        <v>2012</v>
      </c>
      <c r="CH70">
        <f t="shared" si="25"/>
        <v>2013</v>
      </c>
      <c r="CJ70">
        <f t="shared" si="26"/>
        <v>0</v>
      </c>
      <c r="CK70">
        <f t="shared" si="147"/>
        <v>196</v>
      </c>
      <c r="CL70">
        <f t="shared" si="27"/>
        <v>0</v>
      </c>
      <c r="CN70">
        <f t="shared" si="28"/>
        <v>196</v>
      </c>
      <c r="CS70">
        <f t="shared" si="29"/>
        <v>104</v>
      </c>
      <c r="CT70">
        <f t="shared" si="104"/>
        <v>4238</v>
      </c>
      <c r="CU70" s="243">
        <f t="shared" si="30"/>
        <v>4238</v>
      </c>
      <c r="CV70" s="112">
        <f t="shared" si="31"/>
        <v>41274</v>
      </c>
      <c r="CX70" s="112">
        <f t="shared" si="149"/>
        <v>100000</v>
      </c>
      <c r="CY70" s="112">
        <f t="shared" si="105"/>
        <v>100000</v>
      </c>
      <c r="CZ70" s="112">
        <f t="shared" si="106"/>
        <v>100000</v>
      </c>
      <c r="DA70" s="112">
        <f t="shared" si="107"/>
        <v>100000</v>
      </c>
      <c r="DB70" s="112">
        <f t="shared" si="108"/>
        <v>100000</v>
      </c>
      <c r="DC70" s="112">
        <f t="shared" si="109"/>
        <v>100000</v>
      </c>
      <c r="DU70" s="112"/>
      <c r="DV70" s="112"/>
      <c r="DW70" s="277">
        <v>44562</v>
      </c>
      <c r="DX70" s="276"/>
      <c r="DY70" s="276"/>
      <c r="DZ70" s="276"/>
      <c r="EF70" s="260">
        <f t="shared" si="148"/>
        <v>42736</v>
      </c>
      <c r="EK70" s="254"/>
      <c r="EL70">
        <f t="shared" si="152"/>
        <v>31</v>
      </c>
      <c r="EM70" s="260">
        <f t="shared" si="111"/>
        <v>43466</v>
      </c>
      <c r="EN70">
        <f t="shared" si="112"/>
        <v>33</v>
      </c>
      <c r="EO70" s="112">
        <f t="shared" si="113"/>
        <v>44197</v>
      </c>
      <c r="EP70" s="112">
        <f t="shared" si="162"/>
        <v>44197</v>
      </c>
      <c r="ET70">
        <f t="shared" si="37"/>
        <v>15</v>
      </c>
      <c r="EU70" s="260">
        <f t="shared" si="38"/>
        <v>44197</v>
      </c>
      <c r="EV70" t="str">
        <f t="shared" si="39"/>
        <v>15-20 anni</v>
      </c>
      <c r="EW70">
        <f t="shared" si="5"/>
        <v>3</v>
      </c>
      <c r="EX70" s="238">
        <f t="shared" ca="1" si="6"/>
        <v>237</v>
      </c>
      <c r="FA70">
        <f t="shared" ca="1" si="40"/>
        <v>25204.99</v>
      </c>
      <c r="FB70">
        <f t="shared" ca="1" si="163"/>
        <v>0</v>
      </c>
      <c r="FC70">
        <f t="shared" ca="1" si="163"/>
        <v>0</v>
      </c>
      <c r="FD70">
        <f t="shared" ca="1" si="41"/>
        <v>0</v>
      </c>
      <c r="FE70">
        <f t="shared" ca="1" si="163"/>
        <v>0</v>
      </c>
      <c r="FG70">
        <f t="shared" ca="1" si="42"/>
        <v>0</v>
      </c>
      <c r="FL70">
        <f t="shared" ca="1" si="8"/>
        <v>2577.6</v>
      </c>
      <c r="FQ70" s="254" t="str">
        <f t="shared" si="43"/>
        <v>15-20 anni</v>
      </c>
      <c r="FR70">
        <f t="shared" si="114"/>
        <v>70</v>
      </c>
      <c r="FS70" t="str">
        <f t="shared" ca="1" si="44"/>
        <v>ev70</v>
      </c>
      <c r="FT70" t="str">
        <f t="shared" ca="1" si="45"/>
        <v>EU70</v>
      </c>
      <c r="FU70" t="str">
        <f t="shared" ca="1" si="45"/>
        <v>FA70</v>
      </c>
      <c r="FV70" t="str">
        <f t="shared" ca="1" si="45"/>
        <v>FB70</v>
      </c>
      <c r="FW70" t="str">
        <f t="shared" ca="1" si="45"/>
        <v>FC70</v>
      </c>
      <c r="FX70" t="str">
        <f t="shared" ca="1" si="45"/>
        <v>FD70</v>
      </c>
      <c r="FY70" t="str">
        <f t="shared" ca="1" si="45"/>
        <v>FE70</v>
      </c>
      <c r="FZ70" t="str">
        <f t="shared" ca="1" si="45"/>
        <v>FG70</v>
      </c>
      <c r="GA70" t="str">
        <f t="shared" ca="1" si="45"/>
        <v>FL70</v>
      </c>
      <c r="GB70" t="str">
        <f t="shared" ca="1" si="45"/>
        <v/>
      </c>
      <c r="GC70" t="str">
        <f t="shared" ca="1" si="45"/>
        <v/>
      </c>
      <c r="GD70">
        <f t="shared" ca="1" si="168"/>
        <v>31</v>
      </c>
      <c r="GE70" s="112">
        <f t="shared" ca="1" si="169"/>
        <v>44197</v>
      </c>
      <c r="GF70" s="112" t="str">
        <f t="shared" ca="1" si="170"/>
        <v>15-20 anni</v>
      </c>
      <c r="GG70" s="262">
        <f t="shared" ca="1" si="171"/>
        <v>25204.99</v>
      </c>
      <c r="GH70" s="262">
        <f t="shared" ca="1" si="172"/>
        <v>0</v>
      </c>
      <c r="GI70" s="262">
        <f t="shared" ca="1" si="173"/>
        <v>0</v>
      </c>
      <c r="GJ70" s="262">
        <f t="shared" ca="1" si="174"/>
        <v>0</v>
      </c>
      <c r="GK70" s="262">
        <f t="shared" ca="1" si="175"/>
        <v>0</v>
      </c>
      <c r="GL70" s="262">
        <f t="shared" ca="1" si="176"/>
        <v>0</v>
      </c>
      <c r="GM70" s="262">
        <f t="shared" ca="1" si="177"/>
        <v>2577.6</v>
      </c>
      <c r="GN70" s="262">
        <f t="shared" ca="1" si="55"/>
        <v>0</v>
      </c>
      <c r="GO70" s="262">
        <f t="shared" ca="1" si="11"/>
        <v>0</v>
      </c>
      <c r="GQ70" s="263" t="str">
        <f t="shared" ca="1" si="56"/>
        <v>C.C.N.L. COMPARTO  SCUOLA del Dicembre 2022</v>
      </c>
      <c r="GR70" s="262">
        <f t="shared" ca="1" si="57"/>
        <v>27782.59</v>
      </c>
      <c r="GS70" s="253" t="str">
        <f t="shared" ca="1" si="58"/>
        <v xml:space="preserve">ARTICOLO 31
</v>
      </c>
      <c r="GT70" t="str">
        <f t="shared" ca="1" si="59"/>
        <v xml:space="preserve">con decorrenza dalla data: 1/1/2021  </v>
      </c>
      <c r="GU70" t="str">
        <f t="shared" ca="1" si="60"/>
        <v xml:space="preserve"> Fascia: 15-20 anni - C.C.N.L. COMPARTO  SCUOLA del Dicembre 2022
</v>
      </c>
      <c r="GV70" t="str">
        <f t="shared" ca="1" si="61"/>
        <v xml:space="preserve">
                              Stipendio annuo lordo                            euro: 25204,99
</v>
      </c>
      <c r="GW70" t="str">
        <f t="shared" ca="1" si="62"/>
        <v/>
      </c>
      <c r="GX70" t="str">
        <f t="shared" ca="1" si="63"/>
        <v/>
      </c>
      <c r="GY70" t="str">
        <f t="shared" ca="1" si="64"/>
        <v/>
      </c>
      <c r="GZ70" t="str">
        <f t="shared" ca="1" si="65"/>
        <v/>
      </c>
      <c r="HA70" t="str">
        <f t="shared" ca="1" si="66"/>
        <v/>
      </c>
      <c r="HB70" t="str">
        <f t="shared" ca="1" si="67"/>
        <v xml:space="preserve">                                rpd/cia - annuo lordo                             euro: 2577,6
</v>
      </c>
      <c r="HC70" t="str">
        <f t="shared" ca="1" si="68"/>
        <v/>
      </c>
      <c r="HD70" s="254" t="str">
        <f t="shared" ca="1" si="69"/>
        <v/>
      </c>
      <c r="HL70" s="263" t="str">
        <f t="shared" ca="1" si="71"/>
        <v xml:space="preserve">ARTICOLO 31
con decorrenza dalla data: 1/1/2021   Fascia: 15-20 anni - C.C.N.L. COMPARTO  SCUOLA del Dicembre 2022
                              Stipendio annuo lordo                            euro: 25204,99
                                rpd/cia - annuo lordo                             euro: 2577,6
</v>
      </c>
      <c r="HN70" s="272" t="str">
        <f t="shared" ca="1" si="13"/>
        <v xml:space="preserve">ARTICOLO 31
con decorrenza dalla data: 1/1/2021   Fascia: 15-20 anni - C.C.N.L. COMPARTO  SCUOLA del Dicembre 2022
                              Stipendio annuo lordo                            euro: 25204,99
                                rpd/cia - annuo lordo                             euro: 2577,6
</v>
      </c>
      <c r="HO70">
        <f t="shared" ca="1" si="72"/>
        <v>31</v>
      </c>
      <c r="HP70" t="str">
        <f t="shared" ca="1" si="73"/>
        <v/>
      </c>
      <c r="HQ70" t="str">
        <f t="shared" ca="1" si="165"/>
        <v/>
      </c>
      <c r="HR70" t="str">
        <f t="shared" ca="1" si="166"/>
        <v/>
      </c>
      <c r="HW70" s="253" t="s">
        <v>187</v>
      </c>
      <c r="HX70" s="112" t="str">
        <f t="shared" si="76"/>
        <v>19/9/2012</v>
      </c>
      <c r="HY70" t="s">
        <v>188</v>
      </c>
      <c r="HZ70" s="112" t="str">
        <f t="shared" si="77"/>
        <v>16/7/2013</v>
      </c>
      <c r="IA70" t="s">
        <v>189</v>
      </c>
      <c r="IB70">
        <f t="shared" si="78"/>
        <v>0</v>
      </c>
      <c r="IC70" t="s">
        <v>192</v>
      </c>
      <c r="ID70">
        <f t="shared" si="79"/>
        <v>3</v>
      </c>
      <c r="IE70" t="s">
        <v>191</v>
      </c>
      <c r="IF70" s="254">
        <f t="shared" si="80"/>
        <v>14</v>
      </c>
      <c r="IK70" t="str">
        <f t="shared" si="167"/>
        <v xml:space="preserve">DAL: 19/9/2012 - AL:16/7/2013 - ANNI:0 - MESI:3 -GIORNI:14
</v>
      </c>
      <c r="JP70">
        <f ca="1">IF(Foglio3!DM43=100000,0,IF(Foglio3!DM43="",0,1))</f>
        <v>1</v>
      </c>
      <c r="JQ70" s="314">
        <f ca="1" xml:space="preserve">   IF(JP70=1,     Foglio3!DM43,IF(JP70=0,IF(JP69=1,"","")))</f>
        <v>37537</v>
      </c>
      <c r="JR70" s="314">
        <f ca="1">IF(          Foglio3!DN43=100000,"",Foglio3!DN43)</f>
        <v>37551</v>
      </c>
      <c r="JS70" s="272">
        <f ca="1">IF(Foglio3!DN43=100000,"",Foglio3!DO43)</f>
        <v>6</v>
      </c>
      <c r="JT70" s="272">
        <f ca="1">IF(Foglio3!DN43=100000,"",Foglio3!DP43)</f>
        <v>24</v>
      </c>
      <c r="JU70" s="272">
        <f ca="1">IF(Foglio3!DN43=100000,"",Foglio3!DQ43)</f>
        <v>15</v>
      </c>
      <c r="JV70" s="272">
        <f ca="1">IF(JU70="","",Foglio3!DR43)</f>
        <v>0</v>
      </c>
      <c r="JW70" s="272">
        <f ca="1">IF(Foglio3!DN43=100000,"",Foglio3!DS43)</f>
        <v>0</v>
      </c>
      <c r="JX70" s="272">
        <f ca="1">IF(Foglio3!DN43=100000,"",Foglio3!DT43)</f>
        <v>0</v>
      </c>
      <c r="JY70" s="272">
        <f ca="1">IF(Foglio3!DN43=100000,"",Foglio3!DU43)</f>
        <v>0</v>
      </c>
      <c r="JZ70" s="272" t="str">
        <f ca="1">IF(Foglio3!DN43=100000,"",Foglio3!DV43)</f>
        <v>3/8 anni</v>
      </c>
      <c r="KC70">
        <v>0</v>
      </c>
      <c r="KD70" s="260">
        <f t="shared" ca="1" si="81"/>
        <v>44197</v>
      </c>
      <c r="KE70" t="str">
        <f t="shared" si="82"/>
        <v>0-2 anni</v>
      </c>
      <c r="KF70">
        <f t="shared" si="15"/>
        <v>6</v>
      </c>
      <c r="KG70" s="238">
        <f t="shared" ca="1" si="16"/>
        <v>234</v>
      </c>
      <c r="KJ70">
        <f t="shared" ca="1" si="83"/>
        <v>14513.09</v>
      </c>
      <c r="KK70">
        <f t="shared" ca="1" si="164"/>
        <v>0</v>
      </c>
      <c r="KL70">
        <f t="shared" ca="1" si="164"/>
        <v>0</v>
      </c>
      <c r="KM70">
        <f t="shared" ca="1" si="164"/>
        <v>6384.11</v>
      </c>
      <c r="KN70">
        <f t="shared" ca="1" si="164"/>
        <v>0</v>
      </c>
      <c r="KU70">
        <f t="shared" ca="1" si="18"/>
        <v>2577.6</v>
      </c>
      <c r="KZ70" s="254" t="str">
        <f t="shared" si="84"/>
        <v>0-2 anni</v>
      </c>
      <c r="LA70" s="112">
        <f t="shared" si="85"/>
        <v>41171</v>
      </c>
      <c r="LB70" s="112">
        <f t="shared" si="86"/>
        <v>41471</v>
      </c>
      <c r="LC70">
        <f t="shared" ca="1" si="87"/>
        <v>23474.799999999999</v>
      </c>
      <c r="LD70" s="262">
        <f t="shared" ca="1" si="88"/>
        <v>27782.59</v>
      </c>
      <c r="LE70">
        <f t="shared" si="89"/>
        <v>104</v>
      </c>
      <c r="LF70">
        <f t="shared" ca="1" si="90"/>
        <v>1227.43</v>
      </c>
    </row>
    <row r="71" spans="1:318" ht="150" x14ac:dyDescent="0.25">
      <c r="A71" s="112">
        <f t="shared" si="128"/>
        <v>40422</v>
      </c>
      <c r="B71" s="112">
        <f t="shared" si="19"/>
        <v>40544</v>
      </c>
      <c r="E71" s="240">
        <f>Foglio3!F51</f>
        <v>41178</v>
      </c>
      <c r="F71" s="240">
        <f>Foglio3!G51</f>
        <v>41471</v>
      </c>
      <c r="G71" s="244"/>
      <c r="H71" s="245">
        <f t="shared" si="20"/>
        <v>41178</v>
      </c>
      <c r="I71" s="245">
        <f t="shared" si="2"/>
        <v>41274</v>
      </c>
      <c r="J71" s="244"/>
      <c r="K71" s="244"/>
      <c r="Q71">
        <f t="shared" si="154"/>
        <v>97</v>
      </c>
      <c r="R71">
        <f t="shared" si="155"/>
        <v>97</v>
      </c>
      <c r="S71">
        <f t="shared" si="156"/>
        <v>0</v>
      </c>
      <c r="T71">
        <f t="shared" si="157"/>
        <v>3</v>
      </c>
      <c r="U71">
        <f t="shared" si="158"/>
        <v>7</v>
      </c>
      <c r="W71">
        <f t="shared" si="159"/>
        <v>0</v>
      </c>
      <c r="X71">
        <f t="shared" si="160"/>
        <v>134</v>
      </c>
      <c r="Y71">
        <f t="shared" si="161"/>
        <v>315</v>
      </c>
      <c r="AA71" s="112">
        <f t="shared" si="91"/>
        <v>41178</v>
      </c>
      <c r="AB71" s="112">
        <f t="shared" si="92"/>
        <v>41274</v>
      </c>
      <c r="AG71">
        <f t="shared" si="22"/>
        <v>1</v>
      </c>
      <c r="AH71" s="112">
        <f t="shared" si="93"/>
        <v>41178</v>
      </c>
      <c r="AI71" s="112">
        <f t="shared" si="94"/>
        <v>41274</v>
      </c>
      <c r="AS71">
        <f t="shared" si="130"/>
        <v>0</v>
      </c>
      <c r="AT71">
        <f t="shared" si="131"/>
        <v>0</v>
      </c>
      <c r="AV71">
        <f t="shared" si="132"/>
        <v>0</v>
      </c>
      <c r="AW71">
        <f t="shared" si="133"/>
        <v>0</v>
      </c>
      <c r="AX71">
        <f t="shared" si="97"/>
        <v>0</v>
      </c>
      <c r="BA71">
        <f t="shared" si="150"/>
        <v>0</v>
      </c>
      <c r="BB71">
        <f t="shared" si="151"/>
        <v>0</v>
      </c>
      <c r="BD71">
        <f t="shared" si="135"/>
        <v>0</v>
      </c>
      <c r="BE71">
        <f t="shared" si="136"/>
        <v>0</v>
      </c>
      <c r="BF71">
        <f t="shared" si="127"/>
        <v>0</v>
      </c>
      <c r="BI71">
        <f t="shared" si="137"/>
        <v>0</v>
      </c>
      <c r="BJ71">
        <f t="shared" si="139"/>
        <v>0</v>
      </c>
      <c r="BK71">
        <f t="shared" si="140"/>
        <v>0</v>
      </c>
      <c r="BL71">
        <f t="shared" si="141"/>
        <v>0</v>
      </c>
      <c r="BM71">
        <f t="shared" si="134"/>
        <v>0</v>
      </c>
      <c r="BO71">
        <f t="shared" si="142"/>
        <v>0</v>
      </c>
      <c r="BP71">
        <f t="shared" si="143"/>
        <v>0</v>
      </c>
      <c r="BR71">
        <f t="shared" si="144"/>
        <v>0</v>
      </c>
      <c r="BS71">
        <f t="shared" si="145"/>
        <v>0</v>
      </c>
      <c r="BT71">
        <f t="shared" si="138"/>
        <v>0</v>
      </c>
      <c r="BV71">
        <f t="shared" si="98"/>
        <v>0</v>
      </c>
      <c r="BX71">
        <f t="shared" si="99"/>
        <v>0</v>
      </c>
      <c r="BY71">
        <f t="shared" si="100"/>
        <v>0</v>
      </c>
      <c r="BZ71">
        <f t="shared" si="101"/>
        <v>0</v>
      </c>
      <c r="CA71">
        <f t="shared" si="102"/>
        <v>0</v>
      </c>
      <c r="CB71">
        <f t="shared" si="103"/>
        <v>0</v>
      </c>
      <c r="CG71">
        <f t="shared" si="24"/>
        <v>2012</v>
      </c>
      <c r="CH71">
        <f t="shared" si="25"/>
        <v>2013</v>
      </c>
      <c r="CJ71">
        <f t="shared" si="26"/>
        <v>0</v>
      </c>
      <c r="CK71">
        <f t="shared" si="147"/>
        <v>196</v>
      </c>
      <c r="CL71">
        <f t="shared" si="27"/>
        <v>0</v>
      </c>
      <c r="CN71">
        <f t="shared" si="28"/>
        <v>196</v>
      </c>
      <c r="CS71">
        <f t="shared" si="29"/>
        <v>97</v>
      </c>
      <c r="CT71">
        <f t="shared" si="104"/>
        <v>4335</v>
      </c>
      <c r="CU71" s="243">
        <f t="shared" si="30"/>
        <v>4335</v>
      </c>
      <c r="CV71" s="112">
        <f t="shared" si="31"/>
        <v>41274</v>
      </c>
      <c r="CX71" s="112">
        <f t="shared" si="149"/>
        <v>100000</v>
      </c>
      <c r="CY71" s="112">
        <f t="shared" si="105"/>
        <v>100000</v>
      </c>
      <c r="CZ71" s="112">
        <f t="shared" si="106"/>
        <v>100000</v>
      </c>
      <c r="DA71" s="112">
        <f t="shared" si="107"/>
        <v>100000</v>
      </c>
      <c r="DB71" s="112">
        <f t="shared" si="108"/>
        <v>100000</v>
      </c>
      <c r="DC71" s="112">
        <f t="shared" si="109"/>
        <v>100000</v>
      </c>
      <c r="DU71" s="112"/>
      <c r="DV71" s="112"/>
      <c r="DW71" s="277">
        <v>44652</v>
      </c>
      <c r="DX71" s="276"/>
      <c r="DY71" s="276"/>
      <c r="DZ71" s="276"/>
      <c r="EF71" s="260">
        <f t="shared" si="148"/>
        <v>43160</v>
      </c>
      <c r="EK71" s="254"/>
      <c r="EL71">
        <f t="shared" si="152"/>
        <v>32</v>
      </c>
      <c r="EM71" s="260">
        <f t="shared" si="111"/>
        <v>43831</v>
      </c>
      <c r="EN71">
        <f t="shared" si="112"/>
        <v>34</v>
      </c>
      <c r="EO71" s="112">
        <f t="shared" si="113"/>
        <v>44562</v>
      </c>
      <c r="EP71" s="112">
        <f t="shared" si="162"/>
        <v>44562</v>
      </c>
      <c r="ET71">
        <f t="shared" si="37"/>
        <v>15</v>
      </c>
      <c r="EU71" s="260">
        <f t="shared" si="38"/>
        <v>44562</v>
      </c>
      <c r="EV71" t="str">
        <f t="shared" si="39"/>
        <v>15-20 anni</v>
      </c>
      <c r="EW71">
        <f t="shared" si="5"/>
        <v>3</v>
      </c>
      <c r="EX71" s="238">
        <f t="shared" ca="1" si="6"/>
        <v>244</v>
      </c>
      <c r="FA71">
        <f t="shared" ca="1" si="40"/>
        <v>25204.99</v>
      </c>
      <c r="FB71">
        <f t="shared" ca="1" si="163"/>
        <v>0</v>
      </c>
      <c r="FC71">
        <f t="shared" ca="1" si="163"/>
        <v>0</v>
      </c>
      <c r="FD71">
        <f t="shared" ca="1" si="41"/>
        <v>0</v>
      </c>
      <c r="FE71">
        <f t="shared" ca="1" si="163"/>
        <v>0</v>
      </c>
      <c r="FG71">
        <f t="shared" ca="1" si="42"/>
        <v>0</v>
      </c>
      <c r="FL71">
        <f t="shared" ca="1" si="8"/>
        <v>2721.6</v>
      </c>
      <c r="FQ71" s="254" t="str">
        <f t="shared" si="43"/>
        <v>15-20 anni</v>
      </c>
      <c r="FR71">
        <f t="shared" si="114"/>
        <v>71</v>
      </c>
      <c r="FS71" t="str">
        <f t="shared" ca="1" si="44"/>
        <v>ev71</v>
      </c>
      <c r="FT71" t="str">
        <f t="shared" ca="1" si="45"/>
        <v>EU71</v>
      </c>
      <c r="FU71" t="str">
        <f t="shared" ca="1" si="45"/>
        <v>FA71</v>
      </c>
      <c r="FV71" t="str">
        <f t="shared" ca="1" si="45"/>
        <v>FB71</v>
      </c>
      <c r="FW71" t="str">
        <f t="shared" ca="1" si="45"/>
        <v>FC71</v>
      </c>
      <c r="FX71" t="str">
        <f t="shared" ca="1" si="45"/>
        <v>FD71</v>
      </c>
      <c r="FY71" t="str">
        <f t="shared" ca="1" si="45"/>
        <v>FE71</v>
      </c>
      <c r="FZ71" t="str">
        <f t="shared" ca="1" si="45"/>
        <v>FG71</v>
      </c>
      <c r="GA71" t="str">
        <f t="shared" ca="1" si="45"/>
        <v>FL71</v>
      </c>
      <c r="GB71" t="str">
        <f t="shared" ca="1" si="45"/>
        <v/>
      </c>
      <c r="GC71" t="str">
        <f t="shared" ca="1" si="45"/>
        <v/>
      </c>
      <c r="GD71">
        <f t="shared" ca="1" si="168"/>
        <v>32</v>
      </c>
      <c r="GE71" s="112">
        <f t="shared" ca="1" si="169"/>
        <v>44562</v>
      </c>
      <c r="GF71" s="112" t="str">
        <f t="shared" ca="1" si="170"/>
        <v>15-20 anni</v>
      </c>
      <c r="GG71" s="262">
        <f t="shared" ca="1" si="171"/>
        <v>25204.99</v>
      </c>
      <c r="GH71" s="262">
        <f t="shared" ca="1" si="172"/>
        <v>0</v>
      </c>
      <c r="GI71" s="262">
        <f t="shared" ca="1" si="173"/>
        <v>0</v>
      </c>
      <c r="GJ71" s="262">
        <f t="shared" ca="1" si="174"/>
        <v>0</v>
      </c>
      <c r="GK71" s="262">
        <f t="shared" ca="1" si="175"/>
        <v>0</v>
      </c>
      <c r="GL71" s="262">
        <f t="shared" ca="1" si="176"/>
        <v>0</v>
      </c>
      <c r="GM71" s="262">
        <f t="shared" ca="1" si="177"/>
        <v>2721.6</v>
      </c>
      <c r="GN71" s="262">
        <f t="shared" ca="1" si="55"/>
        <v>0</v>
      </c>
      <c r="GO71" s="262">
        <f t="shared" ca="1" si="11"/>
        <v>0</v>
      </c>
      <c r="GQ71" s="263" t="str">
        <f t="shared" ca="1" si="56"/>
        <v>C.C.N.L. COMPARTO  SCUOLA del Dicembre 2022</v>
      </c>
      <c r="GR71" s="262">
        <f t="shared" ca="1" si="57"/>
        <v>27926.59</v>
      </c>
      <c r="GS71" s="253" t="str">
        <f t="shared" ca="1" si="58"/>
        <v xml:space="preserve">ARTICOLO 32
</v>
      </c>
      <c r="GT71" t="str">
        <f t="shared" ca="1" si="59"/>
        <v xml:space="preserve">con decorrenza dalla data: 1/1/2022  </v>
      </c>
      <c r="GU71" t="str">
        <f t="shared" ca="1" si="60"/>
        <v xml:space="preserve"> Fascia: 15-20 anni - C.C.N.L. COMPARTO  SCUOLA del Dicembre 2022
</v>
      </c>
      <c r="GV71" t="str">
        <f t="shared" ca="1" si="61"/>
        <v xml:space="preserve">
                              Stipendio annuo lordo                            euro: 25204,99
</v>
      </c>
      <c r="GW71" t="str">
        <f t="shared" ca="1" si="62"/>
        <v/>
      </c>
      <c r="GX71" t="str">
        <f t="shared" ca="1" si="63"/>
        <v/>
      </c>
      <c r="GY71" t="str">
        <f t="shared" ca="1" si="64"/>
        <v/>
      </c>
      <c r="GZ71" t="str">
        <f t="shared" ca="1" si="65"/>
        <v/>
      </c>
      <c r="HA71" t="str">
        <f t="shared" ca="1" si="66"/>
        <v/>
      </c>
      <c r="HB71" t="str">
        <f t="shared" ca="1" si="67"/>
        <v xml:space="preserve">                                rpd/cia - annuo lordo                             euro: 2721,6
</v>
      </c>
      <c r="HC71" t="str">
        <f t="shared" ca="1" si="68"/>
        <v/>
      </c>
      <c r="HD71" s="254" t="str">
        <f t="shared" ca="1" si="69"/>
        <v/>
      </c>
      <c r="HL71" s="263" t="str">
        <f t="shared" ca="1" si="71"/>
        <v xml:space="preserve">ARTICOLO 32
con decorrenza dalla data: 1/1/2022   Fascia: 15-20 anni - C.C.N.L. COMPARTO  SCUOLA del Dicembre 2022
                              Stipendio annuo lordo                            euro: 25204,99
                                rpd/cia - annuo lordo                             euro: 2721,6
</v>
      </c>
      <c r="HN71" s="272" t="str">
        <f t="shared" ca="1" si="13"/>
        <v xml:space="preserve">ARTICOLO 32
con decorrenza dalla data: 1/1/2022   Fascia: 15-20 anni - C.C.N.L. COMPARTO  SCUOLA del Dicembre 2022
                              Stipendio annuo lordo                            euro: 25204,99
                                rpd/cia - annuo lordo                             euro: 2721,6
</v>
      </c>
      <c r="HO71">
        <f t="shared" ca="1" si="72"/>
        <v>32</v>
      </c>
      <c r="HP71" t="str">
        <f t="shared" ca="1" si="73"/>
        <v/>
      </c>
      <c r="HQ71" t="str">
        <f t="shared" ca="1" si="165"/>
        <v/>
      </c>
      <c r="HR71" t="str">
        <f t="shared" ca="1" si="166"/>
        <v/>
      </c>
      <c r="HW71" s="253" t="s">
        <v>187</v>
      </c>
      <c r="HX71" s="112" t="str">
        <f t="shared" si="76"/>
        <v>26/9/2012</v>
      </c>
      <c r="HY71" t="s">
        <v>188</v>
      </c>
      <c r="HZ71" s="112" t="str">
        <f t="shared" si="77"/>
        <v>16/7/2013</v>
      </c>
      <c r="IA71" t="s">
        <v>189</v>
      </c>
      <c r="IB71">
        <f t="shared" si="78"/>
        <v>0</v>
      </c>
      <c r="IC71" t="s">
        <v>192</v>
      </c>
      <c r="ID71">
        <f t="shared" si="79"/>
        <v>3</v>
      </c>
      <c r="IE71" t="s">
        <v>191</v>
      </c>
      <c r="IF71" s="254">
        <f t="shared" si="80"/>
        <v>7</v>
      </c>
      <c r="IK71" t="str">
        <f t="shared" si="167"/>
        <v xml:space="preserve">DAL: 26/9/2012 - AL:16/7/2013 - ANNI:0 - MESI:3 -GIORNI:7
</v>
      </c>
      <c r="JP71">
        <f ca="1">IF(Foglio3!DM44=100000,0,IF(Foglio3!DM44="",0,1))</f>
        <v>1</v>
      </c>
      <c r="JQ71" s="314">
        <f ca="1" xml:space="preserve">   IF(JP71=1,     Foglio3!DM44,IF(JP71=0,IF(JP70=1,"","")))</f>
        <v>37540</v>
      </c>
      <c r="JR71" s="314">
        <f ca="1">IF(          Foglio3!DN44=100000,"",Foglio3!DN44)</f>
        <v>37574</v>
      </c>
      <c r="JS71" s="272">
        <f ca="1">IF(Foglio3!DN44=100000,"",Foglio3!DO44)</f>
        <v>8</v>
      </c>
      <c r="JT71" s="272">
        <f ca="1">IF(Foglio3!DN44=100000,"",Foglio3!DP44)</f>
        <v>24</v>
      </c>
      <c r="JU71" s="272">
        <f ca="1">IF(Foglio3!DN44=100000,"",Foglio3!DQ44)</f>
        <v>35</v>
      </c>
      <c r="JV71" s="272">
        <f ca="1">IF(JU71="","",Foglio3!DR44)</f>
        <v>0</v>
      </c>
      <c r="JW71" s="272">
        <f ca="1">IF(Foglio3!DN44=100000,"",Foglio3!DS44)</f>
        <v>0</v>
      </c>
      <c r="JX71" s="272">
        <f ca="1">IF(Foglio3!DN44=100000,"",Foglio3!DT44)</f>
        <v>0</v>
      </c>
      <c r="JY71" s="272">
        <f ca="1">IF(Foglio3!DN44=100000,"",Foglio3!DU44)</f>
        <v>0</v>
      </c>
      <c r="JZ71" s="272" t="str">
        <f ca="1">IF(Foglio3!DN44=100000,"",Foglio3!DV44)</f>
        <v>3/8 anni</v>
      </c>
      <c r="KC71">
        <v>0</v>
      </c>
      <c r="KD71" s="260">
        <f t="shared" ca="1" si="81"/>
        <v>44562</v>
      </c>
      <c r="KE71" t="str">
        <f t="shared" si="82"/>
        <v>0-2 anni</v>
      </c>
      <c r="KF71">
        <f t="shared" si="15"/>
        <v>6</v>
      </c>
      <c r="KG71" s="238">
        <f t="shared" ca="1" si="16"/>
        <v>241</v>
      </c>
      <c r="KJ71">
        <f t="shared" ca="1" si="83"/>
        <v>14513.09</v>
      </c>
      <c r="KK71">
        <f t="shared" ca="1" si="164"/>
        <v>0</v>
      </c>
      <c r="KL71">
        <f t="shared" ca="1" si="164"/>
        <v>0</v>
      </c>
      <c r="KM71">
        <f t="shared" ca="1" si="164"/>
        <v>6384.11</v>
      </c>
      <c r="KN71">
        <f t="shared" ca="1" si="164"/>
        <v>0</v>
      </c>
      <c r="KU71">
        <f t="shared" ca="1" si="18"/>
        <v>2721.6</v>
      </c>
      <c r="KZ71" s="254" t="str">
        <f t="shared" si="84"/>
        <v>0-2 anni</v>
      </c>
      <c r="LA71" s="112">
        <f t="shared" si="85"/>
        <v>41178</v>
      </c>
      <c r="LB71" s="112">
        <f t="shared" si="86"/>
        <v>41471</v>
      </c>
      <c r="LC71">
        <f t="shared" ca="1" si="87"/>
        <v>23618.799999999999</v>
      </c>
      <c r="LD71" s="262">
        <f t="shared" ca="1" si="88"/>
        <v>27926.59</v>
      </c>
      <c r="LE71">
        <f t="shared" si="89"/>
        <v>97</v>
      </c>
      <c r="LF71">
        <f t="shared" ca="1" si="90"/>
        <v>1144.81</v>
      </c>
    </row>
    <row r="72" spans="1:318" ht="180" x14ac:dyDescent="0.25">
      <c r="A72" s="112">
        <f t="shared" si="128"/>
        <v>40422</v>
      </c>
      <c r="B72" s="112">
        <f t="shared" si="19"/>
        <v>40544</v>
      </c>
      <c r="E72" s="240">
        <f>Foglio3!F52</f>
        <v>41184</v>
      </c>
      <c r="F72" s="240">
        <f>Foglio3!G52</f>
        <v>41196</v>
      </c>
      <c r="G72" s="244"/>
      <c r="H72" s="245">
        <f t="shared" si="20"/>
        <v>41184</v>
      </c>
      <c r="I72" s="245">
        <f t="shared" si="2"/>
        <v>41196</v>
      </c>
      <c r="J72" s="244"/>
      <c r="K72" s="244"/>
      <c r="Q72">
        <f t="shared" si="154"/>
        <v>13</v>
      </c>
      <c r="R72">
        <f t="shared" si="155"/>
        <v>13</v>
      </c>
      <c r="S72">
        <f t="shared" si="156"/>
        <v>0</v>
      </c>
      <c r="T72">
        <f t="shared" si="157"/>
        <v>0</v>
      </c>
      <c r="U72">
        <f t="shared" si="158"/>
        <v>13</v>
      </c>
      <c r="W72">
        <f t="shared" si="159"/>
        <v>0</v>
      </c>
      <c r="X72">
        <f t="shared" si="160"/>
        <v>134</v>
      </c>
      <c r="Y72">
        <f t="shared" si="161"/>
        <v>328</v>
      </c>
      <c r="AA72" s="112">
        <f t="shared" si="91"/>
        <v>41184</v>
      </c>
      <c r="AB72" s="112">
        <f t="shared" si="92"/>
        <v>41196</v>
      </c>
      <c r="AG72">
        <f t="shared" si="22"/>
        <v>1</v>
      </c>
      <c r="AH72" s="112">
        <f t="shared" si="93"/>
        <v>41184</v>
      </c>
      <c r="AI72" s="112">
        <f t="shared" si="94"/>
        <v>41196</v>
      </c>
      <c r="CG72">
        <f t="shared" si="24"/>
        <v>2012</v>
      </c>
      <c r="CH72">
        <f t="shared" si="25"/>
        <v>2012</v>
      </c>
      <c r="CJ72">
        <f t="shared" si="26"/>
        <v>0</v>
      </c>
      <c r="CK72">
        <f t="shared" si="147"/>
        <v>0</v>
      </c>
      <c r="CL72">
        <f t="shared" si="27"/>
        <v>0</v>
      </c>
      <c r="CN72">
        <f t="shared" si="28"/>
        <v>0</v>
      </c>
      <c r="CS72">
        <f t="shared" ref="CS72:CS117" si="178">R72</f>
        <v>13</v>
      </c>
      <c r="CT72">
        <f t="shared" ref="CT72:CT117" si="179" xml:space="preserve">  IF(E72&lt;&gt;"",           CS72+CT71,0)</f>
        <v>4348</v>
      </c>
      <c r="CU72" s="243">
        <f t="shared" si="30"/>
        <v>4348</v>
      </c>
      <c r="CV72" s="112">
        <f t="shared" ref="CV72:CV117" si="180">I72</f>
        <v>41196</v>
      </c>
      <c r="CX72" s="112">
        <f t="shared" si="149"/>
        <v>100000</v>
      </c>
      <c r="CY72" s="112">
        <f t="shared" si="105"/>
        <v>100000</v>
      </c>
      <c r="CZ72" s="112">
        <f t="shared" si="106"/>
        <v>100000</v>
      </c>
      <c r="DA72" s="112">
        <f t="shared" si="107"/>
        <v>100000</v>
      </c>
      <c r="DB72" s="112">
        <f t="shared" si="108"/>
        <v>100000</v>
      </c>
      <c r="DC72" s="112">
        <f t="shared" si="109"/>
        <v>100000</v>
      </c>
      <c r="DU72" s="112"/>
      <c r="DV72" s="112"/>
      <c r="DW72" s="277">
        <v>44743</v>
      </c>
      <c r="DX72" s="276"/>
      <c r="DY72" s="276"/>
      <c r="DZ72" s="276"/>
      <c r="EF72" s="260">
        <f t="shared" si="148"/>
        <v>43191</v>
      </c>
      <c r="EK72" s="254"/>
      <c r="EL72">
        <f t="shared" si="152"/>
        <v>33</v>
      </c>
      <c r="EM72" s="260">
        <f t="shared" si="111"/>
        <v>44197</v>
      </c>
      <c r="EN72">
        <f t="shared" si="112"/>
        <v>35</v>
      </c>
      <c r="EO72" s="112">
        <f t="shared" si="113"/>
        <v>44652</v>
      </c>
      <c r="EP72" s="112">
        <f t="shared" si="162"/>
        <v>44652</v>
      </c>
      <c r="ET72">
        <f t="shared" si="37"/>
        <v>15</v>
      </c>
      <c r="EU72" s="260">
        <f t="shared" si="38"/>
        <v>44652</v>
      </c>
      <c r="EV72" t="str">
        <f t="shared" si="39"/>
        <v>15-20 anni</v>
      </c>
      <c r="EW72">
        <f t="shared" si="5"/>
        <v>3</v>
      </c>
      <c r="EX72" s="238">
        <f t="shared" ca="1" si="6"/>
        <v>251</v>
      </c>
      <c r="FA72">
        <f t="shared" ca="1" si="40"/>
        <v>25204.99</v>
      </c>
      <c r="FB72">
        <f t="shared" ca="1" si="163"/>
        <v>0</v>
      </c>
      <c r="FC72">
        <f t="shared" ca="1" si="163"/>
        <v>0</v>
      </c>
      <c r="FD72">
        <f t="shared" ca="1" si="41"/>
        <v>0</v>
      </c>
      <c r="FE72">
        <f t="shared" ca="1" si="163"/>
        <v>75.61</v>
      </c>
      <c r="FG72">
        <f t="shared" ca="1" si="42"/>
        <v>0</v>
      </c>
      <c r="FL72">
        <f t="shared" ca="1" si="8"/>
        <v>2721.6</v>
      </c>
      <c r="FQ72" s="254" t="str">
        <f t="shared" si="43"/>
        <v>15-20 anni</v>
      </c>
      <c r="FR72">
        <f t="shared" si="114"/>
        <v>72</v>
      </c>
      <c r="FS72" t="str">
        <f t="shared" ca="1" si="44"/>
        <v>ev72</v>
      </c>
      <c r="FT72" t="str">
        <f t="shared" ca="1" si="45"/>
        <v>EU72</v>
      </c>
      <c r="FU72" t="str">
        <f t="shared" ca="1" si="45"/>
        <v>FA72</v>
      </c>
      <c r="FV72" t="str">
        <f t="shared" ca="1" si="45"/>
        <v>FB72</v>
      </c>
      <c r="FW72" t="str">
        <f t="shared" ca="1" si="45"/>
        <v>FC72</v>
      </c>
      <c r="FX72" t="str">
        <f t="shared" ca="1" si="45"/>
        <v>FD72</v>
      </c>
      <c r="FY72" t="str">
        <f t="shared" ca="1" si="45"/>
        <v>FE72</v>
      </c>
      <c r="FZ72" t="str">
        <f t="shared" ca="1" si="45"/>
        <v>FG72</v>
      </c>
      <c r="GA72" t="str">
        <f t="shared" ref="FZ72:GC87" ca="1" si="181">IF(INDIRECT(  CONCATENATE(GA$34,$FR72 ))&lt;&gt;"",     CONCATENATE(GA$34,$FR72 ),"")</f>
        <v>FL72</v>
      </c>
      <c r="GB72" t="str">
        <f t="shared" ca="1" si="181"/>
        <v/>
      </c>
      <c r="GC72" t="str">
        <f t="shared" ca="1" si="181"/>
        <v/>
      </c>
      <c r="GD72">
        <f t="shared" ca="1" si="168"/>
        <v>33</v>
      </c>
      <c r="GE72" s="112">
        <f t="shared" ca="1" si="169"/>
        <v>44652</v>
      </c>
      <c r="GF72" s="112" t="str">
        <f t="shared" ca="1" si="170"/>
        <v>15-20 anni</v>
      </c>
      <c r="GG72" s="262">
        <f t="shared" ca="1" si="171"/>
        <v>25204.99</v>
      </c>
      <c r="GH72" s="262">
        <f t="shared" ca="1" si="172"/>
        <v>0</v>
      </c>
      <c r="GI72" s="262">
        <f t="shared" ca="1" si="173"/>
        <v>0</v>
      </c>
      <c r="GJ72" s="262">
        <f t="shared" ca="1" si="174"/>
        <v>0</v>
      </c>
      <c r="GK72" s="262">
        <f t="shared" ca="1" si="175"/>
        <v>75.61</v>
      </c>
      <c r="GL72" s="262">
        <f t="shared" ca="1" si="176"/>
        <v>0</v>
      </c>
      <c r="GM72" s="262">
        <f t="shared" ca="1" si="177"/>
        <v>2721.6</v>
      </c>
      <c r="GN72" s="262">
        <f t="shared" ca="1" si="55"/>
        <v>0</v>
      </c>
      <c r="GO72" s="262">
        <f t="shared" ca="1" si="11"/>
        <v>0</v>
      </c>
      <c r="GQ72" s="263" t="str">
        <f t="shared" ca="1" si="56"/>
        <v>C.C.N.L. COMPARTO  SCUOLA del Dicembre 2022</v>
      </c>
      <c r="GR72" s="262">
        <f t="shared" ca="1" si="57"/>
        <v>28002.2</v>
      </c>
      <c r="GS72" s="253" t="str">
        <f t="shared" ca="1" si="58"/>
        <v xml:space="preserve">ARTICOLO 33
</v>
      </c>
      <c r="GT72" t="str">
        <f t="shared" ca="1" si="59"/>
        <v xml:space="preserve">con decorrenza dalla data: 1/4/2022  </v>
      </c>
      <c r="GU72" t="str">
        <f t="shared" ca="1" si="60"/>
        <v xml:space="preserve"> Fascia: 15-20 anni - C.C.N.L. COMPARTO  SCUOLA del Dicembre 2022
</v>
      </c>
      <c r="GV72" t="str">
        <f t="shared" ca="1" si="61"/>
        <v xml:space="preserve">
                              Stipendio annuo lordo                            euro: 25204,99
</v>
      </c>
      <c r="GW72" t="str">
        <f t="shared" ca="1" si="62"/>
        <v/>
      </c>
      <c r="GX72" t="str">
        <f t="shared" ca="1" si="63"/>
        <v/>
      </c>
      <c r="GY72" t="str">
        <f t="shared" ca="1" si="64"/>
        <v/>
      </c>
      <c r="GZ72" t="str">
        <f t="shared" ca="1" si="65"/>
        <v xml:space="preserve">               Indennita di Vacanza contr.le -     annuo lordo    euro : 75,61
</v>
      </c>
      <c r="HA72" t="str">
        <f t="shared" ca="1" si="66"/>
        <v/>
      </c>
      <c r="HB72" t="str">
        <f t="shared" ca="1" si="67"/>
        <v xml:space="preserve">                                rpd/cia - annuo lordo                             euro: 2721,6
</v>
      </c>
      <c r="HC72" t="str">
        <f t="shared" ca="1" si="68"/>
        <v/>
      </c>
      <c r="HD72" s="254" t="str">
        <f t="shared" ca="1" si="69"/>
        <v/>
      </c>
      <c r="HL72" s="263" t="str">
        <f t="shared" ca="1" si="71"/>
        <v xml:space="preserve">ARTICOLO 33
con decorrenza dalla data: 1/4/2022   Fascia: 15-20 anni - C.C.N.L. COMPARTO  SCUOLA del Dicembre 2022
                              Stipendio annuo lordo                            euro: 25204,99
               Indennita di Vacanza contr.le -     annuo lordo    euro : 75,61
                                rpd/cia - annuo lordo                             euro: 2721,6
</v>
      </c>
      <c r="HN72" s="272" t="str">
        <f t="shared" ca="1" si="13"/>
        <v xml:space="preserve">ARTICOLO 33
con decorrenza dalla data: 1/4/2022   Fascia: 15-20 anni - C.C.N.L. COMPARTO  SCUOLA del Dicembre 2022
                              Stipendio annuo lordo                            euro: 25204,99
               Indennita di Vacanza contr.le -     annuo lordo    euro : 75,61
                                rpd/cia - annuo lordo                             euro: 2721,6
</v>
      </c>
      <c r="HO72">
        <f t="shared" ca="1" si="72"/>
        <v>33</v>
      </c>
      <c r="HP72" t="str">
        <f t="shared" ca="1" si="73"/>
        <v/>
      </c>
      <c r="HQ72" t="str">
        <f t="shared" ca="1" si="165"/>
        <v/>
      </c>
      <c r="HR72" t="str">
        <f t="shared" ca="1" si="166"/>
        <v/>
      </c>
      <c r="HW72" s="253" t="s">
        <v>187</v>
      </c>
      <c r="HX72" s="112" t="str">
        <f t="shared" si="76"/>
        <v>2/10/2012</v>
      </c>
      <c r="HY72" t="s">
        <v>188</v>
      </c>
      <c r="HZ72" s="112" t="str">
        <f t="shared" si="77"/>
        <v>14/10/2012</v>
      </c>
      <c r="IA72" t="s">
        <v>189</v>
      </c>
      <c r="IB72">
        <f t="shared" si="78"/>
        <v>0</v>
      </c>
      <c r="IC72" t="s">
        <v>192</v>
      </c>
      <c r="ID72">
        <f t="shared" si="79"/>
        <v>0</v>
      </c>
      <c r="IE72" t="s">
        <v>191</v>
      </c>
      <c r="IF72" s="254">
        <f t="shared" si="80"/>
        <v>13</v>
      </c>
      <c r="IK72" t="str">
        <f t="shared" si="167"/>
        <v xml:space="preserve">DAL: 2/10/2012 - AL:14/10/2012 - ANNI:0 - MESI:0 -GIORNI:13
</v>
      </c>
      <c r="JP72">
        <f ca="1">IF(Foglio3!DM45=100000,0,IF(Foglio3!DM45="",0,1))</f>
        <v>1</v>
      </c>
      <c r="JQ72" s="314">
        <f ca="1" xml:space="preserve">   IF(JP72=1,     Foglio3!DM45,IF(JP72=0,IF(JP71=1,"","")))</f>
        <v>37629</v>
      </c>
      <c r="JR72" s="314">
        <f ca="1">IF(          Foglio3!DN45=100000,"",Foglio3!DN45)</f>
        <v>37663</v>
      </c>
      <c r="JS72" s="272">
        <f ca="1">IF(Foglio3!DN45=100000,"",Foglio3!DO45)</f>
        <v>16</v>
      </c>
      <c r="JT72" s="272">
        <f ca="1">IF(Foglio3!DN45=100000,"",Foglio3!DP45)</f>
        <v>24</v>
      </c>
      <c r="JU72" s="272">
        <f ca="1">IF(Foglio3!DN45=100000,"",Foglio3!DQ45)</f>
        <v>35</v>
      </c>
      <c r="JV72" s="272">
        <f ca="1">IF(JU72="","",Foglio3!DR45)</f>
        <v>0</v>
      </c>
      <c r="JW72" s="272">
        <f ca="1">IF(Foglio3!DN45=100000,"",Foglio3!DS45)</f>
        <v>18865.349999999999</v>
      </c>
      <c r="JX72" s="272">
        <f ca="1">IF(Foglio3!DN45=100000,"",Foglio3!DT45)</f>
        <v>18414.099999999999</v>
      </c>
      <c r="JY72" s="272">
        <f ca="1">IF(Foglio3!DN45=100000,"",Foglio3!DU45)</f>
        <v>28.85</v>
      </c>
      <c r="JZ72" s="272" t="str">
        <f ca="1">IF(Foglio3!DN45=100000,"",Foglio3!DV45)</f>
        <v>3/8 anni</v>
      </c>
      <c r="KC72">
        <v>0</v>
      </c>
      <c r="KD72" s="260">
        <f t="shared" ca="1" si="81"/>
        <v>44652</v>
      </c>
      <c r="KE72" t="str">
        <f t="shared" si="82"/>
        <v>0-2 anni</v>
      </c>
      <c r="KF72">
        <f t="shared" si="15"/>
        <v>6</v>
      </c>
      <c r="KG72" s="238">
        <f t="shared" ca="1" si="16"/>
        <v>248</v>
      </c>
      <c r="KJ72">
        <f t="shared" ca="1" si="83"/>
        <v>14513.09</v>
      </c>
      <c r="KK72">
        <f t="shared" ca="1" si="164"/>
        <v>0</v>
      </c>
      <c r="KL72">
        <f t="shared" ca="1" si="164"/>
        <v>0</v>
      </c>
      <c r="KM72">
        <f t="shared" ca="1" si="164"/>
        <v>6384.11</v>
      </c>
      <c r="KN72">
        <f t="shared" ca="1" si="164"/>
        <v>75.61</v>
      </c>
      <c r="KU72">
        <f t="shared" ca="1" si="18"/>
        <v>2721.6</v>
      </c>
      <c r="KZ72" s="254" t="str">
        <f t="shared" si="84"/>
        <v>0-2 anni</v>
      </c>
      <c r="LA72" s="112">
        <f t="shared" si="85"/>
        <v>41184</v>
      </c>
      <c r="LB72" s="112">
        <f t="shared" si="86"/>
        <v>41196</v>
      </c>
      <c r="LC72">
        <f t="shared" ca="1" si="87"/>
        <v>23694.41</v>
      </c>
      <c r="LD72" s="262">
        <f t="shared" ca="1" si="88"/>
        <v>28002.2</v>
      </c>
      <c r="LE72">
        <f t="shared" si="89"/>
        <v>13</v>
      </c>
      <c r="LF72">
        <f t="shared" ca="1" si="90"/>
        <v>153.43</v>
      </c>
    </row>
    <row r="73" spans="1:318" ht="180" x14ac:dyDescent="0.25">
      <c r="A73" s="112">
        <f t="shared" si="128"/>
        <v>40422</v>
      </c>
      <c r="B73" s="112">
        <f t="shared" si="19"/>
        <v>40544</v>
      </c>
      <c r="E73" s="240">
        <f>Foglio3!F53</f>
        <v>41197</v>
      </c>
      <c r="F73" s="240">
        <f>Foglio3!G53</f>
        <v>41239</v>
      </c>
      <c r="G73" s="244"/>
      <c r="H73" s="245">
        <f t="shared" si="20"/>
        <v>41197</v>
      </c>
      <c r="I73" s="245">
        <f t="shared" si="2"/>
        <v>41239</v>
      </c>
      <c r="J73" s="244"/>
      <c r="K73" s="244"/>
      <c r="Q73">
        <f t="shared" si="154"/>
        <v>43</v>
      </c>
      <c r="R73">
        <f t="shared" si="155"/>
        <v>43</v>
      </c>
      <c r="S73">
        <f t="shared" si="156"/>
        <v>0</v>
      </c>
      <c r="T73">
        <f t="shared" si="157"/>
        <v>1</v>
      </c>
      <c r="U73">
        <f t="shared" si="158"/>
        <v>13</v>
      </c>
      <c r="W73">
        <f t="shared" si="159"/>
        <v>0</v>
      </c>
      <c r="X73">
        <f t="shared" si="160"/>
        <v>135</v>
      </c>
      <c r="Y73">
        <f t="shared" si="161"/>
        <v>341</v>
      </c>
      <c r="AA73" s="112">
        <f t="shared" si="91"/>
        <v>41197</v>
      </c>
      <c r="AB73" s="112">
        <f t="shared" si="92"/>
        <v>41239</v>
      </c>
      <c r="AG73">
        <f t="shared" si="22"/>
        <v>1</v>
      </c>
      <c r="AH73" s="112">
        <f t="shared" si="93"/>
        <v>41197</v>
      </c>
      <c r="AI73" s="112">
        <f t="shared" si="94"/>
        <v>41239</v>
      </c>
      <c r="CG73">
        <f t="shared" si="24"/>
        <v>2012</v>
      </c>
      <c r="CH73">
        <f t="shared" si="25"/>
        <v>2012</v>
      </c>
      <c r="CJ73">
        <f t="shared" si="26"/>
        <v>0</v>
      </c>
      <c r="CK73">
        <f t="shared" si="147"/>
        <v>0</v>
      </c>
      <c r="CL73">
        <f t="shared" si="27"/>
        <v>0</v>
      </c>
      <c r="CN73">
        <f t="shared" si="28"/>
        <v>0</v>
      </c>
      <c r="CS73">
        <f t="shared" si="178"/>
        <v>43</v>
      </c>
      <c r="CT73">
        <f t="shared" si="179"/>
        <v>4391</v>
      </c>
      <c r="CU73" s="243">
        <f t="shared" si="30"/>
        <v>4391</v>
      </c>
      <c r="CV73" s="112">
        <f t="shared" si="180"/>
        <v>41239</v>
      </c>
      <c r="CX73" s="112">
        <f t="shared" si="149"/>
        <v>100000</v>
      </c>
      <c r="CY73" s="112">
        <f t="shared" si="105"/>
        <v>100000</v>
      </c>
      <c r="CZ73" s="112">
        <f t="shared" si="106"/>
        <v>100000</v>
      </c>
      <c r="DA73" s="112">
        <f t="shared" si="107"/>
        <v>100000</v>
      </c>
      <c r="DB73" s="112">
        <f t="shared" si="108"/>
        <v>100000</v>
      </c>
      <c r="DC73" s="112">
        <f t="shared" si="109"/>
        <v>100000</v>
      </c>
      <c r="DU73" s="112"/>
      <c r="DV73" s="112"/>
      <c r="DW73" s="276"/>
      <c r="DX73" s="276"/>
      <c r="DY73" s="276"/>
      <c r="DZ73" s="276"/>
      <c r="EF73" s="260">
        <f t="shared" si="148"/>
        <v>43466</v>
      </c>
      <c r="EK73" s="254"/>
      <c r="EL73">
        <f t="shared" si="152"/>
        <v>34</v>
      </c>
      <c r="EM73" s="260">
        <f t="shared" si="111"/>
        <v>44562</v>
      </c>
      <c r="EN73">
        <f t="shared" si="112"/>
        <v>36</v>
      </c>
      <c r="EO73" s="112">
        <f t="shared" si="113"/>
        <v>44743</v>
      </c>
      <c r="EP73" s="112">
        <f t="shared" si="162"/>
        <v>44743</v>
      </c>
      <c r="ET73">
        <f t="shared" si="37"/>
        <v>15</v>
      </c>
      <c r="EU73" s="260">
        <f t="shared" si="38"/>
        <v>44743</v>
      </c>
      <c r="EV73" t="str">
        <f t="shared" si="39"/>
        <v>15-20 anni</v>
      </c>
      <c r="EW73">
        <f t="shared" si="5"/>
        <v>3</v>
      </c>
      <c r="EX73" s="238">
        <f t="shared" ca="1" si="6"/>
        <v>258</v>
      </c>
      <c r="FA73">
        <f t="shared" ca="1" si="40"/>
        <v>25204.99</v>
      </c>
      <c r="FB73">
        <f t="shared" ca="1" si="163"/>
        <v>0</v>
      </c>
      <c r="FC73">
        <f t="shared" ca="1" si="163"/>
        <v>0</v>
      </c>
      <c r="FD73">
        <f t="shared" ca="1" si="41"/>
        <v>0</v>
      </c>
      <c r="FE73">
        <f t="shared" ca="1" si="163"/>
        <v>126.02</v>
      </c>
      <c r="FG73">
        <f t="shared" ca="1" si="42"/>
        <v>0</v>
      </c>
      <c r="FL73">
        <f t="shared" ca="1" si="8"/>
        <v>2721.6</v>
      </c>
      <c r="FQ73" s="254" t="str">
        <f t="shared" si="43"/>
        <v>15-20 anni</v>
      </c>
      <c r="FR73">
        <f t="shared" si="114"/>
        <v>73</v>
      </c>
      <c r="FS73" t="str">
        <f t="shared" ca="1" si="44"/>
        <v>ev73</v>
      </c>
      <c r="FT73" t="str">
        <f t="shared" ca="1" si="45"/>
        <v>EU73</v>
      </c>
      <c r="FU73" t="str">
        <f t="shared" ca="1" si="45"/>
        <v>FA73</v>
      </c>
      <c r="FV73" t="str">
        <f t="shared" ca="1" si="45"/>
        <v>FB73</v>
      </c>
      <c r="FW73" t="str">
        <f t="shared" ca="1" si="45"/>
        <v>FC73</v>
      </c>
      <c r="FX73" t="str">
        <f t="shared" ca="1" si="45"/>
        <v>FD73</v>
      </c>
      <c r="FY73" t="str">
        <f t="shared" ca="1" si="45"/>
        <v>FE73</v>
      </c>
      <c r="FZ73" t="str">
        <f t="shared" ca="1" si="181"/>
        <v>FG73</v>
      </c>
      <c r="GA73" t="str">
        <f t="shared" ca="1" si="181"/>
        <v>FL73</v>
      </c>
      <c r="GB73" t="str">
        <f t="shared" ca="1" si="181"/>
        <v/>
      </c>
      <c r="GC73" t="str">
        <f t="shared" ca="1" si="181"/>
        <v/>
      </c>
      <c r="GD73">
        <f t="shared" ca="1" si="168"/>
        <v>34</v>
      </c>
      <c r="GE73" s="112">
        <f t="shared" ca="1" si="169"/>
        <v>44743</v>
      </c>
      <c r="GF73" s="112" t="str">
        <f t="shared" ca="1" si="170"/>
        <v>15-20 anni</v>
      </c>
      <c r="GG73" s="262">
        <f t="shared" ca="1" si="171"/>
        <v>25204.99</v>
      </c>
      <c r="GH73" s="262">
        <f t="shared" ca="1" si="172"/>
        <v>0</v>
      </c>
      <c r="GI73" s="262">
        <f t="shared" ca="1" si="173"/>
        <v>0</v>
      </c>
      <c r="GJ73" s="262">
        <f t="shared" ca="1" si="174"/>
        <v>0</v>
      </c>
      <c r="GK73" s="262">
        <f t="shared" ca="1" si="175"/>
        <v>126.02</v>
      </c>
      <c r="GL73" s="262">
        <f t="shared" ca="1" si="176"/>
        <v>0</v>
      </c>
      <c r="GM73" s="262">
        <f t="shared" ca="1" si="177"/>
        <v>2721.6</v>
      </c>
      <c r="GN73" s="262">
        <f t="shared" ca="1" si="55"/>
        <v>0</v>
      </c>
      <c r="GO73" s="262">
        <f t="shared" ca="1" si="11"/>
        <v>0</v>
      </c>
      <c r="GQ73" s="263" t="str">
        <f t="shared" ca="1" si="56"/>
        <v>C.C.N.L. COMPARTO  SCUOLA del Dicembre 2022</v>
      </c>
      <c r="GR73" s="262">
        <f t="shared" ca="1" si="57"/>
        <v>28052.61</v>
      </c>
      <c r="GS73" s="253" t="str">
        <f t="shared" ca="1" si="58"/>
        <v xml:space="preserve">ARTICOLO 34
</v>
      </c>
      <c r="GT73" t="str">
        <f t="shared" ca="1" si="59"/>
        <v xml:space="preserve">con decorrenza dalla data: 1/7/2022  </v>
      </c>
      <c r="GU73" t="str">
        <f t="shared" ca="1" si="60"/>
        <v xml:space="preserve"> Fascia: 15-20 anni - C.C.N.L. COMPARTO  SCUOLA del Dicembre 2022
</v>
      </c>
      <c r="GV73" t="str">
        <f t="shared" ca="1" si="61"/>
        <v xml:space="preserve">
                              Stipendio annuo lordo                            euro: 25204,99
</v>
      </c>
      <c r="GW73" t="str">
        <f t="shared" ca="1" si="62"/>
        <v/>
      </c>
      <c r="GX73" t="str">
        <f t="shared" ca="1" si="63"/>
        <v/>
      </c>
      <c r="GY73" t="str">
        <f t="shared" ca="1" si="64"/>
        <v/>
      </c>
      <c r="GZ73" t="str">
        <f t="shared" ca="1" si="65"/>
        <v xml:space="preserve">               Indennita di Vacanza contr.le -     annuo lordo    euro : 126,02
</v>
      </c>
      <c r="HA73" t="str">
        <f t="shared" ca="1" si="66"/>
        <v/>
      </c>
      <c r="HB73" t="str">
        <f t="shared" ca="1" si="67"/>
        <v xml:space="preserve">                                rpd/cia - annuo lordo                             euro: 2721,6
</v>
      </c>
      <c r="HC73" t="str">
        <f t="shared" ca="1" si="68"/>
        <v/>
      </c>
      <c r="HD73" s="254" t="str">
        <f t="shared" ca="1" si="69"/>
        <v/>
      </c>
      <c r="HL73" s="263" t="str">
        <f t="shared" ca="1" si="71"/>
        <v xml:space="preserve">ARTICOLO 34
con decorrenza dalla data: 1/7/2022   Fascia: 15-20 anni - C.C.N.L. COMPARTO  SCUOLA del Dicembre 2022
                              Stipendio annuo lordo                            euro: 25204,99
               Indennita di Vacanza contr.le -     annuo lordo    euro : 126,02
                                rpd/cia - annuo lordo                             euro: 2721,6
</v>
      </c>
      <c r="HN73" s="272" t="str">
        <f t="shared" ca="1" si="13"/>
        <v xml:space="preserve">ARTICOLO 34
con decorrenza dalla data: 1/7/2022   Fascia: 15-20 anni - C.C.N.L. COMPARTO  SCUOLA del Dicembre 2022
                              Stipendio annuo lordo                            euro: 25204,99
               Indennita di Vacanza contr.le -     annuo lordo    euro : 126,02
                                rpd/cia - annuo lordo                             euro: 2721,6
</v>
      </c>
      <c r="HO73">
        <f t="shared" ca="1" si="72"/>
        <v>34</v>
      </c>
      <c r="HP73" t="str">
        <f t="shared" ca="1" si="73"/>
        <v/>
      </c>
      <c r="HQ73" t="str">
        <f t="shared" ca="1" si="165"/>
        <v/>
      </c>
      <c r="HR73" t="str">
        <f t="shared" ca="1" si="166"/>
        <v/>
      </c>
      <c r="HW73" s="253" t="s">
        <v>187</v>
      </c>
      <c r="HX73" s="112" t="str">
        <f t="shared" si="76"/>
        <v>15/10/2012</v>
      </c>
      <c r="HY73" t="s">
        <v>188</v>
      </c>
      <c r="HZ73" s="112" t="str">
        <f t="shared" si="77"/>
        <v>26/11/2012</v>
      </c>
      <c r="IA73" t="s">
        <v>189</v>
      </c>
      <c r="IB73">
        <f t="shared" si="78"/>
        <v>0</v>
      </c>
      <c r="IC73" t="s">
        <v>192</v>
      </c>
      <c r="ID73">
        <f t="shared" si="79"/>
        <v>1</v>
      </c>
      <c r="IE73" t="s">
        <v>191</v>
      </c>
      <c r="IF73" s="254">
        <f t="shared" si="80"/>
        <v>13</v>
      </c>
      <c r="IK73" t="str">
        <f t="shared" si="167"/>
        <v xml:space="preserve">DAL: 15/10/2012 - AL:26/11/2012 - ANNI:0 - MESI:1 -GIORNI:13
</v>
      </c>
      <c r="JP73">
        <f ca="1">IF(Foglio3!DM46=100000,0,IF(Foglio3!DM46="",0,1))</f>
        <v>1</v>
      </c>
      <c r="JQ73" s="314">
        <f ca="1" xml:space="preserve">   IF(JP73=1,     Foglio3!DM46,IF(JP73=0,IF(JP72=1,"","")))</f>
        <v>37644</v>
      </c>
      <c r="JR73" s="314">
        <f ca="1">IF(          Foglio3!DN46=100000,"",Foglio3!DN46)</f>
        <v>37783</v>
      </c>
      <c r="JS73" s="272">
        <f ca="1">IF(Foglio3!DN46=100000,"",Foglio3!DO46)</f>
        <v>2</v>
      </c>
      <c r="JT73" s="272">
        <f ca="1">IF(Foglio3!DN46=100000,"",Foglio3!DP46)</f>
        <v>24</v>
      </c>
      <c r="JU73" s="272">
        <f ca="1">IF(Foglio3!DN46=100000,"",Foglio3!DQ46)</f>
        <v>140</v>
      </c>
      <c r="JV73" s="272">
        <f ca="1">IF(JU73="","",Foglio3!DR46)</f>
        <v>0</v>
      </c>
      <c r="JW73" s="272">
        <f ca="1">IF(Foglio3!DN46=100000,"",Foglio3!DS46)</f>
        <v>18865.349999999999</v>
      </c>
      <c r="JX73" s="272">
        <f ca="1">IF(Foglio3!DN46=100000,"",Foglio3!DT46)</f>
        <v>18414.099999999999</v>
      </c>
      <c r="JY73" s="272">
        <f ca="1">IF(Foglio3!DN46=100000,"",Foglio3!DU46)</f>
        <v>14.42</v>
      </c>
      <c r="JZ73" s="272" t="str">
        <f ca="1">IF(Foglio3!DN46=100000,"",Foglio3!DV46)</f>
        <v>3/8 anni</v>
      </c>
      <c r="KC73">
        <v>0</v>
      </c>
      <c r="KD73" s="260">
        <f t="shared" ca="1" si="81"/>
        <v>44743</v>
      </c>
      <c r="KE73" t="str">
        <f t="shared" si="82"/>
        <v>0-2 anni</v>
      </c>
      <c r="KF73">
        <f t="shared" si="15"/>
        <v>6</v>
      </c>
      <c r="KG73" s="238">
        <f t="shared" ca="1" si="16"/>
        <v>255</v>
      </c>
      <c r="KJ73">
        <f t="shared" ca="1" si="83"/>
        <v>14513.09</v>
      </c>
      <c r="KK73">
        <f t="shared" ca="1" si="164"/>
        <v>0</v>
      </c>
      <c r="KL73">
        <f t="shared" ca="1" si="164"/>
        <v>0</v>
      </c>
      <c r="KM73">
        <f t="shared" ca="1" si="164"/>
        <v>6384.11</v>
      </c>
      <c r="KN73">
        <f t="shared" ca="1" si="164"/>
        <v>126.02</v>
      </c>
      <c r="KU73">
        <f t="shared" ca="1" si="18"/>
        <v>2721.6</v>
      </c>
      <c r="KZ73" s="254" t="str">
        <f t="shared" si="84"/>
        <v>0-2 anni</v>
      </c>
      <c r="LA73" s="112">
        <f t="shared" si="85"/>
        <v>41197</v>
      </c>
      <c r="LB73" s="112">
        <f t="shared" si="86"/>
        <v>41239</v>
      </c>
      <c r="LC73">
        <f t="shared" ca="1" si="87"/>
        <v>23744.82</v>
      </c>
      <c r="LD73" s="262">
        <f t="shared" ca="1" si="88"/>
        <v>28052.61</v>
      </c>
      <c r="LE73">
        <f t="shared" si="89"/>
        <v>43</v>
      </c>
      <c r="LF73">
        <f t="shared" ca="1" si="90"/>
        <v>507.49</v>
      </c>
    </row>
    <row r="74" spans="1:318" ht="240" x14ac:dyDescent="0.25">
      <c r="A74" s="112">
        <f t="shared" si="128"/>
        <v>40422</v>
      </c>
      <c r="B74" s="112">
        <f t="shared" si="19"/>
        <v>40544</v>
      </c>
      <c r="E74" s="240">
        <f>Foglio3!F54</f>
        <v>41240</v>
      </c>
      <c r="F74" s="240">
        <f>Foglio3!G54</f>
        <v>41471</v>
      </c>
      <c r="G74" s="244"/>
      <c r="H74" s="245">
        <f t="shared" si="20"/>
        <v>41240</v>
      </c>
      <c r="I74" s="245">
        <f t="shared" si="2"/>
        <v>41274</v>
      </c>
      <c r="J74" s="244"/>
      <c r="K74" s="244"/>
      <c r="Q74">
        <f t="shared" si="154"/>
        <v>35</v>
      </c>
      <c r="R74">
        <f t="shared" si="155"/>
        <v>35</v>
      </c>
      <c r="S74">
        <f t="shared" si="156"/>
        <v>0</v>
      </c>
      <c r="T74">
        <f t="shared" si="157"/>
        <v>1</v>
      </c>
      <c r="U74">
        <f t="shared" si="158"/>
        <v>5</v>
      </c>
      <c r="W74">
        <f t="shared" si="159"/>
        <v>0</v>
      </c>
      <c r="X74">
        <f t="shared" si="160"/>
        <v>136</v>
      </c>
      <c r="Y74">
        <f t="shared" si="161"/>
        <v>346</v>
      </c>
      <c r="AA74" s="112">
        <f t="shared" si="91"/>
        <v>41240</v>
      </c>
      <c r="AB74" s="112">
        <f t="shared" si="92"/>
        <v>41274</v>
      </c>
      <c r="AG74">
        <f t="shared" si="22"/>
        <v>1</v>
      </c>
      <c r="AH74" s="112">
        <f t="shared" si="93"/>
        <v>41240</v>
      </c>
      <c r="AI74" s="112">
        <f t="shared" si="94"/>
        <v>41274</v>
      </c>
      <c r="CG74">
        <f t="shared" si="24"/>
        <v>2012</v>
      </c>
      <c r="CH74">
        <f t="shared" si="25"/>
        <v>2013</v>
      </c>
      <c r="CJ74">
        <f t="shared" si="26"/>
        <v>0</v>
      </c>
      <c r="CK74">
        <f t="shared" si="147"/>
        <v>196</v>
      </c>
      <c r="CL74">
        <f t="shared" si="27"/>
        <v>0</v>
      </c>
      <c r="CN74">
        <f t="shared" si="28"/>
        <v>196</v>
      </c>
      <c r="CS74">
        <f t="shared" si="178"/>
        <v>35</v>
      </c>
      <c r="CT74">
        <f t="shared" si="179"/>
        <v>4426</v>
      </c>
      <c r="CU74" s="243">
        <f t="shared" si="30"/>
        <v>4426</v>
      </c>
      <c r="CV74" s="112">
        <f t="shared" si="180"/>
        <v>41274</v>
      </c>
      <c r="CX74" s="112">
        <f t="shared" si="149"/>
        <v>100000</v>
      </c>
      <c r="CY74" s="112">
        <f t="shared" si="105"/>
        <v>100000</v>
      </c>
      <c r="CZ74" s="112">
        <f t="shared" si="106"/>
        <v>100000</v>
      </c>
      <c r="DA74" s="112">
        <f t="shared" si="107"/>
        <v>100000</v>
      </c>
      <c r="DB74" s="112">
        <f t="shared" si="108"/>
        <v>100000</v>
      </c>
      <c r="DC74" s="112">
        <f t="shared" si="109"/>
        <v>100000</v>
      </c>
      <c r="DU74" s="112"/>
      <c r="DV74" s="112"/>
      <c r="DW74" s="276"/>
      <c r="DX74" s="276"/>
      <c r="DY74" s="276"/>
      <c r="DZ74" s="276"/>
      <c r="EF74" s="260">
        <f t="shared" si="148"/>
        <v>43831</v>
      </c>
      <c r="EK74" s="254"/>
      <c r="EL74">
        <f t="shared" si="152"/>
        <v>35</v>
      </c>
      <c r="EM74" s="260">
        <f t="shared" si="111"/>
        <v>44652</v>
      </c>
      <c r="EN74">
        <f t="shared" si="112"/>
        <v>37</v>
      </c>
      <c r="EO74" s="112" t="e">
        <f t="shared" si="113"/>
        <v>#NUM!</v>
      </c>
      <c r="EP74" s="112" t="str">
        <f t="shared" si="162"/>
        <v/>
      </c>
      <c r="ET74">
        <f t="shared" si="37"/>
        <v>35</v>
      </c>
      <c r="EU74" s="260" t="str">
        <f t="shared" si="38"/>
        <v/>
      </c>
      <c r="EV74" t="str">
        <f t="shared" si="39"/>
        <v>35 anni</v>
      </c>
      <c r="EW74">
        <f t="shared" si="5"/>
        <v>0</v>
      </c>
      <c r="EX74" s="238" t="e">
        <f t="shared" ca="1" si="6"/>
        <v>#N/A</v>
      </c>
      <c r="FA74" t="e">
        <f t="shared" ca="1" si="40"/>
        <v>#N/A</v>
      </c>
      <c r="FB74" t="e">
        <f t="shared" ca="1" si="163"/>
        <v>#N/A</v>
      </c>
      <c r="FC74" t="e">
        <f t="shared" ca="1" si="163"/>
        <v>#N/A</v>
      </c>
      <c r="FD74">
        <f t="shared" ca="1" si="41"/>
        <v>0</v>
      </c>
      <c r="FE74" t="e">
        <f t="shared" ca="1" si="163"/>
        <v>#N/A</v>
      </c>
      <c r="FG74" t="e">
        <f t="shared" ca="1" si="42"/>
        <v>#N/A</v>
      </c>
      <c r="FL74" t="e">
        <f t="shared" ca="1" si="8"/>
        <v>#N/A</v>
      </c>
      <c r="FQ74" s="254" t="str">
        <f t="shared" si="43"/>
        <v>35 anni</v>
      </c>
      <c r="FR74">
        <f t="shared" si="114"/>
        <v>74</v>
      </c>
      <c r="FS74" t="str">
        <f t="shared" ca="1" si="44"/>
        <v>ev74</v>
      </c>
      <c r="FT74" t="str">
        <f t="shared" ca="1" si="45"/>
        <v/>
      </c>
      <c r="FU74" t="e">
        <f t="shared" ca="1" si="45"/>
        <v>#N/A</v>
      </c>
      <c r="FV74" t="e">
        <f t="shared" ca="1" si="45"/>
        <v>#N/A</v>
      </c>
      <c r="FW74" t="e">
        <f t="shared" ca="1" si="45"/>
        <v>#N/A</v>
      </c>
      <c r="FX74" t="str">
        <f t="shared" ca="1" si="45"/>
        <v>FD74</v>
      </c>
      <c r="FY74" t="e">
        <f t="shared" ca="1" si="45"/>
        <v>#N/A</v>
      </c>
      <c r="FZ74" t="e">
        <f t="shared" ca="1" si="181"/>
        <v>#N/A</v>
      </c>
      <c r="GA74" t="e">
        <f t="shared" ca="1" si="181"/>
        <v>#N/A</v>
      </c>
      <c r="GB74" t="str">
        <f t="shared" ca="1" si="181"/>
        <v/>
      </c>
      <c r="GC74" t="str">
        <f t="shared" ca="1" si="181"/>
        <v/>
      </c>
      <c r="GN74" s="262">
        <f t="shared" ca="1" si="55"/>
        <v>0</v>
      </c>
      <c r="GO74" s="262">
        <f t="shared" ca="1" si="11"/>
        <v>0</v>
      </c>
      <c r="GQ74" s="263" t="e">
        <f t="shared" si="56"/>
        <v>#N/A</v>
      </c>
      <c r="GR74" s="262">
        <f t="shared" ca="1" si="57"/>
        <v>0</v>
      </c>
      <c r="GS74" s="253" t="str">
        <f t="shared" si="58"/>
        <v/>
      </c>
      <c r="GT74" t="str">
        <f t="shared" si="59"/>
        <v/>
      </c>
      <c r="GU74" t="str">
        <f t="shared" si="60"/>
        <v/>
      </c>
      <c r="GV74" t="str">
        <f t="shared" si="61"/>
        <v/>
      </c>
      <c r="GW74" t="str">
        <f t="shared" si="62"/>
        <v/>
      </c>
      <c r="GX74" t="str">
        <f t="shared" si="63"/>
        <v/>
      </c>
      <c r="GY74" t="str">
        <f t="shared" si="64"/>
        <v/>
      </c>
      <c r="GZ74" t="str">
        <f t="shared" si="65"/>
        <v/>
      </c>
      <c r="HA74" t="str">
        <f t="shared" si="66"/>
        <v/>
      </c>
      <c r="HB74" t="str">
        <f t="shared" si="67"/>
        <v/>
      </c>
      <c r="HC74" t="str">
        <f t="shared" ca="1" si="68"/>
        <v/>
      </c>
      <c r="HD74" s="254" t="str">
        <f t="shared" ca="1" si="69"/>
        <v/>
      </c>
      <c r="HL74" s="263" t="str">
        <f t="shared" ca="1" si="71"/>
        <v/>
      </c>
      <c r="HN74" s="272" t="str">
        <f t="shared" ca="1" si="13"/>
        <v>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O74">
        <f t="shared" si="72"/>
        <v>0</v>
      </c>
      <c r="HP74" t="str">
        <f t="shared" ca="1" si="73"/>
        <v>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Q74" t="str">
        <f t="shared" ca="1" si="165"/>
        <v/>
      </c>
      <c r="HR74" t="str">
        <f t="shared" ca="1" si="166"/>
        <v/>
      </c>
      <c r="HW74" s="253" t="s">
        <v>187</v>
      </c>
      <c r="HX74" s="112" t="str">
        <f t="shared" si="76"/>
        <v>27/11/2012</v>
      </c>
      <c r="HY74" t="s">
        <v>188</v>
      </c>
      <c r="HZ74" s="112" t="str">
        <f t="shared" si="77"/>
        <v>16/7/2013</v>
      </c>
      <c r="IA74" t="s">
        <v>189</v>
      </c>
      <c r="IB74">
        <f t="shared" si="78"/>
        <v>0</v>
      </c>
      <c r="IC74" t="s">
        <v>192</v>
      </c>
      <c r="ID74">
        <f t="shared" si="79"/>
        <v>1</v>
      </c>
      <c r="IE74" t="s">
        <v>191</v>
      </c>
      <c r="IF74" s="254">
        <f t="shared" si="80"/>
        <v>5</v>
      </c>
      <c r="IK74" t="str">
        <f t="shared" si="167"/>
        <v xml:space="preserve">DAL: 27/11/2012 - AL:16/7/2013 - ANNI:0 - MESI:1 -GIORNI:5
</v>
      </c>
      <c r="JP74">
        <f ca="1">IF(Foglio3!DM47=100000,0,IF(Foglio3!DM47="",0,1))</f>
        <v>1</v>
      </c>
      <c r="JQ74" s="314">
        <f ca="1" xml:space="preserve">   IF(JP74=1,     Foglio3!DM47,IF(JP74=0,IF(JP73=1,"","")))</f>
        <v>37673</v>
      </c>
      <c r="JR74" s="314">
        <f ca="1">IF(          Foglio3!DN47=100000,"",Foglio3!DN47)</f>
        <v>37786</v>
      </c>
      <c r="JS74" s="272">
        <f ca="1">IF(Foglio3!DN47=100000,"",Foglio3!DO47)</f>
        <v>16</v>
      </c>
      <c r="JT74" s="272">
        <f ca="1">IF(Foglio3!DN47=100000,"",Foglio3!DP47)</f>
        <v>24</v>
      </c>
      <c r="JU74" s="272">
        <f ca="1">IF(Foglio3!DN47=100000,"",Foglio3!DQ47)</f>
        <v>114</v>
      </c>
      <c r="JV74" s="272">
        <f ca="1">IF(JU74="","",Foglio3!DR47)</f>
        <v>0</v>
      </c>
      <c r="JW74" s="272">
        <f ca="1">IF(Foglio3!DN47=100000,"",Foglio3!DS47)</f>
        <v>18865.349999999999</v>
      </c>
      <c r="JX74" s="272">
        <f ca="1">IF(Foglio3!DN47=100000,"",Foglio3!DT47)</f>
        <v>18414.099999999999</v>
      </c>
      <c r="JY74" s="272">
        <f ca="1">IF(Foglio3!DN47=100000,"",Foglio3!DU47)</f>
        <v>93.96</v>
      </c>
      <c r="JZ74" s="272" t="str">
        <f ca="1">IF(Foglio3!DN47=100000,"",Foglio3!DV47)</f>
        <v>3/8 anni</v>
      </c>
      <c r="KC74">
        <v>0</v>
      </c>
      <c r="KD74" s="260" t="str">
        <f t="shared" ca="1" si="81"/>
        <v/>
      </c>
      <c r="KE74" t="str">
        <f t="shared" si="82"/>
        <v>0-2 anni</v>
      </c>
      <c r="KF74">
        <f t="shared" si="15"/>
        <v>6</v>
      </c>
      <c r="KG74" s="238" t="e">
        <f t="shared" ca="1" si="16"/>
        <v>#N/A</v>
      </c>
      <c r="KJ74" t="e">
        <f t="shared" ca="1" si="83"/>
        <v>#N/A</v>
      </c>
      <c r="KK74" t="e">
        <f t="shared" ca="1" si="164"/>
        <v>#N/A</v>
      </c>
      <c r="KL74" t="e">
        <f t="shared" ca="1" si="164"/>
        <v>#N/A</v>
      </c>
      <c r="KM74" t="e">
        <f t="shared" ca="1" si="164"/>
        <v>#N/A</v>
      </c>
      <c r="KN74" t="e">
        <f t="shared" ca="1" si="164"/>
        <v>#N/A</v>
      </c>
      <c r="KU74" t="e">
        <f t="shared" ca="1" si="18"/>
        <v>#N/A</v>
      </c>
      <c r="KZ74" s="254" t="str">
        <f t="shared" si="84"/>
        <v>0-2 anni</v>
      </c>
      <c r="LA74" s="112">
        <f t="shared" si="85"/>
        <v>41240</v>
      </c>
      <c r="LB74" s="112">
        <f t="shared" si="86"/>
        <v>41471</v>
      </c>
      <c r="LC74" t="e">
        <f t="shared" ca="1" si="87"/>
        <v>#N/A</v>
      </c>
      <c r="LD74" s="262">
        <f t="shared" ca="1" si="88"/>
        <v>0</v>
      </c>
      <c r="LE74">
        <f t="shared" si="89"/>
        <v>35</v>
      </c>
      <c r="LF74" t="e">
        <f t="shared" ca="1" si="90"/>
        <v>#N/A</v>
      </c>
    </row>
    <row r="75" spans="1:318" ht="180" x14ac:dyDescent="0.25">
      <c r="A75" s="112">
        <f t="shared" si="128"/>
        <v>40422</v>
      </c>
      <c r="B75" s="112">
        <f t="shared" si="19"/>
        <v>40544</v>
      </c>
      <c r="E75" s="240">
        <f>Foglio3!F55</f>
        <v>41530</v>
      </c>
      <c r="F75" s="240">
        <f>Foglio3!G55</f>
        <v>41882</v>
      </c>
      <c r="G75" s="244"/>
      <c r="H75" s="245">
        <f t="shared" si="20"/>
        <v>41640</v>
      </c>
      <c r="I75" s="245">
        <f t="shared" si="2"/>
        <v>41882</v>
      </c>
      <c r="J75" s="244"/>
      <c r="K75" s="244"/>
      <c r="Q75">
        <f t="shared" si="154"/>
        <v>243</v>
      </c>
      <c r="R75">
        <f t="shared" si="155"/>
        <v>243</v>
      </c>
      <c r="S75">
        <f t="shared" si="156"/>
        <v>0</v>
      </c>
      <c r="T75">
        <f t="shared" si="157"/>
        <v>8</v>
      </c>
      <c r="U75">
        <f t="shared" si="158"/>
        <v>3</v>
      </c>
      <c r="W75">
        <f t="shared" si="159"/>
        <v>0</v>
      </c>
      <c r="X75">
        <f t="shared" si="160"/>
        <v>144</v>
      </c>
      <c r="Y75">
        <f t="shared" si="161"/>
        <v>349</v>
      </c>
      <c r="AA75" s="112" t="str">
        <f t="shared" si="91"/>
        <v>01/01/2014</v>
      </c>
      <c r="AB75" s="112">
        <f t="shared" si="92"/>
        <v>41882</v>
      </c>
      <c r="AG75">
        <f t="shared" si="22"/>
        <v>1</v>
      </c>
      <c r="AH75" s="112">
        <f t="shared" si="93"/>
        <v>41640</v>
      </c>
      <c r="AI75" s="112">
        <f t="shared" si="94"/>
        <v>41882</v>
      </c>
      <c r="CG75">
        <f t="shared" si="24"/>
        <v>2013</v>
      </c>
      <c r="CH75">
        <f t="shared" si="25"/>
        <v>2014</v>
      </c>
      <c r="CJ75">
        <f t="shared" si="26"/>
        <v>0</v>
      </c>
      <c r="CK75">
        <f t="shared" si="147"/>
        <v>0</v>
      </c>
      <c r="CL75">
        <f t="shared" si="27"/>
        <v>110</v>
      </c>
      <c r="CN75">
        <f t="shared" si="28"/>
        <v>110</v>
      </c>
      <c r="CS75">
        <f t="shared" si="178"/>
        <v>243</v>
      </c>
      <c r="CT75">
        <f t="shared" si="179"/>
        <v>4669</v>
      </c>
      <c r="CU75" s="243">
        <f t="shared" si="30"/>
        <v>4669</v>
      </c>
      <c r="CV75" s="112">
        <f t="shared" si="180"/>
        <v>41882</v>
      </c>
      <c r="CX75" s="112">
        <f t="shared" si="149"/>
        <v>100000</v>
      </c>
      <c r="CY75" s="112">
        <f t="shared" si="105"/>
        <v>100000</v>
      </c>
      <c r="CZ75" s="112">
        <f t="shared" si="106"/>
        <v>100000</v>
      </c>
      <c r="DA75" s="112">
        <f t="shared" si="107"/>
        <v>100000</v>
      </c>
      <c r="DB75" s="112">
        <f t="shared" si="108"/>
        <v>100000</v>
      </c>
      <c r="DC75" s="112">
        <f t="shared" si="109"/>
        <v>100000</v>
      </c>
      <c r="DU75" s="112"/>
      <c r="DV75" s="112"/>
      <c r="DW75" s="276"/>
      <c r="DX75" s="276"/>
      <c r="DY75" s="276"/>
      <c r="DZ75" s="276"/>
      <c r="EF75" s="260">
        <f t="shared" si="148"/>
        <v>44197</v>
      </c>
      <c r="EK75" s="254"/>
      <c r="EL75">
        <f t="shared" si="152"/>
        <v>36</v>
      </c>
      <c r="EM75" s="260">
        <f t="shared" si="111"/>
        <v>44743</v>
      </c>
      <c r="EN75">
        <f t="shared" si="112"/>
        <v>38</v>
      </c>
      <c r="EO75" s="112" t="e">
        <f t="shared" si="113"/>
        <v>#NUM!</v>
      </c>
      <c r="EP75" s="112" t="str">
        <f t="shared" si="162"/>
        <v/>
      </c>
      <c r="ET75">
        <f t="shared" si="37"/>
        <v>35</v>
      </c>
      <c r="EU75" s="260" t="str">
        <f t="shared" si="38"/>
        <v/>
      </c>
      <c r="EV75" t="str">
        <f t="shared" si="39"/>
        <v>35 anni</v>
      </c>
      <c r="EW75">
        <f t="shared" si="5"/>
        <v>0</v>
      </c>
      <c r="EX75" s="238" t="e">
        <f t="shared" ca="1" si="6"/>
        <v>#N/A</v>
      </c>
      <c r="FA75" t="e">
        <f t="shared" ca="1" si="40"/>
        <v>#N/A</v>
      </c>
      <c r="FB75" t="e">
        <f t="shared" ca="1" si="163"/>
        <v>#N/A</v>
      </c>
      <c r="FC75" t="e">
        <f t="shared" ca="1" si="163"/>
        <v>#N/A</v>
      </c>
      <c r="FD75">
        <f t="shared" ca="1" si="41"/>
        <v>0</v>
      </c>
      <c r="FE75" t="e">
        <f t="shared" ca="1" si="163"/>
        <v>#N/A</v>
      </c>
      <c r="FG75" t="e">
        <f t="shared" ca="1" si="42"/>
        <v>#N/A</v>
      </c>
      <c r="FL75" t="e">
        <f t="shared" ca="1" si="8"/>
        <v>#N/A</v>
      </c>
      <c r="FQ75" s="254" t="str">
        <f t="shared" si="43"/>
        <v>35 anni</v>
      </c>
      <c r="FR75">
        <f t="shared" si="114"/>
        <v>75</v>
      </c>
      <c r="FS75" t="str">
        <f t="shared" ca="1" si="44"/>
        <v>ev75</v>
      </c>
      <c r="FT75" t="str">
        <f t="shared" ca="1" si="45"/>
        <v/>
      </c>
      <c r="FU75" t="e">
        <f t="shared" ca="1" si="45"/>
        <v>#N/A</v>
      </c>
      <c r="FV75" t="e">
        <f t="shared" ca="1" si="45"/>
        <v>#N/A</v>
      </c>
      <c r="FW75" t="e">
        <f t="shared" ca="1" si="45"/>
        <v>#N/A</v>
      </c>
      <c r="FX75" t="str">
        <f t="shared" ca="1" si="45"/>
        <v>FD75</v>
      </c>
      <c r="FY75" t="e">
        <f t="shared" ca="1" si="45"/>
        <v>#N/A</v>
      </c>
      <c r="FZ75" t="e">
        <f t="shared" ca="1" si="181"/>
        <v>#N/A</v>
      </c>
      <c r="GA75" t="e">
        <f t="shared" ca="1" si="181"/>
        <v>#N/A</v>
      </c>
      <c r="GB75" t="str">
        <f t="shared" ca="1" si="181"/>
        <v/>
      </c>
      <c r="GC75" t="str">
        <f t="shared" ca="1" si="181"/>
        <v/>
      </c>
      <c r="GN75" s="262">
        <f t="shared" ca="1" si="55"/>
        <v>0</v>
      </c>
      <c r="GO75" s="262">
        <f t="shared" ca="1" si="11"/>
        <v>0</v>
      </c>
      <c r="GQ75" s="263" t="e">
        <f t="shared" si="56"/>
        <v>#N/A</v>
      </c>
      <c r="GU75" t="str">
        <f t="shared" si="60"/>
        <v/>
      </c>
      <c r="HL75" s="263" t="str">
        <f t="shared" si="71"/>
        <v/>
      </c>
      <c r="HN75" s="272" t="str">
        <f t="shared" ca="1" si="13"/>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O75">
        <f t="shared" si="72"/>
        <v>0</v>
      </c>
      <c r="HP75" t="str">
        <f t="shared" si="73"/>
        <v/>
      </c>
      <c r="HQ75" t="str">
        <f t="shared" ca="1" si="165"/>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R75" t="str">
        <f t="shared" ca="1" si="166"/>
        <v/>
      </c>
      <c r="HW75" s="253" t="s">
        <v>187</v>
      </c>
      <c r="HX75" s="112" t="str">
        <f t="shared" si="76"/>
        <v>13/9/2013</v>
      </c>
      <c r="HY75" t="s">
        <v>188</v>
      </c>
      <c r="HZ75" s="112" t="str">
        <f t="shared" si="77"/>
        <v>31/8/2014</v>
      </c>
      <c r="IA75" t="s">
        <v>189</v>
      </c>
      <c r="IB75">
        <f t="shared" si="78"/>
        <v>0</v>
      </c>
      <c r="IC75" t="s">
        <v>192</v>
      </c>
      <c r="ID75">
        <f t="shared" si="79"/>
        <v>8</v>
      </c>
      <c r="IE75" t="s">
        <v>191</v>
      </c>
      <c r="IF75" s="254">
        <f t="shared" si="80"/>
        <v>3</v>
      </c>
      <c r="IK75" t="str">
        <f t="shared" si="167"/>
        <v xml:space="preserve">DAL: 13/9/2013 - AL:31/8/2014 - ANNI:0 - MESI:8 -GIORNI:3
</v>
      </c>
      <c r="JP75">
        <f ca="1">IF(Foglio3!DM48=100000,0,IF(Foglio3!DM48="",0,1))</f>
        <v>1</v>
      </c>
      <c r="JQ75" s="314">
        <f ca="1" xml:space="preserve">   IF(JP75=1,     Foglio3!DM48,IF(JP75=0,IF(JP74=1,"","")))</f>
        <v>37865</v>
      </c>
      <c r="JR75" s="314">
        <f ca="1">IF(          Foglio3!DN48=100000,"",Foglio3!DN48)</f>
        <v>37986</v>
      </c>
      <c r="JS75" s="272">
        <f ca="1">IF(Foglio3!DN48=100000,"",Foglio3!DO48)</f>
        <v>18</v>
      </c>
      <c r="JT75" s="272">
        <f ca="1">IF(Foglio3!DN48=100000,"",Foglio3!DP48)</f>
        <v>24</v>
      </c>
      <c r="JU75" s="272">
        <f ca="1">IF(Foglio3!DN48=100000,"",Foglio3!DQ48)</f>
        <v>122</v>
      </c>
      <c r="JV75" s="272">
        <f ca="1">IF(JU75="","",Foglio3!DR48)</f>
        <v>0</v>
      </c>
      <c r="JW75" s="272">
        <f ca="1">IF(Foglio3!DN48=100000,"",Foglio3!DS48)</f>
        <v>18865.349999999999</v>
      </c>
      <c r="JX75" s="272">
        <f ca="1">IF(Foglio3!DN48=100000,"",Foglio3!DT48)</f>
        <v>18414.099999999999</v>
      </c>
      <c r="JY75" s="272">
        <f ca="1">IF(Foglio3!DN48=100000,"",Foglio3!DU48)</f>
        <v>113.12</v>
      </c>
      <c r="JZ75" s="272" t="str">
        <f ca="1">IF(Foglio3!DN48=100000,"",Foglio3!DV48)</f>
        <v>3/8 anni</v>
      </c>
      <c r="KC75">
        <v>0</v>
      </c>
      <c r="KD75" s="260" t="str">
        <f t="shared" ca="1" si="81"/>
        <v/>
      </c>
      <c r="KE75" t="str">
        <f t="shared" si="82"/>
        <v>0-2 anni</v>
      </c>
      <c r="KF75">
        <f t="shared" si="15"/>
        <v>6</v>
      </c>
      <c r="KG75" s="238" t="e">
        <f t="shared" ca="1" si="16"/>
        <v>#N/A</v>
      </c>
      <c r="KJ75" t="e">
        <f t="shared" ca="1" si="83"/>
        <v>#N/A</v>
      </c>
      <c r="KK75" t="e">
        <f t="shared" ca="1" si="164"/>
        <v>#N/A</v>
      </c>
      <c r="KL75" t="e">
        <f t="shared" ca="1" si="164"/>
        <v>#N/A</v>
      </c>
      <c r="KM75" t="e">
        <f t="shared" ca="1" si="164"/>
        <v>#N/A</v>
      </c>
      <c r="KN75" t="e">
        <f t="shared" ca="1" si="164"/>
        <v>#N/A</v>
      </c>
      <c r="KU75" t="e">
        <f t="shared" ca="1" si="18"/>
        <v>#N/A</v>
      </c>
      <c r="KZ75" s="254" t="str">
        <f t="shared" si="84"/>
        <v>0-2 anni</v>
      </c>
      <c r="LA75" s="112">
        <f t="shared" si="85"/>
        <v>41530</v>
      </c>
      <c r="LB75" s="112">
        <f t="shared" si="86"/>
        <v>41882</v>
      </c>
      <c r="LC75" t="e">
        <f t="shared" ca="1" si="87"/>
        <v>#N/A</v>
      </c>
      <c r="LD75" s="262">
        <f t="shared" si="88"/>
        <v>0</v>
      </c>
      <c r="LE75">
        <f t="shared" si="89"/>
        <v>243</v>
      </c>
      <c r="LF75" t="e">
        <f t="shared" ca="1" si="90"/>
        <v>#N/A</v>
      </c>
    </row>
    <row r="76" spans="1:318" ht="45" x14ac:dyDescent="0.25">
      <c r="A76" s="112">
        <f t="shared" si="128"/>
        <v>40422</v>
      </c>
      <c r="B76" s="112">
        <f t="shared" si="19"/>
        <v>40544</v>
      </c>
      <c r="E76" s="240">
        <f>Foglio3!F56</f>
        <v>41915</v>
      </c>
      <c r="F76" s="240">
        <f>Foglio3!G56</f>
        <v>42185</v>
      </c>
      <c r="G76" s="244"/>
      <c r="H76" s="245">
        <f t="shared" si="20"/>
        <v>41915</v>
      </c>
      <c r="I76" s="245">
        <f t="shared" si="2"/>
        <v>42185</v>
      </c>
      <c r="J76" s="244"/>
      <c r="K76" s="244"/>
      <c r="Q76">
        <f t="shared" si="154"/>
        <v>271</v>
      </c>
      <c r="R76">
        <f t="shared" si="155"/>
        <v>271</v>
      </c>
      <c r="S76">
        <f t="shared" si="156"/>
        <v>0</v>
      </c>
      <c r="T76">
        <f t="shared" si="157"/>
        <v>9</v>
      </c>
      <c r="U76">
        <f t="shared" si="158"/>
        <v>1</v>
      </c>
      <c r="W76">
        <f t="shared" si="159"/>
        <v>0</v>
      </c>
      <c r="X76">
        <f t="shared" si="160"/>
        <v>153</v>
      </c>
      <c r="Y76">
        <f t="shared" si="161"/>
        <v>350</v>
      </c>
      <c r="AA76" s="112">
        <f t="shared" si="91"/>
        <v>41915</v>
      </c>
      <c r="AB76" s="112">
        <f t="shared" si="92"/>
        <v>42185</v>
      </c>
      <c r="AG76">
        <f t="shared" si="22"/>
        <v>1</v>
      </c>
      <c r="AH76" s="112">
        <f t="shared" si="93"/>
        <v>41915</v>
      </c>
      <c r="AI76" s="112">
        <f t="shared" si="94"/>
        <v>42185</v>
      </c>
      <c r="CG76">
        <f t="shared" ref="CG76:CG117" si="182">YEAR(E76)</f>
        <v>2014</v>
      </c>
      <c r="CH76">
        <f t="shared" ref="CH76:CH117" si="183">YEAR(F76)</f>
        <v>2015</v>
      </c>
      <c r="CJ76">
        <f t="shared" ref="CJ76:CJ117" si="184">IF(AND(CG76=$CG$38,CH76=$CG$38),F76-E76+1,0)</f>
        <v>0</v>
      </c>
      <c r="CK76">
        <f t="shared" ref="CK76:CK117" si="185">IF(AND(CG76&lt;&gt;$CG$38,CH76=$CG$38),F76-$CH$38,0)</f>
        <v>0</v>
      </c>
      <c r="CL76">
        <f t="shared" ref="CL76:CL117" si="186">IF(AND(CG76=$CG$38,CH76&lt;&gt;$CG$38),$CI$38-E76+1,0)</f>
        <v>0</v>
      </c>
      <c r="CN76">
        <f t="shared" ref="CN76:CN117" si="187">CJ76+CK76+CL76</f>
        <v>0</v>
      </c>
      <c r="CS76">
        <f t="shared" si="178"/>
        <v>271</v>
      </c>
      <c r="CT76">
        <f t="shared" si="179"/>
        <v>4940</v>
      </c>
      <c r="CU76" s="243">
        <f t="shared" si="30"/>
        <v>4940</v>
      </c>
      <c r="CV76" s="112">
        <f t="shared" si="180"/>
        <v>42185</v>
      </c>
      <c r="CX76" s="112">
        <f t="shared" si="149"/>
        <v>100000</v>
      </c>
      <c r="CY76" s="112">
        <f t="shared" si="105"/>
        <v>100000</v>
      </c>
      <c r="CZ76" s="112">
        <f t="shared" si="106"/>
        <v>100000</v>
      </c>
      <c r="DA76" s="112">
        <f t="shared" si="107"/>
        <v>100000</v>
      </c>
      <c r="DB76" s="112">
        <f t="shared" si="108"/>
        <v>100000</v>
      </c>
      <c r="DC76" s="112">
        <f t="shared" si="109"/>
        <v>100000</v>
      </c>
      <c r="DU76" s="112"/>
      <c r="DV76" s="112"/>
      <c r="DW76" s="276"/>
      <c r="DX76" s="276"/>
      <c r="DY76" s="276"/>
      <c r="DZ76" s="276"/>
      <c r="EF76" s="260">
        <f t="shared" si="148"/>
        <v>44562</v>
      </c>
      <c r="EK76" s="254"/>
      <c r="EL76">
        <f t="shared" si="152"/>
        <v>37</v>
      </c>
      <c r="EM76" s="260" t="e">
        <f t="shared" si="111"/>
        <v>#NUM!</v>
      </c>
      <c r="EN76" t="e">
        <f t="shared" si="112"/>
        <v>#NUM!</v>
      </c>
      <c r="EO76" s="112" t="e">
        <f t="shared" si="113"/>
        <v>#NUM!</v>
      </c>
      <c r="EP76" s="112" t="str">
        <f t="shared" si="162"/>
        <v/>
      </c>
      <c r="ET76">
        <f t="shared" si="37"/>
        <v>35</v>
      </c>
      <c r="EU76" s="260" t="str">
        <f t="shared" si="38"/>
        <v/>
      </c>
      <c r="EV76" t="str">
        <f t="shared" si="39"/>
        <v>35 anni</v>
      </c>
      <c r="EW76">
        <f t="shared" si="5"/>
        <v>0</v>
      </c>
      <c r="EX76" s="238" t="e">
        <f t="shared" ca="1" si="6"/>
        <v>#N/A</v>
      </c>
      <c r="FA76" t="e">
        <f t="shared" ca="1" si="40"/>
        <v>#N/A</v>
      </c>
      <c r="FB76" t="e">
        <f t="shared" ca="1" si="163"/>
        <v>#N/A</v>
      </c>
      <c r="FC76" t="e">
        <f t="shared" ca="1" si="163"/>
        <v>#N/A</v>
      </c>
      <c r="FD76">
        <f t="shared" ca="1" si="41"/>
        <v>0</v>
      </c>
      <c r="FE76" t="e">
        <f t="shared" ca="1" si="163"/>
        <v>#N/A</v>
      </c>
      <c r="FG76" t="e">
        <f t="shared" ca="1" si="42"/>
        <v>#N/A</v>
      </c>
      <c r="FL76" t="e">
        <f t="shared" ca="1" si="8"/>
        <v>#N/A</v>
      </c>
      <c r="FQ76" s="254" t="str">
        <f t="shared" si="43"/>
        <v>35 anni</v>
      </c>
      <c r="FR76">
        <f t="shared" si="114"/>
        <v>76</v>
      </c>
      <c r="FS76" t="str">
        <f t="shared" ca="1" si="44"/>
        <v>ev76</v>
      </c>
      <c r="FT76" t="str">
        <f t="shared" ca="1" si="45"/>
        <v/>
      </c>
      <c r="FU76" t="e">
        <f t="shared" ca="1" si="45"/>
        <v>#N/A</v>
      </c>
      <c r="FV76" t="e">
        <f t="shared" ca="1" si="45"/>
        <v>#N/A</v>
      </c>
      <c r="FW76" t="e">
        <f t="shared" ca="1" si="45"/>
        <v>#N/A</v>
      </c>
      <c r="FX76" t="str">
        <f t="shared" ca="1" si="45"/>
        <v>FD76</v>
      </c>
      <c r="FY76" t="e">
        <f t="shared" ca="1" si="45"/>
        <v>#N/A</v>
      </c>
      <c r="FZ76" t="e">
        <f t="shared" ca="1" si="181"/>
        <v>#N/A</v>
      </c>
      <c r="GA76" t="e">
        <f t="shared" ca="1" si="181"/>
        <v>#N/A</v>
      </c>
      <c r="GB76" t="str">
        <f t="shared" ca="1" si="181"/>
        <v/>
      </c>
      <c r="GC76" t="str">
        <f t="shared" ca="1" si="181"/>
        <v/>
      </c>
      <c r="GQ76" s="263" t="e">
        <f t="shared" si="56"/>
        <v>#N/A</v>
      </c>
      <c r="HL76" s="263" t="str">
        <f t="shared" si="71"/>
        <v/>
      </c>
      <c r="HN76" s="272" t="str">
        <f t="shared" ca="1" si="13"/>
        <v xml:space="preserve">
</v>
      </c>
      <c r="HO76">
        <f t="shared" si="72"/>
        <v>0</v>
      </c>
      <c r="HP76" t="str">
        <f t="shared" si="73"/>
        <v/>
      </c>
      <c r="HQ76" t="str">
        <f t="shared" si="165"/>
        <v/>
      </c>
      <c r="HR76" t="str">
        <f t="shared" ca="1" si="166"/>
        <v xml:space="preserve">
</v>
      </c>
      <c r="HW76" s="253" t="s">
        <v>187</v>
      </c>
      <c r="HX76" s="112" t="str">
        <f t="shared" si="76"/>
        <v>3/10/2014</v>
      </c>
      <c r="HY76" t="s">
        <v>188</v>
      </c>
      <c r="HZ76" s="112" t="str">
        <f t="shared" si="77"/>
        <v>30/6/2015</v>
      </c>
      <c r="IA76" t="s">
        <v>189</v>
      </c>
      <c r="IB76">
        <f t="shared" si="78"/>
        <v>0</v>
      </c>
      <c r="IC76" t="s">
        <v>192</v>
      </c>
      <c r="ID76">
        <f t="shared" si="79"/>
        <v>9</v>
      </c>
      <c r="IE76" t="s">
        <v>191</v>
      </c>
      <c r="IF76" s="254">
        <f t="shared" si="80"/>
        <v>1</v>
      </c>
      <c r="IK76" t="str">
        <f t="shared" si="167"/>
        <v xml:space="preserve">DAL: 3/10/2014 - AL:30/6/2015 - ANNI:0 - MESI:9 -GIORNI:1
</v>
      </c>
      <c r="JP76">
        <f ca="1">IF(Foglio3!DM49=100000,0,IF(Foglio3!DM49="",0,1))</f>
        <v>1</v>
      </c>
      <c r="JQ76" s="314">
        <f ca="1" xml:space="preserve">   IF(JP76=1,     Foglio3!DM49,IF(JP76=0,IF(JP75=1,"","")))</f>
        <v>37987</v>
      </c>
      <c r="JR76" s="314">
        <f ca="1">IF(          Foglio3!DN49=100000,"",Foglio3!DN49)</f>
        <v>38168</v>
      </c>
      <c r="JS76" s="272">
        <f ca="1">IF(Foglio3!DN49=100000,"",Foglio3!DO49)</f>
        <v>18</v>
      </c>
      <c r="JT76" s="272">
        <f ca="1">IF(Foglio3!DN49=100000,"",Foglio3!DP49)</f>
        <v>24</v>
      </c>
      <c r="JU76" s="272">
        <f ca="1">IF(Foglio3!DN49=100000,"",Foglio3!DQ49)</f>
        <v>182</v>
      </c>
      <c r="JV76" s="272">
        <f ca="1">IF(JU76="","",Foglio3!DR49)</f>
        <v>0</v>
      </c>
      <c r="JW76" s="272">
        <f ca="1">IF(Foglio3!DN49=100000,"",Foglio3!DS49)</f>
        <v>19427.189999999999</v>
      </c>
      <c r="JX76" s="272">
        <f ca="1">IF(Foglio3!DN49=100000,"",Foglio3!DT49)</f>
        <v>18965.02</v>
      </c>
      <c r="JY76" s="272">
        <f ca="1">IF(Foglio3!DN49=100000,"",Foglio3!DU49)</f>
        <v>172.84</v>
      </c>
      <c r="JZ76" s="272" t="str">
        <f ca="1">IF(Foglio3!DN49=100000,"",Foglio3!DV49)</f>
        <v>3/8 anni</v>
      </c>
      <c r="KC76">
        <v>0</v>
      </c>
      <c r="KD76" s="260" t="str">
        <f t="shared" ca="1" si="81"/>
        <v/>
      </c>
      <c r="KE76" t="str">
        <f t="shared" si="82"/>
        <v>0-2 anni</v>
      </c>
      <c r="KF76">
        <f t="shared" si="15"/>
        <v>6</v>
      </c>
      <c r="KG76" s="238" t="e">
        <f t="shared" ca="1" si="16"/>
        <v>#N/A</v>
      </c>
      <c r="KJ76" t="e">
        <f t="shared" ca="1" si="83"/>
        <v>#N/A</v>
      </c>
      <c r="KK76" t="e">
        <f t="shared" ca="1" si="164"/>
        <v>#N/A</v>
      </c>
      <c r="KL76" t="e">
        <f t="shared" ca="1" si="164"/>
        <v>#N/A</v>
      </c>
      <c r="KM76" t="e">
        <f t="shared" ca="1" si="164"/>
        <v>#N/A</v>
      </c>
      <c r="KN76" t="e">
        <f t="shared" ca="1" si="164"/>
        <v>#N/A</v>
      </c>
      <c r="KU76" t="e">
        <f t="shared" ca="1" si="18"/>
        <v>#N/A</v>
      </c>
      <c r="KZ76" s="254" t="str">
        <f t="shared" si="84"/>
        <v>0-2 anni</v>
      </c>
      <c r="LA76" s="112">
        <f t="shared" si="85"/>
        <v>41915</v>
      </c>
      <c r="LB76" s="112">
        <f t="shared" si="86"/>
        <v>42185</v>
      </c>
      <c r="LC76" t="e">
        <f t="shared" ca="1" si="87"/>
        <v>#N/A</v>
      </c>
      <c r="LD76" s="262">
        <f t="shared" si="88"/>
        <v>0</v>
      </c>
      <c r="LE76">
        <f t="shared" si="89"/>
        <v>271</v>
      </c>
      <c r="LF76" t="e">
        <f t="shared" ca="1" si="90"/>
        <v>#N/A</v>
      </c>
    </row>
    <row r="77" spans="1:318" x14ac:dyDescent="0.25">
      <c r="A77" s="112">
        <f t="shared" si="128"/>
        <v>40544</v>
      </c>
      <c r="B77" s="112">
        <f t="shared" si="19"/>
        <v>42370</v>
      </c>
      <c r="E77" s="240">
        <f>Foglio3!F57</f>
        <v>42248</v>
      </c>
      <c r="F77" s="240">
        <f>Foglio3!G57</f>
        <v>42613</v>
      </c>
      <c r="G77" s="244"/>
      <c r="H77" s="245">
        <f t="shared" si="20"/>
        <v>42248</v>
      </c>
      <c r="I77" s="245">
        <f t="shared" si="2"/>
        <v>42613</v>
      </c>
      <c r="J77" s="244"/>
      <c r="K77" s="244"/>
      <c r="Q77">
        <f t="shared" si="154"/>
        <v>366</v>
      </c>
      <c r="R77">
        <f t="shared" si="155"/>
        <v>366</v>
      </c>
      <c r="S77">
        <f t="shared" si="156"/>
        <v>1</v>
      </c>
      <c r="T77">
        <f t="shared" si="157"/>
        <v>0</v>
      </c>
      <c r="U77">
        <f t="shared" si="158"/>
        <v>1</v>
      </c>
      <c r="W77">
        <f t="shared" si="159"/>
        <v>1</v>
      </c>
      <c r="X77">
        <f t="shared" si="160"/>
        <v>153</v>
      </c>
      <c r="Y77">
        <f t="shared" si="161"/>
        <v>351</v>
      </c>
      <c r="AA77" s="112">
        <f t="shared" si="91"/>
        <v>42248</v>
      </c>
      <c r="AB77" s="112">
        <f t="shared" si="92"/>
        <v>42613</v>
      </c>
      <c r="AG77">
        <f t="shared" si="22"/>
        <v>1</v>
      </c>
      <c r="AH77" s="112">
        <f t="shared" si="93"/>
        <v>42248</v>
      </c>
      <c r="AI77" s="112">
        <f t="shared" si="94"/>
        <v>42613</v>
      </c>
      <c r="CG77">
        <f t="shared" si="182"/>
        <v>2015</v>
      </c>
      <c r="CH77">
        <f t="shared" si="183"/>
        <v>2016</v>
      </c>
      <c r="CJ77">
        <f t="shared" si="184"/>
        <v>0</v>
      </c>
      <c r="CK77">
        <f t="shared" si="185"/>
        <v>0</v>
      </c>
      <c r="CL77">
        <f t="shared" si="186"/>
        <v>0</v>
      </c>
      <c r="CN77">
        <f t="shared" si="187"/>
        <v>0</v>
      </c>
      <c r="CS77">
        <f t="shared" si="178"/>
        <v>366</v>
      </c>
      <c r="CT77">
        <f t="shared" si="179"/>
        <v>5306</v>
      </c>
      <c r="CU77" s="243">
        <f t="shared" si="30"/>
        <v>5306</v>
      </c>
      <c r="CV77" s="112">
        <f t="shared" si="180"/>
        <v>42613</v>
      </c>
      <c r="CX77" s="112">
        <f t="shared" si="149"/>
        <v>100000</v>
      </c>
      <c r="CY77" s="112">
        <f t="shared" si="105"/>
        <v>100000</v>
      </c>
      <c r="CZ77" s="112">
        <f t="shared" si="106"/>
        <v>100000</v>
      </c>
      <c r="DA77" s="112">
        <f t="shared" si="107"/>
        <v>100000</v>
      </c>
      <c r="DB77" s="112">
        <f t="shared" si="108"/>
        <v>100000</v>
      </c>
      <c r="DC77" s="112">
        <f t="shared" si="109"/>
        <v>100000</v>
      </c>
      <c r="DU77" s="112"/>
      <c r="DV77" s="112"/>
      <c r="DW77" s="276"/>
      <c r="DX77" s="276"/>
      <c r="DY77" s="276"/>
      <c r="DZ77" s="276"/>
      <c r="EF77" s="260">
        <f t="shared" si="148"/>
        <v>44652</v>
      </c>
      <c r="EK77" s="254"/>
      <c r="EL77">
        <f t="shared" si="152"/>
        <v>38</v>
      </c>
      <c r="EM77" s="260" t="e">
        <f t="shared" si="111"/>
        <v>#NUM!</v>
      </c>
      <c r="EN77" t="e">
        <f t="shared" si="112"/>
        <v>#NUM!</v>
      </c>
      <c r="EO77" s="112" t="e">
        <f t="shared" si="113"/>
        <v>#NUM!</v>
      </c>
      <c r="EP77" s="112" t="str">
        <f t="shared" si="162"/>
        <v/>
      </c>
      <c r="ET77">
        <f t="shared" si="37"/>
        <v>35</v>
      </c>
      <c r="EU77" s="260" t="str">
        <f t="shared" si="38"/>
        <v/>
      </c>
      <c r="EV77" t="str">
        <f t="shared" si="39"/>
        <v>35 anni</v>
      </c>
      <c r="EW77">
        <f t="shared" si="5"/>
        <v>0</v>
      </c>
      <c r="EX77" s="238" t="e">
        <f t="shared" ca="1" si="6"/>
        <v>#N/A</v>
      </c>
      <c r="FA77" t="e">
        <f t="shared" ca="1" si="40"/>
        <v>#N/A</v>
      </c>
      <c r="FB77" t="e">
        <f t="shared" ca="1" si="163"/>
        <v>#N/A</v>
      </c>
      <c r="FC77" t="e">
        <f t="shared" ca="1" si="163"/>
        <v>#N/A</v>
      </c>
      <c r="FD77">
        <f t="shared" ca="1" si="41"/>
        <v>0</v>
      </c>
      <c r="FE77" t="e">
        <f t="shared" ca="1" si="163"/>
        <v>#N/A</v>
      </c>
      <c r="FG77" t="e">
        <f t="shared" ca="1" si="42"/>
        <v>#N/A</v>
      </c>
      <c r="FL77" t="e">
        <f t="shared" ca="1" si="8"/>
        <v>#N/A</v>
      </c>
      <c r="FQ77" s="254" t="str">
        <f t="shared" si="43"/>
        <v>35 anni</v>
      </c>
      <c r="FR77">
        <f t="shared" si="114"/>
        <v>77</v>
      </c>
      <c r="FS77" t="str">
        <f t="shared" ca="1" si="44"/>
        <v>ev77</v>
      </c>
      <c r="FT77" t="str">
        <f t="shared" ca="1" si="45"/>
        <v/>
      </c>
      <c r="FU77" t="e">
        <f t="shared" ca="1" si="45"/>
        <v>#N/A</v>
      </c>
      <c r="FV77" t="e">
        <f t="shared" ca="1" si="45"/>
        <v>#N/A</v>
      </c>
      <c r="FW77" t="e">
        <f t="shared" ca="1" si="45"/>
        <v>#N/A</v>
      </c>
      <c r="FX77" t="str">
        <f t="shared" ca="1" si="45"/>
        <v>FD77</v>
      </c>
      <c r="FY77" t="e">
        <f t="shared" ca="1" si="45"/>
        <v>#N/A</v>
      </c>
      <c r="FZ77" t="e">
        <f t="shared" ca="1" si="181"/>
        <v>#N/A</v>
      </c>
      <c r="GA77" t="e">
        <f t="shared" ca="1" si="181"/>
        <v>#N/A</v>
      </c>
      <c r="GB77" t="str">
        <f t="shared" ca="1" si="181"/>
        <v/>
      </c>
      <c r="GC77" t="str">
        <f t="shared" ca="1" si="181"/>
        <v/>
      </c>
      <c r="GQ77" s="263" t="e">
        <f t="shared" si="56"/>
        <v>#N/A</v>
      </c>
      <c r="HL77" s="263" t="str">
        <f t="shared" si="71"/>
        <v/>
      </c>
      <c r="HN77" s="272" t="str">
        <f t="shared" si="13"/>
        <v/>
      </c>
      <c r="HO77">
        <f t="shared" si="72"/>
        <v>0</v>
      </c>
      <c r="HP77" t="str">
        <f t="shared" si="73"/>
        <v/>
      </c>
      <c r="HQ77" t="str">
        <f t="shared" si="165"/>
        <v/>
      </c>
      <c r="HR77" t="str">
        <f t="shared" si="166"/>
        <v/>
      </c>
      <c r="HW77" s="253" t="s">
        <v>187</v>
      </c>
      <c r="HX77" s="112" t="str">
        <f t="shared" si="76"/>
        <v>1/9/2015</v>
      </c>
      <c r="HY77" t="s">
        <v>188</v>
      </c>
      <c r="HZ77" s="112" t="str">
        <f t="shared" si="77"/>
        <v>31/8/2016</v>
      </c>
      <c r="IA77" t="s">
        <v>189</v>
      </c>
      <c r="IB77">
        <f t="shared" si="78"/>
        <v>1</v>
      </c>
      <c r="IC77" t="s">
        <v>192</v>
      </c>
      <c r="ID77">
        <f t="shared" si="79"/>
        <v>0</v>
      </c>
      <c r="IE77" t="s">
        <v>191</v>
      </c>
      <c r="IF77" s="254">
        <f t="shared" si="80"/>
        <v>1</v>
      </c>
      <c r="IK77" t="str">
        <f t="shared" si="167"/>
        <v xml:space="preserve">DAL: 1/9/2015 - AL:31/8/2016 - ANNI:1 - MESI:0 -GIORNI:1
</v>
      </c>
      <c r="JP77">
        <f ca="1">IF(Foglio3!DM50=100000,0,IF(Foglio3!DM50="",0,1))</f>
        <v>1</v>
      </c>
      <c r="JQ77" s="314">
        <f ca="1" xml:space="preserve">   IF(JP77=1,     Foglio3!DM50,IF(JP77=0,IF(JP76=1,"","")))</f>
        <v>38231</v>
      </c>
      <c r="JR77" s="314">
        <f ca="1">IF(          Foglio3!DN50=100000,"",Foglio3!DN50)</f>
        <v>38383</v>
      </c>
      <c r="JS77" s="272">
        <f ca="1">IF(Foglio3!DN50=100000,"",Foglio3!DO50)</f>
        <v>18</v>
      </c>
      <c r="JT77" s="272">
        <f ca="1">IF(Foglio3!DN50=100000,"",Foglio3!DP50)</f>
        <v>24</v>
      </c>
      <c r="JU77" s="272">
        <f ca="1">IF(Foglio3!DN50=100000,"",Foglio3!DQ50)</f>
        <v>153</v>
      </c>
      <c r="JV77" s="272">
        <f ca="1">IF(JU77="","",Foglio3!DR50)</f>
        <v>0</v>
      </c>
      <c r="JW77" s="272">
        <f ca="1">IF(Foglio3!DN50=100000,"",Foglio3!DS50)</f>
        <v>19427.189999999999</v>
      </c>
      <c r="JX77" s="272">
        <f ca="1">IF(Foglio3!DN50=100000,"",Foglio3!DT50)</f>
        <v>18965.02</v>
      </c>
      <c r="JY77" s="272">
        <f ca="1">IF(Foglio3!DN50=100000,"",Foglio3!DU50)</f>
        <v>145.30000000000001</v>
      </c>
      <c r="JZ77" s="272" t="str">
        <f ca="1">IF(Foglio3!DN50=100000,"",Foglio3!DV50)</f>
        <v>3/8 anni</v>
      </c>
      <c r="KC77">
        <v>0</v>
      </c>
      <c r="KD77" s="260" t="str">
        <f t="shared" ca="1" si="81"/>
        <v/>
      </c>
      <c r="KE77" t="str">
        <f t="shared" si="82"/>
        <v>0-2 anni</v>
      </c>
      <c r="KF77">
        <f t="shared" si="15"/>
        <v>6</v>
      </c>
      <c r="KG77" s="238" t="e">
        <f t="shared" ca="1" si="16"/>
        <v>#N/A</v>
      </c>
      <c r="KJ77" t="e">
        <f t="shared" ca="1" si="83"/>
        <v>#N/A</v>
      </c>
      <c r="KK77" t="e">
        <f t="shared" ca="1" si="164"/>
        <v>#N/A</v>
      </c>
      <c r="KL77" t="e">
        <f t="shared" ca="1" si="164"/>
        <v>#N/A</v>
      </c>
      <c r="KM77" t="e">
        <f t="shared" ca="1" si="164"/>
        <v>#N/A</v>
      </c>
      <c r="KN77" t="e">
        <f t="shared" ca="1" si="164"/>
        <v>#N/A</v>
      </c>
      <c r="KU77" t="e">
        <f t="shared" ca="1" si="18"/>
        <v>#N/A</v>
      </c>
      <c r="KZ77" s="254" t="str">
        <f t="shared" si="84"/>
        <v>0-2 anni</v>
      </c>
      <c r="LA77" s="112">
        <f t="shared" si="85"/>
        <v>42248</v>
      </c>
      <c r="LB77" s="112">
        <f t="shared" si="86"/>
        <v>42613</v>
      </c>
      <c r="LC77" t="e">
        <f t="shared" ca="1" si="87"/>
        <v>#N/A</v>
      </c>
      <c r="LD77" s="262">
        <f t="shared" si="88"/>
        <v>0</v>
      </c>
      <c r="LE77">
        <f t="shared" si="89"/>
        <v>366</v>
      </c>
      <c r="LF77" t="e">
        <f t="shared" ca="1" si="90"/>
        <v>#N/A</v>
      </c>
    </row>
    <row r="78" spans="1:318" x14ac:dyDescent="0.25">
      <c r="A78" s="112">
        <f t="shared" si="128"/>
        <v>42370</v>
      </c>
      <c r="B78" s="112">
        <f t="shared" si="19"/>
        <v>42736</v>
      </c>
      <c r="E78" s="240">
        <f>Foglio3!F58</f>
        <v>42614</v>
      </c>
      <c r="F78" s="240">
        <f>Foglio3!G58</f>
        <v>42978</v>
      </c>
      <c r="G78" s="244"/>
      <c r="H78" s="245">
        <f t="shared" si="20"/>
        <v>42614</v>
      </c>
      <c r="I78" s="245">
        <f t="shared" si="2"/>
        <v>42978</v>
      </c>
      <c r="J78" s="244"/>
      <c r="K78" s="244"/>
      <c r="Q78">
        <f t="shared" si="154"/>
        <v>365</v>
      </c>
      <c r="R78">
        <f t="shared" si="155"/>
        <v>365</v>
      </c>
      <c r="S78">
        <f t="shared" si="156"/>
        <v>1</v>
      </c>
      <c r="T78">
        <f t="shared" si="157"/>
        <v>0</v>
      </c>
      <c r="U78">
        <f t="shared" si="158"/>
        <v>0</v>
      </c>
      <c r="W78">
        <f t="shared" si="159"/>
        <v>2</v>
      </c>
      <c r="X78">
        <f t="shared" si="160"/>
        <v>153</v>
      </c>
      <c r="Y78">
        <f t="shared" si="161"/>
        <v>351</v>
      </c>
      <c r="AA78" s="112">
        <f t="shared" si="91"/>
        <v>42614</v>
      </c>
      <c r="AB78" s="112">
        <f t="shared" si="92"/>
        <v>42978</v>
      </c>
      <c r="AG78">
        <f t="shared" si="22"/>
        <v>1</v>
      </c>
      <c r="AH78" s="112">
        <f t="shared" si="93"/>
        <v>42614</v>
      </c>
      <c r="AI78" s="112">
        <f t="shared" si="94"/>
        <v>42978</v>
      </c>
      <c r="CG78">
        <f t="shared" si="182"/>
        <v>2016</v>
      </c>
      <c r="CH78">
        <f t="shared" si="183"/>
        <v>2017</v>
      </c>
      <c r="CJ78">
        <f t="shared" si="184"/>
        <v>0</v>
      </c>
      <c r="CK78">
        <f t="shared" si="185"/>
        <v>0</v>
      </c>
      <c r="CL78">
        <f t="shared" si="186"/>
        <v>0</v>
      </c>
      <c r="CN78">
        <f t="shared" si="187"/>
        <v>0</v>
      </c>
      <c r="CS78">
        <f t="shared" si="178"/>
        <v>365</v>
      </c>
      <c r="CT78">
        <f t="shared" si="179"/>
        <v>5671</v>
      </c>
      <c r="CU78" s="243">
        <f t="shared" si="30"/>
        <v>5671</v>
      </c>
      <c r="CV78" s="112">
        <f t="shared" si="180"/>
        <v>42978</v>
      </c>
      <c r="CX78" s="112">
        <f t="shared" si="149"/>
        <v>100000</v>
      </c>
      <c r="CY78" s="112">
        <f t="shared" si="105"/>
        <v>100000</v>
      </c>
      <c r="CZ78" s="112">
        <f t="shared" si="106"/>
        <v>42782</v>
      </c>
      <c r="DA78" s="112">
        <f t="shared" si="107"/>
        <v>100000</v>
      </c>
      <c r="DB78" s="112">
        <f t="shared" si="108"/>
        <v>100000</v>
      </c>
      <c r="DC78" s="112">
        <f t="shared" si="109"/>
        <v>100000</v>
      </c>
      <c r="DU78" s="112"/>
      <c r="DV78" s="112"/>
      <c r="DW78" s="276"/>
      <c r="DX78" s="276"/>
      <c r="DY78" s="276"/>
      <c r="DZ78" s="276"/>
      <c r="EF78" s="260">
        <f t="shared" si="148"/>
        <v>44743</v>
      </c>
      <c r="EK78" s="254"/>
      <c r="EL78">
        <f t="shared" si="152"/>
        <v>39</v>
      </c>
      <c r="EM78" s="260" t="e">
        <f t="shared" si="111"/>
        <v>#NUM!</v>
      </c>
      <c r="EN78" t="e">
        <f t="shared" si="112"/>
        <v>#NUM!</v>
      </c>
      <c r="EO78" s="112" t="e">
        <f t="shared" si="113"/>
        <v>#NUM!</v>
      </c>
      <c r="EP78" s="112" t="str">
        <f t="shared" si="162"/>
        <v/>
      </c>
      <c r="ET78">
        <f t="shared" si="37"/>
        <v>35</v>
      </c>
      <c r="EU78" s="260" t="str">
        <f t="shared" si="38"/>
        <v/>
      </c>
      <c r="EV78" t="str">
        <f t="shared" si="39"/>
        <v>35 anni</v>
      </c>
      <c r="EW78">
        <f t="shared" si="5"/>
        <v>0</v>
      </c>
      <c r="EX78" s="238" t="e">
        <f t="shared" ca="1" si="6"/>
        <v>#N/A</v>
      </c>
      <c r="FA78" t="e">
        <f t="shared" ca="1" si="40"/>
        <v>#N/A</v>
      </c>
      <c r="FB78" t="e">
        <f t="shared" ca="1" si="163"/>
        <v>#N/A</v>
      </c>
      <c r="FC78" t="e">
        <f t="shared" ca="1" si="163"/>
        <v>#N/A</v>
      </c>
      <c r="FD78">
        <f t="shared" ca="1" si="41"/>
        <v>0</v>
      </c>
      <c r="FE78" t="e">
        <f t="shared" ca="1" si="163"/>
        <v>#N/A</v>
      </c>
      <c r="FG78" t="e">
        <f t="shared" ca="1" si="42"/>
        <v>#N/A</v>
      </c>
      <c r="FL78" t="e">
        <f t="shared" ca="1" si="8"/>
        <v>#N/A</v>
      </c>
      <c r="FQ78" s="254" t="str">
        <f t="shared" si="43"/>
        <v>35 anni</v>
      </c>
      <c r="FR78">
        <f t="shared" si="114"/>
        <v>78</v>
      </c>
      <c r="FS78" t="str">
        <f t="shared" ca="1" si="44"/>
        <v>ev78</v>
      </c>
      <c r="FT78" t="str">
        <f t="shared" ca="1" si="45"/>
        <v/>
      </c>
      <c r="FU78" t="e">
        <f t="shared" ca="1" si="45"/>
        <v>#N/A</v>
      </c>
      <c r="FV78" t="e">
        <f t="shared" ca="1" si="45"/>
        <v>#N/A</v>
      </c>
      <c r="FW78" t="e">
        <f t="shared" ca="1" si="45"/>
        <v>#N/A</v>
      </c>
      <c r="FX78" t="str">
        <f t="shared" ca="1" si="45"/>
        <v>FD78</v>
      </c>
      <c r="FY78" t="e">
        <f t="shared" ca="1" si="45"/>
        <v>#N/A</v>
      </c>
      <c r="FZ78" t="e">
        <f t="shared" ca="1" si="181"/>
        <v>#N/A</v>
      </c>
      <c r="GA78" t="e">
        <f t="shared" ca="1" si="181"/>
        <v>#N/A</v>
      </c>
      <c r="GB78" t="str">
        <f t="shared" ca="1" si="181"/>
        <v/>
      </c>
      <c r="GC78" t="str">
        <f t="shared" ca="1" si="181"/>
        <v/>
      </c>
      <c r="GQ78" s="263" t="e">
        <f t="shared" si="56"/>
        <v>#N/A</v>
      </c>
      <c r="HL78" s="263" t="str">
        <f t="shared" si="71"/>
        <v/>
      </c>
      <c r="HN78" s="272" t="str">
        <f t="shared" si="13"/>
        <v/>
      </c>
      <c r="HO78">
        <f t="shared" si="72"/>
        <v>0</v>
      </c>
      <c r="HP78" t="str">
        <f t="shared" si="73"/>
        <v/>
      </c>
      <c r="HQ78" t="str">
        <f t="shared" si="165"/>
        <v/>
      </c>
      <c r="HR78" t="str">
        <f t="shared" si="166"/>
        <v/>
      </c>
      <c r="HW78" s="253" t="s">
        <v>187</v>
      </c>
      <c r="HX78" s="112" t="str">
        <f t="shared" si="76"/>
        <v>1/9/2016</v>
      </c>
      <c r="HY78" t="s">
        <v>188</v>
      </c>
      <c r="HZ78" s="112" t="str">
        <f t="shared" si="77"/>
        <v>31/8/2017</v>
      </c>
      <c r="IA78" t="s">
        <v>189</v>
      </c>
      <c r="IB78">
        <f t="shared" si="78"/>
        <v>1</v>
      </c>
      <c r="IC78" t="s">
        <v>192</v>
      </c>
      <c r="ID78">
        <f t="shared" si="79"/>
        <v>0</v>
      </c>
      <c r="IE78" t="s">
        <v>191</v>
      </c>
      <c r="IF78" s="254">
        <f t="shared" si="80"/>
        <v>0</v>
      </c>
      <c r="IK78" t="str">
        <f t="shared" si="167"/>
        <v xml:space="preserve">DAL: 1/9/2016 - AL:31/8/2017 - ANNI:1 - MESI:0 -GIORNI:0
</v>
      </c>
      <c r="JP78">
        <f ca="1">IF(Foglio3!DM51=100000,0,IF(Foglio3!DM51="",0,1))</f>
        <v>1</v>
      </c>
      <c r="JQ78" s="314">
        <f ca="1" xml:space="preserve">   IF(JP78=1,     Foglio3!DM51,IF(JP78=0,IF(JP77=1,"","")))</f>
        <v>38384</v>
      </c>
      <c r="JR78" s="314">
        <f ca="1">IF(          Foglio3!DN51=100000,"",Foglio3!DN51)</f>
        <v>38551</v>
      </c>
      <c r="JS78" s="272">
        <f ca="1">IF(Foglio3!DN51=100000,"",Foglio3!DO51)</f>
        <v>18</v>
      </c>
      <c r="JT78" s="272">
        <f ca="1">IF(Foglio3!DN51=100000,"",Foglio3!DP51)</f>
        <v>24</v>
      </c>
      <c r="JU78" s="272">
        <f ca="1">IF(Foglio3!DN51=100000,"",Foglio3!DQ51)</f>
        <v>168</v>
      </c>
      <c r="JV78" s="272">
        <f ca="1">IF(JU78="","",Foglio3!DR51)</f>
        <v>0</v>
      </c>
      <c r="JW78" s="272">
        <f ca="1">IF(Foglio3!DN51=100000,"",Foglio3!DS51)</f>
        <v>19914.990000000002</v>
      </c>
      <c r="JX78" s="272">
        <f ca="1">IF(Foglio3!DN51=100000,"",Foglio3!DT51)</f>
        <v>19439.98</v>
      </c>
      <c r="JY78" s="272">
        <f ca="1">IF(Foglio3!DN51=100000,"",Foglio3!DU51)</f>
        <v>163.98</v>
      </c>
      <c r="JZ78" s="272" t="str">
        <f ca="1">IF(Foglio3!DN51=100000,"",Foglio3!DV51)</f>
        <v>3/8 anni</v>
      </c>
      <c r="KC78">
        <v>0</v>
      </c>
      <c r="KD78" s="260" t="str">
        <f t="shared" ca="1" si="81"/>
        <v/>
      </c>
      <c r="KE78" t="str">
        <f t="shared" si="82"/>
        <v>0-2 anni</v>
      </c>
      <c r="KF78">
        <f t="shared" si="15"/>
        <v>6</v>
      </c>
      <c r="KG78" s="238" t="e">
        <f t="shared" ca="1" si="16"/>
        <v>#N/A</v>
      </c>
      <c r="KJ78" t="e">
        <f t="shared" ca="1" si="83"/>
        <v>#N/A</v>
      </c>
      <c r="KK78" t="e">
        <f t="shared" ca="1" si="164"/>
        <v>#N/A</v>
      </c>
      <c r="KL78" t="e">
        <f t="shared" ca="1" si="164"/>
        <v>#N/A</v>
      </c>
      <c r="KM78" t="e">
        <f t="shared" ca="1" si="164"/>
        <v>#N/A</v>
      </c>
      <c r="KN78" t="e">
        <f t="shared" ca="1" si="164"/>
        <v>#N/A</v>
      </c>
      <c r="KU78" t="e">
        <f t="shared" ca="1" si="18"/>
        <v>#N/A</v>
      </c>
      <c r="KZ78" s="254" t="str">
        <f t="shared" si="84"/>
        <v>0-2 anni</v>
      </c>
      <c r="LA78" s="112">
        <f t="shared" si="85"/>
        <v>42614</v>
      </c>
      <c r="LB78" s="112">
        <f t="shared" si="86"/>
        <v>42978</v>
      </c>
      <c r="LC78" t="e">
        <f t="shared" ca="1" si="87"/>
        <v>#N/A</v>
      </c>
      <c r="LD78" s="262">
        <f t="shared" si="88"/>
        <v>0</v>
      </c>
      <c r="LE78">
        <f t="shared" si="89"/>
        <v>365</v>
      </c>
      <c r="LF78" t="e">
        <f t="shared" ca="1" si="90"/>
        <v>#N/A</v>
      </c>
    </row>
    <row r="79" spans="1:318" x14ac:dyDescent="0.25">
      <c r="A79" s="112">
        <f t="shared" si="128"/>
        <v>43160</v>
      </c>
      <c r="B79" s="112">
        <f t="shared" si="19"/>
        <v>43191</v>
      </c>
      <c r="E79" s="240">
        <f>Foglio3!F59</f>
        <v>42979</v>
      </c>
      <c r="F79" s="240">
        <f>Foglio3!G59</f>
        <v>43343</v>
      </c>
      <c r="G79" s="244"/>
      <c r="H79" s="245">
        <f t="shared" si="20"/>
        <v>42979</v>
      </c>
      <c r="I79" s="245">
        <f t="shared" si="2"/>
        <v>43343</v>
      </c>
      <c r="J79" s="244"/>
      <c r="K79" s="244"/>
      <c r="Q79">
        <f t="shared" si="154"/>
        <v>365</v>
      </c>
      <c r="R79">
        <f t="shared" si="155"/>
        <v>365</v>
      </c>
      <c r="S79">
        <f t="shared" si="156"/>
        <v>1</v>
      </c>
      <c r="T79">
        <f t="shared" si="157"/>
        <v>0</v>
      </c>
      <c r="U79">
        <f t="shared" si="158"/>
        <v>0</v>
      </c>
      <c r="W79">
        <f t="shared" si="159"/>
        <v>3</v>
      </c>
      <c r="X79">
        <f t="shared" si="160"/>
        <v>153</v>
      </c>
      <c r="Y79">
        <f t="shared" si="161"/>
        <v>351</v>
      </c>
      <c r="AA79" s="112">
        <f t="shared" si="91"/>
        <v>42979</v>
      </c>
      <c r="AB79" s="112">
        <f t="shared" si="92"/>
        <v>43343</v>
      </c>
      <c r="AG79">
        <f t="shared" si="22"/>
        <v>1</v>
      </c>
      <c r="AH79" s="112">
        <f t="shared" si="93"/>
        <v>42979</v>
      </c>
      <c r="AI79" s="112">
        <f t="shared" si="94"/>
        <v>43343</v>
      </c>
      <c r="CG79">
        <f t="shared" si="182"/>
        <v>2017</v>
      </c>
      <c r="CH79">
        <f t="shared" si="183"/>
        <v>2018</v>
      </c>
      <c r="CJ79">
        <f t="shared" si="184"/>
        <v>0</v>
      </c>
      <c r="CK79">
        <f t="shared" si="185"/>
        <v>0</v>
      </c>
      <c r="CL79">
        <f t="shared" si="186"/>
        <v>0</v>
      </c>
      <c r="CN79">
        <f t="shared" si="187"/>
        <v>0</v>
      </c>
      <c r="CS79">
        <f t="shared" si="178"/>
        <v>365</v>
      </c>
      <c r="CT79">
        <f t="shared" si="179"/>
        <v>6036</v>
      </c>
      <c r="CU79" s="243">
        <f t="shared" si="30"/>
        <v>6036</v>
      </c>
      <c r="CV79" s="112">
        <f t="shared" si="180"/>
        <v>43343</v>
      </c>
      <c r="CX79" s="112">
        <f t="shared" si="149"/>
        <v>100000</v>
      </c>
      <c r="CY79" s="112">
        <f t="shared" si="105"/>
        <v>100000</v>
      </c>
      <c r="CZ79" s="112">
        <f t="shared" si="106"/>
        <v>100000</v>
      </c>
      <c r="DA79" s="112">
        <f t="shared" si="107"/>
        <v>100000</v>
      </c>
      <c r="DB79" s="112">
        <f t="shared" si="108"/>
        <v>100000</v>
      </c>
      <c r="DC79" s="112">
        <f t="shared" si="109"/>
        <v>100000</v>
      </c>
      <c r="DU79" s="112"/>
      <c r="DV79" s="112"/>
      <c r="DW79" s="276"/>
      <c r="DX79" s="276"/>
      <c r="DY79" s="276"/>
      <c r="DZ79" s="276"/>
      <c r="EF79" s="260" t="str">
        <f>IF(  OR( DZ40=0, DZ40&lt;=$EJ$39   ),"",DZ40)</f>
        <v/>
      </c>
      <c r="EK79" s="254"/>
      <c r="EL79">
        <f t="shared" si="152"/>
        <v>40</v>
      </c>
      <c r="EM79" s="260" t="e">
        <f t="shared" si="111"/>
        <v>#NUM!</v>
      </c>
      <c r="EN79" t="e">
        <f t="shared" si="112"/>
        <v>#NUM!</v>
      </c>
      <c r="EO79" s="112" t="e">
        <f t="shared" si="113"/>
        <v>#NUM!</v>
      </c>
      <c r="EP79" s="112" t="str">
        <f t="shared" si="162"/>
        <v/>
      </c>
      <c r="ET79">
        <f t="shared" si="37"/>
        <v>35</v>
      </c>
      <c r="EU79" s="260" t="str">
        <f t="shared" si="38"/>
        <v/>
      </c>
      <c r="EV79" t="str">
        <f t="shared" si="39"/>
        <v>35 anni</v>
      </c>
      <c r="EW79">
        <f t="shared" si="5"/>
        <v>0</v>
      </c>
      <c r="EX79" s="238" t="e">
        <f t="shared" ca="1" si="6"/>
        <v>#N/A</v>
      </c>
      <c r="FA79" t="e">
        <f t="shared" ca="1" si="40"/>
        <v>#N/A</v>
      </c>
      <c r="FB79" t="e">
        <f t="shared" ca="1" si="163"/>
        <v>#N/A</v>
      </c>
      <c r="FC79" t="e">
        <f t="shared" ca="1" si="163"/>
        <v>#N/A</v>
      </c>
      <c r="FD79">
        <f t="shared" ca="1" si="41"/>
        <v>0</v>
      </c>
      <c r="FE79" t="e">
        <f t="shared" ca="1" si="163"/>
        <v>#N/A</v>
      </c>
      <c r="FG79" t="e">
        <f t="shared" ca="1" si="42"/>
        <v>#N/A</v>
      </c>
      <c r="FL79" t="e">
        <f t="shared" ca="1" si="8"/>
        <v>#N/A</v>
      </c>
      <c r="FQ79" s="254" t="str">
        <f t="shared" si="43"/>
        <v>35 anni</v>
      </c>
      <c r="FR79">
        <f t="shared" si="114"/>
        <v>79</v>
      </c>
      <c r="FS79" t="str">
        <f t="shared" ca="1" si="44"/>
        <v>ev79</v>
      </c>
      <c r="FT79" t="str">
        <f t="shared" ca="1" si="45"/>
        <v/>
      </c>
      <c r="FU79" t="e">
        <f t="shared" ca="1" si="45"/>
        <v>#N/A</v>
      </c>
      <c r="FV79" t="e">
        <f t="shared" ca="1" si="45"/>
        <v>#N/A</v>
      </c>
      <c r="FW79" t="e">
        <f t="shared" ca="1" si="45"/>
        <v>#N/A</v>
      </c>
      <c r="FX79" t="str">
        <f t="shared" ca="1" si="45"/>
        <v>FD79</v>
      </c>
      <c r="FY79" t="e">
        <f t="shared" ca="1" si="45"/>
        <v>#N/A</v>
      </c>
      <c r="FZ79" t="e">
        <f t="shared" ca="1" si="181"/>
        <v>#N/A</v>
      </c>
      <c r="GA79" t="e">
        <f t="shared" ca="1" si="181"/>
        <v>#N/A</v>
      </c>
      <c r="GB79" t="str">
        <f t="shared" ca="1" si="181"/>
        <v/>
      </c>
      <c r="GC79" t="str">
        <f t="shared" ca="1" si="181"/>
        <v/>
      </c>
      <c r="GQ79" s="263" t="e">
        <f t="shared" si="56"/>
        <v>#N/A</v>
      </c>
      <c r="HL79" s="263" t="str">
        <f t="shared" si="71"/>
        <v/>
      </c>
      <c r="HN79" s="272" t="str">
        <f t="shared" si="13"/>
        <v/>
      </c>
      <c r="HO79">
        <f t="shared" si="72"/>
        <v>0</v>
      </c>
      <c r="HP79" t="str">
        <f t="shared" si="73"/>
        <v/>
      </c>
      <c r="HQ79" t="str">
        <f t="shared" si="165"/>
        <v/>
      </c>
      <c r="HR79" t="str">
        <f t="shared" si="166"/>
        <v/>
      </c>
      <c r="HW79" s="253" t="s">
        <v>187</v>
      </c>
      <c r="HX79" s="112" t="str">
        <f t="shared" si="76"/>
        <v>1/9/2017</v>
      </c>
      <c r="HY79" t="s">
        <v>188</v>
      </c>
      <c r="HZ79" s="112" t="str">
        <f t="shared" si="77"/>
        <v>31/8/2018</v>
      </c>
      <c r="IA79" t="s">
        <v>189</v>
      </c>
      <c r="IB79">
        <f t="shared" si="78"/>
        <v>1</v>
      </c>
      <c r="IC79" t="s">
        <v>192</v>
      </c>
      <c r="ID79">
        <f t="shared" si="79"/>
        <v>0</v>
      </c>
      <c r="IE79" t="s">
        <v>191</v>
      </c>
      <c r="IF79" s="254">
        <f t="shared" si="80"/>
        <v>0</v>
      </c>
      <c r="IK79" t="str">
        <f t="shared" si="167"/>
        <v xml:space="preserve">DAL: 1/9/2017 - AL:31/8/2018 - ANNI:1 - MESI:0 -GIORNI:0
</v>
      </c>
      <c r="JP79">
        <f ca="1">IF(Foglio3!DM52=100000,0,IF(Foglio3!DM52="",0,1))</f>
        <v>1</v>
      </c>
      <c r="JQ79" s="314">
        <f ca="1" xml:space="preserve">   IF(JP79=1,     Foglio3!DM52,IF(JP79=0,IF(JP78=1,"","")))</f>
        <v>38596</v>
      </c>
      <c r="JR79" s="314">
        <f ca="1">IF(          Foglio3!DN52=100000,"",Foglio3!DN52)</f>
        <v>38717</v>
      </c>
      <c r="JS79" s="272">
        <f ca="1">IF(Foglio3!DN52=100000,"",Foglio3!DO52)</f>
        <v>18</v>
      </c>
      <c r="JT79" s="272">
        <f ca="1">IF(Foglio3!DN52=100000,"",Foglio3!DP52)</f>
        <v>24</v>
      </c>
      <c r="JU79" s="272">
        <f ca="1">IF(Foglio3!DN52=100000,"",Foglio3!DQ52)</f>
        <v>122</v>
      </c>
      <c r="JV79" s="272">
        <f ca="1">IF(JU79="","",Foglio3!DR52)</f>
        <v>0</v>
      </c>
      <c r="JW79" s="272">
        <f ca="1">IF(Foglio3!DN52=100000,"",Foglio3!DS52)</f>
        <v>19914.990000000002</v>
      </c>
      <c r="JX79" s="272">
        <f ca="1">IF(Foglio3!DN52=100000,"",Foglio3!DT52)</f>
        <v>19439.98</v>
      </c>
      <c r="JY79" s="272">
        <f ca="1">IF(Foglio3!DN52=100000,"",Foglio3!DU52)</f>
        <v>119.08</v>
      </c>
      <c r="JZ79" s="272" t="str">
        <f ca="1">IF(Foglio3!DN52=100000,"",Foglio3!DV52)</f>
        <v>3/8 anni</v>
      </c>
      <c r="KC79">
        <v>0</v>
      </c>
      <c r="KD79" s="260" t="str">
        <f t="shared" ca="1" si="81"/>
        <v/>
      </c>
      <c r="KE79" t="str">
        <f t="shared" si="82"/>
        <v>0-2 anni</v>
      </c>
      <c r="KF79">
        <f t="shared" si="15"/>
        <v>6</v>
      </c>
      <c r="KG79" s="238" t="e">
        <f t="shared" ca="1" si="16"/>
        <v>#N/A</v>
      </c>
      <c r="KJ79" t="e">
        <f t="shared" ca="1" si="83"/>
        <v>#N/A</v>
      </c>
      <c r="KK79" t="e">
        <f t="shared" ca="1" si="164"/>
        <v>#N/A</v>
      </c>
      <c r="KL79" t="e">
        <f t="shared" ca="1" si="164"/>
        <v>#N/A</v>
      </c>
      <c r="KM79" t="e">
        <f t="shared" ca="1" si="164"/>
        <v>#N/A</v>
      </c>
      <c r="KN79" t="e">
        <f t="shared" ca="1" si="164"/>
        <v>#N/A</v>
      </c>
      <c r="KU79" t="e">
        <f t="shared" ca="1" si="18"/>
        <v>#N/A</v>
      </c>
      <c r="KZ79" s="254" t="str">
        <f t="shared" si="84"/>
        <v>0-2 anni</v>
      </c>
      <c r="LA79" s="112">
        <f t="shared" si="85"/>
        <v>42979</v>
      </c>
      <c r="LB79" s="112">
        <f t="shared" si="86"/>
        <v>43343</v>
      </c>
      <c r="LC79" t="e">
        <f t="shared" ca="1" si="87"/>
        <v>#N/A</v>
      </c>
      <c r="LD79" s="262">
        <f t="shared" si="88"/>
        <v>0</v>
      </c>
      <c r="LE79">
        <f t="shared" si="89"/>
        <v>365</v>
      </c>
      <c r="LF79" t="e">
        <f t="shared" ca="1" si="90"/>
        <v>#N/A</v>
      </c>
    </row>
    <row r="80" spans="1:318" x14ac:dyDescent="0.25">
      <c r="A80" s="112">
        <f t="shared" si="128"/>
        <v>43191</v>
      </c>
      <c r="B80" s="112">
        <f t="shared" si="19"/>
        <v>43466</v>
      </c>
      <c r="E80" s="240">
        <f>Foglio3!F60</f>
        <v>43344</v>
      </c>
      <c r="F80" s="240">
        <f>Foglio3!G60</f>
        <v>43708</v>
      </c>
      <c r="G80" s="244"/>
      <c r="H80" s="245">
        <f t="shared" si="20"/>
        <v>43344</v>
      </c>
      <c r="I80" s="245">
        <f t="shared" si="2"/>
        <v>43708</v>
      </c>
      <c r="J80" s="244"/>
      <c r="K80" s="244"/>
      <c r="Q80">
        <f t="shared" si="154"/>
        <v>365</v>
      </c>
      <c r="R80">
        <f t="shared" si="155"/>
        <v>365</v>
      </c>
      <c r="S80">
        <f t="shared" si="156"/>
        <v>1</v>
      </c>
      <c r="T80">
        <f t="shared" si="157"/>
        <v>0</v>
      </c>
      <c r="U80">
        <f t="shared" si="158"/>
        <v>0</v>
      </c>
      <c r="W80">
        <f t="shared" si="159"/>
        <v>4</v>
      </c>
      <c r="X80">
        <f t="shared" si="160"/>
        <v>153</v>
      </c>
      <c r="Y80">
        <f t="shared" si="161"/>
        <v>351</v>
      </c>
      <c r="AA80" s="112">
        <f t="shared" si="91"/>
        <v>43344</v>
      </c>
      <c r="AB80" s="112">
        <f t="shared" si="92"/>
        <v>43708</v>
      </c>
      <c r="AG80">
        <f t="shared" si="22"/>
        <v>1</v>
      </c>
      <c r="AH80" s="112">
        <f t="shared" si="93"/>
        <v>43344</v>
      </c>
      <c r="AI80" s="112">
        <f t="shared" si="94"/>
        <v>43708</v>
      </c>
      <c r="CG80">
        <f t="shared" si="182"/>
        <v>2018</v>
      </c>
      <c r="CH80">
        <f t="shared" si="183"/>
        <v>2019</v>
      </c>
      <c r="CJ80">
        <f t="shared" si="184"/>
        <v>0</v>
      </c>
      <c r="CK80">
        <f t="shared" si="185"/>
        <v>0</v>
      </c>
      <c r="CL80">
        <f t="shared" si="186"/>
        <v>0</v>
      </c>
      <c r="CN80">
        <f t="shared" si="187"/>
        <v>0</v>
      </c>
      <c r="CS80">
        <f t="shared" si="178"/>
        <v>365</v>
      </c>
      <c r="CT80">
        <f t="shared" si="179"/>
        <v>6401</v>
      </c>
      <c r="CU80" s="243">
        <f t="shared" si="30"/>
        <v>6401</v>
      </c>
      <c r="CV80" s="112">
        <f t="shared" si="180"/>
        <v>43708</v>
      </c>
      <c r="CX80" s="112">
        <f t="shared" si="149"/>
        <v>100000</v>
      </c>
      <c r="CY80" s="112">
        <f t="shared" si="105"/>
        <v>100000</v>
      </c>
      <c r="CZ80" s="112">
        <f t="shared" si="106"/>
        <v>100000</v>
      </c>
      <c r="DA80" s="112">
        <f t="shared" si="107"/>
        <v>100000</v>
      </c>
      <c r="DB80" s="112">
        <f t="shared" si="108"/>
        <v>100000</v>
      </c>
      <c r="DC80" s="112">
        <f t="shared" si="109"/>
        <v>100000</v>
      </c>
      <c r="DU80" s="112"/>
      <c r="DV80" s="112"/>
      <c r="DW80" s="276"/>
      <c r="DX80" s="276"/>
      <c r="DY80" s="276"/>
      <c r="DZ80" s="276"/>
      <c r="EF80" s="260">
        <f>IF(  OR( DZ41=0, DZ41&lt;=$EJ$39   ),"",DZ41)</f>
        <v>39264</v>
      </c>
      <c r="EK80" s="254"/>
      <c r="EL80">
        <f t="shared" si="152"/>
        <v>41</v>
      </c>
      <c r="EM80" s="260" t="e">
        <f t="shared" si="111"/>
        <v>#NUM!</v>
      </c>
      <c r="EN80" t="e">
        <f t="shared" si="112"/>
        <v>#NUM!</v>
      </c>
      <c r="EO80" s="112" t="e">
        <f t="shared" si="113"/>
        <v>#NUM!</v>
      </c>
      <c r="EP80" s="112" t="str">
        <f t="shared" si="162"/>
        <v/>
      </c>
      <c r="ET80">
        <f t="shared" si="37"/>
        <v>35</v>
      </c>
      <c r="EU80" s="260" t="str">
        <f t="shared" si="38"/>
        <v/>
      </c>
      <c r="EV80" t="str">
        <f t="shared" si="39"/>
        <v>35 anni</v>
      </c>
      <c r="EW80">
        <f t="shared" si="5"/>
        <v>0</v>
      </c>
      <c r="EX80" s="238" t="e">
        <f t="shared" ca="1" si="6"/>
        <v>#N/A</v>
      </c>
      <c r="FA80" t="e">
        <f t="shared" ca="1" si="40"/>
        <v>#N/A</v>
      </c>
      <c r="FB80" t="e">
        <f t="shared" ca="1" si="163"/>
        <v>#N/A</v>
      </c>
      <c r="FC80" t="e">
        <f t="shared" ca="1" si="163"/>
        <v>#N/A</v>
      </c>
      <c r="FD80">
        <f t="shared" ca="1" si="41"/>
        <v>0</v>
      </c>
      <c r="FE80" t="e">
        <f t="shared" ca="1" si="163"/>
        <v>#N/A</v>
      </c>
      <c r="FG80" t="e">
        <f t="shared" ca="1" si="42"/>
        <v>#N/A</v>
      </c>
      <c r="FL80" t="e">
        <f t="shared" ca="1" si="8"/>
        <v>#N/A</v>
      </c>
      <c r="FQ80" s="254" t="str">
        <f t="shared" si="43"/>
        <v>35 anni</v>
      </c>
      <c r="FR80">
        <f t="shared" si="114"/>
        <v>80</v>
      </c>
      <c r="FS80" t="str">
        <f t="shared" ca="1" si="44"/>
        <v>ev80</v>
      </c>
      <c r="FT80" t="str">
        <f t="shared" ca="1" si="45"/>
        <v/>
      </c>
      <c r="FU80" t="e">
        <f t="shared" ca="1" si="45"/>
        <v>#N/A</v>
      </c>
      <c r="FV80" t="e">
        <f t="shared" ca="1" si="45"/>
        <v>#N/A</v>
      </c>
      <c r="FW80" t="e">
        <f t="shared" ca="1" si="45"/>
        <v>#N/A</v>
      </c>
      <c r="FX80" t="str">
        <f t="shared" ca="1" si="45"/>
        <v>FD80</v>
      </c>
      <c r="FY80" t="e">
        <f t="shared" ca="1" si="45"/>
        <v>#N/A</v>
      </c>
      <c r="FZ80" t="e">
        <f t="shared" ca="1" si="181"/>
        <v>#N/A</v>
      </c>
      <c r="GA80" t="e">
        <f t="shared" ca="1" si="181"/>
        <v>#N/A</v>
      </c>
      <c r="GB80" t="str">
        <f t="shared" ca="1" si="181"/>
        <v/>
      </c>
      <c r="GC80" t="str">
        <f t="shared" ca="1" si="181"/>
        <v/>
      </c>
      <c r="GQ80" s="263" t="e">
        <f t="shared" si="56"/>
        <v>#N/A</v>
      </c>
      <c r="HL80" s="263" t="str">
        <f t="shared" si="71"/>
        <v/>
      </c>
      <c r="HN80" s="272" t="str">
        <f t="shared" si="13"/>
        <v/>
      </c>
      <c r="HO80">
        <f t="shared" si="72"/>
        <v>0</v>
      </c>
      <c r="HP80" t="str">
        <f t="shared" si="73"/>
        <v/>
      </c>
      <c r="HQ80" t="str">
        <f t="shared" si="165"/>
        <v/>
      </c>
      <c r="HR80" t="str">
        <f t="shared" si="166"/>
        <v/>
      </c>
      <c r="HW80" s="253" t="s">
        <v>187</v>
      </c>
      <c r="HX80" s="112" t="str">
        <f t="shared" si="76"/>
        <v>1/9/2018</v>
      </c>
      <c r="HY80" t="s">
        <v>188</v>
      </c>
      <c r="HZ80" s="112" t="str">
        <f t="shared" si="77"/>
        <v>31/8/2019</v>
      </c>
      <c r="IA80" t="s">
        <v>189</v>
      </c>
      <c r="IB80">
        <f t="shared" si="78"/>
        <v>1</v>
      </c>
      <c r="IC80" t="s">
        <v>192</v>
      </c>
      <c r="ID80">
        <f t="shared" si="79"/>
        <v>0</v>
      </c>
      <c r="IE80" t="s">
        <v>191</v>
      </c>
      <c r="IF80" s="254">
        <f t="shared" si="80"/>
        <v>0</v>
      </c>
      <c r="IK80" t="str">
        <f t="shared" si="167"/>
        <v xml:space="preserve">DAL: 1/9/2018 - AL:31/8/2019 - ANNI:1 - MESI:0 -GIORNI:0
</v>
      </c>
      <c r="IV80" t="str">
        <f>CONCATENATE(IK80,IK81,IK82,IK83,IK84,IK85,IK86,IK87,IK88,IK89,IK90,IK91,IK92,IK93,IK94,I585,IK96,IK97,IK98,IK99,)</f>
        <v xml:space="preserve">DAL: 1/9/2018 - AL:31/8/2019 - ANNI:1 - MESI:0 -GIORNI:0
DAL: 1/9/2019 - AL:31/8/2020 - ANNI:1 - MESI:0 -GIORNI:1
DAL: 1/9/2020 - AL:31/8/2021 - ANNI:1 - MESI:0 -GIORNI:0
DAL: 1/9/2021 - AL:31/8/2022 - ANNI:1 - MESI:0 -GIORNI:0
</v>
      </c>
      <c r="JP80">
        <f ca="1">IF(Foglio3!DM53=100000,0,IF(Foglio3!DM53="",0,1))</f>
        <v>1</v>
      </c>
      <c r="JQ80" s="314">
        <f ca="1" xml:space="preserve">   IF(JP80=1,     Foglio3!DM53,IF(JP80=0,IF(JP79=1,"","")))</f>
        <v>38718</v>
      </c>
      <c r="JR80" s="314">
        <f ca="1">IF(          Foglio3!DN53=100000,"",Foglio3!DN53)</f>
        <v>38919</v>
      </c>
      <c r="JS80" s="272">
        <f ca="1">IF(Foglio3!DN53=100000,"",Foglio3!DO53)</f>
        <v>18</v>
      </c>
      <c r="JT80" s="272">
        <f ca="1">IF(Foglio3!DN53=100000,"",Foglio3!DP53)</f>
        <v>24</v>
      </c>
      <c r="JU80" s="272">
        <f ca="1">IF(Foglio3!DN53=100000,"",Foglio3!DQ53)</f>
        <v>202</v>
      </c>
      <c r="JV80" s="272">
        <f ca="1">IF(JU80="","",Foglio3!DR53)</f>
        <v>0</v>
      </c>
      <c r="JW80" s="272">
        <f ca="1">IF(Foglio3!DN53=100000,"",Foglio3!DS53)</f>
        <v>20108.79</v>
      </c>
      <c r="JX80" s="272">
        <f ca="1">IF(Foglio3!DN53=100000,"",Foglio3!DT53)</f>
        <v>19631.62</v>
      </c>
      <c r="JY80" s="272">
        <f ca="1">IF(Foglio3!DN53=100000,"",Foglio3!DU53)</f>
        <v>198.06</v>
      </c>
      <c r="JZ80" s="272" t="str">
        <f ca="1">IF(Foglio3!DN53=100000,"",Foglio3!DV53)</f>
        <v>3/8 anni</v>
      </c>
      <c r="KC80">
        <v>0</v>
      </c>
      <c r="KD80" s="260" t="str">
        <f t="shared" ca="1" si="81"/>
        <v/>
      </c>
      <c r="KE80" t="str">
        <f t="shared" si="82"/>
        <v>0-2 anni</v>
      </c>
      <c r="KF80">
        <f t="shared" si="15"/>
        <v>6</v>
      </c>
      <c r="KG80" s="238" t="e">
        <f t="shared" ca="1" si="16"/>
        <v>#N/A</v>
      </c>
      <c r="KJ80" t="e">
        <f t="shared" ca="1" si="83"/>
        <v>#N/A</v>
      </c>
      <c r="KK80" t="e">
        <f t="shared" ca="1" si="164"/>
        <v>#N/A</v>
      </c>
      <c r="KL80" t="e">
        <f t="shared" ca="1" si="164"/>
        <v>#N/A</v>
      </c>
      <c r="KM80" t="e">
        <f t="shared" ca="1" si="164"/>
        <v>#N/A</v>
      </c>
      <c r="KN80" t="e">
        <f t="shared" ca="1" si="164"/>
        <v>#N/A</v>
      </c>
      <c r="KU80" t="e">
        <f t="shared" ca="1" si="18"/>
        <v>#N/A</v>
      </c>
      <c r="KZ80" s="254" t="str">
        <f t="shared" si="84"/>
        <v>0-2 anni</v>
      </c>
      <c r="LA80" s="112">
        <f t="shared" si="85"/>
        <v>43344</v>
      </c>
      <c r="LB80" s="112">
        <f t="shared" si="86"/>
        <v>43708</v>
      </c>
      <c r="LC80" t="e">
        <f t="shared" ca="1" si="87"/>
        <v>#N/A</v>
      </c>
      <c r="LD80" s="262">
        <f t="shared" si="88"/>
        <v>0</v>
      </c>
      <c r="LE80">
        <f t="shared" si="89"/>
        <v>365</v>
      </c>
      <c r="LF80" t="e">
        <f t="shared" ca="1" si="90"/>
        <v>#N/A</v>
      </c>
    </row>
    <row r="81" spans="1:318" x14ac:dyDescent="0.25">
      <c r="A81" s="112">
        <f t="shared" si="128"/>
        <v>43466</v>
      </c>
      <c r="B81" s="112">
        <f t="shared" si="19"/>
        <v>43831</v>
      </c>
      <c r="E81" s="240">
        <f>Foglio3!F61</f>
        <v>43709</v>
      </c>
      <c r="F81" s="240">
        <f>Foglio3!G61</f>
        <v>44074</v>
      </c>
      <c r="G81" s="244"/>
      <c r="H81" s="245">
        <f t="shared" si="20"/>
        <v>43709</v>
      </c>
      <c r="I81" s="245">
        <f t="shared" si="2"/>
        <v>44074</v>
      </c>
      <c r="J81" s="244"/>
      <c r="K81" s="244"/>
      <c r="Q81">
        <f t="shared" si="154"/>
        <v>366</v>
      </c>
      <c r="R81">
        <f t="shared" si="155"/>
        <v>366</v>
      </c>
      <c r="S81">
        <f t="shared" si="156"/>
        <v>1</v>
      </c>
      <c r="T81">
        <f t="shared" si="157"/>
        <v>0</v>
      </c>
      <c r="U81">
        <f t="shared" si="158"/>
        <v>1</v>
      </c>
      <c r="W81">
        <f t="shared" si="159"/>
        <v>5</v>
      </c>
      <c r="X81">
        <f t="shared" si="160"/>
        <v>153</v>
      </c>
      <c r="Y81">
        <f t="shared" si="161"/>
        <v>352</v>
      </c>
      <c r="AA81" s="112">
        <f t="shared" si="91"/>
        <v>43709</v>
      </c>
      <c r="AB81" s="112">
        <f t="shared" si="92"/>
        <v>44074</v>
      </c>
      <c r="AG81">
        <f t="shared" si="22"/>
        <v>1</v>
      </c>
      <c r="AH81" s="112">
        <f t="shared" si="93"/>
        <v>43709</v>
      </c>
      <c r="AI81" s="112">
        <f t="shared" si="94"/>
        <v>44074</v>
      </c>
      <c r="CG81">
        <f t="shared" si="182"/>
        <v>2019</v>
      </c>
      <c r="CH81">
        <f t="shared" si="183"/>
        <v>2020</v>
      </c>
      <c r="CJ81">
        <f t="shared" si="184"/>
        <v>0</v>
      </c>
      <c r="CK81">
        <f t="shared" si="185"/>
        <v>0</v>
      </c>
      <c r="CL81">
        <f t="shared" si="186"/>
        <v>0</v>
      </c>
      <c r="CN81">
        <f t="shared" si="187"/>
        <v>0</v>
      </c>
      <c r="CS81">
        <f t="shared" si="178"/>
        <v>366</v>
      </c>
      <c r="CT81">
        <f t="shared" si="179"/>
        <v>6767</v>
      </c>
      <c r="CU81" s="243">
        <f t="shared" si="30"/>
        <v>6767</v>
      </c>
      <c r="CV81" s="112">
        <f t="shared" si="180"/>
        <v>44074</v>
      </c>
      <c r="CX81" s="112">
        <f t="shared" si="149"/>
        <v>100000</v>
      </c>
      <c r="CY81" s="112">
        <f t="shared" si="105"/>
        <v>100000</v>
      </c>
      <c r="CZ81" s="112">
        <f t="shared" si="106"/>
        <v>100000</v>
      </c>
      <c r="DA81" s="112">
        <f t="shared" si="107"/>
        <v>100000</v>
      </c>
      <c r="DB81" s="112">
        <f t="shared" si="108"/>
        <v>100000</v>
      </c>
      <c r="DC81" s="112">
        <f t="shared" si="109"/>
        <v>100000</v>
      </c>
      <c r="DU81" s="112"/>
      <c r="DV81" s="112"/>
      <c r="DW81" s="276"/>
      <c r="DX81" s="276"/>
      <c r="DY81" s="276"/>
      <c r="DZ81" s="276"/>
      <c r="EF81" s="260">
        <f>IF(  OR( DZ42=0, DZ42&lt;=$EJ$39   ),"",DZ42)</f>
        <v>37411</v>
      </c>
      <c r="EK81" s="254"/>
      <c r="EL81">
        <f t="shared" si="152"/>
        <v>42</v>
      </c>
      <c r="EM81" s="260" t="e">
        <f t="shared" si="111"/>
        <v>#NUM!</v>
      </c>
      <c r="EN81" t="e">
        <f t="shared" si="112"/>
        <v>#NUM!</v>
      </c>
      <c r="EO81" s="112" t="e">
        <f t="shared" si="113"/>
        <v>#NUM!</v>
      </c>
      <c r="EP81" s="112" t="str">
        <f t="shared" si="162"/>
        <v/>
      </c>
      <c r="ET81">
        <f t="shared" si="37"/>
        <v>35</v>
      </c>
      <c r="EU81" s="260" t="str">
        <f t="shared" si="38"/>
        <v/>
      </c>
      <c r="EV81" t="str">
        <f t="shared" si="39"/>
        <v>35 anni</v>
      </c>
      <c r="EW81">
        <f t="shared" si="5"/>
        <v>0</v>
      </c>
      <c r="EX81" s="238" t="e">
        <f t="shared" ca="1" si="6"/>
        <v>#N/A</v>
      </c>
      <c r="FA81" t="e">
        <f t="shared" ca="1" si="40"/>
        <v>#N/A</v>
      </c>
      <c r="FB81" t="e">
        <f t="shared" ca="1" si="163"/>
        <v>#N/A</v>
      </c>
      <c r="FC81" t="e">
        <f t="shared" ca="1" si="163"/>
        <v>#N/A</v>
      </c>
      <c r="FD81">
        <f t="shared" ca="1" si="41"/>
        <v>0</v>
      </c>
      <c r="FE81" t="e">
        <f t="shared" ca="1" si="163"/>
        <v>#N/A</v>
      </c>
      <c r="FG81" t="e">
        <f t="shared" ca="1" si="42"/>
        <v>#N/A</v>
      </c>
      <c r="FL81" t="e">
        <f t="shared" ca="1" si="8"/>
        <v>#N/A</v>
      </c>
      <c r="FQ81" s="254" t="str">
        <f t="shared" si="43"/>
        <v>35 anni</v>
      </c>
      <c r="FR81">
        <f t="shared" si="114"/>
        <v>81</v>
      </c>
      <c r="FS81" t="str">
        <f t="shared" ca="1" si="44"/>
        <v>ev81</v>
      </c>
      <c r="FT81" t="str">
        <f t="shared" ca="1" si="45"/>
        <v/>
      </c>
      <c r="FU81" t="e">
        <f t="shared" ca="1" si="45"/>
        <v>#N/A</v>
      </c>
      <c r="FV81" t="e">
        <f t="shared" ca="1" si="45"/>
        <v>#N/A</v>
      </c>
      <c r="FW81" t="e">
        <f t="shared" ca="1" si="45"/>
        <v>#N/A</v>
      </c>
      <c r="FX81" t="str">
        <f t="shared" ca="1" si="45"/>
        <v>FD81</v>
      </c>
      <c r="FY81" t="e">
        <f t="shared" ca="1" si="45"/>
        <v>#N/A</v>
      </c>
      <c r="FZ81" t="e">
        <f t="shared" ca="1" si="181"/>
        <v>#N/A</v>
      </c>
      <c r="GA81" t="e">
        <f t="shared" ca="1" si="181"/>
        <v>#N/A</v>
      </c>
      <c r="GB81" t="str">
        <f t="shared" ca="1" si="181"/>
        <v/>
      </c>
      <c r="GC81" t="str">
        <f t="shared" ca="1" si="181"/>
        <v/>
      </c>
      <c r="GQ81" s="263" t="e">
        <f t="shared" si="56"/>
        <v>#N/A</v>
      </c>
      <c r="HL81" s="263" t="str">
        <f t="shared" si="71"/>
        <v/>
      </c>
      <c r="HN81" s="272" t="str">
        <f t="shared" si="13"/>
        <v/>
      </c>
      <c r="HO81">
        <f t="shared" si="72"/>
        <v>0</v>
      </c>
      <c r="HP81" t="str">
        <f t="shared" si="73"/>
        <v/>
      </c>
      <c r="HQ81" t="str">
        <f t="shared" si="165"/>
        <v/>
      </c>
      <c r="HR81" t="str">
        <f t="shared" si="166"/>
        <v/>
      </c>
      <c r="HW81" s="253" t="s">
        <v>187</v>
      </c>
      <c r="HX81" s="112" t="str">
        <f t="shared" si="76"/>
        <v>1/9/2019</v>
      </c>
      <c r="HY81" t="s">
        <v>188</v>
      </c>
      <c r="HZ81" s="112" t="str">
        <f t="shared" si="77"/>
        <v>31/8/2020</v>
      </c>
      <c r="IA81" t="s">
        <v>189</v>
      </c>
      <c r="IB81">
        <f t="shared" si="78"/>
        <v>1</v>
      </c>
      <c r="IC81" t="s">
        <v>192</v>
      </c>
      <c r="ID81">
        <f t="shared" si="79"/>
        <v>0</v>
      </c>
      <c r="IE81" t="s">
        <v>191</v>
      </c>
      <c r="IF81" s="254">
        <f t="shared" si="80"/>
        <v>1</v>
      </c>
      <c r="IK81" t="str">
        <f t="shared" si="167"/>
        <v xml:space="preserve">DAL: 1/9/2019 - AL:31/8/2020 - ANNI:1 - MESI:0 -GIORNI:1
</v>
      </c>
      <c r="JP81">
        <f ca="1">IF(Foglio3!DM54=100000,0,IF(Foglio3!DM54="",0,1))</f>
        <v>1</v>
      </c>
      <c r="JQ81" s="314">
        <f ca="1" xml:space="preserve">   IF(JP81=1,     Foglio3!DM54,IF(JP81=0,IF(JP80=1,"","")))</f>
        <v>38961</v>
      </c>
      <c r="JR81" s="314">
        <f ca="1">IF(          Foglio3!DN54=100000,"",Foglio3!DN54)</f>
        <v>39082</v>
      </c>
      <c r="JS81" s="272">
        <f ca="1">IF(Foglio3!DN54=100000,"",Foglio3!DO54)</f>
        <v>18</v>
      </c>
      <c r="JT81" s="272">
        <f ca="1">IF(Foglio3!DN54=100000,"",Foglio3!DP54)</f>
        <v>24</v>
      </c>
      <c r="JU81" s="272">
        <f ca="1">IF(Foglio3!DN54=100000,"",Foglio3!DQ54)</f>
        <v>122</v>
      </c>
      <c r="JV81" s="272">
        <f ca="1">IF(JU81="","",Foglio3!DR54)</f>
        <v>0</v>
      </c>
      <c r="JW81" s="272">
        <f ca="1">IF(Foglio3!DN54=100000,"",Foglio3!DS54)</f>
        <v>20108.79</v>
      </c>
      <c r="JX81" s="272">
        <f ca="1">IF(Foglio3!DN54=100000,"",Foglio3!DT54)</f>
        <v>19631.62</v>
      </c>
      <c r="JY81" s="272">
        <f ca="1">IF(Foglio3!DN54=100000,"",Foglio3!DU54)</f>
        <v>119.62</v>
      </c>
      <c r="JZ81" s="272" t="str">
        <f ca="1">IF(Foglio3!DN54=100000,"",Foglio3!DV54)</f>
        <v>3/8 anni</v>
      </c>
      <c r="KC81">
        <v>0</v>
      </c>
      <c r="KD81" s="260" t="str">
        <f t="shared" ca="1" si="81"/>
        <v/>
      </c>
      <c r="KE81" t="str">
        <f t="shared" si="82"/>
        <v>0-2 anni</v>
      </c>
      <c r="KF81">
        <f t="shared" si="15"/>
        <v>6</v>
      </c>
      <c r="KG81" s="238" t="e">
        <f t="shared" ca="1" si="16"/>
        <v>#N/A</v>
      </c>
      <c r="KJ81" t="e">
        <f t="shared" ca="1" si="83"/>
        <v>#N/A</v>
      </c>
      <c r="KK81" t="e">
        <f t="shared" ca="1" si="164"/>
        <v>#N/A</v>
      </c>
      <c r="KL81" t="e">
        <f t="shared" ca="1" si="164"/>
        <v>#N/A</v>
      </c>
      <c r="KM81" t="e">
        <f t="shared" ca="1" si="164"/>
        <v>#N/A</v>
      </c>
      <c r="KN81" t="e">
        <f t="shared" ca="1" si="164"/>
        <v>#N/A</v>
      </c>
      <c r="KU81" t="e">
        <f t="shared" ca="1" si="18"/>
        <v>#N/A</v>
      </c>
      <c r="KZ81" s="254" t="str">
        <f t="shared" si="84"/>
        <v>0-2 anni</v>
      </c>
      <c r="LA81" s="112">
        <f t="shared" si="85"/>
        <v>43709</v>
      </c>
      <c r="LB81" s="112">
        <f t="shared" si="86"/>
        <v>44074</v>
      </c>
      <c r="LC81" t="e">
        <f t="shared" ca="1" si="87"/>
        <v>#N/A</v>
      </c>
      <c r="LD81" s="262">
        <f t="shared" si="88"/>
        <v>0</v>
      </c>
      <c r="LE81">
        <f t="shared" si="89"/>
        <v>366</v>
      </c>
      <c r="LF81" t="e">
        <f t="shared" ca="1" si="90"/>
        <v>#N/A</v>
      </c>
    </row>
    <row r="82" spans="1:318" x14ac:dyDescent="0.25">
      <c r="A82" s="112">
        <f t="shared" si="128"/>
        <v>43831</v>
      </c>
      <c r="B82" s="112">
        <f t="shared" si="19"/>
        <v>44197</v>
      </c>
      <c r="E82" s="240">
        <f>Foglio3!F62</f>
        <v>44075</v>
      </c>
      <c r="F82" s="240">
        <f>Foglio3!G62</f>
        <v>44439</v>
      </c>
      <c r="G82" s="244"/>
      <c r="H82" s="245">
        <f t="shared" si="20"/>
        <v>44075</v>
      </c>
      <c r="I82" s="245">
        <f t="shared" si="2"/>
        <v>44439</v>
      </c>
      <c r="J82" s="244"/>
      <c r="K82" s="244"/>
      <c r="Q82">
        <f t="shared" si="154"/>
        <v>365</v>
      </c>
      <c r="R82">
        <f t="shared" si="155"/>
        <v>365</v>
      </c>
      <c r="S82">
        <f t="shared" si="156"/>
        <v>1</v>
      </c>
      <c r="T82">
        <f t="shared" si="157"/>
        <v>0</v>
      </c>
      <c r="U82">
        <f t="shared" si="158"/>
        <v>0</v>
      </c>
      <c r="W82">
        <f t="shared" si="159"/>
        <v>6</v>
      </c>
      <c r="X82">
        <f t="shared" si="160"/>
        <v>153</v>
      </c>
      <c r="Y82">
        <f t="shared" si="161"/>
        <v>352</v>
      </c>
      <c r="AA82" s="112">
        <f t="shared" si="91"/>
        <v>44075</v>
      </c>
      <c r="AB82" s="112">
        <f t="shared" si="92"/>
        <v>44439</v>
      </c>
      <c r="AG82">
        <f t="shared" si="22"/>
        <v>1</v>
      </c>
      <c r="AH82" s="112">
        <f t="shared" si="93"/>
        <v>44075</v>
      </c>
      <c r="AI82" s="112">
        <f t="shared" si="94"/>
        <v>44439</v>
      </c>
      <c r="CG82">
        <f t="shared" si="182"/>
        <v>2020</v>
      </c>
      <c r="CH82">
        <f t="shared" si="183"/>
        <v>2021</v>
      </c>
      <c r="CJ82">
        <f t="shared" si="184"/>
        <v>0</v>
      </c>
      <c r="CK82">
        <f t="shared" si="185"/>
        <v>0</v>
      </c>
      <c r="CL82">
        <f t="shared" si="186"/>
        <v>0</v>
      </c>
      <c r="CN82">
        <f t="shared" si="187"/>
        <v>0</v>
      </c>
      <c r="CS82">
        <f t="shared" si="178"/>
        <v>365</v>
      </c>
      <c r="CT82">
        <f t="shared" si="179"/>
        <v>7132</v>
      </c>
      <c r="CU82" s="243">
        <f t="shared" si="30"/>
        <v>7132</v>
      </c>
      <c r="CV82" s="112">
        <f t="shared" si="180"/>
        <v>44439</v>
      </c>
      <c r="CX82" s="112">
        <f t="shared" si="149"/>
        <v>100000</v>
      </c>
      <c r="CY82" s="112">
        <f t="shared" si="105"/>
        <v>100000</v>
      </c>
      <c r="CZ82" s="112">
        <f t="shared" si="106"/>
        <v>100000</v>
      </c>
      <c r="DA82" s="112">
        <f t="shared" si="107"/>
        <v>100000</v>
      </c>
      <c r="DB82" s="112">
        <f t="shared" si="108"/>
        <v>100000</v>
      </c>
      <c r="DC82" s="112">
        <f t="shared" si="109"/>
        <v>100000</v>
      </c>
      <c r="DU82" s="112"/>
      <c r="DV82" s="112"/>
      <c r="DW82" s="276"/>
      <c r="DX82" s="276"/>
      <c r="DY82" s="276"/>
      <c r="DZ82" s="276"/>
      <c r="EF82" s="260">
        <f>IF(DZ43=0,"",DZ43)</f>
        <v>40171</v>
      </c>
      <c r="EK82" s="254"/>
      <c r="EL82">
        <f t="shared" si="152"/>
        <v>43</v>
      </c>
      <c r="EM82" s="260" t="e">
        <f t="shared" si="111"/>
        <v>#NUM!</v>
      </c>
      <c r="EN82" t="e">
        <f t="shared" si="112"/>
        <v>#NUM!</v>
      </c>
      <c r="EO82" s="112" t="e">
        <f t="shared" si="113"/>
        <v>#NUM!</v>
      </c>
      <c r="EP82" s="112" t="str">
        <f t="shared" si="162"/>
        <v/>
      </c>
      <c r="ET82">
        <f t="shared" si="37"/>
        <v>35</v>
      </c>
      <c r="EU82" s="260" t="str">
        <f t="shared" si="38"/>
        <v/>
      </c>
      <c r="EV82" t="str">
        <f t="shared" si="39"/>
        <v>35 anni</v>
      </c>
      <c r="EW82">
        <f t="shared" si="5"/>
        <v>0</v>
      </c>
      <c r="EX82" s="238" t="e">
        <f t="shared" ca="1" si="6"/>
        <v>#N/A</v>
      </c>
      <c r="FA82" t="e">
        <f t="shared" ca="1" si="40"/>
        <v>#N/A</v>
      </c>
      <c r="FB82" t="e">
        <f t="shared" ca="1" si="163"/>
        <v>#N/A</v>
      </c>
      <c r="FC82" t="e">
        <f t="shared" ca="1" si="163"/>
        <v>#N/A</v>
      </c>
      <c r="FD82">
        <f t="shared" ca="1" si="41"/>
        <v>0</v>
      </c>
      <c r="FE82" t="e">
        <f t="shared" ca="1" si="163"/>
        <v>#N/A</v>
      </c>
      <c r="FG82" t="e">
        <f t="shared" ca="1" si="42"/>
        <v>#N/A</v>
      </c>
      <c r="FL82" t="e">
        <f t="shared" ca="1" si="8"/>
        <v>#N/A</v>
      </c>
      <c r="FQ82" s="254" t="str">
        <f t="shared" si="43"/>
        <v>35 anni</v>
      </c>
      <c r="FR82">
        <f t="shared" si="114"/>
        <v>82</v>
      </c>
      <c r="FS82" t="str">
        <f t="shared" ca="1" si="44"/>
        <v>ev82</v>
      </c>
      <c r="FT82" t="str">
        <f t="shared" ca="1" si="45"/>
        <v/>
      </c>
      <c r="FU82" t="e">
        <f t="shared" ca="1" si="45"/>
        <v>#N/A</v>
      </c>
      <c r="FV82" t="e">
        <f t="shared" ca="1" si="45"/>
        <v>#N/A</v>
      </c>
      <c r="FW82" t="e">
        <f t="shared" ca="1" si="45"/>
        <v>#N/A</v>
      </c>
      <c r="FX82" t="str">
        <f t="shared" ca="1" si="45"/>
        <v>FD82</v>
      </c>
      <c r="FY82" t="e">
        <f t="shared" ca="1" si="45"/>
        <v>#N/A</v>
      </c>
      <c r="FZ82" t="e">
        <f t="shared" ca="1" si="181"/>
        <v>#N/A</v>
      </c>
      <c r="GA82" t="e">
        <f t="shared" ca="1" si="181"/>
        <v>#N/A</v>
      </c>
      <c r="GB82" t="str">
        <f t="shared" ca="1" si="181"/>
        <v/>
      </c>
      <c r="GC82" t="str">
        <f t="shared" ca="1" si="181"/>
        <v/>
      </c>
      <c r="GQ82" s="263" t="e">
        <f t="shared" si="56"/>
        <v>#N/A</v>
      </c>
      <c r="HL82" s="263" t="str">
        <f t="shared" si="71"/>
        <v/>
      </c>
      <c r="HN82" s="272" t="str">
        <f t="shared" si="13"/>
        <v/>
      </c>
      <c r="HO82">
        <f t="shared" si="72"/>
        <v>0</v>
      </c>
      <c r="HP82" t="str">
        <f t="shared" si="73"/>
        <v/>
      </c>
      <c r="HQ82" t="str">
        <f t="shared" si="165"/>
        <v/>
      </c>
      <c r="HR82" t="str">
        <f t="shared" si="166"/>
        <v/>
      </c>
      <c r="HW82" s="253" t="s">
        <v>187</v>
      </c>
      <c r="HX82" s="112" t="str">
        <f t="shared" si="76"/>
        <v>1/9/2020</v>
      </c>
      <c r="HY82" t="s">
        <v>188</v>
      </c>
      <c r="HZ82" s="112" t="str">
        <f t="shared" si="77"/>
        <v>31/8/2021</v>
      </c>
      <c r="IA82" t="s">
        <v>189</v>
      </c>
      <c r="IB82">
        <f t="shared" si="78"/>
        <v>1</v>
      </c>
      <c r="IC82" t="s">
        <v>192</v>
      </c>
      <c r="ID82">
        <f t="shared" si="79"/>
        <v>0</v>
      </c>
      <c r="IE82" t="s">
        <v>191</v>
      </c>
      <c r="IF82" s="254">
        <f t="shared" si="80"/>
        <v>0</v>
      </c>
      <c r="IK82" t="str">
        <f t="shared" si="167"/>
        <v xml:space="preserve">DAL: 1/9/2020 - AL:31/8/2021 - ANNI:1 - MESI:0 -GIORNI:0
</v>
      </c>
      <c r="JP82">
        <f ca="1">IF(Foglio3!DM55=100000,0,IF(Foglio3!DM55="",0,1))</f>
        <v>1</v>
      </c>
      <c r="JQ82" s="314">
        <f ca="1" xml:space="preserve">   IF(JP82=1,     Foglio3!DM55,IF(JP82=0,IF(JP81=1,"","")))</f>
        <v>39083</v>
      </c>
      <c r="JR82" s="314">
        <f ca="1">IF(          Foglio3!DN55=100000,"",Foglio3!DN55)</f>
        <v>39113</v>
      </c>
      <c r="JS82" s="272">
        <f ca="1">IF(Foglio3!DN55=100000,"",Foglio3!DO55)</f>
        <v>18</v>
      </c>
      <c r="JT82" s="272">
        <f ca="1">IF(Foglio3!DN55=100000,"",Foglio3!DP55)</f>
        <v>24</v>
      </c>
      <c r="JU82" s="272">
        <f ca="1">IF(Foglio3!DN55=100000,"",Foglio3!DQ55)</f>
        <v>31</v>
      </c>
      <c r="JV82" s="272">
        <f ca="1">IF(JU82="","",Foglio3!DR55)</f>
        <v>0</v>
      </c>
      <c r="JW82" s="272">
        <f ca="1">IF(Foglio3!DN55=100000,"",Foglio3!DS55)</f>
        <v>20454.03</v>
      </c>
      <c r="JX82" s="272">
        <f ca="1">IF(Foglio3!DN55=100000,"",Foglio3!DT55)</f>
        <v>19967.739999999998</v>
      </c>
      <c r="JY82" s="272">
        <f ca="1">IF(Foglio3!DN55=100000,"",Foglio3!DU55)</f>
        <v>30.98</v>
      </c>
      <c r="JZ82" s="272" t="str">
        <f ca="1">IF(Foglio3!DN55=100000,"",Foglio3!DV55)</f>
        <v>3/8 anni</v>
      </c>
      <c r="KC82">
        <v>0</v>
      </c>
      <c r="KD82" s="260" t="str">
        <f t="shared" ca="1" si="81"/>
        <v/>
      </c>
      <c r="KE82" t="str">
        <f t="shared" si="82"/>
        <v>0-2 anni</v>
      </c>
      <c r="KF82">
        <f t="shared" si="15"/>
        <v>6</v>
      </c>
      <c r="KG82" s="238" t="e">
        <f t="shared" ca="1" si="16"/>
        <v>#N/A</v>
      </c>
      <c r="KJ82" t="e">
        <f t="shared" ca="1" si="83"/>
        <v>#N/A</v>
      </c>
      <c r="KK82" t="e">
        <f t="shared" ca="1" si="164"/>
        <v>#N/A</v>
      </c>
      <c r="KL82" t="e">
        <f t="shared" ca="1" si="164"/>
        <v>#N/A</v>
      </c>
      <c r="KM82" t="e">
        <f t="shared" ca="1" si="164"/>
        <v>#N/A</v>
      </c>
      <c r="KN82" t="e">
        <f t="shared" ca="1" si="164"/>
        <v>#N/A</v>
      </c>
      <c r="KU82" t="e">
        <f t="shared" ca="1" si="18"/>
        <v>#N/A</v>
      </c>
      <c r="KZ82" s="254" t="str">
        <f t="shared" si="84"/>
        <v>0-2 anni</v>
      </c>
      <c r="LA82" s="112">
        <f t="shared" si="85"/>
        <v>44075</v>
      </c>
      <c r="LB82" s="112">
        <f t="shared" si="86"/>
        <v>44439</v>
      </c>
      <c r="LC82" t="e">
        <f t="shared" ca="1" si="87"/>
        <v>#N/A</v>
      </c>
      <c r="LD82" s="262">
        <f t="shared" si="88"/>
        <v>0</v>
      </c>
      <c r="LE82">
        <f t="shared" si="89"/>
        <v>365</v>
      </c>
      <c r="LF82" t="e">
        <f t="shared" ca="1" si="90"/>
        <v>#N/A</v>
      </c>
    </row>
    <row r="83" spans="1:318" x14ac:dyDescent="0.25">
      <c r="A83" s="112">
        <f t="shared" si="128"/>
        <v>44652</v>
      </c>
      <c r="B83" s="112">
        <f t="shared" si="19"/>
        <v>44743</v>
      </c>
      <c r="E83" s="240">
        <f>Foglio3!F63</f>
        <v>44440</v>
      </c>
      <c r="F83" s="240">
        <f>Foglio3!G63</f>
        <v>44804</v>
      </c>
      <c r="G83" s="244"/>
      <c r="H83" s="245">
        <f t="shared" si="20"/>
        <v>44440</v>
      </c>
      <c r="I83" s="245">
        <f t="shared" si="2"/>
        <v>44804</v>
      </c>
      <c r="J83" s="244"/>
      <c r="K83" s="244"/>
      <c r="Q83">
        <f t="shared" si="154"/>
        <v>365</v>
      </c>
      <c r="R83">
        <f t="shared" si="155"/>
        <v>365</v>
      </c>
      <c r="S83">
        <f t="shared" si="156"/>
        <v>1</v>
      </c>
      <c r="T83">
        <f t="shared" si="157"/>
        <v>0</v>
      </c>
      <c r="U83">
        <f t="shared" si="158"/>
        <v>0</v>
      </c>
      <c r="W83">
        <f t="shared" si="159"/>
        <v>7</v>
      </c>
      <c r="X83">
        <f t="shared" si="160"/>
        <v>153</v>
      </c>
      <c r="Y83">
        <f t="shared" si="161"/>
        <v>352</v>
      </c>
      <c r="AA83" s="112">
        <f t="shared" si="91"/>
        <v>44440</v>
      </c>
      <c r="AB83" s="112">
        <f t="shared" si="92"/>
        <v>44804</v>
      </c>
      <c r="AG83">
        <f t="shared" si="22"/>
        <v>1</v>
      </c>
      <c r="AH83" s="112">
        <f t="shared" si="93"/>
        <v>44440</v>
      </c>
      <c r="AI83" s="112">
        <f t="shared" si="94"/>
        <v>44804</v>
      </c>
      <c r="CG83">
        <f t="shared" si="182"/>
        <v>2021</v>
      </c>
      <c r="CH83">
        <f t="shared" si="183"/>
        <v>2022</v>
      </c>
      <c r="CJ83">
        <f t="shared" si="184"/>
        <v>0</v>
      </c>
      <c r="CK83">
        <f t="shared" si="185"/>
        <v>0</v>
      </c>
      <c r="CL83">
        <f t="shared" si="186"/>
        <v>0</v>
      </c>
      <c r="CN83">
        <f t="shared" si="187"/>
        <v>0</v>
      </c>
      <c r="CS83">
        <f t="shared" si="178"/>
        <v>365</v>
      </c>
      <c r="CT83">
        <f t="shared" si="179"/>
        <v>7497</v>
      </c>
      <c r="CU83" s="243">
        <f t="shared" si="30"/>
        <v>7497</v>
      </c>
      <c r="CV83" s="112">
        <f t="shared" si="180"/>
        <v>44804</v>
      </c>
      <c r="CX83" s="112">
        <f t="shared" si="149"/>
        <v>100000</v>
      </c>
      <c r="CY83" s="112">
        <f t="shared" si="105"/>
        <v>100000</v>
      </c>
      <c r="CZ83" s="112">
        <f t="shared" si="106"/>
        <v>100000</v>
      </c>
      <c r="DA83" s="112">
        <f t="shared" si="107"/>
        <v>100000</v>
      </c>
      <c r="DB83" s="112">
        <f t="shared" si="108"/>
        <v>100000</v>
      </c>
      <c r="DC83" s="112">
        <f t="shared" si="109"/>
        <v>100000</v>
      </c>
      <c r="DU83" s="112"/>
      <c r="DV83" s="112"/>
      <c r="DW83" s="276"/>
      <c r="DX83" s="276"/>
      <c r="DY83" s="276"/>
      <c r="DZ83" s="276"/>
      <c r="EF83" s="260" t="str">
        <f t="shared" si="148"/>
        <v/>
      </c>
      <c r="EK83" s="254"/>
      <c r="EL83">
        <f t="shared" si="152"/>
        <v>44</v>
      </c>
      <c r="EM83" s="260" t="e">
        <f t="shared" si="111"/>
        <v>#NUM!</v>
      </c>
      <c r="EN83" t="e">
        <f t="shared" si="112"/>
        <v>#NUM!</v>
      </c>
      <c r="EO83" s="112" t="e">
        <f t="shared" si="113"/>
        <v>#NUM!</v>
      </c>
      <c r="EP83" s="112" t="str">
        <f t="shared" si="162"/>
        <v/>
      </c>
      <c r="ET83">
        <f t="shared" si="37"/>
        <v>35</v>
      </c>
      <c r="EU83" s="260" t="str">
        <f t="shared" si="38"/>
        <v/>
      </c>
      <c r="EV83" t="str">
        <f t="shared" si="39"/>
        <v>35 anni</v>
      </c>
      <c r="EW83">
        <f t="shared" si="5"/>
        <v>0</v>
      </c>
      <c r="EX83" s="238" t="e">
        <f t="shared" ca="1" si="6"/>
        <v>#N/A</v>
      </c>
      <c r="FA83" t="e">
        <f t="shared" ca="1" si="40"/>
        <v>#N/A</v>
      </c>
      <c r="FB83" t="e">
        <f t="shared" ca="1" si="163"/>
        <v>#N/A</v>
      </c>
      <c r="FC83" t="e">
        <f t="shared" ca="1" si="163"/>
        <v>#N/A</v>
      </c>
      <c r="FD83">
        <f t="shared" ca="1" si="41"/>
        <v>0</v>
      </c>
      <c r="FE83" t="e">
        <f t="shared" ca="1" si="163"/>
        <v>#N/A</v>
      </c>
      <c r="FG83" t="e">
        <f t="shared" ca="1" si="42"/>
        <v>#N/A</v>
      </c>
      <c r="FL83" t="e">
        <f t="shared" ca="1" si="8"/>
        <v>#N/A</v>
      </c>
      <c r="FQ83" s="254" t="str">
        <f t="shared" si="43"/>
        <v>35 anni</v>
      </c>
      <c r="FR83">
        <f t="shared" si="114"/>
        <v>83</v>
      </c>
      <c r="FS83" t="str">
        <f t="shared" ca="1" si="44"/>
        <v>ev83</v>
      </c>
      <c r="FT83" t="str">
        <f t="shared" ca="1" si="45"/>
        <v/>
      </c>
      <c r="FU83" t="e">
        <f t="shared" ca="1" si="45"/>
        <v>#N/A</v>
      </c>
      <c r="FV83" t="e">
        <f t="shared" ca="1" si="45"/>
        <v>#N/A</v>
      </c>
      <c r="FW83" t="e">
        <f t="shared" ca="1" si="45"/>
        <v>#N/A</v>
      </c>
      <c r="FX83" t="str">
        <f t="shared" ca="1" si="45"/>
        <v>FD83</v>
      </c>
      <c r="FY83" t="e">
        <f t="shared" ca="1" si="45"/>
        <v>#N/A</v>
      </c>
      <c r="FZ83" t="e">
        <f t="shared" ca="1" si="181"/>
        <v>#N/A</v>
      </c>
      <c r="GA83" t="e">
        <f t="shared" ca="1" si="181"/>
        <v>#N/A</v>
      </c>
      <c r="GB83" t="str">
        <f t="shared" ca="1" si="181"/>
        <v/>
      </c>
      <c r="GC83" t="str">
        <f t="shared" ca="1" si="181"/>
        <v/>
      </c>
      <c r="GQ83" s="263" t="e">
        <f t="shared" si="56"/>
        <v>#N/A</v>
      </c>
      <c r="HN83" s="111" t="str">
        <f t="shared" si="13"/>
        <v/>
      </c>
      <c r="HO83">
        <f t="shared" si="72"/>
        <v>0</v>
      </c>
      <c r="HP83" t="str">
        <f t="shared" si="73"/>
        <v/>
      </c>
      <c r="HQ83" t="str">
        <f t="shared" si="165"/>
        <v/>
      </c>
      <c r="HR83" t="str">
        <f t="shared" si="166"/>
        <v/>
      </c>
      <c r="HW83" s="253" t="s">
        <v>187</v>
      </c>
      <c r="HX83" s="112" t="str">
        <f t="shared" si="76"/>
        <v>1/9/2021</v>
      </c>
      <c r="HY83" t="s">
        <v>188</v>
      </c>
      <c r="HZ83" s="112" t="str">
        <f t="shared" si="77"/>
        <v>31/8/2022</v>
      </c>
      <c r="IA83" t="s">
        <v>189</v>
      </c>
      <c r="IB83">
        <f t="shared" si="78"/>
        <v>1</v>
      </c>
      <c r="IC83" t="s">
        <v>192</v>
      </c>
      <c r="ID83">
        <f t="shared" si="79"/>
        <v>0</v>
      </c>
      <c r="IE83" t="s">
        <v>191</v>
      </c>
      <c r="IF83" s="254">
        <f t="shared" si="80"/>
        <v>0</v>
      </c>
      <c r="IK83" t="str">
        <f t="shared" si="167"/>
        <v xml:space="preserve">DAL: 1/9/2021 - AL:31/8/2022 - ANNI:1 - MESI:0 -GIORNI:0
</v>
      </c>
      <c r="JP83">
        <f ca="1">IF(Foglio3!DM56=100000,0,IF(Foglio3!DM56="",0,1))</f>
        <v>1</v>
      </c>
      <c r="JQ83" s="314">
        <f ca="1" xml:space="preserve">   IF(JP83=1,     Foglio3!DM56,IF(JP83=0,IF(JP82=1,"","")))</f>
        <v>39114</v>
      </c>
      <c r="JR83" s="314">
        <f ca="1">IF(          Foglio3!DN56=100000,"",Foglio3!DN56)</f>
        <v>39264</v>
      </c>
      <c r="JS83" s="272">
        <f ca="1">IF(Foglio3!DN56=100000,"",Foglio3!DO56)</f>
        <v>18</v>
      </c>
      <c r="JT83" s="272">
        <f ca="1">IF(Foglio3!DN56=100000,"",Foglio3!DP56)</f>
        <v>24</v>
      </c>
      <c r="JU83" s="272">
        <f ca="1">IF(Foglio3!DN56=100000,"",Foglio3!DQ56)</f>
        <v>151</v>
      </c>
      <c r="JV83" s="272">
        <f ca="1">IF(JU83="","",Foglio3!DR56)</f>
        <v>0</v>
      </c>
      <c r="JW83" s="272">
        <f ca="1">IF(Foglio3!DN56=100000,"",Foglio3!DS56)</f>
        <v>20958.03</v>
      </c>
      <c r="JX83" s="272">
        <f ca="1">IF(Foglio3!DN56=100000,"",Foglio3!DT56)</f>
        <v>20458.54</v>
      </c>
      <c r="JY83" s="272">
        <f ca="1">IF(Foglio3!DN56=100000,"",Foglio3!DU56)</f>
        <v>154.97999999999999</v>
      </c>
      <c r="JZ83" s="272" t="str">
        <f ca="1">IF(Foglio3!DN56=100000,"",Foglio3!DV56)</f>
        <v>3/8 anni</v>
      </c>
      <c r="KC83">
        <v>0</v>
      </c>
      <c r="KD83" s="260" t="str">
        <f t="shared" ca="1" si="81"/>
        <v/>
      </c>
      <c r="KE83" t="str">
        <f t="shared" si="82"/>
        <v>0-2 anni</v>
      </c>
      <c r="KF83">
        <f t="shared" si="15"/>
        <v>6</v>
      </c>
      <c r="KG83" s="238" t="e">
        <f t="shared" ca="1" si="16"/>
        <v>#N/A</v>
      </c>
      <c r="KJ83" t="e">
        <f t="shared" ca="1" si="83"/>
        <v>#N/A</v>
      </c>
      <c r="KK83" t="e">
        <f t="shared" ca="1" si="164"/>
        <v>#N/A</v>
      </c>
      <c r="KL83" t="e">
        <f t="shared" ca="1" si="164"/>
        <v>#N/A</v>
      </c>
      <c r="KM83" t="e">
        <f t="shared" ca="1" si="164"/>
        <v>#N/A</v>
      </c>
      <c r="KN83" t="e">
        <f t="shared" ca="1" si="164"/>
        <v>#N/A</v>
      </c>
      <c r="KU83" t="e">
        <f t="shared" ca="1" si="18"/>
        <v>#N/A</v>
      </c>
      <c r="KZ83" s="254" t="str">
        <f t="shared" si="84"/>
        <v>0-2 anni</v>
      </c>
      <c r="LA83" s="112">
        <f t="shared" si="85"/>
        <v>44440</v>
      </c>
      <c r="LB83" s="112">
        <f t="shared" si="86"/>
        <v>44804</v>
      </c>
      <c r="LC83" t="e">
        <f t="shared" ca="1" si="87"/>
        <v>#N/A</v>
      </c>
      <c r="LD83" s="262">
        <f t="shared" si="88"/>
        <v>0</v>
      </c>
      <c r="LE83">
        <f t="shared" si="89"/>
        <v>365</v>
      </c>
      <c r="LF83" t="e">
        <f t="shared" ca="1" si="90"/>
        <v>#N/A</v>
      </c>
    </row>
    <row r="84" spans="1:318" x14ac:dyDescent="0.25">
      <c r="A84" s="112" t="e">
        <f t="shared" si="128"/>
        <v>#N/A</v>
      </c>
      <c r="B84" s="112" t="e">
        <f t="shared" si="19"/>
        <v>#N/A</v>
      </c>
      <c r="E84" s="240" t="str">
        <f>Foglio3!F64</f>
        <v/>
      </c>
      <c r="F84" s="240" t="str">
        <f>Foglio3!G64</f>
        <v/>
      </c>
      <c r="G84" s="244"/>
      <c r="H84" s="245">
        <f t="shared" si="20"/>
        <v>0</v>
      </c>
      <c r="I84" s="245">
        <f t="shared" si="2"/>
        <v>0</v>
      </c>
      <c r="J84" s="244"/>
      <c r="K84" s="244"/>
      <c r="Q84">
        <f t="shared" si="154"/>
        <v>1</v>
      </c>
      <c r="R84">
        <f t="shared" si="155"/>
        <v>1</v>
      </c>
      <c r="S84">
        <f t="shared" si="156"/>
        <v>0</v>
      </c>
      <c r="T84">
        <f t="shared" si="157"/>
        <v>0</v>
      </c>
      <c r="U84">
        <f t="shared" si="158"/>
        <v>1</v>
      </c>
      <c r="W84">
        <f t="shared" si="159"/>
        <v>7</v>
      </c>
      <c r="X84">
        <f t="shared" si="160"/>
        <v>153</v>
      </c>
      <c r="Y84">
        <f t="shared" si="161"/>
        <v>353</v>
      </c>
      <c r="AA84" s="112" t="e">
        <f t="shared" si="91"/>
        <v>#VALUE!</v>
      </c>
      <c r="AB84" s="112" t="e">
        <f t="shared" si="92"/>
        <v>#VALUE!</v>
      </c>
      <c r="AG84">
        <f t="shared" si="22"/>
        <v>1</v>
      </c>
      <c r="AH84" s="112">
        <f t="shared" si="93"/>
        <v>0</v>
      </c>
      <c r="AI84" s="112">
        <f t="shared" si="94"/>
        <v>0</v>
      </c>
      <c r="CG84" t="e">
        <f t="shared" si="182"/>
        <v>#VALUE!</v>
      </c>
      <c r="CH84" t="e">
        <f t="shared" si="183"/>
        <v>#VALUE!</v>
      </c>
      <c r="CJ84" t="e">
        <f t="shared" si="184"/>
        <v>#VALUE!</v>
      </c>
      <c r="CK84" t="e">
        <f t="shared" si="185"/>
        <v>#VALUE!</v>
      </c>
      <c r="CL84" t="e">
        <f t="shared" si="186"/>
        <v>#VALUE!</v>
      </c>
      <c r="CN84" t="e">
        <f t="shared" si="187"/>
        <v>#VALUE!</v>
      </c>
      <c r="CS84">
        <f t="shared" si="178"/>
        <v>1</v>
      </c>
      <c r="CT84">
        <f t="shared" si="179"/>
        <v>0</v>
      </c>
      <c r="CU84" s="243">
        <f t="shared" si="30"/>
        <v>0</v>
      </c>
      <c r="CV84" s="112">
        <f t="shared" si="180"/>
        <v>0</v>
      </c>
      <c r="CX84" s="112">
        <f t="shared" si="149"/>
        <v>100000</v>
      </c>
      <c r="CY84" s="112">
        <f t="shared" si="105"/>
        <v>100000</v>
      </c>
      <c r="CZ84" s="112">
        <f t="shared" si="106"/>
        <v>100000</v>
      </c>
      <c r="DA84" s="112">
        <f t="shared" si="107"/>
        <v>100000</v>
      </c>
      <c r="DB84" s="112">
        <f t="shared" si="108"/>
        <v>100000</v>
      </c>
      <c r="DC84" s="112">
        <f t="shared" si="109"/>
        <v>100000</v>
      </c>
      <c r="DU84" s="112"/>
      <c r="DV84" s="112"/>
      <c r="DW84" s="276"/>
      <c r="DX84" s="276"/>
      <c r="DY84" s="276"/>
      <c r="DZ84" s="276"/>
      <c r="EF84" s="260" t="str">
        <f t="shared" si="148"/>
        <v/>
      </c>
      <c r="EK84" s="254"/>
      <c r="EL84">
        <f t="shared" si="152"/>
        <v>45</v>
      </c>
      <c r="EM84" s="260" t="e">
        <f t="shared" si="111"/>
        <v>#NUM!</v>
      </c>
      <c r="EN84" t="e">
        <f t="shared" si="112"/>
        <v>#NUM!</v>
      </c>
      <c r="EO84" s="112" t="e">
        <f t="shared" si="113"/>
        <v>#NUM!</v>
      </c>
      <c r="EP84" s="112" t="str">
        <f t="shared" si="162"/>
        <v/>
      </c>
      <c r="ET84">
        <f t="shared" si="37"/>
        <v>35</v>
      </c>
      <c r="EU84" s="260" t="str">
        <f t="shared" si="38"/>
        <v/>
      </c>
      <c r="EV84" t="str">
        <f t="shared" si="39"/>
        <v>35 anni</v>
      </c>
      <c r="EW84">
        <f t="shared" si="5"/>
        <v>0</v>
      </c>
      <c r="EX84" s="238" t="e">
        <f t="shared" ca="1" si="6"/>
        <v>#N/A</v>
      </c>
      <c r="FA84" t="e">
        <f t="shared" ca="1" si="40"/>
        <v>#N/A</v>
      </c>
      <c r="FB84" t="e">
        <f t="shared" ca="1" si="163"/>
        <v>#N/A</v>
      </c>
      <c r="FC84" t="e">
        <f t="shared" ca="1" si="163"/>
        <v>#N/A</v>
      </c>
      <c r="FD84">
        <f t="shared" ca="1" si="41"/>
        <v>0</v>
      </c>
      <c r="FE84" t="e">
        <f t="shared" ca="1" si="163"/>
        <v>#N/A</v>
      </c>
      <c r="FG84" t="e">
        <f t="shared" ca="1" si="42"/>
        <v>#N/A</v>
      </c>
      <c r="FL84" t="e">
        <f t="shared" ca="1" si="8"/>
        <v>#N/A</v>
      </c>
      <c r="FQ84" s="254" t="str">
        <f t="shared" si="43"/>
        <v>35 anni</v>
      </c>
      <c r="FR84">
        <f t="shared" si="114"/>
        <v>84</v>
      </c>
      <c r="FS84" t="str">
        <f t="shared" ca="1" si="44"/>
        <v>ev84</v>
      </c>
      <c r="FT84" t="str">
        <f t="shared" ca="1" si="45"/>
        <v/>
      </c>
      <c r="FU84" t="e">
        <f t="shared" ca="1" si="45"/>
        <v>#N/A</v>
      </c>
      <c r="FV84" t="e">
        <f t="shared" ca="1" si="45"/>
        <v>#N/A</v>
      </c>
      <c r="FW84" t="e">
        <f t="shared" ca="1" si="45"/>
        <v>#N/A</v>
      </c>
      <c r="FX84" t="str">
        <f t="shared" ca="1" si="45"/>
        <v>FD84</v>
      </c>
      <c r="FY84" t="e">
        <f t="shared" ca="1" si="45"/>
        <v>#N/A</v>
      </c>
      <c r="FZ84" t="e">
        <f t="shared" ca="1" si="181"/>
        <v>#N/A</v>
      </c>
      <c r="GA84" t="e">
        <f t="shared" ca="1" si="181"/>
        <v>#N/A</v>
      </c>
      <c r="GB84" t="str">
        <f t="shared" ca="1" si="181"/>
        <v/>
      </c>
      <c r="GC84" t="str">
        <f t="shared" ca="1" si="181"/>
        <v/>
      </c>
      <c r="GQ84" s="263" t="e">
        <f t="shared" si="56"/>
        <v>#N/A</v>
      </c>
      <c r="HN84" s="111" t="str">
        <f t="shared" si="13"/>
        <v/>
      </c>
      <c r="HO84">
        <f t="shared" si="72"/>
        <v>0</v>
      </c>
      <c r="HP84" t="str">
        <f t="shared" si="73"/>
        <v/>
      </c>
      <c r="HQ84" t="str">
        <f t="shared" si="165"/>
        <v/>
      </c>
      <c r="HR84" t="str">
        <f t="shared" si="166"/>
        <v/>
      </c>
      <c r="HW84" s="253" t="s">
        <v>187</v>
      </c>
      <c r="HX84" s="112" t="e">
        <f t="shared" si="76"/>
        <v>#VALUE!</v>
      </c>
      <c r="HY84" t="s">
        <v>188</v>
      </c>
      <c r="HZ84" s="112" t="e">
        <f t="shared" si="77"/>
        <v>#VALUE!</v>
      </c>
      <c r="IA84" t="s">
        <v>189</v>
      </c>
      <c r="IB84">
        <f t="shared" si="78"/>
        <v>0</v>
      </c>
      <c r="IC84" t="s">
        <v>192</v>
      </c>
      <c r="ID84">
        <f t="shared" si="79"/>
        <v>0</v>
      </c>
      <c r="IE84" t="s">
        <v>191</v>
      </c>
      <c r="IF84" s="254">
        <f t="shared" si="80"/>
        <v>1</v>
      </c>
      <c r="IK84" t="str">
        <f t="shared" si="167"/>
        <v/>
      </c>
      <c r="JP84">
        <f ca="1">IF(Foglio3!DM57=100000,0,IF(Foglio3!DM57="",0,1))</f>
        <v>1</v>
      </c>
      <c r="JQ84" s="314">
        <f ca="1" xml:space="preserve">   IF(JP84=1,     Foglio3!DM57,IF(JP84=0,IF(JP83=1,"","")))</f>
        <v>39264</v>
      </c>
      <c r="JR84" s="314">
        <f ca="1">IF(          Foglio3!DN57=100000,"",Foglio3!DN57)</f>
        <v>39277</v>
      </c>
      <c r="JS84" s="272">
        <f ca="1">IF(Foglio3!DN57=100000,"",Foglio3!DO57)</f>
        <v>18</v>
      </c>
      <c r="JT84" s="272">
        <f ca="1">IF(Foglio3!DN57=100000,"",Foglio3!DP57)</f>
        <v>24</v>
      </c>
      <c r="JU84" s="272">
        <f ca="1">IF(Foglio3!DN57=100000,"",Foglio3!DQ57)</f>
        <v>14</v>
      </c>
      <c r="JV84" s="272">
        <f ca="1">IF(JU84="","",Foglio3!DR57)</f>
        <v>0</v>
      </c>
      <c r="JW84" s="272">
        <f ca="1">IF(Foglio3!DN57=100000,"",Foglio3!DS57)</f>
        <v>20958.03</v>
      </c>
      <c r="JX84" s="272">
        <f ca="1">IF(Foglio3!DN57=100000,"",Foglio3!DT57)</f>
        <v>20458.54</v>
      </c>
      <c r="JY84" s="272">
        <f ca="1">IF(Foglio3!DN57=100000,"",Foglio3!DU57)</f>
        <v>14.37</v>
      </c>
      <c r="JZ84" s="272" t="str">
        <f ca="1">IF(Foglio3!DN57=100000,"",Foglio3!DV57)</f>
        <v>3/8 anni</v>
      </c>
      <c r="KC84">
        <v>0</v>
      </c>
      <c r="KD84" s="260" t="str">
        <f t="shared" ca="1" si="81"/>
        <v/>
      </c>
      <c r="KE84" t="str">
        <f t="shared" si="82"/>
        <v>0-2 anni</v>
      </c>
      <c r="KF84">
        <f t="shared" si="15"/>
        <v>6</v>
      </c>
      <c r="KG84" s="238" t="e">
        <f t="shared" ca="1" si="16"/>
        <v>#N/A</v>
      </c>
      <c r="KJ84" t="e">
        <f t="shared" ca="1" si="83"/>
        <v>#N/A</v>
      </c>
      <c r="KK84" t="e">
        <f t="shared" ca="1" si="164"/>
        <v>#N/A</v>
      </c>
      <c r="KL84" t="e">
        <f t="shared" ca="1" si="164"/>
        <v>#N/A</v>
      </c>
      <c r="KM84" t="e">
        <f t="shared" ca="1" si="164"/>
        <v>#N/A</v>
      </c>
      <c r="KN84" t="e">
        <f t="shared" ca="1" si="164"/>
        <v>#N/A</v>
      </c>
      <c r="KU84" t="e">
        <f t="shared" ca="1" si="18"/>
        <v>#N/A</v>
      </c>
      <c r="KZ84" s="254" t="str">
        <f t="shared" si="84"/>
        <v>0-2 anni</v>
      </c>
      <c r="LA84" s="112" t="str">
        <f t="shared" si="85"/>
        <v/>
      </c>
      <c r="LB84" s="112" t="str">
        <f t="shared" si="86"/>
        <v/>
      </c>
      <c r="LC84" t="e">
        <f t="shared" ca="1" si="87"/>
        <v>#N/A</v>
      </c>
      <c r="LD84" s="262">
        <f t="shared" si="88"/>
        <v>0</v>
      </c>
      <c r="LE84">
        <f t="shared" si="89"/>
        <v>1</v>
      </c>
      <c r="LF84" t="e">
        <f t="shared" ca="1" si="90"/>
        <v>#N/A</v>
      </c>
    </row>
    <row r="85" spans="1:318" x14ac:dyDescent="0.25">
      <c r="A85" s="112" t="e">
        <f t="shared" si="128"/>
        <v>#N/A</v>
      </c>
      <c r="B85" s="112" t="e">
        <f t="shared" si="19"/>
        <v>#N/A</v>
      </c>
      <c r="E85" s="240" t="str">
        <f>Foglio3!F65</f>
        <v/>
      </c>
      <c r="F85" s="240" t="str">
        <f>Foglio3!G65</f>
        <v/>
      </c>
      <c r="G85" s="244"/>
      <c r="H85" s="245">
        <f t="shared" si="20"/>
        <v>0</v>
      </c>
      <c r="I85" s="245">
        <f t="shared" si="2"/>
        <v>0</v>
      </c>
      <c r="J85" s="244"/>
      <c r="K85" s="244"/>
      <c r="Q85">
        <f t="shared" si="154"/>
        <v>1</v>
      </c>
      <c r="R85">
        <f t="shared" si="155"/>
        <v>1</v>
      </c>
      <c r="S85">
        <f t="shared" si="156"/>
        <v>0</v>
      </c>
      <c r="T85">
        <f t="shared" si="157"/>
        <v>0</v>
      </c>
      <c r="U85">
        <f t="shared" si="158"/>
        <v>1</v>
      </c>
      <c r="W85">
        <f t="shared" si="159"/>
        <v>7</v>
      </c>
      <c r="X85">
        <f t="shared" si="160"/>
        <v>153</v>
      </c>
      <c r="Y85">
        <f t="shared" si="161"/>
        <v>354</v>
      </c>
      <c r="AA85" s="112" t="e">
        <f t="shared" si="91"/>
        <v>#VALUE!</v>
      </c>
      <c r="AB85" s="112" t="e">
        <f t="shared" si="92"/>
        <v>#VALUE!</v>
      </c>
      <c r="AG85">
        <f t="shared" si="22"/>
        <v>1</v>
      </c>
      <c r="AH85" s="112">
        <f t="shared" si="93"/>
        <v>0</v>
      </c>
      <c r="AI85" s="112">
        <f t="shared" si="94"/>
        <v>0</v>
      </c>
      <c r="CG85" t="e">
        <f t="shared" si="182"/>
        <v>#VALUE!</v>
      </c>
      <c r="CH85" t="e">
        <f t="shared" si="183"/>
        <v>#VALUE!</v>
      </c>
      <c r="CJ85" t="e">
        <f t="shared" si="184"/>
        <v>#VALUE!</v>
      </c>
      <c r="CK85" t="e">
        <f t="shared" si="185"/>
        <v>#VALUE!</v>
      </c>
      <c r="CL85" t="e">
        <f t="shared" si="186"/>
        <v>#VALUE!</v>
      </c>
      <c r="CN85" t="e">
        <f t="shared" si="187"/>
        <v>#VALUE!</v>
      </c>
      <c r="CS85">
        <f t="shared" si="178"/>
        <v>1</v>
      </c>
      <c r="CT85">
        <f t="shared" si="179"/>
        <v>0</v>
      </c>
      <c r="CU85" s="243">
        <f t="shared" si="30"/>
        <v>0</v>
      </c>
      <c r="CV85" s="112">
        <f t="shared" si="180"/>
        <v>0</v>
      </c>
      <c r="CX85" s="112">
        <f t="shared" si="149"/>
        <v>100000</v>
      </c>
      <c r="CY85" s="112">
        <f t="shared" si="105"/>
        <v>100000</v>
      </c>
      <c r="CZ85" s="112">
        <f t="shared" si="106"/>
        <v>100000</v>
      </c>
      <c r="DA85" s="112">
        <f t="shared" si="107"/>
        <v>100000</v>
      </c>
      <c r="DB85" s="112">
        <f t="shared" si="108"/>
        <v>100000</v>
      </c>
      <c r="DC85" s="112">
        <f t="shared" si="109"/>
        <v>100000</v>
      </c>
      <c r="DU85" s="112"/>
      <c r="DV85" s="112"/>
      <c r="DW85" s="276"/>
      <c r="DX85" s="276"/>
      <c r="DY85" s="276"/>
      <c r="DZ85" s="276"/>
      <c r="EF85" s="253"/>
      <c r="EK85" s="254"/>
      <c r="EL85">
        <f t="shared" si="152"/>
        <v>46</v>
      </c>
      <c r="EM85" s="260" t="e">
        <f t="shared" si="111"/>
        <v>#NUM!</v>
      </c>
      <c r="EN85" t="e">
        <f t="shared" si="112"/>
        <v>#NUM!</v>
      </c>
      <c r="EO85" s="112" t="e">
        <f t="shared" si="113"/>
        <v>#NUM!</v>
      </c>
      <c r="EP85" s="112" t="str">
        <f t="shared" si="162"/>
        <v/>
      </c>
      <c r="ET85">
        <f t="shared" si="37"/>
        <v>35</v>
      </c>
      <c r="EU85" s="260" t="str">
        <f t="shared" si="38"/>
        <v/>
      </c>
      <c r="EV85" t="str">
        <f t="shared" si="39"/>
        <v>35 anni</v>
      </c>
      <c r="EW85">
        <f t="shared" si="5"/>
        <v>0</v>
      </c>
      <c r="EX85" s="238" t="e">
        <f t="shared" ca="1" si="6"/>
        <v>#N/A</v>
      </c>
      <c r="FA85" t="e">
        <f t="shared" ca="1" si="40"/>
        <v>#N/A</v>
      </c>
      <c r="FB85" t="e">
        <f t="shared" ca="1" si="163"/>
        <v>#N/A</v>
      </c>
      <c r="FC85" t="e">
        <f t="shared" ca="1" si="163"/>
        <v>#N/A</v>
      </c>
      <c r="FD85">
        <f t="shared" ca="1" si="41"/>
        <v>0</v>
      </c>
      <c r="FE85" t="e">
        <f t="shared" ca="1" si="163"/>
        <v>#N/A</v>
      </c>
      <c r="FG85" t="e">
        <f t="shared" ca="1" si="42"/>
        <v>#N/A</v>
      </c>
      <c r="FL85" t="e">
        <f t="shared" ca="1" si="8"/>
        <v>#N/A</v>
      </c>
      <c r="FQ85" s="254" t="str">
        <f t="shared" si="43"/>
        <v>35 anni</v>
      </c>
      <c r="FR85">
        <f t="shared" si="114"/>
        <v>85</v>
      </c>
      <c r="FS85" t="str">
        <f t="shared" ca="1" si="44"/>
        <v>ev85</v>
      </c>
      <c r="FT85" t="str">
        <f t="shared" ca="1" si="45"/>
        <v/>
      </c>
      <c r="FU85" t="e">
        <f t="shared" ca="1" si="45"/>
        <v>#N/A</v>
      </c>
      <c r="FV85" t="e">
        <f t="shared" ca="1" si="45"/>
        <v>#N/A</v>
      </c>
      <c r="FW85" t="e">
        <f t="shared" ca="1" si="45"/>
        <v>#N/A</v>
      </c>
      <c r="FX85" t="str">
        <f t="shared" ca="1" si="45"/>
        <v>FD85</v>
      </c>
      <c r="FY85" t="e">
        <f t="shared" ca="1" si="45"/>
        <v>#N/A</v>
      </c>
      <c r="FZ85" t="e">
        <f t="shared" ca="1" si="181"/>
        <v>#N/A</v>
      </c>
      <c r="GA85" t="e">
        <f t="shared" ca="1" si="181"/>
        <v>#N/A</v>
      </c>
      <c r="GB85" t="str">
        <f t="shared" ca="1" si="181"/>
        <v/>
      </c>
      <c r="GC85" t="str">
        <f t="shared" ca="1" si="181"/>
        <v/>
      </c>
      <c r="GQ85" s="263" t="e">
        <f t="shared" si="56"/>
        <v>#N/A</v>
      </c>
      <c r="HN85" s="111" t="str">
        <f t="shared" si="13"/>
        <v/>
      </c>
      <c r="HO85">
        <f t="shared" si="72"/>
        <v>0</v>
      </c>
      <c r="HP85" t="str">
        <f t="shared" si="73"/>
        <v/>
      </c>
      <c r="HQ85" t="str">
        <f t="shared" si="165"/>
        <v/>
      </c>
      <c r="HR85" t="str">
        <f t="shared" si="166"/>
        <v/>
      </c>
      <c r="HW85" s="253" t="s">
        <v>187</v>
      </c>
      <c r="HX85" s="112" t="e">
        <f t="shared" si="76"/>
        <v>#VALUE!</v>
      </c>
      <c r="HY85" t="s">
        <v>188</v>
      </c>
      <c r="HZ85" s="112" t="e">
        <f t="shared" si="77"/>
        <v>#VALUE!</v>
      </c>
      <c r="IA85" t="s">
        <v>189</v>
      </c>
      <c r="IB85">
        <f t="shared" si="78"/>
        <v>0</v>
      </c>
      <c r="IC85" t="s">
        <v>192</v>
      </c>
      <c r="ID85">
        <f t="shared" si="79"/>
        <v>0</v>
      </c>
      <c r="IE85" t="s">
        <v>191</v>
      </c>
      <c r="IF85" s="254">
        <f t="shared" si="80"/>
        <v>1</v>
      </c>
      <c r="IK85" t="str">
        <f t="shared" si="167"/>
        <v/>
      </c>
      <c r="JP85">
        <f ca="1">IF(Foglio3!DM58=100000,0,IF(Foglio3!DM58="",0,1))</f>
        <v>1</v>
      </c>
      <c r="JQ85" s="314">
        <f ca="1" xml:space="preserve">   IF(JP85=1,     Foglio3!DM58,IF(JP85=0,IF(JP84=1,"","")))</f>
        <v>39338</v>
      </c>
      <c r="JR85" s="314">
        <f ca="1">IF(          Foglio3!DN58=100000,"",Foglio3!DN58)</f>
        <v>39446</v>
      </c>
      <c r="JS85" s="272">
        <f ca="1">IF(Foglio3!DN58=100000,"",Foglio3!DO58)</f>
        <v>18</v>
      </c>
      <c r="JT85" s="272">
        <f ca="1">IF(Foglio3!DN58=100000,"",Foglio3!DP58)</f>
        <v>24</v>
      </c>
      <c r="JU85" s="272">
        <f ca="1">IF(Foglio3!DN58=100000,"",Foglio3!DQ58)</f>
        <v>109</v>
      </c>
      <c r="JV85" s="272">
        <f ca="1">IF(JU85="","",Foglio3!DR58)</f>
        <v>0</v>
      </c>
      <c r="JW85" s="272">
        <f ca="1">IF(Foglio3!DN58=100000,"",Foglio3!DS58)</f>
        <v>20958.03</v>
      </c>
      <c r="JX85" s="272">
        <f ca="1">IF(Foglio3!DN58=100000,"",Foglio3!DT58)</f>
        <v>20458.54</v>
      </c>
      <c r="JY85" s="272">
        <f ca="1">IF(Foglio3!DN58=100000,"",Foglio3!DU58)</f>
        <v>111.87</v>
      </c>
      <c r="JZ85" s="272" t="str">
        <f ca="1">IF(Foglio3!DN58=100000,"",Foglio3!DV58)</f>
        <v>3/8 anni</v>
      </c>
      <c r="KC85">
        <v>0</v>
      </c>
      <c r="KD85" s="260" t="str">
        <f t="shared" ca="1" si="81"/>
        <v/>
      </c>
      <c r="KE85" t="str">
        <f t="shared" si="82"/>
        <v>0-2 anni</v>
      </c>
      <c r="KF85">
        <f t="shared" si="15"/>
        <v>6</v>
      </c>
      <c r="KG85" s="238" t="e">
        <f t="shared" ca="1" si="16"/>
        <v>#N/A</v>
      </c>
      <c r="KJ85" t="e">
        <f t="shared" ca="1" si="83"/>
        <v>#N/A</v>
      </c>
      <c r="KK85" t="e">
        <f t="shared" ca="1" si="164"/>
        <v>#N/A</v>
      </c>
      <c r="KL85" t="e">
        <f t="shared" ca="1" si="164"/>
        <v>#N/A</v>
      </c>
      <c r="KM85" t="e">
        <f t="shared" ca="1" si="164"/>
        <v>#N/A</v>
      </c>
      <c r="KN85" t="e">
        <f t="shared" ca="1" si="164"/>
        <v>#N/A</v>
      </c>
      <c r="KU85" t="e">
        <f t="shared" ca="1" si="18"/>
        <v>#N/A</v>
      </c>
      <c r="KZ85" s="254" t="str">
        <f t="shared" si="84"/>
        <v>0-2 anni</v>
      </c>
      <c r="LA85" s="112" t="str">
        <f t="shared" si="85"/>
        <v/>
      </c>
      <c r="LB85" s="112" t="str">
        <f t="shared" si="86"/>
        <v/>
      </c>
      <c r="LC85" t="e">
        <f t="shared" ca="1" si="87"/>
        <v>#N/A</v>
      </c>
      <c r="LD85" s="262">
        <f t="shared" si="88"/>
        <v>0</v>
      </c>
      <c r="LE85">
        <f t="shared" si="89"/>
        <v>1</v>
      </c>
      <c r="LF85" t="e">
        <f t="shared" ca="1" si="90"/>
        <v>#N/A</v>
      </c>
    </row>
    <row r="86" spans="1:318" x14ac:dyDescent="0.25">
      <c r="A86" s="112" t="e">
        <f t="shared" si="128"/>
        <v>#N/A</v>
      </c>
      <c r="B86" s="112" t="e">
        <f t="shared" si="19"/>
        <v>#N/A</v>
      </c>
      <c r="E86" s="240" t="str">
        <f>Foglio3!F66</f>
        <v/>
      </c>
      <c r="F86" s="240" t="str">
        <f>Foglio3!G66</f>
        <v/>
      </c>
      <c r="G86" s="244"/>
      <c r="H86" s="245">
        <f t="shared" si="20"/>
        <v>0</v>
      </c>
      <c r="I86" s="245">
        <f t="shared" si="2"/>
        <v>0</v>
      </c>
      <c r="J86" s="244"/>
      <c r="K86" s="244"/>
      <c r="Q86">
        <f t="shared" si="154"/>
        <v>1</v>
      </c>
      <c r="R86">
        <f t="shared" si="155"/>
        <v>1</v>
      </c>
      <c r="S86">
        <f t="shared" si="156"/>
        <v>0</v>
      </c>
      <c r="T86">
        <f t="shared" si="157"/>
        <v>0</v>
      </c>
      <c r="U86">
        <f t="shared" si="158"/>
        <v>1</v>
      </c>
      <c r="W86">
        <f t="shared" si="159"/>
        <v>7</v>
      </c>
      <c r="X86">
        <f t="shared" si="160"/>
        <v>153</v>
      </c>
      <c r="Y86">
        <f t="shared" si="161"/>
        <v>355</v>
      </c>
      <c r="AA86" s="112" t="e">
        <f t="shared" si="91"/>
        <v>#VALUE!</v>
      </c>
      <c r="AB86" s="112" t="e">
        <f t="shared" si="92"/>
        <v>#VALUE!</v>
      </c>
      <c r="AG86">
        <f t="shared" si="22"/>
        <v>1</v>
      </c>
      <c r="AH86" s="112">
        <f t="shared" si="93"/>
        <v>0</v>
      </c>
      <c r="AI86" s="112">
        <f t="shared" si="94"/>
        <v>0</v>
      </c>
      <c r="CG86" t="e">
        <f t="shared" si="182"/>
        <v>#VALUE!</v>
      </c>
      <c r="CH86" t="e">
        <f t="shared" si="183"/>
        <v>#VALUE!</v>
      </c>
      <c r="CJ86" t="e">
        <f t="shared" si="184"/>
        <v>#VALUE!</v>
      </c>
      <c r="CK86" t="e">
        <f t="shared" si="185"/>
        <v>#VALUE!</v>
      </c>
      <c r="CL86" t="e">
        <f t="shared" si="186"/>
        <v>#VALUE!</v>
      </c>
      <c r="CN86" t="e">
        <f t="shared" si="187"/>
        <v>#VALUE!</v>
      </c>
      <c r="CS86">
        <f t="shared" si="178"/>
        <v>1</v>
      </c>
      <c r="CT86">
        <f t="shared" si="179"/>
        <v>0</v>
      </c>
      <c r="CU86" s="243">
        <f t="shared" si="30"/>
        <v>0</v>
      </c>
      <c r="CV86" s="112">
        <f t="shared" si="180"/>
        <v>0</v>
      </c>
      <c r="CX86" s="112">
        <f t="shared" si="149"/>
        <v>100000</v>
      </c>
      <c r="CY86" s="112">
        <f t="shared" si="105"/>
        <v>100000</v>
      </c>
      <c r="CZ86" s="112">
        <f t="shared" si="106"/>
        <v>100000</v>
      </c>
      <c r="DA86" s="112">
        <f t="shared" si="107"/>
        <v>100000</v>
      </c>
      <c r="DB86" s="112">
        <f t="shared" si="108"/>
        <v>100000</v>
      </c>
      <c r="DC86" s="112">
        <f t="shared" si="109"/>
        <v>100000</v>
      </c>
      <c r="DU86" s="112"/>
      <c r="DV86" s="112"/>
      <c r="DW86" s="276"/>
      <c r="DX86" s="276"/>
      <c r="DY86" s="276"/>
      <c r="DZ86" s="276"/>
      <c r="EF86" s="253"/>
      <c r="EK86" s="254"/>
      <c r="EL86">
        <f t="shared" si="152"/>
        <v>47</v>
      </c>
      <c r="EM86" s="260" t="e">
        <f t="shared" si="111"/>
        <v>#NUM!</v>
      </c>
      <c r="EN86" t="e">
        <f t="shared" si="112"/>
        <v>#NUM!</v>
      </c>
      <c r="EO86" s="112" t="e">
        <f t="shared" si="113"/>
        <v>#NUM!</v>
      </c>
      <c r="EP86" s="112" t="str">
        <f t="shared" si="162"/>
        <v/>
      </c>
      <c r="ET86">
        <f t="shared" si="37"/>
        <v>35</v>
      </c>
      <c r="EU86" s="260" t="str">
        <f>EP86</f>
        <v/>
      </c>
      <c r="EW86">
        <f t="shared" si="5"/>
        <v>0</v>
      </c>
      <c r="EX86" s="238" t="e">
        <f t="shared" ca="1" si="6"/>
        <v>#N/A</v>
      </c>
      <c r="FA86" t="e">
        <f t="shared" ca="1" si="40"/>
        <v>#N/A</v>
      </c>
      <c r="FB86" t="e">
        <f t="shared" ca="1" si="163"/>
        <v>#N/A</v>
      </c>
      <c r="FC86" t="e">
        <f t="shared" ca="1" si="163"/>
        <v>#N/A</v>
      </c>
      <c r="FD86">
        <f t="shared" ca="1" si="41"/>
        <v>0</v>
      </c>
      <c r="FE86" t="e">
        <f t="shared" ca="1" si="163"/>
        <v>#N/A</v>
      </c>
      <c r="FG86" t="e">
        <f t="shared" ca="1" si="42"/>
        <v>#N/A</v>
      </c>
      <c r="FL86" t="e">
        <f t="shared" ca="1" si="8"/>
        <v>#N/A</v>
      </c>
      <c r="FQ86" s="254" t="str">
        <f t="shared" si="43"/>
        <v>35 anni</v>
      </c>
      <c r="FR86">
        <f t="shared" si="114"/>
        <v>86</v>
      </c>
      <c r="FS86" t="str">
        <f t="shared" ca="1" si="44"/>
        <v/>
      </c>
      <c r="FT86" t="str">
        <f t="shared" ca="1" si="45"/>
        <v/>
      </c>
      <c r="FU86" t="e">
        <f t="shared" ca="1" si="45"/>
        <v>#N/A</v>
      </c>
      <c r="FV86" t="e">
        <f t="shared" ca="1" si="45"/>
        <v>#N/A</v>
      </c>
      <c r="FW86" t="e">
        <f t="shared" ca="1" si="45"/>
        <v>#N/A</v>
      </c>
      <c r="FX86" t="str">
        <f t="shared" ca="1" si="45"/>
        <v>FD86</v>
      </c>
      <c r="FY86" t="e">
        <f t="shared" ca="1" si="45"/>
        <v>#N/A</v>
      </c>
      <c r="FZ86" t="e">
        <f t="shared" ca="1" si="181"/>
        <v>#N/A</v>
      </c>
      <c r="GA86" t="e">
        <f t="shared" ca="1" si="181"/>
        <v>#N/A</v>
      </c>
      <c r="GB86" t="str">
        <f t="shared" ca="1" si="181"/>
        <v/>
      </c>
      <c r="GC86" t="str">
        <f t="shared" ca="1" si="181"/>
        <v/>
      </c>
      <c r="GQ86" s="263" t="e">
        <f t="shared" si="56"/>
        <v>#N/A</v>
      </c>
      <c r="HN86" s="111" t="str">
        <f t="shared" si="13"/>
        <v/>
      </c>
      <c r="HO86">
        <f t="shared" si="72"/>
        <v>0</v>
      </c>
      <c r="HP86" t="str">
        <f t="shared" si="73"/>
        <v/>
      </c>
      <c r="HQ86" t="str">
        <f t="shared" si="165"/>
        <v/>
      </c>
      <c r="HR86" t="str">
        <f t="shared" si="166"/>
        <v/>
      </c>
      <c r="HW86" s="253" t="s">
        <v>187</v>
      </c>
      <c r="HX86" s="112" t="e">
        <f t="shared" si="76"/>
        <v>#VALUE!</v>
      </c>
      <c r="HY86" t="s">
        <v>188</v>
      </c>
      <c r="HZ86" s="112" t="e">
        <f t="shared" si="77"/>
        <v>#VALUE!</v>
      </c>
      <c r="IA86" t="s">
        <v>189</v>
      </c>
      <c r="IB86">
        <f t="shared" si="78"/>
        <v>0</v>
      </c>
      <c r="IC86" t="s">
        <v>192</v>
      </c>
      <c r="ID86">
        <f t="shared" si="79"/>
        <v>0</v>
      </c>
      <c r="IE86" t="s">
        <v>191</v>
      </c>
      <c r="IF86" s="254">
        <f t="shared" si="80"/>
        <v>1</v>
      </c>
      <c r="IK86" t="str">
        <f t="shared" si="167"/>
        <v/>
      </c>
      <c r="JP86">
        <f ca="1">IF(Foglio3!DM59=100000,0,IF(Foglio3!DM59="",0,1))</f>
        <v>1</v>
      </c>
      <c r="JQ86" s="314">
        <f ca="1" xml:space="preserve">   IF(JP86=1,     Foglio3!DM59,IF(JP86=0,IF(JP85=1,"","")))</f>
        <v>39447</v>
      </c>
      <c r="JR86" s="314">
        <f ca="1">IF(          Foglio3!DN59=100000,"",Foglio3!DN59)</f>
        <v>39538</v>
      </c>
      <c r="JS86" s="272">
        <f ca="1">IF(Foglio3!DN59=100000,"",Foglio3!DO59)</f>
        <v>18</v>
      </c>
      <c r="JT86" s="272">
        <f ca="1">IF(Foglio3!DN59=100000,"",Foglio3!DP59)</f>
        <v>24</v>
      </c>
      <c r="JU86" s="272">
        <f ca="1">IF(Foglio3!DN59=100000,"",Foglio3!DQ59)</f>
        <v>92</v>
      </c>
      <c r="JV86" s="272">
        <f ca="1">IF(JU86="","",Foglio3!DR59)</f>
        <v>0</v>
      </c>
      <c r="JW86" s="272">
        <f ca="1">IF(Foglio3!DN59=100000,"",Foglio3!DS59)</f>
        <v>21080.07</v>
      </c>
      <c r="JX86" s="272">
        <f ca="1">IF(Foglio3!DN59=100000,"",Foglio3!DT59)</f>
        <v>20577.34</v>
      </c>
      <c r="JY86" s="272">
        <f ca="1">IF(Foglio3!DN59=100000,"",Foglio3!DU59)</f>
        <v>95.04</v>
      </c>
      <c r="JZ86" s="272" t="str">
        <f ca="1">IF(Foglio3!DN59=100000,"",Foglio3!DV59)</f>
        <v>3/8 anni</v>
      </c>
      <c r="KC86">
        <v>0</v>
      </c>
      <c r="KD86" s="260" t="str">
        <f t="shared" ca="1" si="81"/>
        <v/>
      </c>
      <c r="KF86">
        <f t="shared" si="15"/>
        <v>6</v>
      </c>
      <c r="KG86" s="238" t="e">
        <f t="shared" ca="1" si="16"/>
        <v>#N/A</v>
      </c>
      <c r="KJ86" t="e">
        <f t="shared" ca="1" si="83"/>
        <v>#N/A</v>
      </c>
      <c r="KK86" t="e">
        <f t="shared" ca="1" si="164"/>
        <v>#N/A</v>
      </c>
      <c r="KL86" t="e">
        <f t="shared" ca="1" si="164"/>
        <v>#N/A</v>
      </c>
      <c r="KM86" t="e">
        <f t="shared" ca="1" si="164"/>
        <v>#N/A</v>
      </c>
      <c r="KN86" t="e">
        <f t="shared" ca="1" si="164"/>
        <v>#N/A</v>
      </c>
      <c r="KU86" t="e">
        <f t="shared" ca="1" si="18"/>
        <v>#N/A</v>
      </c>
      <c r="KZ86" s="254" t="str">
        <f t="shared" si="84"/>
        <v>0-2 anni</v>
      </c>
      <c r="LA86" s="112" t="str">
        <f t="shared" si="85"/>
        <v/>
      </c>
      <c r="LB86" s="112" t="str">
        <f t="shared" si="86"/>
        <v/>
      </c>
      <c r="LC86" t="e">
        <f t="shared" ca="1" si="87"/>
        <v>#N/A</v>
      </c>
      <c r="LD86" s="262">
        <f t="shared" si="88"/>
        <v>0</v>
      </c>
      <c r="LE86">
        <f t="shared" si="89"/>
        <v>1</v>
      </c>
      <c r="LF86" t="e">
        <f t="shared" ca="1" si="90"/>
        <v>#N/A</v>
      </c>
    </row>
    <row r="87" spans="1:318" ht="15.75" thickBot="1" x14ac:dyDescent="0.3">
      <c r="A87" s="112" t="e">
        <f t="shared" si="128"/>
        <v>#N/A</v>
      </c>
      <c r="B87" s="112" t="e">
        <f t="shared" si="19"/>
        <v>#N/A</v>
      </c>
      <c r="E87" s="240" t="str">
        <f>Foglio3!F67</f>
        <v/>
      </c>
      <c r="F87" s="240" t="str">
        <f>Foglio3!G67</f>
        <v/>
      </c>
      <c r="G87" s="244"/>
      <c r="H87" s="245">
        <f t="shared" si="20"/>
        <v>0</v>
      </c>
      <c r="I87" s="245">
        <f t="shared" si="2"/>
        <v>0</v>
      </c>
      <c r="J87" s="244"/>
      <c r="K87" s="244"/>
      <c r="Q87">
        <f t="shared" si="154"/>
        <v>1</v>
      </c>
      <c r="R87">
        <f t="shared" si="155"/>
        <v>1</v>
      </c>
      <c r="S87">
        <f t="shared" si="156"/>
        <v>0</v>
      </c>
      <c r="T87">
        <f t="shared" si="157"/>
        <v>0</v>
      </c>
      <c r="U87">
        <f t="shared" si="158"/>
        <v>1</v>
      </c>
      <c r="W87">
        <f t="shared" si="159"/>
        <v>7</v>
      </c>
      <c r="X87">
        <f t="shared" si="160"/>
        <v>153</v>
      </c>
      <c r="Y87">
        <f t="shared" si="161"/>
        <v>356</v>
      </c>
      <c r="AA87" s="112" t="e">
        <f t="shared" si="91"/>
        <v>#VALUE!</v>
      </c>
      <c r="AB87" s="112" t="e">
        <f t="shared" si="92"/>
        <v>#VALUE!</v>
      </c>
      <c r="AG87">
        <f t="shared" si="22"/>
        <v>1</v>
      </c>
      <c r="AH87" s="112">
        <f t="shared" si="93"/>
        <v>0</v>
      </c>
      <c r="AI87" s="112">
        <f t="shared" si="94"/>
        <v>0</v>
      </c>
      <c r="CG87" t="e">
        <f t="shared" si="182"/>
        <v>#VALUE!</v>
      </c>
      <c r="CH87" t="e">
        <f t="shared" si="183"/>
        <v>#VALUE!</v>
      </c>
      <c r="CJ87" t="e">
        <f t="shared" si="184"/>
        <v>#VALUE!</v>
      </c>
      <c r="CK87" t="e">
        <f t="shared" si="185"/>
        <v>#VALUE!</v>
      </c>
      <c r="CL87" t="e">
        <f t="shared" si="186"/>
        <v>#VALUE!</v>
      </c>
      <c r="CN87" t="e">
        <f t="shared" si="187"/>
        <v>#VALUE!</v>
      </c>
      <c r="CS87">
        <f t="shared" si="178"/>
        <v>1</v>
      </c>
      <c r="CT87">
        <f t="shared" si="179"/>
        <v>0</v>
      </c>
      <c r="CU87" s="243">
        <f t="shared" si="30"/>
        <v>0</v>
      </c>
      <c r="CV87" s="112">
        <f t="shared" si="180"/>
        <v>0</v>
      </c>
      <c r="CX87" s="112">
        <f t="shared" si="149"/>
        <v>100000</v>
      </c>
      <c r="CY87" s="112">
        <f t="shared" si="105"/>
        <v>100000</v>
      </c>
      <c r="CZ87" s="112">
        <f t="shared" si="106"/>
        <v>100000</v>
      </c>
      <c r="DA87" s="112">
        <f t="shared" si="107"/>
        <v>100000</v>
      </c>
      <c r="DB87" s="112">
        <f t="shared" si="108"/>
        <v>100000</v>
      </c>
      <c r="DC87" s="112">
        <f t="shared" si="109"/>
        <v>100000</v>
      </c>
      <c r="DU87" s="112"/>
      <c r="DV87" s="112"/>
      <c r="DW87" s="276"/>
      <c r="DX87" s="276"/>
      <c r="DY87" s="276"/>
      <c r="DZ87" s="276"/>
      <c r="EF87" s="253"/>
      <c r="EK87" s="254"/>
      <c r="EL87">
        <f t="shared" si="152"/>
        <v>48</v>
      </c>
      <c r="EM87" s="261" t="e">
        <f t="shared" si="111"/>
        <v>#NUM!</v>
      </c>
      <c r="EN87" t="e">
        <f t="shared" si="112"/>
        <v>#NUM!</v>
      </c>
      <c r="EO87" s="112" t="e">
        <f t="shared" si="113"/>
        <v>#NUM!</v>
      </c>
      <c r="EP87" s="112" t="str">
        <f t="shared" si="162"/>
        <v/>
      </c>
      <c r="EQ87" s="257"/>
      <c r="ER87" s="257"/>
      <c r="ES87" s="257"/>
      <c r="ET87" s="257">
        <f t="shared" si="37"/>
        <v>35</v>
      </c>
      <c r="EU87" s="261" t="str">
        <f>EP87</f>
        <v/>
      </c>
      <c r="EW87">
        <f t="shared" si="5"/>
        <v>0</v>
      </c>
      <c r="EX87" s="238" t="e">
        <f t="shared" ca="1" si="6"/>
        <v>#N/A</v>
      </c>
      <c r="FA87" t="e">
        <f t="shared" ca="1" si="40"/>
        <v>#N/A</v>
      </c>
      <c r="FB87" t="e">
        <f t="shared" ca="1" si="163"/>
        <v>#N/A</v>
      </c>
      <c r="FC87" t="e">
        <f t="shared" ca="1" si="163"/>
        <v>#N/A</v>
      </c>
      <c r="FD87">
        <f t="shared" ca="1" si="41"/>
        <v>0</v>
      </c>
      <c r="FE87" t="e">
        <f t="shared" ca="1" si="163"/>
        <v>#N/A</v>
      </c>
      <c r="FG87" t="e">
        <f t="shared" ca="1" si="42"/>
        <v>#N/A</v>
      </c>
      <c r="FL87" t="e">
        <f t="shared" ca="1" si="8"/>
        <v>#N/A</v>
      </c>
      <c r="FQ87" s="254" t="str">
        <f t="shared" si="43"/>
        <v>35 anni</v>
      </c>
      <c r="FR87">
        <f t="shared" si="114"/>
        <v>87</v>
      </c>
      <c r="FT87" t="str">
        <f t="shared" ca="1" si="45"/>
        <v/>
      </c>
      <c r="FU87" t="e">
        <f t="shared" ca="1" si="45"/>
        <v>#N/A</v>
      </c>
      <c r="FV87" t="e">
        <f t="shared" ca="1" si="45"/>
        <v>#N/A</v>
      </c>
      <c r="FW87" t="e">
        <f t="shared" ca="1" si="45"/>
        <v>#N/A</v>
      </c>
      <c r="FX87" t="str">
        <f t="shared" ca="1" si="45"/>
        <v>FD87</v>
      </c>
      <c r="FY87" t="e">
        <f t="shared" ca="1" si="45"/>
        <v>#N/A</v>
      </c>
      <c r="FZ87" t="e">
        <f t="shared" ca="1" si="181"/>
        <v>#N/A</v>
      </c>
      <c r="GA87" t="e">
        <f t="shared" ca="1" si="181"/>
        <v>#N/A</v>
      </c>
      <c r="GB87" t="str">
        <f t="shared" ca="1" si="181"/>
        <v/>
      </c>
      <c r="GC87" t="str">
        <f t="shared" ca="1" si="181"/>
        <v/>
      </c>
      <c r="GQ87" s="263" t="e">
        <f t="shared" si="56"/>
        <v>#N/A</v>
      </c>
      <c r="HN87" s="111" t="str">
        <f t="shared" si="13"/>
        <v/>
      </c>
      <c r="HO87">
        <f t="shared" si="72"/>
        <v>0</v>
      </c>
      <c r="HP87" t="str">
        <f t="shared" si="73"/>
        <v/>
      </c>
      <c r="HQ87" t="str">
        <f t="shared" si="165"/>
        <v/>
      </c>
      <c r="HR87" t="str">
        <f t="shared" si="166"/>
        <v/>
      </c>
      <c r="HW87" s="253" t="s">
        <v>187</v>
      </c>
      <c r="HX87" s="112" t="e">
        <f t="shared" si="76"/>
        <v>#VALUE!</v>
      </c>
      <c r="HY87" t="s">
        <v>188</v>
      </c>
      <c r="HZ87" s="112" t="e">
        <f t="shared" si="77"/>
        <v>#VALUE!</v>
      </c>
      <c r="IA87" t="s">
        <v>189</v>
      </c>
      <c r="IB87">
        <f t="shared" si="78"/>
        <v>0</v>
      </c>
      <c r="IC87" t="s">
        <v>192</v>
      </c>
      <c r="ID87">
        <f t="shared" si="79"/>
        <v>0</v>
      </c>
      <c r="IE87" t="s">
        <v>191</v>
      </c>
      <c r="IF87" s="254">
        <f t="shared" si="80"/>
        <v>1</v>
      </c>
      <c r="IK87" t="str">
        <f t="shared" si="167"/>
        <v/>
      </c>
      <c r="JP87">
        <f ca="1">IF(Foglio3!DM60=100000,0,IF(Foglio3!DM60="",0,1))</f>
        <v>1</v>
      </c>
      <c r="JQ87" s="314">
        <f ca="1" xml:space="preserve">   IF(JP87=1,     Foglio3!DM60,IF(JP87=0,IF(JP86=1,"","")))</f>
        <v>39539</v>
      </c>
      <c r="JR87" s="314">
        <f ca="1">IF(          Foglio3!DN60=100000,"",Foglio3!DN60)</f>
        <v>39629</v>
      </c>
      <c r="JS87" s="272">
        <f ca="1">IF(Foglio3!DN60=100000,"",Foglio3!DO60)</f>
        <v>18</v>
      </c>
      <c r="JT87" s="272">
        <f ca="1">IF(Foglio3!DN60=100000,"",Foglio3!DP60)</f>
        <v>24</v>
      </c>
      <c r="JU87" s="272">
        <f ca="1">IF(Foglio3!DN60=100000,"",Foglio3!DQ60)</f>
        <v>91</v>
      </c>
      <c r="JV87" s="272">
        <f ca="1">IF(JU87="","",Foglio3!DR60)</f>
        <v>0</v>
      </c>
      <c r="JW87" s="272">
        <f ca="1">IF(Foglio3!DN60=100000,"",Foglio3!DS60)</f>
        <v>21174.989999999998</v>
      </c>
      <c r="JX87" s="272">
        <f ca="1">IF(Foglio3!DN60=100000,"",Foglio3!DT60)</f>
        <v>20672.259999999998</v>
      </c>
      <c r="JY87" s="272">
        <f ca="1">IF(Foglio3!DN60=100000,"",Foglio3!DU60)</f>
        <v>94</v>
      </c>
      <c r="JZ87" s="272" t="str">
        <f ca="1">IF(Foglio3!DN60=100000,"",Foglio3!DV60)</f>
        <v>3/8 anni</v>
      </c>
      <c r="KC87" s="257">
        <v>0</v>
      </c>
      <c r="KD87" s="260" t="str">
        <f t="shared" ca="1" si="81"/>
        <v/>
      </c>
      <c r="KF87">
        <f t="shared" si="15"/>
        <v>6</v>
      </c>
      <c r="KG87" s="238" t="e">
        <f t="shared" ca="1" si="16"/>
        <v>#N/A</v>
      </c>
      <c r="KJ87" t="e">
        <f t="shared" ca="1" si="83"/>
        <v>#N/A</v>
      </c>
      <c r="KK87" t="e">
        <f t="shared" ca="1" si="164"/>
        <v>#N/A</v>
      </c>
      <c r="KL87" t="e">
        <f t="shared" ca="1" si="164"/>
        <v>#N/A</v>
      </c>
      <c r="KM87" t="e">
        <f t="shared" ca="1" si="164"/>
        <v>#N/A</v>
      </c>
      <c r="KN87" t="e">
        <f t="shared" ca="1" si="164"/>
        <v>#N/A</v>
      </c>
      <c r="KU87" t="e">
        <f t="shared" ca="1" si="18"/>
        <v>#N/A</v>
      </c>
      <c r="KZ87" s="254" t="str">
        <f t="shared" si="84"/>
        <v>0-2 anni</v>
      </c>
      <c r="LC87" t="e">
        <f t="shared" ca="1" si="87"/>
        <v>#N/A</v>
      </c>
      <c r="LD87" s="262">
        <f t="shared" si="88"/>
        <v>0</v>
      </c>
      <c r="LE87">
        <f t="shared" si="89"/>
        <v>1</v>
      </c>
      <c r="LF87" t="e">
        <f t="shared" ca="1" si="90"/>
        <v>#N/A</v>
      </c>
    </row>
    <row r="88" spans="1:318" x14ac:dyDescent="0.25">
      <c r="B88" s="112" t="e">
        <f t="shared" si="19"/>
        <v>#N/A</v>
      </c>
      <c r="E88" s="240" t="str">
        <f>Foglio3!F68</f>
        <v/>
      </c>
      <c r="F88" s="240" t="str">
        <f>Foglio3!G68</f>
        <v/>
      </c>
      <c r="G88" s="244"/>
      <c r="H88" s="245">
        <f t="shared" si="20"/>
        <v>0</v>
      </c>
      <c r="I88" s="245">
        <f t="shared" si="2"/>
        <v>0</v>
      </c>
      <c r="J88" s="244"/>
      <c r="K88" s="244"/>
      <c r="Q88">
        <f t="shared" si="154"/>
        <v>1</v>
      </c>
      <c r="R88">
        <f t="shared" si="155"/>
        <v>1</v>
      </c>
      <c r="S88">
        <f t="shared" si="156"/>
        <v>0</v>
      </c>
      <c r="T88">
        <f t="shared" si="157"/>
        <v>0</v>
      </c>
      <c r="U88">
        <f t="shared" si="158"/>
        <v>1</v>
      </c>
      <c r="W88">
        <f t="shared" si="159"/>
        <v>7</v>
      </c>
      <c r="X88">
        <f t="shared" si="160"/>
        <v>153</v>
      </c>
      <c r="Y88">
        <f t="shared" si="161"/>
        <v>357</v>
      </c>
      <c r="AA88" s="112" t="e">
        <f t="shared" si="91"/>
        <v>#VALUE!</v>
      </c>
      <c r="AB88" s="112" t="e">
        <f t="shared" si="92"/>
        <v>#VALUE!</v>
      </c>
      <c r="AG88">
        <f t="shared" si="22"/>
        <v>1</v>
      </c>
      <c r="AH88" s="112">
        <f t="shared" si="93"/>
        <v>0</v>
      </c>
      <c r="AI88" s="112">
        <f t="shared" si="94"/>
        <v>0</v>
      </c>
      <c r="CG88" t="e">
        <f t="shared" si="182"/>
        <v>#VALUE!</v>
      </c>
      <c r="CH88" t="e">
        <f t="shared" si="183"/>
        <v>#VALUE!</v>
      </c>
      <c r="CJ88" t="e">
        <f t="shared" si="184"/>
        <v>#VALUE!</v>
      </c>
      <c r="CK88" t="e">
        <f t="shared" si="185"/>
        <v>#VALUE!</v>
      </c>
      <c r="CL88" t="e">
        <f t="shared" si="186"/>
        <v>#VALUE!</v>
      </c>
      <c r="CN88" t="e">
        <f t="shared" si="187"/>
        <v>#VALUE!</v>
      </c>
      <c r="CS88">
        <f t="shared" si="178"/>
        <v>1</v>
      </c>
      <c r="CT88">
        <f t="shared" si="179"/>
        <v>0</v>
      </c>
      <c r="CU88" s="243">
        <f t="shared" si="30"/>
        <v>0</v>
      </c>
      <c r="CV88" s="112">
        <f t="shared" si="180"/>
        <v>0</v>
      </c>
      <c r="CX88" s="112">
        <f t="shared" si="149"/>
        <v>100000</v>
      </c>
      <c r="CY88" s="112">
        <f t="shared" si="105"/>
        <v>100000</v>
      </c>
      <c r="CZ88" s="112">
        <f t="shared" si="106"/>
        <v>100000</v>
      </c>
      <c r="DA88" s="112">
        <f t="shared" si="107"/>
        <v>100000</v>
      </c>
      <c r="DB88" s="112">
        <f t="shared" si="108"/>
        <v>100000</v>
      </c>
      <c r="DC88" s="112">
        <f t="shared" si="109"/>
        <v>100000</v>
      </c>
      <c r="DU88" s="112"/>
      <c r="DV88" s="112"/>
      <c r="DW88" s="276"/>
      <c r="DX88" s="276"/>
      <c r="DY88" s="276"/>
      <c r="DZ88" s="276"/>
      <c r="EF88" s="253"/>
      <c r="EK88" s="254"/>
      <c r="EU88" s="253"/>
      <c r="EW88" s="253"/>
      <c r="EX88" s="238"/>
      <c r="FQ88" s="254"/>
      <c r="GQ88" s="263" t="e">
        <f t="shared" si="56"/>
        <v>#N/A</v>
      </c>
      <c r="HN88" s="111" t="str">
        <f t="shared" si="13"/>
        <v/>
      </c>
      <c r="HO88">
        <f t="shared" si="72"/>
        <v>0</v>
      </c>
      <c r="HP88" t="str">
        <f t="shared" si="73"/>
        <v/>
      </c>
      <c r="HQ88" t="str">
        <f t="shared" si="165"/>
        <v/>
      </c>
      <c r="HR88" t="str">
        <f t="shared" si="166"/>
        <v/>
      </c>
      <c r="HW88" s="253" t="s">
        <v>187</v>
      </c>
      <c r="HX88" s="112" t="e">
        <f t="shared" si="76"/>
        <v>#VALUE!</v>
      </c>
      <c r="HY88" t="s">
        <v>188</v>
      </c>
      <c r="HZ88" s="112" t="e">
        <f t="shared" si="77"/>
        <v>#VALUE!</v>
      </c>
      <c r="IA88" t="s">
        <v>189</v>
      </c>
      <c r="IB88">
        <f t="shared" si="78"/>
        <v>0</v>
      </c>
      <c r="IC88" t="s">
        <v>192</v>
      </c>
      <c r="ID88">
        <f t="shared" si="79"/>
        <v>0</v>
      </c>
      <c r="IE88" t="s">
        <v>191</v>
      </c>
      <c r="IF88" s="254">
        <f t="shared" si="80"/>
        <v>1</v>
      </c>
      <c r="IK88" t="str">
        <f t="shared" si="167"/>
        <v/>
      </c>
      <c r="JP88">
        <f ca="1">IF(Foglio3!DM61=100000,0,IF(Foglio3!DM61="",0,1))</f>
        <v>1</v>
      </c>
      <c r="JQ88" s="314">
        <f ca="1" xml:space="preserve">   IF(JP88=1,     Foglio3!DM61,IF(JP88=0,IF(JP87=1,"","")))</f>
        <v>39692</v>
      </c>
      <c r="JR88" s="314">
        <f ca="1">IF(          Foglio3!DN61=100000,"",Foglio3!DN61)</f>
        <v>39813</v>
      </c>
      <c r="JS88" s="272">
        <f ca="1">IF(Foglio3!DN61=100000,"",Foglio3!DO61)</f>
        <v>18</v>
      </c>
      <c r="JT88" s="272">
        <f ca="1">IF(Foglio3!DN61=100000,"",Foglio3!DP61)</f>
        <v>24</v>
      </c>
      <c r="JU88" s="272">
        <f ca="1">IF(Foglio3!DN61=100000,"",Foglio3!DQ61)</f>
        <v>122</v>
      </c>
      <c r="JV88" s="272">
        <f ca="1">IF(JU88="","",Foglio3!DR61)</f>
        <v>0</v>
      </c>
      <c r="JW88" s="272">
        <f ca="1">IF(Foglio3!DN61=100000,"",Foglio3!DS61)</f>
        <v>21238.23</v>
      </c>
      <c r="JX88" s="272">
        <f ca="1">IF(Foglio3!DN61=100000,"",Foglio3!DT61)</f>
        <v>20735.5</v>
      </c>
      <c r="JY88" s="272">
        <f ca="1">IF(Foglio3!DN61=100000,"",Foglio3!DU61)</f>
        <v>126.03</v>
      </c>
      <c r="JZ88" s="272" t="str">
        <f ca="1">IF(Foglio3!DN61=100000,"",Foglio3!DV61)</f>
        <v>3/8 anni</v>
      </c>
    </row>
    <row r="89" spans="1:318" x14ac:dyDescent="0.25">
      <c r="B89" s="112" t="e">
        <f t="shared" si="19"/>
        <v>#N/A</v>
      </c>
      <c r="E89" s="240" t="str">
        <f>Foglio3!F69</f>
        <v/>
      </c>
      <c r="F89" s="240" t="str">
        <f>Foglio3!G69</f>
        <v/>
      </c>
      <c r="G89" s="244"/>
      <c r="H89" s="245">
        <f t="shared" si="20"/>
        <v>0</v>
      </c>
      <c r="I89" s="245">
        <f t="shared" si="2"/>
        <v>0</v>
      </c>
      <c r="J89" s="244"/>
      <c r="K89" s="244"/>
      <c r="Q89">
        <f t="shared" si="154"/>
        <v>1</v>
      </c>
      <c r="R89">
        <f t="shared" si="155"/>
        <v>1</v>
      </c>
      <c r="S89">
        <f t="shared" si="156"/>
        <v>0</v>
      </c>
      <c r="T89">
        <f t="shared" si="157"/>
        <v>0</v>
      </c>
      <c r="U89">
        <f t="shared" si="158"/>
        <v>1</v>
      </c>
      <c r="W89">
        <f t="shared" si="159"/>
        <v>7</v>
      </c>
      <c r="X89">
        <f t="shared" si="160"/>
        <v>153</v>
      </c>
      <c r="Y89">
        <f t="shared" si="161"/>
        <v>358</v>
      </c>
      <c r="AA89" s="112" t="e">
        <f t="shared" si="91"/>
        <v>#VALUE!</v>
      </c>
      <c r="AB89" s="112" t="e">
        <f t="shared" si="92"/>
        <v>#VALUE!</v>
      </c>
      <c r="AG89">
        <f t="shared" si="22"/>
        <v>1</v>
      </c>
      <c r="AH89" s="112">
        <f t="shared" si="93"/>
        <v>0</v>
      </c>
      <c r="AI89" s="112">
        <f t="shared" si="94"/>
        <v>0</v>
      </c>
      <c r="CG89" t="e">
        <f t="shared" si="182"/>
        <v>#VALUE!</v>
      </c>
      <c r="CH89" t="e">
        <f t="shared" si="183"/>
        <v>#VALUE!</v>
      </c>
      <c r="CJ89" t="e">
        <f t="shared" si="184"/>
        <v>#VALUE!</v>
      </c>
      <c r="CK89" t="e">
        <f t="shared" si="185"/>
        <v>#VALUE!</v>
      </c>
      <c r="CL89" t="e">
        <f t="shared" si="186"/>
        <v>#VALUE!</v>
      </c>
      <c r="CN89" t="e">
        <f t="shared" si="187"/>
        <v>#VALUE!</v>
      </c>
      <c r="CS89">
        <f t="shared" si="178"/>
        <v>1</v>
      </c>
      <c r="CT89">
        <f t="shared" si="179"/>
        <v>0</v>
      </c>
      <c r="CU89" s="243">
        <f t="shared" si="30"/>
        <v>0</v>
      </c>
      <c r="CV89" s="112">
        <f t="shared" si="180"/>
        <v>0</v>
      </c>
      <c r="CX89" s="112">
        <f t="shared" si="149"/>
        <v>100000</v>
      </c>
      <c r="CY89" s="112">
        <f t="shared" si="105"/>
        <v>100000</v>
      </c>
      <c r="CZ89" s="112">
        <f t="shared" si="106"/>
        <v>100000</v>
      </c>
      <c r="DA89" s="112">
        <f t="shared" si="107"/>
        <v>100000</v>
      </c>
      <c r="DB89" s="112">
        <f t="shared" si="108"/>
        <v>100000</v>
      </c>
      <c r="DC89" s="112">
        <f t="shared" si="109"/>
        <v>100000</v>
      </c>
      <c r="DU89" s="112"/>
      <c r="DV89" s="112"/>
      <c r="DW89" s="276"/>
      <c r="DX89" s="276"/>
      <c r="DY89" s="276"/>
      <c r="DZ89" s="276"/>
      <c r="EF89" s="253"/>
      <c r="EK89" s="254"/>
      <c r="EU89" s="253"/>
      <c r="EW89" s="253"/>
      <c r="EX89" s="238"/>
      <c r="FQ89" s="254"/>
      <c r="GQ89" s="263" t="e">
        <f t="shared" si="56"/>
        <v>#N/A</v>
      </c>
      <c r="HN89" s="111" t="str">
        <f t="shared" si="13"/>
        <v/>
      </c>
      <c r="HO89">
        <f t="shared" si="72"/>
        <v>0</v>
      </c>
      <c r="HP89" t="str">
        <f t="shared" si="73"/>
        <v/>
      </c>
      <c r="HQ89" t="str">
        <f t="shared" si="165"/>
        <v/>
      </c>
      <c r="HR89" t="str">
        <f t="shared" si="166"/>
        <v/>
      </c>
      <c r="HW89" s="253" t="s">
        <v>187</v>
      </c>
      <c r="HX89" s="112" t="e">
        <f t="shared" si="76"/>
        <v>#VALUE!</v>
      </c>
      <c r="HY89" t="s">
        <v>188</v>
      </c>
      <c r="HZ89" s="112" t="e">
        <f t="shared" si="77"/>
        <v>#VALUE!</v>
      </c>
      <c r="IA89" t="s">
        <v>189</v>
      </c>
      <c r="IB89">
        <f t="shared" si="78"/>
        <v>0</v>
      </c>
      <c r="IC89" t="s">
        <v>192</v>
      </c>
      <c r="ID89">
        <f t="shared" si="79"/>
        <v>0</v>
      </c>
      <c r="IE89" t="s">
        <v>191</v>
      </c>
      <c r="IF89" s="254">
        <f t="shared" si="80"/>
        <v>1</v>
      </c>
      <c r="IK89" t="str">
        <f t="shared" si="167"/>
        <v/>
      </c>
      <c r="JP89">
        <f ca="1">IF(Foglio3!DM62=100000,0,IF(Foglio3!DM62="",0,1))</f>
        <v>1</v>
      </c>
      <c r="JQ89" s="314">
        <f ca="1" xml:space="preserve">   IF(JP89=1,     Foglio3!DM62,IF(JP89=0,IF(JP88=1,"","")))</f>
        <v>39814</v>
      </c>
      <c r="JR89" s="314">
        <f ca="1">IF(          Foglio3!DN62=100000,"",Foglio3!DN62)</f>
        <v>39994</v>
      </c>
      <c r="JS89" s="272">
        <f ca="1">IF(Foglio3!DN62=100000,"",Foglio3!DO62)</f>
        <v>18</v>
      </c>
      <c r="JT89" s="272">
        <f ca="1">IF(Foglio3!DN62=100000,"",Foglio3!DP62)</f>
        <v>24</v>
      </c>
      <c r="JU89" s="272">
        <f ca="1">IF(Foglio3!DN62=100000,"",Foglio3!DQ62)</f>
        <v>181</v>
      </c>
      <c r="JV89" s="272">
        <f ca="1">IF(JU89="","",Foglio3!DR62)</f>
        <v>0</v>
      </c>
      <c r="JW89" s="272">
        <f ca="1">IF(Foglio3!DN62=100000,"",Foglio3!DS62)</f>
        <v>21814.35</v>
      </c>
      <c r="JX89" s="272">
        <f ca="1">IF(Foglio3!DN62=100000,"",Foglio3!DT62)</f>
        <v>21292.3</v>
      </c>
      <c r="JY89" s="272">
        <f ca="1">IF(Foglio3!DN62=100000,"",Foglio3!DU62)</f>
        <v>194.16</v>
      </c>
      <c r="JZ89" s="272" t="str">
        <f ca="1">IF(Foglio3!DN62=100000,"",Foglio3!DV62)</f>
        <v>3/8 anni</v>
      </c>
    </row>
    <row r="90" spans="1:318" x14ac:dyDescent="0.25">
      <c r="E90" s="240" t="str">
        <f>Foglio3!F70</f>
        <v/>
      </c>
      <c r="F90" s="240" t="str">
        <f>Foglio3!G70</f>
        <v/>
      </c>
      <c r="G90" s="244"/>
      <c r="H90" s="245">
        <f t="shared" si="20"/>
        <v>0</v>
      </c>
      <c r="I90" s="245">
        <f t="shared" si="2"/>
        <v>0</v>
      </c>
      <c r="J90" s="244"/>
      <c r="K90" s="244"/>
      <c r="Q90">
        <f t="shared" si="154"/>
        <v>1</v>
      </c>
      <c r="R90">
        <f t="shared" si="155"/>
        <v>1</v>
      </c>
      <c r="S90">
        <f t="shared" si="156"/>
        <v>0</v>
      </c>
      <c r="T90">
        <f t="shared" si="157"/>
        <v>0</v>
      </c>
      <c r="U90">
        <f t="shared" si="158"/>
        <v>1</v>
      </c>
      <c r="W90">
        <f t="shared" si="159"/>
        <v>7</v>
      </c>
      <c r="X90">
        <f t="shared" si="160"/>
        <v>153</v>
      </c>
      <c r="Y90">
        <f t="shared" si="161"/>
        <v>359</v>
      </c>
      <c r="AA90" s="112" t="e">
        <f t="shared" si="91"/>
        <v>#VALUE!</v>
      </c>
      <c r="AB90" s="112" t="e">
        <f t="shared" si="92"/>
        <v>#VALUE!</v>
      </c>
      <c r="AG90">
        <f t="shared" si="22"/>
        <v>1</v>
      </c>
      <c r="AH90" s="112">
        <f t="shared" si="93"/>
        <v>0</v>
      </c>
      <c r="AI90" s="112">
        <f t="shared" si="94"/>
        <v>0</v>
      </c>
      <c r="CG90" t="e">
        <f t="shared" si="182"/>
        <v>#VALUE!</v>
      </c>
      <c r="CH90" t="e">
        <f t="shared" si="183"/>
        <v>#VALUE!</v>
      </c>
      <c r="CJ90" t="e">
        <f t="shared" si="184"/>
        <v>#VALUE!</v>
      </c>
      <c r="CK90" t="e">
        <f t="shared" si="185"/>
        <v>#VALUE!</v>
      </c>
      <c r="CL90" t="e">
        <f t="shared" si="186"/>
        <v>#VALUE!</v>
      </c>
      <c r="CN90" t="e">
        <f t="shared" si="187"/>
        <v>#VALUE!</v>
      </c>
      <c r="CS90">
        <f t="shared" si="178"/>
        <v>1</v>
      </c>
      <c r="CT90">
        <f t="shared" si="179"/>
        <v>0</v>
      </c>
      <c r="CU90" s="243">
        <f t="shared" si="30"/>
        <v>0</v>
      </c>
      <c r="CV90" s="112">
        <f t="shared" si="180"/>
        <v>0</v>
      </c>
      <c r="CX90" s="112">
        <f t="shared" si="149"/>
        <v>100000</v>
      </c>
      <c r="CY90" s="112">
        <f t="shared" si="105"/>
        <v>100000</v>
      </c>
      <c r="CZ90" s="112">
        <f t="shared" si="106"/>
        <v>100000</v>
      </c>
      <c r="DA90" s="112">
        <f t="shared" si="107"/>
        <v>100000</v>
      </c>
      <c r="DB90" s="112">
        <f t="shared" si="108"/>
        <v>100000</v>
      </c>
      <c r="DC90" s="112">
        <f t="shared" si="109"/>
        <v>100000</v>
      </c>
      <c r="DU90" s="112"/>
      <c r="DV90" s="112"/>
      <c r="DW90" s="276"/>
      <c r="DX90" s="276"/>
      <c r="DY90" s="276"/>
      <c r="DZ90" s="276"/>
      <c r="EF90" s="253"/>
      <c r="EK90" s="254"/>
      <c r="EU90" s="253"/>
      <c r="EW90" s="253"/>
      <c r="EX90" s="238"/>
      <c r="FQ90" s="254"/>
      <c r="GQ90" s="263" t="e">
        <f t="shared" si="56"/>
        <v>#N/A</v>
      </c>
      <c r="HN90" s="111" t="str">
        <f t="shared" si="13"/>
        <v/>
      </c>
      <c r="HO90">
        <f t="shared" si="72"/>
        <v>0</v>
      </c>
      <c r="HP90" t="str">
        <f t="shared" si="73"/>
        <v/>
      </c>
      <c r="HQ90" t="str">
        <f t="shared" si="165"/>
        <v/>
      </c>
      <c r="HR90" t="str">
        <f t="shared" si="166"/>
        <v/>
      </c>
      <c r="HW90" s="253" t="s">
        <v>187</v>
      </c>
      <c r="HX90" s="112" t="e">
        <f t="shared" si="76"/>
        <v>#VALUE!</v>
      </c>
      <c r="HY90" t="s">
        <v>188</v>
      </c>
      <c r="HZ90" s="112" t="e">
        <f t="shared" si="77"/>
        <v>#VALUE!</v>
      </c>
      <c r="IA90" t="s">
        <v>189</v>
      </c>
      <c r="IB90">
        <f t="shared" si="78"/>
        <v>0</v>
      </c>
      <c r="IC90" t="s">
        <v>192</v>
      </c>
      <c r="ID90">
        <f t="shared" si="79"/>
        <v>0</v>
      </c>
      <c r="IE90" t="s">
        <v>191</v>
      </c>
      <c r="IF90" s="254">
        <f t="shared" si="80"/>
        <v>1</v>
      </c>
      <c r="IK90" t="str">
        <f t="shared" si="167"/>
        <v/>
      </c>
      <c r="JP90">
        <f ca="1">IF(Foglio3!DM63=100000,0,IF(Foglio3!DM63="",0,1))</f>
        <v>1</v>
      </c>
      <c r="JQ90" s="314">
        <f ca="1" xml:space="preserve">   IF(JP90=1,     Foglio3!DM63,IF(JP90=0,IF(JP89=1,"","")))</f>
        <v>40063</v>
      </c>
      <c r="JR90" s="314">
        <f ca="1">IF(          Foglio3!DN63=100000,"",Foglio3!DN63)</f>
        <v>40063</v>
      </c>
      <c r="JS90" s="272">
        <f ca="1">IF(Foglio3!DN63=100000,"",Foglio3!DO63)</f>
        <v>18</v>
      </c>
      <c r="JT90" s="272">
        <f ca="1">IF(Foglio3!DN63=100000,"",Foglio3!DP63)</f>
        <v>24</v>
      </c>
      <c r="JU90" s="272">
        <f ca="1">IF(Foglio3!DN63=100000,"",Foglio3!DQ63)</f>
        <v>1</v>
      </c>
      <c r="JV90" s="272">
        <f ca="1">IF(JU90="","",Foglio3!DR63)</f>
        <v>0</v>
      </c>
      <c r="JW90" s="272">
        <f ca="1">IF(Foglio3!DN63=100000,"",Foglio3!DS63)</f>
        <v>21814.35</v>
      </c>
      <c r="JX90" s="272">
        <f ca="1">IF(Foglio3!DN63=100000,"",Foglio3!DT63)</f>
        <v>21292.3</v>
      </c>
      <c r="JY90" s="272">
        <f ca="1">IF(Foglio3!DN63=100000,"",Foglio3!DU63)</f>
        <v>1.07</v>
      </c>
      <c r="JZ90" s="272" t="str">
        <f ca="1">IF(Foglio3!DN63=100000,"",Foglio3!DV63)</f>
        <v>3/8 anni</v>
      </c>
    </row>
    <row r="91" spans="1:318" x14ac:dyDescent="0.25">
      <c r="E91" s="240" t="str">
        <f>Foglio3!F71</f>
        <v/>
      </c>
      <c r="F91" s="240" t="str">
        <f>Foglio3!G71</f>
        <v/>
      </c>
      <c r="G91" s="244"/>
      <c r="H91" s="245">
        <f t="shared" si="20"/>
        <v>0</v>
      </c>
      <c r="I91" s="245">
        <f t="shared" si="2"/>
        <v>0</v>
      </c>
      <c r="J91" s="244"/>
      <c r="K91" s="244"/>
      <c r="Q91">
        <f t="shared" si="154"/>
        <v>1</v>
      </c>
      <c r="R91">
        <f t="shared" si="155"/>
        <v>1</v>
      </c>
      <c r="S91">
        <f t="shared" si="156"/>
        <v>0</v>
      </c>
      <c r="T91">
        <f t="shared" si="157"/>
        <v>0</v>
      </c>
      <c r="U91">
        <f t="shared" si="158"/>
        <v>1</v>
      </c>
      <c r="W91">
        <f t="shared" si="159"/>
        <v>7</v>
      </c>
      <c r="X91">
        <f t="shared" si="160"/>
        <v>153</v>
      </c>
      <c r="Y91">
        <f t="shared" si="161"/>
        <v>360</v>
      </c>
      <c r="AA91" s="112" t="e">
        <f t="shared" si="91"/>
        <v>#VALUE!</v>
      </c>
      <c r="AB91" s="112" t="e">
        <f t="shared" si="92"/>
        <v>#VALUE!</v>
      </c>
      <c r="AG91">
        <f t="shared" si="22"/>
        <v>1</v>
      </c>
      <c r="AH91" s="112">
        <f t="shared" si="93"/>
        <v>0</v>
      </c>
      <c r="AI91" s="112">
        <f t="shared" si="94"/>
        <v>0</v>
      </c>
      <c r="CG91" t="e">
        <f t="shared" si="182"/>
        <v>#VALUE!</v>
      </c>
      <c r="CH91" t="e">
        <f t="shared" si="183"/>
        <v>#VALUE!</v>
      </c>
      <c r="CJ91" t="e">
        <f t="shared" si="184"/>
        <v>#VALUE!</v>
      </c>
      <c r="CK91" t="e">
        <f t="shared" si="185"/>
        <v>#VALUE!</v>
      </c>
      <c r="CL91" t="e">
        <f t="shared" si="186"/>
        <v>#VALUE!</v>
      </c>
      <c r="CN91" t="e">
        <f t="shared" si="187"/>
        <v>#VALUE!</v>
      </c>
      <c r="CS91">
        <f t="shared" si="178"/>
        <v>1</v>
      </c>
      <c r="CT91">
        <f t="shared" si="179"/>
        <v>0</v>
      </c>
      <c r="CU91" s="243">
        <f t="shared" si="30"/>
        <v>0</v>
      </c>
      <c r="CV91" s="112">
        <f t="shared" si="180"/>
        <v>0</v>
      </c>
      <c r="CX91" s="112">
        <f t="shared" si="149"/>
        <v>100000</v>
      </c>
      <c r="CY91" s="112">
        <f t="shared" si="105"/>
        <v>100000</v>
      </c>
      <c r="CZ91" s="112">
        <f t="shared" si="106"/>
        <v>100000</v>
      </c>
      <c r="DA91" s="112">
        <f t="shared" si="107"/>
        <v>100000</v>
      </c>
      <c r="DB91" s="112">
        <f t="shared" si="108"/>
        <v>100000</v>
      </c>
      <c r="DC91" s="112">
        <f t="shared" si="109"/>
        <v>100000</v>
      </c>
      <c r="DU91" s="112"/>
      <c r="DV91" s="112"/>
      <c r="EF91" s="253"/>
      <c r="EK91" s="254"/>
      <c r="EU91" s="253"/>
      <c r="EW91" s="253"/>
      <c r="EX91" s="238"/>
      <c r="FQ91" s="254"/>
      <c r="GQ91" s="263" t="e">
        <f t="shared" si="56"/>
        <v>#N/A</v>
      </c>
      <c r="HN91" s="111" t="str">
        <f t="shared" si="13"/>
        <v/>
      </c>
      <c r="HO91">
        <f t="shared" si="72"/>
        <v>0</v>
      </c>
      <c r="HP91" t="str">
        <f t="shared" si="73"/>
        <v/>
      </c>
      <c r="HQ91" t="str">
        <f t="shared" si="165"/>
        <v/>
      </c>
      <c r="HR91" t="str">
        <f t="shared" si="166"/>
        <v/>
      </c>
      <c r="HW91" s="253" t="s">
        <v>187</v>
      </c>
      <c r="HX91" s="112" t="e">
        <f t="shared" si="76"/>
        <v>#VALUE!</v>
      </c>
      <c r="HY91" t="s">
        <v>188</v>
      </c>
      <c r="HZ91" s="112" t="e">
        <f t="shared" si="77"/>
        <v>#VALUE!</v>
      </c>
      <c r="IA91" t="s">
        <v>189</v>
      </c>
      <c r="IB91">
        <f t="shared" si="78"/>
        <v>0</v>
      </c>
      <c r="IC91" t="s">
        <v>192</v>
      </c>
      <c r="ID91">
        <f t="shared" si="79"/>
        <v>0</v>
      </c>
      <c r="IE91" t="s">
        <v>191</v>
      </c>
      <c r="IF91" s="254">
        <f t="shared" si="80"/>
        <v>1</v>
      </c>
      <c r="IK91" t="str">
        <f t="shared" si="167"/>
        <v/>
      </c>
      <c r="JP91">
        <f ca="1">IF(Foglio3!DM64=100000,0,IF(Foglio3!DM64="",0,1))</f>
        <v>1</v>
      </c>
      <c r="JQ91" s="314">
        <f ca="1" xml:space="preserve">   IF(JP91=1,     Foglio3!DM64,IF(JP91=0,IF(JP90=1,"","")))</f>
        <v>40066</v>
      </c>
      <c r="JR91" s="314">
        <f ca="1">IF(          Foglio3!DN64=100000,"",Foglio3!DN64)</f>
        <v>40170</v>
      </c>
      <c r="JS91" s="272">
        <f ca="1">IF(Foglio3!DN64=100000,"",Foglio3!DO64)</f>
        <v>18</v>
      </c>
      <c r="JT91" s="272">
        <f ca="1">IF(Foglio3!DN64=100000,"",Foglio3!DP64)</f>
        <v>24</v>
      </c>
      <c r="JU91" s="272">
        <f ca="1">IF(Foglio3!DN64=100000,"",Foglio3!DQ64)</f>
        <v>105</v>
      </c>
      <c r="JV91" s="272">
        <f ca="1">IF(JU91="","",Foglio3!DR64)</f>
        <v>0</v>
      </c>
      <c r="JW91" s="272">
        <f ca="1">IF(Foglio3!DN64=100000,"",Foglio3!DS64)</f>
        <v>21814.35</v>
      </c>
      <c r="JX91" s="272">
        <f ca="1">IF(Foglio3!DN64=100000,"",Foglio3!DT64)</f>
        <v>21292.3</v>
      </c>
      <c r="JY91" s="272">
        <f ca="1">IF(Foglio3!DN64=100000,"",Foglio3!DU64)</f>
        <v>112.63</v>
      </c>
      <c r="JZ91" s="272" t="str">
        <f ca="1">IF(Foglio3!DN64=100000,"",Foglio3!DV64)</f>
        <v>3/8 anni</v>
      </c>
    </row>
    <row r="92" spans="1:318" x14ac:dyDescent="0.25">
      <c r="E92" s="240" t="str">
        <f>Foglio3!F72</f>
        <v/>
      </c>
      <c r="F92" s="240" t="str">
        <f>Foglio3!G72</f>
        <v/>
      </c>
      <c r="G92" s="244"/>
      <c r="H92" s="245">
        <f t="shared" si="20"/>
        <v>0</v>
      </c>
      <c r="I92" s="245">
        <f t="shared" si="2"/>
        <v>0</v>
      </c>
      <c r="J92" s="244"/>
      <c r="K92" s="244"/>
      <c r="Q92">
        <f t="shared" si="154"/>
        <v>1</v>
      </c>
      <c r="R92">
        <f t="shared" si="155"/>
        <v>1</v>
      </c>
      <c r="S92">
        <f t="shared" si="156"/>
        <v>0</v>
      </c>
      <c r="T92">
        <f t="shared" si="157"/>
        <v>0</v>
      </c>
      <c r="U92">
        <f t="shared" si="158"/>
        <v>1</v>
      </c>
      <c r="W92">
        <f t="shared" si="159"/>
        <v>7</v>
      </c>
      <c r="X92">
        <f t="shared" si="160"/>
        <v>153</v>
      </c>
      <c r="Y92">
        <f t="shared" si="161"/>
        <v>361</v>
      </c>
      <c r="AA92" s="112" t="e">
        <f t="shared" si="91"/>
        <v>#VALUE!</v>
      </c>
      <c r="AB92" s="112" t="e">
        <f t="shared" si="92"/>
        <v>#VALUE!</v>
      </c>
      <c r="AG92">
        <f t="shared" si="22"/>
        <v>1</v>
      </c>
      <c r="AH92" s="112">
        <f t="shared" si="93"/>
        <v>0</v>
      </c>
      <c r="AI92" s="112">
        <f t="shared" si="94"/>
        <v>0</v>
      </c>
      <c r="CG92" t="e">
        <f t="shared" si="182"/>
        <v>#VALUE!</v>
      </c>
      <c r="CH92" t="e">
        <f t="shared" si="183"/>
        <v>#VALUE!</v>
      </c>
      <c r="CJ92" t="e">
        <f t="shared" si="184"/>
        <v>#VALUE!</v>
      </c>
      <c r="CK92" t="e">
        <f t="shared" si="185"/>
        <v>#VALUE!</v>
      </c>
      <c r="CL92" t="e">
        <f t="shared" si="186"/>
        <v>#VALUE!</v>
      </c>
      <c r="CN92" t="e">
        <f t="shared" si="187"/>
        <v>#VALUE!</v>
      </c>
      <c r="CS92">
        <f t="shared" si="178"/>
        <v>1</v>
      </c>
      <c r="CT92">
        <f t="shared" si="179"/>
        <v>0</v>
      </c>
      <c r="CU92" s="243">
        <f t="shared" si="30"/>
        <v>0</v>
      </c>
      <c r="CV92" s="112">
        <f t="shared" si="180"/>
        <v>0</v>
      </c>
      <c r="CX92" s="112">
        <f t="shared" si="149"/>
        <v>100000</v>
      </c>
      <c r="CY92" s="112">
        <f t="shared" si="105"/>
        <v>100000</v>
      </c>
      <c r="CZ92" s="112">
        <f t="shared" si="106"/>
        <v>100000</v>
      </c>
      <c r="DA92" s="112">
        <f t="shared" si="107"/>
        <v>100000</v>
      </c>
      <c r="DB92" s="112">
        <f t="shared" si="108"/>
        <v>100000</v>
      </c>
      <c r="DC92" s="112">
        <f t="shared" si="109"/>
        <v>100000</v>
      </c>
      <c r="DU92" s="112"/>
      <c r="DV92" s="112"/>
      <c r="EF92" s="253"/>
      <c r="EK92" s="254"/>
      <c r="EU92" s="253"/>
      <c r="EW92" s="253"/>
      <c r="EX92" s="238"/>
      <c r="FQ92" s="254"/>
      <c r="GQ92" s="263" t="e">
        <f t="shared" si="56"/>
        <v>#N/A</v>
      </c>
      <c r="HN92" s="111" t="str">
        <f t="shared" si="13"/>
        <v/>
      </c>
      <c r="HO92">
        <f t="shared" si="72"/>
        <v>0</v>
      </c>
      <c r="HP92" t="str">
        <f t="shared" si="73"/>
        <v/>
      </c>
      <c r="HQ92" t="str">
        <f t="shared" si="165"/>
        <v/>
      </c>
      <c r="HR92" t="str">
        <f t="shared" si="166"/>
        <v/>
      </c>
      <c r="HW92" s="253" t="s">
        <v>187</v>
      </c>
      <c r="HX92" s="112" t="e">
        <f t="shared" si="76"/>
        <v>#VALUE!</v>
      </c>
      <c r="HY92" t="s">
        <v>188</v>
      </c>
      <c r="HZ92" s="112" t="e">
        <f t="shared" si="77"/>
        <v>#VALUE!</v>
      </c>
      <c r="IA92" t="s">
        <v>189</v>
      </c>
      <c r="IB92">
        <f t="shared" si="78"/>
        <v>0</v>
      </c>
      <c r="IC92" t="s">
        <v>192</v>
      </c>
      <c r="ID92">
        <f t="shared" si="79"/>
        <v>0</v>
      </c>
      <c r="IE92" t="s">
        <v>191</v>
      </c>
      <c r="IF92" s="254">
        <f t="shared" si="80"/>
        <v>1</v>
      </c>
      <c r="IK92" t="str">
        <f t="shared" si="167"/>
        <v/>
      </c>
      <c r="JP92">
        <f ca="1">IF(Foglio3!DM65=100000,0,IF(Foglio3!DM65="",0,1))</f>
        <v>1</v>
      </c>
      <c r="JQ92" s="314">
        <f ca="1" xml:space="preserve">   IF(JP92=1,     Foglio3!DM65,IF(JP92=0,IF(JP91=1,"","")))</f>
        <v>40171</v>
      </c>
      <c r="JR92" s="314">
        <f ca="1">IF(          Foglio3!DN65=100000,"",Foglio3!DN65)</f>
        <v>40359</v>
      </c>
      <c r="JS92" s="272">
        <f ca="1">IF(Foglio3!DN65=100000,"",Foglio3!DO65)</f>
        <v>18</v>
      </c>
      <c r="JT92" s="272">
        <f ca="1">IF(Foglio3!DN65=100000,"",Foglio3!DP65)</f>
        <v>24</v>
      </c>
      <c r="JU92" s="272">
        <f ca="1">IF(Foglio3!DN65=100000,"",Foglio3!DQ65)</f>
        <v>189</v>
      </c>
      <c r="JV92" s="272">
        <f ca="1">IF(JU92="","",Foglio3!DR65)</f>
        <v>0</v>
      </c>
      <c r="JW92" s="272">
        <f ca="1">IF(Foglio3!DN65=100000,"",Foglio3!DS65)</f>
        <v>23422.079999999998</v>
      </c>
      <c r="JX92" s="272">
        <f ca="1">IF(Foglio3!DN65=100000,"",Foglio3!DT65)</f>
        <v>21292.3</v>
      </c>
      <c r="JY92" s="272">
        <f ca="1">IF(Foglio3!DN65=100000,"",Foglio3!DU65)</f>
        <v>827.11</v>
      </c>
      <c r="JZ92" s="272" t="str">
        <f ca="1">IF(Foglio3!DN65=100000,"",Foglio3!DV65)</f>
        <v>9/14 anni</v>
      </c>
    </row>
    <row r="93" spans="1:318" x14ac:dyDescent="0.25">
      <c r="E93" s="240" t="str">
        <f>Foglio3!F73</f>
        <v/>
      </c>
      <c r="F93" s="240" t="str">
        <f>Foglio3!G73</f>
        <v/>
      </c>
      <c r="G93" s="244"/>
      <c r="H93" s="245">
        <f t="shared" si="20"/>
        <v>0</v>
      </c>
      <c r="I93" s="245">
        <f t="shared" si="2"/>
        <v>0</v>
      </c>
      <c r="J93" s="244"/>
      <c r="K93" s="244"/>
      <c r="Q93">
        <f t="shared" si="154"/>
        <v>1</v>
      </c>
      <c r="R93">
        <f t="shared" si="155"/>
        <v>1</v>
      </c>
      <c r="S93">
        <f t="shared" si="156"/>
        <v>0</v>
      </c>
      <c r="T93">
        <f t="shared" si="157"/>
        <v>0</v>
      </c>
      <c r="U93">
        <f t="shared" si="158"/>
        <v>1</v>
      </c>
      <c r="W93">
        <f t="shared" si="159"/>
        <v>7</v>
      </c>
      <c r="X93">
        <f t="shared" si="160"/>
        <v>153</v>
      </c>
      <c r="Y93">
        <f t="shared" si="161"/>
        <v>362</v>
      </c>
      <c r="AA93" s="112" t="e">
        <f t="shared" si="91"/>
        <v>#VALUE!</v>
      </c>
      <c r="AB93" s="112" t="e">
        <f t="shared" si="92"/>
        <v>#VALUE!</v>
      </c>
      <c r="AG93">
        <f t="shared" si="22"/>
        <v>1</v>
      </c>
      <c r="AH93" s="112">
        <f t="shared" si="93"/>
        <v>0</v>
      </c>
      <c r="AI93" s="112">
        <f t="shared" si="94"/>
        <v>0</v>
      </c>
      <c r="CG93" t="e">
        <f t="shared" si="182"/>
        <v>#VALUE!</v>
      </c>
      <c r="CH93" t="e">
        <f t="shared" si="183"/>
        <v>#VALUE!</v>
      </c>
      <c r="CJ93" t="e">
        <f t="shared" si="184"/>
        <v>#VALUE!</v>
      </c>
      <c r="CK93" t="e">
        <f t="shared" si="185"/>
        <v>#VALUE!</v>
      </c>
      <c r="CL93" t="e">
        <f t="shared" si="186"/>
        <v>#VALUE!</v>
      </c>
      <c r="CN93" t="e">
        <f t="shared" si="187"/>
        <v>#VALUE!</v>
      </c>
      <c r="CS93">
        <f t="shared" si="178"/>
        <v>1</v>
      </c>
      <c r="CT93">
        <f t="shared" si="179"/>
        <v>0</v>
      </c>
      <c r="CU93" s="243">
        <f t="shared" si="30"/>
        <v>0</v>
      </c>
      <c r="CV93" s="112">
        <f t="shared" si="180"/>
        <v>0</v>
      </c>
      <c r="CX93" s="112">
        <f t="shared" si="149"/>
        <v>100000</v>
      </c>
      <c r="CY93" s="112">
        <f t="shared" si="105"/>
        <v>100000</v>
      </c>
      <c r="CZ93" s="112">
        <f t="shared" si="106"/>
        <v>100000</v>
      </c>
      <c r="DA93" s="112">
        <f t="shared" si="107"/>
        <v>100000</v>
      </c>
      <c r="DB93" s="112">
        <f t="shared" si="108"/>
        <v>100000</v>
      </c>
      <c r="DC93" s="112">
        <f t="shared" si="109"/>
        <v>100000</v>
      </c>
      <c r="DU93" s="112"/>
      <c r="DV93" s="112"/>
      <c r="EF93" s="253"/>
      <c r="EK93" s="254"/>
      <c r="EU93" s="253"/>
      <c r="EW93" s="253"/>
      <c r="EX93" s="238"/>
      <c r="FQ93" s="254"/>
      <c r="GQ93" s="263" t="e">
        <f t="shared" si="56"/>
        <v>#N/A</v>
      </c>
      <c r="HN93" s="263" t="str">
        <f t="shared" si="13"/>
        <v/>
      </c>
      <c r="HO93">
        <f t="shared" si="72"/>
        <v>0</v>
      </c>
      <c r="HP93" t="str">
        <f t="shared" si="73"/>
        <v/>
      </c>
      <c r="HQ93" t="str">
        <f t="shared" si="165"/>
        <v/>
      </c>
      <c r="HR93" t="str">
        <f t="shared" si="166"/>
        <v/>
      </c>
      <c r="HW93" s="253" t="s">
        <v>187</v>
      </c>
      <c r="HX93" s="112" t="e">
        <f t="shared" si="76"/>
        <v>#VALUE!</v>
      </c>
      <c r="HY93" t="s">
        <v>188</v>
      </c>
      <c r="HZ93" s="112" t="e">
        <f t="shared" si="77"/>
        <v>#VALUE!</v>
      </c>
      <c r="IA93" t="s">
        <v>189</v>
      </c>
      <c r="IB93">
        <f t="shared" si="78"/>
        <v>0</v>
      </c>
      <c r="IC93" t="s">
        <v>192</v>
      </c>
      <c r="ID93">
        <f t="shared" si="79"/>
        <v>0</v>
      </c>
      <c r="IE93" t="s">
        <v>191</v>
      </c>
      <c r="IF93" s="254">
        <f t="shared" si="80"/>
        <v>1</v>
      </c>
      <c r="IK93" t="str">
        <f t="shared" si="167"/>
        <v/>
      </c>
      <c r="JP93">
        <f ca="1">IF(Foglio3!DM66=100000,0,IF(Foglio3!DM66="",0,1))</f>
        <v>1</v>
      </c>
      <c r="JQ93" s="314">
        <f ca="1" xml:space="preserve">   IF(JP93=1,     Foglio3!DM66,IF(JP93=0,IF(JP92=1,"","")))</f>
        <v>40360</v>
      </c>
      <c r="JR93" s="314">
        <f ca="1">IF(          Foglio3!DN66=100000,"",Foglio3!DN66)</f>
        <v>40421</v>
      </c>
      <c r="JS93" s="272">
        <f ca="1">IF(Foglio3!DN66=100000,"",Foglio3!DO66)</f>
        <v>18</v>
      </c>
      <c r="JT93" s="272">
        <f ca="1">IF(Foglio3!DN66=100000,"",Foglio3!DP66)</f>
        <v>24</v>
      </c>
      <c r="JU93" s="272">
        <f ca="1">IF(Foglio3!DN66=100000,"",Foglio3!DQ66)</f>
        <v>62</v>
      </c>
      <c r="JV93" s="272">
        <f ca="1">IF(JU93="","",Foglio3!DR66)</f>
        <v>0</v>
      </c>
      <c r="JW93" s="272">
        <f ca="1">IF(Foglio3!DN66=100000,"",Foglio3!DS66)</f>
        <v>23567.01</v>
      </c>
      <c r="JX93" s="272">
        <f ca="1">IF(Foglio3!DN66=100000,"",Foglio3!DT66)</f>
        <v>21437.23</v>
      </c>
      <c r="JY93" s="272">
        <f ca="1">IF(Foglio3!DN66=100000,"",Foglio3!DU66)</f>
        <v>271.33</v>
      </c>
      <c r="JZ93" s="272" t="str">
        <f ca="1">IF(Foglio3!DN66=100000,"",Foglio3!DV66)</f>
        <v>9/14 anni</v>
      </c>
    </row>
    <row r="94" spans="1:318" x14ac:dyDescent="0.25">
      <c r="E94" s="240" t="str">
        <f>Foglio3!F74</f>
        <v/>
      </c>
      <c r="F94" s="240" t="str">
        <f>Foglio3!G74</f>
        <v/>
      </c>
      <c r="G94" s="244"/>
      <c r="H94" s="245">
        <f t="shared" si="20"/>
        <v>0</v>
      </c>
      <c r="I94" s="245">
        <f t="shared" si="2"/>
        <v>0</v>
      </c>
      <c r="J94" s="244"/>
      <c r="K94" s="244"/>
      <c r="Q94">
        <f t="shared" si="154"/>
        <v>1</v>
      </c>
      <c r="R94">
        <f t="shared" si="155"/>
        <v>1</v>
      </c>
      <c r="S94">
        <f t="shared" si="156"/>
        <v>0</v>
      </c>
      <c r="T94">
        <f t="shared" si="157"/>
        <v>0</v>
      </c>
      <c r="U94">
        <f t="shared" si="158"/>
        <v>1</v>
      </c>
      <c r="W94">
        <f t="shared" si="159"/>
        <v>7</v>
      </c>
      <c r="X94">
        <f t="shared" si="160"/>
        <v>153</v>
      </c>
      <c r="Y94">
        <f t="shared" si="161"/>
        <v>363</v>
      </c>
      <c r="AA94" s="112" t="e">
        <f t="shared" si="91"/>
        <v>#VALUE!</v>
      </c>
      <c r="AB94" s="112" t="e">
        <f t="shared" si="92"/>
        <v>#VALUE!</v>
      </c>
      <c r="AG94">
        <f t="shared" si="22"/>
        <v>1</v>
      </c>
      <c r="AH94" s="112">
        <f t="shared" si="93"/>
        <v>0</v>
      </c>
      <c r="AI94" s="112">
        <f t="shared" si="94"/>
        <v>0</v>
      </c>
      <c r="CG94" t="e">
        <f t="shared" si="182"/>
        <v>#VALUE!</v>
      </c>
      <c r="CH94" t="e">
        <f t="shared" si="183"/>
        <v>#VALUE!</v>
      </c>
      <c r="CJ94" t="e">
        <f t="shared" si="184"/>
        <v>#VALUE!</v>
      </c>
      <c r="CK94" t="e">
        <f t="shared" si="185"/>
        <v>#VALUE!</v>
      </c>
      <c r="CL94" t="e">
        <f t="shared" si="186"/>
        <v>#VALUE!</v>
      </c>
      <c r="CN94" t="e">
        <f t="shared" si="187"/>
        <v>#VALUE!</v>
      </c>
      <c r="CS94">
        <f t="shared" si="178"/>
        <v>1</v>
      </c>
      <c r="CT94">
        <f t="shared" si="179"/>
        <v>0</v>
      </c>
      <c r="CU94" s="243">
        <f t="shared" si="30"/>
        <v>0</v>
      </c>
      <c r="CV94" s="112">
        <f t="shared" si="180"/>
        <v>0</v>
      </c>
      <c r="CX94" s="112">
        <f t="shared" si="149"/>
        <v>100000</v>
      </c>
      <c r="CY94" s="112">
        <f t="shared" si="105"/>
        <v>100000</v>
      </c>
      <c r="CZ94" s="112">
        <f t="shared" si="106"/>
        <v>100000</v>
      </c>
      <c r="DA94" s="112">
        <f t="shared" si="107"/>
        <v>100000</v>
      </c>
      <c r="DB94" s="112">
        <f t="shared" si="108"/>
        <v>100000</v>
      </c>
      <c r="DC94" s="112">
        <f t="shared" si="109"/>
        <v>100000</v>
      </c>
      <c r="DU94" s="112"/>
      <c r="DV94" s="112"/>
      <c r="EF94" s="253"/>
      <c r="EK94" s="254"/>
      <c r="EU94" s="253"/>
      <c r="EW94" s="253"/>
      <c r="EX94" s="238"/>
      <c r="FQ94" s="254"/>
      <c r="GQ94" s="263" t="e">
        <f t="shared" si="56"/>
        <v>#N/A</v>
      </c>
      <c r="HN94" s="263" t="str">
        <f t="shared" si="13"/>
        <v/>
      </c>
      <c r="HO94">
        <f t="shared" si="72"/>
        <v>0</v>
      </c>
      <c r="HP94" t="str">
        <f t="shared" si="73"/>
        <v/>
      </c>
      <c r="HQ94" t="str">
        <f t="shared" si="165"/>
        <v/>
      </c>
      <c r="HR94" t="str">
        <f t="shared" si="166"/>
        <v/>
      </c>
      <c r="HW94" s="253" t="s">
        <v>187</v>
      </c>
      <c r="HX94" s="112" t="e">
        <f t="shared" si="76"/>
        <v>#VALUE!</v>
      </c>
      <c r="HY94" t="s">
        <v>188</v>
      </c>
      <c r="HZ94" s="112" t="e">
        <f t="shared" si="77"/>
        <v>#VALUE!</v>
      </c>
      <c r="IA94" t="s">
        <v>189</v>
      </c>
      <c r="IB94">
        <f t="shared" si="78"/>
        <v>0</v>
      </c>
      <c r="IC94" t="s">
        <v>192</v>
      </c>
      <c r="ID94">
        <f t="shared" si="79"/>
        <v>0</v>
      </c>
      <c r="IE94" t="s">
        <v>191</v>
      </c>
      <c r="IF94" s="254">
        <f t="shared" si="80"/>
        <v>1</v>
      </c>
      <c r="IK94" t="str">
        <f t="shared" si="167"/>
        <v/>
      </c>
      <c r="JP94">
        <f ca="1">IF(Foglio3!DM67=100000,0,IF(Foglio3!DM67="",0,1))</f>
        <v>1</v>
      </c>
      <c r="JQ94" s="314">
        <f ca="1" xml:space="preserve">   IF(JP94=1,     Foglio3!DM67,IF(JP94=0,IF(JP93=1,"","")))</f>
        <v>40430</v>
      </c>
      <c r="JR94" s="314">
        <f ca="1">IF(          Foglio3!DN67=100000,"",Foglio3!DN67)</f>
        <v>40543</v>
      </c>
      <c r="JS94" s="272">
        <f ca="1">IF(Foglio3!DN67=100000,"",Foglio3!DO67)</f>
        <v>7</v>
      </c>
      <c r="JT94" s="272">
        <f ca="1">IF(Foglio3!DN67=100000,"",Foglio3!DP67)</f>
        <v>24</v>
      </c>
      <c r="JU94" s="272">
        <f ca="1">IF(Foglio3!DN67=100000,"",Foglio3!DQ67)</f>
        <v>114</v>
      </c>
      <c r="JV94" s="272">
        <f ca="1">IF(JU94="","",Foglio3!DR67)</f>
        <v>0</v>
      </c>
      <c r="JW94" s="272">
        <f ca="1">IF(Foglio3!DN67=100000,"",Foglio3!DS67)</f>
        <v>23567.01</v>
      </c>
      <c r="JX94" s="272">
        <f ca="1">IF(Foglio3!DN67=100000,"",Foglio3!DT67)</f>
        <v>21437.23</v>
      </c>
      <c r="JY94" s="272">
        <f ca="1">IF(Foglio3!DN67=100000,"",Foglio3!DU67)</f>
        <v>194.01</v>
      </c>
      <c r="JZ94" s="272" t="str">
        <f ca="1">IF(Foglio3!DN67=100000,"",Foglio3!DV67)</f>
        <v>9/14 anni</v>
      </c>
    </row>
    <row r="95" spans="1:318" x14ac:dyDescent="0.25">
      <c r="E95" s="240" t="str">
        <f>Foglio3!F75</f>
        <v/>
      </c>
      <c r="F95" s="240" t="str">
        <f>Foglio3!G75</f>
        <v/>
      </c>
      <c r="G95" s="244"/>
      <c r="H95" s="245">
        <f t="shared" si="20"/>
        <v>0</v>
      </c>
      <c r="I95" s="245">
        <f t="shared" si="2"/>
        <v>0</v>
      </c>
      <c r="J95" s="244"/>
      <c r="K95" s="244"/>
      <c r="Q95">
        <f t="shared" si="154"/>
        <v>1</v>
      </c>
      <c r="R95">
        <f t="shared" si="155"/>
        <v>1</v>
      </c>
      <c r="S95">
        <f t="shared" si="156"/>
        <v>0</v>
      </c>
      <c r="T95">
        <f t="shared" si="157"/>
        <v>0</v>
      </c>
      <c r="U95">
        <f t="shared" si="158"/>
        <v>1</v>
      </c>
      <c r="W95">
        <f t="shared" si="159"/>
        <v>7</v>
      </c>
      <c r="X95">
        <f t="shared" si="160"/>
        <v>153</v>
      </c>
      <c r="Y95">
        <f t="shared" si="161"/>
        <v>364</v>
      </c>
      <c r="AA95" s="112" t="e">
        <f t="shared" si="91"/>
        <v>#VALUE!</v>
      </c>
      <c r="AB95" s="112" t="e">
        <f t="shared" si="92"/>
        <v>#VALUE!</v>
      </c>
      <c r="AG95">
        <f t="shared" si="22"/>
        <v>1</v>
      </c>
      <c r="AH95" s="112">
        <f t="shared" si="93"/>
        <v>0</v>
      </c>
      <c r="AI95" s="112">
        <f t="shared" si="94"/>
        <v>0</v>
      </c>
      <c r="CG95" t="e">
        <f t="shared" si="182"/>
        <v>#VALUE!</v>
      </c>
      <c r="CH95" t="e">
        <f t="shared" si="183"/>
        <v>#VALUE!</v>
      </c>
      <c r="CJ95" t="e">
        <f t="shared" si="184"/>
        <v>#VALUE!</v>
      </c>
      <c r="CK95" t="e">
        <f t="shared" si="185"/>
        <v>#VALUE!</v>
      </c>
      <c r="CL95" t="e">
        <f t="shared" si="186"/>
        <v>#VALUE!</v>
      </c>
      <c r="CN95" t="e">
        <f t="shared" si="187"/>
        <v>#VALUE!</v>
      </c>
      <c r="CS95">
        <f t="shared" si="178"/>
        <v>1</v>
      </c>
      <c r="CT95">
        <f t="shared" si="179"/>
        <v>0</v>
      </c>
      <c r="CU95" s="243">
        <f t="shared" si="30"/>
        <v>0</v>
      </c>
      <c r="CV95" s="112">
        <f t="shared" si="180"/>
        <v>0</v>
      </c>
      <c r="CX95" s="112">
        <f t="shared" si="149"/>
        <v>100000</v>
      </c>
      <c r="CY95" s="112">
        <f t="shared" si="105"/>
        <v>100000</v>
      </c>
      <c r="CZ95" s="112">
        <f t="shared" si="106"/>
        <v>100000</v>
      </c>
      <c r="DA95" s="112">
        <f t="shared" si="107"/>
        <v>100000</v>
      </c>
      <c r="DB95" s="112">
        <f t="shared" si="108"/>
        <v>100000</v>
      </c>
      <c r="DC95" s="112">
        <f t="shared" si="109"/>
        <v>100000</v>
      </c>
      <c r="DU95" s="112"/>
      <c r="DV95" s="112"/>
      <c r="EF95" s="253"/>
      <c r="EK95" s="254"/>
      <c r="EU95" s="253"/>
      <c r="EW95" s="253"/>
      <c r="EX95" s="238"/>
      <c r="FQ95" s="254"/>
      <c r="GQ95" s="263" t="e">
        <f t="shared" si="56"/>
        <v>#N/A</v>
      </c>
      <c r="HN95" s="263" t="str">
        <f t="shared" si="13"/>
        <v/>
      </c>
      <c r="HO95">
        <f t="shared" si="72"/>
        <v>0</v>
      </c>
      <c r="HP95" t="str">
        <f t="shared" si="73"/>
        <v/>
      </c>
      <c r="HQ95" t="str">
        <f t="shared" si="165"/>
        <v/>
      </c>
      <c r="HR95" t="str">
        <f t="shared" si="166"/>
        <v/>
      </c>
      <c r="HW95" s="253" t="s">
        <v>187</v>
      </c>
      <c r="HX95" s="112" t="e">
        <f t="shared" si="76"/>
        <v>#VALUE!</v>
      </c>
      <c r="HY95" t="s">
        <v>188</v>
      </c>
      <c r="HZ95" s="112" t="e">
        <f t="shared" si="77"/>
        <v>#VALUE!</v>
      </c>
      <c r="IA95" t="s">
        <v>189</v>
      </c>
      <c r="IB95">
        <f t="shared" si="78"/>
        <v>0</v>
      </c>
      <c r="IC95" t="s">
        <v>192</v>
      </c>
      <c r="ID95">
        <f t="shared" si="79"/>
        <v>0</v>
      </c>
      <c r="IE95" t="s">
        <v>191</v>
      </c>
      <c r="IF95" s="254">
        <f t="shared" si="80"/>
        <v>1</v>
      </c>
      <c r="IK95" t="str">
        <f t="shared" si="167"/>
        <v/>
      </c>
      <c r="JP95">
        <f ca="1">IF(Foglio3!DM68=100000,0,IF(Foglio3!DM68="",0,1))</f>
        <v>1</v>
      </c>
      <c r="JQ95" s="314">
        <f ca="1" xml:space="preserve">   IF(JP95=1,     Foglio3!DM68,IF(JP95=0,IF(JP94=1,"","")))</f>
        <v>40431</v>
      </c>
      <c r="JR95" s="314">
        <f ca="1">IF(          Foglio3!DN68=100000,"",Foglio3!DN68)</f>
        <v>40543</v>
      </c>
      <c r="JS95" s="272">
        <f ca="1">IF(Foglio3!DN68=100000,"",Foglio3!DO68)</f>
        <v>9</v>
      </c>
      <c r="JT95" s="272">
        <f ca="1">IF(Foglio3!DN68=100000,"",Foglio3!DP68)</f>
        <v>24</v>
      </c>
      <c r="JU95" s="272">
        <f ca="1">IF(Foglio3!DN68=100000,"",Foglio3!DQ68)</f>
        <v>113</v>
      </c>
      <c r="JV95" s="272">
        <f ca="1">IF(JU95="","",Foglio3!DR68)</f>
        <v>0</v>
      </c>
      <c r="JW95" s="272">
        <f ca="1">IF(Foglio3!DN68=100000,"",Foglio3!DS68)</f>
        <v>23567.01</v>
      </c>
      <c r="JX95" s="272">
        <f ca="1">IF(Foglio3!DN68=100000,"",Foglio3!DT68)</f>
        <v>21437.23</v>
      </c>
      <c r="JY95" s="272">
        <f ca="1">IF(Foglio3!DN68=100000,"",Foglio3!DU68)</f>
        <v>247.26</v>
      </c>
      <c r="JZ95" s="272" t="str">
        <f ca="1">IF(Foglio3!DN68=100000,"",Foglio3!DV68)</f>
        <v>9/14 anni</v>
      </c>
    </row>
    <row r="96" spans="1:318" x14ac:dyDescent="0.25">
      <c r="E96" s="240" t="str">
        <f>Foglio3!F76</f>
        <v/>
      </c>
      <c r="F96" s="240" t="str">
        <f>Foglio3!G76</f>
        <v/>
      </c>
      <c r="G96" s="244"/>
      <c r="H96" s="245">
        <f t="shared" si="20"/>
        <v>0</v>
      </c>
      <c r="I96" s="245">
        <f t="shared" si="2"/>
        <v>0</v>
      </c>
      <c r="J96" s="244"/>
      <c r="K96" s="244"/>
      <c r="Q96">
        <f t="shared" si="154"/>
        <v>1</v>
      </c>
      <c r="R96">
        <f t="shared" si="155"/>
        <v>1</v>
      </c>
      <c r="S96">
        <f t="shared" si="156"/>
        <v>0</v>
      </c>
      <c r="T96">
        <f t="shared" si="157"/>
        <v>0</v>
      </c>
      <c r="U96">
        <f t="shared" si="158"/>
        <v>1</v>
      </c>
      <c r="W96">
        <f t="shared" si="159"/>
        <v>7</v>
      </c>
      <c r="X96">
        <f t="shared" si="160"/>
        <v>153</v>
      </c>
      <c r="Y96">
        <f t="shared" si="161"/>
        <v>365</v>
      </c>
      <c r="AA96" s="112" t="e">
        <f t="shared" si="91"/>
        <v>#VALUE!</v>
      </c>
      <c r="AB96" s="112" t="e">
        <f t="shared" si="92"/>
        <v>#VALUE!</v>
      </c>
      <c r="AG96">
        <f t="shared" si="22"/>
        <v>1</v>
      </c>
      <c r="AH96" s="112">
        <f t="shared" si="93"/>
        <v>0</v>
      </c>
      <c r="AI96" s="112">
        <f t="shared" si="94"/>
        <v>0</v>
      </c>
      <c r="CG96" t="e">
        <f t="shared" si="182"/>
        <v>#VALUE!</v>
      </c>
      <c r="CH96" t="e">
        <f t="shared" si="183"/>
        <v>#VALUE!</v>
      </c>
      <c r="CJ96" t="e">
        <f t="shared" si="184"/>
        <v>#VALUE!</v>
      </c>
      <c r="CK96" t="e">
        <f t="shared" si="185"/>
        <v>#VALUE!</v>
      </c>
      <c r="CL96" t="e">
        <f t="shared" si="186"/>
        <v>#VALUE!</v>
      </c>
      <c r="CN96" t="e">
        <f t="shared" si="187"/>
        <v>#VALUE!</v>
      </c>
      <c r="CS96">
        <f t="shared" si="178"/>
        <v>1</v>
      </c>
      <c r="CT96">
        <f t="shared" si="179"/>
        <v>0</v>
      </c>
      <c r="CU96" s="243">
        <f t="shared" si="30"/>
        <v>0</v>
      </c>
      <c r="CV96" s="112">
        <f t="shared" si="180"/>
        <v>0</v>
      </c>
      <c r="CX96" s="112">
        <f t="shared" si="149"/>
        <v>100000</v>
      </c>
      <c r="CY96" s="112">
        <f t="shared" si="105"/>
        <v>100000</v>
      </c>
      <c r="CZ96" s="112">
        <f t="shared" si="106"/>
        <v>100000</v>
      </c>
      <c r="DA96" s="112">
        <f t="shared" si="107"/>
        <v>100000</v>
      </c>
      <c r="DB96" s="112">
        <f t="shared" si="108"/>
        <v>100000</v>
      </c>
      <c r="DC96" s="112">
        <f t="shared" si="109"/>
        <v>100000</v>
      </c>
      <c r="DU96" s="112"/>
      <c r="DV96" s="112"/>
      <c r="EF96" s="253"/>
      <c r="EK96" s="254"/>
      <c r="EU96" s="253"/>
      <c r="EW96" s="253"/>
      <c r="EX96" s="238"/>
      <c r="FQ96" s="254"/>
      <c r="GQ96" s="263" t="e">
        <f t="shared" si="56"/>
        <v>#N/A</v>
      </c>
      <c r="HN96" s="263" t="str">
        <f t="shared" si="13"/>
        <v/>
      </c>
      <c r="HO96">
        <f t="shared" si="72"/>
        <v>0</v>
      </c>
      <c r="HP96" t="str">
        <f t="shared" si="73"/>
        <v/>
      </c>
      <c r="HQ96" t="str">
        <f t="shared" si="165"/>
        <v/>
      </c>
      <c r="HR96" t="str">
        <f t="shared" si="166"/>
        <v/>
      </c>
      <c r="HW96" s="253" t="s">
        <v>187</v>
      </c>
      <c r="HX96" s="112" t="e">
        <f t="shared" si="76"/>
        <v>#VALUE!</v>
      </c>
      <c r="HY96" t="s">
        <v>188</v>
      </c>
      <c r="HZ96" s="112" t="e">
        <f t="shared" si="77"/>
        <v>#VALUE!</v>
      </c>
      <c r="IA96" t="s">
        <v>189</v>
      </c>
      <c r="IB96">
        <f t="shared" si="78"/>
        <v>0</v>
      </c>
      <c r="IC96" t="s">
        <v>192</v>
      </c>
      <c r="ID96">
        <f t="shared" si="79"/>
        <v>0</v>
      </c>
      <c r="IE96" t="s">
        <v>191</v>
      </c>
      <c r="IF96" s="254">
        <f t="shared" si="80"/>
        <v>1</v>
      </c>
      <c r="IK96" t="str">
        <f t="shared" si="167"/>
        <v/>
      </c>
      <c r="JP96">
        <f ca="1">IF(Foglio3!DM69=100000,0,IF(Foglio3!DM69="",0,1))</f>
        <v>1</v>
      </c>
      <c r="JQ96" s="314">
        <f ca="1" xml:space="preserve">   IF(JP96=1,     Foglio3!DM69,IF(JP96=0,IF(JP95=1,"","")))</f>
        <v>40544</v>
      </c>
      <c r="JR96" s="314">
        <f ca="1">IF(          Foglio3!DN69=100000,"",Foglio3!DN69)</f>
        <v>40544</v>
      </c>
      <c r="JS96" s="272">
        <f ca="1">IF(Foglio3!DN69=100000,"",Foglio3!DO69)</f>
        <v>7</v>
      </c>
      <c r="JT96" s="272">
        <f ca="1">IF(Foglio3!DN69=100000,"",Foglio3!DP69)</f>
        <v>24</v>
      </c>
      <c r="JU96" s="272">
        <f ca="1">IF(Foglio3!DN69=100000,"",Foglio3!DQ69)</f>
        <v>1</v>
      </c>
      <c r="JV96" s="272">
        <f ca="1">IF(JU96="","",Foglio3!DR69)</f>
        <v>0</v>
      </c>
      <c r="JW96" s="272">
        <f ca="1">IF(Foglio3!DN69=100000,"",Foglio3!DS69)</f>
        <v>23567.01</v>
      </c>
      <c r="JX96" s="272">
        <f ca="1">IF(Foglio3!DN69=100000,"",Foglio3!DT69)</f>
        <v>21437.23</v>
      </c>
      <c r="JY96" s="272">
        <f ca="1">IF(Foglio3!DN69=100000,"",Foglio3!DU69)</f>
        <v>1.7</v>
      </c>
      <c r="JZ96" s="272" t="str">
        <f ca="1">IF(Foglio3!DN69=100000,"",Foglio3!DV69)</f>
        <v>9/14 anni</v>
      </c>
    </row>
    <row r="97" spans="5:286" x14ac:dyDescent="0.25">
      <c r="E97" s="240" t="str">
        <f>Foglio3!F77</f>
        <v/>
      </c>
      <c r="F97" s="240" t="str">
        <f>Foglio3!G77</f>
        <v/>
      </c>
      <c r="G97" s="244"/>
      <c r="H97" s="245">
        <f t="shared" si="20"/>
        <v>0</v>
      </c>
      <c r="I97" s="245">
        <f t="shared" si="2"/>
        <v>0</v>
      </c>
      <c r="J97" s="244"/>
      <c r="K97" s="244"/>
      <c r="Q97">
        <f t="shared" si="154"/>
        <v>1</v>
      </c>
      <c r="R97">
        <f t="shared" si="155"/>
        <v>1</v>
      </c>
      <c r="S97">
        <f t="shared" si="156"/>
        <v>0</v>
      </c>
      <c r="T97">
        <f t="shared" si="157"/>
        <v>0</v>
      </c>
      <c r="U97">
        <f t="shared" si="158"/>
        <v>1</v>
      </c>
      <c r="W97">
        <f t="shared" si="159"/>
        <v>7</v>
      </c>
      <c r="X97">
        <f t="shared" si="160"/>
        <v>153</v>
      </c>
      <c r="Y97">
        <f t="shared" si="161"/>
        <v>366</v>
      </c>
      <c r="AA97" s="112" t="e">
        <f t="shared" si="91"/>
        <v>#VALUE!</v>
      </c>
      <c r="AB97" s="112" t="e">
        <f t="shared" si="92"/>
        <v>#VALUE!</v>
      </c>
      <c r="AG97">
        <f t="shared" si="22"/>
        <v>1</v>
      </c>
      <c r="AH97" s="112">
        <f t="shared" si="93"/>
        <v>0</v>
      </c>
      <c r="AI97" s="112">
        <f t="shared" si="94"/>
        <v>0</v>
      </c>
      <c r="CG97" t="e">
        <f t="shared" si="182"/>
        <v>#VALUE!</v>
      </c>
      <c r="CH97" t="e">
        <f t="shared" si="183"/>
        <v>#VALUE!</v>
      </c>
      <c r="CJ97" t="e">
        <f t="shared" si="184"/>
        <v>#VALUE!</v>
      </c>
      <c r="CK97" t="e">
        <f t="shared" si="185"/>
        <v>#VALUE!</v>
      </c>
      <c r="CL97" t="e">
        <f t="shared" si="186"/>
        <v>#VALUE!</v>
      </c>
      <c r="CN97" t="e">
        <f t="shared" si="187"/>
        <v>#VALUE!</v>
      </c>
      <c r="CS97">
        <f t="shared" si="178"/>
        <v>1</v>
      </c>
      <c r="CT97">
        <f t="shared" si="179"/>
        <v>0</v>
      </c>
      <c r="CU97" s="243">
        <f t="shared" si="30"/>
        <v>0</v>
      </c>
      <c r="CV97" s="112">
        <f t="shared" si="180"/>
        <v>0</v>
      </c>
      <c r="CX97" s="112">
        <f t="shared" si="149"/>
        <v>100000</v>
      </c>
      <c r="CY97" s="112">
        <f t="shared" si="105"/>
        <v>100000</v>
      </c>
      <c r="CZ97" s="112">
        <f t="shared" si="106"/>
        <v>100000</v>
      </c>
      <c r="DA97" s="112">
        <f t="shared" si="107"/>
        <v>100000</v>
      </c>
      <c r="DB97" s="112">
        <f t="shared" si="108"/>
        <v>100000</v>
      </c>
      <c r="DC97" s="112">
        <f t="shared" si="109"/>
        <v>100000</v>
      </c>
      <c r="DU97" s="112"/>
      <c r="DV97" s="112"/>
      <c r="EF97" s="253"/>
      <c r="EK97" s="254"/>
      <c r="EU97" s="253"/>
      <c r="EW97" s="253"/>
      <c r="EX97" s="238"/>
      <c r="FQ97" s="254"/>
      <c r="GQ97" s="263" t="e">
        <f t="shared" si="56"/>
        <v>#N/A</v>
      </c>
      <c r="HN97" s="263" t="str">
        <f>IF($GD97&gt;0,HL97,  IF(HO96=0,"",        $HR$39))</f>
        <v/>
      </c>
      <c r="HW97" s="253" t="s">
        <v>187</v>
      </c>
      <c r="HX97" s="112" t="e">
        <f t="shared" si="76"/>
        <v>#VALUE!</v>
      </c>
      <c r="HY97" t="s">
        <v>188</v>
      </c>
      <c r="HZ97" s="112" t="e">
        <f t="shared" si="77"/>
        <v>#VALUE!</v>
      </c>
      <c r="IA97" t="s">
        <v>189</v>
      </c>
      <c r="IB97">
        <f t="shared" si="78"/>
        <v>0</v>
      </c>
      <c r="IC97" t="s">
        <v>192</v>
      </c>
      <c r="ID97">
        <f t="shared" si="79"/>
        <v>0</v>
      </c>
      <c r="IE97" t="s">
        <v>191</v>
      </c>
      <c r="IF97" s="254">
        <f t="shared" si="80"/>
        <v>1</v>
      </c>
      <c r="IK97" t="str">
        <f t="shared" si="167"/>
        <v/>
      </c>
      <c r="JP97">
        <f ca="1">IF(Foglio3!DM70=100000,0,IF(Foglio3!DM70="",0,1))</f>
        <v>1</v>
      </c>
      <c r="JQ97" s="314">
        <f ca="1" xml:space="preserve">   IF(JP97=1,     Foglio3!DM70,IF(JP97=0,IF(JP96=1,"","")))</f>
        <v>40544</v>
      </c>
      <c r="JR97" s="314">
        <f ca="1">IF(          Foglio3!DN70=100000,"",Foglio3!DN70)</f>
        <v>40544</v>
      </c>
      <c r="JS97" s="272">
        <f ca="1">IF(Foglio3!DN70=100000,"",Foglio3!DO70)</f>
        <v>7</v>
      </c>
      <c r="JT97" s="272">
        <f ca="1">IF(Foglio3!DN70=100000,"",Foglio3!DP70)</f>
        <v>24</v>
      </c>
      <c r="JU97" s="272">
        <f ca="1">IF(Foglio3!DN70=100000,"",Foglio3!DQ70)</f>
        <v>1</v>
      </c>
      <c r="JV97" s="272">
        <f ca="1">IF(JU97="","",Foglio3!DR70)</f>
        <v>0</v>
      </c>
      <c r="JW97" s="272">
        <f ca="1">IF(Foglio3!DN70=100000,"",Foglio3!DS70)</f>
        <v>23567.01</v>
      </c>
      <c r="JX97" s="272">
        <f ca="1">IF(Foglio3!DN70=100000,"",Foglio3!DT70)</f>
        <v>21437.23</v>
      </c>
      <c r="JY97" s="272">
        <f ca="1">IF(Foglio3!DN70=100000,"",Foglio3!DU70)</f>
        <v>1.7</v>
      </c>
      <c r="JZ97" s="272" t="str">
        <f ca="1">IF(Foglio3!DN70=100000,"",Foglio3!DV70)</f>
        <v>9/14 anni</v>
      </c>
    </row>
    <row r="98" spans="5:286" x14ac:dyDescent="0.25">
      <c r="E98" s="240" t="str">
        <f>Foglio3!F78</f>
        <v/>
      </c>
      <c r="F98" s="240" t="str">
        <f>Foglio3!G78</f>
        <v/>
      </c>
      <c r="G98" s="244"/>
      <c r="H98" s="245">
        <f t="shared" si="20"/>
        <v>0</v>
      </c>
      <c r="I98" s="245">
        <f t="shared" si="2"/>
        <v>0</v>
      </c>
      <c r="J98" s="244"/>
      <c r="K98" s="244"/>
      <c r="Q98">
        <f t="shared" si="154"/>
        <v>1</v>
      </c>
      <c r="R98">
        <f t="shared" si="155"/>
        <v>1</v>
      </c>
      <c r="S98">
        <f t="shared" si="156"/>
        <v>0</v>
      </c>
      <c r="T98">
        <f t="shared" si="157"/>
        <v>0</v>
      </c>
      <c r="U98">
        <f t="shared" si="158"/>
        <v>1</v>
      </c>
      <c r="W98">
        <f t="shared" si="159"/>
        <v>7</v>
      </c>
      <c r="X98">
        <f t="shared" si="160"/>
        <v>153</v>
      </c>
      <c r="Y98">
        <f t="shared" si="161"/>
        <v>367</v>
      </c>
      <c r="AA98" s="112" t="e">
        <f t="shared" si="91"/>
        <v>#VALUE!</v>
      </c>
      <c r="AB98" s="112" t="e">
        <f t="shared" si="92"/>
        <v>#VALUE!</v>
      </c>
      <c r="AG98">
        <f t="shared" si="22"/>
        <v>1</v>
      </c>
      <c r="AH98" s="112">
        <f t="shared" si="93"/>
        <v>0</v>
      </c>
      <c r="AI98" s="112">
        <f t="shared" si="94"/>
        <v>0</v>
      </c>
      <c r="CG98" t="e">
        <f t="shared" si="182"/>
        <v>#VALUE!</v>
      </c>
      <c r="CH98" t="e">
        <f t="shared" si="183"/>
        <v>#VALUE!</v>
      </c>
      <c r="CJ98" t="e">
        <f t="shared" si="184"/>
        <v>#VALUE!</v>
      </c>
      <c r="CK98" t="e">
        <f t="shared" si="185"/>
        <v>#VALUE!</v>
      </c>
      <c r="CL98" t="e">
        <f t="shared" si="186"/>
        <v>#VALUE!</v>
      </c>
      <c r="CN98" t="e">
        <f t="shared" si="187"/>
        <v>#VALUE!</v>
      </c>
      <c r="CS98">
        <f t="shared" si="178"/>
        <v>1</v>
      </c>
      <c r="CT98">
        <f t="shared" si="179"/>
        <v>0</v>
      </c>
      <c r="CU98" s="243">
        <f t="shared" si="30"/>
        <v>0</v>
      </c>
      <c r="CV98" s="112">
        <f t="shared" si="180"/>
        <v>0</v>
      </c>
      <c r="CX98" s="112">
        <f t="shared" si="149"/>
        <v>100000</v>
      </c>
      <c r="CY98" s="112">
        <f t="shared" si="105"/>
        <v>100000</v>
      </c>
      <c r="CZ98" s="112">
        <f t="shared" si="106"/>
        <v>100000</v>
      </c>
      <c r="DA98" s="112">
        <f t="shared" si="107"/>
        <v>100000</v>
      </c>
      <c r="DB98" s="112">
        <f t="shared" si="108"/>
        <v>100000</v>
      </c>
      <c r="DC98" s="112">
        <f t="shared" si="109"/>
        <v>100000</v>
      </c>
      <c r="DU98" s="112"/>
      <c r="DV98" s="112"/>
      <c r="EF98" s="253"/>
      <c r="EK98" s="254"/>
      <c r="EU98" s="253"/>
      <c r="EW98" s="253"/>
      <c r="EX98" s="238"/>
      <c r="FQ98" s="254"/>
      <c r="GQ98" s="263" t="e">
        <f t="shared" si="56"/>
        <v>#N/A</v>
      </c>
      <c r="HN98" s="263" t="str">
        <f>IF($GD98&gt;0,HL98,  IF(HO97=0,"",        $HR$39))</f>
        <v/>
      </c>
      <c r="HW98" s="253" t="s">
        <v>187</v>
      </c>
      <c r="HX98" s="112" t="e">
        <f t="shared" si="76"/>
        <v>#VALUE!</v>
      </c>
      <c r="HY98" t="s">
        <v>188</v>
      </c>
      <c r="HZ98" s="112" t="e">
        <f t="shared" si="77"/>
        <v>#VALUE!</v>
      </c>
      <c r="IA98" t="s">
        <v>189</v>
      </c>
      <c r="IB98">
        <f t="shared" si="78"/>
        <v>0</v>
      </c>
      <c r="IC98" t="s">
        <v>192</v>
      </c>
      <c r="ID98">
        <f t="shared" si="79"/>
        <v>0</v>
      </c>
      <c r="IE98" t="s">
        <v>191</v>
      </c>
      <c r="IF98" s="254">
        <f t="shared" si="80"/>
        <v>1</v>
      </c>
      <c r="IK98" t="str">
        <f t="shared" si="167"/>
        <v/>
      </c>
      <c r="JP98">
        <f ca="1">IF(Foglio3!DM71=100000,0,IF(Foglio3!DM71="",0,1))</f>
        <v>1</v>
      </c>
      <c r="JQ98" s="314">
        <f ca="1" xml:space="preserve">   IF(JP98=1,     Foglio3!DM71,IF(JP98=0,IF(JP97=1,"","")))</f>
        <v>40544</v>
      </c>
      <c r="JR98" s="314">
        <f ca="1">IF(          Foglio3!DN71=100000,"",Foglio3!DN71)</f>
        <v>40544</v>
      </c>
      <c r="JS98" s="272">
        <f ca="1">IF(Foglio3!DN71=100000,"",Foglio3!DO71)</f>
        <v>7</v>
      </c>
      <c r="JT98" s="272">
        <f ca="1">IF(Foglio3!DN71=100000,"",Foglio3!DP71)</f>
        <v>24</v>
      </c>
      <c r="JU98" s="272">
        <f ca="1">IF(Foglio3!DN71=100000,"",Foglio3!DQ71)</f>
        <v>1</v>
      </c>
      <c r="JV98" s="272">
        <f ca="1">IF(JU98="","",Foglio3!DR71)</f>
        <v>0</v>
      </c>
      <c r="JW98" s="272">
        <f ca="1">IF(Foglio3!DN71=100000,"",Foglio3!DS71)</f>
        <v>23567.01</v>
      </c>
      <c r="JX98" s="272">
        <f ca="1">IF(Foglio3!DN71=100000,"",Foglio3!DT71)</f>
        <v>21437.23</v>
      </c>
      <c r="JY98" s="272">
        <f ca="1">IF(Foglio3!DN71=100000,"",Foglio3!DU71)</f>
        <v>1.7</v>
      </c>
      <c r="JZ98" s="272" t="str">
        <f ca="1">IF(Foglio3!DN71=100000,"",Foglio3!DV71)</f>
        <v>9/14 anni</v>
      </c>
    </row>
    <row r="99" spans="5:286" x14ac:dyDescent="0.25">
      <c r="E99" s="240" t="str">
        <f>Foglio3!F79</f>
        <v/>
      </c>
      <c r="F99" s="240" t="str">
        <f>Foglio3!G79</f>
        <v/>
      </c>
      <c r="G99" s="244"/>
      <c r="H99" s="245">
        <f t="shared" si="20"/>
        <v>0</v>
      </c>
      <c r="I99" s="245">
        <f t="shared" si="2"/>
        <v>0</v>
      </c>
      <c r="J99" s="244"/>
      <c r="K99" s="244"/>
      <c r="Q99">
        <f t="shared" si="154"/>
        <v>1</v>
      </c>
      <c r="R99">
        <f t="shared" si="155"/>
        <v>1</v>
      </c>
      <c r="S99">
        <f t="shared" si="156"/>
        <v>0</v>
      </c>
      <c r="T99">
        <f t="shared" si="157"/>
        <v>0</v>
      </c>
      <c r="U99">
        <f t="shared" si="158"/>
        <v>1</v>
      </c>
      <c r="W99">
        <f t="shared" si="159"/>
        <v>7</v>
      </c>
      <c r="X99">
        <f t="shared" si="160"/>
        <v>153</v>
      </c>
      <c r="Y99">
        <f t="shared" si="161"/>
        <v>368</v>
      </c>
      <c r="AA99" s="112" t="e">
        <f t="shared" si="91"/>
        <v>#VALUE!</v>
      </c>
      <c r="AB99" s="112" t="e">
        <f t="shared" si="92"/>
        <v>#VALUE!</v>
      </c>
      <c r="AG99">
        <f t="shared" si="22"/>
        <v>1</v>
      </c>
      <c r="AH99" s="112">
        <f t="shared" si="93"/>
        <v>0</v>
      </c>
      <c r="AI99" s="112">
        <f t="shared" si="94"/>
        <v>0</v>
      </c>
      <c r="CG99" t="e">
        <f t="shared" si="182"/>
        <v>#VALUE!</v>
      </c>
      <c r="CH99" t="e">
        <f t="shared" si="183"/>
        <v>#VALUE!</v>
      </c>
      <c r="CJ99" t="e">
        <f t="shared" si="184"/>
        <v>#VALUE!</v>
      </c>
      <c r="CK99" t="e">
        <f t="shared" si="185"/>
        <v>#VALUE!</v>
      </c>
      <c r="CL99" t="e">
        <f t="shared" si="186"/>
        <v>#VALUE!</v>
      </c>
      <c r="CN99" t="e">
        <f t="shared" si="187"/>
        <v>#VALUE!</v>
      </c>
      <c r="CS99">
        <f t="shared" si="178"/>
        <v>1</v>
      </c>
      <c r="CT99">
        <f t="shared" si="179"/>
        <v>0</v>
      </c>
      <c r="CU99" s="243">
        <f t="shared" si="30"/>
        <v>0</v>
      </c>
      <c r="CV99" s="112">
        <f t="shared" si="180"/>
        <v>0</v>
      </c>
      <c r="CX99" s="112">
        <f t="shared" si="149"/>
        <v>100000</v>
      </c>
      <c r="CY99" s="112">
        <f t="shared" si="105"/>
        <v>100000</v>
      </c>
      <c r="CZ99" s="112">
        <f t="shared" si="106"/>
        <v>100000</v>
      </c>
      <c r="DA99" s="112">
        <f t="shared" si="107"/>
        <v>100000</v>
      </c>
      <c r="DB99" s="112">
        <f t="shared" si="108"/>
        <v>100000</v>
      </c>
      <c r="DC99" s="112">
        <f t="shared" si="109"/>
        <v>100000</v>
      </c>
      <c r="DU99" s="112"/>
      <c r="DV99" s="112"/>
      <c r="EF99" s="253"/>
      <c r="EK99" s="254"/>
      <c r="EU99" s="253"/>
      <c r="EW99" s="253"/>
      <c r="EX99" s="238"/>
      <c r="FQ99" s="254"/>
      <c r="GQ99" s="263" t="e">
        <f t="shared" si="56"/>
        <v>#N/A</v>
      </c>
      <c r="HN99" s="263" t="str">
        <f>IF($GD99&gt;0,HL99,  IF(HO98=0,"",        $HR$39))</f>
        <v/>
      </c>
      <c r="HW99" s="253" t="s">
        <v>187</v>
      </c>
      <c r="HX99" s="112" t="e">
        <f t="shared" si="76"/>
        <v>#VALUE!</v>
      </c>
      <c r="HY99" t="s">
        <v>188</v>
      </c>
      <c r="HZ99" s="112" t="e">
        <f t="shared" si="77"/>
        <v>#VALUE!</v>
      </c>
      <c r="IA99" t="s">
        <v>189</v>
      </c>
      <c r="IB99">
        <f t="shared" si="78"/>
        <v>0</v>
      </c>
      <c r="IC99" t="s">
        <v>192</v>
      </c>
      <c r="ID99">
        <f t="shared" si="79"/>
        <v>0</v>
      </c>
      <c r="IE99" t="s">
        <v>191</v>
      </c>
      <c r="IF99" s="254">
        <f t="shared" si="80"/>
        <v>1</v>
      </c>
      <c r="IK99" t="str">
        <f t="shared" si="167"/>
        <v/>
      </c>
      <c r="JP99">
        <f ca="1">IF(Foglio3!DM72=100000,0,IF(Foglio3!DM72="",0,1))</f>
        <v>1</v>
      </c>
      <c r="JQ99" s="314">
        <f ca="1" xml:space="preserve">   IF(JP99=1,     Foglio3!DM72,IF(JP99=0,IF(JP98=1,"","")))</f>
        <v>40544</v>
      </c>
      <c r="JR99" s="314">
        <f ca="1">IF(          Foglio3!DN72=100000,"",Foglio3!DN72)</f>
        <v>40544</v>
      </c>
      <c r="JS99" s="272">
        <f ca="1">IF(Foglio3!DN72=100000,"",Foglio3!DO72)</f>
        <v>7</v>
      </c>
      <c r="JT99" s="272">
        <f ca="1">IF(Foglio3!DN72=100000,"",Foglio3!DP72)</f>
        <v>24</v>
      </c>
      <c r="JU99" s="272">
        <f ca="1">IF(Foglio3!DN72=100000,"",Foglio3!DQ72)</f>
        <v>1</v>
      </c>
      <c r="JV99" s="272">
        <f ca="1">IF(JU99="","",Foglio3!DR72)</f>
        <v>0</v>
      </c>
      <c r="JW99" s="272">
        <f ca="1">IF(Foglio3!DN72=100000,"",Foglio3!DS72)</f>
        <v>23567.01</v>
      </c>
      <c r="JX99" s="272">
        <f ca="1">IF(Foglio3!DN72=100000,"",Foglio3!DT72)</f>
        <v>21437.23</v>
      </c>
      <c r="JY99" s="272">
        <f ca="1">IF(Foglio3!DN72=100000,"",Foglio3!DU72)</f>
        <v>1.7</v>
      </c>
      <c r="JZ99" s="272" t="str">
        <f ca="1">IF(Foglio3!DN72=100000,"",Foglio3!DV72)</f>
        <v>9/14 anni</v>
      </c>
    </row>
    <row r="100" spans="5:286" x14ac:dyDescent="0.25">
      <c r="E100" s="240" t="str">
        <f>Foglio3!F80</f>
        <v/>
      </c>
      <c r="F100" s="240" t="str">
        <f>Foglio3!G80</f>
        <v/>
      </c>
      <c r="G100" s="244"/>
      <c r="H100" s="245">
        <f t="shared" si="20"/>
        <v>0</v>
      </c>
      <c r="I100" s="245">
        <f t="shared" si="2"/>
        <v>0</v>
      </c>
      <c r="J100" s="244"/>
      <c r="K100" s="244"/>
      <c r="Q100">
        <f t="shared" si="154"/>
        <v>1</v>
      </c>
      <c r="R100">
        <f t="shared" si="155"/>
        <v>1</v>
      </c>
      <c r="S100">
        <f t="shared" si="156"/>
        <v>0</v>
      </c>
      <c r="T100">
        <f t="shared" si="157"/>
        <v>0</v>
      </c>
      <c r="U100">
        <f t="shared" si="158"/>
        <v>1</v>
      </c>
      <c r="W100">
        <f t="shared" si="159"/>
        <v>7</v>
      </c>
      <c r="X100">
        <f t="shared" si="160"/>
        <v>153</v>
      </c>
      <c r="Y100">
        <f t="shared" si="161"/>
        <v>369</v>
      </c>
      <c r="AA100" s="112" t="e">
        <f t="shared" si="91"/>
        <v>#VALUE!</v>
      </c>
      <c r="AB100" s="112" t="e">
        <f t="shared" si="92"/>
        <v>#VALUE!</v>
      </c>
      <c r="AG100">
        <f t="shared" si="22"/>
        <v>1</v>
      </c>
      <c r="AH100" s="112">
        <f t="shared" si="93"/>
        <v>0</v>
      </c>
      <c r="AI100" s="112">
        <f t="shared" si="94"/>
        <v>0</v>
      </c>
      <c r="CG100" t="e">
        <f t="shared" si="182"/>
        <v>#VALUE!</v>
      </c>
      <c r="CH100" t="e">
        <f t="shared" si="183"/>
        <v>#VALUE!</v>
      </c>
      <c r="CJ100" t="e">
        <f t="shared" si="184"/>
        <v>#VALUE!</v>
      </c>
      <c r="CK100" t="e">
        <f t="shared" si="185"/>
        <v>#VALUE!</v>
      </c>
      <c r="CL100" t="e">
        <f t="shared" si="186"/>
        <v>#VALUE!</v>
      </c>
      <c r="CN100" t="e">
        <f t="shared" si="187"/>
        <v>#VALUE!</v>
      </c>
      <c r="CS100">
        <f t="shared" si="178"/>
        <v>1</v>
      </c>
      <c r="CT100">
        <f t="shared" si="179"/>
        <v>0</v>
      </c>
      <c r="CU100" s="243">
        <f t="shared" si="30"/>
        <v>0</v>
      </c>
      <c r="CV100" s="112">
        <f t="shared" si="180"/>
        <v>0</v>
      </c>
      <c r="CX100" s="112">
        <f t="shared" si="149"/>
        <v>100000</v>
      </c>
      <c r="CY100" s="112">
        <f t="shared" si="105"/>
        <v>100000</v>
      </c>
      <c r="CZ100" s="112">
        <f t="shared" si="106"/>
        <v>100000</v>
      </c>
      <c r="DA100" s="112">
        <f t="shared" si="107"/>
        <v>100000</v>
      </c>
      <c r="DB100" s="112">
        <f t="shared" si="108"/>
        <v>100000</v>
      </c>
      <c r="DC100" s="112">
        <f t="shared" si="109"/>
        <v>100000</v>
      </c>
      <c r="DU100" s="112"/>
      <c r="DV100" s="112"/>
      <c r="EF100" s="253"/>
      <c r="EK100" s="254"/>
      <c r="EU100" s="253"/>
      <c r="EW100" s="253"/>
      <c r="EX100" s="238"/>
      <c r="FQ100" s="254"/>
      <c r="GQ100" s="263" t="e">
        <f t="shared" si="56"/>
        <v>#N/A</v>
      </c>
      <c r="HN100" s="263" t="str">
        <f>IF($GD100&gt;0,HL100,  IF(HO99=0,"",        $HR$39))</f>
        <v/>
      </c>
      <c r="HW100" s="253" t="s">
        <v>187</v>
      </c>
      <c r="HX100" s="112" t="e">
        <f t="shared" si="76"/>
        <v>#VALUE!</v>
      </c>
      <c r="HY100" t="s">
        <v>188</v>
      </c>
      <c r="HZ100" s="112" t="e">
        <f t="shared" si="77"/>
        <v>#VALUE!</v>
      </c>
      <c r="IA100" t="s">
        <v>189</v>
      </c>
      <c r="IB100">
        <f t="shared" si="78"/>
        <v>0</v>
      </c>
      <c r="IC100" t="s">
        <v>192</v>
      </c>
      <c r="ID100">
        <f t="shared" si="79"/>
        <v>0</v>
      </c>
      <c r="IE100" t="s">
        <v>191</v>
      </c>
      <c r="IF100" s="254">
        <f t="shared" si="80"/>
        <v>1</v>
      </c>
      <c r="IK100" t="str">
        <f t="shared" si="167"/>
        <v/>
      </c>
      <c r="IV100" t="str">
        <f>CONCATENATE(IK100,IK101,IK102,IK103,IK104,IK105,IK106,IK107,IK108,IK109,IK110,IK111,IK112,IK113,IK114,I605,IK116,IK117,IK118,IK119,)</f>
        <v/>
      </c>
      <c r="JP100">
        <f ca="1">IF(Foglio3!DM73=100000,0,IF(Foglio3!DM73="",0,1))</f>
        <v>1</v>
      </c>
      <c r="JQ100" s="314">
        <f ca="1" xml:space="preserve">   IF(JP100=1,     Foglio3!DM73,IF(JP100=0,IF(JP99=1,"","")))</f>
        <v>40802</v>
      </c>
      <c r="JR100" s="314">
        <f ca="1">IF(          Foglio3!DN73=100000,"",Foglio3!DN73)</f>
        <v>41090</v>
      </c>
      <c r="JS100" s="272">
        <f ca="1">IF(Foglio3!DN73=100000,"",Foglio3!DO73)</f>
        <v>18</v>
      </c>
      <c r="JT100" s="272">
        <f ca="1">IF(Foglio3!DN73=100000,"",Foglio3!DP73)</f>
        <v>24</v>
      </c>
      <c r="JU100" s="272">
        <f ca="1">IF(Foglio3!DN73=100000,"",Foglio3!DQ73)</f>
        <v>289</v>
      </c>
      <c r="JV100" s="272">
        <f ca="1">IF(JU100="","",Foglio3!DR73)</f>
        <v>0</v>
      </c>
      <c r="JW100" s="272">
        <f ca="1">IF(Foglio3!DN73=100000,"",Foglio3!DS73)</f>
        <v>23567.01</v>
      </c>
      <c r="JX100" s="272">
        <f ca="1">IF(Foglio3!DN73=100000,"",Foglio3!DT73)</f>
        <v>21437.23</v>
      </c>
      <c r="JY100" s="272">
        <f ca="1">IF(Foglio3!DN73=100000,"",Foglio3!DU73)</f>
        <v>1264.74</v>
      </c>
      <c r="JZ100" s="272" t="str">
        <f ca="1">IF(Foglio3!DN73=100000,"",Foglio3!DV73)</f>
        <v>9/14 anni</v>
      </c>
    </row>
    <row r="101" spans="5:286" x14ac:dyDescent="0.25">
      <c r="E101" s="240" t="str">
        <f>Foglio3!F81</f>
        <v/>
      </c>
      <c r="F101" s="240" t="str">
        <f>Foglio3!G81</f>
        <v/>
      </c>
      <c r="G101" s="244"/>
      <c r="H101" s="245">
        <f t="shared" si="20"/>
        <v>0</v>
      </c>
      <c r="I101" s="245">
        <f t="shared" si="2"/>
        <v>0</v>
      </c>
      <c r="J101" s="244"/>
      <c r="K101" s="244"/>
      <c r="Q101">
        <f t="shared" si="154"/>
        <v>1</v>
      </c>
      <c r="R101">
        <f t="shared" si="155"/>
        <v>1</v>
      </c>
      <c r="S101">
        <f t="shared" si="156"/>
        <v>0</v>
      </c>
      <c r="T101">
        <f t="shared" si="157"/>
        <v>0</v>
      </c>
      <c r="U101">
        <f t="shared" si="158"/>
        <v>1</v>
      </c>
      <c r="W101">
        <f t="shared" si="159"/>
        <v>7</v>
      </c>
      <c r="X101">
        <f t="shared" si="160"/>
        <v>153</v>
      </c>
      <c r="Y101">
        <f t="shared" si="161"/>
        <v>370</v>
      </c>
      <c r="AA101" s="112" t="e">
        <f t="shared" si="91"/>
        <v>#VALUE!</v>
      </c>
      <c r="AB101" s="112" t="e">
        <f t="shared" si="92"/>
        <v>#VALUE!</v>
      </c>
      <c r="AG101">
        <f t="shared" si="22"/>
        <v>1</v>
      </c>
      <c r="AH101" s="112">
        <f t="shared" si="93"/>
        <v>0</v>
      </c>
      <c r="AI101" s="112">
        <f t="shared" si="94"/>
        <v>0</v>
      </c>
      <c r="CG101" t="e">
        <f t="shared" si="182"/>
        <v>#VALUE!</v>
      </c>
      <c r="CH101" t="e">
        <f t="shared" si="183"/>
        <v>#VALUE!</v>
      </c>
      <c r="CJ101" t="e">
        <f t="shared" si="184"/>
        <v>#VALUE!</v>
      </c>
      <c r="CK101" t="e">
        <f t="shared" si="185"/>
        <v>#VALUE!</v>
      </c>
      <c r="CL101" t="e">
        <f t="shared" si="186"/>
        <v>#VALUE!</v>
      </c>
      <c r="CN101" t="e">
        <f t="shared" si="187"/>
        <v>#VALUE!</v>
      </c>
      <c r="CS101">
        <f t="shared" si="178"/>
        <v>1</v>
      </c>
      <c r="CT101">
        <f t="shared" si="179"/>
        <v>0</v>
      </c>
      <c r="CU101" s="243">
        <f t="shared" si="30"/>
        <v>0</v>
      </c>
      <c r="CV101" s="112">
        <f t="shared" si="180"/>
        <v>0</v>
      </c>
      <c r="CX101" s="112">
        <f t="shared" si="149"/>
        <v>100000</v>
      </c>
      <c r="CY101" s="112">
        <f t="shared" si="105"/>
        <v>100000</v>
      </c>
      <c r="CZ101" s="112">
        <f t="shared" si="106"/>
        <v>100000</v>
      </c>
      <c r="DA101" s="112">
        <f t="shared" si="107"/>
        <v>100000</v>
      </c>
      <c r="DB101" s="112">
        <f t="shared" si="108"/>
        <v>100000</v>
      </c>
      <c r="DC101" s="112">
        <f t="shared" si="109"/>
        <v>100000</v>
      </c>
      <c r="DU101" s="112"/>
      <c r="DV101" s="112"/>
      <c r="EF101" s="253"/>
      <c r="EK101" s="254"/>
      <c r="EU101" s="253"/>
      <c r="EW101" s="253"/>
      <c r="EX101" s="238"/>
      <c r="FQ101" s="254"/>
      <c r="GQ101" s="263" t="e">
        <f t="shared" si="56"/>
        <v>#N/A</v>
      </c>
      <c r="HN101" s="263" t="str">
        <f>IF($GD101&gt;0,HL101,  IF(HO100=0,"",        $HR$39))</f>
        <v/>
      </c>
      <c r="HW101" s="253" t="s">
        <v>187</v>
      </c>
      <c r="HX101" s="112" t="e">
        <f t="shared" si="76"/>
        <v>#VALUE!</v>
      </c>
      <c r="HY101" t="s">
        <v>188</v>
      </c>
      <c r="HZ101" s="112" t="e">
        <f t="shared" si="77"/>
        <v>#VALUE!</v>
      </c>
      <c r="IA101" t="s">
        <v>189</v>
      </c>
      <c r="IB101">
        <f t="shared" si="78"/>
        <v>0</v>
      </c>
      <c r="IC101" t="s">
        <v>192</v>
      </c>
      <c r="ID101">
        <f t="shared" si="79"/>
        <v>0</v>
      </c>
      <c r="IE101" t="s">
        <v>191</v>
      </c>
      <c r="IF101" s="254">
        <f t="shared" si="80"/>
        <v>1</v>
      </c>
      <c r="IK101" t="str">
        <f t="shared" si="167"/>
        <v/>
      </c>
      <c r="JP101">
        <f ca="1">IF(Foglio3!DM74=100000,0,IF(Foglio3!DM74="",0,1))</f>
        <v>1</v>
      </c>
      <c r="JQ101" s="314">
        <f ca="1" xml:space="preserve">   IF(JP101=1,     Foglio3!DM74,IF(JP101=0,IF(JP100=1,"","")))</f>
        <v>41171</v>
      </c>
      <c r="JR101" s="314">
        <f ca="1">IF(          Foglio3!DN74=100000,"",Foglio3!DN74)</f>
        <v>41471</v>
      </c>
      <c r="JS101" s="272">
        <f ca="1">IF(Foglio3!DN74=100000,"",Foglio3!DO74)</f>
        <v>7</v>
      </c>
      <c r="JT101" s="272">
        <f ca="1">IF(Foglio3!DN74=100000,"",Foglio3!DP74)</f>
        <v>24</v>
      </c>
      <c r="JU101" s="272">
        <f ca="1">IF(Foglio3!DN74=100000,"",Foglio3!DQ74)</f>
        <v>301</v>
      </c>
      <c r="JV101" s="272">
        <f ca="1">IF(JU101="","",Foglio3!DR74)</f>
        <v>0</v>
      </c>
      <c r="JW101" s="272">
        <f ca="1">IF(Foglio3!DN74=100000,"",Foglio3!DS74)</f>
        <v>23567.01</v>
      </c>
      <c r="JX101" s="272">
        <f ca="1">IF(Foglio3!DN74=100000,"",Foglio3!DT74)</f>
        <v>21437.23</v>
      </c>
      <c r="JY101" s="272">
        <f ca="1">IF(Foglio3!DN74=100000,"",Foglio3!DU74)</f>
        <v>512.27</v>
      </c>
      <c r="JZ101" s="272" t="str">
        <f ca="1">IF(Foglio3!DN74=100000,"",Foglio3!DV74)</f>
        <v>9/14 anni</v>
      </c>
    </row>
    <row r="102" spans="5:286" x14ac:dyDescent="0.25">
      <c r="E102" s="240" t="str">
        <f>Foglio3!F82</f>
        <v/>
      </c>
      <c r="F102" s="240" t="str">
        <f>Foglio3!G82</f>
        <v/>
      </c>
      <c r="G102" s="244"/>
      <c r="H102" s="245">
        <f t="shared" si="20"/>
        <v>0</v>
      </c>
      <c r="I102" s="245">
        <f t="shared" si="2"/>
        <v>0</v>
      </c>
      <c r="J102" s="244"/>
      <c r="K102" s="244"/>
      <c r="Q102">
        <f t="shared" si="154"/>
        <v>1</v>
      </c>
      <c r="R102">
        <f t="shared" si="155"/>
        <v>1</v>
      </c>
      <c r="S102">
        <f t="shared" si="156"/>
        <v>0</v>
      </c>
      <c r="T102">
        <f t="shared" si="157"/>
        <v>0</v>
      </c>
      <c r="U102">
        <f t="shared" si="158"/>
        <v>1</v>
      </c>
      <c r="W102">
        <f t="shared" si="159"/>
        <v>7</v>
      </c>
      <c r="X102">
        <f t="shared" si="160"/>
        <v>153</v>
      </c>
      <c r="Y102">
        <f t="shared" si="161"/>
        <v>371</v>
      </c>
      <c r="AA102" s="112" t="e">
        <f t="shared" si="91"/>
        <v>#VALUE!</v>
      </c>
      <c r="AB102" s="112" t="e">
        <f t="shared" si="92"/>
        <v>#VALUE!</v>
      </c>
      <c r="AG102">
        <f t="shared" si="22"/>
        <v>1</v>
      </c>
      <c r="AH102" s="112">
        <f t="shared" si="93"/>
        <v>0</v>
      </c>
      <c r="AI102" s="112">
        <f t="shared" si="94"/>
        <v>0</v>
      </c>
      <c r="CG102" t="e">
        <f t="shared" si="182"/>
        <v>#VALUE!</v>
      </c>
      <c r="CH102" t="e">
        <f t="shared" si="183"/>
        <v>#VALUE!</v>
      </c>
      <c r="CJ102" t="e">
        <f t="shared" si="184"/>
        <v>#VALUE!</v>
      </c>
      <c r="CK102" t="e">
        <f t="shared" si="185"/>
        <v>#VALUE!</v>
      </c>
      <c r="CL102" t="e">
        <f t="shared" si="186"/>
        <v>#VALUE!</v>
      </c>
      <c r="CN102" t="e">
        <f t="shared" si="187"/>
        <v>#VALUE!</v>
      </c>
      <c r="CS102">
        <f t="shared" si="178"/>
        <v>1</v>
      </c>
      <c r="CT102">
        <f t="shared" si="179"/>
        <v>0</v>
      </c>
      <c r="CU102" s="243">
        <f t="shared" si="30"/>
        <v>0</v>
      </c>
      <c r="CV102" s="112">
        <f t="shared" si="180"/>
        <v>0</v>
      </c>
      <c r="CX102" s="112">
        <f t="shared" si="149"/>
        <v>100000</v>
      </c>
      <c r="CY102" s="112">
        <f t="shared" si="105"/>
        <v>100000</v>
      </c>
      <c r="CZ102" s="112">
        <f t="shared" si="106"/>
        <v>100000</v>
      </c>
      <c r="DA102" s="112">
        <f t="shared" si="107"/>
        <v>100000</v>
      </c>
      <c r="DB102" s="112">
        <f t="shared" si="108"/>
        <v>100000</v>
      </c>
      <c r="DC102" s="112">
        <f t="shared" si="109"/>
        <v>100000</v>
      </c>
      <c r="DU102" s="112"/>
      <c r="DV102" s="112"/>
      <c r="EF102" s="253"/>
      <c r="EK102" s="254"/>
      <c r="EU102" s="253"/>
      <c r="EW102" s="253"/>
      <c r="EX102" s="238"/>
      <c r="FQ102" s="254"/>
      <c r="GQ102" s="263" t="e">
        <f t="shared" si="56"/>
        <v>#N/A</v>
      </c>
      <c r="HW102" s="253" t="s">
        <v>187</v>
      </c>
      <c r="HX102" s="112" t="e">
        <f t="shared" si="76"/>
        <v>#VALUE!</v>
      </c>
      <c r="HY102" t="s">
        <v>188</v>
      </c>
      <c r="HZ102" s="112" t="e">
        <f t="shared" si="77"/>
        <v>#VALUE!</v>
      </c>
      <c r="IA102" t="s">
        <v>189</v>
      </c>
      <c r="IB102">
        <f t="shared" si="78"/>
        <v>0</v>
      </c>
      <c r="IC102" t="s">
        <v>192</v>
      </c>
      <c r="ID102">
        <f t="shared" si="79"/>
        <v>0</v>
      </c>
      <c r="IE102" t="s">
        <v>191</v>
      </c>
      <c r="IF102" s="254">
        <f t="shared" si="80"/>
        <v>1</v>
      </c>
      <c r="IK102" t="str">
        <f t="shared" si="167"/>
        <v/>
      </c>
      <c r="JP102">
        <f ca="1">IF(Foglio3!DM75=100000,0,IF(Foglio3!DM75="",0,1))</f>
        <v>1</v>
      </c>
      <c r="JQ102" s="314">
        <f ca="1" xml:space="preserve">   IF(JP102=1,     Foglio3!DM75,IF(JP102=0,IF(JP101=1,"","")))</f>
        <v>41178</v>
      </c>
      <c r="JR102" s="314">
        <f ca="1">IF(          Foglio3!DN75=100000,"",Foglio3!DN75)</f>
        <v>41471</v>
      </c>
      <c r="JS102" s="272">
        <f ca="1">IF(Foglio3!DN75=100000,"",Foglio3!DO75)</f>
        <v>5</v>
      </c>
      <c r="JT102" s="272">
        <f ca="1">IF(Foglio3!DN75=100000,"",Foglio3!DP75)</f>
        <v>24</v>
      </c>
      <c r="JU102" s="272">
        <f ca="1">IF(Foglio3!DN75=100000,"",Foglio3!DQ75)</f>
        <v>294</v>
      </c>
      <c r="JV102" s="272">
        <f ca="1">IF(JU102="","",Foglio3!DR75)</f>
        <v>0</v>
      </c>
      <c r="JW102" s="272">
        <f ca="1">IF(Foglio3!DN75=100000,"",Foglio3!DS75)</f>
        <v>23567.01</v>
      </c>
      <c r="JX102" s="272">
        <f ca="1">IF(Foglio3!DN75=100000,"",Foglio3!DT75)</f>
        <v>21437.23</v>
      </c>
      <c r="JY102" s="272">
        <f ca="1">IF(Foglio3!DN75=100000,"",Foglio3!DU75)</f>
        <v>357.39</v>
      </c>
      <c r="JZ102" s="272" t="str">
        <f ca="1">IF(Foglio3!DN75=100000,"",Foglio3!DV75)</f>
        <v>9/14 anni</v>
      </c>
    </row>
    <row r="103" spans="5:286" x14ac:dyDescent="0.25">
      <c r="E103" s="240" t="str">
        <f>Foglio3!F83</f>
        <v/>
      </c>
      <c r="F103" s="240" t="str">
        <f>Foglio3!G83</f>
        <v/>
      </c>
      <c r="G103" s="244"/>
      <c r="H103" s="245">
        <f t="shared" si="20"/>
        <v>0</v>
      </c>
      <c r="I103" s="245">
        <f t="shared" si="2"/>
        <v>0</v>
      </c>
      <c r="J103" s="244"/>
      <c r="K103" s="244"/>
      <c r="Q103">
        <f t="shared" si="154"/>
        <v>1</v>
      </c>
      <c r="R103">
        <f t="shared" si="155"/>
        <v>1</v>
      </c>
      <c r="S103">
        <f t="shared" si="156"/>
        <v>0</v>
      </c>
      <c r="T103">
        <f t="shared" si="157"/>
        <v>0</v>
      </c>
      <c r="U103">
        <f t="shared" si="158"/>
        <v>1</v>
      </c>
      <c r="W103">
        <f t="shared" si="159"/>
        <v>7</v>
      </c>
      <c r="X103">
        <f t="shared" si="160"/>
        <v>153</v>
      </c>
      <c r="Y103">
        <f t="shared" si="161"/>
        <v>372</v>
      </c>
      <c r="AA103" s="112" t="e">
        <f t="shared" si="91"/>
        <v>#VALUE!</v>
      </c>
      <c r="AB103" s="112" t="e">
        <f t="shared" si="92"/>
        <v>#VALUE!</v>
      </c>
      <c r="AG103">
        <f t="shared" si="22"/>
        <v>1</v>
      </c>
      <c r="AH103" s="112">
        <f t="shared" si="93"/>
        <v>0</v>
      </c>
      <c r="AI103" s="112">
        <f t="shared" si="94"/>
        <v>0</v>
      </c>
      <c r="CG103" t="e">
        <f t="shared" si="182"/>
        <v>#VALUE!</v>
      </c>
      <c r="CH103" t="e">
        <f t="shared" si="183"/>
        <v>#VALUE!</v>
      </c>
      <c r="CJ103" t="e">
        <f t="shared" si="184"/>
        <v>#VALUE!</v>
      </c>
      <c r="CK103" t="e">
        <f t="shared" si="185"/>
        <v>#VALUE!</v>
      </c>
      <c r="CL103" t="e">
        <f t="shared" si="186"/>
        <v>#VALUE!</v>
      </c>
      <c r="CN103" t="e">
        <f t="shared" si="187"/>
        <v>#VALUE!</v>
      </c>
      <c r="CS103">
        <f t="shared" si="178"/>
        <v>1</v>
      </c>
      <c r="CT103">
        <f t="shared" si="179"/>
        <v>0</v>
      </c>
      <c r="CU103" s="243">
        <f t="shared" si="30"/>
        <v>0</v>
      </c>
      <c r="CV103" s="112">
        <f t="shared" si="180"/>
        <v>0</v>
      </c>
      <c r="CX103" s="112">
        <f t="shared" si="149"/>
        <v>100000</v>
      </c>
      <c r="CY103" s="112">
        <f t="shared" si="105"/>
        <v>100000</v>
      </c>
      <c r="CZ103" s="112">
        <f t="shared" si="106"/>
        <v>100000</v>
      </c>
      <c r="DA103" s="112">
        <f t="shared" si="107"/>
        <v>100000</v>
      </c>
      <c r="DB103" s="112">
        <f t="shared" si="108"/>
        <v>100000</v>
      </c>
      <c r="DC103" s="112">
        <f t="shared" si="109"/>
        <v>100000</v>
      </c>
      <c r="DU103" s="112"/>
      <c r="DV103" s="112"/>
      <c r="EF103" s="253"/>
      <c r="EK103" s="254"/>
      <c r="EU103" s="253"/>
      <c r="EW103" s="253"/>
      <c r="EX103" s="238"/>
      <c r="FQ103" s="254"/>
      <c r="GQ103" s="263" t="e">
        <f t="shared" si="56"/>
        <v>#N/A</v>
      </c>
      <c r="HW103" s="253" t="s">
        <v>187</v>
      </c>
      <c r="HX103" s="112" t="e">
        <f t="shared" si="76"/>
        <v>#VALUE!</v>
      </c>
      <c r="HY103" t="s">
        <v>188</v>
      </c>
      <c r="HZ103" s="112" t="e">
        <f t="shared" si="77"/>
        <v>#VALUE!</v>
      </c>
      <c r="IA103" t="s">
        <v>189</v>
      </c>
      <c r="IB103">
        <f t="shared" si="78"/>
        <v>0</v>
      </c>
      <c r="IC103" t="s">
        <v>192</v>
      </c>
      <c r="ID103">
        <f t="shared" si="79"/>
        <v>0</v>
      </c>
      <c r="IE103" t="s">
        <v>191</v>
      </c>
      <c r="IF103" s="254">
        <f t="shared" si="80"/>
        <v>1</v>
      </c>
      <c r="IK103" t="str">
        <f t="shared" si="167"/>
        <v/>
      </c>
      <c r="JP103">
        <f ca="1">IF(Foglio3!DM76=100000,0,IF(Foglio3!DM76="",0,1))</f>
        <v>1</v>
      </c>
      <c r="JQ103" s="314">
        <f ca="1" xml:space="preserve">   IF(JP103=1,     Foglio3!DM76,IF(JP103=0,IF(JP102=1,"","")))</f>
        <v>41184</v>
      </c>
      <c r="JR103" s="314">
        <f ca="1">IF(          Foglio3!DN76=100000,"",Foglio3!DN76)</f>
        <v>41196</v>
      </c>
      <c r="JS103" s="272">
        <f ca="1">IF(Foglio3!DN76=100000,"",Foglio3!DO76)</f>
        <v>6</v>
      </c>
      <c r="JT103" s="272">
        <f ca="1">IF(Foglio3!DN76=100000,"",Foglio3!DP76)</f>
        <v>24</v>
      </c>
      <c r="JU103" s="272">
        <f ca="1">IF(Foglio3!DN76=100000,"",Foglio3!DQ76)</f>
        <v>13</v>
      </c>
      <c r="JV103" s="272">
        <f ca="1">IF(JU103="","",Foglio3!DR76)</f>
        <v>0</v>
      </c>
      <c r="JW103" s="272">
        <f ca="1">IF(Foglio3!DN76=100000,"",Foglio3!DS76)</f>
        <v>23567.01</v>
      </c>
      <c r="JX103" s="272">
        <f ca="1">IF(Foglio3!DN76=100000,"",Foglio3!DT76)</f>
        <v>21437.23</v>
      </c>
      <c r="JY103" s="272">
        <f ca="1">IF(Foglio3!DN76=100000,"",Foglio3!DU76)</f>
        <v>18.96</v>
      </c>
      <c r="JZ103" s="272" t="str">
        <f ca="1">IF(Foglio3!DN76=100000,"",Foglio3!DV76)</f>
        <v>9/14 anni</v>
      </c>
    </row>
    <row r="104" spans="5:286" x14ac:dyDescent="0.25">
      <c r="E104" s="240" t="str">
        <f>Foglio3!F84</f>
        <v/>
      </c>
      <c r="F104" s="240" t="str">
        <f>Foglio3!G84</f>
        <v/>
      </c>
      <c r="G104" s="244"/>
      <c r="H104" s="245">
        <f t="shared" si="20"/>
        <v>0</v>
      </c>
      <c r="I104" s="245">
        <f t="shared" ref="I104:I131" si="188">AI104</f>
        <v>0</v>
      </c>
      <c r="J104" s="244"/>
      <c r="K104" s="244"/>
      <c r="Q104">
        <f t="shared" si="154"/>
        <v>1</v>
      </c>
      <c r="R104">
        <f t="shared" si="155"/>
        <v>1</v>
      </c>
      <c r="S104">
        <f t="shared" si="156"/>
        <v>0</v>
      </c>
      <c r="T104">
        <f t="shared" si="157"/>
        <v>0</v>
      </c>
      <c r="U104">
        <f t="shared" si="158"/>
        <v>1</v>
      </c>
      <c r="W104">
        <f t="shared" si="159"/>
        <v>7</v>
      </c>
      <c r="X104">
        <f t="shared" si="160"/>
        <v>153</v>
      </c>
      <c r="Y104">
        <f t="shared" si="161"/>
        <v>373</v>
      </c>
      <c r="AA104" s="112" t="e">
        <f t="shared" si="91"/>
        <v>#VALUE!</v>
      </c>
      <c r="AB104" s="112" t="e">
        <f t="shared" si="92"/>
        <v>#VALUE!</v>
      </c>
      <c r="AG104">
        <f t="shared" si="22"/>
        <v>1</v>
      </c>
      <c r="AH104" s="112">
        <f t="shared" si="93"/>
        <v>0</v>
      </c>
      <c r="AI104" s="112">
        <f t="shared" si="94"/>
        <v>0</v>
      </c>
      <c r="CG104" t="e">
        <f t="shared" si="182"/>
        <v>#VALUE!</v>
      </c>
      <c r="CH104" t="e">
        <f t="shared" si="183"/>
        <v>#VALUE!</v>
      </c>
      <c r="CJ104" t="e">
        <f t="shared" si="184"/>
        <v>#VALUE!</v>
      </c>
      <c r="CK104" t="e">
        <f t="shared" si="185"/>
        <v>#VALUE!</v>
      </c>
      <c r="CL104" t="e">
        <f t="shared" si="186"/>
        <v>#VALUE!</v>
      </c>
      <c r="CN104" t="e">
        <f t="shared" si="187"/>
        <v>#VALUE!</v>
      </c>
      <c r="CS104">
        <f t="shared" si="178"/>
        <v>1</v>
      </c>
      <c r="CT104">
        <f t="shared" si="179"/>
        <v>0</v>
      </c>
      <c r="CU104" s="243">
        <f t="shared" si="30"/>
        <v>0</v>
      </c>
      <c r="CV104" s="112">
        <f t="shared" si="180"/>
        <v>0</v>
      </c>
      <c r="CX104" s="112">
        <f t="shared" si="149"/>
        <v>100000</v>
      </c>
      <c r="CY104" s="112">
        <f t="shared" si="105"/>
        <v>100000</v>
      </c>
      <c r="CZ104" s="112">
        <f t="shared" si="106"/>
        <v>100000</v>
      </c>
      <c r="DA104" s="112">
        <f t="shared" si="107"/>
        <v>100000</v>
      </c>
      <c r="DB104" s="112">
        <f t="shared" si="108"/>
        <v>100000</v>
      </c>
      <c r="DC104" s="112">
        <f t="shared" si="109"/>
        <v>100000</v>
      </c>
      <c r="DU104" s="112"/>
      <c r="DV104" s="112"/>
      <c r="EF104" s="253"/>
      <c r="EK104" s="254"/>
      <c r="EU104" s="253"/>
      <c r="EW104" s="253"/>
      <c r="EX104" s="238"/>
      <c r="FQ104" s="254"/>
      <c r="GQ104" s="263" t="e">
        <f t="shared" si="56"/>
        <v>#N/A</v>
      </c>
      <c r="HW104" s="253" t="s">
        <v>187</v>
      </c>
      <c r="HX104" s="112" t="e">
        <f t="shared" si="76"/>
        <v>#VALUE!</v>
      </c>
      <c r="HY104" t="s">
        <v>188</v>
      </c>
      <c r="HZ104" s="112" t="e">
        <f t="shared" si="77"/>
        <v>#VALUE!</v>
      </c>
      <c r="IA104" t="s">
        <v>189</v>
      </c>
      <c r="IB104">
        <f t="shared" si="78"/>
        <v>0</v>
      </c>
      <c r="IC104" t="s">
        <v>192</v>
      </c>
      <c r="ID104">
        <f t="shared" si="79"/>
        <v>0</v>
      </c>
      <c r="IE104" t="s">
        <v>191</v>
      </c>
      <c r="IF104" s="254">
        <f t="shared" si="80"/>
        <v>1</v>
      </c>
      <c r="IK104" t="str">
        <f t="shared" si="167"/>
        <v/>
      </c>
      <c r="JP104">
        <f ca="1">IF(Foglio3!DM77=100000,0,IF(Foglio3!DM77="",0,1))</f>
        <v>1</v>
      </c>
      <c r="JQ104" s="314">
        <f ca="1" xml:space="preserve">   IF(JP104=1,     Foglio3!DM77,IF(JP104=0,IF(JP103=1,"","")))</f>
        <v>41197</v>
      </c>
      <c r="JR104" s="314">
        <f ca="1">IF(          Foglio3!DN77=100000,"",Foglio3!DN77)</f>
        <v>41239</v>
      </c>
      <c r="JS104" s="272">
        <f ca="1">IF(Foglio3!DN77=100000,"",Foglio3!DO77)</f>
        <v>6</v>
      </c>
      <c r="JT104" s="272">
        <f ca="1">IF(Foglio3!DN77=100000,"",Foglio3!DP77)</f>
        <v>24</v>
      </c>
      <c r="JU104" s="272">
        <f ca="1">IF(Foglio3!DN77=100000,"",Foglio3!DQ77)</f>
        <v>43</v>
      </c>
      <c r="JV104" s="272">
        <f ca="1">IF(JU104="","",Foglio3!DR77)</f>
        <v>0</v>
      </c>
      <c r="JW104" s="272">
        <f ca="1">IF(Foglio3!DN77=100000,"",Foglio3!DS77)</f>
        <v>23567.01</v>
      </c>
      <c r="JX104" s="272">
        <f ca="1">IF(Foglio3!DN77=100000,"",Foglio3!DT77)</f>
        <v>21437.23</v>
      </c>
      <c r="JY104" s="272">
        <f ca="1">IF(Foglio3!DN77=100000,"",Foglio3!DU77)</f>
        <v>62.73</v>
      </c>
      <c r="JZ104" s="272" t="str">
        <f ca="1">IF(Foglio3!DN77=100000,"",Foglio3!DV77)</f>
        <v>9/14 anni</v>
      </c>
    </row>
    <row r="105" spans="5:286" x14ac:dyDescent="0.25">
      <c r="E105" s="240" t="str">
        <f>Foglio3!F85</f>
        <v/>
      </c>
      <c r="F105" s="240" t="str">
        <f>Foglio3!G85</f>
        <v/>
      </c>
      <c r="G105" s="244"/>
      <c r="H105" s="245">
        <f t="shared" ref="H105:H131" si="189">AH105</f>
        <v>0</v>
      </c>
      <c r="I105" s="245">
        <f t="shared" si="188"/>
        <v>0</v>
      </c>
      <c r="J105" s="244"/>
      <c r="K105" s="244"/>
      <c r="Q105">
        <f t="shared" si="154"/>
        <v>1</v>
      </c>
      <c r="R105">
        <f t="shared" si="155"/>
        <v>1</v>
      </c>
      <c r="S105">
        <f t="shared" si="156"/>
        <v>0</v>
      </c>
      <c r="T105">
        <f t="shared" si="157"/>
        <v>0</v>
      </c>
      <c r="U105">
        <f t="shared" si="158"/>
        <v>1</v>
      </c>
      <c r="W105">
        <f t="shared" si="159"/>
        <v>7</v>
      </c>
      <c r="X105">
        <f t="shared" si="160"/>
        <v>153</v>
      </c>
      <c r="Y105">
        <f t="shared" si="161"/>
        <v>374</v>
      </c>
      <c r="AA105" s="112" t="e">
        <f t="shared" si="91"/>
        <v>#VALUE!</v>
      </c>
      <c r="AB105" s="112" t="e">
        <f t="shared" si="92"/>
        <v>#VALUE!</v>
      </c>
      <c r="AG105">
        <f t="shared" ref="AG105:AG119" si="190">IF(AI105&lt;AH105,0,1)</f>
        <v>1</v>
      </c>
      <c r="AH105" s="112">
        <f t="shared" si="93"/>
        <v>0</v>
      </c>
      <c r="AI105" s="112">
        <f t="shared" si="94"/>
        <v>0</v>
      </c>
      <c r="CG105" t="e">
        <f t="shared" si="182"/>
        <v>#VALUE!</v>
      </c>
      <c r="CH105" t="e">
        <f t="shared" si="183"/>
        <v>#VALUE!</v>
      </c>
      <c r="CJ105" t="e">
        <f t="shared" si="184"/>
        <v>#VALUE!</v>
      </c>
      <c r="CK105" t="e">
        <f t="shared" si="185"/>
        <v>#VALUE!</v>
      </c>
      <c r="CL105" t="e">
        <f t="shared" si="186"/>
        <v>#VALUE!</v>
      </c>
      <c r="CN105" t="e">
        <f t="shared" si="187"/>
        <v>#VALUE!</v>
      </c>
      <c r="CS105">
        <f t="shared" si="178"/>
        <v>1</v>
      </c>
      <c r="CT105">
        <f t="shared" si="179"/>
        <v>0</v>
      </c>
      <c r="CU105" s="243">
        <f t="shared" ref="CU105:CU117" si="191">IF(CV105&gt;0,CT105,0)</f>
        <v>0</v>
      </c>
      <c r="CV105" s="112">
        <f t="shared" si="180"/>
        <v>0</v>
      </c>
      <c r="CX105" s="112">
        <f t="shared" si="149"/>
        <v>100000</v>
      </c>
      <c r="CY105" s="112">
        <f t="shared" si="105"/>
        <v>100000</v>
      </c>
      <c r="CZ105" s="112">
        <f t="shared" si="106"/>
        <v>100000</v>
      </c>
      <c r="DA105" s="112">
        <f t="shared" si="107"/>
        <v>100000</v>
      </c>
      <c r="DB105" s="112">
        <f t="shared" si="108"/>
        <v>100000</v>
      </c>
      <c r="DC105" s="112">
        <f t="shared" si="109"/>
        <v>100000</v>
      </c>
      <c r="DU105" s="112"/>
      <c r="DV105" s="112"/>
      <c r="EF105" s="253"/>
      <c r="EK105" s="254"/>
      <c r="EU105" s="253"/>
      <c r="EW105" s="253"/>
      <c r="EX105" s="238"/>
      <c r="FQ105" s="254"/>
      <c r="GQ105" s="263" t="e">
        <f t="shared" ref="GQ105:GQ108" si="192">VLOOKUP(GE105,$GO$16:$GP$24,2)</f>
        <v>#N/A</v>
      </c>
      <c r="HW105" s="253" t="s">
        <v>187</v>
      </c>
      <c r="HX105" s="112" t="e">
        <f t="shared" ref="HX105:HX168" si="193">CONCATENATE(DAY(E105),"/",MONTH(E105),"/",YEAR(E105))</f>
        <v>#VALUE!</v>
      </c>
      <c r="HY105" t="s">
        <v>188</v>
      </c>
      <c r="HZ105" s="112" t="e">
        <f t="shared" ref="HZ105:HZ168" si="194">CONCATENATE(DAY(F105),"/",MONTH(F105),"/",YEAR(F105))</f>
        <v>#VALUE!</v>
      </c>
      <c r="IA105" t="s">
        <v>189</v>
      </c>
      <c r="IB105">
        <f t="shared" ref="IB105:IB168" si="195">S105</f>
        <v>0</v>
      </c>
      <c r="IC105" t="s">
        <v>192</v>
      </c>
      <c r="ID105">
        <f t="shared" ref="ID105:ID168" si="196">T105</f>
        <v>0</v>
      </c>
      <c r="IE105" t="s">
        <v>191</v>
      </c>
      <c r="IF105" s="254">
        <f t="shared" ref="IF105:IF168" si="197">U105</f>
        <v>1</v>
      </c>
      <c r="IK105" t="str">
        <f t="shared" si="167"/>
        <v/>
      </c>
      <c r="JP105">
        <f ca="1">IF(Foglio3!DM78=100000,0,IF(Foglio3!DM78="",0,1))</f>
        <v>1</v>
      </c>
      <c r="JQ105" s="314">
        <f ca="1" xml:space="preserve">   IF(JP105=1,     Foglio3!DM78,IF(JP105=0,IF(JP104=1,"","")))</f>
        <v>41240</v>
      </c>
      <c r="JR105" s="314">
        <f ca="1">IF(          Foglio3!DN78=100000,"",Foglio3!DN78)</f>
        <v>41471</v>
      </c>
      <c r="JS105" s="272">
        <f ca="1">IF(Foglio3!DN78=100000,"",Foglio3!DO78)</f>
        <v>6</v>
      </c>
      <c r="JT105" s="272">
        <f ca="1">IF(Foglio3!DN78=100000,"",Foglio3!DP78)</f>
        <v>24</v>
      </c>
      <c r="JU105" s="272">
        <f ca="1">IF(Foglio3!DN78=100000,"",Foglio3!DQ78)</f>
        <v>232</v>
      </c>
      <c r="JV105" s="272">
        <f ca="1">IF(JU105="","",Foglio3!DR78)</f>
        <v>0</v>
      </c>
      <c r="JW105" s="272">
        <f ca="1">IF(Foglio3!DN78=100000,"",Foglio3!DS78)</f>
        <v>23567.01</v>
      </c>
      <c r="JX105" s="272">
        <f ca="1">IF(Foglio3!DN78=100000,"",Foglio3!DT78)</f>
        <v>21437.23</v>
      </c>
      <c r="JY105" s="272">
        <f ca="1">IF(Foglio3!DN78=100000,"",Foglio3!DU78)</f>
        <v>338.43</v>
      </c>
      <c r="JZ105" s="272" t="str">
        <f ca="1">IF(Foglio3!DN78=100000,"",Foglio3!DV78)</f>
        <v>9/14 anni</v>
      </c>
    </row>
    <row r="106" spans="5:286" x14ac:dyDescent="0.25">
      <c r="E106" s="240" t="str">
        <f>Foglio3!F86</f>
        <v/>
      </c>
      <c r="F106" s="240" t="str">
        <f>Foglio3!G86</f>
        <v/>
      </c>
      <c r="G106" s="244"/>
      <c r="H106" s="245">
        <f t="shared" si="189"/>
        <v>0</v>
      </c>
      <c r="I106" s="245">
        <f t="shared" si="188"/>
        <v>0</v>
      </c>
      <c r="J106" s="244"/>
      <c r="K106" s="244"/>
      <c r="Q106">
        <f t="shared" si="154"/>
        <v>1</v>
      </c>
      <c r="R106">
        <f t="shared" si="155"/>
        <v>1</v>
      </c>
      <c r="S106">
        <f t="shared" si="156"/>
        <v>0</v>
      </c>
      <c r="T106">
        <f t="shared" si="157"/>
        <v>0</v>
      </c>
      <c r="U106">
        <f t="shared" si="158"/>
        <v>1</v>
      </c>
      <c r="W106">
        <f t="shared" si="159"/>
        <v>7</v>
      </c>
      <c r="X106">
        <f t="shared" si="160"/>
        <v>153</v>
      </c>
      <c r="Y106">
        <f t="shared" si="161"/>
        <v>375</v>
      </c>
      <c r="AA106" s="112" t="e">
        <f t="shared" ref="AA106:AA119" si="198">IF(AND(YEAR(E106)=$CG$38,YEAR(F106)&gt;$CG$38),"01/01/2014",E106)</f>
        <v>#VALUE!</v>
      </c>
      <c r="AB106" s="112" t="e">
        <f t="shared" ref="AB106:AB119" si="199">IF(YEAR(F106)=$CG$38,"31/12/12"*1,F106)</f>
        <v>#VALUE!</v>
      </c>
      <c r="AG106">
        <f t="shared" si="190"/>
        <v>1</v>
      </c>
      <c r="AH106" s="112">
        <f t="shared" ref="AH106:AH132" si="200" xml:space="preserve">    IF(TYPE(AA106)=16,0,               AA106*1)</f>
        <v>0</v>
      </c>
      <c r="AI106" s="112">
        <f t="shared" ref="AI106:AI132" si="201">IF(TYPE(AB106)=16,0,AB106*1)</f>
        <v>0</v>
      </c>
      <c r="CG106" t="e">
        <f t="shared" si="182"/>
        <v>#VALUE!</v>
      </c>
      <c r="CH106" t="e">
        <f t="shared" si="183"/>
        <v>#VALUE!</v>
      </c>
      <c r="CJ106" t="e">
        <f t="shared" si="184"/>
        <v>#VALUE!</v>
      </c>
      <c r="CK106" t="e">
        <f t="shared" si="185"/>
        <v>#VALUE!</v>
      </c>
      <c r="CL106" t="e">
        <f t="shared" si="186"/>
        <v>#VALUE!</v>
      </c>
      <c r="CN106" t="e">
        <f t="shared" si="187"/>
        <v>#VALUE!</v>
      </c>
      <c r="CS106">
        <f t="shared" si="178"/>
        <v>1</v>
      </c>
      <c r="CT106">
        <f t="shared" si="179"/>
        <v>0</v>
      </c>
      <c r="CU106" s="243">
        <f t="shared" si="191"/>
        <v>0</v>
      </c>
      <c r="CV106" s="112">
        <f t="shared" si="180"/>
        <v>0</v>
      </c>
      <c r="CX106" s="112">
        <f t="shared" si="149"/>
        <v>100000</v>
      </c>
      <c r="CY106" s="112">
        <f t="shared" ref="CY106:CY117" si="202">IF(                    AND( CT106&gt;=$CQ$40,CT105&lt;=$CQ$40   ),CV106-(CT106-$CQ$40),100000)</f>
        <v>100000</v>
      </c>
      <c r="CZ106" s="112">
        <f t="shared" ref="CZ106:CZ117" si="203">IF(                    AND( CT106&gt;=$CQ$41,CT105&lt;=$CQ$41   ),CV106-(CT106-$CQ$41),100000)</f>
        <v>100000</v>
      </c>
      <c r="DA106" s="112">
        <f t="shared" ref="DA106:DA117" si="204">IF(                    AND( CT106&gt;=$CQ$42,CT105&lt;=$CQ$42   ),CV106-(CT106-$CQ$42),100000)</f>
        <v>100000</v>
      </c>
      <c r="DB106" s="112">
        <f t="shared" ref="DB106:DB117" si="205">IF(                    AND( CT106&gt;=$CQ$43,CT105&lt;=$CQ$43  ),CV106-(CT106-$CQ$43),100000)</f>
        <v>100000</v>
      </c>
      <c r="DC106" s="112">
        <f t="shared" ref="DC106:DC117" si="206">IF(                    AND( CT106&gt;=$CQ$43,CT105&lt;=$CQ$43   ),CV106-(CT106-$CQ$43),100000)</f>
        <v>100000</v>
      </c>
      <c r="DU106" s="112"/>
      <c r="DV106" s="112"/>
      <c r="EF106" s="253"/>
      <c r="EK106" s="254"/>
      <c r="EU106" s="253"/>
      <c r="EW106" s="253"/>
      <c r="EX106" s="238"/>
      <c r="FQ106" s="254"/>
      <c r="GQ106" s="263" t="e">
        <f t="shared" si="192"/>
        <v>#N/A</v>
      </c>
      <c r="HW106" s="253" t="s">
        <v>187</v>
      </c>
      <c r="HX106" s="112" t="e">
        <f t="shared" si="193"/>
        <v>#VALUE!</v>
      </c>
      <c r="HY106" t="s">
        <v>188</v>
      </c>
      <c r="HZ106" s="112" t="e">
        <f t="shared" si="194"/>
        <v>#VALUE!</v>
      </c>
      <c r="IA106" t="s">
        <v>189</v>
      </c>
      <c r="IB106">
        <f t="shared" si="195"/>
        <v>0</v>
      </c>
      <c r="IC106" t="s">
        <v>192</v>
      </c>
      <c r="ID106">
        <f t="shared" si="196"/>
        <v>0</v>
      </c>
      <c r="IE106" t="s">
        <v>191</v>
      </c>
      <c r="IF106" s="254">
        <f t="shared" si="197"/>
        <v>1</v>
      </c>
      <c r="IK106" t="str">
        <f t="shared" si="167"/>
        <v/>
      </c>
      <c r="JP106">
        <f ca="1">IF(Foglio3!DM79=100000,0,IF(Foglio3!DM79="",0,1))</f>
        <v>1</v>
      </c>
      <c r="JQ106" s="314">
        <f ca="1" xml:space="preserve">   IF(JP106=1,     Foglio3!DM79,IF(JP106=0,IF(JP105=1,"","")))</f>
        <v>41530</v>
      </c>
      <c r="JR106" s="314">
        <f ca="1">IF(          Foglio3!DN79=100000,"",Foglio3!DN79)</f>
        <v>41882</v>
      </c>
      <c r="JS106" s="272">
        <f ca="1">IF(Foglio3!DN79=100000,"",Foglio3!DO79)</f>
        <v>18</v>
      </c>
      <c r="JT106" s="272">
        <f ca="1">IF(Foglio3!DN79=100000,"",Foglio3!DP79)</f>
        <v>24</v>
      </c>
      <c r="JU106" s="272">
        <f ca="1">IF(Foglio3!DN79=100000,"",Foglio3!DQ79)</f>
        <v>353</v>
      </c>
      <c r="JV106" s="272">
        <f ca="1">IF(JU106="","",Foglio3!DR79)</f>
        <v>0</v>
      </c>
      <c r="JW106" s="272">
        <f ca="1">IF(Foglio3!DN79=100000,"",Foglio3!DS79)</f>
        <v>23567.01</v>
      </c>
      <c r="JX106" s="272">
        <f ca="1">IF(Foglio3!DN79=100000,"",Foglio3!DT79)</f>
        <v>21437.23</v>
      </c>
      <c r="JY106" s="272">
        <f ca="1">IF(Foglio3!DN79=100000,"",Foglio3!DU79)</f>
        <v>1544.82</v>
      </c>
      <c r="JZ106" s="272" t="str">
        <f ca="1">IF(Foglio3!DN79=100000,"",Foglio3!DV79)</f>
        <v>9/14 anni</v>
      </c>
    </row>
    <row r="107" spans="5:286" x14ac:dyDescent="0.25">
      <c r="E107" s="240" t="str">
        <f>Foglio3!F87</f>
        <v/>
      </c>
      <c r="F107" s="240" t="str">
        <f>Foglio3!G87</f>
        <v/>
      </c>
      <c r="G107" s="244"/>
      <c r="H107" s="245">
        <f t="shared" si="189"/>
        <v>0</v>
      </c>
      <c r="I107" s="245">
        <f t="shared" si="188"/>
        <v>0</v>
      </c>
      <c r="J107" s="244"/>
      <c r="K107" s="244"/>
      <c r="Q107">
        <f t="shared" si="154"/>
        <v>1</v>
      </c>
      <c r="R107">
        <f t="shared" si="155"/>
        <v>1</v>
      </c>
      <c r="S107">
        <f t="shared" si="156"/>
        <v>0</v>
      </c>
      <c r="T107">
        <f t="shared" si="157"/>
        <v>0</v>
      </c>
      <c r="U107">
        <f t="shared" si="158"/>
        <v>1</v>
      </c>
      <c r="W107">
        <f t="shared" si="159"/>
        <v>7</v>
      </c>
      <c r="X107">
        <f t="shared" si="160"/>
        <v>153</v>
      </c>
      <c r="Y107">
        <f t="shared" si="161"/>
        <v>376</v>
      </c>
      <c r="AA107" s="112" t="e">
        <f t="shared" si="198"/>
        <v>#VALUE!</v>
      </c>
      <c r="AB107" s="112" t="e">
        <f t="shared" si="199"/>
        <v>#VALUE!</v>
      </c>
      <c r="AG107">
        <f t="shared" si="190"/>
        <v>1</v>
      </c>
      <c r="AH107" s="112">
        <f t="shared" si="200"/>
        <v>0</v>
      </c>
      <c r="AI107" s="112">
        <f t="shared" si="201"/>
        <v>0</v>
      </c>
      <c r="CG107" t="e">
        <f t="shared" si="182"/>
        <v>#VALUE!</v>
      </c>
      <c r="CH107" t="e">
        <f t="shared" si="183"/>
        <v>#VALUE!</v>
      </c>
      <c r="CJ107" t="e">
        <f t="shared" si="184"/>
        <v>#VALUE!</v>
      </c>
      <c r="CK107" t="e">
        <f t="shared" si="185"/>
        <v>#VALUE!</v>
      </c>
      <c r="CL107" t="e">
        <f t="shared" si="186"/>
        <v>#VALUE!</v>
      </c>
      <c r="CN107" t="e">
        <f t="shared" si="187"/>
        <v>#VALUE!</v>
      </c>
      <c r="CS107">
        <f t="shared" si="178"/>
        <v>1</v>
      </c>
      <c r="CT107">
        <f t="shared" si="179"/>
        <v>0</v>
      </c>
      <c r="CU107" s="243">
        <f t="shared" si="191"/>
        <v>0</v>
      </c>
      <c r="CV107" s="112">
        <f t="shared" si="180"/>
        <v>0</v>
      </c>
      <c r="CX107" s="112">
        <f t="shared" si="149"/>
        <v>100000</v>
      </c>
      <c r="CY107" s="112">
        <f t="shared" si="202"/>
        <v>100000</v>
      </c>
      <c r="CZ107" s="112">
        <f t="shared" si="203"/>
        <v>100000</v>
      </c>
      <c r="DA107" s="112">
        <f t="shared" si="204"/>
        <v>100000</v>
      </c>
      <c r="DB107" s="112">
        <f t="shared" si="205"/>
        <v>100000</v>
      </c>
      <c r="DC107" s="112">
        <f t="shared" si="206"/>
        <v>100000</v>
      </c>
      <c r="DU107" s="112"/>
      <c r="DV107" s="112"/>
      <c r="EF107" s="253"/>
      <c r="EK107" s="254"/>
      <c r="EU107" s="253"/>
      <c r="EW107" s="253"/>
      <c r="EX107" s="238"/>
      <c r="FQ107" s="254"/>
      <c r="GQ107" s="263" t="e">
        <f t="shared" si="192"/>
        <v>#N/A</v>
      </c>
      <c r="HW107" s="253" t="s">
        <v>187</v>
      </c>
      <c r="HX107" s="112" t="e">
        <f t="shared" si="193"/>
        <v>#VALUE!</v>
      </c>
      <c r="HY107" t="s">
        <v>188</v>
      </c>
      <c r="HZ107" s="112" t="e">
        <f t="shared" si="194"/>
        <v>#VALUE!</v>
      </c>
      <c r="IA107" t="s">
        <v>189</v>
      </c>
      <c r="IB107">
        <f t="shared" si="195"/>
        <v>0</v>
      </c>
      <c r="IC107" t="s">
        <v>192</v>
      </c>
      <c r="ID107">
        <f t="shared" si="196"/>
        <v>0</v>
      </c>
      <c r="IE107" t="s">
        <v>191</v>
      </c>
      <c r="IF107" s="254">
        <f t="shared" si="197"/>
        <v>1</v>
      </c>
      <c r="IK107" t="str">
        <f t="shared" si="167"/>
        <v/>
      </c>
      <c r="JP107">
        <f ca="1">IF(Foglio3!DM80=100000,0,IF(Foglio3!DM80="",0,1))</f>
        <v>1</v>
      </c>
      <c r="JQ107" s="314">
        <f ca="1" xml:space="preserve">   IF(JP107=1,     Foglio3!DM80,IF(JP107=0,IF(JP106=1,"","")))</f>
        <v>41915</v>
      </c>
      <c r="JR107" s="314">
        <f ca="1">IF(          Foglio3!DN80=100000,"",Foglio3!DN80)</f>
        <v>42185</v>
      </c>
      <c r="JS107" s="272">
        <f ca="1">IF(Foglio3!DN80=100000,"",Foglio3!DO80)</f>
        <v>18</v>
      </c>
      <c r="JT107" s="272">
        <f ca="1">IF(Foglio3!DN80=100000,"",Foglio3!DP80)</f>
        <v>24</v>
      </c>
      <c r="JU107" s="272">
        <f ca="1">IF(Foglio3!DN80=100000,"",Foglio3!DQ80)</f>
        <v>271</v>
      </c>
      <c r="JV107" s="272">
        <f ca="1">IF(JU107="","",Foglio3!DR80)</f>
        <v>0</v>
      </c>
      <c r="JW107" s="272">
        <f ca="1">IF(Foglio3!DN80=100000,"",Foglio3!DS80)</f>
        <v>23567.01</v>
      </c>
      <c r="JX107" s="272">
        <f ca="1">IF(Foglio3!DN80=100000,"",Foglio3!DT80)</f>
        <v>21437.23</v>
      </c>
      <c r="JY107" s="272">
        <f ca="1">IF(Foglio3!DN80=100000,"",Foglio3!DU80)</f>
        <v>1185.97</v>
      </c>
      <c r="JZ107" s="272" t="str">
        <f ca="1">IF(Foglio3!DN80=100000,"",Foglio3!DV80)</f>
        <v>9/14 anni</v>
      </c>
    </row>
    <row r="108" spans="5:286" x14ac:dyDescent="0.25">
      <c r="E108" s="240" t="str">
        <f>Foglio3!F88</f>
        <v/>
      </c>
      <c r="F108" s="240" t="str">
        <f>Foglio3!G88</f>
        <v/>
      </c>
      <c r="G108" s="244"/>
      <c r="H108" s="245">
        <f t="shared" si="189"/>
        <v>0</v>
      </c>
      <c r="I108" s="245">
        <f t="shared" si="188"/>
        <v>0</v>
      </c>
      <c r="J108" s="244"/>
      <c r="K108" s="244"/>
      <c r="Q108">
        <f t="shared" si="154"/>
        <v>1</v>
      </c>
      <c r="R108">
        <f t="shared" si="155"/>
        <v>1</v>
      </c>
      <c r="S108">
        <f t="shared" si="156"/>
        <v>0</v>
      </c>
      <c r="T108">
        <f t="shared" si="157"/>
        <v>0</v>
      </c>
      <c r="U108">
        <f t="shared" si="158"/>
        <v>1</v>
      </c>
      <c r="W108">
        <f t="shared" si="159"/>
        <v>7</v>
      </c>
      <c r="X108">
        <f t="shared" si="160"/>
        <v>153</v>
      </c>
      <c r="Y108">
        <f t="shared" si="161"/>
        <v>377</v>
      </c>
      <c r="AA108" s="112" t="e">
        <f t="shared" si="198"/>
        <v>#VALUE!</v>
      </c>
      <c r="AB108" s="112" t="e">
        <f t="shared" si="199"/>
        <v>#VALUE!</v>
      </c>
      <c r="AG108">
        <f t="shared" si="190"/>
        <v>1</v>
      </c>
      <c r="AH108" s="112">
        <f t="shared" si="200"/>
        <v>0</v>
      </c>
      <c r="AI108" s="112">
        <f t="shared" si="201"/>
        <v>0</v>
      </c>
      <c r="CG108" t="e">
        <f t="shared" si="182"/>
        <v>#VALUE!</v>
      </c>
      <c r="CH108" t="e">
        <f t="shared" si="183"/>
        <v>#VALUE!</v>
      </c>
      <c r="CJ108" t="e">
        <f t="shared" si="184"/>
        <v>#VALUE!</v>
      </c>
      <c r="CK108" t="e">
        <f t="shared" si="185"/>
        <v>#VALUE!</v>
      </c>
      <c r="CL108" t="e">
        <f t="shared" si="186"/>
        <v>#VALUE!</v>
      </c>
      <c r="CN108" t="e">
        <f t="shared" si="187"/>
        <v>#VALUE!</v>
      </c>
      <c r="CS108">
        <f t="shared" si="178"/>
        <v>1</v>
      </c>
      <c r="CT108">
        <f t="shared" si="179"/>
        <v>0</v>
      </c>
      <c r="CU108" s="243">
        <f t="shared" si="191"/>
        <v>0</v>
      </c>
      <c r="CV108" s="112">
        <f t="shared" si="180"/>
        <v>0</v>
      </c>
      <c r="CX108" s="112">
        <f t="shared" si="149"/>
        <v>100000</v>
      </c>
      <c r="CY108" s="112">
        <f t="shared" si="202"/>
        <v>100000</v>
      </c>
      <c r="CZ108" s="112">
        <f t="shared" si="203"/>
        <v>100000</v>
      </c>
      <c r="DA108" s="112">
        <f t="shared" si="204"/>
        <v>100000</v>
      </c>
      <c r="DB108" s="112">
        <f t="shared" si="205"/>
        <v>100000</v>
      </c>
      <c r="DC108" s="112">
        <f t="shared" si="206"/>
        <v>100000</v>
      </c>
      <c r="DU108" s="112"/>
      <c r="DV108" s="112"/>
      <c r="EF108" s="253"/>
      <c r="EK108" s="254"/>
      <c r="EU108" s="253"/>
      <c r="EW108" s="253"/>
      <c r="EX108" s="238"/>
      <c r="FQ108" s="254"/>
      <c r="GQ108" s="263" t="e">
        <f t="shared" si="192"/>
        <v>#N/A</v>
      </c>
      <c r="HW108" s="253" t="s">
        <v>187</v>
      </c>
      <c r="HX108" s="112" t="e">
        <f t="shared" si="193"/>
        <v>#VALUE!</v>
      </c>
      <c r="HY108" t="s">
        <v>188</v>
      </c>
      <c r="HZ108" s="112" t="e">
        <f t="shared" si="194"/>
        <v>#VALUE!</v>
      </c>
      <c r="IA108" t="s">
        <v>189</v>
      </c>
      <c r="IB108">
        <f t="shared" si="195"/>
        <v>0</v>
      </c>
      <c r="IC108" t="s">
        <v>192</v>
      </c>
      <c r="ID108">
        <f t="shared" si="196"/>
        <v>0</v>
      </c>
      <c r="IE108" t="s">
        <v>191</v>
      </c>
      <c r="IF108" s="254">
        <f t="shared" si="197"/>
        <v>1</v>
      </c>
      <c r="IK108" t="str">
        <f t="shared" si="167"/>
        <v/>
      </c>
      <c r="JP108">
        <f ca="1">IF(Foglio3!DM81=100000,0,IF(Foglio3!DM81="",0,1))</f>
        <v>1</v>
      </c>
      <c r="JQ108" s="314">
        <f ca="1" xml:space="preserve">   IF(JP108=1,     Foglio3!DM81,IF(JP108=0,IF(JP107=1,"","")))</f>
        <v>42248</v>
      </c>
      <c r="JR108" s="314">
        <f ca="1">IF(          Foglio3!DN81=100000,"",Foglio3!DN81)</f>
        <v>42613</v>
      </c>
      <c r="JS108" s="272">
        <f ca="1">IF(Foglio3!DN81=100000,"",Foglio3!DO81)</f>
        <v>18</v>
      </c>
      <c r="JT108" s="272">
        <f ca="1">IF(Foglio3!DN81=100000,"",Foglio3!DP81)</f>
        <v>24</v>
      </c>
      <c r="JU108" s="272">
        <f ca="1">IF(Foglio3!DN81=100000,"",Foglio3!DQ81)</f>
        <v>366</v>
      </c>
      <c r="JV108" s="272">
        <f ca="1">IF(JU108="","",Foglio3!DR81)</f>
        <v>0</v>
      </c>
      <c r="JW108" s="272">
        <f ca="1">IF(Foglio3!DN81=100000,"",Foglio3!DS81)</f>
        <v>23567.01</v>
      </c>
      <c r="JX108" s="272">
        <f ca="1">IF(Foglio3!DN81=100000,"",Foglio3!DT81)</f>
        <v>21437.23</v>
      </c>
      <c r="JY108" s="272">
        <f ca="1">IF(Foglio3!DN81=100000,"",Foglio3!DU81)</f>
        <v>1601.71</v>
      </c>
      <c r="JZ108" s="272" t="str">
        <f ca="1">IF(Foglio3!DN81=100000,"",Foglio3!DV81)</f>
        <v>9/14 anni</v>
      </c>
    </row>
    <row r="109" spans="5:286" x14ac:dyDescent="0.25">
      <c r="E109" s="240" t="str">
        <f>Foglio3!F89</f>
        <v/>
      </c>
      <c r="F109" s="240" t="str">
        <f>Foglio3!G89</f>
        <v/>
      </c>
      <c r="G109" s="244"/>
      <c r="H109" s="245">
        <f t="shared" si="189"/>
        <v>0</v>
      </c>
      <c r="I109" s="245">
        <f t="shared" si="188"/>
        <v>0</v>
      </c>
      <c r="J109" s="244"/>
      <c r="K109" s="244"/>
      <c r="Q109">
        <f t="shared" si="154"/>
        <v>1</v>
      </c>
      <c r="R109">
        <f t="shared" si="155"/>
        <v>1</v>
      </c>
      <c r="S109">
        <f t="shared" si="156"/>
        <v>0</v>
      </c>
      <c r="T109">
        <f t="shared" si="157"/>
        <v>0</v>
      </c>
      <c r="U109">
        <f t="shared" si="158"/>
        <v>1</v>
      </c>
      <c r="W109">
        <f t="shared" si="159"/>
        <v>7</v>
      </c>
      <c r="X109">
        <f t="shared" si="160"/>
        <v>153</v>
      </c>
      <c r="Y109">
        <f t="shared" si="161"/>
        <v>378</v>
      </c>
      <c r="AA109" s="112" t="e">
        <f t="shared" si="198"/>
        <v>#VALUE!</v>
      </c>
      <c r="AB109" s="112" t="e">
        <f t="shared" si="199"/>
        <v>#VALUE!</v>
      </c>
      <c r="AG109">
        <f t="shared" si="190"/>
        <v>1</v>
      </c>
      <c r="AH109" s="112">
        <f t="shared" si="200"/>
        <v>0</v>
      </c>
      <c r="AI109" s="112">
        <f t="shared" si="201"/>
        <v>0</v>
      </c>
      <c r="CG109" t="e">
        <f t="shared" si="182"/>
        <v>#VALUE!</v>
      </c>
      <c r="CH109" t="e">
        <f t="shared" si="183"/>
        <v>#VALUE!</v>
      </c>
      <c r="CJ109" t="e">
        <f t="shared" si="184"/>
        <v>#VALUE!</v>
      </c>
      <c r="CK109" t="e">
        <f t="shared" si="185"/>
        <v>#VALUE!</v>
      </c>
      <c r="CL109" t="e">
        <f t="shared" si="186"/>
        <v>#VALUE!</v>
      </c>
      <c r="CN109" t="e">
        <f t="shared" si="187"/>
        <v>#VALUE!</v>
      </c>
      <c r="CS109">
        <f t="shared" si="178"/>
        <v>1</v>
      </c>
      <c r="CT109">
        <f t="shared" si="179"/>
        <v>0</v>
      </c>
      <c r="CU109" s="243">
        <f t="shared" si="191"/>
        <v>0</v>
      </c>
      <c r="CV109" s="112">
        <f t="shared" si="180"/>
        <v>0</v>
      </c>
      <c r="CX109" s="112">
        <f t="shared" si="149"/>
        <v>100000</v>
      </c>
      <c r="CY109" s="112">
        <f t="shared" si="202"/>
        <v>100000</v>
      </c>
      <c r="CZ109" s="112">
        <f t="shared" si="203"/>
        <v>100000</v>
      </c>
      <c r="DA109" s="112">
        <f t="shared" si="204"/>
        <v>100000</v>
      </c>
      <c r="DB109" s="112">
        <f t="shared" si="205"/>
        <v>100000</v>
      </c>
      <c r="DC109" s="112">
        <f t="shared" si="206"/>
        <v>100000</v>
      </c>
      <c r="DU109" s="112"/>
      <c r="DV109" s="112"/>
      <c r="EF109" s="253"/>
      <c r="EK109" s="254"/>
      <c r="EU109" s="253"/>
      <c r="EW109" s="253"/>
      <c r="EX109" s="238"/>
      <c r="FQ109" s="254"/>
      <c r="HW109" s="253" t="s">
        <v>187</v>
      </c>
      <c r="HX109" s="112" t="e">
        <f t="shared" si="193"/>
        <v>#VALUE!</v>
      </c>
      <c r="HY109" t="s">
        <v>188</v>
      </c>
      <c r="HZ109" s="112" t="e">
        <f t="shared" si="194"/>
        <v>#VALUE!</v>
      </c>
      <c r="IA109" t="s">
        <v>189</v>
      </c>
      <c r="IB109">
        <f t="shared" si="195"/>
        <v>0</v>
      </c>
      <c r="IC109" t="s">
        <v>192</v>
      </c>
      <c r="ID109">
        <f t="shared" si="196"/>
        <v>0</v>
      </c>
      <c r="IE109" t="s">
        <v>191</v>
      </c>
      <c r="IF109" s="254">
        <f t="shared" si="197"/>
        <v>1</v>
      </c>
      <c r="IK109" t="str">
        <f t="shared" si="167"/>
        <v/>
      </c>
      <c r="JP109">
        <f ca="1">IF(Foglio3!DM82=100000,0,IF(Foglio3!DM82="",0,1))</f>
        <v>1</v>
      </c>
      <c r="JQ109" s="314">
        <f ca="1" xml:space="preserve">   IF(JP109=1,     Foglio3!DM82,IF(JP109=0,IF(JP108=1,"","")))</f>
        <v>42614</v>
      </c>
      <c r="JR109" s="314">
        <f ca="1">IF(          Foglio3!DN82=100000,"",Foglio3!DN82)</f>
        <v>42735</v>
      </c>
      <c r="JS109" s="272">
        <f ca="1">IF(Foglio3!DN82=100000,"",Foglio3!DO82)</f>
        <v>18</v>
      </c>
      <c r="JT109" s="272">
        <f ca="1">IF(Foglio3!DN82=100000,"",Foglio3!DP82)</f>
        <v>24</v>
      </c>
      <c r="JU109" s="272">
        <f ca="1">IF(Foglio3!DN82=100000,"",Foglio3!DQ82)</f>
        <v>122</v>
      </c>
      <c r="JV109" s="272">
        <f ca="1">IF(JU109="","",Foglio3!DR82)</f>
        <v>0</v>
      </c>
      <c r="JW109" s="272">
        <f ca="1">IF(Foglio3!DN82=100000,"",Foglio3!DS82)</f>
        <v>23651.01</v>
      </c>
      <c r="JX109" s="272">
        <f ca="1">IF(Foglio3!DN82=100000,"",Foglio3!DT82)</f>
        <v>21512.83</v>
      </c>
      <c r="JY109" s="272">
        <f ca="1">IF(Foglio3!DN82=100000,"",Foglio3!DU82)</f>
        <v>536.01</v>
      </c>
      <c r="JZ109" s="272" t="str">
        <f ca="1">IF(Foglio3!DN82=100000,"",Foglio3!DV82)</f>
        <v>9/14 anni</v>
      </c>
    </row>
    <row r="110" spans="5:286" ht="15.75" thickBot="1" x14ac:dyDescent="0.3">
      <c r="E110" s="240" t="str">
        <f>Foglio3!F90</f>
        <v/>
      </c>
      <c r="F110" s="240" t="str">
        <f>Foglio3!G90</f>
        <v/>
      </c>
      <c r="G110" s="244"/>
      <c r="H110" s="245">
        <f t="shared" si="189"/>
        <v>0</v>
      </c>
      <c r="I110" s="245">
        <f t="shared" si="188"/>
        <v>0</v>
      </c>
      <c r="J110" s="244"/>
      <c r="K110" s="244"/>
      <c r="Q110">
        <f t="shared" si="154"/>
        <v>1</v>
      </c>
      <c r="R110">
        <f t="shared" si="155"/>
        <v>1</v>
      </c>
      <c r="S110">
        <f t="shared" si="156"/>
        <v>0</v>
      </c>
      <c r="T110">
        <f t="shared" si="157"/>
        <v>0</v>
      </c>
      <c r="U110">
        <f t="shared" si="158"/>
        <v>1</v>
      </c>
      <c r="W110">
        <f t="shared" si="159"/>
        <v>7</v>
      </c>
      <c r="X110">
        <f t="shared" si="160"/>
        <v>153</v>
      </c>
      <c r="Y110">
        <f t="shared" si="161"/>
        <v>379</v>
      </c>
      <c r="AA110" s="112" t="e">
        <f t="shared" si="198"/>
        <v>#VALUE!</v>
      </c>
      <c r="AB110" s="112" t="e">
        <f t="shared" si="199"/>
        <v>#VALUE!</v>
      </c>
      <c r="AG110">
        <f t="shared" si="190"/>
        <v>1</v>
      </c>
      <c r="AH110" s="112">
        <f t="shared" si="200"/>
        <v>0</v>
      </c>
      <c r="AI110" s="112">
        <f t="shared" si="201"/>
        <v>0</v>
      </c>
      <c r="CG110" t="e">
        <f t="shared" si="182"/>
        <v>#VALUE!</v>
      </c>
      <c r="CH110" t="e">
        <f t="shared" si="183"/>
        <v>#VALUE!</v>
      </c>
      <c r="CJ110" t="e">
        <f t="shared" si="184"/>
        <v>#VALUE!</v>
      </c>
      <c r="CK110" t="e">
        <f t="shared" si="185"/>
        <v>#VALUE!</v>
      </c>
      <c r="CL110" t="e">
        <f t="shared" si="186"/>
        <v>#VALUE!</v>
      </c>
      <c r="CN110" t="e">
        <f t="shared" si="187"/>
        <v>#VALUE!</v>
      </c>
      <c r="CS110">
        <f t="shared" si="178"/>
        <v>1</v>
      </c>
      <c r="CT110">
        <f t="shared" si="179"/>
        <v>0</v>
      </c>
      <c r="CU110" s="243">
        <f t="shared" si="191"/>
        <v>0</v>
      </c>
      <c r="CV110" s="112">
        <f t="shared" si="180"/>
        <v>0</v>
      </c>
      <c r="CX110" s="112">
        <f t="shared" si="149"/>
        <v>100000</v>
      </c>
      <c r="CY110" s="112">
        <f t="shared" si="202"/>
        <v>100000</v>
      </c>
      <c r="CZ110" s="112">
        <f t="shared" si="203"/>
        <v>100000</v>
      </c>
      <c r="DA110" s="112">
        <f t="shared" si="204"/>
        <v>100000</v>
      </c>
      <c r="DB110" s="112">
        <f t="shared" si="205"/>
        <v>100000</v>
      </c>
      <c r="DC110" s="112">
        <f t="shared" si="206"/>
        <v>100000</v>
      </c>
      <c r="DU110" s="112"/>
      <c r="DV110" s="112"/>
      <c r="EF110" s="255"/>
      <c r="EG110" s="257"/>
      <c r="EH110" s="257"/>
      <c r="EI110" s="257"/>
      <c r="EJ110" s="257"/>
      <c r="EK110" s="258"/>
      <c r="EU110" s="253"/>
      <c r="EW110" s="253"/>
      <c r="EX110" s="238"/>
      <c r="FQ110" s="254"/>
      <c r="HW110" s="253" t="s">
        <v>187</v>
      </c>
      <c r="HX110" s="112" t="e">
        <f t="shared" si="193"/>
        <v>#VALUE!</v>
      </c>
      <c r="HY110" t="s">
        <v>188</v>
      </c>
      <c r="HZ110" s="112" t="e">
        <f t="shared" si="194"/>
        <v>#VALUE!</v>
      </c>
      <c r="IA110" t="s">
        <v>189</v>
      </c>
      <c r="IB110">
        <f t="shared" si="195"/>
        <v>0</v>
      </c>
      <c r="IC110" t="s">
        <v>192</v>
      </c>
      <c r="ID110">
        <f t="shared" si="196"/>
        <v>0</v>
      </c>
      <c r="IE110" t="s">
        <v>191</v>
      </c>
      <c r="IF110" s="254">
        <f t="shared" si="197"/>
        <v>1</v>
      </c>
      <c r="IK110" t="str">
        <f t="shared" si="167"/>
        <v/>
      </c>
      <c r="JP110">
        <f ca="1">IF(Foglio3!DM83=100000,0,IF(Foglio3!DM83="",0,1))</f>
        <v>1</v>
      </c>
      <c r="JQ110" s="314">
        <f ca="1" xml:space="preserve">   IF(JP110=1,     Foglio3!DM83,IF(JP110=0,IF(JP109=1,"","")))</f>
        <v>42736</v>
      </c>
      <c r="JR110" s="314">
        <f ca="1">IF(          Foglio3!DN83=100000,"",Foglio3!DN83)</f>
        <v>42781</v>
      </c>
      <c r="JS110" s="272">
        <f ca="1">IF(Foglio3!DN83=100000,"",Foglio3!DO83)</f>
        <v>18</v>
      </c>
      <c r="JT110" s="272">
        <f ca="1">IF(Foglio3!DN83=100000,"",Foglio3!DP83)</f>
        <v>24</v>
      </c>
      <c r="JU110" s="272">
        <f ca="1">IF(Foglio3!DN83=100000,"",Foglio3!DQ83)</f>
        <v>46</v>
      </c>
      <c r="JV110" s="272">
        <f ca="1">IF(JU110="","",Foglio3!DR83)</f>
        <v>0</v>
      </c>
      <c r="JW110" s="272">
        <f ca="1">IF(Foglio3!DN83=100000,"",Foglio3!DS83)</f>
        <v>23822.61</v>
      </c>
      <c r="JX110" s="272">
        <f ca="1">IF(Foglio3!DN83=100000,"",Foglio3!DT83)</f>
        <v>21667.63</v>
      </c>
      <c r="JY110" s="272">
        <f ca="1">IF(Foglio3!DN83=100000,"",Foglio3!DU83)</f>
        <v>203.69</v>
      </c>
      <c r="JZ110" s="272" t="str">
        <f ca="1">IF(Foglio3!DN83=100000,"",Foglio3!DV83)</f>
        <v>9/14 anni</v>
      </c>
    </row>
    <row r="111" spans="5:286" ht="30" x14ac:dyDescent="0.25">
      <c r="E111" s="240" t="str">
        <f>Foglio3!F91</f>
        <v/>
      </c>
      <c r="F111" s="240" t="str">
        <f>Foglio3!G91</f>
        <v/>
      </c>
      <c r="G111" s="244"/>
      <c r="H111" s="245">
        <f t="shared" si="189"/>
        <v>0</v>
      </c>
      <c r="I111" s="245">
        <f t="shared" si="188"/>
        <v>0</v>
      </c>
      <c r="J111" s="244"/>
      <c r="K111" s="244"/>
      <c r="Q111">
        <f t="shared" si="154"/>
        <v>1</v>
      </c>
      <c r="R111">
        <f t="shared" si="155"/>
        <v>1</v>
      </c>
      <c r="S111">
        <f t="shared" si="156"/>
        <v>0</v>
      </c>
      <c r="T111">
        <f t="shared" si="157"/>
        <v>0</v>
      </c>
      <c r="U111">
        <f t="shared" si="158"/>
        <v>1</v>
      </c>
      <c r="W111">
        <f t="shared" si="159"/>
        <v>7</v>
      </c>
      <c r="X111">
        <f t="shared" si="160"/>
        <v>153</v>
      </c>
      <c r="Y111">
        <f t="shared" si="161"/>
        <v>380</v>
      </c>
      <c r="AA111" s="112" t="e">
        <f t="shared" si="198"/>
        <v>#VALUE!</v>
      </c>
      <c r="AB111" s="112" t="e">
        <f t="shared" si="199"/>
        <v>#VALUE!</v>
      </c>
      <c r="AG111">
        <f t="shared" si="190"/>
        <v>1</v>
      </c>
      <c r="AH111" s="112">
        <f t="shared" si="200"/>
        <v>0</v>
      </c>
      <c r="AI111" s="112">
        <f t="shared" si="201"/>
        <v>0</v>
      </c>
      <c r="CG111" t="e">
        <f t="shared" si="182"/>
        <v>#VALUE!</v>
      </c>
      <c r="CH111" t="e">
        <f t="shared" si="183"/>
        <v>#VALUE!</v>
      </c>
      <c r="CJ111" t="e">
        <f t="shared" si="184"/>
        <v>#VALUE!</v>
      </c>
      <c r="CK111" t="e">
        <f t="shared" si="185"/>
        <v>#VALUE!</v>
      </c>
      <c r="CL111" t="e">
        <f t="shared" si="186"/>
        <v>#VALUE!</v>
      </c>
      <c r="CN111" t="e">
        <f t="shared" si="187"/>
        <v>#VALUE!</v>
      </c>
      <c r="CS111">
        <f t="shared" si="178"/>
        <v>1</v>
      </c>
      <c r="CT111">
        <f t="shared" si="179"/>
        <v>0</v>
      </c>
      <c r="CU111" s="243">
        <f t="shared" si="191"/>
        <v>0</v>
      </c>
      <c r="CV111" s="112">
        <f t="shared" si="180"/>
        <v>0</v>
      </c>
      <c r="CX111" s="112">
        <f t="shared" si="149"/>
        <v>100000</v>
      </c>
      <c r="CY111" s="112">
        <f t="shared" si="202"/>
        <v>100000</v>
      </c>
      <c r="CZ111" s="112">
        <f t="shared" si="203"/>
        <v>100000</v>
      </c>
      <c r="DA111" s="112">
        <f t="shared" si="204"/>
        <v>100000</v>
      </c>
      <c r="DB111" s="112">
        <f t="shared" si="205"/>
        <v>100000</v>
      </c>
      <c r="DC111" s="112">
        <f t="shared" si="206"/>
        <v>100000</v>
      </c>
      <c r="DU111" s="112"/>
      <c r="DV111" s="112"/>
      <c r="EU111" s="253"/>
      <c r="EW111" s="253"/>
      <c r="EX111" s="238"/>
      <c r="FQ111" s="254"/>
      <c r="HW111" s="253" t="s">
        <v>187</v>
      </c>
      <c r="HX111" s="112" t="e">
        <f t="shared" si="193"/>
        <v>#VALUE!</v>
      </c>
      <c r="HY111" t="s">
        <v>188</v>
      </c>
      <c r="HZ111" s="112" t="e">
        <f t="shared" si="194"/>
        <v>#VALUE!</v>
      </c>
      <c r="IA111" t="s">
        <v>189</v>
      </c>
      <c r="IB111">
        <f t="shared" si="195"/>
        <v>0</v>
      </c>
      <c r="IC111" t="s">
        <v>192</v>
      </c>
      <c r="ID111">
        <f t="shared" si="196"/>
        <v>0</v>
      </c>
      <c r="IE111" t="s">
        <v>191</v>
      </c>
      <c r="IF111" s="254">
        <f t="shared" si="197"/>
        <v>1</v>
      </c>
      <c r="IK111" t="str">
        <f t="shared" si="167"/>
        <v/>
      </c>
      <c r="JP111">
        <f ca="1">IF(Foglio3!DM84=100000,0,IF(Foglio3!DM84="",0,1))</f>
        <v>1</v>
      </c>
      <c r="JQ111" s="314">
        <f ca="1" xml:space="preserve">   IF(JP111=1,     Foglio3!DM84,IF(JP111=0,IF(JP110=1,"","")))</f>
        <v>42782</v>
      </c>
      <c r="JR111" s="314">
        <f ca="1">IF(          Foglio3!DN84=100000,"",Foglio3!DN84)</f>
        <v>42978</v>
      </c>
      <c r="JS111" s="272">
        <f ca="1">IF(Foglio3!DN84=100000,"",Foglio3!DO84)</f>
        <v>18</v>
      </c>
      <c r="JT111" s="272">
        <f ca="1">IF(Foglio3!DN84=100000,"",Foglio3!DP84)</f>
        <v>24</v>
      </c>
      <c r="JU111" s="272">
        <f ca="1">IF(Foglio3!DN84=100000,"",Foglio3!DQ84)</f>
        <v>197</v>
      </c>
      <c r="JV111" s="272">
        <f ca="1">IF(JU111="","",Foglio3!DR84)</f>
        <v>0</v>
      </c>
      <c r="JW111" s="272">
        <f ca="1">IF(Foglio3!DN84=100000,"",Foglio3!DS84)</f>
        <v>26178.14</v>
      </c>
      <c r="JX111" s="272">
        <f ca="1">IF(Foglio3!DN84=100000,"",Foglio3!DT84)</f>
        <v>21667.63</v>
      </c>
      <c r="JY111" s="272">
        <f ca="1">IF(Foglio3!DN84=100000,"",Foglio3!DU84)</f>
        <v>1825.83</v>
      </c>
      <c r="JZ111" s="272" t="str">
        <f ca="1">IF(Foglio3!DN84=100000,"",Foglio3!DV84)</f>
        <v>15/20 anni</v>
      </c>
    </row>
    <row r="112" spans="5:286" ht="30" x14ac:dyDescent="0.25">
      <c r="E112" s="240" t="str">
        <f>Foglio3!F92</f>
        <v/>
      </c>
      <c r="F112" s="240" t="str">
        <f>Foglio3!G92</f>
        <v/>
      </c>
      <c r="G112" s="244"/>
      <c r="H112" s="245">
        <f t="shared" si="189"/>
        <v>0</v>
      </c>
      <c r="I112" s="245">
        <f t="shared" si="188"/>
        <v>0</v>
      </c>
      <c r="J112" s="244"/>
      <c r="K112" s="244"/>
      <c r="Q112">
        <f t="shared" si="154"/>
        <v>1</v>
      </c>
      <c r="R112">
        <f t="shared" si="155"/>
        <v>1</v>
      </c>
      <c r="S112">
        <f t="shared" si="156"/>
        <v>0</v>
      </c>
      <c r="T112">
        <f t="shared" si="157"/>
        <v>0</v>
      </c>
      <c r="U112">
        <f t="shared" si="158"/>
        <v>1</v>
      </c>
      <c r="W112">
        <f t="shared" si="159"/>
        <v>7</v>
      </c>
      <c r="X112">
        <f t="shared" si="160"/>
        <v>153</v>
      </c>
      <c r="Y112">
        <f t="shared" si="161"/>
        <v>381</v>
      </c>
      <c r="AA112" s="112" t="e">
        <f t="shared" si="198"/>
        <v>#VALUE!</v>
      </c>
      <c r="AB112" s="112" t="e">
        <f t="shared" si="199"/>
        <v>#VALUE!</v>
      </c>
      <c r="AG112">
        <f t="shared" si="190"/>
        <v>1</v>
      </c>
      <c r="AH112" s="112">
        <f t="shared" si="200"/>
        <v>0</v>
      </c>
      <c r="AI112" s="112">
        <f t="shared" si="201"/>
        <v>0</v>
      </c>
      <c r="CG112" t="e">
        <f t="shared" si="182"/>
        <v>#VALUE!</v>
      </c>
      <c r="CH112" t="e">
        <f t="shared" si="183"/>
        <v>#VALUE!</v>
      </c>
      <c r="CJ112" t="e">
        <f t="shared" si="184"/>
        <v>#VALUE!</v>
      </c>
      <c r="CK112" t="e">
        <f t="shared" si="185"/>
        <v>#VALUE!</v>
      </c>
      <c r="CL112" t="e">
        <f t="shared" si="186"/>
        <v>#VALUE!</v>
      </c>
      <c r="CN112" t="e">
        <f t="shared" si="187"/>
        <v>#VALUE!</v>
      </c>
      <c r="CS112">
        <f t="shared" si="178"/>
        <v>1</v>
      </c>
      <c r="CT112">
        <f t="shared" si="179"/>
        <v>0</v>
      </c>
      <c r="CU112" s="243">
        <f t="shared" si="191"/>
        <v>0</v>
      </c>
      <c r="CV112" s="112">
        <f t="shared" si="180"/>
        <v>0</v>
      </c>
      <c r="CX112" s="112">
        <f t="shared" si="149"/>
        <v>100000</v>
      </c>
      <c r="CY112" s="112">
        <f t="shared" si="202"/>
        <v>100000</v>
      </c>
      <c r="CZ112" s="112">
        <f t="shared" si="203"/>
        <v>100000</v>
      </c>
      <c r="DA112" s="112">
        <f t="shared" si="204"/>
        <v>100000</v>
      </c>
      <c r="DB112" s="112">
        <f t="shared" si="205"/>
        <v>100000</v>
      </c>
      <c r="DC112" s="112">
        <f t="shared" si="206"/>
        <v>100000</v>
      </c>
      <c r="DU112" s="112"/>
      <c r="DV112" s="112"/>
      <c r="EU112" s="253"/>
      <c r="EW112" s="253"/>
      <c r="EX112" s="238"/>
      <c r="FQ112" s="254"/>
      <c r="HW112" s="253" t="s">
        <v>187</v>
      </c>
      <c r="HX112" s="112" t="e">
        <f t="shared" si="193"/>
        <v>#VALUE!</v>
      </c>
      <c r="HY112" t="s">
        <v>188</v>
      </c>
      <c r="HZ112" s="112" t="e">
        <f t="shared" si="194"/>
        <v>#VALUE!</v>
      </c>
      <c r="IA112" t="s">
        <v>189</v>
      </c>
      <c r="IB112">
        <f t="shared" si="195"/>
        <v>0</v>
      </c>
      <c r="IC112" t="s">
        <v>192</v>
      </c>
      <c r="ID112">
        <f t="shared" si="196"/>
        <v>0</v>
      </c>
      <c r="IE112" t="s">
        <v>191</v>
      </c>
      <c r="IF112" s="254">
        <f t="shared" si="197"/>
        <v>1</v>
      </c>
      <c r="IK112" t="str">
        <f t="shared" si="167"/>
        <v/>
      </c>
      <c r="JP112">
        <f ca="1">IF(Foglio3!DM85=100000,0,IF(Foglio3!DM85="",0,1))</f>
        <v>1</v>
      </c>
      <c r="JQ112" s="314">
        <f ca="1" xml:space="preserve">   IF(JP112=1,     Foglio3!DM85,IF(JP112=0,IF(JP111=1,"","")))</f>
        <v>42979</v>
      </c>
      <c r="JR112" s="314">
        <f ca="1">IF(          Foglio3!DN85=100000,"",Foglio3!DN85)</f>
        <v>43159</v>
      </c>
      <c r="JS112" s="272">
        <f ca="1">IF(Foglio3!DN85=100000,"",Foglio3!DO85)</f>
        <v>18</v>
      </c>
      <c r="JT112" s="272">
        <f ca="1">IF(Foglio3!DN85=100000,"",Foglio3!DP85)</f>
        <v>24</v>
      </c>
      <c r="JU112" s="272">
        <f ca="1">IF(Foglio3!DN85=100000,"",Foglio3!DQ85)</f>
        <v>181</v>
      </c>
      <c r="JV112" s="272">
        <f ca="1">IF(JU112="","",Foglio3!DR85)</f>
        <v>0</v>
      </c>
      <c r="JW112" s="272">
        <f ca="1">IF(Foglio3!DN85=100000,"",Foglio3!DS85)</f>
        <v>26178.14</v>
      </c>
      <c r="JX112" s="272">
        <f ca="1">IF(Foglio3!DN85=100000,"",Foglio3!DT85)</f>
        <v>21667.63</v>
      </c>
      <c r="JY112" s="272">
        <f ca="1">IF(Foglio3!DN85=100000,"",Foglio3!DU85)</f>
        <v>1677.54</v>
      </c>
      <c r="JZ112" s="272" t="str">
        <f ca="1">IF(Foglio3!DN85=100000,"",Foglio3!DV85)</f>
        <v>15/20 anni</v>
      </c>
    </row>
    <row r="113" spans="5:286" ht="30" x14ac:dyDescent="0.25">
      <c r="E113" s="240" t="str">
        <f>Foglio3!F93</f>
        <v/>
      </c>
      <c r="F113" s="240" t="str">
        <f>Foglio3!G93</f>
        <v/>
      </c>
      <c r="G113" s="244"/>
      <c r="H113" s="245">
        <f t="shared" si="189"/>
        <v>0</v>
      </c>
      <c r="I113" s="245">
        <f t="shared" si="188"/>
        <v>0</v>
      </c>
      <c r="J113" s="244"/>
      <c r="K113" s="244"/>
      <c r="Q113">
        <f t="shared" si="154"/>
        <v>1</v>
      </c>
      <c r="R113">
        <f t="shared" si="155"/>
        <v>1</v>
      </c>
      <c r="S113">
        <f t="shared" si="156"/>
        <v>0</v>
      </c>
      <c r="T113">
        <f t="shared" si="157"/>
        <v>0</v>
      </c>
      <c r="U113">
        <f t="shared" si="158"/>
        <v>1</v>
      </c>
      <c r="W113">
        <f t="shared" si="159"/>
        <v>7</v>
      </c>
      <c r="X113">
        <f t="shared" si="160"/>
        <v>153</v>
      </c>
      <c r="Y113">
        <f t="shared" si="161"/>
        <v>382</v>
      </c>
      <c r="AA113" s="112" t="e">
        <f t="shared" si="198"/>
        <v>#VALUE!</v>
      </c>
      <c r="AB113" s="112" t="e">
        <f t="shared" si="199"/>
        <v>#VALUE!</v>
      </c>
      <c r="AG113">
        <f t="shared" si="190"/>
        <v>1</v>
      </c>
      <c r="AH113" s="112">
        <f t="shared" si="200"/>
        <v>0</v>
      </c>
      <c r="AI113" s="112">
        <f t="shared" si="201"/>
        <v>0</v>
      </c>
      <c r="CG113" t="e">
        <f t="shared" si="182"/>
        <v>#VALUE!</v>
      </c>
      <c r="CH113" t="e">
        <f t="shared" si="183"/>
        <v>#VALUE!</v>
      </c>
      <c r="CJ113" t="e">
        <f t="shared" si="184"/>
        <v>#VALUE!</v>
      </c>
      <c r="CK113" t="e">
        <f t="shared" si="185"/>
        <v>#VALUE!</v>
      </c>
      <c r="CL113" t="e">
        <f t="shared" si="186"/>
        <v>#VALUE!</v>
      </c>
      <c r="CN113" t="e">
        <f t="shared" si="187"/>
        <v>#VALUE!</v>
      </c>
      <c r="CS113">
        <f t="shared" si="178"/>
        <v>1</v>
      </c>
      <c r="CT113">
        <f t="shared" si="179"/>
        <v>0</v>
      </c>
      <c r="CU113" s="243">
        <f t="shared" si="191"/>
        <v>0</v>
      </c>
      <c r="CV113" s="112">
        <f t="shared" si="180"/>
        <v>0</v>
      </c>
      <c r="CX113" s="112">
        <f t="shared" si="149"/>
        <v>100000</v>
      </c>
      <c r="CY113" s="112">
        <f t="shared" si="202"/>
        <v>100000</v>
      </c>
      <c r="CZ113" s="112">
        <f t="shared" si="203"/>
        <v>100000</v>
      </c>
      <c r="DA113" s="112">
        <f t="shared" si="204"/>
        <v>100000</v>
      </c>
      <c r="DB113" s="112">
        <f t="shared" si="205"/>
        <v>100000</v>
      </c>
      <c r="DC113" s="112">
        <f t="shared" si="206"/>
        <v>100000</v>
      </c>
      <c r="DU113" s="112"/>
      <c r="DV113" s="112"/>
      <c r="EU113" s="253"/>
      <c r="EW113" s="253"/>
      <c r="EX113" s="238"/>
      <c r="FQ113" s="254"/>
      <c r="HW113" s="253" t="s">
        <v>187</v>
      </c>
      <c r="HX113" s="112" t="e">
        <f t="shared" si="193"/>
        <v>#VALUE!</v>
      </c>
      <c r="HY113" t="s">
        <v>188</v>
      </c>
      <c r="HZ113" s="112" t="e">
        <f t="shared" si="194"/>
        <v>#VALUE!</v>
      </c>
      <c r="IA113" t="s">
        <v>189</v>
      </c>
      <c r="IB113">
        <f t="shared" si="195"/>
        <v>0</v>
      </c>
      <c r="IC113" t="s">
        <v>192</v>
      </c>
      <c r="ID113">
        <f t="shared" si="196"/>
        <v>0</v>
      </c>
      <c r="IE113" t="s">
        <v>191</v>
      </c>
      <c r="IF113" s="254">
        <f t="shared" si="197"/>
        <v>1</v>
      </c>
      <c r="IK113" t="str">
        <f t="shared" si="167"/>
        <v/>
      </c>
      <c r="JP113">
        <f ca="1">IF(Foglio3!DM86=100000,0,IF(Foglio3!DM86="",0,1))</f>
        <v>1</v>
      </c>
      <c r="JQ113" s="314">
        <f ca="1" xml:space="preserve">   IF(JP113=1,     Foglio3!DM86,IF(JP113=0,IF(JP112=1,"","")))</f>
        <v>43160</v>
      </c>
      <c r="JR113" s="314">
        <f ca="1">IF(          Foglio3!DN86=100000,"",Foglio3!DN86)</f>
        <v>43190</v>
      </c>
      <c r="JS113" s="272">
        <f ca="1">IF(Foglio3!DN86=100000,"",Foglio3!DO86)</f>
        <v>18</v>
      </c>
      <c r="JT113" s="272">
        <f ca="1">IF(Foglio3!DN86=100000,"",Foglio3!DP86)</f>
        <v>24</v>
      </c>
      <c r="JU113" s="272">
        <f ca="1">IF(Foglio3!DN86=100000,"",Foglio3!DQ86)</f>
        <v>31</v>
      </c>
      <c r="JV113" s="272">
        <f ca="1">IF(JU113="","",Foglio3!DR86)</f>
        <v>0</v>
      </c>
      <c r="JW113" s="272">
        <f ca="1">IF(Foglio3!DN86=100000,"",Foglio3!DS86)</f>
        <v>26858.54</v>
      </c>
      <c r="JX113" s="272">
        <f ca="1">IF(Foglio3!DN86=100000,"",Foglio3!DT86)</f>
        <v>22235.23</v>
      </c>
      <c r="JY113" s="272">
        <f ca="1">IF(Foglio3!DN86=100000,"",Foglio3!DU86)</f>
        <v>294.5</v>
      </c>
      <c r="JZ113" s="272" t="str">
        <f ca="1">IF(Foglio3!DN86=100000,"",Foglio3!DV86)</f>
        <v>15/20 anni</v>
      </c>
    </row>
    <row r="114" spans="5:286" ht="30" x14ac:dyDescent="0.25">
      <c r="E114" s="240" t="str">
        <f>Foglio3!F94</f>
        <v/>
      </c>
      <c r="F114" s="240" t="str">
        <f>Foglio3!G94</f>
        <v/>
      </c>
      <c r="G114" s="244"/>
      <c r="H114" s="245">
        <f t="shared" si="189"/>
        <v>0</v>
      </c>
      <c r="I114" s="245">
        <f t="shared" si="188"/>
        <v>0</v>
      </c>
      <c r="J114" s="244"/>
      <c r="K114" s="244"/>
      <c r="Q114">
        <f t="shared" si="154"/>
        <v>1</v>
      </c>
      <c r="R114">
        <f t="shared" si="155"/>
        <v>1</v>
      </c>
      <c r="S114">
        <f t="shared" si="156"/>
        <v>0</v>
      </c>
      <c r="T114">
        <f t="shared" si="157"/>
        <v>0</v>
      </c>
      <c r="U114">
        <f t="shared" si="158"/>
        <v>1</v>
      </c>
      <c r="W114">
        <f t="shared" si="159"/>
        <v>7</v>
      </c>
      <c r="X114">
        <f t="shared" si="160"/>
        <v>153</v>
      </c>
      <c r="Y114">
        <f t="shared" si="161"/>
        <v>383</v>
      </c>
      <c r="AA114" s="112" t="e">
        <f t="shared" si="198"/>
        <v>#VALUE!</v>
      </c>
      <c r="AB114" s="112" t="e">
        <f t="shared" si="199"/>
        <v>#VALUE!</v>
      </c>
      <c r="AG114">
        <f t="shared" si="190"/>
        <v>1</v>
      </c>
      <c r="AH114" s="112">
        <f t="shared" si="200"/>
        <v>0</v>
      </c>
      <c r="AI114" s="112">
        <f t="shared" si="201"/>
        <v>0</v>
      </c>
      <c r="CG114" t="e">
        <f t="shared" si="182"/>
        <v>#VALUE!</v>
      </c>
      <c r="CH114" t="e">
        <f t="shared" si="183"/>
        <v>#VALUE!</v>
      </c>
      <c r="CJ114" t="e">
        <f t="shared" si="184"/>
        <v>#VALUE!</v>
      </c>
      <c r="CK114" t="e">
        <f t="shared" si="185"/>
        <v>#VALUE!</v>
      </c>
      <c r="CL114" t="e">
        <f t="shared" si="186"/>
        <v>#VALUE!</v>
      </c>
      <c r="CN114" t="e">
        <f t="shared" si="187"/>
        <v>#VALUE!</v>
      </c>
      <c r="CS114">
        <f t="shared" si="178"/>
        <v>1</v>
      </c>
      <c r="CT114">
        <f t="shared" si="179"/>
        <v>0</v>
      </c>
      <c r="CU114" s="243">
        <f t="shared" si="191"/>
        <v>0</v>
      </c>
      <c r="CV114" s="112">
        <f t="shared" si="180"/>
        <v>0</v>
      </c>
      <c r="CX114" s="112">
        <f>IF(                    AND( CT114&gt;=$CQ$39,CT113&lt;=$CQ$39   ),CV114-(CT114-$CQ$39),100000)</f>
        <v>100000</v>
      </c>
      <c r="CY114" s="112">
        <f t="shared" si="202"/>
        <v>100000</v>
      </c>
      <c r="CZ114" s="112">
        <f t="shared" si="203"/>
        <v>100000</v>
      </c>
      <c r="DA114" s="112">
        <f t="shared" si="204"/>
        <v>100000</v>
      </c>
      <c r="DB114" s="112">
        <f t="shared" si="205"/>
        <v>100000</v>
      </c>
      <c r="DC114" s="112">
        <f t="shared" si="206"/>
        <v>100000</v>
      </c>
      <c r="DU114" s="112"/>
      <c r="DV114" s="112"/>
      <c r="EU114" s="253"/>
      <c r="EW114" s="253"/>
      <c r="EX114" s="238"/>
      <c r="FQ114" s="254"/>
      <c r="HW114" s="253" t="s">
        <v>187</v>
      </c>
      <c r="HX114" s="112" t="e">
        <f t="shared" si="193"/>
        <v>#VALUE!</v>
      </c>
      <c r="HY114" t="s">
        <v>188</v>
      </c>
      <c r="HZ114" s="112" t="e">
        <f t="shared" si="194"/>
        <v>#VALUE!</v>
      </c>
      <c r="IA114" t="s">
        <v>189</v>
      </c>
      <c r="IB114">
        <f t="shared" si="195"/>
        <v>0</v>
      </c>
      <c r="IC114" t="s">
        <v>192</v>
      </c>
      <c r="ID114">
        <f t="shared" si="196"/>
        <v>0</v>
      </c>
      <c r="IE114" t="s">
        <v>191</v>
      </c>
      <c r="IF114" s="254">
        <f t="shared" si="197"/>
        <v>1</v>
      </c>
      <c r="IK114" t="str">
        <f t="shared" si="167"/>
        <v/>
      </c>
      <c r="JP114">
        <f ca="1">IF(Foglio3!DM87=100000,0,IF(Foglio3!DM87="",0,1))</f>
        <v>1</v>
      </c>
      <c r="JQ114" s="314">
        <f ca="1" xml:space="preserve">   IF(JP114=1,     Foglio3!DM87,IF(JP114=0,IF(JP113=1,"","")))</f>
        <v>43191</v>
      </c>
      <c r="JR114" s="314">
        <f ca="1">IF(          Foglio3!DN87=100000,"",Foglio3!DN87)</f>
        <v>43343</v>
      </c>
      <c r="JS114" s="272">
        <f ca="1">IF(Foglio3!DN87=100000,"",Foglio3!DO87)</f>
        <v>18</v>
      </c>
      <c r="JT114" s="272">
        <f ca="1">IF(Foglio3!DN87=100000,"",Foglio3!DP87)</f>
        <v>24</v>
      </c>
      <c r="JU114" s="272">
        <f ca="1">IF(Foglio3!DN87=100000,"",Foglio3!DQ87)</f>
        <v>153</v>
      </c>
      <c r="JV114" s="272">
        <f ca="1">IF(JU114="","",Foglio3!DR87)</f>
        <v>0</v>
      </c>
      <c r="JW114" s="272">
        <f ca="1">IF(Foglio3!DN87=100000,"",Foglio3!DS87)</f>
        <v>26858.54</v>
      </c>
      <c r="JX114" s="272">
        <f ca="1">IF(Foglio3!DN87=100000,"",Foglio3!DT87)</f>
        <v>22235.23</v>
      </c>
      <c r="JY114" s="272">
        <f ca="1">IF(Foglio3!DN87=100000,"",Foglio3!DU87)</f>
        <v>1453.49</v>
      </c>
      <c r="JZ114" s="272" t="str">
        <f ca="1">IF(Foglio3!DN87=100000,"",Foglio3!DV87)</f>
        <v>15/20 anni</v>
      </c>
    </row>
    <row r="115" spans="5:286" ht="30" x14ac:dyDescent="0.25">
      <c r="E115" s="240" t="str">
        <f>Foglio3!F95</f>
        <v/>
      </c>
      <c r="F115" s="240" t="str">
        <f>Foglio3!G95</f>
        <v/>
      </c>
      <c r="G115" s="244"/>
      <c r="H115" s="245">
        <f t="shared" si="189"/>
        <v>0</v>
      </c>
      <c r="I115" s="245">
        <f t="shared" si="188"/>
        <v>0</v>
      </c>
      <c r="J115" s="244"/>
      <c r="K115" s="244"/>
      <c r="Q115">
        <f t="shared" si="154"/>
        <v>1</v>
      </c>
      <c r="R115">
        <f t="shared" si="155"/>
        <v>1</v>
      </c>
      <c r="S115">
        <f t="shared" si="156"/>
        <v>0</v>
      </c>
      <c r="T115">
        <f t="shared" si="157"/>
        <v>0</v>
      </c>
      <c r="U115">
        <f t="shared" si="158"/>
        <v>1</v>
      </c>
      <c r="W115">
        <f t="shared" si="159"/>
        <v>7</v>
      </c>
      <c r="X115">
        <f t="shared" si="160"/>
        <v>153</v>
      </c>
      <c r="Y115">
        <f t="shared" si="161"/>
        <v>384</v>
      </c>
      <c r="AA115" s="112" t="e">
        <f t="shared" si="198"/>
        <v>#VALUE!</v>
      </c>
      <c r="AB115" s="112" t="e">
        <f t="shared" si="199"/>
        <v>#VALUE!</v>
      </c>
      <c r="AG115">
        <f t="shared" si="190"/>
        <v>1</v>
      </c>
      <c r="AH115" s="112">
        <f t="shared" si="200"/>
        <v>0</v>
      </c>
      <c r="AI115" s="112">
        <f t="shared" si="201"/>
        <v>0</v>
      </c>
      <c r="CG115" t="e">
        <f t="shared" si="182"/>
        <v>#VALUE!</v>
      </c>
      <c r="CH115" t="e">
        <f t="shared" si="183"/>
        <v>#VALUE!</v>
      </c>
      <c r="CJ115" t="e">
        <f t="shared" si="184"/>
        <v>#VALUE!</v>
      </c>
      <c r="CK115" t="e">
        <f t="shared" si="185"/>
        <v>#VALUE!</v>
      </c>
      <c r="CL115" t="e">
        <f t="shared" si="186"/>
        <v>#VALUE!</v>
      </c>
      <c r="CN115" t="e">
        <f t="shared" si="187"/>
        <v>#VALUE!</v>
      </c>
      <c r="CS115">
        <f t="shared" si="178"/>
        <v>1</v>
      </c>
      <c r="CT115">
        <f t="shared" si="179"/>
        <v>0</v>
      </c>
      <c r="CU115" s="243">
        <f t="shared" si="191"/>
        <v>0</v>
      </c>
      <c r="CV115" s="112">
        <f t="shared" si="180"/>
        <v>0</v>
      </c>
      <c r="CX115" s="112">
        <f>IF(                    AND( CT115&gt;=$CQ$39,CT114&lt;=$CQ$39   ),CV115-(CT115-$CQ$39),100000)</f>
        <v>100000</v>
      </c>
      <c r="CY115" s="112">
        <f t="shared" si="202"/>
        <v>100000</v>
      </c>
      <c r="CZ115" s="112">
        <f t="shared" si="203"/>
        <v>100000</v>
      </c>
      <c r="DA115" s="112">
        <f t="shared" si="204"/>
        <v>100000</v>
      </c>
      <c r="DB115" s="112">
        <f t="shared" si="205"/>
        <v>100000</v>
      </c>
      <c r="DC115" s="112">
        <f t="shared" si="206"/>
        <v>100000</v>
      </c>
      <c r="DU115" s="112"/>
      <c r="DV115" s="112"/>
      <c r="EU115" s="253"/>
      <c r="EW115" s="253"/>
      <c r="EX115" s="238"/>
      <c r="FQ115" s="254"/>
      <c r="HW115" s="253" t="s">
        <v>187</v>
      </c>
      <c r="HX115" s="112" t="e">
        <f t="shared" si="193"/>
        <v>#VALUE!</v>
      </c>
      <c r="HY115" t="s">
        <v>188</v>
      </c>
      <c r="HZ115" s="112" t="e">
        <f t="shared" si="194"/>
        <v>#VALUE!</v>
      </c>
      <c r="IA115" t="s">
        <v>189</v>
      </c>
      <c r="IB115">
        <f t="shared" si="195"/>
        <v>0</v>
      </c>
      <c r="IC115" t="s">
        <v>192</v>
      </c>
      <c r="ID115">
        <f t="shared" si="196"/>
        <v>0</v>
      </c>
      <c r="IE115" t="s">
        <v>191</v>
      </c>
      <c r="IF115" s="254">
        <f t="shared" si="197"/>
        <v>1</v>
      </c>
      <c r="IK115" t="str">
        <f t="shared" si="167"/>
        <v/>
      </c>
      <c r="JP115">
        <f ca="1">IF(Foglio3!DM88=100000,0,IF(Foglio3!DM88="",0,1))</f>
        <v>1</v>
      </c>
      <c r="JQ115" s="314">
        <f ca="1" xml:space="preserve">   IF(JP115=1,     Foglio3!DM88,IF(JP115=0,IF(JP114=1,"","")))</f>
        <v>43344</v>
      </c>
      <c r="JR115" s="314">
        <f ca="1">IF(          Foglio3!DN88=100000,"",Foglio3!DN88)</f>
        <v>43465</v>
      </c>
      <c r="JS115" s="272">
        <f ca="1">IF(Foglio3!DN88=100000,"",Foglio3!DO88)</f>
        <v>18</v>
      </c>
      <c r="JT115" s="272">
        <f ca="1">IF(Foglio3!DN88=100000,"",Foglio3!DP88)</f>
        <v>24</v>
      </c>
      <c r="JU115" s="272">
        <f ca="1">IF(Foglio3!DN88=100000,"",Foglio3!DQ88)</f>
        <v>122</v>
      </c>
      <c r="JV115" s="272">
        <f ca="1">IF(JU115="","",Foglio3!DR88)</f>
        <v>0</v>
      </c>
      <c r="JW115" s="272">
        <f ca="1">IF(Foglio3!DN88=100000,"",Foglio3!DS88)</f>
        <v>26858.54</v>
      </c>
      <c r="JX115" s="272">
        <f ca="1">IF(Foglio3!DN88=100000,"",Foglio3!DT88)</f>
        <v>22235.23</v>
      </c>
      <c r="JY115" s="272">
        <f ca="1">IF(Foglio3!DN88=100000,"",Foglio3!DU88)</f>
        <v>1158.99</v>
      </c>
      <c r="JZ115" s="272" t="str">
        <f ca="1">IF(Foglio3!DN88=100000,"",Foglio3!DV88)</f>
        <v>15/20 anni</v>
      </c>
    </row>
    <row r="116" spans="5:286" x14ac:dyDescent="0.25">
      <c r="E116" s="240" t="str">
        <f>Foglio3!F96</f>
        <v/>
      </c>
      <c r="F116" s="240" t="str">
        <f>Foglio3!G96</f>
        <v/>
      </c>
      <c r="G116" s="244"/>
      <c r="H116" s="245">
        <f t="shared" si="189"/>
        <v>0</v>
      </c>
      <c r="I116" s="245">
        <f t="shared" si="188"/>
        <v>0</v>
      </c>
      <c r="J116" s="244"/>
      <c r="K116" s="244"/>
      <c r="Q116">
        <f t="shared" si="154"/>
        <v>1</v>
      </c>
      <c r="R116">
        <f t="shared" si="155"/>
        <v>1</v>
      </c>
      <c r="S116">
        <f t="shared" si="156"/>
        <v>0</v>
      </c>
      <c r="T116">
        <f t="shared" si="157"/>
        <v>0</v>
      </c>
      <c r="U116">
        <f t="shared" si="158"/>
        <v>1</v>
      </c>
      <c r="W116">
        <f t="shared" si="159"/>
        <v>7</v>
      </c>
      <c r="X116">
        <f t="shared" si="160"/>
        <v>153</v>
      </c>
      <c r="Y116">
        <f t="shared" si="161"/>
        <v>385</v>
      </c>
      <c r="AA116" s="112" t="e">
        <f t="shared" si="198"/>
        <v>#VALUE!</v>
      </c>
      <c r="AB116" s="112" t="e">
        <f t="shared" si="199"/>
        <v>#VALUE!</v>
      </c>
      <c r="AG116">
        <f t="shared" si="190"/>
        <v>1</v>
      </c>
      <c r="AH116" s="112">
        <f t="shared" si="200"/>
        <v>0</v>
      </c>
      <c r="AI116" s="112">
        <f t="shared" si="201"/>
        <v>0</v>
      </c>
      <c r="CG116" t="e">
        <f t="shared" si="182"/>
        <v>#VALUE!</v>
      </c>
      <c r="CH116" t="e">
        <f t="shared" si="183"/>
        <v>#VALUE!</v>
      </c>
      <c r="CJ116" t="e">
        <f t="shared" si="184"/>
        <v>#VALUE!</v>
      </c>
      <c r="CK116" t="e">
        <f t="shared" si="185"/>
        <v>#VALUE!</v>
      </c>
      <c r="CL116" t="e">
        <f t="shared" si="186"/>
        <v>#VALUE!</v>
      </c>
      <c r="CN116" t="e">
        <f t="shared" si="187"/>
        <v>#VALUE!</v>
      </c>
      <c r="CS116">
        <f t="shared" si="178"/>
        <v>1</v>
      </c>
      <c r="CT116">
        <f t="shared" si="179"/>
        <v>0</v>
      </c>
      <c r="CU116" s="243">
        <f t="shared" si="191"/>
        <v>0</v>
      </c>
      <c r="CV116" s="112">
        <f t="shared" si="180"/>
        <v>0</v>
      </c>
      <c r="CX116" s="112">
        <f>IF(                    AND( CT116&gt;=$CQ$39,CT115&lt;=$CQ$39   ),CV116-(CT116-$CQ$39),100000)</f>
        <v>100000</v>
      </c>
      <c r="CY116" s="112">
        <f t="shared" si="202"/>
        <v>100000</v>
      </c>
      <c r="CZ116" s="112">
        <f t="shared" si="203"/>
        <v>100000</v>
      </c>
      <c r="DA116" s="112">
        <f t="shared" si="204"/>
        <v>100000</v>
      </c>
      <c r="DB116" s="112">
        <f t="shared" si="205"/>
        <v>100000</v>
      </c>
      <c r="DC116" s="112">
        <f t="shared" si="206"/>
        <v>100000</v>
      </c>
      <c r="DU116" s="112"/>
      <c r="DV116" s="112"/>
      <c r="EU116" s="253"/>
      <c r="EW116" s="253"/>
      <c r="EX116" s="238"/>
      <c r="FQ116" s="254"/>
      <c r="HW116" s="253" t="s">
        <v>187</v>
      </c>
      <c r="HX116" s="112" t="e">
        <f t="shared" si="193"/>
        <v>#VALUE!</v>
      </c>
      <c r="HY116" t="s">
        <v>188</v>
      </c>
      <c r="HZ116" s="112" t="e">
        <f t="shared" si="194"/>
        <v>#VALUE!</v>
      </c>
      <c r="IA116" t="s">
        <v>189</v>
      </c>
      <c r="IB116">
        <f t="shared" si="195"/>
        <v>0</v>
      </c>
      <c r="IC116" t="s">
        <v>192</v>
      </c>
      <c r="ID116">
        <f t="shared" si="196"/>
        <v>0</v>
      </c>
      <c r="IE116" t="s">
        <v>191</v>
      </c>
      <c r="IF116" s="254">
        <f t="shared" si="197"/>
        <v>1</v>
      </c>
      <c r="IK116" t="str">
        <f t="shared" si="167"/>
        <v/>
      </c>
      <c r="JP116">
        <f ca="1">IF(Foglio3!DM89=100000,0,IF(Foglio3!DM89="",0,1))</f>
        <v>1</v>
      </c>
      <c r="JQ116" s="314">
        <f ca="1" xml:space="preserve">   IF(JP116=1,     Foglio3!DM89,IF(JP116=0,IF(JP115=1,"","")))</f>
        <v>43466</v>
      </c>
      <c r="JR116" s="314" t="e">
        <f ca="1">IF(          Foglio3!DN89=100000,"",Foglio3!DN89)</f>
        <v>#REF!</v>
      </c>
      <c r="JS116" s="272" t="e">
        <f ca="1">IF(Foglio3!DN89=100000,"",Foglio3!DO89)</f>
        <v>#REF!</v>
      </c>
      <c r="JT116" s="272" t="e">
        <f ca="1">IF(Foglio3!DN89=100000,"",Foglio3!DP89)</f>
        <v>#REF!</v>
      </c>
      <c r="JU116" s="272" t="e">
        <f ca="1">IF(Foglio3!DN89=100000,"",Foglio3!DQ89)</f>
        <v>#REF!</v>
      </c>
      <c r="JV116" s="272" t="e">
        <f ca="1">IF(JU116="","",Foglio3!DR89)</f>
        <v>#REF!</v>
      </c>
      <c r="JW116" s="272" t="e">
        <f ca="1">IF(Foglio3!DN89=100000,"",Foglio3!DS89)</f>
        <v>#REF!</v>
      </c>
      <c r="JX116" s="272" t="e">
        <f ca="1">IF(Foglio3!DN89=100000,"",Foglio3!DT89)</f>
        <v>#REF!</v>
      </c>
      <c r="JY116" s="272" t="e">
        <f ca="1">IF(Foglio3!DN89=100000,"",Foglio3!DU89)</f>
        <v>#REF!</v>
      </c>
      <c r="JZ116" s="272" t="e">
        <f ca="1">IF(Foglio3!DN89=100000,"",Foglio3!DV89)</f>
        <v>#REF!</v>
      </c>
    </row>
    <row r="117" spans="5:286" x14ac:dyDescent="0.25">
      <c r="E117" s="240" t="str">
        <f>Foglio3!F97</f>
        <v/>
      </c>
      <c r="F117" s="240" t="str">
        <f>Foglio3!G97</f>
        <v/>
      </c>
      <c r="G117" s="244"/>
      <c r="H117" s="245">
        <f t="shared" si="189"/>
        <v>0</v>
      </c>
      <c r="I117" s="245">
        <f t="shared" si="188"/>
        <v>0</v>
      </c>
      <c r="J117" s="244"/>
      <c r="K117" s="244"/>
      <c r="Q117">
        <f t="shared" ref="Q117:Q131" si="207">I117-H117+1</f>
        <v>1</v>
      </c>
      <c r="R117">
        <f t="shared" ref="R117:R131" si="208">IF(Q117&lt;0,0,Q117-BV117*AG117)</f>
        <v>1</v>
      </c>
      <c r="S117">
        <f t="shared" ref="S117:S131" si="209">INT(R117/365)</f>
        <v>0</v>
      </c>
      <c r="T117">
        <f t="shared" ref="T117:T131" si="210">INT( (R117-(S117*365))/30)</f>
        <v>0</v>
      </c>
      <c r="U117">
        <f t="shared" ref="U117:U131" si="211">R117- ((S117*365)+T117*30)</f>
        <v>1</v>
      </c>
      <c r="W117">
        <f t="shared" ref="W117:W131" si="212">S117+W116</f>
        <v>7</v>
      </c>
      <c r="X117">
        <f t="shared" ref="X117:X131" si="213">T117+X116</f>
        <v>153</v>
      </c>
      <c r="Y117">
        <f t="shared" ref="Y117:Y131" si="214">U117+Y116</f>
        <v>386</v>
      </c>
      <c r="AA117" s="112" t="e">
        <f t="shared" si="198"/>
        <v>#VALUE!</v>
      </c>
      <c r="AB117" s="112" t="e">
        <f t="shared" si="199"/>
        <v>#VALUE!</v>
      </c>
      <c r="AG117">
        <f t="shared" si="190"/>
        <v>1</v>
      </c>
      <c r="AH117" s="112">
        <f t="shared" si="200"/>
        <v>0</v>
      </c>
      <c r="AI117" s="112">
        <f t="shared" si="201"/>
        <v>0</v>
      </c>
      <c r="CG117" t="e">
        <f t="shared" si="182"/>
        <v>#VALUE!</v>
      </c>
      <c r="CH117" t="e">
        <f t="shared" si="183"/>
        <v>#VALUE!</v>
      </c>
      <c r="CJ117" t="e">
        <f t="shared" si="184"/>
        <v>#VALUE!</v>
      </c>
      <c r="CK117" t="e">
        <f t="shared" si="185"/>
        <v>#VALUE!</v>
      </c>
      <c r="CL117" t="e">
        <f t="shared" si="186"/>
        <v>#VALUE!</v>
      </c>
      <c r="CN117" t="e">
        <f t="shared" si="187"/>
        <v>#VALUE!</v>
      </c>
      <c r="CS117">
        <f t="shared" si="178"/>
        <v>1</v>
      </c>
      <c r="CT117">
        <f t="shared" si="179"/>
        <v>0</v>
      </c>
      <c r="CU117" s="243">
        <f t="shared" si="191"/>
        <v>0</v>
      </c>
      <c r="CV117" s="112">
        <f t="shared" si="180"/>
        <v>0</v>
      </c>
      <c r="CX117" s="112">
        <f>IF(                    AND( CT117&gt;=$CQ$39,CT116&lt;=$CQ$39   ),CV117-(CT117-$CQ$39),100000)</f>
        <v>100000</v>
      </c>
      <c r="CY117" s="112">
        <f t="shared" si="202"/>
        <v>100000</v>
      </c>
      <c r="CZ117" s="112">
        <f t="shared" si="203"/>
        <v>100000</v>
      </c>
      <c r="DA117" s="112">
        <f t="shared" si="204"/>
        <v>100000</v>
      </c>
      <c r="DB117" s="112">
        <f t="shared" si="205"/>
        <v>100000</v>
      </c>
      <c r="DC117" s="112">
        <f t="shared" si="206"/>
        <v>100000</v>
      </c>
      <c r="DU117" s="112"/>
      <c r="DV117" s="112"/>
      <c r="EU117" s="253"/>
      <c r="EW117" s="253"/>
      <c r="EX117" s="238"/>
      <c r="FQ117" s="254"/>
      <c r="HW117" s="253" t="s">
        <v>187</v>
      </c>
      <c r="HX117" s="112" t="e">
        <f t="shared" si="193"/>
        <v>#VALUE!</v>
      </c>
      <c r="HY117" t="s">
        <v>188</v>
      </c>
      <c r="HZ117" s="112" t="e">
        <f t="shared" si="194"/>
        <v>#VALUE!</v>
      </c>
      <c r="IA117" t="s">
        <v>189</v>
      </c>
      <c r="IB117">
        <f t="shared" si="195"/>
        <v>0</v>
      </c>
      <c r="IC117" t="s">
        <v>192</v>
      </c>
      <c r="ID117">
        <f t="shared" si="196"/>
        <v>0</v>
      </c>
      <c r="IE117" t="s">
        <v>191</v>
      </c>
      <c r="IF117" s="254">
        <f t="shared" si="197"/>
        <v>1</v>
      </c>
      <c r="IK117" t="str">
        <f t="shared" si="167"/>
        <v/>
      </c>
      <c r="JP117" t="e">
        <f ca="1">IF(Foglio3!DM90=100000,0,IF(Foglio3!DM90="",0,1))</f>
        <v>#REF!</v>
      </c>
      <c r="JQ117" s="314" t="e">
        <f ca="1" xml:space="preserve">   IF(JP117=1,     Foglio3!DM90,IF(JP117=0,IF(JP116=1,"","")))</f>
        <v>#REF!</v>
      </c>
      <c r="JR117" s="314" t="e">
        <f ca="1">IF(          Foglio3!DN90=100000,"",Foglio3!DN90)</f>
        <v>#REF!</v>
      </c>
      <c r="JS117" s="272" t="e">
        <f ca="1">IF(Foglio3!DN90=100000,"",Foglio3!DO90)</f>
        <v>#REF!</v>
      </c>
      <c r="JT117" s="272" t="e">
        <f ca="1">IF(Foglio3!DN90=100000,"",Foglio3!DP90)</f>
        <v>#REF!</v>
      </c>
      <c r="JU117" s="272" t="e">
        <f ca="1">IF(Foglio3!DN90=100000,"",Foglio3!DQ90)</f>
        <v>#REF!</v>
      </c>
      <c r="JV117" s="272" t="e">
        <f ca="1">IF(JU117="","",Foglio3!DR90)</f>
        <v>#REF!</v>
      </c>
      <c r="JW117" s="272" t="e">
        <f ca="1">IF(Foglio3!DN90=100000,"",Foglio3!DS90)</f>
        <v>#REF!</v>
      </c>
      <c r="JX117" s="272" t="e">
        <f ca="1">IF(Foglio3!DN90=100000,"",Foglio3!DT90)</f>
        <v>#REF!</v>
      </c>
      <c r="JY117" s="272" t="e">
        <f ca="1">IF(Foglio3!DN90=100000,"",Foglio3!DU90)</f>
        <v>#REF!</v>
      </c>
      <c r="JZ117" s="272" t="e">
        <f ca="1">IF(Foglio3!DN90=100000,"",Foglio3!DV90)</f>
        <v>#REF!</v>
      </c>
    </row>
    <row r="118" spans="5:286" ht="15.75" thickBot="1" x14ac:dyDescent="0.3">
      <c r="E118" s="240" t="str">
        <f>Foglio3!F98</f>
        <v/>
      </c>
      <c r="F118" s="240" t="str">
        <f>Foglio3!G98</f>
        <v/>
      </c>
      <c r="G118" s="244"/>
      <c r="H118" s="245">
        <f t="shared" si="189"/>
        <v>0</v>
      </c>
      <c r="I118" s="245">
        <f t="shared" si="188"/>
        <v>0</v>
      </c>
      <c r="J118" s="244"/>
      <c r="K118" s="244"/>
      <c r="Q118">
        <f t="shared" si="207"/>
        <v>1</v>
      </c>
      <c r="R118">
        <f t="shared" si="208"/>
        <v>1</v>
      </c>
      <c r="S118">
        <f t="shared" si="209"/>
        <v>0</v>
      </c>
      <c r="T118">
        <f t="shared" si="210"/>
        <v>0</v>
      </c>
      <c r="U118">
        <f t="shared" si="211"/>
        <v>1</v>
      </c>
      <c r="W118">
        <f t="shared" si="212"/>
        <v>7</v>
      </c>
      <c r="X118">
        <f t="shared" si="213"/>
        <v>153</v>
      </c>
      <c r="Y118">
        <f t="shared" si="214"/>
        <v>387</v>
      </c>
      <c r="AA118" s="112" t="e">
        <f t="shared" si="198"/>
        <v>#VALUE!</v>
      </c>
      <c r="AB118" s="112" t="e">
        <f t="shared" si="199"/>
        <v>#VALUE!</v>
      </c>
      <c r="AG118">
        <f t="shared" si="190"/>
        <v>1</v>
      </c>
      <c r="AH118" s="112">
        <f t="shared" si="200"/>
        <v>0</v>
      </c>
      <c r="AI118" s="112">
        <f t="shared" si="201"/>
        <v>0</v>
      </c>
      <c r="DU118" s="112"/>
      <c r="DV118" s="112"/>
      <c r="EU118" s="255"/>
      <c r="EV118" s="257"/>
      <c r="EW118" s="255"/>
      <c r="EX118" s="256"/>
      <c r="EY118" s="257"/>
      <c r="EZ118" s="257"/>
      <c r="FA118" s="257"/>
      <c r="FB118" s="257"/>
      <c r="FC118" s="257"/>
      <c r="FD118" s="257"/>
      <c r="FE118" s="257"/>
      <c r="FF118" s="257"/>
      <c r="FG118" s="257"/>
      <c r="FH118" s="257"/>
      <c r="FI118" s="257"/>
      <c r="FJ118" s="257"/>
      <c r="FK118" s="257"/>
      <c r="FL118" s="257"/>
      <c r="FM118" s="257"/>
      <c r="FN118" s="257"/>
      <c r="FO118" s="257"/>
      <c r="FP118" s="257"/>
      <c r="FQ118" s="258"/>
      <c r="HW118" s="253" t="s">
        <v>187</v>
      </c>
      <c r="HX118" s="112" t="e">
        <f t="shared" si="193"/>
        <v>#VALUE!</v>
      </c>
      <c r="HY118" t="s">
        <v>188</v>
      </c>
      <c r="HZ118" s="112" t="e">
        <f t="shared" si="194"/>
        <v>#VALUE!</v>
      </c>
      <c r="IA118" t="s">
        <v>189</v>
      </c>
      <c r="IB118">
        <f t="shared" si="195"/>
        <v>0</v>
      </c>
      <c r="IC118" t="s">
        <v>192</v>
      </c>
      <c r="ID118">
        <f t="shared" si="196"/>
        <v>0</v>
      </c>
      <c r="IE118" t="s">
        <v>191</v>
      </c>
      <c r="IF118" s="254">
        <f t="shared" si="197"/>
        <v>1</v>
      </c>
      <c r="IK118" t="str">
        <f t="shared" si="167"/>
        <v/>
      </c>
      <c r="JP118" t="e">
        <f ca="1">IF(Foglio3!DM91=100000,0,IF(Foglio3!DM91="",0,1))</f>
        <v>#REF!</v>
      </c>
      <c r="JQ118" s="314" t="e">
        <f ca="1" xml:space="preserve">   IF(JP118=1,     Foglio3!DM91,IF(JP118=0,IF(JP117=1,"","")))</f>
        <v>#REF!</v>
      </c>
      <c r="JR118" s="314" t="e">
        <f ca="1">IF(          Foglio3!DN91=100000,"",Foglio3!DN91)</f>
        <v>#REF!</v>
      </c>
      <c r="JS118" s="272" t="e">
        <f ca="1">IF(Foglio3!DN91=100000,"",Foglio3!DO91)</f>
        <v>#REF!</v>
      </c>
      <c r="JT118" s="272" t="e">
        <f ca="1">IF(Foglio3!DN91=100000,"",Foglio3!DP91)</f>
        <v>#REF!</v>
      </c>
      <c r="JU118" s="272" t="e">
        <f ca="1">IF(Foglio3!DN91=100000,"",Foglio3!DQ91)</f>
        <v>#REF!</v>
      </c>
      <c r="JV118" s="272" t="e">
        <f ca="1">IF(JU118="","",Foglio3!DR91)</f>
        <v>#REF!</v>
      </c>
      <c r="JW118" s="272" t="e">
        <f ca="1">IF(Foglio3!DN91=100000,"",Foglio3!DS91)</f>
        <v>#REF!</v>
      </c>
      <c r="JX118" s="272" t="e">
        <f ca="1">IF(Foglio3!DN91=100000,"",Foglio3!DT91)</f>
        <v>#REF!</v>
      </c>
      <c r="JY118" s="272" t="e">
        <f ca="1">IF(Foglio3!DN91=100000,"",Foglio3!DU91)</f>
        <v>#REF!</v>
      </c>
      <c r="JZ118" s="272" t="e">
        <f ca="1">IF(Foglio3!DN91=100000,"",Foglio3!DV91)</f>
        <v>#REF!</v>
      </c>
    </row>
    <row r="119" spans="5:286" x14ac:dyDescent="0.25">
      <c r="E119" s="240" t="str">
        <f>Foglio3!F99</f>
        <v/>
      </c>
      <c r="F119" s="240" t="str">
        <f>Foglio3!G99</f>
        <v/>
      </c>
      <c r="G119" s="244"/>
      <c r="H119" s="245">
        <f t="shared" si="189"/>
        <v>0</v>
      </c>
      <c r="I119" s="245">
        <f t="shared" si="188"/>
        <v>0</v>
      </c>
      <c r="J119" s="244"/>
      <c r="K119" s="244"/>
      <c r="Q119">
        <f t="shared" si="207"/>
        <v>1</v>
      </c>
      <c r="R119">
        <f t="shared" si="208"/>
        <v>1</v>
      </c>
      <c r="S119">
        <f t="shared" si="209"/>
        <v>0</v>
      </c>
      <c r="T119">
        <f t="shared" si="210"/>
        <v>0</v>
      </c>
      <c r="U119">
        <f t="shared" si="211"/>
        <v>1</v>
      </c>
      <c r="W119">
        <f t="shared" si="212"/>
        <v>7</v>
      </c>
      <c r="X119">
        <f t="shared" si="213"/>
        <v>153</v>
      </c>
      <c r="Y119">
        <f t="shared" si="214"/>
        <v>388</v>
      </c>
      <c r="AA119" s="112" t="e">
        <f t="shared" si="198"/>
        <v>#VALUE!</v>
      </c>
      <c r="AB119" s="112" t="e">
        <f t="shared" si="199"/>
        <v>#VALUE!</v>
      </c>
      <c r="AG119">
        <f t="shared" si="190"/>
        <v>1</v>
      </c>
      <c r="AH119" s="112">
        <f t="shared" si="200"/>
        <v>0</v>
      </c>
      <c r="AI119" s="112">
        <f t="shared" si="201"/>
        <v>0</v>
      </c>
      <c r="DU119" s="112"/>
      <c r="DV119" s="112"/>
      <c r="EX119" s="238"/>
      <c r="HW119" s="253" t="s">
        <v>187</v>
      </c>
      <c r="HX119" s="112" t="e">
        <f t="shared" si="193"/>
        <v>#VALUE!</v>
      </c>
      <c r="HY119" t="s">
        <v>188</v>
      </c>
      <c r="HZ119" s="112" t="e">
        <f t="shared" si="194"/>
        <v>#VALUE!</v>
      </c>
      <c r="IA119" t="s">
        <v>189</v>
      </c>
      <c r="IB119">
        <f t="shared" si="195"/>
        <v>0</v>
      </c>
      <c r="IC119" t="s">
        <v>192</v>
      </c>
      <c r="ID119">
        <f t="shared" si="196"/>
        <v>0</v>
      </c>
      <c r="IE119" t="s">
        <v>191</v>
      </c>
      <c r="IF119" s="254">
        <f t="shared" si="197"/>
        <v>1</v>
      </c>
      <c r="IK119" t="str">
        <f t="shared" si="167"/>
        <v/>
      </c>
      <c r="JP119" t="e">
        <f ca="1">IF(Foglio3!DM92=100000,0,IF(Foglio3!DM92="",0,1))</f>
        <v>#REF!</v>
      </c>
      <c r="JQ119" s="314" t="e">
        <f ca="1" xml:space="preserve">   IF(JP119=1,     Foglio3!DM92,IF(JP119=0,IF(JP118=1,"","")))</f>
        <v>#REF!</v>
      </c>
      <c r="JR119" s="314" t="e">
        <f ca="1">IF(          Foglio3!DN92=100000,"",Foglio3!DN92)</f>
        <v>#REF!</v>
      </c>
      <c r="JS119" s="272" t="e">
        <f ca="1">IF(Foglio3!DN92=100000,"",Foglio3!DO92)</f>
        <v>#REF!</v>
      </c>
      <c r="JT119" s="272" t="e">
        <f ca="1">IF(Foglio3!DN92=100000,"",Foglio3!DP92)</f>
        <v>#REF!</v>
      </c>
      <c r="JU119" s="272" t="e">
        <f ca="1">IF(Foglio3!DN92=100000,"",Foglio3!DQ92)</f>
        <v>#REF!</v>
      </c>
      <c r="JV119" s="272" t="e">
        <f ca="1">IF(JU119="","",Foglio3!DR92)</f>
        <v>#REF!</v>
      </c>
      <c r="JW119" s="272" t="e">
        <f ca="1">IF(Foglio3!DN92=100000,"",Foglio3!DS92)</f>
        <v>#REF!</v>
      </c>
      <c r="JX119" s="272" t="e">
        <f ca="1">IF(Foglio3!DN92=100000,"",Foglio3!DT92)</f>
        <v>#REF!</v>
      </c>
      <c r="JY119" s="272" t="e">
        <f ca="1">IF(Foglio3!DN92=100000,"",Foglio3!DU92)</f>
        <v>#REF!</v>
      </c>
      <c r="JZ119" s="272" t="e">
        <f ca="1">IF(Foglio3!DN92=100000,"",Foglio3!DV92)</f>
        <v>#REF!</v>
      </c>
    </row>
    <row r="120" spans="5:286" x14ac:dyDescent="0.25">
      <c r="E120" s="240" t="str">
        <f>Foglio3!F100</f>
        <v/>
      </c>
      <c r="F120" s="240" t="str">
        <f>Foglio3!G100</f>
        <v/>
      </c>
      <c r="G120" s="244"/>
      <c r="H120" s="245">
        <f t="shared" si="189"/>
        <v>0</v>
      </c>
      <c r="I120" s="245">
        <f t="shared" si="188"/>
        <v>0</v>
      </c>
      <c r="J120" s="244"/>
      <c r="K120" s="244"/>
      <c r="Q120">
        <f t="shared" si="207"/>
        <v>1</v>
      </c>
      <c r="R120">
        <f t="shared" si="208"/>
        <v>1</v>
      </c>
      <c r="S120">
        <f t="shared" si="209"/>
        <v>0</v>
      </c>
      <c r="T120">
        <f t="shared" si="210"/>
        <v>0</v>
      </c>
      <c r="U120">
        <f t="shared" si="211"/>
        <v>1</v>
      </c>
      <c r="W120">
        <f t="shared" si="212"/>
        <v>7</v>
      </c>
      <c r="X120">
        <f t="shared" si="213"/>
        <v>153</v>
      </c>
      <c r="Y120">
        <f t="shared" si="214"/>
        <v>389</v>
      </c>
      <c r="AH120" s="112">
        <f t="shared" si="200"/>
        <v>0</v>
      </c>
      <c r="AI120" s="112">
        <f t="shared" si="201"/>
        <v>0</v>
      </c>
      <c r="DU120" s="112"/>
      <c r="DV120" s="112"/>
      <c r="EX120" s="238"/>
      <c r="HW120" s="253" t="s">
        <v>187</v>
      </c>
      <c r="HX120" s="112" t="e">
        <f t="shared" si="193"/>
        <v>#VALUE!</v>
      </c>
      <c r="HY120" t="s">
        <v>188</v>
      </c>
      <c r="HZ120" s="112" t="e">
        <f t="shared" si="194"/>
        <v>#VALUE!</v>
      </c>
      <c r="IA120" t="s">
        <v>189</v>
      </c>
      <c r="IB120">
        <f t="shared" si="195"/>
        <v>0</v>
      </c>
      <c r="IC120" t="s">
        <v>192</v>
      </c>
      <c r="ID120">
        <f t="shared" si="196"/>
        <v>0</v>
      </c>
      <c r="IE120" t="s">
        <v>191</v>
      </c>
      <c r="IF120" s="254">
        <f t="shared" si="197"/>
        <v>1</v>
      </c>
      <c r="IK120" t="str">
        <f t="shared" si="167"/>
        <v/>
      </c>
      <c r="IV120" t="str">
        <f>CONCATENATE(IK120,IK121,IK122,IK123,IK124,IK125,IK126,IK127,IK128,IK129,IK130,IK131,IK132,IK133,IK134,I625,IK136,IK137,IK138,IK139,)</f>
        <v/>
      </c>
      <c r="JP120" t="e">
        <f ca="1">IF(Foglio3!DM93=100000,0,IF(Foglio3!DM93="",0,1))</f>
        <v>#REF!</v>
      </c>
      <c r="JQ120" s="314" t="e">
        <f ca="1" xml:space="preserve">   IF(JP120=1,     Foglio3!DM93,IF(JP120=0,IF(JP119=1,"","")))</f>
        <v>#REF!</v>
      </c>
      <c r="JR120" s="314" t="e">
        <f ca="1">IF(          Foglio3!DN93=100000,"",Foglio3!DN93)</f>
        <v>#REF!</v>
      </c>
      <c r="JS120" s="272" t="e">
        <f ca="1">IF(Foglio3!DN93=100000,"",Foglio3!DO93)</f>
        <v>#REF!</v>
      </c>
      <c r="JT120" s="272" t="e">
        <f ca="1">IF(Foglio3!DN93=100000,"",Foglio3!DP93)</f>
        <v>#REF!</v>
      </c>
      <c r="JU120" s="272" t="e">
        <f ca="1">IF(Foglio3!DN93=100000,"",Foglio3!DQ93)</f>
        <v>#REF!</v>
      </c>
      <c r="JV120" s="272" t="e">
        <f ca="1">IF(JU120="","",Foglio3!DR93)</f>
        <v>#REF!</v>
      </c>
      <c r="JW120" s="272" t="e">
        <f ca="1">IF(Foglio3!DN93=100000,"",Foglio3!DS93)</f>
        <v>#REF!</v>
      </c>
      <c r="JX120" s="272" t="e">
        <f ca="1">IF(Foglio3!DN93=100000,"",Foglio3!DT93)</f>
        <v>#REF!</v>
      </c>
      <c r="JY120" s="272" t="e">
        <f ca="1">IF(Foglio3!DN93=100000,"",Foglio3!DU93)</f>
        <v>#REF!</v>
      </c>
      <c r="JZ120" s="272" t="e">
        <f ca="1">IF(Foglio3!DN93=100000,"",Foglio3!DV93)</f>
        <v>#REF!</v>
      </c>
    </row>
    <row r="121" spans="5:286" x14ac:dyDescent="0.25">
      <c r="E121" s="240" t="str">
        <f>Foglio3!F101</f>
        <v/>
      </c>
      <c r="F121" s="240" t="str">
        <f>Foglio3!G101</f>
        <v/>
      </c>
      <c r="G121" s="244"/>
      <c r="H121" s="245">
        <f t="shared" si="189"/>
        <v>0</v>
      </c>
      <c r="I121" s="245">
        <f t="shared" si="188"/>
        <v>0</v>
      </c>
      <c r="J121" s="244"/>
      <c r="K121" s="244"/>
      <c r="Q121">
        <f t="shared" si="207"/>
        <v>1</v>
      </c>
      <c r="R121">
        <f t="shared" si="208"/>
        <v>1</v>
      </c>
      <c r="S121">
        <f t="shared" si="209"/>
        <v>0</v>
      </c>
      <c r="T121">
        <f t="shared" si="210"/>
        <v>0</v>
      </c>
      <c r="U121">
        <f t="shared" si="211"/>
        <v>1</v>
      </c>
      <c r="W121">
        <f t="shared" si="212"/>
        <v>7</v>
      </c>
      <c r="X121">
        <f t="shared" si="213"/>
        <v>153</v>
      </c>
      <c r="Y121">
        <f t="shared" si="214"/>
        <v>390</v>
      </c>
      <c r="AH121" s="112">
        <f t="shared" si="200"/>
        <v>0</v>
      </c>
      <c r="AI121" s="112">
        <f t="shared" si="201"/>
        <v>0</v>
      </c>
      <c r="DU121" s="112"/>
      <c r="DV121" s="112"/>
      <c r="EX121" s="238"/>
      <c r="HW121" s="253" t="s">
        <v>187</v>
      </c>
      <c r="HX121" s="112" t="e">
        <f t="shared" si="193"/>
        <v>#VALUE!</v>
      </c>
      <c r="HY121" t="s">
        <v>188</v>
      </c>
      <c r="HZ121" s="112" t="e">
        <f t="shared" si="194"/>
        <v>#VALUE!</v>
      </c>
      <c r="IA121" t="s">
        <v>189</v>
      </c>
      <c r="IB121">
        <f t="shared" si="195"/>
        <v>0</v>
      </c>
      <c r="IC121" t="s">
        <v>192</v>
      </c>
      <c r="ID121">
        <f t="shared" si="196"/>
        <v>0</v>
      </c>
      <c r="IE121" t="s">
        <v>191</v>
      </c>
      <c r="IF121" s="254">
        <f t="shared" si="197"/>
        <v>1</v>
      </c>
      <c r="IK121" t="str">
        <f t="shared" si="167"/>
        <v/>
      </c>
      <c r="JP121" t="e">
        <f ca="1">IF(Foglio3!DM94=100000,0,IF(Foglio3!DM94="",0,1))</f>
        <v>#REF!</v>
      </c>
      <c r="JQ121" s="314" t="e">
        <f ca="1" xml:space="preserve">   IF(JP121=1,     Foglio3!DM94,IF(JP121=0,IF(JP120=1,"","")))</f>
        <v>#REF!</v>
      </c>
      <c r="JR121" s="314" t="e">
        <f ca="1">IF(          Foglio3!DN94=100000,"",Foglio3!DN94)</f>
        <v>#REF!</v>
      </c>
      <c r="JS121" s="272" t="e">
        <f ca="1">IF(Foglio3!DN94=100000,"",Foglio3!DO94)</f>
        <v>#REF!</v>
      </c>
      <c r="JT121" s="272" t="e">
        <f ca="1">IF(Foglio3!DN94=100000,"",Foglio3!DP94)</f>
        <v>#REF!</v>
      </c>
      <c r="JU121" s="272" t="e">
        <f ca="1">IF(Foglio3!DN94=100000,"",Foglio3!DQ94)</f>
        <v>#REF!</v>
      </c>
      <c r="JV121" s="272" t="e">
        <f ca="1">IF(JU121="","",Foglio3!DR94)</f>
        <v>#REF!</v>
      </c>
      <c r="JW121" s="272" t="e">
        <f ca="1">IF(Foglio3!DN94=100000,"",Foglio3!DS94)</f>
        <v>#REF!</v>
      </c>
      <c r="JX121" s="272" t="e">
        <f ca="1">IF(Foglio3!DN94=100000,"",Foglio3!DT94)</f>
        <v>#REF!</v>
      </c>
      <c r="JY121" s="272" t="e">
        <f ca="1">IF(Foglio3!DN94=100000,"",Foglio3!DU94)</f>
        <v>#REF!</v>
      </c>
      <c r="JZ121" s="272" t="e">
        <f ca="1">IF(Foglio3!DN94=100000,"",Foglio3!DV94)</f>
        <v>#REF!</v>
      </c>
    </row>
    <row r="122" spans="5:286" x14ac:dyDescent="0.25">
      <c r="E122" s="240" t="str">
        <f>Foglio3!F102</f>
        <v/>
      </c>
      <c r="F122" s="240" t="str">
        <f>Foglio3!G102</f>
        <v/>
      </c>
      <c r="G122" s="244"/>
      <c r="H122" s="245">
        <f t="shared" si="189"/>
        <v>0</v>
      </c>
      <c r="I122" s="245">
        <f t="shared" si="188"/>
        <v>0</v>
      </c>
      <c r="J122" s="244"/>
      <c r="K122" s="244"/>
      <c r="Q122">
        <f t="shared" si="207"/>
        <v>1</v>
      </c>
      <c r="R122">
        <f t="shared" si="208"/>
        <v>1</v>
      </c>
      <c r="S122">
        <f t="shared" si="209"/>
        <v>0</v>
      </c>
      <c r="T122">
        <f t="shared" si="210"/>
        <v>0</v>
      </c>
      <c r="U122">
        <f t="shared" si="211"/>
        <v>1</v>
      </c>
      <c r="W122">
        <f t="shared" si="212"/>
        <v>7</v>
      </c>
      <c r="X122">
        <f t="shared" si="213"/>
        <v>153</v>
      </c>
      <c r="Y122">
        <f t="shared" si="214"/>
        <v>391</v>
      </c>
      <c r="AH122" s="112">
        <f t="shared" si="200"/>
        <v>0</v>
      </c>
      <c r="AI122" s="112">
        <f t="shared" si="201"/>
        <v>0</v>
      </c>
      <c r="DU122" s="112"/>
      <c r="DV122" s="112"/>
      <c r="EX122" s="238"/>
      <c r="HW122" s="253" t="s">
        <v>187</v>
      </c>
      <c r="HX122" s="112" t="e">
        <f t="shared" si="193"/>
        <v>#VALUE!</v>
      </c>
      <c r="HY122" t="s">
        <v>188</v>
      </c>
      <c r="HZ122" s="112" t="e">
        <f t="shared" si="194"/>
        <v>#VALUE!</v>
      </c>
      <c r="IA122" t="s">
        <v>189</v>
      </c>
      <c r="IB122">
        <f t="shared" si="195"/>
        <v>0</v>
      </c>
      <c r="IC122" t="s">
        <v>192</v>
      </c>
      <c r="ID122">
        <f t="shared" si="196"/>
        <v>0</v>
      </c>
      <c r="IE122" t="s">
        <v>191</v>
      </c>
      <c r="IF122" s="254">
        <f t="shared" si="197"/>
        <v>1</v>
      </c>
      <c r="IK122" t="str">
        <f t="shared" si="167"/>
        <v/>
      </c>
      <c r="JP122" t="e">
        <f ca="1">IF(Foglio3!DM95=100000,0,IF(Foglio3!DM95="",0,1))</f>
        <v>#REF!</v>
      </c>
      <c r="JQ122" s="314" t="e">
        <f ca="1" xml:space="preserve">   IF(JP122=1,     Foglio3!DM95,IF(JP122=0,IF(JP121=1,"","")))</f>
        <v>#REF!</v>
      </c>
      <c r="JR122" s="314" t="e">
        <f ca="1">IF(          Foglio3!DN95=100000,"",Foglio3!DN95)</f>
        <v>#REF!</v>
      </c>
      <c r="JS122" s="272" t="e">
        <f ca="1">IF(Foglio3!DN95=100000,"",Foglio3!DO95)</f>
        <v>#REF!</v>
      </c>
      <c r="JT122" s="272" t="e">
        <f ca="1">IF(Foglio3!DN95=100000,"",Foglio3!DP95)</f>
        <v>#REF!</v>
      </c>
      <c r="JU122" s="272" t="e">
        <f ca="1">IF(Foglio3!DN95=100000,"",Foglio3!DQ95)</f>
        <v>#REF!</v>
      </c>
      <c r="JV122" s="272" t="e">
        <f ca="1">IF(JU122="","",Foglio3!DR95)</f>
        <v>#REF!</v>
      </c>
      <c r="JW122" s="272" t="e">
        <f ca="1">IF(Foglio3!DN95=100000,"",Foglio3!DS95)</f>
        <v>#REF!</v>
      </c>
      <c r="JX122" s="272" t="e">
        <f ca="1">IF(Foglio3!DN95=100000,"",Foglio3!DT95)</f>
        <v>#REF!</v>
      </c>
      <c r="JY122" s="272" t="e">
        <f ca="1">IF(Foglio3!DN95=100000,"",Foglio3!DU95)</f>
        <v>#REF!</v>
      </c>
      <c r="JZ122" s="272" t="e">
        <f ca="1">IF(Foglio3!DN95=100000,"",Foglio3!DV95)</f>
        <v>#REF!</v>
      </c>
    </row>
    <row r="123" spans="5:286" x14ac:dyDescent="0.25">
      <c r="E123" s="240" t="str">
        <f>Foglio3!F103</f>
        <v/>
      </c>
      <c r="F123" s="240" t="str">
        <f>Foglio3!G103</f>
        <v/>
      </c>
      <c r="G123" s="244"/>
      <c r="H123" s="245">
        <f t="shared" si="189"/>
        <v>0</v>
      </c>
      <c r="I123" s="245">
        <f t="shared" si="188"/>
        <v>0</v>
      </c>
      <c r="J123" s="244"/>
      <c r="K123" s="244"/>
      <c r="Q123">
        <f t="shared" si="207"/>
        <v>1</v>
      </c>
      <c r="R123">
        <f t="shared" si="208"/>
        <v>1</v>
      </c>
      <c r="S123">
        <f t="shared" si="209"/>
        <v>0</v>
      </c>
      <c r="T123">
        <f t="shared" si="210"/>
        <v>0</v>
      </c>
      <c r="U123">
        <f t="shared" si="211"/>
        <v>1</v>
      </c>
      <c r="W123">
        <f t="shared" si="212"/>
        <v>7</v>
      </c>
      <c r="X123">
        <f t="shared" si="213"/>
        <v>153</v>
      </c>
      <c r="Y123">
        <f t="shared" si="214"/>
        <v>392</v>
      </c>
      <c r="AH123" s="112">
        <f t="shared" si="200"/>
        <v>0</v>
      </c>
      <c r="AI123" s="112">
        <f t="shared" si="201"/>
        <v>0</v>
      </c>
      <c r="DU123" s="112"/>
      <c r="DV123" s="112"/>
      <c r="EX123" s="238"/>
      <c r="HW123" s="253" t="s">
        <v>187</v>
      </c>
      <c r="HX123" s="112" t="e">
        <f t="shared" si="193"/>
        <v>#VALUE!</v>
      </c>
      <c r="HY123" t="s">
        <v>188</v>
      </c>
      <c r="HZ123" s="112" t="e">
        <f t="shared" si="194"/>
        <v>#VALUE!</v>
      </c>
      <c r="IA123" t="s">
        <v>189</v>
      </c>
      <c r="IB123">
        <f t="shared" si="195"/>
        <v>0</v>
      </c>
      <c r="IC123" t="s">
        <v>192</v>
      </c>
      <c r="ID123">
        <f t="shared" si="196"/>
        <v>0</v>
      </c>
      <c r="IE123" t="s">
        <v>191</v>
      </c>
      <c r="IF123" s="254">
        <f t="shared" si="197"/>
        <v>1</v>
      </c>
      <c r="IK123" t="str">
        <f t="shared" si="167"/>
        <v/>
      </c>
      <c r="JP123" t="e">
        <f ca="1">IF(Foglio3!DM96=100000,0,IF(Foglio3!DM96="",0,1))</f>
        <v>#REF!</v>
      </c>
      <c r="JQ123" s="314" t="e">
        <f ca="1" xml:space="preserve">   IF(JP123=1,     Foglio3!DM96,IF(JP123=0,IF(JP122=1,"","")))</f>
        <v>#REF!</v>
      </c>
      <c r="JR123" s="314" t="e">
        <f ca="1">IF(          Foglio3!DN96=100000,"",Foglio3!DN96)</f>
        <v>#REF!</v>
      </c>
      <c r="JS123" s="272" t="e">
        <f ca="1">IF(Foglio3!DN96=100000,"",Foglio3!DO96)</f>
        <v>#REF!</v>
      </c>
      <c r="JT123" s="272" t="e">
        <f ca="1">IF(Foglio3!DN96=100000,"",Foglio3!DP96)</f>
        <v>#REF!</v>
      </c>
      <c r="JU123" s="272" t="e">
        <f ca="1">IF(Foglio3!DN96=100000,"",Foglio3!DQ96)</f>
        <v>#REF!</v>
      </c>
      <c r="JV123" s="272" t="e">
        <f ca="1">IF(JU123="","",Foglio3!DR96)</f>
        <v>#REF!</v>
      </c>
      <c r="JW123" s="272" t="e">
        <f ca="1">IF(Foglio3!DN96=100000,"",Foglio3!DS96)</f>
        <v>#REF!</v>
      </c>
      <c r="JX123" s="272" t="e">
        <f ca="1">IF(Foglio3!DN96=100000,"",Foglio3!DT96)</f>
        <v>#REF!</v>
      </c>
      <c r="JY123" s="272" t="e">
        <f ca="1">IF(Foglio3!DN96=100000,"",Foglio3!DU96)</f>
        <v>#REF!</v>
      </c>
      <c r="JZ123" s="272" t="e">
        <f ca="1">IF(Foglio3!DN96=100000,"",Foglio3!DV96)</f>
        <v>#REF!</v>
      </c>
    </row>
    <row r="124" spans="5:286" x14ac:dyDescent="0.25">
      <c r="E124" s="240" t="str">
        <f>Foglio3!F104</f>
        <v/>
      </c>
      <c r="F124" s="240" t="str">
        <f>Foglio3!G104</f>
        <v/>
      </c>
      <c r="G124" s="244"/>
      <c r="H124" s="245">
        <f t="shared" si="189"/>
        <v>0</v>
      </c>
      <c r="I124" s="245">
        <f t="shared" si="188"/>
        <v>0</v>
      </c>
      <c r="J124" s="244"/>
      <c r="K124" s="244"/>
      <c r="Q124">
        <f t="shared" si="207"/>
        <v>1</v>
      </c>
      <c r="R124">
        <f t="shared" si="208"/>
        <v>1</v>
      </c>
      <c r="S124">
        <f t="shared" si="209"/>
        <v>0</v>
      </c>
      <c r="T124">
        <f t="shared" si="210"/>
        <v>0</v>
      </c>
      <c r="U124">
        <f t="shared" si="211"/>
        <v>1</v>
      </c>
      <c r="W124">
        <f t="shared" si="212"/>
        <v>7</v>
      </c>
      <c r="X124">
        <f t="shared" si="213"/>
        <v>153</v>
      </c>
      <c r="Y124">
        <f t="shared" si="214"/>
        <v>393</v>
      </c>
      <c r="AH124" s="112">
        <f t="shared" si="200"/>
        <v>0</v>
      </c>
      <c r="AI124" s="112">
        <f t="shared" si="201"/>
        <v>0</v>
      </c>
      <c r="DU124" s="112"/>
      <c r="DV124" s="112"/>
      <c r="EX124" s="238"/>
      <c r="HW124" s="253" t="s">
        <v>187</v>
      </c>
      <c r="HX124" s="112" t="e">
        <f t="shared" si="193"/>
        <v>#VALUE!</v>
      </c>
      <c r="HY124" t="s">
        <v>188</v>
      </c>
      <c r="HZ124" s="112" t="e">
        <f t="shared" si="194"/>
        <v>#VALUE!</v>
      </c>
      <c r="IA124" t="s">
        <v>189</v>
      </c>
      <c r="IB124">
        <f t="shared" si="195"/>
        <v>0</v>
      </c>
      <c r="IC124" t="s">
        <v>192</v>
      </c>
      <c r="ID124">
        <f t="shared" si="196"/>
        <v>0</v>
      </c>
      <c r="IE124" t="s">
        <v>191</v>
      </c>
      <c r="IF124" s="254">
        <f t="shared" si="197"/>
        <v>1</v>
      </c>
      <c r="IK124" t="str">
        <f t="shared" ref="IK124:IK166" si="215">IF(  AND(  E124&gt;0, E124&lt;&gt;""),CONCATENATE(HW124,HX124,HY124,HZ124,IA124,IB124,IC124,ID124,IE124,IF124,"
"),"")</f>
        <v/>
      </c>
      <c r="JP124" t="e">
        <f ca="1">IF(Foglio3!DM97=100000,0,IF(Foglio3!DM97="",0,1))</f>
        <v>#REF!</v>
      </c>
      <c r="JQ124" s="314" t="e">
        <f ca="1" xml:space="preserve">   IF(JP124=1,     Foglio3!DM97,IF(JP124=0,IF(JP123=1,"","")))</f>
        <v>#REF!</v>
      </c>
      <c r="JR124" s="314" t="e">
        <f ca="1">IF(          Foglio3!DN97=100000,"",Foglio3!DN97)</f>
        <v>#REF!</v>
      </c>
      <c r="JS124" s="272" t="e">
        <f ca="1">IF(Foglio3!DN97=100000,"",Foglio3!DO97)</f>
        <v>#REF!</v>
      </c>
      <c r="JT124" s="272" t="e">
        <f ca="1">IF(Foglio3!DN97=100000,"",Foglio3!DP97)</f>
        <v>#REF!</v>
      </c>
      <c r="JU124" s="272" t="e">
        <f ca="1">IF(Foglio3!DN97=100000,"",Foglio3!DQ97)</f>
        <v>#REF!</v>
      </c>
      <c r="JV124" s="272" t="e">
        <f ca="1">IF(JU124="","",Foglio3!DR97)</f>
        <v>#REF!</v>
      </c>
      <c r="JW124" s="272" t="e">
        <f ca="1">IF(Foglio3!DN97=100000,"",Foglio3!DS97)</f>
        <v>#REF!</v>
      </c>
      <c r="JX124" s="272" t="e">
        <f ca="1">IF(Foglio3!DN97=100000,"",Foglio3!DT97)</f>
        <v>#REF!</v>
      </c>
      <c r="JY124" s="272" t="e">
        <f ca="1">IF(Foglio3!DN97=100000,"",Foglio3!DU97)</f>
        <v>#REF!</v>
      </c>
      <c r="JZ124" s="272" t="e">
        <f ca="1">IF(Foglio3!DN97=100000,"",Foglio3!DV97)</f>
        <v>#REF!</v>
      </c>
    </row>
    <row r="125" spans="5:286" x14ac:dyDescent="0.25">
      <c r="E125" s="240" t="str">
        <f>Foglio3!F105</f>
        <v/>
      </c>
      <c r="F125" s="240" t="str">
        <f>Foglio3!G105</f>
        <v/>
      </c>
      <c r="G125" s="244"/>
      <c r="H125" s="245">
        <f t="shared" si="189"/>
        <v>0</v>
      </c>
      <c r="I125" s="245">
        <f t="shared" si="188"/>
        <v>0</v>
      </c>
      <c r="J125" s="244"/>
      <c r="K125" s="244"/>
      <c r="Q125">
        <f t="shared" si="207"/>
        <v>1</v>
      </c>
      <c r="R125">
        <f t="shared" si="208"/>
        <v>1</v>
      </c>
      <c r="S125">
        <f t="shared" si="209"/>
        <v>0</v>
      </c>
      <c r="T125">
        <f t="shared" si="210"/>
        <v>0</v>
      </c>
      <c r="U125">
        <f t="shared" si="211"/>
        <v>1</v>
      </c>
      <c r="W125">
        <f t="shared" si="212"/>
        <v>7</v>
      </c>
      <c r="X125">
        <f t="shared" si="213"/>
        <v>153</v>
      </c>
      <c r="Y125">
        <f t="shared" si="214"/>
        <v>394</v>
      </c>
      <c r="AH125" s="112">
        <f t="shared" si="200"/>
        <v>0</v>
      </c>
      <c r="AI125" s="112">
        <f t="shared" si="201"/>
        <v>0</v>
      </c>
      <c r="DU125" s="112"/>
      <c r="DV125" s="112"/>
      <c r="EX125" s="238"/>
      <c r="HW125" s="253" t="s">
        <v>187</v>
      </c>
      <c r="HX125" s="112" t="e">
        <f t="shared" si="193"/>
        <v>#VALUE!</v>
      </c>
      <c r="HY125" t="s">
        <v>188</v>
      </c>
      <c r="HZ125" s="112" t="e">
        <f t="shared" si="194"/>
        <v>#VALUE!</v>
      </c>
      <c r="IA125" t="s">
        <v>189</v>
      </c>
      <c r="IB125">
        <f t="shared" si="195"/>
        <v>0</v>
      </c>
      <c r="IC125" t="s">
        <v>192</v>
      </c>
      <c r="ID125">
        <f t="shared" si="196"/>
        <v>0</v>
      </c>
      <c r="IE125" t="s">
        <v>191</v>
      </c>
      <c r="IF125" s="254">
        <f t="shared" si="197"/>
        <v>1</v>
      </c>
      <c r="IK125" t="str">
        <f t="shared" si="215"/>
        <v/>
      </c>
      <c r="JP125">
        <f ca="1">IF(Foglio3!DM98=100000,0,IF(Foglio3!DM98="",0,1))</f>
        <v>0</v>
      </c>
      <c r="JQ125" s="314" t="e">
        <f ca="1" xml:space="preserve">   IF(JP125=1,     Foglio3!DM98,IF(JP125=0,IF(JP124=1,"","")))</f>
        <v>#REF!</v>
      </c>
      <c r="JR125" s="314" t="str">
        <f ca="1">IF(          Foglio3!DN98=100000,"",Foglio3!DN98)</f>
        <v/>
      </c>
      <c r="JS125" s="272" t="str">
        <f ca="1">IF(Foglio3!DN98=100000,"",Foglio3!DO98)</f>
        <v/>
      </c>
      <c r="JT125" s="272" t="str">
        <f ca="1">IF(Foglio3!DN98=100000,"",Foglio3!DP98)</f>
        <v/>
      </c>
      <c r="JU125" s="272" t="str">
        <f ca="1">IF(Foglio3!DN98=100000,"",Foglio3!DQ98)</f>
        <v/>
      </c>
      <c r="JV125" s="272" t="str">
        <f ca="1">IF(JU125="","",Foglio3!DR98)</f>
        <v/>
      </c>
      <c r="JW125" s="272" t="str">
        <f ca="1">IF(Foglio3!DN98=100000,"",Foglio3!DS98)</f>
        <v/>
      </c>
      <c r="JX125" s="272" t="str">
        <f ca="1">IF(Foglio3!DN98=100000,"",Foglio3!DT98)</f>
        <v/>
      </c>
      <c r="JY125" s="272" t="str">
        <f ca="1">IF(Foglio3!DN98=100000,"",Foglio3!DU98)</f>
        <v/>
      </c>
      <c r="JZ125" s="272" t="str">
        <f ca="1">IF(Foglio3!DN98=100000,"",Foglio3!DV98)</f>
        <v/>
      </c>
    </row>
    <row r="126" spans="5:286" x14ac:dyDescent="0.25">
      <c r="E126" s="240" t="str">
        <f>Foglio3!F106</f>
        <v/>
      </c>
      <c r="F126" s="240" t="str">
        <f>Foglio3!G106</f>
        <v/>
      </c>
      <c r="G126" s="244"/>
      <c r="H126" s="245">
        <f t="shared" si="189"/>
        <v>0</v>
      </c>
      <c r="I126" s="245">
        <f t="shared" si="188"/>
        <v>0</v>
      </c>
      <c r="J126" s="244"/>
      <c r="K126" s="244"/>
      <c r="Q126">
        <f t="shared" si="207"/>
        <v>1</v>
      </c>
      <c r="R126">
        <f t="shared" si="208"/>
        <v>1</v>
      </c>
      <c r="S126">
        <f t="shared" si="209"/>
        <v>0</v>
      </c>
      <c r="T126">
        <f t="shared" si="210"/>
        <v>0</v>
      </c>
      <c r="U126">
        <f t="shared" si="211"/>
        <v>1</v>
      </c>
      <c r="W126">
        <f t="shared" si="212"/>
        <v>7</v>
      </c>
      <c r="X126">
        <f t="shared" si="213"/>
        <v>153</v>
      </c>
      <c r="Y126">
        <f t="shared" si="214"/>
        <v>395</v>
      </c>
      <c r="AH126" s="112">
        <f t="shared" si="200"/>
        <v>0</v>
      </c>
      <c r="AI126" s="112">
        <f t="shared" si="201"/>
        <v>0</v>
      </c>
      <c r="DU126" s="112"/>
      <c r="DV126" s="112"/>
      <c r="EX126" s="238"/>
      <c r="HW126" s="253" t="s">
        <v>187</v>
      </c>
      <c r="HX126" s="112" t="e">
        <f t="shared" si="193"/>
        <v>#VALUE!</v>
      </c>
      <c r="HY126" t="s">
        <v>188</v>
      </c>
      <c r="HZ126" s="112" t="e">
        <f t="shared" si="194"/>
        <v>#VALUE!</v>
      </c>
      <c r="IA126" t="s">
        <v>189</v>
      </c>
      <c r="IB126">
        <f t="shared" si="195"/>
        <v>0</v>
      </c>
      <c r="IC126" t="s">
        <v>192</v>
      </c>
      <c r="ID126">
        <f t="shared" si="196"/>
        <v>0</v>
      </c>
      <c r="IE126" t="s">
        <v>191</v>
      </c>
      <c r="IF126" s="254">
        <f t="shared" si="197"/>
        <v>1</v>
      </c>
      <c r="IK126" t="str">
        <f t="shared" si="215"/>
        <v/>
      </c>
      <c r="JP126">
        <f ca="1">IF(Foglio3!DM99=100000,0,IF(Foglio3!DM99="",0,1))</f>
        <v>0</v>
      </c>
      <c r="JQ126" s="314" t="str">
        <f ca="1" xml:space="preserve">   IF(JP126=1,     Foglio3!DM99,IF(JP126=0,IF(JP125=1,"","")))</f>
        <v/>
      </c>
      <c r="JR126" s="314" t="str">
        <f ca="1">IF(          Foglio3!DN99=100000,"",Foglio3!DN99)</f>
        <v/>
      </c>
      <c r="JS126" s="272" t="str">
        <f ca="1">IF(Foglio3!DN99=100000,"",Foglio3!DO99)</f>
        <v/>
      </c>
      <c r="JT126" s="272" t="str">
        <f ca="1">IF(Foglio3!DN99=100000,"",Foglio3!DP99)</f>
        <v/>
      </c>
      <c r="JU126" s="272" t="str">
        <f ca="1">IF(Foglio3!DN99=100000,"",Foglio3!DQ99)</f>
        <v/>
      </c>
      <c r="JV126" s="272" t="str">
        <f ca="1">IF(JU126="","",Foglio3!DR99)</f>
        <v/>
      </c>
      <c r="JW126" s="272" t="str">
        <f ca="1">IF(Foglio3!DN99=100000,"",Foglio3!DS99)</f>
        <v/>
      </c>
      <c r="JX126" s="272" t="str">
        <f ca="1">IF(Foglio3!DN99=100000,"",Foglio3!DT99)</f>
        <v/>
      </c>
      <c r="JY126" s="272" t="str">
        <f ca="1">IF(Foglio3!DN99=100000,"",Foglio3!DU99)</f>
        <v/>
      </c>
      <c r="JZ126" s="272" t="str">
        <f ca="1">IF(Foglio3!DN99=100000,"",Foglio3!DV99)</f>
        <v/>
      </c>
    </row>
    <row r="127" spans="5:286" x14ac:dyDescent="0.25">
      <c r="E127" s="240" t="str">
        <f>Foglio3!F107</f>
        <v/>
      </c>
      <c r="F127" s="240" t="str">
        <f>Foglio3!G107</f>
        <v/>
      </c>
      <c r="G127" s="244"/>
      <c r="H127" s="245">
        <f t="shared" si="189"/>
        <v>0</v>
      </c>
      <c r="I127" s="245">
        <f t="shared" si="188"/>
        <v>0</v>
      </c>
      <c r="J127" s="244"/>
      <c r="K127" s="244"/>
      <c r="Q127">
        <f t="shared" si="207"/>
        <v>1</v>
      </c>
      <c r="R127">
        <f t="shared" si="208"/>
        <v>1</v>
      </c>
      <c r="S127">
        <f t="shared" si="209"/>
        <v>0</v>
      </c>
      <c r="T127">
        <f t="shared" si="210"/>
        <v>0</v>
      </c>
      <c r="U127">
        <f t="shared" si="211"/>
        <v>1</v>
      </c>
      <c r="W127">
        <f t="shared" si="212"/>
        <v>7</v>
      </c>
      <c r="X127">
        <f t="shared" si="213"/>
        <v>153</v>
      </c>
      <c r="Y127">
        <f t="shared" si="214"/>
        <v>396</v>
      </c>
      <c r="AH127" s="112">
        <f t="shared" si="200"/>
        <v>0</v>
      </c>
      <c r="AI127" s="112">
        <f t="shared" si="201"/>
        <v>0</v>
      </c>
      <c r="DU127" s="112"/>
      <c r="DV127" s="112"/>
      <c r="EX127" s="238"/>
      <c r="HW127" s="253" t="s">
        <v>187</v>
      </c>
      <c r="HX127" s="112" t="e">
        <f t="shared" si="193"/>
        <v>#VALUE!</v>
      </c>
      <c r="HY127" t="s">
        <v>188</v>
      </c>
      <c r="HZ127" s="112" t="e">
        <f t="shared" si="194"/>
        <v>#VALUE!</v>
      </c>
      <c r="IA127" t="s">
        <v>189</v>
      </c>
      <c r="IB127">
        <f t="shared" si="195"/>
        <v>0</v>
      </c>
      <c r="IC127" t="s">
        <v>192</v>
      </c>
      <c r="ID127">
        <f t="shared" si="196"/>
        <v>0</v>
      </c>
      <c r="IE127" t="s">
        <v>191</v>
      </c>
      <c r="IF127" s="254">
        <f t="shared" si="197"/>
        <v>1</v>
      </c>
      <c r="IK127" t="str">
        <f t="shared" si="215"/>
        <v/>
      </c>
      <c r="JP127">
        <f ca="1">IF(Foglio3!DM100=100000,0,IF(Foglio3!DM100="",0,1))</f>
        <v>0</v>
      </c>
      <c r="JQ127" s="314" t="str">
        <f ca="1" xml:space="preserve">   IF(JP127=1,     Foglio3!DM100,IF(JP127=0,IF(JP126=1,"","")))</f>
        <v/>
      </c>
      <c r="JR127" s="314" t="str">
        <f ca="1">IF(          Foglio3!DN100=100000,"",Foglio3!DN100)</f>
        <v/>
      </c>
      <c r="JS127" s="272" t="str">
        <f ca="1">IF(Foglio3!DN100=100000,"",Foglio3!DO100)</f>
        <v/>
      </c>
      <c r="JT127" s="272" t="str">
        <f ca="1">IF(Foglio3!DN100=100000,"",Foglio3!DP100)</f>
        <v/>
      </c>
      <c r="JU127" s="272" t="str">
        <f ca="1">IF(Foglio3!DN100=100000,"",Foglio3!DQ100)</f>
        <v/>
      </c>
      <c r="JV127" s="272" t="str">
        <f ca="1">IF(JU127="","",Foglio3!DR100)</f>
        <v/>
      </c>
      <c r="JW127" s="272" t="str">
        <f ca="1">IF(Foglio3!DN100=100000,"",Foglio3!DS100)</f>
        <v/>
      </c>
      <c r="JX127" s="272" t="str">
        <f ca="1">IF(Foglio3!DN100=100000,"",Foglio3!DT100)</f>
        <v/>
      </c>
      <c r="JY127" s="272" t="str">
        <f ca="1">IF(Foglio3!DN100=100000,"",Foglio3!DU100)</f>
        <v/>
      </c>
      <c r="JZ127" s="272" t="str">
        <f ca="1">IF(Foglio3!DN100=100000,"",Foglio3!DV100)</f>
        <v/>
      </c>
    </row>
    <row r="128" spans="5:286" x14ac:dyDescent="0.25">
      <c r="E128" s="240" t="str">
        <f>Foglio3!F108</f>
        <v/>
      </c>
      <c r="F128" s="240" t="str">
        <f>Foglio3!G108</f>
        <v/>
      </c>
      <c r="G128" s="244"/>
      <c r="H128" s="245">
        <f t="shared" si="189"/>
        <v>0</v>
      </c>
      <c r="I128" s="245">
        <f t="shared" si="188"/>
        <v>0</v>
      </c>
      <c r="J128" s="244"/>
      <c r="K128" s="244"/>
      <c r="Q128">
        <f t="shared" si="207"/>
        <v>1</v>
      </c>
      <c r="R128">
        <f t="shared" si="208"/>
        <v>1</v>
      </c>
      <c r="S128">
        <f t="shared" si="209"/>
        <v>0</v>
      </c>
      <c r="T128">
        <f t="shared" si="210"/>
        <v>0</v>
      </c>
      <c r="U128">
        <f t="shared" si="211"/>
        <v>1</v>
      </c>
      <c r="W128">
        <f t="shared" si="212"/>
        <v>7</v>
      </c>
      <c r="X128">
        <f t="shared" si="213"/>
        <v>153</v>
      </c>
      <c r="Y128">
        <f t="shared" si="214"/>
        <v>397</v>
      </c>
      <c r="AH128" s="112">
        <f t="shared" si="200"/>
        <v>0</v>
      </c>
      <c r="AI128" s="112">
        <f t="shared" si="201"/>
        <v>0</v>
      </c>
      <c r="DU128" s="112"/>
      <c r="DV128" s="112"/>
      <c r="EX128" s="238"/>
      <c r="HW128" s="253" t="s">
        <v>187</v>
      </c>
      <c r="HX128" s="112" t="e">
        <f t="shared" si="193"/>
        <v>#VALUE!</v>
      </c>
      <c r="HY128" t="s">
        <v>188</v>
      </c>
      <c r="HZ128" s="112" t="e">
        <f t="shared" si="194"/>
        <v>#VALUE!</v>
      </c>
      <c r="IA128" t="s">
        <v>189</v>
      </c>
      <c r="IB128">
        <f t="shared" si="195"/>
        <v>0</v>
      </c>
      <c r="IC128" t="s">
        <v>192</v>
      </c>
      <c r="ID128">
        <f t="shared" si="196"/>
        <v>0</v>
      </c>
      <c r="IE128" t="s">
        <v>191</v>
      </c>
      <c r="IF128" s="254">
        <f t="shared" si="197"/>
        <v>1</v>
      </c>
      <c r="IK128" t="str">
        <f t="shared" si="215"/>
        <v/>
      </c>
      <c r="JP128">
        <f ca="1">IF(Foglio3!DM101=100000,0,IF(Foglio3!DM101="",0,1))</f>
        <v>0</v>
      </c>
      <c r="JQ128" s="314" t="str">
        <f ca="1" xml:space="preserve">   IF(JP128=1,     Foglio3!DM101,IF(JP128=0,IF(JP127=1,"","")))</f>
        <v/>
      </c>
      <c r="JR128" s="314" t="str">
        <f ca="1">IF(          Foglio3!DN101=100000,"",Foglio3!DN101)</f>
        <v/>
      </c>
      <c r="JS128" s="272" t="str">
        <f ca="1">IF(Foglio3!DN101=100000,"",Foglio3!DO101)</f>
        <v/>
      </c>
      <c r="JT128" s="272" t="str">
        <f ca="1">IF(Foglio3!DN101=100000,"",Foglio3!DP101)</f>
        <v/>
      </c>
      <c r="JU128" s="272" t="str">
        <f ca="1">IF(Foglio3!DN101=100000,"",Foglio3!DQ101)</f>
        <v/>
      </c>
      <c r="JV128" s="272" t="str">
        <f ca="1">IF(JU128="","",Foglio3!DR101)</f>
        <v/>
      </c>
      <c r="JW128" s="272" t="str">
        <f ca="1">IF(Foglio3!DN101=100000,"",Foglio3!DS101)</f>
        <v/>
      </c>
      <c r="JX128" s="272" t="str">
        <f ca="1">IF(Foglio3!DN101=100000,"",Foglio3!DT101)</f>
        <v/>
      </c>
      <c r="JY128" s="272" t="str">
        <f ca="1">IF(Foglio3!DN101=100000,"",Foglio3!DU101)</f>
        <v/>
      </c>
      <c r="JZ128" s="272" t="str">
        <f ca="1">IF(Foglio3!DN101=100000,"",Foglio3!DV101)</f>
        <v/>
      </c>
    </row>
    <row r="129" spans="5:286" x14ac:dyDescent="0.25">
      <c r="E129" s="240" t="str">
        <f>Foglio3!F109</f>
        <v/>
      </c>
      <c r="F129" s="240" t="str">
        <f>Foglio3!G109</f>
        <v/>
      </c>
      <c r="G129" s="244"/>
      <c r="H129" s="245">
        <f t="shared" si="189"/>
        <v>0</v>
      </c>
      <c r="I129" s="245">
        <f t="shared" si="188"/>
        <v>0</v>
      </c>
      <c r="J129" s="244"/>
      <c r="K129" s="244"/>
      <c r="Q129">
        <f t="shared" si="207"/>
        <v>1</v>
      </c>
      <c r="R129">
        <f t="shared" si="208"/>
        <v>1</v>
      </c>
      <c r="S129">
        <f t="shared" si="209"/>
        <v>0</v>
      </c>
      <c r="T129">
        <f t="shared" si="210"/>
        <v>0</v>
      </c>
      <c r="U129">
        <f t="shared" si="211"/>
        <v>1</v>
      </c>
      <c r="W129">
        <f t="shared" si="212"/>
        <v>7</v>
      </c>
      <c r="X129">
        <f t="shared" si="213"/>
        <v>153</v>
      </c>
      <c r="Y129">
        <f t="shared" si="214"/>
        <v>398</v>
      </c>
      <c r="AH129" s="112">
        <f t="shared" si="200"/>
        <v>0</v>
      </c>
      <c r="AI129" s="112">
        <f t="shared" si="201"/>
        <v>0</v>
      </c>
      <c r="DU129" s="112"/>
      <c r="DV129" s="112"/>
      <c r="EX129" s="238"/>
      <c r="HW129" s="253" t="s">
        <v>187</v>
      </c>
      <c r="HX129" s="112" t="e">
        <f t="shared" si="193"/>
        <v>#VALUE!</v>
      </c>
      <c r="HY129" t="s">
        <v>188</v>
      </c>
      <c r="HZ129" s="112" t="e">
        <f t="shared" si="194"/>
        <v>#VALUE!</v>
      </c>
      <c r="IA129" t="s">
        <v>189</v>
      </c>
      <c r="IB129">
        <f t="shared" si="195"/>
        <v>0</v>
      </c>
      <c r="IC129" t="s">
        <v>192</v>
      </c>
      <c r="ID129">
        <f t="shared" si="196"/>
        <v>0</v>
      </c>
      <c r="IE129" t="s">
        <v>191</v>
      </c>
      <c r="IF129" s="254">
        <f t="shared" si="197"/>
        <v>1</v>
      </c>
      <c r="IK129" t="str">
        <f t="shared" si="215"/>
        <v/>
      </c>
      <c r="JP129">
        <f ca="1">IF(Foglio3!DM102=100000,0,IF(Foglio3!DM102="",0,1))</f>
        <v>0</v>
      </c>
      <c r="JQ129" s="314" t="str">
        <f ca="1" xml:space="preserve">   IF(JP129=1,     Foglio3!DM102,IF(JP129=0,IF(JP128=1,"","")))</f>
        <v/>
      </c>
      <c r="JR129" s="314" t="str">
        <f ca="1">IF(          Foglio3!DN102=100000,"",Foglio3!DN102)</f>
        <v/>
      </c>
      <c r="JS129" s="272" t="str">
        <f ca="1">IF(Foglio3!DN102=100000,"",Foglio3!DO102)</f>
        <v/>
      </c>
      <c r="JT129" s="272" t="str">
        <f ca="1">IF(Foglio3!DN102=100000,"",Foglio3!DP102)</f>
        <v/>
      </c>
      <c r="JU129" s="272" t="str">
        <f ca="1">IF(Foglio3!DN102=100000,"",Foglio3!DQ102)</f>
        <v/>
      </c>
      <c r="JV129" s="272" t="str">
        <f ca="1">IF(JU129="","",Foglio3!DR102)</f>
        <v/>
      </c>
      <c r="JW129" s="272" t="str">
        <f ca="1">IF(Foglio3!DN102=100000,"",Foglio3!DS102)</f>
        <v/>
      </c>
      <c r="JX129" s="272" t="str">
        <f ca="1">IF(Foglio3!DN102=100000,"",Foglio3!DT102)</f>
        <v/>
      </c>
      <c r="JY129" s="272" t="str">
        <f ca="1">IF(Foglio3!DN102=100000,"",Foglio3!DU102)</f>
        <v/>
      </c>
      <c r="JZ129" s="272" t="str">
        <f ca="1">IF(Foglio3!DN102=100000,"",Foglio3!DV102)</f>
        <v/>
      </c>
    </row>
    <row r="130" spans="5:286" x14ac:dyDescent="0.25">
      <c r="E130" s="240" t="str">
        <f>Foglio3!F110</f>
        <v/>
      </c>
      <c r="F130" s="240" t="str">
        <f>Foglio3!G110</f>
        <v/>
      </c>
      <c r="G130" s="244"/>
      <c r="H130" s="245">
        <f t="shared" si="189"/>
        <v>0</v>
      </c>
      <c r="I130" s="245">
        <f t="shared" si="188"/>
        <v>0</v>
      </c>
      <c r="J130" s="244"/>
      <c r="K130" s="244"/>
      <c r="Q130">
        <f t="shared" si="207"/>
        <v>1</v>
      </c>
      <c r="R130">
        <f t="shared" si="208"/>
        <v>1</v>
      </c>
      <c r="S130">
        <f t="shared" si="209"/>
        <v>0</v>
      </c>
      <c r="T130">
        <f t="shared" si="210"/>
        <v>0</v>
      </c>
      <c r="U130">
        <f t="shared" si="211"/>
        <v>1</v>
      </c>
      <c r="W130">
        <f t="shared" si="212"/>
        <v>7</v>
      </c>
      <c r="X130">
        <f t="shared" si="213"/>
        <v>153</v>
      </c>
      <c r="Y130">
        <f t="shared" si="214"/>
        <v>399</v>
      </c>
      <c r="AH130" s="112">
        <f t="shared" si="200"/>
        <v>0</v>
      </c>
      <c r="AI130" s="112">
        <f t="shared" si="201"/>
        <v>0</v>
      </c>
      <c r="DU130" s="112"/>
      <c r="DV130" s="112"/>
      <c r="EX130" s="238"/>
      <c r="HW130" s="253" t="s">
        <v>187</v>
      </c>
      <c r="HX130" s="112" t="e">
        <f t="shared" si="193"/>
        <v>#VALUE!</v>
      </c>
      <c r="HY130" t="s">
        <v>188</v>
      </c>
      <c r="HZ130" s="112" t="e">
        <f t="shared" si="194"/>
        <v>#VALUE!</v>
      </c>
      <c r="IA130" t="s">
        <v>189</v>
      </c>
      <c r="IB130">
        <f t="shared" si="195"/>
        <v>0</v>
      </c>
      <c r="IC130" t="s">
        <v>192</v>
      </c>
      <c r="ID130">
        <f t="shared" si="196"/>
        <v>0</v>
      </c>
      <c r="IE130" t="s">
        <v>191</v>
      </c>
      <c r="IF130" s="254">
        <f t="shared" si="197"/>
        <v>1</v>
      </c>
      <c r="IK130" t="str">
        <f t="shared" si="215"/>
        <v/>
      </c>
      <c r="JP130">
        <f ca="1">IF(Foglio3!DM103=100000,0,IF(Foglio3!DM103="",0,1))</f>
        <v>0</v>
      </c>
      <c r="JQ130" s="314" t="str">
        <f ca="1" xml:space="preserve">   IF(JP130=1,     Foglio3!DM103,IF(JP130=0,IF(JP129=1,"","")))</f>
        <v/>
      </c>
      <c r="JR130" s="314" t="str">
        <f ca="1">IF(          Foglio3!DN103=100000,"",Foglio3!DN103)</f>
        <v/>
      </c>
      <c r="JS130" s="272" t="str">
        <f ca="1">IF(Foglio3!DN103=100000,"",Foglio3!DO103)</f>
        <v/>
      </c>
      <c r="JT130" s="272" t="str">
        <f ca="1">IF(Foglio3!DN103=100000,"",Foglio3!DP103)</f>
        <v/>
      </c>
      <c r="JU130" s="272" t="str">
        <f ca="1">IF(Foglio3!DN103=100000,"",Foglio3!DQ103)</f>
        <v/>
      </c>
      <c r="JV130" s="272" t="str">
        <f ca="1">IF(JU130="","",Foglio3!DR103)</f>
        <v/>
      </c>
      <c r="JW130" s="272" t="str">
        <f ca="1">IF(Foglio3!DN103=100000,"",Foglio3!DS103)</f>
        <v/>
      </c>
      <c r="JX130" s="272" t="str">
        <f ca="1">IF(Foglio3!DN103=100000,"",Foglio3!DT103)</f>
        <v/>
      </c>
      <c r="JY130" s="272" t="str">
        <f ca="1">IF(Foglio3!DN103=100000,"",Foglio3!DU103)</f>
        <v/>
      </c>
      <c r="JZ130" s="272" t="str">
        <f ca="1">IF(Foglio3!DN103=100000,"",Foglio3!DV103)</f>
        <v/>
      </c>
    </row>
    <row r="131" spans="5:286" x14ac:dyDescent="0.25">
      <c r="E131" s="240" t="str">
        <f>Foglio3!F111</f>
        <v/>
      </c>
      <c r="F131" s="240" t="str">
        <f>Foglio3!G111</f>
        <v/>
      </c>
      <c r="G131" s="244"/>
      <c r="H131" s="245">
        <f t="shared" si="189"/>
        <v>0</v>
      </c>
      <c r="I131" s="245">
        <f t="shared" si="188"/>
        <v>0</v>
      </c>
      <c r="J131" s="244"/>
      <c r="K131" s="244"/>
      <c r="Q131">
        <f t="shared" si="207"/>
        <v>1</v>
      </c>
      <c r="R131">
        <f t="shared" si="208"/>
        <v>1</v>
      </c>
      <c r="S131">
        <f t="shared" si="209"/>
        <v>0</v>
      </c>
      <c r="T131">
        <f t="shared" si="210"/>
        <v>0</v>
      </c>
      <c r="U131">
        <f t="shared" si="211"/>
        <v>1</v>
      </c>
      <c r="W131">
        <f t="shared" si="212"/>
        <v>7</v>
      </c>
      <c r="X131">
        <f t="shared" si="213"/>
        <v>153</v>
      </c>
      <c r="Y131">
        <f t="shared" si="214"/>
        <v>400</v>
      </c>
      <c r="AH131" s="112">
        <f t="shared" si="200"/>
        <v>0</v>
      </c>
      <c r="AI131" s="112">
        <f t="shared" si="201"/>
        <v>0</v>
      </c>
      <c r="DU131" s="112"/>
      <c r="DV131" s="112"/>
      <c r="EX131" s="238"/>
      <c r="HW131" s="253" t="s">
        <v>187</v>
      </c>
      <c r="HX131" s="112" t="e">
        <f t="shared" si="193"/>
        <v>#VALUE!</v>
      </c>
      <c r="HY131" t="s">
        <v>188</v>
      </c>
      <c r="HZ131" s="112" t="e">
        <f t="shared" si="194"/>
        <v>#VALUE!</v>
      </c>
      <c r="IA131" t="s">
        <v>189</v>
      </c>
      <c r="IB131">
        <f t="shared" si="195"/>
        <v>0</v>
      </c>
      <c r="IC131" t="s">
        <v>192</v>
      </c>
      <c r="ID131">
        <f t="shared" si="196"/>
        <v>0</v>
      </c>
      <c r="IE131" t="s">
        <v>191</v>
      </c>
      <c r="IF131" s="254">
        <f t="shared" si="197"/>
        <v>1</v>
      </c>
      <c r="IK131" t="str">
        <f t="shared" si="215"/>
        <v/>
      </c>
      <c r="JP131">
        <f ca="1">IF(Foglio3!DM104=100000,0,IF(Foglio3!DM104="",0,1))</f>
        <v>0</v>
      </c>
      <c r="JQ131" s="314" t="str">
        <f ca="1" xml:space="preserve">   IF(JP131=1,     Foglio3!DM104,IF(JP131=0,IF(JP130=1,"","")))</f>
        <v/>
      </c>
      <c r="JR131" s="314" t="str">
        <f ca="1">IF(          Foglio3!DN104=100000,"",Foglio3!DN104)</f>
        <v/>
      </c>
      <c r="JS131" s="272" t="str">
        <f ca="1">IF(Foglio3!DN104=100000,"",Foglio3!DO104)</f>
        <v/>
      </c>
      <c r="JT131" s="272" t="str">
        <f ca="1">IF(Foglio3!DN104=100000,"",Foglio3!DP104)</f>
        <v/>
      </c>
      <c r="JU131" s="272" t="str">
        <f ca="1">IF(Foglio3!DN104=100000,"",Foglio3!DQ104)</f>
        <v/>
      </c>
      <c r="JV131" s="272" t="str">
        <f ca="1">IF(JU131="","",Foglio3!DR104)</f>
        <v/>
      </c>
      <c r="JW131" s="272" t="str">
        <f ca="1">IF(Foglio3!DN104=100000,"",Foglio3!DS104)</f>
        <v/>
      </c>
      <c r="JX131" s="272" t="str">
        <f ca="1">IF(Foglio3!DN104=100000,"",Foglio3!DT104)</f>
        <v/>
      </c>
      <c r="JY131" s="272" t="str">
        <f ca="1">IF(Foglio3!DN104=100000,"",Foglio3!DU104)</f>
        <v/>
      </c>
      <c r="JZ131" s="272" t="str">
        <f ca="1">IF(Foglio3!DN104=100000,"",Foglio3!DV104)</f>
        <v/>
      </c>
    </row>
    <row r="132" spans="5:286" x14ac:dyDescent="0.25">
      <c r="E132" s="240" t="str">
        <f>Foglio3!F112</f>
        <v/>
      </c>
      <c r="F132" s="240" t="str">
        <f>Foglio3!G112</f>
        <v/>
      </c>
      <c r="AH132" s="112">
        <f t="shared" si="200"/>
        <v>0</v>
      </c>
      <c r="AI132" s="112">
        <f t="shared" si="201"/>
        <v>0</v>
      </c>
      <c r="DU132" s="112"/>
      <c r="DV132" s="112"/>
      <c r="EX132" s="238"/>
      <c r="HW132" s="253" t="s">
        <v>187</v>
      </c>
      <c r="HX132" s="112" t="e">
        <f t="shared" si="193"/>
        <v>#VALUE!</v>
      </c>
      <c r="HY132" t="s">
        <v>188</v>
      </c>
      <c r="HZ132" s="112" t="e">
        <f t="shared" si="194"/>
        <v>#VALUE!</v>
      </c>
      <c r="IA132" t="s">
        <v>189</v>
      </c>
      <c r="IB132">
        <f t="shared" si="195"/>
        <v>0</v>
      </c>
      <c r="IC132" t="s">
        <v>192</v>
      </c>
      <c r="ID132">
        <f t="shared" si="196"/>
        <v>0</v>
      </c>
      <c r="IE132" t="s">
        <v>191</v>
      </c>
      <c r="IF132" s="254">
        <f t="shared" si="197"/>
        <v>0</v>
      </c>
      <c r="IK132" t="str">
        <f t="shared" si="215"/>
        <v/>
      </c>
      <c r="JP132">
        <f ca="1">IF(Foglio3!DM105=100000,0,IF(Foglio3!DM105="",0,1))</f>
        <v>0</v>
      </c>
      <c r="JQ132" s="314" t="str">
        <f ca="1" xml:space="preserve">   IF(JP132=1,     Foglio3!DM105,IF(JP132=0,IF(JP131=1,"","")))</f>
        <v/>
      </c>
      <c r="JR132" s="314" t="str">
        <f ca="1">IF(          Foglio3!DN105=100000,"",Foglio3!DN105)</f>
        <v/>
      </c>
      <c r="JS132" s="272" t="str">
        <f ca="1">IF(Foglio3!DN105=100000,"",Foglio3!DO105)</f>
        <v/>
      </c>
      <c r="JT132" s="272" t="str">
        <f ca="1">IF(Foglio3!DN105=100000,"",Foglio3!DP105)</f>
        <v/>
      </c>
      <c r="JU132" s="272" t="str">
        <f ca="1">IF(Foglio3!DN105=100000,"",Foglio3!DQ105)</f>
        <v/>
      </c>
      <c r="JV132" s="272" t="str">
        <f ca="1">IF(JU132="","",Foglio3!DR105)</f>
        <v/>
      </c>
      <c r="JW132" s="272" t="str">
        <f ca="1">IF(Foglio3!DN105=100000,"",Foglio3!DS105)</f>
        <v/>
      </c>
      <c r="JX132" s="272" t="str">
        <f ca="1">IF(Foglio3!DN105=100000,"",Foglio3!DT105)</f>
        <v/>
      </c>
      <c r="JY132" s="272" t="str">
        <f ca="1">IF(Foglio3!DN105=100000,"",Foglio3!DU105)</f>
        <v/>
      </c>
      <c r="JZ132" s="272" t="str">
        <f ca="1">IF(Foglio3!DN105=100000,"",Foglio3!DV105)</f>
        <v/>
      </c>
    </row>
    <row r="133" spans="5:286" x14ac:dyDescent="0.25">
      <c r="E133" s="240" t="str">
        <f>Foglio3!F113</f>
        <v/>
      </c>
      <c r="F133" s="240" t="str">
        <f>Foglio3!G113</f>
        <v/>
      </c>
      <c r="DU133" s="112"/>
      <c r="DV133" s="112"/>
      <c r="EX133" s="238"/>
      <c r="HW133" s="253" t="s">
        <v>187</v>
      </c>
      <c r="HX133" s="112" t="e">
        <f t="shared" si="193"/>
        <v>#VALUE!</v>
      </c>
      <c r="HY133" t="s">
        <v>188</v>
      </c>
      <c r="HZ133" s="112" t="e">
        <f t="shared" si="194"/>
        <v>#VALUE!</v>
      </c>
      <c r="IA133" t="s">
        <v>189</v>
      </c>
      <c r="IB133">
        <f t="shared" si="195"/>
        <v>0</v>
      </c>
      <c r="IC133" t="s">
        <v>192</v>
      </c>
      <c r="ID133">
        <f t="shared" si="196"/>
        <v>0</v>
      </c>
      <c r="IE133" t="s">
        <v>191</v>
      </c>
      <c r="IF133" s="254">
        <f t="shared" si="197"/>
        <v>0</v>
      </c>
      <c r="IK133" t="str">
        <f t="shared" si="215"/>
        <v/>
      </c>
      <c r="JP133">
        <f ca="1">IF(Foglio3!DM106=100000,0,IF(Foglio3!DM106="",0,1))</f>
        <v>0</v>
      </c>
      <c r="JQ133" s="314" t="str">
        <f ca="1" xml:space="preserve">   IF(JP133=1,     Foglio3!DM106,IF(JP133=0,IF(JP132=1,"","")))</f>
        <v/>
      </c>
      <c r="JR133" s="314" t="str">
        <f ca="1">IF(          Foglio3!DN106=100000,"",Foglio3!DN106)</f>
        <v/>
      </c>
      <c r="JS133" s="272" t="str">
        <f ca="1">IF(Foglio3!DN106=100000,"",Foglio3!DO106)</f>
        <v/>
      </c>
      <c r="JT133" s="272" t="str">
        <f ca="1">IF(Foglio3!DN106=100000,"",Foglio3!DP106)</f>
        <v/>
      </c>
      <c r="JU133" s="272" t="str">
        <f ca="1">IF(Foglio3!DN106=100000,"",Foglio3!DQ106)</f>
        <v/>
      </c>
      <c r="JV133" s="272" t="str">
        <f ca="1">IF(JU133="","",Foglio3!DR106)</f>
        <v/>
      </c>
      <c r="JW133" s="272" t="str">
        <f ca="1">IF(Foglio3!DN106=100000,"",Foglio3!DS106)</f>
        <v/>
      </c>
      <c r="JX133" s="272" t="str">
        <f ca="1">IF(Foglio3!DN106=100000,"",Foglio3!DT106)</f>
        <v/>
      </c>
      <c r="JY133" s="272" t="str">
        <f ca="1">IF(Foglio3!DN106=100000,"",Foglio3!DU106)</f>
        <v/>
      </c>
      <c r="JZ133" s="272" t="str">
        <f ca="1">IF(Foglio3!DN106=100000,"",Foglio3!DV106)</f>
        <v/>
      </c>
    </row>
    <row r="134" spans="5:286" x14ac:dyDescent="0.25">
      <c r="E134" s="240" t="str">
        <f>Foglio3!F114</f>
        <v/>
      </c>
      <c r="F134" s="240" t="str">
        <f>Foglio3!G114</f>
        <v/>
      </c>
      <c r="DU134" s="112"/>
      <c r="DV134" s="112"/>
      <c r="EX134" s="238"/>
      <c r="HW134" s="253" t="s">
        <v>187</v>
      </c>
      <c r="HX134" s="112" t="e">
        <f t="shared" si="193"/>
        <v>#VALUE!</v>
      </c>
      <c r="HY134" t="s">
        <v>188</v>
      </c>
      <c r="HZ134" s="112" t="e">
        <f t="shared" si="194"/>
        <v>#VALUE!</v>
      </c>
      <c r="IA134" t="s">
        <v>189</v>
      </c>
      <c r="IB134">
        <f t="shared" si="195"/>
        <v>0</v>
      </c>
      <c r="IC134" t="s">
        <v>192</v>
      </c>
      <c r="ID134">
        <f t="shared" si="196"/>
        <v>0</v>
      </c>
      <c r="IE134" t="s">
        <v>191</v>
      </c>
      <c r="IF134" s="254">
        <f t="shared" si="197"/>
        <v>0</v>
      </c>
      <c r="IK134" t="str">
        <f t="shared" si="215"/>
        <v/>
      </c>
      <c r="JP134">
        <f ca="1">IF(Foglio3!DM107=100000,0,IF(Foglio3!DM107="",0,1))</f>
        <v>0</v>
      </c>
      <c r="JQ134" s="314" t="str">
        <f ca="1" xml:space="preserve">   IF(JP134=1,     Foglio3!DM107,IF(JP134=0,IF(JP133=1,"","")))</f>
        <v/>
      </c>
      <c r="JR134" s="314" t="str">
        <f ca="1">IF(          Foglio3!DN107=100000,"",Foglio3!DN107)</f>
        <v/>
      </c>
      <c r="JS134" s="272" t="str">
        <f ca="1">IF(Foglio3!DN107=100000,"",Foglio3!DO107)</f>
        <v/>
      </c>
      <c r="JT134" s="272" t="str">
        <f ca="1">IF(Foglio3!DN107=100000,"",Foglio3!DP107)</f>
        <v/>
      </c>
      <c r="JU134" s="272" t="str">
        <f ca="1">IF(Foglio3!DN107=100000,"",Foglio3!DQ107)</f>
        <v/>
      </c>
      <c r="JV134" s="272" t="str">
        <f ca="1">IF(JU134="","",Foglio3!DR107)</f>
        <v/>
      </c>
      <c r="JW134" s="272" t="str">
        <f ca="1">IF(Foglio3!DN107=100000,"",Foglio3!DS107)</f>
        <v/>
      </c>
      <c r="JX134" s="272" t="str">
        <f ca="1">IF(Foglio3!DN107=100000,"",Foglio3!DT107)</f>
        <v/>
      </c>
      <c r="JY134" s="272" t="str">
        <f ca="1">IF(Foglio3!DN107=100000,"",Foglio3!DU107)</f>
        <v/>
      </c>
      <c r="JZ134" s="272" t="str">
        <f ca="1">IF(Foglio3!DN107=100000,"",Foglio3!DV107)</f>
        <v/>
      </c>
    </row>
    <row r="135" spans="5:286" x14ac:dyDescent="0.25">
      <c r="E135" s="240" t="str">
        <f>Foglio3!F115</f>
        <v/>
      </c>
      <c r="F135" s="240" t="str">
        <f>Foglio3!G115</f>
        <v/>
      </c>
      <c r="DU135" s="112"/>
      <c r="DV135" s="112"/>
      <c r="EX135" s="238"/>
      <c r="HW135" s="253" t="s">
        <v>187</v>
      </c>
      <c r="HX135" s="112" t="e">
        <f t="shared" si="193"/>
        <v>#VALUE!</v>
      </c>
      <c r="HY135" t="s">
        <v>188</v>
      </c>
      <c r="HZ135" s="112" t="e">
        <f t="shared" si="194"/>
        <v>#VALUE!</v>
      </c>
      <c r="IA135" t="s">
        <v>189</v>
      </c>
      <c r="IB135">
        <f t="shared" si="195"/>
        <v>0</v>
      </c>
      <c r="IC135" t="s">
        <v>192</v>
      </c>
      <c r="ID135">
        <f t="shared" si="196"/>
        <v>0</v>
      </c>
      <c r="IE135" t="s">
        <v>191</v>
      </c>
      <c r="IF135" s="254">
        <f t="shared" si="197"/>
        <v>0</v>
      </c>
      <c r="IK135" t="str">
        <f t="shared" si="215"/>
        <v/>
      </c>
      <c r="JP135">
        <f ca="1">IF(Foglio3!DM108=100000,0,IF(Foglio3!DM108="",0,1))</f>
        <v>0</v>
      </c>
      <c r="JQ135" s="314" t="str">
        <f ca="1" xml:space="preserve">   IF(JP135=1,     Foglio3!DM108,IF(JP135=0,IF(JP134=1,"","")))</f>
        <v/>
      </c>
      <c r="JR135" s="314" t="str">
        <f ca="1">IF(          Foglio3!DN108=100000,"",Foglio3!DN108)</f>
        <v/>
      </c>
      <c r="JS135" s="272" t="str">
        <f ca="1">IF(Foglio3!DN108=100000,"",Foglio3!DO108)</f>
        <v/>
      </c>
      <c r="JT135" s="272" t="str">
        <f ca="1">IF(Foglio3!DN108=100000,"",Foglio3!DP108)</f>
        <v/>
      </c>
      <c r="JU135" s="272" t="str">
        <f ca="1">IF(Foglio3!DN108=100000,"",Foglio3!DQ108)</f>
        <v/>
      </c>
      <c r="JV135" s="272" t="str">
        <f ca="1">IF(JU135="","",Foglio3!DR108)</f>
        <v/>
      </c>
      <c r="JW135" s="272" t="str">
        <f ca="1">IF(Foglio3!DN108=100000,"",Foglio3!DS108)</f>
        <v/>
      </c>
      <c r="JX135" s="272" t="str">
        <f ca="1">IF(Foglio3!DN108=100000,"",Foglio3!DT108)</f>
        <v/>
      </c>
      <c r="JY135" s="272" t="str">
        <f ca="1">IF(Foglio3!DN108=100000,"",Foglio3!DU108)</f>
        <v/>
      </c>
      <c r="JZ135" s="272" t="str">
        <f ca="1">IF(Foglio3!DN108=100000,"",Foglio3!DV108)</f>
        <v/>
      </c>
    </row>
    <row r="136" spans="5:286" x14ac:dyDescent="0.25">
      <c r="E136" s="240" t="str">
        <f>Foglio3!F116</f>
        <v/>
      </c>
      <c r="F136" s="240" t="str">
        <f>Foglio3!G116</f>
        <v/>
      </c>
      <c r="DU136" s="112"/>
      <c r="DV136" s="112"/>
      <c r="EX136" s="238"/>
      <c r="HW136" s="253" t="s">
        <v>187</v>
      </c>
      <c r="HX136" s="112" t="e">
        <f t="shared" si="193"/>
        <v>#VALUE!</v>
      </c>
      <c r="HY136" t="s">
        <v>188</v>
      </c>
      <c r="HZ136" s="112" t="e">
        <f t="shared" si="194"/>
        <v>#VALUE!</v>
      </c>
      <c r="IA136" t="s">
        <v>189</v>
      </c>
      <c r="IB136">
        <f t="shared" si="195"/>
        <v>0</v>
      </c>
      <c r="IC136" t="s">
        <v>192</v>
      </c>
      <c r="ID136">
        <f t="shared" si="196"/>
        <v>0</v>
      </c>
      <c r="IE136" t="s">
        <v>191</v>
      </c>
      <c r="IF136" s="254">
        <f t="shared" si="197"/>
        <v>0</v>
      </c>
      <c r="IK136" t="str">
        <f t="shared" si="215"/>
        <v/>
      </c>
      <c r="JP136">
        <f ca="1">IF(Foglio3!DM109=100000,0,IF(Foglio3!DM109="",0,1))</f>
        <v>0</v>
      </c>
      <c r="JQ136" s="314" t="str">
        <f ca="1" xml:space="preserve">   IF(JP136=1,     Foglio3!DM109,IF(JP136=0,IF(JP135=1,"","")))</f>
        <v/>
      </c>
      <c r="JR136" s="314" t="str">
        <f ca="1">IF(          Foglio3!DN109=100000,"",Foglio3!DN109)</f>
        <v/>
      </c>
      <c r="JS136" s="272" t="str">
        <f ca="1">IF(Foglio3!DN109=100000,"",Foglio3!DO109)</f>
        <v/>
      </c>
      <c r="JT136" s="272" t="str">
        <f ca="1">IF(Foglio3!DN109=100000,"",Foglio3!DP109)</f>
        <v/>
      </c>
      <c r="JU136" s="272" t="str">
        <f ca="1">IF(Foglio3!DN109=100000,"",Foglio3!DQ109)</f>
        <v/>
      </c>
      <c r="JV136" s="272" t="str">
        <f ca="1">IF(JU136="","",Foglio3!DR109)</f>
        <v/>
      </c>
      <c r="JW136" s="272" t="str">
        <f ca="1">IF(Foglio3!DN109=100000,"",Foglio3!DS109)</f>
        <v/>
      </c>
      <c r="JX136" s="272" t="str">
        <f ca="1">IF(Foglio3!DN109=100000,"",Foglio3!DT109)</f>
        <v/>
      </c>
      <c r="JY136" s="272" t="str">
        <f ca="1">IF(Foglio3!DN109=100000,"",Foglio3!DU109)</f>
        <v/>
      </c>
      <c r="JZ136" s="272" t="str">
        <f ca="1">IF(Foglio3!DN109=100000,"",Foglio3!DV109)</f>
        <v/>
      </c>
    </row>
    <row r="137" spans="5:286" x14ac:dyDescent="0.25">
      <c r="E137" s="240" t="str">
        <f>Foglio3!F117</f>
        <v/>
      </c>
      <c r="F137" s="240" t="str">
        <f>Foglio3!G117</f>
        <v/>
      </c>
      <c r="DU137" s="112"/>
      <c r="DV137" s="112"/>
      <c r="EX137" s="238"/>
      <c r="HW137" s="253" t="s">
        <v>187</v>
      </c>
      <c r="HX137" s="112" t="e">
        <f t="shared" si="193"/>
        <v>#VALUE!</v>
      </c>
      <c r="HY137" t="s">
        <v>188</v>
      </c>
      <c r="HZ137" s="112" t="e">
        <f t="shared" si="194"/>
        <v>#VALUE!</v>
      </c>
      <c r="IA137" t="s">
        <v>189</v>
      </c>
      <c r="IB137">
        <f t="shared" si="195"/>
        <v>0</v>
      </c>
      <c r="IC137" t="s">
        <v>192</v>
      </c>
      <c r="ID137">
        <f t="shared" si="196"/>
        <v>0</v>
      </c>
      <c r="IE137" t="s">
        <v>191</v>
      </c>
      <c r="IF137" s="254">
        <f t="shared" si="197"/>
        <v>0</v>
      </c>
      <c r="IK137" t="str">
        <f t="shared" si="215"/>
        <v/>
      </c>
      <c r="JP137">
        <f ca="1">IF(Foglio3!DM110=100000,0,IF(Foglio3!DM110="",0,1))</f>
        <v>0</v>
      </c>
      <c r="JQ137" s="314" t="str">
        <f ca="1" xml:space="preserve">   IF(JP137=1,     Foglio3!DM110,IF(JP137=0,IF(JP136=1,"","")))</f>
        <v/>
      </c>
      <c r="JR137" s="314" t="str">
        <f ca="1">IF(          Foglio3!DN110=100000,"",Foglio3!DN110)</f>
        <v/>
      </c>
      <c r="JS137" s="272" t="str">
        <f ca="1">IF(Foglio3!DN110=100000,"",Foglio3!DO110)</f>
        <v/>
      </c>
      <c r="JT137" s="272" t="str">
        <f ca="1">IF(Foglio3!DN110=100000,"",Foglio3!DP110)</f>
        <v/>
      </c>
      <c r="JU137" s="272" t="str">
        <f ca="1">IF(Foglio3!DN110=100000,"",Foglio3!DQ110)</f>
        <v/>
      </c>
      <c r="JV137" s="272" t="str">
        <f ca="1">IF(JU137="","",Foglio3!DR110)</f>
        <v/>
      </c>
      <c r="JW137" s="272" t="str">
        <f ca="1">IF(Foglio3!DN110=100000,"",Foglio3!DS110)</f>
        <v/>
      </c>
      <c r="JX137" s="272" t="str">
        <f ca="1">IF(Foglio3!DN110=100000,"",Foglio3!DT110)</f>
        <v/>
      </c>
      <c r="JY137" s="272" t="str">
        <f ca="1">IF(Foglio3!DN110=100000,"",Foglio3!DU110)</f>
        <v/>
      </c>
      <c r="JZ137" s="272" t="str">
        <f ca="1">IF(Foglio3!DN110=100000,"",Foglio3!DV110)</f>
        <v/>
      </c>
    </row>
    <row r="138" spans="5:286" x14ac:dyDescent="0.25">
      <c r="E138" s="240" t="str">
        <f>Foglio3!F118</f>
        <v/>
      </c>
      <c r="F138" s="240" t="str">
        <f>Foglio3!G118</f>
        <v/>
      </c>
      <c r="DU138" s="112"/>
      <c r="DV138" s="112"/>
      <c r="EX138" s="238"/>
      <c r="HW138" s="253" t="s">
        <v>187</v>
      </c>
      <c r="HX138" s="112" t="e">
        <f t="shared" si="193"/>
        <v>#VALUE!</v>
      </c>
      <c r="HY138" t="s">
        <v>188</v>
      </c>
      <c r="HZ138" s="112" t="e">
        <f t="shared" si="194"/>
        <v>#VALUE!</v>
      </c>
      <c r="IA138" t="s">
        <v>189</v>
      </c>
      <c r="IB138">
        <f t="shared" si="195"/>
        <v>0</v>
      </c>
      <c r="IC138" t="s">
        <v>192</v>
      </c>
      <c r="ID138">
        <f t="shared" si="196"/>
        <v>0</v>
      </c>
      <c r="IE138" t="s">
        <v>191</v>
      </c>
      <c r="IF138" s="254">
        <f t="shared" si="197"/>
        <v>0</v>
      </c>
      <c r="IK138" t="str">
        <f t="shared" si="215"/>
        <v/>
      </c>
      <c r="JP138">
        <f ca="1">IF(Foglio3!DM111=100000,0,IF(Foglio3!DM111="",0,1))</f>
        <v>0</v>
      </c>
      <c r="JQ138" s="314" t="str">
        <f ca="1" xml:space="preserve">   IF(JP138=1,     Foglio3!DM111,IF(JP138=0,IF(JP137=1,"","")))</f>
        <v/>
      </c>
      <c r="JR138" s="314" t="str">
        <f ca="1">IF(          Foglio3!DN111=100000,"",Foglio3!DN111)</f>
        <v/>
      </c>
      <c r="JS138" s="272" t="str">
        <f ca="1">IF(Foglio3!DN111=100000,"",Foglio3!DO111)</f>
        <v/>
      </c>
      <c r="JT138" s="272" t="str">
        <f ca="1">IF(Foglio3!DN111=100000,"",Foglio3!DP111)</f>
        <v/>
      </c>
      <c r="JU138" s="272" t="str">
        <f ca="1">IF(Foglio3!DN111=100000,"",Foglio3!DQ111)</f>
        <v/>
      </c>
      <c r="JV138" s="272" t="str">
        <f ca="1">IF(JU138="","",Foglio3!DR111)</f>
        <v/>
      </c>
      <c r="JW138" s="272" t="str">
        <f ca="1">IF(Foglio3!DN111=100000,"",Foglio3!DS111)</f>
        <v/>
      </c>
      <c r="JX138" s="272" t="str">
        <f ca="1">IF(Foglio3!DN111=100000,"",Foglio3!DT111)</f>
        <v/>
      </c>
      <c r="JY138" s="272" t="str">
        <f ca="1">IF(Foglio3!DN111=100000,"",Foglio3!DU111)</f>
        <v/>
      </c>
      <c r="JZ138" s="272" t="str">
        <f ca="1">IF(Foglio3!DN111=100000,"",Foglio3!DV111)</f>
        <v/>
      </c>
    </row>
    <row r="139" spans="5:286" x14ac:dyDescent="0.25">
      <c r="E139" s="240" t="str">
        <f>Foglio3!F119</f>
        <v/>
      </c>
      <c r="F139" s="240" t="str">
        <f>Foglio3!G119</f>
        <v/>
      </c>
      <c r="DU139" s="112"/>
      <c r="DV139" s="112"/>
      <c r="EX139" s="238"/>
      <c r="HW139" s="253" t="s">
        <v>187</v>
      </c>
      <c r="HX139" s="112" t="e">
        <f t="shared" si="193"/>
        <v>#VALUE!</v>
      </c>
      <c r="HY139" t="s">
        <v>188</v>
      </c>
      <c r="HZ139" s="112" t="e">
        <f t="shared" si="194"/>
        <v>#VALUE!</v>
      </c>
      <c r="IA139" t="s">
        <v>189</v>
      </c>
      <c r="IB139">
        <f t="shared" si="195"/>
        <v>0</v>
      </c>
      <c r="IC139" t="s">
        <v>192</v>
      </c>
      <c r="ID139">
        <f t="shared" si="196"/>
        <v>0</v>
      </c>
      <c r="IE139" t="s">
        <v>191</v>
      </c>
      <c r="IF139" s="254">
        <f t="shared" si="197"/>
        <v>0</v>
      </c>
      <c r="IK139" t="str">
        <f t="shared" si="215"/>
        <v/>
      </c>
      <c r="JP139">
        <f ca="1">IF(Foglio3!DM112=100000,0,IF(Foglio3!DM112="",0,1))</f>
        <v>0</v>
      </c>
      <c r="JQ139" s="314" t="str">
        <f ca="1" xml:space="preserve">   IF(JP139=1,     Foglio3!DM112,IF(JP139=0,IF(JP138=1,"","")))</f>
        <v/>
      </c>
      <c r="JR139" s="314" t="str">
        <f ca="1">IF(          Foglio3!DN112=100000,"",Foglio3!DN112)</f>
        <v/>
      </c>
      <c r="JS139" s="272" t="str">
        <f ca="1">IF(Foglio3!DN112=100000,"",Foglio3!DO112)</f>
        <v/>
      </c>
      <c r="JT139" s="272" t="str">
        <f ca="1">IF(Foglio3!DN112=100000,"",Foglio3!DP112)</f>
        <v/>
      </c>
      <c r="JU139" s="272" t="str">
        <f ca="1">IF(Foglio3!DN112=100000,"",Foglio3!DQ112)</f>
        <v/>
      </c>
      <c r="JV139" s="272" t="str">
        <f ca="1">IF(JU139="","",Foglio3!DR112)</f>
        <v/>
      </c>
      <c r="JW139" s="272" t="str">
        <f ca="1">IF(Foglio3!DN112=100000,"",Foglio3!DS112)</f>
        <v/>
      </c>
      <c r="JX139" s="272" t="str">
        <f ca="1">IF(Foglio3!DN112=100000,"",Foglio3!DT112)</f>
        <v/>
      </c>
      <c r="JY139" s="272" t="str">
        <f ca="1">IF(Foglio3!DN112=100000,"",Foglio3!DU112)</f>
        <v/>
      </c>
      <c r="JZ139" s="272" t="str">
        <f ca="1">IF(Foglio3!DN112=100000,"",Foglio3!DV112)</f>
        <v/>
      </c>
    </row>
    <row r="140" spans="5:286" x14ac:dyDescent="0.25">
      <c r="E140" s="240" t="str">
        <f>Foglio3!F120</f>
        <v/>
      </c>
      <c r="F140" s="240" t="str">
        <f>Foglio3!G120</f>
        <v/>
      </c>
      <c r="DU140" s="112"/>
      <c r="DV140" s="112"/>
      <c r="EX140" s="238"/>
      <c r="HW140" s="253" t="s">
        <v>187</v>
      </c>
      <c r="HX140" s="112" t="e">
        <f t="shared" si="193"/>
        <v>#VALUE!</v>
      </c>
      <c r="HY140" t="s">
        <v>188</v>
      </c>
      <c r="HZ140" s="112" t="e">
        <f t="shared" si="194"/>
        <v>#VALUE!</v>
      </c>
      <c r="IA140" t="s">
        <v>189</v>
      </c>
      <c r="IB140">
        <f t="shared" si="195"/>
        <v>0</v>
      </c>
      <c r="IC140" t="s">
        <v>192</v>
      </c>
      <c r="ID140">
        <f t="shared" si="196"/>
        <v>0</v>
      </c>
      <c r="IE140" t="s">
        <v>191</v>
      </c>
      <c r="IF140" s="254">
        <f t="shared" si="197"/>
        <v>0</v>
      </c>
      <c r="IK140" t="str">
        <f t="shared" si="215"/>
        <v/>
      </c>
      <c r="IV140" t="str">
        <f>CONCATENATE(IK140,IK141,IK142,IK143,IK144,IK145,IK146,IK147,IK148,IK149,IK150,IK151,IK152,IK153,IK154,I645,IK156,IK157,IK158,IK159,)</f>
        <v/>
      </c>
      <c r="JP140">
        <f ca="1">IF(Foglio3!DM113=100000,0,IF(Foglio3!DM113="",0,1))</f>
        <v>0</v>
      </c>
      <c r="JQ140" s="314" t="str">
        <f ca="1" xml:space="preserve">   IF(JP140=1,     Foglio3!DM113,IF(JP140=0,IF(JP139=1,"","")))</f>
        <v/>
      </c>
      <c r="JR140" s="314" t="str">
        <f ca="1">IF(          Foglio3!DN113=100000,"",Foglio3!DN113)</f>
        <v/>
      </c>
      <c r="JS140" s="272" t="str">
        <f ca="1">IF(Foglio3!DN113=100000,"",Foglio3!DO113)</f>
        <v/>
      </c>
      <c r="JT140" s="272" t="str">
        <f ca="1">IF(Foglio3!DN113=100000,"",Foglio3!DP113)</f>
        <v/>
      </c>
      <c r="JU140" s="272" t="str">
        <f ca="1">IF(Foglio3!DN113=100000,"",Foglio3!DQ113)</f>
        <v/>
      </c>
      <c r="JV140" s="272" t="str">
        <f ca="1">IF(JU140="","",Foglio3!DR113)</f>
        <v/>
      </c>
      <c r="JW140" s="272" t="str">
        <f ca="1">IF(Foglio3!DN113=100000,"",Foglio3!DS113)</f>
        <v/>
      </c>
      <c r="JX140" s="272" t="str">
        <f ca="1">IF(Foglio3!DN113=100000,"",Foglio3!DT113)</f>
        <v/>
      </c>
      <c r="JY140" s="272" t="str">
        <f ca="1">IF(Foglio3!DN113=100000,"",Foglio3!DU113)</f>
        <v/>
      </c>
      <c r="JZ140" s="272" t="str">
        <f ca="1">IF(Foglio3!DN113=100000,"",Foglio3!DV113)</f>
        <v/>
      </c>
    </row>
    <row r="141" spans="5:286" x14ac:dyDescent="0.25">
      <c r="E141" s="240" t="str">
        <f>Foglio3!F121</f>
        <v/>
      </c>
      <c r="F141" s="240" t="str">
        <f>Foglio3!G121</f>
        <v/>
      </c>
      <c r="DU141" s="112"/>
      <c r="DV141" s="112"/>
      <c r="EX141" s="238"/>
      <c r="HW141" s="253" t="s">
        <v>187</v>
      </c>
      <c r="HX141" s="112" t="e">
        <f t="shared" si="193"/>
        <v>#VALUE!</v>
      </c>
      <c r="HY141" t="s">
        <v>188</v>
      </c>
      <c r="HZ141" s="112" t="e">
        <f t="shared" si="194"/>
        <v>#VALUE!</v>
      </c>
      <c r="IA141" t="s">
        <v>189</v>
      </c>
      <c r="IB141">
        <f t="shared" si="195"/>
        <v>0</v>
      </c>
      <c r="IC141" t="s">
        <v>192</v>
      </c>
      <c r="ID141">
        <f t="shared" si="196"/>
        <v>0</v>
      </c>
      <c r="IE141" t="s">
        <v>191</v>
      </c>
      <c r="IF141" s="254">
        <f t="shared" si="197"/>
        <v>0</v>
      </c>
      <c r="IK141" t="str">
        <f t="shared" si="215"/>
        <v/>
      </c>
      <c r="JP141">
        <f ca="1">IF(Foglio3!DM114=100000,0,IF(Foglio3!DM114="",0,1))</f>
        <v>0</v>
      </c>
      <c r="JQ141" s="314" t="str">
        <f ca="1" xml:space="preserve">   IF(JP141=1,     Foglio3!DM114,IF(JP141=0,IF(JP140=1,"","")))</f>
        <v/>
      </c>
      <c r="JR141" s="314" t="str">
        <f ca="1">IF(          Foglio3!DN114=100000,"",Foglio3!DN114)</f>
        <v/>
      </c>
      <c r="JS141" s="272" t="str">
        <f ca="1">IF(Foglio3!DN114=100000,"",Foglio3!DO114)</f>
        <v/>
      </c>
      <c r="JT141" s="272" t="str">
        <f ca="1">IF(Foglio3!DN114=100000,"",Foglio3!DP114)</f>
        <v/>
      </c>
      <c r="JU141" s="272" t="str">
        <f ca="1">IF(Foglio3!DN114=100000,"",Foglio3!DQ114)</f>
        <v/>
      </c>
      <c r="JV141" s="272" t="str">
        <f ca="1">IF(JU141="","",Foglio3!DR114)</f>
        <v/>
      </c>
      <c r="JW141" s="272" t="str">
        <f ca="1">IF(Foglio3!DN114=100000,"",Foglio3!DS114)</f>
        <v/>
      </c>
      <c r="JX141" s="272" t="str">
        <f ca="1">IF(Foglio3!DN114=100000,"",Foglio3!DT114)</f>
        <v/>
      </c>
      <c r="JY141" s="272" t="str">
        <f ca="1">IF(Foglio3!DN114=100000,"",Foglio3!DU114)</f>
        <v/>
      </c>
      <c r="JZ141" s="272" t="str">
        <f ca="1">IF(Foglio3!DN114=100000,"",Foglio3!DV114)</f>
        <v/>
      </c>
    </row>
    <row r="142" spans="5:286" x14ac:dyDescent="0.25">
      <c r="E142" s="240" t="str">
        <f>Foglio3!F122</f>
        <v/>
      </c>
      <c r="F142" s="240" t="str">
        <f>Foglio3!G122</f>
        <v/>
      </c>
      <c r="DU142" s="112"/>
      <c r="DV142" s="112"/>
      <c r="EX142" s="238"/>
      <c r="HW142" s="253" t="s">
        <v>187</v>
      </c>
      <c r="HX142" s="112" t="e">
        <f t="shared" si="193"/>
        <v>#VALUE!</v>
      </c>
      <c r="HY142" t="s">
        <v>188</v>
      </c>
      <c r="HZ142" s="112" t="e">
        <f t="shared" si="194"/>
        <v>#VALUE!</v>
      </c>
      <c r="IA142" t="s">
        <v>189</v>
      </c>
      <c r="IB142">
        <f t="shared" si="195"/>
        <v>0</v>
      </c>
      <c r="IC142" t="s">
        <v>192</v>
      </c>
      <c r="ID142">
        <f t="shared" si="196"/>
        <v>0</v>
      </c>
      <c r="IE142" t="s">
        <v>191</v>
      </c>
      <c r="IF142" s="254">
        <f t="shared" si="197"/>
        <v>0</v>
      </c>
      <c r="IK142" t="str">
        <f t="shared" si="215"/>
        <v/>
      </c>
      <c r="JP142">
        <f ca="1">IF(Foglio3!DM115=100000,0,IF(Foglio3!DM115="",0,1))</f>
        <v>0</v>
      </c>
      <c r="JQ142" s="314" t="str">
        <f ca="1" xml:space="preserve">   IF(JP142=1,     Foglio3!DM115,IF(JP142=0,IF(JP141=1,"","")))</f>
        <v/>
      </c>
      <c r="JR142" s="314" t="str">
        <f ca="1">IF(          Foglio3!DN115=100000,"",Foglio3!DN115)</f>
        <v/>
      </c>
      <c r="JS142" s="272" t="str">
        <f ca="1">IF(Foglio3!DN115=100000,"",Foglio3!DO115)</f>
        <v/>
      </c>
      <c r="JT142" s="272" t="str">
        <f ca="1">IF(Foglio3!DN115=100000,"",Foglio3!DP115)</f>
        <v/>
      </c>
      <c r="JU142" s="272" t="str">
        <f ca="1">IF(Foglio3!DN115=100000,"",Foglio3!DQ115)</f>
        <v/>
      </c>
      <c r="JV142" s="272" t="str">
        <f ca="1">IF(JU142="","",Foglio3!DR115)</f>
        <v/>
      </c>
      <c r="JW142" s="272" t="str">
        <f ca="1">IF(Foglio3!DN115=100000,"",Foglio3!DS115)</f>
        <v/>
      </c>
      <c r="JX142" s="272" t="str">
        <f ca="1">IF(Foglio3!DN115=100000,"",Foglio3!DT115)</f>
        <v/>
      </c>
      <c r="JY142" s="272" t="str">
        <f ca="1">IF(Foglio3!DN115=100000,"",Foglio3!DU115)</f>
        <v/>
      </c>
      <c r="JZ142" s="272" t="str">
        <f ca="1">IF(Foglio3!DN115=100000,"",Foglio3!DV115)</f>
        <v/>
      </c>
    </row>
    <row r="143" spans="5:286" x14ac:dyDescent="0.25">
      <c r="E143" s="240" t="str">
        <f>Foglio3!F123</f>
        <v/>
      </c>
      <c r="F143" s="240" t="str">
        <f>Foglio3!G123</f>
        <v/>
      </c>
      <c r="DU143" s="112"/>
      <c r="DV143" s="112"/>
      <c r="EX143" s="238"/>
      <c r="HW143" s="253" t="s">
        <v>187</v>
      </c>
      <c r="HX143" s="112" t="e">
        <f t="shared" si="193"/>
        <v>#VALUE!</v>
      </c>
      <c r="HY143" t="s">
        <v>188</v>
      </c>
      <c r="HZ143" s="112" t="e">
        <f t="shared" si="194"/>
        <v>#VALUE!</v>
      </c>
      <c r="IA143" t="s">
        <v>189</v>
      </c>
      <c r="IB143">
        <f t="shared" si="195"/>
        <v>0</v>
      </c>
      <c r="IC143" t="s">
        <v>192</v>
      </c>
      <c r="ID143">
        <f t="shared" si="196"/>
        <v>0</v>
      </c>
      <c r="IE143" t="s">
        <v>191</v>
      </c>
      <c r="IF143" s="254">
        <f t="shared" si="197"/>
        <v>0</v>
      </c>
      <c r="IK143" t="str">
        <f t="shared" si="215"/>
        <v/>
      </c>
      <c r="JP143">
        <f ca="1">IF(Foglio3!DM116=100000,0,IF(Foglio3!DM116="",0,1))</f>
        <v>0</v>
      </c>
      <c r="JQ143" s="314" t="str">
        <f ca="1" xml:space="preserve">   IF(JP143=1,     Foglio3!DM116,IF(JP143=0,IF(JP142=1,"","")))</f>
        <v/>
      </c>
      <c r="JR143" s="314" t="str">
        <f ca="1">IF(          Foglio3!DN116=100000,"",Foglio3!DN116)</f>
        <v/>
      </c>
      <c r="JS143" s="272" t="str">
        <f ca="1">IF(Foglio3!DN116=100000,"",Foglio3!DO116)</f>
        <v/>
      </c>
      <c r="JT143" s="272" t="str">
        <f ca="1">IF(Foglio3!DN116=100000,"",Foglio3!DP116)</f>
        <v/>
      </c>
      <c r="JU143" s="272" t="str">
        <f ca="1">IF(Foglio3!DN116=100000,"",Foglio3!DQ116)</f>
        <v/>
      </c>
      <c r="JV143" s="272" t="str">
        <f ca="1">IF(JU143="","",Foglio3!DR116)</f>
        <v/>
      </c>
      <c r="JW143" s="272" t="str">
        <f ca="1">IF(Foglio3!DN116=100000,"",Foglio3!DS116)</f>
        <v/>
      </c>
      <c r="JX143" s="272" t="str">
        <f ca="1">IF(Foglio3!DN116=100000,"",Foglio3!DT116)</f>
        <v/>
      </c>
      <c r="JY143" s="272" t="str">
        <f ca="1">IF(Foglio3!DN116=100000,"",Foglio3!DU116)</f>
        <v/>
      </c>
      <c r="JZ143" s="272" t="str">
        <f ca="1">IF(Foglio3!DN116=100000,"",Foglio3!DV116)</f>
        <v/>
      </c>
    </row>
    <row r="144" spans="5:286" x14ac:dyDescent="0.25">
      <c r="E144" s="240" t="str">
        <f>Foglio3!F124</f>
        <v/>
      </c>
      <c r="F144" s="240" t="str">
        <f>Foglio3!G124</f>
        <v/>
      </c>
      <c r="DU144" s="112"/>
      <c r="DV144" s="112"/>
      <c r="EX144" s="238"/>
      <c r="HW144" s="253" t="s">
        <v>187</v>
      </c>
      <c r="HX144" s="112" t="e">
        <f t="shared" si="193"/>
        <v>#VALUE!</v>
      </c>
      <c r="HY144" t="s">
        <v>188</v>
      </c>
      <c r="HZ144" s="112" t="e">
        <f t="shared" si="194"/>
        <v>#VALUE!</v>
      </c>
      <c r="IA144" t="s">
        <v>189</v>
      </c>
      <c r="IB144">
        <f t="shared" si="195"/>
        <v>0</v>
      </c>
      <c r="IC144" t="s">
        <v>192</v>
      </c>
      <c r="ID144">
        <f t="shared" si="196"/>
        <v>0</v>
      </c>
      <c r="IE144" t="s">
        <v>191</v>
      </c>
      <c r="IF144" s="254">
        <f t="shared" si="197"/>
        <v>0</v>
      </c>
      <c r="IK144" t="str">
        <f t="shared" si="215"/>
        <v/>
      </c>
      <c r="JP144">
        <f ca="1">IF(Foglio3!DM117=100000,0,IF(Foglio3!DM117="",0,1))</f>
        <v>0</v>
      </c>
      <c r="JQ144" s="314" t="str">
        <f ca="1" xml:space="preserve">   IF(JP144=1,     Foglio3!DM117,IF(JP144=0,IF(JP143=1,"","")))</f>
        <v/>
      </c>
      <c r="JR144" s="314" t="str">
        <f ca="1">IF(          Foglio3!DN117=100000,"",Foglio3!DN117)</f>
        <v/>
      </c>
      <c r="JS144" s="272" t="str">
        <f ca="1">IF(Foglio3!DN117=100000,"",Foglio3!DO117)</f>
        <v/>
      </c>
      <c r="JT144" s="272" t="str">
        <f ca="1">IF(Foglio3!DN117=100000,"",Foglio3!DP117)</f>
        <v/>
      </c>
      <c r="JU144" s="272" t="str">
        <f ca="1">IF(Foglio3!DN117=100000,"",Foglio3!DQ117)</f>
        <v/>
      </c>
      <c r="JV144" s="272" t="str">
        <f ca="1">IF(JU144="","",Foglio3!DR117)</f>
        <v/>
      </c>
      <c r="JW144" s="272" t="str">
        <f ca="1">IF(Foglio3!DN117=100000,"",Foglio3!DS117)</f>
        <v/>
      </c>
      <c r="JX144" s="272" t="str">
        <f ca="1">IF(Foglio3!DN117=100000,"",Foglio3!DT117)</f>
        <v/>
      </c>
      <c r="JY144" s="272" t="str">
        <f ca="1">IF(Foglio3!DN117=100000,"",Foglio3!DU117)</f>
        <v/>
      </c>
      <c r="JZ144" s="272" t="str">
        <f ca="1">IF(Foglio3!DN117=100000,"",Foglio3!DV117)</f>
        <v/>
      </c>
    </row>
    <row r="145" spans="5:286" x14ac:dyDescent="0.25">
      <c r="E145" s="240" t="str">
        <f>Foglio3!F125</f>
        <v/>
      </c>
      <c r="F145" s="240" t="str">
        <f>Foglio3!G125</f>
        <v/>
      </c>
      <c r="DU145" s="112"/>
      <c r="DV145" s="112"/>
      <c r="EX145" s="238"/>
      <c r="HW145" s="253" t="s">
        <v>187</v>
      </c>
      <c r="HX145" s="112" t="e">
        <f t="shared" si="193"/>
        <v>#VALUE!</v>
      </c>
      <c r="HY145" t="s">
        <v>188</v>
      </c>
      <c r="HZ145" s="112" t="e">
        <f t="shared" si="194"/>
        <v>#VALUE!</v>
      </c>
      <c r="IA145" t="s">
        <v>189</v>
      </c>
      <c r="IB145">
        <f t="shared" si="195"/>
        <v>0</v>
      </c>
      <c r="IC145" t="s">
        <v>192</v>
      </c>
      <c r="ID145">
        <f t="shared" si="196"/>
        <v>0</v>
      </c>
      <c r="IE145" t="s">
        <v>191</v>
      </c>
      <c r="IF145" s="254">
        <f t="shared" si="197"/>
        <v>0</v>
      </c>
      <c r="IK145" t="str">
        <f t="shared" si="215"/>
        <v/>
      </c>
      <c r="JP145">
        <f ca="1">IF(Foglio3!DM118=100000,0,IF(Foglio3!DM118="",0,1))</f>
        <v>0</v>
      </c>
      <c r="JQ145" s="314" t="str">
        <f ca="1" xml:space="preserve">   IF(JP145=1,     Foglio3!DM118,IF(JP145=0,IF(JP144=1,"","")))</f>
        <v/>
      </c>
      <c r="JR145" s="314" t="str">
        <f ca="1">IF(          Foglio3!DN118=100000,"",Foglio3!DN118)</f>
        <v/>
      </c>
      <c r="JS145" s="272" t="str">
        <f ca="1">IF(Foglio3!DN118=100000,"",Foglio3!DO118)</f>
        <v/>
      </c>
      <c r="JT145" s="272" t="str">
        <f ca="1">IF(Foglio3!DN118=100000,"",Foglio3!DP118)</f>
        <v/>
      </c>
      <c r="JU145" s="272" t="str">
        <f ca="1">IF(Foglio3!DN118=100000,"",Foglio3!DQ118)</f>
        <v/>
      </c>
      <c r="JV145" s="272" t="str">
        <f ca="1">IF(JU145="","",Foglio3!DR118)</f>
        <v/>
      </c>
      <c r="JW145" s="272" t="str">
        <f ca="1">IF(Foglio3!DN118=100000,"",Foglio3!DS118)</f>
        <v/>
      </c>
      <c r="JX145" s="272" t="str">
        <f ca="1">IF(Foglio3!DN118=100000,"",Foglio3!DT118)</f>
        <v/>
      </c>
      <c r="JY145" s="272" t="str">
        <f ca="1">IF(Foglio3!DN118=100000,"",Foglio3!DU118)</f>
        <v/>
      </c>
      <c r="JZ145" s="272" t="str">
        <f ca="1">IF(Foglio3!DN118=100000,"",Foglio3!DV118)</f>
        <v/>
      </c>
    </row>
    <row r="146" spans="5:286" x14ac:dyDescent="0.25">
      <c r="E146" s="240" t="str">
        <f>Foglio3!F126</f>
        <v/>
      </c>
      <c r="F146" s="240" t="str">
        <f>Foglio3!G126</f>
        <v/>
      </c>
      <c r="DU146" s="112"/>
      <c r="DV146" s="112"/>
      <c r="EX146" s="238"/>
      <c r="HW146" s="253" t="s">
        <v>187</v>
      </c>
      <c r="HX146" s="112" t="e">
        <f t="shared" si="193"/>
        <v>#VALUE!</v>
      </c>
      <c r="HY146" t="s">
        <v>188</v>
      </c>
      <c r="HZ146" s="112" t="e">
        <f t="shared" si="194"/>
        <v>#VALUE!</v>
      </c>
      <c r="IA146" t="s">
        <v>189</v>
      </c>
      <c r="IB146">
        <f t="shared" si="195"/>
        <v>0</v>
      </c>
      <c r="IC146" t="s">
        <v>192</v>
      </c>
      <c r="ID146">
        <f t="shared" si="196"/>
        <v>0</v>
      </c>
      <c r="IE146" t="s">
        <v>191</v>
      </c>
      <c r="IF146" s="254">
        <f t="shared" si="197"/>
        <v>0</v>
      </c>
      <c r="IK146" t="str">
        <f t="shared" si="215"/>
        <v/>
      </c>
      <c r="JP146">
        <f ca="1">IF(Foglio3!DM119=100000,0,IF(Foglio3!DM119="",0,1))</f>
        <v>0</v>
      </c>
      <c r="JQ146" s="314" t="str">
        <f ca="1" xml:space="preserve">   IF(JP146=1,     Foglio3!DM119,IF(JP146=0,IF(JP145=1,"","")))</f>
        <v/>
      </c>
      <c r="JR146" s="314" t="str">
        <f ca="1">IF(          Foglio3!DN119=100000,"",Foglio3!DN119)</f>
        <v/>
      </c>
      <c r="JS146" s="272" t="str">
        <f ca="1">IF(Foglio3!DN119=100000,"",Foglio3!DO119)</f>
        <v/>
      </c>
      <c r="JT146" s="272" t="str">
        <f ca="1">IF(Foglio3!DN119=100000,"",Foglio3!DP119)</f>
        <v/>
      </c>
      <c r="JU146" s="272" t="str">
        <f ca="1">IF(Foglio3!DN119=100000,"",Foglio3!DQ119)</f>
        <v/>
      </c>
      <c r="JV146" s="272" t="str">
        <f ca="1">IF(JU146="","",Foglio3!DR119)</f>
        <v/>
      </c>
      <c r="JW146" s="272" t="str">
        <f ca="1">IF(Foglio3!DN119=100000,"",Foglio3!DS119)</f>
        <v/>
      </c>
      <c r="JX146" s="272" t="str">
        <f ca="1">IF(Foglio3!DN119=100000,"",Foglio3!DT119)</f>
        <v/>
      </c>
      <c r="JY146" s="272" t="str">
        <f ca="1">IF(Foglio3!DN119=100000,"",Foglio3!DU119)</f>
        <v/>
      </c>
      <c r="JZ146" s="272" t="str">
        <f ca="1">IF(Foglio3!DN119=100000,"",Foglio3!DV119)</f>
        <v/>
      </c>
    </row>
    <row r="147" spans="5:286" x14ac:dyDescent="0.25">
      <c r="E147" s="240" t="str">
        <f>Foglio3!F127</f>
        <v/>
      </c>
      <c r="F147" s="240" t="str">
        <f>Foglio3!G127</f>
        <v/>
      </c>
      <c r="DU147" s="112"/>
      <c r="DV147" s="112"/>
      <c r="EX147" s="238"/>
      <c r="HW147" s="253" t="s">
        <v>187</v>
      </c>
      <c r="HX147" s="112" t="e">
        <f t="shared" si="193"/>
        <v>#VALUE!</v>
      </c>
      <c r="HY147" t="s">
        <v>188</v>
      </c>
      <c r="HZ147" s="112" t="e">
        <f t="shared" si="194"/>
        <v>#VALUE!</v>
      </c>
      <c r="IA147" t="s">
        <v>189</v>
      </c>
      <c r="IB147">
        <f t="shared" si="195"/>
        <v>0</v>
      </c>
      <c r="IC147" t="s">
        <v>192</v>
      </c>
      <c r="ID147">
        <f t="shared" si="196"/>
        <v>0</v>
      </c>
      <c r="IE147" t="s">
        <v>191</v>
      </c>
      <c r="IF147" s="254">
        <f t="shared" si="197"/>
        <v>0</v>
      </c>
      <c r="IK147" t="str">
        <f t="shared" si="215"/>
        <v/>
      </c>
      <c r="JP147">
        <f ca="1">IF(Foglio3!DM120=100000,0,IF(Foglio3!DM120="",0,1))</f>
        <v>0</v>
      </c>
      <c r="JQ147" s="314" t="str">
        <f ca="1" xml:space="preserve">   IF(JP147=1,     Foglio3!DM120,IF(JP147=0,IF(JP146=1,"","")))</f>
        <v/>
      </c>
      <c r="JR147" s="314" t="str">
        <f ca="1">IF(          Foglio3!DN120=100000,"",Foglio3!DN120)</f>
        <v/>
      </c>
      <c r="JS147" s="272" t="str">
        <f ca="1">IF(Foglio3!DN120=100000,"",Foglio3!DO120)</f>
        <v/>
      </c>
      <c r="JT147" s="272" t="str">
        <f ca="1">IF(Foglio3!DN120=100000,"",Foglio3!DP120)</f>
        <v/>
      </c>
      <c r="JU147" s="272" t="str">
        <f ca="1">IF(Foglio3!DN120=100000,"",Foglio3!DQ120)</f>
        <v/>
      </c>
      <c r="JV147" s="272" t="str">
        <f ca="1">IF(JU147="","",Foglio3!DR120)</f>
        <v/>
      </c>
      <c r="JW147" s="272" t="str">
        <f ca="1">IF(Foglio3!DN120=100000,"",Foglio3!DS120)</f>
        <v/>
      </c>
      <c r="JX147" s="272" t="str">
        <f ca="1">IF(Foglio3!DN120=100000,"",Foglio3!DT120)</f>
        <v/>
      </c>
      <c r="JY147" s="272" t="str">
        <f ca="1">IF(Foglio3!DN120=100000,"",Foglio3!DU120)</f>
        <v/>
      </c>
      <c r="JZ147" s="272" t="str">
        <f ca="1">IF(Foglio3!DN120=100000,"",Foglio3!DV120)</f>
        <v/>
      </c>
    </row>
    <row r="148" spans="5:286" x14ac:dyDescent="0.25">
      <c r="E148" s="240" t="str">
        <f>Foglio3!F128</f>
        <v/>
      </c>
      <c r="F148" s="240" t="str">
        <f>Foglio3!G128</f>
        <v/>
      </c>
      <c r="DU148" s="112"/>
      <c r="DV148" s="112"/>
      <c r="EX148" s="238"/>
      <c r="HW148" s="253" t="s">
        <v>187</v>
      </c>
      <c r="HX148" s="112" t="e">
        <f t="shared" si="193"/>
        <v>#VALUE!</v>
      </c>
      <c r="HY148" t="s">
        <v>188</v>
      </c>
      <c r="HZ148" s="112" t="e">
        <f t="shared" si="194"/>
        <v>#VALUE!</v>
      </c>
      <c r="IA148" t="s">
        <v>189</v>
      </c>
      <c r="IB148">
        <f t="shared" si="195"/>
        <v>0</v>
      </c>
      <c r="IC148" t="s">
        <v>192</v>
      </c>
      <c r="ID148">
        <f t="shared" si="196"/>
        <v>0</v>
      </c>
      <c r="IE148" t="s">
        <v>191</v>
      </c>
      <c r="IF148" s="254">
        <f t="shared" si="197"/>
        <v>0</v>
      </c>
      <c r="IK148" t="str">
        <f t="shared" si="215"/>
        <v/>
      </c>
      <c r="JP148">
        <f ca="1">IF(Foglio3!DM121=100000,0,IF(Foglio3!DM121="",0,1))</f>
        <v>0</v>
      </c>
      <c r="JQ148" s="314" t="str">
        <f ca="1" xml:space="preserve">   IF(JP148=1,     Foglio3!DM121,IF(JP148=0,IF(JP147=1,"","")))</f>
        <v/>
      </c>
      <c r="JR148" s="314" t="str">
        <f ca="1">IF(          Foglio3!DN121=100000,"",Foglio3!DN121)</f>
        <v/>
      </c>
      <c r="JS148" s="272" t="str">
        <f ca="1">IF(Foglio3!DN121=100000,"",Foglio3!DO121)</f>
        <v/>
      </c>
      <c r="JT148" s="272" t="str">
        <f ca="1">IF(Foglio3!DN121=100000,"",Foglio3!DP121)</f>
        <v/>
      </c>
      <c r="JU148" s="272" t="str">
        <f ca="1">IF(Foglio3!DN121=100000,"",Foglio3!DQ121)</f>
        <v/>
      </c>
      <c r="JV148" s="272" t="str">
        <f ca="1">IF(JU148="","",Foglio3!DR121)</f>
        <v/>
      </c>
      <c r="JW148" s="272" t="str">
        <f ca="1">IF(Foglio3!DN121=100000,"",Foglio3!DS121)</f>
        <v/>
      </c>
      <c r="JX148" s="272" t="str">
        <f ca="1">IF(Foglio3!DN121=100000,"",Foglio3!DT121)</f>
        <v/>
      </c>
      <c r="JY148" s="272" t="str">
        <f ca="1">IF(Foglio3!DN121=100000,"",Foglio3!DU121)</f>
        <v/>
      </c>
      <c r="JZ148" s="272" t="str">
        <f ca="1">IF(Foglio3!DN121=100000,"",Foglio3!DV121)</f>
        <v/>
      </c>
    </row>
    <row r="149" spans="5:286" x14ac:dyDescent="0.25">
      <c r="E149" s="240" t="str">
        <f>Foglio3!F129</f>
        <v/>
      </c>
      <c r="F149" s="240" t="str">
        <f>Foglio3!G129</f>
        <v/>
      </c>
      <c r="DU149" s="112"/>
      <c r="DV149" s="112"/>
      <c r="EX149" s="238"/>
      <c r="HW149" s="253" t="s">
        <v>187</v>
      </c>
      <c r="HX149" s="112" t="e">
        <f t="shared" si="193"/>
        <v>#VALUE!</v>
      </c>
      <c r="HY149" t="s">
        <v>188</v>
      </c>
      <c r="HZ149" s="112" t="e">
        <f t="shared" si="194"/>
        <v>#VALUE!</v>
      </c>
      <c r="IA149" t="s">
        <v>189</v>
      </c>
      <c r="IB149">
        <f t="shared" si="195"/>
        <v>0</v>
      </c>
      <c r="IC149" t="s">
        <v>192</v>
      </c>
      <c r="ID149">
        <f t="shared" si="196"/>
        <v>0</v>
      </c>
      <c r="IE149" t="s">
        <v>191</v>
      </c>
      <c r="IF149" s="254">
        <f t="shared" si="197"/>
        <v>0</v>
      </c>
      <c r="IK149" t="str">
        <f t="shared" si="215"/>
        <v/>
      </c>
      <c r="JP149">
        <f ca="1">IF(Foglio3!DM122=100000,0,IF(Foglio3!DM122="",0,1))</f>
        <v>0</v>
      </c>
      <c r="JQ149" s="314" t="str">
        <f ca="1" xml:space="preserve">   IF(JP149=1,     Foglio3!DM122,IF(JP149=0,IF(JP148=1,"","")))</f>
        <v/>
      </c>
      <c r="JR149" s="314" t="str">
        <f ca="1">IF(          Foglio3!DN122=100000,"",Foglio3!DN122)</f>
        <v/>
      </c>
      <c r="JS149" s="272" t="str">
        <f ca="1">IF(Foglio3!DN122=100000,"",Foglio3!DO122)</f>
        <v/>
      </c>
      <c r="JT149" s="272" t="str">
        <f ca="1">IF(Foglio3!DN122=100000,"",Foglio3!DP122)</f>
        <v/>
      </c>
      <c r="JU149" s="272" t="str">
        <f ca="1">IF(Foglio3!DN122=100000,"",Foglio3!DQ122)</f>
        <v/>
      </c>
      <c r="JV149" s="272" t="str">
        <f ca="1">IF(JU149="","",Foglio3!DR122)</f>
        <v/>
      </c>
      <c r="JW149" s="272" t="str">
        <f ca="1">IF(Foglio3!DN122=100000,"",Foglio3!DS122)</f>
        <v/>
      </c>
      <c r="JX149" s="272" t="str">
        <f ca="1">IF(Foglio3!DN122=100000,"",Foglio3!DT122)</f>
        <v/>
      </c>
      <c r="JY149" s="272" t="str">
        <f ca="1">IF(Foglio3!DN122=100000,"",Foglio3!DU122)</f>
        <v/>
      </c>
      <c r="JZ149" s="272" t="str">
        <f ca="1">IF(Foglio3!DN122=100000,"",Foglio3!DV122)</f>
        <v/>
      </c>
    </row>
    <row r="150" spans="5:286" x14ac:dyDescent="0.25">
      <c r="E150" s="240" t="str">
        <f>Foglio3!F130</f>
        <v/>
      </c>
      <c r="F150" s="240" t="str">
        <f>Foglio3!G130</f>
        <v/>
      </c>
      <c r="DU150" s="112"/>
      <c r="DV150" s="112"/>
      <c r="EX150" s="238"/>
      <c r="HW150" s="253" t="s">
        <v>187</v>
      </c>
      <c r="HX150" s="112" t="e">
        <f t="shared" si="193"/>
        <v>#VALUE!</v>
      </c>
      <c r="HY150" t="s">
        <v>188</v>
      </c>
      <c r="HZ150" s="112" t="e">
        <f t="shared" si="194"/>
        <v>#VALUE!</v>
      </c>
      <c r="IA150" t="s">
        <v>189</v>
      </c>
      <c r="IB150">
        <f t="shared" si="195"/>
        <v>0</v>
      </c>
      <c r="IC150" t="s">
        <v>192</v>
      </c>
      <c r="ID150">
        <f t="shared" si="196"/>
        <v>0</v>
      </c>
      <c r="IE150" t="s">
        <v>191</v>
      </c>
      <c r="IF150" s="254">
        <f t="shared" si="197"/>
        <v>0</v>
      </c>
      <c r="IK150" t="str">
        <f t="shared" si="215"/>
        <v/>
      </c>
      <c r="JP150">
        <f ca="1">IF(Foglio3!DM123=100000,0,IF(Foglio3!DM123="",0,1))</f>
        <v>0</v>
      </c>
      <c r="JQ150" s="314" t="str">
        <f ca="1" xml:space="preserve">   IF(JP150=1,     Foglio3!DM123,IF(JP150=0,IF(JP149=1,"","")))</f>
        <v/>
      </c>
      <c r="JR150" s="314" t="str">
        <f ca="1">IF(          Foglio3!DN123=100000,"",Foglio3!DN123)</f>
        <v/>
      </c>
      <c r="JS150" s="272" t="str">
        <f ca="1">IF(Foglio3!DN123=100000,"",Foglio3!DO123)</f>
        <v/>
      </c>
      <c r="JT150" s="272" t="str">
        <f ca="1">IF(Foglio3!DN123=100000,"",Foglio3!DP123)</f>
        <v/>
      </c>
      <c r="JU150" s="272" t="str">
        <f ca="1">IF(Foglio3!DN123=100000,"",Foglio3!DQ123)</f>
        <v/>
      </c>
      <c r="JV150" s="272" t="str">
        <f ca="1">IF(JU150="","",Foglio3!DR123)</f>
        <v/>
      </c>
      <c r="JW150" s="272" t="str">
        <f ca="1">IF(Foglio3!DN123=100000,"",Foglio3!DS123)</f>
        <v/>
      </c>
      <c r="JX150" s="272" t="str">
        <f ca="1">IF(Foglio3!DN123=100000,"",Foglio3!DT123)</f>
        <v/>
      </c>
      <c r="JY150" s="272" t="str">
        <f ca="1">IF(Foglio3!DN123=100000,"",Foglio3!DU123)</f>
        <v/>
      </c>
      <c r="JZ150" s="272" t="str">
        <f ca="1">IF(Foglio3!DN123=100000,"",Foglio3!DV123)</f>
        <v/>
      </c>
    </row>
    <row r="151" spans="5:286" x14ac:dyDescent="0.25">
      <c r="E151" s="240" t="str">
        <f>Foglio3!F131</f>
        <v/>
      </c>
      <c r="F151" s="240" t="str">
        <f>Foglio3!G131</f>
        <v/>
      </c>
      <c r="DU151" s="112"/>
      <c r="DV151" s="112"/>
      <c r="EX151" s="238"/>
      <c r="HW151" s="253" t="s">
        <v>187</v>
      </c>
      <c r="HX151" s="112" t="e">
        <f t="shared" si="193"/>
        <v>#VALUE!</v>
      </c>
      <c r="HY151" t="s">
        <v>188</v>
      </c>
      <c r="HZ151" s="112" t="e">
        <f t="shared" si="194"/>
        <v>#VALUE!</v>
      </c>
      <c r="IA151" t="s">
        <v>189</v>
      </c>
      <c r="IB151">
        <f t="shared" si="195"/>
        <v>0</v>
      </c>
      <c r="IC151" t="s">
        <v>192</v>
      </c>
      <c r="ID151">
        <f t="shared" si="196"/>
        <v>0</v>
      </c>
      <c r="IE151" t="s">
        <v>191</v>
      </c>
      <c r="IF151" s="254">
        <f t="shared" si="197"/>
        <v>0</v>
      </c>
      <c r="IK151" t="str">
        <f t="shared" si="215"/>
        <v/>
      </c>
      <c r="JP151">
        <f ca="1">IF(Foglio3!DM124=100000,0,IF(Foglio3!DM124="",0,1))</f>
        <v>0</v>
      </c>
      <c r="JQ151" s="314" t="str">
        <f ca="1" xml:space="preserve">   IF(JP151=1,     Foglio3!DM124,IF(JP151=0,IF(JP150=1,"","")))</f>
        <v/>
      </c>
      <c r="JR151" s="314" t="str">
        <f ca="1">IF(          Foglio3!DN124=100000,"",Foglio3!DN124)</f>
        <v/>
      </c>
      <c r="JS151" s="272" t="str">
        <f ca="1">IF(Foglio3!DN124=100000,"",Foglio3!DO124)</f>
        <v/>
      </c>
      <c r="JT151" s="272" t="str">
        <f ca="1">IF(Foglio3!DN124=100000,"",Foglio3!DP124)</f>
        <v/>
      </c>
      <c r="JU151" s="272" t="str">
        <f ca="1">IF(Foglio3!DN124=100000,"",Foglio3!DQ124)</f>
        <v/>
      </c>
      <c r="JV151" s="272" t="str">
        <f ca="1">IF(JU151="","",Foglio3!DR124)</f>
        <v/>
      </c>
      <c r="JW151" s="272" t="str">
        <f ca="1">IF(Foglio3!DN124=100000,"",Foglio3!DS124)</f>
        <v/>
      </c>
      <c r="JX151" s="272" t="str">
        <f ca="1">IF(Foglio3!DN124=100000,"",Foglio3!DT124)</f>
        <v/>
      </c>
      <c r="JY151" s="272" t="str">
        <f ca="1">IF(Foglio3!DN124=100000,"",Foglio3!DU124)</f>
        <v/>
      </c>
      <c r="JZ151" s="272" t="str">
        <f ca="1">IF(Foglio3!DN124=100000,"",Foglio3!DV124)</f>
        <v/>
      </c>
    </row>
    <row r="152" spans="5:286" x14ac:dyDescent="0.25">
      <c r="E152" s="240" t="str">
        <f>Foglio3!F132</f>
        <v/>
      </c>
      <c r="F152" s="240" t="str">
        <f>Foglio3!G132</f>
        <v/>
      </c>
      <c r="DU152" s="112"/>
      <c r="DV152" s="112"/>
      <c r="EX152" s="238"/>
      <c r="HW152" s="253" t="s">
        <v>187</v>
      </c>
      <c r="HX152" s="112" t="e">
        <f t="shared" si="193"/>
        <v>#VALUE!</v>
      </c>
      <c r="HY152" t="s">
        <v>188</v>
      </c>
      <c r="HZ152" s="112" t="e">
        <f t="shared" si="194"/>
        <v>#VALUE!</v>
      </c>
      <c r="IA152" t="s">
        <v>189</v>
      </c>
      <c r="IB152">
        <f t="shared" si="195"/>
        <v>0</v>
      </c>
      <c r="IC152" t="s">
        <v>192</v>
      </c>
      <c r="ID152">
        <f t="shared" si="196"/>
        <v>0</v>
      </c>
      <c r="IE152" t="s">
        <v>191</v>
      </c>
      <c r="IF152" s="254">
        <f t="shared" si="197"/>
        <v>0</v>
      </c>
      <c r="IK152" t="str">
        <f t="shared" si="215"/>
        <v/>
      </c>
      <c r="JP152">
        <f ca="1">IF(Foglio3!DM125=100000,0,IF(Foglio3!DM125="",0,1))</f>
        <v>0</v>
      </c>
      <c r="JQ152" s="314" t="str">
        <f ca="1" xml:space="preserve">   IF(JP152=1,     Foglio3!DM125,IF(JP152=0,IF(JP151=1,"","")))</f>
        <v/>
      </c>
      <c r="JR152" s="314" t="str">
        <f ca="1">IF(          Foglio3!DN125=100000,"",Foglio3!DN125)</f>
        <v/>
      </c>
      <c r="JS152" s="272" t="str">
        <f ca="1">IF(Foglio3!DN125=100000,"",Foglio3!DO125)</f>
        <v/>
      </c>
      <c r="JT152" s="272" t="str">
        <f ca="1">IF(Foglio3!DN125=100000,"",Foglio3!DP125)</f>
        <v/>
      </c>
      <c r="JU152" s="272" t="str">
        <f ca="1">IF(Foglio3!DN125=100000,"",Foglio3!DQ125)</f>
        <v/>
      </c>
      <c r="JV152" s="272" t="str">
        <f ca="1">IF(JU152="","",Foglio3!DR125)</f>
        <v/>
      </c>
      <c r="JW152" s="272" t="str">
        <f ca="1">IF(Foglio3!DN125=100000,"",Foglio3!DS125)</f>
        <v/>
      </c>
      <c r="JX152" s="272" t="str">
        <f ca="1">IF(Foglio3!DN125=100000,"",Foglio3!DT125)</f>
        <v/>
      </c>
      <c r="JY152" s="272" t="str">
        <f ca="1">IF(Foglio3!DN125=100000,"",Foglio3!DU125)</f>
        <v/>
      </c>
      <c r="JZ152" s="272" t="str">
        <f ca="1">IF(Foglio3!DN125=100000,"",Foglio3!DV125)</f>
        <v/>
      </c>
    </row>
    <row r="153" spans="5:286" x14ac:dyDescent="0.25">
      <c r="E153" s="240" t="str">
        <f>Foglio3!F133</f>
        <v/>
      </c>
      <c r="F153" s="240" t="str">
        <f>Foglio3!G133</f>
        <v/>
      </c>
      <c r="DU153" s="112"/>
      <c r="DV153" s="112"/>
      <c r="EX153" s="238"/>
      <c r="HW153" s="253" t="s">
        <v>187</v>
      </c>
      <c r="HX153" s="112" t="e">
        <f t="shared" si="193"/>
        <v>#VALUE!</v>
      </c>
      <c r="HY153" t="s">
        <v>188</v>
      </c>
      <c r="HZ153" s="112" t="e">
        <f t="shared" si="194"/>
        <v>#VALUE!</v>
      </c>
      <c r="IA153" t="s">
        <v>189</v>
      </c>
      <c r="IB153">
        <f t="shared" si="195"/>
        <v>0</v>
      </c>
      <c r="IC153" t="s">
        <v>192</v>
      </c>
      <c r="ID153">
        <f t="shared" si="196"/>
        <v>0</v>
      </c>
      <c r="IE153" t="s">
        <v>191</v>
      </c>
      <c r="IF153" s="254">
        <f t="shared" si="197"/>
        <v>0</v>
      </c>
      <c r="IK153" t="str">
        <f t="shared" si="215"/>
        <v/>
      </c>
      <c r="JP153">
        <f ca="1">IF(Foglio3!DM126=100000,0,IF(Foglio3!DM126="",0,1))</f>
        <v>0</v>
      </c>
      <c r="JQ153" s="314" t="str">
        <f ca="1" xml:space="preserve">   IF(JP153=1,     Foglio3!DM126,IF(JP153=0,IF(JP152=1,"","")))</f>
        <v/>
      </c>
      <c r="JR153" s="314" t="str">
        <f ca="1">IF(          Foglio3!DN126=100000,"",Foglio3!DN126)</f>
        <v/>
      </c>
      <c r="JS153" s="272" t="str">
        <f ca="1">IF(Foglio3!DN126=100000,"",Foglio3!DO126)</f>
        <v/>
      </c>
      <c r="JT153" s="272" t="str">
        <f ca="1">IF(Foglio3!DN126=100000,"",Foglio3!DP126)</f>
        <v/>
      </c>
      <c r="JU153" s="272" t="str">
        <f ca="1">IF(Foglio3!DN126=100000,"",Foglio3!DQ126)</f>
        <v/>
      </c>
      <c r="JV153" s="272" t="str">
        <f ca="1">IF(JU153="","",Foglio3!DR126)</f>
        <v/>
      </c>
      <c r="JW153" s="272" t="str">
        <f ca="1">IF(Foglio3!DN126=100000,"",Foglio3!DS126)</f>
        <v/>
      </c>
      <c r="JX153" s="272" t="str">
        <f ca="1">IF(Foglio3!DN126=100000,"",Foglio3!DT126)</f>
        <v/>
      </c>
      <c r="JY153" s="272" t="str">
        <f ca="1">IF(Foglio3!DN126=100000,"",Foglio3!DU126)</f>
        <v/>
      </c>
      <c r="JZ153" s="272" t="str">
        <f ca="1">IF(Foglio3!DN126=100000,"",Foglio3!DV126)</f>
        <v/>
      </c>
    </row>
    <row r="154" spans="5:286" x14ac:dyDescent="0.25">
      <c r="E154" s="240" t="str">
        <f>Foglio3!F134</f>
        <v/>
      </c>
      <c r="F154" s="240" t="str">
        <f>Foglio3!G134</f>
        <v/>
      </c>
      <c r="DU154" s="112"/>
      <c r="DV154" s="112"/>
      <c r="EX154" s="238"/>
      <c r="HW154" s="253" t="s">
        <v>187</v>
      </c>
      <c r="HX154" s="112" t="e">
        <f t="shared" si="193"/>
        <v>#VALUE!</v>
      </c>
      <c r="HY154" t="s">
        <v>188</v>
      </c>
      <c r="HZ154" s="112" t="e">
        <f t="shared" si="194"/>
        <v>#VALUE!</v>
      </c>
      <c r="IA154" t="s">
        <v>189</v>
      </c>
      <c r="IB154">
        <f t="shared" si="195"/>
        <v>0</v>
      </c>
      <c r="IC154" t="s">
        <v>192</v>
      </c>
      <c r="ID154">
        <f t="shared" si="196"/>
        <v>0</v>
      </c>
      <c r="IE154" t="s">
        <v>191</v>
      </c>
      <c r="IF154" s="254">
        <f t="shared" si="197"/>
        <v>0</v>
      </c>
      <c r="IK154" t="str">
        <f t="shared" si="215"/>
        <v/>
      </c>
      <c r="JP154">
        <f ca="1">IF(Foglio3!DM127=100000,0,IF(Foglio3!DM127="",0,1))</f>
        <v>0</v>
      </c>
      <c r="JQ154" s="314" t="str">
        <f ca="1" xml:space="preserve">   IF(JP154=1,     Foglio3!DM127,IF(JP154=0,IF(JP153=1,"","")))</f>
        <v/>
      </c>
      <c r="JR154" s="314" t="str">
        <f ca="1">IF(          Foglio3!DN127=100000,"",Foglio3!DN127)</f>
        <v/>
      </c>
      <c r="JS154" s="272" t="str">
        <f ca="1">IF(Foglio3!DN127=100000,"",Foglio3!DO127)</f>
        <v/>
      </c>
      <c r="JT154" s="272" t="str">
        <f ca="1">IF(Foglio3!DN127=100000,"",Foglio3!DP127)</f>
        <v/>
      </c>
      <c r="JU154" s="272" t="str">
        <f ca="1">IF(Foglio3!DN127=100000,"",Foglio3!DQ127)</f>
        <v/>
      </c>
      <c r="JV154" s="272" t="str">
        <f ca="1">IF(JU154="","",Foglio3!DR127)</f>
        <v/>
      </c>
      <c r="JW154" s="272" t="str">
        <f ca="1">IF(Foglio3!DN127=100000,"",Foglio3!DS127)</f>
        <v/>
      </c>
      <c r="JX154" s="272" t="str">
        <f ca="1">IF(Foglio3!DN127=100000,"",Foglio3!DT127)</f>
        <v/>
      </c>
      <c r="JY154" s="272" t="str">
        <f ca="1">IF(Foglio3!DN127=100000,"",Foglio3!DU127)</f>
        <v/>
      </c>
      <c r="JZ154" s="272" t="str">
        <f ca="1">IF(Foglio3!DN127=100000,"",Foglio3!DV127)</f>
        <v/>
      </c>
    </row>
    <row r="155" spans="5:286" x14ac:dyDescent="0.25">
      <c r="E155" s="240" t="str">
        <f>Foglio3!F135</f>
        <v/>
      </c>
      <c r="F155" s="240" t="str">
        <f>Foglio3!G135</f>
        <v/>
      </c>
      <c r="DU155" s="112"/>
      <c r="DV155" s="112"/>
      <c r="EX155" s="238"/>
      <c r="HW155" s="253" t="s">
        <v>187</v>
      </c>
      <c r="HX155" s="112" t="e">
        <f t="shared" si="193"/>
        <v>#VALUE!</v>
      </c>
      <c r="HY155" t="s">
        <v>188</v>
      </c>
      <c r="HZ155" s="112" t="e">
        <f t="shared" si="194"/>
        <v>#VALUE!</v>
      </c>
      <c r="IA155" t="s">
        <v>189</v>
      </c>
      <c r="IB155">
        <f t="shared" si="195"/>
        <v>0</v>
      </c>
      <c r="IC155" t="s">
        <v>192</v>
      </c>
      <c r="ID155">
        <f t="shared" si="196"/>
        <v>0</v>
      </c>
      <c r="IE155" t="s">
        <v>191</v>
      </c>
      <c r="IF155" s="254">
        <f t="shared" si="197"/>
        <v>0</v>
      </c>
      <c r="IK155" t="str">
        <f t="shared" si="215"/>
        <v/>
      </c>
      <c r="JP155">
        <f ca="1">IF(Foglio3!DM128=100000,0,IF(Foglio3!DM128="",0,1))</f>
        <v>0</v>
      </c>
      <c r="JQ155" s="314" t="str">
        <f ca="1" xml:space="preserve">   IF(JP155=1,     Foglio3!DM128,IF(JP155=0,IF(JP154=1,"","")))</f>
        <v/>
      </c>
      <c r="JR155" s="314" t="str">
        <f ca="1">IF(          Foglio3!DN128=100000,"",Foglio3!DN128)</f>
        <v/>
      </c>
      <c r="JS155" s="272" t="str">
        <f ca="1">IF(Foglio3!DN128=100000,"",Foglio3!DO128)</f>
        <v/>
      </c>
      <c r="JT155" s="272" t="str">
        <f ca="1">IF(Foglio3!DN128=100000,"",Foglio3!DP128)</f>
        <v/>
      </c>
      <c r="JU155" s="272" t="str">
        <f ca="1">IF(Foglio3!DN128=100000,"",Foglio3!DQ128)</f>
        <v/>
      </c>
      <c r="JV155" s="272" t="str">
        <f ca="1">IF(JU155="","",Foglio3!DR128)</f>
        <v/>
      </c>
      <c r="JW155" s="272" t="str">
        <f ca="1">IF(Foglio3!DN128=100000,"",Foglio3!DS128)</f>
        <v/>
      </c>
      <c r="JX155" s="272" t="str">
        <f ca="1">IF(Foglio3!DN128=100000,"",Foglio3!DT128)</f>
        <v/>
      </c>
      <c r="JY155" s="272" t="str">
        <f ca="1">IF(Foglio3!DN128=100000,"",Foglio3!DU128)</f>
        <v/>
      </c>
      <c r="JZ155" s="272" t="str">
        <f ca="1">IF(Foglio3!DN128=100000,"",Foglio3!DV128)</f>
        <v/>
      </c>
    </row>
    <row r="156" spans="5:286" x14ac:dyDescent="0.25">
      <c r="E156" s="240" t="str">
        <f>Foglio3!F136</f>
        <v/>
      </c>
      <c r="F156" s="240" t="str">
        <f>Foglio3!G136</f>
        <v/>
      </c>
      <c r="DU156" s="112"/>
      <c r="DV156" s="112"/>
      <c r="EX156" s="238"/>
      <c r="HW156" s="253" t="s">
        <v>187</v>
      </c>
      <c r="HX156" s="112" t="e">
        <f t="shared" si="193"/>
        <v>#VALUE!</v>
      </c>
      <c r="HY156" t="s">
        <v>188</v>
      </c>
      <c r="HZ156" s="112" t="e">
        <f t="shared" si="194"/>
        <v>#VALUE!</v>
      </c>
      <c r="IA156" t="s">
        <v>189</v>
      </c>
      <c r="IB156">
        <f t="shared" si="195"/>
        <v>0</v>
      </c>
      <c r="IC156" t="s">
        <v>192</v>
      </c>
      <c r="ID156">
        <f t="shared" si="196"/>
        <v>0</v>
      </c>
      <c r="IE156" t="s">
        <v>191</v>
      </c>
      <c r="IF156" s="254">
        <f t="shared" si="197"/>
        <v>0</v>
      </c>
      <c r="IK156" t="str">
        <f t="shared" si="215"/>
        <v/>
      </c>
      <c r="JP156">
        <f ca="1">IF(Foglio3!DM129=100000,0,IF(Foglio3!DM129="",0,1))</f>
        <v>0</v>
      </c>
      <c r="JQ156" s="314" t="str">
        <f ca="1" xml:space="preserve">   IF(JP156=1,     Foglio3!DM129,IF(JP156=0,IF(JP155=1,"","")))</f>
        <v/>
      </c>
      <c r="JR156" s="314" t="str">
        <f ca="1">IF(          Foglio3!DN129=100000,"",Foglio3!DN129)</f>
        <v/>
      </c>
      <c r="JS156" s="272" t="str">
        <f ca="1">IF(Foglio3!DN129=100000,"",Foglio3!DO129)</f>
        <v/>
      </c>
      <c r="JT156" s="272" t="str">
        <f ca="1">IF(Foglio3!DN129=100000,"",Foglio3!DP129)</f>
        <v/>
      </c>
      <c r="JU156" s="272" t="str">
        <f ca="1">IF(Foglio3!DN129=100000,"",Foglio3!DQ129)</f>
        <v/>
      </c>
      <c r="JV156" s="272" t="str">
        <f ca="1">IF(JU156="","",Foglio3!DR129)</f>
        <v/>
      </c>
      <c r="JW156" s="272" t="str">
        <f ca="1">IF(Foglio3!DN129=100000,"",Foglio3!DS129)</f>
        <v/>
      </c>
      <c r="JX156" s="272" t="str">
        <f ca="1">IF(Foglio3!DN129=100000,"",Foglio3!DT129)</f>
        <v/>
      </c>
      <c r="JY156" s="272" t="str">
        <f ca="1">IF(Foglio3!DN129=100000,"",Foglio3!DU129)</f>
        <v/>
      </c>
      <c r="JZ156" s="272" t="str">
        <f ca="1">IF(Foglio3!DN129=100000,"",Foglio3!DV129)</f>
        <v/>
      </c>
    </row>
    <row r="157" spans="5:286" x14ac:dyDescent="0.25">
      <c r="E157" s="240" t="str">
        <f>Foglio3!F137</f>
        <v/>
      </c>
      <c r="F157" s="240" t="str">
        <f>Foglio3!G137</f>
        <v/>
      </c>
      <c r="DU157" s="112"/>
      <c r="DV157" s="112"/>
      <c r="EX157" s="238"/>
      <c r="HW157" s="253" t="s">
        <v>187</v>
      </c>
      <c r="HX157" s="112" t="e">
        <f t="shared" si="193"/>
        <v>#VALUE!</v>
      </c>
      <c r="HY157" t="s">
        <v>188</v>
      </c>
      <c r="HZ157" s="112" t="e">
        <f t="shared" si="194"/>
        <v>#VALUE!</v>
      </c>
      <c r="IA157" t="s">
        <v>189</v>
      </c>
      <c r="IB157">
        <f t="shared" si="195"/>
        <v>0</v>
      </c>
      <c r="IC157" t="s">
        <v>192</v>
      </c>
      <c r="ID157">
        <f t="shared" si="196"/>
        <v>0</v>
      </c>
      <c r="IE157" t="s">
        <v>191</v>
      </c>
      <c r="IF157" s="254">
        <f t="shared" si="197"/>
        <v>0</v>
      </c>
      <c r="IK157" t="str">
        <f t="shared" si="215"/>
        <v/>
      </c>
      <c r="JP157">
        <f ca="1">IF(Foglio3!DM130=100000,0,IF(Foglio3!DM130="",0,1))</f>
        <v>0</v>
      </c>
      <c r="JQ157" s="314" t="str">
        <f ca="1" xml:space="preserve">   IF(JP157=1,     Foglio3!DM130,IF(JP157=0,IF(JP156=1,"","")))</f>
        <v/>
      </c>
      <c r="JR157" s="314" t="str">
        <f ca="1">IF(          Foglio3!DN130=100000,"",Foglio3!DN130)</f>
        <v/>
      </c>
      <c r="JS157" s="272" t="str">
        <f ca="1">IF(Foglio3!DN130=100000,"",Foglio3!DO130)</f>
        <v/>
      </c>
      <c r="JT157" s="272" t="str">
        <f ca="1">IF(Foglio3!DN130=100000,"",Foglio3!DP130)</f>
        <v/>
      </c>
      <c r="JU157" s="272" t="str">
        <f ca="1">IF(Foglio3!DN130=100000,"",Foglio3!DQ130)</f>
        <v/>
      </c>
      <c r="JV157" s="272" t="str">
        <f ca="1">IF(JU157="","",Foglio3!DR130)</f>
        <v/>
      </c>
      <c r="JW157" s="272" t="str">
        <f ca="1">IF(Foglio3!DN130=100000,"",Foglio3!DS130)</f>
        <v/>
      </c>
      <c r="JX157" s="272" t="str">
        <f ca="1">IF(Foglio3!DN130=100000,"",Foglio3!DT130)</f>
        <v/>
      </c>
      <c r="JY157" s="272" t="str">
        <f ca="1">IF(Foglio3!DN130=100000,"",Foglio3!DU130)</f>
        <v/>
      </c>
      <c r="JZ157" s="272" t="str">
        <f ca="1">IF(Foglio3!DN130=100000,"",Foglio3!DV130)</f>
        <v/>
      </c>
    </row>
    <row r="158" spans="5:286" x14ac:dyDescent="0.25">
      <c r="E158" s="240" t="str">
        <f>Foglio3!F138</f>
        <v/>
      </c>
      <c r="F158" s="240" t="str">
        <f>Foglio3!G138</f>
        <v/>
      </c>
      <c r="DU158" s="112"/>
      <c r="DV158" s="112"/>
      <c r="EX158" s="238"/>
      <c r="HW158" s="253" t="s">
        <v>187</v>
      </c>
      <c r="HX158" s="112" t="e">
        <f t="shared" si="193"/>
        <v>#VALUE!</v>
      </c>
      <c r="HY158" t="s">
        <v>188</v>
      </c>
      <c r="HZ158" s="112" t="e">
        <f t="shared" si="194"/>
        <v>#VALUE!</v>
      </c>
      <c r="IA158" t="s">
        <v>189</v>
      </c>
      <c r="IB158">
        <f t="shared" si="195"/>
        <v>0</v>
      </c>
      <c r="IC158" t="s">
        <v>192</v>
      </c>
      <c r="ID158">
        <f t="shared" si="196"/>
        <v>0</v>
      </c>
      <c r="IE158" t="s">
        <v>191</v>
      </c>
      <c r="IF158" s="254">
        <f t="shared" si="197"/>
        <v>0</v>
      </c>
      <c r="IK158" t="str">
        <f t="shared" si="215"/>
        <v/>
      </c>
      <c r="JP158">
        <f ca="1">IF(Foglio3!DM131=100000,0,IF(Foglio3!DM131="",0,1))</f>
        <v>0</v>
      </c>
      <c r="JQ158" s="314" t="str">
        <f ca="1" xml:space="preserve">   IF(JP158=1,     Foglio3!DM131,IF(JP158=0,IF(JP157=1,"","")))</f>
        <v/>
      </c>
      <c r="JR158" s="314" t="str">
        <f ca="1">IF(          Foglio3!DN131=100000,"",Foglio3!DN131)</f>
        <v/>
      </c>
      <c r="JS158" s="272" t="str">
        <f ca="1">IF(Foglio3!DN131=100000,"",Foglio3!DO131)</f>
        <v/>
      </c>
      <c r="JT158" s="272" t="str">
        <f ca="1">IF(Foglio3!DN131=100000,"",Foglio3!DP131)</f>
        <v/>
      </c>
      <c r="JU158" s="272" t="str">
        <f ca="1">IF(Foglio3!DN131=100000,"",Foglio3!DQ131)</f>
        <v/>
      </c>
      <c r="JV158" s="272" t="str">
        <f ca="1">IF(JU158="","",Foglio3!DR131)</f>
        <v/>
      </c>
      <c r="JW158" s="272" t="str">
        <f ca="1">IF(Foglio3!DN131=100000,"",Foglio3!DS131)</f>
        <v/>
      </c>
      <c r="JX158" s="272" t="str">
        <f ca="1">IF(Foglio3!DN131=100000,"",Foglio3!DT131)</f>
        <v/>
      </c>
      <c r="JY158" s="272" t="str">
        <f ca="1">IF(Foglio3!DN131=100000,"",Foglio3!DU131)</f>
        <v/>
      </c>
      <c r="JZ158" s="272" t="str">
        <f ca="1">IF(Foglio3!DN131=100000,"",Foglio3!DV131)</f>
        <v/>
      </c>
    </row>
    <row r="159" spans="5:286" x14ac:dyDescent="0.25">
      <c r="E159" s="240" t="str">
        <f>Foglio3!F139</f>
        <v/>
      </c>
      <c r="F159" s="240" t="str">
        <f>Foglio3!G139</f>
        <v/>
      </c>
      <c r="DU159" s="112"/>
      <c r="DV159" s="112"/>
      <c r="EX159" s="238"/>
      <c r="HW159" s="253" t="s">
        <v>187</v>
      </c>
      <c r="HX159" s="112" t="e">
        <f t="shared" si="193"/>
        <v>#VALUE!</v>
      </c>
      <c r="HY159" t="s">
        <v>188</v>
      </c>
      <c r="HZ159" s="112" t="e">
        <f t="shared" si="194"/>
        <v>#VALUE!</v>
      </c>
      <c r="IA159" t="s">
        <v>189</v>
      </c>
      <c r="IB159">
        <f t="shared" si="195"/>
        <v>0</v>
      </c>
      <c r="IC159" t="s">
        <v>192</v>
      </c>
      <c r="ID159">
        <f t="shared" si="196"/>
        <v>0</v>
      </c>
      <c r="IE159" t="s">
        <v>191</v>
      </c>
      <c r="IF159" s="254">
        <f t="shared" si="197"/>
        <v>0</v>
      </c>
      <c r="IK159" t="str">
        <f t="shared" si="215"/>
        <v/>
      </c>
      <c r="JP159">
        <f ca="1">IF(Foglio3!DM132=100000,0,IF(Foglio3!DM132="",0,1))</f>
        <v>0</v>
      </c>
      <c r="JQ159" s="314" t="str">
        <f ca="1" xml:space="preserve">   IF(JP159=1,     Foglio3!DM132,IF(JP159=0,IF(JP158=1,"","")))</f>
        <v/>
      </c>
      <c r="JR159" s="314" t="str">
        <f ca="1">IF(          Foglio3!DN132=100000,"",Foglio3!DN132)</f>
        <v/>
      </c>
      <c r="JS159" s="272" t="str">
        <f ca="1">IF(Foglio3!DN132=100000,"",Foglio3!DO132)</f>
        <v/>
      </c>
      <c r="JT159" s="272" t="str">
        <f ca="1">IF(Foglio3!DN132=100000,"",Foglio3!DP132)</f>
        <v/>
      </c>
      <c r="JU159" s="272" t="str">
        <f ca="1">IF(Foglio3!DN132=100000,"",Foglio3!DQ132)</f>
        <v/>
      </c>
      <c r="JV159" s="272" t="str">
        <f ca="1">IF(JU159="","",Foglio3!DR132)</f>
        <v/>
      </c>
      <c r="JW159" s="272" t="str">
        <f ca="1">IF(Foglio3!DN132=100000,"",Foglio3!DS132)</f>
        <v/>
      </c>
      <c r="JX159" s="272" t="str">
        <f ca="1">IF(Foglio3!DN132=100000,"",Foglio3!DT132)</f>
        <v/>
      </c>
      <c r="JY159" s="272" t="str">
        <f ca="1">IF(Foglio3!DN132=100000,"",Foglio3!DU132)</f>
        <v/>
      </c>
      <c r="JZ159" s="272" t="str">
        <f ca="1">IF(Foglio3!DN132=100000,"",Foglio3!DV132)</f>
        <v/>
      </c>
    </row>
    <row r="160" spans="5:286" x14ac:dyDescent="0.25">
      <c r="E160" s="240" t="str">
        <f>Foglio3!F140</f>
        <v/>
      </c>
      <c r="F160" s="240" t="str">
        <f>Foglio3!G140</f>
        <v/>
      </c>
      <c r="DU160" s="112"/>
      <c r="DV160" s="112"/>
      <c r="EX160" s="238"/>
      <c r="HW160" s="253" t="s">
        <v>187</v>
      </c>
      <c r="HX160" s="112" t="e">
        <f t="shared" si="193"/>
        <v>#VALUE!</v>
      </c>
      <c r="HY160" t="s">
        <v>188</v>
      </c>
      <c r="HZ160" s="112" t="e">
        <f t="shared" si="194"/>
        <v>#VALUE!</v>
      </c>
      <c r="IA160" t="s">
        <v>189</v>
      </c>
      <c r="IB160">
        <f t="shared" si="195"/>
        <v>0</v>
      </c>
      <c r="IC160" t="s">
        <v>192</v>
      </c>
      <c r="ID160">
        <f t="shared" si="196"/>
        <v>0</v>
      </c>
      <c r="IE160" t="s">
        <v>191</v>
      </c>
      <c r="IF160" s="254">
        <f t="shared" si="197"/>
        <v>0</v>
      </c>
      <c r="IK160" t="str">
        <f t="shared" si="215"/>
        <v/>
      </c>
      <c r="IV160" t="str">
        <f>CONCATENATE(IK160,IK161,IK162,IK163,IK164,IK165,IK166,IK167,IK168,IK169,IK170,IK171,IK172,IK173,IK174,I665,IK176,IK177,IK178,IK179,)</f>
        <v/>
      </c>
      <c r="JP160">
        <f ca="1">IF(Foglio3!DM133=100000,0,IF(Foglio3!DM133="",0,1))</f>
        <v>0</v>
      </c>
      <c r="JQ160" s="314" t="str">
        <f ca="1" xml:space="preserve">   IF(JP160=1,     Foglio3!DM133,IF(JP160=0,IF(JP159=1,"","")))</f>
        <v/>
      </c>
      <c r="JR160" s="314" t="str">
        <f ca="1">IF(          Foglio3!DN133=100000,"",Foglio3!DN133)</f>
        <v/>
      </c>
      <c r="JS160" s="272" t="str">
        <f ca="1">IF(Foglio3!DN133=100000,"",Foglio3!DO133)</f>
        <v/>
      </c>
      <c r="JT160" s="272" t="str">
        <f ca="1">IF(Foglio3!DN133=100000,"",Foglio3!DP133)</f>
        <v/>
      </c>
      <c r="JU160" s="272" t="str">
        <f ca="1">IF(Foglio3!DN133=100000,"",Foglio3!DQ133)</f>
        <v/>
      </c>
      <c r="JV160" s="272" t="str">
        <f ca="1">IF(JU160="","",Foglio3!DR133)</f>
        <v/>
      </c>
      <c r="JW160" s="272" t="str">
        <f ca="1">IF(Foglio3!DN133=100000,"",Foglio3!DS133)</f>
        <v/>
      </c>
      <c r="JX160" s="272" t="str">
        <f ca="1">IF(Foglio3!DN133=100000,"",Foglio3!DT133)</f>
        <v/>
      </c>
      <c r="JY160" s="272" t="str">
        <f ca="1">IF(Foglio3!DN133=100000,"",Foglio3!DU133)</f>
        <v/>
      </c>
      <c r="JZ160" s="272" t="str">
        <f ca="1">IF(Foglio3!DN133=100000,"",Foglio3!DV133)</f>
        <v/>
      </c>
    </row>
    <row r="161" spans="5:286" x14ac:dyDescent="0.25">
      <c r="E161" s="240" t="str">
        <f>Foglio3!F141</f>
        <v/>
      </c>
      <c r="F161" s="240" t="str">
        <f>Foglio3!G141</f>
        <v/>
      </c>
      <c r="DU161" s="112"/>
      <c r="DV161" s="112"/>
      <c r="EX161" s="238"/>
      <c r="HW161" s="253" t="s">
        <v>187</v>
      </c>
      <c r="HX161" s="112" t="e">
        <f t="shared" si="193"/>
        <v>#VALUE!</v>
      </c>
      <c r="HY161" t="s">
        <v>188</v>
      </c>
      <c r="HZ161" s="112" t="e">
        <f t="shared" si="194"/>
        <v>#VALUE!</v>
      </c>
      <c r="IA161" t="s">
        <v>189</v>
      </c>
      <c r="IB161">
        <f t="shared" si="195"/>
        <v>0</v>
      </c>
      <c r="IC161" t="s">
        <v>192</v>
      </c>
      <c r="ID161">
        <f t="shared" si="196"/>
        <v>0</v>
      </c>
      <c r="IE161" t="s">
        <v>191</v>
      </c>
      <c r="IF161" s="254">
        <f t="shared" si="197"/>
        <v>0</v>
      </c>
      <c r="IK161" t="str">
        <f t="shared" si="215"/>
        <v/>
      </c>
      <c r="JP161">
        <f ca="1">IF(Foglio3!DM134=100000,0,IF(Foglio3!DM134="",0,1))</f>
        <v>0</v>
      </c>
      <c r="JQ161" s="314" t="str">
        <f ca="1" xml:space="preserve">   IF(JP161=1,     Foglio3!DM134,IF(JP161=0,IF(JP160=1,"","")))</f>
        <v/>
      </c>
      <c r="JR161" s="314" t="str">
        <f ca="1">IF(          Foglio3!DN134=100000,"",Foglio3!DN134)</f>
        <v/>
      </c>
      <c r="JS161" s="272" t="str">
        <f ca="1">IF(Foglio3!DN134=100000,"",Foglio3!DO134)</f>
        <v/>
      </c>
      <c r="JT161" s="272" t="str">
        <f ca="1">IF(Foglio3!DN134=100000,"",Foglio3!DP134)</f>
        <v/>
      </c>
      <c r="JU161" s="272" t="str">
        <f ca="1">IF(Foglio3!DN134=100000,"",Foglio3!DQ134)</f>
        <v/>
      </c>
      <c r="JV161" s="272" t="str">
        <f ca="1">IF(JU161="","",Foglio3!DR134)</f>
        <v/>
      </c>
      <c r="JW161" s="272" t="str">
        <f ca="1">IF(Foglio3!DN134=100000,"",Foglio3!DS134)</f>
        <v/>
      </c>
      <c r="JX161" s="272" t="str">
        <f ca="1">IF(Foglio3!DN134=100000,"",Foglio3!DT134)</f>
        <v/>
      </c>
      <c r="JY161" s="272" t="str">
        <f ca="1">IF(Foglio3!DN134=100000,"",Foglio3!DU134)</f>
        <v/>
      </c>
      <c r="JZ161" s="272" t="str">
        <f ca="1">IF(Foglio3!DN134=100000,"",Foglio3!DV134)</f>
        <v/>
      </c>
    </row>
    <row r="162" spans="5:286" x14ac:dyDescent="0.25">
      <c r="E162" s="240" t="str">
        <f>Foglio3!F142</f>
        <v/>
      </c>
      <c r="F162" s="240" t="str">
        <f>Foglio3!G142</f>
        <v/>
      </c>
      <c r="DU162" s="112"/>
      <c r="DV162" s="112"/>
      <c r="EX162" s="238"/>
      <c r="HW162" s="253" t="s">
        <v>187</v>
      </c>
      <c r="HX162" s="112" t="e">
        <f t="shared" si="193"/>
        <v>#VALUE!</v>
      </c>
      <c r="HY162" t="s">
        <v>188</v>
      </c>
      <c r="HZ162" s="112" t="e">
        <f t="shared" si="194"/>
        <v>#VALUE!</v>
      </c>
      <c r="IA162" t="s">
        <v>189</v>
      </c>
      <c r="IB162">
        <f t="shared" si="195"/>
        <v>0</v>
      </c>
      <c r="IC162" t="s">
        <v>192</v>
      </c>
      <c r="ID162">
        <f t="shared" si="196"/>
        <v>0</v>
      </c>
      <c r="IE162" t="s">
        <v>191</v>
      </c>
      <c r="IF162" s="254">
        <f t="shared" si="197"/>
        <v>0</v>
      </c>
      <c r="IK162" t="str">
        <f t="shared" si="215"/>
        <v/>
      </c>
      <c r="JP162">
        <f ca="1">IF(Foglio3!DM135=100000,0,IF(Foglio3!DM135="",0,1))</f>
        <v>0</v>
      </c>
      <c r="JQ162" s="314" t="str">
        <f ca="1" xml:space="preserve">   IF(JP162=1,     Foglio3!DM135,IF(JP162=0,IF(JP161=1,"","")))</f>
        <v/>
      </c>
      <c r="JR162" s="314" t="str">
        <f ca="1">IF(          Foglio3!DN135=100000,"",Foglio3!DN135)</f>
        <v/>
      </c>
      <c r="JS162" s="272" t="str">
        <f ca="1">IF(Foglio3!DN135=100000,"",Foglio3!DO135)</f>
        <v/>
      </c>
      <c r="JT162" s="272" t="str">
        <f ca="1">IF(Foglio3!DN135=100000,"",Foglio3!DP135)</f>
        <v/>
      </c>
      <c r="JU162" s="272" t="str">
        <f ca="1">IF(Foglio3!DN135=100000,"",Foglio3!DQ135)</f>
        <v/>
      </c>
      <c r="JV162" s="272" t="str">
        <f ca="1">IF(JU162="","",Foglio3!DR135)</f>
        <v/>
      </c>
      <c r="JW162" s="272" t="str">
        <f ca="1">IF(Foglio3!DN135=100000,"",Foglio3!DS135)</f>
        <v/>
      </c>
      <c r="JX162" s="272" t="str">
        <f ca="1">IF(Foglio3!DN135=100000,"",Foglio3!DT135)</f>
        <v/>
      </c>
      <c r="JY162" s="272" t="str">
        <f ca="1">IF(Foglio3!DN135=100000,"",Foglio3!DU135)</f>
        <v/>
      </c>
      <c r="JZ162" s="272" t="str">
        <f ca="1">IF(Foglio3!DN135=100000,"",Foglio3!DV135)</f>
        <v/>
      </c>
    </row>
    <row r="163" spans="5:286" x14ac:dyDescent="0.25">
      <c r="E163" s="240" t="str">
        <f>Foglio3!F143</f>
        <v/>
      </c>
      <c r="F163" s="240" t="str">
        <f>Foglio3!G143</f>
        <v/>
      </c>
      <c r="DU163" s="112"/>
      <c r="DV163" s="112"/>
      <c r="EX163" s="238"/>
      <c r="HW163" s="253" t="s">
        <v>187</v>
      </c>
      <c r="HX163" s="112" t="e">
        <f t="shared" si="193"/>
        <v>#VALUE!</v>
      </c>
      <c r="HY163" t="s">
        <v>188</v>
      </c>
      <c r="HZ163" s="112" t="e">
        <f t="shared" si="194"/>
        <v>#VALUE!</v>
      </c>
      <c r="IA163" t="s">
        <v>189</v>
      </c>
      <c r="IB163">
        <f t="shared" si="195"/>
        <v>0</v>
      </c>
      <c r="IC163" t="s">
        <v>192</v>
      </c>
      <c r="ID163">
        <f t="shared" si="196"/>
        <v>0</v>
      </c>
      <c r="IE163" t="s">
        <v>191</v>
      </c>
      <c r="IF163" s="254">
        <f t="shared" si="197"/>
        <v>0</v>
      </c>
      <c r="IK163" t="str">
        <f t="shared" si="215"/>
        <v/>
      </c>
      <c r="JP163">
        <f ca="1">IF(Foglio3!DM136=100000,0,IF(Foglio3!DM136="",0,1))</f>
        <v>0</v>
      </c>
      <c r="JQ163" s="314" t="str">
        <f ca="1" xml:space="preserve">   IF(JP163=1,     Foglio3!DM136,IF(JP163=0,IF(JP162=1,"","")))</f>
        <v/>
      </c>
      <c r="JR163" s="314" t="str">
        <f ca="1">IF(          Foglio3!DN136=100000,"",Foglio3!DN136)</f>
        <v/>
      </c>
      <c r="JS163" s="272" t="str">
        <f ca="1">IF(Foglio3!DN136=100000,"",Foglio3!DO136)</f>
        <v/>
      </c>
      <c r="JT163" s="272" t="str">
        <f ca="1">IF(Foglio3!DN136=100000,"",Foglio3!DP136)</f>
        <v/>
      </c>
      <c r="JU163" s="272" t="str">
        <f ca="1">IF(Foglio3!DN136=100000,"",Foglio3!DQ136)</f>
        <v/>
      </c>
      <c r="JV163" s="272" t="str">
        <f ca="1">IF(JU163="","",Foglio3!DR136)</f>
        <v/>
      </c>
      <c r="JW163" s="272" t="str">
        <f ca="1">IF(Foglio3!DN136=100000,"",Foglio3!DS136)</f>
        <v/>
      </c>
      <c r="JX163" s="272" t="str">
        <f ca="1">IF(Foglio3!DN136=100000,"",Foglio3!DT136)</f>
        <v/>
      </c>
      <c r="JY163" s="272" t="str">
        <f ca="1">IF(Foglio3!DN136=100000,"",Foglio3!DU136)</f>
        <v/>
      </c>
      <c r="JZ163" s="272" t="str">
        <f ca="1">IF(Foglio3!DN136=100000,"",Foglio3!DV136)</f>
        <v/>
      </c>
    </row>
    <row r="164" spans="5:286" x14ac:dyDescent="0.25">
      <c r="E164" s="240" t="str">
        <f>Foglio3!F144</f>
        <v/>
      </c>
      <c r="F164" s="240" t="str">
        <f>Foglio3!G144</f>
        <v/>
      </c>
      <c r="DU164" s="112"/>
      <c r="DV164" s="112"/>
      <c r="EX164" s="238"/>
      <c r="HW164" s="253" t="s">
        <v>187</v>
      </c>
      <c r="HX164" s="112" t="e">
        <f t="shared" si="193"/>
        <v>#VALUE!</v>
      </c>
      <c r="HY164" t="s">
        <v>188</v>
      </c>
      <c r="HZ164" s="112" t="e">
        <f t="shared" si="194"/>
        <v>#VALUE!</v>
      </c>
      <c r="IA164" t="s">
        <v>189</v>
      </c>
      <c r="IB164">
        <f t="shared" si="195"/>
        <v>0</v>
      </c>
      <c r="IC164" t="s">
        <v>192</v>
      </c>
      <c r="ID164">
        <f t="shared" si="196"/>
        <v>0</v>
      </c>
      <c r="IE164" t="s">
        <v>191</v>
      </c>
      <c r="IF164" s="254">
        <f t="shared" si="197"/>
        <v>0</v>
      </c>
      <c r="IK164" t="str">
        <f t="shared" si="215"/>
        <v/>
      </c>
      <c r="JP164">
        <f ca="1">IF(Foglio3!DM137=100000,0,IF(Foglio3!DM137="",0,1))</f>
        <v>0</v>
      </c>
      <c r="JQ164" s="314" t="str">
        <f ca="1" xml:space="preserve">   IF(JP164=1,     Foglio3!DM137,IF(JP164=0,IF(JP163=1,"","")))</f>
        <v/>
      </c>
      <c r="JR164" s="314" t="str">
        <f ca="1">IF(          Foglio3!DN137=100000,"",Foglio3!DN137)</f>
        <v/>
      </c>
      <c r="JS164" s="272" t="str">
        <f ca="1">IF(Foglio3!DN137=100000,"",Foglio3!DO137)</f>
        <v/>
      </c>
      <c r="JT164" s="272" t="str">
        <f ca="1">IF(Foglio3!DN137=100000,"",Foglio3!DP137)</f>
        <v/>
      </c>
      <c r="JU164" s="272" t="str">
        <f ca="1">IF(Foglio3!DN137=100000,"",Foglio3!DQ137)</f>
        <v/>
      </c>
      <c r="JV164" s="272" t="str">
        <f ca="1">IF(JU164="","",Foglio3!DR137)</f>
        <v/>
      </c>
      <c r="JW164" s="272" t="str">
        <f ca="1">IF(Foglio3!DN137=100000,"",Foglio3!DS137)</f>
        <v/>
      </c>
      <c r="JX164" s="272" t="str">
        <f ca="1">IF(Foglio3!DN137=100000,"",Foglio3!DT137)</f>
        <v/>
      </c>
      <c r="JY164" s="272" t="str">
        <f ca="1">IF(Foglio3!DN137=100000,"",Foglio3!DU137)</f>
        <v/>
      </c>
      <c r="JZ164" s="272" t="str">
        <f ca="1">IF(Foglio3!DN137=100000,"",Foglio3!DV137)</f>
        <v/>
      </c>
    </row>
    <row r="165" spans="5:286" x14ac:dyDescent="0.25">
      <c r="E165" s="240" t="str">
        <f>Foglio3!F145</f>
        <v/>
      </c>
      <c r="F165" s="240" t="str">
        <f>Foglio3!G145</f>
        <v/>
      </c>
      <c r="DU165" s="112"/>
      <c r="DV165" s="112"/>
      <c r="EX165" s="238"/>
      <c r="HW165" s="253" t="s">
        <v>187</v>
      </c>
      <c r="HX165" s="112" t="e">
        <f t="shared" si="193"/>
        <v>#VALUE!</v>
      </c>
      <c r="HY165" t="s">
        <v>188</v>
      </c>
      <c r="HZ165" s="112" t="e">
        <f t="shared" si="194"/>
        <v>#VALUE!</v>
      </c>
      <c r="IA165" t="s">
        <v>189</v>
      </c>
      <c r="IB165">
        <f t="shared" si="195"/>
        <v>0</v>
      </c>
      <c r="IC165" t="s">
        <v>192</v>
      </c>
      <c r="ID165">
        <f t="shared" si="196"/>
        <v>0</v>
      </c>
      <c r="IE165" t="s">
        <v>191</v>
      </c>
      <c r="IF165" s="254">
        <f t="shared" si="197"/>
        <v>0</v>
      </c>
      <c r="IK165" t="str">
        <f t="shared" si="215"/>
        <v/>
      </c>
      <c r="JP165">
        <f ca="1">IF(Foglio3!DM138=100000,0,IF(Foglio3!DM138="",0,1))</f>
        <v>0</v>
      </c>
      <c r="JQ165" s="314" t="str">
        <f ca="1" xml:space="preserve">   IF(JP165=1,     Foglio3!DM138,IF(JP165=0,IF(JP164=1,"","")))</f>
        <v/>
      </c>
      <c r="JR165" s="314" t="str">
        <f ca="1">IF(          Foglio3!DN138=100000,"",Foglio3!DN138)</f>
        <v/>
      </c>
      <c r="JS165" s="272" t="str">
        <f ca="1">IF(Foglio3!DN138=100000,"",Foglio3!DO138)</f>
        <v/>
      </c>
      <c r="JT165" s="272" t="str">
        <f ca="1">IF(Foglio3!DN138=100000,"",Foglio3!DP138)</f>
        <v/>
      </c>
      <c r="JU165" s="272" t="str">
        <f ca="1">IF(Foglio3!DN138=100000,"",Foglio3!DQ138)</f>
        <v/>
      </c>
      <c r="JV165" s="272" t="str">
        <f ca="1">IF(JU165="","",Foglio3!DR138)</f>
        <v/>
      </c>
      <c r="JW165" s="272" t="str">
        <f ca="1">IF(Foglio3!DN138=100000,"",Foglio3!DS138)</f>
        <v/>
      </c>
      <c r="JX165" s="272" t="str">
        <f ca="1">IF(Foglio3!DN138=100000,"",Foglio3!DT138)</f>
        <v/>
      </c>
      <c r="JY165" s="272" t="str">
        <f ca="1">IF(Foglio3!DN138=100000,"",Foglio3!DU138)</f>
        <v/>
      </c>
      <c r="JZ165" s="272" t="str">
        <f ca="1">IF(Foglio3!DN138=100000,"",Foglio3!DV138)</f>
        <v/>
      </c>
    </row>
    <row r="166" spans="5:286" x14ac:dyDescent="0.25">
      <c r="E166" s="240" t="str">
        <f>Foglio3!F146</f>
        <v/>
      </c>
      <c r="F166" s="240" t="str">
        <f>Foglio3!G146</f>
        <v/>
      </c>
      <c r="DU166" s="112"/>
      <c r="DV166" s="112"/>
      <c r="EX166" s="238"/>
      <c r="HW166" s="253" t="s">
        <v>187</v>
      </c>
      <c r="HX166" s="112" t="e">
        <f t="shared" si="193"/>
        <v>#VALUE!</v>
      </c>
      <c r="HY166" t="s">
        <v>188</v>
      </c>
      <c r="HZ166" s="112" t="e">
        <f t="shared" si="194"/>
        <v>#VALUE!</v>
      </c>
      <c r="IA166" t="s">
        <v>189</v>
      </c>
      <c r="IB166">
        <f t="shared" si="195"/>
        <v>0</v>
      </c>
      <c r="IC166" t="s">
        <v>192</v>
      </c>
      <c r="ID166">
        <f t="shared" si="196"/>
        <v>0</v>
      </c>
      <c r="IE166" t="s">
        <v>191</v>
      </c>
      <c r="IF166" s="254">
        <f t="shared" si="197"/>
        <v>0</v>
      </c>
      <c r="IK166" t="str">
        <f t="shared" si="215"/>
        <v/>
      </c>
      <c r="JP166">
        <f ca="1">IF(Foglio3!DM139=100000,0,IF(Foglio3!DM139="",0,1))</f>
        <v>0</v>
      </c>
      <c r="JQ166" s="314" t="str">
        <f ca="1" xml:space="preserve">   IF(JP166=1,     Foglio3!DM139,IF(JP166=0,IF(JP165=1,"","")))</f>
        <v/>
      </c>
      <c r="JR166" s="314" t="str">
        <f ca="1">IF(          Foglio3!DN139=100000,"",Foglio3!DN139)</f>
        <v/>
      </c>
      <c r="JS166" s="272" t="str">
        <f ca="1">IF(Foglio3!DN139=100000,"",Foglio3!DO139)</f>
        <v/>
      </c>
      <c r="JT166" s="272" t="str">
        <f ca="1">IF(Foglio3!DN139=100000,"",Foglio3!DP139)</f>
        <v/>
      </c>
      <c r="JU166" s="272" t="str">
        <f ca="1">IF(Foglio3!DN139=100000,"",Foglio3!DQ139)</f>
        <v/>
      </c>
      <c r="JV166" s="272" t="str">
        <f ca="1">IF(JU166="","",Foglio3!DR139)</f>
        <v/>
      </c>
      <c r="JW166" s="272" t="str">
        <f ca="1">IF(Foglio3!DN139=100000,"",Foglio3!DS139)</f>
        <v/>
      </c>
      <c r="JX166" s="272" t="str">
        <f ca="1">IF(Foglio3!DN139=100000,"",Foglio3!DT139)</f>
        <v/>
      </c>
      <c r="JY166" s="272" t="str">
        <f ca="1">IF(Foglio3!DN139=100000,"",Foglio3!DU139)</f>
        <v/>
      </c>
      <c r="JZ166" s="272" t="str">
        <f ca="1">IF(Foglio3!DN139=100000,"",Foglio3!DV139)</f>
        <v/>
      </c>
    </row>
    <row r="167" spans="5:286" x14ac:dyDescent="0.25">
      <c r="E167" s="240">
        <f>Foglio3!F147</f>
        <v>0</v>
      </c>
      <c r="F167" s="240">
        <f>Foglio3!G147</f>
        <v>0</v>
      </c>
      <c r="DU167" s="112"/>
      <c r="DV167" s="112"/>
      <c r="EX167" s="238"/>
      <c r="HW167" s="253" t="s">
        <v>187</v>
      </c>
      <c r="HX167" s="112" t="str">
        <f t="shared" si="193"/>
        <v>0/1/1900</v>
      </c>
      <c r="HY167" t="s">
        <v>188</v>
      </c>
      <c r="HZ167" s="112" t="str">
        <f t="shared" si="194"/>
        <v>0/1/1900</v>
      </c>
      <c r="IA167" t="s">
        <v>189</v>
      </c>
      <c r="IB167">
        <f t="shared" si="195"/>
        <v>0</v>
      </c>
      <c r="IC167" t="s">
        <v>192</v>
      </c>
      <c r="ID167">
        <f t="shared" si="196"/>
        <v>0</v>
      </c>
      <c r="IE167" t="s">
        <v>191</v>
      </c>
      <c r="IF167" s="254">
        <f t="shared" si="197"/>
        <v>0</v>
      </c>
      <c r="IK167" t="str">
        <f t="shared" ref="IK167:IK168" si="216">IF(E167&gt;0,CONCATENATE(HW167,HX167,HY167,HZ167,IA167,IB167,IC167,ID167,IE167,IF167,"
"),"")</f>
        <v/>
      </c>
      <c r="JP167">
        <f ca="1">IF(Foglio3!DM140=100000,0,IF(Foglio3!DM140="",0,1))</f>
        <v>0</v>
      </c>
      <c r="JQ167" s="314" t="str">
        <f ca="1" xml:space="preserve">   IF(JP167=1,     Foglio3!DM140,IF(JP167=0,IF(JP166=1,"","")))</f>
        <v/>
      </c>
      <c r="JR167" s="314" t="str">
        <f ca="1">IF(          Foglio3!DN140=100000,"",Foglio3!DN140)</f>
        <v/>
      </c>
      <c r="JS167" s="272" t="str">
        <f ca="1">IF(Foglio3!DN140=100000,"",Foglio3!DO140)</f>
        <v/>
      </c>
      <c r="JT167" s="272" t="str">
        <f ca="1">IF(Foglio3!DN140=100000,"",Foglio3!DP140)</f>
        <v/>
      </c>
      <c r="JU167" s="272" t="str">
        <f ca="1">IF(Foglio3!DN140=100000,"",Foglio3!DQ140)</f>
        <v/>
      </c>
      <c r="JV167" s="272" t="str">
        <f ca="1">IF(JU167="","",Foglio3!DR140)</f>
        <v/>
      </c>
      <c r="JW167" s="272" t="str">
        <f ca="1">IF(Foglio3!DN140=100000,"",Foglio3!DS140)</f>
        <v/>
      </c>
      <c r="JX167" s="272" t="str">
        <f ca="1">IF(Foglio3!DN140=100000,"",Foglio3!DT140)</f>
        <v/>
      </c>
      <c r="JY167" s="272" t="str">
        <f ca="1">IF(Foglio3!DN140=100000,"",Foglio3!DU140)</f>
        <v/>
      </c>
      <c r="JZ167" s="272" t="str">
        <f ca="1">IF(Foglio3!DN140=100000,"",Foglio3!DV140)</f>
        <v/>
      </c>
    </row>
    <row r="168" spans="5:286" x14ac:dyDescent="0.25">
      <c r="E168" s="240">
        <f>Foglio3!F148</f>
        <v>0</v>
      </c>
      <c r="F168" s="240">
        <f>Foglio3!G148</f>
        <v>0</v>
      </c>
      <c r="DU168" s="112"/>
      <c r="DV168" s="112"/>
      <c r="EX168" s="238"/>
      <c r="HW168" s="253" t="s">
        <v>187</v>
      </c>
      <c r="HX168" s="112" t="str">
        <f t="shared" si="193"/>
        <v>0/1/1900</v>
      </c>
      <c r="HY168" t="s">
        <v>188</v>
      </c>
      <c r="HZ168" s="112" t="str">
        <f t="shared" si="194"/>
        <v>0/1/1900</v>
      </c>
      <c r="IA168" t="s">
        <v>189</v>
      </c>
      <c r="IB168">
        <f t="shared" si="195"/>
        <v>0</v>
      </c>
      <c r="IC168" t="s">
        <v>192</v>
      </c>
      <c r="ID168">
        <f t="shared" si="196"/>
        <v>0</v>
      </c>
      <c r="IE168" t="s">
        <v>191</v>
      </c>
      <c r="IF168" s="254">
        <f t="shared" si="197"/>
        <v>0</v>
      </c>
      <c r="IK168" t="str">
        <f t="shared" si="216"/>
        <v/>
      </c>
      <c r="JP168">
        <f ca="1">IF(Foglio3!DM141=100000,0,IF(Foglio3!DM141="",0,1))</f>
        <v>0</v>
      </c>
      <c r="JQ168" s="314" t="str">
        <f ca="1" xml:space="preserve">   IF(JP168=1,     Foglio3!DM141,IF(JP168=0,IF(JP167=1,"","")))</f>
        <v/>
      </c>
      <c r="JR168" s="314" t="str">
        <f ca="1">IF(          Foglio3!DN141=100000,"",Foglio3!DN141)</f>
        <v/>
      </c>
      <c r="JS168" s="272" t="str">
        <f ca="1">IF(Foglio3!DN141=100000,"",Foglio3!DO141)</f>
        <v/>
      </c>
      <c r="JT168" s="272" t="str">
        <f ca="1">IF(Foglio3!DN141=100000,"",Foglio3!DP141)</f>
        <v/>
      </c>
      <c r="JU168" s="272" t="str">
        <f ca="1">IF(Foglio3!DN141=100000,"",Foglio3!DQ141)</f>
        <v/>
      </c>
      <c r="JV168" s="272" t="str">
        <f ca="1">IF(JU168="","",Foglio3!DR141)</f>
        <v/>
      </c>
      <c r="JW168" s="272" t="str">
        <f ca="1">IF(Foglio3!DN141=100000,"",Foglio3!DS141)</f>
        <v/>
      </c>
      <c r="JX168" s="272" t="str">
        <f ca="1">IF(Foglio3!DN141=100000,"",Foglio3!DT141)</f>
        <v/>
      </c>
      <c r="JY168" s="272" t="str">
        <f ca="1">IF(Foglio3!DN141=100000,"",Foglio3!DU141)</f>
        <v/>
      </c>
      <c r="JZ168" s="272" t="str">
        <f ca="1">IF(Foglio3!DN141=100000,"",Foglio3!DV141)</f>
        <v/>
      </c>
    </row>
    <row r="169" spans="5:286" x14ac:dyDescent="0.25">
      <c r="E169" s="240">
        <f>Foglio3!F149</f>
        <v>0</v>
      </c>
      <c r="F169" s="240">
        <f>Foglio3!G149</f>
        <v>0</v>
      </c>
      <c r="DU169" s="112"/>
      <c r="DV169" s="112"/>
      <c r="EX169" s="238"/>
      <c r="HW169" s="253" t="s">
        <v>187</v>
      </c>
      <c r="HX169" s="112" t="str">
        <f t="shared" ref="HX169:HX178" si="217">CONCATENATE(DAY(E169),"/",MONTH(E169),"/",YEAR(E169))</f>
        <v>0/1/1900</v>
      </c>
      <c r="HY169" t="s">
        <v>188</v>
      </c>
      <c r="HZ169" s="112" t="str">
        <f t="shared" ref="HZ169:HZ178" si="218">CONCATENATE(DAY(F169),"/",MONTH(F169),"/",YEAR(F169))</f>
        <v>0/1/1900</v>
      </c>
      <c r="IA169" t="s">
        <v>189</v>
      </c>
      <c r="IB169">
        <f t="shared" ref="IB169:IB178" si="219">S169</f>
        <v>0</v>
      </c>
      <c r="IC169" t="s">
        <v>192</v>
      </c>
      <c r="ID169">
        <f t="shared" ref="ID169:ID178" si="220">T169</f>
        <v>0</v>
      </c>
      <c r="IE169" t="s">
        <v>191</v>
      </c>
      <c r="IF169" s="254">
        <f t="shared" ref="IF169:IF178" si="221">U169</f>
        <v>0</v>
      </c>
      <c r="IK169" t="str">
        <f t="shared" ref="IK169:IK179" si="222">IF(E169&gt;0,CONCATENATE(HW169,HX169,HY169,HZ169,IA169,IB169,IC169,ID169,IE169,IF169,"
"),"")</f>
        <v/>
      </c>
      <c r="JP169">
        <f ca="1">IF(Foglio3!DM142=100000,0,IF(Foglio3!DM142="",0,1))</f>
        <v>0</v>
      </c>
      <c r="JQ169" s="314" t="str">
        <f ca="1" xml:space="preserve">   IF(JP169=1,     Foglio3!DM142,IF(JP169=0,IF(JP168=1,"","")))</f>
        <v/>
      </c>
      <c r="JR169" s="314" t="str">
        <f ca="1">IF(          Foglio3!DN142=100000,"",Foglio3!DN142)</f>
        <v/>
      </c>
      <c r="JS169" s="272" t="str">
        <f ca="1">IF(Foglio3!DN142=100000,"",Foglio3!DO142)</f>
        <v/>
      </c>
      <c r="JT169" s="272" t="str">
        <f ca="1">IF(Foglio3!DN142=100000,"",Foglio3!DP142)</f>
        <v/>
      </c>
      <c r="JU169" s="272" t="str">
        <f ca="1">IF(Foglio3!DN142=100000,"",Foglio3!DQ142)</f>
        <v/>
      </c>
      <c r="JV169" s="272" t="str">
        <f ca="1">IF(Foglio3!DO142=100000,"",Foglio3!DR142)</f>
        <v/>
      </c>
      <c r="JW169" s="272" t="str">
        <f ca="1">IF(Foglio3!DN142=100000,"",Foglio3!DS142)</f>
        <v/>
      </c>
      <c r="JX169" s="272" t="str">
        <f ca="1">IF(Foglio3!DN142=100000,"",Foglio3!DT142)</f>
        <v/>
      </c>
      <c r="JY169" s="272" t="str">
        <f ca="1">IF(Foglio3!DN142=100000,"",Foglio3!DU142)</f>
        <v/>
      </c>
      <c r="JZ169" s="272" t="str">
        <f ca="1">IF(Foglio3!DN142=100000,"",Foglio3!DV142)</f>
        <v/>
      </c>
    </row>
    <row r="170" spans="5:286" x14ac:dyDescent="0.25">
      <c r="E170" s="240">
        <f>Foglio3!F150</f>
        <v>0</v>
      </c>
      <c r="F170" s="240">
        <f>Foglio3!G150</f>
        <v>0</v>
      </c>
      <c r="DU170" s="112"/>
      <c r="DV170" s="112"/>
      <c r="EX170" s="238"/>
      <c r="HW170" s="253" t="s">
        <v>187</v>
      </c>
      <c r="HX170" s="112" t="str">
        <f t="shared" si="217"/>
        <v>0/1/1900</v>
      </c>
      <c r="HY170" t="s">
        <v>188</v>
      </c>
      <c r="HZ170" s="112" t="str">
        <f t="shared" si="218"/>
        <v>0/1/1900</v>
      </c>
      <c r="IA170" t="s">
        <v>189</v>
      </c>
      <c r="IB170">
        <f t="shared" si="219"/>
        <v>0</v>
      </c>
      <c r="IC170" t="s">
        <v>192</v>
      </c>
      <c r="ID170">
        <f t="shared" si="220"/>
        <v>0</v>
      </c>
      <c r="IE170" t="s">
        <v>191</v>
      </c>
      <c r="IF170" s="254">
        <f t="shared" si="221"/>
        <v>0</v>
      </c>
      <c r="IK170" t="str">
        <f t="shared" si="222"/>
        <v/>
      </c>
      <c r="JP170">
        <f ca="1">IF(Foglio3!DM143=100000,0,IF(Foglio3!DM143="",0,1))</f>
        <v>0</v>
      </c>
      <c r="JQ170" s="314" t="str">
        <f ca="1" xml:space="preserve">   IF(JP170=1,     Foglio3!DM143,IF(JP170=0,IF(JP169=1,"","")))</f>
        <v/>
      </c>
      <c r="JR170" s="314" t="str">
        <f ca="1">IF(          Foglio3!DN143=100000,"",Foglio3!DN143)</f>
        <v/>
      </c>
      <c r="JS170" s="272" t="str">
        <f ca="1">IF(Foglio3!DN143=100000,"",Foglio3!DO143)</f>
        <v/>
      </c>
      <c r="JT170" s="272" t="str">
        <f ca="1">IF(Foglio3!DN143=100000,"",Foglio3!DP143)</f>
        <v/>
      </c>
      <c r="JU170" s="272" t="str">
        <f ca="1">IF(Foglio3!DN143=100000,"",Foglio3!DQ143)</f>
        <v/>
      </c>
      <c r="JV170" s="272" t="str">
        <f ca="1">IF(Foglio3!DO143=100000,"",Foglio3!DR143)</f>
        <v/>
      </c>
      <c r="JW170" s="272" t="str">
        <f ca="1">IF(Foglio3!DN143=100000,"",Foglio3!DS143)</f>
        <v/>
      </c>
      <c r="JX170" s="272" t="str">
        <f ca="1">IF(Foglio3!DN143=100000,"",Foglio3!DT143)</f>
        <v/>
      </c>
      <c r="JY170" s="272" t="str">
        <f ca="1">IF(Foglio3!DN143=100000,"",Foglio3!DU143)</f>
        <v/>
      </c>
      <c r="JZ170" s="272" t="str">
        <f ca="1">IF(Foglio3!DN143=100000,"",Foglio3!DV143)</f>
        <v/>
      </c>
    </row>
    <row r="171" spans="5:286" x14ac:dyDescent="0.25">
      <c r="E171" s="240">
        <f>Foglio3!F151</f>
        <v>0</v>
      </c>
      <c r="F171" s="240">
        <f>Foglio3!G151</f>
        <v>0</v>
      </c>
      <c r="DU171" s="112"/>
      <c r="DV171" s="112"/>
      <c r="EX171" s="238"/>
      <c r="HW171" s="253" t="s">
        <v>187</v>
      </c>
      <c r="HX171" s="112" t="str">
        <f t="shared" si="217"/>
        <v>0/1/1900</v>
      </c>
      <c r="HY171" t="s">
        <v>188</v>
      </c>
      <c r="HZ171" s="112" t="str">
        <f t="shared" si="218"/>
        <v>0/1/1900</v>
      </c>
      <c r="IA171" t="s">
        <v>189</v>
      </c>
      <c r="IB171">
        <f t="shared" si="219"/>
        <v>0</v>
      </c>
      <c r="IC171" t="s">
        <v>192</v>
      </c>
      <c r="ID171">
        <f t="shared" si="220"/>
        <v>0</v>
      </c>
      <c r="IE171" t="s">
        <v>191</v>
      </c>
      <c r="IF171" s="254">
        <f t="shared" si="221"/>
        <v>0</v>
      </c>
      <c r="IK171" t="str">
        <f t="shared" si="222"/>
        <v/>
      </c>
      <c r="JP171">
        <f ca="1">IF(Foglio3!DM144=100000,0,IF(Foglio3!DM144="",0,1))</f>
        <v>0</v>
      </c>
      <c r="JQ171" s="314" t="str">
        <f ca="1" xml:space="preserve">   IF(JP171=1,     Foglio3!DM144,IF(JP171=0,IF(JP170=1,"","")))</f>
        <v/>
      </c>
      <c r="JR171" s="314" t="str">
        <f ca="1">IF(          Foglio3!DN144=100000,"",Foglio3!DN144)</f>
        <v/>
      </c>
      <c r="JS171" s="272" t="str">
        <f ca="1">IF(Foglio3!DN144=100000,"",Foglio3!DO144)</f>
        <v/>
      </c>
      <c r="JT171" s="272" t="str">
        <f ca="1">IF(Foglio3!DN144=100000,"",Foglio3!DP144)</f>
        <v/>
      </c>
      <c r="JU171" s="272" t="str">
        <f ca="1">IF(Foglio3!DN144=100000,"",Foglio3!DQ144)</f>
        <v/>
      </c>
      <c r="JV171" s="272" t="str">
        <f ca="1">IF(Foglio3!DO144=100000,"",Foglio3!DR144)</f>
        <v/>
      </c>
      <c r="JW171" s="272" t="str">
        <f ca="1">IF(Foglio3!DN144=100000,"",Foglio3!DS144)</f>
        <v/>
      </c>
      <c r="JX171" s="272" t="str">
        <f ca="1">IF(Foglio3!DN144=100000,"",Foglio3!DT144)</f>
        <v/>
      </c>
      <c r="JY171" s="272" t="str">
        <f ca="1">IF(Foglio3!DN144=100000,"",Foglio3!DU144)</f>
        <v/>
      </c>
      <c r="JZ171" s="272" t="str">
        <f ca="1">IF(Foglio3!DN144=100000,"",Foglio3!DV144)</f>
        <v/>
      </c>
    </row>
    <row r="172" spans="5:286" x14ac:dyDescent="0.25">
      <c r="E172" s="240">
        <f>Foglio3!F152</f>
        <v>0</v>
      </c>
      <c r="F172" s="240">
        <f>Foglio3!G152</f>
        <v>0</v>
      </c>
      <c r="DU172" s="112"/>
      <c r="DV172" s="112"/>
      <c r="EX172" s="238"/>
      <c r="HW172" s="253" t="s">
        <v>187</v>
      </c>
      <c r="HX172" s="112" t="str">
        <f t="shared" si="217"/>
        <v>0/1/1900</v>
      </c>
      <c r="HY172" t="s">
        <v>188</v>
      </c>
      <c r="HZ172" s="112" t="str">
        <f t="shared" si="218"/>
        <v>0/1/1900</v>
      </c>
      <c r="IA172" t="s">
        <v>189</v>
      </c>
      <c r="IB172">
        <f t="shared" si="219"/>
        <v>0</v>
      </c>
      <c r="IC172" t="s">
        <v>192</v>
      </c>
      <c r="ID172">
        <f t="shared" si="220"/>
        <v>0</v>
      </c>
      <c r="IE172" t="s">
        <v>191</v>
      </c>
      <c r="IF172" s="254">
        <f t="shared" si="221"/>
        <v>0</v>
      </c>
      <c r="IK172" t="str">
        <f t="shared" si="222"/>
        <v/>
      </c>
      <c r="JP172">
        <f ca="1">IF(Foglio3!DM145=100000,0,IF(Foglio3!DM145="",0,1))</f>
        <v>0</v>
      </c>
      <c r="JQ172" s="314" t="str">
        <f ca="1" xml:space="preserve">   IF(JP172=1,     Foglio3!DM145,IF(JP172=0,IF(JP171=1,"","")))</f>
        <v/>
      </c>
      <c r="JR172" s="314" t="str">
        <f ca="1">IF(          Foglio3!DN145=100000,"",Foglio3!DN145)</f>
        <v/>
      </c>
      <c r="JS172" s="272" t="str">
        <f ca="1">IF(Foglio3!DN145=100000,"",Foglio3!DO145)</f>
        <v/>
      </c>
      <c r="JT172" s="272" t="str">
        <f ca="1">IF(Foglio3!DN145=100000,"",Foglio3!DP145)</f>
        <v/>
      </c>
      <c r="JU172" s="272" t="str">
        <f ca="1">IF(Foglio3!DN145=100000,"",Foglio3!DQ145)</f>
        <v/>
      </c>
      <c r="JV172" s="272" t="str">
        <f ca="1">IF(Foglio3!DO145=100000,"",Foglio3!DR145)</f>
        <v/>
      </c>
      <c r="JW172" s="272" t="str">
        <f ca="1">IF(Foglio3!DN145=100000,"",Foglio3!DS145)</f>
        <v/>
      </c>
      <c r="JX172" s="272" t="str">
        <f ca="1">IF(Foglio3!DN145=100000,"",Foglio3!DT145)</f>
        <v/>
      </c>
      <c r="JY172" s="272" t="str">
        <f ca="1">IF(Foglio3!DN145=100000,"",Foglio3!DU145)</f>
        <v/>
      </c>
      <c r="JZ172" s="272" t="str">
        <f ca="1">IF(Foglio3!DN145=100000,"",Foglio3!DV145)</f>
        <v/>
      </c>
    </row>
    <row r="173" spans="5:286" x14ac:dyDescent="0.25">
      <c r="E173" s="240">
        <f>Foglio3!F153</f>
        <v>0</v>
      </c>
      <c r="F173" s="240">
        <f>Foglio3!G153</f>
        <v>0</v>
      </c>
      <c r="DU173" s="112"/>
      <c r="DV173" s="112"/>
      <c r="EX173" s="238"/>
      <c r="HW173" s="253" t="s">
        <v>187</v>
      </c>
      <c r="HX173" s="112" t="str">
        <f t="shared" si="217"/>
        <v>0/1/1900</v>
      </c>
      <c r="HY173" t="s">
        <v>188</v>
      </c>
      <c r="HZ173" s="112" t="str">
        <f t="shared" si="218"/>
        <v>0/1/1900</v>
      </c>
      <c r="IA173" t="s">
        <v>189</v>
      </c>
      <c r="IB173">
        <f t="shared" si="219"/>
        <v>0</v>
      </c>
      <c r="IC173" t="s">
        <v>192</v>
      </c>
      <c r="ID173">
        <f t="shared" si="220"/>
        <v>0</v>
      </c>
      <c r="IE173" t="s">
        <v>191</v>
      </c>
      <c r="IF173" s="254">
        <f t="shared" si="221"/>
        <v>0</v>
      </c>
      <c r="IK173" t="str">
        <f t="shared" si="222"/>
        <v/>
      </c>
      <c r="JP173" t="e">
        <f>IF(Foglio3!DM146=100000,0,IF(Foglio3!DM146="",0,1))</f>
        <v>#NUM!</v>
      </c>
      <c r="JQ173" s="314" t="e">
        <f xml:space="preserve">   IF(JP173=1,     Foglio3!DM146,IF(JP173=0,IF(JP172=1,"","")))</f>
        <v>#NUM!</v>
      </c>
      <c r="JR173" s="314" t="e">
        <f>IF(          Foglio3!DN146=100000,"",Foglio3!DN146)</f>
        <v>#NUM!</v>
      </c>
      <c r="JS173" s="272" t="e">
        <f>IF(Foglio3!DN146=100000,"",Foglio3!DO146)</f>
        <v>#NUM!</v>
      </c>
      <c r="JT173" s="272" t="e">
        <f>IF(Foglio3!DN146=100000,"",Foglio3!DP146)</f>
        <v>#NUM!</v>
      </c>
      <c r="JU173" s="272" t="e">
        <f>IF(Foglio3!DN146=100000,"",Foglio3!DQ146)</f>
        <v>#NUM!</v>
      </c>
      <c r="JV173" s="272"/>
      <c r="JW173" s="272" t="e">
        <f>IF(Foglio3!DN146=100000,"",Foglio3!DS146)</f>
        <v>#NUM!</v>
      </c>
      <c r="JX173" s="272" t="e">
        <f>IF(Foglio3!DN146=100000,"",Foglio3!DT146)</f>
        <v>#NUM!</v>
      </c>
      <c r="JY173" s="272" t="e">
        <f>IF(Foglio3!DN146=100000,"",Foglio3!DU146)</f>
        <v>#NUM!</v>
      </c>
      <c r="JZ173" s="272" t="e">
        <f>IF(Foglio3!DN146=100000,"",Foglio3!DV146)</f>
        <v>#NUM!</v>
      </c>
    </row>
    <row r="174" spans="5:286" x14ac:dyDescent="0.25">
      <c r="E174" s="240">
        <f>Foglio3!F154</f>
        <v>0</v>
      </c>
      <c r="F174" s="240">
        <f>Foglio3!G154</f>
        <v>0</v>
      </c>
      <c r="DU174" s="112"/>
      <c r="DV174" s="112"/>
      <c r="EX174" s="238"/>
      <c r="HW174" s="253" t="s">
        <v>187</v>
      </c>
      <c r="HX174" s="112" t="str">
        <f t="shared" si="217"/>
        <v>0/1/1900</v>
      </c>
      <c r="HY174" t="s">
        <v>188</v>
      </c>
      <c r="HZ174" s="112" t="str">
        <f t="shared" si="218"/>
        <v>0/1/1900</v>
      </c>
      <c r="IA174" t="s">
        <v>189</v>
      </c>
      <c r="IB174">
        <f t="shared" si="219"/>
        <v>0</v>
      </c>
      <c r="IC174" t="s">
        <v>192</v>
      </c>
      <c r="ID174">
        <f t="shared" si="220"/>
        <v>0</v>
      </c>
      <c r="IE174" t="s">
        <v>191</v>
      </c>
      <c r="IF174" s="254">
        <f t="shared" si="221"/>
        <v>0</v>
      </c>
      <c r="IK174" t="str">
        <f t="shared" si="222"/>
        <v/>
      </c>
      <c r="JP174" t="e">
        <f>IF(Foglio3!DM147=100000,0,IF(Foglio3!DM147="",0,1))</f>
        <v>#NUM!</v>
      </c>
      <c r="JQ174" s="314" t="e">
        <f xml:space="preserve">   IF(JP174=1,     Foglio3!DM147,IF(JP174=0,IF(JP173=1,"","")))</f>
        <v>#NUM!</v>
      </c>
      <c r="JR174" s="314" t="e">
        <f>IF(          Foglio3!DN147=100000,"",Foglio3!DN147)</f>
        <v>#NUM!</v>
      </c>
      <c r="JS174" s="272" t="e">
        <f>IF(Foglio3!DN147=100000,"",Foglio3!DO147)</f>
        <v>#NUM!</v>
      </c>
      <c r="JT174" s="272" t="e">
        <f>IF(Foglio3!DN147=100000,"",Foglio3!DP147)</f>
        <v>#NUM!</v>
      </c>
      <c r="JU174" s="272" t="e">
        <f>IF(Foglio3!DN147=100000,"",Foglio3!DQ147)</f>
        <v>#NUM!</v>
      </c>
      <c r="JV174" s="272"/>
      <c r="JW174" s="272" t="e">
        <f>IF(Foglio3!DN147=100000,"",Foglio3!DS147)</f>
        <v>#NUM!</v>
      </c>
      <c r="JX174" s="272" t="e">
        <f>IF(Foglio3!DN147=100000,"",Foglio3!DT147)</f>
        <v>#NUM!</v>
      </c>
      <c r="JY174" s="272" t="e">
        <f>IF(Foglio3!DN147=100000,"",Foglio3!DU147)</f>
        <v>#NUM!</v>
      </c>
      <c r="JZ174" s="272" t="e">
        <f>IF(Foglio3!DN147=100000,"",Foglio3!DV147)</f>
        <v>#NUM!</v>
      </c>
    </row>
    <row r="175" spans="5:286" x14ac:dyDescent="0.25">
      <c r="E175" s="240">
        <f>Foglio3!F155</f>
        <v>0</v>
      </c>
      <c r="F175" s="240">
        <f>Foglio3!G155</f>
        <v>0</v>
      </c>
      <c r="DU175" s="112"/>
      <c r="DV175" s="112"/>
      <c r="EX175" s="238"/>
      <c r="HW175" s="253" t="s">
        <v>187</v>
      </c>
      <c r="HX175" s="112" t="str">
        <f t="shared" si="217"/>
        <v>0/1/1900</v>
      </c>
      <c r="HY175" t="s">
        <v>188</v>
      </c>
      <c r="HZ175" s="112" t="str">
        <f t="shared" si="218"/>
        <v>0/1/1900</v>
      </c>
      <c r="IA175" t="s">
        <v>189</v>
      </c>
      <c r="IB175">
        <f t="shared" si="219"/>
        <v>0</v>
      </c>
      <c r="IC175" t="s">
        <v>192</v>
      </c>
      <c r="ID175">
        <f t="shared" si="220"/>
        <v>0</v>
      </c>
      <c r="IE175" t="s">
        <v>191</v>
      </c>
      <c r="IF175" s="254">
        <f t="shared" si="221"/>
        <v>0</v>
      </c>
      <c r="IK175" t="str">
        <f t="shared" si="222"/>
        <v/>
      </c>
      <c r="JP175">
        <f>IF(Foglio3!DM148=100000,0,IF(Foglio3!DM148="",0,1))</f>
        <v>0</v>
      </c>
      <c r="JQ175" s="314" t="e">
        <f xml:space="preserve">   IF(JP175=1,     Foglio3!DM148,IF(JP175=0,IF(JP174=1,"","")))</f>
        <v>#NUM!</v>
      </c>
      <c r="JR175" s="314">
        <f>IF(          Foglio3!DN148=100000,"",Foglio3!DN148)</f>
        <v>0</v>
      </c>
      <c r="JS175" s="272">
        <f>IF(Foglio3!DN148=100000,"",Foglio3!DO148)</f>
        <v>0</v>
      </c>
      <c r="JT175" s="272">
        <f>IF(Foglio3!DN148=100000,"",Foglio3!DP148)</f>
        <v>0</v>
      </c>
      <c r="JU175" s="272">
        <f>IF(Foglio3!DN148=100000,"",Foglio3!DQ148)</f>
        <v>0</v>
      </c>
      <c r="JV175" s="272"/>
      <c r="JW175" s="272">
        <f>IF(Foglio3!DN148=100000,"",Foglio3!DS148)</f>
        <v>0</v>
      </c>
      <c r="JX175" s="272">
        <f>IF(Foglio3!DN148=100000,"",Foglio3!DT148)</f>
        <v>0</v>
      </c>
      <c r="JY175" s="272">
        <f>IF(Foglio3!DN148=100000,"",Foglio3!DU148)</f>
        <v>0</v>
      </c>
      <c r="JZ175" s="272" t="e">
        <f>IF(Foglio3!DN148=100000,"",Foglio3!DV148)</f>
        <v>#NUM!</v>
      </c>
    </row>
    <row r="176" spans="5:286" x14ac:dyDescent="0.25">
      <c r="E176" s="240">
        <f>Foglio3!F156</f>
        <v>0</v>
      </c>
      <c r="F176" s="240">
        <f>Foglio3!G156</f>
        <v>0</v>
      </c>
      <c r="DU176" s="112"/>
      <c r="DV176" s="112"/>
      <c r="EX176" s="238"/>
      <c r="HW176" s="253" t="s">
        <v>187</v>
      </c>
      <c r="HX176" s="112" t="str">
        <f t="shared" si="217"/>
        <v>0/1/1900</v>
      </c>
      <c r="HY176" t="s">
        <v>188</v>
      </c>
      <c r="HZ176" s="112" t="str">
        <f t="shared" si="218"/>
        <v>0/1/1900</v>
      </c>
      <c r="IA176" t="s">
        <v>189</v>
      </c>
      <c r="IB176">
        <f t="shared" si="219"/>
        <v>0</v>
      </c>
      <c r="IC176" t="s">
        <v>192</v>
      </c>
      <c r="ID176">
        <f t="shared" si="220"/>
        <v>0</v>
      </c>
      <c r="IE176" t="s">
        <v>191</v>
      </c>
      <c r="IF176" s="254">
        <f t="shared" si="221"/>
        <v>0</v>
      </c>
      <c r="IK176" t="str">
        <f t="shared" si="222"/>
        <v/>
      </c>
      <c r="JP176">
        <f>IF(Foglio3!DM149=100000,0,IF(Foglio3!DM149="",0,1))</f>
        <v>0</v>
      </c>
      <c r="JQ176" s="314" t="str">
        <f xml:space="preserve">   IF(JP176=1,     Foglio3!DM149,IF(JP176=0,IF(JP175=1,"","")))</f>
        <v/>
      </c>
      <c r="JR176" s="314">
        <f>IF(          Foglio3!DN149=100000,"",Foglio3!DN149)</f>
        <v>0</v>
      </c>
      <c r="JS176" s="272">
        <f>IF(Foglio3!DN149=100000,"",Foglio3!DO149)</f>
        <v>0</v>
      </c>
      <c r="JT176" s="272">
        <f>IF(Foglio3!DN149=100000,"",Foglio3!DP149)</f>
        <v>0</v>
      </c>
      <c r="JU176" s="272">
        <f>IF(Foglio3!DN149=100000,"",Foglio3!DQ149)</f>
        <v>0</v>
      </c>
      <c r="JV176" s="272"/>
      <c r="JW176" s="272">
        <f>IF(Foglio3!DN149=100000,"",Foglio3!DS149)</f>
        <v>0</v>
      </c>
      <c r="JX176" s="272">
        <f>IF(Foglio3!DN149=100000,"",Foglio3!DT149)</f>
        <v>0</v>
      </c>
      <c r="JY176" s="272">
        <f>IF(Foglio3!DN149=100000,"",Foglio3!DU149)</f>
        <v>0</v>
      </c>
      <c r="JZ176" s="272">
        <f>IF(Foglio3!DN149=100000,"",Foglio3!DV149)</f>
        <v>0</v>
      </c>
    </row>
    <row r="177" spans="5:286" x14ac:dyDescent="0.25">
      <c r="E177" s="240">
        <f>Foglio3!F157</f>
        <v>0</v>
      </c>
      <c r="F177" s="240">
        <f>Foglio3!G157</f>
        <v>0</v>
      </c>
      <c r="DU177" s="112"/>
      <c r="DV177" s="112"/>
      <c r="EX177" s="238"/>
      <c r="HW177" s="253" t="s">
        <v>187</v>
      </c>
      <c r="HX177" s="112" t="str">
        <f t="shared" si="217"/>
        <v>0/1/1900</v>
      </c>
      <c r="HY177" t="s">
        <v>188</v>
      </c>
      <c r="HZ177" s="112" t="str">
        <f t="shared" si="218"/>
        <v>0/1/1900</v>
      </c>
      <c r="IA177" t="s">
        <v>189</v>
      </c>
      <c r="IB177">
        <f t="shared" si="219"/>
        <v>0</v>
      </c>
      <c r="IC177" t="s">
        <v>192</v>
      </c>
      <c r="ID177">
        <f t="shared" si="220"/>
        <v>0</v>
      </c>
      <c r="IE177" t="s">
        <v>191</v>
      </c>
      <c r="IF177" s="254">
        <f t="shared" si="221"/>
        <v>0</v>
      </c>
      <c r="IK177" t="str">
        <f t="shared" si="222"/>
        <v/>
      </c>
      <c r="JP177">
        <f>IF(Foglio3!DM150=100000,0,IF(Foglio3!DM150="",0,1))</f>
        <v>0</v>
      </c>
      <c r="JQ177" s="314" t="str">
        <f xml:space="preserve">   IF(JP177=1,     Foglio3!DM150,IF(JP177=0,IF(JP176=1,"","")))</f>
        <v/>
      </c>
      <c r="JR177" s="314">
        <f>IF(          Foglio3!DN150=100000,"",Foglio3!DN150)</f>
        <v>0</v>
      </c>
      <c r="JS177" s="272">
        <f>IF(Foglio3!DN150=100000,"",Foglio3!DO150)</f>
        <v>0</v>
      </c>
      <c r="JT177" s="272">
        <f>IF(Foglio3!DN150=100000,"",Foglio3!DP150)</f>
        <v>0</v>
      </c>
      <c r="JU177" s="272">
        <f>IF(Foglio3!DN150=100000,"",Foglio3!DQ150)</f>
        <v>0</v>
      </c>
      <c r="JV177" s="272"/>
      <c r="JW177" s="272">
        <f>IF(Foglio3!DN150=100000,"",Foglio3!DS150)</f>
        <v>0</v>
      </c>
      <c r="JX177" s="272">
        <f>IF(Foglio3!DN150=100000,"",Foglio3!DT150)</f>
        <v>0</v>
      </c>
      <c r="JY177" s="272">
        <f>IF(Foglio3!DN150=100000,"",Foglio3!DU150)</f>
        <v>0</v>
      </c>
      <c r="JZ177" s="272">
        <f>IF(Foglio3!DN150=100000,"",Foglio3!DV150)</f>
        <v>0</v>
      </c>
    </row>
    <row r="178" spans="5:286" x14ac:dyDescent="0.25">
      <c r="E178" s="240">
        <f>Foglio3!F158</f>
        <v>0</v>
      </c>
      <c r="F178" s="240">
        <f>Foglio3!G158</f>
        <v>0</v>
      </c>
      <c r="DU178" s="112"/>
      <c r="DV178" s="112"/>
      <c r="EX178" s="238"/>
      <c r="HW178" s="253" t="s">
        <v>187</v>
      </c>
      <c r="HX178" s="112" t="str">
        <f t="shared" si="217"/>
        <v>0/1/1900</v>
      </c>
      <c r="HY178" t="s">
        <v>188</v>
      </c>
      <c r="HZ178" s="112" t="str">
        <f t="shared" si="218"/>
        <v>0/1/1900</v>
      </c>
      <c r="IA178" t="s">
        <v>189</v>
      </c>
      <c r="IB178">
        <f t="shared" si="219"/>
        <v>0</v>
      </c>
      <c r="IC178" t="s">
        <v>192</v>
      </c>
      <c r="ID178">
        <f t="shared" si="220"/>
        <v>0</v>
      </c>
      <c r="IE178" t="s">
        <v>191</v>
      </c>
      <c r="IF178" s="254">
        <f t="shared" si="221"/>
        <v>0</v>
      </c>
      <c r="IK178" t="str">
        <f t="shared" si="222"/>
        <v/>
      </c>
      <c r="JP178">
        <f>IF(Foglio3!DM151=100000,0,IF(Foglio3!DM151="",0,1))</f>
        <v>0</v>
      </c>
      <c r="JQ178" s="314" t="str">
        <f xml:space="preserve">   IF(JP178=1,     Foglio3!DM151,IF(JP178=0,IF(JP177=1,"","")))</f>
        <v/>
      </c>
      <c r="JR178" s="314">
        <f>IF(          Foglio3!DN151=100000,"",Foglio3!DN151)</f>
        <v>0</v>
      </c>
      <c r="JS178" s="272">
        <f>IF(Foglio3!DN151=100000,"",Foglio3!DO151)</f>
        <v>0</v>
      </c>
      <c r="JT178" s="272">
        <f>IF(Foglio3!DN151=100000,"",Foglio3!DP151)</f>
        <v>0</v>
      </c>
      <c r="JU178" s="272">
        <f>IF(Foglio3!DN151=100000,"",Foglio3!DQ151)</f>
        <v>0</v>
      </c>
      <c r="JV178" s="272"/>
      <c r="JW178" s="272">
        <f>IF(Foglio3!DN151=100000,"",Foglio3!DS151)</f>
        <v>0</v>
      </c>
      <c r="JX178" s="272">
        <f>IF(Foglio3!DN151=100000,"",Foglio3!DT151)</f>
        <v>0</v>
      </c>
      <c r="JY178" s="272">
        <f>IF(Foglio3!DN151=100000,"",Foglio3!DU151)</f>
        <v>0</v>
      </c>
      <c r="JZ178" s="272">
        <f>IF(Foglio3!DN151=100000,"",Foglio3!DV151)</f>
        <v>0</v>
      </c>
    </row>
    <row r="179" spans="5:286" x14ac:dyDescent="0.25">
      <c r="E179" s="240">
        <f>Foglio3!F159</f>
        <v>0</v>
      </c>
      <c r="F179" s="240">
        <f>Foglio3!G159</f>
        <v>0</v>
      </c>
      <c r="DU179" s="112"/>
      <c r="DV179" s="112"/>
      <c r="EX179" s="238"/>
      <c r="IK179" t="str">
        <f t="shared" si="222"/>
        <v/>
      </c>
      <c r="JP179">
        <f>IF(Foglio3!DM152=100000,0,IF(Foglio3!DM152="",0,1))</f>
        <v>0</v>
      </c>
      <c r="JQ179" s="314" t="str">
        <f xml:space="preserve">   IF(JP179=1,     Foglio3!DM152,IF(JP179=0,IF(JP178=1,"","")))</f>
        <v/>
      </c>
      <c r="JR179" s="314">
        <f>IF(          Foglio3!DN152=100000,"",Foglio3!DN152)</f>
        <v>0</v>
      </c>
      <c r="JS179" s="272">
        <f>IF(Foglio3!DN152=100000,"",Foglio3!DO152)</f>
        <v>0</v>
      </c>
      <c r="JT179" s="272">
        <f>IF(Foglio3!DN152=100000,"",Foglio3!DP152)</f>
        <v>0</v>
      </c>
      <c r="JU179" s="272">
        <f>IF(Foglio3!DN152=100000,"",Foglio3!DQ152)</f>
        <v>0</v>
      </c>
      <c r="JV179" s="272"/>
      <c r="JW179" s="272">
        <f>IF(Foglio3!DN152=100000,"",Foglio3!DS152)</f>
        <v>0</v>
      </c>
      <c r="JX179" s="272">
        <f>IF(Foglio3!DN152=100000,"",Foglio3!DT152)</f>
        <v>0</v>
      </c>
      <c r="JY179" s="272">
        <f>IF(Foglio3!DN152=100000,"",Foglio3!DU152)</f>
        <v>0</v>
      </c>
      <c r="JZ179" s="272">
        <f>IF(Foglio3!DN152=100000,"",Foglio3!DV152)</f>
        <v>0</v>
      </c>
    </row>
    <row r="180" spans="5:286" x14ac:dyDescent="0.25">
      <c r="E180" s="240">
        <f>Foglio3!F160</f>
        <v>0</v>
      </c>
      <c r="F180" s="240">
        <f>Foglio3!G160</f>
        <v>0</v>
      </c>
      <c r="DU180" s="112"/>
      <c r="DV180" s="112"/>
      <c r="EX180" s="238"/>
      <c r="IV180" t="str">
        <f>CONCATENATE(IK180,IK181,IK182,IK183,IK184,IK185,IK186,IK187,IK188,IK189,IK190,IK191,IK192,IK193,IK194,I685,IK196,IK197,IK198,IK199,)</f>
        <v/>
      </c>
      <c r="JP180">
        <f>IF(Foglio3!DM153=100000,0,IF(Foglio3!DM153="",0,1))</f>
        <v>0</v>
      </c>
      <c r="JQ180" s="314" t="str">
        <f xml:space="preserve">   IF(JP180=1,     Foglio3!DM153,IF(JP180=0,IF(JP179=1,"","")))</f>
        <v/>
      </c>
      <c r="JR180" s="314">
        <f>IF(          Foglio3!DN153=100000,"",Foglio3!DN153)</f>
        <v>0</v>
      </c>
      <c r="JS180" s="272">
        <f>IF(Foglio3!DN153=100000,"",Foglio3!DO153)</f>
        <v>0</v>
      </c>
      <c r="JT180" s="272">
        <f>IF(Foglio3!DN153=100000,"",Foglio3!DP153)</f>
        <v>0</v>
      </c>
      <c r="JU180" s="272">
        <f>IF(Foglio3!DN153=100000,"",Foglio3!DQ153)</f>
        <v>0</v>
      </c>
      <c r="JV180" s="272"/>
      <c r="JW180" s="272">
        <f>IF(Foglio3!DN153=100000,"",Foglio3!DS153)</f>
        <v>0</v>
      </c>
      <c r="JX180" s="272">
        <f>IF(Foglio3!DN153=100000,"",Foglio3!DT153)</f>
        <v>0</v>
      </c>
      <c r="JY180" s="272">
        <f>IF(Foglio3!DN153=100000,"",Foglio3!DU153)</f>
        <v>0</v>
      </c>
      <c r="JZ180" s="272">
        <f>IF(Foglio3!DN153=100000,"",Foglio3!DV153)</f>
        <v>0</v>
      </c>
    </row>
    <row r="181" spans="5:286" x14ac:dyDescent="0.25">
      <c r="E181" s="240">
        <f>Foglio3!F161</f>
        <v>0</v>
      </c>
      <c r="F181" s="240">
        <f>Foglio3!G161</f>
        <v>0</v>
      </c>
      <c r="DU181" s="112"/>
      <c r="DV181" s="112"/>
      <c r="EX181" s="238"/>
      <c r="JP181">
        <f>IF(Foglio3!DM154=100000,0,IF(Foglio3!DM154="",0,1))</f>
        <v>0</v>
      </c>
      <c r="JQ181" s="314" t="str">
        <f xml:space="preserve">   IF(JP181=1,     Foglio3!DM154,IF(JP181=0,IF(JP180=1,"","")))</f>
        <v/>
      </c>
      <c r="JR181" s="314">
        <f>IF(          Foglio3!DN154=100000,"",Foglio3!DN154)</f>
        <v>0</v>
      </c>
      <c r="JS181" s="272">
        <f>IF(Foglio3!DN154=100000,"",Foglio3!DO154)</f>
        <v>0</v>
      </c>
      <c r="JT181" s="272">
        <f>IF(Foglio3!DN154=100000,"",Foglio3!DP154)</f>
        <v>0</v>
      </c>
      <c r="JU181" s="272">
        <f>IF(Foglio3!DN154=100000,"",Foglio3!DQ154)</f>
        <v>0</v>
      </c>
      <c r="JV181" s="272"/>
      <c r="JW181" s="272">
        <f>IF(Foglio3!DN154=100000,"",Foglio3!DS154)</f>
        <v>0</v>
      </c>
      <c r="JX181" s="272">
        <f>IF(Foglio3!DN154=100000,"",Foglio3!DT154)</f>
        <v>0</v>
      </c>
      <c r="JY181" s="272">
        <f>IF(Foglio3!DN154=100000,"",Foglio3!DU154)</f>
        <v>0</v>
      </c>
      <c r="JZ181" s="272">
        <f>IF(Foglio3!DN154=100000,"",Foglio3!DV154)</f>
        <v>0</v>
      </c>
    </row>
    <row r="182" spans="5:286" x14ac:dyDescent="0.25">
      <c r="E182" s="240">
        <f>Foglio3!F162</f>
        <v>0</v>
      </c>
      <c r="F182" s="240">
        <f>Foglio3!G162</f>
        <v>0</v>
      </c>
      <c r="DU182" s="112"/>
      <c r="DV182" s="112"/>
      <c r="EX182" s="238"/>
      <c r="JP182">
        <f>IF(Foglio3!DM155=100000,0,IF(Foglio3!DM155="",0,1))</f>
        <v>0</v>
      </c>
      <c r="JQ182" s="314" t="str">
        <f xml:space="preserve">   IF(JP182=1,     Foglio3!DM155,IF(JP182=0,IF(JP181=1,"","")))</f>
        <v/>
      </c>
      <c r="JR182" s="314">
        <f>IF(          Foglio3!DN155=100000,"",Foglio3!DN155)</f>
        <v>0</v>
      </c>
      <c r="JS182" s="272">
        <f>IF(Foglio3!DN155=100000,"",Foglio3!DO155)</f>
        <v>0</v>
      </c>
      <c r="JT182" s="272">
        <f>IF(Foglio3!DN155=100000,"",Foglio3!DP155)</f>
        <v>0</v>
      </c>
      <c r="JU182" s="272">
        <f>IF(Foglio3!DN155=100000,"",Foglio3!DQ155)</f>
        <v>0</v>
      </c>
      <c r="JV182" s="272"/>
      <c r="JW182" s="272">
        <f>IF(Foglio3!DN155=100000,"",Foglio3!DS155)</f>
        <v>0</v>
      </c>
      <c r="JX182" s="272">
        <f>IF(Foglio3!DN155=100000,"",Foglio3!DT155)</f>
        <v>0</v>
      </c>
      <c r="JY182" s="272">
        <f>IF(Foglio3!DN155=100000,"",Foglio3!DU155)</f>
        <v>0</v>
      </c>
      <c r="JZ182" s="272">
        <f>IF(Foglio3!DN155=100000,"",Foglio3!DV155)</f>
        <v>0</v>
      </c>
    </row>
    <row r="183" spans="5:286" x14ac:dyDescent="0.25">
      <c r="E183" s="240">
        <f>Foglio3!F163</f>
        <v>36280</v>
      </c>
      <c r="F183" s="240">
        <f>Foglio3!I163</f>
        <v>0</v>
      </c>
      <c r="DU183" s="112"/>
      <c r="DV183" s="112"/>
      <c r="EX183" s="238"/>
      <c r="JP183">
        <f>IF(Foglio3!DM156=100000,0,IF(Foglio3!DM156="",0,1))</f>
        <v>0</v>
      </c>
      <c r="JQ183" s="314" t="str">
        <f xml:space="preserve">   IF(JP183=1,     Foglio3!DM156,IF(JP183=0,IF(JP182=1,"","")))</f>
        <v/>
      </c>
      <c r="JR183" s="314">
        <f>IF(          Foglio3!DN156=100000,"",Foglio3!DN156)</f>
        <v>0</v>
      </c>
      <c r="JS183" s="272">
        <f>IF(Foglio3!DN156=100000,"",Foglio3!DO156)</f>
        <v>0</v>
      </c>
      <c r="JT183" s="272">
        <f>IF(Foglio3!DN156=100000,"",Foglio3!DP156)</f>
        <v>0</v>
      </c>
      <c r="JU183" s="272">
        <f>IF(Foglio3!DN156=100000,"",Foglio3!DQ156)</f>
        <v>0</v>
      </c>
      <c r="JV183" s="272"/>
      <c r="JW183" s="272">
        <f>IF(Foglio3!DN156=100000,"",Foglio3!DS156)</f>
        <v>0</v>
      </c>
      <c r="JX183" s="272">
        <f>IF(Foglio3!DN156=100000,"",Foglio3!DT156)</f>
        <v>0</v>
      </c>
      <c r="JY183" s="272">
        <f>IF(Foglio3!DN156=100000,"",Foglio3!DU156)</f>
        <v>0</v>
      </c>
      <c r="JZ183" s="272">
        <f>IF(Foglio3!DN156=100000,"",Foglio3!DV156)</f>
        <v>0</v>
      </c>
    </row>
    <row r="184" spans="5:286" x14ac:dyDescent="0.25">
      <c r="E184" s="240">
        <f>Foglio3!F164</f>
        <v>36321</v>
      </c>
      <c r="F184" s="240">
        <f>Foglio3!I164</f>
        <v>0</v>
      </c>
      <c r="DU184" s="112"/>
      <c r="DV184" s="112"/>
      <c r="EX184" s="238"/>
      <c r="JP184">
        <f>IF(Foglio3!DM157=100000,0,IF(Foglio3!DM157="",0,1))</f>
        <v>0</v>
      </c>
      <c r="JQ184" s="314" t="str">
        <f xml:space="preserve">   IF(JP184=1,     Foglio3!DM157,IF(JP184=0,IF(JP183=1,"","")))</f>
        <v/>
      </c>
      <c r="JR184" s="314">
        <f>IF(          Foglio3!DN157=100000,"",Foglio3!DN157)</f>
        <v>0</v>
      </c>
      <c r="JS184" s="272">
        <f>IF(Foglio3!DN157=100000,"",Foglio3!DO157)</f>
        <v>0</v>
      </c>
      <c r="JT184" s="272">
        <f>IF(Foglio3!DN157=100000,"",Foglio3!DP157)</f>
        <v>0</v>
      </c>
      <c r="JU184" s="272">
        <f>IF(Foglio3!DN157=100000,"",Foglio3!DQ157)</f>
        <v>0</v>
      </c>
      <c r="JV184" s="272"/>
      <c r="JW184" s="272">
        <f>IF(Foglio3!DN157=100000,"",Foglio3!DS157)</f>
        <v>0</v>
      </c>
      <c r="JX184" s="272">
        <f>IF(Foglio3!DN157=100000,"",Foglio3!DT157)</f>
        <v>0</v>
      </c>
      <c r="JY184" s="272">
        <f>IF(Foglio3!DN157=100000,"",Foglio3!DU157)</f>
        <v>0</v>
      </c>
      <c r="JZ184" s="272">
        <f>IF(Foglio3!DN157=100000,"",Foglio3!DV157)</f>
        <v>0</v>
      </c>
    </row>
    <row r="185" spans="5:286" x14ac:dyDescent="0.25">
      <c r="E185" s="240">
        <f>Foglio3!F165</f>
        <v>36325</v>
      </c>
      <c r="F185" s="240">
        <f>Foglio3!I165</f>
        <v>0</v>
      </c>
      <c r="DU185" s="112"/>
      <c r="DV185" s="112"/>
      <c r="EX185" s="238"/>
      <c r="JP185">
        <f>IF(Foglio3!DM158=100000,0,IF(Foglio3!DM158="",0,1))</f>
        <v>0</v>
      </c>
      <c r="JQ185" s="314" t="str">
        <f xml:space="preserve">   IF(JP185=1,     Foglio3!DM158,IF(JP185=0,IF(JP184=1,"","")))</f>
        <v/>
      </c>
      <c r="JR185" s="314">
        <f>IF(          Foglio3!DN158=100000,"",Foglio3!DN158)</f>
        <v>0</v>
      </c>
      <c r="JS185" s="272">
        <f>IF(Foglio3!DN158=100000,"",Foglio3!DO158)</f>
        <v>0</v>
      </c>
      <c r="JT185" s="272">
        <f>IF(Foglio3!DN158=100000,"",Foglio3!DP158)</f>
        <v>0</v>
      </c>
      <c r="JU185" s="272">
        <f>IF(Foglio3!DN158=100000,"",Foglio3!DQ158)</f>
        <v>0</v>
      </c>
      <c r="JV185" s="272"/>
      <c r="JW185" s="272">
        <f>IF(Foglio3!DN158=100000,"",Foglio3!DS158)</f>
        <v>0</v>
      </c>
      <c r="JX185" s="272">
        <f>IF(Foglio3!DN158=100000,"",Foglio3!DT158)</f>
        <v>0</v>
      </c>
      <c r="JY185" s="272">
        <f>IF(Foglio3!DN158=100000,"",Foglio3!DU158)</f>
        <v>0</v>
      </c>
      <c r="JZ185" s="272">
        <f>IF(Foglio3!DN158=100000,"",Foglio3!DV158)</f>
        <v>0</v>
      </c>
    </row>
    <row r="186" spans="5:286" x14ac:dyDescent="0.25">
      <c r="E186" s="240">
        <f>Foglio3!F166</f>
        <v>36433</v>
      </c>
      <c r="F186" s="240">
        <f>Foglio3!I166</f>
        <v>0</v>
      </c>
      <c r="DU186" s="112"/>
      <c r="DV186" s="112"/>
      <c r="EX186" s="238"/>
      <c r="JP186">
        <f>IF(Foglio3!DM159=100000,0,IF(Foglio3!DM159="",0,1))</f>
        <v>0</v>
      </c>
      <c r="JQ186" s="314" t="str">
        <f xml:space="preserve">   IF(JP186=1,     Foglio3!DM159,IF(JP186=0,IF(JP185=1,"","")))</f>
        <v/>
      </c>
      <c r="JR186" s="314">
        <f>IF(          Foglio3!DN159=100000,"",Foglio3!DN159)</f>
        <v>0</v>
      </c>
      <c r="JS186" s="272">
        <f>IF(Foglio3!DN159=100000,"",Foglio3!DO159)</f>
        <v>0</v>
      </c>
      <c r="JT186" s="272">
        <f>IF(Foglio3!DN159=100000,"",Foglio3!DP159)</f>
        <v>0</v>
      </c>
      <c r="JU186" s="272">
        <f>IF(Foglio3!DN159=100000,"",Foglio3!DQ159)</f>
        <v>0</v>
      </c>
      <c r="JV186" s="272"/>
      <c r="JW186" s="272">
        <f>IF(Foglio3!DN159=100000,"",Foglio3!DS159)</f>
        <v>0</v>
      </c>
      <c r="JX186" s="272">
        <f>IF(Foglio3!DN159=100000,"",Foglio3!DT159)</f>
        <v>0</v>
      </c>
      <c r="JY186" s="272">
        <f>IF(Foglio3!DN159=100000,"",Foglio3!DU159)</f>
        <v>0</v>
      </c>
      <c r="JZ186" s="272">
        <f>IF(Foglio3!DN159=100000,"",Foglio3!DV159)</f>
        <v>0</v>
      </c>
    </row>
    <row r="187" spans="5:286" x14ac:dyDescent="0.25">
      <c r="E187" s="240">
        <f>Foglio3!F167</f>
        <v>36454</v>
      </c>
      <c r="F187" s="240">
        <f>Foglio3!I167</f>
        <v>0</v>
      </c>
      <c r="DU187" s="112"/>
      <c r="DV187" s="112"/>
      <c r="EX187" s="238"/>
      <c r="JP187">
        <f>IF(Foglio3!DM160=100000,0,IF(Foglio3!DM160="",0,1))</f>
        <v>0</v>
      </c>
      <c r="JQ187" s="314" t="str">
        <f xml:space="preserve">   IF(JP187=1,     Foglio3!DM160,IF(JP187=0,IF(JP186=1,"","")))</f>
        <v/>
      </c>
      <c r="JR187" s="314">
        <f>IF(          Foglio3!DN160=100000,"",Foglio3!DN160)</f>
        <v>0</v>
      </c>
      <c r="JS187" s="272">
        <f>IF(Foglio3!DN160=100000,"",Foglio3!DO160)</f>
        <v>0</v>
      </c>
      <c r="JT187" s="272">
        <f>IF(Foglio3!DN160=100000,"",Foglio3!DP160)</f>
        <v>0</v>
      </c>
      <c r="JU187" s="272">
        <f>IF(Foglio3!DN160=100000,"",Foglio3!DQ160)</f>
        <v>0</v>
      </c>
      <c r="JV187" s="272"/>
      <c r="JW187" s="272">
        <f>IF(Foglio3!DN160=100000,"",Foglio3!DS160)</f>
        <v>0</v>
      </c>
      <c r="JX187" s="272">
        <f>IF(Foglio3!DN160=100000,"",Foglio3!DT160)</f>
        <v>0</v>
      </c>
      <c r="JY187" s="272">
        <f>IF(Foglio3!DN160=100000,"",Foglio3!DU160)</f>
        <v>0</v>
      </c>
      <c r="JZ187" s="272">
        <f>IF(Foglio3!DN160=100000,"",Foglio3!DV160)</f>
        <v>0</v>
      </c>
    </row>
    <row r="188" spans="5:286" x14ac:dyDescent="0.25">
      <c r="E188" s="240">
        <f>Foglio3!F168</f>
        <v>36769</v>
      </c>
      <c r="F188" s="240">
        <f>Foglio3!I168</f>
        <v>0</v>
      </c>
      <c r="DU188" s="112"/>
      <c r="DV188" s="112"/>
      <c r="EX188" s="238"/>
      <c r="JP188">
        <f>IF(Foglio3!DM161=100000,0,IF(Foglio3!DM161="",0,1))</f>
        <v>0</v>
      </c>
      <c r="JQ188" s="314" t="str">
        <f xml:space="preserve">   IF(JP188=1,     Foglio3!DM161,IF(JP188=0,IF(JP187=1,"","")))</f>
        <v/>
      </c>
      <c r="JR188" s="314">
        <f>IF(          Foglio3!DN161=100000,"",Foglio3!DN161)</f>
        <v>0</v>
      </c>
      <c r="JS188" s="272">
        <f>IF(Foglio3!DN161=100000,"",Foglio3!DO161)</f>
        <v>0</v>
      </c>
      <c r="JT188" s="272">
        <f>IF(Foglio3!DN161=100000,"",Foglio3!DP161)</f>
        <v>0</v>
      </c>
      <c r="JU188" s="272">
        <f>IF(Foglio3!DN161=100000,"",Foglio3!DQ161)</f>
        <v>0</v>
      </c>
      <c r="JV188" s="272"/>
      <c r="JW188" s="272">
        <f>IF(Foglio3!DN161=100000,"",Foglio3!DS161)</f>
        <v>0</v>
      </c>
      <c r="JX188" s="272">
        <f>IF(Foglio3!DN161=100000,"",Foglio3!DT161)</f>
        <v>0</v>
      </c>
      <c r="JY188" s="272">
        <f>IF(Foglio3!DN161=100000,"",Foglio3!DU161)</f>
        <v>0</v>
      </c>
      <c r="JZ188" s="272">
        <f>IF(Foglio3!DN161=100000,"",Foglio3!DV161)</f>
        <v>0</v>
      </c>
    </row>
    <row r="189" spans="5:286" x14ac:dyDescent="0.25">
      <c r="E189" s="240">
        <f>Foglio3!F169</f>
        <v>36920</v>
      </c>
      <c r="F189" s="240">
        <f>Foglio3!I169</f>
        <v>0</v>
      </c>
      <c r="DU189" s="112"/>
      <c r="DV189" s="112"/>
      <c r="EX189" s="238"/>
      <c r="JP189">
        <f>IF(Foglio3!DM162=100000,0,IF(Foglio3!DM162="",0,1))</f>
        <v>0</v>
      </c>
      <c r="JQ189" s="314" t="str">
        <f xml:space="preserve">   IF(JP189=1,     Foglio3!DM162,IF(JP189=0,IF(JP188=1,"","")))</f>
        <v/>
      </c>
      <c r="JR189" s="314">
        <f>IF(          Foglio3!DN162=100000,"",Foglio3!DN162)</f>
        <v>0</v>
      </c>
      <c r="JS189" s="272">
        <f>IF(Foglio3!DN162=100000,"",Foglio3!DO162)</f>
        <v>0</v>
      </c>
      <c r="JT189" s="272">
        <f>IF(Foglio3!DN162=100000,"",Foglio3!DP162)</f>
        <v>0</v>
      </c>
      <c r="JU189" s="272">
        <f>IF(Foglio3!DN162=100000,"",Foglio3!DQ162)</f>
        <v>0</v>
      </c>
      <c r="JV189" s="272"/>
      <c r="JW189" s="272">
        <f>IF(Foglio3!DN162=100000,"",Foglio3!DS162)</f>
        <v>0</v>
      </c>
      <c r="JX189" s="272">
        <f>IF(Foglio3!DN162=100000,"",Foglio3!DT162)</f>
        <v>0</v>
      </c>
      <c r="JY189" s="272">
        <f>IF(Foglio3!DN162=100000,"",Foglio3!DU162)</f>
        <v>0</v>
      </c>
      <c r="JZ189" s="272">
        <f>IF(Foglio3!DN162=100000,"",Foglio3!DV162)</f>
        <v>0</v>
      </c>
    </row>
    <row r="190" spans="5:286" x14ac:dyDescent="0.25">
      <c r="E190" s="240">
        <f>Foglio3!F170</f>
        <v>37072</v>
      </c>
      <c r="F190" s="240">
        <f>Foglio3!I170</f>
        <v>0</v>
      </c>
      <c r="DU190" s="112"/>
      <c r="DV190" s="112"/>
      <c r="EX190" s="238"/>
      <c r="JP190">
        <f>IF(Foglio3!DM163=100000,0,IF(Foglio3!DM163="",0,1))</f>
        <v>0</v>
      </c>
      <c r="JQ190" s="314" t="str">
        <f xml:space="preserve">   IF(JP190=1,     Foglio3!DM163,IF(JP190=0,IF(JP189=1,"","")))</f>
        <v/>
      </c>
      <c r="JR190" s="314" t="e">
        <f>IF(          Foglio3!DN163=100000,"",Foglio3!DN163)</f>
        <v>#NUM!</v>
      </c>
      <c r="JS190" s="272" t="e">
        <f>IF(Foglio3!DN163=100000,"",Foglio3!DO163)</f>
        <v>#NUM!</v>
      </c>
      <c r="JT190" s="272" t="e">
        <f>IF(Foglio3!DN163=100000,"",Foglio3!DP163)</f>
        <v>#NUM!</v>
      </c>
      <c r="JU190" s="272" t="e">
        <f>IF(Foglio3!DN163=100000,"",Foglio3!DQ163)</f>
        <v>#NUM!</v>
      </c>
      <c r="JV190" s="272"/>
      <c r="JW190" s="272" t="e">
        <f>IF(Foglio3!DN163=100000,"",Foglio3!DS163)</f>
        <v>#NUM!</v>
      </c>
      <c r="JX190" s="272" t="e">
        <f>IF(Foglio3!DN163=100000,"",Foglio3!DT163)</f>
        <v>#NUM!</v>
      </c>
      <c r="JY190" s="272" t="e">
        <f>IF(Foglio3!DN163=100000,"",Foglio3!DU163)</f>
        <v>#NUM!</v>
      </c>
      <c r="JZ190" s="272" t="e">
        <f>IF(Foglio3!DN163=100000,"",Foglio3!DV163)</f>
        <v>#NUM!</v>
      </c>
    </row>
    <row r="191" spans="5:286" x14ac:dyDescent="0.25">
      <c r="E191" s="240">
        <f>Foglio3!F171</f>
        <v>37437</v>
      </c>
      <c r="F191" s="240">
        <f>Foglio3!I171</f>
        <v>0</v>
      </c>
      <c r="DU191" s="112"/>
      <c r="DV191" s="112"/>
      <c r="EX191" s="238"/>
      <c r="JP191">
        <f>IF(Foglio3!DM164=100000,0,IF(Foglio3!DM164="",0,1))</f>
        <v>0</v>
      </c>
      <c r="JQ191" s="314" t="str">
        <f xml:space="preserve">   IF(JP191=1,     Foglio3!DM164,IF(JP191=0,IF(JP190=1,"","")))</f>
        <v/>
      </c>
      <c r="JR191" s="314" t="e">
        <f>IF(          Foglio3!DN164=100000,"",Foglio3!DN164)</f>
        <v>#NUM!</v>
      </c>
      <c r="JS191" s="272" t="e">
        <f>IF(Foglio3!DN164=100000,"",Foglio3!DO164)</f>
        <v>#NUM!</v>
      </c>
      <c r="JT191" s="272" t="e">
        <f>IF(Foglio3!DN164=100000,"",Foglio3!DP164)</f>
        <v>#NUM!</v>
      </c>
      <c r="JU191" s="272" t="e">
        <f>IF(Foglio3!DN164=100000,"",Foglio3!DQ164)</f>
        <v>#NUM!</v>
      </c>
      <c r="JV191" s="272"/>
      <c r="JW191" s="272" t="e">
        <f>IF(Foglio3!DN164=100000,"",Foglio3!DS164)</f>
        <v>#NUM!</v>
      </c>
      <c r="JX191" s="272" t="e">
        <f>IF(Foglio3!DN164=100000,"",Foglio3!DT164)</f>
        <v>#NUM!</v>
      </c>
      <c r="JY191" s="272" t="e">
        <f>IF(Foglio3!DN164=100000,"",Foglio3!DU164)</f>
        <v>#NUM!</v>
      </c>
      <c r="JZ191" s="272" t="e">
        <f>IF(Foglio3!DN164=100000,"",Foglio3!DV164)</f>
        <v>#NUM!</v>
      </c>
    </row>
    <row r="192" spans="5:286" x14ac:dyDescent="0.25">
      <c r="E192" s="240">
        <f>Foglio3!F172</f>
        <v>37200</v>
      </c>
      <c r="F192" s="240">
        <f>Foglio3!I172</f>
        <v>0</v>
      </c>
      <c r="DU192" s="112"/>
      <c r="DV192" s="112"/>
      <c r="EX192" s="238"/>
      <c r="JP192">
        <f>IF(Foglio3!DM165=100000,0,IF(Foglio3!DM165="",0,1))</f>
        <v>0</v>
      </c>
      <c r="JQ192" s="314" t="str">
        <f xml:space="preserve">   IF(JP192=1,     Foglio3!DM165,IF(JP192=0,IF(JP191=1,"","")))</f>
        <v/>
      </c>
      <c r="JR192" s="314" t="e">
        <f>IF(          Foglio3!DN165=100000,"",Foglio3!DN165)</f>
        <v>#NUM!</v>
      </c>
      <c r="JS192" s="272" t="e">
        <f>IF(Foglio3!DN165=100000,"",Foglio3!DO165)</f>
        <v>#NUM!</v>
      </c>
      <c r="JT192" s="272" t="e">
        <f>IF(Foglio3!DN165=100000,"",Foglio3!DP165)</f>
        <v>#NUM!</v>
      </c>
      <c r="JU192" s="272" t="e">
        <f>IF(Foglio3!DN165=100000,"",Foglio3!DQ165)</f>
        <v>#NUM!</v>
      </c>
      <c r="JV192" s="272"/>
      <c r="JW192" s="272" t="e">
        <f>IF(Foglio3!DN165=100000,"",Foglio3!DS165)</f>
        <v>#NUM!</v>
      </c>
      <c r="JX192" s="272" t="e">
        <f>IF(Foglio3!DN165=100000,"",Foglio3!DT165)</f>
        <v>#NUM!</v>
      </c>
      <c r="JY192" s="272" t="e">
        <f>IF(Foglio3!DN165=100000,"",Foglio3!DU165)</f>
        <v>#NUM!</v>
      </c>
      <c r="JZ192" s="272" t="e">
        <f>IF(Foglio3!DN165=100000,"",Foglio3!DV165)</f>
        <v>#NUM!</v>
      </c>
    </row>
    <row r="193" spans="5:286" x14ac:dyDescent="0.25">
      <c r="E193" s="240">
        <f>Foglio3!F173</f>
        <v>37200</v>
      </c>
      <c r="F193" s="240">
        <f>Foglio3!I173</f>
        <v>0</v>
      </c>
      <c r="DU193" s="112"/>
      <c r="DV193" s="112"/>
      <c r="EX193" s="238"/>
      <c r="JP193">
        <f>IF(Foglio3!DM166=100000,0,IF(Foglio3!DM166="",0,1))</f>
        <v>0</v>
      </c>
      <c r="JQ193" s="314" t="str">
        <f xml:space="preserve">   IF(JP193=1,     Foglio3!DM166,IF(JP193=0,IF(JP192=1,"","")))</f>
        <v/>
      </c>
      <c r="JR193" s="314" t="e">
        <f>IF(          Foglio3!DN166=100000,"",Foglio3!DN166)</f>
        <v>#NUM!</v>
      </c>
      <c r="JS193" s="272" t="e">
        <f>IF(Foglio3!DN166=100000,"",Foglio3!DO166)</f>
        <v>#NUM!</v>
      </c>
      <c r="JT193" s="272" t="e">
        <f>IF(Foglio3!DN166=100000,"",Foglio3!DP166)</f>
        <v>#NUM!</v>
      </c>
      <c r="JU193" s="272" t="e">
        <f>IF(Foglio3!DN166=100000,"",Foglio3!DQ166)</f>
        <v>#NUM!</v>
      </c>
      <c r="JV193" s="272"/>
      <c r="JW193" s="272" t="e">
        <f>IF(Foglio3!DN166=100000,"",Foglio3!DS166)</f>
        <v>#NUM!</v>
      </c>
      <c r="JX193" s="272" t="e">
        <f>IF(Foglio3!DN166=100000,"",Foglio3!DT166)</f>
        <v>#NUM!</v>
      </c>
      <c r="JY193" s="272" t="e">
        <f>IF(Foglio3!DN166=100000,"",Foglio3!DU166)</f>
        <v>#NUM!</v>
      </c>
      <c r="JZ193" s="272" t="e">
        <f>IF(Foglio3!DN166=100000,"",Foglio3!DV166)</f>
        <v>#NUM!</v>
      </c>
    </row>
    <row r="194" spans="5:286" x14ac:dyDescent="0.25">
      <c r="E194" s="240">
        <f>Foglio3!F174</f>
        <v>37437</v>
      </c>
      <c r="F194" s="240">
        <f>Foglio3!I174</f>
        <v>0</v>
      </c>
      <c r="DU194" s="112"/>
      <c r="DV194" s="112"/>
      <c r="EX194" s="238"/>
      <c r="JP194">
        <f>IF(Foglio3!DM167=100000,0,IF(Foglio3!DM167="",0,1))</f>
        <v>0</v>
      </c>
      <c r="JQ194" s="314" t="str">
        <f xml:space="preserve">   IF(JP194=1,     Foglio3!DM167,IF(JP194=0,IF(JP193=1,"","")))</f>
        <v/>
      </c>
      <c r="JR194" s="314" t="e">
        <f>IF(          Foglio3!DN167=100000,"",Foglio3!DN167)</f>
        <v>#NUM!</v>
      </c>
      <c r="JS194" s="272" t="e">
        <f>IF(Foglio3!DN167=100000,"",Foglio3!DO167)</f>
        <v>#NUM!</v>
      </c>
      <c r="JT194" s="272" t="e">
        <f>IF(Foglio3!DN167=100000,"",Foglio3!DP167)</f>
        <v>#NUM!</v>
      </c>
      <c r="JU194" s="272" t="e">
        <f>IF(Foglio3!DN167=100000,"",Foglio3!DQ167)</f>
        <v>#NUM!</v>
      </c>
      <c r="JV194" s="272"/>
      <c r="JW194" s="272" t="e">
        <f>IF(Foglio3!DN167=100000,"",Foglio3!DS167)</f>
        <v>#NUM!</v>
      </c>
      <c r="JX194" s="272" t="e">
        <f>IF(Foglio3!DN167=100000,"",Foglio3!DT167)</f>
        <v>#NUM!</v>
      </c>
      <c r="JY194" s="272" t="e">
        <f>IF(Foglio3!DN167=100000,"",Foglio3!DU167)</f>
        <v>#NUM!</v>
      </c>
      <c r="JZ194" s="272" t="e">
        <f>IF(Foglio3!DN167=100000,"",Foglio3!DV167)</f>
        <v>#NUM!</v>
      </c>
    </row>
    <row r="195" spans="5:286" x14ac:dyDescent="0.25">
      <c r="E195" s="240">
        <f>Foglio3!F175</f>
        <v>37282</v>
      </c>
      <c r="F195" s="240">
        <f>Foglio3!I175</f>
        <v>0</v>
      </c>
      <c r="DU195" s="112"/>
      <c r="DV195" s="112"/>
      <c r="EX195" s="238"/>
      <c r="JP195">
        <f>IF(Foglio3!DM168=100000,0,IF(Foglio3!DM168="",0,1))</f>
        <v>0</v>
      </c>
      <c r="JQ195" s="314" t="str">
        <f xml:space="preserve">   IF(JP195=1,     Foglio3!DM168,IF(JP195=0,IF(JP194=1,"","")))</f>
        <v/>
      </c>
      <c r="JR195" s="314" t="e">
        <f>IF(          Foglio3!DN168=100000,"",Foglio3!DN168)</f>
        <v>#NUM!</v>
      </c>
      <c r="JS195" s="272" t="e">
        <f>IF(Foglio3!DN168=100000,"",Foglio3!DO168)</f>
        <v>#NUM!</v>
      </c>
      <c r="JT195" s="272" t="e">
        <f>IF(Foglio3!DN168=100000,"",Foglio3!DP168)</f>
        <v>#NUM!</v>
      </c>
      <c r="JU195" s="272" t="e">
        <f>IF(Foglio3!DN168=100000,"",Foglio3!DQ168)</f>
        <v>#NUM!</v>
      </c>
      <c r="JV195" s="272"/>
      <c r="JW195" s="272" t="e">
        <f>IF(Foglio3!DN168=100000,"",Foglio3!DS168)</f>
        <v>#NUM!</v>
      </c>
      <c r="JX195" s="272" t="e">
        <f>IF(Foglio3!DN168=100000,"",Foglio3!DT168)</f>
        <v>#NUM!</v>
      </c>
      <c r="JY195" s="272" t="e">
        <f>IF(Foglio3!DN168=100000,"",Foglio3!DU168)</f>
        <v>#NUM!</v>
      </c>
      <c r="JZ195" s="272" t="e">
        <f>IF(Foglio3!DN168=100000,"",Foglio3!DV168)</f>
        <v>#NUM!</v>
      </c>
    </row>
    <row r="196" spans="5:286" x14ac:dyDescent="0.25">
      <c r="E196" s="240">
        <f>Foglio3!F176</f>
        <v>37437</v>
      </c>
      <c r="F196" s="240">
        <f>Foglio3!I176</f>
        <v>0</v>
      </c>
      <c r="DU196" s="112"/>
      <c r="DV196" s="112"/>
      <c r="EX196" s="238"/>
      <c r="JP196">
        <f>IF(Foglio3!DM169=100000,0,IF(Foglio3!DM169="",0,1))</f>
        <v>0</v>
      </c>
      <c r="JQ196" s="314" t="str">
        <f xml:space="preserve">   IF(JP196=1,     Foglio3!DM169,IF(JP196=0,IF(JP195=1,"","")))</f>
        <v/>
      </c>
      <c r="JR196" s="314" t="e">
        <f>IF(          Foglio3!DN169=100000,"",Foglio3!DN169)</f>
        <v>#NUM!</v>
      </c>
      <c r="JS196" s="272" t="e">
        <f>IF(Foglio3!DN169=100000,"",Foglio3!DO169)</f>
        <v>#NUM!</v>
      </c>
      <c r="JT196" s="272" t="e">
        <f>IF(Foglio3!DN169=100000,"",Foglio3!DP169)</f>
        <v>#NUM!</v>
      </c>
      <c r="JU196" s="272" t="e">
        <f>IF(Foglio3!DN169=100000,"",Foglio3!DQ169)</f>
        <v>#NUM!</v>
      </c>
      <c r="JV196" s="272"/>
      <c r="JW196" s="272" t="e">
        <f>IF(Foglio3!DN169=100000,"",Foglio3!DS169)</f>
        <v>#NUM!</v>
      </c>
      <c r="JX196" s="272" t="e">
        <f>IF(Foglio3!DN169=100000,"",Foglio3!DT169)</f>
        <v>#NUM!</v>
      </c>
      <c r="JY196" s="272" t="e">
        <f>IF(Foglio3!DN169=100000,"",Foglio3!DU169)</f>
        <v>#NUM!</v>
      </c>
      <c r="JZ196" s="272" t="e">
        <f>IF(Foglio3!DN169=100000,"",Foglio3!DV169)</f>
        <v>#NUM!</v>
      </c>
    </row>
    <row r="197" spans="5:286" x14ac:dyDescent="0.25">
      <c r="E197" s="240">
        <f>Foglio3!F177</f>
        <v>37551</v>
      </c>
      <c r="F197" s="240">
        <f>Foglio3!I177</f>
        <v>0</v>
      </c>
      <c r="DU197" s="112"/>
      <c r="DV197" s="112"/>
      <c r="EX197" s="238"/>
      <c r="JP197">
        <f>IF(Foglio3!DM170=100000,0,IF(Foglio3!DM170="",0,1))</f>
        <v>0</v>
      </c>
      <c r="JQ197" s="314" t="str">
        <f xml:space="preserve">   IF(JP197=1,     Foglio3!DM170,IF(JP197=0,IF(JP196=1,"","")))</f>
        <v/>
      </c>
      <c r="JR197" s="314" t="e">
        <f>IF(          Foglio3!DN170=100000,"",Foglio3!DN170)</f>
        <v>#NUM!</v>
      </c>
      <c r="JS197" s="272" t="e">
        <f>IF(Foglio3!DN170=100000,"",Foglio3!DO170)</f>
        <v>#NUM!</v>
      </c>
      <c r="JT197" s="272" t="e">
        <f>IF(Foglio3!DN170=100000,"",Foglio3!DP170)</f>
        <v>#NUM!</v>
      </c>
      <c r="JU197" s="272" t="e">
        <f>IF(Foglio3!DN170=100000,"",Foglio3!DQ170)</f>
        <v>#NUM!</v>
      </c>
      <c r="JV197" s="272"/>
      <c r="JW197" s="272" t="e">
        <f>IF(Foglio3!DN170=100000,"",Foglio3!DS170)</f>
        <v>#NUM!</v>
      </c>
      <c r="JX197" s="272" t="e">
        <f>IF(Foglio3!DN170=100000,"",Foglio3!DT170)</f>
        <v>#NUM!</v>
      </c>
      <c r="JY197" s="272" t="e">
        <f>IF(Foglio3!DN170=100000,"",Foglio3!DU170)</f>
        <v>#NUM!</v>
      </c>
      <c r="JZ197" s="272" t="e">
        <f>IF(Foglio3!DN170=100000,"",Foglio3!DV170)</f>
        <v>#NUM!</v>
      </c>
    </row>
    <row r="198" spans="5:286" x14ac:dyDescent="0.25">
      <c r="E198" s="240">
        <f>Foglio3!F178</f>
        <v>37574</v>
      </c>
      <c r="F198" s="240">
        <f>Foglio3!I178</f>
        <v>0</v>
      </c>
      <c r="DU198" s="112"/>
      <c r="DV198" s="112"/>
      <c r="EX198" s="238"/>
      <c r="JP198">
        <f>IF(Foglio3!DM171=100000,0,IF(Foglio3!DM171="",0,1))</f>
        <v>0</v>
      </c>
      <c r="JQ198" s="314" t="str">
        <f xml:space="preserve">   IF(JP198=1,     Foglio3!DM171,IF(JP198=0,IF(JP197=1,"","")))</f>
        <v/>
      </c>
      <c r="JR198" s="314" t="e">
        <f>IF(          Foglio3!DN171=100000,"",Foglio3!DN171)</f>
        <v>#NUM!</v>
      </c>
      <c r="JS198" s="272" t="e">
        <f>IF(Foglio3!DN171=100000,"",Foglio3!DO171)</f>
        <v>#NUM!</v>
      </c>
      <c r="JT198" s="272" t="e">
        <f>IF(Foglio3!DN171=100000,"",Foglio3!DP171)</f>
        <v>#NUM!</v>
      </c>
      <c r="JU198" s="272" t="e">
        <f>IF(Foglio3!DN171=100000,"",Foglio3!DQ171)</f>
        <v>#NUM!</v>
      </c>
      <c r="JV198" s="272"/>
      <c r="JW198" s="272" t="e">
        <f>IF(Foglio3!DN171=100000,"",Foglio3!DS171)</f>
        <v>#NUM!</v>
      </c>
      <c r="JX198" s="272" t="e">
        <f>IF(Foglio3!DN171=100000,"",Foglio3!DT171)</f>
        <v>#NUM!</v>
      </c>
      <c r="JY198" s="272" t="e">
        <f>IF(Foglio3!DN171=100000,"",Foglio3!DU171)</f>
        <v>#NUM!</v>
      </c>
      <c r="JZ198" s="272" t="e">
        <f>IF(Foglio3!DN171=100000,"",Foglio3!DV171)</f>
        <v>#NUM!</v>
      </c>
    </row>
    <row r="199" spans="5:286" x14ac:dyDescent="0.25">
      <c r="E199" s="240">
        <f>Foglio3!F179</f>
        <v>37663</v>
      </c>
      <c r="F199" s="240">
        <f>Foglio3!I179</f>
        <v>0</v>
      </c>
      <c r="DU199" s="112"/>
      <c r="DV199" s="112"/>
      <c r="EX199" s="238"/>
      <c r="JP199">
        <f>IF(Foglio3!DM172=100000,0,IF(Foglio3!DM172="",0,1))</f>
        <v>0</v>
      </c>
      <c r="JQ199" s="314" t="str">
        <f xml:space="preserve">   IF(JP199=1,     Foglio3!DM172,IF(JP199=0,IF(JP198=1,"","")))</f>
        <v/>
      </c>
      <c r="JR199" s="314" t="e">
        <f>IF(          Foglio3!DN172=100000,"",Foglio3!DN172)</f>
        <v>#NUM!</v>
      </c>
      <c r="JS199" s="272" t="e">
        <f>IF(Foglio3!DN172=100000,"",Foglio3!DO172)</f>
        <v>#NUM!</v>
      </c>
      <c r="JT199" s="272" t="e">
        <f>IF(Foglio3!DN172=100000,"",Foglio3!DP172)</f>
        <v>#NUM!</v>
      </c>
      <c r="JU199" s="272" t="e">
        <f>IF(Foglio3!DN172=100000,"",Foglio3!DQ172)</f>
        <v>#NUM!</v>
      </c>
      <c r="JV199" s="272"/>
      <c r="JW199" s="272" t="e">
        <f>IF(Foglio3!DN172=100000,"",Foglio3!DS172)</f>
        <v>#NUM!</v>
      </c>
      <c r="JX199" s="272" t="e">
        <f>IF(Foglio3!DN172=100000,"",Foglio3!DT172)</f>
        <v>#NUM!</v>
      </c>
      <c r="JY199" s="272" t="e">
        <f>IF(Foglio3!DN172=100000,"",Foglio3!DU172)</f>
        <v>#NUM!</v>
      </c>
      <c r="JZ199" s="272" t="e">
        <f>IF(Foglio3!DN172=100000,"",Foglio3!DV172)</f>
        <v>#NUM!</v>
      </c>
    </row>
    <row r="200" spans="5:286" x14ac:dyDescent="0.25">
      <c r="E200" s="240">
        <f>Foglio3!F180</f>
        <v>37783</v>
      </c>
      <c r="F200" s="240">
        <f>Foglio3!I180</f>
        <v>0</v>
      </c>
      <c r="DU200" s="112"/>
      <c r="DV200" s="112"/>
      <c r="EX200" s="238"/>
      <c r="IV200" t="str">
        <f>CONCATENATE(IK200,IK201,IK202,IK203,IK204,IK205,IK206,IK207,IK208,IK209,IK210,IK211,IK212,IK213,IK214,I705,IK216,IK217,IK218,IK219,)</f>
        <v/>
      </c>
      <c r="JP200">
        <f>IF(Foglio3!DM173=100000,0,IF(Foglio3!DM173="",0,1))</f>
        <v>0</v>
      </c>
      <c r="JQ200" s="314" t="str">
        <f xml:space="preserve">   IF(JP200=1,     Foglio3!DM173,IF(JP200=0,IF(JP199=1,"","")))</f>
        <v/>
      </c>
      <c r="JR200" s="314" t="e">
        <f>IF(          Foglio3!DN173=100000,"",Foglio3!DN173)</f>
        <v>#NUM!</v>
      </c>
      <c r="JS200" s="272" t="e">
        <f>IF(Foglio3!DN173=100000,"",Foglio3!DO173)</f>
        <v>#NUM!</v>
      </c>
      <c r="JT200" s="272" t="e">
        <f>IF(Foglio3!DN173=100000,"",Foglio3!DP173)</f>
        <v>#NUM!</v>
      </c>
      <c r="JU200" s="272" t="e">
        <f>IF(Foglio3!DN173=100000,"",Foglio3!DQ173)</f>
        <v>#NUM!</v>
      </c>
      <c r="JV200" s="272"/>
      <c r="JW200" s="272" t="e">
        <f>IF(Foglio3!DN173=100000,"",Foglio3!DS173)</f>
        <v>#NUM!</v>
      </c>
      <c r="JX200" s="272" t="e">
        <f>IF(Foglio3!DN173=100000,"",Foglio3!DT173)</f>
        <v>#NUM!</v>
      </c>
      <c r="JY200" s="272" t="e">
        <f>IF(Foglio3!DN173=100000,"",Foglio3!DU173)</f>
        <v>#NUM!</v>
      </c>
      <c r="JZ200" s="272" t="e">
        <f>IF(Foglio3!DN173=100000,"",Foglio3!DV173)</f>
        <v>#NUM!</v>
      </c>
    </row>
    <row r="201" spans="5:286" x14ac:dyDescent="0.25">
      <c r="E201" s="240">
        <f>Foglio3!F181</f>
        <v>37786</v>
      </c>
      <c r="F201" s="240">
        <f>Foglio3!I181</f>
        <v>0</v>
      </c>
      <c r="DU201" s="112"/>
      <c r="DV201" s="112"/>
      <c r="EX201" s="238"/>
      <c r="JP201">
        <f>IF(Foglio3!DM174=100000,0,IF(Foglio3!DM174="",0,1))</f>
        <v>0</v>
      </c>
      <c r="JQ201" s="314" t="str">
        <f xml:space="preserve">   IF(JP201=1,     Foglio3!DM174,IF(JP201=0,IF(JP200=1,"","")))</f>
        <v/>
      </c>
      <c r="JR201" s="314" t="e">
        <f>IF(          Foglio3!DN174=100000,"",Foglio3!DN174)</f>
        <v>#NUM!</v>
      </c>
      <c r="JS201" s="272" t="e">
        <f>IF(Foglio3!DN174=100000,"",Foglio3!DO174)</f>
        <v>#NUM!</v>
      </c>
      <c r="JT201" s="272" t="e">
        <f>IF(Foglio3!DN174=100000,"",Foglio3!DP174)</f>
        <v>#NUM!</v>
      </c>
      <c r="JU201" s="272" t="e">
        <f>IF(Foglio3!DN174=100000,"",Foglio3!DQ174)</f>
        <v>#NUM!</v>
      </c>
      <c r="JV201" s="272"/>
      <c r="JW201" s="272" t="e">
        <f>IF(Foglio3!DN174=100000,"",Foglio3!DS174)</f>
        <v>#NUM!</v>
      </c>
      <c r="JX201" s="272" t="e">
        <f>IF(Foglio3!DN174=100000,"",Foglio3!DT174)</f>
        <v>#NUM!</v>
      </c>
      <c r="JY201" s="272" t="e">
        <f>IF(Foglio3!DN174=100000,"",Foglio3!DU174)</f>
        <v>#NUM!</v>
      </c>
      <c r="JZ201" s="272" t="e">
        <f>IF(Foglio3!DN174=100000,"",Foglio3!DV174)</f>
        <v>#NUM!</v>
      </c>
    </row>
    <row r="202" spans="5:286" x14ac:dyDescent="0.25">
      <c r="E202" s="240">
        <f>Foglio3!F182</f>
        <v>38168</v>
      </c>
      <c r="F202" s="240">
        <f>Foglio3!I182</f>
        <v>0</v>
      </c>
      <c r="DU202" s="112"/>
      <c r="DV202" s="112"/>
      <c r="EX202" s="238"/>
      <c r="JP202">
        <f>IF(Foglio3!DM175=100000,0,IF(Foglio3!DM175="",0,1))</f>
        <v>0</v>
      </c>
      <c r="JQ202" s="314" t="str">
        <f xml:space="preserve">   IF(JP202=1,     Foglio3!DM175,IF(JP202=0,IF(JP201=1,"","")))</f>
        <v/>
      </c>
      <c r="JR202" s="314" t="e">
        <f>IF(          Foglio3!DN175=100000,"",Foglio3!DN175)</f>
        <v>#NUM!</v>
      </c>
      <c r="JS202" s="272" t="e">
        <f>IF(Foglio3!DN175=100000,"",Foglio3!DO175)</f>
        <v>#NUM!</v>
      </c>
      <c r="JT202" s="272" t="e">
        <f>IF(Foglio3!DN175=100000,"",Foglio3!DP175)</f>
        <v>#NUM!</v>
      </c>
      <c r="JU202" s="272" t="e">
        <f>IF(Foglio3!DN175=100000,"",Foglio3!DQ175)</f>
        <v>#NUM!</v>
      </c>
      <c r="JV202" s="272"/>
      <c r="JW202" s="272" t="e">
        <f>IF(Foglio3!DN175=100000,"",Foglio3!DS175)</f>
        <v>#NUM!</v>
      </c>
      <c r="JX202" s="272" t="e">
        <f>IF(Foglio3!DN175=100000,"",Foglio3!DT175)</f>
        <v>#NUM!</v>
      </c>
      <c r="JY202" s="272" t="e">
        <f>IF(Foglio3!DN175=100000,"",Foglio3!DU175)</f>
        <v>#NUM!</v>
      </c>
      <c r="JZ202" s="272" t="e">
        <f>IF(Foglio3!DN175=100000,"",Foglio3!DV175)</f>
        <v>#NUM!</v>
      </c>
    </row>
    <row r="203" spans="5:286" x14ac:dyDescent="0.25">
      <c r="E203" s="240">
        <f>Foglio3!F183</f>
        <v>38551</v>
      </c>
      <c r="F203" s="240">
        <f>Foglio3!I183</f>
        <v>0</v>
      </c>
      <c r="DU203" s="112"/>
      <c r="DV203" s="112"/>
      <c r="EX203" s="238"/>
      <c r="JP203">
        <f>IF(Foglio3!DM176=100000,0,IF(Foglio3!DM176="",0,1))</f>
        <v>0</v>
      </c>
      <c r="JQ203" s="314" t="str">
        <f xml:space="preserve">   IF(JP203=1,     Foglio3!DM176,IF(JP203=0,IF(JP202=1,"","")))</f>
        <v/>
      </c>
      <c r="JR203" s="314" t="e">
        <f>IF(          Foglio3!DN176=100000,"",Foglio3!DN176)</f>
        <v>#NUM!</v>
      </c>
      <c r="JS203" s="272" t="e">
        <f>IF(Foglio3!DN176=100000,"",Foglio3!DO176)</f>
        <v>#NUM!</v>
      </c>
      <c r="JT203" s="272" t="e">
        <f>IF(Foglio3!DN176=100000,"",Foglio3!DP176)</f>
        <v>#NUM!</v>
      </c>
      <c r="JU203" s="272" t="e">
        <f>IF(Foglio3!DN176=100000,"",Foglio3!DQ176)</f>
        <v>#NUM!</v>
      </c>
      <c r="JV203" s="272"/>
      <c r="JW203" s="272" t="e">
        <f>IF(Foglio3!DN176=100000,"",Foglio3!DS176)</f>
        <v>#NUM!</v>
      </c>
      <c r="JX203" s="272" t="e">
        <f>IF(Foglio3!DN176=100000,"",Foglio3!DT176)</f>
        <v>#NUM!</v>
      </c>
      <c r="JY203" s="272" t="e">
        <f>IF(Foglio3!DN176=100000,"",Foglio3!DU176)</f>
        <v>#NUM!</v>
      </c>
      <c r="JZ203" s="272" t="e">
        <f>IF(Foglio3!DN176=100000,"",Foglio3!DV176)</f>
        <v>#NUM!</v>
      </c>
    </row>
    <row r="204" spans="5:286" x14ac:dyDescent="0.25">
      <c r="E204" s="240">
        <f>Foglio3!F184</f>
        <v>38919</v>
      </c>
      <c r="F204" s="240">
        <f>Foglio3!I184</f>
        <v>0</v>
      </c>
      <c r="DU204" s="112"/>
      <c r="DV204" s="112"/>
      <c r="EX204" s="238"/>
      <c r="JP204">
        <f>IF(Foglio3!DM177=100000,0,IF(Foglio3!DM177="",0,1))</f>
        <v>0</v>
      </c>
      <c r="JQ204" s="314" t="str">
        <f xml:space="preserve">   IF(JP204=1,     Foglio3!DM177,IF(JP204=0,IF(JP203=1,"","")))</f>
        <v/>
      </c>
      <c r="JR204" s="314" t="e">
        <f>IF(          Foglio3!DN177=100000,"",Foglio3!DN177)</f>
        <v>#NUM!</v>
      </c>
      <c r="JS204" s="272" t="e">
        <f>IF(Foglio3!DN177=100000,"",Foglio3!DO177)</f>
        <v>#NUM!</v>
      </c>
      <c r="JT204" s="272" t="e">
        <f>IF(Foglio3!DN177=100000,"",Foglio3!DP177)</f>
        <v>#NUM!</v>
      </c>
      <c r="JU204" s="272" t="e">
        <f>IF(Foglio3!DN177=100000,"",Foglio3!DQ177)</f>
        <v>#NUM!</v>
      </c>
      <c r="JV204" s="272"/>
      <c r="JW204" s="272" t="e">
        <f>IF(Foglio3!DN177=100000,"",Foglio3!DS177)</f>
        <v>#NUM!</v>
      </c>
      <c r="JX204" s="272" t="e">
        <f>IF(Foglio3!DN177=100000,"",Foglio3!DT177)</f>
        <v>#NUM!</v>
      </c>
      <c r="JY204" s="272" t="e">
        <f>IF(Foglio3!DN177=100000,"",Foglio3!DU177)</f>
        <v>#NUM!</v>
      </c>
      <c r="JZ204" s="272" t="e">
        <f>IF(Foglio3!DN177=100000,"",Foglio3!DV177)</f>
        <v>#NUM!</v>
      </c>
    </row>
    <row r="205" spans="5:286" x14ac:dyDescent="0.25">
      <c r="E205" s="240">
        <f>Foglio3!F185</f>
        <v>39277</v>
      </c>
      <c r="F205" s="240">
        <f>Foglio3!I185</f>
        <v>0</v>
      </c>
      <c r="DU205" s="112"/>
      <c r="DV205" s="112"/>
      <c r="EX205" s="238"/>
      <c r="JP205">
        <f>IF(Foglio3!DM178=100000,0,IF(Foglio3!DM178="",0,1))</f>
        <v>0</v>
      </c>
      <c r="JQ205" s="314" t="str">
        <f xml:space="preserve">   IF(JP205=1,     Foglio3!DM178,IF(JP205=0,IF(JP204=1,"","")))</f>
        <v/>
      </c>
      <c r="JR205" s="314" t="e">
        <f>IF(          Foglio3!DN178=100000,"",Foglio3!DN178)</f>
        <v>#NUM!</v>
      </c>
      <c r="JS205" s="272" t="e">
        <f>IF(Foglio3!DN178=100000,"",Foglio3!DO178)</f>
        <v>#NUM!</v>
      </c>
      <c r="JT205" s="272" t="e">
        <f>IF(Foglio3!DN178=100000,"",Foglio3!DP178)</f>
        <v>#NUM!</v>
      </c>
      <c r="JU205" s="272" t="e">
        <f>IF(Foglio3!DN178=100000,"",Foglio3!DQ178)</f>
        <v>#NUM!</v>
      </c>
      <c r="JV205" s="272"/>
      <c r="JW205" s="272" t="e">
        <f>IF(Foglio3!DN178=100000,"",Foglio3!DS178)</f>
        <v>#NUM!</v>
      </c>
      <c r="JX205" s="272" t="e">
        <f>IF(Foglio3!DN178=100000,"",Foglio3!DT178)</f>
        <v>#NUM!</v>
      </c>
      <c r="JY205" s="272" t="e">
        <f>IF(Foglio3!DN178=100000,"",Foglio3!DU178)</f>
        <v>#NUM!</v>
      </c>
      <c r="JZ205" s="272" t="e">
        <f>IF(Foglio3!DN178=100000,"",Foglio3!DV178)</f>
        <v>#NUM!</v>
      </c>
    </row>
    <row r="206" spans="5:286" x14ac:dyDescent="0.25">
      <c r="E206" s="240">
        <f>Foglio3!F186</f>
        <v>39629</v>
      </c>
      <c r="F206" s="240">
        <f>Foglio3!I186</f>
        <v>0</v>
      </c>
      <c r="DU206" s="112"/>
      <c r="DV206" s="112"/>
      <c r="EX206" s="238"/>
      <c r="JP206">
        <f>IF(Foglio3!DM179=100000,0,IF(Foglio3!DM179="",0,1))</f>
        <v>0</v>
      </c>
      <c r="JQ206" s="314" t="str">
        <f xml:space="preserve">   IF(JP206=1,     Foglio3!DM179,IF(JP206=0,IF(JP205=1,"","")))</f>
        <v/>
      </c>
      <c r="JR206" s="314" t="e">
        <f>IF(          Foglio3!DN179=100000,"",Foglio3!DN179)</f>
        <v>#NUM!</v>
      </c>
      <c r="JS206" s="272" t="e">
        <f>IF(Foglio3!DN179=100000,"",Foglio3!DO179)</f>
        <v>#NUM!</v>
      </c>
      <c r="JT206" s="272" t="e">
        <f>IF(Foglio3!DN179=100000,"",Foglio3!DP179)</f>
        <v>#NUM!</v>
      </c>
      <c r="JU206" s="272" t="e">
        <f>IF(Foglio3!DN179=100000,"",Foglio3!DQ179)</f>
        <v>#NUM!</v>
      </c>
      <c r="JV206" s="272"/>
      <c r="JW206" s="272" t="e">
        <f>IF(Foglio3!DN179=100000,"",Foglio3!DS179)</f>
        <v>#NUM!</v>
      </c>
      <c r="JX206" s="272" t="e">
        <f>IF(Foglio3!DN179=100000,"",Foglio3!DT179)</f>
        <v>#NUM!</v>
      </c>
      <c r="JY206" s="272" t="e">
        <f>IF(Foglio3!DN179=100000,"",Foglio3!DU179)</f>
        <v>#NUM!</v>
      </c>
      <c r="JZ206" s="272" t="e">
        <f>IF(Foglio3!DN179=100000,"",Foglio3!DV179)</f>
        <v>#NUM!</v>
      </c>
    </row>
    <row r="207" spans="5:286" x14ac:dyDescent="0.25">
      <c r="E207" s="240">
        <f>Foglio3!F187</f>
        <v>39994</v>
      </c>
      <c r="F207" s="240">
        <f>Foglio3!I187</f>
        <v>0</v>
      </c>
      <c r="DU207" s="112"/>
      <c r="DV207" s="112"/>
      <c r="EX207" s="238"/>
      <c r="JP207">
        <f>IF(Foglio3!DM180=100000,0,IF(Foglio3!DM180="",0,1))</f>
        <v>0</v>
      </c>
      <c r="JQ207" s="314" t="str">
        <f xml:space="preserve">   IF(JP207=1,     Foglio3!DM180,IF(JP207=0,IF(JP206=1,"","")))</f>
        <v/>
      </c>
      <c r="JR207" s="314" t="e">
        <f>IF(          Foglio3!DN180=100000,"",Foglio3!DN180)</f>
        <v>#NUM!</v>
      </c>
      <c r="JS207" s="272" t="e">
        <f>IF(Foglio3!DN180=100000,"",Foglio3!DO180)</f>
        <v>#NUM!</v>
      </c>
      <c r="JT207" s="272" t="e">
        <f>IF(Foglio3!DN180=100000,"",Foglio3!DP180)</f>
        <v>#NUM!</v>
      </c>
      <c r="JU207" s="272" t="e">
        <f>IF(Foglio3!DN180=100000,"",Foglio3!DQ180)</f>
        <v>#NUM!</v>
      </c>
      <c r="JV207" s="272"/>
      <c r="JW207" s="272" t="e">
        <f>IF(Foglio3!DN180=100000,"",Foglio3!DS180)</f>
        <v>#NUM!</v>
      </c>
      <c r="JX207" s="272" t="e">
        <f>IF(Foglio3!DN180=100000,"",Foglio3!DT180)</f>
        <v>#NUM!</v>
      </c>
      <c r="JY207" s="272" t="e">
        <f>IF(Foglio3!DN180=100000,"",Foglio3!DU180)</f>
        <v>#NUM!</v>
      </c>
      <c r="JZ207" s="272" t="e">
        <f>IF(Foglio3!DN180=100000,"",Foglio3!DV180)</f>
        <v>#NUM!</v>
      </c>
    </row>
    <row r="208" spans="5:286" x14ac:dyDescent="0.25">
      <c r="E208" s="240">
        <f>Foglio3!F188</f>
        <v>40063</v>
      </c>
      <c r="F208" s="240">
        <f>Foglio3!I188</f>
        <v>0</v>
      </c>
      <c r="DU208" s="112"/>
      <c r="DV208" s="112"/>
      <c r="EX208" s="238"/>
      <c r="JP208">
        <f>IF(Foglio3!DM181=100000,0,IF(Foglio3!DM181="",0,1))</f>
        <v>0</v>
      </c>
      <c r="JQ208" s="314" t="str">
        <f xml:space="preserve">   IF(JP208=1,     Foglio3!DM181,IF(JP208=0,IF(JP207=1,"","")))</f>
        <v/>
      </c>
      <c r="JR208" s="314" t="e">
        <f>IF(          Foglio3!DN181=100000,"",Foglio3!DN181)</f>
        <v>#NUM!</v>
      </c>
      <c r="JS208" s="272" t="e">
        <f>IF(Foglio3!DN181=100000,"",Foglio3!DO181)</f>
        <v>#NUM!</v>
      </c>
      <c r="JT208" s="272" t="e">
        <f>IF(Foglio3!DN181=100000,"",Foglio3!DP181)</f>
        <v>#NUM!</v>
      </c>
      <c r="JU208" s="272" t="e">
        <f>IF(Foglio3!DN181=100000,"",Foglio3!DQ181)</f>
        <v>#NUM!</v>
      </c>
      <c r="JV208" s="272"/>
      <c r="JW208" s="272" t="e">
        <f>IF(Foglio3!DN181=100000,"",Foglio3!DS181)</f>
        <v>#NUM!</v>
      </c>
      <c r="JX208" s="272" t="e">
        <f>IF(Foglio3!DN181=100000,"",Foglio3!DT181)</f>
        <v>#NUM!</v>
      </c>
      <c r="JY208" s="272" t="e">
        <f>IF(Foglio3!DN181=100000,"",Foglio3!DU181)</f>
        <v>#NUM!</v>
      </c>
      <c r="JZ208" s="272" t="e">
        <f>IF(Foglio3!DN181=100000,"",Foglio3!DV181)</f>
        <v>#NUM!</v>
      </c>
    </row>
    <row r="209" spans="5:286" x14ac:dyDescent="0.25">
      <c r="E209" s="240">
        <f>Foglio3!F189</f>
        <v>40421</v>
      </c>
      <c r="F209" s="240">
        <f>Foglio3!I189</f>
        <v>0</v>
      </c>
      <c r="DU209" s="112"/>
      <c r="DV209" s="112"/>
      <c r="EX209" s="238"/>
      <c r="JP209">
        <f>IF(Foglio3!DM182=100000,0,IF(Foglio3!DM182="",0,1))</f>
        <v>0</v>
      </c>
      <c r="JQ209" s="314" t="str">
        <f xml:space="preserve">   IF(JP209=1,     Foglio3!DM182,IF(JP209=0,IF(JP208=1,"","")))</f>
        <v/>
      </c>
      <c r="JR209" s="314" t="e">
        <f>IF(          Foglio3!DN182=100000,"",Foglio3!DN182)</f>
        <v>#NUM!</v>
      </c>
      <c r="JS209" s="272" t="e">
        <f>IF(Foglio3!DN182=100000,"",Foglio3!DO182)</f>
        <v>#NUM!</v>
      </c>
      <c r="JT209" s="272" t="e">
        <f>IF(Foglio3!DN182=100000,"",Foglio3!DP182)</f>
        <v>#NUM!</v>
      </c>
      <c r="JU209" s="272" t="e">
        <f>IF(Foglio3!DN182=100000,"",Foglio3!DQ182)</f>
        <v>#NUM!</v>
      </c>
      <c r="JV209" s="272"/>
      <c r="JW209" s="272" t="e">
        <f>IF(Foglio3!DN182=100000,"",Foglio3!DS182)</f>
        <v>#NUM!</v>
      </c>
      <c r="JX209" s="272" t="e">
        <f>IF(Foglio3!DN182=100000,"",Foglio3!DT182)</f>
        <v>#NUM!</v>
      </c>
      <c r="JY209" s="272" t="e">
        <f>IF(Foglio3!DN182=100000,"",Foglio3!DU182)</f>
        <v>#NUM!</v>
      </c>
      <c r="JZ209" s="272" t="e">
        <f>IF(Foglio3!DN182=100000,"",Foglio3!DV182)</f>
        <v>#NUM!</v>
      </c>
    </row>
    <row r="210" spans="5:286" x14ac:dyDescent="0.25">
      <c r="E210" s="240">
        <f>Foglio3!F190</f>
        <v>40739</v>
      </c>
      <c r="F210" s="240">
        <f>Foglio3!I190</f>
        <v>0</v>
      </c>
      <c r="DU210" s="112"/>
      <c r="DV210" s="112"/>
      <c r="EX210" s="238"/>
      <c r="JP210">
        <f>IF(Foglio3!DM183=100000,0,IF(Foglio3!DM183="",0,1))</f>
        <v>0</v>
      </c>
      <c r="JQ210" s="314" t="str">
        <f xml:space="preserve">   IF(JP210=1,     Foglio3!DM183,IF(JP210=0,IF(JP209=1,"","")))</f>
        <v/>
      </c>
      <c r="JR210" s="314" t="e">
        <f>IF(          Foglio3!DN183=100000,"",Foglio3!DN183)</f>
        <v>#NUM!</v>
      </c>
      <c r="JS210" s="272" t="e">
        <f>IF(Foglio3!DN183=100000,"",Foglio3!DO183)</f>
        <v>#NUM!</v>
      </c>
      <c r="JT210" s="272" t="e">
        <f>IF(Foglio3!DN183=100000,"",Foglio3!DP183)</f>
        <v>#NUM!</v>
      </c>
      <c r="JU210" s="272" t="e">
        <f>IF(Foglio3!DN183=100000,"",Foglio3!DQ183)</f>
        <v>#NUM!</v>
      </c>
      <c r="JV210" s="272"/>
      <c r="JW210" s="272" t="e">
        <f>IF(Foglio3!DN183=100000,"",Foglio3!DS183)</f>
        <v>#NUM!</v>
      </c>
      <c r="JX210" s="272" t="e">
        <f>IF(Foglio3!DN183=100000,"",Foglio3!DT183)</f>
        <v>#NUM!</v>
      </c>
      <c r="JY210" s="272" t="e">
        <f>IF(Foglio3!DN183=100000,"",Foglio3!DU183)</f>
        <v>#NUM!</v>
      </c>
      <c r="JZ210" s="272" t="e">
        <f>IF(Foglio3!DN183=100000,"",Foglio3!DV183)</f>
        <v>#NUM!</v>
      </c>
    </row>
    <row r="211" spans="5:286" x14ac:dyDescent="0.25">
      <c r="E211" s="240">
        <f>Foglio3!F191</f>
        <v>40739</v>
      </c>
      <c r="F211" s="240">
        <f>Foglio3!I191</f>
        <v>0</v>
      </c>
      <c r="DU211" s="112"/>
      <c r="DV211" s="112"/>
      <c r="EX211" s="238"/>
      <c r="JP211">
        <f>IF(Foglio3!DM184=100000,0,IF(Foglio3!DM184="",0,1))</f>
        <v>0</v>
      </c>
      <c r="JQ211" s="314" t="str">
        <f xml:space="preserve">   IF(JP211=1,     Foglio3!DM184,IF(JP211=0,IF(JP210=1,"","")))</f>
        <v/>
      </c>
      <c r="JR211" s="314" t="e">
        <f>IF(          Foglio3!DN184=100000,"",Foglio3!DN184)</f>
        <v>#NUM!</v>
      </c>
      <c r="JS211" s="272" t="e">
        <f>IF(Foglio3!DN184=100000,"",Foglio3!DO184)</f>
        <v>#NUM!</v>
      </c>
      <c r="JT211" s="272" t="e">
        <f>IF(Foglio3!DN184=100000,"",Foglio3!DP184)</f>
        <v>#NUM!</v>
      </c>
      <c r="JU211" s="272" t="e">
        <f>IF(Foglio3!DN184=100000,"",Foglio3!DQ184)</f>
        <v>#NUM!</v>
      </c>
      <c r="JV211" s="272"/>
      <c r="JW211" s="272" t="e">
        <f>IF(Foglio3!DN184=100000,"",Foglio3!DS184)</f>
        <v>#NUM!</v>
      </c>
      <c r="JX211" s="272" t="e">
        <f>IF(Foglio3!DN184=100000,"",Foglio3!DT184)</f>
        <v>#NUM!</v>
      </c>
      <c r="JY211" s="272" t="e">
        <f>IF(Foglio3!DN184=100000,"",Foglio3!DU184)</f>
        <v>#NUM!</v>
      </c>
      <c r="JZ211" s="272" t="e">
        <f>IF(Foglio3!DN184=100000,"",Foglio3!DV184)</f>
        <v>#NUM!</v>
      </c>
    </row>
    <row r="212" spans="5:286" x14ac:dyDescent="0.25">
      <c r="E212" s="240">
        <f>Foglio3!F192</f>
        <v>41090</v>
      </c>
      <c r="F212" s="240">
        <f>Foglio3!I192</f>
        <v>0</v>
      </c>
      <c r="DU212" s="112"/>
      <c r="DV212" s="112"/>
      <c r="EX212" s="238"/>
      <c r="JP212">
        <f>IF(Foglio3!DM185=100000,0,IF(Foglio3!DM185="",0,1))</f>
        <v>0</v>
      </c>
      <c r="JQ212" s="314" t="str">
        <f xml:space="preserve">   IF(JP212=1,     Foglio3!DM185,IF(JP212=0,IF(JP211=1,"","")))</f>
        <v/>
      </c>
      <c r="JR212" s="314" t="e">
        <f>IF(          Foglio3!DN185=100000,"",Foglio3!DN185)</f>
        <v>#NUM!</v>
      </c>
      <c r="JS212" s="272" t="e">
        <f>IF(Foglio3!DN185=100000,"",Foglio3!DO185)</f>
        <v>#NUM!</v>
      </c>
      <c r="JT212" s="272" t="e">
        <f>IF(Foglio3!DN185=100000,"",Foglio3!DP185)</f>
        <v>#NUM!</v>
      </c>
      <c r="JU212" s="272" t="e">
        <f>IF(Foglio3!DN185=100000,"",Foglio3!DQ185)</f>
        <v>#NUM!</v>
      </c>
      <c r="JV212" s="272"/>
      <c r="JW212" s="272" t="e">
        <f>IF(Foglio3!DN185=100000,"",Foglio3!DS185)</f>
        <v>#NUM!</v>
      </c>
      <c r="JX212" s="272" t="e">
        <f>IF(Foglio3!DN185=100000,"",Foglio3!DT185)</f>
        <v>#NUM!</v>
      </c>
      <c r="JY212" s="272" t="e">
        <f>IF(Foglio3!DN185=100000,"",Foglio3!DU185)</f>
        <v>#NUM!</v>
      </c>
      <c r="JZ212" s="272" t="e">
        <f>IF(Foglio3!DN185=100000,"",Foglio3!DV185)</f>
        <v>#NUM!</v>
      </c>
    </row>
    <row r="213" spans="5:286" x14ac:dyDescent="0.25">
      <c r="E213" s="240">
        <f>Foglio3!F193</f>
        <v>41471</v>
      </c>
      <c r="F213" s="240">
        <f>Foglio3!I193</f>
        <v>0</v>
      </c>
      <c r="DU213" s="112"/>
      <c r="DV213" s="112"/>
      <c r="EX213" s="238"/>
      <c r="JP213">
        <f>IF(Foglio3!DM186=100000,0,IF(Foglio3!DM186="",0,1))</f>
        <v>0</v>
      </c>
      <c r="JQ213" s="314" t="str">
        <f xml:space="preserve">   IF(JP213=1,     Foglio3!DM186,IF(JP213=0,IF(JP212=1,"","")))</f>
        <v/>
      </c>
      <c r="JR213" s="314" t="e">
        <f>IF(          Foglio3!DN186=100000,"",Foglio3!DN186)</f>
        <v>#NUM!</v>
      </c>
      <c r="JS213" s="272" t="e">
        <f>IF(Foglio3!DN186=100000,"",Foglio3!DO186)</f>
        <v>#NUM!</v>
      </c>
      <c r="JT213" s="272" t="e">
        <f>IF(Foglio3!DN186=100000,"",Foglio3!DP186)</f>
        <v>#NUM!</v>
      </c>
      <c r="JU213" s="272" t="e">
        <f>IF(Foglio3!DN186=100000,"",Foglio3!DQ186)</f>
        <v>#NUM!</v>
      </c>
      <c r="JV213" s="272"/>
      <c r="JW213" s="272" t="e">
        <f>IF(Foglio3!DN186=100000,"",Foglio3!DS186)</f>
        <v>#NUM!</v>
      </c>
      <c r="JX213" s="272" t="e">
        <f>IF(Foglio3!DN186=100000,"",Foglio3!DT186)</f>
        <v>#NUM!</v>
      </c>
      <c r="JY213" s="272" t="e">
        <f>IF(Foglio3!DN186=100000,"",Foglio3!DU186)</f>
        <v>#NUM!</v>
      </c>
      <c r="JZ213" s="272" t="e">
        <f>IF(Foglio3!DN186=100000,"",Foglio3!DV186)</f>
        <v>#NUM!</v>
      </c>
    </row>
    <row r="214" spans="5:286" x14ac:dyDescent="0.25">
      <c r="E214" s="240">
        <f>Foglio3!F194</f>
        <v>41471</v>
      </c>
      <c r="F214" s="240">
        <f>Foglio3!I194</f>
        <v>0</v>
      </c>
      <c r="DU214" s="112"/>
      <c r="DV214" s="112"/>
      <c r="EX214" s="238"/>
      <c r="JP214">
        <f>IF(Foglio3!DM187=100000,0,IF(Foglio3!DM187="",0,1))</f>
        <v>0</v>
      </c>
      <c r="JQ214" s="314" t="str">
        <f xml:space="preserve">   IF(JP214=1,     Foglio3!DM187,IF(JP214=0,IF(JP213=1,"","")))</f>
        <v/>
      </c>
      <c r="JR214" s="314" t="e">
        <f>IF(          Foglio3!DN187=100000,"",Foglio3!DN187)</f>
        <v>#NUM!</v>
      </c>
      <c r="JS214" s="272" t="e">
        <f>IF(Foglio3!DN187=100000,"",Foglio3!DO187)</f>
        <v>#NUM!</v>
      </c>
      <c r="JT214" s="272" t="e">
        <f>IF(Foglio3!DN187=100000,"",Foglio3!DP187)</f>
        <v>#NUM!</v>
      </c>
      <c r="JU214" s="272" t="e">
        <f>IF(Foglio3!DN187=100000,"",Foglio3!DQ187)</f>
        <v>#NUM!</v>
      </c>
      <c r="JV214" s="272"/>
      <c r="JW214" s="272" t="e">
        <f>IF(Foglio3!DN187=100000,"",Foglio3!DS187)</f>
        <v>#NUM!</v>
      </c>
      <c r="JX214" s="272" t="e">
        <f>IF(Foglio3!DN187=100000,"",Foglio3!DT187)</f>
        <v>#NUM!</v>
      </c>
      <c r="JY214" s="272" t="e">
        <f>IF(Foglio3!DN187=100000,"",Foglio3!DU187)</f>
        <v>#NUM!</v>
      </c>
      <c r="JZ214" s="272" t="e">
        <f>IF(Foglio3!DN187=100000,"",Foglio3!DV187)</f>
        <v>#NUM!</v>
      </c>
    </row>
    <row r="215" spans="5:286" x14ac:dyDescent="0.25">
      <c r="E215" s="240">
        <f>Foglio3!F195</f>
        <v>41196</v>
      </c>
      <c r="F215" s="240">
        <f>Foglio3!I195</f>
        <v>0</v>
      </c>
      <c r="DU215" s="112"/>
      <c r="DV215" s="112"/>
      <c r="EX215" s="238"/>
      <c r="JP215">
        <f>IF(Foglio3!DM188=100000,0,IF(Foglio3!DM188="",0,1))</f>
        <v>0</v>
      </c>
      <c r="JQ215" s="314" t="str">
        <f xml:space="preserve">   IF(JP215=1,     Foglio3!DM188,IF(JP215=0,IF(JP214=1,"","")))</f>
        <v/>
      </c>
      <c r="JR215" s="314" t="e">
        <f>IF(          Foglio3!DN188=100000,"",Foglio3!DN188)</f>
        <v>#NUM!</v>
      </c>
      <c r="JS215" s="272" t="e">
        <f>IF(Foglio3!DN188=100000,"",Foglio3!DO188)</f>
        <v>#NUM!</v>
      </c>
      <c r="JT215" s="272" t="e">
        <f>IF(Foglio3!DN188=100000,"",Foglio3!DP188)</f>
        <v>#NUM!</v>
      </c>
      <c r="JU215" s="272" t="e">
        <f>IF(Foglio3!DN188=100000,"",Foglio3!DQ188)</f>
        <v>#NUM!</v>
      </c>
      <c r="JV215" s="272"/>
      <c r="JW215" s="272" t="e">
        <f>IF(Foglio3!DN188=100000,"",Foglio3!DS188)</f>
        <v>#NUM!</v>
      </c>
      <c r="JX215" s="272" t="e">
        <f>IF(Foglio3!DN188=100000,"",Foglio3!DT188)</f>
        <v>#NUM!</v>
      </c>
      <c r="JY215" s="272" t="e">
        <f>IF(Foglio3!DN188=100000,"",Foglio3!DU188)</f>
        <v>#NUM!</v>
      </c>
      <c r="JZ215" s="272" t="e">
        <f>IF(Foglio3!DN188=100000,"",Foglio3!DV188)</f>
        <v>#NUM!</v>
      </c>
    </row>
    <row r="216" spans="5:286" x14ac:dyDescent="0.25">
      <c r="E216" s="240">
        <f>Foglio3!F196</f>
        <v>41239</v>
      </c>
      <c r="F216" s="240">
        <f>Foglio3!I196</f>
        <v>0</v>
      </c>
      <c r="DU216" s="112"/>
      <c r="DV216" s="112"/>
      <c r="EX216" s="238"/>
      <c r="JP216">
        <f>IF(Foglio3!DM189=100000,0,IF(Foglio3!DM189="",0,1))</f>
        <v>0</v>
      </c>
      <c r="JQ216" s="314" t="str">
        <f xml:space="preserve">   IF(JP216=1,     Foglio3!DM189,IF(JP216=0,IF(JP215=1,"","")))</f>
        <v/>
      </c>
      <c r="JR216" s="314" t="e">
        <f>IF(          Foglio3!DN189=100000,"",Foglio3!DN189)</f>
        <v>#NUM!</v>
      </c>
      <c r="JS216" s="272" t="e">
        <f>IF(Foglio3!DN189=100000,"",Foglio3!DO189)</f>
        <v>#NUM!</v>
      </c>
      <c r="JT216" s="272" t="e">
        <f>IF(Foglio3!DN189=100000,"",Foglio3!DP189)</f>
        <v>#NUM!</v>
      </c>
      <c r="JU216" s="272" t="e">
        <f>IF(Foglio3!DN189=100000,"",Foglio3!DQ189)</f>
        <v>#NUM!</v>
      </c>
      <c r="JV216" s="272"/>
      <c r="JW216" s="272" t="e">
        <f>IF(Foglio3!DN189=100000,"",Foglio3!DS189)</f>
        <v>#NUM!</v>
      </c>
      <c r="JX216" s="272" t="e">
        <f>IF(Foglio3!DN189=100000,"",Foglio3!DT189)</f>
        <v>#NUM!</v>
      </c>
      <c r="JY216" s="272" t="e">
        <f>IF(Foglio3!DN189=100000,"",Foglio3!DU189)</f>
        <v>#NUM!</v>
      </c>
      <c r="JZ216" s="272" t="e">
        <f>IF(Foglio3!DN189=100000,"",Foglio3!DV189)</f>
        <v>#NUM!</v>
      </c>
    </row>
    <row r="217" spans="5:286" x14ac:dyDescent="0.25">
      <c r="E217" s="240">
        <f>Foglio3!F197</f>
        <v>41471</v>
      </c>
      <c r="F217" s="240">
        <f>Foglio3!I197</f>
        <v>0</v>
      </c>
      <c r="DU217" s="112"/>
      <c r="DV217" s="112"/>
      <c r="EX217" s="238"/>
      <c r="JP217">
        <f>IF(Foglio3!DM190=100000,0,IF(Foglio3!DM190="",0,1))</f>
        <v>0</v>
      </c>
      <c r="JQ217" s="314" t="str">
        <f xml:space="preserve">   IF(JP217=1,     Foglio3!DM190,IF(JP217=0,IF(JP216=1,"","")))</f>
        <v/>
      </c>
      <c r="JR217" s="314" t="e">
        <f>IF(          Foglio3!DN190=100000,"",Foglio3!DN190)</f>
        <v>#NUM!</v>
      </c>
      <c r="JS217" s="272" t="e">
        <f>IF(Foglio3!DN190=100000,"",Foglio3!DO190)</f>
        <v>#NUM!</v>
      </c>
      <c r="JT217" s="272" t="e">
        <f>IF(Foglio3!DN190=100000,"",Foglio3!DP190)</f>
        <v>#NUM!</v>
      </c>
      <c r="JU217" s="272" t="e">
        <f>IF(Foglio3!DN190=100000,"",Foglio3!DQ190)</f>
        <v>#NUM!</v>
      </c>
      <c r="JV217" s="272"/>
      <c r="JW217" s="272" t="e">
        <f>IF(Foglio3!DN190=100000,"",Foglio3!DS190)</f>
        <v>#NUM!</v>
      </c>
      <c r="JX217" s="272" t="e">
        <f>IF(Foglio3!DN190=100000,"",Foglio3!DT190)</f>
        <v>#NUM!</v>
      </c>
      <c r="JY217" s="272" t="e">
        <f>IF(Foglio3!DN190=100000,"",Foglio3!DU190)</f>
        <v>#NUM!</v>
      </c>
      <c r="JZ217" s="272" t="e">
        <f>IF(Foglio3!DN190=100000,"",Foglio3!DV190)</f>
        <v>#NUM!</v>
      </c>
    </row>
    <row r="218" spans="5:286" x14ac:dyDescent="0.25">
      <c r="E218" s="240">
        <f>Foglio3!F198</f>
        <v>41882</v>
      </c>
      <c r="F218" s="240">
        <f>Foglio3!I198</f>
        <v>0</v>
      </c>
      <c r="DU218" s="112"/>
      <c r="DV218" s="112"/>
      <c r="EX218" s="238"/>
      <c r="JP218">
        <f>IF(Foglio3!DM191=100000,0,IF(Foglio3!DM191="",0,1))</f>
        <v>0</v>
      </c>
      <c r="JQ218" s="314" t="str">
        <f xml:space="preserve">   IF(JP218=1,     Foglio3!DM191,IF(JP218=0,IF(JP217=1,"","")))</f>
        <v/>
      </c>
      <c r="JR218" s="314" t="e">
        <f>IF(          Foglio3!DN191=100000,"",Foglio3!DN191)</f>
        <v>#NUM!</v>
      </c>
      <c r="JS218" s="272" t="e">
        <f>IF(Foglio3!DN191=100000,"",Foglio3!DO191)</f>
        <v>#NUM!</v>
      </c>
      <c r="JT218" s="272" t="e">
        <f>IF(Foglio3!DN191=100000,"",Foglio3!DP191)</f>
        <v>#NUM!</v>
      </c>
      <c r="JU218" s="272" t="e">
        <f>IF(Foglio3!DN191=100000,"",Foglio3!DQ191)</f>
        <v>#NUM!</v>
      </c>
      <c r="JV218" s="272"/>
      <c r="JW218" s="272" t="e">
        <f>IF(Foglio3!DN191=100000,"",Foglio3!DS191)</f>
        <v>#NUM!</v>
      </c>
      <c r="JX218" s="272" t="e">
        <f>IF(Foglio3!DN191=100000,"",Foglio3!DT191)</f>
        <v>#NUM!</v>
      </c>
      <c r="JY218" s="272" t="e">
        <f>IF(Foglio3!DN191=100000,"",Foglio3!DU191)</f>
        <v>#NUM!</v>
      </c>
      <c r="JZ218" s="272" t="e">
        <f>IF(Foglio3!DN191=100000,"",Foglio3!DV191)</f>
        <v>#NUM!</v>
      </c>
    </row>
    <row r="219" spans="5:286" x14ac:dyDescent="0.25">
      <c r="E219" s="240">
        <f>Foglio3!F199</f>
        <v>42185</v>
      </c>
      <c r="F219" s="240">
        <f>Foglio3!I199</f>
        <v>0</v>
      </c>
      <c r="DU219" s="112"/>
      <c r="DV219" s="112"/>
      <c r="EX219" s="238"/>
      <c r="JP219">
        <f>IF(Foglio3!DM192=100000,0,IF(Foglio3!DM192="",0,1))</f>
        <v>0</v>
      </c>
      <c r="JQ219" s="314" t="str">
        <f xml:space="preserve">   IF(JP219=1,     Foglio3!DM192,IF(JP219=0,IF(JP218=1,"","")))</f>
        <v/>
      </c>
      <c r="JR219" s="314" t="e">
        <f>IF(          Foglio3!DN192=100000,"",Foglio3!DN192)</f>
        <v>#NUM!</v>
      </c>
      <c r="JS219" s="272" t="e">
        <f>IF(Foglio3!DN192=100000,"",Foglio3!DO192)</f>
        <v>#NUM!</v>
      </c>
      <c r="JT219" s="272" t="e">
        <f>IF(Foglio3!DN192=100000,"",Foglio3!DP192)</f>
        <v>#NUM!</v>
      </c>
      <c r="JU219" s="272" t="e">
        <f>IF(Foglio3!DN192=100000,"",Foglio3!DQ192)</f>
        <v>#NUM!</v>
      </c>
      <c r="JV219" s="272"/>
      <c r="JW219" s="272" t="e">
        <f>IF(Foglio3!DN192=100000,"",Foglio3!DS192)</f>
        <v>#NUM!</v>
      </c>
      <c r="JX219" s="272" t="e">
        <f>IF(Foglio3!DN192=100000,"",Foglio3!DT192)</f>
        <v>#NUM!</v>
      </c>
      <c r="JY219" s="272" t="e">
        <f>IF(Foglio3!DN192=100000,"",Foglio3!DU192)</f>
        <v>#NUM!</v>
      </c>
      <c r="JZ219" s="272" t="e">
        <f>IF(Foglio3!DN192=100000,"",Foglio3!DV192)</f>
        <v>#NUM!</v>
      </c>
    </row>
    <row r="220" spans="5:286" x14ac:dyDescent="0.25">
      <c r="E220" s="240">
        <f>Foglio3!F200</f>
        <v>42613</v>
      </c>
      <c r="F220" s="240">
        <f>Foglio3!I200</f>
        <v>0</v>
      </c>
      <c r="DU220" s="112"/>
      <c r="DV220" s="112"/>
      <c r="EX220" s="238"/>
      <c r="JP220">
        <f>IF(Foglio3!DM193=100000,0,IF(Foglio3!DM193="",0,1))</f>
        <v>0</v>
      </c>
      <c r="JQ220" s="314" t="str">
        <f xml:space="preserve">   IF(JP220=1,     Foglio3!DM193,IF(JP220=0,IF(JP219=1,"","")))</f>
        <v/>
      </c>
      <c r="JR220" s="314" t="e">
        <f>IF(          Foglio3!DN193=100000,"",Foglio3!DN193)</f>
        <v>#NUM!</v>
      </c>
      <c r="JS220" s="272" t="e">
        <f>IF(Foglio3!DN193=100000,"",Foglio3!DO193)</f>
        <v>#NUM!</v>
      </c>
      <c r="JT220" s="272" t="e">
        <f>IF(Foglio3!DN193=100000,"",Foglio3!DP193)</f>
        <v>#NUM!</v>
      </c>
      <c r="JU220" s="272" t="e">
        <f>IF(Foglio3!DN193=100000,"",Foglio3!DQ193)</f>
        <v>#NUM!</v>
      </c>
      <c r="JV220" s="272"/>
      <c r="JW220" s="272" t="e">
        <f>IF(Foglio3!DN193=100000,"",Foglio3!DS193)</f>
        <v>#NUM!</v>
      </c>
      <c r="JX220" s="272" t="e">
        <f>IF(Foglio3!DN193=100000,"",Foglio3!DT193)</f>
        <v>#NUM!</v>
      </c>
      <c r="JY220" s="272" t="e">
        <f>IF(Foglio3!DN193=100000,"",Foglio3!DU193)</f>
        <v>#NUM!</v>
      </c>
      <c r="JZ220" s="272" t="e">
        <f>IF(Foglio3!DN193=100000,"",Foglio3!DV193)</f>
        <v>#NUM!</v>
      </c>
    </row>
    <row r="221" spans="5:286" x14ac:dyDescent="0.25">
      <c r="E221" s="240">
        <f>Foglio3!F201</f>
        <v>42978</v>
      </c>
      <c r="F221" s="240">
        <f>Foglio3!I201</f>
        <v>0</v>
      </c>
      <c r="DU221" s="112"/>
      <c r="DV221" s="112"/>
      <c r="EX221" s="238"/>
      <c r="JP221">
        <f>IF(Foglio3!DM194=100000,0,IF(Foglio3!DM194="",0,1))</f>
        <v>0</v>
      </c>
      <c r="JQ221" s="314" t="str">
        <f xml:space="preserve">   IF(JP221=1,     Foglio3!DM194,IF(JP221=0,IF(JP220=1,"","")))</f>
        <v/>
      </c>
      <c r="JR221" s="314" t="e">
        <f>IF(          Foglio3!DN194=100000,"",Foglio3!DN194)</f>
        <v>#NUM!</v>
      </c>
      <c r="JS221" s="272" t="e">
        <f>IF(Foglio3!DN194=100000,"",Foglio3!DO194)</f>
        <v>#NUM!</v>
      </c>
      <c r="JT221" s="272" t="e">
        <f>IF(Foglio3!DN194=100000,"",Foglio3!DP194)</f>
        <v>#NUM!</v>
      </c>
      <c r="JU221" s="272" t="e">
        <f>IF(Foglio3!DN194=100000,"",Foglio3!DQ194)</f>
        <v>#NUM!</v>
      </c>
      <c r="JV221" s="272"/>
      <c r="JW221" s="272" t="e">
        <f>IF(Foglio3!DN194=100000,"",Foglio3!DS194)</f>
        <v>#NUM!</v>
      </c>
      <c r="JX221" s="272" t="e">
        <f>IF(Foglio3!DN194=100000,"",Foglio3!DT194)</f>
        <v>#NUM!</v>
      </c>
      <c r="JY221" s="272" t="e">
        <f>IF(Foglio3!DN194=100000,"",Foglio3!DU194)</f>
        <v>#NUM!</v>
      </c>
      <c r="JZ221" s="272" t="e">
        <f>IF(Foglio3!DN194=100000,"",Foglio3!DV194)</f>
        <v>#NUM!</v>
      </c>
    </row>
    <row r="222" spans="5:286" x14ac:dyDescent="0.25">
      <c r="E222" s="240">
        <f>Foglio3!F202</f>
        <v>43343</v>
      </c>
      <c r="F222" s="240">
        <f>Foglio3!I202</f>
        <v>0</v>
      </c>
      <c r="DU222" s="112"/>
      <c r="DV222" s="112"/>
      <c r="EX222" s="238"/>
      <c r="JP222">
        <f>IF(Foglio3!DM195=100000,0,IF(Foglio3!DM195="",0,1))</f>
        <v>0</v>
      </c>
      <c r="JQ222" s="314" t="str">
        <f xml:space="preserve">   IF(JP222=1,     Foglio3!DM195,IF(JP222=0,IF(JP221=1,"","")))</f>
        <v/>
      </c>
      <c r="JR222" s="314" t="e">
        <f>IF(          Foglio3!DN195=100000,"",Foglio3!DN195)</f>
        <v>#NUM!</v>
      </c>
      <c r="JS222" s="272" t="e">
        <f>IF(Foglio3!DN195=100000,"",Foglio3!DO195)</f>
        <v>#NUM!</v>
      </c>
      <c r="JT222" s="272" t="e">
        <f>IF(Foglio3!DN195=100000,"",Foglio3!DP195)</f>
        <v>#NUM!</v>
      </c>
      <c r="JU222" s="272" t="e">
        <f>IF(Foglio3!DN195=100000,"",Foglio3!DQ195)</f>
        <v>#NUM!</v>
      </c>
      <c r="JV222" s="272"/>
      <c r="JW222" s="272" t="e">
        <f>IF(Foglio3!DN195=100000,"",Foglio3!DS195)</f>
        <v>#NUM!</v>
      </c>
      <c r="JX222" s="272" t="e">
        <f>IF(Foglio3!DN195=100000,"",Foglio3!DT195)</f>
        <v>#NUM!</v>
      </c>
      <c r="JY222" s="272" t="e">
        <f>IF(Foglio3!DN195=100000,"",Foglio3!DU195)</f>
        <v>#NUM!</v>
      </c>
      <c r="JZ222" s="272" t="e">
        <f>IF(Foglio3!DN195=100000,"",Foglio3!DV195)</f>
        <v>#NUM!</v>
      </c>
    </row>
    <row r="223" spans="5:286" x14ac:dyDescent="0.25">
      <c r="E223" s="240">
        <f>Foglio3!F203</f>
        <v>43708</v>
      </c>
      <c r="F223" s="240">
        <f>Foglio3!I203</f>
        <v>0</v>
      </c>
      <c r="DU223" s="112"/>
      <c r="DV223" s="112"/>
      <c r="EX223" s="238"/>
      <c r="JP223">
        <f>IF(Foglio3!DM196=100000,0,IF(Foglio3!DM196="",0,1))</f>
        <v>0</v>
      </c>
      <c r="JQ223" s="314" t="str">
        <f xml:space="preserve">   IF(JP223=1,     Foglio3!DM196,IF(JP223=0,IF(JP222=1,"","")))</f>
        <v/>
      </c>
      <c r="JR223" s="314" t="e">
        <f>IF(          Foglio3!DN196=100000,"",Foglio3!DN196)</f>
        <v>#NUM!</v>
      </c>
      <c r="JS223" s="272" t="e">
        <f>IF(Foglio3!DN196=100000,"",Foglio3!DO196)</f>
        <v>#NUM!</v>
      </c>
      <c r="JT223" s="272" t="e">
        <f>IF(Foglio3!DN196=100000,"",Foglio3!DP196)</f>
        <v>#NUM!</v>
      </c>
      <c r="JU223" s="272" t="e">
        <f>IF(Foglio3!DN196=100000,"",Foglio3!DQ196)</f>
        <v>#NUM!</v>
      </c>
      <c r="JV223" s="272"/>
      <c r="JW223" s="272" t="e">
        <f>IF(Foglio3!DN196=100000,"",Foglio3!DS196)</f>
        <v>#NUM!</v>
      </c>
      <c r="JX223" s="272" t="e">
        <f>IF(Foglio3!DN196=100000,"",Foglio3!DT196)</f>
        <v>#NUM!</v>
      </c>
      <c r="JY223" s="272" t="e">
        <f>IF(Foglio3!DN196=100000,"",Foglio3!DU196)</f>
        <v>#NUM!</v>
      </c>
      <c r="JZ223" s="272" t="e">
        <f>IF(Foglio3!DN196=100000,"",Foglio3!DV196)</f>
        <v>#NUM!</v>
      </c>
    </row>
    <row r="224" spans="5:286" x14ac:dyDescent="0.25">
      <c r="E224" s="240">
        <f>Foglio3!F204</f>
        <v>44074</v>
      </c>
      <c r="F224" s="240">
        <f>Foglio3!I204</f>
        <v>0</v>
      </c>
      <c r="DU224" s="112"/>
      <c r="DV224" s="112"/>
      <c r="EX224" s="238"/>
      <c r="JP224">
        <f>IF(Foglio3!DM197=100000,0,IF(Foglio3!DM197="",0,1))</f>
        <v>0</v>
      </c>
      <c r="JQ224" s="314" t="str">
        <f xml:space="preserve">   IF(JP224=1,     Foglio3!DM197,IF(JP224=0,IF(JP223=1,"","")))</f>
        <v/>
      </c>
      <c r="JR224" s="314" t="e">
        <f>IF(          Foglio3!DN197=100000,"",Foglio3!DN197)</f>
        <v>#NUM!</v>
      </c>
      <c r="JS224" s="272" t="e">
        <f>IF(Foglio3!DN197=100000,"",Foglio3!DO197)</f>
        <v>#NUM!</v>
      </c>
      <c r="JT224" s="272" t="e">
        <f>IF(Foglio3!DN197=100000,"",Foglio3!DP197)</f>
        <v>#NUM!</v>
      </c>
      <c r="JU224" s="272" t="e">
        <f>IF(Foglio3!DN197=100000,"",Foglio3!DQ197)</f>
        <v>#NUM!</v>
      </c>
      <c r="JV224" s="272"/>
      <c r="JW224" s="272" t="e">
        <f>IF(Foglio3!DN197=100000,"",Foglio3!DS197)</f>
        <v>#NUM!</v>
      </c>
      <c r="JX224" s="272" t="e">
        <f>IF(Foglio3!DN197=100000,"",Foglio3!DT197)</f>
        <v>#NUM!</v>
      </c>
      <c r="JY224" s="272" t="e">
        <f>IF(Foglio3!DN197=100000,"",Foglio3!DU197)</f>
        <v>#NUM!</v>
      </c>
      <c r="JZ224" s="272" t="e">
        <f>IF(Foglio3!DN197=100000,"",Foglio3!DV197)</f>
        <v>#NUM!</v>
      </c>
    </row>
    <row r="225" spans="5:278" x14ac:dyDescent="0.25">
      <c r="E225" s="240">
        <f>Foglio3!F205</f>
        <v>44439</v>
      </c>
      <c r="F225" s="240">
        <f>Foglio3!I205</f>
        <v>0</v>
      </c>
      <c r="DU225" s="112"/>
      <c r="DV225" s="112"/>
      <c r="EX225" s="238"/>
      <c r="JQ225" s="112"/>
      <c r="JR225" s="112"/>
    </row>
    <row r="226" spans="5:278" x14ac:dyDescent="0.25">
      <c r="E226" s="240">
        <f>Foglio3!F206</f>
        <v>44804</v>
      </c>
      <c r="F226" s="240">
        <f>Foglio3!I206</f>
        <v>0</v>
      </c>
      <c r="DU226" s="112"/>
      <c r="DV226" s="112"/>
      <c r="EX226" s="238"/>
      <c r="JQ226" s="112"/>
      <c r="JR226" s="112"/>
    </row>
    <row r="227" spans="5:278" x14ac:dyDescent="0.25">
      <c r="E227" s="240" t="str">
        <f>Foglio3!F207</f>
        <v/>
      </c>
      <c r="F227" s="240">
        <f>Foglio3!I207</f>
        <v>0</v>
      </c>
      <c r="DU227" s="112"/>
      <c r="DV227" s="112"/>
      <c r="JQ227" s="112"/>
      <c r="JR227" s="112"/>
    </row>
    <row r="228" spans="5:278" x14ac:dyDescent="0.25">
      <c r="E228" s="240" t="str">
        <f>Foglio3!F208</f>
        <v/>
      </c>
      <c r="F228" s="240">
        <f>Foglio3!I208</f>
        <v>0</v>
      </c>
      <c r="DU228" s="112"/>
      <c r="DV228" s="112"/>
      <c r="JQ228" s="112"/>
      <c r="JR228" s="112"/>
    </row>
    <row r="229" spans="5:278" x14ac:dyDescent="0.25">
      <c r="E229" s="240" t="str">
        <f>Foglio3!F209</f>
        <v/>
      </c>
      <c r="F229" s="240">
        <f>Foglio3!I209</f>
        <v>0</v>
      </c>
      <c r="DU229" s="112"/>
      <c r="DV229" s="112"/>
      <c r="JQ229" s="112"/>
      <c r="JR229" s="112"/>
    </row>
    <row r="230" spans="5:278" x14ac:dyDescent="0.25">
      <c r="E230" s="240" t="str">
        <f>Foglio3!F210</f>
        <v/>
      </c>
      <c r="F230" s="240">
        <f>Foglio3!I210</f>
        <v>0</v>
      </c>
      <c r="DU230" s="112"/>
      <c r="DV230" s="112"/>
      <c r="JQ230" s="112"/>
      <c r="JR230" s="112"/>
    </row>
    <row r="231" spans="5:278" x14ac:dyDescent="0.25">
      <c r="E231" s="240" t="str">
        <f>Foglio3!F211</f>
        <v/>
      </c>
      <c r="F231" s="240">
        <f>Foglio3!I211</f>
        <v>0</v>
      </c>
      <c r="DU231" s="112"/>
      <c r="DV231" s="112"/>
      <c r="JQ231" s="112"/>
      <c r="JR231" s="112"/>
    </row>
    <row r="232" spans="5:278" x14ac:dyDescent="0.25">
      <c r="E232" s="240" t="str">
        <f>Foglio3!F212</f>
        <v/>
      </c>
      <c r="F232" s="240">
        <f>Foglio3!I212</f>
        <v>0</v>
      </c>
      <c r="DU232" s="112"/>
      <c r="DV232" s="112"/>
      <c r="JQ232" s="112"/>
      <c r="JR232" s="112"/>
    </row>
    <row r="233" spans="5:278" x14ac:dyDescent="0.25">
      <c r="E233" s="240" t="str">
        <f>Foglio3!F213</f>
        <v/>
      </c>
      <c r="F233" s="240">
        <f>Foglio3!I213</f>
        <v>0</v>
      </c>
      <c r="DU233" s="112"/>
      <c r="DV233" s="112"/>
      <c r="JQ233" s="112"/>
      <c r="JR233" s="112"/>
    </row>
    <row r="234" spans="5:278" x14ac:dyDescent="0.25">
      <c r="E234" s="240" t="str">
        <f>Foglio3!F214</f>
        <v/>
      </c>
      <c r="F234" s="240">
        <f>Foglio3!I214</f>
        <v>0</v>
      </c>
      <c r="DU234" s="112"/>
      <c r="DV234" s="112"/>
      <c r="JQ234" s="112"/>
      <c r="JR234" s="112"/>
    </row>
    <row r="235" spans="5:278" x14ac:dyDescent="0.25">
      <c r="E235" s="240" t="str">
        <f>Foglio3!F215</f>
        <v/>
      </c>
      <c r="F235" s="240">
        <f>Foglio3!I215</f>
        <v>0</v>
      </c>
      <c r="DU235" s="112"/>
      <c r="DV235" s="112"/>
      <c r="JQ235" s="112"/>
      <c r="JR235" s="112"/>
    </row>
    <row r="236" spans="5:278" x14ac:dyDescent="0.25">
      <c r="E236" s="240" t="str">
        <f>Foglio3!F216</f>
        <v/>
      </c>
      <c r="F236" s="240">
        <f>Foglio3!I216</f>
        <v>0</v>
      </c>
      <c r="DU236" s="112"/>
      <c r="DV236" s="112"/>
      <c r="JQ236" s="112"/>
      <c r="JR236" s="112"/>
    </row>
    <row r="237" spans="5:278" x14ac:dyDescent="0.25">
      <c r="E237" s="240" t="str">
        <f>Foglio3!F217</f>
        <v/>
      </c>
      <c r="F237" s="240">
        <f>Foglio3!I217</f>
        <v>0</v>
      </c>
      <c r="DU237" s="112"/>
      <c r="DV237" s="112"/>
      <c r="JQ237" s="112"/>
      <c r="JR237" s="112"/>
    </row>
    <row r="238" spans="5:278" x14ac:dyDescent="0.25">
      <c r="DU238" s="112"/>
      <c r="DV238" s="112"/>
      <c r="JQ238" s="112"/>
      <c r="JR238" s="112"/>
    </row>
    <row r="239" spans="5:278" x14ac:dyDescent="0.25">
      <c r="DU239" s="112"/>
      <c r="DV239" s="112"/>
    </row>
    <row r="240" spans="5:278" x14ac:dyDescent="0.25">
      <c r="DU240" s="112"/>
      <c r="DV240" s="112"/>
    </row>
    <row r="241" spans="125:126" x14ac:dyDescent="0.25">
      <c r="DU241" s="112"/>
      <c r="DV241" s="112"/>
    </row>
    <row r="242" spans="125:126" x14ac:dyDescent="0.25">
      <c r="DU242" s="112"/>
      <c r="DV242" s="112"/>
    </row>
    <row r="243" spans="125:126" x14ac:dyDescent="0.25">
      <c r="DU243" s="112"/>
      <c r="DV243" s="112"/>
    </row>
    <row r="244" spans="125:126" x14ac:dyDescent="0.25">
      <c r="DU244" s="112"/>
      <c r="DV244" s="112"/>
    </row>
    <row r="245" spans="125:126" x14ac:dyDescent="0.25">
      <c r="DU245" s="112"/>
      <c r="DV245" s="112"/>
    </row>
    <row r="246" spans="125:126" x14ac:dyDescent="0.25">
      <c r="DU246" s="112"/>
      <c r="DV246" s="112"/>
    </row>
    <row r="247" spans="125:126" x14ac:dyDescent="0.25">
      <c r="DU247" s="112"/>
      <c r="DV247" s="112"/>
    </row>
    <row r="248" spans="125:126" x14ac:dyDescent="0.25">
      <c r="DU248" s="112"/>
      <c r="DV248" s="112"/>
    </row>
    <row r="249" spans="125:126" x14ac:dyDescent="0.25">
      <c r="DU249" s="112"/>
      <c r="DV249" s="112"/>
    </row>
    <row r="250" spans="125:126" x14ac:dyDescent="0.25">
      <c r="DU250" s="112"/>
      <c r="DV250" s="112"/>
    </row>
    <row r="251" spans="125:126" x14ac:dyDescent="0.25">
      <c r="DU251" s="112"/>
      <c r="DV251" s="112"/>
    </row>
    <row r="252" spans="125:126" x14ac:dyDescent="0.25">
      <c r="DU252" s="112"/>
      <c r="DV252" s="112"/>
    </row>
    <row r="253" spans="125:126" x14ac:dyDescent="0.25">
      <c r="DU253" s="112"/>
      <c r="DV253" s="112"/>
    </row>
    <row r="254" spans="125:126" x14ac:dyDescent="0.25">
      <c r="DU254" s="112"/>
      <c r="DV254" s="112"/>
    </row>
    <row r="255" spans="125:126" x14ac:dyDescent="0.25">
      <c r="DU255" s="112"/>
      <c r="DV255" s="112"/>
    </row>
    <row r="256" spans="125:126" x14ac:dyDescent="0.25">
      <c r="DU256" s="112"/>
      <c r="DV256" s="112"/>
    </row>
  </sheetData>
  <sortState xmlns:xlrd2="http://schemas.microsoft.com/office/spreadsheetml/2017/richdata2" ref="DV40:DV256">
    <sortCondition ref="DV40"/>
  </sortState>
  <mergeCells count="6">
    <mergeCell ref="H2:N6"/>
    <mergeCell ref="KD30:KP33"/>
    <mergeCell ref="A39:B39"/>
    <mergeCell ref="DD39:DL39"/>
    <mergeCell ref="DO38:DQ38"/>
    <mergeCell ref="HW39:IF3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4"/>
  <dimension ref="C1:L81"/>
  <sheetViews>
    <sheetView showRowColHeaders="0" topLeftCell="A22" workbookViewId="0">
      <selection activeCell="F22" sqref="F22:K22"/>
    </sheetView>
  </sheetViews>
  <sheetFormatPr defaultColWidth="8.85546875" defaultRowHeight="180" customHeight="1" x14ac:dyDescent="0.25"/>
  <cols>
    <col min="1" max="2" width="1.42578125" style="320" customWidth="1"/>
    <col min="3" max="3" width="87.42578125" style="320" customWidth="1"/>
    <col min="4" max="16384" width="8.85546875" style="320"/>
  </cols>
  <sheetData>
    <row r="1" spans="3:12" ht="180" customHeight="1" x14ac:dyDescent="0.3">
      <c r="C1" s="316" t="s">
        <v>324</v>
      </c>
      <c r="E1" s="320" t="s">
        <v>244</v>
      </c>
      <c r="G1" s="619" t="s">
        <v>391</v>
      </c>
      <c r="H1" s="620"/>
      <c r="I1" s="620"/>
      <c r="J1" s="620"/>
      <c r="K1" s="620"/>
      <c r="L1" s="620"/>
    </row>
    <row r="2" spans="3:12" ht="145.15" customHeight="1" x14ac:dyDescent="0.3">
      <c r="C2" s="316" t="s">
        <v>321</v>
      </c>
      <c r="G2" s="621" t="s">
        <v>392</v>
      </c>
      <c r="H2" s="598"/>
      <c r="I2" s="598"/>
      <c r="J2" s="598"/>
      <c r="K2" s="598"/>
    </row>
    <row r="3" spans="3:12" ht="180" customHeight="1" x14ac:dyDescent="0.3">
      <c r="C3" s="316" t="s">
        <v>320</v>
      </c>
      <c r="E3" s="619" t="s">
        <v>391</v>
      </c>
      <c r="F3" s="620"/>
      <c r="G3" s="620"/>
      <c r="H3" s="620"/>
      <c r="I3" s="620"/>
      <c r="J3" s="620"/>
    </row>
    <row r="4" spans="3:12" ht="180" customHeight="1" x14ac:dyDescent="0.3">
      <c r="C4" s="316" t="str">
        <f>Foglio7!IY40</f>
        <v xml:space="preserve">DAL: 9/12/1998 - AL:30/4/1999 - ANNI:0 - MESI:4 -GIORNI:23
DAL: 1/5/1999 - AL:10/6/1999 - ANNI:0 - MESI:1 -GIORNI:11
DAL: 14/6/1999 - AL:14/6/1999 - ANNI:0 - MESI:0 -GIORNI:1
DAL: 29/9/1999 - AL:30/9/1999 - ANNI:0 - MESI:0 -GIORNI:2
DAL: 1/10/1999 - AL:21/10/1999 - ANNI:0 - MESI:0 -GIORNI:21
DAL: 23/10/1999 - AL:31/8/2000 - ANNI:0 - MESI:10 -GIORNI:14
DAL: 8/9/2000 - AL:29/1/2001 - ANNI:0 - MESI:4 -GIORNI:24
DAL: 30/1/2001 - AL:30/6/2001 - ANNI:0 - MESI:5 -GIORNI:2
DAL: 1/9/2001 - AL:30/6/2002 - ANNI:0 - MESI:10 -GIORNI:3
DAL: 3/10/2001 - AL:5/11/2001 - ANNI:0 - MESI:0 -GIORNI:0
DAL: 3/10/2001 - AL:5/11/2001 - ANNI:0 - MESI:0 -GIORNI:0
DAL: 6/11/2001 - AL:30/6/2002 - ANNI:0 - MESI:0 -GIORNI:0
DAL: 7/11/2001 - AL:26/1/2002 - ANNI:0 - MESI:0 -GIORNI:0
DAL: 28/1/2002 - AL:30/6/2002 - ANNI:0 - MESI:0 -GIORNI:0
DAL: 8/10/2002 - AL:22/10/2002 - ANNI:0 - MESI:0 -GIORNI:15
DAL: 8/1/2003 - AL:11/2/2003 - ANNI:0 - MESI:1 -GIORNI:5
DAL: 23/1/2003 - AL:11/6/2003 - ANNI:0 - MESI:4 -GIORNI:0
DAL: 21/2/2003 - AL:14/6/2003 - ANNI:0 - MESI:0 -GIORNI:3
DAL: 1/9/2003 - AL:30/6/2004 - ANNI:0 - MESI:10 -GIORNI:4
DAL: 1/9/2004 - AL:18/7/2005 - ANNI:0 - MESI:10 -GIORNI:21
DAL: 1/9/2005 - AL:21/7/2006 - ANNI:0 - MESI:10 -GIORNI:24
DAL: 1/9/2006 - AL:14/7/2007 - ANNI:0 - MESI:10 -GIORNI:17
DAL: 13/9/2007 - AL:30/6/2008 - ANNI:0 - MESI:9 -GIORNI:22
DAL: 1/9/2008 - AL:30/6/2009 - ANNI:0 - MESI:10 -GIORNI:3
DAL: 7/9/2009 - AL:7/9/2009 - ANNI:0 - MESI:0 -GIORNI:1
DAL: 10/9/2009 - AL:31/8/2010 - ANNI:0 - MESI:11 -GIORNI:26
DAL: 9/9/2010 - AL:15/7/2011 - ANNI:0 - MESI:10 -GIORNI:10
DAL: 10/9/2010 - AL:15/7/2011 - ANNI:0 - MESI:0 -GIORNI:0
DAL: 16/9/2011 - AL:30/6/2012 - ANNI:0 - MESI:9 -GIORNI:19
DAL: 19/9/2012 - AL:16/7/2013 - ANNI:0 - MESI:3 -GIORNI:14
DAL: 26/9/2012 - AL:16/7/2013 - ANNI:0 - MESI:3 -GIORNI:7
DAL: 2/10/2012 - AL:14/10/2012 - ANNI:0 - MESI:0 -GIORNI:13
DAL: 15/10/2012 - AL:26/11/2012 - ANNI:0 - MESI:1 -GIORNI:13
DAL: 27/11/2012 - AL:16/7/2013 - ANNI:0 - MESI:1 -GIORNI:5
DAL: 3/10/2014 - AL:30/6/2015 - ANNI:0 - MESI:9 -GIORNI:1
DAL: 1/9/2015 - AL:31/8/2016 - ANNI:1 - MESI:0 -GIORNI:1
DAL: 1/9/2016 - AL:31/8/2017 - ANNI:1 - MESI:0 -GIORNI:0
DAL: 1/9/2017 - AL:31/8/2018 - ANNI:1 - MESI:0 -GIORNI:0
DAL: 1/9/2018 - AL:31/8/2019 - ANNI:1 - MESI:0 -GIORNI:0
DAL: 1/9/2019 - AL:31/8/2020 - ANNI:1 - MESI:0 -GIORNI:1
DAL: 1/9/2020 - AL:31/8/2021 - ANNI:1 - MESI:0 -GIORNI:0
DAL: 1/9/2021 - AL:31/8/2022 - ANNI:1 - MESI:0 -GIORNI:0
</v>
      </c>
      <c r="E4" s="621" t="s">
        <v>392</v>
      </c>
      <c r="F4" s="598"/>
      <c r="G4" s="598"/>
      <c r="H4" s="598"/>
      <c r="I4" s="598"/>
    </row>
    <row r="5" spans="3:12" ht="12.6" customHeight="1" x14ac:dyDescent="0.25">
      <c r="C5" s="316"/>
    </row>
    <row r="6" spans="3:12" ht="21" customHeight="1" x14ac:dyDescent="0.25">
      <c r="C6" s="316"/>
    </row>
    <row r="7" spans="3:12" ht="180" hidden="1" customHeight="1" x14ac:dyDescent="0.25">
      <c r="C7" s="316"/>
    </row>
    <row r="8" spans="3:12" ht="10.9" customHeight="1" x14ac:dyDescent="0.25">
      <c r="C8" s="316"/>
    </row>
    <row r="9" spans="3:12" ht="40.15" customHeight="1" x14ac:dyDescent="0.25">
      <c r="C9" s="316" t="s">
        <v>323</v>
      </c>
    </row>
    <row r="10" spans="3:12" ht="113.45" customHeight="1" x14ac:dyDescent="0.25">
      <c r="C10" s="316" t="str">
        <f>Foglio7!JH38</f>
        <v xml:space="preserve">considerato che spetta la fascia 0/2 anni in data:9/12/1998
fascia 3/8 anni in data:4/6/2002
fascia 9/14 anni in data:24/12/2009
fascia 15/20 anni in data:16/2/2017
IL PRESENTE DECRETO TERMINA I SUOI EFFETTI GIURIDICI ECONOMICI IN DATA:31/8/2022 - ULTIMO GIORNO A TEMPO DETERMINATO IMPUGNATO </v>
      </c>
    </row>
    <row r="11" spans="3:12" ht="180" hidden="1" customHeight="1" x14ac:dyDescent="0.25">
      <c r="C11" s="316"/>
    </row>
    <row r="12" spans="3:12" ht="180" hidden="1" customHeight="1" x14ac:dyDescent="0.25">
      <c r="C12" s="316"/>
    </row>
    <row r="13" spans="3:12" ht="180" hidden="1" customHeight="1" x14ac:dyDescent="0.25">
      <c r="C13" s="316"/>
    </row>
    <row r="14" spans="3:12" ht="180" hidden="1" customHeight="1" x14ac:dyDescent="0.25">
      <c r="C14" s="316"/>
    </row>
    <row r="15" spans="3:12" ht="180" hidden="1" customHeight="1" x14ac:dyDescent="0.25">
      <c r="C15" s="316"/>
    </row>
    <row r="16" spans="3:12" ht="180" hidden="1" customHeight="1" x14ac:dyDescent="0.25">
      <c r="C16" s="316"/>
    </row>
    <row r="17" spans="3:11" ht="180" hidden="1" customHeight="1" x14ac:dyDescent="0.25">
      <c r="C17" s="316"/>
    </row>
    <row r="18" spans="3:11" ht="180" hidden="1" customHeight="1" x14ac:dyDescent="0.25">
      <c r="C18" s="316"/>
    </row>
    <row r="19" spans="3:11" ht="25.15" customHeight="1" x14ac:dyDescent="0.25">
      <c r="C19" s="316"/>
    </row>
    <row r="20" spans="3:11" ht="180" customHeight="1" x14ac:dyDescent="0.25">
      <c r="C20" s="316" t="str">
        <f ca="1">Foglio7!HN40</f>
        <v xml:space="preserve">ARTICOLO 1
con decorrenza dalla data: 9/12/1998   Fascia: 0-2 anni - C.C.N.L. COMPARTO SCUOLA 1998/01
                              Stipendio annuo lordo                            euro: 8787
                                                        I.I.S. annuo lordo             euro: 6384,11
TOTALE ANNUO LORDO EURO 15171,11
</v>
      </c>
    </row>
    <row r="21" spans="3:11" ht="180" customHeight="1" x14ac:dyDescent="0.25">
      <c r="C21" s="316" t="str">
        <f ca="1">Foglio7!HN41</f>
        <v xml:space="preserve">ARTICOLO 2
con decorrenza dalla data: 1/6/1999   Fascia: 0-2 anni - C.C.N.L. COMPARTO SCUOLA 1998/01
                              Stipendio annuo lordo                            euro: 9010,11
                                                        I.I.S. annuo lordo             euro: 6384,11
TOTALE ANNUO LORDO EURO 15394,22
</v>
      </c>
    </row>
    <row r="22" spans="3:11" ht="180" customHeight="1" x14ac:dyDescent="0.3">
      <c r="C22" s="316" t="str">
        <f ca="1">Foglio7!HN42</f>
        <v xml:space="preserve">ARTICOLO 3
con decorrenza dalla data: 1/7/2000   Fascia: 0-2 anni - C.C.N.L. COMPARTO SCUOLA 1998/01
                              Stipendio annuo lordo                            euro: 9196,03
                                                        I.I.S. annuo lordo             euro: 6384,11
TOTALE ANNUO LORDO EURO 15580,14
</v>
      </c>
      <c r="F22" s="619" t="s">
        <v>391</v>
      </c>
      <c r="G22" s="620"/>
      <c r="H22" s="620"/>
      <c r="I22" s="620"/>
      <c r="J22" s="620"/>
      <c r="K22" s="620"/>
    </row>
    <row r="23" spans="3:11" ht="180" customHeight="1" x14ac:dyDescent="0.3">
      <c r="C23" s="316" t="str">
        <f ca="1">Foglio7!HN43</f>
        <v xml:space="preserve">ARTICOLO 4
con decorrenza dalla data: 1/9/2000   Fascia: 0-2 anni - C.C.N.L. COMPARTO SCUOLA 1998/01
                              Stipendio annuo lordo                            euro: 9196,03
                                                        I.I.S. annuo lordo             euro: 6384,11
TOTALE ANNUO LORDO EURO 15580,14
</v>
      </c>
      <c r="F23" s="621" t="s">
        <v>392</v>
      </c>
      <c r="G23" s="598"/>
      <c r="H23" s="598"/>
      <c r="I23" s="598"/>
      <c r="J23" s="598"/>
    </row>
    <row r="24" spans="3:11" ht="180" customHeight="1" x14ac:dyDescent="0.25">
      <c r="C24" s="316" t="str">
        <f ca="1">Foglio7!HN44</f>
        <v xml:space="preserve">ARTICOLO 5
con decorrenza dalla data: 1/1/2001   Fascia: 0-2 anni - C.C.N.L. COMPARTO SCUOLA 1998/01
                              Stipendio annuo lordo                            euro: 9505,91
                                                        I.I.S. annuo lordo             euro: 6384,11
                                rpd/cia - annuo lordo                             euro: 1338,6
TOTALE ANNUO LORDO EURO 17228,62
</v>
      </c>
    </row>
    <row r="25" spans="3:11" ht="180" customHeight="1" x14ac:dyDescent="0.25">
      <c r="C25" s="316" t="str">
        <f ca="1">Foglio7!HN45</f>
        <v xml:space="preserve">ARTICOLO 6
con decorrenza dalla data: 1/1/2002   Fascia: 0-2 anni - C.C.N.L. COMPARTO SCUOLA 2002/05
                              Stipendio annuo lordo                            euro: 0
</v>
      </c>
    </row>
    <row r="26" spans="3:11" ht="180" customHeight="1" x14ac:dyDescent="0.25">
      <c r="C26" s="316" t="str">
        <f ca="1">Foglio7!HN46</f>
        <v xml:space="preserve">ARTICOLO 7
con decorrenza dalla data: 4/6/2002   Fascia: 3-8 anni - C.C.N.L. COMPARTO SCUOLA 2002/05
                              Stipendio annuo lordo                            euro: 0
</v>
      </c>
    </row>
    <row r="27" spans="3:11" ht="180" customHeight="1" x14ac:dyDescent="0.25">
      <c r="C27" s="316" t="str">
        <f ca="1">Foglio7!HN47</f>
        <v xml:space="preserve">ARTICOLO 8
con decorrenza dalla data: 1/1/2003   Fascia: 3-8 anni - C.C.N.L. COMPARTO SCUOLA 2002/05
                              Stipendio annuo lordo                            euro: 17154,75
                                rpd/cia - annuo lordo                             euro: 1710,6
TOTALE ANNUO LORDO EURO 18865,35
</v>
      </c>
    </row>
    <row r="28" spans="3:11" ht="180" customHeight="1" x14ac:dyDescent="0.25">
      <c r="C28" s="316" t="str">
        <f ca="1">Foglio7!HN48</f>
        <v xml:space="preserve">ARTICOLO 9
con decorrenza dalla data: 1/1/2004   Fascia: 3-8 anni - C.C.N.L. COMPARTO SCUOLA 2002/05
                              Stipendio annuo lordo                            euro: 17569,35
                                rpd/cia - annuo lordo                             euro: 1857,84
TOTALE ANNUO LORDO EURO 19427,19
</v>
      </c>
    </row>
    <row r="29" spans="3:11" ht="180" customHeight="1" x14ac:dyDescent="0.25">
      <c r="C29" s="316" t="str">
        <f ca="1">Foglio7!HN49</f>
        <v xml:space="preserve">ARTICOLO 10
con decorrenza dalla data: 1/2/2005   Fascia: 3-8 anni - C.C.N.L. COMPARTO SCUOLA 2002/05
                              Stipendio annuo lordo                            euro: 18057,15
                                rpd/cia - annuo lordo                             euro: 1857,84
TOTALE ANNUO LORDO EURO 19914,99
</v>
      </c>
    </row>
    <row r="30" spans="3:11" ht="180" customHeight="1" x14ac:dyDescent="0.25">
      <c r="C30" s="316" t="str">
        <f ca="1">Foglio7!HN50</f>
        <v xml:space="preserve">ARTICOLO 11
con decorrenza dalla data: 1/1/2006   Fascia: 3-8 anni - C.C.N.L. COMPARTO  SCUOLA 2006/09
                              Stipendio annuo lordo                            euro: 18140,79
                                rpd/cia - annuo lordo                             euro: 1968
TOTALE ANNUO LORDO EURO 20108,79
</v>
      </c>
    </row>
    <row r="31" spans="3:11" ht="180" customHeight="1" x14ac:dyDescent="0.25">
      <c r="C31" s="316" t="str">
        <f ca="1">Foglio7!HN51</f>
        <v xml:space="preserve">ARTICOLO 12
con decorrenza dalla data: 1/1/2007   Fascia: 3-8 anni - C.C.N.L. COMPARTO  SCUOLA 2006/09
                              Stipendio annuo lordo                            euro: 18486,03
                                rpd/cia - annuo lordo                             euro: 1968
TOTALE ANNUO LORDO EURO 20454,03
</v>
      </c>
    </row>
    <row r="32" spans="3:11" ht="180" customHeight="1" x14ac:dyDescent="0.25">
      <c r="C32" s="316" t="str">
        <f ca="1">Foglio7!HN52</f>
        <v xml:space="preserve">ARTICOLO 13
con decorrenza dalla data: 1/2/2007   Fascia: 3-8 anni - C.C.N.L. COMPARTO  SCUOLA 2006/09
                              Stipendio annuo lordo                            euro: 18990,03
                                rpd/cia - annuo lordo                             euro: 1968
TOTALE ANNUO LORDO EURO 20958,03
</v>
      </c>
    </row>
    <row r="33" spans="3:11" ht="180" customHeight="1" x14ac:dyDescent="0.25">
      <c r="C33" s="316" t="str">
        <f ca="1">Foglio7!HN53</f>
        <v xml:space="preserve">ARTICOLO 14
con decorrenza dalla data: 1/7/2007   Fascia: 3-8 anni - C.C.N.L. COMPARTO  SCUOLA 2006/09
                              Stipendio annuo lordo                            euro: 18990,03
                                rpd/cia - annuo lordo                             euro: 1968
TOTALE ANNUO LORDO EURO 20958,03
</v>
      </c>
    </row>
    <row r="34" spans="3:11" ht="180" customHeight="1" x14ac:dyDescent="0.25">
      <c r="C34" s="316" t="str">
        <f ca="1">Foglio7!HN54</f>
        <v xml:space="preserve">ARTICOLO 15
con decorrenza dalla data: 31/12/2007   Fascia: 3-8 anni - C.C.N.L. COMPARTO  SCUOLA 2006/09
                              Stipendio annuo lordo                            euro: 19112,07
                                rpd/cia - annuo lordo                             euro: 1968
TOTALE ANNUO LORDO EURO 21080,07
</v>
      </c>
    </row>
    <row r="35" spans="3:11" ht="180" customHeight="1" x14ac:dyDescent="0.25">
      <c r="C35" s="316" t="str">
        <f ca="1">Foglio7!HN55</f>
        <v xml:space="preserve">ARTICOLO 16
con decorrenza dalla data: 1/4/2008   Fascia: 3-8 anni - C.C.N.L. COMPARTO  SCUOLA 2006/09
                              Stipendio annuo lordo                            euro: 19206,99
                                rpd/cia - annuo lordo                             euro: 1968
TOTALE ANNUO LORDO EURO 21174,99
</v>
      </c>
    </row>
    <row r="36" spans="3:11" ht="180" customHeight="1" x14ac:dyDescent="0.25">
      <c r="C36" s="316" t="str">
        <f ca="1">Foglio7!HN56</f>
        <v xml:space="preserve">ARTICOLO 17
con decorrenza dalla data: 1/7/2008   Fascia: 3-8 anni - C.C.N.L. COMPARTO  SCUOLA 2006/09
                              Stipendio annuo lordo                            euro: 19270,23
                                rpd/cia - annuo lordo                             euro: 1968
TOTALE ANNUO LORDO EURO 21238,23
</v>
      </c>
    </row>
    <row r="37" spans="3:11" ht="180" customHeight="1" x14ac:dyDescent="0.25">
      <c r="C37" s="316" t="str">
        <f ca="1">Foglio7!HN57</f>
        <v xml:space="preserve">ARTICOLO 18
con decorrenza dalla data: 1/1/2009   Fascia: 3-8 anni - C.C.N.L. COMPARTO  SCUOLA 2006/09
                              Stipendio annuo lordo                            euro: 19846,35
                                rpd/cia - annuo lordo                             euro: 1968
TOTALE ANNUO LORDO EURO 21814,35
</v>
      </c>
    </row>
    <row r="38" spans="3:11" ht="180" customHeight="1" x14ac:dyDescent="0.3">
      <c r="C38" s="316" t="str">
        <f ca="1">Foglio7!HN58</f>
        <v xml:space="preserve">ARTICOLO 19
con decorrenza dalla data: 24/12/2009   Fascia: 9-14 anni - C.C.N.L. COMPARTO  SCUOLA 2006/09
                              Stipendio annuo lordo                            euro: 21454,08
                                rpd/cia - annuo lordo                             euro: 1968
TOTALE ANNUO LORDO EURO 23422,08
</v>
      </c>
      <c r="F38" s="619" t="s">
        <v>391</v>
      </c>
      <c r="G38" s="620"/>
      <c r="H38" s="620"/>
      <c r="I38" s="620"/>
      <c r="J38" s="620"/>
      <c r="K38" s="620"/>
    </row>
    <row r="39" spans="3:11" ht="180" customHeight="1" x14ac:dyDescent="0.3">
      <c r="C39" s="316" t="str">
        <f ca="1">Foglio7!HN59</f>
        <v xml:space="preserve">ARTICOLO 20
con decorrenza dalla data: 24/12/2009   Fascia: 9-14 anni - C.C.N.L. COMPARTO  SCUOLA 2006/09
                              Stipendio annuo lordo                            euro: 21454,08
                                rpd/cia - annuo lordo                             euro: 1968
TOTALE ANNUO LORDO EURO 23422,08
</v>
      </c>
      <c r="F39" s="621" t="s">
        <v>392</v>
      </c>
      <c r="G39" s="598"/>
      <c r="H39" s="598"/>
      <c r="I39" s="598"/>
      <c r="J39" s="598"/>
    </row>
    <row r="40" spans="3:11" ht="180" customHeight="1" x14ac:dyDescent="0.25">
      <c r="C40" s="316" t="str">
        <f ca="1">Foglio7!HN60</f>
        <v xml:space="preserve">ARTICOLO 21
con decorrenza dalla data: 1/7/2010   Fascia: 9-14 anni - C.C.N.L. COMPARTO  SCUOLA 2006/09
                              Stipendio annuo lordo                            euro: 21454,08
               Indennita di Vacanza contr.le -     annuo lordo    euro : 144,93
                                rpd/cia - annuo lordo                             euro: 1968
TOTALE ANNUO LORDO EURO 23567,01
</v>
      </c>
    </row>
    <row r="41" spans="3:11" ht="180" customHeight="1" x14ac:dyDescent="0.25">
      <c r="C41" s="316" t="str">
        <f ca="1">Foglio7!HN61</f>
        <v xml:space="preserve">ARTICOLO 22
con decorrenza dalla data: 1/9/2010   Fascia: 9-14 anni - C.C.N.L. COMPARTO  SCUOLA 2006/09
                              Stipendio annuo lordo                            euro: 21454,08
               Indennita di Vacanza contr.le -     annuo lordo    euro : 144,93
                                rpd/cia - annuo lordo                             euro: 1968
TOTALE ANNUO LORDO EURO 23567,01
</v>
      </c>
    </row>
    <row r="42" spans="3:11" ht="180" customHeight="1" x14ac:dyDescent="0.25">
      <c r="C42" s="316" t="str">
        <f ca="1">Foglio7!HN62</f>
        <v xml:space="preserve">ARTICOLO 23
con decorrenza dalla data: 1/1/2011   Fascia: 9-14 anni - C.C.N.L. COMPARTO  SCUOLA 2006/09
                              Stipendio annuo lordo                            euro: 21454,08
               Indennita di Vacanza contr.le -     annuo lordo    euro : 144,93
                                rpd/cia - annuo lordo                             euro: 1968
TOTALE ANNUO LORDO EURO 23567,01
</v>
      </c>
    </row>
    <row r="43" spans="3:11" ht="180" customHeight="1" x14ac:dyDescent="0.25">
      <c r="C43" s="316" t="str">
        <f ca="1">Foglio7!HN63</f>
        <v xml:space="preserve">ARTICOLO 24
con decorrenza dalla data: 1/1/2016   Fascia: 9-14 anni - C.C.N.L. COMPARTO  SCUOLA 2016/18
                              Stipendio annuo lordo                            euro: 21538,08
               Indennita di Vacanza contr.le -     annuo lordo    euro : 144,93
                                rpd/cia - annuo lordo                             euro: 1968
TOTALE ANNUO LORDO EURO 23651,01
</v>
      </c>
    </row>
    <row r="44" spans="3:11" ht="180" customHeight="1" x14ac:dyDescent="0.25">
      <c r="C44" s="316" t="str">
        <f ca="1">Foglio7!HN64</f>
        <v xml:space="preserve">ARTICOLO 25
con decorrenza dalla data: 1/1/2017   Fascia: 9-14 anni - C.C.N.L. COMPARTO  SCUOLA 2016/18
                              Stipendio annuo lordo                            euro: 21709,68
               Indennita di Vacanza contr.le -     annuo lordo    euro : 144,93
                                rpd/cia - annuo lordo                             euro: 1968
TOTALE ANNUO LORDO EURO 23822,61
</v>
      </c>
    </row>
    <row r="45" spans="3:11" ht="180" customHeight="1" x14ac:dyDescent="0.25">
      <c r="C45" s="316" t="str">
        <f ca="1">Foglio7!HN65</f>
        <v xml:space="preserve">ARTICOLO 26
con decorrenza dalla data: 16/2/2017   Fascia: 15-20 anni - C.C.N.L. COMPARTO  SCUOLA 2016/18
                              Stipendio annuo lordo                            euro: 23609,21
               Indennita di Vacanza contr.le -     annuo lordo    euro : 144,93
                                rpd/cia - annuo lordo                             euro: 2424
TOTALE ANNUO LORDO EURO 26178,14
</v>
      </c>
    </row>
    <row r="46" spans="3:11" ht="180" customHeight="1" x14ac:dyDescent="0.25">
      <c r="C46" s="316" t="str">
        <f ca="1">Foglio7!HN66</f>
        <v xml:space="preserve">ARTICOLO 27
con decorrenza dalla data: 1/3/2018   Fascia: 15-20 anni - C.C.N.L. COMPARTO  SCUOLA 2016/18
                              Stipendio annuo lordo                            euro: 24136,01
               Indennita di Vacanza contr.le -     annuo lordo    euro : 144,93
                                rpd/cia - annuo lordo                             euro: 2577,6
</v>
      </c>
    </row>
    <row r="47" spans="3:11" ht="180" customHeight="1" x14ac:dyDescent="0.25">
      <c r="C47" s="316" t="str">
        <f ca="1">Foglio7!HN67</f>
        <v xml:space="preserve">ARTICOLO 28
con decorrenza dalla data: 1/4/2018   Fascia: 15-20 anni - C.C.N.L. COMPARTO  SCUOLA 2016/18
                              Stipendio annuo lordo                            euro: 24280,94
                                rpd/cia - annuo lordo                             euro: 2577,6
</v>
      </c>
    </row>
    <row r="48" spans="3:11" ht="180" customHeight="1" x14ac:dyDescent="0.25">
      <c r="C48" s="316" t="str">
        <f ca="1">Foglio7!HN68</f>
        <v xml:space="preserve">ARTICOLO 29
con decorrenza dalla data: 1/1/2019   Fascia: 15-20 anni - C.C.N.L. COMPARTO  SCUOLA del Dicembre 2022
                              Stipendio annuo lordo                            euro: 24506,49
                                rpd/cia - annuo lordo                             euro: 2577,6
</v>
      </c>
    </row>
    <row r="49" spans="3:3" ht="180" customHeight="1" x14ac:dyDescent="0.25">
      <c r="C49" s="316" t="str">
        <f ca="1">Foglio7!HN69</f>
        <v xml:space="preserve">ARTICOLO 30
con decorrenza dalla data: 1/1/2020   Fascia: 15-20 anni - C.C.N.L. COMPARTO  SCUOLA del Dicembre 2022
                              Stipendio annuo lordo                            euro: 24696,19
                                rpd/cia - annuo lordo                             euro: 2577,6
</v>
      </c>
    </row>
    <row r="50" spans="3:3" ht="180" customHeight="1" x14ac:dyDescent="0.25">
      <c r="C50" s="316" t="str">
        <f ca="1">Foglio7!HN70</f>
        <v xml:space="preserve">ARTICOLO 31
con decorrenza dalla data: 1/1/2021   Fascia: 15-20 anni - C.C.N.L. COMPARTO  SCUOLA del Dicembre 2022
                              Stipendio annuo lordo                            euro: 25204,99
                                rpd/cia - annuo lordo                             euro: 2577,6
</v>
      </c>
    </row>
    <row r="51" spans="3:3" ht="180" customHeight="1" x14ac:dyDescent="0.25">
      <c r="C51" s="316" t="str">
        <f ca="1">Foglio7!HN71</f>
        <v xml:space="preserve">ARTICOLO 32
con decorrenza dalla data: 1/1/2022   Fascia: 15-20 anni - C.C.N.L. COMPARTO  SCUOLA del Dicembre 2022
                              Stipendio annuo lordo                            euro: 25204,99
                                rpd/cia - annuo lordo                             euro: 2721,6
</v>
      </c>
    </row>
    <row r="52" spans="3:3" ht="180" customHeight="1" x14ac:dyDescent="0.25">
      <c r="C52" s="316" t="str">
        <f ca="1">Foglio7!HN72</f>
        <v xml:space="preserve">ARTICOLO 33
con decorrenza dalla data: 1/4/2022   Fascia: 15-20 anni - C.C.N.L. COMPARTO  SCUOLA del Dicembre 2022
                              Stipendio annuo lordo                            euro: 25204,99
               Indennita di Vacanza contr.le -     annuo lordo    euro : 75,61
                                rpd/cia - annuo lordo                             euro: 2721,6
</v>
      </c>
    </row>
    <row r="53" spans="3:3" ht="180" customHeight="1" x14ac:dyDescent="0.25">
      <c r="C53" s="316" t="str">
        <f ca="1">Foglio7!HN73</f>
        <v xml:space="preserve">ARTICOLO 34
con decorrenza dalla data: 1/7/2022   Fascia: 15-20 anni - C.C.N.L. COMPARTO  SCUOLA del Dicembre 2022
                              Stipendio annuo lordo                            euro: 25204,99
               Indennita di Vacanza contr.le -     annuo lordo    euro : 126,02
                                rpd/cia - annuo lordo                             euro: 2721,6
</v>
      </c>
    </row>
    <row r="54" spans="3:3" ht="180" customHeight="1" x14ac:dyDescent="0.25">
      <c r="C54" s="316" t="str">
        <f ca="1">Foglio7!HN74</f>
        <v>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row>
    <row r="55" spans="3:3" ht="180" customHeight="1" x14ac:dyDescent="0.25">
      <c r="C55" s="316" t="str">
        <f ca="1">Foglio7!HN75</f>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row>
    <row r="56" spans="3:3" ht="180" customHeight="1" x14ac:dyDescent="0.25">
      <c r="C56" s="316" t="str">
        <f ca="1">Foglio7!HN76</f>
        <v xml:space="preserve">
</v>
      </c>
    </row>
    <row r="57" spans="3:3" ht="180" customHeight="1" x14ac:dyDescent="0.25">
      <c r="C57" s="316" t="str">
        <f>Foglio7!HN77</f>
        <v/>
      </c>
    </row>
    <row r="58" spans="3:3" ht="180" customHeight="1" x14ac:dyDescent="0.25">
      <c r="C58" s="316" t="str">
        <f>Foglio7!HN78</f>
        <v/>
      </c>
    </row>
    <row r="59" spans="3:3" ht="180" customHeight="1" x14ac:dyDescent="0.25">
      <c r="C59" s="316" t="str">
        <f>Foglio7!HN79</f>
        <v/>
      </c>
    </row>
    <row r="60" spans="3:3" ht="180" customHeight="1" x14ac:dyDescent="0.25">
      <c r="C60" s="316" t="str">
        <f>Foglio7!HN80</f>
        <v/>
      </c>
    </row>
    <row r="61" spans="3:3" ht="180" customHeight="1" x14ac:dyDescent="0.25">
      <c r="C61" s="316" t="str">
        <f>Foglio7!HN81</f>
        <v/>
      </c>
    </row>
    <row r="62" spans="3:3" ht="180" customHeight="1" x14ac:dyDescent="0.25">
      <c r="C62" s="316" t="str">
        <f>Foglio7!HN82</f>
        <v/>
      </c>
    </row>
    <row r="63" spans="3:3" ht="180" customHeight="1" x14ac:dyDescent="0.25">
      <c r="C63" s="316" t="str">
        <f>Foglio7!HN83</f>
        <v/>
      </c>
    </row>
    <row r="64" spans="3:3" ht="180" customHeight="1" x14ac:dyDescent="0.25">
      <c r="C64" s="316" t="str">
        <f>Foglio7!HN84</f>
        <v/>
      </c>
    </row>
    <row r="65" spans="3:3" ht="180" customHeight="1" x14ac:dyDescent="0.25">
      <c r="C65" s="316" t="str">
        <f>Foglio7!HN85</f>
        <v/>
      </c>
    </row>
    <row r="66" spans="3:3" ht="180" customHeight="1" x14ac:dyDescent="0.25">
      <c r="C66" s="316" t="str">
        <f>Foglio7!HN86</f>
        <v/>
      </c>
    </row>
    <row r="67" spans="3:3" ht="180" customHeight="1" x14ac:dyDescent="0.25">
      <c r="C67" s="316" t="str">
        <f>Foglio7!HN87</f>
        <v/>
      </c>
    </row>
    <row r="68" spans="3:3" ht="180" customHeight="1" x14ac:dyDescent="0.25">
      <c r="C68" s="316" t="str">
        <f>Foglio7!HN88</f>
        <v/>
      </c>
    </row>
    <row r="69" spans="3:3" ht="180" customHeight="1" x14ac:dyDescent="0.25">
      <c r="C69" s="316" t="str">
        <f>Foglio7!HN89</f>
        <v/>
      </c>
    </row>
    <row r="70" spans="3:3" ht="180" customHeight="1" x14ac:dyDescent="0.25">
      <c r="C70" s="316"/>
    </row>
    <row r="71" spans="3:3" ht="180" customHeight="1" x14ac:dyDescent="0.25">
      <c r="C71" s="316"/>
    </row>
    <row r="72" spans="3:3" ht="180" customHeight="1" x14ac:dyDescent="0.25">
      <c r="C72" s="316"/>
    </row>
    <row r="73" spans="3:3" ht="180" customHeight="1" x14ac:dyDescent="0.25">
      <c r="C73" s="319"/>
    </row>
    <row r="74" spans="3:3" ht="180" customHeight="1" x14ac:dyDescent="0.25">
      <c r="C74" s="319"/>
    </row>
    <row r="75" spans="3:3" ht="180" customHeight="1" x14ac:dyDescent="0.25">
      <c r="C75" s="319"/>
    </row>
    <row r="76" spans="3:3" ht="180" customHeight="1" x14ac:dyDescent="0.25">
      <c r="C76" s="319"/>
    </row>
    <row r="77" spans="3:3" ht="180" customHeight="1" x14ac:dyDescent="0.25">
      <c r="C77" s="319"/>
    </row>
    <row r="78" spans="3:3" ht="180" customHeight="1" x14ac:dyDescent="0.25">
      <c r="C78" s="319"/>
    </row>
    <row r="79" spans="3:3" ht="180" customHeight="1" x14ac:dyDescent="0.25">
      <c r="C79" s="319"/>
    </row>
    <row r="80" spans="3:3" ht="180" customHeight="1" x14ac:dyDescent="0.25">
      <c r="C80" s="319"/>
    </row>
    <row r="81" spans="3:3" ht="180" customHeight="1" x14ac:dyDescent="0.25">
      <c r="C81" s="319"/>
    </row>
  </sheetData>
  <sheetProtection sheet="1" objects="1" scenarios="1"/>
  <mergeCells count="8">
    <mergeCell ref="G1:L1"/>
    <mergeCell ref="G2:K2"/>
    <mergeCell ref="F39:J39"/>
    <mergeCell ref="E3:J3"/>
    <mergeCell ref="E4:I4"/>
    <mergeCell ref="F22:K22"/>
    <mergeCell ref="F23:J23"/>
    <mergeCell ref="F38:K38"/>
  </mergeCells>
  <hyperlinks>
    <hyperlink ref="E3" location="provvedimento!A1" display="VEDI IL CALCOLO ED IL PROVVEDIEMTNO DELLE DIFFERENZE SPETTANTI" xr:uid="{00000000-0004-0000-0B00-000000000000}"/>
    <hyperlink ref="E4" location="fronttd!A1" display="TORNA AL FOGLIO DATI" xr:uid="{00000000-0004-0000-0B00-000001000000}"/>
    <hyperlink ref="F22" location="provvedimento!A1" display="VEDI IL CALCOLO ED IL PROVVEDIEMTNO DELLE DIFFERENZE SPETTANTI" xr:uid="{00000000-0004-0000-0B00-000002000000}"/>
    <hyperlink ref="F23" location="fronttd!A1" display="TORNA AL FOGLIO DATI" xr:uid="{00000000-0004-0000-0B00-000003000000}"/>
    <hyperlink ref="F38" location="provvedimento!A1" display="VEDI IL CALCOLO ED IL PROVVEDIEMTNO DELLE DIFFERENZE SPETTANTI" xr:uid="{00000000-0004-0000-0B00-000004000000}"/>
    <hyperlink ref="F39" location="fronttd!A1" display="TORNA AL FOGLIO DATI" xr:uid="{00000000-0004-0000-0B00-000005000000}"/>
    <hyperlink ref="G1" location="provvedimento!A1" display="VEDI IL CALCOLO ED IL PROVVEDIEMTNO DELLE DIFFERENZE SPETTANTI" xr:uid="{00000000-0004-0000-0B00-000006000000}"/>
    <hyperlink ref="G2" location="fronttd!A1" display="TORNA AL FOGLIO DATI" xr:uid="{00000000-0004-0000-0B00-000007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128"/>
  <sheetViews>
    <sheetView topLeftCell="A55" workbookViewId="0">
      <selection activeCell="C82" sqref="C82"/>
    </sheetView>
  </sheetViews>
  <sheetFormatPr defaultColWidth="8.85546875" defaultRowHeight="15" x14ac:dyDescent="0.25"/>
  <cols>
    <col min="1" max="1" width="3" style="246" customWidth="1"/>
    <col min="2" max="2" width="9" style="246" customWidth="1"/>
    <col min="3" max="3" width="9.7109375" style="246" customWidth="1"/>
    <col min="4" max="4" width="6.5703125" style="246" customWidth="1"/>
    <col min="5" max="6" width="5.28515625" style="246" customWidth="1"/>
    <col min="7" max="7" width="6.28515625" style="246" customWidth="1"/>
    <col min="8" max="16384" width="8.85546875" style="246"/>
  </cols>
  <sheetData>
    <row r="1" spans="1:19" x14ac:dyDescent="0.25">
      <c r="A1" s="625"/>
      <c r="B1" s="625"/>
      <c r="C1" s="625"/>
      <c r="D1" s="625"/>
      <c r="E1" s="625"/>
      <c r="F1" s="625"/>
      <c r="G1" s="625"/>
      <c r="H1" s="625"/>
      <c r="I1" s="625"/>
      <c r="J1" s="625"/>
      <c r="K1" s="625"/>
    </row>
    <row r="2" spans="1:19" x14ac:dyDescent="0.25">
      <c r="A2" s="625"/>
      <c r="B2" s="625"/>
      <c r="C2" s="625"/>
      <c r="D2" s="625"/>
      <c r="E2" s="625"/>
      <c r="F2" s="625"/>
      <c r="G2" s="625"/>
      <c r="H2" s="625"/>
      <c r="I2" s="625"/>
      <c r="J2" s="625"/>
      <c r="K2" s="625"/>
    </row>
    <row r="3" spans="1:19" x14ac:dyDescent="0.25">
      <c r="A3" s="625"/>
      <c r="B3" s="625"/>
      <c r="C3" s="625"/>
      <c r="D3" s="625"/>
      <c r="E3" s="625"/>
      <c r="F3" s="625"/>
      <c r="G3" s="625"/>
      <c r="H3" s="625"/>
      <c r="I3" s="625"/>
      <c r="J3" s="625"/>
      <c r="K3" s="625"/>
    </row>
    <row r="4" spans="1:19" x14ac:dyDescent="0.25">
      <c r="A4" s="625"/>
      <c r="B4" s="625"/>
      <c r="C4" s="625"/>
      <c r="D4" s="625"/>
      <c r="E4" s="625"/>
      <c r="F4" s="625"/>
      <c r="G4" s="625"/>
      <c r="H4" s="625"/>
      <c r="I4" s="625"/>
      <c r="J4" s="625"/>
      <c r="K4" s="625"/>
    </row>
    <row r="5" spans="1:19" x14ac:dyDescent="0.25">
      <c r="A5" s="625"/>
      <c r="B5" s="625"/>
      <c r="C5" s="625"/>
      <c r="D5" s="625"/>
      <c r="E5" s="625"/>
      <c r="F5" s="625"/>
      <c r="G5" s="625"/>
      <c r="H5" s="625"/>
      <c r="I5" s="625"/>
      <c r="J5" s="625"/>
      <c r="K5" s="625"/>
    </row>
    <row r="6" spans="1:19" ht="202.15" customHeight="1" x14ac:dyDescent="0.7">
      <c r="B6" s="626" t="str">
        <f>Foglio7!JQ42</f>
        <v xml:space="preserve">
Secondo provvedimento
DECRETO DI LIQUIDAZIONE SOMME SPETTANTI
                                                                                    INTESTAZIONE
Decreto n              - Prot.                    Data:
Il Dirigente Scolastico
Vista la Sentenza n:              del Tribunale di:  
                                        DECRETA    </v>
      </c>
      <c r="C6" s="626"/>
      <c r="D6" s="626"/>
      <c r="E6" s="626"/>
      <c r="F6" s="626"/>
      <c r="G6" s="626"/>
      <c r="H6" s="626"/>
      <c r="I6" s="626"/>
      <c r="J6" s="626"/>
      <c r="K6" s="626"/>
      <c r="O6" s="622" t="s">
        <v>395</v>
      </c>
      <c r="P6" s="623"/>
      <c r="Q6" s="623"/>
      <c r="R6" s="623"/>
      <c r="S6" s="623"/>
    </row>
    <row r="7" spans="1:19" ht="115.15" customHeight="1" x14ac:dyDescent="0.25">
      <c r="B7" s="626" t="e">
        <f ca="1">Foglio7!JQ43</f>
        <v>#REF!</v>
      </c>
      <c r="C7" s="626"/>
      <c r="D7" s="626"/>
      <c r="E7" s="626"/>
      <c r="F7" s="626"/>
      <c r="G7" s="626"/>
      <c r="H7" s="626"/>
      <c r="I7" s="626"/>
      <c r="J7" s="626"/>
      <c r="K7" s="626"/>
    </row>
    <row r="8" spans="1:19" ht="79.150000000000006" customHeight="1" x14ac:dyDescent="0.25">
      <c r="B8" s="626" t="str">
        <f>Foglio7!JQ45</f>
        <v xml:space="preserve">
IL PRESENTE PROVVEDIMENTO SARA' INVIATO ALLA RAGIONERIA TERRITORIALE DELLO STATO PER QUANTO DI COMPETENZA
 IL DIRIGENTE SCOLASTICO</v>
      </c>
      <c r="C8" s="626"/>
      <c r="D8" s="626"/>
      <c r="E8" s="626"/>
      <c r="F8" s="626"/>
      <c r="G8" s="626"/>
      <c r="H8" s="626"/>
      <c r="I8" s="626"/>
      <c r="J8" s="315"/>
      <c r="K8" s="315"/>
    </row>
    <row r="9" spans="1:19" ht="60" customHeight="1" x14ac:dyDescent="0.25">
      <c r="B9" s="316"/>
      <c r="C9" s="316"/>
      <c r="D9" s="316"/>
      <c r="E9" s="316"/>
      <c r="F9" s="316"/>
      <c r="G9" s="316"/>
      <c r="H9" s="316"/>
      <c r="I9" s="316"/>
      <c r="J9" s="315"/>
      <c r="K9" s="315"/>
    </row>
    <row r="10" spans="1:19" ht="30.6" customHeight="1" x14ac:dyDescent="0.25">
      <c r="B10" s="627" t="s">
        <v>318</v>
      </c>
      <c r="C10" s="627"/>
      <c r="D10" s="627"/>
      <c r="E10" s="627"/>
      <c r="F10" s="627"/>
      <c r="G10" s="627"/>
      <c r="H10" s="627"/>
      <c r="I10" s="627"/>
      <c r="J10" s="627"/>
      <c r="K10" s="627"/>
    </row>
    <row r="11" spans="1:19" ht="77.45" customHeight="1" x14ac:dyDescent="0.25">
      <c r="B11" s="624" t="e">
        <f ca="1">Foglio7!JJ55</f>
        <v>#REF!</v>
      </c>
      <c r="C11" s="624"/>
      <c r="D11" s="624"/>
      <c r="E11" s="624"/>
      <c r="F11" s="624"/>
      <c r="G11" s="624"/>
      <c r="H11" s="624"/>
      <c r="I11" s="624"/>
      <c r="J11" s="624"/>
      <c r="K11" s="624"/>
    </row>
    <row r="12" spans="1:19" ht="111.6" customHeight="1" x14ac:dyDescent="0.7">
      <c r="B12" s="317" t="str">
        <f>Foglio7!JQ46</f>
        <v>dal</v>
      </c>
      <c r="C12" s="317" t="str">
        <f>Foglio7!JR46</f>
        <v>al</v>
      </c>
      <c r="D12" s="317" t="str">
        <f>Foglio7!JS46</f>
        <v>orario</v>
      </c>
      <c r="E12" s="317" t="str">
        <f>Foglio7!JT46</f>
        <v>SU ORE</v>
      </c>
      <c r="F12" s="317" t="str">
        <f>Foglio7!JU46</f>
        <v>n.giorni</v>
      </c>
      <c r="G12" s="317" t="s">
        <v>376</v>
      </c>
      <c r="H12" s="317" t="str">
        <f>Foglio7!JW46</f>
        <v>totale retribuzione che sarebbe spettata ANNUO LORDO</v>
      </c>
      <c r="I12" s="317" t="str">
        <f>Foglio7!JX46</f>
        <v>totale retribuzione effettivamente percepita ANNUO LORDO</v>
      </c>
      <c r="J12" s="317" t="str">
        <f>Foglio7!JY46</f>
        <v>DIFFERENZA SPETTANTE IN BASE AL N.DEI GIORNI E ALLE ORE</v>
      </c>
      <c r="K12" s="317" t="str">
        <f>Foglio7!JZ46</f>
        <v>anzianità che sarebbe spettata</v>
      </c>
      <c r="M12" s="622" t="s">
        <v>395</v>
      </c>
      <c r="N12" s="623"/>
      <c r="O12" s="623"/>
      <c r="P12" s="623"/>
      <c r="Q12" s="623"/>
    </row>
    <row r="13" spans="1:19" x14ac:dyDescent="0.25">
      <c r="B13" s="318">
        <f ca="1">Foglio7!JQ47</f>
        <v>36138</v>
      </c>
      <c r="C13" s="318">
        <f ca="1">Foglio7!JR47</f>
        <v>36280</v>
      </c>
      <c r="D13" s="317">
        <f ca="1">Foglio7!JS47</f>
        <v>9</v>
      </c>
      <c r="E13" s="317">
        <f ca="1">Foglio7!JT47</f>
        <v>24</v>
      </c>
      <c r="F13" s="317">
        <f ca="1">Foglio7!JU47</f>
        <v>143</v>
      </c>
      <c r="G13" s="317">
        <f ca="1">Foglio7!JV47</f>
        <v>0</v>
      </c>
      <c r="H13" s="317">
        <f ca="1">Foglio7!JW47</f>
        <v>0</v>
      </c>
      <c r="I13" s="317">
        <f ca="1">Foglio7!JX47</f>
        <v>0</v>
      </c>
      <c r="J13" s="317">
        <f ca="1">Foglio7!JY47</f>
        <v>0</v>
      </c>
      <c r="K13" s="317" t="str">
        <f ca="1">Foglio7!JZ47</f>
        <v>0/2 anni</v>
      </c>
    </row>
    <row r="14" spans="1:19" x14ac:dyDescent="0.25">
      <c r="B14" s="318">
        <f ca="1">Foglio7!JQ48</f>
        <v>36281</v>
      </c>
      <c r="C14" s="318">
        <f ca="1">Foglio7!JR48</f>
        <v>36311</v>
      </c>
      <c r="D14" s="317">
        <f ca="1">Foglio7!JS48</f>
        <v>9</v>
      </c>
      <c r="E14" s="317">
        <f ca="1">Foglio7!JT48</f>
        <v>24</v>
      </c>
      <c r="F14" s="317">
        <f ca="1">Foglio7!JU48</f>
        <v>31</v>
      </c>
      <c r="G14" s="317">
        <f ca="1">Foglio7!JV48</f>
        <v>0</v>
      </c>
      <c r="H14" s="317">
        <f ca="1">Foglio7!JW48</f>
        <v>0</v>
      </c>
      <c r="I14" s="317">
        <f ca="1">Foglio7!JX48</f>
        <v>0</v>
      </c>
      <c r="J14" s="317">
        <f ca="1">Foglio7!JY48</f>
        <v>0</v>
      </c>
      <c r="K14" s="317" t="str">
        <f ca="1">Foglio7!JZ48</f>
        <v>0/2 anni</v>
      </c>
    </row>
    <row r="15" spans="1:19" x14ac:dyDescent="0.25">
      <c r="B15" s="318">
        <f ca="1">Foglio7!JQ49</f>
        <v>36312</v>
      </c>
      <c r="C15" s="318">
        <f ca="1">Foglio7!JR49</f>
        <v>36321</v>
      </c>
      <c r="D15" s="317">
        <f ca="1">Foglio7!JS49</f>
        <v>9</v>
      </c>
      <c r="E15" s="317">
        <f ca="1">Foglio7!JT49</f>
        <v>24</v>
      </c>
      <c r="F15" s="317">
        <f ca="1">Foglio7!JU49</f>
        <v>10</v>
      </c>
      <c r="G15" s="317">
        <f ca="1">Foglio7!JV49</f>
        <v>0</v>
      </c>
      <c r="H15" s="317">
        <f ca="1">Foglio7!JW49</f>
        <v>0</v>
      </c>
      <c r="I15" s="317">
        <f ca="1">Foglio7!JX49</f>
        <v>0</v>
      </c>
      <c r="J15" s="317">
        <f ca="1">Foglio7!JY49</f>
        <v>0</v>
      </c>
      <c r="K15" s="317" t="str">
        <f ca="1">Foglio7!JZ49</f>
        <v>0/2 anni</v>
      </c>
    </row>
    <row r="16" spans="1:19" x14ac:dyDescent="0.25">
      <c r="B16" s="318">
        <f ca="1">Foglio7!JQ50</f>
        <v>36325</v>
      </c>
      <c r="C16" s="318">
        <f ca="1">Foglio7!JR50</f>
        <v>36325</v>
      </c>
      <c r="D16" s="317">
        <f ca="1">Foglio7!JS50</f>
        <v>9</v>
      </c>
      <c r="E16" s="317">
        <f ca="1">Foglio7!JT50</f>
        <v>24</v>
      </c>
      <c r="F16" s="317">
        <f ca="1">Foglio7!JU50</f>
        <v>1</v>
      </c>
      <c r="G16" s="317">
        <f ca="1">Foglio7!JV50</f>
        <v>0</v>
      </c>
      <c r="H16" s="317">
        <f ca="1">Foglio7!JW50</f>
        <v>0</v>
      </c>
      <c r="I16" s="317">
        <f ca="1">Foglio7!JX50</f>
        <v>0</v>
      </c>
      <c r="J16" s="317">
        <f ca="1">Foglio7!JY50</f>
        <v>0</v>
      </c>
      <c r="K16" s="317" t="str">
        <f ca="1">Foglio7!JZ50</f>
        <v>0/2 anni</v>
      </c>
    </row>
    <row r="17" spans="2:11" x14ac:dyDescent="0.25">
      <c r="B17" s="318">
        <f ca="1">Foglio7!JQ51</f>
        <v>36432</v>
      </c>
      <c r="C17" s="318">
        <f ca="1">Foglio7!JR51</f>
        <v>36433</v>
      </c>
      <c r="D17" s="317">
        <f ca="1">Foglio7!JS51</f>
        <v>13</v>
      </c>
      <c r="E17" s="317">
        <f ca="1">Foglio7!JT51</f>
        <v>24</v>
      </c>
      <c r="F17" s="317">
        <f ca="1">Foglio7!JU51</f>
        <v>2</v>
      </c>
      <c r="G17" s="317">
        <f ca="1">Foglio7!JV51</f>
        <v>0</v>
      </c>
      <c r="H17" s="317">
        <f ca="1">Foglio7!JW51</f>
        <v>0</v>
      </c>
      <c r="I17" s="317">
        <f ca="1">Foglio7!JX51</f>
        <v>0</v>
      </c>
      <c r="J17" s="317">
        <f ca="1">Foglio7!JY51</f>
        <v>0</v>
      </c>
      <c r="K17" s="317" t="str">
        <f ca="1">Foglio7!JZ51</f>
        <v>0/2 anni</v>
      </c>
    </row>
    <row r="18" spans="2:11" x14ac:dyDescent="0.25">
      <c r="B18" s="318">
        <f ca="1">Foglio7!JQ52</f>
        <v>36434</v>
      </c>
      <c r="C18" s="318">
        <f ca="1">Foglio7!JR52</f>
        <v>36454</v>
      </c>
      <c r="D18" s="317">
        <f ca="1">Foglio7!JS52</f>
        <v>7</v>
      </c>
      <c r="E18" s="317">
        <f ca="1">Foglio7!JT52</f>
        <v>24</v>
      </c>
      <c r="F18" s="317">
        <f ca="1">Foglio7!JU52</f>
        <v>21</v>
      </c>
      <c r="G18" s="317">
        <f ca="1">Foglio7!JV52</f>
        <v>0</v>
      </c>
      <c r="H18" s="317">
        <f ca="1">Foglio7!JW52</f>
        <v>0</v>
      </c>
      <c r="I18" s="317">
        <f ca="1">Foglio7!JX52</f>
        <v>0</v>
      </c>
      <c r="J18" s="317">
        <f ca="1">Foglio7!JY52</f>
        <v>0</v>
      </c>
      <c r="K18" s="317" t="str">
        <f ca="1">Foglio7!JZ52</f>
        <v>0/2 anni</v>
      </c>
    </row>
    <row r="19" spans="2:11" x14ac:dyDescent="0.25">
      <c r="B19" s="318">
        <f ca="1">Foglio7!JQ53</f>
        <v>36456</v>
      </c>
      <c r="C19" s="318">
        <f ca="1">Foglio7!JR53</f>
        <v>36707</v>
      </c>
      <c r="D19" s="317">
        <f ca="1">Foglio7!JS53</f>
        <v>18</v>
      </c>
      <c r="E19" s="317">
        <f ca="1">Foglio7!JT53</f>
        <v>24</v>
      </c>
      <c r="F19" s="317">
        <f ca="1">Foglio7!JU53</f>
        <v>252</v>
      </c>
      <c r="G19" s="317">
        <f ca="1">Foglio7!JV53</f>
        <v>0</v>
      </c>
      <c r="H19" s="317">
        <f ca="1">Foglio7!JW53</f>
        <v>0</v>
      </c>
      <c r="I19" s="317">
        <f ca="1">Foglio7!JX53</f>
        <v>0</v>
      </c>
      <c r="J19" s="317">
        <f ca="1">Foglio7!JY53</f>
        <v>0</v>
      </c>
      <c r="K19" s="317" t="str">
        <f ca="1">Foglio7!JZ53</f>
        <v>0/2 anni</v>
      </c>
    </row>
    <row r="20" spans="2:11" x14ac:dyDescent="0.25">
      <c r="B20" s="318">
        <f ca="1">Foglio7!JQ54</f>
        <v>36708</v>
      </c>
      <c r="C20" s="318">
        <f ca="1">Foglio7!JR54</f>
        <v>36769</v>
      </c>
      <c r="D20" s="317">
        <f ca="1">Foglio7!JS54</f>
        <v>18</v>
      </c>
      <c r="E20" s="317">
        <f ca="1">Foglio7!JT54</f>
        <v>24</v>
      </c>
      <c r="F20" s="317">
        <f ca="1">Foglio7!JU54</f>
        <v>62</v>
      </c>
      <c r="G20" s="317">
        <f ca="1">Foglio7!JV54</f>
        <v>0</v>
      </c>
      <c r="H20" s="317">
        <f ca="1">Foglio7!JW54</f>
        <v>0</v>
      </c>
      <c r="I20" s="317">
        <f ca="1">Foglio7!JX54</f>
        <v>0</v>
      </c>
      <c r="J20" s="317">
        <f ca="1">Foglio7!JY54</f>
        <v>0</v>
      </c>
      <c r="K20" s="317" t="str">
        <f ca="1">Foglio7!JZ54</f>
        <v>0/2 anni</v>
      </c>
    </row>
    <row r="21" spans="2:11" x14ac:dyDescent="0.25">
      <c r="B21" s="318">
        <f ca="1">Foglio7!JQ55</f>
        <v>36777</v>
      </c>
      <c r="C21" s="318">
        <f ca="1">Foglio7!JR55</f>
        <v>36891</v>
      </c>
      <c r="D21" s="317">
        <f ca="1">Foglio7!JS55</f>
        <v>18</v>
      </c>
      <c r="E21" s="317">
        <f ca="1">Foglio7!JT55</f>
        <v>24</v>
      </c>
      <c r="F21" s="317">
        <f ca="1">Foglio7!JU55</f>
        <v>115</v>
      </c>
      <c r="G21" s="317">
        <f ca="1">Foglio7!JV55</f>
        <v>0</v>
      </c>
      <c r="H21" s="317">
        <f ca="1">Foglio7!JW55</f>
        <v>0</v>
      </c>
      <c r="I21" s="317">
        <f ca="1">Foglio7!JX55</f>
        <v>0</v>
      </c>
      <c r="J21" s="317">
        <f ca="1">Foglio7!JY55</f>
        <v>0</v>
      </c>
      <c r="K21" s="317" t="str">
        <f ca="1">Foglio7!JZ55</f>
        <v>0/2 anni</v>
      </c>
    </row>
    <row r="22" spans="2:11" x14ac:dyDescent="0.25">
      <c r="B22" s="318">
        <f ca="1">Foglio7!JQ56</f>
        <v>36892</v>
      </c>
      <c r="C22" s="318">
        <f ca="1">Foglio7!JR56</f>
        <v>36920</v>
      </c>
      <c r="D22" s="317">
        <f ca="1">Foglio7!JS56</f>
        <v>18</v>
      </c>
      <c r="E22" s="317">
        <f ca="1">Foglio7!JT56</f>
        <v>24</v>
      </c>
      <c r="F22" s="317">
        <f ca="1">Foglio7!JU56</f>
        <v>29</v>
      </c>
      <c r="G22" s="317">
        <f ca="1">Foglio7!JV56</f>
        <v>0</v>
      </c>
      <c r="H22" s="317">
        <f ca="1">Foglio7!JW56</f>
        <v>0</v>
      </c>
      <c r="I22" s="317">
        <f ca="1">Foglio7!JX56</f>
        <v>0</v>
      </c>
      <c r="J22" s="317">
        <f ca="1">Foglio7!JY56</f>
        <v>0</v>
      </c>
      <c r="K22" s="317" t="str">
        <f ca="1">Foglio7!JZ56</f>
        <v>0/2 anni</v>
      </c>
    </row>
    <row r="23" spans="2:11" x14ac:dyDescent="0.25">
      <c r="B23" s="318">
        <f ca="1">Foglio7!JQ57</f>
        <v>36921</v>
      </c>
      <c r="C23" s="318">
        <f ca="1">Foglio7!JR57</f>
        <v>37072</v>
      </c>
      <c r="D23" s="317">
        <f ca="1">Foglio7!JS57</f>
        <v>18</v>
      </c>
      <c r="E23" s="317">
        <f ca="1">Foglio7!JT57</f>
        <v>24</v>
      </c>
      <c r="F23" s="317">
        <f ca="1">Foglio7!JU57</f>
        <v>152</v>
      </c>
      <c r="G23" s="317">
        <f ca="1">Foglio7!JV57</f>
        <v>0</v>
      </c>
      <c r="H23" s="317">
        <f ca="1">Foglio7!JW57</f>
        <v>0</v>
      </c>
      <c r="I23" s="317">
        <f ca="1">Foglio7!JX57</f>
        <v>0</v>
      </c>
      <c r="J23" s="317">
        <f ca="1">Foglio7!JY57</f>
        <v>0</v>
      </c>
      <c r="K23" s="317" t="str">
        <f ca="1">Foglio7!JZ57</f>
        <v>0/2 anni</v>
      </c>
    </row>
    <row r="24" spans="2:11" x14ac:dyDescent="0.25">
      <c r="B24" s="318">
        <f ca="1">Foglio7!JQ58</f>
        <v>37135</v>
      </c>
      <c r="C24" s="318">
        <f ca="1">Foglio7!JR58</f>
        <v>37256</v>
      </c>
      <c r="D24" s="317">
        <f ca="1">Foglio7!JS58</f>
        <v>8</v>
      </c>
      <c r="E24" s="317">
        <f ca="1">Foglio7!JT58</f>
        <v>24</v>
      </c>
      <c r="F24" s="317">
        <f ca="1">Foglio7!JU58</f>
        <v>122</v>
      </c>
      <c r="G24" s="317">
        <f ca="1">Foglio7!JV58</f>
        <v>0</v>
      </c>
      <c r="H24" s="317">
        <f ca="1">Foglio7!JW58</f>
        <v>0</v>
      </c>
      <c r="I24" s="317">
        <f ca="1">Foglio7!JX58</f>
        <v>0</v>
      </c>
      <c r="J24" s="317">
        <f ca="1">Foglio7!JY58</f>
        <v>0</v>
      </c>
      <c r="K24" s="317" t="str">
        <f ca="1">Foglio7!JZ58</f>
        <v>0/2 anni</v>
      </c>
    </row>
    <row r="25" spans="2:11" x14ac:dyDescent="0.25">
      <c r="B25" s="318">
        <f ca="1">Foglio7!JQ59</f>
        <v>37167</v>
      </c>
      <c r="C25" s="318">
        <f ca="1">Foglio7!JR59</f>
        <v>37200</v>
      </c>
      <c r="D25" s="317">
        <f ca="1">Foglio7!JS59</f>
        <v>5</v>
      </c>
      <c r="E25" s="317">
        <f ca="1">Foglio7!JT59</f>
        <v>24</v>
      </c>
      <c r="F25" s="317">
        <f ca="1">Foglio7!JU59</f>
        <v>34</v>
      </c>
      <c r="G25" s="317">
        <f ca="1">Foglio7!JV59</f>
        <v>0</v>
      </c>
      <c r="H25" s="317">
        <f ca="1">Foglio7!JW59</f>
        <v>0</v>
      </c>
      <c r="I25" s="317">
        <f ca="1">Foglio7!JX59</f>
        <v>0</v>
      </c>
      <c r="J25" s="317">
        <f ca="1">Foglio7!JY59</f>
        <v>0</v>
      </c>
      <c r="K25" s="317" t="str">
        <f ca="1">Foglio7!JZ59</f>
        <v>0/2 anni</v>
      </c>
    </row>
    <row r="26" spans="2:11" x14ac:dyDescent="0.25">
      <c r="B26" s="318">
        <f ca="1">Foglio7!JQ60</f>
        <v>37167</v>
      </c>
      <c r="C26" s="318">
        <f ca="1">Foglio7!JR60</f>
        <v>37200</v>
      </c>
      <c r="D26" s="317">
        <f ca="1">Foglio7!JS60</f>
        <v>5</v>
      </c>
      <c r="E26" s="317">
        <f ca="1">Foglio7!JT60</f>
        <v>24</v>
      </c>
      <c r="F26" s="317">
        <f ca="1">Foglio7!JU60</f>
        <v>34</v>
      </c>
      <c r="G26" s="317">
        <f ca="1">Foglio7!JV60</f>
        <v>0</v>
      </c>
      <c r="H26" s="317">
        <f ca="1">Foglio7!JW60</f>
        <v>0</v>
      </c>
      <c r="I26" s="317">
        <f ca="1">Foglio7!JX60</f>
        <v>0</v>
      </c>
      <c r="J26" s="317">
        <f ca="1">Foglio7!JY60</f>
        <v>0</v>
      </c>
      <c r="K26" s="317" t="str">
        <f ca="1">Foglio7!JZ60</f>
        <v>0/2 anni</v>
      </c>
    </row>
    <row r="27" spans="2:11" x14ac:dyDescent="0.25">
      <c r="B27" s="318">
        <f ca="1">Foglio7!JQ61</f>
        <v>37201</v>
      </c>
      <c r="C27" s="318">
        <f ca="1">Foglio7!JR61</f>
        <v>37256</v>
      </c>
      <c r="D27" s="317">
        <f ca="1">Foglio7!JS61</f>
        <v>4</v>
      </c>
      <c r="E27" s="317">
        <f ca="1">Foglio7!JT61</f>
        <v>24</v>
      </c>
      <c r="F27" s="317">
        <f ca="1">Foglio7!JU61</f>
        <v>56</v>
      </c>
      <c r="G27" s="317">
        <f ca="1">Foglio7!JV61</f>
        <v>0</v>
      </c>
      <c r="H27" s="317">
        <f ca="1">Foglio7!JW61</f>
        <v>0</v>
      </c>
      <c r="I27" s="317">
        <f ca="1">Foglio7!JX61</f>
        <v>0</v>
      </c>
      <c r="J27" s="317">
        <f ca="1">Foglio7!JY61</f>
        <v>0</v>
      </c>
      <c r="K27" s="317" t="str">
        <f ca="1">Foglio7!JZ61</f>
        <v>0/2 anni</v>
      </c>
    </row>
    <row r="28" spans="2:11" x14ac:dyDescent="0.25">
      <c r="B28" s="318">
        <f ca="1">Foglio7!JQ62</f>
        <v>37202</v>
      </c>
      <c r="C28" s="318">
        <f ca="1">Foglio7!JR62</f>
        <v>37256</v>
      </c>
      <c r="D28" s="317">
        <f ca="1">Foglio7!JS62</f>
        <v>6</v>
      </c>
      <c r="E28" s="317">
        <f ca="1">Foglio7!JT62</f>
        <v>24</v>
      </c>
      <c r="F28" s="317">
        <f ca="1">Foglio7!JU62</f>
        <v>55</v>
      </c>
      <c r="G28" s="317">
        <f ca="1">Foglio7!JV62</f>
        <v>0</v>
      </c>
      <c r="H28" s="317">
        <f ca="1">Foglio7!JW62</f>
        <v>0</v>
      </c>
      <c r="I28" s="317">
        <f ca="1">Foglio7!JX62</f>
        <v>0</v>
      </c>
      <c r="J28" s="317">
        <f ca="1">Foglio7!JY62</f>
        <v>0</v>
      </c>
      <c r="K28" s="317" t="str">
        <f ca="1">Foglio7!JZ62</f>
        <v>0/2 anni</v>
      </c>
    </row>
    <row r="29" spans="2:11" x14ac:dyDescent="0.25">
      <c r="B29" s="318">
        <f ca="1">Foglio7!JQ63</f>
        <v>37257</v>
      </c>
      <c r="C29" s="318">
        <f ca="1">Foglio7!JR63</f>
        <v>37410</v>
      </c>
      <c r="D29" s="317">
        <f ca="1">Foglio7!JS63</f>
        <v>8</v>
      </c>
      <c r="E29" s="317">
        <f ca="1">Foglio7!JT63</f>
        <v>24</v>
      </c>
      <c r="F29" s="317">
        <f ca="1">Foglio7!JU63</f>
        <v>154</v>
      </c>
      <c r="G29" s="317">
        <f ca="1">Foglio7!JV63</f>
        <v>0</v>
      </c>
      <c r="H29" s="317">
        <f ca="1">Foglio7!JW63</f>
        <v>0</v>
      </c>
      <c r="I29" s="317">
        <f ca="1">Foglio7!JX63</f>
        <v>0</v>
      </c>
      <c r="J29" s="317">
        <f ca="1">Foglio7!JY63</f>
        <v>0</v>
      </c>
      <c r="K29" s="317" t="str">
        <f ca="1">Foglio7!JZ63</f>
        <v>0/2 anni</v>
      </c>
    </row>
    <row r="30" spans="2:11" x14ac:dyDescent="0.25">
      <c r="B30" s="318">
        <f ca="1">Foglio7!JQ64</f>
        <v>37257</v>
      </c>
      <c r="C30" s="318">
        <f ca="1">Foglio7!JR64</f>
        <v>37410</v>
      </c>
      <c r="D30" s="317">
        <f ca="1">Foglio7!JS64</f>
        <v>8</v>
      </c>
      <c r="E30" s="317">
        <f ca="1">Foglio7!JT64</f>
        <v>24</v>
      </c>
      <c r="F30" s="317">
        <f ca="1">Foglio7!JU64</f>
        <v>154</v>
      </c>
      <c r="G30" s="317">
        <f ca="1">Foglio7!JV64</f>
        <v>0</v>
      </c>
      <c r="H30" s="317">
        <f ca="1">Foglio7!JW64</f>
        <v>0</v>
      </c>
      <c r="I30" s="317">
        <f ca="1">Foglio7!JX64</f>
        <v>0</v>
      </c>
      <c r="J30" s="317">
        <f ca="1">Foglio7!JY64</f>
        <v>0</v>
      </c>
      <c r="K30" s="317" t="str">
        <f ca="1">Foglio7!JZ64</f>
        <v>0/2 anni</v>
      </c>
    </row>
    <row r="31" spans="2:11" x14ac:dyDescent="0.25">
      <c r="B31" s="318">
        <f ca="1">Foglio7!JQ65</f>
        <v>37257</v>
      </c>
      <c r="C31" s="318">
        <f ca="1">Foglio7!JR65</f>
        <v>37410</v>
      </c>
      <c r="D31" s="317">
        <f ca="1">Foglio7!JS65</f>
        <v>8</v>
      </c>
      <c r="E31" s="317">
        <f ca="1">Foglio7!JT65</f>
        <v>24</v>
      </c>
      <c r="F31" s="317">
        <f ca="1">Foglio7!JU65</f>
        <v>154</v>
      </c>
      <c r="G31" s="317">
        <f ca="1">Foglio7!JV65</f>
        <v>0</v>
      </c>
      <c r="H31" s="317">
        <f ca="1">Foglio7!JW65</f>
        <v>0</v>
      </c>
      <c r="I31" s="317">
        <f ca="1">Foglio7!JX65</f>
        <v>0</v>
      </c>
      <c r="J31" s="317">
        <f ca="1">Foglio7!JY65</f>
        <v>0</v>
      </c>
      <c r="K31" s="317" t="str">
        <f ca="1">Foglio7!JZ65</f>
        <v>0/2 anni</v>
      </c>
    </row>
    <row r="32" spans="2:11" x14ac:dyDescent="0.25">
      <c r="B32" s="318">
        <f ca="1">Foglio7!JQ66</f>
        <v>37284</v>
      </c>
      <c r="C32" s="318">
        <f ca="1">Foglio7!JR66</f>
        <v>37410</v>
      </c>
      <c r="D32" s="317">
        <f ca="1">Foglio7!JS66</f>
        <v>5</v>
      </c>
      <c r="E32" s="317">
        <f ca="1">Foglio7!JT66</f>
        <v>24</v>
      </c>
      <c r="F32" s="317">
        <f ca="1">Foglio7!JU66</f>
        <v>127</v>
      </c>
      <c r="G32" s="317">
        <f ca="1">Foglio7!JV66</f>
        <v>0</v>
      </c>
      <c r="H32" s="317">
        <f ca="1">Foglio7!JW66</f>
        <v>0</v>
      </c>
      <c r="I32" s="317">
        <f ca="1">Foglio7!JX66</f>
        <v>0</v>
      </c>
      <c r="J32" s="317">
        <f ca="1">Foglio7!JY66</f>
        <v>0</v>
      </c>
      <c r="K32" s="317" t="str">
        <f ca="1">Foglio7!JZ66</f>
        <v>0/2 anni</v>
      </c>
    </row>
    <row r="33" spans="2:11" x14ac:dyDescent="0.25">
      <c r="B33" s="318">
        <f ca="1">Foglio7!JQ67</f>
        <v>37411</v>
      </c>
      <c r="C33" s="318">
        <f ca="1">Foglio7!JR67</f>
        <v>37437</v>
      </c>
      <c r="D33" s="317">
        <f ca="1">Foglio7!JS67</f>
        <v>8</v>
      </c>
      <c r="E33" s="317">
        <f ca="1">Foglio7!JT67</f>
        <v>24</v>
      </c>
      <c r="F33" s="317">
        <f ca="1">Foglio7!JU67</f>
        <v>27</v>
      </c>
      <c r="G33" s="317">
        <f ca="1">Foglio7!JV67</f>
        <v>0</v>
      </c>
      <c r="H33" s="317">
        <f ca="1">Foglio7!JW67</f>
        <v>0</v>
      </c>
      <c r="I33" s="317">
        <f ca="1">Foglio7!JX67</f>
        <v>0</v>
      </c>
      <c r="J33" s="317">
        <f ca="1">Foglio7!JY67</f>
        <v>0</v>
      </c>
      <c r="K33" s="317" t="str">
        <f ca="1">Foglio7!JZ67</f>
        <v>3/8 anni</v>
      </c>
    </row>
    <row r="34" spans="2:11" x14ac:dyDescent="0.25">
      <c r="B34" s="318">
        <f ca="1">Foglio7!JQ68</f>
        <v>37411</v>
      </c>
      <c r="C34" s="318">
        <f ca="1">Foglio7!JR68</f>
        <v>37437</v>
      </c>
      <c r="D34" s="317">
        <f ca="1">Foglio7!JS68</f>
        <v>8</v>
      </c>
      <c r="E34" s="317">
        <f ca="1">Foglio7!JT68</f>
        <v>24</v>
      </c>
      <c r="F34" s="317">
        <f ca="1">Foglio7!JU68</f>
        <v>27</v>
      </c>
      <c r="G34" s="317">
        <f ca="1">Foglio7!JV68</f>
        <v>0</v>
      </c>
      <c r="H34" s="317">
        <f ca="1">Foglio7!JW68</f>
        <v>0</v>
      </c>
      <c r="I34" s="317">
        <f ca="1">Foglio7!JX68</f>
        <v>0</v>
      </c>
      <c r="J34" s="317">
        <f ca="1">Foglio7!JY68</f>
        <v>0</v>
      </c>
      <c r="K34" s="317" t="str">
        <f ca="1">Foglio7!JZ68</f>
        <v>3/8 anni</v>
      </c>
    </row>
    <row r="35" spans="2:11" x14ac:dyDescent="0.25">
      <c r="B35" s="318">
        <f ca="1">Foglio7!JQ69</f>
        <v>37411</v>
      </c>
      <c r="C35" s="318">
        <f ca="1">Foglio7!JR69</f>
        <v>37437</v>
      </c>
      <c r="D35" s="317">
        <f ca="1">Foglio7!JS69</f>
        <v>8</v>
      </c>
      <c r="E35" s="317">
        <f ca="1">Foglio7!JT69</f>
        <v>24</v>
      </c>
      <c r="F35" s="317">
        <f ca="1">Foglio7!JU69</f>
        <v>27</v>
      </c>
      <c r="G35" s="317">
        <f ca="1">Foglio7!JV69</f>
        <v>0</v>
      </c>
      <c r="H35" s="317">
        <f ca="1">Foglio7!JW69</f>
        <v>0</v>
      </c>
      <c r="I35" s="317">
        <f ca="1">Foglio7!JX69</f>
        <v>0</v>
      </c>
      <c r="J35" s="317">
        <f ca="1">Foglio7!JY69</f>
        <v>0</v>
      </c>
      <c r="K35" s="317" t="str">
        <f ca="1">Foglio7!JZ69</f>
        <v>3/8 anni</v>
      </c>
    </row>
    <row r="36" spans="2:11" x14ac:dyDescent="0.25">
      <c r="B36" s="318">
        <f ca="1">Foglio7!JQ70</f>
        <v>37537</v>
      </c>
      <c r="C36" s="318">
        <f ca="1">Foglio7!JR70</f>
        <v>37551</v>
      </c>
      <c r="D36" s="317">
        <f ca="1">Foglio7!JS70</f>
        <v>6</v>
      </c>
      <c r="E36" s="317">
        <f ca="1">Foglio7!JT70</f>
        <v>24</v>
      </c>
      <c r="F36" s="317">
        <f ca="1">Foglio7!JU70</f>
        <v>15</v>
      </c>
      <c r="G36" s="317">
        <f ca="1">Foglio7!JV70</f>
        <v>0</v>
      </c>
      <c r="H36" s="317">
        <f ca="1">Foglio7!JW70</f>
        <v>0</v>
      </c>
      <c r="I36" s="317">
        <f ca="1">Foglio7!JX70</f>
        <v>0</v>
      </c>
      <c r="J36" s="317">
        <f ca="1">Foglio7!JY70</f>
        <v>0</v>
      </c>
      <c r="K36" s="317" t="str">
        <f ca="1">Foglio7!JZ70</f>
        <v>3/8 anni</v>
      </c>
    </row>
    <row r="37" spans="2:11" ht="16.149999999999999" customHeight="1" x14ac:dyDescent="0.25">
      <c r="B37" s="318">
        <f ca="1">Foglio7!JQ71</f>
        <v>37540</v>
      </c>
      <c r="C37" s="318">
        <f ca="1">Foglio7!JR71</f>
        <v>37574</v>
      </c>
      <c r="D37" s="317">
        <f ca="1">Foglio7!JS71</f>
        <v>8</v>
      </c>
      <c r="E37" s="317">
        <f ca="1">Foglio7!JT71</f>
        <v>24</v>
      </c>
      <c r="F37" s="317">
        <f ca="1">Foglio7!JU71</f>
        <v>35</v>
      </c>
      <c r="G37" s="317">
        <f ca="1">Foglio7!JV71</f>
        <v>0</v>
      </c>
      <c r="H37" s="317">
        <f ca="1">Foglio7!JW71</f>
        <v>0</v>
      </c>
      <c r="I37" s="317">
        <f ca="1">Foglio7!JX71</f>
        <v>0</v>
      </c>
      <c r="J37" s="317">
        <f ca="1">Foglio7!JY71</f>
        <v>0</v>
      </c>
      <c r="K37" s="317" t="str">
        <f ca="1">Foglio7!JZ71</f>
        <v>3/8 anni</v>
      </c>
    </row>
    <row r="38" spans="2:11" x14ac:dyDescent="0.25">
      <c r="B38" s="318">
        <f ca="1">Foglio7!JQ72</f>
        <v>37629</v>
      </c>
      <c r="C38" s="318">
        <f ca="1">Foglio7!JR72</f>
        <v>37663</v>
      </c>
      <c r="D38" s="317">
        <f ca="1">Foglio7!JS72</f>
        <v>16</v>
      </c>
      <c r="E38" s="317">
        <f ca="1">Foglio7!JT72</f>
        <v>24</v>
      </c>
      <c r="F38" s="317">
        <f ca="1">Foglio7!JU72</f>
        <v>35</v>
      </c>
      <c r="G38" s="317">
        <f ca="1">Foglio7!JV72</f>
        <v>0</v>
      </c>
      <c r="H38" s="317">
        <f ca="1">Foglio7!JW72</f>
        <v>18865.349999999999</v>
      </c>
      <c r="I38" s="317">
        <f ca="1">Foglio7!JX72</f>
        <v>18414.099999999999</v>
      </c>
      <c r="J38" s="317">
        <f ca="1">Foglio7!JY72</f>
        <v>28.85</v>
      </c>
      <c r="K38" s="317" t="str">
        <f ca="1">Foglio7!JZ72</f>
        <v>3/8 anni</v>
      </c>
    </row>
    <row r="39" spans="2:11" x14ac:dyDescent="0.25">
      <c r="B39" s="318">
        <f ca="1">Foglio7!JQ73</f>
        <v>37644</v>
      </c>
      <c r="C39" s="318">
        <f ca="1">Foglio7!JR73</f>
        <v>37783</v>
      </c>
      <c r="D39" s="317">
        <f ca="1">Foglio7!JS73</f>
        <v>2</v>
      </c>
      <c r="E39" s="317">
        <f ca="1">Foglio7!JT73</f>
        <v>24</v>
      </c>
      <c r="F39" s="317">
        <f ca="1">Foglio7!JU73</f>
        <v>140</v>
      </c>
      <c r="G39" s="317">
        <f ca="1">Foglio7!JV73</f>
        <v>0</v>
      </c>
      <c r="H39" s="317">
        <f ca="1">Foglio7!JW73</f>
        <v>18865.349999999999</v>
      </c>
      <c r="I39" s="317">
        <f ca="1">Foglio7!JX73</f>
        <v>18414.099999999999</v>
      </c>
      <c r="J39" s="317">
        <f ca="1">Foglio7!JY73</f>
        <v>14.42</v>
      </c>
      <c r="K39" s="317" t="str">
        <f ca="1">Foglio7!JZ73</f>
        <v>3/8 anni</v>
      </c>
    </row>
    <row r="40" spans="2:11" x14ac:dyDescent="0.25">
      <c r="B40" s="318">
        <f ca="1">Foglio7!JQ74</f>
        <v>37673</v>
      </c>
      <c r="C40" s="318">
        <f ca="1">Foglio7!JR74</f>
        <v>37786</v>
      </c>
      <c r="D40" s="317">
        <f ca="1">Foglio7!JS74</f>
        <v>16</v>
      </c>
      <c r="E40" s="317">
        <f ca="1">Foglio7!JT74</f>
        <v>24</v>
      </c>
      <c r="F40" s="317">
        <f ca="1">Foglio7!JU74</f>
        <v>114</v>
      </c>
      <c r="G40" s="317">
        <f ca="1">Foglio7!JV74</f>
        <v>0</v>
      </c>
      <c r="H40" s="317">
        <f ca="1">Foglio7!JW74</f>
        <v>18865.349999999999</v>
      </c>
      <c r="I40" s="317">
        <f ca="1">Foglio7!JX74</f>
        <v>18414.099999999999</v>
      </c>
      <c r="J40" s="317">
        <f ca="1">Foglio7!JY74</f>
        <v>93.96</v>
      </c>
      <c r="K40" s="317" t="str">
        <f ca="1">Foglio7!JZ74</f>
        <v>3/8 anni</v>
      </c>
    </row>
    <row r="41" spans="2:11" x14ac:dyDescent="0.25">
      <c r="B41" s="318">
        <f ca="1">Foglio7!JQ75</f>
        <v>37865</v>
      </c>
      <c r="C41" s="318">
        <f ca="1">Foglio7!JR75</f>
        <v>37986</v>
      </c>
      <c r="D41" s="317">
        <f ca="1">Foglio7!JS75</f>
        <v>18</v>
      </c>
      <c r="E41" s="317">
        <f ca="1">Foglio7!JT75</f>
        <v>24</v>
      </c>
      <c r="F41" s="317">
        <f ca="1">Foglio7!JU75</f>
        <v>122</v>
      </c>
      <c r="G41" s="317">
        <f ca="1">Foglio7!JV75</f>
        <v>0</v>
      </c>
      <c r="H41" s="317">
        <f ca="1">Foglio7!JW75</f>
        <v>18865.349999999999</v>
      </c>
      <c r="I41" s="317">
        <f ca="1">Foglio7!JX75</f>
        <v>18414.099999999999</v>
      </c>
      <c r="J41" s="317">
        <f ca="1">Foglio7!JY75</f>
        <v>113.12</v>
      </c>
      <c r="K41" s="317" t="str">
        <f ca="1">Foglio7!JZ75</f>
        <v>3/8 anni</v>
      </c>
    </row>
    <row r="42" spans="2:11" x14ac:dyDescent="0.25">
      <c r="B42" s="318">
        <f ca="1">Foglio7!JQ76</f>
        <v>37987</v>
      </c>
      <c r="C42" s="318">
        <f ca="1">Foglio7!JR76</f>
        <v>38168</v>
      </c>
      <c r="D42" s="317">
        <f ca="1">Foglio7!JS76</f>
        <v>18</v>
      </c>
      <c r="E42" s="317">
        <f ca="1">Foglio7!JT76</f>
        <v>24</v>
      </c>
      <c r="F42" s="317">
        <f ca="1">Foglio7!JU76</f>
        <v>182</v>
      </c>
      <c r="G42" s="317">
        <f ca="1">Foglio7!JV76</f>
        <v>0</v>
      </c>
      <c r="H42" s="317">
        <f ca="1">Foglio7!JW76</f>
        <v>19427.189999999999</v>
      </c>
      <c r="I42" s="317">
        <f ca="1">Foglio7!JX76</f>
        <v>18965.02</v>
      </c>
      <c r="J42" s="317">
        <f ca="1">Foglio7!JY76</f>
        <v>172.84</v>
      </c>
      <c r="K42" s="317" t="str">
        <f ca="1">Foglio7!JZ76</f>
        <v>3/8 anni</v>
      </c>
    </row>
    <row r="43" spans="2:11" x14ac:dyDescent="0.25">
      <c r="B43" s="318">
        <f ca="1">Foglio7!JQ77</f>
        <v>38231</v>
      </c>
      <c r="C43" s="318">
        <f ca="1">Foglio7!JR77</f>
        <v>38383</v>
      </c>
      <c r="D43" s="317">
        <f ca="1">Foglio7!JS77</f>
        <v>18</v>
      </c>
      <c r="E43" s="317">
        <f ca="1">Foglio7!JT77</f>
        <v>24</v>
      </c>
      <c r="F43" s="317">
        <f ca="1">Foglio7!JU77</f>
        <v>153</v>
      </c>
      <c r="G43" s="317">
        <f ca="1">Foglio7!JV77</f>
        <v>0</v>
      </c>
      <c r="H43" s="317">
        <f ca="1">Foglio7!JW77</f>
        <v>19427.189999999999</v>
      </c>
      <c r="I43" s="317">
        <f ca="1">Foglio7!JX77</f>
        <v>18965.02</v>
      </c>
      <c r="J43" s="317">
        <f ca="1">Foglio7!JY77</f>
        <v>145.30000000000001</v>
      </c>
      <c r="K43" s="317" t="str">
        <f ca="1">Foglio7!JZ77</f>
        <v>3/8 anni</v>
      </c>
    </row>
    <row r="44" spans="2:11" x14ac:dyDescent="0.25">
      <c r="B44" s="318">
        <f ca="1">Foglio7!JQ78</f>
        <v>38384</v>
      </c>
      <c r="C44" s="318">
        <f ca="1">Foglio7!JR78</f>
        <v>38551</v>
      </c>
      <c r="D44" s="317">
        <f ca="1">Foglio7!JS78</f>
        <v>18</v>
      </c>
      <c r="E44" s="317">
        <f ca="1">Foglio7!JT78</f>
        <v>24</v>
      </c>
      <c r="F44" s="317">
        <f ca="1">Foglio7!JU78</f>
        <v>168</v>
      </c>
      <c r="G44" s="317">
        <f ca="1">Foglio7!JV78</f>
        <v>0</v>
      </c>
      <c r="H44" s="317">
        <f ca="1">Foglio7!JW78</f>
        <v>19914.990000000002</v>
      </c>
      <c r="I44" s="317">
        <f ca="1">Foglio7!JX78</f>
        <v>19439.98</v>
      </c>
      <c r="J44" s="317">
        <f ca="1">Foglio7!JY78</f>
        <v>163.98</v>
      </c>
      <c r="K44" s="317" t="str">
        <f ca="1">Foglio7!JZ78</f>
        <v>3/8 anni</v>
      </c>
    </row>
    <row r="45" spans="2:11" x14ac:dyDescent="0.25">
      <c r="B45" s="318">
        <f ca="1">Foglio7!JQ79</f>
        <v>38596</v>
      </c>
      <c r="C45" s="318">
        <f ca="1">Foglio7!JR79</f>
        <v>38717</v>
      </c>
      <c r="D45" s="317">
        <f ca="1">Foglio7!JS79</f>
        <v>18</v>
      </c>
      <c r="E45" s="317">
        <f ca="1">Foglio7!JT79</f>
        <v>24</v>
      </c>
      <c r="F45" s="317">
        <f ca="1">Foglio7!JU79</f>
        <v>122</v>
      </c>
      <c r="G45" s="317">
        <f ca="1">Foglio7!JV79</f>
        <v>0</v>
      </c>
      <c r="H45" s="317">
        <f ca="1">Foglio7!JW79</f>
        <v>19914.990000000002</v>
      </c>
      <c r="I45" s="317">
        <f ca="1">Foglio7!JX79</f>
        <v>19439.98</v>
      </c>
      <c r="J45" s="317">
        <f ca="1">Foglio7!JY79</f>
        <v>119.08</v>
      </c>
      <c r="K45" s="317" t="str">
        <f ca="1">Foglio7!JZ79</f>
        <v>3/8 anni</v>
      </c>
    </row>
    <row r="46" spans="2:11" x14ac:dyDescent="0.25">
      <c r="B46" s="318">
        <f ca="1">Foglio7!JQ80</f>
        <v>38718</v>
      </c>
      <c r="C46" s="318">
        <f ca="1">Foglio7!JR80</f>
        <v>38919</v>
      </c>
      <c r="D46" s="317">
        <f ca="1">Foglio7!JS80</f>
        <v>18</v>
      </c>
      <c r="E46" s="317">
        <f ca="1">Foglio7!JT80</f>
        <v>24</v>
      </c>
      <c r="F46" s="317">
        <f ca="1">Foglio7!JU80</f>
        <v>202</v>
      </c>
      <c r="G46" s="317">
        <f ca="1">Foglio7!JV80</f>
        <v>0</v>
      </c>
      <c r="H46" s="317">
        <f ca="1">Foglio7!JW80</f>
        <v>20108.79</v>
      </c>
      <c r="I46" s="317">
        <f ca="1">Foglio7!JX80</f>
        <v>19631.62</v>
      </c>
      <c r="J46" s="317">
        <f ca="1">Foglio7!JY80</f>
        <v>198.06</v>
      </c>
      <c r="K46" s="317" t="str">
        <f ca="1">Foglio7!JZ80</f>
        <v>3/8 anni</v>
      </c>
    </row>
    <row r="47" spans="2:11" x14ac:dyDescent="0.25">
      <c r="B47" s="318">
        <f ca="1">Foglio7!JQ81</f>
        <v>38961</v>
      </c>
      <c r="C47" s="318">
        <f ca="1">Foglio7!JR81</f>
        <v>39082</v>
      </c>
      <c r="D47" s="317">
        <f ca="1">Foglio7!JS81</f>
        <v>18</v>
      </c>
      <c r="E47" s="317">
        <f ca="1">Foglio7!JT81</f>
        <v>24</v>
      </c>
      <c r="F47" s="317">
        <f ca="1">Foglio7!JU81</f>
        <v>122</v>
      </c>
      <c r="G47" s="317">
        <f ca="1">Foglio7!JV81</f>
        <v>0</v>
      </c>
      <c r="H47" s="317">
        <f ca="1">Foglio7!JW81</f>
        <v>20108.79</v>
      </c>
      <c r="I47" s="317">
        <f ca="1">Foglio7!JX81</f>
        <v>19631.62</v>
      </c>
      <c r="J47" s="317">
        <f ca="1">Foglio7!JY81</f>
        <v>119.62</v>
      </c>
      <c r="K47" s="317" t="str">
        <f ca="1">Foglio7!JZ81</f>
        <v>3/8 anni</v>
      </c>
    </row>
    <row r="48" spans="2:11" x14ac:dyDescent="0.25">
      <c r="B48" s="318">
        <f ca="1">Foglio7!JQ82</f>
        <v>39083</v>
      </c>
      <c r="C48" s="318">
        <f ca="1">Foglio7!JR82</f>
        <v>39113</v>
      </c>
      <c r="D48" s="317">
        <f ca="1">Foglio7!JS82</f>
        <v>18</v>
      </c>
      <c r="E48" s="317">
        <f ca="1">Foglio7!JT82</f>
        <v>24</v>
      </c>
      <c r="F48" s="317">
        <f ca="1">Foglio7!JU82</f>
        <v>31</v>
      </c>
      <c r="G48" s="317">
        <f ca="1">Foglio7!JV82</f>
        <v>0</v>
      </c>
      <c r="H48" s="317">
        <f ca="1">Foglio7!JW82</f>
        <v>20454.03</v>
      </c>
      <c r="I48" s="317">
        <f ca="1">Foglio7!JX82</f>
        <v>19967.739999999998</v>
      </c>
      <c r="J48" s="317">
        <f ca="1">Foglio7!JY82</f>
        <v>30.98</v>
      </c>
      <c r="K48" s="317" t="str">
        <f ca="1">Foglio7!JZ82</f>
        <v>3/8 anni</v>
      </c>
    </row>
    <row r="49" spans="2:11" x14ac:dyDescent="0.25">
      <c r="B49" s="318">
        <f ca="1">Foglio7!JQ83</f>
        <v>39114</v>
      </c>
      <c r="C49" s="318">
        <f ca="1">Foglio7!JR83</f>
        <v>39264</v>
      </c>
      <c r="D49" s="317">
        <f ca="1">Foglio7!JS83</f>
        <v>18</v>
      </c>
      <c r="E49" s="317">
        <f ca="1">Foglio7!JT83</f>
        <v>24</v>
      </c>
      <c r="F49" s="317">
        <f ca="1">Foglio7!JU83</f>
        <v>151</v>
      </c>
      <c r="G49" s="317">
        <f ca="1">Foglio7!JV83</f>
        <v>0</v>
      </c>
      <c r="H49" s="317">
        <f ca="1">Foglio7!JW83</f>
        <v>20958.03</v>
      </c>
      <c r="I49" s="317">
        <f ca="1">Foglio7!JX83</f>
        <v>20458.54</v>
      </c>
      <c r="J49" s="317">
        <f ca="1">Foglio7!JY83</f>
        <v>154.97999999999999</v>
      </c>
      <c r="K49" s="317" t="str">
        <f ca="1">Foglio7!JZ83</f>
        <v>3/8 anni</v>
      </c>
    </row>
    <row r="50" spans="2:11" x14ac:dyDescent="0.25">
      <c r="B50" s="318">
        <f ca="1">Foglio7!JQ84</f>
        <v>39264</v>
      </c>
      <c r="C50" s="318">
        <f ca="1">Foglio7!JR84</f>
        <v>39277</v>
      </c>
      <c r="D50" s="317">
        <f ca="1">Foglio7!JS84</f>
        <v>18</v>
      </c>
      <c r="E50" s="317">
        <f ca="1">Foglio7!JT84</f>
        <v>24</v>
      </c>
      <c r="F50" s="317">
        <f ca="1">Foglio7!JU84</f>
        <v>14</v>
      </c>
      <c r="G50" s="317">
        <f ca="1">Foglio7!JV84</f>
        <v>0</v>
      </c>
      <c r="H50" s="317">
        <f ca="1">Foglio7!JW84</f>
        <v>20958.03</v>
      </c>
      <c r="I50" s="317">
        <f ca="1">Foglio7!JX84</f>
        <v>20458.54</v>
      </c>
      <c r="J50" s="317">
        <f ca="1">Foglio7!JY84</f>
        <v>14.37</v>
      </c>
      <c r="K50" s="317" t="str">
        <f ca="1">Foglio7!JZ84</f>
        <v>3/8 anni</v>
      </c>
    </row>
    <row r="51" spans="2:11" x14ac:dyDescent="0.25">
      <c r="B51" s="318">
        <f ca="1">Foglio7!JQ85</f>
        <v>39338</v>
      </c>
      <c r="C51" s="318">
        <f ca="1">Foglio7!JR85</f>
        <v>39446</v>
      </c>
      <c r="D51" s="317">
        <f ca="1">Foglio7!JS85</f>
        <v>18</v>
      </c>
      <c r="E51" s="317">
        <f ca="1">Foglio7!JT85</f>
        <v>24</v>
      </c>
      <c r="F51" s="317">
        <f ca="1">Foglio7!JU85</f>
        <v>109</v>
      </c>
      <c r="G51" s="317">
        <f ca="1">Foglio7!JV85</f>
        <v>0</v>
      </c>
      <c r="H51" s="317">
        <f ca="1">Foglio7!JW85</f>
        <v>20958.03</v>
      </c>
      <c r="I51" s="317">
        <f ca="1">Foglio7!JX85</f>
        <v>20458.54</v>
      </c>
      <c r="J51" s="317">
        <f ca="1">Foglio7!JY85</f>
        <v>111.87</v>
      </c>
      <c r="K51" s="317" t="str">
        <f ca="1">Foglio7!JZ85</f>
        <v>3/8 anni</v>
      </c>
    </row>
    <row r="52" spans="2:11" x14ac:dyDescent="0.25">
      <c r="B52" s="318">
        <f ca="1">Foglio7!JQ86</f>
        <v>39447</v>
      </c>
      <c r="C52" s="318">
        <f ca="1">Foglio7!JR86</f>
        <v>39538</v>
      </c>
      <c r="D52" s="317">
        <f ca="1">Foglio7!JS86</f>
        <v>18</v>
      </c>
      <c r="E52" s="317">
        <f ca="1">Foglio7!JT86</f>
        <v>24</v>
      </c>
      <c r="F52" s="317">
        <f ca="1">Foglio7!JU86</f>
        <v>92</v>
      </c>
      <c r="G52" s="317">
        <f ca="1">Foglio7!JV86</f>
        <v>0</v>
      </c>
      <c r="H52" s="317">
        <f ca="1">Foglio7!JW86</f>
        <v>21080.07</v>
      </c>
      <c r="I52" s="317">
        <f ca="1">Foglio7!JX86</f>
        <v>20577.34</v>
      </c>
      <c r="J52" s="317">
        <f ca="1">Foglio7!JY86</f>
        <v>95.04</v>
      </c>
      <c r="K52" s="317" t="str">
        <f ca="1">Foglio7!JZ86</f>
        <v>3/8 anni</v>
      </c>
    </row>
    <row r="53" spans="2:11" x14ac:dyDescent="0.25">
      <c r="B53" s="318">
        <f ca="1">Foglio7!JQ87</f>
        <v>39539</v>
      </c>
      <c r="C53" s="318">
        <f ca="1">Foglio7!JR87</f>
        <v>39629</v>
      </c>
      <c r="D53" s="317">
        <f ca="1">Foglio7!JS87</f>
        <v>18</v>
      </c>
      <c r="E53" s="317">
        <f ca="1">Foglio7!JT87</f>
        <v>24</v>
      </c>
      <c r="F53" s="317">
        <f ca="1">Foglio7!JU87</f>
        <v>91</v>
      </c>
      <c r="G53" s="317">
        <f ca="1">Foglio7!JV87</f>
        <v>0</v>
      </c>
      <c r="H53" s="317">
        <f ca="1">Foglio7!JW87</f>
        <v>21174.989999999998</v>
      </c>
      <c r="I53" s="317">
        <f ca="1">Foglio7!JX87</f>
        <v>20672.259999999998</v>
      </c>
      <c r="J53" s="317">
        <f ca="1">Foglio7!JY87</f>
        <v>94</v>
      </c>
      <c r="K53" s="317" t="str">
        <f ca="1">Foglio7!JZ87</f>
        <v>3/8 anni</v>
      </c>
    </row>
    <row r="54" spans="2:11" x14ac:dyDescent="0.25">
      <c r="B54" s="318">
        <f ca="1">Foglio7!JQ88</f>
        <v>39692</v>
      </c>
      <c r="C54" s="318">
        <f ca="1">Foglio7!JR88</f>
        <v>39813</v>
      </c>
      <c r="D54" s="317">
        <f ca="1">Foglio7!JS88</f>
        <v>18</v>
      </c>
      <c r="E54" s="317">
        <f ca="1">Foglio7!JT88</f>
        <v>24</v>
      </c>
      <c r="F54" s="317">
        <f ca="1">Foglio7!JU88</f>
        <v>122</v>
      </c>
      <c r="G54" s="317">
        <f ca="1">Foglio7!JV88</f>
        <v>0</v>
      </c>
      <c r="H54" s="317">
        <f ca="1">Foglio7!JW88</f>
        <v>21238.23</v>
      </c>
      <c r="I54" s="317">
        <f ca="1">Foglio7!JX88</f>
        <v>20735.5</v>
      </c>
      <c r="J54" s="317">
        <f ca="1">Foglio7!JY88</f>
        <v>126.03</v>
      </c>
      <c r="K54" s="317" t="str">
        <f ca="1">Foglio7!JZ88</f>
        <v>3/8 anni</v>
      </c>
    </row>
    <row r="55" spans="2:11" x14ac:dyDescent="0.25">
      <c r="B55" s="318">
        <f ca="1">Foglio7!JQ89</f>
        <v>39814</v>
      </c>
      <c r="C55" s="318">
        <f ca="1">Foglio7!JR89</f>
        <v>39994</v>
      </c>
      <c r="D55" s="317">
        <f ca="1">Foglio7!JS89</f>
        <v>18</v>
      </c>
      <c r="E55" s="317">
        <f ca="1">Foglio7!JT89</f>
        <v>24</v>
      </c>
      <c r="F55" s="317">
        <f ca="1">Foglio7!JU89</f>
        <v>181</v>
      </c>
      <c r="G55" s="317">
        <f ca="1">Foglio7!JV89</f>
        <v>0</v>
      </c>
      <c r="H55" s="317">
        <f ca="1">Foglio7!JW89</f>
        <v>21814.35</v>
      </c>
      <c r="I55" s="317">
        <f ca="1">Foglio7!JX89</f>
        <v>21292.3</v>
      </c>
      <c r="J55" s="317">
        <f ca="1">Foglio7!JY89</f>
        <v>194.16</v>
      </c>
      <c r="K55" s="317" t="str">
        <f ca="1">Foglio7!JZ89</f>
        <v>3/8 anni</v>
      </c>
    </row>
    <row r="56" spans="2:11" x14ac:dyDescent="0.25">
      <c r="B56" s="318">
        <f ca="1">Foglio7!JQ90</f>
        <v>40063</v>
      </c>
      <c r="C56" s="318">
        <f ca="1">Foglio7!JR90</f>
        <v>40063</v>
      </c>
      <c r="D56" s="317">
        <f ca="1">Foglio7!JS90</f>
        <v>18</v>
      </c>
      <c r="E56" s="317">
        <f ca="1">Foglio7!JT90</f>
        <v>24</v>
      </c>
      <c r="F56" s="317">
        <f ca="1">Foglio7!JU90</f>
        <v>1</v>
      </c>
      <c r="G56" s="317">
        <f ca="1">Foglio7!JV90</f>
        <v>0</v>
      </c>
      <c r="H56" s="317">
        <f ca="1">Foglio7!JW90</f>
        <v>21814.35</v>
      </c>
      <c r="I56" s="317">
        <f ca="1">Foglio7!JX90</f>
        <v>21292.3</v>
      </c>
      <c r="J56" s="317">
        <f ca="1">Foglio7!JY90</f>
        <v>1.07</v>
      </c>
      <c r="K56" s="317" t="str">
        <f ca="1">Foglio7!JZ90</f>
        <v>3/8 anni</v>
      </c>
    </row>
    <row r="57" spans="2:11" x14ac:dyDescent="0.25">
      <c r="B57" s="318">
        <f ca="1">Foglio7!JQ91</f>
        <v>40066</v>
      </c>
      <c r="C57" s="318">
        <f ca="1">Foglio7!JR91</f>
        <v>40170</v>
      </c>
      <c r="D57" s="317">
        <f ca="1">Foglio7!JS91</f>
        <v>18</v>
      </c>
      <c r="E57" s="317">
        <f ca="1">Foglio7!JT91</f>
        <v>24</v>
      </c>
      <c r="F57" s="317">
        <f ca="1">Foglio7!JU91</f>
        <v>105</v>
      </c>
      <c r="G57" s="317">
        <f ca="1">Foglio7!JV91</f>
        <v>0</v>
      </c>
      <c r="H57" s="317">
        <f ca="1">Foglio7!JW91</f>
        <v>21814.35</v>
      </c>
      <c r="I57" s="317">
        <f ca="1">Foglio7!JX91</f>
        <v>21292.3</v>
      </c>
      <c r="J57" s="317">
        <f ca="1">Foglio7!JY91</f>
        <v>112.63</v>
      </c>
      <c r="K57" s="317" t="str">
        <f ca="1">Foglio7!JZ91</f>
        <v>3/8 anni</v>
      </c>
    </row>
    <row r="58" spans="2:11" x14ac:dyDescent="0.25">
      <c r="B58" s="318">
        <f ca="1">Foglio7!JQ92</f>
        <v>40171</v>
      </c>
      <c r="C58" s="318">
        <f ca="1">Foglio7!JR92</f>
        <v>40359</v>
      </c>
      <c r="D58" s="317">
        <f ca="1">Foglio7!JS92</f>
        <v>18</v>
      </c>
      <c r="E58" s="317">
        <f ca="1">Foglio7!JT92</f>
        <v>24</v>
      </c>
      <c r="F58" s="317">
        <f ca="1">Foglio7!JU92</f>
        <v>189</v>
      </c>
      <c r="G58" s="317">
        <f ca="1">Foglio7!JV92</f>
        <v>0</v>
      </c>
      <c r="H58" s="317">
        <f ca="1">Foglio7!JW92</f>
        <v>23422.079999999998</v>
      </c>
      <c r="I58" s="317">
        <f ca="1">Foglio7!JX92</f>
        <v>21292.3</v>
      </c>
      <c r="J58" s="317">
        <f ca="1">Foglio7!JY92</f>
        <v>827.11</v>
      </c>
      <c r="K58" s="317" t="str">
        <f ca="1">Foglio7!JZ92</f>
        <v>9/14 anni</v>
      </c>
    </row>
    <row r="59" spans="2:11" x14ac:dyDescent="0.25">
      <c r="B59" s="318">
        <f ca="1">Foglio7!JQ93</f>
        <v>40360</v>
      </c>
      <c r="C59" s="318">
        <f ca="1">Foglio7!JR93</f>
        <v>40421</v>
      </c>
      <c r="D59" s="317">
        <f ca="1">Foglio7!JS93</f>
        <v>18</v>
      </c>
      <c r="E59" s="317">
        <f ca="1">Foglio7!JT93</f>
        <v>24</v>
      </c>
      <c r="F59" s="317">
        <f ca="1">Foglio7!JU93</f>
        <v>62</v>
      </c>
      <c r="G59" s="317">
        <f ca="1">Foglio7!JV93</f>
        <v>0</v>
      </c>
      <c r="H59" s="317">
        <f ca="1">Foglio7!JW93</f>
        <v>23567.01</v>
      </c>
      <c r="I59" s="317">
        <f ca="1">Foglio7!JX93</f>
        <v>21437.23</v>
      </c>
      <c r="J59" s="317">
        <f ca="1">Foglio7!JY93</f>
        <v>271.33</v>
      </c>
      <c r="K59" s="317" t="str">
        <f ca="1">Foglio7!JZ93</f>
        <v>9/14 anni</v>
      </c>
    </row>
    <row r="60" spans="2:11" x14ac:dyDescent="0.25">
      <c r="B60" s="318">
        <f ca="1">Foglio7!JQ94</f>
        <v>40430</v>
      </c>
      <c r="C60" s="318">
        <f ca="1">Foglio7!JR94</f>
        <v>40543</v>
      </c>
      <c r="D60" s="317">
        <f ca="1">Foglio7!JS94</f>
        <v>7</v>
      </c>
      <c r="E60" s="317">
        <f ca="1">Foglio7!JT94</f>
        <v>24</v>
      </c>
      <c r="F60" s="317">
        <f ca="1">Foglio7!JU94</f>
        <v>114</v>
      </c>
      <c r="G60" s="317">
        <f ca="1">Foglio7!JV94</f>
        <v>0</v>
      </c>
      <c r="H60" s="317">
        <f ca="1">Foglio7!JW94</f>
        <v>23567.01</v>
      </c>
      <c r="I60" s="317">
        <f ca="1">Foglio7!JX94</f>
        <v>21437.23</v>
      </c>
      <c r="J60" s="317">
        <f ca="1">Foglio7!JY94</f>
        <v>194.01</v>
      </c>
      <c r="K60" s="317" t="str">
        <f ca="1">Foglio7!JZ94</f>
        <v>9/14 anni</v>
      </c>
    </row>
    <row r="61" spans="2:11" x14ac:dyDescent="0.25">
      <c r="B61" s="318">
        <f ca="1">Foglio7!JQ95</f>
        <v>40431</v>
      </c>
      <c r="C61" s="318">
        <f ca="1">Foglio7!JR95</f>
        <v>40543</v>
      </c>
      <c r="D61" s="317">
        <f ca="1">Foglio7!JS95</f>
        <v>9</v>
      </c>
      <c r="E61" s="317">
        <f ca="1">Foglio7!JT95</f>
        <v>24</v>
      </c>
      <c r="F61" s="317">
        <f ca="1">Foglio7!JU95</f>
        <v>113</v>
      </c>
      <c r="G61" s="317">
        <f ca="1">Foglio7!JV95</f>
        <v>0</v>
      </c>
      <c r="H61" s="317">
        <f ca="1">Foglio7!JW95</f>
        <v>23567.01</v>
      </c>
      <c r="I61" s="317">
        <f ca="1">Foglio7!JX95</f>
        <v>21437.23</v>
      </c>
      <c r="J61" s="317">
        <f ca="1">Foglio7!JY95</f>
        <v>247.26</v>
      </c>
      <c r="K61" s="317" t="str">
        <f ca="1">Foglio7!JZ95</f>
        <v>9/14 anni</v>
      </c>
    </row>
    <row r="62" spans="2:11" x14ac:dyDescent="0.25">
      <c r="B62" s="318">
        <f ca="1">Foglio7!JQ96</f>
        <v>40544</v>
      </c>
      <c r="C62" s="318">
        <f ca="1">Foglio7!JR96</f>
        <v>40544</v>
      </c>
      <c r="D62" s="317">
        <f ca="1">Foglio7!JS96</f>
        <v>7</v>
      </c>
      <c r="E62" s="317">
        <f ca="1">Foglio7!JT96</f>
        <v>24</v>
      </c>
      <c r="F62" s="317">
        <f ca="1">Foglio7!JU96</f>
        <v>1</v>
      </c>
      <c r="G62" s="317">
        <f ca="1">Foglio7!JV96</f>
        <v>0</v>
      </c>
      <c r="H62" s="317">
        <f ca="1">Foglio7!JW96</f>
        <v>23567.01</v>
      </c>
      <c r="I62" s="317">
        <f ca="1">Foglio7!JX96</f>
        <v>21437.23</v>
      </c>
      <c r="J62" s="317">
        <f ca="1">Foglio7!JY96</f>
        <v>1.7</v>
      </c>
      <c r="K62" s="317" t="str">
        <f ca="1">Foglio7!JZ96</f>
        <v>9/14 anni</v>
      </c>
    </row>
    <row r="63" spans="2:11" x14ac:dyDescent="0.25">
      <c r="B63" s="318">
        <f ca="1">Foglio7!JQ97</f>
        <v>40544</v>
      </c>
      <c r="C63" s="318">
        <f ca="1">Foglio7!JR97</f>
        <v>40544</v>
      </c>
      <c r="D63" s="317">
        <f ca="1">Foglio7!JS97</f>
        <v>7</v>
      </c>
      <c r="E63" s="317">
        <f ca="1">Foglio7!JT97</f>
        <v>24</v>
      </c>
      <c r="F63" s="317">
        <f ca="1">Foglio7!JU97</f>
        <v>1</v>
      </c>
      <c r="G63" s="317">
        <f ca="1">Foglio7!JV97</f>
        <v>0</v>
      </c>
      <c r="H63" s="317">
        <f ca="1">Foglio7!JW97</f>
        <v>23567.01</v>
      </c>
      <c r="I63" s="317">
        <f ca="1">Foglio7!JX97</f>
        <v>21437.23</v>
      </c>
      <c r="J63" s="317">
        <f ca="1">Foglio7!JY97</f>
        <v>1.7</v>
      </c>
      <c r="K63" s="317" t="str">
        <f ca="1">Foglio7!JZ97</f>
        <v>9/14 anni</v>
      </c>
    </row>
    <row r="64" spans="2:11" x14ac:dyDescent="0.25">
      <c r="B64" s="318">
        <f ca="1">Foglio7!JQ98</f>
        <v>40544</v>
      </c>
      <c r="C64" s="318">
        <f ca="1">Foglio7!JR98</f>
        <v>40544</v>
      </c>
      <c r="D64" s="317">
        <f ca="1">Foglio7!JS98</f>
        <v>7</v>
      </c>
      <c r="E64" s="317">
        <f ca="1">Foglio7!JT98</f>
        <v>24</v>
      </c>
      <c r="F64" s="317">
        <f ca="1">Foglio7!JU98</f>
        <v>1</v>
      </c>
      <c r="G64" s="317">
        <f ca="1">Foglio7!JV98</f>
        <v>0</v>
      </c>
      <c r="H64" s="317">
        <f ca="1">Foglio7!JW98</f>
        <v>23567.01</v>
      </c>
      <c r="I64" s="317">
        <f ca="1">Foglio7!JX98</f>
        <v>21437.23</v>
      </c>
      <c r="J64" s="317">
        <f ca="1">Foglio7!JY98</f>
        <v>1.7</v>
      </c>
      <c r="K64" s="317" t="str">
        <f ca="1">Foglio7!JZ98</f>
        <v>9/14 anni</v>
      </c>
    </row>
    <row r="65" spans="2:11" x14ac:dyDescent="0.25">
      <c r="B65" s="318">
        <f ca="1">Foglio7!JQ99</f>
        <v>40544</v>
      </c>
      <c r="C65" s="318">
        <f ca="1">Foglio7!JR99</f>
        <v>40544</v>
      </c>
      <c r="D65" s="317">
        <f ca="1">Foglio7!JS99</f>
        <v>7</v>
      </c>
      <c r="E65" s="317">
        <f ca="1">Foglio7!JT99</f>
        <v>24</v>
      </c>
      <c r="F65" s="317">
        <f ca="1">Foglio7!JU99</f>
        <v>1</v>
      </c>
      <c r="G65" s="317">
        <f ca="1">Foglio7!JV99</f>
        <v>0</v>
      </c>
      <c r="H65" s="317">
        <f ca="1">Foglio7!JW99</f>
        <v>23567.01</v>
      </c>
      <c r="I65" s="317">
        <f ca="1">Foglio7!JX99</f>
        <v>21437.23</v>
      </c>
      <c r="J65" s="317">
        <f ca="1">Foglio7!JY99</f>
        <v>1.7</v>
      </c>
      <c r="K65" s="317" t="str">
        <f ca="1">Foglio7!JZ99</f>
        <v>9/14 anni</v>
      </c>
    </row>
    <row r="66" spans="2:11" x14ac:dyDescent="0.25">
      <c r="B66" s="318">
        <f ca="1">Foglio7!JQ100</f>
        <v>40802</v>
      </c>
      <c r="C66" s="318">
        <f ca="1">Foglio7!JR100</f>
        <v>41090</v>
      </c>
      <c r="D66" s="317">
        <f ca="1">Foglio7!JS100</f>
        <v>18</v>
      </c>
      <c r="E66" s="317">
        <f ca="1">Foglio7!JT100</f>
        <v>24</v>
      </c>
      <c r="F66" s="317">
        <f ca="1">Foglio7!JU100</f>
        <v>289</v>
      </c>
      <c r="G66" s="317">
        <f ca="1">Foglio7!JV100</f>
        <v>0</v>
      </c>
      <c r="H66" s="317">
        <f ca="1">Foglio7!JW100</f>
        <v>23567.01</v>
      </c>
      <c r="I66" s="317">
        <f ca="1">Foglio7!JX100</f>
        <v>21437.23</v>
      </c>
      <c r="J66" s="317">
        <f ca="1">Foglio7!JY100</f>
        <v>1264.74</v>
      </c>
      <c r="K66" s="317" t="str">
        <f ca="1">Foglio7!JZ100</f>
        <v>9/14 anni</v>
      </c>
    </row>
    <row r="67" spans="2:11" x14ac:dyDescent="0.25">
      <c r="B67" s="318">
        <f ca="1">Foglio7!JQ101</f>
        <v>41171</v>
      </c>
      <c r="C67" s="318">
        <f ca="1">Foglio7!JR101</f>
        <v>41471</v>
      </c>
      <c r="D67" s="317">
        <f ca="1">Foglio7!JS101</f>
        <v>7</v>
      </c>
      <c r="E67" s="317">
        <f ca="1">Foglio7!JT101</f>
        <v>24</v>
      </c>
      <c r="F67" s="317">
        <f ca="1">Foglio7!JU101</f>
        <v>301</v>
      </c>
      <c r="G67" s="317">
        <f ca="1">Foglio7!JV101</f>
        <v>0</v>
      </c>
      <c r="H67" s="317">
        <f ca="1">Foglio7!JW101</f>
        <v>23567.01</v>
      </c>
      <c r="I67" s="317">
        <f ca="1">Foglio7!JX101</f>
        <v>21437.23</v>
      </c>
      <c r="J67" s="317">
        <f ca="1">Foglio7!JY101</f>
        <v>512.27</v>
      </c>
      <c r="K67" s="317" t="str">
        <f ca="1">Foglio7!JZ101</f>
        <v>9/14 anni</v>
      </c>
    </row>
    <row r="68" spans="2:11" x14ac:dyDescent="0.25">
      <c r="B68" s="318">
        <f ca="1">Foglio7!JQ102</f>
        <v>41178</v>
      </c>
      <c r="C68" s="318">
        <f ca="1">Foglio7!JR102</f>
        <v>41471</v>
      </c>
      <c r="D68" s="317">
        <f ca="1">Foglio7!JS102</f>
        <v>5</v>
      </c>
      <c r="E68" s="317">
        <f ca="1">Foglio7!JT102</f>
        <v>24</v>
      </c>
      <c r="F68" s="317">
        <f ca="1">Foglio7!JU102</f>
        <v>294</v>
      </c>
      <c r="G68" s="317">
        <f ca="1">Foglio7!JV102</f>
        <v>0</v>
      </c>
      <c r="H68" s="317">
        <f ca="1">Foglio7!JW102</f>
        <v>23567.01</v>
      </c>
      <c r="I68" s="317">
        <f ca="1">Foglio7!JX102</f>
        <v>21437.23</v>
      </c>
      <c r="J68" s="317">
        <f ca="1">Foglio7!JY102</f>
        <v>357.39</v>
      </c>
      <c r="K68" s="317" t="str">
        <f ca="1">Foglio7!JZ102</f>
        <v>9/14 anni</v>
      </c>
    </row>
    <row r="69" spans="2:11" x14ac:dyDescent="0.25">
      <c r="B69" s="318">
        <f ca="1">Foglio7!JQ103</f>
        <v>41184</v>
      </c>
      <c r="C69" s="318">
        <f ca="1">Foglio7!JR103</f>
        <v>41196</v>
      </c>
      <c r="D69" s="317">
        <f ca="1">Foglio7!JS103</f>
        <v>6</v>
      </c>
      <c r="E69" s="317">
        <f ca="1">Foglio7!JT103</f>
        <v>24</v>
      </c>
      <c r="F69" s="317">
        <f ca="1">Foglio7!JU103</f>
        <v>13</v>
      </c>
      <c r="G69" s="317">
        <f ca="1">Foglio7!JV103</f>
        <v>0</v>
      </c>
      <c r="H69" s="317">
        <f ca="1">Foglio7!JW103</f>
        <v>23567.01</v>
      </c>
      <c r="I69" s="317">
        <f ca="1">Foglio7!JX103</f>
        <v>21437.23</v>
      </c>
      <c r="J69" s="317">
        <f ca="1">Foglio7!JY103</f>
        <v>18.96</v>
      </c>
      <c r="K69" s="317" t="str">
        <f ca="1">Foglio7!JZ103</f>
        <v>9/14 anni</v>
      </c>
    </row>
    <row r="70" spans="2:11" x14ac:dyDescent="0.25">
      <c r="B70" s="318">
        <f ca="1">Foglio7!JQ104</f>
        <v>41197</v>
      </c>
      <c r="C70" s="318">
        <f ca="1">Foglio7!JR104</f>
        <v>41239</v>
      </c>
      <c r="D70" s="317">
        <f ca="1">Foglio7!JS104</f>
        <v>6</v>
      </c>
      <c r="E70" s="317">
        <f ca="1">Foglio7!JT104</f>
        <v>24</v>
      </c>
      <c r="F70" s="317">
        <f ca="1">Foglio7!JU104</f>
        <v>43</v>
      </c>
      <c r="G70" s="317">
        <f ca="1">Foglio7!JV104</f>
        <v>0</v>
      </c>
      <c r="H70" s="317">
        <f ca="1">Foglio7!JW104</f>
        <v>23567.01</v>
      </c>
      <c r="I70" s="317">
        <f ca="1">Foglio7!JX104</f>
        <v>21437.23</v>
      </c>
      <c r="J70" s="317">
        <f ca="1">Foglio7!JY104</f>
        <v>62.73</v>
      </c>
      <c r="K70" s="317" t="str">
        <f ca="1">Foglio7!JZ104</f>
        <v>9/14 anni</v>
      </c>
    </row>
    <row r="71" spans="2:11" x14ac:dyDescent="0.25">
      <c r="B71" s="318">
        <f ca="1">Foglio7!JQ105</f>
        <v>41240</v>
      </c>
      <c r="C71" s="318">
        <f ca="1">Foglio7!JR105</f>
        <v>41471</v>
      </c>
      <c r="D71" s="317">
        <f ca="1">Foglio7!JS105</f>
        <v>6</v>
      </c>
      <c r="E71" s="317">
        <f ca="1">Foglio7!JT105</f>
        <v>24</v>
      </c>
      <c r="F71" s="317">
        <f ca="1">Foglio7!JU105</f>
        <v>232</v>
      </c>
      <c r="G71" s="317">
        <f ca="1">Foglio7!JV105</f>
        <v>0</v>
      </c>
      <c r="H71" s="317">
        <f ca="1">Foglio7!JW105</f>
        <v>23567.01</v>
      </c>
      <c r="I71" s="317">
        <f ca="1">Foglio7!JX105</f>
        <v>21437.23</v>
      </c>
      <c r="J71" s="317">
        <f ca="1">Foglio7!JY105</f>
        <v>338.43</v>
      </c>
      <c r="K71" s="317" t="str">
        <f ca="1">Foglio7!JZ105</f>
        <v>9/14 anni</v>
      </c>
    </row>
    <row r="72" spans="2:11" x14ac:dyDescent="0.25">
      <c r="B72" s="318">
        <f ca="1">Foglio7!JQ106</f>
        <v>41530</v>
      </c>
      <c r="C72" s="318">
        <f ca="1">Foglio7!JR106</f>
        <v>41882</v>
      </c>
      <c r="D72" s="317">
        <f ca="1">Foglio7!JS106</f>
        <v>18</v>
      </c>
      <c r="E72" s="317">
        <f ca="1">Foglio7!JT106</f>
        <v>24</v>
      </c>
      <c r="F72" s="317">
        <f ca="1">Foglio7!JU106</f>
        <v>353</v>
      </c>
      <c r="G72" s="317">
        <f ca="1">Foglio7!JV106</f>
        <v>0</v>
      </c>
      <c r="H72" s="317">
        <f ca="1">Foglio7!JW106</f>
        <v>23567.01</v>
      </c>
      <c r="I72" s="317">
        <f ca="1">Foglio7!JX106</f>
        <v>21437.23</v>
      </c>
      <c r="J72" s="317">
        <f ca="1">Foglio7!JY106</f>
        <v>1544.82</v>
      </c>
      <c r="K72" s="317" t="str">
        <f ca="1">Foglio7!JZ106</f>
        <v>9/14 anni</v>
      </c>
    </row>
    <row r="73" spans="2:11" x14ac:dyDescent="0.25">
      <c r="B73" s="318">
        <f ca="1">Foglio7!JQ107</f>
        <v>41915</v>
      </c>
      <c r="C73" s="318">
        <f ca="1">Foglio7!JR107</f>
        <v>42185</v>
      </c>
      <c r="D73" s="317">
        <f ca="1">Foglio7!JS107</f>
        <v>18</v>
      </c>
      <c r="E73" s="317">
        <f ca="1">Foglio7!JT107</f>
        <v>24</v>
      </c>
      <c r="F73" s="317">
        <f ca="1">Foglio7!JU107</f>
        <v>271</v>
      </c>
      <c r="G73" s="317">
        <f ca="1">Foglio7!JV107</f>
        <v>0</v>
      </c>
      <c r="H73" s="317">
        <f ca="1">Foglio7!JW107</f>
        <v>23567.01</v>
      </c>
      <c r="I73" s="317">
        <f ca="1">Foglio7!JX107</f>
        <v>21437.23</v>
      </c>
      <c r="J73" s="317">
        <f ca="1">Foglio7!JY107</f>
        <v>1185.97</v>
      </c>
      <c r="K73" s="317" t="str">
        <f ca="1">Foglio7!JZ107</f>
        <v>9/14 anni</v>
      </c>
    </row>
    <row r="74" spans="2:11" x14ac:dyDescent="0.25">
      <c r="B74" s="318">
        <f ca="1">Foglio7!JQ108</f>
        <v>42248</v>
      </c>
      <c r="C74" s="318">
        <f ca="1">Foglio7!JR108</f>
        <v>42613</v>
      </c>
      <c r="D74" s="317">
        <f ca="1">Foglio7!JS108</f>
        <v>18</v>
      </c>
      <c r="E74" s="317">
        <f ca="1">Foglio7!JT108</f>
        <v>24</v>
      </c>
      <c r="F74" s="317">
        <f ca="1">Foglio7!JU108</f>
        <v>366</v>
      </c>
      <c r="G74" s="317">
        <f ca="1">Foglio7!JV108</f>
        <v>0</v>
      </c>
      <c r="H74" s="317">
        <f ca="1">Foglio7!JW108</f>
        <v>23567.01</v>
      </c>
      <c r="I74" s="317">
        <f ca="1">Foglio7!JX108</f>
        <v>21437.23</v>
      </c>
      <c r="J74" s="317">
        <f ca="1">Foglio7!JY108</f>
        <v>1601.71</v>
      </c>
      <c r="K74" s="317" t="str">
        <f ca="1">Foglio7!JZ108</f>
        <v>9/14 anni</v>
      </c>
    </row>
    <row r="75" spans="2:11" x14ac:dyDescent="0.25">
      <c r="B75" s="318">
        <f ca="1">Foglio7!JQ109</f>
        <v>42614</v>
      </c>
      <c r="C75" s="318">
        <f ca="1">Foglio7!JR109</f>
        <v>42735</v>
      </c>
      <c r="D75" s="317">
        <f ca="1">Foglio7!JS109</f>
        <v>18</v>
      </c>
      <c r="E75" s="317">
        <f ca="1">Foglio7!JT109</f>
        <v>24</v>
      </c>
      <c r="F75" s="317">
        <f ca="1">Foglio7!JU109</f>
        <v>122</v>
      </c>
      <c r="G75" s="317">
        <f ca="1">Foglio7!JV109</f>
        <v>0</v>
      </c>
      <c r="H75" s="317">
        <f ca="1">Foglio7!JW109</f>
        <v>23651.01</v>
      </c>
      <c r="I75" s="317">
        <f ca="1">Foglio7!JX109</f>
        <v>21512.83</v>
      </c>
      <c r="J75" s="317">
        <f ca="1">Foglio7!JY109</f>
        <v>536.01</v>
      </c>
      <c r="K75" s="317" t="str">
        <f ca="1">Foglio7!JZ109</f>
        <v>9/14 anni</v>
      </c>
    </row>
    <row r="76" spans="2:11" x14ac:dyDescent="0.25">
      <c r="B76" s="318">
        <f ca="1">Foglio7!JQ110</f>
        <v>42736</v>
      </c>
      <c r="C76" s="318">
        <f ca="1">Foglio7!JR110</f>
        <v>42781</v>
      </c>
      <c r="D76" s="317">
        <f ca="1">Foglio7!JS110</f>
        <v>18</v>
      </c>
      <c r="E76" s="317">
        <f ca="1">Foglio7!JT110</f>
        <v>24</v>
      </c>
      <c r="F76" s="317">
        <f ca="1">Foglio7!JU110</f>
        <v>46</v>
      </c>
      <c r="G76" s="317">
        <f ca="1">Foglio7!JV110</f>
        <v>0</v>
      </c>
      <c r="H76" s="317">
        <f ca="1">Foglio7!JW110</f>
        <v>23822.61</v>
      </c>
      <c r="I76" s="317">
        <f ca="1">Foglio7!JX110</f>
        <v>21667.63</v>
      </c>
      <c r="J76" s="317">
        <f ca="1">Foglio7!JY110</f>
        <v>203.69</v>
      </c>
      <c r="K76" s="317" t="str">
        <f ca="1">Foglio7!JZ110</f>
        <v>9/14 anni</v>
      </c>
    </row>
    <row r="77" spans="2:11" x14ac:dyDescent="0.25">
      <c r="B77" s="318">
        <f ca="1">Foglio7!JQ111</f>
        <v>42782</v>
      </c>
      <c r="C77" s="318">
        <f ca="1">Foglio7!JR111</f>
        <v>42978</v>
      </c>
      <c r="D77" s="317">
        <f ca="1">Foglio7!JS111</f>
        <v>18</v>
      </c>
      <c r="E77" s="317">
        <f ca="1">Foglio7!JT111</f>
        <v>24</v>
      </c>
      <c r="F77" s="317">
        <f ca="1">Foglio7!JU111</f>
        <v>197</v>
      </c>
      <c r="G77" s="317">
        <f ca="1">Foglio7!JV111</f>
        <v>0</v>
      </c>
      <c r="H77" s="317">
        <f ca="1">Foglio7!JW111</f>
        <v>26178.14</v>
      </c>
      <c r="I77" s="317">
        <f ca="1">Foglio7!JX111</f>
        <v>21667.63</v>
      </c>
      <c r="J77" s="317">
        <f ca="1">Foglio7!JY111</f>
        <v>1825.83</v>
      </c>
      <c r="K77" s="317" t="str">
        <f ca="1">Foglio7!JZ111</f>
        <v>15/20 anni</v>
      </c>
    </row>
    <row r="78" spans="2:11" x14ac:dyDescent="0.25">
      <c r="B78" s="318">
        <f ca="1">Foglio7!JQ112</f>
        <v>42979</v>
      </c>
      <c r="C78" s="318">
        <f ca="1">Foglio7!JR112</f>
        <v>43159</v>
      </c>
      <c r="D78" s="317">
        <f ca="1">Foglio7!JS112</f>
        <v>18</v>
      </c>
      <c r="E78" s="317">
        <f ca="1">Foglio7!JT112</f>
        <v>24</v>
      </c>
      <c r="F78" s="317">
        <f ca="1">Foglio7!JU112</f>
        <v>181</v>
      </c>
      <c r="G78" s="317">
        <f ca="1">Foglio7!JV112</f>
        <v>0</v>
      </c>
      <c r="H78" s="317">
        <f ca="1">Foglio7!JW112</f>
        <v>26178.14</v>
      </c>
      <c r="I78" s="317">
        <f ca="1">Foglio7!JX112</f>
        <v>21667.63</v>
      </c>
      <c r="J78" s="317">
        <f ca="1">Foglio7!JY112</f>
        <v>1677.54</v>
      </c>
      <c r="K78" s="317" t="str">
        <f ca="1">Foglio7!JZ112</f>
        <v>15/20 anni</v>
      </c>
    </row>
    <row r="79" spans="2:11" x14ac:dyDescent="0.25">
      <c r="B79" s="318">
        <f ca="1">Foglio7!JQ113</f>
        <v>43160</v>
      </c>
      <c r="C79" s="318">
        <f ca="1">Foglio7!JR113</f>
        <v>43190</v>
      </c>
      <c r="D79" s="317">
        <f ca="1">Foglio7!JS113</f>
        <v>18</v>
      </c>
      <c r="E79" s="317">
        <f ca="1">Foglio7!JT113</f>
        <v>24</v>
      </c>
      <c r="F79" s="317">
        <f ca="1">Foglio7!JU113</f>
        <v>31</v>
      </c>
      <c r="G79" s="317">
        <f ca="1">Foglio7!JV113</f>
        <v>0</v>
      </c>
      <c r="H79" s="317">
        <f ca="1">Foglio7!JW113</f>
        <v>26858.54</v>
      </c>
      <c r="I79" s="317">
        <f ca="1">Foglio7!JX113</f>
        <v>22235.23</v>
      </c>
      <c r="J79" s="317">
        <f ca="1">Foglio7!JY113</f>
        <v>294.5</v>
      </c>
      <c r="K79" s="317" t="str">
        <f ca="1">Foglio7!JZ113</f>
        <v>15/20 anni</v>
      </c>
    </row>
    <row r="80" spans="2:11" x14ac:dyDescent="0.25">
      <c r="B80" s="318">
        <f ca="1">Foglio7!JQ114</f>
        <v>43191</v>
      </c>
      <c r="C80" s="318">
        <f ca="1">Foglio7!JR114</f>
        <v>43343</v>
      </c>
      <c r="D80" s="317">
        <f ca="1">Foglio7!JS114</f>
        <v>18</v>
      </c>
      <c r="E80" s="317">
        <f ca="1">Foglio7!JT114</f>
        <v>24</v>
      </c>
      <c r="F80" s="317">
        <f ca="1">Foglio7!JU114</f>
        <v>153</v>
      </c>
      <c r="G80" s="317">
        <f ca="1">Foglio7!JV114</f>
        <v>0</v>
      </c>
      <c r="H80" s="317">
        <f ca="1">Foglio7!JW114</f>
        <v>26858.54</v>
      </c>
      <c r="I80" s="317">
        <f ca="1">Foglio7!JX114</f>
        <v>22235.23</v>
      </c>
      <c r="J80" s="317">
        <f ca="1">Foglio7!JY114</f>
        <v>1453.49</v>
      </c>
      <c r="K80" s="317" t="str">
        <f ca="1">Foglio7!JZ114</f>
        <v>15/20 anni</v>
      </c>
    </row>
    <row r="81" spans="2:11" x14ac:dyDescent="0.25">
      <c r="B81" s="318">
        <f ca="1">Foglio7!JQ115</f>
        <v>43344</v>
      </c>
      <c r="C81" s="318">
        <f ca="1">Foglio7!JR115</f>
        <v>43465</v>
      </c>
      <c r="D81" s="317">
        <f ca="1">Foglio7!JS115</f>
        <v>18</v>
      </c>
      <c r="E81" s="317">
        <f ca="1">Foglio7!JT115</f>
        <v>24</v>
      </c>
      <c r="F81" s="317">
        <f ca="1">Foglio7!JU115</f>
        <v>122</v>
      </c>
      <c r="G81" s="317">
        <f ca="1">Foglio7!JV115</f>
        <v>0</v>
      </c>
      <c r="H81" s="317">
        <f ca="1">Foglio7!JW115</f>
        <v>26858.54</v>
      </c>
      <c r="I81" s="317">
        <f ca="1">Foglio7!JX115</f>
        <v>22235.23</v>
      </c>
      <c r="J81" s="317">
        <f ca="1">Foglio7!JY115</f>
        <v>1158.99</v>
      </c>
      <c r="K81" s="317" t="str">
        <f ca="1">Foglio7!JZ115</f>
        <v>15/20 anni</v>
      </c>
    </row>
    <row r="82" spans="2:11" x14ac:dyDescent="0.25">
      <c r="B82" s="318">
        <f ca="1">Foglio7!JQ116</f>
        <v>43466</v>
      </c>
      <c r="C82" s="318" t="e">
        <f ca="1">Foglio7!JR116</f>
        <v>#REF!</v>
      </c>
      <c r="D82" s="317" t="e">
        <f ca="1">Foglio7!JS116</f>
        <v>#REF!</v>
      </c>
      <c r="E82" s="317" t="e">
        <f ca="1">Foglio7!JT116</f>
        <v>#REF!</v>
      </c>
      <c r="F82" s="317" t="e">
        <f ca="1">Foglio7!JU116</f>
        <v>#REF!</v>
      </c>
      <c r="G82" s="317" t="e">
        <f ca="1">Foglio7!JV116</f>
        <v>#REF!</v>
      </c>
      <c r="H82" s="317" t="e">
        <f ca="1">Foglio7!JW116</f>
        <v>#REF!</v>
      </c>
      <c r="I82" s="317" t="e">
        <f ca="1">Foglio7!JX116</f>
        <v>#REF!</v>
      </c>
      <c r="J82" s="317" t="e">
        <f ca="1">Foglio7!JY116</f>
        <v>#REF!</v>
      </c>
      <c r="K82" s="317" t="e">
        <f ca="1">Foglio7!JZ116</f>
        <v>#REF!</v>
      </c>
    </row>
    <row r="83" spans="2:11" x14ac:dyDescent="0.25">
      <c r="B83" s="318" t="e">
        <f ca="1">Foglio7!JQ117</f>
        <v>#REF!</v>
      </c>
      <c r="C83" s="318" t="e">
        <f ca="1">Foglio7!JR117</f>
        <v>#REF!</v>
      </c>
      <c r="D83" s="317" t="e">
        <f ca="1">Foglio7!JS117</f>
        <v>#REF!</v>
      </c>
      <c r="E83" s="317" t="e">
        <f ca="1">Foglio7!JT117</f>
        <v>#REF!</v>
      </c>
      <c r="F83" s="317" t="e">
        <f ca="1">Foglio7!JU117</f>
        <v>#REF!</v>
      </c>
      <c r="G83" s="317" t="e">
        <f ca="1">Foglio7!JV117</f>
        <v>#REF!</v>
      </c>
      <c r="H83" s="317" t="e">
        <f ca="1">Foglio7!JW117</f>
        <v>#REF!</v>
      </c>
      <c r="I83" s="317" t="e">
        <f ca="1">Foglio7!JX117</f>
        <v>#REF!</v>
      </c>
      <c r="J83" s="317" t="e">
        <f ca="1">Foglio7!JY117</f>
        <v>#REF!</v>
      </c>
      <c r="K83" s="317" t="e">
        <f ca="1">Foglio7!JZ117</f>
        <v>#REF!</v>
      </c>
    </row>
    <row r="84" spans="2:11" x14ac:dyDescent="0.25">
      <c r="B84" s="318" t="e">
        <f ca="1">Foglio7!JQ118</f>
        <v>#REF!</v>
      </c>
      <c r="C84" s="318" t="e">
        <f ca="1">Foglio7!JR118</f>
        <v>#REF!</v>
      </c>
      <c r="D84" s="317" t="e">
        <f ca="1">Foglio7!JS118</f>
        <v>#REF!</v>
      </c>
      <c r="E84" s="317" t="e">
        <f ca="1">Foglio7!JT118</f>
        <v>#REF!</v>
      </c>
      <c r="F84" s="317" t="e">
        <f ca="1">Foglio7!JU118</f>
        <v>#REF!</v>
      </c>
      <c r="G84" s="317" t="e">
        <f ca="1">Foglio7!JV118</f>
        <v>#REF!</v>
      </c>
      <c r="H84" s="317" t="e">
        <f ca="1">Foglio7!JW118</f>
        <v>#REF!</v>
      </c>
      <c r="I84" s="317" t="e">
        <f ca="1">Foglio7!JX118</f>
        <v>#REF!</v>
      </c>
      <c r="J84" s="317" t="e">
        <f ca="1">Foglio7!JY118</f>
        <v>#REF!</v>
      </c>
      <c r="K84" s="317" t="e">
        <f ca="1">Foglio7!JZ118</f>
        <v>#REF!</v>
      </c>
    </row>
    <row r="85" spans="2:11" x14ac:dyDescent="0.25">
      <c r="B85" s="318" t="e">
        <f ca="1">Foglio7!JQ119</f>
        <v>#REF!</v>
      </c>
      <c r="C85" s="318" t="e">
        <f ca="1">Foglio7!JR119</f>
        <v>#REF!</v>
      </c>
      <c r="D85" s="317" t="e">
        <f ca="1">Foglio7!JS119</f>
        <v>#REF!</v>
      </c>
      <c r="E85" s="317" t="e">
        <f ca="1">Foglio7!JT119</f>
        <v>#REF!</v>
      </c>
      <c r="F85" s="317" t="e">
        <f ca="1">Foglio7!JU119</f>
        <v>#REF!</v>
      </c>
      <c r="G85" s="317" t="e">
        <f ca="1">Foglio7!JV119</f>
        <v>#REF!</v>
      </c>
      <c r="H85" s="317" t="e">
        <f ca="1">Foglio7!JW119</f>
        <v>#REF!</v>
      </c>
      <c r="I85" s="317" t="e">
        <f ca="1">Foglio7!JX119</f>
        <v>#REF!</v>
      </c>
      <c r="J85" s="317" t="e">
        <f ca="1">Foglio7!JY119</f>
        <v>#REF!</v>
      </c>
      <c r="K85" s="317" t="e">
        <f ca="1">Foglio7!JZ119</f>
        <v>#REF!</v>
      </c>
    </row>
    <row r="86" spans="2:11" x14ac:dyDescent="0.25">
      <c r="B86" s="318" t="e">
        <f ca="1">Foglio7!JQ120</f>
        <v>#REF!</v>
      </c>
      <c r="C86" s="318" t="e">
        <f ca="1">Foglio7!JR120</f>
        <v>#REF!</v>
      </c>
      <c r="D86" s="317" t="e">
        <f ca="1">Foglio7!JS120</f>
        <v>#REF!</v>
      </c>
      <c r="E86" s="317" t="e">
        <f ca="1">Foglio7!JT120</f>
        <v>#REF!</v>
      </c>
      <c r="F86" s="317" t="e">
        <f ca="1">Foglio7!JU120</f>
        <v>#REF!</v>
      </c>
      <c r="G86" s="317" t="e">
        <f ca="1">Foglio7!JV120</f>
        <v>#REF!</v>
      </c>
      <c r="H86" s="317" t="e">
        <f ca="1">Foglio7!JW120</f>
        <v>#REF!</v>
      </c>
      <c r="I86" s="317" t="e">
        <f ca="1">Foglio7!JX120</f>
        <v>#REF!</v>
      </c>
      <c r="J86" s="317" t="e">
        <f ca="1">Foglio7!JY120</f>
        <v>#REF!</v>
      </c>
      <c r="K86" s="317" t="e">
        <f ca="1">Foglio7!JZ120</f>
        <v>#REF!</v>
      </c>
    </row>
    <row r="87" spans="2:11" x14ac:dyDescent="0.25">
      <c r="B87" s="318" t="e">
        <f ca="1">Foglio7!JQ121</f>
        <v>#REF!</v>
      </c>
      <c r="C87" s="318" t="e">
        <f ca="1">Foglio7!JR121</f>
        <v>#REF!</v>
      </c>
      <c r="D87" s="317" t="e">
        <f ca="1">Foglio7!JS121</f>
        <v>#REF!</v>
      </c>
      <c r="E87" s="317" t="e">
        <f ca="1">Foglio7!JT121</f>
        <v>#REF!</v>
      </c>
      <c r="F87" s="317" t="e">
        <f ca="1">Foglio7!JU121</f>
        <v>#REF!</v>
      </c>
      <c r="G87" s="317" t="e">
        <f ca="1">Foglio7!JV121</f>
        <v>#REF!</v>
      </c>
      <c r="H87" s="317" t="e">
        <f ca="1">Foglio7!JW121</f>
        <v>#REF!</v>
      </c>
      <c r="I87" s="317" t="e">
        <f ca="1">Foglio7!JX121</f>
        <v>#REF!</v>
      </c>
      <c r="J87" s="317" t="e">
        <f ca="1">Foglio7!JY121</f>
        <v>#REF!</v>
      </c>
      <c r="K87" s="317" t="e">
        <f ca="1">Foglio7!JZ121</f>
        <v>#REF!</v>
      </c>
    </row>
    <row r="88" spans="2:11" x14ac:dyDescent="0.25">
      <c r="B88" s="318" t="e">
        <f ca="1">Foglio7!JQ122</f>
        <v>#REF!</v>
      </c>
      <c r="C88" s="318" t="e">
        <f ca="1">Foglio7!JR122</f>
        <v>#REF!</v>
      </c>
      <c r="D88" s="317" t="e">
        <f ca="1">Foglio7!JS122</f>
        <v>#REF!</v>
      </c>
      <c r="E88" s="317" t="e">
        <f ca="1">Foglio7!JT122</f>
        <v>#REF!</v>
      </c>
      <c r="F88" s="317" t="e">
        <f ca="1">Foglio7!JU122</f>
        <v>#REF!</v>
      </c>
      <c r="G88" s="317" t="e">
        <f ca="1">Foglio7!JV122</f>
        <v>#REF!</v>
      </c>
      <c r="H88" s="317" t="e">
        <f ca="1">Foglio7!JW122</f>
        <v>#REF!</v>
      </c>
      <c r="I88" s="317" t="e">
        <f ca="1">Foglio7!JX122</f>
        <v>#REF!</v>
      </c>
      <c r="J88" s="317" t="e">
        <f ca="1">Foglio7!JY122</f>
        <v>#REF!</v>
      </c>
      <c r="K88" s="317" t="e">
        <f ca="1">Foglio7!JZ122</f>
        <v>#REF!</v>
      </c>
    </row>
    <row r="89" spans="2:11" x14ac:dyDescent="0.25">
      <c r="B89" s="318" t="e">
        <f ca="1">Foglio7!JQ123</f>
        <v>#REF!</v>
      </c>
      <c r="C89" s="318" t="e">
        <f ca="1">Foglio7!JR123</f>
        <v>#REF!</v>
      </c>
      <c r="D89" s="317" t="e">
        <f ca="1">Foglio7!JS123</f>
        <v>#REF!</v>
      </c>
      <c r="E89" s="317" t="e">
        <f ca="1">Foglio7!JT123</f>
        <v>#REF!</v>
      </c>
      <c r="F89" s="317" t="e">
        <f ca="1">Foglio7!JU123</f>
        <v>#REF!</v>
      </c>
      <c r="G89" s="317" t="e">
        <f ca="1">Foglio7!JV123</f>
        <v>#REF!</v>
      </c>
      <c r="H89" s="317" t="e">
        <f ca="1">Foglio7!JW123</f>
        <v>#REF!</v>
      </c>
      <c r="I89" s="317" t="e">
        <f ca="1">Foglio7!JX123</f>
        <v>#REF!</v>
      </c>
      <c r="J89" s="317" t="e">
        <f ca="1">Foglio7!JY123</f>
        <v>#REF!</v>
      </c>
      <c r="K89" s="317" t="e">
        <f ca="1">Foglio7!JZ123</f>
        <v>#REF!</v>
      </c>
    </row>
    <row r="90" spans="2:11" x14ac:dyDescent="0.25">
      <c r="B90" s="318" t="e">
        <f ca="1">Foglio7!JQ124</f>
        <v>#REF!</v>
      </c>
      <c r="C90" s="318" t="e">
        <f ca="1">Foglio7!JR124</f>
        <v>#REF!</v>
      </c>
      <c r="D90" s="317" t="e">
        <f ca="1">Foglio7!JS124</f>
        <v>#REF!</v>
      </c>
      <c r="E90" s="317" t="e">
        <f ca="1">Foglio7!JT124</f>
        <v>#REF!</v>
      </c>
      <c r="F90" s="317" t="e">
        <f ca="1">Foglio7!JU124</f>
        <v>#REF!</v>
      </c>
      <c r="G90" s="317" t="e">
        <f ca="1">Foglio7!JV124</f>
        <v>#REF!</v>
      </c>
      <c r="H90" s="317" t="e">
        <f ca="1">Foglio7!JW124</f>
        <v>#REF!</v>
      </c>
      <c r="I90" s="317" t="e">
        <f ca="1">Foglio7!JX124</f>
        <v>#REF!</v>
      </c>
      <c r="J90" s="317" t="e">
        <f ca="1">Foglio7!JY124</f>
        <v>#REF!</v>
      </c>
      <c r="K90" s="317" t="e">
        <f ca="1">Foglio7!JZ124</f>
        <v>#REF!</v>
      </c>
    </row>
    <row r="91" spans="2:11" x14ac:dyDescent="0.25">
      <c r="B91" s="318" t="e">
        <f ca="1">Foglio7!JQ125</f>
        <v>#REF!</v>
      </c>
      <c r="C91" s="318" t="str">
        <f ca="1">Foglio7!JR125</f>
        <v/>
      </c>
      <c r="D91" s="317" t="str">
        <f ca="1">Foglio7!JS125</f>
        <v/>
      </c>
      <c r="E91" s="317" t="str">
        <f ca="1">Foglio7!JT125</f>
        <v/>
      </c>
      <c r="F91" s="317" t="str">
        <f ca="1">Foglio7!JU125</f>
        <v/>
      </c>
      <c r="G91" s="317" t="str">
        <f ca="1">Foglio7!JV125</f>
        <v/>
      </c>
      <c r="H91" s="317" t="str">
        <f ca="1">Foglio7!JW125</f>
        <v/>
      </c>
      <c r="I91" s="317" t="str">
        <f ca="1">Foglio7!JX125</f>
        <v/>
      </c>
      <c r="J91" s="317" t="str">
        <f ca="1">Foglio7!JY125</f>
        <v/>
      </c>
      <c r="K91" s="317" t="str">
        <f ca="1">Foglio7!JZ125</f>
        <v/>
      </c>
    </row>
    <row r="92" spans="2:11" x14ac:dyDescent="0.25">
      <c r="B92" s="318" t="str">
        <f ca="1">Foglio7!JQ126</f>
        <v/>
      </c>
      <c r="C92" s="318" t="str">
        <f ca="1">Foglio7!JR126</f>
        <v/>
      </c>
      <c r="D92" s="317" t="str">
        <f ca="1">Foglio7!JS126</f>
        <v/>
      </c>
      <c r="E92" s="317" t="str">
        <f ca="1">Foglio7!JT126</f>
        <v/>
      </c>
      <c r="F92" s="317" t="str">
        <f ca="1">Foglio7!JU126</f>
        <v/>
      </c>
      <c r="G92" s="317" t="str">
        <f ca="1">Foglio7!JV126</f>
        <v/>
      </c>
      <c r="H92" s="317" t="str">
        <f ca="1">Foglio7!JW126</f>
        <v/>
      </c>
      <c r="I92" s="317" t="str">
        <f ca="1">Foglio7!JX126</f>
        <v/>
      </c>
      <c r="J92" s="317" t="str">
        <f ca="1">Foglio7!JY126</f>
        <v/>
      </c>
      <c r="K92" s="317" t="str">
        <f ca="1">Foglio7!JZ126</f>
        <v/>
      </c>
    </row>
    <row r="93" spans="2:11" x14ac:dyDescent="0.25">
      <c r="B93" s="318" t="str">
        <f ca="1">Foglio7!JQ127</f>
        <v/>
      </c>
      <c r="C93" s="318" t="str">
        <f ca="1">Foglio7!JR127</f>
        <v/>
      </c>
      <c r="D93" s="317" t="str">
        <f ca="1">Foglio7!JS127</f>
        <v/>
      </c>
      <c r="E93" s="317" t="str">
        <f ca="1">Foglio7!JT127</f>
        <v/>
      </c>
      <c r="F93" s="317" t="str">
        <f ca="1">Foglio7!JU127</f>
        <v/>
      </c>
      <c r="G93" s="317" t="str">
        <f ca="1">Foglio7!JV127</f>
        <v/>
      </c>
      <c r="H93" s="317" t="str">
        <f ca="1">Foglio7!JW127</f>
        <v/>
      </c>
      <c r="I93" s="317" t="str">
        <f ca="1">Foglio7!JX127</f>
        <v/>
      </c>
      <c r="J93" s="317" t="str">
        <f ca="1">Foglio7!JY127</f>
        <v/>
      </c>
      <c r="K93" s="317" t="str">
        <f ca="1">Foglio7!JZ127</f>
        <v/>
      </c>
    </row>
    <row r="94" spans="2:11" x14ac:dyDescent="0.25">
      <c r="B94" s="318" t="str">
        <f ca="1">Foglio7!JQ128</f>
        <v/>
      </c>
      <c r="C94" s="318" t="str">
        <f ca="1">Foglio7!JR128</f>
        <v/>
      </c>
      <c r="D94" s="317" t="str">
        <f ca="1">Foglio7!JS128</f>
        <v/>
      </c>
      <c r="E94" s="317" t="str">
        <f ca="1">Foglio7!JT128</f>
        <v/>
      </c>
      <c r="F94" s="317" t="str">
        <f ca="1">Foglio7!JU128</f>
        <v/>
      </c>
      <c r="G94" s="317" t="str">
        <f ca="1">Foglio7!JV128</f>
        <v/>
      </c>
      <c r="H94" s="317" t="str">
        <f ca="1">Foglio7!JW128</f>
        <v/>
      </c>
      <c r="I94" s="317" t="str">
        <f ca="1">Foglio7!JX128</f>
        <v/>
      </c>
      <c r="J94" s="317" t="str">
        <f ca="1">Foglio7!JY128</f>
        <v/>
      </c>
      <c r="K94" s="317" t="str">
        <f ca="1">Foglio7!JZ128</f>
        <v/>
      </c>
    </row>
    <row r="95" spans="2:11" x14ac:dyDescent="0.25">
      <c r="B95" s="318" t="str">
        <f ca="1">Foglio7!JQ129</f>
        <v/>
      </c>
      <c r="C95" s="318" t="str">
        <f ca="1">Foglio7!JR129</f>
        <v/>
      </c>
      <c r="D95" s="317" t="str">
        <f ca="1">Foglio7!JS129</f>
        <v/>
      </c>
      <c r="E95" s="317" t="str">
        <f ca="1">Foglio7!JT129</f>
        <v/>
      </c>
      <c r="F95" s="317" t="str">
        <f ca="1">Foglio7!JU129</f>
        <v/>
      </c>
      <c r="G95" s="317" t="str">
        <f ca="1">Foglio7!JV129</f>
        <v/>
      </c>
      <c r="H95" s="317" t="str">
        <f ca="1">Foglio7!JW129</f>
        <v/>
      </c>
      <c r="I95" s="317" t="str">
        <f ca="1">Foglio7!JX129</f>
        <v/>
      </c>
      <c r="J95" s="317" t="str">
        <f ca="1">Foglio7!JY129</f>
        <v/>
      </c>
      <c r="K95" s="317" t="str">
        <f ca="1">Foglio7!JZ129</f>
        <v/>
      </c>
    </row>
    <row r="96" spans="2:11" x14ac:dyDescent="0.25">
      <c r="B96" s="318" t="str">
        <f ca="1">Foglio7!JQ130</f>
        <v/>
      </c>
      <c r="C96" s="318" t="str">
        <f ca="1">Foglio7!JR130</f>
        <v/>
      </c>
      <c r="D96" s="317" t="str">
        <f ca="1">Foglio7!JS130</f>
        <v/>
      </c>
      <c r="E96" s="317" t="str">
        <f ca="1">Foglio7!JT130</f>
        <v/>
      </c>
      <c r="F96" s="317" t="str">
        <f ca="1">Foglio7!JU130</f>
        <v/>
      </c>
      <c r="G96" s="317" t="str">
        <f ca="1">Foglio7!JV130</f>
        <v/>
      </c>
      <c r="H96" s="317" t="str">
        <f ca="1">Foglio7!JW130</f>
        <v/>
      </c>
      <c r="I96" s="317" t="str">
        <f ca="1">Foglio7!JX130</f>
        <v/>
      </c>
      <c r="J96" s="317" t="str">
        <f ca="1">Foglio7!JY130</f>
        <v/>
      </c>
      <c r="K96" s="317" t="str">
        <f ca="1">Foglio7!JZ130</f>
        <v/>
      </c>
    </row>
    <row r="97" spans="2:11" x14ac:dyDescent="0.25">
      <c r="B97" s="318" t="str">
        <f ca="1">Foglio7!JQ131</f>
        <v/>
      </c>
      <c r="C97" s="318" t="str">
        <f ca="1">Foglio7!JR131</f>
        <v/>
      </c>
      <c r="D97" s="317" t="str">
        <f ca="1">Foglio7!JS131</f>
        <v/>
      </c>
      <c r="E97" s="317" t="str">
        <f ca="1">Foglio7!JT131</f>
        <v/>
      </c>
      <c r="F97" s="317" t="str">
        <f ca="1">Foglio7!JU131</f>
        <v/>
      </c>
      <c r="G97" s="317" t="str">
        <f ca="1">Foglio7!JV131</f>
        <v/>
      </c>
      <c r="H97" s="317" t="str">
        <f ca="1">Foglio7!JW131</f>
        <v/>
      </c>
      <c r="I97" s="317" t="str">
        <f ca="1">Foglio7!JX131</f>
        <v/>
      </c>
      <c r="J97" s="317" t="str">
        <f ca="1">Foglio7!JY131</f>
        <v/>
      </c>
      <c r="K97" s="317" t="str">
        <f ca="1">Foglio7!JZ131</f>
        <v/>
      </c>
    </row>
    <row r="98" spans="2:11" x14ac:dyDescent="0.25">
      <c r="B98" s="318" t="str">
        <f ca="1">Foglio7!JQ132</f>
        <v/>
      </c>
      <c r="C98" s="318" t="str">
        <f ca="1">Foglio7!JR132</f>
        <v/>
      </c>
      <c r="D98" s="317" t="str">
        <f ca="1">Foglio7!JS132</f>
        <v/>
      </c>
      <c r="E98" s="317" t="str">
        <f ca="1">Foglio7!JT132</f>
        <v/>
      </c>
      <c r="F98" s="317" t="str">
        <f ca="1">Foglio7!JU132</f>
        <v/>
      </c>
      <c r="G98" s="317" t="str">
        <f ca="1">Foglio7!JV132</f>
        <v/>
      </c>
      <c r="H98" s="317" t="str">
        <f ca="1">Foglio7!JW132</f>
        <v/>
      </c>
      <c r="I98" s="317" t="str">
        <f ca="1">Foglio7!JX132</f>
        <v/>
      </c>
      <c r="J98" s="317" t="str">
        <f ca="1">Foglio7!JY132</f>
        <v/>
      </c>
      <c r="K98" s="317" t="str">
        <f ca="1">Foglio7!JZ132</f>
        <v/>
      </c>
    </row>
    <row r="99" spans="2:11" x14ac:dyDescent="0.25">
      <c r="B99" s="318" t="str">
        <f ca="1">Foglio7!JQ133</f>
        <v/>
      </c>
      <c r="C99" s="318" t="str">
        <f ca="1">Foglio7!JR133</f>
        <v/>
      </c>
      <c r="D99" s="317" t="str">
        <f ca="1">Foglio7!JS133</f>
        <v/>
      </c>
      <c r="E99" s="317" t="str">
        <f ca="1">Foglio7!JT133</f>
        <v/>
      </c>
      <c r="F99" s="317" t="str">
        <f ca="1">Foglio7!JU133</f>
        <v/>
      </c>
      <c r="G99" s="317" t="str">
        <f ca="1">Foglio7!JV133</f>
        <v/>
      </c>
      <c r="H99" s="317" t="str">
        <f ca="1">Foglio7!JW133</f>
        <v/>
      </c>
      <c r="I99" s="317" t="str">
        <f ca="1">Foglio7!JX133</f>
        <v/>
      </c>
      <c r="J99" s="317" t="str">
        <f ca="1">Foglio7!JY133</f>
        <v/>
      </c>
      <c r="K99" s="317" t="str">
        <f ca="1">Foglio7!JZ133</f>
        <v/>
      </c>
    </row>
    <row r="100" spans="2:11" x14ac:dyDescent="0.25">
      <c r="B100" s="318" t="str">
        <f ca="1">Foglio7!JQ134</f>
        <v/>
      </c>
      <c r="C100" s="318" t="str">
        <f ca="1">Foglio7!JR134</f>
        <v/>
      </c>
      <c r="D100" s="317" t="str">
        <f ca="1">Foglio7!JS134</f>
        <v/>
      </c>
      <c r="E100" s="317" t="str">
        <f ca="1">Foglio7!JT134</f>
        <v/>
      </c>
      <c r="F100" s="317" t="str">
        <f ca="1">Foglio7!JU134</f>
        <v/>
      </c>
      <c r="G100" s="317" t="str">
        <f ca="1">Foglio7!JV134</f>
        <v/>
      </c>
      <c r="H100" s="317" t="str">
        <f ca="1">Foglio7!JW134</f>
        <v/>
      </c>
      <c r="I100" s="317" t="str">
        <f ca="1">Foglio7!JX134</f>
        <v/>
      </c>
      <c r="J100" s="317" t="str">
        <f ca="1">Foglio7!JY134</f>
        <v/>
      </c>
      <c r="K100" s="317" t="str">
        <f ca="1">Foglio7!JZ134</f>
        <v/>
      </c>
    </row>
    <row r="101" spans="2:11" x14ac:dyDescent="0.25">
      <c r="B101" s="318" t="str">
        <f ca="1">Foglio7!JQ135</f>
        <v/>
      </c>
      <c r="C101" s="318" t="str">
        <f ca="1">Foglio7!JR135</f>
        <v/>
      </c>
      <c r="D101" s="317" t="str">
        <f ca="1">Foglio7!JS135</f>
        <v/>
      </c>
      <c r="E101" s="317" t="str">
        <f ca="1">Foglio7!JT135</f>
        <v/>
      </c>
      <c r="F101" s="317" t="str">
        <f ca="1">Foglio7!JU135</f>
        <v/>
      </c>
      <c r="G101" s="317" t="str">
        <f ca="1">Foglio7!JV135</f>
        <v/>
      </c>
      <c r="H101" s="317" t="str">
        <f ca="1">Foglio7!JW135</f>
        <v/>
      </c>
      <c r="I101" s="317" t="str">
        <f ca="1">Foglio7!JX135</f>
        <v/>
      </c>
      <c r="J101" s="317" t="str">
        <f ca="1">Foglio7!JY135</f>
        <v/>
      </c>
      <c r="K101" s="317" t="str">
        <f ca="1">Foglio7!JZ135</f>
        <v/>
      </c>
    </row>
    <row r="102" spans="2:11" x14ac:dyDescent="0.25">
      <c r="B102" s="318" t="str">
        <f ca="1">Foglio7!JQ136</f>
        <v/>
      </c>
      <c r="C102" s="318" t="str">
        <f ca="1">Foglio7!JR136</f>
        <v/>
      </c>
      <c r="D102" s="317" t="str">
        <f ca="1">Foglio7!JS136</f>
        <v/>
      </c>
      <c r="E102" s="317" t="str">
        <f ca="1">Foglio7!JT136</f>
        <v/>
      </c>
      <c r="F102" s="317" t="str">
        <f ca="1">Foglio7!JU136</f>
        <v/>
      </c>
      <c r="G102" s="317" t="str">
        <f ca="1">Foglio7!JV136</f>
        <v/>
      </c>
      <c r="H102" s="317" t="str">
        <f ca="1">Foglio7!JW136</f>
        <v/>
      </c>
      <c r="I102" s="317" t="str">
        <f ca="1">Foglio7!JX136</f>
        <v/>
      </c>
      <c r="J102" s="317" t="str">
        <f ca="1">Foglio7!JY136</f>
        <v/>
      </c>
      <c r="K102" s="317" t="str">
        <f ca="1">Foglio7!JZ136</f>
        <v/>
      </c>
    </row>
    <row r="103" spans="2:11" x14ac:dyDescent="0.25">
      <c r="B103" s="318" t="str">
        <f ca="1">Foglio7!JQ137</f>
        <v/>
      </c>
      <c r="C103" s="318" t="str">
        <f ca="1">Foglio7!JR137</f>
        <v/>
      </c>
      <c r="D103" s="317" t="str">
        <f ca="1">Foglio7!JS137</f>
        <v/>
      </c>
      <c r="E103" s="317" t="str">
        <f ca="1">Foglio7!JT137</f>
        <v/>
      </c>
      <c r="F103" s="317" t="str">
        <f ca="1">Foglio7!JU137</f>
        <v/>
      </c>
      <c r="G103" s="317" t="str">
        <f ca="1">Foglio7!JV137</f>
        <v/>
      </c>
      <c r="H103" s="317" t="str">
        <f ca="1">Foglio7!JW137</f>
        <v/>
      </c>
      <c r="I103" s="317" t="str">
        <f ca="1">Foglio7!JX137</f>
        <v/>
      </c>
      <c r="J103" s="317" t="str">
        <f ca="1">Foglio7!JY137</f>
        <v/>
      </c>
      <c r="K103" s="317" t="str">
        <f ca="1">Foglio7!JZ137</f>
        <v/>
      </c>
    </row>
    <row r="104" spans="2:11" x14ac:dyDescent="0.25">
      <c r="B104" s="318" t="str">
        <f ca="1">Foglio7!JQ138</f>
        <v/>
      </c>
      <c r="C104" s="318" t="str">
        <f ca="1">Foglio7!JR138</f>
        <v/>
      </c>
      <c r="D104" s="317" t="str">
        <f ca="1">Foglio7!JS138</f>
        <v/>
      </c>
      <c r="E104" s="317" t="str">
        <f ca="1">Foglio7!JT138</f>
        <v/>
      </c>
      <c r="F104" s="317" t="str">
        <f ca="1">Foglio7!JU138</f>
        <v/>
      </c>
      <c r="G104" s="317" t="str">
        <f ca="1">Foglio7!JV138</f>
        <v/>
      </c>
      <c r="H104" s="317" t="str">
        <f ca="1">Foglio7!JW138</f>
        <v/>
      </c>
      <c r="I104" s="317" t="str">
        <f ca="1">Foglio7!JX138</f>
        <v/>
      </c>
      <c r="J104" s="317" t="str">
        <f ca="1">Foglio7!JY138</f>
        <v/>
      </c>
      <c r="K104" s="317" t="str">
        <f ca="1">Foglio7!JZ138</f>
        <v/>
      </c>
    </row>
    <row r="105" spans="2:11" x14ac:dyDescent="0.25">
      <c r="B105" s="318" t="str">
        <f ca="1">Foglio7!JQ139</f>
        <v/>
      </c>
      <c r="C105" s="318" t="str">
        <f ca="1">Foglio7!JR139</f>
        <v/>
      </c>
      <c r="D105" s="317" t="str">
        <f ca="1">Foglio7!JS139</f>
        <v/>
      </c>
      <c r="E105" s="317" t="str">
        <f ca="1">Foglio7!JT139</f>
        <v/>
      </c>
      <c r="F105" s="317" t="str">
        <f ca="1">Foglio7!JU139</f>
        <v/>
      </c>
      <c r="G105" s="317" t="str">
        <f ca="1">Foglio7!JV139</f>
        <v/>
      </c>
      <c r="H105" s="317" t="str">
        <f ca="1">Foglio7!JW139</f>
        <v/>
      </c>
      <c r="I105" s="317" t="str">
        <f ca="1">Foglio7!JX139</f>
        <v/>
      </c>
      <c r="J105" s="317" t="str">
        <f ca="1">Foglio7!JY139</f>
        <v/>
      </c>
      <c r="K105" s="317" t="str">
        <f ca="1">Foglio7!JZ139</f>
        <v/>
      </c>
    </row>
    <row r="106" spans="2:11" x14ac:dyDescent="0.25">
      <c r="B106" s="318" t="str">
        <f ca="1">Foglio7!JQ140</f>
        <v/>
      </c>
      <c r="C106" s="318" t="str">
        <f ca="1">Foglio7!JR140</f>
        <v/>
      </c>
      <c r="D106" s="317" t="str">
        <f ca="1">Foglio7!JS140</f>
        <v/>
      </c>
      <c r="E106" s="317" t="str">
        <f ca="1">Foglio7!JT140</f>
        <v/>
      </c>
      <c r="F106" s="317" t="str">
        <f ca="1">Foglio7!JU140</f>
        <v/>
      </c>
      <c r="G106" s="317" t="str">
        <f ca="1">Foglio7!JV140</f>
        <v/>
      </c>
      <c r="H106" s="317" t="str">
        <f ca="1">Foglio7!JW140</f>
        <v/>
      </c>
      <c r="I106" s="317" t="str">
        <f ca="1">Foglio7!JX140</f>
        <v/>
      </c>
      <c r="J106" s="317" t="str">
        <f ca="1">Foglio7!JY140</f>
        <v/>
      </c>
      <c r="K106" s="317" t="str">
        <f ca="1">Foglio7!JZ140</f>
        <v/>
      </c>
    </row>
    <row r="107" spans="2:11" x14ac:dyDescent="0.25">
      <c r="B107" s="318" t="str">
        <f ca="1">Foglio7!JQ141</f>
        <v/>
      </c>
      <c r="C107" s="318" t="str">
        <f ca="1">Foglio7!JR141</f>
        <v/>
      </c>
      <c r="D107" s="317" t="str">
        <f ca="1">Foglio7!JS141</f>
        <v/>
      </c>
      <c r="E107" s="317" t="str">
        <f ca="1">Foglio7!JT141</f>
        <v/>
      </c>
      <c r="F107" s="317" t="str">
        <f ca="1">Foglio7!JU141</f>
        <v/>
      </c>
      <c r="G107" s="317" t="str">
        <f ca="1">Foglio7!JV141</f>
        <v/>
      </c>
      <c r="H107" s="317" t="str">
        <f ca="1">Foglio7!JW141</f>
        <v/>
      </c>
      <c r="I107" s="317" t="str">
        <f ca="1">Foglio7!JX141</f>
        <v/>
      </c>
      <c r="J107" s="317" t="str">
        <f ca="1">Foglio7!JY141</f>
        <v/>
      </c>
      <c r="K107" s="317" t="str">
        <f ca="1">Foglio7!JZ141</f>
        <v/>
      </c>
    </row>
    <row r="108" spans="2:11" x14ac:dyDescent="0.25">
      <c r="B108" s="318" t="str">
        <f ca="1">Foglio7!JQ142</f>
        <v/>
      </c>
      <c r="C108" s="318" t="str">
        <f ca="1">Foglio7!JR142</f>
        <v/>
      </c>
      <c r="D108" s="317" t="str">
        <f ca="1">Foglio7!JS142</f>
        <v/>
      </c>
      <c r="E108" s="317" t="str">
        <f ca="1">Foglio7!JT142</f>
        <v/>
      </c>
      <c r="F108" s="317" t="str">
        <f ca="1">Foglio7!JU142</f>
        <v/>
      </c>
      <c r="G108" s="317" t="str">
        <f ca="1">Foglio7!JV142</f>
        <v/>
      </c>
      <c r="H108" s="317" t="str">
        <f ca="1">Foglio7!JW142</f>
        <v/>
      </c>
      <c r="I108" s="317" t="str">
        <f ca="1">Foglio7!JX142</f>
        <v/>
      </c>
      <c r="J108" s="317" t="str">
        <f ca="1">Foglio7!JY142</f>
        <v/>
      </c>
      <c r="K108" s="317" t="str">
        <f ca="1">Foglio7!JZ142</f>
        <v/>
      </c>
    </row>
    <row r="109" spans="2:11" x14ac:dyDescent="0.25">
      <c r="B109" s="318" t="str">
        <f ca="1">Foglio7!JQ143</f>
        <v/>
      </c>
      <c r="C109" s="318" t="str">
        <f ca="1">Foglio7!JR143</f>
        <v/>
      </c>
      <c r="D109" s="317" t="str">
        <f ca="1">Foglio7!JS143</f>
        <v/>
      </c>
      <c r="E109" s="317" t="str">
        <f ca="1">Foglio7!JT143</f>
        <v/>
      </c>
      <c r="F109" s="317" t="str">
        <f ca="1">Foglio7!JU143</f>
        <v/>
      </c>
      <c r="G109" s="317" t="str">
        <f ca="1">Foglio7!JV143</f>
        <v/>
      </c>
      <c r="H109" s="317" t="str">
        <f ca="1">Foglio7!JW143</f>
        <v/>
      </c>
      <c r="I109" s="317" t="str">
        <f ca="1">Foglio7!JX143</f>
        <v/>
      </c>
      <c r="J109" s="317" t="str">
        <f ca="1">Foglio7!JY143</f>
        <v/>
      </c>
      <c r="K109" s="317" t="str">
        <f ca="1">Foglio7!JZ143</f>
        <v/>
      </c>
    </row>
    <row r="110" spans="2:11" x14ac:dyDescent="0.25">
      <c r="B110" s="318" t="str">
        <f ca="1">Foglio7!JQ144</f>
        <v/>
      </c>
      <c r="C110" s="318" t="str">
        <f ca="1">Foglio7!JR144</f>
        <v/>
      </c>
      <c r="D110" s="317" t="str">
        <f ca="1">Foglio7!JS144</f>
        <v/>
      </c>
      <c r="E110" s="317" t="str">
        <f ca="1">Foglio7!JT144</f>
        <v/>
      </c>
      <c r="F110" s="317" t="str">
        <f ca="1">Foglio7!JU144</f>
        <v/>
      </c>
      <c r="G110" s="317" t="str">
        <f ca="1">Foglio7!JV144</f>
        <v/>
      </c>
      <c r="H110" s="317" t="str">
        <f ca="1">Foglio7!JW144</f>
        <v/>
      </c>
      <c r="I110" s="317" t="str">
        <f ca="1">Foglio7!JX144</f>
        <v/>
      </c>
      <c r="J110" s="317" t="str">
        <f ca="1">Foglio7!JY144</f>
        <v/>
      </c>
      <c r="K110" s="317" t="str">
        <f ca="1">Foglio7!JZ144</f>
        <v/>
      </c>
    </row>
    <row r="111" spans="2:11" x14ac:dyDescent="0.25">
      <c r="B111" s="318" t="str">
        <f ca="1">Foglio7!JQ145</f>
        <v/>
      </c>
      <c r="C111" s="318" t="str">
        <f ca="1">Foglio7!JR145</f>
        <v/>
      </c>
      <c r="D111" s="317" t="str">
        <f ca="1">Foglio7!JS145</f>
        <v/>
      </c>
      <c r="E111" s="317" t="str">
        <f ca="1">Foglio7!JT145</f>
        <v/>
      </c>
      <c r="F111" s="317" t="str">
        <f ca="1">Foglio7!JU145</f>
        <v/>
      </c>
      <c r="G111" s="317" t="str">
        <f ca="1">Foglio7!JV145</f>
        <v/>
      </c>
      <c r="H111" s="317" t="str">
        <f ca="1">Foglio7!JW145</f>
        <v/>
      </c>
      <c r="I111" s="317" t="str">
        <f ca="1">Foglio7!JX145</f>
        <v/>
      </c>
      <c r="J111" s="317" t="str">
        <f ca="1">Foglio7!JY145</f>
        <v/>
      </c>
      <c r="K111" s="317" t="str">
        <f ca="1">Foglio7!JZ145</f>
        <v/>
      </c>
    </row>
    <row r="112" spans="2:11" x14ac:dyDescent="0.25">
      <c r="B112" s="318" t="str">
        <f ca="1">Foglio7!JQ146</f>
        <v/>
      </c>
      <c r="C112" s="318" t="str">
        <f ca="1">Foglio7!JR146</f>
        <v/>
      </c>
      <c r="D112" s="317" t="str">
        <f ca="1">Foglio7!JS146</f>
        <v/>
      </c>
      <c r="E112" s="317" t="str">
        <f ca="1">Foglio7!JT146</f>
        <v/>
      </c>
      <c r="F112" s="317" t="str">
        <f ca="1">Foglio7!JU146</f>
        <v/>
      </c>
      <c r="G112" s="317" t="str">
        <f ca="1">Foglio7!JV146</f>
        <v/>
      </c>
      <c r="H112" s="317" t="str">
        <f ca="1">Foglio7!JW146</f>
        <v/>
      </c>
      <c r="I112" s="317" t="str">
        <f ca="1">Foglio7!JX146</f>
        <v/>
      </c>
      <c r="J112" s="317" t="str">
        <f ca="1">Foglio7!JY146</f>
        <v/>
      </c>
      <c r="K112" s="317" t="str">
        <f ca="1">Foglio7!JZ146</f>
        <v/>
      </c>
    </row>
    <row r="113" spans="2:11" x14ac:dyDescent="0.25">
      <c r="B113" s="318" t="str">
        <f ca="1">Foglio7!JQ147</f>
        <v/>
      </c>
      <c r="C113" s="318" t="str">
        <f ca="1">Foglio7!JR147</f>
        <v/>
      </c>
      <c r="D113" s="317" t="str">
        <f ca="1">Foglio7!JS147</f>
        <v/>
      </c>
      <c r="E113" s="317" t="str">
        <f ca="1">Foglio7!JT147</f>
        <v/>
      </c>
      <c r="F113" s="317" t="str">
        <f ca="1">Foglio7!JU147</f>
        <v/>
      </c>
      <c r="G113" s="317" t="str">
        <f ca="1">Foglio7!JV147</f>
        <v/>
      </c>
      <c r="H113" s="317" t="str">
        <f ca="1">Foglio7!JW147</f>
        <v/>
      </c>
      <c r="I113" s="317" t="str">
        <f ca="1">Foglio7!JX147</f>
        <v/>
      </c>
      <c r="J113" s="317" t="str">
        <f ca="1">Foglio7!JY147</f>
        <v/>
      </c>
      <c r="K113" s="317" t="str">
        <f ca="1">Foglio7!JZ147</f>
        <v/>
      </c>
    </row>
    <row r="114" spans="2:11" x14ac:dyDescent="0.25">
      <c r="B114" s="318" t="str">
        <f ca="1">Foglio7!JQ148</f>
        <v/>
      </c>
      <c r="C114" s="318" t="str">
        <f ca="1">Foglio7!JR148</f>
        <v/>
      </c>
      <c r="D114" s="317" t="str">
        <f ca="1">Foglio7!JS148</f>
        <v/>
      </c>
      <c r="E114" s="317" t="str">
        <f ca="1">Foglio7!JT148</f>
        <v/>
      </c>
      <c r="F114" s="317" t="str">
        <f ca="1">Foglio7!JU148</f>
        <v/>
      </c>
      <c r="G114" s="317" t="str">
        <f ca="1">Foglio7!JV148</f>
        <v/>
      </c>
      <c r="H114" s="317" t="str">
        <f ca="1">Foglio7!JW148</f>
        <v/>
      </c>
      <c r="I114" s="317" t="str">
        <f ca="1">Foglio7!JX148</f>
        <v/>
      </c>
      <c r="J114" s="317" t="str">
        <f ca="1">Foglio7!JY148</f>
        <v/>
      </c>
      <c r="K114" s="317" t="str">
        <f ca="1">Foglio7!JZ148</f>
        <v/>
      </c>
    </row>
    <row r="115" spans="2:11" x14ac:dyDescent="0.25">
      <c r="B115" s="318" t="str">
        <f ca="1">Foglio7!JQ149</f>
        <v/>
      </c>
      <c r="C115" s="318" t="str">
        <f ca="1">Foglio7!JR149</f>
        <v/>
      </c>
      <c r="D115" s="317" t="str">
        <f ca="1">Foglio7!JS149</f>
        <v/>
      </c>
      <c r="E115" s="317" t="str">
        <f ca="1">Foglio7!JT149</f>
        <v/>
      </c>
      <c r="F115" s="317" t="str">
        <f ca="1">Foglio7!JU149</f>
        <v/>
      </c>
      <c r="G115" s="317" t="str">
        <f ca="1">Foglio7!JV149</f>
        <v/>
      </c>
      <c r="H115" s="317" t="str">
        <f ca="1">Foglio7!JW149</f>
        <v/>
      </c>
      <c r="I115" s="317" t="str">
        <f ca="1">Foglio7!JX149</f>
        <v/>
      </c>
      <c r="J115" s="317" t="str">
        <f ca="1">Foglio7!JY149</f>
        <v/>
      </c>
      <c r="K115" s="317" t="str">
        <f ca="1">Foglio7!JZ149</f>
        <v/>
      </c>
    </row>
    <row r="116" spans="2:11" x14ac:dyDescent="0.25">
      <c r="B116" s="318" t="str">
        <f ca="1">Foglio7!JQ150</f>
        <v/>
      </c>
      <c r="C116" s="318" t="str">
        <f ca="1">Foglio7!JR150</f>
        <v/>
      </c>
      <c r="D116" s="317" t="str">
        <f ca="1">Foglio7!JS150</f>
        <v/>
      </c>
      <c r="E116" s="317" t="str">
        <f ca="1">Foglio7!JT150</f>
        <v/>
      </c>
      <c r="F116" s="317" t="str">
        <f ca="1">Foglio7!JU150</f>
        <v/>
      </c>
      <c r="G116" s="317" t="str">
        <f ca="1">Foglio7!JV150</f>
        <v/>
      </c>
      <c r="H116" s="317" t="str">
        <f ca="1">Foglio7!JW150</f>
        <v/>
      </c>
      <c r="I116" s="317" t="str">
        <f ca="1">Foglio7!JX150</f>
        <v/>
      </c>
      <c r="J116" s="317" t="str">
        <f ca="1">Foglio7!JY150</f>
        <v/>
      </c>
      <c r="K116" s="317" t="str">
        <f ca="1">Foglio7!JZ150</f>
        <v/>
      </c>
    </row>
    <row r="117" spans="2:11" x14ac:dyDescent="0.25">
      <c r="B117" s="318" t="str">
        <f ca="1">Foglio7!JQ151</f>
        <v/>
      </c>
      <c r="C117" s="318" t="str">
        <f ca="1">Foglio7!JR151</f>
        <v/>
      </c>
      <c r="D117" s="317" t="str">
        <f ca="1">Foglio7!JS151</f>
        <v/>
      </c>
      <c r="E117" s="317" t="str">
        <f ca="1">Foglio7!JT151</f>
        <v/>
      </c>
      <c r="F117" s="317" t="str">
        <f ca="1">Foglio7!JU151</f>
        <v/>
      </c>
      <c r="G117" s="317" t="str">
        <f ca="1">Foglio7!JV151</f>
        <v/>
      </c>
      <c r="H117" s="317" t="str">
        <f ca="1">Foglio7!JW151</f>
        <v/>
      </c>
      <c r="I117" s="317" t="str">
        <f ca="1">Foglio7!JX151</f>
        <v/>
      </c>
      <c r="J117" s="317" t="str">
        <f ca="1">Foglio7!JY151</f>
        <v/>
      </c>
      <c r="K117" s="317" t="str">
        <f ca="1">Foglio7!JZ151</f>
        <v/>
      </c>
    </row>
    <row r="118" spans="2:11" x14ac:dyDescent="0.25">
      <c r="B118" s="318" t="str">
        <f ca="1">Foglio7!JQ152</f>
        <v/>
      </c>
      <c r="C118" s="318" t="str">
        <f ca="1">Foglio7!JR152</f>
        <v/>
      </c>
      <c r="D118" s="317" t="str">
        <f ca="1">Foglio7!JS152</f>
        <v/>
      </c>
      <c r="E118" s="317" t="str">
        <f ca="1">Foglio7!JT152</f>
        <v/>
      </c>
      <c r="F118" s="317" t="str">
        <f ca="1">Foglio7!JU152</f>
        <v/>
      </c>
      <c r="G118" s="317" t="str">
        <f ca="1">Foglio7!JV152</f>
        <v/>
      </c>
      <c r="H118" s="317" t="str">
        <f ca="1">Foglio7!JW152</f>
        <v/>
      </c>
      <c r="I118" s="317" t="str">
        <f ca="1">Foglio7!JX152</f>
        <v/>
      </c>
      <c r="J118" s="317" t="str">
        <f ca="1">Foglio7!JY152</f>
        <v/>
      </c>
      <c r="K118" s="317" t="str">
        <f ca="1">Foglio7!JZ152</f>
        <v/>
      </c>
    </row>
    <row r="119" spans="2:11" x14ac:dyDescent="0.25">
      <c r="B119" s="318" t="str">
        <f ca="1">Foglio7!JQ153</f>
        <v/>
      </c>
      <c r="C119" s="318" t="str">
        <f ca="1">Foglio7!JR153</f>
        <v/>
      </c>
      <c r="D119" s="317" t="str">
        <f ca="1">Foglio7!JS153</f>
        <v/>
      </c>
      <c r="E119" s="317" t="str">
        <f ca="1">Foglio7!JT153</f>
        <v/>
      </c>
      <c r="F119" s="317" t="str">
        <f ca="1">Foglio7!JU153</f>
        <v/>
      </c>
      <c r="G119" s="317" t="str">
        <f ca="1">Foglio7!JV153</f>
        <v/>
      </c>
      <c r="H119" s="317" t="str">
        <f ca="1">Foglio7!JW153</f>
        <v/>
      </c>
      <c r="I119" s="317" t="str">
        <f ca="1">Foglio7!JX153</f>
        <v/>
      </c>
      <c r="J119" s="317" t="str">
        <f ca="1">Foglio7!JY153</f>
        <v/>
      </c>
      <c r="K119" s="317" t="str">
        <f ca="1">Foglio7!JZ153</f>
        <v/>
      </c>
    </row>
    <row r="120" spans="2:11" x14ac:dyDescent="0.25">
      <c r="B120" s="318" t="str">
        <f ca="1">Foglio7!JQ154</f>
        <v/>
      </c>
      <c r="C120" s="318" t="str">
        <f ca="1">Foglio7!JR154</f>
        <v/>
      </c>
      <c r="D120" s="317" t="str">
        <f ca="1">Foglio7!JS154</f>
        <v/>
      </c>
      <c r="E120" s="317" t="str">
        <f ca="1">Foglio7!JT154</f>
        <v/>
      </c>
      <c r="F120" s="317" t="str">
        <f ca="1">Foglio7!JU154</f>
        <v/>
      </c>
      <c r="G120" s="317" t="str">
        <f ca="1">Foglio7!JV154</f>
        <v/>
      </c>
      <c r="H120" s="317" t="str">
        <f ca="1">Foglio7!JW154</f>
        <v/>
      </c>
      <c r="I120" s="317" t="str">
        <f ca="1">Foglio7!JX154</f>
        <v/>
      </c>
      <c r="J120" s="317" t="str">
        <f ca="1">Foglio7!JY154</f>
        <v/>
      </c>
      <c r="K120" s="317" t="str">
        <f ca="1">Foglio7!JZ154</f>
        <v/>
      </c>
    </row>
    <row r="121" spans="2:11" x14ac:dyDescent="0.25">
      <c r="B121" s="318" t="str">
        <f ca="1">Foglio7!JQ155</f>
        <v/>
      </c>
      <c r="C121" s="318" t="str">
        <f ca="1">Foglio7!JR155</f>
        <v/>
      </c>
      <c r="D121" s="317" t="str">
        <f ca="1">Foglio7!JS155</f>
        <v/>
      </c>
      <c r="E121" s="317" t="str">
        <f ca="1">Foglio7!JT155</f>
        <v/>
      </c>
      <c r="F121" s="317" t="str">
        <f ca="1">Foglio7!JU155</f>
        <v/>
      </c>
      <c r="G121" s="317" t="str">
        <f ca="1">Foglio7!JV155</f>
        <v/>
      </c>
      <c r="H121" s="317" t="str">
        <f ca="1">Foglio7!JW155</f>
        <v/>
      </c>
      <c r="I121" s="317" t="str">
        <f ca="1">Foglio7!JX155</f>
        <v/>
      </c>
      <c r="J121" s="317" t="str">
        <f ca="1">Foglio7!JY155</f>
        <v/>
      </c>
      <c r="K121" s="317" t="str">
        <f ca="1">Foglio7!JZ155</f>
        <v/>
      </c>
    </row>
    <row r="122" spans="2:11" x14ac:dyDescent="0.25">
      <c r="B122" s="318" t="str">
        <f ca="1">Foglio7!JQ156</f>
        <v/>
      </c>
      <c r="C122" s="318" t="str">
        <f ca="1">Foglio7!JR156</f>
        <v/>
      </c>
      <c r="D122" s="317" t="str">
        <f ca="1">Foglio7!JS156</f>
        <v/>
      </c>
      <c r="E122" s="317" t="str">
        <f ca="1">Foglio7!JT156</f>
        <v/>
      </c>
      <c r="F122" s="317" t="str">
        <f ca="1">Foglio7!JU156</f>
        <v/>
      </c>
      <c r="G122" s="317" t="str">
        <f ca="1">Foglio7!JV156</f>
        <v/>
      </c>
      <c r="H122" s="317" t="str">
        <f ca="1">Foglio7!JW156</f>
        <v/>
      </c>
      <c r="I122" s="317" t="str">
        <f ca="1">Foglio7!JX156</f>
        <v/>
      </c>
      <c r="J122" s="317" t="str">
        <f ca="1">Foglio7!JY156</f>
        <v/>
      </c>
      <c r="K122" s="317" t="str">
        <f ca="1">Foglio7!JZ156</f>
        <v/>
      </c>
    </row>
    <row r="123" spans="2:11" x14ac:dyDescent="0.25">
      <c r="B123" s="318" t="str">
        <f ca="1">Foglio7!JQ157</f>
        <v/>
      </c>
      <c r="C123" s="318" t="str">
        <f ca="1">Foglio7!JR157</f>
        <v/>
      </c>
      <c r="D123" s="317" t="str">
        <f ca="1">Foglio7!JS157</f>
        <v/>
      </c>
      <c r="E123" s="317" t="str">
        <f ca="1">Foglio7!JT157</f>
        <v/>
      </c>
      <c r="F123" s="317" t="str">
        <f ca="1">Foglio7!JU157</f>
        <v/>
      </c>
      <c r="G123" s="317" t="str">
        <f ca="1">Foglio7!JV157</f>
        <v/>
      </c>
      <c r="H123" s="317" t="str">
        <f ca="1">Foglio7!JW157</f>
        <v/>
      </c>
      <c r="I123" s="317" t="str">
        <f ca="1">Foglio7!JX157</f>
        <v/>
      </c>
      <c r="J123" s="317" t="str">
        <f ca="1">Foglio7!JY157</f>
        <v/>
      </c>
      <c r="K123" s="317" t="str">
        <f ca="1">Foglio7!JZ157</f>
        <v/>
      </c>
    </row>
    <row r="124" spans="2:11" x14ac:dyDescent="0.25">
      <c r="B124" s="318" t="str">
        <f ca="1">Foglio7!JQ158</f>
        <v/>
      </c>
      <c r="C124" s="318" t="str">
        <f ca="1">Foglio7!JR158</f>
        <v/>
      </c>
      <c r="D124" s="317" t="str">
        <f ca="1">Foglio7!JS158</f>
        <v/>
      </c>
      <c r="E124" s="317" t="str">
        <f ca="1">Foglio7!JT158</f>
        <v/>
      </c>
      <c r="F124" s="317" t="str">
        <f ca="1">Foglio7!JU158</f>
        <v/>
      </c>
      <c r="G124" s="317" t="str">
        <f ca="1">Foglio7!JV158</f>
        <v/>
      </c>
      <c r="H124" s="317" t="str">
        <f ca="1">Foglio7!JW158</f>
        <v/>
      </c>
      <c r="I124" s="317" t="str">
        <f ca="1">Foglio7!JX158</f>
        <v/>
      </c>
      <c r="J124" s="317" t="str">
        <f ca="1">Foglio7!JY158</f>
        <v/>
      </c>
      <c r="K124" s="317" t="str">
        <f ca="1">Foglio7!JZ158</f>
        <v/>
      </c>
    </row>
    <row r="125" spans="2:11" x14ac:dyDescent="0.25">
      <c r="B125" s="318" t="str">
        <f ca="1">Foglio7!JQ159</f>
        <v/>
      </c>
      <c r="C125" s="318" t="str">
        <f ca="1">Foglio7!JR159</f>
        <v/>
      </c>
      <c r="D125" s="317" t="str">
        <f ca="1">Foglio7!JS159</f>
        <v/>
      </c>
      <c r="E125" s="317" t="str">
        <f ca="1">Foglio7!JT159</f>
        <v/>
      </c>
      <c r="F125" s="317" t="str">
        <f ca="1">Foglio7!JU159</f>
        <v/>
      </c>
      <c r="G125" s="317" t="str">
        <f ca="1">Foglio7!JV159</f>
        <v/>
      </c>
      <c r="H125" s="317" t="str">
        <f ca="1">Foglio7!JW159</f>
        <v/>
      </c>
      <c r="I125" s="317" t="str">
        <f ca="1">Foglio7!JX159</f>
        <v/>
      </c>
      <c r="J125" s="317" t="str">
        <f ca="1">Foglio7!JY159</f>
        <v/>
      </c>
      <c r="K125" s="317" t="str">
        <f ca="1">Foglio7!JZ159</f>
        <v/>
      </c>
    </row>
    <row r="126" spans="2:11" x14ac:dyDescent="0.25">
      <c r="B126" s="318" t="str">
        <f ca="1">Foglio7!JQ160</f>
        <v/>
      </c>
      <c r="C126" s="318" t="str">
        <f ca="1">Foglio7!JR160</f>
        <v/>
      </c>
      <c r="D126" s="317" t="str">
        <f ca="1">Foglio7!JS160</f>
        <v/>
      </c>
      <c r="E126" s="317" t="str">
        <f ca="1">Foglio7!JT160</f>
        <v/>
      </c>
      <c r="F126" s="317" t="str">
        <f ca="1">Foglio7!JU160</f>
        <v/>
      </c>
      <c r="G126" s="317" t="str">
        <f ca="1">Foglio7!JV160</f>
        <v/>
      </c>
      <c r="H126" s="317" t="str">
        <f ca="1">Foglio7!JW160</f>
        <v/>
      </c>
      <c r="I126" s="317" t="str">
        <f ca="1">Foglio7!JX160</f>
        <v/>
      </c>
      <c r="J126" s="317" t="str">
        <f ca="1">Foglio7!JY160</f>
        <v/>
      </c>
      <c r="K126" s="317" t="str">
        <f ca="1">Foglio7!JZ160</f>
        <v/>
      </c>
    </row>
    <row r="127" spans="2:11" x14ac:dyDescent="0.25">
      <c r="B127" s="318" t="str">
        <f ca="1">Foglio7!JQ161</f>
        <v/>
      </c>
      <c r="C127" s="318" t="str">
        <f ca="1">Foglio7!JR161</f>
        <v/>
      </c>
      <c r="D127" s="317" t="str">
        <f ca="1">Foglio7!JS161</f>
        <v/>
      </c>
      <c r="E127" s="317" t="str">
        <f ca="1">Foglio7!JT161</f>
        <v/>
      </c>
      <c r="F127" s="317" t="str">
        <f ca="1">Foglio7!JU161</f>
        <v/>
      </c>
      <c r="G127" s="317" t="str">
        <f ca="1">Foglio7!JV161</f>
        <v/>
      </c>
      <c r="H127" s="317" t="str">
        <f ca="1">Foglio7!JW161</f>
        <v/>
      </c>
      <c r="I127" s="317" t="str">
        <f ca="1">Foglio7!JX161</f>
        <v/>
      </c>
      <c r="J127" s="317" t="str">
        <f ca="1">Foglio7!JY161</f>
        <v/>
      </c>
      <c r="K127" s="317" t="str">
        <f ca="1">Foglio7!JZ161</f>
        <v/>
      </c>
    </row>
    <row r="128" spans="2:11" x14ac:dyDescent="0.25">
      <c r="B128" s="318" t="str">
        <f ca="1">Foglio7!JQ162</f>
        <v/>
      </c>
      <c r="C128" s="318" t="str">
        <f ca="1">Foglio7!JR162</f>
        <v/>
      </c>
      <c r="D128" s="317" t="str">
        <f ca="1">Foglio7!JS162</f>
        <v/>
      </c>
      <c r="E128" s="317" t="str">
        <f ca="1">Foglio7!JT162</f>
        <v/>
      </c>
      <c r="F128" s="317" t="str">
        <f ca="1">Foglio7!JU162</f>
        <v/>
      </c>
      <c r="G128" s="317" t="str">
        <f ca="1">Foglio7!JV162</f>
        <v/>
      </c>
      <c r="H128" s="317" t="str">
        <f ca="1">Foglio7!JW162</f>
        <v/>
      </c>
      <c r="I128" s="317" t="str">
        <f ca="1">Foglio7!JX162</f>
        <v/>
      </c>
      <c r="J128" s="317" t="str">
        <f ca="1">Foglio7!JY162</f>
        <v/>
      </c>
      <c r="K128" s="317" t="str">
        <f ca="1">Foglio7!JZ162</f>
        <v/>
      </c>
    </row>
  </sheetData>
  <sheetProtection sheet="1" objects="1" scenarios="1"/>
  <mergeCells count="8">
    <mergeCell ref="M12:Q12"/>
    <mergeCell ref="O6:S6"/>
    <mergeCell ref="B11:K11"/>
    <mergeCell ref="A1:K5"/>
    <mergeCell ref="B6:K6"/>
    <mergeCell ref="B7:K7"/>
    <mergeCell ref="B8:I8"/>
    <mergeCell ref="B10:K10"/>
  </mergeCells>
  <hyperlinks>
    <hyperlink ref="M12:Q12" location="decreto!A1" display="TORNA" xr:uid="{00000000-0004-0000-0C00-000000000000}"/>
    <hyperlink ref="O6:S6" location="decreto!A1" display="TORNA" xr:uid="{00000000-0004-0000-0C00-000001000000}"/>
  </hyperlinks>
  <pageMargins left="0.7" right="0.7" top="0.75" bottom="0.75" header="0.3" footer="0.3"/>
  <pageSetup paperSize="9" orientation="portrait" r:id="rId1"/>
  <rowBreaks count="1" manualBreakCount="1">
    <brk id="8" max="16383"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AE47"/>
  <sheetViews>
    <sheetView zoomScaleNormal="100" workbookViewId="0">
      <selection activeCell="J10" sqref="J10:O11"/>
    </sheetView>
  </sheetViews>
  <sheetFormatPr defaultColWidth="8.85546875" defaultRowHeight="15" x14ac:dyDescent="0.25"/>
  <cols>
    <col min="1" max="2" width="8.85546875" style="349"/>
    <col min="3" max="3" width="10.5703125" style="349" bestFit="1" customWidth="1"/>
    <col min="4" max="6" width="8.85546875" style="349"/>
    <col min="7" max="7" width="10.7109375" style="349" customWidth="1"/>
    <col min="8" max="8" width="10.28515625" style="349" customWidth="1"/>
    <col min="9" max="9" width="10.42578125" style="349" customWidth="1"/>
    <col min="10" max="13" width="8.85546875" style="349"/>
    <col min="14" max="14" width="10.5703125" style="349" bestFit="1" customWidth="1"/>
    <col min="15" max="15" width="10.7109375" style="349" customWidth="1"/>
    <col min="16" max="16" width="8.85546875" style="349" customWidth="1"/>
    <col min="17" max="17" width="15.7109375" style="349" customWidth="1"/>
    <col min="18" max="18" width="11.140625" style="349" customWidth="1"/>
    <col min="19" max="19" width="12.7109375" style="349" customWidth="1"/>
    <col min="20" max="20" width="8.85546875" style="349" customWidth="1"/>
    <col min="21" max="21" width="10.5703125" style="349" customWidth="1"/>
    <col min="22" max="27" width="8.85546875" style="349" customWidth="1"/>
    <col min="28" max="16384" width="8.85546875" style="349"/>
  </cols>
  <sheetData>
    <row r="3" spans="3:31" ht="15.75" thickBot="1" x14ac:dyDescent="0.3"/>
    <row r="4" spans="3:31" x14ac:dyDescent="0.25">
      <c r="O4" s="362" t="s">
        <v>488</v>
      </c>
      <c r="P4" s="443"/>
      <c r="Q4" s="443"/>
      <c r="R4" s="443"/>
      <c r="S4" s="443"/>
      <c r="T4" s="443"/>
      <c r="U4" s="443"/>
      <c r="V4" s="443"/>
      <c r="W4" s="443"/>
      <c r="X4" s="443"/>
      <c r="Y4" s="443"/>
      <c r="Z4" s="443"/>
      <c r="AA4" s="443"/>
      <c r="AB4" s="443"/>
      <c r="AC4" s="443"/>
      <c r="AD4" s="443"/>
      <c r="AE4" s="444"/>
    </row>
    <row r="5" spans="3:31" ht="16.5" thickBot="1" x14ac:dyDescent="0.3">
      <c r="O5" s="628" t="s">
        <v>489</v>
      </c>
      <c r="P5" s="629"/>
      <c r="Q5" s="629"/>
      <c r="R5" s="629"/>
      <c r="S5" s="629"/>
      <c r="T5" s="629"/>
      <c r="U5" s="630"/>
      <c r="V5" s="630"/>
      <c r="W5" s="630"/>
      <c r="X5" s="630"/>
      <c r="Y5" s="630"/>
      <c r="Z5" s="630"/>
      <c r="AA5" s="630"/>
      <c r="AB5" s="630"/>
      <c r="AC5" s="630"/>
      <c r="AD5" s="630"/>
      <c r="AE5" s="445"/>
    </row>
    <row r="9" spans="3:31" ht="15.75" thickBot="1" x14ac:dyDescent="0.3"/>
    <row r="10" spans="3:31" x14ac:dyDescent="0.25">
      <c r="J10" s="638" t="s">
        <v>441</v>
      </c>
      <c r="K10" s="639"/>
      <c r="L10" s="639"/>
      <c r="M10" s="639"/>
      <c r="N10" s="639"/>
      <c r="O10" s="640"/>
    </row>
    <row r="11" spans="3:31" ht="15.75" thickBot="1" x14ac:dyDescent="0.3">
      <c r="J11" s="641"/>
      <c r="K11" s="642"/>
      <c r="L11" s="642"/>
      <c r="M11" s="642"/>
      <c r="N11" s="642"/>
      <c r="O11" s="643"/>
      <c r="Q11" s="413"/>
    </row>
    <row r="13" spans="3:31" x14ac:dyDescent="0.25">
      <c r="V13" s="349" t="s">
        <v>168</v>
      </c>
      <c r="W13" s="349">
        <v>0</v>
      </c>
    </row>
    <row r="14" spans="3:31" x14ac:dyDescent="0.25">
      <c r="V14" s="349" t="s">
        <v>169</v>
      </c>
      <c r="W14" s="349">
        <v>3</v>
      </c>
    </row>
    <row r="15" spans="3:31" x14ac:dyDescent="0.25">
      <c r="V15" s="349" t="s">
        <v>170</v>
      </c>
      <c r="W15" s="349">
        <v>9</v>
      </c>
    </row>
    <row r="16" spans="3:31" ht="18.75" x14ac:dyDescent="0.3">
      <c r="C16" s="406" t="s">
        <v>439</v>
      </c>
      <c r="V16" s="349" t="s">
        <v>171</v>
      </c>
      <c r="W16" s="349">
        <v>15</v>
      </c>
    </row>
    <row r="17" spans="3:23" ht="48" customHeight="1" x14ac:dyDescent="0.25">
      <c r="C17" s="637" t="s">
        <v>440</v>
      </c>
      <c r="D17" s="598"/>
      <c r="E17" s="598"/>
      <c r="F17" s="598"/>
      <c r="G17" s="598"/>
      <c r="H17" s="598"/>
      <c r="I17" s="598"/>
      <c r="V17" s="349" t="s">
        <v>172</v>
      </c>
      <c r="W17" s="349">
        <v>21</v>
      </c>
    </row>
    <row r="18" spans="3:23" x14ac:dyDescent="0.25">
      <c r="V18" s="349" t="s">
        <v>173</v>
      </c>
      <c r="W18" s="349">
        <v>28</v>
      </c>
    </row>
    <row r="19" spans="3:23" ht="15.75" thickBot="1" x14ac:dyDescent="0.3">
      <c r="V19" s="349" t="s">
        <v>174</v>
      </c>
      <c r="W19" s="349">
        <v>34</v>
      </c>
    </row>
    <row r="20" spans="3:23" ht="15.75" thickBot="1" x14ac:dyDescent="0.3">
      <c r="C20" s="649" t="s">
        <v>397</v>
      </c>
      <c r="D20" s="655"/>
      <c r="E20" s="657" t="s">
        <v>285</v>
      </c>
      <c r="F20" s="658"/>
      <c r="G20" s="658"/>
      <c r="J20" s="649" t="s">
        <v>403</v>
      </c>
      <c r="K20" s="650"/>
      <c r="L20" s="397" t="s">
        <v>390</v>
      </c>
      <c r="N20" s="396" t="s">
        <v>390</v>
      </c>
    </row>
    <row r="21" spans="3:23" x14ac:dyDescent="0.25">
      <c r="N21" s="396" t="s">
        <v>268</v>
      </c>
    </row>
    <row r="22" spans="3:23" ht="15.75" thickBot="1" x14ac:dyDescent="0.3"/>
    <row r="23" spans="3:23" ht="53.45" customHeight="1" thickBot="1" x14ac:dyDescent="0.3">
      <c r="C23" s="651" t="s">
        <v>404</v>
      </c>
      <c r="D23" s="652"/>
      <c r="E23" s="652"/>
      <c r="F23" s="652"/>
      <c r="G23" s="653"/>
      <c r="H23" s="397" t="s">
        <v>268</v>
      </c>
      <c r="I23" s="419" t="s">
        <v>455</v>
      </c>
      <c r="Q23" s="631" t="s">
        <v>479</v>
      </c>
      <c r="R23" s="632"/>
      <c r="S23" s="632"/>
      <c r="T23" s="633"/>
    </row>
    <row r="24" spans="3:23" ht="15.75" thickBot="1" x14ac:dyDescent="0.3">
      <c r="Q24" s="634"/>
      <c r="R24" s="635"/>
      <c r="S24" s="635"/>
      <c r="T24" s="636"/>
    </row>
    <row r="25" spans="3:23" x14ac:dyDescent="0.25">
      <c r="C25" s="654" t="s">
        <v>405</v>
      </c>
      <c r="D25" s="617"/>
      <c r="E25" s="617"/>
      <c r="F25" s="617"/>
      <c r="G25" s="617"/>
      <c r="H25" s="427" t="s">
        <v>390</v>
      </c>
      <c r="I25" s="420" t="s">
        <v>455</v>
      </c>
      <c r="J25" s="390"/>
      <c r="K25" s="390"/>
      <c r="L25" s="390"/>
      <c r="M25" s="390"/>
      <c r="N25" s="421" t="s">
        <v>453</v>
      </c>
      <c r="O25" s="422"/>
      <c r="Q25" s="395"/>
      <c r="R25" s="349" t="s">
        <v>454</v>
      </c>
      <c r="T25" s="394"/>
    </row>
    <row r="26" spans="3:23" x14ac:dyDescent="0.25">
      <c r="C26" s="395"/>
      <c r="N26" s="423" t="s">
        <v>269</v>
      </c>
      <c r="O26" s="424" t="s">
        <v>272</v>
      </c>
      <c r="Q26" s="395"/>
      <c r="R26" s="349" t="s">
        <v>269</v>
      </c>
      <c r="S26" s="349" t="s">
        <v>272</v>
      </c>
      <c r="T26" s="441"/>
      <c r="U26" s="442"/>
    </row>
    <row r="27" spans="3:23" x14ac:dyDescent="0.25">
      <c r="C27" s="656" t="s">
        <v>383</v>
      </c>
      <c r="D27" s="615"/>
      <c r="E27" s="659"/>
      <c r="F27" s="660"/>
      <c r="G27" s="419" t="s">
        <v>455</v>
      </c>
      <c r="N27" s="426" t="str">
        <f ca="1">Foglio2!AL139</f>
        <v>0-2 anni</v>
      </c>
      <c r="O27" s="425">
        <f ca="1">Foglio2!AM139</f>
        <v>43344</v>
      </c>
      <c r="Q27" s="395"/>
      <c r="R27" s="434"/>
      <c r="S27" s="433">
        <f>F29</f>
        <v>43344</v>
      </c>
      <c r="T27" s="418" t="e">
        <f>VLOOKUP(R27,$V$13:$W$19,2)</f>
        <v>#N/A</v>
      </c>
      <c r="U27" s="416"/>
      <c r="V27" s="416"/>
    </row>
    <row r="28" spans="3:23" x14ac:dyDescent="0.25">
      <c r="C28" s="395"/>
      <c r="N28" s="426" t="str">
        <f ca="1">IF( OR(Foglio2!AL140=100000,O28=""),"",Foglio2!AL140)</f>
        <v/>
      </c>
      <c r="O28" s="425" t="str">
        <f ca="1">IF(OR(Foglio2!AM140=100000,  Foglio2!AM140&gt;$C$47                 ),"",Foglio2!AM140)</f>
        <v/>
      </c>
      <c r="Q28" s="395"/>
      <c r="R28" s="434"/>
      <c r="S28" s="435">
        <v>43086</v>
      </c>
      <c r="T28" s="418" t="str">
        <f>IF(R28="","",VLOOKUP(R28,$V$13:$W$20,2))</f>
        <v/>
      </c>
      <c r="U28" s="417">
        <f>IF(S28=0,"",S28)</f>
        <v>43086</v>
      </c>
      <c r="V28" s="416"/>
    </row>
    <row r="29" spans="3:23" x14ac:dyDescent="0.25">
      <c r="C29" s="656" t="s">
        <v>399</v>
      </c>
      <c r="D29" s="615"/>
      <c r="E29" s="615"/>
      <c r="F29" s="659">
        <v>43344</v>
      </c>
      <c r="G29" s="660"/>
      <c r="H29" s="419" t="s">
        <v>455</v>
      </c>
      <c r="N29" s="426" t="str">
        <f ca="1">IF( OR(Foglio2!AL141=100000,O29=""),"",Foglio2!AL141)</f>
        <v/>
      </c>
      <c r="O29" s="425" t="str">
        <f ca="1">IF(OR(Foglio2!AM141=100000,  Foglio2!AM141&gt;$C$47                 ),"",Foglio2!AM141)</f>
        <v/>
      </c>
      <c r="Q29" s="395"/>
      <c r="R29" s="434"/>
      <c r="S29" s="435">
        <v>44912</v>
      </c>
      <c r="T29" s="418" t="str">
        <f t="shared" ref="T29:T33" si="0">IF(R29="","",VLOOKUP(R29,$V$13:$W$20,2))</f>
        <v/>
      </c>
      <c r="U29" s="417">
        <f t="shared" ref="U29:U33" si="1">IF(S29=0,"",S29)</f>
        <v>44912</v>
      </c>
      <c r="V29" s="416"/>
    </row>
    <row r="30" spans="3:23" x14ac:dyDescent="0.25">
      <c r="C30" s="395"/>
      <c r="N30" s="426" t="str">
        <f ca="1">IF( OR(Foglio2!AL142=100000,O30=""),"",Foglio2!AL142)</f>
        <v/>
      </c>
      <c r="O30" s="425" t="str">
        <f ca="1">IF(OR(Foglio2!AM142=100000,  Foglio2!AM142&gt;$C$47                 ),"",Foglio2!AM142)</f>
        <v/>
      </c>
      <c r="Q30" s="395"/>
      <c r="R30" s="434"/>
      <c r="S30" s="435"/>
      <c r="T30" s="418" t="str">
        <f t="shared" si="0"/>
        <v/>
      </c>
      <c r="U30" s="417" t="str">
        <f t="shared" si="1"/>
        <v/>
      </c>
      <c r="V30" s="416"/>
    </row>
    <row r="31" spans="3:23" x14ac:dyDescent="0.25">
      <c r="C31" s="395"/>
      <c r="I31" s="414" t="s">
        <v>56</v>
      </c>
      <c r="J31" s="414" t="s">
        <v>94</v>
      </c>
      <c r="K31" s="414" t="s">
        <v>95</v>
      </c>
      <c r="N31" s="426" t="str">
        <f ca="1">IF( OR(Foglio2!AL143=100000,O31=""),"",Foglio2!AL143)</f>
        <v/>
      </c>
      <c r="O31" s="425" t="str">
        <f ca="1">IF(OR(Foglio2!AM143=100000,  Foglio2!AM143&gt;$C$47                 ),"",Foglio2!AM143)</f>
        <v/>
      </c>
      <c r="Q31" s="395"/>
      <c r="R31" s="434"/>
      <c r="S31" s="435"/>
      <c r="T31" s="418" t="str">
        <f t="shared" si="0"/>
        <v/>
      </c>
      <c r="U31" s="417" t="str">
        <f t="shared" si="1"/>
        <v/>
      </c>
      <c r="V31" s="416"/>
    </row>
    <row r="32" spans="3:23" x14ac:dyDescent="0.25">
      <c r="C32" s="647" t="s">
        <v>398</v>
      </c>
      <c r="D32" s="648"/>
      <c r="E32" s="648"/>
      <c r="F32" s="648"/>
      <c r="G32" s="648"/>
      <c r="H32" s="648"/>
      <c r="I32" s="398">
        <v>0</v>
      </c>
      <c r="J32" s="398">
        <v>0</v>
      </c>
      <c r="K32" s="398">
        <v>0</v>
      </c>
      <c r="L32" s="419" t="s">
        <v>455</v>
      </c>
      <c r="N32" s="426" t="str">
        <f ca="1">IF( OR(Foglio2!AL144=100000,O32=""),"",Foglio2!AL144)</f>
        <v/>
      </c>
      <c r="O32" s="425" t="str">
        <f ca="1">IF(OR(Foglio2!AM144=100000,  Foglio2!AM144&gt;$C$47                 ),"",Foglio2!AM144)</f>
        <v/>
      </c>
      <c r="Q32" s="395"/>
      <c r="R32" s="434"/>
      <c r="S32" s="435"/>
      <c r="T32" s="418" t="str">
        <f t="shared" si="0"/>
        <v/>
      </c>
      <c r="U32" s="417" t="str">
        <f t="shared" si="1"/>
        <v/>
      </c>
      <c r="V32" s="416"/>
    </row>
    <row r="33" spans="1:22" ht="15.75" thickBot="1" x14ac:dyDescent="0.3">
      <c r="C33" s="391"/>
      <c r="D33" s="392"/>
      <c r="E33" s="392"/>
      <c r="F33" s="392"/>
      <c r="G33" s="392"/>
      <c r="H33" s="392"/>
      <c r="I33" s="392"/>
      <c r="J33" s="392"/>
      <c r="K33" s="392"/>
      <c r="L33" s="392"/>
      <c r="M33" s="392"/>
      <c r="N33" s="426" t="str">
        <f ca="1">IF( OR(Foglio2!AL145=100000,O33=""),"",Foglio2!AL145)</f>
        <v/>
      </c>
      <c r="O33" s="425" t="str">
        <f ca="1">IF(OR(Foglio2!AM145=100000,  Foglio2!AM145&gt;$C$47                 ),"",Foglio2!AM145)</f>
        <v/>
      </c>
      <c r="Q33" s="395"/>
      <c r="R33" s="434"/>
      <c r="S33" s="435"/>
      <c r="T33" s="418" t="str">
        <f t="shared" si="0"/>
        <v/>
      </c>
      <c r="U33" s="417" t="str">
        <f t="shared" si="1"/>
        <v/>
      </c>
      <c r="V33" s="416"/>
    </row>
    <row r="34" spans="1:22" ht="84.6" customHeight="1" thickBot="1" x14ac:dyDescent="0.3">
      <c r="Q34" s="391"/>
      <c r="R34" s="392"/>
      <c r="S34" s="392"/>
      <c r="T34" s="393"/>
    </row>
    <row r="35" spans="1:22" x14ac:dyDescent="0.25">
      <c r="A35" s="389"/>
      <c r="C35" s="389"/>
      <c r="D35" s="390"/>
      <c r="E35" s="390"/>
      <c r="F35" s="390"/>
      <c r="G35" s="390"/>
      <c r="H35" s="390"/>
      <c r="I35" s="390"/>
      <c r="J35" s="390"/>
      <c r="K35" s="390"/>
      <c r="L35" s="390"/>
      <c r="M35" s="390"/>
      <c r="N35" s="421" t="s">
        <v>453</v>
      </c>
      <c r="O35" s="422"/>
      <c r="Q35" s="631" t="s">
        <v>480</v>
      </c>
      <c r="R35" s="595"/>
      <c r="S35" s="595"/>
      <c r="T35" s="596"/>
    </row>
    <row r="36" spans="1:22" ht="14.45" customHeight="1" x14ac:dyDescent="0.25">
      <c r="A36" s="395"/>
      <c r="C36" s="647" t="s">
        <v>400</v>
      </c>
      <c r="D36" s="648"/>
      <c r="E36" s="648"/>
      <c r="F36" s="648"/>
      <c r="G36" s="648"/>
      <c r="H36" s="648"/>
      <c r="I36" s="648"/>
      <c r="N36" s="423" t="s">
        <v>269</v>
      </c>
      <c r="O36" s="424" t="s">
        <v>272</v>
      </c>
      <c r="Q36" s="597"/>
      <c r="R36" s="598"/>
      <c r="S36" s="598"/>
      <c r="T36" s="599"/>
    </row>
    <row r="37" spans="1:22" x14ac:dyDescent="0.25">
      <c r="A37" s="395"/>
      <c r="C37" s="395"/>
      <c r="G37" s="414" t="s">
        <v>56</v>
      </c>
      <c r="H37" s="414" t="s">
        <v>94</v>
      </c>
      <c r="I37" s="414" t="s">
        <v>95</v>
      </c>
      <c r="N37" s="415" t="str">
        <f>Foglio2!G139</f>
        <v/>
      </c>
      <c r="O37" s="415">
        <f ca="1">Foglio2!H139</f>
        <v>43344</v>
      </c>
      <c r="Q37" s="597"/>
      <c r="R37" s="598"/>
      <c r="S37" s="598"/>
      <c r="T37" s="599"/>
    </row>
    <row r="38" spans="1:22" x14ac:dyDescent="0.25">
      <c r="A38" s="395"/>
      <c r="C38" s="395" t="s">
        <v>401</v>
      </c>
      <c r="G38" s="399"/>
      <c r="H38" s="399"/>
      <c r="I38" s="399"/>
      <c r="J38" s="419" t="s">
        <v>455</v>
      </c>
      <c r="N38" s="415" t="str">
        <f ca="1">IF(O38="","",Foglio2!G140)</f>
        <v/>
      </c>
      <c r="O38" s="415">
        <f ca="1">IF(Foglio2!H140&gt;frontti!$C$47,"",Foglio2!H140)</f>
        <v>43709</v>
      </c>
      <c r="Q38" s="395"/>
      <c r="R38" s="349" t="s">
        <v>454</v>
      </c>
      <c r="T38" s="394"/>
    </row>
    <row r="39" spans="1:22" x14ac:dyDescent="0.25">
      <c r="A39" s="395"/>
      <c r="C39" s="395" t="s">
        <v>402</v>
      </c>
      <c r="G39" s="399"/>
      <c r="H39" s="399"/>
      <c r="I39" s="399"/>
      <c r="N39" s="415" t="str">
        <f>IF(O39="","",Foglio2!G141)</f>
        <v/>
      </c>
      <c r="O39" s="415" t="str">
        <f>IF(Foglio2!H141&gt;frontti!$C$47,"",Foglio2!H141)</f>
        <v/>
      </c>
      <c r="Q39" s="395"/>
      <c r="R39" s="349" t="s">
        <v>269</v>
      </c>
      <c r="S39" s="349" t="s">
        <v>272</v>
      </c>
      <c r="T39" s="441"/>
      <c r="U39" s="442"/>
    </row>
    <row r="40" spans="1:22" ht="12" customHeight="1" thickBot="1" x14ac:dyDescent="0.3">
      <c r="A40" s="391"/>
      <c r="C40" s="395"/>
      <c r="N40" s="415" t="str">
        <f>IF(O40="","",Foglio2!G142)</f>
        <v/>
      </c>
      <c r="O40" s="415" t="str">
        <f>IF(Foglio2!H142&gt;frontti!$C$47,"",Foglio2!H142)</f>
        <v/>
      </c>
      <c r="Q40" s="395"/>
      <c r="R40" s="434"/>
      <c r="S40" s="433">
        <f>F29</f>
        <v>43344</v>
      </c>
      <c r="T40" s="418" t="e">
        <f>VLOOKUP(R40,$V$13:$W$19,2)</f>
        <v>#N/A</v>
      </c>
      <c r="U40" s="442"/>
    </row>
    <row r="41" spans="1:22" x14ac:dyDescent="0.25">
      <c r="C41" s="395"/>
      <c r="N41" s="415" t="str">
        <f>IF(O41="","",Foglio2!G143)</f>
        <v/>
      </c>
      <c r="O41" s="415" t="str">
        <f>IF(Foglio2!H143&gt;frontti!$C$47,"",Foglio2!H143)</f>
        <v/>
      </c>
      <c r="Q41" s="395"/>
      <c r="R41" s="434"/>
      <c r="S41" s="435">
        <v>41226</v>
      </c>
      <c r="T41" s="418" t="str">
        <f t="shared" ref="T41:T46" si="2">IF(R41="","",VLOOKUP(R41,$V$13:$W$20,2))</f>
        <v/>
      </c>
      <c r="U41" s="417">
        <f t="shared" ref="U41:U46" si="3">IF(S41=0,"",S41)</f>
        <v>41226</v>
      </c>
    </row>
    <row r="42" spans="1:22" x14ac:dyDescent="0.25">
      <c r="C42" s="395"/>
      <c r="N42" s="415" t="str">
        <f>IF(O42="","",Foglio2!G144)</f>
        <v/>
      </c>
      <c r="O42" s="415" t="str">
        <f>IF(Foglio2!H144&gt;frontti!$C$47,"",Foglio2!H144)</f>
        <v/>
      </c>
      <c r="Q42" s="395"/>
      <c r="R42" s="434"/>
      <c r="S42" s="435">
        <v>43782</v>
      </c>
      <c r="T42" s="418" t="str">
        <f t="shared" si="2"/>
        <v/>
      </c>
      <c r="U42" s="417">
        <f t="shared" si="3"/>
        <v>43782</v>
      </c>
    </row>
    <row r="43" spans="1:22" x14ac:dyDescent="0.25">
      <c r="C43" s="395"/>
      <c r="F43" s="644" t="s">
        <v>394</v>
      </c>
      <c r="G43" s="645"/>
      <c r="H43" s="645"/>
      <c r="N43" s="415" t="str">
        <f>IF(O43="","",Foglio2!G145)</f>
        <v/>
      </c>
      <c r="O43" s="415" t="str">
        <f>IF(Foglio2!H145&gt;frontti!$C$47,"",Foglio2!H145)</f>
        <v/>
      </c>
      <c r="Q43" s="395"/>
      <c r="R43" s="434"/>
      <c r="S43" s="435">
        <v>44912</v>
      </c>
      <c r="T43" s="418" t="str">
        <f t="shared" si="2"/>
        <v/>
      </c>
      <c r="U43" s="417">
        <f t="shared" si="3"/>
        <v>44912</v>
      </c>
    </row>
    <row r="44" spans="1:22" x14ac:dyDescent="0.25">
      <c r="C44" s="395"/>
      <c r="F44" s="645"/>
      <c r="G44" s="645"/>
      <c r="H44" s="645"/>
      <c r="O44" s="394"/>
      <c r="Q44" s="395"/>
      <c r="R44" s="434"/>
      <c r="S44" s="435"/>
      <c r="T44" s="418" t="str">
        <f t="shared" si="2"/>
        <v/>
      </c>
      <c r="U44" s="417" t="str">
        <f t="shared" si="3"/>
        <v/>
      </c>
    </row>
    <row r="45" spans="1:22" ht="15.75" thickBot="1" x14ac:dyDescent="0.3">
      <c r="C45" s="391"/>
      <c r="D45" s="392"/>
      <c r="E45" s="392"/>
      <c r="F45" s="646"/>
      <c r="G45" s="646"/>
      <c r="H45" s="646"/>
      <c r="I45" s="392"/>
      <c r="J45" s="392"/>
      <c r="K45" s="392"/>
      <c r="L45" s="392"/>
      <c r="M45" s="392"/>
      <c r="N45" s="392"/>
      <c r="O45" s="393"/>
      <c r="Q45" s="395"/>
      <c r="R45" s="434"/>
      <c r="S45" s="435"/>
      <c r="T45" s="418" t="str">
        <f t="shared" si="2"/>
        <v/>
      </c>
      <c r="U45" s="417" t="str">
        <f t="shared" si="3"/>
        <v/>
      </c>
    </row>
    <row r="46" spans="1:22" x14ac:dyDescent="0.25">
      <c r="Q46" s="395"/>
      <c r="R46" s="434"/>
      <c r="S46" s="435"/>
      <c r="T46" s="418" t="str">
        <f t="shared" si="2"/>
        <v/>
      </c>
      <c r="U46" s="417" t="str">
        <f t="shared" si="3"/>
        <v/>
      </c>
    </row>
    <row r="47" spans="1:22" ht="15.75" thickBot="1" x14ac:dyDescent="0.3">
      <c r="C47" s="436">
        <v>45901</v>
      </c>
      <c r="H47" s="349" t="s">
        <v>65</v>
      </c>
      <c r="Q47" s="391"/>
      <c r="R47" s="392"/>
      <c r="S47" s="392"/>
      <c r="T47" s="393"/>
    </row>
  </sheetData>
  <mergeCells count="17">
    <mergeCell ref="F43:H45"/>
    <mergeCell ref="C36:I36"/>
    <mergeCell ref="J20:K20"/>
    <mergeCell ref="C23:G23"/>
    <mergeCell ref="C25:G25"/>
    <mergeCell ref="C20:D20"/>
    <mergeCell ref="C27:D27"/>
    <mergeCell ref="C29:E29"/>
    <mergeCell ref="C32:H32"/>
    <mergeCell ref="E20:G20"/>
    <mergeCell ref="E27:F27"/>
    <mergeCell ref="F29:G29"/>
    <mergeCell ref="O5:AD5"/>
    <mergeCell ref="Q23:T24"/>
    <mergeCell ref="Q35:T37"/>
    <mergeCell ref="C17:I17"/>
    <mergeCell ref="J10:O11"/>
  </mergeCells>
  <dataValidations count="2">
    <dataValidation type="list" allowBlank="1" showInputMessage="1" showErrorMessage="1" sqref="L20 H23 H25" xr:uid="{00000000-0002-0000-0D00-000000000000}">
      <formula1>$N$20:$N$21</formula1>
    </dataValidation>
    <dataValidation type="list" allowBlank="1" showInputMessage="1" showErrorMessage="1" sqref="R27:R33 R40:R46" xr:uid="{00000000-0002-0000-0D00-000001000000}">
      <formula1>$V$13:$V$19</formula1>
    </dataValidation>
  </dataValidations>
  <hyperlinks>
    <hyperlink ref="F43:H45" location="decretoti!A1" display="VAI AL DECRETO" xr:uid="{00000000-0004-0000-0D00-000000000000}"/>
    <hyperlink ref="J10:O11" location="fronttd!A1" display="Vai al calcolo delle differenze spettanti per i periodi pre ruolo" xr:uid="{00000000-0004-0000-0D00-000001000000}"/>
    <hyperlink ref="O5" r:id="rId1" xr:uid="{00000000-0004-0000-0D00-000002000000}"/>
  </hyperlink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2000000}">
          <x14:formula1>
            <xm:f>ti!$A$3:$A$11</xm:f>
          </x14:formula1>
          <xm:sqref>E20:G20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8:BG147"/>
  <sheetViews>
    <sheetView zoomScale="90" zoomScaleNormal="90" workbookViewId="0">
      <selection sqref="A1:XFD1048576"/>
    </sheetView>
  </sheetViews>
  <sheetFormatPr defaultRowHeight="15" x14ac:dyDescent="0.25"/>
  <cols>
    <col min="4" max="4" width="12.85546875" customWidth="1"/>
    <col min="6" max="6" width="17.85546875" customWidth="1"/>
    <col min="8" max="8" width="12" customWidth="1"/>
    <col min="10" max="11" width="11.7109375" bestFit="1" customWidth="1"/>
    <col min="14" max="14" width="11.7109375" bestFit="1" customWidth="1"/>
    <col min="15" max="15" width="13.28515625" customWidth="1"/>
    <col min="16" max="16" width="11.7109375" bestFit="1" customWidth="1"/>
    <col min="18" max="18" width="11.7109375" bestFit="1" customWidth="1"/>
    <col min="20" max="20" width="11.5703125" bestFit="1" customWidth="1"/>
    <col min="24" max="24" width="11.5703125" bestFit="1" customWidth="1"/>
    <col min="32" max="32" width="11.5703125" bestFit="1" customWidth="1"/>
    <col min="35" max="35" width="14" customWidth="1"/>
    <col min="37" max="37" width="9.7109375" bestFit="1" customWidth="1"/>
    <col min="39" max="39" width="15.7109375" customWidth="1"/>
    <col min="41" max="41" width="11.7109375" bestFit="1" customWidth="1"/>
    <col min="42" max="42" width="12.7109375" customWidth="1"/>
    <col min="43" max="43" width="11.5703125" bestFit="1" customWidth="1"/>
    <col min="44" max="44" width="11.7109375" bestFit="1" customWidth="1"/>
    <col min="45" max="45" width="11.5703125" bestFit="1" customWidth="1"/>
    <col min="46" max="46" width="13.28515625" customWidth="1"/>
    <col min="47" max="47" width="16" customWidth="1"/>
    <col min="49" max="49" width="12.85546875" customWidth="1"/>
    <col min="51" max="51" width="11.5703125" bestFit="1" customWidth="1"/>
    <col min="57" max="57" width="14.28515625" customWidth="1"/>
  </cols>
  <sheetData>
    <row r="8" spans="2:42" x14ac:dyDescent="0.25">
      <c r="D8" s="112">
        <v>40422</v>
      </c>
      <c r="AI8" s="112">
        <v>40422</v>
      </c>
    </row>
    <row r="9" spans="2:42" x14ac:dyDescent="0.25">
      <c r="G9" t="s">
        <v>93</v>
      </c>
      <c r="H9" s="270">
        <f>frontti!F29</f>
        <v>43344</v>
      </c>
      <c r="AL9" t="s">
        <v>93</v>
      </c>
      <c r="AM9" s="270">
        <f>frontti!F29</f>
        <v>43344</v>
      </c>
    </row>
    <row r="10" spans="2:42" x14ac:dyDescent="0.25">
      <c r="B10">
        <v>0</v>
      </c>
      <c r="C10">
        <v>0</v>
      </c>
      <c r="D10">
        <f>IF($H$9&gt;=$D$8,C10,B10)</f>
        <v>0</v>
      </c>
      <c r="H10" s="112">
        <f>IF(YEAR(H9)=D33,DATE(D33+1,1,1),H9)</f>
        <v>43344</v>
      </c>
      <c r="AG10">
        <v>0</v>
      </c>
      <c r="AH10">
        <v>0</v>
      </c>
      <c r="AI10">
        <f>IF($H$9&gt;=$D$8,AH10,AG10)</f>
        <v>0</v>
      </c>
      <c r="AM10" s="112">
        <f>IF(YEAR(AM9)=AI33,DATE(AI33+1,1,1),AM9)</f>
        <v>43344</v>
      </c>
    </row>
    <row r="11" spans="2:42" x14ac:dyDescent="0.25">
      <c r="B11">
        <v>3</v>
      </c>
      <c r="C11">
        <v>9</v>
      </c>
      <c r="D11">
        <f t="shared" ref="D11:D15" si="0">IF($H$9&gt;=$D$8,C11,B11)</f>
        <v>9</v>
      </c>
      <c r="AG11">
        <v>3</v>
      </c>
      <c r="AH11">
        <v>9</v>
      </c>
      <c r="AI11">
        <f t="shared" ref="AI11:AI15" si="1">IF($H$9&gt;=$D$8,AH11,AG11)</f>
        <v>9</v>
      </c>
    </row>
    <row r="12" spans="2:42" x14ac:dyDescent="0.25">
      <c r="B12">
        <v>9</v>
      </c>
      <c r="C12">
        <v>15</v>
      </c>
      <c r="D12">
        <f t="shared" si="0"/>
        <v>15</v>
      </c>
      <c r="I12" t="s">
        <v>108</v>
      </c>
      <c r="J12" t="s">
        <v>109</v>
      </c>
      <c r="K12" t="s">
        <v>107</v>
      </c>
      <c r="AG12">
        <v>9</v>
      </c>
      <c r="AH12">
        <v>15</v>
      </c>
      <c r="AI12">
        <f t="shared" si="1"/>
        <v>15</v>
      </c>
      <c r="AN12" t="s">
        <v>108</v>
      </c>
      <c r="AO12" t="s">
        <v>109</v>
      </c>
      <c r="AP12" t="s">
        <v>107</v>
      </c>
    </row>
    <row r="13" spans="2:42" x14ac:dyDescent="0.25">
      <c r="B13">
        <v>15</v>
      </c>
      <c r="C13">
        <v>21</v>
      </c>
      <c r="D13">
        <f t="shared" si="0"/>
        <v>21</v>
      </c>
      <c r="H13" t="s">
        <v>342</v>
      </c>
      <c r="I13" s="246">
        <f>frontti!G38</f>
        <v>0</v>
      </c>
      <c r="J13" s="246">
        <f>frontti!H38</f>
        <v>0</v>
      </c>
      <c r="K13" s="246">
        <f>frontti!I38</f>
        <v>0</v>
      </c>
      <c r="AG13">
        <v>15</v>
      </c>
      <c r="AH13">
        <v>21</v>
      </c>
      <c r="AI13">
        <f t="shared" si="1"/>
        <v>21</v>
      </c>
      <c r="AM13" t="s">
        <v>342</v>
      </c>
      <c r="AN13" s="246">
        <f>frontti!I32</f>
        <v>0</v>
      </c>
      <c r="AO13" s="246">
        <f>frontti!J32</f>
        <v>0</v>
      </c>
      <c r="AP13" s="246">
        <f>frontti!K32</f>
        <v>0</v>
      </c>
    </row>
    <row r="14" spans="2:42" x14ac:dyDescent="0.25">
      <c r="B14">
        <v>21</v>
      </c>
      <c r="C14">
        <v>28</v>
      </c>
      <c r="D14">
        <f t="shared" si="0"/>
        <v>28</v>
      </c>
      <c r="H14" t="s">
        <v>459</v>
      </c>
      <c r="I14" s="246">
        <f>frontti!G39</f>
        <v>0</v>
      </c>
      <c r="J14" s="246">
        <f>frontti!H39</f>
        <v>0</v>
      </c>
      <c r="K14" s="246">
        <f>frontti!I39</f>
        <v>0</v>
      </c>
      <c r="AG14">
        <v>21</v>
      </c>
      <c r="AH14">
        <v>28</v>
      </c>
      <c r="AI14">
        <f t="shared" si="1"/>
        <v>28</v>
      </c>
      <c r="AM14" t="s">
        <v>459</v>
      </c>
      <c r="AN14" s="246">
        <f>frontti!AL39</f>
        <v>0</v>
      </c>
      <c r="AO14" s="246">
        <f>frontti!AM39</f>
        <v>0</v>
      </c>
      <c r="AP14" s="246">
        <f>frontti!AN39</f>
        <v>0</v>
      </c>
    </row>
    <row r="15" spans="2:42" x14ac:dyDescent="0.25">
      <c r="B15">
        <v>28</v>
      </c>
      <c r="C15">
        <v>34</v>
      </c>
      <c r="D15">
        <f t="shared" si="0"/>
        <v>34</v>
      </c>
      <c r="I15" t="s">
        <v>65</v>
      </c>
      <c r="AG15">
        <v>28</v>
      </c>
      <c r="AH15">
        <v>34</v>
      </c>
      <c r="AI15">
        <f t="shared" si="1"/>
        <v>34</v>
      </c>
      <c r="AN15" t="s">
        <v>65</v>
      </c>
    </row>
    <row r="16" spans="2:42" x14ac:dyDescent="0.25">
      <c r="B16">
        <v>34</v>
      </c>
      <c r="D16" t="str">
        <f>IF($H$9&gt;=$D$8,"",B16)</f>
        <v/>
      </c>
      <c r="AG16">
        <v>34</v>
      </c>
      <c r="AI16" t="str">
        <f>IF($H$9&gt;=$D$8,"",AG16)</f>
        <v/>
      </c>
    </row>
    <row r="18" spans="2:55" x14ac:dyDescent="0.25">
      <c r="G18" t="s">
        <v>329</v>
      </c>
      <c r="H18" s="246">
        <f>tiGiuEc1!K11</f>
        <v>16</v>
      </c>
      <c r="AL18" t="s">
        <v>329</v>
      </c>
      <c r="AM18" s="246">
        <f>tiGiuEc1!K11</f>
        <v>16</v>
      </c>
    </row>
    <row r="19" spans="2:55" ht="15.75" thickBot="1" x14ac:dyDescent="0.3"/>
    <row r="20" spans="2:55" x14ac:dyDescent="0.25">
      <c r="F20" s="429" t="s">
        <v>464</v>
      </c>
      <c r="G20" s="430"/>
      <c r="H20" s="430"/>
      <c r="I20" s="431"/>
      <c r="AK20" s="429" t="s">
        <v>464</v>
      </c>
      <c r="AL20" s="430"/>
      <c r="AM20" s="430"/>
      <c r="AN20" s="431"/>
    </row>
    <row r="21" spans="2:55" x14ac:dyDescent="0.25">
      <c r="F21" s="253"/>
      <c r="I21" s="254"/>
      <c r="L21" t="s">
        <v>460</v>
      </c>
      <c r="M21" t="s">
        <v>461</v>
      </c>
      <c r="N21" t="s">
        <v>462</v>
      </c>
      <c r="AK21" s="253"/>
      <c r="AN21" s="254"/>
      <c r="AQ21" t="s">
        <v>460</v>
      </c>
      <c r="AR21" t="s">
        <v>461</v>
      </c>
      <c r="AS21" t="s">
        <v>462</v>
      </c>
    </row>
    <row r="22" spans="2:55" x14ac:dyDescent="0.25">
      <c r="B22">
        <f t="shared" ref="B22:B27" si="2">D10</f>
        <v>0</v>
      </c>
      <c r="C22">
        <f t="shared" ref="C22:C27" si="3">D11</f>
        <v>9</v>
      </c>
      <c r="F22" s="253"/>
      <c r="G22">
        <f>VLOOKUP(I13,$D$10:$D$16,1)</f>
        <v>0</v>
      </c>
      <c r="H22" s="112">
        <f>H10</f>
        <v>43344</v>
      </c>
      <c r="I22" s="254"/>
      <c r="R22">
        <v>0</v>
      </c>
      <c r="S22">
        <v>0</v>
      </c>
      <c r="T22">
        <v>0</v>
      </c>
      <c r="U22">
        <v>0</v>
      </c>
      <c r="X22">
        <v>22</v>
      </c>
      <c r="AG22">
        <f t="shared" ref="AG22:AG27" si="4">AI10</f>
        <v>0</v>
      </c>
      <c r="AH22">
        <f t="shared" ref="AH22:AH27" si="5">AI11</f>
        <v>9</v>
      </c>
      <c r="AK22" s="253"/>
      <c r="AL22">
        <f>VLOOKUP(AN13,$D$10:$D$16,1)</f>
        <v>0</v>
      </c>
      <c r="AM22" s="112">
        <f>AM10</f>
        <v>43344</v>
      </c>
      <c r="AN22" s="254"/>
      <c r="AW22">
        <v>0</v>
      </c>
      <c r="AX22">
        <v>0</v>
      </c>
      <c r="AY22">
        <v>0</v>
      </c>
      <c r="AZ22">
        <v>0</v>
      </c>
      <c r="BC22">
        <v>22</v>
      </c>
    </row>
    <row r="23" spans="2:55" x14ac:dyDescent="0.25">
      <c r="B23">
        <f t="shared" si="2"/>
        <v>9</v>
      </c>
      <c r="C23">
        <f t="shared" si="3"/>
        <v>15</v>
      </c>
      <c r="F23" s="253">
        <f>IF(AND(YEAR(H23)&gt;=$D$33,YEAR(H22)&lt;$D$33),1,0)</f>
        <v>0</v>
      </c>
      <c r="G23">
        <f>VLOOKUP(G22,$B$22:$C$27,2)</f>
        <v>9</v>
      </c>
      <c r="H23" s="112">
        <f>O23+1</f>
        <v>46631</v>
      </c>
      <c r="I23" s="254"/>
      <c r="L23">
        <f>S23-I13</f>
        <v>8</v>
      </c>
      <c r="M23">
        <f>T23-J13</f>
        <v>11</v>
      </c>
      <c r="N23">
        <f>U23-K13</f>
        <v>30</v>
      </c>
      <c r="O23" s="112">
        <f>DATE(YEAR(H22)+L23,MONTH(H22)+M23,DAY(H22)+N23)</f>
        <v>46630</v>
      </c>
      <c r="R23">
        <f>G23</f>
        <v>9</v>
      </c>
      <c r="S23">
        <f>R23-1</f>
        <v>8</v>
      </c>
      <c r="T23">
        <v>11</v>
      </c>
      <c r="U23">
        <v>30</v>
      </c>
      <c r="X23">
        <v>23</v>
      </c>
      <c r="AG23">
        <f t="shared" si="4"/>
        <v>9</v>
      </c>
      <c r="AH23">
        <f t="shared" si="5"/>
        <v>15</v>
      </c>
      <c r="AK23" s="253">
        <f>IF(AND(YEAR(AM23)&gt;=$AI$33,YEAR(AM22)&lt;$AI$33),1,0)</f>
        <v>0</v>
      </c>
      <c r="AL23">
        <f>VLOOKUP(AL22,$B$22:$C$27,2)</f>
        <v>9</v>
      </c>
      <c r="AM23" s="112">
        <f>AT23+1</f>
        <v>46631</v>
      </c>
      <c r="AN23" s="254"/>
      <c r="AQ23">
        <f>AX23-AN13</f>
        <v>8</v>
      </c>
      <c r="AR23">
        <f>AY23-AO13</f>
        <v>11</v>
      </c>
      <c r="AS23">
        <f>AZ23-AP13</f>
        <v>30</v>
      </c>
      <c r="AT23" s="112">
        <f>DATE(YEAR(AM22)+AQ23,MONTH(AM22)+AR23,DAY(AM22)+AS23)</f>
        <v>46630</v>
      </c>
      <c r="AW23">
        <f>AL23</f>
        <v>9</v>
      </c>
      <c r="AX23">
        <f>AW23-1</f>
        <v>8</v>
      </c>
      <c r="AY23">
        <v>11</v>
      </c>
      <c r="AZ23">
        <v>30</v>
      </c>
      <c r="BC23">
        <v>23</v>
      </c>
    </row>
    <row r="24" spans="2:55" x14ac:dyDescent="0.25">
      <c r="B24">
        <f t="shared" si="2"/>
        <v>15</v>
      </c>
      <c r="C24">
        <f t="shared" si="3"/>
        <v>21</v>
      </c>
      <c r="F24" s="253">
        <f>IF(AND(YEAR(H24)&gt;=$D$33,YEAR(H22)&lt;$D$33),1,0)</f>
        <v>0</v>
      </c>
      <c r="G24">
        <f t="shared" ref="G24:G28" si="6">VLOOKUP(G23,$B$22:$C$27,2)</f>
        <v>15</v>
      </c>
      <c r="H24" s="112">
        <f t="shared" ref="H24:H28" si="7">O24+1</f>
        <v>48823</v>
      </c>
      <c r="I24" s="254"/>
      <c r="L24">
        <f>S24-$I$13</f>
        <v>14</v>
      </c>
      <c r="M24">
        <f>T24-$J$13</f>
        <v>11</v>
      </c>
      <c r="N24">
        <f>U24-$K$13</f>
        <v>30</v>
      </c>
      <c r="O24" s="112">
        <f>DATE(YEAR($H$22)+L24,MONTH($H$22)+M24,DAY($H$22)+N24)</f>
        <v>48822</v>
      </c>
      <c r="R24">
        <f t="shared" ref="R24:R29" si="8">G24</f>
        <v>15</v>
      </c>
      <c r="S24">
        <f t="shared" ref="S24:S29" si="9">R24-1</f>
        <v>14</v>
      </c>
      <c r="T24">
        <v>11</v>
      </c>
      <c r="U24">
        <v>30</v>
      </c>
      <c r="X24">
        <v>24</v>
      </c>
      <c r="AG24">
        <f t="shared" si="4"/>
        <v>15</v>
      </c>
      <c r="AH24">
        <f t="shared" si="5"/>
        <v>21</v>
      </c>
      <c r="AK24" s="253">
        <f>IF(AND(YEAR(AM24)&gt;=$AI$33,YEAR(AM22)&lt;$AI$33),1,0)</f>
        <v>0</v>
      </c>
      <c r="AL24">
        <f t="shared" ref="AL24:AL28" si="10">VLOOKUP(AL23,$B$22:$C$27,2)</f>
        <v>15</v>
      </c>
      <c r="AM24" s="112">
        <f t="shared" ref="AM24:AM28" si="11">AT24+1</f>
        <v>48823</v>
      </c>
      <c r="AN24" s="254"/>
      <c r="AQ24">
        <f>AX24-$AN$13</f>
        <v>14</v>
      </c>
      <c r="AR24">
        <f>AY24-$AO$13</f>
        <v>11</v>
      </c>
      <c r="AS24">
        <f>AZ24-$AP$13</f>
        <v>30</v>
      </c>
      <c r="AT24" s="112">
        <f>DATE(YEAR($AM$22)+AQ24,MONTH($AM$22)+AR24,DAY($AM$22)+AS24)</f>
        <v>48822</v>
      </c>
      <c r="AW24">
        <f t="shared" ref="AW24:AW29" si="12">AL24</f>
        <v>15</v>
      </c>
      <c r="AX24">
        <f t="shared" ref="AX24:AX29" si="13">AW24-1</f>
        <v>14</v>
      </c>
      <c r="AY24">
        <v>11</v>
      </c>
      <c r="AZ24">
        <v>30</v>
      </c>
      <c r="BC24">
        <v>24</v>
      </c>
    </row>
    <row r="25" spans="2:55" x14ac:dyDescent="0.25">
      <c r="B25">
        <f t="shared" si="2"/>
        <v>21</v>
      </c>
      <c r="C25">
        <f t="shared" si="3"/>
        <v>28</v>
      </c>
      <c r="F25" s="253">
        <f>IF(AND(YEAR(H25)&gt;=$D$33,YEAR(H22)&lt;$D$33),1,0)</f>
        <v>0</v>
      </c>
      <c r="G25">
        <f t="shared" si="6"/>
        <v>21</v>
      </c>
      <c r="H25" s="112">
        <f t="shared" si="7"/>
        <v>51014</v>
      </c>
      <c r="I25" s="254"/>
      <c r="L25">
        <f t="shared" ref="L25:L28" si="14">S25-$I$13</f>
        <v>20</v>
      </c>
      <c r="M25">
        <f t="shared" ref="M25:M28" si="15">T25-$J$13</f>
        <v>11</v>
      </c>
      <c r="N25">
        <f t="shared" ref="N25:N28" si="16">U25-$K$13</f>
        <v>30</v>
      </c>
      <c r="O25" s="112">
        <f t="shared" ref="O25:O28" si="17">DATE(YEAR($H$22)+L25,MONTH($H$22)+M25,DAY($H$22)+N25)</f>
        <v>51013</v>
      </c>
      <c r="R25">
        <f t="shared" si="8"/>
        <v>21</v>
      </c>
      <c r="S25">
        <f t="shared" si="9"/>
        <v>20</v>
      </c>
      <c r="T25">
        <v>11</v>
      </c>
      <c r="U25">
        <v>30</v>
      </c>
      <c r="X25">
        <v>25</v>
      </c>
      <c r="AG25">
        <f t="shared" si="4"/>
        <v>21</v>
      </c>
      <c r="AH25">
        <f t="shared" si="5"/>
        <v>28</v>
      </c>
      <c r="AK25" s="253">
        <f>IF(AND(YEAR(AM25)&gt;=$AI$33,YEAR(AM22)&lt;$AI$33),1,0)</f>
        <v>0</v>
      </c>
      <c r="AL25">
        <f t="shared" si="10"/>
        <v>21</v>
      </c>
      <c r="AM25" s="112">
        <f t="shared" si="11"/>
        <v>51014</v>
      </c>
      <c r="AN25" s="254"/>
      <c r="AQ25">
        <f>AX25-$AN$13</f>
        <v>20</v>
      </c>
      <c r="AR25">
        <f>AY25-$AO$13</f>
        <v>11</v>
      </c>
      <c r="AS25">
        <f>AZ25-$AP$13</f>
        <v>30</v>
      </c>
      <c r="AT25" s="112">
        <f>DATE(YEAR($AM$22)+AQ25,MONTH($AM$22)+AR25,DAY($AM$22)+AS25)</f>
        <v>51013</v>
      </c>
      <c r="AW25">
        <f t="shared" si="12"/>
        <v>21</v>
      </c>
      <c r="AX25">
        <f t="shared" si="13"/>
        <v>20</v>
      </c>
      <c r="AY25">
        <v>11</v>
      </c>
      <c r="AZ25">
        <v>30</v>
      </c>
      <c r="BC25">
        <v>25</v>
      </c>
    </row>
    <row r="26" spans="2:55" x14ac:dyDescent="0.25">
      <c r="B26">
        <f t="shared" si="2"/>
        <v>28</v>
      </c>
      <c r="C26">
        <f t="shared" si="3"/>
        <v>34</v>
      </c>
      <c r="F26" s="253">
        <f>IF(AND(YEAR(H26)&gt;=$D$33,YEAR(H22)&lt;$D$33),1,0)</f>
        <v>0</v>
      </c>
      <c r="G26">
        <f t="shared" si="6"/>
        <v>28</v>
      </c>
      <c r="H26" s="112">
        <f t="shared" si="7"/>
        <v>53571</v>
      </c>
      <c r="I26" s="254"/>
      <c r="L26">
        <f t="shared" si="14"/>
        <v>27</v>
      </c>
      <c r="M26">
        <f t="shared" si="15"/>
        <v>11</v>
      </c>
      <c r="N26">
        <f t="shared" si="16"/>
        <v>30</v>
      </c>
      <c r="O26" s="112">
        <f t="shared" si="17"/>
        <v>53570</v>
      </c>
      <c r="R26">
        <f t="shared" si="8"/>
        <v>28</v>
      </c>
      <c r="S26">
        <f t="shared" si="9"/>
        <v>27</v>
      </c>
      <c r="T26">
        <v>11</v>
      </c>
      <c r="U26">
        <v>30</v>
      </c>
      <c r="X26">
        <v>26</v>
      </c>
      <c r="AG26">
        <f t="shared" si="4"/>
        <v>28</v>
      </c>
      <c r="AH26">
        <f t="shared" si="5"/>
        <v>34</v>
      </c>
      <c r="AK26" s="253">
        <f>IF(AND(YEAR(AM26)&gt;=$AI$33,YEAR(AM22)&lt;$AI$33),1,0)</f>
        <v>0</v>
      </c>
      <c r="AL26">
        <f t="shared" si="10"/>
        <v>28</v>
      </c>
      <c r="AM26" s="112">
        <f t="shared" si="11"/>
        <v>53571</v>
      </c>
      <c r="AN26" s="254"/>
      <c r="AQ26">
        <f>AX26-$AN$13</f>
        <v>27</v>
      </c>
      <c r="AR26">
        <f>AY26-$AO$13</f>
        <v>11</v>
      </c>
      <c r="AS26">
        <f>AZ26-$AP$13</f>
        <v>30</v>
      </c>
      <c r="AT26" s="112">
        <f>DATE(YEAR($AM$22)+AQ26,MONTH($AM$22)+AR26,DAY($AM$22)+AS26)</f>
        <v>53570</v>
      </c>
      <c r="AW26">
        <f t="shared" si="12"/>
        <v>28</v>
      </c>
      <c r="AX26">
        <f t="shared" si="13"/>
        <v>27</v>
      </c>
      <c r="AY26">
        <v>11</v>
      </c>
      <c r="AZ26">
        <v>30</v>
      </c>
      <c r="BC26">
        <v>26</v>
      </c>
    </row>
    <row r="27" spans="2:55" x14ac:dyDescent="0.25">
      <c r="B27">
        <f t="shared" si="2"/>
        <v>34</v>
      </c>
      <c r="C27" t="str">
        <f t="shared" si="3"/>
        <v/>
      </c>
      <c r="F27" s="253">
        <f>IF(AND(YEAR(H27)&gt;=$D$33,YEAR(H22)&lt;$D$33),1,0)</f>
        <v>0</v>
      </c>
      <c r="G27">
        <f t="shared" si="6"/>
        <v>34</v>
      </c>
      <c r="H27" s="112">
        <f t="shared" si="7"/>
        <v>55763</v>
      </c>
      <c r="I27" s="254"/>
      <c r="L27">
        <f t="shared" si="14"/>
        <v>33</v>
      </c>
      <c r="M27">
        <f t="shared" si="15"/>
        <v>11</v>
      </c>
      <c r="N27">
        <f t="shared" si="16"/>
        <v>30</v>
      </c>
      <c r="O27" s="112">
        <f t="shared" si="17"/>
        <v>55762</v>
      </c>
      <c r="R27">
        <f t="shared" si="8"/>
        <v>34</v>
      </c>
      <c r="S27">
        <f t="shared" si="9"/>
        <v>33</v>
      </c>
      <c r="T27">
        <v>11</v>
      </c>
      <c r="U27">
        <v>30</v>
      </c>
      <c r="X27">
        <v>27</v>
      </c>
      <c r="AG27">
        <f t="shared" si="4"/>
        <v>34</v>
      </c>
      <c r="AH27" t="str">
        <f t="shared" si="5"/>
        <v/>
      </c>
      <c r="AK27" s="253">
        <f>IF(AND(YEAR(AM27)&gt;=$AI$33,YEAR(AM22)&lt;$AI$33),1,0)</f>
        <v>0</v>
      </c>
      <c r="AL27">
        <f t="shared" si="10"/>
        <v>34</v>
      </c>
      <c r="AM27" s="112">
        <f t="shared" si="11"/>
        <v>55763</v>
      </c>
      <c r="AN27" s="254"/>
      <c r="AQ27">
        <f>AX27-$AN$13</f>
        <v>33</v>
      </c>
      <c r="AR27">
        <f>AY27-$AO$13</f>
        <v>11</v>
      </c>
      <c r="AS27">
        <f>AZ27-$AP$13</f>
        <v>30</v>
      </c>
      <c r="AT27" s="112">
        <f>DATE(YEAR($AM$22)+AQ27,MONTH($AM$22)+AR27,DAY($AM$22)+AS27)</f>
        <v>55762</v>
      </c>
      <c r="AW27">
        <f t="shared" si="12"/>
        <v>34</v>
      </c>
      <c r="AX27">
        <f t="shared" si="13"/>
        <v>33</v>
      </c>
      <c r="AY27">
        <v>11</v>
      </c>
      <c r="AZ27">
        <v>30</v>
      </c>
      <c r="BC27">
        <v>27</v>
      </c>
    </row>
    <row r="28" spans="2:55" x14ac:dyDescent="0.25">
      <c r="F28" s="253" t="e">
        <f>IF(AND(YEAR(H28)&gt;=$D$33,YEAR(H22)&lt;$D$33),1,0)</f>
        <v>#VALUE!</v>
      </c>
      <c r="G28" t="str">
        <f t="shared" si="6"/>
        <v/>
      </c>
      <c r="H28" s="112" t="e">
        <f t="shared" si="7"/>
        <v>#VALUE!</v>
      </c>
      <c r="I28" s="254"/>
      <c r="L28" t="e">
        <f t="shared" si="14"/>
        <v>#VALUE!</v>
      </c>
      <c r="M28">
        <f t="shared" si="15"/>
        <v>11</v>
      </c>
      <c r="N28">
        <f t="shared" si="16"/>
        <v>30</v>
      </c>
      <c r="O28" s="112" t="e">
        <f t="shared" si="17"/>
        <v>#VALUE!</v>
      </c>
      <c r="R28" t="str">
        <f t="shared" si="8"/>
        <v/>
      </c>
      <c r="S28" t="e">
        <f t="shared" si="9"/>
        <v>#VALUE!</v>
      </c>
      <c r="T28">
        <v>11</v>
      </c>
      <c r="U28">
        <v>30</v>
      </c>
      <c r="X28">
        <v>28</v>
      </c>
      <c r="AK28" s="253" t="e">
        <f>IF(AND(YEAR(AM28)&gt;=$AI$33,YEAR(AM22)&lt;$AI$33),1,0)</f>
        <v>#VALUE!</v>
      </c>
      <c r="AL28" t="str">
        <f t="shared" si="10"/>
        <v/>
      </c>
      <c r="AM28" s="112" t="e">
        <f t="shared" si="11"/>
        <v>#VALUE!</v>
      </c>
      <c r="AN28" s="254"/>
      <c r="AQ28" t="e">
        <f>AX28-$AN$13</f>
        <v>#VALUE!</v>
      </c>
      <c r="AR28">
        <f>AY28-$AO$13</f>
        <v>11</v>
      </c>
      <c r="AS28">
        <f>AZ28-$AP$13</f>
        <v>30</v>
      </c>
      <c r="AT28" s="112" t="e">
        <f>DATE(YEAR($AM$22)+AQ28,MONTH($AM$22)+AR28,DAY($AM$22)+AS28)</f>
        <v>#VALUE!</v>
      </c>
      <c r="AW28" t="str">
        <f t="shared" si="12"/>
        <v/>
      </c>
      <c r="AX28" t="e">
        <f t="shared" si="13"/>
        <v>#VALUE!</v>
      </c>
      <c r="AY28">
        <v>11</v>
      </c>
      <c r="AZ28">
        <v>30</v>
      </c>
      <c r="BC28">
        <v>28</v>
      </c>
    </row>
    <row r="29" spans="2:55" x14ac:dyDescent="0.25">
      <c r="F29" s="253"/>
      <c r="I29" s="254"/>
      <c r="R29">
        <f t="shared" si="8"/>
        <v>0</v>
      </c>
      <c r="S29">
        <f t="shared" si="9"/>
        <v>-1</v>
      </c>
      <c r="T29">
        <v>11</v>
      </c>
      <c r="U29">
        <v>30</v>
      </c>
      <c r="X29">
        <v>29</v>
      </c>
      <c r="AK29" s="253"/>
      <c r="AN29" s="254"/>
      <c r="AW29">
        <f t="shared" si="12"/>
        <v>0</v>
      </c>
      <c r="AX29">
        <f t="shared" si="13"/>
        <v>-1</v>
      </c>
      <c r="AY29">
        <v>11</v>
      </c>
      <c r="AZ29">
        <v>30</v>
      </c>
      <c r="BC29">
        <v>29</v>
      </c>
    </row>
    <row r="30" spans="2:55" ht="15.75" thickBot="1" x14ac:dyDescent="0.3">
      <c r="F30" s="255"/>
      <c r="G30" s="257"/>
      <c r="H30" s="257"/>
      <c r="I30" s="258"/>
      <c r="X30">
        <v>30</v>
      </c>
      <c r="AK30" s="255"/>
      <c r="AL30" s="257"/>
      <c r="AM30" s="257"/>
      <c r="AN30" s="258"/>
      <c r="BC30">
        <v>30</v>
      </c>
    </row>
    <row r="31" spans="2:55" x14ac:dyDescent="0.25">
      <c r="F31" s="250" t="s">
        <v>463</v>
      </c>
      <c r="G31" s="251"/>
      <c r="H31" s="251"/>
      <c r="I31" s="252"/>
      <c r="AK31" s="250" t="s">
        <v>463</v>
      </c>
      <c r="AL31" s="251"/>
      <c r="AM31" s="251"/>
      <c r="AN31" s="252"/>
    </row>
    <row r="32" spans="2:55" x14ac:dyDescent="0.25">
      <c r="F32" s="253"/>
      <c r="I32" s="254"/>
      <c r="AK32" s="253"/>
      <c r="AN32" s="254"/>
    </row>
    <row r="33" spans="4:47" x14ac:dyDescent="0.25">
      <c r="D33">
        <f>IF(E33="SI",2013,2050)</f>
        <v>2013</v>
      </c>
      <c r="E33" t="s">
        <v>390</v>
      </c>
      <c r="F33" s="253">
        <v>1</v>
      </c>
      <c r="G33">
        <f>G22</f>
        <v>0</v>
      </c>
      <c r="H33" s="112">
        <f>IF(YEAR(H22)=D33,DATE(2014,1,1),H22)</f>
        <v>43344</v>
      </c>
      <c r="I33" s="254"/>
      <c r="AI33">
        <f>IF(AJ33="SI",2013,2050)</f>
        <v>2013</v>
      </c>
      <c r="AJ33" t="str">
        <f>frontti!L20</f>
        <v>SI</v>
      </c>
      <c r="AK33" s="253">
        <v>1</v>
      </c>
      <c r="AL33">
        <f>AL22</f>
        <v>0</v>
      </c>
      <c r="AM33" s="112">
        <f>IF(YEAR(AM22)=AI33,DATE(2014,1,1),AM22)</f>
        <v>43344</v>
      </c>
      <c r="AN33" s="254"/>
    </row>
    <row r="34" spans="4:47" x14ac:dyDescent="0.25">
      <c r="E34" t="s">
        <v>65</v>
      </c>
      <c r="F34" s="253">
        <f>IF(TYPE(F23)=16,0,F23)</f>
        <v>0</v>
      </c>
      <c r="G34">
        <f>G23</f>
        <v>9</v>
      </c>
      <c r="H34" s="112">
        <f>DATE(YEAR(H23)+F23,MONTH(H23),DAY(H23))</f>
        <v>46631</v>
      </c>
      <c r="I34" s="254"/>
      <c r="AJ34" t="s">
        <v>65</v>
      </c>
      <c r="AK34" s="253">
        <f>IF(TYPE(AK23)=16,0,AK23)</f>
        <v>0</v>
      </c>
      <c r="AL34">
        <f>AL23</f>
        <v>9</v>
      </c>
      <c r="AM34" s="112">
        <f>DATE(YEAR(AM23)+AK23,MONTH(AM23),DAY(AM23))</f>
        <v>46631</v>
      </c>
      <c r="AN34" s="254"/>
    </row>
    <row r="35" spans="4:47" x14ac:dyDescent="0.25">
      <c r="F35" s="253">
        <f t="shared" ref="F35:F39" si="18">IF(TYPE(F24)=16,0,F24)</f>
        <v>0</v>
      </c>
      <c r="G35">
        <f t="shared" ref="G35:G39" si="19">G24</f>
        <v>15</v>
      </c>
      <c r="H35" s="112">
        <f t="shared" ref="H35:H39" si="20">DATE(YEAR(H24)+F24,MONTH(H24),DAY(H24))</f>
        <v>48823</v>
      </c>
      <c r="I35" s="254"/>
      <c r="P35" s="112">
        <v>40422</v>
      </c>
      <c r="Q35">
        <v>9</v>
      </c>
      <c r="AK35" s="253">
        <f t="shared" ref="AK35:AK39" si="21">IF(TYPE(AK24)=16,0,AK24)</f>
        <v>0</v>
      </c>
      <c r="AL35">
        <f t="shared" ref="AL35:AL39" si="22">AL24</f>
        <v>15</v>
      </c>
      <c r="AM35" s="112">
        <f t="shared" ref="AM35:AM39" si="23">DATE(YEAR(AM24)+AK24,MONTH(AM24),DAY(AM24))</f>
        <v>48823</v>
      </c>
      <c r="AN35" s="254"/>
      <c r="AU35" s="112"/>
    </row>
    <row r="36" spans="4:47" x14ac:dyDescent="0.25">
      <c r="F36" s="253">
        <f t="shared" si="18"/>
        <v>0</v>
      </c>
      <c r="G36">
        <f t="shared" si="19"/>
        <v>21</v>
      </c>
      <c r="H36" s="112">
        <f t="shared" si="20"/>
        <v>51014</v>
      </c>
      <c r="I36" s="254"/>
      <c r="P36" s="112">
        <v>40787</v>
      </c>
      <c r="Q36">
        <v>10</v>
      </c>
      <c r="AK36" s="253">
        <f t="shared" si="21"/>
        <v>0</v>
      </c>
      <c r="AL36">
        <f t="shared" si="22"/>
        <v>21</v>
      </c>
      <c r="AM36" s="112">
        <f t="shared" si="23"/>
        <v>51014</v>
      </c>
      <c r="AN36" s="254"/>
      <c r="AU36" s="112"/>
    </row>
    <row r="37" spans="4:47" x14ac:dyDescent="0.25">
      <c r="F37" s="253">
        <f t="shared" si="18"/>
        <v>0</v>
      </c>
      <c r="G37">
        <f>IF(G26="","",G26)</f>
        <v>28</v>
      </c>
      <c r="H37" s="112">
        <f t="shared" si="20"/>
        <v>53571</v>
      </c>
      <c r="I37" s="254"/>
      <c r="P37" s="112">
        <v>41153</v>
      </c>
      <c r="Q37">
        <v>11</v>
      </c>
      <c r="AK37" s="253">
        <f t="shared" si="21"/>
        <v>0</v>
      </c>
      <c r="AL37">
        <f>IF(AL26="","",AL26)</f>
        <v>28</v>
      </c>
      <c r="AM37" s="112">
        <f t="shared" si="23"/>
        <v>53571</v>
      </c>
      <c r="AN37" s="254"/>
      <c r="AU37" s="112"/>
    </row>
    <row r="38" spans="4:47" x14ac:dyDescent="0.25">
      <c r="F38" s="253">
        <f t="shared" si="18"/>
        <v>0</v>
      </c>
      <c r="G38">
        <f t="shared" si="19"/>
        <v>34</v>
      </c>
      <c r="H38" s="112">
        <f t="shared" si="20"/>
        <v>55763</v>
      </c>
      <c r="I38" s="254"/>
      <c r="P38" s="112">
        <v>41518</v>
      </c>
      <c r="Q38">
        <v>11</v>
      </c>
      <c r="AK38" s="253">
        <f t="shared" si="21"/>
        <v>0</v>
      </c>
      <c r="AL38">
        <f t="shared" si="22"/>
        <v>34</v>
      </c>
      <c r="AM38" s="112">
        <f t="shared" si="23"/>
        <v>55763</v>
      </c>
      <c r="AN38" s="254"/>
      <c r="AU38" s="112"/>
    </row>
    <row r="39" spans="4:47" x14ac:dyDescent="0.25">
      <c r="F39" s="253">
        <f t="shared" si="18"/>
        <v>0</v>
      </c>
      <c r="G39" t="str">
        <f t="shared" si="19"/>
        <v/>
      </c>
      <c r="H39" s="112" t="e">
        <f t="shared" si="20"/>
        <v>#VALUE!</v>
      </c>
      <c r="I39" s="254"/>
      <c r="P39" s="112">
        <v>41883</v>
      </c>
      <c r="Q39">
        <v>12</v>
      </c>
      <c r="AK39" s="253">
        <f t="shared" si="21"/>
        <v>0</v>
      </c>
      <c r="AL39" t="str">
        <f t="shared" si="22"/>
        <v/>
      </c>
      <c r="AM39" s="112" t="e">
        <f t="shared" si="23"/>
        <v>#VALUE!</v>
      </c>
      <c r="AN39" s="254"/>
      <c r="AU39" s="112"/>
    </row>
    <row r="40" spans="4:47" ht="15.75" thickBot="1" x14ac:dyDescent="0.3">
      <c r="F40" s="255"/>
      <c r="G40" s="257"/>
      <c r="H40" s="257"/>
      <c r="I40" s="258"/>
      <c r="P40" s="112">
        <v>42979</v>
      </c>
      <c r="Q40">
        <v>15</v>
      </c>
      <c r="AK40" s="255"/>
      <c r="AL40" s="257"/>
      <c r="AM40" s="257"/>
      <c r="AN40" s="258"/>
      <c r="AU40" s="112"/>
    </row>
    <row r="41" spans="4:47" ht="15.75" thickBot="1" x14ac:dyDescent="0.3">
      <c r="F41" s="250" t="s">
        <v>465</v>
      </c>
      <c r="G41" s="251">
        <f>G33</f>
        <v>0</v>
      </c>
      <c r="H41" s="326">
        <f t="shared" ref="H41" si="24">H33</f>
        <v>43344</v>
      </c>
      <c r="I41" s="252"/>
      <c r="P41" s="112">
        <v>43344</v>
      </c>
      <c r="Q41">
        <v>18</v>
      </c>
      <c r="AK41" s="250" t="s">
        <v>465</v>
      </c>
      <c r="AL41" s="251">
        <f>AL33</f>
        <v>0</v>
      </c>
      <c r="AM41" s="326">
        <f t="shared" ref="AM41" si="25">AM33</f>
        <v>43344</v>
      </c>
      <c r="AN41" s="252"/>
      <c r="AU41" s="112"/>
    </row>
    <row r="42" spans="4:47" ht="15.75" thickBot="1" x14ac:dyDescent="0.3">
      <c r="F42" s="253"/>
      <c r="G42" s="251">
        <f t="shared" ref="G42:G46" si="26">IF(H42="","",G34)</f>
        <v>9</v>
      </c>
      <c r="H42" s="326">
        <f t="shared" ref="H42:H46" si="27">IF(TYPE(H34)=16,"",H34)</f>
        <v>46631</v>
      </c>
      <c r="I42" s="254"/>
      <c r="N42" s="112"/>
      <c r="P42" s="112">
        <v>44440</v>
      </c>
      <c r="Q42">
        <v>21</v>
      </c>
      <c r="AK42" s="253"/>
      <c r="AL42" s="251">
        <f t="shared" ref="AL42:AL46" si="28">IF(AM42="","",AL34)</f>
        <v>9</v>
      </c>
      <c r="AM42" s="326">
        <f t="shared" ref="AM42:AM46" si="29">IF(TYPE(AM34)=16,"",AM34)</f>
        <v>46631</v>
      </c>
      <c r="AN42" s="254"/>
      <c r="AS42" s="112"/>
      <c r="AU42" s="112"/>
    </row>
    <row r="43" spans="4:47" ht="15.75" thickBot="1" x14ac:dyDescent="0.3">
      <c r="F43" s="253"/>
      <c r="G43" s="251">
        <f t="shared" si="26"/>
        <v>15</v>
      </c>
      <c r="H43" s="326">
        <f t="shared" si="27"/>
        <v>48823</v>
      </c>
      <c r="I43" s="254"/>
      <c r="N43" s="112"/>
      <c r="P43" s="112">
        <v>41883</v>
      </c>
      <c r="Q43" t="s">
        <v>65</v>
      </c>
      <c r="AK43" s="253"/>
      <c r="AL43" s="251">
        <f t="shared" si="28"/>
        <v>15</v>
      </c>
      <c r="AM43" s="326">
        <f t="shared" si="29"/>
        <v>48823</v>
      </c>
      <c r="AN43" s="254"/>
      <c r="AS43" s="112"/>
      <c r="AU43" s="112"/>
    </row>
    <row r="44" spans="4:47" ht="15.75" thickBot="1" x14ac:dyDescent="0.3">
      <c r="F44" s="253"/>
      <c r="G44" s="251">
        <f t="shared" si="26"/>
        <v>21</v>
      </c>
      <c r="H44" s="326">
        <f t="shared" si="27"/>
        <v>51014</v>
      </c>
      <c r="I44" s="254"/>
      <c r="N44" s="112"/>
      <c r="P44" s="112">
        <v>44075</v>
      </c>
      <c r="Q44">
        <v>21</v>
      </c>
      <c r="AK44" s="253"/>
      <c r="AL44" s="251">
        <f t="shared" si="28"/>
        <v>21</v>
      </c>
      <c r="AM44" s="326">
        <f t="shared" si="29"/>
        <v>51014</v>
      </c>
      <c r="AN44" s="254"/>
      <c r="AP44" t="s">
        <v>486</v>
      </c>
      <c r="AQ44" t="str">
        <f>LEFT(frontti!E20,3)</f>
        <v>Doc</v>
      </c>
      <c r="AR44">
        <f>IF(AQ44&lt;&gt;"Doc",1,0)</f>
        <v>0</v>
      </c>
      <c r="AS44" s="112"/>
      <c r="AU44" s="112"/>
    </row>
    <row r="45" spans="4:47" ht="15.75" thickBot="1" x14ac:dyDescent="0.3">
      <c r="F45" s="253"/>
      <c r="G45" s="251">
        <f t="shared" si="26"/>
        <v>28</v>
      </c>
      <c r="H45" s="326">
        <f t="shared" si="27"/>
        <v>53571</v>
      </c>
      <c r="I45" s="254"/>
      <c r="N45" s="112"/>
      <c r="P45" s="112">
        <v>44440</v>
      </c>
      <c r="AK45" s="253"/>
      <c r="AL45" s="251">
        <f t="shared" si="28"/>
        <v>28</v>
      </c>
      <c r="AM45" s="326">
        <f t="shared" si="29"/>
        <v>53571</v>
      </c>
      <c r="AN45" s="254"/>
      <c r="AP45" s="237" t="s">
        <v>490</v>
      </c>
      <c r="AQ45" t="str">
        <f>frontti!H25</f>
        <v>SI</v>
      </c>
      <c r="AR45">
        <f>IF(AQ45="SI",1,0)</f>
        <v>1</v>
      </c>
      <c r="AS45" s="112"/>
      <c r="AU45" s="112"/>
    </row>
    <row r="46" spans="4:47" ht="15.75" thickBot="1" x14ac:dyDescent="0.3">
      <c r="F46" s="253"/>
      <c r="G46" s="251">
        <f t="shared" si="26"/>
        <v>34</v>
      </c>
      <c r="H46" s="326">
        <f t="shared" si="27"/>
        <v>55763</v>
      </c>
      <c r="I46" s="254"/>
      <c r="N46" s="112"/>
      <c r="AK46" s="253"/>
      <c r="AL46" s="251">
        <f t="shared" si="28"/>
        <v>34</v>
      </c>
      <c r="AM46" s="326">
        <f t="shared" si="29"/>
        <v>55763</v>
      </c>
      <c r="AN46" s="254"/>
      <c r="AP46" t="s">
        <v>93</v>
      </c>
      <c r="AQ46" s="112">
        <f>frontti!F29</f>
        <v>43344</v>
      </c>
      <c r="AR46">
        <f>IF(YEAR(AQ46)&gt;2009,1,0)</f>
        <v>1</v>
      </c>
      <c r="AS46" s="112"/>
    </row>
    <row r="47" spans="4:47" x14ac:dyDescent="0.25">
      <c r="F47" s="253"/>
      <c r="G47" s="251" t="str">
        <f>IF(H47="","",G39)</f>
        <v/>
      </c>
      <c r="H47" s="326" t="str">
        <f>IF(TYPE(H39)=16,"",H39)</f>
        <v/>
      </c>
      <c r="I47" s="254"/>
      <c r="AK47" s="253"/>
      <c r="AL47" s="251" t="str">
        <f>IF(AM47="","",AL39)</f>
        <v/>
      </c>
      <c r="AM47" s="326" t="str">
        <f>IF(TYPE(AM39)=16,"",AM39)</f>
        <v/>
      </c>
      <c r="AN47" s="254"/>
      <c r="AP47" t="s">
        <v>491</v>
      </c>
      <c r="AQ47">
        <f>frontti!I32</f>
        <v>0</v>
      </c>
      <c r="AR47">
        <f>IF(AQ47&lt;2,1,0)</f>
        <v>1</v>
      </c>
    </row>
    <row r="48" spans="4:47" x14ac:dyDescent="0.25">
      <c r="F48" s="253"/>
      <c r="G48" t="str">
        <f t="shared" ref="G48:G50" si="30">IF(F40=1,G40,"")</f>
        <v/>
      </c>
      <c r="H48" s="112" t="str">
        <f t="shared" ref="H48:H50" si="31">IF(F40=1,H40,"")</f>
        <v/>
      </c>
      <c r="I48" s="254"/>
      <c r="AK48" s="253"/>
      <c r="AL48" t="str">
        <f t="shared" ref="AL48:AL50" si="32">IF(AK40=1,AL40,"")</f>
        <v/>
      </c>
      <c r="AM48" s="112" t="str">
        <f t="shared" ref="AM48:AM50" si="33">IF(AK40=1,AM40,"")</f>
        <v/>
      </c>
      <c r="AN48" s="254"/>
    </row>
    <row r="49" spans="4:46" x14ac:dyDescent="0.25">
      <c r="F49" s="253"/>
      <c r="G49" t="str">
        <f t="shared" si="30"/>
        <v/>
      </c>
      <c r="H49" s="112" t="str">
        <f t="shared" si="31"/>
        <v/>
      </c>
      <c r="I49" s="254"/>
      <c r="AK49" s="253"/>
      <c r="AL49" t="str">
        <f t="shared" si="32"/>
        <v/>
      </c>
      <c r="AM49" s="112" t="str">
        <f t="shared" si="33"/>
        <v/>
      </c>
      <c r="AN49" s="254"/>
      <c r="AR49">
        <f>SUM(AR44:AR47)</f>
        <v>3</v>
      </c>
    </row>
    <row r="50" spans="4:46" ht="15.75" thickBot="1" x14ac:dyDescent="0.3">
      <c r="F50" s="255"/>
      <c r="G50" s="257" t="str">
        <f t="shared" si="30"/>
        <v/>
      </c>
      <c r="H50" s="324" t="str">
        <f t="shared" si="31"/>
        <v/>
      </c>
      <c r="I50" s="258"/>
      <c r="AK50" s="255"/>
      <c r="AL50" s="257" t="str">
        <f t="shared" si="32"/>
        <v/>
      </c>
      <c r="AM50" s="324" t="str">
        <f t="shared" si="33"/>
        <v/>
      </c>
      <c r="AN50" s="258"/>
    </row>
    <row r="51" spans="4:46" x14ac:dyDescent="0.25">
      <c r="F51" s="250" t="s">
        <v>466</v>
      </c>
      <c r="G51" s="251">
        <v>0</v>
      </c>
      <c r="H51" s="326">
        <f>H41</f>
        <v>43344</v>
      </c>
      <c r="I51" s="252"/>
      <c r="AK51" s="250" t="s">
        <v>466</v>
      </c>
      <c r="AL51" s="251">
        <v>0</v>
      </c>
      <c r="AM51" s="326">
        <f>AM41</f>
        <v>43344</v>
      </c>
      <c r="AN51" s="252"/>
    </row>
    <row r="52" spans="4:46" x14ac:dyDescent="0.25">
      <c r="F52" s="253"/>
      <c r="G52">
        <f>I13+1</f>
        <v>1</v>
      </c>
      <c r="H52" s="112">
        <f>DATE(YEAR(H51)+1,MONTH(H51),DAY(H51))</f>
        <v>43709</v>
      </c>
      <c r="I52" s="254"/>
      <c r="AK52" s="253"/>
      <c r="AL52">
        <f>AN13+1</f>
        <v>1</v>
      </c>
      <c r="AM52" s="112">
        <f>DATE(YEAR(AM51)+1,MONTH(AM51),DAY(AM51))</f>
        <v>43709</v>
      </c>
      <c r="AN52" s="254"/>
    </row>
    <row r="53" spans="4:46" x14ac:dyDescent="0.25">
      <c r="F53" s="253"/>
      <c r="G53">
        <f>G42</f>
        <v>9</v>
      </c>
      <c r="H53" s="112">
        <f t="shared" ref="H53:H57" si="34">H42</f>
        <v>46631</v>
      </c>
      <c r="I53" s="254"/>
      <c r="AK53" s="253"/>
      <c r="AL53">
        <f>AL42</f>
        <v>9</v>
      </c>
      <c r="AM53" s="112">
        <f t="shared" ref="AM53:AM57" si="35">AM42</f>
        <v>46631</v>
      </c>
      <c r="AN53" s="254"/>
    </row>
    <row r="54" spans="4:46" x14ac:dyDescent="0.25">
      <c r="F54" s="253"/>
      <c r="G54">
        <f t="shared" ref="G54" si="36">G43</f>
        <v>15</v>
      </c>
      <c r="H54" s="112">
        <f t="shared" si="34"/>
        <v>48823</v>
      </c>
      <c r="I54" s="254"/>
      <c r="AK54" s="253"/>
      <c r="AL54">
        <f t="shared" ref="AL54:AL57" si="37">AL43</f>
        <v>15</v>
      </c>
      <c r="AM54" s="112">
        <f t="shared" si="35"/>
        <v>48823</v>
      </c>
      <c r="AN54" s="254"/>
    </row>
    <row r="55" spans="4:46" x14ac:dyDescent="0.25">
      <c r="F55" s="253"/>
      <c r="G55">
        <f t="shared" ref="G55" si="38">G44</f>
        <v>21</v>
      </c>
      <c r="H55" s="112">
        <f t="shared" si="34"/>
        <v>51014</v>
      </c>
      <c r="I55" s="254"/>
      <c r="AK55" s="253"/>
      <c r="AL55">
        <f t="shared" si="37"/>
        <v>21</v>
      </c>
      <c r="AM55" s="112">
        <f t="shared" si="35"/>
        <v>51014</v>
      </c>
      <c r="AN55" s="254"/>
    </row>
    <row r="56" spans="4:46" x14ac:dyDescent="0.25">
      <c r="F56" s="253"/>
      <c r="G56">
        <f t="shared" ref="G56" si="39">G45</f>
        <v>28</v>
      </c>
      <c r="H56" s="112">
        <f t="shared" si="34"/>
        <v>53571</v>
      </c>
      <c r="I56" s="254"/>
      <c r="AK56" s="253"/>
      <c r="AL56">
        <f t="shared" si="37"/>
        <v>28</v>
      </c>
      <c r="AM56" s="112">
        <f t="shared" si="35"/>
        <v>53571</v>
      </c>
      <c r="AN56" s="254"/>
    </row>
    <row r="57" spans="4:46" x14ac:dyDescent="0.25">
      <c r="F57" s="253"/>
      <c r="G57">
        <f t="shared" ref="G57" si="40">G46</f>
        <v>34</v>
      </c>
      <c r="H57" s="112">
        <f t="shared" si="34"/>
        <v>55763</v>
      </c>
      <c r="I57" s="254"/>
      <c r="AK57" s="253"/>
      <c r="AL57">
        <f t="shared" si="37"/>
        <v>34</v>
      </c>
      <c r="AM57" s="112">
        <f t="shared" si="35"/>
        <v>55763</v>
      </c>
      <c r="AN57" s="254"/>
    </row>
    <row r="58" spans="4:46" ht="15.75" thickBot="1" x14ac:dyDescent="0.3">
      <c r="F58" s="255"/>
      <c r="G58" s="257"/>
      <c r="H58" s="324"/>
      <c r="I58" s="258"/>
      <c r="AK58" s="255"/>
      <c r="AL58" s="257"/>
      <c r="AM58" s="324"/>
      <c r="AN58" s="258"/>
      <c r="AS58" s="112" t="str">
        <f>IF(AR49=4,DATE(YEAR(AM61)-6-AQ47,MONTH(AM61),DAY(AM61)),"")</f>
        <v/>
      </c>
      <c r="AT58" s="112" t="e">
        <f>IF(AND(YEAR(AS58)=2013,frontti!L20="SI"),DATE(YEAR(Foglio2!AS58)+1,MONTH(Foglio2!AS58),DAY(Foglio2!AS58)),Foglio2!AS58)</f>
        <v>#VALUE!</v>
      </c>
    </row>
    <row r="59" spans="4:46" ht="15.75" thickBot="1" x14ac:dyDescent="0.3">
      <c r="D59">
        <v>0</v>
      </c>
      <c r="F59" s="250" t="s">
        <v>466</v>
      </c>
      <c r="G59" s="251">
        <f>VLOOKUP(G51,$D$59:$D$65,1)</f>
        <v>0</v>
      </c>
      <c r="H59" s="326">
        <f>H51</f>
        <v>43344</v>
      </c>
      <c r="I59" s="252"/>
      <c r="J59">
        <f>G59</f>
        <v>0</v>
      </c>
      <c r="AI59">
        <v>0</v>
      </c>
      <c r="AK59" s="250" t="s">
        <v>466</v>
      </c>
      <c r="AL59" s="251">
        <f>VLOOKUP(AL51,$AI$59:$AI$65,1)</f>
        <v>0</v>
      </c>
      <c r="AM59" s="326">
        <f>AM51</f>
        <v>43344</v>
      </c>
      <c r="AN59" s="252"/>
      <c r="AR59" t="str">
        <f>IF(AR49=4,3,"")</f>
        <v/>
      </c>
      <c r="AS59" s="112" t="str">
        <f>IF(AR49=4,AT58,"")</f>
        <v/>
      </c>
    </row>
    <row r="60" spans="4:46" ht="15.75" thickBot="1" x14ac:dyDescent="0.3">
      <c r="D60">
        <v>3</v>
      </c>
      <c r="F60" s="253"/>
      <c r="G60">
        <f t="shared" ref="G60:G65" si="41">VLOOKUP(G52,$D$59:$D$65,1)</f>
        <v>0</v>
      </c>
      <c r="H60" s="112">
        <f t="shared" ref="H60:H65" si="42">H52</f>
        <v>43709</v>
      </c>
      <c r="I60" s="254"/>
      <c r="J60">
        <f t="shared" ref="J60:J65" si="43">G60</f>
        <v>0</v>
      </c>
      <c r="AI60">
        <v>3</v>
      </c>
      <c r="AK60" s="253"/>
      <c r="AL60" s="251">
        <f xml:space="preserve">   IF(AR49=4,AR59,            VLOOKUP(AL52,$AI$59:$AI$65,1))</f>
        <v>0</v>
      </c>
      <c r="AM60" s="112">
        <f>IF(AR49=4,AS59,AM52)</f>
        <v>43709</v>
      </c>
      <c r="AN60" s="254"/>
    </row>
    <row r="61" spans="4:46" ht="15.75" thickBot="1" x14ac:dyDescent="0.3">
      <c r="D61">
        <v>9</v>
      </c>
      <c r="F61" s="253"/>
      <c r="G61">
        <f t="shared" si="41"/>
        <v>9</v>
      </c>
      <c r="H61" s="112">
        <f t="shared" si="42"/>
        <v>46631</v>
      </c>
      <c r="I61" s="254"/>
      <c r="J61">
        <f t="shared" si="43"/>
        <v>9</v>
      </c>
      <c r="AI61">
        <v>9</v>
      </c>
      <c r="AK61" s="253"/>
      <c r="AL61" s="251">
        <f t="shared" ref="AL61:AL65" si="44">VLOOKUP(AL53,$AI$59:$AI$65,1)</f>
        <v>9</v>
      </c>
      <c r="AM61" s="112">
        <f t="shared" ref="AM61:AM65" si="45">AM53</f>
        <v>46631</v>
      </c>
      <c r="AN61" s="254"/>
    </row>
    <row r="62" spans="4:46" ht="15.75" thickBot="1" x14ac:dyDescent="0.3">
      <c r="D62">
        <v>15</v>
      </c>
      <c r="F62" s="253"/>
      <c r="G62">
        <f t="shared" si="41"/>
        <v>15</v>
      </c>
      <c r="H62" s="112">
        <f t="shared" si="42"/>
        <v>48823</v>
      </c>
      <c r="I62" s="254"/>
      <c r="J62">
        <f t="shared" si="43"/>
        <v>15</v>
      </c>
      <c r="AI62">
        <v>15</v>
      </c>
      <c r="AK62" s="253"/>
      <c r="AL62" s="251">
        <f t="shared" si="44"/>
        <v>15</v>
      </c>
      <c r="AM62" s="112">
        <f t="shared" si="45"/>
        <v>48823</v>
      </c>
      <c r="AN62" s="254"/>
    </row>
    <row r="63" spans="4:46" ht="15.75" thickBot="1" x14ac:dyDescent="0.3">
      <c r="D63">
        <v>21</v>
      </c>
      <c r="F63" s="253"/>
      <c r="G63">
        <f t="shared" si="41"/>
        <v>21</v>
      </c>
      <c r="H63" s="112">
        <f t="shared" si="42"/>
        <v>51014</v>
      </c>
      <c r="I63" s="254"/>
      <c r="J63">
        <f t="shared" si="43"/>
        <v>21</v>
      </c>
      <c r="AI63">
        <v>21</v>
      </c>
      <c r="AK63" s="253"/>
      <c r="AL63" s="251">
        <f t="shared" si="44"/>
        <v>21</v>
      </c>
      <c r="AM63" s="112">
        <f t="shared" si="45"/>
        <v>51014</v>
      </c>
      <c r="AN63" s="254"/>
    </row>
    <row r="64" spans="4:46" ht="15.75" thickBot="1" x14ac:dyDescent="0.3">
      <c r="D64">
        <v>28</v>
      </c>
      <c r="F64" s="253"/>
      <c r="G64">
        <f t="shared" si="41"/>
        <v>28</v>
      </c>
      <c r="H64" s="112">
        <f t="shared" si="42"/>
        <v>53571</v>
      </c>
      <c r="I64" s="254"/>
      <c r="J64">
        <f t="shared" si="43"/>
        <v>28</v>
      </c>
      <c r="AI64">
        <v>28</v>
      </c>
      <c r="AK64" s="253"/>
      <c r="AL64" s="251">
        <f t="shared" si="44"/>
        <v>28</v>
      </c>
      <c r="AM64" s="112">
        <f t="shared" si="45"/>
        <v>53571</v>
      </c>
      <c r="AN64" s="254"/>
    </row>
    <row r="65" spans="4:52" x14ac:dyDescent="0.25">
      <c r="D65">
        <v>34</v>
      </c>
      <c r="F65" s="253"/>
      <c r="G65">
        <f t="shared" si="41"/>
        <v>34</v>
      </c>
      <c r="H65" s="112">
        <f t="shared" si="42"/>
        <v>55763</v>
      </c>
      <c r="I65" s="254"/>
      <c r="J65">
        <f t="shared" si="43"/>
        <v>34</v>
      </c>
      <c r="AI65">
        <v>35</v>
      </c>
      <c r="AK65" s="253"/>
      <c r="AL65" s="251">
        <f t="shared" si="44"/>
        <v>28</v>
      </c>
      <c r="AM65" s="112">
        <f t="shared" si="45"/>
        <v>55763</v>
      </c>
      <c r="AN65" s="254"/>
    </row>
    <row r="66" spans="4:52" ht="15.75" thickBot="1" x14ac:dyDescent="0.3">
      <c r="F66" s="255"/>
      <c r="G66" s="257"/>
      <c r="H66" s="257"/>
      <c r="I66" s="258"/>
      <c r="AK66" s="255"/>
      <c r="AL66" s="257"/>
      <c r="AM66" s="257"/>
      <c r="AN66" s="258"/>
    </row>
    <row r="68" spans="4:52" x14ac:dyDescent="0.25">
      <c r="R68" s="112"/>
      <c r="AW68" s="112"/>
    </row>
    <row r="70" spans="4:52" x14ac:dyDescent="0.25">
      <c r="G70">
        <v>15</v>
      </c>
      <c r="H70" s="112">
        <f>VLOOKUP(G70,G59:H65,2)</f>
        <v>48823</v>
      </c>
      <c r="R70" s="112"/>
      <c r="AL70">
        <v>15</v>
      </c>
      <c r="AM70" s="112">
        <f>VLOOKUP(AL70,AL59:AM65,2)</f>
        <v>48823</v>
      </c>
      <c r="AW70" s="112"/>
    </row>
    <row r="72" spans="4:52" x14ac:dyDescent="0.25">
      <c r="J72" t="s">
        <v>329</v>
      </c>
      <c r="K72" t="s">
        <v>467</v>
      </c>
      <c r="L72" t="s">
        <v>468</v>
      </c>
      <c r="M72" t="s">
        <v>469</v>
      </c>
      <c r="P72" s="238"/>
      <c r="AO72" t="s">
        <v>329</v>
      </c>
      <c r="AP72" t="s">
        <v>467</v>
      </c>
      <c r="AQ72" t="s">
        <v>468</v>
      </c>
      <c r="AR72" t="s">
        <v>469</v>
      </c>
      <c r="AU72" s="238"/>
    </row>
    <row r="73" spans="4:52" x14ac:dyDescent="0.25">
      <c r="F73">
        <v>0</v>
      </c>
      <c r="G73">
        <v>21</v>
      </c>
      <c r="H73" s="112">
        <f>VLOOKUP(G73,G59:H65,2)</f>
        <v>51014</v>
      </c>
      <c r="K73">
        <f>I14</f>
        <v>0</v>
      </c>
      <c r="L73">
        <f>J14</f>
        <v>0</v>
      </c>
      <c r="M73">
        <v>0</v>
      </c>
      <c r="P73" s="238"/>
      <c r="Q73" s="432" t="s">
        <v>471</v>
      </c>
      <c r="AK73">
        <v>0</v>
      </c>
      <c r="AL73">
        <v>21</v>
      </c>
      <c r="AM73" s="112">
        <f>VLOOKUP(AL73,AL59:AM65,2)</f>
        <v>51014</v>
      </c>
      <c r="AP73">
        <f>AN14</f>
        <v>0</v>
      </c>
      <c r="AQ73">
        <f>AO14</f>
        <v>0</v>
      </c>
      <c r="AR73">
        <v>0</v>
      </c>
      <c r="AU73" s="238"/>
      <c r="AV73" s="432" t="s">
        <v>471</v>
      </c>
    </row>
    <row r="74" spans="4:52" x14ac:dyDescent="0.25">
      <c r="H74" s="112"/>
      <c r="K74">
        <v>0</v>
      </c>
      <c r="L74">
        <f>K73*12+L73</f>
        <v>0</v>
      </c>
      <c r="M74">
        <f>K14</f>
        <v>0</v>
      </c>
      <c r="Q74">
        <f>VLOOKUP(21,R22:X30,7,FALSE)</f>
        <v>25</v>
      </c>
      <c r="R74" s="112">
        <f ca="1">INDIRECT(CONCATENATE("o",Q74))</f>
        <v>51013</v>
      </c>
      <c r="S74" t="s">
        <v>470</v>
      </c>
      <c r="T74">
        <f>I14*12+J14</f>
        <v>0</v>
      </c>
      <c r="U74" t="s">
        <v>94</v>
      </c>
      <c r="AM74" s="112"/>
      <c r="AP74">
        <v>0</v>
      </c>
      <c r="AQ74">
        <f>AP73*12+AQ73</f>
        <v>0</v>
      </c>
      <c r="AR74">
        <f>AP14</f>
        <v>0</v>
      </c>
      <c r="AV74">
        <f>VLOOKUP(21,AW22:BC30,7,FALSE)</f>
        <v>25</v>
      </c>
      <c r="AW74" s="112">
        <f ca="1">INDIRECT(CONCATENATE("AT",AV74))</f>
        <v>51013</v>
      </c>
      <c r="AX74" t="s">
        <v>470</v>
      </c>
      <c r="AY74">
        <f>AN14*12+AO14</f>
        <v>0</v>
      </c>
      <c r="AZ74" t="s">
        <v>94</v>
      </c>
    </row>
    <row r="75" spans="4:52" x14ac:dyDescent="0.25">
      <c r="G75">
        <v>21</v>
      </c>
      <c r="H75" s="112">
        <f>DATE(YEAR(H73)+F73,MONTH(H73)-L74,DAY(H73)-M74)+1</f>
        <v>51015</v>
      </c>
      <c r="AL75">
        <v>21</v>
      </c>
      <c r="AM75" s="112">
        <f>DATE(YEAR(AM73)+AK73,MONTH(AM73)-AQ74,DAY(AM73)-AR74)+1</f>
        <v>51015</v>
      </c>
    </row>
    <row r="76" spans="4:52" x14ac:dyDescent="0.25">
      <c r="E76">
        <f>IF(AND(YEAR(H73)&gt;D33,YEAR(H75)&lt;D33),-1,0)</f>
        <v>0</v>
      </c>
      <c r="H76" s="112"/>
      <c r="Q76" t="s">
        <v>472</v>
      </c>
      <c r="R76" s="112">
        <f ca="1">DATE(YEAR(R74),MONTH(R74)-T74,DAY(R74))</f>
        <v>51013</v>
      </c>
      <c r="S76" t="str">
        <f ca="1">IF(YEAR(R76)&lt;D33,"esatto","non esatto")</f>
        <v>non esatto</v>
      </c>
      <c r="AJ76">
        <f>IF(AND(YEAR(AM73)&gt;AI33,YEAR(AM75)&lt;AI33),-1,0)</f>
        <v>0</v>
      </c>
      <c r="AM76" s="112"/>
      <c r="AV76" t="s">
        <v>472</v>
      </c>
      <c r="AW76" s="112">
        <f ca="1">DATE(YEAR(AW74),MONTH(AW74)-AY74,DAY(AW74))</f>
        <v>51013</v>
      </c>
      <c r="AX76" t="str">
        <f ca="1">IF(YEAR(AW76)&lt;AI33,"esatto","non esatto")</f>
        <v>non esatto</v>
      </c>
    </row>
    <row r="77" spans="4:52" x14ac:dyDescent="0.25">
      <c r="G77">
        <f>G75</f>
        <v>21</v>
      </c>
      <c r="H77" s="112">
        <f ca="1">IF(    S76="esatto",DATE(YEAR(R76),MONTH(H75),DAY(H75)),     H75)</f>
        <v>51015</v>
      </c>
      <c r="AL77">
        <f>AL75</f>
        <v>21</v>
      </c>
      <c r="AM77" s="112">
        <f ca="1">IF(    AX76="esatto",DATE(YEAR(AW76),MONTH(AM75),DAY(AM75)),     AM75)</f>
        <v>51015</v>
      </c>
    </row>
    <row r="78" spans="4:52" x14ac:dyDescent="0.25">
      <c r="H78" t="s">
        <v>65</v>
      </c>
      <c r="AM78" t="s">
        <v>65</v>
      </c>
    </row>
    <row r="79" spans="4:52" x14ac:dyDescent="0.25">
      <c r="E79">
        <f ca="1">IF(AND(   YEAR(H77)&lt;D33,YEAR(H77)+7&gt;D33),1,0)</f>
        <v>0</v>
      </c>
      <c r="G79">
        <v>28</v>
      </c>
      <c r="H79" s="112">
        <f ca="1">DATE(YEAR(H77)+7+E79,MONTH(H77),DAY(H77))</f>
        <v>53572</v>
      </c>
      <c r="AJ79">
        <f ca="1">IF(AND(   YEAR(AM77)&lt;AI33,YEAR(AM77)+7&gt;AI33),1,0)</f>
        <v>0</v>
      </c>
      <c r="AL79">
        <v>28</v>
      </c>
      <c r="AM79" s="112">
        <f ca="1">DATE(YEAR(AM77)+7+AJ79,MONTH(AM77),DAY(AM77))</f>
        <v>53572</v>
      </c>
    </row>
    <row r="80" spans="4:52" x14ac:dyDescent="0.25">
      <c r="D80" s="112">
        <f>H9</f>
        <v>43344</v>
      </c>
      <c r="Q80" t="s">
        <v>473</v>
      </c>
      <c r="AI80" s="112">
        <f>AM9</f>
        <v>43344</v>
      </c>
      <c r="AV80" t="s">
        <v>473</v>
      </c>
    </row>
    <row r="81" spans="4:44" x14ac:dyDescent="0.25">
      <c r="D81" t="s">
        <v>475</v>
      </c>
      <c r="AI81" t="s">
        <v>475</v>
      </c>
      <c r="AP81" t="str">
        <f>frontti!H25</f>
        <v>SI</v>
      </c>
      <c r="AR81" s="112">
        <v>40422</v>
      </c>
    </row>
    <row r="82" spans="4:44" x14ac:dyDescent="0.25">
      <c r="D82" t="s">
        <v>476</v>
      </c>
      <c r="K82" s="113" t="s">
        <v>478</v>
      </c>
      <c r="AI82" t="s">
        <v>476</v>
      </c>
      <c r="AP82" s="113" t="s">
        <v>478</v>
      </c>
    </row>
    <row r="83" spans="4:44" x14ac:dyDescent="0.25">
      <c r="D83" t="s">
        <v>477</v>
      </c>
      <c r="G83">
        <f>IF(LEFT(D85,3)="Doc",G59,G41)</f>
        <v>0</v>
      </c>
      <c r="H83" s="112">
        <f>IF(LEFT(D85,3)="Doc",H59,H41)</f>
        <v>43344</v>
      </c>
      <c r="K83" s="112">
        <v>40422</v>
      </c>
      <c r="AI83" t="s">
        <v>477</v>
      </c>
      <c r="AL83">
        <f>IF(LEFT(AI85,3)="Doc",AL59,AL41)</f>
        <v>0</v>
      </c>
      <c r="AM83" s="112">
        <f>IF(LEFT(AI85,3)="Doc",AM59,AM41)</f>
        <v>43344</v>
      </c>
      <c r="AP83" s="112">
        <f>IF(AP81="SI",100000,AR81)</f>
        <v>100000</v>
      </c>
    </row>
    <row r="84" spans="4:44" x14ac:dyDescent="0.25">
      <c r="G84">
        <f>IF(AND(D80&gt;=K83,G60&lt;9            ),0,G60)</f>
        <v>0</v>
      </c>
      <c r="H84" s="112">
        <f>H60</f>
        <v>43709</v>
      </c>
      <c r="AL84">
        <f>IF(AND(AI80&gt;=AP83,AL60&lt;9                       ),0,AL60)</f>
        <v>0</v>
      </c>
      <c r="AM84" s="112">
        <f>AM60</f>
        <v>43709</v>
      </c>
    </row>
    <row r="85" spans="4:44" x14ac:dyDescent="0.25">
      <c r="D85" t="str">
        <f>frontti!E20</f>
        <v>DocenteLaureatoSuperiore</v>
      </c>
      <c r="G85">
        <f>IF(OR(G61=G88,G61=G89,G61=G90,G61=G91),100000,G61)</f>
        <v>9</v>
      </c>
      <c r="H85" s="112">
        <f xml:space="preserve">  IF(G85=100000,100000,H61)</f>
        <v>46631</v>
      </c>
      <c r="AH85" t="str">
        <f>AH129</f>
        <v>NO</v>
      </c>
      <c r="AI85" t="str">
        <f>IF(AH85="NO","","Doc")</f>
        <v/>
      </c>
      <c r="AL85">
        <f>IF(OR(AL61=AL88,AL61=AL89,AL61=AL90,AL61=AL91),100000,AL61)</f>
        <v>9</v>
      </c>
      <c r="AM85" s="112">
        <f xml:space="preserve">  IF(AL85=100000,100000,AM61)</f>
        <v>46631</v>
      </c>
    </row>
    <row r="86" spans="4:44" x14ac:dyDescent="0.25">
      <c r="D86" t="s">
        <v>474</v>
      </c>
      <c r="G86">
        <f>IF(OR(G62=G88,G62=G89,G62=G90,G62=G91),100000,G62)</f>
        <v>100000</v>
      </c>
      <c r="H86" s="112">
        <f>IF(G86=100000,100000,H62)</f>
        <v>100000</v>
      </c>
      <c r="AI86" t="s">
        <v>474</v>
      </c>
      <c r="AL86">
        <f>IF(OR(AL62=AL88,AL62=AL89,AL62=AL90,AL62=AL91),100000,AL62)</f>
        <v>100000</v>
      </c>
      <c r="AM86" s="112">
        <f>IF(AL86=100000,100000,AM62)</f>
        <v>100000</v>
      </c>
    </row>
    <row r="87" spans="4:44" x14ac:dyDescent="0.25">
      <c r="G87">
        <f>IF(OR(G63=G88,G63=G89,G63=G90),100000,G63)</f>
        <v>100000</v>
      </c>
      <c r="H87" s="112">
        <f>IF(G87=100000,100000,H63)</f>
        <v>100000</v>
      </c>
      <c r="AL87">
        <f>IF(OR(AL63=AL88,AL63=AL89,AL63=AL90),100000,AL63)</f>
        <v>100000</v>
      </c>
      <c r="AM87" s="112">
        <f>IF(AL87=100000,100000,AM63)</f>
        <v>100000</v>
      </c>
    </row>
    <row r="88" spans="4:44" x14ac:dyDescent="0.25">
      <c r="G88">
        <f>G70</f>
        <v>15</v>
      </c>
      <c r="H88" s="112">
        <f>H70</f>
        <v>48823</v>
      </c>
      <c r="AL88">
        <f>AL70</f>
        <v>15</v>
      </c>
      <c r="AM88" s="112">
        <f>AM70</f>
        <v>48823</v>
      </c>
    </row>
    <row r="89" spans="4:44" x14ac:dyDescent="0.25">
      <c r="G89">
        <f>G77</f>
        <v>21</v>
      </c>
      <c r="H89" s="112">
        <f ca="1">H77</f>
        <v>51015</v>
      </c>
      <c r="AL89">
        <f>AL77</f>
        <v>21</v>
      </c>
      <c r="AM89" s="112">
        <f ca="1">AM77</f>
        <v>51015</v>
      </c>
    </row>
    <row r="90" spans="4:44" x14ac:dyDescent="0.25">
      <c r="G90">
        <f>G79</f>
        <v>28</v>
      </c>
      <c r="H90" s="112">
        <f ca="1">H79</f>
        <v>53572</v>
      </c>
      <c r="AL90">
        <f>AL79</f>
        <v>28</v>
      </c>
      <c r="AM90" s="112">
        <f ca="1">AM79</f>
        <v>53572</v>
      </c>
    </row>
    <row r="100" spans="4:44" x14ac:dyDescent="0.25">
      <c r="E100">
        <v>1</v>
      </c>
      <c r="G100">
        <f>SMALL($G$83:$G$90,E100)</f>
        <v>0</v>
      </c>
      <c r="H100" s="112">
        <f ca="1">SMALL($H$83:$H$90,E100)</f>
        <v>43344</v>
      </c>
      <c r="I100">
        <v>1</v>
      </c>
      <c r="AJ100">
        <v>1</v>
      </c>
      <c r="AL100">
        <f>SMALL($AL$83:$AL$90,AJ100)</f>
        <v>0</v>
      </c>
      <c r="AM100" s="112">
        <f ca="1">SMALL($AM$83:$AM$90,AJ100)</f>
        <v>43344</v>
      </c>
      <c r="AN100">
        <v>1</v>
      </c>
      <c r="AR100" s="112">
        <f ca="1">SMALL(AM83:AM90,2)</f>
        <v>43709</v>
      </c>
    </row>
    <row r="101" spans="4:44" x14ac:dyDescent="0.25">
      <c r="E101">
        <v>2</v>
      </c>
      <c r="G101">
        <f t="shared" ref="G101:G107" si="46">SMALL($G$83:$G$90,E101)</f>
        <v>0</v>
      </c>
      <c r="H101" s="112">
        <f t="shared" ref="H101:H107" ca="1" si="47">SMALL($H$83:$H$90,E101)</f>
        <v>43709</v>
      </c>
      <c r="I101">
        <f>IF(G101=G100,0,1)</f>
        <v>0</v>
      </c>
      <c r="AJ101">
        <v>2</v>
      </c>
      <c r="AL101">
        <f t="shared" ref="AL101:AL107" si="48">SMALL($AL$83:$AL$90,AJ101)</f>
        <v>0</v>
      </c>
      <c r="AM101" s="112">
        <f t="shared" ref="AM101:AM107" ca="1" si="49">SMALL($AM$83:$AM$90,AJ101)</f>
        <v>43709</v>
      </c>
      <c r="AN101">
        <f>IF(AL101=AL100,0,1)</f>
        <v>0</v>
      </c>
    </row>
    <row r="102" spans="4:44" x14ac:dyDescent="0.25">
      <c r="E102">
        <v>3</v>
      </c>
      <c r="G102">
        <f t="shared" si="46"/>
        <v>9</v>
      </c>
      <c r="H102" s="112">
        <f t="shared" ca="1" si="47"/>
        <v>46631</v>
      </c>
      <c r="I102">
        <f t="shared" ref="I102:I107" si="50">IF(G102=G101,0,1)</f>
        <v>1</v>
      </c>
      <c r="AJ102">
        <v>3</v>
      </c>
      <c r="AL102">
        <f t="shared" si="48"/>
        <v>9</v>
      </c>
      <c r="AM102" s="112">
        <f ca="1">SMALL($AM$83:$AM$90,AJ102)</f>
        <v>46631</v>
      </c>
      <c r="AN102">
        <f t="shared" ref="AN102:AN107" si="51">IF(AL102=AL101,0,1)</f>
        <v>1</v>
      </c>
    </row>
    <row r="103" spans="4:44" x14ac:dyDescent="0.25">
      <c r="E103">
        <v>4</v>
      </c>
      <c r="G103">
        <f t="shared" si="46"/>
        <v>15</v>
      </c>
      <c r="H103" s="112">
        <f t="shared" ca="1" si="47"/>
        <v>48823</v>
      </c>
      <c r="I103">
        <f t="shared" si="50"/>
        <v>1</v>
      </c>
      <c r="AJ103">
        <v>4</v>
      </c>
      <c r="AL103">
        <f t="shared" si="48"/>
        <v>15</v>
      </c>
      <c r="AM103" s="112">
        <f t="shared" ca="1" si="49"/>
        <v>48823</v>
      </c>
      <c r="AN103">
        <f t="shared" si="51"/>
        <v>1</v>
      </c>
    </row>
    <row r="104" spans="4:44" x14ac:dyDescent="0.25">
      <c r="E104">
        <v>5</v>
      </c>
      <c r="G104">
        <f t="shared" si="46"/>
        <v>21</v>
      </c>
      <c r="H104" s="112">
        <f t="shared" ca="1" si="47"/>
        <v>51015</v>
      </c>
      <c r="I104">
        <f t="shared" si="50"/>
        <v>1</v>
      </c>
      <c r="AJ104">
        <v>5</v>
      </c>
      <c r="AL104">
        <f t="shared" si="48"/>
        <v>21</v>
      </c>
      <c r="AM104" s="112">
        <f t="shared" ca="1" si="49"/>
        <v>51015</v>
      </c>
      <c r="AN104">
        <f t="shared" si="51"/>
        <v>1</v>
      </c>
    </row>
    <row r="105" spans="4:44" x14ac:dyDescent="0.25">
      <c r="E105">
        <v>6</v>
      </c>
      <c r="G105">
        <f t="shared" si="46"/>
        <v>28</v>
      </c>
      <c r="H105" s="112">
        <f t="shared" ca="1" si="47"/>
        <v>53572</v>
      </c>
      <c r="I105">
        <f t="shared" si="50"/>
        <v>1</v>
      </c>
      <c r="AJ105">
        <v>6</v>
      </c>
      <c r="AL105">
        <f t="shared" si="48"/>
        <v>28</v>
      </c>
      <c r="AM105" s="112">
        <f t="shared" ca="1" si="49"/>
        <v>53572</v>
      </c>
      <c r="AN105">
        <f t="shared" si="51"/>
        <v>1</v>
      </c>
    </row>
    <row r="106" spans="4:44" x14ac:dyDescent="0.25">
      <c r="E106">
        <v>7</v>
      </c>
      <c r="G106">
        <f t="shared" si="46"/>
        <v>100000</v>
      </c>
      <c r="H106" s="112">
        <f t="shared" ca="1" si="47"/>
        <v>100000</v>
      </c>
      <c r="I106">
        <f t="shared" si="50"/>
        <v>1</v>
      </c>
      <c r="AJ106">
        <v>7</v>
      </c>
      <c r="AL106">
        <f t="shared" si="48"/>
        <v>100000</v>
      </c>
      <c r="AM106" s="112">
        <f t="shared" ca="1" si="49"/>
        <v>100000</v>
      </c>
      <c r="AN106">
        <f t="shared" si="51"/>
        <v>1</v>
      </c>
    </row>
    <row r="107" spans="4:44" x14ac:dyDescent="0.25">
      <c r="E107">
        <v>8</v>
      </c>
      <c r="G107">
        <f t="shared" si="46"/>
        <v>100000</v>
      </c>
      <c r="H107" s="112">
        <f t="shared" ca="1" si="47"/>
        <v>100000</v>
      </c>
      <c r="I107">
        <f t="shared" si="50"/>
        <v>0</v>
      </c>
      <c r="AJ107">
        <v>8</v>
      </c>
      <c r="AL107">
        <f t="shared" si="48"/>
        <v>100000</v>
      </c>
      <c r="AM107" s="112">
        <f t="shared" ca="1" si="49"/>
        <v>100000</v>
      </c>
      <c r="AN107">
        <f t="shared" si="51"/>
        <v>0</v>
      </c>
    </row>
    <row r="108" spans="4:44" x14ac:dyDescent="0.25">
      <c r="E108">
        <v>9</v>
      </c>
      <c r="H108" s="112"/>
      <c r="AJ108">
        <v>9</v>
      </c>
      <c r="AM108" s="112"/>
    </row>
    <row r="111" spans="4:44" x14ac:dyDescent="0.25">
      <c r="D111">
        <v>0</v>
      </c>
      <c r="E111" t="s">
        <v>168</v>
      </c>
      <c r="H111" s="112"/>
      <c r="AI111">
        <v>0</v>
      </c>
      <c r="AJ111" t="s">
        <v>168</v>
      </c>
      <c r="AM111" s="112"/>
    </row>
    <row r="112" spans="4:44" x14ac:dyDescent="0.25">
      <c r="D112">
        <v>3</v>
      </c>
      <c r="E112" t="s">
        <v>169</v>
      </c>
      <c r="H112" s="112"/>
      <c r="AI112">
        <v>3</v>
      </c>
      <c r="AJ112" t="s">
        <v>169</v>
      </c>
      <c r="AM112" s="112"/>
    </row>
    <row r="113" spans="4:59" x14ac:dyDescent="0.25">
      <c r="D113">
        <v>9</v>
      </c>
      <c r="E113" t="s">
        <v>170</v>
      </c>
      <c r="G113">
        <f>IF(I100=1,G100,100000)</f>
        <v>0</v>
      </c>
      <c r="H113" s="112">
        <f ca="1">IF(I100=1,H100,100000)</f>
        <v>43344</v>
      </c>
      <c r="AI113">
        <v>9</v>
      </c>
      <c r="AJ113" t="s">
        <v>170</v>
      </c>
      <c r="AL113">
        <f>IF(AN100=1,AL100,100000)</f>
        <v>0</v>
      </c>
      <c r="AM113" s="112">
        <f ca="1">IF(AN100=1,AM100,100000)</f>
        <v>43344</v>
      </c>
    </row>
    <row r="114" spans="4:59" x14ac:dyDescent="0.25">
      <c r="D114">
        <v>15</v>
      </c>
      <c r="E114" t="s">
        <v>171</v>
      </c>
      <c r="G114">
        <f t="shared" ref="G114:G121" si="52">IF(I101=1,G101,100000)</f>
        <v>100000</v>
      </c>
      <c r="H114" s="112">
        <f t="shared" ref="H114:H121" si="53">IF(I101=1,H101,100000)</f>
        <v>100000</v>
      </c>
      <c r="AI114">
        <v>15</v>
      </c>
      <c r="AJ114" t="s">
        <v>171</v>
      </c>
      <c r="AL114">
        <f t="shared" ref="AL114:AL121" si="54">IF(AN101=1,AL101,100000)</f>
        <v>100000</v>
      </c>
      <c r="AM114" s="112">
        <f t="shared" ref="AM114:AM121" si="55">IF(AN101=1,AM101,100000)</f>
        <v>100000</v>
      </c>
    </row>
    <row r="115" spans="4:59" x14ac:dyDescent="0.25">
      <c r="D115">
        <v>21</v>
      </c>
      <c r="E115" t="s">
        <v>172</v>
      </c>
      <c r="G115">
        <f t="shared" si="52"/>
        <v>9</v>
      </c>
      <c r="H115" s="112">
        <f t="shared" ca="1" si="53"/>
        <v>46631</v>
      </c>
      <c r="AI115">
        <v>21</v>
      </c>
      <c r="AJ115" t="s">
        <v>172</v>
      </c>
      <c r="AL115">
        <f t="shared" si="54"/>
        <v>9</v>
      </c>
      <c r="AM115" s="112">
        <f t="shared" ca="1" si="55"/>
        <v>46631</v>
      </c>
    </row>
    <row r="116" spans="4:59" x14ac:dyDescent="0.25">
      <c r="D116">
        <v>28</v>
      </c>
      <c r="E116" t="s">
        <v>173</v>
      </c>
      <c r="G116">
        <f t="shared" si="52"/>
        <v>15</v>
      </c>
      <c r="H116" s="112">
        <f t="shared" ca="1" si="53"/>
        <v>48823</v>
      </c>
      <c r="AI116">
        <v>28</v>
      </c>
      <c r="AJ116" t="s">
        <v>173</v>
      </c>
      <c r="AL116">
        <f t="shared" si="54"/>
        <v>15</v>
      </c>
      <c r="AM116" s="112">
        <f t="shared" ca="1" si="55"/>
        <v>48823</v>
      </c>
    </row>
    <row r="117" spans="4:59" x14ac:dyDescent="0.25">
      <c r="D117">
        <v>35</v>
      </c>
      <c r="E117" t="s">
        <v>174</v>
      </c>
      <c r="G117">
        <f t="shared" si="52"/>
        <v>21</v>
      </c>
      <c r="H117" s="112">
        <f t="shared" ca="1" si="53"/>
        <v>51015</v>
      </c>
      <c r="AI117">
        <v>35</v>
      </c>
      <c r="AJ117" t="s">
        <v>174</v>
      </c>
      <c r="AL117">
        <f t="shared" si="54"/>
        <v>21</v>
      </c>
      <c r="AM117" s="112">
        <f t="shared" ca="1" si="55"/>
        <v>51015</v>
      </c>
    </row>
    <row r="118" spans="4:59" x14ac:dyDescent="0.25">
      <c r="D118">
        <v>100000</v>
      </c>
      <c r="E118">
        <v>100000</v>
      </c>
      <c r="G118">
        <f t="shared" si="52"/>
        <v>28</v>
      </c>
      <c r="H118" s="112">
        <f t="shared" ca="1" si="53"/>
        <v>53572</v>
      </c>
      <c r="AI118">
        <v>100000</v>
      </c>
      <c r="AJ118">
        <v>100000</v>
      </c>
      <c r="AL118">
        <f t="shared" si="54"/>
        <v>28</v>
      </c>
      <c r="AM118" s="112">
        <f t="shared" ca="1" si="55"/>
        <v>53572</v>
      </c>
    </row>
    <row r="119" spans="4:59" x14ac:dyDescent="0.25">
      <c r="G119">
        <f t="shared" si="52"/>
        <v>100000</v>
      </c>
      <c r="H119" s="112">
        <f t="shared" ca="1" si="53"/>
        <v>100000</v>
      </c>
      <c r="AL119">
        <f t="shared" si="54"/>
        <v>100000</v>
      </c>
      <c r="AM119" s="112">
        <f t="shared" ca="1" si="55"/>
        <v>100000</v>
      </c>
    </row>
    <row r="120" spans="4:59" x14ac:dyDescent="0.25">
      <c r="G120">
        <f t="shared" si="52"/>
        <v>100000</v>
      </c>
      <c r="H120" s="112">
        <f t="shared" si="53"/>
        <v>100000</v>
      </c>
      <c r="AL120">
        <f t="shared" si="54"/>
        <v>100000</v>
      </c>
      <c r="AM120" s="112">
        <f t="shared" si="55"/>
        <v>100000</v>
      </c>
    </row>
    <row r="121" spans="4:59" x14ac:dyDescent="0.25">
      <c r="G121">
        <f t="shared" si="52"/>
        <v>100000</v>
      </c>
      <c r="H121" s="112">
        <f t="shared" si="53"/>
        <v>100000</v>
      </c>
      <c r="AL121">
        <f t="shared" si="54"/>
        <v>100000</v>
      </c>
      <c r="AM121" s="112">
        <f t="shared" si="55"/>
        <v>100000</v>
      </c>
    </row>
    <row r="122" spans="4:59" x14ac:dyDescent="0.25">
      <c r="H122" s="112"/>
      <c r="AM122" s="112"/>
    </row>
    <row r="123" spans="4:59" x14ac:dyDescent="0.25">
      <c r="H123" s="112"/>
      <c r="AM123" s="112"/>
    </row>
    <row r="124" spans="4:59" x14ac:dyDescent="0.25">
      <c r="H124" s="112"/>
      <c r="AF124" s="112">
        <v>40422</v>
      </c>
      <c r="AM124" s="112"/>
      <c r="AS124" t="s">
        <v>481</v>
      </c>
    </row>
    <row r="125" spans="4:59" x14ac:dyDescent="0.25">
      <c r="H125" s="112"/>
      <c r="L125" t="s">
        <v>381</v>
      </c>
      <c r="M125">
        <f>frontti!I38</f>
        <v>0</v>
      </c>
      <c r="O125">
        <f ca="1">IF(M125=0,DAY(J127),30-M125)</f>
        <v>1</v>
      </c>
      <c r="AF125" s="112">
        <f>frontti!F29</f>
        <v>43344</v>
      </c>
      <c r="AM125" s="112"/>
      <c r="AP125" t="str">
        <f>frontti!L20</f>
        <v>SI</v>
      </c>
      <c r="AQ125">
        <f>IF(AP125="SI",2013,2050)</f>
        <v>2013</v>
      </c>
      <c r="AS125">
        <f>frontti!K32</f>
        <v>0</v>
      </c>
    </row>
    <row r="126" spans="4:59" x14ac:dyDescent="0.25">
      <c r="H126" s="112"/>
      <c r="L126" t="s">
        <v>381</v>
      </c>
      <c r="M126">
        <f>frontti!I39</f>
        <v>0</v>
      </c>
      <c r="O126">
        <f ca="1">IF(M125=0,DAY(J127),30-M126-M125)</f>
        <v>1</v>
      </c>
      <c r="AM126" s="112"/>
    </row>
    <row r="127" spans="4:59" x14ac:dyDescent="0.25">
      <c r="F127">
        <v>1</v>
      </c>
      <c r="G127">
        <f>SMALL($G$113:$G$121,F127)</f>
        <v>0</v>
      </c>
      <c r="H127" s="112">
        <f ca="1">SMALL($H$113:$H$121,F127)</f>
        <v>43344</v>
      </c>
      <c r="J127" s="112">
        <f ca="1">H127</f>
        <v>43344</v>
      </c>
      <c r="P127" s="112">
        <f ca="1">J127</f>
        <v>43344</v>
      </c>
      <c r="R127">
        <f ca="1">P127-J127</f>
        <v>0</v>
      </c>
      <c r="T127" s="112">
        <f ca="1">IF(R127&gt;10,DATE(YEAR(P127),MONTH(P127)-1,DAY(P127)),P127)</f>
        <v>43344</v>
      </c>
      <c r="V127">
        <f ca="1">T127-J127</f>
        <v>0</v>
      </c>
      <c r="X127" s="112">
        <f ca="1">T127</f>
        <v>43344</v>
      </c>
      <c r="AA127" s="438" t="str">
        <f>IF(AND(AH127="SI",AH128&gt;2,AH128&lt;9,AH129="NO",AH130="Doc"),3,"")</f>
        <v/>
      </c>
      <c r="AF127" t="s">
        <v>475</v>
      </c>
      <c r="AH127" t="str">
        <f xml:space="preserve">  IF(AF125&lt;AF124,"SI",             frontti!H25)</f>
        <v>SI</v>
      </c>
      <c r="AK127">
        <v>1</v>
      </c>
      <c r="AL127">
        <f>IF(AA137=3,3,SMALL($AL$113:$AL$121,AK127))</f>
        <v>0</v>
      </c>
      <c r="AM127" s="112">
        <f ca="1">SMALL($AM$113:$AM$121,AK127)</f>
        <v>43344</v>
      </c>
      <c r="AO127" s="112">
        <f ca="1">AM127</f>
        <v>43344</v>
      </c>
      <c r="AS127">
        <f>IF(AS125=0,DAY(AI141),30-AS125)</f>
        <v>1</v>
      </c>
      <c r="AU127" s="112">
        <f ca="1">AO127</f>
        <v>43344</v>
      </c>
      <c r="AW127">
        <f ca="1">INT(AU127-AO127)</f>
        <v>0</v>
      </c>
      <c r="AY127" s="112">
        <f ca="1">AU127</f>
        <v>43344</v>
      </c>
      <c r="BD127">
        <f>frontti!R27</f>
        <v>0</v>
      </c>
      <c r="BE127" s="112">
        <f>frontti!S27</f>
        <v>43344</v>
      </c>
      <c r="BG127">
        <f>LEN(BD131)</f>
        <v>1</v>
      </c>
    </row>
    <row r="128" spans="4:59" x14ac:dyDescent="0.25">
      <c r="F128">
        <v>2</v>
      </c>
      <c r="G128">
        <f t="shared" ref="G128:G134" si="56">SMALL($G$113:$G$121,F128)</f>
        <v>9</v>
      </c>
      <c r="H128" s="112">
        <f t="shared" ref="H128:H134" ca="1" si="57">SMALL($H$113:$H$121,F128)</f>
        <v>46631</v>
      </c>
      <c r="J128" s="112">
        <f ca="1">H128</f>
        <v>46631</v>
      </c>
      <c r="P128" s="112">
        <f t="shared" ref="P128:P134" ca="1" si="58" xml:space="preserve">  IF(G128&lt;21,         DATE(YEAR(J128),MONTH(J128),$O$125),   DATE(YEAR(J128),MONTH(J128),$O$126))</f>
        <v>46631</v>
      </c>
      <c r="R128">
        <f ca="1">ABS(P128-J128)</f>
        <v>0</v>
      </c>
      <c r="T128" s="112">
        <f ca="1">IF(R128&gt;10,DATE(YEAR(P128),MONTH(P128)-1,DAY(P128)),P128)</f>
        <v>46631</v>
      </c>
      <c r="V128">
        <f ca="1">ABS(T128-J128)</f>
        <v>0</v>
      </c>
      <c r="X128" s="112">
        <f ca="1">IF(V128&gt;10,DATE(YEAR(P128),MONTH(P128)+1,DAY(P128)),T128)</f>
        <v>46631</v>
      </c>
      <c r="AA128" s="439" t="str">
        <f>IF(AND(AH127="SI",AH128&gt;2,AH128&lt;9,AH130&lt;&gt;"Doc"),3,"")</f>
        <v/>
      </c>
      <c r="AF128" t="s">
        <v>484</v>
      </c>
      <c r="AG128" t="s">
        <v>56</v>
      </c>
      <c r="AH128">
        <f>frontti!I32</f>
        <v>0</v>
      </c>
      <c r="AK128">
        <v>2</v>
      </c>
      <c r="AL128">
        <f t="shared" ref="AL128:AL134" si="59">SMALL($AL$113:$AL$121,AK128)</f>
        <v>9</v>
      </c>
      <c r="AM128" s="112">
        <f t="shared" ref="AM128:AM134" ca="1" si="60">SMALL($AM$113:$AM$121,AK128)</f>
        <v>46631</v>
      </c>
      <c r="AO128" s="112">
        <f ca="1">AM128</f>
        <v>46631</v>
      </c>
      <c r="AU128" s="112">
        <f t="shared" ref="AU128:AU134" ca="1" si="61">DATE(YEAR(AO128),MONTH(AO128),$AS$127)</f>
        <v>46631</v>
      </c>
      <c r="AW128">
        <f t="shared" ref="AW128:AW134" ca="1" si="62">INT(AU128-AO128)</f>
        <v>0</v>
      </c>
      <c r="AY128" s="112">
        <f ca="1">IF(AW128&gt;10,DATE(YEAR(AU128),MONTH(AU128)-1,DAY(AU128)),AU128)</f>
        <v>46631</v>
      </c>
      <c r="BA128">
        <f ca="1">AY128-AO128</f>
        <v>0</v>
      </c>
      <c r="BD128">
        <f>frontti!R28</f>
        <v>0</v>
      </c>
      <c r="BE128" s="112">
        <f>frontti!S28</f>
        <v>43086</v>
      </c>
    </row>
    <row r="129" spans="3:57" x14ac:dyDescent="0.25">
      <c r="F129">
        <v>3</v>
      </c>
      <c r="G129">
        <f t="shared" si="56"/>
        <v>15</v>
      </c>
      <c r="H129" s="112">
        <f t="shared" ca="1" si="57"/>
        <v>48823</v>
      </c>
      <c r="J129" s="112">
        <f t="shared" ref="J129:J134" ca="1" si="63">IF(YEAR(H129)=2013,DATE(YEAR(H129)+1,MONTH(H129),DAY(H129)),H129)</f>
        <v>48823</v>
      </c>
      <c r="P129" s="112">
        <f t="shared" ca="1" si="58"/>
        <v>48823</v>
      </c>
      <c r="R129">
        <f t="shared" ref="R129:R134" ca="1" si="64">ABS(P129-J129)</f>
        <v>0</v>
      </c>
      <c r="T129" s="112">
        <f t="shared" ref="T129:T134" ca="1" si="65">IF(R129&gt;10,DATE(YEAR(P129),MONTH(P129)-1,DAY(P129)),P129)</f>
        <v>48823</v>
      </c>
      <c r="V129">
        <f t="shared" ref="V129:V134" ca="1" si="66">ABS(T129-J129)</f>
        <v>0</v>
      </c>
      <c r="X129" s="112">
        <f t="shared" ref="X129:X134" ca="1" si="67">IF(V129&gt;10,DATE(YEAR(P129),MONTH(P129)+1,DAY(P129)),T129)</f>
        <v>48823</v>
      </c>
      <c r="AA129" s="439"/>
      <c r="AF129" t="s">
        <v>485</v>
      </c>
      <c r="AH129" t="str">
        <f xml:space="preserve">    IF(LEFT(AH130,3)="Doc",               frontti!H23,"NO")</f>
        <v>NO</v>
      </c>
      <c r="AK129">
        <v>3</v>
      </c>
      <c r="AL129">
        <f t="shared" si="59"/>
        <v>15</v>
      </c>
      <c r="AM129" s="112">
        <f t="shared" ca="1" si="60"/>
        <v>48823</v>
      </c>
      <c r="AO129" s="112">
        <f t="shared" ref="AO129:AO134" ca="1" si="68">IF(YEAR(AM129)=AQ126,DATE(  YEAR(AM129)+1,MONTH(AM129),DAY(AM129)),AM129)</f>
        <v>48823</v>
      </c>
      <c r="AU129" s="112">
        <f t="shared" ca="1" si="61"/>
        <v>48823</v>
      </c>
      <c r="AW129">
        <f t="shared" ca="1" si="62"/>
        <v>0</v>
      </c>
      <c r="AY129" s="112">
        <f t="shared" ref="AY129:AY134" ca="1" si="69">IF(AW129&gt;10,DATE(YEAR(AU129),MONTH(AU129)-1,DAY(AU129)),AU129)</f>
        <v>48823</v>
      </c>
      <c r="BA129">
        <f t="shared" ref="BA129:BA134" ca="1" si="70">AY129-AO129</f>
        <v>0</v>
      </c>
      <c r="BD129">
        <f>frontti!R29</f>
        <v>0</v>
      </c>
      <c r="BE129" s="112">
        <f>frontti!S29</f>
        <v>44912</v>
      </c>
    </row>
    <row r="130" spans="3:57" x14ac:dyDescent="0.25">
      <c r="F130">
        <v>4</v>
      </c>
      <c r="G130">
        <f t="shared" si="56"/>
        <v>21</v>
      </c>
      <c r="H130" s="112">
        <f t="shared" ca="1" si="57"/>
        <v>51015</v>
      </c>
      <c r="J130" s="112">
        <f t="shared" ca="1" si="63"/>
        <v>51015</v>
      </c>
      <c r="P130" s="112">
        <f t="shared" ca="1" si="58"/>
        <v>51014</v>
      </c>
      <c r="R130">
        <f t="shared" ca="1" si="64"/>
        <v>1</v>
      </c>
      <c r="T130" s="112">
        <f t="shared" ca="1" si="65"/>
        <v>51014</v>
      </c>
      <c r="V130">
        <f t="shared" ca="1" si="66"/>
        <v>1</v>
      </c>
      <c r="X130" s="112">
        <f t="shared" ca="1" si="67"/>
        <v>51014</v>
      </c>
      <c r="AA130" s="439"/>
      <c r="AF130" t="s">
        <v>486</v>
      </c>
      <c r="AH130" t="str">
        <f>LEFT(frontti!E20,3)</f>
        <v>Doc</v>
      </c>
      <c r="AK130">
        <v>4</v>
      </c>
      <c r="AL130">
        <f t="shared" si="59"/>
        <v>21</v>
      </c>
      <c r="AM130" s="112">
        <f t="shared" ca="1" si="60"/>
        <v>51015</v>
      </c>
      <c r="AO130" s="112">
        <f t="shared" ca="1" si="68"/>
        <v>51015</v>
      </c>
      <c r="AU130" s="112">
        <f t="shared" ca="1" si="61"/>
        <v>51014</v>
      </c>
      <c r="AW130">
        <f t="shared" ca="1" si="62"/>
        <v>-1</v>
      </c>
      <c r="AY130" s="112">
        <f t="shared" ca="1" si="69"/>
        <v>51014</v>
      </c>
      <c r="BA130">
        <f t="shared" ca="1" si="70"/>
        <v>-1</v>
      </c>
      <c r="BD130">
        <f>frontti!R30</f>
        <v>0</v>
      </c>
      <c r="BE130" s="112">
        <f>frontti!S30</f>
        <v>0</v>
      </c>
    </row>
    <row r="131" spans="3:57" x14ac:dyDescent="0.25">
      <c r="F131">
        <v>5</v>
      </c>
      <c r="G131">
        <f t="shared" si="56"/>
        <v>28</v>
      </c>
      <c r="H131" s="112">
        <f t="shared" ca="1" si="57"/>
        <v>53572</v>
      </c>
      <c r="J131" s="112">
        <f t="shared" ca="1" si="63"/>
        <v>53572</v>
      </c>
      <c r="P131" s="112">
        <f t="shared" ca="1" si="58"/>
        <v>53571</v>
      </c>
      <c r="R131">
        <f t="shared" ca="1" si="64"/>
        <v>1</v>
      </c>
      <c r="T131" s="112">
        <f t="shared" ca="1" si="65"/>
        <v>53571</v>
      </c>
      <c r="V131">
        <f t="shared" ca="1" si="66"/>
        <v>1</v>
      </c>
      <c r="X131" s="112">
        <f t="shared" ca="1" si="67"/>
        <v>53571</v>
      </c>
      <c r="AA131" s="439"/>
      <c r="AK131">
        <v>5</v>
      </c>
      <c r="AL131">
        <f t="shared" si="59"/>
        <v>28</v>
      </c>
      <c r="AM131" s="112">
        <f t="shared" ca="1" si="60"/>
        <v>53572</v>
      </c>
      <c r="AO131" s="112">
        <f t="shared" ca="1" si="68"/>
        <v>53572</v>
      </c>
      <c r="AU131" s="112">
        <f t="shared" ca="1" si="61"/>
        <v>53571</v>
      </c>
      <c r="AW131">
        <f t="shared" ca="1" si="62"/>
        <v>-1</v>
      </c>
      <c r="AY131" s="112">
        <f t="shared" ca="1" si="69"/>
        <v>53571</v>
      </c>
      <c r="BA131">
        <f t="shared" ca="1" si="70"/>
        <v>-1</v>
      </c>
      <c r="BD131">
        <f>frontti!R31</f>
        <v>0</v>
      </c>
      <c r="BE131" s="112">
        <f>frontti!S31</f>
        <v>0</v>
      </c>
    </row>
    <row r="132" spans="3:57" x14ac:dyDescent="0.25">
      <c r="F132">
        <v>6</v>
      </c>
      <c r="G132">
        <f t="shared" si="56"/>
        <v>100000</v>
      </c>
      <c r="H132" s="112">
        <f t="shared" ca="1" si="57"/>
        <v>100000</v>
      </c>
      <c r="J132" s="112">
        <f t="shared" ca="1" si="63"/>
        <v>100000</v>
      </c>
      <c r="P132" s="112">
        <f t="shared" ca="1" si="58"/>
        <v>99987</v>
      </c>
      <c r="R132">
        <f t="shared" ca="1" si="64"/>
        <v>13</v>
      </c>
      <c r="T132" s="112">
        <f t="shared" ca="1" si="65"/>
        <v>99957</v>
      </c>
      <c r="V132">
        <f t="shared" ca="1" si="66"/>
        <v>43</v>
      </c>
      <c r="X132" s="112">
        <f t="shared" ca="1" si="67"/>
        <v>100018</v>
      </c>
      <c r="AA132" s="439"/>
      <c r="AK132">
        <v>6</v>
      </c>
      <c r="AL132">
        <f t="shared" si="59"/>
        <v>100000</v>
      </c>
      <c r="AM132" s="112">
        <f t="shared" ca="1" si="60"/>
        <v>100000</v>
      </c>
      <c r="AO132" s="112">
        <f t="shared" ca="1" si="68"/>
        <v>100000</v>
      </c>
      <c r="AU132" s="112">
        <f t="shared" ca="1" si="61"/>
        <v>99987</v>
      </c>
      <c r="AW132">
        <f t="shared" ca="1" si="62"/>
        <v>-13</v>
      </c>
      <c r="AY132" s="112">
        <f t="shared" ca="1" si="69"/>
        <v>99987</v>
      </c>
      <c r="BA132">
        <f t="shared" ca="1" si="70"/>
        <v>-13</v>
      </c>
      <c r="BD132">
        <f>frontti!R32</f>
        <v>0</v>
      </c>
      <c r="BE132" s="112">
        <f>frontti!S32</f>
        <v>0</v>
      </c>
    </row>
    <row r="133" spans="3:57" x14ac:dyDescent="0.25">
      <c r="F133">
        <v>7</v>
      </c>
      <c r="G133">
        <f t="shared" si="56"/>
        <v>100000</v>
      </c>
      <c r="H133" s="112">
        <f t="shared" ca="1" si="57"/>
        <v>100000</v>
      </c>
      <c r="J133" s="112">
        <f t="shared" ca="1" si="63"/>
        <v>100000</v>
      </c>
      <c r="P133" s="112">
        <f t="shared" ca="1" si="58"/>
        <v>99987</v>
      </c>
      <c r="R133">
        <f t="shared" ca="1" si="64"/>
        <v>13</v>
      </c>
      <c r="T133" s="112">
        <f t="shared" ca="1" si="65"/>
        <v>99957</v>
      </c>
      <c r="V133">
        <f t="shared" ca="1" si="66"/>
        <v>43</v>
      </c>
      <c r="X133" s="112">
        <f t="shared" ca="1" si="67"/>
        <v>100018</v>
      </c>
      <c r="AA133" s="439"/>
      <c r="AK133">
        <v>7</v>
      </c>
      <c r="AL133">
        <f t="shared" si="59"/>
        <v>100000</v>
      </c>
      <c r="AM133" s="112">
        <f t="shared" ca="1" si="60"/>
        <v>100000</v>
      </c>
      <c r="AO133" s="112">
        <f t="shared" ca="1" si="68"/>
        <v>100000</v>
      </c>
      <c r="AU133" s="112">
        <f t="shared" ca="1" si="61"/>
        <v>99987</v>
      </c>
      <c r="AW133">
        <f t="shared" ca="1" si="62"/>
        <v>-13</v>
      </c>
      <c r="AY133" s="112">
        <f t="shared" ca="1" si="69"/>
        <v>99987</v>
      </c>
      <c r="BA133">
        <f t="shared" ca="1" si="70"/>
        <v>-13</v>
      </c>
      <c r="BD133">
        <f>frontti!R33</f>
        <v>0</v>
      </c>
      <c r="BE133" s="112">
        <f>frontti!S33</f>
        <v>0</v>
      </c>
    </row>
    <row r="134" spans="3:57" x14ac:dyDescent="0.25">
      <c r="F134">
        <v>8</v>
      </c>
      <c r="G134">
        <f t="shared" si="56"/>
        <v>100000</v>
      </c>
      <c r="H134" s="112">
        <f t="shared" ca="1" si="57"/>
        <v>100000</v>
      </c>
      <c r="J134" s="112">
        <f t="shared" ca="1" si="63"/>
        <v>100000</v>
      </c>
      <c r="P134" s="112">
        <f t="shared" ca="1" si="58"/>
        <v>99987</v>
      </c>
      <c r="R134">
        <f t="shared" ca="1" si="64"/>
        <v>13</v>
      </c>
      <c r="T134" s="112">
        <f t="shared" ca="1" si="65"/>
        <v>99957</v>
      </c>
      <c r="V134">
        <f t="shared" ca="1" si="66"/>
        <v>43</v>
      </c>
      <c r="X134" s="112">
        <f t="shared" ca="1" si="67"/>
        <v>100018</v>
      </c>
      <c r="AA134" s="440"/>
      <c r="AK134">
        <v>8</v>
      </c>
      <c r="AL134">
        <f t="shared" si="59"/>
        <v>100000</v>
      </c>
      <c r="AM134" s="112">
        <f t="shared" ca="1" si="60"/>
        <v>100000</v>
      </c>
      <c r="AO134" s="112">
        <f t="shared" ca="1" si="68"/>
        <v>100000</v>
      </c>
      <c r="AU134" s="112">
        <f t="shared" ca="1" si="61"/>
        <v>99987</v>
      </c>
      <c r="AW134">
        <f t="shared" ca="1" si="62"/>
        <v>-13</v>
      </c>
      <c r="AY134" s="112">
        <f t="shared" ca="1" si="69"/>
        <v>99987</v>
      </c>
      <c r="BA134">
        <f t="shared" ca="1" si="70"/>
        <v>-13</v>
      </c>
      <c r="BD134">
        <f>frontti!R34</f>
        <v>0</v>
      </c>
      <c r="BE134" s="112">
        <f>frontti!S34</f>
        <v>0</v>
      </c>
    </row>
    <row r="137" spans="3:57" x14ac:dyDescent="0.25">
      <c r="AA137">
        <f>MAX(AA127:AA134)</f>
        <v>0</v>
      </c>
    </row>
    <row r="138" spans="3:57" x14ac:dyDescent="0.25">
      <c r="F138">
        <f>IF(AND(frontti!G38="",frontti!H38="",frontti!I38="",frontti!G39="",frontti!H39="",frontti!I39=""),0,1)</f>
        <v>0</v>
      </c>
      <c r="AH138" t="s">
        <v>487</v>
      </c>
      <c r="AI138" t="str">
        <f>frontti!L20</f>
        <v>SI</v>
      </c>
      <c r="AJ138">
        <f>IF(AI138="SI",2013,2050)</f>
        <v>2013</v>
      </c>
    </row>
    <row r="139" spans="3:57" x14ac:dyDescent="0.25">
      <c r="G139" t="str">
        <f>IF($F$138=0,"",IF(AND(G127=0,H127&gt;=K83),"0-8 anni",VLOOKUP(G127,$D$111:$E$118,2)))</f>
        <v/>
      </c>
      <c r="H139" s="112">
        <f ca="1">X127</f>
        <v>43344</v>
      </c>
      <c r="AL139" s="246" t="str">
        <f ca="1">IF(AND(AL127=0,AM127&gt;=AP83),"0-8 anni",VLOOKUP(AL127,$D$111:$E$118,2))</f>
        <v>0-2 anni</v>
      </c>
      <c r="AM139" s="270">
        <f ca="1">AY127</f>
        <v>43344</v>
      </c>
    </row>
    <row r="140" spans="3:57" x14ac:dyDescent="0.25">
      <c r="D140" t="str">
        <f>frontti!E20</f>
        <v>DocenteLaureatoSuperiore</v>
      </c>
      <c r="G140" t="str">
        <f t="shared" ref="G140:G146" si="71">IF($F$138=0,"",IF(AND(G128=0,H128&gt;=K84),"0-8 anni",VLOOKUP(G128,$D$111:$E$118,2)))</f>
        <v/>
      </c>
      <c r="H140" s="112">
        <f ca="1">IF(G139="0-8 anni",X128, IF(LEFT(D140,3)="Doc",J140,X128))</f>
        <v>43709</v>
      </c>
      <c r="J140" s="112">
        <f ca="1">IF(AND(LEFT(D140,3)="Doc",D143&lt;2,YEAR(D144)&lt;2010),X128,DATE(YEAR(H139)+1,MONTH(H139),DAY(H139)))</f>
        <v>43709</v>
      </c>
      <c r="AL140" s="246" t="str">
        <f t="shared" ref="AL140:AL146" ca="1" si="72">IF(AND(AL128=0,AM128&gt;=AP84),"0-8 anni",VLOOKUP(AL128,$D$111:$E$118,2))</f>
        <v>9-14 anni</v>
      </c>
      <c r="AM140" s="270">
        <f ca="1">AO140</f>
        <v>46631</v>
      </c>
      <c r="AO140" s="112">
        <f ca="1">IF(AND(LEFT(D140,3)="Doc",E141="SI",YEAR(AO128)-YEAR(AO127)&lt;2,YEAR(AO127)&gt;2009),AO128,AY128)</f>
        <v>46631</v>
      </c>
    </row>
    <row r="141" spans="3:57" x14ac:dyDescent="0.25">
      <c r="D141" t="s">
        <v>483</v>
      </c>
      <c r="E141" t="str">
        <f>IF(LEFT(D140,3)="Doc",frontti!H23,"NO")</f>
        <v>NO</v>
      </c>
      <c r="G141" t="str">
        <f t="shared" si="71"/>
        <v/>
      </c>
      <c r="H141" s="112" t="str">
        <f t="shared" ref="H141:H146" si="73" xml:space="preserve">  IF($F$138=0,"",        X129)</f>
        <v/>
      </c>
      <c r="AI141" s="112">
        <f>frontti!C47</f>
        <v>45901</v>
      </c>
      <c r="AL141" s="246" t="str">
        <f t="shared" ca="1" si="72"/>
        <v>15-20 anni</v>
      </c>
      <c r="AM141" s="270">
        <f t="shared" ref="AM141:AM146" ca="1" si="74">AY129</f>
        <v>48823</v>
      </c>
    </row>
    <row r="142" spans="3:57" x14ac:dyDescent="0.25">
      <c r="G142" t="str">
        <f t="shared" si="71"/>
        <v/>
      </c>
      <c r="H142" s="112" t="str">
        <f t="shared" si="73"/>
        <v/>
      </c>
      <c r="AL142" s="246" t="str">
        <f t="shared" ca="1" si="72"/>
        <v>21-27 anni</v>
      </c>
      <c r="AM142" s="270">
        <f t="shared" ca="1" si="74"/>
        <v>51014</v>
      </c>
    </row>
    <row r="143" spans="3:57" x14ac:dyDescent="0.25">
      <c r="C143" t="s">
        <v>56</v>
      </c>
      <c r="D143">
        <f>frontti!G38</f>
        <v>0</v>
      </c>
      <c r="G143" t="str">
        <f t="shared" si="71"/>
        <v/>
      </c>
      <c r="H143" s="112" t="str">
        <f t="shared" si="73"/>
        <v/>
      </c>
      <c r="AL143" s="246" t="str">
        <f t="shared" ca="1" si="72"/>
        <v>28-34 anni</v>
      </c>
      <c r="AM143" s="270">
        <f t="shared" ca="1" si="74"/>
        <v>53571</v>
      </c>
    </row>
    <row r="144" spans="3:57" x14ac:dyDescent="0.25">
      <c r="C144" t="s">
        <v>93</v>
      </c>
      <c r="D144" s="112">
        <f>frontti!F29</f>
        <v>43344</v>
      </c>
      <c r="G144" t="str">
        <f t="shared" si="71"/>
        <v/>
      </c>
      <c r="H144" s="112" t="str">
        <f t="shared" si="73"/>
        <v/>
      </c>
      <c r="AL144" s="246">
        <f t="shared" ca="1" si="72"/>
        <v>100000</v>
      </c>
      <c r="AM144" s="270">
        <f t="shared" ca="1" si="74"/>
        <v>99987</v>
      </c>
    </row>
    <row r="145" spans="7:39" x14ac:dyDescent="0.25">
      <c r="G145" t="str">
        <f t="shared" si="71"/>
        <v/>
      </c>
      <c r="H145" s="112" t="str">
        <f t="shared" si="73"/>
        <v/>
      </c>
      <c r="AL145" s="246">
        <f t="shared" ca="1" si="72"/>
        <v>100000</v>
      </c>
      <c r="AM145" s="270">
        <f t="shared" ca="1" si="74"/>
        <v>99987</v>
      </c>
    </row>
    <row r="146" spans="7:39" x14ac:dyDescent="0.25">
      <c r="G146" t="str">
        <f t="shared" si="71"/>
        <v/>
      </c>
      <c r="H146" s="112" t="str">
        <f t="shared" si="73"/>
        <v/>
      </c>
      <c r="AL146" s="246">
        <f t="shared" ca="1" si="72"/>
        <v>100000</v>
      </c>
      <c r="AM146" s="270">
        <f t="shared" ca="1" si="74"/>
        <v>99987</v>
      </c>
    </row>
    <row r="147" spans="7:39" x14ac:dyDescent="0.25">
      <c r="H147" s="112"/>
      <c r="AL147" s="246"/>
      <c r="AM147" s="270"/>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2"/>
  <dimension ref="A1:AA207"/>
  <sheetViews>
    <sheetView topLeftCell="F1" zoomScale="80" zoomScaleNormal="80" workbookViewId="0">
      <selection activeCell="G7" sqref="G7"/>
    </sheetView>
  </sheetViews>
  <sheetFormatPr defaultRowHeight="15" x14ac:dyDescent="0.25"/>
  <cols>
    <col min="1" max="1" width="10.5703125" bestFit="1" customWidth="1"/>
    <col min="2" max="2" width="10.28515625" customWidth="1"/>
    <col min="4" max="4" width="10.5703125" bestFit="1" customWidth="1"/>
    <col min="5" max="5" width="19" customWidth="1"/>
    <col min="6" max="6" width="31.85546875" customWidth="1"/>
    <col min="7" max="7" width="15.140625" customWidth="1"/>
    <col min="8" max="8" width="13.28515625" customWidth="1"/>
    <col min="9" max="9" width="11.7109375" customWidth="1"/>
    <col min="10" max="10" width="10.5703125" bestFit="1" customWidth="1"/>
    <col min="12" max="12" width="13.28515625" customWidth="1"/>
    <col min="13" max="16" width="10.5703125" bestFit="1" customWidth="1"/>
    <col min="17" max="17" width="13.28515625" customWidth="1"/>
    <col min="18" max="18" width="10.5703125" bestFit="1" customWidth="1"/>
    <col min="20" max="20" width="13.28515625" customWidth="1"/>
    <col min="21" max="21" width="12.7109375" customWidth="1"/>
    <col min="24" max="24" width="9.28515625" bestFit="1" customWidth="1"/>
  </cols>
  <sheetData>
    <row r="1" spans="1:27" x14ac:dyDescent="0.25">
      <c r="Y1">
        <v>100</v>
      </c>
      <c r="Z1">
        <v>100</v>
      </c>
      <c r="AA1">
        <v>100</v>
      </c>
    </row>
    <row r="2" spans="1:27" x14ac:dyDescent="0.25">
      <c r="Y2">
        <v>100</v>
      </c>
      <c r="Z2">
        <v>100</v>
      </c>
      <c r="AA2">
        <v>100</v>
      </c>
    </row>
    <row r="3" spans="1:27" x14ac:dyDescent="0.25">
      <c r="Y3">
        <v>100</v>
      </c>
      <c r="Z3">
        <v>100</v>
      </c>
      <c r="AA3">
        <v>100</v>
      </c>
    </row>
    <row r="4" spans="1:27" ht="25.15" customHeight="1" x14ac:dyDescent="0.25">
      <c r="A4" t="s">
        <v>285</v>
      </c>
      <c r="D4">
        <v>16</v>
      </c>
      <c r="F4" s="288" t="str">
        <f>frontti!E20</f>
        <v>DocenteLaureatoSuperiore</v>
      </c>
      <c r="Y4">
        <v>100</v>
      </c>
      <c r="Z4">
        <v>100</v>
      </c>
      <c r="AA4">
        <v>100</v>
      </c>
    </row>
    <row r="5" spans="1:27" x14ac:dyDescent="0.25">
      <c r="A5" t="s">
        <v>286</v>
      </c>
      <c r="D5">
        <v>18</v>
      </c>
      <c r="Y5">
        <v>100</v>
      </c>
      <c r="Z5">
        <v>100</v>
      </c>
      <c r="AA5">
        <v>100</v>
      </c>
    </row>
    <row r="6" spans="1:27" x14ac:dyDescent="0.25">
      <c r="A6" t="s">
        <v>287</v>
      </c>
      <c r="D6">
        <v>18</v>
      </c>
      <c r="Y6">
        <v>100</v>
      </c>
      <c r="Z6">
        <v>100</v>
      </c>
      <c r="AA6">
        <v>100</v>
      </c>
    </row>
    <row r="7" spans="1:27" x14ac:dyDescent="0.25">
      <c r="A7" t="s">
        <v>288</v>
      </c>
      <c r="D7">
        <v>18</v>
      </c>
      <c r="F7" s="332" t="s">
        <v>344</v>
      </c>
      <c r="G7" s="240">
        <f>frontti!E27</f>
        <v>0</v>
      </c>
      <c r="Y7">
        <v>100</v>
      </c>
      <c r="Z7">
        <v>100</v>
      </c>
      <c r="AA7">
        <v>100</v>
      </c>
    </row>
    <row r="8" spans="1:27" x14ac:dyDescent="0.25">
      <c r="A8" t="s">
        <v>289</v>
      </c>
      <c r="D8">
        <v>20</v>
      </c>
    </row>
    <row r="9" spans="1:27" x14ac:dyDescent="0.25">
      <c r="A9" t="s">
        <v>290</v>
      </c>
      <c r="D9">
        <v>20</v>
      </c>
    </row>
    <row r="10" spans="1:27" x14ac:dyDescent="0.25">
      <c r="A10" t="s">
        <v>291</v>
      </c>
      <c r="D10">
        <v>18</v>
      </c>
      <c r="F10" s="246" t="s">
        <v>93</v>
      </c>
      <c r="G10" s="246"/>
      <c r="H10" s="246" t="s">
        <v>56</v>
      </c>
      <c r="I10" s="246" t="s">
        <v>94</v>
      </c>
      <c r="J10" s="246" t="s">
        <v>95</v>
      </c>
      <c r="K10" s="246" t="s">
        <v>329</v>
      </c>
      <c r="O10">
        <v>0</v>
      </c>
      <c r="X10" t="s">
        <v>103</v>
      </c>
    </row>
    <row r="11" spans="1:27" x14ac:dyDescent="0.25">
      <c r="F11" s="270">
        <f>frontti!F29</f>
        <v>43344</v>
      </c>
      <c r="G11" s="246"/>
      <c r="H11" s="246">
        <f>frontti!I32</f>
        <v>0</v>
      </c>
      <c r="I11" s="246">
        <f>frontti!J32</f>
        <v>0</v>
      </c>
      <c r="J11" s="246">
        <f>frontti!K32</f>
        <v>0</v>
      </c>
      <c r="K11">
        <f>VLOOKUP(F4,A4:D10,4,FALSE)</f>
        <v>16</v>
      </c>
      <c r="O11">
        <v>3</v>
      </c>
      <c r="Q11">
        <v>2</v>
      </c>
      <c r="R11">
        <v>12</v>
      </c>
      <c r="S11">
        <v>0</v>
      </c>
      <c r="T11">
        <f>Q11-H11</f>
        <v>2</v>
      </c>
      <c r="U11">
        <f>R11-I11</f>
        <v>12</v>
      </c>
      <c r="V11">
        <f>S11-J11</f>
        <v>0</v>
      </c>
      <c r="X11">
        <f>IF(Y11=100,100,11)</f>
        <v>11</v>
      </c>
      <c r="Y11">
        <f>T11</f>
        <v>2</v>
      </c>
      <c r="Z11">
        <f t="shared" ref="Z11:Z17" si="0">U11</f>
        <v>12</v>
      </c>
      <c r="AA11">
        <f t="shared" ref="AA11:AA17" si="1">V11</f>
        <v>0</v>
      </c>
    </row>
    <row r="12" spans="1:27" x14ac:dyDescent="0.25">
      <c r="F12" t="s">
        <v>327</v>
      </c>
      <c r="H12">
        <f>frontti!G38</f>
        <v>0</v>
      </c>
      <c r="I12">
        <f>frontti!H38</f>
        <v>0</v>
      </c>
      <c r="J12">
        <f>frontti!I38</f>
        <v>0</v>
      </c>
      <c r="O12">
        <v>9</v>
      </c>
      <c r="Q12">
        <v>8</v>
      </c>
      <c r="R12">
        <v>12</v>
      </c>
      <c r="S12">
        <v>0</v>
      </c>
      <c r="T12">
        <f>Q12-H11</f>
        <v>8</v>
      </c>
      <c r="U12">
        <f>R12-I11</f>
        <v>12</v>
      </c>
      <c r="V12">
        <f>S12-J11</f>
        <v>0</v>
      </c>
      <c r="X12">
        <f>IF(Y12=100,100,12)</f>
        <v>12</v>
      </c>
      <c r="Y12">
        <f t="shared" ref="Y12:Y17" si="2">T12</f>
        <v>8</v>
      </c>
      <c r="Z12">
        <f t="shared" si="0"/>
        <v>12</v>
      </c>
      <c r="AA12">
        <f t="shared" si="1"/>
        <v>0</v>
      </c>
    </row>
    <row r="13" spans="1:27" x14ac:dyDescent="0.25">
      <c r="F13" t="s">
        <v>328</v>
      </c>
      <c r="H13">
        <f>frontti!G39</f>
        <v>0</v>
      </c>
      <c r="I13">
        <f>frontti!H39</f>
        <v>0</v>
      </c>
      <c r="J13">
        <f>frontti!I39</f>
        <v>0</v>
      </c>
      <c r="O13">
        <v>15</v>
      </c>
      <c r="Q13">
        <v>14</v>
      </c>
      <c r="R13">
        <v>12</v>
      </c>
      <c r="S13">
        <v>0</v>
      </c>
      <c r="T13">
        <f>Q13-H11</f>
        <v>14</v>
      </c>
      <c r="U13">
        <f>R13-I11</f>
        <v>12</v>
      </c>
      <c r="V13">
        <f>S13-J11</f>
        <v>0</v>
      </c>
      <c r="X13">
        <f>IF(Y13=100,100,13)</f>
        <v>13</v>
      </c>
      <c r="Y13">
        <f t="shared" si="2"/>
        <v>14</v>
      </c>
      <c r="Z13">
        <f t="shared" si="0"/>
        <v>12</v>
      </c>
      <c r="AA13">
        <f t="shared" si="1"/>
        <v>0</v>
      </c>
    </row>
    <row r="14" spans="1:27" x14ac:dyDescent="0.25">
      <c r="F14" s="112"/>
      <c r="O14">
        <v>21</v>
      </c>
      <c r="Q14">
        <v>20</v>
      </c>
      <c r="R14">
        <v>12</v>
      </c>
      <c r="S14">
        <v>0</v>
      </c>
      <c r="T14">
        <f>Q14-H11</f>
        <v>20</v>
      </c>
      <c r="U14">
        <f>R14-I11</f>
        <v>12</v>
      </c>
      <c r="V14">
        <f>S14-J11</f>
        <v>0</v>
      </c>
      <c r="X14">
        <f>IF(Y14=100,100,14)</f>
        <v>14</v>
      </c>
      <c r="Y14">
        <f t="shared" si="2"/>
        <v>20</v>
      </c>
      <c r="Z14">
        <f t="shared" si="0"/>
        <v>12</v>
      </c>
      <c r="AA14">
        <f t="shared" si="1"/>
        <v>0</v>
      </c>
    </row>
    <row r="15" spans="1:27" x14ac:dyDescent="0.25">
      <c r="F15" s="112" t="s">
        <v>264</v>
      </c>
      <c r="G15" t="str">
        <f xml:space="preserve">  IF(LEFT(F4,3)="Doc",          frontti!H23,"NO")</f>
        <v>NO</v>
      </c>
      <c r="H15" t="str">
        <f>IF(LEFT(F4,3)="Doc",G15,"NO")</f>
        <v>NO</v>
      </c>
      <c r="O15">
        <v>28</v>
      </c>
      <c r="Q15">
        <v>27</v>
      </c>
      <c r="R15">
        <v>12</v>
      </c>
      <c r="S15">
        <v>0</v>
      </c>
      <c r="T15">
        <f>Q15-H11</f>
        <v>27</v>
      </c>
      <c r="U15">
        <f>R15-I11</f>
        <v>12</v>
      </c>
      <c r="V15">
        <f>S15-J11</f>
        <v>0</v>
      </c>
      <c r="X15">
        <f>IF(Y15=100,100,15)</f>
        <v>15</v>
      </c>
      <c r="Y15">
        <f t="shared" si="2"/>
        <v>27</v>
      </c>
      <c r="Z15">
        <f t="shared" si="0"/>
        <v>12</v>
      </c>
      <c r="AA15">
        <f t="shared" si="1"/>
        <v>0</v>
      </c>
    </row>
    <row r="16" spans="1:27" x14ac:dyDescent="0.25">
      <c r="F16" s="112"/>
      <c r="O16">
        <v>35</v>
      </c>
      <c r="Q16">
        <v>34</v>
      </c>
      <c r="R16">
        <v>12</v>
      </c>
      <c r="S16">
        <v>0</v>
      </c>
      <c r="T16">
        <f>Q16-H11</f>
        <v>34</v>
      </c>
      <c r="U16">
        <f>R16-I11</f>
        <v>12</v>
      </c>
      <c r="V16">
        <f>S16-J11</f>
        <v>0</v>
      </c>
      <c r="X16">
        <f>IF(Y16=100,100,16)</f>
        <v>16</v>
      </c>
      <c r="Y16">
        <f t="shared" si="2"/>
        <v>34</v>
      </c>
      <c r="Z16">
        <f t="shared" si="0"/>
        <v>12</v>
      </c>
      <c r="AA16">
        <f t="shared" si="1"/>
        <v>0</v>
      </c>
    </row>
    <row r="17" spans="1:27" x14ac:dyDescent="0.25">
      <c r="F17" s="112" t="s">
        <v>266</v>
      </c>
      <c r="H17" t="str">
        <f>IF(F11&lt;I17,"SI",  frontti!H25)</f>
        <v>SI</v>
      </c>
      <c r="I17" s="112">
        <v>40421</v>
      </c>
      <c r="X17">
        <f>IF(Y17=100,100,17)</f>
        <v>17</v>
      </c>
      <c r="Y17">
        <f t="shared" si="2"/>
        <v>0</v>
      </c>
      <c r="Z17">
        <f t="shared" si="0"/>
        <v>0</v>
      </c>
      <c r="AA17">
        <f t="shared" si="1"/>
        <v>0</v>
      </c>
    </row>
    <row r="18" spans="1:27" x14ac:dyDescent="0.25">
      <c r="F18" s="112"/>
    </row>
    <row r="19" spans="1:27" x14ac:dyDescent="0.25">
      <c r="E19" t="s">
        <v>297</v>
      </c>
      <c r="F19" s="112"/>
      <c r="H19">
        <v>0</v>
      </c>
      <c r="I19" t="s">
        <v>296</v>
      </c>
      <c r="J19" s="112">
        <v>0</v>
      </c>
    </row>
    <row r="20" spans="1:27" x14ac:dyDescent="0.25">
      <c r="F20" s="112"/>
      <c r="W20">
        <f ca="1">$H$11+Y20</f>
        <v>2</v>
      </c>
      <c r="X20">
        <f>MIN(X11:X16)</f>
        <v>11</v>
      </c>
      <c r="Y20">
        <f t="shared" ref="Y20:Y27" ca="1" si="3">INDIRECT(CONCATENATE("y",X20))</f>
        <v>2</v>
      </c>
      <c r="Z20">
        <f ca="1">INDIRECT(CONCATENATE("z",X20))</f>
        <v>12</v>
      </c>
      <c r="AA20">
        <f ca="1">INDIRECT(CONCATENATE("aa",X20))</f>
        <v>0</v>
      </c>
    </row>
    <row r="21" spans="1:27" x14ac:dyDescent="0.25">
      <c r="F21" s="112"/>
      <c r="W21">
        <f t="shared" ref="W21:W27" ca="1" si="4">$H$11+Y21</f>
        <v>8</v>
      </c>
      <c r="X21">
        <f xml:space="preserve"> IF( X20+1&gt;16,1,X20+1)</f>
        <v>12</v>
      </c>
      <c r="Y21">
        <f t="shared" ca="1" si="3"/>
        <v>8</v>
      </c>
      <c r="Z21">
        <f t="shared" ref="Z21:Z27" ca="1" si="5">INDIRECT(CONCATENATE("z",X21))</f>
        <v>12</v>
      </c>
      <c r="AA21">
        <f t="shared" ref="AA21:AA27" ca="1" si="6">INDIRECT(CONCATENATE("aa",X21))</f>
        <v>0</v>
      </c>
    </row>
    <row r="22" spans="1:27" x14ac:dyDescent="0.25">
      <c r="O22" t="s">
        <v>102</v>
      </c>
      <c r="W22">
        <f t="shared" ca="1" si="4"/>
        <v>14</v>
      </c>
      <c r="X22">
        <f t="shared" ref="X22:X27" si="7" xml:space="preserve"> IF( X21+1&gt;16,1,X21+1)</f>
        <v>13</v>
      </c>
      <c r="Y22">
        <f t="shared" ca="1" si="3"/>
        <v>14</v>
      </c>
      <c r="Z22">
        <f t="shared" ca="1" si="5"/>
        <v>12</v>
      </c>
      <c r="AA22">
        <f t="shared" ca="1" si="6"/>
        <v>0</v>
      </c>
    </row>
    <row r="23" spans="1:27" x14ac:dyDescent="0.25">
      <c r="O23" s="237" t="s">
        <v>96</v>
      </c>
      <c r="S23">
        <v>3</v>
      </c>
      <c r="T23">
        <f t="shared" ref="T23:T28" ca="1" si="8">VLOOKUP(S23,$W$20:$AA$27,3)</f>
        <v>2</v>
      </c>
      <c r="U23">
        <f t="shared" ref="U23:U28" ca="1" si="9">VLOOKUP(S23,$W$20:$AA$27,4)</f>
        <v>12</v>
      </c>
      <c r="V23">
        <f t="shared" ref="V23:V28" ca="1" si="10">VLOOKUP(S23,$W$20:$AA$27,5)</f>
        <v>0</v>
      </c>
      <c r="W23">
        <f t="shared" ca="1" si="4"/>
        <v>20</v>
      </c>
      <c r="X23">
        <f t="shared" si="7"/>
        <v>14</v>
      </c>
      <c r="Y23">
        <f t="shared" ca="1" si="3"/>
        <v>20</v>
      </c>
      <c r="Z23">
        <f t="shared" ca="1" si="5"/>
        <v>12</v>
      </c>
      <c r="AA23">
        <f t="shared" ca="1" si="6"/>
        <v>0</v>
      </c>
    </row>
    <row r="24" spans="1:27" x14ac:dyDescent="0.25">
      <c r="F24" s="289" t="s">
        <v>271</v>
      </c>
      <c r="G24" s="289" t="s">
        <v>273</v>
      </c>
      <c r="H24" s="289" t="s">
        <v>272</v>
      </c>
      <c r="O24" t="s">
        <v>97</v>
      </c>
      <c r="S24">
        <v>9</v>
      </c>
      <c r="T24">
        <f t="shared" ca="1" si="8"/>
        <v>8</v>
      </c>
      <c r="U24">
        <f t="shared" ca="1" si="9"/>
        <v>12</v>
      </c>
      <c r="V24">
        <f t="shared" ca="1" si="10"/>
        <v>0</v>
      </c>
      <c r="W24">
        <f t="shared" ca="1" si="4"/>
        <v>27</v>
      </c>
      <c r="X24">
        <f t="shared" si="7"/>
        <v>15</v>
      </c>
      <c r="Y24">
        <f t="shared" ca="1" si="3"/>
        <v>27</v>
      </c>
      <c r="Z24">
        <f t="shared" ca="1" si="5"/>
        <v>12</v>
      </c>
      <c r="AA24">
        <f t="shared" ca="1" si="6"/>
        <v>0</v>
      </c>
    </row>
    <row r="25" spans="1:27" x14ac:dyDescent="0.25">
      <c r="A25" s="112">
        <v>36770</v>
      </c>
      <c r="B25">
        <v>3</v>
      </c>
      <c r="F25" s="289"/>
      <c r="G25" s="289">
        <f ca="1">S152</f>
        <v>0</v>
      </c>
      <c r="H25" s="290">
        <f t="shared" ref="H25:H31" ca="1" si="11">T152</f>
        <v>43344</v>
      </c>
      <c r="O25" t="s">
        <v>98</v>
      </c>
      <c r="S25">
        <v>15</v>
      </c>
      <c r="T25">
        <f t="shared" ca="1" si="8"/>
        <v>14</v>
      </c>
      <c r="U25">
        <f t="shared" ca="1" si="9"/>
        <v>12</v>
      </c>
      <c r="V25">
        <f t="shared" ca="1" si="10"/>
        <v>0</v>
      </c>
      <c r="W25">
        <f t="shared" ca="1" si="4"/>
        <v>34</v>
      </c>
      <c r="X25">
        <f t="shared" si="7"/>
        <v>16</v>
      </c>
      <c r="Y25">
        <f t="shared" ca="1" si="3"/>
        <v>34</v>
      </c>
      <c r="Z25">
        <f t="shared" ca="1" si="5"/>
        <v>12</v>
      </c>
      <c r="AA25">
        <f t="shared" ca="1" si="6"/>
        <v>0</v>
      </c>
    </row>
    <row r="26" spans="1:27" x14ac:dyDescent="0.25">
      <c r="A26" s="112">
        <v>40422</v>
      </c>
      <c r="B26">
        <v>13</v>
      </c>
      <c r="F26" s="289"/>
      <c r="G26" s="289">
        <f t="shared" ref="G26:G31" ca="1" si="12">S153</f>
        <v>3</v>
      </c>
      <c r="H26" s="290">
        <f t="shared" ca="1" si="11"/>
        <v>44440</v>
      </c>
      <c r="O26" t="s">
        <v>99</v>
      </c>
      <c r="S26">
        <v>21</v>
      </c>
      <c r="T26">
        <f t="shared" ca="1" si="8"/>
        <v>20</v>
      </c>
      <c r="U26">
        <f t="shared" ca="1" si="9"/>
        <v>12</v>
      </c>
      <c r="V26">
        <f t="shared" ca="1" si="10"/>
        <v>0</v>
      </c>
      <c r="W26">
        <f t="shared" ca="1" si="4"/>
        <v>100</v>
      </c>
      <c r="X26">
        <f t="shared" si="7"/>
        <v>1</v>
      </c>
      <c r="Y26">
        <f t="shared" ca="1" si="3"/>
        <v>100</v>
      </c>
      <c r="Z26">
        <f t="shared" ca="1" si="5"/>
        <v>100</v>
      </c>
      <c r="AA26">
        <f t="shared" ca="1" si="6"/>
        <v>100</v>
      </c>
    </row>
    <row r="27" spans="1:27" x14ac:dyDescent="0.25">
      <c r="A27" s="112">
        <v>41883</v>
      </c>
      <c r="B27">
        <v>17</v>
      </c>
      <c r="C27">
        <v>3</v>
      </c>
      <c r="F27" s="289"/>
      <c r="G27" s="289">
        <f t="shared" ca="1" si="12"/>
        <v>9</v>
      </c>
      <c r="H27" s="290">
        <f t="shared" ca="1" si="11"/>
        <v>46631</v>
      </c>
      <c r="O27" t="s">
        <v>100</v>
      </c>
      <c r="R27">
        <f>frontti!R27</f>
        <v>0</v>
      </c>
      <c r="S27">
        <v>28</v>
      </c>
      <c r="T27">
        <f t="shared" ca="1" si="8"/>
        <v>27</v>
      </c>
      <c r="U27">
        <f t="shared" ca="1" si="9"/>
        <v>12</v>
      </c>
      <c r="V27">
        <f t="shared" ca="1" si="10"/>
        <v>0</v>
      </c>
      <c r="W27">
        <f t="shared" ca="1" si="4"/>
        <v>100</v>
      </c>
      <c r="X27">
        <f t="shared" si="7"/>
        <v>2</v>
      </c>
      <c r="Y27">
        <f t="shared" ca="1" si="3"/>
        <v>100</v>
      </c>
      <c r="Z27">
        <f t="shared" ca="1" si="5"/>
        <v>100</v>
      </c>
      <c r="AA27">
        <f t="shared" ca="1" si="6"/>
        <v>100</v>
      </c>
    </row>
    <row r="28" spans="1:27" x14ac:dyDescent="0.25">
      <c r="A28" s="112">
        <v>42156</v>
      </c>
      <c r="B28">
        <v>18</v>
      </c>
      <c r="F28" s="289"/>
      <c r="G28" s="289">
        <f t="shared" ca="1" si="12"/>
        <v>15</v>
      </c>
      <c r="H28" s="290">
        <f t="shared" ca="1" si="11"/>
        <v>48823</v>
      </c>
      <c r="O28" t="s">
        <v>101</v>
      </c>
      <c r="S28">
        <v>35</v>
      </c>
      <c r="T28">
        <f t="shared" ca="1" si="8"/>
        <v>34</v>
      </c>
      <c r="U28">
        <f t="shared" ca="1" si="9"/>
        <v>12</v>
      </c>
      <c r="V28">
        <f t="shared" ca="1" si="10"/>
        <v>0</v>
      </c>
    </row>
    <row r="29" spans="1:27" x14ac:dyDescent="0.25">
      <c r="F29" s="290"/>
      <c r="G29" s="289">
        <f t="shared" ca="1" si="12"/>
        <v>21</v>
      </c>
      <c r="H29" s="290">
        <f t="shared" ca="1" si="11"/>
        <v>51014</v>
      </c>
    </row>
    <row r="30" spans="1:27" x14ac:dyDescent="0.25">
      <c r="F30" s="290"/>
      <c r="G30" s="289">
        <f t="shared" ca="1" si="12"/>
        <v>28</v>
      </c>
      <c r="H30" s="290">
        <f t="shared" ca="1" si="11"/>
        <v>53571</v>
      </c>
      <c r="M30" t="s">
        <v>104</v>
      </c>
    </row>
    <row r="31" spans="1:27" x14ac:dyDescent="0.25">
      <c r="F31" s="290"/>
      <c r="G31" s="289">
        <f t="shared" ca="1" si="12"/>
        <v>35</v>
      </c>
      <c r="H31" s="290">
        <f t="shared" ca="1" si="11"/>
        <v>56128</v>
      </c>
      <c r="L31" s="243">
        <v>2013</v>
      </c>
      <c r="M31" s="112">
        <v>41640</v>
      </c>
      <c r="N31" s="112"/>
      <c r="O31" s="112">
        <f>IF(YEAR(F11)=L31,M31,F11)</f>
        <v>43344</v>
      </c>
    </row>
    <row r="32" spans="1:27" x14ac:dyDescent="0.25">
      <c r="F32" s="296"/>
      <c r="G32" s="295" t="str">
        <f ca="1">S147</f>
        <v/>
      </c>
      <c r="H32" s="296" t="str">
        <f ca="1">T147</f>
        <v/>
      </c>
      <c r="R32" s="112">
        <f>O31*1</f>
        <v>43344</v>
      </c>
      <c r="T32" s="238">
        <f ca="1">YEAR(R32)+T23</f>
        <v>2020</v>
      </c>
      <c r="U32" s="238">
        <f ca="1">MONTH(R32)+U23</f>
        <v>21</v>
      </c>
      <c r="V32" s="238">
        <f t="shared" ref="V32:V39" ca="1" si="13">DAY(R32)+V23</f>
        <v>1</v>
      </c>
    </row>
    <row r="33" spans="1:22" x14ac:dyDescent="0.25">
      <c r="F33" s="295"/>
      <c r="G33" s="295"/>
      <c r="H33" s="296"/>
      <c r="R33" s="112">
        <f>R32</f>
        <v>43344</v>
      </c>
      <c r="T33" s="238">
        <f t="shared" ref="T33:T39" ca="1" si="14">YEAR(R33)+T24</f>
        <v>2026</v>
      </c>
      <c r="U33" s="238">
        <f t="shared" ref="U33:U39" ca="1" si="15">MONTH(R33)+U24</f>
        <v>21</v>
      </c>
      <c r="V33" s="238">
        <f t="shared" ca="1" si="13"/>
        <v>1</v>
      </c>
    </row>
    <row r="34" spans="1:22" x14ac:dyDescent="0.25">
      <c r="R34" s="112">
        <f t="shared" ref="R34:R39" si="16">R33</f>
        <v>43344</v>
      </c>
      <c r="T34" s="238">
        <f t="shared" ca="1" si="14"/>
        <v>2032</v>
      </c>
      <c r="U34" s="238">
        <f t="shared" ca="1" si="15"/>
        <v>21</v>
      </c>
      <c r="V34" s="238">
        <f t="shared" ca="1" si="13"/>
        <v>1</v>
      </c>
    </row>
    <row r="35" spans="1:22" x14ac:dyDescent="0.25">
      <c r="R35" s="112">
        <f t="shared" si="16"/>
        <v>43344</v>
      </c>
      <c r="T35" s="238">
        <f t="shared" ca="1" si="14"/>
        <v>2038</v>
      </c>
      <c r="U35" s="238">
        <f t="shared" ca="1" si="15"/>
        <v>21</v>
      </c>
      <c r="V35" s="238">
        <f t="shared" ca="1" si="13"/>
        <v>1</v>
      </c>
    </row>
    <row r="36" spans="1:22" x14ac:dyDescent="0.25">
      <c r="J36" s="112"/>
      <c r="R36" s="112">
        <f t="shared" si="16"/>
        <v>43344</v>
      </c>
      <c r="T36" s="238">
        <f t="shared" ca="1" si="14"/>
        <v>2045</v>
      </c>
      <c r="U36" s="238">
        <f t="shared" ca="1" si="15"/>
        <v>21</v>
      </c>
      <c r="V36" s="238">
        <f t="shared" ca="1" si="13"/>
        <v>1</v>
      </c>
    </row>
    <row r="37" spans="1:22" x14ac:dyDescent="0.25">
      <c r="A37" s="276" t="s">
        <v>406</v>
      </c>
      <c r="B37" s="239"/>
      <c r="C37" s="239"/>
      <c r="D37" s="239"/>
      <c r="E37" s="112"/>
      <c r="F37" s="295" t="s">
        <v>276</v>
      </c>
      <c r="G37" s="295" t="s">
        <v>269</v>
      </c>
      <c r="H37" s="295" t="s">
        <v>272</v>
      </c>
      <c r="R37" s="112">
        <f t="shared" si="16"/>
        <v>43344</v>
      </c>
      <c r="T37" s="238">
        <f t="shared" ca="1" si="14"/>
        <v>2052</v>
      </c>
      <c r="U37" s="238">
        <f t="shared" ca="1" si="15"/>
        <v>21</v>
      </c>
      <c r="V37" s="238">
        <f t="shared" ca="1" si="13"/>
        <v>1</v>
      </c>
    </row>
    <row r="38" spans="1:22" x14ac:dyDescent="0.25">
      <c r="A38" s="239">
        <v>0</v>
      </c>
      <c r="B38" s="240">
        <f ca="1">H38</f>
        <v>43344</v>
      </c>
      <c r="C38" s="239"/>
      <c r="D38" s="240"/>
      <c r="E38" s="112"/>
      <c r="F38" s="295"/>
      <c r="G38" s="295">
        <f ca="1">IF(frontti!$R$27&lt;&gt;"",frontti!R27,T200)</f>
        <v>0</v>
      </c>
      <c r="H38" s="296">
        <f ca="1" xml:space="preserve"> IF(frontti!$R$27&lt;&gt;"",frontti!S27,         U200)</f>
        <v>43344</v>
      </c>
      <c r="I38">
        <f ca="1">G38</f>
        <v>0</v>
      </c>
      <c r="R38" s="112">
        <f t="shared" si="16"/>
        <v>43344</v>
      </c>
      <c r="T38" s="238">
        <f t="shared" si="14"/>
        <v>2018</v>
      </c>
      <c r="U38" s="238">
        <f t="shared" si="15"/>
        <v>9</v>
      </c>
      <c r="V38" s="238">
        <f t="shared" si="13"/>
        <v>1</v>
      </c>
    </row>
    <row r="39" spans="1:22" x14ac:dyDescent="0.25">
      <c r="A39" s="239">
        <f ca="1">VLOOKUP(B39,$H$38:$I$44,2)</f>
        <v>0</v>
      </c>
      <c r="B39" s="240">
        <f ca="1">DATE(YEAR(B38)+1,MONTH(B38),DAY(B38))</f>
        <v>43709</v>
      </c>
      <c r="C39" s="239"/>
      <c r="D39" s="240"/>
      <c r="E39" s="112"/>
      <c r="F39" s="295"/>
      <c r="G39" s="295">
        <f ca="1">IF(frontti!$R$27&lt;&gt;"",frontti!R28,T201)</f>
        <v>3</v>
      </c>
      <c r="H39" s="296">
        <f ca="1" xml:space="preserve"> IF(frontti!$R$27&lt;&gt;"",frontti!S28,         U201)</f>
        <v>44440</v>
      </c>
      <c r="I39">
        <f t="shared" ref="I39:I44" ca="1" si="17">G39</f>
        <v>3</v>
      </c>
      <c r="R39" s="112">
        <f t="shared" si="16"/>
        <v>43344</v>
      </c>
      <c r="T39" s="238">
        <f t="shared" si="14"/>
        <v>2018</v>
      </c>
      <c r="U39" s="238">
        <f t="shared" si="15"/>
        <v>9</v>
      </c>
      <c r="V39" s="238">
        <f t="shared" si="13"/>
        <v>1</v>
      </c>
    </row>
    <row r="40" spans="1:22" x14ac:dyDescent="0.25">
      <c r="A40" s="239">
        <f t="shared" ref="A40:A45" ca="1" si="18">VLOOKUP(B40,$H$38:$I$44,2)</f>
        <v>3</v>
      </c>
      <c r="B40" s="240">
        <f ca="1">H39</f>
        <v>44440</v>
      </c>
      <c r="C40" s="239"/>
      <c r="D40" s="239"/>
      <c r="E40" s="112"/>
      <c r="F40" s="295"/>
      <c r="G40" s="295">
        <f ca="1">IF(frontti!$R$27&lt;&gt;"",frontti!R29,T202)</f>
        <v>9</v>
      </c>
      <c r="H40" s="296">
        <f ca="1" xml:space="preserve"> IF(frontti!$R$27&lt;&gt;"",frontti!S29,         U202)</f>
        <v>46631</v>
      </c>
      <c r="I40">
        <f t="shared" ca="1" si="17"/>
        <v>9</v>
      </c>
    </row>
    <row r="41" spans="1:22" x14ac:dyDescent="0.25">
      <c r="A41" s="239">
        <f t="shared" ca="1" si="18"/>
        <v>9</v>
      </c>
      <c r="B41" s="240">
        <f t="shared" ref="B41:B45" ca="1" si="19">H40</f>
        <v>46631</v>
      </c>
      <c r="C41" s="239"/>
      <c r="D41" s="239"/>
      <c r="E41" s="112"/>
      <c r="F41" s="295"/>
      <c r="G41" s="295">
        <f ca="1">IF(frontti!$R$27&lt;&gt;"",frontti!R30,T203)</f>
        <v>15</v>
      </c>
      <c r="H41" s="296">
        <f ca="1" xml:space="preserve"> IF(frontti!$R$27&lt;&gt;"",frontti!S30,         U203)</f>
        <v>48823</v>
      </c>
      <c r="I41">
        <f t="shared" ca="1" si="17"/>
        <v>15</v>
      </c>
      <c r="M41">
        <f ca="1">IF(T41=L31,1,0)</f>
        <v>0</v>
      </c>
      <c r="N41">
        <f ca="1">IF(AND(YEAR(F11)&lt;L31,T41&gt;L31),1,0)</f>
        <v>0</v>
      </c>
      <c r="S41">
        <v>3</v>
      </c>
      <c r="T41" s="238">
        <f ca="1">IF(U32&gt;11,T32+1,T32)</f>
        <v>2021</v>
      </c>
      <c r="U41" s="238">
        <f ca="1">IF(U32&gt;11,U32-12,U32)</f>
        <v>9</v>
      </c>
      <c r="V41" s="238">
        <f ca="1">V32</f>
        <v>1</v>
      </c>
    </row>
    <row r="42" spans="1:22" x14ac:dyDescent="0.25">
      <c r="A42" s="239">
        <f t="shared" ca="1" si="18"/>
        <v>15</v>
      </c>
      <c r="B42" s="240">
        <f t="shared" ca="1" si="19"/>
        <v>48823</v>
      </c>
      <c r="C42" s="239"/>
      <c r="D42" s="239"/>
      <c r="E42" s="112"/>
      <c r="F42" s="295"/>
      <c r="G42" s="295">
        <f ca="1">IF(frontti!$R$27&lt;&gt;"",frontti!R31,T204)</f>
        <v>21</v>
      </c>
      <c r="H42" s="296">
        <f ca="1" xml:space="preserve"> IF(frontti!$R$27&lt;&gt;"",frontti!S31,         U204)</f>
        <v>51014</v>
      </c>
      <c r="I42">
        <f t="shared" ca="1" si="17"/>
        <v>21</v>
      </c>
      <c r="M42">
        <f ca="1">IF(T42&gt;=L31,1,M41)*N42*O42</f>
        <v>0</v>
      </c>
      <c r="N42">
        <f>IF(YEAR(F11)=L31,0,1)</f>
        <v>1</v>
      </c>
      <c r="O42">
        <f>IF(YEAR(F11)&gt;L31,0,1)</f>
        <v>0</v>
      </c>
      <c r="S42">
        <v>9</v>
      </c>
      <c r="T42" s="238">
        <f t="shared" ref="T42:T48" ca="1" si="20">IF(U33&gt;11,T33+1,T33)</f>
        <v>2027</v>
      </c>
      <c r="U42" s="238">
        <f t="shared" ref="U42:U48" ca="1" si="21">IF(U33&gt;11,U33-12,U33)</f>
        <v>9</v>
      </c>
      <c r="V42" s="238">
        <f t="shared" ref="V42:V48" ca="1" si="22">V33</f>
        <v>1</v>
      </c>
    </row>
    <row r="43" spans="1:22" x14ac:dyDescent="0.25">
      <c r="A43" s="239">
        <f t="shared" ca="1" si="18"/>
        <v>21</v>
      </c>
      <c r="B43" s="240">
        <f t="shared" ca="1" si="19"/>
        <v>51014</v>
      </c>
      <c r="C43" s="239"/>
      <c r="D43" s="239"/>
      <c r="E43" s="112"/>
      <c r="F43" s="295"/>
      <c r="G43" s="295">
        <f ca="1">IF(frontti!$R$27&lt;&gt;"",frontti!R32,T205)</f>
        <v>28</v>
      </c>
      <c r="H43" s="296">
        <f ca="1" xml:space="preserve"> IF(frontti!$R$27&lt;&gt;"",frontti!S32,         U205)</f>
        <v>53571</v>
      </c>
      <c r="I43">
        <f t="shared" ca="1" si="17"/>
        <v>28</v>
      </c>
      <c r="M43">
        <f ca="1">IF(T43&gt;=L31,1,M42)*N43*O43</f>
        <v>0</v>
      </c>
      <c r="N43">
        <f t="shared" ref="N43:O46" si="23">N42</f>
        <v>1</v>
      </c>
      <c r="O43">
        <f t="shared" si="23"/>
        <v>0</v>
      </c>
      <c r="S43">
        <v>15</v>
      </c>
      <c r="T43" s="238">
        <f t="shared" ca="1" si="20"/>
        <v>2033</v>
      </c>
      <c r="U43" s="238">
        <f t="shared" ca="1" si="21"/>
        <v>9</v>
      </c>
      <c r="V43" s="238">
        <f t="shared" ca="1" si="22"/>
        <v>1</v>
      </c>
    </row>
    <row r="44" spans="1:22" x14ac:dyDescent="0.25">
      <c r="A44" s="239">
        <f t="shared" ca="1" si="18"/>
        <v>35</v>
      </c>
      <c r="B44" s="240">
        <f t="shared" ca="1" si="19"/>
        <v>53571</v>
      </c>
      <c r="C44" s="239"/>
      <c r="D44" s="239"/>
      <c r="F44" s="295"/>
      <c r="G44" s="295">
        <f ca="1">IF(frontti!$R$27&lt;&gt;"",frontti!R33,T206)</f>
        <v>35</v>
      </c>
      <c r="H44" s="296">
        <f ca="1" xml:space="preserve"> IF(frontti!$R$27&lt;&gt;"",frontti!S33,         U206)</f>
        <v>53571</v>
      </c>
      <c r="I44">
        <f t="shared" ca="1" si="17"/>
        <v>35</v>
      </c>
      <c r="M44">
        <f ca="1">IF(T44&gt;=L31,1,M43)*N44*O44</f>
        <v>0</v>
      </c>
      <c r="N44">
        <f t="shared" si="23"/>
        <v>1</v>
      </c>
      <c r="O44">
        <f t="shared" si="23"/>
        <v>0</v>
      </c>
      <c r="S44">
        <v>21</v>
      </c>
      <c r="T44" s="238">
        <f t="shared" ca="1" si="20"/>
        <v>2039</v>
      </c>
      <c r="U44" s="238">
        <f t="shared" ca="1" si="21"/>
        <v>9</v>
      </c>
      <c r="V44" s="238">
        <f t="shared" ca="1" si="22"/>
        <v>1</v>
      </c>
    </row>
    <row r="45" spans="1:22" x14ac:dyDescent="0.25">
      <c r="A45" s="239">
        <f t="shared" ca="1" si="18"/>
        <v>35</v>
      </c>
      <c r="B45" s="240">
        <f t="shared" ca="1" si="19"/>
        <v>53571</v>
      </c>
      <c r="C45" s="239"/>
      <c r="D45" s="239"/>
      <c r="M45">
        <f ca="1">IF(T45&gt;=L31,1,M44)*N45*O45</f>
        <v>0</v>
      </c>
      <c r="N45">
        <f t="shared" si="23"/>
        <v>1</v>
      </c>
      <c r="O45">
        <f t="shared" si="23"/>
        <v>0</v>
      </c>
      <c r="S45">
        <v>28</v>
      </c>
      <c r="T45" s="238">
        <f t="shared" ca="1" si="20"/>
        <v>2046</v>
      </c>
      <c r="U45" s="238">
        <f t="shared" ca="1" si="21"/>
        <v>9</v>
      </c>
      <c r="V45" s="238">
        <f t="shared" ca="1" si="22"/>
        <v>1</v>
      </c>
    </row>
    <row r="46" spans="1:22" ht="15.75" thickBot="1" x14ac:dyDescent="0.3">
      <c r="M46">
        <f ca="1">IF(T46&gt;=L31,1,M45)*N46*O46</f>
        <v>0</v>
      </c>
      <c r="N46">
        <f t="shared" si="23"/>
        <v>1</v>
      </c>
      <c r="O46">
        <f t="shared" si="23"/>
        <v>0</v>
      </c>
      <c r="S46">
        <v>35</v>
      </c>
      <c r="T46" s="238">
        <f t="shared" ca="1" si="20"/>
        <v>2053</v>
      </c>
      <c r="U46" s="238">
        <f t="shared" ca="1" si="21"/>
        <v>9</v>
      </c>
      <c r="V46" s="238">
        <f t="shared" ca="1" si="22"/>
        <v>1</v>
      </c>
    </row>
    <row r="47" spans="1:22" x14ac:dyDescent="0.25">
      <c r="D47" s="250"/>
      <c r="E47" s="251"/>
      <c r="F47" s="251"/>
      <c r="G47" s="251"/>
      <c r="H47" s="251"/>
      <c r="I47" s="251"/>
      <c r="J47" s="252"/>
      <c r="T47" s="238">
        <f t="shared" si="20"/>
        <v>2018</v>
      </c>
      <c r="U47" s="238">
        <f t="shared" si="21"/>
        <v>9</v>
      </c>
      <c r="V47" s="238">
        <f t="shared" si="22"/>
        <v>1</v>
      </c>
    </row>
    <row r="48" spans="1:22" x14ac:dyDescent="0.25">
      <c r="D48" s="253"/>
      <c r="J48" s="254"/>
      <c r="T48" s="238">
        <f t="shared" si="20"/>
        <v>2018</v>
      </c>
      <c r="U48" s="238">
        <f t="shared" si="21"/>
        <v>9</v>
      </c>
      <c r="V48" s="238">
        <f t="shared" si="22"/>
        <v>1</v>
      </c>
    </row>
    <row r="49" spans="4:20" x14ac:dyDescent="0.25">
      <c r="D49" s="253"/>
      <c r="G49" t="s">
        <v>108</v>
      </c>
      <c r="H49" t="s">
        <v>109</v>
      </c>
      <c r="I49" t="s">
        <v>107</v>
      </c>
      <c r="J49" s="254"/>
      <c r="L49">
        <f ca="1">ABS(G89-H41)</f>
        <v>2191</v>
      </c>
    </row>
    <row r="50" spans="4:20" x14ac:dyDescent="0.25">
      <c r="D50" s="253"/>
      <c r="E50">
        <v>30</v>
      </c>
      <c r="F50" t="s">
        <v>330</v>
      </c>
      <c r="G50">
        <f>H12</f>
        <v>0</v>
      </c>
      <c r="H50">
        <f>I12</f>
        <v>0</v>
      </c>
      <c r="I50">
        <f>J12</f>
        <v>0</v>
      </c>
      <c r="J50" s="254"/>
    </row>
    <row r="51" spans="4:20" x14ac:dyDescent="0.25">
      <c r="D51" s="253"/>
      <c r="J51" s="254"/>
      <c r="S51" s="241">
        <v>3</v>
      </c>
      <c r="T51" s="242">
        <f ca="1">DATE(T41+M41+N41,U41,V41)</f>
        <v>44440</v>
      </c>
    </row>
    <row r="52" spans="4:20" x14ac:dyDescent="0.25">
      <c r="D52" s="253"/>
      <c r="G52">
        <f>K11-1</f>
        <v>15</v>
      </c>
      <c r="H52">
        <v>11</v>
      </c>
      <c r="I52">
        <v>30</v>
      </c>
      <c r="J52" s="254"/>
      <c r="O52">
        <f>IF(YEAR(R39)&lt;2013,365,0)</f>
        <v>0</v>
      </c>
      <c r="S52" s="241">
        <v>9</v>
      </c>
      <c r="T52" s="242">
        <f ca="1">DATE(T42+M42,U42,V42)</f>
        <v>46631</v>
      </c>
    </row>
    <row r="53" spans="4:20" x14ac:dyDescent="0.25">
      <c r="D53" s="253"/>
      <c r="G53">
        <f>G52-G50</f>
        <v>15</v>
      </c>
      <c r="H53">
        <f>H52-H50</f>
        <v>11</v>
      </c>
      <c r="I53">
        <f>I52-I50</f>
        <v>30</v>
      </c>
      <c r="J53" s="254"/>
      <c r="N53" s="112">
        <v>41639</v>
      </c>
      <c r="O53">
        <f>IF(YEAR(R37)=2013,_xlfn.DAYS(N53,R37),0)</f>
        <v>0</v>
      </c>
      <c r="S53" s="241">
        <v>15</v>
      </c>
      <c r="T53" s="242">
        <f ca="1">DATE(T43+M43,U43,V43)</f>
        <v>48823</v>
      </c>
    </row>
    <row r="54" spans="4:20" x14ac:dyDescent="0.25">
      <c r="D54" s="253"/>
      <c r="G54">
        <f>G53</f>
        <v>15</v>
      </c>
      <c r="H54">
        <f>IF(I53=30,H53+1,H53)</f>
        <v>12</v>
      </c>
      <c r="I54">
        <f>IF(I53=30,0,I53)</f>
        <v>0</v>
      </c>
      <c r="J54" s="254"/>
      <c r="O54">
        <f>IF(YEAR(R36)&gt;2013,0,0)</f>
        <v>0</v>
      </c>
      <c r="S54" s="241">
        <v>21</v>
      </c>
      <c r="T54" s="242">
        <f ca="1">DATE(T44+M44,U44,V44)</f>
        <v>51014</v>
      </c>
    </row>
    <row r="55" spans="4:20" x14ac:dyDescent="0.25">
      <c r="D55" s="253"/>
      <c r="G55">
        <f>IF(H54=12,G54+1,G54)</f>
        <v>16</v>
      </c>
      <c r="H55">
        <f>IF(H54=12,0,H54)</f>
        <v>0</v>
      </c>
      <c r="I55">
        <f>I54</f>
        <v>0</v>
      </c>
      <c r="J55" s="254"/>
      <c r="S55" s="241">
        <v>28</v>
      </c>
      <c r="T55" s="242">
        <f ca="1">DATE(T45+M45,U45,V45)</f>
        <v>53571</v>
      </c>
    </row>
    <row r="56" spans="4:20" x14ac:dyDescent="0.25">
      <c r="D56" s="253"/>
      <c r="J56" s="254"/>
      <c r="S56" s="241">
        <v>35</v>
      </c>
      <c r="T56" s="242">
        <f ca="1">DATE(T46+M46,U46,V46)</f>
        <v>56128</v>
      </c>
    </row>
    <row r="57" spans="4:20" x14ac:dyDescent="0.25">
      <c r="D57" s="253"/>
      <c r="J57" s="254"/>
      <c r="T57" s="112" t="str">
        <f ca="1">IF(T47&gt;T46,DATE(T47,U47,V47),"")</f>
        <v/>
      </c>
    </row>
    <row r="58" spans="4:20" x14ac:dyDescent="0.25">
      <c r="D58" s="253">
        <f>L31</f>
        <v>2013</v>
      </c>
      <c r="F58" t="s">
        <v>331</v>
      </c>
      <c r="G58" s="238">
        <f>IF(YEAR(F11)=L31,YEAR(M31),YEAR(F11))</f>
        <v>2018</v>
      </c>
      <c r="H58">
        <f xml:space="preserve">   IF(YEAR(F11)=L31,MONTH(M31),          MONTH(F11))</f>
        <v>9</v>
      </c>
      <c r="I58">
        <f xml:space="preserve">    IF(YEAR(F11)=L31,DAY(M31),      DAY(F11))</f>
        <v>1</v>
      </c>
      <c r="J58" s="254"/>
    </row>
    <row r="59" spans="4:20" x14ac:dyDescent="0.25">
      <c r="D59" s="253">
        <f>IF(AND(G58&lt;D58,G60&gt;D58),1,0)</f>
        <v>0</v>
      </c>
      <c r="J59" s="254"/>
      <c r="R59" s="243"/>
      <c r="S59" s="241">
        <f t="shared" ref="S59:S64" si="24">S51</f>
        <v>3</v>
      </c>
      <c r="T59" s="242">
        <f t="shared" ref="T59:T64" ca="1" si="25">IF(YEAR(T51)=$L$31,$M$31,T51)</f>
        <v>44440</v>
      </c>
    </row>
    <row r="60" spans="4:20" x14ac:dyDescent="0.25">
      <c r="D60" s="253"/>
      <c r="G60">
        <f>G58+G55</f>
        <v>2034</v>
      </c>
      <c r="H60">
        <f>H58+H55</f>
        <v>9</v>
      </c>
      <c r="I60">
        <f>I58+I55</f>
        <v>1</v>
      </c>
      <c r="J60" s="254"/>
      <c r="R60" s="243"/>
      <c r="S60" s="241">
        <f t="shared" si="24"/>
        <v>9</v>
      </c>
      <c r="T60" s="242">
        <f t="shared" ca="1" si="25"/>
        <v>46631</v>
      </c>
    </row>
    <row r="61" spans="4:20" x14ac:dyDescent="0.25">
      <c r="D61" s="253"/>
      <c r="G61">
        <f>G60</f>
        <v>2034</v>
      </c>
      <c r="H61">
        <f>IF(I60&gt;30,H60+1,H60)</f>
        <v>9</v>
      </c>
      <c r="I61">
        <f>IF(I60&gt;30,I60-30,I60)</f>
        <v>1</v>
      </c>
      <c r="J61" s="254"/>
      <c r="R61" s="243"/>
      <c r="S61" s="241">
        <f t="shared" si="24"/>
        <v>15</v>
      </c>
      <c r="T61" s="242">
        <f t="shared" ca="1" si="25"/>
        <v>48823</v>
      </c>
    </row>
    <row r="62" spans="4:20" x14ac:dyDescent="0.25">
      <c r="D62" s="253"/>
      <c r="G62">
        <f>IF(H61&gt;12,G61+1,G61)</f>
        <v>2034</v>
      </c>
      <c r="H62">
        <f>IF(H61&gt;12,H61-12,H61)</f>
        <v>9</v>
      </c>
      <c r="I62">
        <f>I61</f>
        <v>1</v>
      </c>
      <c r="J62" s="254"/>
      <c r="R62" s="243"/>
      <c r="S62" s="241">
        <f t="shared" si="24"/>
        <v>21</v>
      </c>
      <c r="T62" s="242">
        <f t="shared" ca="1" si="25"/>
        <v>51014</v>
      </c>
    </row>
    <row r="63" spans="4:20" x14ac:dyDescent="0.25">
      <c r="D63" s="253"/>
      <c r="J63" s="254"/>
      <c r="R63" s="243"/>
      <c r="S63" s="241">
        <f t="shared" si="24"/>
        <v>28</v>
      </c>
      <c r="T63" s="242">
        <f t="shared" ca="1" si="25"/>
        <v>53571</v>
      </c>
    </row>
    <row r="64" spans="4:20" x14ac:dyDescent="0.25">
      <c r="D64" s="253"/>
      <c r="J64" s="254"/>
      <c r="R64" s="243"/>
      <c r="S64" s="241">
        <f t="shared" si="24"/>
        <v>35</v>
      </c>
      <c r="T64" s="242">
        <f t="shared" ca="1" si="25"/>
        <v>56128</v>
      </c>
    </row>
    <row r="65" spans="3:20" x14ac:dyDescent="0.25">
      <c r="D65" s="253"/>
      <c r="F65" t="s">
        <v>332</v>
      </c>
      <c r="G65" s="112">
        <f>DATE(G62+D59,H62,I62)</f>
        <v>49188</v>
      </c>
      <c r="J65" s="254"/>
    </row>
    <row r="66" spans="3:20" x14ac:dyDescent="0.25">
      <c r="D66" s="253"/>
      <c r="F66" t="s">
        <v>333</v>
      </c>
      <c r="G66">
        <f>K11+H13</f>
        <v>16</v>
      </c>
      <c r="H66">
        <f>I13</f>
        <v>0</v>
      </c>
      <c r="I66">
        <f>J13</f>
        <v>0</v>
      </c>
      <c r="J66" s="254"/>
    </row>
    <row r="67" spans="3:20" x14ac:dyDescent="0.25">
      <c r="D67" s="253"/>
      <c r="J67" s="254"/>
      <c r="O67">
        <f>30-J11</f>
        <v>30</v>
      </c>
      <c r="P67" s="238">
        <f>IF(  YEAR(O31)&gt;L31,0,                DAY(T59)-O67)</f>
        <v>0</v>
      </c>
      <c r="Q67" s="112">
        <f t="shared" ref="Q67:Q72" ca="1" si="26">DATE(YEAR(T59),MONTH(T59),DAY(T59)-P67)</f>
        <v>44440</v>
      </c>
      <c r="R67" s="112">
        <f t="shared" ref="R67:R72" ca="1" si="27">IF(DAY(Q67)=30,1,Q67)</f>
        <v>44440</v>
      </c>
      <c r="S67" s="239">
        <f t="shared" ref="S67:S72" si="28">S59</f>
        <v>3</v>
      </c>
      <c r="T67" s="240">
        <f t="shared" ref="T67:T72" ca="1" si="29">IF(R67=1,DATE(YEAR(Q67),MONTH(Q67),R67),R67)</f>
        <v>44440</v>
      </c>
    </row>
    <row r="68" spans="3:20" x14ac:dyDescent="0.25">
      <c r="D68" s="253">
        <f>YEAR(G65)</f>
        <v>2034</v>
      </c>
      <c r="J68" s="254"/>
      <c r="O68">
        <f>O67</f>
        <v>30</v>
      </c>
      <c r="P68" s="238">
        <f>P67</f>
        <v>0</v>
      </c>
      <c r="Q68" s="112">
        <f t="shared" ca="1" si="26"/>
        <v>46631</v>
      </c>
      <c r="R68" s="112">
        <f t="shared" ca="1" si="27"/>
        <v>46631</v>
      </c>
      <c r="S68" s="239">
        <f t="shared" si="28"/>
        <v>9</v>
      </c>
      <c r="T68" s="240">
        <f t="shared" ca="1" si="29"/>
        <v>46631</v>
      </c>
    </row>
    <row r="69" spans="3:20" x14ac:dyDescent="0.25">
      <c r="D69" s="253"/>
      <c r="E69" s="112">
        <f>G65</f>
        <v>49188</v>
      </c>
      <c r="J69" s="254"/>
      <c r="O69">
        <f>O67</f>
        <v>30</v>
      </c>
      <c r="P69" s="238">
        <f>P68</f>
        <v>0</v>
      </c>
      <c r="Q69" s="112">
        <f t="shared" ca="1" si="26"/>
        <v>48823</v>
      </c>
      <c r="R69" s="112">
        <f t="shared" ca="1" si="27"/>
        <v>48823</v>
      </c>
      <c r="S69" s="239">
        <f t="shared" si="28"/>
        <v>15</v>
      </c>
      <c r="T69" s="240">
        <f t="shared" ca="1" si="29"/>
        <v>48823</v>
      </c>
    </row>
    <row r="70" spans="3:20" x14ac:dyDescent="0.25">
      <c r="D70" s="253"/>
      <c r="E70" s="112">
        <f>DATE(YEAR(G65)+1,MONTH(G65),DAY(G65))</f>
        <v>49553</v>
      </c>
      <c r="J70" s="254"/>
      <c r="O70">
        <f>O67</f>
        <v>30</v>
      </c>
      <c r="P70" s="238">
        <f>P69</f>
        <v>0</v>
      </c>
      <c r="Q70" s="112">
        <f t="shared" ca="1" si="26"/>
        <v>51014</v>
      </c>
      <c r="R70" s="112">
        <f t="shared" ca="1" si="27"/>
        <v>51014</v>
      </c>
      <c r="S70" s="239">
        <f t="shared" si="28"/>
        <v>21</v>
      </c>
      <c r="T70" s="240">
        <f t="shared" ca="1" si="29"/>
        <v>51014</v>
      </c>
    </row>
    <row r="71" spans="3:20" x14ac:dyDescent="0.25">
      <c r="D71" s="253"/>
      <c r="E71" s="112"/>
      <c r="J71" s="254"/>
      <c r="O71">
        <f>O67</f>
        <v>30</v>
      </c>
      <c r="P71" s="238">
        <f>P70</f>
        <v>0</v>
      </c>
      <c r="Q71" s="112">
        <f t="shared" ca="1" si="26"/>
        <v>53571</v>
      </c>
      <c r="R71" s="112">
        <f t="shared" ca="1" si="27"/>
        <v>53571</v>
      </c>
      <c r="S71" s="239">
        <f t="shared" si="28"/>
        <v>28</v>
      </c>
      <c r="T71" s="240">
        <f t="shared" ca="1" si="29"/>
        <v>53571</v>
      </c>
    </row>
    <row r="72" spans="3:20" x14ac:dyDescent="0.25">
      <c r="D72" s="253"/>
      <c r="G72" t="s">
        <v>93</v>
      </c>
      <c r="H72" t="s">
        <v>108</v>
      </c>
      <c r="I72" t="s">
        <v>109</v>
      </c>
      <c r="J72" s="254" t="s">
        <v>107</v>
      </c>
      <c r="O72">
        <f>O68</f>
        <v>30</v>
      </c>
      <c r="P72" s="238">
        <f>P71</f>
        <v>0</v>
      </c>
      <c r="Q72" s="112">
        <f t="shared" ca="1" si="26"/>
        <v>56128</v>
      </c>
      <c r="R72" s="112">
        <f t="shared" ca="1" si="27"/>
        <v>56128</v>
      </c>
      <c r="S72" s="239">
        <f t="shared" si="28"/>
        <v>35</v>
      </c>
      <c r="T72" s="240">
        <f t="shared" ca="1" si="29"/>
        <v>56128</v>
      </c>
    </row>
    <row r="73" spans="3:20" x14ac:dyDescent="0.25">
      <c r="D73" s="253"/>
      <c r="F73" t="s">
        <v>334</v>
      </c>
      <c r="G73" s="112">
        <f>G65</f>
        <v>49188</v>
      </c>
      <c r="H73">
        <f>G66</f>
        <v>16</v>
      </c>
      <c r="I73">
        <f>H66</f>
        <v>0</v>
      </c>
      <c r="J73">
        <f>I66</f>
        <v>0</v>
      </c>
    </row>
    <row r="74" spans="3:20" x14ac:dyDescent="0.25">
      <c r="D74" s="253"/>
      <c r="J74" s="254"/>
    </row>
    <row r="75" spans="3:20" x14ac:dyDescent="0.25">
      <c r="D75" s="253"/>
      <c r="J75" s="254"/>
      <c r="S75" s="289"/>
      <c r="T75" s="289"/>
    </row>
    <row r="76" spans="3:20" x14ac:dyDescent="0.25">
      <c r="D76" s="253">
        <f xml:space="preserve"> IF(L31="",2060,   L31)</f>
        <v>2013</v>
      </c>
      <c r="F76" t="s">
        <v>407</v>
      </c>
      <c r="G76" s="112">
        <f>DATE(YEAR(G73)+21-H73,MONTH(G73),DAY(G73))</f>
        <v>51014</v>
      </c>
      <c r="H76">
        <v>21</v>
      </c>
      <c r="I76">
        <v>0</v>
      </c>
      <c r="J76" s="254">
        <v>0</v>
      </c>
      <c r="S76" s="289"/>
      <c r="T76" s="289"/>
    </row>
    <row r="77" spans="3:20" x14ac:dyDescent="0.25">
      <c r="C77">
        <v>1</v>
      </c>
      <c r="D77" s="260">
        <f>F11</f>
        <v>43344</v>
      </c>
      <c r="E77">
        <f>YEAR(D77)</f>
        <v>2018</v>
      </c>
      <c r="J77" s="254"/>
      <c r="O77">
        <f ca="1">IF(T67&gt;=F11,1,0)</f>
        <v>1</v>
      </c>
      <c r="S77" s="289">
        <f t="shared" ref="S77:S82" ca="1" si="30">IF(O77=1,S67,"")</f>
        <v>3</v>
      </c>
      <c r="T77" s="290">
        <f t="shared" ref="T77:T82" ca="1" si="31">IF(O77=1,T67,100000)</f>
        <v>44440</v>
      </c>
    </row>
    <row r="78" spans="3:20" x14ac:dyDescent="0.25">
      <c r="C78">
        <v>2</v>
      </c>
      <c r="D78" s="260">
        <f>G65</f>
        <v>49188</v>
      </c>
      <c r="E78">
        <f t="shared" ref="E78:E79" si="32">YEAR(D78)</f>
        <v>2034</v>
      </c>
      <c r="J78" s="254"/>
      <c r="O78">
        <f ca="1">IF(T68&gt;=F11,1,0)</f>
        <v>1</v>
      </c>
      <c r="S78" s="289">
        <f t="shared" ca="1" si="30"/>
        <v>9</v>
      </c>
      <c r="T78" s="290">
        <f t="shared" ca="1" si="31"/>
        <v>46631</v>
      </c>
    </row>
    <row r="79" spans="3:20" x14ac:dyDescent="0.25">
      <c r="C79">
        <v>3</v>
      </c>
      <c r="D79" s="260">
        <f>G76</f>
        <v>51014</v>
      </c>
      <c r="E79">
        <f t="shared" si="32"/>
        <v>2039</v>
      </c>
      <c r="J79" s="254"/>
      <c r="O79">
        <f ca="1">IF(T69&gt;=F11,1,0)</f>
        <v>1</v>
      </c>
      <c r="S79" s="289">
        <f t="shared" ca="1" si="30"/>
        <v>15</v>
      </c>
      <c r="T79" s="290">
        <f t="shared" ca="1" si="31"/>
        <v>48823</v>
      </c>
    </row>
    <row r="80" spans="3:20" x14ac:dyDescent="0.25">
      <c r="D80" s="253"/>
      <c r="J80" s="254"/>
      <c r="O80">
        <f ca="1">IF(T70&gt;=F11,1,0)</f>
        <v>1</v>
      </c>
      <c r="S80" s="289">
        <f t="shared" ca="1" si="30"/>
        <v>21</v>
      </c>
      <c r="T80" s="290">
        <f t="shared" ca="1" si="31"/>
        <v>51014</v>
      </c>
    </row>
    <row r="81" spans="4:22" x14ac:dyDescent="0.25">
      <c r="D81" s="253"/>
      <c r="E81" s="239" t="s">
        <v>408</v>
      </c>
      <c r="F81" s="239" t="str">
        <f>IF(AND(E77&lt;D76,E78&lt;D76,E79&gt;D76),1,"")</f>
        <v/>
      </c>
      <c r="J81" s="254"/>
      <c r="O81">
        <f ca="1">IF(T71&gt;=F11,1,0)</f>
        <v>1</v>
      </c>
      <c r="S81" s="289">
        <f t="shared" ca="1" si="30"/>
        <v>28</v>
      </c>
      <c r="T81" s="290">
        <f t="shared" ca="1" si="31"/>
        <v>53571</v>
      </c>
    </row>
    <row r="82" spans="4:22" x14ac:dyDescent="0.25">
      <c r="D82" s="253"/>
      <c r="E82" s="239" t="s">
        <v>409</v>
      </c>
      <c r="F82" s="239" t="str">
        <f>IF(AND(E77&lt;D76,E78&gt;D76,E79&gt;D76),1,"")</f>
        <v/>
      </c>
      <c r="I82" s="279"/>
      <c r="J82" s="321"/>
      <c r="K82" s="279"/>
      <c r="L82" s="279"/>
      <c r="M82" s="279"/>
      <c r="N82" s="279"/>
      <c r="O82" s="279">
        <f ca="1">IF(T72&gt;=F11,1,0)</f>
        <v>1</v>
      </c>
      <c r="S82" s="289">
        <f t="shared" ca="1" si="30"/>
        <v>35</v>
      </c>
      <c r="T82" s="290">
        <f t="shared" ca="1" si="31"/>
        <v>56128</v>
      </c>
    </row>
    <row r="83" spans="4:22" x14ac:dyDescent="0.25">
      <c r="D83" s="253"/>
      <c r="E83" s="239" t="s">
        <v>410</v>
      </c>
      <c r="F83" s="239" t="str">
        <f>IF(OR(E77=D76,E78=D76,E79=D76),2,"")</f>
        <v/>
      </c>
      <c r="I83" s="279"/>
      <c r="J83" s="321"/>
      <c r="K83" s="279"/>
      <c r="L83" s="279"/>
      <c r="M83" s="279"/>
      <c r="N83" s="279"/>
      <c r="O83" s="279"/>
    </row>
    <row r="84" spans="4:22" x14ac:dyDescent="0.25">
      <c r="D84" s="253"/>
      <c r="E84" s="239"/>
      <c r="F84" s="239"/>
      <c r="J84" s="254"/>
    </row>
    <row r="85" spans="4:22" x14ac:dyDescent="0.25">
      <c r="D85" s="253"/>
      <c r="E85" s="239"/>
      <c r="F85" s="239"/>
      <c r="J85" s="254"/>
    </row>
    <row r="86" spans="4:22" ht="15.75" x14ac:dyDescent="0.25">
      <c r="D86" s="253"/>
      <c r="E86" s="239"/>
      <c r="F86" s="239"/>
      <c r="J86" s="254"/>
      <c r="S86" s="291"/>
      <c r="T86" s="291"/>
      <c r="V86">
        <f t="shared" ref="V86:V91" si="33">TYPE(S86)</f>
        <v>1</v>
      </c>
    </row>
    <row r="87" spans="4:22" ht="15.75" x14ac:dyDescent="0.25">
      <c r="D87" s="253"/>
      <c r="F87">
        <f>SUM(F81:F86)</f>
        <v>0</v>
      </c>
      <c r="J87" s="254"/>
      <c r="S87" s="291">
        <f>H11</f>
        <v>0</v>
      </c>
      <c r="T87" s="292">
        <f>F11</f>
        <v>43344</v>
      </c>
      <c r="V87">
        <f t="shared" si="33"/>
        <v>1</v>
      </c>
    </row>
    <row r="88" spans="4:22" ht="15.75" x14ac:dyDescent="0.25">
      <c r="D88" s="253"/>
      <c r="G88" s="112">
        <f>IF(F87=1,DATE(YEAR(G76)+1,MONTH(G76),DAY(G76)),IF(F87=2,DATE(YEAR(G76+1),1,1),G76))</f>
        <v>51014</v>
      </c>
      <c r="J88" s="254"/>
      <c r="S88" s="291">
        <f ca="1">SMALL(S75:T82,1)</f>
        <v>3</v>
      </c>
      <c r="T88" s="292">
        <f t="shared" ref="T88:T93" ca="1" si="34">VLOOKUP(S88,$S$75:$T$82,2)</f>
        <v>44440</v>
      </c>
      <c r="V88">
        <f t="shared" ca="1" si="33"/>
        <v>1</v>
      </c>
    </row>
    <row r="89" spans="4:22" ht="15.75" x14ac:dyDescent="0.25">
      <c r="D89" s="260">
        <f ca="1">VLOOKUP(21,G38:H44,2,FALSE)</f>
        <v>51014</v>
      </c>
      <c r="F89" t="s">
        <v>411</v>
      </c>
      <c r="G89" s="270">
        <f ca="1">IF(ABS(G88-D89)&gt;3,G88,D89)</f>
        <v>51014</v>
      </c>
      <c r="J89" s="254">
        <f ca="1">YEAR(G89)</f>
        <v>2039</v>
      </c>
      <c r="S89" s="291">
        <f ca="1">SMALL(S75:T82,2)</f>
        <v>9</v>
      </c>
      <c r="T89" s="292">
        <f t="shared" ca="1" si="34"/>
        <v>46631</v>
      </c>
      <c r="V89">
        <f t="shared" ca="1" si="33"/>
        <v>1</v>
      </c>
    </row>
    <row r="90" spans="4:22" ht="15.75" x14ac:dyDescent="0.25">
      <c r="D90" s="253"/>
      <c r="F90" t="s">
        <v>412</v>
      </c>
      <c r="G90" s="270">
        <f ca="1">DATE(YEAR(G89)+7,MONTH(G89),DAY(G89))</f>
        <v>53571</v>
      </c>
      <c r="J90" s="254">
        <f ca="1">YEAR(G90)</f>
        <v>2046</v>
      </c>
      <c r="S90" s="291">
        <f ca="1">SMALL(S75:T82,3)</f>
        <v>15</v>
      </c>
      <c r="T90" s="292">
        <f t="shared" ca="1" si="34"/>
        <v>48823</v>
      </c>
      <c r="V90">
        <f t="shared" ca="1" si="33"/>
        <v>1</v>
      </c>
    </row>
    <row r="91" spans="4:22" ht="15.75" x14ac:dyDescent="0.25">
      <c r="D91" s="253"/>
      <c r="G91" s="270"/>
      <c r="J91" s="254"/>
      <c r="S91" s="291">
        <f ca="1">SMALL(S75:T82,4)</f>
        <v>21</v>
      </c>
      <c r="T91" s="292">
        <f t="shared" ca="1" si="34"/>
        <v>51014</v>
      </c>
      <c r="V91">
        <f t="shared" ca="1" si="33"/>
        <v>1</v>
      </c>
    </row>
    <row r="92" spans="4:22" ht="15.75" x14ac:dyDescent="0.25">
      <c r="D92" s="253"/>
      <c r="G92" s="270" t="str">
        <f ca="1">IF(AND(J89&lt;D76,J90&gt;D76),DATE(YEAR(G90)+1,MONTH(G90),DAY(G90)),"")</f>
        <v/>
      </c>
      <c r="J92" s="254"/>
      <c r="S92" s="291">
        <f ca="1">SMALL(S75:T82,5)</f>
        <v>28</v>
      </c>
      <c r="T92" s="292">
        <f t="shared" ca="1" si="34"/>
        <v>53571</v>
      </c>
      <c r="V92">
        <f ca="1">TYPE(S92)</f>
        <v>1</v>
      </c>
    </row>
    <row r="93" spans="4:22" ht="15.75" x14ac:dyDescent="0.25">
      <c r="D93" s="253"/>
      <c r="G93" s="270" t="str">
        <f ca="1">IF(J90=D76,DATE(YEAR(G90)+1,1,1),"")</f>
        <v/>
      </c>
      <c r="J93" s="254"/>
      <c r="S93" s="291">
        <f ca="1">SMALL(S75:T82,6)</f>
        <v>35</v>
      </c>
      <c r="T93" s="292">
        <f t="shared" ca="1" si="34"/>
        <v>56128</v>
      </c>
      <c r="V93">
        <f ca="1">TYPE(S93)</f>
        <v>1</v>
      </c>
    </row>
    <row r="94" spans="4:22" x14ac:dyDescent="0.25">
      <c r="D94" s="253"/>
      <c r="G94" s="270">
        <f ca="1">IF(AND(J89&gt;D76,J90&gt;D76),G90,"")</f>
        <v>53571</v>
      </c>
      <c r="J94" s="254"/>
    </row>
    <row r="95" spans="4:22" ht="15.75" thickBot="1" x14ac:dyDescent="0.3">
      <c r="D95" s="255"/>
      <c r="E95" s="257"/>
      <c r="F95" s="257"/>
      <c r="G95" s="400" t="str">
        <f ca="1">IF(AND(J89&lt;D76,J90&lt;D76),G90,"")</f>
        <v/>
      </c>
      <c r="H95" s="257"/>
      <c r="I95" s="257"/>
      <c r="J95" s="258"/>
    </row>
    <row r="96" spans="4:22" x14ac:dyDescent="0.25">
      <c r="D96" s="112">
        <f ca="1">VLOOKUP(28,G38:H44,2,FALSE)</f>
        <v>53571</v>
      </c>
      <c r="F96" s="401" t="s">
        <v>413</v>
      </c>
      <c r="G96" s="309">
        <f ca="1" xml:space="preserve">  IF(ABS(     SUM(G91:G95)-D96)&gt;3,SUM(G91:G95),D96)</f>
        <v>53571</v>
      </c>
    </row>
    <row r="97" spans="6:21" x14ac:dyDescent="0.25">
      <c r="P97" t="s">
        <v>263</v>
      </c>
      <c r="U97" s="273">
        <v>58684</v>
      </c>
    </row>
    <row r="99" spans="6:21" x14ac:dyDescent="0.25">
      <c r="F99" t="s">
        <v>174</v>
      </c>
      <c r="G99" s="112">
        <f ca="1">DATE(YEAR(G96)+7,MONTH(G96),DAY(G96))</f>
        <v>56128</v>
      </c>
    </row>
    <row r="100" spans="6:21" x14ac:dyDescent="0.25">
      <c r="F100" s="246" t="s">
        <v>414</v>
      </c>
      <c r="G100" s="270">
        <f ca="1">IF(AND(YEAR(G96)&lt;=D76, YEAR(G99)&gt;D76),DATE(YEAR(G99)+1,MONTH(G99),DAY(G99)),G99)</f>
        <v>56128</v>
      </c>
      <c r="S100" s="289">
        <f>IF(AND(S87&lt;36,T87&lt;=$U$97),S87,"")</f>
        <v>0</v>
      </c>
      <c r="T100" s="290">
        <f>IF(S100&lt;&gt;"",T87,"")</f>
        <v>43344</v>
      </c>
    </row>
    <row r="101" spans="6:21" x14ac:dyDescent="0.25">
      <c r="S101" s="289">
        <f t="shared" ref="S101:S106" ca="1" si="35">IF(AND(S88&lt;36,T88&lt;=$U$97),S88,"")</f>
        <v>3</v>
      </c>
      <c r="T101" s="290">
        <f t="shared" ref="T101:T106" ca="1" si="36">IF(S101&lt;&gt;"",T88,"")</f>
        <v>44440</v>
      </c>
    </row>
    <row r="102" spans="6:21" x14ac:dyDescent="0.25">
      <c r="S102" s="289">
        <f t="shared" ca="1" si="35"/>
        <v>9</v>
      </c>
      <c r="T102" s="290">
        <f t="shared" ca="1" si="36"/>
        <v>46631</v>
      </c>
    </row>
    <row r="103" spans="6:21" x14ac:dyDescent="0.25">
      <c r="S103" s="289">
        <f t="shared" ca="1" si="35"/>
        <v>15</v>
      </c>
      <c r="T103" s="290">
        <f t="shared" ca="1" si="36"/>
        <v>48823</v>
      </c>
    </row>
    <row r="104" spans="6:21" x14ac:dyDescent="0.25">
      <c r="S104" s="289">
        <f t="shared" ca="1" si="35"/>
        <v>21</v>
      </c>
      <c r="T104" s="290">
        <f t="shared" ca="1" si="36"/>
        <v>51014</v>
      </c>
    </row>
    <row r="105" spans="6:21" x14ac:dyDescent="0.25">
      <c r="S105" s="289">
        <f t="shared" ca="1" si="35"/>
        <v>28</v>
      </c>
      <c r="T105" s="290">
        <f t="shared" ca="1" si="36"/>
        <v>53571</v>
      </c>
    </row>
    <row r="106" spans="6:21" x14ac:dyDescent="0.25">
      <c r="S106" s="289">
        <f t="shared" ca="1" si="35"/>
        <v>35</v>
      </c>
      <c r="T106" s="290">
        <f t="shared" ca="1" si="36"/>
        <v>56128</v>
      </c>
    </row>
    <row r="107" spans="6:21" x14ac:dyDescent="0.25">
      <c r="M107">
        <f>DAY(F11)</f>
        <v>1</v>
      </c>
      <c r="N107">
        <f>MONTH(F11)</f>
        <v>9</v>
      </c>
      <c r="O107" s="238">
        <f>(YEAR(F11))+1</f>
        <v>2019</v>
      </c>
      <c r="Q107" t="s">
        <v>267</v>
      </c>
      <c r="S107" s="294" t="str">
        <f>IF(H15="SI",0,"")</f>
        <v/>
      </c>
      <c r="T107" s="287" t="str">
        <f>IF(H15="SI",DATE(O107,N107,M107),"")</f>
        <v/>
      </c>
    </row>
    <row r="110" spans="6:21" x14ac:dyDescent="0.25">
      <c r="S110" s="289"/>
      <c r="T110" s="289"/>
    </row>
    <row r="111" spans="6:21" x14ac:dyDescent="0.25">
      <c r="S111" s="289">
        <f>IF(AND(T100&lt;=T107,S107&lt;&gt;""               ),0,S100)</f>
        <v>0</v>
      </c>
      <c r="T111" s="290">
        <f t="shared" ref="T111:T117" si="37">T100</f>
        <v>43344</v>
      </c>
    </row>
    <row r="112" spans="6:21" x14ac:dyDescent="0.25">
      <c r="S112" s="289">
        <f ca="1">IF(AND(T101&lt;=T107,T107&lt;&gt;""),0,S101)</f>
        <v>3</v>
      </c>
      <c r="T112" s="290">
        <f t="shared" ca="1" si="37"/>
        <v>44440</v>
      </c>
    </row>
    <row r="113" spans="14:20" x14ac:dyDescent="0.25">
      <c r="S113" s="289">
        <f ca="1">IF(AND( T102&lt;=T107,     T107&lt;&gt;""  ),0,S102)</f>
        <v>9</v>
      </c>
      <c r="T113" s="290">
        <f t="shared" ca="1" si="37"/>
        <v>46631</v>
      </c>
    </row>
    <row r="114" spans="14:20" x14ac:dyDescent="0.25">
      <c r="S114" s="289">
        <f ca="1">S103</f>
        <v>15</v>
      </c>
      <c r="T114" s="290">
        <f t="shared" ca="1" si="37"/>
        <v>48823</v>
      </c>
    </row>
    <row r="115" spans="14:20" x14ac:dyDescent="0.25">
      <c r="S115" s="289">
        <f ca="1">S104</f>
        <v>21</v>
      </c>
      <c r="T115" s="290">
        <f t="shared" ca="1" si="37"/>
        <v>51014</v>
      </c>
    </row>
    <row r="116" spans="14:20" x14ac:dyDescent="0.25">
      <c r="S116" s="289">
        <f ca="1">S105</f>
        <v>28</v>
      </c>
      <c r="T116" s="290">
        <f t="shared" ca="1" si="37"/>
        <v>53571</v>
      </c>
    </row>
    <row r="117" spans="14:20" x14ac:dyDescent="0.25">
      <c r="S117" s="289">
        <f ca="1">S106</f>
        <v>35</v>
      </c>
      <c r="T117" s="289">
        <f t="shared" ca="1" si="37"/>
        <v>56128</v>
      </c>
    </row>
    <row r="118" spans="14:20" x14ac:dyDescent="0.25">
      <c r="S118" s="289" t="str">
        <f>IF(S107=0,S100+1,"")</f>
        <v/>
      </c>
      <c r="T118" s="290" t="str">
        <f>IF(S107=0,T107,"")</f>
        <v/>
      </c>
    </row>
    <row r="125" spans="14:20" x14ac:dyDescent="0.25">
      <c r="N125">
        <f ca="1">IF(S125&gt;35,0,1)</f>
        <v>1</v>
      </c>
      <c r="O125">
        <f ca="1">IF(TYPE(N125)=16,0,1)</f>
        <v>1</v>
      </c>
      <c r="Q125">
        <f t="shared" ref="Q125:Q130" ca="1" si="38">IF(O125=0,0,O125*N125)</f>
        <v>1</v>
      </c>
      <c r="R125">
        <v>1</v>
      </c>
      <c r="S125" s="289">
        <f ca="1">SMALL($S$111:$T$118,R125)</f>
        <v>0</v>
      </c>
      <c r="T125" s="290">
        <f ca="1">VLOOKUP(S125,$S$111:$T$118,2,FALSE)</f>
        <v>43344</v>
      </c>
    </row>
    <row r="126" spans="14:20" x14ac:dyDescent="0.25">
      <c r="N126">
        <f t="shared" ref="N126:N133" ca="1" si="39">IF(S126&gt;35,0,1)</f>
        <v>1</v>
      </c>
      <c r="O126">
        <f t="shared" ref="O126:O133" ca="1" si="40">IF(TYPE(N126)=16,0,1)</f>
        <v>1</v>
      </c>
      <c r="Q126">
        <f t="shared" ca="1" si="38"/>
        <v>1</v>
      </c>
      <c r="R126">
        <v>2</v>
      </c>
      <c r="S126" s="289">
        <f t="shared" ref="S126:S133" ca="1" si="41">SMALL($S$111:$T$118,R126)</f>
        <v>3</v>
      </c>
      <c r="T126" s="290">
        <f t="shared" ref="T126:T133" ca="1" si="42">VLOOKUP(S126,$S$111:$T$118,2,FALSE)</f>
        <v>44440</v>
      </c>
    </row>
    <row r="127" spans="14:20" x14ac:dyDescent="0.25">
      <c r="N127">
        <f t="shared" ca="1" si="39"/>
        <v>1</v>
      </c>
      <c r="O127">
        <f t="shared" ca="1" si="40"/>
        <v>1</v>
      </c>
      <c r="Q127">
        <f t="shared" ca="1" si="38"/>
        <v>1</v>
      </c>
      <c r="R127">
        <v>3</v>
      </c>
      <c r="S127" s="289">
        <f t="shared" ca="1" si="41"/>
        <v>9</v>
      </c>
      <c r="T127" s="290">
        <f t="shared" ca="1" si="42"/>
        <v>46631</v>
      </c>
    </row>
    <row r="128" spans="14:20" x14ac:dyDescent="0.25">
      <c r="N128">
        <f t="shared" ca="1" si="39"/>
        <v>1</v>
      </c>
      <c r="O128">
        <f t="shared" ca="1" si="40"/>
        <v>1</v>
      </c>
      <c r="Q128">
        <f t="shared" ca="1" si="38"/>
        <v>1</v>
      </c>
      <c r="R128">
        <v>4</v>
      </c>
      <c r="S128" s="289">
        <f t="shared" ca="1" si="41"/>
        <v>15</v>
      </c>
      <c r="T128" s="290">
        <f t="shared" ca="1" si="42"/>
        <v>48823</v>
      </c>
    </row>
    <row r="129" spans="14:20" x14ac:dyDescent="0.25">
      <c r="N129">
        <f t="shared" ca="1" si="39"/>
        <v>1</v>
      </c>
      <c r="O129">
        <f t="shared" ca="1" si="40"/>
        <v>1</v>
      </c>
      <c r="Q129">
        <f t="shared" ca="1" si="38"/>
        <v>1</v>
      </c>
      <c r="R129">
        <v>5</v>
      </c>
      <c r="S129" s="289">
        <f t="shared" ca="1" si="41"/>
        <v>21</v>
      </c>
      <c r="T129" s="290">
        <f t="shared" ca="1" si="42"/>
        <v>51014</v>
      </c>
    </row>
    <row r="130" spans="14:20" x14ac:dyDescent="0.25">
      <c r="N130">
        <f t="shared" ca="1" si="39"/>
        <v>1</v>
      </c>
      <c r="O130">
        <f t="shared" ca="1" si="40"/>
        <v>1</v>
      </c>
      <c r="Q130">
        <f t="shared" ca="1" si="38"/>
        <v>1</v>
      </c>
      <c r="R130">
        <v>6</v>
      </c>
      <c r="S130" s="289">
        <f t="shared" ca="1" si="41"/>
        <v>28</v>
      </c>
      <c r="T130" s="290">
        <f t="shared" ca="1" si="42"/>
        <v>53571</v>
      </c>
    </row>
    <row r="131" spans="14:20" x14ac:dyDescent="0.25">
      <c r="N131">
        <f t="shared" ca="1" si="39"/>
        <v>1</v>
      </c>
      <c r="O131">
        <f t="shared" ca="1" si="40"/>
        <v>1</v>
      </c>
      <c r="Q131">
        <f ca="1">IF(O131=0,0,O131*N131)</f>
        <v>1</v>
      </c>
      <c r="R131">
        <v>7</v>
      </c>
      <c r="S131" s="289">
        <f t="shared" ca="1" si="41"/>
        <v>35</v>
      </c>
      <c r="T131" s="290">
        <f t="shared" ca="1" si="42"/>
        <v>56128</v>
      </c>
    </row>
    <row r="132" spans="14:20" x14ac:dyDescent="0.25">
      <c r="N132">
        <f t="shared" ca="1" si="39"/>
        <v>0</v>
      </c>
      <c r="O132">
        <f t="shared" ca="1" si="40"/>
        <v>1</v>
      </c>
      <c r="Q132">
        <f ca="1">IF(O132=0,0,O132*N132)</f>
        <v>0</v>
      </c>
      <c r="R132">
        <v>8</v>
      </c>
      <c r="S132" s="289">
        <f t="shared" ca="1" si="41"/>
        <v>43344</v>
      </c>
      <c r="T132" s="290" t="e">
        <f t="shared" ca="1" si="42"/>
        <v>#N/A</v>
      </c>
    </row>
    <row r="133" spans="14:20" x14ac:dyDescent="0.25">
      <c r="N133">
        <f t="shared" ca="1" si="39"/>
        <v>0</v>
      </c>
      <c r="O133">
        <f t="shared" ca="1" si="40"/>
        <v>1</v>
      </c>
      <c r="Q133">
        <f ca="1">IF(O133=0,0,O133*N133)</f>
        <v>0</v>
      </c>
      <c r="R133">
        <v>9</v>
      </c>
      <c r="S133" s="289">
        <f t="shared" ca="1" si="41"/>
        <v>44440</v>
      </c>
      <c r="T133" s="290" t="e">
        <f t="shared" ca="1" si="42"/>
        <v>#N/A</v>
      </c>
    </row>
    <row r="139" spans="14:20" x14ac:dyDescent="0.25">
      <c r="S139" s="297" t="s">
        <v>269</v>
      </c>
      <c r="T139" s="297" t="s">
        <v>270</v>
      </c>
    </row>
    <row r="140" spans="14:20" x14ac:dyDescent="0.25">
      <c r="S140" s="289">
        <f ca="1">IF(Q125=1,S125,"")</f>
        <v>0</v>
      </c>
      <c r="T140" s="290">
        <f ca="1">IF(Q125=1,T125,"")</f>
        <v>43344</v>
      </c>
    </row>
    <row r="141" spans="14:20" x14ac:dyDescent="0.25">
      <c r="S141" s="289">
        <f t="shared" ref="S141:S147" ca="1" si="43">IF(Q126=1,S126,"")</f>
        <v>3</v>
      </c>
      <c r="T141" s="290">
        <f t="shared" ref="T141:T147" ca="1" si="44">IF(Q126=1,T126,"")</f>
        <v>44440</v>
      </c>
    </row>
    <row r="142" spans="14:20" x14ac:dyDescent="0.25">
      <c r="S142" s="289">
        <f t="shared" ca="1" si="43"/>
        <v>9</v>
      </c>
      <c r="T142" s="290">
        <f t="shared" ca="1" si="44"/>
        <v>46631</v>
      </c>
    </row>
    <row r="143" spans="14:20" x14ac:dyDescent="0.25">
      <c r="S143" s="289">
        <f t="shared" ca="1" si="43"/>
        <v>15</v>
      </c>
      <c r="T143" s="290">
        <f t="shared" ca="1" si="44"/>
        <v>48823</v>
      </c>
    </row>
    <row r="144" spans="14:20" x14ac:dyDescent="0.25">
      <c r="S144" s="289">
        <f t="shared" ca="1" si="43"/>
        <v>21</v>
      </c>
      <c r="T144" s="290">
        <f t="shared" ca="1" si="44"/>
        <v>51014</v>
      </c>
    </row>
    <row r="145" spans="16:20" x14ac:dyDescent="0.25">
      <c r="S145" s="289">
        <f t="shared" ca="1" si="43"/>
        <v>28</v>
      </c>
      <c r="T145" s="290">
        <f t="shared" ca="1" si="44"/>
        <v>53571</v>
      </c>
    </row>
    <row r="146" spans="16:20" x14ac:dyDescent="0.25">
      <c r="S146" s="289">
        <f t="shared" ca="1" si="43"/>
        <v>35</v>
      </c>
      <c r="T146" s="290">
        <f t="shared" ca="1" si="44"/>
        <v>56128</v>
      </c>
    </row>
    <row r="147" spans="16:20" x14ac:dyDescent="0.25">
      <c r="S147" s="289" t="str">
        <f t="shared" ca="1" si="43"/>
        <v/>
      </c>
      <c r="T147" s="290" t="str">
        <f t="shared" ca="1" si="44"/>
        <v/>
      </c>
    </row>
    <row r="148" spans="16:20" x14ac:dyDescent="0.25">
      <c r="S148" s="289"/>
      <c r="T148" s="290"/>
    </row>
    <row r="152" spans="16:20" x14ac:dyDescent="0.25">
      <c r="P152" s="112">
        <v>40421</v>
      </c>
      <c r="Q152" t="s">
        <v>265</v>
      </c>
      <c r="S152" s="289">
        <f t="shared" ref="S152:S157" ca="1" si="45">IF(AND($H$17="NO",S140&lt;9,T140&gt;$P$152),0,S140)</f>
        <v>0</v>
      </c>
      <c r="T152" s="290">
        <f ca="1">T140</f>
        <v>43344</v>
      </c>
    </row>
    <row r="153" spans="16:20" x14ac:dyDescent="0.25">
      <c r="S153" s="289">
        <f t="shared" ca="1" si="45"/>
        <v>3</v>
      </c>
      <c r="T153" s="290">
        <f t="shared" ref="T153:T160" ca="1" si="46">T141</f>
        <v>44440</v>
      </c>
    </row>
    <row r="154" spans="16:20" x14ac:dyDescent="0.25">
      <c r="S154" s="289">
        <f t="shared" ca="1" si="45"/>
        <v>9</v>
      </c>
      <c r="T154" s="290">
        <f t="shared" ca="1" si="46"/>
        <v>46631</v>
      </c>
    </row>
    <row r="155" spans="16:20" x14ac:dyDescent="0.25">
      <c r="S155" s="289">
        <f t="shared" ca="1" si="45"/>
        <v>15</v>
      </c>
      <c r="T155" s="290">
        <f t="shared" ca="1" si="46"/>
        <v>48823</v>
      </c>
    </row>
    <row r="156" spans="16:20" x14ac:dyDescent="0.25">
      <c r="S156" s="289">
        <f t="shared" ca="1" si="45"/>
        <v>21</v>
      </c>
      <c r="T156" s="290">
        <f t="shared" ca="1" si="46"/>
        <v>51014</v>
      </c>
    </row>
    <row r="157" spans="16:20" x14ac:dyDescent="0.25">
      <c r="S157" s="289">
        <f t="shared" ca="1" si="45"/>
        <v>28</v>
      </c>
      <c r="T157" s="290">
        <f t="shared" ca="1" si="46"/>
        <v>53571</v>
      </c>
    </row>
    <row r="158" spans="16:20" x14ac:dyDescent="0.25">
      <c r="S158" s="289">
        <f ca="1">IF(AND($H$17="NO",S146=3,T146&gt;$P$152),0,S146)</f>
        <v>35</v>
      </c>
      <c r="T158" s="290">
        <f t="shared" ca="1" si="46"/>
        <v>56128</v>
      </c>
    </row>
    <row r="159" spans="16:20" x14ac:dyDescent="0.25">
      <c r="S159" s="289" t="str">
        <f ca="1">IF(AND($H$17="NO",S147=3,T147&gt;$P$152),0,S147)</f>
        <v/>
      </c>
      <c r="T159" s="290" t="str">
        <f t="shared" ca="1" si="46"/>
        <v/>
      </c>
    </row>
    <row r="160" spans="16:20" x14ac:dyDescent="0.25">
      <c r="S160">
        <f>IF(AND($H$17="NO",S148=3,T148&gt;$P$152),0,S148)</f>
        <v>0</v>
      </c>
      <c r="T160" s="112">
        <f t="shared" si="46"/>
        <v>0</v>
      </c>
    </row>
    <row r="162" spans="6:21" x14ac:dyDescent="0.25">
      <c r="F162">
        <v>0</v>
      </c>
      <c r="G162">
        <v>0</v>
      </c>
    </row>
    <row r="163" spans="6:21" x14ac:dyDescent="0.25">
      <c r="F163">
        <f>F162+1</f>
        <v>1</v>
      </c>
      <c r="G163">
        <v>0</v>
      </c>
    </row>
    <row r="164" spans="6:21" x14ac:dyDescent="0.25">
      <c r="F164">
        <f t="shared" ref="F164:F207" si="47">F163+1</f>
        <v>2</v>
      </c>
      <c r="G164">
        <v>0</v>
      </c>
    </row>
    <row r="165" spans="6:21" x14ac:dyDescent="0.25">
      <c r="F165">
        <f t="shared" si="47"/>
        <v>3</v>
      </c>
      <c r="G165">
        <v>3</v>
      </c>
    </row>
    <row r="166" spans="6:21" x14ac:dyDescent="0.25">
      <c r="F166">
        <f t="shared" si="47"/>
        <v>4</v>
      </c>
      <c r="G166">
        <v>3</v>
      </c>
      <c r="T166" s="295" t="s">
        <v>274</v>
      </c>
      <c r="U166" s="295" t="s">
        <v>275</v>
      </c>
    </row>
    <row r="167" spans="6:21" x14ac:dyDescent="0.25">
      <c r="F167">
        <f t="shared" si="47"/>
        <v>5</v>
      </c>
      <c r="G167">
        <v>3</v>
      </c>
      <c r="S167">
        <v>0</v>
      </c>
      <c r="T167" s="298">
        <f ca="1">VLOOKUP(S152,$F$162:$G$205,2)</f>
        <v>0</v>
      </c>
      <c r="U167" s="296">
        <f ca="1">T152</f>
        <v>43344</v>
      </c>
    </row>
    <row r="168" spans="6:21" x14ac:dyDescent="0.25">
      <c r="F168">
        <f t="shared" si="47"/>
        <v>6</v>
      </c>
      <c r="G168">
        <v>3</v>
      </c>
      <c r="Q168">
        <f t="shared" ref="Q168:Q173" ca="1" si="48">IF(T168=T167,0,1)</f>
        <v>1</v>
      </c>
      <c r="R168">
        <f t="shared" ref="R168:R173" ca="1" si="49">IF(TYPE(Q168)=16,0,Q168)</f>
        <v>1</v>
      </c>
      <c r="S168">
        <v>3</v>
      </c>
      <c r="T168" s="298">
        <f t="shared" ref="T168:T173" ca="1" si="50">VLOOKUP(S153,$F$162:$G$205,2)</f>
        <v>3</v>
      </c>
      <c r="U168" s="296">
        <f t="shared" ref="U168:U173" ca="1" si="51">T153</f>
        <v>44440</v>
      </c>
    </row>
    <row r="169" spans="6:21" x14ac:dyDescent="0.25">
      <c r="F169">
        <f t="shared" si="47"/>
        <v>7</v>
      </c>
      <c r="G169">
        <v>3</v>
      </c>
      <c r="Q169">
        <f t="shared" ca="1" si="48"/>
        <v>1</v>
      </c>
      <c r="R169">
        <f t="shared" ca="1" si="49"/>
        <v>1</v>
      </c>
      <c r="S169">
        <v>9</v>
      </c>
      <c r="T169" s="298">
        <f t="shared" ca="1" si="50"/>
        <v>9</v>
      </c>
      <c r="U169" s="296">
        <f t="shared" ca="1" si="51"/>
        <v>46631</v>
      </c>
    </row>
    <row r="170" spans="6:21" x14ac:dyDescent="0.25">
      <c r="F170">
        <f t="shared" si="47"/>
        <v>8</v>
      </c>
      <c r="G170">
        <v>3</v>
      </c>
      <c r="Q170">
        <f t="shared" ca="1" si="48"/>
        <v>1</v>
      </c>
      <c r="R170">
        <f t="shared" ca="1" si="49"/>
        <v>1</v>
      </c>
      <c r="S170">
        <v>15</v>
      </c>
      <c r="T170" s="298">
        <f t="shared" ca="1" si="50"/>
        <v>15</v>
      </c>
      <c r="U170" s="296">
        <f t="shared" ca="1" si="51"/>
        <v>48823</v>
      </c>
    </row>
    <row r="171" spans="6:21" x14ac:dyDescent="0.25">
      <c r="F171">
        <f t="shared" si="47"/>
        <v>9</v>
      </c>
      <c r="G171">
        <v>9</v>
      </c>
      <c r="Q171">
        <f t="shared" ca="1" si="48"/>
        <v>1</v>
      </c>
      <c r="R171">
        <f t="shared" ca="1" si="49"/>
        <v>1</v>
      </c>
      <c r="S171">
        <v>21</v>
      </c>
      <c r="T171" s="298">
        <f t="shared" ca="1" si="50"/>
        <v>21</v>
      </c>
      <c r="U171" s="296">
        <f t="shared" ca="1" si="51"/>
        <v>51014</v>
      </c>
    </row>
    <row r="172" spans="6:21" x14ac:dyDescent="0.25">
      <c r="F172">
        <f t="shared" si="47"/>
        <v>10</v>
      </c>
      <c r="G172">
        <v>9</v>
      </c>
      <c r="Q172">
        <f t="shared" ca="1" si="48"/>
        <v>1</v>
      </c>
      <c r="R172">
        <f t="shared" ca="1" si="49"/>
        <v>1</v>
      </c>
      <c r="S172">
        <v>28</v>
      </c>
      <c r="T172" s="298">
        <f t="shared" ca="1" si="50"/>
        <v>28</v>
      </c>
      <c r="U172" s="296">
        <f t="shared" ca="1" si="51"/>
        <v>53571</v>
      </c>
    </row>
    <row r="173" spans="6:21" x14ac:dyDescent="0.25">
      <c r="F173">
        <f t="shared" si="47"/>
        <v>11</v>
      </c>
      <c r="G173">
        <v>9</v>
      </c>
      <c r="Q173">
        <f t="shared" ca="1" si="48"/>
        <v>1</v>
      </c>
      <c r="R173">
        <f t="shared" ca="1" si="49"/>
        <v>1</v>
      </c>
      <c r="S173">
        <v>35</v>
      </c>
      <c r="T173" s="298">
        <f t="shared" ca="1" si="50"/>
        <v>35</v>
      </c>
      <c r="U173" s="296">
        <f t="shared" ca="1" si="51"/>
        <v>56128</v>
      </c>
    </row>
    <row r="174" spans="6:21" x14ac:dyDescent="0.25">
      <c r="F174">
        <f t="shared" si="47"/>
        <v>12</v>
      </c>
      <c r="G174">
        <v>9</v>
      </c>
    </row>
    <row r="175" spans="6:21" x14ac:dyDescent="0.25">
      <c r="F175">
        <f t="shared" si="47"/>
        <v>13</v>
      </c>
      <c r="G175">
        <v>9</v>
      </c>
    </row>
    <row r="176" spans="6:21" x14ac:dyDescent="0.25">
      <c r="F176">
        <f t="shared" si="47"/>
        <v>14</v>
      </c>
      <c r="G176">
        <v>9</v>
      </c>
    </row>
    <row r="177" spans="6:21" x14ac:dyDescent="0.25">
      <c r="F177">
        <f t="shared" si="47"/>
        <v>15</v>
      </c>
      <c r="G177">
        <v>15</v>
      </c>
    </row>
    <row r="178" spans="6:21" x14ac:dyDescent="0.25">
      <c r="F178">
        <f t="shared" si="47"/>
        <v>16</v>
      </c>
      <c r="G178">
        <v>15</v>
      </c>
      <c r="T178" s="295"/>
      <c r="U178" s="295"/>
    </row>
    <row r="179" spans="6:21" x14ac:dyDescent="0.25">
      <c r="F179">
        <f t="shared" si="47"/>
        <v>17</v>
      </c>
      <c r="G179">
        <v>15</v>
      </c>
      <c r="T179" s="298">
        <f ca="1">T167</f>
        <v>0</v>
      </c>
      <c r="U179" s="296">
        <f ca="1">U167</f>
        <v>43344</v>
      </c>
    </row>
    <row r="180" spans="6:21" x14ac:dyDescent="0.25">
      <c r="F180">
        <f t="shared" si="47"/>
        <v>18</v>
      </c>
      <c r="G180">
        <v>15</v>
      </c>
      <c r="T180" s="295">
        <f t="shared" ref="T180:T186" ca="1" si="52">IF(R168=0,"",T168)</f>
        <v>3</v>
      </c>
      <c r="U180" s="295">
        <f ca="1">IF(T180="","",U168)</f>
        <v>44440</v>
      </c>
    </row>
    <row r="181" spans="6:21" x14ac:dyDescent="0.25">
      <c r="F181">
        <f t="shared" si="47"/>
        <v>19</v>
      </c>
      <c r="G181">
        <v>15</v>
      </c>
      <c r="T181" s="295">
        <f t="shared" ca="1" si="52"/>
        <v>9</v>
      </c>
      <c r="U181" s="296">
        <f t="shared" ref="U181:U186" ca="1" si="53">IF(T181="","",U169)</f>
        <v>46631</v>
      </c>
    </row>
    <row r="182" spans="6:21" x14ac:dyDescent="0.25">
      <c r="F182">
        <f t="shared" si="47"/>
        <v>20</v>
      </c>
      <c r="G182">
        <v>15</v>
      </c>
      <c r="T182" s="295">
        <f t="shared" ca="1" si="52"/>
        <v>15</v>
      </c>
      <c r="U182" s="296">
        <f t="shared" ca="1" si="53"/>
        <v>48823</v>
      </c>
    </row>
    <row r="183" spans="6:21" x14ac:dyDescent="0.25">
      <c r="F183">
        <f t="shared" si="47"/>
        <v>21</v>
      </c>
      <c r="G183">
        <v>21</v>
      </c>
      <c r="T183" s="295">
        <f t="shared" ca="1" si="52"/>
        <v>21</v>
      </c>
      <c r="U183" s="295">
        <f t="shared" ca="1" si="53"/>
        <v>51014</v>
      </c>
    </row>
    <row r="184" spans="6:21" x14ac:dyDescent="0.25">
      <c r="F184">
        <f t="shared" si="47"/>
        <v>22</v>
      </c>
      <c r="G184">
        <v>21</v>
      </c>
      <c r="T184" s="295">
        <f t="shared" ca="1" si="52"/>
        <v>28</v>
      </c>
      <c r="U184" s="295">
        <f t="shared" ca="1" si="53"/>
        <v>53571</v>
      </c>
    </row>
    <row r="185" spans="6:21" x14ac:dyDescent="0.25">
      <c r="F185">
        <f t="shared" si="47"/>
        <v>23</v>
      </c>
      <c r="G185">
        <v>21</v>
      </c>
      <c r="T185" s="295">
        <f t="shared" ca="1" si="52"/>
        <v>35</v>
      </c>
      <c r="U185" s="295">
        <f t="shared" ca="1" si="53"/>
        <v>56128</v>
      </c>
    </row>
    <row r="186" spans="6:21" x14ac:dyDescent="0.25">
      <c r="F186">
        <f t="shared" si="47"/>
        <v>24</v>
      </c>
      <c r="G186">
        <v>21</v>
      </c>
      <c r="T186" s="295" t="str">
        <f t="shared" si="52"/>
        <v/>
      </c>
      <c r="U186" s="295" t="str">
        <f t="shared" si="53"/>
        <v/>
      </c>
    </row>
    <row r="187" spans="6:21" x14ac:dyDescent="0.25">
      <c r="F187">
        <f t="shared" si="47"/>
        <v>25</v>
      </c>
      <c r="G187">
        <v>21</v>
      </c>
    </row>
    <row r="188" spans="6:21" x14ac:dyDescent="0.25">
      <c r="F188">
        <f t="shared" si="47"/>
        <v>26</v>
      </c>
      <c r="G188">
        <v>21</v>
      </c>
      <c r="S188" s="295">
        <v>1</v>
      </c>
      <c r="T188" s="295">
        <f ca="1">SMALL($T$178:$T$186,S188)</f>
        <v>0</v>
      </c>
      <c r="U188" s="296">
        <f ca="1">IF(T188&lt;36,VLOOKUP(T188,$T$178:$U$184,2),"")</f>
        <v>43344</v>
      </c>
    </row>
    <row r="189" spans="6:21" x14ac:dyDescent="0.25">
      <c r="F189">
        <f t="shared" si="47"/>
        <v>27</v>
      </c>
      <c r="G189">
        <v>21</v>
      </c>
      <c r="S189" s="295">
        <v>2</v>
      </c>
      <c r="T189" s="295">
        <f t="shared" ref="T189:T195" ca="1" si="54">SMALL($T$178:$T$186,S189)</f>
        <v>3</v>
      </c>
      <c r="U189" s="296">
        <f t="shared" ref="U189:U195" ca="1" si="55">IF(T189&lt;36,VLOOKUP(T189,$T$178:$U$184,2),"")</f>
        <v>44440</v>
      </c>
    </row>
    <row r="190" spans="6:21" x14ac:dyDescent="0.25">
      <c r="F190">
        <f t="shared" si="47"/>
        <v>28</v>
      </c>
      <c r="G190">
        <v>28</v>
      </c>
      <c r="S190" s="295">
        <v>3</v>
      </c>
      <c r="T190" s="295">
        <f t="shared" ca="1" si="54"/>
        <v>9</v>
      </c>
      <c r="U190" s="296">
        <f t="shared" ca="1" si="55"/>
        <v>46631</v>
      </c>
    </row>
    <row r="191" spans="6:21" x14ac:dyDescent="0.25">
      <c r="F191">
        <f t="shared" si="47"/>
        <v>29</v>
      </c>
      <c r="G191">
        <v>28</v>
      </c>
      <c r="S191" s="295">
        <v>4</v>
      </c>
      <c r="T191" s="295">
        <f t="shared" ca="1" si="54"/>
        <v>15</v>
      </c>
      <c r="U191" s="296">
        <f t="shared" ca="1" si="55"/>
        <v>48823</v>
      </c>
    </row>
    <row r="192" spans="6:21" x14ac:dyDescent="0.25">
      <c r="F192">
        <f t="shared" si="47"/>
        <v>30</v>
      </c>
      <c r="G192">
        <v>28</v>
      </c>
      <c r="S192" s="295">
        <v>5</v>
      </c>
      <c r="T192" s="295">
        <f t="shared" ca="1" si="54"/>
        <v>21</v>
      </c>
      <c r="U192" s="296">
        <f t="shared" ca="1" si="55"/>
        <v>51014</v>
      </c>
    </row>
    <row r="193" spans="6:21" x14ac:dyDescent="0.25">
      <c r="F193">
        <f t="shared" si="47"/>
        <v>31</v>
      </c>
      <c r="G193">
        <v>28</v>
      </c>
      <c r="S193" s="295">
        <v>6</v>
      </c>
      <c r="T193" s="295">
        <f t="shared" ca="1" si="54"/>
        <v>28</v>
      </c>
      <c r="U193" s="296">
        <f t="shared" ca="1" si="55"/>
        <v>53571</v>
      </c>
    </row>
    <row r="194" spans="6:21" x14ac:dyDescent="0.25">
      <c r="F194">
        <f t="shared" si="47"/>
        <v>32</v>
      </c>
      <c r="G194">
        <v>28</v>
      </c>
      <c r="S194" s="299">
        <v>7</v>
      </c>
      <c r="T194" s="295">
        <f t="shared" ca="1" si="54"/>
        <v>35</v>
      </c>
      <c r="U194" s="300">
        <f t="shared" ca="1" si="55"/>
        <v>53571</v>
      </c>
    </row>
    <row r="195" spans="6:21" x14ac:dyDescent="0.25">
      <c r="F195">
        <f t="shared" si="47"/>
        <v>33</v>
      </c>
      <c r="G195">
        <v>28</v>
      </c>
      <c r="S195" s="299">
        <v>8</v>
      </c>
      <c r="T195" s="295" t="e">
        <f t="shared" ca="1" si="54"/>
        <v>#NUM!</v>
      </c>
      <c r="U195" s="300" t="e">
        <f t="shared" ca="1" si="55"/>
        <v>#NUM!</v>
      </c>
    </row>
    <row r="196" spans="6:21" x14ac:dyDescent="0.25">
      <c r="F196">
        <f t="shared" si="47"/>
        <v>34</v>
      </c>
      <c r="G196">
        <v>28</v>
      </c>
    </row>
    <row r="197" spans="6:21" x14ac:dyDescent="0.25">
      <c r="F197">
        <f t="shared" si="47"/>
        <v>35</v>
      </c>
      <c r="G197">
        <v>35</v>
      </c>
    </row>
    <row r="198" spans="6:21" x14ac:dyDescent="0.25">
      <c r="F198">
        <f t="shared" si="47"/>
        <v>36</v>
      </c>
      <c r="G198">
        <v>35</v>
      </c>
    </row>
    <row r="199" spans="6:21" x14ac:dyDescent="0.25">
      <c r="F199">
        <f t="shared" si="47"/>
        <v>37</v>
      </c>
      <c r="G199">
        <v>35</v>
      </c>
      <c r="T199" s="295" t="s">
        <v>277</v>
      </c>
      <c r="U199" s="295"/>
    </row>
    <row r="200" spans="6:21" x14ac:dyDescent="0.25">
      <c r="F200">
        <f t="shared" si="47"/>
        <v>38</v>
      </c>
      <c r="G200">
        <v>35</v>
      </c>
      <c r="T200" s="295">
        <f t="shared" ref="T200:T207" ca="1" si="56">IF(TYPE(T188)&lt;&gt;16,T188,"")</f>
        <v>0</v>
      </c>
      <c r="U200" s="296">
        <f t="shared" ref="U200:U207" ca="1" si="57">IF(TYPE(U188)&lt;&gt;16,U188,"")</f>
        <v>43344</v>
      </c>
    </row>
    <row r="201" spans="6:21" x14ac:dyDescent="0.25">
      <c r="F201">
        <f t="shared" si="47"/>
        <v>39</v>
      </c>
      <c r="G201">
        <v>35</v>
      </c>
      <c r="T201" s="295">
        <f t="shared" ca="1" si="56"/>
        <v>3</v>
      </c>
      <c r="U201" s="296">
        <f t="shared" ca="1" si="57"/>
        <v>44440</v>
      </c>
    </row>
    <row r="202" spans="6:21" x14ac:dyDescent="0.25">
      <c r="F202">
        <f t="shared" si="47"/>
        <v>40</v>
      </c>
      <c r="G202">
        <v>35</v>
      </c>
      <c r="T202" s="295">
        <f t="shared" ca="1" si="56"/>
        <v>9</v>
      </c>
      <c r="U202" s="296">
        <f t="shared" ca="1" si="57"/>
        <v>46631</v>
      </c>
    </row>
    <row r="203" spans="6:21" x14ac:dyDescent="0.25">
      <c r="F203">
        <f t="shared" si="47"/>
        <v>41</v>
      </c>
      <c r="G203">
        <v>35</v>
      </c>
      <c r="T203" s="295">
        <f t="shared" ca="1" si="56"/>
        <v>15</v>
      </c>
      <c r="U203" s="295">
        <f t="shared" ca="1" si="57"/>
        <v>48823</v>
      </c>
    </row>
    <row r="204" spans="6:21" x14ac:dyDescent="0.25">
      <c r="F204">
        <f t="shared" si="47"/>
        <v>42</v>
      </c>
      <c r="G204">
        <v>35</v>
      </c>
      <c r="T204" s="295">
        <f t="shared" ca="1" si="56"/>
        <v>21</v>
      </c>
      <c r="U204" s="295">
        <f t="shared" ca="1" si="57"/>
        <v>51014</v>
      </c>
    </row>
    <row r="205" spans="6:21" x14ac:dyDescent="0.25">
      <c r="F205">
        <f t="shared" si="47"/>
        <v>43</v>
      </c>
      <c r="G205">
        <v>35</v>
      </c>
      <c r="T205" s="295">
        <f t="shared" ca="1" si="56"/>
        <v>28</v>
      </c>
      <c r="U205" s="295">
        <f t="shared" ca="1" si="57"/>
        <v>53571</v>
      </c>
    </row>
    <row r="206" spans="6:21" x14ac:dyDescent="0.25">
      <c r="F206">
        <f t="shared" si="47"/>
        <v>44</v>
      </c>
      <c r="T206" s="295">
        <f t="shared" ca="1" si="56"/>
        <v>35</v>
      </c>
      <c r="U206" s="295">
        <f t="shared" ca="1" si="57"/>
        <v>53571</v>
      </c>
    </row>
    <row r="207" spans="6:21" x14ac:dyDescent="0.25">
      <c r="F207">
        <f t="shared" si="47"/>
        <v>45</v>
      </c>
      <c r="T207" t="str">
        <f t="shared" ca="1" si="56"/>
        <v/>
      </c>
      <c r="U207" t="str">
        <f t="shared" ca="1" si="57"/>
        <v/>
      </c>
    </row>
  </sheetData>
  <dataValidations count="1">
    <dataValidation type="list" allowBlank="1" showInputMessage="1" showErrorMessage="1" sqref="F4" xr:uid="{00000000-0002-0000-0F00-000000000000}">
      <formula1>$A$3:$A$11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7"/>
  <dimension ref="A1:BI287"/>
  <sheetViews>
    <sheetView zoomScale="80" zoomScaleNormal="80" workbookViewId="0">
      <selection activeCell="AB10" sqref="AB10"/>
    </sheetView>
  </sheetViews>
  <sheetFormatPr defaultRowHeight="15" x14ac:dyDescent="0.25"/>
  <cols>
    <col min="1" max="1" width="4.140625" style="113" customWidth="1"/>
    <col min="2" max="26" width="2.7109375" style="113" customWidth="1"/>
    <col min="27" max="27" width="8.5703125" style="113" customWidth="1"/>
    <col min="28" max="28" width="12.85546875" customWidth="1"/>
    <col min="29" max="29" width="12.28515625" customWidth="1"/>
    <col min="32" max="32" width="11.85546875" customWidth="1"/>
    <col min="43" max="43" width="14.85546875" customWidth="1"/>
  </cols>
  <sheetData>
    <row r="1" spans="28:30" x14ac:dyDescent="0.25">
      <c r="AB1" t="s">
        <v>40</v>
      </c>
    </row>
    <row r="2" spans="28:30" x14ac:dyDescent="0.25">
      <c r="AB2" t="s">
        <v>60</v>
      </c>
    </row>
    <row r="3" spans="28:30" x14ac:dyDescent="0.25">
      <c r="AB3" t="s">
        <v>63</v>
      </c>
    </row>
    <row r="4" spans="28:30" x14ac:dyDescent="0.25">
      <c r="AB4" t="s">
        <v>89</v>
      </c>
    </row>
    <row r="5" spans="28:30" x14ac:dyDescent="0.25">
      <c r="AB5" t="s">
        <v>90</v>
      </c>
    </row>
    <row r="6" spans="28:30" x14ac:dyDescent="0.25">
      <c r="AB6" t="s">
        <v>92</v>
      </c>
    </row>
    <row r="7" spans="28:30" x14ac:dyDescent="0.25">
      <c r="AB7" t="s">
        <v>91</v>
      </c>
    </row>
    <row r="10" spans="28:30" x14ac:dyDescent="0.25">
      <c r="AB10" t="str">
        <f>CONCATENATE(ti!F4,"!")</f>
        <v>DocenteLaureatoSuperiore!</v>
      </c>
    </row>
    <row r="12" spans="28:30" x14ac:dyDescent="0.25">
      <c r="AB12" t="s">
        <v>57</v>
      </c>
      <c r="AD12" s="114">
        <f ca="1">ROUND((AF165-AF164),2)</f>
        <v>1188.0999999999999</v>
      </c>
    </row>
    <row r="19" spans="1:61" x14ac:dyDescent="0.25">
      <c r="AB19" s="112"/>
    </row>
    <row r="20" spans="1:61" ht="21" x14ac:dyDescent="0.35">
      <c r="AB20" s="286" t="s">
        <v>261</v>
      </c>
    </row>
    <row r="27" spans="1:61" ht="18.75" x14ac:dyDescent="0.3">
      <c r="AB27" s="293" t="s">
        <v>262</v>
      </c>
      <c r="AC27" s="293"/>
      <c r="AD27" s="293" t="str">
        <f>AB10</f>
        <v>DocenteLaureatoSuperiore!</v>
      </c>
      <c r="AE27" s="293"/>
      <c r="AF27" s="293"/>
    </row>
    <row r="30" spans="1:61" ht="61.9" customHeight="1" x14ac:dyDescent="0.25">
      <c r="AA30" s="113" t="s">
        <v>56</v>
      </c>
      <c r="AB30" s="111" t="s">
        <v>14</v>
      </c>
      <c r="AC30" s="111" t="s">
        <v>15</v>
      </c>
      <c r="AD30" s="111"/>
      <c r="AE30" s="111" t="s">
        <v>58</v>
      </c>
      <c r="AF30" s="111" t="s">
        <v>233</v>
      </c>
      <c r="AG30" s="111" t="s">
        <v>17</v>
      </c>
      <c r="AH30" s="111" t="s">
        <v>18</v>
      </c>
      <c r="AI30" s="111" t="s">
        <v>19</v>
      </c>
      <c r="AJ30" s="111" t="s">
        <v>20</v>
      </c>
      <c r="AK30" s="111" t="s">
        <v>41</v>
      </c>
      <c r="AL30" s="111"/>
      <c r="AM30" s="111"/>
      <c r="AN30" s="111"/>
      <c r="AO30" s="111"/>
      <c r="AP30" s="111"/>
      <c r="AQ30" s="111" t="s">
        <v>22</v>
      </c>
      <c r="AR30" s="111"/>
      <c r="AS30" s="111"/>
      <c r="AT30" s="111"/>
      <c r="AU30" s="111"/>
      <c r="AV30" s="111"/>
      <c r="AW30" s="111"/>
      <c r="AX30" s="111"/>
      <c r="AY30" s="111"/>
      <c r="AZ30" s="111"/>
      <c r="BG30" t="s">
        <v>418</v>
      </c>
      <c r="BI30" t="s">
        <v>419</v>
      </c>
    </row>
    <row r="31" spans="1:61" x14ac:dyDescent="0.25">
      <c r="A31" s="113">
        <v>420</v>
      </c>
      <c r="B31" s="113" t="s">
        <v>42</v>
      </c>
      <c r="C31" s="113" t="s">
        <v>43</v>
      </c>
      <c r="D31" s="113" t="s">
        <v>54</v>
      </c>
      <c r="E31" s="113" t="s">
        <v>44</v>
      </c>
      <c r="F31" s="113" t="s">
        <v>45</v>
      </c>
      <c r="G31" s="113" t="s">
        <v>46</v>
      </c>
      <c r="H31" s="113" t="s">
        <v>47</v>
      </c>
      <c r="I31" s="113" t="s">
        <v>48</v>
      </c>
      <c r="J31" s="113" t="s">
        <v>49</v>
      </c>
      <c r="K31" s="113" t="s">
        <v>50</v>
      </c>
      <c r="L31" s="113" t="s">
        <v>51</v>
      </c>
      <c r="M31" s="113" t="s">
        <v>52</v>
      </c>
      <c r="N31" s="113" t="s">
        <v>53</v>
      </c>
      <c r="Q31" s="113" t="s">
        <v>55</v>
      </c>
      <c r="AA31" s="113">
        <v>0</v>
      </c>
      <c r="AB31" s="112">
        <f ca="1">INDIRECT(CONCATENATE($AB$10,CONCATENATE(B31,$A31)))</f>
        <v>35065</v>
      </c>
      <c r="AC31" s="112">
        <f ca="1">INDIRECT(CONCATENATE($AB$10,CONCATENATE(C31,$A31)))</f>
        <v>35369</v>
      </c>
      <c r="AF31" s="114">
        <f ca="1">INDIRECT(CONCATENATE($AB$10,CONCATENATE(F31,$A31)))</f>
        <v>8741.0300000000007</v>
      </c>
      <c r="AG31" s="114">
        <f t="shared" ref="AF31:AK46" ca="1" si="0">INDIRECT(CONCATENATE($AB$10,CONCATENATE(G31,$A31)))</f>
        <v>0</v>
      </c>
      <c r="AH31" s="114">
        <f t="shared" ca="1" si="0"/>
        <v>0</v>
      </c>
      <c r="AI31" s="114">
        <f t="shared" ca="1" si="0"/>
        <v>6459.63</v>
      </c>
      <c r="AJ31" s="114">
        <f t="shared" ca="1" si="0"/>
        <v>0</v>
      </c>
      <c r="AK31" s="114">
        <f t="shared" ca="1" si="0"/>
        <v>1266.72</v>
      </c>
      <c r="AN31">
        <f>31</f>
        <v>31</v>
      </c>
      <c r="AQ31" s="114">
        <f ca="1">INDIRECT(CONCATENATE($AB$10,CONCATENATE(Q31,$A31)))</f>
        <v>0</v>
      </c>
      <c r="AW31">
        <v>31</v>
      </c>
      <c r="BG31" s="114">
        <f ca="1">AF31+AG31+AH31+AI31+AJ31+AQ31</f>
        <v>15200.66</v>
      </c>
      <c r="BI31">
        <f>AE31</f>
        <v>0</v>
      </c>
    </row>
    <row r="32" spans="1:61" x14ac:dyDescent="0.25">
      <c r="A32" s="113">
        <f t="shared" ref="A32:A37" si="1">A31+2</f>
        <v>422</v>
      </c>
      <c r="B32" s="113" t="str">
        <f t="shared" ref="B32:Q37" si="2">B31</f>
        <v>a</v>
      </c>
      <c r="C32" s="113" t="str">
        <f t="shared" si="2"/>
        <v>b</v>
      </c>
      <c r="D32" s="113" t="str">
        <f t="shared" si="2"/>
        <v>c</v>
      </c>
      <c r="E32" s="113" t="str">
        <f t="shared" si="2"/>
        <v>d</v>
      </c>
      <c r="F32" s="113" t="str">
        <f t="shared" si="2"/>
        <v>e</v>
      </c>
      <c r="G32" s="113" t="str">
        <f t="shared" si="2"/>
        <v>f</v>
      </c>
      <c r="H32" s="113" t="str">
        <f t="shared" si="2"/>
        <v>g</v>
      </c>
      <c r="I32" s="113" t="str">
        <f t="shared" si="2"/>
        <v>h</v>
      </c>
      <c r="J32" s="113" t="str">
        <f t="shared" si="2"/>
        <v>i</v>
      </c>
      <c r="K32" s="113" t="str">
        <f t="shared" si="2"/>
        <v>j</v>
      </c>
      <c r="L32" s="113" t="str">
        <f t="shared" si="2"/>
        <v>k</v>
      </c>
      <c r="M32" s="113" t="str">
        <f t="shared" si="2"/>
        <v>l</v>
      </c>
      <c r="N32" s="113" t="str">
        <f t="shared" si="2"/>
        <v>m</v>
      </c>
      <c r="O32" s="113">
        <f t="shared" si="2"/>
        <v>0</v>
      </c>
      <c r="P32" s="113">
        <f t="shared" si="2"/>
        <v>0</v>
      </c>
      <c r="Q32" s="113" t="str">
        <f t="shared" si="2"/>
        <v>p</v>
      </c>
      <c r="AA32" s="113">
        <v>3</v>
      </c>
      <c r="AB32" s="112">
        <f t="shared" ref="AB32:AC37" ca="1" si="3">AB31</f>
        <v>35065</v>
      </c>
      <c r="AC32" s="112">
        <f t="shared" ca="1" si="3"/>
        <v>35369</v>
      </c>
      <c r="AF32" s="114">
        <f t="shared" ca="1" si="0"/>
        <v>9600.42</v>
      </c>
      <c r="AG32" s="114">
        <f t="shared" ca="1" si="0"/>
        <v>0</v>
      </c>
      <c r="AH32" s="114">
        <f t="shared" ca="1" si="0"/>
        <v>0</v>
      </c>
      <c r="AI32" s="114">
        <f t="shared" ca="1" si="0"/>
        <v>6459.63</v>
      </c>
      <c r="AJ32" s="114">
        <f t="shared" ca="1" si="0"/>
        <v>0</v>
      </c>
      <c r="AK32" s="114">
        <f t="shared" ca="1" si="0"/>
        <v>1338.34</v>
      </c>
      <c r="AN32">
        <f>AN31+1</f>
        <v>32</v>
      </c>
      <c r="AQ32" s="114">
        <f ca="1">INDIRECT(CONCATENATE($AB$10,CONCATENATE(Q32,$A32)))</f>
        <v>0</v>
      </c>
      <c r="AW32">
        <v>32</v>
      </c>
      <c r="BG32" s="114">
        <f t="shared" ref="BG32:BG95" ca="1" si="4">AF32+AG32+AH32+AI32+AJ32+AQ32</f>
        <v>16060.05</v>
      </c>
      <c r="BI32">
        <f t="shared" ref="BI32:BI95" si="5">AE32</f>
        <v>0</v>
      </c>
    </row>
    <row r="33" spans="1:61" x14ac:dyDescent="0.25">
      <c r="A33" s="113">
        <f t="shared" si="1"/>
        <v>424</v>
      </c>
      <c r="B33" s="113" t="str">
        <f t="shared" si="2"/>
        <v>a</v>
      </c>
      <c r="C33" s="113" t="str">
        <f t="shared" si="2"/>
        <v>b</v>
      </c>
      <c r="D33" s="113" t="str">
        <f t="shared" si="2"/>
        <v>c</v>
      </c>
      <c r="E33" s="113" t="str">
        <f t="shared" si="2"/>
        <v>d</v>
      </c>
      <c r="F33" s="113" t="str">
        <f t="shared" si="2"/>
        <v>e</v>
      </c>
      <c r="G33" s="113" t="str">
        <f t="shared" si="2"/>
        <v>f</v>
      </c>
      <c r="H33" s="113" t="str">
        <f t="shared" si="2"/>
        <v>g</v>
      </c>
      <c r="I33" s="113" t="str">
        <f t="shared" si="2"/>
        <v>h</v>
      </c>
      <c r="J33" s="113" t="str">
        <f t="shared" si="2"/>
        <v>i</v>
      </c>
      <c r="K33" s="113" t="str">
        <f t="shared" si="2"/>
        <v>j</v>
      </c>
      <c r="L33" s="113" t="str">
        <f t="shared" si="2"/>
        <v>k</v>
      </c>
      <c r="M33" s="113" t="str">
        <f t="shared" si="2"/>
        <v>l</v>
      </c>
      <c r="N33" s="113" t="str">
        <f t="shared" si="2"/>
        <v>m</v>
      </c>
      <c r="O33" s="113">
        <f t="shared" si="2"/>
        <v>0</v>
      </c>
      <c r="P33" s="113">
        <f t="shared" si="2"/>
        <v>0</v>
      </c>
      <c r="Q33" s="113" t="str">
        <f t="shared" si="2"/>
        <v>p</v>
      </c>
      <c r="AA33" s="113">
        <v>9</v>
      </c>
      <c r="AB33" s="112">
        <f t="shared" ca="1" si="3"/>
        <v>35065</v>
      </c>
      <c r="AC33" s="112">
        <f t="shared" ca="1" si="3"/>
        <v>35369</v>
      </c>
      <c r="AF33" s="114">
        <f t="shared" ca="1" si="0"/>
        <v>10977.81</v>
      </c>
      <c r="AG33" s="114">
        <f t="shared" ca="1" si="0"/>
        <v>0</v>
      </c>
      <c r="AH33" s="114">
        <f t="shared" ca="1" si="0"/>
        <v>0</v>
      </c>
      <c r="AI33" s="114">
        <f t="shared" ca="1" si="0"/>
        <v>6459.63</v>
      </c>
      <c r="AJ33" s="114">
        <f t="shared" ca="1" si="0"/>
        <v>0</v>
      </c>
      <c r="AK33" s="114">
        <f t="shared" ca="1" si="0"/>
        <v>1453.12</v>
      </c>
      <c r="AN33">
        <f t="shared" ref="AN33:AN96" si="6">AN32+1</f>
        <v>33</v>
      </c>
      <c r="AQ33" s="114">
        <f t="shared" ref="AQ33:AQ96" ca="1" si="7">INDIRECT(CONCATENATE($AB$10,CONCATENATE(Q33,$A33)))</f>
        <v>0</v>
      </c>
      <c r="AW33">
        <v>33</v>
      </c>
      <c r="BG33" s="114">
        <f t="shared" ca="1" si="4"/>
        <v>17437.439999999999</v>
      </c>
      <c r="BI33">
        <f t="shared" si="5"/>
        <v>0</v>
      </c>
    </row>
    <row r="34" spans="1:61" x14ac:dyDescent="0.25">
      <c r="A34" s="113">
        <f t="shared" si="1"/>
        <v>426</v>
      </c>
      <c r="B34" s="113" t="str">
        <f t="shared" si="2"/>
        <v>a</v>
      </c>
      <c r="C34" s="113" t="str">
        <f t="shared" si="2"/>
        <v>b</v>
      </c>
      <c r="D34" s="113" t="str">
        <f t="shared" si="2"/>
        <v>c</v>
      </c>
      <c r="E34" s="113" t="str">
        <f t="shared" si="2"/>
        <v>d</v>
      </c>
      <c r="F34" s="113" t="str">
        <f t="shared" si="2"/>
        <v>e</v>
      </c>
      <c r="G34" s="113" t="str">
        <f t="shared" si="2"/>
        <v>f</v>
      </c>
      <c r="H34" s="113" t="str">
        <f t="shared" si="2"/>
        <v>g</v>
      </c>
      <c r="I34" s="113" t="str">
        <f t="shared" si="2"/>
        <v>h</v>
      </c>
      <c r="J34" s="113" t="str">
        <f t="shared" si="2"/>
        <v>i</v>
      </c>
      <c r="K34" s="113" t="str">
        <f t="shared" si="2"/>
        <v>j</v>
      </c>
      <c r="L34" s="113" t="str">
        <f t="shared" si="2"/>
        <v>k</v>
      </c>
      <c r="M34" s="113" t="str">
        <f t="shared" si="2"/>
        <v>l</v>
      </c>
      <c r="N34" s="113" t="str">
        <f t="shared" si="2"/>
        <v>m</v>
      </c>
      <c r="O34" s="113">
        <f t="shared" si="2"/>
        <v>0</v>
      </c>
      <c r="P34" s="113">
        <f t="shared" si="2"/>
        <v>0</v>
      </c>
      <c r="Q34" s="113" t="str">
        <f t="shared" si="2"/>
        <v>p</v>
      </c>
      <c r="AA34" s="113">
        <v>15</v>
      </c>
      <c r="AB34" s="112">
        <f t="shared" ca="1" si="3"/>
        <v>35065</v>
      </c>
      <c r="AC34" s="112">
        <f t="shared" ca="1" si="3"/>
        <v>35369</v>
      </c>
      <c r="AF34" s="114">
        <f t="shared" ca="1" si="0"/>
        <v>12676.95</v>
      </c>
      <c r="AG34" s="114">
        <f t="shared" ca="1" si="0"/>
        <v>0</v>
      </c>
      <c r="AH34" s="114">
        <f t="shared" ca="1" si="0"/>
        <v>0</v>
      </c>
      <c r="AI34" s="114">
        <f t="shared" ca="1" si="0"/>
        <v>6459.63</v>
      </c>
      <c r="AJ34" s="114">
        <f t="shared" ca="1" si="0"/>
        <v>0</v>
      </c>
      <c r="AK34" s="114">
        <f t="shared" ca="1" si="0"/>
        <v>1594.72</v>
      </c>
      <c r="AN34">
        <f t="shared" si="6"/>
        <v>34</v>
      </c>
      <c r="AQ34" s="114">
        <f t="shared" ca="1" si="7"/>
        <v>0</v>
      </c>
      <c r="AW34">
        <v>34</v>
      </c>
      <c r="BG34" s="114">
        <f t="shared" ca="1" si="4"/>
        <v>19136.580000000002</v>
      </c>
      <c r="BI34">
        <f t="shared" si="5"/>
        <v>0</v>
      </c>
    </row>
    <row r="35" spans="1:61" x14ac:dyDescent="0.25">
      <c r="A35" s="113">
        <f t="shared" si="1"/>
        <v>428</v>
      </c>
      <c r="B35" s="113" t="str">
        <f t="shared" si="2"/>
        <v>a</v>
      </c>
      <c r="C35" s="113" t="str">
        <f t="shared" si="2"/>
        <v>b</v>
      </c>
      <c r="D35" s="113" t="str">
        <f t="shared" si="2"/>
        <v>c</v>
      </c>
      <c r="E35" s="113" t="str">
        <f t="shared" si="2"/>
        <v>d</v>
      </c>
      <c r="F35" s="113" t="str">
        <f t="shared" si="2"/>
        <v>e</v>
      </c>
      <c r="G35" s="113" t="str">
        <f t="shared" si="2"/>
        <v>f</v>
      </c>
      <c r="H35" s="113" t="str">
        <f t="shared" si="2"/>
        <v>g</v>
      </c>
      <c r="I35" s="113" t="str">
        <f t="shared" si="2"/>
        <v>h</v>
      </c>
      <c r="J35" s="113" t="str">
        <f t="shared" si="2"/>
        <v>i</v>
      </c>
      <c r="K35" s="113" t="str">
        <f t="shared" si="2"/>
        <v>j</v>
      </c>
      <c r="L35" s="113" t="str">
        <f t="shared" si="2"/>
        <v>k</v>
      </c>
      <c r="M35" s="113" t="str">
        <f t="shared" si="2"/>
        <v>l</v>
      </c>
      <c r="N35" s="113" t="str">
        <f t="shared" si="2"/>
        <v>m</v>
      </c>
      <c r="O35" s="113">
        <f t="shared" si="2"/>
        <v>0</v>
      </c>
      <c r="P35" s="113">
        <f t="shared" si="2"/>
        <v>0</v>
      </c>
      <c r="Q35" s="113" t="str">
        <f t="shared" si="2"/>
        <v>p</v>
      </c>
      <c r="AA35" s="113">
        <v>21</v>
      </c>
      <c r="AB35" s="112">
        <f t="shared" ca="1" si="3"/>
        <v>35065</v>
      </c>
      <c r="AC35" s="112">
        <f t="shared" ca="1" si="3"/>
        <v>35369</v>
      </c>
      <c r="AF35" s="114">
        <f t="shared" ca="1" si="0"/>
        <v>14841.94</v>
      </c>
      <c r="AG35" s="114">
        <f t="shared" ca="1" si="0"/>
        <v>0</v>
      </c>
      <c r="AH35" s="114">
        <f t="shared" ca="1" si="0"/>
        <v>0</v>
      </c>
      <c r="AI35" s="114">
        <f t="shared" ca="1" si="0"/>
        <v>6459.63</v>
      </c>
      <c r="AJ35" s="114">
        <f t="shared" ca="1" si="0"/>
        <v>0</v>
      </c>
      <c r="AK35" s="114">
        <f t="shared" ca="1" si="0"/>
        <v>1775.13</v>
      </c>
      <c r="AN35">
        <f t="shared" si="6"/>
        <v>35</v>
      </c>
      <c r="AQ35" s="114">
        <f t="shared" ca="1" si="7"/>
        <v>0</v>
      </c>
      <c r="AW35">
        <v>35</v>
      </c>
      <c r="BG35" s="114">
        <f t="shared" ca="1" si="4"/>
        <v>21301.57</v>
      </c>
      <c r="BI35">
        <f t="shared" si="5"/>
        <v>0</v>
      </c>
    </row>
    <row r="36" spans="1:61" x14ac:dyDescent="0.25">
      <c r="A36" s="113">
        <f t="shared" si="1"/>
        <v>430</v>
      </c>
      <c r="B36" s="113" t="str">
        <f t="shared" si="2"/>
        <v>a</v>
      </c>
      <c r="C36" s="113" t="str">
        <f t="shared" si="2"/>
        <v>b</v>
      </c>
      <c r="D36" s="113" t="str">
        <f t="shared" si="2"/>
        <v>c</v>
      </c>
      <c r="E36" s="113" t="str">
        <f t="shared" si="2"/>
        <v>d</v>
      </c>
      <c r="F36" s="113" t="str">
        <f t="shared" si="2"/>
        <v>e</v>
      </c>
      <c r="G36" s="113" t="str">
        <f t="shared" si="2"/>
        <v>f</v>
      </c>
      <c r="H36" s="113" t="str">
        <f t="shared" si="2"/>
        <v>g</v>
      </c>
      <c r="I36" s="113" t="str">
        <f t="shared" si="2"/>
        <v>h</v>
      </c>
      <c r="J36" s="113" t="str">
        <f t="shared" si="2"/>
        <v>i</v>
      </c>
      <c r="K36" s="113" t="str">
        <f t="shared" si="2"/>
        <v>j</v>
      </c>
      <c r="L36" s="113" t="str">
        <f t="shared" si="2"/>
        <v>k</v>
      </c>
      <c r="M36" s="113" t="str">
        <f t="shared" si="2"/>
        <v>l</v>
      </c>
      <c r="N36" s="113" t="str">
        <f t="shared" si="2"/>
        <v>m</v>
      </c>
      <c r="O36" s="113">
        <f t="shared" si="2"/>
        <v>0</v>
      </c>
      <c r="P36" s="113">
        <f t="shared" si="2"/>
        <v>0</v>
      </c>
      <c r="Q36" s="113" t="str">
        <f t="shared" si="2"/>
        <v>p</v>
      </c>
      <c r="AA36" s="113">
        <v>28</v>
      </c>
      <c r="AB36" s="112">
        <f t="shared" ca="1" si="3"/>
        <v>35065</v>
      </c>
      <c r="AC36" s="112">
        <f t="shared" ca="1" si="3"/>
        <v>35369</v>
      </c>
      <c r="AF36" s="114">
        <f t="shared" ca="1" si="0"/>
        <v>16259.1</v>
      </c>
      <c r="AG36" s="114">
        <f t="shared" ca="1" si="0"/>
        <v>0</v>
      </c>
      <c r="AH36" s="114">
        <f t="shared" ca="1" si="0"/>
        <v>0</v>
      </c>
      <c r="AI36" s="114">
        <f t="shared" ca="1" si="0"/>
        <v>6459.63</v>
      </c>
      <c r="AJ36" s="114">
        <f t="shared" ca="1" si="0"/>
        <v>0</v>
      </c>
      <c r="AK36" s="114">
        <f t="shared" ca="1" si="0"/>
        <v>1893.23</v>
      </c>
      <c r="AN36">
        <f t="shared" si="6"/>
        <v>36</v>
      </c>
      <c r="AQ36" s="114">
        <f t="shared" ca="1" si="7"/>
        <v>0</v>
      </c>
      <c r="AW36">
        <v>36</v>
      </c>
      <c r="BG36" s="114">
        <f t="shared" ca="1" si="4"/>
        <v>22718.73</v>
      </c>
      <c r="BI36">
        <f t="shared" si="5"/>
        <v>0</v>
      </c>
    </row>
    <row r="37" spans="1:61" x14ac:dyDescent="0.25">
      <c r="A37" s="113">
        <f t="shared" si="1"/>
        <v>432</v>
      </c>
      <c r="B37" s="113" t="str">
        <f t="shared" si="2"/>
        <v>a</v>
      </c>
      <c r="C37" s="113" t="str">
        <f t="shared" si="2"/>
        <v>b</v>
      </c>
      <c r="D37" s="113" t="str">
        <f t="shared" si="2"/>
        <v>c</v>
      </c>
      <c r="E37" s="113" t="str">
        <f t="shared" si="2"/>
        <v>d</v>
      </c>
      <c r="F37" s="113" t="str">
        <f t="shared" si="2"/>
        <v>e</v>
      </c>
      <c r="G37" s="113" t="str">
        <f t="shared" si="2"/>
        <v>f</v>
      </c>
      <c r="H37" s="113" t="str">
        <f t="shared" si="2"/>
        <v>g</v>
      </c>
      <c r="I37" s="113" t="str">
        <f t="shared" si="2"/>
        <v>h</v>
      </c>
      <c r="J37" s="113" t="str">
        <f t="shared" si="2"/>
        <v>i</v>
      </c>
      <c r="K37" s="113" t="str">
        <f t="shared" si="2"/>
        <v>j</v>
      </c>
      <c r="L37" s="113" t="str">
        <f t="shared" si="2"/>
        <v>k</v>
      </c>
      <c r="M37" s="113" t="str">
        <f t="shared" si="2"/>
        <v>l</v>
      </c>
      <c r="N37" s="113" t="str">
        <f t="shared" si="2"/>
        <v>m</v>
      </c>
      <c r="O37" s="113">
        <f t="shared" si="2"/>
        <v>0</v>
      </c>
      <c r="P37" s="113">
        <f t="shared" si="2"/>
        <v>0</v>
      </c>
      <c r="Q37" s="113" t="str">
        <f t="shared" si="2"/>
        <v>p</v>
      </c>
      <c r="AA37" s="113">
        <v>35</v>
      </c>
      <c r="AB37" s="112">
        <f t="shared" ca="1" si="3"/>
        <v>35065</v>
      </c>
      <c r="AC37" s="112">
        <f t="shared" ca="1" si="3"/>
        <v>35369</v>
      </c>
      <c r="AF37" s="114">
        <f t="shared" ca="1" si="0"/>
        <v>17393.240000000002</v>
      </c>
      <c r="AG37" s="114">
        <f t="shared" ca="1" si="0"/>
        <v>0</v>
      </c>
      <c r="AH37" s="114">
        <f t="shared" ca="1" si="0"/>
        <v>0</v>
      </c>
      <c r="AI37" s="114">
        <f t="shared" ca="1" si="0"/>
        <v>6459.63</v>
      </c>
      <c r="AJ37" s="114">
        <f t="shared" ca="1" si="0"/>
        <v>0</v>
      </c>
      <c r="AK37" s="114">
        <f t="shared" ca="1" si="0"/>
        <v>1987.74</v>
      </c>
      <c r="AN37">
        <f t="shared" si="6"/>
        <v>37</v>
      </c>
      <c r="AQ37" s="114">
        <f t="shared" ca="1" si="7"/>
        <v>0</v>
      </c>
      <c r="AW37">
        <v>37</v>
      </c>
      <c r="BG37" s="114">
        <f t="shared" ca="1" si="4"/>
        <v>23852.870000000003</v>
      </c>
      <c r="BI37">
        <f t="shared" si="5"/>
        <v>0</v>
      </c>
    </row>
    <row r="38" spans="1:61" x14ac:dyDescent="0.25">
      <c r="A38" s="113">
        <f>A31+20</f>
        <v>440</v>
      </c>
      <c r="B38" s="113" t="str">
        <f>B31</f>
        <v>a</v>
      </c>
      <c r="C38" s="113" t="str">
        <f t="shared" ref="C38:X38" si="8">C31</f>
        <v>b</v>
      </c>
      <c r="D38" s="113" t="str">
        <f t="shared" si="8"/>
        <v>c</v>
      </c>
      <c r="E38" s="113" t="str">
        <f t="shared" si="8"/>
        <v>d</v>
      </c>
      <c r="F38" s="113" t="str">
        <f t="shared" si="8"/>
        <v>e</v>
      </c>
      <c r="G38" s="113" t="str">
        <f t="shared" si="8"/>
        <v>f</v>
      </c>
      <c r="H38" s="113" t="str">
        <f t="shared" si="8"/>
        <v>g</v>
      </c>
      <c r="I38" s="113" t="str">
        <f t="shared" si="8"/>
        <v>h</v>
      </c>
      <c r="J38" s="113" t="str">
        <f t="shared" si="8"/>
        <v>i</v>
      </c>
      <c r="K38" s="113" t="str">
        <f t="shared" si="8"/>
        <v>j</v>
      </c>
      <c r="L38" s="113" t="str">
        <f t="shared" si="8"/>
        <v>k</v>
      </c>
      <c r="M38" s="113" t="str">
        <f t="shared" si="8"/>
        <v>l</v>
      </c>
      <c r="N38" s="113" t="str">
        <f t="shared" si="8"/>
        <v>m</v>
      </c>
      <c r="O38" s="113">
        <f t="shared" si="8"/>
        <v>0</v>
      </c>
      <c r="P38" s="113">
        <f t="shared" si="8"/>
        <v>0</v>
      </c>
      <c r="Q38" s="113" t="str">
        <f t="shared" si="8"/>
        <v>p</v>
      </c>
      <c r="R38" s="113">
        <f t="shared" si="8"/>
        <v>0</v>
      </c>
      <c r="S38" s="113">
        <f t="shared" si="8"/>
        <v>0</v>
      </c>
      <c r="T38" s="113">
        <f t="shared" si="8"/>
        <v>0</v>
      </c>
      <c r="U38" s="113">
        <f t="shared" si="8"/>
        <v>0</v>
      </c>
      <c r="V38" s="113">
        <f t="shared" si="8"/>
        <v>0</v>
      </c>
      <c r="W38" s="113">
        <f t="shared" si="8"/>
        <v>0</v>
      </c>
      <c r="X38" s="113">
        <f t="shared" si="8"/>
        <v>0</v>
      </c>
      <c r="AA38" s="113">
        <v>0</v>
      </c>
      <c r="AB38" s="112">
        <f ca="1">INDIRECT(CONCATENATE($AB$10,CONCATENATE(B38,$A38)))</f>
        <v>35370</v>
      </c>
      <c r="AC38" s="112">
        <f ca="1">INDIRECT(CONCATENATE($AB$10,CONCATENATE(C38,$A38)))</f>
        <v>35611</v>
      </c>
      <c r="AF38" s="114">
        <f t="shared" ca="1" si="0"/>
        <v>9261.6200000000008</v>
      </c>
      <c r="AG38" s="114">
        <f t="shared" ca="1" si="0"/>
        <v>0</v>
      </c>
      <c r="AH38" s="114">
        <f t="shared" ca="1" si="0"/>
        <v>0</v>
      </c>
      <c r="AI38" s="114">
        <f t="shared" ca="1" si="0"/>
        <v>6459.63</v>
      </c>
      <c r="AJ38" s="114">
        <f t="shared" ca="1" si="0"/>
        <v>0</v>
      </c>
      <c r="AK38" s="114">
        <f t="shared" ca="1" si="0"/>
        <v>1310.0999999999999</v>
      </c>
      <c r="AN38">
        <f t="shared" si="6"/>
        <v>38</v>
      </c>
      <c r="AQ38" s="114">
        <f t="shared" ca="1" si="7"/>
        <v>0</v>
      </c>
      <c r="AW38">
        <v>38</v>
      </c>
      <c r="BG38" s="114">
        <f t="shared" ca="1" si="4"/>
        <v>15721.25</v>
      </c>
      <c r="BI38">
        <f t="shared" si="5"/>
        <v>0</v>
      </c>
    </row>
    <row r="39" spans="1:61" x14ac:dyDescent="0.25">
      <c r="A39" s="113">
        <f t="shared" ref="A39:A44" si="9">A38+2</f>
        <v>442</v>
      </c>
      <c r="B39" s="113" t="str">
        <f t="shared" ref="B39:X44" si="10">B38</f>
        <v>a</v>
      </c>
      <c r="C39" s="113" t="str">
        <f t="shared" si="10"/>
        <v>b</v>
      </c>
      <c r="D39" s="113" t="str">
        <f t="shared" si="10"/>
        <v>c</v>
      </c>
      <c r="E39" s="113" t="str">
        <f t="shared" si="10"/>
        <v>d</v>
      </c>
      <c r="F39" s="113" t="str">
        <f t="shared" si="10"/>
        <v>e</v>
      </c>
      <c r="G39" s="113" t="str">
        <f t="shared" si="10"/>
        <v>f</v>
      </c>
      <c r="H39" s="113" t="str">
        <f t="shared" si="10"/>
        <v>g</v>
      </c>
      <c r="I39" s="113" t="str">
        <f t="shared" si="10"/>
        <v>h</v>
      </c>
      <c r="J39" s="113" t="str">
        <f t="shared" si="10"/>
        <v>i</v>
      </c>
      <c r="K39" s="113" t="str">
        <f t="shared" si="10"/>
        <v>j</v>
      </c>
      <c r="L39" s="113" t="str">
        <f t="shared" si="10"/>
        <v>k</v>
      </c>
      <c r="M39" s="113" t="str">
        <f t="shared" si="10"/>
        <v>l</v>
      </c>
      <c r="N39" s="113" t="str">
        <f t="shared" si="10"/>
        <v>m</v>
      </c>
      <c r="O39" s="113">
        <f t="shared" si="10"/>
        <v>0</v>
      </c>
      <c r="P39" s="113">
        <f t="shared" si="10"/>
        <v>0</v>
      </c>
      <c r="Q39" s="113" t="str">
        <f t="shared" si="10"/>
        <v>p</v>
      </c>
      <c r="R39" s="113">
        <f t="shared" si="10"/>
        <v>0</v>
      </c>
      <c r="S39" s="113">
        <f t="shared" si="10"/>
        <v>0</v>
      </c>
      <c r="T39" s="113">
        <f t="shared" si="10"/>
        <v>0</v>
      </c>
      <c r="U39" s="113">
        <f t="shared" si="10"/>
        <v>0</v>
      </c>
      <c r="V39" s="113">
        <f t="shared" si="10"/>
        <v>0</v>
      </c>
      <c r="W39" s="113">
        <f t="shared" si="10"/>
        <v>0</v>
      </c>
      <c r="X39" s="113">
        <f t="shared" si="10"/>
        <v>0</v>
      </c>
      <c r="AA39" s="113">
        <v>3</v>
      </c>
      <c r="AB39" s="112">
        <f t="shared" ref="AB39:AC44" ca="1" si="11">AB38</f>
        <v>35370</v>
      </c>
      <c r="AC39" s="112">
        <f t="shared" ca="1" si="11"/>
        <v>35611</v>
      </c>
      <c r="AF39" s="114">
        <f t="shared" ca="1" si="0"/>
        <v>10145.799999999999</v>
      </c>
      <c r="AG39" s="114">
        <f t="shared" ca="1" si="0"/>
        <v>0</v>
      </c>
      <c r="AH39" s="114">
        <f t="shared" ca="1" si="0"/>
        <v>0</v>
      </c>
      <c r="AI39" s="114">
        <f t="shared" ca="1" si="0"/>
        <v>6459.63</v>
      </c>
      <c r="AJ39" s="114">
        <f t="shared" ca="1" si="0"/>
        <v>0</v>
      </c>
      <c r="AK39" s="114">
        <f t="shared" ca="1" si="0"/>
        <v>1383.79</v>
      </c>
      <c r="AN39">
        <f t="shared" si="6"/>
        <v>39</v>
      </c>
      <c r="AQ39" s="114">
        <f t="shared" ca="1" si="7"/>
        <v>0</v>
      </c>
      <c r="AW39">
        <v>39</v>
      </c>
      <c r="BG39" s="114">
        <f t="shared" ca="1" si="4"/>
        <v>16605.43</v>
      </c>
      <c r="BI39">
        <f t="shared" si="5"/>
        <v>0</v>
      </c>
    </row>
    <row r="40" spans="1:61" x14ac:dyDescent="0.25">
      <c r="A40" s="113">
        <f t="shared" si="9"/>
        <v>444</v>
      </c>
      <c r="B40" s="113" t="str">
        <f t="shared" si="10"/>
        <v>a</v>
      </c>
      <c r="C40" s="113" t="str">
        <f t="shared" si="10"/>
        <v>b</v>
      </c>
      <c r="D40" s="113" t="str">
        <f t="shared" si="10"/>
        <v>c</v>
      </c>
      <c r="E40" s="113" t="str">
        <f t="shared" si="10"/>
        <v>d</v>
      </c>
      <c r="F40" s="113" t="str">
        <f t="shared" si="10"/>
        <v>e</v>
      </c>
      <c r="G40" s="113" t="str">
        <f t="shared" si="10"/>
        <v>f</v>
      </c>
      <c r="H40" s="113" t="str">
        <f t="shared" si="10"/>
        <v>g</v>
      </c>
      <c r="I40" s="113" t="str">
        <f t="shared" si="10"/>
        <v>h</v>
      </c>
      <c r="J40" s="113" t="str">
        <f t="shared" si="10"/>
        <v>i</v>
      </c>
      <c r="K40" s="113" t="str">
        <f t="shared" si="10"/>
        <v>j</v>
      </c>
      <c r="L40" s="113" t="str">
        <f t="shared" si="10"/>
        <v>k</v>
      </c>
      <c r="M40" s="113" t="str">
        <f t="shared" si="10"/>
        <v>l</v>
      </c>
      <c r="N40" s="113" t="str">
        <f t="shared" si="10"/>
        <v>m</v>
      </c>
      <c r="O40" s="113">
        <f t="shared" si="10"/>
        <v>0</v>
      </c>
      <c r="P40" s="113">
        <f t="shared" si="10"/>
        <v>0</v>
      </c>
      <c r="Q40" s="113" t="str">
        <f t="shared" si="10"/>
        <v>p</v>
      </c>
      <c r="R40" s="113">
        <f t="shared" si="10"/>
        <v>0</v>
      </c>
      <c r="S40" s="113">
        <f t="shared" si="10"/>
        <v>0</v>
      </c>
      <c r="T40" s="113">
        <f t="shared" si="10"/>
        <v>0</v>
      </c>
      <c r="U40" s="113">
        <f t="shared" si="10"/>
        <v>0</v>
      </c>
      <c r="V40" s="113">
        <f t="shared" si="10"/>
        <v>0</v>
      </c>
      <c r="W40" s="113">
        <f t="shared" si="10"/>
        <v>0</v>
      </c>
      <c r="X40" s="113">
        <f t="shared" si="10"/>
        <v>0</v>
      </c>
      <c r="AA40" s="113">
        <v>9</v>
      </c>
      <c r="AB40" s="112">
        <f t="shared" ca="1" si="11"/>
        <v>35370</v>
      </c>
      <c r="AC40" s="112">
        <f t="shared" ca="1" si="11"/>
        <v>35611</v>
      </c>
      <c r="AF40" s="114">
        <f t="shared" ca="1" si="0"/>
        <v>11572.77</v>
      </c>
      <c r="AG40" s="114">
        <f t="shared" ca="1" si="0"/>
        <v>0</v>
      </c>
      <c r="AH40" s="114">
        <f t="shared" ca="1" si="0"/>
        <v>0</v>
      </c>
      <c r="AI40" s="114">
        <f t="shared" ca="1" si="0"/>
        <v>6459.63</v>
      </c>
      <c r="AJ40" s="114">
        <f t="shared" ca="1" si="0"/>
        <v>0</v>
      </c>
      <c r="AK40" s="114">
        <f t="shared" ca="1" si="0"/>
        <v>1502.7</v>
      </c>
      <c r="AN40">
        <f t="shared" si="6"/>
        <v>40</v>
      </c>
      <c r="AQ40" s="114">
        <f t="shared" ca="1" si="7"/>
        <v>0</v>
      </c>
      <c r="AW40">
        <v>40</v>
      </c>
      <c r="BG40" s="114">
        <f t="shared" ca="1" si="4"/>
        <v>18032.400000000001</v>
      </c>
      <c r="BI40">
        <f t="shared" si="5"/>
        <v>0</v>
      </c>
    </row>
    <row r="41" spans="1:61" x14ac:dyDescent="0.25">
      <c r="A41" s="113">
        <f t="shared" si="9"/>
        <v>446</v>
      </c>
      <c r="B41" s="113" t="str">
        <f t="shared" si="10"/>
        <v>a</v>
      </c>
      <c r="C41" s="113" t="str">
        <f t="shared" si="10"/>
        <v>b</v>
      </c>
      <c r="D41" s="113" t="str">
        <f t="shared" si="10"/>
        <v>c</v>
      </c>
      <c r="E41" s="113" t="str">
        <f t="shared" si="10"/>
        <v>d</v>
      </c>
      <c r="F41" s="113" t="str">
        <f t="shared" si="10"/>
        <v>e</v>
      </c>
      <c r="G41" s="113" t="str">
        <f t="shared" si="10"/>
        <v>f</v>
      </c>
      <c r="H41" s="113" t="str">
        <f t="shared" si="10"/>
        <v>g</v>
      </c>
      <c r="I41" s="113" t="str">
        <f t="shared" si="10"/>
        <v>h</v>
      </c>
      <c r="J41" s="113" t="str">
        <f t="shared" si="10"/>
        <v>i</v>
      </c>
      <c r="K41" s="113" t="str">
        <f t="shared" si="10"/>
        <v>j</v>
      </c>
      <c r="L41" s="113" t="str">
        <f t="shared" si="10"/>
        <v>k</v>
      </c>
      <c r="M41" s="113" t="str">
        <f t="shared" si="10"/>
        <v>l</v>
      </c>
      <c r="N41" s="113" t="str">
        <f t="shared" si="10"/>
        <v>m</v>
      </c>
      <c r="O41" s="113">
        <f t="shared" si="10"/>
        <v>0</v>
      </c>
      <c r="P41" s="113">
        <f t="shared" si="10"/>
        <v>0</v>
      </c>
      <c r="Q41" s="113" t="str">
        <f t="shared" si="10"/>
        <v>p</v>
      </c>
      <c r="R41" s="113">
        <f t="shared" si="10"/>
        <v>0</v>
      </c>
      <c r="S41" s="113">
        <f t="shared" si="10"/>
        <v>0</v>
      </c>
      <c r="T41" s="113">
        <f t="shared" si="10"/>
        <v>0</v>
      </c>
      <c r="U41" s="113">
        <f t="shared" si="10"/>
        <v>0</v>
      </c>
      <c r="V41" s="113">
        <f t="shared" si="10"/>
        <v>0</v>
      </c>
      <c r="W41" s="113">
        <f t="shared" si="10"/>
        <v>0</v>
      </c>
      <c r="X41" s="113">
        <f t="shared" si="10"/>
        <v>0</v>
      </c>
      <c r="AA41" s="113">
        <v>15</v>
      </c>
      <c r="AB41" s="112">
        <f t="shared" ca="1" si="11"/>
        <v>35370</v>
      </c>
      <c r="AC41" s="112">
        <f t="shared" ca="1" si="11"/>
        <v>35611</v>
      </c>
      <c r="AF41" s="114">
        <f t="shared" ca="1" si="0"/>
        <v>13327.69</v>
      </c>
      <c r="AG41" s="114">
        <f t="shared" ca="1" si="0"/>
        <v>0</v>
      </c>
      <c r="AH41" s="114">
        <f t="shared" ca="1" si="0"/>
        <v>0</v>
      </c>
      <c r="AI41" s="114">
        <f t="shared" ca="1" si="0"/>
        <v>6459.63</v>
      </c>
      <c r="AJ41" s="114">
        <f t="shared" ca="1" si="0"/>
        <v>0</v>
      </c>
      <c r="AK41" s="114">
        <f t="shared" ca="1" si="0"/>
        <v>1648.94</v>
      </c>
      <c r="AN41">
        <f t="shared" si="6"/>
        <v>41</v>
      </c>
      <c r="AQ41" s="114">
        <f t="shared" ca="1" si="7"/>
        <v>0</v>
      </c>
      <c r="AW41">
        <v>41</v>
      </c>
      <c r="BG41" s="114">
        <f t="shared" ca="1" si="4"/>
        <v>19787.32</v>
      </c>
      <c r="BI41">
        <f t="shared" si="5"/>
        <v>0</v>
      </c>
    </row>
    <row r="42" spans="1:61" x14ac:dyDescent="0.25">
      <c r="A42" s="113">
        <f t="shared" si="9"/>
        <v>448</v>
      </c>
      <c r="B42" s="113" t="str">
        <f t="shared" si="10"/>
        <v>a</v>
      </c>
      <c r="C42" s="113" t="str">
        <f t="shared" si="10"/>
        <v>b</v>
      </c>
      <c r="D42" s="113" t="str">
        <f t="shared" si="10"/>
        <v>c</v>
      </c>
      <c r="E42" s="113" t="str">
        <f t="shared" si="10"/>
        <v>d</v>
      </c>
      <c r="F42" s="113" t="str">
        <f t="shared" si="10"/>
        <v>e</v>
      </c>
      <c r="G42" s="113" t="str">
        <f t="shared" si="10"/>
        <v>f</v>
      </c>
      <c r="H42" s="113" t="str">
        <f t="shared" si="10"/>
        <v>g</v>
      </c>
      <c r="I42" s="113" t="str">
        <f t="shared" si="10"/>
        <v>h</v>
      </c>
      <c r="J42" s="113" t="str">
        <f t="shared" si="10"/>
        <v>i</v>
      </c>
      <c r="K42" s="113" t="str">
        <f t="shared" si="10"/>
        <v>j</v>
      </c>
      <c r="L42" s="113" t="str">
        <f t="shared" si="10"/>
        <v>k</v>
      </c>
      <c r="M42" s="113" t="str">
        <f t="shared" si="10"/>
        <v>l</v>
      </c>
      <c r="N42" s="113" t="str">
        <f t="shared" si="10"/>
        <v>m</v>
      </c>
      <c r="O42" s="113">
        <f t="shared" si="10"/>
        <v>0</v>
      </c>
      <c r="P42" s="113">
        <f t="shared" si="10"/>
        <v>0</v>
      </c>
      <c r="Q42" s="113" t="str">
        <f t="shared" si="10"/>
        <v>p</v>
      </c>
      <c r="R42" s="113">
        <f t="shared" si="10"/>
        <v>0</v>
      </c>
      <c r="S42" s="113">
        <f t="shared" si="10"/>
        <v>0</v>
      </c>
      <c r="T42" s="113">
        <f t="shared" si="10"/>
        <v>0</v>
      </c>
      <c r="U42" s="113">
        <f t="shared" si="10"/>
        <v>0</v>
      </c>
      <c r="V42" s="113">
        <f t="shared" si="10"/>
        <v>0</v>
      </c>
      <c r="W42" s="113">
        <f t="shared" si="10"/>
        <v>0</v>
      </c>
      <c r="X42" s="113">
        <f t="shared" si="10"/>
        <v>0</v>
      </c>
      <c r="AA42" s="113">
        <v>21</v>
      </c>
      <c r="AB42" s="112">
        <f t="shared" ca="1" si="11"/>
        <v>35370</v>
      </c>
      <c r="AC42" s="112">
        <f t="shared" ca="1" si="11"/>
        <v>35611</v>
      </c>
      <c r="AF42" s="114">
        <f t="shared" ca="1" si="0"/>
        <v>15567.04</v>
      </c>
      <c r="AG42" s="114">
        <f t="shared" ca="1" si="0"/>
        <v>0</v>
      </c>
      <c r="AH42" s="114">
        <f t="shared" ca="1" si="0"/>
        <v>0</v>
      </c>
      <c r="AI42" s="114">
        <f t="shared" ca="1" si="0"/>
        <v>6459.63</v>
      </c>
      <c r="AJ42" s="114">
        <f t="shared" ca="1" si="0"/>
        <v>0</v>
      </c>
      <c r="AK42" s="114">
        <f t="shared" ca="1" si="0"/>
        <v>1835.56</v>
      </c>
      <c r="AN42">
        <f t="shared" si="6"/>
        <v>42</v>
      </c>
      <c r="AQ42" s="114">
        <f t="shared" ca="1" si="7"/>
        <v>0</v>
      </c>
      <c r="AW42">
        <v>42</v>
      </c>
      <c r="BG42" s="114">
        <f t="shared" ca="1" si="4"/>
        <v>22026.670000000002</v>
      </c>
      <c r="BI42">
        <f t="shared" si="5"/>
        <v>0</v>
      </c>
    </row>
    <row r="43" spans="1:61" x14ac:dyDescent="0.25">
      <c r="A43" s="113">
        <f t="shared" si="9"/>
        <v>450</v>
      </c>
      <c r="B43" s="113" t="str">
        <f t="shared" si="10"/>
        <v>a</v>
      </c>
      <c r="C43" s="113" t="str">
        <f t="shared" si="10"/>
        <v>b</v>
      </c>
      <c r="D43" s="113" t="str">
        <f t="shared" si="10"/>
        <v>c</v>
      </c>
      <c r="E43" s="113" t="str">
        <f t="shared" si="10"/>
        <v>d</v>
      </c>
      <c r="F43" s="113" t="str">
        <f t="shared" si="10"/>
        <v>e</v>
      </c>
      <c r="G43" s="113" t="str">
        <f t="shared" si="10"/>
        <v>f</v>
      </c>
      <c r="H43" s="113" t="str">
        <f t="shared" si="10"/>
        <v>g</v>
      </c>
      <c r="I43" s="113" t="str">
        <f t="shared" si="10"/>
        <v>h</v>
      </c>
      <c r="J43" s="113" t="str">
        <f t="shared" si="10"/>
        <v>i</v>
      </c>
      <c r="K43" s="113" t="str">
        <f t="shared" si="10"/>
        <v>j</v>
      </c>
      <c r="L43" s="113" t="str">
        <f t="shared" si="10"/>
        <v>k</v>
      </c>
      <c r="M43" s="113" t="str">
        <f t="shared" si="10"/>
        <v>l</v>
      </c>
      <c r="N43" s="113" t="str">
        <f t="shared" si="10"/>
        <v>m</v>
      </c>
      <c r="O43" s="113">
        <f t="shared" si="10"/>
        <v>0</v>
      </c>
      <c r="P43" s="113">
        <f t="shared" si="10"/>
        <v>0</v>
      </c>
      <c r="Q43" s="113" t="str">
        <f t="shared" si="10"/>
        <v>p</v>
      </c>
      <c r="R43" s="113">
        <f t="shared" si="10"/>
        <v>0</v>
      </c>
      <c r="S43" s="113">
        <f t="shared" si="10"/>
        <v>0</v>
      </c>
      <c r="T43" s="113">
        <f t="shared" si="10"/>
        <v>0</v>
      </c>
      <c r="U43" s="113">
        <f t="shared" si="10"/>
        <v>0</v>
      </c>
      <c r="V43" s="113">
        <f t="shared" si="10"/>
        <v>0</v>
      </c>
      <c r="W43" s="113">
        <f t="shared" si="10"/>
        <v>0</v>
      </c>
      <c r="X43" s="113">
        <f t="shared" si="10"/>
        <v>0</v>
      </c>
      <c r="AA43" s="113">
        <v>28</v>
      </c>
      <c r="AB43" s="112">
        <f t="shared" ca="1" si="11"/>
        <v>35370</v>
      </c>
      <c r="AC43" s="112">
        <f t="shared" ca="1" si="11"/>
        <v>35611</v>
      </c>
      <c r="AF43" s="114">
        <f t="shared" ca="1" si="0"/>
        <v>17033.78</v>
      </c>
      <c r="AG43" s="114">
        <f t="shared" ca="1" si="0"/>
        <v>0</v>
      </c>
      <c r="AH43" s="114">
        <f t="shared" ca="1" si="0"/>
        <v>0</v>
      </c>
      <c r="AI43" s="114">
        <f t="shared" ca="1" si="0"/>
        <v>6459.63</v>
      </c>
      <c r="AJ43" s="114">
        <f t="shared" ca="1" si="0"/>
        <v>0</v>
      </c>
      <c r="AK43" s="114">
        <f t="shared" ca="1" si="0"/>
        <v>1957.78</v>
      </c>
      <c r="AN43">
        <f t="shared" si="6"/>
        <v>43</v>
      </c>
      <c r="AQ43" s="114">
        <f t="shared" ca="1" si="7"/>
        <v>0</v>
      </c>
      <c r="AW43">
        <v>43</v>
      </c>
      <c r="BG43" s="114">
        <f t="shared" ca="1" si="4"/>
        <v>23493.41</v>
      </c>
      <c r="BI43">
        <f t="shared" si="5"/>
        <v>0</v>
      </c>
    </row>
    <row r="44" spans="1:61" x14ac:dyDescent="0.25">
      <c r="A44" s="113">
        <f t="shared" si="9"/>
        <v>452</v>
      </c>
      <c r="B44" s="113" t="str">
        <f t="shared" si="10"/>
        <v>a</v>
      </c>
      <c r="C44" s="113" t="str">
        <f t="shared" si="10"/>
        <v>b</v>
      </c>
      <c r="D44" s="113" t="str">
        <f t="shared" si="10"/>
        <v>c</v>
      </c>
      <c r="E44" s="113" t="str">
        <f t="shared" si="10"/>
        <v>d</v>
      </c>
      <c r="F44" s="113" t="str">
        <f t="shared" si="10"/>
        <v>e</v>
      </c>
      <c r="G44" s="113" t="str">
        <f t="shared" si="10"/>
        <v>f</v>
      </c>
      <c r="H44" s="113" t="str">
        <f t="shared" si="10"/>
        <v>g</v>
      </c>
      <c r="I44" s="113" t="str">
        <f t="shared" si="10"/>
        <v>h</v>
      </c>
      <c r="J44" s="113" t="str">
        <f t="shared" si="10"/>
        <v>i</v>
      </c>
      <c r="K44" s="113" t="str">
        <f t="shared" si="10"/>
        <v>j</v>
      </c>
      <c r="L44" s="113" t="str">
        <f t="shared" si="10"/>
        <v>k</v>
      </c>
      <c r="M44" s="113" t="str">
        <f t="shared" si="10"/>
        <v>l</v>
      </c>
      <c r="N44" s="113" t="str">
        <f t="shared" si="10"/>
        <v>m</v>
      </c>
      <c r="O44" s="113">
        <f t="shared" si="10"/>
        <v>0</v>
      </c>
      <c r="P44" s="113">
        <f t="shared" si="10"/>
        <v>0</v>
      </c>
      <c r="Q44" s="113" t="str">
        <f t="shared" si="10"/>
        <v>p</v>
      </c>
      <c r="R44" s="113">
        <f t="shared" si="10"/>
        <v>0</v>
      </c>
      <c r="S44" s="113">
        <f t="shared" si="10"/>
        <v>0</v>
      </c>
      <c r="T44" s="113">
        <f t="shared" si="10"/>
        <v>0</v>
      </c>
      <c r="U44" s="113">
        <f t="shared" si="10"/>
        <v>0</v>
      </c>
      <c r="V44" s="113">
        <f t="shared" si="10"/>
        <v>0</v>
      </c>
      <c r="W44" s="113">
        <f t="shared" si="10"/>
        <v>0</v>
      </c>
      <c r="X44" s="113">
        <f t="shared" si="10"/>
        <v>0</v>
      </c>
      <c r="AA44" s="113">
        <v>35</v>
      </c>
      <c r="AB44" s="112">
        <f t="shared" ca="1" si="11"/>
        <v>35370</v>
      </c>
      <c r="AC44" s="112">
        <f t="shared" ca="1" si="11"/>
        <v>35611</v>
      </c>
      <c r="AF44" s="114">
        <f t="shared" ca="1" si="0"/>
        <v>18205.11</v>
      </c>
      <c r="AG44" s="114">
        <f t="shared" ca="1" si="0"/>
        <v>0</v>
      </c>
      <c r="AH44" s="114">
        <f t="shared" ca="1" si="0"/>
        <v>0</v>
      </c>
      <c r="AI44" s="114">
        <f t="shared" ca="1" si="0"/>
        <v>6459.63</v>
      </c>
      <c r="AJ44" s="114">
        <f t="shared" ca="1" si="0"/>
        <v>0</v>
      </c>
      <c r="AK44" s="114">
        <f t="shared" ca="1" si="0"/>
        <v>2055.4</v>
      </c>
      <c r="AN44">
        <f t="shared" si="6"/>
        <v>44</v>
      </c>
      <c r="AQ44" s="114">
        <f t="shared" ca="1" si="7"/>
        <v>0</v>
      </c>
      <c r="AW44">
        <v>44</v>
      </c>
      <c r="BG44" s="114">
        <f t="shared" ca="1" si="4"/>
        <v>24664.74</v>
      </c>
      <c r="BI44">
        <f t="shared" si="5"/>
        <v>0</v>
      </c>
    </row>
    <row r="45" spans="1:61" x14ac:dyDescent="0.25">
      <c r="A45" s="113">
        <f>A38+20</f>
        <v>460</v>
      </c>
      <c r="B45" s="113" t="str">
        <f>B38</f>
        <v>a</v>
      </c>
      <c r="C45" s="113" t="str">
        <f t="shared" ref="C45:X45" si="12">C38</f>
        <v>b</v>
      </c>
      <c r="D45" s="113" t="str">
        <f t="shared" si="12"/>
        <v>c</v>
      </c>
      <c r="E45" s="113" t="str">
        <f t="shared" si="12"/>
        <v>d</v>
      </c>
      <c r="F45" s="113" t="str">
        <f t="shared" si="12"/>
        <v>e</v>
      </c>
      <c r="G45" s="113" t="str">
        <f t="shared" si="12"/>
        <v>f</v>
      </c>
      <c r="H45" s="113" t="str">
        <f t="shared" si="12"/>
        <v>g</v>
      </c>
      <c r="I45" s="113" t="str">
        <f t="shared" si="12"/>
        <v>h</v>
      </c>
      <c r="J45" s="113" t="str">
        <f t="shared" si="12"/>
        <v>i</v>
      </c>
      <c r="K45" s="113" t="str">
        <f t="shared" si="12"/>
        <v>j</v>
      </c>
      <c r="L45" s="113" t="str">
        <f t="shared" si="12"/>
        <v>k</v>
      </c>
      <c r="M45" s="113" t="str">
        <f t="shared" si="12"/>
        <v>l</v>
      </c>
      <c r="N45" s="113" t="str">
        <f t="shared" si="12"/>
        <v>m</v>
      </c>
      <c r="O45" s="113">
        <f t="shared" si="12"/>
        <v>0</v>
      </c>
      <c r="P45" s="113">
        <f t="shared" si="12"/>
        <v>0</v>
      </c>
      <c r="Q45" s="113" t="str">
        <f t="shared" si="12"/>
        <v>p</v>
      </c>
      <c r="R45" s="113">
        <f t="shared" si="12"/>
        <v>0</v>
      </c>
      <c r="S45" s="113">
        <f t="shared" si="12"/>
        <v>0</v>
      </c>
      <c r="T45" s="113">
        <f t="shared" si="12"/>
        <v>0</v>
      </c>
      <c r="U45" s="113">
        <f t="shared" si="12"/>
        <v>0</v>
      </c>
      <c r="V45" s="113">
        <f t="shared" si="12"/>
        <v>0</v>
      </c>
      <c r="W45" s="113">
        <f t="shared" si="12"/>
        <v>0</v>
      </c>
      <c r="X45" s="113">
        <f t="shared" si="12"/>
        <v>0</v>
      </c>
      <c r="AA45" s="113">
        <v>0</v>
      </c>
      <c r="AB45" s="112">
        <f ca="1">INDIRECT(CONCATENATE($AB$10,CONCATENATE(B45,$A45)))</f>
        <v>35612</v>
      </c>
      <c r="AC45" s="112">
        <f ca="1">INDIRECT(CONCATENATE($AB$10,CONCATENATE(C45,$A45)))</f>
        <v>36099</v>
      </c>
      <c r="AF45" s="114">
        <f t="shared" ca="1" si="0"/>
        <v>9720.24</v>
      </c>
      <c r="AG45" s="114">
        <f ca="1">INDIRECT(CONCATENATE($AB$10,CONCATENATE(G45,$A45)))</f>
        <v>0</v>
      </c>
      <c r="AH45" s="114">
        <f ca="1">INDIRECT(CONCATENATE($AB$10,CONCATENATE(H45,$A45)))</f>
        <v>0</v>
      </c>
      <c r="AI45" s="114">
        <f ca="1">INDIRECT(CONCATENATE($AB$10,CONCATENATE(I45,$A45)))</f>
        <v>6459.63</v>
      </c>
      <c r="AJ45" s="114">
        <f ca="1">INDIRECT(CONCATENATE($AB$10,CONCATENATE(J45,$A45)))</f>
        <v>0</v>
      </c>
      <c r="AK45" s="114">
        <f ca="1">INDIRECT(CONCATENATE($AB$10,CONCATENATE(K45,$A45)))</f>
        <v>1348.32</v>
      </c>
      <c r="AN45">
        <f t="shared" si="6"/>
        <v>45</v>
      </c>
      <c r="AQ45" s="114">
        <f t="shared" ca="1" si="7"/>
        <v>0</v>
      </c>
      <c r="AW45">
        <v>45</v>
      </c>
      <c r="BG45" s="114">
        <f t="shared" ca="1" si="4"/>
        <v>16179.869999999999</v>
      </c>
      <c r="BI45">
        <f t="shared" si="5"/>
        <v>0</v>
      </c>
    </row>
    <row r="46" spans="1:61" x14ac:dyDescent="0.25">
      <c r="A46" s="113">
        <f t="shared" ref="A46:A51" si="13">A45+2</f>
        <v>462</v>
      </c>
      <c r="B46" s="113" t="str">
        <f t="shared" ref="B46:X51" si="14">B45</f>
        <v>a</v>
      </c>
      <c r="C46" s="113" t="str">
        <f t="shared" si="14"/>
        <v>b</v>
      </c>
      <c r="D46" s="113" t="str">
        <f t="shared" si="14"/>
        <v>c</v>
      </c>
      <c r="E46" s="113" t="str">
        <f t="shared" si="14"/>
        <v>d</v>
      </c>
      <c r="F46" s="113" t="str">
        <f t="shared" si="14"/>
        <v>e</v>
      </c>
      <c r="G46" s="113" t="str">
        <f t="shared" si="14"/>
        <v>f</v>
      </c>
      <c r="H46" s="113" t="str">
        <f t="shared" si="14"/>
        <v>g</v>
      </c>
      <c r="I46" s="113" t="str">
        <f t="shared" si="14"/>
        <v>h</v>
      </c>
      <c r="J46" s="113" t="str">
        <f t="shared" si="14"/>
        <v>i</v>
      </c>
      <c r="K46" s="113" t="str">
        <f t="shared" si="14"/>
        <v>j</v>
      </c>
      <c r="L46" s="113" t="str">
        <f t="shared" si="14"/>
        <v>k</v>
      </c>
      <c r="M46" s="113" t="str">
        <f t="shared" si="14"/>
        <v>l</v>
      </c>
      <c r="N46" s="113" t="str">
        <f t="shared" si="14"/>
        <v>m</v>
      </c>
      <c r="O46" s="113">
        <f t="shared" si="14"/>
        <v>0</v>
      </c>
      <c r="P46" s="113">
        <f t="shared" si="14"/>
        <v>0</v>
      </c>
      <c r="Q46" s="113" t="str">
        <f t="shared" si="14"/>
        <v>p</v>
      </c>
      <c r="R46" s="113">
        <f t="shared" si="14"/>
        <v>0</v>
      </c>
      <c r="S46" s="113">
        <f t="shared" si="14"/>
        <v>0</v>
      </c>
      <c r="T46" s="113">
        <f t="shared" si="14"/>
        <v>0</v>
      </c>
      <c r="U46" s="113">
        <f t="shared" si="14"/>
        <v>0</v>
      </c>
      <c r="V46" s="113">
        <f t="shared" si="14"/>
        <v>0</v>
      </c>
      <c r="W46" s="113">
        <f t="shared" si="14"/>
        <v>0</v>
      </c>
      <c r="X46" s="113">
        <f t="shared" si="14"/>
        <v>0</v>
      </c>
      <c r="AA46" s="113">
        <v>3</v>
      </c>
      <c r="AB46" s="112">
        <f t="shared" ref="AB46:AC51" ca="1" si="15">AB45</f>
        <v>35612</v>
      </c>
      <c r="AC46" s="112">
        <f t="shared" ca="1" si="15"/>
        <v>36099</v>
      </c>
      <c r="AF46" s="114">
        <f t="shared" ca="1" si="0"/>
        <v>10629.2</v>
      </c>
      <c r="AG46" s="114">
        <f t="shared" ca="1" si="0"/>
        <v>0</v>
      </c>
      <c r="AH46" s="114">
        <f t="shared" ca="1" si="0"/>
        <v>0</v>
      </c>
      <c r="AI46" s="114">
        <f t="shared" ca="1" si="0"/>
        <v>6459.63</v>
      </c>
      <c r="AJ46" s="114">
        <f t="shared" ca="1" si="0"/>
        <v>0</v>
      </c>
      <c r="AK46" s="114">
        <f t="shared" ca="1" si="0"/>
        <v>1424.07</v>
      </c>
      <c r="AN46">
        <f t="shared" si="6"/>
        <v>46</v>
      </c>
      <c r="AQ46" s="114">
        <f t="shared" ca="1" si="7"/>
        <v>0</v>
      </c>
      <c r="AW46">
        <v>46</v>
      </c>
      <c r="BG46" s="114">
        <f t="shared" ca="1" si="4"/>
        <v>17088.830000000002</v>
      </c>
      <c r="BI46">
        <f t="shared" si="5"/>
        <v>0</v>
      </c>
    </row>
    <row r="47" spans="1:61" x14ac:dyDescent="0.25">
      <c r="A47" s="113">
        <f t="shared" si="13"/>
        <v>464</v>
      </c>
      <c r="B47" s="113" t="str">
        <f t="shared" si="14"/>
        <v>a</v>
      </c>
      <c r="C47" s="113" t="str">
        <f t="shared" si="14"/>
        <v>b</v>
      </c>
      <c r="D47" s="113" t="str">
        <f t="shared" si="14"/>
        <v>c</v>
      </c>
      <c r="E47" s="113" t="str">
        <f t="shared" si="14"/>
        <v>d</v>
      </c>
      <c r="F47" s="113" t="str">
        <f t="shared" si="14"/>
        <v>e</v>
      </c>
      <c r="G47" s="113" t="str">
        <f t="shared" si="14"/>
        <v>f</v>
      </c>
      <c r="H47" s="113" t="str">
        <f t="shared" si="14"/>
        <v>g</v>
      </c>
      <c r="I47" s="113" t="str">
        <f t="shared" si="14"/>
        <v>h</v>
      </c>
      <c r="J47" s="113" t="str">
        <f t="shared" si="14"/>
        <v>i</v>
      </c>
      <c r="K47" s="113" t="str">
        <f t="shared" si="14"/>
        <v>j</v>
      </c>
      <c r="L47" s="113" t="str">
        <f t="shared" si="14"/>
        <v>k</v>
      </c>
      <c r="M47" s="113" t="str">
        <f t="shared" si="14"/>
        <v>l</v>
      </c>
      <c r="N47" s="113" t="str">
        <f t="shared" si="14"/>
        <v>m</v>
      </c>
      <c r="O47" s="113">
        <f t="shared" si="14"/>
        <v>0</v>
      </c>
      <c r="P47" s="113">
        <f t="shared" si="14"/>
        <v>0</v>
      </c>
      <c r="Q47" s="113" t="str">
        <f t="shared" si="14"/>
        <v>p</v>
      </c>
      <c r="R47" s="113">
        <f t="shared" si="14"/>
        <v>0</v>
      </c>
      <c r="S47" s="113">
        <f t="shared" si="14"/>
        <v>0</v>
      </c>
      <c r="T47" s="113">
        <f t="shared" si="14"/>
        <v>0</v>
      </c>
      <c r="U47" s="113">
        <f t="shared" si="14"/>
        <v>0</v>
      </c>
      <c r="V47" s="113">
        <f t="shared" si="14"/>
        <v>0</v>
      </c>
      <c r="W47" s="113">
        <f t="shared" si="14"/>
        <v>0</v>
      </c>
      <c r="X47" s="113">
        <f t="shared" si="14"/>
        <v>0</v>
      </c>
      <c r="AA47" s="113">
        <v>9</v>
      </c>
      <c r="AB47" s="112">
        <f t="shared" ca="1" si="15"/>
        <v>35612</v>
      </c>
      <c r="AC47" s="112">
        <f t="shared" ca="1" si="15"/>
        <v>36099</v>
      </c>
      <c r="AF47" s="114">
        <f t="shared" ref="AF47:AK95" ca="1" si="16">INDIRECT(CONCATENATE($AB$10,CONCATENATE(F47,$A47)))</f>
        <v>12099.55</v>
      </c>
      <c r="AG47" s="114">
        <f t="shared" ca="1" si="16"/>
        <v>0</v>
      </c>
      <c r="AH47" s="114">
        <f t="shared" ca="1" si="16"/>
        <v>0</v>
      </c>
      <c r="AI47" s="114">
        <f t="shared" ca="1" si="16"/>
        <v>6459.63</v>
      </c>
      <c r="AJ47" s="114">
        <f t="shared" ca="1" si="16"/>
        <v>0</v>
      </c>
      <c r="AK47" s="114">
        <f t="shared" ca="1" si="16"/>
        <v>1546.6</v>
      </c>
      <c r="AN47">
        <f t="shared" si="6"/>
        <v>47</v>
      </c>
      <c r="AQ47" s="114">
        <f t="shared" ca="1" si="7"/>
        <v>0</v>
      </c>
      <c r="AW47">
        <v>47</v>
      </c>
      <c r="BG47" s="114">
        <f t="shared" ca="1" si="4"/>
        <v>18559.18</v>
      </c>
      <c r="BI47">
        <f t="shared" si="5"/>
        <v>0</v>
      </c>
    </row>
    <row r="48" spans="1:61" x14ac:dyDescent="0.25">
      <c r="A48" s="113">
        <f t="shared" si="13"/>
        <v>466</v>
      </c>
      <c r="B48" s="113" t="str">
        <f t="shared" si="14"/>
        <v>a</v>
      </c>
      <c r="C48" s="113" t="str">
        <f t="shared" si="14"/>
        <v>b</v>
      </c>
      <c r="D48" s="113" t="str">
        <f t="shared" si="14"/>
        <v>c</v>
      </c>
      <c r="E48" s="113" t="str">
        <f t="shared" si="14"/>
        <v>d</v>
      </c>
      <c r="F48" s="113" t="str">
        <f t="shared" si="14"/>
        <v>e</v>
      </c>
      <c r="G48" s="113" t="str">
        <f t="shared" si="14"/>
        <v>f</v>
      </c>
      <c r="H48" s="113" t="str">
        <f t="shared" si="14"/>
        <v>g</v>
      </c>
      <c r="I48" s="113" t="str">
        <f t="shared" si="14"/>
        <v>h</v>
      </c>
      <c r="J48" s="113" t="str">
        <f t="shared" si="14"/>
        <v>i</v>
      </c>
      <c r="K48" s="113" t="str">
        <f t="shared" si="14"/>
        <v>j</v>
      </c>
      <c r="L48" s="113" t="str">
        <f t="shared" si="14"/>
        <v>k</v>
      </c>
      <c r="M48" s="113" t="str">
        <f t="shared" si="14"/>
        <v>l</v>
      </c>
      <c r="N48" s="113" t="str">
        <f t="shared" si="14"/>
        <v>m</v>
      </c>
      <c r="O48" s="113">
        <f t="shared" si="14"/>
        <v>0</v>
      </c>
      <c r="P48" s="113">
        <f t="shared" si="14"/>
        <v>0</v>
      </c>
      <c r="Q48" s="113" t="str">
        <f t="shared" si="14"/>
        <v>p</v>
      </c>
      <c r="R48" s="113">
        <f t="shared" si="14"/>
        <v>0</v>
      </c>
      <c r="S48" s="113">
        <f t="shared" si="14"/>
        <v>0</v>
      </c>
      <c r="T48" s="113">
        <f t="shared" si="14"/>
        <v>0</v>
      </c>
      <c r="U48" s="113">
        <f t="shared" si="14"/>
        <v>0</v>
      </c>
      <c r="V48" s="113">
        <f t="shared" si="14"/>
        <v>0</v>
      </c>
      <c r="W48" s="113">
        <f t="shared" si="14"/>
        <v>0</v>
      </c>
      <c r="X48" s="113">
        <f t="shared" si="14"/>
        <v>0</v>
      </c>
      <c r="AA48" s="113">
        <v>15</v>
      </c>
      <c r="AB48" s="112">
        <f t="shared" ca="1" si="15"/>
        <v>35612</v>
      </c>
      <c r="AC48" s="112">
        <f t="shared" ca="1" si="15"/>
        <v>36099</v>
      </c>
      <c r="AF48" s="114">
        <f t="shared" ca="1" si="16"/>
        <v>13904.05</v>
      </c>
      <c r="AG48" s="114">
        <f t="shared" ca="1" si="16"/>
        <v>0</v>
      </c>
      <c r="AH48" s="114">
        <f t="shared" ca="1" si="16"/>
        <v>0</v>
      </c>
      <c r="AI48" s="114">
        <f t="shared" ca="1" si="16"/>
        <v>6459.63</v>
      </c>
      <c r="AJ48" s="114">
        <f t="shared" ca="1" si="16"/>
        <v>0</v>
      </c>
      <c r="AK48" s="114">
        <f t="shared" ca="1" si="16"/>
        <v>1696.97</v>
      </c>
      <c r="AN48">
        <f t="shared" si="6"/>
        <v>48</v>
      </c>
      <c r="AQ48" s="114">
        <f t="shared" ca="1" si="7"/>
        <v>0</v>
      </c>
      <c r="AW48">
        <v>48</v>
      </c>
      <c r="BG48" s="114">
        <f t="shared" ca="1" si="4"/>
        <v>20363.68</v>
      </c>
      <c r="BI48">
        <f t="shared" si="5"/>
        <v>0</v>
      </c>
    </row>
    <row r="49" spans="1:61" x14ac:dyDescent="0.25">
      <c r="A49" s="113">
        <f t="shared" si="13"/>
        <v>468</v>
      </c>
      <c r="B49" s="113" t="str">
        <f t="shared" si="14"/>
        <v>a</v>
      </c>
      <c r="C49" s="113" t="str">
        <f t="shared" si="14"/>
        <v>b</v>
      </c>
      <c r="D49" s="113" t="str">
        <f t="shared" si="14"/>
        <v>c</v>
      </c>
      <c r="E49" s="113" t="str">
        <f t="shared" si="14"/>
        <v>d</v>
      </c>
      <c r="F49" s="113" t="str">
        <f t="shared" si="14"/>
        <v>e</v>
      </c>
      <c r="G49" s="113" t="str">
        <f t="shared" si="14"/>
        <v>f</v>
      </c>
      <c r="H49" s="113" t="str">
        <f t="shared" si="14"/>
        <v>g</v>
      </c>
      <c r="I49" s="113" t="str">
        <f t="shared" si="14"/>
        <v>h</v>
      </c>
      <c r="J49" s="113" t="str">
        <f t="shared" si="14"/>
        <v>i</v>
      </c>
      <c r="K49" s="113" t="str">
        <f t="shared" si="14"/>
        <v>j</v>
      </c>
      <c r="L49" s="113" t="str">
        <f t="shared" si="14"/>
        <v>k</v>
      </c>
      <c r="M49" s="113" t="str">
        <f t="shared" si="14"/>
        <v>l</v>
      </c>
      <c r="N49" s="113" t="str">
        <f t="shared" si="14"/>
        <v>m</v>
      </c>
      <c r="O49" s="113">
        <f t="shared" si="14"/>
        <v>0</v>
      </c>
      <c r="P49" s="113">
        <f t="shared" si="14"/>
        <v>0</v>
      </c>
      <c r="Q49" s="113" t="str">
        <f t="shared" si="14"/>
        <v>p</v>
      </c>
      <c r="R49" s="113">
        <f t="shared" si="14"/>
        <v>0</v>
      </c>
      <c r="S49" s="113">
        <f t="shared" si="14"/>
        <v>0</v>
      </c>
      <c r="T49" s="113">
        <f t="shared" si="14"/>
        <v>0</v>
      </c>
      <c r="U49" s="113">
        <f t="shared" si="14"/>
        <v>0</v>
      </c>
      <c r="V49" s="113">
        <f t="shared" si="14"/>
        <v>0</v>
      </c>
      <c r="W49" s="113">
        <f t="shared" si="14"/>
        <v>0</v>
      </c>
      <c r="X49" s="113">
        <f t="shared" si="14"/>
        <v>0</v>
      </c>
      <c r="AA49" s="113">
        <v>21</v>
      </c>
      <c r="AB49" s="112">
        <f t="shared" ca="1" si="15"/>
        <v>35612</v>
      </c>
      <c r="AC49" s="112">
        <f t="shared" ca="1" si="15"/>
        <v>36099</v>
      </c>
      <c r="AF49" s="114">
        <f t="shared" ca="1" si="16"/>
        <v>16211.58</v>
      </c>
      <c r="AG49" s="114">
        <f t="shared" ca="1" si="16"/>
        <v>0</v>
      </c>
      <c r="AH49" s="114">
        <f t="shared" ca="1" si="16"/>
        <v>0</v>
      </c>
      <c r="AI49" s="114">
        <f t="shared" ca="1" si="16"/>
        <v>6459.63</v>
      </c>
      <c r="AJ49" s="114">
        <f t="shared" ca="1" si="16"/>
        <v>0</v>
      </c>
      <c r="AK49" s="114">
        <f t="shared" ca="1" si="16"/>
        <v>1889.27</v>
      </c>
      <c r="AN49">
        <f t="shared" si="6"/>
        <v>49</v>
      </c>
      <c r="AQ49" s="114">
        <f t="shared" ca="1" si="7"/>
        <v>0</v>
      </c>
      <c r="AW49">
        <v>49</v>
      </c>
      <c r="BG49" s="114">
        <f t="shared" ca="1" si="4"/>
        <v>22671.21</v>
      </c>
      <c r="BI49">
        <f t="shared" si="5"/>
        <v>0</v>
      </c>
    </row>
    <row r="50" spans="1:61" x14ac:dyDescent="0.25">
      <c r="A50" s="113">
        <f t="shared" si="13"/>
        <v>470</v>
      </c>
      <c r="B50" s="113" t="str">
        <f t="shared" si="14"/>
        <v>a</v>
      </c>
      <c r="C50" s="113" t="str">
        <f t="shared" si="14"/>
        <v>b</v>
      </c>
      <c r="D50" s="113" t="str">
        <f t="shared" si="14"/>
        <v>c</v>
      </c>
      <c r="E50" s="113" t="str">
        <f t="shared" si="14"/>
        <v>d</v>
      </c>
      <c r="F50" s="113" t="str">
        <f t="shared" si="14"/>
        <v>e</v>
      </c>
      <c r="G50" s="113" t="str">
        <f t="shared" si="14"/>
        <v>f</v>
      </c>
      <c r="H50" s="113" t="str">
        <f t="shared" si="14"/>
        <v>g</v>
      </c>
      <c r="I50" s="113" t="str">
        <f t="shared" si="14"/>
        <v>h</v>
      </c>
      <c r="J50" s="113" t="str">
        <f t="shared" si="14"/>
        <v>i</v>
      </c>
      <c r="K50" s="113" t="str">
        <f t="shared" si="14"/>
        <v>j</v>
      </c>
      <c r="L50" s="113" t="str">
        <f t="shared" si="14"/>
        <v>k</v>
      </c>
      <c r="M50" s="113" t="str">
        <f t="shared" si="14"/>
        <v>l</v>
      </c>
      <c r="N50" s="113" t="str">
        <f t="shared" si="14"/>
        <v>m</v>
      </c>
      <c r="O50" s="113">
        <f t="shared" si="14"/>
        <v>0</v>
      </c>
      <c r="P50" s="113">
        <f t="shared" si="14"/>
        <v>0</v>
      </c>
      <c r="Q50" s="113" t="str">
        <f t="shared" si="14"/>
        <v>p</v>
      </c>
      <c r="R50" s="113">
        <f t="shared" si="14"/>
        <v>0</v>
      </c>
      <c r="S50" s="113">
        <f t="shared" si="14"/>
        <v>0</v>
      </c>
      <c r="T50" s="113">
        <f t="shared" si="14"/>
        <v>0</v>
      </c>
      <c r="U50" s="113">
        <f t="shared" si="14"/>
        <v>0</v>
      </c>
      <c r="V50" s="113">
        <f t="shared" si="14"/>
        <v>0</v>
      </c>
      <c r="W50" s="113">
        <f t="shared" si="14"/>
        <v>0</v>
      </c>
      <c r="X50" s="113">
        <f t="shared" si="14"/>
        <v>0</v>
      </c>
      <c r="AA50" s="113">
        <v>28</v>
      </c>
      <c r="AB50" s="112">
        <f t="shared" ca="1" si="15"/>
        <v>35612</v>
      </c>
      <c r="AC50" s="112">
        <f t="shared" ca="1" si="15"/>
        <v>36099</v>
      </c>
      <c r="AF50" s="114">
        <f t="shared" ca="1" si="16"/>
        <v>17721.7</v>
      </c>
      <c r="AG50" s="114">
        <f t="shared" ca="1" si="16"/>
        <v>0</v>
      </c>
      <c r="AH50" s="114">
        <f t="shared" ca="1" si="16"/>
        <v>0</v>
      </c>
      <c r="AI50" s="114">
        <f t="shared" ca="1" si="16"/>
        <v>6459.63</v>
      </c>
      <c r="AJ50" s="114">
        <f t="shared" ca="1" si="16"/>
        <v>0</v>
      </c>
      <c r="AK50" s="114">
        <f t="shared" ca="1" si="16"/>
        <v>2015.11</v>
      </c>
      <c r="AN50">
        <f t="shared" si="6"/>
        <v>50</v>
      </c>
      <c r="AQ50" s="114">
        <f t="shared" ca="1" si="7"/>
        <v>0</v>
      </c>
      <c r="AW50">
        <v>50</v>
      </c>
      <c r="BG50" s="114">
        <f t="shared" ca="1" si="4"/>
        <v>24181.33</v>
      </c>
      <c r="BI50">
        <f t="shared" si="5"/>
        <v>0</v>
      </c>
    </row>
    <row r="51" spans="1:61" x14ac:dyDescent="0.25">
      <c r="A51" s="113">
        <f t="shared" si="13"/>
        <v>472</v>
      </c>
      <c r="B51" s="113" t="str">
        <f t="shared" si="14"/>
        <v>a</v>
      </c>
      <c r="C51" s="113" t="str">
        <f t="shared" si="14"/>
        <v>b</v>
      </c>
      <c r="D51" s="113" t="str">
        <f t="shared" si="14"/>
        <v>c</v>
      </c>
      <c r="E51" s="113" t="str">
        <f t="shared" si="14"/>
        <v>d</v>
      </c>
      <c r="F51" s="113" t="str">
        <f t="shared" si="14"/>
        <v>e</v>
      </c>
      <c r="G51" s="113" t="str">
        <f t="shared" si="14"/>
        <v>f</v>
      </c>
      <c r="H51" s="113" t="str">
        <f t="shared" si="14"/>
        <v>g</v>
      </c>
      <c r="I51" s="113" t="str">
        <f t="shared" si="14"/>
        <v>h</v>
      </c>
      <c r="J51" s="113" t="str">
        <f t="shared" si="14"/>
        <v>i</v>
      </c>
      <c r="K51" s="113" t="str">
        <f t="shared" si="14"/>
        <v>j</v>
      </c>
      <c r="L51" s="113" t="str">
        <f t="shared" si="14"/>
        <v>k</v>
      </c>
      <c r="M51" s="113" t="str">
        <f t="shared" si="14"/>
        <v>l</v>
      </c>
      <c r="N51" s="113" t="str">
        <f t="shared" si="14"/>
        <v>m</v>
      </c>
      <c r="O51" s="113">
        <f t="shared" si="14"/>
        <v>0</v>
      </c>
      <c r="P51" s="113">
        <f t="shared" si="14"/>
        <v>0</v>
      </c>
      <c r="Q51" s="113" t="str">
        <f t="shared" si="14"/>
        <v>p</v>
      </c>
      <c r="R51" s="113">
        <f t="shared" si="14"/>
        <v>0</v>
      </c>
      <c r="S51" s="113">
        <f t="shared" si="14"/>
        <v>0</v>
      </c>
      <c r="T51" s="113">
        <f t="shared" si="14"/>
        <v>0</v>
      </c>
      <c r="U51" s="113">
        <f t="shared" si="14"/>
        <v>0</v>
      </c>
      <c r="V51" s="113">
        <f t="shared" si="14"/>
        <v>0</v>
      </c>
      <c r="W51" s="113">
        <f t="shared" si="14"/>
        <v>0</v>
      </c>
      <c r="X51" s="113">
        <f t="shared" si="14"/>
        <v>0</v>
      </c>
      <c r="AA51" s="113">
        <v>35</v>
      </c>
      <c r="AB51" s="112">
        <f t="shared" ca="1" si="15"/>
        <v>35612</v>
      </c>
      <c r="AC51" s="112">
        <f t="shared" ca="1" si="15"/>
        <v>36099</v>
      </c>
      <c r="AF51" s="114">
        <f t="shared" ca="1" si="16"/>
        <v>18924.009999999998</v>
      </c>
      <c r="AG51" s="114">
        <f t="shared" ca="1" si="16"/>
        <v>0</v>
      </c>
      <c r="AH51" s="114">
        <f t="shared" ca="1" si="16"/>
        <v>0</v>
      </c>
      <c r="AI51" s="114">
        <f t="shared" ca="1" si="16"/>
        <v>6459.63</v>
      </c>
      <c r="AJ51" s="114">
        <f t="shared" ca="1" si="16"/>
        <v>0</v>
      </c>
      <c r="AK51" s="114">
        <f t="shared" ca="1" si="16"/>
        <v>2115.3000000000002</v>
      </c>
      <c r="AN51">
        <f t="shared" si="6"/>
        <v>51</v>
      </c>
      <c r="AQ51" s="114">
        <f t="shared" ca="1" si="7"/>
        <v>0</v>
      </c>
      <c r="AW51">
        <v>51</v>
      </c>
      <c r="BG51" s="114">
        <f t="shared" ca="1" si="4"/>
        <v>25383.64</v>
      </c>
      <c r="BI51">
        <f t="shared" si="5"/>
        <v>0</v>
      </c>
    </row>
    <row r="52" spans="1:61" x14ac:dyDescent="0.25">
      <c r="A52" s="113">
        <f>A45+20</f>
        <v>480</v>
      </c>
      <c r="B52" s="113" t="str">
        <f>B45</f>
        <v>a</v>
      </c>
      <c r="C52" s="113" t="str">
        <f t="shared" ref="C52:X52" si="17">C45</f>
        <v>b</v>
      </c>
      <c r="D52" s="113" t="str">
        <f t="shared" si="17"/>
        <v>c</v>
      </c>
      <c r="E52" s="113" t="str">
        <f t="shared" si="17"/>
        <v>d</v>
      </c>
      <c r="F52" s="113" t="str">
        <f t="shared" si="17"/>
        <v>e</v>
      </c>
      <c r="G52" s="113" t="str">
        <f t="shared" si="17"/>
        <v>f</v>
      </c>
      <c r="H52" s="113" t="str">
        <f t="shared" si="17"/>
        <v>g</v>
      </c>
      <c r="I52" s="113" t="str">
        <f t="shared" si="17"/>
        <v>h</v>
      </c>
      <c r="J52" s="113" t="str">
        <f t="shared" si="17"/>
        <v>i</v>
      </c>
      <c r="K52" s="113" t="str">
        <f t="shared" si="17"/>
        <v>j</v>
      </c>
      <c r="L52" s="113" t="str">
        <f t="shared" si="17"/>
        <v>k</v>
      </c>
      <c r="M52" s="113" t="str">
        <f t="shared" si="17"/>
        <v>l</v>
      </c>
      <c r="N52" s="113" t="str">
        <f t="shared" si="17"/>
        <v>m</v>
      </c>
      <c r="O52" s="113">
        <f t="shared" si="17"/>
        <v>0</v>
      </c>
      <c r="P52" s="113">
        <f t="shared" si="17"/>
        <v>0</v>
      </c>
      <c r="Q52" s="113" t="str">
        <f t="shared" si="17"/>
        <v>p</v>
      </c>
      <c r="R52" s="113">
        <f t="shared" si="17"/>
        <v>0</v>
      </c>
      <c r="S52" s="113">
        <f t="shared" si="17"/>
        <v>0</v>
      </c>
      <c r="T52" s="113">
        <f t="shared" si="17"/>
        <v>0</v>
      </c>
      <c r="U52" s="113">
        <f t="shared" si="17"/>
        <v>0</v>
      </c>
      <c r="V52" s="113">
        <f t="shared" si="17"/>
        <v>0</v>
      </c>
      <c r="W52" s="113">
        <f t="shared" si="17"/>
        <v>0</v>
      </c>
      <c r="X52" s="113">
        <f t="shared" si="17"/>
        <v>0</v>
      </c>
      <c r="AA52" s="113">
        <v>0</v>
      </c>
      <c r="AB52" s="112">
        <f ca="1">INDIRECT(CONCATENATE($AB$10,CONCATENATE(B52,$A52)))</f>
        <v>36100</v>
      </c>
      <c r="AC52" s="112">
        <f ca="1">INDIRECT(CONCATENATE($AB$10,CONCATENATE(C52,$A52)))</f>
        <v>36311</v>
      </c>
      <c r="AF52" s="114">
        <f t="shared" ca="1" si="16"/>
        <v>10011.52</v>
      </c>
      <c r="AG52" s="114">
        <f ca="1">INDIRECT(CONCATENATE($AB$10,CONCATENATE(G52,$A52)))</f>
        <v>0</v>
      </c>
      <c r="AH52" s="114">
        <f ca="1">INDIRECT(CONCATENATE($AB$10,CONCATENATE(H52,$A52)))</f>
        <v>0</v>
      </c>
      <c r="AI52" s="114">
        <f ca="1">INDIRECT(CONCATENATE($AB$10,CONCATENATE(I52,$A52)))</f>
        <v>6459.63</v>
      </c>
      <c r="AJ52" s="114">
        <f ca="1">INDIRECT(CONCATENATE($AB$10,CONCATENATE(J52,$A52)))</f>
        <v>0</v>
      </c>
      <c r="AK52" s="114">
        <f ca="1">INDIRECT(CONCATENATE($AB$10,CONCATENATE(K52,$A52)))</f>
        <v>1372.6</v>
      </c>
      <c r="AN52">
        <f t="shared" si="6"/>
        <v>52</v>
      </c>
      <c r="AQ52" s="114">
        <f t="shared" ca="1" si="7"/>
        <v>0</v>
      </c>
      <c r="AW52">
        <v>52</v>
      </c>
      <c r="BG52" s="114">
        <f t="shared" ca="1" si="4"/>
        <v>16471.150000000001</v>
      </c>
      <c r="BI52">
        <f t="shared" si="5"/>
        <v>0</v>
      </c>
    </row>
    <row r="53" spans="1:61" x14ac:dyDescent="0.25">
      <c r="A53" s="113">
        <f t="shared" ref="A53:A58" si="18">A52+2</f>
        <v>482</v>
      </c>
      <c r="B53" s="113" t="str">
        <f t="shared" ref="B53:X58" si="19">B52</f>
        <v>a</v>
      </c>
      <c r="C53" s="113" t="str">
        <f t="shared" si="19"/>
        <v>b</v>
      </c>
      <c r="D53" s="113" t="str">
        <f t="shared" si="19"/>
        <v>c</v>
      </c>
      <c r="E53" s="113" t="str">
        <f t="shared" si="19"/>
        <v>d</v>
      </c>
      <c r="F53" s="113" t="str">
        <f t="shared" si="19"/>
        <v>e</v>
      </c>
      <c r="G53" s="113" t="str">
        <f t="shared" si="19"/>
        <v>f</v>
      </c>
      <c r="H53" s="113" t="str">
        <f t="shared" si="19"/>
        <v>g</v>
      </c>
      <c r="I53" s="113" t="str">
        <f t="shared" si="19"/>
        <v>h</v>
      </c>
      <c r="J53" s="113" t="str">
        <f t="shared" si="19"/>
        <v>i</v>
      </c>
      <c r="K53" s="113" t="str">
        <f t="shared" si="19"/>
        <v>j</v>
      </c>
      <c r="L53" s="113" t="str">
        <f t="shared" si="19"/>
        <v>k</v>
      </c>
      <c r="M53" s="113" t="str">
        <f t="shared" si="19"/>
        <v>l</v>
      </c>
      <c r="N53" s="113" t="str">
        <f t="shared" si="19"/>
        <v>m</v>
      </c>
      <c r="O53" s="113">
        <f t="shared" si="19"/>
        <v>0</v>
      </c>
      <c r="P53" s="113">
        <f t="shared" si="19"/>
        <v>0</v>
      </c>
      <c r="Q53" s="113" t="str">
        <f t="shared" si="19"/>
        <v>p</v>
      </c>
      <c r="R53" s="113">
        <f t="shared" si="19"/>
        <v>0</v>
      </c>
      <c r="S53" s="113">
        <f t="shared" si="19"/>
        <v>0</v>
      </c>
      <c r="T53" s="113">
        <f t="shared" si="19"/>
        <v>0</v>
      </c>
      <c r="U53" s="113">
        <f t="shared" si="19"/>
        <v>0</v>
      </c>
      <c r="V53" s="113">
        <f t="shared" si="19"/>
        <v>0</v>
      </c>
      <c r="W53" s="113">
        <f t="shared" si="19"/>
        <v>0</v>
      </c>
      <c r="X53" s="113">
        <f t="shared" si="19"/>
        <v>0</v>
      </c>
      <c r="AA53" s="113">
        <v>3</v>
      </c>
      <c r="AB53" s="112">
        <f t="shared" ref="AB53:AC58" ca="1" si="20">AB52</f>
        <v>36100</v>
      </c>
      <c r="AC53" s="112">
        <f t="shared" ca="1" si="20"/>
        <v>36311</v>
      </c>
      <c r="AF53" s="114">
        <f t="shared" ca="1" si="16"/>
        <v>10939.07</v>
      </c>
      <c r="AG53" s="114">
        <f t="shared" ca="1" si="16"/>
        <v>0</v>
      </c>
      <c r="AH53" s="114">
        <f t="shared" ca="1" si="16"/>
        <v>0</v>
      </c>
      <c r="AI53" s="114">
        <f t="shared" ca="1" si="16"/>
        <v>6459.63</v>
      </c>
      <c r="AJ53" s="114">
        <f t="shared" ca="1" si="16"/>
        <v>0</v>
      </c>
      <c r="AK53" s="114">
        <f t="shared" ca="1" si="16"/>
        <v>1449.89</v>
      </c>
      <c r="AN53">
        <f t="shared" si="6"/>
        <v>53</v>
      </c>
      <c r="AQ53" s="114">
        <f t="shared" ca="1" si="7"/>
        <v>0</v>
      </c>
      <c r="AW53">
        <v>53</v>
      </c>
      <c r="BG53" s="114">
        <f t="shared" ca="1" si="4"/>
        <v>17398.7</v>
      </c>
      <c r="BI53">
        <f t="shared" si="5"/>
        <v>0</v>
      </c>
    </row>
    <row r="54" spans="1:61" x14ac:dyDescent="0.25">
      <c r="A54" s="113">
        <f t="shared" si="18"/>
        <v>484</v>
      </c>
      <c r="B54" s="113" t="str">
        <f t="shared" si="19"/>
        <v>a</v>
      </c>
      <c r="C54" s="113" t="str">
        <f t="shared" si="19"/>
        <v>b</v>
      </c>
      <c r="D54" s="113" t="str">
        <f t="shared" si="19"/>
        <v>c</v>
      </c>
      <c r="E54" s="113" t="str">
        <f t="shared" si="19"/>
        <v>d</v>
      </c>
      <c r="F54" s="113" t="str">
        <f t="shared" si="19"/>
        <v>e</v>
      </c>
      <c r="G54" s="113" t="str">
        <f t="shared" si="19"/>
        <v>f</v>
      </c>
      <c r="H54" s="113" t="str">
        <f t="shared" si="19"/>
        <v>g</v>
      </c>
      <c r="I54" s="113" t="str">
        <f t="shared" si="19"/>
        <v>h</v>
      </c>
      <c r="J54" s="113" t="str">
        <f t="shared" si="19"/>
        <v>i</v>
      </c>
      <c r="K54" s="113" t="str">
        <f t="shared" si="19"/>
        <v>j</v>
      </c>
      <c r="L54" s="113" t="str">
        <f t="shared" si="19"/>
        <v>k</v>
      </c>
      <c r="M54" s="113" t="str">
        <f t="shared" si="19"/>
        <v>l</v>
      </c>
      <c r="N54" s="113" t="str">
        <f t="shared" si="19"/>
        <v>m</v>
      </c>
      <c r="O54" s="113">
        <f t="shared" si="19"/>
        <v>0</v>
      </c>
      <c r="P54" s="113">
        <f t="shared" si="19"/>
        <v>0</v>
      </c>
      <c r="Q54" s="113" t="str">
        <f t="shared" si="19"/>
        <v>p</v>
      </c>
      <c r="R54" s="113">
        <f t="shared" si="19"/>
        <v>0</v>
      </c>
      <c r="S54" s="113">
        <f t="shared" si="19"/>
        <v>0</v>
      </c>
      <c r="T54" s="113">
        <f t="shared" si="19"/>
        <v>0</v>
      </c>
      <c r="U54" s="113">
        <f t="shared" si="19"/>
        <v>0</v>
      </c>
      <c r="V54" s="113">
        <f t="shared" si="19"/>
        <v>0</v>
      </c>
      <c r="W54" s="113">
        <f t="shared" si="19"/>
        <v>0</v>
      </c>
      <c r="X54" s="113">
        <f t="shared" si="19"/>
        <v>0</v>
      </c>
      <c r="AA54" s="113">
        <v>9</v>
      </c>
      <c r="AB54" s="112">
        <f t="shared" ca="1" si="20"/>
        <v>36100</v>
      </c>
      <c r="AC54" s="112">
        <f t="shared" ca="1" si="20"/>
        <v>36311</v>
      </c>
      <c r="AF54" s="114">
        <f t="shared" ca="1" si="16"/>
        <v>12434.22</v>
      </c>
      <c r="AG54" s="114">
        <f t="shared" ca="1" si="16"/>
        <v>0</v>
      </c>
      <c r="AH54" s="114">
        <f t="shared" ca="1" si="16"/>
        <v>0</v>
      </c>
      <c r="AI54" s="114">
        <f t="shared" ca="1" si="16"/>
        <v>6459.63</v>
      </c>
      <c r="AJ54" s="114">
        <f t="shared" ca="1" si="16"/>
        <v>0</v>
      </c>
      <c r="AK54" s="114">
        <f t="shared" ca="1" si="16"/>
        <v>1574.49</v>
      </c>
      <c r="AN54">
        <f t="shared" si="6"/>
        <v>54</v>
      </c>
      <c r="AQ54" s="114">
        <f t="shared" ca="1" si="7"/>
        <v>0</v>
      </c>
      <c r="AW54">
        <v>54</v>
      </c>
      <c r="BG54" s="114">
        <f t="shared" ca="1" si="4"/>
        <v>18893.849999999999</v>
      </c>
      <c r="BI54">
        <f t="shared" si="5"/>
        <v>0</v>
      </c>
    </row>
    <row r="55" spans="1:61" x14ac:dyDescent="0.25">
      <c r="A55" s="113">
        <f t="shared" si="18"/>
        <v>486</v>
      </c>
      <c r="B55" s="113" t="str">
        <f t="shared" si="19"/>
        <v>a</v>
      </c>
      <c r="C55" s="113" t="str">
        <f t="shared" si="19"/>
        <v>b</v>
      </c>
      <c r="D55" s="113" t="str">
        <f t="shared" si="19"/>
        <v>c</v>
      </c>
      <c r="E55" s="113" t="str">
        <f t="shared" si="19"/>
        <v>d</v>
      </c>
      <c r="F55" s="113" t="str">
        <f t="shared" si="19"/>
        <v>e</v>
      </c>
      <c r="G55" s="113" t="str">
        <f t="shared" si="19"/>
        <v>f</v>
      </c>
      <c r="H55" s="113" t="str">
        <f t="shared" si="19"/>
        <v>g</v>
      </c>
      <c r="I55" s="113" t="str">
        <f t="shared" si="19"/>
        <v>h</v>
      </c>
      <c r="J55" s="113" t="str">
        <f t="shared" si="19"/>
        <v>i</v>
      </c>
      <c r="K55" s="113" t="str">
        <f t="shared" si="19"/>
        <v>j</v>
      </c>
      <c r="L55" s="113" t="str">
        <f t="shared" si="19"/>
        <v>k</v>
      </c>
      <c r="M55" s="113" t="str">
        <f t="shared" si="19"/>
        <v>l</v>
      </c>
      <c r="N55" s="113" t="str">
        <f t="shared" si="19"/>
        <v>m</v>
      </c>
      <c r="O55" s="113">
        <f t="shared" si="19"/>
        <v>0</v>
      </c>
      <c r="P55" s="113">
        <f t="shared" si="19"/>
        <v>0</v>
      </c>
      <c r="Q55" s="113" t="str">
        <f t="shared" si="19"/>
        <v>p</v>
      </c>
      <c r="R55" s="113">
        <f t="shared" si="19"/>
        <v>0</v>
      </c>
      <c r="S55" s="113">
        <f t="shared" si="19"/>
        <v>0</v>
      </c>
      <c r="T55" s="113">
        <f t="shared" si="19"/>
        <v>0</v>
      </c>
      <c r="U55" s="113">
        <f t="shared" si="19"/>
        <v>0</v>
      </c>
      <c r="V55" s="113">
        <f t="shared" si="19"/>
        <v>0</v>
      </c>
      <c r="W55" s="113">
        <f t="shared" si="19"/>
        <v>0</v>
      </c>
      <c r="X55" s="113">
        <f t="shared" si="19"/>
        <v>0</v>
      </c>
      <c r="AA55" s="113">
        <v>15</v>
      </c>
      <c r="AB55" s="112">
        <f t="shared" ca="1" si="20"/>
        <v>36100</v>
      </c>
      <c r="AC55" s="112">
        <f t="shared" ca="1" si="20"/>
        <v>36311</v>
      </c>
      <c r="AF55" s="114">
        <f t="shared" ca="1" si="16"/>
        <v>14269.7</v>
      </c>
      <c r="AG55" s="114">
        <f t="shared" ca="1" si="16"/>
        <v>0</v>
      </c>
      <c r="AH55" s="114">
        <f t="shared" ca="1" si="16"/>
        <v>0</v>
      </c>
      <c r="AI55" s="114">
        <f t="shared" ca="1" si="16"/>
        <v>6459.63</v>
      </c>
      <c r="AJ55" s="114">
        <f t="shared" ca="1" si="16"/>
        <v>0</v>
      </c>
      <c r="AK55" s="114">
        <f t="shared" ca="1" si="16"/>
        <v>1727.44</v>
      </c>
      <c r="AN55">
        <f t="shared" si="6"/>
        <v>55</v>
      </c>
      <c r="AQ55" s="114">
        <f t="shared" ca="1" si="7"/>
        <v>0</v>
      </c>
      <c r="AW55">
        <v>55</v>
      </c>
      <c r="BG55" s="114">
        <f t="shared" ca="1" si="4"/>
        <v>20729.330000000002</v>
      </c>
      <c r="BI55">
        <f t="shared" si="5"/>
        <v>0</v>
      </c>
    </row>
    <row r="56" spans="1:61" x14ac:dyDescent="0.25">
      <c r="A56" s="113">
        <f t="shared" si="18"/>
        <v>488</v>
      </c>
      <c r="B56" s="113" t="str">
        <f t="shared" si="19"/>
        <v>a</v>
      </c>
      <c r="C56" s="113" t="str">
        <f t="shared" si="19"/>
        <v>b</v>
      </c>
      <c r="D56" s="113" t="str">
        <f t="shared" si="19"/>
        <v>c</v>
      </c>
      <c r="E56" s="113" t="str">
        <f t="shared" si="19"/>
        <v>d</v>
      </c>
      <c r="F56" s="113" t="str">
        <f t="shared" si="19"/>
        <v>e</v>
      </c>
      <c r="G56" s="113" t="str">
        <f t="shared" si="19"/>
        <v>f</v>
      </c>
      <c r="H56" s="113" t="str">
        <f t="shared" si="19"/>
        <v>g</v>
      </c>
      <c r="I56" s="113" t="str">
        <f t="shared" si="19"/>
        <v>h</v>
      </c>
      <c r="J56" s="113" t="str">
        <f t="shared" si="19"/>
        <v>i</v>
      </c>
      <c r="K56" s="113" t="str">
        <f t="shared" si="19"/>
        <v>j</v>
      </c>
      <c r="L56" s="113" t="str">
        <f t="shared" si="19"/>
        <v>k</v>
      </c>
      <c r="M56" s="113" t="str">
        <f t="shared" si="19"/>
        <v>l</v>
      </c>
      <c r="N56" s="113" t="str">
        <f t="shared" si="19"/>
        <v>m</v>
      </c>
      <c r="O56" s="113">
        <f t="shared" si="19"/>
        <v>0</v>
      </c>
      <c r="P56" s="113">
        <f t="shared" si="19"/>
        <v>0</v>
      </c>
      <c r="Q56" s="113" t="str">
        <f t="shared" si="19"/>
        <v>p</v>
      </c>
      <c r="R56" s="113">
        <f t="shared" si="19"/>
        <v>0</v>
      </c>
      <c r="S56" s="113">
        <f t="shared" si="19"/>
        <v>0</v>
      </c>
      <c r="T56" s="113">
        <f t="shared" si="19"/>
        <v>0</v>
      </c>
      <c r="U56" s="113">
        <f t="shared" si="19"/>
        <v>0</v>
      </c>
      <c r="V56" s="113">
        <f t="shared" si="19"/>
        <v>0</v>
      </c>
      <c r="W56" s="113">
        <f t="shared" si="19"/>
        <v>0</v>
      </c>
      <c r="X56" s="113">
        <f t="shared" si="19"/>
        <v>0</v>
      </c>
      <c r="AA56" s="113">
        <v>21</v>
      </c>
      <c r="AB56" s="112">
        <f t="shared" ca="1" si="20"/>
        <v>36100</v>
      </c>
      <c r="AC56" s="112">
        <f t="shared" ca="1" si="20"/>
        <v>36311</v>
      </c>
      <c r="AF56" s="114">
        <f t="shared" ca="1" si="16"/>
        <v>16620.62</v>
      </c>
      <c r="AG56" s="114">
        <f t="shared" ca="1" si="16"/>
        <v>0</v>
      </c>
      <c r="AH56" s="114">
        <f t="shared" ca="1" si="16"/>
        <v>0</v>
      </c>
      <c r="AI56" s="114">
        <f t="shared" ca="1" si="16"/>
        <v>6459.63</v>
      </c>
      <c r="AJ56" s="114">
        <f t="shared" ca="1" si="16"/>
        <v>0</v>
      </c>
      <c r="AK56" s="114">
        <f t="shared" ca="1" si="16"/>
        <v>1923.35</v>
      </c>
      <c r="AN56">
        <f t="shared" si="6"/>
        <v>56</v>
      </c>
      <c r="AQ56" s="114">
        <f t="shared" ca="1" si="7"/>
        <v>0</v>
      </c>
      <c r="AW56">
        <v>56</v>
      </c>
      <c r="BG56" s="114">
        <f t="shared" ca="1" si="4"/>
        <v>23080.25</v>
      </c>
      <c r="BI56">
        <f t="shared" si="5"/>
        <v>0</v>
      </c>
    </row>
    <row r="57" spans="1:61" x14ac:dyDescent="0.25">
      <c r="A57" s="113">
        <f t="shared" si="18"/>
        <v>490</v>
      </c>
      <c r="B57" s="113" t="str">
        <f t="shared" si="19"/>
        <v>a</v>
      </c>
      <c r="C57" s="113" t="str">
        <f t="shared" si="19"/>
        <v>b</v>
      </c>
      <c r="D57" s="113" t="str">
        <f t="shared" si="19"/>
        <v>c</v>
      </c>
      <c r="E57" s="113" t="str">
        <f t="shared" si="19"/>
        <v>d</v>
      </c>
      <c r="F57" s="113" t="str">
        <f t="shared" si="19"/>
        <v>e</v>
      </c>
      <c r="G57" s="113" t="str">
        <f t="shared" si="19"/>
        <v>f</v>
      </c>
      <c r="H57" s="113" t="str">
        <f t="shared" si="19"/>
        <v>g</v>
      </c>
      <c r="I57" s="113" t="str">
        <f t="shared" si="19"/>
        <v>h</v>
      </c>
      <c r="J57" s="113" t="str">
        <f t="shared" si="19"/>
        <v>i</v>
      </c>
      <c r="K57" s="113" t="str">
        <f t="shared" si="19"/>
        <v>j</v>
      </c>
      <c r="L57" s="113" t="str">
        <f t="shared" si="19"/>
        <v>k</v>
      </c>
      <c r="M57" s="113" t="str">
        <f t="shared" si="19"/>
        <v>l</v>
      </c>
      <c r="N57" s="113" t="str">
        <f t="shared" si="19"/>
        <v>m</v>
      </c>
      <c r="O57" s="113">
        <f t="shared" si="19"/>
        <v>0</v>
      </c>
      <c r="P57" s="113">
        <f t="shared" si="19"/>
        <v>0</v>
      </c>
      <c r="Q57" s="113" t="str">
        <f t="shared" si="19"/>
        <v>p</v>
      </c>
      <c r="R57" s="113">
        <f t="shared" si="19"/>
        <v>0</v>
      </c>
      <c r="S57" s="113">
        <f t="shared" si="19"/>
        <v>0</v>
      </c>
      <c r="T57" s="113">
        <f t="shared" si="19"/>
        <v>0</v>
      </c>
      <c r="U57" s="113">
        <f t="shared" si="19"/>
        <v>0</v>
      </c>
      <c r="V57" s="113">
        <f t="shared" si="19"/>
        <v>0</v>
      </c>
      <c r="W57" s="113">
        <f t="shared" si="19"/>
        <v>0</v>
      </c>
      <c r="X57" s="113">
        <f t="shared" si="19"/>
        <v>0</v>
      </c>
      <c r="AA57" s="113">
        <v>28</v>
      </c>
      <c r="AB57" s="112">
        <f t="shared" ca="1" si="20"/>
        <v>36100</v>
      </c>
      <c r="AC57" s="112">
        <f t="shared" ca="1" si="20"/>
        <v>36311</v>
      </c>
      <c r="AF57" s="114">
        <f t="shared" ca="1" si="16"/>
        <v>18155.53</v>
      </c>
      <c r="AG57" s="114">
        <f t="shared" ca="1" si="16"/>
        <v>0</v>
      </c>
      <c r="AH57" s="114">
        <f t="shared" ca="1" si="16"/>
        <v>0</v>
      </c>
      <c r="AI57" s="114">
        <f t="shared" ca="1" si="16"/>
        <v>6459.63</v>
      </c>
      <c r="AJ57" s="114">
        <f t="shared" ca="1" si="16"/>
        <v>0</v>
      </c>
      <c r="AK57" s="114">
        <f t="shared" ca="1" si="16"/>
        <v>2051.2600000000002</v>
      </c>
      <c r="AN57">
        <f t="shared" si="6"/>
        <v>57</v>
      </c>
      <c r="AQ57" s="114">
        <f t="shared" ca="1" si="7"/>
        <v>0</v>
      </c>
      <c r="AW57">
        <v>57</v>
      </c>
      <c r="BG57" s="114">
        <f t="shared" ca="1" si="4"/>
        <v>24615.16</v>
      </c>
      <c r="BI57">
        <f t="shared" si="5"/>
        <v>0</v>
      </c>
    </row>
    <row r="58" spans="1:61" x14ac:dyDescent="0.25">
      <c r="A58" s="113">
        <f t="shared" si="18"/>
        <v>492</v>
      </c>
      <c r="B58" s="113" t="str">
        <f t="shared" si="19"/>
        <v>a</v>
      </c>
      <c r="C58" s="113" t="str">
        <f t="shared" si="19"/>
        <v>b</v>
      </c>
      <c r="D58" s="113" t="str">
        <f t="shared" si="19"/>
        <v>c</v>
      </c>
      <c r="E58" s="113" t="str">
        <f t="shared" si="19"/>
        <v>d</v>
      </c>
      <c r="F58" s="113" t="str">
        <f t="shared" si="19"/>
        <v>e</v>
      </c>
      <c r="G58" s="113" t="str">
        <f t="shared" si="19"/>
        <v>f</v>
      </c>
      <c r="H58" s="113" t="str">
        <f t="shared" si="19"/>
        <v>g</v>
      </c>
      <c r="I58" s="113" t="str">
        <f t="shared" si="19"/>
        <v>h</v>
      </c>
      <c r="J58" s="113" t="str">
        <f t="shared" si="19"/>
        <v>i</v>
      </c>
      <c r="K58" s="113" t="str">
        <f t="shared" si="19"/>
        <v>j</v>
      </c>
      <c r="L58" s="113" t="str">
        <f t="shared" si="19"/>
        <v>k</v>
      </c>
      <c r="M58" s="113" t="str">
        <f t="shared" si="19"/>
        <v>l</v>
      </c>
      <c r="N58" s="113" t="str">
        <f t="shared" si="19"/>
        <v>m</v>
      </c>
      <c r="O58" s="113">
        <f t="shared" si="19"/>
        <v>0</v>
      </c>
      <c r="P58" s="113">
        <f t="shared" si="19"/>
        <v>0</v>
      </c>
      <c r="Q58" s="113" t="str">
        <f t="shared" si="19"/>
        <v>p</v>
      </c>
      <c r="R58" s="113">
        <f t="shared" si="19"/>
        <v>0</v>
      </c>
      <c r="S58" s="113">
        <f t="shared" si="19"/>
        <v>0</v>
      </c>
      <c r="T58" s="113">
        <f t="shared" si="19"/>
        <v>0</v>
      </c>
      <c r="U58" s="113">
        <f t="shared" si="19"/>
        <v>0</v>
      </c>
      <c r="V58" s="113">
        <f t="shared" si="19"/>
        <v>0</v>
      </c>
      <c r="W58" s="113">
        <f t="shared" si="19"/>
        <v>0</v>
      </c>
      <c r="X58" s="113">
        <f t="shared" si="19"/>
        <v>0</v>
      </c>
      <c r="AA58" s="113">
        <v>35</v>
      </c>
      <c r="AB58" s="112">
        <f t="shared" ca="1" si="20"/>
        <v>36100</v>
      </c>
      <c r="AC58" s="112">
        <f t="shared" ca="1" si="20"/>
        <v>36311</v>
      </c>
      <c r="AF58" s="114">
        <f t="shared" ca="1" si="16"/>
        <v>19382.63</v>
      </c>
      <c r="AG58" s="114">
        <f t="shared" ca="1" si="16"/>
        <v>0</v>
      </c>
      <c r="AH58" s="114">
        <f t="shared" ca="1" si="16"/>
        <v>0</v>
      </c>
      <c r="AI58" s="114">
        <f t="shared" ca="1" si="16"/>
        <v>6459.63</v>
      </c>
      <c r="AJ58" s="114">
        <f t="shared" ca="1" si="16"/>
        <v>0</v>
      </c>
      <c r="AK58" s="114">
        <f t="shared" ca="1" si="16"/>
        <v>2153.52</v>
      </c>
      <c r="AN58">
        <f t="shared" si="6"/>
        <v>58</v>
      </c>
      <c r="AQ58" s="114">
        <f t="shared" ca="1" si="7"/>
        <v>0</v>
      </c>
      <c r="AW58">
        <v>58</v>
      </c>
      <c r="BG58" s="114">
        <f t="shared" ca="1" si="4"/>
        <v>25842.260000000002</v>
      </c>
      <c r="BI58">
        <f t="shared" si="5"/>
        <v>0</v>
      </c>
    </row>
    <row r="59" spans="1:61" x14ac:dyDescent="0.25">
      <c r="A59" s="113">
        <f>A52+20</f>
        <v>500</v>
      </c>
      <c r="B59" s="113" t="str">
        <f>B52</f>
        <v>a</v>
      </c>
      <c r="C59" s="113" t="str">
        <f t="shared" ref="C59:X59" si="21">C52</f>
        <v>b</v>
      </c>
      <c r="D59" s="113" t="str">
        <f t="shared" si="21"/>
        <v>c</v>
      </c>
      <c r="E59" s="113" t="str">
        <f t="shared" si="21"/>
        <v>d</v>
      </c>
      <c r="F59" s="113" t="str">
        <f t="shared" si="21"/>
        <v>e</v>
      </c>
      <c r="G59" s="113" t="str">
        <f t="shared" si="21"/>
        <v>f</v>
      </c>
      <c r="H59" s="113" t="str">
        <f t="shared" si="21"/>
        <v>g</v>
      </c>
      <c r="I59" s="113" t="str">
        <f t="shared" si="21"/>
        <v>h</v>
      </c>
      <c r="J59" s="113" t="str">
        <f t="shared" si="21"/>
        <v>i</v>
      </c>
      <c r="K59" s="113" t="str">
        <f t="shared" si="21"/>
        <v>j</v>
      </c>
      <c r="L59" s="113" t="str">
        <f t="shared" si="21"/>
        <v>k</v>
      </c>
      <c r="M59" s="113" t="str">
        <f t="shared" si="21"/>
        <v>l</v>
      </c>
      <c r="N59" s="113" t="str">
        <f t="shared" si="21"/>
        <v>m</v>
      </c>
      <c r="O59" s="113">
        <f t="shared" si="21"/>
        <v>0</v>
      </c>
      <c r="P59" s="113">
        <f t="shared" si="21"/>
        <v>0</v>
      </c>
      <c r="Q59" s="113" t="str">
        <f t="shared" si="21"/>
        <v>p</v>
      </c>
      <c r="R59" s="113">
        <f t="shared" si="21"/>
        <v>0</v>
      </c>
      <c r="S59" s="113">
        <f t="shared" si="21"/>
        <v>0</v>
      </c>
      <c r="T59" s="113">
        <f t="shared" si="21"/>
        <v>0</v>
      </c>
      <c r="U59" s="113">
        <f t="shared" si="21"/>
        <v>0</v>
      </c>
      <c r="V59" s="113">
        <f t="shared" si="21"/>
        <v>0</v>
      </c>
      <c r="W59" s="113">
        <f t="shared" si="21"/>
        <v>0</v>
      </c>
      <c r="X59" s="113">
        <f t="shared" si="21"/>
        <v>0</v>
      </c>
      <c r="AA59" s="113">
        <v>0</v>
      </c>
      <c r="AB59" s="112">
        <f ca="1">INDIRECT(CONCATENATE($AB$10,CONCATENATE(B59,$A59)))</f>
        <v>36312</v>
      </c>
      <c r="AC59" s="112">
        <f ca="1">INDIRECT(CONCATENATE($AB$10,CONCATENATE(C59,$A59)))</f>
        <v>36707</v>
      </c>
      <c r="AF59" s="114">
        <f t="shared" ca="1" si="16"/>
        <v>10253.219999999999</v>
      </c>
      <c r="AG59" s="114">
        <f ca="1">INDIRECT(CONCATENATE($AB$10,CONCATENATE(G59,$A59)))</f>
        <v>0</v>
      </c>
      <c r="AH59" s="114">
        <f ca="1">INDIRECT(CONCATENATE($AB$10,CONCATENATE(H59,$A59)))</f>
        <v>0</v>
      </c>
      <c r="AI59" s="114">
        <f ca="1">INDIRECT(CONCATENATE($AB$10,CONCATENATE(I59,$A59)))</f>
        <v>6459.63</v>
      </c>
      <c r="AJ59" s="114">
        <f ca="1">INDIRECT(CONCATENATE($AB$10,CONCATENATE(J59,$A59)))</f>
        <v>0</v>
      </c>
      <c r="AK59" s="114">
        <f ca="1">INDIRECT(CONCATENATE($AB$10,CONCATENATE(K59,$A59)))</f>
        <v>1392.74</v>
      </c>
      <c r="AN59">
        <f t="shared" si="6"/>
        <v>59</v>
      </c>
      <c r="AQ59" s="114">
        <f t="shared" ca="1" si="7"/>
        <v>0</v>
      </c>
      <c r="AW59">
        <v>59</v>
      </c>
      <c r="BG59" s="114">
        <f t="shared" ca="1" si="4"/>
        <v>16712.849999999999</v>
      </c>
      <c r="BI59">
        <f t="shared" si="5"/>
        <v>0</v>
      </c>
    </row>
    <row r="60" spans="1:61" x14ac:dyDescent="0.25">
      <c r="A60" s="113">
        <f t="shared" ref="A60:A65" si="22">A59+2</f>
        <v>502</v>
      </c>
      <c r="B60" s="113" t="str">
        <f t="shared" ref="B60:X65" si="23">B59</f>
        <v>a</v>
      </c>
      <c r="C60" s="113" t="str">
        <f t="shared" si="23"/>
        <v>b</v>
      </c>
      <c r="D60" s="113" t="str">
        <f t="shared" si="23"/>
        <v>c</v>
      </c>
      <c r="E60" s="113" t="str">
        <f t="shared" si="23"/>
        <v>d</v>
      </c>
      <c r="F60" s="113" t="str">
        <f t="shared" si="23"/>
        <v>e</v>
      </c>
      <c r="G60" s="113" t="str">
        <f t="shared" si="23"/>
        <v>f</v>
      </c>
      <c r="H60" s="113" t="str">
        <f t="shared" si="23"/>
        <v>g</v>
      </c>
      <c r="I60" s="113" t="str">
        <f t="shared" si="23"/>
        <v>h</v>
      </c>
      <c r="J60" s="113" t="str">
        <f t="shared" si="23"/>
        <v>i</v>
      </c>
      <c r="K60" s="113" t="str">
        <f t="shared" si="23"/>
        <v>j</v>
      </c>
      <c r="L60" s="113" t="str">
        <f t="shared" si="23"/>
        <v>k</v>
      </c>
      <c r="M60" s="113" t="str">
        <f t="shared" si="23"/>
        <v>l</v>
      </c>
      <c r="N60" s="113" t="str">
        <f t="shared" si="23"/>
        <v>m</v>
      </c>
      <c r="O60" s="113">
        <f t="shared" si="23"/>
        <v>0</v>
      </c>
      <c r="P60" s="113">
        <f t="shared" si="23"/>
        <v>0</v>
      </c>
      <c r="Q60" s="113" t="str">
        <f t="shared" si="23"/>
        <v>p</v>
      </c>
      <c r="R60" s="113">
        <f t="shared" si="23"/>
        <v>0</v>
      </c>
      <c r="S60" s="113">
        <f t="shared" si="23"/>
        <v>0</v>
      </c>
      <c r="T60" s="113">
        <f t="shared" si="23"/>
        <v>0</v>
      </c>
      <c r="U60" s="113">
        <f t="shared" si="23"/>
        <v>0</v>
      </c>
      <c r="V60" s="113">
        <f t="shared" si="23"/>
        <v>0</v>
      </c>
      <c r="W60" s="113">
        <f t="shared" si="23"/>
        <v>0</v>
      </c>
      <c r="X60" s="113">
        <f t="shared" si="23"/>
        <v>0</v>
      </c>
      <c r="AA60" s="113">
        <v>3</v>
      </c>
      <c r="AB60" s="112">
        <f t="shared" ref="AB60:AC65" ca="1" si="24">AB59</f>
        <v>36312</v>
      </c>
      <c r="AC60" s="112">
        <f t="shared" ca="1" si="24"/>
        <v>36707</v>
      </c>
      <c r="AF60" s="114">
        <f t="shared" ca="1" si="16"/>
        <v>11193.17</v>
      </c>
      <c r="AG60" s="114">
        <f t="shared" ca="1" si="16"/>
        <v>0</v>
      </c>
      <c r="AH60" s="114">
        <f t="shared" ca="1" si="16"/>
        <v>0</v>
      </c>
      <c r="AI60" s="114">
        <f t="shared" ca="1" si="16"/>
        <v>6459.63</v>
      </c>
      <c r="AJ60" s="114">
        <f t="shared" ca="1" si="16"/>
        <v>0</v>
      </c>
      <c r="AK60" s="114">
        <f t="shared" ca="1" si="16"/>
        <v>1471.07</v>
      </c>
      <c r="AN60">
        <f t="shared" si="6"/>
        <v>60</v>
      </c>
      <c r="AQ60" s="114">
        <f t="shared" ca="1" si="7"/>
        <v>0</v>
      </c>
      <c r="AW60">
        <v>60</v>
      </c>
      <c r="BG60" s="114">
        <f t="shared" ca="1" si="4"/>
        <v>17652.8</v>
      </c>
      <c r="BI60">
        <f t="shared" si="5"/>
        <v>0</v>
      </c>
    </row>
    <row r="61" spans="1:61" x14ac:dyDescent="0.25">
      <c r="A61" s="113">
        <f t="shared" si="22"/>
        <v>504</v>
      </c>
      <c r="B61" s="113" t="str">
        <f t="shared" si="23"/>
        <v>a</v>
      </c>
      <c r="C61" s="113" t="str">
        <f t="shared" si="23"/>
        <v>b</v>
      </c>
      <c r="D61" s="113" t="str">
        <f t="shared" si="23"/>
        <v>c</v>
      </c>
      <c r="E61" s="113" t="str">
        <f t="shared" si="23"/>
        <v>d</v>
      </c>
      <c r="F61" s="113" t="str">
        <f t="shared" si="23"/>
        <v>e</v>
      </c>
      <c r="G61" s="113" t="str">
        <f t="shared" si="23"/>
        <v>f</v>
      </c>
      <c r="H61" s="113" t="str">
        <f t="shared" si="23"/>
        <v>g</v>
      </c>
      <c r="I61" s="113" t="str">
        <f t="shared" si="23"/>
        <v>h</v>
      </c>
      <c r="J61" s="113" t="str">
        <f t="shared" si="23"/>
        <v>i</v>
      </c>
      <c r="K61" s="113" t="str">
        <f t="shared" si="23"/>
        <v>j</v>
      </c>
      <c r="L61" s="113" t="str">
        <f t="shared" si="23"/>
        <v>k</v>
      </c>
      <c r="M61" s="113" t="str">
        <f t="shared" si="23"/>
        <v>l</v>
      </c>
      <c r="N61" s="113" t="str">
        <f t="shared" si="23"/>
        <v>m</v>
      </c>
      <c r="O61" s="113">
        <f t="shared" si="23"/>
        <v>0</v>
      </c>
      <c r="P61" s="113">
        <f t="shared" si="23"/>
        <v>0</v>
      </c>
      <c r="Q61" s="113" t="str">
        <f t="shared" si="23"/>
        <v>p</v>
      </c>
      <c r="R61" s="113">
        <f t="shared" si="23"/>
        <v>0</v>
      </c>
      <c r="S61" s="113">
        <f t="shared" si="23"/>
        <v>0</v>
      </c>
      <c r="T61" s="113">
        <f t="shared" si="23"/>
        <v>0</v>
      </c>
      <c r="U61" s="113">
        <f t="shared" si="23"/>
        <v>0</v>
      </c>
      <c r="V61" s="113">
        <f t="shared" si="23"/>
        <v>0</v>
      </c>
      <c r="W61" s="113">
        <f t="shared" si="23"/>
        <v>0</v>
      </c>
      <c r="X61" s="113">
        <f t="shared" si="23"/>
        <v>0</v>
      </c>
      <c r="AA61" s="113">
        <v>9</v>
      </c>
      <c r="AB61" s="112">
        <f t="shared" ca="1" si="24"/>
        <v>36312</v>
      </c>
      <c r="AC61" s="112">
        <f t="shared" ca="1" si="24"/>
        <v>36707</v>
      </c>
      <c r="AF61" s="114">
        <f t="shared" ca="1" si="16"/>
        <v>12713.1</v>
      </c>
      <c r="AG61" s="114">
        <f t="shared" ca="1" si="16"/>
        <v>0</v>
      </c>
      <c r="AH61" s="114">
        <f t="shared" ca="1" si="16"/>
        <v>0</v>
      </c>
      <c r="AI61" s="114">
        <f t="shared" ca="1" si="16"/>
        <v>6459.63</v>
      </c>
      <c r="AJ61" s="114">
        <f t="shared" ca="1" si="16"/>
        <v>0</v>
      </c>
      <c r="AK61" s="114">
        <f t="shared" ca="1" si="16"/>
        <v>1597.73</v>
      </c>
      <c r="AN61">
        <f t="shared" si="6"/>
        <v>61</v>
      </c>
      <c r="AQ61" s="114">
        <f t="shared" ca="1" si="7"/>
        <v>0</v>
      </c>
      <c r="AW61">
        <v>61</v>
      </c>
      <c r="BG61" s="114">
        <f t="shared" ca="1" si="4"/>
        <v>19172.73</v>
      </c>
      <c r="BI61">
        <f t="shared" si="5"/>
        <v>0</v>
      </c>
    </row>
    <row r="62" spans="1:61" x14ac:dyDescent="0.25">
      <c r="A62" s="113">
        <f t="shared" si="22"/>
        <v>506</v>
      </c>
      <c r="B62" s="113" t="str">
        <f t="shared" si="23"/>
        <v>a</v>
      </c>
      <c r="C62" s="113" t="str">
        <f t="shared" si="23"/>
        <v>b</v>
      </c>
      <c r="D62" s="113" t="str">
        <f t="shared" si="23"/>
        <v>c</v>
      </c>
      <c r="E62" s="113" t="str">
        <f t="shared" si="23"/>
        <v>d</v>
      </c>
      <c r="F62" s="113" t="str">
        <f t="shared" si="23"/>
        <v>e</v>
      </c>
      <c r="G62" s="113" t="str">
        <f t="shared" si="23"/>
        <v>f</v>
      </c>
      <c r="H62" s="113" t="str">
        <f t="shared" si="23"/>
        <v>g</v>
      </c>
      <c r="I62" s="113" t="str">
        <f t="shared" si="23"/>
        <v>h</v>
      </c>
      <c r="J62" s="113" t="str">
        <f t="shared" si="23"/>
        <v>i</v>
      </c>
      <c r="K62" s="113" t="str">
        <f t="shared" si="23"/>
        <v>j</v>
      </c>
      <c r="L62" s="113" t="str">
        <f t="shared" si="23"/>
        <v>k</v>
      </c>
      <c r="M62" s="113" t="str">
        <f t="shared" si="23"/>
        <v>l</v>
      </c>
      <c r="N62" s="113" t="str">
        <f t="shared" si="23"/>
        <v>m</v>
      </c>
      <c r="O62" s="113">
        <f t="shared" si="23"/>
        <v>0</v>
      </c>
      <c r="P62" s="113">
        <f t="shared" si="23"/>
        <v>0</v>
      </c>
      <c r="Q62" s="113" t="str">
        <f t="shared" si="23"/>
        <v>p</v>
      </c>
      <c r="R62" s="113">
        <f t="shared" si="23"/>
        <v>0</v>
      </c>
      <c r="S62" s="113">
        <f t="shared" si="23"/>
        <v>0</v>
      </c>
      <c r="T62" s="113">
        <f t="shared" si="23"/>
        <v>0</v>
      </c>
      <c r="U62" s="113">
        <f t="shared" si="23"/>
        <v>0</v>
      </c>
      <c r="V62" s="113">
        <f t="shared" si="23"/>
        <v>0</v>
      </c>
      <c r="W62" s="113">
        <f t="shared" si="23"/>
        <v>0</v>
      </c>
      <c r="X62" s="113">
        <f t="shared" si="23"/>
        <v>0</v>
      </c>
      <c r="AA62" s="113">
        <v>15</v>
      </c>
      <c r="AB62" s="112">
        <f t="shared" ca="1" si="24"/>
        <v>36312</v>
      </c>
      <c r="AC62" s="112">
        <f t="shared" ca="1" si="24"/>
        <v>36707</v>
      </c>
      <c r="AF62" s="114">
        <f t="shared" ca="1" si="16"/>
        <v>14573.38</v>
      </c>
      <c r="AG62" s="114">
        <f t="shared" ca="1" si="16"/>
        <v>0</v>
      </c>
      <c r="AH62" s="114">
        <f t="shared" ca="1" si="16"/>
        <v>0</v>
      </c>
      <c r="AI62" s="114">
        <f t="shared" ca="1" si="16"/>
        <v>6459.63</v>
      </c>
      <c r="AJ62" s="114">
        <f t="shared" ca="1" si="16"/>
        <v>0</v>
      </c>
      <c r="AK62" s="114">
        <f t="shared" ca="1" si="16"/>
        <v>1752.75</v>
      </c>
      <c r="AN62">
        <f t="shared" si="6"/>
        <v>62</v>
      </c>
      <c r="AQ62" s="114">
        <f t="shared" ca="1" si="7"/>
        <v>0</v>
      </c>
      <c r="AW62">
        <v>62</v>
      </c>
      <c r="BG62" s="114">
        <f t="shared" ca="1" si="4"/>
        <v>21033.01</v>
      </c>
      <c r="BI62">
        <f t="shared" si="5"/>
        <v>0</v>
      </c>
    </row>
    <row r="63" spans="1:61" x14ac:dyDescent="0.25">
      <c r="A63" s="113">
        <f t="shared" si="22"/>
        <v>508</v>
      </c>
      <c r="B63" s="113" t="str">
        <f t="shared" si="23"/>
        <v>a</v>
      </c>
      <c r="C63" s="113" t="str">
        <f t="shared" si="23"/>
        <v>b</v>
      </c>
      <c r="D63" s="113" t="str">
        <f t="shared" si="23"/>
        <v>c</v>
      </c>
      <c r="E63" s="113" t="str">
        <f t="shared" si="23"/>
        <v>d</v>
      </c>
      <c r="F63" s="113" t="str">
        <f t="shared" si="23"/>
        <v>e</v>
      </c>
      <c r="G63" s="113" t="str">
        <f t="shared" si="23"/>
        <v>f</v>
      </c>
      <c r="H63" s="113" t="str">
        <f t="shared" si="23"/>
        <v>g</v>
      </c>
      <c r="I63" s="113" t="str">
        <f t="shared" si="23"/>
        <v>h</v>
      </c>
      <c r="J63" s="113" t="str">
        <f t="shared" si="23"/>
        <v>i</v>
      </c>
      <c r="K63" s="113" t="str">
        <f t="shared" si="23"/>
        <v>j</v>
      </c>
      <c r="L63" s="113" t="str">
        <f t="shared" si="23"/>
        <v>k</v>
      </c>
      <c r="M63" s="113" t="str">
        <f t="shared" si="23"/>
        <v>l</v>
      </c>
      <c r="N63" s="113" t="str">
        <f t="shared" si="23"/>
        <v>m</v>
      </c>
      <c r="O63" s="113">
        <f t="shared" si="23"/>
        <v>0</v>
      </c>
      <c r="P63" s="113">
        <f t="shared" si="23"/>
        <v>0</v>
      </c>
      <c r="Q63" s="113" t="str">
        <f t="shared" si="23"/>
        <v>p</v>
      </c>
      <c r="R63" s="113">
        <f t="shared" si="23"/>
        <v>0</v>
      </c>
      <c r="S63" s="113">
        <f t="shared" si="23"/>
        <v>0</v>
      </c>
      <c r="T63" s="113">
        <f t="shared" si="23"/>
        <v>0</v>
      </c>
      <c r="U63" s="113">
        <f t="shared" si="23"/>
        <v>0</v>
      </c>
      <c r="V63" s="113">
        <f t="shared" si="23"/>
        <v>0</v>
      </c>
      <c r="W63" s="113">
        <f t="shared" si="23"/>
        <v>0</v>
      </c>
      <c r="X63" s="113">
        <f t="shared" si="23"/>
        <v>0</v>
      </c>
      <c r="AA63" s="113">
        <v>21</v>
      </c>
      <c r="AB63" s="112">
        <f t="shared" ca="1" si="24"/>
        <v>36312</v>
      </c>
      <c r="AC63" s="112">
        <f t="shared" ca="1" si="24"/>
        <v>36707</v>
      </c>
      <c r="AF63" s="114">
        <f t="shared" ca="1" si="16"/>
        <v>16961.48</v>
      </c>
      <c r="AG63" s="114">
        <f t="shared" ca="1" si="16"/>
        <v>0</v>
      </c>
      <c r="AH63" s="114">
        <f t="shared" ca="1" si="16"/>
        <v>0</v>
      </c>
      <c r="AI63" s="114">
        <f t="shared" ca="1" si="16"/>
        <v>6459.63</v>
      </c>
      <c r="AJ63" s="114">
        <f t="shared" ca="1" si="16"/>
        <v>0</v>
      </c>
      <c r="AK63" s="114">
        <f t="shared" ca="1" si="16"/>
        <v>1951.76</v>
      </c>
      <c r="AN63">
        <f t="shared" si="6"/>
        <v>63</v>
      </c>
      <c r="AQ63" s="114">
        <f t="shared" ca="1" si="7"/>
        <v>0</v>
      </c>
      <c r="AW63">
        <v>63</v>
      </c>
      <c r="BG63" s="114">
        <f t="shared" ca="1" si="4"/>
        <v>23421.11</v>
      </c>
      <c r="BI63">
        <f t="shared" si="5"/>
        <v>0</v>
      </c>
    </row>
    <row r="64" spans="1:61" x14ac:dyDescent="0.25">
      <c r="A64" s="113">
        <f t="shared" si="22"/>
        <v>510</v>
      </c>
      <c r="B64" s="113" t="str">
        <f t="shared" si="23"/>
        <v>a</v>
      </c>
      <c r="C64" s="113" t="str">
        <f t="shared" si="23"/>
        <v>b</v>
      </c>
      <c r="D64" s="113" t="str">
        <f t="shared" si="23"/>
        <v>c</v>
      </c>
      <c r="E64" s="113" t="str">
        <f t="shared" si="23"/>
        <v>d</v>
      </c>
      <c r="F64" s="113" t="str">
        <f t="shared" si="23"/>
        <v>e</v>
      </c>
      <c r="G64" s="113" t="str">
        <f t="shared" si="23"/>
        <v>f</v>
      </c>
      <c r="H64" s="113" t="str">
        <f t="shared" si="23"/>
        <v>g</v>
      </c>
      <c r="I64" s="113" t="str">
        <f t="shared" si="23"/>
        <v>h</v>
      </c>
      <c r="J64" s="113" t="str">
        <f t="shared" si="23"/>
        <v>i</v>
      </c>
      <c r="K64" s="113" t="str">
        <f t="shared" si="23"/>
        <v>j</v>
      </c>
      <c r="L64" s="113" t="str">
        <f t="shared" si="23"/>
        <v>k</v>
      </c>
      <c r="M64" s="113" t="str">
        <f t="shared" si="23"/>
        <v>l</v>
      </c>
      <c r="N64" s="113" t="str">
        <f t="shared" si="23"/>
        <v>m</v>
      </c>
      <c r="O64" s="113">
        <f t="shared" si="23"/>
        <v>0</v>
      </c>
      <c r="P64" s="113">
        <f t="shared" si="23"/>
        <v>0</v>
      </c>
      <c r="Q64" s="113" t="str">
        <f t="shared" si="23"/>
        <v>p</v>
      </c>
      <c r="R64" s="113">
        <f t="shared" si="23"/>
        <v>0</v>
      </c>
      <c r="S64" s="113">
        <f t="shared" si="23"/>
        <v>0</v>
      </c>
      <c r="T64" s="113">
        <f t="shared" si="23"/>
        <v>0</v>
      </c>
      <c r="U64" s="113">
        <f t="shared" si="23"/>
        <v>0</v>
      </c>
      <c r="V64" s="113">
        <f t="shared" si="23"/>
        <v>0</v>
      </c>
      <c r="W64" s="113">
        <f t="shared" si="23"/>
        <v>0</v>
      </c>
      <c r="X64" s="113">
        <f t="shared" si="23"/>
        <v>0</v>
      </c>
      <c r="AA64" s="113">
        <v>28</v>
      </c>
      <c r="AB64" s="112">
        <f t="shared" ca="1" si="24"/>
        <v>36312</v>
      </c>
      <c r="AC64" s="112">
        <f t="shared" ca="1" si="24"/>
        <v>36707</v>
      </c>
      <c r="AF64" s="114">
        <f t="shared" ca="1" si="16"/>
        <v>18521.18</v>
      </c>
      <c r="AG64" s="114">
        <f t="shared" ca="1" si="16"/>
        <v>0</v>
      </c>
      <c r="AH64" s="114">
        <f t="shared" ca="1" si="16"/>
        <v>0</v>
      </c>
      <c r="AI64" s="114">
        <f t="shared" ca="1" si="16"/>
        <v>6459.63</v>
      </c>
      <c r="AJ64" s="114">
        <f t="shared" ca="1" si="16"/>
        <v>0</v>
      </c>
      <c r="AK64" s="114">
        <f t="shared" ca="1" si="16"/>
        <v>2081.73</v>
      </c>
      <c r="AN64">
        <f t="shared" si="6"/>
        <v>64</v>
      </c>
      <c r="AQ64" s="114">
        <f t="shared" ca="1" si="7"/>
        <v>0</v>
      </c>
      <c r="AW64">
        <v>64</v>
      </c>
      <c r="BG64" s="114">
        <f t="shared" ca="1" si="4"/>
        <v>24980.81</v>
      </c>
      <c r="BI64">
        <f t="shared" si="5"/>
        <v>0</v>
      </c>
    </row>
    <row r="65" spans="1:61" x14ac:dyDescent="0.25">
      <c r="A65" s="113">
        <f t="shared" si="22"/>
        <v>512</v>
      </c>
      <c r="B65" s="113" t="str">
        <f t="shared" si="23"/>
        <v>a</v>
      </c>
      <c r="C65" s="113" t="str">
        <f t="shared" si="23"/>
        <v>b</v>
      </c>
      <c r="D65" s="113" t="str">
        <f t="shared" si="23"/>
        <v>c</v>
      </c>
      <c r="E65" s="113" t="str">
        <f t="shared" si="23"/>
        <v>d</v>
      </c>
      <c r="F65" s="113" t="str">
        <f t="shared" si="23"/>
        <v>e</v>
      </c>
      <c r="G65" s="113" t="str">
        <f t="shared" si="23"/>
        <v>f</v>
      </c>
      <c r="H65" s="113" t="str">
        <f t="shared" si="23"/>
        <v>g</v>
      </c>
      <c r="I65" s="113" t="str">
        <f t="shared" si="23"/>
        <v>h</v>
      </c>
      <c r="J65" s="113" t="str">
        <f t="shared" si="23"/>
        <v>i</v>
      </c>
      <c r="K65" s="113" t="str">
        <f t="shared" si="23"/>
        <v>j</v>
      </c>
      <c r="L65" s="113" t="str">
        <f t="shared" si="23"/>
        <v>k</v>
      </c>
      <c r="M65" s="113" t="str">
        <f t="shared" si="23"/>
        <v>l</v>
      </c>
      <c r="N65" s="113" t="str">
        <f t="shared" si="23"/>
        <v>m</v>
      </c>
      <c r="O65" s="113">
        <f t="shared" si="23"/>
        <v>0</v>
      </c>
      <c r="P65" s="113">
        <f t="shared" si="23"/>
        <v>0</v>
      </c>
      <c r="Q65" s="113" t="str">
        <f t="shared" si="23"/>
        <v>p</v>
      </c>
      <c r="R65" s="113">
        <f t="shared" si="23"/>
        <v>0</v>
      </c>
      <c r="S65" s="113">
        <f t="shared" si="23"/>
        <v>0</v>
      </c>
      <c r="T65" s="113">
        <f t="shared" si="23"/>
        <v>0</v>
      </c>
      <c r="U65" s="113">
        <f t="shared" si="23"/>
        <v>0</v>
      </c>
      <c r="V65" s="113">
        <f t="shared" si="23"/>
        <v>0</v>
      </c>
      <c r="W65" s="113">
        <f t="shared" si="23"/>
        <v>0</v>
      </c>
      <c r="X65" s="113">
        <f t="shared" si="23"/>
        <v>0</v>
      </c>
      <c r="AA65" s="113">
        <v>35</v>
      </c>
      <c r="AB65" s="112">
        <f t="shared" ca="1" si="24"/>
        <v>36312</v>
      </c>
      <c r="AC65" s="112">
        <f t="shared" ca="1" si="24"/>
        <v>36707</v>
      </c>
      <c r="AF65" s="114">
        <f t="shared" ca="1" si="16"/>
        <v>19760.669999999998</v>
      </c>
      <c r="AG65" s="114">
        <f t="shared" ca="1" si="16"/>
        <v>0</v>
      </c>
      <c r="AH65" s="114">
        <f t="shared" ca="1" si="16"/>
        <v>0</v>
      </c>
      <c r="AI65" s="114">
        <f t="shared" ca="1" si="16"/>
        <v>6459.63</v>
      </c>
      <c r="AJ65" s="114">
        <f t="shared" ca="1" si="16"/>
        <v>0</v>
      </c>
      <c r="AK65" s="114">
        <f t="shared" ca="1" si="16"/>
        <v>2185.0300000000002</v>
      </c>
      <c r="AN65">
        <f t="shared" si="6"/>
        <v>65</v>
      </c>
      <c r="AQ65" s="114">
        <f t="shared" ca="1" si="7"/>
        <v>0</v>
      </c>
      <c r="AW65">
        <v>65</v>
      </c>
      <c r="BG65" s="114">
        <f t="shared" ca="1" si="4"/>
        <v>26220.3</v>
      </c>
      <c r="BI65">
        <f t="shared" si="5"/>
        <v>0</v>
      </c>
    </row>
    <row r="66" spans="1:61" x14ac:dyDescent="0.25">
      <c r="A66" s="113">
        <f>A59+20</f>
        <v>520</v>
      </c>
      <c r="B66" s="113" t="str">
        <f>B59</f>
        <v>a</v>
      </c>
      <c r="C66" s="113" t="str">
        <f t="shared" ref="C66:X66" si="25">C59</f>
        <v>b</v>
      </c>
      <c r="D66" s="113" t="str">
        <f t="shared" si="25"/>
        <v>c</v>
      </c>
      <c r="E66" s="113" t="str">
        <f t="shared" si="25"/>
        <v>d</v>
      </c>
      <c r="F66" s="113" t="str">
        <f t="shared" si="25"/>
        <v>e</v>
      </c>
      <c r="G66" s="113" t="str">
        <f t="shared" si="25"/>
        <v>f</v>
      </c>
      <c r="H66" s="113" t="str">
        <f t="shared" si="25"/>
        <v>g</v>
      </c>
      <c r="I66" s="113" t="str">
        <f t="shared" si="25"/>
        <v>h</v>
      </c>
      <c r="J66" s="113" t="str">
        <f t="shared" si="25"/>
        <v>i</v>
      </c>
      <c r="K66" s="113" t="str">
        <f t="shared" si="25"/>
        <v>j</v>
      </c>
      <c r="L66" s="113" t="str">
        <f t="shared" si="25"/>
        <v>k</v>
      </c>
      <c r="M66" s="113" t="str">
        <f t="shared" si="25"/>
        <v>l</v>
      </c>
      <c r="N66" s="113" t="str">
        <f t="shared" si="25"/>
        <v>m</v>
      </c>
      <c r="O66" s="113">
        <f t="shared" si="25"/>
        <v>0</v>
      </c>
      <c r="P66" s="113">
        <f t="shared" si="25"/>
        <v>0</v>
      </c>
      <c r="Q66" s="113" t="str">
        <f t="shared" si="25"/>
        <v>p</v>
      </c>
      <c r="R66" s="113">
        <f t="shared" si="25"/>
        <v>0</v>
      </c>
      <c r="S66" s="113">
        <f t="shared" si="25"/>
        <v>0</v>
      </c>
      <c r="T66" s="113">
        <f t="shared" si="25"/>
        <v>0</v>
      </c>
      <c r="U66" s="113">
        <f t="shared" si="25"/>
        <v>0</v>
      </c>
      <c r="V66" s="113">
        <f t="shared" si="25"/>
        <v>0</v>
      </c>
      <c r="W66" s="113">
        <f t="shared" si="25"/>
        <v>0</v>
      </c>
      <c r="X66" s="113">
        <f t="shared" si="25"/>
        <v>0</v>
      </c>
      <c r="AA66" s="113">
        <v>0</v>
      </c>
      <c r="AB66" s="112">
        <f ca="1">INDIRECT(CONCATENATE($AB$10,CONCATENATE(B66,$A66)))</f>
        <v>36708</v>
      </c>
      <c r="AC66" s="112">
        <f ca="1">INDIRECT(CONCATENATE($AB$10,CONCATENATE(C66,$A66)))</f>
        <v>36769</v>
      </c>
      <c r="AF66" s="114">
        <f t="shared" ca="1" si="16"/>
        <v>10451.540000000001</v>
      </c>
      <c r="AG66" s="114">
        <f ca="1">INDIRECT(CONCATENATE($AB$10,CONCATENATE(G66,$A66)))</f>
        <v>0</v>
      </c>
      <c r="AH66" s="114">
        <f ca="1">INDIRECT(CONCATENATE($AB$10,CONCATENATE(H66,$A66)))</f>
        <v>0</v>
      </c>
      <c r="AI66" s="114">
        <f ca="1">INDIRECT(CONCATENATE($AB$10,CONCATENATE(I66,$A66)))</f>
        <v>6459.63</v>
      </c>
      <c r="AJ66" s="114">
        <f ca="1">INDIRECT(CONCATENATE($AB$10,CONCATENATE(J66,$A66)))</f>
        <v>0</v>
      </c>
      <c r="AK66" s="114">
        <f ca="1">INDIRECT(CONCATENATE($AB$10,CONCATENATE(K66,$A66)))</f>
        <v>1409.26</v>
      </c>
      <c r="AN66">
        <f t="shared" si="6"/>
        <v>66</v>
      </c>
      <c r="AQ66" s="114">
        <f t="shared" ca="1" si="7"/>
        <v>0</v>
      </c>
      <c r="AW66">
        <v>66</v>
      </c>
      <c r="BG66" s="114">
        <f t="shared" ca="1" si="4"/>
        <v>16911.170000000002</v>
      </c>
      <c r="BI66">
        <f t="shared" si="5"/>
        <v>0</v>
      </c>
    </row>
    <row r="67" spans="1:61" x14ac:dyDescent="0.25">
      <c r="A67" s="113">
        <f t="shared" ref="A67:A72" si="26">A66+2</f>
        <v>522</v>
      </c>
      <c r="B67" s="113" t="str">
        <f t="shared" ref="B67:X72" si="27">B66</f>
        <v>a</v>
      </c>
      <c r="C67" s="113" t="str">
        <f t="shared" si="27"/>
        <v>b</v>
      </c>
      <c r="D67" s="113" t="str">
        <f t="shared" si="27"/>
        <v>c</v>
      </c>
      <c r="E67" s="113" t="str">
        <f t="shared" si="27"/>
        <v>d</v>
      </c>
      <c r="F67" s="113" t="str">
        <f t="shared" si="27"/>
        <v>e</v>
      </c>
      <c r="G67" s="113" t="str">
        <f t="shared" si="27"/>
        <v>f</v>
      </c>
      <c r="H67" s="113" t="str">
        <f t="shared" si="27"/>
        <v>g</v>
      </c>
      <c r="I67" s="113" t="str">
        <f t="shared" si="27"/>
        <v>h</v>
      </c>
      <c r="J67" s="113" t="str">
        <f t="shared" si="27"/>
        <v>i</v>
      </c>
      <c r="K67" s="113" t="str">
        <f t="shared" si="27"/>
        <v>j</v>
      </c>
      <c r="L67" s="113" t="str">
        <f t="shared" si="27"/>
        <v>k</v>
      </c>
      <c r="M67" s="113" t="str">
        <f t="shared" si="27"/>
        <v>l</v>
      </c>
      <c r="N67" s="113" t="str">
        <f t="shared" si="27"/>
        <v>m</v>
      </c>
      <c r="O67" s="113">
        <f t="shared" si="27"/>
        <v>0</v>
      </c>
      <c r="P67" s="113">
        <f t="shared" si="27"/>
        <v>0</v>
      </c>
      <c r="Q67" s="113" t="str">
        <f t="shared" si="27"/>
        <v>p</v>
      </c>
      <c r="R67" s="113">
        <f t="shared" si="27"/>
        <v>0</v>
      </c>
      <c r="S67" s="113">
        <f t="shared" si="27"/>
        <v>0</v>
      </c>
      <c r="T67" s="113">
        <f t="shared" si="27"/>
        <v>0</v>
      </c>
      <c r="U67" s="113">
        <f t="shared" si="27"/>
        <v>0</v>
      </c>
      <c r="V67" s="113">
        <f t="shared" si="27"/>
        <v>0</v>
      </c>
      <c r="W67" s="113">
        <f t="shared" si="27"/>
        <v>0</v>
      </c>
      <c r="X67" s="113">
        <f t="shared" si="27"/>
        <v>0</v>
      </c>
      <c r="AA67" s="113">
        <v>3</v>
      </c>
      <c r="AB67" s="112">
        <f t="shared" ref="AB67:AC72" ca="1" si="28">AB66</f>
        <v>36708</v>
      </c>
      <c r="AC67" s="112">
        <f t="shared" ca="1" si="28"/>
        <v>36769</v>
      </c>
      <c r="AF67" s="114">
        <f t="shared" ca="1" si="16"/>
        <v>11403.88</v>
      </c>
      <c r="AG67" s="114">
        <f t="shared" ca="1" si="16"/>
        <v>0</v>
      </c>
      <c r="AH67" s="114">
        <f t="shared" ca="1" si="16"/>
        <v>0</v>
      </c>
      <c r="AI67" s="114">
        <f t="shared" ca="1" si="16"/>
        <v>6459.63</v>
      </c>
      <c r="AJ67" s="114">
        <f t="shared" ca="1" si="16"/>
        <v>0</v>
      </c>
      <c r="AK67" s="114">
        <f t="shared" ca="1" si="16"/>
        <v>1488.63</v>
      </c>
      <c r="AN67">
        <f t="shared" si="6"/>
        <v>67</v>
      </c>
      <c r="AQ67" s="114">
        <f t="shared" ca="1" si="7"/>
        <v>0</v>
      </c>
      <c r="AW67">
        <v>67</v>
      </c>
      <c r="BG67" s="114">
        <f t="shared" ca="1" si="4"/>
        <v>17863.509999999998</v>
      </c>
      <c r="BI67">
        <f t="shared" si="5"/>
        <v>0</v>
      </c>
    </row>
    <row r="68" spans="1:61" x14ac:dyDescent="0.25">
      <c r="A68" s="113">
        <f t="shared" si="26"/>
        <v>524</v>
      </c>
      <c r="B68" s="113" t="str">
        <f t="shared" si="27"/>
        <v>a</v>
      </c>
      <c r="C68" s="113" t="str">
        <f t="shared" si="27"/>
        <v>b</v>
      </c>
      <c r="D68" s="113" t="str">
        <f t="shared" si="27"/>
        <v>c</v>
      </c>
      <c r="E68" s="113" t="str">
        <f t="shared" si="27"/>
        <v>d</v>
      </c>
      <c r="F68" s="113" t="str">
        <f t="shared" si="27"/>
        <v>e</v>
      </c>
      <c r="G68" s="113" t="str">
        <f t="shared" si="27"/>
        <v>f</v>
      </c>
      <c r="H68" s="113" t="str">
        <f t="shared" si="27"/>
        <v>g</v>
      </c>
      <c r="I68" s="113" t="str">
        <f t="shared" si="27"/>
        <v>h</v>
      </c>
      <c r="J68" s="113" t="str">
        <f t="shared" si="27"/>
        <v>i</v>
      </c>
      <c r="K68" s="113" t="str">
        <f t="shared" si="27"/>
        <v>j</v>
      </c>
      <c r="L68" s="113" t="str">
        <f t="shared" si="27"/>
        <v>k</v>
      </c>
      <c r="M68" s="113" t="str">
        <f t="shared" si="27"/>
        <v>l</v>
      </c>
      <c r="N68" s="113" t="str">
        <f t="shared" si="27"/>
        <v>m</v>
      </c>
      <c r="O68" s="113">
        <f t="shared" si="27"/>
        <v>0</v>
      </c>
      <c r="P68" s="113">
        <f t="shared" si="27"/>
        <v>0</v>
      </c>
      <c r="Q68" s="113" t="str">
        <f t="shared" si="27"/>
        <v>p</v>
      </c>
      <c r="R68" s="113">
        <f t="shared" si="27"/>
        <v>0</v>
      </c>
      <c r="S68" s="113">
        <f t="shared" si="27"/>
        <v>0</v>
      </c>
      <c r="T68" s="113">
        <f t="shared" si="27"/>
        <v>0</v>
      </c>
      <c r="U68" s="113">
        <f t="shared" si="27"/>
        <v>0</v>
      </c>
      <c r="V68" s="113">
        <f t="shared" si="27"/>
        <v>0</v>
      </c>
      <c r="W68" s="113">
        <f t="shared" si="27"/>
        <v>0</v>
      </c>
      <c r="X68" s="113">
        <f t="shared" si="27"/>
        <v>0</v>
      </c>
      <c r="AA68" s="113">
        <v>9</v>
      </c>
      <c r="AB68" s="112">
        <f t="shared" ca="1" si="28"/>
        <v>36708</v>
      </c>
      <c r="AC68" s="112">
        <f t="shared" ca="1" si="28"/>
        <v>36769</v>
      </c>
      <c r="AF68" s="114">
        <f t="shared" ca="1" si="16"/>
        <v>12942.41</v>
      </c>
      <c r="AG68" s="114">
        <f t="shared" ca="1" si="16"/>
        <v>0</v>
      </c>
      <c r="AH68" s="114">
        <f t="shared" ca="1" si="16"/>
        <v>0</v>
      </c>
      <c r="AI68" s="114">
        <f t="shared" ca="1" si="16"/>
        <v>6459.63</v>
      </c>
      <c r="AJ68" s="114">
        <f t="shared" ca="1" si="16"/>
        <v>0</v>
      </c>
      <c r="AK68" s="114">
        <f t="shared" ca="1" si="16"/>
        <v>1616.84</v>
      </c>
      <c r="AN68">
        <f t="shared" si="6"/>
        <v>68</v>
      </c>
      <c r="AQ68" s="114">
        <f t="shared" ca="1" si="7"/>
        <v>0</v>
      </c>
      <c r="AW68">
        <v>68</v>
      </c>
      <c r="BG68" s="114">
        <f t="shared" ca="1" si="4"/>
        <v>19402.04</v>
      </c>
      <c r="BI68">
        <f t="shared" si="5"/>
        <v>0</v>
      </c>
    </row>
    <row r="69" spans="1:61" x14ac:dyDescent="0.25">
      <c r="A69" s="113">
        <f t="shared" si="26"/>
        <v>526</v>
      </c>
      <c r="B69" s="113" t="str">
        <f t="shared" si="27"/>
        <v>a</v>
      </c>
      <c r="C69" s="113" t="str">
        <f t="shared" si="27"/>
        <v>b</v>
      </c>
      <c r="D69" s="113" t="str">
        <f t="shared" si="27"/>
        <v>c</v>
      </c>
      <c r="E69" s="113" t="str">
        <f t="shared" si="27"/>
        <v>d</v>
      </c>
      <c r="F69" s="113" t="str">
        <f t="shared" si="27"/>
        <v>e</v>
      </c>
      <c r="G69" s="113" t="str">
        <f t="shared" si="27"/>
        <v>f</v>
      </c>
      <c r="H69" s="113" t="str">
        <f t="shared" si="27"/>
        <v>g</v>
      </c>
      <c r="I69" s="113" t="str">
        <f t="shared" si="27"/>
        <v>h</v>
      </c>
      <c r="J69" s="113" t="str">
        <f t="shared" si="27"/>
        <v>i</v>
      </c>
      <c r="K69" s="113" t="str">
        <f t="shared" si="27"/>
        <v>j</v>
      </c>
      <c r="L69" s="113" t="str">
        <f t="shared" si="27"/>
        <v>k</v>
      </c>
      <c r="M69" s="113" t="str">
        <f t="shared" si="27"/>
        <v>l</v>
      </c>
      <c r="N69" s="113" t="str">
        <f t="shared" si="27"/>
        <v>m</v>
      </c>
      <c r="O69" s="113">
        <f t="shared" si="27"/>
        <v>0</v>
      </c>
      <c r="P69" s="113">
        <f t="shared" si="27"/>
        <v>0</v>
      </c>
      <c r="Q69" s="113" t="str">
        <f t="shared" si="27"/>
        <v>p</v>
      </c>
      <c r="R69" s="113">
        <f t="shared" si="27"/>
        <v>0</v>
      </c>
      <c r="S69" s="113">
        <f t="shared" si="27"/>
        <v>0</v>
      </c>
      <c r="T69" s="113">
        <f t="shared" si="27"/>
        <v>0</v>
      </c>
      <c r="U69" s="113">
        <f t="shared" si="27"/>
        <v>0</v>
      </c>
      <c r="V69" s="113">
        <f t="shared" si="27"/>
        <v>0</v>
      </c>
      <c r="W69" s="113">
        <f t="shared" si="27"/>
        <v>0</v>
      </c>
      <c r="X69" s="113">
        <f t="shared" si="27"/>
        <v>0</v>
      </c>
      <c r="AA69" s="113">
        <v>15</v>
      </c>
      <c r="AB69" s="112">
        <f t="shared" ca="1" si="28"/>
        <v>36708</v>
      </c>
      <c r="AC69" s="112">
        <f t="shared" ca="1" si="28"/>
        <v>36769</v>
      </c>
      <c r="AF69" s="114">
        <f t="shared" ca="1" si="16"/>
        <v>14827.48</v>
      </c>
      <c r="AG69" s="114">
        <f t="shared" ca="1" si="16"/>
        <v>0</v>
      </c>
      <c r="AH69" s="114">
        <f t="shared" ca="1" si="16"/>
        <v>0</v>
      </c>
      <c r="AI69" s="114">
        <f t="shared" ca="1" si="16"/>
        <v>6459.63</v>
      </c>
      <c r="AJ69" s="114">
        <f t="shared" ca="1" si="16"/>
        <v>0</v>
      </c>
      <c r="AK69" s="114">
        <f t="shared" ca="1" si="16"/>
        <v>1773.93</v>
      </c>
      <c r="AN69">
        <f t="shared" si="6"/>
        <v>69</v>
      </c>
      <c r="AQ69" s="114">
        <f t="shared" ca="1" si="7"/>
        <v>0</v>
      </c>
      <c r="AW69">
        <v>69</v>
      </c>
      <c r="BG69" s="114">
        <f t="shared" ca="1" si="4"/>
        <v>21287.11</v>
      </c>
      <c r="BI69">
        <f t="shared" si="5"/>
        <v>0</v>
      </c>
    </row>
    <row r="70" spans="1:61" x14ac:dyDescent="0.25">
      <c r="A70" s="113">
        <f t="shared" si="26"/>
        <v>528</v>
      </c>
      <c r="B70" s="113" t="str">
        <f t="shared" si="27"/>
        <v>a</v>
      </c>
      <c r="C70" s="113" t="str">
        <f t="shared" si="27"/>
        <v>b</v>
      </c>
      <c r="D70" s="113" t="str">
        <f t="shared" si="27"/>
        <v>c</v>
      </c>
      <c r="E70" s="113" t="str">
        <f t="shared" si="27"/>
        <v>d</v>
      </c>
      <c r="F70" s="113" t="str">
        <f t="shared" si="27"/>
        <v>e</v>
      </c>
      <c r="G70" s="113" t="str">
        <f t="shared" si="27"/>
        <v>f</v>
      </c>
      <c r="H70" s="113" t="str">
        <f t="shared" si="27"/>
        <v>g</v>
      </c>
      <c r="I70" s="113" t="str">
        <f t="shared" si="27"/>
        <v>h</v>
      </c>
      <c r="J70" s="113" t="str">
        <f t="shared" si="27"/>
        <v>i</v>
      </c>
      <c r="K70" s="113" t="str">
        <f t="shared" si="27"/>
        <v>j</v>
      </c>
      <c r="L70" s="113" t="str">
        <f t="shared" si="27"/>
        <v>k</v>
      </c>
      <c r="M70" s="113" t="str">
        <f t="shared" si="27"/>
        <v>l</v>
      </c>
      <c r="N70" s="113" t="str">
        <f t="shared" si="27"/>
        <v>m</v>
      </c>
      <c r="O70" s="113">
        <f t="shared" si="27"/>
        <v>0</v>
      </c>
      <c r="P70" s="113">
        <f t="shared" si="27"/>
        <v>0</v>
      </c>
      <c r="Q70" s="113" t="str">
        <f t="shared" si="27"/>
        <v>p</v>
      </c>
      <c r="R70" s="113">
        <f t="shared" si="27"/>
        <v>0</v>
      </c>
      <c r="S70" s="113">
        <f t="shared" si="27"/>
        <v>0</v>
      </c>
      <c r="T70" s="113">
        <f t="shared" si="27"/>
        <v>0</v>
      </c>
      <c r="U70" s="113">
        <f t="shared" si="27"/>
        <v>0</v>
      </c>
      <c r="V70" s="113">
        <f t="shared" si="27"/>
        <v>0</v>
      </c>
      <c r="W70" s="113">
        <f t="shared" si="27"/>
        <v>0</v>
      </c>
      <c r="X70" s="113">
        <f t="shared" si="27"/>
        <v>0</v>
      </c>
      <c r="AA70" s="113">
        <v>21</v>
      </c>
      <c r="AB70" s="112">
        <f t="shared" ca="1" si="28"/>
        <v>36708</v>
      </c>
      <c r="AC70" s="112">
        <f t="shared" ca="1" si="28"/>
        <v>36769</v>
      </c>
      <c r="AF70" s="114">
        <f t="shared" ca="1" si="16"/>
        <v>17240.36</v>
      </c>
      <c r="AG70" s="114">
        <f t="shared" ca="1" si="16"/>
        <v>0</v>
      </c>
      <c r="AH70" s="114">
        <f t="shared" ca="1" si="16"/>
        <v>0</v>
      </c>
      <c r="AI70" s="114">
        <f t="shared" ca="1" si="16"/>
        <v>6459.63</v>
      </c>
      <c r="AJ70" s="114">
        <f t="shared" ca="1" si="16"/>
        <v>0</v>
      </c>
      <c r="AK70" s="114">
        <f t="shared" ca="1" si="16"/>
        <v>1975</v>
      </c>
      <c r="AN70">
        <f t="shared" si="6"/>
        <v>70</v>
      </c>
      <c r="AQ70" s="114">
        <f t="shared" ca="1" si="7"/>
        <v>0</v>
      </c>
      <c r="AW70">
        <v>70</v>
      </c>
      <c r="BG70" s="114">
        <f t="shared" ca="1" si="4"/>
        <v>23699.99</v>
      </c>
      <c r="BI70">
        <f t="shared" si="5"/>
        <v>0</v>
      </c>
    </row>
    <row r="71" spans="1:61" x14ac:dyDescent="0.25">
      <c r="A71" s="113">
        <f t="shared" si="26"/>
        <v>530</v>
      </c>
      <c r="B71" s="113" t="str">
        <f t="shared" si="27"/>
        <v>a</v>
      </c>
      <c r="C71" s="113" t="str">
        <f t="shared" si="27"/>
        <v>b</v>
      </c>
      <c r="D71" s="113" t="str">
        <f t="shared" si="27"/>
        <v>c</v>
      </c>
      <c r="E71" s="113" t="str">
        <f t="shared" si="27"/>
        <v>d</v>
      </c>
      <c r="F71" s="113" t="str">
        <f t="shared" si="27"/>
        <v>e</v>
      </c>
      <c r="G71" s="113" t="str">
        <f t="shared" si="27"/>
        <v>f</v>
      </c>
      <c r="H71" s="113" t="str">
        <f t="shared" si="27"/>
        <v>g</v>
      </c>
      <c r="I71" s="113" t="str">
        <f t="shared" si="27"/>
        <v>h</v>
      </c>
      <c r="J71" s="113" t="str">
        <f t="shared" si="27"/>
        <v>i</v>
      </c>
      <c r="K71" s="113" t="str">
        <f t="shared" si="27"/>
        <v>j</v>
      </c>
      <c r="L71" s="113" t="str">
        <f t="shared" si="27"/>
        <v>k</v>
      </c>
      <c r="M71" s="113" t="str">
        <f t="shared" si="27"/>
        <v>l</v>
      </c>
      <c r="N71" s="113" t="str">
        <f t="shared" si="27"/>
        <v>m</v>
      </c>
      <c r="O71" s="113">
        <f t="shared" si="27"/>
        <v>0</v>
      </c>
      <c r="P71" s="113">
        <f t="shared" si="27"/>
        <v>0</v>
      </c>
      <c r="Q71" s="113" t="str">
        <f t="shared" si="27"/>
        <v>p</v>
      </c>
      <c r="R71" s="113">
        <f t="shared" si="27"/>
        <v>0</v>
      </c>
      <c r="S71" s="113">
        <f t="shared" si="27"/>
        <v>0</v>
      </c>
      <c r="T71" s="113">
        <f t="shared" si="27"/>
        <v>0</v>
      </c>
      <c r="U71" s="113">
        <f t="shared" si="27"/>
        <v>0</v>
      </c>
      <c r="V71" s="113">
        <f t="shared" si="27"/>
        <v>0</v>
      </c>
      <c r="W71" s="113">
        <f t="shared" si="27"/>
        <v>0</v>
      </c>
      <c r="X71" s="113">
        <f t="shared" si="27"/>
        <v>0</v>
      </c>
      <c r="AA71" s="113">
        <v>28</v>
      </c>
      <c r="AB71" s="112">
        <f t="shared" ca="1" si="28"/>
        <v>36708</v>
      </c>
      <c r="AC71" s="112">
        <f t="shared" ca="1" si="28"/>
        <v>36769</v>
      </c>
      <c r="AF71" s="114">
        <f t="shared" ca="1" si="16"/>
        <v>18818.66</v>
      </c>
      <c r="AG71" s="114">
        <f t="shared" ca="1" si="16"/>
        <v>0</v>
      </c>
      <c r="AH71" s="114">
        <f t="shared" ca="1" si="16"/>
        <v>0</v>
      </c>
      <c r="AI71" s="114">
        <f t="shared" ca="1" si="16"/>
        <v>6459.63</v>
      </c>
      <c r="AJ71" s="114">
        <f t="shared" ca="1" si="16"/>
        <v>0</v>
      </c>
      <c r="AK71" s="114">
        <f t="shared" ca="1" si="16"/>
        <v>2106.52</v>
      </c>
      <c r="AN71">
        <f t="shared" si="6"/>
        <v>71</v>
      </c>
      <c r="AQ71" s="114">
        <f t="shared" ca="1" si="7"/>
        <v>0</v>
      </c>
      <c r="AW71">
        <v>71</v>
      </c>
      <c r="BG71" s="114">
        <f t="shared" ca="1" si="4"/>
        <v>25278.29</v>
      </c>
      <c r="BI71">
        <f t="shared" si="5"/>
        <v>0</v>
      </c>
    </row>
    <row r="72" spans="1:61" x14ac:dyDescent="0.25">
      <c r="A72" s="113">
        <f t="shared" si="26"/>
        <v>532</v>
      </c>
      <c r="B72" s="113" t="str">
        <f t="shared" si="27"/>
        <v>a</v>
      </c>
      <c r="C72" s="113" t="str">
        <f t="shared" si="27"/>
        <v>b</v>
      </c>
      <c r="D72" s="113" t="str">
        <f t="shared" si="27"/>
        <v>c</v>
      </c>
      <c r="E72" s="113" t="str">
        <f t="shared" si="27"/>
        <v>d</v>
      </c>
      <c r="F72" s="113" t="str">
        <f t="shared" si="27"/>
        <v>e</v>
      </c>
      <c r="G72" s="113" t="str">
        <f t="shared" si="27"/>
        <v>f</v>
      </c>
      <c r="H72" s="113" t="str">
        <f t="shared" si="27"/>
        <v>g</v>
      </c>
      <c r="I72" s="113" t="str">
        <f t="shared" si="27"/>
        <v>h</v>
      </c>
      <c r="J72" s="113" t="str">
        <f t="shared" si="27"/>
        <v>i</v>
      </c>
      <c r="K72" s="113" t="str">
        <f t="shared" si="27"/>
        <v>j</v>
      </c>
      <c r="L72" s="113" t="str">
        <f t="shared" si="27"/>
        <v>k</v>
      </c>
      <c r="M72" s="113" t="str">
        <f t="shared" si="27"/>
        <v>l</v>
      </c>
      <c r="N72" s="113" t="str">
        <f t="shared" si="27"/>
        <v>m</v>
      </c>
      <c r="O72" s="113">
        <f t="shared" si="27"/>
        <v>0</v>
      </c>
      <c r="P72" s="113">
        <f t="shared" si="27"/>
        <v>0</v>
      </c>
      <c r="Q72" s="113" t="str">
        <f t="shared" si="27"/>
        <v>p</v>
      </c>
      <c r="R72" s="113">
        <f t="shared" si="27"/>
        <v>0</v>
      </c>
      <c r="S72" s="113">
        <f t="shared" si="27"/>
        <v>0</v>
      </c>
      <c r="T72" s="113">
        <f t="shared" si="27"/>
        <v>0</v>
      </c>
      <c r="U72" s="113">
        <f t="shared" si="27"/>
        <v>0</v>
      </c>
      <c r="V72" s="113">
        <f t="shared" si="27"/>
        <v>0</v>
      </c>
      <c r="W72" s="113">
        <f t="shared" si="27"/>
        <v>0</v>
      </c>
      <c r="X72" s="113">
        <f t="shared" si="27"/>
        <v>0</v>
      </c>
      <c r="AA72" s="113">
        <v>35</v>
      </c>
      <c r="AB72" s="112">
        <f t="shared" ca="1" si="28"/>
        <v>36708</v>
      </c>
      <c r="AC72" s="112">
        <f t="shared" ca="1" si="28"/>
        <v>36769</v>
      </c>
      <c r="AF72" s="114">
        <f t="shared" ca="1" si="16"/>
        <v>20076.75</v>
      </c>
      <c r="AG72" s="114">
        <f t="shared" ca="1" si="16"/>
        <v>0</v>
      </c>
      <c r="AH72" s="114">
        <f t="shared" ca="1" si="16"/>
        <v>0</v>
      </c>
      <c r="AI72" s="114">
        <f t="shared" ca="1" si="16"/>
        <v>6459.63</v>
      </c>
      <c r="AJ72" s="114">
        <f t="shared" ca="1" si="16"/>
        <v>0</v>
      </c>
      <c r="AK72" s="114">
        <f t="shared" ca="1" si="16"/>
        <v>2211.37</v>
      </c>
      <c r="AN72">
        <f t="shared" si="6"/>
        <v>72</v>
      </c>
      <c r="AQ72" s="114">
        <f t="shared" ca="1" si="7"/>
        <v>0</v>
      </c>
      <c r="AW72">
        <v>72</v>
      </c>
      <c r="BG72" s="114">
        <f t="shared" ca="1" si="4"/>
        <v>26536.38</v>
      </c>
      <c r="BI72">
        <f t="shared" si="5"/>
        <v>0</v>
      </c>
    </row>
    <row r="73" spans="1:61" x14ac:dyDescent="0.25">
      <c r="A73" s="113">
        <f>A66+20</f>
        <v>540</v>
      </c>
      <c r="B73" s="113" t="str">
        <f>B66</f>
        <v>a</v>
      </c>
      <c r="C73" s="113" t="str">
        <f t="shared" ref="C73:X73" si="29">C66</f>
        <v>b</v>
      </c>
      <c r="D73" s="113" t="str">
        <f t="shared" si="29"/>
        <v>c</v>
      </c>
      <c r="E73" s="113" t="str">
        <f t="shared" si="29"/>
        <v>d</v>
      </c>
      <c r="F73" s="113" t="str">
        <f t="shared" si="29"/>
        <v>e</v>
      </c>
      <c r="G73" s="113" t="str">
        <f t="shared" si="29"/>
        <v>f</v>
      </c>
      <c r="H73" s="113" t="str">
        <f t="shared" si="29"/>
        <v>g</v>
      </c>
      <c r="I73" s="113" t="str">
        <f t="shared" si="29"/>
        <v>h</v>
      </c>
      <c r="J73" s="113" t="str">
        <f t="shared" si="29"/>
        <v>i</v>
      </c>
      <c r="K73" s="113" t="str">
        <f t="shared" si="29"/>
        <v>j</v>
      </c>
      <c r="L73" s="113" t="str">
        <f t="shared" si="29"/>
        <v>k</v>
      </c>
      <c r="M73" s="113" t="str">
        <f t="shared" si="29"/>
        <v>l</v>
      </c>
      <c r="N73" s="113" t="str">
        <f t="shared" si="29"/>
        <v>m</v>
      </c>
      <c r="O73" s="113">
        <f t="shared" si="29"/>
        <v>0</v>
      </c>
      <c r="P73" s="113">
        <f t="shared" si="29"/>
        <v>0</v>
      </c>
      <c r="Q73" s="113" t="str">
        <f t="shared" si="29"/>
        <v>p</v>
      </c>
      <c r="R73" s="113">
        <f t="shared" si="29"/>
        <v>0</v>
      </c>
      <c r="S73" s="113">
        <f t="shared" si="29"/>
        <v>0</v>
      </c>
      <c r="T73" s="113">
        <f t="shared" si="29"/>
        <v>0</v>
      </c>
      <c r="U73" s="113">
        <f t="shared" si="29"/>
        <v>0</v>
      </c>
      <c r="V73" s="113">
        <f t="shared" si="29"/>
        <v>0</v>
      </c>
      <c r="W73" s="113">
        <f t="shared" si="29"/>
        <v>0</v>
      </c>
      <c r="X73" s="113">
        <f t="shared" si="29"/>
        <v>0</v>
      </c>
      <c r="AA73" s="113">
        <v>0</v>
      </c>
      <c r="AB73" s="112">
        <f ca="1">INDIRECT(CONCATENATE($AB$10,CONCATENATE(B73,$A73)))</f>
        <v>36770</v>
      </c>
      <c r="AC73" s="112">
        <f ca="1">INDIRECT(CONCATENATE($AB$10,CONCATENATE(C73,$A73)))</f>
        <v>36891</v>
      </c>
      <c r="AF73" s="114">
        <f t="shared" ca="1" si="16"/>
        <v>10451.540000000001</v>
      </c>
      <c r="AG73" s="114">
        <f ca="1">INDIRECT(CONCATENATE($AB$10,CONCATENATE(G73,$A73)))</f>
        <v>0</v>
      </c>
      <c r="AH73" s="114">
        <f ca="1">INDIRECT(CONCATENATE($AB$10,CONCATENATE(H73,$A73)))</f>
        <v>0</v>
      </c>
      <c r="AI73" s="114">
        <f ca="1">INDIRECT(CONCATENATE($AB$10,CONCATENATE(I73,$A73)))</f>
        <v>6459.63</v>
      </c>
      <c r="AJ73" s="114">
        <f ca="1">INDIRECT(CONCATENATE($AB$10,CONCATENATE(J73,$A73)))</f>
        <v>0</v>
      </c>
      <c r="AK73" s="114">
        <f ca="1">INDIRECT(CONCATENATE($AB$10,CONCATENATE(K73,$A73)))</f>
        <v>1409.26</v>
      </c>
      <c r="AN73">
        <f t="shared" si="6"/>
        <v>73</v>
      </c>
      <c r="AQ73" s="114">
        <f t="shared" ca="1" si="7"/>
        <v>0</v>
      </c>
      <c r="AW73">
        <v>73</v>
      </c>
      <c r="BG73" s="114">
        <f t="shared" ca="1" si="4"/>
        <v>16911.170000000002</v>
      </c>
      <c r="BI73">
        <f t="shared" si="5"/>
        <v>0</v>
      </c>
    </row>
    <row r="74" spans="1:61" x14ac:dyDescent="0.25">
      <c r="A74" s="113">
        <f t="shared" ref="A74:A79" si="30">A73+2</f>
        <v>542</v>
      </c>
      <c r="B74" s="113" t="str">
        <f t="shared" ref="B74:X79" si="31">B73</f>
        <v>a</v>
      </c>
      <c r="C74" s="113" t="str">
        <f t="shared" si="31"/>
        <v>b</v>
      </c>
      <c r="D74" s="113" t="str">
        <f t="shared" si="31"/>
        <v>c</v>
      </c>
      <c r="E74" s="113" t="str">
        <f t="shared" si="31"/>
        <v>d</v>
      </c>
      <c r="F74" s="113" t="str">
        <f t="shared" si="31"/>
        <v>e</v>
      </c>
      <c r="G74" s="113" t="str">
        <f t="shared" si="31"/>
        <v>f</v>
      </c>
      <c r="H74" s="113" t="str">
        <f t="shared" si="31"/>
        <v>g</v>
      </c>
      <c r="I74" s="113" t="str">
        <f t="shared" si="31"/>
        <v>h</v>
      </c>
      <c r="J74" s="113" t="str">
        <f t="shared" si="31"/>
        <v>i</v>
      </c>
      <c r="K74" s="113" t="str">
        <f t="shared" si="31"/>
        <v>j</v>
      </c>
      <c r="L74" s="113" t="str">
        <f t="shared" si="31"/>
        <v>k</v>
      </c>
      <c r="M74" s="113" t="str">
        <f t="shared" si="31"/>
        <v>l</v>
      </c>
      <c r="N74" s="113" t="str">
        <f t="shared" si="31"/>
        <v>m</v>
      </c>
      <c r="O74" s="113">
        <f t="shared" si="31"/>
        <v>0</v>
      </c>
      <c r="P74" s="113">
        <f t="shared" si="31"/>
        <v>0</v>
      </c>
      <c r="Q74" s="113" t="str">
        <f t="shared" si="31"/>
        <v>p</v>
      </c>
      <c r="R74" s="113">
        <f t="shared" si="31"/>
        <v>0</v>
      </c>
      <c r="S74" s="113">
        <f t="shared" si="31"/>
        <v>0</v>
      </c>
      <c r="T74" s="113">
        <f t="shared" si="31"/>
        <v>0</v>
      </c>
      <c r="U74" s="113">
        <f t="shared" si="31"/>
        <v>0</v>
      </c>
      <c r="V74" s="113">
        <f t="shared" si="31"/>
        <v>0</v>
      </c>
      <c r="W74" s="113">
        <f t="shared" si="31"/>
        <v>0</v>
      </c>
      <c r="X74" s="113">
        <f t="shared" si="31"/>
        <v>0</v>
      </c>
      <c r="AA74" s="113">
        <v>3</v>
      </c>
      <c r="AB74" s="112">
        <f t="shared" ref="AB74:AC79" ca="1" si="32">AB73</f>
        <v>36770</v>
      </c>
      <c r="AC74" s="112">
        <f t="shared" ca="1" si="32"/>
        <v>36891</v>
      </c>
      <c r="AF74" s="114">
        <f t="shared" ca="1" si="16"/>
        <v>11403.88</v>
      </c>
      <c r="AG74" s="114">
        <f t="shared" ca="1" si="16"/>
        <v>0</v>
      </c>
      <c r="AH74" s="114">
        <f t="shared" ca="1" si="16"/>
        <v>0</v>
      </c>
      <c r="AI74" s="114">
        <f t="shared" ca="1" si="16"/>
        <v>6459.63</v>
      </c>
      <c r="AJ74" s="114">
        <f t="shared" ca="1" si="16"/>
        <v>0</v>
      </c>
      <c r="AK74" s="114">
        <f t="shared" ca="1" si="16"/>
        <v>1488.63</v>
      </c>
      <c r="AN74">
        <f t="shared" si="6"/>
        <v>74</v>
      </c>
      <c r="AQ74" s="114">
        <f t="shared" ca="1" si="7"/>
        <v>0</v>
      </c>
      <c r="AW74">
        <v>74</v>
      </c>
      <c r="BG74" s="114">
        <f t="shared" ca="1" si="4"/>
        <v>17863.509999999998</v>
      </c>
      <c r="BI74">
        <f t="shared" si="5"/>
        <v>0</v>
      </c>
    </row>
    <row r="75" spans="1:61" x14ac:dyDescent="0.25">
      <c r="A75" s="113">
        <f t="shared" si="30"/>
        <v>544</v>
      </c>
      <c r="B75" s="113" t="str">
        <f t="shared" si="31"/>
        <v>a</v>
      </c>
      <c r="C75" s="113" t="str">
        <f t="shared" si="31"/>
        <v>b</v>
      </c>
      <c r="D75" s="113" t="str">
        <f t="shared" si="31"/>
        <v>c</v>
      </c>
      <c r="E75" s="113" t="str">
        <f t="shared" si="31"/>
        <v>d</v>
      </c>
      <c r="F75" s="113" t="str">
        <f t="shared" si="31"/>
        <v>e</v>
      </c>
      <c r="G75" s="113" t="str">
        <f t="shared" si="31"/>
        <v>f</v>
      </c>
      <c r="H75" s="113" t="str">
        <f t="shared" si="31"/>
        <v>g</v>
      </c>
      <c r="I75" s="113" t="str">
        <f t="shared" si="31"/>
        <v>h</v>
      </c>
      <c r="J75" s="113" t="str">
        <f t="shared" si="31"/>
        <v>i</v>
      </c>
      <c r="K75" s="113" t="str">
        <f t="shared" si="31"/>
        <v>j</v>
      </c>
      <c r="L75" s="113" t="str">
        <f t="shared" si="31"/>
        <v>k</v>
      </c>
      <c r="M75" s="113" t="str">
        <f t="shared" si="31"/>
        <v>l</v>
      </c>
      <c r="N75" s="113" t="str">
        <f t="shared" si="31"/>
        <v>m</v>
      </c>
      <c r="O75" s="113">
        <f t="shared" si="31"/>
        <v>0</v>
      </c>
      <c r="P75" s="113">
        <f t="shared" si="31"/>
        <v>0</v>
      </c>
      <c r="Q75" s="113" t="str">
        <f t="shared" si="31"/>
        <v>p</v>
      </c>
      <c r="R75" s="113">
        <f t="shared" si="31"/>
        <v>0</v>
      </c>
      <c r="S75" s="113">
        <f t="shared" si="31"/>
        <v>0</v>
      </c>
      <c r="T75" s="113">
        <f t="shared" si="31"/>
        <v>0</v>
      </c>
      <c r="U75" s="113">
        <f t="shared" si="31"/>
        <v>0</v>
      </c>
      <c r="V75" s="113">
        <f t="shared" si="31"/>
        <v>0</v>
      </c>
      <c r="W75" s="113">
        <f t="shared" si="31"/>
        <v>0</v>
      </c>
      <c r="X75" s="113">
        <f t="shared" si="31"/>
        <v>0</v>
      </c>
      <c r="AA75" s="113">
        <v>9</v>
      </c>
      <c r="AB75" s="112">
        <f t="shared" ca="1" si="32"/>
        <v>36770</v>
      </c>
      <c r="AC75" s="112">
        <f t="shared" ca="1" si="32"/>
        <v>36891</v>
      </c>
      <c r="AF75" s="114">
        <f t="shared" ca="1" si="16"/>
        <v>12942.41</v>
      </c>
      <c r="AG75" s="114">
        <f t="shared" ca="1" si="16"/>
        <v>0</v>
      </c>
      <c r="AH75" s="114">
        <f t="shared" ca="1" si="16"/>
        <v>0</v>
      </c>
      <c r="AI75" s="114">
        <f t="shared" ca="1" si="16"/>
        <v>6459.63</v>
      </c>
      <c r="AJ75" s="114">
        <f t="shared" ca="1" si="16"/>
        <v>0</v>
      </c>
      <c r="AK75" s="114">
        <f t="shared" ca="1" si="16"/>
        <v>1616.84</v>
      </c>
      <c r="AN75">
        <f t="shared" si="6"/>
        <v>75</v>
      </c>
      <c r="AQ75" s="114">
        <f t="shared" ca="1" si="7"/>
        <v>0</v>
      </c>
      <c r="AW75">
        <v>75</v>
      </c>
      <c r="BG75" s="114">
        <f t="shared" ca="1" si="4"/>
        <v>19402.04</v>
      </c>
      <c r="BI75">
        <f t="shared" si="5"/>
        <v>0</v>
      </c>
    </row>
    <row r="76" spans="1:61" x14ac:dyDescent="0.25">
      <c r="A76" s="113">
        <f t="shared" si="30"/>
        <v>546</v>
      </c>
      <c r="B76" s="113" t="str">
        <f t="shared" si="31"/>
        <v>a</v>
      </c>
      <c r="C76" s="113" t="str">
        <f t="shared" si="31"/>
        <v>b</v>
      </c>
      <c r="D76" s="113" t="str">
        <f t="shared" si="31"/>
        <v>c</v>
      </c>
      <c r="E76" s="113" t="str">
        <f t="shared" si="31"/>
        <v>d</v>
      </c>
      <c r="F76" s="113" t="str">
        <f t="shared" si="31"/>
        <v>e</v>
      </c>
      <c r="G76" s="113" t="str">
        <f t="shared" si="31"/>
        <v>f</v>
      </c>
      <c r="H76" s="113" t="str">
        <f t="shared" si="31"/>
        <v>g</v>
      </c>
      <c r="I76" s="113" t="str">
        <f t="shared" si="31"/>
        <v>h</v>
      </c>
      <c r="J76" s="113" t="str">
        <f t="shared" si="31"/>
        <v>i</v>
      </c>
      <c r="K76" s="113" t="str">
        <f t="shared" si="31"/>
        <v>j</v>
      </c>
      <c r="L76" s="113" t="str">
        <f t="shared" si="31"/>
        <v>k</v>
      </c>
      <c r="M76" s="113" t="str">
        <f t="shared" si="31"/>
        <v>l</v>
      </c>
      <c r="N76" s="113" t="str">
        <f t="shared" si="31"/>
        <v>m</v>
      </c>
      <c r="O76" s="113">
        <f t="shared" si="31"/>
        <v>0</v>
      </c>
      <c r="P76" s="113">
        <f t="shared" si="31"/>
        <v>0</v>
      </c>
      <c r="Q76" s="113" t="str">
        <f t="shared" si="31"/>
        <v>p</v>
      </c>
      <c r="R76" s="113">
        <f t="shared" si="31"/>
        <v>0</v>
      </c>
      <c r="S76" s="113">
        <f t="shared" si="31"/>
        <v>0</v>
      </c>
      <c r="T76" s="113">
        <f t="shared" si="31"/>
        <v>0</v>
      </c>
      <c r="U76" s="113">
        <f t="shared" si="31"/>
        <v>0</v>
      </c>
      <c r="V76" s="113">
        <f t="shared" si="31"/>
        <v>0</v>
      </c>
      <c r="W76" s="113">
        <f t="shared" si="31"/>
        <v>0</v>
      </c>
      <c r="X76" s="113">
        <f t="shared" si="31"/>
        <v>0</v>
      </c>
      <c r="AA76" s="113">
        <v>15</v>
      </c>
      <c r="AB76" s="112">
        <f t="shared" ca="1" si="32"/>
        <v>36770</v>
      </c>
      <c r="AC76" s="112">
        <f t="shared" ca="1" si="32"/>
        <v>36891</v>
      </c>
      <c r="AF76" s="114">
        <f t="shared" ca="1" si="16"/>
        <v>14827.48</v>
      </c>
      <c r="AG76" s="114">
        <f t="shared" ca="1" si="16"/>
        <v>0</v>
      </c>
      <c r="AH76" s="114">
        <f t="shared" ca="1" si="16"/>
        <v>0</v>
      </c>
      <c r="AI76" s="114">
        <f t="shared" ca="1" si="16"/>
        <v>6459.63</v>
      </c>
      <c r="AJ76" s="114">
        <f t="shared" ca="1" si="16"/>
        <v>0</v>
      </c>
      <c r="AK76" s="114">
        <f t="shared" ca="1" si="16"/>
        <v>1773.93</v>
      </c>
      <c r="AN76">
        <f t="shared" si="6"/>
        <v>76</v>
      </c>
      <c r="AQ76" s="114">
        <f t="shared" ca="1" si="7"/>
        <v>0</v>
      </c>
      <c r="AW76">
        <v>76</v>
      </c>
      <c r="BG76" s="114">
        <f t="shared" ca="1" si="4"/>
        <v>21287.11</v>
      </c>
      <c r="BI76">
        <f t="shared" si="5"/>
        <v>0</v>
      </c>
    </row>
    <row r="77" spans="1:61" x14ac:dyDescent="0.25">
      <c r="A77" s="113">
        <f t="shared" si="30"/>
        <v>548</v>
      </c>
      <c r="B77" s="113" t="str">
        <f t="shared" si="31"/>
        <v>a</v>
      </c>
      <c r="C77" s="113" t="str">
        <f t="shared" si="31"/>
        <v>b</v>
      </c>
      <c r="D77" s="113" t="str">
        <f t="shared" si="31"/>
        <v>c</v>
      </c>
      <c r="E77" s="113" t="str">
        <f t="shared" si="31"/>
        <v>d</v>
      </c>
      <c r="F77" s="113" t="str">
        <f t="shared" si="31"/>
        <v>e</v>
      </c>
      <c r="G77" s="113" t="str">
        <f t="shared" si="31"/>
        <v>f</v>
      </c>
      <c r="H77" s="113" t="str">
        <f t="shared" si="31"/>
        <v>g</v>
      </c>
      <c r="I77" s="113" t="str">
        <f t="shared" si="31"/>
        <v>h</v>
      </c>
      <c r="J77" s="113" t="str">
        <f t="shared" si="31"/>
        <v>i</v>
      </c>
      <c r="K77" s="113" t="str">
        <f t="shared" si="31"/>
        <v>j</v>
      </c>
      <c r="L77" s="113" t="str">
        <f t="shared" si="31"/>
        <v>k</v>
      </c>
      <c r="M77" s="113" t="str">
        <f t="shared" si="31"/>
        <v>l</v>
      </c>
      <c r="N77" s="113" t="str">
        <f t="shared" si="31"/>
        <v>m</v>
      </c>
      <c r="O77" s="113">
        <f t="shared" si="31"/>
        <v>0</v>
      </c>
      <c r="P77" s="113">
        <f t="shared" si="31"/>
        <v>0</v>
      </c>
      <c r="Q77" s="113" t="str">
        <f t="shared" si="31"/>
        <v>p</v>
      </c>
      <c r="R77" s="113">
        <f t="shared" si="31"/>
        <v>0</v>
      </c>
      <c r="S77" s="113">
        <f t="shared" si="31"/>
        <v>0</v>
      </c>
      <c r="T77" s="113">
        <f t="shared" si="31"/>
        <v>0</v>
      </c>
      <c r="U77" s="113">
        <f t="shared" si="31"/>
        <v>0</v>
      </c>
      <c r="V77" s="113">
        <f t="shared" si="31"/>
        <v>0</v>
      </c>
      <c r="W77" s="113">
        <f t="shared" si="31"/>
        <v>0</v>
      </c>
      <c r="X77" s="113">
        <f t="shared" si="31"/>
        <v>0</v>
      </c>
      <c r="AA77" s="113">
        <v>21</v>
      </c>
      <c r="AB77" s="112">
        <f t="shared" ca="1" si="32"/>
        <v>36770</v>
      </c>
      <c r="AC77" s="112">
        <f t="shared" ca="1" si="32"/>
        <v>36891</v>
      </c>
      <c r="AF77" s="114">
        <f t="shared" ca="1" si="16"/>
        <v>17240.36</v>
      </c>
      <c r="AG77" s="114">
        <f t="shared" ca="1" si="16"/>
        <v>0</v>
      </c>
      <c r="AH77" s="114">
        <f t="shared" ca="1" si="16"/>
        <v>0</v>
      </c>
      <c r="AI77" s="114">
        <f t="shared" ca="1" si="16"/>
        <v>6459.63</v>
      </c>
      <c r="AJ77" s="114">
        <f t="shared" ca="1" si="16"/>
        <v>0</v>
      </c>
      <c r="AK77" s="114">
        <f t="shared" ca="1" si="16"/>
        <v>1975</v>
      </c>
      <c r="AN77">
        <f t="shared" si="6"/>
        <v>77</v>
      </c>
      <c r="AQ77" s="114">
        <f t="shared" ca="1" si="7"/>
        <v>0</v>
      </c>
      <c r="AW77">
        <v>77</v>
      </c>
      <c r="BG77" s="114">
        <f t="shared" ca="1" si="4"/>
        <v>23699.99</v>
      </c>
      <c r="BI77">
        <f t="shared" si="5"/>
        <v>0</v>
      </c>
    </row>
    <row r="78" spans="1:61" x14ac:dyDescent="0.25">
      <c r="A78" s="113">
        <f t="shared" si="30"/>
        <v>550</v>
      </c>
      <c r="B78" s="113" t="str">
        <f t="shared" si="31"/>
        <v>a</v>
      </c>
      <c r="C78" s="113" t="str">
        <f t="shared" si="31"/>
        <v>b</v>
      </c>
      <c r="D78" s="113" t="str">
        <f t="shared" si="31"/>
        <v>c</v>
      </c>
      <c r="E78" s="113" t="str">
        <f t="shared" si="31"/>
        <v>d</v>
      </c>
      <c r="F78" s="113" t="str">
        <f t="shared" si="31"/>
        <v>e</v>
      </c>
      <c r="G78" s="113" t="str">
        <f t="shared" si="31"/>
        <v>f</v>
      </c>
      <c r="H78" s="113" t="str">
        <f t="shared" si="31"/>
        <v>g</v>
      </c>
      <c r="I78" s="113" t="str">
        <f t="shared" si="31"/>
        <v>h</v>
      </c>
      <c r="J78" s="113" t="str">
        <f t="shared" si="31"/>
        <v>i</v>
      </c>
      <c r="K78" s="113" t="str">
        <f t="shared" si="31"/>
        <v>j</v>
      </c>
      <c r="L78" s="113" t="str">
        <f t="shared" si="31"/>
        <v>k</v>
      </c>
      <c r="M78" s="113" t="str">
        <f t="shared" si="31"/>
        <v>l</v>
      </c>
      <c r="N78" s="113" t="str">
        <f t="shared" si="31"/>
        <v>m</v>
      </c>
      <c r="O78" s="113">
        <f t="shared" si="31"/>
        <v>0</v>
      </c>
      <c r="P78" s="113">
        <f t="shared" si="31"/>
        <v>0</v>
      </c>
      <c r="Q78" s="113" t="str">
        <f t="shared" si="31"/>
        <v>p</v>
      </c>
      <c r="R78" s="113">
        <f t="shared" si="31"/>
        <v>0</v>
      </c>
      <c r="S78" s="113">
        <f t="shared" si="31"/>
        <v>0</v>
      </c>
      <c r="T78" s="113">
        <f t="shared" si="31"/>
        <v>0</v>
      </c>
      <c r="U78" s="113">
        <f t="shared" si="31"/>
        <v>0</v>
      </c>
      <c r="V78" s="113">
        <f t="shared" si="31"/>
        <v>0</v>
      </c>
      <c r="W78" s="113">
        <f t="shared" si="31"/>
        <v>0</v>
      </c>
      <c r="X78" s="113">
        <f t="shared" si="31"/>
        <v>0</v>
      </c>
      <c r="AA78" s="113">
        <v>28</v>
      </c>
      <c r="AB78" s="112">
        <f t="shared" ca="1" si="32"/>
        <v>36770</v>
      </c>
      <c r="AC78" s="112">
        <f t="shared" ca="1" si="32"/>
        <v>36891</v>
      </c>
      <c r="AF78" s="114">
        <f t="shared" ca="1" si="16"/>
        <v>18818.66</v>
      </c>
      <c r="AG78" s="114">
        <f t="shared" ca="1" si="16"/>
        <v>0</v>
      </c>
      <c r="AH78" s="114">
        <f t="shared" ca="1" si="16"/>
        <v>0</v>
      </c>
      <c r="AI78" s="114">
        <f t="shared" ca="1" si="16"/>
        <v>6459.63</v>
      </c>
      <c r="AJ78" s="114">
        <f t="shared" ca="1" si="16"/>
        <v>0</v>
      </c>
      <c r="AK78" s="114">
        <f t="shared" ca="1" si="16"/>
        <v>2106.52</v>
      </c>
      <c r="AN78">
        <f t="shared" si="6"/>
        <v>78</v>
      </c>
      <c r="AQ78" s="114">
        <f t="shared" ca="1" si="7"/>
        <v>0</v>
      </c>
      <c r="AW78">
        <v>78</v>
      </c>
      <c r="BG78" s="114">
        <f t="shared" ca="1" si="4"/>
        <v>25278.29</v>
      </c>
      <c r="BI78">
        <f t="shared" si="5"/>
        <v>0</v>
      </c>
    </row>
    <row r="79" spans="1:61" x14ac:dyDescent="0.25">
      <c r="A79" s="113">
        <f t="shared" si="30"/>
        <v>552</v>
      </c>
      <c r="B79" s="113" t="str">
        <f t="shared" si="31"/>
        <v>a</v>
      </c>
      <c r="C79" s="113" t="str">
        <f t="shared" si="31"/>
        <v>b</v>
      </c>
      <c r="D79" s="113" t="str">
        <f t="shared" si="31"/>
        <v>c</v>
      </c>
      <c r="E79" s="113" t="str">
        <f t="shared" si="31"/>
        <v>d</v>
      </c>
      <c r="F79" s="113" t="str">
        <f t="shared" si="31"/>
        <v>e</v>
      </c>
      <c r="G79" s="113" t="str">
        <f t="shared" si="31"/>
        <v>f</v>
      </c>
      <c r="H79" s="113" t="str">
        <f t="shared" si="31"/>
        <v>g</v>
      </c>
      <c r="I79" s="113" t="str">
        <f t="shared" si="31"/>
        <v>h</v>
      </c>
      <c r="J79" s="113" t="str">
        <f t="shared" si="31"/>
        <v>i</v>
      </c>
      <c r="K79" s="113" t="str">
        <f t="shared" si="31"/>
        <v>j</v>
      </c>
      <c r="L79" s="113" t="str">
        <f t="shared" si="31"/>
        <v>k</v>
      </c>
      <c r="M79" s="113" t="str">
        <f t="shared" si="31"/>
        <v>l</v>
      </c>
      <c r="N79" s="113" t="str">
        <f t="shared" si="31"/>
        <v>m</v>
      </c>
      <c r="O79" s="113">
        <f t="shared" si="31"/>
        <v>0</v>
      </c>
      <c r="P79" s="113">
        <f t="shared" si="31"/>
        <v>0</v>
      </c>
      <c r="Q79" s="113" t="str">
        <f t="shared" si="31"/>
        <v>p</v>
      </c>
      <c r="R79" s="113">
        <f t="shared" si="31"/>
        <v>0</v>
      </c>
      <c r="S79" s="113">
        <f t="shared" si="31"/>
        <v>0</v>
      </c>
      <c r="T79" s="113">
        <f t="shared" si="31"/>
        <v>0</v>
      </c>
      <c r="U79" s="113">
        <f t="shared" si="31"/>
        <v>0</v>
      </c>
      <c r="V79" s="113">
        <f t="shared" si="31"/>
        <v>0</v>
      </c>
      <c r="W79" s="113">
        <f t="shared" si="31"/>
        <v>0</v>
      </c>
      <c r="X79" s="113">
        <f t="shared" si="31"/>
        <v>0</v>
      </c>
      <c r="AA79" s="113">
        <v>35</v>
      </c>
      <c r="AB79" s="112">
        <f t="shared" ca="1" si="32"/>
        <v>36770</v>
      </c>
      <c r="AC79" s="112">
        <f t="shared" ca="1" si="32"/>
        <v>36891</v>
      </c>
      <c r="AF79" s="114">
        <f t="shared" ca="1" si="16"/>
        <v>20076.75</v>
      </c>
      <c r="AG79" s="114">
        <f t="shared" ca="1" si="16"/>
        <v>0</v>
      </c>
      <c r="AH79" s="114">
        <f t="shared" ca="1" si="16"/>
        <v>0</v>
      </c>
      <c r="AI79" s="114">
        <f t="shared" ca="1" si="16"/>
        <v>6459.63</v>
      </c>
      <c r="AJ79" s="114">
        <f t="shared" ca="1" si="16"/>
        <v>0</v>
      </c>
      <c r="AK79" s="114">
        <f t="shared" ca="1" si="16"/>
        <v>2211.37</v>
      </c>
      <c r="AN79">
        <f t="shared" si="6"/>
        <v>79</v>
      </c>
      <c r="AQ79" s="114">
        <f t="shared" ca="1" si="7"/>
        <v>0</v>
      </c>
      <c r="AW79">
        <v>79</v>
      </c>
      <c r="BG79" s="114">
        <f t="shared" ca="1" si="4"/>
        <v>26536.38</v>
      </c>
      <c r="BI79">
        <f t="shared" si="5"/>
        <v>0</v>
      </c>
    </row>
    <row r="80" spans="1:61" x14ac:dyDescent="0.25">
      <c r="A80" s="113">
        <f>A73+20</f>
        <v>560</v>
      </c>
      <c r="B80" s="113" t="str">
        <f>B73</f>
        <v>a</v>
      </c>
      <c r="C80" s="113" t="str">
        <f t="shared" ref="C80:X80" si="33">C73</f>
        <v>b</v>
      </c>
      <c r="D80" s="113" t="str">
        <f t="shared" si="33"/>
        <v>c</v>
      </c>
      <c r="E80" s="113" t="str">
        <f t="shared" si="33"/>
        <v>d</v>
      </c>
      <c r="F80" s="113" t="str">
        <f t="shared" si="33"/>
        <v>e</v>
      </c>
      <c r="G80" s="113" t="str">
        <f t="shared" si="33"/>
        <v>f</v>
      </c>
      <c r="H80" s="113" t="str">
        <f t="shared" si="33"/>
        <v>g</v>
      </c>
      <c r="I80" s="113" t="str">
        <f t="shared" si="33"/>
        <v>h</v>
      </c>
      <c r="J80" s="113" t="str">
        <f t="shared" si="33"/>
        <v>i</v>
      </c>
      <c r="K80" s="113" t="str">
        <f t="shared" si="33"/>
        <v>j</v>
      </c>
      <c r="L80" s="113" t="str">
        <f t="shared" si="33"/>
        <v>k</v>
      </c>
      <c r="M80" s="113" t="str">
        <f t="shared" si="33"/>
        <v>l</v>
      </c>
      <c r="N80" s="113" t="str">
        <f t="shared" si="33"/>
        <v>m</v>
      </c>
      <c r="O80" s="113">
        <f t="shared" si="33"/>
        <v>0</v>
      </c>
      <c r="P80" s="113">
        <f t="shared" si="33"/>
        <v>0</v>
      </c>
      <c r="Q80" s="113" t="str">
        <f t="shared" si="33"/>
        <v>p</v>
      </c>
      <c r="R80" s="113">
        <f t="shared" si="33"/>
        <v>0</v>
      </c>
      <c r="S80" s="113">
        <f t="shared" si="33"/>
        <v>0</v>
      </c>
      <c r="T80" s="113">
        <f t="shared" si="33"/>
        <v>0</v>
      </c>
      <c r="U80" s="113">
        <f t="shared" si="33"/>
        <v>0</v>
      </c>
      <c r="V80" s="113">
        <f t="shared" si="33"/>
        <v>0</v>
      </c>
      <c r="W80" s="113">
        <f t="shared" si="33"/>
        <v>0</v>
      </c>
      <c r="X80" s="113">
        <f t="shared" si="33"/>
        <v>0</v>
      </c>
      <c r="AA80" s="113">
        <v>0</v>
      </c>
      <c r="AB80" s="112">
        <f ca="1">INDIRECT(CONCATENATE($AB$10,CONCATENATE(B80,$A80)))</f>
        <v>36892</v>
      </c>
      <c r="AC80" s="112">
        <f ca="1">INDIRECT(CONCATENATE($AB$10,CONCATENATE(C80,$A80)))</f>
        <v>37256</v>
      </c>
      <c r="AF80" s="114">
        <f t="shared" ca="1" si="16"/>
        <v>10786.2</v>
      </c>
      <c r="AG80" s="114">
        <f ca="1">INDIRECT(CONCATENATE($AB$10,CONCATENATE(G80,$A80)))</f>
        <v>0</v>
      </c>
      <c r="AH80" s="114">
        <f ca="1">INDIRECT(CONCATENATE($AB$10,CONCATENATE(H80,$A80)))</f>
        <v>0</v>
      </c>
      <c r="AI80" s="114">
        <f ca="1">INDIRECT(CONCATENATE($AB$10,CONCATENATE(I80,$A80)))</f>
        <v>6459.63</v>
      </c>
      <c r="AJ80" s="114">
        <f ca="1">INDIRECT(CONCATENATE($AB$10,CONCATENATE(J80,$A80)))</f>
        <v>0</v>
      </c>
      <c r="AK80" s="114">
        <f ca="1">INDIRECT(CONCATENATE($AB$10,CONCATENATE(K80,$A80)))</f>
        <v>1437.15</v>
      </c>
      <c r="AN80">
        <f t="shared" si="6"/>
        <v>80</v>
      </c>
      <c r="AQ80" s="114">
        <f t="shared" ca="1" si="7"/>
        <v>1338.6</v>
      </c>
      <c r="AW80">
        <v>80</v>
      </c>
      <c r="BG80" s="114">
        <f t="shared" ca="1" si="4"/>
        <v>18584.43</v>
      </c>
      <c r="BI80">
        <f t="shared" si="5"/>
        <v>0</v>
      </c>
    </row>
    <row r="81" spans="1:61" x14ac:dyDescent="0.25">
      <c r="A81" s="113">
        <f t="shared" ref="A81:A86" si="34">A80+2</f>
        <v>562</v>
      </c>
      <c r="B81" s="113" t="str">
        <f t="shared" ref="B81:X86" si="35">B80</f>
        <v>a</v>
      </c>
      <c r="C81" s="113" t="str">
        <f t="shared" si="35"/>
        <v>b</v>
      </c>
      <c r="D81" s="113" t="str">
        <f t="shared" si="35"/>
        <v>c</v>
      </c>
      <c r="E81" s="113" t="str">
        <f t="shared" si="35"/>
        <v>d</v>
      </c>
      <c r="F81" s="113" t="str">
        <f t="shared" si="35"/>
        <v>e</v>
      </c>
      <c r="G81" s="113" t="str">
        <f t="shared" si="35"/>
        <v>f</v>
      </c>
      <c r="H81" s="113" t="str">
        <f t="shared" si="35"/>
        <v>g</v>
      </c>
      <c r="I81" s="113" t="str">
        <f t="shared" si="35"/>
        <v>h</v>
      </c>
      <c r="J81" s="113" t="str">
        <f t="shared" si="35"/>
        <v>i</v>
      </c>
      <c r="K81" s="113" t="str">
        <f t="shared" si="35"/>
        <v>j</v>
      </c>
      <c r="L81" s="113" t="str">
        <f t="shared" si="35"/>
        <v>k</v>
      </c>
      <c r="M81" s="113" t="str">
        <f t="shared" si="35"/>
        <v>l</v>
      </c>
      <c r="N81" s="113" t="str">
        <f t="shared" si="35"/>
        <v>m</v>
      </c>
      <c r="O81" s="113">
        <f t="shared" si="35"/>
        <v>0</v>
      </c>
      <c r="P81" s="113">
        <f t="shared" si="35"/>
        <v>0</v>
      </c>
      <c r="Q81" s="113" t="str">
        <f t="shared" si="35"/>
        <v>p</v>
      </c>
      <c r="R81" s="113">
        <f t="shared" si="35"/>
        <v>0</v>
      </c>
      <c r="S81" s="113">
        <f t="shared" si="35"/>
        <v>0</v>
      </c>
      <c r="T81" s="113">
        <f t="shared" si="35"/>
        <v>0</v>
      </c>
      <c r="U81" s="113">
        <f t="shared" si="35"/>
        <v>0</v>
      </c>
      <c r="V81" s="113">
        <f t="shared" si="35"/>
        <v>0</v>
      </c>
      <c r="W81" s="113">
        <f t="shared" si="35"/>
        <v>0</v>
      </c>
      <c r="X81" s="113">
        <f t="shared" si="35"/>
        <v>0</v>
      </c>
      <c r="AA81" s="113">
        <v>3</v>
      </c>
      <c r="AB81" s="112">
        <f t="shared" ref="AB81:AC86" ca="1" si="36">AB80</f>
        <v>36892</v>
      </c>
      <c r="AC81" s="112">
        <f t="shared" ca="1" si="36"/>
        <v>37256</v>
      </c>
      <c r="AF81" s="114">
        <f t="shared" ca="1" si="16"/>
        <v>11763.34</v>
      </c>
      <c r="AG81" s="114">
        <f t="shared" ca="1" si="16"/>
        <v>0</v>
      </c>
      <c r="AH81" s="114">
        <f t="shared" ca="1" si="16"/>
        <v>0</v>
      </c>
      <c r="AI81" s="114">
        <f t="shared" ca="1" si="16"/>
        <v>6459.63</v>
      </c>
      <c r="AJ81" s="114">
        <f t="shared" ca="1" si="16"/>
        <v>0</v>
      </c>
      <c r="AK81" s="114">
        <f t="shared" ca="1" si="16"/>
        <v>1518.58</v>
      </c>
      <c r="AN81">
        <f t="shared" si="6"/>
        <v>81</v>
      </c>
      <c r="AQ81" s="114">
        <f t="shared" ca="1" si="7"/>
        <v>1338.6</v>
      </c>
      <c r="AW81">
        <v>81</v>
      </c>
      <c r="BG81" s="114">
        <f t="shared" ca="1" si="4"/>
        <v>19561.57</v>
      </c>
      <c r="BI81">
        <f t="shared" si="5"/>
        <v>0</v>
      </c>
    </row>
    <row r="82" spans="1:61" x14ac:dyDescent="0.25">
      <c r="A82" s="113">
        <f t="shared" si="34"/>
        <v>564</v>
      </c>
      <c r="B82" s="113" t="str">
        <f t="shared" si="35"/>
        <v>a</v>
      </c>
      <c r="C82" s="113" t="str">
        <f t="shared" si="35"/>
        <v>b</v>
      </c>
      <c r="D82" s="113" t="str">
        <f t="shared" si="35"/>
        <v>c</v>
      </c>
      <c r="E82" s="113" t="str">
        <f t="shared" si="35"/>
        <v>d</v>
      </c>
      <c r="F82" s="113" t="str">
        <f t="shared" si="35"/>
        <v>e</v>
      </c>
      <c r="G82" s="113" t="str">
        <f t="shared" si="35"/>
        <v>f</v>
      </c>
      <c r="H82" s="113" t="str">
        <f t="shared" si="35"/>
        <v>g</v>
      </c>
      <c r="I82" s="113" t="str">
        <f t="shared" si="35"/>
        <v>h</v>
      </c>
      <c r="J82" s="113" t="str">
        <f t="shared" si="35"/>
        <v>i</v>
      </c>
      <c r="K82" s="113" t="str">
        <f t="shared" si="35"/>
        <v>j</v>
      </c>
      <c r="L82" s="113" t="str">
        <f t="shared" si="35"/>
        <v>k</v>
      </c>
      <c r="M82" s="113" t="str">
        <f t="shared" si="35"/>
        <v>l</v>
      </c>
      <c r="N82" s="113" t="str">
        <f t="shared" si="35"/>
        <v>m</v>
      </c>
      <c r="O82" s="113">
        <f t="shared" si="35"/>
        <v>0</v>
      </c>
      <c r="P82" s="113">
        <f t="shared" si="35"/>
        <v>0</v>
      </c>
      <c r="Q82" s="113" t="str">
        <f t="shared" si="35"/>
        <v>p</v>
      </c>
      <c r="R82" s="113">
        <f t="shared" si="35"/>
        <v>0</v>
      </c>
      <c r="S82" s="113">
        <f t="shared" si="35"/>
        <v>0</v>
      </c>
      <c r="T82" s="113">
        <f t="shared" si="35"/>
        <v>0</v>
      </c>
      <c r="U82" s="113">
        <f t="shared" si="35"/>
        <v>0</v>
      </c>
      <c r="V82" s="113">
        <f t="shared" si="35"/>
        <v>0</v>
      </c>
      <c r="W82" s="113">
        <f t="shared" si="35"/>
        <v>0</v>
      </c>
      <c r="X82" s="113">
        <f t="shared" si="35"/>
        <v>0</v>
      </c>
      <c r="AA82" s="113">
        <v>9</v>
      </c>
      <c r="AB82" s="112">
        <f t="shared" ca="1" si="36"/>
        <v>36892</v>
      </c>
      <c r="AC82" s="112">
        <f t="shared" ca="1" si="36"/>
        <v>37256</v>
      </c>
      <c r="AF82" s="114">
        <f t="shared" ca="1" si="16"/>
        <v>13326.65</v>
      </c>
      <c r="AG82" s="114">
        <f t="shared" ca="1" si="16"/>
        <v>0</v>
      </c>
      <c r="AH82" s="114">
        <f t="shared" ca="1" si="16"/>
        <v>0</v>
      </c>
      <c r="AI82" s="114">
        <f t="shared" ca="1" si="16"/>
        <v>6459.63</v>
      </c>
      <c r="AJ82" s="114">
        <f t="shared" ca="1" si="16"/>
        <v>0</v>
      </c>
      <c r="AK82" s="114">
        <f t="shared" ca="1" si="16"/>
        <v>1648.86</v>
      </c>
      <c r="AN82">
        <f t="shared" si="6"/>
        <v>82</v>
      </c>
      <c r="AQ82" s="114">
        <f t="shared" ca="1" si="7"/>
        <v>1338.6</v>
      </c>
      <c r="AW82">
        <v>82</v>
      </c>
      <c r="BG82" s="114">
        <f t="shared" ca="1" si="4"/>
        <v>21124.879999999997</v>
      </c>
      <c r="BI82">
        <f t="shared" si="5"/>
        <v>0</v>
      </c>
    </row>
    <row r="83" spans="1:61" x14ac:dyDescent="0.25">
      <c r="A83" s="113">
        <f t="shared" si="34"/>
        <v>566</v>
      </c>
      <c r="B83" s="113" t="str">
        <f t="shared" si="35"/>
        <v>a</v>
      </c>
      <c r="C83" s="113" t="str">
        <f t="shared" si="35"/>
        <v>b</v>
      </c>
      <c r="D83" s="113" t="str">
        <f t="shared" si="35"/>
        <v>c</v>
      </c>
      <c r="E83" s="113" t="str">
        <f t="shared" si="35"/>
        <v>d</v>
      </c>
      <c r="F83" s="113" t="str">
        <f t="shared" si="35"/>
        <v>e</v>
      </c>
      <c r="G83" s="113" t="str">
        <f t="shared" si="35"/>
        <v>f</v>
      </c>
      <c r="H83" s="113" t="str">
        <f t="shared" si="35"/>
        <v>g</v>
      </c>
      <c r="I83" s="113" t="str">
        <f t="shared" si="35"/>
        <v>h</v>
      </c>
      <c r="J83" s="113" t="str">
        <f t="shared" si="35"/>
        <v>i</v>
      </c>
      <c r="K83" s="113" t="str">
        <f t="shared" si="35"/>
        <v>j</v>
      </c>
      <c r="L83" s="113" t="str">
        <f t="shared" si="35"/>
        <v>k</v>
      </c>
      <c r="M83" s="113" t="str">
        <f t="shared" si="35"/>
        <v>l</v>
      </c>
      <c r="N83" s="113" t="str">
        <f t="shared" si="35"/>
        <v>m</v>
      </c>
      <c r="O83" s="113">
        <f t="shared" si="35"/>
        <v>0</v>
      </c>
      <c r="P83" s="113">
        <f t="shared" si="35"/>
        <v>0</v>
      </c>
      <c r="Q83" s="113" t="str">
        <f t="shared" si="35"/>
        <v>p</v>
      </c>
      <c r="R83" s="113">
        <f t="shared" si="35"/>
        <v>0</v>
      </c>
      <c r="S83" s="113">
        <f t="shared" si="35"/>
        <v>0</v>
      </c>
      <c r="T83" s="113">
        <f t="shared" si="35"/>
        <v>0</v>
      </c>
      <c r="U83" s="113">
        <f t="shared" si="35"/>
        <v>0</v>
      </c>
      <c r="V83" s="113">
        <f t="shared" si="35"/>
        <v>0</v>
      </c>
      <c r="W83" s="113">
        <f t="shared" si="35"/>
        <v>0</v>
      </c>
      <c r="X83" s="113">
        <f t="shared" si="35"/>
        <v>0</v>
      </c>
      <c r="AA83" s="113">
        <v>15</v>
      </c>
      <c r="AB83" s="112">
        <f t="shared" ca="1" si="36"/>
        <v>36892</v>
      </c>
      <c r="AC83" s="112">
        <f t="shared" ca="1" si="36"/>
        <v>37256</v>
      </c>
      <c r="AF83" s="114">
        <f t="shared" ca="1" si="16"/>
        <v>15255.1</v>
      </c>
      <c r="AG83" s="114">
        <f t="shared" ca="1" si="16"/>
        <v>0</v>
      </c>
      <c r="AH83" s="114">
        <f t="shared" ca="1" si="16"/>
        <v>0</v>
      </c>
      <c r="AI83" s="114">
        <f t="shared" ca="1" si="16"/>
        <v>6459.63</v>
      </c>
      <c r="AJ83" s="114">
        <f t="shared" ca="1" si="16"/>
        <v>0</v>
      </c>
      <c r="AK83" s="114">
        <f t="shared" ca="1" si="16"/>
        <v>1809.56</v>
      </c>
      <c r="AN83">
        <f t="shared" si="6"/>
        <v>83</v>
      </c>
      <c r="AQ83" s="114">
        <f t="shared" ca="1" si="7"/>
        <v>1667.16</v>
      </c>
      <c r="AW83">
        <v>83</v>
      </c>
      <c r="BG83" s="114">
        <f t="shared" ca="1" si="4"/>
        <v>23381.89</v>
      </c>
      <c r="BI83">
        <f t="shared" si="5"/>
        <v>0</v>
      </c>
    </row>
    <row r="84" spans="1:61" x14ac:dyDescent="0.25">
      <c r="A84" s="113">
        <f t="shared" si="34"/>
        <v>568</v>
      </c>
      <c r="B84" s="113" t="str">
        <f t="shared" si="35"/>
        <v>a</v>
      </c>
      <c r="C84" s="113" t="str">
        <f t="shared" si="35"/>
        <v>b</v>
      </c>
      <c r="D84" s="113" t="str">
        <f t="shared" si="35"/>
        <v>c</v>
      </c>
      <c r="E84" s="113" t="str">
        <f t="shared" si="35"/>
        <v>d</v>
      </c>
      <c r="F84" s="113" t="str">
        <f t="shared" si="35"/>
        <v>e</v>
      </c>
      <c r="G84" s="113" t="str">
        <f t="shared" si="35"/>
        <v>f</v>
      </c>
      <c r="H84" s="113" t="str">
        <f t="shared" si="35"/>
        <v>g</v>
      </c>
      <c r="I84" s="113" t="str">
        <f t="shared" si="35"/>
        <v>h</v>
      </c>
      <c r="J84" s="113" t="str">
        <f t="shared" si="35"/>
        <v>i</v>
      </c>
      <c r="K84" s="113" t="str">
        <f t="shared" si="35"/>
        <v>j</v>
      </c>
      <c r="L84" s="113" t="str">
        <f t="shared" si="35"/>
        <v>k</v>
      </c>
      <c r="M84" s="113" t="str">
        <f t="shared" si="35"/>
        <v>l</v>
      </c>
      <c r="N84" s="113" t="str">
        <f t="shared" si="35"/>
        <v>m</v>
      </c>
      <c r="O84" s="113">
        <f t="shared" si="35"/>
        <v>0</v>
      </c>
      <c r="P84" s="113">
        <f t="shared" si="35"/>
        <v>0</v>
      </c>
      <c r="Q84" s="113" t="str">
        <f t="shared" si="35"/>
        <v>p</v>
      </c>
      <c r="R84" s="113">
        <f t="shared" si="35"/>
        <v>0</v>
      </c>
      <c r="S84" s="113">
        <f t="shared" si="35"/>
        <v>0</v>
      </c>
      <c r="T84" s="113">
        <f t="shared" si="35"/>
        <v>0</v>
      </c>
      <c r="U84" s="113">
        <f t="shared" si="35"/>
        <v>0</v>
      </c>
      <c r="V84" s="113">
        <f t="shared" si="35"/>
        <v>0</v>
      </c>
      <c r="W84" s="113">
        <f t="shared" si="35"/>
        <v>0</v>
      </c>
      <c r="X84" s="113">
        <f t="shared" si="35"/>
        <v>0</v>
      </c>
      <c r="AA84" s="113">
        <v>21</v>
      </c>
      <c r="AB84" s="112">
        <f t="shared" ca="1" si="36"/>
        <v>36892</v>
      </c>
      <c r="AC84" s="112">
        <f t="shared" ca="1" si="36"/>
        <v>37256</v>
      </c>
      <c r="AF84" s="114">
        <f t="shared" ca="1" si="16"/>
        <v>17711.37</v>
      </c>
      <c r="AG84" s="114">
        <f t="shared" ca="1" si="16"/>
        <v>0</v>
      </c>
      <c r="AH84" s="114">
        <f t="shared" ca="1" si="16"/>
        <v>0</v>
      </c>
      <c r="AI84" s="114">
        <f t="shared" ca="1" si="16"/>
        <v>6459.63</v>
      </c>
      <c r="AJ84" s="114">
        <f t="shared" ca="1" si="16"/>
        <v>0</v>
      </c>
      <c r="AK84" s="114">
        <f t="shared" ca="1" si="16"/>
        <v>2014.25</v>
      </c>
      <c r="AN84">
        <f t="shared" si="6"/>
        <v>84</v>
      </c>
      <c r="AQ84" s="114">
        <f t="shared" ca="1" si="7"/>
        <v>1667.16</v>
      </c>
      <c r="AW84">
        <v>84</v>
      </c>
      <c r="BG84" s="114">
        <f t="shared" ca="1" si="4"/>
        <v>25838.16</v>
      </c>
      <c r="BI84">
        <f t="shared" si="5"/>
        <v>0</v>
      </c>
    </row>
    <row r="85" spans="1:61" x14ac:dyDescent="0.25">
      <c r="A85" s="113">
        <f t="shared" si="34"/>
        <v>570</v>
      </c>
      <c r="B85" s="113" t="str">
        <f t="shared" si="35"/>
        <v>a</v>
      </c>
      <c r="C85" s="113" t="str">
        <f t="shared" si="35"/>
        <v>b</v>
      </c>
      <c r="D85" s="113" t="str">
        <f t="shared" si="35"/>
        <v>c</v>
      </c>
      <c r="E85" s="113" t="str">
        <f t="shared" si="35"/>
        <v>d</v>
      </c>
      <c r="F85" s="113" t="str">
        <f t="shared" si="35"/>
        <v>e</v>
      </c>
      <c r="G85" s="113" t="str">
        <f t="shared" si="35"/>
        <v>f</v>
      </c>
      <c r="H85" s="113" t="str">
        <f t="shared" si="35"/>
        <v>g</v>
      </c>
      <c r="I85" s="113" t="str">
        <f t="shared" si="35"/>
        <v>h</v>
      </c>
      <c r="J85" s="113" t="str">
        <f t="shared" si="35"/>
        <v>i</v>
      </c>
      <c r="K85" s="113" t="str">
        <f t="shared" si="35"/>
        <v>j</v>
      </c>
      <c r="L85" s="113" t="str">
        <f t="shared" si="35"/>
        <v>k</v>
      </c>
      <c r="M85" s="113" t="str">
        <f t="shared" si="35"/>
        <v>l</v>
      </c>
      <c r="N85" s="113" t="str">
        <f t="shared" si="35"/>
        <v>m</v>
      </c>
      <c r="O85" s="113">
        <f t="shared" si="35"/>
        <v>0</v>
      </c>
      <c r="P85" s="113">
        <f t="shared" si="35"/>
        <v>0</v>
      </c>
      <c r="Q85" s="113" t="str">
        <f t="shared" si="35"/>
        <v>p</v>
      </c>
      <c r="R85" s="113">
        <f t="shared" si="35"/>
        <v>0</v>
      </c>
      <c r="S85" s="113">
        <f t="shared" si="35"/>
        <v>0</v>
      </c>
      <c r="T85" s="113">
        <f t="shared" si="35"/>
        <v>0</v>
      </c>
      <c r="U85" s="113">
        <f t="shared" si="35"/>
        <v>0</v>
      </c>
      <c r="V85" s="113">
        <f t="shared" si="35"/>
        <v>0</v>
      </c>
      <c r="W85" s="113">
        <f t="shared" si="35"/>
        <v>0</v>
      </c>
      <c r="X85" s="113">
        <f t="shared" si="35"/>
        <v>0</v>
      </c>
      <c r="AA85" s="113">
        <v>28</v>
      </c>
      <c r="AB85" s="112">
        <f t="shared" ca="1" si="36"/>
        <v>36892</v>
      </c>
      <c r="AC85" s="112">
        <f t="shared" ca="1" si="36"/>
        <v>37256</v>
      </c>
      <c r="AF85" s="114">
        <f t="shared" ca="1" si="16"/>
        <v>19320.650000000001</v>
      </c>
      <c r="AG85" s="114">
        <f t="shared" ca="1" si="16"/>
        <v>0</v>
      </c>
      <c r="AH85" s="114">
        <f t="shared" ca="1" si="16"/>
        <v>0</v>
      </c>
      <c r="AI85" s="114">
        <f t="shared" ca="1" si="16"/>
        <v>6459.63</v>
      </c>
      <c r="AJ85" s="114">
        <f t="shared" ca="1" si="16"/>
        <v>0</v>
      </c>
      <c r="AK85" s="114">
        <f t="shared" ca="1" si="16"/>
        <v>2148.36</v>
      </c>
      <c r="AN85">
        <f t="shared" si="6"/>
        <v>85</v>
      </c>
      <c r="AQ85" s="114">
        <f t="shared" ca="1" si="7"/>
        <v>1865.4</v>
      </c>
      <c r="AW85">
        <v>85</v>
      </c>
      <c r="BG85" s="114">
        <f t="shared" ca="1" si="4"/>
        <v>27645.680000000004</v>
      </c>
      <c r="BI85">
        <f t="shared" si="5"/>
        <v>0</v>
      </c>
    </row>
    <row r="86" spans="1:61" x14ac:dyDescent="0.25">
      <c r="A86" s="113">
        <f t="shared" si="34"/>
        <v>572</v>
      </c>
      <c r="B86" s="113" t="str">
        <f t="shared" si="35"/>
        <v>a</v>
      </c>
      <c r="C86" s="113" t="str">
        <f t="shared" si="35"/>
        <v>b</v>
      </c>
      <c r="D86" s="113" t="str">
        <f t="shared" si="35"/>
        <v>c</v>
      </c>
      <c r="E86" s="113" t="str">
        <f t="shared" si="35"/>
        <v>d</v>
      </c>
      <c r="F86" s="113" t="str">
        <f t="shared" si="35"/>
        <v>e</v>
      </c>
      <c r="G86" s="113" t="str">
        <f t="shared" si="35"/>
        <v>f</v>
      </c>
      <c r="H86" s="113" t="str">
        <f t="shared" si="35"/>
        <v>g</v>
      </c>
      <c r="I86" s="113" t="str">
        <f t="shared" si="35"/>
        <v>h</v>
      </c>
      <c r="J86" s="113" t="str">
        <f t="shared" si="35"/>
        <v>i</v>
      </c>
      <c r="K86" s="113" t="str">
        <f t="shared" si="35"/>
        <v>j</v>
      </c>
      <c r="L86" s="113" t="str">
        <f t="shared" si="35"/>
        <v>k</v>
      </c>
      <c r="M86" s="113" t="str">
        <f t="shared" si="35"/>
        <v>l</v>
      </c>
      <c r="N86" s="113" t="str">
        <f t="shared" si="35"/>
        <v>m</v>
      </c>
      <c r="O86" s="113">
        <f t="shared" si="35"/>
        <v>0</v>
      </c>
      <c r="P86" s="113">
        <f t="shared" si="35"/>
        <v>0</v>
      </c>
      <c r="Q86" s="113" t="str">
        <f t="shared" si="35"/>
        <v>p</v>
      </c>
      <c r="R86" s="113">
        <f t="shared" si="35"/>
        <v>0</v>
      </c>
      <c r="S86" s="113">
        <f t="shared" si="35"/>
        <v>0</v>
      </c>
      <c r="T86" s="113">
        <f t="shared" si="35"/>
        <v>0</v>
      </c>
      <c r="U86" s="113">
        <f t="shared" si="35"/>
        <v>0</v>
      </c>
      <c r="V86" s="113">
        <f t="shared" si="35"/>
        <v>0</v>
      </c>
      <c r="W86" s="113">
        <f t="shared" si="35"/>
        <v>0</v>
      </c>
      <c r="X86" s="113">
        <f t="shared" si="35"/>
        <v>0</v>
      </c>
      <c r="AA86" s="113">
        <v>35</v>
      </c>
      <c r="AB86" s="112">
        <f t="shared" ca="1" si="36"/>
        <v>36892</v>
      </c>
      <c r="AC86" s="112">
        <f t="shared" ca="1" si="36"/>
        <v>37256</v>
      </c>
      <c r="AF86" s="114">
        <f t="shared" ca="1" si="16"/>
        <v>20603.53</v>
      </c>
      <c r="AG86" s="114">
        <f t="shared" ca="1" si="16"/>
        <v>0</v>
      </c>
      <c r="AH86" s="114">
        <f t="shared" ca="1" si="16"/>
        <v>0</v>
      </c>
      <c r="AI86" s="114">
        <f t="shared" ca="1" si="16"/>
        <v>6459.63</v>
      </c>
      <c r="AJ86" s="114">
        <f t="shared" ca="1" si="16"/>
        <v>0</v>
      </c>
      <c r="AK86" s="114">
        <f t="shared" ca="1" si="16"/>
        <v>2255.2600000000002</v>
      </c>
      <c r="AN86">
        <f t="shared" si="6"/>
        <v>86</v>
      </c>
      <c r="AQ86" s="114">
        <f t="shared" ca="1" si="7"/>
        <v>1865.4</v>
      </c>
      <c r="AW86">
        <v>86</v>
      </c>
      <c r="BG86" s="114">
        <f t="shared" ca="1" si="4"/>
        <v>28928.560000000001</v>
      </c>
      <c r="BI86">
        <f t="shared" si="5"/>
        <v>0</v>
      </c>
    </row>
    <row r="87" spans="1:61" x14ac:dyDescent="0.25">
      <c r="A87" s="113">
        <f>A80+20</f>
        <v>580</v>
      </c>
      <c r="B87" s="113" t="str">
        <f>B80</f>
        <v>a</v>
      </c>
      <c r="C87" s="113" t="str">
        <f t="shared" ref="C87:X87" si="37">C80</f>
        <v>b</v>
      </c>
      <c r="D87" s="113" t="str">
        <f t="shared" si="37"/>
        <v>c</v>
      </c>
      <c r="E87" s="113" t="str">
        <f t="shared" si="37"/>
        <v>d</v>
      </c>
      <c r="F87" s="113" t="str">
        <f t="shared" si="37"/>
        <v>e</v>
      </c>
      <c r="G87" s="113" t="str">
        <f t="shared" si="37"/>
        <v>f</v>
      </c>
      <c r="H87" s="113" t="str">
        <f t="shared" si="37"/>
        <v>g</v>
      </c>
      <c r="I87" s="113" t="str">
        <f t="shared" si="37"/>
        <v>h</v>
      </c>
      <c r="J87" s="113" t="str">
        <f t="shared" si="37"/>
        <v>i</v>
      </c>
      <c r="K87" s="113" t="str">
        <f t="shared" si="37"/>
        <v>j</v>
      </c>
      <c r="L87" s="113" t="str">
        <f t="shared" si="37"/>
        <v>k</v>
      </c>
      <c r="M87" s="113" t="str">
        <f t="shared" si="37"/>
        <v>l</v>
      </c>
      <c r="N87" s="113" t="str">
        <f t="shared" si="37"/>
        <v>m</v>
      </c>
      <c r="O87" s="113">
        <f t="shared" si="37"/>
        <v>0</v>
      </c>
      <c r="P87" s="113">
        <f t="shared" si="37"/>
        <v>0</v>
      </c>
      <c r="Q87" s="113" t="str">
        <f t="shared" si="37"/>
        <v>p</v>
      </c>
      <c r="R87" s="113">
        <f t="shared" si="37"/>
        <v>0</v>
      </c>
      <c r="S87" s="113">
        <f t="shared" si="37"/>
        <v>0</v>
      </c>
      <c r="T87" s="113">
        <f t="shared" si="37"/>
        <v>0</v>
      </c>
      <c r="U87" s="113">
        <f t="shared" si="37"/>
        <v>0</v>
      </c>
      <c r="V87" s="113">
        <f t="shared" si="37"/>
        <v>0</v>
      </c>
      <c r="W87" s="113">
        <f t="shared" si="37"/>
        <v>0</v>
      </c>
      <c r="X87" s="113">
        <f t="shared" si="37"/>
        <v>0</v>
      </c>
      <c r="AA87" s="113">
        <v>0</v>
      </c>
      <c r="AB87" s="112">
        <f ca="1">INDIRECT(CONCATENATE($AB$10,CONCATENATE(B87,$A87)))</f>
        <v>37257</v>
      </c>
      <c r="AC87" s="112">
        <f ca="1">INDIRECT(CONCATENATE($AB$10,CONCATENATE(C87,$A87)))</f>
        <v>37621</v>
      </c>
      <c r="AF87" s="114">
        <f t="shared" ca="1" si="16"/>
        <v>11221.8</v>
      </c>
      <c r="AG87" s="114">
        <f ca="1">INDIRECT(CONCATENATE($AB$10,CONCATENATE(G87,$A87)))</f>
        <v>0</v>
      </c>
      <c r="AH87" s="114">
        <f ca="1">INDIRECT(CONCATENATE($AB$10,CONCATENATE(H87,$A87)))</f>
        <v>0</v>
      </c>
      <c r="AI87" s="114">
        <f ca="1">INDIRECT(CONCATENATE($AB$10,CONCATENATE(I87,$A87)))</f>
        <v>6459.63</v>
      </c>
      <c r="AJ87" s="114">
        <f ca="1">INDIRECT(CONCATENATE($AB$10,CONCATENATE(J87,$A87)))</f>
        <v>0</v>
      </c>
      <c r="AK87" s="114">
        <f ca="1">INDIRECT(CONCATENATE($AB$10,CONCATENATE(K87,$A87)))</f>
        <v>1473.45</v>
      </c>
      <c r="AN87">
        <f t="shared" si="6"/>
        <v>87</v>
      </c>
      <c r="AQ87" s="114">
        <f t="shared" ca="1" si="7"/>
        <v>1578.6</v>
      </c>
      <c r="AW87">
        <v>87</v>
      </c>
      <c r="BG87" s="114">
        <f t="shared" ca="1" si="4"/>
        <v>19260.03</v>
      </c>
      <c r="BI87">
        <f t="shared" si="5"/>
        <v>0</v>
      </c>
    </row>
    <row r="88" spans="1:61" x14ac:dyDescent="0.25">
      <c r="A88" s="113">
        <f t="shared" ref="A88:A93" si="38">A87+2</f>
        <v>582</v>
      </c>
      <c r="B88" s="113" t="str">
        <f t="shared" ref="B88:X93" si="39">B87</f>
        <v>a</v>
      </c>
      <c r="C88" s="113" t="str">
        <f t="shared" si="39"/>
        <v>b</v>
      </c>
      <c r="D88" s="113" t="str">
        <f t="shared" si="39"/>
        <v>c</v>
      </c>
      <c r="E88" s="113" t="str">
        <f t="shared" si="39"/>
        <v>d</v>
      </c>
      <c r="F88" s="113" t="str">
        <f t="shared" si="39"/>
        <v>e</v>
      </c>
      <c r="G88" s="113" t="str">
        <f t="shared" si="39"/>
        <v>f</v>
      </c>
      <c r="H88" s="113" t="str">
        <f t="shared" si="39"/>
        <v>g</v>
      </c>
      <c r="I88" s="113" t="str">
        <f t="shared" si="39"/>
        <v>h</v>
      </c>
      <c r="J88" s="113" t="str">
        <f t="shared" si="39"/>
        <v>i</v>
      </c>
      <c r="K88" s="113" t="str">
        <f t="shared" si="39"/>
        <v>j</v>
      </c>
      <c r="L88" s="113" t="str">
        <f t="shared" si="39"/>
        <v>k</v>
      </c>
      <c r="M88" s="113" t="str">
        <f t="shared" si="39"/>
        <v>l</v>
      </c>
      <c r="N88" s="113" t="str">
        <f t="shared" si="39"/>
        <v>m</v>
      </c>
      <c r="O88" s="113">
        <f t="shared" si="39"/>
        <v>0</v>
      </c>
      <c r="P88" s="113">
        <f t="shared" si="39"/>
        <v>0</v>
      </c>
      <c r="Q88" s="113" t="str">
        <f t="shared" si="39"/>
        <v>p</v>
      </c>
      <c r="R88" s="113">
        <f t="shared" si="39"/>
        <v>0</v>
      </c>
      <c r="S88" s="113">
        <f t="shared" si="39"/>
        <v>0</v>
      </c>
      <c r="T88" s="113">
        <f t="shared" si="39"/>
        <v>0</v>
      </c>
      <c r="U88" s="113">
        <f t="shared" si="39"/>
        <v>0</v>
      </c>
      <c r="V88" s="113">
        <f t="shared" si="39"/>
        <v>0</v>
      </c>
      <c r="W88" s="113">
        <f t="shared" si="39"/>
        <v>0</v>
      </c>
      <c r="X88" s="113">
        <f t="shared" si="39"/>
        <v>0</v>
      </c>
      <c r="AA88" s="113">
        <v>3</v>
      </c>
      <c r="AB88" s="112">
        <f t="shared" ref="AB88:AC93" ca="1" si="40">AB87</f>
        <v>37257</v>
      </c>
      <c r="AC88" s="112">
        <f t="shared" ca="1" si="40"/>
        <v>37621</v>
      </c>
      <c r="AF88" s="114">
        <f t="shared" ca="1" si="16"/>
        <v>12223.54</v>
      </c>
      <c r="AG88" s="114">
        <f t="shared" ca="1" si="16"/>
        <v>0</v>
      </c>
      <c r="AH88" s="114">
        <f t="shared" ca="1" si="16"/>
        <v>0</v>
      </c>
      <c r="AI88" s="114">
        <f t="shared" ca="1" si="16"/>
        <v>6459.63</v>
      </c>
      <c r="AJ88" s="114">
        <f t="shared" ca="1" si="16"/>
        <v>0</v>
      </c>
      <c r="AK88" s="114">
        <f t="shared" ca="1" si="16"/>
        <v>1556.93</v>
      </c>
      <c r="AN88">
        <f t="shared" si="6"/>
        <v>88</v>
      </c>
      <c r="AQ88" s="114">
        <f t="shared" ca="1" si="7"/>
        <v>1578.6</v>
      </c>
      <c r="AW88">
        <v>88</v>
      </c>
      <c r="BG88" s="114">
        <f t="shared" ca="1" si="4"/>
        <v>20261.77</v>
      </c>
      <c r="BI88">
        <f t="shared" si="5"/>
        <v>0</v>
      </c>
    </row>
    <row r="89" spans="1:61" x14ac:dyDescent="0.25">
      <c r="A89" s="113">
        <f t="shared" si="38"/>
        <v>584</v>
      </c>
      <c r="B89" s="113" t="str">
        <f t="shared" si="39"/>
        <v>a</v>
      </c>
      <c r="C89" s="113" t="str">
        <f t="shared" si="39"/>
        <v>b</v>
      </c>
      <c r="D89" s="113" t="str">
        <f t="shared" si="39"/>
        <v>c</v>
      </c>
      <c r="E89" s="113" t="str">
        <f t="shared" si="39"/>
        <v>d</v>
      </c>
      <c r="F89" s="113" t="str">
        <f t="shared" si="39"/>
        <v>e</v>
      </c>
      <c r="G89" s="113" t="str">
        <f t="shared" si="39"/>
        <v>f</v>
      </c>
      <c r="H89" s="113" t="str">
        <f t="shared" si="39"/>
        <v>g</v>
      </c>
      <c r="I89" s="113" t="str">
        <f t="shared" si="39"/>
        <v>h</v>
      </c>
      <c r="J89" s="113" t="str">
        <f t="shared" si="39"/>
        <v>i</v>
      </c>
      <c r="K89" s="113" t="str">
        <f t="shared" si="39"/>
        <v>j</v>
      </c>
      <c r="L89" s="113" t="str">
        <f t="shared" si="39"/>
        <v>k</v>
      </c>
      <c r="M89" s="113" t="str">
        <f t="shared" si="39"/>
        <v>l</v>
      </c>
      <c r="N89" s="113" t="str">
        <f t="shared" si="39"/>
        <v>m</v>
      </c>
      <c r="O89" s="113">
        <f t="shared" si="39"/>
        <v>0</v>
      </c>
      <c r="P89" s="113">
        <f t="shared" si="39"/>
        <v>0</v>
      </c>
      <c r="Q89" s="113" t="str">
        <f t="shared" si="39"/>
        <v>p</v>
      </c>
      <c r="R89" s="113">
        <f t="shared" si="39"/>
        <v>0</v>
      </c>
      <c r="S89" s="113">
        <f t="shared" si="39"/>
        <v>0</v>
      </c>
      <c r="T89" s="113">
        <f t="shared" si="39"/>
        <v>0</v>
      </c>
      <c r="U89" s="113">
        <f t="shared" si="39"/>
        <v>0</v>
      </c>
      <c r="V89" s="113">
        <f t="shared" si="39"/>
        <v>0</v>
      </c>
      <c r="W89" s="113">
        <f t="shared" si="39"/>
        <v>0</v>
      </c>
      <c r="X89" s="113">
        <f t="shared" si="39"/>
        <v>0</v>
      </c>
      <c r="AA89" s="113">
        <v>9</v>
      </c>
      <c r="AB89" s="112">
        <f t="shared" ca="1" si="40"/>
        <v>37257</v>
      </c>
      <c r="AC89" s="112">
        <f t="shared" ca="1" si="40"/>
        <v>37621</v>
      </c>
      <c r="AF89" s="114">
        <f t="shared" ca="1" si="16"/>
        <v>13826.33</v>
      </c>
      <c r="AG89" s="114">
        <f t="shared" ca="1" si="16"/>
        <v>0</v>
      </c>
      <c r="AH89" s="114">
        <f t="shared" ca="1" si="16"/>
        <v>0</v>
      </c>
      <c r="AI89" s="114">
        <f t="shared" ca="1" si="16"/>
        <v>6459.63</v>
      </c>
      <c r="AJ89" s="114">
        <f t="shared" ca="1" si="16"/>
        <v>0</v>
      </c>
      <c r="AK89" s="114">
        <f t="shared" ca="1" si="16"/>
        <v>1690.5</v>
      </c>
      <c r="AN89">
        <f t="shared" si="6"/>
        <v>89</v>
      </c>
      <c r="AQ89" s="114">
        <f t="shared" ca="1" si="7"/>
        <v>1578.6</v>
      </c>
      <c r="AW89">
        <v>89</v>
      </c>
      <c r="BG89" s="114">
        <f t="shared" ca="1" si="4"/>
        <v>21864.559999999998</v>
      </c>
      <c r="BI89">
        <f t="shared" si="5"/>
        <v>0</v>
      </c>
    </row>
    <row r="90" spans="1:61" x14ac:dyDescent="0.25">
      <c r="A90" s="113">
        <f t="shared" si="38"/>
        <v>586</v>
      </c>
      <c r="B90" s="113" t="str">
        <f t="shared" si="39"/>
        <v>a</v>
      </c>
      <c r="C90" s="113" t="str">
        <f t="shared" si="39"/>
        <v>b</v>
      </c>
      <c r="D90" s="113" t="str">
        <f t="shared" si="39"/>
        <v>c</v>
      </c>
      <c r="E90" s="113" t="str">
        <f t="shared" si="39"/>
        <v>d</v>
      </c>
      <c r="F90" s="113" t="str">
        <f t="shared" si="39"/>
        <v>e</v>
      </c>
      <c r="G90" s="113" t="str">
        <f t="shared" si="39"/>
        <v>f</v>
      </c>
      <c r="H90" s="113" t="str">
        <f t="shared" si="39"/>
        <v>g</v>
      </c>
      <c r="I90" s="113" t="str">
        <f t="shared" si="39"/>
        <v>h</v>
      </c>
      <c r="J90" s="113" t="str">
        <f t="shared" si="39"/>
        <v>i</v>
      </c>
      <c r="K90" s="113" t="str">
        <f t="shared" si="39"/>
        <v>j</v>
      </c>
      <c r="L90" s="113" t="str">
        <f t="shared" si="39"/>
        <v>k</v>
      </c>
      <c r="M90" s="113" t="str">
        <f t="shared" si="39"/>
        <v>l</v>
      </c>
      <c r="N90" s="113" t="str">
        <f t="shared" si="39"/>
        <v>m</v>
      </c>
      <c r="O90" s="113">
        <f t="shared" si="39"/>
        <v>0</v>
      </c>
      <c r="P90" s="113">
        <f t="shared" si="39"/>
        <v>0</v>
      </c>
      <c r="Q90" s="113" t="str">
        <f t="shared" si="39"/>
        <v>p</v>
      </c>
      <c r="R90" s="113">
        <f t="shared" si="39"/>
        <v>0</v>
      </c>
      <c r="S90" s="113">
        <f t="shared" si="39"/>
        <v>0</v>
      </c>
      <c r="T90" s="113">
        <f t="shared" si="39"/>
        <v>0</v>
      </c>
      <c r="U90" s="113">
        <f t="shared" si="39"/>
        <v>0</v>
      </c>
      <c r="V90" s="113">
        <f t="shared" si="39"/>
        <v>0</v>
      </c>
      <c r="W90" s="113">
        <f t="shared" si="39"/>
        <v>0</v>
      </c>
      <c r="X90" s="113">
        <f t="shared" si="39"/>
        <v>0</v>
      </c>
      <c r="AA90" s="113">
        <v>15</v>
      </c>
      <c r="AB90" s="112">
        <f t="shared" ca="1" si="40"/>
        <v>37257</v>
      </c>
      <c r="AC90" s="112">
        <f t="shared" ca="1" si="40"/>
        <v>37621</v>
      </c>
      <c r="AF90" s="114">
        <f t="shared" ca="1" si="16"/>
        <v>15803.5</v>
      </c>
      <c r="AG90" s="114">
        <f t="shared" ca="1" si="16"/>
        <v>0</v>
      </c>
      <c r="AH90" s="114">
        <f t="shared" ca="1" si="16"/>
        <v>0</v>
      </c>
      <c r="AI90" s="114">
        <f t="shared" ca="1" si="16"/>
        <v>6459.63</v>
      </c>
      <c r="AJ90" s="114">
        <f t="shared" ca="1" si="16"/>
        <v>0</v>
      </c>
      <c r="AK90" s="114">
        <f t="shared" ca="1" si="16"/>
        <v>1855.26</v>
      </c>
      <c r="AN90">
        <f t="shared" si="6"/>
        <v>90</v>
      </c>
      <c r="AQ90" s="114">
        <f t="shared" ca="1" si="7"/>
        <v>1955.16</v>
      </c>
      <c r="AW90">
        <v>90</v>
      </c>
      <c r="BG90" s="114">
        <f t="shared" ca="1" si="4"/>
        <v>24218.29</v>
      </c>
      <c r="BI90">
        <f t="shared" si="5"/>
        <v>0</v>
      </c>
    </row>
    <row r="91" spans="1:61" x14ac:dyDescent="0.25">
      <c r="A91" s="113">
        <f t="shared" si="38"/>
        <v>588</v>
      </c>
      <c r="B91" s="113" t="str">
        <f t="shared" si="39"/>
        <v>a</v>
      </c>
      <c r="C91" s="113" t="str">
        <f t="shared" si="39"/>
        <v>b</v>
      </c>
      <c r="D91" s="113" t="str">
        <f t="shared" si="39"/>
        <v>c</v>
      </c>
      <c r="E91" s="113" t="str">
        <f t="shared" si="39"/>
        <v>d</v>
      </c>
      <c r="F91" s="113" t="str">
        <f t="shared" si="39"/>
        <v>e</v>
      </c>
      <c r="G91" s="113" t="str">
        <f t="shared" si="39"/>
        <v>f</v>
      </c>
      <c r="H91" s="113" t="str">
        <f t="shared" si="39"/>
        <v>g</v>
      </c>
      <c r="I91" s="113" t="str">
        <f t="shared" si="39"/>
        <v>h</v>
      </c>
      <c r="J91" s="113" t="str">
        <f t="shared" si="39"/>
        <v>i</v>
      </c>
      <c r="K91" s="113" t="str">
        <f t="shared" si="39"/>
        <v>j</v>
      </c>
      <c r="L91" s="113" t="str">
        <f t="shared" si="39"/>
        <v>k</v>
      </c>
      <c r="M91" s="113" t="str">
        <f t="shared" si="39"/>
        <v>l</v>
      </c>
      <c r="N91" s="113" t="str">
        <f t="shared" si="39"/>
        <v>m</v>
      </c>
      <c r="O91" s="113">
        <f t="shared" si="39"/>
        <v>0</v>
      </c>
      <c r="P91" s="113">
        <f t="shared" si="39"/>
        <v>0</v>
      </c>
      <c r="Q91" s="113" t="str">
        <f t="shared" si="39"/>
        <v>p</v>
      </c>
      <c r="R91" s="113">
        <f t="shared" si="39"/>
        <v>0</v>
      </c>
      <c r="S91" s="113">
        <f t="shared" si="39"/>
        <v>0</v>
      </c>
      <c r="T91" s="113">
        <f t="shared" si="39"/>
        <v>0</v>
      </c>
      <c r="U91" s="113">
        <f t="shared" si="39"/>
        <v>0</v>
      </c>
      <c r="V91" s="113">
        <f t="shared" si="39"/>
        <v>0</v>
      </c>
      <c r="W91" s="113">
        <f t="shared" si="39"/>
        <v>0</v>
      </c>
      <c r="X91" s="113">
        <f t="shared" si="39"/>
        <v>0</v>
      </c>
      <c r="AA91" s="113">
        <v>21</v>
      </c>
      <c r="AB91" s="112">
        <f t="shared" ca="1" si="40"/>
        <v>37257</v>
      </c>
      <c r="AC91" s="112">
        <f t="shared" ca="1" si="40"/>
        <v>37621</v>
      </c>
      <c r="AF91" s="114">
        <f t="shared" ca="1" si="16"/>
        <v>18321.810000000001</v>
      </c>
      <c r="AG91" s="114">
        <f t="shared" ca="1" si="16"/>
        <v>0</v>
      </c>
      <c r="AH91" s="114">
        <f t="shared" ca="1" si="16"/>
        <v>0</v>
      </c>
      <c r="AI91" s="114">
        <f t="shared" ca="1" si="16"/>
        <v>6459.63</v>
      </c>
      <c r="AJ91" s="114">
        <f t="shared" ca="1" si="16"/>
        <v>0</v>
      </c>
      <c r="AK91" s="114">
        <f t="shared" ca="1" si="16"/>
        <v>2065.12</v>
      </c>
      <c r="AN91">
        <f t="shared" si="6"/>
        <v>91</v>
      </c>
      <c r="AQ91" s="114">
        <f t="shared" ca="1" si="7"/>
        <v>1955.16</v>
      </c>
      <c r="AW91">
        <v>91</v>
      </c>
      <c r="BG91" s="114">
        <f t="shared" ca="1" si="4"/>
        <v>26736.600000000002</v>
      </c>
      <c r="BI91">
        <f t="shared" si="5"/>
        <v>0</v>
      </c>
    </row>
    <row r="92" spans="1:61" x14ac:dyDescent="0.25">
      <c r="A92" s="113">
        <f t="shared" si="38"/>
        <v>590</v>
      </c>
      <c r="B92" s="113" t="str">
        <f t="shared" si="39"/>
        <v>a</v>
      </c>
      <c r="C92" s="113" t="str">
        <f t="shared" si="39"/>
        <v>b</v>
      </c>
      <c r="D92" s="113" t="str">
        <f t="shared" si="39"/>
        <v>c</v>
      </c>
      <c r="E92" s="113" t="str">
        <f t="shared" si="39"/>
        <v>d</v>
      </c>
      <c r="F92" s="113" t="str">
        <f t="shared" si="39"/>
        <v>e</v>
      </c>
      <c r="G92" s="113" t="str">
        <f t="shared" si="39"/>
        <v>f</v>
      </c>
      <c r="H92" s="113" t="str">
        <f t="shared" si="39"/>
        <v>g</v>
      </c>
      <c r="I92" s="113" t="str">
        <f t="shared" si="39"/>
        <v>h</v>
      </c>
      <c r="J92" s="113" t="str">
        <f t="shared" si="39"/>
        <v>i</v>
      </c>
      <c r="K92" s="113" t="str">
        <f t="shared" si="39"/>
        <v>j</v>
      </c>
      <c r="L92" s="113" t="str">
        <f t="shared" si="39"/>
        <v>k</v>
      </c>
      <c r="M92" s="113" t="str">
        <f t="shared" si="39"/>
        <v>l</v>
      </c>
      <c r="N92" s="113" t="str">
        <f t="shared" si="39"/>
        <v>m</v>
      </c>
      <c r="O92" s="113">
        <f t="shared" si="39"/>
        <v>0</v>
      </c>
      <c r="P92" s="113">
        <f t="shared" si="39"/>
        <v>0</v>
      </c>
      <c r="Q92" s="113" t="str">
        <f t="shared" si="39"/>
        <v>p</v>
      </c>
      <c r="R92" s="113">
        <f t="shared" si="39"/>
        <v>0</v>
      </c>
      <c r="S92" s="113">
        <f t="shared" si="39"/>
        <v>0</v>
      </c>
      <c r="T92" s="113">
        <f t="shared" si="39"/>
        <v>0</v>
      </c>
      <c r="U92" s="113">
        <f t="shared" si="39"/>
        <v>0</v>
      </c>
      <c r="V92" s="113">
        <f t="shared" si="39"/>
        <v>0</v>
      </c>
      <c r="W92" s="113">
        <f t="shared" si="39"/>
        <v>0</v>
      </c>
      <c r="X92" s="113">
        <f t="shared" si="39"/>
        <v>0</v>
      </c>
      <c r="AA92" s="113">
        <v>28</v>
      </c>
      <c r="AB92" s="112">
        <f t="shared" ca="1" si="40"/>
        <v>37257</v>
      </c>
      <c r="AC92" s="112">
        <f t="shared" ca="1" si="40"/>
        <v>37621</v>
      </c>
      <c r="AF92" s="114">
        <f t="shared" ca="1" si="16"/>
        <v>19971.77</v>
      </c>
      <c r="AG92" s="114">
        <f t="shared" ca="1" si="16"/>
        <v>0</v>
      </c>
      <c r="AH92" s="114">
        <f t="shared" ca="1" si="16"/>
        <v>0</v>
      </c>
      <c r="AI92" s="114">
        <f t="shared" ca="1" si="16"/>
        <v>6459.63</v>
      </c>
      <c r="AJ92" s="114">
        <f t="shared" ca="1" si="16"/>
        <v>0</v>
      </c>
      <c r="AK92" s="114">
        <f t="shared" ca="1" si="16"/>
        <v>2202.62</v>
      </c>
      <c r="AN92">
        <f t="shared" si="6"/>
        <v>92</v>
      </c>
      <c r="AQ92" s="114">
        <f t="shared" ca="1" si="7"/>
        <v>2333.4</v>
      </c>
      <c r="AW92">
        <v>92</v>
      </c>
      <c r="BG92" s="114">
        <f t="shared" ca="1" si="4"/>
        <v>28764.800000000003</v>
      </c>
      <c r="BI92">
        <f t="shared" si="5"/>
        <v>0</v>
      </c>
    </row>
    <row r="93" spans="1:61" x14ac:dyDescent="0.25">
      <c r="A93" s="113">
        <f t="shared" si="38"/>
        <v>592</v>
      </c>
      <c r="B93" s="113" t="str">
        <f t="shared" si="39"/>
        <v>a</v>
      </c>
      <c r="C93" s="113" t="str">
        <f t="shared" si="39"/>
        <v>b</v>
      </c>
      <c r="D93" s="113" t="str">
        <f t="shared" si="39"/>
        <v>c</v>
      </c>
      <c r="E93" s="113" t="str">
        <f t="shared" si="39"/>
        <v>d</v>
      </c>
      <c r="F93" s="113" t="str">
        <f t="shared" si="39"/>
        <v>e</v>
      </c>
      <c r="G93" s="113" t="str">
        <f t="shared" si="39"/>
        <v>f</v>
      </c>
      <c r="H93" s="113" t="str">
        <f t="shared" si="39"/>
        <v>g</v>
      </c>
      <c r="I93" s="113" t="str">
        <f t="shared" si="39"/>
        <v>h</v>
      </c>
      <c r="J93" s="113" t="str">
        <f t="shared" si="39"/>
        <v>i</v>
      </c>
      <c r="K93" s="113" t="str">
        <f t="shared" si="39"/>
        <v>j</v>
      </c>
      <c r="L93" s="113" t="str">
        <f t="shared" si="39"/>
        <v>k</v>
      </c>
      <c r="M93" s="113" t="str">
        <f t="shared" si="39"/>
        <v>l</v>
      </c>
      <c r="N93" s="113" t="str">
        <f t="shared" si="39"/>
        <v>m</v>
      </c>
      <c r="O93" s="113">
        <f t="shared" si="39"/>
        <v>0</v>
      </c>
      <c r="P93" s="113">
        <f t="shared" si="39"/>
        <v>0</v>
      </c>
      <c r="Q93" s="113" t="str">
        <f t="shared" si="39"/>
        <v>p</v>
      </c>
      <c r="R93" s="113">
        <f t="shared" si="39"/>
        <v>0</v>
      </c>
      <c r="S93" s="113">
        <f t="shared" si="39"/>
        <v>0</v>
      </c>
      <c r="T93" s="113">
        <f t="shared" si="39"/>
        <v>0</v>
      </c>
      <c r="U93" s="113">
        <f t="shared" si="39"/>
        <v>0</v>
      </c>
      <c r="V93" s="113">
        <f t="shared" si="39"/>
        <v>0</v>
      </c>
      <c r="W93" s="113">
        <f t="shared" si="39"/>
        <v>0</v>
      </c>
      <c r="X93" s="113">
        <f t="shared" si="39"/>
        <v>0</v>
      </c>
      <c r="AA93" s="113">
        <v>35</v>
      </c>
      <c r="AB93" s="112">
        <f t="shared" ca="1" si="40"/>
        <v>37257</v>
      </c>
      <c r="AC93" s="112">
        <f t="shared" ca="1" si="40"/>
        <v>37621</v>
      </c>
      <c r="AF93" s="114">
        <f t="shared" ca="1" si="16"/>
        <v>21287.05</v>
      </c>
      <c r="AG93" s="114">
        <f t="shared" ca="1" si="16"/>
        <v>0</v>
      </c>
      <c r="AH93" s="114">
        <f t="shared" ca="1" si="16"/>
        <v>0</v>
      </c>
      <c r="AI93" s="114">
        <f t="shared" ca="1" si="16"/>
        <v>6459.63</v>
      </c>
      <c r="AJ93" s="114">
        <f t="shared" ca="1" si="16"/>
        <v>0</v>
      </c>
      <c r="AK93" s="114">
        <f t="shared" ca="1" si="16"/>
        <v>2312.2199999999998</v>
      </c>
      <c r="AN93">
        <f t="shared" si="6"/>
        <v>93</v>
      </c>
      <c r="AQ93" s="114">
        <f t="shared" ca="1" si="7"/>
        <v>2333.4</v>
      </c>
      <c r="AW93">
        <v>93</v>
      </c>
      <c r="BG93" s="114">
        <f t="shared" ca="1" si="4"/>
        <v>30080.080000000002</v>
      </c>
      <c r="BI93">
        <f t="shared" si="5"/>
        <v>0</v>
      </c>
    </row>
    <row r="94" spans="1:61" x14ac:dyDescent="0.25">
      <c r="A94" s="113">
        <f>A87+20</f>
        <v>600</v>
      </c>
      <c r="B94" s="113" t="str">
        <f>B87</f>
        <v>a</v>
      </c>
      <c r="C94" s="113" t="str">
        <f t="shared" ref="C94:X94" si="41">C87</f>
        <v>b</v>
      </c>
      <c r="D94" s="113" t="str">
        <f t="shared" si="41"/>
        <v>c</v>
      </c>
      <c r="E94" s="113" t="str">
        <f t="shared" si="41"/>
        <v>d</v>
      </c>
      <c r="F94" s="113" t="str">
        <f t="shared" si="41"/>
        <v>e</v>
      </c>
      <c r="G94" s="113" t="str">
        <f t="shared" si="41"/>
        <v>f</v>
      </c>
      <c r="H94" s="113" t="str">
        <f t="shared" si="41"/>
        <v>g</v>
      </c>
      <c r="I94" s="113" t="str">
        <f t="shared" si="41"/>
        <v>h</v>
      </c>
      <c r="J94" s="113" t="str">
        <f t="shared" si="41"/>
        <v>i</v>
      </c>
      <c r="K94" s="113" t="str">
        <f t="shared" si="41"/>
        <v>j</v>
      </c>
      <c r="L94" s="113" t="str">
        <f t="shared" si="41"/>
        <v>k</v>
      </c>
      <c r="M94" s="113" t="str">
        <f t="shared" si="41"/>
        <v>l</v>
      </c>
      <c r="N94" s="113" t="str">
        <f t="shared" si="41"/>
        <v>m</v>
      </c>
      <c r="O94" s="113">
        <f t="shared" si="41"/>
        <v>0</v>
      </c>
      <c r="P94" s="113">
        <f t="shared" si="41"/>
        <v>0</v>
      </c>
      <c r="Q94" s="113" t="str">
        <f t="shared" si="41"/>
        <v>p</v>
      </c>
      <c r="R94" s="113">
        <f t="shared" si="41"/>
        <v>0</v>
      </c>
      <c r="S94" s="113">
        <f t="shared" si="41"/>
        <v>0</v>
      </c>
      <c r="T94" s="113">
        <f t="shared" si="41"/>
        <v>0</v>
      </c>
      <c r="U94" s="113">
        <f t="shared" si="41"/>
        <v>0</v>
      </c>
      <c r="V94" s="113">
        <f t="shared" si="41"/>
        <v>0</v>
      </c>
      <c r="W94" s="113">
        <f t="shared" si="41"/>
        <v>0</v>
      </c>
      <c r="X94" s="113">
        <f t="shared" si="41"/>
        <v>0</v>
      </c>
      <c r="AA94" s="113">
        <v>0</v>
      </c>
      <c r="AB94" s="112">
        <f ca="1">INDIRECT(CONCATENATE($AB$10,CONCATENATE(B94,$A94)))</f>
        <v>37622</v>
      </c>
      <c r="AC94" s="112">
        <f ca="1">INDIRECT(CONCATENATE($AB$10,CONCATENATE(C94,$A94)))</f>
        <v>37986</v>
      </c>
      <c r="AF94" s="114">
        <f t="shared" ca="1" si="16"/>
        <v>11669.16</v>
      </c>
      <c r="AG94" s="114">
        <f ca="1">INDIRECT(CONCATENATE($AB$10,CONCATENATE(G94,$A94)))</f>
        <v>0</v>
      </c>
      <c r="AH94" s="114">
        <f ca="1">INDIRECT(CONCATENATE($AB$10,CONCATENATE(H94,$A94)))</f>
        <v>0</v>
      </c>
      <c r="AI94" s="114">
        <f ca="1">INDIRECT(CONCATENATE($AB$10,CONCATENATE(I94,$A94)))</f>
        <v>6459.63</v>
      </c>
      <c r="AJ94" s="114">
        <f ca="1">INDIRECT(CONCATENATE($AB$10,CONCATENATE(J94,$A94)))</f>
        <v>0</v>
      </c>
      <c r="AK94" s="114">
        <f ca="1">INDIRECT(CONCATENATE($AB$10,CONCATENATE(K94,$A94)))</f>
        <v>1510.73</v>
      </c>
      <c r="AN94">
        <f t="shared" si="6"/>
        <v>94</v>
      </c>
      <c r="AQ94" s="114">
        <f t="shared" ca="1" si="7"/>
        <v>1710.6</v>
      </c>
      <c r="AW94">
        <v>94</v>
      </c>
      <c r="BG94" s="114">
        <f t="shared" ca="1" si="4"/>
        <v>19839.39</v>
      </c>
      <c r="BI94">
        <f t="shared" si="5"/>
        <v>0</v>
      </c>
    </row>
    <row r="95" spans="1:61" x14ac:dyDescent="0.25">
      <c r="A95" s="113">
        <f t="shared" ref="A95:A100" si="42">A94+2</f>
        <v>602</v>
      </c>
      <c r="B95" s="113" t="str">
        <f t="shared" ref="B95:X100" si="43">B94</f>
        <v>a</v>
      </c>
      <c r="C95" s="113" t="str">
        <f t="shared" si="43"/>
        <v>b</v>
      </c>
      <c r="D95" s="113" t="str">
        <f t="shared" si="43"/>
        <v>c</v>
      </c>
      <c r="E95" s="113" t="str">
        <f t="shared" si="43"/>
        <v>d</v>
      </c>
      <c r="F95" s="113" t="str">
        <f t="shared" si="43"/>
        <v>e</v>
      </c>
      <c r="G95" s="113" t="str">
        <f t="shared" si="43"/>
        <v>f</v>
      </c>
      <c r="H95" s="113" t="str">
        <f t="shared" si="43"/>
        <v>g</v>
      </c>
      <c r="I95" s="113" t="str">
        <f t="shared" si="43"/>
        <v>h</v>
      </c>
      <c r="J95" s="113" t="str">
        <f t="shared" si="43"/>
        <v>i</v>
      </c>
      <c r="K95" s="113" t="str">
        <f t="shared" si="43"/>
        <v>j</v>
      </c>
      <c r="L95" s="113" t="str">
        <f t="shared" si="43"/>
        <v>k</v>
      </c>
      <c r="M95" s="113" t="str">
        <f t="shared" si="43"/>
        <v>l</v>
      </c>
      <c r="N95" s="113" t="str">
        <f t="shared" si="43"/>
        <v>m</v>
      </c>
      <c r="O95" s="113">
        <f t="shared" si="43"/>
        <v>0</v>
      </c>
      <c r="P95" s="113">
        <f t="shared" si="43"/>
        <v>0</v>
      </c>
      <c r="Q95" s="113" t="str">
        <f t="shared" si="43"/>
        <v>p</v>
      </c>
      <c r="R95" s="113">
        <f t="shared" si="43"/>
        <v>0</v>
      </c>
      <c r="S95" s="113">
        <f t="shared" si="43"/>
        <v>0</v>
      </c>
      <c r="T95" s="113">
        <f t="shared" si="43"/>
        <v>0</v>
      </c>
      <c r="U95" s="113">
        <f t="shared" si="43"/>
        <v>0</v>
      </c>
      <c r="V95" s="113">
        <f t="shared" si="43"/>
        <v>0</v>
      </c>
      <c r="W95" s="113">
        <f t="shared" si="43"/>
        <v>0</v>
      </c>
      <c r="X95" s="113">
        <f t="shared" si="43"/>
        <v>0</v>
      </c>
      <c r="AA95" s="113">
        <v>3</v>
      </c>
      <c r="AB95" s="112">
        <f t="shared" ref="AB95:AC100" ca="1" si="44">AB94</f>
        <v>37622</v>
      </c>
      <c r="AC95" s="112">
        <f t="shared" ca="1" si="44"/>
        <v>37986</v>
      </c>
      <c r="AF95" s="114">
        <f t="shared" ca="1" si="16"/>
        <v>12696.22</v>
      </c>
      <c r="AG95" s="114">
        <f t="shared" ca="1" si="16"/>
        <v>0</v>
      </c>
      <c r="AH95" s="114">
        <f t="shared" ref="AH95:AK100" ca="1" si="45">INDIRECT(CONCATENATE($AB$10,CONCATENATE(H95,$A95)))</f>
        <v>0</v>
      </c>
      <c r="AI95" s="114">
        <f t="shared" ca="1" si="45"/>
        <v>6459.63</v>
      </c>
      <c r="AJ95" s="114">
        <f t="shared" ca="1" si="45"/>
        <v>0</v>
      </c>
      <c r="AK95" s="114">
        <f t="shared" ca="1" si="45"/>
        <v>1596.32</v>
      </c>
      <c r="AN95">
        <f t="shared" si="6"/>
        <v>95</v>
      </c>
      <c r="AQ95" s="114">
        <f t="shared" ca="1" si="7"/>
        <v>1710.6</v>
      </c>
      <c r="AW95">
        <v>95</v>
      </c>
      <c r="BG95" s="114">
        <f t="shared" ca="1" si="4"/>
        <v>20866.449999999997</v>
      </c>
      <c r="BI95">
        <f t="shared" si="5"/>
        <v>0</v>
      </c>
    </row>
    <row r="96" spans="1:61" x14ac:dyDescent="0.25">
      <c r="A96" s="113">
        <f t="shared" si="42"/>
        <v>604</v>
      </c>
      <c r="B96" s="113" t="str">
        <f t="shared" si="43"/>
        <v>a</v>
      </c>
      <c r="C96" s="113" t="str">
        <f t="shared" si="43"/>
        <v>b</v>
      </c>
      <c r="D96" s="113" t="str">
        <f t="shared" si="43"/>
        <v>c</v>
      </c>
      <c r="E96" s="113" t="str">
        <f t="shared" si="43"/>
        <v>d</v>
      </c>
      <c r="F96" s="113" t="str">
        <f t="shared" si="43"/>
        <v>e</v>
      </c>
      <c r="G96" s="113" t="str">
        <f t="shared" si="43"/>
        <v>f</v>
      </c>
      <c r="H96" s="113" t="str">
        <f t="shared" si="43"/>
        <v>g</v>
      </c>
      <c r="I96" s="113" t="str">
        <f t="shared" si="43"/>
        <v>h</v>
      </c>
      <c r="J96" s="113" t="str">
        <f t="shared" si="43"/>
        <v>i</v>
      </c>
      <c r="K96" s="113" t="str">
        <f t="shared" si="43"/>
        <v>j</v>
      </c>
      <c r="L96" s="113" t="str">
        <f t="shared" si="43"/>
        <v>k</v>
      </c>
      <c r="M96" s="113" t="str">
        <f t="shared" si="43"/>
        <v>l</v>
      </c>
      <c r="N96" s="113" t="str">
        <f t="shared" si="43"/>
        <v>m</v>
      </c>
      <c r="O96" s="113">
        <f t="shared" si="43"/>
        <v>0</v>
      </c>
      <c r="P96" s="113">
        <f t="shared" si="43"/>
        <v>0</v>
      </c>
      <c r="Q96" s="113" t="str">
        <f t="shared" si="43"/>
        <v>p</v>
      </c>
      <c r="R96" s="113">
        <f t="shared" si="43"/>
        <v>0</v>
      </c>
      <c r="S96" s="113">
        <f t="shared" si="43"/>
        <v>0</v>
      </c>
      <c r="T96" s="113">
        <f t="shared" si="43"/>
        <v>0</v>
      </c>
      <c r="U96" s="113">
        <f t="shared" si="43"/>
        <v>0</v>
      </c>
      <c r="V96" s="113">
        <f t="shared" si="43"/>
        <v>0</v>
      </c>
      <c r="W96" s="113">
        <f t="shared" si="43"/>
        <v>0</v>
      </c>
      <c r="X96" s="113">
        <f t="shared" si="43"/>
        <v>0</v>
      </c>
      <c r="AA96" s="113">
        <v>9</v>
      </c>
      <c r="AB96" s="112">
        <f t="shared" ca="1" si="44"/>
        <v>37622</v>
      </c>
      <c r="AC96" s="112">
        <f t="shared" ca="1" si="44"/>
        <v>37986</v>
      </c>
      <c r="AF96" s="114">
        <f t="shared" ref="AF96:AK147" ca="1" si="46">INDIRECT(CONCATENATE($AB$10,CONCATENATE(F96,$A96)))</f>
        <v>14339.57</v>
      </c>
      <c r="AG96" s="114">
        <f t="shared" ca="1" si="46"/>
        <v>0</v>
      </c>
      <c r="AH96" s="114">
        <f t="shared" ca="1" si="45"/>
        <v>0</v>
      </c>
      <c r="AI96" s="114">
        <f t="shared" ca="1" si="45"/>
        <v>6459.63</v>
      </c>
      <c r="AJ96" s="114">
        <f t="shared" ca="1" si="45"/>
        <v>0</v>
      </c>
      <c r="AK96" s="114">
        <f t="shared" ca="1" si="45"/>
        <v>1733.27</v>
      </c>
      <c r="AN96">
        <f t="shared" si="6"/>
        <v>96</v>
      </c>
      <c r="AQ96" s="114">
        <f t="shared" ca="1" si="7"/>
        <v>1710.6</v>
      </c>
      <c r="AW96">
        <v>96</v>
      </c>
      <c r="BG96" s="114">
        <f t="shared" ref="BG96:BG159" ca="1" si="47">AF96+AG96+AH96+AI96+AJ96+AQ96</f>
        <v>22509.8</v>
      </c>
      <c r="BI96">
        <f t="shared" ref="BI96:BI159" si="48">AE96</f>
        <v>0</v>
      </c>
    </row>
    <row r="97" spans="1:61" x14ac:dyDescent="0.25">
      <c r="A97" s="113">
        <f t="shared" si="42"/>
        <v>606</v>
      </c>
      <c r="B97" s="113" t="str">
        <f t="shared" si="43"/>
        <v>a</v>
      </c>
      <c r="C97" s="113" t="str">
        <f t="shared" si="43"/>
        <v>b</v>
      </c>
      <c r="D97" s="113" t="str">
        <f t="shared" si="43"/>
        <v>c</v>
      </c>
      <c r="E97" s="113" t="str">
        <f t="shared" si="43"/>
        <v>d</v>
      </c>
      <c r="F97" s="113" t="str">
        <f t="shared" si="43"/>
        <v>e</v>
      </c>
      <c r="G97" s="113" t="str">
        <f t="shared" si="43"/>
        <v>f</v>
      </c>
      <c r="H97" s="113" t="str">
        <f t="shared" si="43"/>
        <v>g</v>
      </c>
      <c r="I97" s="113" t="str">
        <f t="shared" si="43"/>
        <v>h</v>
      </c>
      <c r="J97" s="113" t="str">
        <f t="shared" si="43"/>
        <v>i</v>
      </c>
      <c r="K97" s="113" t="str">
        <f t="shared" si="43"/>
        <v>j</v>
      </c>
      <c r="L97" s="113" t="str">
        <f t="shared" si="43"/>
        <v>k</v>
      </c>
      <c r="M97" s="113" t="str">
        <f t="shared" si="43"/>
        <v>l</v>
      </c>
      <c r="N97" s="113" t="str">
        <f t="shared" si="43"/>
        <v>m</v>
      </c>
      <c r="O97" s="113">
        <f t="shared" si="43"/>
        <v>0</v>
      </c>
      <c r="P97" s="113">
        <f t="shared" si="43"/>
        <v>0</v>
      </c>
      <c r="Q97" s="113" t="str">
        <f t="shared" si="43"/>
        <v>p</v>
      </c>
      <c r="R97" s="113">
        <f t="shared" si="43"/>
        <v>0</v>
      </c>
      <c r="S97" s="113">
        <f t="shared" si="43"/>
        <v>0</v>
      </c>
      <c r="T97" s="113">
        <f t="shared" si="43"/>
        <v>0</v>
      </c>
      <c r="U97" s="113">
        <f t="shared" si="43"/>
        <v>0</v>
      </c>
      <c r="V97" s="113">
        <f t="shared" si="43"/>
        <v>0</v>
      </c>
      <c r="W97" s="113">
        <f t="shared" si="43"/>
        <v>0</v>
      </c>
      <c r="X97" s="113">
        <f t="shared" si="43"/>
        <v>0</v>
      </c>
      <c r="AA97" s="113">
        <v>15</v>
      </c>
      <c r="AB97" s="112">
        <f t="shared" ca="1" si="44"/>
        <v>37622</v>
      </c>
      <c r="AC97" s="112">
        <f t="shared" ca="1" si="44"/>
        <v>37986</v>
      </c>
      <c r="AF97" s="114">
        <f t="shared" ca="1" si="46"/>
        <v>16366.78</v>
      </c>
      <c r="AG97" s="114">
        <f t="shared" ca="1" si="46"/>
        <v>0</v>
      </c>
      <c r="AH97" s="114">
        <f t="shared" ca="1" si="45"/>
        <v>0</v>
      </c>
      <c r="AI97" s="114">
        <f t="shared" ca="1" si="45"/>
        <v>6459.63</v>
      </c>
      <c r="AJ97" s="114">
        <f t="shared" ca="1" si="45"/>
        <v>0</v>
      </c>
      <c r="AK97" s="114">
        <f t="shared" ca="1" si="45"/>
        <v>1902.2</v>
      </c>
      <c r="AN97">
        <f t="shared" ref="AN97:AN160" si="49">AN96+1</f>
        <v>97</v>
      </c>
      <c r="AQ97" s="114">
        <f t="shared" ref="AQ97:AQ160" ca="1" si="50">INDIRECT(CONCATENATE($AB$10,CONCATENATE(Q97,$A97)))</f>
        <v>2111.16</v>
      </c>
      <c r="AW97">
        <v>97</v>
      </c>
      <c r="BG97" s="114">
        <f t="shared" ca="1" si="47"/>
        <v>24937.57</v>
      </c>
      <c r="BI97">
        <f t="shared" si="48"/>
        <v>0</v>
      </c>
    </row>
    <row r="98" spans="1:61" x14ac:dyDescent="0.25">
      <c r="A98" s="113">
        <f t="shared" si="42"/>
        <v>608</v>
      </c>
      <c r="B98" s="113" t="str">
        <f t="shared" si="43"/>
        <v>a</v>
      </c>
      <c r="C98" s="113" t="str">
        <f t="shared" si="43"/>
        <v>b</v>
      </c>
      <c r="D98" s="113" t="str">
        <f t="shared" si="43"/>
        <v>c</v>
      </c>
      <c r="E98" s="113" t="str">
        <f t="shared" si="43"/>
        <v>d</v>
      </c>
      <c r="F98" s="113" t="str">
        <f t="shared" si="43"/>
        <v>e</v>
      </c>
      <c r="G98" s="113" t="str">
        <f t="shared" si="43"/>
        <v>f</v>
      </c>
      <c r="H98" s="113" t="str">
        <f t="shared" si="43"/>
        <v>g</v>
      </c>
      <c r="I98" s="113" t="str">
        <f t="shared" si="43"/>
        <v>h</v>
      </c>
      <c r="J98" s="113" t="str">
        <f t="shared" si="43"/>
        <v>i</v>
      </c>
      <c r="K98" s="113" t="str">
        <f t="shared" si="43"/>
        <v>j</v>
      </c>
      <c r="L98" s="113" t="str">
        <f t="shared" si="43"/>
        <v>k</v>
      </c>
      <c r="M98" s="113" t="str">
        <f t="shared" si="43"/>
        <v>l</v>
      </c>
      <c r="N98" s="113" t="str">
        <f t="shared" si="43"/>
        <v>m</v>
      </c>
      <c r="O98" s="113">
        <f t="shared" si="43"/>
        <v>0</v>
      </c>
      <c r="P98" s="113">
        <f t="shared" si="43"/>
        <v>0</v>
      </c>
      <c r="Q98" s="113" t="str">
        <f t="shared" si="43"/>
        <v>p</v>
      </c>
      <c r="R98" s="113">
        <f t="shared" si="43"/>
        <v>0</v>
      </c>
      <c r="S98" s="113">
        <f t="shared" si="43"/>
        <v>0</v>
      </c>
      <c r="T98" s="113">
        <f t="shared" si="43"/>
        <v>0</v>
      </c>
      <c r="U98" s="113">
        <f t="shared" si="43"/>
        <v>0</v>
      </c>
      <c r="V98" s="113">
        <f t="shared" si="43"/>
        <v>0</v>
      </c>
      <c r="W98" s="113">
        <f t="shared" si="43"/>
        <v>0</v>
      </c>
      <c r="X98" s="113">
        <f t="shared" si="43"/>
        <v>0</v>
      </c>
      <c r="AA98" s="113">
        <v>21</v>
      </c>
      <c r="AB98" s="112">
        <f t="shared" ca="1" si="44"/>
        <v>37622</v>
      </c>
      <c r="AC98" s="112">
        <f t="shared" ca="1" si="44"/>
        <v>37986</v>
      </c>
      <c r="AF98" s="114">
        <f t="shared" ca="1" si="46"/>
        <v>18948.810000000001</v>
      </c>
      <c r="AG98" s="114">
        <f t="shared" ca="1" si="46"/>
        <v>0</v>
      </c>
      <c r="AH98" s="114">
        <f t="shared" ca="1" si="45"/>
        <v>0</v>
      </c>
      <c r="AI98" s="114">
        <f t="shared" ca="1" si="45"/>
        <v>6459.63</v>
      </c>
      <c r="AJ98" s="114">
        <f t="shared" ca="1" si="45"/>
        <v>0</v>
      </c>
      <c r="AK98" s="114">
        <f t="shared" ca="1" si="45"/>
        <v>2117.37</v>
      </c>
      <c r="AN98">
        <f t="shared" si="49"/>
        <v>98</v>
      </c>
      <c r="AQ98" s="114">
        <f t="shared" ca="1" si="50"/>
        <v>2111.16</v>
      </c>
      <c r="AW98">
        <v>98</v>
      </c>
      <c r="BG98" s="114">
        <f t="shared" ca="1" si="47"/>
        <v>27519.600000000002</v>
      </c>
      <c r="BI98">
        <f t="shared" si="48"/>
        <v>0</v>
      </c>
    </row>
    <row r="99" spans="1:61" x14ac:dyDescent="0.25">
      <c r="A99" s="113">
        <f t="shared" si="42"/>
        <v>610</v>
      </c>
      <c r="B99" s="113" t="str">
        <f t="shared" si="43"/>
        <v>a</v>
      </c>
      <c r="C99" s="113" t="str">
        <f t="shared" si="43"/>
        <v>b</v>
      </c>
      <c r="D99" s="113" t="str">
        <f t="shared" si="43"/>
        <v>c</v>
      </c>
      <c r="E99" s="113" t="str">
        <f t="shared" si="43"/>
        <v>d</v>
      </c>
      <c r="F99" s="113" t="str">
        <f t="shared" si="43"/>
        <v>e</v>
      </c>
      <c r="G99" s="113" t="str">
        <f t="shared" si="43"/>
        <v>f</v>
      </c>
      <c r="H99" s="113" t="str">
        <f t="shared" si="43"/>
        <v>g</v>
      </c>
      <c r="I99" s="113" t="str">
        <f t="shared" si="43"/>
        <v>h</v>
      </c>
      <c r="J99" s="113" t="str">
        <f t="shared" si="43"/>
        <v>i</v>
      </c>
      <c r="K99" s="113" t="str">
        <f t="shared" si="43"/>
        <v>j</v>
      </c>
      <c r="L99" s="113" t="str">
        <f t="shared" si="43"/>
        <v>k</v>
      </c>
      <c r="M99" s="113" t="str">
        <f t="shared" si="43"/>
        <v>l</v>
      </c>
      <c r="N99" s="113" t="str">
        <f t="shared" si="43"/>
        <v>m</v>
      </c>
      <c r="O99" s="113">
        <f t="shared" si="43"/>
        <v>0</v>
      </c>
      <c r="P99" s="113">
        <f t="shared" si="43"/>
        <v>0</v>
      </c>
      <c r="Q99" s="113" t="str">
        <f t="shared" si="43"/>
        <v>p</v>
      </c>
      <c r="R99" s="113">
        <f t="shared" si="43"/>
        <v>0</v>
      </c>
      <c r="S99" s="113">
        <f t="shared" si="43"/>
        <v>0</v>
      </c>
      <c r="T99" s="113">
        <f t="shared" si="43"/>
        <v>0</v>
      </c>
      <c r="U99" s="113">
        <f t="shared" si="43"/>
        <v>0</v>
      </c>
      <c r="V99" s="113">
        <f t="shared" si="43"/>
        <v>0</v>
      </c>
      <c r="W99" s="113">
        <f t="shared" si="43"/>
        <v>0</v>
      </c>
      <c r="X99" s="113">
        <f t="shared" si="43"/>
        <v>0</v>
      </c>
      <c r="AA99" s="113">
        <v>28</v>
      </c>
      <c r="AB99" s="112">
        <f t="shared" ca="1" si="44"/>
        <v>37622</v>
      </c>
      <c r="AC99" s="112">
        <f t="shared" ca="1" si="44"/>
        <v>37986</v>
      </c>
      <c r="AF99" s="114">
        <f t="shared" ca="1" si="46"/>
        <v>20640.53</v>
      </c>
      <c r="AG99" s="114">
        <f t="shared" ca="1" si="46"/>
        <v>0</v>
      </c>
      <c r="AH99" s="114">
        <f t="shared" ca="1" si="45"/>
        <v>0</v>
      </c>
      <c r="AI99" s="114">
        <f t="shared" ca="1" si="45"/>
        <v>6459.63</v>
      </c>
      <c r="AJ99" s="114">
        <f t="shared" ca="1" si="45"/>
        <v>0</v>
      </c>
      <c r="AK99" s="114">
        <f t="shared" ca="1" si="45"/>
        <v>2258.35</v>
      </c>
      <c r="AN99">
        <f t="shared" si="49"/>
        <v>99</v>
      </c>
      <c r="AQ99" s="114">
        <f t="shared" ca="1" si="50"/>
        <v>2585.4</v>
      </c>
      <c r="AW99">
        <v>99</v>
      </c>
      <c r="BG99" s="114">
        <f t="shared" ca="1" si="47"/>
        <v>29685.56</v>
      </c>
      <c r="BI99">
        <f t="shared" si="48"/>
        <v>0</v>
      </c>
    </row>
    <row r="100" spans="1:61" x14ac:dyDescent="0.25">
      <c r="A100" s="113">
        <f t="shared" si="42"/>
        <v>612</v>
      </c>
      <c r="B100" s="113" t="str">
        <f t="shared" si="43"/>
        <v>a</v>
      </c>
      <c r="C100" s="113" t="str">
        <f t="shared" si="43"/>
        <v>b</v>
      </c>
      <c r="D100" s="113" t="str">
        <f t="shared" si="43"/>
        <v>c</v>
      </c>
      <c r="E100" s="113" t="str">
        <f t="shared" si="43"/>
        <v>d</v>
      </c>
      <c r="F100" s="113" t="str">
        <f t="shared" si="43"/>
        <v>e</v>
      </c>
      <c r="G100" s="113" t="str">
        <f t="shared" si="43"/>
        <v>f</v>
      </c>
      <c r="H100" s="113" t="str">
        <f t="shared" si="43"/>
        <v>g</v>
      </c>
      <c r="I100" s="113" t="str">
        <f t="shared" si="43"/>
        <v>h</v>
      </c>
      <c r="J100" s="113" t="str">
        <f t="shared" si="43"/>
        <v>i</v>
      </c>
      <c r="K100" s="113" t="str">
        <f t="shared" si="43"/>
        <v>j</v>
      </c>
      <c r="L100" s="113" t="str">
        <f t="shared" si="43"/>
        <v>k</v>
      </c>
      <c r="M100" s="113" t="str">
        <f t="shared" si="43"/>
        <v>l</v>
      </c>
      <c r="N100" s="113" t="str">
        <f t="shared" si="43"/>
        <v>m</v>
      </c>
      <c r="O100" s="113">
        <f t="shared" si="43"/>
        <v>0</v>
      </c>
      <c r="P100" s="113">
        <f t="shared" si="43"/>
        <v>0</v>
      </c>
      <c r="Q100" s="113" t="str">
        <f t="shared" si="43"/>
        <v>p</v>
      </c>
      <c r="R100" s="113">
        <f t="shared" si="43"/>
        <v>0</v>
      </c>
      <c r="S100" s="113">
        <f t="shared" si="43"/>
        <v>0</v>
      </c>
      <c r="T100" s="113">
        <f t="shared" si="43"/>
        <v>0</v>
      </c>
      <c r="U100" s="113">
        <f t="shared" si="43"/>
        <v>0</v>
      </c>
      <c r="V100" s="113">
        <f t="shared" si="43"/>
        <v>0</v>
      </c>
      <c r="W100" s="113">
        <f t="shared" si="43"/>
        <v>0</v>
      </c>
      <c r="X100" s="113">
        <f t="shared" si="43"/>
        <v>0</v>
      </c>
      <c r="AA100" s="113">
        <v>35</v>
      </c>
      <c r="AB100" s="112">
        <f t="shared" ca="1" si="44"/>
        <v>37622</v>
      </c>
      <c r="AC100" s="112">
        <f t="shared" ca="1" si="44"/>
        <v>37986</v>
      </c>
      <c r="AF100" s="114">
        <f t="shared" ca="1" si="46"/>
        <v>21989.05</v>
      </c>
      <c r="AG100" s="114">
        <f t="shared" ca="1" si="46"/>
        <v>0</v>
      </c>
      <c r="AH100" s="114">
        <f t="shared" ca="1" si="45"/>
        <v>0</v>
      </c>
      <c r="AI100" s="114">
        <f t="shared" ca="1" si="45"/>
        <v>6459.63</v>
      </c>
      <c r="AJ100" s="114">
        <f t="shared" ca="1" si="45"/>
        <v>0</v>
      </c>
      <c r="AK100" s="114">
        <f t="shared" ca="1" si="45"/>
        <v>2370.7199999999998</v>
      </c>
      <c r="AN100">
        <f t="shared" si="49"/>
        <v>100</v>
      </c>
      <c r="AQ100" s="114">
        <f t="shared" ca="1" si="50"/>
        <v>2585.4</v>
      </c>
      <c r="AW100">
        <v>100</v>
      </c>
      <c r="BG100" s="114">
        <f t="shared" ca="1" si="47"/>
        <v>31034.080000000002</v>
      </c>
      <c r="BI100">
        <f t="shared" si="48"/>
        <v>0</v>
      </c>
    </row>
    <row r="101" spans="1:61" x14ac:dyDescent="0.25">
      <c r="A101" s="113">
        <f>A94+20</f>
        <v>620</v>
      </c>
      <c r="B101" s="113" t="str">
        <f>B94</f>
        <v>a</v>
      </c>
      <c r="C101" s="113" t="str">
        <f t="shared" ref="C101:X101" si="51">C94</f>
        <v>b</v>
      </c>
      <c r="D101" s="113" t="str">
        <f t="shared" si="51"/>
        <v>c</v>
      </c>
      <c r="E101" s="113" t="str">
        <f t="shared" si="51"/>
        <v>d</v>
      </c>
      <c r="F101" s="113" t="str">
        <f t="shared" si="51"/>
        <v>e</v>
      </c>
      <c r="G101" s="113" t="str">
        <f t="shared" si="51"/>
        <v>f</v>
      </c>
      <c r="H101" s="113" t="str">
        <f t="shared" si="51"/>
        <v>g</v>
      </c>
      <c r="I101" s="113" t="str">
        <f t="shared" si="51"/>
        <v>h</v>
      </c>
      <c r="J101" s="113" t="str">
        <f t="shared" si="51"/>
        <v>i</v>
      </c>
      <c r="K101" s="113" t="str">
        <f t="shared" si="51"/>
        <v>j</v>
      </c>
      <c r="L101" s="113" t="str">
        <f t="shared" si="51"/>
        <v>k</v>
      </c>
      <c r="M101" s="113" t="str">
        <f t="shared" si="51"/>
        <v>l</v>
      </c>
      <c r="N101" s="113" t="str">
        <f t="shared" si="51"/>
        <v>m</v>
      </c>
      <c r="O101" s="113">
        <f t="shared" si="51"/>
        <v>0</v>
      </c>
      <c r="P101" s="113">
        <f t="shared" si="51"/>
        <v>0</v>
      </c>
      <c r="Q101" s="113" t="str">
        <f t="shared" si="51"/>
        <v>p</v>
      </c>
      <c r="R101" s="113">
        <f t="shared" si="51"/>
        <v>0</v>
      </c>
      <c r="S101" s="113">
        <f t="shared" si="51"/>
        <v>0</v>
      </c>
      <c r="T101" s="113">
        <f t="shared" si="51"/>
        <v>0</v>
      </c>
      <c r="U101" s="113">
        <f t="shared" si="51"/>
        <v>0</v>
      </c>
      <c r="V101" s="113">
        <f t="shared" si="51"/>
        <v>0</v>
      </c>
      <c r="W101" s="113">
        <f t="shared" si="51"/>
        <v>0</v>
      </c>
      <c r="X101" s="113">
        <f t="shared" si="51"/>
        <v>0</v>
      </c>
      <c r="AA101" s="113">
        <v>0</v>
      </c>
      <c r="AB101" s="112">
        <f ca="1">INDIRECT(CONCATENATE($AB$10,CONCATENATE(B101,$A101)))</f>
        <v>37987</v>
      </c>
      <c r="AC101" s="112">
        <f ca="1">INDIRECT(CONCATENATE($AB$10,CONCATENATE(C101,$A101)))</f>
        <v>38383</v>
      </c>
      <c r="AF101" s="114">
        <f t="shared" ca="1" si="46"/>
        <v>12107.28</v>
      </c>
      <c r="AG101" s="114">
        <f ca="1">INDIRECT(CONCATENATE($AB$10,CONCATENATE(G101,$A101)))</f>
        <v>0</v>
      </c>
      <c r="AH101" s="114">
        <f ca="1">INDIRECT(CONCATENATE($AB$10,CONCATENATE(H101,$A101)))</f>
        <v>0</v>
      </c>
      <c r="AI101" s="114">
        <f ca="1">INDIRECT(CONCATENATE($AB$10,CONCATENATE(I101,$A101)))</f>
        <v>6459.63</v>
      </c>
      <c r="AJ101" s="114">
        <f ca="1">INDIRECT(CONCATENATE($AB$10,CONCATENATE(J101,$A101)))</f>
        <v>0</v>
      </c>
      <c r="AK101" s="114">
        <f ca="1">INDIRECT(CONCATENATE($AB$10,CONCATENATE(K101,$A101)))</f>
        <v>1547.24</v>
      </c>
      <c r="AN101">
        <f t="shared" si="49"/>
        <v>101</v>
      </c>
      <c r="AQ101" s="114">
        <f t="shared" ca="1" si="50"/>
        <v>1857.84</v>
      </c>
      <c r="AW101">
        <v>101</v>
      </c>
      <c r="BG101" s="114">
        <f t="shared" ca="1" si="47"/>
        <v>20424.75</v>
      </c>
      <c r="BI101">
        <f t="shared" si="48"/>
        <v>0</v>
      </c>
    </row>
    <row r="102" spans="1:61" x14ac:dyDescent="0.25">
      <c r="A102" s="113">
        <f t="shared" ref="A102:A107" si="52">A101+2</f>
        <v>622</v>
      </c>
      <c r="B102" s="113" t="str">
        <f t="shared" ref="B102:X107" si="53">B101</f>
        <v>a</v>
      </c>
      <c r="C102" s="113" t="str">
        <f t="shared" si="53"/>
        <v>b</v>
      </c>
      <c r="D102" s="113" t="str">
        <f t="shared" si="53"/>
        <v>c</v>
      </c>
      <c r="E102" s="113" t="str">
        <f t="shared" si="53"/>
        <v>d</v>
      </c>
      <c r="F102" s="113" t="str">
        <f t="shared" si="53"/>
        <v>e</v>
      </c>
      <c r="G102" s="113" t="str">
        <f t="shared" si="53"/>
        <v>f</v>
      </c>
      <c r="H102" s="113" t="str">
        <f t="shared" si="53"/>
        <v>g</v>
      </c>
      <c r="I102" s="113" t="str">
        <f t="shared" si="53"/>
        <v>h</v>
      </c>
      <c r="J102" s="113" t="str">
        <f t="shared" si="53"/>
        <v>i</v>
      </c>
      <c r="K102" s="113" t="str">
        <f t="shared" si="53"/>
        <v>j</v>
      </c>
      <c r="L102" s="113" t="str">
        <f t="shared" si="53"/>
        <v>k</v>
      </c>
      <c r="M102" s="113" t="str">
        <f t="shared" si="53"/>
        <v>l</v>
      </c>
      <c r="N102" s="113" t="str">
        <f t="shared" si="53"/>
        <v>m</v>
      </c>
      <c r="O102" s="113">
        <f t="shared" si="53"/>
        <v>0</v>
      </c>
      <c r="P102" s="113">
        <f t="shared" si="53"/>
        <v>0</v>
      </c>
      <c r="Q102" s="113" t="str">
        <f t="shared" si="53"/>
        <v>p</v>
      </c>
      <c r="R102" s="113">
        <f t="shared" si="53"/>
        <v>0</v>
      </c>
      <c r="S102" s="113">
        <f t="shared" si="53"/>
        <v>0</v>
      </c>
      <c r="T102" s="113">
        <f t="shared" si="53"/>
        <v>0</v>
      </c>
      <c r="U102" s="113">
        <f t="shared" si="53"/>
        <v>0</v>
      </c>
      <c r="V102" s="113">
        <f t="shared" si="53"/>
        <v>0</v>
      </c>
      <c r="W102" s="113">
        <f t="shared" si="53"/>
        <v>0</v>
      </c>
      <c r="X102" s="113">
        <f t="shared" si="53"/>
        <v>0</v>
      </c>
      <c r="AA102" s="113">
        <v>3</v>
      </c>
      <c r="AB102" s="112">
        <f t="shared" ref="AB102:AC107" ca="1" si="54">AB101</f>
        <v>37987</v>
      </c>
      <c r="AC102" s="112">
        <f t="shared" ca="1" si="54"/>
        <v>38383</v>
      </c>
      <c r="AF102" s="114">
        <f t="shared" ca="1" si="46"/>
        <v>13159.18</v>
      </c>
      <c r="AG102" s="114">
        <f t="shared" ca="1" si="46"/>
        <v>0</v>
      </c>
      <c r="AH102" s="114">
        <f t="shared" ca="1" si="46"/>
        <v>0</v>
      </c>
      <c r="AI102" s="114">
        <f t="shared" ca="1" si="46"/>
        <v>6459.63</v>
      </c>
      <c r="AJ102" s="114">
        <f t="shared" ca="1" si="46"/>
        <v>0</v>
      </c>
      <c r="AK102" s="114">
        <f t="shared" ca="1" si="46"/>
        <v>1634.9</v>
      </c>
      <c r="AN102">
        <f t="shared" si="49"/>
        <v>102</v>
      </c>
      <c r="AQ102" s="114">
        <f t="shared" ca="1" si="50"/>
        <v>1857.84</v>
      </c>
      <c r="AW102">
        <v>102</v>
      </c>
      <c r="BG102" s="114">
        <f t="shared" ca="1" si="47"/>
        <v>21476.65</v>
      </c>
      <c r="BI102">
        <f t="shared" si="48"/>
        <v>0</v>
      </c>
    </row>
    <row r="103" spans="1:61" x14ac:dyDescent="0.25">
      <c r="A103" s="113">
        <f t="shared" si="52"/>
        <v>624</v>
      </c>
      <c r="B103" s="113" t="str">
        <f t="shared" si="53"/>
        <v>a</v>
      </c>
      <c r="C103" s="113" t="str">
        <f t="shared" si="53"/>
        <v>b</v>
      </c>
      <c r="D103" s="113" t="str">
        <f t="shared" si="53"/>
        <v>c</v>
      </c>
      <c r="E103" s="113" t="str">
        <f t="shared" si="53"/>
        <v>d</v>
      </c>
      <c r="F103" s="113" t="str">
        <f t="shared" si="53"/>
        <v>e</v>
      </c>
      <c r="G103" s="113" t="str">
        <f t="shared" si="53"/>
        <v>f</v>
      </c>
      <c r="H103" s="113" t="str">
        <f t="shared" si="53"/>
        <v>g</v>
      </c>
      <c r="I103" s="113" t="str">
        <f t="shared" si="53"/>
        <v>h</v>
      </c>
      <c r="J103" s="113" t="str">
        <f t="shared" si="53"/>
        <v>i</v>
      </c>
      <c r="K103" s="113" t="str">
        <f t="shared" si="53"/>
        <v>j</v>
      </c>
      <c r="L103" s="113" t="str">
        <f t="shared" si="53"/>
        <v>k</v>
      </c>
      <c r="M103" s="113" t="str">
        <f t="shared" si="53"/>
        <v>l</v>
      </c>
      <c r="N103" s="113" t="str">
        <f t="shared" si="53"/>
        <v>m</v>
      </c>
      <c r="O103" s="113">
        <f t="shared" si="53"/>
        <v>0</v>
      </c>
      <c r="P103" s="113">
        <f t="shared" si="53"/>
        <v>0</v>
      </c>
      <c r="Q103" s="113" t="str">
        <f t="shared" si="53"/>
        <v>p</v>
      </c>
      <c r="R103" s="113">
        <f t="shared" si="53"/>
        <v>0</v>
      </c>
      <c r="S103" s="113">
        <f t="shared" si="53"/>
        <v>0</v>
      </c>
      <c r="T103" s="113">
        <f t="shared" si="53"/>
        <v>0</v>
      </c>
      <c r="U103" s="113">
        <f t="shared" si="53"/>
        <v>0</v>
      </c>
      <c r="V103" s="113">
        <f t="shared" si="53"/>
        <v>0</v>
      </c>
      <c r="W103" s="113">
        <f t="shared" si="53"/>
        <v>0</v>
      </c>
      <c r="X103" s="113">
        <f t="shared" si="53"/>
        <v>0</v>
      </c>
      <c r="AA103" s="113">
        <v>9</v>
      </c>
      <c r="AB103" s="112">
        <f t="shared" ca="1" si="54"/>
        <v>37987</v>
      </c>
      <c r="AC103" s="112">
        <f t="shared" ca="1" si="54"/>
        <v>38383</v>
      </c>
      <c r="AF103" s="114">
        <f t="shared" ca="1" si="46"/>
        <v>14842.25</v>
      </c>
      <c r="AG103" s="114">
        <f t="shared" ca="1" si="46"/>
        <v>0</v>
      </c>
      <c r="AH103" s="114">
        <f t="shared" ca="1" si="46"/>
        <v>0</v>
      </c>
      <c r="AI103" s="114">
        <f t="shared" ca="1" si="46"/>
        <v>6459.63</v>
      </c>
      <c r="AJ103" s="114">
        <f t="shared" ca="1" si="46"/>
        <v>0</v>
      </c>
      <c r="AK103" s="114">
        <f t="shared" ca="1" si="46"/>
        <v>1775.16</v>
      </c>
      <c r="AN103">
        <f t="shared" si="49"/>
        <v>103</v>
      </c>
      <c r="AQ103" s="114">
        <f t="shared" ca="1" si="50"/>
        <v>1857.84</v>
      </c>
      <c r="AW103">
        <v>103</v>
      </c>
      <c r="BG103" s="114">
        <f t="shared" ca="1" si="47"/>
        <v>23159.72</v>
      </c>
      <c r="BI103">
        <f t="shared" si="48"/>
        <v>0</v>
      </c>
    </row>
    <row r="104" spans="1:61" x14ac:dyDescent="0.25">
      <c r="A104" s="113">
        <f t="shared" si="52"/>
        <v>626</v>
      </c>
      <c r="B104" s="113" t="str">
        <f t="shared" si="53"/>
        <v>a</v>
      </c>
      <c r="C104" s="113" t="str">
        <f t="shared" si="53"/>
        <v>b</v>
      </c>
      <c r="D104" s="113" t="str">
        <f t="shared" si="53"/>
        <v>c</v>
      </c>
      <c r="E104" s="113" t="str">
        <f t="shared" si="53"/>
        <v>d</v>
      </c>
      <c r="F104" s="113" t="str">
        <f t="shared" si="53"/>
        <v>e</v>
      </c>
      <c r="G104" s="113" t="str">
        <f t="shared" si="53"/>
        <v>f</v>
      </c>
      <c r="H104" s="113" t="str">
        <f t="shared" si="53"/>
        <v>g</v>
      </c>
      <c r="I104" s="113" t="str">
        <f t="shared" si="53"/>
        <v>h</v>
      </c>
      <c r="J104" s="113" t="str">
        <f t="shared" si="53"/>
        <v>i</v>
      </c>
      <c r="K104" s="113" t="str">
        <f t="shared" si="53"/>
        <v>j</v>
      </c>
      <c r="L104" s="113" t="str">
        <f t="shared" si="53"/>
        <v>k</v>
      </c>
      <c r="M104" s="113" t="str">
        <f t="shared" si="53"/>
        <v>l</v>
      </c>
      <c r="N104" s="113" t="str">
        <f t="shared" si="53"/>
        <v>m</v>
      </c>
      <c r="O104" s="113">
        <f t="shared" si="53"/>
        <v>0</v>
      </c>
      <c r="P104" s="113">
        <f t="shared" si="53"/>
        <v>0</v>
      </c>
      <c r="Q104" s="113" t="str">
        <f t="shared" si="53"/>
        <v>p</v>
      </c>
      <c r="R104" s="113">
        <f t="shared" si="53"/>
        <v>0</v>
      </c>
      <c r="S104" s="113">
        <f t="shared" si="53"/>
        <v>0</v>
      </c>
      <c r="T104" s="113">
        <f t="shared" si="53"/>
        <v>0</v>
      </c>
      <c r="U104" s="113">
        <f t="shared" si="53"/>
        <v>0</v>
      </c>
      <c r="V104" s="113">
        <f t="shared" si="53"/>
        <v>0</v>
      </c>
      <c r="W104" s="113">
        <f t="shared" si="53"/>
        <v>0</v>
      </c>
      <c r="X104" s="113">
        <f t="shared" si="53"/>
        <v>0</v>
      </c>
      <c r="AA104" s="113">
        <v>15</v>
      </c>
      <c r="AB104" s="112">
        <f t="shared" ca="1" si="54"/>
        <v>37987</v>
      </c>
      <c r="AC104" s="112">
        <f t="shared" ca="1" si="54"/>
        <v>38383</v>
      </c>
      <c r="AF104" s="114">
        <f t="shared" ca="1" si="46"/>
        <v>16918.54</v>
      </c>
      <c r="AG104" s="114">
        <f t="shared" ca="1" si="46"/>
        <v>0</v>
      </c>
      <c r="AH104" s="114">
        <f t="shared" ca="1" si="46"/>
        <v>0</v>
      </c>
      <c r="AI104" s="114">
        <f t="shared" ca="1" si="46"/>
        <v>6459.63</v>
      </c>
      <c r="AJ104" s="114">
        <f t="shared" ca="1" si="46"/>
        <v>0</v>
      </c>
      <c r="AK104" s="114">
        <f t="shared" ca="1" si="46"/>
        <v>1948.18</v>
      </c>
      <c r="AN104">
        <f t="shared" si="49"/>
        <v>104</v>
      </c>
      <c r="AQ104" s="114">
        <f t="shared" ca="1" si="50"/>
        <v>2287.8000000000002</v>
      </c>
      <c r="AW104">
        <v>104</v>
      </c>
      <c r="BG104" s="114">
        <f t="shared" ca="1" si="47"/>
        <v>25665.97</v>
      </c>
      <c r="BI104">
        <f t="shared" si="48"/>
        <v>0</v>
      </c>
    </row>
    <row r="105" spans="1:61" x14ac:dyDescent="0.25">
      <c r="A105" s="113">
        <f t="shared" si="52"/>
        <v>628</v>
      </c>
      <c r="B105" s="113" t="str">
        <f t="shared" si="53"/>
        <v>a</v>
      </c>
      <c r="C105" s="113" t="str">
        <f t="shared" si="53"/>
        <v>b</v>
      </c>
      <c r="D105" s="113" t="str">
        <f t="shared" si="53"/>
        <v>c</v>
      </c>
      <c r="E105" s="113" t="str">
        <f t="shared" si="53"/>
        <v>d</v>
      </c>
      <c r="F105" s="113" t="str">
        <f t="shared" si="53"/>
        <v>e</v>
      </c>
      <c r="G105" s="113" t="str">
        <f t="shared" si="53"/>
        <v>f</v>
      </c>
      <c r="H105" s="113" t="str">
        <f t="shared" si="53"/>
        <v>g</v>
      </c>
      <c r="I105" s="113" t="str">
        <f t="shared" si="53"/>
        <v>h</v>
      </c>
      <c r="J105" s="113" t="str">
        <f t="shared" si="53"/>
        <v>i</v>
      </c>
      <c r="K105" s="113" t="str">
        <f t="shared" si="53"/>
        <v>j</v>
      </c>
      <c r="L105" s="113" t="str">
        <f t="shared" si="53"/>
        <v>k</v>
      </c>
      <c r="M105" s="113" t="str">
        <f t="shared" si="53"/>
        <v>l</v>
      </c>
      <c r="N105" s="113" t="str">
        <f t="shared" si="53"/>
        <v>m</v>
      </c>
      <c r="O105" s="113">
        <f t="shared" si="53"/>
        <v>0</v>
      </c>
      <c r="P105" s="113">
        <f t="shared" si="53"/>
        <v>0</v>
      </c>
      <c r="Q105" s="113" t="str">
        <f t="shared" si="53"/>
        <v>p</v>
      </c>
      <c r="R105" s="113">
        <f t="shared" si="53"/>
        <v>0</v>
      </c>
      <c r="S105" s="113">
        <f t="shared" si="53"/>
        <v>0</v>
      </c>
      <c r="T105" s="113">
        <f t="shared" si="53"/>
        <v>0</v>
      </c>
      <c r="U105" s="113">
        <f t="shared" si="53"/>
        <v>0</v>
      </c>
      <c r="V105" s="113">
        <f t="shared" si="53"/>
        <v>0</v>
      </c>
      <c r="W105" s="113">
        <f t="shared" si="53"/>
        <v>0</v>
      </c>
      <c r="X105" s="113">
        <f t="shared" si="53"/>
        <v>0</v>
      </c>
      <c r="AA105" s="113">
        <v>21</v>
      </c>
      <c r="AB105" s="112">
        <f t="shared" ca="1" si="54"/>
        <v>37987</v>
      </c>
      <c r="AC105" s="112">
        <f t="shared" ca="1" si="54"/>
        <v>38383</v>
      </c>
      <c r="AF105" s="114">
        <f t="shared" ca="1" si="46"/>
        <v>19562.97</v>
      </c>
      <c r="AG105" s="114">
        <f t="shared" ca="1" si="46"/>
        <v>0</v>
      </c>
      <c r="AH105" s="114">
        <f t="shared" ca="1" si="46"/>
        <v>0</v>
      </c>
      <c r="AI105" s="114">
        <f t="shared" ca="1" si="46"/>
        <v>6459.63</v>
      </c>
      <c r="AJ105" s="114">
        <f t="shared" ca="1" si="46"/>
        <v>0</v>
      </c>
      <c r="AK105" s="114">
        <f t="shared" ca="1" si="46"/>
        <v>2168.5500000000002</v>
      </c>
      <c r="AN105">
        <f t="shared" si="49"/>
        <v>105</v>
      </c>
      <c r="AQ105" s="114">
        <f t="shared" ca="1" si="50"/>
        <v>2287.8000000000002</v>
      </c>
      <c r="AW105">
        <v>105</v>
      </c>
      <c r="BG105" s="114">
        <f t="shared" ca="1" si="47"/>
        <v>28310.400000000001</v>
      </c>
      <c r="BI105">
        <f t="shared" si="48"/>
        <v>0</v>
      </c>
    </row>
    <row r="106" spans="1:61" x14ac:dyDescent="0.25">
      <c r="A106" s="113">
        <f t="shared" si="52"/>
        <v>630</v>
      </c>
      <c r="B106" s="113" t="str">
        <f t="shared" si="53"/>
        <v>a</v>
      </c>
      <c r="C106" s="113" t="str">
        <f t="shared" si="53"/>
        <v>b</v>
      </c>
      <c r="D106" s="113" t="str">
        <f t="shared" si="53"/>
        <v>c</v>
      </c>
      <c r="E106" s="113" t="str">
        <f t="shared" si="53"/>
        <v>d</v>
      </c>
      <c r="F106" s="113" t="str">
        <f t="shared" si="53"/>
        <v>e</v>
      </c>
      <c r="G106" s="113" t="str">
        <f t="shared" si="53"/>
        <v>f</v>
      </c>
      <c r="H106" s="113" t="str">
        <f t="shared" si="53"/>
        <v>g</v>
      </c>
      <c r="I106" s="113" t="str">
        <f t="shared" si="53"/>
        <v>h</v>
      </c>
      <c r="J106" s="113" t="str">
        <f t="shared" si="53"/>
        <v>i</v>
      </c>
      <c r="K106" s="113" t="str">
        <f t="shared" si="53"/>
        <v>j</v>
      </c>
      <c r="L106" s="113" t="str">
        <f t="shared" si="53"/>
        <v>k</v>
      </c>
      <c r="M106" s="113" t="str">
        <f t="shared" si="53"/>
        <v>l</v>
      </c>
      <c r="N106" s="113" t="str">
        <f t="shared" si="53"/>
        <v>m</v>
      </c>
      <c r="O106" s="113">
        <f t="shared" si="53"/>
        <v>0</v>
      </c>
      <c r="P106" s="113">
        <f t="shared" si="53"/>
        <v>0</v>
      </c>
      <c r="Q106" s="113" t="str">
        <f t="shared" si="53"/>
        <v>p</v>
      </c>
      <c r="R106" s="113">
        <f t="shared" si="53"/>
        <v>0</v>
      </c>
      <c r="S106" s="113">
        <f t="shared" si="53"/>
        <v>0</v>
      </c>
      <c r="T106" s="113">
        <f t="shared" si="53"/>
        <v>0</v>
      </c>
      <c r="U106" s="113">
        <f t="shared" si="53"/>
        <v>0</v>
      </c>
      <c r="V106" s="113">
        <f t="shared" si="53"/>
        <v>0</v>
      </c>
      <c r="W106" s="113">
        <f t="shared" si="53"/>
        <v>0</v>
      </c>
      <c r="X106" s="113">
        <f t="shared" si="53"/>
        <v>0</v>
      </c>
      <c r="AA106" s="113">
        <v>28</v>
      </c>
      <c r="AB106" s="112">
        <f t="shared" ca="1" si="54"/>
        <v>37987</v>
      </c>
      <c r="AC106" s="112">
        <f t="shared" ca="1" si="54"/>
        <v>38383</v>
      </c>
      <c r="AF106" s="114">
        <f t="shared" ca="1" si="46"/>
        <v>21295.49</v>
      </c>
      <c r="AG106" s="114">
        <f t="shared" ca="1" si="46"/>
        <v>0</v>
      </c>
      <c r="AH106" s="114">
        <f t="shared" ca="1" si="46"/>
        <v>0</v>
      </c>
      <c r="AI106" s="114">
        <f t="shared" ca="1" si="46"/>
        <v>6459.63</v>
      </c>
      <c r="AJ106" s="114">
        <f t="shared" ca="1" si="46"/>
        <v>0</v>
      </c>
      <c r="AK106" s="114">
        <f t="shared" ca="1" si="46"/>
        <v>2312.9299999999998</v>
      </c>
      <c r="AN106">
        <f t="shared" si="49"/>
        <v>106</v>
      </c>
      <c r="AQ106" s="114">
        <f t="shared" ca="1" si="50"/>
        <v>2870.04</v>
      </c>
      <c r="AW106">
        <v>106</v>
      </c>
      <c r="BG106" s="114">
        <f t="shared" ca="1" si="47"/>
        <v>30625.160000000003</v>
      </c>
      <c r="BI106">
        <f t="shared" si="48"/>
        <v>0</v>
      </c>
    </row>
    <row r="107" spans="1:61" x14ac:dyDescent="0.25">
      <c r="A107" s="113">
        <f t="shared" si="52"/>
        <v>632</v>
      </c>
      <c r="B107" s="113" t="str">
        <f t="shared" si="53"/>
        <v>a</v>
      </c>
      <c r="C107" s="113" t="str">
        <f t="shared" si="53"/>
        <v>b</v>
      </c>
      <c r="D107" s="113" t="str">
        <f t="shared" si="53"/>
        <v>c</v>
      </c>
      <c r="E107" s="113" t="str">
        <f t="shared" si="53"/>
        <v>d</v>
      </c>
      <c r="F107" s="113" t="str">
        <f t="shared" si="53"/>
        <v>e</v>
      </c>
      <c r="G107" s="113" t="str">
        <f t="shared" si="53"/>
        <v>f</v>
      </c>
      <c r="H107" s="113" t="str">
        <f t="shared" si="53"/>
        <v>g</v>
      </c>
      <c r="I107" s="113" t="str">
        <f t="shared" si="53"/>
        <v>h</v>
      </c>
      <c r="J107" s="113" t="str">
        <f t="shared" si="53"/>
        <v>i</v>
      </c>
      <c r="K107" s="113" t="str">
        <f t="shared" si="53"/>
        <v>j</v>
      </c>
      <c r="L107" s="113" t="str">
        <f t="shared" si="53"/>
        <v>k</v>
      </c>
      <c r="M107" s="113" t="str">
        <f t="shared" si="53"/>
        <v>l</v>
      </c>
      <c r="N107" s="113" t="str">
        <f t="shared" si="53"/>
        <v>m</v>
      </c>
      <c r="O107" s="113">
        <f t="shared" si="53"/>
        <v>0</v>
      </c>
      <c r="P107" s="113">
        <f t="shared" si="53"/>
        <v>0</v>
      </c>
      <c r="Q107" s="113" t="str">
        <f t="shared" si="53"/>
        <v>p</v>
      </c>
      <c r="R107" s="113">
        <f t="shared" si="53"/>
        <v>0</v>
      </c>
      <c r="S107" s="113">
        <f t="shared" si="53"/>
        <v>0</v>
      </c>
      <c r="T107" s="113">
        <f t="shared" si="53"/>
        <v>0</v>
      </c>
      <c r="U107" s="113">
        <f t="shared" si="53"/>
        <v>0</v>
      </c>
      <c r="V107" s="113">
        <f t="shared" si="53"/>
        <v>0</v>
      </c>
      <c r="W107" s="113">
        <f t="shared" si="53"/>
        <v>0</v>
      </c>
      <c r="X107" s="113">
        <f t="shared" si="53"/>
        <v>0</v>
      </c>
      <c r="AA107" s="113">
        <v>35</v>
      </c>
      <c r="AB107" s="112">
        <f t="shared" ca="1" si="54"/>
        <v>37987</v>
      </c>
      <c r="AC107" s="112">
        <f t="shared" ca="1" si="54"/>
        <v>38383</v>
      </c>
      <c r="AF107" s="114">
        <f t="shared" ca="1" si="46"/>
        <v>22676.65</v>
      </c>
      <c r="AG107" s="114">
        <f t="shared" ca="1" si="46"/>
        <v>0</v>
      </c>
      <c r="AH107" s="114">
        <f t="shared" ca="1" si="46"/>
        <v>0</v>
      </c>
      <c r="AI107" s="114">
        <f t="shared" ca="1" si="46"/>
        <v>6459.63</v>
      </c>
      <c r="AJ107" s="114">
        <f t="shared" ca="1" si="46"/>
        <v>0</v>
      </c>
      <c r="AK107" s="114">
        <f t="shared" ca="1" si="46"/>
        <v>2428.02</v>
      </c>
      <c r="AN107">
        <f t="shared" si="49"/>
        <v>107</v>
      </c>
      <c r="AQ107" s="114">
        <f t="shared" ca="1" si="50"/>
        <v>2870.04</v>
      </c>
      <c r="AW107">
        <v>107</v>
      </c>
      <c r="BG107" s="114">
        <f t="shared" ca="1" si="47"/>
        <v>32006.320000000003</v>
      </c>
      <c r="BI107">
        <f t="shared" si="48"/>
        <v>0</v>
      </c>
    </row>
    <row r="108" spans="1:61" x14ac:dyDescent="0.25">
      <c r="A108" s="113">
        <f>A101+20</f>
        <v>640</v>
      </c>
      <c r="B108" s="113" t="str">
        <f>B101</f>
        <v>a</v>
      </c>
      <c r="C108" s="113" t="str">
        <f t="shared" ref="C108:X108" si="55">C101</f>
        <v>b</v>
      </c>
      <c r="D108" s="113" t="str">
        <f t="shared" si="55"/>
        <v>c</v>
      </c>
      <c r="E108" s="113" t="str">
        <f t="shared" si="55"/>
        <v>d</v>
      </c>
      <c r="F108" s="113" t="str">
        <f t="shared" si="55"/>
        <v>e</v>
      </c>
      <c r="G108" s="113" t="str">
        <f t="shared" si="55"/>
        <v>f</v>
      </c>
      <c r="H108" s="113" t="str">
        <f t="shared" si="55"/>
        <v>g</v>
      </c>
      <c r="I108" s="113" t="str">
        <f t="shared" si="55"/>
        <v>h</v>
      </c>
      <c r="J108" s="113" t="str">
        <f t="shared" si="55"/>
        <v>i</v>
      </c>
      <c r="K108" s="113" t="str">
        <f t="shared" si="55"/>
        <v>j</v>
      </c>
      <c r="L108" s="113" t="str">
        <f t="shared" si="55"/>
        <v>k</v>
      </c>
      <c r="M108" s="113" t="str">
        <f t="shared" si="55"/>
        <v>l</v>
      </c>
      <c r="N108" s="113" t="str">
        <f t="shared" si="55"/>
        <v>m</v>
      </c>
      <c r="O108" s="113">
        <f t="shared" si="55"/>
        <v>0</v>
      </c>
      <c r="P108" s="113">
        <f t="shared" si="55"/>
        <v>0</v>
      </c>
      <c r="Q108" s="113" t="str">
        <f t="shared" si="55"/>
        <v>p</v>
      </c>
      <c r="R108" s="113">
        <f t="shared" si="55"/>
        <v>0</v>
      </c>
      <c r="S108" s="113">
        <f t="shared" si="55"/>
        <v>0</v>
      </c>
      <c r="T108" s="113">
        <f t="shared" si="55"/>
        <v>0</v>
      </c>
      <c r="U108" s="113">
        <f t="shared" si="55"/>
        <v>0</v>
      </c>
      <c r="V108" s="113">
        <f t="shared" si="55"/>
        <v>0</v>
      </c>
      <c r="W108" s="113">
        <f t="shared" si="55"/>
        <v>0</v>
      </c>
      <c r="X108" s="113">
        <f t="shared" si="55"/>
        <v>0</v>
      </c>
      <c r="AA108" s="113">
        <v>0</v>
      </c>
      <c r="AB108" s="112">
        <f ca="1">INDIRECT(CONCATENATE($AB$10,CONCATENATE(B108,$A108)))</f>
        <v>38384</v>
      </c>
      <c r="AC108" s="112">
        <f ca="1">INDIRECT(CONCATENATE($AB$10,CONCATENATE(C108,$A108)))</f>
        <v>38717</v>
      </c>
      <c r="AF108" s="114">
        <f t="shared" ca="1" si="46"/>
        <v>12622.8</v>
      </c>
      <c r="AG108" s="114">
        <f ca="1">INDIRECT(CONCATENATE($AB$10,CONCATENATE(G108,$A108)))</f>
        <v>0</v>
      </c>
      <c r="AH108" s="114">
        <f ca="1">INDIRECT(CONCATENATE($AB$10,CONCATENATE(H108,$A108)))</f>
        <v>0</v>
      </c>
      <c r="AI108" s="114">
        <f ca="1">INDIRECT(CONCATENATE($AB$10,CONCATENATE(I108,$A108)))</f>
        <v>6459.63</v>
      </c>
      <c r="AJ108" s="114">
        <f ca="1">INDIRECT(CONCATENATE($AB$10,CONCATENATE(J108,$A108)))</f>
        <v>0</v>
      </c>
      <c r="AK108" s="114">
        <f ca="1">INDIRECT(CONCATENATE($AB$10,CONCATENATE(K108,$A108)))</f>
        <v>1590.2</v>
      </c>
      <c r="AN108">
        <f t="shared" si="49"/>
        <v>108</v>
      </c>
      <c r="AQ108" s="114">
        <f t="shared" ca="1" si="50"/>
        <v>1857.84</v>
      </c>
      <c r="AW108">
        <v>108</v>
      </c>
      <c r="BG108" s="114">
        <f t="shared" ca="1" si="47"/>
        <v>20940.27</v>
      </c>
      <c r="BI108">
        <f t="shared" si="48"/>
        <v>0</v>
      </c>
    </row>
    <row r="109" spans="1:61" x14ac:dyDescent="0.25">
      <c r="A109" s="113">
        <f t="shared" ref="A109:A114" si="56">A108+2</f>
        <v>642</v>
      </c>
      <c r="B109" s="113" t="str">
        <f t="shared" ref="B109:X114" si="57">B108</f>
        <v>a</v>
      </c>
      <c r="C109" s="113" t="str">
        <f t="shared" si="57"/>
        <v>b</v>
      </c>
      <c r="D109" s="113" t="str">
        <f t="shared" si="57"/>
        <v>c</v>
      </c>
      <c r="E109" s="113" t="str">
        <f t="shared" si="57"/>
        <v>d</v>
      </c>
      <c r="F109" s="113" t="str">
        <f t="shared" si="57"/>
        <v>e</v>
      </c>
      <c r="G109" s="113" t="str">
        <f t="shared" si="57"/>
        <v>f</v>
      </c>
      <c r="H109" s="113" t="str">
        <f t="shared" si="57"/>
        <v>g</v>
      </c>
      <c r="I109" s="113" t="str">
        <f t="shared" si="57"/>
        <v>h</v>
      </c>
      <c r="J109" s="113" t="str">
        <f t="shared" si="57"/>
        <v>i</v>
      </c>
      <c r="K109" s="113" t="str">
        <f t="shared" si="57"/>
        <v>j</v>
      </c>
      <c r="L109" s="113" t="str">
        <f t="shared" si="57"/>
        <v>k</v>
      </c>
      <c r="M109" s="113" t="str">
        <f t="shared" si="57"/>
        <v>l</v>
      </c>
      <c r="N109" s="113" t="str">
        <f t="shared" si="57"/>
        <v>m</v>
      </c>
      <c r="O109" s="113">
        <f t="shared" si="57"/>
        <v>0</v>
      </c>
      <c r="P109" s="113">
        <f t="shared" si="57"/>
        <v>0</v>
      </c>
      <c r="Q109" s="113" t="str">
        <f t="shared" si="57"/>
        <v>p</v>
      </c>
      <c r="R109" s="113">
        <f t="shared" si="57"/>
        <v>0</v>
      </c>
      <c r="S109" s="113">
        <f t="shared" si="57"/>
        <v>0</v>
      </c>
      <c r="T109" s="113">
        <f t="shared" si="57"/>
        <v>0</v>
      </c>
      <c r="U109" s="113">
        <f t="shared" si="57"/>
        <v>0</v>
      </c>
      <c r="V109" s="113">
        <f t="shared" si="57"/>
        <v>0</v>
      </c>
      <c r="W109" s="113">
        <f t="shared" si="57"/>
        <v>0</v>
      </c>
      <c r="X109" s="113">
        <f t="shared" si="57"/>
        <v>0</v>
      </c>
      <c r="AA109" s="113">
        <v>3</v>
      </c>
      <c r="AB109" s="112">
        <f t="shared" ref="AB109:AC114" ca="1" si="58">AB108</f>
        <v>38384</v>
      </c>
      <c r="AC109" s="112">
        <f t="shared" ca="1" si="58"/>
        <v>38717</v>
      </c>
      <c r="AF109" s="114">
        <f t="shared" ca="1" si="46"/>
        <v>13703.98</v>
      </c>
      <c r="AG109" s="114">
        <f t="shared" ca="1" si="46"/>
        <v>0</v>
      </c>
      <c r="AH109" s="114">
        <f t="shared" ca="1" si="46"/>
        <v>0</v>
      </c>
      <c r="AI109" s="114">
        <f t="shared" ca="1" si="46"/>
        <v>6459.63</v>
      </c>
      <c r="AJ109" s="114">
        <f t="shared" ca="1" si="46"/>
        <v>0</v>
      </c>
      <c r="AK109" s="114">
        <f t="shared" ca="1" si="46"/>
        <v>1680.3</v>
      </c>
      <c r="AN109">
        <f t="shared" si="49"/>
        <v>109</v>
      </c>
      <c r="AQ109" s="114">
        <f t="shared" ca="1" si="50"/>
        <v>1857.84</v>
      </c>
      <c r="AW109">
        <v>109</v>
      </c>
      <c r="BG109" s="114">
        <f t="shared" ca="1" si="47"/>
        <v>22021.45</v>
      </c>
      <c r="BI109">
        <f t="shared" si="48"/>
        <v>0</v>
      </c>
    </row>
    <row r="110" spans="1:61" x14ac:dyDescent="0.25">
      <c r="A110" s="113">
        <f t="shared" si="56"/>
        <v>644</v>
      </c>
      <c r="B110" s="113" t="str">
        <f t="shared" si="57"/>
        <v>a</v>
      </c>
      <c r="C110" s="113" t="str">
        <f t="shared" si="57"/>
        <v>b</v>
      </c>
      <c r="D110" s="113" t="str">
        <f t="shared" si="57"/>
        <v>c</v>
      </c>
      <c r="E110" s="113" t="str">
        <f t="shared" si="57"/>
        <v>d</v>
      </c>
      <c r="F110" s="113" t="str">
        <f t="shared" si="57"/>
        <v>e</v>
      </c>
      <c r="G110" s="113" t="str">
        <f t="shared" si="57"/>
        <v>f</v>
      </c>
      <c r="H110" s="113" t="str">
        <f t="shared" si="57"/>
        <v>g</v>
      </c>
      <c r="I110" s="113" t="str">
        <f t="shared" si="57"/>
        <v>h</v>
      </c>
      <c r="J110" s="113" t="str">
        <f t="shared" si="57"/>
        <v>i</v>
      </c>
      <c r="K110" s="113" t="str">
        <f t="shared" si="57"/>
        <v>j</v>
      </c>
      <c r="L110" s="113" t="str">
        <f t="shared" si="57"/>
        <v>k</v>
      </c>
      <c r="M110" s="113" t="str">
        <f t="shared" si="57"/>
        <v>l</v>
      </c>
      <c r="N110" s="113" t="str">
        <f t="shared" si="57"/>
        <v>m</v>
      </c>
      <c r="O110" s="113">
        <f t="shared" si="57"/>
        <v>0</v>
      </c>
      <c r="P110" s="113">
        <f t="shared" si="57"/>
        <v>0</v>
      </c>
      <c r="Q110" s="113" t="str">
        <f t="shared" si="57"/>
        <v>p</v>
      </c>
      <c r="R110" s="113">
        <f t="shared" si="57"/>
        <v>0</v>
      </c>
      <c r="S110" s="113">
        <f t="shared" si="57"/>
        <v>0</v>
      </c>
      <c r="T110" s="113">
        <f t="shared" si="57"/>
        <v>0</v>
      </c>
      <c r="U110" s="113">
        <f t="shared" si="57"/>
        <v>0</v>
      </c>
      <c r="V110" s="113">
        <f t="shared" si="57"/>
        <v>0</v>
      </c>
      <c r="W110" s="113">
        <f t="shared" si="57"/>
        <v>0</v>
      </c>
      <c r="X110" s="113">
        <f t="shared" si="57"/>
        <v>0</v>
      </c>
      <c r="AA110" s="113">
        <v>9</v>
      </c>
      <c r="AB110" s="112">
        <f t="shared" ca="1" si="58"/>
        <v>38384</v>
      </c>
      <c r="AC110" s="112">
        <f t="shared" ca="1" si="58"/>
        <v>38717</v>
      </c>
      <c r="AF110" s="114">
        <f t="shared" ca="1" si="46"/>
        <v>15433.73</v>
      </c>
      <c r="AG110" s="114">
        <f t="shared" ca="1" si="46"/>
        <v>0</v>
      </c>
      <c r="AH110" s="114">
        <f t="shared" ca="1" si="46"/>
        <v>0</v>
      </c>
      <c r="AI110" s="114">
        <f t="shared" ca="1" si="46"/>
        <v>6459.63</v>
      </c>
      <c r="AJ110" s="114">
        <f t="shared" ca="1" si="46"/>
        <v>0</v>
      </c>
      <c r="AK110" s="114">
        <f t="shared" ca="1" si="46"/>
        <v>1824.45</v>
      </c>
      <c r="AN110">
        <f t="shared" si="49"/>
        <v>110</v>
      </c>
      <c r="AQ110" s="114">
        <f t="shared" ca="1" si="50"/>
        <v>1857.84</v>
      </c>
      <c r="AW110">
        <v>110</v>
      </c>
      <c r="BG110" s="114">
        <f t="shared" ca="1" si="47"/>
        <v>23751.200000000001</v>
      </c>
      <c r="BI110">
        <f t="shared" si="48"/>
        <v>0</v>
      </c>
    </row>
    <row r="111" spans="1:61" x14ac:dyDescent="0.25">
      <c r="A111" s="113">
        <f t="shared" si="56"/>
        <v>646</v>
      </c>
      <c r="B111" s="113" t="str">
        <f t="shared" si="57"/>
        <v>a</v>
      </c>
      <c r="C111" s="113" t="str">
        <f t="shared" si="57"/>
        <v>b</v>
      </c>
      <c r="D111" s="113" t="str">
        <f t="shared" si="57"/>
        <v>c</v>
      </c>
      <c r="E111" s="113" t="str">
        <f t="shared" si="57"/>
        <v>d</v>
      </c>
      <c r="F111" s="113" t="str">
        <f t="shared" si="57"/>
        <v>e</v>
      </c>
      <c r="G111" s="113" t="str">
        <f t="shared" si="57"/>
        <v>f</v>
      </c>
      <c r="H111" s="113" t="str">
        <f t="shared" si="57"/>
        <v>g</v>
      </c>
      <c r="I111" s="113" t="str">
        <f t="shared" si="57"/>
        <v>h</v>
      </c>
      <c r="J111" s="113" t="str">
        <f t="shared" si="57"/>
        <v>i</v>
      </c>
      <c r="K111" s="113" t="str">
        <f t="shared" si="57"/>
        <v>j</v>
      </c>
      <c r="L111" s="113" t="str">
        <f t="shared" si="57"/>
        <v>k</v>
      </c>
      <c r="M111" s="113" t="str">
        <f t="shared" si="57"/>
        <v>l</v>
      </c>
      <c r="N111" s="113" t="str">
        <f t="shared" si="57"/>
        <v>m</v>
      </c>
      <c r="O111" s="113">
        <f t="shared" si="57"/>
        <v>0</v>
      </c>
      <c r="P111" s="113">
        <f t="shared" si="57"/>
        <v>0</v>
      </c>
      <c r="Q111" s="113" t="str">
        <f t="shared" si="57"/>
        <v>p</v>
      </c>
      <c r="R111" s="113">
        <f t="shared" si="57"/>
        <v>0</v>
      </c>
      <c r="S111" s="113">
        <f t="shared" si="57"/>
        <v>0</v>
      </c>
      <c r="T111" s="113">
        <f t="shared" si="57"/>
        <v>0</v>
      </c>
      <c r="U111" s="113">
        <f t="shared" si="57"/>
        <v>0</v>
      </c>
      <c r="V111" s="113">
        <f t="shared" si="57"/>
        <v>0</v>
      </c>
      <c r="W111" s="113">
        <f t="shared" si="57"/>
        <v>0</v>
      </c>
      <c r="X111" s="113">
        <f t="shared" si="57"/>
        <v>0</v>
      </c>
      <c r="AA111" s="113">
        <v>15</v>
      </c>
      <c r="AB111" s="112">
        <f t="shared" ca="1" si="58"/>
        <v>38384</v>
      </c>
      <c r="AC111" s="112">
        <f t="shared" ca="1" si="58"/>
        <v>38717</v>
      </c>
      <c r="AF111" s="114">
        <f t="shared" ca="1" si="46"/>
        <v>17567.62</v>
      </c>
      <c r="AG111" s="114">
        <f t="shared" ca="1" si="46"/>
        <v>0</v>
      </c>
      <c r="AH111" s="114">
        <f t="shared" ca="1" si="46"/>
        <v>0</v>
      </c>
      <c r="AI111" s="114">
        <f t="shared" ca="1" si="46"/>
        <v>6459.63</v>
      </c>
      <c r="AJ111" s="114">
        <f t="shared" ca="1" si="46"/>
        <v>0</v>
      </c>
      <c r="AK111" s="114">
        <f t="shared" ca="1" si="46"/>
        <v>2002.27</v>
      </c>
      <c r="AN111">
        <f t="shared" si="49"/>
        <v>111</v>
      </c>
      <c r="AQ111" s="114">
        <f t="shared" ca="1" si="50"/>
        <v>2287.8000000000002</v>
      </c>
      <c r="AW111">
        <v>111</v>
      </c>
      <c r="BG111" s="114">
        <f t="shared" ca="1" si="47"/>
        <v>26315.05</v>
      </c>
      <c r="BI111">
        <f t="shared" si="48"/>
        <v>0</v>
      </c>
    </row>
    <row r="112" spans="1:61" x14ac:dyDescent="0.25">
      <c r="A112" s="113">
        <f t="shared" si="56"/>
        <v>648</v>
      </c>
      <c r="B112" s="113" t="str">
        <f t="shared" si="57"/>
        <v>a</v>
      </c>
      <c r="C112" s="113" t="str">
        <f t="shared" si="57"/>
        <v>b</v>
      </c>
      <c r="D112" s="113" t="str">
        <f t="shared" si="57"/>
        <v>c</v>
      </c>
      <c r="E112" s="113" t="str">
        <f t="shared" si="57"/>
        <v>d</v>
      </c>
      <c r="F112" s="113" t="str">
        <f t="shared" si="57"/>
        <v>e</v>
      </c>
      <c r="G112" s="113" t="str">
        <f t="shared" si="57"/>
        <v>f</v>
      </c>
      <c r="H112" s="113" t="str">
        <f t="shared" si="57"/>
        <v>g</v>
      </c>
      <c r="I112" s="113" t="str">
        <f t="shared" si="57"/>
        <v>h</v>
      </c>
      <c r="J112" s="113" t="str">
        <f t="shared" si="57"/>
        <v>i</v>
      </c>
      <c r="K112" s="113" t="str">
        <f t="shared" si="57"/>
        <v>j</v>
      </c>
      <c r="L112" s="113" t="str">
        <f t="shared" si="57"/>
        <v>k</v>
      </c>
      <c r="M112" s="113" t="str">
        <f t="shared" si="57"/>
        <v>l</v>
      </c>
      <c r="N112" s="113" t="str">
        <f t="shared" si="57"/>
        <v>m</v>
      </c>
      <c r="O112" s="113">
        <f t="shared" si="57"/>
        <v>0</v>
      </c>
      <c r="P112" s="113">
        <f t="shared" si="57"/>
        <v>0</v>
      </c>
      <c r="Q112" s="113" t="str">
        <f t="shared" si="57"/>
        <v>p</v>
      </c>
      <c r="R112" s="113">
        <f t="shared" si="57"/>
        <v>0</v>
      </c>
      <c r="S112" s="113">
        <f t="shared" si="57"/>
        <v>0</v>
      </c>
      <c r="T112" s="113">
        <f t="shared" si="57"/>
        <v>0</v>
      </c>
      <c r="U112" s="113">
        <f t="shared" si="57"/>
        <v>0</v>
      </c>
      <c r="V112" s="113">
        <f t="shared" si="57"/>
        <v>0</v>
      </c>
      <c r="W112" s="113">
        <f t="shared" si="57"/>
        <v>0</v>
      </c>
      <c r="X112" s="113">
        <f t="shared" si="57"/>
        <v>0</v>
      </c>
      <c r="AA112" s="113">
        <v>21</v>
      </c>
      <c r="AB112" s="112">
        <f t="shared" ca="1" si="58"/>
        <v>38384</v>
      </c>
      <c r="AC112" s="112">
        <f t="shared" ca="1" si="58"/>
        <v>38717</v>
      </c>
      <c r="AF112" s="114">
        <f t="shared" ca="1" si="46"/>
        <v>20285.490000000002</v>
      </c>
      <c r="AG112" s="114">
        <f t="shared" ca="1" si="46"/>
        <v>0</v>
      </c>
      <c r="AH112" s="114">
        <f t="shared" ca="1" si="46"/>
        <v>0</v>
      </c>
      <c r="AI112" s="114">
        <f t="shared" ca="1" si="46"/>
        <v>6459.63</v>
      </c>
      <c r="AJ112" s="114">
        <f t="shared" ca="1" si="46"/>
        <v>0</v>
      </c>
      <c r="AK112" s="114">
        <f t="shared" ca="1" si="46"/>
        <v>2228.7600000000002</v>
      </c>
      <c r="AN112">
        <f t="shared" si="49"/>
        <v>112</v>
      </c>
      <c r="AQ112" s="114">
        <f t="shared" ca="1" si="50"/>
        <v>2287.8000000000002</v>
      </c>
      <c r="AW112">
        <v>112</v>
      </c>
      <c r="BG112" s="114">
        <f t="shared" ca="1" si="47"/>
        <v>29032.920000000002</v>
      </c>
      <c r="BI112">
        <f t="shared" si="48"/>
        <v>0</v>
      </c>
    </row>
    <row r="113" spans="1:61" x14ac:dyDescent="0.25">
      <c r="A113" s="113">
        <f t="shared" si="56"/>
        <v>650</v>
      </c>
      <c r="B113" s="113" t="str">
        <f t="shared" si="57"/>
        <v>a</v>
      </c>
      <c r="C113" s="113" t="str">
        <f t="shared" si="57"/>
        <v>b</v>
      </c>
      <c r="D113" s="113" t="str">
        <f t="shared" si="57"/>
        <v>c</v>
      </c>
      <c r="E113" s="113" t="str">
        <f t="shared" si="57"/>
        <v>d</v>
      </c>
      <c r="F113" s="113" t="str">
        <f t="shared" si="57"/>
        <v>e</v>
      </c>
      <c r="G113" s="113" t="str">
        <f t="shared" si="57"/>
        <v>f</v>
      </c>
      <c r="H113" s="113" t="str">
        <f t="shared" si="57"/>
        <v>g</v>
      </c>
      <c r="I113" s="113" t="str">
        <f t="shared" si="57"/>
        <v>h</v>
      </c>
      <c r="J113" s="113" t="str">
        <f t="shared" si="57"/>
        <v>i</v>
      </c>
      <c r="K113" s="113" t="str">
        <f t="shared" si="57"/>
        <v>j</v>
      </c>
      <c r="L113" s="113" t="str">
        <f t="shared" si="57"/>
        <v>k</v>
      </c>
      <c r="M113" s="113" t="str">
        <f t="shared" si="57"/>
        <v>l</v>
      </c>
      <c r="N113" s="113" t="str">
        <f t="shared" si="57"/>
        <v>m</v>
      </c>
      <c r="O113" s="113">
        <f t="shared" si="57"/>
        <v>0</v>
      </c>
      <c r="P113" s="113">
        <f t="shared" si="57"/>
        <v>0</v>
      </c>
      <c r="Q113" s="113" t="str">
        <f t="shared" si="57"/>
        <v>p</v>
      </c>
      <c r="R113" s="113">
        <f t="shared" si="57"/>
        <v>0</v>
      </c>
      <c r="S113" s="113">
        <f t="shared" si="57"/>
        <v>0</v>
      </c>
      <c r="T113" s="113">
        <f t="shared" si="57"/>
        <v>0</v>
      </c>
      <c r="U113" s="113">
        <f t="shared" si="57"/>
        <v>0</v>
      </c>
      <c r="V113" s="113">
        <f t="shared" si="57"/>
        <v>0</v>
      </c>
      <c r="W113" s="113">
        <f t="shared" si="57"/>
        <v>0</v>
      </c>
      <c r="X113" s="113">
        <f t="shared" si="57"/>
        <v>0</v>
      </c>
      <c r="AA113" s="113">
        <v>28</v>
      </c>
      <c r="AB113" s="112">
        <f t="shared" ca="1" si="58"/>
        <v>38384</v>
      </c>
      <c r="AC113" s="112">
        <f t="shared" ca="1" si="58"/>
        <v>38717</v>
      </c>
      <c r="AF113" s="114">
        <f t="shared" ca="1" si="46"/>
        <v>22066.13</v>
      </c>
      <c r="AG113" s="114">
        <f t="shared" ca="1" si="46"/>
        <v>0</v>
      </c>
      <c r="AH113" s="114">
        <f t="shared" ca="1" si="46"/>
        <v>0</v>
      </c>
      <c r="AI113" s="114">
        <f t="shared" ca="1" si="46"/>
        <v>6459.63</v>
      </c>
      <c r="AJ113" s="114">
        <f t="shared" ca="1" si="46"/>
        <v>0</v>
      </c>
      <c r="AK113" s="114">
        <f t="shared" ca="1" si="46"/>
        <v>2377.15</v>
      </c>
      <c r="AN113">
        <f t="shared" si="49"/>
        <v>113</v>
      </c>
      <c r="AQ113" s="114">
        <f t="shared" ca="1" si="50"/>
        <v>2870.04</v>
      </c>
      <c r="AW113">
        <v>113</v>
      </c>
      <c r="BG113" s="114">
        <f t="shared" ca="1" si="47"/>
        <v>31395.800000000003</v>
      </c>
      <c r="BI113">
        <f t="shared" si="48"/>
        <v>0</v>
      </c>
    </row>
    <row r="114" spans="1:61" x14ac:dyDescent="0.25">
      <c r="A114" s="113">
        <f t="shared" si="56"/>
        <v>652</v>
      </c>
      <c r="B114" s="113" t="str">
        <f t="shared" si="57"/>
        <v>a</v>
      </c>
      <c r="C114" s="113" t="str">
        <f t="shared" si="57"/>
        <v>b</v>
      </c>
      <c r="D114" s="113" t="str">
        <f t="shared" si="57"/>
        <v>c</v>
      </c>
      <c r="E114" s="113" t="str">
        <f t="shared" si="57"/>
        <v>d</v>
      </c>
      <c r="F114" s="113" t="str">
        <f t="shared" si="57"/>
        <v>e</v>
      </c>
      <c r="G114" s="113" t="str">
        <f t="shared" si="57"/>
        <v>f</v>
      </c>
      <c r="H114" s="113" t="str">
        <f t="shared" si="57"/>
        <v>g</v>
      </c>
      <c r="I114" s="113" t="str">
        <f t="shared" si="57"/>
        <v>h</v>
      </c>
      <c r="J114" s="113" t="str">
        <f t="shared" si="57"/>
        <v>i</v>
      </c>
      <c r="K114" s="113" t="str">
        <f t="shared" si="57"/>
        <v>j</v>
      </c>
      <c r="L114" s="113" t="str">
        <f t="shared" si="57"/>
        <v>k</v>
      </c>
      <c r="M114" s="113" t="str">
        <f t="shared" si="57"/>
        <v>l</v>
      </c>
      <c r="N114" s="113" t="str">
        <f t="shared" si="57"/>
        <v>m</v>
      </c>
      <c r="O114" s="113">
        <f t="shared" si="57"/>
        <v>0</v>
      </c>
      <c r="P114" s="113">
        <f t="shared" si="57"/>
        <v>0</v>
      </c>
      <c r="Q114" s="113" t="str">
        <f t="shared" si="57"/>
        <v>p</v>
      </c>
      <c r="R114" s="113">
        <f t="shared" si="57"/>
        <v>0</v>
      </c>
      <c r="S114" s="113">
        <f t="shared" si="57"/>
        <v>0</v>
      </c>
      <c r="T114" s="113">
        <f t="shared" si="57"/>
        <v>0</v>
      </c>
      <c r="U114" s="113">
        <f t="shared" si="57"/>
        <v>0</v>
      </c>
      <c r="V114" s="113">
        <f t="shared" si="57"/>
        <v>0</v>
      </c>
      <c r="W114" s="113">
        <f t="shared" si="57"/>
        <v>0</v>
      </c>
      <c r="X114" s="113">
        <f t="shared" si="57"/>
        <v>0</v>
      </c>
      <c r="AA114" s="113">
        <v>35</v>
      </c>
      <c r="AB114" s="112">
        <f t="shared" ca="1" si="58"/>
        <v>38384</v>
      </c>
      <c r="AC114" s="112">
        <f t="shared" ca="1" si="58"/>
        <v>38717</v>
      </c>
      <c r="AF114" s="114">
        <f t="shared" ca="1" si="46"/>
        <v>23485.69</v>
      </c>
      <c r="AG114" s="114">
        <f t="shared" ca="1" si="46"/>
        <v>0</v>
      </c>
      <c r="AH114" s="114">
        <f t="shared" ca="1" si="46"/>
        <v>0</v>
      </c>
      <c r="AI114" s="114">
        <f t="shared" ca="1" si="46"/>
        <v>6459.63</v>
      </c>
      <c r="AJ114" s="114">
        <f t="shared" ca="1" si="46"/>
        <v>0</v>
      </c>
      <c r="AK114" s="114">
        <f t="shared" ca="1" si="46"/>
        <v>2495.44</v>
      </c>
      <c r="AN114">
        <f t="shared" si="49"/>
        <v>114</v>
      </c>
      <c r="AQ114" s="114">
        <f t="shared" ca="1" si="50"/>
        <v>2870.04</v>
      </c>
      <c r="AW114">
        <v>114</v>
      </c>
      <c r="BG114" s="114">
        <f t="shared" ca="1" si="47"/>
        <v>32815.360000000001</v>
      </c>
      <c r="BI114">
        <f t="shared" si="48"/>
        <v>0</v>
      </c>
    </row>
    <row r="115" spans="1:61" x14ac:dyDescent="0.25">
      <c r="A115" s="113">
        <f>A108+20</f>
        <v>660</v>
      </c>
      <c r="B115" s="113" t="str">
        <f>B108</f>
        <v>a</v>
      </c>
      <c r="C115" s="113" t="str">
        <f t="shared" ref="C115:X115" si="59">C108</f>
        <v>b</v>
      </c>
      <c r="D115" s="113" t="str">
        <f t="shared" si="59"/>
        <v>c</v>
      </c>
      <c r="E115" s="113" t="str">
        <f t="shared" si="59"/>
        <v>d</v>
      </c>
      <c r="F115" s="113" t="str">
        <f t="shared" si="59"/>
        <v>e</v>
      </c>
      <c r="G115" s="113" t="str">
        <f t="shared" si="59"/>
        <v>f</v>
      </c>
      <c r="H115" s="113" t="str">
        <f t="shared" si="59"/>
        <v>g</v>
      </c>
      <c r="I115" s="113" t="str">
        <f t="shared" si="59"/>
        <v>h</v>
      </c>
      <c r="J115" s="113" t="str">
        <f t="shared" si="59"/>
        <v>i</v>
      </c>
      <c r="K115" s="113" t="str">
        <f t="shared" si="59"/>
        <v>j</v>
      </c>
      <c r="L115" s="113" t="str">
        <f t="shared" si="59"/>
        <v>k</v>
      </c>
      <c r="M115" s="113" t="str">
        <f t="shared" si="59"/>
        <v>l</v>
      </c>
      <c r="N115" s="113" t="str">
        <f t="shared" si="59"/>
        <v>m</v>
      </c>
      <c r="O115" s="113">
        <f t="shared" si="59"/>
        <v>0</v>
      </c>
      <c r="P115" s="113">
        <f t="shared" si="59"/>
        <v>0</v>
      </c>
      <c r="Q115" s="113" t="str">
        <f t="shared" si="59"/>
        <v>p</v>
      </c>
      <c r="R115" s="113">
        <f t="shared" si="59"/>
        <v>0</v>
      </c>
      <c r="S115" s="113">
        <f t="shared" si="59"/>
        <v>0</v>
      </c>
      <c r="T115" s="113">
        <f t="shared" si="59"/>
        <v>0</v>
      </c>
      <c r="U115" s="113">
        <f t="shared" si="59"/>
        <v>0</v>
      </c>
      <c r="V115" s="113">
        <f t="shared" si="59"/>
        <v>0</v>
      </c>
      <c r="W115" s="113">
        <f t="shared" si="59"/>
        <v>0</v>
      </c>
      <c r="X115" s="113">
        <f t="shared" si="59"/>
        <v>0</v>
      </c>
      <c r="AA115" s="113">
        <v>0</v>
      </c>
      <c r="AB115" s="112">
        <f ca="1">INDIRECT(CONCATENATE($AB$10,CONCATENATE(B115,$A115)))</f>
        <v>38718</v>
      </c>
      <c r="AC115" s="112">
        <f ca="1">INDIRECT(CONCATENATE($AB$10,CONCATENATE(C115,$A115)))</f>
        <v>39082</v>
      </c>
      <c r="AF115" s="114">
        <f t="shared" ca="1" si="46"/>
        <v>12711.24</v>
      </c>
      <c r="AG115" s="114">
        <f ca="1">INDIRECT(CONCATENATE($AB$10,CONCATENATE(G115,$A115)))</f>
        <v>0</v>
      </c>
      <c r="AH115" s="114">
        <f ca="1">INDIRECT(CONCATENATE($AB$10,CONCATENATE(H115,$A115)))</f>
        <v>0</v>
      </c>
      <c r="AI115" s="114">
        <f ca="1">INDIRECT(CONCATENATE($AB$10,CONCATENATE(I115,$A115)))</f>
        <v>6459.63</v>
      </c>
      <c r="AJ115" s="114">
        <f ca="1">INDIRECT(CONCATENATE($AB$10,CONCATENATE(J115,$A115)))</f>
        <v>0</v>
      </c>
      <c r="AK115" s="114">
        <f ca="1">INDIRECT(CONCATENATE($AB$10,CONCATENATE(K115,$A115)))</f>
        <v>1597.57</v>
      </c>
      <c r="AN115">
        <f t="shared" si="49"/>
        <v>115</v>
      </c>
      <c r="AQ115" s="114">
        <f t="shared" ca="1" si="50"/>
        <v>1968</v>
      </c>
      <c r="AW115">
        <v>115</v>
      </c>
      <c r="BG115" s="114">
        <f t="shared" ca="1" si="47"/>
        <v>21138.87</v>
      </c>
      <c r="BI115">
        <f t="shared" si="48"/>
        <v>0</v>
      </c>
    </row>
    <row r="116" spans="1:61" x14ac:dyDescent="0.25">
      <c r="A116" s="113">
        <f t="shared" ref="A116:A121" si="60">A115+2</f>
        <v>662</v>
      </c>
      <c r="B116" s="113" t="str">
        <f t="shared" ref="B116:X121" si="61">B115</f>
        <v>a</v>
      </c>
      <c r="C116" s="113" t="str">
        <f t="shared" si="61"/>
        <v>b</v>
      </c>
      <c r="D116" s="113" t="str">
        <f t="shared" si="61"/>
        <v>c</v>
      </c>
      <c r="E116" s="113" t="str">
        <f t="shared" si="61"/>
        <v>d</v>
      </c>
      <c r="F116" s="113" t="str">
        <f t="shared" si="61"/>
        <v>e</v>
      </c>
      <c r="G116" s="113" t="str">
        <f t="shared" si="61"/>
        <v>f</v>
      </c>
      <c r="H116" s="113" t="str">
        <f t="shared" si="61"/>
        <v>g</v>
      </c>
      <c r="I116" s="113" t="str">
        <f t="shared" si="61"/>
        <v>h</v>
      </c>
      <c r="J116" s="113" t="str">
        <f t="shared" si="61"/>
        <v>i</v>
      </c>
      <c r="K116" s="113" t="str">
        <f t="shared" si="61"/>
        <v>j</v>
      </c>
      <c r="L116" s="113" t="str">
        <f t="shared" si="61"/>
        <v>k</v>
      </c>
      <c r="M116" s="113" t="str">
        <f t="shared" si="61"/>
        <v>l</v>
      </c>
      <c r="N116" s="113" t="str">
        <f t="shared" si="61"/>
        <v>m</v>
      </c>
      <c r="O116" s="113">
        <f t="shared" si="61"/>
        <v>0</v>
      </c>
      <c r="P116" s="113">
        <f t="shared" si="61"/>
        <v>0</v>
      </c>
      <c r="Q116" s="113" t="str">
        <f t="shared" si="61"/>
        <v>p</v>
      </c>
      <c r="R116" s="113">
        <f t="shared" si="61"/>
        <v>0</v>
      </c>
      <c r="S116" s="113">
        <f t="shared" si="61"/>
        <v>0</v>
      </c>
      <c r="T116" s="113">
        <f t="shared" si="61"/>
        <v>0</v>
      </c>
      <c r="U116" s="113">
        <f t="shared" si="61"/>
        <v>0</v>
      </c>
      <c r="V116" s="113">
        <f t="shared" si="61"/>
        <v>0</v>
      </c>
      <c r="W116" s="113">
        <f t="shared" si="61"/>
        <v>0</v>
      </c>
      <c r="X116" s="113">
        <f t="shared" si="61"/>
        <v>0</v>
      </c>
      <c r="AA116" s="113">
        <v>3</v>
      </c>
      <c r="AB116" s="112">
        <f t="shared" ref="AB116:AC121" ca="1" si="62">AB115</f>
        <v>38718</v>
      </c>
      <c r="AC116" s="112">
        <f t="shared" ca="1" si="62"/>
        <v>39082</v>
      </c>
      <c r="AF116" s="114">
        <f t="shared" ca="1" si="46"/>
        <v>13797.34</v>
      </c>
      <c r="AG116" s="114">
        <f t="shared" ca="1" si="46"/>
        <v>0</v>
      </c>
      <c r="AH116" s="114">
        <f t="shared" ca="1" si="46"/>
        <v>0</v>
      </c>
      <c r="AI116" s="114">
        <f t="shared" ca="1" si="46"/>
        <v>6459.63</v>
      </c>
      <c r="AJ116" s="114">
        <f t="shared" ca="1" si="46"/>
        <v>0</v>
      </c>
      <c r="AK116" s="114">
        <f t="shared" ca="1" si="46"/>
        <v>1688.08</v>
      </c>
      <c r="AN116">
        <f t="shared" si="49"/>
        <v>116</v>
      </c>
      <c r="AQ116" s="114">
        <f t="shared" ca="1" si="50"/>
        <v>1968</v>
      </c>
      <c r="AW116">
        <v>116</v>
      </c>
      <c r="BG116" s="114">
        <f t="shared" ca="1" si="47"/>
        <v>22224.97</v>
      </c>
      <c r="BI116">
        <f t="shared" si="48"/>
        <v>0</v>
      </c>
    </row>
    <row r="117" spans="1:61" x14ac:dyDescent="0.25">
      <c r="A117" s="113">
        <f t="shared" si="60"/>
        <v>664</v>
      </c>
      <c r="B117" s="113" t="str">
        <f t="shared" si="61"/>
        <v>a</v>
      </c>
      <c r="C117" s="113" t="str">
        <f t="shared" si="61"/>
        <v>b</v>
      </c>
      <c r="D117" s="113" t="str">
        <f t="shared" si="61"/>
        <v>c</v>
      </c>
      <c r="E117" s="113" t="str">
        <f t="shared" si="61"/>
        <v>d</v>
      </c>
      <c r="F117" s="113" t="str">
        <f t="shared" si="61"/>
        <v>e</v>
      </c>
      <c r="G117" s="113" t="str">
        <f t="shared" si="61"/>
        <v>f</v>
      </c>
      <c r="H117" s="113" t="str">
        <f t="shared" si="61"/>
        <v>g</v>
      </c>
      <c r="I117" s="113" t="str">
        <f t="shared" si="61"/>
        <v>h</v>
      </c>
      <c r="J117" s="113" t="str">
        <f t="shared" si="61"/>
        <v>i</v>
      </c>
      <c r="K117" s="113" t="str">
        <f t="shared" si="61"/>
        <v>j</v>
      </c>
      <c r="L117" s="113" t="str">
        <f t="shared" si="61"/>
        <v>k</v>
      </c>
      <c r="M117" s="113" t="str">
        <f t="shared" si="61"/>
        <v>l</v>
      </c>
      <c r="N117" s="113" t="str">
        <f t="shared" si="61"/>
        <v>m</v>
      </c>
      <c r="O117" s="113">
        <f t="shared" si="61"/>
        <v>0</v>
      </c>
      <c r="P117" s="113">
        <f t="shared" si="61"/>
        <v>0</v>
      </c>
      <c r="Q117" s="113" t="str">
        <f t="shared" si="61"/>
        <v>p</v>
      </c>
      <c r="R117" s="113">
        <f t="shared" si="61"/>
        <v>0</v>
      </c>
      <c r="S117" s="113">
        <f t="shared" si="61"/>
        <v>0</v>
      </c>
      <c r="T117" s="113">
        <f t="shared" si="61"/>
        <v>0</v>
      </c>
      <c r="U117" s="113">
        <f t="shared" si="61"/>
        <v>0</v>
      </c>
      <c r="V117" s="113">
        <f t="shared" si="61"/>
        <v>0</v>
      </c>
      <c r="W117" s="113">
        <f t="shared" si="61"/>
        <v>0</v>
      </c>
      <c r="X117" s="113">
        <f t="shared" si="61"/>
        <v>0</v>
      </c>
      <c r="AA117" s="113">
        <v>9</v>
      </c>
      <c r="AB117" s="112">
        <f t="shared" ca="1" si="62"/>
        <v>38718</v>
      </c>
      <c r="AC117" s="112">
        <f t="shared" ca="1" si="62"/>
        <v>39082</v>
      </c>
      <c r="AF117" s="114">
        <f t="shared" ca="1" si="46"/>
        <v>15535.13</v>
      </c>
      <c r="AG117" s="114">
        <f t="shared" ca="1" si="46"/>
        <v>0</v>
      </c>
      <c r="AH117" s="114">
        <f t="shared" ca="1" si="46"/>
        <v>0</v>
      </c>
      <c r="AI117" s="114">
        <f t="shared" ca="1" si="46"/>
        <v>6459.63</v>
      </c>
      <c r="AJ117" s="114">
        <f t="shared" ca="1" si="46"/>
        <v>0</v>
      </c>
      <c r="AK117" s="114">
        <f t="shared" ca="1" si="46"/>
        <v>1832.9</v>
      </c>
      <c r="AN117">
        <f t="shared" si="49"/>
        <v>117</v>
      </c>
      <c r="AQ117" s="114">
        <f t="shared" ca="1" si="50"/>
        <v>1968</v>
      </c>
      <c r="AW117">
        <v>117</v>
      </c>
      <c r="BG117" s="114">
        <f t="shared" ca="1" si="47"/>
        <v>23962.76</v>
      </c>
      <c r="BI117">
        <f t="shared" si="48"/>
        <v>0</v>
      </c>
    </row>
    <row r="118" spans="1:61" x14ac:dyDescent="0.25">
      <c r="A118" s="113">
        <f t="shared" si="60"/>
        <v>666</v>
      </c>
      <c r="B118" s="113" t="str">
        <f t="shared" si="61"/>
        <v>a</v>
      </c>
      <c r="C118" s="113" t="str">
        <f t="shared" si="61"/>
        <v>b</v>
      </c>
      <c r="D118" s="113" t="str">
        <f t="shared" si="61"/>
        <v>c</v>
      </c>
      <c r="E118" s="113" t="str">
        <f t="shared" si="61"/>
        <v>d</v>
      </c>
      <c r="F118" s="113" t="str">
        <f t="shared" si="61"/>
        <v>e</v>
      </c>
      <c r="G118" s="113" t="str">
        <f t="shared" si="61"/>
        <v>f</v>
      </c>
      <c r="H118" s="113" t="str">
        <f t="shared" si="61"/>
        <v>g</v>
      </c>
      <c r="I118" s="113" t="str">
        <f t="shared" si="61"/>
        <v>h</v>
      </c>
      <c r="J118" s="113" t="str">
        <f t="shared" si="61"/>
        <v>i</v>
      </c>
      <c r="K118" s="113" t="str">
        <f t="shared" si="61"/>
        <v>j</v>
      </c>
      <c r="L118" s="113" t="str">
        <f t="shared" si="61"/>
        <v>k</v>
      </c>
      <c r="M118" s="113" t="str">
        <f t="shared" si="61"/>
        <v>l</v>
      </c>
      <c r="N118" s="113" t="str">
        <f t="shared" si="61"/>
        <v>m</v>
      </c>
      <c r="O118" s="113">
        <f t="shared" si="61"/>
        <v>0</v>
      </c>
      <c r="P118" s="113">
        <f t="shared" si="61"/>
        <v>0</v>
      </c>
      <c r="Q118" s="113" t="str">
        <f t="shared" si="61"/>
        <v>p</v>
      </c>
      <c r="R118" s="113">
        <f t="shared" si="61"/>
        <v>0</v>
      </c>
      <c r="S118" s="113">
        <f t="shared" si="61"/>
        <v>0</v>
      </c>
      <c r="T118" s="113">
        <f t="shared" si="61"/>
        <v>0</v>
      </c>
      <c r="U118" s="113">
        <f t="shared" si="61"/>
        <v>0</v>
      </c>
      <c r="V118" s="113">
        <f t="shared" si="61"/>
        <v>0</v>
      </c>
      <c r="W118" s="113">
        <f t="shared" si="61"/>
        <v>0</v>
      </c>
      <c r="X118" s="113">
        <f t="shared" si="61"/>
        <v>0</v>
      </c>
      <c r="AA118" s="113">
        <v>15</v>
      </c>
      <c r="AB118" s="112">
        <f t="shared" ca="1" si="62"/>
        <v>38718</v>
      </c>
      <c r="AC118" s="112">
        <f t="shared" ca="1" si="62"/>
        <v>39082</v>
      </c>
      <c r="AF118" s="114">
        <f t="shared" ca="1" si="46"/>
        <v>17678.86</v>
      </c>
      <c r="AG118" s="114">
        <f t="shared" ca="1" si="46"/>
        <v>0</v>
      </c>
      <c r="AH118" s="114">
        <f t="shared" ca="1" si="46"/>
        <v>0</v>
      </c>
      <c r="AI118" s="114">
        <f t="shared" ca="1" si="46"/>
        <v>6459.63</v>
      </c>
      <c r="AJ118" s="114">
        <f t="shared" ca="1" si="46"/>
        <v>0</v>
      </c>
      <c r="AK118" s="114">
        <f t="shared" ca="1" si="46"/>
        <v>2011.54</v>
      </c>
      <c r="AN118">
        <f t="shared" si="49"/>
        <v>118</v>
      </c>
      <c r="AQ118" s="114">
        <f t="shared" ca="1" si="50"/>
        <v>2424</v>
      </c>
      <c r="AW118">
        <v>118</v>
      </c>
      <c r="BG118" s="114">
        <f t="shared" ca="1" si="47"/>
        <v>26562.49</v>
      </c>
      <c r="BI118">
        <f t="shared" si="48"/>
        <v>0</v>
      </c>
    </row>
    <row r="119" spans="1:61" x14ac:dyDescent="0.25">
      <c r="A119" s="113">
        <f t="shared" si="60"/>
        <v>668</v>
      </c>
      <c r="B119" s="113" t="str">
        <f t="shared" si="61"/>
        <v>a</v>
      </c>
      <c r="C119" s="113" t="str">
        <f t="shared" si="61"/>
        <v>b</v>
      </c>
      <c r="D119" s="113" t="str">
        <f t="shared" si="61"/>
        <v>c</v>
      </c>
      <c r="E119" s="113" t="str">
        <f t="shared" si="61"/>
        <v>d</v>
      </c>
      <c r="F119" s="113" t="str">
        <f t="shared" si="61"/>
        <v>e</v>
      </c>
      <c r="G119" s="113" t="str">
        <f t="shared" si="61"/>
        <v>f</v>
      </c>
      <c r="H119" s="113" t="str">
        <f t="shared" si="61"/>
        <v>g</v>
      </c>
      <c r="I119" s="113" t="str">
        <f t="shared" si="61"/>
        <v>h</v>
      </c>
      <c r="J119" s="113" t="str">
        <f t="shared" si="61"/>
        <v>i</v>
      </c>
      <c r="K119" s="113" t="str">
        <f t="shared" si="61"/>
        <v>j</v>
      </c>
      <c r="L119" s="113" t="str">
        <f t="shared" si="61"/>
        <v>k</v>
      </c>
      <c r="M119" s="113" t="str">
        <f t="shared" si="61"/>
        <v>l</v>
      </c>
      <c r="N119" s="113" t="str">
        <f t="shared" si="61"/>
        <v>m</v>
      </c>
      <c r="O119" s="113">
        <f t="shared" si="61"/>
        <v>0</v>
      </c>
      <c r="P119" s="113">
        <f t="shared" si="61"/>
        <v>0</v>
      </c>
      <c r="Q119" s="113" t="str">
        <f t="shared" si="61"/>
        <v>p</v>
      </c>
      <c r="R119" s="113">
        <f t="shared" si="61"/>
        <v>0</v>
      </c>
      <c r="S119" s="113">
        <f t="shared" si="61"/>
        <v>0</v>
      </c>
      <c r="T119" s="113">
        <f t="shared" si="61"/>
        <v>0</v>
      </c>
      <c r="U119" s="113">
        <f t="shared" si="61"/>
        <v>0</v>
      </c>
      <c r="V119" s="113">
        <f t="shared" si="61"/>
        <v>0</v>
      </c>
      <c r="W119" s="113">
        <f t="shared" si="61"/>
        <v>0</v>
      </c>
      <c r="X119" s="113">
        <f t="shared" si="61"/>
        <v>0</v>
      </c>
      <c r="AA119" s="113">
        <v>21</v>
      </c>
      <c r="AB119" s="112">
        <f t="shared" ca="1" si="62"/>
        <v>38718</v>
      </c>
      <c r="AC119" s="112">
        <f t="shared" ca="1" si="62"/>
        <v>39082</v>
      </c>
      <c r="AF119" s="114">
        <f t="shared" ca="1" si="46"/>
        <v>20409.330000000002</v>
      </c>
      <c r="AG119" s="114">
        <f t="shared" ca="1" si="46"/>
        <v>0</v>
      </c>
      <c r="AH119" s="114">
        <f t="shared" ca="1" si="46"/>
        <v>0</v>
      </c>
      <c r="AI119" s="114">
        <f t="shared" ca="1" si="46"/>
        <v>6459.63</v>
      </c>
      <c r="AJ119" s="114">
        <f t="shared" ca="1" si="46"/>
        <v>0</v>
      </c>
      <c r="AK119" s="114">
        <f t="shared" ca="1" si="46"/>
        <v>2239.08</v>
      </c>
      <c r="AN119">
        <f t="shared" si="49"/>
        <v>119</v>
      </c>
      <c r="AQ119" s="114">
        <f t="shared" ca="1" si="50"/>
        <v>2424</v>
      </c>
      <c r="AW119">
        <v>119</v>
      </c>
      <c r="BG119" s="114">
        <f t="shared" ca="1" si="47"/>
        <v>29292.960000000003</v>
      </c>
      <c r="BI119">
        <f t="shared" si="48"/>
        <v>0</v>
      </c>
    </row>
    <row r="120" spans="1:61" x14ac:dyDescent="0.25">
      <c r="A120" s="113">
        <f t="shared" si="60"/>
        <v>670</v>
      </c>
      <c r="B120" s="113" t="str">
        <f t="shared" si="61"/>
        <v>a</v>
      </c>
      <c r="C120" s="113" t="str">
        <f t="shared" si="61"/>
        <v>b</v>
      </c>
      <c r="D120" s="113" t="str">
        <f t="shared" si="61"/>
        <v>c</v>
      </c>
      <c r="E120" s="113" t="str">
        <f t="shared" si="61"/>
        <v>d</v>
      </c>
      <c r="F120" s="113" t="str">
        <f t="shared" si="61"/>
        <v>e</v>
      </c>
      <c r="G120" s="113" t="str">
        <f t="shared" si="61"/>
        <v>f</v>
      </c>
      <c r="H120" s="113" t="str">
        <f t="shared" si="61"/>
        <v>g</v>
      </c>
      <c r="I120" s="113" t="str">
        <f t="shared" si="61"/>
        <v>h</v>
      </c>
      <c r="J120" s="113" t="str">
        <f t="shared" si="61"/>
        <v>i</v>
      </c>
      <c r="K120" s="113" t="str">
        <f t="shared" si="61"/>
        <v>j</v>
      </c>
      <c r="L120" s="113" t="str">
        <f t="shared" si="61"/>
        <v>k</v>
      </c>
      <c r="M120" s="113" t="str">
        <f t="shared" si="61"/>
        <v>l</v>
      </c>
      <c r="N120" s="113" t="str">
        <f t="shared" si="61"/>
        <v>m</v>
      </c>
      <c r="O120" s="113">
        <f t="shared" si="61"/>
        <v>0</v>
      </c>
      <c r="P120" s="113">
        <f t="shared" si="61"/>
        <v>0</v>
      </c>
      <c r="Q120" s="113" t="str">
        <f t="shared" si="61"/>
        <v>p</v>
      </c>
      <c r="R120" s="113">
        <f t="shared" si="61"/>
        <v>0</v>
      </c>
      <c r="S120" s="113">
        <f t="shared" si="61"/>
        <v>0</v>
      </c>
      <c r="T120" s="113">
        <f t="shared" si="61"/>
        <v>0</v>
      </c>
      <c r="U120" s="113">
        <f t="shared" si="61"/>
        <v>0</v>
      </c>
      <c r="V120" s="113">
        <f t="shared" si="61"/>
        <v>0</v>
      </c>
      <c r="W120" s="113">
        <f t="shared" si="61"/>
        <v>0</v>
      </c>
      <c r="X120" s="113">
        <f t="shared" si="61"/>
        <v>0</v>
      </c>
      <c r="AA120" s="113">
        <v>28</v>
      </c>
      <c r="AB120" s="112">
        <f t="shared" ca="1" si="62"/>
        <v>38718</v>
      </c>
      <c r="AC120" s="112">
        <f t="shared" ca="1" si="62"/>
        <v>39082</v>
      </c>
      <c r="AF120" s="114">
        <f t="shared" ca="1" si="46"/>
        <v>22198.25</v>
      </c>
      <c r="AG120" s="114">
        <f t="shared" ca="1" si="46"/>
        <v>0</v>
      </c>
      <c r="AH120" s="114">
        <f t="shared" ca="1" si="46"/>
        <v>0</v>
      </c>
      <c r="AI120" s="114">
        <f t="shared" ca="1" si="46"/>
        <v>6459.63</v>
      </c>
      <c r="AJ120" s="114">
        <f t="shared" ca="1" si="46"/>
        <v>0</v>
      </c>
      <c r="AK120" s="114">
        <f t="shared" ca="1" si="46"/>
        <v>2388.16</v>
      </c>
      <c r="AN120">
        <f t="shared" si="49"/>
        <v>120</v>
      </c>
      <c r="AQ120" s="114">
        <f t="shared" ca="1" si="50"/>
        <v>3090</v>
      </c>
      <c r="AW120">
        <v>120</v>
      </c>
      <c r="BG120" s="114">
        <f t="shared" ca="1" si="47"/>
        <v>31747.88</v>
      </c>
      <c r="BI120">
        <f t="shared" si="48"/>
        <v>0</v>
      </c>
    </row>
    <row r="121" spans="1:61" x14ac:dyDescent="0.25">
      <c r="A121" s="113">
        <f t="shared" si="60"/>
        <v>672</v>
      </c>
      <c r="B121" s="113" t="str">
        <f t="shared" si="61"/>
        <v>a</v>
      </c>
      <c r="C121" s="113" t="str">
        <f t="shared" si="61"/>
        <v>b</v>
      </c>
      <c r="D121" s="113" t="str">
        <f t="shared" si="61"/>
        <v>c</v>
      </c>
      <c r="E121" s="113" t="str">
        <f t="shared" si="61"/>
        <v>d</v>
      </c>
      <c r="F121" s="113" t="str">
        <f t="shared" si="61"/>
        <v>e</v>
      </c>
      <c r="G121" s="113" t="str">
        <f t="shared" si="61"/>
        <v>f</v>
      </c>
      <c r="H121" s="113" t="str">
        <f t="shared" si="61"/>
        <v>g</v>
      </c>
      <c r="I121" s="113" t="str">
        <f t="shared" si="61"/>
        <v>h</v>
      </c>
      <c r="J121" s="113" t="str">
        <f t="shared" si="61"/>
        <v>i</v>
      </c>
      <c r="K121" s="113" t="str">
        <f t="shared" si="61"/>
        <v>j</v>
      </c>
      <c r="L121" s="113" t="str">
        <f t="shared" si="61"/>
        <v>k</v>
      </c>
      <c r="M121" s="113" t="str">
        <f t="shared" si="61"/>
        <v>l</v>
      </c>
      <c r="N121" s="113" t="str">
        <f t="shared" si="61"/>
        <v>m</v>
      </c>
      <c r="O121" s="113">
        <f t="shared" si="61"/>
        <v>0</v>
      </c>
      <c r="P121" s="113">
        <f t="shared" si="61"/>
        <v>0</v>
      </c>
      <c r="Q121" s="113" t="str">
        <f t="shared" si="61"/>
        <v>p</v>
      </c>
      <c r="R121" s="113">
        <f t="shared" si="61"/>
        <v>0</v>
      </c>
      <c r="S121" s="113">
        <f t="shared" si="61"/>
        <v>0</v>
      </c>
      <c r="T121" s="113">
        <f t="shared" si="61"/>
        <v>0</v>
      </c>
      <c r="U121" s="113">
        <f t="shared" si="61"/>
        <v>0</v>
      </c>
      <c r="V121" s="113">
        <f t="shared" si="61"/>
        <v>0</v>
      </c>
      <c r="W121" s="113">
        <f t="shared" si="61"/>
        <v>0</v>
      </c>
      <c r="X121" s="113">
        <f t="shared" si="61"/>
        <v>0</v>
      </c>
      <c r="AA121" s="113">
        <v>35</v>
      </c>
      <c r="AB121" s="112">
        <f t="shared" ca="1" si="62"/>
        <v>38718</v>
      </c>
      <c r="AC121" s="112">
        <f t="shared" ca="1" si="62"/>
        <v>39082</v>
      </c>
      <c r="AF121" s="114">
        <f t="shared" ca="1" si="46"/>
        <v>23624.41</v>
      </c>
      <c r="AG121" s="114">
        <f t="shared" ca="1" si="46"/>
        <v>0</v>
      </c>
      <c r="AH121" s="114">
        <f t="shared" ca="1" si="46"/>
        <v>0</v>
      </c>
      <c r="AI121" s="114">
        <f t="shared" ca="1" si="46"/>
        <v>6459.63</v>
      </c>
      <c r="AJ121" s="114">
        <f t="shared" ca="1" si="46"/>
        <v>0</v>
      </c>
      <c r="AK121" s="114">
        <f t="shared" ca="1" si="46"/>
        <v>2507</v>
      </c>
      <c r="AN121">
        <f t="shared" si="49"/>
        <v>121</v>
      </c>
      <c r="AQ121" s="114">
        <f t="shared" ca="1" si="50"/>
        <v>3090</v>
      </c>
      <c r="AW121">
        <v>121</v>
      </c>
      <c r="BG121" s="114">
        <f t="shared" ca="1" si="47"/>
        <v>33174.04</v>
      </c>
      <c r="BI121">
        <f t="shared" si="48"/>
        <v>0</v>
      </c>
    </row>
    <row r="122" spans="1:61" x14ac:dyDescent="0.25">
      <c r="A122" s="113">
        <f>A115+20</f>
        <v>680</v>
      </c>
      <c r="B122" s="113" t="str">
        <f>B115</f>
        <v>a</v>
      </c>
      <c r="C122" s="113" t="str">
        <f t="shared" ref="C122:X122" si="63">C115</f>
        <v>b</v>
      </c>
      <c r="D122" s="113" t="str">
        <f t="shared" si="63"/>
        <v>c</v>
      </c>
      <c r="E122" s="113" t="str">
        <f t="shared" si="63"/>
        <v>d</v>
      </c>
      <c r="F122" s="113" t="str">
        <f t="shared" si="63"/>
        <v>e</v>
      </c>
      <c r="G122" s="113" t="str">
        <f t="shared" si="63"/>
        <v>f</v>
      </c>
      <c r="H122" s="113" t="str">
        <f t="shared" si="63"/>
        <v>g</v>
      </c>
      <c r="I122" s="113" t="str">
        <f t="shared" si="63"/>
        <v>h</v>
      </c>
      <c r="J122" s="113" t="str">
        <f t="shared" si="63"/>
        <v>i</v>
      </c>
      <c r="K122" s="113" t="str">
        <f t="shared" si="63"/>
        <v>j</v>
      </c>
      <c r="L122" s="113" t="str">
        <f t="shared" si="63"/>
        <v>k</v>
      </c>
      <c r="M122" s="113" t="str">
        <f t="shared" si="63"/>
        <v>l</v>
      </c>
      <c r="N122" s="113" t="str">
        <f t="shared" si="63"/>
        <v>m</v>
      </c>
      <c r="O122" s="113">
        <f t="shared" si="63"/>
        <v>0</v>
      </c>
      <c r="P122" s="113">
        <f t="shared" si="63"/>
        <v>0</v>
      </c>
      <c r="Q122" s="113" t="str">
        <f t="shared" si="63"/>
        <v>p</v>
      </c>
      <c r="R122" s="113">
        <f t="shared" si="63"/>
        <v>0</v>
      </c>
      <c r="S122" s="113">
        <f t="shared" si="63"/>
        <v>0</v>
      </c>
      <c r="T122" s="113">
        <f t="shared" si="63"/>
        <v>0</v>
      </c>
      <c r="U122" s="113">
        <f t="shared" si="63"/>
        <v>0</v>
      </c>
      <c r="V122" s="113">
        <f t="shared" si="63"/>
        <v>0</v>
      </c>
      <c r="W122" s="113">
        <f t="shared" si="63"/>
        <v>0</v>
      </c>
      <c r="X122" s="113">
        <f t="shared" si="63"/>
        <v>0</v>
      </c>
      <c r="AA122" s="113">
        <v>0</v>
      </c>
      <c r="AB122" s="112">
        <f ca="1">INDIRECT(CONCATENATE($AB$10,CONCATENATE(B122,$A122)))</f>
        <v>39083</v>
      </c>
      <c r="AC122" s="112">
        <f ca="1">INDIRECT(CONCATENATE($AB$10,CONCATENATE(C122,$A122)))</f>
        <v>39113</v>
      </c>
      <c r="AF122" s="114">
        <f t="shared" ca="1" si="46"/>
        <v>13076.04</v>
      </c>
      <c r="AG122" s="114">
        <f ca="1">INDIRECT(CONCATENATE($AB$10,CONCATENATE(G122,$A122)))</f>
        <v>0</v>
      </c>
      <c r="AH122" s="114">
        <f ca="1">INDIRECT(CONCATENATE($AB$10,CONCATENATE(H122,$A122)))</f>
        <v>0</v>
      </c>
      <c r="AI122" s="114">
        <f ca="1">INDIRECT(CONCATENATE($AB$10,CONCATENATE(I122,$A122)))</f>
        <v>6459.63</v>
      </c>
      <c r="AJ122" s="114">
        <f ca="1">INDIRECT(CONCATENATE($AB$10,CONCATENATE(J122,$A122)))</f>
        <v>0</v>
      </c>
      <c r="AK122" s="114">
        <f ca="1">INDIRECT(CONCATENATE($AB$10,CONCATENATE(K122,$A122)))</f>
        <v>1627.97</v>
      </c>
      <c r="AN122">
        <f t="shared" si="49"/>
        <v>122</v>
      </c>
      <c r="AQ122" s="114">
        <f t="shared" ca="1" si="50"/>
        <v>1968</v>
      </c>
      <c r="AW122">
        <v>122</v>
      </c>
      <c r="BG122" s="114">
        <f t="shared" ca="1" si="47"/>
        <v>21503.670000000002</v>
      </c>
      <c r="BI122">
        <f t="shared" si="48"/>
        <v>0</v>
      </c>
    </row>
    <row r="123" spans="1:61" x14ac:dyDescent="0.25">
      <c r="A123" s="113">
        <f t="shared" ref="A123:A128" si="64">A122+2</f>
        <v>682</v>
      </c>
      <c r="B123" s="113" t="str">
        <f t="shared" ref="B123:X128" si="65">B122</f>
        <v>a</v>
      </c>
      <c r="C123" s="113" t="str">
        <f t="shared" si="65"/>
        <v>b</v>
      </c>
      <c r="D123" s="113" t="str">
        <f t="shared" si="65"/>
        <v>c</v>
      </c>
      <c r="E123" s="113" t="str">
        <f t="shared" si="65"/>
        <v>d</v>
      </c>
      <c r="F123" s="113" t="str">
        <f t="shared" si="65"/>
        <v>e</v>
      </c>
      <c r="G123" s="113" t="str">
        <f t="shared" si="65"/>
        <v>f</v>
      </c>
      <c r="H123" s="113" t="str">
        <f t="shared" si="65"/>
        <v>g</v>
      </c>
      <c r="I123" s="113" t="str">
        <f t="shared" si="65"/>
        <v>h</v>
      </c>
      <c r="J123" s="113" t="str">
        <f t="shared" si="65"/>
        <v>i</v>
      </c>
      <c r="K123" s="113" t="str">
        <f t="shared" si="65"/>
        <v>j</v>
      </c>
      <c r="L123" s="113" t="str">
        <f t="shared" si="65"/>
        <v>k</v>
      </c>
      <c r="M123" s="113" t="str">
        <f t="shared" si="65"/>
        <v>l</v>
      </c>
      <c r="N123" s="113" t="str">
        <f t="shared" si="65"/>
        <v>m</v>
      </c>
      <c r="O123" s="113">
        <f t="shared" si="65"/>
        <v>0</v>
      </c>
      <c r="P123" s="113">
        <f t="shared" si="65"/>
        <v>0</v>
      </c>
      <c r="Q123" s="113" t="str">
        <f t="shared" si="65"/>
        <v>p</v>
      </c>
      <c r="R123" s="113">
        <f t="shared" si="65"/>
        <v>0</v>
      </c>
      <c r="S123" s="113">
        <f t="shared" si="65"/>
        <v>0</v>
      </c>
      <c r="T123" s="113">
        <f t="shared" si="65"/>
        <v>0</v>
      </c>
      <c r="U123" s="113">
        <f t="shared" si="65"/>
        <v>0</v>
      </c>
      <c r="V123" s="113">
        <f t="shared" si="65"/>
        <v>0</v>
      </c>
      <c r="W123" s="113">
        <f t="shared" si="65"/>
        <v>0</v>
      </c>
      <c r="X123" s="113">
        <f t="shared" si="65"/>
        <v>0</v>
      </c>
      <c r="AA123" s="113">
        <v>3</v>
      </c>
      <c r="AB123" s="112">
        <f t="shared" ref="AB123:AC128" ca="1" si="66">AB122</f>
        <v>39083</v>
      </c>
      <c r="AC123" s="112">
        <f t="shared" ca="1" si="66"/>
        <v>39113</v>
      </c>
      <c r="AF123" s="114">
        <f t="shared" ca="1" si="46"/>
        <v>14182.9</v>
      </c>
      <c r="AG123" s="114">
        <f t="shared" ca="1" si="46"/>
        <v>0</v>
      </c>
      <c r="AH123" s="114">
        <f t="shared" ca="1" si="46"/>
        <v>0</v>
      </c>
      <c r="AI123" s="114">
        <f t="shared" ca="1" si="46"/>
        <v>6459.63</v>
      </c>
      <c r="AJ123" s="114">
        <f t="shared" ca="1" si="46"/>
        <v>0</v>
      </c>
      <c r="AK123" s="114">
        <f t="shared" ca="1" si="46"/>
        <v>1720.21</v>
      </c>
      <c r="AN123">
        <f t="shared" si="49"/>
        <v>123</v>
      </c>
      <c r="AQ123" s="114">
        <f t="shared" ca="1" si="50"/>
        <v>1968</v>
      </c>
      <c r="AW123">
        <v>123</v>
      </c>
      <c r="BG123" s="114">
        <f t="shared" ca="1" si="47"/>
        <v>22610.53</v>
      </c>
      <c r="BI123">
        <f t="shared" si="48"/>
        <v>0</v>
      </c>
    </row>
    <row r="124" spans="1:61" x14ac:dyDescent="0.25">
      <c r="A124" s="113">
        <f t="shared" si="64"/>
        <v>684</v>
      </c>
      <c r="B124" s="113" t="str">
        <f t="shared" si="65"/>
        <v>a</v>
      </c>
      <c r="C124" s="113" t="str">
        <f t="shared" si="65"/>
        <v>b</v>
      </c>
      <c r="D124" s="113" t="str">
        <f t="shared" si="65"/>
        <v>c</v>
      </c>
      <c r="E124" s="113" t="str">
        <f t="shared" si="65"/>
        <v>d</v>
      </c>
      <c r="F124" s="113" t="str">
        <f t="shared" si="65"/>
        <v>e</v>
      </c>
      <c r="G124" s="113" t="str">
        <f t="shared" si="65"/>
        <v>f</v>
      </c>
      <c r="H124" s="113" t="str">
        <f t="shared" si="65"/>
        <v>g</v>
      </c>
      <c r="I124" s="113" t="str">
        <f t="shared" si="65"/>
        <v>h</v>
      </c>
      <c r="J124" s="113" t="str">
        <f t="shared" si="65"/>
        <v>i</v>
      </c>
      <c r="K124" s="113" t="str">
        <f t="shared" si="65"/>
        <v>j</v>
      </c>
      <c r="L124" s="113" t="str">
        <f t="shared" si="65"/>
        <v>k</v>
      </c>
      <c r="M124" s="113" t="str">
        <f t="shared" si="65"/>
        <v>l</v>
      </c>
      <c r="N124" s="113" t="str">
        <f t="shared" si="65"/>
        <v>m</v>
      </c>
      <c r="O124" s="113">
        <f t="shared" si="65"/>
        <v>0</v>
      </c>
      <c r="P124" s="113">
        <f t="shared" si="65"/>
        <v>0</v>
      </c>
      <c r="Q124" s="113" t="str">
        <f t="shared" si="65"/>
        <v>p</v>
      </c>
      <c r="R124" s="113">
        <f t="shared" si="65"/>
        <v>0</v>
      </c>
      <c r="S124" s="113">
        <f t="shared" si="65"/>
        <v>0</v>
      </c>
      <c r="T124" s="113">
        <f t="shared" si="65"/>
        <v>0</v>
      </c>
      <c r="U124" s="113">
        <f t="shared" si="65"/>
        <v>0</v>
      </c>
      <c r="V124" s="113">
        <f t="shared" si="65"/>
        <v>0</v>
      </c>
      <c r="W124" s="113">
        <f t="shared" si="65"/>
        <v>0</v>
      </c>
      <c r="X124" s="113">
        <f t="shared" si="65"/>
        <v>0</v>
      </c>
      <c r="AA124" s="113">
        <v>9</v>
      </c>
      <c r="AB124" s="112">
        <f t="shared" ca="1" si="66"/>
        <v>39083</v>
      </c>
      <c r="AC124" s="112">
        <f t="shared" ca="1" si="66"/>
        <v>39113</v>
      </c>
      <c r="AF124" s="114">
        <f t="shared" ca="1" si="46"/>
        <v>15953.81</v>
      </c>
      <c r="AG124" s="114">
        <f t="shared" ca="1" si="46"/>
        <v>0</v>
      </c>
      <c r="AH124" s="114">
        <f t="shared" ca="1" si="46"/>
        <v>0</v>
      </c>
      <c r="AI124" s="114">
        <f t="shared" ca="1" si="46"/>
        <v>6459.63</v>
      </c>
      <c r="AJ124" s="114">
        <f t="shared" ca="1" si="46"/>
        <v>0</v>
      </c>
      <c r="AK124" s="114">
        <f t="shared" ca="1" si="46"/>
        <v>1867.79</v>
      </c>
      <c r="AN124">
        <f t="shared" si="49"/>
        <v>124</v>
      </c>
      <c r="AQ124" s="114">
        <f t="shared" ca="1" si="50"/>
        <v>1968</v>
      </c>
      <c r="AW124">
        <v>124</v>
      </c>
      <c r="BG124" s="114">
        <f t="shared" ca="1" si="47"/>
        <v>24381.439999999999</v>
      </c>
      <c r="BI124">
        <f t="shared" si="48"/>
        <v>0</v>
      </c>
    </row>
    <row r="125" spans="1:61" x14ac:dyDescent="0.25">
      <c r="A125" s="113">
        <f t="shared" si="64"/>
        <v>686</v>
      </c>
      <c r="B125" s="113" t="str">
        <f t="shared" si="65"/>
        <v>a</v>
      </c>
      <c r="C125" s="113" t="str">
        <f t="shared" si="65"/>
        <v>b</v>
      </c>
      <c r="D125" s="113" t="str">
        <f t="shared" si="65"/>
        <v>c</v>
      </c>
      <c r="E125" s="113" t="str">
        <f t="shared" si="65"/>
        <v>d</v>
      </c>
      <c r="F125" s="113" t="str">
        <f t="shared" si="65"/>
        <v>e</v>
      </c>
      <c r="G125" s="113" t="str">
        <f t="shared" si="65"/>
        <v>f</v>
      </c>
      <c r="H125" s="113" t="str">
        <f t="shared" si="65"/>
        <v>g</v>
      </c>
      <c r="I125" s="113" t="str">
        <f t="shared" si="65"/>
        <v>h</v>
      </c>
      <c r="J125" s="113" t="str">
        <f t="shared" si="65"/>
        <v>i</v>
      </c>
      <c r="K125" s="113" t="str">
        <f t="shared" si="65"/>
        <v>j</v>
      </c>
      <c r="L125" s="113" t="str">
        <f t="shared" si="65"/>
        <v>k</v>
      </c>
      <c r="M125" s="113" t="str">
        <f t="shared" si="65"/>
        <v>l</v>
      </c>
      <c r="N125" s="113" t="str">
        <f t="shared" si="65"/>
        <v>m</v>
      </c>
      <c r="O125" s="113">
        <f t="shared" si="65"/>
        <v>0</v>
      </c>
      <c r="P125" s="113">
        <f t="shared" si="65"/>
        <v>0</v>
      </c>
      <c r="Q125" s="113" t="str">
        <f t="shared" si="65"/>
        <v>p</v>
      </c>
      <c r="R125" s="113">
        <f t="shared" si="65"/>
        <v>0</v>
      </c>
      <c r="S125" s="113">
        <f t="shared" si="65"/>
        <v>0</v>
      </c>
      <c r="T125" s="113">
        <f t="shared" si="65"/>
        <v>0</v>
      </c>
      <c r="U125" s="113">
        <f t="shared" si="65"/>
        <v>0</v>
      </c>
      <c r="V125" s="113">
        <f t="shared" si="65"/>
        <v>0</v>
      </c>
      <c r="W125" s="113">
        <f t="shared" si="65"/>
        <v>0</v>
      </c>
      <c r="X125" s="113">
        <f t="shared" si="65"/>
        <v>0</v>
      </c>
      <c r="AA125" s="113">
        <v>15</v>
      </c>
      <c r="AB125" s="112">
        <f t="shared" ca="1" si="66"/>
        <v>39083</v>
      </c>
      <c r="AC125" s="112">
        <f t="shared" ca="1" si="66"/>
        <v>39113</v>
      </c>
      <c r="AF125" s="114">
        <f t="shared" ca="1" si="46"/>
        <v>18138.34</v>
      </c>
      <c r="AG125" s="114">
        <f t="shared" ca="1" si="46"/>
        <v>0</v>
      </c>
      <c r="AH125" s="114">
        <f t="shared" ca="1" si="46"/>
        <v>0</v>
      </c>
      <c r="AI125" s="114">
        <f t="shared" ca="1" si="46"/>
        <v>6459.63</v>
      </c>
      <c r="AJ125" s="114">
        <f t="shared" ca="1" si="46"/>
        <v>0</v>
      </c>
      <c r="AK125" s="114">
        <f t="shared" ca="1" si="46"/>
        <v>2049.83</v>
      </c>
      <c r="AN125">
        <f t="shared" si="49"/>
        <v>125</v>
      </c>
      <c r="AQ125" s="114">
        <f t="shared" ca="1" si="50"/>
        <v>2424</v>
      </c>
      <c r="AW125">
        <v>125</v>
      </c>
      <c r="BG125" s="114">
        <f t="shared" ca="1" si="47"/>
        <v>27021.97</v>
      </c>
      <c r="BI125">
        <f t="shared" si="48"/>
        <v>0</v>
      </c>
    </row>
    <row r="126" spans="1:61" x14ac:dyDescent="0.25">
      <c r="A126" s="113">
        <f t="shared" si="64"/>
        <v>688</v>
      </c>
      <c r="B126" s="113" t="str">
        <f t="shared" si="65"/>
        <v>a</v>
      </c>
      <c r="C126" s="113" t="str">
        <f t="shared" si="65"/>
        <v>b</v>
      </c>
      <c r="D126" s="113" t="str">
        <f t="shared" si="65"/>
        <v>c</v>
      </c>
      <c r="E126" s="113" t="str">
        <f t="shared" si="65"/>
        <v>d</v>
      </c>
      <c r="F126" s="113" t="str">
        <f t="shared" si="65"/>
        <v>e</v>
      </c>
      <c r="G126" s="113" t="str">
        <f t="shared" si="65"/>
        <v>f</v>
      </c>
      <c r="H126" s="113" t="str">
        <f t="shared" si="65"/>
        <v>g</v>
      </c>
      <c r="I126" s="113" t="str">
        <f t="shared" si="65"/>
        <v>h</v>
      </c>
      <c r="J126" s="113" t="str">
        <f t="shared" si="65"/>
        <v>i</v>
      </c>
      <c r="K126" s="113" t="str">
        <f t="shared" si="65"/>
        <v>j</v>
      </c>
      <c r="L126" s="113" t="str">
        <f t="shared" si="65"/>
        <v>k</v>
      </c>
      <c r="M126" s="113" t="str">
        <f t="shared" si="65"/>
        <v>l</v>
      </c>
      <c r="N126" s="113" t="str">
        <f t="shared" si="65"/>
        <v>m</v>
      </c>
      <c r="O126" s="113">
        <f t="shared" si="65"/>
        <v>0</v>
      </c>
      <c r="P126" s="113">
        <f t="shared" si="65"/>
        <v>0</v>
      </c>
      <c r="Q126" s="113" t="str">
        <f t="shared" si="65"/>
        <v>p</v>
      </c>
      <c r="R126" s="113">
        <f t="shared" si="65"/>
        <v>0</v>
      </c>
      <c r="S126" s="113">
        <f t="shared" si="65"/>
        <v>0</v>
      </c>
      <c r="T126" s="113">
        <f t="shared" si="65"/>
        <v>0</v>
      </c>
      <c r="U126" s="113">
        <f t="shared" si="65"/>
        <v>0</v>
      </c>
      <c r="V126" s="113">
        <f t="shared" si="65"/>
        <v>0</v>
      </c>
      <c r="W126" s="113">
        <f t="shared" si="65"/>
        <v>0</v>
      </c>
      <c r="X126" s="113">
        <f t="shared" si="65"/>
        <v>0</v>
      </c>
      <c r="AA126" s="113">
        <v>21</v>
      </c>
      <c r="AB126" s="112">
        <f t="shared" ca="1" si="66"/>
        <v>39083</v>
      </c>
      <c r="AC126" s="112">
        <f t="shared" ca="1" si="66"/>
        <v>39113</v>
      </c>
      <c r="AF126" s="114">
        <f t="shared" ca="1" si="46"/>
        <v>20920.77</v>
      </c>
      <c r="AG126" s="114">
        <f t="shared" ca="1" si="46"/>
        <v>0</v>
      </c>
      <c r="AH126" s="114">
        <f t="shared" ca="1" si="46"/>
        <v>0</v>
      </c>
      <c r="AI126" s="114">
        <f t="shared" ca="1" si="46"/>
        <v>6459.63</v>
      </c>
      <c r="AJ126" s="114">
        <f t="shared" ca="1" si="46"/>
        <v>0</v>
      </c>
      <c r="AK126" s="114">
        <f t="shared" ca="1" si="46"/>
        <v>2281.6999999999998</v>
      </c>
      <c r="AN126">
        <f t="shared" si="49"/>
        <v>126</v>
      </c>
      <c r="AQ126" s="114">
        <f t="shared" ca="1" si="50"/>
        <v>2424</v>
      </c>
      <c r="AW126">
        <v>126</v>
      </c>
      <c r="BG126" s="114">
        <f t="shared" ca="1" si="47"/>
        <v>29804.400000000001</v>
      </c>
      <c r="BI126">
        <f t="shared" si="48"/>
        <v>0</v>
      </c>
    </row>
    <row r="127" spans="1:61" x14ac:dyDescent="0.25">
      <c r="A127" s="113">
        <f t="shared" si="64"/>
        <v>690</v>
      </c>
      <c r="B127" s="113" t="str">
        <f t="shared" si="65"/>
        <v>a</v>
      </c>
      <c r="C127" s="113" t="str">
        <f t="shared" si="65"/>
        <v>b</v>
      </c>
      <c r="D127" s="113" t="str">
        <f t="shared" si="65"/>
        <v>c</v>
      </c>
      <c r="E127" s="113" t="str">
        <f t="shared" si="65"/>
        <v>d</v>
      </c>
      <c r="F127" s="113" t="str">
        <f t="shared" si="65"/>
        <v>e</v>
      </c>
      <c r="G127" s="113" t="str">
        <f t="shared" si="65"/>
        <v>f</v>
      </c>
      <c r="H127" s="113" t="str">
        <f t="shared" si="65"/>
        <v>g</v>
      </c>
      <c r="I127" s="113" t="str">
        <f t="shared" si="65"/>
        <v>h</v>
      </c>
      <c r="J127" s="113" t="str">
        <f t="shared" si="65"/>
        <v>i</v>
      </c>
      <c r="K127" s="113" t="str">
        <f t="shared" si="65"/>
        <v>j</v>
      </c>
      <c r="L127" s="113" t="str">
        <f t="shared" si="65"/>
        <v>k</v>
      </c>
      <c r="M127" s="113" t="str">
        <f t="shared" si="65"/>
        <v>l</v>
      </c>
      <c r="N127" s="113" t="str">
        <f t="shared" si="65"/>
        <v>m</v>
      </c>
      <c r="O127" s="113">
        <f t="shared" si="65"/>
        <v>0</v>
      </c>
      <c r="P127" s="113">
        <f t="shared" si="65"/>
        <v>0</v>
      </c>
      <c r="Q127" s="113" t="str">
        <f t="shared" si="65"/>
        <v>p</v>
      </c>
      <c r="R127" s="113">
        <f t="shared" si="65"/>
        <v>0</v>
      </c>
      <c r="S127" s="113">
        <f t="shared" si="65"/>
        <v>0</v>
      </c>
      <c r="T127" s="113">
        <f t="shared" si="65"/>
        <v>0</v>
      </c>
      <c r="U127" s="113">
        <f t="shared" si="65"/>
        <v>0</v>
      </c>
      <c r="V127" s="113">
        <f t="shared" si="65"/>
        <v>0</v>
      </c>
      <c r="W127" s="113">
        <f t="shared" si="65"/>
        <v>0</v>
      </c>
      <c r="X127" s="113">
        <f t="shared" si="65"/>
        <v>0</v>
      </c>
      <c r="AA127" s="113">
        <v>28</v>
      </c>
      <c r="AB127" s="112">
        <f t="shared" ca="1" si="66"/>
        <v>39083</v>
      </c>
      <c r="AC127" s="112">
        <f t="shared" ca="1" si="66"/>
        <v>39113</v>
      </c>
      <c r="AF127" s="114">
        <f t="shared" ca="1" si="46"/>
        <v>22743.77</v>
      </c>
      <c r="AG127" s="114">
        <f t="shared" ca="1" si="46"/>
        <v>0</v>
      </c>
      <c r="AH127" s="114">
        <f t="shared" ca="1" si="46"/>
        <v>0</v>
      </c>
      <c r="AI127" s="114">
        <f t="shared" ca="1" si="46"/>
        <v>6459.63</v>
      </c>
      <c r="AJ127" s="114">
        <f t="shared" ca="1" si="46"/>
        <v>0</v>
      </c>
      <c r="AK127" s="114">
        <f t="shared" ca="1" si="46"/>
        <v>2433.62</v>
      </c>
      <c r="AN127">
        <f t="shared" si="49"/>
        <v>127</v>
      </c>
      <c r="AQ127" s="114">
        <f t="shared" ca="1" si="50"/>
        <v>3090</v>
      </c>
      <c r="AW127">
        <v>127</v>
      </c>
      <c r="BG127" s="114">
        <f t="shared" ca="1" si="47"/>
        <v>32293.4</v>
      </c>
      <c r="BI127">
        <f t="shared" si="48"/>
        <v>0</v>
      </c>
    </row>
    <row r="128" spans="1:61" x14ac:dyDescent="0.25">
      <c r="A128" s="113">
        <f t="shared" si="64"/>
        <v>692</v>
      </c>
      <c r="B128" s="113" t="str">
        <f t="shared" si="65"/>
        <v>a</v>
      </c>
      <c r="C128" s="113" t="str">
        <f t="shared" si="65"/>
        <v>b</v>
      </c>
      <c r="D128" s="113" t="str">
        <f t="shared" si="65"/>
        <v>c</v>
      </c>
      <c r="E128" s="113" t="str">
        <f t="shared" si="65"/>
        <v>d</v>
      </c>
      <c r="F128" s="113" t="str">
        <f t="shared" si="65"/>
        <v>e</v>
      </c>
      <c r="G128" s="113" t="str">
        <f t="shared" si="65"/>
        <v>f</v>
      </c>
      <c r="H128" s="113" t="str">
        <f t="shared" si="65"/>
        <v>g</v>
      </c>
      <c r="I128" s="113" t="str">
        <f t="shared" si="65"/>
        <v>h</v>
      </c>
      <c r="J128" s="113" t="str">
        <f t="shared" si="65"/>
        <v>i</v>
      </c>
      <c r="K128" s="113" t="str">
        <f t="shared" si="65"/>
        <v>j</v>
      </c>
      <c r="L128" s="113" t="str">
        <f t="shared" si="65"/>
        <v>k</v>
      </c>
      <c r="M128" s="113" t="str">
        <f t="shared" si="65"/>
        <v>l</v>
      </c>
      <c r="N128" s="113" t="str">
        <f t="shared" si="65"/>
        <v>m</v>
      </c>
      <c r="O128" s="113">
        <f t="shared" si="65"/>
        <v>0</v>
      </c>
      <c r="P128" s="113">
        <f t="shared" si="65"/>
        <v>0</v>
      </c>
      <c r="Q128" s="113" t="str">
        <f t="shared" si="65"/>
        <v>p</v>
      </c>
      <c r="R128" s="113">
        <f t="shared" si="65"/>
        <v>0</v>
      </c>
      <c r="S128" s="113">
        <f t="shared" si="65"/>
        <v>0</v>
      </c>
      <c r="T128" s="113">
        <f t="shared" si="65"/>
        <v>0</v>
      </c>
      <c r="U128" s="113">
        <f t="shared" si="65"/>
        <v>0</v>
      </c>
      <c r="V128" s="113">
        <f t="shared" si="65"/>
        <v>0</v>
      </c>
      <c r="W128" s="113">
        <f t="shared" si="65"/>
        <v>0</v>
      </c>
      <c r="X128" s="113">
        <f t="shared" si="65"/>
        <v>0</v>
      </c>
      <c r="AA128" s="113">
        <v>35</v>
      </c>
      <c r="AB128" s="112">
        <f t="shared" ca="1" si="66"/>
        <v>39083</v>
      </c>
      <c r="AC128" s="112">
        <f t="shared" ca="1" si="66"/>
        <v>39113</v>
      </c>
      <c r="AF128" s="114">
        <f t="shared" ca="1" si="46"/>
        <v>24197.05</v>
      </c>
      <c r="AG128" s="114">
        <f t="shared" ca="1" si="46"/>
        <v>0</v>
      </c>
      <c r="AH128" s="114">
        <f t="shared" ca="1" si="46"/>
        <v>0</v>
      </c>
      <c r="AI128" s="114">
        <f t="shared" ca="1" si="46"/>
        <v>6459.63</v>
      </c>
      <c r="AJ128" s="114">
        <f t="shared" ca="1" si="46"/>
        <v>0</v>
      </c>
      <c r="AK128" s="114">
        <f t="shared" ca="1" si="46"/>
        <v>2554.7199999999998</v>
      </c>
      <c r="AN128">
        <f t="shared" si="49"/>
        <v>128</v>
      </c>
      <c r="AQ128" s="114">
        <f t="shared" ca="1" si="50"/>
        <v>3090</v>
      </c>
      <c r="AW128">
        <v>128</v>
      </c>
      <c r="BG128" s="114">
        <f t="shared" ca="1" si="47"/>
        <v>33746.68</v>
      </c>
      <c r="BI128">
        <f t="shared" si="48"/>
        <v>0</v>
      </c>
    </row>
    <row r="129" spans="1:61" x14ac:dyDescent="0.25">
      <c r="A129" s="113">
        <f>A122+20</f>
        <v>700</v>
      </c>
      <c r="B129" s="113" t="str">
        <f>B122</f>
        <v>a</v>
      </c>
      <c r="C129" s="113" t="str">
        <f t="shared" ref="C129:X129" si="67">C122</f>
        <v>b</v>
      </c>
      <c r="D129" s="113" t="str">
        <f t="shared" si="67"/>
        <v>c</v>
      </c>
      <c r="E129" s="113" t="str">
        <f t="shared" si="67"/>
        <v>d</v>
      </c>
      <c r="F129" s="113" t="str">
        <f t="shared" si="67"/>
        <v>e</v>
      </c>
      <c r="G129" s="113" t="str">
        <f t="shared" si="67"/>
        <v>f</v>
      </c>
      <c r="H129" s="113" t="str">
        <f t="shared" si="67"/>
        <v>g</v>
      </c>
      <c r="I129" s="113" t="str">
        <f t="shared" si="67"/>
        <v>h</v>
      </c>
      <c r="J129" s="113" t="str">
        <f t="shared" si="67"/>
        <v>i</v>
      </c>
      <c r="K129" s="113" t="str">
        <f t="shared" si="67"/>
        <v>j</v>
      </c>
      <c r="L129" s="113" t="str">
        <f t="shared" si="67"/>
        <v>k</v>
      </c>
      <c r="M129" s="113" t="str">
        <f t="shared" si="67"/>
        <v>l</v>
      </c>
      <c r="N129" s="113" t="str">
        <f t="shared" si="67"/>
        <v>m</v>
      </c>
      <c r="O129" s="113">
        <f t="shared" si="67"/>
        <v>0</v>
      </c>
      <c r="P129" s="113">
        <f t="shared" si="67"/>
        <v>0</v>
      </c>
      <c r="Q129" s="113" t="str">
        <f t="shared" si="67"/>
        <v>p</v>
      </c>
      <c r="R129" s="113">
        <f t="shared" si="67"/>
        <v>0</v>
      </c>
      <c r="S129" s="113">
        <f t="shared" si="67"/>
        <v>0</v>
      </c>
      <c r="T129" s="113">
        <f t="shared" si="67"/>
        <v>0</v>
      </c>
      <c r="U129" s="113">
        <f t="shared" si="67"/>
        <v>0</v>
      </c>
      <c r="V129" s="113">
        <f t="shared" si="67"/>
        <v>0</v>
      </c>
      <c r="W129" s="113">
        <f t="shared" si="67"/>
        <v>0</v>
      </c>
      <c r="X129" s="113">
        <f t="shared" si="67"/>
        <v>0</v>
      </c>
      <c r="AA129" s="113">
        <v>0</v>
      </c>
      <c r="AB129" s="112">
        <f ca="1">INDIRECT(CONCATENATE($AB$10,CONCATENATE(B129,$A129)))</f>
        <v>39114</v>
      </c>
      <c r="AC129" s="112">
        <f ca="1">INDIRECT(CONCATENATE($AB$10,CONCATENATE(C129,$A129)))</f>
        <v>39446</v>
      </c>
      <c r="AF129" s="114">
        <f t="shared" ca="1" si="46"/>
        <v>13608.72</v>
      </c>
      <c r="AG129" s="114">
        <f ca="1">INDIRECT(CONCATENATE($AB$10,CONCATENATE(G129,$A129)))</f>
        <v>0</v>
      </c>
      <c r="AH129" s="114">
        <f ca="1">INDIRECT(CONCATENATE($AB$10,CONCATENATE(H129,$A129)))</f>
        <v>0</v>
      </c>
      <c r="AI129" s="114">
        <f ca="1">INDIRECT(CONCATENATE($AB$10,CONCATENATE(I129,$A129)))</f>
        <v>6459.63</v>
      </c>
      <c r="AJ129" s="114">
        <f ca="1">INDIRECT(CONCATENATE($AB$10,CONCATENATE(J129,$A129)))</f>
        <v>0</v>
      </c>
      <c r="AK129" s="114">
        <f ca="1">INDIRECT(CONCATENATE($AB$10,CONCATENATE(K129,$A129)))</f>
        <v>1672.36</v>
      </c>
      <c r="AN129">
        <f t="shared" si="49"/>
        <v>129</v>
      </c>
      <c r="AQ129" s="114">
        <f t="shared" ca="1" si="50"/>
        <v>1968</v>
      </c>
      <c r="AW129">
        <v>129</v>
      </c>
      <c r="BG129" s="114">
        <f t="shared" ca="1" si="47"/>
        <v>22036.35</v>
      </c>
      <c r="BI129">
        <f t="shared" si="48"/>
        <v>0</v>
      </c>
    </row>
    <row r="130" spans="1:61" x14ac:dyDescent="0.25">
      <c r="A130" s="113">
        <f t="shared" ref="A130:A135" si="68">A129+2</f>
        <v>702</v>
      </c>
      <c r="B130" s="113" t="str">
        <f t="shared" ref="B130:X135" si="69">B129</f>
        <v>a</v>
      </c>
      <c r="C130" s="113" t="str">
        <f t="shared" si="69"/>
        <v>b</v>
      </c>
      <c r="D130" s="113" t="str">
        <f t="shared" si="69"/>
        <v>c</v>
      </c>
      <c r="E130" s="113" t="str">
        <f t="shared" si="69"/>
        <v>d</v>
      </c>
      <c r="F130" s="113" t="str">
        <f t="shared" si="69"/>
        <v>e</v>
      </c>
      <c r="G130" s="113" t="str">
        <f t="shared" si="69"/>
        <v>f</v>
      </c>
      <c r="H130" s="113" t="str">
        <f t="shared" si="69"/>
        <v>g</v>
      </c>
      <c r="I130" s="113" t="str">
        <f t="shared" si="69"/>
        <v>h</v>
      </c>
      <c r="J130" s="113" t="str">
        <f t="shared" si="69"/>
        <v>i</v>
      </c>
      <c r="K130" s="113" t="str">
        <f t="shared" si="69"/>
        <v>j</v>
      </c>
      <c r="L130" s="113" t="str">
        <f t="shared" si="69"/>
        <v>k</v>
      </c>
      <c r="M130" s="113" t="str">
        <f t="shared" si="69"/>
        <v>l</v>
      </c>
      <c r="N130" s="113" t="str">
        <f t="shared" si="69"/>
        <v>m</v>
      </c>
      <c r="O130" s="113">
        <f t="shared" si="69"/>
        <v>0</v>
      </c>
      <c r="P130" s="113">
        <f t="shared" si="69"/>
        <v>0</v>
      </c>
      <c r="Q130" s="113" t="str">
        <f t="shared" si="69"/>
        <v>p</v>
      </c>
      <c r="R130" s="113">
        <f t="shared" si="69"/>
        <v>0</v>
      </c>
      <c r="S130" s="113">
        <f t="shared" si="69"/>
        <v>0</v>
      </c>
      <c r="T130" s="113">
        <f t="shared" si="69"/>
        <v>0</v>
      </c>
      <c r="U130" s="113">
        <f t="shared" si="69"/>
        <v>0</v>
      </c>
      <c r="V130" s="113">
        <f t="shared" si="69"/>
        <v>0</v>
      </c>
      <c r="W130" s="113">
        <f t="shared" si="69"/>
        <v>0</v>
      </c>
      <c r="X130" s="113">
        <f t="shared" si="69"/>
        <v>0</v>
      </c>
      <c r="AA130" s="113">
        <v>3</v>
      </c>
      <c r="AB130" s="112">
        <f t="shared" ref="AB130:AC135" ca="1" si="70">AB129</f>
        <v>39114</v>
      </c>
      <c r="AC130" s="112">
        <f t="shared" ca="1" si="70"/>
        <v>39446</v>
      </c>
      <c r="AF130" s="114">
        <f t="shared" ca="1" si="46"/>
        <v>14745.7</v>
      </c>
      <c r="AG130" s="114">
        <f t="shared" ca="1" si="46"/>
        <v>0</v>
      </c>
      <c r="AH130" s="114">
        <f t="shared" ca="1" si="46"/>
        <v>0</v>
      </c>
      <c r="AI130" s="114">
        <f t="shared" ca="1" si="46"/>
        <v>6459.63</v>
      </c>
      <c r="AJ130" s="114">
        <f t="shared" ca="1" si="46"/>
        <v>0</v>
      </c>
      <c r="AK130" s="114">
        <f t="shared" ca="1" si="46"/>
        <v>1767.11</v>
      </c>
      <c r="AN130">
        <f t="shared" si="49"/>
        <v>130</v>
      </c>
      <c r="AQ130" s="114">
        <f t="shared" ca="1" si="50"/>
        <v>1968</v>
      </c>
      <c r="AW130">
        <v>130</v>
      </c>
      <c r="BG130" s="114">
        <f t="shared" ca="1" si="47"/>
        <v>23173.33</v>
      </c>
      <c r="BI130">
        <f t="shared" si="48"/>
        <v>0</v>
      </c>
    </row>
    <row r="131" spans="1:61" x14ac:dyDescent="0.25">
      <c r="A131" s="113">
        <f t="shared" si="68"/>
        <v>704</v>
      </c>
      <c r="B131" s="113" t="str">
        <f t="shared" si="69"/>
        <v>a</v>
      </c>
      <c r="C131" s="113" t="str">
        <f t="shared" si="69"/>
        <v>b</v>
      </c>
      <c r="D131" s="113" t="str">
        <f t="shared" si="69"/>
        <v>c</v>
      </c>
      <c r="E131" s="113" t="str">
        <f t="shared" si="69"/>
        <v>d</v>
      </c>
      <c r="F131" s="113" t="str">
        <f t="shared" si="69"/>
        <v>e</v>
      </c>
      <c r="G131" s="113" t="str">
        <f t="shared" si="69"/>
        <v>f</v>
      </c>
      <c r="H131" s="113" t="str">
        <f t="shared" si="69"/>
        <v>g</v>
      </c>
      <c r="I131" s="113" t="str">
        <f t="shared" si="69"/>
        <v>h</v>
      </c>
      <c r="J131" s="113" t="str">
        <f t="shared" si="69"/>
        <v>i</v>
      </c>
      <c r="K131" s="113" t="str">
        <f t="shared" si="69"/>
        <v>j</v>
      </c>
      <c r="L131" s="113" t="str">
        <f t="shared" si="69"/>
        <v>k</v>
      </c>
      <c r="M131" s="113" t="str">
        <f t="shared" si="69"/>
        <v>l</v>
      </c>
      <c r="N131" s="113" t="str">
        <f t="shared" si="69"/>
        <v>m</v>
      </c>
      <c r="O131" s="113">
        <f t="shared" si="69"/>
        <v>0</v>
      </c>
      <c r="P131" s="113">
        <f t="shared" si="69"/>
        <v>0</v>
      </c>
      <c r="Q131" s="113" t="str">
        <f t="shared" si="69"/>
        <v>p</v>
      </c>
      <c r="R131" s="113">
        <f t="shared" si="69"/>
        <v>0</v>
      </c>
      <c r="S131" s="113">
        <f t="shared" si="69"/>
        <v>0</v>
      </c>
      <c r="T131" s="113">
        <f t="shared" si="69"/>
        <v>0</v>
      </c>
      <c r="U131" s="113">
        <f t="shared" si="69"/>
        <v>0</v>
      </c>
      <c r="V131" s="113">
        <f t="shared" si="69"/>
        <v>0</v>
      </c>
      <c r="W131" s="113">
        <f t="shared" si="69"/>
        <v>0</v>
      </c>
      <c r="X131" s="113">
        <f t="shared" si="69"/>
        <v>0</v>
      </c>
      <c r="AA131" s="113">
        <v>9</v>
      </c>
      <c r="AB131" s="112">
        <f t="shared" ca="1" si="70"/>
        <v>39114</v>
      </c>
      <c r="AC131" s="112">
        <f t="shared" ca="1" si="70"/>
        <v>39446</v>
      </c>
      <c r="AF131" s="114">
        <f t="shared" ca="1" si="46"/>
        <v>16564.849999999999</v>
      </c>
      <c r="AG131" s="114">
        <f t="shared" ca="1" si="46"/>
        <v>0</v>
      </c>
      <c r="AH131" s="114">
        <f t="shared" ca="1" si="46"/>
        <v>0</v>
      </c>
      <c r="AI131" s="114">
        <f t="shared" ca="1" si="46"/>
        <v>6459.63</v>
      </c>
      <c r="AJ131" s="114">
        <f t="shared" ca="1" si="46"/>
        <v>0</v>
      </c>
      <c r="AK131" s="114">
        <f t="shared" ca="1" si="46"/>
        <v>1918.71</v>
      </c>
      <c r="AN131">
        <f t="shared" si="49"/>
        <v>131</v>
      </c>
      <c r="AQ131" s="114">
        <f t="shared" ca="1" si="50"/>
        <v>1968</v>
      </c>
      <c r="AW131">
        <v>131</v>
      </c>
      <c r="BG131" s="114">
        <f t="shared" ca="1" si="47"/>
        <v>24992.48</v>
      </c>
      <c r="BI131">
        <f t="shared" si="48"/>
        <v>0</v>
      </c>
    </row>
    <row r="132" spans="1:61" x14ac:dyDescent="0.25">
      <c r="A132" s="113">
        <f t="shared" si="68"/>
        <v>706</v>
      </c>
      <c r="B132" s="113" t="str">
        <f t="shared" si="69"/>
        <v>a</v>
      </c>
      <c r="C132" s="113" t="str">
        <f t="shared" si="69"/>
        <v>b</v>
      </c>
      <c r="D132" s="113" t="str">
        <f t="shared" si="69"/>
        <v>c</v>
      </c>
      <c r="E132" s="113" t="str">
        <f t="shared" si="69"/>
        <v>d</v>
      </c>
      <c r="F132" s="113" t="str">
        <f t="shared" si="69"/>
        <v>e</v>
      </c>
      <c r="G132" s="113" t="str">
        <f t="shared" si="69"/>
        <v>f</v>
      </c>
      <c r="H132" s="113" t="str">
        <f t="shared" si="69"/>
        <v>g</v>
      </c>
      <c r="I132" s="113" t="str">
        <f t="shared" si="69"/>
        <v>h</v>
      </c>
      <c r="J132" s="113" t="str">
        <f t="shared" si="69"/>
        <v>i</v>
      </c>
      <c r="K132" s="113" t="str">
        <f t="shared" si="69"/>
        <v>j</v>
      </c>
      <c r="L132" s="113" t="str">
        <f t="shared" si="69"/>
        <v>k</v>
      </c>
      <c r="M132" s="113" t="str">
        <f t="shared" si="69"/>
        <v>l</v>
      </c>
      <c r="N132" s="113" t="str">
        <f t="shared" si="69"/>
        <v>m</v>
      </c>
      <c r="O132" s="113">
        <f t="shared" si="69"/>
        <v>0</v>
      </c>
      <c r="P132" s="113">
        <f t="shared" si="69"/>
        <v>0</v>
      </c>
      <c r="Q132" s="113" t="str">
        <f t="shared" si="69"/>
        <v>p</v>
      </c>
      <c r="R132" s="113">
        <f t="shared" si="69"/>
        <v>0</v>
      </c>
      <c r="S132" s="113">
        <f t="shared" si="69"/>
        <v>0</v>
      </c>
      <c r="T132" s="113">
        <f t="shared" si="69"/>
        <v>0</v>
      </c>
      <c r="U132" s="113">
        <f t="shared" si="69"/>
        <v>0</v>
      </c>
      <c r="V132" s="113">
        <f t="shared" si="69"/>
        <v>0</v>
      </c>
      <c r="W132" s="113">
        <f t="shared" si="69"/>
        <v>0</v>
      </c>
      <c r="X132" s="113">
        <f t="shared" si="69"/>
        <v>0</v>
      </c>
      <c r="AA132" s="113">
        <v>15</v>
      </c>
      <c r="AB132" s="112">
        <f t="shared" ca="1" si="70"/>
        <v>39114</v>
      </c>
      <c r="AC132" s="112">
        <f t="shared" ca="1" si="70"/>
        <v>39446</v>
      </c>
      <c r="AF132" s="114">
        <f t="shared" ca="1" si="46"/>
        <v>18808.900000000001</v>
      </c>
      <c r="AG132" s="114">
        <f t="shared" ca="1" si="46"/>
        <v>0</v>
      </c>
      <c r="AH132" s="114">
        <f t="shared" ca="1" si="46"/>
        <v>0</v>
      </c>
      <c r="AI132" s="114">
        <f t="shared" ca="1" si="46"/>
        <v>6459.63</v>
      </c>
      <c r="AJ132" s="114">
        <f t="shared" ca="1" si="46"/>
        <v>0</v>
      </c>
      <c r="AK132" s="114">
        <f t="shared" ca="1" si="46"/>
        <v>2105.71</v>
      </c>
      <c r="AN132">
        <f t="shared" si="49"/>
        <v>132</v>
      </c>
      <c r="AQ132" s="114">
        <f t="shared" ca="1" si="50"/>
        <v>2424</v>
      </c>
      <c r="AW132">
        <v>132</v>
      </c>
      <c r="BG132" s="114">
        <f t="shared" ca="1" si="47"/>
        <v>27692.530000000002</v>
      </c>
      <c r="BI132">
        <f t="shared" si="48"/>
        <v>0</v>
      </c>
    </row>
    <row r="133" spans="1:61" x14ac:dyDescent="0.25">
      <c r="A133" s="113">
        <f t="shared" si="68"/>
        <v>708</v>
      </c>
      <c r="B133" s="113" t="str">
        <f t="shared" si="69"/>
        <v>a</v>
      </c>
      <c r="C133" s="113" t="str">
        <f t="shared" si="69"/>
        <v>b</v>
      </c>
      <c r="D133" s="113" t="str">
        <f t="shared" si="69"/>
        <v>c</v>
      </c>
      <c r="E133" s="113" t="str">
        <f t="shared" si="69"/>
        <v>d</v>
      </c>
      <c r="F133" s="113" t="str">
        <f t="shared" si="69"/>
        <v>e</v>
      </c>
      <c r="G133" s="113" t="str">
        <f t="shared" si="69"/>
        <v>f</v>
      </c>
      <c r="H133" s="113" t="str">
        <f t="shared" si="69"/>
        <v>g</v>
      </c>
      <c r="I133" s="113" t="str">
        <f t="shared" si="69"/>
        <v>h</v>
      </c>
      <c r="J133" s="113" t="str">
        <f t="shared" si="69"/>
        <v>i</v>
      </c>
      <c r="K133" s="113" t="str">
        <f t="shared" si="69"/>
        <v>j</v>
      </c>
      <c r="L133" s="113" t="str">
        <f t="shared" si="69"/>
        <v>k</v>
      </c>
      <c r="M133" s="113" t="str">
        <f t="shared" si="69"/>
        <v>l</v>
      </c>
      <c r="N133" s="113" t="str">
        <f t="shared" si="69"/>
        <v>m</v>
      </c>
      <c r="O133" s="113">
        <f t="shared" si="69"/>
        <v>0</v>
      </c>
      <c r="P133" s="113">
        <f t="shared" si="69"/>
        <v>0</v>
      </c>
      <c r="Q133" s="113" t="str">
        <f t="shared" si="69"/>
        <v>p</v>
      </c>
      <c r="R133" s="113">
        <f t="shared" si="69"/>
        <v>0</v>
      </c>
      <c r="S133" s="113">
        <f t="shared" si="69"/>
        <v>0</v>
      </c>
      <c r="T133" s="113">
        <f t="shared" si="69"/>
        <v>0</v>
      </c>
      <c r="U133" s="113">
        <f t="shared" si="69"/>
        <v>0</v>
      </c>
      <c r="V133" s="113">
        <f t="shared" si="69"/>
        <v>0</v>
      </c>
      <c r="W133" s="113">
        <f t="shared" si="69"/>
        <v>0</v>
      </c>
      <c r="X133" s="113">
        <f t="shared" si="69"/>
        <v>0</v>
      </c>
      <c r="AA133" s="113">
        <v>21</v>
      </c>
      <c r="AB133" s="112">
        <f t="shared" ca="1" si="70"/>
        <v>39114</v>
      </c>
      <c r="AC133" s="112">
        <f t="shared" ca="1" si="70"/>
        <v>39446</v>
      </c>
      <c r="AF133" s="114">
        <f t="shared" ca="1" si="46"/>
        <v>21667.29</v>
      </c>
      <c r="AG133" s="114">
        <f t="shared" ca="1" si="46"/>
        <v>0</v>
      </c>
      <c r="AH133" s="114">
        <f t="shared" ca="1" si="46"/>
        <v>0</v>
      </c>
      <c r="AI133" s="114">
        <f t="shared" ca="1" si="46"/>
        <v>6459.63</v>
      </c>
      <c r="AJ133" s="114">
        <f t="shared" ca="1" si="46"/>
        <v>0</v>
      </c>
      <c r="AK133" s="114">
        <f t="shared" ca="1" si="46"/>
        <v>2343.91</v>
      </c>
      <c r="AN133">
        <f t="shared" si="49"/>
        <v>133</v>
      </c>
      <c r="AQ133" s="114">
        <f t="shared" ca="1" si="50"/>
        <v>2424</v>
      </c>
      <c r="AW133">
        <v>133</v>
      </c>
      <c r="BG133" s="114">
        <f t="shared" ca="1" si="47"/>
        <v>30550.920000000002</v>
      </c>
      <c r="BI133">
        <f t="shared" si="48"/>
        <v>0</v>
      </c>
    </row>
    <row r="134" spans="1:61" x14ac:dyDescent="0.25">
      <c r="A134" s="113">
        <f t="shared" si="68"/>
        <v>710</v>
      </c>
      <c r="B134" s="113" t="str">
        <f t="shared" si="69"/>
        <v>a</v>
      </c>
      <c r="C134" s="113" t="str">
        <f t="shared" si="69"/>
        <v>b</v>
      </c>
      <c r="D134" s="113" t="str">
        <f t="shared" si="69"/>
        <v>c</v>
      </c>
      <c r="E134" s="113" t="str">
        <f t="shared" si="69"/>
        <v>d</v>
      </c>
      <c r="F134" s="113" t="str">
        <f t="shared" si="69"/>
        <v>e</v>
      </c>
      <c r="G134" s="113" t="str">
        <f t="shared" si="69"/>
        <v>f</v>
      </c>
      <c r="H134" s="113" t="str">
        <f t="shared" si="69"/>
        <v>g</v>
      </c>
      <c r="I134" s="113" t="str">
        <f t="shared" si="69"/>
        <v>h</v>
      </c>
      <c r="J134" s="113" t="str">
        <f t="shared" si="69"/>
        <v>i</v>
      </c>
      <c r="K134" s="113" t="str">
        <f t="shared" si="69"/>
        <v>j</v>
      </c>
      <c r="L134" s="113" t="str">
        <f t="shared" si="69"/>
        <v>k</v>
      </c>
      <c r="M134" s="113" t="str">
        <f t="shared" si="69"/>
        <v>l</v>
      </c>
      <c r="N134" s="113" t="str">
        <f t="shared" si="69"/>
        <v>m</v>
      </c>
      <c r="O134" s="113">
        <f t="shared" si="69"/>
        <v>0</v>
      </c>
      <c r="P134" s="113">
        <f t="shared" si="69"/>
        <v>0</v>
      </c>
      <c r="Q134" s="113" t="str">
        <f t="shared" si="69"/>
        <v>p</v>
      </c>
      <c r="R134" s="113">
        <f t="shared" si="69"/>
        <v>0</v>
      </c>
      <c r="S134" s="113">
        <f t="shared" si="69"/>
        <v>0</v>
      </c>
      <c r="T134" s="113">
        <f t="shared" si="69"/>
        <v>0</v>
      </c>
      <c r="U134" s="113">
        <f t="shared" si="69"/>
        <v>0</v>
      </c>
      <c r="V134" s="113">
        <f t="shared" si="69"/>
        <v>0</v>
      </c>
      <c r="W134" s="113">
        <f t="shared" si="69"/>
        <v>0</v>
      </c>
      <c r="X134" s="113">
        <f t="shared" si="69"/>
        <v>0</v>
      </c>
      <c r="AA134" s="113">
        <v>28</v>
      </c>
      <c r="AB134" s="112">
        <f t="shared" ca="1" si="70"/>
        <v>39114</v>
      </c>
      <c r="AC134" s="112">
        <f t="shared" ca="1" si="70"/>
        <v>39446</v>
      </c>
      <c r="AF134" s="114">
        <f t="shared" ca="1" si="46"/>
        <v>23539.85</v>
      </c>
      <c r="AG134" s="114">
        <f t="shared" ca="1" si="46"/>
        <v>0</v>
      </c>
      <c r="AH134" s="114">
        <f t="shared" ca="1" si="46"/>
        <v>0</v>
      </c>
      <c r="AI134" s="114">
        <f t="shared" ca="1" si="46"/>
        <v>6459.63</v>
      </c>
      <c r="AJ134" s="114">
        <f t="shared" ca="1" si="46"/>
        <v>0</v>
      </c>
      <c r="AK134" s="114">
        <f t="shared" ca="1" si="46"/>
        <v>2499.96</v>
      </c>
      <c r="AN134">
        <f t="shared" si="49"/>
        <v>134</v>
      </c>
      <c r="AQ134" s="114">
        <f t="shared" ca="1" si="50"/>
        <v>3090</v>
      </c>
      <c r="AW134">
        <v>134</v>
      </c>
      <c r="BG134" s="114">
        <f t="shared" ca="1" si="47"/>
        <v>33089.479999999996</v>
      </c>
      <c r="BI134">
        <f t="shared" si="48"/>
        <v>0</v>
      </c>
    </row>
    <row r="135" spans="1:61" x14ac:dyDescent="0.25">
      <c r="A135" s="113">
        <f t="shared" si="68"/>
        <v>712</v>
      </c>
      <c r="B135" s="113" t="str">
        <f t="shared" si="69"/>
        <v>a</v>
      </c>
      <c r="C135" s="113" t="str">
        <f t="shared" si="69"/>
        <v>b</v>
      </c>
      <c r="D135" s="113" t="str">
        <f t="shared" si="69"/>
        <v>c</v>
      </c>
      <c r="E135" s="113" t="str">
        <f t="shared" si="69"/>
        <v>d</v>
      </c>
      <c r="F135" s="113" t="str">
        <f t="shared" si="69"/>
        <v>e</v>
      </c>
      <c r="G135" s="113" t="str">
        <f t="shared" si="69"/>
        <v>f</v>
      </c>
      <c r="H135" s="113" t="str">
        <f t="shared" si="69"/>
        <v>g</v>
      </c>
      <c r="I135" s="113" t="str">
        <f t="shared" si="69"/>
        <v>h</v>
      </c>
      <c r="J135" s="113" t="str">
        <f t="shared" si="69"/>
        <v>i</v>
      </c>
      <c r="K135" s="113" t="str">
        <f t="shared" si="69"/>
        <v>j</v>
      </c>
      <c r="L135" s="113" t="str">
        <f t="shared" si="69"/>
        <v>k</v>
      </c>
      <c r="M135" s="113" t="str">
        <f t="shared" si="69"/>
        <v>l</v>
      </c>
      <c r="N135" s="113" t="str">
        <f t="shared" si="69"/>
        <v>m</v>
      </c>
      <c r="O135" s="113">
        <f t="shared" si="69"/>
        <v>0</v>
      </c>
      <c r="P135" s="113">
        <f t="shared" si="69"/>
        <v>0</v>
      </c>
      <c r="Q135" s="113" t="str">
        <f t="shared" si="69"/>
        <v>p</v>
      </c>
      <c r="R135" s="113">
        <f t="shared" si="69"/>
        <v>0</v>
      </c>
      <c r="S135" s="113">
        <f t="shared" si="69"/>
        <v>0</v>
      </c>
      <c r="T135" s="113">
        <f t="shared" si="69"/>
        <v>0</v>
      </c>
      <c r="U135" s="113">
        <f t="shared" si="69"/>
        <v>0</v>
      </c>
      <c r="V135" s="113">
        <f t="shared" si="69"/>
        <v>0</v>
      </c>
      <c r="W135" s="113">
        <f t="shared" si="69"/>
        <v>0</v>
      </c>
      <c r="X135" s="113">
        <f t="shared" si="69"/>
        <v>0</v>
      </c>
      <c r="AA135" s="113">
        <v>35</v>
      </c>
      <c r="AB135" s="112">
        <f t="shared" ca="1" si="70"/>
        <v>39114</v>
      </c>
      <c r="AC135" s="112">
        <f t="shared" ca="1" si="70"/>
        <v>39446</v>
      </c>
      <c r="AF135" s="114">
        <f t="shared" ca="1" si="46"/>
        <v>25032.73</v>
      </c>
      <c r="AG135" s="114">
        <f t="shared" ca="1" si="46"/>
        <v>0</v>
      </c>
      <c r="AH135" s="114">
        <f t="shared" ca="1" si="46"/>
        <v>0</v>
      </c>
      <c r="AI135" s="114">
        <f t="shared" ca="1" si="46"/>
        <v>6459.63</v>
      </c>
      <c r="AJ135" s="114">
        <f t="shared" ca="1" si="46"/>
        <v>0</v>
      </c>
      <c r="AK135" s="114">
        <f t="shared" ca="1" si="46"/>
        <v>2624.36</v>
      </c>
      <c r="AN135">
        <f t="shared" si="49"/>
        <v>135</v>
      </c>
      <c r="AQ135" s="114">
        <f t="shared" ca="1" si="50"/>
        <v>3090</v>
      </c>
      <c r="AW135">
        <v>135</v>
      </c>
      <c r="BG135" s="114">
        <f t="shared" ca="1" si="47"/>
        <v>34582.36</v>
      </c>
      <c r="BI135">
        <f t="shared" si="48"/>
        <v>0</v>
      </c>
    </row>
    <row r="136" spans="1:61" x14ac:dyDescent="0.25">
      <c r="A136" s="113">
        <f>A129+20</f>
        <v>720</v>
      </c>
      <c r="B136" s="113" t="str">
        <f>B129</f>
        <v>a</v>
      </c>
      <c r="C136" s="113" t="str">
        <f t="shared" ref="C136:X136" si="71">C129</f>
        <v>b</v>
      </c>
      <c r="D136" s="113" t="str">
        <f t="shared" si="71"/>
        <v>c</v>
      </c>
      <c r="E136" s="113" t="str">
        <f t="shared" si="71"/>
        <v>d</v>
      </c>
      <c r="F136" s="113" t="str">
        <f t="shared" si="71"/>
        <v>e</v>
      </c>
      <c r="G136" s="113" t="str">
        <f t="shared" si="71"/>
        <v>f</v>
      </c>
      <c r="H136" s="113" t="str">
        <f t="shared" si="71"/>
        <v>g</v>
      </c>
      <c r="I136" s="113" t="str">
        <f t="shared" si="71"/>
        <v>h</v>
      </c>
      <c r="J136" s="113" t="str">
        <f t="shared" si="71"/>
        <v>i</v>
      </c>
      <c r="K136" s="113" t="str">
        <f t="shared" si="71"/>
        <v>j</v>
      </c>
      <c r="L136" s="113" t="str">
        <f t="shared" si="71"/>
        <v>k</v>
      </c>
      <c r="M136" s="113" t="str">
        <f t="shared" si="71"/>
        <v>l</v>
      </c>
      <c r="N136" s="113" t="str">
        <f t="shared" si="71"/>
        <v>m</v>
      </c>
      <c r="O136" s="113">
        <f t="shared" si="71"/>
        <v>0</v>
      </c>
      <c r="P136" s="113">
        <f t="shared" si="71"/>
        <v>0</v>
      </c>
      <c r="Q136" s="113" t="str">
        <f t="shared" si="71"/>
        <v>p</v>
      </c>
      <c r="R136" s="113">
        <f t="shared" si="71"/>
        <v>0</v>
      </c>
      <c r="S136" s="113">
        <f t="shared" si="71"/>
        <v>0</v>
      </c>
      <c r="T136" s="113">
        <f t="shared" si="71"/>
        <v>0</v>
      </c>
      <c r="U136" s="113">
        <f t="shared" si="71"/>
        <v>0</v>
      </c>
      <c r="V136" s="113">
        <f t="shared" si="71"/>
        <v>0</v>
      </c>
      <c r="W136" s="113">
        <f t="shared" si="71"/>
        <v>0</v>
      </c>
      <c r="X136" s="113">
        <f t="shared" si="71"/>
        <v>0</v>
      </c>
      <c r="AA136" s="113">
        <v>0</v>
      </c>
      <c r="AB136" s="112">
        <f ca="1">INDIRECT(CONCATENATE($AB$10,CONCATENATE(B136,$A136)))</f>
        <v>39447</v>
      </c>
      <c r="AC136" s="112">
        <f ca="1">INDIRECT(CONCATENATE($AB$10,CONCATENATE(C136,$A136)))</f>
        <v>39538</v>
      </c>
      <c r="AF136" s="114">
        <f t="shared" ca="1" si="46"/>
        <v>13737.6</v>
      </c>
      <c r="AG136" s="114">
        <f ca="1">INDIRECT(CONCATENATE($AB$10,CONCATENATE(G136,$A136)))</f>
        <v>0</v>
      </c>
      <c r="AH136" s="114">
        <f ca="1">INDIRECT(CONCATENATE($AB$10,CONCATENATE(H136,$A136)))</f>
        <v>0</v>
      </c>
      <c r="AI136" s="114">
        <f ca="1">INDIRECT(CONCATENATE($AB$10,CONCATENATE(I136,$A136)))</f>
        <v>6459.63</v>
      </c>
      <c r="AJ136" s="114">
        <f ca="1">INDIRECT(CONCATENATE($AB$10,CONCATENATE(J136,$A136)))</f>
        <v>0</v>
      </c>
      <c r="AK136" s="114">
        <f ca="1">INDIRECT(CONCATENATE($AB$10,CONCATENATE(K136,$A136)))</f>
        <v>1683.1</v>
      </c>
      <c r="AN136">
        <f t="shared" si="49"/>
        <v>136</v>
      </c>
      <c r="AQ136" s="114">
        <f t="shared" ca="1" si="50"/>
        <v>1968</v>
      </c>
      <c r="AW136">
        <v>136</v>
      </c>
      <c r="BG136" s="114">
        <f t="shared" ca="1" si="47"/>
        <v>22165.23</v>
      </c>
      <c r="BI136">
        <f t="shared" si="48"/>
        <v>0</v>
      </c>
    </row>
    <row r="137" spans="1:61" x14ac:dyDescent="0.25">
      <c r="A137" s="113">
        <f t="shared" ref="A137:A142" si="72">A136+2</f>
        <v>722</v>
      </c>
      <c r="B137" s="113" t="str">
        <f t="shared" ref="B137:X142" si="73">B136</f>
        <v>a</v>
      </c>
      <c r="C137" s="113" t="str">
        <f t="shared" si="73"/>
        <v>b</v>
      </c>
      <c r="D137" s="113" t="str">
        <f t="shared" si="73"/>
        <v>c</v>
      </c>
      <c r="E137" s="113" t="str">
        <f t="shared" si="73"/>
        <v>d</v>
      </c>
      <c r="F137" s="113" t="str">
        <f t="shared" si="73"/>
        <v>e</v>
      </c>
      <c r="G137" s="113" t="str">
        <f t="shared" si="73"/>
        <v>f</v>
      </c>
      <c r="H137" s="113" t="str">
        <f t="shared" si="73"/>
        <v>g</v>
      </c>
      <c r="I137" s="113" t="str">
        <f t="shared" si="73"/>
        <v>h</v>
      </c>
      <c r="J137" s="113" t="str">
        <f t="shared" si="73"/>
        <v>i</v>
      </c>
      <c r="K137" s="113" t="str">
        <f t="shared" si="73"/>
        <v>j</v>
      </c>
      <c r="L137" s="113" t="str">
        <f t="shared" si="73"/>
        <v>k</v>
      </c>
      <c r="M137" s="113" t="str">
        <f t="shared" si="73"/>
        <v>l</v>
      </c>
      <c r="N137" s="113" t="str">
        <f t="shared" si="73"/>
        <v>m</v>
      </c>
      <c r="O137" s="113">
        <f t="shared" si="73"/>
        <v>0</v>
      </c>
      <c r="P137" s="113">
        <f t="shared" si="73"/>
        <v>0</v>
      </c>
      <c r="Q137" s="113" t="str">
        <f t="shared" si="73"/>
        <v>p</v>
      </c>
      <c r="R137" s="113">
        <f t="shared" si="73"/>
        <v>0</v>
      </c>
      <c r="S137" s="113">
        <f t="shared" si="73"/>
        <v>0</v>
      </c>
      <c r="T137" s="113">
        <f t="shared" si="73"/>
        <v>0</v>
      </c>
      <c r="U137" s="113">
        <f t="shared" si="73"/>
        <v>0</v>
      </c>
      <c r="V137" s="113">
        <f t="shared" si="73"/>
        <v>0</v>
      </c>
      <c r="W137" s="113">
        <f t="shared" si="73"/>
        <v>0</v>
      </c>
      <c r="X137" s="113">
        <f t="shared" si="73"/>
        <v>0</v>
      </c>
      <c r="AA137" s="113">
        <v>3</v>
      </c>
      <c r="AB137" s="112">
        <f t="shared" ref="AB137:AC142" ca="1" si="74">AB136</f>
        <v>39447</v>
      </c>
      <c r="AC137" s="112">
        <f t="shared" ca="1" si="74"/>
        <v>39538</v>
      </c>
      <c r="AF137" s="114">
        <f t="shared" ca="1" si="46"/>
        <v>14881.78</v>
      </c>
      <c r="AG137" s="114">
        <f t="shared" ca="1" si="46"/>
        <v>0</v>
      </c>
      <c r="AH137" s="114">
        <f t="shared" ca="1" si="46"/>
        <v>0</v>
      </c>
      <c r="AI137" s="114">
        <f t="shared" ca="1" si="46"/>
        <v>6459.63</v>
      </c>
      <c r="AJ137" s="114">
        <f t="shared" ca="1" si="46"/>
        <v>0</v>
      </c>
      <c r="AK137" s="114">
        <f t="shared" ca="1" si="46"/>
        <v>1778.45</v>
      </c>
      <c r="AN137">
        <f t="shared" si="49"/>
        <v>137</v>
      </c>
      <c r="AQ137" s="114">
        <f t="shared" ca="1" si="50"/>
        <v>1968</v>
      </c>
      <c r="AW137">
        <v>137</v>
      </c>
      <c r="BG137" s="114">
        <f t="shared" ca="1" si="47"/>
        <v>23309.41</v>
      </c>
      <c r="BI137">
        <f t="shared" si="48"/>
        <v>0</v>
      </c>
    </row>
    <row r="138" spans="1:61" x14ac:dyDescent="0.25">
      <c r="A138" s="113">
        <f t="shared" si="72"/>
        <v>724</v>
      </c>
      <c r="B138" s="113" t="str">
        <f t="shared" si="73"/>
        <v>a</v>
      </c>
      <c r="C138" s="113" t="str">
        <f t="shared" si="73"/>
        <v>b</v>
      </c>
      <c r="D138" s="113" t="str">
        <f t="shared" si="73"/>
        <v>c</v>
      </c>
      <c r="E138" s="113" t="str">
        <f t="shared" si="73"/>
        <v>d</v>
      </c>
      <c r="F138" s="113" t="str">
        <f t="shared" si="73"/>
        <v>e</v>
      </c>
      <c r="G138" s="113" t="str">
        <f t="shared" si="73"/>
        <v>f</v>
      </c>
      <c r="H138" s="113" t="str">
        <f t="shared" si="73"/>
        <v>g</v>
      </c>
      <c r="I138" s="113" t="str">
        <f t="shared" si="73"/>
        <v>h</v>
      </c>
      <c r="J138" s="113" t="str">
        <f t="shared" si="73"/>
        <v>i</v>
      </c>
      <c r="K138" s="113" t="str">
        <f t="shared" si="73"/>
        <v>j</v>
      </c>
      <c r="L138" s="113" t="str">
        <f t="shared" si="73"/>
        <v>k</v>
      </c>
      <c r="M138" s="113" t="str">
        <f t="shared" si="73"/>
        <v>l</v>
      </c>
      <c r="N138" s="113" t="str">
        <f t="shared" si="73"/>
        <v>m</v>
      </c>
      <c r="O138" s="113">
        <f t="shared" si="73"/>
        <v>0</v>
      </c>
      <c r="P138" s="113">
        <f t="shared" si="73"/>
        <v>0</v>
      </c>
      <c r="Q138" s="113" t="str">
        <f t="shared" si="73"/>
        <v>p</v>
      </c>
      <c r="R138" s="113">
        <f t="shared" si="73"/>
        <v>0</v>
      </c>
      <c r="S138" s="113">
        <f t="shared" si="73"/>
        <v>0</v>
      </c>
      <c r="T138" s="113">
        <f t="shared" si="73"/>
        <v>0</v>
      </c>
      <c r="U138" s="113">
        <f t="shared" si="73"/>
        <v>0</v>
      </c>
      <c r="V138" s="113">
        <f t="shared" si="73"/>
        <v>0</v>
      </c>
      <c r="W138" s="113">
        <f t="shared" si="73"/>
        <v>0</v>
      </c>
      <c r="X138" s="113">
        <f t="shared" si="73"/>
        <v>0</v>
      </c>
      <c r="AA138" s="113">
        <v>9</v>
      </c>
      <c r="AB138" s="112">
        <f t="shared" ca="1" si="74"/>
        <v>39447</v>
      </c>
      <c r="AC138" s="112">
        <f t="shared" ca="1" si="74"/>
        <v>39538</v>
      </c>
      <c r="AF138" s="114">
        <f t="shared" ca="1" si="46"/>
        <v>16712.57</v>
      </c>
      <c r="AG138" s="114">
        <f t="shared" ca="1" si="46"/>
        <v>0</v>
      </c>
      <c r="AH138" s="114">
        <f t="shared" ca="1" si="46"/>
        <v>0</v>
      </c>
      <c r="AI138" s="114">
        <f t="shared" ca="1" si="46"/>
        <v>6459.63</v>
      </c>
      <c r="AJ138" s="114">
        <f t="shared" ca="1" si="46"/>
        <v>0</v>
      </c>
      <c r="AK138" s="114">
        <f t="shared" ca="1" si="46"/>
        <v>1931.02</v>
      </c>
      <c r="AN138">
        <f t="shared" si="49"/>
        <v>138</v>
      </c>
      <c r="AQ138" s="114">
        <f t="shared" ca="1" si="50"/>
        <v>1968</v>
      </c>
      <c r="AW138">
        <v>138</v>
      </c>
      <c r="BG138" s="114">
        <f t="shared" ca="1" si="47"/>
        <v>25140.2</v>
      </c>
      <c r="BI138">
        <f t="shared" si="48"/>
        <v>0</v>
      </c>
    </row>
    <row r="139" spans="1:61" x14ac:dyDescent="0.25">
      <c r="A139" s="113">
        <f t="shared" si="72"/>
        <v>726</v>
      </c>
      <c r="B139" s="113" t="str">
        <f t="shared" si="73"/>
        <v>a</v>
      </c>
      <c r="C139" s="113" t="str">
        <f t="shared" si="73"/>
        <v>b</v>
      </c>
      <c r="D139" s="113" t="str">
        <f t="shared" si="73"/>
        <v>c</v>
      </c>
      <c r="E139" s="113" t="str">
        <f t="shared" si="73"/>
        <v>d</v>
      </c>
      <c r="F139" s="113" t="str">
        <f t="shared" si="73"/>
        <v>e</v>
      </c>
      <c r="G139" s="113" t="str">
        <f t="shared" si="73"/>
        <v>f</v>
      </c>
      <c r="H139" s="113" t="str">
        <f t="shared" si="73"/>
        <v>g</v>
      </c>
      <c r="I139" s="113" t="str">
        <f t="shared" si="73"/>
        <v>h</v>
      </c>
      <c r="J139" s="113" t="str">
        <f t="shared" si="73"/>
        <v>i</v>
      </c>
      <c r="K139" s="113" t="str">
        <f t="shared" si="73"/>
        <v>j</v>
      </c>
      <c r="L139" s="113" t="str">
        <f t="shared" si="73"/>
        <v>k</v>
      </c>
      <c r="M139" s="113" t="str">
        <f t="shared" si="73"/>
        <v>l</v>
      </c>
      <c r="N139" s="113" t="str">
        <f t="shared" si="73"/>
        <v>m</v>
      </c>
      <c r="O139" s="113">
        <f t="shared" si="73"/>
        <v>0</v>
      </c>
      <c r="P139" s="113">
        <f t="shared" si="73"/>
        <v>0</v>
      </c>
      <c r="Q139" s="113" t="str">
        <f t="shared" si="73"/>
        <v>p</v>
      </c>
      <c r="R139" s="113">
        <f t="shared" si="73"/>
        <v>0</v>
      </c>
      <c r="S139" s="113">
        <f t="shared" si="73"/>
        <v>0</v>
      </c>
      <c r="T139" s="113">
        <f t="shared" si="73"/>
        <v>0</v>
      </c>
      <c r="U139" s="113">
        <f t="shared" si="73"/>
        <v>0</v>
      </c>
      <c r="V139" s="113">
        <f t="shared" si="73"/>
        <v>0</v>
      </c>
      <c r="W139" s="113">
        <f t="shared" si="73"/>
        <v>0</v>
      </c>
      <c r="X139" s="113">
        <f t="shared" si="73"/>
        <v>0</v>
      </c>
      <c r="AA139" s="113">
        <v>15</v>
      </c>
      <c r="AB139" s="112">
        <f t="shared" ca="1" si="74"/>
        <v>39447</v>
      </c>
      <c r="AC139" s="112">
        <f t="shared" ca="1" si="74"/>
        <v>39538</v>
      </c>
      <c r="AF139" s="114">
        <f t="shared" ca="1" si="46"/>
        <v>18971.02</v>
      </c>
      <c r="AG139" s="114">
        <f t="shared" ca="1" si="46"/>
        <v>0</v>
      </c>
      <c r="AH139" s="114">
        <f t="shared" ca="1" si="46"/>
        <v>0</v>
      </c>
      <c r="AI139" s="114">
        <f t="shared" ca="1" si="46"/>
        <v>6459.63</v>
      </c>
      <c r="AJ139" s="114">
        <f t="shared" ca="1" si="46"/>
        <v>0</v>
      </c>
      <c r="AK139" s="114">
        <f t="shared" ca="1" si="46"/>
        <v>2119.2199999999998</v>
      </c>
      <c r="AN139">
        <f t="shared" si="49"/>
        <v>139</v>
      </c>
      <c r="AQ139" s="114">
        <f t="shared" ca="1" si="50"/>
        <v>2424</v>
      </c>
      <c r="AW139">
        <v>139</v>
      </c>
      <c r="BG139" s="114">
        <f t="shared" ca="1" si="47"/>
        <v>27854.65</v>
      </c>
      <c r="BI139">
        <f t="shared" si="48"/>
        <v>0</v>
      </c>
    </row>
    <row r="140" spans="1:61" x14ac:dyDescent="0.25">
      <c r="A140" s="113">
        <f t="shared" si="72"/>
        <v>728</v>
      </c>
      <c r="B140" s="113" t="str">
        <f t="shared" si="73"/>
        <v>a</v>
      </c>
      <c r="C140" s="113" t="str">
        <f t="shared" si="73"/>
        <v>b</v>
      </c>
      <c r="D140" s="113" t="str">
        <f t="shared" si="73"/>
        <v>c</v>
      </c>
      <c r="E140" s="113" t="str">
        <f t="shared" si="73"/>
        <v>d</v>
      </c>
      <c r="F140" s="113" t="str">
        <f t="shared" si="73"/>
        <v>e</v>
      </c>
      <c r="G140" s="113" t="str">
        <f t="shared" si="73"/>
        <v>f</v>
      </c>
      <c r="H140" s="113" t="str">
        <f t="shared" si="73"/>
        <v>g</v>
      </c>
      <c r="I140" s="113" t="str">
        <f t="shared" si="73"/>
        <v>h</v>
      </c>
      <c r="J140" s="113" t="str">
        <f t="shared" si="73"/>
        <v>i</v>
      </c>
      <c r="K140" s="113" t="str">
        <f t="shared" si="73"/>
        <v>j</v>
      </c>
      <c r="L140" s="113" t="str">
        <f t="shared" si="73"/>
        <v>k</v>
      </c>
      <c r="M140" s="113" t="str">
        <f t="shared" si="73"/>
        <v>l</v>
      </c>
      <c r="N140" s="113" t="str">
        <f t="shared" si="73"/>
        <v>m</v>
      </c>
      <c r="O140" s="113">
        <f t="shared" si="73"/>
        <v>0</v>
      </c>
      <c r="P140" s="113">
        <f t="shared" si="73"/>
        <v>0</v>
      </c>
      <c r="Q140" s="113" t="str">
        <f t="shared" si="73"/>
        <v>p</v>
      </c>
      <c r="R140" s="113">
        <f t="shared" si="73"/>
        <v>0</v>
      </c>
      <c r="S140" s="113">
        <f t="shared" si="73"/>
        <v>0</v>
      </c>
      <c r="T140" s="113">
        <f t="shared" si="73"/>
        <v>0</v>
      </c>
      <c r="U140" s="113">
        <f t="shared" si="73"/>
        <v>0</v>
      </c>
      <c r="V140" s="113">
        <f t="shared" si="73"/>
        <v>0</v>
      </c>
      <c r="W140" s="113">
        <f t="shared" si="73"/>
        <v>0</v>
      </c>
      <c r="X140" s="113">
        <f t="shared" si="73"/>
        <v>0</v>
      </c>
      <c r="AA140" s="113">
        <v>21</v>
      </c>
      <c r="AB140" s="112">
        <f t="shared" ca="1" si="74"/>
        <v>39447</v>
      </c>
      <c r="AC140" s="112">
        <f t="shared" ca="1" si="74"/>
        <v>39538</v>
      </c>
      <c r="AF140" s="114">
        <f t="shared" ca="1" si="46"/>
        <v>21847.77</v>
      </c>
      <c r="AG140" s="114">
        <f t="shared" ca="1" si="46"/>
        <v>0</v>
      </c>
      <c r="AH140" s="114">
        <f t="shared" ca="1" si="46"/>
        <v>0</v>
      </c>
      <c r="AI140" s="114">
        <f t="shared" ca="1" si="46"/>
        <v>6459.63</v>
      </c>
      <c r="AJ140" s="114">
        <f t="shared" ca="1" si="46"/>
        <v>0</v>
      </c>
      <c r="AK140" s="114">
        <f t="shared" ca="1" si="46"/>
        <v>2358.9499999999998</v>
      </c>
      <c r="AN140">
        <f t="shared" si="49"/>
        <v>140</v>
      </c>
      <c r="AQ140" s="114">
        <f t="shared" ca="1" si="50"/>
        <v>2424</v>
      </c>
      <c r="AW140">
        <v>140</v>
      </c>
      <c r="BG140" s="114">
        <f t="shared" ca="1" si="47"/>
        <v>30731.4</v>
      </c>
      <c r="BI140">
        <f t="shared" si="48"/>
        <v>0</v>
      </c>
    </row>
    <row r="141" spans="1:61" x14ac:dyDescent="0.25">
      <c r="A141" s="113">
        <f t="shared" si="72"/>
        <v>730</v>
      </c>
      <c r="B141" s="113" t="str">
        <f t="shared" si="73"/>
        <v>a</v>
      </c>
      <c r="C141" s="113" t="str">
        <f t="shared" si="73"/>
        <v>b</v>
      </c>
      <c r="D141" s="113" t="str">
        <f t="shared" si="73"/>
        <v>c</v>
      </c>
      <c r="E141" s="113" t="str">
        <f t="shared" si="73"/>
        <v>d</v>
      </c>
      <c r="F141" s="113" t="str">
        <f t="shared" si="73"/>
        <v>e</v>
      </c>
      <c r="G141" s="113" t="str">
        <f t="shared" si="73"/>
        <v>f</v>
      </c>
      <c r="H141" s="113" t="str">
        <f t="shared" si="73"/>
        <v>g</v>
      </c>
      <c r="I141" s="113" t="str">
        <f t="shared" si="73"/>
        <v>h</v>
      </c>
      <c r="J141" s="113" t="str">
        <f t="shared" si="73"/>
        <v>i</v>
      </c>
      <c r="K141" s="113" t="str">
        <f t="shared" si="73"/>
        <v>j</v>
      </c>
      <c r="L141" s="113" t="str">
        <f t="shared" si="73"/>
        <v>k</v>
      </c>
      <c r="M141" s="113" t="str">
        <f t="shared" si="73"/>
        <v>l</v>
      </c>
      <c r="N141" s="113" t="str">
        <f t="shared" si="73"/>
        <v>m</v>
      </c>
      <c r="O141" s="113">
        <f t="shared" si="73"/>
        <v>0</v>
      </c>
      <c r="P141" s="113">
        <f t="shared" si="73"/>
        <v>0</v>
      </c>
      <c r="Q141" s="113" t="str">
        <f t="shared" si="73"/>
        <v>p</v>
      </c>
      <c r="R141" s="113">
        <f t="shared" si="73"/>
        <v>0</v>
      </c>
      <c r="S141" s="113">
        <f t="shared" si="73"/>
        <v>0</v>
      </c>
      <c r="T141" s="113">
        <f t="shared" si="73"/>
        <v>0</v>
      </c>
      <c r="U141" s="113">
        <f t="shared" si="73"/>
        <v>0</v>
      </c>
      <c r="V141" s="113">
        <f t="shared" si="73"/>
        <v>0</v>
      </c>
      <c r="W141" s="113">
        <f t="shared" si="73"/>
        <v>0</v>
      </c>
      <c r="X141" s="113">
        <f t="shared" si="73"/>
        <v>0</v>
      </c>
      <c r="AA141" s="113">
        <v>28</v>
      </c>
      <c r="AB141" s="112">
        <f t="shared" ca="1" si="74"/>
        <v>39447</v>
      </c>
      <c r="AC141" s="112">
        <f t="shared" ca="1" si="74"/>
        <v>39538</v>
      </c>
      <c r="AF141" s="114">
        <f t="shared" ca="1" si="46"/>
        <v>23732.45</v>
      </c>
      <c r="AG141" s="114">
        <f t="shared" ca="1" si="46"/>
        <v>0</v>
      </c>
      <c r="AH141" s="114">
        <f t="shared" ca="1" si="46"/>
        <v>0</v>
      </c>
      <c r="AI141" s="114">
        <f t="shared" ca="1" si="46"/>
        <v>6459.63</v>
      </c>
      <c r="AJ141" s="114">
        <f t="shared" ca="1" si="46"/>
        <v>0</v>
      </c>
      <c r="AK141" s="114">
        <f t="shared" ca="1" si="46"/>
        <v>2516.0100000000002</v>
      </c>
      <c r="AN141">
        <f t="shared" si="49"/>
        <v>141</v>
      </c>
      <c r="AQ141" s="114">
        <f t="shared" ca="1" si="50"/>
        <v>3090</v>
      </c>
      <c r="AW141">
        <v>141</v>
      </c>
      <c r="BG141" s="114">
        <f t="shared" ca="1" si="47"/>
        <v>33282.080000000002</v>
      </c>
      <c r="BI141">
        <f t="shared" si="48"/>
        <v>0</v>
      </c>
    </row>
    <row r="142" spans="1:61" x14ac:dyDescent="0.25">
      <c r="A142" s="113">
        <f t="shared" si="72"/>
        <v>732</v>
      </c>
      <c r="B142" s="113" t="str">
        <f t="shared" si="73"/>
        <v>a</v>
      </c>
      <c r="C142" s="113" t="str">
        <f t="shared" si="73"/>
        <v>b</v>
      </c>
      <c r="D142" s="113" t="str">
        <f t="shared" si="73"/>
        <v>c</v>
      </c>
      <c r="E142" s="113" t="str">
        <f t="shared" si="73"/>
        <v>d</v>
      </c>
      <c r="F142" s="113" t="str">
        <f t="shared" si="73"/>
        <v>e</v>
      </c>
      <c r="G142" s="113" t="str">
        <f t="shared" si="73"/>
        <v>f</v>
      </c>
      <c r="H142" s="113" t="str">
        <f t="shared" si="73"/>
        <v>g</v>
      </c>
      <c r="I142" s="113" t="str">
        <f t="shared" si="73"/>
        <v>h</v>
      </c>
      <c r="J142" s="113" t="str">
        <f t="shared" si="73"/>
        <v>i</v>
      </c>
      <c r="K142" s="113" t="str">
        <f t="shared" si="73"/>
        <v>j</v>
      </c>
      <c r="L142" s="113" t="str">
        <f t="shared" si="73"/>
        <v>k</v>
      </c>
      <c r="M142" s="113" t="str">
        <f t="shared" si="73"/>
        <v>l</v>
      </c>
      <c r="N142" s="113" t="str">
        <f t="shared" si="73"/>
        <v>m</v>
      </c>
      <c r="O142" s="113">
        <f t="shared" si="73"/>
        <v>0</v>
      </c>
      <c r="P142" s="113">
        <f t="shared" si="73"/>
        <v>0</v>
      </c>
      <c r="Q142" s="113" t="str">
        <f t="shared" si="73"/>
        <v>p</v>
      </c>
      <c r="R142" s="113">
        <f t="shared" si="73"/>
        <v>0</v>
      </c>
      <c r="S142" s="113">
        <f t="shared" si="73"/>
        <v>0</v>
      </c>
      <c r="T142" s="113">
        <f t="shared" si="73"/>
        <v>0</v>
      </c>
      <c r="U142" s="113">
        <f t="shared" si="73"/>
        <v>0</v>
      </c>
      <c r="V142" s="113">
        <f t="shared" si="73"/>
        <v>0</v>
      </c>
      <c r="W142" s="113">
        <f t="shared" si="73"/>
        <v>0</v>
      </c>
      <c r="X142" s="113">
        <f t="shared" si="73"/>
        <v>0</v>
      </c>
      <c r="AA142" s="113">
        <v>35</v>
      </c>
      <c r="AB142" s="112">
        <f t="shared" ca="1" si="74"/>
        <v>39447</v>
      </c>
      <c r="AC142" s="112">
        <f t="shared" ca="1" si="74"/>
        <v>39538</v>
      </c>
      <c r="AF142" s="114">
        <f t="shared" ca="1" si="46"/>
        <v>25234.81</v>
      </c>
      <c r="AG142" s="114">
        <f t="shared" ca="1" si="46"/>
        <v>0</v>
      </c>
      <c r="AH142" s="114">
        <f t="shared" ca="1" si="46"/>
        <v>0</v>
      </c>
      <c r="AI142" s="114">
        <f t="shared" ca="1" si="46"/>
        <v>6459.63</v>
      </c>
      <c r="AJ142" s="114">
        <f t="shared" ca="1" si="46"/>
        <v>0</v>
      </c>
      <c r="AK142" s="114">
        <f t="shared" ca="1" si="46"/>
        <v>2641.2</v>
      </c>
      <c r="AN142">
        <f t="shared" si="49"/>
        <v>142</v>
      </c>
      <c r="AQ142" s="114">
        <f t="shared" ca="1" si="50"/>
        <v>3090</v>
      </c>
      <c r="AW142">
        <v>142</v>
      </c>
      <c r="BG142" s="114">
        <f t="shared" ca="1" si="47"/>
        <v>34784.44</v>
      </c>
      <c r="BI142">
        <f t="shared" si="48"/>
        <v>0</v>
      </c>
    </row>
    <row r="143" spans="1:61" x14ac:dyDescent="0.25">
      <c r="A143" s="113">
        <f>A136+20</f>
        <v>740</v>
      </c>
      <c r="B143" s="113" t="str">
        <f>B136</f>
        <v>a</v>
      </c>
      <c r="C143" s="113" t="str">
        <f t="shared" ref="C143:X143" si="75">C136</f>
        <v>b</v>
      </c>
      <c r="D143" s="113" t="str">
        <f t="shared" si="75"/>
        <v>c</v>
      </c>
      <c r="E143" s="113" t="str">
        <f t="shared" si="75"/>
        <v>d</v>
      </c>
      <c r="F143" s="113" t="str">
        <f t="shared" si="75"/>
        <v>e</v>
      </c>
      <c r="G143" s="113" t="str">
        <f t="shared" si="75"/>
        <v>f</v>
      </c>
      <c r="H143" s="113" t="str">
        <f t="shared" si="75"/>
        <v>g</v>
      </c>
      <c r="I143" s="113" t="str">
        <f t="shared" si="75"/>
        <v>h</v>
      </c>
      <c r="J143" s="113" t="str">
        <f t="shared" si="75"/>
        <v>i</v>
      </c>
      <c r="K143" s="113" t="str">
        <f t="shared" si="75"/>
        <v>j</v>
      </c>
      <c r="L143" s="113" t="str">
        <f t="shared" si="75"/>
        <v>k</v>
      </c>
      <c r="M143" s="113" t="str">
        <f t="shared" si="75"/>
        <v>l</v>
      </c>
      <c r="N143" s="113" t="str">
        <f t="shared" si="75"/>
        <v>m</v>
      </c>
      <c r="O143" s="113">
        <f t="shared" si="75"/>
        <v>0</v>
      </c>
      <c r="P143" s="113">
        <f t="shared" si="75"/>
        <v>0</v>
      </c>
      <c r="Q143" s="113" t="str">
        <f t="shared" si="75"/>
        <v>p</v>
      </c>
      <c r="R143" s="113">
        <f t="shared" si="75"/>
        <v>0</v>
      </c>
      <c r="S143" s="113">
        <f t="shared" si="75"/>
        <v>0</v>
      </c>
      <c r="T143" s="113">
        <f t="shared" si="75"/>
        <v>0</v>
      </c>
      <c r="U143" s="113">
        <f t="shared" si="75"/>
        <v>0</v>
      </c>
      <c r="V143" s="113">
        <f t="shared" si="75"/>
        <v>0</v>
      </c>
      <c r="W143" s="113">
        <f t="shared" si="75"/>
        <v>0</v>
      </c>
      <c r="X143" s="113">
        <f t="shared" si="75"/>
        <v>0</v>
      </c>
      <c r="AA143" s="113">
        <v>0</v>
      </c>
      <c r="AB143" s="112">
        <f ca="1">INDIRECT(CONCATENATE($AB$10,CONCATENATE(B143,$A143)))</f>
        <v>39539</v>
      </c>
      <c r="AC143" s="112">
        <f ca="1">INDIRECT(CONCATENATE($AB$10,CONCATENATE(C143,$A143)))</f>
        <v>39629</v>
      </c>
      <c r="AF143" s="114">
        <f t="shared" ca="1" si="46"/>
        <v>13840.56</v>
      </c>
      <c r="AG143" s="114">
        <f ca="1">INDIRECT(CONCATENATE($AB$10,CONCATENATE(G143,$A143)))</f>
        <v>0</v>
      </c>
      <c r="AH143" s="114">
        <f ca="1">INDIRECT(CONCATENATE($AB$10,CONCATENATE(H143,$A143)))</f>
        <v>0</v>
      </c>
      <c r="AI143" s="114">
        <f ca="1">INDIRECT(CONCATENATE($AB$10,CONCATENATE(I143,$A143)))</f>
        <v>6459.63</v>
      </c>
      <c r="AJ143" s="114">
        <f ca="1">INDIRECT(CONCATENATE($AB$10,CONCATENATE(J143,$A143)))</f>
        <v>0</v>
      </c>
      <c r="AK143" s="114">
        <f ca="1">INDIRECT(CONCATENATE($AB$10,CONCATENATE(K143,$A143)))</f>
        <v>1691.68</v>
      </c>
      <c r="AN143">
        <f t="shared" si="49"/>
        <v>143</v>
      </c>
      <c r="AQ143" s="114">
        <f t="shared" ca="1" si="50"/>
        <v>1968</v>
      </c>
      <c r="AW143">
        <v>143</v>
      </c>
      <c r="BG143" s="114">
        <f t="shared" ca="1" si="47"/>
        <v>22268.19</v>
      </c>
      <c r="BI143">
        <f t="shared" si="48"/>
        <v>0</v>
      </c>
    </row>
    <row r="144" spans="1:61" x14ac:dyDescent="0.25">
      <c r="A144" s="113">
        <f t="shared" ref="A144:A149" si="76">A143+2</f>
        <v>742</v>
      </c>
      <c r="B144" s="113" t="str">
        <f t="shared" ref="B144:X149" si="77">B143</f>
        <v>a</v>
      </c>
      <c r="C144" s="113" t="str">
        <f t="shared" si="77"/>
        <v>b</v>
      </c>
      <c r="D144" s="113" t="str">
        <f t="shared" si="77"/>
        <v>c</v>
      </c>
      <c r="E144" s="113" t="str">
        <f t="shared" si="77"/>
        <v>d</v>
      </c>
      <c r="F144" s="113" t="str">
        <f t="shared" si="77"/>
        <v>e</v>
      </c>
      <c r="G144" s="113" t="str">
        <f t="shared" si="77"/>
        <v>f</v>
      </c>
      <c r="H144" s="113" t="str">
        <f t="shared" si="77"/>
        <v>g</v>
      </c>
      <c r="I144" s="113" t="str">
        <f t="shared" si="77"/>
        <v>h</v>
      </c>
      <c r="J144" s="113" t="str">
        <f t="shared" si="77"/>
        <v>i</v>
      </c>
      <c r="K144" s="113" t="str">
        <f t="shared" si="77"/>
        <v>j</v>
      </c>
      <c r="L144" s="113" t="str">
        <f t="shared" si="77"/>
        <v>k</v>
      </c>
      <c r="M144" s="113" t="str">
        <f t="shared" si="77"/>
        <v>l</v>
      </c>
      <c r="N144" s="113" t="str">
        <f t="shared" si="77"/>
        <v>m</v>
      </c>
      <c r="O144" s="113">
        <f t="shared" si="77"/>
        <v>0</v>
      </c>
      <c r="P144" s="113">
        <f t="shared" si="77"/>
        <v>0</v>
      </c>
      <c r="Q144" s="113" t="str">
        <f t="shared" si="77"/>
        <v>p</v>
      </c>
      <c r="R144" s="113">
        <f t="shared" si="77"/>
        <v>0</v>
      </c>
      <c r="S144" s="113">
        <f t="shared" si="77"/>
        <v>0</v>
      </c>
      <c r="T144" s="113">
        <f t="shared" si="77"/>
        <v>0</v>
      </c>
      <c r="U144" s="113">
        <f t="shared" si="77"/>
        <v>0</v>
      </c>
      <c r="V144" s="113">
        <f t="shared" si="77"/>
        <v>0</v>
      </c>
      <c r="W144" s="113">
        <f t="shared" si="77"/>
        <v>0</v>
      </c>
      <c r="X144" s="113">
        <f t="shared" si="77"/>
        <v>0</v>
      </c>
      <c r="AA144" s="113">
        <v>3</v>
      </c>
      <c r="AB144" s="112">
        <f t="shared" ref="AB144:AC149" ca="1" si="78">AB143</f>
        <v>39539</v>
      </c>
      <c r="AC144" s="112">
        <f t="shared" ca="1" si="78"/>
        <v>39629</v>
      </c>
      <c r="AF144" s="114">
        <f t="shared" ca="1" si="46"/>
        <v>14984.74</v>
      </c>
      <c r="AG144" s="114">
        <f t="shared" ca="1" si="46"/>
        <v>0</v>
      </c>
      <c r="AH144" s="114">
        <f t="shared" ca="1" si="46"/>
        <v>0</v>
      </c>
      <c r="AI144" s="114">
        <f t="shared" ca="1" si="46"/>
        <v>6459.63</v>
      </c>
      <c r="AJ144" s="114">
        <f t="shared" ca="1" si="46"/>
        <v>0</v>
      </c>
      <c r="AK144" s="114">
        <f t="shared" ca="1" si="46"/>
        <v>1787.03</v>
      </c>
      <c r="AN144">
        <f t="shared" si="49"/>
        <v>144</v>
      </c>
      <c r="AQ144" s="114">
        <f t="shared" ca="1" si="50"/>
        <v>1968</v>
      </c>
      <c r="AW144">
        <v>144</v>
      </c>
      <c r="BG144" s="114">
        <f t="shared" ca="1" si="47"/>
        <v>23412.37</v>
      </c>
      <c r="BI144">
        <f t="shared" si="48"/>
        <v>0</v>
      </c>
    </row>
    <row r="145" spans="1:61" x14ac:dyDescent="0.25">
      <c r="A145" s="113">
        <f t="shared" si="76"/>
        <v>744</v>
      </c>
      <c r="B145" s="113" t="str">
        <f t="shared" si="77"/>
        <v>a</v>
      </c>
      <c r="C145" s="113" t="str">
        <f t="shared" si="77"/>
        <v>b</v>
      </c>
      <c r="D145" s="113" t="str">
        <f t="shared" si="77"/>
        <v>c</v>
      </c>
      <c r="E145" s="113" t="str">
        <f t="shared" si="77"/>
        <v>d</v>
      </c>
      <c r="F145" s="113" t="str">
        <f t="shared" si="77"/>
        <v>e</v>
      </c>
      <c r="G145" s="113" t="str">
        <f t="shared" si="77"/>
        <v>f</v>
      </c>
      <c r="H145" s="113" t="str">
        <f t="shared" si="77"/>
        <v>g</v>
      </c>
      <c r="I145" s="113" t="str">
        <f t="shared" si="77"/>
        <v>h</v>
      </c>
      <c r="J145" s="113" t="str">
        <f t="shared" si="77"/>
        <v>i</v>
      </c>
      <c r="K145" s="113" t="str">
        <f t="shared" si="77"/>
        <v>j</v>
      </c>
      <c r="L145" s="113" t="str">
        <f t="shared" si="77"/>
        <v>k</v>
      </c>
      <c r="M145" s="113" t="str">
        <f t="shared" si="77"/>
        <v>l</v>
      </c>
      <c r="N145" s="113" t="str">
        <f t="shared" si="77"/>
        <v>m</v>
      </c>
      <c r="O145" s="113">
        <f t="shared" si="77"/>
        <v>0</v>
      </c>
      <c r="P145" s="113">
        <f t="shared" si="77"/>
        <v>0</v>
      </c>
      <c r="Q145" s="113" t="str">
        <f t="shared" si="77"/>
        <v>p</v>
      </c>
      <c r="R145" s="113">
        <f t="shared" si="77"/>
        <v>0</v>
      </c>
      <c r="S145" s="113">
        <f t="shared" si="77"/>
        <v>0</v>
      </c>
      <c r="T145" s="113">
        <f t="shared" si="77"/>
        <v>0</v>
      </c>
      <c r="U145" s="113">
        <f t="shared" si="77"/>
        <v>0</v>
      </c>
      <c r="V145" s="113">
        <f t="shared" si="77"/>
        <v>0</v>
      </c>
      <c r="W145" s="113">
        <f t="shared" si="77"/>
        <v>0</v>
      </c>
      <c r="X145" s="113">
        <f t="shared" si="77"/>
        <v>0</v>
      </c>
      <c r="AA145" s="113">
        <v>9</v>
      </c>
      <c r="AB145" s="112">
        <f t="shared" ca="1" si="78"/>
        <v>39539</v>
      </c>
      <c r="AC145" s="112">
        <f t="shared" ca="1" si="78"/>
        <v>39629</v>
      </c>
      <c r="AF145" s="114">
        <f t="shared" ca="1" si="46"/>
        <v>16815.53</v>
      </c>
      <c r="AG145" s="114">
        <f t="shared" ca="1" si="46"/>
        <v>0</v>
      </c>
      <c r="AH145" s="114">
        <f t="shared" ca="1" si="46"/>
        <v>0</v>
      </c>
      <c r="AI145" s="114">
        <f t="shared" ca="1" si="46"/>
        <v>6459.63</v>
      </c>
      <c r="AJ145" s="114">
        <f t="shared" ca="1" si="46"/>
        <v>0</v>
      </c>
      <c r="AK145" s="114">
        <f t="shared" ca="1" si="46"/>
        <v>1939.6</v>
      </c>
      <c r="AN145">
        <f t="shared" si="49"/>
        <v>145</v>
      </c>
      <c r="AQ145" s="114">
        <f t="shared" ca="1" si="50"/>
        <v>1968</v>
      </c>
      <c r="AW145">
        <v>145</v>
      </c>
      <c r="BG145" s="114">
        <f t="shared" ca="1" si="47"/>
        <v>25243.16</v>
      </c>
      <c r="BI145">
        <f t="shared" si="48"/>
        <v>0</v>
      </c>
    </row>
    <row r="146" spans="1:61" x14ac:dyDescent="0.25">
      <c r="A146" s="113">
        <f t="shared" si="76"/>
        <v>746</v>
      </c>
      <c r="B146" s="113" t="str">
        <f t="shared" si="77"/>
        <v>a</v>
      </c>
      <c r="C146" s="113" t="str">
        <f t="shared" si="77"/>
        <v>b</v>
      </c>
      <c r="D146" s="113" t="str">
        <f t="shared" si="77"/>
        <v>c</v>
      </c>
      <c r="E146" s="113" t="str">
        <f t="shared" si="77"/>
        <v>d</v>
      </c>
      <c r="F146" s="113" t="str">
        <f t="shared" si="77"/>
        <v>e</v>
      </c>
      <c r="G146" s="113" t="str">
        <f t="shared" si="77"/>
        <v>f</v>
      </c>
      <c r="H146" s="113" t="str">
        <f t="shared" si="77"/>
        <v>g</v>
      </c>
      <c r="I146" s="113" t="str">
        <f t="shared" si="77"/>
        <v>h</v>
      </c>
      <c r="J146" s="113" t="str">
        <f t="shared" si="77"/>
        <v>i</v>
      </c>
      <c r="K146" s="113" t="str">
        <f t="shared" si="77"/>
        <v>j</v>
      </c>
      <c r="L146" s="113" t="str">
        <f t="shared" si="77"/>
        <v>k</v>
      </c>
      <c r="M146" s="113" t="str">
        <f t="shared" si="77"/>
        <v>l</v>
      </c>
      <c r="N146" s="113" t="str">
        <f t="shared" si="77"/>
        <v>m</v>
      </c>
      <c r="O146" s="113">
        <f t="shared" si="77"/>
        <v>0</v>
      </c>
      <c r="P146" s="113">
        <f t="shared" si="77"/>
        <v>0</v>
      </c>
      <c r="Q146" s="113" t="str">
        <f t="shared" si="77"/>
        <v>p</v>
      </c>
      <c r="R146" s="113">
        <f t="shared" si="77"/>
        <v>0</v>
      </c>
      <c r="S146" s="113">
        <f t="shared" si="77"/>
        <v>0</v>
      </c>
      <c r="T146" s="113">
        <f t="shared" si="77"/>
        <v>0</v>
      </c>
      <c r="U146" s="113">
        <f t="shared" si="77"/>
        <v>0</v>
      </c>
      <c r="V146" s="113">
        <f t="shared" si="77"/>
        <v>0</v>
      </c>
      <c r="W146" s="113">
        <f t="shared" si="77"/>
        <v>0</v>
      </c>
      <c r="X146" s="113">
        <f t="shared" si="77"/>
        <v>0</v>
      </c>
      <c r="AA146" s="113">
        <v>15</v>
      </c>
      <c r="AB146" s="112">
        <f t="shared" ca="1" si="78"/>
        <v>39539</v>
      </c>
      <c r="AC146" s="112">
        <f t="shared" ca="1" si="78"/>
        <v>39629</v>
      </c>
      <c r="AF146" s="114">
        <f t="shared" ca="1" si="46"/>
        <v>19073.98</v>
      </c>
      <c r="AG146" s="114">
        <f t="shared" ca="1" si="46"/>
        <v>0</v>
      </c>
      <c r="AH146" s="114">
        <f t="shared" ca="1" si="46"/>
        <v>0</v>
      </c>
      <c r="AI146" s="114">
        <f t="shared" ca="1" si="46"/>
        <v>6459.63</v>
      </c>
      <c r="AJ146" s="114">
        <f t="shared" ca="1" si="46"/>
        <v>0</v>
      </c>
      <c r="AK146" s="114">
        <f t="shared" ca="1" si="46"/>
        <v>2127.8000000000002</v>
      </c>
      <c r="AN146">
        <f t="shared" si="49"/>
        <v>146</v>
      </c>
      <c r="AQ146" s="114">
        <f t="shared" ca="1" si="50"/>
        <v>2424</v>
      </c>
      <c r="AW146">
        <v>146</v>
      </c>
      <c r="BG146" s="114">
        <f t="shared" ca="1" si="47"/>
        <v>27957.61</v>
      </c>
      <c r="BI146">
        <f t="shared" si="48"/>
        <v>0</v>
      </c>
    </row>
    <row r="147" spans="1:61" x14ac:dyDescent="0.25">
      <c r="A147" s="113">
        <f t="shared" si="76"/>
        <v>748</v>
      </c>
      <c r="B147" s="113" t="str">
        <f t="shared" si="77"/>
        <v>a</v>
      </c>
      <c r="C147" s="113" t="str">
        <f t="shared" si="77"/>
        <v>b</v>
      </c>
      <c r="D147" s="113" t="str">
        <f t="shared" si="77"/>
        <v>c</v>
      </c>
      <c r="E147" s="113" t="str">
        <f t="shared" si="77"/>
        <v>d</v>
      </c>
      <c r="F147" s="113" t="str">
        <f t="shared" si="77"/>
        <v>e</v>
      </c>
      <c r="G147" s="113" t="str">
        <f t="shared" si="77"/>
        <v>f</v>
      </c>
      <c r="H147" s="113" t="str">
        <f t="shared" si="77"/>
        <v>g</v>
      </c>
      <c r="I147" s="113" t="str">
        <f t="shared" si="77"/>
        <v>h</v>
      </c>
      <c r="J147" s="113" t="str">
        <f t="shared" si="77"/>
        <v>i</v>
      </c>
      <c r="K147" s="113" t="str">
        <f t="shared" si="77"/>
        <v>j</v>
      </c>
      <c r="L147" s="113" t="str">
        <f t="shared" si="77"/>
        <v>k</v>
      </c>
      <c r="M147" s="113" t="str">
        <f t="shared" si="77"/>
        <v>l</v>
      </c>
      <c r="N147" s="113" t="str">
        <f t="shared" si="77"/>
        <v>m</v>
      </c>
      <c r="O147" s="113">
        <f t="shared" si="77"/>
        <v>0</v>
      </c>
      <c r="P147" s="113">
        <f t="shared" si="77"/>
        <v>0</v>
      </c>
      <c r="Q147" s="113" t="str">
        <f t="shared" si="77"/>
        <v>p</v>
      </c>
      <c r="R147" s="113">
        <f t="shared" si="77"/>
        <v>0</v>
      </c>
      <c r="S147" s="113">
        <f t="shared" si="77"/>
        <v>0</v>
      </c>
      <c r="T147" s="113">
        <f t="shared" si="77"/>
        <v>0</v>
      </c>
      <c r="U147" s="113">
        <f t="shared" si="77"/>
        <v>0</v>
      </c>
      <c r="V147" s="113">
        <f t="shared" si="77"/>
        <v>0</v>
      </c>
      <c r="W147" s="113">
        <f t="shared" si="77"/>
        <v>0</v>
      </c>
      <c r="X147" s="113">
        <f t="shared" si="77"/>
        <v>0</v>
      </c>
      <c r="AA147" s="113">
        <v>21</v>
      </c>
      <c r="AB147" s="112">
        <f t="shared" ca="1" si="78"/>
        <v>39539</v>
      </c>
      <c r="AC147" s="112">
        <f t="shared" ca="1" si="78"/>
        <v>39629</v>
      </c>
      <c r="AF147" s="114">
        <f t="shared" ca="1" si="46"/>
        <v>21950.73</v>
      </c>
      <c r="AG147" s="114">
        <f t="shared" ca="1" si="46"/>
        <v>0</v>
      </c>
      <c r="AH147" s="114">
        <f t="shared" ca="1" si="46"/>
        <v>0</v>
      </c>
      <c r="AI147" s="114">
        <f t="shared" ca="1" si="46"/>
        <v>6459.63</v>
      </c>
      <c r="AJ147" s="114">
        <f t="shared" ref="AJ147:AK149" ca="1" si="79">INDIRECT(CONCATENATE($AB$10,CONCATENATE(J147,$A147)))</f>
        <v>0</v>
      </c>
      <c r="AK147" s="114">
        <f t="shared" ca="1" si="79"/>
        <v>2367.5300000000002</v>
      </c>
      <c r="AN147">
        <f t="shared" si="49"/>
        <v>147</v>
      </c>
      <c r="AQ147" s="114">
        <f t="shared" ca="1" si="50"/>
        <v>2424</v>
      </c>
      <c r="AW147">
        <v>147</v>
      </c>
      <c r="BG147" s="114">
        <f t="shared" ca="1" si="47"/>
        <v>30834.36</v>
      </c>
      <c r="BI147">
        <f t="shared" si="48"/>
        <v>0</v>
      </c>
    </row>
    <row r="148" spans="1:61" x14ac:dyDescent="0.25">
      <c r="A148" s="113">
        <f t="shared" si="76"/>
        <v>750</v>
      </c>
      <c r="B148" s="113" t="str">
        <f t="shared" si="77"/>
        <v>a</v>
      </c>
      <c r="C148" s="113" t="str">
        <f t="shared" si="77"/>
        <v>b</v>
      </c>
      <c r="D148" s="113" t="str">
        <f t="shared" si="77"/>
        <v>c</v>
      </c>
      <c r="E148" s="113" t="str">
        <f t="shared" si="77"/>
        <v>d</v>
      </c>
      <c r="F148" s="113" t="str">
        <f t="shared" si="77"/>
        <v>e</v>
      </c>
      <c r="G148" s="113" t="str">
        <f t="shared" si="77"/>
        <v>f</v>
      </c>
      <c r="H148" s="113" t="str">
        <f t="shared" si="77"/>
        <v>g</v>
      </c>
      <c r="I148" s="113" t="str">
        <f t="shared" si="77"/>
        <v>h</v>
      </c>
      <c r="J148" s="113" t="str">
        <f t="shared" si="77"/>
        <v>i</v>
      </c>
      <c r="K148" s="113" t="str">
        <f t="shared" si="77"/>
        <v>j</v>
      </c>
      <c r="L148" s="113" t="str">
        <f t="shared" si="77"/>
        <v>k</v>
      </c>
      <c r="M148" s="113" t="str">
        <f t="shared" si="77"/>
        <v>l</v>
      </c>
      <c r="N148" s="113" t="str">
        <f t="shared" si="77"/>
        <v>m</v>
      </c>
      <c r="O148" s="113">
        <f t="shared" si="77"/>
        <v>0</v>
      </c>
      <c r="P148" s="113">
        <f t="shared" si="77"/>
        <v>0</v>
      </c>
      <c r="Q148" s="113" t="str">
        <f t="shared" si="77"/>
        <v>p</v>
      </c>
      <c r="R148" s="113">
        <f t="shared" si="77"/>
        <v>0</v>
      </c>
      <c r="S148" s="113">
        <f t="shared" si="77"/>
        <v>0</v>
      </c>
      <c r="T148" s="113">
        <f t="shared" si="77"/>
        <v>0</v>
      </c>
      <c r="U148" s="113">
        <f t="shared" si="77"/>
        <v>0</v>
      </c>
      <c r="V148" s="113">
        <f t="shared" si="77"/>
        <v>0</v>
      </c>
      <c r="W148" s="113">
        <f t="shared" si="77"/>
        <v>0</v>
      </c>
      <c r="X148" s="113">
        <f t="shared" si="77"/>
        <v>0</v>
      </c>
      <c r="AA148" s="113">
        <v>28</v>
      </c>
      <c r="AB148" s="112">
        <f t="shared" ca="1" si="78"/>
        <v>39539</v>
      </c>
      <c r="AC148" s="112">
        <f t="shared" ca="1" si="78"/>
        <v>39629</v>
      </c>
      <c r="AF148" s="114">
        <f t="shared" ref="AF148:AK196" ca="1" si="80">INDIRECT(CONCATENATE($AB$10,CONCATENATE(F148,$A148)))</f>
        <v>23835.41</v>
      </c>
      <c r="AG148" s="114">
        <f t="shared" ca="1" si="80"/>
        <v>0</v>
      </c>
      <c r="AH148" s="114">
        <f t="shared" ca="1" si="80"/>
        <v>0</v>
      </c>
      <c r="AI148" s="114">
        <f t="shared" ca="1" si="80"/>
        <v>6459.63</v>
      </c>
      <c r="AJ148" s="114">
        <f t="shared" ca="1" si="79"/>
        <v>0</v>
      </c>
      <c r="AK148" s="114">
        <f t="shared" ca="1" si="79"/>
        <v>2524.59</v>
      </c>
      <c r="AN148">
        <f t="shared" si="49"/>
        <v>148</v>
      </c>
      <c r="AQ148" s="114">
        <f t="shared" ca="1" si="50"/>
        <v>3090</v>
      </c>
      <c r="AW148">
        <v>148</v>
      </c>
      <c r="BG148" s="114">
        <f t="shared" ca="1" si="47"/>
        <v>33385.040000000001</v>
      </c>
      <c r="BI148">
        <f t="shared" si="48"/>
        <v>0</v>
      </c>
    </row>
    <row r="149" spans="1:61" x14ac:dyDescent="0.25">
      <c r="A149" s="113">
        <f t="shared" si="76"/>
        <v>752</v>
      </c>
      <c r="B149" s="113" t="str">
        <f t="shared" si="77"/>
        <v>a</v>
      </c>
      <c r="C149" s="113" t="str">
        <f t="shared" si="77"/>
        <v>b</v>
      </c>
      <c r="D149" s="113" t="str">
        <f t="shared" si="77"/>
        <v>c</v>
      </c>
      <c r="E149" s="113" t="str">
        <f t="shared" si="77"/>
        <v>d</v>
      </c>
      <c r="F149" s="113" t="str">
        <f t="shared" si="77"/>
        <v>e</v>
      </c>
      <c r="G149" s="113" t="str">
        <f t="shared" si="77"/>
        <v>f</v>
      </c>
      <c r="H149" s="113" t="str">
        <f t="shared" si="77"/>
        <v>g</v>
      </c>
      <c r="I149" s="113" t="str">
        <f t="shared" si="77"/>
        <v>h</v>
      </c>
      <c r="J149" s="113" t="str">
        <f t="shared" si="77"/>
        <v>i</v>
      </c>
      <c r="K149" s="113" t="str">
        <f t="shared" si="77"/>
        <v>j</v>
      </c>
      <c r="L149" s="113" t="str">
        <f t="shared" si="77"/>
        <v>k</v>
      </c>
      <c r="M149" s="113" t="str">
        <f t="shared" si="77"/>
        <v>l</v>
      </c>
      <c r="N149" s="113" t="str">
        <f t="shared" si="77"/>
        <v>m</v>
      </c>
      <c r="O149" s="113">
        <f t="shared" si="77"/>
        <v>0</v>
      </c>
      <c r="P149" s="113">
        <f t="shared" si="77"/>
        <v>0</v>
      </c>
      <c r="Q149" s="113" t="str">
        <f t="shared" si="77"/>
        <v>p</v>
      </c>
      <c r="R149" s="113">
        <f t="shared" si="77"/>
        <v>0</v>
      </c>
      <c r="S149" s="113">
        <f t="shared" si="77"/>
        <v>0</v>
      </c>
      <c r="T149" s="113">
        <f t="shared" si="77"/>
        <v>0</v>
      </c>
      <c r="U149" s="113">
        <f t="shared" si="77"/>
        <v>0</v>
      </c>
      <c r="V149" s="113">
        <f t="shared" si="77"/>
        <v>0</v>
      </c>
      <c r="W149" s="113">
        <f t="shared" si="77"/>
        <v>0</v>
      </c>
      <c r="X149" s="113">
        <f t="shared" si="77"/>
        <v>0</v>
      </c>
      <c r="AA149" s="113">
        <v>35</v>
      </c>
      <c r="AB149" s="112">
        <f t="shared" ca="1" si="78"/>
        <v>39539</v>
      </c>
      <c r="AC149" s="112">
        <f t="shared" ca="1" si="78"/>
        <v>39629</v>
      </c>
      <c r="AF149" s="114">
        <f t="shared" ca="1" si="80"/>
        <v>25337.77</v>
      </c>
      <c r="AG149" s="114">
        <f t="shared" ca="1" si="80"/>
        <v>0</v>
      </c>
      <c r="AH149" s="114">
        <f t="shared" ca="1" si="80"/>
        <v>0</v>
      </c>
      <c r="AI149" s="114">
        <f t="shared" ca="1" si="80"/>
        <v>6459.63</v>
      </c>
      <c r="AJ149" s="114">
        <f t="shared" ca="1" si="79"/>
        <v>0</v>
      </c>
      <c r="AK149" s="114">
        <f t="shared" ca="1" si="79"/>
        <v>2649.78</v>
      </c>
      <c r="AN149">
        <f t="shared" si="49"/>
        <v>149</v>
      </c>
      <c r="AQ149" s="114">
        <f t="shared" ca="1" si="50"/>
        <v>3090</v>
      </c>
      <c r="AW149">
        <v>149</v>
      </c>
      <c r="BG149" s="114">
        <f t="shared" ca="1" si="47"/>
        <v>34887.4</v>
      </c>
      <c r="BI149">
        <f t="shared" si="48"/>
        <v>0</v>
      </c>
    </row>
    <row r="150" spans="1:61" x14ac:dyDescent="0.25">
      <c r="A150" s="113">
        <f>A143+20</f>
        <v>760</v>
      </c>
      <c r="B150" s="113" t="str">
        <f>B143</f>
        <v>a</v>
      </c>
      <c r="C150" s="113" t="str">
        <f t="shared" ref="C150:X150" si="81">C143</f>
        <v>b</v>
      </c>
      <c r="D150" s="113" t="str">
        <f t="shared" si="81"/>
        <v>c</v>
      </c>
      <c r="E150" s="113" t="str">
        <f t="shared" si="81"/>
        <v>d</v>
      </c>
      <c r="F150" s="113" t="str">
        <f t="shared" si="81"/>
        <v>e</v>
      </c>
      <c r="G150" s="113" t="str">
        <f t="shared" si="81"/>
        <v>f</v>
      </c>
      <c r="H150" s="113" t="str">
        <f t="shared" si="81"/>
        <v>g</v>
      </c>
      <c r="I150" s="113" t="str">
        <f t="shared" si="81"/>
        <v>h</v>
      </c>
      <c r="J150" s="113" t="str">
        <f t="shared" si="81"/>
        <v>i</v>
      </c>
      <c r="K150" s="113" t="str">
        <f t="shared" si="81"/>
        <v>j</v>
      </c>
      <c r="L150" s="113" t="str">
        <f t="shared" si="81"/>
        <v>k</v>
      </c>
      <c r="M150" s="113" t="str">
        <f t="shared" si="81"/>
        <v>l</v>
      </c>
      <c r="N150" s="113" t="str">
        <f t="shared" si="81"/>
        <v>m</v>
      </c>
      <c r="O150" s="113">
        <f t="shared" si="81"/>
        <v>0</v>
      </c>
      <c r="P150" s="113">
        <f t="shared" si="81"/>
        <v>0</v>
      </c>
      <c r="Q150" s="113" t="str">
        <f t="shared" si="81"/>
        <v>p</v>
      </c>
      <c r="R150" s="113">
        <f t="shared" si="81"/>
        <v>0</v>
      </c>
      <c r="S150" s="113">
        <f t="shared" si="81"/>
        <v>0</v>
      </c>
      <c r="T150" s="113">
        <f t="shared" si="81"/>
        <v>0</v>
      </c>
      <c r="U150" s="113">
        <f t="shared" si="81"/>
        <v>0</v>
      </c>
      <c r="V150" s="113">
        <f t="shared" si="81"/>
        <v>0</v>
      </c>
      <c r="W150" s="113">
        <f t="shared" si="81"/>
        <v>0</v>
      </c>
      <c r="X150" s="113">
        <f t="shared" si="81"/>
        <v>0</v>
      </c>
      <c r="AA150" s="113">
        <v>0</v>
      </c>
      <c r="AB150" s="112">
        <f ca="1">INDIRECT(CONCATENATE($AB$10,CONCATENATE(B150,$A150)))</f>
        <v>39630</v>
      </c>
      <c r="AC150" s="112">
        <f ca="1">INDIRECT(CONCATENATE($AB$10,CONCATENATE(C150,$A150)))</f>
        <v>39813</v>
      </c>
      <c r="AF150" s="114">
        <f t="shared" ca="1" si="80"/>
        <v>13909.32</v>
      </c>
      <c r="AG150" s="114">
        <f ca="1">INDIRECT(CONCATENATE($AB$10,CONCATENATE(G150,$A150)))</f>
        <v>0</v>
      </c>
      <c r="AH150" s="114">
        <f ca="1">INDIRECT(CONCATENATE($AB$10,CONCATENATE(H150,$A150)))</f>
        <v>0</v>
      </c>
      <c r="AI150" s="114">
        <f ca="1">INDIRECT(CONCATENATE($AB$10,CONCATENATE(I150,$A150)))</f>
        <v>6459.63</v>
      </c>
      <c r="AJ150" s="114">
        <f ca="1">INDIRECT(CONCATENATE($AB$10,CONCATENATE(J150,$A150)))</f>
        <v>0</v>
      </c>
      <c r="AK150" s="114">
        <f ca="1">INDIRECT(CONCATENATE($AB$10,CONCATENATE(K150,$A150)))</f>
        <v>1697.41</v>
      </c>
      <c r="AN150">
        <f t="shared" si="49"/>
        <v>150</v>
      </c>
      <c r="AQ150" s="114">
        <f t="shared" ca="1" si="50"/>
        <v>1968</v>
      </c>
      <c r="AW150">
        <v>150</v>
      </c>
      <c r="BG150" s="114">
        <f t="shared" ca="1" si="47"/>
        <v>22336.95</v>
      </c>
      <c r="BI150">
        <f t="shared" si="48"/>
        <v>0</v>
      </c>
    </row>
    <row r="151" spans="1:61" x14ac:dyDescent="0.25">
      <c r="A151" s="113">
        <f t="shared" ref="A151:A156" si="82">A150+2</f>
        <v>762</v>
      </c>
      <c r="B151" s="113" t="str">
        <f t="shared" ref="B151:X156" si="83">B150</f>
        <v>a</v>
      </c>
      <c r="C151" s="113" t="str">
        <f t="shared" si="83"/>
        <v>b</v>
      </c>
      <c r="D151" s="113" t="str">
        <f t="shared" si="83"/>
        <v>c</v>
      </c>
      <c r="E151" s="113" t="str">
        <f t="shared" si="83"/>
        <v>d</v>
      </c>
      <c r="F151" s="113" t="str">
        <f t="shared" si="83"/>
        <v>e</v>
      </c>
      <c r="G151" s="113" t="str">
        <f t="shared" si="83"/>
        <v>f</v>
      </c>
      <c r="H151" s="113" t="str">
        <f t="shared" si="83"/>
        <v>g</v>
      </c>
      <c r="I151" s="113" t="str">
        <f t="shared" si="83"/>
        <v>h</v>
      </c>
      <c r="J151" s="113" t="str">
        <f t="shared" si="83"/>
        <v>i</v>
      </c>
      <c r="K151" s="113" t="str">
        <f t="shared" si="83"/>
        <v>j</v>
      </c>
      <c r="L151" s="113" t="str">
        <f t="shared" si="83"/>
        <v>k</v>
      </c>
      <c r="M151" s="113" t="str">
        <f t="shared" si="83"/>
        <v>l</v>
      </c>
      <c r="N151" s="113" t="str">
        <f t="shared" si="83"/>
        <v>m</v>
      </c>
      <c r="O151" s="113">
        <f t="shared" si="83"/>
        <v>0</v>
      </c>
      <c r="P151" s="113">
        <f t="shared" si="83"/>
        <v>0</v>
      </c>
      <c r="Q151" s="113" t="str">
        <f t="shared" si="83"/>
        <v>p</v>
      </c>
      <c r="R151" s="113">
        <f t="shared" si="83"/>
        <v>0</v>
      </c>
      <c r="S151" s="113">
        <f t="shared" si="83"/>
        <v>0</v>
      </c>
      <c r="T151" s="113">
        <f t="shared" si="83"/>
        <v>0</v>
      </c>
      <c r="U151" s="113">
        <f t="shared" si="83"/>
        <v>0</v>
      </c>
      <c r="V151" s="113">
        <f t="shared" si="83"/>
        <v>0</v>
      </c>
      <c r="W151" s="113">
        <f t="shared" si="83"/>
        <v>0</v>
      </c>
      <c r="X151" s="113">
        <f t="shared" si="83"/>
        <v>0</v>
      </c>
      <c r="AA151" s="113">
        <v>3</v>
      </c>
      <c r="AB151" s="112">
        <f t="shared" ref="AB151:AC156" ca="1" si="84">AB150</f>
        <v>39630</v>
      </c>
      <c r="AC151" s="112">
        <f t="shared" ca="1" si="84"/>
        <v>39813</v>
      </c>
      <c r="AF151" s="114">
        <f t="shared" ca="1" si="80"/>
        <v>15053.5</v>
      </c>
      <c r="AG151" s="114">
        <f t="shared" ca="1" si="80"/>
        <v>0</v>
      </c>
      <c r="AH151" s="114">
        <f t="shared" ca="1" si="80"/>
        <v>0</v>
      </c>
      <c r="AI151" s="114">
        <f t="shared" ca="1" si="80"/>
        <v>6459.63</v>
      </c>
      <c r="AJ151" s="114">
        <f t="shared" ca="1" si="80"/>
        <v>0</v>
      </c>
      <c r="AK151" s="114">
        <f t="shared" ca="1" si="80"/>
        <v>1792.76</v>
      </c>
      <c r="AN151">
        <f t="shared" si="49"/>
        <v>151</v>
      </c>
      <c r="AQ151" s="114">
        <f t="shared" ca="1" si="50"/>
        <v>1968</v>
      </c>
      <c r="AW151">
        <v>151</v>
      </c>
      <c r="BG151" s="114">
        <f t="shared" ca="1" si="47"/>
        <v>23481.13</v>
      </c>
      <c r="BI151">
        <f t="shared" si="48"/>
        <v>0</v>
      </c>
    </row>
    <row r="152" spans="1:61" x14ac:dyDescent="0.25">
      <c r="A152" s="113">
        <f t="shared" si="82"/>
        <v>764</v>
      </c>
      <c r="B152" s="113" t="str">
        <f t="shared" si="83"/>
        <v>a</v>
      </c>
      <c r="C152" s="113" t="str">
        <f t="shared" si="83"/>
        <v>b</v>
      </c>
      <c r="D152" s="113" t="str">
        <f t="shared" si="83"/>
        <v>c</v>
      </c>
      <c r="E152" s="113" t="str">
        <f t="shared" si="83"/>
        <v>d</v>
      </c>
      <c r="F152" s="113" t="str">
        <f t="shared" si="83"/>
        <v>e</v>
      </c>
      <c r="G152" s="113" t="str">
        <f t="shared" si="83"/>
        <v>f</v>
      </c>
      <c r="H152" s="113" t="str">
        <f t="shared" si="83"/>
        <v>g</v>
      </c>
      <c r="I152" s="113" t="str">
        <f t="shared" si="83"/>
        <v>h</v>
      </c>
      <c r="J152" s="113" t="str">
        <f t="shared" si="83"/>
        <v>i</v>
      </c>
      <c r="K152" s="113" t="str">
        <f t="shared" si="83"/>
        <v>j</v>
      </c>
      <c r="L152" s="113" t="str">
        <f t="shared" si="83"/>
        <v>k</v>
      </c>
      <c r="M152" s="113" t="str">
        <f t="shared" si="83"/>
        <v>l</v>
      </c>
      <c r="N152" s="113" t="str">
        <f t="shared" si="83"/>
        <v>m</v>
      </c>
      <c r="O152" s="113">
        <f t="shared" si="83"/>
        <v>0</v>
      </c>
      <c r="P152" s="113">
        <f t="shared" si="83"/>
        <v>0</v>
      </c>
      <c r="Q152" s="113" t="str">
        <f t="shared" si="83"/>
        <v>p</v>
      </c>
      <c r="R152" s="113">
        <f t="shared" si="83"/>
        <v>0</v>
      </c>
      <c r="S152" s="113">
        <f t="shared" si="83"/>
        <v>0</v>
      </c>
      <c r="T152" s="113">
        <f t="shared" si="83"/>
        <v>0</v>
      </c>
      <c r="U152" s="113">
        <f t="shared" si="83"/>
        <v>0</v>
      </c>
      <c r="V152" s="113">
        <f t="shared" si="83"/>
        <v>0</v>
      </c>
      <c r="W152" s="113">
        <f t="shared" si="83"/>
        <v>0</v>
      </c>
      <c r="X152" s="113">
        <f t="shared" si="83"/>
        <v>0</v>
      </c>
      <c r="AA152" s="113">
        <v>9</v>
      </c>
      <c r="AB152" s="112">
        <f t="shared" ca="1" si="84"/>
        <v>39630</v>
      </c>
      <c r="AC152" s="112">
        <f t="shared" ca="1" si="84"/>
        <v>39813</v>
      </c>
      <c r="AF152" s="114">
        <f t="shared" ca="1" si="80"/>
        <v>16884.29</v>
      </c>
      <c r="AG152" s="114">
        <f t="shared" ca="1" si="80"/>
        <v>0</v>
      </c>
      <c r="AH152" s="114">
        <f t="shared" ca="1" si="80"/>
        <v>0</v>
      </c>
      <c r="AI152" s="114">
        <f t="shared" ca="1" si="80"/>
        <v>6459.63</v>
      </c>
      <c r="AJ152" s="114">
        <f t="shared" ca="1" si="80"/>
        <v>0</v>
      </c>
      <c r="AK152" s="114">
        <f t="shared" ca="1" si="80"/>
        <v>1945.33</v>
      </c>
      <c r="AN152">
        <f t="shared" si="49"/>
        <v>152</v>
      </c>
      <c r="AQ152" s="114">
        <f t="shared" ca="1" si="50"/>
        <v>1968</v>
      </c>
      <c r="AW152">
        <v>152</v>
      </c>
      <c r="BG152" s="114">
        <f t="shared" ca="1" si="47"/>
        <v>25311.920000000002</v>
      </c>
      <c r="BI152">
        <f t="shared" si="48"/>
        <v>0</v>
      </c>
    </row>
    <row r="153" spans="1:61" x14ac:dyDescent="0.25">
      <c r="A153" s="113">
        <f t="shared" si="82"/>
        <v>766</v>
      </c>
      <c r="B153" s="113" t="str">
        <f t="shared" si="83"/>
        <v>a</v>
      </c>
      <c r="C153" s="113" t="str">
        <f t="shared" si="83"/>
        <v>b</v>
      </c>
      <c r="D153" s="113" t="str">
        <f t="shared" si="83"/>
        <v>c</v>
      </c>
      <c r="E153" s="113" t="str">
        <f t="shared" si="83"/>
        <v>d</v>
      </c>
      <c r="F153" s="113" t="str">
        <f t="shared" si="83"/>
        <v>e</v>
      </c>
      <c r="G153" s="113" t="str">
        <f t="shared" si="83"/>
        <v>f</v>
      </c>
      <c r="H153" s="113" t="str">
        <f t="shared" si="83"/>
        <v>g</v>
      </c>
      <c r="I153" s="113" t="str">
        <f t="shared" si="83"/>
        <v>h</v>
      </c>
      <c r="J153" s="113" t="str">
        <f t="shared" si="83"/>
        <v>i</v>
      </c>
      <c r="K153" s="113" t="str">
        <f t="shared" si="83"/>
        <v>j</v>
      </c>
      <c r="L153" s="113" t="str">
        <f t="shared" si="83"/>
        <v>k</v>
      </c>
      <c r="M153" s="113" t="str">
        <f t="shared" si="83"/>
        <v>l</v>
      </c>
      <c r="N153" s="113" t="str">
        <f t="shared" si="83"/>
        <v>m</v>
      </c>
      <c r="O153" s="113">
        <f t="shared" si="83"/>
        <v>0</v>
      </c>
      <c r="P153" s="113">
        <f t="shared" si="83"/>
        <v>0</v>
      </c>
      <c r="Q153" s="113" t="str">
        <f t="shared" si="83"/>
        <v>p</v>
      </c>
      <c r="R153" s="113">
        <f t="shared" si="83"/>
        <v>0</v>
      </c>
      <c r="S153" s="113">
        <f t="shared" si="83"/>
        <v>0</v>
      </c>
      <c r="T153" s="113">
        <f t="shared" si="83"/>
        <v>0</v>
      </c>
      <c r="U153" s="113">
        <f t="shared" si="83"/>
        <v>0</v>
      </c>
      <c r="V153" s="113">
        <f t="shared" si="83"/>
        <v>0</v>
      </c>
      <c r="W153" s="113">
        <f t="shared" si="83"/>
        <v>0</v>
      </c>
      <c r="X153" s="113">
        <f t="shared" si="83"/>
        <v>0</v>
      </c>
      <c r="AA153" s="113">
        <v>15</v>
      </c>
      <c r="AB153" s="112">
        <f t="shared" ca="1" si="84"/>
        <v>39630</v>
      </c>
      <c r="AC153" s="112">
        <f t="shared" ca="1" si="84"/>
        <v>39813</v>
      </c>
      <c r="AF153" s="114">
        <f t="shared" ca="1" si="80"/>
        <v>19142.740000000002</v>
      </c>
      <c r="AG153" s="114">
        <f t="shared" ca="1" si="80"/>
        <v>0</v>
      </c>
      <c r="AH153" s="114">
        <f t="shared" ca="1" si="80"/>
        <v>0</v>
      </c>
      <c r="AI153" s="114">
        <f t="shared" ca="1" si="80"/>
        <v>6459.63</v>
      </c>
      <c r="AJ153" s="114">
        <f t="shared" ca="1" si="80"/>
        <v>0</v>
      </c>
      <c r="AK153" s="114">
        <f t="shared" ca="1" si="80"/>
        <v>2133.5300000000002</v>
      </c>
      <c r="AN153">
        <f t="shared" si="49"/>
        <v>153</v>
      </c>
      <c r="AQ153" s="114">
        <f t="shared" ca="1" si="50"/>
        <v>2424</v>
      </c>
      <c r="AW153">
        <v>153</v>
      </c>
      <c r="BG153" s="114">
        <f t="shared" ca="1" si="47"/>
        <v>28026.370000000003</v>
      </c>
      <c r="BI153">
        <f t="shared" si="48"/>
        <v>0</v>
      </c>
    </row>
    <row r="154" spans="1:61" x14ac:dyDescent="0.25">
      <c r="A154" s="113">
        <f t="shared" si="82"/>
        <v>768</v>
      </c>
      <c r="B154" s="113" t="str">
        <f t="shared" si="83"/>
        <v>a</v>
      </c>
      <c r="C154" s="113" t="str">
        <f t="shared" si="83"/>
        <v>b</v>
      </c>
      <c r="D154" s="113" t="str">
        <f t="shared" si="83"/>
        <v>c</v>
      </c>
      <c r="E154" s="113" t="str">
        <f t="shared" si="83"/>
        <v>d</v>
      </c>
      <c r="F154" s="113" t="str">
        <f t="shared" si="83"/>
        <v>e</v>
      </c>
      <c r="G154" s="113" t="str">
        <f t="shared" si="83"/>
        <v>f</v>
      </c>
      <c r="H154" s="113" t="str">
        <f t="shared" si="83"/>
        <v>g</v>
      </c>
      <c r="I154" s="113" t="str">
        <f t="shared" si="83"/>
        <v>h</v>
      </c>
      <c r="J154" s="113" t="str">
        <f t="shared" si="83"/>
        <v>i</v>
      </c>
      <c r="K154" s="113" t="str">
        <f t="shared" si="83"/>
        <v>j</v>
      </c>
      <c r="L154" s="113" t="str">
        <f t="shared" si="83"/>
        <v>k</v>
      </c>
      <c r="M154" s="113" t="str">
        <f t="shared" si="83"/>
        <v>l</v>
      </c>
      <c r="N154" s="113" t="str">
        <f t="shared" si="83"/>
        <v>m</v>
      </c>
      <c r="O154" s="113">
        <f t="shared" si="83"/>
        <v>0</v>
      </c>
      <c r="P154" s="113">
        <f t="shared" si="83"/>
        <v>0</v>
      </c>
      <c r="Q154" s="113" t="str">
        <f t="shared" si="83"/>
        <v>p</v>
      </c>
      <c r="R154" s="113">
        <f t="shared" si="83"/>
        <v>0</v>
      </c>
      <c r="S154" s="113">
        <f t="shared" si="83"/>
        <v>0</v>
      </c>
      <c r="T154" s="113">
        <f t="shared" si="83"/>
        <v>0</v>
      </c>
      <c r="U154" s="113">
        <f t="shared" si="83"/>
        <v>0</v>
      </c>
      <c r="V154" s="113">
        <f t="shared" si="83"/>
        <v>0</v>
      </c>
      <c r="W154" s="113">
        <f t="shared" si="83"/>
        <v>0</v>
      </c>
      <c r="X154" s="113">
        <f t="shared" si="83"/>
        <v>0</v>
      </c>
      <c r="AA154" s="113">
        <v>21</v>
      </c>
      <c r="AB154" s="112">
        <f t="shared" ca="1" si="84"/>
        <v>39630</v>
      </c>
      <c r="AC154" s="112">
        <f t="shared" ca="1" si="84"/>
        <v>39813</v>
      </c>
      <c r="AF154" s="114">
        <f t="shared" ca="1" si="80"/>
        <v>22019.49</v>
      </c>
      <c r="AG154" s="114">
        <f t="shared" ca="1" si="80"/>
        <v>0</v>
      </c>
      <c r="AH154" s="114">
        <f t="shared" ca="1" si="80"/>
        <v>0</v>
      </c>
      <c r="AI154" s="114">
        <f t="shared" ca="1" si="80"/>
        <v>6459.63</v>
      </c>
      <c r="AJ154" s="114">
        <f t="shared" ca="1" si="80"/>
        <v>0</v>
      </c>
      <c r="AK154" s="114">
        <f t="shared" ca="1" si="80"/>
        <v>2373.2600000000002</v>
      </c>
      <c r="AN154">
        <f t="shared" si="49"/>
        <v>154</v>
      </c>
      <c r="AQ154" s="114">
        <f t="shared" ca="1" si="50"/>
        <v>2424</v>
      </c>
      <c r="AW154">
        <v>154</v>
      </c>
      <c r="BG154" s="114">
        <f t="shared" ca="1" si="47"/>
        <v>30903.120000000003</v>
      </c>
      <c r="BI154">
        <f t="shared" si="48"/>
        <v>0</v>
      </c>
    </row>
    <row r="155" spans="1:61" x14ac:dyDescent="0.25">
      <c r="A155" s="113">
        <f t="shared" si="82"/>
        <v>770</v>
      </c>
      <c r="B155" s="113" t="str">
        <f t="shared" si="83"/>
        <v>a</v>
      </c>
      <c r="C155" s="113" t="str">
        <f t="shared" si="83"/>
        <v>b</v>
      </c>
      <c r="D155" s="113" t="str">
        <f t="shared" si="83"/>
        <v>c</v>
      </c>
      <c r="E155" s="113" t="str">
        <f t="shared" si="83"/>
        <v>d</v>
      </c>
      <c r="F155" s="113" t="str">
        <f t="shared" si="83"/>
        <v>e</v>
      </c>
      <c r="G155" s="113" t="str">
        <f t="shared" si="83"/>
        <v>f</v>
      </c>
      <c r="H155" s="113" t="str">
        <f t="shared" si="83"/>
        <v>g</v>
      </c>
      <c r="I155" s="113" t="str">
        <f t="shared" si="83"/>
        <v>h</v>
      </c>
      <c r="J155" s="113" t="str">
        <f t="shared" si="83"/>
        <v>i</v>
      </c>
      <c r="K155" s="113" t="str">
        <f t="shared" si="83"/>
        <v>j</v>
      </c>
      <c r="L155" s="113" t="str">
        <f t="shared" si="83"/>
        <v>k</v>
      </c>
      <c r="M155" s="113" t="str">
        <f t="shared" si="83"/>
        <v>l</v>
      </c>
      <c r="N155" s="113" t="str">
        <f t="shared" si="83"/>
        <v>m</v>
      </c>
      <c r="O155" s="113">
        <f t="shared" si="83"/>
        <v>0</v>
      </c>
      <c r="P155" s="113">
        <f t="shared" si="83"/>
        <v>0</v>
      </c>
      <c r="Q155" s="113" t="str">
        <f t="shared" si="83"/>
        <v>p</v>
      </c>
      <c r="R155" s="113">
        <f t="shared" si="83"/>
        <v>0</v>
      </c>
      <c r="S155" s="113">
        <f t="shared" si="83"/>
        <v>0</v>
      </c>
      <c r="T155" s="113">
        <f t="shared" si="83"/>
        <v>0</v>
      </c>
      <c r="U155" s="113">
        <f t="shared" si="83"/>
        <v>0</v>
      </c>
      <c r="V155" s="113">
        <f t="shared" si="83"/>
        <v>0</v>
      </c>
      <c r="W155" s="113">
        <f t="shared" si="83"/>
        <v>0</v>
      </c>
      <c r="X155" s="113">
        <f t="shared" si="83"/>
        <v>0</v>
      </c>
      <c r="AA155" s="113">
        <v>28</v>
      </c>
      <c r="AB155" s="112">
        <f t="shared" ca="1" si="84"/>
        <v>39630</v>
      </c>
      <c r="AC155" s="112">
        <f t="shared" ca="1" si="84"/>
        <v>39813</v>
      </c>
      <c r="AF155" s="114">
        <f t="shared" ca="1" si="80"/>
        <v>23904.17</v>
      </c>
      <c r="AG155" s="114">
        <f t="shared" ca="1" si="80"/>
        <v>0</v>
      </c>
      <c r="AH155" s="114">
        <f t="shared" ca="1" si="80"/>
        <v>0</v>
      </c>
      <c r="AI155" s="114">
        <f t="shared" ca="1" si="80"/>
        <v>6459.63</v>
      </c>
      <c r="AJ155" s="114">
        <f t="shared" ca="1" si="80"/>
        <v>0</v>
      </c>
      <c r="AK155" s="114">
        <f t="shared" ca="1" si="80"/>
        <v>2530.3200000000002</v>
      </c>
      <c r="AN155">
        <f t="shared" si="49"/>
        <v>155</v>
      </c>
      <c r="AQ155" s="114">
        <f t="shared" ca="1" si="50"/>
        <v>3090</v>
      </c>
      <c r="AW155">
        <v>155</v>
      </c>
      <c r="BG155" s="114">
        <f t="shared" ca="1" si="47"/>
        <v>33453.800000000003</v>
      </c>
      <c r="BI155">
        <f t="shared" si="48"/>
        <v>0</v>
      </c>
    </row>
    <row r="156" spans="1:61" x14ac:dyDescent="0.25">
      <c r="A156" s="113">
        <f t="shared" si="82"/>
        <v>772</v>
      </c>
      <c r="B156" s="113" t="str">
        <f t="shared" si="83"/>
        <v>a</v>
      </c>
      <c r="C156" s="113" t="str">
        <f t="shared" si="83"/>
        <v>b</v>
      </c>
      <c r="D156" s="113" t="str">
        <f t="shared" si="83"/>
        <v>c</v>
      </c>
      <c r="E156" s="113" t="str">
        <f t="shared" si="83"/>
        <v>d</v>
      </c>
      <c r="F156" s="113" t="str">
        <f t="shared" si="83"/>
        <v>e</v>
      </c>
      <c r="G156" s="113" t="str">
        <f t="shared" si="83"/>
        <v>f</v>
      </c>
      <c r="H156" s="113" t="str">
        <f t="shared" si="83"/>
        <v>g</v>
      </c>
      <c r="I156" s="113" t="str">
        <f t="shared" si="83"/>
        <v>h</v>
      </c>
      <c r="J156" s="113" t="str">
        <f t="shared" si="83"/>
        <v>i</v>
      </c>
      <c r="K156" s="113" t="str">
        <f t="shared" si="83"/>
        <v>j</v>
      </c>
      <c r="L156" s="113" t="str">
        <f t="shared" si="83"/>
        <v>k</v>
      </c>
      <c r="M156" s="113" t="str">
        <f t="shared" si="83"/>
        <v>l</v>
      </c>
      <c r="N156" s="113" t="str">
        <f t="shared" si="83"/>
        <v>m</v>
      </c>
      <c r="O156" s="113">
        <f t="shared" si="83"/>
        <v>0</v>
      </c>
      <c r="P156" s="113">
        <f t="shared" si="83"/>
        <v>0</v>
      </c>
      <c r="Q156" s="113" t="str">
        <f t="shared" si="83"/>
        <v>p</v>
      </c>
      <c r="R156" s="113">
        <f t="shared" si="83"/>
        <v>0</v>
      </c>
      <c r="S156" s="113">
        <f t="shared" si="83"/>
        <v>0</v>
      </c>
      <c r="T156" s="113">
        <f t="shared" si="83"/>
        <v>0</v>
      </c>
      <c r="U156" s="113">
        <f t="shared" si="83"/>
        <v>0</v>
      </c>
      <c r="V156" s="113">
        <f t="shared" si="83"/>
        <v>0</v>
      </c>
      <c r="W156" s="113">
        <f t="shared" si="83"/>
        <v>0</v>
      </c>
      <c r="X156" s="113">
        <f t="shared" si="83"/>
        <v>0</v>
      </c>
      <c r="AA156" s="113">
        <v>35</v>
      </c>
      <c r="AB156" s="112">
        <f t="shared" ca="1" si="84"/>
        <v>39630</v>
      </c>
      <c r="AC156" s="112">
        <f t="shared" ca="1" si="84"/>
        <v>39813</v>
      </c>
      <c r="AF156" s="114">
        <f t="shared" ca="1" si="80"/>
        <v>25406.53</v>
      </c>
      <c r="AG156" s="114">
        <f t="shared" ca="1" si="80"/>
        <v>0</v>
      </c>
      <c r="AH156" s="114">
        <f t="shared" ca="1" si="80"/>
        <v>0</v>
      </c>
      <c r="AI156" s="114">
        <f t="shared" ca="1" si="80"/>
        <v>6459.63</v>
      </c>
      <c r="AJ156" s="114">
        <f t="shared" ca="1" si="80"/>
        <v>0</v>
      </c>
      <c r="AK156" s="114">
        <f t="shared" ca="1" si="80"/>
        <v>2655.51</v>
      </c>
      <c r="AN156">
        <f t="shared" si="49"/>
        <v>156</v>
      </c>
      <c r="AQ156" s="114">
        <f t="shared" ca="1" si="50"/>
        <v>3090</v>
      </c>
      <c r="AW156">
        <v>156</v>
      </c>
      <c r="BG156" s="114">
        <f t="shared" ca="1" si="47"/>
        <v>34956.160000000003</v>
      </c>
      <c r="BI156">
        <f t="shared" si="48"/>
        <v>0</v>
      </c>
    </row>
    <row r="157" spans="1:61" x14ac:dyDescent="0.25">
      <c r="A157" s="113">
        <f>A150+20</f>
        <v>780</v>
      </c>
      <c r="B157" s="113" t="str">
        <f>B150</f>
        <v>a</v>
      </c>
      <c r="C157" s="113" t="str">
        <f t="shared" ref="C157:X157" si="85">C150</f>
        <v>b</v>
      </c>
      <c r="D157" s="113" t="str">
        <f t="shared" si="85"/>
        <v>c</v>
      </c>
      <c r="E157" s="113" t="str">
        <f t="shared" si="85"/>
        <v>d</v>
      </c>
      <c r="F157" s="113" t="str">
        <f t="shared" si="85"/>
        <v>e</v>
      </c>
      <c r="G157" s="113" t="str">
        <f t="shared" si="85"/>
        <v>f</v>
      </c>
      <c r="H157" s="113" t="str">
        <f t="shared" si="85"/>
        <v>g</v>
      </c>
      <c r="I157" s="113" t="str">
        <f t="shared" si="85"/>
        <v>h</v>
      </c>
      <c r="J157" s="113" t="str">
        <f t="shared" si="85"/>
        <v>i</v>
      </c>
      <c r="K157" s="113" t="str">
        <f t="shared" si="85"/>
        <v>j</v>
      </c>
      <c r="L157" s="113" t="str">
        <f t="shared" si="85"/>
        <v>k</v>
      </c>
      <c r="M157" s="113" t="str">
        <f t="shared" si="85"/>
        <v>l</v>
      </c>
      <c r="N157" s="113" t="str">
        <f t="shared" si="85"/>
        <v>m</v>
      </c>
      <c r="O157" s="113">
        <f t="shared" si="85"/>
        <v>0</v>
      </c>
      <c r="P157" s="113">
        <f t="shared" si="85"/>
        <v>0</v>
      </c>
      <c r="Q157" s="113" t="str">
        <f t="shared" si="85"/>
        <v>p</v>
      </c>
      <c r="R157" s="113">
        <f t="shared" si="85"/>
        <v>0</v>
      </c>
      <c r="S157" s="113">
        <f t="shared" si="85"/>
        <v>0</v>
      </c>
      <c r="T157" s="113">
        <f t="shared" si="85"/>
        <v>0</v>
      </c>
      <c r="U157" s="113">
        <f t="shared" si="85"/>
        <v>0</v>
      </c>
      <c r="V157" s="113">
        <f t="shared" si="85"/>
        <v>0</v>
      </c>
      <c r="W157" s="113">
        <f t="shared" si="85"/>
        <v>0</v>
      </c>
      <c r="X157" s="113">
        <f t="shared" si="85"/>
        <v>0</v>
      </c>
      <c r="AA157" s="113">
        <v>0</v>
      </c>
      <c r="AB157" s="112">
        <f ca="1">INDIRECT(CONCATENATE($AB$10,CONCATENATE(B157,$A157)))</f>
        <v>39814</v>
      </c>
      <c r="AC157" s="112">
        <f ca="1">INDIRECT(CONCATENATE($AB$10,CONCATENATE(C157,$A157)))</f>
        <v>40268</v>
      </c>
      <c r="AF157" s="114">
        <f t="shared" ca="1" si="80"/>
        <v>14513.64</v>
      </c>
      <c r="AG157" s="114">
        <f ca="1">INDIRECT(CONCATENATE($AB$10,CONCATENATE(G157,$A157)))</f>
        <v>0</v>
      </c>
      <c r="AH157" s="114">
        <f ca="1">INDIRECT(CONCATENATE($AB$10,CONCATENATE(H157,$A157)))</f>
        <v>0</v>
      </c>
      <c r="AI157" s="114">
        <f ca="1">INDIRECT(CONCATENATE($AB$10,CONCATENATE(I157,$A157)))</f>
        <v>6459.63</v>
      </c>
      <c r="AJ157" s="114">
        <f ca="1">INDIRECT(CONCATENATE($AB$10,CONCATENATE(J157,$A157)))</f>
        <v>0</v>
      </c>
      <c r="AK157" s="114">
        <f ca="1">INDIRECT(CONCATENATE($AB$10,CONCATENATE(K157,$A157)))</f>
        <v>1747.77</v>
      </c>
      <c r="AN157">
        <f t="shared" si="49"/>
        <v>157</v>
      </c>
      <c r="AQ157" s="114">
        <f t="shared" ca="1" si="50"/>
        <v>1968</v>
      </c>
      <c r="AW157">
        <v>157</v>
      </c>
      <c r="BG157" s="114">
        <f t="shared" ca="1" si="47"/>
        <v>22941.27</v>
      </c>
      <c r="BI157">
        <f t="shared" si="48"/>
        <v>0</v>
      </c>
    </row>
    <row r="158" spans="1:61" x14ac:dyDescent="0.25">
      <c r="A158" s="113">
        <f t="shared" ref="A158:A163" si="86">A157+2</f>
        <v>782</v>
      </c>
      <c r="B158" s="113" t="str">
        <f t="shared" ref="B158:X163" si="87">B157</f>
        <v>a</v>
      </c>
      <c r="C158" s="113" t="str">
        <f t="shared" si="87"/>
        <v>b</v>
      </c>
      <c r="D158" s="113" t="str">
        <f t="shared" si="87"/>
        <v>c</v>
      </c>
      <c r="E158" s="113" t="str">
        <f t="shared" si="87"/>
        <v>d</v>
      </c>
      <c r="F158" s="113" t="str">
        <f t="shared" si="87"/>
        <v>e</v>
      </c>
      <c r="G158" s="113" t="str">
        <f t="shared" si="87"/>
        <v>f</v>
      </c>
      <c r="H158" s="113" t="str">
        <f t="shared" si="87"/>
        <v>g</v>
      </c>
      <c r="I158" s="113" t="str">
        <f t="shared" si="87"/>
        <v>h</v>
      </c>
      <c r="J158" s="113" t="str">
        <f t="shared" si="87"/>
        <v>i</v>
      </c>
      <c r="K158" s="113" t="str">
        <f t="shared" si="87"/>
        <v>j</v>
      </c>
      <c r="L158" s="113" t="str">
        <f t="shared" si="87"/>
        <v>k</v>
      </c>
      <c r="M158" s="113" t="str">
        <f t="shared" si="87"/>
        <v>l</v>
      </c>
      <c r="N158" s="113" t="str">
        <f t="shared" si="87"/>
        <v>m</v>
      </c>
      <c r="O158" s="113">
        <f t="shared" si="87"/>
        <v>0</v>
      </c>
      <c r="P158" s="113">
        <f t="shared" si="87"/>
        <v>0</v>
      </c>
      <c r="Q158" s="113" t="str">
        <f t="shared" si="87"/>
        <v>p</v>
      </c>
      <c r="R158" s="113">
        <f t="shared" si="87"/>
        <v>0</v>
      </c>
      <c r="S158" s="113">
        <f t="shared" si="87"/>
        <v>0</v>
      </c>
      <c r="T158" s="113">
        <f t="shared" si="87"/>
        <v>0</v>
      </c>
      <c r="U158" s="113">
        <f t="shared" si="87"/>
        <v>0</v>
      </c>
      <c r="V158" s="113">
        <f t="shared" si="87"/>
        <v>0</v>
      </c>
      <c r="W158" s="113">
        <f t="shared" si="87"/>
        <v>0</v>
      </c>
      <c r="X158" s="113">
        <f t="shared" si="87"/>
        <v>0</v>
      </c>
      <c r="AA158" s="113">
        <v>3</v>
      </c>
      <c r="AB158" s="112">
        <f t="shared" ref="AB158:AC163" ca="1" si="88">AB157</f>
        <v>39814</v>
      </c>
      <c r="AC158" s="112">
        <f t="shared" ca="1" si="88"/>
        <v>40268</v>
      </c>
      <c r="AF158" s="114">
        <f t="shared" ca="1" si="80"/>
        <v>15701.74</v>
      </c>
      <c r="AG158" s="114">
        <f t="shared" ca="1" si="80"/>
        <v>0</v>
      </c>
      <c r="AH158" s="114">
        <f t="shared" ca="1" si="80"/>
        <v>0</v>
      </c>
      <c r="AI158" s="114">
        <f t="shared" ca="1" si="80"/>
        <v>6459.63</v>
      </c>
      <c r="AJ158" s="114">
        <f t="shared" ca="1" si="80"/>
        <v>0</v>
      </c>
      <c r="AK158" s="114">
        <f t="shared" ca="1" si="80"/>
        <v>1846.78</v>
      </c>
      <c r="AN158">
        <f t="shared" si="49"/>
        <v>158</v>
      </c>
      <c r="AQ158" s="114">
        <f t="shared" ca="1" si="50"/>
        <v>1968</v>
      </c>
      <c r="AW158">
        <v>158</v>
      </c>
      <c r="BG158" s="114">
        <f t="shared" ca="1" si="47"/>
        <v>24129.37</v>
      </c>
      <c r="BI158">
        <f t="shared" si="48"/>
        <v>0</v>
      </c>
    </row>
    <row r="159" spans="1:61" x14ac:dyDescent="0.25">
      <c r="A159" s="113">
        <f t="shared" si="86"/>
        <v>784</v>
      </c>
      <c r="B159" s="113" t="str">
        <f t="shared" si="87"/>
        <v>a</v>
      </c>
      <c r="C159" s="113" t="str">
        <f t="shared" si="87"/>
        <v>b</v>
      </c>
      <c r="D159" s="113" t="str">
        <f t="shared" si="87"/>
        <v>c</v>
      </c>
      <c r="E159" s="113" t="str">
        <f t="shared" si="87"/>
        <v>d</v>
      </c>
      <c r="F159" s="113" t="str">
        <f t="shared" si="87"/>
        <v>e</v>
      </c>
      <c r="G159" s="113" t="str">
        <f t="shared" si="87"/>
        <v>f</v>
      </c>
      <c r="H159" s="113" t="str">
        <f t="shared" si="87"/>
        <v>g</v>
      </c>
      <c r="I159" s="113" t="str">
        <f t="shared" si="87"/>
        <v>h</v>
      </c>
      <c r="J159" s="113" t="str">
        <f t="shared" si="87"/>
        <v>i</v>
      </c>
      <c r="K159" s="113" t="str">
        <f t="shared" si="87"/>
        <v>j</v>
      </c>
      <c r="L159" s="113" t="str">
        <f t="shared" si="87"/>
        <v>k</v>
      </c>
      <c r="M159" s="113" t="str">
        <f t="shared" si="87"/>
        <v>l</v>
      </c>
      <c r="N159" s="113" t="str">
        <f t="shared" si="87"/>
        <v>m</v>
      </c>
      <c r="O159" s="113">
        <f t="shared" si="87"/>
        <v>0</v>
      </c>
      <c r="P159" s="113">
        <f t="shared" si="87"/>
        <v>0</v>
      </c>
      <c r="Q159" s="113" t="str">
        <f t="shared" si="87"/>
        <v>p</v>
      </c>
      <c r="R159" s="113">
        <f t="shared" si="87"/>
        <v>0</v>
      </c>
      <c r="S159" s="113">
        <f t="shared" si="87"/>
        <v>0</v>
      </c>
      <c r="T159" s="113">
        <f t="shared" si="87"/>
        <v>0</v>
      </c>
      <c r="U159" s="113">
        <f t="shared" si="87"/>
        <v>0</v>
      </c>
      <c r="V159" s="113">
        <f t="shared" si="87"/>
        <v>0</v>
      </c>
      <c r="W159" s="113">
        <f t="shared" si="87"/>
        <v>0</v>
      </c>
      <c r="X159" s="113">
        <f t="shared" si="87"/>
        <v>0</v>
      </c>
      <c r="AA159" s="113">
        <v>9</v>
      </c>
      <c r="AB159" s="112">
        <f t="shared" ca="1" si="88"/>
        <v>39814</v>
      </c>
      <c r="AC159" s="112">
        <f t="shared" ca="1" si="88"/>
        <v>40268</v>
      </c>
      <c r="AF159" s="114">
        <f t="shared" ca="1" si="80"/>
        <v>17602.849999999999</v>
      </c>
      <c r="AG159" s="114">
        <f t="shared" ca="1" si="80"/>
        <v>0</v>
      </c>
      <c r="AH159" s="114">
        <f t="shared" ca="1" si="80"/>
        <v>0</v>
      </c>
      <c r="AI159" s="114">
        <f t="shared" ca="1" si="80"/>
        <v>6459.63</v>
      </c>
      <c r="AJ159" s="114">
        <f t="shared" ca="1" si="80"/>
        <v>0</v>
      </c>
      <c r="AK159" s="114">
        <f t="shared" ca="1" si="80"/>
        <v>2005.21</v>
      </c>
      <c r="AN159">
        <f t="shared" si="49"/>
        <v>159</v>
      </c>
      <c r="AQ159" s="114">
        <f t="shared" ca="1" si="50"/>
        <v>1968</v>
      </c>
      <c r="AW159">
        <v>159</v>
      </c>
      <c r="BG159" s="114">
        <f t="shared" ca="1" si="47"/>
        <v>26030.48</v>
      </c>
      <c r="BI159">
        <f t="shared" si="48"/>
        <v>0</v>
      </c>
    </row>
    <row r="160" spans="1:61" x14ac:dyDescent="0.25">
      <c r="A160" s="113">
        <f t="shared" si="86"/>
        <v>786</v>
      </c>
      <c r="B160" s="113" t="str">
        <f t="shared" si="87"/>
        <v>a</v>
      </c>
      <c r="C160" s="113" t="str">
        <f t="shared" si="87"/>
        <v>b</v>
      </c>
      <c r="D160" s="113" t="str">
        <f t="shared" si="87"/>
        <v>c</v>
      </c>
      <c r="E160" s="113" t="str">
        <f t="shared" si="87"/>
        <v>d</v>
      </c>
      <c r="F160" s="113" t="str">
        <f t="shared" si="87"/>
        <v>e</v>
      </c>
      <c r="G160" s="113" t="str">
        <f t="shared" si="87"/>
        <v>f</v>
      </c>
      <c r="H160" s="113" t="str">
        <f t="shared" si="87"/>
        <v>g</v>
      </c>
      <c r="I160" s="113" t="str">
        <f t="shared" si="87"/>
        <v>h</v>
      </c>
      <c r="J160" s="113" t="str">
        <f t="shared" si="87"/>
        <v>i</v>
      </c>
      <c r="K160" s="113" t="str">
        <f t="shared" si="87"/>
        <v>j</v>
      </c>
      <c r="L160" s="113" t="str">
        <f t="shared" si="87"/>
        <v>k</v>
      </c>
      <c r="M160" s="113" t="str">
        <f t="shared" si="87"/>
        <v>l</v>
      </c>
      <c r="N160" s="113" t="str">
        <f t="shared" si="87"/>
        <v>m</v>
      </c>
      <c r="O160" s="113">
        <f t="shared" si="87"/>
        <v>0</v>
      </c>
      <c r="P160" s="113">
        <f t="shared" si="87"/>
        <v>0</v>
      </c>
      <c r="Q160" s="113" t="str">
        <f t="shared" si="87"/>
        <v>p</v>
      </c>
      <c r="R160" s="113">
        <f t="shared" si="87"/>
        <v>0</v>
      </c>
      <c r="S160" s="113">
        <f t="shared" si="87"/>
        <v>0</v>
      </c>
      <c r="T160" s="113">
        <f t="shared" si="87"/>
        <v>0</v>
      </c>
      <c r="U160" s="113">
        <f t="shared" si="87"/>
        <v>0</v>
      </c>
      <c r="V160" s="113">
        <f t="shared" si="87"/>
        <v>0</v>
      </c>
      <c r="W160" s="113">
        <f t="shared" si="87"/>
        <v>0</v>
      </c>
      <c r="X160" s="113">
        <f t="shared" si="87"/>
        <v>0</v>
      </c>
      <c r="AA160" s="113">
        <v>15</v>
      </c>
      <c r="AB160" s="112">
        <f t="shared" ca="1" si="88"/>
        <v>39814</v>
      </c>
      <c r="AC160" s="112">
        <f t="shared" ca="1" si="88"/>
        <v>40268</v>
      </c>
      <c r="AF160" s="114">
        <f t="shared" ca="1" si="80"/>
        <v>19948.060000000001</v>
      </c>
      <c r="AG160" s="114">
        <f t="shared" ca="1" si="80"/>
        <v>0</v>
      </c>
      <c r="AH160" s="114">
        <f t="shared" ca="1" si="80"/>
        <v>0</v>
      </c>
      <c r="AI160" s="114">
        <f t="shared" ca="1" si="80"/>
        <v>6459.63</v>
      </c>
      <c r="AJ160" s="114">
        <f t="shared" ca="1" si="80"/>
        <v>0</v>
      </c>
      <c r="AK160" s="114">
        <f t="shared" ca="1" si="80"/>
        <v>2200.64</v>
      </c>
      <c r="AN160">
        <f t="shared" si="49"/>
        <v>160</v>
      </c>
      <c r="AQ160" s="114">
        <f t="shared" ca="1" si="50"/>
        <v>2424</v>
      </c>
      <c r="AW160">
        <v>160</v>
      </c>
      <c r="BG160" s="114">
        <f t="shared" ref="BG160:BG223" ca="1" si="89">AF160+AG160+AH160+AI160+AJ160+AQ160</f>
        <v>28831.690000000002</v>
      </c>
      <c r="BI160">
        <f t="shared" ref="BI160:BI223" si="90">AE160</f>
        <v>0</v>
      </c>
    </row>
    <row r="161" spans="1:61" x14ac:dyDescent="0.25">
      <c r="A161" s="113">
        <f t="shared" si="86"/>
        <v>788</v>
      </c>
      <c r="B161" s="113" t="str">
        <f t="shared" si="87"/>
        <v>a</v>
      </c>
      <c r="C161" s="113" t="str">
        <f t="shared" si="87"/>
        <v>b</v>
      </c>
      <c r="D161" s="113" t="str">
        <f t="shared" si="87"/>
        <v>c</v>
      </c>
      <c r="E161" s="113" t="str">
        <f t="shared" si="87"/>
        <v>d</v>
      </c>
      <c r="F161" s="113" t="str">
        <f t="shared" si="87"/>
        <v>e</v>
      </c>
      <c r="G161" s="113" t="str">
        <f t="shared" si="87"/>
        <v>f</v>
      </c>
      <c r="H161" s="113" t="str">
        <f t="shared" si="87"/>
        <v>g</v>
      </c>
      <c r="I161" s="113" t="str">
        <f t="shared" si="87"/>
        <v>h</v>
      </c>
      <c r="J161" s="113" t="str">
        <f t="shared" si="87"/>
        <v>i</v>
      </c>
      <c r="K161" s="113" t="str">
        <f t="shared" si="87"/>
        <v>j</v>
      </c>
      <c r="L161" s="113" t="str">
        <f t="shared" si="87"/>
        <v>k</v>
      </c>
      <c r="M161" s="113" t="str">
        <f t="shared" si="87"/>
        <v>l</v>
      </c>
      <c r="N161" s="113" t="str">
        <f t="shared" si="87"/>
        <v>m</v>
      </c>
      <c r="O161" s="113">
        <f t="shared" si="87"/>
        <v>0</v>
      </c>
      <c r="P161" s="113">
        <f t="shared" si="87"/>
        <v>0</v>
      </c>
      <c r="Q161" s="113" t="str">
        <f t="shared" si="87"/>
        <v>p</v>
      </c>
      <c r="R161" s="113">
        <f t="shared" si="87"/>
        <v>0</v>
      </c>
      <c r="S161" s="113">
        <f t="shared" si="87"/>
        <v>0</v>
      </c>
      <c r="T161" s="113">
        <f t="shared" si="87"/>
        <v>0</v>
      </c>
      <c r="U161" s="113">
        <f t="shared" si="87"/>
        <v>0</v>
      </c>
      <c r="V161" s="113">
        <f t="shared" si="87"/>
        <v>0</v>
      </c>
      <c r="W161" s="113">
        <f t="shared" si="87"/>
        <v>0</v>
      </c>
      <c r="X161" s="113">
        <f t="shared" si="87"/>
        <v>0</v>
      </c>
      <c r="AA161" s="113">
        <v>21</v>
      </c>
      <c r="AB161" s="112">
        <f t="shared" ca="1" si="88"/>
        <v>39814</v>
      </c>
      <c r="AC161" s="112">
        <f t="shared" ca="1" si="88"/>
        <v>40268</v>
      </c>
      <c r="AF161" s="114">
        <f t="shared" ca="1" si="80"/>
        <v>22935.33</v>
      </c>
      <c r="AG161" s="114">
        <f t="shared" ca="1" si="80"/>
        <v>0</v>
      </c>
      <c r="AH161" s="114">
        <f t="shared" ca="1" si="80"/>
        <v>0</v>
      </c>
      <c r="AI161" s="114">
        <f t="shared" ca="1" si="80"/>
        <v>6459.63</v>
      </c>
      <c r="AJ161" s="114">
        <f t="shared" ca="1" si="80"/>
        <v>0</v>
      </c>
      <c r="AK161" s="114">
        <f t="shared" ca="1" si="80"/>
        <v>2449.58</v>
      </c>
      <c r="AN161">
        <f t="shared" ref="AN161:AN224" si="91">AN160+1</f>
        <v>161</v>
      </c>
      <c r="AQ161" s="114">
        <f t="shared" ref="AQ161:AQ224" ca="1" si="92">INDIRECT(CONCATENATE($AB$10,CONCATENATE(Q161,$A161)))</f>
        <v>2424</v>
      </c>
      <c r="AW161">
        <v>161</v>
      </c>
      <c r="BG161" s="114">
        <f t="shared" ca="1" si="89"/>
        <v>31818.960000000003</v>
      </c>
      <c r="BI161">
        <f t="shared" si="90"/>
        <v>0</v>
      </c>
    </row>
    <row r="162" spans="1:61" x14ac:dyDescent="0.25">
      <c r="A162" s="113">
        <f t="shared" si="86"/>
        <v>790</v>
      </c>
      <c r="B162" s="113" t="str">
        <f t="shared" si="87"/>
        <v>a</v>
      </c>
      <c r="C162" s="113" t="str">
        <f t="shared" si="87"/>
        <v>b</v>
      </c>
      <c r="D162" s="113" t="str">
        <f t="shared" si="87"/>
        <v>c</v>
      </c>
      <c r="E162" s="113" t="str">
        <f t="shared" si="87"/>
        <v>d</v>
      </c>
      <c r="F162" s="113" t="str">
        <f t="shared" si="87"/>
        <v>e</v>
      </c>
      <c r="G162" s="113" t="str">
        <f t="shared" si="87"/>
        <v>f</v>
      </c>
      <c r="H162" s="113" t="str">
        <f t="shared" si="87"/>
        <v>g</v>
      </c>
      <c r="I162" s="113" t="str">
        <f t="shared" si="87"/>
        <v>h</v>
      </c>
      <c r="J162" s="113" t="str">
        <f t="shared" si="87"/>
        <v>i</v>
      </c>
      <c r="K162" s="113" t="str">
        <f t="shared" si="87"/>
        <v>j</v>
      </c>
      <c r="L162" s="113" t="str">
        <f t="shared" si="87"/>
        <v>k</v>
      </c>
      <c r="M162" s="113" t="str">
        <f t="shared" si="87"/>
        <v>l</v>
      </c>
      <c r="N162" s="113" t="str">
        <f t="shared" si="87"/>
        <v>m</v>
      </c>
      <c r="O162" s="113">
        <f t="shared" si="87"/>
        <v>0</v>
      </c>
      <c r="P162" s="113">
        <f t="shared" si="87"/>
        <v>0</v>
      </c>
      <c r="Q162" s="113" t="str">
        <f t="shared" si="87"/>
        <v>p</v>
      </c>
      <c r="R162" s="113">
        <f t="shared" si="87"/>
        <v>0</v>
      </c>
      <c r="S162" s="113">
        <f t="shared" si="87"/>
        <v>0</v>
      </c>
      <c r="T162" s="113">
        <f t="shared" si="87"/>
        <v>0</v>
      </c>
      <c r="U162" s="113">
        <f t="shared" si="87"/>
        <v>0</v>
      </c>
      <c r="V162" s="113">
        <f t="shared" si="87"/>
        <v>0</v>
      </c>
      <c r="W162" s="113">
        <f t="shared" si="87"/>
        <v>0</v>
      </c>
      <c r="X162" s="113">
        <f t="shared" si="87"/>
        <v>0</v>
      </c>
      <c r="AA162" s="113">
        <v>28</v>
      </c>
      <c r="AB162" s="112">
        <f t="shared" ca="1" si="88"/>
        <v>39814</v>
      </c>
      <c r="AC162" s="112">
        <f t="shared" ca="1" si="88"/>
        <v>40268</v>
      </c>
      <c r="AF162" s="114">
        <f t="shared" ca="1" si="80"/>
        <v>24892.49</v>
      </c>
      <c r="AG162" s="114">
        <f t="shared" ca="1" si="80"/>
        <v>0</v>
      </c>
      <c r="AH162" s="114">
        <f t="shared" ca="1" si="80"/>
        <v>0</v>
      </c>
      <c r="AI162" s="114">
        <f t="shared" ca="1" si="80"/>
        <v>6459.63</v>
      </c>
      <c r="AJ162" s="114">
        <f t="shared" ca="1" si="80"/>
        <v>0</v>
      </c>
      <c r="AK162" s="114">
        <f t="shared" ca="1" si="80"/>
        <v>2612.6799999999998</v>
      </c>
      <c r="AN162">
        <f t="shared" si="91"/>
        <v>162</v>
      </c>
      <c r="AQ162" s="114">
        <f t="shared" ca="1" si="92"/>
        <v>3090</v>
      </c>
      <c r="AW162">
        <v>162</v>
      </c>
      <c r="BG162" s="114">
        <f t="shared" ca="1" si="89"/>
        <v>34442.120000000003</v>
      </c>
      <c r="BI162">
        <f t="shared" si="90"/>
        <v>0</v>
      </c>
    </row>
    <row r="163" spans="1:61" x14ac:dyDescent="0.25">
      <c r="A163" s="113">
        <f t="shared" si="86"/>
        <v>792</v>
      </c>
      <c r="B163" s="113" t="str">
        <f t="shared" si="87"/>
        <v>a</v>
      </c>
      <c r="C163" s="113" t="str">
        <f t="shared" si="87"/>
        <v>b</v>
      </c>
      <c r="D163" s="113" t="str">
        <f t="shared" si="87"/>
        <v>c</v>
      </c>
      <c r="E163" s="113" t="str">
        <f t="shared" si="87"/>
        <v>d</v>
      </c>
      <c r="F163" s="113" t="str">
        <f t="shared" si="87"/>
        <v>e</v>
      </c>
      <c r="G163" s="113" t="str">
        <f t="shared" si="87"/>
        <v>f</v>
      </c>
      <c r="H163" s="113" t="str">
        <f t="shared" si="87"/>
        <v>g</v>
      </c>
      <c r="I163" s="113" t="str">
        <f t="shared" si="87"/>
        <v>h</v>
      </c>
      <c r="J163" s="113" t="str">
        <f t="shared" si="87"/>
        <v>i</v>
      </c>
      <c r="K163" s="113" t="str">
        <f t="shared" si="87"/>
        <v>j</v>
      </c>
      <c r="L163" s="113" t="str">
        <f t="shared" si="87"/>
        <v>k</v>
      </c>
      <c r="M163" s="113" t="str">
        <f t="shared" si="87"/>
        <v>l</v>
      </c>
      <c r="N163" s="113" t="str">
        <f t="shared" si="87"/>
        <v>m</v>
      </c>
      <c r="O163" s="113">
        <f t="shared" si="87"/>
        <v>0</v>
      </c>
      <c r="P163" s="113">
        <f t="shared" si="87"/>
        <v>0</v>
      </c>
      <c r="Q163" s="113" t="str">
        <f t="shared" si="87"/>
        <v>p</v>
      </c>
      <c r="R163" s="113">
        <f t="shared" si="87"/>
        <v>0</v>
      </c>
      <c r="S163" s="113">
        <f t="shared" si="87"/>
        <v>0</v>
      </c>
      <c r="T163" s="113">
        <f t="shared" si="87"/>
        <v>0</v>
      </c>
      <c r="U163" s="113">
        <f t="shared" si="87"/>
        <v>0</v>
      </c>
      <c r="V163" s="113">
        <f t="shared" si="87"/>
        <v>0</v>
      </c>
      <c r="W163" s="113">
        <f t="shared" si="87"/>
        <v>0</v>
      </c>
      <c r="X163" s="113">
        <f t="shared" si="87"/>
        <v>0</v>
      </c>
      <c r="AA163" s="113">
        <v>35</v>
      </c>
      <c r="AB163" s="112">
        <f t="shared" ca="1" si="88"/>
        <v>39814</v>
      </c>
      <c r="AC163" s="112">
        <f t="shared" ca="1" si="88"/>
        <v>40268</v>
      </c>
      <c r="AF163" s="114">
        <f t="shared" ca="1" si="80"/>
        <v>26452.57</v>
      </c>
      <c r="AG163" s="114">
        <f t="shared" ca="1" si="80"/>
        <v>0</v>
      </c>
      <c r="AH163" s="114">
        <f t="shared" ca="1" si="80"/>
        <v>0</v>
      </c>
      <c r="AI163" s="114">
        <f t="shared" ca="1" si="80"/>
        <v>6459.63</v>
      </c>
      <c r="AJ163" s="114">
        <f t="shared" ca="1" si="80"/>
        <v>0</v>
      </c>
      <c r="AK163" s="114">
        <f t="shared" ca="1" si="80"/>
        <v>2742.68</v>
      </c>
      <c r="AN163">
        <f t="shared" si="91"/>
        <v>163</v>
      </c>
      <c r="AQ163" s="114">
        <f t="shared" ca="1" si="92"/>
        <v>3090</v>
      </c>
      <c r="AW163">
        <v>163</v>
      </c>
      <c r="BG163" s="114">
        <f t="shared" ca="1" si="89"/>
        <v>36002.199999999997</v>
      </c>
      <c r="BI163">
        <f t="shared" si="90"/>
        <v>0</v>
      </c>
    </row>
    <row r="164" spans="1:61" x14ac:dyDescent="0.25">
      <c r="A164" s="113">
        <f>A157+20</f>
        <v>800</v>
      </c>
      <c r="B164" s="113" t="str">
        <f>B157</f>
        <v>a</v>
      </c>
      <c r="C164" s="113" t="str">
        <f t="shared" ref="C164:X164" si="93">C157</f>
        <v>b</v>
      </c>
      <c r="D164" s="113" t="str">
        <f t="shared" si="93"/>
        <v>c</v>
      </c>
      <c r="E164" s="113" t="str">
        <f t="shared" si="93"/>
        <v>d</v>
      </c>
      <c r="F164" s="113" t="str">
        <f t="shared" si="93"/>
        <v>e</v>
      </c>
      <c r="G164" s="113" t="str">
        <f t="shared" si="93"/>
        <v>f</v>
      </c>
      <c r="H164" s="113" t="str">
        <f t="shared" si="93"/>
        <v>g</v>
      </c>
      <c r="I164" s="113" t="str">
        <f t="shared" si="93"/>
        <v>h</v>
      </c>
      <c r="J164" s="113" t="str">
        <f t="shared" si="93"/>
        <v>i</v>
      </c>
      <c r="K164" s="113" t="str">
        <f t="shared" si="93"/>
        <v>j</v>
      </c>
      <c r="L164" s="113" t="str">
        <f t="shared" si="93"/>
        <v>k</v>
      </c>
      <c r="M164" s="113" t="str">
        <f t="shared" si="93"/>
        <v>l</v>
      </c>
      <c r="N164" s="113" t="str">
        <f t="shared" si="93"/>
        <v>m</v>
      </c>
      <c r="O164" s="113">
        <f t="shared" si="93"/>
        <v>0</v>
      </c>
      <c r="P164" s="113">
        <f t="shared" si="93"/>
        <v>0</v>
      </c>
      <c r="Q164" s="113" t="str">
        <f t="shared" si="93"/>
        <v>p</v>
      </c>
      <c r="R164" s="113">
        <f t="shared" si="93"/>
        <v>0</v>
      </c>
      <c r="S164" s="113">
        <f t="shared" si="93"/>
        <v>0</v>
      </c>
      <c r="T164" s="113">
        <f t="shared" si="93"/>
        <v>0</v>
      </c>
      <c r="U164" s="113">
        <f t="shared" si="93"/>
        <v>0</v>
      </c>
      <c r="V164" s="113">
        <f t="shared" si="93"/>
        <v>0</v>
      </c>
      <c r="W164" s="113">
        <f t="shared" si="93"/>
        <v>0</v>
      </c>
      <c r="X164" s="113">
        <f t="shared" si="93"/>
        <v>0</v>
      </c>
      <c r="AA164" s="113">
        <v>0</v>
      </c>
      <c r="AB164" s="112">
        <f ca="1">INDIRECT(CONCATENATE($AB$10,CONCATENATE(B164,$A164)))</f>
        <v>40269</v>
      </c>
      <c r="AC164" s="112">
        <f ca="1">INDIRECT(CONCATENATE($AB$10,CONCATENATE(C164,$A164)))</f>
        <v>40359</v>
      </c>
      <c r="AF164" s="114">
        <f t="shared" ca="1" si="80"/>
        <v>14513.64</v>
      </c>
      <c r="AG164" s="114">
        <f ca="1">INDIRECT(CONCATENATE($AB$10,CONCATENATE(G164,$A164)))</f>
        <v>0</v>
      </c>
      <c r="AH164" s="114">
        <f ca="1">INDIRECT(CONCATENATE($AB$10,CONCATENATE(H164,$A164)))</f>
        <v>0</v>
      </c>
      <c r="AI164" s="114">
        <f ca="1">INDIRECT(CONCATENATE($AB$10,CONCATENATE(I164,$A164)))</f>
        <v>6459.63</v>
      </c>
      <c r="AJ164" s="114">
        <f ca="1">INDIRECT(CONCATENATE($AB$10,CONCATENATE(J164,$A164)))</f>
        <v>94.38</v>
      </c>
      <c r="AK164" s="114">
        <f ca="1">INDIRECT(CONCATENATE($AB$10,CONCATENATE(K164,$A164)))</f>
        <v>1747.77</v>
      </c>
      <c r="AN164">
        <f t="shared" si="91"/>
        <v>164</v>
      </c>
      <c r="AQ164" s="114">
        <f t="shared" ca="1" si="92"/>
        <v>1968</v>
      </c>
      <c r="AW164">
        <v>164</v>
      </c>
      <c r="BG164" s="114">
        <f t="shared" ca="1" si="89"/>
        <v>23035.65</v>
      </c>
      <c r="BI164">
        <f t="shared" si="90"/>
        <v>0</v>
      </c>
    </row>
    <row r="165" spans="1:61" x14ac:dyDescent="0.25">
      <c r="A165" s="113">
        <f t="shared" ref="A165:A170" si="94">A164+2</f>
        <v>802</v>
      </c>
      <c r="B165" s="113" t="str">
        <f t="shared" ref="B165:X170" si="95">B164</f>
        <v>a</v>
      </c>
      <c r="C165" s="113" t="str">
        <f t="shared" si="95"/>
        <v>b</v>
      </c>
      <c r="D165" s="113" t="str">
        <f t="shared" si="95"/>
        <v>c</v>
      </c>
      <c r="E165" s="113" t="str">
        <f t="shared" si="95"/>
        <v>d</v>
      </c>
      <c r="F165" s="113" t="str">
        <f t="shared" si="95"/>
        <v>e</v>
      </c>
      <c r="G165" s="113" t="str">
        <f t="shared" si="95"/>
        <v>f</v>
      </c>
      <c r="H165" s="113" t="str">
        <f t="shared" si="95"/>
        <v>g</v>
      </c>
      <c r="I165" s="113" t="str">
        <f t="shared" si="95"/>
        <v>h</v>
      </c>
      <c r="J165" s="113" t="str">
        <f t="shared" si="95"/>
        <v>i</v>
      </c>
      <c r="K165" s="113" t="str">
        <f t="shared" si="95"/>
        <v>j</v>
      </c>
      <c r="L165" s="113" t="str">
        <f t="shared" si="95"/>
        <v>k</v>
      </c>
      <c r="M165" s="113" t="str">
        <f t="shared" si="95"/>
        <v>l</v>
      </c>
      <c r="N165" s="113" t="str">
        <f t="shared" si="95"/>
        <v>m</v>
      </c>
      <c r="O165" s="113">
        <f t="shared" si="95"/>
        <v>0</v>
      </c>
      <c r="P165" s="113">
        <f t="shared" si="95"/>
        <v>0</v>
      </c>
      <c r="Q165" s="113" t="str">
        <f t="shared" si="95"/>
        <v>p</v>
      </c>
      <c r="R165" s="113">
        <f t="shared" si="95"/>
        <v>0</v>
      </c>
      <c r="S165" s="113">
        <f t="shared" si="95"/>
        <v>0</v>
      </c>
      <c r="T165" s="113">
        <f t="shared" si="95"/>
        <v>0</v>
      </c>
      <c r="U165" s="113">
        <f t="shared" si="95"/>
        <v>0</v>
      </c>
      <c r="V165" s="113">
        <f t="shared" si="95"/>
        <v>0</v>
      </c>
      <c r="W165" s="113">
        <f t="shared" si="95"/>
        <v>0</v>
      </c>
      <c r="X165" s="113">
        <f t="shared" si="95"/>
        <v>0</v>
      </c>
      <c r="AA165" s="113">
        <v>3</v>
      </c>
      <c r="AB165" s="112">
        <f t="shared" ref="AB165:AC170" ca="1" si="96">AB164</f>
        <v>40269</v>
      </c>
      <c r="AC165" s="112">
        <f t="shared" ca="1" si="96"/>
        <v>40359</v>
      </c>
      <c r="AF165" s="114">
        <f t="shared" ca="1" si="80"/>
        <v>15701.74</v>
      </c>
      <c r="AG165" s="114">
        <f t="shared" ca="1" si="80"/>
        <v>0</v>
      </c>
      <c r="AH165" s="114">
        <f t="shared" ca="1" si="80"/>
        <v>0</v>
      </c>
      <c r="AI165" s="114">
        <f t="shared" ca="1" si="80"/>
        <v>6459.63</v>
      </c>
      <c r="AJ165" s="114">
        <f t="shared" ca="1" si="80"/>
        <v>94.38</v>
      </c>
      <c r="AK165" s="114">
        <f t="shared" ca="1" si="80"/>
        <v>1846.78</v>
      </c>
      <c r="AN165">
        <f t="shared" si="91"/>
        <v>165</v>
      </c>
      <c r="AQ165" s="114">
        <f t="shared" ca="1" si="92"/>
        <v>1968</v>
      </c>
      <c r="AW165">
        <v>165</v>
      </c>
      <c r="BG165" s="114">
        <f t="shared" ca="1" si="89"/>
        <v>24223.75</v>
      </c>
      <c r="BI165">
        <f t="shared" si="90"/>
        <v>0</v>
      </c>
    </row>
    <row r="166" spans="1:61" x14ac:dyDescent="0.25">
      <c r="A166" s="113">
        <f t="shared" si="94"/>
        <v>804</v>
      </c>
      <c r="B166" s="113" t="str">
        <f t="shared" si="95"/>
        <v>a</v>
      </c>
      <c r="C166" s="113" t="str">
        <f t="shared" si="95"/>
        <v>b</v>
      </c>
      <c r="D166" s="113" t="str">
        <f t="shared" si="95"/>
        <v>c</v>
      </c>
      <c r="E166" s="113" t="str">
        <f t="shared" si="95"/>
        <v>d</v>
      </c>
      <c r="F166" s="113" t="str">
        <f t="shared" si="95"/>
        <v>e</v>
      </c>
      <c r="G166" s="113" t="str">
        <f t="shared" si="95"/>
        <v>f</v>
      </c>
      <c r="H166" s="113" t="str">
        <f t="shared" si="95"/>
        <v>g</v>
      </c>
      <c r="I166" s="113" t="str">
        <f t="shared" si="95"/>
        <v>h</v>
      </c>
      <c r="J166" s="113" t="str">
        <f t="shared" si="95"/>
        <v>i</v>
      </c>
      <c r="K166" s="113" t="str">
        <f t="shared" si="95"/>
        <v>j</v>
      </c>
      <c r="L166" s="113" t="str">
        <f t="shared" si="95"/>
        <v>k</v>
      </c>
      <c r="M166" s="113" t="str">
        <f t="shared" si="95"/>
        <v>l</v>
      </c>
      <c r="N166" s="113" t="str">
        <f t="shared" si="95"/>
        <v>m</v>
      </c>
      <c r="O166" s="113">
        <f t="shared" si="95"/>
        <v>0</v>
      </c>
      <c r="P166" s="113">
        <f t="shared" si="95"/>
        <v>0</v>
      </c>
      <c r="Q166" s="113" t="str">
        <f t="shared" si="95"/>
        <v>p</v>
      </c>
      <c r="R166" s="113">
        <f t="shared" si="95"/>
        <v>0</v>
      </c>
      <c r="S166" s="113">
        <f t="shared" si="95"/>
        <v>0</v>
      </c>
      <c r="T166" s="113">
        <f t="shared" si="95"/>
        <v>0</v>
      </c>
      <c r="U166" s="113">
        <f t="shared" si="95"/>
        <v>0</v>
      </c>
      <c r="V166" s="113">
        <f t="shared" si="95"/>
        <v>0</v>
      </c>
      <c r="W166" s="113">
        <f t="shared" si="95"/>
        <v>0</v>
      </c>
      <c r="X166" s="113">
        <f t="shared" si="95"/>
        <v>0</v>
      </c>
      <c r="AA166" s="113">
        <v>9</v>
      </c>
      <c r="AB166" s="112">
        <f t="shared" ca="1" si="96"/>
        <v>40269</v>
      </c>
      <c r="AC166" s="112">
        <f t="shared" ca="1" si="96"/>
        <v>40359</v>
      </c>
      <c r="AF166" s="114">
        <f t="shared" ca="1" si="80"/>
        <v>17602.849999999999</v>
      </c>
      <c r="AG166" s="114">
        <f t="shared" ca="1" si="80"/>
        <v>0</v>
      </c>
      <c r="AH166" s="114">
        <f t="shared" ca="1" si="80"/>
        <v>0</v>
      </c>
      <c r="AI166" s="114">
        <f t="shared" ca="1" si="80"/>
        <v>6459.63</v>
      </c>
      <c r="AJ166" s="114">
        <f t="shared" ca="1" si="80"/>
        <v>94.38</v>
      </c>
      <c r="AK166" s="114">
        <f t="shared" ca="1" si="80"/>
        <v>2005.21</v>
      </c>
      <c r="AN166">
        <f t="shared" si="91"/>
        <v>166</v>
      </c>
      <c r="AQ166" s="114">
        <f t="shared" ca="1" si="92"/>
        <v>1968</v>
      </c>
      <c r="AW166">
        <v>166</v>
      </c>
      <c r="BG166" s="114">
        <f t="shared" ca="1" si="89"/>
        <v>26124.86</v>
      </c>
      <c r="BI166">
        <f t="shared" si="90"/>
        <v>0</v>
      </c>
    </row>
    <row r="167" spans="1:61" x14ac:dyDescent="0.25">
      <c r="A167" s="113">
        <f t="shared" si="94"/>
        <v>806</v>
      </c>
      <c r="B167" s="113" t="str">
        <f t="shared" si="95"/>
        <v>a</v>
      </c>
      <c r="C167" s="113" t="str">
        <f t="shared" si="95"/>
        <v>b</v>
      </c>
      <c r="D167" s="113" t="str">
        <f t="shared" si="95"/>
        <v>c</v>
      </c>
      <c r="E167" s="113" t="str">
        <f t="shared" si="95"/>
        <v>d</v>
      </c>
      <c r="F167" s="113" t="str">
        <f t="shared" si="95"/>
        <v>e</v>
      </c>
      <c r="G167" s="113" t="str">
        <f t="shared" si="95"/>
        <v>f</v>
      </c>
      <c r="H167" s="113" t="str">
        <f t="shared" si="95"/>
        <v>g</v>
      </c>
      <c r="I167" s="113" t="str">
        <f t="shared" si="95"/>
        <v>h</v>
      </c>
      <c r="J167" s="113" t="str">
        <f t="shared" si="95"/>
        <v>i</v>
      </c>
      <c r="K167" s="113" t="str">
        <f t="shared" si="95"/>
        <v>j</v>
      </c>
      <c r="L167" s="113" t="str">
        <f t="shared" si="95"/>
        <v>k</v>
      </c>
      <c r="M167" s="113" t="str">
        <f t="shared" si="95"/>
        <v>l</v>
      </c>
      <c r="N167" s="113" t="str">
        <f t="shared" si="95"/>
        <v>m</v>
      </c>
      <c r="O167" s="113">
        <f t="shared" si="95"/>
        <v>0</v>
      </c>
      <c r="P167" s="113">
        <f t="shared" si="95"/>
        <v>0</v>
      </c>
      <c r="Q167" s="113" t="str">
        <f t="shared" si="95"/>
        <v>p</v>
      </c>
      <c r="R167" s="113">
        <f t="shared" si="95"/>
        <v>0</v>
      </c>
      <c r="S167" s="113">
        <f t="shared" si="95"/>
        <v>0</v>
      </c>
      <c r="T167" s="113">
        <f t="shared" si="95"/>
        <v>0</v>
      </c>
      <c r="U167" s="113">
        <f t="shared" si="95"/>
        <v>0</v>
      </c>
      <c r="V167" s="113">
        <f t="shared" si="95"/>
        <v>0</v>
      </c>
      <c r="W167" s="113">
        <f t="shared" si="95"/>
        <v>0</v>
      </c>
      <c r="X167" s="113">
        <f t="shared" si="95"/>
        <v>0</v>
      </c>
      <c r="AA167" s="113">
        <v>15</v>
      </c>
      <c r="AB167" s="112">
        <f t="shared" ca="1" si="96"/>
        <v>40269</v>
      </c>
      <c r="AC167" s="112">
        <f t="shared" ca="1" si="96"/>
        <v>40359</v>
      </c>
      <c r="AF167" s="114">
        <f t="shared" ca="1" si="80"/>
        <v>19948.060000000001</v>
      </c>
      <c r="AG167" s="114">
        <f t="shared" ca="1" si="80"/>
        <v>0</v>
      </c>
      <c r="AH167" s="114">
        <f t="shared" ca="1" si="80"/>
        <v>0</v>
      </c>
      <c r="AI167" s="114">
        <f t="shared" ca="1" si="80"/>
        <v>6459.63</v>
      </c>
      <c r="AJ167" s="114">
        <f t="shared" ca="1" si="80"/>
        <v>94.38</v>
      </c>
      <c r="AK167" s="114">
        <f t="shared" ca="1" si="80"/>
        <v>2200.64</v>
      </c>
      <c r="AN167">
        <f t="shared" si="91"/>
        <v>167</v>
      </c>
      <c r="AQ167" s="114">
        <f t="shared" ca="1" si="92"/>
        <v>2424</v>
      </c>
      <c r="AW167">
        <v>167</v>
      </c>
      <c r="BG167" s="114">
        <f t="shared" ca="1" si="89"/>
        <v>28926.070000000003</v>
      </c>
      <c r="BI167">
        <f t="shared" si="90"/>
        <v>0</v>
      </c>
    </row>
    <row r="168" spans="1:61" x14ac:dyDescent="0.25">
      <c r="A168" s="113">
        <f t="shared" si="94"/>
        <v>808</v>
      </c>
      <c r="B168" s="113" t="str">
        <f t="shared" si="95"/>
        <v>a</v>
      </c>
      <c r="C168" s="113" t="str">
        <f t="shared" si="95"/>
        <v>b</v>
      </c>
      <c r="D168" s="113" t="str">
        <f t="shared" si="95"/>
        <v>c</v>
      </c>
      <c r="E168" s="113" t="str">
        <f t="shared" si="95"/>
        <v>d</v>
      </c>
      <c r="F168" s="113" t="str">
        <f t="shared" si="95"/>
        <v>e</v>
      </c>
      <c r="G168" s="113" t="str">
        <f t="shared" si="95"/>
        <v>f</v>
      </c>
      <c r="H168" s="113" t="str">
        <f t="shared" si="95"/>
        <v>g</v>
      </c>
      <c r="I168" s="113" t="str">
        <f t="shared" si="95"/>
        <v>h</v>
      </c>
      <c r="J168" s="113" t="str">
        <f t="shared" si="95"/>
        <v>i</v>
      </c>
      <c r="K168" s="113" t="str">
        <f t="shared" si="95"/>
        <v>j</v>
      </c>
      <c r="L168" s="113" t="str">
        <f t="shared" si="95"/>
        <v>k</v>
      </c>
      <c r="M168" s="113" t="str">
        <f t="shared" si="95"/>
        <v>l</v>
      </c>
      <c r="N168" s="113" t="str">
        <f t="shared" si="95"/>
        <v>m</v>
      </c>
      <c r="O168" s="113">
        <f t="shared" si="95"/>
        <v>0</v>
      </c>
      <c r="P168" s="113">
        <f t="shared" si="95"/>
        <v>0</v>
      </c>
      <c r="Q168" s="113" t="str">
        <f t="shared" si="95"/>
        <v>p</v>
      </c>
      <c r="R168" s="113">
        <f t="shared" si="95"/>
        <v>0</v>
      </c>
      <c r="S168" s="113">
        <f t="shared" si="95"/>
        <v>0</v>
      </c>
      <c r="T168" s="113">
        <f t="shared" si="95"/>
        <v>0</v>
      </c>
      <c r="U168" s="113">
        <f t="shared" si="95"/>
        <v>0</v>
      </c>
      <c r="V168" s="113">
        <f t="shared" si="95"/>
        <v>0</v>
      </c>
      <c r="W168" s="113">
        <f t="shared" si="95"/>
        <v>0</v>
      </c>
      <c r="X168" s="113">
        <f t="shared" si="95"/>
        <v>0</v>
      </c>
      <c r="AA168" s="113">
        <v>21</v>
      </c>
      <c r="AB168" s="112">
        <f t="shared" ca="1" si="96"/>
        <v>40269</v>
      </c>
      <c r="AC168" s="112">
        <f t="shared" ca="1" si="96"/>
        <v>40359</v>
      </c>
      <c r="AF168" s="114">
        <f t="shared" ca="1" si="80"/>
        <v>22935.33</v>
      </c>
      <c r="AG168" s="114">
        <f t="shared" ca="1" si="80"/>
        <v>0</v>
      </c>
      <c r="AH168" s="114">
        <f t="shared" ca="1" si="80"/>
        <v>0</v>
      </c>
      <c r="AI168" s="114">
        <f t="shared" ca="1" si="80"/>
        <v>6459.63</v>
      </c>
      <c r="AJ168" s="114">
        <f t="shared" ca="1" si="80"/>
        <v>94.38</v>
      </c>
      <c r="AK168" s="114">
        <f t="shared" ca="1" si="80"/>
        <v>2449.58</v>
      </c>
      <c r="AN168">
        <f t="shared" si="91"/>
        <v>168</v>
      </c>
      <c r="AQ168" s="114">
        <f t="shared" ca="1" si="92"/>
        <v>2424</v>
      </c>
      <c r="AW168">
        <v>168</v>
      </c>
      <c r="BG168" s="114">
        <f t="shared" ca="1" si="89"/>
        <v>31913.340000000004</v>
      </c>
      <c r="BI168">
        <f t="shared" si="90"/>
        <v>0</v>
      </c>
    </row>
    <row r="169" spans="1:61" x14ac:dyDescent="0.25">
      <c r="A169" s="113">
        <f t="shared" si="94"/>
        <v>810</v>
      </c>
      <c r="B169" s="113" t="str">
        <f t="shared" si="95"/>
        <v>a</v>
      </c>
      <c r="C169" s="113" t="str">
        <f t="shared" si="95"/>
        <v>b</v>
      </c>
      <c r="D169" s="113" t="str">
        <f t="shared" si="95"/>
        <v>c</v>
      </c>
      <c r="E169" s="113" t="str">
        <f t="shared" si="95"/>
        <v>d</v>
      </c>
      <c r="F169" s="113" t="str">
        <f t="shared" si="95"/>
        <v>e</v>
      </c>
      <c r="G169" s="113" t="str">
        <f t="shared" si="95"/>
        <v>f</v>
      </c>
      <c r="H169" s="113" t="str">
        <f t="shared" si="95"/>
        <v>g</v>
      </c>
      <c r="I169" s="113" t="str">
        <f t="shared" si="95"/>
        <v>h</v>
      </c>
      <c r="J169" s="113" t="str">
        <f t="shared" si="95"/>
        <v>i</v>
      </c>
      <c r="K169" s="113" t="str">
        <f t="shared" si="95"/>
        <v>j</v>
      </c>
      <c r="L169" s="113" t="str">
        <f t="shared" si="95"/>
        <v>k</v>
      </c>
      <c r="M169" s="113" t="str">
        <f t="shared" si="95"/>
        <v>l</v>
      </c>
      <c r="N169" s="113" t="str">
        <f t="shared" si="95"/>
        <v>m</v>
      </c>
      <c r="O169" s="113">
        <f t="shared" si="95"/>
        <v>0</v>
      </c>
      <c r="P169" s="113">
        <f t="shared" si="95"/>
        <v>0</v>
      </c>
      <c r="Q169" s="113" t="str">
        <f t="shared" si="95"/>
        <v>p</v>
      </c>
      <c r="R169" s="113">
        <f t="shared" si="95"/>
        <v>0</v>
      </c>
      <c r="S169" s="113">
        <f t="shared" si="95"/>
        <v>0</v>
      </c>
      <c r="T169" s="113">
        <f t="shared" si="95"/>
        <v>0</v>
      </c>
      <c r="U169" s="113">
        <f t="shared" si="95"/>
        <v>0</v>
      </c>
      <c r="V169" s="113">
        <f t="shared" si="95"/>
        <v>0</v>
      </c>
      <c r="W169" s="113">
        <f t="shared" si="95"/>
        <v>0</v>
      </c>
      <c r="X169" s="113">
        <f t="shared" si="95"/>
        <v>0</v>
      </c>
      <c r="AA169" s="113">
        <v>28</v>
      </c>
      <c r="AB169" s="112">
        <f t="shared" ca="1" si="96"/>
        <v>40269</v>
      </c>
      <c r="AC169" s="112">
        <f t="shared" ca="1" si="96"/>
        <v>40359</v>
      </c>
      <c r="AF169" s="114">
        <f t="shared" ca="1" si="80"/>
        <v>24892.49</v>
      </c>
      <c r="AG169" s="114">
        <f t="shared" ca="1" si="80"/>
        <v>0</v>
      </c>
      <c r="AH169" s="114">
        <f t="shared" ca="1" si="80"/>
        <v>0</v>
      </c>
      <c r="AI169" s="114">
        <f t="shared" ca="1" si="80"/>
        <v>6459.63</v>
      </c>
      <c r="AJ169" s="114">
        <f t="shared" ca="1" si="80"/>
        <v>94.38</v>
      </c>
      <c r="AK169" s="114">
        <f t="shared" ca="1" si="80"/>
        <v>2612.6799999999998</v>
      </c>
      <c r="AN169">
        <f t="shared" si="91"/>
        <v>169</v>
      </c>
      <c r="AQ169" s="114">
        <f t="shared" ca="1" si="92"/>
        <v>3090</v>
      </c>
      <c r="AW169">
        <v>169</v>
      </c>
      <c r="BG169" s="114">
        <f t="shared" ca="1" si="89"/>
        <v>34536.5</v>
      </c>
      <c r="BI169">
        <f t="shared" si="90"/>
        <v>0</v>
      </c>
    </row>
    <row r="170" spans="1:61" x14ac:dyDescent="0.25">
      <c r="A170" s="113">
        <f t="shared" si="94"/>
        <v>812</v>
      </c>
      <c r="B170" s="113" t="str">
        <f t="shared" si="95"/>
        <v>a</v>
      </c>
      <c r="C170" s="113" t="str">
        <f t="shared" si="95"/>
        <v>b</v>
      </c>
      <c r="D170" s="113" t="str">
        <f t="shared" si="95"/>
        <v>c</v>
      </c>
      <c r="E170" s="113" t="str">
        <f t="shared" si="95"/>
        <v>d</v>
      </c>
      <c r="F170" s="113" t="str">
        <f t="shared" si="95"/>
        <v>e</v>
      </c>
      <c r="G170" s="113" t="str">
        <f t="shared" si="95"/>
        <v>f</v>
      </c>
      <c r="H170" s="113" t="str">
        <f t="shared" si="95"/>
        <v>g</v>
      </c>
      <c r="I170" s="113" t="str">
        <f t="shared" si="95"/>
        <v>h</v>
      </c>
      <c r="J170" s="113" t="str">
        <f t="shared" si="95"/>
        <v>i</v>
      </c>
      <c r="K170" s="113" t="str">
        <f t="shared" si="95"/>
        <v>j</v>
      </c>
      <c r="L170" s="113" t="str">
        <f t="shared" si="95"/>
        <v>k</v>
      </c>
      <c r="M170" s="113" t="str">
        <f t="shared" si="95"/>
        <v>l</v>
      </c>
      <c r="N170" s="113" t="str">
        <f t="shared" si="95"/>
        <v>m</v>
      </c>
      <c r="O170" s="113">
        <f t="shared" si="95"/>
        <v>0</v>
      </c>
      <c r="P170" s="113">
        <f t="shared" si="95"/>
        <v>0</v>
      </c>
      <c r="Q170" s="113" t="str">
        <f t="shared" si="95"/>
        <v>p</v>
      </c>
      <c r="R170" s="113">
        <f t="shared" si="95"/>
        <v>0</v>
      </c>
      <c r="S170" s="113">
        <f t="shared" si="95"/>
        <v>0</v>
      </c>
      <c r="T170" s="113">
        <f t="shared" si="95"/>
        <v>0</v>
      </c>
      <c r="U170" s="113">
        <f t="shared" si="95"/>
        <v>0</v>
      </c>
      <c r="V170" s="113">
        <f t="shared" si="95"/>
        <v>0</v>
      </c>
      <c r="W170" s="113">
        <f t="shared" si="95"/>
        <v>0</v>
      </c>
      <c r="X170" s="113">
        <f t="shared" si="95"/>
        <v>0</v>
      </c>
      <c r="AA170" s="113">
        <v>35</v>
      </c>
      <c r="AB170" s="112">
        <f t="shared" ca="1" si="96"/>
        <v>40269</v>
      </c>
      <c r="AC170" s="112">
        <f t="shared" ca="1" si="96"/>
        <v>40359</v>
      </c>
      <c r="AF170" s="114">
        <f t="shared" ca="1" si="80"/>
        <v>26452.57</v>
      </c>
      <c r="AG170" s="114">
        <f t="shared" ca="1" si="80"/>
        <v>0</v>
      </c>
      <c r="AH170" s="114">
        <f t="shared" ca="1" si="80"/>
        <v>0</v>
      </c>
      <c r="AI170" s="114">
        <f t="shared" ca="1" si="80"/>
        <v>6459.63</v>
      </c>
      <c r="AJ170" s="114">
        <f t="shared" ca="1" si="80"/>
        <v>94.38</v>
      </c>
      <c r="AK170" s="114">
        <f t="shared" ca="1" si="80"/>
        <v>2742.68</v>
      </c>
      <c r="AN170">
        <f t="shared" si="91"/>
        <v>170</v>
      </c>
      <c r="AQ170" s="114">
        <f t="shared" ca="1" si="92"/>
        <v>3090</v>
      </c>
      <c r="AW170">
        <v>170</v>
      </c>
      <c r="BG170" s="114">
        <f t="shared" ca="1" si="89"/>
        <v>36096.579999999994</v>
      </c>
      <c r="BI170">
        <f t="shared" si="90"/>
        <v>0</v>
      </c>
    </row>
    <row r="171" spans="1:61" x14ac:dyDescent="0.25">
      <c r="A171" s="113">
        <f>A164+20</f>
        <v>820</v>
      </c>
      <c r="B171" s="113" t="str">
        <f>B164</f>
        <v>a</v>
      </c>
      <c r="C171" s="113" t="str">
        <f t="shared" ref="C171:X171" si="97">C164</f>
        <v>b</v>
      </c>
      <c r="D171" s="113" t="str">
        <f t="shared" si="97"/>
        <v>c</v>
      </c>
      <c r="E171" s="113" t="str">
        <f t="shared" si="97"/>
        <v>d</v>
      </c>
      <c r="F171" s="113" t="str">
        <f t="shared" si="97"/>
        <v>e</v>
      </c>
      <c r="G171" s="113" t="str">
        <f t="shared" si="97"/>
        <v>f</v>
      </c>
      <c r="H171" s="113" t="str">
        <f t="shared" si="97"/>
        <v>g</v>
      </c>
      <c r="I171" s="113" t="str">
        <f t="shared" si="97"/>
        <v>h</v>
      </c>
      <c r="J171" s="113" t="str">
        <f t="shared" si="97"/>
        <v>i</v>
      </c>
      <c r="K171" s="113" t="str">
        <f t="shared" si="97"/>
        <v>j</v>
      </c>
      <c r="L171" s="113" t="str">
        <f t="shared" si="97"/>
        <v>k</v>
      </c>
      <c r="M171" s="113" t="str">
        <f t="shared" si="97"/>
        <v>l</v>
      </c>
      <c r="N171" s="113" t="str">
        <f t="shared" si="97"/>
        <v>m</v>
      </c>
      <c r="O171" s="113">
        <f t="shared" si="97"/>
        <v>0</v>
      </c>
      <c r="P171" s="113">
        <f t="shared" si="97"/>
        <v>0</v>
      </c>
      <c r="Q171" s="113" t="str">
        <f t="shared" si="97"/>
        <v>p</v>
      </c>
      <c r="R171" s="113">
        <f t="shared" si="97"/>
        <v>0</v>
      </c>
      <c r="S171" s="113">
        <f t="shared" si="97"/>
        <v>0</v>
      </c>
      <c r="T171" s="113">
        <f t="shared" si="97"/>
        <v>0</v>
      </c>
      <c r="U171" s="113">
        <f t="shared" si="97"/>
        <v>0</v>
      </c>
      <c r="V171" s="113">
        <f t="shared" si="97"/>
        <v>0</v>
      </c>
      <c r="W171" s="113">
        <f t="shared" si="97"/>
        <v>0</v>
      </c>
      <c r="X171" s="113">
        <f t="shared" si="97"/>
        <v>0</v>
      </c>
      <c r="AA171" s="113">
        <v>0</v>
      </c>
      <c r="AB171" s="112">
        <f ca="1">INDIRECT(CONCATENATE($AB$10,CONCATENATE(B171,$A171)))</f>
        <v>40360</v>
      </c>
      <c r="AC171" s="112">
        <f ca="1">INDIRECT(CONCATENATE($AB$10,CONCATENATE(C171,$A171)))</f>
        <v>40421</v>
      </c>
      <c r="AF171" s="114">
        <f t="shared" ca="1" si="80"/>
        <v>14513.64</v>
      </c>
      <c r="AG171" s="114">
        <f ca="1">INDIRECT(CONCATENATE($AB$10,CONCATENATE(G171,$A171)))</f>
        <v>0</v>
      </c>
      <c r="AH171" s="114">
        <f ca="1">INDIRECT(CONCATENATE($AB$10,CONCATENATE(H171,$A171)))</f>
        <v>0</v>
      </c>
      <c r="AI171" s="114">
        <f ca="1">INDIRECT(CONCATENATE($AB$10,CONCATENATE(I171,$A171)))</f>
        <v>6459.63</v>
      </c>
      <c r="AJ171" s="114">
        <f ca="1">INDIRECT(CONCATENATE($AB$10,CONCATENATE(J171,$A171)))</f>
        <v>157.30000000000001</v>
      </c>
      <c r="AK171" s="114">
        <f ca="1">INDIRECT(CONCATENATE($AB$10,CONCATENATE(K171,$A171)))</f>
        <v>1747.77</v>
      </c>
      <c r="AN171">
        <f t="shared" si="91"/>
        <v>171</v>
      </c>
      <c r="AQ171" s="114">
        <f t="shared" ca="1" si="92"/>
        <v>1968</v>
      </c>
      <c r="AW171">
        <v>171</v>
      </c>
      <c r="BG171" s="114">
        <f t="shared" ca="1" si="89"/>
        <v>23098.57</v>
      </c>
      <c r="BI171">
        <f t="shared" si="90"/>
        <v>0</v>
      </c>
    </row>
    <row r="172" spans="1:61" x14ac:dyDescent="0.25">
      <c r="A172" s="113">
        <f t="shared" ref="A172:A177" si="98">A171+2</f>
        <v>822</v>
      </c>
      <c r="B172" s="113" t="str">
        <f t="shared" ref="B172:X177" si="99">B171</f>
        <v>a</v>
      </c>
      <c r="C172" s="113" t="str">
        <f t="shared" si="99"/>
        <v>b</v>
      </c>
      <c r="D172" s="113" t="str">
        <f t="shared" si="99"/>
        <v>c</v>
      </c>
      <c r="E172" s="113" t="str">
        <f t="shared" si="99"/>
        <v>d</v>
      </c>
      <c r="F172" s="113" t="str">
        <f t="shared" si="99"/>
        <v>e</v>
      </c>
      <c r="G172" s="113" t="str">
        <f t="shared" si="99"/>
        <v>f</v>
      </c>
      <c r="H172" s="113" t="str">
        <f t="shared" si="99"/>
        <v>g</v>
      </c>
      <c r="I172" s="113" t="str">
        <f t="shared" si="99"/>
        <v>h</v>
      </c>
      <c r="J172" s="113" t="str">
        <f t="shared" si="99"/>
        <v>i</v>
      </c>
      <c r="K172" s="113" t="str">
        <f t="shared" si="99"/>
        <v>j</v>
      </c>
      <c r="L172" s="113" t="str">
        <f t="shared" si="99"/>
        <v>k</v>
      </c>
      <c r="M172" s="113" t="str">
        <f t="shared" si="99"/>
        <v>l</v>
      </c>
      <c r="N172" s="113" t="str">
        <f t="shared" si="99"/>
        <v>m</v>
      </c>
      <c r="O172" s="113">
        <f t="shared" si="99"/>
        <v>0</v>
      </c>
      <c r="P172" s="113">
        <f t="shared" si="99"/>
        <v>0</v>
      </c>
      <c r="Q172" s="113" t="str">
        <f t="shared" si="99"/>
        <v>p</v>
      </c>
      <c r="R172" s="113">
        <f t="shared" si="99"/>
        <v>0</v>
      </c>
      <c r="S172" s="113">
        <f t="shared" si="99"/>
        <v>0</v>
      </c>
      <c r="T172" s="113">
        <f t="shared" si="99"/>
        <v>0</v>
      </c>
      <c r="U172" s="113">
        <f t="shared" si="99"/>
        <v>0</v>
      </c>
      <c r="V172" s="113">
        <f t="shared" si="99"/>
        <v>0</v>
      </c>
      <c r="W172" s="113">
        <f t="shared" si="99"/>
        <v>0</v>
      </c>
      <c r="X172" s="113">
        <f t="shared" si="99"/>
        <v>0</v>
      </c>
      <c r="AA172" s="113">
        <v>3</v>
      </c>
      <c r="AB172" s="112">
        <f t="shared" ref="AB172:AC177" ca="1" si="100">AB171</f>
        <v>40360</v>
      </c>
      <c r="AC172" s="112">
        <f t="shared" ca="1" si="100"/>
        <v>40421</v>
      </c>
      <c r="AF172" s="114">
        <f t="shared" ca="1" si="80"/>
        <v>15701.74</v>
      </c>
      <c r="AG172" s="114">
        <f t="shared" ca="1" si="80"/>
        <v>0</v>
      </c>
      <c r="AH172" s="114">
        <f t="shared" ca="1" si="80"/>
        <v>0</v>
      </c>
      <c r="AI172" s="114">
        <f t="shared" ca="1" si="80"/>
        <v>6459.63</v>
      </c>
      <c r="AJ172" s="114">
        <f t="shared" ca="1" si="80"/>
        <v>157.30000000000001</v>
      </c>
      <c r="AK172" s="114">
        <f t="shared" ca="1" si="80"/>
        <v>1846.78</v>
      </c>
      <c r="AN172">
        <f t="shared" si="91"/>
        <v>172</v>
      </c>
      <c r="AQ172" s="114">
        <f t="shared" ca="1" si="92"/>
        <v>1968</v>
      </c>
      <c r="AW172">
        <v>172</v>
      </c>
      <c r="BG172" s="114">
        <f t="shared" ca="1" si="89"/>
        <v>24286.67</v>
      </c>
      <c r="BI172">
        <f t="shared" si="90"/>
        <v>0</v>
      </c>
    </row>
    <row r="173" spans="1:61" x14ac:dyDescent="0.25">
      <c r="A173" s="113">
        <f t="shared" si="98"/>
        <v>824</v>
      </c>
      <c r="B173" s="113" t="str">
        <f t="shared" si="99"/>
        <v>a</v>
      </c>
      <c r="C173" s="113" t="str">
        <f t="shared" si="99"/>
        <v>b</v>
      </c>
      <c r="D173" s="113" t="str">
        <f t="shared" si="99"/>
        <v>c</v>
      </c>
      <c r="E173" s="113" t="str">
        <f t="shared" si="99"/>
        <v>d</v>
      </c>
      <c r="F173" s="113" t="str">
        <f t="shared" si="99"/>
        <v>e</v>
      </c>
      <c r="G173" s="113" t="str">
        <f t="shared" si="99"/>
        <v>f</v>
      </c>
      <c r="H173" s="113" t="str">
        <f t="shared" si="99"/>
        <v>g</v>
      </c>
      <c r="I173" s="113" t="str">
        <f t="shared" si="99"/>
        <v>h</v>
      </c>
      <c r="J173" s="113" t="str">
        <f t="shared" si="99"/>
        <v>i</v>
      </c>
      <c r="K173" s="113" t="str">
        <f t="shared" si="99"/>
        <v>j</v>
      </c>
      <c r="L173" s="113" t="str">
        <f t="shared" si="99"/>
        <v>k</v>
      </c>
      <c r="M173" s="113" t="str">
        <f t="shared" si="99"/>
        <v>l</v>
      </c>
      <c r="N173" s="113" t="str">
        <f t="shared" si="99"/>
        <v>m</v>
      </c>
      <c r="O173" s="113">
        <f t="shared" si="99"/>
        <v>0</v>
      </c>
      <c r="P173" s="113">
        <f t="shared" si="99"/>
        <v>0</v>
      </c>
      <c r="Q173" s="113" t="str">
        <f t="shared" si="99"/>
        <v>p</v>
      </c>
      <c r="R173" s="113">
        <f t="shared" si="99"/>
        <v>0</v>
      </c>
      <c r="S173" s="113">
        <f t="shared" si="99"/>
        <v>0</v>
      </c>
      <c r="T173" s="113">
        <f t="shared" si="99"/>
        <v>0</v>
      </c>
      <c r="U173" s="113">
        <f t="shared" si="99"/>
        <v>0</v>
      </c>
      <c r="V173" s="113">
        <f t="shared" si="99"/>
        <v>0</v>
      </c>
      <c r="W173" s="113">
        <f t="shared" si="99"/>
        <v>0</v>
      </c>
      <c r="X173" s="113">
        <f t="shared" si="99"/>
        <v>0</v>
      </c>
      <c r="AA173" s="113">
        <v>9</v>
      </c>
      <c r="AB173" s="112">
        <f t="shared" ca="1" si="100"/>
        <v>40360</v>
      </c>
      <c r="AC173" s="112">
        <f t="shared" ca="1" si="100"/>
        <v>40421</v>
      </c>
      <c r="AF173" s="114">
        <f t="shared" ca="1" si="80"/>
        <v>17602.849999999999</v>
      </c>
      <c r="AG173" s="114">
        <f t="shared" ca="1" si="80"/>
        <v>0</v>
      </c>
      <c r="AH173" s="114">
        <f t="shared" ca="1" si="80"/>
        <v>0</v>
      </c>
      <c r="AI173" s="114">
        <f t="shared" ca="1" si="80"/>
        <v>6459.63</v>
      </c>
      <c r="AJ173" s="114">
        <f t="shared" ca="1" si="80"/>
        <v>157.30000000000001</v>
      </c>
      <c r="AK173" s="114">
        <f t="shared" ca="1" si="80"/>
        <v>2005.21</v>
      </c>
      <c r="AN173">
        <f t="shared" si="91"/>
        <v>173</v>
      </c>
      <c r="AQ173" s="114">
        <f t="shared" ca="1" si="92"/>
        <v>1968</v>
      </c>
      <c r="AW173">
        <v>173</v>
      </c>
      <c r="BG173" s="114">
        <f t="shared" ca="1" si="89"/>
        <v>26187.78</v>
      </c>
      <c r="BI173">
        <f t="shared" si="90"/>
        <v>0</v>
      </c>
    </row>
    <row r="174" spans="1:61" x14ac:dyDescent="0.25">
      <c r="A174" s="113">
        <f t="shared" si="98"/>
        <v>826</v>
      </c>
      <c r="B174" s="113" t="str">
        <f t="shared" si="99"/>
        <v>a</v>
      </c>
      <c r="C174" s="113" t="str">
        <f t="shared" si="99"/>
        <v>b</v>
      </c>
      <c r="D174" s="113" t="str">
        <f t="shared" si="99"/>
        <v>c</v>
      </c>
      <c r="E174" s="113" t="str">
        <f t="shared" si="99"/>
        <v>d</v>
      </c>
      <c r="F174" s="113" t="str">
        <f t="shared" si="99"/>
        <v>e</v>
      </c>
      <c r="G174" s="113" t="str">
        <f t="shared" si="99"/>
        <v>f</v>
      </c>
      <c r="H174" s="113" t="str">
        <f t="shared" si="99"/>
        <v>g</v>
      </c>
      <c r="I174" s="113" t="str">
        <f t="shared" si="99"/>
        <v>h</v>
      </c>
      <c r="J174" s="113" t="str">
        <f t="shared" si="99"/>
        <v>i</v>
      </c>
      <c r="K174" s="113" t="str">
        <f t="shared" si="99"/>
        <v>j</v>
      </c>
      <c r="L174" s="113" t="str">
        <f t="shared" si="99"/>
        <v>k</v>
      </c>
      <c r="M174" s="113" t="str">
        <f t="shared" si="99"/>
        <v>l</v>
      </c>
      <c r="N174" s="113" t="str">
        <f t="shared" si="99"/>
        <v>m</v>
      </c>
      <c r="O174" s="113">
        <f t="shared" si="99"/>
        <v>0</v>
      </c>
      <c r="P174" s="113">
        <f t="shared" si="99"/>
        <v>0</v>
      </c>
      <c r="Q174" s="113" t="str">
        <f t="shared" si="99"/>
        <v>p</v>
      </c>
      <c r="R174" s="113">
        <f t="shared" si="99"/>
        <v>0</v>
      </c>
      <c r="S174" s="113">
        <f t="shared" si="99"/>
        <v>0</v>
      </c>
      <c r="T174" s="113">
        <f t="shared" si="99"/>
        <v>0</v>
      </c>
      <c r="U174" s="113">
        <f t="shared" si="99"/>
        <v>0</v>
      </c>
      <c r="V174" s="113">
        <f t="shared" si="99"/>
        <v>0</v>
      </c>
      <c r="W174" s="113">
        <f t="shared" si="99"/>
        <v>0</v>
      </c>
      <c r="X174" s="113">
        <f t="shared" si="99"/>
        <v>0</v>
      </c>
      <c r="AA174" s="113">
        <v>15</v>
      </c>
      <c r="AB174" s="112">
        <f t="shared" ca="1" si="100"/>
        <v>40360</v>
      </c>
      <c r="AC174" s="112">
        <f t="shared" ca="1" si="100"/>
        <v>40421</v>
      </c>
      <c r="AF174" s="114">
        <f t="shared" ca="1" si="80"/>
        <v>19948.060000000001</v>
      </c>
      <c r="AG174" s="114">
        <f t="shared" ca="1" si="80"/>
        <v>0</v>
      </c>
      <c r="AH174" s="114">
        <f t="shared" ca="1" si="80"/>
        <v>0</v>
      </c>
      <c r="AI174" s="114">
        <f t="shared" ca="1" si="80"/>
        <v>6459.63</v>
      </c>
      <c r="AJ174" s="114">
        <f t="shared" ca="1" si="80"/>
        <v>157.30000000000001</v>
      </c>
      <c r="AK174" s="114">
        <f t="shared" ca="1" si="80"/>
        <v>2200.64</v>
      </c>
      <c r="AN174">
        <f t="shared" si="91"/>
        <v>174</v>
      </c>
      <c r="AQ174" s="114">
        <f t="shared" ca="1" si="92"/>
        <v>2424</v>
      </c>
      <c r="AW174">
        <v>174</v>
      </c>
      <c r="BG174" s="114">
        <f t="shared" ca="1" si="89"/>
        <v>28988.99</v>
      </c>
      <c r="BI174">
        <f t="shared" si="90"/>
        <v>0</v>
      </c>
    </row>
    <row r="175" spans="1:61" x14ac:dyDescent="0.25">
      <c r="A175" s="113">
        <f t="shared" si="98"/>
        <v>828</v>
      </c>
      <c r="B175" s="113" t="str">
        <f t="shared" si="99"/>
        <v>a</v>
      </c>
      <c r="C175" s="113" t="str">
        <f t="shared" si="99"/>
        <v>b</v>
      </c>
      <c r="D175" s="113" t="str">
        <f t="shared" si="99"/>
        <v>c</v>
      </c>
      <c r="E175" s="113" t="str">
        <f t="shared" si="99"/>
        <v>d</v>
      </c>
      <c r="F175" s="113" t="str">
        <f t="shared" si="99"/>
        <v>e</v>
      </c>
      <c r="G175" s="113" t="str">
        <f t="shared" si="99"/>
        <v>f</v>
      </c>
      <c r="H175" s="113" t="str">
        <f t="shared" si="99"/>
        <v>g</v>
      </c>
      <c r="I175" s="113" t="str">
        <f t="shared" si="99"/>
        <v>h</v>
      </c>
      <c r="J175" s="113" t="str">
        <f t="shared" si="99"/>
        <v>i</v>
      </c>
      <c r="K175" s="113" t="str">
        <f t="shared" si="99"/>
        <v>j</v>
      </c>
      <c r="L175" s="113" t="str">
        <f t="shared" si="99"/>
        <v>k</v>
      </c>
      <c r="M175" s="113" t="str">
        <f t="shared" si="99"/>
        <v>l</v>
      </c>
      <c r="N175" s="113" t="str">
        <f t="shared" si="99"/>
        <v>m</v>
      </c>
      <c r="O175" s="113">
        <f t="shared" si="99"/>
        <v>0</v>
      </c>
      <c r="P175" s="113">
        <f t="shared" si="99"/>
        <v>0</v>
      </c>
      <c r="Q175" s="113" t="str">
        <f t="shared" si="99"/>
        <v>p</v>
      </c>
      <c r="R175" s="113">
        <f t="shared" si="99"/>
        <v>0</v>
      </c>
      <c r="S175" s="113">
        <f t="shared" si="99"/>
        <v>0</v>
      </c>
      <c r="T175" s="113">
        <f t="shared" si="99"/>
        <v>0</v>
      </c>
      <c r="U175" s="113">
        <f t="shared" si="99"/>
        <v>0</v>
      </c>
      <c r="V175" s="113">
        <f t="shared" si="99"/>
        <v>0</v>
      </c>
      <c r="W175" s="113">
        <f t="shared" si="99"/>
        <v>0</v>
      </c>
      <c r="X175" s="113">
        <f t="shared" si="99"/>
        <v>0</v>
      </c>
      <c r="AA175" s="113">
        <v>21</v>
      </c>
      <c r="AB175" s="112">
        <f t="shared" ca="1" si="100"/>
        <v>40360</v>
      </c>
      <c r="AC175" s="112">
        <f t="shared" ca="1" si="100"/>
        <v>40421</v>
      </c>
      <c r="AF175" s="114">
        <f t="shared" ca="1" si="80"/>
        <v>22935.33</v>
      </c>
      <c r="AG175" s="114">
        <f t="shared" ca="1" si="80"/>
        <v>0</v>
      </c>
      <c r="AH175" s="114">
        <f t="shared" ca="1" si="80"/>
        <v>0</v>
      </c>
      <c r="AI175" s="114">
        <f t="shared" ca="1" si="80"/>
        <v>6459.63</v>
      </c>
      <c r="AJ175" s="114">
        <f t="shared" ca="1" si="80"/>
        <v>157.30000000000001</v>
      </c>
      <c r="AK175" s="114">
        <f t="shared" ca="1" si="80"/>
        <v>2449.58</v>
      </c>
      <c r="AN175">
        <f t="shared" si="91"/>
        <v>175</v>
      </c>
      <c r="AQ175" s="114">
        <f t="shared" ca="1" si="92"/>
        <v>2424</v>
      </c>
      <c r="AW175">
        <v>175</v>
      </c>
      <c r="BG175" s="114">
        <f t="shared" ca="1" si="89"/>
        <v>31976.260000000002</v>
      </c>
      <c r="BI175">
        <f t="shared" si="90"/>
        <v>0</v>
      </c>
    </row>
    <row r="176" spans="1:61" x14ac:dyDescent="0.25">
      <c r="A176" s="113">
        <f t="shared" si="98"/>
        <v>830</v>
      </c>
      <c r="B176" s="113" t="str">
        <f t="shared" si="99"/>
        <v>a</v>
      </c>
      <c r="C176" s="113" t="str">
        <f t="shared" si="99"/>
        <v>b</v>
      </c>
      <c r="D176" s="113" t="str">
        <f t="shared" si="99"/>
        <v>c</v>
      </c>
      <c r="E176" s="113" t="str">
        <f t="shared" si="99"/>
        <v>d</v>
      </c>
      <c r="F176" s="113" t="str">
        <f t="shared" si="99"/>
        <v>e</v>
      </c>
      <c r="G176" s="113" t="str">
        <f t="shared" si="99"/>
        <v>f</v>
      </c>
      <c r="H176" s="113" t="str">
        <f t="shared" si="99"/>
        <v>g</v>
      </c>
      <c r="I176" s="113" t="str">
        <f t="shared" si="99"/>
        <v>h</v>
      </c>
      <c r="J176" s="113" t="str">
        <f t="shared" si="99"/>
        <v>i</v>
      </c>
      <c r="K176" s="113" t="str">
        <f t="shared" si="99"/>
        <v>j</v>
      </c>
      <c r="L176" s="113" t="str">
        <f t="shared" si="99"/>
        <v>k</v>
      </c>
      <c r="M176" s="113" t="str">
        <f t="shared" si="99"/>
        <v>l</v>
      </c>
      <c r="N176" s="113" t="str">
        <f t="shared" si="99"/>
        <v>m</v>
      </c>
      <c r="O176" s="113">
        <f t="shared" si="99"/>
        <v>0</v>
      </c>
      <c r="P176" s="113">
        <f t="shared" si="99"/>
        <v>0</v>
      </c>
      <c r="Q176" s="113" t="str">
        <f t="shared" si="99"/>
        <v>p</v>
      </c>
      <c r="R176" s="113">
        <f t="shared" si="99"/>
        <v>0</v>
      </c>
      <c r="S176" s="113">
        <f t="shared" si="99"/>
        <v>0</v>
      </c>
      <c r="T176" s="113">
        <f t="shared" si="99"/>
        <v>0</v>
      </c>
      <c r="U176" s="113">
        <f t="shared" si="99"/>
        <v>0</v>
      </c>
      <c r="V176" s="113">
        <f t="shared" si="99"/>
        <v>0</v>
      </c>
      <c r="W176" s="113">
        <f t="shared" si="99"/>
        <v>0</v>
      </c>
      <c r="X176" s="113">
        <f t="shared" si="99"/>
        <v>0</v>
      </c>
      <c r="AA176" s="113">
        <v>28</v>
      </c>
      <c r="AB176" s="112">
        <f t="shared" ca="1" si="100"/>
        <v>40360</v>
      </c>
      <c r="AC176" s="112">
        <f t="shared" ca="1" si="100"/>
        <v>40421</v>
      </c>
      <c r="AF176" s="114">
        <f t="shared" ca="1" si="80"/>
        <v>24892.49</v>
      </c>
      <c r="AG176" s="114">
        <f t="shared" ca="1" si="80"/>
        <v>0</v>
      </c>
      <c r="AH176" s="114">
        <f t="shared" ca="1" si="80"/>
        <v>0</v>
      </c>
      <c r="AI176" s="114">
        <f t="shared" ca="1" si="80"/>
        <v>6459.63</v>
      </c>
      <c r="AJ176" s="114">
        <f t="shared" ca="1" si="80"/>
        <v>157.30000000000001</v>
      </c>
      <c r="AK176" s="114">
        <f t="shared" ca="1" si="80"/>
        <v>2612.6799999999998</v>
      </c>
      <c r="AN176">
        <f t="shared" si="91"/>
        <v>176</v>
      </c>
      <c r="AQ176" s="114">
        <f t="shared" ca="1" si="92"/>
        <v>3090</v>
      </c>
      <c r="AW176">
        <v>176</v>
      </c>
      <c r="BG176" s="114">
        <f t="shared" ca="1" si="89"/>
        <v>34599.42</v>
      </c>
      <c r="BI176">
        <f t="shared" si="90"/>
        <v>0</v>
      </c>
    </row>
    <row r="177" spans="1:61" x14ac:dyDescent="0.25">
      <c r="A177" s="113">
        <f t="shared" si="98"/>
        <v>832</v>
      </c>
      <c r="B177" s="113" t="str">
        <f t="shared" si="99"/>
        <v>a</v>
      </c>
      <c r="C177" s="113" t="str">
        <f t="shared" si="99"/>
        <v>b</v>
      </c>
      <c r="D177" s="113" t="str">
        <f t="shared" si="99"/>
        <v>c</v>
      </c>
      <c r="E177" s="113" t="str">
        <f t="shared" si="99"/>
        <v>d</v>
      </c>
      <c r="F177" s="113" t="str">
        <f t="shared" si="99"/>
        <v>e</v>
      </c>
      <c r="G177" s="113" t="str">
        <f t="shared" si="99"/>
        <v>f</v>
      </c>
      <c r="H177" s="113" t="str">
        <f t="shared" si="99"/>
        <v>g</v>
      </c>
      <c r="I177" s="113" t="str">
        <f t="shared" si="99"/>
        <v>h</v>
      </c>
      <c r="J177" s="113" t="str">
        <f t="shared" si="99"/>
        <v>i</v>
      </c>
      <c r="K177" s="113" t="str">
        <f t="shared" si="99"/>
        <v>j</v>
      </c>
      <c r="L177" s="113" t="str">
        <f t="shared" si="99"/>
        <v>k</v>
      </c>
      <c r="M177" s="113" t="str">
        <f t="shared" si="99"/>
        <v>l</v>
      </c>
      <c r="N177" s="113" t="str">
        <f t="shared" si="99"/>
        <v>m</v>
      </c>
      <c r="O177" s="113">
        <f t="shared" si="99"/>
        <v>0</v>
      </c>
      <c r="P177" s="113">
        <f t="shared" si="99"/>
        <v>0</v>
      </c>
      <c r="Q177" s="113" t="str">
        <f t="shared" si="99"/>
        <v>p</v>
      </c>
      <c r="R177" s="113">
        <f t="shared" si="99"/>
        <v>0</v>
      </c>
      <c r="S177" s="113">
        <f t="shared" si="99"/>
        <v>0</v>
      </c>
      <c r="T177" s="113">
        <f t="shared" si="99"/>
        <v>0</v>
      </c>
      <c r="U177" s="113">
        <f t="shared" si="99"/>
        <v>0</v>
      </c>
      <c r="V177" s="113">
        <f t="shared" si="99"/>
        <v>0</v>
      </c>
      <c r="W177" s="113">
        <f t="shared" si="99"/>
        <v>0</v>
      </c>
      <c r="X177" s="113">
        <f t="shared" si="99"/>
        <v>0</v>
      </c>
      <c r="AA177" s="113">
        <v>35</v>
      </c>
      <c r="AB177" s="112">
        <f t="shared" ca="1" si="100"/>
        <v>40360</v>
      </c>
      <c r="AC177" s="112">
        <f t="shared" ca="1" si="100"/>
        <v>40421</v>
      </c>
      <c r="AF177" s="114">
        <f t="shared" ca="1" si="80"/>
        <v>26452.57</v>
      </c>
      <c r="AG177" s="114">
        <f t="shared" ca="1" si="80"/>
        <v>0</v>
      </c>
      <c r="AH177" s="114">
        <f t="shared" ca="1" si="80"/>
        <v>0</v>
      </c>
      <c r="AI177" s="114">
        <f t="shared" ca="1" si="80"/>
        <v>6459.63</v>
      </c>
      <c r="AJ177" s="114">
        <f t="shared" ca="1" si="80"/>
        <v>157.30000000000001</v>
      </c>
      <c r="AK177" s="114">
        <f t="shared" ca="1" si="80"/>
        <v>2742.68</v>
      </c>
      <c r="AN177">
        <f t="shared" si="91"/>
        <v>177</v>
      </c>
      <c r="AQ177" s="114">
        <f t="shared" ca="1" si="92"/>
        <v>3090</v>
      </c>
      <c r="AW177">
        <v>177</v>
      </c>
      <c r="BG177" s="114">
        <f t="shared" ca="1" si="89"/>
        <v>36159.5</v>
      </c>
      <c r="BI177">
        <f t="shared" si="90"/>
        <v>0</v>
      </c>
    </row>
    <row r="178" spans="1:61" x14ac:dyDescent="0.25">
      <c r="A178" s="113">
        <f>A171+20</f>
        <v>840</v>
      </c>
      <c r="B178" s="113" t="str">
        <f>B171</f>
        <v>a</v>
      </c>
      <c r="C178" s="113" t="str">
        <f t="shared" ref="C178:X178" si="101">C171</f>
        <v>b</v>
      </c>
      <c r="D178" s="113" t="str">
        <f t="shared" si="101"/>
        <v>c</v>
      </c>
      <c r="E178" s="113" t="str">
        <f t="shared" si="101"/>
        <v>d</v>
      </c>
      <c r="F178" s="113" t="str">
        <f t="shared" si="101"/>
        <v>e</v>
      </c>
      <c r="G178" s="113" t="str">
        <f t="shared" si="101"/>
        <v>f</v>
      </c>
      <c r="H178" s="113" t="str">
        <f t="shared" si="101"/>
        <v>g</v>
      </c>
      <c r="I178" s="113" t="str">
        <f t="shared" si="101"/>
        <v>h</v>
      </c>
      <c r="J178" s="113" t="str">
        <f t="shared" si="101"/>
        <v>i</v>
      </c>
      <c r="K178" s="113" t="str">
        <f t="shared" si="101"/>
        <v>j</v>
      </c>
      <c r="L178" s="113" t="str">
        <f t="shared" si="101"/>
        <v>k</v>
      </c>
      <c r="M178" s="113" t="str">
        <f t="shared" si="101"/>
        <v>l</v>
      </c>
      <c r="N178" s="113" t="str">
        <f t="shared" si="101"/>
        <v>m</v>
      </c>
      <c r="O178" s="113">
        <f t="shared" si="101"/>
        <v>0</v>
      </c>
      <c r="P178" s="113">
        <f t="shared" si="101"/>
        <v>0</v>
      </c>
      <c r="Q178" s="113" t="str">
        <f t="shared" si="101"/>
        <v>p</v>
      </c>
      <c r="R178" s="113">
        <f t="shared" si="101"/>
        <v>0</v>
      </c>
      <c r="S178" s="113">
        <f t="shared" si="101"/>
        <v>0</v>
      </c>
      <c r="T178" s="113">
        <f t="shared" si="101"/>
        <v>0</v>
      </c>
      <c r="U178" s="113">
        <f t="shared" si="101"/>
        <v>0</v>
      </c>
      <c r="V178" s="113">
        <f t="shared" si="101"/>
        <v>0</v>
      </c>
      <c r="W178" s="113">
        <f t="shared" si="101"/>
        <v>0</v>
      </c>
      <c r="X178" s="113">
        <f t="shared" si="101"/>
        <v>0</v>
      </c>
      <c r="AA178" s="113">
        <v>0</v>
      </c>
      <c r="AB178" s="112">
        <f ca="1">INDIRECT(CONCATENATE($AB$10,CONCATENATE(B178,$A178)))</f>
        <v>40422</v>
      </c>
      <c r="AC178" s="112">
        <f ca="1">INDIRECT(CONCATENATE($AB$10,CONCATENATE(C178,$A178)))</f>
        <v>40543</v>
      </c>
      <c r="AF178" s="114">
        <f t="shared" ca="1" si="80"/>
        <v>14513.64</v>
      </c>
      <c r="AG178" s="114">
        <f ca="1">INDIRECT(CONCATENATE($AB$10,CONCATENATE(G178,$A178)))</f>
        <v>0</v>
      </c>
      <c r="AH178" s="114">
        <f ca="1">INDIRECT(CONCATENATE($AB$10,CONCATENATE(H178,$A178)))</f>
        <v>0</v>
      </c>
      <c r="AI178" s="114">
        <f ca="1">INDIRECT(CONCATENATE($AB$10,CONCATENATE(I178,$A178)))</f>
        <v>6459.63</v>
      </c>
      <c r="AJ178" s="114">
        <f ca="1">INDIRECT(CONCATENATE($AB$10,CONCATENATE(J178,$A178)))</f>
        <v>157.30000000000001</v>
      </c>
      <c r="AK178" s="114">
        <f ca="1">INDIRECT(CONCATENATE($AB$10,CONCATENATE(K178,$A178)))</f>
        <v>1747.77</v>
      </c>
      <c r="AN178">
        <f t="shared" si="91"/>
        <v>178</v>
      </c>
      <c r="AQ178" s="114">
        <f t="shared" ca="1" si="92"/>
        <v>1968</v>
      </c>
      <c r="AW178">
        <v>178</v>
      </c>
      <c r="BG178" s="114">
        <f t="shared" ca="1" si="89"/>
        <v>23098.57</v>
      </c>
      <c r="BI178">
        <f t="shared" si="90"/>
        <v>0</v>
      </c>
    </row>
    <row r="179" spans="1:61" x14ac:dyDescent="0.25">
      <c r="A179" s="113">
        <f t="shared" ref="A179:A184" si="102">A178+2</f>
        <v>842</v>
      </c>
      <c r="B179" s="113" t="str">
        <f t="shared" ref="B179:X184" si="103">B178</f>
        <v>a</v>
      </c>
      <c r="C179" s="113" t="str">
        <f t="shared" si="103"/>
        <v>b</v>
      </c>
      <c r="D179" s="113" t="str">
        <f t="shared" si="103"/>
        <v>c</v>
      </c>
      <c r="E179" s="113" t="str">
        <f t="shared" si="103"/>
        <v>d</v>
      </c>
      <c r="F179" s="113" t="str">
        <f t="shared" si="103"/>
        <v>e</v>
      </c>
      <c r="G179" s="113" t="str">
        <f t="shared" si="103"/>
        <v>f</v>
      </c>
      <c r="H179" s="113" t="str">
        <f t="shared" si="103"/>
        <v>g</v>
      </c>
      <c r="I179" s="113" t="str">
        <f t="shared" si="103"/>
        <v>h</v>
      </c>
      <c r="J179" s="113" t="str">
        <f t="shared" si="103"/>
        <v>i</v>
      </c>
      <c r="K179" s="113" t="str">
        <f t="shared" si="103"/>
        <v>j</v>
      </c>
      <c r="L179" s="113" t="str">
        <f t="shared" si="103"/>
        <v>k</v>
      </c>
      <c r="M179" s="113" t="str">
        <f t="shared" si="103"/>
        <v>l</v>
      </c>
      <c r="N179" s="113" t="str">
        <f t="shared" si="103"/>
        <v>m</v>
      </c>
      <c r="O179" s="113">
        <f t="shared" si="103"/>
        <v>0</v>
      </c>
      <c r="P179" s="113">
        <f t="shared" si="103"/>
        <v>0</v>
      </c>
      <c r="Q179" s="113" t="str">
        <f t="shared" si="103"/>
        <v>p</v>
      </c>
      <c r="R179" s="113">
        <f t="shared" si="103"/>
        <v>0</v>
      </c>
      <c r="S179" s="113">
        <f t="shared" si="103"/>
        <v>0</v>
      </c>
      <c r="T179" s="113">
        <f t="shared" si="103"/>
        <v>0</v>
      </c>
      <c r="U179" s="113">
        <f t="shared" si="103"/>
        <v>0</v>
      </c>
      <c r="V179" s="113">
        <f t="shared" si="103"/>
        <v>0</v>
      </c>
      <c r="W179" s="113">
        <f t="shared" si="103"/>
        <v>0</v>
      </c>
      <c r="X179" s="113">
        <f t="shared" si="103"/>
        <v>0</v>
      </c>
      <c r="AA179" s="113">
        <v>3</v>
      </c>
      <c r="AB179" s="112">
        <f t="shared" ref="AB179:AC184" ca="1" si="104">AB178</f>
        <v>40422</v>
      </c>
      <c r="AC179" s="112">
        <f t="shared" ca="1" si="104"/>
        <v>40543</v>
      </c>
      <c r="AE179" s="114">
        <f ca="1">AD12</f>
        <v>1188.0999999999999</v>
      </c>
      <c r="AF179" s="114">
        <f t="shared" ca="1" si="80"/>
        <v>14513.64</v>
      </c>
      <c r="AG179" s="114">
        <f t="shared" ca="1" si="80"/>
        <v>0</v>
      </c>
      <c r="AH179" s="114">
        <f t="shared" ca="1" si="80"/>
        <v>0</v>
      </c>
      <c r="AI179" s="114">
        <f t="shared" ca="1" si="80"/>
        <v>6459.63</v>
      </c>
      <c r="AJ179" s="114">
        <f t="shared" ca="1" si="80"/>
        <v>157.30000000000001</v>
      </c>
      <c r="AK179" s="114">
        <f t="shared" ca="1" si="80"/>
        <v>1846.78</v>
      </c>
      <c r="AN179">
        <f t="shared" si="91"/>
        <v>179</v>
      </c>
      <c r="AQ179" s="114">
        <f t="shared" ca="1" si="92"/>
        <v>1968</v>
      </c>
      <c r="AW179">
        <v>179</v>
      </c>
      <c r="BG179" s="114">
        <f t="shared" ca="1" si="89"/>
        <v>23098.57</v>
      </c>
      <c r="BI179">
        <f t="shared" ca="1" si="90"/>
        <v>1188.0999999999999</v>
      </c>
    </row>
    <row r="180" spans="1:61" x14ac:dyDescent="0.25">
      <c r="A180" s="113">
        <f t="shared" si="102"/>
        <v>844</v>
      </c>
      <c r="B180" s="113" t="str">
        <f t="shared" si="103"/>
        <v>a</v>
      </c>
      <c r="C180" s="113" t="str">
        <f t="shared" si="103"/>
        <v>b</v>
      </c>
      <c r="D180" s="113" t="str">
        <f t="shared" si="103"/>
        <v>c</v>
      </c>
      <c r="E180" s="113" t="str">
        <f t="shared" si="103"/>
        <v>d</v>
      </c>
      <c r="F180" s="113" t="str">
        <f t="shared" si="103"/>
        <v>e</v>
      </c>
      <c r="G180" s="113" t="str">
        <f t="shared" si="103"/>
        <v>f</v>
      </c>
      <c r="H180" s="113" t="str">
        <f t="shared" si="103"/>
        <v>g</v>
      </c>
      <c r="I180" s="113" t="str">
        <f t="shared" si="103"/>
        <v>h</v>
      </c>
      <c r="J180" s="113" t="str">
        <f t="shared" si="103"/>
        <v>i</v>
      </c>
      <c r="K180" s="113" t="str">
        <f t="shared" si="103"/>
        <v>j</v>
      </c>
      <c r="L180" s="113" t="str">
        <f t="shared" si="103"/>
        <v>k</v>
      </c>
      <c r="M180" s="113" t="str">
        <f t="shared" si="103"/>
        <v>l</v>
      </c>
      <c r="N180" s="113" t="str">
        <f t="shared" si="103"/>
        <v>m</v>
      </c>
      <c r="O180" s="113">
        <f t="shared" si="103"/>
        <v>0</v>
      </c>
      <c r="P180" s="113">
        <f t="shared" si="103"/>
        <v>0</v>
      </c>
      <c r="Q180" s="113" t="str">
        <f t="shared" si="103"/>
        <v>p</v>
      </c>
      <c r="R180" s="113">
        <f t="shared" si="103"/>
        <v>0</v>
      </c>
      <c r="S180" s="113">
        <f t="shared" si="103"/>
        <v>0</v>
      </c>
      <c r="T180" s="113">
        <f t="shared" si="103"/>
        <v>0</v>
      </c>
      <c r="U180" s="113">
        <f t="shared" si="103"/>
        <v>0</v>
      </c>
      <c r="V180" s="113">
        <f t="shared" si="103"/>
        <v>0</v>
      </c>
      <c r="W180" s="113">
        <f t="shared" si="103"/>
        <v>0</v>
      </c>
      <c r="X180" s="113">
        <f t="shared" si="103"/>
        <v>0</v>
      </c>
      <c r="AA180" s="113">
        <v>9</v>
      </c>
      <c r="AB180" s="112">
        <f t="shared" ca="1" si="104"/>
        <v>40422</v>
      </c>
      <c r="AC180" s="112">
        <f t="shared" ca="1" si="104"/>
        <v>40543</v>
      </c>
      <c r="AF180" s="114">
        <f t="shared" ca="1" si="80"/>
        <v>17602.849999999999</v>
      </c>
      <c r="AG180" s="114">
        <f t="shared" ca="1" si="80"/>
        <v>0</v>
      </c>
      <c r="AH180" s="114">
        <f t="shared" ca="1" si="80"/>
        <v>0</v>
      </c>
      <c r="AI180" s="114">
        <f t="shared" ca="1" si="80"/>
        <v>6459.63</v>
      </c>
      <c r="AJ180" s="114">
        <f t="shared" ca="1" si="80"/>
        <v>157.30000000000001</v>
      </c>
      <c r="AK180" s="114">
        <f t="shared" ca="1" si="80"/>
        <v>2005.21</v>
      </c>
      <c r="AN180">
        <f t="shared" si="91"/>
        <v>180</v>
      </c>
      <c r="AQ180" s="114">
        <f t="shared" ca="1" si="92"/>
        <v>1968</v>
      </c>
      <c r="AW180">
        <v>180</v>
      </c>
      <c r="BG180" s="114">
        <f t="shared" ca="1" si="89"/>
        <v>26187.78</v>
      </c>
      <c r="BI180">
        <f t="shared" si="90"/>
        <v>0</v>
      </c>
    </row>
    <row r="181" spans="1:61" x14ac:dyDescent="0.25">
      <c r="A181" s="113">
        <f t="shared" si="102"/>
        <v>846</v>
      </c>
      <c r="B181" s="113" t="str">
        <f t="shared" si="103"/>
        <v>a</v>
      </c>
      <c r="C181" s="113" t="str">
        <f t="shared" si="103"/>
        <v>b</v>
      </c>
      <c r="D181" s="113" t="str">
        <f t="shared" si="103"/>
        <v>c</v>
      </c>
      <c r="E181" s="113" t="str">
        <f t="shared" si="103"/>
        <v>d</v>
      </c>
      <c r="F181" s="113" t="str">
        <f t="shared" si="103"/>
        <v>e</v>
      </c>
      <c r="G181" s="113" t="str">
        <f t="shared" si="103"/>
        <v>f</v>
      </c>
      <c r="H181" s="113" t="str">
        <f t="shared" si="103"/>
        <v>g</v>
      </c>
      <c r="I181" s="113" t="str">
        <f t="shared" si="103"/>
        <v>h</v>
      </c>
      <c r="J181" s="113" t="str">
        <f t="shared" si="103"/>
        <v>i</v>
      </c>
      <c r="K181" s="113" t="str">
        <f t="shared" si="103"/>
        <v>j</v>
      </c>
      <c r="L181" s="113" t="str">
        <f t="shared" si="103"/>
        <v>k</v>
      </c>
      <c r="M181" s="113" t="str">
        <f t="shared" si="103"/>
        <v>l</v>
      </c>
      <c r="N181" s="113" t="str">
        <f t="shared" si="103"/>
        <v>m</v>
      </c>
      <c r="O181" s="113">
        <f t="shared" si="103"/>
        <v>0</v>
      </c>
      <c r="P181" s="113">
        <f t="shared" si="103"/>
        <v>0</v>
      </c>
      <c r="Q181" s="113" t="str">
        <f t="shared" si="103"/>
        <v>p</v>
      </c>
      <c r="R181" s="113">
        <f t="shared" si="103"/>
        <v>0</v>
      </c>
      <c r="S181" s="113">
        <f t="shared" si="103"/>
        <v>0</v>
      </c>
      <c r="T181" s="113">
        <f t="shared" si="103"/>
        <v>0</v>
      </c>
      <c r="U181" s="113">
        <f t="shared" si="103"/>
        <v>0</v>
      </c>
      <c r="V181" s="113">
        <f t="shared" si="103"/>
        <v>0</v>
      </c>
      <c r="W181" s="113">
        <f t="shared" si="103"/>
        <v>0</v>
      </c>
      <c r="X181" s="113">
        <f t="shared" si="103"/>
        <v>0</v>
      </c>
      <c r="AA181" s="113">
        <v>15</v>
      </c>
      <c r="AB181" s="112">
        <f t="shared" ca="1" si="104"/>
        <v>40422</v>
      </c>
      <c r="AC181" s="112">
        <f t="shared" ca="1" si="104"/>
        <v>40543</v>
      </c>
      <c r="AF181" s="114">
        <f t="shared" ca="1" si="80"/>
        <v>19948.060000000001</v>
      </c>
      <c r="AG181" s="114">
        <f t="shared" ca="1" si="80"/>
        <v>0</v>
      </c>
      <c r="AH181" s="114">
        <f t="shared" ca="1" si="80"/>
        <v>0</v>
      </c>
      <c r="AI181" s="114">
        <f t="shared" ca="1" si="80"/>
        <v>6459.63</v>
      </c>
      <c r="AJ181" s="114">
        <f t="shared" ca="1" si="80"/>
        <v>157.30000000000001</v>
      </c>
      <c r="AK181" s="114">
        <f t="shared" ca="1" si="80"/>
        <v>2200.64</v>
      </c>
      <c r="AN181">
        <f t="shared" si="91"/>
        <v>181</v>
      </c>
      <c r="AQ181" s="114">
        <f t="shared" ca="1" si="92"/>
        <v>2424</v>
      </c>
      <c r="AW181">
        <v>181</v>
      </c>
      <c r="BG181" s="114">
        <f t="shared" ca="1" si="89"/>
        <v>28988.99</v>
      </c>
      <c r="BI181">
        <f t="shared" si="90"/>
        <v>0</v>
      </c>
    </row>
    <row r="182" spans="1:61" x14ac:dyDescent="0.25">
      <c r="A182" s="113">
        <f t="shared" si="102"/>
        <v>848</v>
      </c>
      <c r="B182" s="113" t="str">
        <f t="shared" si="103"/>
        <v>a</v>
      </c>
      <c r="C182" s="113" t="str">
        <f t="shared" si="103"/>
        <v>b</v>
      </c>
      <c r="D182" s="113" t="str">
        <f t="shared" si="103"/>
        <v>c</v>
      </c>
      <c r="E182" s="113" t="str">
        <f t="shared" si="103"/>
        <v>d</v>
      </c>
      <c r="F182" s="113" t="str">
        <f t="shared" si="103"/>
        <v>e</v>
      </c>
      <c r="G182" s="113" t="str">
        <f t="shared" si="103"/>
        <v>f</v>
      </c>
      <c r="H182" s="113" t="str">
        <f t="shared" si="103"/>
        <v>g</v>
      </c>
      <c r="I182" s="113" t="str">
        <f t="shared" si="103"/>
        <v>h</v>
      </c>
      <c r="J182" s="113" t="str">
        <f t="shared" si="103"/>
        <v>i</v>
      </c>
      <c r="K182" s="113" t="str">
        <f t="shared" si="103"/>
        <v>j</v>
      </c>
      <c r="L182" s="113" t="str">
        <f t="shared" si="103"/>
        <v>k</v>
      </c>
      <c r="M182" s="113" t="str">
        <f t="shared" si="103"/>
        <v>l</v>
      </c>
      <c r="N182" s="113" t="str">
        <f t="shared" si="103"/>
        <v>m</v>
      </c>
      <c r="O182" s="113">
        <f t="shared" si="103"/>
        <v>0</v>
      </c>
      <c r="P182" s="113">
        <f t="shared" si="103"/>
        <v>0</v>
      </c>
      <c r="Q182" s="113" t="str">
        <f t="shared" si="103"/>
        <v>p</v>
      </c>
      <c r="R182" s="113">
        <f t="shared" si="103"/>
        <v>0</v>
      </c>
      <c r="S182" s="113">
        <f t="shared" si="103"/>
        <v>0</v>
      </c>
      <c r="T182" s="113">
        <f t="shared" si="103"/>
        <v>0</v>
      </c>
      <c r="U182" s="113">
        <f t="shared" si="103"/>
        <v>0</v>
      </c>
      <c r="V182" s="113">
        <f t="shared" si="103"/>
        <v>0</v>
      </c>
      <c r="W182" s="113">
        <f t="shared" si="103"/>
        <v>0</v>
      </c>
      <c r="X182" s="113">
        <f t="shared" si="103"/>
        <v>0</v>
      </c>
      <c r="AA182" s="113">
        <v>21</v>
      </c>
      <c r="AB182" s="112">
        <f t="shared" ca="1" si="104"/>
        <v>40422</v>
      </c>
      <c r="AC182" s="112">
        <f t="shared" ca="1" si="104"/>
        <v>40543</v>
      </c>
      <c r="AF182" s="114">
        <f t="shared" ca="1" si="80"/>
        <v>22935.33</v>
      </c>
      <c r="AG182" s="114">
        <f t="shared" ca="1" si="80"/>
        <v>0</v>
      </c>
      <c r="AH182" s="114">
        <f t="shared" ca="1" si="80"/>
        <v>0</v>
      </c>
      <c r="AI182" s="114">
        <f t="shared" ca="1" si="80"/>
        <v>6459.63</v>
      </c>
      <c r="AJ182" s="114">
        <f t="shared" ca="1" si="80"/>
        <v>157.30000000000001</v>
      </c>
      <c r="AK182" s="114">
        <f t="shared" ca="1" si="80"/>
        <v>2449.58</v>
      </c>
      <c r="AN182">
        <f t="shared" si="91"/>
        <v>182</v>
      </c>
      <c r="AQ182" s="114">
        <f t="shared" ca="1" si="92"/>
        <v>2424</v>
      </c>
      <c r="AW182">
        <v>182</v>
      </c>
      <c r="BG182" s="114">
        <f t="shared" ca="1" si="89"/>
        <v>31976.260000000002</v>
      </c>
      <c r="BI182">
        <f t="shared" si="90"/>
        <v>0</v>
      </c>
    </row>
    <row r="183" spans="1:61" x14ac:dyDescent="0.25">
      <c r="A183" s="113">
        <f t="shared" si="102"/>
        <v>850</v>
      </c>
      <c r="B183" s="113" t="str">
        <f t="shared" si="103"/>
        <v>a</v>
      </c>
      <c r="C183" s="113" t="str">
        <f t="shared" si="103"/>
        <v>b</v>
      </c>
      <c r="D183" s="113" t="str">
        <f t="shared" si="103"/>
        <v>c</v>
      </c>
      <c r="E183" s="113" t="str">
        <f t="shared" si="103"/>
        <v>d</v>
      </c>
      <c r="F183" s="113" t="str">
        <f t="shared" si="103"/>
        <v>e</v>
      </c>
      <c r="G183" s="113" t="str">
        <f t="shared" si="103"/>
        <v>f</v>
      </c>
      <c r="H183" s="113" t="str">
        <f t="shared" si="103"/>
        <v>g</v>
      </c>
      <c r="I183" s="113" t="str">
        <f t="shared" si="103"/>
        <v>h</v>
      </c>
      <c r="J183" s="113" t="str">
        <f t="shared" si="103"/>
        <v>i</v>
      </c>
      <c r="K183" s="113" t="str">
        <f t="shared" si="103"/>
        <v>j</v>
      </c>
      <c r="L183" s="113" t="str">
        <f t="shared" si="103"/>
        <v>k</v>
      </c>
      <c r="M183" s="113" t="str">
        <f t="shared" si="103"/>
        <v>l</v>
      </c>
      <c r="N183" s="113" t="str">
        <f t="shared" si="103"/>
        <v>m</v>
      </c>
      <c r="O183" s="113">
        <f t="shared" si="103"/>
        <v>0</v>
      </c>
      <c r="P183" s="113">
        <f t="shared" si="103"/>
        <v>0</v>
      </c>
      <c r="Q183" s="113" t="str">
        <f t="shared" si="103"/>
        <v>p</v>
      </c>
      <c r="R183" s="113">
        <f t="shared" si="103"/>
        <v>0</v>
      </c>
      <c r="S183" s="113">
        <f t="shared" si="103"/>
        <v>0</v>
      </c>
      <c r="T183" s="113">
        <f t="shared" si="103"/>
        <v>0</v>
      </c>
      <c r="U183" s="113">
        <f t="shared" si="103"/>
        <v>0</v>
      </c>
      <c r="V183" s="113">
        <f t="shared" si="103"/>
        <v>0</v>
      </c>
      <c r="W183" s="113">
        <f t="shared" si="103"/>
        <v>0</v>
      </c>
      <c r="X183" s="113">
        <f t="shared" si="103"/>
        <v>0</v>
      </c>
      <c r="AA183" s="113">
        <v>28</v>
      </c>
      <c r="AB183" s="112">
        <f t="shared" ca="1" si="104"/>
        <v>40422</v>
      </c>
      <c r="AC183" s="112">
        <f t="shared" ca="1" si="104"/>
        <v>40543</v>
      </c>
      <c r="AF183" s="114">
        <f t="shared" ca="1" si="80"/>
        <v>24892.49</v>
      </c>
      <c r="AG183" s="114">
        <f t="shared" ca="1" si="80"/>
        <v>0</v>
      </c>
      <c r="AH183" s="114">
        <f t="shared" ca="1" si="80"/>
        <v>0</v>
      </c>
      <c r="AI183" s="114">
        <f t="shared" ca="1" si="80"/>
        <v>6459.63</v>
      </c>
      <c r="AJ183" s="114">
        <f t="shared" ca="1" si="80"/>
        <v>157.30000000000001</v>
      </c>
      <c r="AK183" s="114">
        <f t="shared" ca="1" si="80"/>
        <v>2612.6799999999998</v>
      </c>
      <c r="AN183">
        <f t="shared" si="91"/>
        <v>183</v>
      </c>
      <c r="AQ183" s="114">
        <f t="shared" ca="1" si="92"/>
        <v>3090</v>
      </c>
      <c r="AW183">
        <v>183</v>
      </c>
      <c r="BG183" s="114">
        <f t="shared" ca="1" si="89"/>
        <v>34599.42</v>
      </c>
      <c r="BI183">
        <f t="shared" si="90"/>
        <v>0</v>
      </c>
    </row>
    <row r="184" spans="1:61" x14ac:dyDescent="0.25">
      <c r="A184" s="113">
        <f t="shared" si="102"/>
        <v>852</v>
      </c>
      <c r="B184" s="113" t="str">
        <f t="shared" si="103"/>
        <v>a</v>
      </c>
      <c r="C184" s="113" t="str">
        <f t="shared" si="103"/>
        <v>b</v>
      </c>
      <c r="D184" s="113" t="str">
        <f t="shared" si="103"/>
        <v>c</v>
      </c>
      <c r="E184" s="113" t="str">
        <f t="shared" si="103"/>
        <v>d</v>
      </c>
      <c r="F184" s="113" t="str">
        <f t="shared" si="103"/>
        <v>e</v>
      </c>
      <c r="G184" s="113" t="str">
        <f t="shared" si="103"/>
        <v>f</v>
      </c>
      <c r="H184" s="113" t="str">
        <f t="shared" si="103"/>
        <v>g</v>
      </c>
      <c r="I184" s="113" t="str">
        <f t="shared" si="103"/>
        <v>h</v>
      </c>
      <c r="J184" s="113" t="str">
        <f t="shared" si="103"/>
        <v>i</v>
      </c>
      <c r="K184" s="113" t="str">
        <f t="shared" si="103"/>
        <v>j</v>
      </c>
      <c r="L184" s="113" t="str">
        <f t="shared" si="103"/>
        <v>k</v>
      </c>
      <c r="M184" s="113" t="str">
        <f t="shared" si="103"/>
        <v>l</v>
      </c>
      <c r="N184" s="113" t="str">
        <f t="shared" si="103"/>
        <v>m</v>
      </c>
      <c r="O184" s="113">
        <f t="shared" si="103"/>
        <v>0</v>
      </c>
      <c r="P184" s="113">
        <f t="shared" si="103"/>
        <v>0</v>
      </c>
      <c r="Q184" s="113" t="str">
        <f t="shared" si="103"/>
        <v>p</v>
      </c>
      <c r="R184" s="113">
        <f t="shared" si="103"/>
        <v>0</v>
      </c>
      <c r="S184" s="113">
        <f t="shared" si="103"/>
        <v>0</v>
      </c>
      <c r="T184" s="113">
        <f t="shared" si="103"/>
        <v>0</v>
      </c>
      <c r="U184" s="113">
        <f t="shared" si="103"/>
        <v>0</v>
      </c>
      <c r="V184" s="113">
        <f t="shared" si="103"/>
        <v>0</v>
      </c>
      <c r="W184" s="113">
        <f t="shared" si="103"/>
        <v>0</v>
      </c>
      <c r="X184" s="113">
        <f t="shared" si="103"/>
        <v>0</v>
      </c>
      <c r="AA184" s="113">
        <v>35</v>
      </c>
      <c r="AB184" s="112">
        <f t="shared" ca="1" si="104"/>
        <v>40422</v>
      </c>
      <c r="AC184" s="112">
        <f t="shared" ca="1" si="104"/>
        <v>40543</v>
      </c>
      <c r="AF184" s="114">
        <f t="shared" ca="1" si="80"/>
        <v>26452.57</v>
      </c>
      <c r="AG184" s="114">
        <f t="shared" ca="1" si="80"/>
        <v>0</v>
      </c>
      <c r="AH184" s="114">
        <f t="shared" ca="1" si="80"/>
        <v>0</v>
      </c>
      <c r="AI184" s="114">
        <f t="shared" ca="1" si="80"/>
        <v>6459.63</v>
      </c>
      <c r="AJ184" s="114">
        <f t="shared" ca="1" si="80"/>
        <v>157.30000000000001</v>
      </c>
      <c r="AK184" s="114">
        <f t="shared" ca="1" si="80"/>
        <v>2742.68</v>
      </c>
      <c r="AN184">
        <f t="shared" si="91"/>
        <v>184</v>
      </c>
      <c r="AQ184" s="114">
        <f t="shared" ca="1" si="92"/>
        <v>3090</v>
      </c>
      <c r="AW184">
        <v>184</v>
      </c>
      <c r="BG184" s="114">
        <f t="shared" ca="1" si="89"/>
        <v>36159.5</v>
      </c>
      <c r="BI184">
        <f t="shared" si="90"/>
        <v>0</v>
      </c>
    </row>
    <row r="185" spans="1:61" x14ac:dyDescent="0.25">
      <c r="A185" s="113">
        <f>A178+20</f>
        <v>860</v>
      </c>
      <c r="B185" s="113" t="str">
        <f>B178</f>
        <v>a</v>
      </c>
      <c r="C185" s="113" t="str">
        <f t="shared" ref="C185:X185" si="105">C178</f>
        <v>b</v>
      </c>
      <c r="D185" s="113" t="str">
        <f t="shared" si="105"/>
        <v>c</v>
      </c>
      <c r="E185" s="113" t="str">
        <f t="shared" si="105"/>
        <v>d</v>
      </c>
      <c r="F185" s="113" t="str">
        <f t="shared" si="105"/>
        <v>e</v>
      </c>
      <c r="G185" s="113" t="str">
        <f t="shared" si="105"/>
        <v>f</v>
      </c>
      <c r="H185" s="113" t="str">
        <f t="shared" si="105"/>
        <v>g</v>
      </c>
      <c r="I185" s="113" t="str">
        <f t="shared" si="105"/>
        <v>h</v>
      </c>
      <c r="J185" s="113" t="str">
        <f t="shared" si="105"/>
        <v>i</v>
      </c>
      <c r="K185" s="113" t="str">
        <f t="shared" si="105"/>
        <v>j</v>
      </c>
      <c r="L185" s="113" t="str">
        <f t="shared" si="105"/>
        <v>k</v>
      </c>
      <c r="M185" s="113" t="str">
        <f t="shared" si="105"/>
        <v>l</v>
      </c>
      <c r="N185" s="113" t="str">
        <f t="shared" si="105"/>
        <v>m</v>
      </c>
      <c r="O185" s="113">
        <f t="shared" si="105"/>
        <v>0</v>
      </c>
      <c r="P185" s="113">
        <f t="shared" si="105"/>
        <v>0</v>
      </c>
      <c r="Q185" s="113" t="str">
        <f t="shared" si="105"/>
        <v>p</v>
      </c>
      <c r="R185" s="113">
        <f t="shared" si="105"/>
        <v>0</v>
      </c>
      <c r="S185" s="113">
        <f t="shared" si="105"/>
        <v>0</v>
      </c>
      <c r="T185" s="113">
        <f t="shared" si="105"/>
        <v>0</v>
      </c>
      <c r="U185" s="113">
        <f t="shared" si="105"/>
        <v>0</v>
      </c>
      <c r="V185" s="113">
        <f t="shared" si="105"/>
        <v>0</v>
      </c>
      <c r="W185" s="113">
        <f t="shared" si="105"/>
        <v>0</v>
      </c>
      <c r="X185" s="113">
        <f t="shared" si="105"/>
        <v>0</v>
      </c>
      <c r="AA185" s="113">
        <v>0</v>
      </c>
      <c r="AB185" s="112">
        <f ca="1">INDIRECT(CONCATENATE($AB$10,CONCATENATE(B185,$A185)))</f>
        <v>40544</v>
      </c>
      <c r="AC185" s="112">
        <f ca="1">INDIRECT(CONCATENATE($AB$10,CONCATENATE(C185,$A185)))</f>
        <v>42369</v>
      </c>
      <c r="AF185" s="114">
        <f t="shared" ca="1" si="80"/>
        <v>14513.64</v>
      </c>
      <c r="AG185" s="114">
        <f ca="1">INDIRECT(CONCATENATE($AB$10,CONCATENATE(G185,$A185)))</f>
        <v>0</v>
      </c>
      <c r="AH185" s="114">
        <f ca="1">INDIRECT(CONCATENATE($AB$10,CONCATENATE(H185,$A185)))</f>
        <v>0</v>
      </c>
      <c r="AI185" s="114">
        <f ca="1">INDIRECT(CONCATENATE($AB$10,CONCATENATE(I185,$A185)))</f>
        <v>6459.63</v>
      </c>
      <c r="AJ185" s="114">
        <f ca="1">INDIRECT(CONCATENATE($AB$10,CONCATENATE(J185,$A185)))</f>
        <v>157.30000000000001</v>
      </c>
      <c r="AK185" s="114">
        <f ca="1">INDIRECT(CONCATENATE($AB$10,CONCATENATE(K185,$A185)))</f>
        <v>1760.88</v>
      </c>
      <c r="AN185">
        <f t="shared" si="91"/>
        <v>185</v>
      </c>
      <c r="AQ185" s="114">
        <f t="shared" ca="1" si="92"/>
        <v>1968</v>
      </c>
      <c r="AW185">
        <v>185</v>
      </c>
      <c r="BG185" s="114">
        <f t="shared" ca="1" si="89"/>
        <v>23098.57</v>
      </c>
      <c r="BI185">
        <f t="shared" si="90"/>
        <v>0</v>
      </c>
    </row>
    <row r="186" spans="1:61" x14ac:dyDescent="0.25">
      <c r="A186" s="113">
        <f t="shared" ref="A186:A191" si="106">A185+2</f>
        <v>862</v>
      </c>
      <c r="B186" s="113" t="str">
        <f t="shared" ref="B186:X191" si="107">B185</f>
        <v>a</v>
      </c>
      <c r="C186" s="113" t="str">
        <f t="shared" si="107"/>
        <v>b</v>
      </c>
      <c r="D186" s="113" t="str">
        <f t="shared" si="107"/>
        <v>c</v>
      </c>
      <c r="E186" s="113" t="str">
        <f t="shared" si="107"/>
        <v>d</v>
      </c>
      <c r="F186" s="113" t="str">
        <f t="shared" si="107"/>
        <v>e</v>
      </c>
      <c r="G186" s="113" t="str">
        <f t="shared" si="107"/>
        <v>f</v>
      </c>
      <c r="H186" s="113" t="str">
        <f t="shared" si="107"/>
        <v>g</v>
      </c>
      <c r="I186" s="113" t="str">
        <f t="shared" si="107"/>
        <v>h</v>
      </c>
      <c r="J186" s="113" t="str">
        <f t="shared" si="107"/>
        <v>i</v>
      </c>
      <c r="K186" s="113" t="str">
        <f t="shared" si="107"/>
        <v>j</v>
      </c>
      <c r="L186" s="113" t="str">
        <f t="shared" si="107"/>
        <v>k</v>
      </c>
      <c r="M186" s="113" t="str">
        <f t="shared" si="107"/>
        <v>l</v>
      </c>
      <c r="N186" s="113" t="str">
        <f t="shared" si="107"/>
        <v>m</v>
      </c>
      <c r="O186" s="113">
        <f t="shared" si="107"/>
        <v>0</v>
      </c>
      <c r="P186" s="113">
        <f t="shared" si="107"/>
        <v>0</v>
      </c>
      <c r="Q186" s="113" t="str">
        <f t="shared" si="107"/>
        <v>p</v>
      </c>
      <c r="R186" s="113">
        <f t="shared" si="107"/>
        <v>0</v>
      </c>
      <c r="S186" s="113">
        <f t="shared" si="107"/>
        <v>0</v>
      </c>
      <c r="T186" s="113">
        <f t="shared" si="107"/>
        <v>0</v>
      </c>
      <c r="U186" s="113">
        <f t="shared" si="107"/>
        <v>0</v>
      </c>
      <c r="V186" s="113">
        <f t="shared" si="107"/>
        <v>0</v>
      </c>
      <c r="W186" s="113">
        <f t="shared" si="107"/>
        <v>0</v>
      </c>
      <c r="X186" s="113">
        <f t="shared" si="107"/>
        <v>0</v>
      </c>
      <c r="AA186" s="113">
        <v>3</v>
      </c>
      <c r="AB186" s="112">
        <f t="shared" ref="AB186:AC191" ca="1" si="108">AB185</f>
        <v>40544</v>
      </c>
      <c r="AC186" s="112">
        <f t="shared" ca="1" si="108"/>
        <v>42369</v>
      </c>
      <c r="AE186" s="114">
        <f ca="1">AE179</f>
        <v>1188.0999999999999</v>
      </c>
      <c r="AF186" s="114">
        <f t="shared" ca="1" si="80"/>
        <v>14513.64</v>
      </c>
      <c r="AG186" s="114">
        <f t="shared" ca="1" si="80"/>
        <v>0</v>
      </c>
      <c r="AH186" s="114">
        <f t="shared" ca="1" si="80"/>
        <v>0</v>
      </c>
      <c r="AI186" s="114">
        <f t="shared" ca="1" si="80"/>
        <v>6459.63</v>
      </c>
      <c r="AJ186" s="114">
        <f t="shared" ca="1" si="80"/>
        <v>157.30000000000001</v>
      </c>
      <c r="AK186" s="114">
        <f t="shared" ca="1" si="80"/>
        <v>1859.89</v>
      </c>
      <c r="AN186">
        <f t="shared" si="91"/>
        <v>186</v>
      </c>
      <c r="AQ186" s="114">
        <f t="shared" ca="1" si="92"/>
        <v>1968</v>
      </c>
      <c r="AW186">
        <v>186</v>
      </c>
      <c r="BG186" s="114">
        <f t="shared" ca="1" si="89"/>
        <v>23098.57</v>
      </c>
      <c r="BI186">
        <f t="shared" ca="1" si="90"/>
        <v>1188.0999999999999</v>
      </c>
    </row>
    <row r="187" spans="1:61" x14ac:dyDescent="0.25">
      <c r="A187" s="113">
        <f t="shared" si="106"/>
        <v>864</v>
      </c>
      <c r="B187" s="113" t="str">
        <f t="shared" si="107"/>
        <v>a</v>
      </c>
      <c r="C187" s="113" t="str">
        <f t="shared" si="107"/>
        <v>b</v>
      </c>
      <c r="D187" s="113" t="str">
        <f t="shared" si="107"/>
        <v>c</v>
      </c>
      <c r="E187" s="113" t="str">
        <f t="shared" si="107"/>
        <v>d</v>
      </c>
      <c r="F187" s="113" t="str">
        <f t="shared" si="107"/>
        <v>e</v>
      </c>
      <c r="G187" s="113" t="str">
        <f t="shared" si="107"/>
        <v>f</v>
      </c>
      <c r="H187" s="113" t="str">
        <f t="shared" si="107"/>
        <v>g</v>
      </c>
      <c r="I187" s="113" t="str">
        <f t="shared" si="107"/>
        <v>h</v>
      </c>
      <c r="J187" s="113" t="str">
        <f t="shared" si="107"/>
        <v>i</v>
      </c>
      <c r="K187" s="113" t="str">
        <f t="shared" si="107"/>
        <v>j</v>
      </c>
      <c r="L187" s="113" t="str">
        <f t="shared" si="107"/>
        <v>k</v>
      </c>
      <c r="M187" s="113" t="str">
        <f t="shared" si="107"/>
        <v>l</v>
      </c>
      <c r="N187" s="113" t="str">
        <f t="shared" si="107"/>
        <v>m</v>
      </c>
      <c r="O187" s="113">
        <f t="shared" si="107"/>
        <v>0</v>
      </c>
      <c r="P187" s="113">
        <f t="shared" si="107"/>
        <v>0</v>
      </c>
      <c r="Q187" s="113" t="str">
        <f t="shared" si="107"/>
        <v>p</v>
      </c>
      <c r="R187" s="113">
        <f t="shared" si="107"/>
        <v>0</v>
      </c>
      <c r="S187" s="113">
        <f t="shared" si="107"/>
        <v>0</v>
      </c>
      <c r="T187" s="113">
        <f t="shared" si="107"/>
        <v>0</v>
      </c>
      <c r="U187" s="113">
        <f t="shared" si="107"/>
        <v>0</v>
      </c>
      <c r="V187" s="113">
        <f t="shared" si="107"/>
        <v>0</v>
      </c>
      <c r="W187" s="113">
        <f t="shared" si="107"/>
        <v>0</v>
      </c>
      <c r="X187" s="113">
        <f t="shared" si="107"/>
        <v>0</v>
      </c>
      <c r="AA187" s="113">
        <v>9</v>
      </c>
      <c r="AB187" s="112">
        <f t="shared" ca="1" si="108"/>
        <v>40544</v>
      </c>
      <c r="AC187" s="112">
        <f t="shared" ca="1" si="108"/>
        <v>42369</v>
      </c>
      <c r="AF187" s="114">
        <f t="shared" ca="1" si="80"/>
        <v>17602.849999999999</v>
      </c>
      <c r="AG187" s="114">
        <f t="shared" ca="1" si="80"/>
        <v>0</v>
      </c>
      <c r="AH187" s="114">
        <f t="shared" ca="1" si="80"/>
        <v>0</v>
      </c>
      <c r="AI187" s="114">
        <f t="shared" ca="1" si="80"/>
        <v>6459.63</v>
      </c>
      <c r="AJ187" s="114">
        <f t="shared" ca="1" si="80"/>
        <v>157.30000000000001</v>
      </c>
      <c r="AK187" s="114">
        <f t="shared" ca="1" si="80"/>
        <v>2018.32</v>
      </c>
      <c r="AN187">
        <f t="shared" si="91"/>
        <v>187</v>
      </c>
      <c r="AQ187" s="114">
        <f t="shared" ca="1" si="92"/>
        <v>1968</v>
      </c>
      <c r="AW187">
        <v>187</v>
      </c>
      <c r="BG187" s="114">
        <f t="shared" ca="1" si="89"/>
        <v>26187.78</v>
      </c>
      <c r="BI187">
        <f t="shared" si="90"/>
        <v>0</v>
      </c>
    </row>
    <row r="188" spans="1:61" x14ac:dyDescent="0.25">
      <c r="A188" s="113">
        <f t="shared" si="106"/>
        <v>866</v>
      </c>
      <c r="B188" s="113" t="str">
        <f t="shared" si="107"/>
        <v>a</v>
      </c>
      <c r="C188" s="113" t="str">
        <f t="shared" si="107"/>
        <v>b</v>
      </c>
      <c r="D188" s="113" t="str">
        <f t="shared" si="107"/>
        <v>c</v>
      </c>
      <c r="E188" s="113" t="str">
        <f t="shared" si="107"/>
        <v>d</v>
      </c>
      <c r="F188" s="113" t="str">
        <f t="shared" si="107"/>
        <v>e</v>
      </c>
      <c r="G188" s="113" t="str">
        <f t="shared" si="107"/>
        <v>f</v>
      </c>
      <c r="H188" s="113" t="str">
        <f t="shared" si="107"/>
        <v>g</v>
      </c>
      <c r="I188" s="113" t="str">
        <f t="shared" si="107"/>
        <v>h</v>
      </c>
      <c r="J188" s="113" t="str">
        <f t="shared" si="107"/>
        <v>i</v>
      </c>
      <c r="K188" s="113" t="str">
        <f t="shared" si="107"/>
        <v>j</v>
      </c>
      <c r="L188" s="113" t="str">
        <f t="shared" si="107"/>
        <v>k</v>
      </c>
      <c r="M188" s="113" t="str">
        <f t="shared" si="107"/>
        <v>l</v>
      </c>
      <c r="N188" s="113" t="str">
        <f t="shared" si="107"/>
        <v>m</v>
      </c>
      <c r="O188" s="113">
        <f t="shared" si="107"/>
        <v>0</v>
      </c>
      <c r="P188" s="113">
        <f t="shared" si="107"/>
        <v>0</v>
      </c>
      <c r="Q188" s="113" t="str">
        <f t="shared" si="107"/>
        <v>p</v>
      </c>
      <c r="R188" s="113">
        <f t="shared" si="107"/>
        <v>0</v>
      </c>
      <c r="S188" s="113">
        <f t="shared" si="107"/>
        <v>0</v>
      </c>
      <c r="T188" s="113">
        <f t="shared" si="107"/>
        <v>0</v>
      </c>
      <c r="U188" s="113">
        <f t="shared" si="107"/>
        <v>0</v>
      </c>
      <c r="V188" s="113">
        <f t="shared" si="107"/>
        <v>0</v>
      </c>
      <c r="W188" s="113">
        <f t="shared" si="107"/>
        <v>0</v>
      </c>
      <c r="X188" s="113">
        <f t="shared" si="107"/>
        <v>0</v>
      </c>
      <c r="AA188" s="113">
        <v>15</v>
      </c>
      <c r="AB188" s="112">
        <f t="shared" ca="1" si="108"/>
        <v>40544</v>
      </c>
      <c r="AC188" s="112">
        <f t="shared" ca="1" si="108"/>
        <v>42369</v>
      </c>
      <c r="AF188" s="114">
        <f t="shared" ca="1" si="80"/>
        <v>19948.060000000001</v>
      </c>
      <c r="AG188" s="114">
        <f t="shared" ca="1" si="80"/>
        <v>0</v>
      </c>
      <c r="AH188" s="114">
        <f t="shared" ca="1" si="80"/>
        <v>0</v>
      </c>
      <c r="AI188" s="114">
        <f t="shared" ca="1" si="80"/>
        <v>6459.63</v>
      </c>
      <c r="AJ188" s="114">
        <f t="shared" ca="1" si="80"/>
        <v>157.30000000000001</v>
      </c>
      <c r="AK188" s="114">
        <f t="shared" ca="1" si="80"/>
        <v>2213.75</v>
      </c>
      <c r="AN188">
        <f t="shared" si="91"/>
        <v>188</v>
      </c>
      <c r="AQ188" s="114">
        <f t="shared" ca="1" si="92"/>
        <v>2424</v>
      </c>
      <c r="AW188">
        <v>188</v>
      </c>
      <c r="BG188" s="114">
        <f t="shared" ca="1" si="89"/>
        <v>28988.99</v>
      </c>
      <c r="BI188">
        <f t="shared" si="90"/>
        <v>0</v>
      </c>
    </row>
    <row r="189" spans="1:61" x14ac:dyDescent="0.25">
      <c r="A189" s="113">
        <f t="shared" si="106"/>
        <v>868</v>
      </c>
      <c r="B189" s="113" t="str">
        <f t="shared" si="107"/>
        <v>a</v>
      </c>
      <c r="C189" s="113" t="str">
        <f t="shared" si="107"/>
        <v>b</v>
      </c>
      <c r="D189" s="113" t="str">
        <f t="shared" si="107"/>
        <v>c</v>
      </c>
      <c r="E189" s="113" t="str">
        <f t="shared" si="107"/>
        <v>d</v>
      </c>
      <c r="F189" s="113" t="str">
        <f t="shared" si="107"/>
        <v>e</v>
      </c>
      <c r="G189" s="113" t="str">
        <f t="shared" si="107"/>
        <v>f</v>
      </c>
      <c r="H189" s="113" t="str">
        <f t="shared" si="107"/>
        <v>g</v>
      </c>
      <c r="I189" s="113" t="str">
        <f t="shared" si="107"/>
        <v>h</v>
      </c>
      <c r="J189" s="113" t="str">
        <f t="shared" si="107"/>
        <v>i</v>
      </c>
      <c r="K189" s="113" t="str">
        <f t="shared" si="107"/>
        <v>j</v>
      </c>
      <c r="L189" s="113" t="str">
        <f t="shared" si="107"/>
        <v>k</v>
      </c>
      <c r="M189" s="113" t="str">
        <f t="shared" si="107"/>
        <v>l</v>
      </c>
      <c r="N189" s="113" t="str">
        <f t="shared" si="107"/>
        <v>m</v>
      </c>
      <c r="O189" s="113">
        <f t="shared" si="107"/>
        <v>0</v>
      </c>
      <c r="P189" s="113">
        <f t="shared" si="107"/>
        <v>0</v>
      </c>
      <c r="Q189" s="113" t="str">
        <f t="shared" si="107"/>
        <v>p</v>
      </c>
      <c r="R189" s="113">
        <f t="shared" si="107"/>
        <v>0</v>
      </c>
      <c r="S189" s="113">
        <f t="shared" si="107"/>
        <v>0</v>
      </c>
      <c r="T189" s="113">
        <f t="shared" si="107"/>
        <v>0</v>
      </c>
      <c r="U189" s="113">
        <f t="shared" si="107"/>
        <v>0</v>
      </c>
      <c r="V189" s="113">
        <f t="shared" si="107"/>
        <v>0</v>
      </c>
      <c r="W189" s="113">
        <f t="shared" si="107"/>
        <v>0</v>
      </c>
      <c r="X189" s="113">
        <f t="shared" si="107"/>
        <v>0</v>
      </c>
      <c r="AA189" s="113">
        <v>21</v>
      </c>
      <c r="AB189" s="112">
        <f t="shared" ca="1" si="108"/>
        <v>40544</v>
      </c>
      <c r="AC189" s="112">
        <f t="shared" ca="1" si="108"/>
        <v>42369</v>
      </c>
      <c r="AF189" s="114">
        <f t="shared" ca="1" si="80"/>
        <v>22935.33</v>
      </c>
      <c r="AG189" s="114">
        <f t="shared" ca="1" si="80"/>
        <v>0</v>
      </c>
      <c r="AH189" s="114">
        <f t="shared" ca="1" si="80"/>
        <v>0</v>
      </c>
      <c r="AI189" s="114">
        <f t="shared" ca="1" si="80"/>
        <v>6459.63</v>
      </c>
      <c r="AJ189" s="114">
        <f t="shared" ca="1" si="80"/>
        <v>157.30000000000001</v>
      </c>
      <c r="AK189" s="114">
        <f t="shared" ca="1" si="80"/>
        <v>2462.69</v>
      </c>
      <c r="AN189">
        <f t="shared" si="91"/>
        <v>189</v>
      </c>
      <c r="AQ189" s="114">
        <f t="shared" ca="1" si="92"/>
        <v>2424</v>
      </c>
      <c r="AW189">
        <v>189</v>
      </c>
      <c r="BG189" s="114">
        <f t="shared" ca="1" si="89"/>
        <v>31976.260000000002</v>
      </c>
      <c r="BI189">
        <f t="shared" si="90"/>
        <v>0</v>
      </c>
    </row>
    <row r="190" spans="1:61" x14ac:dyDescent="0.25">
      <c r="A190" s="113">
        <f t="shared" si="106"/>
        <v>870</v>
      </c>
      <c r="B190" s="113" t="str">
        <f t="shared" si="107"/>
        <v>a</v>
      </c>
      <c r="C190" s="113" t="str">
        <f t="shared" si="107"/>
        <v>b</v>
      </c>
      <c r="D190" s="113" t="str">
        <f t="shared" si="107"/>
        <v>c</v>
      </c>
      <c r="E190" s="113" t="str">
        <f t="shared" si="107"/>
        <v>d</v>
      </c>
      <c r="F190" s="113" t="str">
        <f t="shared" si="107"/>
        <v>e</v>
      </c>
      <c r="G190" s="113" t="str">
        <f t="shared" si="107"/>
        <v>f</v>
      </c>
      <c r="H190" s="113" t="str">
        <f t="shared" si="107"/>
        <v>g</v>
      </c>
      <c r="I190" s="113" t="str">
        <f t="shared" si="107"/>
        <v>h</v>
      </c>
      <c r="J190" s="113" t="str">
        <f t="shared" si="107"/>
        <v>i</v>
      </c>
      <c r="K190" s="113" t="str">
        <f t="shared" si="107"/>
        <v>j</v>
      </c>
      <c r="L190" s="113" t="str">
        <f t="shared" si="107"/>
        <v>k</v>
      </c>
      <c r="M190" s="113" t="str">
        <f t="shared" si="107"/>
        <v>l</v>
      </c>
      <c r="N190" s="113" t="str">
        <f t="shared" si="107"/>
        <v>m</v>
      </c>
      <c r="O190" s="113">
        <f t="shared" si="107"/>
        <v>0</v>
      </c>
      <c r="P190" s="113">
        <f t="shared" si="107"/>
        <v>0</v>
      </c>
      <c r="Q190" s="113" t="str">
        <f t="shared" si="107"/>
        <v>p</v>
      </c>
      <c r="R190" s="113">
        <f t="shared" si="107"/>
        <v>0</v>
      </c>
      <c r="S190" s="113">
        <f t="shared" si="107"/>
        <v>0</v>
      </c>
      <c r="T190" s="113">
        <f t="shared" si="107"/>
        <v>0</v>
      </c>
      <c r="U190" s="113">
        <f t="shared" si="107"/>
        <v>0</v>
      </c>
      <c r="V190" s="113">
        <f t="shared" si="107"/>
        <v>0</v>
      </c>
      <c r="W190" s="113">
        <f t="shared" si="107"/>
        <v>0</v>
      </c>
      <c r="X190" s="113">
        <f t="shared" si="107"/>
        <v>0</v>
      </c>
      <c r="AA190" s="113">
        <v>28</v>
      </c>
      <c r="AB190" s="112">
        <f t="shared" ca="1" si="108"/>
        <v>40544</v>
      </c>
      <c r="AC190" s="112">
        <f t="shared" ca="1" si="108"/>
        <v>42369</v>
      </c>
      <c r="AF190" s="114">
        <f t="shared" ca="1" si="80"/>
        <v>24892.49</v>
      </c>
      <c r="AG190" s="114">
        <f t="shared" ca="1" si="80"/>
        <v>0</v>
      </c>
      <c r="AH190" s="114">
        <f t="shared" ca="1" si="80"/>
        <v>0</v>
      </c>
      <c r="AI190" s="114">
        <f t="shared" ca="1" si="80"/>
        <v>6459.63</v>
      </c>
      <c r="AJ190" s="114">
        <f t="shared" ca="1" si="80"/>
        <v>157.30000000000001</v>
      </c>
      <c r="AK190" s="114">
        <f t="shared" ca="1" si="80"/>
        <v>2625.79</v>
      </c>
      <c r="AN190">
        <f t="shared" si="91"/>
        <v>190</v>
      </c>
      <c r="AQ190" s="114">
        <f t="shared" ca="1" si="92"/>
        <v>3090</v>
      </c>
      <c r="AW190">
        <v>190</v>
      </c>
      <c r="BG190" s="114">
        <f t="shared" ca="1" si="89"/>
        <v>34599.42</v>
      </c>
      <c r="BI190">
        <f t="shared" si="90"/>
        <v>0</v>
      </c>
    </row>
    <row r="191" spans="1:61" x14ac:dyDescent="0.25">
      <c r="A191" s="113">
        <f t="shared" si="106"/>
        <v>872</v>
      </c>
      <c r="B191" s="113" t="str">
        <f t="shared" si="107"/>
        <v>a</v>
      </c>
      <c r="C191" s="113" t="str">
        <f t="shared" si="107"/>
        <v>b</v>
      </c>
      <c r="D191" s="113" t="str">
        <f t="shared" si="107"/>
        <v>c</v>
      </c>
      <c r="E191" s="113" t="str">
        <f t="shared" si="107"/>
        <v>d</v>
      </c>
      <c r="F191" s="113" t="str">
        <f t="shared" si="107"/>
        <v>e</v>
      </c>
      <c r="G191" s="113" t="str">
        <f t="shared" si="107"/>
        <v>f</v>
      </c>
      <c r="H191" s="113" t="str">
        <f t="shared" si="107"/>
        <v>g</v>
      </c>
      <c r="I191" s="113" t="str">
        <f t="shared" si="107"/>
        <v>h</v>
      </c>
      <c r="J191" s="113" t="str">
        <f t="shared" si="107"/>
        <v>i</v>
      </c>
      <c r="K191" s="113" t="str">
        <f t="shared" si="107"/>
        <v>j</v>
      </c>
      <c r="L191" s="113" t="str">
        <f t="shared" si="107"/>
        <v>k</v>
      </c>
      <c r="M191" s="113" t="str">
        <f t="shared" si="107"/>
        <v>l</v>
      </c>
      <c r="N191" s="113" t="str">
        <f t="shared" si="107"/>
        <v>m</v>
      </c>
      <c r="O191" s="113">
        <f t="shared" si="107"/>
        <v>0</v>
      </c>
      <c r="P191" s="113">
        <f t="shared" si="107"/>
        <v>0</v>
      </c>
      <c r="Q191" s="113" t="str">
        <f t="shared" si="107"/>
        <v>p</v>
      </c>
      <c r="R191" s="113">
        <f t="shared" si="107"/>
        <v>0</v>
      </c>
      <c r="S191" s="113">
        <f t="shared" si="107"/>
        <v>0</v>
      </c>
      <c r="T191" s="113">
        <f t="shared" si="107"/>
        <v>0</v>
      </c>
      <c r="U191" s="113">
        <f t="shared" si="107"/>
        <v>0</v>
      </c>
      <c r="V191" s="113">
        <f t="shared" si="107"/>
        <v>0</v>
      </c>
      <c r="W191" s="113">
        <f t="shared" si="107"/>
        <v>0</v>
      </c>
      <c r="X191" s="113">
        <f t="shared" si="107"/>
        <v>0</v>
      </c>
      <c r="AA191" s="113">
        <v>35</v>
      </c>
      <c r="AB191" s="112">
        <f t="shared" ca="1" si="108"/>
        <v>40544</v>
      </c>
      <c r="AC191" s="112">
        <f t="shared" ca="1" si="108"/>
        <v>42369</v>
      </c>
      <c r="AF191" s="114">
        <f t="shared" ca="1" si="80"/>
        <v>26452.57</v>
      </c>
      <c r="AG191" s="114">
        <f t="shared" ca="1" si="80"/>
        <v>0</v>
      </c>
      <c r="AH191" s="114">
        <f t="shared" ca="1" si="80"/>
        <v>0</v>
      </c>
      <c r="AI191" s="114">
        <f t="shared" ca="1" si="80"/>
        <v>6459.63</v>
      </c>
      <c r="AJ191" s="114">
        <f t="shared" ca="1" si="80"/>
        <v>157.30000000000001</v>
      </c>
      <c r="AK191" s="114">
        <f t="shared" ca="1" si="80"/>
        <v>2755.79</v>
      </c>
      <c r="AN191">
        <f t="shared" si="91"/>
        <v>191</v>
      </c>
      <c r="AQ191" s="114">
        <f t="shared" ca="1" si="92"/>
        <v>3090</v>
      </c>
      <c r="AW191">
        <v>191</v>
      </c>
      <c r="BG191" s="114">
        <f t="shared" ca="1" si="89"/>
        <v>36159.5</v>
      </c>
      <c r="BI191">
        <f t="shared" si="90"/>
        <v>0</v>
      </c>
    </row>
    <row r="192" spans="1:61" x14ac:dyDescent="0.25">
      <c r="A192" s="113">
        <f>A185+20</f>
        <v>880</v>
      </c>
      <c r="B192" s="113" t="str">
        <f>B185</f>
        <v>a</v>
      </c>
      <c r="C192" s="113" t="str">
        <f t="shared" ref="C192:X192" si="109">C185</f>
        <v>b</v>
      </c>
      <c r="D192" s="113" t="str">
        <f t="shared" si="109"/>
        <v>c</v>
      </c>
      <c r="E192" s="113" t="str">
        <f t="shared" si="109"/>
        <v>d</v>
      </c>
      <c r="F192" s="113" t="str">
        <f t="shared" si="109"/>
        <v>e</v>
      </c>
      <c r="G192" s="113" t="str">
        <f t="shared" si="109"/>
        <v>f</v>
      </c>
      <c r="H192" s="113" t="str">
        <f t="shared" si="109"/>
        <v>g</v>
      </c>
      <c r="I192" s="113" t="str">
        <f t="shared" si="109"/>
        <v>h</v>
      </c>
      <c r="J192" s="113" t="str">
        <f t="shared" si="109"/>
        <v>i</v>
      </c>
      <c r="K192" s="113" t="str">
        <f t="shared" si="109"/>
        <v>j</v>
      </c>
      <c r="L192" s="113" t="str">
        <f t="shared" si="109"/>
        <v>k</v>
      </c>
      <c r="M192" s="113" t="str">
        <f t="shared" si="109"/>
        <v>l</v>
      </c>
      <c r="N192" s="113" t="str">
        <f t="shared" si="109"/>
        <v>m</v>
      </c>
      <c r="O192" s="113">
        <f t="shared" si="109"/>
        <v>0</v>
      </c>
      <c r="P192" s="113">
        <f t="shared" si="109"/>
        <v>0</v>
      </c>
      <c r="Q192" s="113" t="str">
        <f t="shared" si="109"/>
        <v>p</v>
      </c>
      <c r="R192" s="113">
        <f t="shared" si="109"/>
        <v>0</v>
      </c>
      <c r="S192" s="113">
        <f t="shared" si="109"/>
        <v>0</v>
      </c>
      <c r="T192" s="113">
        <f t="shared" si="109"/>
        <v>0</v>
      </c>
      <c r="U192" s="113">
        <f t="shared" si="109"/>
        <v>0</v>
      </c>
      <c r="V192" s="113">
        <f t="shared" si="109"/>
        <v>0</v>
      </c>
      <c r="W192" s="113">
        <f t="shared" si="109"/>
        <v>0</v>
      </c>
      <c r="X192" s="113">
        <f t="shared" si="109"/>
        <v>0</v>
      </c>
      <c r="AA192" s="113">
        <v>0</v>
      </c>
      <c r="AB192" s="112">
        <f ca="1">INDIRECT(CONCATENATE($AB$10,CONCATENATE(B192,$A192)))</f>
        <v>42370</v>
      </c>
      <c r="AC192" s="112">
        <f ca="1">INDIRECT(CONCATENATE($AB$10,CONCATENATE(C192,$A192)))</f>
        <v>42735</v>
      </c>
      <c r="AF192" s="114">
        <f t="shared" ca="1" si="80"/>
        <v>14596.44</v>
      </c>
      <c r="AG192" s="114">
        <f ca="1">INDIRECT(CONCATENATE($AB$10,CONCATENATE(G192,$A192)))</f>
        <v>0</v>
      </c>
      <c r="AH192" s="114">
        <f ca="1">INDIRECT(CONCATENATE($AB$10,CONCATENATE(H192,$A192)))</f>
        <v>0</v>
      </c>
      <c r="AI192" s="114">
        <f ca="1">INDIRECT(CONCATENATE($AB$10,CONCATENATE(I192,$A192)))</f>
        <v>6459.63</v>
      </c>
      <c r="AJ192" s="114">
        <f ca="1">INDIRECT(CONCATENATE($AB$10,CONCATENATE(J192,$A192)))</f>
        <v>157.30000000000001</v>
      </c>
      <c r="AK192" s="114">
        <f ca="1">INDIRECT(CONCATENATE($AB$10,CONCATENATE(K192,$A192)))</f>
        <v>1767.78</v>
      </c>
      <c r="AN192">
        <f t="shared" si="91"/>
        <v>192</v>
      </c>
      <c r="AQ192" s="114">
        <f t="shared" ca="1" si="92"/>
        <v>1968</v>
      </c>
      <c r="AW192">
        <v>192</v>
      </c>
      <c r="BG192" s="114">
        <f t="shared" ca="1" si="89"/>
        <v>23181.37</v>
      </c>
      <c r="BI192">
        <f t="shared" si="90"/>
        <v>0</v>
      </c>
    </row>
    <row r="193" spans="1:61" x14ac:dyDescent="0.25">
      <c r="A193" s="113">
        <f>A192</f>
        <v>880</v>
      </c>
      <c r="B193" s="113" t="str">
        <f>B192</f>
        <v>a</v>
      </c>
      <c r="C193" s="113" t="str">
        <f t="shared" ref="C193:X198" si="110">C192</f>
        <v>b</v>
      </c>
      <c r="D193" s="113" t="str">
        <f t="shared" si="110"/>
        <v>c</v>
      </c>
      <c r="E193" s="113" t="str">
        <f t="shared" si="110"/>
        <v>d</v>
      </c>
      <c r="F193" s="113" t="str">
        <f t="shared" si="110"/>
        <v>e</v>
      </c>
      <c r="G193" s="113" t="str">
        <f t="shared" si="110"/>
        <v>f</v>
      </c>
      <c r="H193" s="113" t="str">
        <f t="shared" si="110"/>
        <v>g</v>
      </c>
      <c r="I193" s="113" t="str">
        <f t="shared" si="110"/>
        <v>h</v>
      </c>
      <c r="J193" s="113" t="str">
        <f t="shared" si="110"/>
        <v>i</v>
      </c>
      <c r="K193" s="113" t="str">
        <f t="shared" si="110"/>
        <v>j</v>
      </c>
      <c r="L193" s="113" t="str">
        <f t="shared" si="110"/>
        <v>k</v>
      </c>
      <c r="M193" s="113" t="str">
        <f t="shared" si="110"/>
        <v>l</v>
      </c>
      <c r="N193" s="113" t="str">
        <f t="shared" si="110"/>
        <v>m</v>
      </c>
      <c r="O193" s="113">
        <f t="shared" si="110"/>
        <v>0</v>
      </c>
      <c r="P193" s="113">
        <f t="shared" si="110"/>
        <v>0</v>
      </c>
      <c r="Q193" s="113" t="str">
        <f t="shared" si="110"/>
        <v>p</v>
      </c>
      <c r="R193" s="113">
        <f t="shared" si="110"/>
        <v>0</v>
      </c>
      <c r="S193" s="113">
        <f t="shared" si="110"/>
        <v>0</v>
      </c>
      <c r="T193" s="113">
        <f t="shared" si="110"/>
        <v>0</v>
      </c>
      <c r="U193" s="113">
        <f t="shared" si="110"/>
        <v>0</v>
      </c>
      <c r="V193" s="113">
        <f t="shared" si="110"/>
        <v>0</v>
      </c>
      <c r="W193" s="113">
        <f t="shared" si="110"/>
        <v>0</v>
      </c>
      <c r="X193" s="113">
        <f t="shared" si="110"/>
        <v>0</v>
      </c>
      <c r="AA193" s="113">
        <v>3</v>
      </c>
      <c r="AB193" s="112">
        <f t="shared" ref="AB193:AC198" ca="1" si="111">AB192</f>
        <v>42370</v>
      </c>
      <c r="AC193" s="112">
        <f t="shared" ca="1" si="111"/>
        <v>42735</v>
      </c>
      <c r="AE193" s="114">
        <f ca="1">AE186</f>
        <v>1188.0999999999999</v>
      </c>
      <c r="AF193" s="114">
        <f t="shared" ca="1" si="80"/>
        <v>14596.44</v>
      </c>
      <c r="AG193" s="114">
        <f t="shared" ca="1" si="80"/>
        <v>0</v>
      </c>
      <c r="AH193" s="114">
        <f t="shared" ca="1" si="80"/>
        <v>0</v>
      </c>
      <c r="AI193" s="114">
        <f t="shared" ca="1" si="80"/>
        <v>6459.63</v>
      </c>
      <c r="AJ193" s="114">
        <f t="shared" ca="1" si="80"/>
        <v>157.30000000000001</v>
      </c>
      <c r="AK193" s="114">
        <f t="shared" ca="1" si="80"/>
        <v>1767.78</v>
      </c>
      <c r="AN193">
        <f t="shared" si="91"/>
        <v>193</v>
      </c>
      <c r="AQ193" s="114">
        <f t="shared" ca="1" si="92"/>
        <v>1968</v>
      </c>
      <c r="AW193">
        <v>193</v>
      </c>
      <c r="BG193" s="114">
        <f t="shared" ca="1" si="89"/>
        <v>23181.37</v>
      </c>
      <c r="BI193">
        <f t="shared" ca="1" si="90"/>
        <v>1188.0999999999999</v>
      </c>
    </row>
    <row r="194" spans="1:61" x14ac:dyDescent="0.25">
      <c r="A194" s="113">
        <f>A193+2</f>
        <v>882</v>
      </c>
      <c r="B194" s="113" t="str">
        <f>B193</f>
        <v>a</v>
      </c>
      <c r="C194" s="113" t="str">
        <f t="shared" si="110"/>
        <v>b</v>
      </c>
      <c r="D194" s="113" t="str">
        <f t="shared" si="110"/>
        <v>c</v>
      </c>
      <c r="E194" s="113" t="str">
        <f t="shared" si="110"/>
        <v>d</v>
      </c>
      <c r="F194" s="113" t="str">
        <f t="shared" si="110"/>
        <v>e</v>
      </c>
      <c r="G194" s="113" t="str">
        <f t="shared" si="110"/>
        <v>f</v>
      </c>
      <c r="H194" s="113" t="str">
        <f t="shared" si="110"/>
        <v>g</v>
      </c>
      <c r="I194" s="113" t="str">
        <f t="shared" si="110"/>
        <v>h</v>
      </c>
      <c r="J194" s="113" t="str">
        <f t="shared" si="110"/>
        <v>i</v>
      </c>
      <c r="K194" s="113" t="str">
        <f t="shared" si="110"/>
        <v>j</v>
      </c>
      <c r="L194" s="113" t="str">
        <f t="shared" si="110"/>
        <v>k</v>
      </c>
      <c r="M194" s="113" t="str">
        <f t="shared" si="110"/>
        <v>l</v>
      </c>
      <c r="N194" s="113" t="str">
        <f t="shared" si="110"/>
        <v>m</v>
      </c>
      <c r="O194" s="113">
        <f t="shared" si="110"/>
        <v>0</v>
      </c>
      <c r="P194" s="113">
        <f t="shared" si="110"/>
        <v>0</v>
      </c>
      <c r="Q194" s="113" t="str">
        <f t="shared" si="110"/>
        <v>p</v>
      </c>
      <c r="R194" s="113">
        <f t="shared" si="110"/>
        <v>0</v>
      </c>
      <c r="S194" s="113">
        <f t="shared" si="110"/>
        <v>0</v>
      </c>
      <c r="T194" s="113">
        <f t="shared" si="110"/>
        <v>0</v>
      </c>
      <c r="U194" s="113">
        <f t="shared" si="110"/>
        <v>0</v>
      </c>
      <c r="V194" s="113">
        <f t="shared" si="110"/>
        <v>0</v>
      </c>
      <c r="W194" s="113">
        <f t="shared" si="110"/>
        <v>0</v>
      </c>
      <c r="X194" s="113">
        <f t="shared" si="110"/>
        <v>0</v>
      </c>
      <c r="AA194" s="113">
        <v>9</v>
      </c>
      <c r="AB194" s="112">
        <f t="shared" ca="1" si="111"/>
        <v>42370</v>
      </c>
      <c r="AC194" s="112">
        <f t="shared" ca="1" si="111"/>
        <v>42735</v>
      </c>
      <c r="AF194" s="114">
        <f t="shared" ca="1" si="80"/>
        <v>17697.650000000001</v>
      </c>
      <c r="AG194" s="114">
        <f t="shared" ca="1" si="80"/>
        <v>0</v>
      </c>
      <c r="AH194" s="114">
        <f t="shared" ca="1" si="80"/>
        <v>0</v>
      </c>
      <c r="AI194" s="114">
        <f t="shared" ca="1" si="80"/>
        <v>6459.63</v>
      </c>
      <c r="AJ194" s="114">
        <f t="shared" ca="1" si="80"/>
        <v>157.30000000000001</v>
      </c>
      <c r="AK194" s="114">
        <f t="shared" ca="1" si="80"/>
        <v>2026.22</v>
      </c>
      <c r="AN194">
        <f t="shared" si="91"/>
        <v>194</v>
      </c>
      <c r="AQ194" s="114">
        <f t="shared" ca="1" si="92"/>
        <v>1968</v>
      </c>
      <c r="AW194">
        <v>194</v>
      </c>
      <c r="BG194" s="114">
        <f t="shared" ca="1" si="89"/>
        <v>26282.58</v>
      </c>
      <c r="BI194">
        <f t="shared" si="90"/>
        <v>0</v>
      </c>
    </row>
    <row r="195" spans="1:61" x14ac:dyDescent="0.25">
      <c r="A195" s="113">
        <f>A194+2</f>
        <v>884</v>
      </c>
      <c r="B195" s="113" t="str">
        <f>B194</f>
        <v>a</v>
      </c>
      <c r="C195" s="113" t="str">
        <f t="shared" si="110"/>
        <v>b</v>
      </c>
      <c r="D195" s="113" t="str">
        <f t="shared" si="110"/>
        <v>c</v>
      </c>
      <c r="E195" s="113" t="str">
        <f t="shared" si="110"/>
        <v>d</v>
      </c>
      <c r="F195" s="113" t="str">
        <f t="shared" si="110"/>
        <v>e</v>
      </c>
      <c r="G195" s="113" t="str">
        <f t="shared" si="110"/>
        <v>f</v>
      </c>
      <c r="H195" s="113" t="str">
        <f t="shared" si="110"/>
        <v>g</v>
      </c>
      <c r="I195" s="113" t="str">
        <f t="shared" si="110"/>
        <v>h</v>
      </c>
      <c r="J195" s="113" t="str">
        <f t="shared" si="110"/>
        <v>i</v>
      </c>
      <c r="K195" s="113" t="str">
        <f t="shared" si="110"/>
        <v>j</v>
      </c>
      <c r="L195" s="113" t="str">
        <f t="shared" si="110"/>
        <v>k</v>
      </c>
      <c r="M195" s="113" t="str">
        <f t="shared" si="110"/>
        <v>l</v>
      </c>
      <c r="N195" s="113" t="str">
        <f t="shared" si="110"/>
        <v>m</v>
      </c>
      <c r="O195" s="113">
        <f t="shared" si="110"/>
        <v>0</v>
      </c>
      <c r="P195" s="113">
        <f t="shared" si="110"/>
        <v>0</v>
      </c>
      <c r="Q195" s="113" t="str">
        <f t="shared" si="110"/>
        <v>p</v>
      </c>
      <c r="R195" s="113">
        <f t="shared" si="110"/>
        <v>0</v>
      </c>
      <c r="S195" s="113">
        <f t="shared" si="110"/>
        <v>0</v>
      </c>
      <c r="T195" s="113">
        <f t="shared" si="110"/>
        <v>0</v>
      </c>
      <c r="U195" s="113">
        <f t="shared" si="110"/>
        <v>0</v>
      </c>
      <c r="V195" s="113">
        <f t="shared" si="110"/>
        <v>0</v>
      </c>
      <c r="W195" s="113">
        <f t="shared" si="110"/>
        <v>0</v>
      </c>
      <c r="X195" s="113">
        <f t="shared" si="110"/>
        <v>0</v>
      </c>
      <c r="AA195" s="113">
        <v>15</v>
      </c>
      <c r="AB195" s="112">
        <f t="shared" ca="1" si="111"/>
        <v>42370</v>
      </c>
      <c r="AC195" s="112">
        <f t="shared" ca="1" si="111"/>
        <v>42735</v>
      </c>
      <c r="AF195" s="114">
        <f t="shared" ca="1" si="80"/>
        <v>20052.46</v>
      </c>
      <c r="AG195" s="114">
        <f t="shared" ca="1" si="80"/>
        <v>0</v>
      </c>
      <c r="AH195" s="114">
        <f t="shared" ca="1" si="80"/>
        <v>0</v>
      </c>
      <c r="AI195" s="114">
        <f t="shared" ca="1" si="80"/>
        <v>6459.63</v>
      </c>
      <c r="AJ195" s="114">
        <f t="shared" ca="1" si="80"/>
        <v>157.30000000000001</v>
      </c>
      <c r="AK195" s="114">
        <f t="shared" ca="1" si="80"/>
        <v>2222.4499999999998</v>
      </c>
      <c r="AN195">
        <f t="shared" si="91"/>
        <v>195</v>
      </c>
      <c r="AQ195" s="114">
        <f t="shared" ca="1" si="92"/>
        <v>2424</v>
      </c>
      <c r="AW195">
        <v>195</v>
      </c>
      <c r="BG195" s="114">
        <f t="shared" ca="1" si="89"/>
        <v>29093.39</v>
      </c>
      <c r="BI195">
        <f t="shared" si="90"/>
        <v>0</v>
      </c>
    </row>
    <row r="196" spans="1:61" x14ac:dyDescent="0.25">
      <c r="A196" s="113">
        <f>A195+2</f>
        <v>886</v>
      </c>
      <c r="B196" s="113" t="str">
        <f>B195</f>
        <v>a</v>
      </c>
      <c r="C196" s="113" t="str">
        <f t="shared" si="110"/>
        <v>b</v>
      </c>
      <c r="D196" s="113" t="str">
        <f t="shared" si="110"/>
        <v>c</v>
      </c>
      <c r="E196" s="113" t="str">
        <f t="shared" si="110"/>
        <v>d</v>
      </c>
      <c r="F196" s="113" t="str">
        <f t="shared" si="110"/>
        <v>e</v>
      </c>
      <c r="G196" s="113" t="str">
        <f t="shared" si="110"/>
        <v>f</v>
      </c>
      <c r="H196" s="113" t="str">
        <f t="shared" si="110"/>
        <v>g</v>
      </c>
      <c r="I196" s="113" t="str">
        <f t="shared" si="110"/>
        <v>h</v>
      </c>
      <c r="J196" s="113" t="str">
        <f t="shared" si="110"/>
        <v>i</v>
      </c>
      <c r="K196" s="113" t="str">
        <f t="shared" si="110"/>
        <v>j</v>
      </c>
      <c r="L196" s="113" t="str">
        <f t="shared" si="110"/>
        <v>k</v>
      </c>
      <c r="M196" s="113" t="str">
        <f t="shared" si="110"/>
        <v>l</v>
      </c>
      <c r="N196" s="113" t="str">
        <f t="shared" si="110"/>
        <v>m</v>
      </c>
      <c r="O196" s="113">
        <f t="shared" si="110"/>
        <v>0</v>
      </c>
      <c r="P196" s="113">
        <f t="shared" si="110"/>
        <v>0</v>
      </c>
      <c r="Q196" s="113" t="str">
        <f t="shared" si="110"/>
        <v>p</v>
      </c>
      <c r="R196" s="113">
        <f t="shared" si="110"/>
        <v>0</v>
      </c>
      <c r="S196" s="113">
        <f t="shared" si="110"/>
        <v>0</v>
      </c>
      <c r="T196" s="113">
        <f t="shared" si="110"/>
        <v>0</v>
      </c>
      <c r="U196" s="113">
        <f t="shared" si="110"/>
        <v>0</v>
      </c>
      <c r="V196" s="113">
        <f t="shared" si="110"/>
        <v>0</v>
      </c>
      <c r="W196" s="113">
        <f t="shared" si="110"/>
        <v>0</v>
      </c>
      <c r="X196" s="113">
        <f t="shared" si="110"/>
        <v>0</v>
      </c>
      <c r="AA196" s="113">
        <v>21</v>
      </c>
      <c r="AB196" s="112">
        <f t="shared" ca="1" si="111"/>
        <v>42370</v>
      </c>
      <c r="AC196" s="112">
        <f t="shared" ca="1" si="111"/>
        <v>42735</v>
      </c>
      <c r="AF196" s="114">
        <f t="shared" ca="1" si="80"/>
        <v>23050.53</v>
      </c>
      <c r="AG196" s="114">
        <f t="shared" ca="1" si="80"/>
        <v>0</v>
      </c>
      <c r="AH196" s="114">
        <f t="shared" ca="1" si="80"/>
        <v>0</v>
      </c>
      <c r="AI196" s="114">
        <f t="shared" ca="1" si="80"/>
        <v>6459.63</v>
      </c>
      <c r="AJ196" s="114">
        <f t="shared" ca="1" si="80"/>
        <v>157.30000000000001</v>
      </c>
      <c r="AK196" s="114">
        <f t="shared" ca="1" si="80"/>
        <v>2472.29</v>
      </c>
      <c r="AN196">
        <f t="shared" si="91"/>
        <v>196</v>
      </c>
      <c r="AQ196" s="114">
        <f t="shared" ca="1" si="92"/>
        <v>2424</v>
      </c>
      <c r="AW196">
        <v>196</v>
      </c>
      <c r="BG196" s="114">
        <f t="shared" ca="1" si="89"/>
        <v>32091.46</v>
      </c>
      <c r="BI196">
        <f t="shared" si="90"/>
        <v>0</v>
      </c>
    </row>
    <row r="197" spans="1:61" x14ac:dyDescent="0.25">
      <c r="A197" s="113">
        <f>A196+2</f>
        <v>888</v>
      </c>
      <c r="B197" s="113" t="str">
        <f>B196</f>
        <v>a</v>
      </c>
      <c r="C197" s="113" t="str">
        <f t="shared" si="110"/>
        <v>b</v>
      </c>
      <c r="D197" s="113" t="str">
        <f t="shared" si="110"/>
        <v>c</v>
      </c>
      <c r="E197" s="113" t="str">
        <f t="shared" si="110"/>
        <v>d</v>
      </c>
      <c r="F197" s="113" t="str">
        <f t="shared" si="110"/>
        <v>e</v>
      </c>
      <c r="G197" s="113" t="str">
        <f t="shared" si="110"/>
        <v>f</v>
      </c>
      <c r="H197" s="113" t="str">
        <f t="shared" si="110"/>
        <v>g</v>
      </c>
      <c r="I197" s="113" t="str">
        <f t="shared" si="110"/>
        <v>h</v>
      </c>
      <c r="J197" s="113" t="str">
        <f t="shared" si="110"/>
        <v>i</v>
      </c>
      <c r="K197" s="113" t="str">
        <f t="shared" si="110"/>
        <v>j</v>
      </c>
      <c r="L197" s="113" t="str">
        <f t="shared" si="110"/>
        <v>k</v>
      </c>
      <c r="M197" s="113" t="str">
        <f t="shared" si="110"/>
        <v>l</v>
      </c>
      <c r="N197" s="113" t="str">
        <f t="shared" si="110"/>
        <v>m</v>
      </c>
      <c r="O197" s="113">
        <f t="shared" si="110"/>
        <v>0</v>
      </c>
      <c r="P197" s="113">
        <f t="shared" si="110"/>
        <v>0</v>
      </c>
      <c r="Q197" s="113" t="str">
        <f t="shared" si="110"/>
        <v>p</v>
      </c>
      <c r="R197" s="113">
        <f t="shared" si="110"/>
        <v>0</v>
      </c>
      <c r="S197" s="113">
        <f t="shared" si="110"/>
        <v>0</v>
      </c>
      <c r="T197" s="113">
        <f t="shared" si="110"/>
        <v>0</v>
      </c>
      <c r="U197" s="113">
        <f t="shared" si="110"/>
        <v>0</v>
      </c>
      <c r="V197" s="113">
        <f t="shared" si="110"/>
        <v>0</v>
      </c>
      <c r="W197" s="113">
        <f t="shared" si="110"/>
        <v>0</v>
      </c>
      <c r="X197" s="113">
        <f t="shared" si="110"/>
        <v>0</v>
      </c>
      <c r="AA197" s="113">
        <v>28</v>
      </c>
      <c r="AB197" s="112">
        <f t="shared" ca="1" si="111"/>
        <v>42370</v>
      </c>
      <c r="AC197" s="112">
        <f t="shared" ca="1" si="111"/>
        <v>42735</v>
      </c>
      <c r="AF197" s="114">
        <f t="shared" ref="AF197:AK245" ca="1" si="112">INDIRECT(CONCATENATE($AB$10,CONCATENATE(F197,$A197)))</f>
        <v>25016.09</v>
      </c>
      <c r="AG197" s="114">
        <f t="shared" ca="1" si="112"/>
        <v>0</v>
      </c>
      <c r="AH197" s="114">
        <f t="shared" ca="1" si="112"/>
        <v>0</v>
      </c>
      <c r="AI197" s="114">
        <f t="shared" ca="1" si="112"/>
        <v>6459.63</v>
      </c>
      <c r="AJ197" s="114">
        <f t="shared" ca="1" si="112"/>
        <v>157.30000000000001</v>
      </c>
      <c r="AK197" s="114">
        <f t="shared" ca="1" si="112"/>
        <v>2636.09</v>
      </c>
      <c r="AN197">
        <f t="shared" si="91"/>
        <v>197</v>
      </c>
      <c r="AQ197" s="114">
        <f t="shared" ca="1" si="92"/>
        <v>3090</v>
      </c>
      <c r="AW197">
        <v>197</v>
      </c>
      <c r="BG197" s="114">
        <f t="shared" ca="1" si="89"/>
        <v>34723.020000000004</v>
      </c>
      <c r="BI197">
        <f t="shared" si="90"/>
        <v>0</v>
      </c>
    </row>
    <row r="198" spans="1:61" x14ac:dyDescent="0.25">
      <c r="A198" s="113">
        <f>A197+2</f>
        <v>890</v>
      </c>
      <c r="B198" s="113" t="str">
        <f>B197</f>
        <v>a</v>
      </c>
      <c r="C198" s="113" t="str">
        <f t="shared" si="110"/>
        <v>b</v>
      </c>
      <c r="D198" s="113" t="str">
        <f t="shared" si="110"/>
        <v>c</v>
      </c>
      <c r="E198" s="113" t="str">
        <f t="shared" si="110"/>
        <v>d</v>
      </c>
      <c r="F198" s="113" t="str">
        <f t="shared" si="110"/>
        <v>e</v>
      </c>
      <c r="G198" s="113" t="str">
        <f t="shared" si="110"/>
        <v>f</v>
      </c>
      <c r="H198" s="113" t="str">
        <f t="shared" si="110"/>
        <v>g</v>
      </c>
      <c r="I198" s="113" t="str">
        <f t="shared" si="110"/>
        <v>h</v>
      </c>
      <c r="J198" s="113" t="str">
        <f t="shared" si="110"/>
        <v>i</v>
      </c>
      <c r="K198" s="113" t="str">
        <f t="shared" si="110"/>
        <v>j</v>
      </c>
      <c r="L198" s="113" t="str">
        <f t="shared" si="110"/>
        <v>k</v>
      </c>
      <c r="M198" s="113" t="str">
        <f t="shared" si="110"/>
        <v>l</v>
      </c>
      <c r="N198" s="113" t="str">
        <f t="shared" si="110"/>
        <v>m</v>
      </c>
      <c r="O198" s="113">
        <f t="shared" si="110"/>
        <v>0</v>
      </c>
      <c r="P198" s="113">
        <f t="shared" si="110"/>
        <v>0</v>
      </c>
      <c r="Q198" s="113" t="str">
        <f t="shared" si="110"/>
        <v>p</v>
      </c>
      <c r="R198" s="113">
        <f t="shared" si="110"/>
        <v>0</v>
      </c>
      <c r="S198" s="113">
        <f t="shared" si="110"/>
        <v>0</v>
      </c>
      <c r="T198" s="113">
        <f t="shared" si="110"/>
        <v>0</v>
      </c>
      <c r="U198" s="113">
        <f t="shared" si="110"/>
        <v>0</v>
      </c>
      <c r="V198" s="113">
        <f t="shared" si="110"/>
        <v>0</v>
      </c>
      <c r="W198" s="113">
        <f t="shared" si="110"/>
        <v>0</v>
      </c>
      <c r="X198" s="113">
        <f t="shared" si="110"/>
        <v>0</v>
      </c>
      <c r="AA198" s="113">
        <v>35</v>
      </c>
      <c r="AB198" s="112">
        <f t="shared" ca="1" si="111"/>
        <v>42370</v>
      </c>
      <c r="AC198" s="112">
        <f t="shared" ca="1" si="111"/>
        <v>42735</v>
      </c>
      <c r="AF198" s="114">
        <f t="shared" ca="1" si="112"/>
        <v>26582.17</v>
      </c>
      <c r="AG198" s="114">
        <f t="shared" ca="1" si="112"/>
        <v>0</v>
      </c>
      <c r="AH198" s="114">
        <f t="shared" ca="1" si="112"/>
        <v>0</v>
      </c>
      <c r="AI198" s="114">
        <f t="shared" ca="1" si="112"/>
        <v>6459.63</v>
      </c>
      <c r="AJ198" s="114">
        <f t="shared" ca="1" si="112"/>
        <v>157.30000000000001</v>
      </c>
      <c r="AK198" s="114">
        <f t="shared" ca="1" si="112"/>
        <v>2766.59</v>
      </c>
      <c r="AN198">
        <f t="shared" si="91"/>
        <v>198</v>
      </c>
      <c r="AQ198" s="114">
        <f t="shared" ca="1" si="92"/>
        <v>3090</v>
      </c>
      <c r="AW198">
        <v>198</v>
      </c>
      <c r="BG198" s="114">
        <f t="shared" ca="1" si="89"/>
        <v>36289.1</v>
      </c>
      <c r="BI198">
        <f t="shared" si="90"/>
        <v>0</v>
      </c>
    </row>
    <row r="199" spans="1:61" x14ac:dyDescent="0.25">
      <c r="A199" s="113">
        <f>A192+20</f>
        <v>900</v>
      </c>
      <c r="B199" s="113" t="str">
        <f>B192</f>
        <v>a</v>
      </c>
      <c r="C199" s="113" t="str">
        <f t="shared" ref="C199:X199" si="113">C192</f>
        <v>b</v>
      </c>
      <c r="D199" s="113" t="str">
        <f t="shared" si="113"/>
        <v>c</v>
      </c>
      <c r="E199" s="113" t="str">
        <f t="shared" si="113"/>
        <v>d</v>
      </c>
      <c r="F199" s="113" t="str">
        <f t="shared" si="113"/>
        <v>e</v>
      </c>
      <c r="G199" s="113" t="str">
        <f t="shared" si="113"/>
        <v>f</v>
      </c>
      <c r="H199" s="113" t="str">
        <f t="shared" si="113"/>
        <v>g</v>
      </c>
      <c r="I199" s="113" t="str">
        <f t="shared" si="113"/>
        <v>h</v>
      </c>
      <c r="J199" s="113" t="str">
        <f t="shared" si="113"/>
        <v>i</v>
      </c>
      <c r="K199" s="113" t="str">
        <f t="shared" si="113"/>
        <v>j</v>
      </c>
      <c r="L199" s="113" t="str">
        <f t="shared" si="113"/>
        <v>k</v>
      </c>
      <c r="M199" s="113" t="str">
        <f t="shared" si="113"/>
        <v>l</v>
      </c>
      <c r="N199" s="113" t="str">
        <f t="shared" si="113"/>
        <v>m</v>
      </c>
      <c r="O199" s="113">
        <f t="shared" si="113"/>
        <v>0</v>
      </c>
      <c r="P199" s="113">
        <f t="shared" si="113"/>
        <v>0</v>
      </c>
      <c r="Q199" s="113" t="str">
        <f t="shared" si="113"/>
        <v>p</v>
      </c>
      <c r="R199" s="113">
        <f t="shared" si="113"/>
        <v>0</v>
      </c>
      <c r="S199" s="113">
        <f t="shared" si="113"/>
        <v>0</v>
      </c>
      <c r="T199" s="113">
        <f t="shared" si="113"/>
        <v>0</v>
      </c>
      <c r="U199" s="113">
        <f t="shared" si="113"/>
        <v>0</v>
      </c>
      <c r="V199" s="113">
        <f t="shared" si="113"/>
        <v>0</v>
      </c>
      <c r="W199" s="113">
        <f t="shared" si="113"/>
        <v>0</v>
      </c>
      <c r="X199" s="113">
        <f t="shared" si="113"/>
        <v>0</v>
      </c>
      <c r="AA199" s="113">
        <v>0</v>
      </c>
      <c r="AB199" s="112">
        <f ca="1">INDIRECT(CONCATENATE($AB$10,CONCATENATE(B199,$A199)))</f>
        <v>42736</v>
      </c>
      <c r="AC199" s="112">
        <f ca="1">INDIRECT(CONCATENATE($AB$10,CONCATENATE(C199,$A199)))</f>
        <v>43159</v>
      </c>
      <c r="AF199" s="114">
        <f t="shared" ca="1" si="112"/>
        <v>14763.24</v>
      </c>
      <c r="AG199" s="114">
        <f ca="1">INDIRECT(CONCATENATE($AB$10,CONCATENATE(G199,$A199)))</f>
        <v>0</v>
      </c>
      <c r="AH199" s="114">
        <f ca="1">INDIRECT(CONCATENATE($AB$10,CONCATENATE(H199,$A199)))</f>
        <v>0</v>
      </c>
      <c r="AI199" s="114">
        <f ca="1">INDIRECT(CONCATENATE($AB$10,CONCATENATE(I199,$A199)))</f>
        <v>6459.63</v>
      </c>
      <c r="AJ199" s="114">
        <f ca="1">INDIRECT(CONCATENATE($AB$10,CONCATENATE(J199,$A199)))</f>
        <v>157.30000000000001</v>
      </c>
      <c r="AK199" s="114">
        <f ca="1">INDIRECT(CONCATENATE($AB$10,CONCATENATE(K199,$A199)))</f>
        <v>1781.68</v>
      </c>
      <c r="AN199">
        <f t="shared" si="91"/>
        <v>199</v>
      </c>
      <c r="AQ199" s="114">
        <f t="shared" ca="1" si="92"/>
        <v>1968</v>
      </c>
      <c r="AW199">
        <v>199</v>
      </c>
      <c r="BG199" s="114">
        <f t="shared" ca="1" si="89"/>
        <v>23348.17</v>
      </c>
      <c r="BI199">
        <f t="shared" si="90"/>
        <v>0</v>
      </c>
    </row>
    <row r="200" spans="1:61" x14ac:dyDescent="0.25">
      <c r="A200" s="113">
        <f>A199</f>
        <v>900</v>
      </c>
      <c r="B200" s="113" t="str">
        <f>B199</f>
        <v>a</v>
      </c>
      <c r="C200" s="113" t="str">
        <f t="shared" ref="C200:X205" si="114">C199</f>
        <v>b</v>
      </c>
      <c r="D200" s="113" t="str">
        <f t="shared" si="114"/>
        <v>c</v>
      </c>
      <c r="E200" s="113" t="str">
        <f t="shared" si="114"/>
        <v>d</v>
      </c>
      <c r="F200" s="113" t="str">
        <f t="shared" si="114"/>
        <v>e</v>
      </c>
      <c r="G200" s="113" t="str">
        <f t="shared" si="114"/>
        <v>f</v>
      </c>
      <c r="H200" s="113" t="str">
        <f t="shared" si="114"/>
        <v>g</v>
      </c>
      <c r="I200" s="113" t="str">
        <f t="shared" si="114"/>
        <v>h</v>
      </c>
      <c r="J200" s="113" t="str">
        <f t="shared" si="114"/>
        <v>i</v>
      </c>
      <c r="K200" s="113" t="str">
        <f t="shared" si="114"/>
        <v>j</v>
      </c>
      <c r="L200" s="113" t="str">
        <f t="shared" si="114"/>
        <v>k</v>
      </c>
      <c r="M200" s="113" t="str">
        <f t="shared" si="114"/>
        <v>l</v>
      </c>
      <c r="N200" s="113" t="str">
        <f t="shared" si="114"/>
        <v>m</v>
      </c>
      <c r="O200" s="113">
        <f t="shared" si="114"/>
        <v>0</v>
      </c>
      <c r="P200" s="113">
        <f t="shared" si="114"/>
        <v>0</v>
      </c>
      <c r="Q200" s="113" t="str">
        <f t="shared" si="114"/>
        <v>p</v>
      </c>
      <c r="R200" s="113">
        <f t="shared" si="114"/>
        <v>0</v>
      </c>
      <c r="S200" s="113">
        <f t="shared" si="114"/>
        <v>0</v>
      </c>
      <c r="T200" s="113">
        <f t="shared" si="114"/>
        <v>0</v>
      </c>
      <c r="U200" s="113">
        <f t="shared" si="114"/>
        <v>0</v>
      </c>
      <c r="V200" s="113">
        <f t="shared" si="114"/>
        <v>0</v>
      </c>
      <c r="W200" s="113">
        <f t="shared" si="114"/>
        <v>0</v>
      </c>
      <c r="X200" s="113">
        <f t="shared" si="114"/>
        <v>0</v>
      </c>
      <c r="AA200" s="113">
        <v>3</v>
      </c>
      <c r="AB200" s="112">
        <f t="shared" ref="AB200:AC205" ca="1" si="115">AB199</f>
        <v>42736</v>
      </c>
      <c r="AC200" s="112">
        <f t="shared" ca="1" si="115"/>
        <v>43159</v>
      </c>
      <c r="AE200" s="114">
        <f ca="1">AE193</f>
        <v>1188.0999999999999</v>
      </c>
      <c r="AF200" s="114">
        <f t="shared" ca="1" si="112"/>
        <v>14763.24</v>
      </c>
      <c r="AG200" s="114">
        <f t="shared" ca="1" si="112"/>
        <v>0</v>
      </c>
      <c r="AH200" s="114">
        <f t="shared" ca="1" si="112"/>
        <v>0</v>
      </c>
      <c r="AI200" s="114">
        <f t="shared" ca="1" si="112"/>
        <v>6459.63</v>
      </c>
      <c r="AJ200" s="114">
        <f t="shared" ca="1" si="112"/>
        <v>157.30000000000001</v>
      </c>
      <c r="AK200" s="114">
        <f t="shared" ca="1" si="112"/>
        <v>1781.68</v>
      </c>
      <c r="AN200">
        <f t="shared" si="91"/>
        <v>200</v>
      </c>
      <c r="AQ200" s="114">
        <f t="shared" ca="1" si="92"/>
        <v>1968</v>
      </c>
      <c r="AW200">
        <v>200</v>
      </c>
      <c r="BG200" s="114">
        <f t="shared" ca="1" si="89"/>
        <v>23348.17</v>
      </c>
      <c r="BI200">
        <f t="shared" ca="1" si="90"/>
        <v>1188.0999999999999</v>
      </c>
    </row>
    <row r="201" spans="1:61" x14ac:dyDescent="0.25">
      <c r="A201" s="113">
        <f>A200+2</f>
        <v>902</v>
      </c>
      <c r="B201" s="113" t="str">
        <f>B200</f>
        <v>a</v>
      </c>
      <c r="C201" s="113" t="str">
        <f t="shared" si="114"/>
        <v>b</v>
      </c>
      <c r="D201" s="113" t="str">
        <f t="shared" si="114"/>
        <v>c</v>
      </c>
      <c r="E201" s="113" t="str">
        <f t="shared" si="114"/>
        <v>d</v>
      </c>
      <c r="F201" s="113" t="str">
        <f t="shared" si="114"/>
        <v>e</v>
      </c>
      <c r="G201" s="113" t="str">
        <f t="shared" si="114"/>
        <v>f</v>
      </c>
      <c r="H201" s="113" t="str">
        <f t="shared" si="114"/>
        <v>g</v>
      </c>
      <c r="I201" s="113" t="str">
        <f t="shared" si="114"/>
        <v>h</v>
      </c>
      <c r="J201" s="113" t="str">
        <f t="shared" si="114"/>
        <v>i</v>
      </c>
      <c r="K201" s="113" t="str">
        <f t="shared" si="114"/>
        <v>j</v>
      </c>
      <c r="L201" s="113" t="str">
        <f t="shared" si="114"/>
        <v>k</v>
      </c>
      <c r="M201" s="113" t="str">
        <f t="shared" si="114"/>
        <v>l</v>
      </c>
      <c r="N201" s="113" t="str">
        <f t="shared" si="114"/>
        <v>m</v>
      </c>
      <c r="O201" s="113">
        <f t="shared" si="114"/>
        <v>0</v>
      </c>
      <c r="P201" s="113">
        <f t="shared" si="114"/>
        <v>0</v>
      </c>
      <c r="Q201" s="113" t="str">
        <f t="shared" si="114"/>
        <v>p</v>
      </c>
      <c r="R201" s="113">
        <f t="shared" si="114"/>
        <v>0</v>
      </c>
      <c r="S201" s="113">
        <f t="shared" si="114"/>
        <v>0</v>
      </c>
      <c r="T201" s="113">
        <f t="shared" si="114"/>
        <v>0</v>
      </c>
      <c r="U201" s="113">
        <f t="shared" si="114"/>
        <v>0</v>
      </c>
      <c r="V201" s="113">
        <f t="shared" si="114"/>
        <v>0</v>
      </c>
      <c r="W201" s="113">
        <f t="shared" si="114"/>
        <v>0</v>
      </c>
      <c r="X201" s="113">
        <f t="shared" si="114"/>
        <v>0</v>
      </c>
      <c r="AA201" s="113">
        <v>9</v>
      </c>
      <c r="AB201" s="112">
        <f t="shared" ca="1" si="115"/>
        <v>42736</v>
      </c>
      <c r="AC201" s="112">
        <f t="shared" ca="1" si="115"/>
        <v>43159</v>
      </c>
      <c r="AF201" s="114">
        <f t="shared" ca="1" si="112"/>
        <v>17889.650000000001</v>
      </c>
      <c r="AG201" s="114">
        <f t="shared" ca="1" si="112"/>
        <v>0</v>
      </c>
      <c r="AH201" s="114">
        <f t="shared" ca="1" si="112"/>
        <v>0</v>
      </c>
      <c r="AI201" s="114">
        <f t="shared" ca="1" si="112"/>
        <v>6459.63</v>
      </c>
      <c r="AJ201" s="114">
        <f t="shared" ca="1" si="112"/>
        <v>157.30000000000001</v>
      </c>
      <c r="AK201" s="114">
        <f t="shared" ca="1" si="112"/>
        <v>2042.22</v>
      </c>
      <c r="AN201">
        <f t="shared" si="91"/>
        <v>201</v>
      </c>
      <c r="AQ201" s="114">
        <f t="shared" ca="1" si="92"/>
        <v>1968</v>
      </c>
      <c r="AW201">
        <v>201</v>
      </c>
      <c r="BG201" s="114">
        <f t="shared" ca="1" si="89"/>
        <v>26474.58</v>
      </c>
      <c r="BI201">
        <f t="shared" si="90"/>
        <v>0</v>
      </c>
    </row>
    <row r="202" spans="1:61" x14ac:dyDescent="0.25">
      <c r="A202" s="113">
        <f>A201+2</f>
        <v>904</v>
      </c>
      <c r="B202" s="113" t="str">
        <f>B201</f>
        <v>a</v>
      </c>
      <c r="C202" s="113" t="str">
        <f t="shared" si="114"/>
        <v>b</v>
      </c>
      <c r="D202" s="113" t="str">
        <f t="shared" si="114"/>
        <v>c</v>
      </c>
      <c r="E202" s="113" t="str">
        <f t="shared" si="114"/>
        <v>d</v>
      </c>
      <c r="F202" s="113" t="str">
        <f t="shared" si="114"/>
        <v>e</v>
      </c>
      <c r="G202" s="113" t="str">
        <f t="shared" si="114"/>
        <v>f</v>
      </c>
      <c r="H202" s="113" t="str">
        <f t="shared" si="114"/>
        <v>g</v>
      </c>
      <c r="I202" s="113" t="str">
        <f t="shared" si="114"/>
        <v>h</v>
      </c>
      <c r="J202" s="113" t="str">
        <f t="shared" si="114"/>
        <v>i</v>
      </c>
      <c r="K202" s="113" t="str">
        <f t="shared" si="114"/>
        <v>j</v>
      </c>
      <c r="L202" s="113" t="str">
        <f t="shared" si="114"/>
        <v>k</v>
      </c>
      <c r="M202" s="113" t="str">
        <f t="shared" si="114"/>
        <v>l</v>
      </c>
      <c r="N202" s="113" t="str">
        <f t="shared" si="114"/>
        <v>m</v>
      </c>
      <c r="O202" s="113">
        <f t="shared" si="114"/>
        <v>0</v>
      </c>
      <c r="P202" s="113">
        <f t="shared" si="114"/>
        <v>0</v>
      </c>
      <c r="Q202" s="113" t="str">
        <f t="shared" si="114"/>
        <v>p</v>
      </c>
      <c r="R202" s="113">
        <f t="shared" si="114"/>
        <v>0</v>
      </c>
      <c r="S202" s="113">
        <f t="shared" si="114"/>
        <v>0</v>
      </c>
      <c r="T202" s="113">
        <f t="shared" si="114"/>
        <v>0</v>
      </c>
      <c r="U202" s="113">
        <f t="shared" si="114"/>
        <v>0</v>
      </c>
      <c r="V202" s="113">
        <f t="shared" si="114"/>
        <v>0</v>
      </c>
      <c r="W202" s="113">
        <f t="shared" si="114"/>
        <v>0</v>
      </c>
      <c r="X202" s="113">
        <f t="shared" si="114"/>
        <v>0</v>
      </c>
      <c r="AA202" s="113">
        <v>15</v>
      </c>
      <c r="AB202" s="112">
        <f t="shared" ca="1" si="115"/>
        <v>42736</v>
      </c>
      <c r="AC202" s="112">
        <f t="shared" ca="1" si="115"/>
        <v>43159</v>
      </c>
      <c r="AF202" s="114">
        <f t="shared" ca="1" si="112"/>
        <v>20262.46</v>
      </c>
      <c r="AG202" s="114">
        <f t="shared" ca="1" si="112"/>
        <v>0</v>
      </c>
      <c r="AH202" s="114">
        <f t="shared" ca="1" si="112"/>
        <v>0</v>
      </c>
      <c r="AI202" s="114">
        <f t="shared" ca="1" si="112"/>
        <v>6459.63</v>
      </c>
      <c r="AJ202" s="114">
        <f t="shared" ca="1" si="112"/>
        <v>157.30000000000001</v>
      </c>
      <c r="AK202" s="114">
        <f t="shared" ca="1" si="112"/>
        <v>2239.9499999999998</v>
      </c>
      <c r="AN202">
        <f t="shared" si="91"/>
        <v>202</v>
      </c>
      <c r="AQ202" s="114">
        <f t="shared" ca="1" si="92"/>
        <v>2424</v>
      </c>
      <c r="AW202">
        <v>202</v>
      </c>
      <c r="BG202" s="114">
        <f t="shared" ca="1" si="89"/>
        <v>29303.39</v>
      </c>
      <c r="BI202">
        <f t="shared" si="90"/>
        <v>0</v>
      </c>
    </row>
    <row r="203" spans="1:61" x14ac:dyDescent="0.25">
      <c r="A203" s="113">
        <f>A202+2</f>
        <v>906</v>
      </c>
      <c r="B203" s="113" t="str">
        <f>B202</f>
        <v>a</v>
      </c>
      <c r="C203" s="113" t="str">
        <f t="shared" si="114"/>
        <v>b</v>
      </c>
      <c r="D203" s="113" t="str">
        <f t="shared" si="114"/>
        <v>c</v>
      </c>
      <c r="E203" s="113" t="str">
        <f t="shared" si="114"/>
        <v>d</v>
      </c>
      <c r="F203" s="113" t="str">
        <f t="shared" si="114"/>
        <v>e</v>
      </c>
      <c r="G203" s="113" t="str">
        <f t="shared" si="114"/>
        <v>f</v>
      </c>
      <c r="H203" s="113" t="str">
        <f t="shared" si="114"/>
        <v>g</v>
      </c>
      <c r="I203" s="113" t="str">
        <f t="shared" si="114"/>
        <v>h</v>
      </c>
      <c r="J203" s="113" t="str">
        <f t="shared" si="114"/>
        <v>i</v>
      </c>
      <c r="K203" s="113" t="str">
        <f t="shared" si="114"/>
        <v>j</v>
      </c>
      <c r="L203" s="113" t="str">
        <f t="shared" si="114"/>
        <v>k</v>
      </c>
      <c r="M203" s="113" t="str">
        <f t="shared" si="114"/>
        <v>l</v>
      </c>
      <c r="N203" s="113" t="str">
        <f t="shared" si="114"/>
        <v>m</v>
      </c>
      <c r="O203" s="113">
        <f t="shared" si="114"/>
        <v>0</v>
      </c>
      <c r="P203" s="113">
        <f t="shared" si="114"/>
        <v>0</v>
      </c>
      <c r="Q203" s="113" t="str">
        <f t="shared" si="114"/>
        <v>p</v>
      </c>
      <c r="R203" s="113">
        <f t="shared" si="114"/>
        <v>0</v>
      </c>
      <c r="S203" s="113">
        <f t="shared" si="114"/>
        <v>0</v>
      </c>
      <c r="T203" s="113">
        <f t="shared" si="114"/>
        <v>0</v>
      </c>
      <c r="U203" s="113">
        <f t="shared" si="114"/>
        <v>0</v>
      </c>
      <c r="V203" s="113">
        <f t="shared" si="114"/>
        <v>0</v>
      </c>
      <c r="W203" s="113">
        <f t="shared" si="114"/>
        <v>0</v>
      </c>
      <c r="X203" s="113">
        <f t="shared" si="114"/>
        <v>0</v>
      </c>
      <c r="AA203" s="113">
        <v>21</v>
      </c>
      <c r="AB203" s="112">
        <f t="shared" ca="1" si="115"/>
        <v>42736</v>
      </c>
      <c r="AC203" s="112">
        <f t="shared" ca="1" si="115"/>
        <v>43159</v>
      </c>
      <c r="AF203" s="114">
        <f t="shared" ca="1" si="112"/>
        <v>23285.73</v>
      </c>
      <c r="AG203" s="114">
        <f t="shared" ca="1" si="112"/>
        <v>0</v>
      </c>
      <c r="AH203" s="114">
        <f t="shared" ca="1" si="112"/>
        <v>0</v>
      </c>
      <c r="AI203" s="114">
        <f t="shared" ca="1" si="112"/>
        <v>6459.63</v>
      </c>
      <c r="AJ203" s="114">
        <f t="shared" ca="1" si="112"/>
        <v>157.30000000000001</v>
      </c>
      <c r="AK203" s="114">
        <f t="shared" ca="1" si="112"/>
        <v>2491.89</v>
      </c>
      <c r="AN203">
        <f t="shared" si="91"/>
        <v>203</v>
      </c>
      <c r="AQ203" s="114">
        <f t="shared" ca="1" si="92"/>
        <v>2424</v>
      </c>
      <c r="AW203">
        <v>203</v>
      </c>
      <c r="BG203" s="114">
        <f t="shared" ca="1" si="89"/>
        <v>32326.66</v>
      </c>
      <c r="BI203">
        <f t="shared" si="90"/>
        <v>0</v>
      </c>
    </row>
    <row r="204" spans="1:61" x14ac:dyDescent="0.25">
      <c r="A204" s="113">
        <f>A203+2</f>
        <v>908</v>
      </c>
      <c r="B204" s="113" t="str">
        <f>B203</f>
        <v>a</v>
      </c>
      <c r="C204" s="113" t="str">
        <f t="shared" si="114"/>
        <v>b</v>
      </c>
      <c r="D204" s="113" t="str">
        <f t="shared" si="114"/>
        <v>c</v>
      </c>
      <c r="E204" s="113" t="str">
        <f t="shared" si="114"/>
        <v>d</v>
      </c>
      <c r="F204" s="113" t="str">
        <f t="shared" si="114"/>
        <v>e</v>
      </c>
      <c r="G204" s="113" t="str">
        <f t="shared" si="114"/>
        <v>f</v>
      </c>
      <c r="H204" s="113" t="str">
        <f t="shared" si="114"/>
        <v>g</v>
      </c>
      <c r="I204" s="113" t="str">
        <f t="shared" si="114"/>
        <v>h</v>
      </c>
      <c r="J204" s="113" t="str">
        <f t="shared" si="114"/>
        <v>i</v>
      </c>
      <c r="K204" s="113" t="str">
        <f t="shared" si="114"/>
        <v>j</v>
      </c>
      <c r="L204" s="113" t="str">
        <f t="shared" si="114"/>
        <v>k</v>
      </c>
      <c r="M204" s="113" t="str">
        <f t="shared" si="114"/>
        <v>l</v>
      </c>
      <c r="N204" s="113" t="str">
        <f t="shared" si="114"/>
        <v>m</v>
      </c>
      <c r="O204" s="113">
        <f t="shared" si="114"/>
        <v>0</v>
      </c>
      <c r="P204" s="113">
        <f t="shared" si="114"/>
        <v>0</v>
      </c>
      <c r="Q204" s="113" t="str">
        <f t="shared" si="114"/>
        <v>p</v>
      </c>
      <c r="R204" s="113">
        <f t="shared" si="114"/>
        <v>0</v>
      </c>
      <c r="S204" s="113">
        <f t="shared" si="114"/>
        <v>0</v>
      </c>
      <c r="T204" s="113">
        <f t="shared" si="114"/>
        <v>0</v>
      </c>
      <c r="U204" s="113">
        <f t="shared" si="114"/>
        <v>0</v>
      </c>
      <c r="V204" s="113">
        <f t="shared" si="114"/>
        <v>0</v>
      </c>
      <c r="W204" s="113">
        <f t="shared" si="114"/>
        <v>0</v>
      </c>
      <c r="X204" s="113">
        <f t="shared" si="114"/>
        <v>0</v>
      </c>
      <c r="AA204" s="113">
        <v>28</v>
      </c>
      <c r="AB204" s="112">
        <f t="shared" ca="1" si="115"/>
        <v>42736</v>
      </c>
      <c r="AC204" s="112">
        <f t="shared" ca="1" si="115"/>
        <v>43159</v>
      </c>
      <c r="AF204" s="114">
        <f t="shared" ca="1" si="112"/>
        <v>25265.69</v>
      </c>
      <c r="AG204" s="114">
        <f t="shared" ca="1" si="112"/>
        <v>0</v>
      </c>
      <c r="AH204" s="114">
        <f t="shared" ca="1" si="112"/>
        <v>0</v>
      </c>
      <c r="AI204" s="114">
        <f t="shared" ca="1" si="112"/>
        <v>6459.63</v>
      </c>
      <c r="AJ204" s="114">
        <f t="shared" ca="1" si="112"/>
        <v>157.30000000000001</v>
      </c>
      <c r="AK204" s="114">
        <f t="shared" ca="1" si="112"/>
        <v>2656.89</v>
      </c>
      <c r="AN204">
        <f t="shared" si="91"/>
        <v>204</v>
      </c>
      <c r="AQ204" s="114">
        <f t="shared" ca="1" si="92"/>
        <v>3090</v>
      </c>
      <c r="AW204">
        <v>204</v>
      </c>
      <c r="BG204" s="114">
        <f t="shared" ca="1" si="89"/>
        <v>34972.619999999995</v>
      </c>
      <c r="BI204">
        <f t="shared" si="90"/>
        <v>0</v>
      </c>
    </row>
    <row r="205" spans="1:61" x14ac:dyDescent="0.25">
      <c r="A205" s="113">
        <f>A204+2</f>
        <v>910</v>
      </c>
      <c r="B205" s="113" t="str">
        <f>B204</f>
        <v>a</v>
      </c>
      <c r="C205" s="113" t="str">
        <f t="shared" si="114"/>
        <v>b</v>
      </c>
      <c r="D205" s="113" t="str">
        <f t="shared" si="114"/>
        <v>c</v>
      </c>
      <c r="E205" s="113" t="str">
        <f t="shared" si="114"/>
        <v>d</v>
      </c>
      <c r="F205" s="113" t="str">
        <f t="shared" si="114"/>
        <v>e</v>
      </c>
      <c r="G205" s="113" t="str">
        <f t="shared" si="114"/>
        <v>f</v>
      </c>
      <c r="H205" s="113" t="str">
        <f t="shared" si="114"/>
        <v>g</v>
      </c>
      <c r="I205" s="113" t="str">
        <f t="shared" si="114"/>
        <v>h</v>
      </c>
      <c r="J205" s="113" t="str">
        <f t="shared" si="114"/>
        <v>i</v>
      </c>
      <c r="K205" s="113" t="str">
        <f t="shared" si="114"/>
        <v>j</v>
      </c>
      <c r="L205" s="113" t="str">
        <f t="shared" si="114"/>
        <v>k</v>
      </c>
      <c r="M205" s="113" t="str">
        <f t="shared" si="114"/>
        <v>l</v>
      </c>
      <c r="N205" s="113" t="str">
        <f t="shared" si="114"/>
        <v>m</v>
      </c>
      <c r="O205" s="113">
        <f t="shared" si="114"/>
        <v>0</v>
      </c>
      <c r="P205" s="113">
        <f t="shared" si="114"/>
        <v>0</v>
      </c>
      <c r="Q205" s="113" t="str">
        <f t="shared" si="114"/>
        <v>p</v>
      </c>
      <c r="R205" s="113">
        <f t="shared" si="114"/>
        <v>0</v>
      </c>
      <c r="S205" s="113">
        <f t="shared" si="114"/>
        <v>0</v>
      </c>
      <c r="T205" s="113">
        <f t="shared" si="114"/>
        <v>0</v>
      </c>
      <c r="U205" s="113">
        <f t="shared" si="114"/>
        <v>0</v>
      </c>
      <c r="V205" s="113">
        <f t="shared" si="114"/>
        <v>0</v>
      </c>
      <c r="W205" s="113">
        <f t="shared" si="114"/>
        <v>0</v>
      </c>
      <c r="X205" s="113">
        <f t="shared" si="114"/>
        <v>0</v>
      </c>
      <c r="AA205" s="113">
        <v>35</v>
      </c>
      <c r="AB205" s="112">
        <f t="shared" ca="1" si="115"/>
        <v>42736</v>
      </c>
      <c r="AC205" s="112">
        <f t="shared" ca="1" si="115"/>
        <v>43159</v>
      </c>
      <c r="AF205" s="114">
        <f t="shared" ca="1" si="112"/>
        <v>26844.97</v>
      </c>
      <c r="AG205" s="114">
        <f t="shared" ca="1" si="112"/>
        <v>0</v>
      </c>
      <c r="AH205" s="114">
        <f t="shared" ca="1" si="112"/>
        <v>0</v>
      </c>
      <c r="AI205" s="114">
        <f t="shared" ca="1" si="112"/>
        <v>6459.63</v>
      </c>
      <c r="AJ205" s="114">
        <f t="shared" ca="1" si="112"/>
        <v>157.30000000000001</v>
      </c>
      <c r="AK205" s="114">
        <f t="shared" ca="1" si="112"/>
        <v>2788.49</v>
      </c>
      <c r="AN205">
        <f t="shared" si="91"/>
        <v>205</v>
      </c>
      <c r="AQ205" s="114">
        <f t="shared" ca="1" si="92"/>
        <v>3090</v>
      </c>
      <c r="AW205">
        <v>205</v>
      </c>
      <c r="BG205" s="114">
        <f t="shared" ca="1" si="89"/>
        <v>36551.9</v>
      </c>
      <c r="BI205">
        <f t="shared" si="90"/>
        <v>0</v>
      </c>
    </row>
    <row r="206" spans="1:61" x14ac:dyDescent="0.25">
      <c r="A206" s="113">
        <f>A199+20</f>
        <v>920</v>
      </c>
      <c r="B206" s="113" t="str">
        <f>B199</f>
        <v>a</v>
      </c>
      <c r="C206" s="113" t="str">
        <f t="shared" ref="C206:X206" si="116">C199</f>
        <v>b</v>
      </c>
      <c r="D206" s="113" t="str">
        <f t="shared" si="116"/>
        <v>c</v>
      </c>
      <c r="E206" s="113" t="str">
        <f t="shared" si="116"/>
        <v>d</v>
      </c>
      <c r="F206" s="113" t="str">
        <f t="shared" si="116"/>
        <v>e</v>
      </c>
      <c r="G206" s="113" t="str">
        <f t="shared" si="116"/>
        <v>f</v>
      </c>
      <c r="H206" s="113" t="str">
        <f t="shared" si="116"/>
        <v>g</v>
      </c>
      <c r="I206" s="113" t="str">
        <f t="shared" si="116"/>
        <v>h</v>
      </c>
      <c r="J206" s="113" t="str">
        <f t="shared" si="116"/>
        <v>i</v>
      </c>
      <c r="K206" s="113" t="str">
        <f t="shared" si="116"/>
        <v>j</v>
      </c>
      <c r="L206" s="113" t="str">
        <f t="shared" si="116"/>
        <v>k</v>
      </c>
      <c r="M206" s="113" t="str">
        <f t="shared" si="116"/>
        <v>l</v>
      </c>
      <c r="N206" s="113" t="str">
        <f t="shared" si="116"/>
        <v>m</v>
      </c>
      <c r="O206" s="113">
        <f t="shared" si="116"/>
        <v>0</v>
      </c>
      <c r="P206" s="113">
        <f t="shared" si="116"/>
        <v>0</v>
      </c>
      <c r="Q206" s="113" t="str">
        <f t="shared" si="116"/>
        <v>p</v>
      </c>
      <c r="R206" s="113">
        <f t="shared" si="116"/>
        <v>0</v>
      </c>
      <c r="S206" s="113">
        <f t="shared" si="116"/>
        <v>0</v>
      </c>
      <c r="T206" s="113">
        <f t="shared" si="116"/>
        <v>0</v>
      </c>
      <c r="U206" s="113">
        <f t="shared" si="116"/>
        <v>0</v>
      </c>
      <c r="V206" s="113">
        <f t="shared" si="116"/>
        <v>0</v>
      </c>
      <c r="W206" s="113">
        <f t="shared" si="116"/>
        <v>0</v>
      </c>
      <c r="X206" s="113">
        <f t="shared" si="116"/>
        <v>0</v>
      </c>
      <c r="AA206" s="113">
        <v>0</v>
      </c>
      <c r="AB206" s="112">
        <f ca="1">INDIRECT(CONCATENATE($AB$10,CONCATENATE(B206,$A206)))</f>
        <v>43160</v>
      </c>
      <c r="AC206" s="112">
        <f ca="1">INDIRECT(CONCATENATE($AB$10,CONCATENATE(C206,$A206)))</f>
        <v>43190</v>
      </c>
      <c r="AF206" s="114">
        <f t="shared" ca="1" si="112"/>
        <v>15233.64</v>
      </c>
      <c r="AG206" s="114">
        <f ca="1">INDIRECT(CONCATENATE($AB$10,CONCATENATE(G206,$A206)))</f>
        <v>0</v>
      </c>
      <c r="AH206" s="114">
        <f ca="1">INDIRECT(CONCATENATE($AB$10,CONCATENATE(H206,$A206)))</f>
        <v>0</v>
      </c>
      <c r="AI206" s="114">
        <f ca="1">INDIRECT(CONCATENATE($AB$10,CONCATENATE(I206,$A206)))</f>
        <v>6459.63</v>
      </c>
      <c r="AJ206" s="114">
        <f ca="1">INDIRECT(CONCATENATE($AB$10,CONCATENATE(J206,$A206)))</f>
        <v>157.30000000000001</v>
      </c>
      <c r="AK206" s="114">
        <f ca="1">INDIRECT(CONCATENATE($AB$10,CONCATENATE(K206,$A206)))</f>
        <v>1820.88</v>
      </c>
      <c r="AN206">
        <f t="shared" si="91"/>
        <v>206</v>
      </c>
      <c r="AQ206" s="114">
        <f t="shared" ca="1" si="92"/>
        <v>2094</v>
      </c>
      <c r="AW206">
        <v>206</v>
      </c>
      <c r="BG206" s="114">
        <f t="shared" ca="1" si="89"/>
        <v>23944.57</v>
      </c>
      <c r="BI206">
        <f t="shared" si="90"/>
        <v>0</v>
      </c>
    </row>
    <row r="207" spans="1:61" x14ac:dyDescent="0.25">
      <c r="A207" s="113">
        <f>A206</f>
        <v>920</v>
      </c>
      <c r="B207" s="113" t="str">
        <f>B206</f>
        <v>a</v>
      </c>
      <c r="C207" s="113" t="str">
        <f t="shared" ref="C207:X212" si="117">C206</f>
        <v>b</v>
      </c>
      <c r="D207" s="113" t="str">
        <f t="shared" si="117"/>
        <v>c</v>
      </c>
      <c r="E207" s="113" t="str">
        <f t="shared" si="117"/>
        <v>d</v>
      </c>
      <c r="F207" s="113" t="str">
        <f t="shared" si="117"/>
        <v>e</v>
      </c>
      <c r="G207" s="113" t="str">
        <f t="shared" si="117"/>
        <v>f</v>
      </c>
      <c r="H207" s="113" t="str">
        <f t="shared" si="117"/>
        <v>g</v>
      </c>
      <c r="I207" s="113" t="str">
        <f t="shared" si="117"/>
        <v>h</v>
      </c>
      <c r="J207" s="113" t="str">
        <f t="shared" si="117"/>
        <v>i</v>
      </c>
      <c r="K207" s="113" t="str">
        <f t="shared" si="117"/>
        <v>j</v>
      </c>
      <c r="L207" s="113" t="str">
        <f t="shared" si="117"/>
        <v>k</v>
      </c>
      <c r="M207" s="113" t="str">
        <f t="shared" si="117"/>
        <v>l</v>
      </c>
      <c r="N207" s="113" t="str">
        <f t="shared" si="117"/>
        <v>m</v>
      </c>
      <c r="O207" s="113">
        <f t="shared" si="117"/>
        <v>0</v>
      </c>
      <c r="P207" s="113">
        <f t="shared" si="117"/>
        <v>0</v>
      </c>
      <c r="Q207" s="113" t="str">
        <f t="shared" si="117"/>
        <v>p</v>
      </c>
      <c r="R207" s="113">
        <f t="shared" si="117"/>
        <v>0</v>
      </c>
      <c r="S207" s="113">
        <f t="shared" si="117"/>
        <v>0</v>
      </c>
      <c r="T207" s="113">
        <f t="shared" si="117"/>
        <v>0</v>
      </c>
      <c r="U207" s="113">
        <f t="shared" si="117"/>
        <v>0</v>
      </c>
      <c r="V207" s="113">
        <f t="shared" si="117"/>
        <v>0</v>
      </c>
      <c r="W207" s="113">
        <f t="shared" si="117"/>
        <v>0</v>
      </c>
      <c r="X207" s="113">
        <f t="shared" si="117"/>
        <v>0</v>
      </c>
      <c r="AA207" s="113">
        <v>3</v>
      </c>
      <c r="AB207" s="112">
        <f t="shared" ref="AB207:AC212" ca="1" si="118">AB206</f>
        <v>43160</v>
      </c>
      <c r="AC207" s="112">
        <f t="shared" ca="1" si="118"/>
        <v>43190</v>
      </c>
      <c r="AE207" s="114">
        <f ca="1">AE200</f>
        <v>1188.0999999999999</v>
      </c>
      <c r="AF207" s="114">
        <f t="shared" ca="1" si="112"/>
        <v>15233.64</v>
      </c>
      <c r="AG207" s="114">
        <f t="shared" ca="1" si="112"/>
        <v>0</v>
      </c>
      <c r="AH207" s="114">
        <f t="shared" ca="1" si="112"/>
        <v>0</v>
      </c>
      <c r="AI207" s="114">
        <f t="shared" ca="1" si="112"/>
        <v>6459.63</v>
      </c>
      <c r="AJ207" s="114">
        <f t="shared" ca="1" si="112"/>
        <v>157.30000000000001</v>
      </c>
      <c r="AK207" s="114">
        <f t="shared" ca="1" si="112"/>
        <v>1820.88</v>
      </c>
      <c r="AN207">
        <f t="shared" si="91"/>
        <v>207</v>
      </c>
      <c r="AQ207" s="114">
        <f t="shared" ca="1" si="92"/>
        <v>2094</v>
      </c>
      <c r="AW207">
        <v>207</v>
      </c>
      <c r="BG207" s="114">
        <f t="shared" ca="1" si="89"/>
        <v>23944.57</v>
      </c>
      <c r="BI207">
        <f t="shared" ca="1" si="90"/>
        <v>1188.0999999999999</v>
      </c>
    </row>
    <row r="208" spans="1:61" x14ac:dyDescent="0.25">
      <c r="A208" s="113">
        <f>A207+2</f>
        <v>922</v>
      </c>
      <c r="B208" s="113" t="str">
        <f>B207</f>
        <v>a</v>
      </c>
      <c r="C208" s="113" t="str">
        <f t="shared" si="117"/>
        <v>b</v>
      </c>
      <c r="D208" s="113" t="str">
        <f t="shared" si="117"/>
        <v>c</v>
      </c>
      <c r="E208" s="113" t="str">
        <f t="shared" si="117"/>
        <v>d</v>
      </c>
      <c r="F208" s="113" t="str">
        <f t="shared" si="117"/>
        <v>e</v>
      </c>
      <c r="G208" s="113" t="str">
        <f t="shared" si="117"/>
        <v>f</v>
      </c>
      <c r="H208" s="113" t="str">
        <f t="shared" si="117"/>
        <v>g</v>
      </c>
      <c r="I208" s="113" t="str">
        <f t="shared" si="117"/>
        <v>h</v>
      </c>
      <c r="J208" s="113" t="str">
        <f t="shared" si="117"/>
        <v>i</v>
      </c>
      <c r="K208" s="113" t="str">
        <f t="shared" si="117"/>
        <v>j</v>
      </c>
      <c r="L208" s="113" t="str">
        <f t="shared" si="117"/>
        <v>k</v>
      </c>
      <c r="M208" s="113" t="str">
        <f t="shared" si="117"/>
        <v>l</v>
      </c>
      <c r="N208" s="113" t="str">
        <f t="shared" si="117"/>
        <v>m</v>
      </c>
      <c r="O208" s="113">
        <f t="shared" si="117"/>
        <v>0</v>
      </c>
      <c r="P208" s="113">
        <f t="shared" si="117"/>
        <v>0</v>
      </c>
      <c r="Q208" s="113" t="str">
        <f t="shared" si="117"/>
        <v>p</v>
      </c>
      <c r="R208" s="113">
        <f t="shared" si="117"/>
        <v>0</v>
      </c>
      <c r="S208" s="113">
        <f t="shared" si="117"/>
        <v>0</v>
      </c>
      <c r="T208" s="113">
        <f t="shared" si="117"/>
        <v>0</v>
      </c>
      <c r="U208" s="113">
        <f t="shared" si="117"/>
        <v>0</v>
      </c>
      <c r="V208" s="113">
        <f t="shared" si="117"/>
        <v>0</v>
      </c>
      <c r="W208" s="113">
        <f t="shared" si="117"/>
        <v>0</v>
      </c>
      <c r="X208" s="113">
        <f t="shared" si="117"/>
        <v>0</v>
      </c>
      <c r="AA208" s="113">
        <v>9</v>
      </c>
      <c r="AB208" s="112">
        <f t="shared" ca="1" si="118"/>
        <v>43160</v>
      </c>
      <c r="AC208" s="112">
        <f t="shared" ca="1" si="118"/>
        <v>43190</v>
      </c>
      <c r="AF208" s="114">
        <f t="shared" ca="1" si="112"/>
        <v>18430.849999999999</v>
      </c>
      <c r="AG208" s="114">
        <f t="shared" ca="1" si="112"/>
        <v>0</v>
      </c>
      <c r="AH208" s="114">
        <f t="shared" ca="1" si="112"/>
        <v>0</v>
      </c>
      <c r="AI208" s="114">
        <f t="shared" ca="1" si="112"/>
        <v>6459.63</v>
      </c>
      <c r="AJ208" s="114">
        <f t="shared" ca="1" si="112"/>
        <v>157.30000000000001</v>
      </c>
      <c r="AK208" s="114">
        <f t="shared" ca="1" si="112"/>
        <v>2087.3200000000002</v>
      </c>
      <c r="AN208">
        <f t="shared" si="91"/>
        <v>208</v>
      </c>
      <c r="AQ208" s="114">
        <f t="shared" ca="1" si="92"/>
        <v>2094</v>
      </c>
      <c r="AW208">
        <v>208</v>
      </c>
      <c r="BG208" s="114">
        <f t="shared" ca="1" si="89"/>
        <v>27141.78</v>
      </c>
      <c r="BI208">
        <f t="shared" si="90"/>
        <v>0</v>
      </c>
    </row>
    <row r="209" spans="1:61" x14ac:dyDescent="0.25">
      <c r="A209" s="113">
        <f>A208+2</f>
        <v>924</v>
      </c>
      <c r="B209" s="113" t="str">
        <f>B208</f>
        <v>a</v>
      </c>
      <c r="C209" s="113" t="str">
        <f t="shared" si="117"/>
        <v>b</v>
      </c>
      <c r="D209" s="113" t="str">
        <f t="shared" si="117"/>
        <v>c</v>
      </c>
      <c r="E209" s="113" t="str">
        <f t="shared" si="117"/>
        <v>d</v>
      </c>
      <c r="F209" s="113" t="str">
        <f t="shared" si="117"/>
        <v>e</v>
      </c>
      <c r="G209" s="113" t="str">
        <f t="shared" si="117"/>
        <v>f</v>
      </c>
      <c r="H209" s="113" t="str">
        <f t="shared" si="117"/>
        <v>g</v>
      </c>
      <c r="I209" s="113" t="str">
        <f t="shared" si="117"/>
        <v>h</v>
      </c>
      <c r="J209" s="113" t="str">
        <f t="shared" si="117"/>
        <v>i</v>
      </c>
      <c r="K209" s="113" t="str">
        <f t="shared" si="117"/>
        <v>j</v>
      </c>
      <c r="L209" s="113" t="str">
        <f t="shared" si="117"/>
        <v>k</v>
      </c>
      <c r="M209" s="113" t="str">
        <f t="shared" si="117"/>
        <v>l</v>
      </c>
      <c r="N209" s="113" t="str">
        <f t="shared" si="117"/>
        <v>m</v>
      </c>
      <c r="O209" s="113">
        <f t="shared" si="117"/>
        <v>0</v>
      </c>
      <c r="P209" s="113">
        <f t="shared" si="117"/>
        <v>0</v>
      </c>
      <c r="Q209" s="113" t="str">
        <f t="shared" si="117"/>
        <v>p</v>
      </c>
      <c r="R209" s="113">
        <f t="shared" si="117"/>
        <v>0</v>
      </c>
      <c r="S209" s="113">
        <f t="shared" si="117"/>
        <v>0</v>
      </c>
      <c r="T209" s="113">
        <f t="shared" si="117"/>
        <v>0</v>
      </c>
      <c r="U209" s="113">
        <f t="shared" si="117"/>
        <v>0</v>
      </c>
      <c r="V209" s="113">
        <f t="shared" si="117"/>
        <v>0</v>
      </c>
      <c r="W209" s="113">
        <f t="shared" si="117"/>
        <v>0</v>
      </c>
      <c r="X209" s="113">
        <f t="shared" si="117"/>
        <v>0</v>
      </c>
      <c r="AA209" s="113">
        <v>15</v>
      </c>
      <c r="AB209" s="112">
        <f t="shared" ca="1" si="118"/>
        <v>43160</v>
      </c>
      <c r="AC209" s="112">
        <f t="shared" ca="1" si="118"/>
        <v>43190</v>
      </c>
      <c r="AF209" s="114">
        <f t="shared" ca="1" si="112"/>
        <v>20860.060000000001</v>
      </c>
      <c r="AG209" s="114">
        <f t="shared" ca="1" si="112"/>
        <v>0</v>
      </c>
      <c r="AH209" s="114">
        <f t="shared" ca="1" si="112"/>
        <v>0</v>
      </c>
      <c r="AI209" s="114">
        <f t="shared" ca="1" si="112"/>
        <v>6459.63</v>
      </c>
      <c r="AJ209" s="114">
        <f t="shared" ca="1" si="112"/>
        <v>157.30000000000001</v>
      </c>
      <c r="AK209" s="114">
        <f t="shared" ca="1" si="112"/>
        <v>2289.75</v>
      </c>
      <c r="AN209">
        <f t="shared" si="91"/>
        <v>209</v>
      </c>
      <c r="AQ209" s="114">
        <f t="shared" ca="1" si="92"/>
        <v>2577.6</v>
      </c>
      <c r="AW209">
        <v>209</v>
      </c>
      <c r="BG209" s="114">
        <f t="shared" ca="1" si="89"/>
        <v>30054.59</v>
      </c>
      <c r="BI209">
        <f t="shared" si="90"/>
        <v>0</v>
      </c>
    </row>
    <row r="210" spans="1:61" x14ac:dyDescent="0.25">
      <c r="A210" s="113">
        <f>A209+2</f>
        <v>926</v>
      </c>
      <c r="B210" s="113" t="str">
        <f>B209</f>
        <v>a</v>
      </c>
      <c r="C210" s="113" t="str">
        <f t="shared" si="117"/>
        <v>b</v>
      </c>
      <c r="D210" s="113" t="str">
        <f t="shared" si="117"/>
        <v>c</v>
      </c>
      <c r="E210" s="113" t="str">
        <f t="shared" si="117"/>
        <v>d</v>
      </c>
      <c r="F210" s="113" t="str">
        <f t="shared" si="117"/>
        <v>e</v>
      </c>
      <c r="G210" s="113" t="str">
        <f t="shared" si="117"/>
        <v>f</v>
      </c>
      <c r="H210" s="113" t="str">
        <f t="shared" si="117"/>
        <v>g</v>
      </c>
      <c r="I210" s="113" t="str">
        <f t="shared" si="117"/>
        <v>h</v>
      </c>
      <c r="J210" s="113" t="str">
        <f t="shared" si="117"/>
        <v>i</v>
      </c>
      <c r="K210" s="113" t="str">
        <f t="shared" si="117"/>
        <v>j</v>
      </c>
      <c r="L210" s="113" t="str">
        <f t="shared" si="117"/>
        <v>k</v>
      </c>
      <c r="M210" s="113" t="str">
        <f t="shared" si="117"/>
        <v>l</v>
      </c>
      <c r="N210" s="113" t="str">
        <f t="shared" si="117"/>
        <v>m</v>
      </c>
      <c r="O210" s="113">
        <f t="shared" si="117"/>
        <v>0</v>
      </c>
      <c r="P210" s="113">
        <f t="shared" si="117"/>
        <v>0</v>
      </c>
      <c r="Q210" s="113" t="str">
        <f t="shared" si="117"/>
        <v>p</v>
      </c>
      <c r="R210" s="113">
        <f t="shared" si="117"/>
        <v>0</v>
      </c>
      <c r="S210" s="113">
        <f t="shared" si="117"/>
        <v>0</v>
      </c>
      <c r="T210" s="113">
        <f t="shared" si="117"/>
        <v>0</v>
      </c>
      <c r="U210" s="113">
        <f t="shared" si="117"/>
        <v>0</v>
      </c>
      <c r="V210" s="113">
        <f t="shared" si="117"/>
        <v>0</v>
      </c>
      <c r="W210" s="113">
        <f t="shared" si="117"/>
        <v>0</v>
      </c>
      <c r="X210" s="113">
        <f t="shared" si="117"/>
        <v>0</v>
      </c>
      <c r="AA210" s="113">
        <v>21</v>
      </c>
      <c r="AB210" s="112">
        <f t="shared" ca="1" si="118"/>
        <v>43160</v>
      </c>
      <c r="AC210" s="112">
        <f t="shared" ca="1" si="118"/>
        <v>43190</v>
      </c>
      <c r="AF210" s="114">
        <f t="shared" ca="1" si="112"/>
        <v>23955.33</v>
      </c>
      <c r="AG210" s="114">
        <f t="shared" ca="1" si="112"/>
        <v>0</v>
      </c>
      <c r="AH210" s="114">
        <f t="shared" ca="1" si="112"/>
        <v>0</v>
      </c>
      <c r="AI210" s="114">
        <f t="shared" ca="1" si="112"/>
        <v>6459.63</v>
      </c>
      <c r="AJ210" s="114">
        <f t="shared" ca="1" si="112"/>
        <v>157.30000000000001</v>
      </c>
      <c r="AK210" s="114">
        <f t="shared" ca="1" si="112"/>
        <v>2547.69</v>
      </c>
      <c r="AN210">
        <f t="shared" si="91"/>
        <v>210</v>
      </c>
      <c r="AQ210" s="114">
        <f t="shared" ca="1" si="92"/>
        <v>2577.6</v>
      </c>
      <c r="AW210">
        <v>210</v>
      </c>
      <c r="BG210" s="114">
        <f t="shared" ca="1" si="89"/>
        <v>33149.86</v>
      </c>
      <c r="BI210">
        <f t="shared" si="90"/>
        <v>0</v>
      </c>
    </row>
    <row r="211" spans="1:61" x14ac:dyDescent="0.25">
      <c r="A211" s="113">
        <f>A210+2</f>
        <v>928</v>
      </c>
      <c r="B211" s="113" t="str">
        <f>B210</f>
        <v>a</v>
      </c>
      <c r="C211" s="113" t="str">
        <f t="shared" si="117"/>
        <v>b</v>
      </c>
      <c r="D211" s="113" t="str">
        <f t="shared" si="117"/>
        <v>c</v>
      </c>
      <c r="E211" s="113" t="str">
        <f t="shared" si="117"/>
        <v>d</v>
      </c>
      <c r="F211" s="113" t="str">
        <f t="shared" si="117"/>
        <v>e</v>
      </c>
      <c r="G211" s="113" t="str">
        <f t="shared" si="117"/>
        <v>f</v>
      </c>
      <c r="H211" s="113" t="str">
        <f t="shared" si="117"/>
        <v>g</v>
      </c>
      <c r="I211" s="113" t="str">
        <f t="shared" si="117"/>
        <v>h</v>
      </c>
      <c r="J211" s="113" t="str">
        <f t="shared" si="117"/>
        <v>i</v>
      </c>
      <c r="K211" s="113" t="str">
        <f t="shared" si="117"/>
        <v>j</v>
      </c>
      <c r="L211" s="113" t="str">
        <f t="shared" si="117"/>
        <v>k</v>
      </c>
      <c r="M211" s="113" t="str">
        <f t="shared" si="117"/>
        <v>l</v>
      </c>
      <c r="N211" s="113" t="str">
        <f t="shared" si="117"/>
        <v>m</v>
      </c>
      <c r="O211" s="113">
        <f t="shared" si="117"/>
        <v>0</v>
      </c>
      <c r="P211" s="113">
        <f t="shared" si="117"/>
        <v>0</v>
      </c>
      <c r="Q211" s="113" t="str">
        <f t="shared" si="117"/>
        <v>p</v>
      </c>
      <c r="R211" s="113">
        <f t="shared" si="117"/>
        <v>0</v>
      </c>
      <c r="S211" s="113">
        <f t="shared" si="117"/>
        <v>0</v>
      </c>
      <c r="T211" s="113">
        <f t="shared" si="117"/>
        <v>0</v>
      </c>
      <c r="U211" s="113">
        <f t="shared" si="117"/>
        <v>0</v>
      </c>
      <c r="V211" s="113">
        <f t="shared" si="117"/>
        <v>0</v>
      </c>
      <c r="W211" s="113">
        <f t="shared" si="117"/>
        <v>0</v>
      </c>
      <c r="X211" s="113">
        <f t="shared" si="117"/>
        <v>0</v>
      </c>
      <c r="AA211" s="113">
        <v>28</v>
      </c>
      <c r="AB211" s="112">
        <f t="shared" ca="1" si="118"/>
        <v>43160</v>
      </c>
      <c r="AC211" s="112">
        <f t="shared" ca="1" si="118"/>
        <v>43190</v>
      </c>
      <c r="AF211" s="114">
        <f t="shared" ca="1" si="112"/>
        <v>25984.49</v>
      </c>
      <c r="AG211" s="114">
        <f t="shared" ca="1" si="112"/>
        <v>0</v>
      </c>
      <c r="AH211" s="114">
        <f t="shared" ca="1" si="112"/>
        <v>0</v>
      </c>
      <c r="AI211" s="114">
        <f t="shared" ca="1" si="112"/>
        <v>6459.63</v>
      </c>
      <c r="AJ211" s="114">
        <f t="shared" ca="1" si="112"/>
        <v>157.30000000000001</v>
      </c>
      <c r="AK211" s="114">
        <f t="shared" ca="1" si="112"/>
        <v>2716.79</v>
      </c>
      <c r="AN211">
        <f t="shared" si="91"/>
        <v>211</v>
      </c>
      <c r="AQ211" s="114">
        <f t="shared" ca="1" si="92"/>
        <v>3278.4</v>
      </c>
      <c r="AW211">
        <v>211</v>
      </c>
      <c r="BG211" s="114">
        <f t="shared" ca="1" si="89"/>
        <v>35879.82</v>
      </c>
      <c r="BI211">
        <f t="shared" si="90"/>
        <v>0</v>
      </c>
    </row>
    <row r="212" spans="1:61" x14ac:dyDescent="0.25">
      <c r="A212" s="113">
        <f>A211+2</f>
        <v>930</v>
      </c>
      <c r="B212" s="113" t="str">
        <f>B211</f>
        <v>a</v>
      </c>
      <c r="C212" s="113" t="str">
        <f t="shared" si="117"/>
        <v>b</v>
      </c>
      <c r="D212" s="113" t="str">
        <f t="shared" si="117"/>
        <v>c</v>
      </c>
      <c r="E212" s="113" t="str">
        <f t="shared" si="117"/>
        <v>d</v>
      </c>
      <c r="F212" s="113" t="str">
        <f t="shared" si="117"/>
        <v>e</v>
      </c>
      <c r="G212" s="113" t="str">
        <f t="shared" si="117"/>
        <v>f</v>
      </c>
      <c r="H212" s="113" t="str">
        <f t="shared" si="117"/>
        <v>g</v>
      </c>
      <c r="I212" s="113" t="str">
        <f t="shared" si="117"/>
        <v>h</v>
      </c>
      <c r="J212" s="113" t="str">
        <f t="shared" si="117"/>
        <v>i</v>
      </c>
      <c r="K212" s="113" t="str">
        <f t="shared" si="117"/>
        <v>j</v>
      </c>
      <c r="L212" s="113" t="str">
        <f t="shared" si="117"/>
        <v>k</v>
      </c>
      <c r="M212" s="113" t="str">
        <f t="shared" si="117"/>
        <v>l</v>
      </c>
      <c r="N212" s="113" t="str">
        <f t="shared" si="117"/>
        <v>m</v>
      </c>
      <c r="O212" s="113">
        <f t="shared" si="117"/>
        <v>0</v>
      </c>
      <c r="P212" s="113">
        <f t="shared" si="117"/>
        <v>0</v>
      </c>
      <c r="Q212" s="113" t="str">
        <f t="shared" si="117"/>
        <v>p</v>
      </c>
      <c r="R212" s="113">
        <f t="shared" si="117"/>
        <v>0</v>
      </c>
      <c r="S212" s="113">
        <f t="shared" si="117"/>
        <v>0</v>
      </c>
      <c r="T212" s="113">
        <f t="shared" si="117"/>
        <v>0</v>
      </c>
      <c r="U212" s="113">
        <f t="shared" si="117"/>
        <v>0</v>
      </c>
      <c r="V212" s="113">
        <f t="shared" si="117"/>
        <v>0</v>
      </c>
      <c r="W212" s="113">
        <f t="shared" si="117"/>
        <v>0</v>
      </c>
      <c r="X212" s="113">
        <f t="shared" si="117"/>
        <v>0</v>
      </c>
      <c r="AA212" s="113">
        <v>35</v>
      </c>
      <c r="AB212" s="112">
        <f t="shared" ca="1" si="118"/>
        <v>43160</v>
      </c>
      <c r="AC212" s="112">
        <f t="shared" ca="1" si="118"/>
        <v>43190</v>
      </c>
      <c r="AF212" s="114">
        <f t="shared" ca="1" si="112"/>
        <v>27592.57</v>
      </c>
      <c r="AG212" s="114">
        <f t="shared" ca="1" si="112"/>
        <v>0</v>
      </c>
      <c r="AH212" s="114">
        <f t="shared" ca="1" si="112"/>
        <v>0</v>
      </c>
      <c r="AI212" s="114">
        <f t="shared" ca="1" si="112"/>
        <v>6459.63</v>
      </c>
      <c r="AJ212" s="114">
        <f t="shared" ca="1" si="112"/>
        <v>157.30000000000001</v>
      </c>
      <c r="AK212" s="114">
        <f t="shared" ca="1" si="112"/>
        <v>2850.79</v>
      </c>
      <c r="AN212">
        <f t="shared" si="91"/>
        <v>212</v>
      </c>
      <c r="AQ212" s="114">
        <f t="shared" ca="1" si="92"/>
        <v>3278.4</v>
      </c>
      <c r="AW212">
        <v>212</v>
      </c>
      <c r="BG212" s="114">
        <f t="shared" ca="1" si="89"/>
        <v>37487.9</v>
      </c>
      <c r="BI212">
        <f t="shared" si="90"/>
        <v>0</v>
      </c>
    </row>
    <row r="213" spans="1:61" x14ac:dyDescent="0.25">
      <c r="A213" s="113">
        <f>A206+20</f>
        <v>940</v>
      </c>
      <c r="B213" s="113" t="str">
        <f>B206</f>
        <v>a</v>
      </c>
      <c r="C213" s="113" t="str">
        <f t="shared" ref="C213:X213" si="119">C206</f>
        <v>b</v>
      </c>
      <c r="D213" s="113" t="str">
        <f t="shared" si="119"/>
        <v>c</v>
      </c>
      <c r="E213" s="113" t="str">
        <f t="shared" si="119"/>
        <v>d</v>
      </c>
      <c r="F213" s="113" t="str">
        <f t="shared" si="119"/>
        <v>e</v>
      </c>
      <c r="G213" s="113" t="str">
        <f t="shared" si="119"/>
        <v>f</v>
      </c>
      <c r="H213" s="113" t="str">
        <f t="shared" si="119"/>
        <v>g</v>
      </c>
      <c r="I213" s="113" t="str">
        <f t="shared" si="119"/>
        <v>h</v>
      </c>
      <c r="J213" s="113" t="str">
        <f t="shared" si="119"/>
        <v>i</v>
      </c>
      <c r="K213" s="113" t="str">
        <f t="shared" si="119"/>
        <v>j</v>
      </c>
      <c r="L213" s="113" t="str">
        <f t="shared" si="119"/>
        <v>k</v>
      </c>
      <c r="M213" s="113" t="str">
        <f t="shared" si="119"/>
        <v>l</v>
      </c>
      <c r="N213" s="113" t="str">
        <f t="shared" si="119"/>
        <v>m</v>
      </c>
      <c r="O213" s="113">
        <f t="shared" si="119"/>
        <v>0</v>
      </c>
      <c r="P213" s="113">
        <f t="shared" si="119"/>
        <v>0</v>
      </c>
      <c r="Q213" s="113" t="str">
        <f t="shared" si="119"/>
        <v>p</v>
      </c>
      <c r="R213" s="113">
        <f t="shared" si="119"/>
        <v>0</v>
      </c>
      <c r="S213" s="113">
        <f t="shared" si="119"/>
        <v>0</v>
      </c>
      <c r="T213" s="113">
        <f t="shared" si="119"/>
        <v>0</v>
      </c>
      <c r="U213" s="113">
        <f t="shared" si="119"/>
        <v>0</v>
      </c>
      <c r="V213" s="113">
        <f t="shared" si="119"/>
        <v>0</v>
      </c>
      <c r="W213" s="113">
        <f t="shared" si="119"/>
        <v>0</v>
      </c>
      <c r="X213" s="113">
        <f t="shared" si="119"/>
        <v>0</v>
      </c>
      <c r="AA213" s="113">
        <v>0</v>
      </c>
      <c r="AB213" s="112">
        <f ca="1">INDIRECT(CONCATENATE($AB$10,CONCATENATE(B213,$A213)))</f>
        <v>43191</v>
      </c>
      <c r="AC213" s="112">
        <f ca="1">INDIRECT(CONCATENATE($AB$10,CONCATENATE(C213,$A213)))</f>
        <v>43465</v>
      </c>
      <c r="AF213" s="114">
        <f t="shared" ca="1" si="112"/>
        <v>15390.94</v>
      </c>
      <c r="AG213" s="114">
        <f ca="1">INDIRECT(CONCATENATE($AB$10,CONCATENATE(G213,$A213)))</f>
        <v>0</v>
      </c>
      <c r="AH213" s="114">
        <f ca="1">INDIRECT(CONCATENATE($AB$10,CONCATENATE(H213,$A213)))</f>
        <v>0</v>
      </c>
      <c r="AI213" s="114">
        <f ca="1">INDIRECT(CONCATENATE($AB$10,CONCATENATE(I213,$A213)))</f>
        <v>6459.63</v>
      </c>
      <c r="AJ213" s="114">
        <f ca="1">INDIRECT(CONCATENATE($AB$10,CONCATENATE(J213,$A213)))</f>
        <v>0</v>
      </c>
      <c r="AK213" s="114">
        <f ca="1">INDIRECT(CONCATENATE($AB$10,CONCATENATE(K213,$A213)))</f>
        <v>1820.88</v>
      </c>
      <c r="AN213">
        <f t="shared" si="91"/>
        <v>213</v>
      </c>
      <c r="AQ213" s="114">
        <f t="shared" ca="1" si="92"/>
        <v>2094</v>
      </c>
      <c r="AW213">
        <v>213</v>
      </c>
      <c r="BG213" s="114">
        <f t="shared" ca="1" si="89"/>
        <v>23944.57</v>
      </c>
      <c r="BI213">
        <f t="shared" si="90"/>
        <v>0</v>
      </c>
    </row>
    <row r="214" spans="1:61" x14ac:dyDescent="0.25">
      <c r="A214" s="113">
        <f>A213</f>
        <v>940</v>
      </c>
      <c r="B214" s="113" t="str">
        <f>B213</f>
        <v>a</v>
      </c>
      <c r="C214" s="113" t="str">
        <f t="shared" ref="C214:X219" si="120">C213</f>
        <v>b</v>
      </c>
      <c r="D214" s="113" t="str">
        <f t="shared" si="120"/>
        <v>c</v>
      </c>
      <c r="E214" s="113" t="str">
        <f t="shared" si="120"/>
        <v>d</v>
      </c>
      <c r="F214" s="113" t="str">
        <f t="shared" si="120"/>
        <v>e</v>
      </c>
      <c r="G214" s="113" t="str">
        <f t="shared" si="120"/>
        <v>f</v>
      </c>
      <c r="H214" s="113" t="str">
        <f t="shared" si="120"/>
        <v>g</v>
      </c>
      <c r="I214" s="113" t="str">
        <f t="shared" si="120"/>
        <v>h</v>
      </c>
      <c r="J214" s="113" t="str">
        <f t="shared" si="120"/>
        <v>i</v>
      </c>
      <c r="K214" s="113" t="str">
        <f t="shared" si="120"/>
        <v>j</v>
      </c>
      <c r="L214" s="113" t="str">
        <f t="shared" si="120"/>
        <v>k</v>
      </c>
      <c r="M214" s="113" t="str">
        <f t="shared" si="120"/>
        <v>l</v>
      </c>
      <c r="N214" s="113" t="str">
        <f t="shared" si="120"/>
        <v>m</v>
      </c>
      <c r="O214" s="113">
        <f t="shared" si="120"/>
        <v>0</v>
      </c>
      <c r="P214" s="113">
        <f t="shared" si="120"/>
        <v>0</v>
      </c>
      <c r="Q214" s="113" t="str">
        <f t="shared" si="120"/>
        <v>p</v>
      </c>
      <c r="R214" s="113">
        <f t="shared" si="120"/>
        <v>0</v>
      </c>
      <c r="S214" s="113">
        <f t="shared" si="120"/>
        <v>0</v>
      </c>
      <c r="T214" s="113">
        <f t="shared" si="120"/>
        <v>0</v>
      </c>
      <c r="U214" s="113">
        <f t="shared" si="120"/>
        <v>0</v>
      </c>
      <c r="V214" s="113">
        <f t="shared" si="120"/>
        <v>0</v>
      </c>
      <c r="W214" s="113">
        <f t="shared" si="120"/>
        <v>0</v>
      </c>
      <c r="X214" s="113">
        <f t="shared" si="120"/>
        <v>0</v>
      </c>
      <c r="AA214" s="113">
        <v>3</v>
      </c>
      <c r="AB214" s="112">
        <f t="shared" ref="AB214:AC219" ca="1" si="121">AB213</f>
        <v>43191</v>
      </c>
      <c r="AC214" s="112">
        <f t="shared" ca="1" si="121"/>
        <v>43465</v>
      </c>
      <c r="AE214" s="114">
        <f ca="1">AE207</f>
        <v>1188.0999999999999</v>
      </c>
      <c r="AF214" s="114">
        <f t="shared" ca="1" si="112"/>
        <v>15390.94</v>
      </c>
      <c r="AG214" s="114">
        <f t="shared" ca="1" si="112"/>
        <v>0</v>
      </c>
      <c r="AH214" s="114">
        <f t="shared" ca="1" si="112"/>
        <v>0</v>
      </c>
      <c r="AI214" s="114">
        <f t="shared" ca="1" si="112"/>
        <v>6459.63</v>
      </c>
      <c r="AJ214" s="114">
        <f t="shared" ca="1" si="112"/>
        <v>0</v>
      </c>
      <c r="AK214" s="114">
        <f t="shared" ca="1" si="112"/>
        <v>1820.88</v>
      </c>
      <c r="AN214">
        <f t="shared" si="91"/>
        <v>214</v>
      </c>
      <c r="AQ214" s="114">
        <f t="shared" ca="1" si="92"/>
        <v>2094</v>
      </c>
      <c r="AW214">
        <v>214</v>
      </c>
      <c r="BG214" s="114">
        <f t="shared" ca="1" si="89"/>
        <v>23944.57</v>
      </c>
      <c r="BI214">
        <f t="shared" ca="1" si="90"/>
        <v>1188.0999999999999</v>
      </c>
    </row>
    <row r="215" spans="1:61" x14ac:dyDescent="0.25">
      <c r="A215" s="113">
        <f>A214+2</f>
        <v>942</v>
      </c>
      <c r="B215" s="113" t="str">
        <f>B214</f>
        <v>a</v>
      </c>
      <c r="C215" s="113" t="str">
        <f t="shared" si="120"/>
        <v>b</v>
      </c>
      <c r="D215" s="113" t="str">
        <f t="shared" si="120"/>
        <v>c</v>
      </c>
      <c r="E215" s="113" t="str">
        <f t="shared" si="120"/>
        <v>d</v>
      </c>
      <c r="F215" s="113" t="str">
        <f t="shared" si="120"/>
        <v>e</v>
      </c>
      <c r="G215" s="113" t="str">
        <f t="shared" si="120"/>
        <v>f</v>
      </c>
      <c r="H215" s="113" t="str">
        <f t="shared" si="120"/>
        <v>g</v>
      </c>
      <c r="I215" s="113" t="str">
        <f t="shared" si="120"/>
        <v>h</v>
      </c>
      <c r="J215" s="113" t="str">
        <f t="shared" si="120"/>
        <v>i</v>
      </c>
      <c r="K215" s="113" t="str">
        <f t="shared" si="120"/>
        <v>j</v>
      </c>
      <c r="L215" s="113" t="str">
        <f t="shared" si="120"/>
        <v>k</v>
      </c>
      <c r="M215" s="113" t="str">
        <f t="shared" si="120"/>
        <v>l</v>
      </c>
      <c r="N215" s="113" t="str">
        <f t="shared" si="120"/>
        <v>m</v>
      </c>
      <c r="O215" s="113">
        <f t="shared" si="120"/>
        <v>0</v>
      </c>
      <c r="P215" s="113">
        <f t="shared" si="120"/>
        <v>0</v>
      </c>
      <c r="Q215" s="113" t="str">
        <f t="shared" si="120"/>
        <v>p</v>
      </c>
      <c r="R215" s="113">
        <f t="shared" si="120"/>
        <v>0</v>
      </c>
      <c r="S215" s="113">
        <f t="shared" si="120"/>
        <v>0</v>
      </c>
      <c r="T215" s="113">
        <f t="shared" si="120"/>
        <v>0</v>
      </c>
      <c r="U215" s="113">
        <f t="shared" si="120"/>
        <v>0</v>
      </c>
      <c r="V215" s="113">
        <f t="shared" si="120"/>
        <v>0</v>
      </c>
      <c r="W215" s="113">
        <f t="shared" si="120"/>
        <v>0</v>
      </c>
      <c r="X215" s="113">
        <f t="shared" si="120"/>
        <v>0</v>
      </c>
      <c r="AA215" s="113">
        <v>9</v>
      </c>
      <c r="AB215" s="112">
        <f t="shared" ca="1" si="121"/>
        <v>43191</v>
      </c>
      <c r="AC215" s="112">
        <f t="shared" ca="1" si="121"/>
        <v>43465</v>
      </c>
      <c r="AF215" s="114">
        <f t="shared" ca="1" si="112"/>
        <v>18588.150000000001</v>
      </c>
      <c r="AG215" s="114">
        <f t="shared" ca="1" si="112"/>
        <v>0</v>
      </c>
      <c r="AH215" s="114">
        <f t="shared" ca="1" si="112"/>
        <v>0</v>
      </c>
      <c r="AI215" s="114">
        <f t="shared" ca="1" si="112"/>
        <v>6459.63</v>
      </c>
      <c r="AJ215" s="114">
        <f t="shared" ca="1" si="112"/>
        <v>0</v>
      </c>
      <c r="AK215" s="114">
        <f t="shared" ca="1" si="112"/>
        <v>2087.3200000000002</v>
      </c>
      <c r="AN215">
        <f t="shared" si="91"/>
        <v>215</v>
      </c>
      <c r="AQ215" s="114">
        <f t="shared" ca="1" si="92"/>
        <v>2094</v>
      </c>
      <c r="AW215">
        <v>215</v>
      </c>
      <c r="BG215" s="114">
        <f t="shared" ca="1" si="89"/>
        <v>27141.780000000002</v>
      </c>
      <c r="BI215">
        <f t="shared" si="90"/>
        <v>0</v>
      </c>
    </row>
    <row r="216" spans="1:61" x14ac:dyDescent="0.25">
      <c r="A216" s="113">
        <f>A215+2</f>
        <v>944</v>
      </c>
      <c r="B216" s="113" t="str">
        <f>B215</f>
        <v>a</v>
      </c>
      <c r="C216" s="113" t="str">
        <f t="shared" si="120"/>
        <v>b</v>
      </c>
      <c r="D216" s="113" t="str">
        <f t="shared" si="120"/>
        <v>c</v>
      </c>
      <c r="E216" s="113" t="str">
        <f t="shared" si="120"/>
        <v>d</v>
      </c>
      <c r="F216" s="113" t="str">
        <f t="shared" si="120"/>
        <v>e</v>
      </c>
      <c r="G216" s="113" t="str">
        <f t="shared" si="120"/>
        <v>f</v>
      </c>
      <c r="H216" s="113" t="str">
        <f t="shared" si="120"/>
        <v>g</v>
      </c>
      <c r="I216" s="113" t="str">
        <f t="shared" si="120"/>
        <v>h</v>
      </c>
      <c r="J216" s="113" t="str">
        <f t="shared" si="120"/>
        <v>i</v>
      </c>
      <c r="K216" s="113" t="str">
        <f t="shared" si="120"/>
        <v>j</v>
      </c>
      <c r="L216" s="113" t="str">
        <f t="shared" si="120"/>
        <v>k</v>
      </c>
      <c r="M216" s="113" t="str">
        <f t="shared" si="120"/>
        <v>l</v>
      </c>
      <c r="N216" s="113" t="str">
        <f t="shared" si="120"/>
        <v>m</v>
      </c>
      <c r="O216" s="113">
        <f t="shared" si="120"/>
        <v>0</v>
      </c>
      <c r="P216" s="113">
        <f t="shared" si="120"/>
        <v>0</v>
      </c>
      <c r="Q216" s="113" t="str">
        <f t="shared" si="120"/>
        <v>p</v>
      </c>
      <c r="R216" s="113">
        <f t="shared" si="120"/>
        <v>0</v>
      </c>
      <c r="S216" s="113">
        <f t="shared" si="120"/>
        <v>0</v>
      </c>
      <c r="T216" s="113">
        <f t="shared" si="120"/>
        <v>0</v>
      </c>
      <c r="U216" s="113">
        <f t="shared" si="120"/>
        <v>0</v>
      </c>
      <c r="V216" s="113">
        <f t="shared" si="120"/>
        <v>0</v>
      </c>
      <c r="W216" s="113">
        <f t="shared" si="120"/>
        <v>0</v>
      </c>
      <c r="X216" s="113">
        <f t="shared" si="120"/>
        <v>0</v>
      </c>
      <c r="AA216" s="113">
        <v>15</v>
      </c>
      <c r="AB216" s="112">
        <f t="shared" ca="1" si="121"/>
        <v>43191</v>
      </c>
      <c r="AC216" s="112">
        <f t="shared" ca="1" si="121"/>
        <v>43465</v>
      </c>
      <c r="AF216" s="114">
        <f t="shared" ca="1" si="112"/>
        <v>21017.360000000001</v>
      </c>
      <c r="AG216" s="114">
        <f t="shared" ca="1" si="112"/>
        <v>0</v>
      </c>
      <c r="AH216" s="114">
        <f t="shared" ca="1" si="112"/>
        <v>0</v>
      </c>
      <c r="AI216" s="114">
        <f t="shared" ca="1" si="112"/>
        <v>6459.63</v>
      </c>
      <c r="AJ216" s="114">
        <f t="shared" ca="1" si="112"/>
        <v>0</v>
      </c>
      <c r="AK216" s="114">
        <f t="shared" ca="1" si="112"/>
        <v>2289.75</v>
      </c>
      <c r="AN216">
        <f t="shared" si="91"/>
        <v>216</v>
      </c>
      <c r="AQ216" s="114">
        <f t="shared" ca="1" si="92"/>
        <v>2577.6</v>
      </c>
      <c r="AW216">
        <v>216</v>
      </c>
      <c r="BG216" s="114">
        <f t="shared" ca="1" si="89"/>
        <v>30054.59</v>
      </c>
      <c r="BI216">
        <f t="shared" si="90"/>
        <v>0</v>
      </c>
    </row>
    <row r="217" spans="1:61" x14ac:dyDescent="0.25">
      <c r="A217" s="113">
        <f>A216+2</f>
        <v>946</v>
      </c>
      <c r="B217" s="113" t="str">
        <f>B216</f>
        <v>a</v>
      </c>
      <c r="C217" s="113" t="str">
        <f t="shared" si="120"/>
        <v>b</v>
      </c>
      <c r="D217" s="113" t="str">
        <f t="shared" si="120"/>
        <v>c</v>
      </c>
      <c r="E217" s="113" t="str">
        <f t="shared" si="120"/>
        <v>d</v>
      </c>
      <c r="F217" s="113" t="str">
        <f t="shared" si="120"/>
        <v>e</v>
      </c>
      <c r="G217" s="113" t="str">
        <f t="shared" si="120"/>
        <v>f</v>
      </c>
      <c r="H217" s="113" t="str">
        <f t="shared" si="120"/>
        <v>g</v>
      </c>
      <c r="I217" s="113" t="str">
        <f t="shared" si="120"/>
        <v>h</v>
      </c>
      <c r="J217" s="113" t="str">
        <f t="shared" si="120"/>
        <v>i</v>
      </c>
      <c r="K217" s="113" t="str">
        <f t="shared" si="120"/>
        <v>j</v>
      </c>
      <c r="L217" s="113" t="str">
        <f t="shared" si="120"/>
        <v>k</v>
      </c>
      <c r="M217" s="113" t="str">
        <f t="shared" si="120"/>
        <v>l</v>
      </c>
      <c r="N217" s="113" t="str">
        <f t="shared" si="120"/>
        <v>m</v>
      </c>
      <c r="O217" s="113">
        <f t="shared" si="120"/>
        <v>0</v>
      </c>
      <c r="P217" s="113">
        <f t="shared" si="120"/>
        <v>0</v>
      </c>
      <c r="Q217" s="113" t="str">
        <f t="shared" si="120"/>
        <v>p</v>
      </c>
      <c r="R217" s="113">
        <f t="shared" si="120"/>
        <v>0</v>
      </c>
      <c r="S217" s="113">
        <f t="shared" si="120"/>
        <v>0</v>
      </c>
      <c r="T217" s="113">
        <f t="shared" si="120"/>
        <v>0</v>
      </c>
      <c r="U217" s="113">
        <f t="shared" si="120"/>
        <v>0</v>
      </c>
      <c r="V217" s="113">
        <f t="shared" si="120"/>
        <v>0</v>
      </c>
      <c r="W217" s="113">
        <f t="shared" si="120"/>
        <v>0</v>
      </c>
      <c r="X217" s="113">
        <f t="shared" si="120"/>
        <v>0</v>
      </c>
      <c r="AA217" s="113">
        <v>21</v>
      </c>
      <c r="AB217" s="112">
        <f t="shared" ca="1" si="121"/>
        <v>43191</v>
      </c>
      <c r="AC217" s="112">
        <f t="shared" ca="1" si="121"/>
        <v>43465</v>
      </c>
      <c r="AF217" s="114">
        <f t="shared" ca="1" si="112"/>
        <v>24112.63</v>
      </c>
      <c r="AG217" s="114">
        <f t="shared" ca="1" si="112"/>
        <v>0</v>
      </c>
      <c r="AH217" s="114">
        <f t="shared" ca="1" si="112"/>
        <v>0</v>
      </c>
      <c r="AI217" s="114">
        <f t="shared" ca="1" si="112"/>
        <v>6459.63</v>
      </c>
      <c r="AJ217" s="114">
        <f t="shared" ca="1" si="112"/>
        <v>0</v>
      </c>
      <c r="AK217" s="114">
        <f t="shared" ca="1" si="112"/>
        <v>2547.69</v>
      </c>
      <c r="AN217">
        <f t="shared" si="91"/>
        <v>217</v>
      </c>
      <c r="AQ217" s="114">
        <f t="shared" ca="1" si="92"/>
        <v>2577.6</v>
      </c>
      <c r="AW217">
        <v>217</v>
      </c>
      <c r="BG217" s="114">
        <f t="shared" ca="1" si="89"/>
        <v>33149.86</v>
      </c>
      <c r="BI217">
        <f t="shared" si="90"/>
        <v>0</v>
      </c>
    </row>
    <row r="218" spans="1:61" x14ac:dyDescent="0.25">
      <c r="A218" s="113">
        <f>A217+2</f>
        <v>948</v>
      </c>
      <c r="B218" s="113" t="str">
        <f>B217</f>
        <v>a</v>
      </c>
      <c r="C218" s="113" t="str">
        <f t="shared" si="120"/>
        <v>b</v>
      </c>
      <c r="D218" s="113" t="str">
        <f t="shared" si="120"/>
        <v>c</v>
      </c>
      <c r="E218" s="113" t="str">
        <f t="shared" si="120"/>
        <v>d</v>
      </c>
      <c r="F218" s="113" t="str">
        <f t="shared" si="120"/>
        <v>e</v>
      </c>
      <c r="G218" s="113" t="str">
        <f t="shared" si="120"/>
        <v>f</v>
      </c>
      <c r="H218" s="113" t="str">
        <f t="shared" si="120"/>
        <v>g</v>
      </c>
      <c r="I218" s="113" t="str">
        <f t="shared" si="120"/>
        <v>h</v>
      </c>
      <c r="J218" s="113" t="str">
        <f t="shared" si="120"/>
        <v>i</v>
      </c>
      <c r="K218" s="113" t="str">
        <f t="shared" si="120"/>
        <v>j</v>
      </c>
      <c r="L218" s="113" t="str">
        <f t="shared" si="120"/>
        <v>k</v>
      </c>
      <c r="M218" s="113" t="str">
        <f t="shared" si="120"/>
        <v>l</v>
      </c>
      <c r="N218" s="113" t="str">
        <f t="shared" si="120"/>
        <v>m</v>
      </c>
      <c r="O218" s="113">
        <f t="shared" si="120"/>
        <v>0</v>
      </c>
      <c r="P218" s="113">
        <f t="shared" si="120"/>
        <v>0</v>
      </c>
      <c r="Q218" s="113" t="str">
        <f t="shared" si="120"/>
        <v>p</v>
      </c>
      <c r="R218" s="113">
        <f t="shared" si="120"/>
        <v>0</v>
      </c>
      <c r="S218" s="113">
        <f t="shared" si="120"/>
        <v>0</v>
      </c>
      <c r="T218" s="113">
        <f t="shared" si="120"/>
        <v>0</v>
      </c>
      <c r="U218" s="113">
        <f t="shared" si="120"/>
        <v>0</v>
      </c>
      <c r="V218" s="113">
        <f t="shared" si="120"/>
        <v>0</v>
      </c>
      <c r="W218" s="113">
        <f t="shared" si="120"/>
        <v>0</v>
      </c>
      <c r="X218" s="113">
        <f t="shared" si="120"/>
        <v>0</v>
      </c>
      <c r="AA218" s="113">
        <v>28</v>
      </c>
      <c r="AB218" s="112">
        <f t="shared" ca="1" si="121"/>
        <v>43191</v>
      </c>
      <c r="AC218" s="112">
        <f t="shared" ca="1" si="121"/>
        <v>43465</v>
      </c>
      <c r="AF218" s="114">
        <f t="shared" ca="1" si="112"/>
        <v>26141.79</v>
      </c>
      <c r="AG218" s="114">
        <f t="shared" ca="1" si="112"/>
        <v>0</v>
      </c>
      <c r="AH218" s="114">
        <f t="shared" ca="1" si="112"/>
        <v>0</v>
      </c>
      <c r="AI218" s="114">
        <f t="shared" ca="1" si="112"/>
        <v>6459.63</v>
      </c>
      <c r="AJ218" s="114">
        <f t="shared" ca="1" si="112"/>
        <v>0</v>
      </c>
      <c r="AK218" s="114">
        <f t="shared" ca="1" si="112"/>
        <v>2716.79</v>
      </c>
      <c r="AN218">
        <f t="shared" si="91"/>
        <v>218</v>
      </c>
      <c r="AQ218" s="114">
        <f t="shared" ca="1" si="92"/>
        <v>3278.4</v>
      </c>
      <c r="AW218">
        <v>218</v>
      </c>
      <c r="BG218" s="114">
        <f t="shared" ca="1" si="89"/>
        <v>35879.82</v>
      </c>
      <c r="BI218">
        <f t="shared" si="90"/>
        <v>0</v>
      </c>
    </row>
    <row r="219" spans="1:61" x14ac:dyDescent="0.25">
      <c r="A219" s="113">
        <f>A218+2</f>
        <v>950</v>
      </c>
      <c r="B219" s="113" t="str">
        <f>B218</f>
        <v>a</v>
      </c>
      <c r="C219" s="113" t="str">
        <f t="shared" si="120"/>
        <v>b</v>
      </c>
      <c r="D219" s="113" t="str">
        <f t="shared" si="120"/>
        <v>c</v>
      </c>
      <c r="E219" s="113" t="str">
        <f t="shared" si="120"/>
        <v>d</v>
      </c>
      <c r="F219" s="113" t="str">
        <f t="shared" si="120"/>
        <v>e</v>
      </c>
      <c r="G219" s="113" t="str">
        <f t="shared" si="120"/>
        <v>f</v>
      </c>
      <c r="H219" s="113" t="str">
        <f t="shared" si="120"/>
        <v>g</v>
      </c>
      <c r="I219" s="113" t="str">
        <f t="shared" si="120"/>
        <v>h</v>
      </c>
      <c r="J219" s="113" t="str">
        <f t="shared" si="120"/>
        <v>i</v>
      </c>
      <c r="K219" s="113" t="str">
        <f t="shared" si="120"/>
        <v>j</v>
      </c>
      <c r="L219" s="113" t="str">
        <f t="shared" si="120"/>
        <v>k</v>
      </c>
      <c r="M219" s="113" t="str">
        <f t="shared" si="120"/>
        <v>l</v>
      </c>
      <c r="N219" s="113" t="str">
        <f t="shared" si="120"/>
        <v>m</v>
      </c>
      <c r="O219" s="113">
        <f t="shared" si="120"/>
        <v>0</v>
      </c>
      <c r="P219" s="113">
        <f t="shared" si="120"/>
        <v>0</v>
      </c>
      <c r="Q219" s="113" t="str">
        <f t="shared" si="120"/>
        <v>p</v>
      </c>
      <c r="R219" s="113">
        <f t="shared" si="120"/>
        <v>0</v>
      </c>
      <c r="S219" s="113">
        <f t="shared" si="120"/>
        <v>0</v>
      </c>
      <c r="T219" s="113">
        <f t="shared" si="120"/>
        <v>0</v>
      </c>
      <c r="U219" s="113">
        <f t="shared" si="120"/>
        <v>0</v>
      </c>
      <c r="V219" s="113">
        <f t="shared" si="120"/>
        <v>0</v>
      </c>
      <c r="W219" s="113">
        <f t="shared" si="120"/>
        <v>0</v>
      </c>
      <c r="X219" s="113">
        <f t="shared" si="120"/>
        <v>0</v>
      </c>
      <c r="AA219" s="113">
        <v>35</v>
      </c>
      <c r="AB219" s="112">
        <f t="shared" ca="1" si="121"/>
        <v>43191</v>
      </c>
      <c r="AC219" s="112">
        <f t="shared" ca="1" si="121"/>
        <v>43465</v>
      </c>
      <c r="AF219" s="114">
        <f t="shared" ca="1" si="112"/>
        <v>27749.87</v>
      </c>
      <c r="AG219" s="114">
        <f t="shared" ca="1" si="112"/>
        <v>0</v>
      </c>
      <c r="AH219" s="114">
        <f t="shared" ca="1" si="112"/>
        <v>0</v>
      </c>
      <c r="AI219" s="114">
        <f t="shared" ca="1" si="112"/>
        <v>6459.63</v>
      </c>
      <c r="AJ219" s="114">
        <f t="shared" ca="1" si="112"/>
        <v>0</v>
      </c>
      <c r="AK219" s="114">
        <f t="shared" ca="1" si="112"/>
        <v>2850.79</v>
      </c>
      <c r="AN219">
        <f t="shared" si="91"/>
        <v>219</v>
      </c>
      <c r="AQ219" s="114">
        <f t="shared" ca="1" si="92"/>
        <v>3278.4</v>
      </c>
      <c r="AW219">
        <v>219</v>
      </c>
      <c r="BG219" s="114">
        <f t="shared" ca="1" si="89"/>
        <v>37487.9</v>
      </c>
      <c r="BI219">
        <f t="shared" si="90"/>
        <v>0</v>
      </c>
    </row>
    <row r="220" spans="1:61" x14ac:dyDescent="0.25">
      <c r="A220" s="113">
        <f>A213+20</f>
        <v>960</v>
      </c>
      <c r="B220" s="113" t="str">
        <f>B213</f>
        <v>a</v>
      </c>
      <c r="C220" s="113" t="str">
        <f t="shared" ref="C220:X220" si="122">C213</f>
        <v>b</v>
      </c>
      <c r="D220" s="113" t="str">
        <f t="shared" si="122"/>
        <v>c</v>
      </c>
      <c r="E220" s="113" t="str">
        <f t="shared" si="122"/>
        <v>d</v>
      </c>
      <c r="F220" s="113" t="str">
        <f t="shared" si="122"/>
        <v>e</v>
      </c>
      <c r="G220" s="113" t="str">
        <f t="shared" si="122"/>
        <v>f</v>
      </c>
      <c r="H220" s="113" t="str">
        <f t="shared" si="122"/>
        <v>g</v>
      </c>
      <c r="I220" s="113" t="str">
        <f t="shared" si="122"/>
        <v>h</v>
      </c>
      <c r="J220" s="113" t="str">
        <f t="shared" si="122"/>
        <v>i</v>
      </c>
      <c r="K220" s="113" t="str">
        <f t="shared" si="122"/>
        <v>j</v>
      </c>
      <c r="L220" s="113" t="str">
        <f t="shared" si="122"/>
        <v>k</v>
      </c>
      <c r="M220" s="113" t="str">
        <f t="shared" si="122"/>
        <v>l</v>
      </c>
      <c r="N220" s="113" t="str">
        <f t="shared" si="122"/>
        <v>m</v>
      </c>
      <c r="O220" s="113">
        <f t="shared" si="122"/>
        <v>0</v>
      </c>
      <c r="P220" s="113">
        <f t="shared" si="122"/>
        <v>0</v>
      </c>
      <c r="Q220" s="113" t="str">
        <f t="shared" si="122"/>
        <v>p</v>
      </c>
      <c r="R220" s="113">
        <f t="shared" si="122"/>
        <v>0</v>
      </c>
      <c r="S220" s="113">
        <f t="shared" si="122"/>
        <v>0</v>
      </c>
      <c r="T220" s="113">
        <f t="shared" si="122"/>
        <v>0</v>
      </c>
      <c r="U220" s="113">
        <f t="shared" si="122"/>
        <v>0</v>
      </c>
      <c r="V220" s="113">
        <f t="shared" si="122"/>
        <v>0</v>
      </c>
      <c r="W220" s="113">
        <f t="shared" si="122"/>
        <v>0</v>
      </c>
      <c r="X220" s="113">
        <f t="shared" si="122"/>
        <v>0</v>
      </c>
      <c r="AA220" s="113">
        <v>0</v>
      </c>
      <c r="AB220" s="112">
        <f ca="1">INDIRECT(CONCATENATE($AB$10,CONCATENATE(B220,$A220)))</f>
        <v>43466</v>
      </c>
      <c r="AC220" s="112">
        <f ca="1">INDIRECT(CONCATENATE($AB$10,CONCATENATE(C220,$A220)))</f>
        <v>43830</v>
      </c>
      <c r="AF220" s="114">
        <f t="shared" ca="1" si="112"/>
        <v>15593.689999999999</v>
      </c>
      <c r="AG220" s="114">
        <f ca="1">INDIRECT(CONCATENATE($AB$10,CONCATENATE(G220,$A220)))</f>
        <v>0</v>
      </c>
      <c r="AH220" s="114">
        <f ca="1">INDIRECT(CONCATENATE($AB$10,CONCATENATE(H220,$A220)))</f>
        <v>0</v>
      </c>
      <c r="AI220" s="114">
        <f ca="1">INDIRECT(CONCATENATE($AB$10,CONCATENATE(I220,$A220)))</f>
        <v>6459.63</v>
      </c>
      <c r="AJ220" s="114">
        <f ca="1">INDIRECT(CONCATENATE($AB$10,CONCATENATE(J220,$A220)))</f>
        <v>0</v>
      </c>
      <c r="AK220" s="114">
        <f ca="1">INDIRECT(CONCATENATE($AB$10,CONCATENATE(K220,$A220)))</f>
        <v>1828.53</v>
      </c>
      <c r="AN220">
        <f t="shared" si="91"/>
        <v>220</v>
      </c>
      <c r="AQ220" s="114">
        <f t="shared" ca="1" si="92"/>
        <v>2094</v>
      </c>
      <c r="AW220">
        <v>220</v>
      </c>
      <c r="BG220" s="114">
        <f t="shared" ca="1" si="89"/>
        <v>24147.32</v>
      </c>
      <c r="BI220">
        <f t="shared" si="90"/>
        <v>0</v>
      </c>
    </row>
    <row r="221" spans="1:61" x14ac:dyDescent="0.25">
      <c r="A221" s="113">
        <f>A220</f>
        <v>960</v>
      </c>
      <c r="B221" s="113" t="str">
        <f>B220</f>
        <v>a</v>
      </c>
      <c r="C221" s="113" t="str">
        <f t="shared" ref="C221:X226" si="123">C220</f>
        <v>b</v>
      </c>
      <c r="D221" s="113" t="str">
        <f t="shared" si="123"/>
        <v>c</v>
      </c>
      <c r="E221" s="113" t="str">
        <f t="shared" si="123"/>
        <v>d</v>
      </c>
      <c r="F221" s="113" t="str">
        <f t="shared" si="123"/>
        <v>e</v>
      </c>
      <c r="G221" s="113" t="str">
        <f t="shared" si="123"/>
        <v>f</v>
      </c>
      <c r="H221" s="113" t="str">
        <f t="shared" si="123"/>
        <v>g</v>
      </c>
      <c r="I221" s="113" t="str">
        <f t="shared" si="123"/>
        <v>h</v>
      </c>
      <c r="J221" s="113" t="str">
        <f t="shared" si="123"/>
        <v>i</v>
      </c>
      <c r="K221" s="113" t="str">
        <f t="shared" si="123"/>
        <v>j</v>
      </c>
      <c r="L221" s="113" t="str">
        <f t="shared" si="123"/>
        <v>k</v>
      </c>
      <c r="M221" s="113" t="str">
        <f t="shared" si="123"/>
        <v>l</v>
      </c>
      <c r="N221" s="113" t="str">
        <f t="shared" si="123"/>
        <v>m</v>
      </c>
      <c r="O221" s="113">
        <f t="shared" si="123"/>
        <v>0</v>
      </c>
      <c r="P221" s="113">
        <f t="shared" si="123"/>
        <v>0</v>
      </c>
      <c r="Q221" s="113" t="str">
        <f t="shared" si="123"/>
        <v>p</v>
      </c>
      <c r="R221" s="113">
        <f t="shared" si="123"/>
        <v>0</v>
      </c>
      <c r="S221" s="113">
        <f t="shared" si="123"/>
        <v>0</v>
      </c>
      <c r="T221" s="113">
        <f t="shared" si="123"/>
        <v>0</v>
      </c>
      <c r="U221" s="113">
        <f t="shared" si="123"/>
        <v>0</v>
      </c>
      <c r="V221" s="113">
        <f t="shared" si="123"/>
        <v>0</v>
      </c>
      <c r="W221" s="113">
        <f t="shared" si="123"/>
        <v>0</v>
      </c>
      <c r="X221" s="113">
        <f t="shared" si="123"/>
        <v>0</v>
      </c>
      <c r="AA221" s="113">
        <v>3</v>
      </c>
      <c r="AB221" s="112">
        <f t="shared" ref="AB221:AC226" ca="1" si="124">AB220</f>
        <v>43466</v>
      </c>
      <c r="AC221" s="112">
        <f t="shared" ca="1" si="124"/>
        <v>43830</v>
      </c>
      <c r="AE221" s="114">
        <f ca="1">AE214</f>
        <v>1188.0999999999999</v>
      </c>
      <c r="AF221" s="114">
        <f t="shared" ca="1" si="112"/>
        <v>15593.689999999999</v>
      </c>
      <c r="AG221" s="114">
        <f t="shared" ca="1" si="112"/>
        <v>0</v>
      </c>
      <c r="AH221" s="114">
        <f t="shared" ca="1" si="112"/>
        <v>0</v>
      </c>
      <c r="AI221" s="114">
        <f t="shared" ca="1" si="112"/>
        <v>6459.63</v>
      </c>
      <c r="AJ221" s="114">
        <f t="shared" ca="1" si="112"/>
        <v>0</v>
      </c>
      <c r="AK221" s="114">
        <f t="shared" ca="1" si="112"/>
        <v>1828.53</v>
      </c>
      <c r="AN221">
        <f t="shared" si="91"/>
        <v>221</v>
      </c>
      <c r="AQ221" s="114">
        <f t="shared" ca="1" si="92"/>
        <v>2094</v>
      </c>
      <c r="AW221">
        <v>221</v>
      </c>
      <c r="BG221" s="114">
        <f t="shared" ca="1" si="89"/>
        <v>24147.32</v>
      </c>
      <c r="BI221">
        <f t="shared" ca="1" si="90"/>
        <v>1188.0999999999999</v>
      </c>
    </row>
    <row r="222" spans="1:61" x14ac:dyDescent="0.25">
      <c r="A222" s="113">
        <f>A221+2</f>
        <v>962</v>
      </c>
      <c r="B222" s="113" t="str">
        <f>B221</f>
        <v>a</v>
      </c>
      <c r="C222" s="113" t="str">
        <f t="shared" si="123"/>
        <v>b</v>
      </c>
      <c r="D222" s="113" t="str">
        <f t="shared" si="123"/>
        <v>c</v>
      </c>
      <c r="E222" s="113" t="str">
        <f t="shared" si="123"/>
        <v>d</v>
      </c>
      <c r="F222" s="113" t="str">
        <f t="shared" si="123"/>
        <v>e</v>
      </c>
      <c r="G222" s="113" t="str">
        <f t="shared" si="123"/>
        <v>f</v>
      </c>
      <c r="H222" s="113" t="str">
        <f t="shared" si="123"/>
        <v>g</v>
      </c>
      <c r="I222" s="113" t="str">
        <f t="shared" si="123"/>
        <v>h</v>
      </c>
      <c r="J222" s="113" t="str">
        <f t="shared" si="123"/>
        <v>i</v>
      </c>
      <c r="K222" s="113" t="str">
        <f t="shared" si="123"/>
        <v>j</v>
      </c>
      <c r="L222" s="113" t="str">
        <f t="shared" si="123"/>
        <v>k</v>
      </c>
      <c r="M222" s="113" t="str">
        <f t="shared" si="123"/>
        <v>l</v>
      </c>
      <c r="N222" s="113" t="str">
        <f t="shared" si="123"/>
        <v>m</v>
      </c>
      <c r="O222" s="113">
        <f t="shared" si="123"/>
        <v>0</v>
      </c>
      <c r="P222" s="113">
        <f t="shared" si="123"/>
        <v>0</v>
      </c>
      <c r="Q222" s="113" t="str">
        <f t="shared" si="123"/>
        <v>p</v>
      </c>
      <c r="R222" s="113">
        <f t="shared" si="123"/>
        <v>0</v>
      </c>
      <c r="S222" s="113">
        <f t="shared" si="123"/>
        <v>0</v>
      </c>
      <c r="T222" s="113">
        <f t="shared" si="123"/>
        <v>0</v>
      </c>
      <c r="U222" s="113">
        <f t="shared" si="123"/>
        <v>0</v>
      </c>
      <c r="V222" s="113">
        <f t="shared" si="123"/>
        <v>0</v>
      </c>
      <c r="W222" s="113">
        <f t="shared" si="123"/>
        <v>0</v>
      </c>
      <c r="X222" s="113">
        <f t="shared" si="123"/>
        <v>0</v>
      </c>
      <c r="AA222" s="113">
        <v>9</v>
      </c>
      <c r="AB222" s="112">
        <f t="shared" ca="1" si="124"/>
        <v>43466</v>
      </c>
      <c r="AC222" s="112">
        <f t="shared" ca="1" si="124"/>
        <v>43830</v>
      </c>
      <c r="AF222" s="114">
        <f t="shared" ca="1" si="112"/>
        <v>18820.98</v>
      </c>
      <c r="AG222" s="114">
        <f t="shared" ca="1" si="112"/>
        <v>0</v>
      </c>
      <c r="AH222" s="114">
        <f t="shared" ca="1" si="112"/>
        <v>0</v>
      </c>
      <c r="AI222" s="114">
        <f t="shared" ca="1" si="112"/>
        <v>6459.63</v>
      </c>
      <c r="AJ222" s="114">
        <f t="shared" ca="1" si="112"/>
        <v>0</v>
      </c>
      <c r="AK222" s="114">
        <f t="shared" ca="1" si="112"/>
        <v>2096.09</v>
      </c>
      <c r="AN222">
        <f t="shared" si="91"/>
        <v>222</v>
      </c>
      <c r="AQ222" s="114">
        <f t="shared" ca="1" si="92"/>
        <v>2094</v>
      </c>
      <c r="AW222">
        <v>222</v>
      </c>
      <c r="BG222" s="114">
        <f t="shared" ca="1" si="89"/>
        <v>27374.61</v>
      </c>
      <c r="BI222">
        <f t="shared" si="90"/>
        <v>0</v>
      </c>
    </row>
    <row r="223" spans="1:61" x14ac:dyDescent="0.25">
      <c r="A223" s="113">
        <f>A222+2</f>
        <v>964</v>
      </c>
      <c r="B223" s="113" t="str">
        <f>B222</f>
        <v>a</v>
      </c>
      <c r="C223" s="113" t="str">
        <f t="shared" si="123"/>
        <v>b</v>
      </c>
      <c r="D223" s="113" t="str">
        <f t="shared" si="123"/>
        <v>c</v>
      </c>
      <c r="E223" s="113" t="str">
        <f t="shared" si="123"/>
        <v>d</v>
      </c>
      <c r="F223" s="113" t="str">
        <f t="shared" si="123"/>
        <v>e</v>
      </c>
      <c r="G223" s="113" t="str">
        <f t="shared" si="123"/>
        <v>f</v>
      </c>
      <c r="H223" s="113" t="str">
        <f t="shared" si="123"/>
        <v>g</v>
      </c>
      <c r="I223" s="113" t="str">
        <f t="shared" si="123"/>
        <v>h</v>
      </c>
      <c r="J223" s="113" t="str">
        <f t="shared" si="123"/>
        <v>i</v>
      </c>
      <c r="K223" s="113" t="str">
        <f t="shared" si="123"/>
        <v>j</v>
      </c>
      <c r="L223" s="113" t="str">
        <f t="shared" si="123"/>
        <v>k</v>
      </c>
      <c r="M223" s="113" t="str">
        <f t="shared" si="123"/>
        <v>l</v>
      </c>
      <c r="N223" s="113" t="str">
        <f t="shared" si="123"/>
        <v>m</v>
      </c>
      <c r="O223" s="113">
        <f t="shared" si="123"/>
        <v>0</v>
      </c>
      <c r="P223" s="113">
        <f t="shared" si="123"/>
        <v>0</v>
      </c>
      <c r="Q223" s="113" t="str">
        <f t="shared" si="123"/>
        <v>p</v>
      </c>
      <c r="R223" s="113">
        <f t="shared" si="123"/>
        <v>0</v>
      </c>
      <c r="S223" s="113">
        <f t="shared" si="123"/>
        <v>0</v>
      </c>
      <c r="T223" s="113">
        <f t="shared" si="123"/>
        <v>0</v>
      </c>
      <c r="U223" s="113">
        <f t="shared" si="123"/>
        <v>0</v>
      </c>
      <c r="V223" s="113">
        <f t="shared" si="123"/>
        <v>0</v>
      </c>
      <c r="W223" s="113">
        <f t="shared" si="123"/>
        <v>0</v>
      </c>
      <c r="X223" s="113">
        <f t="shared" si="123"/>
        <v>0</v>
      </c>
      <c r="AA223" s="113">
        <v>15</v>
      </c>
      <c r="AB223" s="112">
        <f t="shared" ca="1" si="124"/>
        <v>43466</v>
      </c>
      <c r="AC223" s="112">
        <f t="shared" ca="1" si="124"/>
        <v>43830</v>
      </c>
      <c r="AF223" s="114">
        <f t="shared" ca="1" si="112"/>
        <v>21272.959999999999</v>
      </c>
      <c r="AG223" s="114">
        <f t="shared" ca="1" si="112"/>
        <v>0</v>
      </c>
      <c r="AH223" s="114">
        <f t="shared" ca="1" si="112"/>
        <v>0</v>
      </c>
      <c r="AI223" s="114">
        <f t="shared" ca="1" si="112"/>
        <v>6459.63</v>
      </c>
      <c r="AJ223" s="114">
        <f t="shared" ca="1" si="112"/>
        <v>0</v>
      </c>
      <c r="AK223" s="114">
        <f t="shared" ca="1" si="112"/>
        <v>2299.37</v>
      </c>
      <c r="AN223">
        <f t="shared" si="91"/>
        <v>223</v>
      </c>
      <c r="AQ223" s="114">
        <f t="shared" ca="1" si="92"/>
        <v>2577.6</v>
      </c>
      <c r="AW223">
        <v>223</v>
      </c>
      <c r="BG223" s="114">
        <f t="shared" ca="1" si="89"/>
        <v>30310.19</v>
      </c>
      <c r="BI223">
        <f t="shared" si="90"/>
        <v>0</v>
      </c>
    </row>
    <row r="224" spans="1:61" x14ac:dyDescent="0.25">
      <c r="A224" s="113">
        <f>A223+2</f>
        <v>966</v>
      </c>
      <c r="B224" s="113" t="str">
        <f>B223</f>
        <v>a</v>
      </c>
      <c r="C224" s="113" t="str">
        <f t="shared" si="123"/>
        <v>b</v>
      </c>
      <c r="D224" s="113" t="str">
        <f t="shared" si="123"/>
        <v>c</v>
      </c>
      <c r="E224" s="113" t="str">
        <f t="shared" si="123"/>
        <v>d</v>
      </c>
      <c r="F224" s="113" t="str">
        <f t="shared" si="123"/>
        <v>e</v>
      </c>
      <c r="G224" s="113" t="str">
        <f t="shared" si="123"/>
        <v>f</v>
      </c>
      <c r="H224" s="113" t="str">
        <f t="shared" si="123"/>
        <v>g</v>
      </c>
      <c r="I224" s="113" t="str">
        <f t="shared" si="123"/>
        <v>h</v>
      </c>
      <c r="J224" s="113" t="str">
        <f t="shared" si="123"/>
        <v>i</v>
      </c>
      <c r="K224" s="113" t="str">
        <f t="shared" si="123"/>
        <v>j</v>
      </c>
      <c r="L224" s="113" t="str">
        <f t="shared" si="123"/>
        <v>k</v>
      </c>
      <c r="M224" s="113" t="str">
        <f t="shared" si="123"/>
        <v>l</v>
      </c>
      <c r="N224" s="113" t="str">
        <f t="shared" si="123"/>
        <v>m</v>
      </c>
      <c r="O224" s="113">
        <f t="shared" si="123"/>
        <v>0</v>
      </c>
      <c r="P224" s="113">
        <f t="shared" si="123"/>
        <v>0</v>
      </c>
      <c r="Q224" s="113" t="str">
        <f t="shared" si="123"/>
        <v>p</v>
      </c>
      <c r="R224" s="113">
        <f t="shared" si="123"/>
        <v>0</v>
      </c>
      <c r="S224" s="113">
        <f t="shared" si="123"/>
        <v>0</v>
      </c>
      <c r="T224" s="113">
        <f t="shared" si="123"/>
        <v>0</v>
      </c>
      <c r="U224" s="113">
        <f t="shared" si="123"/>
        <v>0</v>
      </c>
      <c r="V224" s="113">
        <f t="shared" si="123"/>
        <v>0</v>
      </c>
      <c r="W224" s="113">
        <f t="shared" si="123"/>
        <v>0</v>
      </c>
      <c r="X224" s="113">
        <f t="shared" si="123"/>
        <v>0</v>
      </c>
      <c r="AA224" s="113">
        <v>21</v>
      </c>
      <c r="AB224" s="112">
        <f t="shared" ca="1" si="124"/>
        <v>43466</v>
      </c>
      <c r="AC224" s="112">
        <f t="shared" ca="1" si="124"/>
        <v>43830</v>
      </c>
      <c r="AF224" s="114">
        <f t="shared" ca="1" si="112"/>
        <v>24397.02</v>
      </c>
      <c r="AG224" s="114">
        <f t="shared" ca="1" si="112"/>
        <v>0</v>
      </c>
      <c r="AH224" s="114">
        <f t="shared" ca="1" si="112"/>
        <v>0</v>
      </c>
      <c r="AI224" s="114">
        <f t="shared" ca="1" si="112"/>
        <v>6459.63</v>
      </c>
      <c r="AJ224" s="114">
        <f t="shared" ca="1" si="112"/>
        <v>0</v>
      </c>
      <c r="AK224" s="114">
        <f t="shared" ca="1" si="112"/>
        <v>2558.39</v>
      </c>
      <c r="AN224">
        <f t="shared" si="91"/>
        <v>224</v>
      </c>
      <c r="AQ224" s="114">
        <f t="shared" ca="1" si="92"/>
        <v>2577.6</v>
      </c>
      <c r="AW224">
        <v>224</v>
      </c>
      <c r="BG224" s="114">
        <f t="shared" ref="BG224:BG287" ca="1" si="125">AF224+AG224+AH224+AI224+AJ224+AQ224</f>
        <v>33434.25</v>
      </c>
      <c r="BI224">
        <f t="shared" ref="BI224:BI287" si="126">AE224</f>
        <v>0</v>
      </c>
    </row>
    <row r="225" spans="1:61" x14ac:dyDescent="0.25">
      <c r="A225" s="113">
        <f>A224+2</f>
        <v>968</v>
      </c>
      <c r="B225" s="113" t="str">
        <f>B224</f>
        <v>a</v>
      </c>
      <c r="C225" s="113" t="str">
        <f t="shared" si="123"/>
        <v>b</v>
      </c>
      <c r="D225" s="113" t="str">
        <f t="shared" si="123"/>
        <v>c</v>
      </c>
      <c r="E225" s="113" t="str">
        <f t="shared" si="123"/>
        <v>d</v>
      </c>
      <c r="F225" s="113" t="str">
        <f t="shared" si="123"/>
        <v>e</v>
      </c>
      <c r="G225" s="113" t="str">
        <f t="shared" si="123"/>
        <v>f</v>
      </c>
      <c r="H225" s="113" t="str">
        <f t="shared" si="123"/>
        <v>g</v>
      </c>
      <c r="I225" s="113" t="str">
        <f t="shared" si="123"/>
        <v>h</v>
      </c>
      <c r="J225" s="113" t="str">
        <f t="shared" si="123"/>
        <v>i</v>
      </c>
      <c r="K225" s="113" t="str">
        <f t="shared" si="123"/>
        <v>j</v>
      </c>
      <c r="L225" s="113" t="str">
        <f t="shared" si="123"/>
        <v>k</v>
      </c>
      <c r="M225" s="113" t="str">
        <f t="shared" si="123"/>
        <v>l</v>
      </c>
      <c r="N225" s="113" t="str">
        <f t="shared" si="123"/>
        <v>m</v>
      </c>
      <c r="O225" s="113">
        <f t="shared" si="123"/>
        <v>0</v>
      </c>
      <c r="P225" s="113">
        <f t="shared" si="123"/>
        <v>0</v>
      </c>
      <c r="Q225" s="113" t="str">
        <f t="shared" si="123"/>
        <v>p</v>
      </c>
      <c r="R225" s="113">
        <f t="shared" si="123"/>
        <v>0</v>
      </c>
      <c r="S225" s="113">
        <f t="shared" si="123"/>
        <v>0</v>
      </c>
      <c r="T225" s="113">
        <f t="shared" si="123"/>
        <v>0</v>
      </c>
      <c r="U225" s="113">
        <f t="shared" si="123"/>
        <v>0</v>
      </c>
      <c r="V225" s="113">
        <f t="shared" si="123"/>
        <v>0</v>
      </c>
      <c r="W225" s="113">
        <f t="shared" si="123"/>
        <v>0</v>
      </c>
      <c r="X225" s="113">
        <f t="shared" si="123"/>
        <v>0</v>
      </c>
      <c r="AA225" s="113">
        <v>28</v>
      </c>
      <c r="AB225" s="112">
        <f t="shared" ca="1" si="124"/>
        <v>43466</v>
      </c>
      <c r="AC225" s="112">
        <f t="shared" ca="1" si="124"/>
        <v>43830</v>
      </c>
      <c r="AF225" s="114">
        <f t="shared" ca="1" si="112"/>
        <v>26444.139999999996</v>
      </c>
      <c r="AG225" s="114">
        <f t="shared" ca="1" si="112"/>
        <v>0</v>
      </c>
      <c r="AH225" s="114">
        <f t="shared" ca="1" si="112"/>
        <v>0</v>
      </c>
      <c r="AI225" s="114">
        <f t="shared" ca="1" si="112"/>
        <v>6459.63</v>
      </c>
      <c r="AJ225" s="114">
        <f t="shared" ca="1" si="112"/>
        <v>0</v>
      </c>
      <c r="AK225" s="114">
        <f t="shared" ca="1" si="112"/>
        <v>2728.2</v>
      </c>
      <c r="AN225">
        <f t="shared" ref="AN225:AN284" si="127">AN224+1</f>
        <v>225</v>
      </c>
      <c r="AQ225" s="114">
        <f t="shared" ref="AQ225:AQ261" ca="1" si="128">INDIRECT(CONCATENATE($AB$10,CONCATENATE(Q225,$A225)))</f>
        <v>3278.4</v>
      </c>
      <c r="AW225">
        <v>225</v>
      </c>
      <c r="BG225" s="114">
        <f t="shared" ca="1" si="125"/>
        <v>36182.17</v>
      </c>
      <c r="BI225">
        <f t="shared" si="126"/>
        <v>0</v>
      </c>
    </row>
    <row r="226" spans="1:61" x14ac:dyDescent="0.25">
      <c r="A226" s="113">
        <f>A225+2</f>
        <v>970</v>
      </c>
      <c r="B226" s="113" t="str">
        <f>B225</f>
        <v>a</v>
      </c>
      <c r="C226" s="113" t="str">
        <f t="shared" si="123"/>
        <v>b</v>
      </c>
      <c r="D226" s="113" t="str">
        <f t="shared" si="123"/>
        <v>c</v>
      </c>
      <c r="E226" s="113" t="str">
        <f t="shared" si="123"/>
        <v>d</v>
      </c>
      <c r="F226" s="113" t="str">
        <f t="shared" si="123"/>
        <v>e</v>
      </c>
      <c r="G226" s="113" t="str">
        <f t="shared" si="123"/>
        <v>f</v>
      </c>
      <c r="H226" s="113" t="str">
        <f t="shared" si="123"/>
        <v>g</v>
      </c>
      <c r="I226" s="113" t="str">
        <f t="shared" si="123"/>
        <v>h</v>
      </c>
      <c r="J226" s="113" t="str">
        <f t="shared" si="123"/>
        <v>i</v>
      </c>
      <c r="K226" s="113" t="str">
        <f t="shared" si="123"/>
        <v>j</v>
      </c>
      <c r="L226" s="113" t="str">
        <f t="shared" si="123"/>
        <v>k</v>
      </c>
      <c r="M226" s="113" t="str">
        <f t="shared" si="123"/>
        <v>l</v>
      </c>
      <c r="N226" s="113" t="str">
        <f t="shared" si="123"/>
        <v>m</v>
      </c>
      <c r="O226" s="113">
        <f t="shared" si="123"/>
        <v>0</v>
      </c>
      <c r="P226" s="113">
        <f t="shared" si="123"/>
        <v>0</v>
      </c>
      <c r="Q226" s="113" t="str">
        <f t="shared" si="123"/>
        <v>p</v>
      </c>
      <c r="R226" s="113">
        <f t="shared" si="123"/>
        <v>0</v>
      </c>
      <c r="S226" s="113">
        <f t="shared" si="123"/>
        <v>0</v>
      </c>
      <c r="T226" s="113">
        <f t="shared" si="123"/>
        <v>0</v>
      </c>
      <c r="U226" s="113">
        <f t="shared" si="123"/>
        <v>0</v>
      </c>
      <c r="V226" s="113">
        <f t="shared" si="123"/>
        <v>0</v>
      </c>
      <c r="W226" s="113">
        <f t="shared" si="123"/>
        <v>0</v>
      </c>
      <c r="X226" s="113">
        <f t="shared" si="123"/>
        <v>0</v>
      </c>
      <c r="AA226" s="113">
        <v>35</v>
      </c>
      <c r="AB226" s="112">
        <f t="shared" ca="1" si="124"/>
        <v>43466</v>
      </c>
      <c r="AC226" s="112">
        <f t="shared" ca="1" si="124"/>
        <v>43830</v>
      </c>
      <c r="AF226" s="114">
        <f t="shared" ca="1" si="112"/>
        <v>28067.84</v>
      </c>
      <c r="AG226" s="114">
        <f t="shared" ca="1" si="112"/>
        <v>0</v>
      </c>
      <c r="AH226" s="114">
        <f t="shared" ca="1" si="112"/>
        <v>0</v>
      </c>
      <c r="AI226" s="114">
        <f t="shared" ca="1" si="112"/>
        <v>6459.63</v>
      </c>
      <c r="AJ226" s="114">
        <f t="shared" ca="1" si="112"/>
        <v>0</v>
      </c>
      <c r="AK226" s="114">
        <f t="shared" ca="1" si="112"/>
        <v>2862.76</v>
      </c>
      <c r="AN226">
        <f t="shared" si="127"/>
        <v>226</v>
      </c>
      <c r="AQ226" s="114">
        <f t="shared" ca="1" si="128"/>
        <v>3278.4</v>
      </c>
      <c r="AW226">
        <v>226</v>
      </c>
      <c r="BG226" s="114">
        <f t="shared" ca="1" si="125"/>
        <v>37805.870000000003</v>
      </c>
      <c r="BI226">
        <f t="shared" si="126"/>
        <v>0</v>
      </c>
    </row>
    <row r="227" spans="1:61" x14ac:dyDescent="0.25">
      <c r="A227" s="113">
        <f>A220+20</f>
        <v>980</v>
      </c>
      <c r="B227" s="113" t="str">
        <f>B220</f>
        <v>a</v>
      </c>
      <c r="C227" s="113" t="str">
        <f t="shared" ref="C227:X227" si="129">C220</f>
        <v>b</v>
      </c>
      <c r="D227" s="113" t="str">
        <f t="shared" si="129"/>
        <v>c</v>
      </c>
      <c r="E227" s="113" t="str">
        <f t="shared" si="129"/>
        <v>d</v>
      </c>
      <c r="F227" s="113" t="str">
        <f t="shared" si="129"/>
        <v>e</v>
      </c>
      <c r="G227" s="113" t="str">
        <f t="shared" si="129"/>
        <v>f</v>
      </c>
      <c r="H227" s="113" t="str">
        <f t="shared" si="129"/>
        <v>g</v>
      </c>
      <c r="I227" s="113" t="str">
        <f t="shared" si="129"/>
        <v>h</v>
      </c>
      <c r="J227" s="113" t="str">
        <f t="shared" si="129"/>
        <v>i</v>
      </c>
      <c r="K227" s="113" t="str">
        <f t="shared" si="129"/>
        <v>j</v>
      </c>
      <c r="L227" s="113" t="str">
        <f t="shared" si="129"/>
        <v>k</v>
      </c>
      <c r="M227" s="113" t="str">
        <f t="shared" si="129"/>
        <v>l</v>
      </c>
      <c r="N227" s="113" t="str">
        <f t="shared" si="129"/>
        <v>m</v>
      </c>
      <c r="O227" s="113">
        <f t="shared" si="129"/>
        <v>0</v>
      </c>
      <c r="P227" s="113">
        <f t="shared" si="129"/>
        <v>0</v>
      </c>
      <c r="Q227" s="113" t="str">
        <f t="shared" si="129"/>
        <v>p</v>
      </c>
      <c r="R227" s="113">
        <f t="shared" si="129"/>
        <v>0</v>
      </c>
      <c r="S227" s="113">
        <f t="shared" si="129"/>
        <v>0</v>
      </c>
      <c r="T227" s="113">
        <f t="shared" si="129"/>
        <v>0</v>
      </c>
      <c r="U227" s="113">
        <f t="shared" si="129"/>
        <v>0</v>
      </c>
      <c r="V227" s="113">
        <f t="shared" si="129"/>
        <v>0</v>
      </c>
      <c r="W227" s="113">
        <f t="shared" si="129"/>
        <v>0</v>
      </c>
      <c r="X227" s="113">
        <f t="shared" si="129"/>
        <v>0</v>
      </c>
      <c r="AA227" s="113">
        <v>0</v>
      </c>
      <c r="AB227" s="112">
        <f ca="1">INDIRECT(CONCATENATE($AB$10,CONCATENATE(B227,$A227)))</f>
        <v>43831</v>
      </c>
      <c r="AC227" s="112">
        <f ca="1">INDIRECT(CONCATENATE($AB$10,CONCATENATE(C227,$A227)))</f>
        <v>44196</v>
      </c>
      <c r="AF227" s="114">
        <f t="shared" ca="1" si="112"/>
        <v>15764.09</v>
      </c>
      <c r="AG227" s="114">
        <f ca="1">INDIRECT(CONCATENATE($AB$10,CONCATENATE(G227,$A227)))</f>
        <v>0</v>
      </c>
      <c r="AH227" s="114">
        <f ca="1">INDIRECT(CONCATENATE($AB$10,CONCATENATE(H227,$A227)))</f>
        <v>0</v>
      </c>
      <c r="AI227" s="114">
        <f ca="1">INDIRECT(CONCATENATE($AB$10,CONCATENATE(I227,$A227)))</f>
        <v>6459.63</v>
      </c>
      <c r="AJ227" s="114">
        <f ca="1">INDIRECT(CONCATENATE($AB$10,CONCATENATE(J227,$A227)))</f>
        <v>0</v>
      </c>
      <c r="AK227" s="114">
        <f ca="1">INDIRECT(CONCATENATE($AB$10,CONCATENATE(K227,$A227)))</f>
        <v>1833.63</v>
      </c>
      <c r="AN227">
        <f t="shared" si="127"/>
        <v>227</v>
      </c>
      <c r="AQ227" s="114">
        <f t="shared" ca="1" si="128"/>
        <v>2094</v>
      </c>
      <c r="AW227">
        <v>227</v>
      </c>
      <c r="BG227" s="114">
        <f t="shared" ca="1" si="125"/>
        <v>24317.72</v>
      </c>
      <c r="BI227">
        <f t="shared" si="126"/>
        <v>0</v>
      </c>
    </row>
    <row r="228" spans="1:61" x14ac:dyDescent="0.25">
      <c r="A228" s="113">
        <f>A227</f>
        <v>980</v>
      </c>
      <c r="B228" s="113" t="str">
        <f>B227</f>
        <v>a</v>
      </c>
      <c r="C228" s="113" t="str">
        <f t="shared" ref="C228:X233" si="130">C227</f>
        <v>b</v>
      </c>
      <c r="D228" s="113" t="str">
        <f t="shared" si="130"/>
        <v>c</v>
      </c>
      <c r="E228" s="113" t="str">
        <f t="shared" si="130"/>
        <v>d</v>
      </c>
      <c r="F228" s="113" t="str">
        <f t="shared" si="130"/>
        <v>e</v>
      </c>
      <c r="G228" s="113" t="str">
        <f t="shared" si="130"/>
        <v>f</v>
      </c>
      <c r="H228" s="113" t="str">
        <f t="shared" si="130"/>
        <v>g</v>
      </c>
      <c r="I228" s="113" t="str">
        <f t="shared" si="130"/>
        <v>h</v>
      </c>
      <c r="J228" s="113" t="str">
        <f t="shared" si="130"/>
        <v>i</v>
      </c>
      <c r="K228" s="113" t="str">
        <f t="shared" si="130"/>
        <v>j</v>
      </c>
      <c r="L228" s="113" t="str">
        <f t="shared" si="130"/>
        <v>k</v>
      </c>
      <c r="M228" s="113" t="str">
        <f t="shared" si="130"/>
        <v>l</v>
      </c>
      <c r="N228" s="113" t="str">
        <f t="shared" si="130"/>
        <v>m</v>
      </c>
      <c r="O228" s="113">
        <f t="shared" si="130"/>
        <v>0</v>
      </c>
      <c r="P228" s="113">
        <f t="shared" si="130"/>
        <v>0</v>
      </c>
      <c r="Q228" s="113" t="str">
        <f t="shared" si="130"/>
        <v>p</v>
      </c>
      <c r="R228" s="113">
        <f t="shared" si="130"/>
        <v>0</v>
      </c>
      <c r="S228" s="113">
        <f t="shared" si="130"/>
        <v>0</v>
      </c>
      <c r="T228" s="113">
        <f t="shared" si="130"/>
        <v>0</v>
      </c>
      <c r="U228" s="113">
        <f t="shared" si="130"/>
        <v>0</v>
      </c>
      <c r="V228" s="113">
        <f t="shared" si="130"/>
        <v>0</v>
      </c>
      <c r="W228" s="113">
        <f t="shared" si="130"/>
        <v>0</v>
      </c>
      <c r="X228" s="113">
        <f t="shared" si="130"/>
        <v>0</v>
      </c>
      <c r="AA228" s="113">
        <v>3</v>
      </c>
      <c r="AB228" s="112">
        <f t="shared" ref="AB228:AC233" ca="1" si="131">AB227</f>
        <v>43831</v>
      </c>
      <c r="AC228" s="112">
        <f t="shared" ca="1" si="131"/>
        <v>44196</v>
      </c>
      <c r="AE228" s="114">
        <f ca="1">AE221</f>
        <v>1188.0999999999999</v>
      </c>
      <c r="AF228" s="114">
        <f t="shared" ca="1" si="112"/>
        <v>15764.09</v>
      </c>
      <c r="AG228" s="114">
        <f t="shared" ca="1" si="112"/>
        <v>0</v>
      </c>
      <c r="AH228" s="114">
        <f t="shared" ca="1" si="112"/>
        <v>0</v>
      </c>
      <c r="AI228" s="114">
        <f t="shared" ca="1" si="112"/>
        <v>6459.63</v>
      </c>
      <c r="AJ228" s="114">
        <f t="shared" ca="1" si="112"/>
        <v>0</v>
      </c>
      <c r="AK228" s="114">
        <f t="shared" ca="1" si="112"/>
        <v>1833.63</v>
      </c>
      <c r="AN228">
        <f t="shared" si="127"/>
        <v>228</v>
      </c>
      <c r="AQ228" s="114">
        <f t="shared" ca="1" si="128"/>
        <v>2094</v>
      </c>
      <c r="AW228">
        <v>228</v>
      </c>
      <c r="BG228" s="114">
        <f t="shared" ca="1" si="125"/>
        <v>24317.72</v>
      </c>
      <c r="BI228">
        <f t="shared" ca="1" si="126"/>
        <v>1188.0999999999999</v>
      </c>
    </row>
    <row r="229" spans="1:61" x14ac:dyDescent="0.25">
      <c r="A229" s="113">
        <f>A228+2</f>
        <v>982</v>
      </c>
      <c r="B229" s="113" t="str">
        <f>B228</f>
        <v>a</v>
      </c>
      <c r="C229" s="113" t="str">
        <f t="shared" si="130"/>
        <v>b</v>
      </c>
      <c r="D229" s="113" t="str">
        <f t="shared" si="130"/>
        <v>c</v>
      </c>
      <c r="E229" s="113" t="str">
        <f t="shared" si="130"/>
        <v>d</v>
      </c>
      <c r="F229" s="113" t="str">
        <f t="shared" si="130"/>
        <v>e</v>
      </c>
      <c r="G229" s="113" t="str">
        <f t="shared" si="130"/>
        <v>f</v>
      </c>
      <c r="H229" s="113" t="str">
        <f t="shared" si="130"/>
        <v>g</v>
      </c>
      <c r="I229" s="113" t="str">
        <f t="shared" si="130"/>
        <v>h</v>
      </c>
      <c r="J229" s="113" t="str">
        <f t="shared" si="130"/>
        <v>i</v>
      </c>
      <c r="K229" s="113" t="str">
        <f t="shared" si="130"/>
        <v>j</v>
      </c>
      <c r="L229" s="113" t="str">
        <f t="shared" si="130"/>
        <v>k</v>
      </c>
      <c r="M229" s="113" t="str">
        <f t="shared" si="130"/>
        <v>l</v>
      </c>
      <c r="N229" s="113" t="str">
        <f t="shared" si="130"/>
        <v>m</v>
      </c>
      <c r="O229" s="113">
        <f t="shared" si="130"/>
        <v>0</v>
      </c>
      <c r="P229" s="113">
        <f t="shared" si="130"/>
        <v>0</v>
      </c>
      <c r="Q229" s="113" t="str">
        <f t="shared" si="130"/>
        <v>p</v>
      </c>
      <c r="R229" s="113">
        <f t="shared" si="130"/>
        <v>0</v>
      </c>
      <c r="S229" s="113">
        <f t="shared" si="130"/>
        <v>0</v>
      </c>
      <c r="T229" s="113">
        <f t="shared" si="130"/>
        <v>0</v>
      </c>
      <c r="U229" s="113">
        <f t="shared" si="130"/>
        <v>0</v>
      </c>
      <c r="V229" s="113">
        <f t="shared" si="130"/>
        <v>0</v>
      </c>
      <c r="W229" s="113">
        <f t="shared" si="130"/>
        <v>0</v>
      </c>
      <c r="X229" s="113">
        <f t="shared" si="130"/>
        <v>0</v>
      </c>
      <c r="AA229" s="113">
        <v>9</v>
      </c>
      <c r="AB229" s="112">
        <f t="shared" ca="1" si="131"/>
        <v>43831</v>
      </c>
      <c r="AC229" s="112">
        <f t="shared" ca="1" si="131"/>
        <v>44196</v>
      </c>
      <c r="AF229" s="114">
        <f t="shared" ca="1" si="112"/>
        <v>19016.579999999998</v>
      </c>
      <c r="AG229" s="114">
        <f t="shared" ca="1" si="112"/>
        <v>0</v>
      </c>
      <c r="AH229" s="114">
        <f t="shared" ca="1" si="112"/>
        <v>0</v>
      </c>
      <c r="AI229" s="114">
        <f t="shared" ca="1" si="112"/>
        <v>6459.63</v>
      </c>
      <c r="AJ229" s="114">
        <f t="shared" ca="1" si="112"/>
        <v>0</v>
      </c>
      <c r="AK229" s="114">
        <f t="shared" ca="1" si="112"/>
        <v>2101.9299999999998</v>
      </c>
      <c r="AN229">
        <f t="shared" si="127"/>
        <v>229</v>
      </c>
      <c r="AQ229" s="114">
        <f t="shared" ca="1" si="128"/>
        <v>2094</v>
      </c>
      <c r="AW229">
        <v>229</v>
      </c>
      <c r="BG229" s="114">
        <f t="shared" ca="1" si="125"/>
        <v>27570.21</v>
      </c>
      <c r="BI229">
        <f t="shared" si="126"/>
        <v>0</v>
      </c>
    </row>
    <row r="230" spans="1:61" x14ac:dyDescent="0.25">
      <c r="A230" s="113">
        <f>A229+2</f>
        <v>984</v>
      </c>
      <c r="B230" s="113" t="str">
        <f>B229</f>
        <v>a</v>
      </c>
      <c r="C230" s="113" t="str">
        <f t="shared" si="130"/>
        <v>b</v>
      </c>
      <c r="D230" s="113" t="str">
        <f t="shared" si="130"/>
        <v>c</v>
      </c>
      <c r="E230" s="113" t="str">
        <f t="shared" si="130"/>
        <v>d</v>
      </c>
      <c r="F230" s="113" t="str">
        <f t="shared" si="130"/>
        <v>e</v>
      </c>
      <c r="G230" s="113" t="str">
        <f t="shared" si="130"/>
        <v>f</v>
      </c>
      <c r="H230" s="113" t="str">
        <f t="shared" si="130"/>
        <v>g</v>
      </c>
      <c r="I230" s="113" t="str">
        <f t="shared" si="130"/>
        <v>h</v>
      </c>
      <c r="J230" s="113" t="str">
        <f t="shared" si="130"/>
        <v>i</v>
      </c>
      <c r="K230" s="113" t="str">
        <f t="shared" si="130"/>
        <v>j</v>
      </c>
      <c r="L230" s="113" t="str">
        <f t="shared" si="130"/>
        <v>k</v>
      </c>
      <c r="M230" s="113" t="str">
        <f t="shared" si="130"/>
        <v>l</v>
      </c>
      <c r="N230" s="113" t="str">
        <f t="shared" si="130"/>
        <v>m</v>
      </c>
      <c r="O230" s="113">
        <f t="shared" si="130"/>
        <v>0</v>
      </c>
      <c r="P230" s="113">
        <f t="shared" si="130"/>
        <v>0</v>
      </c>
      <c r="Q230" s="113" t="str">
        <f t="shared" si="130"/>
        <v>p</v>
      </c>
      <c r="R230" s="113">
        <f t="shared" si="130"/>
        <v>0</v>
      </c>
      <c r="S230" s="113">
        <f t="shared" si="130"/>
        <v>0</v>
      </c>
      <c r="T230" s="113">
        <f t="shared" si="130"/>
        <v>0</v>
      </c>
      <c r="U230" s="113">
        <f t="shared" si="130"/>
        <v>0</v>
      </c>
      <c r="V230" s="113">
        <f t="shared" si="130"/>
        <v>0</v>
      </c>
      <c r="W230" s="113">
        <f t="shared" si="130"/>
        <v>0</v>
      </c>
      <c r="X230" s="113">
        <f t="shared" si="130"/>
        <v>0</v>
      </c>
      <c r="AA230" s="113">
        <v>15</v>
      </c>
      <c r="AB230" s="112">
        <f t="shared" ca="1" si="131"/>
        <v>43831</v>
      </c>
      <c r="AC230" s="112">
        <f t="shared" ca="1" si="131"/>
        <v>44196</v>
      </c>
      <c r="AF230" s="114">
        <f t="shared" ca="1" si="112"/>
        <v>21487.759999999998</v>
      </c>
      <c r="AG230" s="114">
        <f t="shared" ca="1" si="112"/>
        <v>0</v>
      </c>
      <c r="AH230" s="114">
        <f t="shared" ca="1" si="112"/>
        <v>0</v>
      </c>
      <c r="AI230" s="114">
        <f t="shared" ca="1" si="112"/>
        <v>6459.63</v>
      </c>
      <c r="AJ230" s="114">
        <f t="shared" ca="1" si="112"/>
        <v>0</v>
      </c>
      <c r="AK230" s="114">
        <f t="shared" ca="1" si="112"/>
        <v>2305.7800000000002</v>
      </c>
      <c r="AN230">
        <f t="shared" si="127"/>
        <v>230</v>
      </c>
      <c r="AQ230" s="114">
        <f t="shared" ca="1" si="128"/>
        <v>2577.6</v>
      </c>
      <c r="AW230">
        <v>230</v>
      </c>
      <c r="BG230" s="114">
        <f t="shared" ca="1" si="125"/>
        <v>30524.989999999998</v>
      </c>
      <c r="BI230">
        <f t="shared" si="126"/>
        <v>0</v>
      </c>
    </row>
    <row r="231" spans="1:61" x14ac:dyDescent="0.25">
      <c r="A231" s="113">
        <f>A230+2</f>
        <v>986</v>
      </c>
      <c r="B231" s="113" t="str">
        <f>B230</f>
        <v>a</v>
      </c>
      <c r="C231" s="113" t="str">
        <f t="shared" si="130"/>
        <v>b</v>
      </c>
      <c r="D231" s="113" t="str">
        <f t="shared" si="130"/>
        <v>c</v>
      </c>
      <c r="E231" s="113" t="str">
        <f t="shared" si="130"/>
        <v>d</v>
      </c>
      <c r="F231" s="113" t="str">
        <f t="shared" si="130"/>
        <v>e</v>
      </c>
      <c r="G231" s="113" t="str">
        <f t="shared" si="130"/>
        <v>f</v>
      </c>
      <c r="H231" s="113" t="str">
        <f t="shared" si="130"/>
        <v>g</v>
      </c>
      <c r="I231" s="113" t="str">
        <f t="shared" si="130"/>
        <v>h</v>
      </c>
      <c r="J231" s="113" t="str">
        <f t="shared" si="130"/>
        <v>i</v>
      </c>
      <c r="K231" s="113" t="str">
        <f t="shared" si="130"/>
        <v>j</v>
      </c>
      <c r="L231" s="113" t="str">
        <f t="shared" si="130"/>
        <v>k</v>
      </c>
      <c r="M231" s="113" t="str">
        <f t="shared" si="130"/>
        <v>l</v>
      </c>
      <c r="N231" s="113" t="str">
        <f t="shared" si="130"/>
        <v>m</v>
      </c>
      <c r="O231" s="113">
        <f t="shared" si="130"/>
        <v>0</v>
      </c>
      <c r="P231" s="113">
        <f t="shared" si="130"/>
        <v>0</v>
      </c>
      <c r="Q231" s="113" t="str">
        <f t="shared" si="130"/>
        <v>p</v>
      </c>
      <c r="R231" s="113">
        <f t="shared" si="130"/>
        <v>0</v>
      </c>
      <c r="S231" s="113">
        <f t="shared" si="130"/>
        <v>0</v>
      </c>
      <c r="T231" s="113">
        <f t="shared" si="130"/>
        <v>0</v>
      </c>
      <c r="U231" s="113">
        <f t="shared" si="130"/>
        <v>0</v>
      </c>
      <c r="V231" s="113">
        <f t="shared" si="130"/>
        <v>0</v>
      </c>
      <c r="W231" s="113">
        <f t="shared" si="130"/>
        <v>0</v>
      </c>
      <c r="X231" s="113">
        <f t="shared" si="130"/>
        <v>0</v>
      </c>
      <c r="AA231" s="113">
        <v>21</v>
      </c>
      <c r="AB231" s="112">
        <f t="shared" ca="1" si="131"/>
        <v>43831</v>
      </c>
      <c r="AC231" s="112">
        <f t="shared" ca="1" si="131"/>
        <v>44196</v>
      </c>
      <c r="AF231" s="114">
        <f t="shared" ca="1" si="112"/>
        <v>24635.82</v>
      </c>
      <c r="AG231" s="114">
        <f t="shared" ca="1" si="112"/>
        <v>0</v>
      </c>
      <c r="AH231" s="114">
        <f t="shared" ca="1" si="112"/>
        <v>0</v>
      </c>
      <c r="AI231" s="114">
        <f t="shared" ca="1" si="112"/>
        <v>6459.63</v>
      </c>
      <c r="AJ231" s="114">
        <f t="shared" ca="1" si="112"/>
        <v>0</v>
      </c>
      <c r="AK231" s="114">
        <f t="shared" ca="1" si="112"/>
        <v>2565.52</v>
      </c>
      <c r="AN231">
        <f t="shared" si="127"/>
        <v>231</v>
      </c>
      <c r="AQ231" s="114">
        <f t="shared" ca="1" si="128"/>
        <v>2577.6</v>
      </c>
      <c r="AW231">
        <v>231</v>
      </c>
      <c r="BG231" s="114">
        <f t="shared" ca="1" si="125"/>
        <v>33673.050000000003</v>
      </c>
      <c r="BI231">
        <f t="shared" si="126"/>
        <v>0</v>
      </c>
    </row>
    <row r="232" spans="1:61" x14ac:dyDescent="0.25">
      <c r="A232" s="113">
        <f>A231+2</f>
        <v>988</v>
      </c>
      <c r="B232" s="113" t="str">
        <f>B231</f>
        <v>a</v>
      </c>
      <c r="C232" s="113" t="str">
        <f t="shared" si="130"/>
        <v>b</v>
      </c>
      <c r="D232" s="113" t="str">
        <f t="shared" si="130"/>
        <v>c</v>
      </c>
      <c r="E232" s="113" t="str">
        <f t="shared" si="130"/>
        <v>d</v>
      </c>
      <c r="F232" s="113" t="str">
        <f t="shared" si="130"/>
        <v>e</v>
      </c>
      <c r="G232" s="113" t="str">
        <f t="shared" si="130"/>
        <v>f</v>
      </c>
      <c r="H232" s="113" t="str">
        <f t="shared" si="130"/>
        <v>g</v>
      </c>
      <c r="I232" s="113" t="str">
        <f t="shared" si="130"/>
        <v>h</v>
      </c>
      <c r="J232" s="113" t="str">
        <f t="shared" si="130"/>
        <v>i</v>
      </c>
      <c r="K232" s="113" t="str">
        <f t="shared" si="130"/>
        <v>j</v>
      </c>
      <c r="L232" s="113" t="str">
        <f t="shared" si="130"/>
        <v>k</v>
      </c>
      <c r="M232" s="113" t="str">
        <f t="shared" si="130"/>
        <v>l</v>
      </c>
      <c r="N232" s="113" t="str">
        <f t="shared" si="130"/>
        <v>m</v>
      </c>
      <c r="O232" s="113">
        <f t="shared" si="130"/>
        <v>0</v>
      </c>
      <c r="P232" s="113">
        <f t="shared" si="130"/>
        <v>0</v>
      </c>
      <c r="Q232" s="113" t="str">
        <f t="shared" si="130"/>
        <v>p</v>
      </c>
      <c r="R232" s="113">
        <f t="shared" si="130"/>
        <v>0</v>
      </c>
      <c r="S232" s="113">
        <f t="shared" si="130"/>
        <v>0</v>
      </c>
      <c r="T232" s="113">
        <f t="shared" si="130"/>
        <v>0</v>
      </c>
      <c r="U232" s="113">
        <f t="shared" si="130"/>
        <v>0</v>
      </c>
      <c r="V232" s="113">
        <f t="shared" si="130"/>
        <v>0</v>
      </c>
      <c r="W232" s="113">
        <f t="shared" si="130"/>
        <v>0</v>
      </c>
      <c r="X232" s="113">
        <f t="shared" si="130"/>
        <v>0</v>
      </c>
      <c r="AA232" s="113">
        <v>28</v>
      </c>
      <c r="AB232" s="112">
        <f t="shared" ca="1" si="131"/>
        <v>43831</v>
      </c>
      <c r="AC232" s="112">
        <f t="shared" ca="1" si="131"/>
        <v>44196</v>
      </c>
      <c r="AF232" s="114">
        <f t="shared" ca="1" si="112"/>
        <v>26699.74</v>
      </c>
      <c r="AG232" s="114">
        <f t="shared" ca="1" si="112"/>
        <v>0</v>
      </c>
      <c r="AH232" s="114">
        <f t="shared" ca="1" si="112"/>
        <v>0</v>
      </c>
      <c r="AI232" s="114">
        <f t="shared" ca="1" si="112"/>
        <v>6459.63</v>
      </c>
      <c r="AJ232" s="114">
        <f t="shared" ca="1" si="112"/>
        <v>0</v>
      </c>
      <c r="AK232" s="114">
        <f t="shared" ca="1" si="112"/>
        <v>2735.81</v>
      </c>
      <c r="AN232">
        <f t="shared" si="127"/>
        <v>232</v>
      </c>
      <c r="AQ232" s="114">
        <f t="shared" ca="1" si="128"/>
        <v>3278.4</v>
      </c>
      <c r="AW232">
        <v>232</v>
      </c>
      <c r="BG232" s="114">
        <f t="shared" ca="1" si="125"/>
        <v>36437.770000000004</v>
      </c>
      <c r="BI232">
        <f t="shared" si="126"/>
        <v>0</v>
      </c>
    </row>
    <row r="233" spans="1:61" x14ac:dyDescent="0.25">
      <c r="A233" s="113">
        <f>A232+2</f>
        <v>990</v>
      </c>
      <c r="B233" s="113" t="str">
        <f>B232</f>
        <v>a</v>
      </c>
      <c r="C233" s="113" t="str">
        <f t="shared" si="130"/>
        <v>b</v>
      </c>
      <c r="D233" s="113" t="str">
        <f t="shared" si="130"/>
        <v>c</v>
      </c>
      <c r="E233" s="113" t="str">
        <f t="shared" si="130"/>
        <v>d</v>
      </c>
      <c r="F233" s="113" t="str">
        <f t="shared" si="130"/>
        <v>e</v>
      </c>
      <c r="G233" s="113" t="str">
        <f t="shared" si="130"/>
        <v>f</v>
      </c>
      <c r="H233" s="113" t="str">
        <f t="shared" si="130"/>
        <v>g</v>
      </c>
      <c r="I233" s="113" t="str">
        <f t="shared" si="130"/>
        <v>h</v>
      </c>
      <c r="J233" s="113" t="str">
        <f t="shared" si="130"/>
        <v>i</v>
      </c>
      <c r="K233" s="113" t="str">
        <f t="shared" si="130"/>
        <v>j</v>
      </c>
      <c r="L233" s="113" t="str">
        <f t="shared" si="130"/>
        <v>k</v>
      </c>
      <c r="M233" s="113" t="str">
        <f t="shared" si="130"/>
        <v>l</v>
      </c>
      <c r="N233" s="113" t="str">
        <f t="shared" si="130"/>
        <v>m</v>
      </c>
      <c r="O233" s="113">
        <f t="shared" si="130"/>
        <v>0</v>
      </c>
      <c r="P233" s="113">
        <f t="shared" si="130"/>
        <v>0</v>
      </c>
      <c r="Q233" s="113" t="str">
        <f t="shared" si="130"/>
        <v>p</v>
      </c>
      <c r="R233" s="113">
        <f t="shared" si="130"/>
        <v>0</v>
      </c>
      <c r="S233" s="113">
        <f t="shared" si="130"/>
        <v>0</v>
      </c>
      <c r="T233" s="113">
        <f t="shared" si="130"/>
        <v>0</v>
      </c>
      <c r="U233" s="113">
        <f t="shared" si="130"/>
        <v>0</v>
      </c>
      <c r="V233" s="113">
        <f t="shared" si="130"/>
        <v>0</v>
      </c>
      <c r="W233" s="113">
        <f t="shared" si="130"/>
        <v>0</v>
      </c>
      <c r="X233" s="113">
        <f t="shared" si="130"/>
        <v>0</v>
      </c>
      <c r="AA233" s="113">
        <v>35</v>
      </c>
      <c r="AB233" s="112">
        <f t="shared" ca="1" si="131"/>
        <v>43831</v>
      </c>
      <c r="AC233" s="112">
        <f t="shared" ca="1" si="131"/>
        <v>44196</v>
      </c>
      <c r="AF233" s="114">
        <f t="shared" ca="1" si="112"/>
        <v>28335.439999999999</v>
      </c>
      <c r="AG233" s="114">
        <f t="shared" ca="1" si="112"/>
        <v>0</v>
      </c>
      <c r="AH233" s="114">
        <f t="shared" ca="1" si="112"/>
        <v>0</v>
      </c>
      <c r="AI233" s="114">
        <f t="shared" ca="1" si="112"/>
        <v>6459.63</v>
      </c>
      <c r="AJ233" s="114">
        <f t="shared" ca="1" si="112"/>
        <v>0</v>
      </c>
      <c r="AK233" s="114">
        <f t="shared" ca="1" si="112"/>
        <v>2870.75</v>
      </c>
      <c r="AN233">
        <f t="shared" si="127"/>
        <v>233</v>
      </c>
      <c r="AQ233" s="114">
        <f t="shared" ca="1" si="128"/>
        <v>3278.4</v>
      </c>
      <c r="AW233">
        <v>233</v>
      </c>
      <c r="BG233" s="114">
        <f t="shared" ca="1" si="125"/>
        <v>38073.47</v>
      </c>
      <c r="BI233">
        <f t="shared" si="126"/>
        <v>0</v>
      </c>
    </row>
    <row r="234" spans="1:61" x14ac:dyDescent="0.25">
      <c r="A234" s="113">
        <f>A227+20</f>
        <v>1000</v>
      </c>
      <c r="B234" s="113" t="str">
        <f>B227</f>
        <v>a</v>
      </c>
      <c r="C234" s="113" t="str">
        <f t="shared" ref="C234:X234" si="132">C227</f>
        <v>b</v>
      </c>
      <c r="D234" s="113" t="str">
        <f t="shared" si="132"/>
        <v>c</v>
      </c>
      <c r="E234" s="113" t="str">
        <f t="shared" si="132"/>
        <v>d</v>
      </c>
      <c r="F234" s="113" t="str">
        <f t="shared" si="132"/>
        <v>e</v>
      </c>
      <c r="G234" s="113" t="str">
        <f t="shared" si="132"/>
        <v>f</v>
      </c>
      <c r="H234" s="113" t="str">
        <f t="shared" si="132"/>
        <v>g</v>
      </c>
      <c r="I234" s="113" t="str">
        <f t="shared" si="132"/>
        <v>h</v>
      </c>
      <c r="J234" s="113" t="str">
        <f t="shared" si="132"/>
        <v>i</v>
      </c>
      <c r="K234" s="113" t="str">
        <f t="shared" si="132"/>
        <v>j</v>
      </c>
      <c r="L234" s="113" t="str">
        <f t="shared" si="132"/>
        <v>k</v>
      </c>
      <c r="M234" s="113" t="str">
        <f t="shared" si="132"/>
        <v>l</v>
      </c>
      <c r="N234" s="113" t="str">
        <f t="shared" si="132"/>
        <v>m</v>
      </c>
      <c r="O234" s="113">
        <f t="shared" si="132"/>
        <v>0</v>
      </c>
      <c r="P234" s="113">
        <f t="shared" si="132"/>
        <v>0</v>
      </c>
      <c r="Q234" s="113" t="str">
        <f t="shared" si="132"/>
        <v>p</v>
      </c>
      <c r="R234" s="113">
        <f t="shared" si="132"/>
        <v>0</v>
      </c>
      <c r="S234" s="113">
        <f t="shared" si="132"/>
        <v>0</v>
      </c>
      <c r="T234" s="113">
        <f t="shared" si="132"/>
        <v>0</v>
      </c>
      <c r="U234" s="113">
        <f t="shared" si="132"/>
        <v>0</v>
      </c>
      <c r="V234" s="113">
        <f t="shared" si="132"/>
        <v>0</v>
      </c>
      <c r="W234" s="113">
        <f t="shared" si="132"/>
        <v>0</v>
      </c>
      <c r="X234" s="113">
        <f t="shared" si="132"/>
        <v>0</v>
      </c>
      <c r="AA234" s="113">
        <v>0</v>
      </c>
      <c r="AB234" s="112">
        <f ca="1">INDIRECT(CONCATENATE($AB$10,CONCATENATE(B234,$A234)))</f>
        <v>44197</v>
      </c>
      <c r="AC234" s="112">
        <f ca="1">INDIRECT(CONCATENATE($AB$10,CONCATENATE(C234,$A234)))</f>
        <v>44561</v>
      </c>
      <c r="AF234" s="114">
        <f t="shared" ca="1" si="112"/>
        <v>16218.89</v>
      </c>
      <c r="AG234" s="114">
        <f ca="1">INDIRECT(CONCATENATE($AB$10,CONCATENATE(G234,$A234)))</f>
        <v>0</v>
      </c>
      <c r="AH234" s="114">
        <f ca="1">INDIRECT(CONCATENATE($AB$10,CONCATENATE(H234,$A234)))</f>
        <v>0</v>
      </c>
      <c r="AI234" s="114">
        <f ca="1">INDIRECT(CONCATENATE($AB$10,CONCATENATE(I234,$A234)))</f>
        <v>6459.63</v>
      </c>
      <c r="AJ234" s="114">
        <f ca="1">INDIRECT(CONCATENATE($AB$10,CONCATENATE(J234,$A234)))</f>
        <v>0</v>
      </c>
      <c r="AK234" s="114">
        <f ca="1">INDIRECT(CONCATENATE($AB$10,CONCATENATE(K234,$A234)))</f>
        <v>1833.63</v>
      </c>
      <c r="AN234">
        <f t="shared" si="127"/>
        <v>234</v>
      </c>
      <c r="AQ234" s="114">
        <f t="shared" ca="1" si="128"/>
        <v>2094</v>
      </c>
      <c r="AW234">
        <v>234</v>
      </c>
      <c r="BG234" s="114">
        <f t="shared" ca="1" si="125"/>
        <v>24772.52</v>
      </c>
      <c r="BI234">
        <f t="shared" si="126"/>
        <v>0</v>
      </c>
    </row>
    <row r="235" spans="1:61" x14ac:dyDescent="0.25">
      <c r="A235" s="113">
        <f>A234</f>
        <v>1000</v>
      </c>
      <c r="B235" s="113" t="str">
        <f>B234</f>
        <v>a</v>
      </c>
      <c r="C235" s="113" t="str">
        <f t="shared" ref="C235:X240" si="133">C234</f>
        <v>b</v>
      </c>
      <c r="D235" s="113" t="str">
        <f t="shared" si="133"/>
        <v>c</v>
      </c>
      <c r="E235" s="113" t="str">
        <f t="shared" si="133"/>
        <v>d</v>
      </c>
      <c r="F235" s="113" t="str">
        <f t="shared" si="133"/>
        <v>e</v>
      </c>
      <c r="G235" s="113" t="str">
        <f t="shared" si="133"/>
        <v>f</v>
      </c>
      <c r="H235" s="113" t="str">
        <f t="shared" si="133"/>
        <v>g</v>
      </c>
      <c r="I235" s="113" t="str">
        <f t="shared" si="133"/>
        <v>h</v>
      </c>
      <c r="J235" s="113" t="str">
        <f t="shared" si="133"/>
        <v>i</v>
      </c>
      <c r="K235" s="113" t="str">
        <f t="shared" si="133"/>
        <v>j</v>
      </c>
      <c r="L235" s="113" t="str">
        <f t="shared" si="133"/>
        <v>k</v>
      </c>
      <c r="M235" s="113" t="str">
        <f t="shared" si="133"/>
        <v>l</v>
      </c>
      <c r="N235" s="113" t="str">
        <f t="shared" si="133"/>
        <v>m</v>
      </c>
      <c r="O235" s="113">
        <f t="shared" si="133"/>
        <v>0</v>
      </c>
      <c r="P235" s="113">
        <f t="shared" si="133"/>
        <v>0</v>
      </c>
      <c r="Q235" s="113" t="str">
        <f t="shared" si="133"/>
        <v>p</v>
      </c>
      <c r="R235" s="113">
        <f t="shared" si="133"/>
        <v>0</v>
      </c>
      <c r="S235" s="113">
        <f t="shared" si="133"/>
        <v>0</v>
      </c>
      <c r="T235" s="113">
        <f t="shared" si="133"/>
        <v>0</v>
      </c>
      <c r="U235" s="113">
        <f t="shared" si="133"/>
        <v>0</v>
      </c>
      <c r="V235" s="113">
        <f t="shared" si="133"/>
        <v>0</v>
      </c>
      <c r="W235" s="113">
        <f t="shared" si="133"/>
        <v>0</v>
      </c>
      <c r="X235" s="113">
        <f t="shared" si="133"/>
        <v>0</v>
      </c>
      <c r="AA235" s="113">
        <v>3</v>
      </c>
      <c r="AB235" s="112">
        <f t="shared" ref="AB235:AC240" ca="1" si="134">AB234</f>
        <v>44197</v>
      </c>
      <c r="AC235" s="112">
        <f t="shared" ca="1" si="134"/>
        <v>44561</v>
      </c>
      <c r="AE235" s="114">
        <f ca="1">AE228</f>
        <v>1188.0999999999999</v>
      </c>
      <c r="AF235" s="114">
        <f t="shared" ca="1" si="112"/>
        <v>16218.89</v>
      </c>
      <c r="AG235" s="114">
        <f t="shared" ca="1" si="112"/>
        <v>0</v>
      </c>
      <c r="AH235" s="114">
        <f t="shared" ca="1" si="112"/>
        <v>0</v>
      </c>
      <c r="AI235" s="114">
        <f t="shared" ca="1" si="112"/>
        <v>6459.63</v>
      </c>
      <c r="AJ235" s="114">
        <f t="shared" ca="1" si="112"/>
        <v>0</v>
      </c>
      <c r="AK235" s="114">
        <f t="shared" ca="1" si="112"/>
        <v>1833.63</v>
      </c>
      <c r="AN235">
        <f t="shared" si="127"/>
        <v>235</v>
      </c>
      <c r="AQ235" s="114">
        <f t="shared" ca="1" si="128"/>
        <v>2094</v>
      </c>
      <c r="AW235">
        <v>235</v>
      </c>
      <c r="BG235" s="114">
        <f t="shared" ca="1" si="125"/>
        <v>24772.52</v>
      </c>
      <c r="BI235">
        <f t="shared" ca="1" si="126"/>
        <v>1188.0999999999999</v>
      </c>
    </row>
    <row r="236" spans="1:61" x14ac:dyDescent="0.25">
      <c r="A236" s="113">
        <f>A235+2</f>
        <v>1002</v>
      </c>
      <c r="B236" s="113" t="str">
        <f>B235</f>
        <v>a</v>
      </c>
      <c r="C236" s="113" t="str">
        <f t="shared" si="133"/>
        <v>b</v>
      </c>
      <c r="D236" s="113" t="str">
        <f t="shared" si="133"/>
        <v>c</v>
      </c>
      <c r="E236" s="113" t="str">
        <f t="shared" si="133"/>
        <v>d</v>
      </c>
      <c r="F236" s="113" t="str">
        <f t="shared" si="133"/>
        <v>e</v>
      </c>
      <c r="G236" s="113" t="str">
        <f t="shared" si="133"/>
        <v>f</v>
      </c>
      <c r="H236" s="113" t="str">
        <f t="shared" si="133"/>
        <v>g</v>
      </c>
      <c r="I236" s="113" t="str">
        <f t="shared" si="133"/>
        <v>h</v>
      </c>
      <c r="J236" s="113" t="str">
        <f t="shared" si="133"/>
        <v>i</v>
      </c>
      <c r="K236" s="113" t="str">
        <f t="shared" si="133"/>
        <v>j</v>
      </c>
      <c r="L236" s="113" t="str">
        <f t="shared" si="133"/>
        <v>k</v>
      </c>
      <c r="M236" s="113" t="str">
        <f t="shared" si="133"/>
        <v>l</v>
      </c>
      <c r="N236" s="113" t="str">
        <f t="shared" si="133"/>
        <v>m</v>
      </c>
      <c r="O236" s="113">
        <f t="shared" si="133"/>
        <v>0</v>
      </c>
      <c r="P236" s="113">
        <f t="shared" si="133"/>
        <v>0</v>
      </c>
      <c r="Q236" s="113" t="str">
        <f t="shared" si="133"/>
        <v>p</v>
      </c>
      <c r="R236" s="113">
        <f t="shared" si="133"/>
        <v>0</v>
      </c>
      <c r="S236" s="113">
        <f t="shared" si="133"/>
        <v>0</v>
      </c>
      <c r="T236" s="113">
        <f t="shared" si="133"/>
        <v>0</v>
      </c>
      <c r="U236" s="113">
        <f t="shared" si="133"/>
        <v>0</v>
      </c>
      <c r="V236" s="113">
        <f t="shared" si="133"/>
        <v>0</v>
      </c>
      <c r="W236" s="113">
        <f t="shared" si="133"/>
        <v>0</v>
      </c>
      <c r="X236" s="113">
        <f t="shared" si="133"/>
        <v>0</v>
      </c>
      <c r="AA236" s="113">
        <v>9</v>
      </c>
      <c r="AB236" s="112">
        <f t="shared" ca="1" si="134"/>
        <v>44197</v>
      </c>
      <c r="AC236" s="112">
        <f t="shared" ca="1" si="134"/>
        <v>44561</v>
      </c>
      <c r="AF236" s="114">
        <f t="shared" ca="1" si="112"/>
        <v>19536.18</v>
      </c>
      <c r="AG236" s="114">
        <f t="shared" ca="1" si="112"/>
        <v>0</v>
      </c>
      <c r="AH236" s="114">
        <f t="shared" ca="1" si="112"/>
        <v>0</v>
      </c>
      <c r="AI236" s="114">
        <f t="shared" ca="1" si="112"/>
        <v>6459.63</v>
      </c>
      <c r="AJ236" s="114">
        <f t="shared" ca="1" si="112"/>
        <v>0</v>
      </c>
      <c r="AK236" s="114">
        <f t="shared" ca="1" si="112"/>
        <v>2101.9299999999998</v>
      </c>
      <c r="AN236">
        <f t="shared" si="127"/>
        <v>236</v>
      </c>
      <c r="AQ236" s="114">
        <f t="shared" ca="1" si="128"/>
        <v>2094</v>
      </c>
      <c r="AW236">
        <v>236</v>
      </c>
      <c r="BG236" s="114">
        <f t="shared" ca="1" si="125"/>
        <v>28089.81</v>
      </c>
      <c r="BI236">
        <f t="shared" si="126"/>
        <v>0</v>
      </c>
    </row>
    <row r="237" spans="1:61" x14ac:dyDescent="0.25">
      <c r="A237" s="113">
        <f>A236+2</f>
        <v>1004</v>
      </c>
      <c r="B237" s="113" t="str">
        <f>B236</f>
        <v>a</v>
      </c>
      <c r="C237" s="113" t="str">
        <f t="shared" si="133"/>
        <v>b</v>
      </c>
      <c r="D237" s="113" t="str">
        <f t="shared" si="133"/>
        <v>c</v>
      </c>
      <c r="E237" s="113" t="str">
        <f t="shared" si="133"/>
        <v>d</v>
      </c>
      <c r="F237" s="113" t="str">
        <f t="shared" si="133"/>
        <v>e</v>
      </c>
      <c r="G237" s="113" t="str">
        <f t="shared" si="133"/>
        <v>f</v>
      </c>
      <c r="H237" s="113" t="str">
        <f t="shared" si="133"/>
        <v>g</v>
      </c>
      <c r="I237" s="113" t="str">
        <f t="shared" si="133"/>
        <v>h</v>
      </c>
      <c r="J237" s="113" t="str">
        <f t="shared" si="133"/>
        <v>i</v>
      </c>
      <c r="K237" s="113" t="str">
        <f t="shared" si="133"/>
        <v>j</v>
      </c>
      <c r="L237" s="113" t="str">
        <f t="shared" si="133"/>
        <v>k</v>
      </c>
      <c r="M237" s="113" t="str">
        <f t="shared" si="133"/>
        <v>l</v>
      </c>
      <c r="N237" s="113" t="str">
        <f t="shared" si="133"/>
        <v>m</v>
      </c>
      <c r="O237" s="113">
        <f t="shared" si="133"/>
        <v>0</v>
      </c>
      <c r="P237" s="113">
        <f t="shared" si="133"/>
        <v>0</v>
      </c>
      <c r="Q237" s="113" t="str">
        <f t="shared" si="133"/>
        <v>p</v>
      </c>
      <c r="R237" s="113">
        <f t="shared" si="133"/>
        <v>0</v>
      </c>
      <c r="S237" s="113">
        <f t="shared" si="133"/>
        <v>0</v>
      </c>
      <c r="T237" s="113">
        <f t="shared" si="133"/>
        <v>0</v>
      </c>
      <c r="U237" s="113">
        <f t="shared" si="133"/>
        <v>0</v>
      </c>
      <c r="V237" s="113">
        <f t="shared" si="133"/>
        <v>0</v>
      </c>
      <c r="W237" s="113">
        <f t="shared" si="133"/>
        <v>0</v>
      </c>
      <c r="X237" s="113">
        <f t="shared" si="133"/>
        <v>0</v>
      </c>
      <c r="AA237" s="113">
        <v>15</v>
      </c>
      <c r="AB237" s="112">
        <f t="shared" ca="1" si="134"/>
        <v>44197</v>
      </c>
      <c r="AC237" s="112">
        <f t="shared" ca="1" si="134"/>
        <v>44561</v>
      </c>
      <c r="AF237" s="114">
        <f t="shared" ca="1" si="112"/>
        <v>22061.18</v>
      </c>
      <c r="AG237" s="114">
        <f t="shared" ca="1" si="112"/>
        <v>0</v>
      </c>
      <c r="AH237" s="114">
        <f t="shared" ca="1" si="112"/>
        <v>0</v>
      </c>
      <c r="AI237" s="114">
        <f t="shared" ca="1" si="112"/>
        <v>6459.63</v>
      </c>
      <c r="AJ237" s="114">
        <f t="shared" ca="1" si="112"/>
        <v>0</v>
      </c>
      <c r="AK237" s="114">
        <f t="shared" ca="1" si="112"/>
        <v>2305.7800000000002</v>
      </c>
      <c r="AN237">
        <f t="shared" si="127"/>
        <v>237</v>
      </c>
      <c r="AQ237" s="114">
        <f t="shared" ca="1" si="128"/>
        <v>2577.6</v>
      </c>
      <c r="AW237">
        <v>237</v>
      </c>
      <c r="BG237" s="114">
        <f t="shared" ca="1" si="125"/>
        <v>31098.41</v>
      </c>
      <c r="BI237">
        <f t="shared" si="126"/>
        <v>0</v>
      </c>
    </row>
    <row r="238" spans="1:61" x14ac:dyDescent="0.25">
      <c r="A238" s="113">
        <f>A237+2</f>
        <v>1006</v>
      </c>
      <c r="B238" s="113" t="str">
        <f>B237</f>
        <v>a</v>
      </c>
      <c r="C238" s="113" t="str">
        <f t="shared" si="133"/>
        <v>b</v>
      </c>
      <c r="D238" s="113" t="str">
        <f t="shared" si="133"/>
        <v>c</v>
      </c>
      <c r="E238" s="113" t="str">
        <f t="shared" si="133"/>
        <v>d</v>
      </c>
      <c r="F238" s="113" t="str">
        <f t="shared" si="133"/>
        <v>e</v>
      </c>
      <c r="G238" s="113" t="str">
        <f t="shared" si="133"/>
        <v>f</v>
      </c>
      <c r="H238" s="113" t="str">
        <f t="shared" si="133"/>
        <v>g</v>
      </c>
      <c r="I238" s="113" t="str">
        <f t="shared" si="133"/>
        <v>h</v>
      </c>
      <c r="J238" s="113" t="str">
        <f t="shared" si="133"/>
        <v>i</v>
      </c>
      <c r="K238" s="113" t="str">
        <f t="shared" si="133"/>
        <v>j</v>
      </c>
      <c r="L238" s="113" t="str">
        <f t="shared" si="133"/>
        <v>k</v>
      </c>
      <c r="M238" s="113" t="str">
        <f t="shared" si="133"/>
        <v>l</v>
      </c>
      <c r="N238" s="113" t="str">
        <f t="shared" si="133"/>
        <v>m</v>
      </c>
      <c r="O238" s="113">
        <f t="shared" si="133"/>
        <v>0</v>
      </c>
      <c r="P238" s="113">
        <f t="shared" si="133"/>
        <v>0</v>
      </c>
      <c r="Q238" s="113" t="str">
        <f t="shared" si="133"/>
        <v>p</v>
      </c>
      <c r="R238" s="113">
        <f t="shared" si="133"/>
        <v>0</v>
      </c>
      <c r="S238" s="113">
        <f t="shared" si="133"/>
        <v>0</v>
      </c>
      <c r="T238" s="113">
        <f t="shared" si="133"/>
        <v>0</v>
      </c>
      <c r="U238" s="113">
        <f t="shared" si="133"/>
        <v>0</v>
      </c>
      <c r="V238" s="113">
        <f t="shared" si="133"/>
        <v>0</v>
      </c>
      <c r="W238" s="113">
        <f t="shared" si="133"/>
        <v>0</v>
      </c>
      <c r="X238" s="113">
        <f t="shared" si="133"/>
        <v>0</v>
      </c>
      <c r="AA238" s="113">
        <v>21</v>
      </c>
      <c r="AB238" s="112">
        <f t="shared" ca="1" si="134"/>
        <v>44197</v>
      </c>
      <c r="AC238" s="112">
        <f t="shared" ca="1" si="134"/>
        <v>44561</v>
      </c>
      <c r="AF238" s="114">
        <f t="shared" ca="1" si="112"/>
        <v>25276.62</v>
      </c>
      <c r="AG238" s="114">
        <f t="shared" ca="1" si="112"/>
        <v>0</v>
      </c>
      <c r="AH238" s="114">
        <f t="shared" ca="1" si="112"/>
        <v>0</v>
      </c>
      <c r="AI238" s="114">
        <f t="shared" ca="1" si="112"/>
        <v>6459.63</v>
      </c>
      <c r="AJ238" s="114">
        <f t="shared" ca="1" si="112"/>
        <v>0</v>
      </c>
      <c r="AK238" s="114">
        <f t="shared" ca="1" si="112"/>
        <v>2565.52</v>
      </c>
      <c r="AN238">
        <f t="shared" si="127"/>
        <v>238</v>
      </c>
      <c r="AQ238" s="114">
        <f t="shared" ca="1" si="128"/>
        <v>2577.6</v>
      </c>
      <c r="AW238">
        <v>238</v>
      </c>
      <c r="BG238" s="114">
        <f t="shared" ca="1" si="125"/>
        <v>34313.85</v>
      </c>
      <c r="BI238">
        <f t="shared" si="126"/>
        <v>0</v>
      </c>
    </row>
    <row r="239" spans="1:61" x14ac:dyDescent="0.25">
      <c r="A239" s="113">
        <f>A238+2</f>
        <v>1008</v>
      </c>
      <c r="B239" s="113" t="str">
        <f>B238</f>
        <v>a</v>
      </c>
      <c r="C239" s="113" t="str">
        <f t="shared" si="133"/>
        <v>b</v>
      </c>
      <c r="D239" s="113" t="str">
        <f t="shared" si="133"/>
        <v>c</v>
      </c>
      <c r="E239" s="113" t="str">
        <f t="shared" si="133"/>
        <v>d</v>
      </c>
      <c r="F239" s="113" t="str">
        <f t="shared" si="133"/>
        <v>e</v>
      </c>
      <c r="G239" s="113" t="str">
        <f t="shared" si="133"/>
        <v>f</v>
      </c>
      <c r="H239" s="113" t="str">
        <f t="shared" si="133"/>
        <v>g</v>
      </c>
      <c r="I239" s="113" t="str">
        <f t="shared" si="133"/>
        <v>h</v>
      </c>
      <c r="J239" s="113" t="str">
        <f t="shared" si="133"/>
        <v>i</v>
      </c>
      <c r="K239" s="113" t="str">
        <f t="shared" si="133"/>
        <v>j</v>
      </c>
      <c r="L239" s="113" t="str">
        <f t="shared" si="133"/>
        <v>k</v>
      </c>
      <c r="M239" s="113" t="str">
        <f t="shared" si="133"/>
        <v>l</v>
      </c>
      <c r="N239" s="113" t="str">
        <f t="shared" si="133"/>
        <v>m</v>
      </c>
      <c r="O239" s="113">
        <f t="shared" si="133"/>
        <v>0</v>
      </c>
      <c r="P239" s="113">
        <f t="shared" si="133"/>
        <v>0</v>
      </c>
      <c r="Q239" s="113" t="str">
        <f t="shared" si="133"/>
        <v>p</v>
      </c>
      <c r="R239" s="113">
        <f t="shared" si="133"/>
        <v>0</v>
      </c>
      <c r="S239" s="113">
        <f t="shared" si="133"/>
        <v>0</v>
      </c>
      <c r="T239" s="113">
        <f t="shared" si="133"/>
        <v>0</v>
      </c>
      <c r="U239" s="113">
        <f t="shared" si="133"/>
        <v>0</v>
      </c>
      <c r="V239" s="113">
        <f t="shared" si="133"/>
        <v>0</v>
      </c>
      <c r="W239" s="113">
        <f t="shared" si="133"/>
        <v>0</v>
      </c>
      <c r="X239" s="113">
        <f t="shared" si="133"/>
        <v>0</v>
      </c>
      <c r="AA239" s="113">
        <v>28</v>
      </c>
      <c r="AB239" s="112">
        <f t="shared" ca="1" si="134"/>
        <v>44197</v>
      </c>
      <c r="AC239" s="112">
        <f t="shared" ca="1" si="134"/>
        <v>44561</v>
      </c>
      <c r="AF239" s="114">
        <f t="shared" ca="1" si="112"/>
        <v>27377.74</v>
      </c>
      <c r="AG239" s="114">
        <f t="shared" ca="1" si="112"/>
        <v>0</v>
      </c>
      <c r="AH239" s="114">
        <f t="shared" ca="1" si="112"/>
        <v>0</v>
      </c>
      <c r="AI239" s="114">
        <f t="shared" ca="1" si="112"/>
        <v>6459.63</v>
      </c>
      <c r="AJ239" s="114">
        <f t="shared" ca="1" si="112"/>
        <v>0</v>
      </c>
      <c r="AK239" s="114">
        <f t="shared" ca="1" si="112"/>
        <v>2735.81</v>
      </c>
      <c r="AN239">
        <f t="shared" si="127"/>
        <v>239</v>
      </c>
      <c r="AQ239" s="114">
        <f t="shared" ca="1" si="128"/>
        <v>3278.4</v>
      </c>
      <c r="AW239">
        <v>239</v>
      </c>
      <c r="BG239" s="114">
        <f t="shared" ca="1" si="125"/>
        <v>37115.770000000004</v>
      </c>
      <c r="BI239">
        <f t="shared" si="126"/>
        <v>0</v>
      </c>
    </row>
    <row r="240" spans="1:61" x14ac:dyDescent="0.25">
      <c r="A240" s="113">
        <f>A239+2</f>
        <v>1010</v>
      </c>
      <c r="B240" s="113" t="str">
        <f>B239</f>
        <v>a</v>
      </c>
      <c r="C240" s="113" t="str">
        <f t="shared" si="133"/>
        <v>b</v>
      </c>
      <c r="D240" s="113" t="str">
        <f t="shared" si="133"/>
        <v>c</v>
      </c>
      <c r="E240" s="113" t="str">
        <f t="shared" si="133"/>
        <v>d</v>
      </c>
      <c r="F240" s="113" t="str">
        <f t="shared" si="133"/>
        <v>e</v>
      </c>
      <c r="G240" s="113" t="str">
        <f t="shared" si="133"/>
        <v>f</v>
      </c>
      <c r="H240" s="113" t="str">
        <f t="shared" si="133"/>
        <v>g</v>
      </c>
      <c r="I240" s="113" t="str">
        <f t="shared" si="133"/>
        <v>h</v>
      </c>
      <c r="J240" s="113" t="str">
        <f t="shared" si="133"/>
        <v>i</v>
      </c>
      <c r="K240" s="113" t="str">
        <f t="shared" si="133"/>
        <v>j</v>
      </c>
      <c r="L240" s="113" t="str">
        <f t="shared" si="133"/>
        <v>k</v>
      </c>
      <c r="M240" s="113" t="str">
        <f t="shared" si="133"/>
        <v>l</v>
      </c>
      <c r="N240" s="113" t="str">
        <f t="shared" si="133"/>
        <v>m</v>
      </c>
      <c r="O240" s="113">
        <f t="shared" si="133"/>
        <v>0</v>
      </c>
      <c r="P240" s="113">
        <f t="shared" si="133"/>
        <v>0</v>
      </c>
      <c r="Q240" s="113" t="str">
        <f t="shared" si="133"/>
        <v>p</v>
      </c>
      <c r="R240" s="113">
        <f t="shared" si="133"/>
        <v>0</v>
      </c>
      <c r="S240" s="113">
        <f t="shared" si="133"/>
        <v>0</v>
      </c>
      <c r="T240" s="113">
        <f t="shared" si="133"/>
        <v>0</v>
      </c>
      <c r="U240" s="113">
        <f t="shared" si="133"/>
        <v>0</v>
      </c>
      <c r="V240" s="113">
        <f t="shared" si="133"/>
        <v>0</v>
      </c>
      <c r="W240" s="113">
        <f t="shared" si="133"/>
        <v>0</v>
      </c>
      <c r="X240" s="113">
        <f t="shared" si="133"/>
        <v>0</v>
      </c>
      <c r="AA240" s="113">
        <v>35</v>
      </c>
      <c r="AB240" s="112">
        <f t="shared" ca="1" si="134"/>
        <v>44197</v>
      </c>
      <c r="AC240" s="112">
        <f t="shared" ca="1" si="134"/>
        <v>44561</v>
      </c>
      <c r="AF240" s="114">
        <f t="shared" ca="1" si="112"/>
        <v>29045.84</v>
      </c>
      <c r="AG240" s="114">
        <f t="shared" ca="1" si="112"/>
        <v>0</v>
      </c>
      <c r="AH240" s="114">
        <f t="shared" ca="1" si="112"/>
        <v>0</v>
      </c>
      <c r="AI240" s="114">
        <f t="shared" ca="1" si="112"/>
        <v>6459.63</v>
      </c>
      <c r="AJ240" s="114">
        <f t="shared" ca="1" si="112"/>
        <v>0</v>
      </c>
      <c r="AK240" s="114">
        <f t="shared" ca="1" si="112"/>
        <v>2870.75</v>
      </c>
      <c r="AN240">
        <f t="shared" si="127"/>
        <v>240</v>
      </c>
      <c r="AQ240" s="114">
        <f t="shared" ca="1" si="128"/>
        <v>3278.4</v>
      </c>
      <c r="AW240">
        <v>240</v>
      </c>
      <c r="BG240" s="114">
        <f t="shared" ca="1" si="125"/>
        <v>38783.870000000003</v>
      </c>
      <c r="BI240">
        <f t="shared" si="126"/>
        <v>0</v>
      </c>
    </row>
    <row r="241" spans="1:61" x14ac:dyDescent="0.25">
      <c r="A241" s="113">
        <f>A234+20</f>
        <v>1020</v>
      </c>
      <c r="B241" s="113" t="str">
        <f>B234</f>
        <v>a</v>
      </c>
      <c r="C241" s="113" t="str">
        <f t="shared" ref="C241:X241" si="135">C234</f>
        <v>b</v>
      </c>
      <c r="D241" s="113" t="str">
        <f t="shared" si="135"/>
        <v>c</v>
      </c>
      <c r="E241" s="113" t="str">
        <f t="shared" si="135"/>
        <v>d</v>
      </c>
      <c r="F241" s="113" t="str">
        <f t="shared" si="135"/>
        <v>e</v>
      </c>
      <c r="G241" s="113" t="str">
        <f t="shared" si="135"/>
        <v>f</v>
      </c>
      <c r="H241" s="113" t="str">
        <f t="shared" si="135"/>
        <v>g</v>
      </c>
      <c r="I241" s="113" t="str">
        <f t="shared" si="135"/>
        <v>h</v>
      </c>
      <c r="J241" s="113" t="str">
        <f t="shared" si="135"/>
        <v>i</v>
      </c>
      <c r="K241" s="113" t="str">
        <f t="shared" si="135"/>
        <v>j</v>
      </c>
      <c r="L241" s="113" t="str">
        <f t="shared" si="135"/>
        <v>k</v>
      </c>
      <c r="M241" s="113" t="str">
        <f t="shared" si="135"/>
        <v>l</v>
      </c>
      <c r="N241" s="113" t="str">
        <f t="shared" si="135"/>
        <v>m</v>
      </c>
      <c r="O241" s="113">
        <f t="shared" si="135"/>
        <v>0</v>
      </c>
      <c r="P241" s="113">
        <f t="shared" si="135"/>
        <v>0</v>
      </c>
      <c r="Q241" s="113" t="str">
        <f t="shared" si="135"/>
        <v>p</v>
      </c>
      <c r="R241" s="113">
        <f t="shared" si="135"/>
        <v>0</v>
      </c>
      <c r="S241" s="113">
        <f t="shared" si="135"/>
        <v>0</v>
      </c>
      <c r="T241" s="113">
        <f t="shared" si="135"/>
        <v>0</v>
      </c>
      <c r="U241" s="113">
        <f t="shared" si="135"/>
        <v>0</v>
      </c>
      <c r="V241" s="113">
        <f t="shared" si="135"/>
        <v>0</v>
      </c>
      <c r="W241" s="113">
        <f t="shared" si="135"/>
        <v>0</v>
      </c>
      <c r="X241" s="113">
        <f t="shared" si="135"/>
        <v>0</v>
      </c>
      <c r="AA241" s="113">
        <v>0</v>
      </c>
      <c r="AB241" s="112">
        <f ca="1">INDIRECT(CONCATENATE($AB$10,CONCATENATE(B241,$A241)))</f>
        <v>44562</v>
      </c>
      <c r="AC241" s="112">
        <f ca="1">INDIRECT(CONCATENATE($AB$10,CONCATENATE(C241,$A241)))</f>
        <v>44652</v>
      </c>
      <c r="AF241" s="114">
        <f t="shared" ca="1" si="112"/>
        <v>16218.89</v>
      </c>
      <c r="AG241" s="114">
        <f ca="1">INDIRECT(CONCATENATE($AB$10,CONCATENATE(G241,$A241)))</f>
        <v>0</v>
      </c>
      <c r="AH241" s="114">
        <f ca="1">INDIRECT(CONCATENATE($AB$10,CONCATENATE(H241,$A241)))</f>
        <v>0</v>
      </c>
      <c r="AI241" s="114">
        <f ca="1">INDIRECT(CONCATENATE($AB$10,CONCATENATE(I241,$A241)))</f>
        <v>6459.63</v>
      </c>
      <c r="AJ241" s="114">
        <f ca="1">INDIRECT(CONCATENATE($AB$10,CONCATENATE(J241,$A241)))</f>
        <v>0</v>
      </c>
      <c r="AK241" s="114">
        <f ca="1">INDIRECT(CONCATENATE($AB$10,CONCATENATE(K241,$A241)))</f>
        <v>1833.63</v>
      </c>
      <c r="AN241">
        <f t="shared" si="127"/>
        <v>241</v>
      </c>
      <c r="AQ241" s="114">
        <f t="shared" ca="1" si="128"/>
        <v>2214</v>
      </c>
      <c r="AW241">
        <v>241</v>
      </c>
      <c r="BG241" s="114">
        <f t="shared" ca="1" si="125"/>
        <v>24892.52</v>
      </c>
      <c r="BI241">
        <f t="shared" si="126"/>
        <v>0</v>
      </c>
    </row>
    <row r="242" spans="1:61" x14ac:dyDescent="0.25">
      <c r="A242" s="113">
        <f>A241</f>
        <v>1020</v>
      </c>
      <c r="B242" s="113" t="str">
        <f>B241</f>
        <v>a</v>
      </c>
      <c r="C242" s="113" t="str">
        <f t="shared" ref="C242:X254" si="136">C241</f>
        <v>b</v>
      </c>
      <c r="D242" s="113" t="str">
        <f t="shared" si="136"/>
        <v>c</v>
      </c>
      <c r="E242" s="113" t="str">
        <f t="shared" si="136"/>
        <v>d</v>
      </c>
      <c r="F242" s="113" t="str">
        <f t="shared" si="136"/>
        <v>e</v>
      </c>
      <c r="G242" s="113" t="str">
        <f t="shared" si="136"/>
        <v>f</v>
      </c>
      <c r="H242" s="113" t="str">
        <f t="shared" si="136"/>
        <v>g</v>
      </c>
      <c r="I242" s="113" t="str">
        <f t="shared" si="136"/>
        <v>h</v>
      </c>
      <c r="J242" s="113" t="str">
        <f t="shared" si="136"/>
        <v>i</v>
      </c>
      <c r="K242" s="113" t="str">
        <f t="shared" si="136"/>
        <v>j</v>
      </c>
      <c r="L242" s="113" t="str">
        <f t="shared" si="136"/>
        <v>k</v>
      </c>
      <c r="M242" s="113" t="str">
        <f t="shared" si="136"/>
        <v>l</v>
      </c>
      <c r="N242" s="113" t="str">
        <f t="shared" si="136"/>
        <v>m</v>
      </c>
      <c r="O242" s="113">
        <f t="shared" si="136"/>
        <v>0</v>
      </c>
      <c r="P242" s="113">
        <f t="shared" si="136"/>
        <v>0</v>
      </c>
      <c r="Q242" s="113" t="str">
        <f t="shared" si="136"/>
        <v>p</v>
      </c>
      <c r="R242" s="113">
        <f t="shared" si="136"/>
        <v>0</v>
      </c>
      <c r="S242" s="113">
        <f t="shared" si="136"/>
        <v>0</v>
      </c>
      <c r="T242" s="113">
        <f t="shared" si="136"/>
        <v>0</v>
      </c>
      <c r="U242" s="113">
        <f t="shared" si="136"/>
        <v>0</v>
      </c>
      <c r="V242" s="113">
        <f t="shared" si="136"/>
        <v>0</v>
      </c>
      <c r="W242" s="113">
        <f t="shared" si="136"/>
        <v>0</v>
      </c>
      <c r="X242" s="113">
        <f t="shared" si="136"/>
        <v>0</v>
      </c>
      <c r="AA242" s="113">
        <v>3</v>
      </c>
      <c r="AB242" s="112">
        <f t="shared" ref="AB242:AC247" ca="1" si="137">AB241</f>
        <v>44562</v>
      </c>
      <c r="AC242" s="112">
        <f t="shared" ca="1" si="137"/>
        <v>44652</v>
      </c>
      <c r="AE242" s="114">
        <f ca="1">AE235</f>
        <v>1188.0999999999999</v>
      </c>
      <c r="AF242" s="114">
        <f t="shared" ca="1" si="112"/>
        <v>16218.89</v>
      </c>
      <c r="AG242" s="114">
        <f t="shared" ca="1" si="112"/>
        <v>0</v>
      </c>
      <c r="AH242" s="114">
        <f t="shared" ca="1" si="112"/>
        <v>0</v>
      </c>
      <c r="AI242" s="114">
        <f t="shared" ca="1" si="112"/>
        <v>6459.63</v>
      </c>
      <c r="AJ242" s="114">
        <f t="shared" ca="1" si="112"/>
        <v>0</v>
      </c>
      <c r="AK242" s="114">
        <f t="shared" ca="1" si="112"/>
        <v>1833.63</v>
      </c>
      <c r="AN242">
        <f t="shared" si="127"/>
        <v>242</v>
      </c>
      <c r="AQ242" s="114">
        <f t="shared" ca="1" si="128"/>
        <v>2214</v>
      </c>
      <c r="AW242">
        <v>242</v>
      </c>
      <c r="BG242" s="114">
        <f t="shared" ca="1" si="125"/>
        <v>24892.52</v>
      </c>
      <c r="BI242">
        <f t="shared" ca="1" si="126"/>
        <v>1188.0999999999999</v>
      </c>
    </row>
    <row r="243" spans="1:61" x14ac:dyDescent="0.25">
      <c r="A243" s="113">
        <f>A242+2</f>
        <v>1022</v>
      </c>
      <c r="B243" s="113" t="str">
        <f>B242</f>
        <v>a</v>
      </c>
      <c r="C243" s="113" t="str">
        <f t="shared" si="136"/>
        <v>b</v>
      </c>
      <c r="D243" s="113" t="str">
        <f t="shared" si="136"/>
        <v>c</v>
      </c>
      <c r="E243" s="113" t="str">
        <f t="shared" si="136"/>
        <v>d</v>
      </c>
      <c r="F243" s="113" t="str">
        <f t="shared" si="136"/>
        <v>e</v>
      </c>
      <c r="G243" s="113" t="str">
        <f t="shared" si="136"/>
        <v>f</v>
      </c>
      <c r="H243" s="113" t="str">
        <f t="shared" si="136"/>
        <v>g</v>
      </c>
      <c r="I243" s="113" t="str">
        <f t="shared" si="136"/>
        <v>h</v>
      </c>
      <c r="J243" s="113" t="str">
        <f t="shared" si="136"/>
        <v>i</v>
      </c>
      <c r="K243" s="113" t="str">
        <f t="shared" si="136"/>
        <v>j</v>
      </c>
      <c r="L243" s="113" t="str">
        <f t="shared" si="136"/>
        <v>k</v>
      </c>
      <c r="M243" s="113" t="str">
        <f t="shared" si="136"/>
        <v>l</v>
      </c>
      <c r="N243" s="113" t="str">
        <f t="shared" si="136"/>
        <v>m</v>
      </c>
      <c r="O243" s="113">
        <f t="shared" si="136"/>
        <v>0</v>
      </c>
      <c r="P243" s="113">
        <f t="shared" si="136"/>
        <v>0</v>
      </c>
      <c r="Q243" s="113" t="str">
        <f t="shared" si="136"/>
        <v>p</v>
      </c>
      <c r="R243" s="113">
        <f t="shared" si="136"/>
        <v>0</v>
      </c>
      <c r="S243" s="113">
        <f t="shared" si="136"/>
        <v>0</v>
      </c>
      <c r="T243" s="113">
        <f t="shared" si="136"/>
        <v>0</v>
      </c>
      <c r="U243" s="113">
        <f t="shared" si="136"/>
        <v>0</v>
      </c>
      <c r="V243" s="113">
        <f t="shared" si="136"/>
        <v>0</v>
      </c>
      <c r="W243" s="113">
        <f t="shared" si="136"/>
        <v>0</v>
      </c>
      <c r="X243" s="113">
        <f t="shared" si="136"/>
        <v>0</v>
      </c>
      <c r="AA243" s="113">
        <v>9</v>
      </c>
      <c r="AB243" s="112">
        <f t="shared" ca="1" si="137"/>
        <v>44562</v>
      </c>
      <c r="AC243" s="112">
        <f t="shared" ca="1" si="137"/>
        <v>44652</v>
      </c>
      <c r="AF243" s="114">
        <f t="shared" ca="1" si="112"/>
        <v>19536.18</v>
      </c>
      <c r="AG243" s="114">
        <f t="shared" ca="1" si="112"/>
        <v>0</v>
      </c>
      <c r="AH243" s="114">
        <f t="shared" ca="1" si="112"/>
        <v>0</v>
      </c>
      <c r="AI243" s="114">
        <f t="shared" ca="1" si="112"/>
        <v>6459.63</v>
      </c>
      <c r="AJ243" s="114">
        <f t="shared" ca="1" si="112"/>
        <v>0</v>
      </c>
      <c r="AK243" s="114">
        <f t="shared" ca="1" si="112"/>
        <v>2101.9299999999998</v>
      </c>
      <c r="AN243">
        <f t="shared" si="127"/>
        <v>243</v>
      </c>
      <c r="AQ243" s="114">
        <f t="shared" ca="1" si="128"/>
        <v>2214</v>
      </c>
      <c r="AW243">
        <v>243</v>
      </c>
      <c r="BG243" s="114">
        <f t="shared" ca="1" si="125"/>
        <v>28209.81</v>
      </c>
      <c r="BI243">
        <f t="shared" si="126"/>
        <v>0</v>
      </c>
    </row>
    <row r="244" spans="1:61" x14ac:dyDescent="0.25">
      <c r="A244" s="113">
        <f>A243+2</f>
        <v>1024</v>
      </c>
      <c r="B244" s="113" t="str">
        <f>B243</f>
        <v>a</v>
      </c>
      <c r="C244" s="113" t="str">
        <f t="shared" si="136"/>
        <v>b</v>
      </c>
      <c r="D244" s="113" t="str">
        <f t="shared" si="136"/>
        <v>c</v>
      </c>
      <c r="E244" s="113" t="str">
        <f t="shared" si="136"/>
        <v>d</v>
      </c>
      <c r="F244" s="113" t="str">
        <f t="shared" si="136"/>
        <v>e</v>
      </c>
      <c r="G244" s="113" t="str">
        <f t="shared" si="136"/>
        <v>f</v>
      </c>
      <c r="H244" s="113" t="str">
        <f t="shared" si="136"/>
        <v>g</v>
      </c>
      <c r="I244" s="113" t="str">
        <f t="shared" si="136"/>
        <v>h</v>
      </c>
      <c r="J244" s="113" t="str">
        <f t="shared" si="136"/>
        <v>i</v>
      </c>
      <c r="K244" s="113" t="str">
        <f t="shared" si="136"/>
        <v>j</v>
      </c>
      <c r="L244" s="113" t="str">
        <f t="shared" si="136"/>
        <v>k</v>
      </c>
      <c r="M244" s="113" t="str">
        <f t="shared" si="136"/>
        <v>l</v>
      </c>
      <c r="N244" s="113" t="str">
        <f t="shared" si="136"/>
        <v>m</v>
      </c>
      <c r="O244" s="113">
        <f t="shared" si="136"/>
        <v>0</v>
      </c>
      <c r="P244" s="113">
        <f t="shared" si="136"/>
        <v>0</v>
      </c>
      <c r="Q244" s="113" t="str">
        <f t="shared" si="136"/>
        <v>p</v>
      </c>
      <c r="R244" s="113">
        <f t="shared" si="136"/>
        <v>0</v>
      </c>
      <c r="S244" s="113">
        <f t="shared" si="136"/>
        <v>0</v>
      </c>
      <c r="T244" s="113">
        <f t="shared" si="136"/>
        <v>0</v>
      </c>
      <c r="U244" s="113">
        <f t="shared" si="136"/>
        <v>0</v>
      </c>
      <c r="V244" s="113">
        <f t="shared" si="136"/>
        <v>0</v>
      </c>
      <c r="W244" s="113">
        <f t="shared" si="136"/>
        <v>0</v>
      </c>
      <c r="X244" s="113">
        <f t="shared" si="136"/>
        <v>0</v>
      </c>
      <c r="AA244" s="113">
        <v>15</v>
      </c>
      <c r="AB244" s="112">
        <f t="shared" ca="1" si="137"/>
        <v>44562</v>
      </c>
      <c r="AC244" s="112">
        <f t="shared" ca="1" si="137"/>
        <v>44652</v>
      </c>
      <c r="AF244" s="114">
        <f t="shared" ca="1" si="112"/>
        <v>22061.18</v>
      </c>
      <c r="AG244" s="114">
        <f t="shared" ca="1" si="112"/>
        <v>0</v>
      </c>
      <c r="AH244" s="114">
        <f t="shared" ca="1" si="112"/>
        <v>0</v>
      </c>
      <c r="AI244" s="114">
        <f t="shared" ca="1" si="112"/>
        <v>6459.63</v>
      </c>
      <c r="AJ244" s="114">
        <f t="shared" ca="1" si="112"/>
        <v>0</v>
      </c>
      <c r="AK244" s="114">
        <f t="shared" ca="1" si="112"/>
        <v>2305.7800000000002</v>
      </c>
      <c r="AN244">
        <f t="shared" si="127"/>
        <v>244</v>
      </c>
      <c r="AQ244" s="114">
        <f t="shared" ca="1" si="128"/>
        <v>2721.6</v>
      </c>
      <c r="AW244">
        <v>244</v>
      </c>
      <c r="BG244" s="114">
        <f t="shared" ca="1" si="125"/>
        <v>31242.41</v>
      </c>
      <c r="BI244">
        <f t="shared" si="126"/>
        <v>0</v>
      </c>
    </row>
    <row r="245" spans="1:61" x14ac:dyDescent="0.25">
      <c r="A245" s="113">
        <f>A244+2</f>
        <v>1026</v>
      </c>
      <c r="B245" s="113" t="str">
        <f>B244</f>
        <v>a</v>
      </c>
      <c r="C245" s="113" t="str">
        <f t="shared" si="136"/>
        <v>b</v>
      </c>
      <c r="D245" s="113" t="str">
        <f t="shared" si="136"/>
        <v>c</v>
      </c>
      <c r="E245" s="113" t="str">
        <f t="shared" si="136"/>
        <v>d</v>
      </c>
      <c r="F245" s="113" t="str">
        <f t="shared" si="136"/>
        <v>e</v>
      </c>
      <c r="G245" s="113" t="str">
        <f t="shared" si="136"/>
        <v>f</v>
      </c>
      <c r="H245" s="113" t="str">
        <f t="shared" si="136"/>
        <v>g</v>
      </c>
      <c r="I245" s="113" t="str">
        <f t="shared" si="136"/>
        <v>h</v>
      </c>
      <c r="J245" s="113" t="str">
        <f t="shared" si="136"/>
        <v>i</v>
      </c>
      <c r="K245" s="113" t="str">
        <f t="shared" si="136"/>
        <v>j</v>
      </c>
      <c r="L245" s="113" t="str">
        <f t="shared" si="136"/>
        <v>k</v>
      </c>
      <c r="M245" s="113" t="str">
        <f t="shared" si="136"/>
        <v>l</v>
      </c>
      <c r="N245" s="113" t="str">
        <f t="shared" si="136"/>
        <v>m</v>
      </c>
      <c r="O245" s="113">
        <f t="shared" si="136"/>
        <v>0</v>
      </c>
      <c r="P245" s="113">
        <f t="shared" si="136"/>
        <v>0</v>
      </c>
      <c r="Q245" s="113" t="str">
        <f t="shared" si="136"/>
        <v>p</v>
      </c>
      <c r="R245" s="113">
        <f t="shared" si="136"/>
        <v>0</v>
      </c>
      <c r="S245" s="113">
        <f t="shared" si="136"/>
        <v>0</v>
      </c>
      <c r="T245" s="113">
        <f t="shared" si="136"/>
        <v>0</v>
      </c>
      <c r="U245" s="113">
        <f t="shared" si="136"/>
        <v>0</v>
      </c>
      <c r="V245" s="113">
        <f t="shared" si="136"/>
        <v>0</v>
      </c>
      <c r="W245" s="113">
        <f t="shared" si="136"/>
        <v>0</v>
      </c>
      <c r="X245" s="113">
        <f t="shared" si="136"/>
        <v>0</v>
      </c>
      <c r="AA245" s="113">
        <v>21</v>
      </c>
      <c r="AB245" s="112">
        <f t="shared" ca="1" si="137"/>
        <v>44562</v>
      </c>
      <c r="AC245" s="112">
        <f t="shared" ca="1" si="137"/>
        <v>44652</v>
      </c>
      <c r="AF245" s="114">
        <f t="shared" ca="1" si="112"/>
        <v>25276.62</v>
      </c>
      <c r="AG245" s="114">
        <f t="shared" ca="1" si="112"/>
        <v>0</v>
      </c>
      <c r="AH245" s="114">
        <f t="shared" ref="AH245:AK247" ca="1" si="138">INDIRECT(CONCATENATE($AB$10,CONCATENATE(H245,$A245)))</f>
        <v>0</v>
      </c>
      <c r="AI245" s="114">
        <f t="shared" ca="1" si="138"/>
        <v>6459.63</v>
      </c>
      <c r="AJ245" s="114">
        <f t="shared" ca="1" si="138"/>
        <v>0</v>
      </c>
      <c r="AK245" s="114">
        <f t="shared" ca="1" si="138"/>
        <v>2565.52</v>
      </c>
      <c r="AN245">
        <f t="shared" si="127"/>
        <v>245</v>
      </c>
      <c r="AQ245" s="114">
        <f t="shared" ca="1" si="128"/>
        <v>2721.6</v>
      </c>
      <c r="AW245">
        <v>245</v>
      </c>
      <c r="BG245" s="114">
        <f t="shared" ca="1" si="125"/>
        <v>34457.85</v>
      </c>
      <c r="BI245">
        <f t="shared" si="126"/>
        <v>0</v>
      </c>
    </row>
    <row r="246" spans="1:61" x14ac:dyDescent="0.25">
      <c r="A246" s="113">
        <f>A245+2</f>
        <v>1028</v>
      </c>
      <c r="B246" s="113" t="str">
        <f>B245</f>
        <v>a</v>
      </c>
      <c r="C246" s="113" t="str">
        <f t="shared" si="136"/>
        <v>b</v>
      </c>
      <c r="D246" s="113" t="str">
        <f t="shared" si="136"/>
        <v>c</v>
      </c>
      <c r="E246" s="113" t="str">
        <f t="shared" si="136"/>
        <v>d</v>
      </c>
      <c r="F246" s="113" t="str">
        <f t="shared" si="136"/>
        <v>e</v>
      </c>
      <c r="G246" s="113" t="str">
        <f t="shared" si="136"/>
        <v>f</v>
      </c>
      <c r="H246" s="113" t="str">
        <f t="shared" si="136"/>
        <v>g</v>
      </c>
      <c r="I246" s="113" t="str">
        <f t="shared" si="136"/>
        <v>h</v>
      </c>
      <c r="J246" s="113" t="str">
        <f t="shared" si="136"/>
        <v>i</v>
      </c>
      <c r="K246" s="113" t="str">
        <f t="shared" si="136"/>
        <v>j</v>
      </c>
      <c r="L246" s="113" t="str">
        <f t="shared" si="136"/>
        <v>k</v>
      </c>
      <c r="M246" s="113" t="str">
        <f t="shared" si="136"/>
        <v>l</v>
      </c>
      <c r="N246" s="113" t="str">
        <f t="shared" si="136"/>
        <v>m</v>
      </c>
      <c r="O246" s="113">
        <f t="shared" si="136"/>
        <v>0</v>
      </c>
      <c r="P246" s="113">
        <f t="shared" si="136"/>
        <v>0</v>
      </c>
      <c r="Q246" s="113" t="str">
        <f t="shared" si="136"/>
        <v>p</v>
      </c>
      <c r="R246" s="113">
        <f t="shared" si="136"/>
        <v>0</v>
      </c>
      <c r="S246" s="113">
        <f t="shared" si="136"/>
        <v>0</v>
      </c>
      <c r="T246" s="113">
        <f t="shared" si="136"/>
        <v>0</v>
      </c>
      <c r="U246" s="113">
        <f t="shared" si="136"/>
        <v>0</v>
      </c>
      <c r="V246" s="113">
        <f t="shared" si="136"/>
        <v>0</v>
      </c>
      <c r="W246" s="113">
        <f t="shared" si="136"/>
        <v>0</v>
      </c>
      <c r="X246" s="113">
        <f t="shared" si="136"/>
        <v>0</v>
      </c>
      <c r="AA246" s="113">
        <v>28</v>
      </c>
      <c r="AB246" s="112">
        <f t="shared" ca="1" si="137"/>
        <v>44562</v>
      </c>
      <c r="AC246" s="112">
        <f t="shared" ca="1" si="137"/>
        <v>44652</v>
      </c>
      <c r="AF246" s="114">
        <f t="shared" ref="AF246:AK261" ca="1" si="139">INDIRECT(CONCATENATE($AB$10,CONCATENATE(F246,$A246)))</f>
        <v>27377.74</v>
      </c>
      <c r="AG246" s="114">
        <f t="shared" ca="1" si="139"/>
        <v>0</v>
      </c>
      <c r="AH246" s="114">
        <f t="shared" ca="1" si="138"/>
        <v>0</v>
      </c>
      <c r="AI246" s="114">
        <f t="shared" ca="1" si="138"/>
        <v>6459.63</v>
      </c>
      <c r="AJ246" s="114">
        <f t="shared" ca="1" si="138"/>
        <v>0</v>
      </c>
      <c r="AK246" s="114">
        <f t="shared" ca="1" si="138"/>
        <v>2735.81</v>
      </c>
      <c r="AN246">
        <f t="shared" si="127"/>
        <v>246</v>
      </c>
      <c r="AQ246" s="114">
        <f t="shared" ca="1" si="128"/>
        <v>3458.4</v>
      </c>
      <c r="AW246">
        <v>246</v>
      </c>
      <c r="BG246" s="114">
        <f t="shared" ca="1" si="125"/>
        <v>37295.770000000004</v>
      </c>
      <c r="BI246">
        <f t="shared" si="126"/>
        <v>0</v>
      </c>
    </row>
    <row r="247" spans="1:61" x14ac:dyDescent="0.25">
      <c r="A247" s="113">
        <f>A246+2</f>
        <v>1030</v>
      </c>
      <c r="B247" s="113" t="str">
        <f>B246</f>
        <v>a</v>
      </c>
      <c r="C247" s="113" t="str">
        <f t="shared" si="136"/>
        <v>b</v>
      </c>
      <c r="D247" s="113" t="str">
        <f t="shared" si="136"/>
        <v>c</v>
      </c>
      <c r="E247" s="113" t="str">
        <f t="shared" si="136"/>
        <v>d</v>
      </c>
      <c r="F247" s="113" t="str">
        <f t="shared" si="136"/>
        <v>e</v>
      </c>
      <c r="G247" s="113" t="str">
        <f t="shared" si="136"/>
        <v>f</v>
      </c>
      <c r="H247" s="113" t="str">
        <f t="shared" si="136"/>
        <v>g</v>
      </c>
      <c r="I247" s="113" t="str">
        <f t="shared" si="136"/>
        <v>h</v>
      </c>
      <c r="J247" s="113" t="str">
        <f t="shared" si="136"/>
        <v>i</v>
      </c>
      <c r="K247" s="113" t="str">
        <f t="shared" si="136"/>
        <v>j</v>
      </c>
      <c r="L247" s="113" t="str">
        <f t="shared" si="136"/>
        <v>k</v>
      </c>
      <c r="M247" s="113" t="str">
        <f t="shared" si="136"/>
        <v>l</v>
      </c>
      <c r="N247" s="113" t="str">
        <f t="shared" si="136"/>
        <v>m</v>
      </c>
      <c r="O247" s="113">
        <f t="shared" si="136"/>
        <v>0</v>
      </c>
      <c r="P247" s="113">
        <f t="shared" si="136"/>
        <v>0</v>
      </c>
      <c r="Q247" s="113" t="str">
        <f t="shared" si="136"/>
        <v>p</v>
      </c>
      <c r="R247" s="113">
        <f t="shared" si="136"/>
        <v>0</v>
      </c>
      <c r="S247" s="113">
        <f t="shared" si="136"/>
        <v>0</v>
      </c>
      <c r="T247" s="113">
        <f t="shared" si="136"/>
        <v>0</v>
      </c>
      <c r="U247" s="113">
        <f t="shared" si="136"/>
        <v>0</v>
      </c>
      <c r="V247" s="113">
        <f t="shared" si="136"/>
        <v>0</v>
      </c>
      <c r="W247" s="113">
        <f t="shared" si="136"/>
        <v>0</v>
      </c>
      <c r="X247" s="113">
        <f t="shared" si="136"/>
        <v>0</v>
      </c>
      <c r="AA247" s="113">
        <v>35</v>
      </c>
      <c r="AB247" s="112">
        <f t="shared" ca="1" si="137"/>
        <v>44562</v>
      </c>
      <c r="AC247" s="112">
        <f t="shared" ca="1" si="137"/>
        <v>44652</v>
      </c>
      <c r="AF247" s="114">
        <f t="shared" ca="1" si="139"/>
        <v>29045.84</v>
      </c>
      <c r="AG247" s="114">
        <f t="shared" ca="1" si="139"/>
        <v>0</v>
      </c>
      <c r="AH247" s="114">
        <f t="shared" ca="1" si="138"/>
        <v>0</v>
      </c>
      <c r="AI247" s="114">
        <f t="shared" ca="1" si="138"/>
        <v>6459.63</v>
      </c>
      <c r="AJ247" s="114">
        <f t="shared" ca="1" si="138"/>
        <v>0</v>
      </c>
      <c r="AK247" s="114">
        <f t="shared" ca="1" si="138"/>
        <v>2870.75</v>
      </c>
      <c r="AN247">
        <f t="shared" si="127"/>
        <v>247</v>
      </c>
      <c r="AQ247" s="114">
        <f t="shared" ca="1" si="128"/>
        <v>3458.4</v>
      </c>
      <c r="AW247">
        <v>247</v>
      </c>
      <c r="BG247" s="114">
        <f t="shared" ca="1" si="125"/>
        <v>38963.870000000003</v>
      </c>
      <c r="BI247">
        <f t="shared" si="126"/>
        <v>0</v>
      </c>
    </row>
    <row r="248" spans="1:61" x14ac:dyDescent="0.25">
      <c r="A248" s="113">
        <f>A241+20</f>
        <v>1040</v>
      </c>
      <c r="B248" s="113" t="str">
        <f>B241</f>
        <v>a</v>
      </c>
      <c r="C248" s="113" t="str">
        <f t="shared" ref="C248:X248" si="140">C241</f>
        <v>b</v>
      </c>
      <c r="D248" s="113" t="str">
        <f t="shared" si="140"/>
        <v>c</v>
      </c>
      <c r="E248" s="113" t="str">
        <f t="shared" si="140"/>
        <v>d</v>
      </c>
      <c r="F248" s="113" t="str">
        <f t="shared" si="140"/>
        <v>e</v>
      </c>
      <c r="G248" s="113" t="str">
        <f t="shared" si="140"/>
        <v>f</v>
      </c>
      <c r="H248" s="113" t="str">
        <f t="shared" si="140"/>
        <v>g</v>
      </c>
      <c r="I248" s="113" t="str">
        <f t="shared" si="140"/>
        <v>h</v>
      </c>
      <c r="J248" s="113" t="str">
        <f t="shared" si="140"/>
        <v>i</v>
      </c>
      <c r="K248" s="113" t="str">
        <f t="shared" si="140"/>
        <v>j</v>
      </c>
      <c r="L248" s="113" t="str">
        <f t="shared" si="140"/>
        <v>k</v>
      </c>
      <c r="M248" s="113" t="str">
        <f t="shared" si="140"/>
        <v>l</v>
      </c>
      <c r="N248" s="113" t="str">
        <f t="shared" si="140"/>
        <v>m</v>
      </c>
      <c r="O248" s="113">
        <f t="shared" si="140"/>
        <v>0</v>
      </c>
      <c r="P248" s="113">
        <f t="shared" si="140"/>
        <v>0</v>
      </c>
      <c r="Q248" s="113" t="str">
        <f t="shared" si="140"/>
        <v>p</v>
      </c>
      <c r="R248" s="113">
        <f t="shared" si="140"/>
        <v>0</v>
      </c>
      <c r="S248" s="113">
        <f t="shared" si="140"/>
        <v>0</v>
      </c>
      <c r="T248" s="113">
        <f t="shared" si="140"/>
        <v>0</v>
      </c>
      <c r="U248" s="113">
        <f t="shared" si="140"/>
        <v>0</v>
      </c>
      <c r="V248" s="113">
        <f t="shared" si="140"/>
        <v>0</v>
      </c>
      <c r="W248" s="113">
        <f t="shared" si="140"/>
        <v>0</v>
      </c>
      <c r="X248" s="113">
        <f t="shared" si="140"/>
        <v>0</v>
      </c>
      <c r="AA248" s="113">
        <v>0</v>
      </c>
      <c r="AB248" s="112">
        <f ca="1">INDIRECT(CONCATENATE($AB$10,CONCATENATE(B248,$A248)))</f>
        <v>44652</v>
      </c>
      <c r="AC248" s="112">
        <f ca="1">INDIRECT(CONCATENATE($AB$10,CONCATENATE(C248,$A248)))</f>
        <v>44742</v>
      </c>
      <c r="AF248" s="114">
        <f t="shared" ca="1" si="139"/>
        <v>16218.89</v>
      </c>
      <c r="AG248" s="114">
        <f ca="1">INDIRECT(CONCATENATE($AB$10,CONCATENATE(G248,$A248)))</f>
        <v>0</v>
      </c>
      <c r="AH248" s="114">
        <f ca="1">INDIRECT(CONCATENATE($AB$10,CONCATENATE(H248,$A248)))</f>
        <v>0</v>
      </c>
      <c r="AI248" s="114">
        <f ca="1">INDIRECT(CONCATENATE($AB$10,CONCATENATE(I248,$A248)))</f>
        <v>6459.63</v>
      </c>
      <c r="AJ248" s="114">
        <f ca="1">INDIRECT(CONCATENATE($AB$10,CONCATENATE(J248,$A248)))</f>
        <v>68.040000000000006</v>
      </c>
      <c r="AK248" s="114">
        <f ca="1">INDIRECT(CONCATENATE($AB$10,CONCATENATE(K248,$A248)))</f>
        <v>1833.63</v>
      </c>
      <c r="AN248">
        <f t="shared" si="127"/>
        <v>248</v>
      </c>
      <c r="AQ248" s="114">
        <f t="shared" ca="1" si="128"/>
        <v>2214</v>
      </c>
      <c r="AW248">
        <v>248</v>
      </c>
      <c r="BG248" s="114">
        <f t="shared" ca="1" si="125"/>
        <v>24960.560000000001</v>
      </c>
      <c r="BI248">
        <f t="shared" si="126"/>
        <v>0</v>
      </c>
    </row>
    <row r="249" spans="1:61" x14ac:dyDescent="0.25">
      <c r="A249" s="113">
        <f>A248</f>
        <v>1040</v>
      </c>
      <c r="B249" s="113" t="str">
        <f>B248</f>
        <v>a</v>
      </c>
      <c r="C249" s="113" t="str">
        <f t="shared" si="136"/>
        <v>b</v>
      </c>
      <c r="D249" s="113" t="str">
        <f t="shared" si="136"/>
        <v>c</v>
      </c>
      <c r="E249" s="113" t="str">
        <f t="shared" si="136"/>
        <v>d</v>
      </c>
      <c r="F249" s="113" t="str">
        <f t="shared" si="136"/>
        <v>e</v>
      </c>
      <c r="G249" s="113" t="str">
        <f t="shared" si="136"/>
        <v>f</v>
      </c>
      <c r="H249" s="113" t="str">
        <f t="shared" si="136"/>
        <v>g</v>
      </c>
      <c r="I249" s="113" t="str">
        <f t="shared" si="136"/>
        <v>h</v>
      </c>
      <c r="J249" s="113" t="str">
        <f t="shared" si="136"/>
        <v>i</v>
      </c>
      <c r="K249" s="113" t="str">
        <f t="shared" si="136"/>
        <v>j</v>
      </c>
      <c r="L249" s="113" t="str">
        <f t="shared" si="136"/>
        <v>k</v>
      </c>
      <c r="M249" s="113" t="str">
        <f t="shared" si="136"/>
        <v>l</v>
      </c>
      <c r="N249" s="113" t="str">
        <f t="shared" si="136"/>
        <v>m</v>
      </c>
      <c r="O249" s="113">
        <f t="shared" si="136"/>
        <v>0</v>
      </c>
      <c r="P249" s="113">
        <f t="shared" si="136"/>
        <v>0</v>
      </c>
      <c r="Q249" s="113" t="str">
        <f t="shared" si="136"/>
        <v>p</v>
      </c>
      <c r="R249" s="113">
        <f t="shared" si="136"/>
        <v>0</v>
      </c>
      <c r="S249" s="113">
        <f t="shared" si="136"/>
        <v>0</v>
      </c>
      <c r="T249" s="113">
        <f t="shared" si="136"/>
        <v>0</v>
      </c>
      <c r="U249" s="113">
        <f t="shared" si="136"/>
        <v>0</v>
      </c>
      <c r="V249" s="113">
        <f t="shared" si="136"/>
        <v>0</v>
      </c>
      <c r="W249" s="113">
        <f t="shared" si="136"/>
        <v>0</v>
      </c>
      <c r="X249" s="113">
        <f t="shared" si="136"/>
        <v>0</v>
      </c>
      <c r="AA249" s="113">
        <v>3</v>
      </c>
      <c r="AB249" s="112">
        <f t="shared" ref="AB249:AC254" ca="1" si="141">AB248</f>
        <v>44652</v>
      </c>
      <c r="AC249" s="112">
        <f t="shared" ca="1" si="141"/>
        <v>44742</v>
      </c>
      <c r="AE249" s="114">
        <f ca="1">AE242</f>
        <v>1188.0999999999999</v>
      </c>
      <c r="AF249" s="114">
        <f t="shared" ca="1" si="139"/>
        <v>16218.89</v>
      </c>
      <c r="AG249" s="114">
        <f t="shared" ca="1" si="139"/>
        <v>0</v>
      </c>
      <c r="AH249" s="114">
        <f t="shared" ca="1" si="139"/>
        <v>0</v>
      </c>
      <c r="AI249" s="114">
        <f t="shared" ca="1" si="139"/>
        <v>6459.63</v>
      </c>
      <c r="AJ249" s="114">
        <f t="shared" ca="1" si="139"/>
        <v>68.040000000000006</v>
      </c>
      <c r="AK249" s="114">
        <f t="shared" ca="1" si="139"/>
        <v>1833.63</v>
      </c>
      <c r="AN249">
        <f t="shared" si="127"/>
        <v>249</v>
      </c>
      <c r="AQ249" s="114">
        <f t="shared" ca="1" si="128"/>
        <v>2214</v>
      </c>
      <c r="AW249">
        <v>249</v>
      </c>
      <c r="BG249" s="114">
        <f t="shared" ca="1" si="125"/>
        <v>24960.560000000001</v>
      </c>
      <c r="BI249">
        <f t="shared" ca="1" si="126"/>
        <v>1188.0999999999999</v>
      </c>
    </row>
    <row r="250" spans="1:61" x14ac:dyDescent="0.25">
      <c r="A250" s="113">
        <f>A249+2</f>
        <v>1042</v>
      </c>
      <c r="B250" s="113" t="str">
        <f>B249</f>
        <v>a</v>
      </c>
      <c r="C250" s="113" t="str">
        <f t="shared" si="136"/>
        <v>b</v>
      </c>
      <c r="D250" s="113" t="str">
        <f t="shared" si="136"/>
        <v>c</v>
      </c>
      <c r="E250" s="113" t="str">
        <f t="shared" si="136"/>
        <v>d</v>
      </c>
      <c r="F250" s="113" t="str">
        <f t="shared" si="136"/>
        <v>e</v>
      </c>
      <c r="G250" s="113" t="str">
        <f t="shared" si="136"/>
        <v>f</v>
      </c>
      <c r="H250" s="113" t="str">
        <f t="shared" si="136"/>
        <v>g</v>
      </c>
      <c r="I250" s="113" t="str">
        <f t="shared" si="136"/>
        <v>h</v>
      </c>
      <c r="J250" s="113" t="str">
        <f t="shared" si="136"/>
        <v>i</v>
      </c>
      <c r="K250" s="113" t="str">
        <f t="shared" si="136"/>
        <v>j</v>
      </c>
      <c r="L250" s="113" t="str">
        <f t="shared" si="136"/>
        <v>k</v>
      </c>
      <c r="M250" s="113" t="str">
        <f t="shared" si="136"/>
        <v>l</v>
      </c>
      <c r="N250" s="113" t="str">
        <f t="shared" si="136"/>
        <v>m</v>
      </c>
      <c r="O250" s="113">
        <f t="shared" si="136"/>
        <v>0</v>
      </c>
      <c r="P250" s="113">
        <f t="shared" si="136"/>
        <v>0</v>
      </c>
      <c r="Q250" s="113" t="str">
        <f t="shared" si="136"/>
        <v>p</v>
      </c>
      <c r="R250" s="113">
        <f t="shared" si="136"/>
        <v>0</v>
      </c>
      <c r="S250" s="113">
        <f t="shared" si="136"/>
        <v>0</v>
      </c>
      <c r="T250" s="113">
        <f t="shared" si="136"/>
        <v>0</v>
      </c>
      <c r="U250" s="113">
        <f t="shared" si="136"/>
        <v>0</v>
      </c>
      <c r="V250" s="113">
        <f t="shared" si="136"/>
        <v>0</v>
      </c>
      <c r="W250" s="113">
        <f t="shared" si="136"/>
        <v>0</v>
      </c>
      <c r="X250" s="113">
        <f t="shared" si="136"/>
        <v>0</v>
      </c>
      <c r="AA250" s="113">
        <v>9</v>
      </c>
      <c r="AB250" s="112">
        <f t="shared" ca="1" si="141"/>
        <v>44652</v>
      </c>
      <c r="AC250" s="112">
        <f t="shared" ca="1" si="141"/>
        <v>44742</v>
      </c>
      <c r="AF250" s="114">
        <f t="shared" ca="1" si="139"/>
        <v>19536.18</v>
      </c>
      <c r="AG250" s="114">
        <f t="shared" ca="1" si="139"/>
        <v>0</v>
      </c>
      <c r="AH250" s="114">
        <f t="shared" ca="1" si="139"/>
        <v>0</v>
      </c>
      <c r="AI250" s="114">
        <f t="shared" ca="1" si="139"/>
        <v>6459.63</v>
      </c>
      <c r="AJ250" s="114">
        <f t="shared" ca="1" si="139"/>
        <v>77.989999999999995</v>
      </c>
      <c r="AK250" s="114">
        <f t="shared" ca="1" si="139"/>
        <v>2101.9299999999998</v>
      </c>
      <c r="AN250">
        <f t="shared" si="127"/>
        <v>250</v>
      </c>
      <c r="AQ250" s="114">
        <f t="shared" ca="1" si="128"/>
        <v>2214</v>
      </c>
      <c r="AW250">
        <v>250</v>
      </c>
      <c r="BG250" s="114">
        <f t="shared" ca="1" si="125"/>
        <v>28287.800000000003</v>
      </c>
      <c r="BI250">
        <f t="shared" si="126"/>
        <v>0</v>
      </c>
    </row>
    <row r="251" spans="1:61" x14ac:dyDescent="0.25">
      <c r="A251" s="113">
        <f>A250+2</f>
        <v>1044</v>
      </c>
      <c r="B251" s="113" t="str">
        <f>B250</f>
        <v>a</v>
      </c>
      <c r="C251" s="113" t="str">
        <f t="shared" si="136"/>
        <v>b</v>
      </c>
      <c r="D251" s="113" t="str">
        <f t="shared" si="136"/>
        <v>c</v>
      </c>
      <c r="E251" s="113" t="str">
        <f t="shared" si="136"/>
        <v>d</v>
      </c>
      <c r="F251" s="113" t="str">
        <f t="shared" si="136"/>
        <v>e</v>
      </c>
      <c r="G251" s="113" t="str">
        <f t="shared" si="136"/>
        <v>f</v>
      </c>
      <c r="H251" s="113" t="str">
        <f t="shared" si="136"/>
        <v>g</v>
      </c>
      <c r="I251" s="113" t="str">
        <f t="shared" si="136"/>
        <v>h</v>
      </c>
      <c r="J251" s="113" t="str">
        <f t="shared" si="136"/>
        <v>i</v>
      </c>
      <c r="K251" s="113" t="str">
        <f t="shared" si="136"/>
        <v>j</v>
      </c>
      <c r="L251" s="113" t="str">
        <f t="shared" si="136"/>
        <v>k</v>
      </c>
      <c r="M251" s="113" t="str">
        <f t="shared" si="136"/>
        <v>l</v>
      </c>
      <c r="N251" s="113" t="str">
        <f t="shared" si="136"/>
        <v>m</v>
      </c>
      <c r="O251" s="113">
        <f t="shared" si="136"/>
        <v>0</v>
      </c>
      <c r="P251" s="113">
        <f t="shared" si="136"/>
        <v>0</v>
      </c>
      <c r="Q251" s="113" t="str">
        <f t="shared" si="136"/>
        <v>p</v>
      </c>
      <c r="R251" s="113">
        <f t="shared" si="136"/>
        <v>0</v>
      </c>
      <c r="S251" s="113">
        <f t="shared" si="136"/>
        <v>0</v>
      </c>
      <c r="T251" s="113">
        <f t="shared" si="136"/>
        <v>0</v>
      </c>
      <c r="U251" s="113">
        <f t="shared" si="136"/>
        <v>0</v>
      </c>
      <c r="V251" s="113">
        <f t="shared" si="136"/>
        <v>0</v>
      </c>
      <c r="W251" s="113">
        <f t="shared" si="136"/>
        <v>0</v>
      </c>
      <c r="X251" s="113">
        <f t="shared" si="136"/>
        <v>0</v>
      </c>
      <c r="AA251" s="113">
        <v>15</v>
      </c>
      <c r="AB251" s="112">
        <f t="shared" ca="1" si="141"/>
        <v>44652</v>
      </c>
      <c r="AC251" s="112">
        <f t="shared" ca="1" si="141"/>
        <v>44742</v>
      </c>
      <c r="AF251" s="114">
        <f t="shared" ca="1" si="139"/>
        <v>22061.18</v>
      </c>
      <c r="AG251" s="114">
        <f t="shared" ca="1" si="139"/>
        <v>0</v>
      </c>
      <c r="AH251" s="114">
        <f t="shared" ca="1" si="139"/>
        <v>0</v>
      </c>
      <c r="AI251" s="114">
        <f t="shared" ca="1" si="139"/>
        <v>6459.63</v>
      </c>
      <c r="AJ251" s="114">
        <f t="shared" ca="1" si="139"/>
        <v>85.56</v>
      </c>
      <c r="AK251" s="114">
        <f t="shared" ca="1" si="139"/>
        <v>2305.7800000000002</v>
      </c>
      <c r="AN251">
        <f t="shared" si="127"/>
        <v>251</v>
      </c>
      <c r="AQ251" s="114">
        <f t="shared" ca="1" si="128"/>
        <v>2721.6</v>
      </c>
      <c r="AW251">
        <v>251</v>
      </c>
      <c r="BG251" s="114">
        <f t="shared" ca="1" si="125"/>
        <v>31327.97</v>
      </c>
      <c r="BI251">
        <f t="shared" si="126"/>
        <v>0</v>
      </c>
    </row>
    <row r="252" spans="1:61" x14ac:dyDescent="0.25">
      <c r="A252" s="113">
        <f>A251+2</f>
        <v>1046</v>
      </c>
      <c r="B252" s="113" t="str">
        <f>B251</f>
        <v>a</v>
      </c>
      <c r="C252" s="113" t="str">
        <f t="shared" si="136"/>
        <v>b</v>
      </c>
      <c r="D252" s="113" t="str">
        <f t="shared" si="136"/>
        <v>c</v>
      </c>
      <c r="E252" s="113" t="str">
        <f t="shared" si="136"/>
        <v>d</v>
      </c>
      <c r="F252" s="113" t="str">
        <f t="shared" si="136"/>
        <v>e</v>
      </c>
      <c r="G252" s="113" t="str">
        <f t="shared" si="136"/>
        <v>f</v>
      </c>
      <c r="H252" s="113" t="str">
        <f t="shared" si="136"/>
        <v>g</v>
      </c>
      <c r="I252" s="113" t="str">
        <f t="shared" si="136"/>
        <v>h</v>
      </c>
      <c r="J252" s="113" t="str">
        <f t="shared" si="136"/>
        <v>i</v>
      </c>
      <c r="K252" s="113" t="str">
        <f t="shared" si="136"/>
        <v>j</v>
      </c>
      <c r="L252" s="113" t="str">
        <f t="shared" si="136"/>
        <v>k</v>
      </c>
      <c r="M252" s="113" t="str">
        <f t="shared" si="136"/>
        <v>l</v>
      </c>
      <c r="N252" s="113" t="str">
        <f t="shared" si="136"/>
        <v>m</v>
      </c>
      <c r="O252" s="113">
        <f t="shared" si="136"/>
        <v>0</v>
      </c>
      <c r="P252" s="113">
        <f t="shared" si="136"/>
        <v>0</v>
      </c>
      <c r="Q252" s="113" t="str">
        <f t="shared" si="136"/>
        <v>p</v>
      </c>
      <c r="R252" s="113">
        <f t="shared" si="136"/>
        <v>0</v>
      </c>
      <c r="S252" s="113">
        <f t="shared" si="136"/>
        <v>0</v>
      </c>
      <c r="T252" s="113">
        <f t="shared" si="136"/>
        <v>0</v>
      </c>
      <c r="U252" s="113">
        <f t="shared" si="136"/>
        <v>0</v>
      </c>
      <c r="V252" s="113">
        <f t="shared" si="136"/>
        <v>0</v>
      </c>
      <c r="W252" s="113">
        <f t="shared" si="136"/>
        <v>0</v>
      </c>
      <c r="X252" s="113">
        <f t="shared" si="136"/>
        <v>0</v>
      </c>
      <c r="AA252" s="113">
        <v>21</v>
      </c>
      <c r="AB252" s="112">
        <f t="shared" ca="1" si="141"/>
        <v>44652</v>
      </c>
      <c r="AC252" s="112">
        <f t="shared" ca="1" si="141"/>
        <v>44742</v>
      </c>
      <c r="AF252" s="114">
        <f t="shared" ca="1" si="139"/>
        <v>25276.62</v>
      </c>
      <c r="AG252" s="114">
        <f t="shared" ca="1" si="139"/>
        <v>0</v>
      </c>
      <c r="AH252" s="114">
        <f t="shared" ca="1" si="139"/>
        <v>0</v>
      </c>
      <c r="AI252" s="114">
        <f t="shared" ca="1" si="139"/>
        <v>6459.63</v>
      </c>
      <c r="AJ252" s="114">
        <f t="shared" ca="1" si="139"/>
        <v>95.21</v>
      </c>
      <c r="AK252" s="114">
        <f t="shared" ca="1" si="139"/>
        <v>2565.52</v>
      </c>
      <c r="AN252">
        <f t="shared" si="127"/>
        <v>252</v>
      </c>
      <c r="AQ252" s="114">
        <f t="shared" ca="1" si="128"/>
        <v>2721.6</v>
      </c>
      <c r="AW252">
        <v>252</v>
      </c>
      <c r="BG252" s="114">
        <f t="shared" ca="1" si="125"/>
        <v>34553.06</v>
      </c>
      <c r="BI252">
        <f t="shared" si="126"/>
        <v>0</v>
      </c>
    </row>
    <row r="253" spans="1:61" x14ac:dyDescent="0.25">
      <c r="A253" s="113">
        <f>A252+2</f>
        <v>1048</v>
      </c>
      <c r="B253" s="113" t="str">
        <f>B252</f>
        <v>a</v>
      </c>
      <c r="C253" s="113" t="str">
        <f t="shared" si="136"/>
        <v>b</v>
      </c>
      <c r="D253" s="113" t="str">
        <f t="shared" si="136"/>
        <v>c</v>
      </c>
      <c r="E253" s="113" t="str">
        <f t="shared" si="136"/>
        <v>d</v>
      </c>
      <c r="F253" s="113" t="str">
        <f t="shared" si="136"/>
        <v>e</v>
      </c>
      <c r="G253" s="113" t="str">
        <f t="shared" si="136"/>
        <v>f</v>
      </c>
      <c r="H253" s="113" t="str">
        <f t="shared" si="136"/>
        <v>g</v>
      </c>
      <c r="I253" s="113" t="str">
        <f t="shared" si="136"/>
        <v>h</v>
      </c>
      <c r="J253" s="113" t="str">
        <f t="shared" si="136"/>
        <v>i</v>
      </c>
      <c r="K253" s="113" t="str">
        <f t="shared" si="136"/>
        <v>j</v>
      </c>
      <c r="L253" s="113" t="str">
        <f t="shared" si="136"/>
        <v>k</v>
      </c>
      <c r="M253" s="113" t="str">
        <f t="shared" si="136"/>
        <v>l</v>
      </c>
      <c r="N253" s="113" t="str">
        <f t="shared" si="136"/>
        <v>m</v>
      </c>
      <c r="O253" s="113">
        <f t="shared" si="136"/>
        <v>0</v>
      </c>
      <c r="P253" s="113">
        <f t="shared" si="136"/>
        <v>0</v>
      </c>
      <c r="Q253" s="113" t="str">
        <f t="shared" si="136"/>
        <v>p</v>
      </c>
      <c r="R253" s="113">
        <f t="shared" si="136"/>
        <v>0</v>
      </c>
      <c r="S253" s="113">
        <f t="shared" si="136"/>
        <v>0</v>
      </c>
      <c r="T253" s="113">
        <f t="shared" si="136"/>
        <v>0</v>
      </c>
      <c r="U253" s="113">
        <f t="shared" si="136"/>
        <v>0</v>
      </c>
      <c r="V253" s="113">
        <f t="shared" si="136"/>
        <v>0</v>
      </c>
      <c r="W253" s="113">
        <f t="shared" si="136"/>
        <v>0</v>
      </c>
      <c r="X253" s="113">
        <f t="shared" si="136"/>
        <v>0</v>
      </c>
      <c r="AA253" s="113">
        <v>28</v>
      </c>
      <c r="AB253" s="112">
        <f t="shared" ca="1" si="141"/>
        <v>44652</v>
      </c>
      <c r="AC253" s="112">
        <f t="shared" ca="1" si="141"/>
        <v>44742</v>
      </c>
      <c r="AF253" s="114">
        <f t="shared" ca="1" si="139"/>
        <v>27377.74</v>
      </c>
      <c r="AG253" s="114">
        <f t="shared" ca="1" si="139"/>
        <v>0</v>
      </c>
      <c r="AH253" s="114">
        <f t="shared" ca="1" si="139"/>
        <v>0</v>
      </c>
      <c r="AI253" s="114">
        <f t="shared" ca="1" si="139"/>
        <v>6459.63</v>
      </c>
      <c r="AJ253" s="114">
        <f t="shared" ca="1" si="139"/>
        <v>101.51</v>
      </c>
      <c r="AK253" s="114">
        <f t="shared" ca="1" si="139"/>
        <v>2735.81</v>
      </c>
      <c r="AN253">
        <f t="shared" si="127"/>
        <v>253</v>
      </c>
      <c r="AQ253" s="114">
        <f t="shared" ca="1" si="128"/>
        <v>3458.4</v>
      </c>
      <c r="AW253">
        <v>253</v>
      </c>
      <c r="BG253" s="114">
        <f t="shared" ca="1" si="125"/>
        <v>37397.280000000006</v>
      </c>
      <c r="BI253">
        <f t="shared" si="126"/>
        <v>0</v>
      </c>
    </row>
    <row r="254" spans="1:61" x14ac:dyDescent="0.25">
      <c r="A254" s="113">
        <f>A253+2</f>
        <v>1050</v>
      </c>
      <c r="B254" s="113" t="str">
        <f>B253</f>
        <v>a</v>
      </c>
      <c r="C254" s="113" t="str">
        <f t="shared" si="136"/>
        <v>b</v>
      </c>
      <c r="D254" s="113" t="str">
        <f t="shared" si="136"/>
        <v>c</v>
      </c>
      <c r="E254" s="113" t="str">
        <f t="shared" si="136"/>
        <v>d</v>
      </c>
      <c r="F254" s="113" t="str">
        <f t="shared" si="136"/>
        <v>e</v>
      </c>
      <c r="G254" s="113" t="str">
        <f t="shared" si="136"/>
        <v>f</v>
      </c>
      <c r="H254" s="113" t="str">
        <f t="shared" si="136"/>
        <v>g</v>
      </c>
      <c r="I254" s="113" t="str">
        <f t="shared" si="136"/>
        <v>h</v>
      </c>
      <c r="J254" s="113" t="str">
        <f t="shared" si="136"/>
        <v>i</v>
      </c>
      <c r="K254" s="113" t="str">
        <f t="shared" si="136"/>
        <v>j</v>
      </c>
      <c r="L254" s="113" t="str">
        <f t="shared" si="136"/>
        <v>k</v>
      </c>
      <c r="M254" s="113" t="str">
        <f t="shared" si="136"/>
        <v>l</v>
      </c>
      <c r="N254" s="113" t="str">
        <f t="shared" si="136"/>
        <v>m</v>
      </c>
      <c r="O254" s="113">
        <f t="shared" si="136"/>
        <v>0</v>
      </c>
      <c r="P254" s="113">
        <f t="shared" ref="P254:X261" si="142">P253</f>
        <v>0</v>
      </c>
      <c r="Q254" s="113" t="str">
        <f t="shared" si="142"/>
        <v>p</v>
      </c>
      <c r="R254" s="113">
        <f t="shared" si="142"/>
        <v>0</v>
      </c>
      <c r="S254" s="113">
        <f t="shared" si="142"/>
        <v>0</v>
      </c>
      <c r="T254" s="113">
        <f t="shared" si="142"/>
        <v>0</v>
      </c>
      <c r="U254" s="113">
        <f t="shared" si="142"/>
        <v>0</v>
      </c>
      <c r="V254" s="113">
        <f t="shared" si="142"/>
        <v>0</v>
      </c>
      <c r="W254" s="113">
        <f t="shared" si="142"/>
        <v>0</v>
      </c>
      <c r="X254" s="113">
        <f t="shared" si="142"/>
        <v>0</v>
      </c>
      <c r="AA254" s="113">
        <v>35</v>
      </c>
      <c r="AB254" s="112">
        <f t="shared" ca="1" si="141"/>
        <v>44652</v>
      </c>
      <c r="AC254" s="112">
        <f t="shared" ca="1" si="141"/>
        <v>44742</v>
      </c>
      <c r="AF254" s="114">
        <f t="shared" ca="1" si="139"/>
        <v>29045.84</v>
      </c>
      <c r="AG254" s="114">
        <f t="shared" ca="1" si="139"/>
        <v>0</v>
      </c>
      <c r="AH254" s="114">
        <f t="shared" ca="1" si="139"/>
        <v>0</v>
      </c>
      <c r="AI254" s="114">
        <f t="shared" ca="1" si="139"/>
        <v>6459.63</v>
      </c>
      <c r="AJ254" s="114">
        <f t="shared" ca="1" si="139"/>
        <v>106.52</v>
      </c>
      <c r="AK254" s="114">
        <f t="shared" ca="1" si="139"/>
        <v>2870.75</v>
      </c>
      <c r="AN254">
        <f t="shared" si="127"/>
        <v>254</v>
      </c>
      <c r="AQ254" s="114">
        <f t="shared" ca="1" si="128"/>
        <v>3458.4</v>
      </c>
      <c r="AW254">
        <v>254</v>
      </c>
      <c r="BG254" s="114">
        <f t="shared" ca="1" si="125"/>
        <v>39070.39</v>
      </c>
      <c r="BI254">
        <f t="shared" si="126"/>
        <v>0</v>
      </c>
    </row>
    <row r="255" spans="1:61" x14ac:dyDescent="0.25">
      <c r="A255" s="113">
        <f>A248+20</f>
        <v>1060</v>
      </c>
      <c r="B255" s="113" t="str">
        <f>B248</f>
        <v>a</v>
      </c>
      <c r="C255" s="113" t="str">
        <f t="shared" ref="C255:X255" si="143">C248</f>
        <v>b</v>
      </c>
      <c r="D255" s="113" t="str">
        <f t="shared" si="143"/>
        <v>c</v>
      </c>
      <c r="E255" s="113" t="str">
        <f t="shared" si="143"/>
        <v>d</v>
      </c>
      <c r="F255" s="113" t="str">
        <f t="shared" si="143"/>
        <v>e</v>
      </c>
      <c r="G255" s="113" t="str">
        <f t="shared" si="143"/>
        <v>f</v>
      </c>
      <c r="H255" s="113" t="str">
        <f t="shared" si="143"/>
        <v>g</v>
      </c>
      <c r="I255" s="113" t="str">
        <f t="shared" si="143"/>
        <v>h</v>
      </c>
      <c r="J255" s="113" t="str">
        <f t="shared" si="143"/>
        <v>i</v>
      </c>
      <c r="K255" s="113" t="str">
        <f t="shared" si="143"/>
        <v>j</v>
      </c>
      <c r="L255" s="113" t="str">
        <f t="shared" si="143"/>
        <v>k</v>
      </c>
      <c r="M255" s="113" t="str">
        <f t="shared" si="143"/>
        <v>l</v>
      </c>
      <c r="N255" s="113" t="str">
        <f t="shared" si="143"/>
        <v>m</v>
      </c>
      <c r="O255" s="113">
        <f t="shared" si="143"/>
        <v>0</v>
      </c>
      <c r="P255" s="113">
        <f t="shared" si="143"/>
        <v>0</v>
      </c>
      <c r="Q255" s="113" t="str">
        <f t="shared" si="143"/>
        <v>p</v>
      </c>
      <c r="R255" s="113">
        <f t="shared" si="143"/>
        <v>0</v>
      </c>
      <c r="S255" s="113">
        <f t="shared" si="143"/>
        <v>0</v>
      </c>
      <c r="T255" s="113">
        <f t="shared" si="143"/>
        <v>0</v>
      </c>
      <c r="U255" s="113">
        <f t="shared" si="143"/>
        <v>0</v>
      </c>
      <c r="V255" s="113">
        <f t="shared" si="143"/>
        <v>0</v>
      </c>
      <c r="W255" s="113">
        <f t="shared" si="143"/>
        <v>0</v>
      </c>
      <c r="X255" s="113">
        <f t="shared" si="143"/>
        <v>0</v>
      </c>
      <c r="AA255" s="113">
        <v>0</v>
      </c>
      <c r="AB255" s="112">
        <f ca="1">INDIRECT(CONCATENATE($AB$10,CONCATENATE(B255,$A255)))</f>
        <v>44743</v>
      </c>
      <c r="AC255" s="112">
        <f ca="1">INDIRECT(CONCATENATE($AB$10,CONCATENATE(C255,$A255)))</f>
        <v>45291</v>
      </c>
      <c r="AF255" s="114">
        <f t="shared" ca="1" si="139"/>
        <v>16218.89</v>
      </c>
      <c r="AG255" s="114">
        <f ca="1">INDIRECT(CONCATENATE($AB$10,CONCATENATE(G255,$A255)))</f>
        <v>0</v>
      </c>
      <c r="AH255" s="114">
        <f ca="1">INDIRECT(CONCATENATE($AB$10,CONCATENATE(H255,$A255)))</f>
        <v>0</v>
      </c>
      <c r="AI255" s="114">
        <f ca="1">INDIRECT(CONCATENATE($AB$10,CONCATENATE(I255,$A255)))</f>
        <v>6459.63</v>
      </c>
      <c r="AJ255" s="114">
        <f ca="1">INDIRECT(CONCATENATE($AB$10,CONCATENATE(J255,$A255)))</f>
        <v>113.39</v>
      </c>
      <c r="AK255" s="114">
        <f ca="1">INDIRECT(CONCATENATE($AB$10,CONCATENATE(K255,$A255)))</f>
        <v>1833.63</v>
      </c>
      <c r="AN255">
        <f t="shared" si="127"/>
        <v>255</v>
      </c>
      <c r="AQ255" s="114">
        <f t="shared" ca="1" si="128"/>
        <v>2214</v>
      </c>
      <c r="AW255">
        <v>255</v>
      </c>
      <c r="BG255" s="114">
        <f t="shared" ca="1" si="125"/>
        <v>25005.91</v>
      </c>
      <c r="BI255">
        <f t="shared" si="126"/>
        <v>0</v>
      </c>
    </row>
    <row r="256" spans="1:61" x14ac:dyDescent="0.25">
      <c r="A256" s="113">
        <f>A255</f>
        <v>1060</v>
      </c>
      <c r="B256" s="113" t="str">
        <f>B255</f>
        <v>a</v>
      </c>
      <c r="C256" s="113" t="str">
        <f t="shared" ref="C256:O261" si="144">C255</f>
        <v>b</v>
      </c>
      <c r="D256" s="113" t="str">
        <f t="shared" si="144"/>
        <v>c</v>
      </c>
      <c r="E256" s="113" t="str">
        <f t="shared" si="144"/>
        <v>d</v>
      </c>
      <c r="F256" s="113" t="str">
        <f t="shared" si="144"/>
        <v>e</v>
      </c>
      <c r="G256" s="113" t="str">
        <f t="shared" si="144"/>
        <v>f</v>
      </c>
      <c r="H256" s="113" t="str">
        <f t="shared" si="144"/>
        <v>g</v>
      </c>
      <c r="I256" s="113" t="str">
        <f t="shared" si="144"/>
        <v>h</v>
      </c>
      <c r="J256" s="113" t="str">
        <f t="shared" si="144"/>
        <v>i</v>
      </c>
      <c r="K256" s="113" t="str">
        <f t="shared" si="144"/>
        <v>j</v>
      </c>
      <c r="L256" s="113" t="str">
        <f t="shared" si="144"/>
        <v>k</v>
      </c>
      <c r="M256" s="113" t="str">
        <f t="shared" si="144"/>
        <v>l</v>
      </c>
      <c r="N256" s="113" t="str">
        <f t="shared" si="144"/>
        <v>m</v>
      </c>
      <c r="O256" s="113">
        <f t="shared" si="144"/>
        <v>0</v>
      </c>
      <c r="P256" s="113">
        <f t="shared" si="142"/>
        <v>0</v>
      </c>
      <c r="Q256" s="113" t="str">
        <f t="shared" si="142"/>
        <v>p</v>
      </c>
      <c r="R256" s="113">
        <f t="shared" si="142"/>
        <v>0</v>
      </c>
      <c r="S256" s="113">
        <f t="shared" si="142"/>
        <v>0</v>
      </c>
      <c r="T256" s="113">
        <f t="shared" si="142"/>
        <v>0</v>
      </c>
      <c r="U256" s="113">
        <f t="shared" si="142"/>
        <v>0</v>
      </c>
      <c r="V256" s="113">
        <f t="shared" si="142"/>
        <v>0</v>
      </c>
      <c r="W256" s="113">
        <f t="shared" si="142"/>
        <v>0</v>
      </c>
      <c r="X256" s="113">
        <f t="shared" si="142"/>
        <v>0</v>
      </c>
      <c r="AA256" s="113">
        <v>3</v>
      </c>
      <c r="AB256" s="112">
        <f t="shared" ref="AB256:AC261" ca="1" si="145">AB255</f>
        <v>44743</v>
      </c>
      <c r="AC256" s="112">
        <f t="shared" ca="1" si="145"/>
        <v>45291</v>
      </c>
      <c r="AE256" s="114">
        <f ca="1">AE249</f>
        <v>1188.0999999999999</v>
      </c>
      <c r="AF256" s="114">
        <f t="shared" ca="1" si="139"/>
        <v>16218.89</v>
      </c>
      <c r="AG256" s="114">
        <f t="shared" ca="1" si="139"/>
        <v>0</v>
      </c>
      <c r="AH256" s="114">
        <f t="shared" ca="1" si="139"/>
        <v>0</v>
      </c>
      <c r="AI256" s="114">
        <f t="shared" ca="1" si="139"/>
        <v>6459.63</v>
      </c>
      <c r="AJ256" s="114">
        <f t="shared" ca="1" si="139"/>
        <v>113.39</v>
      </c>
      <c r="AK256" s="114">
        <f t="shared" ca="1" si="139"/>
        <v>1833.63</v>
      </c>
      <c r="AN256">
        <f t="shared" si="127"/>
        <v>256</v>
      </c>
      <c r="AQ256" s="114">
        <f t="shared" ca="1" si="128"/>
        <v>2214</v>
      </c>
      <c r="AW256">
        <v>256</v>
      </c>
      <c r="BG256" s="114">
        <f t="shared" ca="1" si="125"/>
        <v>25005.91</v>
      </c>
      <c r="BI256">
        <f t="shared" ca="1" si="126"/>
        <v>1188.0999999999999</v>
      </c>
    </row>
    <row r="257" spans="1:61" x14ac:dyDescent="0.25">
      <c r="A257" s="113">
        <f>A256+2</f>
        <v>1062</v>
      </c>
      <c r="B257" s="113" t="str">
        <f>B256</f>
        <v>a</v>
      </c>
      <c r="C257" s="113" t="str">
        <f t="shared" si="144"/>
        <v>b</v>
      </c>
      <c r="D257" s="113" t="str">
        <f t="shared" si="144"/>
        <v>c</v>
      </c>
      <c r="E257" s="113" t="str">
        <f t="shared" si="144"/>
        <v>d</v>
      </c>
      <c r="F257" s="113" t="str">
        <f t="shared" si="144"/>
        <v>e</v>
      </c>
      <c r="G257" s="113" t="str">
        <f t="shared" si="144"/>
        <v>f</v>
      </c>
      <c r="H257" s="113" t="str">
        <f t="shared" si="144"/>
        <v>g</v>
      </c>
      <c r="I257" s="113" t="str">
        <f t="shared" si="144"/>
        <v>h</v>
      </c>
      <c r="J257" s="113" t="str">
        <f t="shared" si="144"/>
        <v>i</v>
      </c>
      <c r="K257" s="113" t="str">
        <f t="shared" si="144"/>
        <v>j</v>
      </c>
      <c r="L257" s="113" t="str">
        <f t="shared" si="144"/>
        <v>k</v>
      </c>
      <c r="M257" s="113" t="str">
        <f t="shared" si="144"/>
        <v>l</v>
      </c>
      <c r="N257" s="113" t="str">
        <f t="shared" si="144"/>
        <v>m</v>
      </c>
      <c r="O257" s="113">
        <f t="shared" si="144"/>
        <v>0</v>
      </c>
      <c r="P257" s="113">
        <f t="shared" si="142"/>
        <v>0</v>
      </c>
      <c r="Q257" s="113" t="str">
        <f t="shared" si="142"/>
        <v>p</v>
      </c>
      <c r="R257" s="113">
        <f t="shared" si="142"/>
        <v>0</v>
      </c>
      <c r="S257" s="113">
        <f t="shared" si="142"/>
        <v>0</v>
      </c>
      <c r="T257" s="113">
        <f t="shared" si="142"/>
        <v>0</v>
      </c>
      <c r="U257" s="113">
        <f t="shared" si="142"/>
        <v>0</v>
      </c>
      <c r="V257" s="113">
        <f t="shared" si="142"/>
        <v>0</v>
      </c>
      <c r="W257" s="113">
        <f t="shared" si="142"/>
        <v>0</v>
      </c>
      <c r="X257" s="113">
        <f t="shared" si="142"/>
        <v>0</v>
      </c>
      <c r="AA257" s="113">
        <v>9</v>
      </c>
      <c r="AB257" s="112">
        <f t="shared" ca="1" si="145"/>
        <v>44743</v>
      </c>
      <c r="AC257" s="112">
        <f t="shared" ca="1" si="145"/>
        <v>45291</v>
      </c>
      <c r="AF257" s="114">
        <f t="shared" ca="1" si="139"/>
        <v>19536.18</v>
      </c>
      <c r="AG257" s="114">
        <f t="shared" ca="1" si="139"/>
        <v>0</v>
      </c>
      <c r="AH257" s="114">
        <f t="shared" ca="1" si="139"/>
        <v>0</v>
      </c>
      <c r="AI257" s="114">
        <f t="shared" ca="1" si="139"/>
        <v>6459.63</v>
      </c>
      <c r="AJ257" s="114">
        <f t="shared" ca="1" si="139"/>
        <v>129.97999999999999</v>
      </c>
      <c r="AK257" s="114">
        <f t="shared" ca="1" si="139"/>
        <v>2101.9299999999998</v>
      </c>
      <c r="AN257">
        <f t="shared" si="127"/>
        <v>257</v>
      </c>
      <c r="AQ257" s="114">
        <f t="shared" ca="1" si="128"/>
        <v>2214</v>
      </c>
      <c r="AW257">
        <v>257</v>
      </c>
      <c r="BG257" s="114">
        <f t="shared" ca="1" si="125"/>
        <v>28339.79</v>
      </c>
      <c r="BI257">
        <f t="shared" si="126"/>
        <v>0</v>
      </c>
    </row>
    <row r="258" spans="1:61" x14ac:dyDescent="0.25">
      <c r="A258" s="113">
        <f>A257+2</f>
        <v>1064</v>
      </c>
      <c r="B258" s="113" t="str">
        <f>B257</f>
        <v>a</v>
      </c>
      <c r="C258" s="113" t="str">
        <f t="shared" si="144"/>
        <v>b</v>
      </c>
      <c r="D258" s="113" t="str">
        <f t="shared" si="144"/>
        <v>c</v>
      </c>
      <c r="E258" s="113" t="str">
        <f t="shared" si="144"/>
        <v>d</v>
      </c>
      <c r="F258" s="113" t="str">
        <f t="shared" si="144"/>
        <v>e</v>
      </c>
      <c r="G258" s="113" t="str">
        <f t="shared" si="144"/>
        <v>f</v>
      </c>
      <c r="H258" s="113" t="str">
        <f t="shared" si="144"/>
        <v>g</v>
      </c>
      <c r="I258" s="113" t="str">
        <f t="shared" si="144"/>
        <v>h</v>
      </c>
      <c r="J258" s="113" t="str">
        <f t="shared" si="144"/>
        <v>i</v>
      </c>
      <c r="K258" s="113" t="str">
        <f t="shared" si="144"/>
        <v>j</v>
      </c>
      <c r="L258" s="113" t="str">
        <f t="shared" si="144"/>
        <v>k</v>
      </c>
      <c r="M258" s="113" t="str">
        <f t="shared" si="144"/>
        <v>l</v>
      </c>
      <c r="N258" s="113" t="str">
        <f t="shared" si="144"/>
        <v>m</v>
      </c>
      <c r="O258" s="113">
        <f t="shared" si="144"/>
        <v>0</v>
      </c>
      <c r="P258" s="113">
        <f t="shared" si="142"/>
        <v>0</v>
      </c>
      <c r="Q258" s="113" t="str">
        <f t="shared" si="142"/>
        <v>p</v>
      </c>
      <c r="R258" s="113">
        <f t="shared" si="142"/>
        <v>0</v>
      </c>
      <c r="S258" s="113">
        <f t="shared" si="142"/>
        <v>0</v>
      </c>
      <c r="T258" s="113">
        <f t="shared" si="142"/>
        <v>0</v>
      </c>
      <c r="U258" s="113">
        <f t="shared" si="142"/>
        <v>0</v>
      </c>
      <c r="V258" s="113">
        <f t="shared" si="142"/>
        <v>0</v>
      </c>
      <c r="W258" s="113">
        <f t="shared" si="142"/>
        <v>0</v>
      </c>
      <c r="X258" s="113">
        <f t="shared" si="142"/>
        <v>0</v>
      </c>
      <c r="AA258" s="113">
        <v>15</v>
      </c>
      <c r="AB258" s="112">
        <f t="shared" ca="1" si="145"/>
        <v>44743</v>
      </c>
      <c r="AC258" s="112">
        <f t="shared" ca="1" si="145"/>
        <v>45291</v>
      </c>
      <c r="AF258" s="114">
        <f t="shared" ca="1" si="139"/>
        <v>22061.18</v>
      </c>
      <c r="AG258" s="114">
        <f t="shared" ca="1" si="139"/>
        <v>0</v>
      </c>
      <c r="AH258" s="114">
        <f t="shared" ca="1" si="139"/>
        <v>0</v>
      </c>
      <c r="AI258" s="114">
        <f t="shared" ca="1" si="139"/>
        <v>6459.63</v>
      </c>
      <c r="AJ258" s="114">
        <f t="shared" ca="1" si="139"/>
        <v>142.6</v>
      </c>
      <c r="AK258" s="114">
        <f t="shared" ca="1" si="139"/>
        <v>2305.7800000000002</v>
      </c>
      <c r="AN258">
        <f t="shared" si="127"/>
        <v>258</v>
      </c>
      <c r="AQ258" s="114">
        <f t="shared" ca="1" si="128"/>
        <v>2721.6</v>
      </c>
      <c r="AW258">
        <v>258</v>
      </c>
      <c r="BG258" s="114">
        <f t="shared" ca="1" si="125"/>
        <v>31385.01</v>
      </c>
      <c r="BI258">
        <f t="shared" si="126"/>
        <v>0</v>
      </c>
    </row>
    <row r="259" spans="1:61" x14ac:dyDescent="0.25">
      <c r="A259" s="113">
        <f>A258+2</f>
        <v>1066</v>
      </c>
      <c r="B259" s="113" t="str">
        <f>B258</f>
        <v>a</v>
      </c>
      <c r="C259" s="113" t="str">
        <f t="shared" si="144"/>
        <v>b</v>
      </c>
      <c r="D259" s="113" t="str">
        <f t="shared" si="144"/>
        <v>c</v>
      </c>
      <c r="E259" s="113" t="str">
        <f t="shared" si="144"/>
        <v>d</v>
      </c>
      <c r="F259" s="113" t="str">
        <f t="shared" si="144"/>
        <v>e</v>
      </c>
      <c r="G259" s="113" t="str">
        <f t="shared" si="144"/>
        <v>f</v>
      </c>
      <c r="H259" s="113" t="str">
        <f t="shared" si="144"/>
        <v>g</v>
      </c>
      <c r="I259" s="113" t="str">
        <f t="shared" si="144"/>
        <v>h</v>
      </c>
      <c r="J259" s="113" t="str">
        <f t="shared" si="144"/>
        <v>i</v>
      </c>
      <c r="K259" s="113" t="str">
        <f t="shared" si="144"/>
        <v>j</v>
      </c>
      <c r="L259" s="113" t="str">
        <f t="shared" si="144"/>
        <v>k</v>
      </c>
      <c r="M259" s="113" t="str">
        <f t="shared" si="144"/>
        <v>l</v>
      </c>
      <c r="N259" s="113" t="str">
        <f t="shared" si="144"/>
        <v>m</v>
      </c>
      <c r="O259" s="113">
        <f t="shared" si="144"/>
        <v>0</v>
      </c>
      <c r="P259" s="113">
        <f t="shared" si="142"/>
        <v>0</v>
      </c>
      <c r="Q259" s="113" t="str">
        <f t="shared" si="142"/>
        <v>p</v>
      </c>
      <c r="R259" s="113">
        <f t="shared" si="142"/>
        <v>0</v>
      </c>
      <c r="S259" s="113">
        <f t="shared" si="142"/>
        <v>0</v>
      </c>
      <c r="T259" s="113">
        <f t="shared" si="142"/>
        <v>0</v>
      </c>
      <c r="U259" s="113">
        <f t="shared" si="142"/>
        <v>0</v>
      </c>
      <c r="V259" s="113">
        <f t="shared" si="142"/>
        <v>0</v>
      </c>
      <c r="W259" s="113">
        <f t="shared" si="142"/>
        <v>0</v>
      </c>
      <c r="X259" s="113">
        <f t="shared" si="142"/>
        <v>0</v>
      </c>
      <c r="AA259" s="113">
        <v>21</v>
      </c>
      <c r="AB259" s="112">
        <f t="shared" ca="1" si="145"/>
        <v>44743</v>
      </c>
      <c r="AC259" s="112">
        <f t="shared" ca="1" si="145"/>
        <v>45291</v>
      </c>
      <c r="AF259" s="114">
        <f t="shared" ca="1" si="139"/>
        <v>25276.62</v>
      </c>
      <c r="AG259" s="114">
        <f t="shared" ca="1" si="139"/>
        <v>0</v>
      </c>
      <c r="AH259" s="114">
        <f t="shared" ca="1" si="139"/>
        <v>0</v>
      </c>
      <c r="AI259" s="114">
        <f t="shared" ca="1" si="139"/>
        <v>6459.63</v>
      </c>
      <c r="AJ259" s="114">
        <f t="shared" ca="1" si="139"/>
        <v>158.68</v>
      </c>
      <c r="AK259" s="114">
        <f t="shared" ca="1" si="139"/>
        <v>2565.52</v>
      </c>
      <c r="AN259">
        <f t="shared" si="127"/>
        <v>259</v>
      </c>
      <c r="AQ259" s="114">
        <f t="shared" ca="1" si="128"/>
        <v>2721.6</v>
      </c>
      <c r="AW259">
        <v>259</v>
      </c>
      <c r="BG259" s="114">
        <f t="shared" ca="1" si="125"/>
        <v>34616.53</v>
      </c>
      <c r="BI259">
        <f t="shared" si="126"/>
        <v>0</v>
      </c>
    </row>
    <row r="260" spans="1:61" x14ac:dyDescent="0.25">
      <c r="A260" s="113">
        <f>A259+2</f>
        <v>1068</v>
      </c>
      <c r="B260" s="113" t="str">
        <f>B259</f>
        <v>a</v>
      </c>
      <c r="C260" s="113" t="str">
        <f t="shared" si="144"/>
        <v>b</v>
      </c>
      <c r="D260" s="113" t="str">
        <f t="shared" si="144"/>
        <v>c</v>
      </c>
      <c r="E260" s="113" t="str">
        <f t="shared" si="144"/>
        <v>d</v>
      </c>
      <c r="F260" s="113" t="str">
        <f t="shared" si="144"/>
        <v>e</v>
      </c>
      <c r="G260" s="113" t="str">
        <f t="shared" si="144"/>
        <v>f</v>
      </c>
      <c r="H260" s="113" t="str">
        <f t="shared" si="144"/>
        <v>g</v>
      </c>
      <c r="I260" s="113" t="str">
        <f t="shared" si="144"/>
        <v>h</v>
      </c>
      <c r="J260" s="113" t="str">
        <f t="shared" si="144"/>
        <v>i</v>
      </c>
      <c r="K260" s="113" t="str">
        <f t="shared" si="144"/>
        <v>j</v>
      </c>
      <c r="L260" s="113" t="str">
        <f t="shared" si="144"/>
        <v>k</v>
      </c>
      <c r="M260" s="113" t="str">
        <f t="shared" si="144"/>
        <v>l</v>
      </c>
      <c r="N260" s="113" t="str">
        <f t="shared" si="144"/>
        <v>m</v>
      </c>
      <c r="O260" s="113">
        <f t="shared" si="144"/>
        <v>0</v>
      </c>
      <c r="P260" s="113">
        <f t="shared" si="142"/>
        <v>0</v>
      </c>
      <c r="Q260" s="113" t="str">
        <f t="shared" si="142"/>
        <v>p</v>
      </c>
      <c r="R260" s="113">
        <f t="shared" si="142"/>
        <v>0</v>
      </c>
      <c r="S260" s="113">
        <f t="shared" si="142"/>
        <v>0</v>
      </c>
      <c r="T260" s="113">
        <f t="shared" si="142"/>
        <v>0</v>
      </c>
      <c r="U260" s="113">
        <f t="shared" si="142"/>
        <v>0</v>
      </c>
      <c r="V260" s="113">
        <f t="shared" si="142"/>
        <v>0</v>
      </c>
      <c r="W260" s="113">
        <f t="shared" si="142"/>
        <v>0</v>
      </c>
      <c r="X260" s="113">
        <f t="shared" si="142"/>
        <v>0</v>
      </c>
      <c r="AA260" s="113">
        <v>28</v>
      </c>
      <c r="AB260" s="112">
        <f t="shared" ca="1" si="145"/>
        <v>44743</v>
      </c>
      <c r="AC260" s="112">
        <f t="shared" ca="1" si="145"/>
        <v>45291</v>
      </c>
      <c r="AF260" s="114">
        <f t="shared" ca="1" si="139"/>
        <v>27377.74</v>
      </c>
      <c r="AG260" s="114">
        <f t="shared" ca="1" si="139"/>
        <v>0</v>
      </c>
      <c r="AH260" s="114">
        <f t="shared" ca="1" si="139"/>
        <v>0</v>
      </c>
      <c r="AI260" s="114">
        <f t="shared" ca="1" si="139"/>
        <v>6459.63</v>
      </c>
      <c r="AJ260" s="114">
        <f t="shared" ca="1" si="139"/>
        <v>169.19</v>
      </c>
      <c r="AK260" s="114">
        <f t="shared" ca="1" si="139"/>
        <v>2735.81</v>
      </c>
      <c r="AN260">
        <f t="shared" si="127"/>
        <v>260</v>
      </c>
      <c r="AQ260" s="114">
        <f t="shared" ca="1" si="128"/>
        <v>3458.4</v>
      </c>
      <c r="AW260">
        <v>260</v>
      </c>
      <c r="BG260" s="114">
        <f t="shared" ca="1" si="125"/>
        <v>37464.960000000006</v>
      </c>
      <c r="BI260">
        <f t="shared" si="126"/>
        <v>0</v>
      </c>
    </row>
    <row r="261" spans="1:61" x14ac:dyDescent="0.25">
      <c r="A261" s="113">
        <f>A260+2</f>
        <v>1070</v>
      </c>
      <c r="B261" s="113" t="str">
        <f>B260</f>
        <v>a</v>
      </c>
      <c r="C261" s="113" t="str">
        <f t="shared" si="144"/>
        <v>b</v>
      </c>
      <c r="D261" s="113" t="str">
        <f t="shared" si="144"/>
        <v>c</v>
      </c>
      <c r="E261" s="113" t="str">
        <f t="shared" si="144"/>
        <v>d</v>
      </c>
      <c r="F261" s="113" t="str">
        <f t="shared" si="144"/>
        <v>e</v>
      </c>
      <c r="G261" s="113" t="str">
        <f t="shared" si="144"/>
        <v>f</v>
      </c>
      <c r="H261" s="113" t="str">
        <f t="shared" si="144"/>
        <v>g</v>
      </c>
      <c r="I261" s="113" t="str">
        <f t="shared" si="144"/>
        <v>h</v>
      </c>
      <c r="J261" s="113" t="str">
        <f t="shared" si="144"/>
        <v>i</v>
      </c>
      <c r="K261" s="113" t="str">
        <f t="shared" si="144"/>
        <v>j</v>
      </c>
      <c r="L261" s="113" t="str">
        <f t="shared" si="144"/>
        <v>k</v>
      </c>
      <c r="M261" s="113" t="str">
        <f t="shared" si="144"/>
        <v>l</v>
      </c>
      <c r="N261" s="113" t="str">
        <f t="shared" si="144"/>
        <v>m</v>
      </c>
      <c r="O261" s="113">
        <f t="shared" si="144"/>
        <v>0</v>
      </c>
      <c r="P261" s="113">
        <f t="shared" si="142"/>
        <v>0</v>
      </c>
      <c r="Q261" s="113" t="str">
        <f t="shared" si="142"/>
        <v>p</v>
      </c>
      <c r="R261" s="113">
        <f t="shared" si="142"/>
        <v>0</v>
      </c>
      <c r="S261" s="113">
        <f t="shared" si="142"/>
        <v>0</v>
      </c>
      <c r="T261" s="113">
        <f t="shared" si="142"/>
        <v>0</v>
      </c>
      <c r="U261" s="113">
        <f t="shared" si="142"/>
        <v>0</v>
      </c>
      <c r="V261" s="113">
        <f t="shared" si="142"/>
        <v>0</v>
      </c>
      <c r="W261" s="113">
        <f t="shared" si="142"/>
        <v>0</v>
      </c>
      <c r="X261" s="113">
        <f t="shared" si="142"/>
        <v>0</v>
      </c>
      <c r="AA261" s="113">
        <v>35</v>
      </c>
      <c r="AB261" s="112">
        <f t="shared" ca="1" si="145"/>
        <v>44743</v>
      </c>
      <c r="AC261" s="112">
        <f t="shared" ca="1" si="145"/>
        <v>45291</v>
      </c>
      <c r="AF261" s="114">
        <f t="shared" ca="1" si="139"/>
        <v>29045.84</v>
      </c>
      <c r="AG261" s="114">
        <f t="shared" ca="1" si="139"/>
        <v>0</v>
      </c>
      <c r="AH261" s="114">
        <f t="shared" ca="1" si="139"/>
        <v>0</v>
      </c>
      <c r="AI261" s="114">
        <f t="shared" ca="1" si="139"/>
        <v>6459.63</v>
      </c>
      <c r="AJ261" s="114">
        <f t="shared" ca="1" si="139"/>
        <v>177.53</v>
      </c>
      <c r="AK261" s="114">
        <f t="shared" ca="1" si="139"/>
        <v>2870.75</v>
      </c>
      <c r="AN261">
        <f t="shared" si="127"/>
        <v>261</v>
      </c>
      <c r="AQ261" s="114">
        <f t="shared" ca="1" si="128"/>
        <v>3458.4</v>
      </c>
      <c r="AW261">
        <v>261</v>
      </c>
      <c r="BG261" s="114">
        <f t="shared" ca="1" si="125"/>
        <v>39141.4</v>
      </c>
      <c r="BI261">
        <f t="shared" si="126"/>
        <v>0</v>
      </c>
    </row>
    <row r="262" spans="1:61" x14ac:dyDescent="0.25">
      <c r="AN262">
        <f t="shared" si="127"/>
        <v>262</v>
      </c>
      <c r="BG262" s="114">
        <f t="shared" si="125"/>
        <v>0</v>
      </c>
      <c r="BI262">
        <f t="shared" si="126"/>
        <v>0</v>
      </c>
    </row>
    <row r="263" spans="1:61" x14ac:dyDescent="0.25">
      <c r="AN263">
        <f t="shared" si="127"/>
        <v>263</v>
      </c>
      <c r="BG263" s="114">
        <f t="shared" si="125"/>
        <v>0</v>
      </c>
      <c r="BI263">
        <f t="shared" si="126"/>
        <v>0</v>
      </c>
    </row>
    <row r="264" spans="1:61" x14ac:dyDescent="0.25">
      <c r="AN264">
        <f t="shared" si="127"/>
        <v>264</v>
      </c>
      <c r="BG264" s="114">
        <f t="shared" si="125"/>
        <v>0</v>
      </c>
      <c r="BI264">
        <f t="shared" si="126"/>
        <v>0</v>
      </c>
    </row>
    <row r="265" spans="1:61" x14ac:dyDescent="0.25">
      <c r="AN265">
        <f t="shared" si="127"/>
        <v>265</v>
      </c>
      <c r="BG265" s="114">
        <f t="shared" si="125"/>
        <v>0</v>
      </c>
      <c r="BI265">
        <f t="shared" si="126"/>
        <v>0</v>
      </c>
    </row>
    <row r="266" spans="1:61" x14ac:dyDescent="0.25">
      <c r="AN266">
        <f t="shared" si="127"/>
        <v>266</v>
      </c>
      <c r="BG266" s="114">
        <f t="shared" si="125"/>
        <v>0</v>
      </c>
      <c r="BI266">
        <f t="shared" si="126"/>
        <v>0</v>
      </c>
    </row>
    <row r="267" spans="1:61" x14ac:dyDescent="0.25">
      <c r="AN267">
        <f t="shared" si="127"/>
        <v>267</v>
      </c>
      <c r="BG267" s="114">
        <f t="shared" si="125"/>
        <v>0</v>
      </c>
      <c r="BI267">
        <f t="shared" si="126"/>
        <v>0</v>
      </c>
    </row>
    <row r="268" spans="1:61" x14ac:dyDescent="0.25">
      <c r="AN268">
        <f t="shared" si="127"/>
        <v>268</v>
      </c>
      <c r="BG268" s="114">
        <f t="shared" si="125"/>
        <v>0</v>
      </c>
      <c r="BI268">
        <f t="shared" si="126"/>
        <v>0</v>
      </c>
    </row>
    <row r="269" spans="1:61" x14ac:dyDescent="0.25">
      <c r="AN269">
        <f t="shared" si="127"/>
        <v>269</v>
      </c>
      <c r="BG269" s="114">
        <f t="shared" si="125"/>
        <v>0</v>
      </c>
      <c r="BI269">
        <f t="shared" si="126"/>
        <v>0</v>
      </c>
    </row>
    <row r="270" spans="1:61" x14ac:dyDescent="0.25">
      <c r="AN270">
        <f t="shared" si="127"/>
        <v>270</v>
      </c>
      <c r="BG270" s="114">
        <f t="shared" si="125"/>
        <v>0</v>
      </c>
      <c r="BI270">
        <f t="shared" si="126"/>
        <v>0</v>
      </c>
    </row>
    <row r="271" spans="1:61" x14ac:dyDescent="0.25">
      <c r="AN271">
        <f t="shared" si="127"/>
        <v>271</v>
      </c>
      <c r="BG271" s="114">
        <f t="shared" si="125"/>
        <v>0</v>
      </c>
      <c r="BI271">
        <f t="shared" si="126"/>
        <v>0</v>
      </c>
    </row>
    <row r="272" spans="1:61" x14ac:dyDescent="0.25">
      <c r="AN272">
        <f t="shared" si="127"/>
        <v>272</v>
      </c>
      <c r="BG272" s="114">
        <f t="shared" si="125"/>
        <v>0</v>
      </c>
      <c r="BI272">
        <f t="shared" si="126"/>
        <v>0</v>
      </c>
    </row>
    <row r="273" spans="40:61" x14ac:dyDescent="0.25">
      <c r="AN273">
        <f t="shared" si="127"/>
        <v>273</v>
      </c>
      <c r="BG273" s="114">
        <f t="shared" si="125"/>
        <v>0</v>
      </c>
      <c r="BI273">
        <f t="shared" si="126"/>
        <v>0</v>
      </c>
    </row>
    <row r="274" spans="40:61" x14ac:dyDescent="0.25">
      <c r="AN274">
        <f t="shared" si="127"/>
        <v>274</v>
      </c>
      <c r="BG274" s="114">
        <f t="shared" si="125"/>
        <v>0</v>
      </c>
      <c r="BI274">
        <f t="shared" si="126"/>
        <v>0</v>
      </c>
    </row>
    <row r="275" spans="40:61" x14ac:dyDescent="0.25">
      <c r="AN275">
        <f t="shared" si="127"/>
        <v>275</v>
      </c>
      <c r="BG275" s="114">
        <f t="shared" si="125"/>
        <v>0</v>
      </c>
      <c r="BI275">
        <f t="shared" si="126"/>
        <v>0</v>
      </c>
    </row>
    <row r="276" spans="40:61" x14ac:dyDescent="0.25">
      <c r="AN276">
        <f t="shared" si="127"/>
        <v>276</v>
      </c>
      <c r="BG276" s="114">
        <f t="shared" si="125"/>
        <v>0</v>
      </c>
      <c r="BI276">
        <f t="shared" si="126"/>
        <v>0</v>
      </c>
    </row>
    <row r="277" spans="40:61" x14ac:dyDescent="0.25">
      <c r="AN277">
        <f t="shared" si="127"/>
        <v>277</v>
      </c>
      <c r="BG277" s="114">
        <f t="shared" si="125"/>
        <v>0</v>
      </c>
      <c r="BI277">
        <f t="shared" si="126"/>
        <v>0</v>
      </c>
    </row>
    <row r="278" spans="40:61" x14ac:dyDescent="0.25">
      <c r="AN278">
        <f t="shared" si="127"/>
        <v>278</v>
      </c>
      <c r="BG278" s="114">
        <f t="shared" si="125"/>
        <v>0</v>
      </c>
      <c r="BI278">
        <f t="shared" si="126"/>
        <v>0</v>
      </c>
    </row>
    <row r="279" spans="40:61" x14ac:dyDescent="0.25">
      <c r="AN279">
        <f t="shared" si="127"/>
        <v>279</v>
      </c>
      <c r="BG279" s="114">
        <f t="shared" si="125"/>
        <v>0</v>
      </c>
      <c r="BI279">
        <f t="shared" si="126"/>
        <v>0</v>
      </c>
    </row>
    <row r="280" spans="40:61" x14ac:dyDescent="0.25">
      <c r="AN280">
        <f t="shared" si="127"/>
        <v>280</v>
      </c>
      <c r="BG280" s="114">
        <f t="shared" si="125"/>
        <v>0</v>
      </c>
      <c r="BI280">
        <f t="shared" si="126"/>
        <v>0</v>
      </c>
    </row>
    <row r="281" spans="40:61" x14ac:dyDescent="0.25">
      <c r="AN281">
        <f t="shared" si="127"/>
        <v>281</v>
      </c>
      <c r="BG281" s="114">
        <f t="shared" si="125"/>
        <v>0</v>
      </c>
      <c r="BI281">
        <f t="shared" si="126"/>
        <v>0</v>
      </c>
    </row>
    <row r="282" spans="40:61" x14ac:dyDescent="0.25">
      <c r="AN282">
        <f t="shared" si="127"/>
        <v>282</v>
      </c>
      <c r="BG282" s="114">
        <f t="shared" si="125"/>
        <v>0</v>
      </c>
      <c r="BI282">
        <f t="shared" si="126"/>
        <v>0</v>
      </c>
    </row>
    <row r="283" spans="40:61" x14ac:dyDescent="0.25">
      <c r="AN283">
        <f t="shared" si="127"/>
        <v>283</v>
      </c>
      <c r="BG283" s="114">
        <f t="shared" si="125"/>
        <v>0</v>
      </c>
      <c r="BI283">
        <f t="shared" si="126"/>
        <v>0</v>
      </c>
    </row>
    <row r="284" spans="40:61" x14ac:dyDescent="0.25">
      <c r="AN284">
        <f t="shared" si="127"/>
        <v>284</v>
      </c>
      <c r="BG284" s="114">
        <f t="shared" si="125"/>
        <v>0</v>
      </c>
      <c r="BI284">
        <f t="shared" si="126"/>
        <v>0</v>
      </c>
    </row>
    <row r="285" spans="40:61" x14ac:dyDescent="0.25">
      <c r="BG285" s="114">
        <f t="shared" si="125"/>
        <v>0</v>
      </c>
      <c r="BI285">
        <f t="shared" si="126"/>
        <v>0</v>
      </c>
    </row>
    <row r="286" spans="40:61" x14ac:dyDescent="0.25">
      <c r="BG286" s="114">
        <f t="shared" si="125"/>
        <v>0</v>
      </c>
      <c r="BI286">
        <f t="shared" si="126"/>
        <v>0</v>
      </c>
    </row>
    <row r="287" spans="40:61" x14ac:dyDescent="0.25">
      <c r="BG287" s="114">
        <f t="shared" si="125"/>
        <v>0</v>
      </c>
      <c r="BI287">
        <f t="shared" si="126"/>
        <v>0</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8"/>
  <dimension ref="D8:FO575"/>
  <sheetViews>
    <sheetView topLeftCell="I25" workbookViewId="0">
      <selection activeCell="P20" sqref="P20"/>
    </sheetView>
  </sheetViews>
  <sheetFormatPr defaultRowHeight="15" x14ac:dyDescent="0.25"/>
  <cols>
    <col min="5" max="6" width="12.28515625" customWidth="1"/>
    <col min="7" max="7" width="12.7109375" customWidth="1"/>
    <col min="8" max="8" width="10.5703125" bestFit="1" customWidth="1"/>
    <col min="9" max="9" width="12.28515625" customWidth="1"/>
    <col min="10" max="10" width="10.5703125" bestFit="1" customWidth="1"/>
    <col min="11" max="12" width="10.5703125" customWidth="1"/>
    <col min="13" max="13" width="15.7109375" customWidth="1"/>
    <col min="14" max="14" width="13.42578125" customWidth="1"/>
    <col min="15" max="15" width="10.5703125" bestFit="1" customWidth="1"/>
    <col min="16" max="33" width="10.5703125" customWidth="1"/>
    <col min="34" max="34" width="12" customWidth="1"/>
    <col min="35" max="35" width="11.7109375" customWidth="1"/>
    <col min="36" max="53" width="10.5703125" customWidth="1"/>
    <col min="54" max="54" width="10.7109375" customWidth="1"/>
    <col min="55" max="57" width="13" customWidth="1"/>
    <col min="58" max="60" width="10.5703125" customWidth="1"/>
    <col min="61" max="61" width="12.7109375" customWidth="1"/>
    <col min="62" max="62" width="12.85546875" customWidth="1"/>
    <col min="63" max="63" width="12.28515625" customWidth="1"/>
    <col min="64" max="64" width="14.5703125" customWidth="1"/>
    <col min="66" max="66" width="10.5703125" bestFit="1" customWidth="1"/>
    <col min="67" max="67" width="10.7109375" bestFit="1" customWidth="1"/>
    <col min="68" max="68" width="10.5703125" bestFit="1" customWidth="1"/>
    <col min="69" max="69" width="16.140625" customWidth="1"/>
    <col min="70" max="70" width="12.42578125" customWidth="1"/>
    <col min="72" max="72" width="13" customWidth="1"/>
    <col min="75" max="76" width="10.7109375" bestFit="1" customWidth="1"/>
    <col min="78" max="79" width="10.7109375" bestFit="1" customWidth="1"/>
    <col min="81" max="82" width="10.5703125" bestFit="1" customWidth="1"/>
    <col min="88" max="88" width="12.140625" customWidth="1"/>
    <col min="89" max="89" width="12.5703125" customWidth="1"/>
    <col min="92" max="92" width="12.7109375" customWidth="1"/>
    <col min="93" max="93" width="10.5703125" bestFit="1" customWidth="1"/>
    <col min="94" max="106" width="10.5703125" customWidth="1"/>
    <col min="107" max="107" width="12.28515625" customWidth="1"/>
    <col min="108" max="108" width="14.140625" customWidth="1"/>
    <col min="109" max="114" width="10.5703125" customWidth="1"/>
    <col min="115" max="115" width="13.140625" customWidth="1"/>
    <col min="116" max="117" width="10.5703125" customWidth="1"/>
    <col min="118" max="118" width="11.28515625" customWidth="1"/>
    <col min="119" max="119" width="8.42578125" customWidth="1"/>
    <col min="120" max="120" width="10.28515625" customWidth="1"/>
    <col min="121" max="121" width="8.5703125" customWidth="1"/>
    <col min="122" max="122" width="3.7109375" customWidth="1"/>
    <col min="123" max="123" width="13.140625" customWidth="1"/>
    <col min="124" max="124" width="10.85546875" customWidth="1"/>
    <col min="130" max="130" width="10.5703125" bestFit="1" customWidth="1"/>
  </cols>
  <sheetData>
    <row r="8" spans="5:168" x14ac:dyDescent="0.25">
      <c r="DL8" s="112">
        <f>DN8</f>
        <v>36138</v>
      </c>
      <c r="DM8">
        <v>0</v>
      </c>
      <c r="DN8" s="112">
        <f>Foglio7!DG40</f>
        <v>36138</v>
      </c>
    </row>
    <row r="9" spans="5:168" x14ac:dyDescent="0.25">
      <c r="DL9" s="112">
        <f t="shared" ref="DL9:DL14" si="0">DN9</f>
        <v>37411</v>
      </c>
      <c r="DM9">
        <v>3</v>
      </c>
      <c r="DN9" s="112">
        <f>Foglio7!DG41</f>
        <v>37411</v>
      </c>
    </row>
    <row r="10" spans="5:168" x14ac:dyDescent="0.25">
      <c r="DL10" s="112">
        <f t="shared" si="0"/>
        <v>40171</v>
      </c>
      <c r="DM10">
        <v>9</v>
      </c>
      <c r="DN10" s="112">
        <f>Foglio7!DG42</f>
        <v>40171</v>
      </c>
    </row>
    <row r="11" spans="5:168" x14ac:dyDescent="0.25">
      <c r="DL11" s="112">
        <f t="shared" si="0"/>
        <v>42782</v>
      </c>
      <c r="DM11">
        <v>15</v>
      </c>
      <c r="DN11" s="112">
        <f>Foglio7!DG43</f>
        <v>42782</v>
      </c>
    </row>
    <row r="12" spans="5:168" x14ac:dyDescent="0.25">
      <c r="DL12" s="112">
        <f t="shared" si="0"/>
        <v>100000</v>
      </c>
      <c r="DM12">
        <v>21</v>
      </c>
      <c r="DN12" s="112">
        <f>Foglio7!DG44</f>
        <v>100000</v>
      </c>
    </row>
    <row r="13" spans="5:168" x14ac:dyDescent="0.25">
      <c r="E13" t="s">
        <v>215</v>
      </c>
      <c r="G13" s="112">
        <v>38473</v>
      </c>
      <c r="DL13" s="112">
        <f t="shared" si="0"/>
        <v>100000</v>
      </c>
      <c r="DM13">
        <v>28</v>
      </c>
      <c r="DN13" s="112">
        <f>Foglio7!DG45</f>
        <v>100000</v>
      </c>
    </row>
    <row r="14" spans="5:168" x14ac:dyDescent="0.25">
      <c r="DL14" s="112">
        <f t="shared" si="0"/>
        <v>100000</v>
      </c>
      <c r="DM14">
        <v>35</v>
      </c>
      <c r="DN14" s="112">
        <f>Foglio7!DG46</f>
        <v>100000</v>
      </c>
    </row>
    <row r="15" spans="5:168" x14ac:dyDescent="0.25">
      <c r="DN15" s="112"/>
    </row>
    <row r="16" spans="5:168" x14ac:dyDescent="0.25">
      <c r="DY16" s="244"/>
      <c r="DZ16" s="244"/>
      <c r="EA16" s="244"/>
      <c r="EB16" s="244" t="s">
        <v>236</v>
      </c>
      <c r="EC16" s="244" t="s">
        <v>236</v>
      </c>
      <c r="ED16" s="244" t="s">
        <v>236</v>
      </c>
      <c r="EE16" s="244" t="s">
        <v>236</v>
      </c>
      <c r="EF16" s="244" t="s">
        <v>236</v>
      </c>
      <c r="EG16" s="244" t="s">
        <v>236</v>
      </c>
      <c r="EH16" s="244" t="s">
        <v>236</v>
      </c>
      <c r="EI16" s="244" t="s">
        <v>236</v>
      </c>
      <c r="EJ16" s="244" t="s">
        <v>236</v>
      </c>
      <c r="EK16" s="244" t="s">
        <v>236</v>
      </c>
      <c r="EL16" s="244" t="s">
        <v>236</v>
      </c>
      <c r="EM16" s="244" t="s">
        <v>236</v>
      </c>
      <c r="EN16" s="244" t="s">
        <v>236</v>
      </c>
      <c r="EO16" s="244" t="s">
        <v>236</v>
      </c>
      <c r="EP16" s="244"/>
      <c r="EU16" s="244"/>
      <c r="EV16" s="244"/>
      <c r="EW16" s="244"/>
      <c r="EX16" s="244" t="s">
        <v>236</v>
      </c>
      <c r="EY16" s="244" t="s">
        <v>236</v>
      </c>
      <c r="EZ16" s="244" t="s">
        <v>236</v>
      </c>
      <c r="FA16" s="244" t="s">
        <v>236</v>
      </c>
      <c r="FB16" s="244" t="s">
        <v>236</v>
      </c>
      <c r="FC16" s="244" t="s">
        <v>236</v>
      </c>
      <c r="FD16" s="244" t="s">
        <v>236</v>
      </c>
      <c r="FE16" s="244" t="s">
        <v>236</v>
      </c>
      <c r="FF16" s="244" t="s">
        <v>236</v>
      </c>
      <c r="FG16" s="244" t="s">
        <v>236</v>
      </c>
      <c r="FH16" s="244" t="s">
        <v>236</v>
      </c>
      <c r="FI16" s="244" t="s">
        <v>236</v>
      </c>
      <c r="FJ16" s="244" t="s">
        <v>236</v>
      </c>
      <c r="FK16" s="244" t="s">
        <v>236</v>
      </c>
      <c r="FL16" s="244"/>
    </row>
    <row r="17" spans="5:170" x14ac:dyDescent="0.25">
      <c r="DY17" s="244"/>
      <c r="DZ17" s="244"/>
      <c r="EA17" s="244"/>
      <c r="EB17" s="244" t="s">
        <v>234</v>
      </c>
      <c r="EC17" s="244" t="s">
        <v>139</v>
      </c>
      <c r="ED17" s="244" t="s">
        <v>140</v>
      </c>
      <c r="EE17" s="244" t="s">
        <v>141</v>
      </c>
      <c r="EF17" s="244" t="s">
        <v>142</v>
      </c>
      <c r="EG17" s="244" t="s">
        <v>143</v>
      </c>
      <c r="EH17" s="244" t="s">
        <v>144</v>
      </c>
      <c r="EI17" s="244" t="s">
        <v>145</v>
      </c>
      <c r="EJ17" s="244" t="s">
        <v>147</v>
      </c>
      <c r="EK17" s="244" t="s">
        <v>148</v>
      </c>
      <c r="EL17" s="244" t="s">
        <v>149</v>
      </c>
      <c r="EM17" s="244" t="s">
        <v>150</v>
      </c>
      <c r="EN17" s="244" t="s">
        <v>146</v>
      </c>
      <c r="EO17" s="244" t="s">
        <v>235</v>
      </c>
      <c r="EP17" s="244"/>
      <c r="EU17" s="244"/>
      <c r="EV17" s="244"/>
      <c r="EW17" s="244"/>
      <c r="EX17" s="244" t="s">
        <v>234</v>
      </c>
      <c r="EY17" s="244" t="s">
        <v>139</v>
      </c>
      <c r="EZ17" s="244" t="s">
        <v>140</v>
      </c>
      <c r="FA17" s="244" t="s">
        <v>141</v>
      </c>
      <c r="FB17" s="244" t="s">
        <v>142</v>
      </c>
      <c r="FC17" s="244" t="s">
        <v>143</v>
      </c>
      <c r="FD17" s="244" t="s">
        <v>144</v>
      </c>
      <c r="FE17" s="244" t="s">
        <v>145</v>
      </c>
      <c r="FF17" s="244" t="s">
        <v>147</v>
      </c>
      <c r="FG17" s="244" t="s">
        <v>148</v>
      </c>
      <c r="FH17" s="244" t="s">
        <v>149</v>
      </c>
      <c r="FI17" s="244" t="s">
        <v>150</v>
      </c>
      <c r="FJ17" s="244" t="s">
        <v>146</v>
      </c>
      <c r="FK17" s="244" t="s">
        <v>235</v>
      </c>
      <c r="FL17" s="244"/>
    </row>
    <row r="18" spans="5:170" ht="75" x14ac:dyDescent="0.25">
      <c r="AI18">
        <f ca="1">IF(AND(AB20&gt;AH21,AB20&lt;100000),"w",IF(AND(AC20&gt;AH21,AC20&lt;100000),"w",IF(AND(AD20&gt;AH21,AD20&lt;100000),"w",IF(AND(AE20&gt;AI20,AH21&lt;100000),AE20,"w"))))</f>
        <v>100000</v>
      </c>
      <c r="DJ18" s="244"/>
      <c r="DK18" s="244" t="s">
        <v>223</v>
      </c>
      <c r="DL18" s="244"/>
      <c r="DM18" s="244"/>
      <c r="DN18" s="244"/>
      <c r="DO18" s="244"/>
      <c r="DP18" s="244"/>
      <c r="DQ18" s="244"/>
      <c r="DR18" s="244"/>
      <c r="DS18" s="244"/>
      <c r="DT18" s="244"/>
      <c r="DU18" s="244"/>
      <c r="DV18" s="244"/>
      <c r="DY18" s="111" t="s">
        <v>239</v>
      </c>
      <c r="DZ18" s="244"/>
      <c r="EA18" s="244"/>
      <c r="EB18" s="111" t="s">
        <v>58</v>
      </c>
      <c r="EC18" s="111" t="s">
        <v>233</v>
      </c>
      <c r="ED18" s="111" t="s">
        <v>17</v>
      </c>
      <c r="EE18" s="111" t="s">
        <v>18</v>
      </c>
      <c r="EF18" s="111" t="s">
        <v>19</v>
      </c>
      <c r="EG18" s="111" t="s">
        <v>20</v>
      </c>
      <c r="EH18" s="111" t="s">
        <v>41</v>
      </c>
      <c r="EI18" s="111"/>
      <c r="EJ18" s="111"/>
      <c r="EK18" s="111"/>
      <c r="EL18" s="111"/>
      <c r="EM18" s="111"/>
      <c r="EN18" s="111" t="s">
        <v>22</v>
      </c>
      <c r="EO18" s="111"/>
      <c r="EP18" s="244"/>
      <c r="EU18" s="111" t="s">
        <v>239</v>
      </c>
      <c r="EV18" s="244"/>
      <c r="EW18" s="244"/>
      <c r="EX18" s="111" t="s">
        <v>58</v>
      </c>
      <c r="EY18" s="111" t="s">
        <v>233</v>
      </c>
      <c r="EZ18" s="111" t="s">
        <v>17</v>
      </c>
      <c r="FA18" s="111" t="s">
        <v>18</v>
      </c>
      <c r="FB18" s="111" t="s">
        <v>19</v>
      </c>
      <c r="FC18" s="111" t="s">
        <v>20</v>
      </c>
      <c r="FD18" s="111" t="s">
        <v>41</v>
      </c>
      <c r="FE18" s="111"/>
      <c r="FF18" s="111"/>
      <c r="FG18" s="111"/>
      <c r="FH18" s="111"/>
      <c r="FI18" s="111"/>
      <c r="FJ18" s="111" t="s">
        <v>22</v>
      </c>
      <c r="FK18" s="111"/>
      <c r="FL18" s="244"/>
    </row>
    <row r="19" spans="5:170" ht="70.150000000000006" customHeight="1" x14ac:dyDescent="0.45">
      <c r="F19" t="s">
        <v>214</v>
      </c>
      <c r="N19" t="s">
        <v>222</v>
      </c>
      <c r="R19" t="s">
        <v>105</v>
      </c>
      <c r="S19" t="s">
        <v>251</v>
      </c>
      <c r="T19" t="s">
        <v>248</v>
      </c>
      <c r="U19" t="s">
        <v>249</v>
      </c>
      <c r="V19" t="s">
        <v>250</v>
      </c>
      <c r="W19" t="s">
        <v>252</v>
      </c>
      <c r="X19" t="s">
        <v>106</v>
      </c>
      <c r="AA19" t="s">
        <v>253</v>
      </c>
      <c r="AB19" t="s">
        <v>254</v>
      </c>
      <c r="AC19" t="s">
        <v>255</v>
      </c>
      <c r="AD19" t="s">
        <v>256</v>
      </c>
      <c r="AE19" t="s">
        <v>257</v>
      </c>
      <c r="AF19" t="s">
        <v>145</v>
      </c>
      <c r="AR19" t="s">
        <v>251</v>
      </c>
      <c r="AU19" s="282" t="s">
        <v>258</v>
      </c>
      <c r="AV19" s="282" t="s">
        <v>105</v>
      </c>
      <c r="AW19" s="282" t="s">
        <v>106</v>
      </c>
      <c r="AX19" s="282" t="s">
        <v>259</v>
      </c>
      <c r="AY19" s="282"/>
      <c r="AZ19" s="282"/>
      <c r="BE19" s="263" t="s">
        <v>245</v>
      </c>
      <c r="BI19" s="244" t="s">
        <v>247</v>
      </c>
      <c r="BJ19" s="244"/>
      <c r="BK19" s="244" t="s">
        <v>246</v>
      </c>
      <c r="BL19" s="244" t="s">
        <v>106</v>
      </c>
      <c r="BM19" s="244"/>
      <c r="BN19" s="244"/>
      <c r="BQ19" s="244"/>
      <c r="BR19" s="244"/>
      <c r="BS19" s="244"/>
      <c r="BT19" s="244"/>
      <c r="BU19" s="244"/>
      <c r="BV19" s="244"/>
      <c r="BY19" s="245"/>
      <c r="BZ19" s="245"/>
      <c r="CA19" s="245"/>
      <c r="CB19" s="245"/>
      <c r="CC19" s="245"/>
      <c r="CD19" s="245"/>
      <c r="CE19" s="245"/>
      <c r="CF19" s="245"/>
      <c r="CG19" s="245"/>
      <c r="CH19" s="245"/>
      <c r="DL19" s="244"/>
      <c r="DM19" s="244" t="s">
        <v>105</v>
      </c>
      <c r="DN19" s="244" t="s">
        <v>106</v>
      </c>
      <c r="DO19" s="244" t="s">
        <v>230</v>
      </c>
      <c r="DP19" s="244"/>
      <c r="DQ19" s="111" t="s">
        <v>232</v>
      </c>
      <c r="DR19" s="111"/>
      <c r="DS19" s="111" t="s">
        <v>237</v>
      </c>
      <c r="DT19" s="111" t="s">
        <v>238</v>
      </c>
      <c r="DU19" s="280" t="s">
        <v>242</v>
      </c>
      <c r="DV19" s="111" t="s">
        <v>260</v>
      </c>
      <c r="DW19" s="111"/>
      <c r="DX19" s="111" t="s">
        <v>231</v>
      </c>
      <c r="DY19" s="263"/>
      <c r="EA19" s="607" t="s">
        <v>240</v>
      </c>
      <c r="EB19" s="608"/>
      <c r="EC19" s="608"/>
      <c r="ED19" s="608"/>
      <c r="EE19" s="608"/>
      <c r="EF19" s="608"/>
      <c r="EG19" s="608"/>
      <c r="EH19" s="608"/>
      <c r="EI19" s="608"/>
      <c r="EJ19" s="608"/>
      <c r="EK19" s="608"/>
      <c r="EL19" s="608"/>
      <c r="EM19" s="609"/>
      <c r="EN19" s="244"/>
      <c r="EO19" s="244"/>
      <c r="EP19" s="244"/>
      <c r="EQ19" s="244"/>
      <c r="ER19" s="244"/>
      <c r="EW19" s="607" t="s">
        <v>241</v>
      </c>
      <c r="EX19" s="608"/>
      <c r="EY19" s="608"/>
      <c r="EZ19" s="608"/>
      <c r="FA19" s="608"/>
      <c r="FB19" s="608"/>
      <c r="FC19" s="608"/>
      <c r="FD19" s="608"/>
      <c r="FE19" s="608"/>
      <c r="FF19" s="608"/>
      <c r="FG19" s="608"/>
      <c r="FH19" s="608"/>
      <c r="FI19" s="609"/>
      <c r="FJ19" s="244"/>
      <c r="FK19" s="244"/>
      <c r="FL19" s="244"/>
      <c r="FM19" s="244"/>
      <c r="FN19" s="244"/>
    </row>
    <row r="20" spans="5:170" x14ac:dyDescent="0.25">
      <c r="E20" s="244"/>
      <c r="F20" s="240">
        <v>36770</v>
      </c>
      <c r="G20" s="240">
        <v>37134</v>
      </c>
      <c r="H20">
        <v>10</v>
      </c>
      <c r="J20">
        <v>18</v>
      </c>
      <c r="L20">
        <v>20</v>
      </c>
      <c r="M20" s="112" t="e">
        <f ca="1">VLOOKUP(N20,$F$20:$G$137,1,FALSE)</f>
        <v>#N/A</v>
      </c>
      <c r="N20" s="112">
        <f ca="1">IF(Foglio7!GE40="",100000,Foglio7!GE40)</f>
        <v>36138</v>
      </c>
      <c r="O20" s="112"/>
      <c r="P20" s="238" t="e">
        <f ca="1">VLOOKUP(N20,$F$20:$L$141,7)</f>
        <v>#N/A</v>
      </c>
      <c r="Q20" s="238">
        <f>L20</f>
        <v>20</v>
      </c>
      <c r="R20" s="112">
        <f>F20</f>
        <v>36770</v>
      </c>
      <c r="S20" s="238">
        <f ca="1">VLOOKUP(L20,P17:Q46,2,FALSE)</f>
        <v>23</v>
      </c>
      <c r="T20" s="112">
        <f ca="1">SMALL(INDIRECT(CONCATENATE("N",S20,":N",S20+4)),1)</f>
        <v>36770</v>
      </c>
      <c r="U20" s="112">
        <f ca="1">SMALL(INDIRECT(CONCATENATE("N",S20,":N",S20+4)),2)</f>
        <v>36892</v>
      </c>
      <c r="V20" s="112">
        <f ca="1">SMALL(INDIRECT(CONCATENATE("N",S20,":N",S20+4)),3)</f>
        <v>37257</v>
      </c>
      <c r="W20" s="112">
        <f ca="1">SMALL(INDIRECT(CONCATENATE("N",S20,":N",S20+4)),4)</f>
        <v>37411</v>
      </c>
      <c r="X20" s="112">
        <f>G20</f>
        <v>37134</v>
      </c>
      <c r="Y20" s="112"/>
      <c r="Z20" s="112"/>
      <c r="AA20" s="112">
        <f>IF(R20=0,100000,R20)</f>
        <v>36770</v>
      </c>
      <c r="AB20" s="112">
        <f ca="1">IF(AND(T20&gt;R20,T20&lt;X20),T20,100000)</f>
        <v>100000</v>
      </c>
      <c r="AC20" s="112">
        <f ca="1">IF(AND(U20&gt;R20,U20&lt;X20),U20,100000)</f>
        <v>36892</v>
      </c>
      <c r="AD20" s="112">
        <f ca="1">IF(AND(U20&gt;R20,V20&lt;X20),V20,100000)</f>
        <v>100000</v>
      </c>
      <c r="AE20" s="112">
        <f ca="1">IF(AND(U20&gt;R20,W20&lt;X20),W20,100000)</f>
        <v>100000</v>
      </c>
      <c r="AF20" s="112">
        <f>IF(X20&gt;0,X20,100000)</f>
        <v>37134</v>
      </c>
      <c r="AG20" s="238">
        <v>20</v>
      </c>
      <c r="AH20" s="112">
        <f ca="1">INDIRECT(CONCATENATE("AA",AG20))</f>
        <v>36770</v>
      </c>
      <c r="AI20" s="112">
        <f ca="1">IF(            INDIRECT(CONCATENATE( "AB",AG20))&lt;100000,       INDIRECT(CONCATENATE("AB",AG20))  -1,IF(   INDIRECT(CONCATENATE("AC",AG20))&lt;100000,   INDIRECT(CONCATENATE("AC",AG20))-1,IF(   INDIRECT(CONCATENATE("AD", AG20))&lt;100000, INDIRECT(CONCATENATE("AD",AG20))-1,IF(   INDIRECT(CONCATENATE("AE",AG20))&lt;100000,  INDIRECT(CONCATENATE("AE",G20)),INDIRECT(CONCATENATE("AF",AG20))                ))))</f>
        <v>36891</v>
      </c>
      <c r="AJ20" s="114"/>
      <c r="AK20" s="114"/>
      <c r="AL20" s="112"/>
      <c r="AM20" s="112">
        <f ca="1">AH20</f>
        <v>36770</v>
      </c>
      <c r="AN20" s="112">
        <f ca="1">AI20</f>
        <v>36891</v>
      </c>
      <c r="AO20" s="114">
        <f ca="1">INDIRECT(CONCATENATE("H",AG20))</f>
        <v>10</v>
      </c>
      <c r="AP20" s="114">
        <f ca="1">INDIRECT(CONCATENATE("J",AG20))</f>
        <v>18</v>
      </c>
      <c r="AQ20" s="112"/>
      <c r="AR20" s="238">
        <v>20</v>
      </c>
      <c r="AS20" s="112"/>
      <c r="AT20" s="112"/>
      <c r="AU20" s="283">
        <v>1</v>
      </c>
      <c r="AV20" s="284">
        <f ca="1">SMALL($AM$20:$AM$564,AU20)</f>
        <v>36770</v>
      </c>
      <c r="AW20" s="284">
        <f ca="1">VLOOKUP(AV20,$AM$20:$AP$564,2,FALSE)</f>
        <v>36891</v>
      </c>
      <c r="AX20" s="285">
        <f ca="1">VLOOKUP(AV20,$AM$20:$AP$564,3,FALSE)</f>
        <v>10</v>
      </c>
      <c r="AY20" s="285">
        <f ca="1">VLOOKUP(AV20,$AM$20:$AP$564,4,FALSE)</f>
        <v>18</v>
      </c>
      <c r="AZ20" s="284"/>
      <c r="BA20" s="112"/>
      <c r="BB20" s="112" t="e">
        <f ca="1">VLOOKUP(N20,$F$20:$G$130,2)</f>
        <v>#N/A</v>
      </c>
      <c r="BC20" s="114" t="e">
        <f ca="1">IF(N20&gt;=BB20,0,1)</f>
        <v>#N/A</v>
      </c>
      <c r="BD20" s="114">
        <f ca="1">TYPE(M20)</f>
        <v>16</v>
      </c>
      <c r="BE20" s="112" t="e">
        <f ca="1">IF(AND(BC20=1,BD20=16),N20,100000)</f>
        <v>#N/A</v>
      </c>
      <c r="BF20" s="112"/>
      <c r="BG20" s="112"/>
      <c r="BH20" s="238">
        <v>1</v>
      </c>
      <c r="BI20" s="245">
        <f>IF(F20=0,100000,F20)</f>
        <v>36770</v>
      </c>
      <c r="BJ20" s="281">
        <f t="shared" ref="BJ20:BJ83" ca="1" si="1">TYPE(VLOOKUP(BK20,$N$20:$N$49,1,FALSE))</f>
        <v>16</v>
      </c>
      <c r="BK20" s="245" t="e">
        <f ca="1">SMALL($BI$20:$BI$154,BH20)</f>
        <v>#N/A</v>
      </c>
      <c r="BL20" s="245" t="e">
        <f ca="1">BK21-1</f>
        <v>#N/A</v>
      </c>
      <c r="BM20" s="245"/>
      <c r="BN20" s="245" t="s">
        <v>65</v>
      </c>
      <c r="BQ20" s="245"/>
      <c r="BR20" s="245"/>
      <c r="BS20" s="245"/>
      <c r="BT20" s="245"/>
      <c r="BU20" s="245"/>
      <c r="BV20" s="245"/>
      <c r="BY20" s="245"/>
      <c r="BZ20" s="245"/>
      <c r="CA20" s="245"/>
      <c r="CB20" s="245"/>
      <c r="CC20" s="245"/>
      <c r="CD20" s="245"/>
      <c r="CE20" s="245"/>
      <c r="CF20" s="245"/>
      <c r="CG20" s="245"/>
      <c r="CH20" s="245"/>
      <c r="CL20" s="112"/>
      <c r="CM20" s="112"/>
      <c r="CP20" s="112"/>
      <c r="CQ20" s="112"/>
      <c r="CR20" s="238"/>
      <c r="CS20" s="238"/>
      <c r="CT20" s="112"/>
      <c r="CU20" s="112"/>
      <c r="CV20" s="112"/>
      <c r="CW20" s="112" t="s">
        <v>224</v>
      </c>
      <c r="CX20" s="112" t="s">
        <v>225</v>
      </c>
      <c r="CY20" s="112" t="s">
        <v>226</v>
      </c>
      <c r="CZ20" s="112" t="s">
        <v>227</v>
      </c>
      <c r="DA20" s="112" t="s">
        <v>228</v>
      </c>
      <c r="DB20" s="112" t="s">
        <v>229</v>
      </c>
      <c r="DC20" s="112"/>
      <c r="DD20" s="238"/>
      <c r="DE20" s="112"/>
      <c r="DF20" s="112"/>
      <c r="DG20" s="112"/>
      <c r="DH20" s="238"/>
      <c r="DI20" s="112"/>
      <c r="DJ20" s="112"/>
      <c r="DK20" s="112"/>
      <c r="DL20" s="278">
        <v>1</v>
      </c>
      <c r="DM20" s="245">
        <f t="shared" ref="DM20:DP30" ca="1" si="2">AV20</f>
        <v>36770</v>
      </c>
      <c r="DN20" s="245">
        <f t="shared" ca="1" si="2"/>
        <v>36891</v>
      </c>
      <c r="DO20" s="281">
        <f t="shared" ca="1" si="2"/>
        <v>10</v>
      </c>
      <c r="DP20" s="281">
        <f t="shared" ca="1" si="2"/>
        <v>18</v>
      </c>
      <c r="DQ20" s="244">
        <f t="shared" ref="DQ20:DQ30" ca="1" si="3">DN20-DM20+1</f>
        <v>122</v>
      </c>
      <c r="DR20" s="244"/>
      <c r="DS20" s="244">
        <f t="shared" ref="DS20:DS30" ca="1" si="4">ED20+EE20+EF20+EG20+EH20+EI20+EK20+EL20+EN20+EO20+EP20</f>
        <v>0</v>
      </c>
      <c r="DT20" s="244">
        <f t="shared" ref="DT20:DT30" ca="1" si="5">EZ20+FA20+FB20+FC20+FD20+FE20+FG20+FH20+FJ20+FK20+FL20+FM20</f>
        <v>0</v>
      </c>
      <c r="DU20" s="244">
        <f t="shared" ref="DU20:DU30" ca="1" si="6">ROUND((DS20-DT20)/365*DQ20*DO20/DP20,2)</f>
        <v>0</v>
      </c>
      <c r="DV20" s="244" t="str">
        <f t="shared" ref="DV20:DV83" ca="1" si="7">IF(DL20="","",IF(DX20=0,"0/2 anni",IF(DX20=3,"3/8 anni",IF(DX20=9,"9/14 anni",IF(DX20=15,"15/20 anni",IF(DX20=21,"21/27 anni",IF(DX20=28,"28/34 anni","oltre 34")))))))</f>
        <v>0/2 anni</v>
      </c>
      <c r="DW20" s="244"/>
      <c r="DX20" s="244">
        <f ca="1">VLOOKUP(DM20,$DL$8:$DM$14,2)</f>
        <v>0</v>
      </c>
      <c r="EA20" s="244">
        <f ca="1">IF(DX20=0,0,IF(DX20=3,1,IF(DX20=9,2,IF(DX20=15,3,IF(DX20=21,4,IF(DX20=28,5,IF(DX20=35,6)))))))</f>
        <v>0</v>
      </c>
      <c r="EB20" s="278">
        <f ca="1">VLOOKUP(DM20,Foglio1!$AB$31:$AN$261,13)-6+EA20</f>
        <v>87</v>
      </c>
      <c r="EC20" s="244"/>
      <c r="ED20" s="244">
        <f t="shared" ref="ED20:EQ38" ca="1" si="8">INDIRECT(CONCATENATE(EB$16,EB$17,$EB20))</f>
        <v>0</v>
      </c>
      <c r="EE20" s="244">
        <f t="shared" ca="1" si="8"/>
        <v>0</v>
      </c>
      <c r="EF20" s="244">
        <f t="shared" ca="1" si="8"/>
        <v>0</v>
      </c>
      <c r="EG20" s="244">
        <f t="shared" ca="1" si="8"/>
        <v>0</v>
      </c>
      <c r="EH20" s="244">
        <f t="shared" ca="1" si="8"/>
        <v>0</v>
      </c>
      <c r="EI20" s="244">
        <f t="shared" ca="1" si="8"/>
        <v>0</v>
      </c>
      <c r="EJ20" s="244">
        <f t="shared" ca="1" si="8"/>
        <v>0</v>
      </c>
      <c r="EK20" s="244">
        <f t="shared" ca="1" si="8"/>
        <v>0</v>
      </c>
      <c r="EL20" s="244">
        <f t="shared" ca="1" si="8"/>
        <v>0</v>
      </c>
      <c r="EM20" s="244">
        <f t="shared" ca="1" si="8"/>
        <v>87</v>
      </c>
      <c r="EN20" s="244">
        <f t="shared" ca="1" si="8"/>
        <v>0</v>
      </c>
      <c r="EO20" s="244">
        <f t="shared" ca="1" si="8"/>
        <v>0</v>
      </c>
      <c r="EP20" s="244">
        <f t="shared" ca="1" si="8"/>
        <v>0</v>
      </c>
      <c r="EQ20" s="244">
        <f t="shared" ca="1" si="8"/>
        <v>0</v>
      </c>
      <c r="ER20" s="244"/>
      <c r="EW20" s="244">
        <v>0</v>
      </c>
      <c r="EX20" s="278">
        <f ca="1">VLOOKUP(DM20,Foglio1!$AB$31:$AN$261,13)-6+EW20</f>
        <v>87</v>
      </c>
      <c r="EY20" s="244"/>
      <c r="EZ20" s="244">
        <f t="shared" ref="EZ20:FL35" ca="1" si="9">INDIRECT(CONCATENATE(EX$16,EX$17,$EX20))</f>
        <v>0</v>
      </c>
      <c r="FA20" s="244">
        <f t="shared" ca="1" si="9"/>
        <v>0</v>
      </c>
      <c r="FB20" s="244">
        <f t="shared" ca="1" si="9"/>
        <v>0</v>
      </c>
      <c r="FC20" s="244">
        <f t="shared" ca="1" si="9"/>
        <v>0</v>
      </c>
      <c r="FD20" s="244">
        <f t="shared" ca="1" si="9"/>
        <v>0</v>
      </c>
      <c r="FE20" s="244">
        <f t="shared" ca="1" si="9"/>
        <v>0</v>
      </c>
      <c r="FF20" s="244">
        <f t="shared" ca="1" si="9"/>
        <v>0</v>
      </c>
      <c r="FG20" s="244">
        <f t="shared" ca="1" si="9"/>
        <v>0</v>
      </c>
      <c r="FH20" s="244">
        <f t="shared" ca="1" si="9"/>
        <v>0</v>
      </c>
      <c r="FI20" s="244">
        <f t="shared" ca="1" si="9"/>
        <v>87</v>
      </c>
      <c r="FJ20" s="244">
        <f t="shared" ca="1" si="9"/>
        <v>0</v>
      </c>
      <c r="FK20" s="244">
        <f t="shared" ca="1" si="9"/>
        <v>0</v>
      </c>
      <c r="FL20" s="244">
        <f t="shared" ca="1" si="9"/>
        <v>0</v>
      </c>
      <c r="FM20" s="244">
        <f t="shared" ref="FM20:FM83" ca="1" si="10">INDIRECT(CONCATENATE(FK$16,FK$17,$EB20))</f>
        <v>0</v>
      </c>
      <c r="FN20" s="244"/>
    </row>
    <row r="21" spans="5:170" x14ac:dyDescent="0.25">
      <c r="E21" s="244"/>
      <c r="F21" s="240">
        <v>37135</v>
      </c>
      <c r="G21" s="240">
        <v>37499</v>
      </c>
      <c r="H21">
        <v>1</v>
      </c>
      <c r="J21">
        <v>18</v>
      </c>
      <c r="L21">
        <f>L20+1</f>
        <v>21</v>
      </c>
      <c r="M21" s="112" t="e">
        <f t="shared" ref="M21:M49" ca="1" si="11">VLOOKUP(N21,$F$20:$G$137,1,FALSE)</f>
        <v>#N/A</v>
      </c>
      <c r="N21" s="112">
        <f ca="1">IF(Foglio7!GE41="",100000,Foglio7!GE41)</f>
        <v>36312</v>
      </c>
      <c r="O21" s="112"/>
      <c r="P21" s="238" t="e">
        <f t="shared" ref="P21:P49" ca="1" si="12">VLOOKUP(N21,$F$20:$L$141,7)</f>
        <v>#N/A</v>
      </c>
      <c r="Q21" s="238">
        <f t="shared" ref="Q21:Q49" si="13">L21</f>
        <v>21</v>
      </c>
      <c r="R21" s="112">
        <f t="shared" ref="R21:R84" si="14">F21</f>
        <v>37135</v>
      </c>
      <c r="S21" s="238">
        <f ca="1">VLOOKUP(L21,P18:Q47,2,FALSE)</f>
        <v>25</v>
      </c>
      <c r="T21" s="112">
        <f ca="1">SMALL(INDIRECT(CONCATENATE("N",S21,":N",S21+4)),1)</f>
        <v>37257</v>
      </c>
      <c r="U21" s="112">
        <f ca="1">SMALL(INDIRECT(CONCATENATE("N",S21,":N",S21+4)),2)</f>
        <v>37411</v>
      </c>
      <c r="V21" s="112">
        <f ca="1">SMALL(INDIRECT(CONCATENATE("N",S21,":N",S21+4)),3)</f>
        <v>37622</v>
      </c>
      <c r="W21" s="112">
        <f ca="1">SMALL(INDIRECT(CONCATENATE("N",S21,":N",S21+4)),4)</f>
        <v>37987</v>
      </c>
      <c r="X21" s="112">
        <f t="shared" ref="X21:X84" si="15">G21</f>
        <v>37499</v>
      </c>
      <c r="Y21" s="112"/>
      <c r="Z21" s="112"/>
      <c r="AA21" s="112">
        <f t="shared" ref="AA21:AA84" si="16">IF(R21=0,100000,R21)</f>
        <v>37135</v>
      </c>
      <c r="AB21" s="112">
        <f t="shared" ref="AB21:AB84" ca="1" si="17">IF(AND(T21&gt;R21,T21&lt;X21),T21,100000)</f>
        <v>37257</v>
      </c>
      <c r="AC21" s="112">
        <f t="shared" ref="AC21:AC84" ca="1" si="18">IF(AND(U21&gt;R21,U21&lt;X21),U21,100000)</f>
        <v>37411</v>
      </c>
      <c r="AD21" s="112">
        <f t="shared" ref="AD21:AD84" ca="1" si="19">IF(AND(U21&gt;R21,V21&lt;X21),V21,100000)</f>
        <v>100000</v>
      </c>
      <c r="AE21" s="112">
        <f t="shared" ref="AE21:AE84" ca="1" si="20">IF(AND(U21&gt;R21,W21&lt;X21),W21,100000)</f>
        <v>100000</v>
      </c>
      <c r="AF21" s="112">
        <f t="shared" ref="AF21:AF84" si="21">IF(X21&gt;0,X21,100000)</f>
        <v>37499</v>
      </c>
      <c r="AG21" s="238">
        <f>AG20</f>
        <v>20</v>
      </c>
      <c r="AH21" s="112">
        <f ca="1">AI20+1</f>
        <v>36892</v>
      </c>
      <c r="AI21" s="112">
        <f ca="1">IF(INDIRECT(CONCATENATE("AC",AG20))&lt;100000,INDIRECT(CONCATENATE("AC",AG20))-1,IF(INDIRECT(CONCATENATE("AD",AG20))&lt;100000,INDIRECT(CONCATENATE("AD",AG20))-1,IF(INDIRECT(CONCATENATE("AE",AG20))&lt;100000,INDIRECT(CONCATENATE("AE",G20)),INDIRECT(CONCATENATE("AF",AG20)))))</f>
        <v>36891</v>
      </c>
      <c r="AJ21" s="114"/>
      <c r="AK21" s="114"/>
      <c r="AL21" s="238">
        <f ca="1">IF(AI21=AI20,0,1)</f>
        <v>0</v>
      </c>
      <c r="AM21" s="112">
        <f t="shared" ref="AM21:AM39" ca="1" si="22">IF(TYPE(AL21)=16,100000,IF(AL21=0,100000,AH21))</f>
        <v>100000</v>
      </c>
      <c r="AN21" s="112">
        <f ca="1">IF(AM21=100000,100000,AI21)</f>
        <v>100000</v>
      </c>
      <c r="AO21" s="114">
        <f t="shared" ref="AO21:AO84" ca="1" si="23">INDIRECT(CONCATENATE("H",AG21))</f>
        <v>10</v>
      </c>
      <c r="AP21" s="114">
        <f t="shared" ref="AP21:AP84" ca="1" si="24">INDIRECT(CONCATENATE("J",AG21))</f>
        <v>18</v>
      </c>
      <c r="AQ21" s="112"/>
      <c r="AR21" s="238">
        <f>AR20+1</f>
        <v>21</v>
      </c>
      <c r="AS21" s="112"/>
      <c r="AT21" s="112"/>
      <c r="AU21" s="283">
        <f>AU20+1</f>
        <v>2</v>
      </c>
      <c r="AV21" s="284">
        <f t="shared" ref="AV21:AV84" ca="1" si="25">SMALL($AM$20:$AM$564,AU21)</f>
        <v>36892</v>
      </c>
      <c r="AW21" s="284">
        <f t="shared" ref="AW21:AW28" ca="1" si="26" xml:space="preserve">           IF( VLOOKUP(AV21,$AM$20:$AP$564,2,FALSE)=AW20,VLOOKUP(AV21,$AM$20:$AP$564,2),VLOOKUP(AV21,$AM$20:$AP$564,2,FALSE))</f>
        <v>37134</v>
      </c>
      <c r="AX21" s="285">
        <f t="shared" ref="AX21:AX84" ca="1" si="27" xml:space="preserve">         IF( VLOOKUP(AV21,$AM$20:$AP$564,2,FALSE)=AW20, VLOOKUP(AV21,$AM$20:$AP$564,3),              VLOOKUP(AV21,$AM$20:$AP$564,3,FALSE))</f>
        <v>10</v>
      </c>
      <c r="AY21" s="285">
        <f t="shared" ref="AY21:AY84" ca="1" si="28">VLOOKUP(AV21,$AM$20:$AP$564,4,FALSE)</f>
        <v>18</v>
      </c>
      <c r="AZ21" s="284"/>
      <c r="BA21" s="112"/>
      <c r="BB21" s="112" t="e">
        <f t="shared" ref="BB21:BB45" ca="1" si="29">VLOOKUP(N21,$F$20:$G$130,2)</f>
        <v>#N/A</v>
      </c>
      <c r="BC21" s="114" t="e">
        <f t="shared" ref="BC21:BC45" ca="1" si="30">IF(N21&gt;=BB21,0,1)</f>
        <v>#N/A</v>
      </c>
      <c r="BD21" s="114">
        <f ca="1">TYPE(M21)</f>
        <v>16</v>
      </c>
      <c r="BE21" s="112" t="e">
        <f t="shared" ref="BE21:BE84" ca="1" si="31">IF(AND(BC21=1,BD21=16),N21,100000)</f>
        <v>#N/A</v>
      </c>
      <c r="BF21" s="112"/>
      <c r="BG21" s="112"/>
      <c r="BH21" s="238">
        <f>BH20+1</f>
        <v>2</v>
      </c>
      <c r="BI21" s="245">
        <f t="shared" ref="BI21:BI84" si="32">IF(F21=0,100000,F21)</f>
        <v>37135</v>
      </c>
      <c r="BJ21" s="281">
        <f t="shared" ca="1" si="1"/>
        <v>16</v>
      </c>
      <c r="BK21" s="245" t="e">
        <f t="shared" ref="BK21:BK84" ca="1" si="33">SMALL($BI$20:$BI$154,BH21)</f>
        <v>#N/A</v>
      </c>
      <c r="BL21" s="245" t="e">
        <f t="shared" ref="BL21:BL84" ca="1" si="34">BK22-1</f>
        <v>#N/A</v>
      </c>
      <c r="BM21" s="245"/>
      <c r="BN21" s="245" t="e">
        <f ca="1">VLOOKUP(BK21,$F$20:$G$145,2)</f>
        <v>#N/A</v>
      </c>
      <c r="BQ21" s="245"/>
      <c r="BR21" s="245"/>
      <c r="BS21" s="245"/>
      <c r="BT21" s="245"/>
      <c r="BU21" s="245"/>
      <c r="BV21" s="245"/>
      <c r="BY21" s="245"/>
      <c r="BZ21" s="245"/>
      <c r="CA21" s="245"/>
      <c r="CB21" s="245"/>
      <c r="CC21" s="245"/>
      <c r="CD21" s="245"/>
      <c r="CE21" s="245"/>
      <c r="CF21" s="245"/>
      <c r="CG21" s="245"/>
      <c r="CH21" s="245"/>
      <c r="CL21" s="112"/>
      <c r="CM21" s="112"/>
      <c r="CP21" s="112"/>
      <c r="CQ21" s="112"/>
      <c r="CR21" s="238"/>
      <c r="CS21" s="238"/>
      <c r="CT21" s="112"/>
      <c r="CU21" s="112"/>
      <c r="CV21" s="112"/>
      <c r="CW21" s="112" t="s">
        <v>224</v>
      </c>
      <c r="CX21" s="112" t="s">
        <v>225</v>
      </c>
      <c r="CY21" s="112" t="s">
        <v>226</v>
      </c>
      <c r="CZ21" s="112" t="s">
        <v>227</v>
      </c>
      <c r="DA21" s="112" t="s">
        <v>228</v>
      </c>
      <c r="DB21" s="112" t="s">
        <v>229</v>
      </c>
      <c r="DC21" s="112"/>
      <c r="DD21" s="238"/>
      <c r="DE21" s="112"/>
      <c r="DF21" s="112"/>
      <c r="DG21" s="112"/>
      <c r="DH21" s="238"/>
      <c r="DI21" s="112"/>
      <c r="DJ21" s="112"/>
      <c r="DK21" s="112"/>
      <c r="DL21" s="278">
        <f ca="1">IF(AV21&gt;90000,"",DL20+"1")</f>
        <v>2</v>
      </c>
      <c r="DM21" s="245">
        <f t="shared" ca="1" si="2"/>
        <v>36892</v>
      </c>
      <c r="DN21" s="245">
        <f t="shared" ca="1" si="2"/>
        <v>37134</v>
      </c>
      <c r="DO21" s="281">
        <f t="shared" ca="1" si="2"/>
        <v>10</v>
      </c>
      <c r="DP21" s="281">
        <f t="shared" ca="1" si="2"/>
        <v>18</v>
      </c>
      <c r="DQ21" s="244">
        <f t="shared" ca="1" si="3"/>
        <v>243</v>
      </c>
      <c r="DR21" s="244"/>
      <c r="DS21" s="244">
        <f t="shared" ca="1" si="4"/>
        <v>0</v>
      </c>
      <c r="DT21" s="244">
        <f t="shared" ca="1" si="5"/>
        <v>0</v>
      </c>
      <c r="DU21" s="244">
        <f t="shared" ca="1" si="6"/>
        <v>0</v>
      </c>
      <c r="DV21" s="244" t="str">
        <f t="shared" ca="1" si="7"/>
        <v>0/2 anni</v>
      </c>
      <c r="DW21" s="244"/>
      <c r="DX21" s="244">
        <f ca="1">IF(DL21="","",VLOOKUP(DM21,$DL$8:$DM$14,2))</f>
        <v>0</v>
      </c>
      <c r="EA21" s="244">
        <f t="shared" ref="EA21:EA84" ca="1" si="35">IF(DX21=0,0,IF(DX21=3,1,IF(DX21=9,2,IF(DX21=15,3,IF(DX21=21,4,IF(DX21=28,5,IF(DX21=35,6)))))))</f>
        <v>0</v>
      </c>
      <c r="EB21" s="278">
        <f ca="1">VLOOKUP(DM21,Foglio1!$AB$31:$AN$261,13)-6+EA21</f>
        <v>87</v>
      </c>
      <c r="EC21" s="244"/>
      <c r="ED21" s="244">
        <f t="shared" ca="1" si="8"/>
        <v>0</v>
      </c>
      <c r="EE21" s="244">
        <f t="shared" ca="1" si="8"/>
        <v>0</v>
      </c>
      <c r="EF21" s="244">
        <f t="shared" ca="1" si="8"/>
        <v>0</v>
      </c>
      <c r="EG21" s="244">
        <f t="shared" ca="1" si="8"/>
        <v>0</v>
      </c>
      <c r="EH21" s="244">
        <f t="shared" ca="1" si="8"/>
        <v>0</v>
      </c>
      <c r="EI21" s="244">
        <f t="shared" ca="1" si="8"/>
        <v>0</v>
      </c>
      <c r="EJ21" s="244">
        <f t="shared" ca="1" si="8"/>
        <v>0</v>
      </c>
      <c r="EK21" s="244">
        <f t="shared" ca="1" si="8"/>
        <v>0</v>
      </c>
      <c r="EL21" s="244">
        <f t="shared" ca="1" si="8"/>
        <v>0</v>
      </c>
      <c r="EM21" s="244">
        <f t="shared" ca="1" si="8"/>
        <v>87</v>
      </c>
      <c r="EN21" s="244">
        <f t="shared" ca="1" si="8"/>
        <v>0</v>
      </c>
      <c r="EO21" s="244">
        <f t="shared" ca="1" si="8"/>
        <v>0</v>
      </c>
      <c r="EP21" s="244">
        <f t="shared" ca="1" si="8"/>
        <v>0</v>
      </c>
      <c r="EQ21" s="244">
        <f t="shared" ca="1" si="8"/>
        <v>0</v>
      </c>
      <c r="ER21" s="244"/>
      <c r="EW21" s="244">
        <v>0</v>
      </c>
      <c r="EX21" s="278">
        <f ca="1">VLOOKUP(DM21,Foglio1!$AB$31:$AN$261,13)-6+EW21</f>
        <v>87</v>
      </c>
      <c r="EY21" s="244"/>
      <c r="EZ21" s="244">
        <f t="shared" ref="EZ21:EZ84" ca="1" si="36">INDIRECT(CONCATENATE(EX$16,EX$17,$EB21))</f>
        <v>0</v>
      </c>
      <c r="FA21" s="244">
        <f t="shared" ca="1" si="9"/>
        <v>0</v>
      </c>
      <c r="FB21" s="244">
        <f t="shared" ca="1" si="9"/>
        <v>0</v>
      </c>
      <c r="FC21" s="244">
        <f t="shared" ca="1" si="9"/>
        <v>0</v>
      </c>
      <c r="FD21" s="244">
        <f t="shared" ca="1" si="9"/>
        <v>0</v>
      </c>
      <c r="FE21" s="244">
        <f t="shared" ca="1" si="9"/>
        <v>0</v>
      </c>
      <c r="FF21" s="244">
        <f t="shared" ca="1" si="9"/>
        <v>0</v>
      </c>
      <c r="FG21" s="244">
        <f t="shared" ca="1" si="9"/>
        <v>0</v>
      </c>
      <c r="FH21" s="244">
        <f t="shared" ca="1" si="9"/>
        <v>0</v>
      </c>
      <c r="FI21" s="244">
        <f t="shared" ca="1" si="9"/>
        <v>87</v>
      </c>
      <c r="FJ21" s="244">
        <f t="shared" ca="1" si="9"/>
        <v>0</v>
      </c>
      <c r="FK21" s="244">
        <f t="shared" ca="1" si="9"/>
        <v>0</v>
      </c>
      <c r="FL21" s="244">
        <f t="shared" ca="1" si="9"/>
        <v>0</v>
      </c>
      <c r="FM21" s="244">
        <f t="shared" ca="1" si="10"/>
        <v>0</v>
      </c>
      <c r="FN21" s="244"/>
    </row>
    <row r="22" spans="5:170" x14ac:dyDescent="0.25">
      <c r="E22" s="244"/>
      <c r="F22" s="240">
        <v>37500</v>
      </c>
      <c r="G22" s="240">
        <v>37864</v>
      </c>
      <c r="H22">
        <v>2</v>
      </c>
      <c r="J22">
        <v>18</v>
      </c>
      <c r="L22">
        <f t="shared" ref="L22:L85" si="37">L21+1</f>
        <v>22</v>
      </c>
      <c r="M22" s="112" t="e">
        <f t="shared" ca="1" si="11"/>
        <v>#N/A</v>
      </c>
      <c r="N22" s="112">
        <f ca="1">IF(Foglio7!GE42="",100000,Foglio7!GE42)</f>
        <v>36708</v>
      </c>
      <c r="O22" s="112"/>
      <c r="P22" s="238" t="e">
        <f t="shared" ca="1" si="12"/>
        <v>#N/A</v>
      </c>
      <c r="Q22" s="238">
        <f t="shared" si="13"/>
        <v>22</v>
      </c>
      <c r="R22" s="112">
        <f t="shared" si="14"/>
        <v>37500</v>
      </c>
      <c r="S22" s="238">
        <f ca="1">VLOOKUP(L22,P19:Q48,2,FALSE)</f>
        <v>27</v>
      </c>
      <c r="T22" s="112">
        <f ca="1">SMALL(INDIRECT(CONCATENATE("N",S22,":N",S22+4)),1)</f>
        <v>37622</v>
      </c>
      <c r="U22" s="112">
        <f ca="1">SMALL(INDIRECT(CONCATENATE("N",S22,":N",S22+4)),2)</f>
        <v>37987</v>
      </c>
      <c r="V22" s="112">
        <f ca="1">SMALL(INDIRECT(CONCATENATE("N",S22,":N",S22+4)),3)</f>
        <v>38384</v>
      </c>
      <c r="W22" s="112">
        <f ca="1">SMALL(INDIRECT(CONCATENATE("N",S22,":N",S22+4)),4)</f>
        <v>38718</v>
      </c>
      <c r="X22" s="112">
        <f t="shared" si="15"/>
        <v>37864</v>
      </c>
      <c r="Y22" s="112"/>
      <c r="Z22" s="112"/>
      <c r="AA22" s="112">
        <f t="shared" si="16"/>
        <v>37500</v>
      </c>
      <c r="AB22" s="112">
        <f t="shared" ca="1" si="17"/>
        <v>37622</v>
      </c>
      <c r="AC22" s="112">
        <f t="shared" ca="1" si="18"/>
        <v>100000</v>
      </c>
      <c r="AD22" s="112">
        <f t="shared" ca="1" si="19"/>
        <v>100000</v>
      </c>
      <c r="AE22" s="112">
        <f t="shared" ca="1" si="20"/>
        <v>100000</v>
      </c>
      <c r="AF22" s="112">
        <f t="shared" si="21"/>
        <v>37864</v>
      </c>
      <c r="AG22" s="238">
        <f>AG21</f>
        <v>20</v>
      </c>
      <c r="AH22" s="112">
        <f ca="1">AI21+1</f>
        <v>36892</v>
      </c>
      <c r="AI22" s="112">
        <f ca="1">IF(INDIRECT(CONCATENATE("AD",AG20))&lt;100000,INDIRECT(CONCATENATE("AD",AG20))-1,IF(INDIRECT(CONCATENATE("AE",AG20))&lt;100000,INDIRECT(CONCATENATE("AE",G20)),INDIRECT(CONCATENATE("AF",AG20))))</f>
        <v>37134</v>
      </c>
      <c r="AJ22" s="114"/>
      <c r="AK22" s="114"/>
      <c r="AL22" s="238">
        <f t="shared" ref="AL22:AL85" ca="1" si="38">IF(AI22=AI21,0,1)</f>
        <v>1</v>
      </c>
      <c r="AM22" s="112">
        <f t="shared" ca="1" si="22"/>
        <v>36892</v>
      </c>
      <c r="AN22" s="112">
        <f t="shared" ref="AN22:AN85" ca="1" si="39">IF(AM22=100000,100000,AI22)</f>
        <v>37134</v>
      </c>
      <c r="AO22" s="114">
        <f t="shared" ca="1" si="23"/>
        <v>10</v>
      </c>
      <c r="AP22" s="114">
        <f t="shared" ca="1" si="24"/>
        <v>18</v>
      </c>
      <c r="AQ22" s="112"/>
      <c r="AR22" s="238">
        <f t="shared" ref="AR22:AR85" si="40">AR21+1</f>
        <v>22</v>
      </c>
      <c r="AS22" s="112"/>
      <c r="AT22" s="112"/>
      <c r="AU22" s="283">
        <f t="shared" ref="AU22:AU85" si="41">AU21+1</f>
        <v>3</v>
      </c>
      <c r="AV22" s="284">
        <f t="shared" ca="1" si="25"/>
        <v>37135</v>
      </c>
      <c r="AW22" s="284">
        <f t="shared" ca="1" si="26"/>
        <v>37256</v>
      </c>
      <c r="AX22" s="285">
        <f t="shared" ca="1" si="27"/>
        <v>1</v>
      </c>
      <c r="AY22" s="285">
        <f t="shared" ca="1" si="28"/>
        <v>18</v>
      </c>
      <c r="AZ22" s="284"/>
      <c r="BA22" s="112"/>
      <c r="BB22" s="112" t="e">
        <f t="shared" ca="1" si="29"/>
        <v>#N/A</v>
      </c>
      <c r="BC22" s="114" t="e">
        <f t="shared" ca="1" si="30"/>
        <v>#N/A</v>
      </c>
      <c r="BD22" s="114">
        <f t="shared" ref="BD22:BD85" ca="1" si="42">TYPE(M22)</f>
        <v>16</v>
      </c>
      <c r="BE22" s="112" t="e">
        <f t="shared" ca="1" si="31"/>
        <v>#N/A</v>
      </c>
      <c r="BF22" s="112"/>
      <c r="BG22" s="112"/>
      <c r="BH22" s="238">
        <f t="shared" ref="BH22:BH85" si="43">BH21+1</f>
        <v>3</v>
      </c>
      <c r="BI22" s="245">
        <f t="shared" si="32"/>
        <v>37500</v>
      </c>
      <c r="BJ22" s="281">
        <f t="shared" ca="1" si="1"/>
        <v>16</v>
      </c>
      <c r="BK22" s="245" t="e">
        <f t="shared" ca="1" si="33"/>
        <v>#N/A</v>
      </c>
      <c r="BL22" s="245" t="e">
        <f t="shared" ca="1" si="34"/>
        <v>#N/A</v>
      </c>
      <c r="BM22" s="245"/>
      <c r="BN22" s="245" t="e">
        <f ca="1">VLOOKUP(BK22,$F$20:$G$145,2)</f>
        <v>#N/A</v>
      </c>
      <c r="BQ22" s="245"/>
      <c r="BR22" s="245"/>
      <c r="BS22" s="245"/>
      <c r="BT22" s="245"/>
      <c r="BU22" s="245"/>
      <c r="BV22" s="245"/>
      <c r="BY22" s="245"/>
      <c r="BZ22" s="245"/>
      <c r="CA22" s="245"/>
      <c r="CB22" s="245"/>
      <c r="CC22" s="245"/>
      <c r="CD22" s="245"/>
      <c r="CE22" s="245"/>
      <c r="CF22" s="245"/>
      <c r="CG22" s="245"/>
      <c r="CH22" s="245"/>
      <c r="CL22" s="112"/>
      <c r="CM22" s="112"/>
      <c r="CP22" s="112"/>
      <c r="CQ22" s="112"/>
      <c r="CR22" s="238"/>
      <c r="CS22" s="238"/>
      <c r="CT22" s="112"/>
      <c r="CU22" s="112"/>
      <c r="CV22" s="112"/>
      <c r="CW22" s="112" t="s">
        <v>224</v>
      </c>
      <c r="CX22" s="112" t="s">
        <v>225</v>
      </c>
      <c r="CY22" s="112" t="s">
        <v>226</v>
      </c>
      <c r="CZ22" s="112" t="s">
        <v>227</v>
      </c>
      <c r="DA22" s="112" t="s">
        <v>228</v>
      </c>
      <c r="DB22" s="112" t="s">
        <v>229</v>
      </c>
      <c r="DC22" s="112"/>
      <c r="DD22" s="238"/>
      <c r="DE22" s="112"/>
      <c r="DF22" s="112"/>
      <c r="DG22" s="112"/>
      <c r="DH22" s="238"/>
      <c r="DI22" s="112"/>
      <c r="DJ22" s="112"/>
      <c r="DK22" s="112"/>
      <c r="DL22" s="278">
        <f t="shared" ref="DL22:DL85" ca="1" si="44">IF(AV22&gt;90000,"",DL21+"1")</f>
        <v>3</v>
      </c>
      <c r="DM22" s="245">
        <f t="shared" ca="1" si="2"/>
        <v>37135</v>
      </c>
      <c r="DN22" s="245">
        <f t="shared" ca="1" si="2"/>
        <v>37256</v>
      </c>
      <c r="DO22" s="281">
        <f t="shared" ca="1" si="2"/>
        <v>1</v>
      </c>
      <c r="DP22" s="281">
        <f t="shared" ca="1" si="2"/>
        <v>18</v>
      </c>
      <c r="DQ22" s="244">
        <f t="shared" ca="1" si="3"/>
        <v>122</v>
      </c>
      <c r="DR22" s="244"/>
      <c r="DS22" s="244">
        <f t="shared" ca="1" si="4"/>
        <v>0</v>
      </c>
      <c r="DT22" s="244">
        <f t="shared" ca="1" si="5"/>
        <v>0</v>
      </c>
      <c r="DU22" s="244">
        <f t="shared" ca="1" si="6"/>
        <v>0</v>
      </c>
      <c r="DV22" s="244" t="str">
        <f t="shared" ca="1" si="7"/>
        <v>0/2 anni</v>
      </c>
      <c r="DW22" s="244"/>
      <c r="DX22" s="244">
        <f t="shared" ref="DX22:DX85" ca="1" si="45">IF(DL22="","",VLOOKUP(DM22,$DL$8:$DM$14,2))</f>
        <v>0</v>
      </c>
      <c r="EA22" s="244">
        <f t="shared" ca="1" si="35"/>
        <v>0</v>
      </c>
      <c r="EB22" s="278">
        <f ca="1">VLOOKUP(DM22,Foglio1!$AB$31:$AN$261,13)-6+EA22</f>
        <v>87</v>
      </c>
      <c r="EC22" s="244"/>
      <c r="ED22" s="244">
        <f t="shared" ca="1" si="8"/>
        <v>0</v>
      </c>
      <c r="EE22" s="244">
        <f t="shared" ca="1" si="8"/>
        <v>0</v>
      </c>
      <c r="EF22" s="244">
        <f t="shared" ca="1" si="8"/>
        <v>0</v>
      </c>
      <c r="EG22" s="244">
        <f t="shared" ca="1" si="8"/>
        <v>0</v>
      </c>
      <c r="EH22" s="244">
        <f t="shared" ca="1" si="8"/>
        <v>0</v>
      </c>
      <c r="EI22" s="244">
        <f t="shared" ca="1" si="8"/>
        <v>0</v>
      </c>
      <c r="EJ22" s="244">
        <f t="shared" ca="1" si="8"/>
        <v>0</v>
      </c>
      <c r="EK22" s="244">
        <f t="shared" ca="1" si="8"/>
        <v>0</v>
      </c>
      <c r="EL22" s="244">
        <f t="shared" ca="1" si="8"/>
        <v>0</v>
      </c>
      <c r="EM22" s="244">
        <f t="shared" ca="1" si="8"/>
        <v>87</v>
      </c>
      <c r="EN22" s="244">
        <f t="shared" ca="1" si="8"/>
        <v>0</v>
      </c>
      <c r="EO22" s="244">
        <f t="shared" ca="1" si="8"/>
        <v>0</v>
      </c>
      <c r="EP22" s="244">
        <f t="shared" ca="1" si="8"/>
        <v>0</v>
      </c>
      <c r="EQ22" s="244">
        <f t="shared" ca="1" si="8"/>
        <v>0</v>
      </c>
      <c r="ER22" s="244"/>
      <c r="EW22" s="244">
        <v>0</v>
      </c>
      <c r="EX22" s="278">
        <f ca="1">VLOOKUP(DM22,Foglio1!$AB$31:$AN$261,13)-6+EW22</f>
        <v>87</v>
      </c>
      <c r="EY22" s="244"/>
      <c r="EZ22" s="244">
        <f t="shared" ca="1" si="36"/>
        <v>0</v>
      </c>
      <c r="FA22" s="244">
        <f t="shared" ca="1" si="9"/>
        <v>0</v>
      </c>
      <c r="FB22" s="244">
        <f t="shared" ca="1" si="9"/>
        <v>0</v>
      </c>
      <c r="FC22" s="244">
        <f t="shared" ca="1" si="9"/>
        <v>0</v>
      </c>
      <c r="FD22" s="244">
        <f t="shared" ca="1" si="9"/>
        <v>0</v>
      </c>
      <c r="FE22" s="244">
        <f t="shared" ca="1" si="9"/>
        <v>0</v>
      </c>
      <c r="FF22" s="244">
        <f t="shared" ca="1" si="9"/>
        <v>0</v>
      </c>
      <c r="FG22" s="244">
        <f t="shared" ca="1" si="9"/>
        <v>0</v>
      </c>
      <c r="FH22" s="244">
        <f t="shared" ca="1" si="9"/>
        <v>0</v>
      </c>
      <c r="FI22" s="244">
        <f t="shared" ca="1" si="9"/>
        <v>87</v>
      </c>
      <c r="FJ22" s="244">
        <f t="shared" ca="1" si="9"/>
        <v>0</v>
      </c>
      <c r="FK22" s="244">
        <f t="shared" ca="1" si="9"/>
        <v>0</v>
      </c>
      <c r="FL22" s="244">
        <f t="shared" ca="1" si="9"/>
        <v>0</v>
      </c>
      <c r="FM22" s="244">
        <f t="shared" ca="1" si="10"/>
        <v>0</v>
      </c>
      <c r="FN22" s="244"/>
    </row>
    <row r="23" spans="5:170" x14ac:dyDescent="0.25">
      <c r="E23" s="244"/>
      <c r="F23" s="240">
        <v>39326</v>
      </c>
      <c r="G23" s="240">
        <v>39692</v>
      </c>
      <c r="H23">
        <v>3</v>
      </c>
      <c r="J23">
        <v>18</v>
      </c>
      <c r="L23">
        <f t="shared" si="37"/>
        <v>23</v>
      </c>
      <c r="M23" s="112">
        <f t="shared" ca="1" si="11"/>
        <v>36770</v>
      </c>
      <c r="N23" s="112">
        <f ca="1">IF(Foglio7!GE43="",100000,Foglio7!GE43)</f>
        <v>36770</v>
      </c>
      <c r="O23" s="112"/>
      <c r="P23" s="238">
        <f t="shared" ca="1" si="12"/>
        <v>20</v>
      </c>
      <c r="Q23" s="238">
        <f t="shared" si="13"/>
        <v>23</v>
      </c>
      <c r="R23" s="112">
        <f t="shared" si="14"/>
        <v>39326</v>
      </c>
      <c r="S23" s="238">
        <f ca="1">VLOOKUP(L23,P20:Q49,2,FALSE)</f>
        <v>34</v>
      </c>
      <c r="T23" s="112">
        <f ca="1">SMALL(INDIRECT(CONCATENATE("N",S23,":N",S23+4)),1)</f>
        <v>39447</v>
      </c>
      <c r="U23" s="112">
        <f ca="1">SMALL(INDIRECT(CONCATENATE("N",S23,":N",S23+4)),2)</f>
        <v>39539</v>
      </c>
      <c r="V23" s="112">
        <f ca="1">SMALL(INDIRECT(CONCATENATE("N",S23,":N",S23+4)),3)</f>
        <v>39630</v>
      </c>
      <c r="W23" s="112">
        <f ca="1">SMALL(INDIRECT(CONCATENATE("N",S23,":N",S23+4)),4)</f>
        <v>39814</v>
      </c>
      <c r="X23" s="112">
        <f t="shared" si="15"/>
        <v>39692</v>
      </c>
      <c r="Y23" s="112"/>
      <c r="Z23" s="112"/>
      <c r="AA23" s="112">
        <f t="shared" si="16"/>
        <v>39326</v>
      </c>
      <c r="AB23" s="112">
        <f t="shared" ca="1" si="17"/>
        <v>39447</v>
      </c>
      <c r="AC23" s="112">
        <f t="shared" ca="1" si="18"/>
        <v>39539</v>
      </c>
      <c r="AD23" s="112">
        <f t="shared" ca="1" si="19"/>
        <v>39630</v>
      </c>
      <c r="AE23" s="112">
        <f t="shared" ca="1" si="20"/>
        <v>100000</v>
      </c>
      <c r="AF23" s="112">
        <f t="shared" si="21"/>
        <v>39692</v>
      </c>
      <c r="AG23" s="238">
        <f>AG22</f>
        <v>20</v>
      </c>
      <c r="AH23" s="112">
        <f ca="1">AI22+1</f>
        <v>37135</v>
      </c>
      <c r="AI23" s="112">
        <f ca="1">IF(INDIRECT(CONCATENATE("AE",AG20))&lt;100000,INDIRECT(CONCATENATE("AE",G20)),INDIRECT(CONCATENATE("AF",AG20)))</f>
        <v>37134</v>
      </c>
      <c r="AJ23" s="114"/>
      <c r="AK23" s="114"/>
      <c r="AL23" s="238">
        <f t="shared" ca="1" si="38"/>
        <v>0</v>
      </c>
      <c r="AM23" s="112">
        <f t="shared" ca="1" si="22"/>
        <v>100000</v>
      </c>
      <c r="AN23" s="112">
        <f t="shared" ca="1" si="39"/>
        <v>100000</v>
      </c>
      <c r="AO23" s="114">
        <f t="shared" ca="1" si="23"/>
        <v>10</v>
      </c>
      <c r="AP23" s="114">
        <f t="shared" ca="1" si="24"/>
        <v>18</v>
      </c>
      <c r="AQ23" s="112"/>
      <c r="AR23" s="238">
        <f t="shared" si="40"/>
        <v>23</v>
      </c>
      <c r="AS23" s="112"/>
      <c r="AT23" s="112"/>
      <c r="AU23" s="283">
        <f t="shared" si="41"/>
        <v>4</v>
      </c>
      <c r="AV23" s="284">
        <f t="shared" ca="1" si="25"/>
        <v>37257</v>
      </c>
      <c r="AW23" s="284">
        <f t="shared" ca="1" si="26"/>
        <v>37410</v>
      </c>
      <c r="AX23" s="285">
        <f t="shared" ca="1" si="27"/>
        <v>1</v>
      </c>
      <c r="AY23" s="285">
        <f t="shared" ca="1" si="28"/>
        <v>18</v>
      </c>
      <c r="AZ23" s="284"/>
      <c r="BA23" s="112"/>
      <c r="BB23" s="112">
        <f t="shared" ca="1" si="29"/>
        <v>37134</v>
      </c>
      <c r="BC23" s="114">
        <f t="shared" ca="1" si="30"/>
        <v>1</v>
      </c>
      <c r="BD23" s="114">
        <f t="shared" ca="1" si="42"/>
        <v>1</v>
      </c>
      <c r="BE23" s="112">
        <f t="shared" ca="1" si="31"/>
        <v>100000</v>
      </c>
      <c r="BF23" s="112"/>
      <c r="BG23" s="112"/>
      <c r="BH23" s="238">
        <f t="shared" si="43"/>
        <v>4</v>
      </c>
      <c r="BI23" s="245">
        <f t="shared" si="32"/>
        <v>39326</v>
      </c>
      <c r="BJ23" s="281">
        <f t="shared" ca="1" si="1"/>
        <v>16</v>
      </c>
      <c r="BK23" s="245" t="e">
        <f t="shared" ca="1" si="33"/>
        <v>#N/A</v>
      </c>
      <c r="BL23" s="245" t="e">
        <f t="shared" ca="1" si="34"/>
        <v>#N/A</v>
      </c>
      <c r="BM23" s="245"/>
      <c r="BN23" s="245" t="e">
        <f ca="1">VLOOKUP(BK23,$F$20:$G$145,2)</f>
        <v>#N/A</v>
      </c>
      <c r="BQ23" s="245"/>
      <c r="BR23" s="245"/>
      <c r="BS23" s="245"/>
      <c r="BT23" s="245"/>
      <c r="BU23" s="245"/>
      <c r="BV23" s="245"/>
      <c r="BY23" s="245"/>
      <c r="BZ23" s="245"/>
      <c r="CA23" s="245"/>
      <c r="CB23" s="245"/>
      <c r="CC23" s="245"/>
      <c r="CD23" s="245"/>
      <c r="CE23" s="245"/>
      <c r="CF23" s="245"/>
      <c r="CG23" s="245"/>
      <c r="CH23" s="245"/>
      <c r="CL23" s="112"/>
      <c r="CM23" s="112"/>
      <c r="CP23" s="112"/>
      <c r="CQ23" s="112"/>
      <c r="CR23" s="238"/>
      <c r="CS23" s="238"/>
      <c r="CT23" s="112"/>
      <c r="CU23" s="112"/>
      <c r="CV23" s="112"/>
      <c r="CW23" s="112" t="s">
        <v>224</v>
      </c>
      <c r="CX23" s="112" t="s">
        <v>225</v>
      </c>
      <c r="CY23" s="112" t="s">
        <v>226</v>
      </c>
      <c r="CZ23" s="112" t="s">
        <v>227</v>
      </c>
      <c r="DA23" s="112" t="s">
        <v>228</v>
      </c>
      <c r="DB23" s="112" t="s">
        <v>229</v>
      </c>
      <c r="DC23" s="112"/>
      <c r="DD23" s="238"/>
      <c r="DE23" s="112"/>
      <c r="DF23" s="112"/>
      <c r="DG23" s="112"/>
      <c r="DH23" s="238"/>
      <c r="DI23" s="112"/>
      <c r="DJ23" s="112"/>
      <c r="DK23" s="112"/>
      <c r="DL23" s="278">
        <f t="shared" ca="1" si="44"/>
        <v>4</v>
      </c>
      <c r="DM23" s="245">
        <f t="shared" ca="1" si="2"/>
        <v>37257</v>
      </c>
      <c r="DN23" s="245">
        <f t="shared" ca="1" si="2"/>
        <v>37410</v>
      </c>
      <c r="DO23" s="281">
        <f t="shared" ca="1" si="2"/>
        <v>1</v>
      </c>
      <c r="DP23" s="281">
        <f t="shared" ca="1" si="2"/>
        <v>18</v>
      </c>
      <c r="DQ23" s="244">
        <f t="shared" ca="1" si="3"/>
        <v>154</v>
      </c>
      <c r="DR23" s="244"/>
      <c r="DS23" s="244">
        <f t="shared" ca="1" si="4"/>
        <v>0</v>
      </c>
      <c r="DT23" s="244">
        <f t="shared" ca="1" si="5"/>
        <v>0</v>
      </c>
      <c r="DU23" s="244">
        <f t="shared" ca="1" si="6"/>
        <v>0</v>
      </c>
      <c r="DV23" s="244" t="str">
        <f t="shared" ca="1" si="7"/>
        <v>0/2 anni</v>
      </c>
      <c r="DW23" s="244"/>
      <c r="DX23" s="244">
        <f t="shared" ca="1" si="45"/>
        <v>0</v>
      </c>
      <c r="EA23" s="244">
        <f t="shared" ca="1" si="35"/>
        <v>0</v>
      </c>
      <c r="EB23" s="278">
        <f ca="1">VLOOKUP(DM23,Foglio1!$AB$31:$AN$261,13)-6+EA23</f>
        <v>87</v>
      </c>
      <c r="EC23" s="244"/>
      <c r="ED23" s="244">
        <f t="shared" ca="1" si="8"/>
        <v>0</v>
      </c>
      <c r="EE23" s="244">
        <f t="shared" ca="1" si="8"/>
        <v>0</v>
      </c>
      <c r="EF23" s="244">
        <f t="shared" ca="1" si="8"/>
        <v>0</v>
      </c>
      <c r="EG23" s="244">
        <f t="shared" ca="1" si="8"/>
        <v>0</v>
      </c>
      <c r="EH23" s="244">
        <f t="shared" ca="1" si="8"/>
        <v>0</v>
      </c>
      <c r="EI23" s="244">
        <f t="shared" ca="1" si="8"/>
        <v>0</v>
      </c>
      <c r="EJ23" s="244">
        <f t="shared" ca="1" si="8"/>
        <v>0</v>
      </c>
      <c r="EK23" s="244">
        <f t="shared" ca="1" si="8"/>
        <v>0</v>
      </c>
      <c r="EL23" s="244">
        <f t="shared" ca="1" si="8"/>
        <v>0</v>
      </c>
      <c r="EM23" s="244">
        <f t="shared" ca="1" si="8"/>
        <v>87</v>
      </c>
      <c r="EN23" s="244">
        <f t="shared" ca="1" si="8"/>
        <v>0</v>
      </c>
      <c r="EO23" s="244">
        <f t="shared" ca="1" si="8"/>
        <v>0</v>
      </c>
      <c r="EP23" s="244">
        <f t="shared" ca="1" si="8"/>
        <v>0</v>
      </c>
      <c r="EQ23" s="244">
        <f t="shared" ca="1" si="8"/>
        <v>0</v>
      </c>
      <c r="ER23" s="244"/>
      <c r="EW23" s="244">
        <v>0</v>
      </c>
      <c r="EX23" s="278">
        <f ca="1">VLOOKUP(DM23,Foglio1!$AB$31:$AN$261,13)-6+EW23</f>
        <v>87</v>
      </c>
      <c r="EY23" s="244"/>
      <c r="EZ23" s="244">
        <f t="shared" ca="1" si="36"/>
        <v>0</v>
      </c>
      <c r="FA23" s="244">
        <f t="shared" ca="1" si="9"/>
        <v>0</v>
      </c>
      <c r="FB23" s="244">
        <f t="shared" ca="1" si="9"/>
        <v>0</v>
      </c>
      <c r="FC23" s="244">
        <f t="shared" ca="1" si="9"/>
        <v>0</v>
      </c>
      <c r="FD23" s="244">
        <f t="shared" ca="1" si="9"/>
        <v>0</v>
      </c>
      <c r="FE23" s="244">
        <f t="shared" ca="1" si="9"/>
        <v>0</v>
      </c>
      <c r="FF23" s="244">
        <f t="shared" ca="1" si="9"/>
        <v>0</v>
      </c>
      <c r="FG23" s="244">
        <f t="shared" ca="1" si="9"/>
        <v>0</v>
      </c>
      <c r="FH23" s="244">
        <f t="shared" ca="1" si="9"/>
        <v>0</v>
      </c>
      <c r="FI23" s="244">
        <f t="shared" ca="1" si="9"/>
        <v>87</v>
      </c>
      <c r="FJ23" s="244">
        <f t="shared" ca="1" si="9"/>
        <v>0</v>
      </c>
      <c r="FK23" s="244">
        <f t="shared" ca="1" si="9"/>
        <v>0</v>
      </c>
      <c r="FL23" s="244">
        <f t="shared" ca="1" si="9"/>
        <v>0</v>
      </c>
      <c r="FM23" s="244">
        <f t="shared" ca="1" si="10"/>
        <v>0</v>
      </c>
      <c r="FN23" s="244"/>
    </row>
    <row r="24" spans="5:170" x14ac:dyDescent="0.25">
      <c r="E24" s="244"/>
      <c r="F24" s="240">
        <v>39539</v>
      </c>
      <c r="G24" s="240">
        <v>39630</v>
      </c>
      <c r="H24">
        <v>4</v>
      </c>
      <c r="J24">
        <v>18</v>
      </c>
      <c r="L24">
        <f t="shared" si="37"/>
        <v>24</v>
      </c>
      <c r="M24" s="112" t="e">
        <f t="shared" ca="1" si="11"/>
        <v>#N/A</v>
      </c>
      <c r="N24" s="112">
        <f ca="1">IF(Foglio7!GE44="",100000,Foglio7!GE44)</f>
        <v>36892</v>
      </c>
      <c r="O24" s="112"/>
      <c r="P24" s="238">
        <f t="shared" ca="1" si="12"/>
        <v>20</v>
      </c>
      <c r="Q24" s="238">
        <f t="shared" si="13"/>
        <v>24</v>
      </c>
      <c r="R24" s="112">
        <f t="shared" si="14"/>
        <v>39539</v>
      </c>
      <c r="S24" s="238">
        <f t="shared" ref="S24:S87" ca="1" si="46">VLOOKUP(L24,P21:Q50,2,FALSE)</f>
        <v>35</v>
      </c>
      <c r="T24" s="112">
        <f t="shared" ref="T24:T87" ca="1" si="47">SMALL(INDIRECT(CONCATENATE("N",S24,":N",S24+4)),1)</f>
        <v>39539</v>
      </c>
      <c r="U24" s="112">
        <f t="shared" ref="U24:U87" ca="1" si="48">SMALL(INDIRECT(CONCATENATE("N",S24,":N",S24+4)),2)</f>
        <v>39630</v>
      </c>
      <c r="V24" s="112">
        <f t="shared" ref="V24:V87" ca="1" si="49">SMALL(INDIRECT(CONCATENATE("N",S24,":N",S24+4)),3)</f>
        <v>39814</v>
      </c>
      <c r="W24" s="112">
        <f t="shared" ref="W24:W87" ca="1" si="50">SMALL(INDIRECT(CONCATENATE("N",S24,":N",S24+4)),4)</f>
        <v>40171</v>
      </c>
      <c r="X24" s="112">
        <f t="shared" si="15"/>
        <v>39630</v>
      </c>
      <c r="Y24" s="112"/>
      <c r="Z24" s="112"/>
      <c r="AA24" s="112">
        <f t="shared" si="16"/>
        <v>39539</v>
      </c>
      <c r="AB24" s="112">
        <f t="shared" ca="1" si="17"/>
        <v>100000</v>
      </c>
      <c r="AC24" s="112">
        <f t="shared" ca="1" si="18"/>
        <v>100000</v>
      </c>
      <c r="AD24" s="112">
        <f t="shared" ca="1" si="19"/>
        <v>100000</v>
      </c>
      <c r="AE24" s="112">
        <f t="shared" ca="1" si="20"/>
        <v>100000</v>
      </c>
      <c r="AF24" s="112">
        <f t="shared" si="21"/>
        <v>39630</v>
      </c>
      <c r="AG24" s="238">
        <f>AG23</f>
        <v>20</v>
      </c>
      <c r="AH24" s="112">
        <f ca="1">AI23+1</f>
        <v>37135</v>
      </c>
      <c r="AI24" s="112">
        <f ca="1">INDIRECT(CONCATENATE("AF",AG20))</f>
        <v>37134</v>
      </c>
      <c r="AJ24" s="114"/>
      <c r="AK24" s="114"/>
      <c r="AL24" s="238">
        <f t="shared" ca="1" si="38"/>
        <v>0</v>
      </c>
      <c r="AM24" s="112">
        <f t="shared" ca="1" si="22"/>
        <v>100000</v>
      </c>
      <c r="AN24" s="112">
        <f t="shared" ca="1" si="39"/>
        <v>100000</v>
      </c>
      <c r="AO24" s="114">
        <f t="shared" ca="1" si="23"/>
        <v>10</v>
      </c>
      <c r="AP24" s="114">
        <f t="shared" ca="1" si="24"/>
        <v>18</v>
      </c>
      <c r="AQ24" s="112"/>
      <c r="AR24" s="238">
        <f t="shared" si="40"/>
        <v>24</v>
      </c>
      <c r="AS24" s="112"/>
      <c r="AT24" s="112"/>
      <c r="AU24" s="283">
        <f t="shared" si="41"/>
        <v>5</v>
      </c>
      <c r="AV24" s="284">
        <f t="shared" ca="1" si="25"/>
        <v>37411</v>
      </c>
      <c r="AW24" s="284">
        <f t="shared" ca="1" si="26"/>
        <v>37499</v>
      </c>
      <c r="AX24" s="285">
        <f t="shared" ca="1" si="27"/>
        <v>1</v>
      </c>
      <c r="AY24" s="285">
        <f t="shared" ca="1" si="28"/>
        <v>18</v>
      </c>
      <c r="AZ24" s="284"/>
      <c r="BA24" s="112"/>
      <c r="BB24" s="112">
        <f t="shared" ca="1" si="29"/>
        <v>37134</v>
      </c>
      <c r="BC24" s="114">
        <f t="shared" ca="1" si="30"/>
        <v>1</v>
      </c>
      <c r="BD24" s="114">
        <f t="shared" ca="1" si="42"/>
        <v>16</v>
      </c>
      <c r="BE24" s="112">
        <f t="shared" ca="1" si="31"/>
        <v>36892</v>
      </c>
      <c r="BF24" s="112"/>
      <c r="BG24" s="112"/>
      <c r="BH24" s="238">
        <f t="shared" si="43"/>
        <v>5</v>
      </c>
      <c r="BI24" s="245">
        <f t="shared" si="32"/>
        <v>39539</v>
      </c>
      <c r="BJ24" s="281">
        <f t="shared" ca="1" si="1"/>
        <v>16</v>
      </c>
      <c r="BK24" s="245" t="e">
        <f t="shared" ca="1" si="33"/>
        <v>#N/A</v>
      </c>
      <c r="BL24" s="245" t="e">
        <f t="shared" ca="1" si="34"/>
        <v>#N/A</v>
      </c>
      <c r="BM24" s="245"/>
      <c r="BN24" s="245" t="e">
        <f ca="1">VLOOKUP(BK24,$F$20:$G$145,2)</f>
        <v>#N/A</v>
      </c>
      <c r="BQ24" s="245"/>
      <c r="BR24" s="245"/>
      <c r="BS24" s="245"/>
      <c r="BT24" s="245"/>
      <c r="BU24" s="245"/>
      <c r="BV24" s="245"/>
      <c r="BY24" s="245"/>
      <c r="BZ24" s="245"/>
      <c r="CA24" s="245"/>
      <c r="CB24" s="245"/>
      <c r="CC24" s="245"/>
      <c r="CD24" s="245"/>
      <c r="CE24" s="245"/>
      <c r="CF24" s="245"/>
      <c r="CG24" s="245"/>
      <c r="CH24" s="245"/>
      <c r="CL24" s="112"/>
      <c r="CM24" s="112"/>
      <c r="CP24" s="112"/>
      <c r="CQ24" s="112"/>
      <c r="CR24" s="238"/>
      <c r="CS24" s="238"/>
      <c r="CT24" s="112"/>
      <c r="CU24" s="112"/>
      <c r="CV24" s="112"/>
      <c r="CW24" s="112" t="s">
        <v>224</v>
      </c>
      <c r="CX24" s="112" t="s">
        <v>225</v>
      </c>
      <c r="CY24" s="112" t="s">
        <v>226</v>
      </c>
      <c r="CZ24" s="112" t="s">
        <v>227</v>
      </c>
      <c r="DA24" s="112" t="s">
        <v>228</v>
      </c>
      <c r="DB24" s="112" t="s">
        <v>229</v>
      </c>
      <c r="DC24" s="112"/>
      <c r="DD24" s="238"/>
      <c r="DE24" s="112"/>
      <c r="DF24" s="112"/>
      <c r="DG24" s="112"/>
      <c r="DH24" s="238"/>
      <c r="DI24" s="112"/>
      <c r="DJ24" s="112"/>
      <c r="DK24" s="112"/>
      <c r="DL24" s="278">
        <f t="shared" ca="1" si="44"/>
        <v>5</v>
      </c>
      <c r="DM24" s="245">
        <f t="shared" ca="1" si="2"/>
        <v>37411</v>
      </c>
      <c r="DN24" s="245">
        <f t="shared" ca="1" si="2"/>
        <v>37499</v>
      </c>
      <c r="DO24" s="281">
        <f t="shared" ca="1" si="2"/>
        <v>1</v>
      </c>
      <c r="DP24" s="281">
        <f t="shared" ca="1" si="2"/>
        <v>18</v>
      </c>
      <c r="DQ24" s="244">
        <f t="shared" ca="1" si="3"/>
        <v>89</v>
      </c>
      <c r="DR24" s="244"/>
      <c r="DS24" s="244">
        <f t="shared" ca="1" si="4"/>
        <v>0</v>
      </c>
      <c r="DT24" s="244">
        <f t="shared" ca="1" si="5"/>
        <v>0</v>
      </c>
      <c r="DU24" s="244">
        <f t="shared" ca="1" si="6"/>
        <v>0</v>
      </c>
      <c r="DV24" s="244" t="str">
        <f t="shared" ca="1" si="7"/>
        <v>3/8 anni</v>
      </c>
      <c r="DW24" s="244"/>
      <c r="DX24" s="244">
        <f t="shared" ca="1" si="45"/>
        <v>3</v>
      </c>
      <c r="EA24" s="244">
        <f t="shared" ca="1" si="35"/>
        <v>1</v>
      </c>
      <c r="EB24" s="278">
        <f ca="1">VLOOKUP(DM24,Foglio1!$AB$31:$AN$261,13)-6+EA24</f>
        <v>88</v>
      </c>
      <c r="EC24" s="244"/>
      <c r="ED24" s="244">
        <f t="shared" ca="1" si="8"/>
        <v>0</v>
      </c>
      <c r="EE24" s="244">
        <f t="shared" ca="1" si="8"/>
        <v>0</v>
      </c>
      <c r="EF24" s="244">
        <f t="shared" ca="1" si="8"/>
        <v>0</v>
      </c>
      <c r="EG24" s="244">
        <f t="shared" ca="1" si="8"/>
        <v>0</v>
      </c>
      <c r="EH24" s="244">
        <f t="shared" ca="1" si="8"/>
        <v>0</v>
      </c>
      <c r="EI24" s="244">
        <f t="shared" ca="1" si="8"/>
        <v>0</v>
      </c>
      <c r="EJ24" s="244">
        <f t="shared" ca="1" si="8"/>
        <v>0</v>
      </c>
      <c r="EK24" s="244">
        <f t="shared" ca="1" si="8"/>
        <v>0</v>
      </c>
      <c r="EL24" s="244">
        <f t="shared" ca="1" si="8"/>
        <v>0</v>
      </c>
      <c r="EM24" s="244">
        <f t="shared" ca="1" si="8"/>
        <v>88</v>
      </c>
      <c r="EN24" s="244">
        <f t="shared" ca="1" si="8"/>
        <v>0</v>
      </c>
      <c r="EO24" s="244">
        <f t="shared" ca="1" si="8"/>
        <v>0</v>
      </c>
      <c r="EP24" s="244">
        <f t="shared" ca="1" si="8"/>
        <v>0</v>
      </c>
      <c r="EQ24" s="244">
        <f t="shared" ca="1" si="8"/>
        <v>0</v>
      </c>
      <c r="ER24" s="244"/>
      <c r="EW24" s="244">
        <v>0</v>
      </c>
      <c r="EX24" s="278">
        <f ca="1">VLOOKUP(DM24,Foglio1!$AB$31:$AN$261,13)-6+EW24</f>
        <v>87</v>
      </c>
      <c r="EY24" s="244"/>
      <c r="EZ24" s="244">
        <f t="shared" ca="1" si="36"/>
        <v>0</v>
      </c>
      <c r="FA24" s="244">
        <f t="shared" ca="1" si="9"/>
        <v>0</v>
      </c>
      <c r="FB24" s="244">
        <f t="shared" ca="1" si="9"/>
        <v>0</v>
      </c>
      <c r="FC24" s="244">
        <f t="shared" ca="1" si="9"/>
        <v>0</v>
      </c>
      <c r="FD24" s="244">
        <f t="shared" ca="1" si="9"/>
        <v>0</v>
      </c>
      <c r="FE24" s="244">
        <f t="shared" ca="1" si="9"/>
        <v>0</v>
      </c>
      <c r="FF24" s="244">
        <f t="shared" ca="1" si="9"/>
        <v>0</v>
      </c>
      <c r="FG24" s="244">
        <f t="shared" ca="1" si="9"/>
        <v>0</v>
      </c>
      <c r="FH24" s="244">
        <f t="shared" ca="1" si="9"/>
        <v>0</v>
      </c>
      <c r="FI24" s="244">
        <f t="shared" ca="1" si="9"/>
        <v>87</v>
      </c>
      <c r="FJ24" s="244">
        <f t="shared" ca="1" si="9"/>
        <v>0</v>
      </c>
      <c r="FK24" s="244">
        <f t="shared" ca="1" si="9"/>
        <v>0</v>
      </c>
      <c r="FL24" s="244">
        <f t="shared" ca="1" si="9"/>
        <v>0</v>
      </c>
      <c r="FM24" s="244">
        <f t="shared" ca="1" si="10"/>
        <v>0</v>
      </c>
      <c r="FN24" s="244"/>
    </row>
    <row r="25" spans="5:170" x14ac:dyDescent="0.25">
      <c r="E25" s="244"/>
      <c r="F25" s="240"/>
      <c r="G25" s="240"/>
      <c r="H25">
        <v>5</v>
      </c>
      <c r="J25">
        <v>18</v>
      </c>
      <c r="L25">
        <f t="shared" si="37"/>
        <v>25</v>
      </c>
      <c r="M25" s="112" t="e">
        <f t="shared" ca="1" si="11"/>
        <v>#N/A</v>
      </c>
      <c r="N25" s="112">
        <f ca="1">IF(Foglio7!GE45="",100000,Foglio7!GE45)</f>
        <v>37257</v>
      </c>
      <c r="O25" s="112"/>
      <c r="P25" s="238">
        <f t="shared" ca="1" si="12"/>
        <v>21</v>
      </c>
      <c r="Q25" s="238">
        <f t="shared" si="13"/>
        <v>25</v>
      </c>
      <c r="R25" s="112">
        <f t="shared" si="14"/>
        <v>0</v>
      </c>
      <c r="S25" s="238" t="e">
        <f t="shared" ca="1" si="46"/>
        <v>#N/A</v>
      </c>
      <c r="T25" s="112" t="e">
        <f t="shared" ca="1" si="47"/>
        <v>#N/A</v>
      </c>
      <c r="U25" s="112" t="e">
        <f t="shared" ca="1" si="48"/>
        <v>#N/A</v>
      </c>
      <c r="V25" s="112" t="e">
        <f t="shared" ca="1" si="49"/>
        <v>#N/A</v>
      </c>
      <c r="W25" s="112" t="e">
        <f t="shared" ca="1" si="50"/>
        <v>#N/A</v>
      </c>
      <c r="X25" s="112">
        <f t="shared" si="15"/>
        <v>0</v>
      </c>
      <c r="Y25" s="112"/>
      <c r="Z25" s="112"/>
      <c r="AA25" s="112">
        <f t="shared" si="16"/>
        <v>100000</v>
      </c>
      <c r="AB25" s="112" t="e">
        <f t="shared" ca="1" si="17"/>
        <v>#N/A</v>
      </c>
      <c r="AC25" s="112" t="e">
        <f t="shared" ca="1" si="18"/>
        <v>#N/A</v>
      </c>
      <c r="AD25" s="112" t="e">
        <f t="shared" ca="1" si="19"/>
        <v>#N/A</v>
      </c>
      <c r="AE25" s="112" t="e">
        <f t="shared" ca="1" si="20"/>
        <v>#N/A</v>
      </c>
      <c r="AF25" s="112">
        <f t="shared" si="21"/>
        <v>100000</v>
      </c>
      <c r="AG25" s="238">
        <f>AG24+1</f>
        <v>21</v>
      </c>
      <c r="AH25" s="112">
        <f ca="1">INDIRECT(CONCATENATE("AA",AG25))</f>
        <v>37135</v>
      </c>
      <c r="AI25" s="112">
        <f ca="1">IF(            INDIRECT(CONCATENATE( "AB",AG25))&lt;100000,       INDIRECT(CONCATENATE("AB",AG25))  -1,IF(   INDIRECT(CONCATENATE("AC",AG25))&lt;100000,   INDIRECT(CONCATENATE("AC",AG25))-1,IF(   INDIRECT(CONCATENATE("AD", AG25))&lt;100000, INDIRECT(CONCATENATE("AD",AG25))-1,IF(   INDIRECT(CONCATENATE("AE",AG25))&lt;100000,  INDIRECT(CONCATENATE("AE",G25)),INDIRECT(CONCATENATE("AF",AG25))                ))))</f>
        <v>37256</v>
      </c>
      <c r="AJ25" s="114"/>
      <c r="AK25" s="114"/>
      <c r="AL25" s="238">
        <f t="shared" ca="1" si="38"/>
        <v>1</v>
      </c>
      <c r="AM25" s="112">
        <f t="shared" ca="1" si="22"/>
        <v>37135</v>
      </c>
      <c r="AN25" s="112">
        <f t="shared" ca="1" si="39"/>
        <v>37256</v>
      </c>
      <c r="AO25" s="114">
        <f t="shared" ca="1" si="23"/>
        <v>1</v>
      </c>
      <c r="AP25" s="114">
        <f t="shared" ca="1" si="24"/>
        <v>18</v>
      </c>
      <c r="AQ25" s="112"/>
      <c r="AR25" s="238">
        <f t="shared" si="40"/>
        <v>25</v>
      </c>
      <c r="AS25" s="112"/>
      <c r="AT25" s="112"/>
      <c r="AU25" s="283">
        <f t="shared" si="41"/>
        <v>6</v>
      </c>
      <c r="AV25" s="284">
        <f t="shared" ca="1" si="25"/>
        <v>37500</v>
      </c>
      <c r="AW25" s="284">
        <f t="shared" ca="1" si="26"/>
        <v>37621</v>
      </c>
      <c r="AX25" s="285">
        <f t="shared" ca="1" si="27"/>
        <v>2</v>
      </c>
      <c r="AY25" s="285">
        <f t="shared" ca="1" si="28"/>
        <v>18</v>
      </c>
      <c r="AZ25" s="284"/>
      <c r="BA25" s="112"/>
      <c r="BB25" s="112">
        <f t="shared" ca="1" si="29"/>
        <v>37499</v>
      </c>
      <c r="BC25" s="114">
        <f t="shared" ca="1" si="30"/>
        <v>1</v>
      </c>
      <c r="BD25" s="114">
        <f t="shared" ca="1" si="42"/>
        <v>16</v>
      </c>
      <c r="BE25" s="112">
        <f t="shared" ca="1" si="31"/>
        <v>37257</v>
      </c>
      <c r="BF25" s="112"/>
      <c r="BG25" s="112"/>
      <c r="BH25" s="238">
        <f t="shared" si="43"/>
        <v>6</v>
      </c>
      <c r="BI25" s="245">
        <f t="shared" si="32"/>
        <v>100000</v>
      </c>
      <c r="BJ25" s="281">
        <f t="shared" ca="1" si="1"/>
        <v>16</v>
      </c>
      <c r="BK25" s="245" t="e">
        <f t="shared" ca="1" si="33"/>
        <v>#N/A</v>
      </c>
      <c r="BL25" s="245" t="e">
        <f t="shared" ca="1" si="34"/>
        <v>#N/A</v>
      </c>
      <c r="BM25" s="245"/>
      <c r="BN25" s="245" t="e">
        <f ca="1">VLOOKUP(BK25,$F$20:$G$145,2)</f>
        <v>#N/A</v>
      </c>
      <c r="BQ25" s="245"/>
      <c r="BR25" s="245"/>
      <c r="BS25" s="245"/>
      <c r="BT25" s="245"/>
      <c r="BU25" s="245"/>
      <c r="BV25" s="245"/>
      <c r="BY25" s="245"/>
      <c r="BZ25" s="245"/>
      <c r="CA25" s="245"/>
      <c r="CB25" s="245"/>
      <c r="CC25" s="245"/>
      <c r="CD25" s="245"/>
      <c r="CE25" s="245"/>
      <c r="CF25" s="245"/>
      <c r="CG25" s="245"/>
      <c r="CH25" s="245"/>
      <c r="CL25" s="112"/>
      <c r="CM25" s="112"/>
      <c r="CP25" s="112"/>
      <c r="CQ25" s="112"/>
      <c r="CR25" s="238"/>
      <c r="CS25" s="238"/>
      <c r="CT25" s="112"/>
      <c r="CU25" s="112"/>
      <c r="CV25" s="112"/>
      <c r="CW25" s="112" t="s">
        <v>224</v>
      </c>
      <c r="CX25" s="112" t="s">
        <v>225</v>
      </c>
      <c r="CY25" s="112" t="s">
        <v>226</v>
      </c>
      <c r="CZ25" s="112" t="s">
        <v>227</v>
      </c>
      <c r="DA25" s="112" t="s">
        <v>228</v>
      </c>
      <c r="DB25" s="112" t="s">
        <v>229</v>
      </c>
      <c r="DC25" s="112"/>
      <c r="DD25" s="238"/>
      <c r="DE25" s="112"/>
      <c r="DF25" s="112"/>
      <c r="DG25" s="112"/>
      <c r="DH25" s="238"/>
      <c r="DI25" s="112"/>
      <c r="DJ25" s="112"/>
      <c r="DK25" s="112"/>
      <c r="DL25" s="278">
        <f t="shared" ca="1" si="44"/>
        <v>6</v>
      </c>
      <c r="DM25" s="245">
        <f t="shared" ca="1" si="2"/>
        <v>37500</v>
      </c>
      <c r="DN25" s="245">
        <f t="shared" ca="1" si="2"/>
        <v>37621</v>
      </c>
      <c r="DO25" s="281">
        <f t="shared" ca="1" si="2"/>
        <v>2</v>
      </c>
      <c r="DP25" s="281">
        <f t="shared" ca="1" si="2"/>
        <v>18</v>
      </c>
      <c r="DQ25" s="244">
        <f t="shared" ca="1" si="3"/>
        <v>122</v>
      </c>
      <c r="DR25" s="244"/>
      <c r="DS25" s="244">
        <f t="shared" ca="1" si="4"/>
        <v>0</v>
      </c>
      <c r="DT25" s="244">
        <f t="shared" ca="1" si="5"/>
        <v>0</v>
      </c>
      <c r="DU25" s="244">
        <f t="shared" ca="1" si="6"/>
        <v>0</v>
      </c>
      <c r="DV25" s="244" t="str">
        <f t="shared" ca="1" si="7"/>
        <v>3/8 anni</v>
      </c>
      <c r="DW25" s="244"/>
      <c r="DX25" s="244">
        <f t="shared" ca="1" si="45"/>
        <v>3</v>
      </c>
      <c r="EA25" s="244">
        <f t="shared" ca="1" si="35"/>
        <v>1</v>
      </c>
      <c r="EB25" s="278">
        <f ca="1">VLOOKUP(DM25,Foglio1!$AB$31:$AN$261,13)-6+EA25</f>
        <v>88</v>
      </c>
      <c r="EC25" s="244"/>
      <c r="ED25" s="244">
        <f t="shared" ca="1" si="8"/>
        <v>0</v>
      </c>
      <c r="EE25" s="244">
        <f t="shared" ca="1" si="8"/>
        <v>0</v>
      </c>
      <c r="EF25" s="244">
        <f t="shared" ca="1" si="8"/>
        <v>0</v>
      </c>
      <c r="EG25" s="244">
        <f t="shared" ca="1" si="8"/>
        <v>0</v>
      </c>
      <c r="EH25" s="244">
        <f t="shared" ca="1" si="8"/>
        <v>0</v>
      </c>
      <c r="EI25" s="244">
        <f t="shared" ca="1" si="8"/>
        <v>0</v>
      </c>
      <c r="EJ25" s="244">
        <f t="shared" ca="1" si="8"/>
        <v>0</v>
      </c>
      <c r="EK25" s="244">
        <f t="shared" ca="1" si="8"/>
        <v>0</v>
      </c>
      <c r="EL25" s="244">
        <f t="shared" ca="1" si="8"/>
        <v>0</v>
      </c>
      <c r="EM25" s="244">
        <f t="shared" ca="1" si="8"/>
        <v>88</v>
      </c>
      <c r="EN25" s="244">
        <f t="shared" ca="1" si="8"/>
        <v>0</v>
      </c>
      <c r="EO25" s="244">
        <f t="shared" ca="1" si="8"/>
        <v>0</v>
      </c>
      <c r="EP25" s="244">
        <f t="shared" ca="1" si="8"/>
        <v>0</v>
      </c>
      <c r="EQ25" s="244">
        <f t="shared" ca="1" si="8"/>
        <v>0</v>
      </c>
      <c r="ER25" s="244"/>
      <c r="EW25" s="244">
        <v>0</v>
      </c>
      <c r="EX25" s="278">
        <f ca="1">VLOOKUP(DM25,Foglio1!$AB$31:$AN$261,13)-6+EW25</f>
        <v>87</v>
      </c>
      <c r="EY25" s="244"/>
      <c r="EZ25" s="244">
        <f t="shared" ca="1" si="36"/>
        <v>0</v>
      </c>
      <c r="FA25" s="244">
        <f t="shared" ca="1" si="9"/>
        <v>0</v>
      </c>
      <c r="FB25" s="244">
        <f t="shared" ca="1" si="9"/>
        <v>0</v>
      </c>
      <c r="FC25" s="244">
        <f t="shared" ca="1" si="9"/>
        <v>0</v>
      </c>
      <c r="FD25" s="244">
        <f t="shared" ca="1" si="9"/>
        <v>0</v>
      </c>
      <c r="FE25" s="244">
        <f t="shared" ca="1" si="9"/>
        <v>0</v>
      </c>
      <c r="FF25" s="244">
        <f t="shared" ca="1" si="9"/>
        <v>0</v>
      </c>
      <c r="FG25" s="244">
        <f t="shared" ca="1" si="9"/>
        <v>0</v>
      </c>
      <c r="FH25" s="244">
        <f t="shared" ca="1" si="9"/>
        <v>0</v>
      </c>
      <c r="FI25" s="244">
        <f t="shared" ca="1" si="9"/>
        <v>87</v>
      </c>
      <c r="FJ25" s="244">
        <f t="shared" ca="1" si="9"/>
        <v>0</v>
      </c>
      <c r="FK25" s="244">
        <f t="shared" ca="1" si="9"/>
        <v>0</v>
      </c>
      <c r="FL25" s="244">
        <f t="shared" ca="1" si="9"/>
        <v>0</v>
      </c>
      <c r="FM25" s="244">
        <f t="shared" ca="1" si="10"/>
        <v>0</v>
      </c>
      <c r="FN25" s="244"/>
    </row>
    <row r="26" spans="5:170" x14ac:dyDescent="0.25">
      <c r="E26" s="244"/>
      <c r="F26" s="240"/>
      <c r="G26" s="240"/>
      <c r="H26">
        <v>6</v>
      </c>
      <c r="J26">
        <v>18</v>
      </c>
      <c r="L26">
        <f t="shared" si="37"/>
        <v>26</v>
      </c>
      <c r="M26" s="112" t="e">
        <f t="shared" ca="1" si="11"/>
        <v>#N/A</v>
      </c>
      <c r="N26" s="112">
        <f ca="1">IF(Foglio7!GE46="",100000,Foglio7!GE46)</f>
        <v>37411</v>
      </c>
      <c r="O26" s="112"/>
      <c r="P26" s="238">
        <f t="shared" ca="1" si="12"/>
        <v>21</v>
      </c>
      <c r="Q26" s="238">
        <f t="shared" si="13"/>
        <v>26</v>
      </c>
      <c r="R26" s="112">
        <f t="shared" si="14"/>
        <v>0</v>
      </c>
      <c r="S26" s="238" t="e">
        <f t="shared" ca="1" si="46"/>
        <v>#N/A</v>
      </c>
      <c r="T26" s="112" t="e">
        <f t="shared" ca="1" si="47"/>
        <v>#N/A</v>
      </c>
      <c r="U26" s="112" t="e">
        <f t="shared" ca="1" si="48"/>
        <v>#N/A</v>
      </c>
      <c r="V26" s="112" t="e">
        <f t="shared" ca="1" si="49"/>
        <v>#N/A</v>
      </c>
      <c r="W26" s="112" t="e">
        <f t="shared" ca="1" si="50"/>
        <v>#N/A</v>
      </c>
      <c r="X26" s="112">
        <f t="shared" si="15"/>
        <v>0</v>
      </c>
      <c r="Y26" s="112"/>
      <c r="Z26" s="112"/>
      <c r="AA26" s="112">
        <f t="shared" si="16"/>
        <v>100000</v>
      </c>
      <c r="AB26" s="112" t="e">
        <f t="shared" ca="1" si="17"/>
        <v>#N/A</v>
      </c>
      <c r="AC26" s="112" t="e">
        <f t="shared" ca="1" si="18"/>
        <v>#N/A</v>
      </c>
      <c r="AD26" s="112" t="e">
        <f t="shared" ca="1" si="19"/>
        <v>#N/A</v>
      </c>
      <c r="AE26" s="112" t="e">
        <f t="shared" ca="1" si="20"/>
        <v>#N/A</v>
      </c>
      <c r="AF26" s="112">
        <f t="shared" si="21"/>
        <v>100000</v>
      </c>
      <c r="AG26" s="238">
        <f>AG25</f>
        <v>21</v>
      </c>
      <c r="AH26" s="112">
        <f ca="1">AI25+1</f>
        <v>37257</v>
      </c>
      <c r="AI26" s="112">
        <f ca="1">IF(INDIRECT(CONCATENATE("AC",AG25))&lt;100000,INDIRECT(CONCATENATE("AC",AG25))-1,IF(INDIRECT(CONCATENATE("AD",AG25))&lt;100000,INDIRECT(CONCATENATE("AD",AG25))-1,IF(INDIRECT(CONCATENATE("AE",AG25))&lt;100000,INDIRECT(CONCATENATE("AE",G25)),INDIRECT(CONCATENATE("AF",AG25)))))</f>
        <v>37410</v>
      </c>
      <c r="AJ26" s="114"/>
      <c r="AK26" s="114"/>
      <c r="AL26" s="238">
        <f t="shared" ca="1" si="38"/>
        <v>1</v>
      </c>
      <c r="AM26" s="112">
        <f t="shared" ca="1" si="22"/>
        <v>37257</v>
      </c>
      <c r="AN26" s="112">
        <f t="shared" ca="1" si="39"/>
        <v>37410</v>
      </c>
      <c r="AO26" s="114">
        <f t="shared" ca="1" si="23"/>
        <v>1</v>
      </c>
      <c r="AP26" s="114">
        <f t="shared" ca="1" si="24"/>
        <v>18</v>
      </c>
      <c r="AQ26" s="112"/>
      <c r="AR26" s="238">
        <f t="shared" si="40"/>
        <v>26</v>
      </c>
      <c r="AS26" s="112"/>
      <c r="AT26" s="112"/>
      <c r="AU26" s="283">
        <f t="shared" si="41"/>
        <v>7</v>
      </c>
      <c r="AV26" s="284">
        <f t="shared" ca="1" si="25"/>
        <v>37622</v>
      </c>
      <c r="AW26" s="284">
        <f t="shared" ca="1" si="26"/>
        <v>37864</v>
      </c>
      <c r="AX26" s="285">
        <f t="shared" ca="1" si="27"/>
        <v>2</v>
      </c>
      <c r="AY26" s="285">
        <f t="shared" ca="1" si="28"/>
        <v>18</v>
      </c>
      <c r="AZ26" s="284"/>
      <c r="BA26" s="112"/>
      <c r="BB26" s="112">
        <f t="shared" ca="1" si="29"/>
        <v>37499</v>
      </c>
      <c r="BC26" s="114">
        <f t="shared" ca="1" si="30"/>
        <v>1</v>
      </c>
      <c r="BD26" s="114">
        <f t="shared" ca="1" si="42"/>
        <v>16</v>
      </c>
      <c r="BE26" s="112">
        <f t="shared" ca="1" si="31"/>
        <v>37411</v>
      </c>
      <c r="BF26" s="112"/>
      <c r="BG26" s="112"/>
      <c r="BH26" s="238">
        <f t="shared" si="43"/>
        <v>7</v>
      </c>
      <c r="BI26" s="245">
        <f t="shared" si="32"/>
        <v>100000</v>
      </c>
      <c r="BJ26" s="281">
        <f t="shared" ca="1" si="1"/>
        <v>16</v>
      </c>
      <c r="BK26" s="245" t="e">
        <f t="shared" ca="1" si="33"/>
        <v>#N/A</v>
      </c>
      <c r="BL26" s="245" t="e">
        <f t="shared" ca="1" si="34"/>
        <v>#N/A</v>
      </c>
      <c r="BM26" s="245"/>
      <c r="BN26" s="245" t="e">
        <f t="shared" ref="BN26:BN89" ca="1" si="51">VLOOKUP(BK26,$F$20:$G$145,2)</f>
        <v>#N/A</v>
      </c>
      <c r="BQ26" s="245"/>
      <c r="BR26" s="245"/>
      <c r="BS26" s="245"/>
      <c r="BT26" s="245"/>
      <c r="BU26" s="245"/>
      <c r="BV26" s="245"/>
      <c r="BY26" s="245"/>
      <c r="BZ26" s="245"/>
      <c r="CA26" s="245"/>
      <c r="CB26" s="245"/>
      <c r="CC26" s="245"/>
      <c r="CD26" s="245"/>
      <c r="CE26" s="245"/>
      <c r="CF26" s="245"/>
      <c r="CG26" s="245"/>
      <c r="CH26" s="245"/>
      <c r="CL26" s="112"/>
      <c r="CM26" s="112"/>
      <c r="CP26" s="112"/>
      <c r="CQ26" s="112"/>
      <c r="CR26" s="238"/>
      <c r="CS26" s="238"/>
      <c r="CT26" s="112"/>
      <c r="CU26" s="112"/>
      <c r="CV26" s="112"/>
      <c r="CW26" s="112" t="s">
        <v>224</v>
      </c>
      <c r="CX26" s="112" t="s">
        <v>225</v>
      </c>
      <c r="CY26" s="112" t="s">
        <v>226</v>
      </c>
      <c r="CZ26" s="112" t="s">
        <v>227</v>
      </c>
      <c r="DA26" s="112" t="s">
        <v>228</v>
      </c>
      <c r="DB26" s="112" t="s">
        <v>229</v>
      </c>
      <c r="DC26" s="112"/>
      <c r="DD26" s="238"/>
      <c r="DE26" s="112"/>
      <c r="DF26" s="112"/>
      <c r="DG26" s="112"/>
      <c r="DH26" s="238"/>
      <c r="DI26" s="112"/>
      <c r="DJ26" s="112"/>
      <c r="DK26" s="112"/>
      <c r="DL26" s="278">
        <f t="shared" ca="1" si="44"/>
        <v>7</v>
      </c>
      <c r="DM26" s="245">
        <f t="shared" ca="1" si="2"/>
        <v>37622</v>
      </c>
      <c r="DN26" s="245">
        <f t="shared" ca="1" si="2"/>
        <v>37864</v>
      </c>
      <c r="DO26" s="281">
        <f t="shared" ca="1" si="2"/>
        <v>2</v>
      </c>
      <c r="DP26" s="281">
        <f t="shared" ca="1" si="2"/>
        <v>18</v>
      </c>
      <c r="DQ26" s="244">
        <f t="shared" ca="1" si="3"/>
        <v>243</v>
      </c>
      <c r="DR26" s="244"/>
      <c r="DS26" s="244">
        <f t="shared" ca="1" si="4"/>
        <v>18865.349999999999</v>
      </c>
      <c r="DT26" s="244">
        <f t="shared" ca="1" si="5"/>
        <v>18414.099999999999</v>
      </c>
      <c r="DU26" s="244">
        <f t="shared" ca="1" si="6"/>
        <v>33.380000000000003</v>
      </c>
      <c r="DV26" s="244" t="str">
        <f t="shared" ca="1" si="7"/>
        <v>3/8 anni</v>
      </c>
      <c r="DW26" s="244"/>
      <c r="DX26" s="244">
        <f t="shared" ca="1" si="45"/>
        <v>3</v>
      </c>
      <c r="EA26" s="244">
        <f t="shared" ca="1" si="35"/>
        <v>1</v>
      </c>
      <c r="EB26" s="278">
        <f ca="1">VLOOKUP(DM26,Foglio1!$AB$31:$AN$261,13)-6+EA26</f>
        <v>95</v>
      </c>
      <c r="EC26" s="244"/>
      <c r="ED26" s="244">
        <f t="shared" ca="1" si="8"/>
        <v>0</v>
      </c>
      <c r="EE26" s="244">
        <f t="shared" ca="1" si="8"/>
        <v>10770.64</v>
      </c>
      <c r="EF26" s="244">
        <f t="shared" ca="1" si="8"/>
        <v>0</v>
      </c>
      <c r="EG26" s="244">
        <f t="shared" ca="1" si="8"/>
        <v>0</v>
      </c>
      <c r="EH26" s="244">
        <f t="shared" ca="1" si="8"/>
        <v>6384.11</v>
      </c>
      <c r="EI26" s="244">
        <f t="shared" ca="1" si="8"/>
        <v>0</v>
      </c>
      <c r="EJ26" s="244">
        <f t="shared" ca="1" si="8"/>
        <v>1429.56</v>
      </c>
      <c r="EK26" s="244">
        <f t="shared" ca="1" si="8"/>
        <v>0</v>
      </c>
      <c r="EL26" s="244">
        <f t="shared" ca="1" si="8"/>
        <v>0</v>
      </c>
      <c r="EM26" s="244">
        <f t="shared" ca="1" si="8"/>
        <v>95</v>
      </c>
      <c r="EN26" s="244">
        <f t="shared" ca="1" si="8"/>
        <v>0</v>
      </c>
      <c r="EO26" s="244">
        <f t="shared" ca="1" si="8"/>
        <v>0</v>
      </c>
      <c r="EP26" s="244">
        <f t="shared" ca="1" si="8"/>
        <v>1710.6</v>
      </c>
      <c r="EQ26" s="244">
        <f t="shared" ca="1" si="8"/>
        <v>0</v>
      </c>
      <c r="ER26" s="244"/>
      <c r="EW26" s="244">
        <v>0</v>
      </c>
      <c r="EX26" s="278">
        <f ca="1">VLOOKUP(DM26,Foglio1!$AB$31:$AN$261,13)-6+EW26</f>
        <v>94</v>
      </c>
      <c r="EY26" s="244"/>
      <c r="EZ26" s="244">
        <f t="shared" ca="1" si="36"/>
        <v>0</v>
      </c>
      <c r="FA26" s="244">
        <f t="shared" ca="1" si="9"/>
        <v>10319.39</v>
      </c>
      <c r="FB26" s="244">
        <f t="shared" ca="1" si="9"/>
        <v>0</v>
      </c>
      <c r="FC26" s="244">
        <f t="shared" ca="1" si="9"/>
        <v>0</v>
      </c>
      <c r="FD26" s="244">
        <f t="shared" ca="1" si="9"/>
        <v>6384.11</v>
      </c>
      <c r="FE26" s="244">
        <f t="shared" ca="1" si="9"/>
        <v>0</v>
      </c>
      <c r="FF26" s="244">
        <f t="shared" ca="1" si="9"/>
        <v>1391.96</v>
      </c>
      <c r="FG26" s="244">
        <f t="shared" ca="1" si="9"/>
        <v>0</v>
      </c>
      <c r="FH26" s="244">
        <f t="shared" ca="1" si="9"/>
        <v>0</v>
      </c>
      <c r="FI26" s="244">
        <f t="shared" ca="1" si="9"/>
        <v>94</v>
      </c>
      <c r="FJ26" s="244">
        <f t="shared" ca="1" si="9"/>
        <v>0</v>
      </c>
      <c r="FK26" s="244">
        <f t="shared" ca="1" si="9"/>
        <v>0</v>
      </c>
      <c r="FL26" s="244">
        <f t="shared" ca="1" si="9"/>
        <v>1710.6</v>
      </c>
      <c r="FM26" s="244">
        <f t="shared" ca="1" si="10"/>
        <v>0</v>
      </c>
      <c r="FN26" s="244"/>
    </row>
    <row r="27" spans="5:170" x14ac:dyDescent="0.25">
      <c r="E27" s="244"/>
      <c r="F27" s="240"/>
      <c r="G27" s="240"/>
      <c r="H27">
        <v>7</v>
      </c>
      <c r="J27">
        <v>18</v>
      </c>
      <c r="L27">
        <f t="shared" si="37"/>
        <v>27</v>
      </c>
      <c r="M27" s="112" t="e">
        <f t="shared" ca="1" si="11"/>
        <v>#N/A</v>
      </c>
      <c r="N27" s="112">
        <f ca="1">IF(Foglio7!GE47="",100000,Foglio7!GE47)</f>
        <v>37622</v>
      </c>
      <c r="O27" s="112"/>
      <c r="P27" s="238">
        <f t="shared" ca="1" si="12"/>
        <v>22</v>
      </c>
      <c r="Q27" s="238">
        <f t="shared" si="13"/>
        <v>27</v>
      </c>
      <c r="R27" s="112">
        <f t="shared" si="14"/>
        <v>0</v>
      </c>
      <c r="S27" s="238" t="e">
        <f t="shared" ca="1" si="46"/>
        <v>#N/A</v>
      </c>
      <c r="T27" s="112" t="e">
        <f t="shared" ca="1" si="47"/>
        <v>#N/A</v>
      </c>
      <c r="U27" s="112" t="e">
        <f t="shared" ca="1" si="48"/>
        <v>#N/A</v>
      </c>
      <c r="V27" s="112" t="e">
        <f t="shared" ca="1" si="49"/>
        <v>#N/A</v>
      </c>
      <c r="W27" s="112" t="e">
        <f t="shared" ca="1" si="50"/>
        <v>#N/A</v>
      </c>
      <c r="X27" s="112">
        <f t="shared" si="15"/>
        <v>0</v>
      </c>
      <c r="Y27" s="112"/>
      <c r="Z27" s="112"/>
      <c r="AA27" s="112">
        <f t="shared" si="16"/>
        <v>100000</v>
      </c>
      <c r="AB27" s="112" t="e">
        <f t="shared" ca="1" si="17"/>
        <v>#N/A</v>
      </c>
      <c r="AC27" s="112" t="e">
        <f t="shared" ca="1" si="18"/>
        <v>#N/A</v>
      </c>
      <c r="AD27" s="112" t="e">
        <f t="shared" ca="1" si="19"/>
        <v>#N/A</v>
      </c>
      <c r="AE27" s="112" t="e">
        <f t="shared" ca="1" si="20"/>
        <v>#N/A</v>
      </c>
      <c r="AF27" s="112">
        <f t="shared" si="21"/>
        <v>100000</v>
      </c>
      <c r="AG27" s="238">
        <f>AG26</f>
        <v>21</v>
      </c>
      <c r="AH27" s="112">
        <f ca="1">AI26+1</f>
        <v>37411</v>
      </c>
      <c r="AI27" s="112">
        <f ca="1">IF(INDIRECT(CONCATENATE("AD",AG25))&lt;100000,INDIRECT(CONCATENATE("AD",AG25))-1,IF(INDIRECT(CONCATENATE("AE",AG25))&lt;100000,INDIRECT(CONCATENATE("AE",G25)),INDIRECT(CONCATENATE("AF",AG25))))</f>
        <v>37499</v>
      </c>
      <c r="AJ27" s="114"/>
      <c r="AK27" s="114"/>
      <c r="AL27" s="238">
        <f t="shared" ca="1" si="38"/>
        <v>1</v>
      </c>
      <c r="AM27" s="112">
        <f t="shared" ca="1" si="22"/>
        <v>37411</v>
      </c>
      <c r="AN27" s="112">
        <f t="shared" ca="1" si="39"/>
        <v>37499</v>
      </c>
      <c r="AO27" s="114">
        <f t="shared" ca="1" si="23"/>
        <v>1</v>
      </c>
      <c r="AP27" s="114">
        <f t="shared" ca="1" si="24"/>
        <v>18</v>
      </c>
      <c r="AQ27" s="112"/>
      <c r="AR27" s="238">
        <f t="shared" si="40"/>
        <v>27</v>
      </c>
      <c r="AS27" s="112"/>
      <c r="AT27" s="112"/>
      <c r="AU27" s="283">
        <f t="shared" si="41"/>
        <v>8</v>
      </c>
      <c r="AV27" s="284">
        <f t="shared" ca="1" si="25"/>
        <v>39326</v>
      </c>
      <c r="AW27" s="284">
        <f t="shared" ca="1" si="26"/>
        <v>39446</v>
      </c>
      <c r="AX27" s="285">
        <f t="shared" ca="1" si="27"/>
        <v>3</v>
      </c>
      <c r="AY27" s="285">
        <f t="shared" ca="1" si="28"/>
        <v>18</v>
      </c>
      <c r="AZ27" s="284"/>
      <c r="BA27" s="112"/>
      <c r="BB27" s="112">
        <f t="shared" ca="1" si="29"/>
        <v>37864</v>
      </c>
      <c r="BC27" s="114">
        <f t="shared" ca="1" si="30"/>
        <v>1</v>
      </c>
      <c r="BD27" s="114">
        <f t="shared" ca="1" si="42"/>
        <v>16</v>
      </c>
      <c r="BE27" s="112">
        <f t="shared" ca="1" si="31"/>
        <v>37622</v>
      </c>
      <c r="BF27" s="112"/>
      <c r="BG27" s="112"/>
      <c r="BH27" s="238">
        <f t="shared" si="43"/>
        <v>8</v>
      </c>
      <c r="BI27" s="245">
        <f t="shared" si="32"/>
        <v>100000</v>
      </c>
      <c r="BJ27" s="281">
        <f t="shared" ca="1" si="1"/>
        <v>16</v>
      </c>
      <c r="BK27" s="245" t="e">
        <f t="shared" ca="1" si="33"/>
        <v>#N/A</v>
      </c>
      <c r="BL27" s="245" t="e">
        <f t="shared" ca="1" si="34"/>
        <v>#N/A</v>
      </c>
      <c r="BM27" s="245"/>
      <c r="BN27" s="245" t="e">
        <f t="shared" ca="1" si="51"/>
        <v>#N/A</v>
      </c>
      <c r="BQ27" s="245"/>
      <c r="BR27" s="245"/>
      <c r="BS27" s="245"/>
      <c r="BT27" s="245"/>
      <c r="BU27" s="245"/>
      <c r="BV27" s="245"/>
      <c r="BY27" s="245"/>
      <c r="BZ27" s="245"/>
      <c r="CA27" s="245"/>
      <c r="CB27" s="245"/>
      <c r="CC27" s="245"/>
      <c r="CD27" s="245"/>
      <c r="CE27" s="245"/>
      <c r="CF27" s="245"/>
      <c r="CG27" s="245"/>
      <c r="CH27" s="245"/>
      <c r="CL27" s="112"/>
      <c r="CM27" s="112"/>
      <c r="CP27" s="112"/>
      <c r="CQ27" s="112"/>
      <c r="CR27" s="238"/>
      <c r="CS27" s="238"/>
      <c r="CT27" s="112"/>
      <c r="CU27" s="112"/>
      <c r="CV27" s="112"/>
      <c r="CW27" s="112" t="s">
        <v>224</v>
      </c>
      <c r="CX27" s="112" t="s">
        <v>225</v>
      </c>
      <c r="CY27" s="112" t="s">
        <v>226</v>
      </c>
      <c r="CZ27" s="112" t="s">
        <v>227</v>
      </c>
      <c r="DA27" s="112" t="s">
        <v>228</v>
      </c>
      <c r="DB27" s="112" t="s">
        <v>229</v>
      </c>
      <c r="DC27" s="112"/>
      <c r="DD27" s="238"/>
      <c r="DE27" s="112"/>
      <c r="DF27" s="112"/>
      <c r="DG27" s="112"/>
      <c r="DH27" s="238"/>
      <c r="DI27" s="112"/>
      <c r="DJ27" s="112"/>
      <c r="DK27" s="112"/>
      <c r="DL27" s="278">
        <f t="shared" ca="1" si="44"/>
        <v>8</v>
      </c>
      <c r="DM27" s="245">
        <f t="shared" ca="1" si="2"/>
        <v>39326</v>
      </c>
      <c r="DN27" s="245">
        <f t="shared" ca="1" si="2"/>
        <v>39446</v>
      </c>
      <c r="DO27" s="281">
        <f t="shared" ca="1" si="2"/>
        <v>3</v>
      </c>
      <c r="DP27" s="281">
        <f t="shared" ca="1" si="2"/>
        <v>18</v>
      </c>
      <c r="DQ27" s="244">
        <f t="shared" ca="1" si="3"/>
        <v>121</v>
      </c>
      <c r="DR27" s="244"/>
      <c r="DS27" s="244">
        <f t="shared" ca="1" si="4"/>
        <v>20958.03</v>
      </c>
      <c r="DT27" s="244">
        <f t="shared" ca="1" si="5"/>
        <v>20458.54</v>
      </c>
      <c r="DU27" s="244">
        <f t="shared" ca="1" si="6"/>
        <v>27.6</v>
      </c>
      <c r="DV27" s="244" t="str">
        <f t="shared" ca="1" si="7"/>
        <v>3/8 anni</v>
      </c>
      <c r="DW27" s="244"/>
      <c r="DX27" s="244">
        <f t="shared" ca="1" si="45"/>
        <v>3</v>
      </c>
      <c r="EA27" s="244">
        <f t="shared" ca="1" si="35"/>
        <v>1</v>
      </c>
      <c r="EB27" s="278">
        <f ca="1">VLOOKUP(DM27,Foglio1!$AB$31:$AN$261,13)-6+EA27</f>
        <v>130</v>
      </c>
      <c r="EC27" s="244"/>
      <c r="ED27" s="244">
        <f t="shared" ca="1" si="8"/>
        <v>0</v>
      </c>
      <c r="EE27" s="244">
        <f t="shared" ca="1" si="8"/>
        <v>12605.92</v>
      </c>
      <c r="EF27" s="244">
        <f t="shared" ca="1" si="8"/>
        <v>0</v>
      </c>
      <c r="EG27" s="244">
        <f t="shared" ca="1" si="8"/>
        <v>0</v>
      </c>
      <c r="EH27" s="244">
        <f t="shared" ca="1" si="8"/>
        <v>6384.11</v>
      </c>
      <c r="EI27" s="244">
        <f t="shared" ca="1" si="8"/>
        <v>0</v>
      </c>
      <c r="EJ27" s="244">
        <f t="shared" ca="1" si="8"/>
        <v>1582.5</v>
      </c>
      <c r="EK27" s="244">
        <f t="shared" ca="1" si="8"/>
        <v>0</v>
      </c>
      <c r="EL27" s="244">
        <f t="shared" ca="1" si="8"/>
        <v>0</v>
      </c>
      <c r="EM27" s="244">
        <f t="shared" ca="1" si="8"/>
        <v>130</v>
      </c>
      <c r="EN27" s="244">
        <f t="shared" ca="1" si="8"/>
        <v>0</v>
      </c>
      <c r="EO27" s="244">
        <f t="shared" ca="1" si="8"/>
        <v>0</v>
      </c>
      <c r="EP27" s="244">
        <f t="shared" ca="1" si="8"/>
        <v>1968</v>
      </c>
      <c r="EQ27" s="244">
        <f t="shared" ca="1" si="8"/>
        <v>0</v>
      </c>
      <c r="ER27" s="244"/>
      <c r="EW27" s="244">
        <v>0</v>
      </c>
      <c r="EX27" s="278">
        <f ca="1">VLOOKUP(DM27,Foglio1!$AB$31:$AN$261,13)-6+EW27</f>
        <v>129</v>
      </c>
      <c r="EY27" s="244"/>
      <c r="EZ27" s="244">
        <f t="shared" ca="1" si="36"/>
        <v>0</v>
      </c>
      <c r="FA27" s="244">
        <f t="shared" ca="1" si="9"/>
        <v>12106.43</v>
      </c>
      <c r="FB27" s="244">
        <f t="shared" ca="1" si="9"/>
        <v>0</v>
      </c>
      <c r="FC27" s="244">
        <f t="shared" ca="1" si="9"/>
        <v>0</v>
      </c>
      <c r="FD27" s="244">
        <f t="shared" ca="1" si="9"/>
        <v>6384.11</v>
      </c>
      <c r="FE27" s="244">
        <f t="shared" ca="1" si="9"/>
        <v>0</v>
      </c>
      <c r="FF27" s="244">
        <f t="shared" ca="1" si="9"/>
        <v>1540.88</v>
      </c>
      <c r="FG27" s="244">
        <f t="shared" ca="1" si="9"/>
        <v>0</v>
      </c>
      <c r="FH27" s="244">
        <f t="shared" ca="1" si="9"/>
        <v>0</v>
      </c>
      <c r="FI27" s="244">
        <f t="shared" ca="1" si="9"/>
        <v>129</v>
      </c>
      <c r="FJ27" s="244">
        <f t="shared" ca="1" si="9"/>
        <v>0</v>
      </c>
      <c r="FK27" s="244">
        <f t="shared" ca="1" si="9"/>
        <v>0</v>
      </c>
      <c r="FL27" s="244">
        <f t="shared" ca="1" si="9"/>
        <v>1968</v>
      </c>
      <c r="FM27" s="244">
        <f t="shared" ca="1" si="10"/>
        <v>0</v>
      </c>
      <c r="FN27" s="244"/>
    </row>
    <row r="28" spans="5:170" x14ac:dyDescent="0.25">
      <c r="E28" s="244"/>
      <c r="F28" s="240"/>
      <c r="G28" s="240"/>
      <c r="H28">
        <v>8</v>
      </c>
      <c r="J28">
        <v>18</v>
      </c>
      <c r="L28">
        <f t="shared" si="37"/>
        <v>28</v>
      </c>
      <c r="M28" s="112" t="e">
        <f t="shared" ca="1" si="11"/>
        <v>#N/A</v>
      </c>
      <c r="N28" s="112">
        <f ca="1">IF(Foglio7!GE48="",100000,Foglio7!GE48)</f>
        <v>37987</v>
      </c>
      <c r="O28" s="112"/>
      <c r="P28" s="238">
        <f t="shared" ca="1" si="12"/>
        <v>22</v>
      </c>
      <c r="Q28" s="238">
        <f t="shared" si="13"/>
        <v>28</v>
      </c>
      <c r="R28" s="112">
        <f t="shared" si="14"/>
        <v>0</v>
      </c>
      <c r="S28" s="238" t="e">
        <f t="shared" ca="1" si="46"/>
        <v>#N/A</v>
      </c>
      <c r="T28" s="112" t="e">
        <f t="shared" ca="1" si="47"/>
        <v>#N/A</v>
      </c>
      <c r="U28" s="112" t="e">
        <f t="shared" ca="1" si="48"/>
        <v>#N/A</v>
      </c>
      <c r="V28" s="112" t="e">
        <f t="shared" ca="1" si="49"/>
        <v>#N/A</v>
      </c>
      <c r="W28" s="112" t="e">
        <f t="shared" ca="1" si="50"/>
        <v>#N/A</v>
      </c>
      <c r="X28" s="112">
        <f t="shared" si="15"/>
        <v>0</v>
      </c>
      <c r="Y28" s="112"/>
      <c r="Z28" s="112"/>
      <c r="AA28" s="112">
        <f t="shared" si="16"/>
        <v>100000</v>
      </c>
      <c r="AB28" s="112" t="e">
        <f t="shared" ca="1" si="17"/>
        <v>#N/A</v>
      </c>
      <c r="AC28" s="112" t="e">
        <f t="shared" ca="1" si="18"/>
        <v>#N/A</v>
      </c>
      <c r="AD28" s="112" t="e">
        <f t="shared" ca="1" si="19"/>
        <v>#N/A</v>
      </c>
      <c r="AE28" s="112" t="e">
        <f t="shared" ca="1" si="20"/>
        <v>#N/A</v>
      </c>
      <c r="AF28" s="112">
        <f t="shared" si="21"/>
        <v>100000</v>
      </c>
      <c r="AG28" s="238">
        <f>AG27</f>
        <v>21</v>
      </c>
      <c r="AH28" s="112">
        <f ca="1">AI27+1</f>
        <v>37500</v>
      </c>
      <c r="AI28" s="112">
        <f ca="1">IF(INDIRECT(CONCATENATE("AE",AG25))&lt;100000,INDIRECT(CONCATENATE("AE",G25)),INDIRECT(CONCATENATE("AF",AG25)))</f>
        <v>37499</v>
      </c>
      <c r="AJ28" s="114"/>
      <c r="AK28" s="114"/>
      <c r="AL28" s="238">
        <f t="shared" ca="1" si="38"/>
        <v>0</v>
      </c>
      <c r="AM28" s="112">
        <f t="shared" ca="1" si="22"/>
        <v>100000</v>
      </c>
      <c r="AN28" s="112">
        <f t="shared" ca="1" si="39"/>
        <v>100000</v>
      </c>
      <c r="AO28" s="114">
        <f t="shared" ca="1" si="23"/>
        <v>1</v>
      </c>
      <c r="AP28" s="114">
        <f t="shared" ca="1" si="24"/>
        <v>18</v>
      </c>
      <c r="AQ28" s="112"/>
      <c r="AR28" s="238">
        <f t="shared" si="40"/>
        <v>28</v>
      </c>
      <c r="AS28" s="112"/>
      <c r="AT28" s="112"/>
      <c r="AU28" s="283">
        <f t="shared" si="41"/>
        <v>9</v>
      </c>
      <c r="AV28" s="284">
        <f t="shared" ca="1" si="25"/>
        <v>39447</v>
      </c>
      <c r="AW28" s="284">
        <f t="shared" ca="1" si="26"/>
        <v>39538</v>
      </c>
      <c r="AX28" s="285">
        <f t="shared" ca="1" si="27"/>
        <v>3</v>
      </c>
      <c r="AY28" s="285">
        <f t="shared" ca="1" si="28"/>
        <v>18</v>
      </c>
      <c r="AZ28" s="284"/>
      <c r="BA28" s="112"/>
      <c r="BB28" s="112">
        <f t="shared" ca="1" si="29"/>
        <v>37864</v>
      </c>
      <c r="BC28" s="114">
        <f t="shared" ca="1" si="30"/>
        <v>0</v>
      </c>
      <c r="BD28" s="114">
        <f t="shared" ca="1" si="42"/>
        <v>16</v>
      </c>
      <c r="BE28" s="112">
        <f t="shared" ca="1" si="31"/>
        <v>100000</v>
      </c>
      <c r="BF28" s="112"/>
      <c r="BG28" s="112"/>
      <c r="BH28" s="238">
        <f t="shared" si="43"/>
        <v>9</v>
      </c>
      <c r="BI28" s="245">
        <f t="shared" si="32"/>
        <v>100000</v>
      </c>
      <c r="BJ28" s="281">
        <f t="shared" ca="1" si="1"/>
        <v>16</v>
      </c>
      <c r="BK28" s="245" t="e">
        <f t="shared" ca="1" si="33"/>
        <v>#N/A</v>
      </c>
      <c r="BL28" s="245" t="e">
        <f t="shared" ca="1" si="34"/>
        <v>#N/A</v>
      </c>
      <c r="BM28" s="245"/>
      <c r="BN28" s="245" t="e">
        <f t="shared" ca="1" si="51"/>
        <v>#N/A</v>
      </c>
      <c r="BQ28" s="245"/>
      <c r="BR28" s="245"/>
      <c r="BS28" s="245"/>
      <c r="BT28" s="245"/>
      <c r="BU28" s="245"/>
      <c r="BV28" s="245"/>
      <c r="BY28" s="245"/>
      <c r="BZ28" s="245"/>
      <c r="CA28" s="245"/>
      <c r="CB28" s="245"/>
      <c r="CC28" s="245"/>
      <c r="CD28" s="245"/>
      <c r="CE28" s="245"/>
      <c r="CF28" s="245"/>
      <c r="CG28" s="245"/>
      <c r="CH28" s="245"/>
      <c r="CL28" s="112"/>
      <c r="CM28" s="112"/>
      <c r="CP28" s="112"/>
      <c r="CQ28" s="112"/>
      <c r="CR28" s="238"/>
      <c r="CS28" s="238"/>
      <c r="CT28" s="112"/>
      <c r="CU28" s="112"/>
      <c r="CV28" s="112"/>
      <c r="CW28" s="112" t="s">
        <v>224</v>
      </c>
      <c r="CX28" s="112" t="s">
        <v>225</v>
      </c>
      <c r="CY28" s="112" t="s">
        <v>226</v>
      </c>
      <c r="CZ28" s="112" t="s">
        <v>227</v>
      </c>
      <c r="DA28" s="112" t="s">
        <v>228</v>
      </c>
      <c r="DB28" s="112" t="s">
        <v>229</v>
      </c>
      <c r="DC28" s="112"/>
      <c r="DD28" s="238"/>
      <c r="DE28" s="112"/>
      <c r="DF28" s="112"/>
      <c r="DG28" s="112"/>
      <c r="DH28" s="238"/>
      <c r="DI28" s="112"/>
      <c r="DJ28" s="112"/>
      <c r="DK28" s="112"/>
      <c r="DL28" s="278">
        <f t="shared" ca="1" si="44"/>
        <v>9</v>
      </c>
      <c r="DM28" s="245">
        <f t="shared" ca="1" si="2"/>
        <v>39447</v>
      </c>
      <c r="DN28" s="245">
        <f t="shared" ca="1" si="2"/>
        <v>39538</v>
      </c>
      <c r="DO28" s="281">
        <f t="shared" ca="1" si="2"/>
        <v>3</v>
      </c>
      <c r="DP28" s="281">
        <f t="shared" ca="1" si="2"/>
        <v>18</v>
      </c>
      <c r="DQ28" s="244">
        <f t="shared" ca="1" si="3"/>
        <v>92</v>
      </c>
      <c r="DR28" s="244"/>
      <c r="DS28" s="244">
        <f t="shared" ca="1" si="4"/>
        <v>21080.07</v>
      </c>
      <c r="DT28" s="244">
        <f t="shared" ca="1" si="5"/>
        <v>20577.34</v>
      </c>
      <c r="DU28" s="244">
        <f t="shared" ca="1" si="6"/>
        <v>21.12</v>
      </c>
      <c r="DV28" s="244" t="str">
        <f t="shared" ca="1" si="7"/>
        <v>3/8 anni</v>
      </c>
      <c r="DW28" s="244"/>
      <c r="DX28" s="244">
        <f t="shared" ca="1" si="45"/>
        <v>3</v>
      </c>
      <c r="EA28" s="244">
        <f t="shared" ca="1" si="35"/>
        <v>1</v>
      </c>
      <c r="EB28" s="278">
        <f ca="1">VLOOKUP(DM28,Foglio1!$AB$31:$AN$261,13)-6+EA28</f>
        <v>137</v>
      </c>
      <c r="EC28" s="244"/>
      <c r="ED28" s="244">
        <f t="shared" ca="1" si="8"/>
        <v>0</v>
      </c>
      <c r="EE28" s="244">
        <f t="shared" ca="1" si="8"/>
        <v>12727.96</v>
      </c>
      <c r="EF28" s="244">
        <f t="shared" ca="1" si="8"/>
        <v>0</v>
      </c>
      <c r="EG28" s="244">
        <f t="shared" ca="1" si="8"/>
        <v>0</v>
      </c>
      <c r="EH28" s="244">
        <f t="shared" ca="1" si="8"/>
        <v>6384.11</v>
      </c>
      <c r="EI28" s="244">
        <f t="shared" ca="1" si="8"/>
        <v>0</v>
      </c>
      <c r="EJ28" s="244">
        <f t="shared" ca="1" si="8"/>
        <v>1592.67</v>
      </c>
      <c r="EK28" s="244">
        <f t="shared" ca="1" si="8"/>
        <v>0</v>
      </c>
      <c r="EL28" s="244">
        <f t="shared" ca="1" si="8"/>
        <v>0</v>
      </c>
      <c r="EM28" s="244">
        <f t="shared" ca="1" si="8"/>
        <v>137</v>
      </c>
      <c r="EN28" s="244">
        <f t="shared" ca="1" si="8"/>
        <v>0</v>
      </c>
      <c r="EO28" s="244">
        <f t="shared" ca="1" si="8"/>
        <v>0</v>
      </c>
      <c r="EP28" s="244">
        <f t="shared" ca="1" si="8"/>
        <v>1968</v>
      </c>
      <c r="EQ28" s="244">
        <f t="shared" ca="1" si="8"/>
        <v>0</v>
      </c>
      <c r="ER28" s="244"/>
      <c r="EW28" s="244">
        <v>0</v>
      </c>
      <c r="EX28" s="278">
        <f ca="1">VLOOKUP(DM28,Foglio1!$AB$31:$AN$261,13)-6+EW28</f>
        <v>136</v>
      </c>
      <c r="EY28" s="244"/>
      <c r="EZ28" s="244">
        <f t="shared" ca="1" si="36"/>
        <v>0</v>
      </c>
      <c r="FA28" s="244">
        <f t="shared" ca="1" si="9"/>
        <v>12225.23</v>
      </c>
      <c r="FB28" s="244">
        <f t="shared" ca="1" si="9"/>
        <v>0</v>
      </c>
      <c r="FC28" s="244">
        <f t="shared" ca="1" si="9"/>
        <v>0</v>
      </c>
      <c r="FD28" s="244">
        <f t="shared" ca="1" si="9"/>
        <v>6384.11</v>
      </c>
      <c r="FE28" s="244">
        <f t="shared" ca="1" si="9"/>
        <v>0</v>
      </c>
      <c r="FF28" s="244">
        <f t="shared" ca="1" si="9"/>
        <v>1550.78</v>
      </c>
      <c r="FG28" s="244">
        <f t="shared" ca="1" si="9"/>
        <v>0</v>
      </c>
      <c r="FH28" s="244">
        <f t="shared" ca="1" si="9"/>
        <v>0</v>
      </c>
      <c r="FI28" s="244">
        <f t="shared" ca="1" si="9"/>
        <v>136</v>
      </c>
      <c r="FJ28" s="244">
        <f t="shared" ca="1" si="9"/>
        <v>0</v>
      </c>
      <c r="FK28" s="244">
        <f t="shared" ca="1" si="9"/>
        <v>0</v>
      </c>
      <c r="FL28" s="244">
        <f t="shared" ca="1" si="9"/>
        <v>1968</v>
      </c>
      <c r="FM28" s="244">
        <f t="shared" ca="1" si="10"/>
        <v>0</v>
      </c>
      <c r="FN28" s="244"/>
    </row>
    <row r="29" spans="5:170" x14ac:dyDescent="0.25">
      <c r="E29" s="244"/>
      <c r="F29" s="240"/>
      <c r="G29" s="240"/>
      <c r="H29">
        <v>18</v>
      </c>
      <c r="J29">
        <v>18</v>
      </c>
      <c r="L29">
        <f t="shared" si="37"/>
        <v>29</v>
      </c>
      <c r="M29" s="112" t="e">
        <f t="shared" ca="1" si="11"/>
        <v>#N/A</v>
      </c>
      <c r="N29" s="112">
        <f ca="1">IF(Foglio7!GE49="",100000,Foglio7!GE49)</f>
        <v>38384</v>
      </c>
      <c r="O29" s="112"/>
      <c r="P29" s="238">
        <f t="shared" ca="1" si="12"/>
        <v>22</v>
      </c>
      <c r="Q29" s="238">
        <f t="shared" si="13"/>
        <v>29</v>
      </c>
      <c r="R29" s="112">
        <f t="shared" si="14"/>
        <v>0</v>
      </c>
      <c r="S29" s="238" t="e">
        <f t="shared" ca="1" si="46"/>
        <v>#N/A</v>
      </c>
      <c r="T29" s="112" t="e">
        <f t="shared" ca="1" si="47"/>
        <v>#N/A</v>
      </c>
      <c r="U29" s="112" t="e">
        <f t="shared" ca="1" si="48"/>
        <v>#N/A</v>
      </c>
      <c r="V29" s="112" t="e">
        <f t="shared" ca="1" si="49"/>
        <v>#N/A</v>
      </c>
      <c r="W29" s="112" t="e">
        <f t="shared" ca="1" si="50"/>
        <v>#N/A</v>
      </c>
      <c r="X29" s="112">
        <f t="shared" si="15"/>
        <v>0</v>
      </c>
      <c r="Y29" s="112"/>
      <c r="Z29" s="112"/>
      <c r="AA29" s="112">
        <f t="shared" si="16"/>
        <v>100000</v>
      </c>
      <c r="AB29" s="112" t="e">
        <f t="shared" ca="1" si="17"/>
        <v>#N/A</v>
      </c>
      <c r="AC29" s="112" t="e">
        <f t="shared" ca="1" si="18"/>
        <v>#N/A</v>
      </c>
      <c r="AD29" s="112" t="e">
        <f t="shared" ca="1" si="19"/>
        <v>#N/A</v>
      </c>
      <c r="AE29" s="112" t="e">
        <f t="shared" ca="1" si="20"/>
        <v>#N/A</v>
      </c>
      <c r="AF29" s="112">
        <f t="shared" si="21"/>
        <v>100000</v>
      </c>
      <c r="AG29" s="238">
        <f>AG28</f>
        <v>21</v>
      </c>
      <c r="AH29" s="112">
        <f ca="1">AI28+1</f>
        <v>37500</v>
      </c>
      <c r="AI29" s="112">
        <f ca="1">INDIRECT(CONCATENATE("AF",AG25))</f>
        <v>37499</v>
      </c>
      <c r="AJ29" s="114"/>
      <c r="AK29" s="114"/>
      <c r="AL29" s="238">
        <f t="shared" ca="1" si="38"/>
        <v>0</v>
      </c>
      <c r="AM29" s="112">
        <f t="shared" ca="1" si="22"/>
        <v>100000</v>
      </c>
      <c r="AN29" s="112">
        <f t="shared" ca="1" si="39"/>
        <v>100000</v>
      </c>
      <c r="AO29" s="114">
        <f t="shared" ca="1" si="23"/>
        <v>1</v>
      </c>
      <c r="AP29" s="114">
        <f t="shared" ca="1" si="24"/>
        <v>18</v>
      </c>
      <c r="AQ29" s="112"/>
      <c r="AR29" s="238">
        <f t="shared" si="40"/>
        <v>29</v>
      </c>
      <c r="AS29" s="112"/>
      <c r="AT29" s="112"/>
      <c r="AU29" s="283">
        <f t="shared" si="41"/>
        <v>10</v>
      </c>
      <c r="AV29" s="284">
        <f t="shared" ca="1" si="25"/>
        <v>39539</v>
      </c>
      <c r="AW29" s="284">
        <f ca="1" xml:space="preserve">           IF( VLOOKUP(AV29,$AM$20:$AP$564,2,FALSE)=AW28,VLOOKUP(AV29,$AM$20:$AP$564,2),VLOOKUP(AV29,$AM$20:$AP$564,2,FALSE))</f>
        <v>39629</v>
      </c>
      <c r="AX29" s="285">
        <f t="shared" ca="1" si="27"/>
        <v>3</v>
      </c>
      <c r="AY29" s="285">
        <f t="shared" ca="1" si="28"/>
        <v>18</v>
      </c>
      <c r="AZ29" s="284"/>
      <c r="BA29" s="112"/>
      <c r="BB29" s="112">
        <f t="shared" ca="1" si="29"/>
        <v>37864</v>
      </c>
      <c r="BC29" s="114">
        <f t="shared" ca="1" si="30"/>
        <v>0</v>
      </c>
      <c r="BD29" s="114">
        <f t="shared" ca="1" si="42"/>
        <v>16</v>
      </c>
      <c r="BE29" s="112">
        <f t="shared" ca="1" si="31"/>
        <v>100000</v>
      </c>
      <c r="BF29" s="112"/>
      <c r="BG29" s="112"/>
      <c r="BH29" s="238">
        <f t="shared" si="43"/>
        <v>10</v>
      </c>
      <c r="BI29" s="245">
        <f t="shared" si="32"/>
        <v>100000</v>
      </c>
      <c r="BJ29" s="281">
        <f t="shared" ca="1" si="1"/>
        <v>16</v>
      </c>
      <c r="BK29" s="245" t="e">
        <f t="shared" ca="1" si="33"/>
        <v>#N/A</v>
      </c>
      <c r="BL29" s="245" t="e">
        <f t="shared" ca="1" si="34"/>
        <v>#N/A</v>
      </c>
      <c r="BM29" s="245"/>
      <c r="BN29" s="245" t="e">
        <f t="shared" ca="1" si="51"/>
        <v>#N/A</v>
      </c>
      <c r="BQ29" s="245"/>
      <c r="BR29" s="245"/>
      <c r="BS29" s="245"/>
      <c r="BT29" s="245"/>
      <c r="BU29" s="245"/>
      <c r="BV29" s="245"/>
      <c r="BY29" s="245"/>
      <c r="BZ29" s="245"/>
      <c r="CA29" s="245"/>
      <c r="CB29" s="245"/>
      <c r="CC29" s="245"/>
      <c r="CD29" s="245"/>
      <c r="CE29" s="245"/>
      <c r="CF29" s="245"/>
      <c r="CG29" s="245"/>
      <c r="CH29" s="245"/>
      <c r="CL29" s="112"/>
      <c r="CM29" s="112"/>
      <c r="CP29" s="112"/>
      <c r="CQ29" s="112"/>
      <c r="CR29" s="238"/>
      <c r="CS29" s="238"/>
      <c r="CT29" s="112"/>
      <c r="CU29" s="112"/>
      <c r="CV29" s="112"/>
      <c r="CW29" s="112" t="s">
        <v>224</v>
      </c>
      <c r="CX29" s="112" t="s">
        <v>225</v>
      </c>
      <c r="CY29" s="112" t="s">
        <v>226</v>
      </c>
      <c r="CZ29" s="112" t="s">
        <v>227</v>
      </c>
      <c r="DA29" s="112" t="s">
        <v>228</v>
      </c>
      <c r="DB29" s="112" t="s">
        <v>229</v>
      </c>
      <c r="DC29" s="112"/>
      <c r="DD29" s="238"/>
      <c r="DE29" s="112"/>
      <c r="DF29" s="112"/>
      <c r="DG29" s="112"/>
      <c r="DH29" s="238"/>
      <c r="DI29" s="112"/>
      <c r="DJ29" s="112"/>
      <c r="DK29" s="112"/>
      <c r="DL29" s="278">
        <f t="shared" ca="1" si="44"/>
        <v>10</v>
      </c>
      <c r="DM29" s="245">
        <f t="shared" ca="1" si="2"/>
        <v>39539</v>
      </c>
      <c r="DN29" s="245">
        <f t="shared" ca="1" si="2"/>
        <v>39629</v>
      </c>
      <c r="DO29" s="281">
        <f t="shared" ca="1" si="2"/>
        <v>3</v>
      </c>
      <c r="DP29" s="281">
        <f t="shared" ca="1" si="2"/>
        <v>18</v>
      </c>
      <c r="DQ29" s="244">
        <f t="shared" ca="1" si="3"/>
        <v>91</v>
      </c>
      <c r="DR29" s="244"/>
      <c r="DS29" s="244">
        <f t="shared" ca="1" si="4"/>
        <v>21174.989999999998</v>
      </c>
      <c r="DT29" s="244">
        <f t="shared" ca="1" si="5"/>
        <v>20672.259999999998</v>
      </c>
      <c r="DU29" s="244">
        <f t="shared" ca="1" si="6"/>
        <v>20.89</v>
      </c>
      <c r="DV29" s="244" t="str">
        <f t="shared" ca="1" si="7"/>
        <v>3/8 anni</v>
      </c>
      <c r="DW29" s="244"/>
      <c r="DX29" s="244">
        <f t="shared" ca="1" si="45"/>
        <v>3</v>
      </c>
      <c r="EA29" s="244">
        <f t="shared" ca="1" si="35"/>
        <v>1</v>
      </c>
      <c r="EB29" s="278">
        <f ca="1">VLOOKUP(DM29,Foglio1!$AB$31:$AN$261,13)-6+EA29</f>
        <v>144</v>
      </c>
      <c r="EC29" s="244"/>
      <c r="ED29" s="244">
        <f t="shared" ca="1" si="8"/>
        <v>0</v>
      </c>
      <c r="EE29" s="244">
        <f t="shared" ca="1" si="8"/>
        <v>12822.88</v>
      </c>
      <c r="EF29" s="244">
        <f t="shared" ca="1" si="8"/>
        <v>0</v>
      </c>
      <c r="EG29" s="244">
        <f t="shared" ca="1" si="8"/>
        <v>0</v>
      </c>
      <c r="EH29" s="244">
        <f t="shared" ca="1" si="8"/>
        <v>6384.11</v>
      </c>
      <c r="EI29" s="244">
        <f t="shared" ca="1" si="8"/>
        <v>0</v>
      </c>
      <c r="EJ29" s="244">
        <f t="shared" ca="1" si="8"/>
        <v>1600.58</v>
      </c>
      <c r="EK29" s="244">
        <f t="shared" ca="1" si="8"/>
        <v>0</v>
      </c>
      <c r="EL29" s="244">
        <f t="shared" ca="1" si="8"/>
        <v>0</v>
      </c>
      <c r="EM29" s="244">
        <f t="shared" ca="1" si="8"/>
        <v>144</v>
      </c>
      <c r="EN29" s="244">
        <f t="shared" ca="1" si="8"/>
        <v>0</v>
      </c>
      <c r="EO29" s="244">
        <f t="shared" ca="1" si="8"/>
        <v>0</v>
      </c>
      <c r="EP29" s="244">
        <f t="shared" ca="1" si="8"/>
        <v>1968</v>
      </c>
      <c r="EQ29" s="244">
        <f t="shared" ca="1" si="8"/>
        <v>0</v>
      </c>
      <c r="ER29" s="244"/>
      <c r="EW29" s="244">
        <v>0</v>
      </c>
      <c r="EX29" s="278">
        <f ca="1">VLOOKUP(DM29,Foglio1!$AB$31:$AN$261,13)-6+EW29</f>
        <v>143</v>
      </c>
      <c r="EY29" s="244"/>
      <c r="EZ29" s="244">
        <f t="shared" ca="1" si="36"/>
        <v>0</v>
      </c>
      <c r="FA29" s="244">
        <f t="shared" ca="1" si="9"/>
        <v>12320.15</v>
      </c>
      <c r="FB29" s="244">
        <f t="shared" ca="1" si="9"/>
        <v>0</v>
      </c>
      <c r="FC29" s="244">
        <f t="shared" ca="1" si="9"/>
        <v>0</v>
      </c>
      <c r="FD29" s="244">
        <f t="shared" ca="1" si="9"/>
        <v>6384.11</v>
      </c>
      <c r="FE29" s="244">
        <f t="shared" ca="1" si="9"/>
        <v>0</v>
      </c>
      <c r="FF29" s="244">
        <f t="shared" ca="1" si="9"/>
        <v>1558.69</v>
      </c>
      <c r="FG29" s="244">
        <f t="shared" ca="1" si="9"/>
        <v>0</v>
      </c>
      <c r="FH29" s="244">
        <f t="shared" ca="1" si="9"/>
        <v>0</v>
      </c>
      <c r="FI29" s="244">
        <f t="shared" ca="1" si="9"/>
        <v>143</v>
      </c>
      <c r="FJ29" s="244">
        <f t="shared" ca="1" si="9"/>
        <v>0</v>
      </c>
      <c r="FK29" s="244">
        <f t="shared" ca="1" si="9"/>
        <v>0</v>
      </c>
      <c r="FL29" s="244">
        <f t="shared" ca="1" si="9"/>
        <v>1968</v>
      </c>
      <c r="FM29" s="244">
        <f t="shared" ca="1" si="10"/>
        <v>0</v>
      </c>
      <c r="FN29" s="244"/>
    </row>
    <row r="30" spans="5:170" x14ac:dyDescent="0.25">
      <c r="E30" s="244"/>
      <c r="F30" s="239"/>
      <c r="G30" s="239"/>
      <c r="L30">
        <f t="shared" si="37"/>
        <v>30</v>
      </c>
      <c r="M30" s="112" t="e">
        <f t="shared" ca="1" si="11"/>
        <v>#N/A</v>
      </c>
      <c r="N30" s="112">
        <f ca="1">IF(Foglio7!GE50="",100000,Foglio7!GE50)</f>
        <v>38718</v>
      </c>
      <c r="O30" s="112"/>
      <c r="P30" s="238">
        <f t="shared" ca="1" si="12"/>
        <v>22</v>
      </c>
      <c r="Q30" s="238">
        <f t="shared" si="13"/>
        <v>30</v>
      </c>
      <c r="R30" s="112">
        <f t="shared" si="14"/>
        <v>0</v>
      </c>
      <c r="S30" s="238" t="e">
        <f t="shared" ca="1" si="46"/>
        <v>#N/A</v>
      </c>
      <c r="T30" s="112" t="e">
        <f t="shared" ca="1" si="47"/>
        <v>#N/A</v>
      </c>
      <c r="U30" s="112" t="e">
        <f t="shared" ca="1" si="48"/>
        <v>#N/A</v>
      </c>
      <c r="V30" s="112" t="e">
        <f t="shared" ca="1" si="49"/>
        <v>#N/A</v>
      </c>
      <c r="W30" s="112" t="e">
        <f t="shared" ca="1" si="50"/>
        <v>#N/A</v>
      </c>
      <c r="X30" s="112">
        <f t="shared" si="15"/>
        <v>0</v>
      </c>
      <c r="Y30" s="112"/>
      <c r="Z30" s="112"/>
      <c r="AA30" s="112">
        <f t="shared" si="16"/>
        <v>100000</v>
      </c>
      <c r="AB30" s="112" t="e">
        <f t="shared" ca="1" si="17"/>
        <v>#N/A</v>
      </c>
      <c r="AC30" s="112" t="e">
        <f t="shared" ca="1" si="18"/>
        <v>#N/A</v>
      </c>
      <c r="AD30" s="112" t="e">
        <f t="shared" ca="1" si="19"/>
        <v>#N/A</v>
      </c>
      <c r="AE30" s="112" t="e">
        <f t="shared" ca="1" si="20"/>
        <v>#N/A</v>
      </c>
      <c r="AF30" s="112">
        <f t="shared" si="21"/>
        <v>100000</v>
      </c>
      <c r="AG30" s="238">
        <f>AG29+1</f>
        <v>22</v>
      </c>
      <c r="AH30" s="112">
        <f ca="1">INDIRECT(CONCATENATE("AA",AG30))</f>
        <v>37500</v>
      </c>
      <c r="AI30" s="112">
        <f ca="1">IF(            INDIRECT(CONCATENATE( "AB",AG30))&lt;100000,       INDIRECT(CONCATENATE("AB",AG30))  -1,IF(   INDIRECT(CONCATENATE("AC",AG30))&lt;100000,   INDIRECT(CONCATENATE("AC",AG30))-1,IF(   INDIRECT(CONCATENATE("AD", AG30))&lt;100000, INDIRECT(CONCATENATE("AD",AG30))-1,IF(   INDIRECT(CONCATENATE("AE",AG30))&lt;100000,  INDIRECT(CONCATENATE("AE",G30)),INDIRECT(CONCATENATE("AF",AG30))                ))))</f>
        <v>37621</v>
      </c>
      <c r="AJ30" s="114"/>
      <c r="AK30" s="114"/>
      <c r="AL30" s="238">
        <f t="shared" ca="1" si="38"/>
        <v>1</v>
      </c>
      <c r="AM30" s="112">
        <f t="shared" ca="1" si="22"/>
        <v>37500</v>
      </c>
      <c r="AN30" s="112">
        <f t="shared" ca="1" si="39"/>
        <v>37621</v>
      </c>
      <c r="AO30" s="114">
        <f t="shared" ca="1" si="23"/>
        <v>2</v>
      </c>
      <c r="AP30" s="114">
        <f t="shared" ca="1" si="24"/>
        <v>18</v>
      </c>
      <c r="AQ30" s="112"/>
      <c r="AR30" s="238">
        <f t="shared" si="40"/>
        <v>30</v>
      </c>
      <c r="AS30" s="112"/>
      <c r="AT30" s="112"/>
      <c r="AU30" s="283">
        <f t="shared" si="41"/>
        <v>11</v>
      </c>
      <c r="AV30" s="284">
        <f t="shared" ca="1" si="25"/>
        <v>39539</v>
      </c>
      <c r="AW30" s="284">
        <f t="shared" ref="AW30:AW93" ca="1" si="52" xml:space="preserve">           IF( VLOOKUP(AV30,$AM$20:$AP$564,2,FALSE)=AW29,VLOOKUP(AV30,$AM$20:$AP$564,2),VLOOKUP(AV30,$AM$20:$AP$564,2,FALSE))</f>
        <v>39630</v>
      </c>
      <c r="AX30" s="285">
        <f t="shared" ca="1" si="27"/>
        <v>4</v>
      </c>
      <c r="AY30" s="285">
        <f t="shared" ca="1" si="28"/>
        <v>18</v>
      </c>
      <c r="AZ30" s="284"/>
      <c r="BA30" s="112" t="s">
        <v>244</v>
      </c>
      <c r="BB30" s="112">
        <f t="shared" ca="1" si="29"/>
        <v>37864</v>
      </c>
      <c r="BC30" s="114">
        <f t="shared" ca="1" si="30"/>
        <v>0</v>
      </c>
      <c r="BD30" s="114">
        <f t="shared" ca="1" si="42"/>
        <v>16</v>
      </c>
      <c r="BE30" s="112">
        <f t="shared" ca="1" si="31"/>
        <v>100000</v>
      </c>
      <c r="BF30" s="112"/>
      <c r="BG30" s="112"/>
      <c r="BH30" s="238">
        <f t="shared" si="43"/>
        <v>11</v>
      </c>
      <c r="BI30" s="245">
        <f t="shared" si="32"/>
        <v>100000</v>
      </c>
      <c r="BJ30" s="281">
        <f t="shared" ca="1" si="1"/>
        <v>16</v>
      </c>
      <c r="BK30" s="245" t="e">
        <f t="shared" ca="1" si="33"/>
        <v>#N/A</v>
      </c>
      <c r="BL30" s="245" t="e">
        <f t="shared" ca="1" si="34"/>
        <v>#N/A</v>
      </c>
      <c r="BM30" s="245"/>
      <c r="BN30" s="245" t="e">
        <f t="shared" ca="1" si="51"/>
        <v>#N/A</v>
      </c>
      <c r="BQ30" s="245"/>
      <c r="BR30" s="245"/>
      <c r="BS30" s="245"/>
      <c r="BT30" s="245"/>
      <c r="BU30" s="245"/>
      <c r="BV30" s="245"/>
      <c r="BY30" s="245"/>
      <c r="BZ30" s="245"/>
      <c r="CA30" s="245"/>
      <c r="CB30" s="245"/>
      <c r="CC30" s="245"/>
      <c r="CD30" s="245"/>
      <c r="CE30" s="245"/>
      <c r="CF30" s="245"/>
      <c r="CG30" s="245"/>
      <c r="CH30" s="245"/>
      <c r="CL30" s="112"/>
      <c r="CM30" s="112"/>
      <c r="CP30" s="112"/>
      <c r="CQ30" s="112"/>
      <c r="CR30" s="238"/>
      <c r="CS30" s="238"/>
      <c r="CT30" s="112"/>
      <c r="CU30" s="112"/>
      <c r="CV30" s="112"/>
      <c r="CW30" s="112" t="s">
        <v>224</v>
      </c>
      <c r="CX30" s="112" t="s">
        <v>225</v>
      </c>
      <c r="CY30" s="112" t="s">
        <v>226</v>
      </c>
      <c r="CZ30" s="112" t="s">
        <v>227</v>
      </c>
      <c r="DA30" s="112" t="s">
        <v>228</v>
      </c>
      <c r="DB30" s="112" t="s">
        <v>229</v>
      </c>
      <c r="DC30" s="112"/>
      <c r="DD30" s="238"/>
      <c r="DE30" s="112"/>
      <c r="DF30" s="112"/>
      <c r="DG30" s="112"/>
      <c r="DH30" s="238"/>
      <c r="DI30" s="112"/>
      <c r="DJ30" s="112"/>
      <c r="DK30" s="112"/>
      <c r="DL30" s="278">
        <f t="shared" ca="1" si="44"/>
        <v>11</v>
      </c>
      <c r="DM30" s="245">
        <f t="shared" ca="1" si="2"/>
        <v>39539</v>
      </c>
      <c r="DN30" s="245">
        <f t="shared" ca="1" si="2"/>
        <v>39630</v>
      </c>
      <c r="DO30" s="281">
        <f t="shared" ca="1" si="2"/>
        <v>4</v>
      </c>
      <c r="DP30" s="281">
        <f t="shared" ca="1" si="2"/>
        <v>18</v>
      </c>
      <c r="DQ30" s="244">
        <f t="shared" ca="1" si="3"/>
        <v>92</v>
      </c>
      <c r="DR30" s="244"/>
      <c r="DS30" s="244">
        <f t="shared" ca="1" si="4"/>
        <v>21174.989999999998</v>
      </c>
      <c r="DT30" s="244">
        <f t="shared" ca="1" si="5"/>
        <v>20672.259999999998</v>
      </c>
      <c r="DU30" s="244">
        <f t="shared" ca="1" si="6"/>
        <v>28.16</v>
      </c>
      <c r="DV30" s="244" t="str">
        <f t="shared" ca="1" si="7"/>
        <v>3/8 anni</v>
      </c>
      <c r="DW30" s="244"/>
      <c r="DX30" s="244">
        <f t="shared" ca="1" si="45"/>
        <v>3</v>
      </c>
      <c r="EA30" s="244">
        <f t="shared" ca="1" si="35"/>
        <v>1</v>
      </c>
      <c r="EB30" s="278">
        <f ca="1">VLOOKUP(DM30,Foglio1!$AB$31:$AN$261,13)-6+EA30</f>
        <v>144</v>
      </c>
      <c r="EC30" s="244"/>
      <c r="ED30" s="244">
        <f t="shared" ca="1" si="8"/>
        <v>0</v>
      </c>
      <c r="EE30" s="244">
        <f t="shared" ca="1" si="8"/>
        <v>12822.88</v>
      </c>
      <c r="EF30" s="244">
        <f t="shared" ca="1" si="8"/>
        <v>0</v>
      </c>
      <c r="EG30" s="244">
        <f t="shared" ca="1" si="8"/>
        <v>0</v>
      </c>
      <c r="EH30" s="244">
        <f t="shared" ca="1" si="8"/>
        <v>6384.11</v>
      </c>
      <c r="EI30" s="244">
        <f t="shared" ca="1" si="8"/>
        <v>0</v>
      </c>
      <c r="EJ30" s="244">
        <f t="shared" ca="1" si="8"/>
        <v>1600.58</v>
      </c>
      <c r="EK30" s="244">
        <f t="shared" ca="1" si="8"/>
        <v>0</v>
      </c>
      <c r="EL30" s="244">
        <f t="shared" ca="1" si="8"/>
        <v>0</v>
      </c>
      <c r="EM30" s="244">
        <f t="shared" ca="1" si="8"/>
        <v>144</v>
      </c>
      <c r="EN30" s="244">
        <f t="shared" ca="1" si="8"/>
        <v>0</v>
      </c>
      <c r="EO30" s="244">
        <f t="shared" ca="1" si="8"/>
        <v>0</v>
      </c>
      <c r="EP30" s="244">
        <f t="shared" ca="1" si="8"/>
        <v>1968</v>
      </c>
      <c r="EQ30" s="244">
        <f t="shared" ca="1" si="8"/>
        <v>0</v>
      </c>
      <c r="ER30" s="244"/>
      <c r="EW30" s="244">
        <v>0</v>
      </c>
      <c r="EX30" s="278">
        <f ca="1">VLOOKUP(DM30,Foglio1!$AB$31:$AN$261,13)-6+EW30</f>
        <v>143</v>
      </c>
      <c r="EY30" s="244"/>
      <c r="EZ30" s="244">
        <f t="shared" ca="1" si="36"/>
        <v>0</v>
      </c>
      <c r="FA30" s="244">
        <f t="shared" ca="1" si="9"/>
        <v>12320.15</v>
      </c>
      <c r="FB30" s="244">
        <f t="shared" ca="1" si="9"/>
        <v>0</v>
      </c>
      <c r="FC30" s="244">
        <f t="shared" ca="1" si="9"/>
        <v>0</v>
      </c>
      <c r="FD30" s="244">
        <f t="shared" ca="1" si="9"/>
        <v>6384.11</v>
      </c>
      <c r="FE30" s="244">
        <f t="shared" ca="1" si="9"/>
        <v>0</v>
      </c>
      <c r="FF30" s="244">
        <f t="shared" ca="1" si="9"/>
        <v>1558.69</v>
      </c>
      <c r="FG30" s="244">
        <f t="shared" ca="1" si="9"/>
        <v>0</v>
      </c>
      <c r="FH30" s="244">
        <f t="shared" ca="1" si="9"/>
        <v>0</v>
      </c>
      <c r="FI30" s="244">
        <f t="shared" ca="1" si="9"/>
        <v>143</v>
      </c>
      <c r="FJ30" s="244">
        <f t="shared" ca="1" si="9"/>
        <v>0</v>
      </c>
      <c r="FK30" s="244">
        <f t="shared" ca="1" si="9"/>
        <v>0</v>
      </c>
      <c r="FL30" s="244">
        <f t="shared" ca="1" si="9"/>
        <v>1968</v>
      </c>
      <c r="FM30" s="244">
        <f t="shared" ca="1" si="10"/>
        <v>0</v>
      </c>
      <c r="FN30" s="244"/>
    </row>
    <row r="31" spans="5:170" x14ac:dyDescent="0.25">
      <c r="E31" s="244"/>
      <c r="F31" s="239"/>
      <c r="G31" s="239"/>
      <c r="L31">
        <f t="shared" si="37"/>
        <v>31</v>
      </c>
      <c r="M31" s="112" t="e">
        <f t="shared" ca="1" si="11"/>
        <v>#N/A</v>
      </c>
      <c r="N31" s="112">
        <f ca="1">IF(Foglio7!GE51="",100000,Foglio7!GE51)</f>
        <v>39083</v>
      </c>
      <c r="O31" s="112"/>
      <c r="P31" s="238">
        <f t="shared" ca="1" si="12"/>
        <v>22</v>
      </c>
      <c r="Q31" s="238">
        <f t="shared" si="13"/>
        <v>31</v>
      </c>
      <c r="R31" s="112">
        <f t="shared" si="14"/>
        <v>0</v>
      </c>
      <c r="S31" s="238" t="e">
        <f t="shared" ca="1" si="46"/>
        <v>#N/A</v>
      </c>
      <c r="T31" s="112" t="e">
        <f t="shared" ca="1" si="47"/>
        <v>#N/A</v>
      </c>
      <c r="U31" s="112" t="e">
        <f t="shared" ca="1" si="48"/>
        <v>#N/A</v>
      </c>
      <c r="V31" s="112" t="e">
        <f t="shared" ca="1" si="49"/>
        <v>#N/A</v>
      </c>
      <c r="W31" s="112" t="e">
        <f t="shared" ca="1" si="50"/>
        <v>#N/A</v>
      </c>
      <c r="X31" s="112">
        <f t="shared" si="15"/>
        <v>0</v>
      </c>
      <c r="Y31" s="112"/>
      <c r="Z31" s="112"/>
      <c r="AA31" s="112">
        <f t="shared" si="16"/>
        <v>100000</v>
      </c>
      <c r="AB31" s="112" t="e">
        <f t="shared" ca="1" si="17"/>
        <v>#N/A</v>
      </c>
      <c r="AC31" s="112" t="e">
        <f t="shared" ca="1" si="18"/>
        <v>#N/A</v>
      </c>
      <c r="AD31" s="112" t="e">
        <f t="shared" ca="1" si="19"/>
        <v>#N/A</v>
      </c>
      <c r="AE31" s="112" t="e">
        <f t="shared" ca="1" si="20"/>
        <v>#N/A</v>
      </c>
      <c r="AF31" s="112">
        <f t="shared" si="21"/>
        <v>100000</v>
      </c>
      <c r="AG31" s="238">
        <f>AG30</f>
        <v>22</v>
      </c>
      <c r="AH31" s="112">
        <f ca="1">AI30+1</f>
        <v>37622</v>
      </c>
      <c r="AI31" s="112">
        <f ca="1">IF(INDIRECT(CONCATENATE("AC",AG30))&lt;100000,INDIRECT(CONCATENATE("AC",AG30))-1,IF(INDIRECT(CONCATENATE("AD",AG30))&lt;100000,INDIRECT(CONCATENATE("AD",AG30))-1,IF(INDIRECT(CONCATENATE("AE",AG30))&lt;100000,INDIRECT(CONCATENATE("AE",G30)),INDIRECT(CONCATENATE("AF",AG30)))))</f>
        <v>37864</v>
      </c>
      <c r="AJ31" s="114"/>
      <c r="AK31" s="114"/>
      <c r="AL31" s="238">
        <f t="shared" ca="1" si="38"/>
        <v>1</v>
      </c>
      <c r="AM31" s="112">
        <f t="shared" ca="1" si="22"/>
        <v>37622</v>
      </c>
      <c r="AN31" s="112">
        <f t="shared" ca="1" si="39"/>
        <v>37864</v>
      </c>
      <c r="AO31" s="114">
        <f t="shared" ca="1" si="23"/>
        <v>2</v>
      </c>
      <c r="AP31" s="114">
        <f t="shared" ca="1" si="24"/>
        <v>18</v>
      </c>
      <c r="AQ31" s="112"/>
      <c r="AR31" s="238">
        <f t="shared" si="40"/>
        <v>31</v>
      </c>
      <c r="AS31" s="112"/>
      <c r="AT31" s="112"/>
      <c r="AU31" s="283">
        <f t="shared" si="41"/>
        <v>12</v>
      </c>
      <c r="AV31" s="284">
        <f t="shared" ca="1" si="25"/>
        <v>39630</v>
      </c>
      <c r="AW31" s="284">
        <f t="shared" ca="1" si="52"/>
        <v>39692</v>
      </c>
      <c r="AX31" s="285">
        <f t="shared" ca="1" si="27"/>
        <v>3</v>
      </c>
      <c r="AY31" s="285">
        <f t="shared" ca="1" si="28"/>
        <v>18</v>
      </c>
      <c r="AZ31" s="284"/>
      <c r="BA31" s="112"/>
      <c r="BB31" s="112">
        <f t="shared" ca="1" si="29"/>
        <v>37864</v>
      </c>
      <c r="BC31" s="114">
        <f t="shared" ca="1" si="30"/>
        <v>0</v>
      </c>
      <c r="BD31" s="114">
        <f t="shared" ca="1" si="42"/>
        <v>16</v>
      </c>
      <c r="BE31" s="112">
        <f t="shared" ca="1" si="31"/>
        <v>100000</v>
      </c>
      <c r="BF31" s="112"/>
      <c r="BG31" s="112"/>
      <c r="BH31" s="238">
        <f t="shared" si="43"/>
        <v>12</v>
      </c>
      <c r="BI31" s="245">
        <f t="shared" si="32"/>
        <v>100000</v>
      </c>
      <c r="BJ31" s="281">
        <f t="shared" ca="1" si="1"/>
        <v>16</v>
      </c>
      <c r="BK31" s="245" t="e">
        <f t="shared" ca="1" si="33"/>
        <v>#N/A</v>
      </c>
      <c r="BL31" s="245" t="e">
        <f t="shared" ca="1" si="34"/>
        <v>#N/A</v>
      </c>
      <c r="BM31" s="245"/>
      <c r="BN31" s="245" t="e">
        <f t="shared" ca="1" si="51"/>
        <v>#N/A</v>
      </c>
      <c r="BQ31" s="245"/>
      <c r="BR31" s="245"/>
      <c r="BS31" s="245"/>
      <c r="BT31" s="245"/>
      <c r="BU31" s="245"/>
      <c r="BV31" s="245"/>
      <c r="BY31" s="245"/>
      <c r="BZ31" s="245"/>
      <c r="CA31" s="245"/>
      <c r="CB31" s="245"/>
      <c r="CC31" s="245"/>
      <c r="CD31" s="245"/>
      <c r="CE31" s="245"/>
      <c r="CF31" s="245"/>
      <c r="CG31" s="245"/>
      <c r="CH31" s="245"/>
      <c r="CL31" s="112"/>
      <c r="CM31" s="112"/>
      <c r="CP31" s="112"/>
      <c r="CQ31" s="112"/>
      <c r="CR31" s="238"/>
      <c r="CS31" s="238"/>
      <c r="CT31" s="112"/>
      <c r="CU31" s="112"/>
      <c r="CV31" s="112"/>
      <c r="CW31" s="112" t="s">
        <v>224</v>
      </c>
      <c r="CX31" s="112" t="s">
        <v>225</v>
      </c>
      <c r="CY31" s="112" t="s">
        <v>226</v>
      </c>
      <c r="CZ31" s="112" t="s">
        <v>227</v>
      </c>
      <c r="DA31" s="112" t="s">
        <v>228</v>
      </c>
      <c r="DB31" s="112" t="s">
        <v>229</v>
      </c>
      <c r="DC31" s="112"/>
      <c r="DD31" s="238"/>
      <c r="DE31" s="112"/>
      <c r="DF31" s="112"/>
      <c r="DG31" s="112"/>
      <c r="DH31" s="238"/>
      <c r="DI31" s="112"/>
      <c r="DJ31" s="112"/>
      <c r="DK31" s="112"/>
      <c r="DL31" s="278">
        <f t="shared" ca="1" si="44"/>
        <v>12</v>
      </c>
      <c r="DM31" s="245">
        <f ca="1">IF(DL31="","",   AV31)</f>
        <v>39630</v>
      </c>
      <c r="DN31" s="245">
        <f ca="1">IF(DM31="","",   AW31)</f>
        <v>39692</v>
      </c>
      <c r="DO31" s="245">
        <f ca="1">IF(DN31="","",   AX31)</f>
        <v>3</v>
      </c>
      <c r="DP31" s="245">
        <f ca="1">IF(DO31="","",   AY31)</f>
        <v>18</v>
      </c>
      <c r="DQ31" s="245">
        <f ca="1">IF(DP31="","",   AZ31)</f>
        <v>0</v>
      </c>
      <c r="DR31" s="244"/>
      <c r="DS31" s="245" t="str">
        <f>IF(DR31="","",   BB31)</f>
        <v/>
      </c>
      <c r="DT31" s="245" t="str">
        <f>IF(DS31="","",   BC31)</f>
        <v/>
      </c>
      <c r="DU31" s="245" t="str">
        <f>IF(DT31="","",   BD31)</f>
        <v/>
      </c>
      <c r="DV31" s="244" t="str">
        <f t="shared" ca="1" si="7"/>
        <v>3/8 anni</v>
      </c>
      <c r="DW31" s="244"/>
      <c r="DX31" s="244">
        <f t="shared" ca="1" si="45"/>
        <v>3</v>
      </c>
      <c r="EA31" s="244">
        <f t="shared" ca="1" si="35"/>
        <v>1</v>
      </c>
      <c r="EB31" s="278">
        <f ca="1">VLOOKUP(DM31,Foglio1!$AB$31:$AN$261,13)-6+EA31</f>
        <v>151</v>
      </c>
      <c r="EC31" s="244"/>
      <c r="ED31" s="244">
        <f t="shared" ca="1" si="8"/>
        <v>0</v>
      </c>
      <c r="EE31" s="244">
        <f t="shared" ca="1" si="8"/>
        <v>12886.12</v>
      </c>
      <c r="EF31" s="244">
        <f t="shared" ca="1" si="8"/>
        <v>0</v>
      </c>
      <c r="EG31" s="244">
        <f t="shared" ca="1" si="8"/>
        <v>0</v>
      </c>
      <c r="EH31" s="244">
        <f t="shared" ca="1" si="8"/>
        <v>6384.11</v>
      </c>
      <c r="EI31" s="244">
        <f t="shared" ca="1" si="8"/>
        <v>0</v>
      </c>
      <c r="EJ31" s="244">
        <f t="shared" ca="1" si="8"/>
        <v>1605.85</v>
      </c>
      <c r="EK31" s="244">
        <f t="shared" ca="1" si="8"/>
        <v>0</v>
      </c>
      <c r="EL31" s="244">
        <f t="shared" ca="1" si="8"/>
        <v>0</v>
      </c>
      <c r="EM31" s="244">
        <f t="shared" ca="1" si="8"/>
        <v>151</v>
      </c>
      <c r="EN31" s="244">
        <f t="shared" ca="1" si="8"/>
        <v>0</v>
      </c>
      <c r="EO31" s="244">
        <f t="shared" ca="1" si="8"/>
        <v>0</v>
      </c>
      <c r="EP31" s="244">
        <f t="shared" ca="1" si="8"/>
        <v>1968</v>
      </c>
      <c r="EQ31" s="244">
        <f t="shared" ca="1" si="8"/>
        <v>0</v>
      </c>
      <c r="ER31" s="244"/>
      <c r="EW31" s="244">
        <v>0</v>
      </c>
      <c r="EX31" s="278">
        <f ca="1">VLOOKUP(DM31,Foglio1!$AB$31:$AN$261,13)-6+EW31</f>
        <v>150</v>
      </c>
      <c r="EY31" s="244"/>
      <c r="EZ31" s="244">
        <f t="shared" ca="1" si="36"/>
        <v>0</v>
      </c>
      <c r="FA31" s="244">
        <f t="shared" ca="1" si="9"/>
        <v>12383.39</v>
      </c>
      <c r="FB31" s="244">
        <f t="shared" ca="1" si="9"/>
        <v>0</v>
      </c>
      <c r="FC31" s="244">
        <f t="shared" ca="1" si="9"/>
        <v>0</v>
      </c>
      <c r="FD31" s="244">
        <f t="shared" ca="1" si="9"/>
        <v>6384.11</v>
      </c>
      <c r="FE31" s="244">
        <f t="shared" ca="1" si="9"/>
        <v>0</v>
      </c>
      <c r="FF31" s="244">
        <f t="shared" ca="1" si="9"/>
        <v>1563.96</v>
      </c>
      <c r="FG31" s="244">
        <f t="shared" ca="1" si="9"/>
        <v>0</v>
      </c>
      <c r="FH31" s="244">
        <f t="shared" ca="1" si="9"/>
        <v>0</v>
      </c>
      <c r="FI31" s="244">
        <f t="shared" ca="1" si="9"/>
        <v>150</v>
      </c>
      <c r="FJ31" s="244">
        <f t="shared" ca="1" si="9"/>
        <v>0</v>
      </c>
      <c r="FK31" s="244">
        <f t="shared" ca="1" si="9"/>
        <v>0</v>
      </c>
      <c r="FL31" s="244">
        <f t="shared" ca="1" si="9"/>
        <v>1968</v>
      </c>
      <c r="FM31" s="244">
        <f t="shared" ca="1" si="10"/>
        <v>0</v>
      </c>
      <c r="FN31" s="244"/>
    </row>
    <row r="32" spans="5:170" x14ac:dyDescent="0.25">
      <c r="E32" s="244"/>
      <c r="F32" s="239"/>
      <c r="G32" s="239"/>
      <c r="L32">
        <f t="shared" si="37"/>
        <v>32</v>
      </c>
      <c r="M32" s="112" t="e">
        <f t="shared" ca="1" si="11"/>
        <v>#N/A</v>
      </c>
      <c r="N32" s="112">
        <f ca="1">IF(Foglio7!GE52="",100000,Foglio7!GE52)</f>
        <v>39114</v>
      </c>
      <c r="O32" s="112"/>
      <c r="P32" s="238">
        <f t="shared" ca="1" si="12"/>
        <v>22</v>
      </c>
      <c r="Q32" s="238">
        <f t="shared" si="13"/>
        <v>32</v>
      </c>
      <c r="R32" s="112">
        <f t="shared" si="14"/>
        <v>0</v>
      </c>
      <c r="S32" s="238" t="e">
        <f t="shared" ca="1" si="46"/>
        <v>#N/A</v>
      </c>
      <c r="T32" s="112" t="e">
        <f t="shared" ca="1" si="47"/>
        <v>#N/A</v>
      </c>
      <c r="U32" s="112" t="e">
        <f t="shared" ca="1" si="48"/>
        <v>#N/A</v>
      </c>
      <c r="V32" s="112" t="e">
        <f t="shared" ca="1" si="49"/>
        <v>#N/A</v>
      </c>
      <c r="W32" s="112" t="e">
        <f t="shared" ca="1" si="50"/>
        <v>#N/A</v>
      </c>
      <c r="X32" s="112">
        <f t="shared" si="15"/>
        <v>0</v>
      </c>
      <c r="Y32" s="112"/>
      <c r="Z32" s="112"/>
      <c r="AA32" s="112">
        <f t="shared" si="16"/>
        <v>100000</v>
      </c>
      <c r="AB32" s="112" t="e">
        <f t="shared" ca="1" si="17"/>
        <v>#N/A</v>
      </c>
      <c r="AC32" s="112" t="e">
        <f t="shared" ca="1" si="18"/>
        <v>#N/A</v>
      </c>
      <c r="AD32" s="112" t="e">
        <f t="shared" ca="1" si="19"/>
        <v>#N/A</v>
      </c>
      <c r="AE32" s="112" t="e">
        <f t="shared" ca="1" si="20"/>
        <v>#N/A</v>
      </c>
      <c r="AF32" s="112">
        <f t="shared" si="21"/>
        <v>100000</v>
      </c>
      <c r="AG32" s="238">
        <f>AG31</f>
        <v>22</v>
      </c>
      <c r="AH32" s="112">
        <f ca="1">AI31+1</f>
        <v>37865</v>
      </c>
      <c r="AI32" s="112">
        <f ca="1">IF(INDIRECT(CONCATENATE("AD",AG30))&lt;100000,INDIRECT(CONCATENATE("AD",AG30))-1,IF(INDIRECT(CONCATENATE("AE",AG30))&lt;100000,INDIRECT(CONCATENATE("AE",G30)),INDIRECT(CONCATENATE("AF",AG30))))</f>
        <v>37864</v>
      </c>
      <c r="AJ32" s="114"/>
      <c r="AK32" s="114"/>
      <c r="AL32" s="238">
        <f t="shared" ca="1" si="38"/>
        <v>0</v>
      </c>
      <c r="AM32" s="112">
        <f t="shared" ca="1" si="22"/>
        <v>100000</v>
      </c>
      <c r="AN32" s="112">
        <f t="shared" ca="1" si="39"/>
        <v>100000</v>
      </c>
      <c r="AO32" s="114">
        <f t="shared" ca="1" si="23"/>
        <v>2</v>
      </c>
      <c r="AP32" s="114">
        <f t="shared" ca="1" si="24"/>
        <v>18</v>
      </c>
      <c r="AQ32" s="112"/>
      <c r="AR32" s="238">
        <f t="shared" si="40"/>
        <v>32</v>
      </c>
      <c r="AS32" s="112"/>
      <c r="AT32" s="112"/>
      <c r="AU32" s="283">
        <f t="shared" si="41"/>
        <v>13</v>
      </c>
      <c r="AV32" s="284">
        <f t="shared" ca="1" si="25"/>
        <v>100000</v>
      </c>
      <c r="AW32" s="284">
        <f t="shared" ca="1" si="52"/>
        <v>100000</v>
      </c>
      <c r="AX32" s="285">
        <f t="shared" ca="1" si="27"/>
        <v>10</v>
      </c>
      <c r="AY32" s="285">
        <f t="shared" ca="1" si="28"/>
        <v>18</v>
      </c>
      <c r="AZ32" s="284"/>
      <c r="BA32" s="112"/>
      <c r="BB32" s="112">
        <f t="shared" ca="1" si="29"/>
        <v>37864</v>
      </c>
      <c r="BC32" s="114">
        <f t="shared" ca="1" si="30"/>
        <v>0</v>
      </c>
      <c r="BD32" s="114">
        <f t="shared" ca="1" si="42"/>
        <v>16</v>
      </c>
      <c r="BE32" s="112">
        <f t="shared" ca="1" si="31"/>
        <v>100000</v>
      </c>
      <c r="BF32" s="112"/>
      <c r="BG32" s="112"/>
      <c r="BH32" s="238">
        <f t="shared" si="43"/>
        <v>13</v>
      </c>
      <c r="BI32" s="245">
        <f t="shared" si="32"/>
        <v>100000</v>
      </c>
      <c r="BJ32" s="281">
        <f t="shared" ca="1" si="1"/>
        <v>16</v>
      </c>
      <c r="BK32" s="245" t="e">
        <f t="shared" ca="1" si="33"/>
        <v>#N/A</v>
      </c>
      <c r="BL32" s="245" t="e">
        <f t="shared" ca="1" si="34"/>
        <v>#N/A</v>
      </c>
      <c r="BM32" s="245"/>
      <c r="BN32" s="245" t="e">
        <f t="shared" ca="1" si="51"/>
        <v>#N/A</v>
      </c>
      <c r="BQ32" s="245"/>
      <c r="BR32" s="245"/>
      <c r="BS32" s="245"/>
      <c r="BT32" s="245"/>
      <c r="BU32" s="245"/>
      <c r="BV32" s="245"/>
      <c r="BY32" s="245"/>
      <c r="BZ32" s="245"/>
      <c r="CA32" s="245"/>
      <c r="CB32" s="245"/>
      <c r="CC32" s="245"/>
      <c r="CD32" s="245"/>
      <c r="CE32" s="245"/>
      <c r="CF32" s="245"/>
      <c r="CG32" s="245"/>
      <c r="CH32" s="245"/>
      <c r="CL32" s="112"/>
      <c r="CM32" s="112"/>
      <c r="CP32" s="112"/>
      <c r="CQ32" s="112"/>
      <c r="CR32" s="238"/>
      <c r="CS32" s="238"/>
      <c r="CT32" s="112"/>
      <c r="CU32" s="112"/>
      <c r="CV32" s="112"/>
      <c r="CW32" s="112" t="s">
        <v>224</v>
      </c>
      <c r="CX32" s="112" t="s">
        <v>225</v>
      </c>
      <c r="CY32" s="112" t="s">
        <v>226</v>
      </c>
      <c r="CZ32" s="112" t="s">
        <v>227</v>
      </c>
      <c r="DA32" s="112" t="s">
        <v>228</v>
      </c>
      <c r="DB32" s="112" t="s">
        <v>229</v>
      </c>
      <c r="DC32" s="112"/>
      <c r="DD32" s="238"/>
      <c r="DE32" s="112"/>
      <c r="DF32" s="112"/>
      <c r="DG32" s="112"/>
      <c r="DH32" s="238"/>
      <c r="DI32" s="112"/>
      <c r="DJ32" s="112"/>
      <c r="DK32" s="112"/>
      <c r="DL32" s="278" t="str">
        <f t="shared" ca="1" si="44"/>
        <v/>
      </c>
      <c r="DM32" s="245" t="str">
        <f t="shared" ref="DM32:DQ82" ca="1" si="53">IF(DL32="","",   AV32)</f>
        <v/>
      </c>
      <c r="DN32" s="245" t="str">
        <f t="shared" ca="1" si="53"/>
        <v/>
      </c>
      <c r="DO32" s="245" t="str">
        <f t="shared" ca="1" si="53"/>
        <v/>
      </c>
      <c r="DP32" s="245" t="str">
        <f t="shared" ca="1" si="53"/>
        <v/>
      </c>
      <c r="DQ32" s="245" t="str">
        <f t="shared" ca="1" si="53"/>
        <v/>
      </c>
      <c r="DR32" s="244"/>
      <c r="DS32" s="245" t="str">
        <f t="shared" ref="DS32:DU95" si="54">IF(DR32="","",   BB32)</f>
        <v/>
      </c>
      <c r="DT32" s="245" t="str">
        <f t="shared" si="54"/>
        <v/>
      </c>
      <c r="DU32" s="245" t="str">
        <f t="shared" si="54"/>
        <v/>
      </c>
      <c r="DV32" s="244" t="str">
        <f t="shared" ca="1" si="7"/>
        <v/>
      </c>
      <c r="DW32" s="244"/>
      <c r="DX32" s="244" t="str">
        <f t="shared" ca="1" si="45"/>
        <v/>
      </c>
      <c r="EA32" s="244" t="b">
        <f t="shared" ca="1" si="35"/>
        <v>0</v>
      </c>
      <c r="EB32" s="278" t="e">
        <f ca="1">VLOOKUP(DM32,Foglio1!$AB$31:$AN$261,13)-6+EA32</f>
        <v>#N/A</v>
      </c>
      <c r="EC32" s="244"/>
      <c r="ED32" s="244" t="e">
        <f t="shared" ca="1" si="8"/>
        <v>#N/A</v>
      </c>
      <c r="EE32" s="244" t="e">
        <f t="shared" ca="1" si="8"/>
        <v>#N/A</v>
      </c>
      <c r="EF32" s="244" t="e">
        <f t="shared" ca="1" si="8"/>
        <v>#N/A</v>
      </c>
      <c r="EG32" s="244" t="e">
        <f t="shared" ca="1" si="8"/>
        <v>#N/A</v>
      </c>
      <c r="EH32" s="244" t="e">
        <f t="shared" ca="1" si="8"/>
        <v>#N/A</v>
      </c>
      <c r="EI32" s="244" t="e">
        <f t="shared" ca="1" si="8"/>
        <v>#N/A</v>
      </c>
      <c r="EJ32" s="244" t="e">
        <f t="shared" ca="1" si="8"/>
        <v>#N/A</v>
      </c>
      <c r="EK32" s="244" t="e">
        <f t="shared" ca="1" si="8"/>
        <v>#N/A</v>
      </c>
      <c r="EL32" s="244" t="e">
        <f t="shared" ca="1" si="8"/>
        <v>#N/A</v>
      </c>
      <c r="EM32" s="244" t="e">
        <f t="shared" ca="1" si="8"/>
        <v>#N/A</v>
      </c>
      <c r="EN32" s="244" t="e">
        <f t="shared" ca="1" si="8"/>
        <v>#N/A</v>
      </c>
      <c r="EO32" s="244" t="e">
        <f t="shared" ca="1" si="8"/>
        <v>#N/A</v>
      </c>
      <c r="EP32" s="244" t="e">
        <f t="shared" ca="1" si="8"/>
        <v>#N/A</v>
      </c>
      <c r="EQ32" s="244" t="e">
        <f t="shared" ca="1" si="8"/>
        <v>#N/A</v>
      </c>
      <c r="ER32" s="244"/>
      <c r="EW32" s="244">
        <v>0</v>
      </c>
      <c r="EX32" s="278" t="e">
        <f ca="1">VLOOKUP(DM32,Foglio1!$AB$31:$AN$261,13)-6+EW32</f>
        <v>#N/A</v>
      </c>
      <c r="EY32" s="244"/>
      <c r="EZ32" s="244" t="e">
        <f t="shared" ca="1" si="36"/>
        <v>#N/A</v>
      </c>
      <c r="FA32" s="244" t="e">
        <f t="shared" ca="1" si="9"/>
        <v>#N/A</v>
      </c>
      <c r="FB32" s="244" t="e">
        <f t="shared" ca="1" si="9"/>
        <v>#N/A</v>
      </c>
      <c r="FC32" s="244" t="e">
        <f t="shared" ca="1" si="9"/>
        <v>#N/A</v>
      </c>
      <c r="FD32" s="244" t="e">
        <f t="shared" ca="1" si="9"/>
        <v>#N/A</v>
      </c>
      <c r="FE32" s="244" t="e">
        <f t="shared" ca="1" si="9"/>
        <v>#N/A</v>
      </c>
      <c r="FF32" s="244" t="e">
        <f t="shared" ca="1" si="9"/>
        <v>#N/A</v>
      </c>
      <c r="FG32" s="244" t="e">
        <f t="shared" ca="1" si="9"/>
        <v>#N/A</v>
      </c>
      <c r="FH32" s="244" t="e">
        <f t="shared" ca="1" si="9"/>
        <v>#N/A</v>
      </c>
      <c r="FI32" s="244" t="e">
        <f t="shared" ca="1" si="9"/>
        <v>#N/A</v>
      </c>
      <c r="FJ32" s="244" t="e">
        <f t="shared" ca="1" si="9"/>
        <v>#N/A</v>
      </c>
      <c r="FK32" s="244" t="e">
        <f t="shared" ca="1" si="9"/>
        <v>#N/A</v>
      </c>
      <c r="FL32" s="244" t="e">
        <f t="shared" ca="1" si="9"/>
        <v>#N/A</v>
      </c>
      <c r="FM32" s="244" t="e">
        <f t="shared" ca="1" si="10"/>
        <v>#N/A</v>
      </c>
      <c r="FN32" s="244"/>
    </row>
    <row r="33" spans="5:170" x14ac:dyDescent="0.25">
      <c r="E33" s="244"/>
      <c r="F33" s="239"/>
      <c r="G33" s="239"/>
      <c r="L33">
        <f t="shared" si="37"/>
        <v>33</v>
      </c>
      <c r="M33" s="112" t="e">
        <f t="shared" ca="1" si="11"/>
        <v>#N/A</v>
      </c>
      <c r="N33" s="112">
        <f ca="1">IF(Foglio7!GE53="",100000,Foglio7!GE53)</f>
        <v>39264</v>
      </c>
      <c r="O33" s="112"/>
      <c r="P33" s="238">
        <f t="shared" ca="1" si="12"/>
        <v>22</v>
      </c>
      <c r="Q33" s="238">
        <f t="shared" si="13"/>
        <v>33</v>
      </c>
      <c r="R33" s="112">
        <f t="shared" si="14"/>
        <v>0</v>
      </c>
      <c r="S33" s="238" t="e">
        <f t="shared" ca="1" si="46"/>
        <v>#N/A</v>
      </c>
      <c r="T33" s="112" t="e">
        <f t="shared" ca="1" si="47"/>
        <v>#N/A</v>
      </c>
      <c r="U33" s="112" t="e">
        <f t="shared" ca="1" si="48"/>
        <v>#N/A</v>
      </c>
      <c r="V33" s="112" t="e">
        <f t="shared" ca="1" si="49"/>
        <v>#N/A</v>
      </c>
      <c r="W33" s="112" t="e">
        <f t="shared" ca="1" si="50"/>
        <v>#N/A</v>
      </c>
      <c r="X33" s="112">
        <f t="shared" si="15"/>
        <v>0</v>
      </c>
      <c r="Y33" s="112"/>
      <c r="Z33" s="112"/>
      <c r="AA33" s="112">
        <f t="shared" si="16"/>
        <v>100000</v>
      </c>
      <c r="AB33" s="112" t="e">
        <f t="shared" ca="1" si="17"/>
        <v>#N/A</v>
      </c>
      <c r="AC33" s="112" t="e">
        <f t="shared" ca="1" si="18"/>
        <v>#N/A</v>
      </c>
      <c r="AD33" s="112" t="e">
        <f t="shared" ca="1" si="19"/>
        <v>#N/A</v>
      </c>
      <c r="AE33" s="112" t="e">
        <f t="shared" ca="1" si="20"/>
        <v>#N/A</v>
      </c>
      <c r="AF33" s="112">
        <f t="shared" si="21"/>
        <v>100000</v>
      </c>
      <c r="AG33" s="238">
        <f>AG32</f>
        <v>22</v>
      </c>
      <c r="AH33" s="112">
        <f ca="1">AI32+1</f>
        <v>37865</v>
      </c>
      <c r="AI33" s="112">
        <f ca="1">IF(INDIRECT(CONCATENATE("AE",AG30))&lt;100000,INDIRECT(CONCATENATE("AE",G30)),INDIRECT(CONCATENATE("AF",AG30)))</f>
        <v>37864</v>
      </c>
      <c r="AJ33" s="114"/>
      <c r="AK33" s="114"/>
      <c r="AL33" s="238">
        <f t="shared" ca="1" si="38"/>
        <v>0</v>
      </c>
      <c r="AM33" s="112">
        <f t="shared" ca="1" si="22"/>
        <v>100000</v>
      </c>
      <c r="AN33" s="112">
        <f t="shared" ca="1" si="39"/>
        <v>100000</v>
      </c>
      <c r="AO33" s="114">
        <f t="shared" ca="1" si="23"/>
        <v>2</v>
      </c>
      <c r="AP33" s="114">
        <f t="shared" ca="1" si="24"/>
        <v>18</v>
      </c>
      <c r="AQ33" s="112"/>
      <c r="AR33" s="238">
        <f t="shared" si="40"/>
        <v>33</v>
      </c>
      <c r="AS33" s="112"/>
      <c r="AT33" s="112"/>
      <c r="AU33" s="283">
        <f t="shared" si="41"/>
        <v>14</v>
      </c>
      <c r="AV33" s="284">
        <f t="shared" ca="1" si="25"/>
        <v>100000</v>
      </c>
      <c r="AW33" s="284">
        <f t="shared" ca="1" si="52"/>
        <v>100000</v>
      </c>
      <c r="AX33" s="285">
        <f t="shared" ca="1" si="27"/>
        <v>0</v>
      </c>
      <c r="AY33" s="285">
        <f t="shared" ca="1" si="28"/>
        <v>18</v>
      </c>
      <c r="AZ33" s="284"/>
      <c r="BA33" s="112"/>
      <c r="BB33" s="112">
        <f t="shared" ca="1" si="29"/>
        <v>37864</v>
      </c>
      <c r="BC33" s="114">
        <f t="shared" ca="1" si="30"/>
        <v>0</v>
      </c>
      <c r="BD33" s="114">
        <f t="shared" ca="1" si="42"/>
        <v>16</v>
      </c>
      <c r="BE33" s="112">
        <f t="shared" ca="1" si="31"/>
        <v>100000</v>
      </c>
      <c r="BF33" s="112"/>
      <c r="BG33" s="112"/>
      <c r="BH33" s="238">
        <f t="shared" si="43"/>
        <v>14</v>
      </c>
      <c r="BI33" s="245">
        <f t="shared" si="32"/>
        <v>100000</v>
      </c>
      <c r="BJ33" s="281">
        <f t="shared" ca="1" si="1"/>
        <v>16</v>
      </c>
      <c r="BK33" s="245" t="e">
        <f t="shared" ca="1" si="33"/>
        <v>#N/A</v>
      </c>
      <c r="BL33" s="245" t="e">
        <f t="shared" ca="1" si="34"/>
        <v>#N/A</v>
      </c>
      <c r="BM33" s="245"/>
      <c r="BN33" s="245" t="e">
        <f t="shared" ca="1" si="51"/>
        <v>#N/A</v>
      </c>
      <c r="BQ33" s="245"/>
      <c r="BR33" s="245"/>
      <c r="BS33" s="245"/>
      <c r="BT33" s="245"/>
      <c r="BU33" s="245"/>
      <c r="BV33" s="245"/>
      <c r="BY33" s="245"/>
      <c r="BZ33" s="245"/>
      <c r="CA33" s="245"/>
      <c r="CB33" s="245"/>
      <c r="CC33" s="245"/>
      <c r="CD33" s="245"/>
      <c r="CE33" s="245"/>
      <c r="CF33" s="245"/>
      <c r="CG33" s="245"/>
      <c r="CH33" s="245"/>
      <c r="CL33" s="112"/>
      <c r="CM33" s="112"/>
      <c r="CP33" s="112"/>
      <c r="CQ33" s="112"/>
      <c r="CR33" s="238"/>
      <c r="CS33" s="238"/>
      <c r="CT33" s="112"/>
      <c r="CU33" s="112"/>
      <c r="CV33" s="112"/>
      <c r="CW33" s="112" t="s">
        <v>224</v>
      </c>
      <c r="CX33" s="112" t="s">
        <v>225</v>
      </c>
      <c r="CY33" s="112" t="s">
        <v>226</v>
      </c>
      <c r="CZ33" s="112" t="s">
        <v>227</v>
      </c>
      <c r="DA33" s="112" t="s">
        <v>228</v>
      </c>
      <c r="DB33" s="112" t="s">
        <v>229</v>
      </c>
      <c r="DC33" s="112"/>
      <c r="DD33" s="238"/>
      <c r="DE33" s="112"/>
      <c r="DF33" s="112"/>
      <c r="DG33" s="112"/>
      <c r="DH33" s="238"/>
      <c r="DI33" s="112"/>
      <c r="DJ33" s="112"/>
      <c r="DK33" s="112"/>
      <c r="DL33" s="278" t="str">
        <f t="shared" ca="1" si="44"/>
        <v/>
      </c>
      <c r="DM33" s="245" t="str">
        <f t="shared" ca="1" si="53"/>
        <v/>
      </c>
      <c r="DN33" s="245" t="str">
        <f t="shared" ca="1" si="53"/>
        <v/>
      </c>
      <c r="DO33" s="245" t="str">
        <f t="shared" ca="1" si="53"/>
        <v/>
      </c>
      <c r="DP33" s="245" t="str">
        <f t="shared" ca="1" si="53"/>
        <v/>
      </c>
      <c r="DQ33" s="245" t="str">
        <f t="shared" ca="1" si="53"/>
        <v/>
      </c>
      <c r="DR33" s="244"/>
      <c r="DS33" s="245" t="str">
        <f t="shared" si="54"/>
        <v/>
      </c>
      <c r="DT33" s="245" t="str">
        <f t="shared" si="54"/>
        <v/>
      </c>
      <c r="DU33" s="245" t="str">
        <f t="shared" si="54"/>
        <v/>
      </c>
      <c r="DV33" s="244" t="str">
        <f t="shared" ca="1" si="7"/>
        <v/>
      </c>
      <c r="DW33" s="244"/>
      <c r="DX33" s="244" t="str">
        <f t="shared" ca="1" si="45"/>
        <v/>
      </c>
      <c r="EA33" s="244" t="b">
        <f t="shared" ca="1" si="35"/>
        <v>0</v>
      </c>
      <c r="EB33" s="278" t="e">
        <f ca="1">VLOOKUP(DM33,Foglio1!$AB$31:$AN$261,13)-6+EA33</f>
        <v>#N/A</v>
      </c>
      <c r="EC33" s="244"/>
      <c r="ED33" s="244" t="e">
        <f t="shared" ca="1" si="8"/>
        <v>#N/A</v>
      </c>
      <c r="EE33" s="244" t="e">
        <f t="shared" ca="1" si="8"/>
        <v>#N/A</v>
      </c>
      <c r="EF33" s="244" t="e">
        <f t="shared" ca="1" si="8"/>
        <v>#N/A</v>
      </c>
      <c r="EG33" s="244" t="e">
        <f t="shared" ca="1" si="8"/>
        <v>#N/A</v>
      </c>
      <c r="EH33" s="244" t="e">
        <f t="shared" ca="1" si="8"/>
        <v>#N/A</v>
      </c>
      <c r="EI33" s="244" t="e">
        <f t="shared" ca="1" si="8"/>
        <v>#N/A</v>
      </c>
      <c r="EJ33" s="244" t="e">
        <f t="shared" ca="1" si="8"/>
        <v>#N/A</v>
      </c>
      <c r="EK33" s="244" t="e">
        <f t="shared" ca="1" si="8"/>
        <v>#N/A</v>
      </c>
      <c r="EL33" s="244" t="e">
        <f t="shared" ca="1" si="8"/>
        <v>#N/A</v>
      </c>
      <c r="EM33" s="244" t="e">
        <f t="shared" ca="1" si="8"/>
        <v>#N/A</v>
      </c>
      <c r="EN33" s="244" t="e">
        <f t="shared" ca="1" si="8"/>
        <v>#N/A</v>
      </c>
      <c r="EO33" s="244" t="e">
        <f t="shared" ca="1" si="8"/>
        <v>#N/A</v>
      </c>
      <c r="EP33" s="244" t="e">
        <f t="shared" ca="1" si="8"/>
        <v>#N/A</v>
      </c>
      <c r="EQ33" s="244" t="e">
        <f t="shared" ca="1" si="8"/>
        <v>#N/A</v>
      </c>
      <c r="ER33" s="244"/>
      <c r="EW33" s="244">
        <v>0</v>
      </c>
      <c r="EX33" s="278" t="e">
        <f ca="1">VLOOKUP(DM33,Foglio1!$AB$31:$AN$261,13)-6+EW33</f>
        <v>#N/A</v>
      </c>
      <c r="EY33" s="244"/>
      <c r="EZ33" s="244" t="e">
        <f t="shared" ca="1" si="36"/>
        <v>#N/A</v>
      </c>
      <c r="FA33" s="244" t="e">
        <f t="shared" ca="1" si="9"/>
        <v>#N/A</v>
      </c>
      <c r="FB33" s="244" t="e">
        <f t="shared" ca="1" si="9"/>
        <v>#N/A</v>
      </c>
      <c r="FC33" s="244" t="e">
        <f t="shared" ca="1" si="9"/>
        <v>#N/A</v>
      </c>
      <c r="FD33" s="244" t="e">
        <f t="shared" ca="1" si="9"/>
        <v>#N/A</v>
      </c>
      <c r="FE33" s="244" t="e">
        <f t="shared" ca="1" si="9"/>
        <v>#N/A</v>
      </c>
      <c r="FF33" s="244" t="e">
        <f t="shared" ca="1" si="9"/>
        <v>#N/A</v>
      </c>
      <c r="FG33" s="244" t="e">
        <f t="shared" ca="1" si="9"/>
        <v>#N/A</v>
      </c>
      <c r="FH33" s="244" t="e">
        <f t="shared" ca="1" si="9"/>
        <v>#N/A</v>
      </c>
      <c r="FI33" s="244" t="e">
        <f t="shared" ca="1" si="9"/>
        <v>#N/A</v>
      </c>
      <c r="FJ33" s="244" t="e">
        <f t="shared" ca="1" si="9"/>
        <v>#N/A</v>
      </c>
      <c r="FK33" s="244" t="e">
        <f t="shared" ca="1" si="9"/>
        <v>#N/A</v>
      </c>
      <c r="FL33" s="244" t="e">
        <f t="shared" ca="1" si="9"/>
        <v>#N/A</v>
      </c>
      <c r="FM33" s="244" t="e">
        <f t="shared" ca="1" si="10"/>
        <v>#N/A</v>
      </c>
      <c r="FN33" s="244"/>
    </row>
    <row r="34" spans="5:170" x14ac:dyDescent="0.25">
      <c r="E34" s="244"/>
      <c r="F34" s="239"/>
      <c r="G34" s="239"/>
      <c r="L34">
        <f t="shared" si="37"/>
        <v>34</v>
      </c>
      <c r="M34" s="112" t="e">
        <f t="shared" ca="1" si="11"/>
        <v>#N/A</v>
      </c>
      <c r="N34" s="112">
        <f ca="1">IF(Foglio7!GE54="",100000,Foglio7!GE54)</f>
        <v>39447</v>
      </c>
      <c r="O34" s="112"/>
      <c r="P34" s="238">
        <f t="shared" ca="1" si="12"/>
        <v>23</v>
      </c>
      <c r="Q34" s="238">
        <f t="shared" si="13"/>
        <v>34</v>
      </c>
      <c r="R34" s="112">
        <f t="shared" si="14"/>
        <v>0</v>
      </c>
      <c r="S34" s="238" t="e">
        <f t="shared" ca="1" si="46"/>
        <v>#N/A</v>
      </c>
      <c r="T34" s="112" t="e">
        <f t="shared" ca="1" si="47"/>
        <v>#N/A</v>
      </c>
      <c r="U34" s="112" t="e">
        <f t="shared" ca="1" si="48"/>
        <v>#N/A</v>
      </c>
      <c r="V34" s="112" t="e">
        <f t="shared" ca="1" si="49"/>
        <v>#N/A</v>
      </c>
      <c r="W34" s="112" t="e">
        <f t="shared" ca="1" si="50"/>
        <v>#N/A</v>
      </c>
      <c r="X34" s="112">
        <f t="shared" si="15"/>
        <v>0</v>
      </c>
      <c r="Y34" s="112"/>
      <c r="Z34" s="112"/>
      <c r="AA34" s="112">
        <f t="shared" si="16"/>
        <v>100000</v>
      </c>
      <c r="AB34" s="112" t="e">
        <f t="shared" ca="1" si="17"/>
        <v>#N/A</v>
      </c>
      <c r="AC34" s="112" t="e">
        <f t="shared" ca="1" si="18"/>
        <v>#N/A</v>
      </c>
      <c r="AD34" s="112" t="e">
        <f t="shared" ca="1" si="19"/>
        <v>#N/A</v>
      </c>
      <c r="AE34" s="112" t="e">
        <f t="shared" ca="1" si="20"/>
        <v>#N/A</v>
      </c>
      <c r="AF34" s="112">
        <f t="shared" si="21"/>
        <v>100000</v>
      </c>
      <c r="AG34" s="238">
        <f>AG33</f>
        <v>22</v>
      </c>
      <c r="AH34" s="112">
        <f ca="1">AI33+1</f>
        <v>37865</v>
      </c>
      <c r="AI34" s="112">
        <f ca="1">INDIRECT(CONCATENATE("AF",AG30))</f>
        <v>37864</v>
      </c>
      <c r="AJ34" s="114"/>
      <c r="AK34" s="114"/>
      <c r="AL34" s="238">
        <f t="shared" ca="1" si="38"/>
        <v>0</v>
      </c>
      <c r="AM34" s="112">
        <f t="shared" ca="1" si="22"/>
        <v>100000</v>
      </c>
      <c r="AN34" s="112">
        <f t="shared" ca="1" si="39"/>
        <v>100000</v>
      </c>
      <c r="AO34" s="114">
        <f t="shared" ca="1" si="23"/>
        <v>2</v>
      </c>
      <c r="AP34" s="114">
        <f t="shared" ca="1" si="24"/>
        <v>18</v>
      </c>
      <c r="AQ34" s="112"/>
      <c r="AR34" s="238">
        <f t="shared" si="40"/>
        <v>34</v>
      </c>
      <c r="AS34" s="112"/>
      <c r="AT34" s="112"/>
      <c r="AU34" s="283">
        <f t="shared" si="41"/>
        <v>15</v>
      </c>
      <c r="AV34" s="284">
        <f t="shared" ca="1" si="25"/>
        <v>100000</v>
      </c>
      <c r="AW34" s="284">
        <f t="shared" ca="1" si="52"/>
        <v>100000</v>
      </c>
      <c r="AX34" s="285">
        <f t="shared" ca="1" si="27"/>
        <v>0</v>
      </c>
      <c r="AY34" s="285">
        <f t="shared" ca="1" si="28"/>
        <v>18</v>
      </c>
      <c r="AZ34" s="284"/>
      <c r="BA34" s="112"/>
      <c r="BB34" s="112">
        <f t="shared" ca="1" si="29"/>
        <v>39692</v>
      </c>
      <c r="BC34" s="114">
        <f t="shared" ca="1" si="30"/>
        <v>1</v>
      </c>
      <c r="BD34" s="114">
        <f t="shared" ca="1" si="42"/>
        <v>16</v>
      </c>
      <c r="BE34" s="112">
        <f t="shared" ca="1" si="31"/>
        <v>39447</v>
      </c>
      <c r="BF34" s="112"/>
      <c r="BG34" s="112"/>
      <c r="BH34" s="238">
        <f t="shared" si="43"/>
        <v>15</v>
      </c>
      <c r="BI34" s="245">
        <f t="shared" si="32"/>
        <v>100000</v>
      </c>
      <c r="BJ34" s="281">
        <f t="shared" ca="1" si="1"/>
        <v>16</v>
      </c>
      <c r="BK34" s="245" t="e">
        <f t="shared" ca="1" si="33"/>
        <v>#N/A</v>
      </c>
      <c r="BL34" s="245" t="e">
        <f t="shared" ca="1" si="34"/>
        <v>#N/A</v>
      </c>
      <c r="BM34" s="245"/>
      <c r="BN34" s="245" t="e">
        <f t="shared" ca="1" si="51"/>
        <v>#N/A</v>
      </c>
      <c r="BQ34" s="245"/>
      <c r="BR34" s="245"/>
      <c r="BS34" s="245"/>
      <c r="BT34" s="245"/>
      <c r="BU34" s="245"/>
      <c r="BV34" s="245"/>
      <c r="BY34" s="245"/>
      <c r="BZ34" s="245"/>
      <c r="CA34" s="245"/>
      <c r="CB34" s="245"/>
      <c r="CC34" s="245"/>
      <c r="CD34" s="245"/>
      <c r="CE34" s="245"/>
      <c r="CF34" s="245"/>
      <c r="CG34" s="245"/>
      <c r="CH34" s="245"/>
      <c r="CL34" s="112"/>
      <c r="CM34" s="112"/>
      <c r="CP34" s="112"/>
      <c r="CQ34" s="112"/>
      <c r="CR34" s="238"/>
      <c r="CS34" s="238"/>
      <c r="CT34" s="112"/>
      <c r="CU34" s="112"/>
      <c r="CV34" s="112"/>
      <c r="CW34" s="112" t="s">
        <v>224</v>
      </c>
      <c r="CX34" s="112" t="s">
        <v>225</v>
      </c>
      <c r="CY34" s="112" t="s">
        <v>226</v>
      </c>
      <c r="CZ34" s="112" t="s">
        <v>227</v>
      </c>
      <c r="DA34" s="112" t="s">
        <v>228</v>
      </c>
      <c r="DB34" s="112" t="s">
        <v>229</v>
      </c>
      <c r="DC34" s="112"/>
      <c r="DD34" s="238"/>
      <c r="DE34" s="112"/>
      <c r="DF34" s="112"/>
      <c r="DG34" s="112"/>
      <c r="DH34" s="238"/>
      <c r="DI34" s="112"/>
      <c r="DJ34" s="112"/>
      <c r="DK34" s="112"/>
      <c r="DL34" s="278" t="str">
        <f t="shared" ca="1" si="44"/>
        <v/>
      </c>
      <c r="DM34" s="245" t="str">
        <f t="shared" ca="1" si="53"/>
        <v/>
      </c>
      <c r="DN34" s="245" t="str">
        <f t="shared" ca="1" si="53"/>
        <v/>
      </c>
      <c r="DO34" s="245" t="str">
        <f t="shared" ca="1" si="53"/>
        <v/>
      </c>
      <c r="DP34" s="245" t="str">
        <f t="shared" ca="1" si="53"/>
        <v/>
      </c>
      <c r="DQ34" s="245" t="str">
        <f t="shared" ca="1" si="53"/>
        <v/>
      </c>
      <c r="DR34" s="244"/>
      <c r="DS34" s="245" t="str">
        <f t="shared" si="54"/>
        <v/>
      </c>
      <c r="DT34" s="245" t="str">
        <f t="shared" si="54"/>
        <v/>
      </c>
      <c r="DU34" s="245" t="str">
        <f t="shared" si="54"/>
        <v/>
      </c>
      <c r="DV34" s="244" t="str">
        <f t="shared" ca="1" si="7"/>
        <v/>
      </c>
      <c r="DW34" s="244"/>
      <c r="DX34" s="244" t="str">
        <f t="shared" ca="1" si="45"/>
        <v/>
      </c>
      <c r="EA34" s="244" t="b">
        <f t="shared" ca="1" si="35"/>
        <v>0</v>
      </c>
      <c r="EB34" s="278" t="e">
        <f ca="1">VLOOKUP(DM34,Foglio1!$AB$31:$AN$261,13)-6+EA34</f>
        <v>#N/A</v>
      </c>
      <c r="EC34" s="244"/>
      <c r="ED34" s="244" t="e">
        <f t="shared" ca="1" si="8"/>
        <v>#N/A</v>
      </c>
      <c r="EE34" s="244" t="e">
        <f t="shared" ca="1" si="8"/>
        <v>#N/A</v>
      </c>
      <c r="EF34" s="244" t="e">
        <f t="shared" ca="1" si="8"/>
        <v>#N/A</v>
      </c>
      <c r="EG34" s="244" t="e">
        <f t="shared" ca="1" si="8"/>
        <v>#N/A</v>
      </c>
      <c r="EH34" s="244" t="e">
        <f t="shared" ca="1" si="8"/>
        <v>#N/A</v>
      </c>
      <c r="EI34" s="244" t="e">
        <f t="shared" ca="1" si="8"/>
        <v>#N/A</v>
      </c>
      <c r="EJ34" s="244" t="e">
        <f t="shared" ca="1" si="8"/>
        <v>#N/A</v>
      </c>
      <c r="EK34" s="244" t="e">
        <f t="shared" ca="1" si="8"/>
        <v>#N/A</v>
      </c>
      <c r="EL34" s="244" t="e">
        <f t="shared" ca="1" si="8"/>
        <v>#N/A</v>
      </c>
      <c r="EM34" s="244" t="e">
        <f t="shared" ca="1" si="8"/>
        <v>#N/A</v>
      </c>
      <c r="EN34" s="244" t="e">
        <f t="shared" ca="1" si="8"/>
        <v>#N/A</v>
      </c>
      <c r="EO34" s="244" t="e">
        <f t="shared" ca="1" si="8"/>
        <v>#N/A</v>
      </c>
      <c r="EP34" s="244" t="e">
        <f t="shared" ca="1" si="8"/>
        <v>#N/A</v>
      </c>
      <c r="EQ34" s="244" t="e">
        <f t="shared" ca="1" si="8"/>
        <v>#N/A</v>
      </c>
      <c r="ER34" s="244"/>
      <c r="EW34" s="244">
        <v>0</v>
      </c>
      <c r="EX34" s="278" t="e">
        <f ca="1">VLOOKUP(DM34,Foglio1!$AB$31:$AN$261,13)-6+EW34</f>
        <v>#N/A</v>
      </c>
      <c r="EY34" s="244"/>
      <c r="EZ34" s="244" t="e">
        <f t="shared" ca="1" si="36"/>
        <v>#N/A</v>
      </c>
      <c r="FA34" s="244" t="e">
        <f t="shared" ca="1" si="9"/>
        <v>#N/A</v>
      </c>
      <c r="FB34" s="244" t="e">
        <f t="shared" ca="1" si="9"/>
        <v>#N/A</v>
      </c>
      <c r="FC34" s="244" t="e">
        <f t="shared" ca="1" si="9"/>
        <v>#N/A</v>
      </c>
      <c r="FD34" s="244" t="e">
        <f t="shared" ca="1" si="9"/>
        <v>#N/A</v>
      </c>
      <c r="FE34" s="244" t="e">
        <f t="shared" ca="1" si="9"/>
        <v>#N/A</v>
      </c>
      <c r="FF34" s="244" t="e">
        <f t="shared" ca="1" si="9"/>
        <v>#N/A</v>
      </c>
      <c r="FG34" s="244" t="e">
        <f t="shared" ca="1" si="9"/>
        <v>#N/A</v>
      </c>
      <c r="FH34" s="244" t="e">
        <f t="shared" ca="1" si="9"/>
        <v>#N/A</v>
      </c>
      <c r="FI34" s="244" t="e">
        <f t="shared" ca="1" si="9"/>
        <v>#N/A</v>
      </c>
      <c r="FJ34" s="244" t="e">
        <f t="shared" ca="1" si="9"/>
        <v>#N/A</v>
      </c>
      <c r="FK34" s="244" t="e">
        <f t="shared" ca="1" si="9"/>
        <v>#N/A</v>
      </c>
      <c r="FL34" s="244" t="e">
        <f t="shared" ca="1" si="9"/>
        <v>#N/A</v>
      </c>
      <c r="FM34" s="244" t="e">
        <f t="shared" ca="1" si="10"/>
        <v>#N/A</v>
      </c>
      <c r="FN34" s="244"/>
    </row>
    <row r="35" spans="5:170" x14ac:dyDescent="0.25">
      <c r="E35" s="244"/>
      <c r="F35" s="239"/>
      <c r="G35" s="239"/>
      <c r="L35">
        <f t="shared" si="37"/>
        <v>35</v>
      </c>
      <c r="M35" s="112">
        <f t="shared" ca="1" si="11"/>
        <v>39539</v>
      </c>
      <c r="N35" s="112">
        <f ca="1">IF(Foglio7!GE55="",100000,Foglio7!GE55)</f>
        <v>39539</v>
      </c>
      <c r="O35" s="112"/>
      <c r="P35" s="238">
        <f t="shared" ca="1" si="12"/>
        <v>24</v>
      </c>
      <c r="Q35" s="238">
        <f t="shared" si="13"/>
        <v>35</v>
      </c>
      <c r="R35" s="112">
        <f t="shared" si="14"/>
        <v>0</v>
      </c>
      <c r="S35" s="238" t="e">
        <f t="shared" ca="1" si="46"/>
        <v>#N/A</v>
      </c>
      <c r="T35" s="112" t="e">
        <f t="shared" ca="1" si="47"/>
        <v>#N/A</v>
      </c>
      <c r="U35" s="112" t="e">
        <f t="shared" ca="1" si="48"/>
        <v>#N/A</v>
      </c>
      <c r="V35" s="112" t="e">
        <f t="shared" ca="1" si="49"/>
        <v>#N/A</v>
      </c>
      <c r="W35" s="112" t="e">
        <f t="shared" ca="1" si="50"/>
        <v>#N/A</v>
      </c>
      <c r="X35" s="112">
        <f t="shared" si="15"/>
        <v>0</v>
      </c>
      <c r="Y35" s="112"/>
      <c r="Z35" s="112"/>
      <c r="AA35" s="112">
        <f t="shared" si="16"/>
        <v>100000</v>
      </c>
      <c r="AB35" s="112" t="e">
        <f t="shared" ca="1" si="17"/>
        <v>#N/A</v>
      </c>
      <c r="AC35" s="112" t="e">
        <f t="shared" ca="1" si="18"/>
        <v>#N/A</v>
      </c>
      <c r="AD35" s="112" t="e">
        <f t="shared" ca="1" si="19"/>
        <v>#N/A</v>
      </c>
      <c r="AE35" s="112" t="e">
        <f t="shared" ca="1" si="20"/>
        <v>#N/A</v>
      </c>
      <c r="AF35" s="112">
        <f t="shared" si="21"/>
        <v>100000</v>
      </c>
      <c r="AG35" s="238">
        <f>AG34+1</f>
        <v>23</v>
      </c>
      <c r="AH35" s="112">
        <f ca="1">INDIRECT(CONCATENATE("AA",AG35))</f>
        <v>39326</v>
      </c>
      <c r="AI35" s="112">
        <f ca="1">IF(            INDIRECT(CONCATENATE( "AB",AG35))&lt;100000,       INDIRECT(CONCATENATE("AB",AG35))  -1,IF(   INDIRECT(CONCATENATE("AC",AG35))&lt;100000,   INDIRECT(CONCATENATE("AC",AG35))-1,IF(   INDIRECT(CONCATENATE("AD", AG35))&lt;100000, INDIRECT(CONCATENATE("AD",AG35))-1,IF(   INDIRECT(CONCATENATE("AE",AG35))&lt;100000,  INDIRECT(CONCATENATE("AE",G35)),INDIRECT(CONCATENATE("AF",AG35))                ))))</f>
        <v>39446</v>
      </c>
      <c r="AJ35" s="114"/>
      <c r="AK35" s="114"/>
      <c r="AL35" s="238">
        <f t="shared" ca="1" si="38"/>
        <v>1</v>
      </c>
      <c r="AM35" s="112">
        <f t="shared" ca="1" si="22"/>
        <v>39326</v>
      </c>
      <c r="AN35" s="112">
        <f t="shared" ca="1" si="39"/>
        <v>39446</v>
      </c>
      <c r="AO35" s="114">
        <f t="shared" ca="1" si="23"/>
        <v>3</v>
      </c>
      <c r="AP35" s="114">
        <f t="shared" ca="1" si="24"/>
        <v>18</v>
      </c>
      <c r="AQ35" s="112"/>
      <c r="AR35" s="238">
        <f t="shared" si="40"/>
        <v>35</v>
      </c>
      <c r="AS35" s="112"/>
      <c r="AT35" s="112"/>
      <c r="AU35" s="283">
        <f t="shared" si="41"/>
        <v>16</v>
      </c>
      <c r="AV35" s="284">
        <f t="shared" ca="1" si="25"/>
        <v>100000</v>
      </c>
      <c r="AW35" s="284">
        <f t="shared" ca="1" si="52"/>
        <v>100000</v>
      </c>
      <c r="AX35" s="285">
        <f t="shared" ca="1" si="27"/>
        <v>0</v>
      </c>
      <c r="AY35" s="285">
        <f t="shared" ca="1" si="28"/>
        <v>18</v>
      </c>
      <c r="AZ35" s="284"/>
      <c r="BA35" s="112"/>
      <c r="BB35" s="112">
        <f t="shared" ca="1" si="29"/>
        <v>39630</v>
      </c>
      <c r="BC35" s="114">
        <f t="shared" ca="1" si="30"/>
        <v>1</v>
      </c>
      <c r="BD35" s="114">
        <f t="shared" ca="1" si="42"/>
        <v>1</v>
      </c>
      <c r="BE35" s="112">
        <f t="shared" ca="1" si="31"/>
        <v>100000</v>
      </c>
      <c r="BF35" s="112"/>
      <c r="BG35" s="112"/>
      <c r="BH35" s="238">
        <f t="shared" si="43"/>
        <v>16</v>
      </c>
      <c r="BI35" s="245">
        <f t="shared" si="32"/>
        <v>100000</v>
      </c>
      <c r="BJ35" s="281">
        <f t="shared" ca="1" si="1"/>
        <v>16</v>
      </c>
      <c r="BK35" s="245" t="e">
        <f t="shared" ca="1" si="33"/>
        <v>#N/A</v>
      </c>
      <c r="BL35" s="245" t="e">
        <f t="shared" ca="1" si="34"/>
        <v>#N/A</v>
      </c>
      <c r="BM35" s="245"/>
      <c r="BN35" s="245" t="e">
        <f t="shared" ca="1" si="51"/>
        <v>#N/A</v>
      </c>
      <c r="BQ35" s="245"/>
      <c r="BR35" s="245"/>
      <c r="BS35" s="245"/>
      <c r="BT35" s="245"/>
      <c r="BU35" s="245"/>
      <c r="BV35" s="245"/>
      <c r="BY35" s="245"/>
      <c r="BZ35" s="245"/>
      <c r="CA35" s="245"/>
      <c r="CB35" s="245"/>
      <c r="CC35" s="245"/>
      <c r="CD35" s="245"/>
      <c r="CE35" s="245"/>
      <c r="CF35" s="245"/>
      <c r="CG35" s="245"/>
      <c r="CH35" s="245"/>
      <c r="CL35" s="112"/>
      <c r="CM35" s="112"/>
      <c r="CP35" s="112"/>
      <c r="CQ35" s="112"/>
      <c r="CR35" s="238"/>
      <c r="CS35" s="238"/>
      <c r="CT35" s="112"/>
      <c r="CU35" s="112"/>
      <c r="CV35" s="112"/>
      <c r="CW35" s="112" t="s">
        <v>224</v>
      </c>
      <c r="CX35" s="112" t="s">
        <v>225</v>
      </c>
      <c r="CY35" s="112" t="s">
        <v>226</v>
      </c>
      <c r="CZ35" s="112" t="s">
        <v>227</v>
      </c>
      <c r="DA35" s="112" t="s">
        <v>228</v>
      </c>
      <c r="DB35" s="112" t="s">
        <v>229</v>
      </c>
      <c r="DC35" s="112"/>
      <c r="DD35" s="238"/>
      <c r="DE35" s="112"/>
      <c r="DF35" s="112"/>
      <c r="DG35" s="112"/>
      <c r="DH35" s="238"/>
      <c r="DI35" s="112"/>
      <c r="DJ35" s="112"/>
      <c r="DK35" s="112"/>
      <c r="DL35" s="278" t="str">
        <f t="shared" ca="1" si="44"/>
        <v/>
      </c>
      <c r="DM35" s="245" t="str">
        <f t="shared" ca="1" si="53"/>
        <v/>
      </c>
      <c r="DN35" s="245" t="str">
        <f t="shared" ca="1" si="53"/>
        <v/>
      </c>
      <c r="DO35" s="245" t="str">
        <f t="shared" ca="1" si="53"/>
        <v/>
      </c>
      <c r="DP35" s="245" t="str">
        <f t="shared" ca="1" si="53"/>
        <v/>
      </c>
      <c r="DQ35" s="245" t="str">
        <f t="shared" ca="1" si="53"/>
        <v/>
      </c>
      <c r="DR35" s="244"/>
      <c r="DS35" s="245" t="str">
        <f t="shared" si="54"/>
        <v/>
      </c>
      <c r="DT35" s="245" t="str">
        <f t="shared" si="54"/>
        <v/>
      </c>
      <c r="DU35" s="245" t="str">
        <f t="shared" si="54"/>
        <v/>
      </c>
      <c r="DV35" s="244" t="str">
        <f t="shared" ca="1" si="7"/>
        <v/>
      </c>
      <c r="DW35" s="244"/>
      <c r="DX35" s="244" t="str">
        <f t="shared" ca="1" si="45"/>
        <v/>
      </c>
      <c r="EA35" s="244" t="b">
        <f t="shared" ca="1" si="35"/>
        <v>0</v>
      </c>
      <c r="EB35" s="278" t="e">
        <f ca="1">VLOOKUP(DM35,Foglio1!$AB$31:$AN$261,13)-6+EA35</f>
        <v>#N/A</v>
      </c>
      <c r="EC35" s="244"/>
      <c r="ED35" s="244" t="e">
        <f t="shared" ca="1" si="8"/>
        <v>#N/A</v>
      </c>
      <c r="EE35" s="244" t="e">
        <f t="shared" ca="1" si="8"/>
        <v>#N/A</v>
      </c>
      <c r="EF35" s="244" t="e">
        <f t="shared" ca="1" si="8"/>
        <v>#N/A</v>
      </c>
      <c r="EG35" s="244" t="e">
        <f t="shared" ca="1" si="8"/>
        <v>#N/A</v>
      </c>
      <c r="EH35" s="244" t="e">
        <f t="shared" ca="1" si="8"/>
        <v>#N/A</v>
      </c>
      <c r="EI35" s="244" t="e">
        <f t="shared" ca="1" si="8"/>
        <v>#N/A</v>
      </c>
      <c r="EJ35" s="244" t="e">
        <f t="shared" ca="1" si="8"/>
        <v>#N/A</v>
      </c>
      <c r="EK35" s="244" t="e">
        <f t="shared" ca="1" si="8"/>
        <v>#N/A</v>
      </c>
      <c r="EL35" s="244" t="e">
        <f t="shared" ca="1" si="8"/>
        <v>#N/A</v>
      </c>
      <c r="EM35" s="244" t="e">
        <f t="shared" ca="1" si="8"/>
        <v>#N/A</v>
      </c>
      <c r="EN35" s="244" t="e">
        <f t="shared" ca="1" si="8"/>
        <v>#N/A</v>
      </c>
      <c r="EO35" s="244" t="e">
        <f t="shared" ca="1" si="8"/>
        <v>#N/A</v>
      </c>
      <c r="EP35" s="244" t="e">
        <f t="shared" ca="1" si="8"/>
        <v>#N/A</v>
      </c>
      <c r="EQ35" s="244" t="e">
        <f t="shared" ca="1" si="8"/>
        <v>#N/A</v>
      </c>
      <c r="ER35" s="244"/>
      <c r="EW35" s="244">
        <v>0</v>
      </c>
      <c r="EX35" s="278" t="e">
        <f ca="1">VLOOKUP(DM35,Foglio1!$AB$31:$AN$261,13)-6+EW35</f>
        <v>#N/A</v>
      </c>
      <c r="EY35" s="244"/>
      <c r="EZ35" s="244" t="e">
        <f t="shared" ca="1" si="36"/>
        <v>#N/A</v>
      </c>
      <c r="FA35" s="244" t="e">
        <f t="shared" ca="1" si="9"/>
        <v>#N/A</v>
      </c>
      <c r="FB35" s="244" t="e">
        <f t="shared" ca="1" si="9"/>
        <v>#N/A</v>
      </c>
      <c r="FC35" s="244" t="e">
        <f t="shared" ca="1" si="9"/>
        <v>#N/A</v>
      </c>
      <c r="FD35" s="244" t="e">
        <f t="shared" ca="1" si="9"/>
        <v>#N/A</v>
      </c>
      <c r="FE35" s="244" t="e">
        <f t="shared" ca="1" si="9"/>
        <v>#N/A</v>
      </c>
      <c r="FF35" s="244" t="e">
        <f t="shared" ca="1" si="9"/>
        <v>#N/A</v>
      </c>
      <c r="FG35" s="244" t="e">
        <f t="shared" ca="1" si="9"/>
        <v>#N/A</v>
      </c>
      <c r="FH35" s="244" t="e">
        <f t="shared" ca="1" si="9"/>
        <v>#N/A</v>
      </c>
      <c r="FI35" s="244" t="e">
        <f t="shared" ca="1" si="9"/>
        <v>#N/A</v>
      </c>
      <c r="FJ35" s="244" t="e">
        <f t="shared" ca="1" si="9"/>
        <v>#N/A</v>
      </c>
      <c r="FK35" s="244" t="e">
        <f t="shared" ca="1" si="9"/>
        <v>#N/A</v>
      </c>
      <c r="FL35" s="244" t="e">
        <f t="shared" ca="1" si="9"/>
        <v>#N/A</v>
      </c>
      <c r="FM35" s="244" t="e">
        <f t="shared" ca="1" si="10"/>
        <v>#N/A</v>
      </c>
      <c r="FN35" s="244"/>
    </row>
    <row r="36" spans="5:170" x14ac:dyDescent="0.25">
      <c r="E36" s="244"/>
      <c r="F36" s="239"/>
      <c r="G36" s="239"/>
      <c r="L36">
        <f t="shared" si="37"/>
        <v>36</v>
      </c>
      <c r="M36" s="112" t="e">
        <f t="shared" ca="1" si="11"/>
        <v>#N/A</v>
      </c>
      <c r="N36" s="112">
        <f ca="1">IF(Foglio7!GE56="",100000,Foglio7!GE56)</f>
        <v>39630</v>
      </c>
      <c r="O36" s="112"/>
      <c r="P36" s="238">
        <f t="shared" ca="1" si="12"/>
        <v>24</v>
      </c>
      <c r="Q36" s="238">
        <f t="shared" si="13"/>
        <v>36</v>
      </c>
      <c r="R36" s="112">
        <f t="shared" si="14"/>
        <v>0</v>
      </c>
      <c r="S36" s="238" t="e">
        <f t="shared" ca="1" si="46"/>
        <v>#N/A</v>
      </c>
      <c r="T36" s="112" t="e">
        <f t="shared" ca="1" si="47"/>
        <v>#N/A</v>
      </c>
      <c r="U36" s="112" t="e">
        <f t="shared" ca="1" si="48"/>
        <v>#N/A</v>
      </c>
      <c r="V36" s="112" t="e">
        <f t="shared" ca="1" si="49"/>
        <v>#N/A</v>
      </c>
      <c r="W36" s="112" t="e">
        <f t="shared" ca="1" si="50"/>
        <v>#N/A</v>
      </c>
      <c r="X36" s="112">
        <f t="shared" si="15"/>
        <v>0</v>
      </c>
      <c r="Y36" s="112"/>
      <c r="Z36" s="112"/>
      <c r="AA36" s="112">
        <f t="shared" si="16"/>
        <v>100000</v>
      </c>
      <c r="AB36" s="112" t="e">
        <f t="shared" ca="1" si="17"/>
        <v>#N/A</v>
      </c>
      <c r="AC36" s="112" t="e">
        <f t="shared" ca="1" si="18"/>
        <v>#N/A</v>
      </c>
      <c r="AD36" s="112" t="e">
        <f t="shared" ca="1" si="19"/>
        <v>#N/A</v>
      </c>
      <c r="AE36" s="112" t="e">
        <f t="shared" ca="1" si="20"/>
        <v>#N/A</v>
      </c>
      <c r="AF36" s="112">
        <f t="shared" si="21"/>
        <v>100000</v>
      </c>
      <c r="AG36" s="238">
        <f>AG35</f>
        <v>23</v>
      </c>
      <c r="AH36" s="112">
        <f ca="1">AI35+1</f>
        <v>39447</v>
      </c>
      <c r="AI36" s="112">
        <f ca="1">IF(INDIRECT(CONCATENATE("AC",AG35))&lt;100000,INDIRECT(CONCATENATE("AC",AG35))-1,IF(INDIRECT(CONCATENATE("AD",AG35))&lt;100000,INDIRECT(CONCATENATE("AD",AG35))-1,IF(INDIRECT(CONCATENATE("AE",AG35))&lt;100000,INDIRECT(CONCATENATE("AE",G35)),INDIRECT(CONCATENATE("AF",AG35)))))</f>
        <v>39538</v>
      </c>
      <c r="AJ36" s="114"/>
      <c r="AK36" s="114"/>
      <c r="AL36" s="238">
        <f t="shared" ca="1" si="38"/>
        <v>1</v>
      </c>
      <c r="AM36" s="112">
        <f t="shared" ca="1" si="22"/>
        <v>39447</v>
      </c>
      <c r="AN36" s="112">
        <f t="shared" ca="1" si="39"/>
        <v>39538</v>
      </c>
      <c r="AO36" s="114">
        <f t="shared" ca="1" si="23"/>
        <v>3</v>
      </c>
      <c r="AP36" s="114">
        <f t="shared" ca="1" si="24"/>
        <v>18</v>
      </c>
      <c r="AQ36" s="112"/>
      <c r="AR36" s="238">
        <f t="shared" si="40"/>
        <v>36</v>
      </c>
      <c r="AS36" s="112"/>
      <c r="AT36" s="112"/>
      <c r="AU36" s="283">
        <f t="shared" si="41"/>
        <v>17</v>
      </c>
      <c r="AV36" s="284">
        <f t="shared" ca="1" si="25"/>
        <v>100000</v>
      </c>
      <c r="AW36" s="284">
        <f t="shared" ca="1" si="52"/>
        <v>100000</v>
      </c>
      <c r="AX36" s="285">
        <f t="shared" ca="1" si="27"/>
        <v>0</v>
      </c>
      <c r="AY36" s="285">
        <f t="shared" ca="1" si="28"/>
        <v>18</v>
      </c>
      <c r="AZ36" s="284"/>
      <c r="BA36" s="112"/>
      <c r="BB36" s="112">
        <f t="shared" ca="1" si="29"/>
        <v>39630</v>
      </c>
      <c r="BC36" s="114">
        <f t="shared" ca="1" si="30"/>
        <v>0</v>
      </c>
      <c r="BD36" s="114">
        <f t="shared" ca="1" si="42"/>
        <v>16</v>
      </c>
      <c r="BE36" s="112">
        <f t="shared" ca="1" si="31"/>
        <v>100000</v>
      </c>
      <c r="BF36" s="112"/>
      <c r="BG36" s="112"/>
      <c r="BH36" s="238">
        <f t="shared" si="43"/>
        <v>17</v>
      </c>
      <c r="BI36" s="245">
        <f t="shared" si="32"/>
        <v>100000</v>
      </c>
      <c r="BJ36" s="281">
        <f t="shared" ca="1" si="1"/>
        <v>16</v>
      </c>
      <c r="BK36" s="245" t="e">
        <f t="shared" ca="1" si="33"/>
        <v>#N/A</v>
      </c>
      <c r="BL36" s="245" t="e">
        <f t="shared" ca="1" si="34"/>
        <v>#N/A</v>
      </c>
      <c r="BM36" s="245"/>
      <c r="BN36" s="245" t="e">
        <f t="shared" ca="1" si="51"/>
        <v>#N/A</v>
      </c>
      <c r="BQ36" s="245"/>
      <c r="BR36" s="245"/>
      <c r="BS36" s="245"/>
      <c r="BT36" s="245"/>
      <c r="BU36" s="245"/>
      <c r="BV36" s="245"/>
      <c r="BY36" s="245"/>
      <c r="BZ36" s="245"/>
      <c r="CA36" s="245"/>
      <c r="CB36" s="245"/>
      <c r="CC36" s="245"/>
      <c r="CD36" s="245"/>
      <c r="CE36" s="245"/>
      <c r="CF36" s="245"/>
      <c r="CG36" s="245"/>
      <c r="CH36" s="245"/>
      <c r="CL36" s="112"/>
      <c r="CM36" s="112"/>
      <c r="CP36" s="112"/>
      <c r="CQ36" s="112"/>
      <c r="CR36" s="238"/>
      <c r="CS36" s="238"/>
      <c r="CT36" s="112"/>
      <c r="CU36" s="112"/>
      <c r="CV36" s="112"/>
      <c r="CW36" s="112" t="s">
        <v>224</v>
      </c>
      <c r="CX36" s="112" t="s">
        <v>225</v>
      </c>
      <c r="CY36" s="112" t="s">
        <v>226</v>
      </c>
      <c r="CZ36" s="112" t="s">
        <v>227</v>
      </c>
      <c r="DA36" s="112" t="s">
        <v>228</v>
      </c>
      <c r="DB36" s="112" t="s">
        <v>229</v>
      </c>
      <c r="DC36" s="112"/>
      <c r="DD36" s="238"/>
      <c r="DE36" s="112"/>
      <c r="DF36" s="112"/>
      <c r="DG36" s="112"/>
      <c r="DH36" s="238"/>
      <c r="DI36" s="112"/>
      <c r="DJ36" s="112"/>
      <c r="DK36" s="112"/>
      <c r="DL36" s="278" t="str">
        <f t="shared" ca="1" si="44"/>
        <v/>
      </c>
      <c r="DM36" s="245" t="str">
        <f t="shared" ca="1" si="53"/>
        <v/>
      </c>
      <c r="DN36" s="245" t="str">
        <f t="shared" ca="1" si="53"/>
        <v/>
      </c>
      <c r="DO36" s="245" t="str">
        <f t="shared" ca="1" si="53"/>
        <v/>
      </c>
      <c r="DP36" s="245" t="str">
        <f t="shared" ca="1" si="53"/>
        <v/>
      </c>
      <c r="DQ36" s="245" t="str">
        <f t="shared" ca="1" si="53"/>
        <v/>
      </c>
      <c r="DR36" s="244"/>
      <c r="DS36" s="245" t="str">
        <f t="shared" si="54"/>
        <v/>
      </c>
      <c r="DT36" s="245" t="str">
        <f t="shared" si="54"/>
        <v/>
      </c>
      <c r="DU36" s="245" t="str">
        <f t="shared" si="54"/>
        <v/>
      </c>
      <c r="DV36" s="244" t="str">
        <f t="shared" ca="1" si="7"/>
        <v/>
      </c>
      <c r="DW36" s="244"/>
      <c r="DX36" s="244" t="str">
        <f t="shared" ca="1" si="45"/>
        <v/>
      </c>
      <c r="EA36" s="244" t="b">
        <f t="shared" ca="1" si="35"/>
        <v>0</v>
      </c>
      <c r="EB36" s="278" t="e">
        <f ca="1">VLOOKUP(DM36,Foglio1!$AB$31:$AN$261,13)-6+EA36</f>
        <v>#N/A</v>
      </c>
      <c r="EC36" s="244"/>
      <c r="ED36" s="244" t="e">
        <f t="shared" ca="1" si="8"/>
        <v>#N/A</v>
      </c>
      <c r="EE36" s="244" t="e">
        <f t="shared" ca="1" si="8"/>
        <v>#N/A</v>
      </c>
      <c r="EF36" s="244" t="e">
        <f t="shared" ca="1" si="8"/>
        <v>#N/A</v>
      </c>
      <c r="EG36" s="244" t="e">
        <f t="shared" ca="1" si="8"/>
        <v>#N/A</v>
      </c>
      <c r="EH36" s="244" t="e">
        <f t="shared" ca="1" si="8"/>
        <v>#N/A</v>
      </c>
      <c r="EI36" s="244" t="e">
        <f t="shared" ca="1" si="8"/>
        <v>#N/A</v>
      </c>
      <c r="EJ36" s="244" t="e">
        <f t="shared" ca="1" si="8"/>
        <v>#N/A</v>
      </c>
      <c r="EK36" s="244" t="e">
        <f t="shared" ca="1" si="8"/>
        <v>#N/A</v>
      </c>
      <c r="EL36" s="244" t="e">
        <f t="shared" ca="1" si="8"/>
        <v>#N/A</v>
      </c>
      <c r="EM36" s="244" t="e">
        <f t="shared" ca="1" si="8"/>
        <v>#N/A</v>
      </c>
      <c r="EN36" s="244" t="e">
        <f t="shared" ca="1" si="8"/>
        <v>#N/A</v>
      </c>
      <c r="EO36" s="244" t="e">
        <f t="shared" ca="1" si="8"/>
        <v>#N/A</v>
      </c>
      <c r="EP36" s="244" t="e">
        <f t="shared" ca="1" si="8"/>
        <v>#N/A</v>
      </c>
      <c r="EQ36" s="244" t="e">
        <f t="shared" ca="1" si="8"/>
        <v>#N/A</v>
      </c>
      <c r="ER36" s="244"/>
      <c r="EW36" s="244">
        <v>0</v>
      </c>
      <c r="EX36" s="278" t="e">
        <f ca="1">VLOOKUP(DM36,Foglio1!$AB$31:$AN$261,13)-6+EW36</f>
        <v>#N/A</v>
      </c>
      <c r="EY36" s="244"/>
      <c r="EZ36" s="244" t="e">
        <f t="shared" ca="1" si="36"/>
        <v>#N/A</v>
      </c>
      <c r="FA36" s="244" t="e">
        <f t="shared" ref="FA36:FL57" ca="1" si="55">INDIRECT(CONCATENATE(EY$16,EY$17,$EX36))</f>
        <v>#N/A</v>
      </c>
      <c r="FB36" s="244" t="e">
        <f t="shared" ca="1" si="55"/>
        <v>#N/A</v>
      </c>
      <c r="FC36" s="244" t="e">
        <f t="shared" ca="1" si="55"/>
        <v>#N/A</v>
      </c>
      <c r="FD36" s="244" t="e">
        <f t="shared" ca="1" si="55"/>
        <v>#N/A</v>
      </c>
      <c r="FE36" s="244" t="e">
        <f t="shared" ca="1" si="55"/>
        <v>#N/A</v>
      </c>
      <c r="FF36" s="244" t="e">
        <f t="shared" ca="1" si="55"/>
        <v>#N/A</v>
      </c>
      <c r="FG36" s="244" t="e">
        <f t="shared" ca="1" si="55"/>
        <v>#N/A</v>
      </c>
      <c r="FH36" s="244" t="e">
        <f t="shared" ca="1" si="55"/>
        <v>#N/A</v>
      </c>
      <c r="FI36" s="244" t="e">
        <f t="shared" ca="1" si="55"/>
        <v>#N/A</v>
      </c>
      <c r="FJ36" s="244" t="e">
        <f t="shared" ca="1" si="55"/>
        <v>#N/A</v>
      </c>
      <c r="FK36" s="244" t="e">
        <f t="shared" ca="1" si="55"/>
        <v>#N/A</v>
      </c>
      <c r="FL36" s="244" t="e">
        <f t="shared" ca="1" si="55"/>
        <v>#N/A</v>
      </c>
      <c r="FM36" s="244" t="e">
        <f t="shared" ca="1" si="10"/>
        <v>#N/A</v>
      </c>
      <c r="FN36" s="244"/>
    </row>
    <row r="37" spans="5:170" x14ac:dyDescent="0.25">
      <c r="E37" s="244"/>
      <c r="F37" s="239"/>
      <c r="G37" s="239"/>
      <c r="L37">
        <f t="shared" si="37"/>
        <v>37</v>
      </c>
      <c r="M37" s="112" t="e">
        <f t="shared" ca="1" si="11"/>
        <v>#N/A</v>
      </c>
      <c r="N37" s="112">
        <f ca="1">IF(Foglio7!GE57="",100000,Foglio7!GE57)</f>
        <v>39814</v>
      </c>
      <c r="O37" s="112"/>
      <c r="P37" s="238">
        <f t="shared" ca="1" si="12"/>
        <v>24</v>
      </c>
      <c r="Q37" s="238">
        <f t="shared" si="13"/>
        <v>37</v>
      </c>
      <c r="R37" s="112">
        <f t="shared" si="14"/>
        <v>0</v>
      </c>
      <c r="S37" s="238" t="e">
        <f t="shared" ca="1" si="46"/>
        <v>#N/A</v>
      </c>
      <c r="T37" s="112" t="e">
        <f t="shared" ca="1" si="47"/>
        <v>#N/A</v>
      </c>
      <c r="U37" s="112" t="e">
        <f t="shared" ca="1" si="48"/>
        <v>#N/A</v>
      </c>
      <c r="V37" s="112" t="e">
        <f t="shared" ca="1" si="49"/>
        <v>#N/A</v>
      </c>
      <c r="W37" s="112" t="e">
        <f t="shared" ca="1" si="50"/>
        <v>#N/A</v>
      </c>
      <c r="X37" s="112">
        <f t="shared" si="15"/>
        <v>0</v>
      </c>
      <c r="Y37" s="112"/>
      <c r="Z37" s="112"/>
      <c r="AA37" s="112">
        <f t="shared" si="16"/>
        <v>100000</v>
      </c>
      <c r="AB37" s="112" t="e">
        <f t="shared" ca="1" si="17"/>
        <v>#N/A</v>
      </c>
      <c r="AC37" s="112" t="e">
        <f t="shared" ca="1" si="18"/>
        <v>#N/A</v>
      </c>
      <c r="AD37" s="112" t="e">
        <f t="shared" ca="1" si="19"/>
        <v>#N/A</v>
      </c>
      <c r="AE37" s="112" t="e">
        <f t="shared" ca="1" si="20"/>
        <v>#N/A</v>
      </c>
      <c r="AF37" s="112">
        <f t="shared" si="21"/>
        <v>100000</v>
      </c>
      <c r="AG37" s="238">
        <f>AG36</f>
        <v>23</v>
      </c>
      <c r="AH37" s="112">
        <f ca="1">AI36+1</f>
        <v>39539</v>
      </c>
      <c r="AI37" s="112">
        <f ca="1">IF(INDIRECT(CONCATENATE("AD",AG35))&lt;100000,INDIRECT(CONCATENATE("AD",AG35))-1,IF(INDIRECT(CONCATENATE("AE",AG35))&lt;100000,INDIRECT(CONCATENATE("AE",G35)),INDIRECT(CONCATENATE("AF",AG35))))</f>
        <v>39629</v>
      </c>
      <c r="AJ37" s="114"/>
      <c r="AK37" s="114"/>
      <c r="AL37" s="238">
        <f t="shared" ca="1" si="38"/>
        <v>1</v>
      </c>
      <c r="AM37" s="112">
        <f t="shared" ca="1" si="22"/>
        <v>39539</v>
      </c>
      <c r="AN37" s="112">
        <f t="shared" ca="1" si="39"/>
        <v>39629</v>
      </c>
      <c r="AO37" s="114">
        <f t="shared" ca="1" si="23"/>
        <v>3</v>
      </c>
      <c r="AP37" s="114">
        <f t="shared" ca="1" si="24"/>
        <v>18</v>
      </c>
      <c r="AQ37" s="112"/>
      <c r="AR37" s="238">
        <f t="shared" si="40"/>
        <v>37</v>
      </c>
      <c r="AS37" s="112"/>
      <c r="AT37" s="112"/>
      <c r="AU37" s="283">
        <f t="shared" si="41"/>
        <v>18</v>
      </c>
      <c r="AV37" s="284">
        <f t="shared" ca="1" si="25"/>
        <v>100000</v>
      </c>
      <c r="AW37" s="284">
        <f t="shared" ca="1" si="52"/>
        <v>100000</v>
      </c>
      <c r="AX37" s="285">
        <f t="shared" ca="1" si="27"/>
        <v>0</v>
      </c>
      <c r="AY37" s="285">
        <f t="shared" ca="1" si="28"/>
        <v>18</v>
      </c>
      <c r="AZ37" s="284"/>
      <c r="BA37" s="112"/>
      <c r="BB37" s="112">
        <f t="shared" ca="1" si="29"/>
        <v>39630</v>
      </c>
      <c r="BC37" s="114">
        <f t="shared" ca="1" si="30"/>
        <v>0</v>
      </c>
      <c r="BD37" s="114">
        <f t="shared" ca="1" si="42"/>
        <v>16</v>
      </c>
      <c r="BE37" s="112">
        <f t="shared" ca="1" si="31"/>
        <v>100000</v>
      </c>
      <c r="BF37" s="112"/>
      <c r="BG37" s="112"/>
      <c r="BH37" s="238">
        <f t="shared" si="43"/>
        <v>18</v>
      </c>
      <c r="BI37" s="245">
        <f t="shared" si="32"/>
        <v>100000</v>
      </c>
      <c r="BJ37" s="281">
        <f t="shared" ca="1" si="1"/>
        <v>16</v>
      </c>
      <c r="BK37" s="245" t="e">
        <f t="shared" ca="1" si="33"/>
        <v>#N/A</v>
      </c>
      <c r="BL37" s="245" t="e">
        <f t="shared" ca="1" si="34"/>
        <v>#N/A</v>
      </c>
      <c r="BM37" s="245"/>
      <c r="BN37" s="245" t="e">
        <f t="shared" ca="1" si="51"/>
        <v>#N/A</v>
      </c>
      <c r="BQ37" s="245"/>
      <c r="BR37" s="245"/>
      <c r="BS37" s="245"/>
      <c r="BT37" s="245"/>
      <c r="BU37" s="245"/>
      <c r="BV37" s="245"/>
      <c r="BY37" s="245"/>
      <c r="BZ37" s="245"/>
      <c r="CA37" s="245"/>
      <c r="CB37" s="245"/>
      <c r="CC37" s="245"/>
      <c r="CD37" s="245"/>
      <c r="CE37" s="245"/>
      <c r="CF37" s="245"/>
      <c r="CG37" s="245"/>
      <c r="CH37" s="245"/>
      <c r="CL37" s="112"/>
      <c r="CM37" s="112"/>
      <c r="CP37" s="112"/>
      <c r="CQ37" s="112"/>
      <c r="CR37" s="238"/>
      <c r="CS37" s="238"/>
      <c r="CT37" s="112"/>
      <c r="CU37" s="112"/>
      <c r="CV37" s="112"/>
      <c r="CW37" s="112" t="s">
        <v>224</v>
      </c>
      <c r="CX37" s="112" t="s">
        <v>225</v>
      </c>
      <c r="CY37" s="112" t="s">
        <v>226</v>
      </c>
      <c r="CZ37" s="112" t="s">
        <v>227</v>
      </c>
      <c r="DA37" s="112" t="s">
        <v>228</v>
      </c>
      <c r="DB37" s="112" t="s">
        <v>229</v>
      </c>
      <c r="DC37" s="112"/>
      <c r="DD37" s="238"/>
      <c r="DE37" s="112"/>
      <c r="DF37" s="112"/>
      <c r="DG37" s="112"/>
      <c r="DH37" s="238"/>
      <c r="DI37" s="112"/>
      <c r="DJ37" s="112"/>
      <c r="DK37" s="112"/>
      <c r="DL37" s="278" t="str">
        <f t="shared" ca="1" si="44"/>
        <v/>
      </c>
      <c r="DM37" s="245" t="str">
        <f t="shared" ca="1" si="53"/>
        <v/>
      </c>
      <c r="DN37" s="245" t="str">
        <f t="shared" ca="1" si="53"/>
        <v/>
      </c>
      <c r="DO37" s="245" t="str">
        <f t="shared" ca="1" si="53"/>
        <v/>
      </c>
      <c r="DP37" s="245" t="str">
        <f t="shared" ca="1" si="53"/>
        <v/>
      </c>
      <c r="DQ37" s="245" t="str">
        <f t="shared" ca="1" si="53"/>
        <v/>
      </c>
      <c r="DR37" s="244"/>
      <c r="DS37" s="245" t="str">
        <f t="shared" si="54"/>
        <v/>
      </c>
      <c r="DT37" s="245" t="str">
        <f t="shared" si="54"/>
        <v/>
      </c>
      <c r="DU37" s="245" t="str">
        <f t="shared" si="54"/>
        <v/>
      </c>
      <c r="DV37" s="244" t="str">
        <f t="shared" ca="1" si="7"/>
        <v/>
      </c>
      <c r="DW37" s="244"/>
      <c r="DX37" s="244" t="str">
        <f t="shared" ca="1" si="45"/>
        <v/>
      </c>
      <c r="EA37" s="244" t="b">
        <f t="shared" ca="1" si="35"/>
        <v>0</v>
      </c>
      <c r="EB37" s="278" t="e">
        <f ca="1">VLOOKUP(DM37,Foglio1!$AB$31:$AN$261,13)-6+EA37</f>
        <v>#N/A</v>
      </c>
      <c r="EC37" s="244"/>
      <c r="ED37" s="244" t="e">
        <f t="shared" ca="1" si="8"/>
        <v>#N/A</v>
      </c>
      <c r="EE37" s="244" t="e">
        <f t="shared" ca="1" si="8"/>
        <v>#N/A</v>
      </c>
      <c r="EF37" s="244" t="e">
        <f t="shared" ca="1" si="8"/>
        <v>#N/A</v>
      </c>
      <c r="EG37" s="244" t="e">
        <f t="shared" ca="1" si="8"/>
        <v>#N/A</v>
      </c>
      <c r="EH37" s="244" t="e">
        <f t="shared" ca="1" si="8"/>
        <v>#N/A</v>
      </c>
      <c r="EI37" s="244" t="e">
        <f t="shared" ca="1" si="8"/>
        <v>#N/A</v>
      </c>
      <c r="EJ37" s="244" t="e">
        <f t="shared" ca="1" si="8"/>
        <v>#N/A</v>
      </c>
      <c r="EK37" s="244" t="e">
        <f t="shared" ca="1" si="8"/>
        <v>#N/A</v>
      </c>
      <c r="EL37" s="244" t="e">
        <f t="shared" ca="1" si="8"/>
        <v>#N/A</v>
      </c>
      <c r="EM37" s="244" t="e">
        <f t="shared" ca="1" si="8"/>
        <v>#N/A</v>
      </c>
      <c r="EN37" s="244" t="e">
        <f t="shared" ca="1" si="8"/>
        <v>#N/A</v>
      </c>
      <c r="EO37" s="244" t="e">
        <f t="shared" ca="1" si="8"/>
        <v>#N/A</v>
      </c>
      <c r="EP37" s="244" t="e">
        <f t="shared" ca="1" si="8"/>
        <v>#N/A</v>
      </c>
      <c r="EQ37" s="244" t="e">
        <f t="shared" ca="1" si="8"/>
        <v>#N/A</v>
      </c>
      <c r="ER37" s="244"/>
      <c r="EW37" s="244">
        <v>0</v>
      </c>
      <c r="EX37" s="278" t="e">
        <f ca="1">VLOOKUP(DM37,Foglio1!$AB$31:$AN$261,13)-6+EW37</f>
        <v>#N/A</v>
      </c>
      <c r="EY37" s="244"/>
      <c r="EZ37" s="244" t="e">
        <f t="shared" ca="1" si="36"/>
        <v>#N/A</v>
      </c>
      <c r="FA37" s="244" t="e">
        <f t="shared" ca="1" si="55"/>
        <v>#N/A</v>
      </c>
      <c r="FB37" s="244" t="e">
        <f t="shared" ca="1" si="55"/>
        <v>#N/A</v>
      </c>
      <c r="FC37" s="244" t="e">
        <f t="shared" ca="1" si="55"/>
        <v>#N/A</v>
      </c>
      <c r="FD37" s="244" t="e">
        <f t="shared" ca="1" si="55"/>
        <v>#N/A</v>
      </c>
      <c r="FE37" s="244" t="e">
        <f t="shared" ca="1" si="55"/>
        <v>#N/A</v>
      </c>
      <c r="FF37" s="244" t="e">
        <f t="shared" ca="1" si="55"/>
        <v>#N/A</v>
      </c>
      <c r="FG37" s="244" t="e">
        <f t="shared" ca="1" si="55"/>
        <v>#N/A</v>
      </c>
      <c r="FH37" s="244" t="e">
        <f t="shared" ca="1" si="55"/>
        <v>#N/A</v>
      </c>
      <c r="FI37" s="244" t="e">
        <f t="shared" ca="1" si="55"/>
        <v>#N/A</v>
      </c>
      <c r="FJ37" s="244" t="e">
        <f t="shared" ca="1" si="55"/>
        <v>#N/A</v>
      </c>
      <c r="FK37" s="244" t="e">
        <f t="shared" ca="1" si="55"/>
        <v>#N/A</v>
      </c>
      <c r="FL37" s="244" t="e">
        <f t="shared" ca="1" si="55"/>
        <v>#N/A</v>
      </c>
      <c r="FM37" s="244" t="e">
        <f t="shared" ca="1" si="10"/>
        <v>#N/A</v>
      </c>
      <c r="FN37" s="244"/>
    </row>
    <row r="38" spans="5:170" x14ac:dyDescent="0.25">
      <c r="E38" s="244"/>
      <c r="F38" s="239"/>
      <c r="G38" s="239"/>
      <c r="L38">
        <f t="shared" si="37"/>
        <v>38</v>
      </c>
      <c r="M38" s="112" t="e">
        <f t="shared" ca="1" si="11"/>
        <v>#N/A</v>
      </c>
      <c r="N38" s="112">
        <f ca="1">IF(Foglio7!GE58="",100000,Foglio7!GE58)</f>
        <v>40171</v>
      </c>
      <c r="O38" s="112"/>
      <c r="P38" s="238">
        <f t="shared" ca="1" si="12"/>
        <v>24</v>
      </c>
      <c r="Q38" s="238">
        <f t="shared" si="13"/>
        <v>38</v>
      </c>
      <c r="R38" s="112">
        <f t="shared" si="14"/>
        <v>0</v>
      </c>
      <c r="S38" s="238" t="e">
        <f t="shared" ca="1" si="46"/>
        <v>#N/A</v>
      </c>
      <c r="T38" s="112" t="e">
        <f t="shared" ca="1" si="47"/>
        <v>#N/A</v>
      </c>
      <c r="U38" s="112" t="e">
        <f t="shared" ca="1" si="48"/>
        <v>#N/A</v>
      </c>
      <c r="V38" s="112" t="e">
        <f t="shared" ca="1" si="49"/>
        <v>#N/A</v>
      </c>
      <c r="W38" s="112" t="e">
        <f t="shared" ca="1" si="50"/>
        <v>#N/A</v>
      </c>
      <c r="X38" s="112">
        <f t="shared" si="15"/>
        <v>0</v>
      </c>
      <c r="Y38" s="112"/>
      <c r="Z38" s="112"/>
      <c r="AA38" s="112">
        <f t="shared" si="16"/>
        <v>100000</v>
      </c>
      <c r="AB38" s="112" t="e">
        <f t="shared" ca="1" si="17"/>
        <v>#N/A</v>
      </c>
      <c r="AC38" s="112" t="e">
        <f t="shared" ca="1" si="18"/>
        <v>#N/A</v>
      </c>
      <c r="AD38" s="112" t="e">
        <f t="shared" ca="1" si="19"/>
        <v>#N/A</v>
      </c>
      <c r="AE38" s="112" t="e">
        <f t="shared" ca="1" si="20"/>
        <v>#N/A</v>
      </c>
      <c r="AF38" s="112">
        <f t="shared" si="21"/>
        <v>100000</v>
      </c>
      <c r="AG38" s="238">
        <f>AG37</f>
        <v>23</v>
      </c>
      <c r="AH38" s="112">
        <f ca="1">AI37+1</f>
        <v>39630</v>
      </c>
      <c r="AI38" s="112">
        <f ca="1">IF(INDIRECT(CONCATENATE("AE",AG35))&lt;100000,INDIRECT(CONCATENATE("AE",G35)),INDIRECT(CONCATENATE("AF",AG35)))</f>
        <v>39692</v>
      </c>
      <c r="AJ38" s="114"/>
      <c r="AK38" s="114"/>
      <c r="AL38" s="238">
        <f t="shared" ca="1" si="38"/>
        <v>1</v>
      </c>
      <c r="AM38" s="112">
        <f t="shared" ca="1" si="22"/>
        <v>39630</v>
      </c>
      <c r="AN38" s="112">
        <f t="shared" ca="1" si="39"/>
        <v>39692</v>
      </c>
      <c r="AO38" s="114">
        <f t="shared" ca="1" si="23"/>
        <v>3</v>
      </c>
      <c r="AP38" s="114">
        <f t="shared" ca="1" si="24"/>
        <v>18</v>
      </c>
      <c r="AQ38" s="112"/>
      <c r="AR38" s="238">
        <f t="shared" si="40"/>
        <v>38</v>
      </c>
      <c r="AS38" s="112"/>
      <c r="AT38" s="112"/>
      <c r="AU38" s="283">
        <f t="shared" si="41"/>
        <v>19</v>
      </c>
      <c r="AV38" s="284">
        <f t="shared" ca="1" si="25"/>
        <v>100000</v>
      </c>
      <c r="AW38" s="284">
        <f t="shared" ca="1" si="52"/>
        <v>100000</v>
      </c>
      <c r="AX38" s="285">
        <f t="shared" ca="1" si="27"/>
        <v>0</v>
      </c>
      <c r="AY38" s="285">
        <f t="shared" ca="1" si="28"/>
        <v>18</v>
      </c>
      <c r="AZ38" s="284"/>
      <c r="BA38" s="112"/>
      <c r="BB38" s="112">
        <f t="shared" ca="1" si="29"/>
        <v>39630</v>
      </c>
      <c r="BC38" s="114">
        <f t="shared" ca="1" si="30"/>
        <v>0</v>
      </c>
      <c r="BD38" s="114">
        <f t="shared" ca="1" si="42"/>
        <v>16</v>
      </c>
      <c r="BE38" s="112">
        <f t="shared" ca="1" si="31"/>
        <v>100000</v>
      </c>
      <c r="BF38" s="112"/>
      <c r="BG38" s="112"/>
      <c r="BH38" s="238">
        <f t="shared" si="43"/>
        <v>19</v>
      </c>
      <c r="BI38" s="245">
        <f t="shared" si="32"/>
        <v>100000</v>
      </c>
      <c r="BJ38" s="281">
        <f t="shared" ca="1" si="1"/>
        <v>16</v>
      </c>
      <c r="BK38" s="245" t="e">
        <f t="shared" ca="1" si="33"/>
        <v>#N/A</v>
      </c>
      <c r="BL38" s="245" t="e">
        <f t="shared" ca="1" si="34"/>
        <v>#N/A</v>
      </c>
      <c r="BM38" s="245"/>
      <c r="BN38" s="245" t="e">
        <f t="shared" ca="1" si="51"/>
        <v>#N/A</v>
      </c>
      <c r="BQ38" s="245"/>
      <c r="BR38" s="245"/>
      <c r="BS38" s="245"/>
      <c r="BT38" s="245"/>
      <c r="BU38" s="245"/>
      <c r="BV38" s="245"/>
      <c r="BY38" s="245"/>
      <c r="BZ38" s="245"/>
      <c r="CA38" s="245"/>
      <c r="CB38" s="245"/>
      <c r="CC38" s="245"/>
      <c r="CD38" s="245"/>
      <c r="CE38" s="245"/>
      <c r="CF38" s="245"/>
      <c r="CG38" s="245"/>
      <c r="CH38" s="245"/>
      <c r="CL38" s="112"/>
      <c r="CM38" s="112"/>
      <c r="CP38" s="112"/>
      <c r="CQ38" s="112"/>
      <c r="CR38" s="238"/>
      <c r="CS38" s="238"/>
      <c r="CT38" s="112"/>
      <c r="CU38" s="112"/>
      <c r="CV38" s="112"/>
      <c r="CW38" s="112" t="s">
        <v>224</v>
      </c>
      <c r="CX38" s="112" t="s">
        <v>225</v>
      </c>
      <c r="CY38" s="112" t="s">
        <v>226</v>
      </c>
      <c r="CZ38" s="112" t="s">
        <v>227</v>
      </c>
      <c r="DA38" s="112" t="s">
        <v>228</v>
      </c>
      <c r="DB38" s="112" t="s">
        <v>229</v>
      </c>
      <c r="DC38" s="112"/>
      <c r="DD38" s="238"/>
      <c r="DE38" s="112"/>
      <c r="DF38" s="112"/>
      <c r="DG38" s="112"/>
      <c r="DH38" s="238"/>
      <c r="DI38" s="112"/>
      <c r="DJ38" s="112"/>
      <c r="DK38" s="112"/>
      <c r="DL38" s="278" t="str">
        <f t="shared" ca="1" si="44"/>
        <v/>
      </c>
      <c r="DM38" s="245" t="str">
        <f t="shared" ca="1" si="53"/>
        <v/>
      </c>
      <c r="DN38" s="245" t="str">
        <f t="shared" ca="1" si="53"/>
        <v/>
      </c>
      <c r="DO38" s="245" t="str">
        <f t="shared" ca="1" si="53"/>
        <v/>
      </c>
      <c r="DP38" s="245" t="str">
        <f t="shared" ca="1" si="53"/>
        <v/>
      </c>
      <c r="DQ38" s="245" t="str">
        <f t="shared" ca="1" si="53"/>
        <v/>
      </c>
      <c r="DR38" s="244"/>
      <c r="DS38" s="245" t="str">
        <f t="shared" si="54"/>
        <v/>
      </c>
      <c r="DT38" s="245" t="str">
        <f t="shared" si="54"/>
        <v/>
      </c>
      <c r="DU38" s="245" t="str">
        <f t="shared" si="54"/>
        <v/>
      </c>
      <c r="DV38" s="244" t="str">
        <f t="shared" ca="1" si="7"/>
        <v/>
      </c>
      <c r="DW38" s="244"/>
      <c r="DX38" s="244" t="str">
        <f t="shared" ca="1" si="45"/>
        <v/>
      </c>
      <c r="EA38" s="244" t="b">
        <f t="shared" ca="1" si="35"/>
        <v>0</v>
      </c>
      <c r="EB38" s="278" t="e">
        <f ca="1">VLOOKUP(DM38,Foglio1!$AB$31:$AN$261,13)-6+EA38</f>
        <v>#N/A</v>
      </c>
      <c r="EC38" s="244"/>
      <c r="ED38" s="244" t="e">
        <f t="shared" ca="1" si="8"/>
        <v>#N/A</v>
      </c>
      <c r="EE38" s="244" t="e">
        <f t="shared" ca="1" si="8"/>
        <v>#N/A</v>
      </c>
      <c r="EF38" s="244" t="e">
        <f t="shared" ca="1" si="8"/>
        <v>#N/A</v>
      </c>
      <c r="EG38" s="244" t="e">
        <f t="shared" ref="EG38:EQ61" ca="1" si="56">INDIRECT(CONCATENATE(EE$16,EE$17,$EB38))</f>
        <v>#N/A</v>
      </c>
      <c r="EH38" s="244" t="e">
        <f t="shared" ca="1" si="56"/>
        <v>#N/A</v>
      </c>
      <c r="EI38" s="244" t="e">
        <f t="shared" ca="1" si="56"/>
        <v>#N/A</v>
      </c>
      <c r="EJ38" s="244" t="e">
        <f t="shared" ca="1" si="56"/>
        <v>#N/A</v>
      </c>
      <c r="EK38" s="244" t="e">
        <f t="shared" ca="1" si="56"/>
        <v>#N/A</v>
      </c>
      <c r="EL38" s="244" t="e">
        <f t="shared" ca="1" si="56"/>
        <v>#N/A</v>
      </c>
      <c r="EM38" s="244" t="e">
        <f t="shared" ca="1" si="56"/>
        <v>#N/A</v>
      </c>
      <c r="EN38" s="244" t="e">
        <f t="shared" ca="1" si="56"/>
        <v>#N/A</v>
      </c>
      <c r="EO38" s="244" t="e">
        <f t="shared" ca="1" si="56"/>
        <v>#N/A</v>
      </c>
      <c r="EP38" s="244" t="e">
        <f t="shared" ca="1" si="56"/>
        <v>#N/A</v>
      </c>
      <c r="EQ38" s="244" t="e">
        <f t="shared" ca="1" si="56"/>
        <v>#N/A</v>
      </c>
      <c r="ER38" s="244"/>
      <c r="EW38" s="244">
        <v>0</v>
      </c>
      <c r="EX38" s="278" t="e">
        <f ca="1">VLOOKUP(DM38,Foglio1!$AB$31:$AN$261,13)-6+EW38</f>
        <v>#N/A</v>
      </c>
      <c r="EY38" s="244"/>
      <c r="EZ38" s="244" t="e">
        <f t="shared" ca="1" si="36"/>
        <v>#N/A</v>
      </c>
      <c r="FA38" s="244" t="e">
        <f t="shared" ca="1" si="55"/>
        <v>#N/A</v>
      </c>
      <c r="FB38" s="244" t="e">
        <f t="shared" ca="1" si="55"/>
        <v>#N/A</v>
      </c>
      <c r="FC38" s="244" t="e">
        <f t="shared" ca="1" si="55"/>
        <v>#N/A</v>
      </c>
      <c r="FD38" s="244" t="e">
        <f t="shared" ca="1" si="55"/>
        <v>#N/A</v>
      </c>
      <c r="FE38" s="244" t="e">
        <f t="shared" ca="1" si="55"/>
        <v>#N/A</v>
      </c>
      <c r="FF38" s="244" t="e">
        <f t="shared" ca="1" si="55"/>
        <v>#N/A</v>
      </c>
      <c r="FG38" s="244" t="e">
        <f t="shared" ca="1" si="55"/>
        <v>#N/A</v>
      </c>
      <c r="FH38" s="244" t="e">
        <f t="shared" ca="1" si="55"/>
        <v>#N/A</v>
      </c>
      <c r="FI38" s="244" t="e">
        <f t="shared" ca="1" si="55"/>
        <v>#N/A</v>
      </c>
      <c r="FJ38" s="244" t="e">
        <f t="shared" ca="1" si="55"/>
        <v>#N/A</v>
      </c>
      <c r="FK38" s="244" t="e">
        <f t="shared" ca="1" si="55"/>
        <v>#N/A</v>
      </c>
      <c r="FL38" s="244" t="e">
        <f t="shared" ca="1" si="55"/>
        <v>#N/A</v>
      </c>
      <c r="FM38" s="244" t="e">
        <f t="shared" ca="1" si="10"/>
        <v>#N/A</v>
      </c>
      <c r="FN38" s="244"/>
    </row>
    <row r="39" spans="5:170" x14ac:dyDescent="0.25">
      <c r="E39" s="244"/>
      <c r="F39" s="239"/>
      <c r="G39" s="239"/>
      <c r="L39">
        <f t="shared" si="37"/>
        <v>39</v>
      </c>
      <c r="M39" s="112" t="e">
        <f t="shared" ca="1" si="11"/>
        <v>#N/A</v>
      </c>
      <c r="N39" s="112">
        <f ca="1">IF(Foglio7!GE59="",100000,Foglio7!GE59)</f>
        <v>40171</v>
      </c>
      <c r="O39" s="112"/>
      <c r="P39" s="238">
        <f t="shared" ca="1" si="12"/>
        <v>24</v>
      </c>
      <c r="Q39" s="238">
        <f t="shared" si="13"/>
        <v>39</v>
      </c>
      <c r="R39" s="112">
        <f t="shared" si="14"/>
        <v>0</v>
      </c>
      <c r="S39" s="238" t="e">
        <f t="shared" ca="1" si="46"/>
        <v>#N/A</v>
      </c>
      <c r="T39" s="112" t="e">
        <f t="shared" ca="1" si="47"/>
        <v>#N/A</v>
      </c>
      <c r="U39" s="112" t="e">
        <f t="shared" ca="1" si="48"/>
        <v>#N/A</v>
      </c>
      <c r="V39" s="112" t="e">
        <f t="shared" ca="1" si="49"/>
        <v>#N/A</v>
      </c>
      <c r="W39" s="112" t="e">
        <f t="shared" ca="1" si="50"/>
        <v>#N/A</v>
      </c>
      <c r="X39" s="112">
        <f t="shared" si="15"/>
        <v>0</v>
      </c>
      <c r="Y39" s="112"/>
      <c r="Z39" s="112"/>
      <c r="AA39" s="112">
        <f t="shared" si="16"/>
        <v>100000</v>
      </c>
      <c r="AB39" s="112" t="e">
        <f t="shared" ca="1" si="17"/>
        <v>#N/A</v>
      </c>
      <c r="AC39" s="112" t="e">
        <f t="shared" ca="1" si="18"/>
        <v>#N/A</v>
      </c>
      <c r="AD39" s="112" t="e">
        <f t="shared" ca="1" si="19"/>
        <v>#N/A</v>
      </c>
      <c r="AE39" s="112" t="e">
        <f t="shared" ca="1" si="20"/>
        <v>#N/A</v>
      </c>
      <c r="AF39" s="112">
        <f t="shared" si="21"/>
        <v>100000</v>
      </c>
      <c r="AG39" s="238">
        <f>AG38</f>
        <v>23</v>
      </c>
      <c r="AH39" s="112">
        <f ca="1">AI38+1</f>
        <v>39693</v>
      </c>
      <c r="AI39" s="112">
        <f ca="1">INDIRECT(CONCATENATE("AF",AG35))</f>
        <v>39692</v>
      </c>
      <c r="AJ39" s="114"/>
      <c r="AK39" s="114"/>
      <c r="AL39" s="238">
        <f t="shared" ca="1" si="38"/>
        <v>0</v>
      </c>
      <c r="AM39" s="112">
        <f t="shared" ca="1" si="22"/>
        <v>100000</v>
      </c>
      <c r="AN39" s="112">
        <f t="shared" ca="1" si="39"/>
        <v>100000</v>
      </c>
      <c r="AO39" s="114">
        <f t="shared" ca="1" si="23"/>
        <v>3</v>
      </c>
      <c r="AP39" s="114">
        <f t="shared" ca="1" si="24"/>
        <v>18</v>
      </c>
      <c r="AQ39" s="112"/>
      <c r="AR39" s="238">
        <f t="shared" si="40"/>
        <v>39</v>
      </c>
      <c r="AS39" s="112"/>
      <c r="AT39" s="112"/>
      <c r="AU39" s="283">
        <f t="shared" si="41"/>
        <v>20</v>
      </c>
      <c r="AV39" s="284">
        <f t="shared" ca="1" si="25"/>
        <v>100000</v>
      </c>
      <c r="AW39" s="284">
        <f t="shared" ca="1" si="52"/>
        <v>100000</v>
      </c>
      <c r="AX39" s="285">
        <f t="shared" ca="1" si="27"/>
        <v>0</v>
      </c>
      <c r="AY39" s="285">
        <f t="shared" ca="1" si="28"/>
        <v>18</v>
      </c>
      <c r="AZ39" s="284"/>
      <c r="BA39" s="112"/>
      <c r="BB39" s="112">
        <f t="shared" ca="1" si="29"/>
        <v>39630</v>
      </c>
      <c r="BC39" s="114">
        <f t="shared" ca="1" si="30"/>
        <v>0</v>
      </c>
      <c r="BD39" s="114">
        <f t="shared" ca="1" si="42"/>
        <v>16</v>
      </c>
      <c r="BE39" s="112">
        <f t="shared" ca="1" si="31"/>
        <v>100000</v>
      </c>
      <c r="BF39" s="112"/>
      <c r="BG39" s="112"/>
      <c r="BH39" s="238">
        <f t="shared" si="43"/>
        <v>20</v>
      </c>
      <c r="BI39" s="245">
        <f t="shared" si="32"/>
        <v>100000</v>
      </c>
      <c r="BJ39" s="281">
        <f t="shared" ca="1" si="1"/>
        <v>16</v>
      </c>
      <c r="BK39" s="245" t="e">
        <f t="shared" ca="1" si="33"/>
        <v>#N/A</v>
      </c>
      <c r="BL39" s="245" t="e">
        <f t="shared" ca="1" si="34"/>
        <v>#N/A</v>
      </c>
      <c r="BM39" s="245"/>
      <c r="BN39" s="245" t="e">
        <f t="shared" ca="1" si="51"/>
        <v>#N/A</v>
      </c>
      <c r="BQ39" s="245"/>
      <c r="BR39" s="245"/>
      <c r="BS39" s="245"/>
      <c r="BT39" s="245"/>
      <c r="BU39" s="245"/>
      <c r="BV39" s="245"/>
      <c r="BY39" s="245"/>
      <c r="BZ39" s="245"/>
      <c r="CA39" s="245"/>
      <c r="CB39" s="245"/>
      <c r="CC39" s="245"/>
      <c r="CD39" s="245"/>
      <c r="CE39" s="245"/>
      <c r="CF39" s="245"/>
      <c r="CG39" s="245"/>
      <c r="CH39" s="245"/>
      <c r="CL39" s="112"/>
      <c r="CM39" s="112"/>
      <c r="CP39" s="112"/>
      <c r="CQ39" s="112"/>
      <c r="CR39" s="238"/>
      <c r="CS39" s="238"/>
      <c r="CT39" s="112"/>
      <c r="CU39" s="112"/>
      <c r="CV39" s="112"/>
      <c r="CW39" s="112" t="s">
        <v>224</v>
      </c>
      <c r="CX39" s="112" t="s">
        <v>225</v>
      </c>
      <c r="CY39" s="112" t="s">
        <v>226</v>
      </c>
      <c r="CZ39" s="112" t="s">
        <v>227</v>
      </c>
      <c r="DA39" s="112" t="s">
        <v>228</v>
      </c>
      <c r="DB39" s="112" t="s">
        <v>229</v>
      </c>
      <c r="DC39" s="112"/>
      <c r="DD39" s="238"/>
      <c r="DE39" s="112"/>
      <c r="DF39" s="112"/>
      <c r="DG39" s="112"/>
      <c r="DH39" s="238"/>
      <c r="DI39" s="112"/>
      <c r="DJ39" s="112"/>
      <c r="DK39" s="112"/>
      <c r="DL39" s="278" t="str">
        <f t="shared" ca="1" si="44"/>
        <v/>
      </c>
      <c r="DM39" s="245" t="str">
        <f t="shared" ca="1" si="53"/>
        <v/>
      </c>
      <c r="DN39" s="245" t="str">
        <f t="shared" ca="1" si="53"/>
        <v/>
      </c>
      <c r="DO39" s="245" t="str">
        <f t="shared" ca="1" si="53"/>
        <v/>
      </c>
      <c r="DP39" s="245" t="str">
        <f t="shared" ca="1" si="53"/>
        <v/>
      </c>
      <c r="DQ39" s="245" t="str">
        <f t="shared" ca="1" si="53"/>
        <v/>
      </c>
      <c r="DR39" s="244"/>
      <c r="DS39" s="245" t="str">
        <f t="shared" si="54"/>
        <v/>
      </c>
      <c r="DT39" s="245" t="str">
        <f t="shared" si="54"/>
        <v/>
      </c>
      <c r="DU39" s="245" t="str">
        <f t="shared" si="54"/>
        <v/>
      </c>
      <c r="DV39" s="244" t="str">
        <f t="shared" ca="1" si="7"/>
        <v/>
      </c>
      <c r="DW39" s="244"/>
      <c r="DX39" s="244" t="str">
        <f t="shared" ca="1" si="45"/>
        <v/>
      </c>
      <c r="EA39" s="244" t="b">
        <f t="shared" ca="1" si="35"/>
        <v>0</v>
      </c>
      <c r="EB39" s="278" t="e">
        <f ca="1">VLOOKUP(DM39,Foglio1!$AB$31:$AN$261,13)-6+EA39</f>
        <v>#N/A</v>
      </c>
      <c r="EC39" s="244"/>
      <c r="ED39" s="244" t="e">
        <f t="shared" ref="ED39:EH70" ca="1" si="57">INDIRECT(CONCATENATE(EB$16,EB$17,$EB39))</f>
        <v>#N/A</v>
      </c>
      <c r="EE39" s="244" t="e">
        <f t="shared" ca="1" si="57"/>
        <v>#N/A</v>
      </c>
      <c r="EF39" s="244" t="e">
        <f t="shared" ca="1" si="57"/>
        <v>#N/A</v>
      </c>
      <c r="EG39" s="244" t="e">
        <f t="shared" ca="1" si="56"/>
        <v>#N/A</v>
      </c>
      <c r="EH39" s="244" t="e">
        <f t="shared" ca="1" si="56"/>
        <v>#N/A</v>
      </c>
      <c r="EI39" s="244" t="e">
        <f t="shared" ca="1" si="56"/>
        <v>#N/A</v>
      </c>
      <c r="EJ39" s="244" t="e">
        <f t="shared" ca="1" si="56"/>
        <v>#N/A</v>
      </c>
      <c r="EK39" s="244" t="e">
        <f t="shared" ca="1" si="56"/>
        <v>#N/A</v>
      </c>
      <c r="EL39" s="244" t="e">
        <f t="shared" ca="1" si="56"/>
        <v>#N/A</v>
      </c>
      <c r="EM39" s="244" t="e">
        <f t="shared" ca="1" si="56"/>
        <v>#N/A</v>
      </c>
      <c r="EN39" s="244" t="e">
        <f t="shared" ca="1" si="56"/>
        <v>#N/A</v>
      </c>
      <c r="EO39" s="244" t="e">
        <f t="shared" ca="1" si="56"/>
        <v>#N/A</v>
      </c>
      <c r="EP39" s="244" t="e">
        <f t="shared" ca="1" si="56"/>
        <v>#N/A</v>
      </c>
      <c r="EQ39" s="244" t="e">
        <f t="shared" ca="1" si="56"/>
        <v>#N/A</v>
      </c>
      <c r="ER39" s="244"/>
      <c r="EW39" s="244">
        <v>0</v>
      </c>
      <c r="EX39" s="278" t="e">
        <f ca="1">VLOOKUP(DM39,Foglio1!$AB$31:$AN$261,13)-6+EW39</f>
        <v>#N/A</v>
      </c>
      <c r="EY39" s="244"/>
      <c r="EZ39" s="244" t="e">
        <f t="shared" ca="1" si="36"/>
        <v>#N/A</v>
      </c>
      <c r="FA39" s="244" t="e">
        <f t="shared" ca="1" si="55"/>
        <v>#N/A</v>
      </c>
      <c r="FB39" s="244" t="e">
        <f t="shared" ca="1" si="55"/>
        <v>#N/A</v>
      </c>
      <c r="FC39" s="244" t="e">
        <f t="shared" ca="1" si="55"/>
        <v>#N/A</v>
      </c>
      <c r="FD39" s="244" t="e">
        <f t="shared" ca="1" si="55"/>
        <v>#N/A</v>
      </c>
      <c r="FE39" s="244" t="e">
        <f t="shared" ca="1" si="55"/>
        <v>#N/A</v>
      </c>
      <c r="FF39" s="244" t="e">
        <f t="shared" ca="1" si="55"/>
        <v>#N/A</v>
      </c>
      <c r="FG39" s="244" t="e">
        <f t="shared" ca="1" si="55"/>
        <v>#N/A</v>
      </c>
      <c r="FH39" s="244" t="e">
        <f t="shared" ca="1" si="55"/>
        <v>#N/A</v>
      </c>
      <c r="FI39" s="244" t="e">
        <f t="shared" ca="1" si="55"/>
        <v>#N/A</v>
      </c>
      <c r="FJ39" s="244" t="e">
        <f t="shared" ca="1" si="55"/>
        <v>#N/A</v>
      </c>
      <c r="FK39" s="244" t="e">
        <f t="shared" ca="1" si="55"/>
        <v>#N/A</v>
      </c>
      <c r="FL39" s="244" t="e">
        <f t="shared" ca="1" si="55"/>
        <v>#N/A</v>
      </c>
      <c r="FM39" s="244" t="e">
        <f t="shared" ca="1" si="10"/>
        <v>#N/A</v>
      </c>
      <c r="FN39" s="244"/>
    </row>
    <row r="40" spans="5:170" x14ac:dyDescent="0.25">
      <c r="E40" s="244"/>
      <c r="F40" s="239"/>
      <c r="G40" s="239"/>
      <c r="L40">
        <f t="shared" si="37"/>
        <v>40</v>
      </c>
      <c r="M40" s="112" t="e">
        <f t="shared" ca="1" si="11"/>
        <v>#N/A</v>
      </c>
      <c r="N40" s="112">
        <f ca="1">IF(Foglio7!GE60="",100000,Foglio7!GE60)</f>
        <v>40360</v>
      </c>
      <c r="O40" s="112"/>
      <c r="P40" s="238">
        <f t="shared" ca="1" si="12"/>
        <v>24</v>
      </c>
      <c r="Q40" s="238">
        <f t="shared" si="13"/>
        <v>40</v>
      </c>
      <c r="R40" s="112">
        <f t="shared" si="14"/>
        <v>0</v>
      </c>
      <c r="S40" s="238" t="e">
        <f t="shared" ca="1" si="46"/>
        <v>#N/A</v>
      </c>
      <c r="T40" s="112" t="e">
        <f t="shared" ca="1" si="47"/>
        <v>#N/A</v>
      </c>
      <c r="U40" s="112" t="e">
        <f t="shared" ca="1" si="48"/>
        <v>#N/A</v>
      </c>
      <c r="V40" s="112" t="e">
        <f t="shared" ca="1" si="49"/>
        <v>#N/A</v>
      </c>
      <c r="W40" s="112" t="e">
        <f t="shared" ca="1" si="50"/>
        <v>#N/A</v>
      </c>
      <c r="X40" s="112">
        <f t="shared" si="15"/>
        <v>0</v>
      </c>
      <c r="Y40" s="112"/>
      <c r="Z40" s="112"/>
      <c r="AA40" s="112">
        <f t="shared" si="16"/>
        <v>100000</v>
      </c>
      <c r="AB40" s="112" t="e">
        <f t="shared" ca="1" si="17"/>
        <v>#N/A</v>
      </c>
      <c r="AC40" s="112" t="e">
        <f t="shared" ca="1" si="18"/>
        <v>#N/A</v>
      </c>
      <c r="AD40" s="112" t="e">
        <f t="shared" ca="1" si="19"/>
        <v>#N/A</v>
      </c>
      <c r="AE40" s="112" t="e">
        <f t="shared" ca="1" si="20"/>
        <v>#N/A</v>
      </c>
      <c r="AF40" s="112">
        <f t="shared" si="21"/>
        <v>100000</v>
      </c>
      <c r="AG40" s="238">
        <f>AG39+1</f>
        <v>24</v>
      </c>
      <c r="AH40" s="112">
        <f ca="1">INDIRECT(CONCATENATE("AA",AG40))</f>
        <v>39539</v>
      </c>
      <c r="AI40" s="112">
        <f ca="1">IF(            INDIRECT(CONCATENATE( "AB",AG40))&lt;100000,       INDIRECT(CONCATENATE("AB",AG40))  -1,IF(   INDIRECT(CONCATENATE("AC",AG40))&lt;100000,   INDIRECT(CONCATENATE("AC",AG40))-1,IF(   INDIRECT(CONCATENATE("AD", AG40))&lt;100000, INDIRECT(CONCATENATE("AD",AG40))-1,IF(   INDIRECT(CONCATENATE("AE",AG40))&lt;100000,  INDIRECT(CONCATENATE("AE",G40)),INDIRECT(CONCATENATE("AF",AG40))                ))))</f>
        <v>39630</v>
      </c>
      <c r="AJ40" s="114"/>
      <c r="AK40" s="114"/>
      <c r="AL40" s="238">
        <f t="shared" ca="1" si="38"/>
        <v>1</v>
      </c>
      <c r="AM40" s="112">
        <f ca="1">IF(TYPE(AL40)=16,100000,IF(AL40=0,100000,AH40))</f>
        <v>39539</v>
      </c>
      <c r="AN40" s="112">
        <f t="shared" ca="1" si="39"/>
        <v>39630</v>
      </c>
      <c r="AO40" s="114">
        <f t="shared" ca="1" si="23"/>
        <v>4</v>
      </c>
      <c r="AP40" s="114">
        <f t="shared" ca="1" si="24"/>
        <v>18</v>
      </c>
      <c r="AQ40" s="112"/>
      <c r="AR40" s="238">
        <f t="shared" si="40"/>
        <v>40</v>
      </c>
      <c r="AS40" s="112"/>
      <c r="AT40" s="112"/>
      <c r="AU40" s="283">
        <f t="shared" si="41"/>
        <v>21</v>
      </c>
      <c r="AV40" s="284">
        <f t="shared" ca="1" si="25"/>
        <v>100000</v>
      </c>
      <c r="AW40" s="284">
        <f t="shared" ca="1" si="52"/>
        <v>100000</v>
      </c>
      <c r="AX40" s="285">
        <f t="shared" ca="1" si="27"/>
        <v>0</v>
      </c>
      <c r="AY40" s="285">
        <f t="shared" ca="1" si="28"/>
        <v>18</v>
      </c>
      <c r="AZ40" s="284"/>
      <c r="BA40" s="112"/>
      <c r="BB40" s="112">
        <f t="shared" ca="1" si="29"/>
        <v>39630</v>
      </c>
      <c r="BC40" s="114">
        <f t="shared" ca="1" si="30"/>
        <v>0</v>
      </c>
      <c r="BD40" s="114">
        <f t="shared" ca="1" si="42"/>
        <v>16</v>
      </c>
      <c r="BE40" s="112">
        <f t="shared" ca="1" si="31"/>
        <v>100000</v>
      </c>
      <c r="BF40" s="112"/>
      <c r="BG40" s="112"/>
      <c r="BH40" s="238">
        <f t="shared" si="43"/>
        <v>21</v>
      </c>
      <c r="BI40" s="245">
        <f t="shared" si="32"/>
        <v>100000</v>
      </c>
      <c r="BJ40" s="281">
        <f t="shared" ca="1" si="1"/>
        <v>16</v>
      </c>
      <c r="BK40" s="245" t="e">
        <f t="shared" ca="1" si="33"/>
        <v>#N/A</v>
      </c>
      <c r="BL40" s="245" t="e">
        <f t="shared" ca="1" si="34"/>
        <v>#N/A</v>
      </c>
      <c r="BM40" s="245"/>
      <c r="BN40" s="245" t="e">
        <f t="shared" ca="1" si="51"/>
        <v>#N/A</v>
      </c>
      <c r="BQ40" s="245"/>
      <c r="BR40" s="245"/>
      <c r="BS40" s="245"/>
      <c r="BT40" s="245"/>
      <c r="BU40" s="245"/>
      <c r="BV40" s="245"/>
      <c r="BY40" s="245"/>
      <c r="BZ40" s="245"/>
      <c r="CA40" s="245"/>
      <c r="CB40" s="245"/>
      <c r="CC40" s="245"/>
      <c r="CD40" s="245"/>
      <c r="CE40" s="245"/>
      <c r="CF40" s="245"/>
      <c r="CG40" s="245"/>
      <c r="CH40" s="245"/>
      <c r="CL40" s="112"/>
      <c r="CM40" s="112"/>
      <c r="CP40" s="112"/>
      <c r="CQ40" s="112"/>
      <c r="CR40" s="238"/>
      <c r="CS40" s="238"/>
      <c r="CT40" s="112"/>
      <c r="CU40" s="112"/>
      <c r="CV40" s="112"/>
      <c r="CW40" s="112" t="s">
        <v>224</v>
      </c>
      <c r="CX40" s="112" t="s">
        <v>225</v>
      </c>
      <c r="CY40" s="112" t="s">
        <v>226</v>
      </c>
      <c r="CZ40" s="112" t="s">
        <v>227</v>
      </c>
      <c r="DA40" s="112" t="s">
        <v>228</v>
      </c>
      <c r="DB40" s="112" t="s">
        <v>229</v>
      </c>
      <c r="DC40" s="112"/>
      <c r="DD40" s="238"/>
      <c r="DE40" s="112"/>
      <c r="DF40" s="112"/>
      <c r="DG40" s="112"/>
      <c r="DH40" s="238"/>
      <c r="DI40" s="112"/>
      <c r="DJ40" s="112"/>
      <c r="DK40" s="112"/>
      <c r="DL40" s="278" t="str">
        <f t="shared" ca="1" si="44"/>
        <v/>
      </c>
      <c r="DM40" s="245" t="str">
        <f t="shared" ca="1" si="53"/>
        <v/>
      </c>
      <c r="DN40" s="245" t="str">
        <f t="shared" ca="1" si="53"/>
        <v/>
      </c>
      <c r="DO40" s="245" t="str">
        <f t="shared" ca="1" si="53"/>
        <v/>
      </c>
      <c r="DP40" s="245" t="str">
        <f t="shared" ca="1" si="53"/>
        <v/>
      </c>
      <c r="DQ40" s="245" t="str">
        <f t="shared" ca="1" si="53"/>
        <v/>
      </c>
      <c r="DR40" s="244"/>
      <c r="DS40" s="245" t="str">
        <f t="shared" si="54"/>
        <v/>
      </c>
      <c r="DT40" s="245" t="str">
        <f t="shared" si="54"/>
        <v/>
      </c>
      <c r="DU40" s="245" t="str">
        <f t="shared" si="54"/>
        <v/>
      </c>
      <c r="DV40" s="244" t="str">
        <f t="shared" ca="1" si="7"/>
        <v/>
      </c>
      <c r="DW40" s="244"/>
      <c r="DX40" s="244" t="str">
        <f t="shared" ca="1" si="45"/>
        <v/>
      </c>
      <c r="EA40" s="244" t="b">
        <f t="shared" ca="1" si="35"/>
        <v>0</v>
      </c>
      <c r="EB40" s="278" t="e">
        <f ca="1">VLOOKUP(DM40,Foglio1!$AB$31:$AN$261,13)-6+EA40</f>
        <v>#N/A</v>
      </c>
      <c r="EC40" s="244"/>
      <c r="ED40" s="244" t="e">
        <f t="shared" ca="1" si="57"/>
        <v>#N/A</v>
      </c>
      <c r="EE40" s="244" t="e">
        <f t="shared" ca="1" si="57"/>
        <v>#N/A</v>
      </c>
      <c r="EF40" s="244" t="e">
        <f t="shared" ca="1" si="57"/>
        <v>#N/A</v>
      </c>
      <c r="EG40" s="244" t="e">
        <f t="shared" ca="1" si="56"/>
        <v>#N/A</v>
      </c>
      <c r="EH40" s="244" t="e">
        <f t="shared" ca="1" si="56"/>
        <v>#N/A</v>
      </c>
      <c r="EI40" s="244" t="e">
        <f t="shared" ca="1" si="56"/>
        <v>#N/A</v>
      </c>
      <c r="EJ40" s="244" t="e">
        <f t="shared" ca="1" si="56"/>
        <v>#N/A</v>
      </c>
      <c r="EK40" s="244" t="e">
        <f t="shared" ca="1" si="56"/>
        <v>#N/A</v>
      </c>
      <c r="EL40" s="244" t="e">
        <f t="shared" ca="1" si="56"/>
        <v>#N/A</v>
      </c>
      <c r="EM40" s="244" t="e">
        <f t="shared" ca="1" si="56"/>
        <v>#N/A</v>
      </c>
      <c r="EN40" s="244" t="e">
        <f t="shared" ca="1" si="56"/>
        <v>#N/A</v>
      </c>
      <c r="EO40" s="244" t="e">
        <f t="shared" ca="1" si="56"/>
        <v>#N/A</v>
      </c>
      <c r="EP40" s="244" t="e">
        <f t="shared" ca="1" si="56"/>
        <v>#N/A</v>
      </c>
      <c r="EQ40" s="244" t="e">
        <f t="shared" ca="1" si="56"/>
        <v>#N/A</v>
      </c>
      <c r="ER40" s="244"/>
      <c r="EW40" s="244">
        <v>0</v>
      </c>
      <c r="EX40" s="278" t="e">
        <f ca="1">VLOOKUP(DM40,Foglio1!$AB$31:$AN$261,13)-6+EW40</f>
        <v>#N/A</v>
      </c>
      <c r="EY40" s="244"/>
      <c r="EZ40" s="244" t="e">
        <f t="shared" ca="1" si="36"/>
        <v>#N/A</v>
      </c>
      <c r="FA40" s="244" t="e">
        <f t="shared" ca="1" si="55"/>
        <v>#N/A</v>
      </c>
      <c r="FB40" s="244" t="e">
        <f t="shared" ca="1" si="55"/>
        <v>#N/A</v>
      </c>
      <c r="FC40" s="244" t="e">
        <f t="shared" ca="1" si="55"/>
        <v>#N/A</v>
      </c>
      <c r="FD40" s="244" t="e">
        <f t="shared" ca="1" si="55"/>
        <v>#N/A</v>
      </c>
      <c r="FE40" s="244" t="e">
        <f t="shared" ca="1" si="55"/>
        <v>#N/A</v>
      </c>
      <c r="FF40" s="244" t="e">
        <f t="shared" ca="1" si="55"/>
        <v>#N/A</v>
      </c>
      <c r="FG40" s="244" t="e">
        <f t="shared" ca="1" si="55"/>
        <v>#N/A</v>
      </c>
      <c r="FH40" s="244" t="e">
        <f t="shared" ca="1" si="55"/>
        <v>#N/A</v>
      </c>
      <c r="FI40" s="244" t="e">
        <f t="shared" ca="1" si="55"/>
        <v>#N/A</v>
      </c>
      <c r="FJ40" s="244" t="e">
        <f t="shared" ca="1" si="55"/>
        <v>#N/A</v>
      </c>
      <c r="FK40" s="244" t="e">
        <f t="shared" ca="1" si="55"/>
        <v>#N/A</v>
      </c>
      <c r="FL40" s="244" t="e">
        <f t="shared" ca="1" si="55"/>
        <v>#N/A</v>
      </c>
      <c r="FM40" s="244" t="e">
        <f t="shared" ca="1" si="10"/>
        <v>#N/A</v>
      </c>
      <c r="FN40" s="244"/>
    </row>
    <row r="41" spans="5:170" x14ac:dyDescent="0.25">
      <c r="E41" s="244"/>
      <c r="F41" s="239"/>
      <c r="G41" s="239"/>
      <c r="L41">
        <f t="shared" si="37"/>
        <v>41</v>
      </c>
      <c r="M41" s="112" t="e">
        <f t="shared" ca="1" si="11"/>
        <v>#N/A</v>
      </c>
      <c r="N41" s="112">
        <f ca="1">IF(Foglio7!GE61="",100000,Foglio7!GE61)</f>
        <v>40422</v>
      </c>
      <c r="P41" s="238">
        <f t="shared" ca="1" si="12"/>
        <v>24</v>
      </c>
      <c r="Q41" s="238">
        <f t="shared" si="13"/>
        <v>41</v>
      </c>
      <c r="R41" s="112">
        <f t="shared" si="14"/>
        <v>0</v>
      </c>
      <c r="S41" s="238" t="e">
        <f t="shared" ca="1" si="46"/>
        <v>#N/A</v>
      </c>
      <c r="T41" s="112" t="e">
        <f t="shared" ca="1" si="47"/>
        <v>#N/A</v>
      </c>
      <c r="U41" s="112" t="e">
        <f t="shared" ca="1" si="48"/>
        <v>#N/A</v>
      </c>
      <c r="V41" s="112" t="e">
        <f t="shared" ca="1" si="49"/>
        <v>#N/A</v>
      </c>
      <c r="W41" s="112" t="e">
        <f t="shared" ca="1" si="50"/>
        <v>#N/A</v>
      </c>
      <c r="X41" s="112">
        <f t="shared" si="15"/>
        <v>0</v>
      </c>
      <c r="Y41" s="112"/>
      <c r="Z41" s="112"/>
      <c r="AA41" s="112">
        <f t="shared" si="16"/>
        <v>100000</v>
      </c>
      <c r="AB41" s="112" t="e">
        <f t="shared" ca="1" si="17"/>
        <v>#N/A</v>
      </c>
      <c r="AC41" s="112" t="e">
        <f t="shared" ca="1" si="18"/>
        <v>#N/A</v>
      </c>
      <c r="AD41" s="112" t="e">
        <f t="shared" ca="1" si="19"/>
        <v>#N/A</v>
      </c>
      <c r="AE41" s="112" t="e">
        <f t="shared" ca="1" si="20"/>
        <v>#N/A</v>
      </c>
      <c r="AF41" s="112">
        <f t="shared" si="21"/>
        <v>100000</v>
      </c>
      <c r="AG41" s="238">
        <f>AG40</f>
        <v>24</v>
      </c>
      <c r="AH41" s="112">
        <f ca="1">AI40+1</f>
        <v>39631</v>
      </c>
      <c r="AI41" s="112">
        <f ca="1">IF(INDIRECT(CONCATENATE("AC",AG40))&lt;100000,INDIRECT(CONCATENATE("AC",AG40))-1,IF(INDIRECT(CONCATENATE("AD",AG40))&lt;100000,INDIRECT(CONCATENATE("AD",AG40))-1,IF(INDIRECT(CONCATENATE("AE",AG40))&lt;100000,INDIRECT(CONCATENATE("AE",G40)),INDIRECT(CONCATENATE("AF",AG40)))))</f>
        <v>39630</v>
      </c>
      <c r="AJ41" s="114"/>
      <c r="AK41" s="114"/>
      <c r="AL41" s="238">
        <f t="shared" ca="1" si="38"/>
        <v>0</v>
      </c>
      <c r="AM41" s="112">
        <f t="shared" ref="AM41:AM104" ca="1" si="58">IF(TYPE(AL41)=16,100000,IF(AL41=0,100000,AH41))</f>
        <v>100000</v>
      </c>
      <c r="AN41" s="112">
        <f t="shared" ca="1" si="39"/>
        <v>100000</v>
      </c>
      <c r="AO41" s="114">
        <f t="shared" ca="1" si="23"/>
        <v>4</v>
      </c>
      <c r="AP41" s="114">
        <f t="shared" ca="1" si="24"/>
        <v>18</v>
      </c>
      <c r="AQ41" s="112"/>
      <c r="AR41" s="238">
        <f t="shared" si="40"/>
        <v>41</v>
      </c>
      <c r="AS41" s="112"/>
      <c r="AT41" s="112"/>
      <c r="AU41" s="283">
        <f t="shared" si="41"/>
        <v>22</v>
      </c>
      <c r="AV41" s="284">
        <f t="shared" ca="1" si="25"/>
        <v>100000</v>
      </c>
      <c r="AW41" s="284">
        <f t="shared" ca="1" si="52"/>
        <v>100000</v>
      </c>
      <c r="AX41" s="285">
        <f t="shared" ca="1" si="27"/>
        <v>0</v>
      </c>
      <c r="AY41" s="285">
        <f t="shared" ca="1" si="28"/>
        <v>18</v>
      </c>
      <c r="AZ41" s="282"/>
      <c r="BB41" s="112">
        <f t="shared" ca="1" si="29"/>
        <v>39630</v>
      </c>
      <c r="BC41" s="114">
        <f t="shared" ca="1" si="30"/>
        <v>0</v>
      </c>
      <c r="BD41" s="114">
        <f t="shared" ca="1" si="42"/>
        <v>16</v>
      </c>
      <c r="BE41" s="112">
        <f t="shared" ca="1" si="31"/>
        <v>100000</v>
      </c>
      <c r="BF41" s="112"/>
      <c r="BG41" s="112"/>
      <c r="BH41" s="238">
        <f t="shared" si="43"/>
        <v>22</v>
      </c>
      <c r="BI41" s="245">
        <f t="shared" si="32"/>
        <v>100000</v>
      </c>
      <c r="BJ41" s="281">
        <f t="shared" ca="1" si="1"/>
        <v>16</v>
      </c>
      <c r="BK41" s="245" t="e">
        <f t="shared" ca="1" si="33"/>
        <v>#N/A</v>
      </c>
      <c r="BL41" s="245" t="e">
        <f t="shared" ca="1" si="34"/>
        <v>#N/A</v>
      </c>
      <c r="BM41" s="244"/>
      <c r="BN41" s="245" t="e">
        <f t="shared" ca="1" si="51"/>
        <v>#N/A</v>
      </c>
      <c r="BQ41" s="245"/>
      <c r="BR41" s="245"/>
      <c r="BS41" s="245"/>
      <c r="BT41" s="245"/>
      <c r="BU41" s="245"/>
      <c r="BV41" s="245"/>
      <c r="BY41" s="245"/>
      <c r="BZ41" s="245"/>
      <c r="CA41" s="245"/>
      <c r="CB41" s="245"/>
      <c r="CC41" s="245"/>
      <c r="CD41" s="245"/>
      <c r="CE41" s="245"/>
      <c r="CF41" s="245"/>
      <c r="CG41" s="245"/>
      <c r="CH41" s="245"/>
      <c r="CL41" s="112"/>
      <c r="CM41" s="112"/>
      <c r="CP41" s="112"/>
      <c r="CQ41" s="112"/>
      <c r="CR41" s="238"/>
      <c r="CS41" s="238"/>
      <c r="CT41" s="112"/>
      <c r="CU41" s="112"/>
      <c r="CV41" s="112"/>
      <c r="CW41" s="112" t="s">
        <v>224</v>
      </c>
      <c r="CX41" s="112" t="s">
        <v>225</v>
      </c>
      <c r="CY41" s="112" t="s">
        <v>226</v>
      </c>
      <c r="CZ41" s="112" t="s">
        <v>227</v>
      </c>
      <c r="DA41" s="112" t="s">
        <v>228</v>
      </c>
      <c r="DB41" s="112" t="s">
        <v>229</v>
      </c>
      <c r="DC41" s="112"/>
      <c r="DD41" s="238"/>
      <c r="DE41" s="112"/>
      <c r="DF41" s="112"/>
      <c r="DG41" s="112"/>
      <c r="DH41" s="238"/>
      <c r="DI41" s="112"/>
      <c r="DJ41" s="112"/>
      <c r="DK41" s="112"/>
      <c r="DL41" s="278" t="str">
        <f t="shared" ca="1" si="44"/>
        <v/>
      </c>
      <c r="DM41" s="245" t="str">
        <f t="shared" ca="1" si="53"/>
        <v/>
      </c>
      <c r="DN41" s="245" t="str">
        <f t="shared" ca="1" si="53"/>
        <v/>
      </c>
      <c r="DO41" s="245" t="str">
        <f t="shared" ca="1" si="53"/>
        <v/>
      </c>
      <c r="DP41" s="245" t="str">
        <f t="shared" ca="1" si="53"/>
        <v/>
      </c>
      <c r="DQ41" s="245" t="str">
        <f t="shared" ca="1" si="53"/>
        <v/>
      </c>
      <c r="DR41" s="244"/>
      <c r="DS41" s="245" t="str">
        <f t="shared" si="54"/>
        <v/>
      </c>
      <c r="DT41" s="245" t="str">
        <f t="shared" si="54"/>
        <v/>
      </c>
      <c r="DU41" s="245" t="str">
        <f t="shared" si="54"/>
        <v/>
      </c>
      <c r="DV41" s="244" t="str">
        <f t="shared" ca="1" si="7"/>
        <v/>
      </c>
      <c r="DW41" s="244"/>
      <c r="DX41" s="244" t="str">
        <f t="shared" ca="1" si="45"/>
        <v/>
      </c>
      <c r="EA41" s="244" t="b">
        <f t="shared" ca="1" si="35"/>
        <v>0</v>
      </c>
      <c r="EB41" s="278" t="e">
        <f ca="1">VLOOKUP(DM41,Foglio1!$AB$31:$AN$261,13)-6+EA41</f>
        <v>#N/A</v>
      </c>
      <c r="EC41" s="244"/>
      <c r="ED41" s="244" t="e">
        <f t="shared" ca="1" si="57"/>
        <v>#N/A</v>
      </c>
      <c r="EE41" s="244" t="e">
        <f t="shared" ca="1" si="57"/>
        <v>#N/A</v>
      </c>
      <c r="EF41" s="244" t="e">
        <f t="shared" ca="1" si="57"/>
        <v>#N/A</v>
      </c>
      <c r="EG41" s="244" t="e">
        <f t="shared" ca="1" si="56"/>
        <v>#N/A</v>
      </c>
      <c r="EH41" s="244" t="e">
        <f t="shared" ca="1" si="56"/>
        <v>#N/A</v>
      </c>
      <c r="EI41" s="244" t="e">
        <f t="shared" ca="1" si="56"/>
        <v>#N/A</v>
      </c>
      <c r="EJ41" s="244" t="e">
        <f t="shared" ca="1" si="56"/>
        <v>#N/A</v>
      </c>
      <c r="EK41" s="244" t="e">
        <f t="shared" ca="1" si="56"/>
        <v>#N/A</v>
      </c>
      <c r="EL41" s="244" t="e">
        <f t="shared" ca="1" si="56"/>
        <v>#N/A</v>
      </c>
      <c r="EM41" s="244" t="e">
        <f t="shared" ca="1" si="56"/>
        <v>#N/A</v>
      </c>
      <c r="EN41" s="244" t="e">
        <f t="shared" ca="1" si="56"/>
        <v>#N/A</v>
      </c>
      <c r="EO41" s="244" t="e">
        <f t="shared" ca="1" si="56"/>
        <v>#N/A</v>
      </c>
      <c r="EP41" s="244" t="e">
        <f t="shared" ca="1" si="56"/>
        <v>#N/A</v>
      </c>
      <c r="EQ41" s="244" t="e">
        <f t="shared" ca="1" si="56"/>
        <v>#N/A</v>
      </c>
      <c r="ER41" s="244"/>
      <c r="EW41" s="244">
        <v>0</v>
      </c>
      <c r="EX41" s="278" t="e">
        <f ca="1">VLOOKUP(DM41,Foglio1!$AB$31:$AN$261,13)-6+EW41</f>
        <v>#N/A</v>
      </c>
      <c r="EY41" s="244"/>
      <c r="EZ41" s="244" t="e">
        <f t="shared" ca="1" si="36"/>
        <v>#N/A</v>
      </c>
      <c r="FA41" s="244" t="e">
        <f t="shared" ca="1" si="55"/>
        <v>#N/A</v>
      </c>
      <c r="FB41" s="244" t="e">
        <f t="shared" ca="1" si="55"/>
        <v>#N/A</v>
      </c>
      <c r="FC41" s="244" t="e">
        <f t="shared" ca="1" si="55"/>
        <v>#N/A</v>
      </c>
      <c r="FD41" s="244" t="e">
        <f t="shared" ca="1" si="55"/>
        <v>#N/A</v>
      </c>
      <c r="FE41" s="244" t="e">
        <f t="shared" ca="1" si="55"/>
        <v>#N/A</v>
      </c>
      <c r="FF41" s="244" t="e">
        <f t="shared" ca="1" si="55"/>
        <v>#N/A</v>
      </c>
      <c r="FG41" s="244" t="e">
        <f t="shared" ca="1" si="55"/>
        <v>#N/A</v>
      </c>
      <c r="FH41" s="244" t="e">
        <f t="shared" ca="1" si="55"/>
        <v>#N/A</v>
      </c>
      <c r="FI41" s="244" t="e">
        <f t="shared" ca="1" si="55"/>
        <v>#N/A</v>
      </c>
      <c r="FJ41" s="244" t="e">
        <f t="shared" ca="1" si="55"/>
        <v>#N/A</v>
      </c>
      <c r="FK41" s="244" t="e">
        <f t="shared" ca="1" si="55"/>
        <v>#N/A</v>
      </c>
      <c r="FL41" s="244" t="e">
        <f t="shared" ca="1" si="55"/>
        <v>#N/A</v>
      </c>
      <c r="FM41" s="244" t="e">
        <f t="shared" ca="1" si="10"/>
        <v>#N/A</v>
      </c>
      <c r="FN41" s="244"/>
    </row>
    <row r="42" spans="5:170" x14ac:dyDescent="0.25">
      <c r="E42" s="244"/>
      <c r="F42" s="239"/>
      <c r="G42" s="239"/>
      <c r="L42">
        <f t="shared" si="37"/>
        <v>42</v>
      </c>
      <c r="M42" s="112" t="e">
        <f t="shared" ca="1" si="11"/>
        <v>#N/A</v>
      </c>
      <c r="N42" s="112">
        <f ca="1">IF(Foglio7!GE62="",100000,Foglio7!GE62)</f>
        <v>40544</v>
      </c>
      <c r="P42" s="238">
        <f t="shared" ca="1" si="12"/>
        <v>24</v>
      </c>
      <c r="Q42" s="238">
        <f t="shared" si="13"/>
        <v>42</v>
      </c>
      <c r="R42" s="112">
        <f t="shared" si="14"/>
        <v>0</v>
      </c>
      <c r="S42" s="238" t="e">
        <f t="shared" ca="1" si="46"/>
        <v>#N/A</v>
      </c>
      <c r="T42" s="112" t="e">
        <f t="shared" ca="1" si="47"/>
        <v>#N/A</v>
      </c>
      <c r="U42" s="112" t="e">
        <f t="shared" ca="1" si="48"/>
        <v>#N/A</v>
      </c>
      <c r="V42" s="112" t="e">
        <f t="shared" ca="1" si="49"/>
        <v>#N/A</v>
      </c>
      <c r="W42" s="112" t="e">
        <f t="shared" ca="1" si="50"/>
        <v>#N/A</v>
      </c>
      <c r="X42" s="112">
        <f t="shared" si="15"/>
        <v>0</v>
      </c>
      <c r="Y42" s="112"/>
      <c r="Z42" s="112"/>
      <c r="AA42" s="112">
        <f t="shared" si="16"/>
        <v>100000</v>
      </c>
      <c r="AB42" s="112" t="e">
        <f t="shared" ca="1" si="17"/>
        <v>#N/A</v>
      </c>
      <c r="AC42" s="112" t="e">
        <f t="shared" ca="1" si="18"/>
        <v>#N/A</v>
      </c>
      <c r="AD42" s="112" t="e">
        <f t="shared" ca="1" si="19"/>
        <v>#N/A</v>
      </c>
      <c r="AE42" s="112" t="e">
        <f t="shared" ca="1" si="20"/>
        <v>#N/A</v>
      </c>
      <c r="AF42" s="112">
        <f t="shared" si="21"/>
        <v>100000</v>
      </c>
      <c r="AG42" s="238">
        <f>AG41</f>
        <v>24</v>
      </c>
      <c r="AH42" s="112">
        <f ca="1">AI41+1</f>
        <v>39631</v>
      </c>
      <c r="AI42" s="112">
        <f ca="1">IF(INDIRECT(CONCATENATE("AD",AG40))&lt;100000,INDIRECT(CONCATENATE("AD",AG40))-1,IF(INDIRECT(CONCATENATE("AE",AG40))&lt;100000,INDIRECT(CONCATENATE("AE",G40)),INDIRECT(CONCATENATE("AF",AG40))))</f>
        <v>39630</v>
      </c>
      <c r="AJ42" s="114"/>
      <c r="AK42" s="114"/>
      <c r="AL42" s="238">
        <f t="shared" ca="1" si="38"/>
        <v>0</v>
      </c>
      <c r="AM42" s="112">
        <f t="shared" ca="1" si="58"/>
        <v>100000</v>
      </c>
      <c r="AN42" s="112">
        <f t="shared" ca="1" si="39"/>
        <v>100000</v>
      </c>
      <c r="AO42" s="114">
        <f t="shared" ca="1" si="23"/>
        <v>4</v>
      </c>
      <c r="AP42" s="114">
        <f t="shared" ca="1" si="24"/>
        <v>18</v>
      </c>
      <c r="AQ42" s="112"/>
      <c r="AR42" s="238">
        <f t="shared" si="40"/>
        <v>42</v>
      </c>
      <c r="AS42" s="112"/>
      <c r="AT42" s="112"/>
      <c r="AU42" s="283">
        <f t="shared" si="41"/>
        <v>23</v>
      </c>
      <c r="AV42" s="284">
        <f t="shared" ca="1" si="25"/>
        <v>100000</v>
      </c>
      <c r="AW42" s="284">
        <f t="shared" ca="1" si="52"/>
        <v>100000</v>
      </c>
      <c r="AX42" s="285">
        <f t="shared" ca="1" si="27"/>
        <v>0</v>
      </c>
      <c r="AY42" s="285">
        <f t="shared" ca="1" si="28"/>
        <v>18</v>
      </c>
      <c r="AZ42" s="282"/>
      <c r="BB42" s="112">
        <f t="shared" ca="1" si="29"/>
        <v>39630</v>
      </c>
      <c r="BC42" s="114">
        <f t="shared" ca="1" si="30"/>
        <v>0</v>
      </c>
      <c r="BD42" s="114">
        <f t="shared" ca="1" si="42"/>
        <v>16</v>
      </c>
      <c r="BE42" s="112">
        <f t="shared" ca="1" si="31"/>
        <v>100000</v>
      </c>
      <c r="BF42" s="112"/>
      <c r="BG42" s="112"/>
      <c r="BH42" s="238">
        <f t="shared" si="43"/>
        <v>23</v>
      </c>
      <c r="BI42" s="245">
        <f t="shared" si="32"/>
        <v>100000</v>
      </c>
      <c r="BJ42" s="281">
        <f t="shared" ca="1" si="1"/>
        <v>16</v>
      </c>
      <c r="BK42" s="245" t="e">
        <f t="shared" ca="1" si="33"/>
        <v>#N/A</v>
      </c>
      <c r="BL42" s="245" t="e">
        <f t="shared" ca="1" si="34"/>
        <v>#N/A</v>
      </c>
      <c r="BM42" s="244"/>
      <c r="BN42" s="245" t="e">
        <f t="shared" ca="1" si="51"/>
        <v>#N/A</v>
      </c>
      <c r="BQ42" s="245"/>
      <c r="BR42" s="245"/>
      <c r="BS42" s="245"/>
      <c r="BT42" s="245"/>
      <c r="BU42" s="245"/>
      <c r="BV42" s="245"/>
      <c r="BY42" s="245"/>
      <c r="BZ42" s="245"/>
      <c r="CA42" s="245"/>
      <c r="CB42" s="245"/>
      <c r="CC42" s="245"/>
      <c r="CD42" s="245"/>
      <c r="CE42" s="245"/>
      <c r="CF42" s="245"/>
      <c r="CG42" s="245"/>
      <c r="CH42" s="245"/>
      <c r="CL42" s="112"/>
      <c r="CM42" s="112"/>
      <c r="CP42" s="112"/>
      <c r="CQ42" s="112"/>
      <c r="CR42" s="238"/>
      <c r="CS42" s="238"/>
      <c r="CT42" s="112"/>
      <c r="CU42" s="112"/>
      <c r="CV42" s="112"/>
      <c r="CW42" s="112" t="s">
        <v>224</v>
      </c>
      <c r="CX42" s="112" t="s">
        <v>225</v>
      </c>
      <c r="CY42" s="112" t="s">
        <v>226</v>
      </c>
      <c r="CZ42" s="112" t="s">
        <v>227</v>
      </c>
      <c r="DA42" s="112" t="s">
        <v>228</v>
      </c>
      <c r="DB42" s="112" t="s">
        <v>229</v>
      </c>
      <c r="DC42" s="112"/>
      <c r="DD42" s="238"/>
      <c r="DE42" s="112"/>
      <c r="DF42" s="112"/>
      <c r="DG42" s="112"/>
      <c r="DH42" s="238"/>
      <c r="DI42" s="112"/>
      <c r="DJ42" s="112"/>
      <c r="DK42" s="112"/>
      <c r="DL42" s="278" t="str">
        <f t="shared" ca="1" si="44"/>
        <v/>
      </c>
      <c r="DM42" s="245" t="str">
        <f t="shared" ca="1" si="53"/>
        <v/>
      </c>
      <c r="DN42" s="245" t="str">
        <f t="shared" ca="1" si="53"/>
        <v/>
      </c>
      <c r="DO42" s="245" t="str">
        <f t="shared" ca="1" si="53"/>
        <v/>
      </c>
      <c r="DP42" s="245" t="str">
        <f t="shared" ca="1" si="53"/>
        <v/>
      </c>
      <c r="DQ42" s="245" t="str">
        <f t="shared" ca="1" si="53"/>
        <v/>
      </c>
      <c r="DR42" s="244"/>
      <c r="DS42" s="245" t="str">
        <f t="shared" si="54"/>
        <v/>
      </c>
      <c r="DT42" s="245" t="str">
        <f t="shared" si="54"/>
        <v/>
      </c>
      <c r="DU42" s="245" t="str">
        <f t="shared" si="54"/>
        <v/>
      </c>
      <c r="DV42" s="244" t="str">
        <f t="shared" ca="1" si="7"/>
        <v/>
      </c>
      <c r="DW42" s="244"/>
      <c r="DX42" s="244" t="str">
        <f t="shared" ca="1" si="45"/>
        <v/>
      </c>
      <c r="EA42" s="244" t="b">
        <f t="shared" ca="1" si="35"/>
        <v>0</v>
      </c>
      <c r="EB42" s="278" t="e">
        <f ca="1">VLOOKUP(DM42,Foglio1!$AB$31:$AN$261,13)-6+EA42</f>
        <v>#N/A</v>
      </c>
      <c r="EC42" s="244"/>
      <c r="ED42" s="244" t="e">
        <f t="shared" ca="1" si="57"/>
        <v>#N/A</v>
      </c>
      <c r="EE42" s="244" t="e">
        <f t="shared" ca="1" si="57"/>
        <v>#N/A</v>
      </c>
      <c r="EF42" s="244" t="e">
        <f t="shared" ca="1" si="57"/>
        <v>#N/A</v>
      </c>
      <c r="EG42" s="244" t="e">
        <f t="shared" ca="1" si="56"/>
        <v>#N/A</v>
      </c>
      <c r="EH42" s="244" t="e">
        <f t="shared" ca="1" si="56"/>
        <v>#N/A</v>
      </c>
      <c r="EI42" s="244" t="e">
        <f t="shared" ca="1" si="56"/>
        <v>#N/A</v>
      </c>
      <c r="EJ42" s="244" t="e">
        <f t="shared" ca="1" si="56"/>
        <v>#N/A</v>
      </c>
      <c r="EK42" s="244" t="e">
        <f t="shared" ca="1" si="56"/>
        <v>#N/A</v>
      </c>
      <c r="EL42" s="244" t="e">
        <f t="shared" ca="1" si="56"/>
        <v>#N/A</v>
      </c>
      <c r="EM42" s="244" t="e">
        <f t="shared" ca="1" si="56"/>
        <v>#N/A</v>
      </c>
      <c r="EN42" s="244" t="e">
        <f t="shared" ca="1" si="56"/>
        <v>#N/A</v>
      </c>
      <c r="EO42" s="244" t="e">
        <f t="shared" ca="1" si="56"/>
        <v>#N/A</v>
      </c>
      <c r="EP42" s="244" t="e">
        <f t="shared" ca="1" si="56"/>
        <v>#N/A</v>
      </c>
      <c r="EQ42" s="244" t="e">
        <f t="shared" ca="1" si="56"/>
        <v>#N/A</v>
      </c>
      <c r="ER42" s="244"/>
      <c r="EW42" s="244">
        <v>0</v>
      </c>
      <c r="EX42" s="278" t="e">
        <f ca="1">VLOOKUP(DM42,Foglio1!$AB$31:$AN$261,13)-6+EW42</f>
        <v>#N/A</v>
      </c>
      <c r="EY42" s="244"/>
      <c r="EZ42" s="244" t="e">
        <f t="shared" ca="1" si="36"/>
        <v>#N/A</v>
      </c>
      <c r="FA42" s="244" t="e">
        <f t="shared" ca="1" si="55"/>
        <v>#N/A</v>
      </c>
      <c r="FB42" s="244" t="e">
        <f t="shared" ca="1" si="55"/>
        <v>#N/A</v>
      </c>
      <c r="FC42" s="244" t="e">
        <f t="shared" ca="1" si="55"/>
        <v>#N/A</v>
      </c>
      <c r="FD42" s="244" t="e">
        <f t="shared" ca="1" si="55"/>
        <v>#N/A</v>
      </c>
      <c r="FE42" s="244" t="e">
        <f t="shared" ca="1" si="55"/>
        <v>#N/A</v>
      </c>
      <c r="FF42" s="244" t="e">
        <f t="shared" ca="1" si="55"/>
        <v>#N/A</v>
      </c>
      <c r="FG42" s="244" t="e">
        <f t="shared" ca="1" si="55"/>
        <v>#N/A</v>
      </c>
      <c r="FH42" s="244" t="e">
        <f t="shared" ca="1" si="55"/>
        <v>#N/A</v>
      </c>
      <c r="FI42" s="244" t="e">
        <f t="shared" ca="1" si="55"/>
        <v>#N/A</v>
      </c>
      <c r="FJ42" s="244" t="e">
        <f t="shared" ca="1" si="55"/>
        <v>#N/A</v>
      </c>
      <c r="FK42" s="244" t="e">
        <f t="shared" ca="1" si="55"/>
        <v>#N/A</v>
      </c>
      <c r="FL42" s="244" t="e">
        <f t="shared" ca="1" si="55"/>
        <v>#N/A</v>
      </c>
      <c r="FM42" s="244" t="e">
        <f t="shared" ca="1" si="10"/>
        <v>#N/A</v>
      </c>
      <c r="FN42" s="244"/>
    </row>
    <row r="43" spans="5:170" x14ac:dyDescent="0.25">
      <c r="E43" s="244"/>
      <c r="F43" s="239"/>
      <c r="G43" s="239"/>
      <c r="L43">
        <f t="shared" si="37"/>
        <v>43</v>
      </c>
      <c r="M43" s="112" t="e">
        <f t="shared" ca="1" si="11"/>
        <v>#N/A</v>
      </c>
      <c r="N43" s="112">
        <f ca="1">IF(Foglio7!GE63="",100000,Foglio7!GE63)</f>
        <v>42370</v>
      </c>
      <c r="P43" s="238">
        <f t="shared" ca="1" si="12"/>
        <v>24</v>
      </c>
      <c r="Q43" s="238">
        <f t="shared" si="13"/>
        <v>43</v>
      </c>
      <c r="R43" s="112">
        <f t="shared" si="14"/>
        <v>0</v>
      </c>
      <c r="S43" s="238" t="e">
        <f t="shared" ca="1" si="46"/>
        <v>#N/A</v>
      </c>
      <c r="T43" s="112" t="e">
        <f t="shared" ca="1" si="47"/>
        <v>#N/A</v>
      </c>
      <c r="U43" s="112" t="e">
        <f t="shared" ca="1" si="48"/>
        <v>#N/A</v>
      </c>
      <c r="V43" s="112" t="e">
        <f t="shared" ca="1" si="49"/>
        <v>#N/A</v>
      </c>
      <c r="W43" s="112" t="e">
        <f t="shared" ca="1" si="50"/>
        <v>#N/A</v>
      </c>
      <c r="X43" s="112">
        <f t="shared" si="15"/>
        <v>0</v>
      </c>
      <c r="Y43" s="112"/>
      <c r="Z43" s="112"/>
      <c r="AA43" s="112">
        <f t="shared" si="16"/>
        <v>100000</v>
      </c>
      <c r="AB43" s="112" t="e">
        <f t="shared" ca="1" si="17"/>
        <v>#N/A</v>
      </c>
      <c r="AC43" s="112" t="e">
        <f t="shared" ca="1" si="18"/>
        <v>#N/A</v>
      </c>
      <c r="AD43" s="112" t="e">
        <f t="shared" ca="1" si="19"/>
        <v>#N/A</v>
      </c>
      <c r="AE43" s="112" t="e">
        <f t="shared" ca="1" si="20"/>
        <v>#N/A</v>
      </c>
      <c r="AF43" s="112">
        <f t="shared" si="21"/>
        <v>100000</v>
      </c>
      <c r="AG43" s="238">
        <f>AG42</f>
        <v>24</v>
      </c>
      <c r="AH43" s="112">
        <f ca="1">AI42+1</f>
        <v>39631</v>
      </c>
      <c r="AI43" s="112">
        <f ca="1">IF(INDIRECT(CONCATENATE("AE",AG40))&lt;100000,INDIRECT(CONCATENATE("AE",G40)),INDIRECT(CONCATENATE("AF",AG40)))</f>
        <v>39630</v>
      </c>
      <c r="AJ43" s="114"/>
      <c r="AK43" s="114"/>
      <c r="AL43" s="238">
        <f t="shared" ca="1" si="38"/>
        <v>0</v>
      </c>
      <c r="AM43" s="112">
        <f t="shared" ca="1" si="58"/>
        <v>100000</v>
      </c>
      <c r="AN43" s="112">
        <f t="shared" ca="1" si="39"/>
        <v>100000</v>
      </c>
      <c r="AO43" s="114">
        <f t="shared" ca="1" si="23"/>
        <v>4</v>
      </c>
      <c r="AP43" s="114">
        <f t="shared" ca="1" si="24"/>
        <v>18</v>
      </c>
      <c r="AQ43" s="112"/>
      <c r="AR43" s="238">
        <f t="shared" si="40"/>
        <v>43</v>
      </c>
      <c r="AS43" s="112"/>
      <c r="AT43" s="112"/>
      <c r="AU43" s="283">
        <f t="shared" si="41"/>
        <v>24</v>
      </c>
      <c r="AV43" s="284">
        <f t="shared" ca="1" si="25"/>
        <v>100000</v>
      </c>
      <c r="AW43" s="284">
        <f t="shared" ca="1" si="52"/>
        <v>100000</v>
      </c>
      <c r="AX43" s="285">
        <f t="shared" ca="1" si="27"/>
        <v>0</v>
      </c>
      <c r="AY43" s="285">
        <f t="shared" ca="1" si="28"/>
        <v>18</v>
      </c>
      <c r="AZ43" s="282"/>
      <c r="BB43" s="112">
        <f t="shared" ca="1" si="29"/>
        <v>39630</v>
      </c>
      <c r="BC43" s="114">
        <f t="shared" ca="1" si="30"/>
        <v>0</v>
      </c>
      <c r="BD43" s="114">
        <f t="shared" ca="1" si="42"/>
        <v>16</v>
      </c>
      <c r="BE43" s="112">
        <f t="shared" ca="1" si="31"/>
        <v>100000</v>
      </c>
      <c r="BF43" s="112"/>
      <c r="BG43" s="112"/>
      <c r="BH43" s="238">
        <f t="shared" si="43"/>
        <v>24</v>
      </c>
      <c r="BI43" s="245">
        <f t="shared" si="32"/>
        <v>100000</v>
      </c>
      <c r="BJ43" s="281">
        <f t="shared" ca="1" si="1"/>
        <v>16</v>
      </c>
      <c r="BK43" s="245" t="e">
        <f t="shared" ca="1" si="33"/>
        <v>#N/A</v>
      </c>
      <c r="BL43" s="245" t="e">
        <f t="shared" ca="1" si="34"/>
        <v>#N/A</v>
      </c>
      <c r="BM43" s="244"/>
      <c r="BN43" s="245" t="e">
        <f t="shared" ca="1" si="51"/>
        <v>#N/A</v>
      </c>
      <c r="BQ43" s="245"/>
      <c r="BR43" s="245"/>
      <c r="BS43" s="245"/>
      <c r="BT43" s="245"/>
      <c r="BU43" s="245"/>
      <c r="BV43" s="245"/>
      <c r="BY43" s="245"/>
      <c r="BZ43" s="245"/>
      <c r="CA43" s="245"/>
      <c r="CB43" s="245"/>
      <c r="CC43" s="245"/>
      <c r="CD43" s="245"/>
      <c r="CE43" s="245"/>
      <c r="CF43" s="245"/>
      <c r="CG43" s="245"/>
      <c r="CH43" s="245"/>
      <c r="CL43" s="112"/>
      <c r="CM43" s="112"/>
      <c r="CP43" s="112"/>
      <c r="CQ43" s="112"/>
      <c r="CR43" s="238"/>
      <c r="CS43" s="238"/>
      <c r="CT43" s="112"/>
      <c r="CU43" s="112"/>
      <c r="CV43" s="112"/>
      <c r="CW43" s="112" t="s">
        <v>224</v>
      </c>
      <c r="CX43" s="112" t="s">
        <v>225</v>
      </c>
      <c r="CY43" s="112" t="s">
        <v>226</v>
      </c>
      <c r="CZ43" s="112" t="s">
        <v>227</v>
      </c>
      <c r="DA43" s="112" t="s">
        <v>228</v>
      </c>
      <c r="DB43" s="112" t="s">
        <v>229</v>
      </c>
      <c r="DC43" s="112"/>
      <c r="DD43" s="238"/>
      <c r="DE43" s="112"/>
      <c r="DF43" s="112"/>
      <c r="DG43" s="112"/>
      <c r="DH43" s="238"/>
      <c r="DI43" s="112"/>
      <c r="DJ43" s="112"/>
      <c r="DK43" s="112"/>
      <c r="DL43" s="278" t="str">
        <f t="shared" ca="1" si="44"/>
        <v/>
      </c>
      <c r="DM43" s="245" t="str">
        <f t="shared" ca="1" si="53"/>
        <v/>
      </c>
      <c r="DN43" s="245" t="str">
        <f t="shared" ca="1" si="53"/>
        <v/>
      </c>
      <c r="DO43" s="245" t="str">
        <f t="shared" ca="1" si="53"/>
        <v/>
      </c>
      <c r="DP43" s="245" t="str">
        <f t="shared" ca="1" si="53"/>
        <v/>
      </c>
      <c r="DQ43" s="245" t="str">
        <f t="shared" ca="1" si="53"/>
        <v/>
      </c>
      <c r="DR43" s="244"/>
      <c r="DS43" s="245" t="str">
        <f t="shared" si="54"/>
        <v/>
      </c>
      <c r="DT43" s="245" t="str">
        <f t="shared" si="54"/>
        <v/>
      </c>
      <c r="DU43" s="245" t="str">
        <f t="shared" si="54"/>
        <v/>
      </c>
      <c r="DV43" s="244" t="str">
        <f t="shared" ca="1" si="7"/>
        <v/>
      </c>
      <c r="DW43" s="244"/>
      <c r="DX43" s="244" t="str">
        <f t="shared" ca="1" si="45"/>
        <v/>
      </c>
      <c r="EA43" s="244" t="b">
        <f t="shared" ca="1" si="35"/>
        <v>0</v>
      </c>
      <c r="EB43" s="278" t="e">
        <f ca="1">VLOOKUP(DM43,Foglio1!$AB$31:$AN$261,13)-6+EA43</f>
        <v>#N/A</v>
      </c>
      <c r="EC43" s="244"/>
      <c r="ED43" s="244" t="e">
        <f t="shared" ca="1" si="57"/>
        <v>#N/A</v>
      </c>
      <c r="EE43" s="244" t="e">
        <f t="shared" ca="1" si="57"/>
        <v>#N/A</v>
      </c>
      <c r="EF43" s="244" t="e">
        <f t="shared" ca="1" si="57"/>
        <v>#N/A</v>
      </c>
      <c r="EG43" s="244" t="e">
        <f t="shared" ca="1" si="56"/>
        <v>#N/A</v>
      </c>
      <c r="EH43" s="244" t="e">
        <f t="shared" ca="1" si="56"/>
        <v>#N/A</v>
      </c>
      <c r="EI43" s="244" t="e">
        <f t="shared" ca="1" si="56"/>
        <v>#N/A</v>
      </c>
      <c r="EJ43" s="244" t="e">
        <f t="shared" ca="1" si="56"/>
        <v>#N/A</v>
      </c>
      <c r="EK43" s="244" t="e">
        <f t="shared" ca="1" si="56"/>
        <v>#N/A</v>
      </c>
      <c r="EL43" s="244" t="e">
        <f t="shared" ca="1" si="56"/>
        <v>#N/A</v>
      </c>
      <c r="EM43" s="244" t="e">
        <f t="shared" ca="1" si="56"/>
        <v>#N/A</v>
      </c>
      <c r="EN43" s="244" t="e">
        <f t="shared" ca="1" si="56"/>
        <v>#N/A</v>
      </c>
      <c r="EO43" s="244" t="e">
        <f t="shared" ca="1" si="56"/>
        <v>#N/A</v>
      </c>
      <c r="EP43" s="244" t="e">
        <f t="shared" ca="1" si="56"/>
        <v>#N/A</v>
      </c>
      <c r="EQ43" s="244" t="e">
        <f t="shared" ca="1" si="56"/>
        <v>#N/A</v>
      </c>
      <c r="ER43" s="244"/>
      <c r="EW43" s="244">
        <v>0</v>
      </c>
      <c r="EX43" s="278" t="e">
        <f ca="1">VLOOKUP(DM43,Foglio1!$AB$31:$AN$261,13)-6+EW43</f>
        <v>#N/A</v>
      </c>
      <c r="EY43" s="244"/>
      <c r="EZ43" s="244" t="e">
        <f t="shared" ca="1" si="36"/>
        <v>#N/A</v>
      </c>
      <c r="FA43" s="244" t="e">
        <f t="shared" ca="1" si="55"/>
        <v>#N/A</v>
      </c>
      <c r="FB43" s="244" t="e">
        <f t="shared" ca="1" si="55"/>
        <v>#N/A</v>
      </c>
      <c r="FC43" s="244" t="e">
        <f t="shared" ca="1" si="55"/>
        <v>#N/A</v>
      </c>
      <c r="FD43" s="244" t="e">
        <f t="shared" ca="1" si="55"/>
        <v>#N/A</v>
      </c>
      <c r="FE43" s="244" t="e">
        <f t="shared" ca="1" si="55"/>
        <v>#N/A</v>
      </c>
      <c r="FF43" s="244" t="e">
        <f t="shared" ca="1" si="55"/>
        <v>#N/A</v>
      </c>
      <c r="FG43" s="244" t="e">
        <f t="shared" ca="1" si="55"/>
        <v>#N/A</v>
      </c>
      <c r="FH43" s="244" t="e">
        <f t="shared" ca="1" si="55"/>
        <v>#N/A</v>
      </c>
      <c r="FI43" s="244" t="e">
        <f t="shared" ca="1" si="55"/>
        <v>#N/A</v>
      </c>
      <c r="FJ43" s="244" t="e">
        <f t="shared" ca="1" si="55"/>
        <v>#N/A</v>
      </c>
      <c r="FK43" s="244" t="e">
        <f t="shared" ca="1" si="55"/>
        <v>#N/A</v>
      </c>
      <c r="FL43" s="244" t="e">
        <f t="shared" ca="1" si="55"/>
        <v>#N/A</v>
      </c>
      <c r="FM43" s="244" t="e">
        <f t="shared" ca="1" si="10"/>
        <v>#N/A</v>
      </c>
      <c r="FN43" s="244"/>
    </row>
    <row r="44" spans="5:170" x14ac:dyDescent="0.25">
      <c r="E44" s="244"/>
      <c r="F44" s="239"/>
      <c r="G44" s="239"/>
      <c r="L44">
        <f t="shared" si="37"/>
        <v>44</v>
      </c>
      <c r="M44" s="112" t="e">
        <f t="shared" ca="1" si="11"/>
        <v>#N/A</v>
      </c>
      <c r="N44" s="112">
        <f ca="1">IF(Foglio7!GE64="",100000,Foglio7!GE64)</f>
        <v>42736</v>
      </c>
      <c r="P44" s="238">
        <f t="shared" ca="1" si="12"/>
        <v>24</v>
      </c>
      <c r="Q44" s="238">
        <f t="shared" si="13"/>
        <v>44</v>
      </c>
      <c r="R44" s="112">
        <f t="shared" si="14"/>
        <v>0</v>
      </c>
      <c r="S44" s="238" t="e">
        <f t="shared" ca="1" si="46"/>
        <v>#N/A</v>
      </c>
      <c r="T44" s="112" t="e">
        <f t="shared" ca="1" si="47"/>
        <v>#N/A</v>
      </c>
      <c r="U44" s="112" t="e">
        <f t="shared" ca="1" si="48"/>
        <v>#N/A</v>
      </c>
      <c r="V44" s="112" t="e">
        <f t="shared" ca="1" si="49"/>
        <v>#N/A</v>
      </c>
      <c r="W44" s="112" t="e">
        <f t="shared" ca="1" si="50"/>
        <v>#N/A</v>
      </c>
      <c r="X44" s="112">
        <f t="shared" si="15"/>
        <v>0</v>
      </c>
      <c r="Y44" s="112"/>
      <c r="Z44" s="112"/>
      <c r="AA44" s="112">
        <f t="shared" si="16"/>
        <v>100000</v>
      </c>
      <c r="AB44" s="112" t="e">
        <f t="shared" ca="1" si="17"/>
        <v>#N/A</v>
      </c>
      <c r="AC44" s="112" t="e">
        <f t="shared" ca="1" si="18"/>
        <v>#N/A</v>
      </c>
      <c r="AD44" s="112" t="e">
        <f t="shared" ca="1" si="19"/>
        <v>#N/A</v>
      </c>
      <c r="AE44" s="112" t="e">
        <f t="shared" ca="1" si="20"/>
        <v>#N/A</v>
      </c>
      <c r="AF44" s="112">
        <f t="shared" si="21"/>
        <v>100000</v>
      </c>
      <c r="AG44" s="238">
        <f>AG43</f>
        <v>24</v>
      </c>
      <c r="AH44" s="112">
        <f ca="1">AI43+1</f>
        <v>39631</v>
      </c>
      <c r="AI44" s="112">
        <f ca="1">INDIRECT(CONCATENATE("AF",AG40))</f>
        <v>39630</v>
      </c>
      <c r="AJ44" s="114"/>
      <c r="AK44" s="114"/>
      <c r="AL44" s="238">
        <f t="shared" ca="1" si="38"/>
        <v>0</v>
      </c>
      <c r="AM44" s="112">
        <f t="shared" ca="1" si="58"/>
        <v>100000</v>
      </c>
      <c r="AN44" s="112">
        <f t="shared" ca="1" si="39"/>
        <v>100000</v>
      </c>
      <c r="AO44" s="114">
        <f t="shared" ca="1" si="23"/>
        <v>4</v>
      </c>
      <c r="AP44" s="114">
        <f t="shared" ca="1" si="24"/>
        <v>18</v>
      </c>
      <c r="AQ44" s="112"/>
      <c r="AR44" s="238">
        <f t="shared" si="40"/>
        <v>44</v>
      </c>
      <c r="AS44" s="112"/>
      <c r="AT44" s="112"/>
      <c r="AU44" s="283">
        <f t="shared" si="41"/>
        <v>25</v>
      </c>
      <c r="AV44" s="284">
        <f t="shared" ca="1" si="25"/>
        <v>100000</v>
      </c>
      <c r="AW44" s="284">
        <f t="shared" ca="1" si="52"/>
        <v>100000</v>
      </c>
      <c r="AX44" s="285">
        <f t="shared" ca="1" si="27"/>
        <v>0</v>
      </c>
      <c r="AY44" s="285">
        <f t="shared" ca="1" si="28"/>
        <v>18</v>
      </c>
      <c r="AZ44" s="282"/>
      <c r="BB44" s="112">
        <f t="shared" ca="1" si="29"/>
        <v>39630</v>
      </c>
      <c r="BC44" s="114">
        <f t="shared" ca="1" si="30"/>
        <v>0</v>
      </c>
      <c r="BD44" s="114">
        <f t="shared" ca="1" si="42"/>
        <v>16</v>
      </c>
      <c r="BE44" s="112">
        <f t="shared" ca="1" si="31"/>
        <v>100000</v>
      </c>
      <c r="BF44" s="112"/>
      <c r="BG44" s="112"/>
      <c r="BH44" s="238">
        <f t="shared" si="43"/>
        <v>25</v>
      </c>
      <c r="BI44" s="245">
        <f t="shared" si="32"/>
        <v>100000</v>
      </c>
      <c r="BJ44" s="281">
        <f t="shared" ca="1" si="1"/>
        <v>16</v>
      </c>
      <c r="BK44" s="245" t="e">
        <f t="shared" ca="1" si="33"/>
        <v>#N/A</v>
      </c>
      <c r="BL44" s="245" t="e">
        <f t="shared" ca="1" si="34"/>
        <v>#N/A</v>
      </c>
      <c r="BM44" s="244"/>
      <c r="BN44" s="245" t="e">
        <f t="shared" ca="1" si="51"/>
        <v>#N/A</v>
      </c>
      <c r="BQ44" s="245"/>
      <c r="BR44" s="245"/>
      <c r="BS44" s="245"/>
      <c r="BT44" s="245"/>
      <c r="BU44" s="245"/>
      <c r="BV44" s="245"/>
      <c r="BY44" s="245"/>
      <c r="BZ44" s="245"/>
      <c r="CA44" s="245"/>
      <c r="CB44" s="245"/>
      <c r="CC44" s="245"/>
      <c r="CD44" s="245"/>
      <c r="CE44" s="245"/>
      <c r="CF44" s="245"/>
      <c r="CG44" s="245"/>
      <c r="CH44" s="245"/>
      <c r="CL44" s="112"/>
      <c r="CM44" s="112"/>
      <c r="CP44" s="112"/>
      <c r="CQ44" s="112"/>
      <c r="CR44" s="238"/>
      <c r="CS44" s="238"/>
      <c r="CT44" s="112"/>
      <c r="CU44" s="112"/>
      <c r="CV44" s="112"/>
      <c r="CW44" s="112" t="s">
        <v>224</v>
      </c>
      <c r="CX44" s="112" t="s">
        <v>225</v>
      </c>
      <c r="CY44" s="112" t="s">
        <v>226</v>
      </c>
      <c r="CZ44" s="112" t="s">
        <v>227</v>
      </c>
      <c r="DA44" s="112" t="s">
        <v>228</v>
      </c>
      <c r="DB44" s="112" t="s">
        <v>229</v>
      </c>
      <c r="DC44" s="112"/>
      <c r="DD44" s="238"/>
      <c r="DE44" s="112"/>
      <c r="DF44" s="112"/>
      <c r="DG44" s="112"/>
      <c r="DH44" s="238"/>
      <c r="DI44" s="112"/>
      <c r="DJ44" s="112"/>
      <c r="DK44" s="112"/>
      <c r="DL44" s="278" t="str">
        <f t="shared" ca="1" si="44"/>
        <v/>
      </c>
      <c r="DM44" s="245" t="str">
        <f t="shared" ca="1" si="53"/>
        <v/>
      </c>
      <c r="DN44" s="245" t="str">
        <f t="shared" ca="1" si="53"/>
        <v/>
      </c>
      <c r="DO44" s="245" t="str">
        <f t="shared" ca="1" si="53"/>
        <v/>
      </c>
      <c r="DP44" s="245" t="str">
        <f t="shared" ca="1" si="53"/>
        <v/>
      </c>
      <c r="DQ44" s="245" t="str">
        <f t="shared" ca="1" si="53"/>
        <v/>
      </c>
      <c r="DR44" s="244"/>
      <c r="DS44" s="245" t="str">
        <f t="shared" si="54"/>
        <v/>
      </c>
      <c r="DT44" s="245" t="str">
        <f t="shared" si="54"/>
        <v/>
      </c>
      <c r="DU44" s="245" t="str">
        <f t="shared" si="54"/>
        <v/>
      </c>
      <c r="DV44" s="244" t="str">
        <f t="shared" ca="1" si="7"/>
        <v/>
      </c>
      <c r="DW44" s="244"/>
      <c r="DX44" s="244" t="str">
        <f t="shared" ca="1" si="45"/>
        <v/>
      </c>
      <c r="EA44" s="244" t="b">
        <f t="shared" ca="1" si="35"/>
        <v>0</v>
      </c>
      <c r="EB44" s="278" t="e">
        <f ca="1">VLOOKUP(DM44,Foglio1!$AB$31:$AN$261,13)-6+EA44</f>
        <v>#N/A</v>
      </c>
      <c r="EC44" s="244"/>
      <c r="ED44" s="244" t="e">
        <f t="shared" ca="1" si="57"/>
        <v>#N/A</v>
      </c>
      <c r="EE44" s="244" t="e">
        <f t="shared" ca="1" si="57"/>
        <v>#N/A</v>
      </c>
      <c r="EF44" s="244" t="e">
        <f t="shared" ca="1" si="57"/>
        <v>#N/A</v>
      </c>
      <c r="EG44" s="244" t="e">
        <f t="shared" ca="1" si="56"/>
        <v>#N/A</v>
      </c>
      <c r="EH44" s="244" t="e">
        <f t="shared" ca="1" si="56"/>
        <v>#N/A</v>
      </c>
      <c r="EI44" s="244" t="e">
        <f t="shared" ca="1" si="56"/>
        <v>#N/A</v>
      </c>
      <c r="EJ44" s="244" t="e">
        <f t="shared" ca="1" si="56"/>
        <v>#N/A</v>
      </c>
      <c r="EK44" s="244" t="e">
        <f t="shared" ca="1" si="56"/>
        <v>#N/A</v>
      </c>
      <c r="EL44" s="244" t="e">
        <f t="shared" ca="1" si="56"/>
        <v>#N/A</v>
      </c>
      <c r="EM44" s="244" t="e">
        <f t="shared" ca="1" si="56"/>
        <v>#N/A</v>
      </c>
      <c r="EN44" s="244" t="e">
        <f t="shared" ca="1" si="56"/>
        <v>#N/A</v>
      </c>
      <c r="EO44" s="244" t="e">
        <f t="shared" ca="1" si="56"/>
        <v>#N/A</v>
      </c>
      <c r="EP44" s="244" t="e">
        <f t="shared" ca="1" si="56"/>
        <v>#N/A</v>
      </c>
      <c r="EQ44" s="244" t="e">
        <f t="shared" ca="1" si="56"/>
        <v>#N/A</v>
      </c>
      <c r="ER44" s="244"/>
      <c r="EW44" s="244">
        <v>0</v>
      </c>
      <c r="EX44" s="278" t="e">
        <f ca="1">VLOOKUP(DM44,Foglio1!$AB$31:$AN$261,13)-6+EW44</f>
        <v>#N/A</v>
      </c>
      <c r="EY44" s="244"/>
      <c r="EZ44" s="244" t="e">
        <f t="shared" ca="1" si="36"/>
        <v>#N/A</v>
      </c>
      <c r="FA44" s="244" t="e">
        <f t="shared" ca="1" si="55"/>
        <v>#N/A</v>
      </c>
      <c r="FB44" s="244" t="e">
        <f t="shared" ca="1" si="55"/>
        <v>#N/A</v>
      </c>
      <c r="FC44" s="244" t="e">
        <f t="shared" ca="1" si="55"/>
        <v>#N/A</v>
      </c>
      <c r="FD44" s="244" t="e">
        <f t="shared" ca="1" si="55"/>
        <v>#N/A</v>
      </c>
      <c r="FE44" s="244" t="e">
        <f t="shared" ca="1" si="55"/>
        <v>#N/A</v>
      </c>
      <c r="FF44" s="244" t="e">
        <f t="shared" ca="1" si="55"/>
        <v>#N/A</v>
      </c>
      <c r="FG44" s="244" t="e">
        <f t="shared" ca="1" si="55"/>
        <v>#N/A</v>
      </c>
      <c r="FH44" s="244" t="e">
        <f t="shared" ca="1" si="55"/>
        <v>#N/A</v>
      </c>
      <c r="FI44" s="244" t="e">
        <f t="shared" ca="1" si="55"/>
        <v>#N/A</v>
      </c>
      <c r="FJ44" s="244" t="e">
        <f t="shared" ca="1" si="55"/>
        <v>#N/A</v>
      </c>
      <c r="FK44" s="244" t="e">
        <f t="shared" ca="1" si="55"/>
        <v>#N/A</v>
      </c>
      <c r="FL44" s="244" t="e">
        <f t="shared" ca="1" si="55"/>
        <v>#N/A</v>
      </c>
      <c r="FM44" s="244" t="e">
        <f t="shared" ca="1" si="10"/>
        <v>#N/A</v>
      </c>
      <c r="FN44" s="244"/>
    </row>
    <row r="45" spans="5:170" x14ac:dyDescent="0.25">
      <c r="E45" s="244"/>
      <c r="F45" s="239"/>
      <c r="G45" s="239"/>
      <c r="L45">
        <f t="shared" si="37"/>
        <v>45</v>
      </c>
      <c r="M45" s="112" t="e">
        <f t="shared" ca="1" si="11"/>
        <v>#N/A</v>
      </c>
      <c r="N45" s="112">
        <f ca="1">IF(Foglio7!GE65="",100000,Foglio7!GE65)</f>
        <v>42782</v>
      </c>
      <c r="P45" s="238">
        <f t="shared" ca="1" si="12"/>
        <v>24</v>
      </c>
      <c r="Q45" s="238">
        <f t="shared" si="13"/>
        <v>45</v>
      </c>
      <c r="R45" s="112">
        <f t="shared" si="14"/>
        <v>0</v>
      </c>
      <c r="S45" s="238" t="e">
        <f t="shared" ca="1" si="46"/>
        <v>#N/A</v>
      </c>
      <c r="T45" s="112" t="e">
        <f t="shared" ca="1" si="47"/>
        <v>#N/A</v>
      </c>
      <c r="U45" s="112" t="e">
        <f t="shared" ca="1" si="48"/>
        <v>#N/A</v>
      </c>
      <c r="V45" s="112" t="e">
        <f t="shared" ca="1" si="49"/>
        <v>#N/A</v>
      </c>
      <c r="W45" s="112" t="e">
        <f t="shared" ca="1" si="50"/>
        <v>#N/A</v>
      </c>
      <c r="X45" s="112">
        <f t="shared" si="15"/>
        <v>0</v>
      </c>
      <c r="Y45" s="112"/>
      <c r="Z45" s="112"/>
      <c r="AA45" s="112">
        <f t="shared" si="16"/>
        <v>100000</v>
      </c>
      <c r="AB45" s="112" t="e">
        <f t="shared" ca="1" si="17"/>
        <v>#N/A</v>
      </c>
      <c r="AC45" s="112" t="e">
        <f t="shared" ca="1" si="18"/>
        <v>#N/A</v>
      </c>
      <c r="AD45" s="112" t="e">
        <f t="shared" ca="1" si="19"/>
        <v>#N/A</v>
      </c>
      <c r="AE45" s="112" t="e">
        <f t="shared" ca="1" si="20"/>
        <v>#N/A</v>
      </c>
      <c r="AF45" s="112">
        <f t="shared" si="21"/>
        <v>100000</v>
      </c>
      <c r="AG45" s="238">
        <f>AG44+1</f>
        <v>25</v>
      </c>
      <c r="AH45" s="112">
        <f ca="1">INDIRECT(CONCATENATE("AA",AG45))</f>
        <v>100000</v>
      </c>
      <c r="AI45" s="112" t="e">
        <f ca="1">IF(            INDIRECT(CONCATENATE( "AB",AG45))&lt;100000,       INDIRECT(CONCATENATE("AB",AG45))  -1,IF(   INDIRECT(CONCATENATE("AC",AG45))&lt;100000,   INDIRECT(CONCATENATE("AC",AG45))-1,IF(   INDIRECT(CONCATENATE("AD", AG45))&lt;100000, INDIRECT(CONCATENATE("AD",AG45))-1,IF(   INDIRECT(CONCATENATE("AE",AG45))&lt;100000,  INDIRECT(CONCATENATE("AE",G45)),INDIRECT(CONCATENATE("AF",AG45))                ))))</f>
        <v>#N/A</v>
      </c>
      <c r="AJ45" s="114"/>
      <c r="AK45" s="114"/>
      <c r="AL45" s="238" t="e">
        <f t="shared" ca="1" si="38"/>
        <v>#N/A</v>
      </c>
      <c r="AM45" s="112">
        <f t="shared" ca="1" si="58"/>
        <v>100000</v>
      </c>
      <c r="AN45" s="112">
        <f t="shared" ca="1" si="39"/>
        <v>100000</v>
      </c>
      <c r="AO45" s="114">
        <f t="shared" ca="1" si="23"/>
        <v>5</v>
      </c>
      <c r="AP45" s="114">
        <f t="shared" ca="1" si="24"/>
        <v>18</v>
      </c>
      <c r="AQ45" s="112"/>
      <c r="AR45" s="238">
        <f t="shared" si="40"/>
        <v>45</v>
      </c>
      <c r="AS45" s="112"/>
      <c r="AT45" s="112"/>
      <c r="AU45" s="283">
        <f t="shared" si="41"/>
        <v>26</v>
      </c>
      <c r="AV45" s="284">
        <f t="shared" ca="1" si="25"/>
        <v>100000</v>
      </c>
      <c r="AW45" s="284">
        <f t="shared" ca="1" si="52"/>
        <v>100000</v>
      </c>
      <c r="AX45" s="285">
        <f t="shared" ca="1" si="27"/>
        <v>0</v>
      </c>
      <c r="AY45" s="285">
        <f t="shared" ca="1" si="28"/>
        <v>18</v>
      </c>
      <c r="AZ45" s="282"/>
      <c r="BB45" s="112">
        <f t="shared" ca="1" si="29"/>
        <v>39630</v>
      </c>
      <c r="BC45" s="114">
        <f t="shared" ca="1" si="30"/>
        <v>0</v>
      </c>
      <c r="BD45" s="114">
        <f t="shared" ca="1" si="42"/>
        <v>16</v>
      </c>
      <c r="BE45" s="112">
        <f t="shared" ca="1" si="31"/>
        <v>100000</v>
      </c>
      <c r="BF45" s="112"/>
      <c r="BG45" s="112"/>
      <c r="BH45" s="238">
        <f t="shared" si="43"/>
        <v>26</v>
      </c>
      <c r="BI45" s="245">
        <f t="shared" si="32"/>
        <v>100000</v>
      </c>
      <c r="BJ45" s="281">
        <f t="shared" ca="1" si="1"/>
        <v>16</v>
      </c>
      <c r="BK45" s="245" t="e">
        <f t="shared" ca="1" si="33"/>
        <v>#N/A</v>
      </c>
      <c r="BL45" s="245" t="e">
        <f t="shared" ca="1" si="34"/>
        <v>#N/A</v>
      </c>
      <c r="BM45" s="244"/>
      <c r="BN45" s="245" t="e">
        <f t="shared" ca="1" si="51"/>
        <v>#N/A</v>
      </c>
      <c r="BQ45" s="245"/>
      <c r="BR45" s="245"/>
      <c r="BS45" s="245"/>
      <c r="BT45" s="245"/>
      <c r="BU45" s="245"/>
      <c r="BV45" s="245"/>
      <c r="BY45" s="245"/>
      <c r="BZ45" s="245"/>
      <c r="CA45" s="245"/>
      <c r="CB45" s="245"/>
      <c r="CC45" s="245"/>
      <c r="CD45" s="245"/>
      <c r="CE45" s="245"/>
      <c r="CF45" s="245"/>
      <c r="CG45" s="245"/>
      <c r="CH45" s="245"/>
      <c r="CL45" s="112"/>
      <c r="CM45" s="112"/>
      <c r="CP45" s="112"/>
      <c r="CQ45" s="112"/>
      <c r="CR45" s="238"/>
      <c r="CS45" s="238"/>
      <c r="CT45" s="112"/>
      <c r="CU45" s="112"/>
      <c r="CV45" s="112"/>
      <c r="CW45" s="112" t="s">
        <v>224</v>
      </c>
      <c r="CX45" s="112" t="s">
        <v>225</v>
      </c>
      <c r="CY45" s="112" t="s">
        <v>226</v>
      </c>
      <c r="CZ45" s="112" t="s">
        <v>227</v>
      </c>
      <c r="DA45" s="112" t="s">
        <v>228</v>
      </c>
      <c r="DB45" s="112" t="s">
        <v>229</v>
      </c>
      <c r="DC45" s="112"/>
      <c r="DD45" s="238"/>
      <c r="DE45" s="112"/>
      <c r="DF45" s="112"/>
      <c r="DG45" s="112"/>
      <c r="DH45" s="238"/>
      <c r="DI45" s="112"/>
      <c r="DJ45" s="112"/>
      <c r="DK45" s="112"/>
      <c r="DL45" s="278" t="str">
        <f t="shared" ca="1" si="44"/>
        <v/>
      </c>
      <c r="DM45" s="245" t="str">
        <f t="shared" ca="1" si="53"/>
        <v/>
      </c>
      <c r="DN45" s="245" t="str">
        <f t="shared" ca="1" si="53"/>
        <v/>
      </c>
      <c r="DO45" s="245" t="str">
        <f t="shared" ca="1" si="53"/>
        <v/>
      </c>
      <c r="DP45" s="245" t="str">
        <f t="shared" ca="1" si="53"/>
        <v/>
      </c>
      <c r="DQ45" s="245" t="str">
        <f t="shared" ca="1" si="53"/>
        <v/>
      </c>
      <c r="DR45" s="244"/>
      <c r="DS45" s="245" t="str">
        <f t="shared" si="54"/>
        <v/>
      </c>
      <c r="DT45" s="245" t="str">
        <f t="shared" si="54"/>
        <v/>
      </c>
      <c r="DU45" s="245" t="str">
        <f t="shared" si="54"/>
        <v/>
      </c>
      <c r="DV45" s="244" t="str">
        <f t="shared" ca="1" si="7"/>
        <v/>
      </c>
      <c r="DW45" s="244"/>
      <c r="DX45" s="244" t="str">
        <f t="shared" ca="1" si="45"/>
        <v/>
      </c>
      <c r="EA45" s="244" t="b">
        <f t="shared" ca="1" si="35"/>
        <v>0</v>
      </c>
      <c r="EB45" s="278" t="e">
        <f ca="1">VLOOKUP(DM45,Foglio1!$AB$31:$AN$261,13)-6+EA45</f>
        <v>#N/A</v>
      </c>
      <c r="EC45" s="244"/>
      <c r="ED45" s="244" t="e">
        <f t="shared" ca="1" si="57"/>
        <v>#N/A</v>
      </c>
      <c r="EE45" s="244" t="e">
        <f t="shared" ca="1" si="57"/>
        <v>#N/A</v>
      </c>
      <c r="EF45" s="244" t="e">
        <f t="shared" ca="1" si="57"/>
        <v>#N/A</v>
      </c>
      <c r="EG45" s="244" t="e">
        <f t="shared" ca="1" si="56"/>
        <v>#N/A</v>
      </c>
      <c r="EH45" s="244" t="e">
        <f t="shared" ca="1" si="56"/>
        <v>#N/A</v>
      </c>
      <c r="EI45" s="244" t="e">
        <f t="shared" ca="1" si="56"/>
        <v>#N/A</v>
      </c>
      <c r="EJ45" s="244" t="e">
        <f t="shared" ca="1" si="56"/>
        <v>#N/A</v>
      </c>
      <c r="EK45" s="244" t="e">
        <f t="shared" ca="1" si="56"/>
        <v>#N/A</v>
      </c>
      <c r="EL45" s="244" t="e">
        <f t="shared" ca="1" si="56"/>
        <v>#N/A</v>
      </c>
      <c r="EM45" s="244" t="e">
        <f t="shared" ca="1" si="56"/>
        <v>#N/A</v>
      </c>
      <c r="EN45" s="244" t="e">
        <f t="shared" ca="1" si="56"/>
        <v>#N/A</v>
      </c>
      <c r="EO45" s="244" t="e">
        <f t="shared" ca="1" si="56"/>
        <v>#N/A</v>
      </c>
      <c r="EP45" s="244" t="e">
        <f t="shared" ca="1" si="56"/>
        <v>#N/A</v>
      </c>
      <c r="EQ45" s="244" t="e">
        <f t="shared" ca="1" si="56"/>
        <v>#N/A</v>
      </c>
      <c r="ER45" s="244"/>
      <c r="EW45" s="244">
        <v>0</v>
      </c>
      <c r="EX45" s="278" t="e">
        <f ca="1">VLOOKUP(DM45,Foglio1!$AB$31:$AN$261,13)-6+EW45</f>
        <v>#N/A</v>
      </c>
      <c r="EY45" s="244"/>
      <c r="EZ45" s="244" t="e">
        <f t="shared" ca="1" si="36"/>
        <v>#N/A</v>
      </c>
      <c r="FA45" s="244" t="e">
        <f t="shared" ca="1" si="55"/>
        <v>#N/A</v>
      </c>
      <c r="FB45" s="244" t="e">
        <f t="shared" ca="1" si="55"/>
        <v>#N/A</v>
      </c>
      <c r="FC45" s="244" t="e">
        <f t="shared" ca="1" si="55"/>
        <v>#N/A</v>
      </c>
      <c r="FD45" s="244" t="e">
        <f t="shared" ca="1" si="55"/>
        <v>#N/A</v>
      </c>
      <c r="FE45" s="244" t="e">
        <f t="shared" ca="1" si="55"/>
        <v>#N/A</v>
      </c>
      <c r="FF45" s="244" t="e">
        <f t="shared" ca="1" si="55"/>
        <v>#N/A</v>
      </c>
      <c r="FG45" s="244" t="e">
        <f t="shared" ca="1" si="55"/>
        <v>#N/A</v>
      </c>
      <c r="FH45" s="244" t="e">
        <f t="shared" ca="1" si="55"/>
        <v>#N/A</v>
      </c>
      <c r="FI45" s="244" t="e">
        <f t="shared" ca="1" si="55"/>
        <v>#N/A</v>
      </c>
      <c r="FJ45" s="244" t="e">
        <f t="shared" ca="1" si="55"/>
        <v>#N/A</v>
      </c>
      <c r="FK45" s="244" t="e">
        <f t="shared" ca="1" si="55"/>
        <v>#N/A</v>
      </c>
      <c r="FL45" s="244" t="e">
        <f t="shared" ca="1" si="55"/>
        <v>#N/A</v>
      </c>
      <c r="FM45" s="244" t="e">
        <f t="shared" ca="1" si="10"/>
        <v>#N/A</v>
      </c>
      <c r="FN45" s="244"/>
    </row>
    <row r="46" spans="5:170" x14ac:dyDescent="0.25">
      <c r="E46" s="244"/>
      <c r="F46" s="239"/>
      <c r="G46" s="239"/>
      <c r="L46">
        <f t="shared" si="37"/>
        <v>46</v>
      </c>
      <c r="M46" s="112" t="e">
        <f t="shared" ca="1" si="11"/>
        <v>#N/A</v>
      </c>
      <c r="N46" s="112">
        <f ca="1">IF(Foglio7!GE66="",100000,Foglio7!GE66)</f>
        <v>43160</v>
      </c>
      <c r="P46" s="238">
        <f t="shared" ca="1" si="12"/>
        <v>24</v>
      </c>
      <c r="Q46" s="238">
        <f t="shared" si="13"/>
        <v>46</v>
      </c>
      <c r="R46" s="112">
        <f t="shared" si="14"/>
        <v>0</v>
      </c>
      <c r="S46" s="238" t="e">
        <f t="shared" ca="1" si="46"/>
        <v>#N/A</v>
      </c>
      <c r="T46" s="112" t="e">
        <f t="shared" ca="1" si="47"/>
        <v>#N/A</v>
      </c>
      <c r="U46" s="112" t="e">
        <f t="shared" ca="1" si="48"/>
        <v>#N/A</v>
      </c>
      <c r="V46" s="112" t="e">
        <f t="shared" ca="1" si="49"/>
        <v>#N/A</v>
      </c>
      <c r="W46" s="112" t="e">
        <f t="shared" ca="1" si="50"/>
        <v>#N/A</v>
      </c>
      <c r="X46" s="112">
        <f t="shared" si="15"/>
        <v>0</v>
      </c>
      <c r="Y46" s="112"/>
      <c r="Z46" s="112"/>
      <c r="AA46" s="112">
        <f t="shared" si="16"/>
        <v>100000</v>
      </c>
      <c r="AB46" s="112" t="e">
        <f t="shared" ca="1" si="17"/>
        <v>#N/A</v>
      </c>
      <c r="AC46" s="112" t="e">
        <f t="shared" ca="1" si="18"/>
        <v>#N/A</v>
      </c>
      <c r="AD46" s="112" t="e">
        <f t="shared" ca="1" si="19"/>
        <v>#N/A</v>
      </c>
      <c r="AE46" s="112" t="e">
        <f t="shared" ca="1" si="20"/>
        <v>#N/A</v>
      </c>
      <c r="AF46" s="112">
        <f t="shared" si="21"/>
        <v>100000</v>
      </c>
      <c r="AG46" s="238">
        <f>AG45</f>
        <v>25</v>
      </c>
      <c r="AH46" s="112" t="e">
        <f ca="1">AI45+1</f>
        <v>#N/A</v>
      </c>
      <c r="AI46" s="112" t="e">
        <f ca="1">IF(INDIRECT(CONCATENATE("AC",AG45))&lt;100000,INDIRECT(CONCATENATE("AC",AG45))-1,IF(INDIRECT(CONCATENATE("AD",AG45))&lt;100000,INDIRECT(CONCATENATE("AD",AG45))-1,IF(INDIRECT(CONCATENATE("AE",AG45))&lt;100000,INDIRECT(CONCATENATE("AE",G45)),INDIRECT(CONCATENATE("AF",AG45)))))</f>
        <v>#N/A</v>
      </c>
      <c r="AJ46" s="114"/>
      <c r="AK46" s="114"/>
      <c r="AL46" s="238" t="e">
        <f t="shared" ca="1" si="38"/>
        <v>#N/A</v>
      </c>
      <c r="AM46" s="112">
        <f t="shared" ca="1" si="58"/>
        <v>100000</v>
      </c>
      <c r="AN46" s="112">
        <f t="shared" ca="1" si="39"/>
        <v>100000</v>
      </c>
      <c r="AO46" s="114">
        <f t="shared" ca="1" si="23"/>
        <v>5</v>
      </c>
      <c r="AP46" s="114">
        <f t="shared" ca="1" si="24"/>
        <v>18</v>
      </c>
      <c r="AQ46" s="112"/>
      <c r="AR46" s="238">
        <f t="shared" si="40"/>
        <v>46</v>
      </c>
      <c r="AS46" s="112"/>
      <c r="AT46" s="112"/>
      <c r="AU46" s="283">
        <f t="shared" si="41"/>
        <v>27</v>
      </c>
      <c r="AV46" s="284">
        <f t="shared" ca="1" si="25"/>
        <v>100000</v>
      </c>
      <c r="AW46" s="284">
        <f t="shared" ca="1" si="52"/>
        <v>100000</v>
      </c>
      <c r="AX46" s="285">
        <f t="shared" ca="1" si="27"/>
        <v>0</v>
      </c>
      <c r="AY46" s="285">
        <f t="shared" ca="1" si="28"/>
        <v>18</v>
      </c>
      <c r="AZ46" s="282"/>
      <c r="BD46" s="114">
        <f t="shared" ca="1" si="42"/>
        <v>16</v>
      </c>
      <c r="BE46" s="112">
        <f t="shared" ca="1" si="31"/>
        <v>100000</v>
      </c>
      <c r="BF46" s="112"/>
      <c r="BG46" s="112"/>
      <c r="BH46" s="238">
        <f t="shared" si="43"/>
        <v>27</v>
      </c>
      <c r="BI46" s="245">
        <f t="shared" si="32"/>
        <v>100000</v>
      </c>
      <c r="BJ46" s="281">
        <f t="shared" ca="1" si="1"/>
        <v>16</v>
      </c>
      <c r="BK46" s="245" t="e">
        <f t="shared" ca="1" si="33"/>
        <v>#N/A</v>
      </c>
      <c r="BL46" s="245" t="e">
        <f t="shared" ca="1" si="34"/>
        <v>#N/A</v>
      </c>
      <c r="BM46" s="244"/>
      <c r="BN46" s="245" t="e">
        <f t="shared" ca="1" si="51"/>
        <v>#N/A</v>
      </c>
      <c r="BQ46" s="245"/>
      <c r="BR46" s="245"/>
      <c r="BS46" s="245"/>
      <c r="BT46" s="245"/>
      <c r="BU46" s="245"/>
      <c r="BV46" s="245"/>
      <c r="BY46" s="245"/>
      <c r="BZ46" s="245"/>
      <c r="CA46" s="245"/>
      <c r="CB46" s="245"/>
      <c r="CC46" s="245"/>
      <c r="CD46" s="245"/>
      <c r="CE46" s="245"/>
      <c r="CF46" s="245"/>
      <c r="CG46" s="245"/>
      <c r="CH46" s="245"/>
      <c r="CL46" s="112"/>
      <c r="CM46" s="112"/>
      <c r="CP46" s="112"/>
      <c r="CQ46" s="112"/>
      <c r="CR46" s="238"/>
      <c r="CS46" s="238"/>
      <c r="CT46" s="112"/>
      <c r="CU46" s="112"/>
      <c r="CV46" s="112"/>
      <c r="CW46" s="112" t="s">
        <v>224</v>
      </c>
      <c r="CX46" s="112" t="s">
        <v>225</v>
      </c>
      <c r="CY46" s="112" t="s">
        <v>226</v>
      </c>
      <c r="CZ46" s="112" t="s">
        <v>227</v>
      </c>
      <c r="DA46" s="112" t="s">
        <v>228</v>
      </c>
      <c r="DB46" s="112" t="s">
        <v>229</v>
      </c>
      <c r="DC46" s="112"/>
      <c r="DD46" s="238"/>
      <c r="DE46" s="112"/>
      <c r="DF46" s="112"/>
      <c r="DG46" s="112"/>
      <c r="DH46" s="238"/>
      <c r="DI46" s="112"/>
      <c r="DJ46" s="112"/>
      <c r="DK46" s="112"/>
      <c r="DL46" s="278" t="str">
        <f t="shared" ca="1" si="44"/>
        <v/>
      </c>
      <c r="DM46" s="245" t="str">
        <f t="shared" ca="1" si="53"/>
        <v/>
      </c>
      <c r="DN46" s="245" t="str">
        <f t="shared" ca="1" si="53"/>
        <v/>
      </c>
      <c r="DO46" s="245" t="str">
        <f t="shared" ca="1" si="53"/>
        <v/>
      </c>
      <c r="DP46" s="245" t="str">
        <f t="shared" ca="1" si="53"/>
        <v/>
      </c>
      <c r="DQ46" s="245" t="str">
        <f t="shared" ca="1" si="53"/>
        <v/>
      </c>
      <c r="DR46" s="244"/>
      <c r="DS46" s="245" t="str">
        <f t="shared" si="54"/>
        <v/>
      </c>
      <c r="DT46" s="245" t="str">
        <f t="shared" si="54"/>
        <v/>
      </c>
      <c r="DU46" s="245" t="str">
        <f t="shared" si="54"/>
        <v/>
      </c>
      <c r="DV46" s="244" t="str">
        <f t="shared" ca="1" si="7"/>
        <v/>
      </c>
      <c r="DW46" s="244"/>
      <c r="DX46" s="244" t="str">
        <f t="shared" ca="1" si="45"/>
        <v/>
      </c>
      <c r="EA46" s="244" t="b">
        <f t="shared" ca="1" si="35"/>
        <v>0</v>
      </c>
      <c r="EB46" s="278" t="e">
        <f ca="1">VLOOKUP(DM46,Foglio1!$AB$31:$AN$261,13)-6+EA46</f>
        <v>#N/A</v>
      </c>
      <c r="EC46" s="244"/>
      <c r="ED46" s="244" t="e">
        <f t="shared" ca="1" si="57"/>
        <v>#N/A</v>
      </c>
      <c r="EE46" s="244" t="e">
        <f t="shared" ca="1" si="57"/>
        <v>#N/A</v>
      </c>
      <c r="EF46" s="244" t="e">
        <f t="shared" ca="1" si="57"/>
        <v>#N/A</v>
      </c>
      <c r="EG46" s="244" t="e">
        <f t="shared" ca="1" si="56"/>
        <v>#N/A</v>
      </c>
      <c r="EH46" s="244" t="e">
        <f t="shared" ca="1" si="56"/>
        <v>#N/A</v>
      </c>
      <c r="EI46" s="244" t="e">
        <f t="shared" ca="1" si="56"/>
        <v>#N/A</v>
      </c>
      <c r="EJ46" s="244" t="e">
        <f t="shared" ca="1" si="56"/>
        <v>#N/A</v>
      </c>
      <c r="EK46" s="244" t="e">
        <f t="shared" ca="1" si="56"/>
        <v>#N/A</v>
      </c>
      <c r="EL46" s="244" t="e">
        <f t="shared" ca="1" si="56"/>
        <v>#N/A</v>
      </c>
      <c r="EM46" s="244" t="e">
        <f t="shared" ca="1" si="56"/>
        <v>#N/A</v>
      </c>
      <c r="EN46" s="244" t="e">
        <f t="shared" ca="1" si="56"/>
        <v>#N/A</v>
      </c>
      <c r="EO46" s="244" t="e">
        <f t="shared" ca="1" si="56"/>
        <v>#N/A</v>
      </c>
      <c r="EP46" s="244" t="e">
        <f t="shared" ca="1" si="56"/>
        <v>#N/A</v>
      </c>
      <c r="EQ46" s="244" t="e">
        <f t="shared" ca="1" si="56"/>
        <v>#N/A</v>
      </c>
      <c r="ER46" s="244"/>
      <c r="EW46" s="244">
        <v>0</v>
      </c>
      <c r="EX46" s="278" t="e">
        <f ca="1">VLOOKUP(DM46,Foglio1!$AB$31:$AN$261,13)-6+EW46</f>
        <v>#N/A</v>
      </c>
      <c r="EY46" s="244"/>
      <c r="EZ46" s="244" t="e">
        <f t="shared" ca="1" si="36"/>
        <v>#N/A</v>
      </c>
      <c r="FA46" s="244" t="e">
        <f t="shared" ca="1" si="55"/>
        <v>#N/A</v>
      </c>
      <c r="FB46" s="244" t="e">
        <f t="shared" ca="1" si="55"/>
        <v>#N/A</v>
      </c>
      <c r="FC46" s="244" t="e">
        <f t="shared" ca="1" si="55"/>
        <v>#N/A</v>
      </c>
      <c r="FD46" s="244" t="e">
        <f t="shared" ca="1" si="55"/>
        <v>#N/A</v>
      </c>
      <c r="FE46" s="244" t="e">
        <f t="shared" ca="1" si="55"/>
        <v>#N/A</v>
      </c>
      <c r="FF46" s="244" t="e">
        <f t="shared" ca="1" si="55"/>
        <v>#N/A</v>
      </c>
      <c r="FG46" s="244" t="e">
        <f t="shared" ca="1" si="55"/>
        <v>#N/A</v>
      </c>
      <c r="FH46" s="244" t="e">
        <f t="shared" ca="1" si="55"/>
        <v>#N/A</v>
      </c>
      <c r="FI46" s="244" t="e">
        <f t="shared" ca="1" si="55"/>
        <v>#N/A</v>
      </c>
      <c r="FJ46" s="244" t="e">
        <f t="shared" ca="1" si="55"/>
        <v>#N/A</v>
      </c>
      <c r="FK46" s="244" t="e">
        <f t="shared" ca="1" si="55"/>
        <v>#N/A</v>
      </c>
      <c r="FL46" s="244" t="e">
        <f t="shared" ca="1" si="55"/>
        <v>#N/A</v>
      </c>
      <c r="FM46" s="244" t="e">
        <f t="shared" ca="1" si="10"/>
        <v>#N/A</v>
      </c>
      <c r="FN46" s="244"/>
    </row>
    <row r="47" spans="5:170" x14ac:dyDescent="0.25">
      <c r="E47" s="244"/>
      <c r="F47" s="239"/>
      <c r="G47" s="239"/>
      <c r="L47">
        <f t="shared" si="37"/>
        <v>47</v>
      </c>
      <c r="M47" s="112" t="e">
        <f t="shared" ca="1" si="11"/>
        <v>#N/A</v>
      </c>
      <c r="N47" s="112">
        <f ca="1">IF(Foglio7!GE67="",100000,Foglio7!GE67)</f>
        <v>43191</v>
      </c>
      <c r="P47" s="238">
        <f t="shared" ca="1" si="12"/>
        <v>24</v>
      </c>
      <c r="Q47" s="238">
        <f t="shared" si="13"/>
        <v>47</v>
      </c>
      <c r="R47" s="112">
        <f t="shared" si="14"/>
        <v>0</v>
      </c>
      <c r="S47" s="238" t="e">
        <f t="shared" ca="1" si="46"/>
        <v>#N/A</v>
      </c>
      <c r="T47" s="112" t="e">
        <f t="shared" ca="1" si="47"/>
        <v>#N/A</v>
      </c>
      <c r="U47" s="112" t="e">
        <f t="shared" ca="1" si="48"/>
        <v>#N/A</v>
      </c>
      <c r="V47" s="112" t="e">
        <f t="shared" ca="1" si="49"/>
        <v>#N/A</v>
      </c>
      <c r="W47" s="112" t="e">
        <f t="shared" ca="1" si="50"/>
        <v>#N/A</v>
      </c>
      <c r="X47" s="112">
        <f t="shared" si="15"/>
        <v>0</v>
      </c>
      <c r="Y47" s="112"/>
      <c r="Z47" s="112"/>
      <c r="AA47" s="112">
        <f t="shared" si="16"/>
        <v>100000</v>
      </c>
      <c r="AB47" s="112" t="e">
        <f t="shared" ca="1" si="17"/>
        <v>#N/A</v>
      </c>
      <c r="AC47" s="112" t="e">
        <f t="shared" ca="1" si="18"/>
        <v>#N/A</v>
      </c>
      <c r="AD47" s="112" t="e">
        <f t="shared" ca="1" si="19"/>
        <v>#N/A</v>
      </c>
      <c r="AE47" s="112" t="e">
        <f t="shared" ca="1" si="20"/>
        <v>#N/A</v>
      </c>
      <c r="AF47" s="112">
        <f t="shared" si="21"/>
        <v>100000</v>
      </c>
      <c r="AG47" s="238">
        <f>AG46</f>
        <v>25</v>
      </c>
      <c r="AH47" s="112" t="e">
        <f ca="1">AI46+1</f>
        <v>#N/A</v>
      </c>
      <c r="AI47" s="112" t="e">
        <f ca="1">IF(INDIRECT(CONCATENATE("AD",AG45))&lt;100000,INDIRECT(CONCATENATE("AD",AG45))-1,IF(INDIRECT(CONCATENATE("AE",AG45))&lt;100000,INDIRECT(CONCATENATE("AE",G45)),INDIRECT(CONCATENATE("AF",AG45))))</f>
        <v>#N/A</v>
      </c>
      <c r="AJ47" s="114"/>
      <c r="AK47" s="114"/>
      <c r="AL47" s="238" t="e">
        <f t="shared" ca="1" si="38"/>
        <v>#N/A</v>
      </c>
      <c r="AM47" s="112">
        <f t="shared" ca="1" si="58"/>
        <v>100000</v>
      </c>
      <c r="AN47" s="112">
        <f t="shared" ca="1" si="39"/>
        <v>100000</v>
      </c>
      <c r="AO47" s="114">
        <f t="shared" ca="1" si="23"/>
        <v>5</v>
      </c>
      <c r="AP47" s="114">
        <f t="shared" ca="1" si="24"/>
        <v>18</v>
      </c>
      <c r="AQ47" s="112"/>
      <c r="AR47" s="238">
        <f t="shared" si="40"/>
        <v>47</v>
      </c>
      <c r="AS47" s="112"/>
      <c r="AT47" s="112"/>
      <c r="AU47" s="283">
        <f t="shared" si="41"/>
        <v>28</v>
      </c>
      <c r="AV47" s="284">
        <f t="shared" ca="1" si="25"/>
        <v>100000</v>
      </c>
      <c r="AW47" s="284">
        <f t="shared" ca="1" si="52"/>
        <v>100000</v>
      </c>
      <c r="AX47" s="285">
        <f t="shared" ca="1" si="27"/>
        <v>0</v>
      </c>
      <c r="AY47" s="285">
        <f t="shared" ca="1" si="28"/>
        <v>18</v>
      </c>
      <c r="AZ47" s="282"/>
      <c r="BD47" s="114">
        <f t="shared" ca="1" si="42"/>
        <v>16</v>
      </c>
      <c r="BE47" s="112">
        <f t="shared" ca="1" si="31"/>
        <v>100000</v>
      </c>
      <c r="BF47" s="112"/>
      <c r="BG47" s="112"/>
      <c r="BH47" s="238">
        <f t="shared" si="43"/>
        <v>28</v>
      </c>
      <c r="BI47" s="245">
        <f t="shared" si="32"/>
        <v>100000</v>
      </c>
      <c r="BJ47" s="281">
        <f t="shared" ca="1" si="1"/>
        <v>16</v>
      </c>
      <c r="BK47" s="245" t="e">
        <f t="shared" ca="1" si="33"/>
        <v>#N/A</v>
      </c>
      <c r="BL47" s="245" t="e">
        <f t="shared" ca="1" si="34"/>
        <v>#N/A</v>
      </c>
      <c r="BM47" s="244"/>
      <c r="BN47" s="245" t="e">
        <f t="shared" ca="1" si="51"/>
        <v>#N/A</v>
      </c>
      <c r="BQ47" s="245"/>
      <c r="BR47" s="245"/>
      <c r="BS47" s="245"/>
      <c r="BT47" s="245"/>
      <c r="BU47" s="245"/>
      <c r="BV47" s="245"/>
      <c r="BY47" s="245"/>
      <c r="BZ47" s="245"/>
      <c r="CA47" s="245"/>
      <c r="CB47" s="245"/>
      <c r="CC47" s="245"/>
      <c r="CD47" s="245"/>
      <c r="CE47" s="245"/>
      <c r="CF47" s="245"/>
      <c r="CG47" s="245"/>
      <c r="CH47" s="245"/>
      <c r="CL47" s="112"/>
      <c r="CM47" s="112"/>
      <c r="CP47" s="112"/>
      <c r="CQ47" s="112"/>
      <c r="CR47" s="238"/>
      <c r="CS47" s="238"/>
      <c r="CT47" s="112"/>
      <c r="CU47" s="112"/>
      <c r="CV47" s="112"/>
      <c r="CW47" s="112" t="s">
        <v>224</v>
      </c>
      <c r="CX47" s="112" t="s">
        <v>225</v>
      </c>
      <c r="CY47" s="112" t="s">
        <v>226</v>
      </c>
      <c r="CZ47" s="112" t="s">
        <v>227</v>
      </c>
      <c r="DA47" s="112" t="s">
        <v>228</v>
      </c>
      <c r="DB47" s="112" t="s">
        <v>229</v>
      </c>
      <c r="DC47" s="112"/>
      <c r="DD47" s="238"/>
      <c r="DE47" s="112"/>
      <c r="DF47" s="112"/>
      <c r="DG47" s="112"/>
      <c r="DH47" s="238"/>
      <c r="DI47" s="112"/>
      <c r="DJ47" s="112"/>
      <c r="DK47" s="112"/>
      <c r="DL47" s="278" t="str">
        <f t="shared" ca="1" si="44"/>
        <v/>
      </c>
      <c r="DM47" s="245" t="str">
        <f t="shared" ca="1" si="53"/>
        <v/>
      </c>
      <c r="DN47" s="245" t="str">
        <f t="shared" ca="1" si="53"/>
        <v/>
      </c>
      <c r="DO47" s="245" t="str">
        <f t="shared" ca="1" si="53"/>
        <v/>
      </c>
      <c r="DP47" s="245" t="str">
        <f t="shared" ca="1" si="53"/>
        <v/>
      </c>
      <c r="DQ47" s="245" t="str">
        <f t="shared" ca="1" si="53"/>
        <v/>
      </c>
      <c r="DR47" s="244"/>
      <c r="DS47" s="245" t="str">
        <f t="shared" si="54"/>
        <v/>
      </c>
      <c r="DT47" s="245" t="str">
        <f t="shared" si="54"/>
        <v/>
      </c>
      <c r="DU47" s="245" t="str">
        <f t="shared" si="54"/>
        <v/>
      </c>
      <c r="DV47" s="244" t="str">
        <f t="shared" ca="1" si="7"/>
        <v/>
      </c>
      <c r="DW47" s="244"/>
      <c r="DX47" s="244" t="str">
        <f t="shared" ca="1" si="45"/>
        <v/>
      </c>
      <c r="EA47" s="244" t="b">
        <f t="shared" ca="1" si="35"/>
        <v>0</v>
      </c>
      <c r="EB47" s="278" t="e">
        <f ca="1">VLOOKUP(DM47,Foglio1!$AB$31:$AN$261,13)-6+EA47</f>
        <v>#N/A</v>
      </c>
      <c r="EC47" s="244"/>
      <c r="ED47" s="244" t="e">
        <f t="shared" ca="1" si="57"/>
        <v>#N/A</v>
      </c>
      <c r="EE47" s="244" t="e">
        <f t="shared" ca="1" si="57"/>
        <v>#N/A</v>
      </c>
      <c r="EF47" s="244" t="e">
        <f t="shared" ca="1" si="57"/>
        <v>#N/A</v>
      </c>
      <c r="EG47" s="244" t="e">
        <f t="shared" ca="1" si="56"/>
        <v>#N/A</v>
      </c>
      <c r="EH47" s="244" t="e">
        <f t="shared" ca="1" si="56"/>
        <v>#N/A</v>
      </c>
      <c r="EI47" s="244" t="e">
        <f t="shared" ca="1" si="56"/>
        <v>#N/A</v>
      </c>
      <c r="EJ47" s="244" t="e">
        <f t="shared" ca="1" si="56"/>
        <v>#N/A</v>
      </c>
      <c r="EK47" s="244" t="e">
        <f t="shared" ca="1" si="56"/>
        <v>#N/A</v>
      </c>
      <c r="EL47" s="244" t="e">
        <f t="shared" ca="1" si="56"/>
        <v>#N/A</v>
      </c>
      <c r="EM47" s="244" t="e">
        <f t="shared" ca="1" si="56"/>
        <v>#N/A</v>
      </c>
      <c r="EN47" s="244" t="e">
        <f t="shared" ca="1" si="56"/>
        <v>#N/A</v>
      </c>
      <c r="EO47" s="244" t="e">
        <f t="shared" ca="1" si="56"/>
        <v>#N/A</v>
      </c>
      <c r="EP47" s="244" t="e">
        <f t="shared" ca="1" si="56"/>
        <v>#N/A</v>
      </c>
      <c r="EQ47" s="244" t="e">
        <f t="shared" ca="1" si="56"/>
        <v>#N/A</v>
      </c>
      <c r="ER47" s="244"/>
      <c r="EW47" s="244">
        <v>0</v>
      </c>
      <c r="EX47" s="278" t="e">
        <f ca="1">VLOOKUP(DM47,Foglio1!$AB$31:$AN$261,13)-6+EW47</f>
        <v>#N/A</v>
      </c>
      <c r="EY47" s="244"/>
      <c r="EZ47" s="244" t="e">
        <f t="shared" ca="1" si="36"/>
        <v>#N/A</v>
      </c>
      <c r="FA47" s="244" t="e">
        <f t="shared" ca="1" si="55"/>
        <v>#N/A</v>
      </c>
      <c r="FB47" s="244" t="e">
        <f t="shared" ca="1" si="55"/>
        <v>#N/A</v>
      </c>
      <c r="FC47" s="244" t="e">
        <f t="shared" ca="1" si="55"/>
        <v>#N/A</v>
      </c>
      <c r="FD47" s="244" t="e">
        <f t="shared" ca="1" si="55"/>
        <v>#N/A</v>
      </c>
      <c r="FE47" s="244" t="e">
        <f t="shared" ca="1" si="55"/>
        <v>#N/A</v>
      </c>
      <c r="FF47" s="244" t="e">
        <f t="shared" ca="1" si="55"/>
        <v>#N/A</v>
      </c>
      <c r="FG47" s="244" t="e">
        <f t="shared" ca="1" si="55"/>
        <v>#N/A</v>
      </c>
      <c r="FH47" s="244" t="e">
        <f t="shared" ca="1" si="55"/>
        <v>#N/A</v>
      </c>
      <c r="FI47" s="244" t="e">
        <f t="shared" ca="1" si="55"/>
        <v>#N/A</v>
      </c>
      <c r="FJ47" s="244" t="e">
        <f t="shared" ca="1" si="55"/>
        <v>#N/A</v>
      </c>
      <c r="FK47" s="244" t="e">
        <f t="shared" ca="1" si="55"/>
        <v>#N/A</v>
      </c>
      <c r="FL47" s="244" t="e">
        <f t="shared" ca="1" si="55"/>
        <v>#N/A</v>
      </c>
      <c r="FM47" s="244" t="e">
        <f t="shared" ca="1" si="10"/>
        <v>#N/A</v>
      </c>
      <c r="FN47" s="244"/>
    </row>
    <row r="48" spans="5:170" x14ac:dyDescent="0.25">
      <c r="E48" s="244"/>
      <c r="F48" s="239"/>
      <c r="G48" s="239"/>
      <c r="L48">
        <f t="shared" si="37"/>
        <v>48</v>
      </c>
      <c r="M48" s="112" t="e">
        <f t="shared" ca="1" si="11"/>
        <v>#N/A</v>
      </c>
      <c r="N48" s="112">
        <f ca="1">IF(Foglio7!GE68="",100000,Foglio7!GE68)</f>
        <v>43466</v>
      </c>
      <c r="P48" s="238">
        <f t="shared" ca="1" si="12"/>
        <v>24</v>
      </c>
      <c r="Q48" s="238">
        <f t="shared" si="13"/>
        <v>48</v>
      </c>
      <c r="R48" s="112">
        <f t="shared" si="14"/>
        <v>0</v>
      </c>
      <c r="S48" s="238" t="e">
        <f t="shared" ca="1" si="46"/>
        <v>#N/A</v>
      </c>
      <c r="T48" s="112" t="e">
        <f t="shared" ca="1" si="47"/>
        <v>#N/A</v>
      </c>
      <c r="U48" s="112" t="e">
        <f t="shared" ca="1" si="48"/>
        <v>#N/A</v>
      </c>
      <c r="V48" s="112" t="e">
        <f t="shared" ca="1" si="49"/>
        <v>#N/A</v>
      </c>
      <c r="W48" s="112" t="e">
        <f t="shared" ca="1" si="50"/>
        <v>#N/A</v>
      </c>
      <c r="X48" s="112">
        <f t="shared" si="15"/>
        <v>0</v>
      </c>
      <c r="Y48" s="112"/>
      <c r="Z48" s="112"/>
      <c r="AA48" s="112">
        <f t="shared" si="16"/>
        <v>100000</v>
      </c>
      <c r="AB48" s="112" t="e">
        <f t="shared" ca="1" si="17"/>
        <v>#N/A</v>
      </c>
      <c r="AC48" s="112" t="e">
        <f t="shared" ca="1" si="18"/>
        <v>#N/A</v>
      </c>
      <c r="AD48" s="112" t="e">
        <f t="shared" ca="1" si="19"/>
        <v>#N/A</v>
      </c>
      <c r="AE48" s="112" t="e">
        <f t="shared" ca="1" si="20"/>
        <v>#N/A</v>
      </c>
      <c r="AF48" s="112">
        <f t="shared" si="21"/>
        <v>100000</v>
      </c>
      <c r="AG48" s="238">
        <f>AG47</f>
        <v>25</v>
      </c>
      <c r="AH48" s="112" t="e">
        <f ca="1">AI47+1</f>
        <v>#N/A</v>
      </c>
      <c r="AI48" s="112" t="e">
        <f ca="1">IF(INDIRECT(CONCATENATE("AE",AG45))&lt;100000,INDIRECT(CONCATENATE("AE",G45)),INDIRECT(CONCATENATE("AF",AG45)))</f>
        <v>#N/A</v>
      </c>
      <c r="AJ48" s="114"/>
      <c r="AK48" s="114"/>
      <c r="AL48" s="238" t="e">
        <f t="shared" ca="1" si="38"/>
        <v>#N/A</v>
      </c>
      <c r="AM48" s="112">
        <f t="shared" ca="1" si="58"/>
        <v>100000</v>
      </c>
      <c r="AN48" s="112">
        <f t="shared" ca="1" si="39"/>
        <v>100000</v>
      </c>
      <c r="AO48" s="114">
        <f t="shared" ca="1" si="23"/>
        <v>5</v>
      </c>
      <c r="AP48" s="114">
        <f t="shared" ca="1" si="24"/>
        <v>18</v>
      </c>
      <c r="AQ48" s="112"/>
      <c r="AR48" s="238">
        <f t="shared" si="40"/>
        <v>48</v>
      </c>
      <c r="AS48" s="112"/>
      <c r="AT48" s="112"/>
      <c r="AU48" s="283">
        <f t="shared" si="41"/>
        <v>29</v>
      </c>
      <c r="AV48" s="284">
        <f t="shared" ca="1" si="25"/>
        <v>100000</v>
      </c>
      <c r="AW48" s="284">
        <f t="shared" ca="1" si="52"/>
        <v>100000</v>
      </c>
      <c r="AX48" s="285">
        <f t="shared" ca="1" si="27"/>
        <v>0</v>
      </c>
      <c r="AY48" s="285">
        <f t="shared" ca="1" si="28"/>
        <v>18</v>
      </c>
      <c r="AZ48" s="282"/>
      <c r="BD48" s="114">
        <f t="shared" ca="1" si="42"/>
        <v>16</v>
      </c>
      <c r="BE48" s="112">
        <f t="shared" ca="1" si="31"/>
        <v>100000</v>
      </c>
      <c r="BF48" s="112"/>
      <c r="BG48" s="112"/>
      <c r="BH48" s="238">
        <f t="shared" si="43"/>
        <v>29</v>
      </c>
      <c r="BI48" s="245">
        <f t="shared" si="32"/>
        <v>100000</v>
      </c>
      <c r="BJ48" s="281">
        <f t="shared" ca="1" si="1"/>
        <v>16</v>
      </c>
      <c r="BK48" s="245" t="e">
        <f t="shared" ca="1" si="33"/>
        <v>#N/A</v>
      </c>
      <c r="BL48" s="245" t="e">
        <f t="shared" ca="1" si="34"/>
        <v>#N/A</v>
      </c>
      <c r="BM48" s="244"/>
      <c r="BN48" s="245" t="e">
        <f t="shared" ca="1" si="51"/>
        <v>#N/A</v>
      </c>
      <c r="BQ48" s="245"/>
      <c r="BR48" s="245"/>
      <c r="BS48" s="245"/>
      <c r="BT48" s="245"/>
      <c r="BU48" s="245"/>
      <c r="BV48" s="245"/>
      <c r="BY48" s="245"/>
      <c r="BZ48" s="245"/>
      <c r="CA48" s="245"/>
      <c r="CB48" s="245"/>
      <c r="CC48" s="245"/>
      <c r="CD48" s="245"/>
      <c r="CE48" s="245"/>
      <c r="CF48" s="245"/>
      <c r="CG48" s="245"/>
      <c r="CH48" s="245"/>
      <c r="CL48" s="112"/>
      <c r="CM48" s="112"/>
      <c r="CP48" s="112"/>
      <c r="CQ48" s="112"/>
      <c r="CR48" s="238"/>
      <c r="CS48" s="238"/>
      <c r="CT48" s="112"/>
      <c r="CU48" s="112"/>
      <c r="CV48" s="112"/>
      <c r="CW48" s="112" t="s">
        <v>224</v>
      </c>
      <c r="CX48" s="112" t="s">
        <v>225</v>
      </c>
      <c r="CY48" s="112" t="s">
        <v>226</v>
      </c>
      <c r="CZ48" s="112" t="s">
        <v>227</v>
      </c>
      <c r="DA48" s="112" t="s">
        <v>228</v>
      </c>
      <c r="DB48" s="112" t="s">
        <v>229</v>
      </c>
      <c r="DC48" s="112"/>
      <c r="DD48" s="238"/>
      <c r="DE48" s="112"/>
      <c r="DF48" s="112"/>
      <c r="DG48" s="112"/>
      <c r="DH48" s="238"/>
      <c r="DI48" s="112"/>
      <c r="DJ48" s="112"/>
      <c r="DK48" s="112"/>
      <c r="DL48" s="278" t="str">
        <f t="shared" ca="1" si="44"/>
        <v/>
      </c>
      <c r="DM48" s="245" t="str">
        <f t="shared" ca="1" si="53"/>
        <v/>
      </c>
      <c r="DN48" s="245" t="str">
        <f t="shared" ca="1" si="53"/>
        <v/>
      </c>
      <c r="DO48" s="245" t="str">
        <f t="shared" ca="1" si="53"/>
        <v/>
      </c>
      <c r="DP48" s="245" t="str">
        <f t="shared" ca="1" si="53"/>
        <v/>
      </c>
      <c r="DQ48" s="245" t="str">
        <f t="shared" ca="1" si="53"/>
        <v/>
      </c>
      <c r="DR48" s="244"/>
      <c r="DS48" s="245" t="str">
        <f t="shared" si="54"/>
        <v/>
      </c>
      <c r="DT48" s="245" t="str">
        <f t="shared" si="54"/>
        <v/>
      </c>
      <c r="DU48" s="245" t="str">
        <f t="shared" si="54"/>
        <v/>
      </c>
      <c r="DV48" s="244" t="str">
        <f t="shared" ca="1" si="7"/>
        <v/>
      </c>
      <c r="DW48" s="244"/>
      <c r="DX48" s="244" t="str">
        <f t="shared" ca="1" si="45"/>
        <v/>
      </c>
      <c r="EA48" s="244" t="b">
        <f t="shared" ca="1" si="35"/>
        <v>0</v>
      </c>
      <c r="EB48" s="278" t="e">
        <f ca="1">VLOOKUP(DM48,Foglio1!$AB$31:$AN$261,13)-6+EA48</f>
        <v>#N/A</v>
      </c>
      <c r="EC48" s="244"/>
      <c r="ED48" s="244" t="e">
        <f t="shared" ca="1" si="57"/>
        <v>#N/A</v>
      </c>
      <c r="EE48" s="244" t="e">
        <f t="shared" ca="1" si="57"/>
        <v>#N/A</v>
      </c>
      <c r="EF48" s="244" t="e">
        <f t="shared" ca="1" si="57"/>
        <v>#N/A</v>
      </c>
      <c r="EG48" s="244" t="e">
        <f t="shared" ca="1" si="56"/>
        <v>#N/A</v>
      </c>
      <c r="EH48" s="244" t="e">
        <f t="shared" ca="1" si="56"/>
        <v>#N/A</v>
      </c>
      <c r="EI48" s="244" t="e">
        <f t="shared" ca="1" si="56"/>
        <v>#N/A</v>
      </c>
      <c r="EJ48" s="244" t="e">
        <f t="shared" ca="1" si="56"/>
        <v>#N/A</v>
      </c>
      <c r="EK48" s="244" t="e">
        <f t="shared" ca="1" si="56"/>
        <v>#N/A</v>
      </c>
      <c r="EL48" s="244" t="e">
        <f t="shared" ca="1" si="56"/>
        <v>#N/A</v>
      </c>
      <c r="EM48" s="244" t="e">
        <f t="shared" ca="1" si="56"/>
        <v>#N/A</v>
      </c>
      <c r="EN48" s="244" t="e">
        <f t="shared" ca="1" si="56"/>
        <v>#N/A</v>
      </c>
      <c r="EO48" s="244" t="e">
        <f t="shared" ca="1" si="56"/>
        <v>#N/A</v>
      </c>
      <c r="EP48" s="244" t="e">
        <f t="shared" ca="1" si="56"/>
        <v>#N/A</v>
      </c>
      <c r="EQ48" s="244" t="e">
        <f t="shared" ca="1" si="56"/>
        <v>#N/A</v>
      </c>
      <c r="ER48" s="244"/>
      <c r="EW48" s="244">
        <v>0</v>
      </c>
      <c r="EX48" s="278" t="e">
        <f ca="1">VLOOKUP(DM48,Foglio1!$AB$31:$AN$261,13)-6+EW48</f>
        <v>#N/A</v>
      </c>
      <c r="EY48" s="244"/>
      <c r="EZ48" s="244" t="e">
        <f t="shared" ca="1" si="36"/>
        <v>#N/A</v>
      </c>
      <c r="FA48" s="244" t="e">
        <f t="shared" ca="1" si="55"/>
        <v>#N/A</v>
      </c>
      <c r="FB48" s="244" t="e">
        <f t="shared" ca="1" si="55"/>
        <v>#N/A</v>
      </c>
      <c r="FC48" s="244" t="e">
        <f t="shared" ca="1" si="55"/>
        <v>#N/A</v>
      </c>
      <c r="FD48" s="244" t="e">
        <f t="shared" ca="1" si="55"/>
        <v>#N/A</v>
      </c>
      <c r="FE48" s="244" t="e">
        <f t="shared" ca="1" si="55"/>
        <v>#N/A</v>
      </c>
      <c r="FF48" s="244" t="e">
        <f t="shared" ca="1" si="55"/>
        <v>#N/A</v>
      </c>
      <c r="FG48" s="244" t="e">
        <f t="shared" ca="1" si="55"/>
        <v>#N/A</v>
      </c>
      <c r="FH48" s="244" t="e">
        <f t="shared" ca="1" si="55"/>
        <v>#N/A</v>
      </c>
      <c r="FI48" s="244" t="e">
        <f t="shared" ca="1" si="55"/>
        <v>#N/A</v>
      </c>
      <c r="FJ48" s="244" t="e">
        <f t="shared" ca="1" si="55"/>
        <v>#N/A</v>
      </c>
      <c r="FK48" s="244" t="e">
        <f t="shared" ca="1" si="55"/>
        <v>#N/A</v>
      </c>
      <c r="FL48" s="244" t="e">
        <f t="shared" ca="1" si="55"/>
        <v>#N/A</v>
      </c>
      <c r="FM48" s="244" t="e">
        <f t="shared" ca="1" si="10"/>
        <v>#N/A</v>
      </c>
      <c r="FN48" s="244"/>
    </row>
    <row r="49" spans="5:170" x14ac:dyDescent="0.25">
      <c r="E49" s="244"/>
      <c r="F49" s="239"/>
      <c r="G49" s="239"/>
      <c r="L49">
        <f t="shared" si="37"/>
        <v>49</v>
      </c>
      <c r="M49" s="112" t="e">
        <f t="shared" ca="1" si="11"/>
        <v>#N/A</v>
      </c>
      <c r="N49" s="112">
        <f ca="1">IF(Foglio7!GE69="",100000,Foglio7!GE69)</f>
        <v>43831</v>
      </c>
      <c r="P49" s="238">
        <f t="shared" ca="1" si="12"/>
        <v>24</v>
      </c>
      <c r="Q49" s="238">
        <f t="shared" si="13"/>
        <v>49</v>
      </c>
      <c r="R49" s="112">
        <f t="shared" si="14"/>
        <v>0</v>
      </c>
      <c r="S49" s="238" t="e">
        <f t="shared" ca="1" si="46"/>
        <v>#N/A</v>
      </c>
      <c r="T49" s="112" t="e">
        <f t="shared" ca="1" si="47"/>
        <v>#N/A</v>
      </c>
      <c r="U49" s="112" t="e">
        <f t="shared" ca="1" si="48"/>
        <v>#N/A</v>
      </c>
      <c r="V49" s="112" t="e">
        <f t="shared" ca="1" si="49"/>
        <v>#N/A</v>
      </c>
      <c r="W49" s="112" t="e">
        <f t="shared" ca="1" si="50"/>
        <v>#N/A</v>
      </c>
      <c r="X49" s="112">
        <f t="shared" si="15"/>
        <v>0</v>
      </c>
      <c r="Y49" s="112"/>
      <c r="Z49" s="112"/>
      <c r="AA49" s="112">
        <f t="shared" si="16"/>
        <v>100000</v>
      </c>
      <c r="AB49" s="112" t="e">
        <f t="shared" ca="1" si="17"/>
        <v>#N/A</v>
      </c>
      <c r="AC49" s="112" t="e">
        <f t="shared" ca="1" si="18"/>
        <v>#N/A</v>
      </c>
      <c r="AD49" s="112" t="e">
        <f t="shared" ca="1" si="19"/>
        <v>#N/A</v>
      </c>
      <c r="AE49" s="112" t="e">
        <f t="shared" ca="1" si="20"/>
        <v>#N/A</v>
      </c>
      <c r="AF49" s="112">
        <f t="shared" si="21"/>
        <v>100000</v>
      </c>
      <c r="AG49" s="238">
        <f>AG48</f>
        <v>25</v>
      </c>
      <c r="AH49" s="112" t="e">
        <f ca="1">AI48+1</f>
        <v>#N/A</v>
      </c>
      <c r="AI49" s="112">
        <f ca="1">INDIRECT(CONCATENATE("AF",AG45))</f>
        <v>100000</v>
      </c>
      <c r="AJ49" s="114"/>
      <c r="AK49" s="114"/>
      <c r="AL49" s="238" t="e">
        <f t="shared" ca="1" si="38"/>
        <v>#N/A</v>
      </c>
      <c r="AM49" s="112">
        <f t="shared" ca="1" si="58"/>
        <v>100000</v>
      </c>
      <c r="AN49" s="112">
        <f t="shared" ca="1" si="39"/>
        <v>100000</v>
      </c>
      <c r="AO49" s="114">
        <f t="shared" ca="1" si="23"/>
        <v>5</v>
      </c>
      <c r="AP49" s="114">
        <f t="shared" ca="1" si="24"/>
        <v>18</v>
      </c>
      <c r="AQ49" s="112"/>
      <c r="AR49" s="238">
        <f t="shared" si="40"/>
        <v>49</v>
      </c>
      <c r="AS49" s="112"/>
      <c r="AT49" s="112"/>
      <c r="AU49" s="283">
        <f t="shared" si="41"/>
        <v>30</v>
      </c>
      <c r="AV49" s="284">
        <f t="shared" ca="1" si="25"/>
        <v>100000</v>
      </c>
      <c r="AW49" s="284">
        <f t="shared" ca="1" si="52"/>
        <v>100000</v>
      </c>
      <c r="AX49" s="285">
        <f t="shared" ca="1" si="27"/>
        <v>0</v>
      </c>
      <c r="AY49" s="285">
        <f t="shared" ca="1" si="28"/>
        <v>18</v>
      </c>
      <c r="AZ49" s="282"/>
      <c r="BD49" s="114">
        <f t="shared" ca="1" si="42"/>
        <v>16</v>
      </c>
      <c r="BE49" s="112">
        <f t="shared" ca="1" si="31"/>
        <v>100000</v>
      </c>
      <c r="BF49" s="112"/>
      <c r="BG49" s="112"/>
      <c r="BH49" s="238">
        <f t="shared" si="43"/>
        <v>30</v>
      </c>
      <c r="BI49" s="245">
        <f t="shared" si="32"/>
        <v>100000</v>
      </c>
      <c r="BJ49" s="281">
        <f t="shared" ca="1" si="1"/>
        <v>16</v>
      </c>
      <c r="BK49" s="245" t="e">
        <f t="shared" ca="1" si="33"/>
        <v>#N/A</v>
      </c>
      <c r="BL49" s="245" t="e">
        <f t="shared" ca="1" si="34"/>
        <v>#N/A</v>
      </c>
      <c r="BM49" s="244"/>
      <c r="BN49" s="245" t="e">
        <f t="shared" ca="1" si="51"/>
        <v>#N/A</v>
      </c>
      <c r="BQ49" s="245"/>
      <c r="BR49" s="245"/>
      <c r="BS49" s="245"/>
      <c r="BT49" s="245"/>
      <c r="BU49" s="245"/>
      <c r="BV49" s="245"/>
      <c r="BY49" s="245"/>
      <c r="BZ49" s="245"/>
      <c r="CA49" s="245"/>
      <c r="CB49" s="245"/>
      <c r="CC49" s="245"/>
      <c r="CD49" s="245"/>
      <c r="CE49" s="245"/>
      <c r="CF49" s="245"/>
      <c r="CG49" s="245"/>
      <c r="CH49" s="245"/>
      <c r="CL49" s="112"/>
      <c r="CM49" s="112"/>
      <c r="CP49" s="112"/>
      <c r="CQ49" s="112"/>
      <c r="CR49" s="238"/>
      <c r="CS49" s="238"/>
      <c r="CT49" s="112"/>
      <c r="CU49" s="112"/>
      <c r="CV49" s="112"/>
      <c r="CW49" s="112" t="s">
        <v>224</v>
      </c>
      <c r="CX49" s="112" t="s">
        <v>225</v>
      </c>
      <c r="CY49" s="112" t="s">
        <v>226</v>
      </c>
      <c r="CZ49" s="112" t="s">
        <v>227</v>
      </c>
      <c r="DA49" s="112" t="s">
        <v>228</v>
      </c>
      <c r="DB49" s="112" t="s">
        <v>229</v>
      </c>
      <c r="DC49" s="112"/>
      <c r="DD49" s="238"/>
      <c r="DE49" s="112"/>
      <c r="DF49" s="112"/>
      <c r="DG49" s="112"/>
      <c r="DH49" s="238"/>
      <c r="DI49" s="112"/>
      <c r="DJ49" s="112"/>
      <c r="DK49" s="112"/>
      <c r="DL49" s="278" t="str">
        <f t="shared" ca="1" si="44"/>
        <v/>
      </c>
      <c r="DM49" s="245" t="str">
        <f t="shared" ca="1" si="53"/>
        <v/>
      </c>
      <c r="DN49" s="245" t="str">
        <f t="shared" ca="1" si="53"/>
        <v/>
      </c>
      <c r="DO49" s="245" t="str">
        <f t="shared" ca="1" si="53"/>
        <v/>
      </c>
      <c r="DP49" s="245" t="str">
        <f t="shared" ca="1" si="53"/>
        <v/>
      </c>
      <c r="DQ49" s="245" t="str">
        <f t="shared" ca="1" si="53"/>
        <v/>
      </c>
      <c r="DR49" s="244"/>
      <c r="DS49" s="245" t="str">
        <f t="shared" si="54"/>
        <v/>
      </c>
      <c r="DT49" s="245" t="str">
        <f t="shared" si="54"/>
        <v/>
      </c>
      <c r="DU49" s="245" t="str">
        <f t="shared" si="54"/>
        <v/>
      </c>
      <c r="DV49" s="244" t="str">
        <f t="shared" ca="1" si="7"/>
        <v/>
      </c>
      <c r="DW49" s="244"/>
      <c r="DX49" s="244" t="str">
        <f t="shared" ca="1" si="45"/>
        <v/>
      </c>
      <c r="EA49" s="244" t="b">
        <f t="shared" ca="1" si="35"/>
        <v>0</v>
      </c>
      <c r="EB49" s="278" t="e">
        <f ca="1">VLOOKUP(DM49,Foglio1!$AB$31:$AN$261,13)-6+EA49</f>
        <v>#N/A</v>
      </c>
      <c r="EC49" s="244"/>
      <c r="ED49" s="244" t="e">
        <f t="shared" ca="1" si="57"/>
        <v>#N/A</v>
      </c>
      <c r="EE49" s="244" t="e">
        <f t="shared" ca="1" si="57"/>
        <v>#N/A</v>
      </c>
      <c r="EF49" s="244" t="e">
        <f t="shared" ca="1" si="57"/>
        <v>#N/A</v>
      </c>
      <c r="EG49" s="244" t="e">
        <f t="shared" ca="1" si="56"/>
        <v>#N/A</v>
      </c>
      <c r="EH49" s="244" t="e">
        <f t="shared" ca="1" si="56"/>
        <v>#N/A</v>
      </c>
      <c r="EI49" s="244" t="e">
        <f t="shared" ca="1" si="56"/>
        <v>#N/A</v>
      </c>
      <c r="EJ49" s="244" t="e">
        <f t="shared" ca="1" si="56"/>
        <v>#N/A</v>
      </c>
      <c r="EK49" s="244" t="e">
        <f t="shared" ca="1" si="56"/>
        <v>#N/A</v>
      </c>
      <c r="EL49" s="244" t="e">
        <f t="shared" ca="1" si="56"/>
        <v>#N/A</v>
      </c>
      <c r="EM49" s="244" t="e">
        <f t="shared" ca="1" si="56"/>
        <v>#N/A</v>
      </c>
      <c r="EN49" s="244" t="e">
        <f t="shared" ca="1" si="56"/>
        <v>#N/A</v>
      </c>
      <c r="EO49" s="244" t="e">
        <f t="shared" ca="1" si="56"/>
        <v>#N/A</v>
      </c>
      <c r="EP49" s="244" t="e">
        <f t="shared" ca="1" si="56"/>
        <v>#N/A</v>
      </c>
      <c r="EQ49" s="244" t="e">
        <f t="shared" ca="1" si="56"/>
        <v>#N/A</v>
      </c>
      <c r="ER49" s="244"/>
      <c r="EW49" s="244">
        <v>0</v>
      </c>
      <c r="EX49" s="278" t="e">
        <f ca="1">VLOOKUP(DM49,Foglio1!$AB$31:$AN$261,13)-6+EW49</f>
        <v>#N/A</v>
      </c>
      <c r="EY49" s="244"/>
      <c r="EZ49" s="244" t="e">
        <f t="shared" ca="1" si="36"/>
        <v>#N/A</v>
      </c>
      <c r="FA49" s="244" t="e">
        <f t="shared" ca="1" si="55"/>
        <v>#N/A</v>
      </c>
      <c r="FB49" s="244" t="e">
        <f t="shared" ca="1" si="55"/>
        <v>#N/A</v>
      </c>
      <c r="FC49" s="244" t="e">
        <f t="shared" ca="1" si="55"/>
        <v>#N/A</v>
      </c>
      <c r="FD49" s="244" t="e">
        <f t="shared" ca="1" si="55"/>
        <v>#N/A</v>
      </c>
      <c r="FE49" s="244" t="e">
        <f t="shared" ca="1" si="55"/>
        <v>#N/A</v>
      </c>
      <c r="FF49" s="244" t="e">
        <f t="shared" ca="1" si="55"/>
        <v>#N/A</v>
      </c>
      <c r="FG49" s="244" t="e">
        <f t="shared" ca="1" si="55"/>
        <v>#N/A</v>
      </c>
      <c r="FH49" s="244" t="e">
        <f t="shared" ca="1" si="55"/>
        <v>#N/A</v>
      </c>
      <c r="FI49" s="244" t="e">
        <f t="shared" ca="1" si="55"/>
        <v>#N/A</v>
      </c>
      <c r="FJ49" s="244" t="e">
        <f t="shared" ca="1" si="55"/>
        <v>#N/A</v>
      </c>
      <c r="FK49" s="244" t="e">
        <f t="shared" ca="1" si="55"/>
        <v>#N/A</v>
      </c>
      <c r="FL49" s="244" t="e">
        <f t="shared" ca="1" si="55"/>
        <v>#N/A</v>
      </c>
      <c r="FM49" s="244" t="e">
        <f t="shared" ca="1" si="10"/>
        <v>#N/A</v>
      </c>
      <c r="FN49" s="244"/>
    </row>
    <row r="50" spans="5:170" x14ac:dyDescent="0.25">
      <c r="E50" s="244"/>
      <c r="F50" s="244"/>
      <c r="G50" s="244"/>
      <c r="L50">
        <f t="shared" si="37"/>
        <v>50</v>
      </c>
      <c r="R50" s="112">
        <f t="shared" si="14"/>
        <v>0</v>
      </c>
      <c r="S50" s="238" t="e">
        <f t="shared" ca="1" si="46"/>
        <v>#N/A</v>
      </c>
      <c r="T50" s="112" t="e">
        <f t="shared" ca="1" si="47"/>
        <v>#N/A</v>
      </c>
      <c r="U50" s="112" t="e">
        <f t="shared" ca="1" si="48"/>
        <v>#N/A</v>
      </c>
      <c r="V50" s="112" t="e">
        <f t="shared" ca="1" si="49"/>
        <v>#N/A</v>
      </c>
      <c r="W50" s="112" t="e">
        <f t="shared" ca="1" si="50"/>
        <v>#N/A</v>
      </c>
      <c r="X50" s="112">
        <f t="shared" si="15"/>
        <v>0</v>
      </c>
      <c r="Y50" s="112"/>
      <c r="Z50" s="112"/>
      <c r="AA50" s="112">
        <f t="shared" si="16"/>
        <v>100000</v>
      </c>
      <c r="AB50" s="112" t="e">
        <f t="shared" ca="1" si="17"/>
        <v>#N/A</v>
      </c>
      <c r="AC50" s="112" t="e">
        <f t="shared" ca="1" si="18"/>
        <v>#N/A</v>
      </c>
      <c r="AD50" s="112" t="e">
        <f t="shared" ca="1" si="19"/>
        <v>#N/A</v>
      </c>
      <c r="AE50" s="112" t="e">
        <f t="shared" ca="1" si="20"/>
        <v>#N/A</v>
      </c>
      <c r="AF50" s="112">
        <f t="shared" si="21"/>
        <v>100000</v>
      </c>
      <c r="AG50" s="238">
        <f>AG49+1</f>
        <v>26</v>
      </c>
      <c r="AH50" s="112">
        <f ca="1">INDIRECT(CONCATENATE("AA",AG50))</f>
        <v>100000</v>
      </c>
      <c r="AI50" s="112" t="e">
        <f ca="1">IF(            INDIRECT(CONCATENATE( "AB",AG50))&lt;100000,       INDIRECT(CONCATENATE("AB",AG50))  -1,IF(   INDIRECT(CONCATENATE("AC",AG50))&lt;100000,   INDIRECT(CONCATENATE("AC",AG50))-1,IF(   INDIRECT(CONCATENATE("AD", AG50))&lt;100000, INDIRECT(CONCATENATE("AD",AG50))-1,IF(   INDIRECT(CONCATENATE("AE",AG50))&lt;100000,  INDIRECT(CONCATENATE("AE",G50)),INDIRECT(CONCATENATE("AF",AG50))                ))))</f>
        <v>#N/A</v>
      </c>
      <c r="AJ50" s="114"/>
      <c r="AK50" s="114"/>
      <c r="AL50" s="238" t="e">
        <f t="shared" ca="1" si="38"/>
        <v>#N/A</v>
      </c>
      <c r="AM50" s="112">
        <f t="shared" ca="1" si="58"/>
        <v>100000</v>
      </c>
      <c r="AN50" s="112">
        <f t="shared" ca="1" si="39"/>
        <v>100000</v>
      </c>
      <c r="AO50" s="114">
        <f t="shared" ca="1" si="23"/>
        <v>6</v>
      </c>
      <c r="AP50" s="114">
        <f t="shared" ca="1" si="24"/>
        <v>18</v>
      </c>
      <c r="AQ50" s="112"/>
      <c r="AR50" s="238">
        <f t="shared" si="40"/>
        <v>50</v>
      </c>
      <c r="AS50" s="112"/>
      <c r="AT50" s="112"/>
      <c r="AU50" s="283">
        <f t="shared" si="41"/>
        <v>31</v>
      </c>
      <c r="AV50" s="284">
        <f t="shared" ca="1" si="25"/>
        <v>100000</v>
      </c>
      <c r="AW50" s="284">
        <f t="shared" ca="1" si="52"/>
        <v>100000</v>
      </c>
      <c r="AX50" s="285">
        <f t="shared" ca="1" si="27"/>
        <v>0</v>
      </c>
      <c r="AY50" s="285">
        <f t="shared" ca="1" si="28"/>
        <v>18</v>
      </c>
      <c r="AZ50" s="282"/>
      <c r="BD50" s="114">
        <f t="shared" si="42"/>
        <v>1</v>
      </c>
      <c r="BE50" s="112">
        <f t="shared" si="31"/>
        <v>100000</v>
      </c>
      <c r="BH50" s="238">
        <f t="shared" si="43"/>
        <v>31</v>
      </c>
      <c r="BI50" s="245">
        <f t="shared" si="32"/>
        <v>100000</v>
      </c>
      <c r="BJ50" s="281">
        <f t="shared" ca="1" si="1"/>
        <v>16</v>
      </c>
      <c r="BK50" s="245" t="e">
        <f t="shared" ca="1" si="33"/>
        <v>#N/A</v>
      </c>
      <c r="BL50" s="245" t="e">
        <f t="shared" ca="1" si="34"/>
        <v>#N/A</v>
      </c>
      <c r="BM50" s="244"/>
      <c r="BN50" s="245" t="e">
        <f t="shared" ca="1" si="51"/>
        <v>#N/A</v>
      </c>
      <c r="BQ50" s="245"/>
      <c r="BR50" s="245"/>
      <c r="BS50" s="245"/>
      <c r="BT50" s="245"/>
      <c r="BU50" s="245"/>
      <c r="BV50" s="245"/>
      <c r="BY50" s="245"/>
      <c r="BZ50" s="245"/>
      <c r="CA50" s="245"/>
      <c r="CB50" s="245"/>
      <c r="CC50" s="245"/>
      <c r="CD50" s="245"/>
      <c r="CE50" s="245"/>
      <c r="CF50" s="245"/>
      <c r="CG50" s="245"/>
      <c r="CH50" s="245"/>
      <c r="CL50" s="112"/>
      <c r="CM50" s="112"/>
      <c r="CP50" s="112"/>
      <c r="CQ50" s="112"/>
      <c r="CR50" s="238"/>
      <c r="CS50" s="238"/>
      <c r="CT50" s="112"/>
      <c r="CU50" s="112"/>
      <c r="CV50" s="112"/>
      <c r="CW50" s="112" t="s">
        <v>224</v>
      </c>
      <c r="CX50" s="112" t="s">
        <v>225</v>
      </c>
      <c r="CY50" s="112" t="s">
        <v>226</v>
      </c>
      <c r="CZ50" s="112" t="s">
        <v>227</v>
      </c>
      <c r="DA50" s="112" t="s">
        <v>228</v>
      </c>
      <c r="DB50" s="112" t="s">
        <v>229</v>
      </c>
      <c r="DC50" s="112"/>
      <c r="DD50" s="238"/>
      <c r="DE50" s="112"/>
      <c r="DF50" s="112"/>
      <c r="DG50" s="112"/>
      <c r="DH50" s="238"/>
      <c r="DI50" s="112"/>
      <c r="DJ50" s="112"/>
      <c r="DK50" s="112"/>
      <c r="DL50" s="278" t="str">
        <f t="shared" ca="1" si="44"/>
        <v/>
      </c>
      <c r="DM50" s="245" t="str">
        <f t="shared" ca="1" si="53"/>
        <v/>
      </c>
      <c r="DN50" s="245" t="str">
        <f t="shared" ca="1" si="53"/>
        <v/>
      </c>
      <c r="DO50" s="245" t="str">
        <f t="shared" ca="1" si="53"/>
        <v/>
      </c>
      <c r="DP50" s="245" t="str">
        <f t="shared" ca="1" si="53"/>
        <v/>
      </c>
      <c r="DQ50" s="245" t="str">
        <f t="shared" ca="1" si="53"/>
        <v/>
      </c>
      <c r="DR50" s="244"/>
      <c r="DS50" s="245" t="str">
        <f t="shared" si="54"/>
        <v/>
      </c>
      <c r="DT50" s="245" t="str">
        <f t="shared" si="54"/>
        <v/>
      </c>
      <c r="DU50" s="245" t="str">
        <f t="shared" si="54"/>
        <v/>
      </c>
      <c r="DV50" s="244" t="str">
        <f t="shared" ca="1" si="7"/>
        <v/>
      </c>
      <c r="DW50" s="244"/>
      <c r="DX50" s="244" t="str">
        <f t="shared" ca="1" si="45"/>
        <v/>
      </c>
      <c r="EA50" s="244" t="b">
        <f t="shared" ca="1" si="35"/>
        <v>0</v>
      </c>
      <c r="EB50" s="278" t="e">
        <f ca="1">VLOOKUP(DM50,Foglio1!$AB$31:$AN$261,13)-6+EA50</f>
        <v>#N/A</v>
      </c>
      <c r="EC50" s="244"/>
      <c r="ED50" s="244" t="e">
        <f t="shared" ca="1" si="57"/>
        <v>#N/A</v>
      </c>
      <c r="EE50" s="244" t="e">
        <f t="shared" ca="1" si="57"/>
        <v>#N/A</v>
      </c>
      <c r="EF50" s="244" t="e">
        <f t="shared" ca="1" si="57"/>
        <v>#N/A</v>
      </c>
      <c r="EG50" s="244" t="e">
        <f t="shared" ca="1" si="56"/>
        <v>#N/A</v>
      </c>
      <c r="EH50" s="244" t="e">
        <f t="shared" ca="1" si="56"/>
        <v>#N/A</v>
      </c>
      <c r="EI50" s="244" t="e">
        <f t="shared" ca="1" si="56"/>
        <v>#N/A</v>
      </c>
      <c r="EJ50" s="244" t="e">
        <f t="shared" ca="1" si="56"/>
        <v>#N/A</v>
      </c>
      <c r="EK50" s="244" t="e">
        <f t="shared" ca="1" si="56"/>
        <v>#N/A</v>
      </c>
      <c r="EL50" s="244" t="e">
        <f t="shared" ca="1" si="56"/>
        <v>#N/A</v>
      </c>
      <c r="EM50" s="244" t="e">
        <f t="shared" ca="1" si="56"/>
        <v>#N/A</v>
      </c>
      <c r="EN50" s="244" t="e">
        <f t="shared" ca="1" si="56"/>
        <v>#N/A</v>
      </c>
      <c r="EO50" s="244" t="e">
        <f t="shared" ca="1" si="56"/>
        <v>#N/A</v>
      </c>
      <c r="EP50" s="244" t="e">
        <f t="shared" ca="1" si="56"/>
        <v>#N/A</v>
      </c>
      <c r="EQ50" s="244" t="e">
        <f t="shared" ca="1" si="56"/>
        <v>#N/A</v>
      </c>
      <c r="ER50" s="244"/>
      <c r="EW50" s="244">
        <v>0</v>
      </c>
      <c r="EX50" s="278" t="e">
        <f ca="1">VLOOKUP(DM50,Foglio1!$AB$31:$AN$261,13)-6+EW50</f>
        <v>#N/A</v>
      </c>
      <c r="EY50" s="244"/>
      <c r="EZ50" s="244" t="e">
        <f t="shared" ca="1" si="36"/>
        <v>#N/A</v>
      </c>
      <c r="FA50" s="244" t="e">
        <f t="shared" ca="1" si="55"/>
        <v>#N/A</v>
      </c>
      <c r="FB50" s="244" t="e">
        <f t="shared" ca="1" si="55"/>
        <v>#N/A</v>
      </c>
      <c r="FC50" s="244" t="e">
        <f t="shared" ca="1" si="55"/>
        <v>#N/A</v>
      </c>
      <c r="FD50" s="244" t="e">
        <f t="shared" ca="1" si="55"/>
        <v>#N/A</v>
      </c>
      <c r="FE50" s="244" t="e">
        <f t="shared" ca="1" si="55"/>
        <v>#N/A</v>
      </c>
      <c r="FF50" s="244" t="e">
        <f t="shared" ca="1" si="55"/>
        <v>#N/A</v>
      </c>
      <c r="FG50" s="244" t="e">
        <f t="shared" ca="1" si="55"/>
        <v>#N/A</v>
      </c>
      <c r="FH50" s="244" t="e">
        <f t="shared" ca="1" si="55"/>
        <v>#N/A</v>
      </c>
      <c r="FI50" s="244" t="e">
        <f t="shared" ca="1" si="55"/>
        <v>#N/A</v>
      </c>
      <c r="FJ50" s="244" t="e">
        <f t="shared" ca="1" si="55"/>
        <v>#N/A</v>
      </c>
      <c r="FK50" s="244" t="e">
        <f t="shared" ca="1" si="55"/>
        <v>#N/A</v>
      </c>
      <c r="FL50" s="244" t="e">
        <f t="shared" ca="1" si="55"/>
        <v>#N/A</v>
      </c>
      <c r="FM50" s="244" t="e">
        <f t="shared" ca="1" si="10"/>
        <v>#N/A</v>
      </c>
      <c r="FN50" s="244"/>
    </row>
    <row r="51" spans="5:170" x14ac:dyDescent="0.25">
      <c r="E51" s="244"/>
      <c r="F51" s="244"/>
      <c r="G51" s="244"/>
      <c r="L51">
        <f t="shared" si="37"/>
        <v>51</v>
      </c>
      <c r="R51" s="112">
        <f t="shared" si="14"/>
        <v>0</v>
      </c>
      <c r="S51" s="238" t="e">
        <f t="shared" ca="1" si="46"/>
        <v>#N/A</v>
      </c>
      <c r="T51" s="112" t="e">
        <f t="shared" ca="1" si="47"/>
        <v>#N/A</v>
      </c>
      <c r="U51" s="112" t="e">
        <f t="shared" ca="1" si="48"/>
        <v>#N/A</v>
      </c>
      <c r="V51" s="112" t="e">
        <f t="shared" ca="1" si="49"/>
        <v>#N/A</v>
      </c>
      <c r="W51" s="112" t="e">
        <f t="shared" ca="1" si="50"/>
        <v>#N/A</v>
      </c>
      <c r="X51" s="112">
        <f t="shared" si="15"/>
        <v>0</v>
      </c>
      <c r="Y51" s="112"/>
      <c r="Z51" s="112"/>
      <c r="AA51" s="112">
        <f t="shared" si="16"/>
        <v>100000</v>
      </c>
      <c r="AB51" s="112" t="e">
        <f t="shared" ca="1" si="17"/>
        <v>#N/A</v>
      </c>
      <c r="AC51" s="112" t="e">
        <f t="shared" ca="1" si="18"/>
        <v>#N/A</v>
      </c>
      <c r="AD51" s="112" t="e">
        <f t="shared" ca="1" si="19"/>
        <v>#N/A</v>
      </c>
      <c r="AE51" s="112" t="e">
        <f t="shared" ca="1" si="20"/>
        <v>#N/A</v>
      </c>
      <c r="AF51" s="112">
        <f t="shared" si="21"/>
        <v>100000</v>
      </c>
      <c r="AG51" s="238">
        <f>AG50</f>
        <v>26</v>
      </c>
      <c r="AH51" s="112" t="e">
        <f ca="1">AI50+1</f>
        <v>#N/A</v>
      </c>
      <c r="AI51" s="112" t="e">
        <f ca="1">IF(INDIRECT(CONCATENATE("AC",AG50))&lt;100000,INDIRECT(CONCATENATE("AC",AG50))-1,IF(INDIRECT(CONCATENATE("AD",AG50))&lt;100000,INDIRECT(CONCATENATE("AD",AG50))-1,IF(INDIRECT(CONCATENATE("AE",AG50))&lt;100000,INDIRECT(CONCATENATE("AE",G50)),INDIRECT(CONCATENATE("AF",AG50)))))</f>
        <v>#N/A</v>
      </c>
      <c r="AJ51" s="114"/>
      <c r="AK51" s="114"/>
      <c r="AL51" s="238" t="e">
        <f t="shared" ca="1" si="38"/>
        <v>#N/A</v>
      </c>
      <c r="AM51" s="112">
        <f t="shared" ca="1" si="58"/>
        <v>100000</v>
      </c>
      <c r="AN51" s="112">
        <f t="shared" ca="1" si="39"/>
        <v>100000</v>
      </c>
      <c r="AO51" s="114">
        <f t="shared" ca="1" si="23"/>
        <v>6</v>
      </c>
      <c r="AP51" s="114">
        <f t="shared" ca="1" si="24"/>
        <v>18</v>
      </c>
      <c r="AQ51" s="112"/>
      <c r="AR51" s="238">
        <f t="shared" si="40"/>
        <v>51</v>
      </c>
      <c r="AS51" s="112"/>
      <c r="AT51" s="112"/>
      <c r="AU51" s="283">
        <f t="shared" si="41"/>
        <v>32</v>
      </c>
      <c r="AV51" s="284">
        <f t="shared" ca="1" si="25"/>
        <v>100000</v>
      </c>
      <c r="AW51" s="284">
        <f t="shared" ca="1" si="52"/>
        <v>100000</v>
      </c>
      <c r="AX51" s="285">
        <f t="shared" ca="1" si="27"/>
        <v>0</v>
      </c>
      <c r="AY51" s="285">
        <f t="shared" ca="1" si="28"/>
        <v>18</v>
      </c>
      <c r="AZ51" s="282"/>
      <c r="BD51" s="114">
        <f t="shared" si="42"/>
        <v>1</v>
      </c>
      <c r="BE51" s="112">
        <f t="shared" si="31"/>
        <v>100000</v>
      </c>
      <c r="BH51" s="238">
        <f t="shared" si="43"/>
        <v>32</v>
      </c>
      <c r="BI51" s="245">
        <f t="shared" si="32"/>
        <v>100000</v>
      </c>
      <c r="BJ51" s="281">
        <f t="shared" ca="1" si="1"/>
        <v>16</v>
      </c>
      <c r="BK51" s="245" t="e">
        <f t="shared" ca="1" si="33"/>
        <v>#N/A</v>
      </c>
      <c r="BL51" s="245" t="e">
        <f t="shared" ca="1" si="34"/>
        <v>#N/A</v>
      </c>
      <c r="BM51" s="244"/>
      <c r="BN51" s="245" t="e">
        <f t="shared" ca="1" si="51"/>
        <v>#N/A</v>
      </c>
      <c r="BQ51" s="245"/>
      <c r="BR51" s="245"/>
      <c r="BS51" s="245"/>
      <c r="BT51" s="245"/>
      <c r="BU51" s="245"/>
      <c r="BV51" s="245"/>
      <c r="BY51" s="245"/>
      <c r="BZ51" s="245"/>
      <c r="CA51" s="245"/>
      <c r="CB51" s="245"/>
      <c r="CC51" s="245"/>
      <c r="CD51" s="245"/>
      <c r="CE51" s="245"/>
      <c r="CF51" s="245"/>
      <c r="CG51" s="245"/>
      <c r="CH51" s="245"/>
      <c r="CL51" s="112"/>
      <c r="CM51" s="112"/>
      <c r="CP51" s="112"/>
      <c r="CQ51" s="112"/>
      <c r="CR51" s="238"/>
      <c r="CS51" s="238"/>
      <c r="CT51" s="112"/>
      <c r="CU51" s="112"/>
      <c r="CV51" s="112"/>
      <c r="CW51" s="112" t="s">
        <v>224</v>
      </c>
      <c r="CX51" s="112" t="s">
        <v>225</v>
      </c>
      <c r="CY51" s="112" t="s">
        <v>226</v>
      </c>
      <c r="CZ51" s="112" t="s">
        <v>227</v>
      </c>
      <c r="DA51" s="112" t="s">
        <v>228</v>
      </c>
      <c r="DB51" s="112" t="s">
        <v>229</v>
      </c>
      <c r="DC51" s="112"/>
      <c r="DD51" s="238"/>
      <c r="DE51" s="112"/>
      <c r="DF51" s="112"/>
      <c r="DG51" s="112"/>
      <c r="DH51" s="238"/>
      <c r="DI51" s="112"/>
      <c r="DJ51" s="112"/>
      <c r="DK51" s="112"/>
      <c r="DL51" s="278" t="str">
        <f t="shared" ca="1" si="44"/>
        <v/>
      </c>
      <c r="DM51" s="245" t="str">
        <f t="shared" ca="1" si="53"/>
        <v/>
      </c>
      <c r="DN51" s="245" t="str">
        <f t="shared" ca="1" si="53"/>
        <v/>
      </c>
      <c r="DO51" s="245" t="str">
        <f t="shared" ca="1" si="53"/>
        <v/>
      </c>
      <c r="DP51" s="245" t="str">
        <f t="shared" ca="1" si="53"/>
        <v/>
      </c>
      <c r="DQ51" s="245" t="str">
        <f t="shared" ca="1" si="53"/>
        <v/>
      </c>
      <c r="DR51" s="244"/>
      <c r="DS51" s="245" t="str">
        <f t="shared" si="54"/>
        <v/>
      </c>
      <c r="DT51" s="245" t="str">
        <f t="shared" si="54"/>
        <v/>
      </c>
      <c r="DU51" s="245" t="str">
        <f t="shared" si="54"/>
        <v/>
      </c>
      <c r="DV51" s="244" t="str">
        <f t="shared" ca="1" si="7"/>
        <v/>
      </c>
      <c r="DW51" s="244"/>
      <c r="DX51" s="244" t="str">
        <f t="shared" ca="1" si="45"/>
        <v/>
      </c>
      <c r="EA51" s="244" t="b">
        <f t="shared" ca="1" si="35"/>
        <v>0</v>
      </c>
      <c r="EB51" s="278" t="e">
        <f ca="1">VLOOKUP(DM51,Foglio1!$AB$31:$AN$261,13)-6+EA51</f>
        <v>#N/A</v>
      </c>
      <c r="EC51" s="244"/>
      <c r="ED51" s="244" t="e">
        <f t="shared" ca="1" si="57"/>
        <v>#N/A</v>
      </c>
      <c r="EE51" s="244" t="e">
        <f t="shared" ca="1" si="57"/>
        <v>#N/A</v>
      </c>
      <c r="EF51" s="244" t="e">
        <f t="shared" ca="1" si="57"/>
        <v>#N/A</v>
      </c>
      <c r="EG51" s="244" t="e">
        <f t="shared" ca="1" si="56"/>
        <v>#N/A</v>
      </c>
      <c r="EH51" s="244" t="e">
        <f t="shared" ca="1" si="56"/>
        <v>#N/A</v>
      </c>
      <c r="EI51" s="244" t="e">
        <f t="shared" ca="1" si="56"/>
        <v>#N/A</v>
      </c>
      <c r="EJ51" s="244" t="e">
        <f t="shared" ca="1" si="56"/>
        <v>#N/A</v>
      </c>
      <c r="EK51" s="244" t="e">
        <f t="shared" ca="1" si="56"/>
        <v>#N/A</v>
      </c>
      <c r="EL51" s="244" t="e">
        <f t="shared" ca="1" si="56"/>
        <v>#N/A</v>
      </c>
      <c r="EM51" s="244" t="e">
        <f t="shared" ca="1" si="56"/>
        <v>#N/A</v>
      </c>
      <c r="EN51" s="244" t="e">
        <f t="shared" ca="1" si="56"/>
        <v>#N/A</v>
      </c>
      <c r="EO51" s="244" t="e">
        <f t="shared" ca="1" si="56"/>
        <v>#N/A</v>
      </c>
      <c r="EP51" s="244" t="e">
        <f t="shared" ca="1" si="56"/>
        <v>#N/A</v>
      </c>
      <c r="EQ51" s="244" t="e">
        <f t="shared" ca="1" si="56"/>
        <v>#N/A</v>
      </c>
      <c r="ER51" s="244"/>
      <c r="EW51" s="244">
        <v>0</v>
      </c>
      <c r="EX51" s="278" t="e">
        <f ca="1">VLOOKUP(DM51,Foglio1!$AB$31:$AN$261,13)-6+EW51</f>
        <v>#N/A</v>
      </c>
      <c r="EY51" s="244"/>
      <c r="EZ51" s="244" t="e">
        <f t="shared" ca="1" si="36"/>
        <v>#N/A</v>
      </c>
      <c r="FA51" s="244" t="e">
        <f t="shared" ca="1" si="55"/>
        <v>#N/A</v>
      </c>
      <c r="FB51" s="244" t="e">
        <f t="shared" ca="1" si="55"/>
        <v>#N/A</v>
      </c>
      <c r="FC51" s="244" t="e">
        <f t="shared" ca="1" si="55"/>
        <v>#N/A</v>
      </c>
      <c r="FD51" s="244" t="e">
        <f t="shared" ca="1" si="55"/>
        <v>#N/A</v>
      </c>
      <c r="FE51" s="244" t="e">
        <f t="shared" ca="1" si="55"/>
        <v>#N/A</v>
      </c>
      <c r="FF51" s="244" t="e">
        <f t="shared" ca="1" si="55"/>
        <v>#N/A</v>
      </c>
      <c r="FG51" s="244" t="e">
        <f t="shared" ca="1" si="55"/>
        <v>#N/A</v>
      </c>
      <c r="FH51" s="244" t="e">
        <f t="shared" ca="1" si="55"/>
        <v>#N/A</v>
      </c>
      <c r="FI51" s="244" t="e">
        <f t="shared" ca="1" si="55"/>
        <v>#N/A</v>
      </c>
      <c r="FJ51" s="244" t="e">
        <f t="shared" ca="1" si="55"/>
        <v>#N/A</v>
      </c>
      <c r="FK51" s="244" t="e">
        <f t="shared" ca="1" si="55"/>
        <v>#N/A</v>
      </c>
      <c r="FL51" s="244" t="e">
        <f t="shared" ca="1" si="55"/>
        <v>#N/A</v>
      </c>
      <c r="FM51" s="244" t="e">
        <f t="shared" ca="1" si="10"/>
        <v>#N/A</v>
      </c>
      <c r="FN51" s="244"/>
    </row>
    <row r="52" spans="5:170" x14ac:dyDescent="0.25">
      <c r="E52" s="244"/>
      <c r="F52" s="244"/>
      <c r="G52" s="244"/>
      <c r="L52">
        <f t="shared" si="37"/>
        <v>52</v>
      </c>
      <c r="R52" s="112">
        <f t="shared" si="14"/>
        <v>0</v>
      </c>
      <c r="S52" s="238" t="e">
        <f t="shared" ca="1" si="46"/>
        <v>#N/A</v>
      </c>
      <c r="T52" s="112" t="e">
        <f t="shared" ca="1" si="47"/>
        <v>#N/A</v>
      </c>
      <c r="U52" s="112" t="e">
        <f t="shared" ca="1" si="48"/>
        <v>#N/A</v>
      </c>
      <c r="V52" s="112" t="e">
        <f t="shared" ca="1" si="49"/>
        <v>#N/A</v>
      </c>
      <c r="W52" s="112" t="e">
        <f t="shared" ca="1" si="50"/>
        <v>#N/A</v>
      </c>
      <c r="X52" s="112">
        <f t="shared" si="15"/>
        <v>0</v>
      </c>
      <c r="Y52" s="112"/>
      <c r="Z52" s="112"/>
      <c r="AA52" s="112">
        <f t="shared" si="16"/>
        <v>100000</v>
      </c>
      <c r="AB52" s="112" t="e">
        <f t="shared" ca="1" si="17"/>
        <v>#N/A</v>
      </c>
      <c r="AC52" s="112" t="e">
        <f t="shared" ca="1" si="18"/>
        <v>#N/A</v>
      </c>
      <c r="AD52" s="112" t="e">
        <f t="shared" ca="1" si="19"/>
        <v>#N/A</v>
      </c>
      <c r="AE52" s="112" t="e">
        <f t="shared" ca="1" si="20"/>
        <v>#N/A</v>
      </c>
      <c r="AF52" s="112">
        <f t="shared" si="21"/>
        <v>100000</v>
      </c>
      <c r="AG52" s="238">
        <f>AG51</f>
        <v>26</v>
      </c>
      <c r="AH52" s="112" t="e">
        <f ca="1">AI51+1</f>
        <v>#N/A</v>
      </c>
      <c r="AI52" s="112" t="e">
        <f ca="1">IF(INDIRECT(CONCATENATE("AD",AG50))&lt;100000,INDIRECT(CONCATENATE("AD",AG50))-1,IF(INDIRECT(CONCATENATE("AE",AG50))&lt;100000,INDIRECT(CONCATENATE("AE",G50)),INDIRECT(CONCATENATE("AF",AG50))))</f>
        <v>#N/A</v>
      </c>
      <c r="AJ52" s="114"/>
      <c r="AK52" s="114"/>
      <c r="AL52" s="238" t="e">
        <f t="shared" ca="1" si="38"/>
        <v>#N/A</v>
      </c>
      <c r="AM52" s="112">
        <f t="shared" ca="1" si="58"/>
        <v>100000</v>
      </c>
      <c r="AN52" s="112">
        <f t="shared" ca="1" si="39"/>
        <v>100000</v>
      </c>
      <c r="AO52" s="114">
        <f t="shared" ca="1" si="23"/>
        <v>6</v>
      </c>
      <c r="AP52" s="114">
        <f t="shared" ca="1" si="24"/>
        <v>18</v>
      </c>
      <c r="AQ52" s="112"/>
      <c r="AR52" s="238">
        <f t="shared" si="40"/>
        <v>52</v>
      </c>
      <c r="AS52" s="112"/>
      <c r="AT52" s="112"/>
      <c r="AU52" s="283">
        <f t="shared" si="41"/>
        <v>33</v>
      </c>
      <c r="AV52" s="284">
        <f t="shared" ca="1" si="25"/>
        <v>100000</v>
      </c>
      <c r="AW52" s="284">
        <f t="shared" ca="1" si="52"/>
        <v>100000</v>
      </c>
      <c r="AX52" s="285">
        <f t="shared" ca="1" si="27"/>
        <v>0</v>
      </c>
      <c r="AY52" s="285">
        <f t="shared" ca="1" si="28"/>
        <v>18</v>
      </c>
      <c r="AZ52" s="282"/>
      <c r="BD52" s="114">
        <f t="shared" si="42"/>
        <v>1</v>
      </c>
      <c r="BE52" s="112">
        <f t="shared" si="31"/>
        <v>100000</v>
      </c>
      <c r="BH52" s="238">
        <f t="shared" si="43"/>
        <v>33</v>
      </c>
      <c r="BI52" s="245">
        <f t="shared" si="32"/>
        <v>100000</v>
      </c>
      <c r="BJ52" s="281">
        <f t="shared" ca="1" si="1"/>
        <v>16</v>
      </c>
      <c r="BK52" s="245" t="e">
        <f t="shared" ca="1" si="33"/>
        <v>#N/A</v>
      </c>
      <c r="BL52" s="245" t="e">
        <f t="shared" ca="1" si="34"/>
        <v>#N/A</v>
      </c>
      <c r="BM52" s="244"/>
      <c r="BN52" s="245" t="e">
        <f t="shared" ca="1" si="51"/>
        <v>#N/A</v>
      </c>
      <c r="BQ52" s="245"/>
      <c r="BR52" s="245"/>
      <c r="BS52" s="245"/>
      <c r="BT52" s="245"/>
      <c r="BU52" s="245"/>
      <c r="BV52" s="245"/>
      <c r="BY52" s="245"/>
      <c r="BZ52" s="245"/>
      <c r="CA52" s="245"/>
      <c r="CB52" s="245"/>
      <c r="CC52" s="245"/>
      <c r="CD52" s="245"/>
      <c r="CE52" s="245"/>
      <c r="CF52" s="245"/>
      <c r="CG52" s="245"/>
      <c r="CH52" s="245"/>
      <c r="CL52" s="112"/>
      <c r="CM52" s="112"/>
      <c r="CP52" s="112"/>
      <c r="CQ52" s="112"/>
      <c r="CR52" s="238"/>
      <c r="CS52" s="238"/>
      <c r="CT52" s="112"/>
      <c r="CU52" s="112"/>
      <c r="CV52" s="112"/>
      <c r="CW52" s="112" t="s">
        <v>224</v>
      </c>
      <c r="CX52" s="112" t="s">
        <v>225</v>
      </c>
      <c r="CY52" s="112" t="s">
        <v>226</v>
      </c>
      <c r="CZ52" s="112" t="s">
        <v>227</v>
      </c>
      <c r="DA52" s="112" t="s">
        <v>228</v>
      </c>
      <c r="DB52" s="112" t="s">
        <v>229</v>
      </c>
      <c r="DC52" s="112"/>
      <c r="DD52" s="238"/>
      <c r="DE52" s="112"/>
      <c r="DF52" s="112"/>
      <c r="DG52" s="112"/>
      <c r="DH52" s="238"/>
      <c r="DI52" s="112"/>
      <c r="DJ52" s="112"/>
      <c r="DK52" s="112"/>
      <c r="DL52" s="278" t="str">
        <f t="shared" ca="1" si="44"/>
        <v/>
      </c>
      <c r="DM52" s="245" t="str">
        <f t="shared" ca="1" si="53"/>
        <v/>
      </c>
      <c r="DN52" s="245" t="str">
        <f t="shared" ca="1" si="53"/>
        <v/>
      </c>
      <c r="DO52" s="245" t="str">
        <f t="shared" ca="1" si="53"/>
        <v/>
      </c>
      <c r="DP52" s="245" t="str">
        <f t="shared" ca="1" si="53"/>
        <v/>
      </c>
      <c r="DQ52" s="245" t="str">
        <f t="shared" ca="1" si="53"/>
        <v/>
      </c>
      <c r="DR52" s="244"/>
      <c r="DS52" s="245" t="str">
        <f t="shared" si="54"/>
        <v/>
      </c>
      <c r="DT52" s="245" t="str">
        <f t="shared" si="54"/>
        <v/>
      </c>
      <c r="DU52" s="245" t="str">
        <f t="shared" si="54"/>
        <v/>
      </c>
      <c r="DV52" s="244" t="str">
        <f t="shared" ca="1" si="7"/>
        <v/>
      </c>
      <c r="DW52" s="244"/>
      <c r="DX52" s="244" t="str">
        <f t="shared" ca="1" si="45"/>
        <v/>
      </c>
      <c r="EA52" s="244" t="b">
        <f t="shared" ca="1" si="35"/>
        <v>0</v>
      </c>
      <c r="EB52" s="278" t="e">
        <f ca="1">VLOOKUP(DM52,Foglio1!$AB$31:$AN$261,13)-6+EA52</f>
        <v>#N/A</v>
      </c>
      <c r="EC52" s="244"/>
      <c r="ED52" s="244" t="e">
        <f t="shared" ca="1" si="57"/>
        <v>#N/A</v>
      </c>
      <c r="EE52" s="244" t="e">
        <f t="shared" ca="1" si="57"/>
        <v>#N/A</v>
      </c>
      <c r="EF52" s="244" t="e">
        <f t="shared" ca="1" si="57"/>
        <v>#N/A</v>
      </c>
      <c r="EG52" s="244" t="e">
        <f t="shared" ca="1" si="56"/>
        <v>#N/A</v>
      </c>
      <c r="EH52" s="244" t="e">
        <f t="shared" ca="1" si="56"/>
        <v>#N/A</v>
      </c>
      <c r="EI52" s="244" t="e">
        <f t="shared" ca="1" si="56"/>
        <v>#N/A</v>
      </c>
      <c r="EJ52" s="244" t="e">
        <f t="shared" ca="1" si="56"/>
        <v>#N/A</v>
      </c>
      <c r="EK52" s="244" t="e">
        <f t="shared" ca="1" si="56"/>
        <v>#N/A</v>
      </c>
      <c r="EL52" s="244" t="e">
        <f t="shared" ca="1" si="56"/>
        <v>#N/A</v>
      </c>
      <c r="EM52" s="244" t="e">
        <f t="shared" ca="1" si="56"/>
        <v>#N/A</v>
      </c>
      <c r="EN52" s="244" t="e">
        <f t="shared" ca="1" si="56"/>
        <v>#N/A</v>
      </c>
      <c r="EO52" s="244" t="e">
        <f t="shared" ca="1" si="56"/>
        <v>#N/A</v>
      </c>
      <c r="EP52" s="244" t="e">
        <f t="shared" ca="1" si="56"/>
        <v>#N/A</v>
      </c>
      <c r="EQ52" s="244" t="e">
        <f t="shared" ca="1" si="56"/>
        <v>#N/A</v>
      </c>
      <c r="ER52" s="244"/>
      <c r="EW52" s="244">
        <v>0</v>
      </c>
      <c r="EX52" s="278" t="e">
        <f ca="1">VLOOKUP(DM52,Foglio1!$AB$31:$AN$261,13)-6+EW52</f>
        <v>#N/A</v>
      </c>
      <c r="EY52" s="244"/>
      <c r="EZ52" s="244" t="e">
        <f t="shared" ca="1" si="36"/>
        <v>#N/A</v>
      </c>
      <c r="FA52" s="244" t="e">
        <f t="shared" ca="1" si="55"/>
        <v>#N/A</v>
      </c>
      <c r="FB52" s="244" t="e">
        <f t="shared" ca="1" si="55"/>
        <v>#N/A</v>
      </c>
      <c r="FC52" s="244" t="e">
        <f t="shared" ca="1" si="55"/>
        <v>#N/A</v>
      </c>
      <c r="FD52" s="244" t="e">
        <f t="shared" ca="1" si="55"/>
        <v>#N/A</v>
      </c>
      <c r="FE52" s="244" t="e">
        <f t="shared" ca="1" si="55"/>
        <v>#N/A</v>
      </c>
      <c r="FF52" s="244" t="e">
        <f t="shared" ca="1" si="55"/>
        <v>#N/A</v>
      </c>
      <c r="FG52" s="244" t="e">
        <f t="shared" ca="1" si="55"/>
        <v>#N/A</v>
      </c>
      <c r="FH52" s="244" t="e">
        <f t="shared" ca="1" si="55"/>
        <v>#N/A</v>
      </c>
      <c r="FI52" s="244" t="e">
        <f t="shared" ca="1" si="55"/>
        <v>#N/A</v>
      </c>
      <c r="FJ52" s="244" t="e">
        <f t="shared" ca="1" si="55"/>
        <v>#N/A</v>
      </c>
      <c r="FK52" s="244" t="e">
        <f t="shared" ca="1" si="55"/>
        <v>#N/A</v>
      </c>
      <c r="FL52" s="244" t="e">
        <f t="shared" ca="1" si="55"/>
        <v>#N/A</v>
      </c>
      <c r="FM52" s="244" t="e">
        <f t="shared" ca="1" si="10"/>
        <v>#N/A</v>
      </c>
      <c r="FN52" s="244"/>
    </row>
    <row r="53" spans="5:170" x14ac:dyDescent="0.25">
      <c r="E53" s="244"/>
      <c r="F53" s="244"/>
      <c r="G53" s="244"/>
      <c r="L53">
        <f t="shared" si="37"/>
        <v>53</v>
      </c>
      <c r="R53" s="112">
        <f t="shared" si="14"/>
        <v>0</v>
      </c>
      <c r="S53" s="238" t="e">
        <f t="shared" si="46"/>
        <v>#N/A</v>
      </c>
      <c r="T53" s="112" t="e">
        <f t="shared" ca="1" si="47"/>
        <v>#N/A</v>
      </c>
      <c r="U53" s="112" t="e">
        <f t="shared" ca="1" si="48"/>
        <v>#N/A</v>
      </c>
      <c r="V53" s="112" t="e">
        <f t="shared" ca="1" si="49"/>
        <v>#N/A</v>
      </c>
      <c r="W53" s="112" t="e">
        <f t="shared" ca="1" si="50"/>
        <v>#N/A</v>
      </c>
      <c r="X53" s="112">
        <f t="shared" si="15"/>
        <v>0</v>
      </c>
      <c r="Y53" s="112"/>
      <c r="Z53" s="112"/>
      <c r="AA53" s="112">
        <f t="shared" si="16"/>
        <v>100000</v>
      </c>
      <c r="AB53" s="112" t="e">
        <f t="shared" ca="1" si="17"/>
        <v>#N/A</v>
      </c>
      <c r="AC53" s="112" t="e">
        <f t="shared" ca="1" si="18"/>
        <v>#N/A</v>
      </c>
      <c r="AD53" s="112" t="e">
        <f t="shared" ca="1" si="19"/>
        <v>#N/A</v>
      </c>
      <c r="AE53" s="112" t="e">
        <f t="shared" ca="1" si="20"/>
        <v>#N/A</v>
      </c>
      <c r="AF53" s="112">
        <f t="shared" si="21"/>
        <v>100000</v>
      </c>
      <c r="AG53" s="238">
        <f>AG52</f>
        <v>26</v>
      </c>
      <c r="AH53" s="112" t="e">
        <f ca="1">AI52+1</f>
        <v>#N/A</v>
      </c>
      <c r="AI53" s="112" t="e">
        <f ca="1">IF(INDIRECT(CONCATENATE("AE",AG50))&lt;100000,INDIRECT(CONCATENATE("AE",G50)),INDIRECT(CONCATENATE("AF",AG50)))</f>
        <v>#N/A</v>
      </c>
      <c r="AJ53" s="114"/>
      <c r="AK53" s="114"/>
      <c r="AL53" s="238" t="e">
        <f t="shared" ca="1" si="38"/>
        <v>#N/A</v>
      </c>
      <c r="AM53" s="112">
        <f t="shared" ca="1" si="58"/>
        <v>100000</v>
      </c>
      <c r="AN53" s="112">
        <f t="shared" ca="1" si="39"/>
        <v>100000</v>
      </c>
      <c r="AO53" s="114">
        <f t="shared" ca="1" si="23"/>
        <v>6</v>
      </c>
      <c r="AP53" s="114">
        <f t="shared" ca="1" si="24"/>
        <v>18</v>
      </c>
      <c r="AQ53" s="112"/>
      <c r="AR53" s="238">
        <f t="shared" si="40"/>
        <v>53</v>
      </c>
      <c r="AS53" s="112"/>
      <c r="AT53" s="112"/>
      <c r="AU53" s="283">
        <f t="shared" si="41"/>
        <v>34</v>
      </c>
      <c r="AV53" s="284">
        <f t="shared" ca="1" si="25"/>
        <v>100000</v>
      </c>
      <c r="AW53" s="284">
        <f t="shared" ca="1" si="52"/>
        <v>100000</v>
      </c>
      <c r="AX53" s="285">
        <f t="shared" ca="1" si="27"/>
        <v>0</v>
      </c>
      <c r="AY53" s="285">
        <f t="shared" ca="1" si="28"/>
        <v>18</v>
      </c>
      <c r="AZ53" s="282"/>
      <c r="BD53" s="114">
        <f t="shared" si="42"/>
        <v>1</v>
      </c>
      <c r="BE53" s="112">
        <f t="shared" si="31"/>
        <v>100000</v>
      </c>
      <c r="BH53" s="238">
        <f t="shared" si="43"/>
        <v>34</v>
      </c>
      <c r="BI53" s="245">
        <f t="shared" si="32"/>
        <v>100000</v>
      </c>
      <c r="BJ53" s="281">
        <f t="shared" ca="1" si="1"/>
        <v>16</v>
      </c>
      <c r="BK53" s="245" t="e">
        <f t="shared" ca="1" si="33"/>
        <v>#N/A</v>
      </c>
      <c r="BL53" s="245" t="e">
        <f t="shared" ca="1" si="34"/>
        <v>#N/A</v>
      </c>
      <c r="BM53" s="244"/>
      <c r="BN53" s="245" t="e">
        <f t="shared" ca="1" si="51"/>
        <v>#N/A</v>
      </c>
      <c r="BQ53" s="245"/>
      <c r="BR53" s="245"/>
      <c r="BS53" s="245"/>
      <c r="BT53" s="245"/>
      <c r="BU53" s="245"/>
      <c r="BV53" s="245"/>
      <c r="BY53" s="245"/>
      <c r="BZ53" s="245"/>
      <c r="CA53" s="245"/>
      <c r="CB53" s="245"/>
      <c r="CC53" s="245"/>
      <c r="CD53" s="245"/>
      <c r="CE53" s="245"/>
      <c r="CF53" s="245"/>
      <c r="CG53" s="245"/>
      <c r="CH53" s="245"/>
      <c r="CL53" s="112"/>
      <c r="CM53" s="112"/>
      <c r="CP53" s="112"/>
      <c r="CQ53" s="112"/>
      <c r="CR53" s="238"/>
      <c r="CS53" s="238"/>
      <c r="CT53" s="112"/>
      <c r="CU53" s="112"/>
      <c r="CV53" s="112"/>
      <c r="CW53" s="112" t="s">
        <v>224</v>
      </c>
      <c r="CX53" s="112" t="s">
        <v>225</v>
      </c>
      <c r="CY53" s="112" t="s">
        <v>226</v>
      </c>
      <c r="CZ53" s="112" t="s">
        <v>227</v>
      </c>
      <c r="DA53" s="112" t="s">
        <v>228</v>
      </c>
      <c r="DB53" s="112" t="s">
        <v>229</v>
      </c>
      <c r="DC53" s="112"/>
      <c r="DD53" s="238"/>
      <c r="DE53" s="112"/>
      <c r="DF53" s="112"/>
      <c r="DG53" s="112"/>
      <c r="DH53" s="238"/>
      <c r="DI53" s="112"/>
      <c r="DJ53" s="112"/>
      <c r="DK53" s="112"/>
      <c r="DL53" s="278" t="str">
        <f t="shared" ca="1" si="44"/>
        <v/>
      </c>
      <c r="DM53" s="245" t="str">
        <f t="shared" ca="1" si="53"/>
        <v/>
      </c>
      <c r="DN53" s="245" t="str">
        <f t="shared" ca="1" si="53"/>
        <v/>
      </c>
      <c r="DO53" s="245" t="str">
        <f t="shared" ca="1" si="53"/>
        <v/>
      </c>
      <c r="DP53" s="245" t="str">
        <f t="shared" ca="1" si="53"/>
        <v/>
      </c>
      <c r="DQ53" s="245" t="str">
        <f t="shared" ca="1" si="53"/>
        <v/>
      </c>
      <c r="DR53" s="244"/>
      <c r="DS53" s="245" t="str">
        <f t="shared" si="54"/>
        <v/>
      </c>
      <c r="DT53" s="245" t="str">
        <f t="shared" si="54"/>
        <v/>
      </c>
      <c r="DU53" s="245" t="str">
        <f t="shared" si="54"/>
        <v/>
      </c>
      <c r="DV53" s="244" t="str">
        <f t="shared" ca="1" si="7"/>
        <v/>
      </c>
      <c r="DW53" s="244"/>
      <c r="DX53" s="244" t="str">
        <f t="shared" ca="1" si="45"/>
        <v/>
      </c>
      <c r="EA53" s="244" t="b">
        <f t="shared" ca="1" si="35"/>
        <v>0</v>
      </c>
      <c r="EB53" s="278" t="e">
        <f ca="1">VLOOKUP(DM53,Foglio1!$AB$31:$AN$261,13)-6+EA53</f>
        <v>#N/A</v>
      </c>
      <c r="EC53" s="244"/>
      <c r="ED53" s="244" t="e">
        <f t="shared" ca="1" si="57"/>
        <v>#N/A</v>
      </c>
      <c r="EE53" s="244" t="e">
        <f t="shared" ca="1" si="57"/>
        <v>#N/A</v>
      </c>
      <c r="EF53" s="244" t="e">
        <f t="shared" ca="1" si="57"/>
        <v>#N/A</v>
      </c>
      <c r="EG53" s="244" t="e">
        <f t="shared" ca="1" si="56"/>
        <v>#N/A</v>
      </c>
      <c r="EH53" s="244" t="e">
        <f t="shared" ca="1" si="56"/>
        <v>#N/A</v>
      </c>
      <c r="EI53" s="244" t="e">
        <f t="shared" ca="1" si="56"/>
        <v>#N/A</v>
      </c>
      <c r="EJ53" s="244" t="e">
        <f t="shared" ca="1" si="56"/>
        <v>#N/A</v>
      </c>
      <c r="EK53" s="244" t="e">
        <f t="shared" ca="1" si="56"/>
        <v>#N/A</v>
      </c>
      <c r="EL53" s="244" t="e">
        <f t="shared" ca="1" si="56"/>
        <v>#N/A</v>
      </c>
      <c r="EM53" s="244" t="e">
        <f t="shared" ca="1" si="56"/>
        <v>#N/A</v>
      </c>
      <c r="EN53" s="244" t="e">
        <f t="shared" ca="1" si="56"/>
        <v>#N/A</v>
      </c>
      <c r="EO53" s="244" t="e">
        <f t="shared" ca="1" si="56"/>
        <v>#N/A</v>
      </c>
      <c r="EP53" s="244" t="e">
        <f t="shared" ca="1" si="56"/>
        <v>#N/A</v>
      </c>
      <c r="EQ53" s="244" t="e">
        <f t="shared" ca="1" si="56"/>
        <v>#N/A</v>
      </c>
      <c r="ER53" s="244"/>
      <c r="EW53" s="244">
        <v>0</v>
      </c>
      <c r="EX53" s="278" t="e">
        <f ca="1">VLOOKUP(DM53,Foglio1!$AB$31:$AN$261,13)-6+EW53</f>
        <v>#N/A</v>
      </c>
      <c r="EY53" s="244"/>
      <c r="EZ53" s="244" t="e">
        <f t="shared" ca="1" si="36"/>
        <v>#N/A</v>
      </c>
      <c r="FA53" s="244" t="e">
        <f t="shared" ca="1" si="55"/>
        <v>#N/A</v>
      </c>
      <c r="FB53" s="244" t="e">
        <f t="shared" ca="1" si="55"/>
        <v>#N/A</v>
      </c>
      <c r="FC53" s="244" t="e">
        <f t="shared" ca="1" si="55"/>
        <v>#N/A</v>
      </c>
      <c r="FD53" s="244" t="e">
        <f t="shared" ca="1" si="55"/>
        <v>#N/A</v>
      </c>
      <c r="FE53" s="244" t="e">
        <f t="shared" ca="1" si="55"/>
        <v>#N/A</v>
      </c>
      <c r="FF53" s="244" t="e">
        <f t="shared" ca="1" si="55"/>
        <v>#N/A</v>
      </c>
      <c r="FG53" s="244" t="e">
        <f t="shared" ca="1" si="55"/>
        <v>#N/A</v>
      </c>
      <c r="FH53" s="244" t="e">
        <f t="shared" ca="1" si="55"/>
        <v>#N/A</v>
      </c>
      <c r="FI53" s="244" t="e">
        <f t="shared" ca="1" si="55"/>
        <v>#N/A</v>
      </c>
      <c r="FJ53" s="244" t="e">
        <f t="shared" ca="1" si="55"/>
        <v>#N/A</v>
      </c>
      <c r="FK53" s="244" t="e">
        <f t="shared" ca="1" si="55"/>
        <v>#N/A</v>
      </c>
      <c r="FL53" s="244" t="e">
        <f t="shared" ca="1" si="55"/>
        <v>#N/A</v>
      </c>
      <c r="FM53" s="244" t="e">
        <f t="shared" ca="1" si="10"/>
        <v>#N/A</v>
      </c>
      <c r="FN53" s="244"/>
    </row>
    <row r="54" spans="5:170" x14ac:dyDescent="0.25">
      <c r="E54" s="244"/>
      <c r="F54" s="244"/>
      <c r="G54" s="244"/>
      <c r="L54">
        <f t="shared" si="37"/>
        <v>54</v>
      </c>
      <c r="R54" s="112">
        <f t="shared" si="14"/>
        <v>0</v>
      </c>
      <c r="S54" s="238" t="e">
        <f t="shared" si="46"/>
        <v>#N/A</v>
      </c>
      <c r="T54" s="112" t="e">
        <f t="shared" ca="1" si="47"/>
        <v>#N/A</v>
      </c>
      <c r="U54" s="112" t="e">
        <f t="shared" ca="1" si="48"/>
        <v>#N/A</v>
      </c>
      <c r="V54" s="112" t="e">
        <f t="shared" ca="1" si="49"/>
        <v>#N/A</v>
      </c>
      <c r="W54" s="112" t="e">
        <f t="shared" ca="1" si="50"/>
        <v>#N/A</v>
      </c>
      <c r="X54" s="112">
        <f t="shared" si="15"/>
        <v>0</v>
      </c>
      <c r="Y54" s="112"/>
      <c r="Z54" s="112"/>
      <c r="AA54" s="112">
        <f t="shared" si="16"/>
        <v>100000</v>
      </c>
      <c r="AB54" s="112" t="e">
        <f t="shared" ca="1" si="17"/>
        <v>#N/A</v>
      </c>
      <c r="AC54" s="112" t="e">
        <f t="shared" ca="1" si="18"/>
        <v>#N/A</v>
      </c>
      <c r="AD54" s="112" t="e">
        <f t="shared" ca="1" si="19"/>
        <v>#N/A</v>
      </c>
      <c r="AE54" s="112" t="e">
        <f t="shared" ca="1" si="20"/>
        <v>#N/A</v>
      </c>
      <c r="AF54" s="112">
        <f t="shared" si="21"/>
        <v>100000</v>
      </c>
      <c r="AG54" s="238">
        <f>AG53</f>
        <v>26</v>
      </c>
      <c r="AH54" s="112" t="e">
        <f ca="1">AI53+1</f>
        <v>#N/A</v>
      </c>
      <c r="AI54" s="112">
        <f ca="1">INDIRECT(CONCATENATE("AF",AG50))</f>
        <v>100000</v>
      </c>
      <c r="AJ54" s="114"/>
      <c r="AK54" s="114"/>
      <c r="AL54" s="238" t="e">
        <f t="shared" ca="1" si="38"/>
        <v>#N/A</v>
      </c>
      <c r="AM54" s="112">
        <f t="shared" ca="1" si="58"/>
        <v>100000</v>
      </c>
      <c r="AN54" s="112">
        <f t="shared" ca="1" si="39"/>
        <v>100000</v>
      </c>
      <c r="AO54" s="114">
        <f t="shared" ca="1" si="23"/>
        <v>6</v>
      </c>
      <c r="AP54" s="114">
        <f t="shared" ca="1" si="24"/>
        <v>18</v>
      </c>
      <c r="AQ54" s="112"/>
      <c r="AR54" s="238">
        <f t="shared" si="40"/>
        <v>54</v>
      </c>
      <c r="AS54" s="112"/>
      <c r="AT54" s="112"/>
      <c r="AU54" s="283">
        <f t="shared" si="41"/>
        <v>35</v>
      </c>
      <c r="AV54" s="284">
        <f t="shared" ca="1" si="25"/>
        <v>100000</v>
      </c>
      <c r="AW54" s="284">
        <f t="shared" ca="1" si="52"/>
        <v>100000</v>
      </c>
      <c r="AX54" s="285">
        <f t="shared" ca="1" si="27"/>
        <v>0</v>
      </c>
      <c r="AY54" s="285">
        <f t="shared" ca="1" si="28"/>
        <v>18</v>
      </c>
      <c r="AZ54" s="282"/>
      <c r="BD54" s="114">
        <f t="shared" si="42"/>
        <v>1</v>
      </c>
      <c r="BE54" s="112">
        <f t="shared" si="31"/>
        <v>100000</v>
      </c>
      <c r="BH54" s="238">
        <f t="shared" si="43"/>
        <v>35</v>
      </c>
      <c r="BI54" s="245">
        <f t="shared" si="32"/>
        <v>100000</v>
      </c>
      <c r="BJ54" s="281">
        <f t="shared" ca="1" si="1"/>
        <v>16</v>
      </c>
      <c r="BK54" s="245" t="e">
        <f t="shared" ca="1" si="33"/>
        <v>#N/A</v>
      </c>
      <c r="BL54" s="245" t="e">
        <f t="shared" ca="1" si="34"/>
        <v>#N/A</v>
      </c>
      <c r="BM54" s="244"/>
      <c r="BN54" s="245" t="e">
        <f t="shared" ca="1" si="51"/>
        <v>#N/A</v>
      </c>
      <c r="BQ54" s="245"/>
      <c r="BR54" s="245"/>
      <c r="BS54" s="245"/>
      <c r="BT54" s="245"/>
      <c r="BU54" s="245"/>
      <c r="BV54" s="245"/>
      <c r="BY54" s="245"/>
      <c r="BZ54" s="245"/>
      <c r="CA54" s="245"/>
      <c r="CB54" s="245"/>
      <c r="CC54" s="245"/>
      <c r="CD54" s="245"/>
      <c r="CE54" s="245"/>
      <c r="CF54" s="245"/>
      <c r="CG54" s="245"/>
      <c r="CH54" s="245"/>
      <c r="CL54" s="112"/>
      <c r="CM54" s="112"/>
      <c r="CP54" s="112"/>
      <c r="CQ54" s="112"/>
      <c r="CR54" s="238"/>
      <c r="CS54" s="238"/>
      <c r="CT54" s="112"/>
      <c r="CU54" s="112"/>
      <c r="CV54" s="112"/>
      <c r="CW54" s="112" t="s">
        <v>224</v>
      </c>
      <c r="CX54" s="112" t="s">
        <v>225</v>
      </c>
      <c r="CY54" s="112" t="s">
        <v>226</v>
      </c>
      <c r="CZ54" s="112" t="s">
        <v>227</v>
      </c>
      <c r="DA54" s="112" t="s">
        <v>228</v>
      </c>
      <c r="DB54" s="112" t="s">
        <v>229</v>
      </c>
      <c r="DC54" s="112"/>
      <c r="DD54" s="238"/>
      <c r="DE54" s="112"/>
      <c r="DF54" s="112"/>
      <c r="DG54" s="112"/>
      <c r="DH54" s="238"/>
      <c r="DI54" s="112"/>
      <c r="DJ54" s="112"/>
      <c r="DK54" s="112"/>
      <c r="DL54" s="278" t="str">
        <f t="shared" ca="1" si="44"/>
        <v/>
      </c>
      <c r="DM54" s="245" t="str">
        <f t="shared" ca="1" si="53"/>
        <v/>
      </c>
      <c r="DN54" s="245" t="str">
        <f t="shared" ca="1" si="53"/>
        <v/>
      </c>
      <c r="DO54" s="245" t="str">
        <f t="shared" ca="1" si="53"/>
        <v/>
      </c>
      <c r="DP54" s="245" t="str">
        <f t="shared" ca="1" si="53"/>
        <v/>
      </c>
      <c r="DQ54" s="245" t="str">
        <f t="shared" ca="1" si="53"/>
        <v/>
      </c>
      <c r="DR54" s="244"/>
      <c r="DS54" s="245" t="str">
        <f t="shared" si="54"/>
        <v/>
      </c>
      <c r="DT54" s="245" t="str">
        <f t="shared" si="54"/>
        <v/>
      </c>
      <c r="DU54" s="245" t="str">
        <f t="shared" si="54"/>
        <v/>
      </c>
      <c r="DV54" s="244" t="str">
        <f t="shared" ca="1" si="7"/>
        <v/>
      </c>
      <c r="DW54" s="244"/>
      <c r="DX54" s="244" t="str">
        <f t="shared" ca="1" si="45"/>
        <v/>
      </c>
      <c r="EA54" s="244" t="b">
        <f t="shared" ca="1" si="35"/>
        <v>0</v>
      </c>
      <c r="EB54" s="278" t="e">
        <f ca="1">VLOOKUP(DM54,Foglio1!$AB$31:$AN$261,13)-6+EA54</f>
        <v>#N/A</v>
      </c>
      <c r="EC54" s="244"/>
      <c r="ED54" s="244" t="e">
        <f t="shared" ca="1" si="57"/>
        <v>#N/A</v>
      </c>
      <c r="EE54" s="244" t="e">
        <f t="shared" ca="1" si="57"/>
        <v>#N/A</v>
      </c>
      <c r="EF54" s="244" t="e">
        <f t="shared" ca="1" si="57"/>
        <v>#N/A</v>
      </c>
      <c r="EG54" s="244" t="e">
        <f t="shared" ca="1" si="56"/>
        <v>#N/A</v>
      </c>
      <c r="EH54" s="244" t="e">
        <f t="shared" ca="1" si="56"/>
        <v>#N/A</v>
      </c>
      <c r="EI54" s="244" t="e">
        <f t="shared" ca="1" si="56"/>
        <v>#N/A</v>
      </c>
      <c r="EJ54" s="244" t="e">
        <f t="shared" ca="1" si="56"/>
        <v>#N/A</v>
      </c>
      <c r="EK54" s="244" t="e">
        <f t="shared" ca="1" si="56"/>
        <v>#N/A</v>
      </c>
      <c r="EL54" s="244" t="e">
        <f t="shared" ca="1" si="56"/>
        <v>#N/A</v>
      </c>
      <c r="EM54" s="244" t="e">
        <f t="shared" ca="1" si="56"/>
        <v>#N/A</v>
      </c>
      <c r="EN54" s="244" t="e">
        <f t="shared" ca="1" si="56"/>
        <v>#N/A</v>
      </c>
      <c r="EO54" s="244" t="e">
        <f t="shared" ca="1" si="56"/>
        <v>#N/A</v>
      </c>
      <c r="EP54" s="244" t="e">
        <f t="shared" ca="1" si="56"/>
        <v>#N/A</v>
      </c>
      <c r="EQ54" s="244" t="e">
        <f t="shared" ca="1" si="56"/>
        <v>#N/A</v>
      </c>
      <c r="ER54" s="244"/>
      <c r="EW54" s="244">
        <v>0</v>
      </c>
      <c r="EX54" s="278" t="e">
        <f ca="1">VLOOKUP(DM54,Foglio1!$AB$31:$AN$261,13)-6+EW54</f>
        <v>#N/A</v>
      </c>
      <c r="EY54" s="244"/>
      <c r="EZ54" s="244" t="e">
        <f t="shared" ca="1" si="36"/>
        <v>#N/A</v>
      </c>
      <c r="FA54" s="244" t="e">
        <f t="shared" ca="1" si="55"/>
        <v>#N/A</v>
      </c>
      <c r="FB54" s="244" t="e">
        <f t="shared" ca="1" si="55"/>
        <v>#N/A</v>
      </c>
      <c r="FC54" s="244" t="e">
        <f t="shared" ca="1" si="55"/>
        <v>#N/A</v>
      </c>
      <c r="FD54" s="244" t="e">
        <f t="shared" ca="1" si="55"/>
        <v>#N/A</v>
      </c>
      <c r="FE54" s="244" t="e">
        <f t="shared" ca="1" si="55"/>
        <v>#N/A</v>
      </c>
      <c r="FF54" s="244" t="e">
        <f t="shared" ca="1" si="55"/>
        <v>#N/A</v>
      </c>
      <c r="FG54" s="244" t="e">
        <f t="shared" ca="1" si="55"/>
        <v>#N/A</v>
      </c>
      <c r="FH54" s="244" t="e">
        <f t="shared" ca="1" si="55"/>
        <v>#N/A</v>
      </c>
      <c r="FI54" s="244" t="e">
        <f t="shared" ca="1" si="55"/>
        <v>#N/A</v>
      </c>
      <c r="FJ54" s="244" t="e">
        <f t="shared" ca="1" si="55"/>
        <v>#N/A</v>
      </c>
      <c r="FK54" s="244" t="e">
        <f t="shared" ca="1" si="55"/>
        <v>#N/A</v>
      </c>
      <c r="FL54" s="244" t="e">
        <f t="shared" ca="1" si="55"/>
        <v>#N/A</v>
      </c>
      <c r="FM54" s="244" t="e">
        <f t="shared" ca="1" si="10"/>
        <v>#N/A</v>
      </c>
      <c r="FN54" s="244"/>
    </row>
    <row r="55" spans="5:170" x14ac:dyDescent="0.25">
      <c r="E55" s="244"/>
      <c r="F55" s="244"/>
      <c r="G55" s="244"/>
      <c r="L55">
        <f t="shared" si="37"/>
        <v>55</v>
      </c>
      <c r="R55" s="112">
        <f t="shared" si="14"/>
        <v>0</v>
      </c>
      <c r="S55" s="238" t="e">
        <f t="shared" si="46"/>
        <v>#N/A</v>
      </c>
      <c r="T55" s="112" t="e">
        <f t="shared" ca="1" si="47"/>
        <v>#N/A</v>
      </c>
      <c r="U55" s="112" t="e">
        <f t="shared" ca="1" si="48"/>
        <v>#N/A</v>
      </c>
      <c r="V55" s="112" t="e">
        <f t="shared" ca="1" si="49"/>
        <v>#N/A</v>
      </c>
      <c r="W55" s="112" t="e">
        <f t="shared" ca="1" si="50"/>
        <v>#N/A</v>
      </c>
      <c r="X55" s="112">
        <f t="shared" si="15"/>
        <v>0</v>
      </c>
      <c r="Y55" s="112"/>
      <c r="Z55" s="112"/>
      <c r="AA55" s="112">
        <f t="shared" si="16"/>
        <v>100000</v>
      </c>
      <c r="AB55" s="112" t="e">
        <f t="shared" ca="1" si="17"/>
        <v>#N/A</v>
      </c>
      <c r="AC55" s="112" t="e">
        <f t="shared" ca="1" si="18"/>
        <v>#N/A</v>
      </c>
      <c r="AD55" s="112" t="e">
        <f t="shared" ca="1" si="19"/>
        <v>#N/A</v>
      </c>
      <c r="AE55" s="112" t="e">
        <f t="shared" ca="1" si="20"/>
        <v>#N/A</v>
      </c>
      <c r="AF55" s="112">
        <f t="shared" si="21"/>
        <v>100000</v>
      </c>
      <c r="AG55" s="238">
        <f>AG54+1</f>
        <v>27</v>
      </c>
      <c r="AH55" s="112">
        <f ca="1">INDIRECT(CONCATENATE("AA",AG55))</f>
        <v>100000</v>
      </c>
      <c r="AI55" s="112" t="e">
        <f ca="1">IF(            INDIRECT(CONCATENATE( "AB",AG55))&lt;100000,       INDIRECT(CONCATENATE("AB",AG55))  -1,IF(   INDIRECT(CONCATENATE("AC",AG55))&lt;100000,   INDIRECT(CONCATENATE("AC",AG55))-1,IF(   INDIRECT(CONCATENATE("AD", AG55))&lt;100000, INDIRECT(CONCATENATE("AD",AG55))-1,IF(   INDIRECT(CONCATENATE("AE",AG55))&lt;100000,  INDIRECT(CONCATENATE("AE",G55)),INDIRECT(CONCATENATE("AF",AG55))                ))))</f>
        <v>#N/A</v>
      </c>
      <c r="AJ55" s="114"/>
      <c r="AK55" s="114"/>
      <c r="AL55" s="238" t="e">
        <f t="shared" ca="1" si="38"/>
        <v>#N/A</v>
      </c>
      <c r="AM55" s="112">
        <f t="shared" ca="1" si="58"/>
        <v>100000</v>
      </c>
      <c r="AN55" s="112">
        <f t="shared" ca="1" si="39"/>
        <v>100000</v>
      </c>
      <c r="AO55" s="114">
        <f t="shared" ca="1" si="23"/>
        <v>7</v>
      </c>
      <c r="AP55" s="114">
        <f t="shared" ca="1" si="24"/>
        <v>18</v>
      </c>
      <c r="AQ55" s="112"/>
      <c r="AR55" s="238">
        <f t="shared" si="40"/>
        <v>55</v>
      </c>
      <c r="AS55" s="112"/>
      <c r="AT55" s="112"/>
      <c r="AU55" s="283">
        <f t="shared" si="41"/>
        <v>36</v>
      </c>
      <c r="AV55" s="284">
        <f t="shared" ca="1" si="25"/>
        <v>100000</v>
      </c>
      <c r="AW55" s="284">
        <f t="shared" ca="1" si="52"/>
        <v>100000</v>
      </c>
      <c r="AX55" s="285">
        <f t="shared" ca="1" si="27"/>
        <v>0</v>
      </c>
      <c r="AY55" s="285">
        <f t="shared" ca="1" si="28"/>
        <v>18</v>
      </c>
      <c r="AZ55" s="282"/>
      <c r="BD55" s="114">
        <f t="shared" si="42"/>
        <v>1</v>
      </c>
      <c r="BE55" s="112">
        <f t="shared" si="31"/>
        <v>100000</v>
      </c>
      <c r="BH55" s="238">
        <f t="shared" si="43"/>
        <v>36</v>
      </c>
      <c r="BI55" s="245">
        <f t="shared" si="32"/>
        <v>100000</v>
      </c>
      <c r="BJ55" s="281">
        <f t="shared" ca="1" si="1"/>
        <v>16</v>
      </c>
      <c r="BK55" s="245" t="e">
        <f t="shared" ca="1" si="33"/>
        <v>#N/A</v>
      </c>
      <c r="BL55" s="245" t="e">
        <f t="shared" ca="1" si="34"/>
        <v>#N/A</v>
      </c>
      <c r="BM55" s="244"/>
      <c r="BN55" s="245" t="e">
        <f t="shared" ca="1" si="51"/>
        <v>#N/A</v>
      </c>
      <c r="BQ55" s="245"/>
      <c r="BR55" s="245"/>
      <c r="BS55" s="245"/>
      <c r="BT55" s="245"/>
      <c r="BU55" s="245"/>
      <c r="BV55" s="245"/>
      <c r="BY55" s="245"/>
      <c r="BZ55" s="245"/>
      <c r="CA55" s="245"/>
      <c r="CB55" s="245"/>
      <c r="CC55" s="245"/>
      <c r="CD55" s="245"/>
      <c r="CE55" s="245"/>
      <c r="CF55" s="245"/>
      <c r="CG55" s="245"/>
      <c r="CH55" s="245"/>
      <c r="CL55" s="112"/>
      <c r="CM55" s="112"/>
      <c r="CP55" s="112"/>
      <c r="CQ55" s="112"/>
      <c r="CR55" s="238"/>
      <c r="CS55" s="238"/>
      <c r="CT55" s="112"/>
      <c r="CU55" s="112"/>
      <c r="CV55" s="112"/>
      <c r="CW55" s="112" t="s">
        <v>224</v>
      </c>
      <c r="CX55" s="112" t="s">
        <v>225</v>
      </c>
      <c r="CY55" s="112" t="s">
        <v>226</v>
      </c>
      <c r="CZ55" s="112" t="s">
        <v>227</v>
      </c>
      <c r="DA55" s="112" t="s">
        <v>228</v>
      </c>
      <c r="DB55" s="112" t="s">
        <v>229</v>
      </c>
      <c r="DC55" s="112"/>
      <c r="DD55" s="238"/>
      <c r="DE55" s="112"/>
      <c r="DF55" s="112"/>
      <c r="DG55" s="112"/>
      <c r="DH55" s="238"/>
      <c r="DI55" s="112"/>
      <c r="DJ55" s="112"/>
      <c r="DK55" s="112"/>
      <c r="DL55" s="278" t="str">
        <f t="shared" ca="1" si="44"/>
        <v/>
      </c>
      <c r="DM55" s="245" t="str">
        <f t="shared" ca="1" si="53"/>
        <v/>
      </c>
      <c r="DN55" s="245" t="str">
        <f t="shared" ca="1" si="53"/>
        <v/>
      </c>
      <c r="DO55" s="245" t="str">
        <f t="shared" ca="1" si="53"/>
        <v/>
      </c>
      <c r="DP55" s="245" t="str">
        <f t="shared" ca="1" si="53"/>
        <v/>
      </c>
      <c r="DQ55" s="245" t="str">
        <f t="shared" ca="1" si="53"/>
        <v/>
      </c>
      <c r="DR55" s="244"/>
      <c r="DS55" s="245" t="str">
        <f t="shared" si="54"/>
        <v/>
      </c>
      <c r="DT55" s="245" t="str">
        <f t="shared" si="54"/>
        <v/>
      </c>
      <c r="DU55" s="245" t="str">
        <f t="shared" si="54"/>
        <v/>
      </c>
      <c r="DV55" s="244" t="str">
        <f t="shared" ca="1" si="7"/>
        <v/>
      </c>
      <c r="DW55" s="244"/>
      <c r="DX55" s="244" t="str">
        <f t="shared" ca="1" si="45"/>
        <v/>
      </c>
      <c r="EA55" s="244" t="b">
        <f t="shared" ca="1" si="35"/>
        <v>0</v>
      </c>
      <c r="EB55" s="278" t="e">
        <f ca="1">VLOOKUP(DM55,Foglio1!$AB$31:$AN$261,13)-6+EA55</f>
        <v>#N/A</v>
      </c>
      <c r="EC55" s="244"/>
      <c r="ED55" s="244" t="e">
        <f t="shared" ca="1" si="57"/>
        <v>#N/A</v>
      </c>
      <c r="EE55" s="244" t="e">
        <f t="shared" ca="1" si="57"/>
        <v>#N/A</v>
      </c>
      <c r="EF55" s="244" t="e">
        <f t="shared" ca="1" si="57"/>
        <v>#N/A</v>
      </c>
      <c r="EG55" s="244" t="e">
        <f t="shared" ca="1" si="56"/>
        <v>#N/A</v>
      </c>
      <c r="EH55" s="244" t="e">
        <f t="shared" ca="1" si="56"/>
        <v>#N/A</v>
      </c>
      <c r="EI55" s="244" t="e">
        <f t="shared" ca="1" si="56"/>
        <v>#N/A</v>
      </c>
      <c r="EJ55" s="244" t="e">
        <f t="shared" ca="1" si="56"/>
        <v>#N/A</v>
      </c>
      <c r="EK55" s="244" t="e">
        <f t="shared" ca="1" si="56"/>
        <v>#N/A</v>
      </c>
      <c r="EL55" s="244" t="e">
        <f t="shared" ca="1" si="56"/>
        <v>#N/A</v>
      </c>
      <c r="EM55" s="244" t="e">
        <f t="shared" ca="1" si="56"/>
        <v>#N/A</v>
      </c>
      <c r="EN55" s="244" t="e">
        <f t="shared" ca="1" si="56"/>
        <v>#N/A</v>
      </c>
      <c r="EO55" s="244" t="e">
        <f t="shared" ca="1" si="56"/>
        <v>#N/A</v>
      </c>
      <c r="EP55" s="244" t="e">
        <f t="shared" ca="1" si="56"/>
        <v>#N/A</v>
      </c>
      <c r="EQ55" s="244" t="e">
        <f t="shared" ca="1" si="56"/>
        <v>#N/A</v>
      </c>
      <c r="ER55" s="244"/>
      <c r="EW55" s="244">
        <v>0</v>
      </c>
      <c r="EX55" s="278" t="e">
        <f ca="1">VLOOKUP(DM55,Foglio1!$AB$31:$AN$261,13)-6+EW55</f>
        <v>#N/A</v>
      </c>
      <c r="EY55" s="244"/>
      <c r="EZ55" s="244" t="e">
        <f t="shared" ca="1" si="36"/>
        <v>#N/A</v>
      </c>
      <c r="FA55" s="244" t="e">
        <f t="shared" ca="1" si="55"/>
        <v>#N/A</v>
      </c>
      <c r="FB55" s="244" t="e">
        <f t="shared" ca="1" si="55"/>
        <v>#N/A</v>
      </c>
      <c r="FC55" s="244" t="e">
        <f t="shared" ca="1" si="55"/>
        <v>#N/A</v>
      </c>
      <c r="FD55" s="244" t="e">
        <f t="shared" ca="1" si="55"/>
        <v>#N/A</v>
      </c>
      <c r="FE55" s="244" t="e">
        <f t="shared" ca="1" si="55"/>
        <v>#N/A</v>
      </c>
      <c r="FF55" s="244" t="e">
        <f t="shared" ca="1" si="55"/>
        <v>#N/A</v>
      </c>
      <c r="FG55" s="244" t="e">
        <f t="shared" ca="1" si="55"/>
        <v>#N/A</v>
      </c>
      <c r="FH55" s="244" t="e">
        <f t="shared" ca="1" si="55"/>
        <v>#N/A</v>
      </c>
      <c r="FI55" s="244" t="e">
        <f t="shared" ca="1" si="55"/>
        <v>#N/A</v>
      </c>
      <c r="FJ55" s="244" t="e">
        <f t="shared" ca="1" si="55"/>
        <v>#N/A</v>
      </c>
      <c r="FK55" s="244" t="e">
        <f t="shared" ca="1" si="55"/>
        <v>#N/A</v>
      </c>
      <c r="FL55" s="244" t="e">
        <f t="shared" ca="1" si="55"/>
        <v>#N/A</v>
      </c>
      <c r="FM55" s="244" t="e">
        <f t="shared" ca="1" si="10"/>
        <v>#N/A</v>
      </c>
      <c r="FN55" s="244"/>
    </row>
    <row r="56" spans="5:170" x14ac:dyDescent="0.25">
      <c r="E56" s="244"/>
      <c r="F56" s="244"/>
      <c r="G56" s="244"/>
      <c r="L56">
        <f t="shared" si="37"/>
        <v>56</v>
      </c>
      <c r="R56" s="112">
        <f t="shared" si="14"/>
        <v>0</v>
      </c>
      <c r="S56" s="238" t="e">
        <f t="shared" si="46"/>
        <v>#N/A</v>
      </c>
      <c r="T56" s="112" t="e">
        <f t="shared" ca="1" si="47"/>
        <v>#N/A</v>
      </c>
      <c r="U56" s="112" t="e">
        <f t="shared" ca="1" si="48"/>
        <v>#N/A</v>
      </c>
      <c r="V56" s="112" t="e">
        <f t="shared" ca="1" si="49"/>
        <v>#N/A</v>
      </c>
      <c r="W56" s="112" t="e">
        <f t="shared" ca="1" si="50"/>
        <v>#N/A</v>
      </c>
      <c r="X56" s="112">
        <f t="shared" si="15"/>
        <v>0</v>
      </c>
      <c r="Y56" s="112"/>
      <c r="Z56" s="112"/>
      <c r="AA56" s="112">
        <f t="shared" si="16"/>
        <v>100000</v>
      </c>
      <c r="AB56" s="112" t="e">
        <f t="shared" ca="1" si="17"/>
        <v>#N/A</v>
      </c>
      <c r="AC56" s="112" t="e">
        <f t="shared" ca="1" si="18"/>
        <v>#N/A</v>
      </c>
      <c r="AD56" s="112" t="e">
        <f t="shared" ca="1" si="19"/>
        <v>#N/A</v>
      </c>
      <c r="AE56" s="112" t="e">
        <f t="shared" ca="1" si="20"/>
        <v>#N/A</v>
      </c>
      <c r="AF56" s="112">
        <f t="shared" si="21"/>
        <v>100000</v>
      </c>
      <c r="AG56" s="238">
        <f>AG55</f>
        <v>27</v>
      </c>
      <c r="AH56" s="112" t="e">
        <f ca="1">AI55+1</f>
        <v>#N/A</v>
      </c>
      <c r="AI56" s="112" t="e">
        <f ca="1">IF(INDIRECT(CONCATENATE("AC",AG55))&lt;100000,INDIRECT(CONCATENATE("AC",AG55))-1,IF(INDIRECT(CONCATENATE("AD",AG55))&lt;100000,INDIRECT(CONCATENATE("AD",AG55))-1,IF(INDIRECT(CONCATENATE("AE",AG55))&lt;100000,INDIRECT(CONCATENATE("AE",G55)),INDIRECT(CONCATENATE("AF",AG55)))))</f>
        <v>#N/A</v>
      </c>
      <c r="AJ56" s="114"/>
      <c r="AK56" s="114"/>
      <c r="AL56" s="238" t="e">
        <f t="shared" ca="1" si="38"/>
        <v>#N/A</v>
      </c>
      <c r="AM56" s="112">
        <f t="shared" ca="1" si="58"/>
        <v>100000</v>
      </c>
      <c r="AN56" s="112">
        <f t="shared" ca="1" si="39"/>
        <v>100000</v>
      </c>
      <c r="AO56" s="114">
        <f t="shared" ca="1" si="23"/>
        <v>7</v>
      </c>
      <c r="AP56" s="114">
        <f t="shared" ca="1" si="24"/>
        <v>18</v>
      </c>
      <c r="AQ56" s="112"/>
      <c r="AR56" s="238">
        <f t="shared" si="40"/>
        <v>56</v>
      </c>
      <c r="AS56" s="112"/>
      <c r="AT56" s="112"/>
      <c r="AU56" s="283">
        <f t="shared" si="41"/>
        <v>37</v>
      </c>
      <c r="AV56" s="284">
        <f t="shared" ca="1" si="25"/>
        <v>100000</v>
      </c>
      <c r="AW56" s="284">
        <f t="shared" ca="1" si="52"/>
        <v>100000</v>
      </c>
      <c r="AX56" s="285">
        <f t="shared" ca="1" si="27"/>
        <v>0</v>
      </c>
      <c r="AY56" s="285">
        <f t="shared" ca="1" si="28"/>
        <v>18</v>
      </c>
      <c r="AZ56" s="282"/>
      <c r="BD56" s="114">
        <f t="shared" si="42"/>
        <v>1</v>
      </c>
      <c r="BE56" s="112">
        <f t="shared" si="31"/>
        <v>100000</v>
      </c>
      <c r="BH56" s="238">
        <f t="shared" si="43"/>
        <v>37</v>
      </c>
      <c r="BI56" s="245">
        <f t="shared" si="32"/>
        <v>100000</v>
      </c>
      <c r="BJ56" s="281">
        <f t="shared" ca="1" si="1"/>
        <v>16</v>
      </c>
      <c r="BK56" s="245" t="e">
        <f t="shared" ca="1" si="33"/>
        <v>#N/A</v>
      </c>
      <c r="BL56" s="245" t="e">
        <f t="shared" ca="1" si="34"/>
        <v>#N/A</v>
      </c>
      <c r="BM56" s="244"/>
      <c r="BN56" s="245" t="e">
        <f t="shared" ca="1" si="51"/>
        <v>#N/A</v>
      </c>
      <c r="BQ56" s="245"/>
      <c r="BR56" s="245"/>
      <c r="BS56" s="245"/>
      <c r="BT56" s="245"/>
      <c r="BU56" s="245"/>
      <c r="BV56" s="245"/>
      <c r="BY56" s="245"/>
      <c r="BZ56" s="245"/>
      <c r="CA56" s="245"/>
      <c r="CB56" s="245"/>
      <c r="CC56" s="245"/>
      <c r="CD56" s="245"/>
      <c r="CE56" s="245"/>
      <c r="CF56" s="245"/>
      <c r="CG56" s="245"/>
      <c r="CH56" s="245"/>
      <c r="CL56" s="112"/>
      <c r="CM56" s="112"/>
      <c r="CP56" s="112"/>
      <c r="CQ56" s="112"/>
      <c r="CR56" s="238"/>
      <c r="CS56" s="238"/>
      <c r="CT56" s="112"/>
      <c r="CU56" s="112"/>
      <c r="CV56" s="112"/>
      <c r="CW56" s="112" t="s">
        <v>224</v>
      </c>
      <c r="CX56" s="112" t="s">
        <v>225</v>
      </c>
      <c r="CY56" s="112" t="s">
        <v>226</v>
      </c>
      <c r="CZ56" s="112" t="s">
        <v>227</v>
      </c>
      <c r="DA56" s="112" t="s">
        <v>228</v>
      </c>
      <c r="DB56" s="112" t="s">
        <v>229</v>
      </c>
      <c r="DC56" s="112"/>
      <c r="DD56" s="238"/>
      <c r="DE56" s="112"/>
      <c r="DF56" s="112"/>
      <c r="DG56" s="112"/>
      <c r="DH56" s="238"/>
      <c r="DI56" s="112"/>
      <c r="DJ56" s="112"/>
      <c r="DK56" s="112"/>
      <c r="DL56" s="278" t="str">
        <f t="shared" ca="1" si="44"/>
        <v/>
      </c>
      <c r="DM56" s="245" t="str">
        <f t="shared" ca="1" si="53"/>
        <v/>
      </c>
      <c r="DN56" s="245" t="str">
        <f t="shared" ca="1" si="53"/>
        <v/>
      </c>
      <c r="DO56" s="245" t="str">
        <f t="shared" ca="1" si="53"/>
        <v/>
      </c>
      <c r="DP56" s="245" t="str">
        <f t="shared" ca="1" si="53"/>
        <v/>
      </c>
      <c r="DQ56" s="245" t="str">
        <f t="shared" ca="1" si="53"/>
        <v/>
      </c>
      <c r="DR56" s="244"/>
      <c r="DS56" s="245" t="str">
        <f t="shared" si="54"/>
        <v/>
      </c>
      <c r="DT56" s="245" t="str">
        <f t="shared" si="54"/>
        <v/>
      </c>
      <c r="DU56" s="245" t="str">
        <f t="shared" si="54"/>
        <v/>
      </c>
      <c r="DV56" s="244" t="str">
        <f t="shared" ca="1" si="7"/>
        <v/>
      </c>
      <c r="DW56" s="244"/>
      <c r="DX56" s="244" t="str">
        <f t="shared" ca="1" si="45"/>
        <v/>
      </c>
      <c r="EA56" s="244" t="b">
        <f t="shared" ca="1" si="35"/>
        <v>0</v>
      </c>
      <c r="EB56" s="278" t="e">
        <f ca="1">VLOOKUP(DM56,Foglio1!$AB$31:$AN$261,13)-6+EA56</f>
        <v>#N/A</v>
      </c>
      <c r="EC56" s="244"/>
      <c r="ED56" s="244" t="e">
        <f t="shared" ca="1" si="57"/>
        <v>#N/A</v>
      </c>
      <c r="EE56" s="244" t="e">
        <f t="shared" ca="1" si="57"/>
        <v>#N/A</v>
      </c>
      <c r="EF56" s="244" t="e">
        <f t="shared" ca="1" si="57"/>
        <v>#N/A</v>
      </c>
      <c r="EG56" s="244" t="e">
        <f t="shared" ca="1" si="56"/>
        <v>#N/A</v>
      </c>
      <c r="EH56" s="244" t="e">
        <f t="shared" ca="1" si="56"/>
        <v>#N/A</v>
      </c>
      <c r="EI56" s="244" t="e">
        <f t="shared" ca="1" si="56"/>
        <v>#N/A</v>
      </c>
      <c r="EJ56" s="244" t="e">
        <f t="shared" ca="1" si="56"/>
        <v>#N/A</v>
      </c>
      <c r="EK56" s="244" t="e">
        <f t="shared" ca="1" si="56"/>
        <v>#N/A</v>
      </c>
      <c r="EL56" s="244" t="e">
        <f t="shared" ca="1" si="56"/>
        <v>#N/A</v>
      </c>
      <c r="EM56" s="244" t="e">
        <f t="shared" ca="1" si="56"/>
        <v>#N/A</v>
      </c>
      <c r="EN56" s="244" t="e">
        <f t="shared" ca="1" si="56"/>
        <v>#N/A</v>
      </c>
      <c r="EO56" s="244" t="e">
        <f t="shared" ca="1" si="56"/>
        <v>#N/A</v>
      </c>
      <c r="EP56" s="244" t="e">
        <f t="shared" ca="1" si="56"/>
        <v>#N/A</v>
      </c>
      <c r="EQ56" s="244" t="e">
        <f t="shared" ca="1" si="56"/>
        <v>#N/A</v>
      </c>
      <c r="ER56" s="244"/>
      <c r="EW56" s="244">
        <v>0</v>
      </c>
      <c r="EX56" s="278" t="e">
        <f ca="1">VLOOKUP(DM56,Foglio1!$AB$31:$AN$261,13)-6+EW56</f>
        <v>#N/A</v>
      </c>
      <c r="EY56" s="244"/>
      <c r="EZ56" s="244" t="e">
        <f t="shared" ca="1" si="36"/>
        <v>#N/A</v>
      </c>
      <c r="FA56" s="244" t="e">
        <f t="shared" ca="1" si="55"/>
        <v>#N/A</v>
      </c>
      <c r="FB56" s="244" t="e">
        <f t="shared" ca="1" si="55"/>
        <v>#N/A</v>
      </c>
      <c r="FC56" s="244" t="e">
        <f t="shared" ca="1" si="55"/>
        <v>#N/A</v>
      </c>
      <c r="FD56" s="244" t="e">
        <f t="shared" ca="1" si="55"/>
        <v>#N/A</v>
      </c>
      <c r="FE56" s="244" t="e">
        <f t="shared" ca="1" si="55"/>
        <v>#N/A</v>
      </c>
      <c r="FF56" s="244" t="e">
        <f t="shared" ca="1" si="55"/>
        <v>#N/A</v>
      </c>
      <c r="FG56" s="244" t="e">
        <f t="shared" ca="1" si="55"/>
        <v>#N/A</v>
      </c>
      <c r="FH56" s="244" t="e">
        <f t="shared" ca="1" si="55"/>
        <v>#N/A</v>
      </c>
      <c r="FI56" s="244" t="e">
        <f t="shared" ca="1" si="55"/>
        <v>#N/A</v>
      </c>
      <c r="FJ56" s="244" t="e">
        <f t="shared" ca="1" si="55"/>
        <v>#N/A</v>
      </c>
      <c r="FK56" s="244" t="e">
        <f t="shared" ca="1" si="55"/>
        <v>#N/A</v>
      </c>
      <c r="FL56" s="244" t="e">
        <f t="shared" ca="1" si="55"/>
        <v>#N/A</v>
      </c>
      <c r="FM56" s="244" t="e">
        <f t="shared" ca="1" si="10"/>
        <v>#N/A</v>
      </c>
      <c r="FN56" s="244"/>
    </row>
    <row r="57" spans="5:170" x14ac:dyDescent="0.25">
      <c r="E57" s="244"/>
      <c r="F57" s="244"/>
      <c r="G57" s="244"/>
      <c r="L57">
        <f t="shared" si="37"/>
        <v>57</v>
      </c>
      <c r="R57" s="112">
        <f t="shared" si="14"/>
        <v>0</v>
      </c>
      <c r="S57" s="238" t="e">
        <f t="shared" si="46"/>
        <v>#N/A</v>
      </c>
      <c r="T57" s="112" t="e">
        <f t="shared" ca="1" si="47"/>
        <v>#N/A</v>
      </c>
      <c r="U57" s="112" t="e">
        <f t="shared" ca="1" si="48"/>
        <v>#N/A</v>
      </c>
      <c r="V57" s="112" t="e">
        <f t="shared" ca="1" si="49"/>
        <v>#N/A</v>
      </c>
      <c r="W57" s="112" t="e">
        <f t="shared" ca="1" si="50"/>
        <v>#N/A</v>
      </c>
      <c r="X57" s="112">
        <f t="shared" si="15"/>
        <v>0</v>
      </c>
      <c r="Y57" s="112"/>
      <c r="Z57" s="112"/>
      <c r="AA57" s="112">
        <f t="shared" si="16"/>
        <v>100000</v>
      </c>
      <c r="AB57" s="112" t="e">
        <f t="shared" ca="1" si="17"/>
        <v>#N/A</v>
      </c>
      <c r="AC57" s="112" t="e">
        <f t="shared" ca="1" si="18"/>
        <v>#N/A</v>
      </c>
      <c r="AD57" s="112" t="e">
        <f t="shared" ca="1" si="19"/>
        <v>#N/A</v>
      </c>
      <c r="AE57" s="112" t="e">
        <f t="shared" ca="1" si="20"/>
        <v>#N/A</v>
      </c>
      <c r="AF57" s="112">
        <f t="shared" si="21"/>
        <v>100000</v>
      </c>
      <c r="AG57" s="238">
        <f>AG56</f>
        <v>27</v>
      </c>
      <c r="AH57" s="112" t="e">
        <f ca="1">AI56+1</f>
        <v>#N/A</v>
      </c>
      <c r="AI57" s="112" t="e">
        <f ca="1">IF(INDIRECT(CONCATENATE("AD",AG55))&lt;100000,INDIRECT(CONCATENATE("AD",AG55))-1,IF(INDIRECT(CONCATENATE("AE",AG55))&lt;100000,INDIRECT(CONCATENATE("AE",G55)),INDIRECT(CONCATENATE("AF",AG55))))</f>
        <v>#N/A</v>
      </c>
      <c r="AJ57" s="114"/>
      <c r="AK57" s="114"/>
      <c r="AL57" s="238" t="e">
        <f t="shared" ca="1" si="38"/>
        <v>#N/A</v>
      </c>
      <c r="AM57" s="112">
        <f t="shared" ca="1" si="58"/>
        <v>100000</v>
      </c>
      <c r="AN57" s="112">
        <f t="shared" ca="1" si="39"/>
        <v>100000</v>
      </c>
      <c r="AO57" s="114">
        <f t="shared" ca="1" si="23"/>
        <v>7</v>
      </c>
      <c r="AP57" s="114">
        <f t="shared" ca="1" si="24"/>
        <v>18</v>
      </c>
      <c r="AQ57" s="112"/>
      <c r="AR57" s="238">
        <f t="shared" si="40"/>
        <v>57</v>
      </c>
      <c r="AS57" s="112"/>
      <c r="AT57" s="112"/>
      <c r="AU57" s="283">
        <f t="shared" si="41"/>
        <v>38</v>
      </c>
      <c r="AV57" s="284">
        <f t="shared" ca="1" si="25"/>
        <v>100000</v>
      </c>
      <c r="AW57" s="284">
        <f t="shared" ca="1" si="52"/>
        <v>100000</v>
      </c>
      <c r="AX57" s="285">
        <f t="shared" ca="1" si="27"/>
        <v>0</v>
      </c>
      <c r="AY57" s="285">
        <f t="shared" ca="1" si="28"/>
        <v>18</v>
      </c>
      <c r="AZ57" s="282"/>
      <c r="BD57" s="114">
        <f t="shared" si="42"/>
        <v>1</v>
      </c>
      <c r="BE57" s="112">
        <f t="shared" si="31"/>
        <v>100000</v>
      </c>
      <c r="BH57" s="238">
        <f t="shared" si="43"/>
        <v>38</v>
      </c>
      <c r="BI57" s="245">
        <f t="shared" si="32"/>
        <v>100000</v>
      </c>
      <c r="BJ57" s="281">
        <f t="shared" ca="1" si="1"/>
        <v>16</v>
      </c>
      <c r="BK57" s="245" t="e">
        <f t="shared" ca="1" si="33"/>
        <v>#N/A</v>
      </c>
      <c r="BL57" s="245" t="e">
        <f t="shared" ca="1" si="34"/>
        <v>#N/A</v>
      </c>
      <c r="BM57" s="244"/>
      <c r="BN57" s="245" t="e">
        <f t="shared" ca="1" si="51"/>
        <v>#N/A</v>
      </c>
      <c r="BQ57" s="245"/>
      <c r="BR57" s="245"/>
      <c r="BS57" s="245"/>
      <c r="BT57" s="245"/>
      <c r="BU57" s="245"/>
      <c r="BV57" s="245"/>
      <c r="BY57" s="245"/>
      <c r="BZ57" s="245"/>
      <c r="CA57" s="245"/>
      <c r="CB57" s="245"/>
      <c r="CC57" s="245"/>
      <c r="CD57" s="245"/>
      <c r="CE57" s="245"/>
      <c r="CF57" s="245"/>
      <c r="CG57" s="245"/>
      <c r="CH57" s="245"/>
      <c r="CL57" s="112"/>
      <c r="CM57" s="112"/>
      <c r="CP57" s="112"/>
      <c r="CQ57" s="112"/>
      <c r="CR57" s="238"/>
      <c r="CS57" s="238"/>
      <c r="CT57" s="112"/>
      <c r="CU57" s="112"/>
      <c r="CV57" s="112"/>
      <c r="CW57" s="112" t="s">
        <v>224</v>
      </c>
      <c r="CX57" s="112" t="s">
        <v>225</v>
      </c>
      <c r="CY57" s="112" t="s">
        <v>226</v>
      </c>
      <c r="CZ57" s="112" t="s">
        <v>227</v>
      </c>
      <c r="DA57" s="112" t="s">
        <v>228</v>
      </c>
      <c r="DB57" s="112" t="s">
        <v>229</v>
      </c>
      <c r="DC57" s="112"/>
      <c r="DD57" s="238"/>
      <c r="DE57" s="112"/>
      <c r="DF57" s="112"/>
      <c r="DG57" s="112"/>
      <c r="DH57" s="238"/>
      <c r="DI57" s="112"/>
      <c r="DJ57" s="112"/>
      <c r="DK57" s="112"/>
      <c r="DL57" s="278" t="str">
        <f t="shared" ca="1" si="44"/>
        <v/>
      </c>
      <c r="DM57" s="245" t="str">
        <f t="shared" ca="1" si="53"/>
        <v/>
      </c>
      <c r="DN57" s="245" t="str">
        <f t="shared" ca="1" si="53"/>
        <v/>
      </c>
      <c r="DO57" s="245" t="str">
        <f t="shared" ca="1" si="53"/>
        <v/>
      </c>
      <c r="DP57" s="245" t="str">
        <f t="shared" ca="1" si="53"/>
        <v/>
      </c>
      <c r="DQ57" s="245" t="str">
        <f t="shared" ca="1" si="53"/>
        <v/>
      </c>
      <c r="DR57" s="244"/>
      <c r="DS57" s="245" t="str">
        <f t="shared" si="54"/>
        <v/>
      </c>
      <c r="DT57" s="245" t="str">
        <f t="shared" si="54"/>
        <v/>
      </c>
      <c r="DU57" s="245" t="str">
        <f t="shared" si="54"/>
        <v/>
      </c>
      <c r="DV57" s="244" t="str">
        <f t="shared" ca="1" si="7"/>
        <v/>
      </c>
      <c r="DW57" s="244"/>
      <c r="DX57" s="244" t="str">
        <f t="shared" ca="1" si="45"/>
        <v/>
      </c>
      <c r="EA57" s="244" t="b">
        <f t="shared" ca="1" si="35"/>
        <v>0</v>
      </c>
      <c r="EB57" s="278" t="e">
        <f ca="1">VLOOKUP(DM57,Foglio1!$AB$31:$AN$261,13)-6+EA57</f>
        <v>#N/A</v>
      </c>
      <c r="EC57" s="244"/>
      <c r="ED57" s="244" t="e">
        <f t="shared" ca="1" si="57"/>
        <v>#N/A</v>
      </c>
      <c r="EE57" s="244" t="e">
        <f t="shared" ca="1" si="57"/>
        <v>#N/A</v>
      </c>
      <c r="EF57" s="244" t="e">
        <f t="shared" ca="1" si="57"/>
        <v>#N/A</v>
      </c>
      <c r="EG57" s="244" t="e">
        <f t="shared" ca="1" si="56"/>
        <v>#N/A</v>
      </c>
      <c r="EH57" s="244" t="e">
        <f t="shared" ca="1" si="56"/>
        <v>#N/A</v>
      </c>
      <c r="EI57" s="244" t="e">
        <f t="shared" ca="1" si="56"/>
        <v>#N/A</v>
      </c>
      <c r="EJ57" s="244" t="e">
        <f t="shared" ca="1" si="56"/>
        <v>#N/A</v>
      </c>
      <c r="EK57" s="244" t="e">
        <f t="shared" ca="1" si="56"/>
        <v>#N/A</v>
      </c>
      <c r="EL57" s="244" t="e">
        <f t="shared" ca="1" si="56"/>
        <v>#N/A</v>
      </c>
      <c r="EM57" s="244" t="e">
        <f t="shared" ca="1" si="56"/>
        <v>#N/A</v>
      </c>
      <c r="EN57" s="244" t="e">
        <f t="shared" ca="1" si="56"/>
        <v>#N/A</v>
      </c>
      <c r="EO57" s="244" t="e">
        <f t="shared" ca="1" si="56"/>
        <v>#N/A</v>
      </c>
      <c r="EP57" s="244" t="e">
        <f t="shared" ca="1" si="56"/>
        <v>#N/A</v>
      </c>
      <c r="EQ57" s="244" t="e">
        <f t="shared" ca="1" si="56"/>
        <v>#N/A</v>
      </c>
      <c r="ER57" s="244"/>
      <c r="EW57" s="244">
        <v>0</v>
      </c>
      <c r="EX57" s="278" t="e">
        <f ca="1">VLOOKUP(DM57,Foglio1!$AB$31:$AN$261,13)-6+EW57</f>
        <v>#N/A</v>
      </c>
      <c r="EY57" s="244"/>
      <c r="EZ57" s="244" t="e">
        <f t="shared" ca="1" si="36"/>
        <v>#N/A</v>
      </c>
      <c r="FA57" s="244" t="e">
        <f t="shared" ca="1" si="55"/>
        <v>#N/A</v>
      </c>
      <c r="FB57" s="244" t="e">
        <f t="shared" ca="1" si="55"/>
        <v>#N/A</v>
      </c>
      <c r="FC57" s="244" t="e">
        <f t="shared" ca="1" si="55"/>
        <v>#N/A</v>
      </c>
      <c r="FD57" s="244" t="e">
        <f t="shared" ref="FD57:FL85" ca="1" si="59">INDIRECT(CONCATENATE(FB$16,FB$17,$EX57))</f>
        <v>#N/A</v>
      </c>
      <c r="FE57" s="244" t="e">
        <f t="shared" ca="1" si="59"/>
        <v>#N/A</v>
      </c>
      <c r="FF57" s="244" t="e">
        <f t="shared" ca="1" si="59"/>
        <v>#N/A</v>
      </c>
      <c r="FG57" s="244" t="e">
        <f t="shared" ca="1" si="59"/>
        <v>#N/A</v>
      </c>
      <c r="FH57" s="244" t="e">
        <f t="shared" ca="1" si="59"/>
        <v>#N/A</v>
      </c>
      <c r="FI57" s="244" t="e">
        <f t="shared" ca="1" si="59"/>
        <v>#N/A</v>
      </c>
      <c r="FJ57" s="244" t="e">
        <f t="shared" ca="1" si="59"/>
        <v>#N/A</v>
      </c>
      <c r="FK57" s="244" t="e">
        <f t="shared" ca="1" si="59"/>
        <v>#N/A</v>
      </c>
      <c r="FL57" s="244" t="e">
        <f t="shared" ca="1" si="59"/>
        <v>#N/A</v>
      </c>
      <c r="FM57" s="244" t="e">
        <f t="shared" ca="1" si="10"/>
        <v>#N/A</v>
      </c>
      <c r="FN57" s="244"/>
    </row>
    <row r="58" spans="5:170" x14ac:dyDescent="0.25">
      <c r="E58" s="244"/>
      <c r="F58" s="244"/>
      <c r="G58" s="244"/>
      <c r="L58">
        <f t="shared" si="37"/>
        <v>58</v>
      </c>
      <c r="R58" s="112">
        <f t="shared" si="14"/>
        <v>0</v>
      </c>
      <c r="S58" s="238" t="e">
        <f t="shared" si="46"/>
        <v>#N/A</v>
      </c>
      <c r="T58" s="112" t="e">
        <f t="shared" ca="1" si="47"/>
        <v>#N/A</v>
      </c>
      <c r="U58" s="112" t="e">
        <f t="shared" ca="1" si="48"/>
        <v>#N/A</v>
      </c>
      <c r="V58" s="112" t="e">
        <f t="shared" ca="1" si="49"/>
        <v>#N/A</v>
      </c>
      <c r="W58" s="112" t="e">
        <f t="shared" ca="1" si="50"/>
        <v>#N/A</v>
      </c>
      <c r="X58" s="112">
        <f t="shared" si="15"/>
        <v>0</v>
      </c>
      <c r="Y58" s="112"/>
      <c r="Z58" s="112"/>
      <c r="AA58" s="112">
        <f t="shared" si="16"/>
        <v>100000</v>
      </c>
      <c r="AB58" s="112" t="e">
        <f t="shared" ca="1" si="17"/>
        <v>#N/A</v>
      </c>
      <c r="AC58" s="112" t="e">
        <f t="shared" ca="1" si="18"/>
        <v>#N/A</v>
      </c>
      <c r="AD58" s="112" t="e">
        <f t="shared" ca="1" si="19"/>
        <v>#N/A</v>
      </c>
      <c r="AE58" s="112" t="e">
        <f t="shared" ca="1" si="20"/>
        <v>#N/A</v>
      </c>
      <c r="AF58" s="112">
        <f t="shared" si="21"/>
        <v>100000</v>
      </c>
      <c r="AG58" s="238">
        <f>AG57</f>
        <v>27</v>
      </c>
      <c r="AH58" s="112" t="e">
        <f ca="1">AI57+1</f>
        <v>#N/A</v>
      </c>
      <c r="AI58" s="112" t="e">
        <f ca="1">IF(INDIRECT(CONCATENATE("AE",AG55))&lt;100000,INDIRECT(CONCATENATE("AE",G55)),INDIRECT(CONCATENATE("AF",AG55)))</f>
        <v>#N/A</v>
      </c>
      <c r="AJ58" s="114"/>
      <c r="AK58" s="114"/>
      <c r="AL58" s="238" t="e">
        <f t="shared" ca="1" si="38"/>
        <v>#N/A</v>
      </c>
      <c r="AM58" s="112">
        <f t="shared" ca="1" si="58"/>
        <v>100000</v>
      </c>
      <c r="AN58" s="112">
        <f t="shared" ca="1" si="39"/>
        <v>100000</v>
      </c>
      <c r="AO58" s="114">
        <f t="shared" ca="1" si="23"/>
        <v>7</v>
      </c>
      <c r="AP58" s="114">
        <f t="shared" ca="1" si="24"/>
        <v>18</v>
      </c>
      <c r="AQ58" s="112"/>
      <c r="AR58" s="238">
        <f t="shared" si="40"/>
        <v>58</v>
      </c>
      <c r="AS58" s="112"/>
      <c r="AT58" s="112"/>
      <c r="AU58" s="283">
        <f t="shared" si="41"/>
        <v>39</v>
      </c>
      <c r="AV58" s="284">
        <f t="shared" ca="1" si="25"/>
        <v>100000</v>
      </c>
      <c r="AW58" s="284">
        <f t="shared" ca="1" si="52"/>
        <v>100000</v>
      </c>
      <c r="AX58" s="285">
        <f t="shared" ca="1" si="27"/>
        <v>0</v>
      </c>
      <c r="AY58" s="285">
        <f t="shared" ca="1" si="28"/>
        <v>18</v>
      </c>
      <c r="AZ58" s="282"/>
      <c r="BD58" s="114">
        <f t="shared" si="42"/>
        <v>1</v>
      </c>
      <c r="BE58" s="112">
        <f t="shared" si="31"/>
        <v>100000</v>
      </c>
      <c r="BH58" s="238">
        <f t="shared" si="43"/>
        <v>39</v>
      </c>
      <c r="BI58" s="245">
        <f t="shared" si="32"/>
        <v>100000</v>
      </c>
      <c r="BJ58" s="281">
        <f t="shared" ca="1" si="1"/>
        <v>16</v>
      </c>
      <c r="BK58" s="245" t="e">
        <f t="shared" ca="1" si="33"/>
        <v>#N/A</v>
      </c>
      <c r="BL58" s="245" t="e">
        <f t="shared" ca="1" si="34"/>
        <v>#N/A</v>
      </c>
      <c r="BM58" s="244"/>
      <c r="BN58" s="245" t="e">
        <f t="shared" ca="1" si="51"/>
        <v>#N/A</v>
      </c>
      <c r="BQ58" s="245"/>
      <c r="BR58" s="245"/>
      <c r="BS58" s="245"/>
      <c r="BT58" s="245"/>
      <c r="BU58" s="245"/>
      <c r="BV58" s="245"/>
      <c r="BY58" s="245"/>
      <c r="BZ58" s="245"/>
      <c r="CA58" s="245"/>
      <c r="CB58" s="245"/>
      <c r="CC58" s="245"/>
      <c r="CD58" s="245"/>
      <c r="CE58" s="245"/>
      <c r="CF58" s="245"/>
      <c r="CG58" s="245"/>
      <c r="CH58" s="245"/>
      <c r="CL58" s="112"/>
      <c r="CM58" s="112"/>
      <c r="CP58" s="112"/>
      <c r="CQ58" s="112"/>
      <c r="CR58" s="238"/>
      <c r="CS58" s="238"/>
      <c r="CT58" s="112"/>
      <c r="CU58" s="112"/>
      <c r="CV58" s="112"/>
      <c r="CW58" s="112" t="s">
        <v>224</v>
      </c>
      <c r="CX58" s="112" t="s">
        <v>225</v>
      </c>
      <c r="CY58" s="112" t="s">
        <v>226</v>
      </c>
      <c r="CZ58" s="112" t="s">
        <v>227</v>
      </c>
      <c r="DA58" s="112" t="s">
        <v>228</v>
      </c>
      <c r="DB58" s="112" t="s">
        <v>229</v>
      </c>
      <c r="DC58" s="112"/>
      <c r="DD58" s="238"/>
      <c r="DE58" s="112"/>
      <c r="DF58" s="112"/>
      <c r="DG58" s="112"/>
      <c r="DH58" s="238"/>
      <c r="DI58" s="112"/>
      <c r="DJ58" s="112"/>
      <c r="DK58" s="112"/>
      <c r="DL58" s="278" t="str">
        <f t="shared" ca="1" si="44"/>
        <v/>
      </c>
      <c r="DM58" s="245" t="str">
        <f t="shared" ca="1" si="53"/>
        <v/>
      </c>
      <c r="DN58" s="245" t="str">
        <f t="shared" ca="1" si="53"/>
        <v/>
      </c>
      <c r="DO58" s="245" t="str">
        <f t="shared" ca="1" si="53"/>
        <v/>
      </c>
      <c r="DP58" s="245" t="str">
        <f t="shared" ca="1" si="53"/>
        <v/>
      </c>
      <c r="DQ58" s="245" t="str">
        <f t="shared" ca="1" si="53"/>
        <v/>
      </c>
      <c r="DR58" s="244"/>
      <c r="DS58" s="245" t="str">
        <f t="shared" si="54"/>
        <v/>
      </c>
      <c r="DT58" s="245" t="str">
        <f t="shared" si="54"/>
        <v/>
      </c>
      <c r="DU58" s="245" t="str">
        <f t="shared" si="54"/>
        <v/>
      </c>
      <c r="DV58" s="244" t="str">
        <f t="shared" ca="1" si="7"/>
        <v/>
      </c>
      <c r="DW58" s="244"/>
      <c r="DX58" s="244" t="str">
        <f t="shared" ca="1" si="45"/>
        <v/>
      </c>
      <c r="EA58" s="244" t="b">
        <f t="shared" ca="1" si="35"/>
        <v>0</v>
      </c>
      <c r="EB58" s="278" t="e">
        <f ca="1">VLOOKUP(DM58,Foglio1!$AB$31:$AN$261,13)-6+EA58</f>
        <v>#N/A</v>
      </c>
      <c r="EC58" s="244"/>
      <c r="ED58" s="244" t="e">
        <f t="shared" ca="1" si="57"/>
        <v>#N/A</v>
      </c>
      <c r="EE58" s="244" t="e">
        <f t="shared" ca="1" si="57"/>
        <v>#N/A</v>
      </c>
      <c r="EF58" s="244" t="e">
        <f t="shared" ca="1" si="57"/>
        <v>#N/A</v>
      </c>
      <c r="EG58" s="244" t="e">
        <f t="shared" ca="1" si="56"/>
        <v>#N/A</v>
      </c>
      <c r="EH58" s="244" t="e">
        <f t="shared" ca="1" si="56"/>
        <v>#N/A</v>
      </c>
      <c r="EI58" s="244" t="e">
        <f t="shared" ca="1" si="56"/>
        <v>#N/A</v>
      </c>
      <c r="EJ58" s="244" t="e">
        <f t="shared" ca="1" si="56"/>
        <v>#N/A</v>
      </c>
      <c r="EK58" s="244" t="e">
        <f t="shared" ca="1" si="56"/>
        <v>#N/A</v>
      </c>
      <c r="EL58" s="244" t="e">
        <f t="shared" ca="1" si="56"/>
        <v>#N/A</v>
      </c>
      <c r="EM58" s="244" t="e">
        <f t="shared" ca="1" si="56"/>
        <v>#N/A</v>
      </c>
      <c r="EN58" s="244" t="e">
        <f t="shared" ca="1" si="56"/>
        <v>#N/A</v>
      </c>
      <c r="EO58" s="244" t="e">
        <f t="shared" ca="1" si="56"/>
        <v>#N/A</v>
      </c>
      <c r="EP58" s="244" t="e">
        <f t="shared" ca="1" si="56"/>
        <v>#N/A</v>
      </c>
      <c r="EQ58" s="244" t="e">
        <f t="shared" ca="1" si="56"/>
        <v>#N/A</v>
      </c>
      <c r="ER58" s="244"/>
      <c r="EW58" s="244">
        <v>0</v>
      </c>
      <c r="EX58" s="278" t="e">
        <f ca="1">VLOOKUP(DM58,Foglio1!$AB$31:$AN$261,13)-6+EW58</f>
        <v>#N/A</v>
      </c>
      <c r="EY58" s="244"/>
      <c r="EZ58" s="244" t="e">
        <f t="shared" ca="1" si="36"/>
        <v>#N/A</v>
      </c>
      <c r="FA58" s="244" t="e">
        <f t="shared" ref="FA58:FF89" ca="1" si="60">INDIRECT(CONCATENATE(EY$16,EY$17,$EX58))</f>
        <v>#N/A</v>
      </c>
      <c r="FB58" s="244" t="e">
        <f t="shared" ca="1" si="60"/>
        <v>#N/A</v>
      </c>
      <c r="FC58" s="244" t="e">
        <f t="shared" ca="1" si="60"/>
        <v>#N/A</v>
      </c>
      <c r="FD58" s="244" t="e">
        <f t="shared" ca="1" si="59"/>
        <v>#N/A</v>
      </c>
      <c r="FE58" s="244" t="e">
        <f t="shared" ca="1" si="59"/>
        <v>#N/A</v>
      </c>
      <c r="FF58" s="244" t="e">
        <f t="shared" ca="1" si="59"/>
        <v>#N/A</v>
      </c>
      <c r="FG58" s="244" t="e">
        <f t="shared" ca="1" si="59"/>
        <v>#N/A</v>
      </c>
      <c r="FH58" s="244" t="e">
        <f t="shared" ca="1" si="59"/>
        <v>#N/A</v>
      </c>
      <c r="FI58" s="244" t="e">
        <f t="shared" ca="1" si="59"/>
        <v>#N/A</v>
      </c>
      <c r="FJ58" s="244" t="e">
        <f t="shared" ca="1" si="59"/>
        <v>#N/A</v>
      </c>
      <c r="FK58" s="244" t="e">
        <f t="shared" ca="1" si="59"/>
        <v>#N/A</v>
      </c>
      <c r="FL58" s="244" t="e">
        <f t="shared" ca="1" si="59"/>
        <v>#N/A</v>
      </c>
      <c r="FM58" s="244" t="e">
        <f t="shared" ca="1" si="10"/>
        <v>#N/A</v>
      </c>
      <c r="FN58" s="244"/>
    </row>
    <row r="59" spans="5:170" x14ac:dyDescent="0.25">
      <c r="E59" s="244"/>
      <c r="F59" s="244"/>
      <c r="G59" s="244"/>
      <c r="L59">
        <f t="shared" si="37"/>
        <v>59</v>
      </c>
      <c r="R59" s="112">
        <f t="shared" si="14"/>
        <v>0</v>
      </c>
      <c r="S59" s="238" t="e">
        <f t="shared" si="46"/>
        <v>#N/A</v>
      </c>
      <c r="T59" s="112" t="e">
        <f t="shared" ca="1" si="47"/>
        <v>#N/A</v>
      </c>
      <c r="U59" s="112" t="e">
        <f t="shared" ca="1" si="48"/>
        <v>#N/A</v>
      </c>
      <c r="V59" s="112" t="e">
        <f t="shared" ca="1" si="49"/>
        <v>#N/A</v>
      </c>
      <c r="W59" s="112" t="e">
        <f t="shared" ca="1" si="50"/>
        <v>#N/A</v>
      </c>
      <c r="X59" s="112">
        <f t="shared" si="15"/>
        <v>0</v>
      </c>
      <c r="Y59" s="112"/>
      <c r="Z59" s="112"/>
      <c r="AA59" s="112">
        <f t="shared" si="16"/>
        <v>100000</v>
      </c>
      <c r="AB59" s="112" t="e">
        <f t="shared" ca="1" si="17"/>
        <v>#N/A</v>
      </c>
      <c r="AC59" s="112" t="e">
        <f t="shared" ca="1" si="18"/>
        <v>#N/A</v>
      </c>
      <c r="AD59" s="112" t="e">
        <f t="shared" ca="1" si="19"/>
        <v>#N/A</v>
      </c>
      <c r="AE59" s="112" t="e">
        <f t="shared" ca="1" si="20"/>
        <v>#N/A</v>
      </c>
      <c r="AF59" s="112">
        <f t="shared" si="21"/>
        <v>100000</v>
      </c>
      <c r="AG59" s="238">
        <f>AG58</f>
        <v>27</v>
      </c>
      <c r="AH59" s="112" t="e">
        <f ca="1">AI58+1</f>
        <v>#N/A</v>
      </c>
      <c r="AI59" s="112">
        <f ca="1">INDIRECT(CONCATENATE("AF",AG55))</f>
        <v>100000</v>
      </c>
      <c r="AJ59" s="114"/>
      <c r="AK59" s="114"/>
      <c r="AL59" s="238" t="e">
        <f t="shared" ca="1" si="38"/>
        <v>#N/A</v>
      </c>
      <c r="AM59" s="112">
        <f t="shared" ca="1" si="58"/>
        <v>100000</v>
      </c>
      <c r="AN59" s="112">
        <f t="shared" ca="1" si="39"/>
        <v>100000</v>
      </c>
      <c r="AO59" s="114">
        <f t="shared" ca="1" si="23"/>
        <v>7</v>
      </c>
      <c r="AP59" s="114">
        <f t="shared" ca="1" si="24"/>
        <v>18</v>
      </c>
      <c r="AQ59" s="112"/>
      <c r="AR59" s="238">
        <f t="shared" si="40"/>
        <v>59</v>
      </c>
      <c r="AS59" s="112"/>
      <c r="AT59" s="112"/>
      <c r="AU59" s="283">
        <f t="shared" si="41"/>
        <v>40</v>
      </c>
      <c r="AV59" s="284">
        <f t="shared" ca="1" si="25"/>
        <v>100000</v>
      </c>
      <c r="AW59" s="284">
        <f t="shared" ca="1" si="52"/>
        <v>100000</v>
      </c>
      <c r="AX59" s="285">
        <f t="shared" ca="1" si="27"/>
        <v>0</v>
      </c>
      <c r="AY59" s="285">
        <f t="shared" ca="1" si="28"/>
        <v>18</v>
      </c>
      <c r="AZ59" s="282"/>
      <c r="BD59" s="114">
        <f t="shared" si="42"/>
        <v>1</v>
      </c>
      <c r="BE59" s="112">
        <f t="shared" si="31"/>
        <v>100000</v>
      </c>
      <c r="BH59" s="238">
        <f t="shared" si="43"/>
        <v>40</v>
      </c>
      <c r="BI59" s="245">
        <f t="shared" si="32"/>
        <v>100000</v>
      </c>
      <c r="BJ59" s="281">
        <f t="shared" ca="1" si="1"/>
        <v>16</v>
      </c>
      <c r="BK59" s="245" t="e">
        <f t="shared" ca="1" si="33"/>
        <v>#N/A</v>
      </c>
      <c r="BL59" s="245" t="e">
        <f t="shared" ca="1" si="34"/>
        <v>#N/A</v>
      </c>
      <c r="BM59" s="244"/>
      <c r="BN59" s="245" t="e">
        <f t="shared" ca="1" si="51"/>
        <v>#N/A</v>
      </c>
      <c r="BQ59" s="245"/>
      <c r="BR59" s="245"/>
      <c r="BS59" s="245"/>
      <c r="BT59" s="245"/>
      <c r="BU59" s="245"/>
      <c r="BV59" s="245"/>
      <c r="BY59" s="245"/>
      <c r="BZ59" s="245"/>
      <c r="CA59" s="245"/>
      <c r="CB59" s="245"/>
      <c r="CC59" s="245"/>
      <c r="CD59" s="245"/>
      <c r="CE59" s="245"/>
      <c r="CF59" s="245"/>
      <c r="CG59" s="245"/>
      <c r="CH59" s="245"/>
      <c r="CL59" s="112"/>
      <c r="CM59" s="112"/>
      <c r="CP59" s="112"/>
      <c r="CQ59" s="112"/>
      <c r="CR59" s="238"/>
      <c r="CS59" s="238"/>
      <c r="CT59" s="112"/>
      <c r="CU59" s="112"/>
      <c r="CV59" s="112"/>
      <c r="CW59" s="112" t="s">
        <v>224</v>
      </c>
      <c r="CX59" s="112" t="s">
        <v>225</v>
      </c>
      <c r="CY59" s="112" t="s">
        <v>226</v>
      </c>
      <c r="CZ59" s="112" t="s">
        <v>227</v>
      </c>
      <c r="DA59" s="112" t="s">
        <v>228</v>
      </c>
      <c r="DB59" s="112" t="s">
        <v>229</v>
      </c>
      <c r="DC59" s="112"/>
      <c r="DD59" s="238"/>
      <c r="DE59" s="112"/>
      <c r="DF59" s="112"/>
      <c r="DG59" s="112"/>
      <c r="DH59" s="238"/>
      <c r="DI59" s="112"/>
      <c r="DJ59" s="112"/>
      <c r="DK59" s="112"/>
      <c r="DL59" s="278" t="str">
        <f t="shared" ca="1" si="44"/>
        <v/>
      </c>
      <c r="DM59" s="245" t="str">
        <f t="shared" ca="1" si="53"/>
        <v/>
      </c>
      <c r="DN59" s="245" t="str">
        <f t="shared" ca="1" si="53"/>
        <v/>
      </c>
      <c r="DO59" s="245" t="str">
        <f t="shared" ca="1" si="53"/>
        <v/>
      </c>
      <c r="DP59" s="245" t="str">
        <f t="shared" ca="1" si="53"/>
        <v/>
      </c>
      <c r="DQ59" s="245" t="str">
        <f t="shared" ca="1" si="53"/>
        <v/>
      </c>
      <c r="DR59" s="244"/>
      <c r="DS59" s="245" t="str">
        <f t="shared" si="54"/>
        <v/>
      </c>
      <c r="DT59" s="245" t="str">
        <f t="shared" si="54"/>
        <v/>
      </c>
      <c r="DU59" s="245" t="str">
        <f t="shared" si="54"/>
        <v/>
      </c>
      <c r="DV59" s="244" t="str">
        <f t="shared" ca="1" si="7"/>
        <v/>
      </c>
      <c r="DW59" s="244"/>
      <c r="DX59" s="244" t="str">
        <f t="shared" ca="1" si="45"/>
        <v/>
      </c>
      <c r="EA59" s="244" t="b">
        <f t="shared" ca="1" si="35"/>
        <v>0</v>
      </c>
      <c r="EB59" s="278" t="e">
        <f ca="1">VLOOKUP(DM59,Foglio1!$AB$31:$AN$261,13)-6+EA59</f>
        <v>#N/A</v>
      </c>
      <c r="EC59" s="244"/>
      <c r="ED59" s="244" t="e">
        <f t="shared" ca="1" si="57"/>
        <v>#N/A</v>
      </c>
      <c r="EE59" s="244" t="e">
        <f t="shared" ca="1" si="57"/>
        <v>#N/A</v>
      </c>
      <c r="EF59" s="244" t="e">
        <f t="shared" ca="1" si="57"/>
        <v>#N/A</v>
      </c>
      <c r="EG59" s="244" t="e">
        <f t="shared" ca="1" si="56"/>
        <v>#N/A</v>
      </c>
      <c r="EH59" s="244" t="e">
        <f t="shared" ca="1" si="56"/>
        <v>#N/A</v>
      </c>
      <c r="EI59" s="244" t="e">
        <f t="shared" ca="1" si="56"/>
        <v>#N/A</v>
      </c>
      <c r="EJ59" s="244" t="e">
        <f t="shared" ca="1" si="56"/>
        <v>#N/A</v>
      </c>
      <c r="EK59" s="244" t="e">
        <f t="shared" ca="1" si="56"/>
        <v>#N/A</v>
      </c>
      <c r="EL59" s="244" t="e">
        <f t="shared" ca="1" si="56"/>
        <v>#N/A</v>
      </c>
      <c r="EM59" s="244" t="e">
        <f t="shared" ca="1" si="56"/>
        <v>#N/A</v>
      </c>
      <c r="EN59" s="244" t="e">
        <f t="shared" ca="1" si="56"/>
        <v>#N/A</v>
      </c>
      <c r="EO59" s="244" t="e">
        <f t="shared" ca="1" si="56"/>
        <v>#N/A</v>
      </c>
      <c r="EP59" s="244" t="e">
        <f t="shared" ca="1" si="56"/>
        <v>#N/A</v>
      </c>
      <c r="EQ59" s="244" t="e">
        <f t="shared" ca="1" si="56"/>
        <v>#N/A</v>
      </c>
      <c r="ER59" s="244"/>
      <c r="EW59" s="244">
        <v>0</v>
      </c>
      <c r="EX59" s="278" t="e">
        <f ca="1">VLOOKUP(DM59,Foglio1!$AB$31:$AN$261,13)-6+EW59</f>
        <v>#N/A</v>
      </c>
      <c r="EY59" s="244"/>
      <c r="EZ59" s="244" t="e">
        <f t="shared" ca="1" si="36"/>
        <v>#N/A</v>
      </c>
      <c r="FA59" s="244" t="e">
        <f t="shared" ca="1" si="60"/>
        <v>#N/A</v>
      </c>
      <c r="FB59" s="244" t="e">
        <f t="shared" ca="1" si="60"/>
        <v>#N/A</v>
      </c>
      <c r="FC59" s="244" t="e">
        <f t="shared" ca="1" si="60"/>
        <v>#N/A</v>
      </c>
      <c r="FD59" s="244" t="e">
        <f t="shared" ca="1" si="59"/>
        <v>#N/A</v>
      </c>
      <c r="FE59" s="244" t="e">
        <f t="shared" ca="1" si="59"/>
        <v>#N/A</v>
      </c>
      <c r="FF59" s="244" t="e">
        <f t="shared" ca="1" si="59"/>
        <v>#N/A</v>
      </c>
      <c r="FG59" s="244" t="e">
        <f t="shared" ca="1" si="59"/>
        <v>#N/A</v>
      </c>
      <c r="FH59" s="244" t="e">
        <f t="shared" ca="1" si="59"/>
        <v>#N/A</v>
      </c>
      <c r="FI59" s="244" t="e">
        <f t="shared" ca="1" si="59"/>
        <v>#N/A</v>
      </c>
      <c r="FJ59" s="244" t="e">
        <f t="shared" ca="1" si="59"/>
        <v>#N/A</v>
      </c>
      <c r="FK59" s="244" t="e">
        <f t="shared" ca="1" si="59"/>
        <v>#N/A</v>
      </c>
      <c r="FL59" s="244" t="e">
        <f t="shared" ca="1" si="59"/>
        <v>#N/A</v>
      </c>
      <c r="FM59" s="244" t="e">
        <f t="shared" ca="1" si="10"/>
        <v>#N/A</v>
      </c>
      <c r="FN59" s="244"/>
    </row>
    <row r="60" spans="5:170" x14ac:dyDescent="0.25">
      <c r="E60" s="244"/>
      <c r="F60" s="244"/>
      <c r="G60" s="244"/>
      <c r="L60">
        <f t="shared" si="37"/>
        <v>60</v>
      </c>
      <c r="R60" s="112">
        <f t="shared" si="14"/>
        <v>0</v>
      </c>
      <c r="S60" s="238" t="e">
        <f t="shared" si="46"/>
        <v>#N/A</v>
      </c>
      <c r="T60" s="112" t="e">
        <f t="shared" ca="1" si="47"/>
        <v>#N/A</v>
      </c>
      <c r="U60" s="112" t="e">
        <f t="shared" ca="1" si="48"/>
        <v>#N/A</v>
      </c>
      <c r="V60" s="112" t="e">
        <f t="shared" ca="1" si="49"/>
        <v>#N/A</v>
      </c>
      <c r="W60" s="112" t="e">
        <f t="shared" ca="1" si="50"/>
        <v>#N/A</v>
      </c>
      <c r="X60" s="112">
        <f t="shared" si="15"/>
        <v>0</v>
      </c>
      <c r="Y60" s="112"/>
      <c r="Z60" s="112"/>
      <c r="AA60" s="112">
        <f t="shared" si="16"/>
        <v>100000</v>
      </c>
      <c r="AB60" s="112" t="e">
        <f t="shared" ca="1" si="17"/>
        <v>#N/A</v>
      </c>
      <c r="AC60" s="112" t="e">
        <f t="shared" ca="1" si="18"/>
        <v>#N/A</v>
      </c>
      <c r="AD60" s="112" t="e">
        <f t="shared" ca="1" si="19"/>
        <v>#N/A</v>
      </c>
      <c r="AE60" s="112" t="e">
        <f t="shared" ca="1" si="20"/>
        <v>#N/A</v>
      </c>
      <c r="AF60" s="112">
        <f t="shared" si="21"/>
        <v>100000</v>
      </c>
      <c r="AG60" s="238">
        <f>AG59+1</f>
        <v>28</v>
      </c>
      <c r="AH60" s="112">
        <f ca="1">INDIRECT(CONCATENATE("AA",AG60))</f>
        <v>100000</v>
      </c>
      <c r="AI60" s="112" t="e">
        <f ca="1">IF(            INDIRECT(CONCATENATE( "AB",AG60))&lt;100000,       INDIRECT(CONCATENATE("AB",AG60))  -1,IF(   INDIRECT(CONCATENATE("AC",AG60))&lt;100000,   INDIRECT(CONCATENATE("AC",AG60))-1,IF(   INDIRECT(CONCATENATE("AD", AG60))&lt;100000, INDIRECT(CONCATENATE("AD",AG60))-1,IF(   INDIRECT(CONCATENATE("AE",AG60))&lt;100000,  INDIRECT(CONCATENATE("AE",G60)),INDIRECT(CONCATENATE("AF",AG60))                ))))</f>
        <v>#N/A</v>
      </c>
      <c r="AJ60" s="114"/>
      <c r="AK60" s="114"/>
      <c r="AL60" s="238" t="e">
        <f t="shared" ca="1" si="38"/>
        <v>#N/A</v>
      </c>
      <c r="AM60" s="112">
        <f t="shared" ca="1" si="58"/>
        <v>100000</v>
      </c>
      <c r="AN60" s="112">
        <f t="shared" ca="1" si="39"/>
        <v>100000</v>
      </c>
      <c r="AO60" s="114">
        <f t="shared" ca="1" si="23"/>
        <v>8</v>
      </c>
      <c r="AP60" s="114">
        <f t="shared" ca="1" si="24"/>
        <v>18</v>
      </c>
      <c r="AQ60" s="112"/>
      <c r="AR60" s="238">
        <f t="shared" si="40"/>
        <v>60</v>
      </c>
      <c r="AS60" s="112"/>
      <c r="AT60" s="112"/>
      <c r="AU60" s="283">
        <f t="shared" si="41"/>
        <v>41</v>
      </c>
      <c r="AV60" s="284">
        <f t="shared" ca="1" si="25"/>
        <v>100000</v>
      </c>
      <c r="AW60" s="284">
        <f t="shared" ca="1" si="52"/>
        <v>100000</v>
      </c>
      <c r="AX60" s="285">
        <f t="shared" ca="1" si="27"/>
        <v>0</v>
      </c>
      <c r="AY60" s="285">
        <f t="shared" ca="1" si="28"/>
        <v>18</v>
      </c>
      <c r="AZ60" s="282"/>
      <c r="BD60" s="114">
        <f t="shared" si="42"/>
        <v>1</v>
      </c>
      <c r="BE60" s="112">
        <f t="shared" si="31"/>
        <v>100000</v>
      </c>
      <c r="BH60" s="238">
        <f t="shared" si="43"/>
        <v>41</v>
      </c>
      <c r="BI60" s="245">
        <f t="shared" si="32"/>
        <v>100000</v>
      </c>
      <c r="BJ60" s="281">
        <f t="shared" ca="1" si="1"/>
        <v>16</v>
      </c>
      <c r="BK60" s="245" t="e">
        <f t="shared" ca="1" si="33"/>
        <v>#N/A</v>
      </c>
      <c r="BL60" s="245" t="e">
        <f t="shared" ca="1" si="34"/>
        <v>#N/A</v>
      </c>
      <c r="BM60" s="244"/>
      <c r="BN60" s="245" t="e">
        <f t="shared" ca="1" si="51"/>
        <v>#N/A</v>
      </c>
      <c r="BQ60" s="245"/>
      <c r="BR60" s="245"/>
      <c r="BS60" s="245"/>
      <c r="BT60" s="245"/>
      <c r="BU60" s="245"/>
      <c r="BV60" s="245"/>
      <c r="BY60" s="245"/>
      <c r="BZ60" s="245"/>
      <c r="CA60" s="245"/>
      <c r="CB60" s="245"/>
      <c r="CC60" s="245"/>
      <c r="CD60" s="245"/>
      <c r="CE60" s="245"/>
      <c r="CF60" s="245"/>
      <c r="CG60" s="245"/>
      <c r="CH60" s="245"/>
      <c r="CL60" s="112"/>
      <c r="CM60" s="112"/>
      <c r="CP60" s="112"/>
      <c r="CQ60" s="112"/>
      <c r="CR60" s="238"/>
      <c r="CS60" s="238"/>
      <c r="CT60" s="112"/>
      <c r="CU60" s="112"/>
      <c r="CV60" s="112"/>
      <c r="CW60" s="112" t="s">
        <v>224</v>
      </c>
      <c r="CX60" s="112" t="s">
        <v>225</v>
      </c>
      <c r="CY60" s="112" t="s">
        <v>226</v>
      </c>
      <c r="CZ60" s="112" t="s">
        <v>227</v>
      </c>
      <c r="DA60" s="112" t="s">
        <v>228</v>
      </c>
      <c r="DB60" s="112" t="s">
        <v>229</v>
      </c>
      <c r="DC60" s="112"/>
      <c r="DD60" s="238"/>
      <c r="DE60" s="112"/>
      <c r="DF60" s="112"/>
      <c r="DG60" s="112"/>
      <c r="DH60" s="238"/>
      <c r="DI60" s="112"/>
      <c r="DJ60" s="112"/>
      <c r="DK60" s="112"/>
      <c r="DL60" s="278" t="str">
        <f t="shared" ca="1" si="44"/>
        <v/>
      </c>
      <c r="DM60" s="245" t="str">
        <f t="shared" ca="1" si="53"/>
        <v/>
      </c>
      <c r="DN60" s="245" t="str">
        <f t="shared" ca="1" si="53"/>
        <v/>
      </c>
      <c r="DO60" s="245" t="str">
        <f t="shared" ca="1" si="53"/>
        <v/>
      </c>
      <c r="DP60" s="245" t="str">
        <f t="shared" ca="1" si="53"/>
        <v/>
      </c>
      <c r="DQ60" s="245" t="str">
        <f t="shared" ca="1" si="53"/>
        <v/>
      </c>
      <c r="DR60" s="244"/>
      <c r="DS60" s="245" t="str">
        <f t="shared" si="54"/>
        <v/>
      </c>
      <c r="DT60" s="245" t="str">
        <f t="shared" si="54"/>
        <v/>
      </c>
      <c r="DU60" s="245" t="str">
        <f t="shared" si="54"/>
        <v/>
      </c>
      <c r="DV60" s="244" t="str">
        <f t="shared" ca="1" si="7"/>
        <v/>
      </c>
      <c r="DW60" s="244"/>
      <c r="DX60" s="244" t="str">
        <f t="shared" ca="1" si="45"/>
        <v/>
      </c>
      <c r="EA60" s="244" t="b">
        <f t="shared" ca="1" si="35"/>
        <v>0</v>
      </c>
      <c r="EB60" s="278" t="e">
        <f ca="1">VLOOKUP(DM60,Foglio1!$AB$31:$AN$261,13)-6+EA60</f>
        <v>#N/A</v>
      </c>
      <c r="EC60" s="244"/>
      <c r="ED60" s="244" t="e">
        <f t="shared" ca="1" si="57"/>
        <v>#N/A</v>
      </c>
      <c r="EE60" s="244" t="e">
        <f t="shared" ca="1" si="57"/>
        <v>#N/A</v>
      </c>
      <c r="EF60" s="244" t="e">
        <f t="shared" ca="1" si="57"/>
        <v>#N/A</v>
      </c>
      <c r="EG60" s="244" t="e">
        <f t="shared" ca="1" si="56"/>
        <v>#N/A</v>
      </c>
      <c r="EH60" s="244" t="e">
        <f t="shared" ca="1" si="56"/>
        <v>#N/A</v>
      </c>
      <c r="EI60" s="244" t="e">
        <f t="shared" ca="1" si="56"/>
        <v>#N/A</v>
      </c>
      <c r="EJ60" s="244" t="e">
        <f t="shared" ca="1" si="56"/>
        <v>#N/A</v>
      </c>
      <c r="EK60" s="244" t="e">
        <f t="shared" ca="1" si="56"/>
        <v>#N/A</v>
      </c>
      <c r="EL60" s="244" t="e">
        <f t="shared" ca="1" si="56"/>
        <v>#N/A</v>
      </c>
      <c r="EM60" s="244" t="e">
        <f t="shared" ca="1" si="56"/>
        <v>#N/A</v>
      </c>
      <c r="EN60" s="244" t="e">
        <f t="shared" ca="1" si="56"/>
        <v>#N/A</v>
      </c>
      <c r="EO60" s="244" t="e">
        <f t="shared" ca="1" si="56"/>
        <v>#N/A</v>
      </c>
      <c r="EP60" s="244" t="e">
        <f t="shared" ca="1" si="56"/>
        <v>#N/A</v>
      </c>
      <c r="EQ60" s="244" t="e">
        <f t="shared" ca="1" si="56"/>
        <v>#N/A</v>
      </c>
      <c r="ER60" s="244"/>
      <c r="EW60" s="244">
        <v>0</v>
      </c>
      <c r="EX60" s="278" t="e">
        <f ca="1">VLOOKUP(DM60,Foglio1!$AB$31:$AN$261,13)-6+EW60</f>
        <v>#N/A</v>
      </c>
      <c r="EY60" s="244"/>
      <c r="EZ60" s="244" t="e">
        <f t="shared" ca="1" si="36"/>
        <v>#N/A</v>
      </c>
      <c r="FA60" s="244" t="e">
        <f t="shared" ca="1" si="60"/>
        <v>#N/A</v>
      </c>
      <c r="FB60" s="244" t="e">
        <f t="shared" ca="1" si="60"/>
        <v>#N/A</v>
      </c>
      <c r="FC60" s="244" t="e">
        <f t="shared" ca="1" si="60"/>
        <v>#N/A</v>
      </c>
      <c r="FD60" s="244" t="e">
        <f t="shared" ca="1" si="59"/>
        <v>#N/A</v>
      </c>
      <c r="FE60" s="244" t="e">
        <f t="shared" ca="1" si="59"/>
        <v>#N/A</v>
      </c>
      <c r="FF60" s="244" t="e">
        <f t="shared" ca="1" si="59"/>
        <v>#N/A</v>
      </c>
      <c r="FG60" s="244" t="e">
        <f t="shared" ca="1" si="59"/>
        <v>#N/A</v>
      </c>
      <c r="FH60" s="244" t="e">
        <f t="shared" ca="1" si="59"/>
        <v>#N/A</v>
      </c>
      <c r="FI60" s="244" t="e">
        <f t="shared" ca="1" si="59"/>
        <v>#N/A</v>
      </c>
      <c r="FJ60" s="244" t="e">
        <f t="shared" ca="1" si="59"/>
        <v>#N/A</v>
      </c>
      <c r="FK60" s="244" t="e">
        <f t="shared" ca="1" si="59"/>
        <v>#N/A</v>
      </c>
      <c r="FL60" s="244" t="e">
        <f t="shared" ca="1" si="59"/>
        <v>#N/A</v>
      </c>
      <c r="FM60" s="244" t="e">
        <f t="shared" ca="1" si="10"/>
        <v>#N/A</v>
      </c>
      <c r="FN60" s="244"/>
    </row>
    <row r="61" spans="5:170" x14ac:dyDescent="0.25">
      <c r="E61" s="244"/>
      <c r="F61" s="244"/>
      <c r="G61" s="244"/>
      <c r="L61">
        <f t="shared" si="37"/>
        <v>61</v>
      </c>
      <c r="R61" s="112">
        <f t="shared" si="14"/>
        <v>0</v>
      </c>
      <c r="S61" s="238" t="e">
        <f t="shared" si="46"/>
        <v>#N/A</v>
      </c>
      <c r="T61" s="112" t="e">
        <f t="shared" ca="1" si="47"/>
        <v>#N/A</v>
      </c>
      <c r="U61" s="112" t="e">
        <f t="shared" ca="1" si="48"/>
        <v>#N/A</v>
      </c>
      <c r="V61" s="112" t="e">
        <f t="shared" ca="1" si="49"/>
        <v>#N/A</v>
      </c>
      <c r="W61" s="112" t="e">
        <f t="shared" ca="1" si="50"/>
        <v>#N/A</v>
      </c>
      <c r="X61" s="112">
        <f t="shared" si="15"/>
        <v>0</v>
      </c>
      <c r="Y61" s="112"/>
      <c r="Z61" s="112"/>
      <c r="AA61" s="112">
        <f t="shared" si="16"/>
        <v>100000</v>
      </c>
      <c r="AB61" s="112" t="e">
        <f t="shared" ca="1" si="17"/>
        <v>#N/A</v>
      </c>
      <c r="AC61" s="112" t="e">
        <f t="shared" ca="1" si="18"/>
        <v>#N/A</v>
      </c>
      <c r="AD61" s="112" t="e">
        <f t="shared" ca="1" si="19"/>
        <v>#N/A</v>
      </c>
      <c r="AE61" s="112" t="e">
        <f t="shared" ca="1" si="20"/>
        <v>#N/A</v>
      </c>
      <c r="AF61" s="112">
        <f t="shared" si="21"/>
        <v>100000</v>
      </c>
      <c r="AG61" s="238">
        <f>AG60</f>
        <v>28</v>
      </c>
      <c r="AH61" s="112" t="e">
        <f ca="1">AI60+1</f>
        <v>#N/A</v>
      </c>
      <c r="AI61" s="112" t="e">
        <f ca="1">IF(INDIRECT(CONCATENATE("AC",AG60))&lt;100000,INDIRECT(CONCATENATE("AC",AG60))-1,IF(INDIRECT(CONCATENATE("AD",AG60))&lt;100000,INDIRECT(CONCATENATE("AD",AG60))-1,IF(INDIRECT(CONCATENATE("AE",AG60))&lt;100000,INDIRECT(CONCATENATE("AE",G60)),INDIRECT(CONCATENATE("AF",AG60)))))</f>
        <v>#N/A</v>
      </c>
      <c r="AJ61" s="114"/>
      <c r="AK61" s="114"/>
      <c r="AL61" s="238" t="e">
        <f t="shared" ca="1" si="38"/>
        <v>#N/A</v>
      </c>
      <c r="AM61" s="112">
        <f t="shared" ca="1" si="58"/>
        <v>100000</v>
      </c>
      <c r="AN61" s="112">
        <f t="shared" ca="1" si="39"/>
        <v>100000</v>
      </c>
      <c r="AO61" s="114">
        <f t="shared" ca="1" si="23"/>
        <v>8</v>
      </c>
      <c r="AP61" s="114">
        <f t="shared" ca="1" si="24"/>
        <v>18</v>
      </c>
      <c r="AQ61" s="112"/>
      <c r="AR61" s="238">
        <f t="shared" si="40"/>
        <v>61</v>
      </c>
      <c r="AS61" s="112"/>
      <c r="AT61" s="112"/>
      <c r="AU61" s="283">
        <f t="shared" si="41"/>
        <v>42</v>
      </c>
      <c r="AV61" s="284">
        <f t="shared" ca="1" si="25"/>
        <v>100000</v>
      </c>
      <c r="AW61" s="284">
        <f t="shared" ca="1" si="52"/>
        <v>100000</v>
      </c>
      <c r="AX61" s="285">
        <f t="shared" ca="1" si="27"/>
        <v>0</v>
      </c>
      <c r="AY61" s="285">
        <f t="shared" ca="1" si="28"/>
        <v>18</v>
      </c>
      <c r="AZ61" s="282"/>
      <c r="BD61" s="114">
        <f t="shared" si="42"/>
        <v>1</v>
      </c>
      <c r="BE61" s="112">
        <f t="shared" si="31"/>
        <v>100000</v>
      </c>
      <c r="BH61" s="238">
        <f t="shared" si="43"/>
        <v>42</v>
      </c>
      <c r="BI61" s="245">
        <f t="shared" si="32"/>
        <v>100000</v>
      </c>
      <c r="BJ61" s="281">
        <f t="shared" ca="1" si="1"/>
        <v>16</v>
      </c>
      <c r="BK61" s="245" t="e">
        <f t="shared" ca="1" si="33"/>
        <v>#N/A</v>
      </c>
      <c r="BL61" s="245" t="e">
        <f t="shared" ca="1" si="34"/>
        <v>#N/A</v>
      </c>
      <c r="BM61" s="244"/>
      <c r="BN61" s="245" t="e">
        <f t="shared" ca="1" si="51"/>
        <v>#N/A</v>
      </c>
      <c r="BQ61" s="245"/>
      <c r="BR61" s="245"/>
      <c r="BS61" s="245"/>
      <c r="BT61" s="245"/>
      <c r="BU61" s="245"/>
      <c r="BV61" s="245"/>
      <c r="BY61" s="245"/>
      <c r="BZ61" s="245"/>
      <c r="CA61" s="245"/>
      <c r="CB61" s="245"/>
      <c r="CC61" s="245"/>
      <c r="CD61" s="245"/>
      <c r="CE61" s="245"/>
      <c r="CF61" s="245"/>
      <c r="CG61" s="245"/>
      <c r="CH61" s="245"/>
      <c r="CL61" s="112"/>
      <c r="CM61" s="112"/>
      <c r="CP61" s="112"/>
      <c r="CQ61" s="112"/>
      <c r="CR61" s="238"/>
      <c r="CS61" s="238"/>
      <c r="CT61" s="112"/>
      <c r="CU61" s="112"/>
      <c r="CV61" s="112"/>
      <c r="CW61" s="112" t="s">
        <v>224</v>
      </c>
      <c r="CX61" s="112" t="s">
        <v>225</v>
      </c>
      <c r="CY61" s="112" t="s">
        <v>226</v>
      </c>
      <c r="CZ61" s="112" t="s">
        <v>227</v>
      </c>
      <c r="DA61" s="112" t="s">
        <v>228</v>
      </c>
      <c r="DB61" s="112" t="s">
        <v>229</v>
      </c>
      <c r="DC61" s="112"/>
      <c r="DD61" s="238"/>
      <c r="DE61" s="112"/>
      <c r="DF61" s="112"/>
      <c r="DG61" s="112"/>
      <c r="DH61" s="238"/>
      <c r="DI61" s="112"/>
      <c r="DJ61" s="112"/>
      <c r="DK61" s="112"/>
      <c r="DL61" s="278" t="str">
        <f t="shared" ca="1" si="44"/>
        <v/>
      </c>
      <c r="DM61" s="245" t="str">
        <f t="shared" ca="1" si="53"/>
        <v/>
      </c>
      <c r="DN61" s="245" t="str">
        <f t="shared" ca="1" si="53"/>
        <v/>
      </c>
      <c r="DO61" s="245" t="str">
        <f t="shared" ca="1" si="53"/>
        <v/>
      </c>
      <c r="DP61" s="245" t="str">
        <f t="shared" ca="1" si="53"/>
        <v/>
      </c>
      <c r="DQ61" s="245" t="str">
        <f t="shared" ca="1" si="53"/>
        <v/>
      </c>
      <c r="DR61" s="244"/>
      <c r="DS61" s="245" t="str">
        <f t="shared" si="54"/>
        <v/>
      </c>
      <c r="DT61" s="245" t="str">
        <f t="shared" si="54"/>
        <v/>
      </c>
      <c r="DU61" s="245" t="str">
        <f t="shared" si="54"/>
        <v/>
      </c>
      <c r="DV61" s="244" t="str">
        <f t="shared" ca="1" si="7"/>
        <v/>
      </c>
      <c r="DW61" s="244"/>
      <c r="DX61" s="244" t="str">
        <f t="shared" ca="1" si="45"/>
        <v/>
      </c>
      <c r="EA61" s="244" t="b">
        <f t="shared" ca="1" si="35"/>
        <v>0</v>
      </c>
      <c r="EB61" s="278" t="e">
        <f ca="1">VLOOKUP(DM61,Foglio1!$AB$31:$AN$261,13)-6+EA61</f>
        <v>#N/A</v>
      </c>
      <c r="EC61" s="244"/>
      <c r="ED61" s="244" t="e">
        <f t="shared" ca="1" si="57"/>
        <v>#N/A</v>
      </c>
      <c r="EE61" s="244" t="e">
        <f t="shared" ca="1" si="57"/>
        <v>#N/A</v>
      </c>
      <c r="EF61" s="244" t="e">
        <f t="shared" ca="1" si="57"/>
        <v>#N/A</v>
      </c>
      <c r="EG61" s="244" t="e">
        <f t="shared" ca="1" si="56"/>
        <v>#N/A</v>
      </c>
      <c r="EH61" s="244" t="e">
        <f t="shared" ca="1" si="56"/>
        <v>#N/A</v>
      </c>
      <c r="EI61" s="244" t="e">
        <f t="shared" ref="EI61:EQ89" ca="1" si="61">INDIRECT(CONCATENATE(EG$16,EG$17,$EB61))</f>
        <v>#N/A</v>
      </c>
      <c r="EJ61" s="244" t="e">
        <f t="shared" ca="1" si="61"/>
        <v>#N/A</v>
      </c>
      <c r="EK61" s="244" t="e">
        <f t="shared" ca="1" si="61"/>
        <v>#N/A</v>
      </c>
      <c r="EL61" s="244" t="e">
        <f t="shared" ca="1" si="61"/>
        <v>#N/A</v>
      </c>
      <c r="EM61" s="244" t="e">
        <f t="shared" ca="1" si="61"/>
        <v>#N/A</v>
      </c>
      <c r="EN61" s="244" t="e">
        <f t="shared" ca="1" si="61"/>
        <v>#N/A</v>
      </c>
      <c r="EO61" s="244" t="e">
        <f t="shared" ca="1" si="61"/>
        <v>#N/A</v>
      </c>
      <c r="EP61" s="244" t="e">
        <f t="shared" ca="1" si="61"/>
        <v>#N/A</v>
      </c>
      <c r="EQ61" s="244" t="e">
        <f t="shared" ca="1" si="61"/>
        <v>#N/A</v>
      </c>
      <c r="ER61" s="244"/>
      <c r="EW61" s="244">
        <v>0</v>
      </c>
      <c r="EX61" s="278" t="e">
        <f ca="1">VLOOKUP(DM61,Foglio1!$AB$31:$AN$261,13)-6+EW61</f>
        <v>#N/A</v>
      </c>
      <c r="EY61" s="244"/>
      <c r="EZ61" s="244" t="e">
        <f t="shared" ca="1" si="36"/>
        <v>#N/A</v>
      </c>
      <c r="FA61" s="244" t="e">
        <f t="shared" ca="1" si="60"/>
        <v>#N/A</v>
      </c>
      <c r="FB61" s="244" t="e">
        <f t="shared" ca="1" si="60"/>
        <v>#N/A</v>
      </c>
      <c r="FC61" s="244" t="e">
        <f t="shared" ca="1" si="60"/>
        <v>#N/A</v>
      </c>
      <c r="FD61" s="244" t="e">
        <f t="shared" ca="1" si="59"/>
        <v>#N/A</v>
      </c>
      <c r="FE61" s="244" t="e">
        <f t="shared" ca="1" si="59"/>
        <v>#N/A</v>
      </c>
      <c r="FF61" s="244" t="e">
        <f t="shared" ca="1" si="59"/>
        <v>#N/A</v>
      </c>
      <c r="FG61" s="244" t="e">
        <f t="shared" ca="1" si="59"/>
        <v>#N/A</v>
      </c>
      <c r="FH61" s="244" t="e">
        <f t="shared" ca="1" si="59"/>
        <v>#N/A</v>
      </c>
      <c r="FI61" s="244" t="e">
        <f t="shared" ca="1" si="59"/>
        <v>#N/A</v>
      </c>
      <c r="FJ61" s="244" t="e">
        <f t="shared" ca="1" si="59"/>
        <v>#N/A</v>
      </c>
      <c r="FK61" s="244" t="e">
        <f t="shared" ca="1" si="59"/>
        <v>#N/A</v>
      </c>
      <c r="FL61" s="244" t="e">
        <f t="shared" ca="1" si="59"/>
        <v>#N/A</v>
      </c>
      <c r="FM61" s="244" t="e">
        <f t="shared" ca="1" si="10"/>
        <v>#N/A</v>
      </c>
      <c r="FN61" s="244"/>
    </row>
    <row r="62" spans="5:170" x14ac:dyDescent="0.25">
      <c r="E62" s="244"/>
      <c r="F62" s="244"/>
      <c r="G62" s="244"/>
      <c r="L62">
        <f t="shared" si="37"/>
        <v>62</v>
      </c>
      <c r="R62" s="112">
        <f t="shared" si="14"/>
        <v>0</v>
      </c>
      <c r="S62" s="238" t="e">
        <f t="shared" si="46"/>
        <v>#N/A</v>
      </c>
      <c r="T62" s="112" t="e">
        <f t="shared" ca="1" si="47"/>
        <v>#N/A</v>
      </c>
      <c r="U62" s="112" t="e">
        <f t="shared" ca="1" si="48"/>
        <v>#N/A</v>
      </c>
      <c r="V62" s="112" t="e">
        <f t="shared" ca="1" si="49"/>
        <v>#N/A</v>
      </c>
      <c r="W62" s="112" t="e">
        <f t="shared" ca="1" si="50"/>
        <v>#N/A</v>
      </c>
      <c r="X62" s="112">
        <f t="shared" si="15"/>
        <v>0</v>
      </c>
      <c r="Y62" s="112"/>
      <c r="Z62" s="112"/>
      <c r="AA62" s="112">
        <f t="shared" si="16"/>
        <v>100000</v>
      </c>
      <c r="AB62" s="112" t="e">
        <f t="shared" ca="1" si="17"/>
        <v>#N/A</v>
      </c>
      <c r="AC62" s="112" t="e">
        <f t="shared" ca="1" si="18"/>
        <v>#N/A</v>
      </c>
      <c r="AD62" s="112" t="e">
        <f t="shared" ca="1" si="19"/>
        <v>#N/A</v>
      </c>
      <c r="AE62" s="112" t="e">
        <f t="shared" ca="1" si="20"/>
        <v>#N/A</v>
      </c>
      <c r="AF62" s="112">
        <f t="shared" si="21"/>
        <v>100000</v>
      </c>
      <c r="AG62" s="238">
        <f>AG61</f>
        <v>28</v>
      </c>
      <c r="AH62" s="112" t="e">
        <f ca="1">AI61+1</f>
        <v>#N/A</v>
      </c>
      <c r="AI62" s="112" t="e">
        <f ca="1">IF(INDIRECT(CONCATENATE("AD",AG60))&lt;100000,INDIRECT(CONCATENATE("AD",AG60))-1,IF(INDIRECT(CONCATENATE("AE",AG60))&lt;100000,INDIRECT(CONCATENATE("AE",G60)),INDIRECT(CONCATENATE("AF",AG60))))</f>
        <v>#N/A</v>
      </c>
      <c r="AJ62" s="114"/>
      <c r="AK62" s="114"/>
      <c r="AL62" s="238" t="e">
        <f t="shared" ca="1" si="38"/>
        <v>#N/A</v>
      </c>
      <c r="AM62" s="112">
        <f t="shared" ca="1" si="58"/>
        <v>100000</v>
      </c>
      <c r="AN62" s="112">
        <f t="shared" ca="1" si="39"/>
        <v>100000</v>
      </c>
      <c r="AO62" s="114">
        <f t="shared" ca="1" si="23"/>
        <v>8</v>
      </c>
      <c r="AP62" s="114">
        <f t="shared" ca="1" si="24"/>
        <v>18</v>
      </c>
      <c r="AQ62" s="112"/>
      <c r="AR62" s="238">
        <f t="shared" si="40"/>
        <v>62</v>
      </c>
      <c r="AS62" s="112"/>
      <c r="AT62" s="112"/>
      <c r="AU62" s="283">
        <f t="shared" si="41"/>
        <v>43</v>
      </c>
      <c r="AV62" s="284">
        <f t="shared" ca="1" si="25"/>
        <v>100000</v>
      </c>
      <c r="AW62" s="284">
        <f t="shared" ca="1" si="52"/>
        <v>100000</v>
      </c>
      <c r="AX62" s="285">
        <f t="shared" ca="1" si="27"/>
        <v>0</v>
      </c>
      <c r="AY62" s="285">
        <f t="shared" ca="1" si="28"/>
        <v>18</v>
      </c>
      <c r="AZ62" s="282"/>
      <c r="BD62" s="114">
        <f t="shared" si="42"/>
        <v>1</v>
      </c>
      <c r="BE62" s="112">
        <f t="shared" si="31"/>
        <v>100000</v>
      </c>
      <c r="BH62" s="238">
        <f t="shared" si="43"/>
        <v>43</v>
      </c>
      <c r="BI62" s="245">
        <f t="shared" si="32"/>
        <v>100000</v>
      </c>
      <c r="BJ62" s="281">
        <f t="shared" ca="1" si="1"/>
        <v>16</v>
      </c>
      <c r="BK62" s="245" t="e">
        <f t="shared" ca="1" si="33"/>
        <v>#N/A</v>
      </c>
      <c r="BL62" s="245" t="e">
        <f t="shared" ca="1" si="34"/>
        <v>#N/A</v>
      </c>
      <c r="BM62" s="244"/>
      <c r="BN62" s="245" t="e">
        <f t="shared" ca="1" si="51"/>
        <v>#N/A</v>
      </c>
      <c r="BQ62" s="245"/>
      <c r="BR62" s="245"/>
      <c r="BS62" s="245"/>
      <c r="BT62" s="245"/>
      <c r="BU62" s="245"/>
      <c r="BV62" s="245"/>
      <c r="BY62" s="245"/>
      <c r="BZ62" s="245"/>
      <c r="CA62" s="245"/>
      <c r="CB62" s="245"/>
      <c r="CC62" s="245"/>
      <c r="CD62" s="245"/>
      <c r="CE62" s="245"/>
      <c r="CF62" s="245"/>
      <c r="CG62" s="245"/>
      <c r="CH62" s="245"/>
      <c r="CL62" s="112"/>
      <c r="CM62" s="112"/>
      <c r="CP62" s="112"/>
      <c r="CQ62" s="112"/>
      <c r="CR62" s="238"/>
      <c r="CS62" s="238"/>
      <c r="CT62" s="112"/>
      <c r="CU62" s="112"/>
      <c r="CV62" s="112"/>
      <c r="CW62" s="112" t="s">
        <v>224</v>
      </c>
      <c r="CX62" s="112" t="s">
        <v>225</v>
      </c>
      <c r="CY62" s="112" t="s">
        <v>226</v>
      </c>
      <c r="CZ62" s="112" t="s">
        <v>227</v>
      </c>
      <c r="DA62" s="112" t="s">
        <v>228</v>
      </c>
      <c r="DB62" s="112" t="s">
        <v>229</v>
      </c>
      <c r="DC62" s="112"/>
      <c r="DD62" s="238"/>
      <c r="DE62" s="112"/>
      <c r="DF62" s="112"/>
      <c r="DG62" s="112"/>
      <c r="DH62" s="238"/>
      <c r="DI62" s="112"/>
      <c r="DJ62" s="112"/>
      <c r="DK62" s="112"/>
      <c r="DL62" s="278" t="str">
        <f t="shared" ca="1" si="44"/>
        <v/>
      </c>
      <c r="DM62" s="245" t="str">
        <f t="shared" ca="1" si="53"/>
        <v/>
      </c>
      <c r="DN62" s="245" t="str">
        <f t="shared" ca="1" si="53"/>
        <v/>
      </c>
      <c r="DO62" s="245" t="str">
        <f t="shared" ca="1" si="53"/>
        <v/>
      </c>
      <c r="DP62" s="245" t="str">
        <f t="shared" ca="1" si="53"/>
        <v/>
      </c>
      <c r="DQ62" s="245" t="str">
        <f t="shared" ca="1" si="53"/>
        <v/>
      </c>
      <c r="DR62" s="244"/>
      <c r="DS62" s="245" t="str">
        <f t="shared" si="54"/>
        <v/>
      </c>
      <c r="DT62" s="245" t="str">
        <f t="shared" si="54"/>
        <v/>
      </c>
      <c r="DU62" s="245" t="str">
        <f t="shared" si="54"/>
        <v/>
      </c>
      <c r="DV62" s="244" t="str">
        <f t="shared" ca="1" si="7"/>
        <v/>
      </c>
      <c r="DW62" s="244"/>
      <c r="DX62" s="244" t="str">
        <f t="shared" ca="1" si="45"/>
        <v/>
      </c>
      <c r="EA62" s="244" t="b">
        <f t="shared" ca="1" si="35"/>
        <v>0</v>
      </c>
      <c r="EB62" s="278" t="e">
        <f ca="1">VLOOKUP(DM62,Foglio1!$AB$31:$AN$261,13)-6+EA62</f>
        <v>#N/A</v>
      </c>
      <c r="EC62" s="244"/>
      <c r="ED62" s="244" t="e">
        <f t="shared" ca="1" si="57"/>
        <v>#N/A</v>
      </c>
      <c r="EE62" s="244" t="e">
        <f t="shared" ca="1" si="57"/>
        <v>#N/A</v>
      </c>
      <c r="EF62" s="244" t="e">
        <f t="shared" ca="1" si="57"/>
        <v>#N/A</v>
      </c>
      <c r="EG62" s="244" t="e">
        <f t="shared" ca="1" si="57"/>
        <v>#N/A</v>
      </c>
      <c r="EH62" s="244" t="e">
        <f t="shared" ca="1" si="57"/>
        <v>#N/A</v>
      </c>
      <c r="EI62" s="244" t="e">
        <f t="shared" ca="1" si="61"/>
        <v>#N/A</v>
      </c>
      <c r="EJ62" s="244" t="e">
        <f t="shared" ca="1" si="61"/>
        <v>#N/A</v>
      </c>
      <c r="EK62" s="244" t="e">
        <f t="shared" ca="1" si="61"/>
        <v>#N/A</v>
      </c>
      <c r="EL62" s="244" t="e">
        <f t="shared" ca="1" si="61"/>
        <v>#N/A</v>
      </c>
      <c r="EM62" s="244" t="e">
        <f t="shared" ca="1" si="61"/>
        <v>#N/A</v>
      </c>
      <c r="EN62" s="244" t="e">
        <f t="shared" ca="1" si="61"/>
        <v>#N/A</v>
      </c>
      <c r="EO62" s="244" t="e">
        <f t="shared" ca="1" si="61"/>
        <v>#N/A</v>
      </c>
      <c r="EP62" s="244" t="e">
        <f t="shared" ca="1" si="61"/>
        <v>#N/A</v>
      </c>
      <c r="EQ62" s="244" t="e">
        <f t="shared" ca="1" si="61"/>
        <v>#N/A</v>
      </c>
      <c r="ER62" s="244"/>
      <c r="EW62" s="244">
        <v>0</v>
      </c>
      <c r="EX62" s="278" t="e">
        <f ca="1">VLOOKUP(DM62,Foglio1!$AB$31:$AN$261,13)-6+EW62</f>
        <v>#N/A</v>
      </c>
      <c r="EY62" s="244"/>
      <c r="EZ62" s="244" t="e">
        <f t="shared" ca="1" si="36"/>
        <v>#N/A</v>
      </c>
      <c r="FA62" s="244" t="e">
        <f t="shared" ca="1" si="60"/>
        <v>#N/A</v>
      </c>
      <c r="FB62" s="244" t="e">
        <f t="shared" ca="1" si="60"/>
        <v>#N/A</v>
      </c>
      <c r="FC62" s="244" t="e">
        <f t="shared" ca="1" si="60"/>
        <v>#N/A</v>
      </c>
      <c r="FD62" s="244" t="e">
        <f t="shared" ca="1" si="59"/>
        <v>#N/A</v>
      </c>
      <c r="FE62" s="244" t="e">
        <f t="shared" ca="1" si="59"/>
        <v>#N/A</v>
      </c>
      <c r="FF62" s="244" t="e">
        <f t="shared" ca="1" si="59"/>
        <v>#N/A</v>
      </c>
      <c r="FG62" s="244" t="e">
        <f t="shared" ca="1" si="59"/>
        <v>#N/A</v>
      </c>
      <c r="FH62" s="244" t="e">
        <f t="shared" ca="1" si="59"/>
        <v>#N/A</v>
      </c>
      <c r="FI62" s="244" t="e">
        <f t="shared" ca="1" si="59"/>
        <v>#N/A</v>
      </c>
      <c r="FJ62" s="244" t="e">
        <f t="shared" ca="1" si="59"/>
        <v>#N/A</v>
      </c>
      <c r="FK62" s="244" t="e">
        <f t="shared" ca="1" si="59"/>
        <v>#N/A</v>
      </c>
      <c r="FL62" s="244" t="e">
        <f t="shared" ca="1" si="59"/>
        <v>#N/A</v>
      </c>
      <c r="FM62" s="244" t="e">
        <f t="shared" ca="1" si="10"/>
        <v>#N/A</v>
      </c>
      <c r="FN62" s="244"/>
    </row>
    <row r="63" spans="5:170" x14ac:dyDescent="0.25">
      <c r="E63" s="244"/>
      <c r="F63" s="244"/>
      <c r="G63" s="244"/>
      <c r="L63">
        <f t="shared" si="37"/>
        <v>63</v>
      </c>
      <c r="R63" s="112">
        <f t="shared" si="14"/>
        <v>0</v>
      </c>
      <c r="S63" s="238" t="e">
        <f t="shared" si="46"/>
        <v>#N/A</v>
      </c>
      <c r="T63" s="112" t="e">
        <f t="shared" ca="1" si="47"/>
        <v>#N/A</v>
      </c>
      <c r="U63" s="112" t="e">
        <f t="shared" ca="1" si="48"/>
        <v>#N/A</v>
      </c>
      <c r="V63" s="112" t="e">
        <f t="shared" ca="1" si="49"/>
        <v>#N/A</v>
      </c>
      <c r="W63" s="112" t="e">
        <f t="shared" ca="1" si="50"/>
        <v>#N/A</v>
      </c>
      <c r="X63" s="112">
        <f t="shared" si="15"/>
        <v>0</v>
      </c>
      <c r="Y63" s="112"/>
      <c r="Z63" s="112"/>
      <c r="AA63" s="112">
        <f t="shared" si="16"/>
        <v>100000</v>
      </c>
      <c r="AB63" s="112" t="e">
        <f t="shared" ca="1" si="17"/>
        <v>#N/A</v>
      </c>
      <c r="AC63" s="112" t="e">
        <f t="shared" ca="1" si="18"/>
        <v>#N/A</v>
      </c>
      <c r="AD63" s="112" t="e">
        <f t="shared" ca="1" si="19"/>
        <v>#N/A</v>
      </c>
      <c r="AE63" s="112" t="e">
        <f t="shared" ca="1" si="20"/>
        <v>#N/A</v>
      </c>
      <c r="AF63" s="112">
        <f t="shared" si="21"/>
        <v>100000</v>
      </c>
      <c r="AG63" s="238">
        <f>AG62</f>
        <v>28</v>
      </c>
      <c r="AH63" s="112" t="e">
        <f ca="1">AI62+1</f>
        <v>#N/A</v>
      </c>
      <c r="AI63" s="112" t="e">
        <f ca="1">IF(INDIRECT(CONCATENATE("AE",AG60))&lt;100000,INDIRECT(CONCATENATE("AE",G60)),INDIRECT(CONCATENATE("AF",AG60)))</f>
        <v>#N/A</v>
      </c>
      <c r="AJ63" s="114"/>
      <c r="AK63" s="114"/>
      <c r="AL63" s="238" t="e">
        <f t="shared" ca="1" si="38"/>
        <v>#N/A</v>
      </c>
      <c r="AM63" s="112">
        <f t="shared" ca="1" si="58"/>
        <v>100000</v>
      </c>
      <c r="AN63" s="112">
        <f t="shared" ca="1" si="39"/>
        <v>100000</v>
      </c>
      <c r="AO63" s="114">
        <f t="shared" ca="1" si="23"/>
        <v>8</v>
      </c>
      <c r="AP63" s="114">
        <f t="shared" ca="1" si="24"/>
        <v>18</v>
      </c>
      <c r="AQ63" s="112"/>
      <c r="AR63" s="238">
        <f t="shared" si="40"/>
        <v>63</v>
      </c>
      <c r="AS63" s="112"/>
      <c r="AT63" s="112"/>
      <c r="AU63" s="283">
        <f t="shared" si="41"/>
        <v>44</v>
      </c>
      <c r="AV63" s="284">
        <f t="shared" ca="1" si="25"/>
        <v>100000</v>
      </c>
      <c r="AW63" s="284">
        <f t="shared" ca="1" si="52"/>
        <v>100000</v>
      </c>
      <c r="AX63" s="285">
        <f t="shared" ca="1" si="27"/>
        <v>0</v>
      </c>
      <c r="AY63" s="285">
        <f t="shared" ca="1" si="28"/>
        <v>18</v>
      </c>
      <c r="AZ63" s="282"/>
      <c r="BD63" s="114">
        <f t="shared" si="42"/>
        <v>1</v>
      </c>
      <c r="BE63" s="112">
        <f t="shared" si="31"/>
        <v>100000</v>
      </c>
      <c r="BH63" s="238">
        <f t="shared" si="43"/>
        <v>44</v>
      </c>
      <c r="BI63" s="245">
        <f t="shared" si="32"/>
        <v>100000</v>
      </c>
      <c r="BJ63" s="281">
        <f t="shared" ca="1" si="1"/>
        <v>16</v>
      </c>
      <c r="BK63" s="245" t="e">
        <f t="shared" ca="1" si="33"/>
        <v>#N/A</v>
      </c>
      <c r="BL63" s="245" t="e">
        <f t="shared" ca="1" si="34"/>
        <v>#N/A</v>
      </c>
      <c r="BM63" s="244"/>
      <c r="BN63" s="245" t="e">
        <f t="shared" ca="1" si="51"/>
        <v>#N/A</v>
      </c>
      <c r="BQ63" s="245"/>
      <c r="BR63" s="245"/>
      <c r="BS63" s="245"/>
      <c r="BT63" s="245"/>
      <c r="BU63" s="245"/>
      <c r="BV63" s="245"/>
      <c r="BY63" s="245"/>
      <c r="BZ63" s="245"/>
      <c r="CA63" s="245"/>
      <c r="CB63" s="245"/>
      <c r="CC63" s="245"/>
      <c r="CD63" s="245"/>
      <c r="CE63" s="245"/>
      <c r="CF63" s="245"/>
      <c r="CG63" s="245"/>
      <c r="CH63" s="245"/>
      <c r="CL63" s="112"/>
      <c r="CM63" s="112"/>
      <c r="CP63" s="112"/>
      <c r="CQ63" s="112"/>
      <c r="CR63" s="238"/>
      <c r="CS63" s="238"/>
      <c r="CT63" s="112"/>
      <c r="CU63" s="112"/>
      <c r="CV63" s="112"/>
      <c r="CW63" s="112" t="s">
        <v>224</v>
      </c>
      <c r="CX63" s="112" t="s">
        <v>225</v>
      </c>
      <c r="CY63" s="112" t="s">
        <v>226</v>
      </c>
      <c r="CZ63" s="112" t="s">
        <v>227</v>
      </c>
      <c r="DA63" s="112" t="s">
        <v>228</v>
      </c>
      <c r="DB63" s="112" t="s">
        <v>229</v>
      </c>
      <c r="DC63" s="112"/>
      <c r="DD63" s="238"/>
      <c r="DE63" s="112"/>
      <c r="DF63" s="112"/>
      <c r="DG63" s="112"/>
      <c r="DH63" s="238"/>
      <c r="DI63" s="112"/>
      <c r="DJ63" s="112"/>
      <c r="DK63" s="112"/>
      <c r="DL63" s="278" t="str">
        <f t="shared" ca="1" si="44"/>
        <v/>
      </c>
      <c r="DM63" s="245" t="str">
        <f t="shared" ca="1" si="53"/>
        <v/>
      </c>
      <c r="DN63" s="245" t="str">
        <f t="shared" ca="1" si="53"/>
        <v/>
      </c>
      <c r="DO63" s="245" t="str">
        <f t="shared" ca="1" si="53"/>
        <v/>
      </c>
      <c r="DP63" s="245" t="str">
        <f t="shared" ca="1" si="53"/>
        <v/>
      </c>
      <c r="DQ63" s="245" t="str">
        <f t="shared" ca="1" si="53"/>
        <v/>
      </c>
      <c r="DR63" s="244"/>
      <c r="DS63" s="245" t="str">
        <f t="shared" si="54"/>
        <v/>
      </c>
      <c r="DT63" s="245" t="str">
        <f t="shared" si="54"/>
        <v/>
      </c>
      <c r="DU63" s="245" t="str">
        <f t="shared" si="54"/>
        <v/>
      </c>
      <c r="DV63" s="244" t="str">
        <f t="shared" ca="1" si="7"/>
        <v/>
      </c>
      <c r="DW63" s="244"/>
      <c r="DX63" s="244" t="str">
        <f t="shared" ca="1" si="45"/>
        <v/>
      </c>
      <c r="EA63" s="244" t="b">
        <f t="shared" ca="1" si="35"/>
        <v>0</v>
      </c>
      <c r="EB63" s="278" t="e">
        <f ca="1">VLOOKUP(DM63,Foglio1!$AB$31:$AN$261,13)-6+EA63</f>
        <v>#N/A</v>
      </c>
      <c r="EC63" s="244"/>
      <c r="ED63" s="244" t="e">
        <f t="shared" ca="1" si="57"/>
        <v>#N/A</v>
      </c>
      <c r="EE63" s="244" t="e">
        <f t="shared" ca="1" si="57"/>
        <v>#N/A</v>
      </c>
      <c r="EF63" s="244" t="e">
        <f t="shared" ca="1" si="57"/>
        <v>#N/A</v>
      </c>
      <c r="EG63" s="244" t="e">
        <f t="shared" ca="1" si="57"/>
        <v>#N/A</v>
      </c>
      <c r="EH63" s="244" t="e">
        <f t="shared" ca="1" si="57"/>
        <v>#N/A</v>
      </c>
      <c r="EI63" s="244" t="e">
        <f t="shared" ca="1" si="61"/>
        <v>#N/A</v>
      </c>
      <c r="EJ63" s="244" t="e">
        <f t="shared" ca="1" si="61"/>
        <v>#N/A</v>
      </c>
      <c r="EK63" s="244" t="e">
        <f t="shared" ca="1" si="61"/>
        <v>#N/A</v>
      </c>
      <c r="EL63" s="244" t="e">
        <f t="shared" ca="1" si="61"/>
        <v>#N/A</v>
      </c>
      <c r="EM63" s="244" t="e">
        <f t="shared" ca="1" si="61"/>
        <v>#N/A</v>
      </c>
      <c r="EN63" s="244" t="e">
        <f t="shared" ca="1" si="61"/>
        <v>#N/A</v>
      </c>
      <c r="EO63" s="244" t="e">
        <f t="shared" ca="1" si="61"/>
        <v>#N/A</v>
      </c>
      <c r="EP63" s="244" t="e">
        <f t="shared" ca="1" si="61"/>
        <v>#N/A</v>
      </c>
      <c r="EQ63" s="244" t="e">
        <f t="shared" ca="1" si="61"/>
        <v>#N/A</v>
      </c>
      <c r="ER63" s="244"/>
      <c r="EW63" s="244">
        <v>0</v>
      </c>
      <c r="EX63" s="278" t="e">
        <f ca="1">VLOOKUP(DM63,Foglio1!$AB$31:$AN$261,13)-6+EW63</f>
        <v>#N/A</v>
      </c>
      <c r="EY63" s="244"/>
      <c r="EZ63" s="244" t="e">
        <f t="shared" ca="1" si="36"/>
        <v>#N/A</v>
      </c>
      <c r="FA63" s="244" t="e">
        <f t="shared" ca="1" si="60"/>
        <v>#N/A</v>
      </c>
      <c r="FB63" s="244" t="e">
        <f t="shared" ca="1" si="60"/>
        <v>#N/A</v>
      </c>
      <c r="FC63" s="244" t="e">
        <f t="shared" ca="1" si="60"/>
        <v>#N/A</v>
      </c>
      <c r="FD63" s="244" t="e">
        <f t="shared" ca="1" si="59"/>
        <v>#N/A</v>
      </c>
      <c r="FE63" s="244" t="e">
        <f t="shared" ca="1" si="59"/>
        <v>#N/A</v>
      </c>
      <c r="FF63" s="244" t="e">
        <f t="shared" ca="1" si="59"/>
        <v>#N/A</v>
      </c>
      <c r="FG63" s="244" t="e">
        <f t="shared" ca="1" si="59"/>
        <v>#N/A</v>
      </c>
      <c r="FH63" s="244" t="e">
        <f t="shared" ca="1" si="59"/>
        <v>#N/A</v>
      </c>
      <c r="FI63" s="244" t="e">
        <f t="shared" ca="1" si="59"/>
        <v>#N/A</v>
      </c>
      <c r="FJ63" s="244" t="e">
        <f t="shared" ca="1" si="59"/>
        <v>#N/A</v>
      </c>
      <c r="FK63" s="244" t="e">
        <f t="shared" ca="1" si="59"/>
        <v>#N/A</v>
      </c>
      <c r="FL63" s="244" t="e">
        <f t="shared" ca="1" si="59"/>
        <v>#N/A</v>
      </c>
      <c r="FM63" s="244" t="e">
        <f t="shared" ca="1" si="10"/>
        <v>#N/A</v>
      </c>
      <c r="FN63" s="244"/>
    </row>
    <row r="64" spans="5:170" x14ac:dyDescent="0.25">
      <c r="E64" s="244"/>
      <c r="F64" s="244"/>
      <c r="G64" s="244"/>
      <c r="L64">
        <f t="shared" si="37"/>
        <v>64</v>
      </c>
      <c r="R64" s="112">
        <f t="shared" si="14"/>
        <v>0</v>
      </c>
      <c r="S64" s="238" t="e">
        <f t="shared" si="46"/>
        <v>#N/A</v>
      </c>
      <c r="T64" s="112" t="e">
        <f t="shared" ca="1" si="47"/>
        <v>#N/A</v>
      </c>
      <c r="U64" s="112" t="e">
        <f t="shared" ca="1" si="48"/>
        <v>#N/A</v>
      </c>
      <c r="V64" s="112" t="e">
        <f t="shared" ca="1" si="49"/>
        <v>#N/A</v>
      </c>
      <c r="W64" s="112" t="e">
        <f t="shared" ca="1" si="50"/>
        <v>#N/A</v>
      </c>
      <c r="X64" s="112">
        <f t="shared" si="15"/>
        <v>0</v>
      </c>
      <c r="Y64" s="112"/>
      <c r="Z64" s="112"/>
      <c r="AA64" s="112">
        <f t="shared" si="16"/>
        <v>100000</v>
      </c>
      <c r="AB64" s="112" t="e">
        <f t="shared" ca="1" si="17"/>
        <v>#N/A</v>
      </c>
      <c r="AC64" s="112" t="e">
        <f t="shared" ca="1" si="18"/>
        <v>#N/A</v>
      </c>
      <c r="AD64" s="112" t="e">
        <f t="shared" ca="1" si="19"/>
        <v>#N/A</v>
      </c>
      <c r="AE64" s="112" t="e">
        <f t="shared" ca="1" si="20"/>
        <v>#N/A</v>
      </c>
      <c r="AF64" s="112">
        <f t="shared" si="21"/>
        <v>100000</v>
      </c>
      <c r="AG64" s="238">
        <f>AG63</f>
        <v>28</v>
      </c>
      <c r="AH64" s="112" t="e">
        <f ca="1">AI63+1</f>
        <v>#N/A</v>
      </c>
      <c r="AI64" s="112">
        <f ca="1">INDIRECT(CONCATENATE("AF",AG60))</f>
        <v>100000</v>
      </c>
      <c r="AJ64" s="114"/>
      <c r="AK64" s="114"/>
      <c r="AL64" s="238" t="e">
        <f t="shared" ca="1" si="38"/>
        <v>#N/A</v>
      </c>
      <c r="AM64" s="112">
        <f t="shared" ca="1" si="58"/>
        <v>100000</v>
      </c>
      <c r="AN64" s="112">
        <f t="shared" ca="1" si="39"/>
        <v>100000</v>
      </c>
      <c r="AO64" s="114">
        <f t="shared" ca="1" si="23"/>
        <v>8</v>
      </c>
      <c r="AP64" s="114">
        <f t="shared" ca="1" si="24"/>
        <v>18</v>
      </c>
      <c r="AQ64" s="112"/>
      <c r="AR64" s="238">
        <f t="shared" si="40"/>
        <v>64</v>
      </c>
      <c r="AS64" s="112"/>
      <c r="AT64" s="112"/>
      <c r="AU64" s="283">
        <f t="shared" si="41"/>
        <v>45</v>
      </c>
      <c r="AV64" s="284">
        <f t="shared" ca="1" si="25"/>
        <v>100000</v>
      </c>
      <c r="AW64" s="284">
        <f t="shared" ca="1" si="52"/>
        <v>100000</v>
      </c>
      <c r="AX64" s="285">
        <f t="shared" ca="1" si="27"/>
        <v>0</v>
      </c>
      <c r="AY64" s="285">
        <f t="shared" ca="1" si="28"/>
        <v>18</v>
      </c>
      <c r="AZ64" s="282"/>
      <c r="BD64" s="114">
        <f t="shared" si="42"/>
        <v>1</v>
      </c>
      <c r="BE64" s="112">
        <f t="shared" si="31"/>
        <v>100000</v>
      </c>
      <c r="BH64" s="238">
        <f t="shared" si="43"/>
        <v>45</v>
      </c>
      <c r="BI64" s="245">
        <f t="shared" si="32"/>
        <v>100000</v>
      </c>
      <c r="BJ64" s="281">
        <f t="shared" ca="1" si="1"/>
        <v>16</v>
      </c>
      <c r="BK64" s="245" t="e">
        <f t="shared" ca="1" si="33"/>
        <v>#N/A</v>
      </c>
      <c r="BL64" s="245" t="e">
        <f t="shared" ca="1" si="34"/>
        <v>#N/A</v>
      </c>
      <c r="BM64" s="244"/>
      <c r="BN64" s="245" t="e">
        <f t="shared" ca="1" si="51"/>
        <v>#N/A</v>
      </c>
      <c r="BQ64" s="245"/>
      <c r="BR64" s="245"/>
      <c r="BS64" s="245"/>
      <c r="BT64" s="245"/>
      <c r="BU64" s="245"/>
      <c r="BV64" s="245"/>
      <c r="BY64" s="245"/>
      <c r="BZ64" s="245"/>
      <c r="CA64" s="245"/>
      <c r="CB64" s="245"/>
      <c r="CC64" s="245"/>
      <c r="CD64" s="245"/>
      <c r="CE64" s="245"/>
      <c r="CF64" s="245"/>
      <c r="CG64" s="245"/>
      <c r="CH64" s="245"/>
      <c r="CL64" s="112"/>
      <c r="CM64" s="112"/>
      <c r="CP64" s="112"/>
      <c r="CQ64" s="112"/>
      <c r="CR64" s="238"/>
      <c r="CS64" s="238"/>
      <c r="CT64" s="112"/>
      <c r="CU64" s="112"/>
      <c r="CV64" s="112"/>
      <c r="CW64" s="112" t="s">
        <v>224</v>
      </c>
      <c r="CX64" s="112" t="s">
        <v>225</v>
      </c>
      <c r="CY64" s="112" t="s">
        <v>226</v>
      </c>
      <c r="CZ64" s="112" t="s">
        <v>227</v>
      </c>
      <c r="DA64" s="112" t="s">
        <v>228</v>
      </c>
      <c r="DB64" s="112" t="s">
        <v>229</v>
      </c>
      <c r="DC64" s="112"/>
      <c r="DD64" s="238"/>
      <c r="DE64" s="112"/>
      <c r="DF64" s="112"/>
      <c r="DG64" s="112"/>
      <c r="DH64" s="238"/>
      <c r="DI64" s="112"/>
      <c r="DJ64" s="112"/>
      <c r="DK64" s="112"/>
      <c r="DL64" s="278" t="str">
        <f t="shared" ca="1" si="44"/>
        <v/>
      </c>
      <c r="DM64" s="245" t="str">
        <f t="shared" ca="1" si="53"/>
        <v/>
      </c>
      <c r="DN64" s="245" t="str">
        <f t="shared" ca="1" si="53"/>
        <v/>
      </c>
      <c r="DO64" s="245" t="str">
        <f t="shared" ca="1" si="53"/>
        <v/>
      </c>
      <c r="DP64" s="245" t="str">
        <f t="shared" ca="1" si="53"/>
        <v/>
      </c>
      <c r="DQ64" s="245" t="str">
        <f t="shared" ca="1" si="53"/>
        <v/>
      </c>
      <c r="DR64" s="244"/>
      <c r="DS64" s="245" t="str">
        <f t="shared" si="54"/>
        <v/>
      </c>
      <c r="DT64" s="245" t="str">
        <f t="shared" si="54"/>
        <v/>
      </c>
      <c r="DU64" s="245" t="str">
        <f t="shared" si="54"/>
        <v/>
      </c>
      <c r="DV64" s="244" t="str">
        <f t="shared" ca="1" si="7"/>
        <v/>
      </c>
      <c r="DW64" s="244"/>
      <c r="DX64" s="244" t="str">
        <f t="shared" ca="1" si="45"/>
        <v/>
      </c>
      <c r="EA64" s="244" t="b">
        <f t="shared" ca="1" si="35"/>
        <v>0</v>
      </c>
      <c r="EB64" s="278" t="e">
        <f ca="1">VLOOKUP(DM64,Foglio1!$AB$31:$AN$261,13)-6+EA64</f>
        <v>#N/A</v>
      </c>
      <c r="EC64" s="244"/>
      <c r="ED64" s="244" t="e">
        <f t="shared" ca="1" si="57"/>
        <v>#N/A</v>
      </c>
      <c r="EE64" s="244" t="e">
        <f t="shared" ca="1" si="57"/>
        <v>#N/A</v>
      </c>
      <c r="EF64" s="244" t="e">
        <f t="shared" ca="1" si="57"/>
        <v>#N/A</v>
      </c>
      <c r="EG64" s="244" t="e">
        <f t="shared" ca="1" si="57"/>
        <v>#N/A</v>
      </c>
      <c r="EH64" s="244" t="e">
        <f t="shared" ca="1" si="57"/>
        <v>#N/A</v>
      </c>
      <c r="EI64" s="244" t="e">
        <f t="shared" ca="1" si="61"/>
        <v>#N/A</v>
      </c>
      <c r="EJ64" s="244" t="e">
        <f t="shared" ca="1" si="61"/>
        <v>#N/A</v>
      </c>
      <c r="EK64" s="244" t="e">
        <f t="shared" ca="1" si="61"/>
        <v>#N/A</v>
      </c>
      <c r="EL64" s="244" t="e">
        <f t="shared" ca="1" si="61"/>
        <v>#N/A</v>
      </c>
      <c r="EM64" s="244" t="e">
        <f t="shared" ca="1" si="61"/>
        <v>#N/A</v>
      </c>
      <c r="EN64" s="244" t="e">
        <f t="shared" ca="1" si="61"/>
        <v>#N/A</v>
      </c>
      <c r="EO64" s="244" t="e">
        <f t="shared" ca="1" si="61"/>
        <v>#N/A</v>
      </c>
      <c r="EP64" s="244" t="e">
        <f t="shared" ca="1" si="61"/>
        <v>#N/A</v>
      </c>
      <c r="EQ64" s="244" t="e">
        <f t="shared" ca="1" si="61"/>
        <v>#N/A</v>
      </c>
      <c r="ER64" s="244"/>
      <c r="EW64" s="244">
        <v>0</v>
      </c>
      <c r="EX64" s="278" t="e">
        <f ca="1">VLOOKUP(DM64,Foglio1!$AB$31:$AN$261,13)-6+EW64</f>
        <v>#N/A</v>
      </c>
      <c r="EY64" s="244"/>
      <c r="EZ64" s="244" t="e">
        <f t="shared" ca="1" si="36"/>
        <v>#N/A</v>
      </c>
      <c r="FA64" s="244" t="e">
        <f t="shared" ca="1" si="60"/>
        <v>#N/A</v>
      </c>
      <c r="FB64" s="244" t="e">
        <f t="shared" ca="1" si="60"/>
        <v>#N/A</v>
      </c>
      <c r="FC64" s="244" t="e">
        <f t="shared" ca="1" si="60"/>
        <v>#N/A</v>
      </c>
      <c r="FD64" s="244" t="e">
        <f t="shared" ca="1" si="59"/>
        <v>#N/A</v>
      </c>
      <c r="FE64" s="244" t="e">
        <f t="shared" ca="1" si="59"/>
        <v>#N/A</v>
      </c>
      <c r="FF64" s="244" t="e">
        <f t="shared" ca="1" si="59"/>
        <v>#N/A</v>
      </c>
      <c r="FG64" s="244" t="e">
        <f t="shared" ca="1" si="59"/>
        <v>#N/A</v>
      </c>
      <c r="FH64" s="244" t="e">
        <f t="shared" ca="1" si="59"/>
        <v>#N/A</v>
      </c>
      <c r="FI64" s="244" t="e">
        <f t="shared" ca="1" si="59"/>
        <v>#N/A</v>
      </c>
      <c r="FJ64" s="244" t="e">
        <f t="shared" ca="1" si="59"/>
        <v>#N/A</v>
      </c>
      <c r="FK64" s="244" t="e">
        <f t="shared" ca="1" si="59"/>
        <v>#N/A</v>
      </c>
      <c r="FL64" s="244" t="e">
        <f t="shared" ca="1" si="59"/>
        <v>#N/A</v>
      </c>
      <c r="FM64" s="244" t="e">
        <f t="shared" ca="1" si="10"/>
        <v>#N/A</v>
      </c>
      <c r="FN64" s="244"/>
    </row>
    <row r="65" spans="5:170" x14ac:dyDescent="0.25">
      <c r="E65" s="244"/>
      <c r="F65" s="244"/>
      <c r="G65" s="244"/>
      <c r="L65">
        <f t="shared" si="37"/>
        <v>65</v>
      </c>
      <c r="R65" s="112">
        <f t="shared" si="14"/>
        <v>0</v>
      </c>
      <c r="S65" s="238" t="e">
        <f t="shared" si="46"/>
        <v>#N/A</v>
      </c>
      <c r="T65" s="112" t="e">
        <f t="shared" ca="1" si="47"/>
        <v>#N/A</v>
      </c>
      <c r="U65" s="112" t="e">
        <f t="shared" ca="1" si="48"/>
        <v>#N/A</v>
      </c>
      <c r="V65" s="112" t="e">
        <f t="shared" ca="1" si="49"/>
        <v>#N/A</v>
      </c>
      <c r="W65" s="112" t="e">
        <f t="shared" ca="1" si="50"/>
        <v>#N/A</v>
      </c>
      <c r="X65" s="112">
        <f t="shared" si="15"/>
        <v>0</v>
      </c>
      <c r="Y65" s="112"/>
      <c r="Z65" s="112"/>
      <c r="AA65" s="112">
        <f t="shared" si="16"/>
        <v>100000</v>
      </c>
      <c r="AB65" s="112" t="e">
        <f t="shared" ca="1" si="17"/>
        <v>#N/A</v>
      </c>
      <c r="AC65" s="112" t="e">
        <f t="shared" ca="1" si="18"/>
        <v>#N/A</v>
      </c>
      <c r="AD65" s="112" t="e">
        <f t="shared" ca="1" si="19"/>
        <v>#N/A</v>
      </c>
      <c r="AE65" s="112" t="e">
        <f t="shared" ca="1" si="20"/>
        <v>#N/A</v>
      </c>
      <c r="AF65" s="112">
        <f t="shared" si="21"/>
        <v>100000</v>
      </c>
      <c r="AG65" s="238">
        <f>AG64+1</f>
        <v>29</v>
      </c>
      <c r="AH65" s="112">
        <f ca="1">INDIRECT(CONCATENATE("AA",AG65))</f>
        <v>100000</v>
      </c>
      <c r="AI65" s="112" t="e">
        <f ca="1">IF(            INDIRECT(CONCATENATE( "AB",AG65))&lt;100000,       INDIRECT(CONCATENATE("AB",AG65))  -1,IF(   INDIRECT(CONCATENATE("AC",AG65))&lt;100000,   INDIRECT(CONCATENATE("AC",AG65))-1,IF(   INDIRECT(CONCATENATE("AD", AG65))&lt;100000, INDIRECT(CONCATENATE("AD",AG65))-1,IF(   INDIRECT(CONCATENATE("AE",AG65))&lt;100000,  INDIRECT(CONCATENATE("AE",G65)),INDIRECT(CONCATENATE("AF",AG65))                ))))</f>
        <v>#N/A</v>
      </c>
      <c r="AJ65" s="114"/>
      <c r="AK65" s="114"/>
      <c r="AL65" s="238" t="e">
        <f t="shared" ca="1" si="38"/>
        <v>#N/A</v>
      </c>
      <c r="AM65" s="112">
        <f t="shared" ca="1" si="58"/>
        <v>100000</v>
      </c>
      <c r="AN65" s="112">
        <f t="shared" ca="1" si="39"/>
        <v>100000</v>
      </c>
      <c r="AO65" s="114">
        <f t="shared" ca="1" si="23"/>
        <v>18</v>
      </c>
      <c r="AP65" s="114">
        <f t="shared" ca="1" si="24"/>
        <v>18</v>
      </c>
      <c r="AQ65" s="112"/>
      <c r="AR65" s="238">
        <f t="shared" si="40"/>
        <v>65</v>
      </c>
      <c r="AS65" s="112"/>
      <c r="AT65" s="112"/>
      <c r="AU65" s="283">
        <f t="shared" si="41"/>
        <v>46</v>
      </c>
      <c r="AV65" s="284">
        <f t="shared" ca="1" si="25"/>
        <v>100000</v>
      </c>
      <c r="AW65" s="284">
        <f t="shared" ca="1" si="52"/>
        <v>100000</v>
      </c>
      <c r="AX65" s="285">
        <f t="shared" ca="1" si="27"/>
        <v>0</v>
      </c>
      <c r="AY65" s="285">
        <f t="shared" ca="1" si="28"/>
        <v>18</v>
      </c>
      <c r="AZ65" s="282"/>
      <c r="BD65" s="114">
        <f t="shared" si="42"/>
        <v>1</v>
      </c>
      <c r="BE65" s="112">
        <f t="shared" si="31"/>
        <v>100000</v>
      </c>
      <c r="BH65" s="238">
        <f t="shared" si="43"/>
        <v>46</v>
      </c>
      <c r="BI65" s="245">
        <f t="shared" si="32"/>
        <v>100000</v>
      </c>
      <c r="BJ65" s="281">
        <f t="shared" ca="1" si="1"/>
        <v>16</v>
      </c>
      <c r="BK65" s="245" t="e">
        <f t="shared" ca="1" si="33"/>
        <v>#N/A</v>
      </c>
      <c r="BL65" s="245" t="e">
        <f t="shared" ca="1" si="34"/>
        <v>#N/A</v>
      </c>
      <c r="BM65" s="244"/>
      <c r="BN65" s="245" t="e">
        <f t="shared" ca="1" si="51"/>
        <v>#N/A</v>
      </c>
      <c r="BQ65" s="245"/>
      <c r="BR65" s="245"/>
      <c r="BS65" s="245"/>
      <c r="BT65" s="245"/>
      <c r="BU65" s="245"/>
      <c r="BV65" s="245"/>
      <c r="BY65" s="245"/>
      <c r="BZ65" s="245"/>
      <c r="CA65" s="245"/>
      <c r="CB65" s="245"/>
      <c r="CC65" s="245"/>
      <c r="CD65" s="245"/>
      <c r="CE65" s="245"/>
      <c r="CF65" s="245"/>
      <c r="CG65" s="245"/>
      <c r="CH65" s="245"/>
      <c r="CL65" s="112"/>
      <c r="CM65" s="112"/>
      <c r="CP65" s="112"/>
      <c r="CQ65" s="112"/>
      <c r="CR65" s="238"/>
      <c r="CS65" s="238"/>
      <c r="CT65" s="112"/>
      <c r="CU65" s="112"/>
      <c r="CV65" s="112"/>
      <c r="CW65" s="112" t="s">
        <v>224</v>
      </c>
      <c r="CX65" s="112" t="s">
        <v>225</v>
      </c>
      <c r="CY65" s="112" t="s">
        <v>226</v>
      </c>
      <c r="CZ65" s="112" t="s">
        <v>227</v>
      </c>
      <c r="DA65" s="112" t="s">
        <v>228</v>
      </c>
      <c r="DB65" s="112" t="s">
        <v>229</v>
      </c>
      <c r="DC65" s="112"/>
      <c r="DD65" s="238"/>
      <c r="DE65" s="112"/>
      <c r="DF65" s="112"/>
      <c r="DG65" s="112"/>
      <c r="DH65" s="238"/>
      <c r="DI65" s="112"/>
      <c r="DJ65" s="112"/>
      <c r="DK65" s="112"/>
      <c r="DL65" s="278" t="str">
        <f t="shared" ca="1" si="44"/>
        <v/>
      </c>
      <c r="DM65" s="245" t="str">
        <f t="shared" ca="1" si="53"/>
        <v/>
      </c>
      <c r="DN65" s="245" t="str">
        <f t="shared" ca="1" si="53"/>
        <v/>
      </c>
      <c r="DO65" s="245" t="str">
        <f t="shared" ca="1" si="53"/>
        <v/>
      </c>
      <c r="DP65" s="245" t="str">
        <f t="shared" ca="1" si="53"/>
        <v/>
      </c>
      <c r="DQ65" s="245" t="str">
        <f t="shared" ca="1" si="53"/>
        <v/>
      </c>
      <c r="DR65" s="244"/>
      <c r="DS65" s="245" t="str">
        <f t="shared" si="54"/>
        <v/>
      </c>
      <c r="DT65" s="245" t="str">
        <f t="shared" si="54"/>
        <v/>
      </c>
      <c r="DU65" s="245" t="str">
        <f t="shared" si="54"/>
        <v/>
      </c>
      <c r="DV65" s="244" t="str">
        <f t="shared" ca="1" si="7"/>
        <v/>
      </c>
      <c r="DW65" s="244"/>
      <c r="DX65" s="244" t="str">
        <f t="shared" ca="1" si="45"/>
        <v/>
      </c>
      <c r="EA65" s="244" t="b">
        <f t="shared" ca="1" si="35"/>
        <v>0</v>
      </c>
      <c r="EB65" s="278" t="e">
        <f ca="1">VLOOKUP(DM65,Foglio1!$AB$31:$AN$261,13)-6+EA65</f>
        <v>#N/A</v>
      </c>
      <c r="EC65" s="244"/>
      <c r="ED65" s="244" t="e">
        <f t="shared" ca="1" si="57"/>
        <v>#N/A</v>
      </c>
      <c r="EE65" s="244" t="e">
        <f t="shared" ca="1" si="57"/>
        <v>#N/A</v>
      </c>
      <c r="EF65" s="244" t="e">
        <f t="shared" ca="1" si="57"/>
        <v>#N/A</v>
      </c>
      <c r="EG65" s="244" t="e">
        <f t="shared" ca="1" si="57"/>
        <v>#N/A</v>
      </c>
      <c r="EH65" s="244" t="e">
        <f t="shared" ca="1" si="57"/>
        <v>#N/A</v>
      </c>
      <c r="EI65" s="244" t="e">
        <f t="shared" ca="1" si="61"/>
        <v>#N/A</v>
      </c>
      <c r="EJ65" s="244" t="e">
        <f t="shared" ca="1" si="61"/>
        <v>#N/A</v>
      </c>
      <c r="EK65" s="244" t="e">
        <f t="shared" ca="1" si="61"/>
        <v>#N/A</v>
      </c>
      <c r="EL65" s="244" t="e">
        <f t="shared" ca="1" si="61"/>
        <v>#N/A</v>
      </c>
      <c r="EM65" s="244" t="e">
        <f t="shared" ca="1" si="61"/>
        <v>#N/A</v>
      </c>
      <c r="EN65" s="244" t="e">
        <f t="shared" ca="1" si="61"/>
        <v>#N/A</v>
      </c>
      <c r="EO65" s="244" t="e">
        <f t="shared" ca="1" si="61"/>
        <v>#N/A</v>
      </c>
      <c r="EP65" s="244" t="e">
        <f t="shared" ca="1" si="61"/>
        <v>#N/A</v>
      </c>
      <c r="EQ65" s="244" t="e">
        <f t="shared" ca="1" si="61"/>
        <v>#N/A</v>
      </c>
      <c r="ER65" s="244"/>
      <c r="EW65" s="244">
        <v>0</v>
      </c>
      <c r="EX65" s="278" t="e">
        <f ca="1">VLOOKUP(DM65,Foglio1!$AB$31:$AN$261,13)-6+EW65</f>
        <v>#N/A</v>
      </c>
      <c r="EY65" s="244"/>
      <c r="EZ65" s="244" t="e">
        <f t="shared" ca="1" si="36"/>
        <v>#N/A</v>
      </c>
      <c r="FA65" s="244" t="e">
        <f t="shared" ca="1" si="60"/>
        <v>#N/A</v>
      </c>
      <c r="FB65" s="244" t="e">
        <f t="shared" ca="1" si="60"/>
        <v>#N/A</v>
      </c>
      <c r="FC65" s="244" t="e">
        <f t="shared" ca="1" si="60"/>
        <v>#N/A</v>
      </c>
      <c r="FD65" s="244" t="e">
        <f t="shared" ca="1" si="59"/>
        <v>#N/A</v>
      </c>
      <c r="FE65" s="244" t="e">
        <f t="shared" ca="1" si="59"/>
        <v>#N/A</v>
      </c>
      <c r="FF65" s="244" t="e">
        <f t="shared" ca="1" si="59"/>
        <v>#N/A</v>
      </c>
      <c r="FG65" s="244" t="e">
        <f t="shared" ca="1" si="59"/>
        <v>#N/A</v>
      </c>
      <c r="FH65" s="244" t="e">
        <f t="shared" ca="1" si="59"/>
        <v>#N/A</v>
      </c>
      <c r="FI65" s="244" t="e">
        <f t="shared" ca="1" si="59"/>
        <v>#N/A</v>
      </c>
      <c r="FJ65" s="244" t="e">
        <f t="shared" ca="1" si="59"/>
        <v>#N/A</v>
      </c>
      <c r="FK65" s="244" t="e">
        <f t="shared" ca="1" si="59"/>
        <v>#N/A</v>
      </c>
      <c r="FL65" s="244" t="e">
        <f t="shared" ca="1" si="59"/>
        <v>#N/A</v>
      </c>
      <c r="FM65" s="244" t="e">
        <f t="shared" ca="1" si="10"/>
        <v>#N/A</v>
      </c>
      <c r="FN65" s="244"/>
    </row>
    <row r="66" spans="5:170" x14ac:dyDescent="0.25">
      <c r="E66" s="244"/>
      <c r="F66" s="244"/>
      <c r="G66" s="244"/>
      <c r="L66">
        <f t="shared" si="37"/>
        <v>66</v>
      </c>
      <c r="R66" s="112">
        <f t="shared" si="14"/>
        <v>0</v>
      </c>
      <c r="S66" s="238" t="e">
        <f t="shared" si="46"/>
        <v>#N/A</v>
      </c>
      <c r="T66" s="112" t="e">
        <f t="shared" ca="1" si="47"/>
        <v>#N/A</v>
      </c>
      <c r="U66" s="112" t="e">
        <f t="shared" ca="1" si="48"/>
        <v>#N/A</v>
      </c>
      <c r="V66" s="112" t="e">
        <f t="shared" ca="1" si="49"/>
        <v>#N/A</v>
      </c>
      <c r="W66" s="112" t="e">
        <f t="shared" ca="1" si="50"/>
        <v>#N/A</v>
      </c>
      <c r="X66" s="112">
        <f t="shared" si="15"/>
        <v>0</v>
      </c>
      <c r="Y66" s="112"/>
      <c r="Z66" s="112"/>
      <c r="AA66" s="112">
        <f t="shared" si="16"/>
        <v>100000</v>
      </c>
      <c r="AB66" s="112" t="e">
        <f t="shared" ca="1" si="17"/>
        <v>#N/A</v>
      </c>
      <c r="AC66" s="112" t="e">
        <f t="shared" ca="1" si="18"/>
        <v>#N/A</v>
      </c>
      <c r="AD66" s="112" t="e">
        <f t="shared" ca="1" si="19"/>
        <v>#N/A</v>
      </c>
      <c r="AE66" s="112" t="e">
        <f t="shared" ca="1" si="20"/>
        <v>#N/A</v>
      </c>
      <c r="AF66" s="112">
        <f t="shared" si="21"/>
        <v>100000</v>
      </c>
      <c r="AG66" s="238">
        <f>AG65</f>
        <v>29</v>
      </c>
      <c r="AH66" s="112" t="e">
        <f ca="1">AI65+1</f>
        <v>#N/A</v>
      </c>
      <c r="AI66" s="112" t="e">
        <f ca="1">IF(INDIRECT(CONCATENATE("AC",AG65))&lt;100000,INDIRECT(CONCATENATE("AC",AG65))-1,IF(INDIRECT(CONCATENATE("AD",AG65))&lt;100000,INDIRECT(CONCATENATE("AD",AG65))-1,IF(INDIRECT(CONCATENATE("AE",AG65))&lt;100000,INDIRECT(CONCATENATE("AE",G65)),INDIRECT(CONCATENATE("AF",AG65)))))</f>
        <v>#N/A</v>
      </c>
      <c r="AJ66" s="114"/>
      <c r="AK66" s="114"/>
      <c r="AL66" s="238" t="e">
        <f t="shared" ca="1" si="38"/>
        <v>#N/A</v>
      </c>
      <c r="AM66" s="112">
        <f t="shared" ca="1" si="58"/>
        <v>100000</v>
      </c>
      <c r="AN66" s="112">
        <f t="shared" ca="1" si="39"/>
        <v>100000</v>
      </c>
      <c r="AO66" s="114">
        <f t="shared" ca="1" si="23"/>
        <v>18</v>
      </c>
      <c r="AP66" s="114">
        <f t="shared" ca="1" si="24"/>
        <v>18</v>
      </c>
      <c r="AQ66" s="112"/>
      <c r="AR66" s="238">
        <f t="shared" si="40"/>
        <v>66</v>
      </c>
      <c r="AS66" s="112"/>
      <c r="AT66" s="112"/>
      <c r="AU66" s="283">
        <f t="shared" si="41"/>
        <v>47</v>
      </c>
      <c r="AV66" s="284">
        <f t="shared" ca="1" si="25"/>
        <v>100000</v>
      </c>
      <c r="AW66" s="284">
        <f t="shared" ca="1" si="52"/>
        <v>100000</v>
      </c>
      <c r="AX66" s="285">
        <f t="shared" ca="1" si="27"/>
        <v>0</v>
      </c>
      <c r="AY66" s="285">
        <f t="shared" ca="1" si="28"/>
        <v>18</v>
      </c>
      <c r="AZ66" s="282"/>
      <c r="BD66" s="114">
        <f t="shared" si="42"/>
        <v>1</v>
      </c>
      <c r="BE66" s="112">
        <f t="shared" si="31"/>
        <v>100000</v>
      </c>
      <c r="BH66" s="238">
        <f t="shared" si="43"/>
        <v>47</v>
      </c>
      <c r="BI66" s="245">
        <f t="shared" si="32"/>
        <v>100000</v>
      </c>
      <c r="BJ66" s="281">
        <f t="shared" ca="1" si="1"/>
        <v>16</v>
      </c>
      <c r="BK66" s="245" t="e">
        <f t="shared" ca="1" si="33"/>
        <v>#N/A</v>
      </c>
      <c r="BL66" s="245" t="e">
        <f t="shared" ca="1" si="34"/>
        <v>#N/A</v>
      </c>
      <c r="BM66" s="244"/>
      <c r="BN66" s="245" t="e">
        <f t="shared" ca="1" si="51"/>
        <v>#N/A</v>
      </c>
      <c r="BQ66" s="245"/>
      <c r="BR66" s="245"/>
      <c r="BS66" s="245"/>
      <c r="BT66" s="245"/>
      <c r="BU66" s="245"/>
      <c r="BV66" s="245"/>
      <c r="BY66" s="245"/>
      <c r="BZ66" s="245"/>
      <c r="CA66" s="245"/>
      <c r="CB66" s="245"/>
      <c r="CC66" s="245"/>
      <c r="CD66" s="245"/>
      <c r="CE66" s="245"/>
      <c r="CF66" s="245"/>
      <c r="CG66" s="245"/>
      <c r="CH66" s="245"/>
      <c r="CL66" s="112"/>
      <c r="CM66" s="112"/>
      <c r="CP66" s="112"/>
      <c r="CQ66" s="112"/>
      <c r="CR66" s="238"/>
      <c r="CS66" s="238"/>
      <c r="CT66" s="112"/>
      <c r="CU66" s="112"/>
      <c r="CV66" s="112"/>
      <c r="CW66" s="112" t="s">
        <v>224</v>
      </c>
      <c r="CX66" s="112" t="s">
        <v>225</v>
      </c>
      <c r="CY66" s="112" t="s">
        <v>226</v>
      </c>
      <c r="CZ66" s="112" t="s">
        <v>227</v>
      </c>
      <c r="DA66" s="112" t="s">
        <v>228</v>
      </c>
      <c r="DB66" s="112" t="s">
        <v>229</v>
      </c>
      <c r="DC66" s="112"/>
      <c r="DD66" s="238"/>
      <c r="DE66" s="112"/>
      <c r="DF66" s="112"/>
      <c r="DG66" s="112"/>
      <c r="DH66" s="238"/>
      <c r="DI66" s="112"/>
      <c r="DJ66" s="112"/>
      <c r="DK66" s="112"/>
      <c r="DL66" s="278" t="str">
        <f t="shared" ca="1" si="44"/>
        <v/>
      </c>
      <c r="DM66" s="245" t="str">
        <f t="shared" ca="1" si="53"/>
        <v/>
      </c>
      <c r="DN66" s="245" t="str">
        <f t="shared" ca="1" si="53"/>
        <v/>
      </c>
      <c r="DO66" s="245" t="str">
        <f t="shared" ca="1" si="53"/>
        <v/>
      </c>
      <c r="DP66" s="245" t="str">
        <f t="shared" ca="1" si="53"/>
        <v/>
      </c>
      <c r="DQ66" s="245" t="str">
        <f t="shared" ca="1" si="53"/>
        <v/>
      </c>
      <c r="DR66" s="244"/>
      <c r="DS66" s="245" t="str">
        <f t="shared" si="54"/>
        <v/>
      </c>
      <c r="DT66" s="245" t="str">
        <f t="shared" si="54"/>
        <v/>
      </c>
      <c r="DU66" s="245" t="str">
        <f t="shared" si="54"/>
        <v/>
      </c>
      <c r="DV66" s="244" t="str">
        <f t="shared" ca="1" si="7"/>
        <v/>
      </c>
      <c r="DW66" s="244"/>
      <c r="DX66" s="244" t="str">
        <f t="shared" ca="1" si="45"/>
        <v/>
      </c>
      <c r="EA66" s="244" t="b">
        <f t="shared" ca="1" si="35"/>
        <v>0</v>
      </c>
      <c r="EB66" s="278" t="e">
        <f ca="1">VLOOKUP(DM66,Foglio1!$AB$31:$AN$261,13)-6+EA66</f>
        <v>#N/A</v>
      </c>
      <c r="EC66" s="244"/>
      <c r="ED66" s="244" t="e">
        <f t="shared" ca="1" si="57"/>
        <v>#N/A</v>
      </c>
      <c r="EE66" s="244" t="e">
        <f t="shared" ca="1" si="57"/>
        <v>#N/A</v>
      </c>
      <c r="EF66" s="244" t="e">
        <f t="shared" ca="1" si="57"/>
        <v>#N/A</v>
      </c>
      <c r="EG66" s="244" t="e">
        <f t="shared" ca="1" si="57"/>
        <v>#N/A</v>
      </c>
      <c r="EH66" s="244" t="e">
        <f t="shared" ca="1" si="57"/>
        <v>#N/A</v>
      </c>
      <c r="EI66" s="244" t="e">
        <f t="shared" ca="1" si="61"/>
        <v>#N/A</v>
      </c>
      <c r="EJ66" s="244" t="e">
        <f t="shared" ca="1" si="61"/>
        <v>#N/A</v>
      </c>
      <c r="EK66" s="244" t="e">
        <f t="shared" ca="1" si="61"/>
        <v>#N/A</v>
      </c>
      <c r="EL66" s="244" t="e">
        <f t="shared" ca="1" si="61"/>
        <v>#N/A</v>
      </c>
      <c r="EM66" s="244" t="e">
        <f t="shared" ca="1" si="61"/>
        <v>#N/A</v>
      </c>
      <c r="EN66" s="244" t="e">
        <f t="shared" ca="1" si="61"/>
        <v>#N/A</v>
      </c>
      <c r="EO66" s="244" t="e">
        <f t="shared" ca="1" si="61"/>
        <v>#N/A</v>
      </c>
      <c r="EP66" s="244" t="e">
        <f t="shared" ca="1" si="61"/>
        <v>#N/A</v>
      </c>
      <c r="EQ66" s="244" t="e">
        <f t="shared" ca="1" si="61"/>
        <v>#N/A</v>
      </c>
      <c r="ER66" s="244"/>
      <c r="EW66" s="244">
        <v>0</v>
      </c>
      <c r="EX66" s="278" t="e">
        <f ca="1">VLOOKUP(DM66,Foglio1!$AB$31:$AN$261,13)-6+EW66</f>
        <v>#N/A</v>
      </c>
      <c r="EY66" s="244"/>
      <c r="EZ66" s="244" t="e">
        <f t="shared" ca="1" si="36"/>
        <v>#N/A</v>
      </c>
      <c r="FA66" s="244" t="e">
        <f t="shared" ca="1" si="60"/>
        <v>#N/A</v>
      </c>
      <c r="FB66" s="244" t="e">
        <f t="shared" ca="1" si="60"/>
        <v>#N/A</v>
      </c>
      <c r="FC66" s="244" t="e">
        <f t="shared" ca="1" si="60"/>
        <v>#N/A</v>
      </c>
      <c r="FD66" s="244" t="e">
        <f t="shared" ca="1" si="59"/>
        <v>#N/A</v>
      </c>
      <c r="FE66" s="244" t="e">
        <f t="shared" ca="1" si="59"/>
        <v>#N/A</v>
      </c>
      <c r="FF66" s="244" t="e">
        <f t="shared" ca="1" si="59"/>
        <v>#N/A</v>
      </c>
      <c r="FG66" s="244" t="e">
        <f t="shared" ca="1" si="59"/>
        <v>#N/A</v>
      </c>
      <c r="FH66" s="244" t="e">
        <f t="shared" ca="1" si="59"/>
        <v>#N/A</v>
      </c>
      <c r="FI66" s="244" t="e">
        <f t="shared" ca="1" si="59"/>
        <v>#N/A</v>
      </c>
      <c r="FJ66" s="244" t="e">
        <f t="shared" ca="1" si="59"/>
        <v>#N/A</v>
      </c>
      <c r="FK66" s="244" t="e">
        <f t="shared" ca="1" si="59"/>
        <v>#N/A</v>
      </c>
      <c r="FL66" s="244" t="e">
        <f t="shared" ca="1" si="59"/>
        <v>#N/A</v>
      </c>
      <c r="FM66" s="244" t="e">
        <f t="shared" ca="1" si="10"/>
        <v>#N/A</v>
      </c>
      <c r="FN66" s="244"/>
    </row>
    <row r="67" spans="5:170" x14ac:dyDescent="0.25">
      <c r="E67" s="244"/>
      <c r="F67" s="244"/>
      <c r="G67" s="244"/>
      <c r="L67">
        <f t="shared" si="37"/>
        <v>67</v>
      </c>
      <c r="R67" s="112">
        <f t="shared" si="14"/>
        <v>0</v>
      </c>
      <c r="S67" s="238" t="e">
        <f t="shared" si="46"/>
        <v>#N/A</v>
      </c>
      <c r="T67" s="112" t="e">
        <f t="shared" ca="1" si="47"/>
        <v>#N/A</v>
      </c>
      <c r="U67" s="112" t="e">
        <f t="shared" ca="1" si="48"/>
        <v>#N/A</v>
      </c>
      <c r="V67" s="112" t="e">
        <f t="shared" ca="1" si="49"/>
        <v>#N/A</v>
      </c>
      <c r="W67" s="112" t="e">
        <f t="shared" ca="1" si="50"/>
        <v>#N/A</v>
      </c>
      <c r="X67" s="112">
        <f t="shared" si="15"/>
        <v>0</v>
      </c>
      <c r="Y67" s="112"/>
      <c r="Z67" s="112"/>
      <c r="AA67" s="112">
        <f t="shared" si="16"/>
        <v>100000</v>
      </c>
      <c r="AB67" s="112" t="e">
        <f t="shared" ca="1" si="17"/>
        <v>#N/A</v>
      </c>
      <c r="AC67" s="112" t="e">
        <f t="shared" ca="1" si="18"/>
        <v>#N/A</v>
      </c>
      <c r="AD67" s="112" t="e">
        <f t="shared" ca="1" si="19"/>
        <v>#N/A</v>
      </c>
      <c r="AE67" s="112" t="e">
        <f t="shared" ca="1" si="20"/>
        <v>#N/A</v>
      </c>
      <c r="AF67" s="112">
        <f t="shared" si="21"/>
        <v>100000</v>
      </c>
      <c r="AG67" s="238">
        <f>AG66</f>
        <v>29</v>
      </c>
      <c r="AH67" s="112" t="e">
        <f ca="1">AI66+1</f>
        <v>#N/A</v>
      </c>
      <c r="AI67" s="112" t="e">
        <f ca="1">IF(INDIRECT(CONCATENATE("AD",AG65))&lt;100000,INDIRECT(CONCATENATE("AD",AG65))-1,IF(INDIRECT(CONCATENATE("AE",AG65))&lt;100000,INDIRECT(CONCATENATE("AE",G65)),INDIRECT(CONCATENATE("AF",AG65))))</f>
        <v>#N/A</v>
      </c>
      <c r="AJ67" s="114"/>
      <c r="AK67" s="114"/>
      <c r="AL67" s="238" t="e">
        <f t="shared" ca="1" si="38"/>
        <v>#N/A</v>
      </c>
      <c r="AM67" s="112">
        <f t="shared" ca="1" si="58"/>
        <v>100000</v>
      </c>
      <c r="AN67" s="112">
        <f t="shared" ca="1" si="39"/>
        <v>100000</v>
      </c>
      <c r="AO67" s="114">
        <f t="shared" ca="1" si="23"/>
        <v>18</v>
      </c>
      <c r="AP67" s="114">
        <f t="shared" ca="1" si="24"/>
        <v>18</v>
      </c>
      <c r="AQ67" s="112"/>
      <c r="AR67" s="238">
        <f t="shared" si="40"/>
        <v>67</v>
      </c>
      <c r="AS67" s="112"/>
      <c r="AT67" s="112"/>
      <c r="AU67" s="283">
        <f t="shared" si="41"/>
        <v>48</v>
      </c>
      <c r="AV67" s="284">
        <f t="shared" ca="1" si="25"/>
        <v>100000</v>
      </c>
      <c r="AW67" s="284">
        <f t="shared" ca="1" si="52"/>
        <v>100000</v>
      </c>
      <c r="AX67" s="285">
        <f t="shared" ca="1" si="27"/>
        <v>0</v>
      </c>
      <c r="AY67" s="285">
        <f t="shared" ca="1" si="28"/>
        <v>18</v>
      </c>
      <c r="AZ67" s="282"/>
      <c r="BD67" s="114">
        <f t="shared" si="42"/>
        <v>1</v>
      </c>
      <c r="BE67" s="112">
        <f t="shared" si="31"/>
        <v>100000</v>
      </c>
      <c r="BH67" s="238">
        <f t="shared" si="43"/>
        <v>48</v>
      </c>
      <c r="BI67" s="245">
        <f t="shared" si="32"/>
        <v>100000</v>
      </c>
      <c r="BJ67" s="281">
        <f t="shared" ca="1" si="1"/>
        <v>16</v>
      </c>
      <c r="BK67" s="245" t="e">
        <f t="shared" ca="1" si="33"/>
        <v>#N/A</v>
      </c>
      <c r="BL67" s="245" t="e">
        <f t="shared" ca="1" si="34"/>
        <v>#N/A</v>
      </c>
      <c r="BM67" s="244"/>
      <c r="BN67" s="245" t="e">
        <f t="shared" ca="1" si="51"/>
        <v>#N/A</v>
      </c>
      <c r="BQ67" s="245"/>
      <c r="BR67" s="245"/>
      <c r="BS67" s="245"/>
      <c r="BT67" s="245"/>
      <c r="BU67" s="245"/>
      <c r="BV67" s="245"/>
      <c r="BY67" s="245"/>
      <c r="BZ67" s="245"/>
      <c r="CA67" s="245"/>
      <c r="CB67" s="245"/>
      <c r="CC67" s="245"/>
      <c r="CD67" s="245"/>
      <c r="CE67" s="245"/>
      <c r="CF67" s="245"/>
      <c r="CG67" s="245"/>
      <c r="CH67" s="245"/>
      <c r="CL67" s="112"/>
      <c r="CM67" s="112"/>
      <c r="CP67" s="112"/>
      <c r="CQ67" s="112"/>
      <c r="CR67" s="238"/>
      <c r="CS67" s="238"/>
      <c r="CT67" s="112"/>
      <c r="CU67" s="112"/>
      <c r="CV67" s="112"/>
      <c r="CW67" s="112" t="s">
        <v>224</v>
      </c>
      <c r="CX67" s="112" t="s">
        <v>225</v>
      </c>
      <c r="CY67" s="112" t="s">
        <v>226</v>
      </c>
      <c r="CZ67" s="112" t="s">
        <v>227</v>
      </c>
      <c r="DA67" s="112" t="s">
        <v>228</v>
      </c>
      <c r="DB67" s="112" t="s">
        <v>229</v>
      </c>
      <c r="DC67" s="112"/>
      <c r="DD67" s="238"/>
      <c r="DE67" s="112"/>
      <c r="DF67" s="112"/>
      <c r="DG67" s="112"/>
      <c r="DH67" s="238"/>
      <c r="DI67" s="112"/>
      <c r="DJ67" s="112"/>
      <c r="DK67" s="112"/>
      <c r="DL67" s="278" t="str">
        <f t="shared" ca="1" si="44"/>
        <v/>
      </c>
      <c r="DM67" s="245" t="str">
        <f t="shared" ca="1" si="53"/>
        <v/>
      </c>
      <c r="DN67" s="245" t="str">
        <f t="shared" ca="1" si="53"/>
        <v/>
      </c>
      <c r="DO67" s="245" t="str">
        <f t="shared" ca="1" si="53"/>
        <v/>
      </c>
      <c r="DP67" s="245" t="str">
        <f t="shared" ca="1" si="53"/>
        <v/>
      </c>
      <c r="DQ67" s="245" t="str">
        <f t="shared" ca="1" si="53"/>
        <v/>
      </c>
      <c r="DR67" s="244"/>
      <c r="DS67" s="245" t="str">
        <f t="shared" si="54"/>
        <v/>
      </c>
      <c r="DT67" s="245" t="str">
        <f t="shared" si="54"/>
        <v/>
      </c>
      <c r="DU67" s="245" t="str">
        <f t="shared" si="54"/>
        <v/>
      </c>
      <c r="DV67" s="244" t="str">
        <f t="shared" ca="1" si="7"/>
        <v/>
      </c>
      <c r="DW67" s="244"/>
      <c r="DX67" s="244" t="str">
        <f t="shared" ca="1" si="45"/>
        <v/>
      </c>
      <c r="EA67" s="244" t="b">
        <f t="shared" ca="1" si="35"/>
        <v>0</v>
      </c>
      <c r="EB67" s="278" t="e">
        <f ca="1">VLOOKUP(DM67,Foglio1!$AB$31:$AN$261,13)-6+EA67</f>
        <v>#N/A</v>
      </c>
      <c r="EC67" s="244"/>
      <c r="ED67" s="244" t="e">
        <f t="shared" ca="1" si="57"/>
        <v>#N/A</v>
      </c>
      <c r="EE67" s="244" t="e">
        <f t="shared" ca="1" si="57"/>
        <v>#N/A</v>
      </c>
      <c r="EF67" s="244" t="e">
        <f t="shared" ca="1" si="57"/>
        <v>#N/A</v>
      </c>
      <c r="EG67" s="244" t="e">
        <f t="shared" ca="1" si="57"/>
        <v>#N/A</v>
      </c>
      <c r="EH67" s="244" t="e">
        <f t="shared" ca="1" si="57"/>
        <v>#N/A</v>
      </c>
      <c r="EI67" s="244" t="e">
        <f t="shared" ca="1" si="61"/>
        <v>#N/A</v>
      </c>
      <c r="EJ67" s="244" t="e">
        <f t="shared" ca="1" si="61"/>
        <v>#N/A</v>
      </c>
      <c r="EK67" s="244" t="e">
        <f t="shared" ca="1" si="61"/>
        <v>#N/A</v>
      </c>
      <c r="EL67" s="244" t="e">
        <f t="shared" ca="1" si="61"/>
        <v>#N/A</v>
      </c>
      <c r="EM67" s="244" t="e">
        <f t="shared" ca="1" si="61"/>
        <v>#N/A</v>
      </c>
      <c r="EN67" s="244" t="e">
        <f t="shared" ca="1" si="61"/>
        <v>#N/A</v>
      </c>
      <c r="EO67" s="244" t="e">
        <f t="shared" ca="1" si="61"/>
        <v>#N/A</v>
      </c>
      <c r="EP67" s="244" t="e">
        <f t="shared" ca="1" si="61"/>
        <v>#N/A</v>
      </c>
      <c r="EQ67" s="244" t="e">
        <f t="shared" ca="1" si="61"/>
        <v>#N/A</v>
      </c>
      <c r="ER67" s="244"/>
      <c r="EW67" s="244">
        <v>0</v>
      </c>
      <c r="EX67" s="278" t="e">
        <f ca="1">VLOOKUP(DM67,Foglio1!$AB$31:$AN$261,13)-6+EW67</f>
        <v>#N/A</v>
      </c>
      <c r="EY67" s="244"/>
      <c r="EZ67" s="244" t="e">
        <f t="shared" ca="1" si="36"/>
        <v>#N/A</v>
      </c>
      <c r="FA67" s="244" t="e">
        <f t="shared" ca="1" si="60"/>
        <v>#N/A</v>
      </c>
      <c r="FB67" s="244" t="e">
        <f t="shared" ca="1" si="60"/>
        <v>#N/A</v>
      </c>
      <c r="FC67" s="244" t="e">
        <f t="shared" ca="1" si="60"/>
        <v>#N/A</v>
      </c>
      <c r="FD67" s="244" t="e">
        <f t="shared" ca="1" si="59"/>
        <v>#N/A</v>
      </c>
      <c r="FE67" s="244" t="e">
        <f t="shared" ca="1" si="59"/>
        <v>#N/A</v>
      </c>
      <c r="FF67" s="244" t="e">
        <f t="shared" ca="1" si="59"/>
        <v>#N/A</v>
      </c>
      <c r="FG67" s="244" t="e">
        <f t="shared" ca="1" si="59"/>
        <v>#N/A</v>
      </c>
      <c r="FH67" s="244" t="e">
        <f t="shared" ca="1" si="59"/>
        <v>#N/A</v>
      </c>
      <c r="FI67" s="244" t="e">
        <f t="shared" ca="1" si="59"/>
        <v>#N/A</v>
      </c>
      <c r="FJ67" s="244" t="e">
        <f t="shared" ca="1" si="59"/>
        <v>#N/A</v>
      </c>
      <c r="FK67" s="244" t="e">
        <f t="shared" ca="1" si="59"/>
        <v>#N/A</v>
      </c>
      <c r="FL67" s="244" t="e">
        <f t="shared" ca="1" si="59"/>
        <v>#N/A</v>
      </c>
      <c r="FM67" s="244" t="e">
        <f t="shared" ca="1" si="10"/>
        <v>#N/A</v>
      </c>
      <c r="FN67" s="244"/>
    </row>
    <row r="68" spans="5:170" x14ac:dyDescent="0.25">
      <c r="E68" s="244"/>
      <c r="F68" s="244"/>
      <c r="G68" s="244"/>
      <c r="L68">
        <f t="shared" si="37"/>
        <v>68</v>
      </c>
      <c r="R68" s="112">
        <f t="shared" si="14"/>
        <v>0</v>
      </c>
      <c r="S68" s="238" t="e">
        <f t="shared" si="46"/>
        <v>#N/A</v>
      </c>
      <c r="T68" s="112" t="e">
        <f t="shared" ca="1" si="47"/>
        <v>#N/A</v>
      </c>
      <c r="U68" s="112" t="e">
        <f t="shared" ca="1" si="48"/>
        <v>#N/A</v>
      </c>
      <c r="V68" s="112" t="e">
        <f t="shared" ca="1" si="49"/>
        <v>#N/A</v>
      </c>
      <c r="W68" s="112" t="e">
        <f t="shared" ca="1" si="50"/>
        <v>#N/A</v>
      </c>
      <c r="X68" s="112">
        <f t="shared" si="15"/>
        <v>0</v>
      </c>
      <c r="Y68" s="112"/>
      <c r="Z68" s="112"/>
      <c r="AA68" s="112">
        <f t="shared" si="16"/>
        <v>100000</v>
      </c>
      <c r="AB68" s="112" t="e">
        <f t="shared" ca="1" si="17"/>
        <v>#N/A</v>
      </c>
      <c r="AC68" s="112" t="e">
        <f t="shared" ca="1" si="18"/>
        <v>#N/A</v>
      </c>
      <c r="AD68" s="112" t="e">
        <f t="shared" ca="1" si="19"/>
        <v>#N/A</v>
      </c>
      <c r="AE68" s="112" t="e">
        <f t="shared" ca="1" si="20"/>
        <v>#N/A</v>
      </c>
      <c r="AF68" s="112">
        <f t="shared" si="21"/>
        <v>100000</v>
      </c>
      <c r="AG68" s="238">
        <f>AG67</f>
        <v>29</v>
      </c>
      <c r="AH68" s="112" t="e">
        <f ca="1">AI67+1</f>
        <v>#N/A</v>
      </c>
      <c r="AI68" s="112" t="e">
        <f ca="1">IF(INDIRECT(CONCATENATE("AE",AG65))&lt;100000,INDIRECT(CONCATENATE("AE",G65)),INDIRECT(CONCATENATE("AF",AG65)))</f>
        <v>#N/A</v>
      </c>
      <c r="AJ68" s="114"/>
      <c r="AK68" s="114"/>
      <c r="AL68" s="238" t="e">
        <f t="shared" ca="1" si="38"/>
        <v>#N/A</v>
      </c>
      <c r="AM68" s="112">
        <f t="shared" ca="1" si="58"/>
        <v>100000</v>
      </c>
      <c r="AN68" s="112">
        <f t="shared" ca="1" si="39"/>
        <v>100000</v>
      </c>
      <c r="AO68" s="114">
        <f t="shared" ca="1" si="23"/>
        <v>18</v>
      </c>
      <c r="AP68" s="114">
        <f t="shared" ca="1" si="24"/>
        <v>18</v>
      </c>
      <c r="AQ68" s="112"/>
      <c r="AR68" s="238">
        <f t="shared" si="40"/>
        <v>68</v>
      </c>
      <c r="AS68" s="112"/>
      <c r="AT68" s="112"/>
      <c r="AU68" s="283">
        <f t="shared" si="41"/>
        <v>49</v>
      </c>
      <c r="AV68" s="284">
        <f t="shared" ca="1" si="25"/>
        <v>100000</v>
      </c>
      <c r="AW68" s="284">
        <f t="shared" ca="1" si="52"/>
        <v>100000</v>
      </c>
      <c r="AX68" s="285">
        <f t="shared" ca="1" si="27"/>
        <v>0</v>
      </c>
      <c r="AY68" s="285">
        <f t="shared" ca="1" si="28"/>
        <v>18</v>
      </c>
      <c r="AZ68" s="282"/>
      <c r="BD68" s="114">
        <f t="shared" si="42"/>
        <v>1</v>
      </c>
      <c r="BE68" s="112">
        <f t="shared" si="31"/>
        <v>100000</v>
      </c>
      <c r="BH68" s="238">
        <f t="shared" si="43"/>
        <v>49</v>
      </c>
      <c r="BI68" s="245">
        <f t="shared" si="32"/>
        <v>100000</v>
      </c>
      <c r="BJ68" s="281">
        <f t="shared" ca="1" si="1"/>
        <v>16</v>
      </c>
      <c r="BK68" s="245" t="e">
        <f t="shared" ca="1" si="33"/>
        <v>#N/A</v>
      </c>
      <c r="BL68" s="245" t="e">
        <f t="shared" ca="1" si="34"/>
        <v>#N/A</v>
      </c>
      <c r="BM68" s="244"/>
      <c r="BN68" s="245" t="e">
        <f t="shared" ca="1" si="51"/>
        <v>#N/A</v>
      </c>
      <c r="BQ68" s="245"/>
      <c r="BR68" s="245"/>
      <c r="BS68" s="245"/>
      <c r="BT68" s="245"/>
      <c r="BU68" s="245"/>
      <c r="BV68" s="245"/>
      <c r="BY68" s="245"/>
      <c r="BZ68" s="245"/>
      <c r="CA68" s="245"/>
      <c r="CB68" s="245"/>
      <c r="CC68" s="245"/>
      <c r="CD68" s="245"/>
      <c r="CE68" s="245"/>
      <c r="CF68" s="245"/>
      <c r="CG68" s="245"/>
      <c r="CH68" s="245"/>
      <c r="CL68" s="112"/>
      <c r="CM68" s="112"/>
      <c r="CP68" s="112"/>
      <c r="CQ68" s="112"/>
      <c r="CR68" s="238"/>
      <c r="CS68" s="238"/>
      <c r="CT68" s="112"/>
      <c r="CU68" s="112"/>
      <c r="CV68" s="112"/>
      <c r="CW68" s="112" t="s">
        <v>224</v>
      </c>
      <c r="CX68" s="112" t="s">
        <v>225</v>
      </c>
      <c r="CY68" s="112" t="s">
        <v>226</v>
      </c>
      <c r="CZ68" s="112" t="s">
        <v>227</v>
      </c>
      <c r="DA68" s="112" t="s">
        <v>228</v>
      </c>
      <c r="DB68" s="112" t="s">
        <v>229</v>
      </c>
      <c r="DC68" s="112"/>
      <c r="DD68" s="238"/>
      <c r="DE68" s="112"/>
      <c r="DF68" s="112"/>
      <c r="DG68" s="112"/>
      <c r="DH68" s="238"/>
      <c r="DI68" s="112"/>
      <c r="DJ68" s="112"/>
      <c r="DK68" s="112"/>
      <c r="DL68" s="278" t="str">
        <f t="shared" ca="1" si="44"/>
        <v/>
      </c>
      <c r="DM68" s="245" t="str">
        <f t="shared" ca="1" si="53"/>
        <v/>
      </c>
      <c r="DN68" s="245" t="str">
        <f t="shared" ca="1" si="53"/>
        <v/>
      </c>
      <c r="DO68" s="245" t="str">
        <f t="shared" ca="1" si="53"/>
        <v/>
      </c>
      <c r="DP68" s="245" t="str">
        <f t="shared" ca="1" si="53"/>
        <v/>
      </c>
      <c r="DQ68" s="245" t="str">
        <f t="shared" ca="1" si="53"/>
        <v/>
      </c>
      <c r="DR68" s="244"/>
      <c r="DS68" s="245" t="str">
        <f t="shared" si="54"/>
        <v/>
      </c>
      <c r="DT68" s="245" t="str">
        <f t="shared" si="54"/>
        <v/>
      </c>
      <c r="DU68" s="245" t="str">
        <f t="shared" si="54"/>
        <v/>
      </c>
      <c r="DV68" s="244" t="str">
        <f t="shared" ca="1" si="7"/>
        <v/>
      </c>
      <c r="DW68" s="244"/>
      <c r="DX68" s="244" t="str">
        <f t="shared" ca="1" si="45"/>
        <v/>
      </c>
      <c r="EA68" s="244" t="b">
        <f t="shared" ca="1" si="35"/>
        <v>0</v>
      </c>
      <c r="EB68" s="278" t="e">
        <f ca="1">VLOOKUP(DM68,Foglio1!$AB$31:$AN$261,13)-6+EA68</f>
        <v>#N/A</v>
      </c>
      <c r="EC68" s="244"/>
      <c r="ED68" s="244" t="e">
        <f t="shared" ca="1" si="57"/>
        <v>#N/A</v>
      </c>
      <c r="EE68" s="244" t="e">
        <f t="shared" ca="1" si="57"/>
        <v>#N/A</v>
      </c>
      <c r="EF68" s="244" t="e">
        <f t="shared" ca="1" si="57"/>
        <v>#N/A</v>
      </c>
      <c r="EG68" s="244" t="e">
        <f t="shared" ca="1" si="57"/>
        <v>#N/A</v>
      </c>
      <c r="EH68" s="244" t="e">
        <f t="shared" ca="1" si="57"/>
        <v>#N/A</v>
      </c>
      <c r="EI68" s="244" t="e">
        <f t="shared" ca="1" si="61"/>
        <v>#N/A</v>
      </c>
      <c r="EJ68" s="244" t="e">
        <f t="shared" ca="1" si="61"/>
        <v>#N/A</v>
      </c>
      <c r="EK68" s="244" t="e">
        <f t="shared" ca="1" si="61"/>
        <v>#N/A</v>
      </c>
      <c r="EL68" s="244" t="e">
        <f t="shared" ca="1" si="61"/>
        <v>#N/A</v>
      </c>
      <c r="EM68" s="244" t="e">
        <f t="shared" ca="1" si="61"/>
        <v>#N/A</v>
      </c>
      <c r="EN68" s="244" t="e">
        <f t="shared" ca="1" si="61"/>
        <v>#N/A</v>
      </c>
      <c r="EO68" s="244" t="e">
        <f t="shared" ca="1" si="61"/>
        <v>#N/A</v>
      </c>
      <c r="EP68" s="244" t="e">
        <f t="shared" ca="1" si="61"/>
        <v>#N/A</v>
      </c>
      <c r="EQ68" s="244" t="e">
        <f t="shared" ca="1" si="61"/>
        <v>#N/A</v>
      </c>
      <c r="ER68" s="244"/>
      <c r="EW68" s="244">
        <v>0</v>
      </c>
      <c r="EX68" s="278" t="e">
        <f ca="1">VLOOKUP(DM68,Foglio1!$AB$31:$AN$261,13)-6+EW68</f>
        <v>#N/A</v>
      </c>
      <c r="EY68" s="244"/>
      <c r="EZ68" s="244" t="e">
        <f t="shared" ca="1" si="36"/>
        <v>#N/A</v>
      </c>
      <c r="FA68" s="244" t="e">
        <f t="shared" ca="1" si="60"/>
        <v>#N/A</v>
      </c>
      <c r="FB68" s="244" t="e">
        <f t="shared" ca="1" si="60"/>
        <v>#N/A</v>
      </c>
      <c r="FC68" s="244" t="e">
        <f t="shared" ca="1" si="60"/>
        <v>#N/A</v>
      </c>
      <c r="FD68" s="244" t="e">
        <f t="shared" ca="1" si="59"/>
        <v>#N/A</v>
      </c>
      <c r="FE68" s="244" t="e">
        <f t="shared" ca="1" si="59"/>
        <v>#N/A</v>
      </c>
      <c r="FF68" s="244" t="e">
        <f t="shared" ca="1" si="59"/>
        <v>#N/A</v>
      </c>
      <c r="FG68" s="244" t="e">
        <f t="shared" ca="1" si="59"/>
        <v>#N/A</v>
      </c>
      <c r="FH68" s="244" t="e">
        <f t="shared" ca="1" si="59"/>
        <v>#N/A</v>
      </c>
      <c r="FI68" s="244" t="e">
        <f t="shared" ca="1" si="59"/>
        <v>#N/A</v>
      </c>
      <c r="FJ68" s="244" t="e">
        <f t="shared" ca="1" si="59"/>
        <v>#N/A</v>
      </c>
      <c r="FK68" s="244" t="e">
        <f t="shared" ca="1" si="59"/>
        <v>#N/A</v>
      </c>
      <c r="FL68" s="244" t="e">
        <f t="shared" ca="1" si="59"/>
        <v>#N/A</v>
      </c>
      <c r="FM68" s="244" t="e">
        <f t="shared" ca="1" si="10"/>
        <v>#N/A</v>
      </c>
      <c r="FN68" s="244"/>
    </row>
    <row r="69" spans="5:170" x14ac:dyDescent="0.25">
      <c r="E69" s="244"/>
      <c r="F69" s="244"/>
      <c r="G69" s="244"/>
      <c r="L69">
        <f t="shared" si="37"/>
        <v>69</v>
      </c>
      <c r="R69" s="112">
        <f t="shared" si="14"/>
        <v>0</v>
      </c>
      <c r="S69" s="238" t="e">
        <f t="shared" si="46"/>
        <v>#N/A</v>
      </c>
      <c r="T69" s="112" t="e">
        <f t="shared" ca="1" si="47"/>
        <v>#N/A</v>
      </c>
      <c r="U69" s="112" t="e">
        <f t="shared" ca="1" si="48"/>
        <v>#N/A</v>
      </c>
      <c r="V69" s="112" t="e">
        <f t="shared" ca="1" si="49"/>
        <v>#N/A</v>
      </c>
      <c r="W69" s="112" t="e">
        <f t="shared" ca="1" si="50"/>
        <v>#N/A</v>
      </c>
      <c r="X69" s="112">
        <f t="shared" si="15"/>
        <v>0</v>
      </c>
      <c r="Y69" s="112"/>
      <c r="Z69" s="112"/>
      <c r="AA69" s="112">
        <f t="shared" si="16"/>
        <v>100000</v>
      </c>
      <c r="AB69" s="112" t="e">
        <f t="shared" ca="1" si="17"/>
        <v>#N/A</v>
      </c>
      <c r="AC69" s="112" t="e">
        <f t="shared" ca="1" si="18"/>
        <v>#N/A</v>
      </c>
      <c r="AD69" s="112" t="e">
        <f t="shared" ca="1" si="19"/>
        <v>#N/A</v>
      </c>
      <c r="AE69" s="112" t="e">
        <f t="shared" ca="1" si="20"/>
        <v>#N/A</v>
      </c>
      <c r="AF69" s="112">
        <f t="shared" si="21"/>
        <v>100000</v>
      </c>
      <c r="AG69" s="238">
        <f>AG68</f>
        <v>29</v>
      </c>
      <c r="AH69" s="112" t="e">
        <f ca="1">AI68+1</f>
        <v>#N/A</v>
      </c>
      <c r="AI69" s="112">
        <f ca="1">INDIRECT(CONCATENATE("AF",AG65))</f>
        <v>100000</v>
      </c>
      <c r="AJ69" s="114"/>
      <c r="AK69" s="114"/>
      <c r="AL69" s="238" t="e">
        <f t="shared" ca="1" si="38"/>
        <v>#N/A</v>
      </c>
      <c r="AM69" s="112">
        <f t="shared" ca="1" si="58"/>
        <v>100000</v>
      </c>
      <c r="AN69" s="112">
        <f t="shared" ca="1" si="39"/>
        <v>100000</v>
      </c>
      <c r="AO69" s="114">
        <f t="shared" ca="1" si="23"/>
        <v>18</v>
      </c>
      <c r="AP69" s="114">
        <f t="shared" ca="1" si="24"/>
        <v>18</v>
      </c>
      <c r="AQ69" s="112"/>
      <c r="AR69" s="238">
        <f t="shared" si="40"/>
        <v>69</v>
      </c>
      <c r="AS69" s="112"/>
      <c r="AT69" s="112"/>
      <c r="AU69" s="283">
        <f t="shared" si="41"/>
        <v>50</v>
      </c>
      <c r="AV69" s="284">
        <f t="shared" ca="1" si="25"/>
        <v>100000</v>
      </c>
      <c r="AW69" s="284">
        <f t="shared" ca="1" si="52"/>
        <v>100000</v>
      </c>
      <c r="AX69" s="285">
        <f t="shared" ca="1" si="27"/>
        <v>0</v>
      </c>
      <c r="AY69" s="285">
        <f t="shared" ca="1" si="28"/>
        <v>18</v>
      </c>
      <c r="AZ69" s="282"/>
      <c r="BD69" s="114">
        <f t="shared" si="42"/>
        <v>1</v>
      </c>
      <c r="BE69" s="112">
        <f t="shared" si="31"/>
        <v>100000</v>
      </c>
      <c r="BH69" s="238">
        <f t="shared" si="43"/>
        <v>50</v>
      </c>
      <c r="BI69" s="245">
        <f t="shared" si="32"/>
        <v>100000</v>
      </c>
      <c r="BJ69" s="281">
        <f t="shared" ca="1" si="1"/>
        <v>16</v>
      </c>
      <c r="BK69" s="245" t="e">
        <f t="shared" ca="1" si="33"/>
        <v>#N/A</v>
      </c>
      <c r="BL69" s="245" t="e">
        <f t="shared" ca="1" si="34"/>
        <v>#N/A</v>
      </c>
      <c r="BM69" s="244"/>
      <c r="BN69" s="245" t="e">
        <f t="shared" ca="1" si="51"/>
        <v>#N/A</v>
      </c>
      <c r="BQ69" s="245"/>
      <c r="BR69" s="245"/>
      <c r="BS69" s="245"/>
      <c r="BT69" s="245"/>
      <c r="BU69" s="245"/>
      <c r="BV69" s="245"/>
      <c r="BY69" s="245"/>
      <c r="BZ69" s="245"/>
      <c r="CA69" s="245"/>
      <c r="CB69" s="245"/>
      <c r="CC69" s="245"/>
      <c r="CD69" s="245"/>
      <c r="CE69" s="245"/>
      <c r="CF69" s="245"/>
      <c r="CG69" s="245"/>
      <c r="CH69" s="245"/>
      <c r="CL69" s="112"/>
      <c r="CM69" s="112"/>
      <c r="CP69" s="112"/>
      <c r="CQ69" s="112"/>
      <c r="CR69" s="238"/>
      <c r="CS69" s="238"/>
      <c r="CT69" s="112"/>
      <c r="CU69" s="112"/>
      <c r="CV69" s="112"/>
      <c r="CW69" s="112" t="s">
        <v>224</v>
      </c>
      <c r="CX69" s="112" t="s">
        <v>225</v>
      </c>
      <c r="CY69" s="112" t="s">
        <v>226</v>
      </c>
      <c r="CZ69" s="112" t="s">
        <v>227</v>
      </c>
      <c r="DA69" s="112" t="s">
        <v>228</v>
      </c>
      <c r="DB69" s="112" t="s">
        <v>229</v>
      </c>
      <c r="DC69" s="112"/>
      <c r="DD69" s="238"/>
      <c r="DE69" s="112"/>
      <c r="DF69" s="112"/>
      <c r="DG69" s="112"/>
      <c r="DH69" s="238"/>
      <c r="DI69" s="112"/>
      <c r="DJ69" s="112"/>
      <c r="DK69" s="112"/>
      <c r="DL69" s="278" t="str">
        <f t="shared" ca="1" si="44"/>
        <v/>
      </c>
      <c r="DM69" s="245" t="str">
        <f t="shared" ca="1" si="53"/>
        <v/>
      </c>
      <c r="DN69" s="245" t="str">
        <f t="shared" ca="1" si="53"/>
        <v/>
      </c>
      <c r="DO69" s="245" t="str">
        <f t="shared" ca="1" si="53"/>
        <v/>
      </c>
      <c r="DP69" s="245" t="str">
        <f t="shared" ca="1" si="53"/>
        <v/>
      </c>
      <c r="DQ69" s="245" t="str">
        <f t="shared" ca="1" si="53"/>
        <v/>
      </c>
      <c r="DR69" s="244"/>
      <c r="DS69" s="245" t="str">
        <f t="shared" si="54"/>
        <v/>
      </c>
      <c r="DT69" s="245" t="str">
        <f t="shared" si="54"/>
        <v/>
      </c>
      <c r="DU69" s="245" t="str">
        <f t="shared" si="54"/>
        <v/>
      </c>
      <c r="DV69" s="244" t="str">
        <f t="shared" ca="1" si="7"/>
        <v/>
      </c>
      <c r="DW69" s="244"/>
      <c r="DX69" s="244" t="str">
        <f t="shared" ca="1" si="45"/>
        <v/>
      </c>
      <c r="EA69" s="244" t="b">
        <f t="shared" ca="1" si="35"/>
        <v>0</v>
      </c>
      <c r="EB69" s="278" t="e">
        <f ca="1">VLOOKUP(DM69,Foglio1!$AB$31:$AN$261,13)-6+EA69</f>
        <v>#N/A</v>
      </c>
      <c r="EC69" s="244"/>
      <c r="ED69" s="244" t="e">
        <f t="shared" ca="1" si="57"/>
        <v>#N/A</v>
      </c>
      <c r="EE69" s="244" t="e">
        <f t="shared" ca="1" si="57"/>
        <v>#N/A</v>
      </c>
      <c r="EF69" s="244" t="e">
        <f t="shared" ca="1" si="57"/>
        <v>#N/A</v>
      </c>
      <c r="EG69" s="244" t="e">
        <f t="shared" ca="1" si="57"/>
        <v>#N/A</v>
      </c>
      <c r="EH69" s="244" t="e">
        <f t="shared" ca="1" si="57"/>
        <v>#N/A</v>
      </c>
      <c r="EI69" s="244" t="e">
        <f t="shared" ca="1" si="61"/>
        <v>#N/A</v>
      </c>
      <c r="EJ69" s="244" t="e">
        <f t="shared" ca="1" si="61"/>
        <v>#N/A</v>
      </c>
      <c r="EK69" s="244" t="e">
        <f t="shared" ca="1" si="61"/>
        <v>#N/A</v>
      </c>
      <c r="EL69" s="244" t="e">
        <f t="shared" ca="1" si="61"/>
        <v>#N/A</v>
      </c>
      <c r="EM69" s="244" t="e">
        <f t="shared" ca="1" si="61"/>
        <v>#N/A</v>
      </c>
      <c r="EN69" s="244" t="e">
        <f t="shared" ca="1" si="61"/>
        <v>#N/A</v>
      </c>
      <c r="EO69" s="244" t="e">
        <f t="shared" ca="1" si="61"/>
        <v>#N/A</v>
      </c>
      <c r="EP69" s="244" t="e">
        <f t="shared" ca="1" si="61"/>
        <v>#N/A</v>
      </c>
      <c r="EQ69" s="244" t="e">
        <f t="shared" ca="1" si="61"/>
        <v>#N/A</v>
      </c>
      <c r="ER69" s="244"/>
      <c r="EW69" s="244">
        <v>0</v>
      </c>
      <c r="EX69" s="278" t="e">
        <f ca="1">VLOOKUP(DM69,Foglio1!$AB$31:$AN$261,13)-6+EW69</f>
        <v>#N/A</v>
      </c>
      <c r="EY69" s="244"/>
      <c r="EZ69" s="244" t="e">
        <f t="shared" ca="1" si="36"/>
        <v>#N/A</v>
      </c>
      <c r="FA69" s="244" t="e">
        <f t="shared" ca="1" si="60"/>
        <v>#N/A</v>
      </c>
      <c r="FB69" s="244" t="e">
        <f t="shared" ca="1" si="60"/>
        <v>#N/A</v>
      </c>
      <c r="FC69" s="244" t="e">
        <f t="shared" ca="1" si="60"/>
        <v>#N/A</v>
      </c>
      <c r="FD69" s="244" t="e">
        <f t="shared" ca="1" si="59"/>
        <v>#N/A</v>
      </c>
      <c r="FE69" s="244" t="e">
        <f t="shared" ca="1" si="59"/>
        <v>#N/A</v>
      </c>
      <c r="FF69" s="244" t="e">
        <f t="shared" ca="1" si="59"/>
        <v>#N/A</v>
      </c>
      <c r="FG69" s="244" t="e">
        <f t="shared" ca="1" si="59"/>
        <v>#N/A</v>
      </c>
      <c r="FH69" s="244" t="e">
        <f t="shared" ca="1" si="59"/>
        <v>#N/A</v>
      </c>
      <c r="FI69" s="244" t="e">
        <f t="shared" ca="1" si="59"/>
        <v>#N/A</v>
      </c>
      <c r="FJ69" s="244" t="e">
        <f t="shared" ca="1" si="59"/>
        <v>#N/A</v>
      </c>
      <c r="FK69" s="244" t="e">
        <f t="shared" ca="1" si="59"/>
        <v>#N/A</v>
      </c>
      <c r="FL69" s="244" t="e">
        <f t="shared" ca="1" si="59"/>
        <v>#N/A</v>
      </c>
      <c r="FM69" s="244" t="e">
        <f t="shared" ca="1" si="10"/>
        <v>#N/A</v>
      </c>
      <c r="FN69" s="244"/>
    </row>
    <row r="70" spans="5:170" x14ac:dyDescent="0.25">
      <c r="E70" s="244"/>
      <c r="F70" s="244"/>
      <c r="G70" s="244"/>
      <c r="L70">
        <f t="shared" si="37"/>
        <v>70</v>
      </c>
      <c r="R70" s="112">
        <f t="shared" si="14"/>
        <v>0</v>
      </c>
      <c r="S70" s="238" t="e">
        <f t="shared" si="46"/>
        <v>#N/A</v>
      </c>
      <c r="T70" s="112" t="e">
        <f t="shared" ca="1" si="47"/>
        <v>#N/A</v>
      </c>
      <c r="U70" s="112" t="e">
        <f t="shared" ca="1" si="48"/>
        <v>#N/A</v>
      </c>
      <c r="V70" s="112" t="e">
        <f t="shared" ca="1" si="49"/>
        <v>#N/A</v>
      </c>
      <c r="W70" s="112" t="e">
        <f t="shared" ca="1" si="50"/>
        <v>#N/A</v>
      </c>
      <c r="X70" s="112">
        <f t="shared" si="15"/>
        <v>0</v>
      </c>
      <c r="Y70" s="112"/>
      <c r="Z70" s="112"/>
      <c r="AA70" s="112">
        <f t="shared" si="16"/>
        <v>100000</v>
      </c>
      <c r="AB70" s="112" t="e">
        <f t="shared" ca="1" si="17"/>
        <v>#N/A</v>
      </c>
      <c r="AC70" s="112" t="e">
        <f t="shared" ca="1" si="18"/>
        <v>#N/A</v>
      </c>
      <c r="AD70" s="112" t="e">
        <f t="shared" ca="1" si="19"/>
        <v>#N/A</v>
      </c>
      <c r="AE70" s="112" t="e">
        <f t="shared" ca="1" si="20"/>
        <v>#N/A</v>
      </c>
      <c r="AF70" s="112">
        <f t="shared" si="21"/>
        <v>100000</v>
      </c>
      <c r="AG70" s="238">
        <f>AG69+1</f>
        <v>30</v>
      </c>
      <c r="AH70" s="112">
        <f ca="1">INDIRECT(CONCATENATE("AA",AG70))</f>
        <v>100000</v>
      </c>
      <c r="AI70" s="112" t="e">
        <f ca="1">IF(            INDIRECT(CONCATENATE( "AB",AG70))&lt;100000,       INDIRECT(CONCATENATE("AB",AG70))  -1,IF(   INDIRECT(CONCATENATE("AC",AG70))&lt;100000,   INDIRECT(CONCATENATE("AC",AG70))-1,IF(   INDIRECT(CONCATENATE("AD", AG70))&lt;100000, INDIRECT(CONCATENATE("AD",AG70))-1,IF(   INDIRECT(CONCATENATE("AE",AG70))&lt;100000,  INDIRECT(CONCATENATE("AE",G70)),INDIRECT(CONCATENATE("AF",AG70))                ))))</f>
        <v>#N/A</v>
      </c>
      <c r="AJ70" s="114"/>
      <c r="AK70" s="114"/>
      <c r="AL70" s="238" t="e">
        <f t="shared" ca="1" si="38"/>
        <v>#N/A</v>
      </c>
      <c r="AM70" s="112">
        <f t="shared" ca="1" si="58"/>
        <v>100000</v>
      </c>
      <c r="AN70" s="112">
        <f t="shared" ca="1" si="39"/>
        <v>100000</v>
      </c>
      <c r="AO70" s="114">
        <f t="shared" ca="1" si="23"/>
        <v>0</v>
      </c>
      <c r="AP70" s="114">
        <f t="shared" ca="1" si="24"/>
        <v>0</v>
      </c>
      <c r="AQ70" s="112"/>
      <c r="AR70" s="238">
        <f t="shared" si="40"/>
        <v>70</v>
      </c>
      <c r="AS70" s="112"/>
      <c r="AT70" s="112"/>
      <c r="AU70" s="283">
        <f t="shared" si="41"/>
        <v>51</v>
      </c>
      <c r="AV70" s="284">
        <f t="shared" ca="1" si="25"/>
        <v>100000</v>
      </c>
      <c r="AW70" s="284">
        <f t="shared" ca="1" si="52"/>
        <v>100000</v>
      </c>
      <c r="AX70" s="285">
        <f t="shared" ca="1" si="27"/>
        <v>0</v>
      </c>
      <c r="AY70" s="285">
        <f t="shared" ca="1" si="28"/>
        <v>18</v>
      </c>
      <c r="AZ70" s="282"/>
      <c r="BD70" s="114">
        <f t="shared" si="42"/>
        <v>1</v>
      </c>
      <c r="BE70" s="112">
        <f t="shared" si="31"/>
        <v>100000</v>
      </c>
      <c r="BH70" s="238">
        <f t="shared" si="43"/>
        <v>51</v>
      </c>
      <c r="BI70" s="245">
        <f t="shared" si="32"/>
        <v>100000</v>
      </c>
      <c r="BJ70" s="281">
        <f t="shared" ca="1" si="1"/>
        <v>16</v>
      </c>
      <c r="BK70" s="245" t="e">
        <f t="shared" ca="1" si="33"/>
        <v>#N/A</v>
      </c>
      <c r="BL70" s="245" t="e">
        <f t="shared" ca="1" si="34"/>
        <v>#N/A</v>
      </c>
      <c r="BM70" s="244"/>
      <c r="BN70" s="245" t="e">
        <f t="shared" ca="1" si="51"/>
        <v>#N/A</v>
      </c>
      <c r="BQ70" s="245"/>
      <c r="BR70" s="245"/>
      <c r="BS70" s="245"/>
      <c r="BT70" s="245"/>
      <c r="BU70" s="245"/>
      <c r="BV70" s="245"/>
      <c r="BY70" s="245"/>
      <c r="BZ70" s="245"/>
      <c r="CA70" s="245"/>
      <c r="CB70" s="245"/>
      <c r="CC70" s="245"/>
      <c r="CD70" s="245"/>
      <c r="CE70" s="245"/>
      <c r="CF70" s="245"/>
      <c r="CG70" s="245"/>
      <c r="CH70" s="245"/>
      <c r="CL70" s="112"/>
      <c r="CM70" s="112"/>
      <c r="CP70" s="112"/>
      <c r="CQ70" s="112"/>
      <c r="CR70" s="238"/>
      <c r="CS70" s="238"/>
      <c r="CT70" s="112"/>
      <c r="CU70" s="112"/>
      <c r="CV70" s="112"/>
      <c r="CW70" s="112" t="s">
        <v>224</v>
      </c>
      <c r="CX70" s="112" t="s">
        <v>225</v>
      </c>
      <c r="CY70" s="112" t="s">
        <v>226</v>
      </c>
      <c r="CZ70" s="112" t="s">
        <v>227</v>
      </c>
      <c r="DA70" s="112" t="s">
        <v>228</v>
      </c>
      <c r="DB70" s="112" t="s">
        <v>229</v>
      </c>
      <c r="DC70" s="112"/>
      <c r="DD70" s="238"/>
      <c r="DE70" s="112"/>
      <c r="DF70" s="112"/>
      <c r="DG70" s="112"/>
      <c r="DH70" s="238"/>
      <c r="DI70" s="112"/>
      <c r="DJ70" s="112"/>
      <c r="DK70" s="112"/>
      <c r="DL70" s="278" t="str">
        <f t="shared" ca="1" si="44"/>
        <v/>
      </c>
      <c r="DM70" s="245" t="str">
        <f t="shared" ca="1" si="53"/>
        <v/>
      </c>
      <c r="DN70" s="245" t="str">
        <f t="shared" ca="1" si="53"/>
        <v/>
      </c>
      <c r="DO70" s="245" t="str">
        <f t="shared" ca="1" si="53"/>
        <v/>
      </c>
      <c r="DP70" s="245" t="str">
        <f t="shared" ca="1" si="53"/>
        <v/>
      </c>
      <c r="DQ70" s="245" t="str">
        <f t="shared" ca="1" si="53"/>
        <v/>
      </c>
      <c r="DR70" s="244"/>
      <c r="DS70" s="245" t="str">
        <f t="shared" si="54"/>
        <v/>
      </c>
      <c r="DT70" s="245" t="str">
        <f t="shared" si="54"/>
        <v/>
      </c>
      <c r="DU70" s="245" t="str">
        <f t="shared" si="54"/>
        <v/>
      </c>
      <c r="DV70" s="244" t="str">
        <f t="shared" ca="1" si="7"/>
        <v/>
      </c>
      <c r="DW70" s="244"/>
      <c r="DX70" s="244" t="str">
        <f t="shared" ca="1" si="45"/>
        <v/>
      </c>
      <c r="EA70" s="244" t="b">
        <f t="shared" ca="1" si="35"/>
        <v>0</v>
      </c>
      <c r="EB70" s="278" t="e">
        <f ca="1">VLOOKUP(DM70,Foglio1!$AB$31:$AN$261,13)-6+EA70</f>
        <v>#N/A</v>
      </c>
      <c r="EC70" s="244"/>
      <c r="ED70" s="244" t="e">
        <f t="shared" ca="1" si="57"/>
        <v>#N/A</v>
      </c>
      <c r="EE70" s="244" t="e">
        <f t="shared" ca="1" si="57"/>
        <v>#N/A</v>
      </c>
      <c r="EF70" s="244" t="e">
        <f t="shared" ca="1" si="57"/>
        <v>#N/A</v>
      </c>
      <c r="EG70" s="244" t="e">
        <f t="shared" ca="1" si="57"/>
        <v>#N/A</v>
      </c>
      <c r="EH70" s="244" t="e">
        <f t="shared" ca="1" si="57"/>
        <v>#N/A</v>
      </c>
      <c r="EI70" s="244" t="e">
        <f t="shared" ca="1" si="61"/>
        <v>#N/A</v>
      </c>
      <c r="EJ70" s="244" t="e">
        <f t="shared" ca="1" si="61"/>
        <v>#N/A</v>
      </c>
      <c r="EK70" s="244" t="e">
        <f t="shared" ca="1" si="61"/>
        <v>#N/A</v>
      </c>
      <c r="EL70" s="244" t="e">
        <f t="shared" ca="1" si="61"/>
        <v>#N/A</v>
      </c>
      <c r="EM70" s="244" t="e">
        <f t="shared" ca="1" si="61"/>
        <v>#N/A</v>
      </c>
      <c r="EN70" s="244" t="e">
        <f t="shared" ca="1" si="61"/>
        <v>#N/A</v>
      </c>
      <c r="EO70" s="244" t="e">
        <f t="shared" ca="1" si="61"/>
        <v>#N/A</v>
      </c>
      <c r="EP70" s="244" t="e">
        <f t="shared" ca="1" si="61"/>
        <v>#N/A</v>
      </c>
      <c r="EQ70" s="244" t="e">
        <f t="shared" ca="1" si="61"/>
        <v>#N/A</v>
      </c>
      <c r="ER70" s="244"/>
      <c r="EW70" s="244">
        <v>0</v>
      </c>
      <c r="EX70" s="278" t="e">
        <f ca="1">VLOOKUP(DM70,Foglio1!$AB$31:$AN$261,13)-6+EW70</f>
        <v>#N/A</v>
      </c>
      <c r="EY70" s="244"/>
      <c r="EZ70" s="244" t="e">
        <f t="shared" ca="1" si="36"/>
        <v>#N/A</v>
      </c>
      <c r="FA70" s="244" t="e">
        <f t="shared" ca="1" si="60"/>
        <v>#N/A</v>
      </c>
      <c r="FB70" s="244" t="e">
        <f t="shared" ca="1" si="60"/>
        <v>#N/A</v>
      </c>
      <c r="FC70" s="244" t="e">
        <f t="shared" ca="1" si="60"/>
        <v>#N/A</v>
      </c>
      <c r="FD70" s="244" t="e">
        <f t="shared" ca="1" si="59"/>
        <v>#N/A</v>
      </c>
      <c r="FE70" s="244" t="e">
        <f t="shared" ca="1" si="59"/>
        <v>#N/A</v>
      </c>
      <c r="FF70" s="244" t="e">
        <f t="shared" ca="1" si="59"/>
        <v>#N/A</v>
      </c>
      <c r="FG70" s="244" t="e">
        <f t="shared" ca="1" si="59"/>
        <v>#N/A</v>
      </c>
      <c r="FH70" s="244" t="e">
        <f t="shared" ca="1" si="59"/>
        <v>#N/A</v>
      </c>
      <c r="FI70" s="244" t="e">
        <f t="shared" ca="1" si="59"/>
        <v>#N/A</v>
      </c>
      <c r="FJ70" s="244" t="e">
        <f t="shared" ca="1" si="59"/>
        <v>#N/A</v>
      </c>
      <c r="FK70" s="244" t="e">
        <f t="shared" ca="1" si="59"/>
        <v>#N/A</v>
      </c>
      <c r="FL70" s="244" t="e">
        <f t="shared" ca="1" si="59"/>
        <v>#N/A</v>
      </c>
      <c r="FM70" s="244" t="e">
        <f t="shared" ca="1" si="10"/>
        <v>#N/A</v>
      </c>
      <c r="FN70" s="244"/>
    </row>
    <row r="71" spans="5:170" x14ac:dyDescent="0.25">
      <c r="E71" s="244"/>
      <c r="F71" s="244"/>
      <c r="G71" s="244"/>
      <c r="L71">
        <f t="shared" si="37"/>
        <v>71</v>
      </c>
      <c r="R71" s="112">
        <f t="shared" si="14"/>
        <v>0</v>
      </c>
      <c r="S71" s="238" t="e">
        <f t="shared" si="46"/>
        <v>#N/A</v>
      </c>
      <c r="T71" s="112" t="e">
        <f t="shared" ca="1" si="47"/>
        <v>#N/A</v>
      </c>
      <c r="U71" s="112" t="e">
        <f t="shared" ca="1" si="48"/>
        <v>#N/A</v>
      </c>
      <c r="V71" s="112" t="e">
        <f t="shared" ca="1" si="49"/>
        <v>#N/A</v>
      </c>
      <c r="W71" s="112" t="e">
        <f t="shared" ca="1" si="50"/>
        <v>#N/A</v>
      </c>
      <c r="X71" s="112">
        <f t="shared" si="15"/>
        <v>0</v>
      </c>
      <c r="Y71" s="112"/>
      <c r="Z71" s="112"/>
      <c r="AA71" s="112">
        <f t="shared" si="16"/>
        <v>100000</v>
      </c>
      <c r="AB71" s="112" t="e">
        <f t="shared" ca="1" si="17"/>
        <v>#N/A</v>
      </c>
      <c r="AC71" s="112" t="e">
        <f t="shared" ca="1" si="18"/>
        <v>#N/A</v>
      </c>
      <c r="AD71" s="112" t="e">
        <f t="shared" ca="1" si="19"/>
        <v>#N/A</v>
      </c>
      <c r="AE71" s="112" t="e">
        <f t="shared" ca="1" si="20"/>
        <v>#N/A</v>
      </c>
      <c r="AF71" s="112">
        <f t="shared" si="21"/>
        <v>100000</v>
      </c>
      <c r="AG71" s="238">
        <f>AG70</f>
        <v>30</v>
      </c>
      <c r="AH71" s="112" t="e">
        <f ca="1">AI70+1</f>
        <v>#N/A</v>
      </c>
      <c r="AI71" s="112" t="e">
        <f ca="1">IF(INDIRECT(CONCATENATE("AC",AG70))&lt;100000,INDIRECT(CONCATENATE("AC",AG70))-1,IF(INDIRECT(CONCATENATE("AD",AG70))&lt;100000,INDIRECT(CONCATENATE("AD",AG70))-1,IF(INDIRECT(CONCATENATE("AE",AG70))&lt;100000,INDIRECT(CONCATENATE("AE",G70)),INDIRECT(CONCATENATE("AF",AG70)))))</f>
        <v>#N/A</v>
      </c>
      <c r="AJ71" s="114"/>
      <c r="AK71" s="114"/>
      <c r="AL71" s="238" t="e">
        <f t="shared" ca="1" si="38"/>
        <v>#N/A</v>
      </c>
      <c r="AM71" s="112">
        <f t="shared" ca="1" si="58"/>
        <v>100000</v>
      </c>
      <c r="AN71" s="112">
        <f t="shared" ca="1" si="39"/>
        <v>100000</v>
      </c>
      <c r="AO71" s="114">
        <f t="shared" ca="1" si="23"/>
        <v>0</v>
      </c>
      <c r="AP71" s="114">
        <f t="shared" ca="1" si="24"/>
        <v>0</v>
      </c>
      <c r="AQ71" s="112"/>
      <c r="AR71" s="238">
        <f t="shared" si="40"/>
        <v>71</v>
      </c>
      <c r="AS71" s="112"/>
      <c r="AT71" s="112"/>
      <c r="AU71" s="283">
        <f t="shared" si="41"/>
        <v>52</v>
      </c>
      <c r="AV71" s="284">
        <f t="shared" ca="1" si="25"/>
        <v>100000</v>
      </c>
      <c r="AW71" s="284">
        <f t="shared" ca="1" si="52"/>
        <v>100000</v>
      </c>
      <c r="AX71" s="285">
        <f t="shared" ca="1" si="27"/>
        <v>0</v>
      </c>
      <c r="AY71" s="285">
        <f t="shared" ca="1" si="28"/>
        <v>18</v>
      </c>
      <c r="AZ71" s="282"/>
      <c r="BD71" s="114">
        <f t="shared" si="42"/>
        <v>1</v>
      </c>
      <c r="BE71" s="112">
        <f t="shared" si="31"/>
        <v>100000</v>
      </c>
      <c r="BH71" s="238">
        <f t="shared" si="43"/>
        <v>52</v>
      </c>
      <c r="BI71" s="245">
        <f t="shared" si="32"/>
        <v>100000</v>
      </c>
      <c r="BJ71" s="281">
        <f t="shared" ca="1" si="1"/>
        <v>16</v>
      </c>
      <c r="BK71" s="245" t="e">
        <f t="shared" ca="1" si="33"/>
        <v>#N/A</v>
      </c>
      <c r="BL71" s="245" t="e">
        <f t="shared" ca="1" si="34"/>
        <v>#N/A</v>
      </c>
      <c r="BM71" s="244"/>
      <c r="BN71" s="245" t="e">
        <f t="shared" ca="1" si="51"/>
        <v>#N/A</v>
      </c>
      <c r="BQ71" s="245"/>
      <c r="BR71" s="245"/>
      <c r="BS71" s="245"/>
      <c r="BT71" s="245"/>
      <c r="BU71" s="245"/>
      <c r="BV71" s="245"/>
      <c r="BY71" s="245"/>
      <c r="BZ71" s="245"/>
      <c r="CA71" s="245"/>
      <c r="CB71" s="245"/>
      <c r="CC71" s="245"/>
      <c r="CD71" s="245"/>
      <c r="CE71" s="245"/>
      <c r="CF71" s="245"/>
      <c r="CG71" s="245"/>
      <c r="CH71" s="245"/>
      <c r="CL71" s="112"/>
      <c r="CM71" s="112"/>
      <c r="CP71" s="112"/>
      <c r="CQ71" s="112"/>
      <c r="CR71" s="238"/>
      <c r="CS71" s="238"/>
      <c r="CT71" s="112"/>
      <c r="CU71" s="112"/>
      <c r="CV71" s="112"/>
      <c r="CW71" s="112" t="s">
        <v>224</v>
      </c>
      <c r="CX71" s="112" t="s">
        <v>225</v>
      </c>
      <c r="CY71" s="112" t="s">
        <v>226</v>
      </c>
      <c r="CZ71" s="112" t="s">
        <v>227</v>
      </c>
      <c r="DA71" s="112" t="s">
        <v>228</v>
      </c>
      <c r="DB71" s="112" t="s">
        <v>229</v>
      </c>
      <c r="DC71" s="112"/>
      <c r="DD71" s="238"/>
      <c r="DE71" s="112"/>
      <c r="DF71" s="112"/>
      <c r="DG71" s="112"/>
      <c r="DH71" s="238"/>
      <c r="DI71" s="112"/>
      <c r="DJ71" s="112"/>
      <c r="DK71" s="112"/>
      <c r="DL71" s="278" t="str">
        <f t="shared" ca="1" si="44"/>
        <v/>
      </c>
      <c r="DM71" s="245" t="str">
        <f t="shared" ca="1" si="53"/>
        <v/>
      </c>
      <c r="DN71" s="245" t="str">
        <f t="shared" ca="1" si="53"/>
        <v/>
      </c>
      <c r="DO71" s="245" t="str">
        <f t="shared" ca="1" si="53"/>
        <v/>
      </c>
      <c r="DP71" s="245" t="str">
        <f t="shared" ca="1" si="53"/>
        <v/>
      </c>
      <c r="DQ71" s="245" t="str">
        <f t="shared" ca="1" si="53"/>
        <v/>
      </c>
      <c r="DR71" s="244"/>
      <c r="DS71" s="245" t="str">
        <f t="shared" si="54"/>
        <v/>
      </c>
      <c r="DT71" s="245" t="str">
        <f t="shared" si="54"/>
        <v/>
      </c>
      <c r="DU71" s="245" t="str">
        <f t="shared" si="54"/>
        <v/>
      </c>
      <c r="DV71" s="244" t="str">
        <f t="shared" ca="1" si="7"/>
        <v/>
      </c>
      <c r="DW71" s="244"/>
      <c r="DX71" s="244" t="str">
        <f t="shared" ca="1" si="45"/>
        <v/>
      </c>
      <c r="EA71" s="244" t="b">
        <f t="shared" ca="1" si="35"/>
        <v>0</v>
      </c>
      <c r="EB71" s="278" t="e">
        <f ca="1">VLOOKUP(DM71,Foglio1!$AB$31:$AN$261,13)-6+EA71</f>
        <v>#N/A</v>
      </c>
      <c r="EC71" s="244"/>
      <c r="ED71" s="244" t="e">
        <f t="shared" ref="ED71:EK102" ca="1" si="62">INDIRECT(CONCATENATE(EB$16,EB$17,$EB71))</f>
        <v>#N/A</v>
      </c>
      <c r="EE71" s="244" t="e">
        <f t="shared" ca="1" si="62"/>
        <v>#N/A</v>
      </c>
      <c r="EF71" s="244" t="e">
        <f t="shared" ca="1" si="62"/>
        <v>#N/A</v>
      </c>
      <c r="EG71" s="244" t="e">
        <f t="shared" ca="1" si="62"/>
        <v>#N/A</v>
      </c>
      <c r="EH71" s="244" t="e">
        <f t="shared" ca="1" si="62"/>
        <v>#N/A</v>
      </c>
      <c r="EI71" s="244" t="e">
        <f t="shared" ca="1" si="61"/>
        <v>#N/A</v>
      </c>
      <c r="EJ71" s="244" t="e">
        <f t="shared" ca="1" si="61"/>
        <v>#N/A</v>
      </c>
      <c r="EK71" s="244" t="e">
        <f t="shared" ca="1" si="61"/>
        <v>#N/A</v>
      </c>
      <c r="EL71" s="244" t="e">
        <f t="shared" ca="1" si="61"/>
        <v>#N/A</v>
      </c>
      <c r="EM71" s="244" t="e">
        <f t="shared" ca="1" si="61"/>
        <v>#N/A</v>
      </c>
      <c r="EN71" s="244" t="e">
        <f t="shared" ca="1" si="61"/>
        <v>#N/A</v>
      </c>
      <c r="EO71" s="244" t="e">
        <f t="shared" ca="1" si="61"/>
        <v>#N/A</v>
      </c>
      <c r="EP71" s="244" t="e">
        <f t="shared" ca="1" si="61"/>
        <v>#N/A</v>
      </c>
      <c r="EQ71" s="244" t="e">
        <f t="shared" ca="1" si="61"/>
        <v>#N/A</v>
      </c>
      <c r="ER71" s="244"/>
      <c r="EW71" s="244">
        <v>0</v>
      </c>
      <c r="EX71" s="278" t="e">
        <f ca="1">VLOOKUP(DM71,Foglio1!$AB$31:$AN$261,13)-6+EW71</f>
        <v>#N/A</v>
      </c>
      <c r="EY71" s="244"/>
      <c r="EZ71" s="244" t="e">
        <f t="shared" ca="1" si="36"/>
        <v>#N/A</v>
      </c>
      <c r="FA71" s="244" t="e">
        <f t="shared" ca="1" si="60"/>
        <v>#N/A</v>
      </c>
      <c r="FB71" s="244" t="e">
        <f t="shared" ca="1" si="60"/>
        <v>#N/A</v>
      </c>
      <c r="FC71" s="244" t="e">
        <f t="shared" ca="1" si="60"/>
        <v>#N/A</v>
      </c>
      <c r="FD71" s="244" t="e">
        <f t="shared" ca="1" si="59"/>
        <v>#N/A</v>
      </c>
      <c r="FE71" s="244" t="e">
        <f t="shared" ca="1" si="59"/>
        <v>#N/A</v>
      </c>
      <c r="FF71" s="244" t="e">
        <f t="shared" ca="1" si="59"/>
        <v>#N/A</v>
      </c>
      <c r="FG71" s="244" t="e">
        <f t="shared" ca="1" si="59"/>
        <v>#N/A</v>
      </c>
      <c r="FH71" s="244" t="e">
        <f t="shared" ca="1" si="59"/>
        <v>#N/A</v>
      </c>
      <c r="FI71" s="244" t="e">
        <f t="shared" ca="1" si="59"/>
        <v>#N/A</v>
      </c>
      <c r="FJ71" s="244" t="e">
        <f t="shared" ca="1" si="59"/>
        <v>#N/A</v>
      </c>
      <c r="FK71" s="244" t="e">
        <f t="shared" ca="1" si="59"/>
        <v>#N/A</v>
      </c>
      <c r="FL71" s="244" t="e">
        <f t="shared" ca="1" si="59"/>
        <v>#N/A</v>
      </c>
      <c r="FM71" s="244" t="e">
        <f t="shared" ca="1" si="10"/>
        <v>#N/A</v>
      </c>
      <c r="FN71" s="244"/>
    </row>
    <row r="72" spans="5:170" x14ac:dyDescent="0.25">
      <c r="E72" s="244"/>
      <c r="F72" s="244"/>
      <c r="G72" s="244"/>
      <c r="L72">
        <f t="shared" si="37"/>
        <v>72</v>
      </c>
      <c r="R72" s="112">
        <f t="shared" si="14"/>
        <v>0</v>
      </c>
      <c r="S72" s="238" t="e">
        <f t="shared" si="46"/>
        <v>#N/A</v>
      </c>
      <c r="T72" s="112" t="e">
        <f t="shared" ca="1" si="47"/>
        <v>#N/A</v>
      </c>
      <c r="U72" s="112" t="e">
        <f t="shared" ca="1" si="48"/>
        <v>#N/A</v>
      </c>
      <c r="V72" s="112" t="e">
        <f t="shared" ca="1" si="49"/>
        <v>#N/A</v>
      </c>
      <c r="W72" s="112" t="e">
        <f t="shared" ca="1" si="50"/>
        <v>#N/A</v>
      </c>
      <c r="X72" s="112">
        <f t="shared" si="15"/>
        <v>0</v>
      </c>
      <c r="Y72" s="112"/>
      <c r="Z72" s="112"/>
      <c r="AA72" s="112">
        <f t="shared" si="16"/>
        <v>100000</v>
      </c>
      <c r="AB72" s="112" t="e">
        <f t="shared" ca="1" si="17"/>
        <v>#N/A</v>
      </c>
      <c r="AC72" s="112" t="e">
        <f t="shared" ca="1" si="18"/>
        <v>#N/A</v>
      </c>
      <c r="AD72" s="112" t="e">
        <f t="shared" ca="1" si="19"/>
        <v>#N/A</v>
      </c>
      <c r="AE72" s="112" t="e">
        <f t="shared" ca="1" si="20"/>
        <v>#N/A</v>
      </c>
      <c r="AF72" s="112">
        <f t="shared" si="21"/>
        <v>100000</v>
      </c>
      <c r="AG72" s="238">
        <f>AG71</f>
        <v>30</v>
      </c>
      <c r="AH72" s="112" t="e">
        <f ca="1">AI71+1</f>
        <v>#N/A</v>
      </c>
      <c r="AI72" s="112" t="e">
        <f ca="1">IF(INDIRECT(CONCATENATE("AD",AG70))&lt;100000,INDIRECT(CONCATENATE("AD",AG70))-1,IF(INDIRECT(CONCATENATE("AE",AG70))&lt;100000,INDIRECT(CONCATENATE("AE",G70)),INDIRECT(CONCATENATE("AF",AG70))))</f>
        <v>#N/A</v>
      </c>
      <c r="AJ72" s="114"/>
      <c r="AK72" s="114"/>
      <c r="AL72" s="238" t="e">
        <f t="shared" ca="1" si="38"/>
        <v>#N/A</v>
      </c>
      <c r="AM72" s="112">
        <f t="shared" ca="1" si="58"/>
        <v>100000</v>
      </c>
      <c r="AN72" s="112">
        <f t="shared" ca="1" si="39"/>
        <v>100000</v>
      </c>
      <c r="AO72" s="114">
        <f t="shared" ca="1" si="23"/>
        <v>0</v>
      </c>
      <c r="AP72" s="114">
        <f t="shared" ca="1" si="24"/>
        <v>0</v>
      </c>
      <c r="AQ72" s="112"/>
      <c r="AR72" s="238">
        <f t="shared" si="40"/>
        <v>72</v>
      </c>
      <c r="AS72" s="112"/>
      <c r="AT72" s="112"/>
      <c r="AU72" s="283">
        <f t="shared" si="41"/>
        <v>53</v>
      </c>
      <c r="AV72" s="284">
        <f t="shared" ca="1" si="25"/>
        <v>100000</v>
      </c>
      <c r="AW72" s="284">
        <f t="shared" ca="1" si="52"/>
        <v>100000</v>
      </c>
      <c r="AX72" s="285">
        <f t="shared" ca="1" si="27"/>
        <v>0</v>
      </c>
      <c r="AY72" s="285">
        <f t="shared" ca="1" si="28"/>
        <v>18</v>
      </c>
      <c r="AZ72" s="282"/>
      <c r="BD72" s="114">
        <f t="shared" si="42"/>
        <v>1</v>
      </c>
      <c r="BE72" s="112">
        <f t="shared" si="31"/>
        <v>100000</v>
      </c>
      <c r="BH72" s="238">
        <f t="shared" si="43"/>
        <v>53</v>
      </c>
      <c r="BI72" s="245">
        <f t="shared" si="32"/>
        <v>100000</v>
      </c>
      <c r="BJ72" s="281">
        <f t="shared" ca="1" si="1"/>
        <v>16</v>
      </c>
      <c r="BK72" s="245" t="e">
        <f t="shared" ca="1" si="33"/>
        <v>#N/A</v>
      </c>
      <c r="BL72" s="245" t="e">
        <f t="shared" ca="1" si="34"/>
        <v>#N/A</v>
      </c>
      <c r="BM72" s="244"/>
      <c r="BN72" s="245" t="e">
        <f t="shared" ca="1" si="51"/>
        <v>#N/A</v>
      </c>
      <c r="BQ72" s="245"/>
      <c r="BR72" s="245"/>
      <c r="BS72" s="245"/>
      <c r="BT72" s="245"/>
      <c r="BU72" s="245"/>
      <c r="BV72" s="245"/>
      <c r="BY72" s="245"/>
      <c r="BZ72" s="245"/>
      <c r="CA72" s="245"/>
      <c r="CB72" s="245"/>
      <c r="CC72" s="245"/>
      <c r="CD72" s="245"/>
      <c r="CE72" s="245"/>
      <c r="CF72" s="245"/>
      <c r="CG72" s="245"/>
      <c r="CH72" s="245"/>
      <c r="CL72" s="112"/>
      <c r="CM72" s="112"/>
      <c r="CP72" s="112"/>
      <c r="CQ72" s="112"/>
      <c r="CR72" s="238"/>
      <c r="CS72" s="238"/>
      <c r="CT72" s="112"/>
      <c r="CU72" s="112"/>
      <c r="CV72" s="112"/>
      <c r="CW72" s="112" t="s">
        <v>224</v>
      </c>
      <c r="CX72" s="112" t="s">
        <v>225</v>
      </c>
      <c r="CY72" s="112" t="s">
        <v>226</v>
      </c>
      <c r="CZ72" s="112" t="s">
        <v>227</v>
      </c>
      <c r="DA72" s="112" t="s">
        <v>228</v>
      </c>
      <c r="DB72" s="112" t="s">
        <v>229</v>
      </c>
      <c r="DC72" s="112"/>
      <c r="DD72" s="238"/>
      <c r="DE72" s="112"/>
      <c r="DF72" s="112"/>
      <c r="DG72" s="112"/>
      <c r="DH72" s="238"/>
      <c r="DI72" s="112"/>
      <c r="DJ72" s="112"/>
      <c r="DK72" s="112"/>
      <c r="DL72" s="278" t="str">
        <f t="shared" ca="1" si="44"/>
        <v/>
      </c>
      <c r="DM72" s="245" t="str">
        <f t="shared" ca="1" si="53"/>
        <v/>
      </c>
      <c r="DN72" s="245" t="str">
        <f t="shared" ca="1" si="53"/>
        <v/>
      </c>
      <c r="DO72" s="245" t="str">
        <f t="shared" ca="1" si="53"/>
        <v/>
      </c>
      <c r="DP72" s="245" t="str">
        <f t="shared" ca="1" si="53"/>
        <v/>
      </c>
      <c r="DQ72" s="245" t="str">
        <f t="shared" ca="1" si="53"/>
        <v/>
      </c>
      <c r="DR72" s="244"/>
      <c r="DS72" s="245" t="str">
        <f t="shared" si="54"/>
        <v/>
      </c>
      <c r="DT72" s="245" t="str">
        <f t="shared" si="54"/>
        <v/>
      </c>
      <c r="DU72" s="245" t="str">
        <f t="shared" si="54"/>
        <v/>
      </c>
      <c r="DV72" s="244" t="str">
        <f t="shared" ca="1" si="7"/>
        <v/>
      </c>
      <c r="DW72" s="244"/>
      <c r="DX72" s="244" t="str">
        <f t="shared" ca="1" si="45"/>
        <v/>
      </c>
      <c r="EA72" s="244" t="b">
        <f t="shared" ca="1" si="35"/>
        <v>0</v>
      </c>
      <c r="EB72" s="278" t="e">
        <f ca="1">VLOOKUP(DM72,Foglio1!$AB$31:$AN$261,13)-6+EA72</f>
        <v>#N/A</v>
      </c>
      <c r="EC72" s="244"/>
      <c r="ED72" s="244" t="e">
        <f t="shared" ca="1" si="62"/>
        <v>#N/A</v>
      </c>
      <c r="EE72" s="244" t="e">
        <f t="shared" ca="1" si="62"/>
        <v>#N/A</v>
      </c>
      <c r="EF72" s="244" t="e">
        <f t="shared" ca="1" si="62"/>
        <v>#N/A</v>
      </c>
      <c r="EG72" s="244" t="e">
        <f t="shared" ca="1" si="62"/>
        <v>#N/A</v>
      </c>
      <c r="EH72" s="244" t="e">
        <f t="shared" ca="1" si="62"/>
        <v>#N/A</v>
      </c>
      <c r="EI72" s="244" t="e">
        <f t="shared" ca="1" si="61"/>
        <v>#N/A</v>
      </c>
      <c r="EJ72" s="244" t="e">
        <f t="shared" ca="1" si="61"/>
        <v>#N/A</v>
      </c>
      <c r="EK72" s="244" t="e">
        <f t="shared" ca="1" si="61"/>
        <v>#N/A</v>
      </c>
      <c r="EL72" s="244" t="e">
        <f t="shared" ca="1" si="61"/>
        <v>#N/A</v>
      </c>
      <c r="EM72" s="244" t="e">
        <f t="shared" ca="1" si="61"/>
        <v>#N/A</v>
      </c>
      <c r="EN72" s="244" t="e">
        <f t="shared" ca="1" si="61"/>
        <v>#N/A</v>
      </c>
      <c r="EO72" s="244" t="e">
        <f t="shared" ca="1" si="61"/>
        <v>#N/A</v>
      </c>
      <c r="EP72" s="244" t="e">
        <f t="shared" ca="1" si="61"/>
        <v>#N/A</v>
      </c>
      <c r="EQ72" s="244" t="e">
        <f t="shared" ca="1" si="61"/>
        <v>#N/A</v>
      </c>
      <c r="ER72" s="244"/>
      <c r="EW72" s="244">
        <v>0</v>
      </c>
      <c r="EX72" s="278" t="e">
        <f ca="1">VLOOKUP(DM72,Foglio1!$AB$31:$AN$261,13)-6+EW72</f>
        <v>#N/A</v>
      </c>
      <c r="EY72" s="244"/>
      <c r="EZ72" s="244" t="e">
        <f t="shared" ca="1" si="36"/>
        <v>#N/A</v>
      </c>
      <c r="FA72" s="244" t="e">
        <f t="shared" ca="1" si="60"/>
        <v>#N/A</v>
      </c>
      <c r="FB72" s="244" t="e">
        <f t="shared" ca="1" si="60"/>
        <v>#N/A</v>
      </c>
      <c r="FC72" s="244" t="e">
        <f t="shared" ca="1" si="60"/>
        <v>#N/A</v>
      </c>
      <c r="FD72" s="244" t="e">
        <f t="shared" ca="1" si="59"/>
        <v>#N/A</v>
      </c>
      <c r="FE72" s="244" t="e">
        <f t="shared" ca="1" si="59"/>
        <v>#N/A</v>
      </c>
      <c r="FF72" s="244" t="e">
        <f t="shared" ca="1" si="59"/>
        <v>#N/A</v>
      </c>
      <c r="FG72" s="244" t="e">
        <f t="shared" ca="1" si="59"/>
        <v>#N/A</v>
      </c>
      <c r="FH72" s="244" t="e">
        <f t="shared" ca="1" si="59"/>
        <v>#N/A</v>
      </c>
      <c r="FI72" s="244" t="e">
        <f t="shared" ca="1" si="59"/>
        <v>#N/A</v>
      </c>
      <c r="FJ72" s="244" t="e">
        <f t="shared" ca="1" si="59"/>
        <v>#N/A</v>
      </c>
      <c r="FK72" s="244" t="e">
        <f t="shared" ca="1" si="59"/>
        <v>#N/A</v>
      </c>
      <c r="FL72" s="244" t="e">
        <f t="shared" ca="1" si="59"/>
        <v>#N/A</v>
      </c>
      <c r="FM72" s="244" t="e">
        <f t="shared" ca="1" si="10"/>
        <v>#N/A</v>
      </c>
      <c r="FN72" s="244"/>
    </row>
    <row r="73" spans="5:170" x14ac:dyDescent="0.25">
      <c r="E73" s="244"/>
      <c r="F73" s="244"/>
      <c r="G73" s="244"/>
      <c r="L73">
        <f t="shared" si="37"/>
        <v>73</v>
      </c>
      <c r="R73" s="112">
        <f t="shared" si="14"/>
        <v>0</v>
      </c>
      <c r="S73" s="238" t="e">
        <f t="shared" si="46"/>
        <v>#N/A</v>
      </c>
      <c r="T73" s="112" t="e">
        <f t="shared" ca="1" si="47"/>
        <v>#N/A</v>
      </c>
      <c r="U73" s="112" t="e">
        <f t="shared" ca="1" si="48"/>
        <v>#N/A</v>
      </c>
      <c r="V73" s="112" t="e">
        <f t="shared" ca="1" si="49"/>
        <v>#N/A</v>
      </c>
      <c r="W73" s="112" t="e">
        <f t="shared" ca="1" si="50"/>
        <v>#N/A</v>
      </c>
      <c r="X73" s="112">
        <f t="shared" si="15"/>
        <v>0</v>
      </c>
      <c r="Y73" s="112"/>
      <c r="Z73" s="112"/>
      <c r="AA73" s="112">
        <f t="shared" si="16"/>
        <v>100000</v>
      </c>
      <c r="AB73" s="112" t="e">
        <f t="shared" ca="1" si="17"/>
        <v>#N/A</v>
      </c>
      <c r="AC73" s="112" t="e">
        <f t="shared" ca="1" si="18"/>
        <v>#N/A</v>
      </c>
      <c r="AD73" s="112" t="e">
        <f t="shared" ca="1" si="19"/>
        <v>#N/A</v>
      </c>
      <c r="AE73" s="112" t="e">
        <f t="shared" ca="1" si="20"/>
        <v>#N/A</v>
      </c>
      <c r="AF73" s="112">
        <f t="shared" si="21"/>
        <v>100000</v>
      </c>
      <c r="AG73" s="238">
        <f>AG72</f>
        <v>30</v>
      </c>
      <c r="AH73" s="112" t="e">
        <f ca="1">AI72+1</f>
        <v>#N/A</v>
      </c>
      <c r="AI73" s="112" t="e">
        <f ca="1">IF(INDIRECT(CONCATENATE("AE",AG70))&lt;100000,INDIRECT(CONCATENATE("AE",G70)),INDIRECT(CONCATENATE("AF",AG70)))</f>
        <v>#N/A</v>
      </c>
      <c r="AJ73" s="114"/>
      <c r="AK73" s="114"/>
      <c r="AL73" s="238" t="e">
        <f t="shared" ca="1" si="38"/>
        <v>#N/A</v>
      </c>
      <c r="AM73" s="112">
        <f t="shared" ca="1" si="58"/>
        <v>100000</v>
      </c>
      <c r="AN73" s="112">
        <f t="shared" ca="1" si="39"/>
        <v>100000</v>
      </c>
      <c r="AO73" s="114">
        <f t="shared" ca="1" si="23"/>
        <v>0</v>
      </c>
      <c r="AP73" s="114">
        <f t="shared" ca="1" si="24"/>
        <v>0</v>
      </c>
      <c r="AQ73" s="112"/>
      <c r="AR73" s="238">
        <f t="shared" si="40"/>
        <v>73</v>
      </c>
      <c r="AS73" s="112"/>
      <c r="AT73" s="112"/>
      <c r="AU73" s="283">
        <f t="shared" si="41"/>
        <v>54</v>
      </c>
      <c r="AV73" s="284">
        <f t="shared" ca="1" si="25"/>
        <v>100000</v>
      </c>
      <c r="AW73" s="284">
        <f t="shared" ca="1" si="52"/>
        <v>100000</v>
      </c>
      <c r="AX73" s="285">
        <f t="shared" ca="1" si="27"/>
        <v>0</v>
      </c>
      <c r="AY73" s="285">
        <f t="shared" ca="1" si="28"/>
        <v>18</v>
      </c>
      <c r="AZ73" s="282"/>
      <c r="BD73" s="114">
        <f t="shared" si="42"/>
        <v>1</v>
      </c>
      <c r="BE73" s="112">
        <f t="shared" si="31"/>
        <v>100000</v>
      </c>
      <c r="BH73" s="238">
        <f t="shared" si="43"/>
        <v>54</v>
      </c>
      <c r="BI73" s="245">
        <f t="shared" si="32"/>
        <v>100000</v>
      </c>
      <c r="BJ73" s="281">
        <f t="shared" ca="1" si="1"/>
        <v>16</v>
      </c>
      <c r="BK73" s="245" t="e">
        <f t="shared" ca="1" si="33"/>
        <v>#N/A</v>
      </c>
      <c r="BL73" s="245" t="e">
        <f t="shared" ca="1" si="34"/>
        <v>#N/A</v>
      </c>
      <c r="BM73" s="244"/>
      <c r="BN73" s="245" t="e">
        <f t="shared" ca="1" si="51"/>
        <v>#N/A</v>
      </c>
      <c r="BQ73" s="245"/>
      <c r="BR73" s="245"/>
      <c r="BS73" s="245"/>
      <c r="BT73" s="245"/>
      <c r="BU73" s="245"/>
      <c r="BV73" s="245"/>
      <c r="BY73" s="245"/>
      <c r="BZ73" s="245"/>
      <c r="CA73" s="245"/>
      <c r="CB73" s="245"/>
      <c r="CC73" s="245"/>
      <c r="CD73" s="245"/>
      <c r="CE73" s="245"/>
      <c r="CF73" s="245"/>
      <c r="CG73" s="245"/>
      <c r="CH73" s="245"/>
      <c r="CL73" s="112"/>
      <c r="CM73" s="112"/>
      <c r="CP73" s="112"/>
      <c r="CQ73" s="112"/>
      <c r="CR73" s="238"/>
      <c r="CS73" s="238"/>
      <c r="CT73" s="112"/>
      <c r="CU73" s="112"/>
      <c r="CV73" s="112"/>
      <c r="CW73" s="112" t="s">
        <v>224</v>
      </c>
      <c r="CX73" s="112" t="s">
        <v>225</v>
      </c>
      <c r="CY73" s="112" t="s">
        <v>226</v>
      </c>
      <c r="CZ73" s="112" t="s">
        <v>227</v>
      </c>
      <c r="DA73" s="112" t="s">
        <v>228</v>
      </c>
      <c r="DB73" s="112" t="s">
        <v>229</v>
      </c>
      <c r="DC73" s="112"/>
      <c r="DD73" s="238"/>
      <c r="DE73" s="112"/>
      <c r="DF73" s="112"/>
      <c r="DG73" s="112"/>
      <c r="DH73" s="238"/>
      <c r="DI73" s="112"/>
      <c r="DJ73" s="112"/>
      <c r="DK73" s="112"/>
      <c r="DL73" s="278" t="str">
        <f t="shared" ca="1" si="44"/>
        <v/>
      </c>
      <c r="DM73" s="245" t="str">
        <f t="shared" ca="1" si="53"/>
        <v/>
      </c>
      <c r="DN73" s="245" t="str">
        <f t="shared" ca="1" si="53"/>
        <v/>
      </c>
      <c r="DO73" s="245" t="str">
        <f t="shared" ca="1" si="53"/>
        <v/>
      </c>
      <c r="DP73" s="245" t="str">
        <f t="shared" ca="1" si="53"/>
        <v/>
      </c>
      <c r="DQ73" s="245" t="str">
        <f t="shared" ca="1" si="53"/>
        <v/>
      </c>
      <c r="DR73" s="244"/>
      <c r="DS73" s="245" t="str">
        <f t="shared" si="54"/>
        <v/>
      </c>
      <c r="DT73" s="245" t="str">
        <f t="shared" si="54"/>
        <v/>
      </c>
      <c r="DU73" s="245" t="str">
        <f t="shared" si="54"/>
        <v/>
      </c>
      <c r="DV73" s="244" t="str">
        <f t="shared" ca="1" si="7"/>
        <v/>
      </c>
      <c r="DW73" s="244"/>
      <c r="DX73" s="244" t="str">
        <f t="shared" ca="1" si="45"/>
        <v/>
      </c>
      <c r="EA73" s="244" t="b">
        <f t="shared" ca="1" si="35"/>
        <v>0</v>
      </c>
      <c r="EB73" s="278" t="e">
        <f ca="1">VLOOKUP(DM73,Foglio1!$AB$31:$AN$261,13)-6+EA73</f>
        <v>#N/A</v>
      </c>
      <c r="EC73" s="244"/>
      <c r="ED73" s="244" t="e">
        <f t="shared" ca="1" si="62"/>
        <v>#N/A</v>
      </c>
      <c r="EE73" s="244" t="e">
        <f t="shared" ca="1" si="62"/>
        <v>#N/A</v>
      </c>
      <c r="EF73" s="244" t="e">
        <f t="shared" ca="1" si="62"/>
        <v>#N/A</v>
      </c>
      <c r="EG73" s="244" t="e">
        <f t="shared" ca="1" si="62"/>
        <v>#N/A</v>
      </c>
      <c r="EH73" s="244" t="e">
        <f t="shared" ca="1" si="62"/>
        <v>#N/A</v>
      </c>
      <c r="EI73" s="244" t="e">
        <f t="shared" ca="1" si="61"/>
        <v>#N/A</v>
      </c>
      <c r="EJ73" s="244" t="e">
        <f t="shared" ca="1" si="61"/>
        <v>#N/A</v>
      </c>
      <c r="EK73" s="244" t="e">
        <f t="shared" ca="1" si="61"/>
        <v>#N/A</v>
      </c>
      <c r="EL73" s="244" t="e">
        <f t="shared" ca="1" si="61"/>
        <v>#N/A</v>
      </c>
      <c r="EM73" s="244" t="e">
        <f t="shared" ca="1" si="61"/>
        <v>#N/A</v>
      </c>
      <c r="EN73" s="244" t="e">
        <f t="shared" ca="1" si="61"/>
        <v>#N/A</v>
      </c>
      <c r="EO73" s="244" t="e">
        <f t="shared" ca="1" si="61"/>
        <v>#N/A</v>
      </c>
      <c r="EP73" s="244" t="e">
        <f t="shared" ca="1" si="61"/>
        <v>#N/A</v>
      </c>
      <c r="EQ73" s="244" t="e">
        <f t="shared" ca="1" si="61"/>
        <v>#N/A</v>
      </c>
      <c r="ER73" s="244"/>
      <c r="EW73" s="244">
        <v>0</v>
      </c>
      <c r="EX73" s="278" t="e">
        <f ca="1">VLOOKUP(DM73,Foglio1!$AB$31:$AN$261,13)-6+EW73</f>
        <v>#N/A</v>
      </c>
      <c r="EY73" s="244"/>
      <c r="EZ73" s="244" t="e">
        <f t="shared" ca="1" si="36"/>
        <v>#N/A</v>
      </c>
      <c r="FA73" s="244" t="e">
        <f t="shared" ca="1" si="60"/>
        <v>#N/A</v>
      </c>
      <c r="FB73" s="244" t="e">
        <f t="shared" ca="1" si="60"/>
        <v>#N/A</v>
      </c>
      <c r="FC73" s="244" t="e">
        <f t="shared" ca="1" si="60"/>
        <v>#N/A</v>
      </c>
      <c r="FD73" s="244" t="e">
        <f t="shared" ca="1" si="59"/>
        <v>#N/A</v>
      </c>
      <c r="FE73" s="244" t="e">
        <f t="shared" ca="1" si="59"/>
        <v>#N/A</v>
      </c>
      <c r="FF73" s="244" t="e">
        <f t="shared" ca="1" si="59"/>
        <v>#N/A</v>
      </c>
      <c r="FG73" s="244" t="e">
        <f t="shared" ca="1" si="59"/>
        <v>#N/A</v>
      </c>
      <c r="FH73" s="244" t="e">
        <f t="shared" ca="1" si="59"/>
        <v>#N/A</v>
      </c>
      <c r="FI73" s="244" t="e">
        <f t="shared" ca="1" si="59"/>
        <v>#N/A</v>
      </c>
      <c r="FJ73" s="244" t="e">
        <f t="shared" ca="1" si="59"/>
        <v>#N/A</v>
      </c>
      <c r="FK73" s="244" t="e">
        <f t="shared" ca="1" si="59"/>
        <v>#N/A</v>
      </c>
      <c r="FL73" s="244" t="e">
        <f t="shared" ca="1" si="59"/>
        <v>#N/A</v>
      </c>
      <c r="FM73" s="244" t="e">
        <f t="shared" ca="1" si="10"/>
        <v>#N/A</v>
      </c>
      <c r="FN73" s="244"/>
    </row>
    <row r="74" spans="5:170" x14ac:dyDescent="0.25">
      <c r="E74" s="244"/>
      <c r="F74" s="244"/>
      <c r="G74" s="244"/>
      <c r="L74">
        <f t="shared" si="37"/>
        <v>74</v>
      </c>
      <c r="R74" s="112">
        <f t="shared" si="14"/>
        <v>0</v>
      </c>
      <c r="S74" s="238" t="e">
        <f t="shared" si="46"/>
        <v>#N/A</v>
      </c>
      <c r="T74" s="112" t="e">
        <f t="shared" ca="1" si="47"/>
        <v>#N/A</v>
      </c>
      <c r="U74" s="112" t="e">
        <f t="shared" ca="1" si="48"/>
        <v>#N/A</v>
      </c>
      <c r="V74" s="112" t="e">
        <f t="shared" ca="1" si="49"/>
        <v>#N/A</v>
      </c>
      <c r="W74" s="112" t="e">
        <f t="shared" ca="1" si="50"/>
        <v>#N/A</v>
      </c>
      <c r="X74" s="112">
        <f t="shared" si="15"/>
        <v>0</v>
      </c>
      <c r="Y74" s="112"/>
      <c r="Z74" s="112"/>
      <c r="AA74" s="112">
        <f t="shared" si="16"/>
        <v>100000</v>
      </c>
      <c r="AB74" s="112" t="e">
        <f t="shared" ca="1" si="17"/>
        <v>#N/A</v>
      </c>
      <c r="AC74" s="112" t="e">
        <f t="shared" ca="1" si="18"/>
        <v>#N/A</v>
      </c>
      <c r="AD74" s="112" t="e">
        <f t="shared" ca="1" si="19"/>
        <v>#N/A</v>
      </c>
      <c r="AE74" s="112" t="e">
        <f t="shared" ca="1" si="20"/>
        <v>#N/A</v>
      </c>
      <c r="AF74" s="112">
        <f t="shared" si="21"/>
        <v>100000</v>
      </c>
      <c r="AG74" s="238">
        <f>AG73</f>
        <v>30</v>
      </c>
      <c r="AH74" s="112" t="e">
        <f ca="1">AI73+1</f>
        <v>#N/A</v>
      </c>
      <c r="AI74" s="112">
        <f ca="1">INDIRECT(CONCATENATE("AF",AG70))</f>
        <v>100000</v>
      </c>
      <c r="AJ74" s="114"/>
      <c r="AK74" s="114"/>
      <c r="AL74" s="238" t="e">
        <f t="shared" ca="1" si="38"/>
        <v>#N/A</v>
      </c>
      <c r="AM74" s="112">
        <f t="shared" ca="1" si="58"/>
        <v>100000</v>
      </c>
      <c r="AN74" s="112">
        <f t="shared" ca="1" si="39"/>
        <v>100000</v>
      </c>
      <c r="AO74" s="114">
        <f t="shared" ca="1" si="23"/>
        <v>0</v>
      </c>
      <c r="AP74" s="114">
        <f t="shared" ca="1" si="24"/>
        <v>0</v>
      </c>
      <c r="AQ74" s="112"/>
      <c r="AR74" s="238">
        <f t="shared" si="40"/>
        <v>74</v>
      </c>
      <c r="AS74" s="112"/>
      <c r="AT74" s="112"/>
      <c r="AU74" s="283">
        <f t="shared" si="41"/>
        <v>55</v>
      </c>
      <c r="AV74" s="284">
        <f t="shared" ca="1" si="25"/>
        <v>100000</v>
      </c>
      <c r="AW74" s="284">
        <f t="shared" ca="1" si="52"/>
        <v>100000</v>
      </c>
      <c r="AX74" s="285">
        <f t="shared" ca="1" si="27"/>
        <v>0</v>
      </c>
      <c r="AY74" s="285">
        <f t="shared" ca="1" si="28"/>
        <v>18</v>
      </c>
      <c r="AZ74" s="282"/>
      <c r="BD74" s="114">
        <f t="shared" si="42"/>
        <v>1</v>
      </c>
      <c r="BE74" s="112">
        <f t="shared" si="31"/>
        <v>100000</v>
      </c>
      <c r="BH74" s="238">
        <f t="shared" si="43"/>
        <v>55</v>
      </c>
      <c r="BI74" s="245">
        <f t="shared" si="32"/>
        <v>100000</v>
      </c>
      <c r="BJ74" s="281">
        <f t="shared" ca="1" si="1"/>
        <v>16</v>
      </c>
      <c r="BK74" s="245" t="e">
        <f t="shared" ca="1" si="33"/>
        <v>#N/A</v>
      </c>
      <c r="BL74" s="245" t="e">
        <f t="shared" ca="1" si="34"/>
        <v>#N/A</v>
      </c>
      <c r="BM74" s="244"/>
      <c r="BN74" s="245" t="e">
        <f t="shared" ca="1" si="51"/>
        <v>#N/A</v>
      </c>
      <c r="BQ74" s="245"/>
      <c r="BR74" s="245"/>
      <c r="BS74" s="245"/>
      <c r="BT74" s="245"/>
      <c r="BU74" s="245"/>
      <c r="BV74" s="245"/>
      <c r="BY74" s="245"/>
      <c r="BZ74" s="245"/>
      <c r="CA74" s="245"/>
      <c r="CB74" s="245"/>
      <c r="CC74" s="245"/>
      <c r="CD74" s="245"/>
      <c r="CE74" s="245"/>
      <c r="CF74" s="245"/>
      <c r="CG74" s="245"/>
      <c r="CH74" s="245"/>
      <c r="CL74" s="112"/>
      <c r="CM74" s="112"/>
      <c r="CP74" s="112"/>
      <c r="CQ74" s="112"/>
      <c r="CR74" s="238"/>
      <c r="CS74" s="238"/>
      <c r="CT74" s="112"/>
      <c r="CU74" s="112"/>
      <c r="CV74" s="112"/>
      <c r="CW74" s="112" t="s">
        <v>224</v>
      </c>
      <c r="CX74" s="112" t="s">
        <v>225</v>
      </c>
      <c r="CY74" s="112" t="s">
        <v>226</v>
      </c>
      <c r="CZ74" s="112" t="s">
        <v>227</v>
      </c>
      <c r="DA74" s="112" t="s">
        <v>228</v>
      </c>
      <c r="DB74" s="112" t="s">
        <v>229</v>
      </c>
      <c r="DC74" s="112"/>
      <c r="DD74" s="238"/>
      <c r="DE74" s="112"/>
      <c r="DF74" s="112"/>
      <c r="DG74" s="112"/>
      <c r="DH74" s="238"/>
      <c r="DI74" s="112"/>
      <c r="DJ74" s="112"/>
      <c r="DK74" s="112"/>
      <c r="DL74" s="278" t="str">
        <f t="shared" ca="1" si="44"/>
        <v/>
      </c>
      <c r="DM74" s="245" t="str">
        <f t="shared" ca="1" si="53"/>
        <v/>
      </c>
      <c r="DN74" s="245" t="str">
        <f t="shared" ca="1" si="53"/>
        <v/>
      </c>
      <c r="DO74" s="245" t="str">
        <f t="shared" ca="1" si="53"/>
        <v/>
      </c>
      <c r="DP74" s="245" t="str">
        <f t="shared" ca="1" si="53"/>
        <v/>
      </c>
      <c r="DQ74" s="245" t="str">
        <f t="shared" ca="1" si="53"/>
        <v/>
      </c>
      <c r="DR74" s="244"/>
      <c r="DS74" s="245" t="str">
        <f t="shared" si="54"/>
        <v/>
      </c>
      <c r="DT74" s="245" t="str">
        <f t="shared" si="54"/>
        <v/>
      </c>
      <c r="DU74" s="245" t="str">
        <f t="shared" si="54"/>
        <v/>
      </c>
      <c r="DV74" s="244" t="str">
        <f t="shared" ca="1" si="7"/>
        <v/>
      </c>
      <c r="DW74" s="244"/>
      <c r="DX74" s="244" t="str">
        <f t="shared" ca="1" si="45"/>
        <v/>
      </c>
      <c r="EA74" s="244" t="b">
        <f t="shared" ca="1" si="35"/>
        <v>0</v>
      </c>
      <c r="EB74" s="278" t="e">
        <f ca="1">VLOOKUP(DM74,Foglio1!$AB$31:$AN$261,13)-6+EA74</f>
        <v>#N/A</v>
      </c>
      <c r="EC74" s="244"/>
      <c r="ED74" s="244" t="e">
        <f t="shared" ca="1" si="62"/>
        <v>#N/A</v>
      </c>
      <c r="EE74" s="244" t="e">
        <f t="shared" ca="1" si="62"/>
        <v>#N/A</v>
      </c>
      <c r="EF74" s="244" t="e">
        <f t="shared" ca="1" si="62"/>
        <v>#N/A</v>
      </c>
      <c r="EG74" s="244" t="e">
        <f t="shared" ca="1" si="62"/>
        <v>#N/A</v>
      </c>
      <c r="EH74" s="244" t="e">
        <f t="shared" ca="1" si="62"/>
        <v>#N/A</v>
      </c>
      <c r="EI74" s="244" t="e">
        <f t="shared" ca="1" si="61"/>
        <v>#N/A</v>
      </c>
      <c r="EJ74" s="244" t="e">
        <f t="shared" ca="1" si="61"/>
        <v>#N/A</v>
      </c>
      <c r="EK74" s="244" t="e">
        <f t="shared" ca="1" si="61"/>
        <v>#N/A</v>
      </c>
      <c r="EL74" s="244" t="e">
        <f t="shared" ca="1" si="61"/>
        <v>#N/A</v>
      </c>
      <c r="EM74" s="244" t="e">
        <f t="shared" ca="1" si="61"/>
        <v>#N/A</v>
      </c>
      <c r="EN74" s="244" t="e">
        <f t="shared" ca="1" si="61"/>
        <v>#N/A</v>
      </c>
      <c r="EO74" s="244" t="e">
        <f t="shared" ca="1" si="61"/>
        <v>#N/A</v>
      </c>
      <c r="EP74" s="244" t="e">
        <f t="shared" ca="1" si="61"/>
        <v>#N/A</v>
      </c>
      <c r="EQ74" s="244" t="e">
        <f t="shared" ca="1" si="61"/>
        <v>#N/A</v>
      </c>
      <c r="ER74" s="244"/>
      <c r="EW74" s="244">
        <v>0</v>
      </c>
      <c r="EX74" s="278" t="e">
        <f ca="1">VLOOKUP(DM74,Foglio1!$AB$31:$AN$261,13)-6+EW74</f>
        <v>#N/A</v>
      </c>
      <c r="EY74" s="244"/>
      <c r="EZ74" s="244" t="e">
        <f t="shared" ca="1" si="36"/>
        <v>#N/A</v>
      </c>
      <c r="FA74" s="244" t="e">
        <f t="shared" ca="1" si="60"/>
        <v>#N/A</v>
      </c>
      <c r="FB74" s="244" t="e">
        <f t="shared" ca="1" si="60"/>
        <v>#N/A</v>
      </c>
      <c r="FC74" s="244" t="e">
        <f t="shared" ca="1" si="60"/>
        <v>#N/A</v>
      </c>
      <c r="FD74" s="244" t="e">
        <f t="shared" ca="1" si="59"/>
        <v>#N/A</v>
      </c>
      <c r="FE74" s="244" t="e">
        <f t="shared" ca="1" si="59"/>
        <v>#N/A</v>
      </c>
      <c r="FF74" s="244" t="e">
        <f t="shared" ca="1" si="59"/>
        <v>#N/A</v>
      </c>
      <c r="FG74" s="244" t="e">
        <f t="shared" ca="1" si="59"/>
        <v>#N/A</v>
      </c>
      <c r="FH74" s="244" t="e">
        <f t="shared" ca="1" si="59"/>
        <v>#N/A</v>
      </c>
      <c r="FI74" s="244" t="e">
        <f t="shared" ca="1" si="59"/>
        <v>#N/A</v>
      </c>
      <c r="FJ74" s="244" t="e">
        <f t="shared" ca="1" si="59"/>
        <v>#N/A</v>
      </c>
      <c r="FK74" s="244" t="e">
        <f t="shared" ca="1" si="59"/>
        <v>#N/A</v>
      </c>
      <c r="FL74" s="244" t="e">
        <f t="shared" ca="1" si="59"/>
        <v>#N/A</v>
      </c>
      <c r="FM74" s="244" t="e">
        <f t="shared" ca="1" si="10"/>
        <v>#N/A</v>
      </c>
      <c r="FN74" s="244"/>
    </row>
    <row r="75" spans="5:170" x14ac:dyDescent="0.25">
      <c r="E75" s="244"/>
      <c r="F75" s="244"/>
      <c r="G75" s="244"/>
      <c r="L75">
        <f t="shared" si="37"/>
        <v>75</v>
      </c>
      <c r="R75" s="112">
        <f t="shared" si="14"/>
        <v>0</v>
      </c>
      <c r="S75" s="238" t="e">
        <f t="shared" si="46"/>
        <v>#N/A</v>
      </c>
      <c r="T75" s="112" t="e">
        <f t="shared" ca="1" si="47"/>
        <v>#N/A</v>
      </c>
      <c r="U75" s="112" t="e">
        <f t="shared" ca="1" si="48"/>
        <v>#N/A</v>
      </c>
      <c r="V75" s="112" t="e">
        <f t="shared" ca="1" si="49"/>
        <v>#N/A</v>
      </c>
      <c r="W75" s="112" t="e">
        <f t="shared" ca="1" si="50"/>
        <v>#N/A</v>
      </c>
      <c r="X75" s="112">
        <f t="shared" si="15"/>
        <v>0</v>
      </c>
      <c r="Y75" s="112"/>
      <c r="Z75" s="112"/>
      <c r="AA75" s="112">
        <f t="shared" si="16"/>
        <v>100000</v>
      </c>
      <c r="AB75" s="112" t="e">
        <f t="shared" ca="1" si="17"/>
        <v>#N/A</v>
      </c>
      <c r="AC75" s="112" t="e">
        <f t="shared" ca="1" si="18"/>
        <v>#N/A</v>
      </c>
      <c r="AD75" s="112" t="e">
        <f t="shared" ca="1" si="19"/>
        <v>#N/A</v>
      </c>
      <c r="AE75" s="112" t="e">
        <f t="shared" ca="1" si="20"/>
        <v>#N/A</v>
      </c>
      <c r="AF75" s="112">
        <f t="shared" si="21"/>
        <v>100000</v>
      </c>
      <c r="AG75" s="238">
        <f>AG74+1</f>
        <v>31</v>
      </c>
      <c r="AH75" s="112">
        <f ca="1">INDIRECT(CONCATENATE("AA",AG75))</f>
        <v>100000</v>
      </c>
      <c r="AI75" s="112" t="e">
        <f ca="1">IF(            INDIRECT(CONCATENATE( "AB",AG75))&lt;100000,       INDIRECT(CONCATENATE("AB",AG75))  -1,IF(   INDIRECT(CONCATENATE("AC",AG75))&lt;100000,   INDIRECT(CONCATENATE("AC",AG75))-1,IF(   INDIRECT(CONCATENATE("AD", AG75))&lt;100000, INDIRECT(CONCATENATE("AD",AG75))-1,IF(   INDIRECT(CONCATENATE("AE",AG75))&lt;100000,  INDIRECT(CONCATENATE("AE",G75)),INDIRECT(CONCATENATE("AF",AG75))                ))))</f>
        <v>#N/A</v>
      </c>
      <c r="AJ75" s="114"/>
      <c r="AK75" s="114"/>
      <c r="AL75" s="238" t="e">
        <f t="shared" ca="1" si="38"/>
        <v>#N/A</v>
      </c>
      <c r="AM75" s="112">
        <f t="shared" ca="1" si="58"/>
        <v>100000</v>
      </c>
      <c r="AN75" s="112">
        <f t="shared" ca="1" si="39"/>
        <v>100000</v>
      </c>
      <c r="AO75" s="114">
        <f t="shared" ca="1" si="23"/>
        <v>0</v>
      </c>
      <c r="AP75" s="114">
        <f t="shared" ca="1" si="24"/>
        <v>0</v>
      </c>
      <c r="AQ75" s="112"/>
      <c r="AR75" s="238">
        <f t="shared" si="40"/>
        <v>75</v>
      </c>
      <c r="AS75" s="112"/>
      <c r="AT75" s="112"/>
      <c r="AU75" s="283">
        <f t="shared" si="41"/>
        <v>56</v>
      </c>
      <c r="AV75" s="284">
        <f t="shared" ca="1" si="25"/>
        <v>100000</v>
      </c>
      <c r="AW75" s="284">
        <f t="shared" ca="1" si="52"/>
        <v>100000</v>
      </c>
      <c r="AX75" s="285">
        <f t="shared" ca="1" si="27"/>
        <v>0</v>
      </c>
      <c r="AY75" s="285">
        <f t="shared" ca="1" si="28"/>
        <v>18</v>
      </c>
      <c r="AZ75" s="282"/>
      <c r="BD75" s="114">
        <f t="shared" si="42"/>
        <v>1</v>
      </c>
      <c r="BE75" s="112">
        <f t="shared" si="31"/>
        <v>100000</v>
      </c>
      <c r="BH75" s="238">
        <f t="shared" si="43"/>
        <v>56</v>
      </c>
      <c r="BI75" s="245">
        <f t="shared" si="32"/>
        <v>100000</v>
      </c>
      <c r="BJ75" s="281">
        <f t="shared" ca="1" si="1"/>
        <v>16</v>
      </c>
      <c r="BK75" s="245" t="e">
        <f t="shared" ca="1" si="33"/>
        <v>#N/A</v>
      </c>
      <c r="BL75" s="245" t="e">
        <f t="shared" ca="1" si="34"/>
        <v>#N/A</v>
      </c>
      <c r="BM75" s="244"/>
      <c r="BN75" s="245" t="e">
        <f t="shared" ca="1" si="51"/>
        <v>#N/A</v>
      </c>
      <c r="BQ75" s="245"/>
      <c r="BR75" s="245"/>
      <c r="BS75" s="245"/>
      <c r="BT75" s="245"/>
      <c r="BU75" s="245"/>
      <c r="BV75" s="245"/>
      <c r="BY75" s="245"/>
      <c r="BZ75" s="245"/>
      <c r="CA75" s="245"/>
      <c r="CB75" s="245"/>
      <c r="CC75" s="245"/>
      <c r="CD75" s="245"/>
      <c r="CE75" s="245"/>
      <c r="CF75" s="245"/>
      <c r="CG75" s="245"/>
      <c r="CH75" s="245"/>
      <c r="CL75" s="112"/>
      <c r="CM75" s="112"/>
      <c r="CP75" s="112"/>
      <c r="CQ75" s="112"/>
      <c r="CR75" s="238"/>
      <c r="CS75" s="238"/>
      <c r="CT75" s="112"/>
      <c r="CU75" s="112"/>
      <c r="CV75" s="112"/>
      <c r="CW75" s="112" t="s">
        <v>224</v>
      </c>
      <c r="CX75" s="112" t="s">
        <v>225</v>
      </c>
      <c r="CY75" s="112" t="s">
        <v>226</v>
      </c>
      <c r="CZ75" s="112" t="s">
        <v>227</v>
      </c>
      <c r="DA75" s="112" t="s">
        <v>228</v>
      </c>
      <c r="DB75" s="112" t="s">
        <v>229</v>
      </c>
      <c r="DC75" s="112"/>
      <c r="DD75" s="238"/>
      <c r="DE75" s="112"/>
      <c r="DF75" s="112"/>
      <c r="DG75" s="112"/>
      <c r="DH75" s="238"/>
      <c r="DI75" s="112"/>
      <c r="DJ75" s="112"/>
      <c r="DK75" s="112"/>
      <c r="DL75" s="278" t="str">
        <f t="shared" ca="1" si="44"/>
        <v/>
      </c>
      <c r="DM75" s="245" t="str">
        <f t="shared" ca="1" si="53"/>
        <v/>
      </c>
      <c r="DN75" s="245" t="str">
        <f t="shared" ca="1" si="53"/>
        <v/>
      </c>
      <c r="DO75" s="245" t="str">
        <f t="shared" ca="1" si="53"/>
        <v/>
      </c>
      <c r="DP75" s="245" t="str">
        <f t="shared" ca="1" si="53"/>
        <v/>
      </c>
      <c r="DQ75" s="245" t="str">
        <f t="shared" ca="1" si="53"/>
        <v/>
      </c>
      <c r="DR75" s="244"/>
      <c r="DS75" s="245" t="str">
        <f t="shared" si="54"/>
        <v/>
      </c>
      <c r="DT75" s="245" t="str">
        <f t="shared" si="54"/>
        <v/>
      </c>
      <c r="DU75" s="245" t="str">
        <f t="shared" si="54"/>
        <v/>
      </c>
      <c r="DV75" s="244" t="str">
        <f t="shared" ca="1" si="7"/>
        <v/>
      </c>
      <c r="DW75" s="244"/>
      <c r="DX75" s="244" t="str">
        <f t="shared" ca="1" si="45"/>
        <v/>
      </c>
      <c r="EA75" s="244" t="b">
        <f t="shared" ca="1" si="35"/>
        <v>0</v>
      </c>
      <c r="EB75" s="278" t="e">
        <f ca="1">VLOOKUP(DM75,Foglio1!$AB$31:$AN$261,13)-6+EA75</f>
        <v>#N/A</v>
      </c>
      <c r="EC75" s="244"/>
      <c r="ED75" s="244" t="e">
        <f t="shared" ca="1" si="62"/>
        <v>#N/A</v>
      </c>
      <c r="EE75" s="244" t="e">
        <f t="shared" ca="1" si="62"/>
        <v>#N/A</v>
      </c>
      <c r="EF75" s="244" t="e">
        <f t="shared" ca="1" si="62"/>
        <v>#N/A</v>
      </c>
      <c r="EG75" s="244" t="e">
        <f t="shared" ca="1" si="62"/>
        <v>#N/A</v>
      </c>
      <c r="EH75" s="244" t="e">
        <f t="shared" ca="1" si="62"/>
        <v>#N/A</v>
      </c>
      <c r="EI75" s="244" t="e">
        <f t="shared" ca="1" si="61"/>
        <v>#N/A</v>
      </c>
      <c r="EJ75" s="244" t="e">
        <f t="shared" ca="1" si="61"/>
        <v>#N/A</v>
      </c>
      <c r="EK75" s="244" t="e">
        <f t="shared" ca="1" si="61"/>
        <v>#N/A</v>
      </c>
      <c r="EL75" s="244" t="e">
        <f t="shared" ca="1" si="61"/>
        <v>#N/A</v>
      </c>
      <c r="EM75" s="244" t="e">
        <f t="shared" ca="1" si="61"/>
        <v>#N/A</v>
      </c>
      <c r="EN75" s="244" t="e">
        <f t="shared" ca="1" si="61"/>
        <v>#N/A</v>
      </c>
      <c r="EO75" s="244" t="e">
        <f t="shared" ca="1" si="61"/>
        <v>#N/A</v>
      </c>
      <c r="EP75" s="244" t="e">
        <f t="shared" ca="1" si="61"/>
        <v>#N/A</v>
      </c>
      <c r="EQ75" s="244" t="e">
        <f t="shared" ca="1" si="61"/>
        <v>#N/A</v>
      </c>
      <c r="ER75" s="244"/>
      <c r="EW75" s="244">
        <v>0</v>
      </c>
      <c r="EX75" s="278" t="e">
        <f ca="1">VLOOKUP(DM75,Foglio1!$AB$31:$AN$261,13)-6+EW75</f>
        <v>#N/A</v>
      </c>
      <c r="EY75" s="244"/>
      <c r="EZ75" s="244" t="e">
        <f t="shared" ca="1" si="36"/>
        <v>#N/A</v>
      </c>
      <c r="FA75" s="244" t="e">
        <f t="shared" ca="1" si="60"/>
        <v>#N/A</v>
      </c>
      <c r="FB75" s="244" t="e">
        <f t="shared" ca="1" si="60"/>
        <v>#N/A</v>
      </c>
      <c r="FC75" s="244" t="e">
        <f t="shared" ca="1" si="60"/>
        <v>#N/A</v>
      </c>
      <c r="FD75" s="244" t="e">
        <f t="shared" ca="1" si="59"/>
        <v>#N/A</v>
      </c>
      <c r="FE75" s="244" t="e">
        <f t="shared" ca="1" si="59"/>
        <v>#N/A</v>
      </c>
      <c r="FF75" s="244" t="e">
        <f t="shared" ca="1" si="59"/>
        <v>#N/A</v>
      </c>
      <c r="FG75" s="244" t="e">
        <f t="shared" ca="1" si="59"/>
        <v>#N/A</v>
      </c>
      <c r="FH75" s="244" t="e">
        <f t="shared" ca="1" si="59"/>
        <v>#N/A</v>
      </c>
      <c r="FI75" s="244" t="e">
        <f t="shared" ca="1" si="59"/>
        <v>#N/A</v>
      </c>
      <c r="FJ75" s="244" t="e">
        <f t="shared" ca="1" si="59"/>
        <v>#N/A</v>
      </c>
      <c r="FK75" s="244" t="e">
        <f t="shared" ca="1" si="59"/>
        <v>#N/A</v>
      </c>
      <c r="FL75" s="244" t="e">
        <f t="shared" ca="1" si="59"/>
        <v>#N/A</v>
      </c>
      <c r="FM75" s="244" t="e">
        <f t="shared" ca="1" si="10"/>
        <v>#N/A</v>
      </c>
      <c r="FN75" s="244"/>
    </row>
    <row r="76" spans="5:170" x14ac:dyDescent="0.25">
      <c r="E76" s="244"/>
      <c r="F76" s="244"/>
      <c r="G76" s="244"/>
      <c r="L76">
        <f t="shared" si="37"/>
        <v>76</v>
      </c>
      <c r="R76" s="112">
        <f t="shared" si="14"/>
        <v>0</v>
      </c>
      <c r="S76" s="238" t="e">
        <f t="shared" si="46"/>
        <v>#N/A</v>
      </c>
      <c r="T76" s="112" t="e">
        <f t="shared" ca="1" si="47"/>
        <v>#N/A</v>
      </c>
      <c r="U76" s="112" t="e">
        <f t="shared" ca="1" si="48"/>
        <v>#N/A</v>
      </c>
      <c r="V76" s="112" t="e">
        <f t="shared" ca="1" si="49"/>
        <v>#N/A</v>
      </c>
      <c r="W76" s="112" t="e">
        <f t="shared" ca="1" si="50"/>
        <v>#N/A</v>
      </c>
      <c r="X76" s="112">
        <f t="shared" si="15"/>
        <v>0</v>
      </c>
      <c r="Y76" s="112"/>
      <c r="Z76" s="112"/>
      <c r="AA76" s="112">
        <f t="shared" si="16"/>
        <v>100000</v>
      </c>
      <c r="AB76" s="112" t="e">
        <f t="shared" ca="1" si="17"/>
        <v>#N/A</v>
      </c>
      <c r="AC76" s="112" t="e">
        <f t="shared" ca="1" si="18"/>
        <v>#N/A</v>
      </c>
      <c r="AD76" s="112" t="e">
        <f t="shared" ca="1" si="19"/>
        <v>#N/A</v>
      </c>
      <c r="AE76" s="112" t="e">
        <f t="shared" ca="1" si="20"/>
        <v>#N/A</v>
      </c>
      <c r="AF76" s="112">
        <f t="shared" si="21"/>
        <v>100000</v>
      </c>
      <c r="AG76" s="238">
        <f>AG75</f>
        <v>31</v>
      </c>
      <c r="AH76" s="112" t="e">
        <f ca="1">AI75+1</f>
        <v>#N/A</v>
      </c>
      <c r="AI76" s="112" t="e">
        <f ca="1">IF(INDIRECT(CONCATENATE("AC",AG75))&lt;100000,INDIRECT(CONCATENATE("AC",AG75))-1,IF(INDIRECT(CONCATENATE("AD",AG75))&lt;100000,INDIRECT(CONCATENATE("AD",AG75))-1,IF(INDIRECT(CONCATENATE("AE",AG75))&lt;100000,INDIRECT(CONCATENATE("AE",G75)),INDIRECT(CONCATENATE("AF",AG75)))))</f>
        <v>#N/A</v>
      </c>
      <c r="AJ76" s="114"/>
      <c r="AK76" s="114"/>
      <c r="AL76" s="238" t="e">
        <f t="shared" ca="1" si="38"/>
        <v>#N/A</v>
      </c>
      <c r="AM76" s="112">
        <f t="shared" ca="1" si="58"/>
        <v>100000</v>
      </c>
      <c r="AN76" s="112">
        <f t="shared" ca="1" si="39"/>
        <v>100000</v>
      </c>
      <c r="AO76" s="114">
        <f t="shared" ca="1" si="23"/>
        <v>0</v>
      </c>
      <c r="AP76" s="114">
        <f t="shared" ca="1" si="24"/>
        <v>0</v>
      </c>
      <c r="AQ76" s="112"/>
      <c r="AR76" s="238">
        <f t="shared" si="40"/>
        <v>76</v>
      </c>
      <c r="AS76" s="112"/>
      <c r="AT76" s="112"/>
      <c r="AU76" s="283">
        <f t="shared" si="41"/>
        <v>57</v>
      </c>
      <c r="AV76" s="284">
        <f t="shared" ca="1" si="25"/>
        <v>100000</v>
      </c>
      <c r="AW76" s="284">
        <f t="shared" ca="1" si="52"/>
        <v>100000</v>
      </c>
      <c r="AX76" s="285">
        <f t="shared" ca="1" si="27"/>
        <v>0</v>
      </c>
      <c r="AY76" s="285">
        <f t="shared" ca="1" si="28"/>
        <v>18</v>
      </c>
      <c r="AZ76" s="282"/>
      <c r="BD76" s="114">
        <f t="shared" si="42"/>
        <v>1</v>
      </c>
      <c r="BE76" s="112">
        <f t="shared" si="31"/>
        <v>100000</v>
      </c>
      <c r="BH76" s="238">
        <f t="shared" si="43"/>
        <v>57</v>
      </c>
      <c r="BI76" s="245">
        <f t="shared" si="32"/>
        <v>100000</v>
      </c>
      <c r="BJ76" s="281">
        <f t="shared" ca="1" si="1"/>
        <v>16</v>
      </c>
      <c r="BK76" s="245" t="e">
        <f t="shared" ca="1" si="33"/>
        <v>#N/A</v>
      </c>
      <c r="BL76" s="245" t="e">
        <f t="shared" ca="1" si="34"/>
        <v>#N/A</v>
      </c>
      <c r="BM76" s="244"/>
      <c r="BN76" s="245" t="e">
        <f t="shared" ca="1" si="51"/>
        <v>#N/A</v>
      </c>
      <c r="CL76" s="112"/>
      <c r="CM76" s="112"/>
      <c r="CP76" s="112"/>
      <c r="CQ76" s="112"/>
      <c r="CR76" s="238"/>
      <c r="CS76" s="238"/>
      <c r="CT76" s="112"/>
      <c r="CU76" s="112"/>
      <c r="CV76" s="112"/>
      <c r="CW76" s="112" t="s">
        <v>224</v>
      </c>
      <c r="CX76" s="112" t="s">
        <v>225</v>
      </c>
      <c r="CY76" s="112" t="s">
        <v>226</v>
      </c>
      <c r="CZ76" s="112" t="s">
        <v>227</v>
      </c>
      <c r="DA76" s="112" t="s">
        <v>228</v>
      </c>
      <c r="DB76" s="112" t="s">
        <v>229</v>
      </c>
      <c r="DC76" s="112"/>
      <c r="DD76" s="238"/>
      <c r="DE76" s="112"/>
      <c r="DF76" s="112"/>
      <c r="DG76" s="112"/>
      <c r="DH76" s="238"/>
      <c r="DI76" s="112"/>
      <c r="DJ76" s="112"/>
      <c r="DK76" s="112"/>
      <c r="DL76" s="278" t="str">
        <f t="shared" ca="1" si="44"/>
        <v/>
      </c>
      <c r="DM76" s="245" t="str">
        <f t="shared" ca="1" si="53"/>
        <v/>
      </c>
      <c r="DN76" s="245" t="str">
        <f t="shared" ca="1" si="53"/>
        <v/>
      </c>
      <c r="DO76" s="245" t="str">
        <f t="shared" ca="1" si="53"/>
        <v/>
      </c>
      <c r="DP76" s="245" t="str">
        <f t="shared" ca="1" si="53"/>
        <v/>
      </c>
      <c r="DQ76" s="245" t="str">
        <f t="shared" ca="1" si="53"/>
        <v/>
      </c>
      <c r="DR76" s="244"/>
      <c r="DS76" s="245" t="str">
        <f t="shared" si="54"/>
        <v/>
      </c>
      <c r="DT76" s="245" t="str">
        <f t="shared" si="54"/>
        <v/>
      </c>
      <c r="DU76" s="245" t="str">
        <f t="shared" si="54"/>
        <v/>
      </c>
      <c r="DV76" s="244" t="str">
        <f t="shared" ca="1" si="7"/>
        <v/>
      </c>
      <c r="DW76" s="244"/>
      <c r="DX76" s="244" t="str">
        <f t="shared" ca="1" si="45"/>
        <v/>
      </c>
      <c r="EA76" s="244" t="b">
        <f t="shared" ca="1" si="35"/>
        <v>0</v>
      </c>
      <c r="EB76" s="278" t="e">
        <f ca="1">VLOOKUP(DM76,Foglio1!$AB$31:$AN$261,13)-6+EA76</f>
        <v>#N/A</v>
      </c>
      <c r="EC76" s="244"/>
      <c r="ED76" s="244" t="e">
        <f t="shared" ca="1" si="62"/>
        <v>#N/A</v>
      </c>
      <c r="EE76" s="244" t="e">
        <f t="shared" ca="1" si="62"/>
        <v>#N/A</v>
      </c>
      <c r="EF76" s="244" t="e">
        <f t="shared" ca="1" si="62"/>
        <v>#N/A</v>
      </c>
      <c r="EG76" s="244" t="e">
        <f t="shared" ca="1" si="62"/>
        <v>#N/A</v>
      </c>
      <c r="EH76" s="244" t="e">
        <f t="shared" ca="1" si="62"/>
        <v>#N/A</v>
      </c>
      <c r="EI76" s="244" t="e">
        <f t="shared" ca="1" si="61"/>
        <v>#N/A</v>
      </c>
      <c r="EJ76" s="244" t="e">
        <f t="shared" ca="1" si="61"/>
        <v>#N/A</v>
      </c>
      <c r="EK76" s="244" t="e">
        <f t="shared" ca="1" si="61"/>
        <v>#N/A</v>
      </c>
      <c r="EL76" s="244" t="e">
        <f t="shared" ca="1" si="61"/>
        <v>#N/A</v>
      </c>
      <c r="EM76" s="244" t="e">
        <f t="shared" ca="1" si="61"/>
        <v>#N/A</v>
      </c>
      <c r="EN76" s="244" t="e">
        <f t="shared" ca="1" si="61"/>
        <v>#N/A</v>
      </c>
      <c r="EO76" s="244" t="e">
        <f t="shared" ca="1" si="61"/>
        <v>#N/A</v>
      </c>
      <c r="EP76" s="244" t="e">
        <f t="shared" ca="1" si="61"/>
        <v>#N/A</v>
      </c>
      <c r="EQ76" s="244" t="e">
        <f t="shared" ca="1" si="61"/>
        <v>#N/A</v>
      </c>
      <c r="ER76" s="244"/>
      <c r="EW76" s="244">
        <v>0</v>
      </c>
      <c r="EX76" s="278" t="e">
        <f ca="1">VLOOKUP(DM76,Foglio1!$AB$31:$AN$261,13)-6+EW76</f>
        <v>#N/A</v>
      </c>
      <c r="EY76" s="244"/>
      <c r="EZ76" s="244" t="e">
        <f t="shared" ca="1" si="36"/>
        <v>#N/A</v>
      </c>
      <c r="FA76" s="244" t="e">
        <f t="shared" ca="1" si="60"/>
        <v>#N/A</v>
      </c>
      <c r="FB76" s="244" t="e">
        <f t="shared" ca="1" si="60"/>
        <v>#N/A</v>
      </c>
      <c r="FC76" s="244" t="e">
        <f t="shared" ca="1" si="60"/>
        <v>#N/A</v>
      </c>
      <c r="FD76" s="244" t="e">
        <f t="shared" ca="1" si="59"/>
        <v>#N/A</v>
      </c>
      <c r="FE76" s="244" t="e">
        <f t="shared" ca="1" si="59"/>
        <v>#N/A</v>
      </c>
      <c r="FF76" s="244" t="e">
        <f t="shared" ca="1" si="59"/>
        <v>#N/A</v>
      </c>
      <c r="FG76" s="244" t="e">
        <f t="shared" ca="1" si="59"/>
        <v>#N/A</v>
      </c>
      <c r="FH76" s="244" t="e">
        <f t="shared" ca="1" si="59"/>
        <v>#N/A</v>
      </c>
      <c r="FI76" s="244" t="e">
        <f t="shared" ca="1" si="59"/>
        <v>#N/A</v>
      </c>
      <c r="FJ76" s="244" t="e">
        <f t="shared" ca="1" si="59"/>
        <v>#N/A</v>
      </c>
      <c r="FK76" s="244" t="e">
        <f t="shared" ca="1" si="59"/>
        <v>#N/A</v>
      </c>
      <c r="FL76" s="244" t="e">
        <f t="shared" ca="1" si="59"/>
        <v>#N/A</v>
      </c>
      <c r="FM76" s="244" t="e">
        <f t="shared" ca="1" si="10"/>
        <v>#N/A</v>
      </c>
      <c r="FN76" s="244"/>
    </row>
    <row r="77" spans="5:170" x14ac:dyDescent="0.25">
      <c r="E77" s="244"/>
      <c r="F77" s="244"/>
      <c r="G77" s="244"/>
      <c r="L77">
        <f t="shared" si="37"/>
        <v>77</v>
      </c>
      <c r="R77" s="112">
        <f t="shared" si="14"/>
        <v>0</v>
      </c>
      <c r="S77" s="238" t="e">
        <f t="shared" si="46"/>
        <v>#N/A</v>
      </c>
      <c r="T77" s="112" t="e">
        <f t="shared" ca="1" si="47"/>
        <v>#N/A</v>
      </c>
      <c r="U77" s="112" t="e">
        <f t="shared" ca="1" si="48"/>
        <v>#N/A</v>
      </c>
      <c r="V77" s="112" t="e">
        <f t="shared" ca="1" si="49"/>
        <v>#N/A</v>
      </c>
      <c r="W77" s="112" t="e">
        <f t="shared" ca="1" si="50"/>
        <v>#N/A</v>
      </c>
      <c r="X77" s="112">
        <f t="shared" si="15"/>
        <v>0</v>
      </c>
      <c r="Y77" s="112"/>
      <c r="Z77" s="112"/>
      <c r="AA77" s="112">
        <f t="shared" si="16"/>
        <v>100000</v>
      </c>
      <c r="AB77" s="112" t="e">
        <f t="shared" ca="1" si="17"/>
        <v>#N/A</v>
      </c>
      <c r="AC77" s="112" t="e">
        <f t="shared" ca="1" si="18"/>
        <v>#N/A</v>
      </c>
      <c r="AD77" s="112" t="e">
        <f t="shared" ca="1" si="19"/>
        <v>#N/A</v>
      </c>
      <c r="AE77" s="112" t="e">
        <f t="shared" ca="1" si="20"/>
        <v>#N/A</v>
      </c>
      <c r="AF77" s="112">
        <f t="shared" si="21"/>
        <v>100000</v>
      </c>
      <c r="AG77" s="238">
        <f>AG76</f>
        <v>31</v>
      </c>
      <c r="AH77" s="112" t="e">
        <f ca="1">AI76+1</f>
        <v>#N/A</v>
      </c>
      <c r="AI77" s="112" t="e">
        <f ca="1">IF(INDIRECT(CONCATENATE("AD",AG75))&lt;100000,INDIRECT(CONCATENATE("AD",AG75))-1,IF(INDIRECT(CONCATENATE("AE",AG75))&lt;100000,INDIRECT(CONCATENATE("AE",G75)),INDIRECT(CONCATENATE("AF",AG75))))</f>
        <v>#N/A</v>
      </c>
      <c r="AJ77" s="114"/>
      <c r="AK77" s="114"/>
      <c r="AL77" s="238" t="e">
        <f t="shared" ca="1" si="38"/>
        <v>#N/A</v>
      </c>
      <c r="AM77" s="112">
        <f t="shared" ca="1" si="58"/>
        <v>100000</v>
      </c>
      <c r="AN77" s="112">
        <f t="shared" ca="1" si="39"/>
        <v>100000</v>
      </c>
      <c r="AO77" s="114">
        <f t="shared" ca="1" si="23"/>
        <v>0</v>
      </c>
      <c r="AP77" s="114">
        <f t="shared" ca="1" si="24"/>
        <v>0</v>
      </c>
      <c r="AQ77" s="112"/>
      <c r="AR77" s="238">
        <f t="shared" si="40"/>
        <v>77</v>
      </c>
      <c r="AS77" s="112"/>
      <c r="AT77" s="112"/>
      <c r="AU77" s="283">
        <f t="shared" si="41"/>
        <v>58</v>
      </c>
      <c r="AV77" s="284">
        <f t="shared" ca="1" si="25"/>
        <v>100000</v>
      </c>
      <c r="AW77" s="284">
        <f t="shared" ca="1" si="52"/>
        <v>100000</v>
      </c>
      <c r="AX77" s="285">
        <f t="shared" ca="1" si="27"/>
        <v>0</v>
      </c>
      <c r="AY77" s="285">
        <f t="shared" ca="1" si="28"/>
        <v>18</v>
      </c>
      <c r="AZ77" s="282"/>
      <c r="BD77" s="114">
        <f t="shared" si="42"/>
        <v>1</v>
      </c>
      <c r="BE77" s="112">
        <f t="shared" si="31"/>
        <v>100000</v>
      </c>
      <c r="BH77" s="238">
        <f t="shared" si="43"/>
        <v>58</v>
      </c>
      <c r="BI77" s="245">
        <f t="shared" si="32"/>
        <v>100000</v>
      </c>
      <c r="BJ77" s="281">
        <f t="shared" ca="1" si="1"/>
        <v>16</v>
      </c>
      <c r="BK77" s="245" t="e">
        <f t="shared" ca="1" si="33"/>
        <v>#N/A</v>
      </c>
      <c r="BL77" s="245" t="e">
        <f t="shared" ca="1" si="34"/>
        <v>#N/A</v>
      </c>
      <c r="BM77" s="244"/>
      <c r="BN77" s="245" t="e">
        <f t="shared" ca="1" si="51"/>
        <v>#N/A</v>
      </c>
      <c r="CL77" s="112"/>
      <c r="CM77" s="112"/>
      <c r="CP77" s="112"/>
      <c r="CQ77" s="112"/>
      <c r="CR77" s="238"/>
      <c r="CS77" s="238"/>
      <c r="CT77" s="112"/>
      <c r="CU77" s="112"/>
      <c r="CV77" s="112"/>
      <c r="CW77" s="112" t="s">
        <v>224</v>
      </c>
      <c r="CX77" s="112" t="s">
        <v>225</v>
      </c>
      <c r="CY77" s="112" t="s">
        <v>226</v>
      </c>
      <c r="CZ77" s="112" t="s">
        <v>227</v>
      </c>
      <c r="DA77" s="112" t="s">
        <v>228</v>
      </c>
      <c r="DB77" s="112" t="s">
        <v>229</v>
      </c>
      <c r="DC77" s="112"/>
      <c r="DD77" s="238"/>
      <c r="DE77" s="112"/>
      <c r="DF77" s="112"/>
      <c r="DG77" s="112"/>
      <c r="DH77" s="238"/>
      <c r="DI77" s="112"/>
      <c r="DJ77" s="112"/>
      <c r="DK77" s="112"/>
      <c r="DL77" s="278" t="str">
        <f t="shared" ca="1" si="44"/>
        <v/>
      </c>
      <c r="DM77" s="245" t="str">
        <f t="shared" ca="1" si="53"/>
        <v/>
      </c>
      <c r="DN77" s="245" t="str">
        <f t="shared" ca="1" si="53"/>
        <v/>
      </c>
      <c r="DO77" s="245" t="str">
        <f t="shared" ca="1" si="53"/>
        <v/>
      </c>
      <c r="DP77" s="245" t="str">
        <f t="shared" ca="1" si="53"/>
        <v/>
      </c>
      <c r="DQ77" s="245" t="str">
        <f t="shared" ca="1" si="53"/>
        <v/>
      </c>
      <c r="DR77" s="244"/>
      <c r="DS77" s="245" t="str">
        <f t="shared" si="54"/>
        <v/>
      </c>
      <c r="DT77" s="245" t="str">
        <f t="shared" si="54"/>
        <v/>
      </c>
      <c r="DU77" s="245" t="str">
        <f t="shared" si="54"/>
        <v/>
      </c>
      <c r="DV77" s="244" t="str">
        <f t="shared" ca="1" si="7"/>
        <v/>
      </c>
      <c r="DW77" s="244"/>
      <c r="DX77" s="244" t="str">
        <f t="shared" ca="1" si="45"/>
        <v/>
      </c>
      <c r="EA77" s="244" t="b">
        <f t="shared" ca="1" si="35"/>
        <v>0</v>
      </c>
      <c r="EB77" s="278" t="e">
        <f ca="1">VLOOKUP(DM77,Foglio1!$AB$31:$AN$261,13)-6+EA77</f>
        <v>#N/A</v>
      </c>
      <c r="EC77" s="244"/>
      <c r="ED77" s="244" t="e">
        <f t="shared" ca="1" si="62"/>
        <v>#N/A</v>
      </c>
      <c r="EE77" s="244" t="e">
        <f t="shared" ca="1" si="62"/>
        <v>#N/A</v>
      </c>
      <c r="EF77" s="244" t="e">
        <f t="shared" ca="1" si="62"/>
        <v>#N/A</v>
      </c>
      <c r="EG77" s="244" t="e">
        <f t="shared" ca="1" si="62"/>
        <v>#N/A</v>
      </c>
      <c r="EH77" s="244" t="e">
        <f t="shared" ca="1" si="62"/>
        <v>#N/A</v>
      </c>
      <c r="EI77" s="244" t="e">
        <f t="shared" ca="1" si="61"/>
        <v>#N/A</v>
      </c>
      <c r="EJ77" s="244" t="e">
        <f t="shared" ca="1" si="61"/>
        <v>#N/A</v>
      </c>
      <c r="EK77" s="244" t="e">
        <f t="shared" ca="1" si="61"/>
        <v>#N/A</v>
      </c>
      <c r="EL77" s="244" t="e">
        <f t="shared" ca="1" si="61"/>
        <v>#N/A</v>
      </c>
      <c r="EM77" s="244" t="e">
        <f t="shared" ca="1" si="61"/>
        <v>#N/A</v>
      </c>
      <c r="EN77" s="244" t="e">
        <f t="shared" ca="1" si="61"/>
        <v>#N/A</v>
      </c>
      <c r="EO77" s="244" t="e">
        <f t="shared" ca="1" si="61"/>
        <v>#N/A</v>
      </c>
      <c r="EP77" s="244" t="e">
        <f t="shared" ca="1" si="61"/>
        <v>#N/A</v>
      </c>
      <c r="EQ77" s="244" t="e">
        <f t="shared" ca="1" si="61"/>
        <v>#N/A</v>
      </c>
      <c r="ER77" s="244"/>
      <c r="EW77" s="244">
        <v>0</v>
      </c>
      <c r="EX77" s="278" t="e">
        <f ca="1">VLOOKUP(DM77,Foglio1!$AB$31:$AN$261,13)-6+EW77</f>
        <v>#N/A</v>
      </c>
      <c r="EY77" s="244"/>
      <c r="EZ77" s="244" t="e">
        <f t="shared" ca="1" si="36"/>
        <v>#N/A</v>
      </c>
      <c r="FA77" s="244" t="e">
        <f t="shared" ca="1" si="60"/>
        <v>#N/A</v>
      </c>
      <c r="FB77" s="244" t="e">
        <f t="shared" ca="1" si="60"/>
        <v>#N/A</v>
      </c>
      <c r="FC77" s="244" t="e">
        <f t="shared" ca="1" si="60"/>
        <v>#N/A</v>
      </c>
      <c r="FD77" s="244" t="e">
        <f t="shared" ca="1" si="59"/>
        <v>#N/A</v>
      </c>
      <c r="FE77" s="244" t="e">
        <f t="shared" ca="1" si="59"/>
        <v>#N/A</v>
      </c>
      <c r="FF77" s="244" t="e">
        <f t="shared" ca="1" si="59"/>
        <v>#N/A</v>
      </c>
      <c r="FG77" s="244" t="e">
        <f t="shared" ca="1" si="59"/>
        <v>#N/A</v>
      </c>
      <c r="FH77" s="244" t="e">
        <f t="shared" ca="1" si="59"/>
        <v>#N/A</v>
      </c>
      <c r="FI77" s="244" t="e">
        <f t="shared" ca="1" si="59"/>
        <v>#N/A</v>
      </c>
      <c r="FJ77" s="244" t="e">
        <f t="shared" ca="1" si="59"/>
        <v>#N/A</v>
      </c>
      <c r="FK77" s="244" t="e">
        <f t="shared" ca="1" si="59"/>
        <v>#N/A</v>
      </c>
      <c r="FL77" s="244" t="e">
        <f t="shared" ca="1" si="59"/>
        <v>#N/A</v>
      </c>
      <c r="FM77" s="244" t="e">
        <f t="shared" ca="1" si="10"/>
        <v>#N/A</v>
      </c>
      <c r="FN77" s="244"/>
    </row>
    <row r="78" spans="5:170" x14ac:dyDescent="0.25">
      <c r="E78" s="244"/>
      <c r="F78" s="244"/>
      <c r="G78" s="244"/>
      <c r="L78">
        <f t="shared" si="37"/>
        <v>78</v>
      </c>
      <c r="R78" s="112">
        <f t="shared" si="14"/>
        <v>0</v>
      </c>
      <c r="S78" s="238" t="e">
        <f t="shared" si="46"/>
        <v>#N/A</v>
      </c>
      <c r="T78" s="112" t="e">
        <f t="shared" ca="1" si="47"/>
        <v>#N/A</v>
      </c>
      <c r="U78" s="112" t="e">
        <f t="shared" ca="1" si="48"/>
        <v>#N/A</v>
      </c>
      <c r="V78" s="112" t="e">
        <f t="shared" ca="1" si="49"/>
        <v>#N/A</v>
      </c>
      <c r="W78" s="112" t="e">
        <f t="shared" ca="1" si="50"/>
        <v>#N/A</v>
      </c>
      <c r="X78" s="112">
        <f t="shared" si="15"/>
        <v>0</v>
      </c>
      <c r="Y78" s="112"/>
      <c r="Z78" s="112"/>
      <c r="AA78" s="112">
        <f t="shared" si="16"/>
        <v>100000</v>
      </c>
      <c r="AB78" s="112" t="e">
        <f t="shared" ca="1" si="17"/>
        <v>#N/A</v>
      </c>
      <c r="AC78" s="112" t="e">
        <f t="shared" ca="1" si="18"/>
        <v>#N/A</v>
      </c>
      <c r="AD78" s="112" t="e">
        <f t="shared" ca="1" si="19"/>
        <v>#N/A</v>
      </c>
      <c r="AE78" s="112" t="e">
        <f t="shared" ca="1" si="20"/>
        <v>#N/A</v>
      </c>
      <c r="AF78" s="112">
        <f t="shared" si="21"/>
        <v>100000</v>
      </c>
      <c r="AG78" s="238">
        <f>AG77</f>
        <v>31</v>
      </c>
      <c r="AH78" s="112" t="e">
        <f ca="1">AI77+1</f>
        <v>#N/A</v>
      </c>
      <c r="AI78" s="112" t="e">
        <f ca="1">IF(INDIRECT(CONCATENATE("AE",AG75))&lt;100000,INDIRECT(CONCATENATE("AE",G75)),INDIRECT(CONCATENATE("AF",AG75)))</f>
        <v>#N/A</v>
      </c>
      <c r="AJ78" s="114"/>
      <c r="AK78" s="114"/>
      <c r="AL78" s="238" t="e">
        <f t="shared" ca="1" si="38"/>
        <v>#N/A</v>
      </c>
      <c r="AM78" s="112">
        <f t="shared" ca="1" si="58"/>
        <v>100000</v>
      </c>
      <c r="AN78" s="112">
        <f t="shared" ca="1" si="39"/>
        <v>100000</v>
      </c>
      <c r="AO78" s="114">
        <f t="shared" ca="1" si="23"/>
        <v>0</v>
      </c>
      <c r="AP78" s="114">
        <f t="shared" ca="1" si="24"/>
        <v>0</v>
      </c>
      <c r="AQ78" s="112"/>
      <c r="AR78" s="238">
        <f t="shared" si="40"/>
        <v>78</v>
      </c>
      <c r="AS78" s="112"/>
      <c r="AT78" s="112"/>
      <c r="AU78" s="283">
        <f t="shared" si="41"/>
        <v>59</v>
      </c>
      <c r="AV78" s="284">
        <f t="shared" ca="1" si="25"/>
        <v>100000</v>
      </c>
      <c r="AW78" s="284">
        <f t="shared" ca="1" si="52"/>
        <v>100000</v>
      </c>
      <c r="AX78" s="285">
        <f t="shared" ca="1" si="27"/>
        <v>0</v>
      </c>
      <c r="AY78" s="285">
        <f t="shared" ca="1" si="28"/>
        <v>18</v>
      </c>
      <c r="AZ78" s="282"/>
      <c r="BD78" s="114">
        <f t="shared" si="42"/>
        <v>1</v>
      </c>
      <c r="BE78" s="112">
        <f t="shared" si="31"/>
        <v>100000</v>
      </c>
      <c r="BH78" s="238">
        <f t="shared" si="43"/>
        <v>59</v>
      </c>
      <c r="BI78" s="245">
        <f t="shared" si="32"/>
        <v>100000</v>
      </c>
      <c r="BJ78" s="281">
        <f t="shared" ca="1" si="1"/>
        <v>16</v>
      </c>
      <c r="BK78" s="245" t="e">
        <f t="shared" ca="1" si="33"/>
        <v>#N/A</v>
      </c>
      <c r="BL78" s="245" t="e">
        <f t="shared" ca="1" si="34"/>
        <v>#N/A</v>
      </c>
      <c r="BM78" s="244"/>
      <c r="BN78" s="245" t="e">
        <f t="shared" ca="1" si="51"/>
        <v>#N/A</v>
      </c>
      <c r="CL78" s="112"/>
      <c r="CM78" s="112"/>
      <c r="CP78" s="112"/>
      <c r="CQ78" s="112"/>
      <c r="CR78" s="238"/>
      <c r="CS78" s="238"/>
      <c r="CT78" s="112"/>
      <c r="CU78" s="112"/>
      <c r="CV78" s="112"/>
      <c r="CW78" s="112" t="s">
        <v>224</v>
      </c>
      <c r="CX78" s="112" t="s">
        <v>225</v>
      </c>
      <c r="CY78" s="112" t="s">
        <v>226</v>
      </c>
      <c r="CZ78" s="112" t="s">
        <v>227</v>
      </c>
      <c r="DA78" s="112" t="s">
        <v>228</v>
      </c>
      <c r="DB78" s="112" t="s">
        <v>229</v>
      </c>
      <c r="DC78" s="112"/>
      <c r="DD78" s="238"/>
      <c r="DE78" s="112"/>
      <c r="DF78" s="112"/>
      <c r="DG78" s="112"/>
      <c r="DH78" s="238"/>
      <c r="DI78" s="112"/>
      <c r="DJ78" s="112"/>
      <c r="DK78" s="112"/>
      <c r="DL78" s="278" t="str">
        <f t="shared" ca="1" si="44"/>
        <v/>
      </c>
      <c r="DM78" s="245" t="str">
        <f t="shared" ca="1" si="53"/>
        <v/>
      </c>
      <c r="DN78" s="245" t="str">
        <f t="shared" ca="1" si="53"/>
        <v/>
      </c>
      <c r="DO78" s="245" t="str">
        <f t="shared" ca="1" si="53"/>
        <v/>
      </c>
      <c r="DP78" s="245" t="str">
        <f t="shared" ca="1" si="53"/>
        <v/>
      </c>
      <c r="DQ78" s="245" t="str">
        <f t="shared" ca="1" si="53"/>
        <v/>
      </c>
      <c r="DR78" s="244"/>
      <c r="DS78" s="245" t="str">
        <f t="shared" si="54"/>
        <v/>
      </c>
      <c r="DT78" s="245" t="str">
        <f t="shared" si="54"/>
        <v/>
      </c>
      <c r="DU78" s="245" t="str">
        <f t="shared" si="54"/>
        <v/>
      </c>
      <c r="DV78" s="244" t="str">
        <f t="shared" ca="1" si="7"/>
        <v/>
      </c>
      <c r="DW78" s="244"/>
      <c r="DX78" s="244" t="str">
        <f t="shared" ca="1" si="45"/>
        <v/>
      </c>
      <c r="EA78" s="244" t="b">
        <f t="shared" ca="1" si="35"/>
        <v>0</v>
      </c>
      <c r="EB78" s="278" t="e">
        <f ca="1">VLOOKUP(DM78,Foglio1!$AB$31:$AN$261,13)-6+EA78</f>
        <v>#N/A</v>
      </c>
      <c r="EC78" s="244"/>
      <c r="ED78" s="244" t="e">
        <f t="shared" ca="1" si="62"/>
        <v>#N/A</v>
      </c>
      <c r="EE78" s="244" t="e">
        <f t="shared" ca="1" si="62"/>
        <v>#N/A</v>
      </c>
      <c r="EF78" s="244" t="e">
        <f t="shared" ca="1" si="62"/>
        <v>#N/A</v>
      </c>
      <c r="EG78" s="244" t="e">
        <f t="shared" ca="1" si="62"/>
        <v>#N/A</v>
      </c>
      <c r="EH78" s="244" t="e">
        <f t="shared" ca="1" si="62"/>
        <v>#N/A</v>
      </c>
      <c r="EI78" s="244" t="e">
        <f t="shared" ca="1" si="61"/>
        <v>#N/A</v>
      </c>
      <c r="EJ78" s="244" t="e">
        <f t="shared" ca="1" si="61"/>
        <v>#N/A</v>
      </c>
      <c r="EK78" s="244" t="e">
        <f t="shared" ca="1" si="61"/>
        <v>#N/A</v>
      </c>
      <c r="EL78" s="244" t="e">
        <f t="shared" ca="1" si="61"/>
        <v>#N/A</v>
      </c>
      <c r="EM78" s="244" t="e">
        <f t="shared" ca="1" si="61"/>
        <v>#N/A</v>
      </c>
      <c r="EN78" s="244" t="e">
        <f t="shared" ca="1" si="61"/>
        <v>#N/A</v>
      </c>
      <c r="EO78" s="244" t="e">
        <f t="shared" ca="1" si="61"/>
        <v>#N/A</v>
      </c>
      <c r="EP78" s="244" t="e">
        <f t="shared" ca="1" si="61"/>
        <v>#N/A</v>
      </c>
      <c r="EQ78" s="244" t="e">
        <f t="shared" ca="1" si="61"/>
        <v>#N/A</v>
      </c>
      <c r="ER78" s="244"/>
      <c r="EW78" s="244">
        <v>0</v>
      </c>
      <c r="EX78" s="278" t="e">
        <f ca="1">VLOOKUP(DM78,Foglio1!$AB$31:$AN$261,13)-6+EW78</f>
        <v>#N/A</v>
      </c>
      <c r="EY78" s="244"/>
      <c r="EZ78" s="244" t="e">
        <f t="shared" ca="1" si="36"/>
        <v>#N/A</v>
      </c>
      <c r="FA78" s="244" t="e">
        <f t="shared" ca="1" si="60"/>
        <v>#N/A</v>
      </c>
      <c r="FB78" s="244" t="e">
        <f t="shared" ca="1" si="60"/>
        <v>#N/A</v>
      </c>
      <c r="FC78" s="244" t="e">
        <f t="shared" ca="1" si="60"/>
        <v>#N/A</v>
      </c>
      <c r="FD78" s="244" t="e">
        <f t="shared" ca="1" si="59"/>
        <v>#N/A</v>
      </c>
      <c r="FE78" s="244" t="e">
        <f t="shared" ca="1" si="59"/>
        <v>#N/A</v>
      </c>
      <c r="FF78" s="244" t="e">
        <f t="shared" ca="1" si="59"/>
        <v>#N/A</v>
      </c>
      <c r="FG78" s="244" t="e">
        <f t="shared" ca="1" si="59"/>
        <v>#N/A</v>
      </c>
      <c r="FH78" s="244" t="e">
        <f t="shared" ca="1" si="59"/>
        <v>#N/A</v>
      </c>
      <c r="FI78" s="244" t="e">
        <f t="shared" ca="1" si="59"/>
        <v>#N/A</v>
      </c>
      <c r="FJ78" s="244" t="e">
        <f t="shared" ca="1" si="59"/>
        <v>#N/A</v>
      </c>
      <c r="FK78" s="244" t="e">
        <f t="shared" ca="1" si="59"/>
        <v>#N/A</v>
      </c>
      <c r="FL78" s="244" t="e">
        <f t="shared" ca="1" si="59"/>
        <v>#N/A</v>
      </c>
      <c r="FM78" s="244" t="e">
        <f t="shared" ca="1" si="10"/>
        <v>#N/A</v>
      </c>
      <c r="FN78" s="244"/>
    </row>
    <row r="79" spans="5:170" x14ac:dyDescent="0.25">
      <c r="E79" s="244"/>
      <c r="F79" s="244"/>
      <c r="G79" s="244"/>
      <c r="L79">
        <f t="shared" si="37"/>
        <v>79</v>
      </c>
      <c r="R79" s="112">
        <f t="shared" si="14"/>
        <v>0</v>
      </c>
      <c r="S79" s="238" t="e">
        <f t="shared" si="46"/>
        <v>#N/A</v>
      </c>
      <c r="T79" s="112" t="e">
        <f t="shared" ca="1" si="47"/>
        <v>#N/A</v>
      </c>
      <c r="U79" s="112" t="e">
        <f t="shared" ca="1" si="48"/>
        <v>#N/A</v>
      </c>
      <c r="V79" s="112" t="e">
        <f t="shared" ca="1" si="49"/>
        <v>#N/A</v>
      </c>
      <c r="W79" s="112" t="e">
        <f t="shared" ca="1" si="50"/>
        <v>#N/A</v>
      </c>
      <c r="X79" s="112">
        <f t="shared" si="15"/>
        <v>0</v>
      </c>
      <c r="Y79" s="112"/>
      <c r="Z79" s="112"/>
      <c r="AA79" s="112">
        <f t="shared" si="16"/>
        <v>100000</v>
      </c>
      <c r="AB79" s="112" t="e">
        <f t="shared" ca="1" si="17"/>
        <v>#N/A</v>
      </c>
      <c r="AC79" s="112" t="e">
        <f t="shared" ca="1" si="18"/>
        <v>#N/A</v>
      </c>
      <c r="AD79" s="112" t="e">
        <f t="shared" ca="1" si="19"/>
        <v>#N/A</v>
      </c>
      <c r="AE79" s="112" t="e">
        <f t="shared" ca="1" si="20"/>
        <v>#N/A</v>
      </c>
      <c r="AF79" s="112">
        <f t="shared" si="21"/>
        <v>100000</v>
      </c>
      <c r="AG79" s="238">
        <f>AG78</f>
        <v>31</v>
      </c>
      <c r="AH79" s="112" t="e">
        <f ca="1">AI78+1</f>
        <v>#N/A</v>
      </c>
      <c r="AI79" s="112">
        <f ca="1">INDIRECT(CONCATENATE("AF",AG75))</f>
        <v>100000</v>
      </c>
      <c r="AJ79" s="114"/>
      <c r="AK79" s="114"/>
      <c r="AL79" s="238" t="e">
        <f t="shared" ca="1" si="38"/>
        <v>#N/A</v>
      </c>
      <c r="AM79" s="112">
        <f t="shared" ca="1" si="58"/>
        <v>100000</v>
      </c>
      <c r="AN79" s="112">
        <f t="shared" ca="1" si="39"/>
        <v>100000</v>
      </c>
      <c r="AO79" s="114">
        <f t="shared" ca="1" si="23"/>
        <v>0</v>
      </c>
      <c r="AP79" s="114">
        <f t="shared" ca="1" si="24"/>
        <v>0</v>
      </c>
      <c r="AQ79" s="112"/>
      <c r="AR79" s="238">
        <f t="shared" si="40"/>
        <v>79</v>
      </c>
      <c r="AS79" s="112"/>
      <c r="AT79" s="112"/>
      <c r="AU79" s="283">
        <f t="shared" si="41"/>
        <v>60</v>
      </c>
      <c r="AV79" s="284">
        <f t="shared" ca="1" si="25"/>
        <v>100000</v>
      </c>
      <c r="AW79" s="284">
        <f t="shared" ca="1" si="52"/>
        <v>100000</v>
      </c>
      <c r="AX79" s="285">
        <f t="shared" ca="1" si="27"/>
        <v>0</v>
      </c>
      <c r="AY79" s="285">
        <f t="shared" ca="1" si="28"/>
        <v>18</v>
      </c>
      <c r="AZ79" s="282"/>
      <c r="BD79" s="114">
        <f t="shared" si="42"/>
        <v>1</v>
      </c>
      <c r="BE79" s="112">
        <f t="shared" si="31"/>
        <v>100000</v>
      </c>
      <c r="BH79" s="238">
        <f t="shared" si="43"/>
        <v>60</v>
      </c>
      <c r="BI79" s="245">
        <f t="shared" si="32"/>
        <v>100000</v>
      </c>
      <c r="BJ79" s="281">
        <f t="shared" ca="1" si="1"/>
        <v>16</v>
      </c>
      <c r="BK79" s="245" t="e">
        <f t="shared" ca="1" si="33"/>
        <v>#N/A</v>
      </c>
      <c r="BL79" s="245" t="e">
        <f t="shared" ca="1" si="34"/>
        <v>#N/A</v>
      </c>
      <c r="BM79" s="244"/>
      <c r="BN79" s="245" t="e">
        <f t="shared" ca="1" si="51"/>
        <v>#N/A</v>
      </c>
      <c r="CL79" s="112"/>
      <c r="CM79" s="112"/>
      <c r="CP79" s="112"/>
      <c r="CQ79" s="112"/>
      <c r="CR79" s="238"/>
      <c r="CS79" s="238"/>
      <c r="CT79" s="112"/>
      <c r="CU79" s="112"/>
      <c r="CV79" s="112"/>
      <c r="CW79" s="112" t="s">
        <v>224</v>
      </c>
      <c r="CX79" s="112" t="s">
        <v>225</v>
      </c>
      <c r="CY79" s="112" t="s">
        <v>226</v>
      </c>
      <c r="CZ79" s="112" t="s">
        <v>227</v>
      </c>
      <c r="DA79" s="112" t="s">
        <v>228</v>
      </c>
      <c r="DB79" s="112" t="s">
        <v>229</v>
      </c>
      <c r="DC79" s="112"/>
      <c r="DD79" s="238"/>
      <c r="DE79" s="112"/>
      <c r="DF79" s="112"/>
      <c r="DG79" s="112"/>
      <c r="DH79" s="238"/>
      <c r="DI79" s="112"/>
      <c r="DJ79" s="112"/>
      <c r="DK79" s="112"/>
      <c r="DL79" s="278" t="str">
        <f t="shared" ca="1" si="44"/>
        <v/>
      </c>
      <c r="DM79" s="245" t="str">
        <f t="shared" ca="1" si="53"/>
        <v/>
      </c>
      <c r="DN79" s="245" t="str">
        <f t="shared" ca="1" si="53"/>
        <v/>
      </c>
      <c r="DO79" s="245" t="str">
        <f t="shared" ca="1" si="53"/>
        <v/>
      </c>
      <c r="DP79" s="245" t="str">
        <f t="shared" ca="1" si="53"/>
        <v/>
      </c>
      <c r="DQ79" s="245" t="str">
        <f t="shared" ca="1" si="53"/>
        <v/>
      </c>
      <c r="DR79" s="244"/>
      <c r="DS79" s="245" t="str">
        <f t="shared" si="54"/>
        <v/>
      </c>
      <c r="DT79" s="245" t="str">
        <f t="shared" si="54"/>
        <v/>
      </c>
      <c r="DU79" s="245" t="str">
        <f t="shared" si="54"/>
        <v/>
      </c>
      <c r="DV79" s="244" t="str">
        <f t="shared" ca="1" si="7"/>
        <v/>
      </c>
      <c r="DW79" s="244"/>
      <c r="DX79" s="244" t="str">
        <f t="shared" ca="1" si="45"/>
        <v/>
      </c>
      <c r="EA79" s="244" t="b">
        <f t="shared" ca="1" si="35"/>
        <v>0</v>
      </c>
      <c r="EB79" s="278" t="e">
        <f ca="1">VLOOKUP(DM79,Foglio1!$AB$31:$AN$261,13)-6+EA79</f>
        <v>#N/A</v>
      </c>
      <c r="EC79" s="244"/>
      <c r="ED79" s="244" t="e">
        <f t="shared" ca="1" si="62"/>
        <v>#N/A</v>
      </c>
      <c r="EE79" s="244" t="e">
        <f t="shared" ca="1" si="62"/>
        <v>#N/A</v>
      </c>
      <c r="EF79" s="244" t="e">
        <f t="shared" ca="1" si="62"/>
        <v>#N/A</v>
      </c>
      <c r="EG79" s="244" t="e">
        <f t="shared" ca="1" si="62"/>
        <v>#N/A</v>
      </c>
      <c r="EH79" s="244" t="e">
        <f t="shared" ca="1" si="62"/>
        <v>#N/A</v>
      </c>
      <c r="EI79" s="244" t="e">
        <f t="shared" ca="1" si="61"/>
        <v>#N/A</v>
      </c>
      <c r="EJ79" s="244" t="e">
        <f t="shared" ca="1" si="61"/>
        <v>#N/A</v>
      </c>
      <c r="EK79" s="244" t="e">
        <f t="shared" ca="1" si="61"/>
        <v>#N/A</v>
      </c>
      <c r="EL79" s="244" t="e">
        <f t="shared" ca="1" si="61"/>
        <v>#N/A</v>
      </c>
      <c r="EM79" s="244" t="e">
        <f t="shared" ca="1" si="61"/>
        <v>#N/A</v>
      </c>
      <c r="EN79" s="244" t="e">
        <f t="shared" ca="1" si="61"/>
        <v>#N/A</v>
      </c>
      <c r="EO79" s="244" t="e">
        <f t="shared" ca="1" si="61"/>
        <v>#N/A</v>
      </c>
      <c r="EP79" s="244" t="e">
        <f t="shared" ca="1" si="61"/>
        <v>#N/A</v>
      </c>
      <c r="EQ79" s="244" t="e">
        <f t="shared" ca="1" si="61"/>
        <v>#N/A</v>
      </c>
      <c r="ER79" s="244"/>
      <c r="EW79" s="244">
        <v>0</v>
      </c>
      <c r="EX79" s="278" t="e">
        <f ca="1">VLOOKUP(DM79,Foglio1!$AB$31:$AN$261,13)-6+EW79</f>
        <v>#N/A</v>
      </c>
      <c r="EY79" s="244"/>
      <c r="EZ79" s="244" t="e">
        <f t="shared" ca="1" si="36"/>
        <v>#N/A</v>
      </c>
      <c r="FA79" s="244" t="e">
        <f t="shared" ca="1" si="60"/>
        <v>#N/A</v>
      </c>
      <c r="FB79" s="244" t="e">
        <f t="shared" ca="1" si="60"/>
        <v>#N/A</v>
      </c>
      <c r="FC79" s="244" t="e">
        <f t="shared" ca="1" si="60"/>
        <v>#N/A</v>
      </c>
      <c r="FD79" s="244" t="e">
        <f t="shared" ca="1" si="59"/>
        <v>#N/A</v>
      </c>
      <c r="FE79" s="244" t="e">
        <f t="shared" ca="1" si="59"/>
        <v>#N/A</v>
      </c>
      <c r="FF79" s="244" t="e">
        <f t="shared" ca="1" si="59"/>
        <v>#N/A</v>
      </c>
      <c r="FG79" s="244" t="e">
        <f t="shared" ca="1" si="59"/>
        <v>#N/A</v>
      </c>
      <c r="FH79" s="244" t="e">
        <f t="shared" ca="1" si="59"/>
        <v>#N/A</v>
      </c>
      <c r="FI79" s="244" t="e">
        <f t="shared" ca="1" si="59"/>
        <v>#N/A</v>
      </c>
      <c r="FJ79" s="244" t="e">
        <f t="shared" ca="1" si="59"/>
        <v>#N/A</v>
      </c>
      <c r="FK79" s="244" t="e">
        <f t="shared" ca="1" si="59"/>
        <v>#N/A</v>
      </c>
      <c r="FL79" s="244" t="e">
        <f t="shared" ca="1" si="59"/>
        <v>#N/A</v>
      </c>
      <c r="FM79" s="244" t="e">
        <f t="shared" ca="1" si="10"/>
        <v>#N/A</v>
      </c>
      <c r="FN79" s="244"/>
    </row>
    <row r="80" spans="5:170" x14ac:dyDescent="0.25">
      <c r="E80" s="244"/>
      <c r="F80" s="244"/>
      <c r="G80" s="244"/>
      <c r="L80">
        <f t="shared" si="37"/>
        <v>80</v>
      </c>
      <c r="R80" s="112">
        <f t="shared" si="14"/>
        <v>0</v>
      </c>
      <c r="S80" s="238" t="e">
        <f t="shared" si="46"/>
        <v>#N/A</v>
      </c>
      <c r="T80" s="112" t="e">
        <f t="shared" ca="1" si="47"/>
        <v>#N/A</v>
      </c>
      <c r="U80" s="112" t="e">
        <f t="shared" ca="1" si="48"/>
        <v>#N/A</v>
      </c>
      <c r="V80" s="112" t="e">
        <f t="shared" ca="1" si="49"/>
        <v>#N/A</v>
      </c>
      <c r="W80" s="112" t="e">
        <f t="shared" ca="1" si="50"/>
        <v>#N/A</v>
      </c>
      <c r="X80" s="112">
        <f t="shared" si="15"/>
        <v>0</v>
      </c>
      <c r="Y80" s="112"/>
      <c r="Z80" s="112"/>
      <c r="AA80" s="112">
        <f t="shared" si="16"/>
        <v>100000</v>
      </c>
      <c r="AB80" s="112" t="e">
        <f t="shared" ca="1" si="17"/>
        <v>#N/A</v>
      </c>
      <c r="AC80" s="112" t="e">
        <f t="shared" ca="1" si="18"/>
        <v>#N/A</v>
      </c>
      <c r="AD80" s="112" t="e">
        <f t="shared" ca="1" si="19"/>
        <v>#N/A</v>
      </c>
      <c r="AE80" s="112" t="e">
        <f t="shared" ca="1" si="20"/>
        <v>#N/A</v>
      </c>
      <c r="AF80" s="112">
        <f t="shared" si="21"/>
        <v>100000</v>
      </c>
      <c r="AG80" s="238">
        <f>AG79+1</f>
        <v>32</v>
      </c>
      <c r="AH80" s="112">
        <f ca="1">INDIRECT(CONCATENATE("AA",AG80))</f>
        <v>100000</v>
      </c>
      <c r="AI80" s="112" t="e">
        <f ca="1">IF(            INDIRECT(CONCATENATE( "AB",AG80))&lt;100000,       INDIRECT(CONCATENATE("AB",AG80))  -1,IF(   INDIRECT(CONCATENATE("AC",AG80))&lt;100000,   INDIRECT(CONCATENATE("AC",AG80))-1,IF(   INDIRECT(CONCATENATE("AD", AG80))&lt;100000, INDIRECT(CONCATENATE("AD",AG80))-1,IF(   INDIRECT(CONCATENATE("AE",AG80))&lt;100000,  INDIRECT(CONCATENATE("AE",G80)),INDIRECT(CONCATENATE("AF",AG80))                ))))</f>
        <v>#N/A</v>
      </c>
      <c r="AJ80" s="114"/>
      <c r="AK80" s="114"/>
      <c r="AL80" s="238" t="e">
        <f t="shared" ca="1" si="38"/>
        <v>#N/A</v>
      </c>
      <c r="AM80" s="112">
        <f t="shared" ca="1" si="58"/>
        <v>100000</v>
      </c>
      <c r="AN80" s="112">
        <f t="shared" ca="1" si="39"/>
        <v>100000</v>
      </c>
      <c r="AO80" s="114">
        <f t="shared" ca="1" si="23"/>
        <v>0</v>
      </c>
      <c r="AP80" s="114">
        <f t="shared" ca="1" si="24"/>
        <v>0</v>
      </c>
      <c r="AQ80" s="112"/>
      <c r="AR80" s="238">
        <f t="shared" si="40"/>
        <v>80</v>
      </c>
      <c r="AS80" s="112"/>
      <c r="AT80" s="112"/>
      <c r="AU80" s="283">
        <f t="shared" si="41"/>
        <v>61</v>
      </c>
      <c r="AV80" s="284">
        <f t="shared" ca="1" si="25"/>
        <v>100000</v>
      </c>
      <c r="AW80" s="284">
        <f t="shared" ca="1" si="52"/>
        <v>100000</v>
      </c>
      <c r="AX80" s="285">
        <f t="shared" ca="1" si="27"/>
        <v>0</v>
      </c>
      <c r="AY80" s="285">
        <f t="shared" ca="1" si="28"/>
        <v>18</v>
      </c>
      <c r="AZ80" s="282"/>
      <c r="BD80" s="114">
        <f t="shared" si="42"/>
        <v>1</v>
      </c>
      <c r="BE80" s="112">
        <f t="shared" si="31"/>
        <v>100000</v>
      </c>
      <c r="BH80" s="238">
        <f t="shared" si="43"/>
        <v>61</v>
      </c>
      <c r="BI80" s="245">
        <f t="shared" si="32"/>
        <v>100000</v>
      </c>
      <c r="BJ80" s="281">
        <f t="shared" ca="1" si="1"/>
        <v>16</v>
      </c>
      <c r="BK80" s="245" t="e">
        <f t="shared" ca="1" si="33"/>
        <v>#N/A</v>
      </c>
      <c r="BL80" s="245" t="e">
        <f t="shared" ca="1" si="34"/>
        <v>#N/A</v>
      </c>
      <c r="BM80" s="244"/>
      <c r="BN80" s="245" t="e">
        <f t="shared" ca="1" si="51"/>
        <v>#N/A</v>
      </c>
      <c r="CL80" s="112"/>
      <c r="CM80" s="112"/>
      <c r="CP80" s="112"/>
      <c r="CQ80" s="112"/>
      <c r="CR80" s="238"/>
      <c r="CS80" s="238"/>
      <c r="CT80" s="112"/>
      <c r="CU80" s="112"/>
      <c r="CV80" s="112"/>
      <c r="CW80" s="112" t="s">
        <v>224</v>
      </c>
      <c r="CX80" s="112" t="s">
        <v>225</v>
      </c>
      <c r="CY80" s="112" t="s">
        <v>226</v>
      </c>
      <c r="CZ80" s="112" t="s">
        <v>227</v>
      </c>
      <c r="DA80" s="112" t="s">
        <v>228</v>
      </c>
      <c r="DB80" s="112" t="s">
        <v>229</v>
      </c>
      <c r="DC80" s="112"/>
      <c r="DD80" s="238"/>
      <c r="DE80" s="112"/>
      <c r="DF80" s="112"/>
      <c r="DG80" s="112"/>
      <c r="DH80" s="238"/>
      <c r="DI80" s="112"/>
      <c r="DJ80" s="112"/>
      <c r="DK80" s="112"/>
      <c r="DL80" s="278" t="str">
        <f t="shared" ca="1" si="44"/>
        <v/>
      </c>
      <c r="DM80" s="245" t="str">
        <f t="shared" ca="1" si="53"/>
        <v/>
      </c>
      <c r="DN80" s="245" t="str">
        <f t="shared" ca="1" si="53"/>
        <v/>
      </c>
      <c r="DO80" s="245" t="str">
        <f t="shared" ca="1" si="53"/>
        <v/>
      </c>
      <c r="DP80" s="245" t="str">
        <f t="shared" ca="1" si="53"/>
        <v/>
      </c>
      <c r="DQ80" s="245" t="str">
        <f t="shared" ca="1" si="53"/>
        <v/>
      </c>
      <c r="DR80" s="244"/>
      <c r="DS80" s="245" t="str">
        <f t="shared" si="54"/>
        <v/>
      </c>
      <c r="DT80" s="245" t="str">
        <f t="shared" si="54"/>
        <v/>
      </c>
      <c r="DU80" s="245" t="str">
        <f t="shared" si="54"/>
        <v/>
      </c>
      <c r="DV80" s="244" t="str">
        <f t="shared" ca="1" si="7"/>
        <v/>
      </c>
      <c r="DW80" s="244"/>
      <c r="DX80" s="244" t="str">
        <f t="shared" ca="1" si="45"/>
        <v/>
      </c>
      <c r="EA80" s="244" t="b">
        <f t="shared" ca="1" si="35"/>
        <v>0</v>
      </c>
      <c r="EB80" s="278" t="e">
        <f ca="1">VLOOKUP(DM80,Foglio1!$AB$31:$AN$261,13)-6+EA80</f>
        <v>#N/A</v>
      </c>
      <c r="EC80" s="244"/>
      <c r="ED80" s="244" t="e">
        <f t="shared" ca="1" si="62"/>
        <v>#N/A</v>
      </c>
      <c r="EE80" s="244" t="e">
        <f t="shared" ca="1" si="62"/>
        <v>#N/A</v>
      </c>
      <c r="EF80" s="244" t="e">
        <f t="shared" ca="1" si="62"/>
        <v>#N/A</v>
      </c>
      <c r="EG80" s="244" t="e">
        <f t="shared" ca="1" si="62"/>
        <v>#N/A</v>
      </c>
      <c r="EH80" s="244" t="e">
        <f t="shared" ca="1" si="62"/>
        <v>#N/A</v>
      </c>
      <c r="EI80" s="244" t="e">
        <f t="shared" ca="1" si="61"/>
        <v>#N/A</v>
      </c>
      <c r="EJ80" s="244" t="e">
        <f t="shared" ca="1" si="61"/>
        <v>#N/A</v>
      </c>
      <c r="EK80" s="244" t="e">
        <f t="shared" ca="1" si="61"/>
        <v>#N/A</v>
      </c>
      <c r="EL80" s="244" t="e">
        <f t="shared" ca="1" si="61"/>
        <v>#N/A</v>
      </c>
      <c r="EM80" s="244" t="e">
        <f t="shared" ca="1" si="61"/>
        <v>#N/A</v>
      </c>
      <c r="EN80" s="244" t="e">
        <f t="shared" ca="1" si="61"/>
        <v>#N/A</v>
      </c>
      <c r="EO80" s="244" t="e">
        <f t="shared" ca="1" si="61"/>
        <v>#N/A</v>
      </c>
      <c r="EP80" s="244" t="e">
        <f t="shared" ca="1" si="61"/>
        <v>#N/A</v>
      </c>
      <c r="EQ80" s="244" t="e">
        <f t="shared" ca="1" si="61"/>
        <v>#N/A</v>
      </c>
      <c r="ER80" s="244"/>
      <c r="EW80" s="244">
        <v>0</v>
      </c>
      <c r="EX80" s="278" t="e">
        <f ca="1">VLOOKUP(DM80,Foglio1!$AB$31:$AN$261,13)-6+EW80</f>
        <v>#N/A</v>
      </c>
      <c r="EY80" s="244"/>
      <c r="EZ80" s="244" t="e">
        <f t="shared" ca="1" si="36"/>
        <v>#N/A</v>
      </c>
      <c r="FA80" s="244" t="e">
        <f t="shared" ca="1" si="60"/>
        <v>#N/A</v>
      </c>
      <c r="FB80" s="244" t="e">
        <f t="shared" ca="1" si="60"/>
        <v>#N/A</v>
      </c>
      <c r="FC80" s="244" t="e">
        <f t="shared" ca="1" si="60"/>
        <v>#N/A</v>
      </c>
      <c r="FD80" s="244" t="e">
        <f t="shared" ca="1" si="59"/>
        <v>#N/A</v>
      </c>
      <c r="FE80" s="244" t="e">
        <f t="shared" ca="1" si="59"/>
        <v>#N/A</v>
      </c>
      <c r="FF80" s="244" t="e">
        <f t="shared" ca="1" si="59"/>
        <v>#N/A</v>
      </c>
      <c r="FG80" s="244" t="e">
        <f t="shared" ca="1" si="59"/>
        <v>#N/A</v>
      </c>
      <c r="FH80" s="244" t="e">
        <f t="shared" ca="1" si="59"/>
        <v>#N/A</v>
      </c>
      <c r="FI80" s="244" t="e">
        <f t="shared" ca="1" si="59"/>
        <v>#N/A</v>
      </c>
      <c r="FJ80" s="244" t="e">
        <f t="shared" ca="1" si="59"/>
        <v>#N/A</v>
      </c>
      <c r="FK80" s="244" t="e">
        <f t="shared" ca="1" si="59"/>
        <v>#N/A</v>
      </c>
      <c r="FL80" s="244" t="e">
        <f t="shared" ca="1" si="59"/>
        <v>#N/A</v>
      </c>
      <c r="FM80" s="244" t="e">
        <f t="shared" ca="1" si="10"/>
        <v>#N/A</v>
      </c>
      <c r="FN80" s="244"/>
    </row>
    <row r="81" spans="5:170" x14ac:dyDescent="0.25">
      <c r="E81" s="244"/>
      <c r="F81" s="244"/>
      <c r="G81" s="244"/>
      <c r="L81">
        <f t="shared" si="37"/>
        <v>81</v>
      </c>
      <c r="R81" s="112">
        <f t="shared" si="14"/>
        <v>0</v>
      </c>
      <c r="S81" s="238" t="e">
        <f t="shared" si="46"/>
        <v>#N/A</v>
      </c>
      <c r="T81" s="112" t="e">
        <f t="shared" ca="1" si="47"/>
        <v>#N/A</v>
      </c>
      <c r="U81" s="112" t="e">
        <f t="shared" ca="1" si="48"/>
        <v>#N/A</v>
      </c>
      <c r="V81" s="112" t="e">
        <f t="shared" ca="1" si="49"/>
        <v>#N/A</v>
      </c>
      <c r="W81" s="112" t="e">
        <f t="shared" ca="1" si="50"/>
        <v>#N/A</v>
      </c>
      <c r="X81" s="112">
        <f t="shared" si="15"/>
        <v>0</v>
      </c>
      <c r="Y81" s="112"/>
      <c r="Z81" s="112"/>
      <c r="AA81" s="112">
        <f t="shared" si="16"/>
        <v>100000</v>
      </c>
      <c r="AB81" s="112" t="e">
        <f t="shared" ca="1" si="17"/>
        <v>#N/A</v>
      </c>
      <c r="AC81" s="112" t="e">
        <f t="shared" ca="1" si="18"/>
        <v>#N/A</v>
      </c>
      <c r="AD81" s="112" t="e">
        <f t="shared" ca="1" si="19"/>
        <v>#N/A</v>
      </c>
      <c r="AE81" s="112" t="e">
        <f t="shared" ca="1" si="20"/>
        <v>#N/A</v>
      </c>
      <c r="AF81" s="112">
        <f t="shared" si="21"/>
        <v>100000</v>
      </c>
      <c r="AG81" s="238">
        <f>AG80</f>
        <v>32</v>
      </c>
      <c r="AH81" s="112" t="e">
        <f ca="1">AI80+1</f>
        <v>#N/A</v>
      </c>
      <c r="AI81" s="112" t="e">
        <f ca="1">IF(INDIRECT(CONCATENATE("AC",AG80))&lt;100000,INDIRECT(CONCATENATE("AC",AG80))-1,IF(INDIRECT(CONCATENATE("AD",AG80))&lt;100000,INDIRECT(CONCATENATE("AD",AG80))-1,IF(INDIRECT(CONCATENATE("AE",AG80))&lt;100000,INDIRECT(CONCATENATE("AE",G80)),INDIRECT(CONCATENATE("AF",AG80)))))</f>
        <v>#N/A</v>
      </c>
      <c r="AJ81" s="114"/>
      <c r="AK81" s="114"/>
      <c r="AL81" s="238" t="e">
        <f t="shared" ca="1" si="38"/>
        <v>#N/A</v>
      </c>
      <c r="AM81" s="112">
        <f t="shared" ca="1" si="58"/>
        <v>100000</v>
      </c>
      <c r="AN81" s="112">
        <f t="shared" ca="1" si="39"/>
        <v>100000</v>
      </c>
      <c r="AO81" s="114">
        <f t="shared" ca="1" si="23"/>
        <v>0</v>
      </c>
      <c r="AP81" s="114">
        <f t="shared" ca="1" si="24"/>
        <v>0</v>
      </c>
      <c r="AQ81" s="112"/>
      <c r="AR81" s="238">
        <f t="shared" si="40"/>
        <v>81</v>
      </c>
      <c r="AS81" s="112"/>
      <c r="AT81" s="112"/>
      <c r="AU81" s="283">
        <f t="shared" si="41"/>
        <v>62</v>
      </c>
      <c r="AV81" s="284">
        <f t="shared" ca="1" si="25"/>
        <v>100000</v>
      </c>
      <c r="AW81" s="284">
        <f t="shared" ca="1" si="52"/>
        <v>100000</v>
      </c>
      <c r="AX81" s="285">
        <f t="shared" ca="1" si="27"/>
        <v>0</v>
      </c>
      <c r="AY81" s="285">
        <f t="shared" ca="1" si="28"/>
        <v>18</v>
      </c>
      <c r="AZ81" s="282"/>
      <c r="BD81" s="114">
        <f t="shared" si="42"/>
        <v>1</v>
      </c>
      <c r="BE81" s="112">
        <f t="shared" si="31"/>
        <v>100000</v>
      </c>
      <c r="BH81" s="238">
        <f t="shared" si="43"/>
        <v>62</v>
      </c>
      <c r="BI81" s="245">
        <f t="shared" si="32"/>
        <v>100000</v>
      </c>
      <c r="BJ81" s="281">
        <f t="shared" ca="1" si="1"/>
        <v>16</v>
      </c>
      <c r="BK81" s="245" t="e">
        <f t="shared" ca="1" si="33"/>
        <v>#N/A</v>
      </c>
      <c r="BL81" s="245" t="e">
        <f t="shared" ca="1" si="34"/>
        <v>#N/A</v>
      </c>
      <c r="BM81" s="244"/>
      <c r="BN81" s="245" t="e">
        <f t="shared" ca="1" si="51"/>
        <v>#N/A</v>
      </c>
      <c r="CL81" s="112"/>
      <c r="CM81" s="112"/>
      <c r="CP81" s="112"/>
      <c r="CQ81" s="112"/>
      <c r="CR81" s="238"/>
      <c r="CS81" s="238"/>
      <c r="CT81" s="112"/>
      <c r="CU81" s="112"/>
      <c r="CV81" s="112"/>
      <c r="CW81" s="112" t="s">
        <v>224</v>
      </c>
      <c r="CX81" s="112" t="s">
        <v>225</v>
      </c>
      <c r="CY81" s="112" t="s">
        <v>226</v>
      </c>
      <c r="CZ81" s="112" t="s">
        <v>227</v>
      </c>
      <c r="DA81" s="112" t="s">
        <v>228</v>
      </c>
      <c r="DB81" s="112" t="s">
        <v>229</v>
      </c>
      <c r="DC81" s="112"/>
      <c r="DD81" s="238"/>
      <c r="DE81" s="112"/>
      <c r="DF81" s="112"/>
      <c r="DG81" s="112"/>
      <c r="DH81" s="238"/>
      <c r="DI81" s="112"/>
      <c r="DJ81" s="112"/>
      <c r="DK81" s="112"/>
      <c r="DL81" s="278" t="str">
        <f t="shared" ca="1" si="44"/>
        <v/>
      </c>
      <c r="DM81" s="245" t="str">
        <f t="shared" ca="1" si="53"/>
        <v/>
      </c>
      <c r="DN81" s="245" t="str">
        <f t="shared" ca="1" si="53"/>
        <v/>
      </c>
      <c r="DO81" s="245" t="str">
        <f t="shared" ca="1" si="53"/>
        <v/>
      </c>
      <c r="DP81" s="245" t="str">
        <f t="shared" ca="1" si="53"/>
        <v/>
      </c>
      <c r="DQ81" s="245" t="str">
        <f t="shared" ca="1" si="53"/>
        <v/>
      </c>
      <c r="DR81" s="244"/>
      <c r="DS81" s="245" t="str">
        <f t="shared" si="54"/>
        <v/>
      </c>
      <c r="DT81" s="245" t="str">
        <f t="shared" si="54"/>
        <v/>
      </c>
      <c r="DU81" s="245" t="str">
        <f t="shared" si="54"/>
        <v/>
      </c>
      <c r="DV81" s="244" t="str">
        <f t="shared" ca="1" si="7"/>
        <v/>
      </c>
      <c r="DW81" s="244"/>
      <c r="DX81" s="244" t="str">
        <f t="shared" ca="1" si="45"/>
        <v/>
      </c>
      <c r="EA81" s="244" t="b">
        <f t="shared" ca="1" si="35"/>
        <v>0</v>
      </c>
      <c r="EB81" s="278" t="e">
        <f ca="1">VLOOKUP(DM81,Foglio1!$AB$31:$AN$261,13)-6+EA81</f>
        <v>#N/A</v>
      </c>
      <c r="EC81" s="244"/>
      <c r="ED81" s="244" t="e">
        <f t="shared" ca="1" si="62"/>
        <v>#N/A</v>
      </c>
      <c r="EE81" s="244" t="e">
        <f t="shared" ca="1" si="62"/>
        <v>#N/A</v>
      </c>
      <c r="EF81" s="244" t="e">
        <f t="shared" ca="1" si="62"/>
        <v>#N/A</v>
      </c>
      <c r="EG81" s="244" t="e">
        <f t="shared" ca="1" si="62"/>
        <v>#N/A</v>
      </c>
      <c r="EH81" s="244" t="e">
        <f t="shared" ca="1" si="62"/>
        <v>#N/A</v>
      </c>
      <c r="EI81" s="244" t="e">
        <f t="shared" ca="1" si="61"/>
        <v>#N/A</v>
      </c>
      <c r="EJ81" s="244" t="e">
        <f t="shared" ca="1" si="61"/>
        <v>#N/A</v>
      </c>
      <c r="EK81" s="244" t="e">
        <f t="shared" ca="1" si="61"/>
        <v>#N/A</v>
      </c>
      <c r="EL81" s="244" t="e">
        <f t="shared" ca="1" si="61"/>
        <v>#N/A</v>
      </c>
      <c r="EM81" s="244" t="e">
        <f t="shared" ca="1" si="61"/>
        <v>#N/A</v>
      </c>
      <c r="EN81" s="244" t="e">
        <f t="shared" ca="1" si="61"/>
        <v>#N/A</v>
      </c>
      <c r="EO81" s="244" t="e">
        <f t="shared" ca="1" si="61"/>
        <v>#N/A</v>
      </c>
      <c r="EP81" s="244" t="e">
        <f t="shared" ca="1" si="61"/>
        <v>#N/A</v>
      </c>
      <c r="EQ81" s="244" t="e">
        <f t="shared" ca="1" si="61"/>
        <v>#N/A</v>
      </c>
      <c r="ER81" s="244"/>
      <c r="EW81" s="244">
        <v>0</v>
      </c>
      <c r="EX81" s="278" t="e">
        <f ca="1">VLOOKUP(DM81,Foglio1!$AB$31:$AN$261,13)-6+EW81</f>
        <v>#N/A</v>
      </c>
      <c r="EY81" s="244"/>
      <c r="EZ81" s="244" t="e">
        <f t="shared" ca="1" si="36"/>
        <v>#N/A</v>
      </c>
      <c r="FA81" s="244" t="e">
        <f t="shared" ca="1" si="60"/>
        <v>#N/A</v>
      </c>
      <c r="FB81" s="244" t="e">
        <f t="shared" ca="1" si="60"/>
        <v>#N/A</v>
      </c>
      <c r="FC81" s="244" t="e">
        <f t="shared" ca="1" si="60"/>
        <v>#N/A</v>
      </c>
      <c r="FD81" s="244" t="e">
        <f t="shared" ca="1" si="59"/>
        <v>#N/A</v>
      </c>
      <c r="FE81" s="244" t="e">
        <f t="shared" ca="1" si="59"/>
        <v>#N/A</v>
      </c>
      <c r="FF81" s="244" t="e">
        <f t="shared" ca="1" si="59"/>
        <v>#N/A</v>
      </c>
      <c r="FG81" s="244" t="e">
        <f t="shared" ca="1" si="59"/>
        <v>#N/A</v>
      </c>
      <c r="FH81" s="244" t="e">
        <f t="shared" ca="1" si="59"/>
        <v>#N/A</v>
      </c>
      <c r="FI81" s="244" t="e">
        <f t="shared" ca="1" si="59"/>
        <v>#N/A</v>
      </c>
      <c r="FJ81" s="244" t="e">
        <f t="shared" ca="1" si="59"/>
        <v>#N/A</v>
      </c>
      <c r="FK81" s="244" t="e">
        <f t="shared" ca="1" si="59"/>
        <v>#N/A</v>
      </c>
      <c r="FL81" s="244" t="e">
        <f t="shared" ca="1" si="59"/>
        <v>#N/A</v>
      </c>
      <c r="FM81" s="244" t="e">
        <f t="shared" ca="1" si="10"/>
        <v>#N/A</v>
      </c>
      <c r="FN81" s="244"/>
    </row>
    <row r="82" spans="5:170" x14ac:dyDescent="0.25">
      <c r="E82" s="244"/>
      <c r="F82" s="244"/>
      <c r="G82" s="244"/>
      <c r="L82">
        <f t="shared" si="37"/>
        <v>82</v>
      </c>
      <c r="R82" s="112">
        <f t="shared" si="14"/>
        <v>0</v>
      </c>
      <c r="S82" s="238" t="e">
        <f t="shared" si="46"/>
        <v>#N/A</v>
      </c>
      <c r="T82" s="112" t="e">
        <f t="shared" ca="1" si="47"/>
        <v>#N/A</v>
      </c>
      <c r="U82" s="112" t="e">
        <f t="shared" ca="1" si="48"/>
        <v>#N/A</v>
      </c>
      <c r="V82" s="112" t="e">
        <f t="shared" ca="1" si="49"/>
        <v>#N/A</v>
      </c>
      <c r="W82" s="112" t="e">
        <f t="shared" ca="1" si="50"/>
        <v>#N/A</v>
      </c>
      <c r="X82" s="112">
        <f t="shared" si="15"/>
        <v>0</v>
      </c>
      <c r="Y82" s="112"/>
      <c r="Z82" s="112"/>
      <c r="AA82" s="112">
        <f t="shared" si="16"/>
        <v>100000</v>
      </c>
      <c r="AB82" s="112" t="e">
        <f t="shared" ca="1" si="17"/>
        <v>#N/A</v>
      </c>
      <c r="AC82" s="112" t="e">
        <f t="shared" ca="1" si="18"/>
        <v>#N/A</v>
      </c>
      <c r="AD82" s="112" t="e">
        <f t="shared" ca="1" si="19"/>
        <v>#N/A</v>
      </c>
      <c r="AE82" s="112" t="e">
        <f t="shared" ca="1" si="20"/>
        <v>#N/A</v>
      </c>
      <c r="AF82" s="112">
        <f t="shared" si="21"/>
        <v>100000</v>
      </c>
      <c r="AG82" s="238">
        <f>AG81</f>
        <v>32</v>
      </c>
      <c r="AH82" s="112" t="e">
        <f ca="1">AI81+1</f>
        <v>#N/A</v>
      </c>
      <c r="AI82" s="112" t="e">
        <f ca="1">IF(INDIRECT(CONCATENATE("AD",AG80))&lt;100000,INDIRECT(CONCATENATE("AD",AG80))-1,IF(INDIRECT(CONCATENATE("AE",AG80))&lt;100000,INDIRECT(CONCATENATE("AE",G80)),INDIRECT(CONCATENATE("AF",AG80))))</f>
        <v>#N/A</v>
      </c>
      <c r="AJ82" s="114"/>
      <c r="AK82" s="114"/>
      <c r="AL82" s="238" t="e">
        <f t="shared" ca="1" si="38"/>
        <v>#N/A</v>
      </c>
      <c r="AM82" s="112">
        <f t="shared" ca="1" si="58"/>
        <v>100000</v>
      </c>
      <c r="AN82" s="112">
        <f t="shared" ca="1" si="39"/>
        <v>100000</v>
      </c>
      <c r="AO82" s="114">
        <f t="shared" ca="1" si="23"/>
        <v>0</v>
      </c>
      <c r="AP82" s="114">
        <f t="shared" ca="1" si="24"/>
        <v>0</v>
      </c>
      <c r="AQ82" s="112"/>
      <c r="AR82" s="238">
        <f t="shared" si="40"/>
        <v>82</v>
      </c>
      <c r="AS82" s="112"/>
      <c r="AT82" s="112"/>
      <c r="AU82" s="283">
        <f t="shared" si="41"/>
        <v>63</v>
      </c>
      <c r="AV82" s="284">
        <f t="shared" ca="1" si="25"/>
        <v>100000</v>
      </c>
      <c r="AW82" s="284">
        <f t="shared" ca="1" si="52"/>
        <v>100000</v>
      </c>
      <c r="AX82" s="285">
        <f t="shared" ca="1" si="27"/>
        <v>0</v>
      </c>
      <c r="AY82" s="285">
        <f t="shared" ca="1" si="28"/>
        <v>18</v>
      </c>
      <c r="AZ82" s="282"/>
      <c r="BD82" s="114">
        <f t="shared" si="42"/>
        <v>1</v>
      </c>
      <c r="BE82" s="112">
        <f t="shared" si="31"/>
        <v>100000</v>
      </c>
      <c r="BH82" s="238">
        <f t="shared" si="43"/>
        <v>63</v>
      </c>
      <c r="BI82" s="245">
        <f t="shared" si="32"/>
        <v>100000</v>
      </c>
      <c r="BJ82" s="281">
        <f t="shared" ca="1" si="1"/>
        <v>16</v>
      </c>
      <c r="BK82" s="245" t="e">
        <f t="shared" ca="1" si="33"/>
        <v>#N/A</v>
      </c>
      <c r="BL82" s="245" t="e">
        <f t="shared" ca="1" si="34"/>
        <v>#N/A</v>
      </c>
      <c r="BM82" s="244"/>
      <c r="BN82" s="245" t="e">
        <f t="shared" ca="1" si="51"/>
        <v>#N/A</v>
      </c>
      <c r="CL82" s="112"/>
      <c r="CM82" s="112"/>
      <c r="CP82" s="112"/>
      <c r="CQ82" s="112"/>
      <c r="CR82" s="238"/>
      <c r="CS82" s="238"/>
      <c r="CT82" s="112"/>
      <c r="CU82" s="112"/>
      <c r="CV82" s="112"/>
      <c r="CW82" s="112" t="s">
        <v>224</v>
      </c>
      <c r="CX82" s="112" t="s">
        <v>225</v>
      </c>
      <c r="CY82" s="112" t="s">
        <v>226</v>
      </c>
      <c r="CZ82" s="112" t="s">
        <v>227</v>
      </c>
      <c r="DA82" s="112" t="s">
        <v>228</v>
      </c>
      <c r="DB82" s="112" t="s">
        <v>229</v>
      </c>
      <c r="DC82" s="112"/>
      <c r="DD82" s="238"/>
      <c r="DE82" s="112"/>
      <c r="DF82" s="112"/>
      <c r="DG82" s="112"/>
      <c r="DH82" s="238"/>
      <c r="DI82" s="112"/>
      <c r="DJ82" s="112"/>
      <c r="DK82" s="112"/>
      <c r="DL82" s="278" t="str">
        <f t="shared" ca="1" si="44"/>
        <v/>
      </c>
      <c r="DM82" s="245" t="str">
        <f t="shared" ca="1" si="53"/>
        <v/>
      </c>
      <c r="DN82" s="245" t="str">
        <f t="shared" ca="1" si="53"/>
        <v/>
      </c>
      <c r="DO82" s="245" t="str">
        <f t="shared" ca="1" si="53"/>
        <v/>
      </c>
      <c r="DP82" s="245" t="str">
        <f t="shared" ca="1" si="53"/>
        <v/>
      </c>
      <c r="DQ82" s="245" t="str">
        <f t="shared" ca="1" si="53"/>
        <v/>
      </c>
      <c r="DR82" s="244"/>
      <c r="DS82" s="245" t="str">
        <f t="shared" si="54"/>
        <v/>
      </c>
      <c r="DT82" s="245" t="str">
        <f t="shared" si="54"/>
        <v/>
      </c>
      <c r="DU82" s="245" t="str">
        <f t="shared" si="54"/>
        <v/>
      </c>
      <c r="DV82" s="244" t="str">
        <f t="shared" ca="1" si="7"/>
        <v/>
      </c>
      <c r="DW82" s="244"/>
      <c r="DX82" s="244" t="str">
        <f t="shared" ca="1" si="45"/>
        <v/>
      </c>
      <c r="EA82" s="244" t="b">
        <f t="shared" ca="1" si="35"/>
        <v>0</v>
      </c>
      <c r="EB82" s="278" t="e">
        <f ca="1">VLOOKUP(DM82,Foglio1!$AB$31:$AN$261,13)-6+EA82</f>
        <v>#N/A</v>
      </c>
      <c r="EC82" s="244"/>
      <c r="ED82" s="244" t="e">
        <f t="shared" ca="1" si="62"/>
        <v>#N/A</v>
      </c>
      <c r="EE82" s="244" t="e">
        <f t="shared" ca="1" si="62"/>
        <v>#N/A</v>
      </c>
      <c r="EF82" s="244" t="e">
        <f t="shared" ca="1" si="62"/>
        <v>#N/A</v>
      </c>
      <c r="EG82" s="244" t="e">
        <f t="shared" ca="1" si="62"/>
        <v>#N/A</v>
      </c>
      <c r="EH82" s="244" t="e">
        <f t="shared" ca="1" si="62"/>
        <v>#N/A</v>
      </c>
      <c r="EI82" s="244" t="e">
        <f t="shared" ca="1" si="61"/>
        <v>#N/A</v>
      </c>
      <c r="EJ82" s="244" t="e">
        <f t="shared" ca="1" si="61"/>
        <v>#N/A</v>
      </c>
      <c r="EK82" s="244" t="e">
        <f t="shared" ca="1" si="61"/>
        <v>#N/A</v>
      </c>
      <c r="EL82" s="244" t="e">
        <f t="shared" ca="1" si="61"/>
        <v>#N/A</v>
      </c>
      <c r="EM82" s="244" t="e">
        <f t="shared" ca="1" si="61"/>
        <v>#N/A</v>
      </c>
      <c r="EN82" s="244" t="e">
        <f t="shared" ca="1" si="61"/>
        <v>#N/A</v>
      </c>
      <c r="EO82" s="244" t="e">
        <f t="shared" ca="1" si="61"/>
        <v>#N/A</v>
      </c>
      <c r="EP82" s="244" t="e">
        <f t="shared" ca="1" si="61"/>
        <v>#N/A</v>
      </c>
      <c r="EQ82" s="244" t="e">
        <f t="shared" ca="1" si="61"/>
        <v>#N/A</v>
      </c>
      <c r="ER82" s="244"/>
      <c r="EW82" s="244">
        <v>0</v>
      </c>
      <c r="EX82" s="278" t="e">
        <f ca="1">VLOOKUP(DM82,Foglio1!$AB$31:$AN$261,13)-6+EW82</f>
        <v>#N/A</v>
      </c>
      <c r="EY82" s="244"/>
      <c r="EZ82" s="244" t="e">
        <f t="shared" ca="1" si="36"/>
        <v>#N/A</v>
      </c>
      <c r="FA82" s="244" t="e">
        <f t="shared" ca="1" si="60"/>
        <v>#N/A</v>
      </c>
      <c r="FB82" s="244" t="e">
        <f t="shared" ca="1" si="60"/>
        <v>#N/A</v>
      </c>
      <c r="FC82" s="244" t="e">
        <f t="shared" ca="1" si="60"/>
        <v>#N/A</v>
      </c>
      <c r="FD82" s="244" t="e">
        <f t="shared" ca="1" si="59"/>
        <v>#N/A</v>
      </c>
      <c r="FE82" s="244" t="e">
        <f t="shared" ca="1" si="59"/>
        <v>#N/A</v>
      </c>
      <c r="FF82" s="244" t="e">
        <f t="shared" ca="1" si="59"/>
        <v>#N/A</v>
      </c>
      <c r="FG82" s="244" t="e">
        <f t="shared" ca="1" si="59"/>
        <v>#N/A</v>
      </c>
      <c r="FH82" s="244" t="e">
        <f t="shared" ca="1" si="59"/>
        <v>#N/A</v>
      </c>
      <c r="FI82" s="244" t="e">
        <f t="shared" ca="1" si="59"/>
        <v>#N/A</v>
      </c>
      <c r="FJ82" s="244" t="e">
        <f t="shared" ca="1" si="59"/>
        <v>#N/A</v>
      </c>
      <c r="FK82" s="244" t="e">
        <f t="shared" ca="1" si="59"/>
        <v>#N/A</v>
      </c>
      <c r="FL82" s="244" t="e">
        <f t="shared" ca="1" si="59"/>
        <v>#N/A</v>
      </c>
      <c r="FM82" s="244" t="e">
        <f t="shared" ca="1" si="10"/>
        <v>#N/A</v>
      </c>
      <c r="FN82" s="244"/>
    </row>
    <row r="83" spans="5:170" x14ac:dyDescent="0.25">
      <c r="E83" s="244"/>
      <c r="F83" s="244"/>
      <c r="G83" s="244"/>
      <c r="L83">
        <f t="shared" si="37"/>
        <v>83</v>
      </c>
      <c r="R83" s="112">
        <f t="shared" si="14"/>
        <v>0</v>
      </c>
      <c r="S83" s="238" t="e">
        <f t="shared" si="46"/>
        <v>#N/A</v>
      </c>
      <c r="T83" s="112" t="e">
        <f t="shared" ca="1" si="47"/>
        <v>#N/A</v>
      </c>
      <c r="U83" s="112" t="e">
        <f t="shared" ca="1" si="48"/>
        <v>#N/A</v>
      </c>
      <c r="V83" s="112" t="e">
        <f t="shared" ca="1" si="49"/>
        <v>#N/A</v>
      </c>
      <c r="W83" s="112" t="e">
        <f t="shared" ca="1" si="50"/>
        <v>#N/A</v>
      </c>
      <c r="X83" s="112">
        <f t="shared" si="15"/>
        <v>0</v>
      </c>
      <c r="Y83" s="112"/>
      <c r="Z83" s="112"/>
      <c r="AA83" s="112">
        <f t="shared" si="16"/>
        <v>100000</v>
      </c>
      <c r="AB83" s="112" t="e">
        <f t="shared" ca="1" si="17"/>
        <v>#N/A</v>
      </c>
      <c r="AC83" s="112" t="e">
        <f t="shared" ca="1" si="18"/>
        <v>#N/A</v>
      </c>
      <c r="AD83" s="112" t="e">
        <f t="shared" ca="1" si="19"/>
        <v>#N/A</v>
      </c>
      <c r="AE83" s="112" t="e">
        <f t="shared" ca="1" si="20"/>
        <v>#N/A</v>
      </c>
      <c r="AF83" s="112">
        <f t="shared" si="21"/>
        <v>100000</v>
      </c>
      <c r="AG83" s="238">
        <f>AG82</f>
        <v>32</v>
      </c>
      <c r="AH83" s="112" t="e">
        <f ca="1">AI82+1</f>
        <v>#N/A</v>
      </c>
      <c r="AI83" s="112" t="e">
        <f ca="1">IF(INDIRECT(CONCATENATE("AE",AG80))&lt;100000,INDIRECT(CONCATENATE("AE",G80)),INDIRECT(CONCATENATE("AF",AG80)))</f>
        <v>#N/A</v>
      </c>
      <c r="AJ83" s="114"/>
      <c r="AK83" s="114"/>
      <c r="AL83" s="238" t="e">
        <f t="shared" ca="1" si="38"/>
        <v>#N/A</v>
      </c>
      <c r="AM83" s="112">
        <f t="shared" ca="1" si="58"/>
        <v>100000</v>
      </c>
      <c r="AN83" s="112">
        <f t="shared" ca="1" si="39"/>
        <v>100000</v>
      </c>
      <c r="AO83" s="114">
        <f t="shared" ca="1" si="23"/>
        <v>0</v>
      </c>
      <c r="AP83" s="114">
        <f t="shared" ca="1" si="24"/>
        <v>0</v>
      </c>
      <c r="AQ83" s="112"/>
      <c r="AR83" s="238">
        <f t="shared" si="40"/>
        <v>83</v>
      </c>
      <c r="AS83" s="112"/>
      <c r="AT83" s="112"/>
      <c r="AU83" s="283">
        <f t="shared" si="41"/>
        <v>64</v>
      </c>
      <c r="AV83" s="284">
        <f t="shared" ca="1" si="25"/>
        <v>100000</v>
      </c>
      <c r="AW83" s="284">
        <f t="shared" ca="1" si="52"/>
        <v>100000</v>
      </c>
      <c r="AX83" s="285">
        <f t="shared" ca="1" si="27"/>
        <v>0</v>
      </c>
      <c r="AY83" s="285">
        <f t="shared" ca="1" si="28"/>
        <v>18</v>
      </c>
      <c r="AZ83" s="282"/>
      <c r="BD83" s="114">
        <f t="shared" si="42"/>
        <v>1</v>
      </c>
      <c r="BE83" s="112">
        <f t="shared" si="31"/>
        <v>100000</v>
      </c>
      <c r="BH83" s="238">
        <f t="shared" si="43"/>
        <v>64</v>
      </c>
      <c r="BI83" s="245">
        <f t="shared" si="32"/>
        <v>100000</v>
      </c>
      <c r="BJ83" s="281">
        <f t="shared" ca="1" si="1"/>
        <v>16</v>
      </c>
      <c r="BK83" s="245" t="e">
        <f t="shared" ca="1" si="33"/>
        <v>#N/A</v>
      </c>
      <c r="BL83" s="245" t="e">
        <f t="shared" ca="1" si="34"/>
        <v>#N/A</v>
      </c>
      <c r="BM83" s="244"/>
      <c r="BN83" s="245" t="e">
        <f t="shared" ca="1" si="51"/>
        <v>#N/A</v>
      </c>
      <c r="CL83" s="112"/>
      <c r="CM83" s="112"/>
      <c r="CP83" s="112"/>
      <c r="CQ83" s="112"/>
      <c r="CR83" s="238"/>
      <c r="CS83" s="238"/>
      <c r="CT83" s="112"/>
      <c r="CU83" s="112"/>
      <c r="CV83" s="112"/>
      <c r="CW83" s="112" t="s">
        <v>224</v>
      </c>
      <c r="CX83" s="112" t="s">
        <v>225</v>
      </c>
      <c r="CY83" s="112" t="s">
        <v>226</v>
      </c>
      <c r="CZ83" s="112" t="s">
        <v>227</v>
      </c>
      <c r="DA83" s="112" t="s">
        <v>228</v>
      </c>
      <c r="DB83" s="112" t="s">
        <v>229</v>
      </c>
      <c r="DC83" s="112"/>
      <c r="DD83" s="238"/>
      <c r="DE83" s="112"/>
      <c r="DF83" s="112"/>
      <c r="DG83" s="112"/>
      <c r="DH83" s="238"/>
      <c r="DI83" s="112"/>
      <c r="DJ83" s="112"/>
      <c r="DK83" s="112"/>
      <c r="DL83" s="278" t="str">
        <f t="shared" ca="1" si="44"/>
        <v/>
      </c>
      <c r="DM83" s="245" t="str">
        <f t="shared" ref="DM83:DQ133" ca="1" si="63">IF(DL83="","",   AV83)</f>
        <v/>
      </c>
      <c r="DN83" s="245" t="str">
        <f t="shared" ca="1" si="63"/>
        <v/>
      </c>
      <c r="DO83" s="245" t="str">
        <f t="shared" ca="1" si="63"/>
        <v/>
      </c>
      <c r="DP83" s="245" t="str">
        <f t="shared" ca="1" si="63"/>
        <v/>
      </c>
      <c r="DQ83" s="245" t="str">
        <f t="shared" ca="1" si="63"/>
        <v/>
      </c>
      <c r="DR83" s="244"/>
      <c r="DS83" s="245" t="str">
        <f t="shared" si="54"/>
        <v/>
      </c>
      <c r="DT83" s="245" t="str">
        <f t="shared" si="54"/>
        <v/>
      </c>
      <c r="DU83" s="245" t="str">
        <f t="shared" si="54"/>
        <v/>
      </c>
      <c r="DV83" s="244" t="str">
        <f t="shared" ca="1" si="7"/>
        <v/>
      </c>
      <c r="DW83" s="244"/>
      <c r="DX83" s="244" t="str">
        <f t="shared" ca="1" si="45"/>
        <v/>
      </c>
      <c r="EA83" s="244" t="b">
        <f t="shared" ca="1" si="35"/>
        <v>0</v>
      </c>
      <c r="EB83" s="278" t="e">
        <f ca="1">VLOOKUP(DM83,Foglio1!$AB$31:$AN$261,13)-6+EA83</f>
        <v>#N/A</v>
      </c>
      <c r="EC83" s="244"/>
      <c r="ED83" s="244" t="e">
        <f t="shared" ca="1" si="62"/>
        <v>#N/A</v>
      </c>
      <c r="EE83" s="244" t="e">
        <f t="shared" ca="1" si="62"/>
        <v>#N/A</v>
      </c>
      <c r="EF83" s="244" t="e">
        <f t="shared" ca="1" si="62"/>
        <v>#N/A</v>
      </c>
      <c r="EG83" s="244" t="e">
        <f t="shared" ca="1" si="62"/>
        <v>#N/A</v>
      </c>
      <c r="EH83" s="244" t="e">
        <f t="shared" ca="1" si="62"/>
        <v>#N/A</v>
      </c>
      <c r="EI83" s="244" t="e">
        <f t="shared" ca="1" si="61"/>
        <v>#N/A</v>
      </c>
      <c r="EJ83" s="244" t="e">
        <f t="shared" ca="1" si="61"/>
        <v>#N/A</v>
      </c>
      <c r="EK83" s="244" t="e">
        <f t="shared" ca="1" si="61"/>
        <v>#N/A</v>
      </c>
      <c r="EL83" s="244" t="e">
        <f t="shared" ca="1" si="61"/>
        <v>#N/A</v>
      </c>
      <c r="EM83" s="244" t="e">
        <f t="shared" ca="1" si="61"/>
        <v>#N/A</v>
      </c>
      <c r="EN83" s="244" t="e">
        <f t="shared" ca="1" si="61"/>
        <v>#N/A</v>
      </c>
      <c r="EO83" s="244" t="e">
        <f t="shared" ca="1" si="61"/>
        <v>#N/A</v>
      </c>
      <c r="EP83" s="244" t="e">
        <f t="shared" ca="1" si="61"/>
        <v>#N/A</v>
      </c>
      <c r="EQ83" s="244" t="e">
        <f t="shared" ca="1" si="61"/>
        <v>#N/A</v>
      </c>
      <c r="ER83" s="244"/>
      <c r="EW83" s="244">
        <v>0</v>
      </c>
      <c r="EX83" s="278" t="e">
        <f ca="1">VLOOKUP(DM83,Foglio1!$AB$31:$AN$261,13)-6+EW83</f>
        <v>#N/A</v>
      </c>
      <c r="EY83" s="244"/>
      <c r="EZ83" s="244" t="e">
        <f t="shared" ca="1" si="36"/>
        <v>#N/A</v>
      </c>
      <c r="FA83" s="244" t="e">
        <f t="shared" ca="1" si="60"/>
        <v>#N/A</v>
      </c>
      <c r="FB83" s="244" t="e">
        <f t="shared" ca="1" si="60"/>
        <v>#N/A</v>
      </c>
      <c r="FC83" s="244" t="e">
        <f t="shared" ca="1" si="60"/>
        <v>#N/A</v>
      </c>
      <c r="FD83" s="244" t="e">
        <f t="shared" ca="1" si="59"/>
        <v>#N/A</v>
      </c>
      <c r="FE83" s="244" t="e">
        <f t="shared" ca="1" si="59"/>
        <v>#N/A</v>
      </c>
      <c r="FF83" s="244" t="e">
        <f t="shared" ca="1" si="59"/>
        <v>#N/A</v>
      </c>
      <c r="FG83" s="244" t="e">
        <f t="shared" ca="1" si="59"/>
        <v>#N/A</v>
      </c>
      <c r="FH83" s="244" t="e">
        <f t="shared" ca="1" si="59"/>
        <v>#N/A</v>
      </c>
      <c r="FI83" s="244" t="e">
        <f t="shared" ca="1" si="59"/>
        <v>#N/A</v>
      </c>
      <c r="FJ83" s="244" t="e">
        <f t="shared" ca="1" si="59"/>
        <v>#N/A</v>
      </c>
      <c r="FK83" s="244" t="e">
        <f t="shared" ca="1" si="59"/>
        <v>#N/A</v>
      </c>
      <c r="FL83" s="244" t="e">
        <f t="shared" ca="1" si="59"/>
        <v>#N/A</v>
      </c>
      <c r="FM83" s="244" t="e">
        <f t="shared" ca="1" si="10"/>
        <v>#N/A</v>
      </c>
      <c r="FN83" s="244"/>
    </row>
    <row r="84" spans="5:170" x14ac:dyDescent="0.25">
      <c r="E84" s="244"/>
      <c r="F84" s="244"/>
      <c r="G84" s="244"/>
      <c r="L84">
        <f t="shared" si="37"/>
        <v>84</v>
      </c>
      <c r="R84" s="112">
        <f t="shared" si="14"/>
        <v>0</v>
      </c>
      <c r="S84" s="238" t="e">
        <f t="shared" si="46"/>
        <v>#N/A</v>
      </c>
      <c r="T84" s="112" t="e">
        <f t="shared" ca="1" si="47"/>
        <v>#N/A</v>
      </c>
      <c r="U84" s="112" t="e">
        <f t="shared" ca="1" si="48"/>
        <v>#N/A</v>
      </c>
      <c r="V84" s="112" t="e">
        <f t="shared" ca="1" si="49"/>
        <v>#N/A</v>
      </c>
      <c r="W84" s="112" t="e">
        <f t="shared" ca="1" si="50"/>
        <v>#N/A</v>
      </c>
      <c r="X84" s="112">
        <f t="shared" si="15"/>
        <v>0</v>
      </c>
      <c r="Y84" s="112"/>
      <c r="Z84" s="112"/>
      <c r="AA84" s="112">
        <f t="shared" si="16"/>
        <v>100000</v>
      </c>
      <c r="AB84" s="112" t="e">
        <f t="shared" ca="1" si="17"/>
        <v>#N/A</v>
      </c>
      <c r="AC84" s="112" t="e">
        <f t="shared" ca="1" si="18"/>
        <v>#N/A</v>
      </c>
      <c r="AD84" s="112" t="e">
        <f t="shared" ca="1" si="19"/>
        <v>#N/A</v>
      </c>
      <c r="AE84" s="112" t="e">
        <f t="shared" ca="1" si="20"/>
        <v>#N/A</v>
      </c>
      <c r="AF84" s="112">
        <f t="shared" si="21"/>
        <v>100000</v>
      </c>
      <c r="AG84" s="238">
        <f>AG83</f>
        <v>32</v>
      </c>
      <c r="AH84" s="112" t="e">
        <f ca="1">AI83+1</f>
        <v>#N/A</v>
      </c>
      <c r="AI84" s="112">
        <f ca="1">INDIRECT(CONCATENATE("AF",AG80))</f>
        <v>100000</v>
      </c>
      <c r="AJ84" s="114"/>
      <c r="AK84" s="114"/>
      <c r="AL84" s="238" t="e">
        <f t="shared" ca="1" si="38"/>
        <v>#N/A</v>
      </c>
      <c r="AM84" s="112">
        <f t="shared" ca="1" si="58"/>
        <v>100000</v>
      </c>
      <c r="AN84" s="112">
        <f t="shared" ca="1" si="39"/>
        <v>100000</v>
      </c>
      <c r="AO84" s="114">
        <f t="shared" ca="1" si="23"/>
        <v>0</v>
      </c>
      <c r="AP84" s="114">
        <f t="shared" ca="1" si="24"/>
        <v>0</v>
      </c>
      <c r="AQ84" s="112"/>
      <c r="AR84" s="238">
        <f t="shared" si="40"/>
        <v>84</v>
      </c>
      <c r="AS84" s="112"/>
      <c r="AT84" s="112"/>
      <c r="AU84" s="283">
        <f t="shared" si="41"/>
        <v>65</v>
      </c>
      <c r="AV84" s="284">
        <f t="shared" ca="1" si="25"/>
        <v>100000</v>
      </c>
      <c r="AW84" s="284">
        <f t="shared" ca="1" si="52"/>
        <v>100000</v>
      </c>
      <c r="AX84" s="285">
        <f t="shared" ca="1" si="27"/>
        <v>0</v>
      </c>
      <c r="AY84" s="285">
        <f t="shared" ca="1" si="28"/>
        <v>18</v>
      </c>
      <c r="AZ84" s="282"/>
      <c r="BD84" s="114">
        <f t="shared" si="42"/>
        <v>1</v>
      </c>
      <c r="BE84" s="112">
        <f t="shared" si="31"/>
        <v>100000</v>
      </c>
      <c r="BH84" s="238">
        <f t="shared" si="43"/>
        <v>65</v>
      </c>
      <c r="BI84" s="245">
        <f t="shared" si="32"/>
        <v>100000</v>
      </c>
      <c r="BJ84" s="281">
        <f t="shared" ref="BJ84:BJ131" ca="1" si="64">TYPE(VLOOKUP(BK84,$N$20:$N$49,1,FALSE))</f>
        <v>16</v>
      </c>
      <c r="BK84" s="245" t="e">
        <f t="shared" ca="1" si="33"/>
        <v>#N/A</v>
      </c>
      <c r="BL84" s="245" t="e">
        <f t="shared" ca="1" si="34"/>
        <v>#N/A</v>
      </c>
      <c r="BM84" s="244"/>
      <c r="BN84" s="245" t="e">
        <f t="shared" ca="1" si="51"/>
        <v>#N/A</v>
      </c>
      <c r="CL84" s="112"/>
      <c r="CM84" s="112"/>
      <c r="CP84" s="112"/>
      <c r="CQ84" s="112"/>
      <c r="CR84" s="238"/>
      <c r="CS84" s="238"/>
      <c r="CT84" s="112"/>
      <c r="CU84" s="112"/>
      <c r="CV84" s="112"/>
      <c r="CW84" s="112" t="s">
        <v>224</v>
      </c>
      <c r="CX84" s="112" t="s">
        <v>225</v>
      </c>
      <c r="CY84" s="112" t="s">
        <v>226</v>
      </c>
      <c r="CZ84" s="112" t="s">
        <v>227</v>
      </c>
      <c r="DA84" s="112" t="s">
        <v>228</v>
      </c>
      <c r="DB84" s="112" t="s">
        <v>229</v>
      </c>
      <c r="DC84" s="112"/>
      <c r="DD84" s="238"/>
      <c r="DE84" s="112"/>
      <c r="DF84" s="112"/>
      <c r="DG84" s="112"/>
      <c r="DH84" s="238"/>
      <c r="DI84" s="112"/>
      <c r="DJ84" s="112"/>
      <c r="DK84" s="112"/>
      <c r="DL84" s="278" t="str">
        <f t="shared" ca="1" si="44"/>
        <v/>
      </c>
      <c r="DM84" s="245" t="str">
        <f t="shared" ca="1" si="63"/>
        <v/>
      </c>
      <c r="DN84" s="245" t="str">
        <f t="shared" ca="1" si="63"/>
        <v/>
      </c>
      <c r="DO84" s="245" t="str">
        <f t="shared" ca="1" si="63"/>
        <v/>
      </c>
      <c r="DP84" s="245" t="str">
        <f t="shared" ca="1" si="63"/>
        <v/>
      </c>
      <c r="DQ84" s="245" t="str">
        <f t="shared" ca="1" si="63"/>
        <v/>
      </c>
      <c r="DR84" s="244"/>
      <c r="DS84" s="245" t="str">
        <f t="shared" si="54"/>
        <v/>
      </c>
      <c r="DT84" s="245" t="str">
        <f t="shared" si="54"/>
        <v/>
      </c>
      <c r="DU84" s="245" t="str">
        <f t="shared" si="54"/>
        <v/>
      </c>
      <c r="DV84" s="244" t="str">
        <f t="shared" ref="DV84:DV143" ca="1" si="65">IF(DL84="","",IF(DX84=0,"0/2 anni",IF(DX84=3,"3/8 anni",IF(DX84=9,"9/14 anni",IF(DX84=15,"15/20 anni",IF(DX84=21,"21/27 anni",IF(DX84=28,"28/34 anni","oltre 34")))))))</f>
        <v/>
      </c>
      <c r="DW84" s="244"/>
      <c r="DX84" s="244" t="str">
        <f t="shared" ca="1" si="45"/>
        <v/>
      </c>
      <c r="EA84" s="244" t="b">
        <f t="shared" ca="1" si="35"/>
        <v>0</v>
      </c>
      <c r="EB84" s="278" t="e">
        <f ca="1">VLOOKUP(DM84,Foglio1!$AB$31:$AN$261,13)-6+EA84</f>
        <v>#N/A</v>
      </c>
      <c r="EC84" s="244"/>
      <c r="ED84" s="244" t="e">
        <f t="shared" ca="1" si="62"/>
        <v>#N/A</v>
      </c>
      <c r="EE84" s="244" t="e">
        <f t="shared" ca="1" si="62"/>
        <v>#N/A</v>
      </c>
      <c r="EF84" s="244" t="e">
        <f t="shared" ca="1" si="62"/>
        <v>#N/A</v>
      </c>
      <c r="EG84" s="244" t="e">
        <f t="shared" ca="1" si="62"/>
        <v>#N/A</v>
      </c>
      <c r="EH84" s="244" t="e">
        <f t="shared" ca="1" si="62"/>
        <v>#N/A</v>
      </c>
      <c r="EI84" s="244" t="e">
        <f t="shared" ca="1" si="61"/>
        <v>#N/A</v>
      </c>
      <c r="EJ84" s="244" t="e">
        <f t="shared" ca="1" si="61"/>
        <v>#N/A</v>
      </c>
      <c r="EK84" s="244" t="e">
        <f t="shared" ca="1" si="61"/>
        <v>#N/A</v>
      </c>
      <c r="EL84" s="244" t="e">
        <f t="shared" ca="1" si="61"/>
        <v>#N/A</v>
      </c>
      <c r="EM84" s="244" t="e">
        <f t="shared" ca="1" si="61"/>
        <v>#N/A</v>
      </c>
      <c r="EN84" s="244" t="e">
        <f t="shared" ca="1" si="61"/>
        <v>#N/A</v>
      </c>
      <c r="EO84" s="244" t="e">
        <f t="shared" ca="1" si="61"/>
        <v>#N/A</v>
      </c>
      <c r="EP84" s="244" t="e">
        <f t="shared" ca="1" si="61"/>
        <v>#N/A</v>
      </c>
      <c r="EQ84" s="244" t="e">
        <f t="shared" ca="1" si="61"/>
        <v>#N/A</v>
      </c>
      <c r="ER84" s="244"/>
      <c r="EW84" s="244">
        <v>0</v>
      </c>
      <c r="EX84" s="278" t="e">
        <f ca="1">VLOOKUP(DM84,Foglio1!$AB$31:$AN$261,13)-6+EW84</f>
        <v>#N/A</v>
      </c>
      <c r="EY84" s="244"/>
      <c r="EZ84" s="244" t="e">
        <f t="shared" ca="1" si="36"/>
        <v>#N/A</v>
      </c>
      <c r="FA84" s="244" t="e">
        <f t="shared" ca="1" si="60"/>
        <v>#N/A</v>
      </c>
      <c r="FB84" s="244" t="e">
        <f t="shared" ca="1" si="60"/>
        <v>#N/A</v>
      </c>
      <c r="FC84" s="244" t="e">
        <f t="shared" ca="1" si="60"/>
        <v>#N/A</v>
      </c>
      <c r="FD84" s="244" t="e">
        <f t="shared" ca="1" si="59"/>
        <v>#N/A</v>
      </c>
      <c r="FE84" s="244" t="e">
        <f t="shared" ca="1" si="59"/>
        <v>#N/A</v>
      </c>
      <c r="FF84" s="244" t="e">
        <f t="shared" ca="1" si="59"/>
        <v>#N/A</v>
      </c>
      <c r="FG84" s="244" t="e">
        <f t="shared" ca="1" si="59"/>
        <v>#N/A</v>
      </c>
      <c r="FH84" s="244" t="e">
        <f t="shared" ca="1" si="59"/>
        <v>#N/A</v>
      </c>
      <c r="FI84" s="244" t="e">
        <f t="shared" ca="1" si="59"/>
        <v>#N/A</v>
      </c>
      <c r="FJ84" s="244" t="e">
        <f t="shared" ca="1" si="59"/>
        <v>#N/A</v>
      </c>
      <c r="FK84" s="244" t="e">
        <f t="shared" ca="1" si="59"/>
        <v>#N/A</v>
      </c>
      <c r="FL84" s="244" t="e">
        <f t="shared" ca="1" si="59"/>
        <v>#N/A</v>
      </c>
      <c r="FM84" s="244" t="e">
        <f t="shared" ref="FM84:FM147" ca="1" si="66">INDIRECT(CONCATENATE(FK$16,FK$17,$EB84))</f>
        <v>#N/A</v>
      </c>
      <c r="FN84" s="244"/>
    </row>
    <row r="85" spans="5:170" x14ac:dyDescent="0.25">
      <c r="E85" s="244"/>
      <c r="F85" s="244"/>
      <c r="G85" s="244"/>
      <c r="L85">
        <f t="shared" si="37"/>
        <v>85</v>
      </c>
      <c r="R85" s="112">
        <f t="shared" ref="R85:R133" si="67">F85</f>
        <v>0</v>
      </c>
      <c r="S85" s="238" t="e">
        <f t="shared" si="46"/>
        <v>#N/A</v>
      </c>
      <c r="T85" s="112" t="e">
        <f t="shared" ca="1" si="47"/>
        <v>#N/A</v>
      </c>
      <c r="U85" s="112" t="e">
        <f t="shared" ca="1" si="48"/>
        <v>#N/A</v>
      </c>
      <c r="V85" s="112" t="e">
        <f t="shared" ca="1" si="49"/>
        <v>#N/A</v>
      </c>
      <c r="W85" s="112" t="e">
        <f t="shared" ca="1" si="50"/>
        <v>#N/A</v>
      </c>
      <c r="X85" s="112">
        <f t="shared" ref="X85:X133" si="68">G85</f>
        <v>0</v>
      </c>
      <c r="Y85" s="112"/>
      <c r="Z85" s="112"/>
      <c r="AA85" s="112">
        <f t="shared" ref="AA85:AA133" si="69">IF(R85=0,100000,R85)</f>
        <v>100000</v>
      </c>
      <c r="AB85" s="112" t="e">
        <f t="shared" ref="AB85:AB133" ca="1" si="70">IF(AND(T85&gt;R85,T85&lt;X85),T85,100000)</f>
        <v>#N/A</v>
      </c>
      <c r="AC85" s="112" t="e">
        <f t="shared" ref="AC85:AC133" ca="1" si="71">IF(AND(U85&gt;R85,U85&lt;X85),U85,100000)</f>
        <v>#N/A</v>
      </c>
      <c r="AD85" s="112" t="e">
        <f t="shared" ref="AD85:AD133" ca="1" si="72">IF(AND(U85&gt;R85,V85&lt;X85),V85,100000)</f>
        <v>#N/A</v>
      </c>
      <c r="AE85" s="112" t="e">
        <f t="shared" ref="AE85:AE133" ca="1" si="73">IF(AND(U85&gt;R85,W85&lt;X85),W85,100000)</f>
        <v>#N/A</v>
      </c>
      <c r="AF85" s="112">
        <f t="shared" ref="AF85:AF133" si="74">IF(X85&gt;0,X85,100000)</f>
        <v>100000</v>
      </c>
      <c r="AG85" s="238">
        <f>AG84+1</f>
        <v>33</v>
      </c>
      <c r="AH85" s="112">
        <f ca="1">INDIRECT(CONCATENATE("AA",AG85))</f>
        <v>100000</v>
      </c>
      <c r="AI85" s="112" t="e">
        <f ca="1">IF(            INDIRECT(CONCATENATE( "AB",AG85))&lt;100000,       INDIRECT(CONCATENATE("AB",AG85))  -1,IF(   INDIRECT(CONCATENATE("AC",AG85))&lt;100000,   INDIRECT(CONCATENATE("AC",AG85))-1,IF(   INDIRECT(CONCATENATE("AD", AG85))&lt;100000, INDIRECT(CONCATENATE("AD",AG85))-1,IF(   INDIRECT(CONCATENATE("AE",AG85))&lt;100000,  INDIRECT(CONCATENATE("AE",G85)),INDIRECT(CONCATENATE("AF",AG85))                ))))</f>
        <v>#N/A</v>
      </c>
      <c r="AJ85" s="114"/>
      <c r="AK85" s="114"/>
      <c r="AL85" s="238" t="e">
        <f t="shared" ca="1" si="38"/>
        <v>#N/A</v>
      </c>
      <c r="AM85" s="112">
        <f t="shared" ca="1" si="58"/>
        <v>100000</v>
      </c>
      <c r="AN85" s="112">
        <f t="shared" ca="1" si="39"/>
        <v>100000</v>
      </c>
      <c r="AO85" s="114">
        <f t="shared" ref="AO85:AO148" ca="1" si="75">INDIRECT(CONCATENATE("H",AG85))</f>
        <v>0</v>
      </c>
      <c r="AP85" s="114">
        <f t="shared" ref="AP85:AP148" ca="1" si="76">INDIRECT(CONCATENATE("J",AG85))</f>
        <v>0</v>
      </c>
      <c r="AQ85" s="112"/>
      <c r="AR85" s="238">
        <f t="shared" si="40"/>
        <v>85</v>
      </c>
      <c r="AS85" s="112"/>
      <c r="AT85" s="112"/>
      <c r="AU85" s="283">
        <f t="shared" si="41"/>
        <v>66</v>
      </c>
      <c r="AV85" s="284">
        <f t="shared" ref="AV85:AV148" ca="1" si="77">SMALL($AM$20:$AM$564,AU85)</f>
        <v>100000</v>
      </c>
      <c r="AW85" s="284">
        <f t="shared" ca="1" si="52"/>
        <v>100000</v>
      </c>
      <c r="AX85" s="285">
        <f t="shared" ref="AX85:AX137" ca="1" si="78" xml:space="preserve">         IF( VLOOKUP(AV85,$AM$20:$AP$564,2,FALSE)=AW84, VLOOKUP(AV85,$AM$20:$AP$564,3),              VLOOKUP(AV85,$AM$20:$AP$564,3,FALSE))</f>
        <v>0</v>
      </c>
      <c r="AY85" s="285">
        <f t="shared" ref="AY85:AY148" ca="1" si="79">VLOOKUP(AV85,$AM$20:$AP$564,4,FALSE)</f>
        <v>18</v>
      </c>
      <c r="AZ85" s="282"/>
      <c r="BD85" s="114">
        <f t="shared" si="42"/>
        <v>1</v>
      </c>
      <c r="BE85" s="112">
        <f t="shared" ref="BE85:BE132" si="80">IF(AND(BC85=1,BD85=16),N85,100000)</f>
        <v>100000</v>
      </c>
      <c r="BH85" s="238">
        <f t="shared" si="43"/>
        <v>66</v>
      </c>
      <c r="BI85" s="245">
        <f t="shared" ref="BI85:BI122" si="81">IF(F85=0,100000,F85)</f>
        <v>100000</v>
      </c>
      <c r="BJ85" s="281">
        <f t="shared" ca="1" si="64"/>
        <v>16</v>
      </c>
      <c r="BK85" s="245" t="e">
        <f t="shared" ref="BK85:BK148" ca="1" si="82">SMALL($BI$20:$BI$154,BH85)</f>
        <v>#N/A</v>
      </c>
      <c r="BL85" s="245" t="e">
        <f t="shared" ref="BL85:BL143" ca="1" si="83">BK86-1</f>
        <v>#N/A</v>
      </c>
      <c r="BM85" s="244"/>
      <c r="BN85" s="245" t="e">
        <f t="shared" ca="1" si="51"/>
        <v>#N/A</v>
      </c>
      <c r="CL85" s="112"/>
      <c r="CM85" s="112"/>
      <c r="CP85" s="112"/>
      <c r="CQ85" s="112"/>
      <c r="CR85" s="238"/>
      <c r="CS85" s="238"/>
      <c r="CT85" s="112"/>
      <c r="CU85" s="112"/>
      <c r="CV85" s="112"/>
      <c r="CW85" s="112" t="s">
        <v>224</v>
      </c>
      <c r="CX85" s="112" t="s">
        <v>225</v>
      </c>
      <c r="CY85" s="112" t="s">
        <v>226</v>
      </c>
      <c r="CZ85" s="112" t="s">
        <v>227</v>
      </c>
      <c r="DA85" s="112" t="s">
        <v>228</v>
      </c>
      <c r="DB85" s="112" t="s">
        <v>229</v>
      </c>
      <c r="DC85" s="112"/>
      <c r="DD85" s="238"/>
      <c r="DE85" s="112"/>
      <c r="DF85" s="112"/>
      <c r="DG85" s="112"/>
      <c r="DH85" s="238"/>
      <c r="DI85" s="112"/>
      <c r="DJ85" s="112"/>
      <c r="DK85" s="112"/>
      <c r="DL85" s="278" t="str">
        <f t="shared" ca="1" si="44"/>
        <v/>
      </c>
      <c r="DM85" s="245" t="str">
        <f t="shared" ca="1" si="63"/>
        <v/>
      </c>
      <c r="DN85" s="245" t="str">
        <f t="shared" ca="1" si="63"/>
        <v/>
      </c>
      <c r="DO85" s="245" t="str">
        <f t="shared" ca="1" si="63"/>
        <v/>
      </c>
      <c r="DP85" s="245" t="str">
        <f t="shared" ca="1" si="63"/>
        <v/>
      </c>
      <c r="DQ85" s="245" t="str">
        <f t="shared" ca="1" si="63"/>
        <v/>
      </c>
      <c r="DR85" s="244"/>
      <c r="DS85" s="245" t="str">
        <f t="shared" si="54"/>
        <v/>
      </c>
      <c r="DT85" s="245" t="str">
        <f t="shared" si="54"/>
        <v/>
      </c>
      <c r="DU85" s="245" t="str">
        <f t="shared" si="54"/>
        <v/>
      </c>
      <c r="DV85" s="244" t="str">
        <f t="shared" ca="1" si="65"/>
        <v/>
      </c>
      <c r="DW85" s="244"/>
      <c r="DX85" s="244" t="str">
        <f t="shared" ca="1" si="45"/>
        <v/>
      </c>
      <c r="EA85" s="244" t="b">
        <f t="shared" ref="EA85:EA128" ca="1" si="84">IF(DX85=0,0,IF(DX85=3,1,IF(DX85=9,2,IF(DX85=15,3,IF(DX85=21,4,IF(DX85=28,5,IF(DX85=35,6)))))))</f>
        <v>0</v>
      </c>
      <c r="EB85" s="278" t="e">
        <f ca="1">VLOOKUP(DM85,Foglio1!$AB$31:$AN$261,13)-6+EA85</f>
        <v>#N/A</v>
      </c>
      <c r="EC85" s="244"/>
      <c r="ED85" s="244" t="e">
        <f t="shared" ca="1" si="62"/>
        <v>#N/A</v>
      </c>
      <c r="EE85" s="244" t="e">
        <f t="shared" ca="1" si="62"/>
        <v>#N/A</v>
      </c>
      <c r="EF85" s="244" t="e">
        <f t="shared" ca="1" si="62"/>
        <v>#N/A</v>
      </c>
      <c r="EG85" s="244" t="e">
        <f t="shared" ca="1" si="62"/>
        <v>#N/A</v>
      </c>
      <c r="EH85" s="244" t="e">
        <f t="shared" ca="1" si="62"/>
        <v>#N/A</v>
      </c>
      <c r="EI85" s="244" t="e">
        <f t="shared" ca="1" si="61"/>
        <v>#N/A</v>
      </c>
      <c r="EJ85" s="244" t="e">
        <f t="shared" ca="1" si="61"/>
        <v>#N/A</v>
      </c>
      <c r="EK85" s="244" t="e">
        <f t="shared" ca="1" si="61"/>
        <v>#N/A</v>
      </c>
      <c r="EL85" s="244" t="e">
        <f t="shared" ca="1" si="61"/>
        <v>#N/A</v>
      </c>
      <c r="EM85" s="244" t="e">
        <f t="shared" ca="1" si="61"/>
        <v>#N/A</v>
      </c>
      <c r="EN85" s="244" t="e">
        <f t="shared" ca="1" si="61"/>
        <v>#N/A</v>
      </c>
      <c r="EO85" s="244" t="e">
        <f t="shared" ca="1" si="61"/>
        <v>#N/A</v>
      </c>
      <c r="EP85" s="244" t="e">
        <f t="shared" ca="1" si="61"/>
        <v>#N/A</v>
      </c>
      <c r="EQ85" s="244" t="e">
        <f t="shared" ca="1" si="61"/>
        <v>#N/A</v>
      </c>
      <c r="ER85" s="244"/>
      <c r="EW85" s="244">
        <v>0</v>
      </c>
      <c r="EX85" s="278" t="e">
        <f ca="1">VLOOKUP(DM85,Foglio1!$AB$31:$AN$261,13)-6+EW85</f>
        <v>#N/A</v>
      </c>
      <c r="EY85" s="244"/>
      <c r="EZ85" s="244" t="e">
        <f t="shared" ref="EZ85:EZ116" ca="1" si="85">INDIRECT(CONCATENATE(EX$16,EX$17,$EB85))</f>
        <v>#N/A</v>
      </c>
      <c r="FA85" s="244" t="e">
        <f t="shared" ca="1" si="60"/>
        <v>#N/A</v>
      </c>
      <c r="FB85" s="244" t="e">
        <f t="shared" ca="1" si="60"/>
        <v>#N/A</v>
      </c>
      <c r="FC85" s="244" t="e">
        <f t="shared" ca="1" si="60"/>
        <v>#N/A</v>
      </c>
      <c r="FD85" s="244" t="e">
        <f t="shared" ca="1" si="59"/>
        <v>#N/A</v>
      </c>
      <c r="FE85" s="244" t="e">
        <f t="shared" ca="1" si="59"/>
        <v>#N/A</v>
      </c>
      <c r="FF85" s="244" t="e">
        <f t="shared" ca="1" si="59"/>
        <v>#N/A</v>
      </c>
      <c r="FG85" s="244" t="e">
        <f t="shared" ref="FG85:FL116" ca="1" si="86">INDIRECT(CONCATENATE(FE$16,FE$17,$EX85))</f>
        <v>#N/A</v>
      </c>
      <c r="FH85" s="244" t="e">
        <f t="shared" ca="1" si="86"/>
        <v>#N/A</v>
      </c>
      <c r="FI85" s="244" t="e">
        <f t="shared" ca="1" si="86"/>
        <v>#N/A</v>
      </c>
      <c r="FJ85" s="244" t="e">
        <f t="shared" ca="1" si="86"/>
        <v>#N/A</v>
      </c>
      <c r="FK85" s="244" t="e">
        <f t="shared" ca="1" si="86"/>
        <v>#N/A</v>
      </c>
      <c r="FL85" s="244" t="e">
        <f t="shared" ca="1" si="86"/>
        <v>#N/A</v>
      </c>
      <c r="FM85" s="244" t="e">
        <f t="shared" ca="1" si="66"/>
        <v>#N/A</v>
      </c>
      <c r="FN85" s="244"/>
    </row>
    <row r="86" spans="5:170" x14ac:dyDescent="0.25">
      <c r="E86" s="244"/>
      <c r="F86" s="244"/>
      <c r="G86" s="244"/>
      <c r="L86">
        <f t="shared" ref="L86:L141" si="87">L85+1</f>
        <v>86</v>
      </c>
      <c r="R86" s="112">
        <f t="shared" si="67"/>
        <v>0</v>
      </c>
      <c r="S86" s="238" t="e">
        <f t="shared" si="46"/>
        <v>#N/A</v>
      </c>
      <c r="T86" s="112" t="e">
        <f t="shared" ca="1" si="47"/>
        <v>#N/A</v>
      </c>
      <c r="U86" s="112" t="e">
        <f t="shared" ca="1" si="48"/>
        <v>#N/A</v>
      </c>
      <c r="V86" s="112" t="e">
        <f t="shared" ca="1" si="49"/>
        <v>#N/A</v>
      </c>
      <c r="W86" s="112" t="e">
        <f t="shared" ca="1" si="50"/>
        <v>#N/A</v>
      </c>
      <c r="X86" s="112">
        <f t="shared" si="68"/>
        <v>0</v>
      </c>
      <c r="Y86" s="112"/>
      <c r="Z86" s="112"/>
      <c r="AA86" s="112">
        <f t="shared" si="69"/>
        <v>100000</v>
      </c>
      <c r="AB86" s="112" t="e">
        <f t="shared" ca="1" si="70"/>
        <v>#N/A</v>
      </c>
      <c r="AC86" s="112" t="e">
        <f t="shared" ca="1" si="71"/>
        <v>#N/A</v>
      </c>
      <c r="AD86" s="112" t="e">
        <f t="shared" ca="1" si="72"/>
        <v>#N/A</v>
      </c>
      <c r="AE86" s="112" t="e">
        <f t="shared" ca="1" si="73"/>
        <v>#N/A</v>
      </c>
      <c r="AF86" s="112">
        <f t="shared" si="74"/>
        <v>100000</v>
      </c>
      <c r="AG86" s="238">
        <f>AG85</f>
        <v>33</v>
      </c>
      <c r="AH86" s="112" t="e">
        <f ca="1">AI85+1</f>
        <v>#N/A</v>
      </c>
      <c r="AI86" s="112" t="e">
        <f ca="1">IF(INDIRECT(CONCATENATE("AC",AG85))&lt;100000,INDIRECT(CONCATENATE("AC",AG85))-1,IF(INDIRECT(CONCATENATE("AD",AG85))&lt;100000,INDIRECT(CONCATENATE("AD",AG85))-1,IF(INDIRECT(CONCATENATE("AE",AG85))&lt;100000,INDIRECT(CONCATENATE("AE",G85)),INDIRECT(CONCATENATE("AF",AG85)))))</f>
        <v>#N/A</v>
      </c>
      <c r="AJ86" s="114"/>
      <c r="AK86" s="114"/>
      <c r="AL86" s="238" t="e">
        <f t="shared" ref="AL86:AL149" ca="1" si="88">IF(AI86=AI85,0,1)</f>
        <v>#N/A</v>
      </c>
      <c r="AM86" s="112">
        <f t="shared" ca="1" si="58"/>
        <v>100000</v>
      </c>
      <c r="AN86" s="112">
        <f t="shared" ref="AN86:AN149" ca="1" si="89">IF(AM86=100000,100000,AI86)</f>
        <v>100000</v>
      </c>
      <c r="AO86" s="114">
        <f t="shared" ca="1" si="75"/>
        <v>0</v>
      </c>
      <c r="AP86" s="114">
        <f t="shared" ca="1" si="76"/>
        <v>0</v>
      </c>
      <c r="AQ86" s="112"/>
      <c r="AR86" s="238">
        <f t="shared" ref="AR86:AR149" si="90">AR85+1</f>
        <v>86</v>
      </c>
      <c r="AS86" s="112"/>
      <c r="AT86" s="112"/>
      <c r="AU86" s="283">
        <f t="shared" ref="AU86:AU149" si="91">AU85+1</f>
        <v>67</v>
      </c>
      <c r="AV86" s="284">
        <f t="shared" ca="1" si="77"/>
        <v>100000</v>
      </c>
      <c r="AW86" s="284">
        <f t="shared" ca="1" si="52"/>
        <v>100000</v>
      </c>
      <c r="AX86" s="285">
        <f t="shared" ca="1" si="78"/>
        <v>0</v>
      </c>
      <c r="AY86" s="285">
        <f t="shared" ca="1" si="79"/>
        <v>18</v>
      </c>
      <c r="AZ86" s="282"/>
      <c r="BD86" s="114">
        <f t="shared" ref="BD86:BD134" si="92">TYPE(M86)</f>
        <v>1</v>
      </c>
      <c r="BE86" s="112">
        <f t="shared" si="80"/>
        <v>100000</v>
      </c>
      <c r="BH86" s="238">
        <f t="shared" ref="BH86:BH149" si="93">BH85+1</f>
        <v>67</v>
      </c>
      <c r="BI86" s="245">
        <f t="shared" si="81"/>
        <v>100000</v>
      </c>
      <c r="BJ86" s="281">
        <f t="shared" ca="1" si="64"/>
        <v>16</v>
      </c>
      <c r="BK86" s="245" t="e">
        <f t="shared" ca="1" si="82"/>
        <v>#N/A</v>
      </c>
      <c r="BL86" s="245" t="e">
        <f t="shared" ca="1" si="83"/>
        <v>#N/A</v>
      </c>
      <c r="BM86" s="244"/>
      <c r="BN86" s="245" t="e">
        <f t="shared" ca="1" si="51"/>
        <v>#N/A</v>
      </c>
      <c r="CL86" s="112"/>
      <c r="CM86" s="112"/>
      <c r="CP86" s="112"/>
      <c r="CQ86" s="112"/>
      <c r="CR86" s="238"/>
      <c r="CS86" s="238"/>
      <c r="CT86" s="112"/>
      <c r="CU86" s="112"/>
      <c r="CV86" s="112"/>
      <c r="CW86" s="112" t="s">
        <v>224</v>
      </c>
      <c r="CX86" s="112" t="s">
        <v>225</v>
      </c>
      <c r="CY86" s="112" t="s">
        <v>226</v>
      </c>
      <c r="CZ86" s="112" t="s">
        <v>227</v>
      </c>
      <c r="DA86" s="112" t="s">
        <v>228</v>
      </c>
      <c r="DB86" s="112" t="s">
        <v>229</v>
      </c>
      <c r="DC86" s="112"/>
      <c r="DD86" s="238"/>
      <c r="DE86" s="112"/>
      <c r="DF86" s="112"/>
      <c r="DG86" s="112"/>
      <c r="DH86" s="238"/>
      <c r="DI86" s="112"/>
      <c r="DJ86" s="112"/>
      <c r="DK86" s="112"/>
      <c r="DL86" s="278" t="str">
        <f t="shared" ref="DL86:DL145" ca="1" si="94">IF(AV86&gt;90000,"",DL85+"1")</f>
        <v/>
      </c>
      <c r="DM86" s="245" t="str">
        <f t="shared" ca="1" si="63"/>
        <v/>
      </c>
      <c r="DN86" s="245" t="str">
        <f t="shared" ca="1" si="63"/>
        <v/>
      </c>
      <c r="DO86" s="245" t="str">
        <f t="shared" ca="1" si="63"/>
        <v/>
      </c>
      <c r="DP86" s="245" t="str">
        <f t="shared" ca="1" si="63"/>
        <v/>
      </c>
      <c r="DQ86" s="245" t="str">
        <f t="shared" ca="1" si="63"/>
        <v/>
      </c>
      <c r="DR86" s="244"/>
      <c r="DS86" s="245" t="str">
        <f t="shared" si="54"/>
        <v/>
      </c>
      <c r="DT86" s="245" t="str">
        <f t="shared" si="54"/>
        <v/>
      </c>
      <c r="DU86" s="245" t="str">
        <f t="shared" si="54"/>
        <v/>
      </c>
      <c r="DV86" s="244" t="str">
        <f t="shared" ca="1" si="65"/>
        <v/>
      </c>
      <c r="DW86" s="244"/>
      <c r="DX86" s="244" t="str">
        <f t="shared" ref="DX86:DX128" ca="1" si="95">IF(DL86="","",VLOOKUP(DM86,$DL$8:$DM$14,2))</f>
        <v/>
      </c>
      <c r="EA86" s="244" t="b">
        <f t="shared" ca="1" si="84"/>
        <v>0</v>
      </c>
      <c r="EB86" s="278" t="e">
        <f ca="1">VLOOKUP(DM86,Foglio1!$AB$31:$AN$261,13)-6+EA86</f>
        <v>#N/A</v>
      </c>
      <c r="EC86" s="244"/>
      <c r="ED86" s="244" t="e">
        <f t="shared" ca="1" si="62"/>
        <v>#N/A</v>
      </c>
      <c r="EE86" s="244" t="e">
        <f t="shared" ca="1" si="62"/>
        <v>#N/A</v>
      </c>
      <c r="EF86" s="244" t="e">
        <f t="shared" ca="1" si="62"/>
        <v>#N/A</v>
      </c>
      <c r="EG86" s="244" t="e">
        <f t="shared" ca="1" si="62"/>
        <v>#N/A</v>
      </c>
      <c r="EH86" s="244" t="e">
        <f t="shared" ca="1" si="62"/>
        <v>#N/A</v>
      </c>
      <c r="EI86" s="244" t="e">
        <f t="shared" ca="1" si="61"/>
        <v>#N/A</v>
      </c>
      <c r="EJ86" s="244" t="e">
        <f t="shared" ca="1" si="61"/>
        <v>#N/A</v>
      </c>
      <c r="EK86" s="244" t="e">
        <f t="shared" ca="1" si="61"/>
        <v>#N/A</v>
      </c>
      <c r="EL86" s="244" t="e">
        <f t="shared" ca="1" si="61"/>
        <v>#N/A</v>
      </c>
      <c r="EM86" s="244" t="e">
        <f t="shared" ca="1" si="61"/>
        <v>#N/A</v>
      </c>
      <c r="EN86" s="244" t="e">
        <f t="shared" ca="1" si="61"/>
        <v>#N/A</v>
      </c>
      <c r="EO86" s="244" t="e">
        <f t="shared" ca="1" si="61"/>
        <v>#N/A</v>
      </c>
      <c r="EP86" s="244" t="e">
        <f t="shared" ca="1" si="61"/>
        <v>#N/A</v>
      </c>
      <c r="EQ86" s="244" t="e">
        <f t="shared" ca="1" si="61"/>
        <v>#N/A</v>
      </c>
      <c r="ER86" s="244"/>
      <c r="EW86" s="244">
        <v>0</v>
      </c>
      <c r="EX86" s="278" t="e">
        <f ca="1">VLOOKUP(DM86,Foglio1!$AB$31:$AN$261,13)-6+EW86</f>
        <v>#N/A</v>
      </c>
      <c r="EY86" s="244"/>
      <c r="EZ86" s="244" t="e">
        <f t="shared" ca="1" si="85"/>
        <v>#N/A</v>
      </c>
      <c r="FA86" s="244" t="e">
        <f t="shared" ca="1" si="60"/>
        <v>#N/A</v>
      </c>
      <c r="FB86" s="244" t="e">
        <f t="shared" ca="1" si="60"/>
        <v>#N/A</v>
      </c>
      <c r="FC86" s="244" t="e">
        <f t="shared" ca="1" si="60"/>
        <v>#N/A</v>
      </c>
      <c r="FD86" s="244" t="e">
        <f t="shared" ca="1" si="60"/>
        <v>#N/A</v>
      </c>
      <c r="FE86" s="244" t="e">
        <f t="shared" ca="1" si="60"/>
        <v>#N/A</v>
      </c>
      <c r="FF86" s="244" t="e">
        <f t="shared" ca="1" si="60"/>
        <v>#N/A</v>
      </c>
      <c r="FG86" s="244" t="e">
        <f t="shared" ca="1" si="86"/>
        <v>#N/A</v>
      </c>
      <c r="FH86" s="244" t="e">
        <f t="shared" ca="1" si="86"/>
        <v>#N/A</v>
      </c>
      <c r="FI86" s="244" t="e">
        <f t="shared" ca="1" si="86"/>
        <v>#N/A</v>
      </c>
      <c r="FJ86" s="244" t="e">
        <f t="shared" ca="1" si="86"/>
        <v>#N/A</v>
      </c>
      <c r="FK86" s="244" t="e">
        <f t="shared" ca="1" si="86"/>
        <v>#N/A</v>
      </c>
      <c r="FL86" s="244" t="e">
        <f t="shared" ca="1" si="86"/>
        <v>#N/A</v>
      </c>
      <c r="FM86" s="244" t="e">
        <f t="shared" ca="1" si="66"/>
        <v>#N/A</v>
      </c>
      <c r="FN86" s="244"/>
    </row>
    <row r="87" spans="5:170" x14ac:dyDescent="0.25">
      <c r="E87" s="244"/>
      <c r="F87" s="244"/>
      <c r="G87" s="244"/>
      <c r="L87">
        <f t="shared" si="87"/>
        <v>87</v>
      </c>
      <c r="R87" s="112">
        <f t="shared" si="67"/>
        <v>0</v>
      </c>
      <c r="S87" s="238" t="e">
        <f t="shared" si="46"/>
        <v>#N/A</v>
      </c>
      <c r="T87" s="112" t="e">
        <f t="shared" ca="1" si="47"/>
        <v>#N/A</v>
      </c>
      <c r="U87" s="112" t="e">
        <f t="shared" ca="1" si="48"/>
        <v>#N/A</v>
      </c>
      <c r="V87" s="112" t="e">
        <f t="shared" ca="1" si="49"/>
        <v>#N/A</v>
      </c>
      <c r="W87" s="112" t="e">
        <f t="shared" ca="1" si="50"/>
        <v>#N/A</v>
      </c>
      <c r="X87" s="112">
        <f t="shared" si="68"/>
        <v>0</v>
      </c>
      <c r="Y87" s="112"/>
      <c r="Z87" s="112"/>
      <c r="AA87" s="112">
        <f t="shared" si="69"/>
        <v>100000</v>
      </c>
      <c r="AB87" s="112" t="e">
        <f t="shared" ca="1" si="70"/>
        <v>#N/A</v>
      </c>
      <c r="AC87" s="112" t="e">
        <f t="shared" ca="1" si="71"/>
        <v>#N/A</v>
      </c>
      <c r="AD87" s="112" t="e">
        <f t="shared" ca="1" si="72"/>
        <v>#N/A</v>
      </c>
      <c r="AE87" s="112" t="e">
        <f t="shared" ca="1" si="73"/>
        <v>#N/A</v>
      </c>
      <c r="AF87" s="112">
        <f t="shared" si="74"/>
        <v>100000</v>
      </c>
      <c r="AG87" s="238">
        <f>AG86</f>
        <v>33</v>
      </c>
      <c r="AH87" s="112" t="e">
        <f ca="1">AI86+1</f>
        <v>#N/A</v>
      </c>
      <c r="AI87" s="112" t="e">
        <f ca="1">IF(INDIRECT(CONCATENATE("AD",AG85))&lt;100000,INDIRECT(CONCATENATE("AD",AG85))-1,IF(INDIRECT(CONCATENATE("AE",AG85))&lt;100000,INDIRECT(CONCATENATE("AE",G85)),INDIRECT(CONCATENATE("AF",AG85))))</f>
        <v>#N/A</v>
      </c>
      <c r="AJ87" s="114"/>
      <c r="AK87" s="114"/>
      <c r="AL87" s="238" t="e">
        <f t="shared" ca="1" si="88"/>
        <v>#N/A</v>
      </c>
      <c r="AM87" s="112">
        <f t="shared" ca="1" si="58"/>
        <v>100000</v>
      </c>
      <c r="AN87" s="112">
        <f t="shared" ca="1" si="89"/>
        <v>100000</v>
      </c>
      <c r="AO87" s="114">
        <f t="shared" ca="1" si="75"/>
        <v>0</v>
      </c>
      <c r="AP87" s="114">
        <f t="shared" ca="1" si="76"/>
        <v>0</v>
      </c>
      <c r="AQ87" s="112"/>
      <c r="AR87" s="238">
        <f t="shared" si="90"/>
        <v>87</v>
      </c>
      <c r="AS87" s="112"/>
      <c r="AT87" s="112"/>
      <c r="AU87" s="283">
        <f t="shared" si="91"/>
        <v>68</v>
      </c>
      <c r="AV87" s="284">
        <f t="shared" ca="1" si="77"/>
        <v>100000</v>
      </c>
      <c r="AW87" s="284">
        <f t="shared" ca="1" si="52"/>
        <v>100000</v>
      </c>
      <c r="AX87" s="285">
        <f t="shared" ca="1" si="78"/>
        <v>0</v>
      </c>
      <c r="AY87" s="285">
        <f t="shared" ca="1" si="79"/>
        <v>18</v>
      </c>
      <c r="AZ87" s="282"/>
      <c r="BD87" s="114">
        <f t="shared" si="92"/>
        <v>1</v>
      </c>
      <c r="BE87" s="112">
        <f t="shared" si="80"/>
        <v>100000</v>
      </c>
      <c r="BH87" s="238">
        <f t="shared" si="93"/>
        <v>68</v>
      </c>
      <c r="BI87" s="245">
        <f t="shared" si="81"/>
        <v>100000</v>
      </c>
      <c r="BJ87" s="281">
        <f t="shared" ca="1" si="64"/>
        <v>16</v>
      </c>
      <c r="BK87" s="245" t="e">
        <f t="shared" ca="1" si="82"/>
        <v>#N/A</v>
      </c>
      <c r="BL87" s="245" t="e">
        <f t="shared" ca="1" si="83"/>
        <v>#N/A</v>
      </c>
      <c r="BN87" s="245" t="e">
        <f t="shared" ca="1" si="51"/>
        <v>#N/A</v>
      </c>
      <c r="CL87" s="112"/>
      <c r="CM87" s="112"/>
      <c r="CP87" s="112"/>
      <c r="CQ87" s="112"/>
      <c r="CR87" s="238"/>
      <c r="CS87" s="238"/>
      <c r="CT87" s="112"/>
      <c r="CU87" s="112"/>
      <c r="CV87" s="112"/>
      <c r="CW87" s="112" t="s">
        <v>224</v>
      </c>
      <c r="CX87" s="112" t="s">
        <v>225</v>
      </c>
      <c r="CY87" s="112" t="s">
        <v>226</v>
      </c>
      <c r="CZ87" s="112" t="s">
        <v>227</v>
      </c>
      <c r="DA87" s="112" t="s">
        <v>228</v>
      </c>
      <c r="DB87" s="112" t="s">
        <v>229</v>
      </c>
      <c r="DC87" s="112"/>
      <c r="DD87" s="238"/>
      <c r="DE87" s="112"/>
      <c r="DF87" s="112"/>
      <c r="DG87" s="112"/>
      <c r="DH87" s="238"/>
      <c r="DI87" s="112"/>
      <c r="DJ87" s="112"/>
      <c r="DK87" s="112"/>
      <c r="DL87" s="278" t="str">
        <f t="shared" ca="1" si="94"/>
        <v/>
      </c>
      <c r="DM87" s="245" t="str">
        <f t="shared" ca="1" si="63"/>
        <v/>
      </c>
      <c r="DN87" s="245" t="str">
        <f t="shared" ca="1" si="63"/>
        <v/>
      </c>
      <c r="DO87" s="245" t="str">
        <f t="shared" ca="1" si="63"/>
        <v/>
      </c>
      <c r="DP87" s="245" t="str">
        <f t="shared" ca="1" si="63"/>
        <v/>
      </c>
      <c r="DQ87" s="245" t="str">
        <f t="shared" ca="1" si="63"/>
        <v/>
      </c>
      <c r="DR87" s="244"/>
      <c r="DS87" s="245" t="str">
        <f t="shared" si="54"/>
        <v/>
      </c>
      <c r="DT87" s="245" t="str">
        <f t="shared" si="54"/>
        <v/>
      </c>
      <c r="DU87" s="245" t="str">
        <f t="shared" si="54"/>
        <v/>
      </c>
      <c r="DV87" s="244" t="str">
        <f t="shared" ca="1" si="65"/>
        <v/>
      </c>
      <c r="DW87" s="244"/>
      <c r="DX87" s="244" t="str">
        <f t="shared" ca="1" si="95"/>
        <v/>
      </c>
      <c r="EA87" s="244" t="b">
        <f t="shared" ca="1" si="84"/>
        <v>0</v>
      </c>
      <c r="EB87" s="278" t="e">
        <f ca="1">VLOOKUP(DM87,Foglio1!$AB$31:$AN$261,13)-6+EA87</f>
        <v>#N/A</v>
      </c>
      <c r="EC87" s="244"/>
      <c r="ED87" s="244" t="e">
        <f t="shared" ca="1" si="62"/>
        <v>#N/A</v>
      </c>
      <c r="EE87" s="244" t="e">
        <f t="shared" ca="1" si="62"/>
        <v>#N/A</v>
      </c>
      <c r="EF87" s="244" t="e">
        <f t="shared" ca="1" si="62"/>
        <v>#N/A</v>
      </c>
      <c r="EG87" s="244" t="e">
        <f t="shared" ca="1" si="62"/>
        <v>#N/A</v>
      </c>
      <c r="EH87" s="244" t="e">
        <f t="shared" ca="1" si="62"/>
        <v>#N/A</v>
      </c>
      <c r="EI87" s="244" t="e">
        <f t="shared" ca="1" si="61"/>
        <v>#N/A</v>
      </c>
      <c r="EJ87" s="244" t="e">
        <f t="shared" ca="1" si="61"/>
        <v>#N/A</v>
      </c>
      <c r="EK87" s="244" t="e">
        <f t="shared" ca="1" si="61"/>
        <v>#N/A</v>
      </c>
      <c r="EL87" s="244" t="e">
        <f t="shared" ca="1" si="61"/>
        <v>#N/A</v>
      </c>
      <c r="EM87" s="244" t="e">
        <f t="shared" ca="1" si="61"/>
        <v>#N/A</v>
      </c>
      <c r="EN87" s="244" t="e">
        <f t="shared" ca="1" si="61"/>
        <v>#N/A</v>
      </c>
      <c r="EO87" s="244" t="e">
        <f t="shared" ca="1" si="61"/>
        <v>#N/A</v>
      </c>
      <c r="EP87" s="244" t="e">
        <f t="shared" ca="1" si="61"/>
        <v>#N/A</v>
      </c>
      <c r="EQ87" s="244" t="e">
        <f t="shared" ca="1" si="61"/>
        <v>#N/A</v>
      </c>
      <c r="ER87" s="244"/>
      <c r="EW87" s="244">
        <v>0</v>
      </c>
      <c r="EX87" s="278" t="e">
        <f ca="1">VLOOKUP(DM87,Foglio1!$AB$31:$AN$261,13)-6+EW87</f>
        <v>#N/A</v>
      </c>
      <c r="EY87" s="244"/>
      <c r="EZ87" s="244" t="e">
        <f t="shared" ca="1" si="85"/>
        <v>#N/A</v>
      </c>
      <c r="FA87" s="244" t="e">
        <f t="shared" ca="1" si="60"/>
        <v>#N/A</v>
      </c>
      <c r="FB87" s="244" t="e">
        <f t="shared" ca="1" si="60"/>
        <v>#N/A</v>
      </c>
      <c r="FC87" s="244" t="e">
        <f t="shared" ca="1" si="60"/>
        <v>#N/A</v>
      </c>
      <c r="FD87" s="244" t="e">
        <f t="shared" ca="1" si="60"/>
        <v>#N/A</v>
      </c>
      <c r="FE87" s="244" t="e">
        <f t="shared" ca="1" si="60"/>
        <v>#N/A</v>
      </c>
      <c r="FF87" s="244" t="e">
        <f t="shared" ca="1" si="60"/>
        <v>#N/A</v>
      </c>
      <c r="FG87" s="244" t="e">
        <f t="shared" ca="1" si="86"/>
        <v>#N/A</v>
      </c>
      <c r="FH87" s="244" t="e">
        <f t="shared" ca="1" si="86"/>
        <v>#N/A</v>
      </c>
      <c r="FI87" s="244" t="e">
        <f t="shared" ca="1" si="86"/>
        <v>#N/A</v>
      </c>
      <c r="FJ87" s="244" t="e">
        <f t="shared" ca="1" si="86"/>
        <v>#N/A</v>
      </c>
      <c r="FK87" s="244" t="e">
        <f t="shared" ca="1" si="86"/>
        <v>#N/A</v>
      </c>
      <c r="FL87" s="244" t="e">
        <f t="shared" ca="1" si="86"/>
        <v>#N/A</v>
      </c>
      <c r="FM87" s="244" t="e">
        <f t="shared" ca="1" si="66"/>
        <v>#N/A</v>
      </c>
      <c r="FN87" s="244"/>
    </row>
    <row r="88" spans="5:170" x14ac:dyDescent="0.25">
      <c r="E88" s="244"/>
      <c r="F88" s="244"/>
      <c r="G88" s="244"/>
      <c r="L88">
        <f t="shared" si="87"/>
        <v>88</v>
      </c>
      <c r="R88" s="112">
        <f t="shared" si="67"/>
        <v>0</v>
      </c>
      <c r="S88" s="238" t="e">
        <f t="shared" ref="S88:S133" si="96">VLOOKUP(L88,P85:Q114,2,FALSE)</f>
        <v>#N/A</v>
      </c>
      <c r="T88" s="112" t="e">
        <f t="shared" ref="T88:T133" ca="1" si="97">SMALL(INDIRECT(CONCATENATE("N",S88,":N",S88+4)),1)</f>
        <v>#N/A</v>
      </c>
      <c r="U88" s="112" t="e">
        <f t="shared" ref="U88:U133" ca="1" si="98">SMALL(INDIRECT(CONCATENATE("N",S88,":N",S88+4)),2)</f>
        <v>#N/A</v>
      </c>
      <c r="V88" s="112" t="e">
        <f t="shared" ref="V88:V133" ca="1" si="99">SMALL(INDIRECT(CONCATENATE("N",S88,":N",S88+4)),3)</f>
        <v>#N/A</v>
      </c>
      <c r="W88" s="112" t="e">
        <f t="shared" ref="W88:W133" ca="1" si="100">SMALL(INDIRECT(CONCATENATE("N",S88,":N",S88+4)),4)</f>
        <v>#N/A</v>
      </c>
      <c r="X88" s="112">
        <f t="shared" si="68"/>
        <v>0</v>
      </c>
      <c r="Y88" s="112"/>
      <c r="Z88" s="112"/>
      <c r="AA88" s="112">
        <f t="shared" si="69"/>
        <v>100000</v>
      </c>
      <c r="AB88" s="112" t="e">
        <f t="shared" ca="1" si="70"/>
        <v>#N/A</v>
      </c>
      <c r="AC88" s="112" t="e">
        <f t="shared" ca="1" si="71"/>
        <v>#N/A</v>
      </c>
      <c r="AD88" s="112" t="e">
        <f t="shared" ca="1" si="72"/>
        <v>#N/A</v>
      </c>
      <c r="AE88" s="112" t="e">
        <f t="shared" ca="1" si="73"/>
        <v>#N/A</v>
      </c>
      <c r="AF88" s="112">
        <f t="shared" si="74"/>
        <v>100000</v>
      </c>
      <c r="AG88" s="238">
        <f>AG87</f>
        <v>33</v>
      </c>
      <c r="AH88" s="112" t="e">
        <f ca="1">AI87+1</f>
        <v>#N/A</v>
      </c>
      <c r="AI88" s="112" t="e">
        <f ca="1">IF(INDIRECT(CONCATENATE("AE",AG85))&lt;100000,INDIRECT(CONCATENATE("AE",G85)),INDIRECT(CONCATENATE("AF",AG85)))</f>
        <v>#N/A</v>
      </c>
      <c r="AJ88" s="114"/>
      <c r="AK88" s="114"/>
      <c r="AL88" s="238" t="e">
        <f t="shared" ca="1" si="88"/>
        <v>#N/A</v>
      </c>
      <c r="AM88" s="112">
        <f t="shared" ca="1" si="58"/>
        <v>100000</v>
      </c>
      <c r="AN88" s="112">
        <f t="shared" ca="1" si="89"/>
        <v>100000</v>
      </c>
      <c r="AO88" s="114">
        <f t="shared" ca="1" si="75"/>
        <v>0</v>
      </c>
      <c r="AP88" s="114">
        <f t="shared" ca="1" si="76"/>
        <v>0</v>
      </c>
      <c r="AQ88" s="112"/>
      <c r="AR88" s="238">
        <f t="shared" si="90"/>
        <v>88</v>
      </c>
      <c r="AS88" s="112"/>
      <c r="AT88" s="112"/>
      <c r="AU88" s="283">
        <f t="shared" si="91"/>
        <v>69</v>
      </c>
      <c r="AV88" s="284">
        <f t="shared" ca="1" si="77"/>
        <v>100000</v>
      </c>
      <c r="AW88" s="284">
        <f t="shared" ca="1" si="52"/>
        <v>100000</v>
      </c>
      <c r="AX88" s="285">
        <f t="shared" ca="1" si="78"/>
        <v>0</v>
      </c>
      <c r="AY88" s="285">
        <f t="shared" ca="1" si="79"/>
        <v>18</v>
      </c>
      <c r="AZ88" s="282"/>
      <c r="BD88" s="114">
        <f t="shared" si="92"/>
        <v>1</v>
      </c>
      <c r="BE88" s="112">
        <f t="shared" si="80"/>
        <v>100000</v>
      </c>
      <c r="BH88" s="238">
        <f t="shared" si="93"/>
        <v>69</v>
      </c>
      <c r="BI88" s="245">
        <f t="shared" si="81"/>
        <v>100000</v>
      </c>
      <c r="BJ88" s="281">
        <f t="shared" ca="1" si="64"/>
        <v>16</v>
      </c>
      <c r="BK88" s="245" t="e">
        <f t="shared" ca="1" si="82"/>
        <v>#N/A</v>
      </c>
      <c r="BL88" s="245" t="e">
        <f t="shared" ca="1" si="83"/>
        <v>#N/A</v>
      </c>
      <c r="BN88" s="245" t="e">
        <f t="shared" ca="1" si="51"/>
        <v>#N/A</v>
      </c>
      <c r="CL88" s="112"/>
      <c r="CM88" s="112"/>
      <c r="CP88" s="112"/>
      <c r="CQ88" s="112"/>
      <c r="CR88" s="238"/>
      <c r="CS88" s="238"/>
      <c r="CT88" s="112"/>
      <c r="CU88" s="112"/>
      <c r="CV88" s="112"/>
      <c r="CW88" s="112" t="s">
        <v>224</v>
      </c>
      <c r="CX88" s="112" t="s">
        <v>225</v>
      </c>
      <c r="CY88" s="112" t="s">
        <v>226</v>
      </c>
      <c r="CZ88" s="112" t="s">
        <v>227</v>
      </c>
      <c r="DA88" s="112" t="s">
        <v>228</v>
      </c>
      <c r="DB88" s="112" t="s">
        <v>229</v>
      </c>
      <c r="DC88" s="112"/>
      <c r="DD88" s="238"/>
      <c r="DE88" s="112"/>
      <c r="DF88" s="112"/>
      <c r="DG88" s="112"/>
      <c r="DH88" s="238"/>
      <c r="DI88" s="112"/>
      <c r="DJ88" s="112"/>
      <c r="DK88" s="112"/>
      <c r="DL88" s="278" t="str">
        <f t="shared" ca="1" si="94"/>
        <v/>
      </c>
      <c r="DM88" s="245" t="str">
        <f t="shared" ca="1" si="63"/>
        <v/>
      </c>
      <c r="DN88" s="245" t="str">
        <f t="shared" ca="1" si="63"/>
        <v/>
      </c>
      <c r="DO88" s="245" t="str">
        <f t="shared" ca="1" si="63"/>
        <v/>
      </c>
      <c r="DP88" s="245" t="str">
        <f t="shared" ca="1" si="63"/>
        <v/>
      </c>
      <c r="DQ88" s="245" t="str">
        <f t="shared" ca="1" si="63"/>
        <v/>
      </c>
      <c r="DR88" s="244"/>
      <c r="DS88" s="245" t="str">
        <f t="shared" si="54"/>
        <v/>
      </c>
      <c r="DT88" s="245" t="str">
        <f t="shared" si="54"/>
        <v/>
      </c>
      <c r="DU88" s="245" t="str">
        <f t="shared" si="54"/>
        <v/>
      </c>
      <c r="DV88" s="244" t="str">
        <f t="shared" ca="1" si="65"/>
        <v/>
      </c>
      <c r="DW88" s="244"/>
      <c r="DX88" s="244" t="str">
        <f t="shared" ca="1" si="95"/>
        <v/>
      </c>
      <c r="EA88" s="244" t="b">
        <f t="shared" ca="1" si="84"/>
        <v>0</v>
      </c>
      <c r="EB88" s="278" t="e">
        <f ca="1">VLOOKUP(DM88,Foglio1!$AB$31:$AN$261,13)-6+EA88</f>
        <v>#N/A</v>
      </c>
      <c r="EC88" s="244"/>
      <c r="ED88" s="244" t="e">
        <f t="shared" ca="1" si="62"/>
        <v>#N/A</v>
      </c>
      <c r="EE88" s="244" t="e">
        <f t="shared" ca="1" si="62"/>
        <v>#N/A</v>
      </c>
      <c r="EF88" s="244" t="e">
        <f t="shared" ca="1" si="62"/>
        <v>#N/A</v>
      </c>
      <c r="EG88" s="244" t="e">
        <f t="shared" ca="1" si="62"/>
        <v>#N/A</v>
      </c>
      <c r="EH88" s="244" t="e">
        <f t="shared" ca="1" si="62"/>
        <v>#N/A</v>
      </c>
      <c r="EI88" s="244" t="e">
        <f t="shared" ca="1" si="61"/>
        <v>#N/A</v>
      </c>
      <c r="EJ88" s="244" t="e">
        <f t="shared" ca="1" si="61"/>
        <v>#N/A</v>
      </c>
      <c r="EK88" s="244" t="e">
        <f t="shared" ca="1" si="61"/>
        <v>#N/A</v>
      </c>
      <c r="EL88" s="244" t="e">
        <f t="shared" ca="1" si="61"/>
        <v>#N/A</v>
      </c>
      <c r="EM88" s="244" t="e">
        <f t="shared" ca="1" si="61"/>
        <v>#N/A</v>
      </c>
      <c r="EN88" s="244" t="e">
        <f t="shared" ca="1" si="61"/>
        <v>#N/A</v>
      </c>
      <c r="EO88" s="244" t="e">
        <f t="shared" ca="1" si="61"/>
        <v>#N/A</v>
      </c>
      <c r="EP88" s="244" t="e">
        <f t="shared" ca="1" si="61"/>
        <v>#N/A</v>
      </c>
      <c r="EQ88" s="244" t="e">
        <f t="shared" ca="1" si="61"/>
        <v>#N/A</v>
      </c>
      <c r="ER88" s="244"/>
      <c r="EW88" s="244">
        <v>0</v>
      </c>
      <c r="EX88" s="278" t="e">
        <f ca="1">VLOOKUP(DM88,Foglio1!$AB$31:$AN$261,13)-6+EW88</f>
        <v>#N/A</v>
      </c>
      <c r="EY88" s="244"/>
      <c r="EZ88" s="244" t="e">
        <f t="shared" ca="1" si="85"/>
        <v>#N/A</v>
      </c>
      <c r="FA88" s="244" t="e">
        <f t="shared" ca="1" si="60"/>
        <v>#N/A</v>
      </c>
      <c r="FB88" s="244" t="e">
        <f t="shared" ca="1" si="60"/>
        <v>#N/A</v>
      </c>
      <c r="FC88" s="244" t="e">
        <f t="shared" ca="1" si="60"/>
        <v>#N/A</v>
      </c>
      <c r="FD88" s="244" t="e">
        <f t="shared" ca="1" si="60"/>
        <v>#N/A</v>
      </c>
      <c r="FE88" s="244" t="e">
        <f t="shared" ca="1" si="60"/>
        <v>#N/A</v>
      </c>
      <c r="FF88" s="244" t="e">
        <f t="shared" ca="1" si="60"/>
        <v>#N/A</v>
      </c>
      <c r="FG88" s="244" t="e">
        <f t="shared" ca="1" si="86"/>
        <v>#N/A</v>
      </c>
      <c r="FH88" s="244" t="e">
        <f t="shared" ca="1" si="86"/>
        <v>#N/A</v>
      </c>
      <c r="FI88" s="244" t="e">
        <f t="shared" ca="1" si="86"/>
        <v>#N/A</v>
      </c>
      <c r="FJ88" s="244" t="e">
        <f t="shared" ca="1" si="86"/>
        <v>#N/A</v>
      </c>
      <c r="FK88" s="244" t="e">
        <f t="shared" ca="1" si="86"/>
        <v>#N/A</v>
      </c>
      <c r="FL88" s="244" t="e">
        <f t="shared" ca="1" si="86"/>
        <v>#N/A</v>
      </c>
      <c r="FM88" s="244" t="e">
        <f t="shared" ca="1" si="66"/>
        <v>#N/A</v>
      </c>
      <c r="FN88" s="244"/>
    </row>
    <row r="89" spans="5:170" x14ac:dyDescent="0.25">
      <c r="E89" s="244"/>
      <c r="F89" s="244"/>
      <c r="G89" s="244"/>
      <c r="L89">
        <f t="shared" si="87"/>
        <v>89</v>
      </c>
      <c r="R89" s="112">
        <f t="shared" si="67"/>
        <v>0</v>
      </c>
      <c r="S89" s="238" t="e">
        <f t="shared" si="96"/>
        <v>#N/A</v>
      </c>
      <c r="T89" s="112" t="e">
        <f t="shared" ca="1" si="97"/>
        <v>#N/A</v>
      </c>
      <c r="U89" s="112" t="e">
        <f t="shared" ca="1" si="98"/>
        <v>#N/A</v>
      </c>
      <c r="V89" s="112" t="e">
        <f t="shared" ca="1" si="99"/>
        <v>#N/A</v>
      </c>
      <c r="W89" s="112" t="e">
        <f t="shared" ca="1" si="100"/>
        <v>#N/A</v>
      </c>
      <c r="X89" s="112">
        <f t="shared" si="68"/>
        <v>0</v>
      </c>
      <c r="Y89" s="112"/>
      <c r="Z89" s="112"/>
      <c r="AA89" s="112">
        <f t="shared" si="69"/>
        <v>100000</v>
      </c>
      <c r="AB89" s="112" t="e">
        <f t="shared" ca="1" si="70"/>
        <v>#N/A</v>
      </c>
      <c r="AC89" s="112" t="e">
        <f t="shared" ca="1" si="71"/>
        <v>#N/A</v>
      </c>
      <c r="AD89" s="112" t="e">
        <f t="shared" ca="1" si="72"/>
        <v>#N/A</v>
      </c>
      <c r="AE89" s="112" t="e">
        <f t="shared" ca="1" si="73"/>
        <v>#N/A</v>
      </c>
      <c r="AF89" s="112">
        <f t="shared" si="74"/>
        <v>100000</v>
      </c>
      <c r="AG89" s="238">
        <f>AG88</f>
        <v>33</v>
      </c>
      <c r="AH89" s="112" t="e">
        <f ca="1">AI88+1</f>
        <v>#N/A</v>
      </c>
      <c r="AI89" s="112">
        <f ca="1">INDIRECT(CONCATENATE("AF",AG85))</f>
        <v>100000</v>
      </c>
      <c r="AJ89" s="114"/>
      <c r="AK89" s="114"/>
      <c r="AL89" s="238" t="e">
        <f t="shared" ca="1" si="88"/>
        <v>#N/A</v>
      </c>
      <c r="AM89" s="112">
        <f t="shared" ca="1" si="58"/>
        <v>100000</v>
      </c>
      <c r="AN89" s="112">
        <f t="shared" ca="1" si="89"/>
        <v>100000</v>
      </c>
      <c r="AO89" s="114">
        <f t="shared" ca="1" si="75"/>
        <v>0</v>
      </c>
      <c r="AP89" s="114">
        <f t="shared" ca="1" si="76"/>
        <v>0</v>
      </c>
      <c r="AQ89" s="112"/>
      <c r="AR89" s="238">
        <f t="shared" si="90"/>
        <v>89</v>
      </c>
      <c r="AS89" s="112"/>
      <c r="AT89" s="112"/>
      <c r="AU89" s="283">
        <f t="shared" si="91"/>
        <v>70</v>
      </c>
      <c r="AV89" s="284">
        <f t="shared" ca="1" si="77"/>
        <v>100000</v>
      </c>
      <c r="AW89" s="284">
        <f t="shared" ca="1" si="52"/>
        <v>100000</v>
      </c>
      <c r="AX89" s="285">
        <f t="shared" ca="1" si="78"/>
        <v>0</v>
      </c>
      <c r="AY89" s="285">
        <f t="shared" ca="1" si="79"/>
        <v>18</v>
      </c>
      <c r="AZ89" s="282"/>
      <c r="BD89" s="114">
        <f t="shared" si="92"/>
        <v>1</v>
      </c>
      <c r="BE89" s="112">
        <f t="shared" si="80"/>
        <v>100000</v>
      </c>
      <c r="BH89" s="238">
        <f t="shared" si="93"/>
        <v>70</v>
      </c>
      <c r="BI89" s="245">
        <f t="shared" si="81"/>
        <v>100000</v>
      </c>
      <c r="BJ89" s="281">
        <f t="shared" ca="1" si="64"/>
        <v>16</v>
      </c>
      <c r="BK89" s="245" t="e">
        <f t="shared" ca="1" si="82"/>
        <v>#N/A</v>
      </c>
      <c r="BL89" s="245" t="e">
        <f t="shared" ca="1" si="83"/>
        <v>#N/A</v>
      </c>
      <c r="BN89" s="245" t="e">
        <f t="shared" ca="1" si="51"/>
        <v>#N/A</v>
      </c>
      <c r="CL89" s="112"/>
      <c r="CM89" s="112"/>
      <c r="CP89" s="112"/>
      <c r="CQ89" s="112"/>
      <c r="CR89" s="238"/>
      <c r="CS89" s="238"/>
      <c r="CT89" s="112"/>
      <c r="CU89" s="112"/>
      <c r="CV89" s="112"/>
      <c r="CW89" s="112" t="s">
        <v>224</v>
      </c>
      <c r="CX89" s="112" t="s">
        <v>225</v>
      </c>
      <c r="CY89" s="112" t="s">
        <v>226</v>
      </c>
      <c r="CZ89" s="112" t="s">
        <v>227</v>
      </c>
      <c r="DA89" s="112" t="s">
        <v>228</v>
      </c>
      <c r="DB89" s="112" t="s">
        <v>229</v>
      </c>
      <c r="DC89" s="112"/>
      <c r="DD89" s="238"/>
      <c r="DE89" s="112"/>
      <c r="DF89" s="112"/>
      <c r="DG89" s="112"/>
      <c r="DH89" s="238"/>
      <c r="DI89" s="112"/>
      <c r="DJ89" s="112"/>
      <c r="DK89" s="112"/>
      <c r="DL89" s="278" t="str">
        <f t="shared" ca="1" si="94"/>
        <v/>
      </c>
      <c r="DM89" s="245" t="str">
        <f t="shared" ca="1" si="63"/>
        <v/>
      </c>
      <c r="DN89" s="245" t="str">
        <f t="shared" ca="1" si="63"/>
        <v/>
      </c>
      <c r="DO89" s="245" t="str">
        <f t="shared" ca="1" si="63"/>
        <v/>
      </c>
      <c r="DP89" s="245" t="str">
        <f t="shared" ca="1" si="63"/>
        <v/>
      </c>
      <c r="DQ89" s="245" t="str">
        <f t="shared" ca="1" si="63"/>
        <v/>
      </c>
      <c r="DR89" s="244"/>
      <c r="DS89" s="245" t="str">
        <f t="shared" si="54"/>
        <v/>
      </c>
      <c r="DT89" s="245" t="str">
        <f t="shared" si="54"/>
        <v/>
      </c>
      <c r="DU89" s="245" t="str">
        <f t="shared" si="54"/>
        <v/>
      </c>
      <c r="DV89" s="244" t="str">
        <f t="shared" ca="1" si="65"/>
        <v/>
      </c>
      <c r="DW89" s="244"/>
      <c r="DX89" s="244" t="str">
        <f t="shared" ca="1" si="95"/>
        <v/>
      </c>
      <c r="EA89" s="244" t="b">
        <f t="shared" ca="1" si="84"/>
        <v>0</v>
      </c>
      <c r="EB89" s="278" t="e">
        <f ca="1">VLOOKUP(DM89,Foglio1!$AB$31:$AN$261,13)-6+EA89</f>
        <v>#N/A</v>
      </c>
      <c r="EC89" s="244"/>
      <c r="ED89" s="244" t="e">
        <f t="shared" ca="1" si="62"/>
        <v>#N/A</v>
      </c>
      <c r="EE89" s="244" t="e">
        <f t="shared" ca="1" si="62"/>
        <v>#N/A</v>
      </c>
      <c r="EF89" s="244" t="e">
        <f t="shared" ca="1" si="62"/>
        <v>#N/A</v>
      </c>
      <c r="EG89" s="244" t="e">
        <f t="shared" ca="1" si="62"/>
        <v>#N/A</v>
      </c>
      <c r="EH89" s="244" t="e">
        <f t="shared" ca="1" si="62"/>
        <v>#N/A</v>
      </c>
      <c r="EI89" s="244" t="e">
        <f t="shared" ca="1" si="61"/>
        <v>#N/A</v>
      </c>
      <c r="EJ89" s="244" t="e">
        <f t="shared" ca="1" si="61"/>
        <v>#N/A</v>
      </c>
      <c r="EK89" s="244" t="e">
        <f t="shared" ca="1" si="61"/>
        <v>#N/A</v>
      </c>
      <c r="EL89" s="244" t="e">
        <f t="shared" ref="EL89:EQ120" ca="1" si="101">INDIRECT(CONCATENATE(EJ$16,EJ$17,$EB89))</f>
        <v>#N/A</v>
      </c>
      <c r="EM89" s="244" t="e">
        <f t="shared" ca="1" si="101"/>
        <v>#N/A</v>
      </c>
      <c r="EN89" s="244" t="e">
        <f t="shared" ca="1" si="101"/>
        <v>#N/A</v>
      </c>
      <c r="EO89" s="244" t="e">
        <f t="shared" ca="1" si="101"/>
        <v>#N/A</v>
      </c>
      <c r="EP89" s="244" t="e">
        <f t="shared" ca="1" si="101"/>
        <v>#N/A</v>
      </c>
      <c r="EQ89" s="244" t="e">
        <f t="shared" ca="1" si="101"/>
        <v>#N/A</v>
      </c>
      <c r="ER89" s="244"/>
      <c r="EW89" s="244">
        <v>0</v>
      </c>
      <c r="EX89" s="278" t="e">
        <f ca="1">VLOOKUP(DM89,Foglio1!$AB$31:$AN$261,13)-6+EW89</f>
        <v>#N/A</v>
      </c>
      <c r="EY89" s="244"/>
      <c r="EZ89" s="244" t="e">
        <f t="shared" ca="1" si="85"/>
        <v>#N/A</v>
      </c>
      <c r="FA89" s="244" t="e">
        <f t="shared" ca="1" si="60"/>
        <v>#N/A</v>
      </c>
      <c r="FB89" s="244" t="e">
        <f t="shared" ca="1" si="60"/>
        <v>#N/A</v>
      </c>
      <c r="FC89" s="244" t="e">
        <f t="shared" ca="1" si="60"/>
        <v>#N/A</v>
      </c>
      <c r="FD89" s="244" t="e">
        <f t="shared" ca="1" si="60"/>
        <v>#N/A</v>
      </c>
      <c r="FE89" s="244" t="e">
        <f t="shared" ca="1" si="60"/>
        <v>#N/A</v>
      </c>
      <c r="FF89" s="244" t="e">
        <f t="shared" ca="1" si="60"/>
        <v>#N/A</v>
      </c>
      <c r="FG89" s="244" t="e">
        <f t="shared" ca="1" si="86"/>
        <v>#N/A</v>
      </c>
      <c r="FH89" s="244" t="e">
        <f t="shared" ca="1" si="86"/>
        <v>#N/A</v>
      </c>
      <c r="FI89" s="244" t="e">
        <f t="shared" ca="1" si="86"/>
        <v>#N/A</v>
      </c>
      <c r="FJ89" s="244" t="e">
        <f t="shared" ca="1" si="86"/>
        <v>#N/A</v>
      </c>
      <c r="FK89" s="244" t="e">
        <f t="shared" ca="1" si="86"/>
        <v>#N/A</v>
      </c>
      <c r="FL89" s="244" t="e">
        <f t="shared" ca="1" si="86"/>
        <v>#N/A</v>
      </c>
      <c r="FM89" s="244" t="e">
        <f t="shared" ca="1" si="66"/>
        <v>#N/A</v>
      </c>
      <c r="FN89" s="244"/>
    </row>
    <row r="90" spans="5:170" x14ac:dyDescent="0.25">
      <c r="E90" s="244"/>
      <c r="F90" s="244"/>
      <c r="G90" s="244"/>
      <c r="L90">
        <f t="shared" si="87"/>
        <v>90</v>
      </c>
      <c r="R90" s="112">
        <f t="shared" si="67"/>
        <v>0</v>
      </c>
      <c r="S90" s="238" t="e">
        <f t="shared" si="96"/>
        <v>#N/A</v>
      </c>
      <c r="T90" s="112" t="e">
        <f t="shared" ca="1" si="97"/>
        <v>#N/A</v>
      </c>
      <c r="U90" s="112" t="e">
        <f t="shared" ca="1" si="98"/>
        <v>#N/A</v>
      </c>
      <c r="V90" s="112" t="e">
        <f t="shared" ca="1" si="99"/>
        <v>#N/A</v>
      </c>
      <c r="W90" s="112" t="e">
        <f t="shared" ca="1" si="100"/>
        <v>#N/A</v>
      </c>
      <c r="X90" s="112">
        <f t="shared" si="68"/>
        <v>0</v>
      </c>
      <c r="Y90" s="112"/>
      <c r="Z90" s="112"/>
      <c r="AA90" s="112">
        <f t="shared" si="69"/>
        <v>100000</v>
      </c>
      <c r="AB90" s="112" t="e">
        <f t="shared" ca="1" si="70"/>
        <v>#N/A</v>
      </c>
      <c r="AC90" s="112" t="e">
        <f t="shared" ca="1" si="71"/>
        <v>#N/A</v>
      </c>
      <c r="AD90" s="112" t="e">
        <f t="shared" ca="1" si="72"/>
        <v>#N/A</v>
      </c>
      <c r="AE90" s="112" t="e">
        <f t="shared" ca="1" si="73"/>
        <v>#N/A</v>
      </c>
      <c r="AF90" s="112">
        <f t="shared" si="74"/>
        <v>100000</v>
      </c>
      <c r="AG90" s="238">
        <f>AG89+1</f>
        <v>34</v>
      </c>
      <c r="AH90" s="112">
        <f ca="1">INDIRECT(CONCATENATE("AA",AG90))</f>
        <v>100000</v>
      </c>
      <c r="AI90" s="112" t="e">
        <f ca="1">IF(            INDIRECT(CONCATENATE( "AB",AG90))&lt;100000,       INDIRECT(CONCATENATE("AB",AG90))  -1,IF(   INDIRECT(CONCATENATE("AC",AG90))&lt;100000,   INDIRECT(CONCATENATE("AC",AG90))-1,IF(   INDIRECT(CONCATENATE("AD", AG90))&lt;100000, INDIRECT(CONCATENATE("AD",AG90))-1,IF(   INDIRECT(CONCATENATE("AE",AG90))&lt;100000,  INDIRECT(CONCATENATE("AE",G90)),INDIRECT(CONCATENATE("AF",AG90))                ))))</f>
        <v>#N/A</v>
      </c>
      <c r="AJ90" s="114"/>
      <c r="AK90" s="114"/>
      <c r="AL90" s="238" t="e">
        <f t="shared" ca="1" si="88"/>
        <v>#N/A</v>
      </c>
      <c r="AM90" s="112">
        <f t="shared" ca="1" si="58"/>
        <v>100000</v>
      </c>
      <c r="AN90" s="112">
        <f t="shared" ca="1" si="89"/>
        <v>100000</v>
      </c>
      <c r="AO90" s="114">
        <f t="shared" ca="1" si="75"/>
        <v>0</v>
      </c>
      <c r="AP90" s="114">
        <f t="shared" ca="1" si="76"/>
        <v>0</v>
      </c>
      <c r="AQ90" s="112"/>
      <c r="AR90" s="238">
        <f t="shared" si="90"/>
        <v>90</v>
      </c>
      <c r="AS90" s="112"/>
      <c r="AT90" s="112"/>
      <c r="AU90" s="283">
        <f t="shared" si="91"/>
        <v>71</v>
      </c>
      <c r="AV90" s="284">
        <f t="shared" ca="1" si="77"/>
        <v>100000</v>
      </c>
      <c r="AW90" s="284">
        <f t="shared" ca="1" si="52"/>
        <v>100000</v>
      </c>
      <c r="AX90" s="285">
        <f t="shared" ca="1" si="78"/>
        <v>0</v>
      </c>
      <c r="AY90" s="285">
        <f t="shared" ca="1" si="79"/>
        <v>18</v>
      </c>
      <c r="AZ90" s="282"/>
      <c r="BD90" s="114">
        <f t="shared" si="92"/>
        <v>1</v>
      </c>
      <c r="BE90" s="112">
        <f t="shared" si="80"/>
        <v>100000</v>
      </c>
      <c r="BH90" s="238">
        <f t="shared" si="93"/>
        <v>71</v>
      </c>
      <c r="BI90" s="245">
        <f t="shared" si="81"/>
        <v>100000</v>
      </c>
      <c r="BJ90" s="281">
        <f t="shared" ca="1" si="64"/>
        <v>16</v>
      </c>
      <c r="BK90" s="245" t="e">
        <f t="shared" ca="1" si="82"/>
        <v>#N/A</v>
      </c>
      <c r="BL90" s="245" t="e">
        <f t="shared" ca="1" si="83"/>
        <v>#N/A</v>
      </c>
      <c r="BN90" s="245" t="e">
        <f t="shared" ref="BN90:BN132" ca="1" si="102">VLOOKUP(BK90,$F$20:$G$145,2)</f>
        <v>#N/A</v>
      </c>
      <c r="CL90" s="112"/>
      <c r="CM90" s="112"/>
      <c r="CP90" s="112"/>
      <c r="CQ90" s="112"/>
      <c r="CR90" s="238"/>
      <c r="CS90" s="238"/>
      <c r="CT90" s="112"/>
      <c r="CU90" s="112"/>
      <c r="CV90" s="112"/>
      <c r="CW90" s="112" t="s">
        <v>224</v>
      </c>
      <c r="CX90" s="112" t="s">
        <v>225</v>
      </c>
      <c r="CY90" s="112" t="s">
        <v>226</v>
      </c>
      <c r="CZ90" s="112" t="s">
        <v>227</v>
      </c>
      <c r="DA90" s="112" t="s">
        <v>228</v>
      </c>
      <c r="DB90" s="112" t="s">
        <v>229</v>
      </c>
      <c r="DC90" s="112"/>
      <c r="DD90" s="238"/>
      <c r="DE90" s="112"/>
      <c r="DF90" s="112"/>
      <c r="DG90" s="112"/>
      <c r="DH90" s="238"/>
      <c r="DI90" s="112"/>
      <c r="DJ90" s="112"/>
      <c r="DK90" s="112"/>
      <c r="DL90" s="278" t="str">
        <f t="shared" ca="1" si="94"/>
        <v/>
      </c>
      <c r="DM90" s="245" t="str">
        <f t="shared" ca="1" si="63"/>
        <v/>
      </c>
      <c r="DN90" s="245" t="str">
        <f t="shared" ca="1" si="63"/>
        <v/>
      </c>
      <c r="DO90" s="245" t="str">
        <f t="shared" ca="1" si="63"/>
        <v/>
      </c>
      <c r="DP90" s="245" t="str">
        <f t="shared" ca="1" si="63"/>
        <v/>
      </c>
      <c r="DQ90" s="245" t="str">
        <f t="shared" ca="1" si="63"/>
        <v/>
      </c>
      <c r="DR90" s="244"/>
      <c r="DS90" s="245" t="str">
        <f t="shared" si="54"/>
        <v/>
      </c>
      <c r="DT90" s="245" t="str">
        <f t="shared" si="54"/>
        <v/>
      </c>
      <c r="DU90" s="245" t="str">
        <f t="shared" si="54"/>
        <v/>
      </c>
      <c r="DV90" s="244" t="str">
        <f t="shared" ca="1" si="65"/>
        <v/>
      </c>
      <c r="DW90" s="244"/>
      <c r="DX90" s="244" t="str">
        <f t="shared" ca="1" si="95"/>
        <v/>
      </c>
      <c r="EA90" s="244" t="b">
        <f t="shared" ca="1" si="84"/>
        <v>0</v>
      </c>
      <c r="EB90" s="278" t="e">
        <f ca="1">VLOOKUP(DM90,Foglio1!$AB$31:$AN$261,13)-6+EA90</f>
        <v>#N/A</v>
      </c>
      <c r="EC90" s="244"/>
      <c r="ED90" s="244" t="e">
        <f t="shared" ca="1" si="62"/>
        <v>#N/A</v>
      </c>
      <c r="EE90" s="244" t="e">
        <f t="shared" ca="1" si="62"/>
        <v>#N/A</v>
      </c>
      <c r="EF90" s="244" t="e">
        <f t="shared" ca="1" si="62"/>
        <v>#N/A</v>
      </c>
      <c r="EG90" s="244" t="e">
        <f t="shared" ca="1" si="62"/>
        <v>#N/A</v>
      </c>
      <c r="EH90" s="244" t="e">
        <f t="shared" ca="1" si="62"/>
        <v>#N/A</v>
      </c>
      <c r="EI90" s="244" t="e">
        <f t="shared" ca="1" si="62"/>
        <v>#N/A</v>
      </c>
      <c r="EJ90" s="244" t="e">
        <f t="shared" ca="1" si="62"/>
        <v>#N/A</v>
      </c>
      <c r="EK90" s="244" t="e">
        <f t="shared" ca="1" si="62"/>
        <v>#N/A</v>
      </c>
      <c r="EL90" s="244" t="e">
        <f t="shared" ca="1" si="101"/>
        <v>#N/A</v>
      </c>
      <c r="EM90" s="244" t="e">
        <f t="shared" ca="1" si="101"/>
        <v>#N/A</v>
      </c>
      <c r="EN90" s="244" t="e">
        <f t="shared" ca="1" si="101"/>
        <v>#N/A</v>
      </c>
      <c r="EO90" s="244" t="e">
        <f t="shared" ca="1" si="101"/>
        <v>#N/A</v>
      </c>
      <c r="EP90" s="244" t="e">
        <f t="shared" ca="1" si="101"/>
        <v>#N/A</v>
      </c>
      <c r="EQ90" s="244" t="e">
        <f t="shared" ca="1" si="101"/>
        <v>#N/A</v>
      </c>
      <c r="ER90" s="244"/>
      <c r="EW90" s="244">
        <v>0</v>
      </c>
      <c r="EX90" s="278" t="e">
        <f ca="1">VLOOKUP(DM90,Foglio1!$AB$31:$AN$261,13)-6+EW90</f>
        <v>#N/A</v>
      </c>
      <c r="EY90" s="244"/>
      <c r="EZ90" s="244" t="e">
        <f t="shared" ca="1" si="85"/>
        <v>#N/A</v>
      </c>
      <c r="FA90" s="244" t="e">
        <f t="shared" ref="FA90:FL121" ca="1" si="103">INDIRECT(CONCATENATE(EY$16,EY$17,$EX90))</f>
        <v>#N/A</v>
      </c>
      <c r="FB90" s="244" t="e">
        <f t="shared" ca="1" si="103"/>
        <v>#N/A</v>
      </c>
      <c r="FC90" s="244" t="e">
        <f t="shared" ca="1" si="103"/>
        <v>#N/A</v>
      </c>
      <c r="FD90" s="244" t="e">
        <f t="shared" ca="1" si="103"/>
        <v>#N/A</v>
      </c>
      <c r="FE90" s="244" t="e">
        <f t="shared" ca="1" si="103"/>
        <v>#N/A</v>
      </c>
      <c r="FF90" s="244" t="e">
        <f t="shared" ca="1" si="103"/>
        <v>#N/A</v>
      </c>
      <c r="FG90" s="244" t="e">
        <f t="shared" ca="1" si="86"/>
        <v>#N/A</v>
      </c>
      <c r="FH90" s="244" t="e">
        <f t="shared" ca="1" si="86"/>
        <v>#N/A</v>
      </c>
      <c r="FI90" s="244" t="e">
        <f t="shared" ca="1" si="86"/>
        <v>#N/A</v>
      </c>
      <c r="FJ90" s="244" t="e">
        <f t="shared" ca="1" si="86"/>
        <v>#N/A</v>
      </c>
      <c r="FK90" s="244" t="e">
        <f t="shared" ca="1" si="86"/>
        <v>#N/A</v>
      </c>
      <c r="FL90" s="244" t="e">
        <f t="shared" ca="1" si="86"/>
        <v>#N/A</v>
      </c>
      <c r="FM90" s="244" t="e">
        <f t="shared" ca="1" si="66"/>
        <v>#N/A</v>
      </c>
      <c r="FN90" s="244"/>
    </row>
    <row r="91" spans="5:170" x14ac:dyDescent="0.25">
      <c r="E91" s="244"/>
      <c r="F91" s="244"/>
      <c r="G91" s="244"/>
      <c r="L91">
        <f t="shared" si="87"/>
        <v>91</v>
      </c>
      <c r="R91" s="112">
        <f t="shared" si="67"/>
        <v>0</v>
      </c>
      <c r="S91" s="238" t="e">
        <f t="shared" si="96"/>
        <v>#N/A</v>
      </c>
      <c r="T91" s="112" t="e">
        <f t="shared" ca="1" si="97"/>
        <v>#N/A</v>
      </c>
      <c r="U91" s="112" t="e">
        <f t="shared" ca="1" si="98"/>
        <v>#N/A</v>
      </c>
      <c r="V91" s="112" t="e">
        <f t="shared" ca="1" si="99"/>
        <v>#N/A</v>
      </c>
      <c r="W91" s="112" t="e">
        <f t="shared" ca="1" si="100"/>
        <v>#N/A</v>
      </c>
      <c r="X91" s="112">
        <f t="shared" si="68"/>
        <v>0</v>
      </c>
      <c r="Y91" s="112"/>
      <c r="Z91" s="112"/>
      <c r="AA91" s="112">
        <f t="shared" si="69"/>
        <v>100000</v>
      </c>
      <c r="AB91" s="112" t="e">
        <f t="shared" ca="1" si="70"/>
        <v>#N/A</v>
      </c>
      <c r="AC91" s="112" t="e">
        <f t="shared" ca="1" si="71"/>
        <v>#N/A</v>
      </c>
      <c r="AD91" s="112" t="e">
        <f t="shared" ca="1" si="72"/>
        <v>#N/A</v>
      </c>
      <c r="AE91" s="112" t="e">
        <f t="shared" ca="1" si="73"/>
        <v>#N/A</v>
      </c>
      <c r="AF91" s="112">
        <f t="shared" si="74"/>
        <v>100000</v>
      </c>
      <c r="AG91" s="238">
        <f>AG90</f>
        <v>34</v>
      </c>
      <c r="AH91" s="112" t="e">
        <f ca="1">AI90+1</f>
        <v>#N/A</v>
      </c>
      <c r="AI91" s="112" t="e">
        <f ca="1">IF(INDIRECT(CONCATENATE("AC",AG90))&lt;100000,INDIRECT(CONCATENATE("AC",AG90))-1,IF(INDIRECT(CONCATENATE("AD",AG90))&lt;100000,INDIRECT(CONCATENATE("AD",AG90))-1,IF(INDIRECT(CONCATENATE("AE",AG90))&lt;100000,INDIRECT(CONCATENATE("AE",G90)),INDIRECT(CONCATENATE("AF",AG90)))))</f>
        <v>#N/A</v>
      </c>
      <c r="AJ91" s="114"/>
      <c r="AK91" s="114"/>
      <c r="AL91" s="238" t="e">
        <f t="shared" ca="1" si="88"/>
        <v>#N/A</v>
      </c>
      <c r="AM91" s="112">
        <f t="shared" ca="1" si="58"/>
        <v>100000</v>
      </c>
      <c r="AN91" s="112">
        <f t="shared" ca="1" si="89"/>
        <v>100000</v>
      </c>
      <c r="AO91" s="114">
        <f t="shared" ca="1" si="75"/>
        <v>0</v>
      </c>
      <c r="AP91" s="114">
        <f t="shared" ca="1" si="76"/>
        <v>0</v>
      </c>
      <c r="AQ91" s="112"/>
      <c r="AR91" s="238">
        <f t="shared" si="90"/>
        <v>91</v>
      </c>
      <c r="AS91" s="112"/>
      <c r="AT91" s="112"/>
      <c r="AU91" s="283">
        <f t="shared" si="91"/>
        <v>72</v>
      </c>
      <c r="AV91" s="284">
        <f t="shared" ca="1" si="77"/>
        <v>100000</v>
      </c>
      <c r="AW91" s="284">
        <f t="shared" ca="1" si="52"/>
        <v>100000</v>
      </c>
      <c r="AX91" s="285">
        <f t="shared" ca="1" si="78"/>
        <v>0</v>
      </c>
      <c r="AY91" s="285">
        <f t="shared" ca="1" si="79"/>
        <v>18</v>
      </c>
      <c r="AZ91" s="282"/>
      <c r="BD91" s="114">
        <f t="shared" si="92"/>
        <v>1</v>
      </c>
      <c r="BE91" s="112">
        <f t="shared" si="80"/>
        <v>100000</v>
      </c>
      <c r="BH91" s="238">
        <f t="shared" si="93"/>
        <v>72</v>
      </c>
      <c r="BI91" s="245">
        <f t="shared" si="81"/>
        <v>100000</v>
      </c>
      <c r="BJ91" s="281">
        <f t="shared" ca="1" si="64"/>
        <v>16</v>
      </c>
      <c r="BK91" s="245" t="e">
        <f t="shared" ca="1" si="82"/>
        <v>#N/A</v>
      </c>
      <c r="BL91" s="245" t="e">
        <f t="shared" ca="1" si="83"/>
        <v>#N/A</v>
      </c>
      <c r="BN91" s="245" t="e">
        <f t="shared" ca="1" si="102"/>
        <v>#N/A</v>
      </c>
      <c r="CL91" s="112"/>
      <c r="CM91" s="112"/>
      <c r="CP91" s="112"/>
      <c r="CQ91" s="112"/>
      <c r="CR91" s="238"/>
      <c r="CS91" s="238"/>
      <c r="CT91" s="112"/>
      <c r="CU91" s="112"/>
      <c r="CV91" s="112"/>
      <c r="CW91" s="112" t="s">
        <v>224</v>
      </c>
      <c r="CX91" s="112" t="s">
        <v>225</v>
      </c>
      <c r="CY91" s="112" t="s">
        <v>226</v>
      </c>
      <c r="CZ91" s="112" t="s">
        <v>227</v>
      </c>
      <c r="DA91" s="112" t="s">
        <v>228</v>
      </c>
      <c r="DB91" s="112" t="s">
        <v>229</v>
      </c>
      <c r="DC91" s="112"/>
      <c r="DD91" s="238"/>
      <c r="DE91" s="112"/>
      <c r="DF91" s="112"/>
      <c r="DG91" s="112"/>
      <c r="DH91" s="238"/>
      <c r="DI91" s="112"/>
      <c r="DJ91" s="112"/>
      <c r="DK91" s="112"/>
      <c r="DL91" s="278" t="str">
        <f t="shared" ca="1" si="94"/>
        <v/>
      </c>
      <c r="DM91" s="245" t="str">
        <f t="shared" ca="1" si="63"/>
        <v/>
      </c>
      <c r="DN91" s="245" t="str">
        <f t="shared" ca="1" si="63"/>
        <v/>
      </c>
      <c r="DO91" s="245" t="str">
        <f t="shared" ca="1" si="63"/>
        <v/>
      </c>
      <c r="DP91" s="245" t="str">
        <f t="shared" ca="1" si="63"/>
        <v/>
      </c>
      <c r="DQ91" s="245" t="str">
        <f t="shared" ca="1" si="63"/>
        <v/>
      </c>
      <c r="DR91" s="244"/>
      <c r="DS91" s="245" t="str">
        <f t="shared" si="54"/>
        <v/>
      </c>
      <c r="DT91" s="245" t="str">
        <f t="shared" si="54"/>
        <v/>
      </c>
      <c r="DU91" s="245" t="str">
        <f t="shared" si="54"/>
        <v/>
      </c>
      <c r="DV91" s="244" t="str">
        <f t="shared" ca="1" si="65"/>
        <v/>
      </c>
      <c r="DW91" s="244"/>
      <c r="DX91" s="244" t="str">
        <f t="shared" ca="1" si="95"/>
        <v/>
      </c>
      <c r="EA91" s="244" t="b">
        <f t="shared" ca="1" si="84"/>
        <v>0</v>
      </c>
      <c r="EB91" s="278" t="e">
        <f ca="1">VLOOKUP(DM91,Foglio1!$AB$31:$AN$261,13)-6+EA91</f>
        <v>#N/A</v>
      </c>
      <c r="EC91" s="244"/>
      <c r="ED91" s="244" t="e">
        <f t="shared" ca="1" si="62"/>
        <v>#N/A</v>
      </c>
      <c r="EE91" s="244" t="e">
        <f t="shared" ca="1" si="62"/>
        <v>#N/A</v>
      </c>
      <c r="EF91" s="244" t="e">
        <f t="shared" ca="1" si="62"/>
        <v>#N/A</v>
      </c>
      <c r="EG91" s="244" t="e">
        <f t="shared" ca="1" si="62"/>
        <v>#N/A</v>
      </c>
      <c r="EH91" s="244" t="e">
        <f t="shared" ca="1" si="62"/>
        <v>#N/A</v>
      </c>
      <c r="EI91" s="244" t="e">
        <f t="shared" ca="1" si="62"/>
        <v>#N/A</v>
      </c>
      <c r="EJ91" s="244" t="e">
        <f t="shared" ca="1" si="62"/>
        <v>#N/A</v>
      </c>
      <c r="EK91" s="244" t="e">
        <f t="shared" ca="1" si="62"/>
        <v>#N/A</v>
      </c>
      <c r="EL91" s="244" t="e">
        <f t="shared" ca="1" si="101"/>
        <v>#N/A</v>
      </c>
      <c r="EM91" s="244" t="e">
        <f t="shared" ca="1" si="101"/>
        <v>#N/A</v>
      </c>
      <c r="EN91" s="244" t="e">
        <f t="shared" ca="1" si="101"/>
        <v>#N/A</v>
      </c>
      <c r="EO91" s="244" t="e">
        <f t="shared" ca="1" si="101"/>
        <v>#N/A</v>
      </c>
      <c r="EP91" s="244" t="e">
        <f t="shared" ca="1" si="101"/>
        <v>#N/A</v>
      </c>
      <c r="EQ91" s="244" t="e">
        <f t="shared" ca="1" si="101"/>
        <v>#N/A</v>
      </c>
      <c r="ER91" s="244"/>
      <c r="EW91" s="244">
        <v>0</v>
      </c>
      <c r="EX91" s="278" t="e">
        <f ca="1">VLOOKUP(DM91,Foglio1!$AB$31:$AN$261,13)-6+EW91</f>
        <v>#N/A</v>
      </c>
      <c r="EY91" s="244"/>
      <c r="EZ91" s="244" t="e">
        <f t="shared" ca="1" si="85"/>
        <v>#N/A</v>
      </c>
      <c r="FA91" s="244" t="e">
        <f t="shared" ca="1" si="103"/>
        <v>#N/A</v>
      </c>
      <c r="FB91" s="244" t="e">
        <f t="shared" ca="1" si="103"/>
        <v>#N/A</v>
      </c>
      <c r="FC91" s="244" t="e">
        <f t="shared" ca="1" si="103"/>
        <v>#N/A</v>
      </c>
      <c r="FD91" s="244" t="e">
        <f t="shared" ca="1" si="103"/>
        <v>#N/A</v>
      </c>
      <c r="FE91" s="244" t="e">
        <f t="shared" ca="1" si="103"/>
        <v>#N/A</v>
      </c>
      <c r="FF91" s="244" t="e">
        <f t="shared" ca="1" si="103"/>
        <v>#N/A</v>
      </c>
      <c r="FG91" s="244" t="e">
        <f t="shared" ca="1" si="86"/>
        <v>#N/A</v>
      </c>
      <c r="FH91" s="244" t="e">
        <f t="shared" ca="1" si="86"/>
        <v>#N/A</v>
      </c>
      <c r="FI91" s="244" t="e">
        <f t="shared" ca="1" si="86"/>
        <v>#N/A</v>
      </c>
      <c r="FJ91" s="244" t="e">
        <f t="shared" ca="1" si="86"/>
        <v>#N/A</v>
      </c>
      <c r="FK91" s="244" t="e">
        <f t="shared" ca="1" si="86"/>
        <v>#N/A</v>
      </c>
      <c r="FL91" s="244" t="e">
        <f t="shared" ca="1" si="86"/>
        <v>#N/A</v>
      </c>
      <c r="FM91" s="244" t="e">
        <f t="shared" ca="1" si="66"/>
        <v>#N/A</v>
      </c>
      <c r="FN91" s="244"/>
    </row>
    <row r="92" spans="5:170" x14ac:dyDescent="0.25">
      <c r="E92" s="244"/>
      <c r="F92" s="244"/>
      <c r="G92" s="244"/>
      <c r="L92">
        <f t="shared" si="87"/>
        <v>92</v>
      </c>
      <c r="R92" s="112">
        <f t="shared" si="67"/>
        <v>0</v>
      </c>
      <c r="S92" s="238" t="e">
        <f t="shared" si="96"/>
        <v>#N/A</v>
      </c>
      <c r="T92" s="112" t="e">
        <f t="shared" ca="1" si="97"/>
        <v>#N/A</v>
      </c>
      <c r="U92" s="112" t="e">
        <f t="shared" ca="1" si="98"/>
        <v>#N/A</v>
      </c>
      <c r="V92" s="112" t="e">
        <f t="shared" ca="1" si="99"/>
        <v>#N/A</v>
      </c>
      <c r="W92" s="112" t="e">
        <f t="shared" ca="1" si="100"/>
        <v>#N/A</v>
      </c>
      <c r="X92" s="112">
        <f t="shared" si="68"/>
        <v>0</v>
      </c>
      <c r="Y92" s="112"/>
      <c r="Z92" s="112"/>
      <c r="AA92" s="112">
        <f t="shared" si="69"/>
        <v>100000</v>
      </c>
      <c r="AB92" s="112" t="e">
        <f t="shared" ca="1" si="70"/>
        <v>#N/A</v>
      </c>
      <c r="AC92" s="112" t="e">
        <f t="shared" ca="1" si="71"/>
        <v>#N/A</v>
      </c>
      <c r="AD92" s="112" t="e">
        <f t="shared" ca="1" si="72"/>
        <v>#N/A</v>
      </c>
      <c r="AE92" s="112" t="e">
        <f t="shared" ca="1" si="73"/>
        <v>#N/A</v>
      </c>
      <c r="AF92" s="112">
        <f t="shared" si="74"/>
        <v>100000</v>
      </c>
      <c r="AG92" s="238">
        <f>AG91</f>
        <v>34</v>
      </c>
      <c r="AH92" s="112" t="e">
        <f ca="1">AI91+1</f>
        <v>#N/A</v>
      </c>
      <c r="AI92" s="112" t="e">
        <f ca="1">IF(INDIRECT(CONCATENATE("AD",AG90))&lt;100000,INDIRECT(CONCATENATE("AD",AG90))-1,IF(INDIRECT(CONCATENATE("AE",AG90))&lt;100000,INDIRECT(CONCATENATE("AE",G90)),INDIRECT(CONCATENATE("AF",AG90))))</f>
        <v>#N/A</v>
      </c>
      <c r="AJ92" s="114"/>
      <c r="AK92" s="114"/>
      <c r="AL92" s="238" t="e">
        <f t="shared" ca="1" si="88"/>
        <v>#N/A</v>
      </c>
      <c r="AM92" s="112">
        <f t="shared" ca="1" si="58"/>
        <v>100000</v>
      </c>
      <c r="AN92" s="112">
        <f t="shared" ca="1" si="89"/>
        <v>100000</v>
      </c>
      <c r="AO92" s="114">
        <f t="shared" ca="1" si="75"/>
        <v>0</v>
      </c>
      <c r="AP92" s="114">
        <f t="shared" ca="1" si="76"/>
        <v>0</v>
      </c>
      <c r="AQ92" s="112"/>
      <c r="AR92" s="238">
        <f t="shared" si="90"/>
        <v>92</v>
      </c>
      <c r="AS92" s="112"/>
      <c r="AT92" s="112"/>
      <c r="AU92" s="283">
        <f t="shared" si="91"/>
        <v>73</v>
      </c>
      <c r="AV92" s="284">
        <f t="shared" ca="1" si="77"/>
        <v>100000</v>
      </c>
      <c r="AW92" s="284">
        <f t="shared" ca="1" si="52"/>
        <v>100000</v>
      </c>
      <c r="AX92" s="285">
        <f t="shared" ca="1" si="78"/>
        <v>0</v>
      </c>
      <c r="AY92" s="285">
        <f t="shared" ca="1" si="79"/>
        <v>18</v>
      </c>
      <c r="AZ92" s="282"/>
      <c r="BD92" s="114">
        <f t="shared" si="92"/>
        <v>1</v>
      </c>
      <c r="BE92" s="112">
        <f t="shared" si="80"/>
        <v>100000</v>
      </c>
      <c r="BH92" s="238">
        <f t="shared" si="93"/>
        <v>73</v>
      </c>
      <c r="BI92" s="245">
        <f t="shared" si="81"/>
        <v>100000</v>
      </c>
      <c r="BJ92" s="281">
        <f t="shared" ca="1" si="64"/>
        <v>16</v>
      </c>
      <c r="BK92" s="245" t="e">
        <f t="shared" ca="1" si="82"/>
        <v>#N/A</v>
      </c>
      <c r="BL92" s="245" t="e">
        <f t="shared" ca="1" si="83"/>
        <v>#N/A</v>
      </c>
      <c r="BN92" s="245" t="e">
        <f t="shared" ca="1" si="102"/>
        <v>#N/A</v>
      </c>
      <c r="CL92" s="112"/>
      <c r="CM92" s="112"/>
      <c r="CP92" s="112"/>
      <c r="CQ92" s="112"/>
      <c r="CR92" s="238"/>
      <c r="CS92" s="238"/>
      <c r="CT92" s="112"/>
      <c r="CU92" s="112"/>
      <c r="CV92" s="112"/>
      <c r="CW92" s="112" t="s">
        <v>224</v>
      </c>
      <c r="CX92" s="112" t="s">
        <v>225</v>
      </c>
      <c r="CY92" s="112" t="s">
        <v>226</v>
      </c>
      <c r="CZ92" s="112" t="s">
        <v>227</v>
      </c>
      <c r="DA92" s="112" t="s">
        <v>228</v>
      </c>
      <c r="DB92" s="112" t="s">
        <v>229</v>
      </c>
      <c r="DC92" s="112"/>
      <c r="DD92" s="238"/>
      <c r="DE92" s="112"/>
      <c r="DF92" s="112"/>
      <c r="DG92" s="112"/>
      <c r="DH92" s="238"/>
      <c r="DI92" s="112"/>
      <c r="DJ92" s="112"/>
      <c r="DK92" s="112"/>
      <c r="DL92" s="278" t="str">
        <f t="shared" ca="1" si="94"/>
        <v/>
      </c>
      <c r="DM92" s="245" t="str">
        <f t="shared" ca="1" si="63"/>
        <v/>
      </c>
      <c r="DN92" s="245" t="str">
        <f t="shared" ca="1" si="63"/>
        <v/>
      </c>
      <c r="DO92" s="245" t="str">
        <f t="shared" ca="1" si="63"/>
        <v/>
      </c>
      <c r="DP92" s="245" t="str">
        <f t="shared" ca="1" si="63"/>
        <v/>
      </c>
      <c r="DQ92" s="245" t="str">
        <f t="shared" ca="1" si="63"/>
        <v/>
      </c>
      <c r="DR92" s="244"/>
      <c r="DS92" s="245" t="str">
        <f t="shared" si="54"/>
        <v/>
      </c>
      <c r="DT92" s="245" t="str">
        <f t="shared" si="54"/>
        <v/>
      </c>
      <c r="DU92" s="245" t="str">
        <f t="shared" si="54"/>
        <v/>
      </c>
      <c r="DV92" s="244" t="str">
        <f t="shared" ca="1" si="65"/>
        <v/>
      </c>
      <c r="DW92" s="244"/>
      <c r="DX92" s="244" t="str">
        <f t="shared" ca="1" si="95"/>
        <v/>
      </c>
      <c r="EA92" s="244" t="b">
        <f t="shared" ca="1" si="84"/>
        <v>0</v>
      </c>
      <c r="EB92" s="278" t="e">
        <f ca="1">VLOOKUP(DM92,Foglio1!$AB$31:$AN$261,13)-6+EA92</f>
        <v>#N/A</v>
      </c>
      <c r="EC92" s="244"/>
      <c r="ED92" s="244" t="e">
        <f t="shared" ca="1" si="62"/>
        <v>#N/A</v>
      </c>
      <c r="EE92" s="244" t="e">
        <f t="shared" ca="1" si="62"/>
        <v>#N/A</v>
      </c>
      <c r="EF92" s="244" t="e">
        <f t="shared" ca="1" si="62"/>
        <v>#N/A</v>
      </c>
      <c r="EG92" s="244" t="e">
        <f t="shared" ca="1" si="62"/>
        <v>#N/A</v>
      </c>
      <c r="EH92" s="244" t="e">
        <f t="shared" ca="1" si="62"/>
        <v>#N/A</v>
      </c>
      <c r="EI92" s="244" t="e">
        <f t="shared" ca="1" si="62"/>
        <v>#N/A</v>
      </c>
      <c r="EJ92" s="244" t="e">
        <f t="shared" ca="1" si="62"/>
        <v>#N/A</v>
      </c>
      <c r="EK92" s="244" t="e">
        <f t="shared" ca="1" si="62"/>
        <v>#N/A</v>
      </c>
      <c r="EL92" s="244" t="e">
        <f t="shared" ca="1" si="101"/>
        <v>#N/A</v>
      </c>
      <c r="EM92" s="244" t="e">
        <f t="shared" ca="1" si="101"/>
        <v>#N/A</v>
      </c>
      <c r="EN92" s="244" t="e">
        <f t="shared" ca="1" si="101"/>
        <v>#N/A</v>
      </c>
      <c r="EO92" s="244" t="e">
        <f t="shared" ca="1" si="101"/>
        <v>#N/A</v>
      </c>
      <c r="EP92" s="244" t="e">
        <f t="shared" ca="1" si="101"/>
        <v>#N/A</v>
      </c>
      <c r="EQ92" s="244" t="e">
        <f t="shared" ca="1" si="101"/>
        <v>#N/A</v>
      </c>
      <c r="ER92" s="244"/>
      <c r="EW92" s="244">
        <v>0</v>
      </c>
      <c r="EX92" s="278" t="e">
        <f ca="1">VLOOKUP(DM92,Foglio1!$AB$31:$AN$261,13)-6+EW92</f>
        <v>#N/A</v>
      </c>
      <c r="EY92" s="244"/>
      <c r="EZ92" s="244" t="e">
        <f t="shared" ca="1" si="85"/>
        <v>#N/A</v>
      </c>
      <c r="FA92" s="244" t="e">
        <f t="shared" ca="1" si="103"/>
        <v>#N/A</v>
      </c>
      <c r="FB92" s="244" t="e">
        <f t="shared" ca="1" si="103"/>
        <v>#N/A</v>
      </c>
      <c r="FC92" s="244" t="e">
        <f t="shared" ca="1" si="103"/>
        <v>#N/A</v>
      </c>
      <c r="FD92" s="244" t="e">
        <f t="shared" ca="1" si="103"/>
        <v>#N/A</v>
      </c>
      <c r="FE92" s="244" t="e">
        <f t="shared" ca="1" si="103"/>
        <v>#N/A</v>
      </c>
      <c r="FF92" s="244" t="e">
        <f t="shared" ca="1" si="103"/>
        <v>#N/A</v>
      </c>
      <c r="FG92" s="244" t="e">
        <f t="shared" ca="1" si="86"/>
        <v>#N/A</v>
      </c>
      <c r="FH92" s="244" t="e">
        <f t="shared" ca="1" si="86"/>
        <v>#N/A</v>
      </c>
      <c r="FI92" s="244" t="e">
        <f t="shared" ca="1" si="86"/>
        <v>#N/A</v>
      </c>
      <c r="FJ92" s="244" t="e">
        <f t="shared" ca="1" si="86"/>
        <v>#N/A</v>
      </c>
      <c r="FK92" s="244" t="e">
        <f t="shared" ca="1" si="86"/>
        <v>#N/A</v>
      </c>
      <c r="FL92" s="244" t="e">
        <f t="shared" ca="1" si="86"/>
        <v>#N/A</v>
      </c>
      <c r="FM92" s="244" t="e">
        <f t="shared" ca="1" si="66"/>
        <v>#N/A</v>
      </c>
      <c r="FN92" s="244"/>
    </row>
    <row r="93" spans="5:170" x14ac:dyDescent="0.25">
      <c r="E93" s="244"/>
      <c r="F93" s="244"/>
      <c r="G93" s="244"/>
      <c r="L93">
        <f t="shared" si="87"/>
        <v>93</v>
      </c>
      <c r="R93" s="112">
        <f t="shared" si="67"/>
        <v>0</v>
      </c>
      <c r="S93" s="238" t="e">
        <f t="shared" si="96"/>
        <v>#N/A</v>
      </c>
      <c r="T93" s="112" t="e">
        <f t="shared" ca="1" si="97"/>
        <v>#N/A</v>
      </c>
      <c r="U93" s="112" t="e">
        <f t="shared" ca="1" si="98"/>
        <v>#N/A</v>
      </c>
      <c r="V93" s="112" t="e">
        <f t="shared" ca="1" si="99"/>
        <v>#N/A</v>
      </c>
      <c r="W93" s="112" t="e">
        <f t="shared" ca="1" si="100"/>
        <v>#N/A</v>
      </c>
      <c r="X93" s="112">
        <f t="shared" si="68"/>
        <v>0</v>
      </c>
      <c r="Y93" s="112"/>
      <c r="Z93" s="112"/>
      <c r="AA93" s="112">
        <f t="shared" si="69"/>
        <v>100000</v>
      </c>
      <c r="AB93" s="112" t="e">
        <f t="shared" ca="1" si="70"/>
        <v>#N/A</v>
      </c>
      <c r="AC93" s="112" t="e">
        <f t="shared" ca="1" si="71"/>
        <v>#N/A</v>
      </c>
      <c r="AD93" s="112" t="e">
        <f t="shared" ca="1" si="72"/>
        <v>#N/A</v>
      </c>
      <c r="AE93" s="112" t="e">
        <f t="shared" ca="1" si="73"/>
        <v>#N/A</v>
      </c>
      <c r="AF93" s="112">
        <f t="shared" si="74"/>
        <v>100000</v>
      </c>
      <c r="AG93" s="238">
        <f>AG92</f>
        <v>34</v>
      </c>
      <c r="AH93" s="112" t="e">
        <f ca="1">AI92+1</f>
        <v>#N/A</v>
      </c>
      <c r="AI93" s="112" t="e">
        <f ca="1">IF(INDIRECT(CONCATENATE("AE",AG90))&lt;100000,INDIRECT(CONCATENATE("AE",G90)),INDIRECT(CONCATENATE("AF",AG90)))</f>
        <v>#N/A</v>
      </c>
      <c r="AJ93" s="114"/>
      <c r="AK93" s="114"/>
      <c r="AL93" s="238" t="e">
        <f t="shared" ca="1" si="88"/>
        <v>#N/A</v>
      </c>
      <c r="AM93" s="112">
        <f t="shared" ca="1" si="58"/>
        <v>100000</v>
      </c>
      <c r="AN93" s="112">
        <f t="shared" ca="1" si="89"/>
        <v>100000</v>
      </c>
      <c r="AO93" s="114">
        <f t="shared" ca="1" si="75"/>
        <v>0</v>
      </c>
      <c r="AP93" s="114">
        <f t="shared" ca="1" si="76"/>
        <v>0</v>
      </c>
      <c r="AQ93" s="112"/>
      <c r="AR93" s="238">
        <f t="shared" si="90"/>
        <v>93</v>
      </c>
      <c r="AS93" s="112"/>
      <c r="AT93" s="112"/>
      <c r="AU93" s="283">
        <f t="shared" si="91"/>
        <v>74</v>
      </c>
      <c r="AV93" s="284">
        <f t="shared" ca="1" si="77"/>
        <v>100000</v>
      </c>
      <c r="AW93" s="284">
        <f t="shared" ca="1" si="52"/>
        <v>100000</v>
      </c>
      <c r="AX93" s="285">
        <f t="shared" ca="1" si="78"/>
        <v>0</v>
      </c>
      <c r="AY93" s="285">
        <f t="shared" ca="1" si="79"/>
        <v>18</v>
      </c>
      <c r="AZ93" s="282"/>
      <c r="BD93" s="114">
        <f t="shared" si="92"/>
        <v>1</v>
      </c>
      <c r="BE93" s="112">
        <f t="shared" si="80"/>
        <v>100000</v>
      </c>
      <c r="BH93" s="238">
        <f t="shared" si="93"/>
        <v>74</v>
      </c>
      <c r="BI93" s="245">
        <f t="shared" si="81"/>
        <v>100000</v>
      </c>
      <c r="BJ93" s="281">
        <f t="shared" ca="1" si="64"/>
        <v>16</v>
      </c>
      <c r="BK93" s="245" t="e">
        <f t="shared" ca="1" si="82"/>
        <v>#N/A</v>
      </c>
      <c r="BL93" s="245" t="e">
        <f t="shared" ca="1" si="83"/>
        <v>#N/A</v>
      </c>
      <c r="BN93" s="245" t="e">
        <f t="shared" ca="1" si="102"/>
        <v>#N/A</v>
      </c>
      <c r="CL93" s="112"/>
      <c r="CM93" s="112"/>
      <c r="CP93" s="112"/>
      <c r="CQ93" s="112"/>
      <c r="CR93" s="238"/>
      <c r="CS93" s="238"/>
      <c r="CT93" s="112"/>
      <c r="CU93" s="112"/>
      <c r="CV93" s="112"/>
      <c r="CW93" s="112" t="s">
        <v>224</v>
      </c>
      <c r="CX93" s="112" t="s">
        <v>225</v>
      </c>
      <c r="CY93" s="112" t="s">
        <v>226</v>
      </c>
      <c r="CZ93" s="112" t="s">
        <v>227</v>
      </c>
      <c r="DA93" s="112" t="s">
        <v>228</v>
      </c>
      <c r="DB93" s="112" t="s">
        <v>229</v>
      </c>
      <c r="DC93" s="112"/>
      <c r="DD93" s="238"/>
      <c r="DE93" s="112"/>
      <c r="DF93" s="112"/>
      <c r="DG93" s="112"/>
      <c r="DH93" s="238"/>
      <c r="DI93" s="112"/>
      <c r="DJ93" s="112"/>
      <c r="DK93" s="112"/>
      <c r="DL93" s="278" t="str">
        <f t="shared" ca="1" si="94"/>
        <v/>
      </c>
      <c r="DM93" s="245" t="str">
        <f t="shared" ca="1" si="63"/>
        <v/>
      </c>
      <c r="DN93" s="245" t="str">
        <f t="shared" ca="1" si="63"/>
        <v/>
      </c>
      <c r="DO93" s="245" t="str">
        <f t="shared" ca="1" si="63"/>
        <v/>
      </c>
      <c r="DP93" s="245" t="str">
        <f t="shared" ca="1" si="63"/>
        <v/>
      </c>
      <c r="DQ93" s="245" t="str">
        <f t="shared" ca="1" si="63"/>
        <v/>
      </c>
      <c r="DR93" s="244"/>
      <c r="DS93" s="245" t="str">
        <f t="shared" si="54"/>
        <v/>
      </c>
      <c r="DT93" s="245" t="str">
        <f t="shared" si="54"/>
        <v/>
      </c>
      <c r="DU93" s="245" t="str">
        <f t="shared" si="54"/>
        <v/>
      </c>
      <c r="DV93" s="244" t="str">
        <f t="shared" ca="1" si="65"/>
        <v/>
      </c>
      <c r="DW93" s="244"/>
      <c r="DX93" s="244" t="str">
        <f t="shared" ca="1" si="95"/>
        <v/>
      </c>
      <c r="EA93" s="244" t="b">
        <f t="shared" ca="1" si="84"/>
        <v>0</v>
      </c>
      <c r="EB93" s="278" t="e">
        <f ca="1">VLOOKUP(DM93,Foglio1!$AB$31:$AN$261,13)-6+EA93</f>
        <v>#N/A</v>
      </c>
      <c r="EC93" s="244"/>
      <c r="ED93" s="244" t="e">
        <f t="shared" ca="1" si="62"/>
        <v>#N/A</v>
      </c>
      <c r="EE93" s="244" t="e">
        <f t="shared" ca="1" si="62"/>
        <v>#N/A</v>
      </c>
      <c r="EF93" s="244" t="e">
        <f t="shared" ca="1" si="62"/>
        <v>#N/A</v>
      </c>
      <c r="EG93" s="244" t="e">
        <f t="shared" ca="1" si="62"/>
        <v>#N/A</v>
      </c>
      <c r="EH93" s="244" t="e">
        <f t="shared" ca="1" si="62"/>
        <v>#N/A</v>
      </c>
      <c r="EI93" s="244" t="e">
        <f t="shared" ca="1" si="62"/>
        <v>#N/A</v>
      </c>
      <c r="EJ93" s="244" t="e">
        <f t="shared" ca="1" si="62"/>
        <v>#N/A</v>
      </c>
      <c r="EK93" s="244" t="e">
        <f t="shared" ca="1" si="62"/>
        <v>#N/A</v>
      </c>
      <c r="EL93" s="244" t="e">
        <f t="shared" ca="1" si="101"/>
        <v>#N/A</v>
      </c>
      <c r="EM93" s="244" t="e">
        <f t="shared" ca="1" si="101"/>
        <v>#N/A</v>
      </c>
      <c r="EN93" s="244" t="e">
        <f t="shared" ca="1" si="101"/>
        <v>#N/A</v>
      </c>
      <c r="EO93" s="244" t="e">
        <f t="shared" ca="1" si="101"/>
        <v>#N/A</v>
      </c>
      <c r="EP93" s="244" t="e">
        <f t="shared" ca="1" si="101"/>
        <v>#N/A</v>
      </c>
      <c r="EQ93" s="244" t="e">
        <f t="shared" ca="1" si="101"/>
        <v>#N/A</v>
      </c>
      <c r="ER93" s="244"/>
      <c r="EW93" s="244">
        <v>0</v>
      </c>
      <c r="EX93" s="278" t="e">
        <f ca="1">VLOOKUP(DM93,Foglio1!$AB$31:$AN$261,13)-6+EW93</f>
        <v>#N/A</v>
      </c>
      <c r="EY93" s="244"/>
      <c r="EZ93" s="244" t="e">
        <f t="shared" ca="1" si="85"/>
        <v>#N/A</v>
      </c>
      <c r="FA93" s="244" t="e">
        <f t="shared" ca="1" si="103"/>
        <v>#N/A</v>
      </c>
      <c r="FB93" s="244" t="e">
        <f t="shared" ca="1" si="103"/>
        <v>#N/A</v>
      </c>
      <c r="FC93" s="244" t="e">
        <f t="shared" ca="1" si="103"/>
        <v>#N/A</v>
      </c>
      <c r="FD93" s="244" t="e">
        <f t="shared" ca="1" si="103"/>
        <v>#N/A</v>
      </c>
      <c r="FE93" s="244" t="e">
        <f t="shared" ca="1" si="103"/>
        <v>#N/A</v>
      </c>
      <c r="FF93" s="244" t="e">
        <f t="shared" ca="1" si="103"/>
        <v>#N/A</v>
      </c>
      <c r="FG93" s="244" t="e">
        <f t="shared" ca="1" si="86"/>
        <v>#N/A</v>
      </c>
      <c r="FH93" s="244" t="e">
        <f t="shared" ca="1" si="86"/>
        <v>#N/A</v>
      </c>
      <c r="FI93" s="244" t="e">
        <f t="shared" ca="1" si="86"/>
        <v>#N/A</v>
      </c>
      <c r="FJ93" s="244" t="e">
        <f t="shared" ca="1" si="86"/>
        <v>#N/A</v>
      </c>
      <c r="FK93" s="244" t="e">
        <f t="shared" ca="1" si="86"/>
        <v>#N/A</v>
      </c>
      <c r="FL93" s="244" t="e">
        <f t="shared" ca="1" si="86"/>
        <v>#N/A</v>
      </c>
      <c r="FM93" s="244" t="e">
        <f t="shared" ca="1" si="66"/>
        <v>#N/A</v>
      </c>
      <c r="FN93" s="244"/>
    </row>
    <row r="94" spans="5:170" x14ac:dyDescent="0.25">
      <c r="E94" s="244"/>
      <c r="F94" s="244"/>
      <c r="G94" s="244"/>
      <c r="L94">
        <f t="shared" si="87"/>
        <v>94</v>
      </c>
      <c r="R94" s="112">
        <f t="shared" si="67"/>
        <v>0</v>
      </c>
      <c r="S94" s="238" t="e">
        <f t="shared" si="96"/>
        <v>#N/A</v>
      </c>
      <c r="T94" s="112" t="e">
        <f t="shared" ca="1" si="97"/>
        <v>#N/A</v>
      </c>
      <c r="U94" s="112" t="e">
        <f t="shared" ca="1" si="98"/>
        <v>#N/A</v>
      </c>
      <c r="V94" s="112" t="e">
        <f t="shared" ca="1" si="99"/>
        <v>#N/A</v>
      </c>
      <c r="W94" s="112" t="e">
        <f t="shared" ca="1" si="100"/>
        <v>#N/A</v>
      </c>
      <c r="X94" s="112">
        <f t="shared" si="68"/>
        <v>0</v>
      </c>
      <c r="Y94" s="112"/>
      <c r="Z94" s="112"/>
      <c r="AA94" s="112">
        <f t="shared" si="69"/>
        <v>100000</v>
      </c>
      <c r="AB94" s="112" t="e">
        <f t="shared" ca="1" si="70"/>
        <v>#N/A</v>
      </c>
      <c r="AC94" s="112" t="e">
        <f t="shared" ca="1" si="71"/>
        <v>#N/A</v>
      </c>
      <c r="AD94" s="112" t="e">
        <f t="shared" ca="1" si="72"/>
        <v>#N/A</v>
      </c>
      <c r="AE94" s="112" t="e">
        <f t="shared" ca="1" si="73"/>
        <v>#N/A</v>
      </c>
      <c r="AF94" s="112">
        <f t="shared" si="74"/>
        <v>100000</v>
      </c>
      <c r="AG94" s="238">
        <f>AG93</f>
        <v>34</v>
      </c>
      <c r="AH94" s="112" t="e">
        <f ca="1">AI93+1</f>
        <v>#N/A</v>
      </c>
      <c r="AI94" s="112">
        <f ca="1">INDIRECT(CONCATENATE("AF",AG90))</f>
        <v>100000</v>
      </c>
      <c r="AJ94" s="114"/>
      <c r="AK94" s="114"/>
      <c r="AL94" s="238" t="e">
        <f t="shared" ca="1" si="88"/>
        <v>#N/A</v>
      </c>
      <c r="AM94" s="112">
        <f t="shared" ca="1" si="58"/>
        <v>100000</v>
      </c>
      <c r="AN94" s="112">
        <f t="shared" ca="1" si="89"/>
        <v>100000</v>
      </c>
      <c r="AO94" s="114">
        <f t="shared" ca="1" si="75"/>
        <v>0</v>
      </c>
      <c r="AP94" s="114">
        <f t="shared" ca="1" si="76"/>
        <v>0</v>
      </c>
      <c r="AQ94" s="112"/>
      <c r="AR94" s="238">
        <f t="shared" si="90"/>
        <v>94</v>
      </c>
      <c r="AS94" s="112"/>
      <c r="AT94" s="112"/>
      <c r="AU94" s="283">
        <f t="shared" si="91"/>
        <v>75</v>
      </c>
      <c r="AV94" s="284">
        <f t="shared" ca="1" si="77"/>
        <v>100000</v>
      </c>
      <c r="AW94" s="284">
        <f t="shared" ref="AW94:AW137" ca="1" si="104" xml:space="preserve">           IF( VLOOKUP(AV94,$AM$20:$AP$564,2,FALSE)=AW93,VLOOKUP(AV94,$AM$20:$AP$564,2),VLOOKUP(AV94,$AM$20:$AP$564,2,FALSE))</f>
        <v>100000</v>
      </c>
      <c r="AX94" s="285">
        <f t="shared" ca="1" si="78"/>
        <v>0</v>
      </c>
      <c r="AY94" s="285">
        <f t="shared" ca="1" si="79"/>
        <v>18</v>
      </c>
      <c r="AZ94" s="282"/>
      <c r="BD94" s="114">
        <f t="shared" si="92"/>
        <v>1</v>
      </c>
      <c r="BE94" s="112">
        <f t="shared" si="80"/>
        <v>100000</v>
      </c>
      <c r="BH94" s="238">
        <f t="shared" si="93"/>
        <v>75</v>
      </c>
      <c r="BI94" s="245">
        <f t="shared" si="81"/>
        <v>100000</v>
      </c>
      <c r="BJ94" s="281">
        <f t="shared" ca="1" si="64"/>
        <v>16</v>
      </c>
      <c r="BK94" s="245" t="e">
        <f t="shared" ca="1" si="82"/>
        <v>#N/A</v>
      </c>
      <c r="BL94" s="245" t="e">
        <f t="shared" ca="1" si="83"/>
        <v>#N/A</v>
      </c>
      <c r="BN94" s="245" t="e">
        <f t="shared" ca="1" si="102"/>
        <v>#N/A</v>
      </c>
      <c r="CL94" s="112"/>
      <c r="CM94" s="112"/>
      <c r="CP94" s="112"/>
      <c r="CQ94" s="112"/>
      <c r="CR94" s="238"/>
      <c r="CS94" s="238"/>
      <c r="CT94" s="112"/>
      <c r="CU94" s="112"/>
      <c r="CV94" s="112"/>
      <c r="CW94" s="112" t="s">
        <v>224</v>
      </c>
      <c r="CX94" s="112" t="s">
        <v>225</v>
      </c>
      <c r="CY94" s="112" t="s">
        <v>226</v>
      </c>
      <c r="CZ94" s="112" t="s">
        <v>227</v>
      </c>
      <c r="DA94" s="112" t="s">
        <v>228</v>
      </c>
      <c r="DB94" s="112" t="s">
        <v>229</v>
      </c>
      <c r="DC94" s="112"/>
      <c r="DD94" s="238"/>
      <c r="DE94" s="112"/>
      <c r="DF94" s="112"/>
      <c r="DG94" s="112"/>
      <c r="DH94" s="238"/>
      <c r="DI94" s="112"/>
      <c r="DJ94" s="112"/>
      <c r="DK94" s="112"/>
      <c r="DL94" s="278" t="str">
        <f t="shared" ca="1" si="94"/>
        <v/>
      </c>
      <c r="DM94" s="245" t="str">
        <f t="shared" ca="1" si="63"/>
        <v/>
      </c>
      <c r="DN94" s="245" t="str">
        <f t="shared" ca="1" si="63"/>
        <v/>
      </c>
      <c r="DO94" s="245" t="str">
        <f t="shared" ca="1" si="63"/>
        <v/>
      </c>
      <c r="DP94" s="245" t="str">
        <f t="shared" ca="1" si="63"/>
        <v/>
      </c>
      <c r="DQ94" s="245" t="str">
        <f t="shared" ca="1" si="63"/>
        <v/>
      </c>
      <c r="DR94" s="244"/>
      <c r="DS94" s="245" t="str">
        <f t="shared" si="54"/>
        <v/>
      </c>
      <c r="DT94" s="245" t="str">
        <f t="shared" si="54"/>
        <v/>
      </c>
      <c r="DU94" s="245" t="str">
        <f t="shared" si="54"/>
        <v/>
      </c>
      <c r="DV94" s="244" t="str">
        <f t="shared" ca="1" si="65"/>
        <v/>
      </c>
      <c r="DW94" s="244"/>
      <c r="DX94" s="244" t="str">
        <f t="shared" ca="1" si="95"/>
        <v/>
      </c>
      <c r="EA94" s="244" t="b">
        <f t="shared" ca="1" si="84"/>
        <v>0</v>
      </c>
      <c r="EB94" s="278" t="e">
        <f ca="1">VLOOKUP(DM94,Foglio1!$AB$31:$AN$261,13)-6+EA94</f>
        <v>#N/A</v>
      </c>
      <c r="EC94" s="244"/>
      <c r="ED94" s="244" t="e">
        <f t="shared" ca="1" si="62"/>
        <v>#N/A</v>
      </c>
      <c r="EE94" s="244" t="e">
        <f t="shared" ca="1" si="62"/>
        <v>#N/A</v>
      </c>
      <c r="EF94" s="244" t="e">
        <f t="shared" ca="1" si="62"/>
        <v>#N/A</v>
      </c>
      <c r="EG94" s="244" t="e">
        <f t="shared" ca="1" si="62"/>
        <v>#N/A</v>
      </c>
      <c r="EH94" s="244" t="e">
        <f t="shared" ca="1" si="62"/>
        <v>#N/A</v>
      </c>
      <c r="EI94" s="244" t="e">
        <f t="shared" ca="1" si="62"/>
        <v>#N/A</v>
      </c>
      <c r="EJ94" s="244" t="e">
        <f t="shared" ca="1" si="62"/>
        <v>#N/A</v>
      </c>
      <c r="EK94" s="244" t="e">
        <f t="shared" ca="1" si="62"/>
        <v>#N/A</v>
      </c>
      <c r="EL94" s="244" t="e">
        <f t="shared" ca="1" si="101"/>
        <v>#N/A</v>
      </c>
      <c r="EM94" s="244" t="e">
        <f t="shared" ca="1" si="101"/>
        <v>#N/A</v>
      </c>
      <c r="EN94" s="244" t="e">
        <f t="shared" ca="1" si="101"/>
        <v>#N/A</v>
      </c>
      <c r="EO94" s="244" t="e">
        <f t="shared" ca="1" si="101"/>
        <v>#N/A</v>
      </c>
      <c r="EP94" s="244" t="e">
        <f t="shared" ca="1" si="101"/>
        <v>#N/A</v>
      </c>
      <c r="EQ94" s="244" t="e">
        <f t="shared" ca="1" si="101"/>
        <v>#N/A</v>
      </c>
      <c r="ER94" s="244"/>
      <c r="EW94" s="244">
        <v>0</v>
      </c>
      <c r="EX94" s="278" t="e">
        <f ca="1">VLOOKUP(DM94,Foglio1!$AB$31:$AN$261,13)-6+EW94</f>
        <v>#N/A</v>
      </c>
      <c r="EY94" s="244"/>
      <c r="EZ94" s="244" t="e">
        <f t="shared" ca="1" si="85"/>
        <v>#N/A</v>
      </c>
      <c r="FA94" s="244" t="e">
        <f t="shared" ca="1" si="103"/>
        <v>#N/A</v>
      </c>
      <c r="FB94" s="244" t="e">
        <f t="shared" ca="1" si="103"/>
        <v>#N/A</v>
      </c>
      <c r="FC94" s="244" t="e">
        <f t="shared" ca="1" si="103"/>
        <v>#N/A</v>
      </c>
      <c r="FD94" s="244" t="e">
        <f t="shared" ca="1" si="103"/>
        <v>#N/A</v>
      </c>
      <c r="FE94" s="244" t="e">
        <f t="shared" ca="1" si="103"/>
        <v>#N/A</v>
      </c>
      <c r="FF94" s="244" t="e">
        <f t="shared" ca="1" si="103"/>
        <v>#N/A</v>
      </c>
      <c r="FG94" s="244" t="e">
        <f t="shared" ca="1" si="86"/>
        <v>#N/A</v>
      </c>
      <c r="FH94" s="244" t="e">
        <f t="shared" ca="1" si="86"/>
        <v>#N/A</v>
      </c>
      <c r="FI94" s="244" t="e">
        <f t="shared" ca="1" si="86"/>
        <v>#N/A</v>
      </c>
      <c r="FJ94" s="244" t="e">
        <f t="shared" ca="1" si="86"/>
        <v>#N/A</v>
      </c>
      <c r="FK94" s="244" t="e">
        <f t="shared" ca="1" si="86"/>
        <v>#N/A</v>
      </c>
      <c r="FL94" s="244" t="e">
        <f t="shared" ca="1" si="86"/>
        <v>#N/A</v>
      </c>
      <c r="FM94" s="244" t="e">
        <f t="shared" ca="1" si="66"/>
        <v>#N/A</v>
      </c>
      <c r="FN94" s="244"/>
    </row>
    <row r="95" spans="5:170" x14ac:dyDescent="0.25">
      <c r="E95" s="244"/>
      <c r="F95" s="244"/>
      <c r="G95" s="244"/>
      <c r="L95">
        <f t="shared" si="87"/>
        <v>95</v>
      </c>
      <c r="R95" s="112">
        <f t="shared" si="67"/>
        <v>0</v>
      </c>
      <c r="S95" s="238" t="e">
        <f t="shared" si="96"/>
        <v>#N/A</v>
      </c>
      <c r="T95" s="112" t="e">
        <f t="shared" ca="1" si="97"/>
        <v>#N/A</v>
      </c>
      <c r="U95" s="112" t="e">
        <f t="shared" ca="1" si="98"/>
        <v>#N/A</v>
      </c>
      <c r="V95" s="112" t="e">
        <f t="shared" ca="1" si="99"/>
        <v>#N/A</v>
      </c>
      <c r="W95" s="112" t="e">
        <f t="shared" ca="1" si="100"/>
        <v>#N/A</v>
      </c>
      <c r="X95" s="112">
        <f t="shared" si="68"/>
        <v>0</v>
      </c>
      <c r="Y95" s="112"/>
      <c r="Z95" s="112"/>
      <c r="AA95" s="112">
        <f t="shared" si="69"/>
        <v>100000</v>
      </c>
      <c r="AB95" s="112" t="e">
        <f t="shared" ca="1" si="70"/>
        <v>#N/A</v>
      </c>
      <c r="AC95" s="112" t="e">
        <f t="shared" ca="1" si="71"/>
        <v>#N/A</v>
      </c>
      <c r="AD95" s="112" t="e">
        <f t="shared" ca="1" si="72"/>
        <v>#N/A</v>
      </c>
      <c r="AE95" s="112" t="e">
        <f t="shared" ca="1" si="73"/>
        <v>#N/A</v>
      </c>
      <c r="AF95" s="112">
        <f t="shared" si="74"/>
        <v>100000</v>
      </c>
      <c r="AG95" s="238">
        <f>AG94+1</f>
        <v>35</v>
      </c>
      <c r="AH95" s="112">
        <f ca="1">INDIRECT(CONCATENATE("AA",AG95))</f>
        <v>100000</v>
      </c>
      <c r="AI95" s="112" t="e">
        <f ca="1">IF(            INDIRECT(CONCATENATE( "AB",AG95))&lt;100000,       INDIRECT(CONCATENATE("AB",AG95))  -1,IF(   INDIRECT(CONCATENATE("AC",AG95))&lt;100000,   INDIRECT(CONCATENATE("AC",AG95))-1,IF(   INDIRECT(CONCATENATE("AD", AG95))&lt;100000, INDIRECT(CONCATENATE("AD",AG95))-1,IF(   INDIRECT(CONCATENATE("AE",AG95))&lt;100000,  INDIRECT(CONCATENATE("AE",G95)),INDIRECT(CONCATENATE("AF",AG95))                ))))</f>
        <v>#N/A</v>
      </c>
      <c r="AJ95" s="114"/>
      <c r="AK95" s="114"/>
      <c r="AL95" s="238" t="e">
        <f t="shared" ca="1" si="88"/>
        <v>#N/A</v>
      </c>
      <c r="AM95" s="112">
        <f t="shared" ca="1" si="58"/>
        <v>100000</v>
      </c>
      <c r="AN95" s="112">
        <f t="shared" ca="1" si="89"/>
        <v>100000</v>
      </c>
      <c r="AO95" s="114">
        <f t="shared" ca="1" si="75"/>
        <v>0</v>
      </c>
      <c r="AP95" s="114">
        <f t="shared" ca="1" si="76"/>
        <v>0</v>
      </c>
      <c r="AQ95" s="112"/>
      <c r="AR95" s="238">
        <f t="shared" si="90"/>
        <v>95</v>
      </c>
      <c r="AS95" s="112"/>
      <c r="AT95" s="112"/>
      <c r="AU95" s="283">
        <f t="shared" si="91"/>
        <v>76</v>
      </c>
      <c r="AV95" s="284">
        <f t="shared" ca="1" si="77"/>
        <v>100000</v>
      </c>
      <c r="AW95" s="284">
        <f t="shared" ca="1" si="104"/>
        <v>100000</v>
      </c>
      <c r="AX95" s="285">
        <f t="shared" ca="1" si="78"/>
        <v>0</v>
      </c>
      <c r="AY95" s="285">
        <f t="shared" ca="1" si="79"/>
        <v>18</v>
      </c>
      <c r="AZ95" s="282"/>
      <c r="BD95" s="114">
        <f t="shared" si="92"/>
        <v>1</v>
      </c>
      <c r="BE95" s="112">
        <f t="shared" si="80"/>
        <v>100000</v>
      </c>
      <c r="BH95" s="238">
        <f t="shared" si="93"/>
        <v>76</v>
      </c>
      <c r="BI95" s="245">
        <f t="shared" si="81"/>
        <v>100000</v>
      </c>
      <c r="BJ95" s="281">
        <f t="shared" ca="1" si="64"/>
        <v>16</v>
      </c>
      <c r="BK95" s="245" t="e">
        <f t="shared" ca="1" si="82"/>
        <v>#N/A</v>
      </c>
      <c r="BL95" s="245" t="e">
        <f t="shared" ca="1" si="83"/>
        <v>#N/A</v>
      </c>
      <c r="BN95" s="245" t="e">
        <f t="shared" ca="1" si="102"/>
        <v>#N/A</v>
      </c>
      <c r="CL95" s="112"/>
      <c r="CM95" s="112"/>
      <c r="CP95" s="112"/>
      <c r="CQ95" s="112"/>
      <c r="CR95" s="238"/>
      <c r="CS95" s="238"/>
      <c r="CT95" s="112"/>
      <c r="CU95" s="112"/>
      <c r="CV95" s="112"/>
      <c r="CW95" s="112" t="s">
        <v>224</v>
      </c>
      <c r="CX95" s="112" t="s">
        <v>225</v>
      </c>
      <c r="CY95" s="112" t="s">
        <v>226</v>
      </c>
      <c r="CZ95" s="112" t="s">
        <v>227</v>
      </c>
      <c r="DA95" s="112" t="s">
        <v>228</v>
      </c>
      <c r="DB95" s="112" t="s">
        <v>229</v>
      </c>
      <c r="DC95" s="112"/>
      <c r="DD95" s="238"/>
      <c r="DE95" s="112"/>
      <c r="DF95" s="112"/>
      <c r="DG95" s="112"/>
      <c r="DH95" s="238"/>
      <c r="DI95" s="112"/>
      <c r="DJ95" s="112"/>
      <c r="DK95" s="112"/>
      <c r="DL95" s="278" t="str">
        <f t="shared" ca="1" si="94"/>
        <v/>
      </c>
      <c r="DM95" s="245" t="str">
        <f t="shared" ca="1" si="63"/>
        <v/>
      </c>
      <c r="DN95" s="245" t="str">
        <f t="shared" ca="1" si="63"/>
        <v/>
      </c>
      <c r="DO95" s="245" t="str">
        <f t="shared" ca="1" si="63"/>
        <v/>
      </c>
      <c r="DP95" s="245" t="str">
        <f t="shared" ca="1" si="63"/>
        <v/>
      </c>
      <c r="DQ95" s="245" t="str">
        <f t="shared" ca="1" si="63"/>
        <v/>
      </c>
      <c r="DR95" s="244"/>
      <c r="DS95" s="245" t="str">
        <f t="shared" si="54"/>
        <v/>
      </c>
      <c r="DT95" s="245" t="str">
        <f t="shared" si="54"/>
        <v/>
      </c>
      <c r="DU95" s="245" t="str">
        <f t="shared" si="54"/>
        <v/>
      </c>
      <c r="DV95" s="244" t="str">
        <f t="shared" ca="1" si="65"/>
        <v/>
      </c>
      <c r="DW95" s="244"/>
      <c r="DX95" s="244" t="str">
        <f t="shared" ca="1" si="95"/>
        <v/>
      </c>
      <c r="EA95" s="244" t="b">
        <f t="shared" ca="1" si="84"/>
        <v>0</v>
      </c>
      <c r="EB95" s="278" t="e">
        <f ca="1">VLOOKUP(DM95,Foglio1!$AB$31:$AN$261,13)-6+EA95</f>
        <v>#N/A</v>
      </c>
      <c r="EC95" s="244"/>
      <c r="ED95" s="244" t="e">
        <f t="shared" ca="1" si="62"/>
        <v>#N/A</v>
      </c>
      <c r="EE95" s="244" t="e">
        <f t="shared" ca="1" si="62"/>
        <v>#N/A</v>
      </c>
      <c r="EF95" s="244" t="e">
        <f t="shared" ca="1" si="62"/>
        <v>#N/A</v>
      </c>
      <c r="EG95" s="244" t="e">
        <f t="shared" ca="1" si="62"/>
        <v>#N/A</v>
      </c>
      <c r="EH95" s="244" t="e">
        <f t="shared" ca="1" si="62"/>
        <v>#N/A</v>
      </c>
      <c r="EI95" s="244" t="e">
        <f t="shared" ca="1" si="62"/>
        <v>#N/A</v>
      </c>
      <c r="EJ95" s="244" t="e">
        <f t="shared" ca="1" si="62"/>
        <v>#N/A</v>
      </c>
      <c r="EK95" s="244" t="e">
        <f t="shared" ca="1" si="62"/>
        <v>#N/A</v>
      </c>
      <c r="EL95" s="244" t="e">
        <f t="shared" ca="1" si="101"/>
        <v>#N/A</v>
      </c>
      <c r="EM95" s="244" t="e">
        <f t="shared" ca="1" si="101"/>
        <v>#N/A</v>
      </c>
      <c r="EN95" s="244" t="e">
        <f t="shared" ca="1" si="101"/>
        <v>#N/A</v>
      </c>
      <c r="EO95" s="244" t="e">
        <f t="shared" ca="1" si="101"/>
        <v>#N/A</v>
      </c>
      <c r="EP95" s="244" t="e">
        <f t="shared" ca="1" si="101"/>
        <v>#N/A</v>
      </c>
      <c r="EQ95" s="244" t="e">
        <f t="shared" ca="1" si="101"/>
        <v>#N/A</v>
      </c>
      <c r="ER95" s="244"/>
      <c r="EW95" s="244">
        <v>0</v>
      </c>
      <c r="EX95" s="278" t="e">
        <f ca="1">VLOOKUP(DM95,Foglio1!$AB$31:$AN$261,13)-6+EW95</f>
        <v>#N/A</v>
      </c>
      <c r="EY95" s="244"/>
      <c r="EZ95" s="244" t="e">
        <f t="shared" ca="1" si="85"/>
        <v>#N/A</v>
      </c>
      <c r="FA95" s="244" t="e">
        <f t="shared" ca="1" si="103"/>
        <v>#N/A</v>
      </c>
      <c r="FB95" s="244" t="e">
        <f t="shared" ca="1" si="103"/>
        <v>#N/A</v>
      </c>
      <c r="FC95" s="244" t="e">
        <f t="shared" ca="1" si="103"/>
        <v>#N/A</v>
      </c>
      <c r="FD95" s="244" t="e">
        <f t="shared" ca="1" si="103"/>
        <v>#N/A</v>
      </c>
      <c r="FE95" s="244" t="e">
        <f t="shared" ca="1" si="103"/>
        <v>#N/A</v>
      </c>
      <c r="FF95" s="244" t="e">
        <f t="shared" ca="1" si="103"/>
        <v>#N/A</v>
      </c>
      <c r="FG95" s="244" t="e">
        <f t="shared" ca="1" si="86"/>
        <v>#N/A</v>
      </c>
      <c r="FH95" s="244" t="e">
        <f t="shared" ca="1" si="86"/>
        <v>#N/A</v>
      </c>
      <c r="FI95" s="244" t="e">
        <f t="shared" ca="1" si="86"/>
        <v>#N/A</v>
      </c>
      <c r="FJ95" s="244" t="e">
        <f t="shared" ca="1" si="86"/>
        <v>#N/A</v>
      </c>
      <c r="FK95" s="244" t="e">
        <f t="shared" ca="1" si="86"/>
        <v>#N/A</v>
      </c>
      <c r="FL95" s="244" t="e">
        <f t="shared" ca="1" si="86"/>
        <v>#N/A</v>
      </c>
      <c r="FM95" s="244" t="e">
        <f t="shared" ca="1" si="66"/>
        <v>#N/A</v>
      </c>
      <c r="FN95" s="244"/>
    </row>
    <row r="96" spans="5:170" x14ac:dyDescent="0.25">
      <c r="E96" s="244"/>
      <c r="F96" s="244"/>
      <c r="G96" s="244"/>
      <c r="L96">
        <f t="shared" si="87"/>
        <v>96</v>
      </c>
      <c r="R96" s="112">
        <f t="shared" si="67"/>
        <v>0</v>
      </c>
      <c r="S96" s="238" t="e">
        <f t="shared" si="96"/>
        <v>#N/A</v>
      </c>
      <c r="T96" s="112" t="e">
        <f t="shared" ca="1" si="97"/>
        <v>#N/A</v>
      </c>
      <c r="U96" s="112" t="e">
        <f t="shared" ca="1" si="98"/>
        <v>#N/A</v>
      </c>
      <c r="V96" s="112" t="e">
        <f t="shared" ca="1" si="99"/>
        <v>#N/A</v>
      </c>
      <c r="W96" s="112" t="e">
        <f t="shared" ca="1" si="100"/>
        <v>#N/A</v>
      </c>
      <c r="X96" s="112">
        <f t="shared" si="68"/>
        <v>0</v>
      </c>
      <c r="Y96" s="112"/>
      <c r="Z96" s="112"/>
      <c r="AA96" s="112">
        <f t="shared" si="69"/>
        <v>100000</v>
      </c>
      <c r="AB96" s="112" t="e">
        <f t="shared" ca="1" si="70"/>
        <v>#N/A</v>
      </c>
      <c r="AC96" s="112" t="e">
        <f t="shared" ca="1" si="71"/>
        <v>#N/A</v>
      </c>
      <c r="AD96" s="112" t="e">
        <f t="shared" ca="1" si="72"/>
        <v>#N/A</v>
      </c>
      <c r="AE96" s="112" t="e">
        <f t="shared" ca="1" si="73"/>
        <v>#N/A</v>
      </c>
      <c r="AF96" s="112">
        <f t="shared" si="74"/>
        <v>100000</v>
      </c>
      <c r="AG96" s="238">
        <f>AG95</f>
        <v>35</v>
      </c>
      <c r="AH96" s="112" t="e">
        <f ca="1">AI95+1</f>
        <v>#N/A</v>
      </c>
      <c r="AI96" s="112" t="e">
        <f ca="1">IF(INDIRECT(CONCATENATE("AC",AG95))&lt;100000,INDIRECT(CONCATENATE("AC",AG95))-1,IF(INDIRECT(CONCATENATE("AD",AG95))&lt;100000,INDIRECT(CONCATENATE("AD",AG95))-1,IF(INDIRECT(CONCATENATE("AE",AG95))&lt;100000,INDIRECT(CONCATENATE("AE",G95)),INDIRECT(CONCATENATE("AF",AG95)))))</f>
        <v>#N/A</v>
      </c>
      <c r="AJ96" s="114"/>
      <c r="AK96" s="114"/>
      <c r="AL96" s="238" t="e">
        <f t="shared" ca="1" si="88"/>
        <v>#N/A</v>
      </c>
      <c r="AM96" s="112">
        <f t="shared" ca="1" si="58"/>
        <v>100000</v>
      </c>
      <c r="AN96" s="112">
        <f t="shared" ca="1" si="89"/>
        <v>100000</v>
      </c>
      <c r="AO96" s="114">
        <f t="shared" ca="1" si="75"/>
        <v>0</v>
      </c>
      <c r="AP96" s="114">
        <f t="shared" ca="1" si="76"/>
        <v>0</v>
      </c>
      <c r="AQ96" s="112"/>
      <c r="AR96" s="238">
        <f t="shared" si="90"/>
        <v>96</v>
      </c>
      <c r="AS96" s="112"/>
      <c r="AT96" s="112"/>
      <c r="AU96" s="283">
        <f t="shared" si="91"/>
        <v>77</v>
      </c>
      <c r="AV96" s="284">
        <f t="shared" ca="1" si="77"/>
        <v>100000</v>
      </c>
      <c r="AW96" s="284">
        <f t="shared" ca="1" si="104"/>
        <v>100000</v>
      </c>
      <c r="AX96" s="285">
        <f t="shared" ca="1" si="78"/>
        <v>0</v>
      </c>
      <c r="AY96" s="285">
        <f t="shared" ca="1" si="79"/>
        <v>18</v>
      </c>
      <c r="AZ96" s="282"/>
      <c r="BD96" s="114">
        <f t="shared" si="92"/>
        <v>1</v>
      </c>
      <c r="BE96" s="112">
        <f t="shared" si="80"/>
        <v>100000</v>
      </c>
      <c r="BH96" s="238">
        <f t="shared" si="93"/>
        <v>77</v>
      </c>
      <c r="BI96" s="245">
        <f t="shared" si="81"/>
        <v>100000</v>
      </c>
      <c r="BJ96" s="281">
        <f t="shared" ca="1" si="64"/>
        <v>16</v>
      </c>
      <c r="BK96" s="245" t="e">
        <f t="shared" ca="1" si="82"/>
        <v>#N/A</v>
      </c>
      <c r="BL96" s="245" t="e">
        <f t="shared" ca="1" si="83"/>
        <v>#N/A</v>
      </c>
      <c r="BN96" s="245" t="e">
        <f t="shared" ca="1" si="102"/>
        <v>#N/A</v>
      </c>
      <c r="CL96" s="112"/>
      <c r="CM96" s="112"/>
      <c r="CP96" s="112"/>
      <c r="CQ96" s="112"/>
      <c r="CR96" s="238"/>
      <c r="CS96" s="238"/>
      <c r="CT96" s="112"/>
      <c r="CU96" s="112"/>
      <c r="CV96" s="112"/>
      <c r="CW96" s="112" t="s">
        <v>224</v>
      </c>
      <c r="CX96" s="112" t="s">
        <v>225</v>
      </c>
      <c r="CY96" s="112" t="s">
        <v>226</v>
      </c>
      <c r="CZ96" s="112" t="s">
        <v>227</v>
      </c>
      <c r="DA96" s="112" t="s">
        <v>228</v>
      </c>
      <c r="DB96" s="112" t="s">
        <v>229</v>
      </c>
      <c r="DC96" s="112"/>
      <c r="DD96" s="238"/>
      <c r="DE96" s="112"/>
      <c r="DF96" s="112"/>
      <c r="DG96" s="112"/>
      <c r="DH96" s="238"/>
      <c r="DI96" s="112"/>
      <c r="DJ96" s="112"/>
      <c r="DK96" s="112"/>
      <c r="DL96" s="278" t="str">
        <f t="shared" ca="1" si="94"/>
        <v/>
      </c>
      <c r="DM96" s="245" t="str">
        <f t="shared" ca="1" si="63"/>
        <v/>
      </c>
      <c r="DN96" s="245" t="str">
        <f t="shared" ca="1" si="63"/>
        <v/>
      </c>
      <c r="DO96" s="245" t="str">
        <f t="shared" ca="1" si="63"/>
        <v/>
      </c>
      <c r="DP96" s="245" t="str">
        <f t="shared" ca="1" si="63"/>
        <v/>
      </c>
      <c r="DQ96" s="245" t="str">
        <f t="shared" ca="1" si="63"/>
        <v/>
      </c>
      <c r="DR96" s="244"/>
      <c r="DS96" s="245" t="str">
        <f t="shared" ref="DS96:DU142" si="105">IF(DR96="","",   BB96)</f>
        <v/>
      </c>
      <c r="DT96" s="245" t="str">
        <f t="shared" si="105"/>
        <v/>
      </c>
      <c r="DU96" s="245" t="str">
        <f t="shared" si="105"/>
        <v/>
      </c>
      <c r="DV96" s="244" t="str">
        <f t="shared" ca="1" si="65"/>
        <v/>
      </c>
      <c r="DW96" s="244"/>
      <c r="DX96" s="244" t="str">
        <f t="shared" ca="1" si="95"/>
        <v/>
      </c>
      <c r="EA96" s="244" t="b">
        <f t="shared" ca="1" si="84"/>
        <v>0</v>
      </c>
      <c r="EB96" s="278" t="e">
        <f ca="1">VLOOKUP(DM96,Foglio1!$AB$31:$AN$261,13)-6+EA96</f>
        <v>#N/A</v>
      </c>
      <c r="EC96" s="244"/>
      <c r="ED96" s="244" t="e">
        <f t="shared" ca="1" si="62"/>
        <v>#N/A</v>
      </c>
      <c r="EE96" s="244" t="e">
        <f t="shared" ca="1" si="62"/>
        <v>#N/A</v>
      </c>
      <c r="EF96" s="244" t="e">
        <f t="shared" ca="1" si="62"/>
        <v>#N/A</v>
      </c>
      <c r="EG96" s="244" t="e">
        <f t="shared" ca="1" si="62"/>
        <v>#N/A</v>
      </c>
      <c r="EH96" s="244" t="e">
        <f t="shared" ca="1" si="62"/>
        <v>#N/A</v>
      </c>
      <c r="EI96" s="244" t="e">
        <f t="shared" ca="1" si="62"/>
        <v>#N/A</v>
      </c>
      <c r="EJ96" s="244" t="e">
        <f t="shared" ca="1" si="62"/>
        <v>#N/A</v>
      </c>
      <c r="EK96" s="244" t="e">
        <f t="shared" ca="1" si="62"/>
        <v>#N/A</v>
      </c>
      <c r="EL96" s="244" t="e">
        <f t="shared" ca="1" si="101"/>
        <v>#N/A</v>
      </c>
      <c r="EM96" s="244" t="e">
        <f t="shared" ca="1" si="101"/>
        <v>#N/A</v>
      </c>
      <c r="EN96" s="244" t="e">
        <f t="shared" ca="1" si="101"/>
        <v>#N/A</v>
      </c>
      <c r="EO96" s="244" t="e">
        <f t="shared" ca="1" si="101"/>
        <v>#N/A</v>
      </c>
      <c r="EP96" s="244" t="e">
        <f t="shared" ca="1" si="101"/>
        <v>#N/A</v>
      </c>
      <c r="EQ96" s="244" t="e">
        <f t="shared" ca="1" si="101"/>
        <v>#N/A</v>
      </c>
      <c r="ER96" s="244"/>
      <c r="EW96" s="244">
        <v>0</v>
      </c>
      <c r="EX96" s="278" t="e">
        <f ca="1">VLOOKUP(DM96,Foglio1!$AB$31:$AN$261,13)-6+EW96</f>
        <v>#N/A</v>
      </c>
      <c r="EY96" s="244"/>
      <c r="EZ96" s="244" t="e">
        <f t="shared" ca="1" si="85"/>
        <v>#N/A</v>
      </c>
      <c r="FA96" s="244" t="e">
        <f t="shared" ca="1" si="103"/>
        <v>#N/A</v>
      </c>
      <c r="FB96" s="244" t="e">
        <f t="shared" ca="1" si="103"/>
        <v>#N/A</v>
      </c>
      <c r="FC96" s="244" t="e">
        <f t="shared" ca="1" si="103"/>
        <v>#N/A</v>
      </c>
      <c r="FD96" s="244" t="e">
        <f t="shared" ca="1" si="103"/>
        <v>#N/A</v>
      </c>
      <c r="FE96" s="244" t="e">
        <f t="shared" ca="1" si="103"/>
        <v>#N/A</v>
      </c>
      <c r="FF96" s="244" t="e">
        <f t="shared" ca="1" si="103"/>
        <v>#N/A</v>
      </c>
      <c r="FG96" s="244" t="e">
        <f t="shared" ca="1" si="86"/>
        <v>#N/A</v>
      </c>
      <c r="FH96" s="244" t="e">
        <f t="shared" ca="1" si="86"/>
        <v>#N/A</v>
      </c>
      <c r="FI96" s="244" t="e">
        <f t="shared" ca="1" si="86"/>
        <v>#N/A</v>
      </c>
      <c r="FJ96" s="244" t="e">
        <f t="shared" ca="1" si="86"/>
        <v>#N/A</v>
      </c>
      <c r="FK96" s="244" t="e">
        <f t="shared" ca="1" si="86"/>
        <v>#N/A</v>
      </c>
      <c r="FL96" s="244" t="e">
        <f t="shared" ca="1" si="86"/>
        <v>#N/A</v>
      </c>
      <c r="FM96" s="244" t="e">
        <f t="shared" ca="1" si="66"/>
        <v>#N/A</v>
      </c>
      <c r="FN96" s="244"/>
    </row>
    <row r="97" spans="5:170" x14ac:dyDescent="0.25">
      <c r="E97" s="244"/>
      <c r="F97" s="244"/>
      <c r="G97" s="244"/>
      <c r="L97">
        <f t="shared" si="87"/>
        <v>97</v>
      </c>
      <c r="R97" s="112">
        <f t="shared" si="67"/>
        <v>0</v>
      </c>
      <c r="S97" s="238" t="e">
        <f t="shared" si="96"/>
        <v>#N/A</v>
      </c>
      <c r="T97" s="112" t="e">
        <f t="shared" ca="1" si="97"/>
        <v>#N/A</v>
      </c>
      <c r="U97" s="112" t="e">
        <f t="shared" ca="1" si="98"/>
        <v>#N/A</v>
      </c>
      <c r="V97" s="112" t="e">
        <f t="shared" ca="1" si="99"/>
        <v>#N/A</v>
      </c>
      <c r="W97" s="112" t="e">
        <f t="shared" ca="1" si="100"/>
        <v>#N/A</v>
      </c>
      <c r="X97" s="112">
        <f t="shared" si="68"/>
        <v>0</v>
      </c>
      <c r="Y97" s="112"/>
      <c r="Z97" s="112"/>
      <c r="AA97" s="112">
        <f t="shared" si="69"/>
        <v>100000</v>
      </c>
      <c r="AB97" s="112" t="e">
        <f t="shared" ca="1" si="70"/>
        <v>#N/A</v>
      </c>
      <c r="AC97" s="112" t="e">
        <f t="shared" ca="1" si="71"/>
        <v>#N/A</v>
      </c>
      <c r="AD97" s="112" t="e">
        <f t="shared" ca="1" si="72"/>
        <v>#N/A</v>
      </c>
      <c r="AE97" s="112" t="e">
        <f t="shared" ca="1" si="73"/>
        <v>#N/A</v>
      </c>
      <c r="AF97" s="112">
        <f t="shared" si="74"/>
        <v>100000</v>
      </c>
      <c r="AG97" s="238">
        <f>AG96</f>
        <v>35</v>
      </c>
      <c r="AH97" s="112" t="e">
        <f ca="1">AI96+1</f>
        <v>#N/A</v>
      </c>
      <c r="AI97" s="112" t="e">
        <f ca="1">IF(INDIRECT(CONCATENATE("AD",AG95))&lt;100000,INDIRECT(CONCATENATE("AD",AG95))-1,IF(INDIRECT(CONCATENATE("AE",AG95))&lt;100000,INDIRECT(CONCATENATE("AE",G95)),INDIRECT(CONCATENATE("AF",AG95))))</f>
        <v>#N/A</v>
      </c>
      <c r="AJ97" s="114"/>
      <c r="AK97" s="114"/>
      <c r="AL97" s="238" t="e">
        <f t="shared" ca="1" si="88"/>
        <v>#N/A</v>
      </c>
      <c r="AM97" s="112">
        <f t="shared" ca="1" si="58"/>
        <v>100000</v>
      </c>
      <c r="AN97" s="112">
        <f t="shared" ca="1" si="89"/>
        <v>100000</v>
      </c>
      <c r="AO97" s="114">
        <f t="shared" ca="1" si="75"/>
        <v>0</v>
      </c>
      <c r="AP97" s="114">
        <f t="shared" ca="1" si="76"/>
        <v>0</v>
      </c>
      <c r="AQ97" s="112"/>
      <c r="AR97" s="238">
        <f t="shared" si="90"/>
        <v>97</v>
      </c>
      <c r="AS97" s="112"/>
      <c r="AT97" s="112"/>
      <c r="AU97" s="283">
        <f t="shared" si="91"/>
        <v>78</v>
      </c>
      <c r="AV97" s="284">
        <f t="shared" ca="1" si="77"/>
        <v>100000</v>
      </c>
      <c r="AW97" s="284">
        <f t="shared" ca="1" si="104"/>
        <v>100000</v>
      </c>
      <c r="AX97" s="285">
        <f t="shared" ca="1" si="78"/>
        <v>0</v>
      </c>
      <c r="AY97" s="285">
        <f t="shared" ca="1" si="79"/>
        <v>18</v>
      </c>
      <c r="AZ97" s="282"/>
      <c r="BD97" s="114">
        <f t="shared" si="92"/>
        <v>1</v>
      </c>
      <c r="BE97" s="112">
        <f t="shared" si="80"/>
        <v>100000</v>
      </c>
      <c r="BH97" s="238">
        <f t="shared" si="93"/>
        <v>78</v>
      </c>
      <c r="BI97" s="245">
        <f t="shared" si="81"/>
        <v>100000</v>
      </c>
      <c r="BJ97" s="281">
        <f t="shared" ca="1" si="64"/>
        <v>16</v>
      </c>
      <c r="BK97" s="245" t="e">
        <f t="shared" ca="1" si="82"/>
        <v>#N/A</v>
      </c>
      <c r="BL97" s="245" t="e">
        <f t="shared" ca="1" si="83"/>
        <v>#N/A</v>
      </c>
      <c r="BN97" s="245" t="e">
        <f t="shared" ca="1" si="102"/>
        <v>#N/A</v>
      </c>
      <c r="CL97" s="112"/>
      <c r="CM97" s="112"/>
      <c r="CP97" s="112"/>
      <c r="CQ97" s="112"/>
      <c r="CR97" s="238"/>
      <c r="CS97" s="238"/>
      <c r="CT97" s="112"/>
      <c r="CU97" s="112"/>
      <c r="CV97" s="112"/>
      <c r="CW97" s="112" t="s">
        <v>224</v>
      </c>
      <c r="CX97" s="112" t="s">
        <v>225</v>
      </c>
      <c r="CY97" s="112" t="s">
        <v>226</v>
      </c>
      <c r="CZ97" s="112" t="s">
        <v>227</v>
      </c>
      <c r="DA97" s="112" t="s">
        <v>228</v>
      </c>
      <c r="DB97" s="112" t="s">
        <v>229</v>
      </c>
      <c r="DC97" s="112"/>
      <c r="DD97" s="238"/>
      <c r="DE97" s="112"/>
      <c r="DF97" s="112"/>
      <c r="DG97" s="112"/>
      <c r="DH97" s="238"/>
      <c r="DI97" s="112"/>
      <c r="DJ97" s="112"/>
      <c r="DK97" s="112"/>
      <c r="DL97" s="278" t="str">
        <f t="shared" ca="1" si="94"/>
        <v/>
      </c>
      <c r="DM97" s="245" t="str">
        <f t="shared" ca="1" si="63"/>
        <v/>
      </c>
      <c r="DN97" s="245" t="str">
        <f t="shared" ca="1" si="63"/>
        <v/>
      </c>
      <c r="DO97" s="245" t="str">
        <f t="shared" ca="1" si="63"/>
        <v/>
      </c>
      <c r="DP97" s="245" t="str">
        <f t="shared" ca="1" si="63"/>
        <v/>
      </c>
      <c r="DQ97" s="245" t="str">
        <f t="shared" ca="1" si="63"/>
        <v/>
      </c>
      <c r="DR97" s="244"/>
      <c r="DS97" s="245" t="str">
        <f t="shared" si="105"/>
        <v/>
      </c>
      <c r="DT97" s="245" t="str">
        <f t="shared" si="105"/>
        <v/>
      </c>
      <c r="DU97" s="245" t="str">
        <f t="shared" si="105"/>
        <v/>
      </c>
      <c r="DV97" s="244" t="str">
        <f t="shared" ca="1" si="65"/>
        <v/>
      </c>
      <c r="DW97" s="244"/>
      <c r="DX97" s="244" t="str">
        <f t="shared" ca="1" si="95"/>
        <v/>
      </c>
      <c r="EA97" s="244" t="b">
        <f t="shared" ca="1" si="84"/>
        <v>0</v>
      </c>
      <c r="EB97" s="278" t="e">
        <f ca="1">VLOOKUP(DM97,Foglio1!$AB$31:$AN$261,13)-6+EA97</f>
        <v>#N/A</v>
      </c>
      <c r="EC97" s="244"/>
      <c r="ED97" s="244" t="e">
        <f t="shared" ca="1" si="62"/>
        <v>#N/A</v>
      </c>
      <c r="EE97" s="244" t="e">
        <f t="shared" ca="1" si="62"/>
        <v>#N/A</v>
      </c>
      <c r="EF97" s="244" t="e">
        <f t="shared" ca="1" si="62"/>
        <v>#N/A</v>
      </c>
      <c r="EG97" s="244" t="e">
        <f t="shared" ca="1" si="62"/>
        <v>#N/A</v>
      </c>
      <c r="EH97" s="244" t="e">
        <f t="shared" ca="1" si="62"/>
        <v>#N/A</v>
      </c>
      <c r="EI97" s="244" t="e">
        <f t="shared" ca="1" si="62"/>
        <v>#N/A</v>
      </c>
      <c r="EJ97" s="244" t="e">
        <f t="shared" ca="1" si="62"/>
        <v>#N/A</v>
      </c>
      <c r="EK97" s="244" t="e">
        <f t="shared" ca="1" si="62"/>
        <v>#N/A</v>
      </c>
      <c r="EL97" s="244" t="e">
        <f t="shared" ca="1" si="101"/>
        <v>#N/A</v>
      </c>
      <c r="EM97" s="244" t="e">
        <f t="shared" ca="1" si="101"/>
        <v>#N/A</v>
      </c>
      <c r="EN97" s="244" t="e">
        <f t="shared" ca="1" si="101"/>
        <v>#N/A</v>
      </c>
      <c r="EO97" s="244" t="e">
        <f t="shared" ca="1" si="101"/>
        <v>#N/A</v>
      </c>
      <c r="EP97" s="244" t="e">
        <f t="shared" ca="1" si="101"/>
        <v>#N/A</v>
      </c>
      <c r="EQ97" s="244" t="e">
        <f t="shared" ca="1" si="101"/>
        <v>#N/A</v>
      </c>
      <c r="ER97" s="244"/>
      <c r="EW97" s="244">
        <v>0</v>
      </c>
      <c r="EX97" s="278" t="e">
        <f ca="1">VLOOKUP(DM97,Foglio1!$AB$31:$AN$261,13)-6+EW97</f>
        <v>#N/A</v>
      </c>
      <c r="EY97" s="244"/>
      <c r="EZ97" s="244" t="e">
        <f t="shared" ca="1" si="85"/>
        <v>#N/A</v>
      </c>
      <c r="FA97" s="244" t="e">
        <f t="shared" ca="1" si="103"/>
        <v>#N/A</v>
      </c>
      <c r="FB97" s="244" t="e">
        <f t="shared" ca="1" si="103"/>
        <v>#N/A</v>
      </c>
      <c r="FC97" s="244" t="e">
        <f t="shared" ca="1" si="103"/>
        <v>#N/A</v>
      </c>
      <c r="FD97" s="244" t="e">
        <f t="shared" ca="1" si="103"/>
        <v>#N/A</v>
      </c>
      <c r="FE97" s="244" t="e">
        <f t="shared" ca="1" si="103"/>
        <v>#N/A</v>
      </c>
      <c r="FF97" s="244" t="e">
        <f t="shared" ca="1" si="103"/>
        <v>#N/A</v>
      </c>
      <c r="FG97" s="244" t="e">
        <f t="shared" ca="1" si="86"/>
        <v>#N/A</v>
      </c>
      <c r="FH97" s="244" t="e">
        <f t="shared" ca="1" si="86"/>
        <v>#N/A</v>
      </c>
      <c r="FI97" s="244" t="e">
        <f t="shared" ca="1" si="86"/>
        <v>#N/A</v>
      </c>
      <c r="FJ97" s="244" t="e">
        <f t="shared" ca="1" si="86"/>
        <v>#N/A</v>
      </c>
      <c r="FK97" s="244" t="e">
        <f t="shared" ca="1" si="86"/>
        <v>#N/A</v>
      </c>
      <c r="FL97" s="244" t="e">
        <f t="shared" ca="1" si="86"/>
        <v>#N/A</v>
      </c>
      <c r="FM97" s="244" t="e">
        <f t="shared" ca="1" si="66"/>
        <v>#N/A</v>
      </c>
      <c r="FN97" s="244"/>
    </row>
    <row r="98" spans="5:170" x14ac:dyDescent="0.25">
      <c r="E98" s="244"/>
      <c r="F98" s="244"/>
      <c r="G98" s="244"/>
      <c r="L98">
        <f t="shared" si="87"/>
        <v>98</v>
      </c>
      <c r="R98" s="112">
        <f t="shared" si="67"/>
        <v>0</v>
      </c>
      <c r="S98" s="238" t="e">
        <f t="shared" si="96"/>
        <v>#N/A</v>
      </c>
      <c r="T98" s="112" t="e">
        <f t="shared" ca="1" si="97"/>
        <v>#N/A</v>
      </c>
      <c r="U98" s="112" t="e">
        <f t="shared" ca="1" si="98"/>
        <v>#N/A</v>
      </c>
      <c r="V98" s="112" t="e">
        <f t="shared" ca="1" si="99"/>
        <v>#N/A</v>
      </c>
      <c r="W98" s="112" t="e">
        <f t="shared" ca="1" si="100"/>
        <v>#N/A</v>
      </c>
      <c r="X98" s="112">
        <f t="shared" si="68"/>
        <v>0</v>
      </c>
      <c r="Y98" s="112"/>
      <c r="Z98" s="112"/>
      <c r="AA98" s="112">
        <f t="shared" si="69"/>
        <v>100000</v>
      </c>
      <c r="AB98" s="112" t="e">
        <f t="shared" ca="1" si="70"/>
        <v>#N/A</v>
      </c>
      <c r="AC98" s="112" t="e">
        <f t="shared" ca="1" si="71"/>
        <v>#N/A</v>
      </c>
      <c r="AD98" s="112" t="e">
        <f t="shared" ca="1" si="72"/>
        <v>#N/A</v>
      </c>
      <c r="AE98" s="112" t="e">
        <f t="shared" ca="1" si="73"/>
        <v>#N/A</v>
      </c>
      <c r="AF98" s="112">
        <f t="shared" si="74"/>
        <v>100000</v>
      </c>
      <c r="AG98" s="238">
        <f>AG97</f>
        <v>35</v>
      </c>
      <c r="AH98" s="112" t="e">
        <f ca="1">AI97+1</f>
        <v>#N/A</v>
      </c>
      <c r="AI98" s="112" t="e">
        <f ca="1">IF(INDIRECT(CONCATENATE("AE",AG95))&lt;100000,INDIRECT(CONCATENATE("AE",G95)),INDIRECT(CONCATENATE("AF",AG95)))</f>
        <v>#N/A</v>
      </c>
      <c r="AJ98" s="114"/>
      <c r="AK98" s="114"/>
      <c r="AL98" s="238" t="e">
        <f t="shared" ca="1" si="88"/>
        <v>#N/A</v>
      </c>
      <c r="AM98" s="112">
        <f t="shared" ca="1" si="58"/>
        <v>100000</v>
      </c>
      <c r="AN98" s="112">
        <f t="shared" ca="1" si="89"/>
        <v>100000</v>
      </c>
      <c r="AO98" s="114">
        <f t="shared" ca="1" si="75"/>
        <v>0</v>
      </c>
      <c r="AP98" s="114">
        <f t="shared" ca="1" si="76"/>
        <v>0</v>
      </c>
      <c r="AQ98" s="112"/>
      <c r="AR98" s="238">
        <f t="shared" si="90"/>
        <v>98</v>
      </c>
      <c r="AS98" s="112"/>
      <c r="AT98" s="112"/>
      <c r="AU98" s="283">
        <f t="shared" si="91"/>
        <v>79</v>
      </c>
      <c r="AV98" s="284">
        <f t="shared" ca="1" si="77"/>
        <v>100000</v>
      </c>
      <c r="AW98" s="284">
        <f t="shared" ca="1" si="104"/>
        <v>100000</v>
      </c>
      <c r="AX98" s="285">
        <f t="shared" ca="1" si="78"/>
        <v>0</v>
      </c>
      <c r="AY98" s="285">
        <f t="shared" ca="1" si="79"/>
        <v>18</v>
      </c>
      <c r="AZ98" s="282"/>
      <c r="BD98" s="114">
        <f t="shared" si="92"/>
        <v>1</v>
      </c>
      <c r="BE98" s="112">
        <f t="shared" si="80"/>
        <v>100000</v>
      </c>
      <c r="BH98" s="238">
        <f t="shared" si="93"/>
        <v>79</v>
      </c>
      <c r="BI98" s="245">
        <f t="shared" si="81"/>
        <v>100000</v>
      </c>
      <c r="BJ98" s="281">
        <f t="shared" ca="1" si="64"/>
        <v>16</v>
      </c>
      <c r="BK98" s="245" t="e">
        <f t="shared" ca="1" si="82"/>
        <v>#N/A</v>
      </c>
      <c r="BL98" s="245" t="e">
        <f t="shared" ca="1" si="83"/>
        <v>#N/A</v>
      </c>
      <c r="BN98" s="245" t="e">
        <f t="shared" ca="1" si="102"/>
        <v>#N/A</v>
      </c>
      <c r="CL98" s="112"/>
      <c r="CM98" s="112"/>
      <c r="CP98" s="112"/>
      <c r="CQ98" s="112"/>
      <c r="CR98" s="238"/>
      <c r="CS98" s="238"/>
      <c r="CT98" s="112"/>
      <c r="CU98" s="112"/>
      <c r="CV98" s="112"/>
      <c r="CW98" s="112" t="s">
        <v>224</v>
      </c>
      <c r="CX98" s="112" t="s">
        <v>225</v>
      </c>
      <c r="CY98" s="112" t="s">
        <v>226</v>
      </c>
      <c r="CZ98" s="112" t="s">
        <v>227</v>
      </c>
      <c r="DA98" s="112" t="s">
        <v>228</v>
      </c>
      <c r="DB98" s="112" t="s">
        <v>229</v>
      </c>
      <c r="DC98" s="112"/>
      <c r="DD98" s="238"/>
      <c r="DE98" s="112"/>
      <c r="DF98" s="112"/>
      <c r="DG98" s="112"/>
      <c r="DH98" s="238"/>
      <c r="DI98" s="112"/>
      <c r="DJ98" s="112"/>
      <c r="DK98" s="112"/>
      <c r="DL98" s="278" t="str">
        <f t="shared" ca="1" si="94"/>
        <v/>
      </c>
      <c r="DM98" s="245" t="str">
        <f t="shared" ca="1" si="63"/>
        <v/>
      </c>
      <c r="DN98" s="245" t="str">
        <f t="shared" ca="1" si="63"/>
        <v/>
      </c>
      <c r="DO98" s="245" t="str">
        <f t="shared" ca="1" si="63"/>
        <v/>
      </c>
      <c r="DP98" s="245" t="str">
        <f t="shared" ca="1" si="63"/>
        <v/>
      </c>
      <c r="DQ98" s="245" t="str">
        <f t="shared" ca="1" si="63"/>
        <v/>
      </c>
      <c r="DR98" s="244"/>
      <c r="DS98" s="245" t="str">
        <f t="shared" si="105"/>
        <v/>
      </c>
      <c r="DT98" s="245" t="str">
        <f t="shared" si="105"/>
        <v/>
      </c>
      <c r="DU98" s="245" t="str">
        <f t="shared" si="105"/>
        <v/>
      </c>
      <c r="DV98" s="244" t="str">
        <f t="shared" ca="1" si="65"/>
        <v/>
      </c>
      <c r="DW98" s="244"/>
      <c r="DX98" s="244" t="str">
        <f t="shared" ca="1" si="95"/>
        <v/>
      </c>
      <c r="EA98" s="244" t="b">
        <f t="shared" ca="1" si="84"/>
        <v>0</v>
      </c>
      <c r="EB98" s="278" t="e">
        <f ca="1">VLOOKUP(DM98,Foglio1!$AB$31:$AN$261,13)-6+EA98</f>
        <v>#N/A</v>
      </c>
      <c r="EC98" s="244"/>
      <c r="ED98" s="244" t="e">
        <f t="shared" ca="1" si="62"/>
        <v>#N/A</v>
      </c>
      <c r="EE98" s="244" t="e">
        <f t="shared" ca="1" si="62"/>
        <v>#N/A</v>
      </c>
      <c r="EF98" s="244" t="e">
        <f t="shared" ca="1" si="62"/>
        <v>#N/A</v>
      </c>
      <c r="EG98" s="244" t="e">
        <f t="shared" ca="1" si="62"/>
        <v>#N/A</v>
      </c>
      <c r="EH98" s="244" t="e">
        <f t="shared" ca="1" si="62"/>
        <v>#N/A</v>
      </c>
      <c r="EI98" s="244" t="e">
        <f t="shared" ca="1" si="62"/>
        <v>#N/A</v>
      </c>
      <c r="EJ98" s="244" t="e">
        <f t="shared" ca="1" si="62"/>
        <v>#N/A</v>
      </c>
      <c r="EK98" s="244" t="e">
        <f t="shared" ca="1" si="62"/>
        <v>#N/A</v>
      </c>
      <c r="EL98" s="244" t="e">
        <f t="shared" ca="1" si="101"/>
        <v>#N/A</v>
      </c>
      <c r="EM98" s="244" t="e">
        <f t="shared" ca="1" si="101"/>
        <v>#N/A</v>
      </c>
      <c r="EN98" s="244" t="e">
        <f t="shared" ca="1" si="101"/>
        <v>#N/A</v>
      </c>
      <c r="EO98" s="244" t="e">
        <f t="shared" ca="1" si="101"/>
        <v>#N/A</v>
      </c>
      <c r="EP98" s="244" t="e">
        <f t="shared" ca="1" si="101"/>
        <v>#N/A</v>
      </c>
      <c r="EQ98" s="244" t="e">
        <f t="shared" ca="1" si="101"/>
        <v>#N/A</v>
      </c>
      <c r="ER98" s="244"/>
      <c r="EW98" s="244">
        <v>0</v>
      </c>
      <c r="EX98" s="278" t="e">
        <f ca="1">VLOOKUP(DM98,Foglio1!$AB$31:$AN$261,13)-6+EW98</f>
        <v>#N/A</v>
      </c>
      <c r="EY98" s="244"/>
      <c r="EZ98" s="244" t="e">
        <f t="shared" ca="1" si="85"/>
        <v>#N/A</v>
      </c>
      <c r="FA98" s="244" t="e">
        <f t="shared" ca="1" si="103"/>
        <v>#N/A</v>
      </c>
      <c r="FB98" s="244" t="e">
        <f t="shared" ca="1" si="103"/>
        <v>#N/A</v>
      </c>
      <c r="FC98" s="244" t="e">
        <f t="shared" ca="1" si="103"/>
        <v>#N/A</v>
      </c>
      <c r="FD98" s="244" t="e">
        <f t="shared" ca="1" si="103"/>
        <v>#N/A</v>
      </c>
      <c r="FE98" s="244" t="e">
        <f t="shared" ca="1" si="103"/>
        <v>#N/A</v>
      </c>
      <c r="FF98" s="244" t="e">
        <f t="shared" ca="1" si="103"/>
        <v>#N/A</v>
      </c>
      <c r="FG98" s="244" t="e">
        <f t="shared" ca="1" si="86"/>
        <v>#N/A</v>
      </c>
      <c r="FH98" s="244" t="e">
        <f t="shared" ca="1" si="86"/>
        <v>#N/A</v>
      </c>
      <c r="FI98" s="244" t="e">
        <f t="shared" ca="1" si="86"/>
        <v>#N/A</v>
      </c>
      <c r="FJ98" s="244" t="e">
        <f t="shared" ca="1" si="86"/>
        <v>#N/A</v>
      </c>
      <c r="FK98" s="244" t="e">
        <f t="shared" ca="1" si="86"/>
        <v>#N/A</v>
      </c>
      <c r="FL98" s="244" t="e">
        <f t="shared" ca="1" si="86"/>
        <v>#N/A</v>
      </c>
      <c r="FM98" s="244" t="e">
        <f t="shared" ca="1" si="66"/>
        <v>#N/A</v>
      </c>
      <c r="FN98" s="244"/>
    </row>
    <row r="99" spans="5:170" x14ac:dyDescent="0.25">
      <c r="E99" s="244"/>
      <c r="F99" s="244"/>
      <c r="G99" s="244"/>
      <c r="L99">
        <f t="shared" si="87"/>
        <v>99</v>
      </c>
      <c r="R99" s="112">
        <f t="shared" si="67"/>
        <v>0</v>
      </c>
      <c r="S99" s="238" t="e">
        <f t="shared" si="96"/>
        <v>#N/A</v>
      </c>
      <c r="T99" s="112" t="e">
        <f t="shared" ca="1" si="97"/>
        <v>#N/A</v>
      </c>
      <c r="U99" s="112" t="e">
        <f t="shared" ca="1" si="98"/>
        <v>#N/A</v>
      </c>
      <c r="V99" s="112" t="e">
        <f t="shared" ca="1" si="99"/>
        <v>#N/A</v>
      </c>
      <c r="W99" s="112" t="e">
        <f t="shared" ca="1" si="100"/>
        <v>#N/A</v>
      </c>
      <c r="X99" s="112">
        <f t="shared" si="68"/>
        <v>0</v>
      </c>
      <c r="Y99" s="112"/>
      <c r="Z99" s="112"/>
      <c r="AA99" s="112">
        <f t="shared" si="69"/>
        <v>100000</v>
      </c>
      <c r="AB99" s="112" t="e">
        <f t="shared" ca="1" si="70"/>
        <v>#N/A</v>
      </c>
      <c r="AC99" s="112" t="e">
        <f t="shared" ca="1" si="71"/>
        <v>#N/A</v>
      </c>
      <c r="AD99" s="112" t="e">
        <f t="shared" ca="1" si="72"/>
        <v>#N/A</v>
      </c>
      <c r="AE99" s="112" t="e">
        <f t="shared" ca="1" si="73"/>
        <v>#N/A</v>
      </c>
      <c r="AF99" s="112">
        <f t="shared" si="74"/>
        <v>100000</v>
      </c>
      <c r="AG99" s="238">
        <f>AG98</f>
        <v>35</v>
      </c>
      <c r="AH99" s="112" t="e">
        <f ca="1">AI98+1</f>
        <v>#N/A</v>
      </c>
      <c r="AI99" s="112">
        <f ca="1">INDIRECT(CONCATENATE("AF",AG95))</f>
        <v>100000</v>
      </c>
      <c r="AJ99" s="114"/>
      <c r="AK99" s="114"/>
      <c r="AL99" s="238" t="e">
        <f t="shared" ca="1" si="88"/>
        <v>#N/A</v>
      </c>
      <c r="AM99" s="112">
        <f t="shared" ca="1" si="58"/>
        <v>100000</v>
      </c>
      <c r="AN99" s="112">
        <f t="shared" ca="1" si="89"/>
        <v>100000</v>
      </c>
      <c r="AO99" s="114">
        <f t="shared" ca="1" si="75"/>
        <v>0</v>
      </c>
      <c r="AP99" s="114">
        <f t="shared" ca="1" si="76"/>
        <v>0</v>
      </c>
      <c r="AQ99" s="112"/>
      <c r="AR99" s="238">
        <f t="shared" si="90"/>
        <v>99</v>
      </c>
      <c r="AS99" s="112"/>
      <c r="AT99" s="112"/>
      <c r="AU99" s="283">
        <f t="shared" si="91"/>
        <v>80</v>
      </c>
      <c r="AV99" s="284">
        <f t="shared" ca="1" si="77"/>
        <v>100000</v>
      </c>
      <c r="AW99" s="284">
        <f t="shared" ca="1" si="104"/>
        <v>100000</v>
      </c>
      <c r="AX99" s="285">
        <f t="shared" ca="1" si="78"/>
        <v>0</v>
      </c>
      <c r="AY99" s="285">
        <f t="shared" ca="1" si="79"/>
        <v>18</v>
      </c>
      <c r="AZ99" s="282"/>
      <c r="BD99" s="114">
        <f t="shared" si="92"/>
        <v>1</v>
      </c>
      <c r="BE99" s="112">
        <f t="shared" si="80"/>
        <v>100000</v>
      </c>
      <c r="BH99" s="238">
        <f t="shared" si="93"/>
        <v>80</v>
      </c>
      <c r="BI99" s="245">
        <f t="shared" si="81"/>
        <v>100000</v>
      </c>
      <c r="BJ99" s="281">
        <f t="shared" ca="1" si="64"/>
        <v>16</v>
      </c>
      <c r="BK99" s="245" t="e">
        <f t="shared" ca="1" si="82"/>
        <v>#N/A</v>
      </c>
      <c r="BL99" s="245" t="e">
        <f t="shared" ca="1" si="83"/>
        <v>#N/A</v>
      </c>
      <c r="BN99" s="245" t="e">
        <f t="shared" ca="1" si="102"/>
        <v>#N/A</v>
      </c>
      <c r="CL99" s="112"/>
      <c r="CM99" s="112"/>
      <c r="CP99" s="112"/>
      <c r="CQ99" s="112"/>
      <c r="CR99" s="238"/>
      <c r="CS99" s="238"/>
      <c r="CT99" s="112"/>
      <c r="CU99" s="112"/>
      <c r="CV99" s="112"/>
      <c r="CW99" s="112" t="s">
        <v>224</v>
      </c>
      <c r="CX99" s="112" t="s">
        <v>225</v>
      </c>
      <c r="CY99" s="112" t="s">
        <v>226</v>
      </c>
      <c r="CZ99" s="112" t="s">
        <v>227</v>
      </c>
      <c r="DA99" s="112" t="s">
        <v>228</v>
      </c>
      <c r="DB99" s="112" t="s">
        <v>229</v>
      </c>
      <c r="DC99" s="112"/>
      <c r="DD99" s="238"/>
      <c r="DE99" s="112"/>
      <c r="DF99" s="112"/>
      <c r="DG99" s="112"/>
      <c r="DH99" s="238"/>
      <c r="DI99" s="112"/>
      <c r="DJ99" s="112"/>
      <c r="DK99" s="112"/>
      <c r="DL99" s="278" t="str">
        <f t="shared" ca="1" si="94"/>
        <v/>
      </c>
      <c r="DM99" s="245" t="str">
        <f t="shared" ca="1" si="63"/>
        <v/>
      </c>
      <c r="DN99" s="245" t="str">
        <f t="shared" ca="1" si="63"/>
        <v/>
      </c>
      <c r="DO99" s="245" t="str">
        <f t="shared" ca="1" si="63"/>
        <v/>
      </c>
      <c r="DP99" s="245" t="str">
        <f t="shared" ca="1" si="63"/>
        <v/>
      </c>
      <c r="DQ99" s="245" t="str">
        <f t="shared" ca="1" si="63"/>
        <v/>
      </c>
      <c r="DR99" s="244"/>
      <c r="DS99" s="245" t="str">
        <f t="shared" si="105"/>
        <v/>
      </c>
      <c r="DT99" s="245" t="str">
        <f t="shared" si="105"/>
        <v/>
      </c>
      <c r="DU99" s="245" t="str">
        <f t="shared" si="105"/>
        <v/>
      </c>
      <c r="DV99" s="244" t="str">
        <f t="shared" ca="1" si="65"/>
        <v/>
      </c>
      <c r="DW99" s="244"/>
      <c r="DX99" s="244" t="str">
        <f t="shared" ca="1" si="95"/>
        <v/>
      </c>
      <c r="EA99" s="244" t="b">
        <f t="shared" ca="1" si="84"/>
        <v>0</v>
      </c>
      <c r="EB99" s="278" t="e">
        <f ca="1">VLOOKUP(DM99,Foglio1!$AB$31:$AN$261,13)-6+EA99</f>
        <v>#N/A</v>
      </c>
      <c r="EC99" s="244"/>
      <c r="ED99" s="244" t="e">
        <f t="shared" ca="1" si="62"/>
        <v>#N/A</v>
      </c>
      <c r="EE99" s="244" t="e">
        <f t="shared" ca="1" si="62"/>
        <v>#N/A</v>
      </c>
      <c r="EF99" s="244" t="e">
        <f t="shared" ca="1" si="62"/>
        <v>#N/A</v>
      </c>
      <c r="EG99" s="244" t="e">
        <f t="shared" ca="1" si="62"/>
        <v>#N/A</v>
      </c>
      <c r="EH99" s="244" t="e">
        <f t="shared" ca="1" si="62"/>
        <v>#N/A</v>
      </c>
      <c r="EI99" s="244" t="e">
        <f t="shared" ca="1" si="62"/>
        <v>#N/A</v>
      </c>
      <c r="EJ99" s="244" t="e">
        <f t="shared" ca="1" si="62"/>
        <v>#N/A</v>
      </c>
      <c r="EK99" s="244" t="e">
        <f t="shared" ca="1" si="62"/>
        <v>#N/A</v>
      </c>
      <c r="EL99" s="244" t="e">
        <f t="shared" ca="1" si="101"/>
        <v>#N/A</v>
      </c>
      <c r="EM99" s="244" t="e">
        <f t="shared" ca="1" si="101"/>
        <v>#N/A</v>
      </c>
      <c r="EN99" s="244" t="e">
        <f t="shared" ca="1" si="101"/>
        <v>#N/A</v>
      </c>
      <c r="EO99" s="244" t="e">
        <f t="shared" ca="1" si="101"/>
        <v>#N/A</v>
      </c>
      <c r="EP99" s="244" t="e">
        <f t="shared" ca="1" si="101"/>
        <v>#N/A</v>
      </c>
      <c r="EQ99" s="244" t="e">
        <f t="shared" ca="1" si="101"/>
        <v>#N/A</v>
      </c>
      <c r="ER99" s="244"/>
      <c r="EW99" s="244">
        <v>0</v>
      </c>
      <c r="EX99" s="278" t="e">
        <f ca="1">VLOOKUP(DM99,Foglio1!$AB$31:$AN$261,13)-6+EW99</f>
        <v>#N/A</v>
      </c>
      <c r="EY99" s="244"/>
      <c r="EZ99" s="244" t="e">
        <f t="shared" ca="1" si="85"/>
        <v>#N/A</v>
      </c>
      <c r="FA99" s="244" t="e">
        <f t="shared" ca="1" si="103"/>
        <v>#N/A</v>
      </c>
      <c r="FB99" s="244" t="e">
        <f t="shared" ca="1" si="103"/>
        <v>#N/A</v>
      </c>
      <c r="FC99" s="244" t="e">
        <f t="shared" ca="1" si="103"/>
        <v>#N/A</v>
      </c>
      <c r="FD99" s="244" t="e">
        <f t="shared" ca="1" si="103"/>
        <v>#N/A</v>
      </c>
      <c r="FE99" s="244" t="e">
        <f t="shared" ca="1" si="103"/>
        <v>#N/A</v>
      </c>
      <c r="FF99" s="244" t="e">
        <f t="shared" ca="1" si="103"/>
        <v>#N/A</v>
      </c>
      <c r="FG99" s="244" t="e">
        <f t="shared" ca="1" si="86"/>
        <v>#N/A</v>
      </c>
      <c r="FH99" s="244" t="e">
        <f t="shared" ca="1" si="86"/>
        <v>#N/A</v>
      </c>
      <c r="FI99" s="244" t="e">
        <f t="shared" ca="1" si="86"/>
        <v>#N/A</v>
      </c>
      <c r="FJ99" s="244" t="e">
        <f t="shared" ca="1" si="86"/>
        <v>#N/A</v>
      </c>
      <c r="FK99" s="244" t="e">
        <f t="shared" ca="1" si="86"/>
        <v>#N/A</v>
      </c>
      <c r="FL99" s="244" t="e">
        <f t="shared" ca="1" si="86"/>
        <v>#N/A</v>
      </c>
      <c r="FM99" s="244" t="e">
        <f t="shared" ca="1" si="66"/>
        <v>#N/A</v>
      </c>
      <c r="FN99" s="244"/>
    </row>
    <row r="100" spans="5:170" x14ac:dyDescent="0.25">
      <c r="E100" s="244"/>
      <c r="F100" s="244"/>
      <c r="G100" s="244"/>
      <c r="L100">
        <f t="shared" si="87"/>
        <v>100</v>
      </c>
      <c r="R100" s="112">
        <f t="shared" si="67"/>
        <v>0</v>
      </c>
      <c r="S100" s="238" t="e">
        <f t="shared" si="96"/>
        <v>#N/A</v>
      </c>
      <c r="T100" s="112" t="e">
        <f t="shared" ca="1" si="97"/>
        <v>#N/A</v>
      </c>
      <c r="U100" s="112" t="e">
        <f t="shared" ca="1" si="98"/>
        <v>#N/A</v>
      </c>
      <c r="V100" s="112" t="e">
        <f t="shared" ca="1" si="99"/>
        <v>#N/A</v>
      </c>
      <c r="W100" s="112" t="e">
        <f t="shared" ca="1" si="100"/>
        <v>#N/A</v>
      </c>
      <c r="X100" s="112">
        <f t="shared" si="68"/>
        <v>0</v>
      </c>
      <c r="Y100" s="112"/>
      <c r="Z100" s="112"/>
      <c r="AA100" s="112">
        <f t="shared" si="69"/>
        <v>100000</v>
      </c>
      <c r="AB100" s="112" t="e">
        <f t="shared" ca="1" si="70"/>
        <v>#N/A</v>
      </c>
      <c r="AC100" s="112" t="e">
        <f t="shared" ca="1" si="71"/>
        <v>#N/A</v>
      </c>
      <c r="AD100" s="112" t="e">
        <f t="shared" ca="1" si="72"/>
        <v>#N/A</v>
      </c>
      <c r="AE100" s="112" t="e">
        <f t="shared" ca="1" si="73"/>
        <v>#N/A</v>
      </c>
      <c r="AF100" s="112">
        <f t="shared" si="74"/>
        <v>100000</v>
      </c>
      <c r="AG100" s="238">
        <f>AG99+1</f>
        <v>36</v>
      </c>
      <c r="AH100" s="112">
        <f ca="1">INDIRECT(CONCATENATE("AA",AG100))</f>
        <v>100000</v>
      </c>
      <c r="AI100" s="112" t="e">
        <f ca="1">IF(            INDIRECT(CONCATENATE( "AB",AG100))&lt;100000,       INDIRECT(CONCATENATE("AB",AG100))  -1,IF(   INDIRECT(CONCATENATE("AC",AG100))&lt;100000,   INDIRECT(CONCATENATE("AC",AG100))-1,IF(   INDIRECT(CONCATENATE("AD", AG100))&lt;100000, INDIRECT(CONCATENATE("AD",AG100))-1,IF(   INDIRECT(CONCATENATE("AE",AG100))&lt;100000,  INDIRECT(CONCATENATE("AE",G100)),INDIRECT(CONCATENATE("AF",AG100))                ))))</f>
        <v>#N/A</v>
      </c>
      <c r="AJ100" s="114"/>
      <c r="AK100" s="114"/>
      <c r="AL100" s="238" t="e">
        <f t="shared" ca="1" si="88"/>
        <v>#N/A</v>
      </c>
      <c r="AM100" s="112">
        <f t="shared" ca="1" si="58"/>
        <v>100000</v>
      </c>
      <c r="AN100" s="112">
        <f t="shared" ca="1" si="89"/>
        <v>100000</v>
      </c>
      <c r="AO100" s="114">
        <f t="shared" ca="1" si="75"/>
        <v>0</v>
      </c>
      <c r="AP100" s="114">
        <f t="shared" ca="1" si="76"/>
        <v>0</v>
      </c>
      <c r="AQ100" s="112"/>
      <c r="AR100" s="238">
        <f t="shared" si="90"/>
        <v>100</v>
      </c>
      <c r="AS100" s="112"/>
      <c r="AT100" s="112"/>
      <c r="AU100" s="283">
        <f t="shared" si="91"/>
        <v>81</v>
      </c>
      <c r="AV100" s="284">
        <f t="shared" ca="1" si="77"/>
        <v>100000</v>
      </c>
      <c r="AW100" s="284">
        <f t="shared" ca="1" si="104"/>
        <v>100000</v>
      </c>
      <c r="AX100" s="285">
        <f t="shared" ca="1" si="78"/>
        <v>0</v>
      </c>
      <c r="AY100" s="285">
        <f t="shared" ca="1" si="79"/>
        <v>18</v>
      </c>
      <c r="AZ100" s="282"/>
      <c r="BD100" s="114">
        <f t="shared" si="92"/>
        <v>1</v>
      </c>
      <c r="BE100" s="112">
        <f t="shared" si="80"/>
        <v>100000</v>
      </c>
      <c r="BH100" s="238">
        <f t="shared" si="93"/>
        <v>81</v>
      </c>
      <c r="BI100" s="245">
        <f t="shared" si="81"/>
        <v>100000</v>
      </c>
      <c r="BJ100" s="281">
        <f t="shared" ca="1" si="64"/>
        <v>16</v>
      </c>
      <c r="BK100" s="245" t="e">
        <f t="shared" ca="1" si="82"/>
        <v>#N/A</v>
      </c>
      <c r="BL100" s="245" t="e">
        <f t="shared" ca="1" si="83"/>
        <v>#N/A</v>
      </c>
      <c r="BN100" s="245" t="e">
        <f t="shared" ca="1" si="102"/>
        <v>#N/A</v>
      </c>
      <c r="CL100" s="112"/>
      <c r="CM100" s="112"/>
      <c r="CP100" s="112"/>
      <c r="CQ100" s="112"/>
      <c r="CR100" s="238"/>
      <c r="CS100" s="238"/>
      <c r="CT100" s="112"/>
      <c r="CU100" s="112"/>
      <c r="CV100" s="112"/>
      <c r="CW100" s="112" t="s">
        <v>224</v>
      </c>
      <c r="CX100" s="112" t="s">
        <v>225</v>
      </c>
      <c r="CY100" s="112" t="s">
        <v>226</v>
      </c>
      <c r="CZ100" s="112" t="s">
        <v>227</v>
      </c>
      <c r="DA100" s="112" t="s">
        <v>228</v>
      </c>
      <c r="DB100" s="112" t="s">
        <v>229</v>
      </c>
      <c r="DC100" s="112"/>
      <c r="DD100" s="238"/>
      <c r="DE100" s="112"/>
      <c r="DF100" s="112"/>
      <c r="DG100" s="112"/>
      <c r="DH100" s="238"/>
      <c r="DI100" s="112"/>
      <c r="DJ100" s="112"/>
      <c r="DK100" s="112"/>
      <c r="DL100" s="278" t="str">
        <f t="shared" ca="1" si="94"/>
        <v/>
      </c>
      <c r="DM100" s="245" t="str">
        <f t="shared" ca="1" si="63"/>
        <v/>
      </c>
      <c r="DN100" s="245" t="str">
        <f t="shared" ca="1" si="63"/>
        <v/>
      </c>
      <c r="DO100" s="245" t="str">
        <f t="shared" ca="1" si="63"/>
        <v/>
      </c>
      <c r="DP100" s="245" t="str">
        <f t="shared" ca="1" si="63"/>
        <v/>
      </c>
      <c r="DQ100" s="245" t="str">
        <f t="shared" ca="1" si="63"/>
        <v/>
      </c>
      <c r="DR100" s="244"/>
      <c r="DS100" s="245" t="str">
        <f t="shared" si="105"/>
        <v/>
      </c>
      <c r="DT100" s="245" t="str">
        <f t="shared" si="105"/>
        <v/>
      </c>
      <c r="DU100" s="245" t="str">
        <f t="shared" si="105"/>
        <v/>
      </c>
      <c r="DV100" s="244" t="str">
        <f t="shared" ca="1" si="65"/>
        <v/>
      </c>
      <c r="DW100" s="244"/>
      <c r="DX100" s="244" t="str">
        <f t="shared" ca="1" si="95"/>
        <v/>
      </c>
      <c r="EA100" s="244" t="b">
        <f t="shared" ca="1" si="84"/>
        <v>0</v>
      </c>
      <c r="EB100" s="278" t="e">
        <f ca="1">VLOOKUP(DM100,Foglio1!$AB$31:$AN$261,13)-6+EA100</f>
        <v>#N/A</v>
      </c>
      <c r="EC100" s="244"/>
      <c r="ED100" s="244" t="e">
        <f t="shared" ca="1" si="62"/>
        <v>#N/A</v>
      </c>
      <c r="EE100" s="244" t="e">
        <f t="shared" ca="1" si="62"/>
        <v>#N/A</v>
      </c>
      <c r="EF100" s="244" t="e">
        <f t="shared" ca="1" si="62"/>
        <v>#N/A</v>
      </c>
      <c r="EG100" s="244" t="e">
        <f t="shared" ca="1" si="62"/>
        <v>#N/A</v>
      </c>
      <c r="EH100" s="244" t="e">
        <f t="shared" ca="1" si="62"/>
        <v>#N/A</v>
      </c>
      <c r="EI100" s="244" t="e">
        <f t="shared" ca="1" si="62"/>
        <v>#N/A</v>
      </c>
      <c r="EJ100" s="244" t="e">
        <f t="shared" ca="1" si="62"/>
        <v>#N/A</v>
      </c>
      <c r="EK100" s="244" t="e">
        <f t="shared" ca="1" si="62"/>
        <v>#N/A</v>
      </c>
      <c r="EL100" s="244" t="e">
        <f t="shared" ca="1" si="101"/>
        <v>#N/A</v>
      </c>
      <c r="EM100" s="244" t="e">
        <f t="shared" ca="1" si="101"/>
        <v>#N/A</v>
      </c>
      <c r="EN100" s="244" t="e">
        <f t="shared" ca="1" si="101"/>
        <v>#N/A</v>
      </c>
      <c r="EO100" s="244" t="e">
        <f t="shared" ca="1" si="101"/>
        <v>#N/A</v>
      </c>
      <c r="EP100" s="244" t="e">
        <f t="shared" ca="1" si="101"/>
        <v>#N/A</v>
      </c>
      <c r="EQ100" s="244" t="e">
        <f t="shared" ca="1" si="101"/>
        <v>#N/A</v>
      </c>
      <c r="ER100" s="244"/>
      <c r="EW100" s="244">
        <v>0</v>
      </c>
      <c r="EX100" s="278" t="e">
        <f ca="1">VLOOKUP(DM100,Foglio1!$AB$31:$AN$261,13)-6+EW100</f>
        <v>#N/A</v>
      </c>
      <c r="EY100" s="244"/>
      <c r="EZ100" s="244" t="e">
        <f t="shared" ca="1" si="85"/>
        <v>#N/A</v>
      </c>
      <c r="FA100" s="244" t="e">
        <f t="shared" ca="1" si="103"/>
        <v>#N/A</v>
      </c>
      <c r="FB100" s="244" t="e">
        <f t="shared" ca="1" si="103"/>
        <v>#N/A</v>
      </c>
      <c r="FC100" s="244" t="e">
        <f t="shared" ca="1" si="103"/>
        <v>#N/A</v>
      </c>
      <c r="FD100" s="244" t="e">
        <f t="shared" ca="1" si="103"/>
        <v>#N/A</v>
      </c>
      <c r="FE100" s="244" t="e">
        <f t="shared" ca="1" si="103"/>
        <v>#N/A</v>
      </c>
      <c r="FF100" s="244" t="e">
        <f t="shared" ca="1" si="103"/>
        <v>#N/A</v>
      </c>
      <c r="FG100" s="244" t="e">
        <f t="shared" ca="1" si="86"/>
        <v>#N/A</v>
      </c>
      <c r="FH100" s="244" t="e">
        <f t="shared" ca="1" si="86"/>
        <v>#N/A</v>
      </c>
      <c r="FI100" s="244" t="e">
        <f t="shared" ca="1" si="86"/>
        <v>#N/A</v>
      </c>
      <c r="FJ100" s="244" t="e">
        <f t="shared" ca="1" si="86"/>
        <v>#N/A</v>
      </c>
      <c r="FK100" s="244" t="e">
        <f t="shared" ca="1" si="86"/>
        <v>#N/A</v>
      </c>
      <c r="FL100" s="244" t="e">
        <f t="shared" ca="1" si="86"/>
        <v>#N/A</v>
      </c>
      <c r="FM100" s="244" t="e">
        <f t="shared" ca="1" si="66"/>
        <v>#N/A</v>
      </c>
      <c r="FN100" s="244"/>
    </row>
    <row r="101" spans="5:170" x14ac:dyDescent="0.25">
      <c r="E101" s="244"/>
      <c r="F101" s="244"/>
      <c r="G101" s="244"/>
      <c r="L101">
        <f t="shared" si="87"/>
        <v>101</v>
      </c>
      <c r="R101" s="112">
        <f t="shared" si="67"/>
        <v>0</v>
      </c>
      <c r="S101" s="238" t="e">
        <f t="shared" si="96"/>
        <v>#N/A</v>
      </c>
      <c r="T101" s="112" t="e">
        <f t="shared" ca="1" si="97"/>
        <v>#N/A</v>
      </c>
      <c r="U101" s="112" t="e">
        <f t="shared" ca="1" si="98"/>
        <v>#N/A</v>
      </c>
      <c r="V101" s="112" t="e">
        <f t="shared" ca="1" si="99"/>
        <v>#N/A</v>
      </c>
      <c r="W101" s="112" t="e">
        <f t="shared" ca="1" si="100"/>
        <v>#N/A</v>
      </c>
      <c r="X101" s="112">
        <f t="shared" si="68"/>
        <v>0</v>
      </c>
      <c r="Y101" s="112"/>
      <c r="Z101" s="112"/>
      <c r="AA101" s="112">
        <f t="shared" si="69"/>
        <v>100000</v>
      </c>
      <c r="AB101" s="112" t="e">
        <f t="shared" ca="1" si="70"/>
        <v>#N/A</v>
      </c>
      <c r="AC101" s="112" t="e">
        <f t="shared" ca="1" si="71"/>
        <v>#N/A</v>
      </c>
      <c r="AD101" s="112" t="e">
        <f t="shared" ca="1" si="72"/>
        <v>#N/A</v>
      </c>
      <c r="AE101" s="112" t="e">
        <f t="shared" ca="1" si="73"/>
        <v>#N/A</v>
      </c>
      <c r="AF101" s="112">
        <f t="shared" si="74"/>
        <v>100000</v>
      </c>
      <c r="AG101" s="238">
        <f>AG100</f>
        <v>36</v>
      </c>
      <c r="AH101" s="112" t="e">
        <f ca="1">AI100+1</f>
        <v>#N/A</v>
      </c>
      <c r="AI101" s="112" t="e">
        <f ca="1">IF(INDIRECT(CONCATENATE("AC",AG100))&lt;100000,INDIRECT(CONCATENATE("AC",AG100))-1,IF(INDIRECT(CONCATENATE("AD",AG100))&lt;100000,INDIRECT(CONCATENATE("AD",AG100))-1,IF(INDIRECT(CONCATENATE("AE",AG100))&lt;100000,INDIRECT(CONCATENATE("AE",G100)),INDIRECT(CONCATENATE("AF",AG100)))))</f>
        <v>#N/A</v>
      </c>
      <c r="AJ101" s="114"/>
      <c r="AK101" s="114"/>
      <c r="AL101" s="238" t="e">
        <f t="shared" ca="1" si="88"/>
        <v>#N/A</v>
      </c>
      <c r="AM101" s="112">
        <f t="shared" ca="1" si="58"/>
        <v>100000</v>
      </c>
      <c r="AN101" s="112">
        <f t="shared" ca="1" si="89"/>
        <v>100000</v>
      </c>
      <c r="AO101" s="114">
        <f t="shared" ca="1" si="75"/>
        <v>0</v>
      </c>
      <c r="AP101" s="114">
        <f t="shared" ca="1" si="76"/>
        <v>0</v>
      </c>
      <c r="AQ101" s="112"/>
      <c r="AR101" s="238">
        <f t="shared" si="90"/>
        <v>101</v>
      </c>
      <c r="AS101" s="112"/>
      <c r="AT101" s="112"/>
      <c r="AU101" s="283">
        <f t="shared" si="91"/>
        <v>82</v>
      </c>
      <c r="AV101" s="284">
        <f t="shared" ca="1" si="77"/>
        <v>100000</v>
      </c>
      <c r="AW101" s="284">
        <f t="shared" ca="1" si="104"/>
        <v>100000</v>
      </c>
      <c r="AX101" s="285">
        <f t="shared" ca="1" si="78"/>
        <v>0</v>
      </c>
      <c r="AY101" s="285">
        <f t="shared" ca="1" si="79"/>
        <v>18</v>
      </c>
      <c r="AZ101" s="282"/>
      <c r="BD101" s="114">
        <f t="shared" si="92"/>
        <v>1</v>
      </c>
      <c r="BE101" s="112">
        <f t="shared" si="80"/>
        <v>100000</v>
      </c>
      <c r="BH101" s="238">
        <f t="shared" si="93"/>
        <v>82</v>
      </c>
      <c r="BI101" s="245">
        <f t="shared" si="81"/>
        <v>100000</v>
      </c>
      <c r="BJ101" s="281">
        <f t="shared" ca="1" si="64"/>
        <v>16</v>
      </c>
      <c r="BK101" s="245" t="e">
        <f t="shared" ca="1" si="82"/>
        <v>#N/A</v>
      </c>
      <c r="BL101" s="245" t="e">
        <f t="shared" ca="1" si="83"/>
        <v>#N/A</v>
      </c>
      <c r="BN101" s="245" t="e">
        <f t="shared" ca="1" si="102"/>
        <v>#N/A</v>
      </c>
      <c r="CL101" s="112"/>
      <c r="CM101" s="112"/>
      <c r="CP101" s="112"/>
      <c r="CQ101" s="112"/>
      <c r="CR101" s="238"/>
      <c r="CS101" s="238"/>
      <c r="CT101" s="112"/>
      <c r="CU101" s="112"/>
      <c r="CV101" s="112"/>
      <c r="CW101" s="112" t="s">
        <v>224</v>
      </c>
      <c r="CX101" s="112" t="s">
        <v>225</v>
      </c>
      <c r="CY101" s="112" t="s">
        <v>226</v>
      </c>
      <c r="CZ101" s="112" t="s">
        <v>227</v>
      </c>
      <c r="DA101" s="112" t="s">
        <v>228</v>
      </c>
      <c r="DB101" s="112" t="s">
        <v>229</v>
      </c>
      <c r="DC101" s="112"/>
      <c r="DD101" s="238"/>
      <c r="DE101" s="112"/>
      <c r="DF101" s="112"/>
      <c r="DG101" s="112"/>
      <c r="DH101" s="238"/>
      <c r="DI101" s="112"/>
      <c r="DJ101" s="112"/>
      <c r="DK101" s="112"/>
      <c r="DL101" s="278" t="str">
        <f t="shared" ca="1" si="94"/>
        <v/>
      </c>
      <c r="DM101" s="245" t="str">
        <f t="shared" ca="1" si="63"/>
        <v/>
      </c>
      <c r="DN101" s="245" t="str">
        <f t="shared" ca="1" si="63"/>
        <v/>
      </c>
      <c r="DO101" s="245" t="str">
        <f t="shared" ca="1" si="63"/>
        <v/>
      </c>
      <c r="DP101" s="245" t="str">
        <f t="shared" ca="1" si="63"/>
        <v/>
      </c>
      <c r="DQ101" s="245" t="str">
        <f t="shared" ca="1" si="63"/>
        <v/>
      </c>
      <c r="DR101" s="244"/>
      <c r="DS101" s="245" t="str">
        <f t="shared" si="105"/>
        <v/>
      </c>
      <c r="DT101" s="245" t="str">
        <f t="shared" si="105"/>
        <v/>
      </c>
      <c r="DU101" s="245" t="str">
        <f t="shared" si="105"/>
        <v/>
      </c>
      <c r="DV101" s="244" t="str">
        <f t="shared" ca="1" si="65"/>
        <v/>
      </c>
      <c r="DW101" s="244"/>
      <c r="DX101" s="244" t="str">
        <f t="shared" ca="1" si="95"/>
        <v/>
      </c>
      <c r="EA101" s="244" t="b">
        <f t="shared" ca="1" si="84"/>
        <v>0</v>
      </c>
      <c r="EB101" s="278" t="e">
        <f ca="1">VLOOKUP(DM101,Foglio1!$AB$31:$AN$261,13)-6+EA101</f>
        <v>#N/A</v>
      </c>
      <c r="EC101" s="244"/>
      <c r="ED101" s="244" t="e">
        <f t="shared" ca="1" si="62"/>
        <v>#N/A</v>
      </c>
      <c r="EE101" s="244" t="e">
        <f t="shared" ca="1" si="62"/>
        <v>#N/A</v>
      </c>
      <c r="EF101" s="244" t="e">
        <f t="shared" ca="1" si="62"/>
        <v>#N/A</v>
      </c>
      <c r="EG101" s="244" t="e">
        <f t="shared" ca="1" si="62"/>
        <v>#N/A</v>
      </c>
      <c r="EH101" s="244" t="e">
        <f t="shared" ca="1" si="62"/>
        <v>#N/A</v>
      </c>
      <c r="EI101" s="244" t="e">
        <f t="shared" ca="1" si="62"/>
        <v>#N/A</v>
      </c>
      <c r="EJ101" s="244" t="e">
        <f t="shared" ca="1" si="62"/>
        <v>#N/A</v>
      </c>
      <c r="EK101" s="244" t="e">
        <f t="shared" ca="1" si="62"/>
        <v>#N/A</v>
      </c>
      <c r="EL101" s="244" t="e">
        <f t="shared" ca="1" si="101"/>
        <v>#N/A</v>
      </c>
      <c r="EM101" s="244" t="e">
        <f t="shared" ca="1" si="101"/>
        <v>#N/A</v>
      </c>
      <c r="EN101" s="244" t="e">
        <f t="shared" ca="1" si="101"/>
        <v>#N/A</v>
      </c>
      <c r="EO101" s="244" t="e">
        <f t="shared" ca="1" si="101"/>
        <v>#N/A</v>
      </c>
      <c r="EP101" s="244" t="e">
        <f t="shared" ca="1" si="101"/>
        <v>#N/A</v>
      </c>
      <c r="EQ101" s="244" t="e">
        <f t="shared" ca="1" si="101"/>
        <v>#N/A</v>
      </c>
      <c r="ER101" s="244"/>
      <c r="EW101" s="244">
        <v>0</v>
      </c>
      <c r="EX101" s="278" t="e">
        <f ca="1">VLOOKUP(DM101,Foglio1!$AB$31:$AN$261,13)-6+EW101</f>
        <v>#N/A</v>
      </c>
      <c r="EY101" s="244"/>
      <c r="EZ101" s="244" t="e">
        <f t="shared" ca="1" si="85"/>
        <v>#N/A</v>
      </c>
      <c r="FA101" s="244" t="e">
        <f t="shared" ca="1" si="103"/>
        <v>#N/A</v>
      </c>
      <c r="FB101" s="244" t="e">
        <f t="shared" ca="1" si="103"/>
        <v>#N/A</v>
      </c>
      <c r="FC101" s="244" t="e">
        <f t="shared" ca="1" si="103"/>
        <v>#N/A</v>
      </c>
      <c r="FD101" s="244" t="e">
        <f t="shared" ca="1" si="103"/>
        <v>#N/A</v>
      </c>
      <c r="FE101" s="244" t="e">
        <f t="shared" ca="1" si="103"/>
        <v>#N/A</v>
      </c>
      <c r="FF101" s="244" t="e">
        <f t="shared" ca="1" si="103"/>
        <v>#N/A</v>
      </c>
      <c r="FG101" s="244" t="e">
        <f t="shared" ca="1" si="86"/>
        <v>#N/A</v>
      </c>
      <c r="FH101" s="244" t="e">
        <f t="shared" ca="1" si="86"/>
        <v>#N/A</v>
      </c>
      <c r="FI101" s="244" t="e">
        <f t="shared" ca="1" si="86"/>
        <v>#N/A</v>
      </c>
      <c r="FJ101" s="244" t="e">
        <f t="shared" ca="1" si="86"/>
        <v>#N/A</v>
      </c>
      <c r="FK101" s="244" t="e">
        <f t="shared" ca="1" si="86"/>
        <v>#N/A</v>
      </c>
      <c r="FL101" s="244" t="e">
        <f t="shared" ca="1" si="86"/>
        <v>#N/A</v>
      </c>
      <c r="FM101" s="244" t="e">
        <f t="shared" ca="1" si="66"/>
        <v>#N/A</v>
      </c>
      <c r="FN101" s="244"/>
    </row>
    <row r="102" spans="5:170" x14ac:dyDescent="0.25">
      <c r="E102" s="244"/>
      <c r="F102" s="244"/>
      <c r="G102" s="244"/>
      <c r="L102">
        <f t="shared" si="87"/>
        <v>102</v>
      </c>
      <c r="R102" s="112">
        <f t="shared" si="67"/>
        <v>0</v>
      </c>
      <c r="S102" s="238" t="e">
        <f t="shared" si="96"/>
        <v>#N/A</v>
      </c>
      <c r="T102" s="112" t="e">
        <f t="shared" ca="1" si="97"/>
        <v>#N/A</v>
      </c>
      <c r="U102" s="112" t="e">
        <f t="shared" ca="1" si="98"/>
        <v>#N/A</v>
      </c>
      <c r="V102" s="112" t="e">
        <f t="shared" ca="1" si="99"/>
        <v>#N/A</v>
      </c>
      <c r="W102" s="112" t="e">
        <f t="shared" ca="1" si="100"/>
        <v>#N/A</v>
      </c>
      <c r="X102" s="112">
        <f t="shared" si="68"/>
        <v>0</v>
      </c>
      <c r="Y102" s="112"/>
      <c r="Z102" s="112"/>
      <c r="AA102" s="112">
        <f t="shared" si="69"/>
        <v>100000</v>
      </c>
      <c r="AB102" s="112" t="e">
        <f t="shared" ca="1" si="70"/>
        <v>#N/A</v>
      </c>
      <c r="AC102" s="112" t="e">
        <f t="shared" ca="1" si="71"/>
        <v>#N/A</v>
      </c>
      <c r="AD102" s="112" t="e">
        <f t="shared" ca="1" si="72"/>
        <v>#N/A</v>
      </c>
      <c r="AE102" s="112" t="e">
        <f t="shared" ca="1" si="73"/>
        <v>#N/A</v>
      </c>
      <c r="AF102" s="112">
        <f t="shared" si="74"/>
        <v>100000</v>
      </c>
      <c r="AG102" s="238">
        <f>AG101</f>
        <v>36</v>
      </c>
      <c r="AH102" s="112" t="e">
        <f ca="1">AI101+1</f>
        <v>#N/A</v>
      </c>
      <c r="AI102" s="112" t="e">
        <f ca="1">IF(INDIRECT(CONCATENATE("AD",AG100))&lt;100000,INDIRECT(CONCATENATE("AD",AG100))-1,IF(INDIRECT(CONCATENATE("AE",AG100))&lt;100000,INDIRECT(CONCATENATE("AE",G100)),INDIRECT(CONCATENATE("AF",AG100))))</f>
        <v>#N/A</v>
      </c>
      <c r="AJ102" s="114"/>
      <c r="AK102" s="114"/>
      <c r="AL102" s="238" t="e">
        <f t="shared" ca="1" si="88"/>
        <v>#N/A</v>
      </c>
      <c r="AM102" s="112">
        <f t="shared" ca="1" si="58"/>
        <v>100000</v>
      </c>
      <c r="AN102" s="112">
        <f t="shared" ca="1" si="89"/>
        <v>100000</v>
      </c>
      <c r="AO102" s="114">
        <f t="shared" ca="1" si="75"/>
        <v>0</v>
      </c>
      <c r="AP102" s="114">
        <f t="shared" ca="1" si="76"/>
        <v>0</v>
      </c>
      <c r="AQ102" s="112"/>
      <c r="AR102" s="238">
        <f t="shared" si="90"/>
        <v>102</v>
      </c>
      <c r="AS102" s="112"/>
      <c r="AT102" s="112"/>
      <c r="AU102" s="283">
        <f t="shared" si="91"/>
        <v>83</v>
      </c>
      <c r="AV102" s="284">
        <f t="shared" ca="1" si="77"/>
        <v>100000</v>
      </c>
      <c r="AW102" s="284">
        <f t="shared" ca="1" si="104"/>
        <v>100000</v>
      </c>
      <c r="AX102" s="285">
        <f t="shared" ca="1" si="78"/>
        <v>0</v>
      </c>
      <c r="AY102" s="285">
        <f t="shared" ca="1" si="79"/>
        <v>18</v>
      </c>
      <c r="AZ102" s="282"/>
      <c r="BD102" s="114">
        <f t="shared" si="92"/>
        <v>1</v>
      </c>
      <c r="BE102" s="112">
        <f t="shared" si="80"/>
        <v>100000</v>
      </c>
      <c r="BH102" s="238">
        <f t="shared" si="93"/>
        <v>83</v>
      </c>
      <c r="BI102" s="245">
        <f t="shared" si="81"/>
        <v>100000</v>
      </c>
      <c r="BJ102" s="281">
        <f t="shared" ca="1" si="64"/>
        <v>16</v>
      </c>
      <c r="BK102" s="245" t="e">
        <f t="shared" ca="1" si="82"/>
        <v>#N/A</v>
      </c>
      <c r="BL102" s="245" t="e">
        <f t="shared" ca="1" si="83"/>
        <v>#N/A</v>
      </c>
      <c r="BN102" s="245" t="e">
        <f t="shared" ca="1" si="102"/>
        <v>#N/A</v>
      </c>
      <c r="CL102" s="112"/>
      <c r="CM102" s="112"/>
      <c r="CP102" s="112"/>
      <c r="CQ102" s="112"/>
      <c r="CR102" s="238"/>
      <c r="CS102" s="238"/>
      <c r="CT102" s="112"/>
      <c r="CU102" s="112"/>
      <c r="CV102" s="112"/>
      <c r="CW102" s="112" t="s">
        <v>224</v>
      </c>
      <c r="CX102" s="112" t="s">
        <v>225</v>
      </c>
      <c r="CY102" s="112" t="s">
        <v>226</v>
      </c>
      <c r="CZ102" s="112" t="s">
        <v>227</v>
      </c>
      <c r="DA102" s="112" t="s">
        <v>228</v>
      </c>
      <c r="DB102" s="112" t="s">
        <v>229</v>
      </c>
      <c r="DC102" s="112"/>
      <c r="DD102" s="238"/>
      <c r="DE102" s="112"/>
      <c r="DF102" s="112"/>
      <c r="DG102" s="112"/>
      <c r="DH102" s="238"/>
      <c r="DI102" s="112"/>
      <c r="DJ102" s="112"/>
      <c r="DK102" s="112"/>
      <c r="DL102" s="278" t="str">
        <f t="shared" ca="1" si="94"/>
        <v/>
      </c>
      <c r="DM102" s="245" t="str">
        <f t="shared" ca="1" si="63"/>
        <v/>
      </c>
      <c r="DN102" s="245" t="str">
        <f t="shared" ca="1" si="63"/>
        <v/>
      </c>
      <c r="DO102" s="245" t="str">
        <f t="shared" ca="1" si="63"/>
        <v/>
      </c>
      <c r="DP102" s="245" t="str">
        <f t="shared" ca="1" si="63"/>
        <v/>
      </c>
      <c r="DQ102" s="245" t="str">
        <f t="shared" ca="1" si="63"/>
        <v/>
      </c>
      <c r="DR102" s="244"/>
      <c r="DS102" s="245" t="str">
        <f t="shared" si="105"/>
        <v/>
      </c>
      <c r="DT102" s="245" t="str">
        <f t="shared" si="105"/>
        <v/>
      </c>
      <c r="DU102" s="245" t="str">
        <f t="shared" si="105"/>
        <v/>
      </c>
      <c r="DV102" s="244" t="str">
        <f t="shared" ca="1" si="65"/>
        <v/>
      </c>
      <c r="DW102" s="244"/>
      <c r="DX102" s="244" t="str">
        <f t="shared" ca="1" si="95"/>
        <v/>
      </c>
      <c r="EA102" s="244" t="b">
        <f t="shared" ca="1" si="84"/>
        <v>0</v>
      </c>
      <c r="EB102" s="278" t="e">
        <f ca="1">VLOOKUP(DM102,Foglio1!$AB$31:$AN$261,13)-6+EA102</f>
        <v>#N/A</v>
      </c>
      <c r="EC102" s="244"/>
      <c r="ED102" s="244" t="e">
        <f t="shared" ca="1" si="62"/>
        <v>#N/A</v>
      </c>
      <c r="EE102" s="244" t="e">
        <f t="shared" ca="1" si="62"/>
        <v>#N/A</v>
      </c>
      <c r="EF102" s="244" t="e">
        <f t="shared" ca="1" si="62"/>
        <v>#N/A</v>
      </c>
      <c r="EG102" s="244" t="e">
        <f t="shared" ca="1" si="62"/>
        <v>#N/A</v>
      </c>
      <c r="EH102" s="244" t="e">
        <f t="shared" ca="1" si="62"/>
        <v>#N/A</v>
      </c>
      <c r="EI102" s="244" t="e">
        <f t="shared" ca="1" si="62"/>
        <v>#N/A</v>
      </c>
      <c r="EJ102" s="244" t="e">
        <f t="shared" ca="1" si="62"/>
        <v>#N/A</v>
      </c>
      <c r="EK102" s="244" t="e">
        <f t="shared" ca="1" si="62"/>
        <v>#N/A</v>
      </c>
      <c r="EL102" s="244" t="e">
        <f t="shared" ca="1" si="101"/>
        <v>#N/A</v>
      </c>
      <c r="EM102" s="244" t="e">
        <f t="shared" ca="1" si="101"/>
        <v>#N/A</v>
      </c>
      <c r="EN102" s="244" t="e">
        <f t="shared" ca="1" si="101"/>
        <v>#N/A</v>
      </c>
      <c r="EO102" s="244" t="e">
        <f t="shared" ca="1" si="101"/>
        <v>#N/A</v>
      </c>
      <c r="EP102" s="244" t="e">
        <f t="shared" ca="1" si="101"/>
        <v>#N/A</v>
      </c>
      <c r="EQ102" s="244" t="e">
        <f t="shared" ca="1" si="101"/>
        <v>#N/A</v>
      </c>
      <c r="ER102" s="244"/>
      <c r="EW102" s="244">
        <v>0</v>
      </c>
      <c r="EX102" s="278" t="e">
        <f ca="1">VLOOKUP(DM102,Foglio1!$AB$31:$AN$261,13)-6+EW102</f>
        <v>#N/A</v>
      </c>
      <c r="EY102" s="244"/>
      <c r="EZ102" s="244" t="e">
        <f t="shared" ca="1" si="85"/>
        <v>#N/A</v>
      </c>
      <c r="FA102" s="244" t="e">
        <f t="shared" ca="1" si="103"/>
        <v>#N/A</v>
      </c>
      <c r="FB102" s="244" t="e">
        <f t="shared" ca="1" si="103"/>
        <v>#N/A</v>
      </c>
      <c r="FC102" s="244" t="e">
        <f t="shared" ca="1" si="103"/>
        <v>#N/A</v>
      </c>
      <c r="FD102" s="244" t="e">
        <f t="shared" ca="1" si="103"/>
        <v>#N/A</v>
      </c>
      <c r="FE102" s="244" t="e">
        <f t="shared" ca="1" si="103"/>
        <v>#N/A</v>
      </c>
      <c r="FF102" s="244" t="e">
        <f t="shared" ca="1" si="103"/>
        <v>#N/A</v>
      </c>
      <c r="FG102" s="244" t="e">
        <f t="shared" ca="1" si="86"/>
        <v>#N/A</v>
      </c>
      <c r="FH102" s="244" t="e">
        <f t="shared" ca="1" si="86"/>
        <v>#N/A</v>
      </c>
      <c r="FI102" s="244" t="e">
        <f t="shared" ca="1" si="86"/>
        <v>#N/A</v>
      </c>
      <c r="FJ102" s="244" t="e">
        <f t="shared" ca="1" si="86"/>
        <v>#N/A</v>
      </c>
      <c r="FK102" s="244" t="e">
        <f t="shared" ca="1" si="86"/>
        <v>#N/A</v>
      </c>
      <c r="FL102" s="244" t="e">
        <f t="shared" ca="1" si="86"/>
        <v>#N/A</v>
      </c>
      <c r="FM102" s="244" t="e">
        <f t="shared" ca="1" si="66"/>
        <v>#N/A</v>
      </c>
      <c r="FN102" s="244"/>
    </row>
    <row r="103" spans="5:170" x14ac:dyDescent="0.25">
      <c r="E103" s="244"/>
      <c r="F103" s="244"/>
      <c r="G103" s="244"/>
      <c r="L103">
        <f t="shared" si="87"/>
        <v>103</v>
      </c>
      <c r="R103" s="112">
        <f t="shared" si="67"/>
        <v>0</v>
      </c>
      <c r="S103" s="238" t="e">
        <f t="shared" si="96"/>
        <v>#N/A</v>
      </c>
      <c r="T103" s="112" t="e">
        <f t="shared" ca="1" si="97"/>
        <v>#N/A</v>
      </c>
      <c r="U103" s="112" t="e">
        <f t="shared" ca="1" si="98"/>
        <v>#N/A</v>
      </c>
      <c r="V103" s="112" t="e">
        <f t="shared" ca="1" si="99"/>
        <v>#N/A</v>
      </c>
      <c r="W103" s="112" t="e">
        <f t="shared" ca="1" si="100"/>
        <v>#N/A</v>
      </c>
      <c r="X103" s="112">
        <f t="shared" si="68"/>
        <v>0</v>
      </c>
      <c r="Y103" s="112"/>
      <c r="Z103" s="112"/>
      <c r="AA103" s="112">
        <f t="shared" si="69"/>
        <v>100000</v>
      </c>
      <c r="AB103" s="112" t="e">
        <f t="shared" ca="1" si="70"/>
        <v>#N/A</v>
      </c>
      <c r="AC103" s="112" t="e">
        <f t="shared" ca="1" si="71"/>
        <v>#N/A</v>
      </c>
      <c r="AD103" s="112" t="e">
        <f t="shared" ca="1" si="72"/>
        <v>#N/A</v>
      </c>
      <c r="AE103" s="112" t="e">
        <f t="shared" ca="1" si="73"/>
        <v>#N/A</v>
      </c>
      <c r="AF103" s="112">
        <f t="shared" si="74"/>
        <v>100000</v>
      </c>
      <c r="AG103" s="238">
        <f>AG102</f>
        <v>36</v>
      </c>
      <c r="AH103" s="112" t="e">
        <f ca="1">AI102+1</f>
        <v>#N/A</v>
      </c>
      <c r="AI103" s="112" t="e">
        <f ca="1">IF(INDIRECT(CONCATENATE("AE",AG100))&lt;100000,INDIRECT(CONCATENATE("AE",G100)),INDIRECT(CONCATENATE("AF",AG100)))</f>
        <v>#N/A</v>
      </c>
      <c r="AJ103" s="114"/>
      <c r="AK103" s="114"/>
      <c r="AL103" s="238" t="e">
        <f t="shared" ca="1" si="88"/>
        <v>#N/A</v>
      </c>
      <c r="AM103" s="112">
        <f t="shared" ca="1" si="58"/>
        <v>100000</v>
      </c>
      <c r="AN103" s="112">
        <f t="shared" ca="1" si="89"/>
        <v>100000</v>
      </c>
      <c r="AO103" s="114">
        <f t="shared" ca="1" si="75"/>
        <v>0</v>
      </c>
      <c r="AP103" s="114">
        <f t="shared" ca="1" si="76"/>
        <v>0</v>
      </c>
      <c r="AQ103" s="112"/>
      <c r="AR103" s="238">
        <f t="shared" si="90"/>
        <v>103</v>
      </c>
      <c r="AS103" s="112"/>
      <c r="AT103" s="112"/>
      <c r="AU103" s="283">
        <f t="shared" si="91"/>
        <v>84</v>
      </c>
      <c r="AV103" s="284">
        <f t="shared" ca="1" si="77"/>
        <v>100000</v>
      </c>
      <c r="AW103" s="284">
        <f t="shared" ca="1" si="104"/>
        <v>100000</v>
      </c>
      <c r="AX103" s="285">
        <f t="shared" ca="1" si="78"/>
        <v>0</v>
      </c>
      <c r="AY103" s="285">
        <f t="shared" ca="1" si="79"/>
        <v>18</v>
      </c>
      <c r="AZ103" s="282"/>
      <c r="BD103" s="114">
        <f t="shared" si="92"/>
        <v>1</v>
      </c>
      <c r="BE103" s="112">
        <f t="shared" si="80"/>
        <v>100000</v>
      </c>
      <c r="BH103" s="238">
        <f t="shared" si="93"/>
        <v>84</v>
      </c>
      <c r="BI103" s="245">
        <f t="shared" si="81"/>
        <v>100000</v>
      </c>
      <c r="BJ103" s="281">
        <f t="shared" ca="1" si="64"/>
        <v>16</v>
      </c>
      <c r="BK103" s="245" t="e">
        <f t="shared" ca="1" si="82"/>
        <v>#N/A</v>
      </c>
      <c r="BL103" s="245" t="e">
        <f t="shared" ca="1" si="83"/>
        <v>#N/A</v>
      </c>
      <c r="BN103" s="245" t="e">
        <f t="shared" ca="1" si="102"/>
        <v>#N/A</v>
      </c>
      <c r="CL103" s="112"/>
      <c r="CM103" s="112"/>
      <c r="CP103" s="112"/>
      <c r="CQ103" s="112"/>
      <c r="CR103" s="238"/>
      <c r="CS103" s="238"/>
      <c r="CT103" s="112"/>
      <c r="CU103" s="112"/>
      <c r="CV103" s="112"/>
      <c r="CW103" s="112" t="s">
        <v>224</v>
      </c>
      <c r="CX103" s="112" t="s">
        <v>225</v>
      </c>
      <c r="CY103" s="112" t="s">
        <v>226</v>
      </c>
      <c r="CZ103" s="112" t="s">
        <v>227</v>
      </c>
      <c r="DA103" s="112" t="s">
        <v>228</v>
      </c>
      <c r="DB103" s="112" t="s">
        <v>229</v>
      </c>
      <c r="DC103" s="112"/>
      <c r="DD103" s="238"/>
      <c r="DE103" s="112"/>
      <c r="DF103" s="112"/>
      <c r="DG103" s="112"/>
      <c r="DH103" s="238"/>
      <c r="DI103" s="112"/>
      <c r="DJ103" s="112"/>
      <c r="DK103" s="112"/>
      <c r="DL103" s="278" t="str">
        <f t="shared" ca="1" si="94"/>
        <v/>
      </c>
      <c r="DM103" s="245" t="str">
        <f t="shared" ca="1" si="63"/>
        <v/>
      </c>
      <c r="DN103" s="245" t="str">
        <f t="shared" ca="1" si="63"/>
        <v/>
      </c>
      <c r="DO103" s="245" t="str">
        <f t="shared" ca="1" si="63"/>
        <v/>
      </c>
      <c r="DP103" s="245" t="str">
        <f t="shared" ca="1" si="63"/>
        <v/>
      </c>
      <c r="DQ103" s="245" t="str">
        <f t="shared" ca="1" si="63"/>
        <v/>
      </c>
      <c r="DR103" s="244"/>
      <c r="DS103" s="245" t="str">
        <f t="shared" si="105"/>
        <v/>
      </c>
      <c r="DT103" s="245" t="str">
        <f t="shared" si="105"/>
        <v/>
      </c>
      <c r="DU103" s="245" t="str">
        <f t="shared" si="105"/>
        <v/>
      </c>
      <c r="DV103" s="244" t="str">
        <f t="shared" ca="1" si="65"/>
        <v/>
      </c>
      <c r="DW103" s="244"/>
      <c r="DX103" s="244" t="str">
        <f t="shared" ca="1" si="95"/>
        <v/>
      </c>
      <c r="EA103" s="244" t="b">
        <f t="shared" ca="1" si="84"/>
        <v>0</v>
      </c>
      <c r="EB103" s="278" t="e">
        <f ca="1">VLOOKUP(DM103,Foglio1!$AB$31:$AN$261,13)-6+EA103</f>
        <v>#N/A</v>
      </c>
      <c r="EC103" s="244"/>
      <c r="ED103" s="244" t="e">
        <f t="shared" ref="ED103:EQ128" ca="1" si="106">INDIRECT(CONCATENATE(EB$16,EB$17,$EB103))</f>
        <v>#N/A</v>
      </c>
      <c r="EE103" s="244" t="e">
        <f t="shared" ca="1" si="106"/>
        <v>#N/A</v>
      </c>
      <c r="EF103" s="244" t="e">
        <f t="shared" ca="1" si="106"/>
        <v>#N/A</v>
      </c>
      <c r="EG103" s="244" t="e">
        <f t="shared" ca="1" si="106"/>
        <v>#N/A</v>
      </c>
      <c r="EH103" s="244" t="e">
        <f t="shared" ca="1" si="106"/>
        <v>#N/A</v>
      </c>
      <c r="EI103" s="244" t="e">
        <f t="shared" ca="1" si="106"/>
        <v>#N/A</v>
      </c>
      <c r="EJ103" s="244" t="e">
        <f t="shared" ca="1" si="106"/>
        <v>#N/A</v>
      </c>
      <c r="EK103" s="244" t="e">
        <f t="shared" ca="1" si="106"/>
        <v>#N/A</v>
      </c>
      <c r="EL103" s="244" t="e">
        <f t="shared" ca="1" si="101"/>
        <v>#N/A</v>
      </c>
      <c r="EM103" s="244" t="e">
        <f t="shared" ca="1" si="101"/>
        <v>#N/A</v>
      </c>
      <c r="EN103" s="244" t="e">
        <f t="shared" ca="1" si="101"/>
        <v>#N/A</v>
      </c>
      <c r="EO103" s="244" t="e">
        <f t="shared" ca="1" si="101"/>
        <v>#N/A</v>
      </c>
      <c r="EP103" s="244" t="e">
        <f t="shared" ca="1" si="101"/>
        <v>#N/A</v>
      </c>
      <c r="EQ103" s="244" t="e">
        <f t="shared" ca="1" si="101"/>
        <v>#N/A</v>
      </c>
      <c r="ER103" s="244"/>
      <c r="EW103" s="244">
        <v>0</v>
      </c>
      <c r="EX103" s="278" t="e">
        <f ca="1">VLOOKUP(DM103,Foglio1!$AB$31:$AN$261,13)-6+EW103</f>
        <v>#N/A</v>
      </c>
      <c r="EY103" s="244"/>
      <c r="EZ103" s="244" t="e">
        <f t="shared" ca="1" si="85"/>
        <v>#N/A</v>
      </c>
      <c r="FA103" s="244" t="e">
        <f t="shared" ca="1" si="103"/>
        <v>#N/A</v>
      </c>
      <c r="FB103" s="244" t="e">
        <f t="shared" ca="1" si="103"/>
        <v>#N/A</v>
      </c>
      <c r="FC103" s="244" t="e">
        <f t="shared" ca="1" si="103"/>
        <v>#N/A</v>
      </c>
      <c r="FD103" s="244" t="e">
        <f t="shared" ca="1" si="103"/>
        <v>#N/A</v>
      </c>
      <c r="FE103" s="244" t="e">
        <f t="shared" ca="1" si="103"/>
        <v>#N/A</v>
      </c>
      <c r="FF103" s="244" t="e">
        <f t="shared" ca="1" si="103"/>
        <v>#N/A</v>
      </c>
      <c r="FG103" s="244" t="e">
        <f t="shared" ca="1" si="86"/>
        <v>#N/A</v>
      </c>
      <c r="FH103" s="244" t="e">
        <f t="shared" ca="1" si="86"/>
        <v>#N/A</v>
      </c>
      <c r="FI103" s="244" t="e">
        <f t="shared" ca="1" si="86"/>
        <v>#N/A</v>
      </c>
      <c r="FJ103" s="244" t="e">
        <f t="shared" ca="1" si="86"/>
        <v>#N/A</v>
      </c>
      <c r="FK103" s="244" t="e">
        <f t="shared" ca="1" si="86"/>
        <v>#N/A</v>
      </c>
      <c r="FL103" s="244" t="e">
        <f t="shared" ca="1" si="86"/>
        <v>#N/A</v>
      </c>
      <c r="FM103" s="244" t="e">
        <f t="shared" ca="1" si="66"/>
        <v>#N/A</v>
      </c>
      <c r="FN103" s="244"/>
    </row>
    <row r="104" spans="5:170" x14ac:dyDescent="0.25">
      <c r="E104" s="244"/>
      <c r="F104" s="244"/>
      <c r="G104" s="244"/>
      <c r="L104">
        <f t="shared" si="87"/>
        <v>104</v>
      </c>
      <c r="R104" s="112">
        <f t="shared" si="67"/>
        <v>0</v>
      </c>
      <c r="S104" s="238" t="e">
        <f t="shared" si="96"/>
        <v>#N/A</v>
      </c>
      <c r="T104" s="112" t="e">
        <f t="shared" ca="1" si="97"/>
        <v>#N/A</v>
      </c>
      <c r="U104" s="112" t="e">
        <f t="shared" ca="1" si="98"/>
        <v>#N/A</v>
      </c>
      <c r="V104" s="112" t="e">
        <f t="shared" ca="1" si="99"/>
        <v>#N/A</v>
      </c>
      <c r="W104" s="112" t="e">
        <f t="shared" ca="1" si="100"/>
        <v>#N/A</v>
      </c>
      <c r="X104" s="112">
        <f t="shared" si="68"/>
        <v>0</v>
      </c>
      <c r="Y104" s="112"/>
      <c r="Z104" s="112"/>
      <c r="AA104" s="112">
        <f t="shared" si="69"/>
        <v>100000</v>
      </c>
      <c r="AB104" s="112" t="e">
        <f t="shared" ca="1" si="70"/>
        <v>#N/A</v>
      </c>
      <c r="AC104" s="112" t="e">
        <f t="shared" ca="1" si="71"/>
        <v>#N/A</v>
      </c>
      <c r="AD104" s="112" t="e">
        <f t="shared" ca="1" si="72"/>
        <v>#N/A</v>
      </c>
      <c r="AE104" s="112" t="e">
        <f t="shared" ca="1" si="73"/>
        <v>#N/A</v>
      </c>
      <c r="AF104" s="112">
        <f t="shared" si="74"/>
        <v>100000</v>
      </c>
      <c r="AG104" s="238">
        <f>AG103</f>
        <v>36</v>
      </c>
      <c r="AH104" s="112" t="e">
        <f ca="1">AI103+1</f>
        <v>#N/A</v>
      </c>
      <c r="AI104" s="112">
        <f ca="1">INDIRECT(CONCATENATE("AF",AG100))</f>
        <v>100000</v>
      </c>
      <c r="AJ104" s="114"/>
      <c r="AK104" s="114"/>
      <c r="AL104" s="238" t="e">
        <f t="shared" ca="1" si="88"/>
        <v>#N/A</v>
      </c>
      <c r="AM104" s="112">
        <f t="shared" ca="1" si="58"/>
        <v>100000</v>
      </c>
      <c r="AN104" s="112">
        <f t="shared" ca="1" si="89"/>
        <v>100000</v>
      </c>
      <c r="AO104" s="114">
        <f t="shared" ca="1" si="75"/>
        <v>0</v>
      </c>
      <c r="AP104" s="114">
        <f t="shared" ca="1" si="76"/>
        <v>0</v>
      </c>
      <c r="AQ104" s="112"/>
      <c r="AR104" s="238">
        <f t="shared" si="90"/>
        <v>104</v>
      </c>
      <c r="AS104" s="112"/>
      <c r="AT104" s="112"/>
      <c r="AU104" s="283">
        <f t="shared" si="91"/>
        <v>85</v>
      </c>
      <c r="AV104" s="284">
        <f t="shared" ca="1" si="77"/>
        <v>100000</v>
      </c>
      <c r="AW104" s="284">
        <f t="shared" ca="1" si="104"/>
        <v>100000</v>
      </c>
      <c r="AX104" s="285">
        <f t="shared" ca="1" si="78"/>
        <v>0</v>
      </c>
      <c r="AY104" s="285">
        <f t="shared" ca="1" si="79"/>
        <v>18</v>
      </c>
      <c r="AZ104" s="282"/>
      <c r="BD104" s="114">
        <f t="shared" si="92"/>
        <v>1</v>
      </c>
      <c r="BE104" s="112">
        <f t="shared" si="80"/>
        <v>100000</v>
      </c>
      <c r="BH104" s="238">
        <f t="shared" si="93"/>
        <v>85</v>
      </c>
      <c r="BI104" s="245">
        <f t="shared" si="81"/>
        <v>100000</v>
      </c>
      <c r="BJ104" s="281">
        <f t="shared" ca="1" si="64"/>
        <v>16</v>
      </c>
      <c r="BK104" s="245" t="e">
        <f t="shared" ca="1" si="82"/>
        <v>#N/A</v>
      </c>
      <c r="BL104" s="245" t="e">
        <f t="shared" ca="1" si="83"/>
        <v>#N/A</v>
      </c>
      <c r="BN104" s="245" t="e">
        <f t="shared" ca="1" si="102"/>
        <v>#N/A</v>
      </c>
      <c r="CL104" s="112"/>
      <c r="CM104" s="112"/>
      <c r="CP104" s="112"/>
      <c r="CQ104" s="112"/>
      <c r="CR104" s="238"/>
      <c r="CS104" s="238"/>
      <c r="CT104" s="112"/>
      <c r="CU104" s="112"/>
      <c r="CV104" s="112"/>
      <c r="CW104" s="112" t="s">
        <v>224</v>
      </c>
      <c r="CX104" s="112" t="s">
        <v>225</v>
      </c>
      <c r="CY104" s="112" t="s">
        <v>226</v>
      </c>
      <c r="CZ104" s="112" t="s">
        <v>227</v>
      </c>
      <c r="DA104" s="112" t="s">
        <v>228</v>
      </c>
      <c r="DB104" s="112" t="s">
        <v>229</v>
      </c>
      <c r="DC104" s="112"/>
      <c r="DD104" s="238"/>
      <c r="DE104" s="112"/>
      <c r="DF104" s="112"/>
      <c r="DG104" s="112"/>
      <c r="DH104" s="238"/>
      <c r="DI104" s="112"/>
      <c r="DJ104" s="112"/>
      <c r="DK104" s="112"/>
      <c r="DL104" s="278" t="str">
        <f t="shared" ca="1" si="94"/>
        <v/>
      </c>
      <c r="DM104" s="245" t="str">
        <f t="shared" ca="1" si="63"/>
        <v/>
      </c>
      <c r="DN104" s="245" t="str">
        <f t="shared" ca="1" si="63"/>
        <v/>
      </c>
      <c r="DO104" s="245" t="str">
        <f t="shared" ca="1" si="63"/>
        <v/>
      </c>
      <c r="DP104" s="245" t="str">
        <f t="shared" ca="1" si="63"/>
        <v/>
      </c>
      <c r="DQ104" s="245" t="str">
        <f t="shared" ca="1" si="63"/>
        <v/>
      </c>
      <c r="DR104" s="244"/>
      <c r="DS104" s="245" t="str">
        <f t="shared" si="105"/>
        <v/>
      </c>
      <c r="DT104" s="245" t="str">
        <f t="shared" si="105"/>
        <v/>
      </c>
      <c r="DU104" s="245" t="str">
        <f t="shared" si="105"/>
        <v/>
      </c>
      <c r="DV104" s="244" t="str">
        <f t="shared" ca="1" si="65"/>
        <v/>
      </c>
      <c r="DW104" s="244"/>
      <c r="DX104" s="244" t="str">
        <f t="shared" ca="1" si="95"/>
        <v/>
      </c>
      <c r="EA104" s="244" t="b">
        <f t="shared" ca="1" si="84"/>
        <v>0</v>
      </c>
      <c r="EB104" s="278" t="e">
        <f ca="1">VLOOKUP(DM104,Foglio1!$AB$31:$AN$261,13)-6+EA104</f>
        <v>#N/A</v>
      </c>
      <c r="EC104" s="244"/>
      <c r="ED104" s="244" t="e">
        <f t="shared" ca="1" si="106"/>
        <v>#N/A</v>
      </c>
      <c r="EE104" s="244" t="e">
        <f t="shared" ca="1" si="106"/>
        <v>#N/A</v>
      </c>
      <c r="EF104" s="244" t="e">
        <f t="shared" ca="1" si="106"/>
        <v>#N/A</v>
      </c>
      <c r="EG104" s="244" t="e">
        <f t="shared" ca="1" si="106"/>
        <v>#N/A</v>
      </c>
      <c r="EH104" s="244" t="e">
        <f t="shared" ca="1" si="106"/>
        <v>#N/A</v>
      </c>
      <c r="EI104" s="244" t="e">
        <f t="shared" ca="1" si="106"/>
        <v>#N/A</v>
      </c>
      <c r="EJ104" s="244" t="e">
        <f t="shared" ca="1" si="106"/>
        <v>#N/A</v>
      </c>
      <c r="EK104" s="244" t="e">
        <f t="shared" ca="1" si="106"/>
        <v>#N/A</v>
      </c>
      <c r="EL104" s="244" t="e">
        <f t="shared" ca="1" si="101"/>
        <v>#N/A</v>
      </c>
      <c r="EM104" s="244" t="e">
        <f t="shared" ca="1" si="101"/>
        <v>#N/A</v>
      </c>
      <c r="EN104" s="244" t="e">
        <f t="shared" ca="1" si="101"/>
        <v>#N/A</v>
      </c>
      <c r="EO104" s="244" t="e">
        <f t="shared" ca="1" si="101"/>
        <v>#N/A</v>
      </c>
      <c r="EP104" s="244" t="e">
        <f t="shared" ca="1" si="101"/>
        <v>#N/A</v>
      </c>
      <c r="EQ104" s="244" t="e">
        <f t="shared" ca="1" si="101"/>
        <v>#N/A</v>
      </c>
      <c r="ER104" s="244"/>
      <c r="EW104" s="244">
        <v>0</v>
      </c>
      <c r="EX104" s="278" t="e">
        <f ca="1">VLOOKUP(DM104,Foglio1!$AB$31:$AN$261,13)-6+EW104</f>
        <v>#N/A</v>
      </c>
      <c r="EY104" s="244"/>
      <c r="EZ104" s="244" t="e">
        <f t="shared" ca="1" si="85"/>
        <v>#N/A</v>
      </c>
      <c r="FA104" s="244" t="e">
        <f t="shared" ca="1" si="103"/>
        <v>#N/A</v>
      </c>
      <c r="FB104" s="244" t="e">
        <f t="shared" ca="1" si="103"/>
        <v>#N/A</v>
      </c>
      <c r="FC104" s="244" t="e">
        <f t="shared" ca="1" si="103"/>
        <v>#N/A</v>
      </c>
      <c r="FD104" s="244" t="e">
        <f t="shared" ca="1" si="103"/>
        <v>#N/A</v>
      </c>
      <c r="FE104" s="244" t="e">
        <f t="shared" ca="1" si="103"/>
        <v>#N/A</v>
      </c>
      <c r="FF104" s="244" t="e">
        <f t="shared" ca="1" si="103"/>
        <v>#N/A</v>
      </c>
      <c r="FG104" s="244" t="e">
        <f t="shared" ca="1" si="86"/>
        <v>#N/A</v>
      </c>
      <c r="FH104" s="244" t="e">
        <f t="shared" ca="1" si="86"/>
        <v>#N/A</v>
      </c>
      <c r="FI104" s="244" t="e">
        <f t="shared" ca="1" si="86"/>
        <v>#N/A</v>
      </c>
      <c r="FJ104" s="244" t="e">
        <f t="shared" ca="1" si="86"/>
        <v>#N/A</v>
      </c>
      <c r="FK104" s="244" t="e">
        <f t="shared" ca="1" si="86"/>
        <v>#N/A</v>
      </c>
      <c r="FL104" s="244" t="e">
        <f t="shared" ca="1" si="86"/>
        <v>#N/A</v>
      </c>
      <c r="FM104" s="244" t="e">
        <f t="shared" ca="1" si="66"/>
        <v>#N/A</v>
      </c>
      <c r="FN104" s="244"/>
    </row>
    <row r="105" spans="5:170" x14ac:dyDescent="0.25">
      <c r="E105" s="244"/>
      <c r="F105" s="244"/>
      <c r="G105" s="244"/>
      <c r="L105">
        <f t="shared" si="87"/>
        <v>105</v>
      </c>
      <c r="R105" s="112">
        <f t="shared" si="67"/>
        <v>0</v>
      </c>
      <c r="S105" s="238" t="e">
        <f t="shared" si="96"/>
        <v>#N/A</v>
      </c>
      <c r="T105" s="112" t="e">
        <f t="shared" ca="1" si="97"/>
        <v>#N/A</v>
      </c>
      <c r="U105" s="112" t="e">
        <f t="shared" ca="1" si="98"/>
        <v>#N/A</v>
      </c>
      <c r="V105" s="112" t="e">
        <f t="shared" ca="1" si="99"/>
        <v>#N/A</v>
      </c>
      <c r="W105" s="112" t="e">
        <f t="shared" ca="1" si="100"/>
        <v>#N/A</v>
      </c>
      <c r="X105" s="112">
        <f t="shared" si="68"/>
        <v>0</v>
      </c>
      <c r="Y105" s="112"/>
      <c r="Z105" s="112"/>
      <c r="AA105" s="112">
        <f t="shared" si="69"/>
        <v>100000</v>
      </c>
      <c r="AB105" s="112" t="e">
        <f t="shared" ca="1" si="70"/>
        <v>#N/A</v>
      </c>
      <c r="AC105" s="112" t="e">
        <f t="shared" ca="1" si="71"/>
        <v>#N/A</v>
      </c>
      <c r="AD105" s="112" t="e">
        <f t="shared" ca="1" si="72"/>
        <v>#N/A</v>
      </c>
      <c r="AE105" s="112" t="e">
        <f t="shared" ca="1" si="73"/>
        <v>#N/A</v>
      </c>
      <c r="AF105" s="112">
        <f t="shared" si="74"/>
        <v>100000</v>
      </c>
      <c r="AG105" s="238">
        <f>AG104+1</f>
        <v>37</v>
      </c>
      <c r="AH105" s="112">
        <f ca="1">INDIRECT(CONCATENATE("AA",AG105))</f>
        <v>100000</v>
      </c>
      <c r="AI105" s="112" t="e">
        <f ca="1">IF(            INDIRECT(CONCATENATE( "AB",AG105))&lt;100000,       INDIRECT(CONCATENATE("AB",AG105))  -1,IF(   INDIRECT(CONCATENATE("AC",AG105))&lt;100000,   INDIRECT(CONCATENATE("AC",AG105))-1,IF(   INDIRECT(CONCATENATE("AD", AG105))&lt;100000, INDIRECT(CONCATENATE("AD",AG105))-1,IF(   INDIRECT(CONCATENATE("AE",AG105))&lt;100000,  INDIRECT(CONCATENATE("AE",G105)),INDIRECT(CONCATENATE("AF",AG105))                ))))</f>
        <v>#N/A</v>
      </c>
      <c r="AJ105" s="114"/>
      <c r="AK105" s="114"/>
      <c r="AL105" s="238" t="e">
        <f t="shared" ca="1" si="88"/>
        <v>#N/A</v>
      </c>
      <c r="AM105" s="112">
        <f t="shared" ref="AM105:AM168" ca="1" si="107">IF(TYPE(AL105)=16,100000,IF(AL105=0,100000,AH105))</f>
        <v>100000</v>
      </c>
      <c r="AN105" s="112">
        <f t="shared" ca="1" si="89"/>
        <v>100000</v>
      </c>
      <c r="AO105" s="114">
        <f t="shared" ca="1" si="75"/>
        <v>0</v>
      </c>
      <c r="AP105" s="114">
        <f t="shared" ca="1" si="76"/>
        <v>0</v>
      </c>
      <c r="AQ105" s="112"/>
      <c r="AR105" s="238">
        <f t="shared" si="90"/>
        <v>105</v>
      </c>
      <c r="AS105" s="112"/>
      <c r="AT105" s="112"/>
      <c r="AU105" s="283">
        <f t="shared" si="91"/>
        <v>86</v>
      </c>
      <c r="AV105" s="284">
        <f t="shared" ca="1" si="77"/>
        <v>100000</v>
      </c>
      <c r="AW105" s="284">
        <f t="shared" ca="1" si="104"/>
        <v>100000</v>
      </c>
      <c r="AX105" s="285">
        <f t="shared" ca="1" si="78"/>
        <v>0</v>
      </c>
      <c r="AY105" s="285">
        <f t="shared" ca="1" si="79"/>
        <v>18</v>
      </c>
      <c r="AZ105" s="282"/>
      <c r="BD105" s="114">
        <f t="shared" si="92"/>
        <v>1</v>
      </c>
      <c r="BE105" s="112">
        <f t="shared" si="80"/>
        <v>100000</v>
      </c>
      <c r="BH105" s="238">
        <f t="shared" si="93"/>
        <v>86</v>
      </c>
      <c r="BI105" s="245">
        <f t="shared" si="81"/>
        <v>100000</v>
      </c>
      <c r="BJ105" s="281">
        <f t="shared" ca="1" si="64"/>
        <v>16</v>
      </c>
      <c r="BK105" s="245" t="e">
        <f t="shared" ca="1" si="82"/>
        <v>#N/A</v>
      </c>
      <c r="BL105" s="245" t="e">
        <f t="shared" ca="1" si="83"/>
        <v>#N/A</v>
      </c>
      <c r="BN105" s="245" t="e">
        <f t="shared" ca="1" si="102"/>
        <v>#N/A</v>
      </c>
      <c r="CL105" s="112"/>
      <c r="CM105" s="112"/>
      <c r="CP105" s="112"/>
      <c r="CQ105" s="112"/>
      <c r="CR105" s="238"/>
      <c r="CS105" s="238"/>
      <c r="CT105" s="112"/>
      <c r="CU105" s="112"/>
      <c r="CV105" s="112"/>
      <c r="CW105" s="112" t="s">
        <v>224</v>
      </c>
      <c r="CX105" s="112" t="s">
        <v>225</v>
      </c>
      <c r="CY105" s="112" t="s">
        <v>226</v>
      </c>
      <c r="CZ105" s="112" t="s">
        <v>227</v>
      </c>
      <c r="DA105" s="112" t="s">
        <v>228</v>
      </c>
      <c r="DB105" s="112" t="s">
        <v>229</v>
      </c>
      <c r="DC105" s="112"/>
      <c r="DD105" s="238"/>
      <c r="DE105" s="112"/>
      <c r="DF105" s="112"/>
      <c r="DG105" s="112"/>
      <c r="DH105" s="238"/>
      <c r="DI105" s="112"/>
      <c r="DJ105" s="112"/>
      <c r="DK105" s="112"/>
      <c r="DL105" s="278" t="str">
        <f t="shared" ca="1" si="94"/>
        <v/>
      </c>
      <c r="DM105" s="245" t="str">
        <f t="shared" ca="1" si="63"/>
        <v/>
      </c>
      <c r="DN105" s="245" t="str">
        <f t="shared" ca="1" si="63"/>
        <v/>
      </c>
      <c r="DO105" s="245" t="str">
        <f t="shared" ca="1" si="63"/>
        <v/>
      </c>
      <c r="DP105" s="245" t="str">
        <f t="shared" ca="1" si="63"/>
        <v/>
      </c>
      <c r="DQ105" s="245" t="str">
        <f t="shared" ca="1" si="63"/>
        <v/>
      </c>
      <c r="DR105" s="244"/>
      <c r="DS105" s="245" t="str">
        <f t="shared" si="105"/>
        <v/>
      </c>
      <c r="DT105" s="245" t="str">
        <f t="shared" si="105"/>
        <v/>
      </c>
      <c r="DU105" s="245" t="str">
        <f t="shared" si="105"/>
        <v/>
      </c>
      <c r="DV105" s="244" t="str">
        <f t="shared" ca="1" si="65"/>
        <v/>
      </c>
      <c r="DW105" s="244"/>
      <c r="DX105" s="244" t="str">
        <f t="shared" ca="1" si="95"/>
        <v/>
      </c>
      <c r="EA105" s="244" t="b">
        <f t="shared" ca="1" si="84"/>
        <v>0</v>
      </c>
      <c r="EB105" s="278" t="e">
        <f ca="1">VLOOKUP(DM105,Foglio1!$AB$31:$AN$261,13)-6+EA105</f>
        <v>#N/A</v>
      </c>
      <c r="EC105" s="244"/>
      <c r="ED105" s="244" t="e">
        <f t="shared" ca="1" si="106"/>
        <v>#N/A</v>
      </c>
      <c r="EE105" s="244" t="e">
        <f t="shared" ca="1" si="106"/>
        <v>#N/A</v>
      </c>
      <c r="EF105" s="244" t="e">
        <f t="shared" ca="1" si="106"/>
        <v>#N/A</v>
      </c>
      <c r="EG105" s="244" t="e">
        <f t="shared" ca="1" si="106"/>
        <v>#N/A</v>
      </c>
      <c r="EH105" s="244" t="e">
        <f t="shared" ca="1" si="106"/>
        <v>#N/A</v>
      </c>
      <c r="EI105" s="244" t="e">
        <f t="shared" ca="1" si="106"/>
        <v>#N/A</v>
      </c>
      <c r="EJ105" s="244" t="e">
        <f t="shared" ca="1" si="106"/>
        <v>#N/A</v>
      </c>
      <c r="EK105" s="244" t="e">
        <f t="shared" ca="1" si="106"/>
        <v>#N/A</v>
      </c>
      <c r="EL105" s="244" t="e">
        <f t="shared" ca="1" si="101"/>
        <v>#N/A</v>
      </c>
      <c r="EM105" s="244" t="e">
        <f t="shared" ca="1" si="101"/>
        <v>#N/A</v>
      </c>
      <c r="EN105" s="244" t="e">
        <f t="shared" ca="1" si="101"/>
        <v>#N/A</v>
      </c>
      <c r="EO105" s="244" t="e">
        <f t="shared" ca="1" si="101"/>
        <v>#N/A</v>
      </c>
      <c r="EP105" s="244" t="e">
        <f t="shared" ca="1" si="101"/>
        <v>#N/A</v>
      </c>
      <c r="EQ105" s="244" t="e">
        <f t="shared" ca="1" si="101"/>
        <v>#N/A</v>
      </c>
      <c r="ER105" s="244"/>
      <c r="EW105" s="244">
        <v>0</v>
      </c>
      <c r="EX105" s="278" t="e">
        <f ca="1">VLOOKUP(DM105,Foglio1!$AB$31:$AN$261,13)-6+EW105</f>
        <v>#N/A</v>
      </c>
      <c r="EY105" s="244"/>
      <c r="EZ105" s="244" t="e">
        <f t="shared" ca="1" si="85"/>
        <v>#N/A</v>
      </c>
      <c r="FA105" s="244" t="e">
        <f t="shared" ca="1" si="103"/>
        <v>#N/A</v>
      </c>
      <c r="FB105" s="244" t="e">
        <f t="shared" ca="1" si="103"/>
        <v>#N/A</v>
      </c>
      <c r="FC105" s="244" t="e">
        <f t="shared" ca="1" si="103"/>
        <v>#N/A</v>
      </c>
      <c r="FD105" s="244" t="e">
        <f t="shared" ca="1" si="103"/>
        <v>#N/A</v>
      </c>
      <c r="FE105" s="244" t="e">
        <f t="shared" ca="1" si="103"/>
        <v>#N/A</v>
      </c>
      <c r="FF105" s="244" t="e">
        <f t="shared" ca="1" si="103"/>
        <v>#N/A</v>
      </c>
      <c r="FG105" s="244" t="e">
        <f t="shared" ca="1" si="86"/>
        <v>#N/A</v>
      </c>
      <c r="FH105" s="244" t="e">
        <f t="shared" ca="1" si="86"/>
        <v>#N/A</v>
      </c>
      <c r="FI105" s="244" t="e">
        <f t="shared" ca="1" si="86"/>
        <v>#N/A</v>
      </c>
      <c r="FJ105" s="244" t="e">
        <f t="shared" ca="1" si="86"/>
        <v>#N/A</v>
      </c>
      <c r="FK105" s="244" t="e">
        <f t="shared" ca="1" si="86"/>
        <v>#N/A</v>
      </c>
      <c r="FL105" s="244" t="e">
        <f t="shared" ca="1" si="86"/>
        <v>#N/A</v>
      </c>
      <c r="FM105" s="244" t="e">
        <f t="shared" ca="1" si="66"/>
        <v>#N/A</v>
      </c>
      <c r="FN105" s="244"/>
    </row>
    <row r="106" spans="5:170" x14ac:dyDescent="0.25">
      <c r="E106" s="244"/>
      <c r="F106" s="244"/>
      <c r="G106" s="244"/>
      <c r="L106">
        <f t="shared" si="87"/>
        <v>106</v>
      </c>
      <c r="R106" s="112">
        <f t="shared" si="67"/>
        <v>0</v>
      </c>
      <c r="S106" s="238" t="e">
        <f t="shared" si="96"/>
        <v>#N/A</v>
      </c>
      <c r="T106" s="112" t="e">
        <f t="shared" ca="1" si="97"/>
        <v>#N/A</v>
      </c>
      <c r="U106" s="112" t="e">
        <f t="shared" ca="1" si="98"/>
        <v>#N/A</v>
      </c>
      <c r="V106" s="112" t="e">
        <f t="shared" ca="1" si="99"/>
        <v>#N/A</v>
      </c>
      <c r="W106" s="112" t="e">
        <f t="shared" ca="1" si="100"/>
        <v>#N/A</v>
      </c>
      <c r="X106" s="112">
        <f t="shared" si="68"/>
        <v>0</v>
      </c>
      <c r="Y106" s="112"/>
      <c r="Z106" s="112"/>
      <c r="AA106" s="112">
        <f t="shared" si="69"/>
        <v>100000</v>
      </c>
      <c r="AB106" s="112" t="e">
        <f t="shared" ca="1" si="70"/>
        <v>#N/A</v>
      </c>
      <c r="AC106" s="112" t="e">
        <f t="shared" ca="1" si="71"/>
        <v>#N/A</v>
      </c>
      <c r="AD106" s="112" t="e">
        <f t="shared" ca="1" si="72"/>
        <v>#N/A</v>
      </c>
      <c r="AE106" s="112" t="e">
        <f t="shared" ca="1" si="73"/>
        <v>#N/A</v>
      </c>
      <c r="AF106" s="112">
        <f t="shared" si="74"/>
        <v>100000</v>
      </c>
      <c r="AG106" s="238">
        <f>AG105</f>
        <v>37</v>
      </c>
      <c r="AH106" s="112" t="e">
        <f ca="1">AI105+1</f>
        <v>#N/A</v>
      </c>
      <c r="AI106" s="112" t="e">
        <f ca="1">IF(INDIRECT(CONCATENATE("AC",AG105))&lt;100000,INDIRECT(CONCATENATE("AC",AG105))-1,IF(INDIRECT(CONCATENATE("AD",AG105))&lt;100000,INDIRECT(CONCATENATE("AD",AG105))-1,IF(INDIRECT(CONCATENATE("AE",AG105))&lt;100000,INDIRECT(CONCATENATE("AE",G105)),INDIRECT(CONCATENATE("AF",AG105)))))</f>
        <v>#N/A</v>
      </c>
      <c r="AJ106" s="114"/>
      <c r="AK106" s="114"/>
      <c r="AL106" s="238" t="e">
        <f t="shared" ca="1" si="88"/>
        <v>#N/A</v>
      </c>
      <c r="AM106" s="112">
        <f t="shared" ca="1" si="107"/>
        <v>100000</v>
      </c>
      <c r="AN106" s="112">
        <f t="shared" ca="1" si="89"/>
        <v>100000</v>
      </c>
      <c r="AO106" s="114">
        <f t="shared" ca="1" si="75"/>
        <v>0</v>
      </c>
      <c r="AP106" s="114">
        <f t="shared" ca="1" si="76"/>
        <v>0</v>
      </c>
      <c r="AQ106" s="112"/>
      <c r="AR106" s="238">
        <f t="shared" si="90"/>
        <v>106</v>
      </c>
      <c r="AS106" s="112"/>
      <c r="AT106" s="112"/>
      <c r="AU106" s="283">
        <f t="shared" si="91"/>
        <v>87</v>
      </c>
      <c r="AV106" s="284">
        <f t="shared" ca="1" si="77"/>
        <v>100000</v>
      </c>
      <c r="AW106" s="284">
        <f t="shared" ca="1" si="104"/>
        <v>100000</v>
      </c>
      <c r="AX106" s="285">
        <f t="shared" ca="1" si="78"/>
        <v>0</v>
      </c>
      <c r="AY106" s="285">
        <f t="shared" ca="1" si="79"/>
        <v>18</v>
      </c>
      <c r="AZ106" s="282"/>
      <c r="BD106" s="114">
        <f t="shared" si="92"/>
        <v>1</v>
      </c>
      <c r="BE106" s="112">
        <f t="shared" si="80"/>
        <v>100000</v>
      </c>
      <c r="BH106" s="238">
        <f t="shared" si="93"/>
        <v>87</v>
      </c>
      <c r="BI106" s="245">
        <f t="shared" si="81"/>
        <v>100000</v>
      </c>
      <c r="BJ106" s="281">
        <f t="shared" ca="1" si="64"/>
        <v>16</v>
      </c>
      <c r="BK106" s="245" t="e">
        <f t="shared" ca="1" si="82"/>
        <v>#N/A</v>
      </c>
      <c r="BL106" s="245" t="e">
        <f t="shared" ca="1" si="83"/>
        <v>#N/A</v>
      </c>
      <c r="BN106" s="245" t="e">
        <f t="shared" ca="1" si="102"/>
        <v>#N/A</v>
      </c>
      <c r="CL106" s="112"/>
      <c r="CM106" s="112"/>
      <c r="CP106" s="112"/>
      <c r="CQ106" s="112"/>
      <c r="CR106" s="238"/>
      <c r="CS106" s="238"/>
      <c r="CT106" s="112"/>
      <c r="CU106" s="112"/>
      <c r="CV106" s="112"/>
      <c r="CW106" s="112" t="s">
        <v>224</v>
      </c>
      <c r="CX106" s="112" t="s">
        <v>225</v>
      </c>
      <c r="CY106" s="112" t="s">
        <v>226</v>
      </c>
      <c r="CZ106" s="112" t="s">
        <v>227</v>
      </c>
      <c r="DA106" s="112" t="s">
        <v>228</v>
      </c>
      <c r="DB106" s="112" t="s">
        <v>229</v>
      </c>
      <c r="DC106" s="112"/>
      <c r="DD106" s="238"/>
      <c r="DE106" s="112"/>
      <c r="DF106" s="112"/>
      <c r="DG106" s="112"/>
      <c r="DH106" s="238"/>
      <c r="DI106" s="112"/>
      <c r="DJ106" s="112"/>
      <c r="DK106" s="112"/>
      <c r="DL106" s="278" t="str">
        <f t="shared" ca="1" si="94"/>
        <v/>
      </c>
      <c r="DM106" s="245" t="str">
        <f t="shared" ca="1" si="63"/>
        <v/>
      </c>
      <c r="DN106" s="245" t="str">
        <f t="shared" ca="1" si="63"/>
        <v/>
      </c>
      <c r="DO106" s="245" t="str">
        <f t="shared" ca="1" si="63"/>
        <v/>
      </c>
      <c r="DP106" s="245" t="str">
        <f t="shared" ca="1" si="63"/>
        <v/>
      </c>
      <c r="DQ106" s="245" t="str">
        <f t="shared" ca="1" si="63"/>
        <v/>
      </c>
      <c r="DR106" s="244"/>
      <c r="DS106" s="245" t="str">
        <f t="shared" si="105"/>
        <v/>
      </c>
      <c r="DT106" s="245" t="str">
        <f t="shared" si="105"/>
        <v/>
      </c>
      <c r="DU106" s="245" t="str">
        <f t="shared" si="105"/>
        <v/>
      </c>
      <c r="DV106" s="244" t="str">
        <f t="shared" ca="1" si="65"/>
        <v/>
      </c>
      <c r="DW106" s="244"/>
      <c r="DX106" s="244" t="str">
        <f t="shared" ca="1" si="95"/>
        <v/>
      </c>
      <c r="EA106" s="244" t="b">
        <f t="shared" ca="1" si="84"/>
        <v>0</v>
      </c>
      <c r="EB106" s="278" t="e">
        <f ca="1">VLOOKUP(DM106,Foglio1!$AB$31:$AN$261,13)-6+EA106</f>
        <v>#N/A</v>
      </c>
      <c r="EC106" s="244"/>
      <c r="ED106" s="244" t="e">
        <f t="shared" ca="1" si="106"/>
        <v>#N/A</v>
      </c>
      <c r="EE106" s="244" t="e">
        <f t="shared" ca="1" si="106"/>
        <v>#N/A</v>
      </c>
      <c r="EF106" s="244" t="e">
        <f t="shared" ca="1" si="106"/>
        <v>#N/A</v>
      </c>
      <c r="EG106" s="244" t="e">
        <f t="shared" ca="1" si="106"/>
        <v>#N/A</v>
      </c>
      <c r="EH106" s="244" t="e">
        <f t="shared" ca="1" si="106"/>
        <v>#N/A</v>
      </c>
      <c r="EI106" s="244" t="e">
        <f t="shared" ca="1" si="106"/>
        <v>#N/A</v>
      </c>
      <c r="EJ106" s="244" t="e">
        <f t="shared" ca="1" si="106"/>
        <v>#N/A</v>
      </c>
      <c r="EK106" s="244" t="e">
        <f t="shared" ca="1" si="106"/>
        <v>#N/A</v>
      </c>
      <c r="EL106" s="244" t="e">
        <f t="shared" ca="1" si="101"/>
        <v>#N/A</v>
      </c>
      <c r="EM106" s="244" t="e">
        <f t="shared" ca="1" si="101"/>
        <v>#N/A</v>
      </c>
      <c r="EN106" s="244" t="e">
        <f t="shared" ca="1" si="101"/>
        <v>#N/A</v>
      </c>
      <c r="EO106" s="244" t="e">
        <f t="shared" ca="1" si="101"/>
        <v>#N/A</v>
      </c>
      <c r="EP106" s="244" t="e">
        <f t="shared" ca="1" si="101"/>
        <v>#N/A</v>
      </c>
      <c r="EQ106" s="244" t="e">
        <f t="shared" ca="1" si="101"/>
        <v>#N/A</v>
      </c>
      <c r="ER106" s="244"/>
      <c r="EW106" s="244">
        <v>0</v>
      </c>
      <c r="EX106" s="278" t="e">
        <f ca="1">VLOOKUP(DM106,Foglio1!$AB$31:$AN$261,13)-6+EW106</f>
        <v>#N/A</v>
      </c>
      <c r="EY106" s="244"/>
      <c r="EZ106" s="244" t="e">
        <f t="shared" ca="1" si="85"/>
        <v>#N/A</v>
      </c>
      <c r="FA106" s="244" t="e">
        <f t="shared" ca="1" si="103"/>
        <v>#N/A</v>
      </c>
      <c r="FB106" s="244" t="e">
        <f t="shared" ca="1" si="103"/>
        <v>#N/A</v>
      </c>
      <c r="FC106" s="244" t="e">
        <f t="shared" ca="1" si="103"/>
        <v>#N/A</v>
      </c>
      <c r="FD106" s="244" t="e">
        <f t="shared" ca="1" si="103"/>
        <v>#N/A</v>
      </c>
      <c r="FE106" s="244" t="e">
        <f t="shared" ca="1" si="103"/>
        <v>#N/A</v>
      </c>
      <c r="FF106" s="244" t="e">
        <f t="shared" ca="1" si="103"/>
        <v>#N/A</v>
      </c>
      <c r="FG106" s="244" t="e">
        <f t="shared" ca="1" si="86"/>
        <v>#N/A</v>
      </c>
      <c r="FH106" s="244" t="e">
        <f t="shared" ca="1" si="86"/>
        <v>#N/A</v>
      </c>
      <c r="FI106" s="244" t="e">
        <f t="shared" ca="1" si="86"/>
        <v>#N/A</v>
      </c>
      <c r="FJ106" s="244" t="e">
        <f t="shared" ca="1" si="86"/>
        <v>#N/A</v>
      </c>
      <c r="FK106" s="244" t="e">
        <f t="shared" ca="1" si="86"/>
        <v>#N/A</v>
      </c>
      <c r="FL106" s="244" t="e">
        <f t="shared" ca="1" si="86"/>
        <v>#N/A</v>
      </c>
      <c r="FM106" s="244" t="e">
        <f t="shared" ca="1" si="66"/>
        <v>#N/A</v>
      </c>
      <c r="FN106" s="244"/>
    </row>
    <row r="107" spans="5:170" x14ac:dyDescent="0.25">
      <c r="E107" s="244"/>
      <c r="F107" s="244"/>
      <c r="G107" s="244"/>
      <c r="L107">
        <f t="shared" si="87"/>
        <v>107</v>
      </c>
      <c r="R107" s="112">
        <f t="shared" si="67"/>
        <v>0</v>
      </c>
      <c r="S107" s="238" t="e">
        <f t="shared" si="96"/>
        <v>#N/A</v>
      </c>
      <c r="T107" s="112" t="e">
        <f t="shared" ca="1" si="97"/>
        <v>#N/A</v>
      </c>
      <c r="U107" s="112" t="e">
        <f t="shared" ca="1" si="98"/>
        <v>#N/A</v>
      </c>
      <c r="V107" s="112" t="e">
        <f t="shared" ca="1" si="99"/>
        <v>#N/A</v>
      </c>
      <c r="W107" s="112" t="e">
        <f t="shared" ca="1" si="100"/>
        <v>#N/A</v>
      </c>
      <c r="X107" s="112">
        <f t="shared" si="68"/>
        <v>0</v>
      </c>
      <c r="Y107" s="112"/>
      <c r="Z107" s="112"/>
      <c r="AA107" s="112">
        <f t="shared" si="69"/>
        <v>100000</v>
      </c>
      <c r="AB107" s="112" t="e">
        <f t="shared" ca="1" si="70"/>
        <v>#N/A</v>
      </c>
      <c r="AC107" s="112" t="e">
        <f t="shared" ca="1" si="71"/>
        <v>#N/A</v>
      </c>
      <c r="AD107" s="112" t="e">
        <f t="shared" ca="1" si="72"/>
        <v>#N/A</v>
      </c>
      <c r="AE107" s="112" t="e">
        <f t="shared" ca="1" si="73"/>
        <v>#N/A</v>
      </c>
      <c r="AF107" s="112">
        <f t="shared" si="74"/>
        <v>100000</v>
      </c>
      <c r="AG107" s="238">
        <f>AG106</f>
        <v>37</v>
      </c>
      <c r="AH107" s="112" t="e">
        <f ca="1">AI106+1</f>
        <v>#N/A</v>
      </c>
      <c r="AI107" s="112" t="e">
        <f ca="1">IF(INDIRECT(CONCATENATE("AD",AG105))&lt;100000,INDIRECT(CONCATENATE("AD",AG105))-1,IF(INDIRECT(CONCATENATE("AE",AG105))&lt;100000,INDIRECT(CONCATENATE("AE",G105)),INDIRECT(CONCATENATE("AF",AG105))))</f>
        <v>#N/A</v>
      </c>
      <c r="AJ107" s="114"/>
      <c r="AK107" s="114"/>
      <c r="AL107" s="238" t="e">
        <f t="shared" ca="1" si="88"/>
        <v>#N/A</v>
      </c>
      <c r="AM107" s="112">
        <f t="shared" ca="1" si="107"/>
        <v>100000</v>
      </c>
      <c r="AN107" s="112">
        <f t="shared" ca="1" si="89"/>
        <v>100000</v>
      </c>
      <c r="AO107" s="114">
        <f t="shared" ca="1" si="75"/>
        <v>0</v>
      </c>
      <c r="AP107" s="114">
        <f t="shared" ca="1" si="76"/>
        <v>0</v>
      </c>
      <c r="AQ107" s="112"/>
      <c r="AR107" s="238">
        <f t="shared" si="90"/>
        <v>107</v>
      </c>
      <c r="AS107" s="112"/>
      <c r="AT107" s="112"/>
      <c r="AU107" s="283">
        <f t="shared" si="91"/>
        <v>88</v>
      </c>
      <c r="AV107" s="284">
        <f t="shared" ca="1" si="77"/>
        <v>100000</v>
      </c>
      <c r="AW107" s="284">
        <f t="shared" ca="1" si="104"/>
        <v>100000</v>
      </c>
      <c r="AX107" s="285">
        <f t="shared" ca="1" si="78"/>
        <v>0</v>
      </c>
      <c r="AY107" s="285">
        <f t="shared" ca="1" si="79"/>
        <v>18</v>
      </c>
      <c r="AZ107" s="282"/>
      <c r="BD107" s="114">
        <f t="shared" si="92"/>
        <v>1</v>
      </c>
      <c r="BE107" s="112">
        <f t="shared" si="80"/>
        <v>100000</v>
      </c>
      <c r="BH107" s="238">
        <f t="shared" si="93"/>
        <v>88</v>
      </c>
      <c r="BI107" s="245">
        <f t="shared" si="81"/>
        <v>100000</v>
      </c>
      <c r="BJ107" s="281">
        <f t="shared" ca="1" si="64"/>
        <v>16</v>
      </c>
      <c r="BK107" s="245" t="e">
        <f t="shared" ca="1" si="82"/>
        <v>#N/A</v>
      </c>
      <c r="BL107" s="245" t="e">
        <f t="shared" ca="1" si="83"/>
        <v>#N/A</v>
      </c>
      <c r="BN107" s="245" t="e">
        <f t="shared" ca="1" si="102"/>
        <v>#N/A</v>
      </c>
      <c r="CL107" s="112"/>
      <c r="CM107" s="112"/>
      <c r="CP107" s="112"/>
      <c r="CQ107" s="112"/>
      <c r="CR107" s="238"/>
      <c r="CS107" s="238"/>
      <c r="CT107" s="112"/>
      <c r="CU107" s="112"/>
      <c r="CV107" s="112"/>
      <c r="CW107" s="112" t="s">
        <v>224</v>
      </c>
      <c r="CX107" s="112" t="s">
        <v>225</v>
      </c>
      <c r="CY107" s="112" t="s">
        <v>226</v>
      </c>
      <c r="CZ107" s="112" t="s">
        <v>227</v>
      </c>
      <c r="DA107" s="112" t="s">
        <v>228</v>
      </c>
      <c r="DB107" s="112" t="s">
        <v>229</v>
      </c>
      <c r="DC107" s="112"/>
      <c r="DD107" s="238"/>
      <c r="DE107" s="112"/>
      <c r="DF107" s="112"/>
      <c r="DG107" s="112"/>
      <c r="DH107" s="238"/>
      <c r="DI107" s="112"/>
      <c r="DJ107" s="112"/>
      <c r="DK107" s="112"/>
      <c r="DL107" s="278" t="str">
        <f t="shared" ca="1" si="94"/>
        <v/>
      </c>
      <c r="DM107" s="245" t="str">
        <f t="shared" ca="1" si="63"/>
        <v/>
      </c>
      <c r="DN107" s="245" t="str">
        <f t="shared" ca="1" si="63"/>
        <v/>
      </c>
      <c r="DO107" s="245" t="str">
        <f t="shared" ca="1" si="63"/>
        <v/>
      </c>
      <c r="DP107" s="245" t="str">
        <f t="shared" ca="1" si="63"/>
        <v/>
      </c>
      <c r="DQ107" s="245" t="str">
        <f t="shared" ca="1" si="63"/>
        <v/>
      </c>
      <c r="DR107" s="244"/>
      <c r="DS107" s="245" t="str">
        <f t="shared" si="105"/>
        <v/>
      </c>
      <c r="DT107" s="245" t="str">
        <f t="shared" si="105"/>
        <v/>
      </c>
      <c r="DU107" s="245" t="str">
        <f t="shared" si="105"/>
        <v/>
      </c>
      <c r="DV107" s="244" t="str">
        <f t="shared" ca="1" si="65"/>
        <v/>
      </c>
      <c r="DW107" s="244"/>
      <c r="DX107" s="244" t="str">
        <f t="shared" ca="1" si="95"/>
        <v/>
      </c>
      <c r="EA107" s="244" t="b">
        <f t="shared" ca="1" si="84"/>
        <v>0</v>
      </c>
      <c r="EB107" s="278" t="e">
        <f ca="1">VLOOKUP(DM107,Foglio1!$AB$31:$AN$261,13)-6+EA107</f>
        <v>#N/A</v>
      </c>
      <c r="EC107" s="244"/>
      <c r="ED107" s="244" t="e">
        <f t="shared" ca="1" si="106"/>
        <v>#N/A</v>
      </c>
      <c r="EE107" s="244" t="e">
        <f t="shared" ca="1" si="106"/>
        <v>#N/A</v>
      </c>
      <c r="EF107" s="244" t="e">
        <f t="shared" ca="1" si="106"/>
        <v>#N/A</v>
      </c>
      <c r="EG107" s="244" t="e">
        <f t="shared" ca="1" si="106"/>
        <v>#N/A</v>
      </c>
      <c r="EH107" s="244" t="e">
        <f t="shared" ca="1" si="106"/>
        <v>#N/A</v>
      </c>
      <c r="EI107" s="244" t="e">
        <f t="shared" ca="1" si="106"/>
        <v>#N/A</v>
      </c>
      <c r="EJ107" s="244" t="e">
        <f t="shared" ca="1" si="106"/>
        <v>#N/A</v>
      </c>
      <c r="EK107" s="244" t="e">
        <f t="shared" ca="1" si="106"/>
        <v>#N/A</v>
      </c>
      <c r="EL107" s="244" t="e">
        <f t="shared" ca="1" si="101"/>
        <v>#N/A</v>
      </c>
      <c r="EM107" s="244" t="e">
        <f t="shared" ca="1" si="101"/>
        <v>#N/A</v>
      </c>
      <c r="EN107" s="244" t="e">
        <f t="shared" ca="1" si="101"/>
        <v>#N/A</v>
      </c>
      <c r="EO107" s="244" t="e">
        <f t="shared" ca="1" si="101"/>
        <v>#N/A</v>
      </c>
      <c r="EP107" s="244" t="e">
        <f t="shared" ca="1" si="101"/>
        <v>#N/A</v>
      </c>
      <c r="EQ107" s="244" t="e">
        <f t="shared" ca="1" si="101"/>
        <v>#N/A</v>
      </c>
      <c r="ER107" s="244"/>
      <c r="EW107" s="244">
        <v>0</v>
      </c>
      <c r="EX107" s="278" t="e">
        <f ca="1">VLOOKUP(DM107,Foglio1!$AB$31:$AN$261,13)-6+EW107</f>
        <v>#N/A</v>
      </c>
      <c r="EY107" s="244"/>
      <c r="EZ107" s="244" t="e">
        <f t="shared" ca="1" si="85"/>
        <v>#N/A</v>
      </c>
      <c r="FA107" s="244" t="e">
        <f t="shared" ca="1" si="103"/>
        <v>#N/A</v>
      </c>
      <c r="FB107" s="244" t="e">
        <f t="shared" ca="1" si="103"/>
        <v>#N/A</v>
      </c>
      <c r="FC107" s="244" t="e">
        <f t="shared" ca="1" si="103"/>
        <v>#N/A</v>
      </c>
      <c r="FD107" s="244" t="e">
        <f t="shared" ca="1" si="103"/>
        <v>#N/A</v>
      </c>
      <c r="FE107" s="244" t="e">
        <f t="shared" ca="1" si="103"/>
        <v>#N/A</v>
      </c>
      <c r="FF107" s="244" t="e">
        <f t="shared" ca="1" si="103"/>
        <v>#N/A</v>
      </c>
      <c r="FG107" s="244" t="e">
        <f t="shared" ca="1" si="86"/>
        <v>#N/A</v>
      </c>
      <c r="FH107" s="244" t="e">
        <f t="shared" ca="1" si="86"/>
        <v>#N/A</v>
      </c>
      <c r="FI107" s="244" t="e">
        <f t="shared" ca="1" si="86"/>
        <v>#N/A</v>
      </c>
      <c r="FJ107" s="244" t="e">
        <f t="shared" ca="1" si="86"/>
        <v>#N/A</v>
      </c>
      <c r="FK107" s="244" t="e">
        <f t="shared" ca="1" si="86"/>
        <v>#N/A</v>
      </c>
      <c r="FL107" s="244" t="e">
        <f t="shared" ca="1" si="86"/>
        <v>#N/A</v>
      </c>
      <c r="FM107" s="244" t="e">
        <f t="shared" ca="1" si="66"/>
        <v>#N/A</v>
      </c>
      <c r="FN107" s="244"/>
    </row>
    <row r="108" spans="5:170" x14ac:dyDescent="0.25">
      <c r="E108" s="244"/>
      <c r="F108" s="244"/>
      <c r="G108" s="244"/>
      <c r="L108">
        <f t="shared" si="87"/>
        <v>108</v>
      </c>
      <c r="R108" s="112">
        <f t="shared" si="67"/>
        <v>0</v>
      </c>
      <c r="S108" s="238" t="e">
        <f t="shared" si="96"/>
        <v>#N/A</v>
      </c>
      <c r="T108" s="112" t="e">
        <f t="shared" ca="1" si="97"/>
        <v>#N/A</v>
      </c>
      <c r="U108" s="112" t="e">
        <f t="shared" ca="1" si="98"/>
        <v>#N/A</v>
      </c>
      <c r="V108" s="112" t="e">
        <f t="shared" ca="1" si="99"/>
        <v>#N/A</v>
      </c>
      <c r="W108" s="112" t="e">
        <f t="shared" ca="1" si="100"/>
        <v>#N/A</v>
      </c>
      <c r="X108" s="112">
        <f t="shared" si="68"/>
        <v>0</v>
      </c>
      <c r="Y108" s="112"/>
      <c r="Z108" s="112"/>
      <c r="AA108" s="112">
        <f t="shared" si="69"/>
        <v>100000</v>
      </c>
      <c r="AB108" s="112" t="e">
        <f t="shared" ca="1" si="70"/>
        <v>#N/A</v>
      </c>
      <c r="AC108" s="112" t="e">
        <f t="shared" ca="1" si="71"/>
        <v>#N/A</v>
      </c>
      <c r="AD108" s="112" t="e">
        <f t="shared" ca="1" si="72"/>
        <v>#N/A</v>
      </c>
      <c r="AE108" s="112" t="e">
        <f t="shared" ca="1" si="73"/>
        <v>#N/A</v>
      </c>
      <c r="AF108" s="112">
        <f t="shared" si="74"/>
        <v>100000</v>
      </c>
      <c r="AG108" s="238">
        <f>AG107</f>
        <v>37</v>
      </c>
      <c r="AH108" s="112" t="e">
        <f ca="1">AI107+1</f>
        <v>#N/A</v>
      </c>
      <c r="AI108" s="112" t="e">
        <f ca="1">IF(INDIRECT(CONCATENATE("AE",AG105))&lt;100000,INDIRECT(CONCATENATE("AE",G105)),INDIRECT(CONCATENATE("AF",AG105)))</f>
        <v>#N/A</v>
      </c>
      <c r="AJ108" s="114"/>
      <c r="AK108" s="114"/>
      <c r="AL108" s="238" t="e">
        <f t="shared" ca="1" si="88"/>
        <v>#N/A</v>
      </c>
      <c r="AM108" s="112">
        <f t="shared" ca="1" si="107"/>
        <v>100000</v>
      </c>
      <c r="AN108" s="112">
        <f t="shared" ca="1" si="89"/>
        <v>100000</v>
      </c>
      <c r="AO108" s="114">
        <f t="shared" ca="1" si="75"/>
        <v>0</v>
      </c>
      <c r="AP108" s="114">
        <f t="shared" ca="1" si="76"/>
        <v>0</v>
      </c>
      <c r="AQ108" s="112"/>
      <c r="AR108" s="238">
        <f t="shared" si="90"/>
        <v>108</v>
      </c>
      <c r="AS108" s="112"/>
      <c r="AT108" s="112"/>
      <c r="AU108" s="283">
        <f t="shared" si="91"/>
        <v>89</v>
      </c>
      <c r="AV108" s="284">
        <f t="shared" ca="1" si="77"/>
        <v>100000</v>
      </c>
      <c r="AW108" s="284">
        <f t="shared" ca="1" si="104"/>
        <v>100000</v>
      </c>
      <c r="AX108" s="285">
        <f t="shared" ca="1" si="78"/>
        <v>0</v>
      </c>
      <c r="AY108" s="285">
        <f t="shared" ca="1" si="79"/>
        <v>18</v>
      </c>
      <c r="AZ108" s="282"/>
      <c r="BD108" s="114">
        <f t="shared" si="92"/>
        <v>1</v>
      </c>
      <c r="BE108" s="112">
        <f t="shared" si="80"/>
        <v>100000</v>
      </c>
      <c r="BH108" s="238">
        <f t="shared" si="93"/>
        <v>89</v>
      </c>
      <c r="BI108" s="245">
        <f t="shared" si="81"/>
        <v>100000</v>
      </c>
      <c r="BJ108" s="281">
        <f t="shared" ca="1" si="64"/>
        <v>16</v>
      </c>
      <c r="BK108" s="245" t="e">
        <f t="shared" ca="1" si="82"/>
        <v>#N/A</v>
      </c>
      <c r="BL108" s="245" t="e">
        <f t="shared" ca="1" si="83"/>
        <v>#N/A</v>
      </c>
      <c r="BN108" s="245" t="e">
        <f t="shared" ca="1" si="102"/>
        <v>#N/A</v>
      </c>
      <c r="CL108" s="112"/>
      <c r="CM108" s="112"/>
      <c r="CP108" s="112"/>
      <c r="CQ108" s="112"/>
      <c r="CR108" s="238"/>
      <c r="CS108" s="238"/>
      <c r="CT108" s="112"/>
      <c r="CU108" s="112"/>
      <c r="CV108" s="112"/>
      <c r="CW108" s="112" t="s">
        <v>224</v>
      </c>
      <c r="CX108" s="112" t="s">
        <v>225</v>
      </c>
      <c r="CY108" s="112" t="s">
        <v>226</v>
      </c>
      <c r="CZ108" s="112" t="s">
        <v>227</v>
      </c>
      <c r="DA108" s="112" t="s">
        <v>228</v>
      </c>
      <c r="DB108" s="112" t="s">
        <v>229</v>
      </c>
      <c r="DC108" s="112"/>
      <c r="DD108" s="238"/>
      <c r="DE108" s="112"/>
      <c r="DF108" s="112"/>
      <c r="DG108" s="112"/>
      <c r="DH108" s="238"/>
      <c r="DI108" s="112"/>
      <c r="DJ108" s="112"/>
      <c r="DK108" s="112"/>
      <c r="DL108" s="278" t="str">
        <f t="shared" ca="1" si="94"/>
        <v/>
      </c>
      <c r="DM108" s="245" t="str">
        <f t="shared" ca="1" si="63"/>
        <v/>
      </c>
      <c r="DN108" s="245" t="str">
        <f t="shared" ca="1" si="63"/>
        <v/>
      </c>
      <c r="DO108" s="245" t="str">
        <f t="shared" ca="1" si="63"/>
        <v/>
      </c>
      <c r="DP108" s="245" t="str">
        <f t="shared" ca="1" si="63"/>
        <v/>
      </c>
      <c r="DQ108" s="245" t="str">
        <f t="shared" ca="1" si="63"/>
        <v/>
      </c>
      <c r="DR108" s="244"/>
      <c r="DS108" s="245" t="str">
        <f t="shared" si="105"/>
        <v/>
      </c>
      <c r="DT108" s="245" t="str">
        <f t="shared" si="105"/>
        <v/>
      </c>
      <c r="DU108" s="245" t="str">
        <f t="shared" si="105"/>
        <v/>
      </c>
      <c r="DV108" s="244" t="str">
        <f t="shared" ca="1" si="65"/>
        <v/>
      </c>
      <c r="DW108" s="244"/>
      <c r="DX108" s="244" t="str">
        <f t="shared" ca="1" si="95"/>
        <v/>
      </c>
      <c r="EA108" s="244" t="b">
        <f t="shared" ca="1" si="84"/>
        <v>0</v>
      </c>
      <c r="EB108" s="278" t="e">
        <f ca="1">VLOOKUP(DM108,Foglio1!$AB$31:$AN$261,13)-6+EA108</f>
        <v>#N/A</v>
      </c>
      <c r="EC108" s="244"/>
      <c r="ED108" s="244" t="e">
        <f t="shared" ca="1" si="106"/>
        <v>#N/A</v>
      </c>
      <c r="EE108" s="244" t="e">
        <f t="shared" ca="1" si="106"/>
        <v>#N/A</v>
      </c>
      <c r="EF108" s="244" t="e">
        <f t="shared" ca="1" si="106"/>
        <v>#N/A</v>
      </c>
      <c r="EG108" s="244" t="e">
        <f t="shared" ca="1" si="106"/>
        <v>#N/A</v>
      </c>
      <c r="EH108" s="244" t="e">
        <f t="shared" ca="1" si="106"/>
        <v>#N/A</v>
      </c>
      <c r="EI108" s="244" t="e">
        <f t="shared" ca="1" si="106"/>
        <v>#N/A</v>
      </c>
      <c r="EJ108" s="244" t="e">
        <f t="shared" ca="1" si="106"/>
        <v>#N/A</v>
      </c>
      <c r="EK108" s="244" t="e">
        <f t="shared" ca="1" si="106"/>
        <v>#N/A</v>
      </c>
      <c r="EL108" s="244" t="e">
        <f t="shared" ca="1" si="101"/>
        <v>#N/A</v>
      </c>
      <c r="EM108" s="244" t="e">
        <f t="shared" ca="1" si="101"/>
        <v>#N/A</v>
      </c>
      <c r="EN108" s="244" t="e">
        <f t="shared" ca="1" si="101"/>
        <v>#N/A</v>
      </c>
      <c r="EO108" s="244" t="e">
        <f t="shared" ca="1" si="101"/>
        <v>#N/A</v>
      </c>
      <c r="EP108" s="244" t="e">
        <f t="shared" ca="1" si="101"/>
        <v>#N/A</v>
      </c>
      <c r="EQ108" s="244" t="e">
        <f t="shared" ca="1" si="101"/>
        <v>#N/A</v>
      </c>
      <c r="ER108" s="244"/>
      <c r="EW108" s="244">
        <v>0</v>
      </c>
      <c r="EX108" s="278" t="e">
        <f ca="1">VLOOKUP(DM108,Foglio1!$AB$31:$AN$261,13)-6+EW108</f>
        <v>#N/A</v>
      </c>
      <c r="EY108" s="244"/>
      <c r="EZ108" s="244" t="e">
        <f t="shared" ca="1" si="85"/>
        <v>#N/A</v>
      </c>
      <c r="FA108" s="244" t="e">
        <f t="shared" ca="1" si="103"/>
        <v>#N/A</v>
      </c>
      <c r="FB108" s="244" t="e">
        <f t="shared" ca="1" si="103"/>
        <v>#N/A</v>
      </c>
      <c r="FC108" s="244" t="e">
        <f t="shared" ca="1" si="103"/>
        <v>#N/A</v>
      </c>
      <c r="FD108" s="244" t="e">
        <f t="shared" ca="1" si="103"/>
        <v>#N/A</v>
      </c>
      <c r="FE108" s="244" t="e">
        <f t="shared" ca="1" si="103"/>
        <v>#N/A</v>
      </c>
      <c r="FF108" s="244" t="e">
        <f t="shared" ca="1" si="103"/>
        <v>#N/A</v>
      </c>
      <c r="FG108" s="244" t="e">
        <f t="shared" ca="1" si="86"/>
        <v>#N/A</v>
      </c>
      <c r="FH108" s="244" t="e">
        <f t="shared" ca="1" si="86"/>
        <v>#N/A</v>
      </c>
      <c r="FI108" s="244" t="e">
        <f t="shared" ca="1" si="86"/>
        <v>#N/A</v>
      </c>
      <c r="FJ108" s="244" t="e">
        <f t="shared" ca="1" si="86"/>
        <v>#N/A</v>
      </c>
      <c r="FK108" s="244" t="e">
        <f t="shared" ca="1" si="86"/>
        <v>#N/A</v>
      </c>
      <c r="FL108" s="244" t="e">
        <f t="shared" ca="1" si="86"/>
        <v>#N/A</v>
      </c>
      <c r="FM108" s="244" t="e">
        <f t="shared" ca="1" si="66"/>
        <v>#N/A</v>
      </c>
      <c r="FN108" s="244"/>
    </row>
    <row r="109" spans="5:170" x14ac:dyDescent="0.25">
      <c r="E109" s="244"/>
      <c r="F109" s="244"/>
      <c r="G109" s="244"/>
      <c r="L109">
        <f t="shared" si="87"/>
        <v>109</v>
      </c>
      <c r="R109" s="112">
        <f t="shared" si="67"/>
        <v>0</v>
      </c>
      <c r="S109" s="238" t="e">
        <f t="shared" si="96"/>
        <v>#N/A</v>
      </c>
      <c r="T109" s="112" t="e">
        <f t="shared" ca="1" si="97"/>
        <v>#N/A</v>
      </c>
      <c r="U109" s="112" t="e">
        <f t="shared" ca="1" si="98"/>
        <v>#N/A</v>
      </c>
      <c r="V109" s="112" t="e">
        <f t="shared" ca="1" si="99"/>
        <v>#N/A</v>
      </c>
      <c r="W109" s="112" t="e">
        <f t="shared" ca="1" si="100"/>
        <v>#N/A</v>
      </c>
      <c r="X109" s="112">
        <f t="shared" si="68"/>
        <v>0</v>
      </c>
      <c r="Y109" s="112"/>
      <c r="Z109" s="112"/>
      <c r="AA109" s="112">
        <f t="shared" si="69"/>
        <v>100000</v>
      </c>
      <c r="AB109" s="112" t="e">
        <f t="shared" ca="1" si="70"/>
        <v>#N/A</v>
      </c>
      <c r="AC109" s="112" t="e">
        <f t="shared" ca="1" si="71"/>
        <v>#N/A</v>
      </c>
      <c r="AD109" s="112" t="e">
        <f t="shared" ca="1" si="72"/>
        <v>#N/A</v>
      </c>
      <c r="AE109" s="112" t="e">
        <f t="shared" ca="1" si="73"/>
        <v>#N/A</v>
      </c>
      <c r="AF109" s="112">
        <f t="shared" si="74"/>
        <v>100000</v>
      </c>
      <c r="AG109" s="238">
        <f>AG108</f>
        <v>37</v>
      </c>
      <c r="AH109" s="112" t="e">
        <f ca="1">AI108+1</f>
        <v>#N/A</v>
      </c>
      <c r="AI109" s="112">
        <f ca="1">INDIRECT(CONCATENATE("AF",AG105))</f>
        <v>100000</v>
      </c>
      <c r="AJ109" s="114"/>
      <c r="AK109" s="114"/>
      <c r="AL109" s="238" t="e">
        <f t="shared" ca="1" si="88"/>
        <v>#N/A</v>
      </c>
      <c r="AM109" s="112">
        <f t="shared" ca="1" si="107"/>
        <v>100000</v>
      </c>
      <c r="AN109" s="112">
        <f t="shared" ca="1" si="89"/>
        <v>100000</v>
      </c>
      <c r="AO109" s="114">
        <f t="shared" ca="1" si="75"/>
        <v>0</v>
      </c>
      <c r="AP109" s="114">
        <f t="shared" ca="1" si="76"/>
        <v>0</v>
      </c>
      <c r="AQ109" s="112"/>
      <c r="AR109" s="238">
        <f t="shared" si="90"/>
        <v>109</v>
      </c>
      <c r="AS109" s="112"/>
      <c r="AT109" s="112"/>
      <c r="AU109" s="283">
        <f t="shared" si="91"/>
        <v>90</v>
      </c>
      <c r="AV109" s="284">
        <f t="shared" ca="1" si="77"/>
        <v>100000</v>
      </c>
      <c r="AW109" s="284">
        <f t="shared" ca="1" si="104"/>
        <v>100000</v>
      </c>
      <c r="AX109" s="285">
        <f t="shared" ca="1" si="78"/>
        <v>0</v>
      </c>
      <c r="AY109" s="285">
        <f t="shared" ca="1" si="79"/>
        <v>18</v>
      </c>
      <c r="AZ109" s="282"/>
      <c r="BD109" s="114">
        <f t="shared" si="92"/>
        <v>1</v>
      </c>
      <c r="BE109" s="112">
        <f t="shared" si="80"/>
        <v>100000</v>
      </c>
      <c r="BH109" s="238">
        <f t="shared" si="93"/>
        <v>90</v>
      </c>
      <c r="BI109" s="245">
        <f t="shared" si="81"/>
        <v>100000</v>
      </c>
      <c r="BJ109" s="281">
        <f t="shared" ca="1" si="64"/>
        <v>16</v>
      </c>
      <c r="BK109" s="245" t="e">
        <f t="shared" ca="1" si="82"/>
        <v>#N/A</v>
      </c>
      <c r="BL109" s="245" t="e">
        <f t="shared" ca="1" si="83"/>
        <v>#N/A</v>
      </c>
      <c r="BN109" s="245" t="e">
        <f t="shared" ca="1" si="102"/>
        <v>#N/A</v>
      </c>
      <c r="CL109" s="112"/>
      <c r="CM109" s="112"/>
      <c r="CP109" s="112"/>
      <c r="CQ109" s="112"/>
      <c r="CR109" s="238"/>
      <c r="CS109" s="238"/>
      <c r="CT109" s="112"/>
      <c r="CU109" s="112"/>
      <c r="CV109" s="112"/>
      <c r="CW109" s="112" t="s">
        <v>224</v>
      </c>
      <c r="CX109" s="112" t="s">
        <v>225</v>
      </c>
      <c r="CY109" s="112" t="s">
        <v>226</v>
      </c>
      <c r="CZ109" s="112" t="s">
        <v>227</v>
      </c>
      <c r="DA109" s="112" t="s">
        <v>228</v>
      </c>
      <c r="DB109" s="112" t="s">
        <v>229</v>
      </c>
      <c r="DC109" s="112"/>
      <c r="DD109" s="238"/>
      <c r="DE109" s="112"/>
      <c r="DF109" s="112"/>
      <c r="DG109" s="112"/>
      <c r="DH109" s="238"/>
      <c r="DI109" s="112"/>
      <c r="DJ109" s="112"/>
      <c r="DK109" s="112"/>
      <c r="DL109" s="278" t="str">
        <f t="shared" ca="1" si="94"/>
        <v/>
      </c>
      <c r="DM109" s="245" t="str">
        <f t="shared" ca="1" si="63"/>
        <v/>
      </c>
      <c r="DN109" s="245" t="str">
        <f t="shared" ca="1" si="63"/>
        <v/>
      </c>
      <c r="DO109" s="245" t="str">
        <f t="shared" ca="1" si="63"/>
        <v/>
      </c>
      <c r="DP109" s="245" t="str">
        <f t="shared" ca="1" si="63"/>
        <v/>
      </c>
      <c r="DQ109" s="245" t="str">
        <f t="shared" ca="1" si="63"/>
        <v/>
      </c>
      <c r="DR109" s="244"/>
      <c r="DS109" s="245" t="str">
        <f t="shared" si="105"/>
        <v/>
      </c>
      <c r="DT109" s="245" t="str">
        <f t="shared" si="105"/>
        <v/>
      </c>
      <c r="DU109" s="245" t="str">
        <f t="shared" si="105"/>
        <v/>
      </c>
      <c r="DV109" s="244" t="str">
        <f t="shared" ca="1" si="65"/>
        <v/>
      </c>
      <c r="DW109" s="244"/>
      <c r="DX109" s="244" t="str">
        <f t="shared" ca="1" si="95"/>
        <v/>
      </c>
      <c r="EA109" s="244" t="b">
        <f t="shared" ca="1" si="84"/>
        <v>0</v>
      </c>
      <c r="EB109" s="278" t="e">
        <f ca="1">VLOOKUP(DM109,Foglio1!$AB$31:$AN$261,13)-6+EA109</f>
        <v>#N/A</v>
      </c>
      <c r="EC109" s="244"/>
      <c r="ED109" s="244" t="e">
        <f t="shared" ca="1" si="106"/>
        <v>#N/A</v>
      </c>
      <c r="EE109" s="244" t="e">
        <f t="shared" ca="1" si="106"/>
        <v>#N/A</v>
      </c>
      <c r="EF109" s="244" t="e">
        <f t="shared" ca="1" si="106"/>
        <v>#N/A</v>
      </c>
      <c r="EG109" s="244" t="e">
        <f t="shared" ca="1" si="106"/>
        <v>#N/A</v>
      </c>
      <c r="EH109" s="244" t="e">
        <f t="shared" ca="1" si="106"/>
        <v>#N/A</v>
      </c>
      <c r="EI109" s="244" t="e">
        <f t="shared" ca="1" si="106"/>
        <v>#N/A</v>
      </c>
      <c r="EJ109" s="244" t="e">
        <f t="shared" ca="1" si="106"/>
        <v>#N/A</v>
      </c>
      <c r="EK109" s="244" t="e">
        <f t="shared" ca="1" si="106"/>
        <v>#N/A</v>
      </c>
      <c r="EL109" s="244" t="e">
        <f t="shared" ca="1" si="101"/>
        <v>#N/A</v>
      </c>
      <c r="EM109" s="244" t="e">
        <f t="shared" ca="1" si="101"/>
        <v>#N/A</v>
      </c>
      <c r="EN109" s="244" t="e">
        <f t="shared" ca="1" si="101"/>
        <v>#N/A</v>
      </c>
      <c r="EO109" s="244" t="e">
        <f t="shared" ca="1" si="101"/>
        <v>#N/A</v>
      </c>
      <c r="EP109" s="244" t="e">
        <f t="shared" ca="1" si="101"/>
        <v>#N/A</v>
      </c>
      <c r="EQ109" s="244" t="e">
        <f t="shared" ca="1" si="101"/>
        <v>#N/A</v>
      </c>
      <c r="ER109" s="244"/>
      <c r="EW109" s="244">
        <v>0</v>
      </c>
      <c r="EX109" s="278" t="e">
        <f ca="1">VLOOKUP(DM109,Foglio1!$AB$31:$AN$261,13)-6+EW109</f>
        <v>#N/A</v>
      </c>
      <c r="EY109" s="244"/>
      <c r="EZ109" s="244" t="e">
        <f t="shared" ca="1" si="85"/>
        <v>#N/A</v>
      </c>
      <c r="FA109" s="244" t="e">
        <f t="shared" ca="1" si="103"/>
        <v>#N/A</v>
      </c>
      <c r="FB109" s="244" t="e">
        <f t="shared" ca="1" si="103"/>
        <v>#N/A</v>
      </c>
      <c r="FC109" s="244" t="e">
        <f t="shared" ca="1" si="103"/>
        <v>#N/A</v>
      </c>
      <c r="FD109" s="244" t="e">
        <f t="shared" ca="1" si="103"/>
        <v>#N/A</v>
      </c>
      <c r="FE109" s="244" t="e">
        <f t="shared" ca="1" si="103"/>
        <v>#N/A</v>
      </c>
      <c r="FF109" s="244" t="e">
        <f t="shared" ca="1" si="103"/>
        <v>#N/A</v>
      </c>
      <c r="FG109" s="244" t="e">
        <f t="shared" ca="1" si="86"/>
        <v>#N/A</v>
      </c>
      <c r="FH109" s="244" t="e">
        <f t="shared" ca="1" si="86"/>
        <v>#N/A</v>
      </c>
      <c r="FI109" s="244" t="e">
        <f t="shared" ca="1" si="86"/>
        <v>#N/A</v>
      </c>
      <c r="FJ109" s="244" t="e">
        <f t="shared" ca="1" si="86"/>
        <v>#N/A</v>
      </c>
      <c r="FK109" s="244" t="e">
        <f t="shared" ca="1" si="86"/>
        <v>#N/A</v>
      </c>
      <c r="FL109" s="244" t="e">
        <f t="shared" ca="1" si="86"/>
        <v>#N/A</v>
      </c>
      <c r="FM109" s="244" t="e">
        <f t="shared" ca="1" si="66"/>
        <v>#N/A</v>
      </c>
      <c r="FN109" s="244"/>
    </row>
    <row r="110" spans="5:170" x14ac:dyDescent="0.25">
      <c r="E110" s="244"/>
      <c r="F110" s="244"/>
      <c r="G110" s="244"/>
      <c r="L110">
        <f t="shared" si="87"/>
        <v>110</v>
      </c>
      <c r="R110" s="112">
        <f t="shared" si="67"/>
        <v>0</v>
      </c>
      <c r="S110" s="238" t="e">
        <f t="shared" si="96"/>
        <v>#N/A</v>
      </c>
      <c r="T110" s="112" t="e">
        <f t="shared" ca="1" si="97"/>
        <v>#N/A</v>
      </c>
      <c r="U110" s="112" t="e">
        <f t="shared" ca="1" si="98"/>
        <v>#N/A</v>
      </c>
      <c r="V110" s="112" t="e">
        <f t="shared" ca="1" si="99"/>
        <v>#N/A</v>
      </c>
      <c r="W110" s="112" t="e">
        <f t="shared" ca="1" si="100"/>
        <v>#N/A</v>
      </c>
      <c r="X110" s="112">
        <f t="shared" si="68"/>
        <v>0</v>
      </c>
      <c r="Y110" s="112"/>
      <c r="Z110" s="112"/>
      <c r="AA110" s="112">
        <f t="shared" si="69"/>
        <v>100000</v>
      </c>
      <c r="AB110" s="112" t="e">
        <f t="shared" ca="1" si="70"/>
        <v>#N/A</v>
      </c>
      <c r="AC110" s="112" t="e">
        <f t="shared" ca="1" si="71"/>
        <v>#N/A</v>
      </c>
      <c r="AD110" s="112" t="e">
        <f t="shared" ca="1" si="72"/>
        <v>#N/A</v>
      </c>
      <c r="AE110" s="112" t="e">
        <f t="shared" ca="1" si="73"/>
        <v>#N/A</v>
      </c>
      <c r="AF110" s="112">
        <f t="shared" si="74"/>
        <v>100000</v>
      </c>
      <c r="AG110" s="238">
        <f>AG109+1</f>
        <v>38</v>
      </c>
      <c r="AH110" s="112">
        <f ca="1">INDIRECT(CONCATENATE("AA",AG110))</f>
        <v>100000</v>
      </c>
      <c r="AI110" s="112" t="e">
        <f ca="1">IF(            INDIRECT(CONCATENATE( "AB",AG110))&lt;100000,       INDIRECT(CONCATENATE("AB",AG110))  -1,IF(   INDIRECT(CONCATENATE("AC",AG110))&lt;100000,   INDIRECT(CONCATENATE("AC",AG110))-1,IF(   INDIRECT(CONCATENATE("AD", AG110))&lt;100000, INDIRECT(CONCATENATE("AD",AG110))-1,IF(   INDIRECT(CONCATENATE("AE",AG110))&lt;100000,  INDIRECT(CONCATENATE("AE",G110)),INDIRECT(CONCATENATE("AF",AG110))                ))))</f>
        <v>#N/A</v>
      </c>
      <c r="AJ110" s="114"/>
      <c r="AK110" s="114"/>
      <c r="AL110" s="238" t="e">
        <f t="shared" ca="1" si="88"/>
        <v>#N/A</v>
      </c>
      <c r="AM110" s="112">
        <f t="shared" ca="1" si="107"/>
        <v>100000</v>
      </c>
      <c r="AN110" s="112">
        <f t="shared" ca="1" si="89"/>
        <v>100000</v>
      </c>
      <c r="AO110" s="114">
        <f t="shared" ca="1" si="75"/>
        <v>0</v>
      </c>
      <c r="AP110" s="114">
        <f t="shared" ca="1" si="76"/>
        <v>0</v>
      </c>
      <c r="AQ110" s="112"/>
      <c r="AR110" s="238">
        <f t="shared" si="90"/>
        <v>110</v>
      </c>
      <c r="AS110" s="112"/>
      <c r="AT110" s="112"/>
      <c r="AU110" s="283">
        <f t="shared" si="91"/>
        <v>91</v>
      </c>
      <c r="AV110" s="284">
        <f t="shared" ca="1" si="77"/>
        <v>100000</v>
      </c>
      <c r="AW110" s="284">
        <f t="shared" ca="1" si="104"/>
        <v>100000</v>
      </c>
      <c r="AX110" s="285">
        <f t="shared" ca="1" si="78"/>
        <v>0</v>
      </c>
      <c r="AY110" s="285">
        <f t="shared" ca="1" si="79"/>
        <v>18</v>
      </c>
      <c r="AZ110" s="282"/>
      <c r="BD110" s="114">
        <f t="shared" si="92"/>
        <v>1</v>
      </c>
      <c r="BE110" s="112">
        <f t="shared" si="80"/>
        <v>100000</v>
      </c>
      <c r="BH110" s="238">
        <f t="shared" si="93"/>
        <v>91</v>
      </c>
      <c r="BI110" s="245">
        <f t="shared" si="81"/>
        <v>100000</v>
      </c>
      <c r="BJ110" s="281">
        <f t="shared" ca="1" si="64"/>
        <v>16</v>
      </c>
      <c r="BK110" s="245" t="e">
        <f t="shared" ca="1" si="82"/>
        <v>#N/A</v>
      </c>
      <c r="BL110" s="245" t="e">
        <f t="shared" ca="1" si="83"/>
        <v>#N/A</v>
      </c>
      <c r="BN110" s="245" t="e">
        <f t="shared" ca="1" si="102"/>
        <v>#N/A</v>
      </c>
      <c r="CL110" s="112"/>
      <c r="CM110" s="112"/>
      <c r="CP110" s="112"/>
      <c r="CQ110" s="112"/>
      <c r="CR110" s="238"/>
      <c r="CS110" s="238"/>
      <c r="CT110" s="112"/>
      <c r="CU110" s="112"/>
      <c r="CV110" s="112"/>
      <c r="CW110" s="112" t="s">
        <v>224</v>
      </c>
      <c r="CX110" s="112" t="s">
        <v>225</v>
      </c>
      <c r="CY110" s="112" t="s">
        <v>226</v>
      </c>
      <c r="CZ110" s="112" t="s">
        <v>227</v>
      </c>
      <c r="DA110" s="112" t="s">
        <v>228</v>
      </c>
      <c r="DB110" s="112" t="s">
        <v>229</v>
      </c>
      <c r="DC110" s="112"/>
      <c r="DD110" s="238"/>
      <c r="DE110" s="112"/>
      <c r="DF110" s="112"/>
      <c r="DG110" s="112"/>
      <c r="DH110" s="238"/>
      <c r="DI110" s="112"/>
      <c r="DJ110" s="112"/>
      <c r="DK110" s="112"/>
      <c r="DL110" s="278" t="str">
        <f t="shared" ca="1" si="94"/>
        <v/>
      </c>
      <c r="DM110" s="245" t="str">
        <f t="shared" ca="1" si="63"/>
        <v/>
      </c>
      <c r="DN110" s="245" t="str">
        <f t="shared" ca="1" si="63"/>
        <v/>
      </c>
      <c r="DO110" s="245" t="str">
        <f t="shared" ca="1" si="63"/>
        <v/>
      </c>
      <c r="DP110" s="245" t="str">
        <f t="shared" ca="1" si="63"/>
        <v/>
      </c>
      <c r="DQ110" s="245" t="str">
        <f t="shared" ca="1" si="63"/>
        <v/>
      </c>
      <c r="DR110" s="244"/>
      <c r="DS110" s="245" t="str">
        <f t="shared" si="105"/>
        <v/>
      </c>
      <c r="DT110" s="245" t="str">
        <f t="shared" si="105"/>
        <v/>
      </c>
      <c r="DU110" s="245" t="str">
        <f t="shared" si="105"/>
        <v/>
      </c>
      <c r="DV110" s="244" t="str">
        <f t="shared" ca="1" si="65"/>
        <v/>
      </c>
      <c r="DW110" s="244"/>
      <c r="DX110" s="244" t="str">
        <f t="shared" ca="1" si="95"/>
        <v/>
      </c>
      <c r="EA110" s="244" t="b">
        <f t="shared" ca="1" si="84"/>
        <v>0</v>
      </c>
      <c r="EB110" s="278" t="e">
        <f ca="1">VLOOKUP(DM110,Foglio1!$AB$31:$AN$261,13)-6+EA110</f>
        <v>#N/A</v>
      </c>
      <c r="EC110" s="244"/>
      <c r="ED110" s="244" t="e">
        <f t="shared" ca="1" si="106"/>
        <v>#N/A</v>
      </c>
      <c r="EE110" s="244" t="e">
        <f t="shared" ca="1" si="106"/>
        <v>#N/A</v>
      </c>
      <c r="EF110" s="244" t="e">
        <f t="shared" ca="1" si="106"/>
        <v>#N/A</v>
      </c>
      <c r="EG110" s="244" t="e">
        <f t="shared" ca="1" si="106"/>
        <v>#N/A</v>
      </c>
      <c r="EH110" s="244" t="e">
        <f t="shared" ca="1" si="106"/>
        <v>#N/A</v>
      </c>
      <c r="EI110" s="244" t="e">
        <f t="shared" ca="1" si="106"/>
        <v>#N/A</v>
      </c>
      <c r="EJ110" s="244" t="e">
        <f t="shared" ca="1" si="106"/>
        <v>#N/A</v>
      </c>
      <c r="EK110" s="244" t="e">
        <f t="shared" ca="1" si="106"/>
        <v>#N/A</v>
      </c>
      <c r="EL110" s="244" t="e">
        <f t="shared" ca="1" si="101"/>
        <v>#N/A</v>
      </c>
      <c r="EM110" s="244" t="e">
        <f t="shared" ca="1" si="101"/>
        <v>#N/A</v>
      </c>
      <c r="EN110" s="244" t="e">
        <f t="shared" ca="1" si="101"/>
        <v>#N/A</v>
      </c>
      <c r="EO110" s="244" t="e">
        <f t="shared" ca="1" si="101"/>
        <v>#N/A</v>
      </c>
      <c r="EP110" s="244" t="e">
        <f t="shared" ca="1" si="101"/>
        <v>#N/A</v>
      </c>
      <c r="EQ110" s="244" t="e">
        <f t="shared" ca="1" si="101"/>
        <v>#N/A</v>
      </c>
      <c r="ER110" s="244"/>
      <c r="EW110" s="244">
        <v>0</v>
      </c>
      <c r="EX110" s="278" t="e">
        <f ca="1">VLOOKUP(DM110,Foglio1!$AB$31:$AN$261,13)-6+EW110</f>
        <v>#N/A</v>
      </c>
      <c r="EY110" s="244"/>
      <c r="EZ110" s="244" t="e">
        <f t="shared" ca="1" si="85"/>
        <v>#N/A</v>
      </c>
      <c r="FA110" s="244" t="e">
        <f t="shared" ca="1" si="103"/>
        <v>#N/A</v>
      </c>
      <c r="FB110" s="244" t="e">
        <f t="shared" ca="1" si="103"/>
        <v>#N/A</v>
      </c>
      <c r="FC110" s="244" t="e">
        <f t="shared" ca="1" si="103"/>
        <v>#N/A</v>
      </c>
      <c r="FD110" s="244" t="e">
        <f t="shared" ca="1" si="103"/>
        <v>#N/A</v>
      </c>
      <c r="FE110" s="244" t="e">
        <f t="shared" ca="1" si="103"/>
        <v>#N/A</v>
      </c>
      <c r="FF110" s="244" t="e">
        <f t="shared" ca="1" si="103"/>
        <v>#N/A</v>
      </c>
      <c r="FG110" s="244" t="e">
        <f t="shared" ca="1" si="86"/>
        <v>#N/A</v>
      </c>
      <c r="FH110" s="244" t="e">
        <f t="shared" ca="1" si="86"/>
        <v>#N/A</v>
      </c>
      <c r="FI110" s="244" t="e">
        <f t="shared" ca="1" si="86"/>
        <v>#N/A</v>
      </c>
      <c r="FJ110" s="244" t="e">
        <f t="shared" ca="1" si="86"/>
        <v>#N/A</v>
      </c>
      <c r="FK110" s="244" t="e">
        <f t="shared" ca="1" si="86"/>
        <v>#N/A</v>
      </c>
      <c r="FL110" s="244" t="e">
        <f t="shared" ca="1" si="86"/>
        <v>#N/A</v>
      </c>
      <c r="FM110" s="244" t="e">
        <f t="shared" ca="1" si="66"/>
        <v>#N/A</v>
      </c>
      <c r="FN110" s="244"/>
    </row>
    <row r="111" spans="5:170" x14ac:dyDescent="0.25">
      <c r="E111" s="244"/>
      <c r="F111" s="244"/>
      <c r="G111" s="244"/>
      <c r="L111">
        <f t="shared" si="87"/>
        <v>111</v>
      </c>
      <c r="R111" s="112">
        <f t="shared" si="67"/>
        <v>0</v>
      </c>
      <c r="S111" s="238" t="e">
        <f t="shared" si="96"/>
        <v>#N/A</v>
      </c>
      <c r="T111" s="112" t="e">
        <f t="shared" ca="1" si="97"/>
        <v>#N/A</v>
      </c>
      <c r="U111" s="112" t="e">
        <f t="shared" ca="1" si="98"/>
        <v>#N/A</v>
      </c>
      <c r="V111" s="112" t="e">
        <f t="shared" ca="1" si="99"/>
        <v>#N/A</v>
      </c>
      <c r="W111" s="112" t="e">
        <f t="shared" ca="1" si="100"/>
        <v>#N/A</v>
      </c>
      <c r="X111" s="112">
        <f t="shared" si="68"/>
        <v>0</v>
      </c>
      <c r="Y111" s="112"/>
      <c r="Z111" s="112"/>
      <c r="AA111" s="112">
        <f t="shared" si="69"/>
        <v>100000</v>
      </c>
      <c r="AB111" s="112" t="e">
        <f t="shared" ca="1" si="70"/>
        <v>#N/A</v>
      </c>
      <c r="AC111" s="112" t="e">
        <f t="shared" ca="1" si="71"/>
        <v>#N/A</v>
      </c>
      <c r="AD111" s="112" t="e">
        <f t="shared" ca="1" si="72"/>
        <v>#N/A</v>
      </c>
      <c r="AE111" s="112" t="e">
        <f t="shared" ca="1" si="73"/>
        <v>#N/A</v>
      </c>
      <c r="AF111" s="112">
        <f t="shared" si="74"/>
        <v>100000</v>
      </c>
      <c r="AG111" s="238">
        <f>AG110</f>
        <v>38</v>
      </c>
      <c r="AH111" s="112" t="e">
        <f ca="1">AI110+1</f>
        <v>#N/A</v>
      </c>
      <c r="AI111" s="112" t="e">
        <f ca="1">IF(INDIRECT(CONCATENATE("AC",AG110))&lt;100000,INDIRECT(CONCATENATE("AC",AG110))-1,IF(INDIRECT(CONCATENATE("AD",AG110))&lt;100000,INDIRECT(CONCATENATE("AD",AG110))-1,IF(INDIRECT(CONCATENATE("AE",AG110))&lt;100000,INDIRECT(CONCATENATE("AE",G110)),INDIRECT(CONCATENATE("AF",AG110)))))</f>
        <v>#N/A</v>
      </c>
      <c r="AJ111" s="114"/>
      <c r="AK111" s="114"/>
      <c r="AL111" s="238" t="e">
        <f t="shared" ca="1" si="88"/>
        <v>#N/A</v>
      </c>
      <c r="AM111" s="112">
        <f t="shared" ca="1" si="107"/>
        <v>100000</v>
      </c>
      <c r="AN111" s="112">
        <f t="shared" ca="1" si="89"/>
        <v>100000</v>
      </c>
      <c r="AO111" s="114">
        <f t="shared" ca="1" si="75"/>
        <v>0</v>
      </c>
      <c r="AP111" s="114">
        <f t="shared" ca="1" si="76"/>
        <v>0</v>
      </c>
      <c r="AQ111" s="112"/>
      <c r="AR111" s="238">
        <f t="shared" si="90"/>
        <v>111</v>
      </c>
      <c r="AS111" s="112"/>
      <c r="AT111" s="112"/>
      <c r="AU111" s="283">
        <f t="shared" si="91"/>
        <v>92</v>
      </c>
      <c r="AV111" s="284">
        <f t="shared" ca="1" si="77"/>
        <v>100000</v>
      </c>
      <c r="AW111" s="284">
        <f t="shared" ca="1" si="104"/>
        <v>100000</v>
      </c>
      <c r="AX111" s="285">
        <f t="shared" ca="1" si="78"/>
        <v>0</v>
      </c>
      <c r="AY111" s="285">
        <f t="shared" ca="1" si="79"/>
        <v>18</v>
      </c>
      <c r="AZ111" s="282"/>
      <c r="BD111" s="114">
        <f t="shared" si="92"/>
        <v>1</v>
      </c>
      <c r="BE111" s="112">
        <f t="shared" si="80"/>
        <v>100000</v>
      </c>
      <c r="BH111" s="238">
        <f t="shared" si="93"/>
        <v>92</v>
      </c>
      <c r="BI111" s="245">
        <f t="shared" si="81"/>
        <v>100000</v>
      </c>
      <c r="BJ111" s="281">
        <f t="shared" ca="1" si="64"/>
        <v>16</v>
      </c>
      <c r="BK111" s="245" t="e">
        <f t="shared" ca="1" si="82"/>
        <v>#N/A</v>
      </c>
      <c r="BL111" s="245" t="e">
        <f t="shared" ca="1" si="83"/>
        <v>#N/A</v>
      </c>
      <c r="BN111" s="245" t="e">
        <f t="shared" ca="1" si="102"/>
        <v>#N/A</v>
      </c>
      <c r="CL111" s="112"/>
      <c r="CM111" s="112"/>
      <c r="CP111" s="112"/>
      <c r="CQ111" s="112"/>
      <c r="CR111" s="238"/>
      <c r="CS111" s="238"/>
      <c r="CT111" s="112"/>
      <c r="CU111" s="112"/>
      <c r="CV111" s="112"/>
      <c r="CW111" s="112" t="s">
        <v>224</v>
      </c>
      <c r="CX111" s="112" t="s">
        <v>225</v>
      </c>
      <c r="CY111" s="112" t="s">
        <v>226</v>
      </c>
      <c r="CZ111" s="112" t="s">
        <v>227</v>
      </c>
      <c r="DA111" s="112" t="s">
        <v>228</v>
      </c>
      <c r="DB111" s="112" t="s">
        <v>229</v>
      </c>
      <c r="DC111" s="112"/>
      <c r="DD111" s="238"/>
      <c r="DE111" s="112"/>
      <c r="DF111" s="112"/>
      <c r="DG111" s="112"/>
      <c r="DH111" s="238"/>
      <c r="DI111" s="112"/>
      <c r="DJ111" s="112"/>
      <c r="DK111" s="112"/>
      <c r="DL111" s="278" t="str">
        <f t="shared" ca="1" si="94"/>
        <v/>
      </c>
      <c r="DM111" s="245" t="str">
        <f t="shared" ca="1" si="63"/>
        <v/>
      </c>
      <c r="DN111" s="245" t="str">
        <f t="shared" ca="1" si="63"/>
        <v/>
      </c>
      <c r="DO111" s="245" t="str">
        <f t="shared" ca="1" si="63"/>
        <v/>
      </c>
      <c r="DP111" s="245" t="str">
        <f t="shared" ca="1" si="63"/>
        <v/>
      </c>
      <c r="DQ111" s="245" t="str">
        <f t="shared" ca="1" si="63"/>
        <v/>
      </c>
      <c r="DR111" s="244"/>
      <c r="DS111" s="245" t="str">
        <f t="shared" si="105"/>
        <v/>
      </c>
      <c r="DT111" s="245" t="str">
        <f t="shared" si="105"/>
        <v/>
      </c>
      <c r="DU111" s="245" t="str">
        <f t="shared" si="105"/>
        <v/>
      </c>
      <c r="DV111" s="244" t="str">
        <f t="shared" ca="1" si="65"/>
        <v/>
      </c>
      <c r="DW111" s="244"/>
      <c r="DX111" s="244" t="str">
        <f t="shared" ca="1" si="95"/>
        <v/>
      </c>
      <c r="EA111" s="244" t="b">
        <f t="shared" ca="1" si="84"/>
        <v>0</v>
      </c>
      <c r="EB111" s="278" t="e">
        <f ca="1">VLOOKUP(DM111,Foglio1!$AB$31:$AN$261,13)-6+EA111</f>
        <v>#N/A</v>
      </c>
      <c r="EC111" s="244"/>
      <c r="ED111" s="244" t="e">
        <f t="shared" ca="1" si="106"/>
        <v>#N/A</v>
      </c>
      <c r="EE111" s="244" t="e">
        <f t="shared" ca="1" si="106"/>
        <v>#N/A</v>
      </c>
      <c r="EF111" s="244" t="e">
        <f t="shared" ca="1" si="106"/>
        <v>#N/A</v>
      </c>
      <c r="EG111" s="244" t="e">
        <f t="shared" ca="1" si="106"/>
        <v>#N/A</v>
      </c>
      <c r="EH111" s="244" t="e">
        <f t="shared" ca="1" si="106"/>
        <v>#N/A</v>
      </c>
      <c r="EI111" s="244" t="e">
        <f t="shared" ca="1" si="106"/>
        <v>#N/A</v>
      </c>
      <c r="EJ111" s="244" t="e">
        <f t="shared" ca="1" si="106"/>
        <v>#N/A</v>
      </c>
      <c r="EK111" s="244" t="e">
        <f t="shared" ca="1" si="106"/>
        <v>#N/A</v>
      </c>
      <c r="EL111" s="244" t="e">
        <f t="shared" ca="1" si="101"/>
        <v>#N/A</v>
      </c>
      <c r="EM111" s="244" t="e">
        <f t="shared" ca="1" si="101"/>
        <v>#N/A</v>
      </c>
      <c r="EN111" s="244" t="e">
        <f t="shared" ca="1" si="101"/>
        <v>#N/A</v>
      </c>
      <c r="EO111" s="244" t="e">
        <f t="shared" ca="1" si="101"/>
        <v>#N/A</v>
      </c>
      <c r="EP111" s="244" t="e">
        <f t="shared" ca="1" si="101"/>
        <v>#N/A</v>
      </c>
      <c r="EQ111" s="244" t="e">
        <f t="shared" ca="1" si="101"/>
        <v>#N/A</v>
      </c>
      <c r="ER111" s="244"/>
      <c r="EW111" s="244">
        <v>0</v>
      </c>
      <c r="EX111" s="278" t="e">
        <f ca="1">VLOOKUP(DM111,Foglio1!$AB$31:$AN$261,13)-6+EW111</f>
        <v>#N/A</v>
      </c>
      <c r="EY111" s="244"/>
      <c r="EZ111" s="244" t="e">
        <f t="shared" ca="1" si="85"/>
        <v>#N/A</v>
      </c>
      <c r="FA111" s="244" t="e">
        <f t="shared" ca="1" si="103"/>
        <v>#N/A</v>
      </c>
      <c r="FB111" s="244" t="e">
        <f t="shared" ca="1" si="103"/>
        <v>#N/A</v>
      </c>
      <c r="FC111" s="244" t="e">
        <f t="shared" ca="1" si="103"/>
        <v>#N/A</v>
      </c>
      <c r="FD111" s="244" t="e">
        <f t="shared" ca="1" si="103"/>
        <v>#N/A</v>
      </c>
      <c r="FE111" s="244" t="e">
        <f t="shared" ca="1" si="103"/>
        <v>#N/A</v>
      </c>
      <c r="FF111" s="244" t="e">
        <f t="shared" ca="1" si="103"/>
        <v>#N/A</v>
      </c>
      <c r="FG111" s="244" t="e">
        <f t="shared" ca="1" si="86"/>
        <v>#N/A</v>
      </c>
      <c r="FH111" s="244" t="e">
        <f t="shared" ca="1" si="86"/>
        <v>#N/A</v>
      </c>
      <c r="FI111" s="244" t="e">
        <f t="shared" ca="1" si="86"/>
        <v>#N/A</v>
      </c>
      <c r="FJ111" s="244" t="e">
        <f t="shared" ca="1" si="86"/>
        <v>#N/A</v>
      </c>
      <c r="FK111" s="244" t="e">
        <f t="shared" ca="1" si="86"/>
        <v>#N/A</v>
      </c>
      <c r="FL111" s="244" t="e">
        <f t="shared" ca="1" si="86"/>
        <v>#N/A</v>
      </c>
      <c r="FM111" s="244" t="e">
        <f t="shared" ca="1" si="66"/>
        <v>#N/A</v>
      </c>
      <c r="FN111" s="244"/>
    </row>
    <row r="112" spans="5:170" x14ac:dyDescent="0.25">
      <c r="E112" s="244"/>
      <c r="F112" s="244"/>
      <c r="G112" s="244"/>
      <c r="L112">
        <f t="shared" si="87"/>
        <v>112</v>
      </c>
      <c r="R112" s="112">
        <f t="shared" si="67"/>
        <v>0</v>
      </c>
      <c r="S112" s="238" t="e">
        <f t="shared" si="96"/>
        <v>#N/A</v>
      </c>
      <c r="T112" s="112" t="e">
        <f t="shared" ca="1" si="97"/>
        <v>#N/A</v>
      </c>
      <c r="U112" s="112" t="e">
        <f t="shared" ca="1" si="98"/>
        <v>#N/A</v>
      </c>
      <c r="V112" s="112" t="e">
        <f t="shared" ca="1" si="99"/>
        <v>#N/A</v>
      </c>
      <c r="W112" s="112" t="e">
        <f t="shared" ca="1" si="100"/>
        <v>#N/A</v>
      </c>
      <c r="X112" s="112">
        <f t="shared" si="68"/>
        <v>0</v>
      </c>
      <c r="Y112" s="112"/>
      <c r="Z112" s="112"/>
      <c r="AA112" s="112">
        <f t="shared" si="69"/>
        <v>100000</v>
      </c>
      <c r="AB112" s="112" t="e">
        <f t="shared" ca="1" si="70"/>
        <v>#N/A</v>
      </c>
      <c r="AC112" s="112" t="e">
        <f t="shared" ca="1" si="71"/>
        <v>#N/A</v>
      </c>
      <c r="AD112" s="112" t="e">
        <f t="shared" ca="1" si="72"/>
        <v>#N/A</v>
      </c>
      <c r="AE112" s="112" t="e">
        <f t="shared" ca="1" si="73"/>
        <v>#N/A</v>
      </c>
      <c r="AF112" s="112">
        <f t="shared" si="74"/>
        <v>100000</v>
      </c>
      <c r="AG112" s="238">
        <f>AG111</f>
        <v>38</v>
      </c>
      <c r="AH112" s="112" t="e">
        <f ca="1">AI111+1</f>
        <v>#N/A</v>
      </c>
      <c r="AI112" s="112" t="e">
        <f ca="1">IF(INDIRECT(CONCATENATE("AD",AG110))&lt;100000,INDIRECT(CONCATENATE("AD",AG110))-1,IF(INDIRECT(CONCATENATE("AE",AG110))&lt;100000,INDIRECT(CONCATENATE("AE",G110)),INDIRECT(CONCATENATE("AF",AG110))))</f>
        <v>#N/A</v>
      </c>
      <c r="AJ112" s="114"/>
      <c r="AK112" s="114"/>
      <c r="AL112" s="238" t="e">
        <f t="shared" ca="1" si="88"/>
        <v>#N/A</v>
      </c>
      <c r="AM112" s="112">
        <f t="shared" ca="1" si="107"/>
        <v>100000</v>
      </c>
      <c r="AN112" s="112">
        <f t="shared" ca="1" si="89"/>
        <v>100000</v>
      </c>
      <c r="AO112" s="114">
        <f t="shared" ca="1" si="75"/>
        <v>0</v>
      </c>
      <c r="AP112" s="114">
        <f t="shared" ca="1" si="76"/>
        <v>0</v>
      </c>
      <c r="AQ112" s="112"/>
      <c r="AR112" s="238">
        <f t="shared" si="90"/>
        <v>112</v>
      </c>
      <c r="AS112" s="112"/>
      <c r="AT112" s="112"/>
      <c r="AU112" s="283">
        <f t="shared" si="91"/>
        <v>93</v>
      </c>
      <c r="AV112" s="284">
        <f t="shared" ca="1" si="77"/>
        <v>100000</v>
      </c>
      <c r="AW112" s="284">
        <f t="shared" ca="1" si="104"/>
        <v>100000</v>
      </c>
      <c r="AX112" s="285">
        <f t="shared" ca="1" si="78"/>
        <v>0</v>
      </c>
      <c r="AY112" s="285">
        <f t="shared" ca="1" si="79"/>
        <v>18</v>
      </c>
      <c r="AZ112" s="282"/>
      <c r="BD112" s="114">
        <f t="shared" si="92"/>
        <v>1</v>
      </c>
      <c r="BE112" s="112">
        <f t="shared" si="80"/>
        <v>100000</v>
      </c>
      <c r="BH112" s="238">
        <f t="shared" si="93"/>
        <v>93</v>
      </c>
      <c r="BI112" s="245">
        <f t="shared" si="81"/>
        <v>100000</v>
      </c>
      <c r="BJ112" s="281">
        <f t="shared" ca="1" si="64"/>
        <v>16</v>
      </c>
      <c r="BK112" s="245" t="e">
        <f t="shared" ca="1" si="82"/>
        <v>#N/A</v>
      </c>
      <c r="BL112" s="245" t="e">
        <f t="shared" ca="1" si="83"/>
        <v>#N/A</v>
      </c>
      <c r="BN112" s="245" t="e">
        <f t="shared" ca="1" si="102"/>
        <v>#N/A</v>
      </c>
      <c r="CL112" s="112"/>
      <c r="CM112" s="112"/>
      <c r="CP112" s="112"/>
      <c r="CQ112" s="112"/>
      <c r="CR112" s="238"/>
      <c r="CS112" s="238"/>
      <c r="CT112" s="112"/>
      <c r="CU112" s="112"/>
      <c r="CV112" s="112"/>
      <c r="CW112" s="112" t="s">
        <v>224</v>
      </c>
      <c r="CX112" s="112" t="s">
        <v>225</v>
      </c>
      <c r="CY112" s="112" t="s">
        <v>226</v>
      </c>
      <c r="CZ112" s="112" t="s">
        <v>227</v>
      </c>
      <c r="DA112" s="112" t="s">
        <v>228</v>
      </c>
      <c r="DB112" s="112" t="s">
        <v>229</v>
      </c>
      <c r="DC112" s="112"/>
      <c r="DD112" s="238"/>
      <c r="DE112" s="112"/>
      <c r="DF112" s="112"/>
      <c r="DG112" s="112"/>
      <c r="DH112" s="238"/>
      <c r="DI112" s="112"/>
      <c r="DJ112" s="112"/>
      <c r="DK112" s="112"/>
      <c r="DL112" s="278" t="str">
        <f t="shared" ca="1" si="94"/>
        <v/>
      </c>
      <c r="DM112" s="245" t="str">
        <f t="shared" ca="1" si="63"/>
        <v/>
      </c>
      <c r="DN112" s="245" t="str">
        <f t="shared" ca="1" si="63"/>
        <v/>
      </c>
      <c r="DO112" s="245" t="str">
        <f t="shared" ca="1" si="63"/>
        <v/>
      </c>
      <c r="DP112" s="245" t="str">
        <f t="shared" ca="1" si="63"/>
        <v/>
      </c>
      <c r="DQ112" s="245" t="str">
        <f t="shared" ca="1" si="63"/>
        <v/>
      </c>
      <c r="DR112" s="244"/>
      <c r="DS112" s="245" t="str">
        <f t="shared" si="105"/>
        <v/>
      </c>
      <c r="DT112" s="245" t="str">
        <f t="shared" si="105"/>
        <v/>
      </c>
      <c r="DU112" s="245" t="str">
        <f t="shared" si="105"/>
        <v/>
      </c>
      <c r="DV112" s="244" t="str">
        <f t="shared" ca="1" si="65"/>
        <v/>
      </c>
      <c r="DW112" s="244"/>
      <c r="DX112" s="244" t="str">
        <f t="shared" ca="1" si="95"/>
        <v/>
      </c>
      <c r="EA112" s="244" t="b">
        <f t="shared" ca="1" si="84"/>
        <v>0</v>
      </c>
      <c r="EB112" s="278" t="e">
        <f ca="1">VLOOKUP(DM112,Foglio1!$AB$31:$AN$261,13)-6+EA112</f>
        <v>#N/A</v>
      </c>
      <c r="EC112" s="244"/>
      <c r="ED112" s="244" t="e">
        <f t="shared" ca="1" si="106"/>
        <v>#N/A</v>
      </c>
      <c r="EE112" s="244" t="e">
        <f t="shared" ca="1" si="106"/>
        <v>#N/A</v>
      </c>
      <c r="EF112" s="244" t="e">
        <f t="shared" ca="1" si="106"/>
        <v>#N/A</v>
      </c>
      <c r="EG112" s="244" t="e">
        <f t="shared" ca="1" si="106"/>
        <v>#N/A</v>
      </c>
      <c r="EH112" s="244" t="e">
        <f t="shared" ca="1" si="106"/>
        <v>#N/A</v>
      </c>
      <c r="EI112" s="244" t="e">
        <f t="shared" ca="1" si="106"/>
        <v>#N/A</v>
      </c>
      <c r="EJ112" s="244" t="e">
        <f t="shared" ca="1" si="106"/>
        <v>#N/A</v>
      </c>
      <c r="EK112" s="244" t="e">
        <f t="shared" ca="1" si="106"/>
        <v>#N/A</v>
      </c>
      <c r="EL112" s="244" t="e">
        <f t="shared" ca="1" si="101"/>
        <v>#N/A</v>
      </c>
      <c r="EM112" s="244" t="e">
        <f t="shared" ca="1" si="101"/>
        <v>#N/A</v>
      </c>
      <c r="EN112" s="244" t="e">
        <f t="shared" ca="1" si="101"/>
        <v>#N/A</v>
      </c>
      <c r="EO112" s="244" t="e">
        <f t="shared" ca="1" si="101"/>
        <v>#N/A</v>
      </c>
      <c r="EP112" s="244" t="e">
        <f t="shared" ca="1" si="101"/>
        <v>#N/A</v>
      </c>
      <c r="EQ112" s="244" t="e">
        <f t="shared" ca="1" si="101"/>
        <v>#N/A</v>
      </c>
      <c r="ER112" s="244"/>
      <c r="EW112" s="244">
        <v>0</v>
      </c>
      <c r="EX112" s="278" t="e">
        <f ca="1">VLOOKUP(DM112,Foglio1!$AB$31:$AN$261,13)-6+EW112</f>
        <v>#N/A</v>
      </c>
      <c r="EY112" s="244"/>
      <c r="EZ112" s="244" t="e">
        <f t="shared" ca="1" si="85"/>
        <v>#N/A</v>
      </c>
      <c r="FA112" s="244" t="e">
        <f t="shared" ca="1" si="103"/>
        <v>#N/A</v>
      </c>
      <c r="FB112" s="244" t="e">
        <f t="shared" ca="1" si="103"/>
        <v>#N/A</v>
      </c>
      <c r="FC112" s="244" t="e">
        <f t="shared" ca="1" si="103"/>
        <v>#N/A</v>
      </c>
      <c r="FD112" s="244" t="e">
        <f t="shared" ca="1" si="103"/>
        <v>#N/A</v>
      </c>
      <c r="FE112" s="244" t="e">
        <f t="shared" ca="1" si="103"/>
        <v>#N/A</v>
      </c>
      <c r="FF112" s="244" t="e">
        <f t="shared" ca="1" si="103"/>
        <v>#N/A</v>
      </c>
      <c r="FG112" s="244" t="e">
        <f t="shared" ca="1" si="86"/>
        <v>#N/A</v>
      </c>
      <c r="FH112" s="244" t="e">
        <f t="shared" ca="1" si="86"/>
        <v>#N/A</v>
      </c>
      <c r="FI112" s="244" t="e">
        <f t="shared" ca="1" si="86"/>
        <v>#N/A</v>
      </c>
      <c r="FJ112" s="244" t="e">
        <f t="shared" ca="1" si="86"/>
        <v>#N/A</v>
      </c>
      <c r="FK112" s="244" t="e">
        <f t="shared" ca="1" si="86"/>
        <v>#N/A</v>
      </c>
      <c r="FL112" s="244" t="e">
        <f t="shared" ca="1" si="86"/>
        <v>#N/A</v>
      </c>
      <c r="FM112" s="244" t="e">
        <f t="shared" ca="1" si="66"/>
        <v>#N/A</v>
      </c>
      <c r="FN112" s="244"/>
    </row>
    <row r="113" spans="5:170" x14ac:dyDescent="0.25">
      <c r="E113" s="244"/>
      <c r="F113" s="244"/>
      <c r="G113" s="244"/>
      <c r="L113">
        <f t="shared" si="87"/>
        <v>113</v>
      </c>
      <c r="R113" s="112">
        <f t="shared" si="67"/>
        <v>0</v>
      </c>
      <c r="S113" s="238" t="e">
        <f t="shared" si="96"/>
        <v>#N/A</v>
      </c>
      <c r="T113" s="112" t="e">
        <f t="shared" ca="1" si="97"/>
        <v>#N/A</v>
      </c>
      <c r="U113" s="112" t="e">
        <f t="shared" ca="1" si="98"/>
        <v>#N/A</v>
      </c>
      <c r="V113" s="112" t="e">
        <f t="shared" ca="1" si="99"/>
        <v>#N/A</v>
      </c>
      <c r="W113" s="112" t="e">
        <f t="shared" ca="1" si="100"/>
        <v>#N/A</v>
      </c>
      <c r="X113" s="112">
        <f t="shared" si="68"/>
        <v>0</v>
      </c>
      <c r="Y113" s="112"/>
      <c r="Z113" s="112"/>
      <c r="AA113" s="112">
        <f t="shared" si="69"/>
        <v>100000</v>
      </c>
      <c r="AB113" s="112" t="e">
        <f t="shared" ca="1" si="70"/>
        <v>#N/A</v>
      </c>
      <c r="AC113" s="112" t="e">
        <f t="shared" ca="1" si="71"/>
        <v>#N/A</v>
      </c>
      <c r="AD113" s="112" t="e">
        <f t="shared" ca="1" si="72"/>
        <v>#N/A</v>
      </c>
      <c r="AE113" s="112" t="e">
        <f t="shared" ca="1" si="73"/>
        <v>#N/A</v>
      </c>
      <c r="AF113" s="112">
        <f t="shared" si="74"/>
        <v>100000</v>
      </c>
      <c r="AG113" s="238">
        <f>AG112</f>
        <v>38</v>
      </c>
      <c r="AH113" s="112" t="e">
        <f ca="1">AI112+1</f>
        <v>#N/A</v>
      </c>
      <c r="AI113" s="112" t="e">
        <f ca="1">IF(INDIRECT(CONCATENATE("AE",AG110))&lt;100000,INDIRECT(CONCATENATE("AE",G110)),INDIRECT(CONCATENATE("AF",AG110)))</f>
        <v>#N/A</v>
      </c>
      <c r="AJ113" s="114"/>
      <c r="AK113" s="114"/>
      <c r="AL113" s="238" t="e">
        <f t="shared" ca="1" si="88"/>
        <v>#N/A</v>
      </c>
      <c r="AM113" s="112">
        <f t="shared" ca="1" si="107"/>
        <v>100000</v>
      </c>
      <c r="AN113" s="112">
        <f t="shared" ca="1" si="89"/>
        <v>100000</v>
      </c>
      <c r="AO113" s="114">
        <f t="shared" ca="1" si="75"/>
        <v>0</v>
      </c>
      <c r="AP113" s="114">
        <f t="shared" ca="1" si="76"/>
        <v>0</v>
      </c>
      <c r="AQ113" s="112"/>
      <c r="AR113" s="238">
        <f t="shared" si="90"/>
        <v>113</v>
      </c>
      <c r="AS113" s="112"/>
      <c r="AT113" s="112"/>
      <c r="AU113" s="283">
        <f t="shared" si="91"/>
        <v>94</v>
      </c>
      <c r="AV113" s="284">
        <f t="shared" ca="1" si="77"/>
        <v>100000</v>
      </c>
      <c r="AW113" s="284">
        <f t="shared" ca="1" si="104"/>
        <v>100000</v>
      </c>
      <c r="AX113" s="285">
        <f t="shared" ca="1" si="78"/>
        <v>0</v>
      </c>
      <c r="AY113" s="285">
        <f t="shared" ca="1" si="79"/>
        <v>18</v>
      </c>
      <c r="AZ113" s="282"/>
      <c r="BD113" s="114">
        <f t="shared" si="92"/>
        <v>1</v>
      </c>
      <c r="BE113" s="112">
        <f t="shared" si="80"/>
        <v>100000</v>
      </c>
      <c r="BH113" s="238">
        <f t="shared" si="93"/>
        <v>94</v>
      </c>
      <c r="BI113" s="245">
        <f t="shared" si="81"/>
        <v>100000</v>
      </c>
      <c r="BJ113" s="281">
        <f t="shared" ca="1" si="64"/>
        <v>16</v>
      </c>
      <c r="BK113" s="245" t="e">
        <f t="shared" ca="1" si="82"/>
        <v>#N/A</v>
      </c>
      <c r="BL113" s="245" t="e">
        <f t="shared" ca="1" si="83"/>
        <v>#N/A</v>
      </c>
      <c r="BN113" s="245" t="e">
        <f t="shared" ca="1" si="102"/>
        <v>#N/A</v>
      </c>
      <c r="CL113" s="112"/>
      <c r="CM113" s="112"/>
      <c r="CP113" s="112"/>
      <c r="CQ113" s="112"/>
      <c r="CR113" s="238"/>
      <c r="CS113" s="238"/>
      <c r="CT113" s="112"/>
      <c r="CU113" s="112"/>
      <c r="CV113" s="112"/>
      <c r="CW113" s="112" t="s">
        <v>224</v>
      </c>
      <c r="CX113" s="112" t="s">
        <v>225</v>
      </c>
      <c r="CY113" s="112" t="s">
        <v>226</v>
      </c>
      <c r="CZ113" s="112" t="s">
        <v>227</v>
      </c>
      <c r="DA113" s="112" t="s">
        <v>228</v>
      </c>
      <c r="DB113" s="112" t="s">
        <v>229</v>
      </c>
      <c r="DC113" s="112"/>
      <c r="DD113" s="238"/>
      <c r="DE113" s="112"/>
      <c r="DF113" s="112"/>
      <c r="DG113" s="112"/>
      <c r="DH113" s="238"/>
      <c r="DI113" s="112"/>
      <c r="DJ113" s="112"/>
      <c r="DK113" s="112"/>
      <c r="DL113" s="278" t="str">
        <f t="shared" ca="1" si="94"/>
        <v/>
      </c>
      <c r="DM113" s="245" t="str">
        <f t="shared" ca="1" si="63"/>
        <v/>
      </c>
      <c r="DN113" s="245" t="str">
        <f t="shared" ca="1" si="63"/>
        <v/>
      </c>
      <c r="DO113" s="245" t="str">
        <f t="shared" ca="1" si="63"/>
        <v/>
      </c>
      <c r="DP113" s="245" t="str">
        <f t="shared" ca="1" si="63"/>
        <v/>
      </c>
      <c r="DQ113" s="245" t="str">
        <f t="shared" ca="1" si="63"/>
        <v/>
      </c>
      <c r="DR113" s="244"/>
      <c r="DS113" s="245" t="str">
        <f t="shared" si="105"/>
        <v/>
      </c>
      <c r="DT113" s="245" t="str">
        <f t="shared" si="105"/>
        <v/>
      </c>
      <c r="DU113" s="245" t="str">
        <f t="shared" si="105"/>
        <v/>
      </c>
      <c r="DV113" s="244" t="str">
        <f t="shared" ca="1" si="65"/>
        <v/>
      </c>
      <c r="DW113" s="244"/>
      <c r="DX113" s="244" t="str">
        <f t="shared" ca="1" si="95"/>
        <v/>
      </c>
      <c r="EA113" s="244" t="b">
        <f t="shared" ca="1" si="84"/>
        <v>0</v>
      </c>
      <c r="EB113" s="278" t="e">
        <f ca="1">VLOOKUP(DM113,Foglio1!$AB$31:$AN$261,13)-6+EA113</f>
        <v>#N/A</v>
      </c>
      <c r="EC113" s="244"/>
      <c r="ED113" s="244" t="e">
        <f t="shared" ca="1" si="106"/>
        <v>#N/A</v>
      </c>
      <c r="EE113" s="244" t="e">
        <f t="shared" ca="1" si="106"/>
        <v>#N/A</v>
      </c>
      <c r="EF113" s="244" t="e">
        <f t="shared" ca="1" si="106"/>
        <v>#N/A</v>
      </c>
      <c r="EG113" s="244" t="e">
        <f t="shared" ca="1" si="106"/>
        <v>#N/A</v>
      </c>
      <c r="EH113" s="244" t="e">
        <f t="shared" ca="1" si="106"/>
        <v>#N/A</v>
      </c>
      <c r="EI113" s="244" t="e">
        <f t="shared" ca="1" si="106"/>
        <v>#N/A</v>
      </c>
      <c r="EJ113" s="244" t="e">
        <f t="shared" ca="1" si="106"/>
        <v>#N/A</v>
      </c>
      <c r="EK113" s="244" t="e">
        <f t="shared" ca="1" si="106"/>
        <v>#N/A</v>
      </c>
      <c r="EL113" s="244" t="e">
        <f t="shared" ca="1" si="101"/>
        <v>#N/A</v>
      </c>
      <c r="EM113" s="244" t="e">
        <f t="shared" ca="1" si="101"/>
        <v>#N/A</v>
      </c>
      <c r="EN113" s="244" t="e">
        <f t="shared" ca="1" si="101"/>
        <v>#N/A</v>
      </c>
      <c r="EO113" s="244" t="e">
        <f t="shared" ca="1" si="101"/>
        <v>#N/A</v>
      </c>
      <c r="EP113" s="244" t="e">
        <f t="shared" ca="1" si="101"/>
        <v>#N/A</v>
      </c>
      <c r="EQ113" s="244" t="e">
        <f t="shared" ca="1" si="101"/>
        <v>#N/A</v>
      </c>
      <c r="ER113" s="244"/>
      <c r="EW113" s="244">
        <v>0</v>
      </c>
      <c r="EX113" s="278" t="e">
        <f ca="1">VLOOKUP(DM113,Foglio1!$AB$31:$AN$261,13)-6+EW113</f>
        <v>#N/A</v>
      </c>
      <c r="EY113" s="244"/>
      <c r="EZ113" s="244" t="e">
        <f t="shared" ca="1" si="85"/>
        <v>#N/A</v>
      </c>
      <c r="FA113" s="244" t="e">
        <f t="shared" ca="1" si="103"/>
        <v>#N/A</v>
      </c>
      <c r="FB113" s="244" t="e">
        <f t="shared" ca="1" si="103"/>
        <v>#N/A</v>
      </c>
      <c r="FC113" s="244" t="e">
        <f t="shared" ca="1" si="103"/>
        <v>#N/A</v>
      </c>
      <c r="FD113" s="244" t="e">
        <f t="shared" ca="1" si="103"/>
        <v>#N/A</v>
      </c>
      <c r="FE113" s="244" t="e">
        <f t="shared" ca="1" si="103"/>
        <v>#N/A</v>
      </c>
      <c r="FF113" s="244" t="e">
        <f t="shared" ca="1" si="103"/>
        <v>#N/A</v>
      </c>
      <c r="FG113" s="244" t="e">
        <f t="shared" ca="1" si="86"/>
        <v>#N/A</v>
      </c>
      <c r="FH113" s="244" t="e">
        <f t="shared" ca="1" si="86"/>
        <v>#N/A</v>
      </c>
      <c r="FI113" s="244" t="e">
        <f t="shared" ca="1" si="86"/>
        <v>#N/A</v>
      </c>
      <c r="FJ113" s="244" t="e">
        <f t="shared" ca="1" si="86"/>
        <v>#N/A</v>
      </c>
      <c r="FK113" s="244" t="e">
        <f t="shared" ca="1" si="86"/>
        <v>#N/A</v>
      </c>
      <c r="FL113" s="244" t="e">
        <f t="shared" ca="1" si="86"/>
        <v>#N/A</v>
      </c>
      <c r="FM113" s="244" t="e">
        <f t="shared" ca="1" si="66"/>
        <v>#N/A</v>
      </c>
      <c r="FN113" s="244"/>
    </row>
    <row r="114" spans="5:170" x14ac:dyDescent="0.25">
      <c r="E114" s="244"/>
      <c r="F114" s="244"/>
      <c r="G114" s="244"/>
      <c r="L114">
        <f t="shared" si="87"/>
        <v>114</v>
      </c>
      <c r="R114" s="112">
        <f t="shared" si="67"/>
        <v>0</v>
      </c>
      <c r="S114" s="238" t="e">
        <f t="shared" si="96"/>
        <v>#N/A</v>
      </c>
      <c r="T114" s="112" t="e">
        <f t="shared" ca="1" si="97"/>
        <v>#N/A</v>
      </c>
      <c r="U114" s="112" t="e">
        <f t="shared" ca="1" si="98"/>
        <v>#N/A</v>
      </c>
      <c r="V114" s="112" t="e">
        <f t="shared" ca="1" si="99"/>
        <v>#N/A</v>
      </c>
      <c r="W114" s="112" t="e">
        <f t="shared" ca="1" si="100"/>
        <v>#N/A</v>
      </c>
      <c r="X114" s="112">
        <f t="shared" si="68"/>
        <v>0</v>
      </c>
      <c r="Y114" s="112"/>
      <c r="Z114" s="112"/>
      <c r="AA114" s="112">
        <f t="shared" si="69"/>
        <v>100000</v>
      </c>
      <c r="AB114" s="112" t="e">
        <f t="shared" ca="1" si="70"/>
        <v>#N/A</v>
      </c>
      <c r="AC114" s="112" t="e">
        <f t="shared" ca="1" si="71"/>
        <v>#N/A</v>
      </c>
      <c r="AD114" s="112" t="e">
        <f t="shared" ca="1" si="72"/>
        <v>#N/A</v>
      </c>
      <c r="AE114" s="112" t="e">
        <f t="shared" ca="1" si="73"/>
        <v>#N/A</v>
      </c>
      <c r="AF114" s="112">
        <f t="shared" si="74"/>
        <v>100000</v>
      </c>
      <c r="AG114" s="238">
        <f>AG113</f>
        <v>38</v>
      </c>
      <c r="AH114" s="112" t="e">
        <f ca="1">AI113+1</f>
        <v>#N/A</v>
      </c>
      <c r="AI114" s="112">
        <f ca="1">INDIRECT(CONCATENATE("AF",AG110))</f>
        <v>100000</v>
      </c>
      <c r="AJ114" s="114"/>
      <c r="AK114" s="114"/>
      <c r="AL114" s="238" t="e">
        <f t="shared" ca="1" si="88"/>
        <v>#N/A</v>
      </c>
      <c r="AM114" s="112">
        <f t="shared" ca="1" si="107"/>
        <v>100000</v>
      </c>
      <c r="AN114" s="112">
        <f t="shared" ca="1" si="89"/>
        <v>100000</v>
      </c>
      <c r="AO114" s="114">
        <f t="shared" ca="1" si="75"/>
        <v>0</v>
      </c>
      <c r="AP114" s="114">
        <f t="shared" ca="1" si="76"/>
        <v>0</v>
      </c>
      <c r="AQ114" s="112"/>
      <c r="AR114" s="238">
        <f t="shared" si="90"/>
        <v>114</v>
      </c>
      <c r="AS114" s="112"/>
      <c r="AT114" s="112"/>
      <c r="AU114" s="283">
        <f t="shared" si="91"/>
        <v>95</v>
      </c>
      <c r="AV114" s="284">
        <f t="shared" ca="1" si="77"/>
        <v>100000</v>
      </c>
      <c r="AW114" s="284">
        <f t="shared" ca="1" si="104"/>
        <v>100000</v>
      </c>
      <c r="AX114" s="285">
        <f t="shared" ca="1" si="78"/>
        <v>0</v>
      </c>
      <c r="AY114" s="285">
        <f t="shared" ca="1" si="79"/>
        <v>18</v>
      </c>
      <c r="AZ114" s="282"/>
      <c r="BD114" s="114">
        <f t="shared" si="92"/>
        <v>1</v>
      </c>
      <c r="BE114" s="112">
        <f t="shared" si="80"/>
        <v>100000</v>
      </c>
      <c r="BH114" s="238">
        <f t="shared" si="93"/>
        <v>95</v>
      </c>
      <c r="BI114" s="245">
        <f t="shared" si="81"/>
        <v>100000</v>
      </c>
      <c r="BJ114" s="281">
        <f t="shared" ca="1" si="64"/>
        <v>16</v>
      </c>
      <c r="BK114" s="245" t="e">
        <f t="shared" ca="1" si="82"/>
        <v>#N/A</v>
      </c>
      <c r="BL114" s="245" t="e">
        <f t="shared" ca="1" si="83"/>
        <v>#N/A</v>
      </c>
      <c r="BN114" s="245" t="e">
        <f t="shared" ca="1" si="102"/>
        <v>#N/A</v>
      </c>
      <c r="CL114" s="112"/>
      <c r="CM114" s="112"/>
      <c r="CP114" s="112"/>
      <c r="CQ114" s="112"/>
      <c r="CR114" s="238"/>
      <c r="CS114" s="238"/>
      <c r="CT114" s="112"/>
      <c r="CU114" s="112"/>
      <c r="CV114" s="112"/>
      <c r="CW114" s="112" t="s">
        <v>224</v>
      </c>
      <c r="CX114" s="112" t="s">
        <v>225</v>
      </c>
      <c r="CY114" s="112" t="s">
        <v>226</v>
      </c>
      <c r="CZ114" s="112" t="s">
        <v>227</v>
      </c>
      <c r="DA114" s="112" t="s">
        <v>228</v>
      </c>
      <c r="DB114" s="112" t="s">
        <v>229</v>
      </c>
      <c r="DC114" s="112"/>
      <c r="DD114" s="238"/>
      <c r="DE114" s="112"/>
      <c r="DF114" s="112"/>
      <c r="DG114" s="112"/>
      <c r="DH114" s="238"/>
      <c r="DI114" s="112"/>
      <c r="DJ114" s="112"/>
      <c r="DK114" s="112"/>
      <c r="DL114" s="278" t="str">
        <f t="shared" ca="1" si="94"/>
        <v/>
      </c>
      <c r="DM114" s="245" t="str">
        <f t="shared" ca="1" si="63"/>
        <v/>
      </c>
      <c r="DN114" s="245" t="str">
        <f t="shared" ca="1" si="63"/>
        <v/>
      </c>
      <c r="DO114" s="245" t="str">
        <f t="shared" ca="1" si="63"/>
        <v/>
      </c>
      <c r="DP114" s="245" t="str">
        <f t="shared" ca="1" si="63"/>
        <v/>
      </c>
      <c r="DQ114" s="245" t="str">
        <f t="shared" ca="1" si="63"/>
        <v/>
      </c>
      <c r="DR114" s="244"/>
      <c r="DS114" s="245" t="str">
        <f t="shared" si="105"/>
        <v/>
      </c>
      <c r="DT114" s="245" t="str">
        <f t="shared" si="105"/>
        <v/>
      </c>
      <c r="DU114" s="245" t="str">
        <f t="shared" si="105"/>
        <v/>
      </c>
      <c r="DV114" s="244" t="str">
        <f t="shared" ca="1" si="65"/>
        <v/>
      </c>
      <c r="DW114" s="244"/>
      <c r="DX114" s="244" t="str">
        <f t="shared" ca="1" si="95"/>
        <v/>
      </c>
      <c r="EA114" s="244" t="b">
        <f t="shared" ca="1" si="84"/>
        <v>0</v>
      </c>
      <c r="EB114" s="278" t="e">
        <f ca="1">VLOOKUP(DM114,Foglio1!$AB$31:$AN$261,13)-6+EA114</f>
        <v>#N/A</v>
      </c>
      <c r="EC114" s="244"/>
      <c r="ED114" s="244" t="e">
        <f t="shared" ca="1" si="106"/>
        <v>#N/A</v>
      </c>
      <c r="EE114" s="244" t="e">
        <f t="shared" ca="1" si="106"/>
        <v>#N/A</v>
      </c>
      <c r="EF114" s="244" t="e">
        <f t="shared" ca="1" si="106"/>
        <v>#N/A</v>
      </c>
      <c r="EG114" s="244" t="e">
        <f t="shared" ca="1" si="106"/>
        <v>#N/A</v>
      </c>
      <c r="EH114" s="244" t="e">
        <f t="shared" ca="1" si="106"/>
        <v>#N/A</v>
      </c>
      <c r="EI114" s="244" t="e">
        <f t="shared" ca="1" si="106"/>
        <v>#N/A</v>
      </c>
      <c r="EJ114" s="244" t="e">
        <f t="shared" ca="1" si="106"/>
        <v>#N/A</v>
      </c>
      <c r="EK114" s="244" t="e">
        <f t="shared" ca="1" si="106"/>
        <v>#N/A</v>
      </c>
      <c r="EL114" s="244" t="e">
        <f t="shared" ca="1" si="101"/>
        <v>#N/A</v>
      </c>
      <c r="EM114" s="244" t="e">
        <f t="shared" ca="1" si="101"/>
        <v>#N/A</v>
      </c>
      <c r="EN114" s="244" t="e">
        <f t="shared" ca="1" si="101"/>
        <v>#N/A</v>
      </c>
      <c r="EO114" s="244" t="e">
        <f t="shared" ca="1" si="101"/>
        <v>#N/A</v>
      </c>
      <c r="EP114" s="244" t="e">
        <f t="shared" ca="1" si="101"/>
        <v>#N/A</v>
      </c>
      <c r="EQ114" s="244" t="e">
        <f t="shared" ca="1" si="101"/>
        <v>#N/A</v>
      </c>
      <c r="ER114" s="244"/>
      <c r="EW114" s="244">
        <v>0</v>
      </c>
      <c r="EX114" s="278" t="e">
        <f ca="1">VLOOKUP(DM114,Foglio1!$AB$31:$AN$261,13)-6+EW114</f>
        <v>#N/A</v>
      </c>
      <c r="EY114" s="244"/>
      <c r="EZ114" s="244" t="e">
        <f t="shared" ca="1" si="85"/>
        <v>#N/A</v>
      </c>
      <c r="FA114" s="244" t="e">
        <f t="shared" ca="1" si="103"/>
        <v>#N/A</v>
      </c>
      <c r="FB114" s="244" t="e">
        <f t="shared" ca="1" si="103"/>
        <v>#N/A</v>
      </c>
      <c r="FC114" s="244" t="e">
        <f t="shared" ca="1" si="103"/>
        <v>#N/A</v>
      </c>
      <c r="FD114" s="244" t="e">
        <f t="shared" ca="1" si="103"/>
        <v>#N/A</v>
      </c>
      <c r="FE114" s="244" t="e">
        <f t="shared" ca="1" si="103"/>
        <v>#N/A</v>
      </c>
      <c r="FF114" s="244" t="e">
        <f t="shared" ca="1" si="103"/>
        <v>#N/A</v>
      </c>
      <c r="FG114" s="244" t="e">
        <f t="shared" ca="1" si="86"/>
        <v>#N/A</v>
      </c>
      <c r="FH114" s="244" t="e">
        <f t="shared" ca="1" si="86"/>
        <v>#N/A</v>
      </c>
      <c r="FI114" s="244" t="e">
        <f t="shared" ca="1" si="86"/>
        <v>#N/A</v>
      </c>
      <c r="FJ114" s="244" t="e">
        <f t="shared" ca="1" si="86"/>
        <v>#N/A</v>
      </c>
      <c r="FK114" s="244" t="e">
        <f t="shared" ca="1" si="86"/>
        <v>#N/A</v>
      </c>
      <c r="FL114" s="244" t="e">
        <f t="shared" ca="1" si="86"/>
        <v>#N/A</v>
      </c>
      <c r="FM114" s="244" t="e">
        <f t="shared" ca="1" si="66"/>
        <v>#N/A</v>
      </c>
      <c r="FN114" s="244"/>
    </row>
    <row r="115" spans="5:170" x14ac:dyDescent="0.25">
      <c r="E115" s="244"/>
      <c r="F115" s="244"/>
      <c r="G115" s="244"/>
      <c r="L115">
        <f t="shared" si="87"/>
        <v>115</v>
      </c>
      <c r="R115" s="112">
        <f t="shared" si="67"/>
        <v>0</v>
      </c>
      <c r="S115" s="238" t="e">
        <f t="shared" si="96"/>
        <v>#N/A</v>
      </c>
      <c r="T115" s="112" t="e">
        <f t="shared" ca="1" si="97"/>
        <v>#N/A</v>
      </c>
      <c r="U115" s="112" t="e">
        <f t="shared" ca="1" si="98"/>
        <v>#N/A</v>
      </c>
      <c r="V115" s="112" t="e">
        <f t="shared" ca="1" si="99"/>
        <v>#N/A</v>
      </c>
      <c r="W115" s="112" t="e">
        <f t="shared" ca="1" si="100"/>
        <v>#N/A</v>
      </c>
      <c r="X115" s="112">
        <f t="shared" si="68"/>
        <v>0</v>
      </c>
      <c r="Y115" s="112"/>
      <c r="Z115" s="112"/>
      <c r="AA115" s="112">
        <f t="shared" si="69"/>
        <v>100000</v>
      </c>
      <c r="AB115" s="112" t="e">
        <f t="shared" ca="1" si="70"/>
        <v>#N/A</v>
      </c>
      <c r="AC115" s="112" t="e">
        <f t="shared" ca="1" si="71"/>
        <v>#N/A</v>
      </c>
      <c r="AD115" s="112" t="e">
        <f t="shared" ca="1" si="72"/>
        <v>#N/A</v>
      </c>
      <c r="AE115" s="112" t="e">
        <f t="shared" ca="1" si="73"/>
        <v>#N/A</v>
      </c>
      <c r="AF115" s="112">
        <f t="shared" si="74"/>
        <v>100000</v>
      </c>
      <c r="AG115" s="238">
        <f>AG114+1</f>
        <v>39</v>
      </c>
      <c r="AH115" s="112">
        <f ca="1">INDIRECT(CONCATENATE("AA",AG115))</f>
        <v>100000</v>
      </c>
      <c r="AI115" s="112" t="e">
        <f ca="1">IF(            INDIRECT(CONCATENATE( "AB",AG115))&lt;100000,       INDIRECT(CONCATENATE("AB",AG115))  -1,IF(   INDIRECT(CONCATENATE("AC",AG115))&lt;100000,   INDIRECT(CONCATENATE("AC",AG115))-1,IF(   INDIRECT(CONCATENATE("AD", AG115))&lt;100000, INDIRECT(CONCATENATE("AD",AG115))-1,IF(   INDIRECT(CONCATENATE("AE",AG115))&lt;100000,  INDIRECT(CONCATENATE("AE",G115)),INDIRECT(CONCATENATE("AF",AG115))                ))))</f>
        <v>#N/A</v>
      </c>
      <c r="AJ115" s="114"/>
      <c r="AK115" s="114"/>
      <c r="AL115" s="238" t="e">
        <f t="shared" ca="1" si="88"/>
        <v>#N/A</v>
      </c>
      <c r="AM115" s="112">
        <f t="shared" ca="1" si="107"/>
        <v>100000</v>
      </c>
      <c r="AN115" s="112">
        <f t="shared" ca="1" si="89"/>
        <v>100000</v>
      </c>
      <c r="AO115" s="114">
        <f t="shared" ca="1" si="75"/>
        <v>0</v>
      </c>
      <c r="AP115" s="114">
        <f t="shared" ca="1" si="76"/>
        <v>0</v>
      </c>
      <c r="AQ115" s="112"/>
      <c r="AR115" s="238">
        <f t="shared" si="90"/>
        <v>115</v>
      </c>
      <c r="AS115" s="112"/>
      <c r="AT115" s="112"/>
      <c r="AU115" s="283">
        <f t="shared" si="91"/>
        <v>96</v>
      </c>
      <c r="AV115" s="284">
        <f t="shared" ca="1" si="77"/>
        <v>100000</v>
      </c>
      <c r="AW115" s="284">
        <f t="shared" ca="1" si="104"/>
        <v>100000</v>
      </c>
      <c r="AX115" s="285">
        <f t="shared" ca="1" si="78"/>
        <v>0</v>
      </c>
      <c r="AY115" s="285">
        <f t="shared" ca="1" si="79"/>
        <v>18</v>
      </c>
      <c r="AZ115" s="282"/>
      <c r="BD115" s="114">
        <f t="shared" si="92"/>
        <v>1</v>
      </c>
      <c r="BE115" s="112">
        <f t="shared" si="80"/>
        <v>100000</v>
      </c>
      <c r="BH115" s="238">
        <f t="shared" si="93"/>
        <v>96</v>
      </c>
      <c r="BI115" s="245">
        <f t="shared" si="81"/>
        <v>100000</v>
      </c>
      <c r="BJ115" s="281">
        <f t="shared" ca="1" si="64"/>
        <v>16</v>
      </c>
      <c r="BK115" s="245" t="e">
        <f t="shared" ca="1" si="82"/>
        <v>#N/A</v>
      </c>
      <c r="BL115" s="245" t="e">
        <f t="shared" ca="1" si="83"/>
        <v>#N/A</v>
      </c>
      <c r="BN115" s="245" t="e">
        <f t="shared" ca="1" si="102"/>
        <v>#N/A</v>
      </c>
      <c r="CL115" s="112"/>
      <c r="CM115" s="112"/>
      <c r="CP115" s="112"/>
      <c r="CQ115" s="112"/>
      <c r="CR115" s="238"/>
      <c r="CS115" s="238"/>
      <c r="CT115" s="112"/>
      <c r="CU115" s="112"/>
      <c r="CV115" s="112"/>
      <c r="CW115" s="112" t="s">
        <v>224</v>
      </c>
      <c r="CX115" s="112" t="s">
        <v>225</v>
      </c>
      <c r="CY115" s="112" t="s">
        <v>226</v>
      </c>
      <c r="CZ115" s="112" t="s">
        <v>227</v>
      </c>
      <c r="DA115" s="112" t="s">
        <v>228</v>
      </c>
      <c r="DB115" s="112" t="s">
        <v>229</v>
      </c>
      <c r="DC115" s="112"/>
      <c r="DD115" s="238"/>
      <c r="DE115" s="112"/>
      <c r="DF115" s="112"/>
      <c r="DG115" s="112"/>
      <c r="DH115" s="238"/>
      <c r="DI115" s="112"/>
      <c r="DJ115" s="112"/>
      <c r="DK115" s="112"/>
      <c r="DL115" s="278" t="str">
        <f t="shared" ca="1" si="94"/>
        <v/>
      </c>
      <c r="DM115" s="245" t="str">
        <f t="shared" ca="1" si="63"/>
        <v/>
      </c>
      <c r="DN115" s="245" t="str">
        <f t="shared" ca="1" si="63"/>
        <v/>
      </c>
      <c r="DO115" s="245" t="str">
        <f t="shared" ca="1" si="63"/>
        <v/>
      </c>
      <c r="DP115" s="245" t="str">
        <f t="shared" ca="1" si="63"/>
        <v/>
      </c>
      <c r="DQ115" s="245" t="str">
        <f t="shared" ca="1" si="63"/>
        <v/>
      </c>
      <c r="DR115" s="244"/>
      <c r="DS115" s="245" t="str">
        <f t="shared" si="105"/>
        <v/>
      </c>
      <c r="DT115" s="245" t="str">
        <f t="shared" si="105"/>
        <v/>
      </c>
      <c r="DU115" s="245" t="str">
        <f t="shared" si="105"/>
        <v/>
      </c>
      <c r="DV115" s="244" t="str">
        <f t="shared" ca="1" si="65"/>
        <v/>
      </c>
      <c r="DW115" s="244"/>
      <c r="DX115" s="244" t="str">
        <f t="shared" ca="1" si="95"/>
        <v/>
      </c>
      <c r="EA115" s="244" t="b">
        <f t="shared" ca="1" si="84"/>
        <v>0</v>
      </c>
      <c r="EB115" s="278" t="e">
        <f ca="1">VLOOKUP(DM115,Foglio1!$AB$31:$AN$261,13)-6+EA115</f>
        <v>#N/A</v>
      </c>
      <c r="EC115" s="244"/>
      <c r="ED115" s="244" t="e">
        <f t="shared" ca="1" si="106"/>
        <v>#N/A</v>
      </c>
      <c r="EE115" s="244" t="e">
        <f t="shared" ca="1" si="106"/>
        <v>#N/A</v>
      </c>
      <c r="EF115" s="244" t="e">
        <f t="shared" ca="1" si="106"/>
        <v>#N/A</v>
      </c>
      <c r="EG115" s="244" t="e">
        <f t="shared" ca="1" si="106"/>
        <v>#N/A</v>
      </c>
      <c r="EH115" s="244" t="e">
        <f t="shared" ca="1" si="106"/>
        <v>#N/A</v>
      </c>
      <c r="EI115" s="244" t="e">
        <f t="shared" ca="1" si="106"/>
        <v>#N/A</v>
      </c>
      <c r="EJ115" s="244" t="e">
        <f t="shared" ca="1" si="106"/>
        <v>#N/A</v>
      </c>
      <c r="EK115" s="244" t="e">
        <f t="shared" ca="1" si="106"/>
        <v>#N/A</v>
      </c>
      <c r="EL115" s="244" t="e">
        <f t="shared" ca="1" si="101"/>
        <v>#N/A</v>
      </c>
      <c r="EM115" s="244" t="e">
        <f t="shared" ca="1" si="101"/>
        <v>#N/A</v>
      </c>
      <c r="EN115" s="244" t="e">
        <f t="shared" ca="1" si="101"/>
        <v>#N/A</v>
      </c>
      <c r="EO115" s="244" t="e">
        <f t="shared" ca="1" si="101"/>
        <v>#N/A</v>
      </c>
      <c r="EP115" s="244" t="e">
        <f t="shared" ca="1" si="101"/>
        <v>#N/A</v>
      </c>
      <c r="EQ115" s="244" t="e">
        <f t="shared" ca="1" si="101"/>
        <v>#N/A</v>
      </c>
      <c r="ER115" s="244"/>
      <c r="EW115" s="244">
        <v>0</v>
      </c>
      <c r="EX115" s="278" t="e">
        <f ca="1">VLOOKUP(DM115,Foglio1!$AB$31:$AN$261,13)-6+EW115</f>
        <v>#N/A</v>
      </c>
      <c r="EY115" s="244"/>
      <c r="EZ115" s="244" t="e">
        <f t="shared" ca="1" si="85"/>
        <v>#N/A</v>
      </c>
      <c r="FA115" s="244" t="e">
        <f t="shared" ca="1" si="103"/>
        <v>#N/A</v>
      </c>
      <c r="FB115" s="244" t="e">
        <f t="shared" ca="1" si="103"/>
        <v>#N/A</v>
      </c>
      <c r="FC115" s="244" t="e">
        <f t="shared" ca="1" si="103"/>
        <v>#N/A</v>
      </c>
      <c r="FD115" s="244" t="e">
        <f t="shared" ca="1" si="103"/>
        <v>#N/A</v>
      </c>
      <c r="FE115" s="244" t="e">
        <f t="shared" ca="1" si="103"/>
        <v>#N/A</v>
      </c>
      <c r="FF115" s="244" t="e">
        <f t="shared" ca="1" si="103"/>
        <v>#N/A</v>
      </c>
      <c r="FG115" s="244" t="e">
        <f t="shared" ca="1" si="86"/>
        <v>#N/A</v>
      </c>
      <c r="FH115" s="244" t="e">
        <f t="shared" ca="1" si="86"/>
        <v>#N/A</v>
      </c>
      <c r="FI115" s="244" t="e">
        <f t="shared" ca="1" si="86"/>
        <v>#N/A</v>
      </c>
      <c r="FJ115" s="244" t="e">
        <f t="shared" ca="1" si="86"/>
        <v>#N/A</v>
      </c>
      <c r="FK115" s="244" t="e">
        <f t="shared" ca="1" si="86"/>
        <v>#N/A</v>
      </c>
      <c r="FL115" s="244" t="e">
        <f t="shared" ca="1" si="86"/>
        <v>#N/A</v>
      </c>
      <c r="FM115" s="244" t="e">
        <f t="shared" ca="1" si="66"/>
        <v>#N/A</v>
      </c>
      <c r="FN115" s="244"/>
    </row>
    <row r="116" spans="5:170" x14ac:dyDescent="0.25">
      <c r="E116" s="244"/>
      <c r="F116" s="244"/>
      <c r="G116" s="244"/>
      <c r="L116">
        <f t="shared" si="87"/>
        <v>116</v>
      </c>
      <c r="R116" s="112">
        <f t="shared" si="67"/>
        <v>0</v>
      </c>
      <c r="S116" s="238" t="e">
        <f t="shared" si="96"/>
        <v>#N/A</v>
      </c>
      <c r="T116" s="112" t="e">
        <f t="shared" ca="1" si="97"/>
        <v>#N/A</v>
      </c>
      <c r="U116" s="112" t="e">
        <f t="shared" ca="1" si="98"/>
        <v>#N/A</v>
      </c>
      <c r="V116" s="112" t="e">
        <f t="shared" ca="1" si="99"/>
        <v>#N/A</v>
      </c>
      <c r="W116" s="112" t="e">
        <f t="shared" ca="1" si="100"/>
        <v>#N/A</v>
      </c>
      <c r="X116" s="112">
        <f t="shared" si="68"/>
        <v>0</v>
      </c>
      <c r="Y116" s="112"/>
      <c r="Z116" s="112"/>
      <c r="AA116" s="112">
        <f t="shared" si="69"/>
        <v>100000</v>
      </c>
      <c r="AB116" s="112" t="e">
        <f t="shared" ca="1" si="70"/>
        <v>#N/A</v>
      </c>
      <c r="AC116" s="112" t="e">
        <f t="shared" ca="1" si="71"/>
        <v>#N/A</v>
      </c>
      <c r="AD116" s="112" t="e">
        <f t="shared" ca="1" si="72"/>
        <v>#N/A</v>
      </c>
      <c r="AE116" s="112" t="e">
        <f t="shared" ca="1" si="73"/>
        <v>#N/A</v>
      </c>
      <c r="AF116" s="112">
        <f t="shared" si="74"/>
        <v>100000</v>
      </c>
      <c r="AG116" s="238">
        <f>AG115</f>
        <v>39</v>
      </c>
      <c r="AH116" s="112" t="e">
        <f ca="1">AI115+1</f>
        <v>#N/A</v>
      </c>
      <c r="AI116" s="112" t="e">
        <f ca="1">IF(INDIRECT(CONCATENATE("AC",AG115))&lt;100000,INDIRECT(CONCATENATE("AC",AG115))-1,IF(INDIRECT(CONCATENATE("AD",AG115))&lt;100000,INDIRECT(CONCATENATE("AD",AG115))-1,IF(INDIRECT(CONCATENATE("AE",AG115))&lt;100000,INDIRECT(CONCATENATE("AE",G115)),INDIRECT(CONCATENATE("AF",AG115)))))</f>
        <v>#N/A</v>
      </c>
      <c r="AJ116" s="114"/>
      <c r="AK116" s="114"/>
      <c r="AL116" s="238" t="e">
        <f t="shared" ca="1" si="88"/>
        <v>#N/A</v>
      </c>
      <c r="AM116" s="112">
        <f t="shared" ca="1" si="107"/>
        <v>100000</v>
      </c>
      <c r="AN116" s="112">
        <f t="shared" ca="1" si="89"/>
        <v>100000</v>
      </c>
      <c r="AO116" s="114">
        <f t="shared" ca="1" si="75"/>
        <v>0</v>
      </c>
      <c r="AP116" s="114">
        <f t="shared" ca="1" si="76"/>
        <v>0</v>
      </c>
      <c r="AQ116" s="112"/>
      <c r="AR116" s="238">
        <f t="shared" si="90"/>
        <v>116</v>
      </c>
      <c r="AS116" s="112"/>
      <c r="AT116" s="112"/>
      <c r="AU116" s="283">
        <f t="shared" si="91"/>
        <v>97</v>
      </c>
      <c r="AV116" s="284">
        <f t="shared" ca="1" si="77"/>
        <v>100000</v>
      </c>
      <c r="AW116" s="284">
        <f t="shared" ca="1" si="104"/>
        <v>100000</v>
      </c>
      <c r="AX116" s="285">
        <f t="shared" ca="1" si="78"/>
        <v>0</v>
      </c>
      <c r="AY116" s="285">
        <f t="shared" ca="1" si="79"/>
        <v>18</v>
      </c>
      <c r="AZ116" s="282"/>
      <c r="BD116" s="114">
        <f t="shared" si="92"/>
        <v>1</v>
      </c>
      <c r="BE116" s="112">
        <f t="shared" si="80"/>
        <v>100000</v>
      </c>
      <c r="BH116" s="238">
        <f t="shared" si="93"/>
        <v>97</v>
      </c>
      <c r="BI116" s="245">
        <f t="shared" si="81"/>
        <v>100000</v>
      </c>
      <c r="BJ116" s="281">
        <f t="shared" ca="1" si="64"/>
        <v>16</v>
      </c>
      <c r="BK116" s="245" t="e">
        <f t="shared" ca="1" si="82"/>
        <v>#N/A</v>
      </c>
      <c r="BL116" s="245" t="e">
        <f t="shared" ca="1" si="83"/>
        <v>#N/A</v>
      </c>
      <c r="BN116" s="245" t="e">
        <f t="shared" ca="1" si="102"/>
        <v>#N/A</v>
      </c>
      <c r="CL116" s="112"/>
      <c r="CM116" s="112"/>
      <c r="CP116" s="112"/>
      <c r="CQ116" s="112"/>
      <c r="CR116" s="238"/>
      <c r="CS116" s="238"/>
      <c r="CT116" s="112"/>
      <c r="CU116" s="112"/>
      <c r="CV116" s="112"/>
      <c r="CW116" s="112" t="s">
        <v>224</v>
      </c>
      <c r="CX116" s="112" t="s">
        <v>225</v>
      </c>
      <c r="CY116" s="112" t="s">
        <v>226</v>
      </c>
      <c r="CZ116" s="112" t="s">
        <v>227</v>
      </c>
      <c r="DA116" s="112" t="s">
        <v>228</v>
      </c>
      <c r="DB116" s="112" t="s">
        <v>229</v>
      </c>
      <c r="DC116" s="112"/>
      <c r="DD116" s="238"/>
      <c r="DE116" s="112"/>
      <c r="DF116" s="112"/>
      <c r="DG116" s="112"/>
      <c r="DH116" s="238"/>
      <c r="DI116" s="112"/>
      <c r="DJ116" s="112"/>
      <c r="DK116" s="112"/>
      <c r="DL116" s="278" t="str">
        <f t="shared" ca="1" si="94"/>
        <v/>
      </c>
      <c r="DM116" s="245" t="str">
        <f t="shared" ca="1" si="63"/>
        <v/>
      </c>
      <c r="DN116" s="245" t="str">
        <f t="shared" ca="1" si="63"/>
        <v/>
      </c>
      <c r="DO116" s="245" t="str">
        <f t="shared" ca="1" si="63"/>
        <v/>
      </c>
      <c r="DP116" s="245" t="str">
        <f t="shared" ca="1" si="63"/>
        <v/>
      </c>
      <c r="DQ116" s="245" t="str">
        <f t="shared" ca="1" si="63"/>
        <v/>
      </c>
      <c r="DR116" s="244"/>
      <c r="DS116" s="245" t="str">
        <f t="shared" si="105"/>
        <v/>
      </c>
      <c r="DT116" s="245" t="str">
        <f t="shared" si="105"/>
        <v/>
      </c>
      <c r="DU116" s="245" t="str">
        <f t="shared" si="105"/>
        <v/>
      </c>
      <c r="DV116" s="244" t="str">
        <f t="shared" ca="1" si="65"/>
        <v/>
      </c>
      <c r="DW116" s="244"/>
      <c r="DX116" s="244" t="str">
        <f t="shared" ca="1" si="95"/>
        <v/>
      </c>
      <c r="EA116" s="244" t="b">
        <f t="shared" ca="1" si="84"/>
        <v>0</v>
      </c>
      <c r="EB116" s="278" t="e">
        <f ca="1">VLOOKUP(DM116,Foglio1!$AB$31:$AN$261,13)-6+EA116</f>
        <v>#N/A</v>
      </c>
      <c r="EC116" s="244"/>
      <c r="ED116" s="244" t="e">
        <f t="shared" ca="1" si="106"/>
        <v>#N/A</v>
      </c>
      <c r="EE116" s="244" t="e">
        <f t="shared" ca="1" si="106"/>
        <v>#N/A</v>
      </c>
      <c r="EF116" s="244" t="e">
        <f t="shared" ca="1" si="106"/>
        <v>#N/A</v>
      </c>
      <c r="EG116" s="244" t="e">
        <f t="shared" ca="1" si="106"/>
        <v>#N/A</v>
      </c>
      <c r="EH116" s="244" t="e">
        <f t="shared" ca="1" si="106"/>
        <v>#N/A</v>
      </c>
      <c r="EI116" s="244" t="e">
        <f t="shared" ca="1" si="106"/>
        <v>#N/A</v>
      </c>
      <c r="EJ116" s="244" t="e">
        <f t="shared" ca="1" si="106"/>
        <v>#N/A</v>
      </c>
      <c r="EK116" s="244" t="e">
        <f t="shared" ca="1" si="106"/>
        <v>#N/A</v>
      </c>
      <c r="EL116" s="244" t="e">
        <f t="shared" ca="1" si="101"/>
        <v>#N/A</v>
      </c>
      <c r="EM116" s="244" t="e">
        <f t="shared" ca="1" si="101"/>
        <v>#N/A</v>
      </c>
      <c r="EN116" s="244" t="e">
        <f t="shared" ca="1" si="101"/>
        <v>#N/A</v>
      </c>
      <c r="EO116" s="244" t="e">
        <f t="shared" ca="1" si="101"/>
        <v>#N/A</v>
      </c>
      <c r="EP116" s="244" t="e">
        <f t="shared" ca="1" si="101"/>
        <v>#N/A</v>
      </c>
      <c r="EQ116" s="244" t="e">
        <f t="shared" ca="1" si="101"/>
        <v>#N/A</v>
      </c>
      <c r="ER116" s="244"/>
      <c r="EW116" s="244">
        <v>0</v>
      </c>
      <c r="EX116" s="278" t="e">
        <f ca="1">VLOOKUP(DM116,Foglio1!$AB$31:$AN$261,13)-6+EW116</f>
        <v>#N/A</v>
      </c>
      <c r="EY116" s="244"/>
      <c r="EZ116" s="244" t="e">
        <f t="shared" ca="1" si="85"/>
        <v>#N/A</v>
      </c>
      <c r="FA116" s="244" t="e">
        <f t="shared" ca="1" si="103"/>
        <v>#N/A</v>
      </c>
      <c r="FB116" s="244" t="e">
        <f t="shared" ca="1" si="103"/>
        <v>#N/A</v>
      </c>
      <c r="FC116" s="244" t="e">
        <f t="shared" ca="1" si="103"/>
        <v>#N/A</v>
      </c>
      <c r="FD116" s="244" t="e">
        <f t="shared" ca="1" si="103"/>
        <v>#N/A</v>
      </c>
      <c r="FE116" s="244" t="e">
        <f t="shared" ca="1" si="103"/>
        <v>#N/A</v>
      </c>
      <c r="FF116" s="244" t="e">
        <f t="shared" ca="1" si="103"/>
        <v>#N/A</v>
      </c>
      <c r="FG116" s="244" t="e">
        <f t="shared" ca="1" si="86"/>
        <v>#N/A</v>
      </c>
      <c r="FH116" s="244" t="e">
        <f t="shared" ca="1" si="86"/>
        <v>#N/A</v>
      </c>
      <c r="FI116" s="244" t="e">
        <f t="shared" ca="1" si="86"/>
        <v>#N/A</v>
      </c>
      <c r="FJ116" s="244" t="e">
        <f t="shared" ca="1" si="86"/>
        <v>#N/A</v>
      </c>
      <c r="FK116" s="244" t="e">
        <f t="shared" ca="1" si="86"/>
        <v>#N/A</v>
      </c>
      <c r="FL116" s="244" t="e">
        <f t="shared" ca="1" si="86"/>
        <v>#N/A</v>
      </c>
      <c r="FM116" s="244" t="e">
        <f t="shared" ca="1" si="66"/>
        <v>#N/A</v>
      </c>
      <c r="FN116" s="244"/>
    </row>
    <row r="117" spans="5:170" x14ac:dyDescent="0.25">
      <c r="E117" s="244"/>
      <c r="F117" s="244"/>
      <c r="G117" s="244"/>
      <c r="L117">
        <f t="shared" si="87"/>
        <v>117</v>
      </c>
      <c r="R117" s="112">
        <f t="shared" si="67"/>
        <v>0</v>
      </c>
      <c r="S117" s="238" t="e">
        <f t="shared" si="96"/>
        <v>#N/A</v>
      </c>
      <c r="T117" s="112" t="e">
        <f t="shared" ca="1" si="97"/>
        <v>#N/A</v>
      </c>
      <c r="U117" s="112" t="e">
        <f t="shared" ca="1" si="98"/>
        <v>#N/A</v>
      </c>
      <c r="V117" s="112" t="e">
        <f t="shared" ca="1" si="99"/>
        <v>#N/A</v>
      </c>
      <c r="W117" s="112" t="e">
        <f t="shared" ca="1" si="100"/>
        <v>#N/A</v>
      </c>
      <c r="X117" s="112">
        <f t="shared" si="68"/>
        <v>0</v>
      </c>
      <c r="Y117" s="112"/>
      <c r="Z117" s="112"/>
      <c r="AA117" s="112">
        <f t="shared" si="69"/>
        <v>100000</v>
      </c>
      <c r="AB117" s="112" t="e">
        <f t="shared" ca="1" si="70"/>
        <v>#N/A</v>
      </c>
      <c r="AC117" s="112" t="e">
        <f t="shared" ca="1" si="71"/>
        <v>#N/A</v>
      </c>
      <c r="AD117" s="112" t="e">
        <f t="shared" ca="1" si="72"/>
        <v>#N/A</v>
      </c>
      <c r="AE117" s="112" t="e">
        <f t="shared" ca="1" si="73"/>
        <v>#N/A</v>
      </c>
      <c r="AF117" s="112">
        <f t="shared" si="74"/>
        <v>100000</v>
      </c>
      <c r="AG117" s="238">
        <f>AG116</f>
        <v>39</v>
      </c>
      <c r="AH117" s="112" t="e">
        <f ca="1">AI116+1</f>
        <v>#N/A</v>
      </c>
      <c r="AI117" s="112" t="e">
        <f ca="1">IF(INDIRECT(CONCATENATE("AD",AG115))&lt;100000,INDIRECT(CONCATENATE("AD",AG115))-1,IF(INDIRECT(CONCATENATE("AE",AG115))&lt;100000,INDIRECT(CONCATENATE("AE",G115)),INDIRECT(CONCATENATE("AF",AG115))))</f>
        <v>#N/A</v>
      </c>
      <c r="AJ117" s="114"/>
      <c r="AK117" s="114"/>
      <c r="AL117" s="238" t="e">
        <f t="shared" ca="1" si="88"/>
        <v>#N/A</v>
      </c>
      <c r="AM117" s="112">
        <f t="shared" ca="1" si="107"/>
        <v>100000</v>
      </c>
      <c r="AN117" s="112">
        <f t="shared" ca="1" si="89"/>
        <v>100000</v>
      </c>
      <c r="AO117" s="114">
        <f t="shared" ca="1" si="75"/>
        <v>0</v>
      </c>
      <c r="AP117" s="114">
        <f t="shared" ca="1" si="76"/>
        <v>0</v>
      </c>
      <c r="AQ117" s="112"/>
      <c r="AR117" s="238">
        <f t="shared" si="90"/>
        <v>117</v>
      </c>
      <c r="AS117" s="112"/>
      <c r="AT117" s="112"/>
      <c r="AU117" s="283">
        <f t="shared" si="91"/>
        <v>98</v>
      </c>
      <c r="AV117" s="284">
        <f t="shared" ca="1" si="77"/>
        <v>100000</v>
      </c>
      <c r="AW117" s="284">
        <f t="shared" ca="1" si="104"/>
        <v>100000</v>
      </c>
      <c r="AX117" s="285">
        <f t="shared" ca="1" si="78"/>
        <v>0</v>
      </c>
      <c r="AY117" s="285">
        <f t="shared" ca="1" si="79"/>
        <v>18</v>
      </c>
      <c r="AZ117" s="282"/>
      <c r="BD117" s="114">
        <f t="shared" si="92"/>
        <v>1</v>
      </c>
      <c r="BE117" s="112">
        <f t="shared" si="80"/>
        <v>100000</v>
      </c>
      <c r="BH117" s="238">
        <f t="shared" si="93"/>
        <v>98</v>
      </c>
      <c r="BI117" s="245">
        <f t="shared" si="81"/>
        <v>100000</v>
      </c>
      <c r="BJ117" s="281">
        <f t="shared" ca="1" si="64"/>
        <v>16</v>
      </c>
      <c r="BK117" s="245" t="e">
        <f t="shared" ca="1" si="82"/>
        <v>#N/A</v>
      </c>
      <c r="BL117" s="245" t="e">
        <f t="shared" ca="1" si="83"/>
        <v>#N/A</v>
      </c>
      <c r="BN117" s="245" t="e">
        <f t="shared" ca="1" si="102"/>
        <v>#N/A</v>
      </c>
      <c r="CL117" s="112"/>
      <c r="CM117" s="112"/>
      <c r="CP117" s="112"/>
      <c r="CQ117" s="112"/>
      <c r="CR117" s="238"/>
      <c r="CS117" s="238"/>
      <c r="CT117" s="112"/>
      <c r="CU117" s="112"/>
      <c r="CV117" s="112"/>
      <c r="CW117" s="112" t="s">
        <v>224</v>
      </c>
      <c r="CX117" s="112" t="s">
        <v>225</v>
      </c>
      <c r="CY117" s="112" t="s">
        <v>226</v>
      </c>
      <c r="CZ117" s="112" t="s">
        <v>227</v>
      </c>
      <c r="DA117" s="112" t="s">
        <v>228</v>
      </c>
      <c r="DB117" s="112" t="s">
        <v>229</v>
      </c>
      <c r="DC117" s="112"/>
      <c r="DD117" s="238"/>
      <c r="DE117" s="112"/>
      <c r="DF117" s="112"/>
      <c r="DG117" s="112"/>
      <c r="DH117" s="238"/>
      <c r="DI117" s="112"/>
      <c r="DJ117" s="112"/>
      <c r="DK117" s="112"/>
      <c r="DL117" s="278" t="str">
        <f t="shared" ca="1" si="94"/>
        <v/>
      </c>
      <c r="DM117" s="245" t="str">
        <f t="shared" ca="1" si="63"/>
        <v/>
      </c>
      <c r="DN117" s="245" t="str">
        <f t="shared" ca="1" si="63"/>
        <v/>
      </c>
      <c r="DO117" s="245" t="str">
        <f t="shared" ca="1" si="63"/>
        <v/>
      </c>
      <c r="DP117" s="245" t="str">
        <f t="shared" ca="1" si="63"/>
        <v/>
      </c>
      <c r="DQ117" s="245" t="str">
        <f t="shared" ca="1" si="63"/>
        <v/>
      </c>
      <c r="DR117" s="244"/>
      <c r="DS117" s="245" t="str">
        <f t="shared" si="105"/>
        <v/>
      </c>
      <c r="DT117" s="245" t="str">
        <f t="shared" si="105"/>
        <v/>
      </c>
      <c r="DU117" s="245" t="str">
        <f t="shared" si="105"/>
        <v/>
      </c>
      <c r="DV117" s="244" t="str">
        <f t="shared" ca="1" si="65"/>
        <v/>
      </c>
      <c r="DW117" s="244"/>
      <c r="DX117" s="244" t="str">
        <f t="shared" ca="1" si="95"/>
        <v/>
      </c>
      <c r="EA117" s="244" t="b">
        <f t="shared" ca="1" si="84"/>
        <v>0</v>
      </c>
      <c r="EB117" s="278" t="e">
        <f ca="1">VLOOKUP(DM117,Foglio1!$AB$31:$AN$261,13)-6+EA117</f>
        <v>#N/A</v>
      </c>
      <c r="EC117" s="244"/>
      <c r="ED117" s="244" t="e">
        <f t="shared" ca="1" si="106"/>
        <v>#N/A</v>
      </c>
      <c r="EE117" s="244" t="e">
        <f t="shared" ca="1" si="106"/>
        <v>#N/A</v>
      </c>
      <c r="EF117" s="244" t="e">
        <f t="shared" ca="1" si="106"/>
        <v>#N/A</v>
      </c>
      <c r="EG117" s="244" t="e">
        <f t="shared" ca="1" si="106"/>
        <v>#N/A</v>
      </c>
      <c r="EH117" s="244" t="e">
        <f t="shared" ca="1" si="106"/>
        <v>#N/A</v>
      </c>
      <c r="EI117" s="244" t="e">
        <f t="shared" ca="1" si="106"/>
        <v>#N/A</v>
      </c>
      <c r="EJ117" s="244" t="e">
        <f t="shared" ca="1" si="106"/>
        <v>#N/A</v>
      </c>
      <c r="EK117" s="244" t="e">
        <f t="shared" ca="1" si="106"/>
        <v>#N/A</v>
      </c>
      <c r="EL117" s="244" t="e">
        <f t="shared" ca="1" si="101"/>
        <v>#N/A</v>
      </c>
      <c r="EM117" s="244" t="e">
        <f t="shared" ca="1" si="101"/>
        <v>#N/A</v>
      </c>
      <c r="EN117" s="244" t="e">
        <f t="shared" ca="1" si="101"/>
        <v>#N/A</v>
      </c>
      <c r="EO117" s="244" t="e">
        <f t="shared" ca="1" si="101"/>
        <v>#N/A</v>
      </c>
      <c r="EP117" s="244" t="e">
        <f t="shared" ca="1" si="101"/>
        <v>#N/A</v>
      </c>
      <c r="EQ117" s="244" t="e">
        <f t="shared" ca="1" si="101"/>
        <v>#N/A</v>
      </c>
      <c r="ER117" s="244"/>
      <c r="EW117" s="244">
        <v>0</v>
      </c>
      <c r="EX117" s="278" t="e">
        <f ca="1">VLOOKUP(DM117,Foglio1!$AB$31:$AN$261,13)-6+EW117</f>
        <v>#N/A</v>
      </c>
      <c r="EY117" s="244"/>
      <c r="EZ117" s="244" t="e">
        <f t="shared" ref="EZ117:EZ142" ca="1" si="108">INDIRECT(CONCATENATE(EX$16,EX$17,$EB117))</f>
        <v>#N/A</v>
      </c>
      <c r="FA117" s="244" t="e">
        <f t="shared" ca="1" si="103"/>
        <v>#N/A</v>
      </c>
      <c r="FB117" s="244" t="e">
        <f t="shared" ca="1" si="103"/>
        <v>#N/A</v>
      </c>
      <c r="FC117" s="244" t="e">
        <f t="shared" ca="1" si="103"/>
        <v>#N/A</v>
      </c>
      <c r="FD117" s="244" t="e">
        <f t="shared" ca="1" si="103"/>
        <v>#N/A</v>
      </c>
      <c r="FE117" s="244" t="e">
        <f t="shared" ca="1" si="103"/>
        <v>#N/A</v>
      </c>
      <c r="FF117" s="244" t="e">
        <f t="shared" ca="1" si="103"/>
        <v>#N/A</v>
      </c>
      <c r="FG117" s="244" t="e">
        <f t="shared" ca="1" si="103"/>
        <v>#N/A</v>
      </c>
      <c r="FH117" s="244" t="e">
        <f t="shared" ca="1" si="103"/>
        <v>#N/A</v>
      </c>
      <c r="FI117" s="244" t="e">
        <f t="shared" ca="1" si="103"/>
        <v>#N/A</v>
      </c>
      <c r="FJ117" s="244" t="e">
        <f t="shared" ca="1" si="103"/>
        <v>#N/A</v>
      </c>
      <c r="FK117" s="244" t="e">
        <f t="shared" ca="1" si="103"/>
        <v>#N/A</v>
      </c>
      <c r="FL117" s="244" t="e">
        <f t="shared" ca="1" si="103"/>
        <v>#N/A</v>
      </c>
      <c r="FM117" s="244" t="e">
        <f t="shared" ca="1" si="66"/>
        <v>#N/A</v>
      </c>
      <c r="FN117" s="244"/>
    </row>
    <row r="118" spans="5:170" x14ac:dyDescent="0.25">
      <c r="E118" s="244"/>
      <c r="F118" s="244"/>
      <c r="G118" s="244"/>
      <c r="L118">
        <f t="shared" si="87"/>
        <v>118</v>
      </c>
      <c r="R118" s="112">
        <f t="shared" si="67"/>
        <v>0</v>
      </c>
      <c r="S118" s="238" t="e">
        <f t="shared" si="96"/>
        <v>#N/A</v>
      </c>
      <c r="T118" s="112" t="e">
        <f t="shared" ca="1" si="97"/>
        <v>#N/A</v>
      </c>
      <c r="U118" s="112" t="e">
        <f t="shared" ca="1" si="98"/>
        <v>#N/A</v>
      </c>
      <c r="V118" s="112" t="e">
        <f t="shared" ca="1" si="99"/>
        <v>#N/A</v>
      </c>
      <c r="W118" s="112" t="e">
        <f t="shared" ca="1" si="100"/>
        <v>#N/A</v>
      </c>
      <c r="X118" s="112">
        <f t="shared" si="68"/>
        <v>0</v>
      </c>
      <c r="Y118" s="112"/>
      <c r="Z118" s="112"/>
      <c r="AA118" s="112">
        <f t="shared" si="69"/>
        <v>100000</v>
      </c>
      <c r="AB118" s="112" t="e">
        <f t="shared" ca="1" si="70"/>
        <v>#N/A</v>
      </c>
      <c r="AC118" s="112" t="e">
        <f t="shared" ca="1" si="71"/>
        <v>#N/A</v>
      </c>
      <c r="AD118" s="112" t="e">
        <f t="shared" ca="1" si="72"/>
        <v>#N/A</v>
      </c>
      <c r="AE118" s="112" t="e">
        <f t="shared" ca="1" si="73"/>
        <v>#N/A</v>
      </c>
      <c r="AF118" s="112">
        <f t="shared" si="74"/>
        <v>100000</v>
      </c>
      <c r="AG118" s="238">
        <f>AG117</f>
        <v>39</v>
      </c>
      <c r="AH118" s="112" t="e">
        <f ca="1">AI117+1</f>
        <v>#N/A</v>
      </c>
      <c r="AI118" s="112" t="e">
        <f ca="1">IF(INDIRECT(CONCATENATE("AE",AG115))&lt;100000,INDIRECT(CONCATENATE("AE",G115)),INDIRECT(CONCATENATE("AF",AG115)))</f>
        <v>#N/A</v>
      </c>
      <c r="AJ118" s="114"/>
      <c r="AK118" s="114"/>
      <c r="AL118" s="238" t="e">
        <f t="shared" ca="1" si="88"/>
        <v>#N/A</v>
      </c>
      <c r="AM118" s="112">
        <f t="shared" ca="1" si="107"/>
        <v>100000</v>
      </c>
      <c r="AN118" s="112">
        <f t="shared" ca="1" si="89"/>
        <v>100000</v>
      </c>
      <c r="AO118" s="114">
        <f t="shared" ca="1" si="75"/>
        <v>0</v>
      </c>
      <c r="AP118" s="114">
        <f t="shared" ca="1" si="76"/>
        <v>0</v>
      </c>
      <c r="AQ118" s="112"/>
      <c r="AR118" s="238">
        <f t="shared" si="90"/>
        <v>118</v>
      </c>
      <c r="AS118" s="112"/>
      <c r="AT118" s="112"/>
      <c r="AU118" s="283">
        <f t="shared" si="91"/>
        <v>99</v>
      </c>
      <c r="AV118" s="284">
        <f t="shared" ca="1" si="77"/>
        <v>100000</v>
      </c>
      <c r="AW118" s="284">
        <f t="shared" ca="1" si="104"/>
        <v>100000</v>
      </c>
      <c r="AX118" s="285">
        <f t="shared" ca="1" si="78"/>
        <v>0</v>
      </c>
      <c r="AY118" s="285">
        <f t="shared" ca="1" si="79"/>
        <v>18</v>
      </c>
      <c r="AZ118" s="282"/>
      <c r="BD118" s="114">
        <f t="shared" si="92"/>
        <v>1</v>
      </c>
      <c r="BE118" s="112">
        <f t="shared" si="80"/>
        <v>100000</v>
      </c>
      <c r="BH118" s="238">
        <f t="shared" si="93"/>
        <v>99</v>
      </c>
      <c r="BI118" s="245">
        <f t="shared" si="81"/>
        <v>100000</v>
      </c>
      <c r="BJ118" s="281">
        <f t="shared" ca="1" si="64"/>
        <v>16</v>
      </c>
      <c r="BK118" s="245" t="e">
        <f t="shared" ca="1" si="82"/>
        <v>#N/A</v>
      </c>
      <c r="BL118" s="245" t="e">
        <f t="shared" ca="1" si="83"/>
        <v>#N/A</v>
      </c>
      <c r="BN118" s="245" t="e">
        <f t="shared" ca="1" si="102"/>
        <v>#N/A</v>
      </c>
      <c r="CL118" s="112"/>
      <c r="CM118" s="112"/>
      <c r="CP118" s="112"/>
      <c r="CQ118" s="112"/>
      <c r="CR118" s="238"/>
      <c r="CS118" s="238"/>
      <c r="CT118" s="112"/>
      <c r="CU118" s="112"/>
      <c r="CV118" s="112"/>
      <c r="CW118" s="112" t="s">
        <v>224</v>
      </c>
      <c r="CX118" s="112" t="s">
        <v>225</v>
      </c>
      <c r="CY118" s="112" t="s">
        <v>226</v>
      </c>
      <c r="CZ118" s="112" t="s">
        <v>227</v>
      </c>
      <c r="DA118" s="112" t="s">
        <v>228</v>
      </c>
      <c r="DB118" s="112" t="s">
        <v>229</v>
      </c>
      <c r="DC118" s="112"/>
      <c r="DD118" s="238"/>
      <c r="DE118" s="112"/>
      <c r="DF118" s="112"/>
      <c r="DG118" s="112"/>
      <c r="DH118" s="238"/>
      <c r="DI118" s="112"/>
      <c r="DJ118" s="112"/>
      <c r="DK118" s="112"/>
      <c r="DL118" s="278" t="str">
        <f t="shared" ca="1" si="94"/>
        <v/>
      </c>
      <c r="DM118" s="245" t="str">
        <f t="shared" ca="1" si="63"/>
        <v/>
      </c>
      <c r="DN118" s="245" t="str">
        <f t="shared" ca="1" si="63"/>
        <v/>
      </c>
      <c r="DO118" s="245" t="str">
        <f t="shared" ca="1" si="63"/>
        <v/>
      </c>
      <c r="DP118" s="245" t="str">
        <f t="shared" ca="1" si="63"/>
        <v/>
      </c>
      <c r="DQ118" s="245" t="str">
        <f t="shared" ca="1" si="63"/>
        <v/>
      </c>
      <c r="DR118" s="244"/>
      <c r="DS118" s="245" t="str">
        <f t="shared" si="105"/>
        <v/>
      </c>
      <c r="DT118" s="245" t="str">
        <f t="shared" si="105"/>
        <v/>
      </c>
      <c r="DU118" s="245" t="str">
        <f t="shared" si="105"/>
        <v/>
      </c>
      <c r="DV118" s="244" t="str">
        <f t="shared" ca="1" si="65"/>
        <v/>
      </c>
      <c r="DW118" s="244"/>
      <c r="DX118" s="244" t="str">
        <f t="shared" ca="1" si="95"/>
        <v/>
      </c>
      <c r="EA118" s="244" t="b">
        <f t="shared" ca="1" si="84"/>
        <v>0</v>
      </c>
      <c r="EB118" s="278" t="e">
        <f ca="1">VLOOKUP(DM118,Foglio1!$AB$31:$AN$261,13)-6+EA118</f>
        <v>#N/A</v>
      </c>
      <c r="EC118" s="244"/>
      <c r="ED118" s="244" t="e">
        <f t="shared" ca="1" si="106"/>
        <v>#N/A</v>
      </c>
      <c r="EE118" s="244" t="e">
        <f t="shared" ca="1" si="106"/>
        <v>#N/A</v>
      </c>
      <c r="EF118" s="244" t="e">
        <f t="shared" ca="1" si="106"/>
        <v>#N/A</v>
      </c>
      <c r="EG118" s="244" t="e">
        <f t="shared" ca="1" si="106"/>
        <v>#N/A</v>
      </c>
      <c r="EH118" s="244" t="e">
        <f t="shared" ca="1" si="106"/>
        <v>#N/A</v>
      </c>
      <c r="EI118" s="244" t="e">
        <f t="shared" ca="1" si="106"/>
        <v>#N/A</v>
      </c>
      <c r="EJ118" s="244" t="e">
        <f t="shared" ca="1" si="106"/>
        <v>#N/A</v>
      </c>
      <c r="EK118" s="244" t="e">
        <f t="shared" ca="1" si="106"/>
        <v>#N/A</v>
      </c>
      <c r="EL118" s="244" t="e">
        <f t="shared" ca="1" si="101"/>
        <v>#N/A</v>
      </c>
      <c r="EM118" s="244" t="e">
        <f t="shared" ca="1" si="101"/>
        <v>#N/A</v>
      </c>
      <c r="EN118" s="244" t="e">
        <f t="shared" ca="1" si="101"/>
        <v>#N/A</v>
      </c>
      <c r="EO118" s="244" t="e">
        <f t="shared" ca="1" si="101"/>
        <v>#N/A</v>
      </c>
      <c r="EP118" s="244" t="e">
        <f t="shared" ca="1" si="101"/>
        <v>#N/A</v>
      </c>
      <c r="EQ118" s="244" t="e">
        <f t="shared" ca="1" si="101"/>
        <v>#N/A</v>
      </c>
      <c r="ER118" s="244"/>
      <c r="EW118" s="244">
        <v>0</v>
      </c>
      <c r="EX118" s="278" t="e">
        <f ca="1">VLOOKUP(DM118,Foglio1!$AB$31:$AN$261,13)-6+EW118</f>
        <v>#N/A</v>
      </c>
      <c r="EY118" s="244"/>
      <c r="EZ118" s="244" t="e">
        <f t="shared" ca="1" si="108"/>
        <v>#N/A</v>
      </c>
      <c r="FA118" s="244" t="e">
        <f t="shared" ca="1" si="103"/>
        <v>#N/A</v>
      </c>
      <c r="FB118" s="244" t="e">
        <f t="shared" ca="1" si="103"/>
        <v>#N/A</v>
      </c>
      <c r="FC118" s="244" t="e">
        <f t="shared" ca="1" si="103"/>
        <v>#N/A</v>
      </c>
      <c r="FD118" s="244" t="e">
        <f t="shared" ca="1" si="103"/>
        <v>#N/A</v>
      </c>
      <c r="FE118" s="244" t="e">
        <f t="shared" ca="1" si="103"/>
        <v>#N/A</v>
      </c>
      <c r="FF118" s="244" t="e">
        <f t="shared" ca="1" si="103"/>
        <v>#N/A</v>
      </c>
      <c r="FG118" s="244" t="e">
        <f t="shared" ca="1" si="103"/>
        <v>#N/A</v>
      </c>
      <c r="FH118" s="244" t="e">
        <f t="shared" ca="1" si="103"/>
        <v>#N/A</v>
      </c>
      <c r="FI118" s="244" t="e">
        <f t="shared" ca="1" si="103"/>
        <v>#N/A</v>
      </c>
      <c r="FJ118" s="244" t="e">
        <f t="shared" ca="1" si="103"/>
        <v>#N/A</v>
      </c>
      <c r="FK118" s="244" t="e">
        <f t="shared" ca="1" si="103"/>
        <v>#N/A</v>
      </c>
      <c r="FL118" s="244" t="e">
        <f t="shared" ca="1" si="103"/>
        <v>#N/A</v>
      </c>
      <c r="FM118" s="244" t="e">
        <f t="shared" ca="1" si="66"/>
        <v>#N/A</v>
      </c>
      <c r="FN118" s="244"/>
    </row>
    <row r="119" spans="5:170" x14ac:dyDescent="0.25">
      <c r="E119" s="244"/>
      <c r="F119" s="244"/>
      <c r="G119" s="244"/>
      <c r="L119">
        <f t="shared" si="87"/>
        <v>119</v>
      </c>
      <c r="R119" s="112">
        <f t="shared" si="67"/>
        <v>0</v>
      </c>
      <c r="S119" s="238" t="e">
        <f t="shared" si="96"/>
        <v>#N/A</v>
      </c>
      <c r="T119" s="112" t="e">
        <f t="shared" ca="1" si="97"/>
        <v>#N/A</v>
      </c>
      <c r="U119" s="112" t="e">
        <f t="shared" ca="1" si="98"/>
        <v>#N/A</v>
      </c>
      <c r="V119" s="112" t="e">
        <f t="shared" ca="1" si="99"/>
        <v>#N/A</v>
      </c>
      <c r="W119" s="112" t="e">
        <f t="shared" ca="1" si="100"/>
        <v>#N/A</v>
      </c>
      <c r="X119" s="112">
        <f t="shared" si="68"/>
        <v>0</v>
      </c>
      <c r="Y119" s="112"/>
      <c r="Z119" s="112"/>
      <c r="AA119" s="112">
        <f t="shared" si="69"/>
        <v>100000</v>
      </c>
      <c r="AB119" s="112" t="e">
        <f t="shared" ca="1" si="70"/>
        <v>#N/A</v>
      </c>
      <c r="AC119" s="112" t="e">
        <f t="shared" ca="1" si="71"/>
        <v>#N/A</v>
      </c>
      <c r="AD119" s="112" t="e">
        <f t="shared" ca="1" si="72"/>
        <v>#N/A</v>
      </c>
      <c r="AE119" s="112" t="e">
        <f t="shared" ca="1" si="73"/>
        <v>#N/A</v>
      </c>
      <c r="AF119" s="112">
        <f t="shared" si="74"/>
        <v>100000</v>
      </c>
      <c r="AG119" s="238">
        <f>AG118</f>
        <v>39</v>
      </c>
      <c r="AH119" s="112" t="e">
        <f ca="1">AI118+1</f>
        <v>#N/A</v>
      </c>
      <c r="AI119" s="112">
        <f ca="1">INDIRECT(CONCATENATE("AF",AG115))</f>
        <v>100000</v>
      </c>
      <c r="AJ119" s="114"/>
      <c r="AK119" s="114"/>
      <c r="AL119" s="238" t="e">
        <f t="shared" ca="1" si="88"/>
        <v>#N/A</v>
      </c>
      <c r="AM119" s="112">
        <f t="shared" ca="1" si="107"/>
        <v>100000</v>
      </c>
      <c r="AN119" s="112">
        <f t="shared" ca="1" si="89"/>
        <v>100000</v>
      </c>
      <c r="AO119" s="114">
        <f t="shared" ca="1" si="75"/>
        <v>0</v>
      </c>
      <c r="AP119" s="114">
        <f t="shared" ca="1" si="76"/>
        <v>0</v>
      </c>
      <c r="AQ119" s="112"/>
      <c r="AR119" s="238">
        <f t="shared" si="90"/>
        <v>119</v>
      </c>
      <c r="AS119" s="112"/>
      <c r="AT119" s="112"/>
      <c r="AU119" s="283">
        <f t="shared" si="91"/>
        <v>100</v>
      </c>
      <c r="AV119" s="284">
        <f t="shared" ca="1" si="77"/>
        <v>100000</v>
      </c>
      <c r="AW119" s="284">
        <f t="shared" ca="1" si="104"/>
        <v>100000</v>
      </c>
      <c r="AX119" s="285">
        <f t="shared" ca="1" si="78"/>
        <v>0</v>
      </c>
      <c r="AY119" s="285">
        <f t="shared" ca="1" si="79"/>
        <v>18</v>
      </c>
      <c r="AZ119" s="282"/>
      <c r="BD119" s="114">
        <f t="shared" si="92"/>
        <v>1</v>
      </c>
      <c r="BE119" s="112">
        <f t="shared" si="80"/>
        <v>100000</v>
      </c>
      <c r="BH119" s="238">
        <f t="shared" si="93"/>
        <v>100</v>
      </c>
      <c r="BI119" s="245">
        <f t="shared" si="81"/>
        <v>100000</v>
      </c>
      <c r="BJ119" s="281">
        <f t="shared" ca="1" si="64"/>
        <v>16</v>
      </c>
      <c r="BK119" s="245" t="e">
        <f t="shared" ca="1" si="82"/>
        <v>#N/A</v>
      </c>
      <c r="BL119" s="245" t="e">
        <f t="shared" ca="1" si="83"/>
        <v>#N/A</v>
      </c>
      <c r="BN119" s="245" t="e">
        <f t="shared" ca="1" si="102"/>
        <v>#N/A</v>
      </c>
      <c r="CL119" s="112"/>
      <c r="CM119" s="112"/>
      <c r="CP119" s="112"/>
      <c r="CQ119" s="112"/>
      <c r="CR119" s="238"/>
      <c r="CS119" s="238"/>
      <c r="CT119" s="112"/>
      <c r="CU119" s="112"/>
      <c r="CV119" s="112"/>
      <c r="CW119" s="112" t="s">
        <v>224</v>
      </c>
      <c r="CX119" s="112" t="s">
        <v>225</v>
      </c>
      <c r="CY119" s="112" t="s">
        <v>226</v>
      </c>
      <c r="CZ119" s="112" t="s">
        <v>227</v>
      </c>
      <c r="DA119" s="112" t="s">
        <v>228</v>
      </c>
      <c r="DB119" s="112" t="s">
        <v>229</v>
      </c>
      <c r="DC119" s="112"/>
      <c r="DD119" s="238"/>
      <c r="DE119" s="112"/>
      <c r="DF119" s="112"/>
      <c r="DG119" s="112"/>
      <c r="DH119" s="238"/>
      <c r="DI119" s="112"/>
      <c r="DJ119" s="112"/>
      <c r="DK119" s="112"/>
      <c r="DL119" s="278" t="str">
        <f t="shared" ca="1" si="94"/>
        <v/>
      </c>
      <c r="DM119" s="245" t="str">
        <f t="shared" ca="1" si="63"/>
        <v/>
      </c>
      <c r="DN119" s="245" t="str">
        <f t="shared" ca="1" si="63"/>
        <v/>
      </c>
      <c r="DO119" s="245" t="str">
        <f t="shared" ca="1" si="63"/>
        <v/>
      </c>
      <c r="DP119" s="245" t="str">
        <f t="shared" ca="1" si="63"/>
        <v/>
      </c>
      <c r="DQ119" s="245" t="str">
        <f t="shared" ca="1" si="63"/>
        <v/>
      </c>
      <c r="DR119" s="244"/>
      <c r="DS119" s="245" t="str">
        <f t="shared" si="105"/>
        <v/>
      </c>
      <c r="DT119" s="245" t="str">
        <f t="shared" si="105"/>
        <v/>
      </c>
      <c r="DU119" s="245" t="str">
        <f t="shared" si="105"/>
        <v/>
      </c>
      <c r="DV119" s="244" t="str">
        <f t="shared" ca="1" si="65"/>
        <v/>
      </c>
      <c r="DW119" s="244"/>
      <c r="DX119" s="244" t="str">
        <f t="shared" ca="1" si="95"/>
        <v/>
      </c>
      <c r="EA119" s="244" t="b">
        <f t="shared" ca="1" si="84"/>
        <v>0</v>
      </c>
      <c r="EB119" s="278" t="e">
        <f ca="1">VLOOKUP(DM119,Foglio1!$AB$31:$AN$261,13)-6+EA119</f>
        <v>#N/A</v>
      </c>
      <c r="EC119" s="244"/>
      <c r="ED119" s="244" t="e">
        <f t="shared" ca="1" si="106"/>
        <v>#N/A</v>
      </c>
      <c r="EE119" s="244" t="e">
        <f t="shared" ca="1" si="106"/>
        <v>#N/A</v>
      </c>
      <c r="EF119" s="244" t="e">
        <f t="shared" ca="1" si="106"/>
        <v>#N/A</v>
      </c>
      <c r="EG119" s="244" t="e">
        <f t="shared" ca="1" si="106"/>
        <v>#N/A</v>
      </c>
      <c r="EH119" s="244" t="e">
        <f t="shared" ca="1" si="106"/>
        <v>#N/A</v>
      </c>
      <c r="EI119" s="244" t="e">
        <f t="shared" ca="1" si="106"/>
        <v>#N/A</v>
      </c>
      <c r="EJ119" s="244" t="e">
        <f t="shared" ca="1" si="106"/>
        <v>#N/A</v>
      </c>
      <c r="EK119" s="244" t="e">
        <f t="shared" ca="1" si="106"/>
        <v>#N/A</v>
      </c>
      <c r="EL119" s="244" t="e">
        <f t="shared" ca="1" si="101"/>
        <v>#N/A</v>
      </c>
      <c r="EM119" s="244" t="e">
        <f t="shared" ca="1" si="101"/>
        <v>#N/A</v>
      </c>
      <c r="EN119" s="244" t="e">
        <f t="shared" ca="1" si="101"/>
        <v>#N/A</v>
      </c>
      <c r="EO119" s="244" t="e">
        <f t="shared" ca="1" si="101"/>
        <v>#N/A</v>
      </c>
      <c r="EP119" s="244" t="e">
        <f t="shared" ca="1" si="101"/>
        <v>#N/A</v>
      </c>
      <c r="EQ119" s="244" t="e">
        <f t="shared" ca="1" si="101"/>
        <v>#N/A</v>
      </c>
      <c r="ER119" s="244"/>
      <c r="EW119" s="244">
        <v>0</v>
      </c>
      <c r="EX119" s="278" t="e">
        <f ca="1">VLOOKUP(DM119,Foglio1!$AB$31:$AN$261,13)-6+EW119</f>
        <v>#N/A</v>
      </c>
      <c r="EY119" s="244"/>
      <c r="EZ119" s="244" t="e">
        <f t="shared" ca="1" si="108"/>
        <v>#N/A</v>
      </c>
      <c r="FA119" s="244" t="e">
        <f t="shared" ca="1" si="103"/>
        <v>#N/A</v>
      </c>
      <c r="FB119" s="244" t="e">
        <f t="shared" ca="1" si="103"/>
        <v>#N/A</v>
      </c>
      <c r="FC119" s="244" t="e">
        <f t="shared" ca="1" si="103"/>
        <v>#N/A</v>
      </c>
      <c r="FD119" s="244" t="e">
        <f t="shared" ca="1" si="103"/>
        <v>#N/A</v>
      </c>
      <c r="FE119" s="244" t="e">
        <f t="shared" ca="1" si="103"/>
        <v>#N/A</v>
      </c>
      <c r="FF119" s="244" t="e">
        <f t="shared" ca="1" si="103"/>
        <v>#N/A</v>
      </c>
      <c r="FG119" s="244" t="e">
        <f t="shared" ca="1" si="103"/>
        <v>#N/A</v>
      </c>
      <c r="FH119" s="244" t="e">
        <f t="shared" ca="1" si="103"/>
        <v>#N/A</v>
      </c>
      <c r="FI119" s="244" t="e">
        <f t="shared" ca="1" si="103"/>
        <v>#N/A</v>
      </c>
      <c r="FJ119" s="244" t="e">
        <f t="shared" ca="1" si="103"/>
        <v>#N/A</v>
      </c>
      <c r="FK119" s="244" t="e">
        <f t="shared" ca="1" si="103"/>
        <v>#N/A</v>
      </c>
      <c r="FL119" s="244" t="e">
        <f t="shared" ca="1" si="103"/>
        <v>#N/A</v>
      </c>
      <c r="FM119" s="244" t="e">
        <f t="shared" ca="1" si="66"/>
        <v>#N/A</v>
      </c>
      <c r="FN119" s="244"/>
    </row>
    <row r="120" spans="5:170" x14ac:dyDescent="0.25">
      <c r="E120" s="244"/>
      <c r="F120" s="244"/>
      <c r="G120" s="244"/>
      <c r="L120">
        <f t="shared" si="87"/>
        <v>120</v>
      </c>
      <c r="R120" s="112">
        <f t="shared" si="67"/>
        <v>0</v>
      </c>
      <c r="S120" s="238" t="e">
        <f t="shared" si="96"/>
        <v>#N/A</v>
      </c>
      <c r="T120" s="112" t="e">
        <f t="shared" ca="1" si="97"/>
        <v>#N/A</v>
      </c>
      <c r="U120" s="112" t="e">
        <f t="shared" ca="1" si="98"/>
        <v>#N/A</v>
      </c>
      <c r="V120" s="112" t="e">
        <f t="shared" ca="1" si="99"/>
        <v>#N/A</v>
      </c>
      <c r="W120" s="112" t="e">
        <f t="shared" ca="1" si="100"/>
        <v>#N/A</v>
      </c>
      <c r="X120" s="112">
        <f t="shared" si="68"/>
        <v>0</v>
      </c>
      <c r="Y120" s="112"/>
      <c r="Z120" s="112"/>
      <c r="AA120" s="112">
        <f t="shared" si="69"/>
        <v>100000</v>
      </c>
      <c r="AB120" s="112" t="e">
        <f t="shared" ca="1" si="70"/>
        <v>#N/A</v>
      </c>
      <c r="AC120" s="112" t="e">
        <f t="shared" ca="1" si="71"/>
        <v>#N/A</v>
      </c>
      <c r="AD120" s="112" t="e">
        <f t="shared" ca="1" si="72"/>
        <v>#N/A</v>
      </c>
      <c r="AE120" s="112" t="e">
        <f t="shared" ca="1" si="73"/>
        <v>#N/A</v>
      </c>
      <c r="AF120" s="112">
        <f t="shared" si="74"/>
        <v>100000</v>
      </c>
      <c r="AG120" s="238">
        <f>AG119+1</f>
        <v>40</v>
      </c>
      <c r="AH120" s="112">
        <f ca="1">INDIRECT(CONCATENATE("AA",AG120))</f>
        <v>100000</v>
      </c>
      <c r="AI120" s="112" t="e">
        <f ca="1">IF(            INDIRECT(CONCATENATE( "AB",AG120))&lt;100000,       INDIRECT(CONCATENATE("AB",AG120))  -1,IF(   INDIRECT(CONCATENATE("AC",AG120))&lt;100000,   INDIRECT(CONCATENATE("AC",AG120))-1,IF(   INDIRECT(CONCATENATE("AD", AG120))&lt;100000, INDIRECT(CONCATENATE("AD",AG120))-1,IF(   INDIRECT(CONCATENATE("AE",AG120))&lt;100000,  INDIRECT(CONCATENATE("AE",G120)),INDIRECT(CONCATENATE("AF",AG120))                ))))</f>
        <v>#N/A</v>
      </c>
      <c r="AJ120" s="114"/>
      <c r="AK120" s="114"/>
      <c r="AL120" s="238" t="e">
        <f t="shared" ca="1" si="88"/>
        <v>#N/A</v>
      </c>
      <c r="AM120" s="112">
        <f t="shared" ca="1" si="107"/>
        <v>100000</v>
      </c>
      <c r="AN120" s="112">
        <f t="shared" ca="1" si="89"/>
        <v>100000</v>
      </c>
      <c r="AO120" s="114">
        <f t="shared" ca="1" si="75"/>
        <v>0</v>
      </c>
      <c r="AP120" s="114">
        <f t="shared" ca="1" si="76"/>
        <v>0</v>
      </c>
      <c r="AQ120" s="112"/>
      <c r="AR120" s="238">
        <f t="shared" si="90"/>
        <v>120</v>
      </c>
      <c r="AS120" s="112"/>
      <c r="AT120" s="112"/>
      <c r="AU120" s="283">
        <f t="shared" si="91"/>
        <v>101</v>
      </c>
      <c r="AV120" s="284">
        <f t="shared" ca="1" si="77"/>
        <v>100000</v>
      </c>
      <c r="AW120" s="284">
        <f t="shared" ca="1" si="104"/>
        <v>100000</v>
      </c>
      <c r="AX120" s="285">
        <f t="shared" ca="1" si="78"/>
        <v>0</v>
      </c>
      <c r="AY120" s="285">
        <f t="shared" ca="1" si="79"/>
        <v>18</v>
      </c>
      <c r="AZ120" s="282"/>
      <c r="BD120" s="114">
        <f t="shared" si="92"/>
        <v>1</v>
      </c>
      <c r="BE120" s="112">
        <f t="shared" si="80"/>
        <v>100000</v>
      </c>
      <c r="BH120" s="238">
        <f t="shared" si="93"/>
        <v>101</v>
      </c>
      <c r="BI120" s="245">
        <f t="shared" si="81"/>
        <v>100000</v>
      </c>
      <c r="BJ120" s="281">
        <f t="shared" ca="1" si="64"/>
        <v>16</v>
      </c>
      <c r="BK120" s="245" t="e">
        <f t="shared" ca="1" si="82"/>
        <v>#N/A</v>
      </c>
      <c r="BL120" s="245" t="e">
        <f t="shared" ca="1" si="83"/>
        <v>#N/A</v>
      </c>
      <c r="BN120" s="245" t="e">
        <f t="shared" ca="1" si="102"/>
        <v>#N/A</v>
      </c>
      <c r="CL120" s="112"/>
      <c r="CM120" s="112"/>
      <c r="CP120" s="112"/>
      <c r="CQ120" s="112"/>
      <c r="CR120" s="238"/>
      <c r="CS120" s="238"/>
      <c r="CT120" s="112"/>
      <c r="CU120" s="112"/>
      <c r="CV120" s="112"/>
      <c r="CW120" s="112" t="s">
        <v>224</v>
      </c>
      <c r="CX120" s="112" t="s">
        <v>225</v>
      </c>
      <c r="CY120" s="112" t="s">
        <v>226</v>
      </c>
      <c r="CZ120" s="112" t="s">
        <v>227</v>
      </c>
      <c r="DA120" s="112" t="s">
        <v>228</v>
      </c>
      <c r="DB120" s="112" t="s">
        <v>229</v>
      </c>
      <c r="DC120" s="112"/>
      <c r="DD120" s="238"/>
      <c r="DE120" s="112"/>
      <c r="DF120" s="112"/>
      <c r="DG120" s="112"/>
      <c r="DH120" s="238"/>
      <c r="DI120" s="112"/>
      <c r="DJ120" s="112"/>
      <c r="DK120" s="112"/>
      <c r="DL120" s="278" t="str">
        <f t="shared" ca="1" si="94"/>
        <v/>
      </c>
      <c r="DM120" s="245" t="str">
        <f t="shared" ca="1" si="63"/>
        <v/>
      </c>
      <c r="DN120" s="245" t="str">
        <f t="shared" ca="1" si="63"/>
        <v/>
      </c>
      <c r="DO120" s="245" t="str">
        <f t="shared" ca="1" si="63"/>
        <v/>
      </c>
      <c r="DP120" s="245" t="str">
        <f t="shared" ca="1" si="63"/>
        <v/>
      </c>
      <c r="DQ120" s="245" t="str">
        <f t="shared" ca="1" si="63"/>
        <v/>
      </c>
      <c r="DR120" s="244"/>
      <c r="DS120" s="245" t="str">
        <f t="shared" si="105"/>
        <v/>
      </c>
      <c r="DT120" s="245" t="str">
        <f t="shared" si="105"/>
        <v/>
      </c>
      <c r="DU120" s="245" t="str">
        <f t="shared" si="105"/>
        <v/>
      </c>
      <c r="DV120" s="244" t="str">
        <f t="shared" ca="1" si="65"/>
        <v/>
      </c>
      <c r="DW120" s="244"/>
      <c r="DX120" s="244" t="str">
        <f t="shared" ca="1" si="95"/>
        <v/>
      </c>
      <c r="EA120" s="244" t="b">
        <f t="shared" ca="1" si="84"/>
        <v>0</v>
      </c>
      <c r="EB120" s="278" t="e">
        <f ca="1">VLOOKUP(DM120,Foglio1!$AB$31:$AN$261,13)-6+EA120</f>
        <v>#N/A</v>
      </c>
      <c r="EC120" s="244"/>
      <c r="ED120" s="244" t="e">
        <f t="shared" ca="1" si="106"/>
        <v>#N/A</v>
      </c>
      <c r="EE120" s="244" t="e">
        <f t="shared" ca="1" si="106"/>
        <v>#N/A</v>
      </c>
      <c r="EF120" s="244" t="e">
        <f t="shared" ca="1" si="106"/>
        <v>#N/A</v>
      </c>
      <c r="EG120" s="244" t="e">
        <f t="shared" ca="1" si="106"/>
        <v>#N/A</v>
      </c>
      <c r="EH120" s="244" t="e">
        <f t="shared" ca="1" si="106"/>
        <v>#N/A</v>
      </c>
      <c r="EI120" s="244" t="e">
        <f t="shared" ca="1" si="106"/>
        <v>#N/A</v>
      </c>
      <c r="EJ120" s="244" t="e">
        <f t="shared" ca="1" si="106"/>
        <v>#N/A</v>
      </c>
      <c r="EK120" s="244" t="e">
        <f t="shared" ca="1" si="106"/>
        <v>#N/A</v>
      </c>
      <c r="EL120" s="244" t="e">
        <f t="shared" ca="1" si="101"/>
        <v>#N/A</v>
      </c>
      <c r="EM120" s="244" t="e">
        <f t="shared" ca="1" si="101"/>
        <v>#N/A</v>
      </c>
      <c r="EN120" s="244" t="e">
        <f t="shared" ca="1" si="101"/>
        <v>#N/A</v>
      </c>
      <c r="EO120" s="244" t="e">
        <f t="shared" ca="1" si="101"/>
        <v>#N/A</v>
      </c>
      <c r="EP120" s="244" t="e">
        <f t="shared" ca="1" si="101"/>
        <v>#N/A</v>
      </c>
      <c r="EQ120" s="244" t="e">
        <f t="shared" ca="1" si="101"/>
        <v>#N/A</v>
      </c>
      <c r="ER120" s="244"/>
      <c r="EW120" s="244">
        <v>0</v>
      </c>
      <c r="EX120" s="278" t="e">
        <f ca="1">VLOOKUP(DM120,Foglio1!$AB$31:$AN$261,13)-6+EW120</f>
        <v>#N/A</v>
      </c>
      <c r="EY120" s="244"/>
      <c r="EZ120" s="244" t="e">
        <f t="shared" ca="1" si="108"/>
        <v>#N/A</v>
      </c>
      <c r="FA120" s="244" t="e">
        <f t="shared" ca="1" si="103"/>
        <v>#N/A</v>
      </c>
      <c r="FB120" s="244" t="e">
        <f t="shared" ca="1" si="103"/>
        <v>#N/A</v>
      </c>
      <c r="FC120" s="244" t="e">
        <f t="shared" ca="1" si="103"/>
        <v>#N/A</v>
      </c>
      <c r="FD120" s="244" t="e">
        <f t="shared" ca="1" si="103"/>
        <v>#N/A</v>
      </c>
      <c r="FE120" s="244" t="e">
        <f t="shared" ca="1" si="103"/>
        <v>#N/A</v>
      </c>
      <c r="FF120" s="244" t="e">
        <f t="shared" ca="1" si="103"/>
        <v>#N/A</v>
      </c>
      <c r="FG120" s="244" t="e">
        <f t="shared" ca="1" si="103"/>
        <v>#N/A</v>
      </c>
      <c r="FH120" s="244" t="e">
        <f t="shared" ca="1" si="103"/>
        <v>#N/A</v>
      </c>
      <c r="FI120" s="244" t="e">
        <f t="shared" ca="1" si="103"/>
        <v>#N/A</v>
      </c>
      <c r="FJ120" s="244" t="e">
        <f t="shared" ca="1" si="103"/>
        <v>#N/A</v>
      </c>
      <c r="FK120" s="244" t="e">
        <f t="shared" ca="1" si="103"/>
        <v>#N/A</v>
      </c>
      <c r="FL120" s="244" t="e">
        <f t="shared" ca="1" si="103"/>
        <v>#N/A</v>
      </c>
      <c r="FM120" s="244" t="e">
        <f t="shared" ca="1" si="66"/>
        <v>#N/A</v>
      </c>
      <c r="FN120" s="244"/>
    </row>
    <row r="121" spans="5:170" x14ac:dyDescent="0.25">
      <c r="E121" s="244"/>
      <c r="F121" s="244"/>
      <c r="G121" s="244"/>
      <c r="L121">
        <f t="shared" si="87"/>
        <v>121</v>
      </c>
      <c r="R121" s="112">
        <f t="shared" si="67"/>
        <v>0</v>
      </c>
      <c r="S121" s="238" t="e">
        <f t="shared" si="96"/>
        <v>#N/A</v>
      </c>
      <c r="T121" s="112" t="e">
        <f t="shared" ca="1" si="97"/>
        <v>#N/A</v>
      </c>
      <c r="U121" s="112" t="e">
        <f t="shared" ca="1" si="98"/>
        <v>#N/A</v>
      </c>
      <c r="V121" s="112" t="e">
        <f t="shared" ca="1" si="99"/>
        <v>#N/A</v>
      </c>
      <c r="W121" s="112" t="e">
        <f t="shared" ca="1" si="100"/>
        <v>#N/A</v>
      </c>
      <c r="X121" s="112">
        <f t="shared" si="68"/>
        <v>0</v>
      </c>
      <c r="Y121" s="112"/>
      <c r="Z121" s="112"/>
      <c r="AA121" s="112">
        <f t="shared" si="69"/>
        <v>100000</v>
      </c>
      <c r="AB121" s="112" t="e">
        <f t="shared" ca="1" si="70"/>
        <v>#N/A</v>
      </c>
      <c r="AC121" s="112" t="e">
        <f t="shared" ca="1" si="71"/>
        <v>#N/A</v>
      </c>
      <c r="AD121" s="112" t="e">
        <f t="shared" ca="1" si="72"/>
        <v>#N/A</v>
      </c>
      <c r="AE121" s="112" t="e">
        <f t="shared" ca="1" si="73"/>
        <v>#N/A</v>
      </c>
      <c r="AF121" s="112">
        <f t="shared" si="74"/>
        <v>100000</v>
      </c>
      <c r="AG121" s="238">
        <f>AG120</f>
        <v>40</v>
      </c>
      <c r="AH121" s="112" t="e">
        <f ca="1">AI120+1</f>
        <v>#N/A</v>
      </c>
      <c r="AI121" s="112" t="e">
        <f ca="1">IF(INDIRECT(CONCATENATE("AC",AG120))&lt;100000,INDIRECT(CONCATENATE("AC",AG120))-1,IF(INDIRECT(CONCATENATE("AD",AG120))&lt;100000,INDIRECT(CONCATENATE("AD",AG120))-1,IF(INDIRECT(CONCATENATE("AE",AG120))&lt;100000,INDIRECT(CONCATENATE("AE",G120)),INDIRECT(CONCATENATE("AF",AG120)))))</f>
        <v>#N/A</v>
      </c>
      <c r="AJ121" s="114"/>
      <c r="AK121" s="114"/>
      <c r="AL121" s="238" t="e">
        <f t="shared" ca="1" si="88"/>
        <v>#N/A</v>
      </c>
      <c r="AM121" s="112">
        <f t="shared" ca="1" si="107"/>
        <v>100000</v>
      </c>
      <c r="AN121" s="112">
        <f t="shared" ca="1" si="89"/>
        <v>100000</v>
      </c>
      <c r="AO121" s="114">
        <f t="shared" ca="1" si="75"/>
        <v>0</v>
      </c>
      <c r="AP121" s="114">
        <f t="shared" ca="1" si="76"/>
        <v>0</v>
      </c>
      <c r="AQ121" s="112"/>
      <c r="AR121" s="238">
        <f t="shared" si="90"/>
        <v>121</v>
      </c>
      <c r="AS121" s="112"/>
      <c r="AT121" s="112"/>
      <c r="AU121" s="283">
        <f t="shared" si="91"/>
        <v>102</v>
      </c>
      <c r="AV121" s="284">
        <f t="shared" ca="1" si="77"/>
        <v>100000</v>
      </c>
      <c r="AW121" s="284">
        <f t="shared" ca="1" si="104"/>
        <v>100000</v>
      </c>
      <c r="AX121" s="285">
        <f t="shared" ca="1" si="78"/>
        <v>0</v>
      </c>
      <c r="AY121" s="285">
        <f t="shared" ca="1" si="79"/>
        <v>18</v>
      </c>
      <c r="AZ121" s="282"/>
      <c r="BD121" s="114">
        <f t="shared" si="92"/>
        <v>1</v>
      </c>
      <c r="BE121" s="112">
        <f t="shared" si="80"/>
        <v>100000</v>
      </c>
      <c r="BH121" s="238">
        <f t="shared" si="93"/>
        <v>102</v>
      </c>
      <c r="BI121" s="245">
        <f t="shared" si="81"/>
        <v>100000</v>
      </c>
      <c r="BJ121" s="281">
        <f t="shared" ca="1" si="64"/>
        <v>16</v>
      </c>
      <c r="BK121" s="245" t="e">
        <f t="shared" ca="1" si="82"/>
        <v>#N/A</v>
      </c>
      <c r="BL121" s="245" t="e">
        <f t="shared" ca="1" si="83"/>
        <v>#N/A</v>
      </c>
      <c r="BN121" s="245" t="e">
        <f t="shared" ca="1" si="102"/>
        <v>#N/A</v>
      </c>
      <c r="CL121" s="112"/>
      <c r="CM121" s="112"/>
      <c r="CP121" s="112"/>
      <c r="CQ121" s="112"/>
      <c r="CR121" s="238"/>
      <c r="CS121" s="238"/>
      <c r="CT121" s="112"/>
      <c r="CU121" s="112"/>
      <c r="CV121" s="112"/>
      <c r="CW121" s="112" t="s">
        <v>224</v>
      </c>
      <c r="CX121" s="112" t="s">
        <v>225</v>
      </c>
      <c r="CY121" s="112" t="s">
        <v>226</v>
      </c>
      <c r="CZ121" s="112" t="s">
        <v>227</v>
      </c>
      <c r="DA121" s="112" t="s">
        <v>228</v>
      </c>
      <c r="DB121" s="112" t="s">
        <v>229</v>
      </c>
      <c r="DC121" s="112"/>
      <c r="DD121" s="238"/>
      <c r="DE121" s="112"/>
      <c r="DF121" s="112"/>
      <c r="DG121" s="112"/>
      <c r="DH121" s="238"/>
      <c r="DI121" s="112"/>
      <c r="DJ121" s="112"/>
      <c r="DK121" s="112"/>
      <c r="DL121" s="278" t="str">
        <f t="shared" ca="1" si="94"/>
        <v/>
      </c>
      <c r="DM121" s="245" t="str">
        <f t="shared" ca="1" si="63"/>
        <v/>
      </c>
      <c r="DN121" s="245" t="str">
        <f t="shared" ca="1" si="63"/>
        <v/>
      </c>
      <c r="DO121" s="245" t="str">
        <f t="shared" ca="1" si="63"/>
        <v/>
      </c>
      <c r="DP121" s="245" t="str">
        <f t="shared" ca="1" si="63"/>
        <v/>
      </c>
      <c r="DQ121" s="245" t="str">
        <f t="shared" ca="1" si="63"/>
        <v/>
      </c>
      <c r="DR121" s="244"/>
      <c r="DS121" s="245" t="str">
        <f t="shared" si="105"/>
        <v/>
      </c>
      <c r="DT121" s="245" t="str">
        <f t="shared" si="105"/>
        <v/>
      </c>
      <c r="DU121" s="245" t="str">
        <f t="shared" si="105"/>
        <v/>
      </c>
      <c r="DV121" s="244" t="str">
        <f t="shared" ca="1" si="65"/>
        <v/>
      </c>
      <c r="DW121" s="244"/>
      <c r="DX121" s="244" t="str">
        <f t="shared" ca="1" si="95"/>
        <v/>
      </c>
      <c r="EA121" s="244" t="b">
        <f t="shared" ca="1" si="84"/>
        <v>0</v>
      </c>
      <c r="EB121" s="278" t="e">
        <f ca="1">VLOOKUP(DM121,Foglio1!$AB$31:$AN$261,13)-6+EA121</f>
        <v>#N/A</v>
      </c>
      <c r="EC121" s="244"/>
      <c r="ED121" s="244" t="e">
        <f t="shared" ca="1" si="106"/>
        <v>#N/A</v>
      </c>
      <c r="EE121" s="244" t="e">
        <f t="shared" ca="1" si="106"/>
        <v>#N/A</v>
      </c>
      <c r="EF121" s="244" t="e">
        <f t="shared" ca="1" si="106"/>
        <v>#N/A</v>
      </c>
      <c r="EG121" s="244" t="e">
        <f t="shared" ca="1" si="106"/>
        <v>#N/A</v>
      </c>
      <c r="EH121" s="244" t="e">
        <f t="shared" ca="1" si="106"/>
        <v>#N/A</v>
      </c>
      <c r="EI121" s="244" t="e">
        <f t="shared" ca="1" si="106"/>
        <v>#N/A</v>
      </c>
      <c r="EJ121" s="244" t="e">
        <f t="shared" ca="1" si="106"/>
        <v>#N/A</v>
      </c>
      <c r="EK121" s="244" t="e">
        <f t="shared" ca="1" si="106"/>
        <v>#N/A</v>
      </c>
      <c r="EL121" s="244" t="e">
        <f t="shared" ca="1" si="106"/>
        <v>#N/A</v>
      </c>
      <c r="EM121" s="244" t="e">
        <f t="shared" ca="1" si="106"/>
        <v>#N/A</v>
      </c>
      <c r="EN121" s="244" t="e">
        <f t="shared" ca="1" si="106"/>
        <v>#N/A</v>
      </c>
      <c r="EO121" s="244" t="e">
        <f t="shared" ca="1" si="106"/>
        <v>#N/A</v>
      </c>
      <c r="EP121" s="244" t="e">
        <f t="shared" ca="1" si="106"/>
        <v>#N/A</v>
      </c>
      <c r="EQ121" s="244" t="e">
        <f t="shared" ca="1" si="106"/>
        <v>#N/A</v>
      </c>
      <c r="ER121" s="244"/>
      <c r="EW121" s="244">
        <v>0</v>
      </c>
      <c r="EX121" s="278" t="e">
        <f ca="1">VLOOKUP(DM121,Foglio1!$AB$31:$AN$261,13)-6+EW121</f>
        <v>#N/A</v>
      </c>
      <c r="EY121" s="244"/>
      <c r="EZ121" s="244" t="e">
        <f t="shared" ca="1" si="108"/>
        <v>#N/A</v>
      </c>
      <c r="FA121" s="244" t="e">
        <f t="shared" ca="1" si="103"/>
        <v>#N/A</v>
      </c>
      <c r="FB121" s="244" t="e">
        <f t="shared" ca="1" si="103"/>
        <v>#N/A</v>
      </c>
      <c r="FC121" s="244" t="e">
        <f t="shared" ca="1" si="103"/>
        <v>#N/A</v>
      </c>
      <c r="FD121" s="244" t="e">
        <f t="shared" ca="1" si="103"/>
        <v>#N/A</v>
      </c>
      <c r="FE121" s="244" t="e">
        <f t="shared" ca="1" si="103"/>
        <v>#N/A</v>
      </c>
      <c r="FF121" s="244" t="e">
        <f t="shared" ca="1" si="103"/>
        <v>#N/A</v>
      </c>
      <c r="FG121" s="244" t="e">
        <f t="shared" ca="1" si="103"/>
        <v>#N/A</v>
      </c>
      <c r="FH121" s="244" t="e">
        <f t="shared" ca="1" si="103"/>
        <v>#N/A</v>
      </c>
      <c r="FI121" s="244" t="e">
        <f t="shared" ca="1" si="103"/>
        <v>#N/A</v>
      </c>
      <c r="FJ121" s="244" t="e">
        <f t="shared" ca="1" si="103"/>
        <v>#N/A</v>
      </c>
      <c r="FK121" s="244" t="e">
        <f t="shared" ca="1" si="103"/>
        <v>#N/A</v>
      </c>
      <c r="FL121" s="244" t="e">
        <f t="shared" ca="1" si="103"/>
        <v>#N/A</v>
      </c>
      <c r="FM121" s="244" t="e">
        <f t="shared" ca="1" si="66"/>
        <v>#N/A</v>
      </c>
      <c r="FN121" s="244"/>
    </row>
    <row r="122" spans="5:170" x14ac:dyDescent="0.25">
      <c r="E122" s="244"/>
      <c r="F122" s="244"/>
      <c r="G122" s="244"/>
      <c r="L122">
        <f t="shared" si="87"/>
        <v>122</v>
      </c>
      <c r="R122" s="112">
        <f t="shared" si="67"/>
        <v>0</v>
      </c>
      <c r="S122" s="238" t="e">
        <f t="shared" si="96"/>
        <v>#N/A</v>
      </c>
      <c r="T122" s="112" t="e">
        <f t="shared" ca="1" si="97"/>
        <v>#N/A</v>
      </c>
      <c r="U122" s="112" t="e">
        <f t="shared" ca="1" si="98"/>
        <v>#N/A</v>
      </c>
      <c r="V122" s="112" t="e">
        <f t="shared" ca="1" si="99"/>
        <v>#N/A</v>
      </c>
      <c r="W122" s="112" t="e">
        <f t="shared" ca="1" si="100"/>
        <v>#N/A</v>
      </c>
      <c r="X122" s="112">
        <f t="shared" si="68"/>
        <v>0</v>
      </c>
      <c r="Y122" s="112"/>
      <c r="Z122" s="112"/>
      <c r="AA122" s="112">
        <f t="shared" si="69"/>
        <v>100000</v>
      </c>
      <c r="AB122" s="112" t="e">
        <f t="shared" ca="1" si="70"/>
        <v>#N/A</v>
      </c>
      <c r="AC122" s="112" t="e">
        <f t="shared" ca="1" si="71"/>
        <v>#N/A</v>
      </c>
      <c r="AD122" s="112" t="e">
        <f t="shared" ca="1" si="72"/>
        <v>#N/A</v>
      </c>
      <c r="AE122" s="112" t="e">
        <f t="shared" ca="1" si="73"/>
        <v>#N/A</v>
      </c>
      <c r="AF122" s="112">
        <f t="shared" si="74"/>
        <v>100000</v>
      </c>
      <c r="AG122" s="238">
        <f>AG121</f>
        <v>40</v>
      </c>
      <c r="AH122" s="112" t="e">
        <f ca="1">AI121+1</f>
        <v>#N/A</v>
      </c>
      <c r="AI122" s="112" t="e">
        <f ca="1">IF(INDIRECT(CONCATENATE("AD",AG120))&lt;100000,INDIRECT(CONCATENATE("AD",AG120))-1,IF(INDIRECT(CONCATENATE("AE",AG120))&lt;100000,INDIRECT(CONCATENATE("AE",G120)),INDIRECT(CONCATENATE("AF",AG120))))</f>
        <v>#N/A</v>
      </c>
      <c r="AJ122" s="114"/>
      <c r="AK122" s="114"/>
      <c r="AL122" s="238" t="e">
        <f t="shared" ca="1" si="88"/>
        <v>#N/A</v>
      </c>
      <c r="AM122" s="112">
        <f t="shared" ca="1" si="107"/>
        <v>100000</v>
      </c>
      <c r="AN122" s="112">
        <f t="shared" ca="1" si="89"/>
        <v>100000</v>
      </c>
      <c r="AO122" s="114">
        <f t="shared" ca="1" si="75"/>
        <v>0</v>
      </c>
      <c r="AP122" s="114">
        <f t="shared" ca="1" si="76"/>
        <v>0</v>
      </c>
      <c r="AQ122" s="112"/>
      <c r="AR122" s="238">
        <f t="shared" si="90"/>
        <v>122</v>
      </c>
      <c r="AS122" s="112"/>
      <c r="AT122" s="112"/>
      <c r="AU122" s="283">
        <f t="shared" si="91"/>
        <v>103</v>
      </c>
      <c r="AV122" s="284">
        <f t="shared" ca="1" si="77"/>
        <v>100000</v>
      </c>
      <c r="AW122" s="284">
        <f t="shared" ca="1" si="104"/>
        <v>100000</v>
      </c>
      <c r="AX122" s="285">
        <f t="shared" ca="1" si="78"/>
        <v>0</v>
      </c>
      <c r="AY122" s="285">
        <f t="shared" ca="1" si="79"/>
        <v>18</v>
      </c>
      <c r="AZ122" s="282"/>
      <c r="BD122" s="114">
        <f t="shared" si="92"/>
        <v>1</v>
      </c>
      <c r="BE122" s="112">
        <f t="shared" si="80"/>
        <v>100000</v>
      </c>
      <c r="BH122" s="238">
        <f t="shared" si="93"/>
        <v>103</v>
      </c>
      <c r="BI122" s="245">
        <f t="shared" si="81"/>
        <v>100000</v>
      </c>
      <c r="BJ122" s="281">
        <f t="shared" ca="1" si="64"/>
        <v>16</v>
      </c>
      <c r="BK122" s="245" t="e">
        <f t="shared" ca="1" si="82"/>
        <v>#N/A</v>
      </c>
      <c r="BL122" s="245" t="e">
        <f t="shared" ca="1" si="83"/>
        <v>#N/A</v>
      </c>
      <c r="BN122" s="245" t="e">
        <f t="shared" ca="1" si="102"/>
        <v>#N/A</v>
      </c>
      <c r="CL122" s="112"/>
      <c r="CM122" s="112"/>
      <c r="CP122" s="112"/>
      <c r="CQ122" s="112"/>
      <c r="CR122" s="238"/>
      <c r="CS122" s="238"/>
      <c r="CT122" s="112"/>
      <c r="CU122" s="112"/>
      <c r="CV122" s="112"/>
      <c r="CW122" s="112" t="s">
        <v>224</v>
      </c>
      <c r="CX122" s="112" t="s">
        <v>225</v>
      </c>
      <c r="CY122" s="112" t="s">
        <v>226</v>
      </c>
      <c r="CZ122" s="112" t="s">
        <v>227</v>
      </c>
      <c r="DA122" s="112" t="s">
        <v>228</v>
      </c>
      <c r="DB122" s="112" t="s">
        <v>229</v>
      </c>
      <c r="DC122" s="112"/>
      <c r="DD122" s="238"/>
      <c r="DE122" s="112"/>
      <c r="DF122" s="112"/>
      <c r="DG122" s="112"/>
      <c r="DH122" s="238"/>
      <c r="DI122" s="112"/>
      <c r="DJ122" s="112"/>
      <c r="DK122" s="112"/>
      <c r="DL122" s="278" t="str">
        <f t="shared" ca="1" si="94"/>
        <v/>
      </c>
      <c r="DM122" s="245" t="str">
        <f t="shared" ca="1" si="63"/>
        <v/>
      </c>
      <c r="DN122" s="245" t="str">
        <f t="shared" ca="1" si="63"/>
        <v/>
      </c>
      <c r="DO122" s="245" t="str">
        <f t="shared" ca="1" si="63"/>
        <v/>
      </c>
      <c r="DP122" s="245" t="str">
        <f t="shared" ca="1" si="63"/>
        <v/>
      </c>
      <c r="DQ122" s="245" t="str">
        <f t="shared" ca="1" si="63"/>
        <v/>
      </c>
      <c r="DR122" s="244"/>
      <c r="DS122" s="245" t="str">
        <f t="shared" si="105"/>
        <v/>
      </c>
      <c r="DT122" s="245" t="str">
        <f t="shared" si="105"/>
        <v/>
      </c>
      <c r="DU122" s="245" t="str">
        <f t="shared" si="105"/>
        <v/>
      </c>
      <c r="DV122" s="244" t="str">
        <f t="shared" ca="1" si="65"/>
        <v/>
      </c>
      <c r="DW122" s="244"/>
      <c r="DX122" s="244" t="str">
        <f t="shared" ca="1" si="95"/>
        <v/>
      </c>
      <c r="EA122" s="244" t="b">
        <f t="shared" ca="1" si="84"/>
        <v>0</v>
      </c>
      <c r="EB122" s="278" t="e">
        <f ca="1">VLOOKUP(DM122,Foglio1!$AB$31:$AN$261,13)-6+EA122</f>
        <v>#N/A</v>
      </c>
      <c r="EC122" s="244"/>
      <c r="ED122" s="244" t="e">
        <f t="shared" ca="1" si="106"/>
        <v>#N/A</v>
      </c>
      <c r="EE122" s="244" t="e">
        <f t="shared" ca="1" si="106"/>
        <v>#N/A</v>
      </c>
      <c r="EF122" s="244" t="e">
        <f t="shared" ca="1" si="106"/>
        <v>#N/A</v>
      </c>
      <c r="EG122" s="244" t="e">
        <f t="shared" ca="1" si="106"/>
        <v>#N/A</v>
      </c>
      <c r="EH122" s="244" t="e">
        <f t="shared" ca="1" si="106"/>
        <v>#N/A</v>
      </c>
      <c r="EI122" s="244" t="e">
        <f t="shared" ca="1" si="106"/>
        <v>#N/A</v>
      </c>
      <c r="EJ122" s="244" t="e">
        <f t="shared" ca="1" si="106"/>
        <v>#N/A</v>
      </c>
      <c r="EK122" s="244" t="e">
        <f t="shared" ca="1" si="106"/>
        <v>#N/A</v>
      </c>
      <c r="EL122" s="244" t="e">
        <f t="shared" ca="1" si="106"/>
        <v>#N/A</v>
      </c>
      <c r="EM122" s="244" t="e">
        <f t="shared" ca="1" si="106"/>
        <v>#N/A</v>
      </c>
      <c r="EN122" s="244" t="e">
        <f t="shared" ca="1" si="106"/>
        <v>#N/A</v>
      </c>
      <c r="EO122" s="244" t="e">
        <f t="shared" ca="1" si="106"/>
        <v>#N/A</v>
      </c>
      <c r="EP122" s="244" t="e">
        <f t="shared" ca="1" si="106"/>
        <v>#N/A</v>
      </c>
      <c r="EQ122" s="244" t="e">
        <f t="shared" ca="1" si="106"/>
        <v>#N/A</v>
      </c>
      <c r="ER122" s="244"/>
      <c r="EW122" s="244">
        <v>0</v>
      </c>
      <c r="EX122" s="278" t="e">
        <f ca="1">VLOOKUP(DM122,Foglio1!$AB$31:$AN$261,13)-6+EW122</f>
        <v>#N/A</v>
      </c>
      <c r="EY122" s="244"/>
      <c r="EZ122" s="244" t="e">
        <f t="shared" ca="1" si="108"/>
        <v>#N/A</v>
      </c>
      <c r="FA122" s="244" t="e">
        <f t="shared" ref="FA122:FL141" ca="1" si="109">INDIRECT(CONCATENATE(EY$16,EY$17,$EX122))</f>
        <v>#N/A</v>
      </c>
      <c r="FB122" s="244" t="e">
        <f t="shared" ca="1" si="109"/>
        <v>#N/A</v>
      </c>
      <c r="FC122" s="244" t="e">
        <f t="shared" ca="1" si="109"/>
        <v>#N/A</v>
      </c>
      <c r="FD122" s="244" t="e">
        <f t="shared" ca="1" si="109"/>
        <v>#N/A</v>
      </c>
      <c r="FE122" s="244" t="e">
        <f t="shared" ca="1" si="109"/>
        <v>#N/A</v>
      </c>
      <c r="FF122" s="244" t="e">
        <f t="shared" ca="1" si="109"/>
        <v>#N/A</v>
      </c>
      <c r="FG122" s="244" t="e">
        <f t="shared" ca="1" si="109"/>
        <v>#N/A</v>
      </c>
      <c r="FH122" s="244" t="e">
        <f t="shared" ca="1" si="109"/>
        <v>#N/A</v>
      </c>
      <c r="FI122" s="244" t="e">
        <f t="shared" ca="1" si="109"/>
        <v>#N/A</v>
      </c>
      <c r="FJ122" s="244" t="e">
        <f t="shared" ca="1" si="109"/>
        <v>#N/A</v>
      </c>
      <c r="FK122" s="244" t="e">
        <f t="shared" ca="1" si="109"/>
        <v>#N/A</v>
      </c>
      <c r="FL122" s="244" t="e">
        <f t="shared" ca="1" si="109"/>
        <v>#N/A</v>
      </c>
      <c r="FM122" s="244" t="e">
        <f t="shared" ca="1" si="66"/>
        <v>#N/A</v>
      </c>
      <c r="FN122" s="244"/>
    </row>
    <row r="123" spans="5:170" x14ac:dyDescent="0.25">
      <c r="E123" s="244"/>
      <c r="F123" s="244"/>
      <c r="G123" s="244"/>
      <c r="L123">
        <f t="shared" si="87"/>
        <v>123</v>
      </c>
      <c r="R123" s="112">
        <f t="shared" si="67"/>
        <v>0</v>
      </c>
      <c r="S123" s="238" t="e">
        <f t="shared" si="96"/>
        <v>#N/A</v>
      </c>
      <c r="T123" s="112" t="e">
        <f t="shared" ca="1" si="97"/>
        <v>#N/A</v>
      </c>
      <c r="U123" s="112" t="e">
        <f t="shared" ca="1" si="98"/>
        <v>#N/A</v>
      </c>
      <c r="V123" s="112" t="e">
        <f t="shared" ca="1" si="99"/>
        <v>#N/A</v>
      </c>
      <c r="W123" s="112" t="e">
        <f t="shared" ca="1" si="100"/>
        <v>#N/A</v>
      </c>
      <c r="X123" s="112">
        <f t="shared" si="68"/>
        <v>0</v>
      </c>
      <c r="Y123" s="112"/>
      <c r="Z123" s="112"/>
      <c r="AA123" s="112">
        <f t="shared" si="69"/>
        <v>100000</v>
      </c>
      <c r="AB123" s="112" t="e">
        <f t="shared" ca="1" si="70"/>
        <v>#N/A</v>
      </c>
      <c r="AC123" s="112" t="e">
        <f t="shared" ca="1" si="71"/>
        <v>#N/A</v>
      </c>
      <c r="AD123" s="112" t="e">
        <f t="shared" ca="1" si="72"/>
        <v>#N/A</v>
      </c>
      <c r="AE123" s="112" t="e">
        <f t="shared" ca="1" si="73"/>
        <v>#N/A</v>
      </c>
      <c r="AF123" s="112">
        <f t="shared" si="74"/>
        <v>100000</v>
      </c>
      <c r="AG123" s="238">
        <f>AG122</f>
        <v>40</v>
      </c>
      <c r="AH123" s="112" t="e">
        <f ca="1">AI122+1</f>
        <v>#N/A</v>
      </c>
      <c r="AI123" s="112" t="e">
        <f ca="1">IF(INDIRECT(CONCATENATE("AE",AG120))&lt;100000,INDIRECT(CONCATENATE("AE",G120)),INDIRECT(CONCATENATE("AF",AG120)))</f>
        <v>#N/A</v>
      </c>
      <c r="AJ123" s="114"/>
      <c r="AK123" s="114"/>
      <c r="AL123" s="238" t="e">
        <f t="shared" ca="1" si="88"/>
        <v>#N/A</v>
      </c>
      <c r="AM123" s="112">
        <f t="shared" ca="1" si="107"/>
        <v>100000</v>
      </c>
      <c r="AN123" s="112">
        <f t="shared" ca="1" si="89"/>
        <v>100000</v>
      </c>
      <c r="AO123" s="114">
        <f t="shared" ca="1" si="75"/>
        <v>0</v>
      </c>
      <c r="AP123" s="114">
        <f t="shared" ca="1" si="76"/>
        <v>0</v>
      </c>
      <c r="AQ123" s="112"/>
      <c r="AR123" s="238">
        <f t="shared" si="90"/>
        <v>123</v>
      </c>
      <c r="AS123" s="112"/>
      <c r="AT123" s="112"/>
      <c r="AU123" s="283">
        <f t="shared" si="91"/>
        <v>104</v>
      </c>
      <c r="AV123" s="284">
        <f t="shared" ca="1" si="77"/>
        <v>100000</v>
      </c>
      <c r="AW123" s="284">
        <f t="shared" ca="1" si="104"/>
        <v>100000</v>
      </c>
      <c r="AX123" s="285">
        <f t="shared" ca="1" si="78"/>
        <v>0</v>
      </c>
      <c r="AY123" s="285">
        <f t="shared" ca="1" si="79"/>
        <v>18</v>
      </c>
      <c r="AZ123" s="282"/>
      <c r="BD123" s="114">
        <f t="shared" si="92"/>
        <v>1</v>
      </c>
      <c r="BE123" s="112">
        <f t="shared" si="80"/>
        <v>100000</v>
      </c>
      <c r="BH123" s="238">
        <f t="shared" si="93"/>
        <v>104</v>
      </c>
      <c r="BI123" s="112" t="e">
        <f ca="1">BE20</f>
        <v>#N/A</v>
      </c>
      <c r="BJ123" s="281">
        <f t="shared" ca="1" si="64"/>
        <v>16</v>
      </c>
      <c r="BK123" s="245" t="e">
        <f t="shared" ca="1" si="82"/>
        <v>#N/A</v>
      </c>
      <c r="BL123" s="245" t="e">
        <f t="shared" ca="1" si="83"/>
        <v>#N/A</v>
      </c>
      <c r="BN123" s="245" t="e">
        <f t="shared" ca="1" si="102"/>
        <v>#N/A</v>
      </c>
      <c r="CL123" s="112"/>
      <c r="CM123" s="112"/>
      <c r="CP123" s="112"/>
      <c r="CQ123" s="112"/>
      <c r="CR123" s="238"/>
      <c r="CS123" s="238"/>
      <c r="CT123" s="112"/>
      <c r="CU123" s="112"/>
      <c r="CV123" s="112"/>
      <c r="CW123" s="112" t="s">
        <v>224</v>
      </c>
      <c r="CX123" s="112" t="s">
        <v>225</v>
      </c>
      <c r="CY123" s="112" t="s">
        <v>226</v>
      </c>
      <c r="CZ123" s="112" t="s">
        <v>227</v>
      </c>
      <c r="DA123" s="112" t="s">
        <v>228</v>
      </c>
      <c r="DB123" s="112" t="s">
        <v>229</v>
      </c>
      <c r="DC123" s="112"/>
      <c r="DD123" s="238"/>
      <c r="DE123" s="112"/>
      <c r="DF123" s="112"/>
      <c r="DG123" s="112"/>
      <c r="DH123" s="238"/>
      <c r="DI123" s="112"/>
      <c r="DJ123" s="112"/>
      <c r="DK123" s="112"/>
      <c r="DL123" s="278" t="str">
        <f t="shared" ca="1" si="94"/>
        <v/>
      </c>
      <c r="DM123" s="245" t="str">
        <f t="shared" ca="1" si="63"/>
        <v/>
      </c>
      <c r="DN123" s="245" t="str">
        <f t="shared" ca="1" si="63"/>
        <v/>
      </c>
      <c r="DO123" s="245" t="str">
        <f t="shared" ca="1" si="63"/>
        <v/>
      </c>
      <c r="DP123" s="245" t="str">
        <f t="shared" ca="1" si="63"/>
        <v/>
      </c>
      <c r="DQ123" s="245" t="str">
        <f t="shared" ca="1" si="63"/>
        <v/>
      </c>
      <c r="DR123" s="244"/>
      <c r="DS123" s="245" t="str">
        <f t="shared" si="105"/>
        <v/>
      </c>
      <c r="DT123" s="245" t="str">
        <f t="shared" si="105"/>
        <v/>
      </c>
      <c r="DU123" s="245" t="str">
        <f t="shared" si="105"/>
        <v/>
      </c>
      <c r="DV123" s="244" t="str">
        <f t="shared" ca="1" si="65"/>
        <v/>
      </c>
      <c r="DW123" s="244"/>
      <c r="DX123" s="244" t="str">
        <f t="shared" ca="1" si="95"/>
        <v/>
      </c>
      <c r="EA123" s="244" t="b">
        <f t="shared" ca="1" si="84"/>
        <v>0</v>
      </c>
      <c r="EB123" s="278" t="e">
        <f ca="1">VLOOKUP(DM123,Foglio1!$AB$31:$AN$261,13)-6+EA123</f>
        <v>#N/A</v>
      </c>
      <c r="EC123" s="244"/>
      <c r="ED123" s="244" t="e">
        <f t="shared" ca="1" si="106"/>
        <v>#N/A</v>
      </c>
      <c r="EE123" s="244" t="e">
        <f t="shared" ca="1" si="106"/>
        <v>#N/A</v>
      </c>
      <c r="EF123" s="244" t="e">
        <f t="shared" ca="1" si="106"/>
        <v>#N/A</v>
      </c>
      <c r="EG123" s="244" t="e">
        <f t="shared" ca="1" si="106"/>
        <v>#N/A</v>
      </c>
      <c r="EH123" s="244" t="e">
        <f t="shared" ca="1" si="106"/>
        <v>#N/A</v>
      </c>
      <c r="EI123" s="244" t="e">
        <f t="shared" ca="1" si="106"/>
        <v>#N/A</v>
      </c>
      <c r="EJ123" s="244" t="e">
        <f t="shared" ca="1" si="106"/>
        <v>#N/A</v>
      </c>
      <c r="EK123" s="244" t="e">
        <f t="shared" ca="1" si="106"/>
        <v>#N/A</v>
      </c>
      <c r="EL123" s="244" t="e">
        <f t="shared" ca="1" si="106"/>
        <v>#N/A</v>
      </c>
      <c r="EM123" s="244" t="e">
        <f t="shared" ca="1" si="106"/>
        <v>#N/A</v>
      </c>
      <c r="EN123" s="244" t="e">
        <f t="shared" ca="1" si="106"/>
        <v>#N/A</v>
      </c>
      <c r="EO123" s="244" t="e">
        <f t="shared" ca="1" si="106"/>
        <v>#N/A</v>
      </c>
      <c r="EP123" s="244" t="e">
        <f t="shared" ca="1" si="106"/>
        <v>#N/A</v>
      </c>
      <c r="EQ123" s="244" t="e">
        <f t="shared" ca="1" si="106"/>
        <v>#N/A</v>
      </c>
      <c r="ER123" s="244"/>
      <c r="EW123" s="244">
        <v>0</v>
      </c>
      <c r="EX123" s="278" t="e">
        <f ca="1">VLOOKUP(DM123,Foglio1!$AB$31:$AN$261,13)-6+EW123</f>
        <v>#N/A</v>
      </c>
      <c r="EY123" s="244"/>
      <c r="EZ123" s="244" t="e">
        <f t="shared" ca="1" si="108"/>
        <v>#N/A</v>
      </c>
      <c r="FA123" s="244" t="e">
        <f t="shared" ca="1" si="109"/>
        <v>#N/A</v>
      </c>
      <c r="FB123" s="244" t="e">
        <f t="shared" ca="1" si="109"/>
        <v>#N/A</v>
      </c>
      <c r="FC123" s="244" t="e">
        <f t="shared" ca="1" si="109"/>
        <v>#N/A</v>
      </c>
      <c r="FD123" s="244" t="e">
        <f t="shared" ca="1" si="109"/>
        <v>#N/A</v>
      </c>
      <c r="FE123" s="244" t="e">
        <f t="shared" ca="1" si="109"/>
        <v>#N/A</v>
      </c>
      <c r="FF123" s="244" t="e">
        <f t="shared" ca="1" si="109"/>
        <v>#N/A</v>
      </c>
      <c r="FG123" s="244" t="e">
        <f t="shared" ca="1" si="109"/>
        <v>#N/A</v>
      </c>
      <c r="FH123" s="244" t="e">
        <f t="shared" ca="1" si="109"/>
        <v>#N/A</v>
      </c>
      <c r="FI123" s="244" t="e">
        <f t="shared" ca="1" si="109"/>
        <v>#N/A</v>
      </c>
      <c r="FJ123" s="244" t="e">
        <f t="shared" ca="1" si="109"/>
        <v>#N/A</v>
      </c>
      <c r="FK123" s="244" t="e">
        <f t="shared" ca="1" si="109"/>
        <v>#N/A</v>
      </c>
      <c r="FL123" s="244" t="e">
        <f t="shared" ca="1" si="109"/>
        <v>#N/A</v>
      </c>
      <c r="FM123" s="244" t="e">
        <f t="shared" ca="1" si="66"/>
        <v>#N/A</v>
      </c>
      <c r="FN123" s="244"/>
    </row>
    <row r="124" spans="5:170" x14ac:dyDescent="0.25">
      <c r="E124" s="244"/>
      <c r="F124" s="244"/>
      <c r="G124" s="244"/>
      <c r="L124">
        <f t="shared" si="87"/>
        <v>124</v>
      </c>
      <c r="R124" s="112">
        <f t="shared" si="67"/>
        <v>0</v>
      </c>
      <c r="S124" s="238" t="e">
        <f t="shared" si="96"/>
        <v>#N/A</v>
      </c>
      <c r="T124" s="112" t="e">
        <f t="shared" ca="1" si="97"/>
        <v>#N/A</v>
      </c>
      <c r="U124" s="112" t="e">
        <f t="shared" ca="1" si="98"/>
        <v>#N/A</v>
      </c>
      <c r="V124" s="112" t="e">
        <f t="shared" ca="1" si="99"/>
        <v>#N/A</v>
      </c>
      <c r="W124" s="112" t="e">
        <f t="shared" ca="1" si="100"/>
        <v>#N/A</v>
      </c>
      <c r="X124" s="112">
        <f t="shared" si="68"/>
        <v>0</v>
      </c>
      <c r="Y124" s="112"/>
      <c r="Z124" s="112"/>
      <c r="AA124" s="112">
        <f t="shared" si="69"/>
        <v>100000</v>
      </c>
      <c r="AB124" s="112" t="e">
        <f t="shared" ca="1" si="70"/>
        <v>#N/A</v>
      </c>
      <c r="AC124" s="112" t="e">
        <f t="shared" ca="1" si="71"/>
        <v>#N/A</v>
      </c>
      <c r="AD124" s="112" t="e">
        <f t="shared" ca="1" si="72"/>
        <v>#N/A</v>
      </c>
      <c r="AE124" s="112" t="e">
        <f t="shared" ca="1" si="73"/>
        <v>#N/A</v>
      </c>
      <c r="AF124" s="112">
        <f t="shared" si="74"/>
        <v>100000</v>
      </c>
      <c r="AG124" s="238">
        <f>AG123</f>
        <v>40</v>
      </c>
      <c r="AH124" s="112" t="e">
        <f ca="1">AI123+1</f>
        <v>#N/A</v>
      </c>
      <c r="AI124" s="112">
        <f ca="1">INDIRECT(CONCATENATE("AF",AG120))</f>
        <v>100000</v>
      </c>
      <c r="AJ124" s="114"/>
      <c r="AK124" s="114"/>
      <c r="AL124" s="238" t="e">
        <f t="shared" ca="1" si="88"/>
        <v>#N/A</v>
      </c>
      <c r="AM124" s="112">
        <f t="shared" ca="1" si="107"/>
        <v>100000</v>
      </c>
      <c r="AN124" s="112">
        <f t="shared" ca="1" si="89"/>
        <v>100000</v>
      </c>
      <c r="AO124" s="114">
        <f t="shared" ca="1" si="75"/>
        <v>0</v>
      </c>
      <c r="AP124" s="114">
        <f t="shared" ca="1" si="76"/>
        <v>0</v>
      </c>
      <c r="AQ124" s="112"/>
      <c r="AR124" s="238">
        <f t="shared" si="90"/>
        <v>124</v>
      </c>
      <c r="AS124" s="112"/>
      <c r="AT124" s="112"/>
      <c r="AU124" s="283">
        <f t="shared" si="91"/>
        <v>105</v>
      </c>
      <c r="AV124" s="284">
        <f t="shared" ca="1" si="77"/>
        <v>100000</v>
      </c>
      <c r="AW124" s="284">
        <f t="shared" ca="1" si="104"/>
        <v>100000</v>
      </c>
      <c r="AX124" s="285">
        <f t="shared" ca="1" si="78"/>
        <v>0</v>
      </c>
      <c r="AY124" s="285">
        <f t="shared" ca="1" si="79"/>
        <v>18</v>
      </c>
      <c r="AZ124" s="282"/>
      <c r="BD124" s="114">
        <f t="shared" si="92"/>
        <v>1</v>
      </c>
      <c r="BE124" s="112">
        <f t="shared" si="80"/>
        <v>100000</v>
      </c>
      <c r="BH124" s="238">
        <f t="shared" si="93"/>
        <v>105</v>
      </c>
      <c r="BI124" s="112" t="e">
        <f t="shared" ref="BI124:BI143" ca="1" si="110">BE21</f>
        <v>#N/A</v>
      </c>
      <c r="BJ124" s="281">
        <f t="shared" ca="1" si="64"/>
        <v>16</v>
      </c>
      <c r="BK124" s="245" t="e">
        <f t="shared" ca="1" si="82"/>
        <v>#N/A</v>
      </c>
      <c r="BL124" s="245" t="e">
        <f t="shared" ca="1" si="83"/>
        <v>#N/A</v>
      </c>
      <c r="BN124" s="245" t="e">
        <f t="shared" ca="1" si="102"/>
        <v>#N/A</v>
      </c>
      <c r="CL124" s="112"/>
      <c r="CM124" s="112"/>
      <c r="CP124" s="112"/>
      <c r="CQ124" s="112"/>
      <c r="CR124" s="238"/>
      <c r="CS124" s="238"/>
      <c r="CT124" s="112"/>
      <c r="CU124" s="112"/>
      <c r="CV124" s="112"/>
      <c r="CW124" s="112" t="s">
        <v>224</v>
      </c>
      <c r="CX124" s="112" t="s">
        <v>225</v>
      </c>
      <c r="CY124" s="112" t="s">
        <v>226</v>
      </c>
      <c r="CZ124" s="112" t="s">
        <v>227</v>
      </c>
      <c r="DA124" s="112" t="s">
        <v>228</v>
      </c>
      <c r="DB124" s="112" t="s">
        <v>229</v>
      </c>
      <c r="DC124" s="112"/>
      <c r="DD124" s="238"/>
      <c r="DE124" s="112"/>
      <c r="DF124" s="112"/>
      <c r="DG124" s="112"/>
      <c r="DH124" s="238"/>
      <c r="DI124" s="112"/>
      <c r="DJ124" s="112"/>
      <c r="DK124" s="112"/>
      <c r="DL124" s="278" t="str">
        <f t="shared" ca="1" si="94"/>
        <v/>
      </c>
      <c r="DM124" s="245" t="str">
        <f t="shared" ca="1" si="63"/>
        <v/>
      </c>
      <c r="DN124" s="245" t="str">
        <f t="shared" ca="1" si="63"/>
        <v/>
      </c>
      <c r="DO124" s="245" t="str">
        <f t="shared" ca="1" si="63"/>
        <v/>
      </c>
      <c r="DP124" s="245" t="str">
        <f t="shared" ca="1" si="63"/>
        <v/>
      </c>
      <c r="DQ124" s="245" t="str">
        <f t="shared" ca="1" si="63"/>
        <v/>
      </c>
      <c r="DR124" s="244"/>
      <c r="DS124" s="245" t="str">
        <f t="shared" si="105"/>
        <v/>
      </c>
      <c r="DT124" s="245" t="str">
        <f t="shared" si="105"/>
        <v/>
      </c>
      <c r="DU124" s="245" t="str">
        <f t="shared" si="105"/>
        <v/>
      </c>
      <c r="DV124" s="244" t="str">
        <f t="shared" ca="1" si="65"/>
        <v/>
      </c>
      <c r="DW124" s="244"/>
      <c r="DX124" s="244" t="str">
        <f t="shared" ca="1" si="95"/>
        <v/>
      </c>
      <c r="EA124" s="244" t="b">
        <f t="shared" ca="1" si="84"/>
        <v>0</v>
      </c>
      <c r="EB124" s="278" t="e">
        <f ca="1">VLOOKUP(DM124,Foglio1!$AB$31:$AN$261,13)-6+EA124</f>
        <v>#N/A</v>
      </c>
      <c r="EC124" s="244"/>
      <c r="ED124" s="244" t="e">
        <f t="shared" ca="1" si="106"/>
        <v>#N/A</v>
      </c>
      <c r="EE124" s="244" t="e">
        <f t="shared" ca="1" si="106"/>
        <v>#N/A</v>
      </c>
      <c r="EF124" s="244" t="e">
        <f t="shared" ca="1" si="106"/>
        <v>#N/A</v>
      </c>
      <c r="EG124" s="244" t="e">
        <f t="shared" ca="1" si="106"/>
        <v>#N/A</v>
      </c>
      <c r="EH124" s="244" t="e">
        <f t="shared" ca="1" si="106"/>
        <v>#N/A</v>
      </c>
      <c r="EI124" s="244" t="e">
        <f t="shared" ca="1" si="106"/>
        <v>#N/A</v>
      </c>
      <c r="EJ124" s="244" t="e">
        <f t="shared" ca="1" si="106"/>
        <v>#N/A</v>
      </c>
      <c r="EK124" s="244" t="e">
        <f t="shared" ca="1" si="106"/>
        <v>#N/A</v>
      </c>
      <c r="EL124" s="244" t="e">
        <f t="shared" ca="1" si="106"/>
        <v>#N/A</v>
      </c>
      <c r="EM124" s="244" t="e">
        <f t="shared" ca="1" si="106"/>
        <v>#N/A</v>
      </c>
      <c r="EN124" s="244" t="e">
        <f t="shared" ca="1" si="106"/>
        <v>#N/A</v>
      </c>
      <c r="EO124" s="244" t="e">
        <f t="shared" ca="1" si="106"/>
        <v>#N/A</v>
      </c>
      <c r="EP124" s="244" t="e">
        <f t="shared" ca="1" si="106"/>
        <v>#N/A</v>
      </c>
      <c r="EQ124" s="244" t="e">
        <f t="shared" ca="1" si="106"/>
        <v>#N/A</v>
      </c>
      <c r="ER124" s="244"/>
      <c r="EW124" s="244">
        <v>0</v>
      </c>
      <c r="EX124" s="278" t="e">
        <f ca="1">VLOOKUP(DM124,Foglio1!$AB$31:$AN$261,13)-6+EW124</f>
        <v>#N/A</v>
      </c>
      <c r="EY124" s="244"/>
      <c r="EZ124" s="244" t="e">
        <f t="shared" ca="1" si="108"/>
        <v>#N/A</v>
      </c>
      <c r="FA124" s="244" t="e">
        <f t="shared" ca="1" si="109"/>
        <v>#N/A</v>
      </c>
      <c r="FB124" s="244" t="e">
        <f t="shared" ca="1" si="109"/>
        <v>#N/A</v>
      </c>
      <c r="FC124" s="244" t="e">
        <f t="shared" ca="1" si="109"/>
        <v>#N/A</v>
      </c>
      <c r="FD124" s="244" t="e">
        <f t="shared" ca="1" si="109"/>
        <v>#N/A</v>
      </c>
      <c r="FE124" s="244" t="e">
        <f t="shared" ca="1" si="109"/>
        <v>#N/A</v>
      </c>
      <c r="FF124" s="244" t="e">
        <f t="shared" ca="1" si="109"/>
        <v>#N/A</v>
      </c>
      <c r="FG124" s="244" t="e">
        <f t="shared" ca="1" si="109"/>
        <v>#N/A</v>
      </c>
      <c r="FH124" s="244" t="e">
        <f t="shared" ca="1" si="109"/>
        <v>#N/A</v>
      </c>
      <c r="FI124" s="244" t="e">
        <f t="shared" ca="1" si="109"/>
        <v>#N/A</v>
      </c>
      <c r="FJ124" s="244" t="e">
        <f t="shared" ca="1" si="109"/>
        <v>#N/A</v>
      </c>
      <c r="FK124" s="244" t="e">
        <f t="shared" ca="1" si="109"/>
        <v>#N/A</v>
      </c>
      <c r="FL124" s="244" t="e">
        <f t="shared" ca="1" si="109"/>
        <v>#N/A</v>
      </c>
      <c r="FM124" s="244" t="e">
        <f t="shared" ca="1" si="66"/>
        <v>#N/A</v>
      </c>
      <c r="FN124" s="244"/>
    </row>
    <row r="125" spans="5:170" x14ac:dyDescent="0.25">
      <c r="E125" s="244"/>
      <c r="F125" s="244"/>
      <c r="G125" s="244"/>
      <c r="L125">
        <f t="shared" si="87"/>
        <v>125</v>
      </c>
      <c r="R125" s="112">
        <f t="shared" si="67"/>
        <v>0</v>
      </c>
      <c r="S125" s="238" t="e">
        <f t="shared" si="96"/>
        <v>#N/A</v>
      </c>
      <c r="T125" s="112" t="e">
        <f t="shared" ca="1" si="97"/>
        <v>#N/A</v>
      </c>
      <c r="U125" s="112" t="e">
        <f t="shared" ca="1" si="98"/>
        <v>#N/A</v>
      </c>
      <c r="V125" s="112" t="e">
        <f t="shared" ca="1" si="99"/>
        <v>#N/A</v>
      </c>
      <c r="W125" s="112" t="e">
        <f t="shared" ca="1" si="100"/>
        <v>#N/A</v>
      </c>
      <c r="X125" s="112">
        <f t="shared" si="68"/>
        <v>0</v>
      </c>
      <c r="Y125" s="112"/>
      <c r="Z125" s="112"/>
      <c r="AA125" s="112">
        <f t="shared" si="69"/>
        <v>100000</v>
      </c>
      <c r="AB125" s="112" t="e">
        <f t="shared" ca="1" si="70"/>
        <v>#N/A</v>
      </c>
      <c r="AC125" s="112" t="e">
        <f t="shared" ca="1" si="71"/>
        <v>#N/A</v>
      </c>
      <c r="AD125" s="112" t="e">
        <f t="shared" ca="1" si="72"/>
        <v>#N/A</v>
      </c>
      <c r="AE125" s="112" t="e">
        <f t="shared" ca="1" si="73"/>
        <v>#N/A</v>
      </c>
      <c r="AF125" s="112">
        <f t="shared" si="74"/>
        <v>100000</v>
      </c>
      <c r="AG125" s="238">
        <f>AG124+1</f>
        <v>41</v>
      </c>
      <c r="AH125" s="112">
        <f ca="1">INDIRECT(CONCATENATE("AA",AG125))</f>
        <v>100000</v>
      </c>
      <c r="AI125" s="112" t="e">
        <f ca="1">IF(            INDIRECT(CONCATENATE( "AB",AG125))&lt;100000,       INDIRECT(CONCATENATE("AB",AG125))  -1,IF(   INDIRECT(CONCATENATE("AC",AG125))&lt;100000,   INDIRECT(CONCATENATE("AC",AG125))-1,IF(   INDIRECT(CONCATENATE("AD", AG125))&lt;100000, INDIRECT(CONCATENATE("AD",AG125))-1,IF(   INDIRECT(CONCATENATE("AE",AG125))&lt;100000,  INDIRECT(CONCATENATE("AE",G125)),INDIRECT(CONCATENATE("AF",AG125))                ))))</f>
        <v>#N/A</v>
      </c>
      <c r="AJ125" s="114"/>
      <c r="AK125" s="114"/>
      <c r="AL125" s="238" t="e">
        <f t="shared" ca="1" si="88"/>
        <v>#N/A</v>
      </c>
      <c r="AM125" s="112">
        <f t="shared" ca="1" si="107"/>
        <v>100000</v>
      </c>
      <c r="AN125" s="112">
        <f t="shared" ca="1" si="89"/>
        <v>100000</v>
      </c>
      <c r="AO125" s="114">
        <f t="shared" ca="1" si="75"/>
        <v>0</v>
      </c>
      <c r="AP125" s="114">
        <f t="shared" ca="1" si="76"/>
        <v>0</v>
      </c>
      <c r="AQ125" s="112"/>
      <c r="AR125" s="238">
        <f t="shared" si="90"/>
        <v>125</v>
      </c>
      <c r="AS125" s="112"/>
      <c r="AT125" s="112"/>
      <c r="AU125" s="283">
        <f t="shared" si="91"/>
        <v>106</v>
      </c>
      <c r="AV125" s="284">
        <f t="shared" ca="1" si="77"/>
        <v>100000</v>
      </c>
      <c r="AW125" s="284">
        <f t="shared" ca="1" si="104"/>
        <v>100000</v>
      </c>
      <c r="AX125" s="285">
        <f t="shared" ca="1" si="78"/>
        <v>0</v>
      </c>
      <c r="AY125" s="285">
        <f t="shared" ca="1" si="79"/>
        <v>18</v>
      </c>
      <c r="AZ125" s="282"/>
      <c r="BD125" s="114">
        <f t="shared" si="92"/>
        <v>1</v>
      </c>
      <c r="BE125" s="112">
        <f t="shared" si="80"/>
        <v>100000</v>
      </c>
      <c r="BH125" s="238">
        <f t="shared" si="93"/>
        <v>106</v>
      </c>
      <c r="BI125" s="112" t="e">
        <f t="shared" ca="1" si="110"/>
        <v>#N/A</v>
      </c>
      <c r="BJ125" s="281">
        <f t="shared" ca="1" si="64"/>
        <v>16</v>
      </c>
      <c r="BK125" s="245" t="e">
        <f t="shared" ca="1" si="82"/>
        <v>#N/A</v>
      </c>
      <c r="BL125" s="245" t="e">
        <f t="shared" ca="1" si="83"/>
        <v>#N/A</v>
      </c>
      <c r="BN125" s="245" t="e">
        <f t="shared" ca="1" si="102"/>
        <v>#N/A</v>
      </c>
      <c r="CL125" s="112"/>
      <c r="CM125" s="112"/>
      <c r="CP125" s="112"/>
      <c r="CQ125" s="112"/>
      <c r="CR125" s="238"/>
      <c r="CS125" s="238"/>
      <c r="CT125" s="112"/>
      <c r="CU125" s="112"/>
      <c r="CV125" s="112"/>
      <c r="CW125" s="112" t="s">
        <v>224</v>
      </c>
      <c r="CX125" s="112" t="s">
        <v>225</v>
      </c>
      <c r="CY125" s="112" t="s">
        <v>226</v>
      </c>
      <c r="CZ125" s="112" t="s">
        <v>227</v>
      </c>
      <c r="DA125" s="112" t="s">
        <v>228</v>
      </c>
      <c r="DB125" s="112" t="s">
        <v>229</v>
      </c>
      <c r="DC125" s="112"/>
      <c r="DD125" s="238"/>
      <c r="DE125" s="112"/>
      <c r="DF125" s="112"/>
      <c r="DG125" s="112"/>
      <c r="DH125" s="112"/>
      <c r="DI125" s="112"/>
      <c r="DJ125" s="112"/>
      <c r="DK125" s="112"/>
      <c r="DL125" s="278" t="str">
        <f t="shared" ca="1" si="94"/>
        <v/>
      </c>
      <c r="DM125" s="245" t="str">
        <f t="shared" ca="1" si="63"/>
        <v/>
      </c>
      <c r="DN125" s="245" t="str">
        <f t="shared" ca="1" si="63"/>
        <v/>
      </c>
      <c r="DO125" s="245" t="str">
        <f t="shared" ca="1" si="63"/>
        <v/>
      </c>
      <c r="DP125" s="245" t="str">
        <f t="shared" ca="1" si="63"/>
        <v/>
      </c>
      <c r="DQ125" s="245" t="str">
        <f t="shared" ca="1" si="63"/>
        <v/>
      </c>
      <c r="DR125" s="244"/>
      <c r="DS125" s="245" t="str">
        <f t="shared" si="105"/>
        <v/>
      </c>
      <c r="DT125" s="245" t="str">
        <f t="shared" si="105"/>
        <v/>
      </c>
      <c r="DU125" s="245" t="str">
        <f t="shared" si="105"/>
        <v/>
      </c>
      <c r="DV125" s="244" t="str">
        <f t="shared" ca="1" si="65"/>
        <v/>
      </c>
      <c r="DW125" s="244"/>
      <c r="DX125" s="244" t="str">
        <f t="shared" ca="1" si="95"/>
        <v/>
      </c>
      <c r="EA125" s="244" t="b">
        <f t="shared" ca="1" si="84"/>
        <v>0</v>
      </c>
      <c r="EB125" s="278" t="e">
        <f ca="1">VLOOKUP(DM125,Foglio1!$AB$31:$AN$261,13)-6+EA125</f>
        <v>#N/A</v>
      </c>
      <c r="EC125" s="244"/>
      <c r="ED125" s="244" t="e">
        <f t="shared" ca="1" si="106"/>
        <v>#N/A</v>
      </c>
      <c r="EE125" s="244" t="e">
        <f t="shared" ca="1" si="106"/>
        <v>#N/A</v>
      </c>
      <c r="EF125" s="244" t="e">
        <f t="shared" ca="1" si="106"/>
        <v>#N/A</v>
      </c>
      <c r="EG125" s="244" t="e">
        <f t="shared" ca="1" si="106"/>
        <v>#N/A</v>
      </c>
      <c r="EH125" s="244" t="e">
        <f t="shared" ca="1" si="106"/>
        <v>#N/A</v>
      </c>
      <c r="EI125" s="244" t="e">
        <f t="shared" ca="1" si="106"/>
        <v>#N/A</v>
      </c>
      <c r="EJ125" s="244" t="e">
        <f t="shared" ca="1" si="106"/>
        <v>#N/A</v>
      </c>
      <c r="EK125" s="244" t="e">
        <f t="shared" ca="1" si="106"/>
        <v>#N/A</v>
      </c>
      <c r="EL125" s="244" t="e">
        <f t="shared" ca="1" si="106"/>
        <v>#N/A</v>
      </c>
      <c r="EM125" s="244" t="e">
        <f t="shared" ca="1" si="106"/>
        <v>#N/A</v>
      </c>
      <c r="EN125" s="244" t="e">
        <f t="shared" ca="1" si="106"/>
        <v>#N/A</v>
      </c>
      <c r="EO125" s="244" t="e">
        <f t="shared" ca="1" si="106"/>
        <v>#N/A</v>
      </c>
      <c r="EP125" s="244" t="e">
        <f t="shared" ca="1" si="106"/>
        <v>#N/A</v>
      </c>
      <c r="EQ125" s="244" t="e">
        <f t="shared" ca="1" si="106"/>
        <v>#N/A</v>
      </c>
      <c r="ER125" s="244"/>
      <c r="EW125" s="244">
        <v>0</v>
      </c>
      <c r="EX125" s="278" t="e">
        <f ca="1">VLOOKUP(DM125,Foglio1!$AB$31:$AN$261,13)-6+EW125</f>
        <v>#N/A</v>
      </c>
      <c r="EY125" s="244"/>
      <c r="EZ125" s="244" t="e">
        <f t="shared" ca="1" si="108"/>
        <v>#N/A</v>
      </c>
      <c r="FA125" s="244" t="e">
        <f t="shared" ca="1" si="109"/>
        <v>#N/A</v>
      </c>
      <c r="FB125" s="244" t="e">
        <f t="shared" ca="1" si="109"/>
        <v>#N/A</v>
      </c>
      <c r="FC125" s="244" t="e">
        <f t="shared" ca="1" si="109"/>
        <v>#N/A</v>
      </c>
      <c r="FD125" s="244" t="e">
        <f t="shared" ca="1" si="109"/>
        <v>#N/A</v>
      </c>
      <c r="FE125" s="244" t="e">
        <f t="shared" ca="1" si="109"/>
        <v>#N/A</v>
      </c>
      <c r="FF125" s="244" t="e">
        <f t="shared" ca="1" si="109"/>
        <v>#N/A</v>
      </c>
      <c r="FG125" s="244" t="e">
        <f t="shared" ca="1" si="109"/>
        <v>#N/A</v>
      </c>
      <c r="FH125" s="244" t="e">
        <f t="shared" ca="1" si="109"/>
        <v>#N/A</v>
      </c>
      <c r="FI125" s="244" t="e">
        <f t="shared" ca="1" si="109"/>
        <v>#N/A</v>
      </c>
      <c r="FJ125" s="244" t="e">
        <f t="shared" ca="1" si="109"/>
        <v>#N/A</v>
      </c>
      <c r="FK125" s="244" t="e">
        <f t="shared" ca="1" si="109"/>
        <v>#N/A</v>
      </c>
      <c r="FL125" s="244" t="e">
        <f t="shared" ca="1" si="109"/>
        <v>#N/A</v>
      </c>
      <c r="FM125" s="244" t="e">
        <f t="shared" ca="1" si="66"/>
        <v>#N/A</v>
      </c>
      <c r="FN125" s="244"/>
    </row>
    <row r="126" spans="5:170" x14ac:dyDescent="0.25">
      <c r="E126" s="244"/>
      <c r="F126" s="244"/>
      <c r="G126" s="244"/>
      <c r="L126">
        <f t="shared" si="87"/>
        <v>126</v>
      </c>
      <c r="R126" s="112">
        <f t="shared" si="67"/>
        <v>0</v>
      </c>
      <c r="S126" s="238" t="e">
        <f t="shared" si="96"/>
        <v>#N/A</v>
      </c>
      <c r="T126" s="112" t="e">
        <f t="shared" ca="1" si="97"/>
        <v>#N/A</v>
      </c>
      <c r="U126" s="112" t="e">
        <f t="shared" ca="1" si="98"/>
        <v>#N/A</v>
      </c>
      <c r="V126" s="112" t="e">
        <f t="shared" ca="1" si="99"/>
        <v>#N/A</v>
      </c>
      <c r="W126" s="112" t="e">
        <f t="shared" ca="1" si="100"/>
        <v>#N/A</v>
      </c>
      <c r="X126" s="112">
        <f t="shared" si="68"/>
        <v>0</v>
      </c>
      <c r="Y126" s="112"/>
      <c r="Z126" s="112"/>
      <c r="AA126" s="112">
        <f t="shared" si="69"/>
        <v>100000</v>
      </c>
      <c r="AB126" s="112" t="e">
        <f t="shared" ca="1" si="70"/>
        <v>#N/A</v>
      </c>
      <c r="AC126" s="112" t="e">
        <f t="shared" ca="1" si="71"/>
        <v>#N/A</v>
      </c>
      <c r="AD126" s="112" t="e">
        <f t="shared" ca="1" si="72"/>
        <v>#N/A</v>
      </c>
      <c r="AE126" s="112" t="e">
        <f t="shared" ca="1" si="73"/>
        <v>#N/A</v>
      </c>
      <c r="AF126" s="112">
        <f t="shared" si="74"/>
        <v>100000</v>
      </c>
      <c r="AG126" s="238">
        <f>AG125</f>
        <v>41</v>
      </c>
      <c r="AH126" s="112" t="e">
        <f ca="1">AI125+1</f>
        <v>#N/A</v>
      </c>
      <c r="AI126" s="112" t="e">
        <f ca="1">IF(INDIRECT(CONCATENATE("AC",AG125))&lt;100000,INDIRECT(CONCATENATE("AC",AG125))-1,IF(INDIRECT(CONCATENATE("AD",AG125))&lt;100000,INDIRECT(CONCATENATE("AD",AG125))-1,IF(INDIRECT(CONCATENATE("AE",AG125))&lt;100000,INDIRECT(CONCATENATE("AE",G125)),INDIRECT(CONCATENATE("AF",AG125)))))</f>
        <v>#N/A</v>
      </c>
      <c r="AJ126" s="114"/>
      <c r="AK126" s="114"/>
      <c r="AL126" s="238" t="e">
        <f t="shared" ca="1" si="88"/>
        <v>#N/A</v>
      </c>
      <c r="AM126" s="112">
        <f t="shared" ca="1" si="107"/>
        <v>100000</v>
      </c>
      <c r="AN126" s="112">
        <f t="shared" ca="1" si="89"/>
        <v>100000</v>
      </c>
      <c r="AO126" s="114">
        <f t="shared" ca="1" si="75"/>
        <v>0</v>
      </c>
      <c r="AP126" s="114">
        <f t="shared" ca="1" si="76"/>
        <v>0</v>
      </c>
      <c r="AQ126" s="112"/>
      <c r="AR126" s="238">
        <f t="shared" si="90"/>
        <v>126</v>
      </c>
      <c r="AS126" s="112"/>
      <c r="AT126" s="112"/>
      <c r="AU126" s="283">
        <f t="shared" si="91"/>
        <v>107</v>
      </c>
      <c r="AV126" s="284">
        <f t="shared" ca="1" si="77"/>
        <v>100000</v>
      </c>
      <c r="AW126" s="284">
        <f t="shared" ca="1" si="104"/>
        <v>100000</v>
      </c>
      <c r="AX126" s="285">
        <f t="shared" ca="1" si="78"/>
        <v>0</v>
      </c>
      <c r="AY126" s="285">
        <f t="shared" ca="1" si="79"/>
        <v>18</v>
      </c>
      <c r="AZ126" s="282"/>
      <c r="BD126" s="114">
        <f t="shared" si="92"/>
        <v>1</v>
      </c>
      <c r="BE126" s="112">
        <f t="shared" si="80"/>
        <v>100000</v>
      </c>
      <c r="BH126" s="238">
        <f t="shared" si="93"/>
        <v>107</v>
      </c>
      <c r="BI126" s="112">
        <f t="shared" ca="1" si="110"/>
        <v>100000</v>
      </c>
      <c r="BJ126" s="281">
        <f t="shared" ca="1" si="64"/>
        <v>16</v>
      </c>
      <c r="BK126" s="245" t="e">
        <f t="shared" ca="1" si="82"/>
        <v>#N/A</v>
      </c>
      <c r="BL126" s="245" t="e">
        <f t="shared" ca="1" si="83"/>
        <v>#N/A</v>
      </c>
      <c r="BN126" s="245" t="e">
        <f t="shared" ca="1" si="102"/>
        <v>#N/A</v>
      </c>
      <c r="CL126" s="112"/>
      <c r="CM126" s="112"/>
      <c r="CP126" s="112"/>
      <c r="CQ126" s="112"/>
      <c r="CR126" s="238"/>
      <c r="CS126" s="238"/>
      <c r="CT126" s="112"/>
      <c r="CU126" s="112"/>
      <c r="CV126" s="112"/>
      <c r="CW126" s="112" t="s">
        <v>224</v>
      </c>
      <c r="CX126" s="112" t="s">
        <v>225</v>
      </c>
      <c r="CY126" s="112" t="s">
        <v>226</v>
      </c>
      <c r="CZ126" s="112" t="s">
        <v>227</v>
      </c>
      <c r="DA126" s="112" t="s">
        <v>228</v>
      </c>
      <c r="DB126" s="112" t="s">
        <v>229</v>
      </c>
      <c r="DC126" s="112"/>
      <c r="DD126" s="238"/>
      <c r="DE126" s="112"/>
      <c r="DF126" s="112"/>
      <c r="DG126" s="112"/>
      <c r="DH126" s="112"/>
      <c r="DI126" s="112"/>
      <c r="DJ126" s="112"/>
      <c r="DK126" s="112"/>
      <c r="DL126" s="278" t="str">
        <f t="shared" ca="1" si="94"/>
        <v/>
      </c>
      <c r="DM126" s="245" t="str">
        <f t="shared" ca="1" si="63"/>
        <v/>
      </c>
      <c r="DN126" s="245" t="str">
        <f t="shared" ca="1" si="63"/>
        <v/>
      </c>
      <c r="DO126" s="245" t="str">
        <f t="shared" ca="1" si="63"/>
        <v/>
      </c>
      <c r="DP126" s="245" t="str">
        <f t="shared" ca="1" si="63"/>
        <v/>
      </c>
      <c r="DQ126" s="245" t="str">
        <f t="shared" ca="1" si="63"/>
        <v/>
      </c>
      <c r="DR126" s="244"/>
      <c r="DS126" s="245" t="str">
        <f t="shared" si="105"/>
        <v/>
      </c>
      <c r="DT126" s="245" t="str">
        <f t="shared" si="105"/>
        <v/>
      </c>
      <c r="DU126" s="245" t="str">
        <f t="shared" si="105"/>
        <v/>
      </c>
      <c r="DV126" s="244" t="str">
        <f t="shared" ca="1" si="65"/>
        <v/>
      </c>
      <c r="DW126" s="244"/>
      <c r="DX126" s="244" t="str">
        <f t="shared" ca="1" si="95"/>
        <v/>
      </c>
      <c r="EA126" s="244" t="b">
        <f t="shared" ca="1" si="84"/>
        <v>0</v>
      </c>
      <c r="EB126" s="278" t="e">
        <f ca="1">VLOOKUP(DM126,Foglio1!$AB$31:$AN$261,13)-6+EA126</f>
        <v>#N/A</v>
      </c>
      <c r="EC126" s="244"/>
      <c r="ED126" s="244" t="e">
        <f t="shared" ca="1" si="106"/>
        <v>#N/A</v>
      </c>
      <c r="EE126" s="244" t="e">
        <f t="shared" ca="1" si="106"/>
        <v>#N/A</v>
      </c>
      <c r="EF126" s="244" t="e">
        <f t="shared" ca="1" si="106"/>
        <v>#N/A</v>
      </c>
      <c r="EG126" s="244" t="e">
        <f t="shared" ca="1" si="106"/>
        <v>#N/A</v>
      </c>
      <c r="EH126" s="244" t="e">
        <f t="shared" ca="1" si="106"/>
        <v>#N/A</v>
      </c>
      <c r="EI126" s="244" t="e">
        <f t="shared" ca="1" si="106"/>
        <v>#N/A</v>
      </c>
      <c r="EJ126" s="244" t="e">
        <f t="shared" ca="1" si="106"/>
        <v>#N/A</v>
      </c>
      <c r="EK126" s="244" t="e">
        <f t="shared" ca="1" si="106"/>
        <v>#N/A</v>
      </c>
      <c r="EL126" s="244" t="e">
        <f t="shared" ca="1" si="106"/>
        <v>#N/A</v>
      </c>
      <c r="EM126" s="244" t="e">
        <f t="shared" ca="1" si="106"/>
        <v>#N/A</v>
      </c>
      <c r="EN126" s="244" t="e">
        <f t="shared" ca="1" si="106"/>
        <v>#N/A</v>
      </c>
      <c r="EO126" s="244" t="e">
        <f t="shared" ca="1" si="106"/>
        <v>#N/A</v>
      </c>
      <c r="EP126" s="244" t="e">
        <f t="shared" ca="1" si="106"/>
        <v>#N/A</v>
      </c>
      <c r="EQ126" s="244" t="e">
        <f t="shared" ca="1" si="106"/>
        <v>#N/A</v>
      </c>
      <c r="ER126" s="244"/>
      <c r="EW126" s="244">
        <v>0</v>
      </c>
      <c r="EX126" s="278" t="e">
        <f ca="1">VLOOKUP(DM126,Foglio1!$AB$31:$AN$261,13)-6+EW126</f>
        <v>#N/A</v>
      </c>
      <c r="EY126" s="244"/>
      <c r="EZ126" s="244" t="e">
        <f t="shared" ca="1" si="108"/>
        <v>#N/A</v>
      </c>
      <c r="FA126" s="244" t="e">
        <f t="shared" ca="1" si="109"/>
        <v>#N/A</v>
      </c>
      <c r="FB126" s="244" t="e">
        <f t="shared" ca="1" si="109"/>
        <v>#N/A</v>
      </c>
      <c r="FC126" s="244" t="e">
        <f t="shared" ca="1" si="109"/>
        <v>#N/A</v>
      </c>
      <c r="FD126" s="244" t="e">
        <f t="shared" ca="1" si="109"/>
        <v>#N/A</v>
      </c>
      <c r="FE126" s="244" t="e">
        <f t="shared" ca="1" si="109"/>
        <v>#N/A</v>
      </c>
      <c r="FF126" s="244" t="e">
        <f t="shared" ca="1" si="109"/>
        <v>#N/A</v>
      </c>
      <c r="FG126" s="244" t="e">
        <f t="shared" ca="1" si="109"/>
        <v>#N/A</v>
      </c>
      <c r="FH126" s="244" t="e">
        <f t="shared" ca="1" si="109"/>
        <v>#N/A</v>
      </c>
      <c r="FI126" s="244" t="e">
        <f t="shared" ca="1" si="109"/>
        <v>#N/A</v>
      </c>
      <c r="FJ126" s="244" t="e">
        <f t="shared" ca="1" si="109"/>
        <v>#N/A</v>
      </c>
      <c r="FK126" s="244" t="e">
        <f t="shared" ca="1" si="109"/>
        <v>#N/A</v>
      </c>
      <c r="FL126" s="244" t="e">
        <f t="shared" ca="1" si="109"/>
        <v>#N/A</v>
      </c>
      <c r="FM126" s="244" t="e">
        <f t="shared" ca="1" si="66"/>
        <v>#N/A</v>
      </c>
      <c r="FN126" s="244"/>
    </row>
    <row r="127" spans="5:170" x14ac:dyDescent="0.25">
      <c r="E127" s="244"/>
      <c r="F127" s="244"/>
      <c r="G127" s="244"/>
      <c r="L127">
        <f t="shared" si="87"/>
        <v>127</v>
      </c>
      <c r="R127" s="112">
        <f t="shared" si="67"/>
        <v>0</v>
      </c>
      <c r="S127" s="238" t="e">
        <f t="shared" si="96"/>
        <v>#N/A</v>
      </c>
      <c r="T127" s="112" t="e">
        <f t="shared" ca="1" si="97"/>
        <v>#N/A</v>
      </c>
      <c r="U127" s="112" t="e">
        <f t="shared" ca="1" si="98"/>
        <v>#N/A</v>
      </c>
      <c r="V127" s="112" t="e">
        <f t="shared" ca="1" si="99"/>
        <v>#N/A</v>
      </c>
      <c r="W127" s="112" t="e">
        <f t="shared" ca="1" si="100"/>
        <v>#N/A</v>
      </c>
      <c r="X127" s="112">
        <f t="shared" si="68"/>
        <v>0</v>
      </c>
      <c r="Y127" s="112"/>
      <c r="Z127" s="112"/>
      <c r="AA127" s="112">
        <f t="shared" si="69"/>
        <v>100000</v>
      </c>
      <c r="AB127" s="112" t="e">
        <f t="shared" ca="1" si="70"/>
        <v>#N/A</v>
      </c>
      <c r="AC127" s="112" t="e">
        <f t="shared" ca="1" si="71"/>
        <v>#N/A</v>
      </c>
      <c r="AD127" s="112" t="e">
        <f t="shared" ca="1" si="72"/>
        <v>#N/A</v>
      </c>
      <c r="AE127" s="112" t="e">
        <f t="shared" ca="1" si="73"/>
        <v>#N/A</v>
      </c>
      <c r="AF127" s="112">
        <f t="shared" si="74"/>
        <v>100000</v>
      </c>
      <c r="AG127" s="238">
        <f>AG126</f>
        <v>41</v>
      </c>
      <c r="AH127" s="112" t="e">
        <f ca="1">AI126+1</f>
        <v>#N/A</v>
      </c>
      <c r="AI127" s="112" t="e">
        <f ca="1">IF(INDIRECT(CONCATENATE("AD",AG125))&lt;100000,INDIRECT(CONCATENATE("AD",AG125))-1,IF(INDIRECT(CONCATENATE("AE",AG125))&lt;100000,INDIRECT(CONCATENATE("AE",G125)),INDIRECT(CONCATENATE("AF",AG125))))</f>
        <v>#N/A</v>
      </c>
      <c r="AJ127" s="114"/>
      <c r="AK127" s="114"/>
      <c r="AL127" s="238" t="e">
        <f t="shared" ca="1" si="88"/>
        <v>#N/A</v>
      </c>
      <c r="AM127" s="112">
        <f t="shared" ca="1" si="107"/>
        <v>100000</v>
      </c>
      <c r="AN127" s="112">
        <f t="shared" ca="1" si="89"/>
        <v>100000</v>
      </c>
      <c r="AO127" s="114">
        <f t="shared" ca="1" si="75"/>
        <v>0</v>
      </c>
      <c r="AP127" s="114">
        <f t="shared" ca="1" si="76"/>
        <v>0</v>
      </c>
      <c r="AQ127" s="112"/>
      <c r="AR127" s="238">
        <f t="shared" si="90"/>
        <v>127</v>
      </c>
      <c r="AS127" s="112"/>
      <c r="AT127" s="112"/>
      <c r="AU127" s="283">
        <f t="shared" si="91"/>
        <v>108</v>
      </c>
      <c r="AV127" s="284">
        <f t="shared" ca="1" si="77"/>
        <v>100000</v>
      </c>
      <c r="AW127" s="284">
        <f t="shared" ca="1" si="104"/>
        <v>100000</v>
      </c>
      <c r="AX127" s="285">
        <f t="shared" ca="1" si="78"/>
        <v>0</v>
      </c>
      <c r="AY127" s="285">
        <f t="shared" ca="1" si="79"/>
        <v>18</v>
      </c>
      <c r="AZ127" s="282"/>
      <c r="BD127" s="114">
        <f t="shared" si="92"/>
        <v>1</v>
      </c>
      <c r="BE127" s="112">
        <f t="shared" si="80"/>
        <v>100000</v>
      </c>
      <c r="BH127" s="238">
        <f t="shared" si="93"/>
        <v>108</v>
      </c>
      <c r="BI127" s="112">
        <f t="shared" ca="1" si="110"/>
        <v>36892</v>
      </c>
      <c r="BJ127" s="281">
        <f t="shared" ca="1" si="64"/>
        <v>16</v>
      </c>
      <c r="BK127" s="245" t="e">
        <f t="shared" ca="1" si="82"/>
        <v>#N/A</v>
      </c>
      <c r="BL127" s="245" t="e">
        <f t="shared" ca="1" si="83"/>
        <v>#N/A</v>
      </c>
      <c r="BN127" s="245" t="e">
        <f t="shared" ca="1" si="102"/>
        <v>#N/A</v>
      </c>
      <c r="CL127" s="112"/>
      <c r="CM127" s="112"/>
      <c r="CP127" s="112"/>
      <c r="CQ127" s="112"/>
      <c r="CR127" s="238"/>
      <c r="CS127" s="238"/>
      <c r="CT127" s="112"/>
      <c r="CU127" s="112"/>
      <c r="CV127" s="112"/>
      <c r="CW127" s="112" t="s">
        <v>224</v>
      </c>
      <c r="CX127" s="112" t="s">
        <v>225</v>
      </c>
      <c r="CY127" s="112" t="s">
        <v>226</v>
      </c>
      <c r="CZ127" s="112" t="s">
        <v>227</v>
      </c>
      <c r="DA127" s="112" t="s">
        <v>228</v>
      </c>
      <c r="DB127" s="112" t="s">
        <v>229</v>
      </c>
      <c r="DC127" s="112"/>
      <c r="DD127" s="238"/>
      <c r="DE127" s="112"/>
      <c r="DF127" s="112"/>
      <c r="DG127" s="112"/>
      <c r="DH127" s="112"/>
      <c r="DI127" s="112"/>
      <c r="DJ127" s="112"/>
      <c r="DK127" s="112"/>
      <c r="DL127" s="278" t="str">
        <f t="shared" ca="1" si="94"/>
        <v/>
      </c>
      <c r="DM127" s="245" t="str">
        <f t="shared" ca="1" si="63"/>
        <v/>
      </c>
      <c r="DN127" s="245" t="str">
        <f t="shared" ca="1" si="63"/>
        <v/>
      </c>
      <c r="DO127" s="245" t="str">
        <f t="shared" ca="1" si="63"/>
        <v/>
      </c>
      <c r="DP127" s="245" t="str">
        <f t="shared" ca="1" si="63"/>
        <v/>
      </c>
      <c r="DQ127" s="245" t="str">
        <f t="shared" ca="1" si="63"/>
        <v/>
      </c>
      <c r="DR127" s="244"/>
      <c r="DS127" s="245" t="str">
        <f t="shared" si="105"/>
        <v/>
      </c>
      <c r="DT127" s="245" t="str">
        <f t="shared" si="105"/>
        <v/>
      </c>
      <c r="DU127" s="245" t="str">
        <f t="shared" si="105"/>
        <v/>
      </c>
      <c r="DV127" s="244" t="str">
        <f t="shared" ca="1" si="65"/>
        <v/>
      </c>
      <c r="DW127" s="244"/>
      <c r="DX127" s="244" t="str">
        <f t="shared" ca="1" si="95"/>
        <v/>
      </c>
      <c r="EA127" s="244" t="b">
        <f t="shared" ca="1" si="84"/>
        <v>0</v>
      </c>
      <c r="EB127" s="278" t="e">
        <f ca="1">VLOOKUP(DM127,Foglio1!$AB$31:$AN$261,13)-6+EA127</f>
        <v>#N/A</v>
      </c>
      <c r="EC127" s="244"/>
      <c r="ED127" s="244" t="e">
        <f t="shared" ca="1" si="106"/>
        <v>#N/A</v>
      </c>
      <c r="EE127" s="244" t="e">
        <f t="shared" ca="1" si="106"/>
        <v>#N/A</v>
      </c>
      <c r="EF127" s="244" t="e">
        <f t="shared" ca="1" si="106"/>
        <v>#N/A</v>
      </c>
      <c r="EG127" s="244" t="e">
        <f t="shared" ca="1" si="106"/>
        <v>#N/A</v>
      </c>
      <c r="EH127" s="244" t="e">
        <f t="shared" ca="1" si="106"/>
        <v>#N/A</v>
      </c>
      <c r="EI127" s="244" t="e">
        <f t="shared" ca="1" si="106"/>
        <v>#N/A</v>
      </c>
      <c r="EJ127" s="244" t="e">
        <f t="shared" ca="1" si="106"/>
        <v>#N/A</v>
      </c>
      <c r="EK127" s="244" t="e">
        <f t="shared" ca="1" si="106"/>
        <v>#N/A</v>
      </c>
      <c r="EL127" s="244" t="e">
        <f t="shared" ca="1" si="106"/>
        <v>#N/A</v>
      </c>
      <c r="EM127" s="244" t="e">
        <f t="shared" ca="1" si="106"/>
        <v>#N/A</v>
      </c>
      <c r="EN127" s="244" t="e">
        <f t="shared" ca="1" si="106"/>
        <v>#N/A</v>
      </c>
      <c r="EO127" s="244" t="e">
        <f t="shared" ca="1" si="106"/>
        <v>#N/A</v>
      </c>
      <c r="EP127" s="244" t="e">
        <f t="shared" ca="1" si="106"/>
        <v>#N/A</v>
      </c>
      <c r="EQ127" s="244" t="e">
        <f t="shared" ca="1" si="106"/>
        <v>#N/A</v>
      </c>
      <c r="ER127" s="244"/>
      <c r="EW127" s="244">
        <v>0</v>
      </c>
      <c r="EX127" s="278" t="e">
        <f ca="1">VLOOKUP(DM127,Foglio1!$AB$31:$AN$261,13)-6+EW127</f>
        <v>#N/A</v>
      </c>
      <c r="EY127" s="244"/>
      <c r="EZ127" s="244" t="e">
        <f t="shared" ca="1" si="108"/>
        <v>#N/A</v>
      </c>
      <c r="FA127" s="244" t="e">
        <f t="shared" ca="1" si="109"/>
        <v>#N/A</v>
      </c>
      <c r="FB127" s="244" t="e">
        <f t="shared" ca="1" si="109"/>
        <v>#N/A</v>
      </c>
      <c r="FC127" s="244" t="e">
        <f t="shared" ca="1" si="109"/>
        <v>#N/A</v>
      </c>
      <c r="FD127" s="244" t="e">
        <f t="shared" ca="1" si="109"/>
        <v>#N/A</v>
      </c>
      <c r="FE127" s="244" t="e">
        <f t="shared" ca="1" si="109"/>
        <v>#N/A</v>
      </c>
      <c r="FF127" s="244" t="e">
        <f t="shared" ca="1" si="109"/>
        <v>#N/A</v>
      </c>
      <c r="FG127" s="244" t="e">
        <f t="shared" ca="1" si="109"/>
        <v>#N/A</v>
      </c>
      <c r="FH127" s="244" t="e">
        <f t="shared" ca="1" si="109"/>
        <v>#N/A</v>
      </c>
      <c r="FI127" s="244" t="e">
        <f t="shared" ca="1" si="109"/>
        <v>#N/A</v>
      </c>
      <c r="FJ127" s="244" t="e">
        <f t="shared" ca="1" si="109"/>
        <v>#N/A</v>
      </c>
      <c r="FK127" s="244" t="e">
        <f t="shared" ca="1" si="109"/>
        <v>#N/A</v>
      </c>
      <c r="FL127" s="244" t="e">
        <f t="shared" ca="1" si="109"/>
        <v>#N/A</v>
      </c>
      <c r="FM127" s="244" t="e">
        <f t="shared" ca="1" si="66"/>
        <v>#N/A</v>
      </c>
      <c r="FN127" s="244"/>
    </row>
    <row r="128" spans="5:170" x14ac:dyDescent="0.25">
      <c r="E128" s="244"/>
      <c r="F128" s="244"/>
      <c r="G128" s="244"/>
      <c r="L128">
        <f t="shared" si="87"/>
        <v>128</v>
      </c>
      <c r="R128" s="112">
        <f t="shared" si="67"/>
        <v>0</v>
      </c>
      <c r="S128" s="238" t="e">
        <f t="shared" si="96"/>
        <v>#N/A</v>
      </c>
      <c r="T128" s="112" t="e">
        <f t="shared" ca="1" si="97"/>
        <v>#N/A</v>
      </c>
      <c r="U128" s="112" t="e">
        <f t="shared" ca="1" si="98"/>
        <v>#N/A</v>
      </c>
      <c r="V128" s="112" t="e">
        <f t="shared" ca="1" si="99"/>
        <v>#N/A</v>
      </c>
      <c r="W128" s="112" t="e">
        <f t="shared" ca="1" si="100"/>
        <v>#N/A</v>
      </c>
      <c r="X128" s="112">
        <f t="shared" si="68"/>
        <v>0</v>
      </c>
      <c r="Y128" s="112"/>
      <c r="Z128" s="112"/>
      <c r="AA128" s="112">
        <f t="shared" si="69"/>
        <v>100000</v>
      </c>
      <c r="AB128" s="112" t="e">
        <f t="shared" ca="1" si="70"/>
        <v>#N/A</v>
      </c>
      <c r="AC128" s="112" t="e">
        <f t="shared" ca="1" si="71"/>
        <v>#N/A</v>
      </c>
      <c r="AD128" s="112" t="e">
        <f t="shared" ca="1" si="72"/>
        <v>#N/A</v>
      </c>
      <c r="AE128" s="112" t="e">
        <f t="shared" ca="1" si="73"/>
        <v>#N/A</v>
      </c>
      <c r="AF128" s="112">
        <f t="shared" si="74"/>
        <v>100000</v>
      </c>
      <c r="AG128" s="238">
        <f>AG127</f>
        <v>41</v>
      </c>
      <c r="AH128" s="112" t="e">
        <f ca="1">AI127+1</f>
        <v>#N/A</v>
      </c>
      <c r="AI128" s="112" t="e">
        <f ca="1">IF(INDIRECT(CONCATENATE("AE",AG125))&lt;100000,INDIRECT(CONCATENATE("AE",G125)),INDIRECT(CONCATENATE("AF",AG125)))</f>
        <v>#N/A</v>
      </c>
      <c r="AJ128" s="114"/>
      <c r="AK128" s="114"/>
      <c r="AL128" s="238" t="e">
        <f t="shared" ca="1" si="88"/>
        <v>#N/A</v>
      </c>
      <c r="AM128" s="112">
        <f t="shared" ca="1" si="107"/>
        <v>100000</v>
      </c>
      <c r="AN128" s="112">
        <f t="shared" ca="1" si="89"/>
        <v>100000</v>
      </c>
      <c r="AO128" s="114">
        <f t="shared" ca="1" si="75"/>
        <v>0</v>
      </c>
      <c r="AP128" s="114">
        <f t="shared" ca="1" si="76"/>
        <v>0</v>
      </c>
      <c r="AQ128" s="112"/>
      <c r="AR128" s="238">
        <f t="shared" si="90"/>
        <v>128</v>
      </c>
      <c r="AS128" s="112"/>
      <c r="AT128" s="112"/>
      <c r="AU128" s="283">
        <f t="shared" si="91"/>
        <v>109</v>
      </c>
      <c r="AV128" s="284">
        <f t="shared" ca="1" si="77"/>
        <v>100000</v>
      </c>
      <c r="AW128" s="284">
        <f t="shared" ca="1" si="104"/>
        <v>100000</v>
      </c>
      <c r="AX128" s="285">
        <f t="shared" ca="1" si="78"/>
        <v>0</v>
      </c>
      <c r="AY128" s="285">
        <f t="shared" ca="1" si="79"/>
        <v>18</v>
      </c>
      <c r="AZ128" s="282"/>
      <c r="BD128" s="114">
        <f t="shared" si="92"/>
        <v>1</v>
      </c>
      <c r="BE128" s="112">
        <f t="shared" si="80"/>
        <v>100000</v>
      </c>
      <c r="BH128" s="238">
        <f t="shared" si="93"/>
        <v>109</v>
      </c>
      <c r="BI128" s="112">
        <f t="shared" ca="1" si="110"/>
        <v>37257</v>
      </c>
      <c r="BJ128" s="281">
        <f t="shared" ca="1" si="64"/>
        <v>16</v>
      </c>
      <c r="BK128" s="245" t="e">
        <f t="shared" ca="1" si="82"/>
        <v>#N/A</v>
      </c>
      <c r="BL128" s="245" t="e">
        <f t="shared" ca="1" si="83"/>
        <v>#N/A</v>
      </c>
      <c r="BN128" s="245" t="e">
        <f t="shared" ca="1" si="102"/>
        <v>#N/A</v>
      </c>
      <c r="CL128" s="112"/>
      <c r="CM128" s="112"/>
      <c r="CP128" s="112"/>
      <c r="CQ128" s="112"/>
      <c r="CR128" s="112"/>
      <c r="CS128" s="112"/>
      <c r="CT128" s="112"/>
      <c r="CU128" s="112"/>
      <c r="CV128" s="112"/>
      <c r="CW128" s="112" t="s">
        <v>224</v>
      </c>
      <c r="CX128" s="112" t="s">
        <v>225</v>
      </c>
      <c r="CY128" s="112" t="s">
        <v>226</v>
      </c>
      <c r="CZ128" s="112" t="s">
        <v>227</v>
      </c>
      <c r="DA128" s="112" t="s">
        <v>228</v>
      </c>
      <c r="DB128" s="112" t="s">
        <v>229</v>
      </c>
      <c r="DC128" s="112"/>
      <c r="DD128" s="238"/>
      <c r="DE128" s="112"/>
      <c r="DF128" s="112"/>
      <c r="DG128" s="112"/>
      <c r="DH128" s="112"/>
      <c r="DI128" s="112"/>
      <c r="DJ128" s="112"/>
      <c r="DK128" s="112"/>
      <c r="DL128" s="278" t="str">
        <f t="shared" ca="1" si="94"/>
        <v/>
      </c>
      <c r="DM128" s="245" t="str">
        <f t="shared" ca="1" si="63"/>
        <v/>
      </c>
      <c r="DN128" s="245" t="str">
        <f t="shared" ca="1" si="63"/>
        <v/>
      </c>
      <c r="DO128" s="245" t="str">
        <f t="shared" ca="1" si="63"/>
        <v/>
      </c>
      <c r="DP128" s="245" t="str">
        <f t="shared" ca="1" si="63"/>
        <v/>
      </c>
      <c r="DQ128" s="245" t="str">
        <f t="shared" ca="1" si="63"/>
        <v/>
      </c>
      <c r="DR128" s="244"/>
      <c r="DS128" s="245" t="str">
        <f t="shared" si="105"/>
        <v/>
      </c>
      <c r="DT128" s="245" t="str">
        <f t="shared" si="105"/>
        <v/>
      </c>
      <c r="DU128" s="245" t="str">
        <f t="shared" si="105"/>
        <v/>
      </c>
      <c r="DV128" s="244" t="str">
        <f t="shared" ca="1" si="65"/>
        <v/>
      </c>
      <c r="DW128" s="244"/>
      <c r="DX128" s="244" t="str">
        <f t="shared" ca="1" si="95"/>
        <v/>
      </c>
      <c r="EA128" s="244" t="b">
        <f t="shared" ca="1" si="84"/>
        <v>0</v>
      </c>
      <c r="EB128" s="278" t="e">
        <f ca="1">VLOOKUP(DM128,Foglio1!$AB$31:$AN$261,13)-6+EA128</f>
        <v>#N/A</v>
      </c>
      <c r="EC128" s="244"/>
      <c r="ED128" s="244" t="e">
        <f t="shared" ca="1" si="106"/>
        <v>#N/A</v>
      </c>
      <c r="EE128" s="244" t="e">
        <f t="shared" ca="1" si="106"/>
        <v>#N/A</v>
      </c>
      <c r="EF128" s="244" t="e">
        <f t="shared" ca="1" si="106"/>
        <v>#N/A</v>
      </c>
      <c r="EG128" s="244" t="e">
        <f t="shared" ca="1" si="106"/>
        <v>#N/A</v>
      </c>
      <c r="EH128" s="244" t="e">
        <f t="shared" ca="1" si="106"/>
        <v>#N/A</v>
      </c>
      <c r="EI128" s="244" t="e">
        <f t="shared" ca="1" si="106"/>
        <v>#N/A</v>
      </c>
      <c r="EJ128" s="244" t="e">
        <f t="shared" ca="1" si="106"/>
        <v>#N/A</v>
      </c>
      <c r="EK128" s="244" t="e">
        <f t="shared" ca="1" si="106"/>
        <v>#N/A</v>
      </c>
      <c r="EL128" s="244" t="e">
        <f t="shared" ca="1" si="106"/>
        <v>#N/A</v>
      </c>
      <c r="EM128" s="244" t="e">
        <f t="shared" ca="1" si="106"/>
        <v>#N/A</v>
      </c>
      <c r="EN128" s="244" t="e">
        <f t="shared" ca="1" si="106"/>
        <v>#N/A</v>
      </c>
      <c r="EO128" s="244" t="e">
        <f t="shared" ca="1" si="106"/>
        <v>#N/A</v>
      </c>
      <c r="EP128" s="244" t="e">
        <f t="shared" ca="1" si="106"/>
        <v>#N/A</v>
      </c>
      <c r="EQ128" s="244" t="e">
        <f ca="1">INDIRECT(CONCATENATE(EO$16,EO$17,$EB128))</f>
        <v>#N/A</v>
      </c>
      <c r="ER128" s="244"/>
      <c r="EW128" s="244">
        <v>0</v>
      </c>
      <c r="EX128" s="278" t="e">
        <f ca="1">VLOOKUP(DM128,Foglio1!$AB$31:$AN$261,13)-6+EW128</f>
        <v>#N/A</v>
      </c>
      <c r="EY128" s="244"/>
      <c r="EZ128" s="244" t="e">
        <f t="shared" ca="1" si="108"/>
        <v>#N/A</v>
      </c>
      <c r="FA128" s="244" t="e">
        <f t="shared" ca="1" si="109"/>
        <v>#N/A</v>
      </c>
      <c r="FB128" s="244" t="e">
        <f t="shared" ca="1" si="109"/>
        <v>#N/A</v>
      </c>
      <c r="FC128" s="244" t="e">
        <f t="shared" ca="1" si="109"/>
        <v>#N/A</v>
      </c>
      <c r="FD128" s="244" t="e">
        <f t="shared" ca="1" si="109"/>
        <v>#N/A</v>
      </c>
      <c r="FE128" s="244" t="e">
        <f t="shared" ca="1" si="109"/>
        <v>#N/A</v>
      </c>
      <c r="FF128" s="244" t="e">
        <f t="shared" ca="1" si="109"/>
        <v>#N/A</v>
      </c>
      <c r="FG128" s="244" t="e">
        <f t="shared" ca="1" si="109"/>
        <v>#N/A</v>
      </c>
      <c r="FH128" s="244" t="e">
        <f t="shared" ca="1" si="109"/>
        <v>#N/A</v>
      </c>
      <c r="FI128" s="244" t="e">
        <f t="shared" ca="1" si="109"/>
        <v>#N/A</v>
      </c>
      <c r="FJ128" s="244" t="e">
        <f t="shared" ca="1" si="109"/>
        <v>#N/A</v>
      </c>
      <c r="FK128" s="244" t="e">
        <f t="shared" ca="1" si="109"/>
        <v>#N/A</v>
      </c>
      <c r="FL128" s="244" t="e">
        <f t="shared" ca="1" si="109"/>
        <v>#N/A</v>
      </c>
      <c r="FM128" s="244" t="e">
        <f t="shared" ca="1" si="66"/>
        <v>#N/A</v>
      </c>
      <c r="FN128" s="244"/>
    </row>
    <row r="129" spans="5:170" x14ac:dyDescent="0.25">
      <c r="E129" s="244"/>
      <c r="F129" s="244"/>
      <c r="G129" s="244"/>
      <c r="L129">
        <f t="shared" si="87"/>
        <v>129</v>
      </c>
      <c r="R129" s="112">
        <f t="shared" si="67"/>
        <v>0</v>
      </c>
      <c r="S129" s="238" t="e">
        <f t="shared" si="96"/>
        <v>#N/A</v>
      </c>
      <c r="T129" s="112" t="e">
        <f t="shared" ca="1" si="97"/>
        <v>#N/A</v>
      </c>
      <c r="U129" s="112" t="e">
        <f t="shared" ca="1" si="98"/>
        <v>#N/A</v>
      </c>
      <c r="V129" s="112" t="e">
        <f t="shared" ca="1" si="99"/>
        <v>#N/A</v>
      </c>
      <c r="W129" s="112" t="e">
        <f t="shared" ca="1" si="100"/>
        <v>#N/A</v>
      </c>
      <c r="X129" s="112">
        <f t="shared" si="68"/>
        <v>0</v>
      </c>
      <c r="Y129" s="112"/>
      <c r="Z129" s="112"/>
      <c r="AA129" s="112">
        <f t="shared" si="69"/>
        <v>100000</v>
      </c>
      <c r="AB129" s="112" t="e">
        <f t="shared" ca="1" si="70"/>
        <v>#N/A</v>
      </c>
      <c r="AC129" s="112" t="e">
        <f t="shared" ca="1" si="71"/>
        <v>#N/A</v>
      </c>
      <c r="AD129" s="112" t="e">
        <f t="shared" ca="1" si="72"/>
        <v>#N/A</v>
      </c>
      <c r="AE129" s="112" t="e">
        <f t="shared" ca="1" si="73"/>
        <v>#N/A</v>
      </c>
      <c r="AF129" s="112">
        <f t="shared" si="74"/>
        <v>100000</v>
      </c>
      <c r="AG129" s="238">
        <f>AG128</f>
        <v>41</v>
      </c>
      <c r="AH129" s="112" t="e">
        <f ca="1">AI128+1</f>
        <v>#N/A</v>
      </c>
      <c r="AI129" s="112">
        <f ca="1">INDIRECT(CONCATENATE("AF",AG125))</f>
        <v>100000</v>
      </c>
      <c r="AJ129" s="114"/>
      <c r="AK129" s="114"/>
      <c r="AL129" s="238" t="e">
        <f t="shared" ca="1" si="88"/>
        <v>#N/A</v>
      </c>
      <c r="AM129" s="112">
        <f t="shared" ca="1" si="107"/>
        <v>100000</v>
      </c>
      <c r="AN129" s="112">
        <f t="shared" ca="1" si="89"/>
        <v>100000</v>
      </c>
      <c r="AO129" s="114">
        <f t="shared" ca="1" si="75"/>
        <v>0</v>
      </c>
      <c r="AP129" s="114">
        <f t="shared" ca="1" si="76"/>
        <v>0</v>
      </c>
      <c r="AQ129" s="112"/>
      <c r="AR129" s="238">
        <f t="shared" si="90"/>
        <v>129</v>
      </c>
      <c r="AS129" s="112"/>
      <c r="AT129" s="112"/>
      <c r="AU129" s="283">
        <f t="shared" si="91"/>
        <v>110</v>
      </c>
      <c r="AV129" s="284">
        <f t="shared" ca="1" si="77"/>
        <v>100000</v>
      </c>
      <c r="AW129" s="284">
        <f t="shared" ca="1" si="104"/>
        <v>100000</v>
      </c>
      <c r="AX129" s="285">
        <f t="shared" ca="1" si="78"/>
        <v>0</v>
      </c>
      <c r="AY129" s="285">
        <f t="shared" ca="1" si="79"/>
        <v>18</v>
      </c>
      <c r="AZ129" s="282"/>
      <c r="BD129" s="114">
        <f t="shared" si="92"/>
        <v>1</v>
      </c>
      <c r="BE129" s="112">
        <f t="shared" si="80"/>
        <v>100000</v>
      </c>
      <c r="BH129" s="238">
        <f t="shared" si="93"/>
        <v>110</v>
      </c>
      <c r="BI129" s="112">
        <f t="shared" ca="1" si="110"/>
        <v>37411</v>
      </c>
      <c r="BJ129" s="281">
        <f t="shared" ca="1" si="64"/>
        <v>16</v>
      </c>
      <c r="BK129" s="245" t="e">
        <f t="shared" ca="1" si="82"/>
        <v>#N/A</v>
      </c>
      <c r="BL129" s="245" t="e">
        <f t="shared" ca="1" si="83"/>
        <v>#N/A</v>
      </c>
      <c r="BN129" s="245" t="e">
        <f t="shared" ca="1" si="102"/>
        <v>#N/A</v>
      </c>
      <c r="CL129" s="112"/>
      <c r="CM129" s="112"/>
      <c r="CP129" s="112"/>
      <c r="CQ129" s="112"/>
      <c r="CR129" s="112"/>
      <c r="CS129" s="112"/>
      <c r="CT129" s="112"/>
      <c r="CU129" s="112"/>
      <c r="CV129" s="112"/>
      <c r="CW129" s="112" t="s">
        <v>224</v>
      </c>
      <c r="CX129" s="112" t="s">
        <v>225</v>
      </c>
      <c r="CY129" s="112" t="s">
        <v>226</v>
      </c>
      <c r="CZ129" s="112" t="s">
        <v>227</v>
      </c>
      <c r="DA129" s="112" t="s">
        <v>228</v>
      </c>
      <c r="DB129" s="112" t="s">
        <v>229</v>
      </c>
      <c r="DC129" s="112"/>
      <c r="DD129" s="238"/>
      <c r="DE129" s="112"/>
      <c r="DF129" s="112"/>
      <c r="DG129" s="112"/>
      <c r="DH129" s="112"/>
      <c r="DI129" s="112"/>
      <c r="DJ129" s="112"/>
      <c r="DK129" s="112"/>
      <c r="DL129" s="278" t="str">
        <f t="shared" ca="1" si="94"/>
        <v/>
      </c>
      <c r="DM129" s="245" t="str">
        <f t="shared" ca="1" si="63"/>
        <v/>
      </c>
      <c r="DN129" s="245" t="str">
        <f t="shared" ca="1" si="63"/>
        <v/>
      </c>
      <c r="DO129" s="245" t="str">
        <f t="shared" ca="1" si="63"/>
        <v/>
      </c>
      <c r="DP129" s="245" t="str">
        <f t="shared" ca="1" si="63"/>
        <v/>
      </c>
      <c r="DQ129" s="245" t="str">
        <f t="shared" ca="1" si="63"/>
        <v/>
      </c>
      <c r="DR129" s="244"/>
      <c r="DS129" s="245" t="str">
        <f t="shared" si="105"/>
        <v/>
      </c>
      <c r="DT129" s="245" t="str">
        <f t="shared" si="105"/>
        <v/>
      </c>
      <c r="DU129" s="245" t="str">
        <f t="shared" si="105"/>
        <v/>
      </c>
      <c r="DV129" s="244" t="str">
        <f t="shared" ca="1" si="65"/>
        <v/>
      </c>
      <c r="DW129" s="244"/>
      <c r="DX129" s="244" t="e">
        <f t="shared" ref="DX129:DX147" ca="1" si="111">VLOOKUP(DM129,$DL$8:$DM$14,2)</f>
        <v>#N/A</v>
      </c>
      <c r="EA129" s="244"/>
      <c r="EB129" s="244"/>
      <c r="EC129" s="244"/>
      <c r="ED129" s="244"/>
      <c r="EE129" s="244"/>
      <c r="EF129" s="244"/>
      <c r="EG129" s="244"/>
      <c r="EH129" s="244"/>
      <c r="EI129" s="244"/>
      <c r="EJ129" s="244"/>
      <c r="EK129" s="244"/>
      <c r="EL129" s="244"/>
      <c r="EM129" s="244"/>
      <c r="EN129" s="244"/>
      <c r="EO129" s="244"/>
      <c r="EP129" s="244"/>
      <c r="EQ129" s="244"/>
      <c r="ER129" s="244"/>
      <c r="EW129" s="244">
        <v>0</v>
      </c>
      <c r="EX129" s="278" t="e">
        <f ca="1">VLOOKUP(DM129,Foglio1!$AB$31:$AN$261,13)-6+EW129</f>
        <v>#N/A</v>
      </c>
      <c r="EY129" s="244"/>
      <c r="EZ129" s="244" t="e">
        <f t="shared" ca="1" si="108"/>
        <v>#REF!</v>
      </c>
      <c r="FA129" s="244" t="e">
        <f t="shared" ca="1" si="109"/>
        <v>#N/A</v>
      </c>
      <c r="FB129" s="244" t="e">
        <f t="shared" ca="1" si="109"/>
        <v>#N/A</v>
      </c>
      <c r="FC129" s="244" t="e">
        <f t="shared" ca="1" si="109"/>
        <v>#N/A</v>
      </c>
      <c r="FD129" s="244" t="e">
        <f t="shared" ca="1" si="109"/>
        <v>#N/A</v>
      </c>
      <c r="FE129" s="244" t="e">
        <f t="shared" ca="1" si="109"/>
        <v>#N/A</v>
      </c>
      <c r="FF129" s="244" t="e">
        <f t="shared" ca="1" si="109"/>
        <v>#N/A</v>
      </c>
      <c r="FG129" s="244" t="e">
        <f t="shared" ca="1" si="109"/>
        <v>#N/A</v>
      </c>
      <c r="FH129" s="244" t="e">
        <f t="shared" ca="1" si="109"/>
        <v>#N/A</v>
      </c>
      <c r="FI129" s="244" t="e">
        <f t="shared" ca="1" si="109"/>
        <v>#N/A</v>
      </c>
      <c r="FJ129" s="244" t="e">
        <f t="shared" ca="1" si="109"/>
        <v>#N/A</v>
      </c>
      <c r="FK129" s="244" t="e">
        <f t="shared" ca="1" si="109"/>
        <v>#N/A</v>
      </c>
      <c r="FL129" s="244" t="e">
        <f t="shared" ca="1" si="109"/>
        <v>#N/A</v>
      </c>
      <c r="FM129" s="244" t="e">
        <f t="shared" ca="1" si="66"/>
        <v>#REF!</v>
      </c>
      <c r="FN129" s="244"/>
    </row>
    <row r="130" spans="5:170" x14ac:dyDescent="0.25">
      <c r="E130" s="244"/>
      <c r="F130" s="244"/>
      <c r="G130" s="244"/>
      <c r="L130">
        <f t="shared" si="87"/>
        <v>130</v>
      </c>
      <c r="R130" s="112">
        <f t="shared" si="67"/>
        <v>0</v>
      </c>
      <c r="S130" s="238" t="e">
        <f t="shared" si="96"/>
        <v>#N/A</v>
      </c>
      <c r="T130" s="112" t="e">
        <f t="shared" ca="1" si="97"/>
        <v>#N/A</v>
      </c>
      <c r="U130" s="112" t="e">
        <f t="shared" ca="1" si="98"/>
        <v>#N/A</v>
      </c>
      <c r="V130" s="112" t="e">
        <f t="shared" ca="1" si="99"/>
        <v>#N/A</v>
      </c>
      <c r="W130" s="112" t="e">
        <f t="shared" ca="1" si="100"/>
        <v>#N/A</v>
      </c>
      <c r="X130" s="112">
        <f t="shared" si="68"/>
        <v>0</v>
      </c>
      <c r="Y130" s="112"/>
      <c r="Z130" s="112"/>
      <c r="AA130" s="112">
        <f t="shared" si="69"/>
        <v>100000</v>
      </c>
      <c r="AB130" s="112" t="e">
        <f t="shared" ca="1" si="70"/>
        <v>#N/A</v>
      </c>
      <c r="AC130" s="112" t="e">
        <f t="shared" ca="1" si="71"/>
        <v>#N/A</v>
      </c>
      <c r="AD130" s="112" t="e">
        <f t="shared" ca="1" si="72"/>
        <v>#N/A</v>
      </c>
      <c r="AE130" s="112" t="e">
        <f t="shared" ca="1" si="73"/>
        <v>#N/A</v>
      </c>
      <c r="AF130" s="112">
        <f t="shared" si="74"/>
        <v>100000</v>
      </c>
      <c r="AG130" s="238">
        <f>AG129+1</f>
        <v>42</v>
      </c>
      <c r="AH130" s="112">
        <f ca="1">INDIRECT(CONCATENATE("AA",AG130))</f>
        <v>100000</v>
      </c>
      <c r="AI130" s="112" t="e">
        <f ca="1">IF(            INDIRECT(CONCATENATE( "AB",AG130))&lt;100000,       INDIRECT(CONCATENATE("AB",AG130))  -1,IF(   INDIRECT(CONCATENATE("AC",AG130))&lt;100000,   INDIRECT(CONCATENATE("AC",AG130))-1,IF(   INDIRECT(CONCATENATE("AD", AG130))&lt;100000, INDIRECT(CONCATENATE("AD",AG130))-1,IF(   INDIRECT(CONCATENATE("AE",AG130))&lt;100000,  INDIRECT(CONCATENATE("AE",G130)),INDIRECT(CONCATENATE("AF",AG130))                ))))</f>
        <v>#N/A</v>
      </c>
      <c r="AJ130" s="114"/>
      <c r="AK130" s="114"/>
      <c r="AL130" s="238" t="e">
        <f t="shared" ca="1" si="88"/>
        <v>#N/A</v>
      </c>
      <c r="AM130" s="112">
        <f t="shared" ca="1" si="107"/>
        <v>100000</v>
      </c>
      <c r="AN130" s="112">
        <f t="shared" ca="1" si="89"/>
        <v>100000</v>
      </c>
      <c r="AO130" s="114">
        <f t="shared" ca="1" si="75"/>
        <v>0</v>
      </c>
      <c r="AP130" s="114">
        <f t="shared" ca="1" si="76"/>
        <v>0</v>
      </c>
      <c r="AQ130" s="112"/>
      <c r="AR130" s="238">
        <f t="shared" si="90"/>
        <v>130</v>
      </c>
      <c r="AS130" s="112"/>
      <c r="AT130" s="112"/>
      <c r="AU130" s="283">
        <f t="shared" si="91"/>
        <v>111</v>
      </c>
      <c r="AV130" s="284">
        <f t="shared" ca="1" si="77"/>
        <v>100000</v>
      </c>
      <c r="AW130" s="284">
        <f t="shared" ca="1" si="104"/>
        <v>100000</v>
      </c>
      <c r="AX130" s="285">
        <f t="shared" ca="1" si="78"/>
        <v>0</v>
      </c>
      <c r="AY130" s="285">
        <f t="shared" ca="1" si="79"/>
        <v>18</v>
      </c>
      <c r="AZ130" s="282"/>
      <c r="BD130" s="114">
        <f t="shared" si="92"/>
        <v>1</v>
      </c>
      <c r="BE130" s="112">
        <f t="shared" si="80"/>
        <v>100000</v>
      </c>
      <c r="BH130" s="238">
        <f t="shared" si="93"/>
        <v>111</v>
      </c>
      <c r="BI130" s="112">
        <f t="shared" ca="1" si="110"/>
        <v>37622</v>
      </c>
      <c r="BJ130" s="281">
        <f t="shared" ca="1" si="64"/>
        <v>16</v>
      </c>
      <c r="BK130" s="245" t="e">
        <f t="shared" ca="1" si="82"/>
        <v>#N/A</v>
      </c>
      <c r="BL130" s="245" t="e">
        <f t="shared" ca="1" si="83"/>
        <v>#N/A</v>
      </c>
      <c r="BN130" s="245" t="e">
        <f t="shared" ca="1" si="102"/>
        <v>#N/A</v>
      </c>
      <c r="CL130" s="112"/>
      <c r="CM130" s="112"/>
      <c r="CP130" s="112"/>
      <c r="CQ130" s="112"/>
      <c r="CR130" s="112"/>
      <c r="CS130" s="112"/>
      <c r="CT130" s="112"/>
      <c r="CU130" s="112"/>
      <c r="CV130" s="112"/>
      <c r="CW130" s="112" t="s">
        <v>224</v>
      </c>
      <c r="CX130" s="112" t="s">
        <v>225</v>
      </c>
      <c r="CY130" s="112" t="s">
        <v>226</v>
      </c>
      <c r="CZ130" s="112" t="s">
        <v>227</v>
      </c>
      <c r="DA130" s="112" t="s">
        <v>228</v>
      </c>
      <c r="DB130" s="112" t="s">
        <v>229</v>
      </c>
      <c r="DC130" s="112"/>
      <c r="DD130" s="238"/>
      <c r="DE130" s="112"/>
      <c r="DF130" s="112"/>
      <c r="DG130" s="112"/>
      <c r="DH130" s="112"/>
      <c r="DI130" s="112"/>
      <c r="DJ130" s="112"/>
      <c r="DK130" s="112"/>
      <c r="DL130" s="278" t="str">
        <f t="shared" ca="1" si="94"/>
        <v/>
      </c>
      <c r="DM130" s="245" t="str">
        <f t="shared" ca="1" si="63"/>
        <v/>
      </c>
      <c r="DN130" s="245" t="str">
        <f t="shared" ca="1" si="63"/>
        <v/>
      </c>
      <c r="DO130" s="245" t="str">
        <f t="shared" ca="1" si="63"/>
        <v/>
      </c>
      <c r="DP130" s="245" t="str">
        <f t="shared" ca="1" si="63"/>
        <v/>
      </c>
      <c r="DQ130" s="245" t="str">
        <f t="shared" ca="1" si="63"/>
        <v/>
      </c>
      <c r="DR130" s="244"/>
      <c r="DS130" s="245" t="str">
        <f t="shared" si="105"/>
        <v/>
      </c>
      <c r="DT130" s="245" t="str">
        <f t="shared" si="105"/>
        <v/>
      </c>
      <c r="DU130" s="245" t="str">
        <f t="shared" si="105"/>
        <v/>
      </c>
      <c r="DV130" s="244" t="str">
        <f t="shared" ca="1" si="65"/>
        <v/>
      </c>
      <c r="DW130" s="244"/>
      <c r="DX130" s="244" t="e">
        <f t="shared" ca="1" si="111"/>
        <v>#N/A</v>
      </c>
      <c r="EA130" s="244"/>
      <c r="EB130" s="244"/>
      <c r="EC130" s="244"/>
      <c r="ED130" s="244"/>
      <c r="EE130" s="244"/>
      <c r="EF130" s="244"/>
      <c r="EG130" s="244"/>
      <c r="EH130" s="244"/>
      <c r="EI130" s="244"/>
      <c r="EJ130" s="244"/>
      <c r="EK130" s="244"/>
      <c r="EL130" s="244"/>
      <c r="EM130" s="244"/>
      <c r="EN130" s="244"/>
      <c r="EO130" s="244"/>
      <c r="EP130" s="244"/>
      <c r="EQ130" s="244"/>
      <c r="ER130" s="244"/>
      <c r="EW130" s="244">
        <v>0</v>
      </c>
      <c r="EX130" s="278" t="e">
        <f ca="1">VLOOKUP(DM130,Foglio1!$AB$31:$AN$261,13)-6+EW130</f>
        <v>#N/A</v>
      </c>
      <c r="EY130" s="244"/>
      <c r="EZ130" s="244" t="e">
        <f t="shared" ca="1" si="108"/>
        <v>#REF!</v>
      </c>
      <c r="FA130" s="244" t="e">
        <f t="shared" ca="1" si="109"/>
        <v>#N/A</v>
      </c>
      <c r="FB130" s="244" t="e">
        <f t="shared" ca="1" si="109"/>
        <v>#N/A</v>
      </c>
      <c r="FC130" s="244" t="e">
        <f t="shared" ca="1" si="109"/>
        <v>#N/A</v>
      </c>
      <c r="FD130" s="244" t="e">
        <f t="shared" ca="1" si="109"/>
        <v>#N/A</v>
      </c>
      <c r="FE130" s="244" t="e">
        <f t="shared" ca="1" si="109"/>
        <v>#N/A</v>
      </c>
      <c r="FF130" s="244" t="e">
        <f t="shared" ca="1" si="109"/>
        <v>#N/A</v>
      </c>
      <c r="FG130" s="244" t="e">
        <f t="shared" ca="1" si="109"/>
        <v>#N/A</v>
      </c>
      <c r="FH130" s="244" t="e">
        <f t="shared" ca="1" si="109"/>
        <v>#N/A</v>
      </c>
      <c r="FI130" s="244" t="e">
        <f t="shared" ca="1" si="109"/>
        <v>#N/A</v>
      </c>
      <c r="FJ130" s="244" t="e">
        <f t="shared" ca="1" si="109"/>
        <v>#N/A</v>
      </c>
      <c r="FK130" s="244" t="e">
        <f t="shared" ca="1" si="109"/>
        <v>#N/A</v>
      </c>
      <c r="FL130" s="244" t="e">
        <f t="shared" ca="1" si="109"/>
        <v>#N/A</v>
      </c>
      <c r="FM130" s="244" t="e">
        <f t="shared" ca="1" si="66"/>
        <v>#REF!</v>
      </c>
      <c r="FN130" s="244"/>
    </row>
    <row r="131" spans="5:170" x14ac:dyDescent="0.25">
      <c r="E131" s="244"/>
      <c r="F131" s="244"/>
      <c r="G131" s="244"/>
      <c r="L131">
        <f t="shared" si="87"/>
        <v>131</v>
      </c>
      <c r="R131" s="112">
        <f t="shared" si="67"/>
        <v>0</v>
      </c>
      <c r="S131" s="238" t="e">
        <f t="shared" si="96"/>
        <v>#N/A</v>
      </c>
      <c r="T131" s="112" t="e">
        <f t="shared" ca="1" si="97"/>
        <v>#N/A</v>
      </c>
      <c r="U131" s="112" t="e">
        <f t="shared" ca="1" si="98"/>
        <v>#N/A</v>
      </c>
      <c r="V131" s="112" t="e">
        <f t="shared" ca="1" si="99"/>
        <v>#N/A</v>
      </c>
      <c r="W131" s="112" t="e">
        <f t="shared" ca="1" si="100"/>
        <v>#N/A</v>
      </c>
      <c r="X131" s="112">
        <f t="shared" si="68"/>
        <v>0</v>
      </c>
      <c r="Y131" s="112"/>
      <c r="Z131" s="112"/>
      <c r="AA131" s="112">
        <f t="shared" si="69"/>
        <v>100000</v>
      </c>
      <c r="AB131" s="112" t="e">
        <f t="shared" ca="1" si="70"/>
        <v>#N/A</v>
      </c>
      <c r="AC131" s="112" t="e">
        <f t="shared" ca="1" si="71"/>
        <v>#N/A</v>
      </c>
      <c r="AD131" s="112" t="e">
        <f t="shared" ca="1" si="72"/>
        <v>#N/A</v>
      </c>
      <c r="AE131" s="112" t="e">
        <f t="shared" ca="1" si="73"/>
        <v>#N/A</v>
      </c>
      <c r="AF131" s="112">
        <f t="shared" si="74"/>
        <v>100000</v>
      </c>
      <c r="AG131" s="238">
        <f>AG130</f>
        <v>42</v>
      </c>
      <c r="AH131" s="112" t="e">
        <f ca="1">AI130+1</f>
        <v>#N/A</v>
      </c>
      <c r="AI131" s="112" t="e">
        <f ca="1">IF(INDIRECT(CONCATENATE("AC",AG130))&lt;100000,INDIRECT(CONCATENATE("AC",AG130))-1,IF(INDIRECT(CONCATENATE("AD",AG130))&lt;100000,INDIRECT(CONCATENATE("AD",AG130))-1,IF(INDIRECT(CONCATENATE("AE",AG130))&lt;100000,INDIRECT(CONCATENATE("AE",G130)),INDIRECT(CONCATENATE("AF",AG130)))))</f>
        <v>#N/A</v>
      </c>
      <c r="AJ131" s="114"/>
      <c r="AK131" s="114"/>
      <c r="AL131" s="238" t="e">
        <f t="shared" ca="1" si="88"/>
        <v>#N/A</v>
      </c>
      <c r="AM131" s="112">
        <f t="shared" ca="1" si="107"/>
        <v>100000</v>
      </c>
      <c r="AN131" s="112">
        <f t="shared" ca="1" si="89"/>
        <v>100000</v>
      </c>
      <c r="AO131" s="114">
        <f t="shared" ca="1" si="75"/>
        <v>0</v>
      </c>
      <c r="AP131" s="114">
        <f t="shared" ca="1" si="76"/>
        <v>0</v>
      </c>
      <c r="AQ131" s="112"/>
      <c r="AR131" s="238">
        <f t="shared" si="90"/>
        <v>131</v>
      </c>
      <c r="AS131" s="112"/>
      <c r="AT131" s="112"/>
      <c r="AU131" s="283">
        <f t="shared" si="91"/>
        <v>112</v>
      </c>
      <c r="AV131" s="284">
        <f t="shared" ca="1" si="77"/>
        <v>100000</v>
      </c>
      <c r="AW131" s="284">
        <f t="shared" ca="1" si="104"/>
        <v>100000</v>
      </c>
      <c r="AX131" s="285">
        <f t="shared" ca="1" si="78"/>
        <v>0</v>
      </c>
      <c r="AY131" s="285">
        <f t="shared" ca="1" si="79"/>
        <v>18</v>
      </c>
      <c r="AZ131" s="282"/>
      <c r="BD131" s="114">
        <f t="shared" si="92"/>
        <v>1</v>
      </c>
      <c r="BE131" s="112">
        <f t="shared" si="80"/>
        <v>100000</v>
      </c>
      <c r="BH131" s="238">
        <f t="shared" si="93"/>
        <v>112</v>
      </c>
      <c r="BI131" s="112">
        <f t="shared" ca="1" si="110"/>
        <v>100000</v>
      </c>
      <c r="BJ131" s="281">
        <f t="shared" ca="1" si="64"/>
        <v>16</v>
      </c>
      <c r="BK131" s="245" t="e">
        <f t="shared" ca="1" si="82"/>
        <v>#N/A</v>
      </c>
      <c r="BL131" s="245" t="e">
        <f t="shared" ca="1" si="83"/>
        <v>#N/A</v>
      </c>
      <c r="BN131" s="245" t="e">
        <f t="shared" ca="1" si="102"/>
        <v>#N/A</v>
      </c>
      <c r="CL131" s="112"/>
      <c r="CM131" s="112"/>
      <c r="CP131" s="112"/>
      <c r="CQ131" s="112"/>
      <c r="CR131" s="112"/>
      <c r="CS131" s="112"/>
      <c r="CT131" s="112"/>
      <c r="CU131" s="112"/>
      <c r="CV131" s="112"/>
      <c r="CW131" s="112" t="s">
        <v>224</v>
      </c>
      <c r="CX131" s="112" t="s">
        <v>225</v>
      </c>
      <c r="CY131" s="112" t="s">
        <v>226</v>
      </c>
      <c r="CZ131" s="112" t="s">
        <v>227</v>
      </c>
      <c r="DA131" s="112" t="s">
        <v>228</v>
      </c>
      <c r="DB131" s="112" t="s">
        <v>229</v>
      </c>
      <c r="DC131" s="112"/>
      <c r="DD131" s="238"/>
      <c r="DE131" s="112"/>
      <c r="DF131" s="112"/>
      <c r="DG131" s="112"/>
      <c r="DH131" s="112"/>
      <c r="DI131" s="112"/>
      <c r="DJ131" s="112"/>
      <c r="DK131" s="112"/>
      <c r="DL131" s="278" t="str">
        <f t="shared" ca="1" si="94"/>
        <v/>
      </c>
      <c r="DM131" s="245" t="str">
        <f t="shared" ca="1" si="63"/>
        <v/>
      </c>
      <c r="DN131" s="245" t="str">
        <f t="shared" ca="1" si="63"/>
        <v/>
      </c>
      <c r="DO131" s="245" t="str">
        <f t="shared" ca="1" si="63"/>
        <v/>
      </c>
      <c r="DP131" s="245" t="str">
        <f t="shared" ca="1" si="63"/>
        <v/>
      </c>
      <c r="DQ131" s="245" t="str">
        <f t="shared" ca="1" si="63"/>
        <v/>
      </c>
      <c r="DR131" s="244"/>
      <c r="DS131" s="245" t="str">
        <f t="shared" si="105"/>
        <v/>
      </c>
      <c r="DT131" s="245" t="str">
        <f t="shared" si="105"/>
        <v/>
      </c>
      <c r="DU131" s="245" t="str">
        <f t="shared" si="105"/>
        <v/>
      </c>
      <c r="DV131" s="244" t="str">
        <f t="shared" ca="1" si="65"/>
        <v/>
      </c>
      <c r="DW131" s="244"/>
      <c r="DX131" s="244" t="e">
        <f t="shared" ca="1" si="111"/>
        <v>#N/A</v>
      </c>
      <c r="EW131" s="244">
        <v>0</v>
      </c>
      <c r="EX131" s="278" t="e">
        <f ca="1">VLOOKUP(DM131,Foglio1!$AB$31:$AN$261,13)-6+EW131</f>
        <v>#N/A</v>
      </c>
      <c r="EY131" s="244"/>
      <c r="EZ131" s="244" t="e">
        <f t="shared" ca="1" si="108"/>
        <v>#REF!</v>
      </c>
      <c r="FA131" s="244" t="e">
        <f t="shared" ca="1" si="109"/>
        <v>#N/A</v>
      </c>
      <c r="FB131" s="244" t="e">
        <f t="shared" ca="1" si="109"/>
        <v>#N/A</v>
      </c>
      <c r="FC131" s="244" t="e">
        <f t="shared" ca="1" si="109"/>
        <v>#N/A</v>
      </c>
      <c r="FD131" s="244" t="e">
        <f t="shared" ca="1" si="109"/>
        <v>#N/A</v>
      </c>
      <c r="FE131" s="244" t="e">
        <f t="shared" ca="1" si="109"/>
        <v>#N/A</v>
      </c>
      <c r="FF131" s="244" t="e">
        <f t="shared" ca="1" si="109"/>
        <v>#N/A</v>
      </c>
      <c r="FG131" s="244" t="e">
        <f t="shared" ca="1" si="109"/>
        <v>#N/A</v>
      </c>
      <c r="FH131" s="244" t="e">
        <f t="shared" ca="1" si="109"/>
        <v>#N/A</v>
      </c>
      <c r="FI131" s="244" t="e">
        <f t="shared" ca="1" si="109"/>
        <v>#N/A</v>
      </c>
      <c r="FJ131" s="244" t="e">
        <f t="shared" ca="1" si="109"/>
        <v>#N/A</v>
      </c>
      <c r="FK131" s="244" t="e">
        <f t="shared" ca="1" si="109"/>
        <v>#N/A</v>
      </c>
      <c r="FL131" s="244" t="e">
        <f t="shared" ca="1" si="109"/>
        <v>#N/A</v>
      </c>
      <c r="FM131" s="244" t="e">
        <f t="shared" ca="1" si="66"/>
        <v>#REF!</v>
      </c>
      <c r="FN131" s="244"/>
    </row>
    <row r="132" spans="5:170" x14ac:dyDescent="0.25">
      <c r="E132" s="244"/>
      <c r="F132" s="244"/>
      <c r="G132" s="244"/>
      <c r="L132">
        <f t="shared" si="87"/>
        <v>132</v>
      </c>
      <c r="R132" s="112">
        <f t="shared" si="67"/>
        <v>0</v>
      </c>
      <c r="S132" s="238" t="e">
        <f t="shared" si="96"/>
        <v>#N/A</v>
      </c>
      <c r="T132" s="112" t="e">
        <f t="shared" ca="1" si="97"/>
        <v>#N/A</v>
      </c>
      <c r="U132" s="112" t="e">
        <f t="shared" ca="1" si="98"/>
        <v>#N/A</v>
      </c>
      <c r="V132" s="112" t="e">
        <f t="shared" ca="1" si="99"/>
        <v>#N/A</v>
      </c>
      <c r="W132" s="112" t="e">
        <f t="shared" ca="1" si="100"/>
        <v>#N/A</v>
      </c>
      <c r="X132" s="112">
        <f t="shared" si="68"/>
        <v>0</v>
      </c>
      <c r="Y132" s="112"/>
      <c r="Z132" s="112"/>
      <c r="AA132" s="112">
        <f t="shared" si="69"/>
        <v>100000</v>
      </c>
      <c r="AB132" s="112" t="e">
        <f t="shared" ca="1" si="70"/>
        <v>#N/A</v>
      </c>
      <c r="AC132" s="112" t="e">
        <f t="shared" ca="1" si="71"/>
        <v>#N/A</v>
      </c>
      <c r="AD132" s="112" t="e">
        <f t="shared" ca="1" si="72"/>
        <v>#N/A</v>
      </c>
      <c r="AE132" s="112" t="e">
        <f t="shared" ca="1" si="73"/>
        <v>#N/A</v>
      </c>
      <c r="AF132" s="112">
        <f t="shared" si="74"/>
        <v>100000</v>
      </c>
      <c r="AG132" s="238">
        <f>AG131</f>
        <v>42</v>
      </c>
      <c r="AH132" s="112" t="e">
        <f ca="1">AI131+1</f>
        <v>#N/A</v>
      </c>
      <c r="AI132" s="112" t="e">
        <f ca="1">IF(INDIRECT(CONCATENATE("AD",AG130))&lt;100000,INDIRECT(CONCATENATE("AD",AG130))-1,IF(INDIRECT(CONCATENATE("AE",AG130))&lt;100000,INDIRECT(CONCATENATE("AE",G130)),INDIRECT(CONCATENATE("AF",AG130))))</f>
        <v>#N/A</v>
      </c>
      <c r="AJ132" s="114"/>
      <c r="AK132" s="114"/>
      <c r="AL132" s="238" t="e">
        <f t="shared" ca="1" si="88"/>
        <v>#N/A</v>
      </c>
      <c r="AM132" s="112">
        <f t="shared" ca="1" si="107"/>
        <v>100000</v>
      </c>
      <c r="AN132" s="112">
        <f t="shared" ca="1" si="89"/>
        <v>100000</v>
      </c>
      <c r="AO132" s="114">
        <f t="shared" ca="1" si="75"/>
        <v>0</v>
      </c>
      <c r="AP132" s="114">
        <f t="shared" ca="1" si="76"/>
        <v>0</v>
      </c>
      <c r="AQ132" s="112"/>
      <c r="AR132" s="238">
        <f t="shared" si="90"/>
        <v>132</v>
      </c>
      <c r="AS132" s="112"/>
      <c r="AT132" s="112"/>
      <c r="AU132" s="283">
        <f t="shared" si="91"/>
        <v>113</v>
      </c>
      <c r="AV132" s="284">
        <f t="shared" ca="1" si="77"/>
        <v>100000</v>
      </c>
      <c r="AW132" s="284">
        <f t="shared" ca="1" si="104"/>
        <v>100000</v>
      </c>
      <c r="AX132" s="285">
        <f t="shared" ca="1" si="78"/>
        <v>0</v>
      </c>
      <c r="AY132" s="285">
        <f t="shared" ca="1" si="79"/>
        <v>18</v>
      </c>
      <c r="AZ132" s="282"/>
      <c r="BD132" s="114">
        <f t="shared" si="92"/>
        <v>1</v>
      </c>
      <c r="BE132" s="112">
        <f t="shared" si="80"/>
        <v>100000</v>
      </c>
      <c r="BH132" s="238">
        <f t="shared" si="93"/>
        <v>113</v>
      </c>
      <c r="BI132" s="112">
        <f t="shared" ca="1" si="110"/>
        <v>100000</v>
      </c>
      <c r="BK132" s="245" t="e">
        <f t="shared" ca="1" si="82"/>
        <v>#N/A</v>
      </c>
      <c r="BL132" s="245" t="e">
        <f t="shared" ca="1" si="83"/>
        <v>#N/A</v>
      </c>
      <c r="BN132" s="245" t="e">
        <f t="shared" ca="1" si="102"/>
        <v>#N/A</v>
      </c>
      <c r="CL132" s="112"/>
      <c r="CM132" s="112"/>
      <c r="CP132" s="112"/>
      <c r="CQ132" s="112"/>
      <c r="CR132" s="112"/>
      <c r="CS132" s="112"/>
      <c r="CT132" s="112"/>
      <c r="CU132" s="112"/>
      <c r="CV132" s="112"/>
      <c r="CW132" s="112" t="s">
        <v>224</v>
      </c>
      <c r="CX132" s="112" t="s">
        <v>225</v>
      </c>
      <c r="CY132" s="112" t="s">
        <v>226</v>
      </c>
      <c r="CZ132" s="112" t="s">
        <v>227</v>
      </c>
      <c r="DA132" s="112" t="s">
        <v>228</v>
      </c>
      <c r="DB132" s="112" t="s">
        <v>229</v>
      </c>
      <c r="DC132" s="112"/>
      <c r="DD132" s="238"/>
      <c r="DE132" s="112"/>
      <c r="DF132" s="112"/>
      <c r="DG132" s="112"/>
      <c r="DH132" s="112"/>
      <c r="DI132" s="112"/>
      <c r="DJ132" s="112"/>
      <c r="DK132" s="112"/>
      <c r="DL132" s="278" t="str">
        <f t="shared" ca="1" si="94"/>
        <v/>
      </c>
      <c r="DM132" s="245" t="str">
        <f t="shared" ca="1" si="63"/>
        <v/>
      </c>
      <c r="DN132" s="245" t="str">
        <f t="shared" ca="1" si="63"/>
        <v/>
      </c>
      <c r="DO132" s="245" t="str">
        <f t="shared" ca="1" si="63"/>
        <v/>
      </c>
      <c r="DP132" s="245" t="str">
        <f t="shared" ca="1" si="63"/>
        <v/>
      </c>
      <c r="DQ132" s="245" t="str">
        <f t="shared" ca="1" si="63"/>
        <v/>
      </c>
      <c r="DR132" s="244"/>
      <c r="DS132" s="245" t="str">
        <f t="shared" si="105"/>
        <v/>
      </c>
      <c r="DT132" s="245" t="str">
        <f t="shared" si="105"/>
        <v/>
      </c>
      <c r="DU132" s="245" t="str">
        <f t="shared" si="105"/>
        <v/>
      </c>
      <c r="DV132" s="244" t="str">
        <f t="shared" ca="1" si="65"/>
        <v/>
      </c>
      <c r="DW132" s="244"/>
      <c r="DX132" s="244" t="e">
        <f t="shared" ca="1" si="111"/>
        <v>#N/A</v>
      </c>
      <c r="EW132" s="244">
        <v>0</v>
      </c>
      <c r="EX132" s="278" t="e">
        <f ca="1">VLOOKUP(DM132,Foglio1!$AB$31:$AN$261,13)-6+EW132</f>
        <v>#N/A</v>
      </c>
      <c r="EY132" s="244"/>
      <c r="EZ132" s="244" t="e">
        <f t="shared" ca="1" si="108"/>
        <v>#REF!</v>
      </c>
      <c r="FA132" s="244" t="e">
        <f t="shared" ca="1" si="109"/>
        <v>#N/A</v>
      </c>
      <c r="FB132" s="244" t="e">
        <f t="shared" ca="1" si="109"/>
        <v>#N/A</v>
      </c>
      <c r="FC132" s="244" t="e">
        <f t="shared" ca="1" si="109"/>
        <v>#N/A</v>
      </c>
      <c r="FD132" s="244" t="e">
        <f t="shared" ca="1" si="109"/>
        <v>#N/A</v>
      </c>
      <c r="FE132" s="244" t="e">
        <f t="shared" ca="1" si="109"/>
        <v>#N/A</v>
      </c>
      <c r="FF132" s="244" t="e">
        <f t="shared" ca="1" si="109"/>
        <v>#N/A</v>
      </c>
      <c r="FG132" s="244" t="e">
        <f t="shared" ca="1" si="109"/>
        <v>#N/A</v>
      </c>
      <c r="FH132" s="244" t="e">
        <f t="shared" ca="1" si="109"/>
        <v>#N/A</v>
      </c>
      <c r="FI132" s="244" t="e">
        <f t="shared" ca="1" si="109"/>
        <v>#N/A</v>
      </c>
      <c r="FJ132" s="244" t="e">
        <f t="shared" ca="1" si="109"/>
        <v>#N/A</v>
      </c>
      <c r="FK132" s="244" t="e">
        <f t="shared" ca="1" si="109"/>
        <v>#N/A</v>
      </c>
      <c r="FL132" s="244" t="e">
        <f t="shared" ca="1" si="109"/>
        <v>#N/A</v>
      </c>
      <c r="FM132" s="244" t="e">
        <f t="shared" ca="1" si="66"/>
        <v>#REF!</v>
      </c>
      <c r="FN132" s="244"/>
    </row>
    <row r="133" spans="5:170" x14ac:dyDescent="0.25">
      <c r="E133" s="244"/>
      <c r="F133" s="244"/>
      <c r="G133" s="244"/>
      <c r="L133">
        <f t="shared" si="87"/>
        <v>133</v>
      </c>
      <c r="R133" s="112">
        <f t="shared" si="67"/>
        <v>0</v>
      </c>
      <c r="S133" s="238" t="e">
        <f t="shared" si="96"/>
        <v>#N/A</v>
      </c>
      <c r="T133" s="112" t="e">
        <f t="shared" ca="1" si="97"/>
        <v>#N/A</v>
      </c>
      <c r="U133" s="112" t="e">
        <f t="shared" ca="1" si="98"/>
        <v>#N/A</v>
      </c>
      <c r="V133" s="112" t="e">
        <f t="shared" ca="1" si="99"/>
        <v>#N/A</v>
      </c>
      <c r="W133" s="112" t="e">
        <f t="shared" ca="1" si="100"/>
        <v>#N/A</v>
      </c>
      <c r="X133" s="112">
        <f t="shared" si="68"/>
        <v>0</v>
      </c>
      <c r="Y133" s="112"/>
      <c r="Z133" s="112"/>
      <c r="AA133" s="112">
        <f t="shared" si="69"/>
        <v>100000</v>
      </c>
      <c r="AB133" s="112" t="e">
        <f t="shared" ca="1" si="70"/>
        <v>#N/A</v>
      </c>
      <c r="AC133" s="112" t="e">
        <f t="shared" ca="1" si="71"/>
        <v>#N/A</v>
      </c>
      <c r="AD133" s="112" t="e">
        <f t="shared" ca="1" si="72"/>
        <v>#N/A</v>
      </c>
      <c r="AE133" s="112" t="e">
        <f t="shared" ca="1" si="73"/>
        <v>#N/A</v>
      </c>
      <c r="AF133" s="112">
        <f t="shared" si="74"/>
        <v>100000</v>
      </c>
      <c r="AG133" s="238">
        <f>AG132</f>
        <v>42</v>
      </c>
      <c r="AH133" s="112" t="e">
        <f ca="1">AI132+1</f>
        <v>#N/A</v>
      </c>
      <c r="AI133" s="112" t="e">
        <f ca="1">IF(INDIRECT(CONCATENATE("AE",AG130))&lt;100000,INDIRECT(CONCATENATE("AE",G130)),INDIRECT(CONCATENATE("AF",AG130)))</f>
        <v>#N/A</v>
      </c>
      <c r="AJ133" s="114"/>
      <c r="AK133" s="114"/>
      <c r="AL133" s="238" t="e">
        <f t="shared" ca="1" si="88"/>
        <v>#N/A</v>
      </c>
      <c r="AM133" s="112">
        <f t="shared" ca="1" si="107"/>
        <v>100000</v>
      </c>
      <c r="AN133" s="112">
        <f t="shared" ca="1" si="89"/>
        <v>100000</v>
      </c>
      <c r="AO133" s="114">
        <f t="shared" ca="1" si="75"/>
        <v>0</v>
      </c>
      <c r="AP133" s="114">
        <f t="shared" ca="1" si="76"/>
        <v>0</v>
      </c>
      <c r="AQ133" s="112"/>
      <c r="AR133" s="238">
        <f t="shared" si="90"/>
        <v>133</v>
      </c>
      <c r="AS133" s="112"/>
      <c r="AT133" s="112"/>
      <c r="AU133" s="283">
        <f t="shared" si="91"/>
        <v>114</v>
      </c>
      <c r="AV133" s="284">
        <f t="shared" ca="1" si="77"/>
        <v>100000</v>
      </c>
      <c r="AW133" s="284">
        <f t="shared" ca="1" si="104"/>
        <v>100000</v>
      </c>
      <c r="AX133" s="285">
        <f t="shared" ca="1" si="78"/>
        <v>0</v>
      </c>
      <c r="AY133" s="285">
        <f t="shared" ca="1" si="79"/>
        <v>18</v>
      </c>
      <c r="AZ133" s="282"/>
      <c r="BD133" s="114">
        <f t="shared" si="92"/>
        <v>1</v>
      </c>
      <c r="BH133" s="238">
        <f t="shared" si="93"/>
        <v>114</v>
      </c>
      <c r="BI133" s="112">
        <f t="shared" ca="1" si="110"/>
        <v>100000</v>
      </c>
      <c r="BK133" s="245" t="e">
        <f t="shared" ca="1" si="82"/>
        <v>#N/A</v>
      </c>
      <c r="BL133" s="245" t="e">
        <f t="shared" ca="1" si="83"/>
        <v>#N/A</v>
      </c>
      <c r="CL133" s="112"/>
      <c r="CM133" s="112"/>
      <c r="CP133" s="112"/>
      <c r="CQ133" s="112"/>
      <c r="CR133" s="112"/>
      <c r="CS133" s="112"/>
      <c r="CT133" s="112"/>
      <c r="CU133" s="112"/>
      <c r="CV133" s="112"/>
      <c r="CW133" s="112" t="s">
        <v>224</v>
      </c>
      <c r="CX133" s="112" t="s">
        <v>225</v>
      </c>
      <c r="CY133" s="112" t="s">
        <v>226</v>
      </c>
      <c r="CZ133" s="112" t="s">
        <v>227</v>
      </c>
      <c r="DA133" s="112" t="s">
        <v>228</v>
      </c>
      <c r="DB133" s="112" t="s">
        <v>229</v>
      </c>
      <c r="DC133" s="112"/>
      <c r="DD133" s="238"/>
      <c r="DE133" s="112"/>
      <c r="DF133" s="112"/>
      <c r="DG133" s="112"/>
      <c r="DH133" s="112"/>
      <c r="DI133" s="112"/>
      <c r="DJ133" s="112"/>
      <c r="DK133" s="112"/>
      <c r="DL133" s="278" t="str">
        <f t="shared" ca="1" si="94"/>
        <v/>
      </c>
      <c r="DM133" s="245" t="str">
        <f t="shared" ca="1" si="63"/>
        <v/>
      </c>
      <c r="DN133" s="245" t="str">
        <f t="shared" ca="1" si="63"/>
        <v/>
      </c>
      <c r="DO133" s="245" t="str">
        <f t="shared" ca="1" si="63"/>
        <v/>
      </c>
      <c r="DP133" s="245" t="str">
        <f t="shared" ca="1" si="63"/>
        <v/>
      </c>
      <c r="DQ133" s="245" t="str">
        <f t="shared" ca="1" si="63"/>
        <v/>
      </c>
      <c r="DR133" s="244"/>
      <c r="DS133" s="245" t="str">
        <f t="shared" si="105"/>
        <v/>
      </c>
      <c r="DT133" s="245" t="str">
        <f t="shared" si="105"/>
        <v/>
      </c>
      <c r="DU133" s="245" t="str">
        <f t="shared" si="105"/>
        <v/>
      </c>
      <c r="DV133" s="244" t="str">
        <f t="shared" ca="1" si="65"/>
        <v/>
      </c>
      <c r="DW133" s="244"/>
      <c r="DX133" s="244" t="e">
        <f t="shared" ca="1" si="111"/>
        <v>#N/A</v>
      </c>
      <c r="EW133" s="244">
        <v>0</v>
      </c>
      <c r="EX133" s="278" t="e">
        <f ca="1">VLOOKUP(DM133,Foglio1!$AB$31:$AN$261,13)-6+EW133</f>
        <v>#N/A</v>
      </c>
      <c r="EY133" s="244"/>
      <c r="EZ133" s="244" t="e">
        <f t="shared" ca="1" si="108"/>
        <v>#REF!</v>
      </c>
      <c r="FA133" s="244" t="e">
        <f t="shared" ca="1" si="109"/>
        <v>#N/A</v>
      </c>
      <c r="FB133" s="244" t="e">
        <f t="shared" ca="1" si="109"/>
        <v>#N/A</v>
      </c>
      <c r="FC133" s="244" t="e">
        <f t="shared" ca="1" si="109"/>
        <v>#N/A</v>
      </c>
      <c r="FD133" s="244" t="e">
        <f t="shared" ca="1" si="109"/>
        <v>#N/A</v>
      </c>
      <c r="FE133" s="244" t="e">
        <f t="shared" ca="1" si="109"/>
        <v>#N/A</v>
      </c>
      <c r="FF133" s="244" t="e">
        <f t="shared" ca="1" si="109"/>
        <v>#N/A</v>
      </c>
      <c r="FG133" s="244" t="e">
        <f t="shared" ca="1" si="109"/>
        <v>#N/A</v>
      </c>
      <c r="FH133" s="244" t="e">
        <f t="shared" ca="1" si="109"/>
        <v>#N/A</v>
      </c>
      <c r="FI133" s="244" t="e">
        <f t="shared" ca="1" si="109"/>
        <v>#N/A</v>
      </c>
      <c r="FJ133" s="244" t="e">
        <f t="shared" ca="1" si="109"/>
        <v>#N/A</v>
      </c>
      <c r="FK133" s="244" t="e">
        <f t="shared" ca="1" si="109"/>
        <v>#N/A</v>
      </c>
      <c r="FL133" s="244" t="e">
        <f t="shared" ca="1" si="109"/>
        <v>#N/A</v>
      </c>
      <c r="FM133" s="244" t="e">
        <f t="shared" ca="1" si="66"/>
        <v>#REF!</v>
      </c>
      <c r="FN133" s="244"/>
    </row>
    <row r="134" spans="5:170" x14ac:dyDescent="0.25">
      <c r="E134" s="244"/>
      <c r="F134" s="244"/>
      <c r="G134" s="244"/>
      <c r="L134">
        <f t="shared" si="87"/>
        <v>134</v>
      </c>
      <c r="AG134" s="238">
        <f>AG133</f>
        <v>42</v>
      </c>
      <c r="AH134" s="112" t="e">
        <f ca="1">AI133+1</f>
        <v>#N/A</v>
      </c>
      <c r="AI134" s="112">
        <f ca="1">INDIRECT(CONCATENATE("AF",AG130))</f>
        <v>100000</v>
      </c>
      <c r="AJ134" s="114"/>
      <c r="AK134" s="114"/>
      <c r="AL134" s="238" t="e">
        <f t="shared" ca="1" si="88"/>
        <v>#N/A</v>
      </c>
      <c r="AM134" s="112">
        <f t="shared" ca="1" si="107"/>
        <v>100000</v>
      </c>
      <c r="AN134" s="112">
        <f t="shared" ca="1" si="89"/>
        <v>100000</v>
      </c>
      <c r="AO134" s="114">
        <f t="shared" ca="1" si="75"/>
        <v>0</v>
      </c>
      <c r="AP134" s="114">
        <f t="shared" ca="1" si="76"/>
        <v>0</v>
      </c>
      <c r="AR134" s="238">
        <f t="shared" si="90"/>
        <v>134</v>
      </c>
      <c r="AU134" s="283">
        <f t="shared" si="91"/>
        <v>115</v>
      </c>
      <c r="AV134" s="284">
        <f t="shared" ca="1" si="77"/>
        <v>100000</v>
      </c>
      <c r="AW134" s="284">
        <f t="shared" ca="1" si="104"/>
        <v>100000</v>
      </c>
      <c r="AX134" s="285">
        <f t="shared" ca="1" si="78"/>
        <v>0</v>
      </c>
      <c r="AY134" s="285">
        <f t="shared" ca="1" si="79"/>
        <v>18</v>
      </c>
      <c r="AZ134" s="282"/>
      <c r="BD134" s="114">
        <f t="shared" si="92"/>
        <v>1</v>
      </c>
      <c r="BH134" s="238">
        <f t="shared" si="93"/>
        <v>115</v>
      </c>
      <c r="BI134" s="112">
        <f t="shared" ca="1" si="110"/>
        <v>100000</v>
      </c>
      <c r="BK134" s="245" t="e">
        <f t="shared" ca="1" si="82"/>
        <v>#N/A</v>
      </c>
      <c r="BL134" s="245" t="e">
        <f t="shared" ca="1" si="83"/>
        <v>#N/A</v>
      </c>
      <c r="CL134" s="112"/>
      <c r="CM134" s="112"/>
      <c r="CP134" s="112"/>
      <c r="CQ134" s="112"/>
      <c r="CR134" s="112"/>
      <c r="CS134" s="112"/>
      <c r="CT134" s="112"/>
      <c r="CU134" s="112"/>
      <c r="CV134" s="112"/>
      <c r="CW134" s="112" t="s">
        <v>224</v>
      </c>
      <c r="CX134" s="112" t="s">
        <v>225</v>
      </c>
      <c r="CY134" s="112" t="s">
        <v>226</v>
      </c>
      <c r="CZ134" s="112" t="s">
        <v>227</v>
      </c>
      <c r="DA134" s="112" t="s">
        <v>228</v>
      </c>
      <c r="DB134" s="112" t="s">
        <v>229</v>
      </c>
      <c r="DC134" s="112"/>
      <c r="DD134" s="238"/>
      <c r="DE134" s="112"/>
      <c r="DF134" s="112"/>
      <c r="DG134" s="112"/>
      <c r="DH134" s="112"/>
      <c r="DI134" s="112"/>
      <c r="DJ134" s="112"/>
      <c r="DK134" s="112"/>
      <c r="DL134" s="278" t="str">
        <f t="shared" ca="1" si="94"/>
        <v/>
      </c>
      <c r="DM134" s="245" t="str">
        <f t="shared" ref="DM134:DQ142" ca="1" si="112">IF(DL134="","",   AV134)</f>
        <v/>
      </c>
      <c r="DN134" s="245" t="str">
        <f t="shared" ca="1" si="112"/>
        <v/>
      </c>
      <c r="DO134" s="245" t="str">
        <f t="shared" ca="1" si="112"/>
        <v/>
      </c>
      <c r="DP134" s="245" t="str">
        <f t="shared" ca="1" si="112"/>
        <v/>
      </c>
      <c r="DQ134" s="245" t="str">
        <f t="shared" ca="1" si="112"/>
        <v/>
      </c>
      <c r="DR134" s="244"/>
      <c r="DS134" s="245" t="str">
        <f t="shared" si="105"/>
        <v/>
      </c>
      <c r="DT134" s="245" t="str">
        <f t="shared" si="105"/>
        <v/>
      </c>
      <c r="DU134" s="245" t="str">
        <f t="shared" si="105"/>
        <v/>
      </c>
      <c r="DV134" s="244" t="str">
        <f t="shared" ca="1" si="65"/>
        <v/>
      </c>
      <c r="DW134" s="244"/>
      <c r="DX134" s="244" t="e">
        <f t="shared" ca="1" si="111"/>
        <v>#N/A</v>
      </c>
      <c r="EW134" s="244">
        <v>0</v>
      </c>
      <c r="EX134" s="278" t="e">
        <f ca="1">VLOOKUP(DM134,Foglio1!$AB$31:$AN$261,13)-6+EW134</f>
        <v>#N/A</v>
      </c>
      <c r="EY134" s="244"/>
      <c r="EZ134" s="244" t="e">
        <f t="shared" ca="1" si="108"/>
        <v>#REF!</v>
      </c>
      <c r="FA134" s="244" t="e">
        <f t="shared" ca="1" si="109"/>
        <v>#N/A</v>
      </c>
      <c r="FB134" s="244" t="e">
        <f t="shared" ca="1" si="109"/>
        <v>#N/A</v>
      </c>
      <c r="FC134" s="244" t="e">
        <f t="shared" ca="1" si="109"/>
        <v>#N/A</v>
      </c>
      <c r="FD134" s="244" t="e">
        <f t="shared" ca="1" si="109"/>
        <v>#N/A</v>
      </c>
      <c r="FE134" s="244" t="e">
        <f t="shared" ca="1" si="109"/>
        <v>#N/A</v>
      </c>
      <c r="FF134" s="244" t="e">
        <f t="shared" ca="1" si="109"/>
        <v>#N/A</v>
      </c>
      <c r="FG134" s="244" t="e">
        <f t="shared" ca="1" si="109"/>
        <v>#N/A</v>
      </c>
      <c r="FH134" s="244" t="e">
        <f t="shared" ca="1" si="109"/>
        <v>#N/A</v>
      </c>
      <c r="FI134" s="244" t="e">
        <f t="shared" ca="1" si="109"/>
        <v>#N/A</v>
      </c>
      <c r="FJ134" s="244" t="e">
        <f t="shared" ca="1" si="109"/>
        <v>#N/A</v>
      </c>
      <c r="FK134" s="244" t="e">
        <f t="shared" ca="1" si="109"/>
        <v>#N/A</v>
      </c>
      <c r="FL134" s="244" t="e">
        <f t="shared" ca="1" si="109"/>
        <v>#N/A</v>
      </c>
      <c r="FM134" s="244" t="e">
        <f t="shared" ca="1" si="66"/>
        <v>#REF!</v>
      </c>
      <c r="FN134" s="244"/>
    </row>
    <row r="135" spans="5:170" x14ac:dyDescent="0.25">
      <c r="E135" s="244"/>
      <c r="F135" s="244"/>
      <c r="G135" s="244"/>
      <c r="L135">
        <f t="shared" si="87"/>
        <v>135</v>
      </c>
      <c r="AG135" s="238">
        <f>AG134+1</f>
        <v>43</v>
      </c>
      <c r="AH135" s="112">
        <f ca="1">INDIRECT(CONCATENATE("AA",AG135))</f>
        <v>100000</v>
      </c>
      <c r="AI135" s="112" t="e">
        <f ca="1">IF(            INDIRECT(CONCATENATE( "AB",AG135))&lt;100000,       INDIRECT(CONCATENATE("AB",AG135))  -1,IF(   INDIRECT(CONCATENATE("AC",AG135))&lt;100000,   INDIRECT(CONCATENATE("AC",AG135))-1,IF(   INDIRECT(CONCATENATE("AD", AG135))&lt;100000, INDIRECT(CONCATENATE("AD",AG135))-1,IF(   INDIRECT(CONCATENATE("AE",AG135))&lt;100000,  INDIRECT(CONCATENATE("AE",G135)),INDIRECT(CONCATENATE("AF",AG135))                ))))</f>
        <v>#N/A</v>
      </c>
      <c r="AJ135" s="114"/>
      <c r="AK135" s="114"/>
      <c r="AL135" s="238" t="e">
        <f t="shared" ca="1" si="88"/>
        <v>#N/A</v>
      </c>
      <c r="AM135" s="112">
        <f t="shared" ca="1" si="107"/>
        <v>100000</v>
      </c>
      <c r="AN135" s="112">
        <f t="shared" ca="1" si="89"/>
        <v>100000</v>
      </c>
      <c r="AO135" s="114">
        <f t="shared" ca="1" si="75"/>
        <v>0</v>
      </c>
      <c r="AP135" s="114">
        <f t="shared" ca="1" si="76"/>
        <v>0</v>
      </c>
      <c r="AR135" s="238">
        <f t="shared" si="90"/>
        <v>135</v>
      </c>
      <c r="AU135" s="283">
        <f t="shared" si="91"/>
        <v>116</v>
      </c>
      <c r="AV135" s="284">
        <f t="shared" ca="1" si="77"/>
        <v>100000</v>
      </c>
      <c r="AW135" s="284">
        <f t="shared" ca="1" si="104"/>
        <v>100000</v>
      </c>
      <c r="AX135" s="285">
        <f t="shared" ca="1" si="78"/>
        <v>0</v>
      </c>
      <c r="AY135" s="285">
        <f t="shared" ca="1" si="79"/>
        <v>18</v>
      </c>
      <c r="AZ135" s="282"/>
      <c r="BH135" s="238">
        <f t="shared" si="93"/>
        <v>116</v>
      </c>
      <c r="BI135" s="112">
        <f t="shared" ca="1" si="110"/>
        <v>100000</v>
      </c>
      <c r="BK135" s="245" t="e">
        <f t="shared" ca="1" si="82"/>
        <v>#N/A</v>
      </c>
      <c r="BL135" s="245" t="e">
        <f t="shared" ca="1" si="83"/>
        <v>#N/A</v>
      </c>
      <c r="CL135" s="112"/>
      <c r="CM135" s="112"/>
      <c r="CP135" s="112"/>
      <c r="CQ135" s="112"/>
      <c r="CR135" s="112"/>
      <c r="CS135" s="112"/>
      <c r="CT135" s="112"/>
      <c r="CU135" s="112"/>
      <c r="CV135" s="112"/>
      <c r="CW135" s="112" t="s">
        <v>224</v>
      </c>
      <c r="CX135" s="112" t="s">
        <v>225</v>
      </c>
      <c r="CY135" s="112" t="s">
        <v>226</v>
      </c>
      <c r="CZ135" s="112" t="s">
        <v>227</v>
      </c>
      <c r="DA135" s="112" t="s">
        <v>228</v>
      </c>
      <c r="DB135" s="112" t="s">
        <v>229</v>
      </c>
      <c r="DC135" s="112"/>
      <c r="DD135" s="238"/>
      <c r="DE135" s="112"/>
      <c r="DF135" s="112"/>
      <c r="DG135" s="112"/>
      <c r="DH135" s="112"/>
      <c r="DI135" s="112"/>
      <c r="DJ135" s="112"/>
      <c r="DK135" s="112"/>
      <c r="DL135" s="278" t="str">
        <f t="shared" ca="1" si="94"/>
        <v/>
      </c>
      <c r="DM135" s="245" t="str">
        <f t="shared" ca="1" si="112"/>
        <v/>
      </c>
      <c r="DN135" s="245" t="str">
        <f t="shared" ca="1" si="112"/>
        <v/>
      </c>
      <c r="DO135" s="245" t="str">
        <f t="shared" ca="1" si="112"/>
        <v/>
      </c>
      <c r="DP135" s="245" t="str">
        <f t="shared" ca="1" si="112"/>
        <v/>
      </c>
      <c r="DQ135" s="245" t="str">
        <f t="shared" ca="1" si="112"/>
        <v/>
      </c>
      <c r="DR135" s="244"/>
      <c r="DS135" s="245" t="str">
        <f t="shared" si="105"/>
        <v/>
      </c>
      <c r="DT135" s="245" t="str">
        <f t="shared" si="105"/>
        <v/>
      </c>
      <c r="DU135" s="245" t="str">
        <f t="shared" si="105"/>
        <v/>
      </c>
      <c r="DV135" s="244" t="str">
        <f t="shared" ca="1" si="65"/>
        <v/>
      </c>
      <c r="DW135" s="244"/>
      <c r="DX135" s="244" t="e">
        <f t="shared" ca="1" si="111"/>
        <v>#N/A</v>
      </c>
      <c r="EW135" s="244">
        <v>0</v>
      </c>
      <c r="EX135" s="278" t="e">
        <f ca="1">VLOOKUP(DM135,Foglio1!$AB$31:$AN$261,13)-6+EW135</f>
        <v>#N/A</v>
      </c>
      <c r="EY135" s="244"/>
      <c r="EZ135" s="244" t="e">
        <f t="shared" ca="1" si="108"/>
        <v>#REF!</v>
      </c>
      <c r="FA135" s="244" t="e">
        <f t="shared" ca="1" si="109"/>
        <v>#N/A</v>
      </c>
      <c r="FB135" s="244" t="e">
        <f t="shared" ca="1" si="109"/>
        <v>#N/A</v>
      </c>
      <c r="FC135" s="244" t="e">
        <f t="shared" ca="1" si="109"/>
        <v>#N/A</v>
      </c>
      <c r="FD135" s="244" t="e">
        <f t="shared" ca="1" si="109"/>
        <v>#N/A</v>
      </c>
      <c r="FE135" s="244" t="e">
        <f t="shared" ca="1" si="109"/>
        <v>#N/A</v>
      </c>
      <c r="FF135" s="244" t="e">
        <f t="shared" ca="1" si="109"/>
        <v>#N/A</v>
      </c>
      <c r="FG135" s="244" t="e">
        <f t="shared" ca="1" si="109"/>
        <v>#N/A</v>
      </c>
      <c r="FH135" s="244" t="e">
        <f t="shared" ca="1" si="109"/>
        <v>#N/A</v>
      </c>
      <c r="FI135" s="244" t="e">
        <f t="shared" ca="1" si="109"/>
        <v>#N/A</v>
      </c>
      <c r="FJ135" s="244" t="e">
        <f t="shared" ca="1" si="109"/>
        <v>#N/A</v>
      </c>
      <c r="FK135" s="244" t="e">
        <f t="shared" ca="1" si="109"/>
        <v>#N/A</v>
      </c>
      <c r="FL135" s="244" t="e">
        <f t="shared" ca="1" si="109"/>
        <v>#N/A</v>
      </c>
      <c r="FM135" s="244" t="e">
        <f t="shared" ca="1" si="66"/>
        <v>#REF!</v>
      </c>
      <c r="FN135" s="244"/>
    </row>
    <row r="136" spans="5:170" x14ac:dyDescent="0.25">
      <c r="E136" s="244"/>
      <c r="F136" s="244"/>
      <c r="G136" s="244"/>
      <c r="L136">
        <f t="shared" si="87"/>
        <v>136</v>
      </c>
      <c r="AG136" s="238">
        <f>AG135</f>
        <v>43</v>
      </c>
      <c r="AH136" s="112" t="e">
        <f ca="1">AI135+1</f>
        <v>#N/A</v>
      </c>
      <c r="AI136" s="112" t="e">
        <f ca="1">IF(INDIRECT(CONCATENATE("AC",AG135))&lt;100000,INDIRECT(CONCATENATE("AC",AG135))-1,IF(INDIRECT(CONCATENATE("AD",AG135))&lt;100000,INDIRECT(CONCATENATE("AD",AG135))-1,IF(INDIRECT(CONCATENATE("AE",AG135))&lt;100000,INDIRECT(CONCATENATE("AE",G135)),INDIRECT(CONCATENATE("AF",AG135)))))</f>
        <v>#N/A</v>
      </c>
      <c r="AJ136" s="114"/>
      <c r="AK136" s="114"/>
      <c r="AL136" s="238" t="e">
        <f t="shared" ca="1" si="88"/>
        <v>#N/A</v>
      </c>
      <c r="AM136" s="112">
        <f t="shared" ca="1" si="107"/>
        <v>100000</v>
      </c>
      <c r="AN136" s="112">
        <f t="shared" ca="1" si="89"/>
        <v>100000</v>
      </c>
      <c r="AO136" s="114">
        <f t="shared" ca="1" si="75"/>
        <v>0</v>
      </c>
      <c r="AP136" s="114">
        <f t="shared" ca="1" si="76"/>
        <v>0</v>
      </c>
      <c r="AR136" s="238">
        <f t="shared" si="90"/>
        <v>136</v>
      </c>
      <c r="AU136" s="283">
        <f t="shared" si="91"/>
        <v>117</v>
      </c>
      <c r="AV136" s="284">
        <f t="shared" ca="1" si="77"/>
        <v>100000</v>
      </c>
      <c r="AW136" s="284">
        <f t="shared" ca="1" si="104"/>
        <v>100000</v>
      </c>
      <c r="AX136" s="285">
        <f t="shared" ca="1" si="78"/>
        <v>0</v>
      </c>
      <c r="AY136" s="285">
        <f t="shared" ca="1" si="79"/>
        <v>18</v>
      </c>
      <c r="AZ136" s="282"/>
      <c r="BH136" s="238">
        <f t="shared" si="93"/>
        <v>117</v>
      </c>
      <c r="BI136" s="112">
        <f t="shared" ca="1" si="110"/>
        <v>100000</v>
      </c>
      <c r="BK136" s="245" t="e">
        <f t="shared" ca="1" si="82"/>
        <v>#N/A</v>
      </c>
      <c r="BL136" s="245" t="e">
        <f t="shared" ca="1" si="83"/>
        <v>#N/A</v>
      </c>
      <c r="CL136" s="112"/>
      <c r="CM136" s="112"/>
      <c r="CP136" s="112"/>
      <c r="CQ136" s="112"/>
      <c r="CR136" s="112"/>
      <c r="CS136" s="112"/>
      <c r="CT136" s="112"/>
      <c r="CU136" s="112"/>
      <c r="CV136" s="112"/>
      <c r="CW136" s="112" t="s">
        <v>224</v>
      </c>
      <c r="CX136" s="112" t="s">
        <v>225</v>
      </c>
      <c r="CY136" s="112" t="s">
        <v>226</v>
      </c>
      <c r="CZ136" s="112" t="s">
        <v>227</v>
      </c>
      <c r="DA136" s="112" t="s">
        <v>228</v>
      </c>
      <c r="DB136" s="112" t="s">
        <v>229</v>
      </c>
      <c r="DC136" s="112"/>
      <c r="DD136" s="238"/>
      <c r="DE136" s="112"/>
      <c r="DF136" s="112"/>
      <c r="DG136" s="112"/>
      <c r="DH136" s="112"/>
      <c r="DI136" s="112"/>
      <c r="DJ136" s="112"/>
      <c r="DK136" s="112"/>
      <c r="DL136" s="278" t="str">
        <f t="shared" ca="1" si="94"/>
        <v/>
      </c>
      <c r="DM136" s="245" t="str">
        <f t="shared" ca="1" si="112"/>
        <v/>
      </c>
      <c r="DN136" s="245" t="str">
        <f t="shared" ca="1" si="112"/>
        <v/>
      </c>
      <c r="DO136" s="245" t="str">
        <f t="shared" ca="1" si="112"/>
        <v/>
      </c>
      <c r="DP136" s="245" t="str">
        <f t="shared" ca="1" si="112"/>
        <v/>
      </c>
      <c r="DQ136" s="245" t="str">
        <f t="shared" ca="1" si="112"/>
        <v/>
      </c>
      <c r="DR136" s="244"/>
      <c r="DS136" s="245" t="str">
        <f t="shared" si="105"/>
        <v/>
      </c>
      <c r="DT136" s="245" t="str">
        <f t="shared" si="105"/>
        <v/>
      </c>
      <c r="DU136" s="245" t="str">
        <f t="shared" si="105"/>
        <v/>
      </c>
      <c r="DV136" s="244" t="str">
        <f t="shared" ca="1" si="65"/>
        <v/>
      </c>
      <c r="DW136" s="244"/>
      <c r="DX136" s="244" t="e">
        <f t="shared" ca="1" si="111"/>
        <v>#N/A</v>
      </c>
      <c r="EW136" s="244">
        <v>0</v>
      </c>
      <c r="EX136" s="278" t="e">
        <f ca="1">VLOOKUP(DM136,Foglio1!$AB$31:$AN$261,13)-6+EW136</f>
        <v>#N/A</v>
      </c>
      <c r="EY136" s="244"/>
      <c r="EZ136" s="244" t="e">
        <f t="shared" ca="1" si="108"/>
        <v>#REF!</v>
      </c>
      <c r="FA136" s="244" t="e">
        <f t="shared" ca="1" si="109"/>
        <v>#N/A</v>
      </c>
      <c r="FB136" s="244" t="e">
        <f t="shared" ca="1" si="109"/>
        <v>#N/A</v>
      </c>
      <c r="FC136" s="244" t="e">
        <f t="shared" ca="1" si="109"/>
        <v>#N/A</v>
      </c>
      <c r="FD136" s="244" t="e">
        <f t="shared" ca="1" si="109"/>
        <v>#N/A</v>
      </c>
      <c r="FE136" s="244" t="e">
        <f t="shared" ca="1" si="109"/>
        <v>#N/A</v>
      </c>
      <c r="FF136" s="244" t="e">
        <f t="shared" ca="1" si="109"/>
        <v>#N/A</v>
      </c>
      <c r="FG136" s="244" t="e">
        <f t="shared" ca="1" si="109"/>
        <v>#N/A</v>
      </c>
      <c r="FH136" s="244" t="e">
        <f t="shared" ca="1" si="109"/>
        <v>#N/A</v>
      </c>
      <c r="FI136" s="244" t="e">
        <f t="shared" ca="1" si="109"/>
        <v>#N/A</v>
      </c>
      <c r="FJ136" s="244" t="e">
        <f t="shared" ca="1" si="109"/>
        <v>#N/A</v>
      </c>
      <c r="FK136" s="244" t="e">
        <f t="shared" ca="1" si="109"/>
        <v>#N/A</v>
      </c>
      <c r="FL136" s="244" t="e">
        <f t="shared" ca="1" si="109"/>
        <v>#N/A</v>
      </c>
      <c r="FM136" s="244" t="e">
        <f t="shared" ca="1" si="66"/>
        <v>#REF!</v>
      </c>
      <c r="FN136" s="244"/>
    </row>
    <row r="137" spans="5:170" x14ac:dyDescent="0.25">
      <c r="E137" s="244"/>
      <c r="F137" s="244"/>
      <c r="G137" s="244"/>
      <c r="L137">
        <f t="shared" si="87"/>
        <v>137</v>
      </c>
      <c r="AG137" s="238">
        <f>AG136</f>
        <v>43</v>
      </c>
      <c r="AH137" s="112" t="e">
        <f ca="1">AI136+1</f>
        <v>#N/A</v>
      </c>
      <c r="AI137" s="112" t="e">
        <f ca="1">IF(INDIRECT(CONCATENATE("AD",AG135))&lt;100000,INDIRECT(CONCATENATE("AD",AG135))-1,IF(INDIRECT(CONCATENATE("AE",AG135))&lt;100000,INDIRECT(CONCATENATE("AE",G135)),INDIRECT(CONCATENATE("AF",AG135))))</f>
        <v>#N/A</v>
      </c>
      <c r="AJ137" s="114"/>
      <c r="AK137" s="114"/>
      <c r="AL137" s="238" t="e">
        <f t="shared" ca="1" si="88"/>
        <v>#N/A</v>
      </c>
      <c r="AM137" s="112">
        <f t="shared" ca="1" si="107"/>
        <v>100000</v>
      </c>
      <c r="AN137" s="112">
        <f t="shared" ca="1" si="89"/>
        <v>100000</v>
      </c>
      <c r="AO137" s="114">
        <f t="shared" ca="1" si="75"/>
        <v>0</v>
      </c>
      <c r="AP137" s="114">
        <f t="shared" ca="1" si="76"/>
        <v>0</v>
      </c>
      <c r="AR137" s="238">
        <f t="shared" si="90"/>
        <v>137</v>
      </c>
      <c r="AU137" s="283">
        <f t="shared" si="91"/>
        <v>118</v>
      </c>
      <c r="AV137" s="284">
        <f t="shared" ca="1" si="77"/>
        <v>100000</v>
      </c>
      <c r="AW137" s="284">
        <f t="shared" ca="1" si="104"/>
        <v>100000</v>
      </c>
      <c r="AX137" s="285">
        <f t="shared" ca="1" si="78"/>
        <v>0</v>
      </c>
      <c r="AY137" s="285">
        <f t="shared" ca="1" si="79"/>
        <v>18</v>
      </c>
      <c r="AZ137" s="282"/>
      <c r="BH137" s="238">
        <f t="shared" si="93"/>
        <v>118</v>
      </c>
      <c r="BI137" s="112">
        <f t="shared" ca="1" si="110"/>
        <v>39447</v>
      </c>
      <c r="BK137" s="245" t="e">
        <f t="shared" ca="1" si="82"/>
        <v>#N/A</v>
      </c>
      <c r="BL137" s="245" t="e">
        <f t="shared" ca="1" si="83"/>
        <v>#N/A</v>
      </c>
      <c r="CL137" s="112"/>
      <c r="CM137" s="112"/>
      <c r="CP137" s="112"/>
      <c r="CQ137" s="112"/>
      <c r="CR137" s="112"/>
      <c r="CS137" s="112"/>
      <c r="CT137" s="112"/>
      <c r="CU137" s="112"/>
      <c r="CV137" s="112"/>
      <c r="CW137" s="112" t="s">
        <v>224</v>
      </c>
      <c r="CX137" s="112" t="s">
        <v>225</v>
      </c>
      <c r="CY137" s="112" t="s">
        <v>226</v>
      </c>
      <c r="CZ137" s="112" t="s">
        <v>227</v>
      </c>
      <c r="DA137" s="112" t="s">
        <v>228</v>
      </c>
      <c r="DB137" s="112" t="s">
        <v>229</v>
      </c>
      <c r="DC137" s="112"/>
      <c r="DD137" s="238"/>
      <c r="DE137" s="112"/>
      <c r="DF137" s="112"/>
      <c r="DG137" s="112"/>
      <c r="DH137" s="112"/>
      <c r="DI137" s="112"/>
      <c r="DJ137" s="112"/>
      <c r="DK137" s="112"/>
      <c r="DL137" s="278" t="str">
        <f t="shared" ca="1" si="94"/>
        <v/>
      </c>
      <c r="DM137" s="245" t="str">
        <f t="shared" ca="1" si="112"/>
        <v/>
      </c>
      <c r="DN137" s="245" t="str">
        <f t="shared" ca="1" si="112"/>
        <v/>
      </c>
      <c r="DO137" s="245" t="str">
        <f t="shared" ca="1" si="112"/>
        <v/>
      </c>
      <c r="DP137" s="245" t="str">
        <f t="shared" ca="1" si="112"/>
        <v/>
      </c>
      <c r="DQ137" s="245" t="str">
        <f t="shared" ca="1" si="112"/>
        <v/>
      </c>
      <c r="DR137" s="244"/>
      <c r="DS137" s="245" t="str">
        <f t="shared" si="105"/>
        <v/>
      </c>
      <c r="DT137" s="245" t="str">
        <f t="shared" si="105"/>
        <v/>
      </c>
      <c r="DU137" s="245" t="str">
        <f t="shared" si="105"/>
        <v/>
      </c>
      <c r="DV137" s="244" t="str">
        <f t="shared" ca="1" si="65"/>
        <v/>
      </c>
      <c r="DW137" s="244"/>
      <c r="DX137" s="244" t="e">
        <f t="shared" ca="1" si="111"/>
        <v>#N/A</v>
      </c>
      <c r="EW137" s="244">
        <v>0</v>
      </c>
      <c r="EX137" s="278" t="e">
        <f ca="1">VLOOKUP(DM137,Foglio1!$AB$31:$AN$261,13)-6+EW137</f>
        <v>#N/A</v>
      </c>
      <c r="EY137" s="244"/>
      <c r="EZ137" s="244" t="e">
        <f t="shared" ca="1" si="108"/>
        <v>#REF!</v>
      </c>
      <c r="FA137" s="244" t="e">
        <f t="shared" ca="1" si="109"/>
        <v>#N/A</v>
      </c>
      <c r="FB137" s="244" t="e">
        <f t="shared" ca="1" si="109"/>
        <v>#N/A</v>
      </c>
      <c r="FC137" s="244" t="e">
        <f t="shared" ca="1" si="109"/>
        <v>#N/A</v>
      </c>
      <c r="FD137" s="244" t="e">
        <f t="shared" ca="1" si="109"/>
        <v>#N/A</v>
      </c>
      <c r="FE137" s="244" t="e">
        <f t="shared" ca="1" si="109"/>
        <v>#N/A</v>
      </c>
      <c r="FF137" s="244" t="e">
        <f t="shared" ca="1" si="109"/>
        <v>#N/A</v>
      </c>
      <c r="FG137" s="244" t="e">
        <f t="shared" ca="1" si="109"/>
        <v>#N/A</v>
      </c>
      <c r="FH137" s="244" t="e">
        <f t="shared" ca="1" si="109"/>
        <v>#N/A</v>
      </c>
      <c r="FI137" s="244" t="e">
        <f t="shared" ca="1" si="109"/>
        <v>#N/A</v>
      </c>
      <c r="FJ137" s="244" t="e">
        <f t="shared" ca="1" si="109"/>
        <v>#N/A</v>
      </c>
      <c r="FK137" s="244" t="e">
        <f t="shared" ca="1" si="109"/>
        <v>#N/A</v>
      </c>
      <c r="FL137" s="244" t="e">
        <f t="shared" ca="1" si="109"/>
        <v>#N/A</v>
      </c>
      <c r="FM137" s="244" t="e">
        <f t="shared" ca="1" si="66"/>
        <v>#REF!</v>
      </c>
      <c r="FN137" s="244"/>
    </row>
    <row r="138" spans="5:170" x14ac:dyDescent="0.25">
      <c r="E138" s="244"/>
      <c r="F138" s="244"/>
      <c r="G138" s="244"/>
      <c r="L138">
        <f t="shared" si="87"/>
        <v>138</v>
      </c>
      <c r="AG138" s="238">
        <f>AG137</f>
        <v>43</v>
      </c>
      <c r="AH138" s="112" t="e">
        <f ca="1">AI137+1</f>
        <v>#N/A</v>
      </c>
      <c r="AI138" s="112" t="e">
        <f ca="1">IF(INDIRECT(CONCATENATE("AE",AG135))&lt;100000,INDIRECT(CONCATENATE("AE",G135)),INDIRECT(CONCATENATE("AF",AG135)))</f>
        <v>#N/A</v>
      </c>
      <c r="AJ138" s="114"/>
      <c r="AK138" s="114"/>
      <c r="AL138" s="238" t="e">
        <f t="shared" ca="1" si="88"/>
        <v>#N/A</v>
      </c>
      <c r="AM138" s="112">
        <f t="shared" ca="1" si="107"/>
        <v>100000</v>
      </c>
      <c r="AN138" s="112">
        <f t="shared" ca="1" si="89"/>
        <v>100000</v>
      </c>
      <c r="AO138" s="114">
        <f t="shared" ca="1" si="75"/>
        <v>0</v>
      </c>
      <c r="AP138" s="114">
        <f t="shared" ca="1" si="76"/>
        <v>0</v>
      </c>
      <c r="AR138" s="238">
        <f t="shared" si="90"/>
        <v>138</v>
      </c>
      <c r="AU138" s="283">
        <f t="shared" si="91"/>
        <v>119</v>
      </c>
      <c r="AV138" s="284">
        <f t="shared" ca="1" si="77"/>
        <v>100000</v>
      </c>
      <c r="AW138" s="284">
        <f t="shared" ref="AW138:AW152" ca="1" si="113">VLOOKUP(AV138,$AM$20:$AP$564,2,FALSE)</f>
        <v>100000</v>
      </c>
      <c r="AX138" s="285">
        <f t="shared" ref="AX138:AX152" ca="1" si="114">VLOOKUP(AV138,$AM$20:$AP$564,3,FALSE)</f>
        <v>10</v>
      </c>
      <c r="AY138" s="285">
        <f t="shared" ca="1" si="79"/>
        <v>18</v>
      </c>
      <c r="AZ138" s="282"/>
      <c r="BH138" s="238">
        <f t="shared" si="93"/>
        <v>119</v>
      </c>
      <c r="BI138" s="112">
        <f t="shared" ca="1" si="110"/>
        <v>100000</v>
      </c>
      <c r="BK138" s="245" t="e">
        <f t="shared" ca="1" si="82"/>
        <v>#N/A</v>
      </c>
      <c r="BL138" s="245" t="e">
        <f t="shared" ca="1" si="83"/>
        <v>#N/A</v>
      </c>
      <c r="CL138" s="112"/>
      <c r="CM138" s="112"/>
      <c r="CP138" s="112"/>
      <c r="CQ138" s="112"/>
      <c r="CR138" s="112"/>
      <c r="CS138" s="112"/>
      <c r="CT138" s="112"/>
      <c r="CU138" s="112"/>
      <c r="CV138" s="112"/>
      <c r="CW138" s="112" t="s">
        <v>224</v>
      </c>
      <c r="CX138" s="112" t="s">
        <v>225</v>
      </c>
      <c r="CY138" s="112" t="s">
        <v>226</v>
      </c>
      <c r="CZ138" s="112" t="s">
        <v>227</v>
      </c>
      <c r="DA138" s="112" t="s">
        <v>228</v>
      </c>
      <c r="DB138" s="112" t="s">
        <v>229</v>
      </c>
      <c r="DC138" s="112"/>
      <c r="DD138" s="238"/>
      <c r="DE138" s="112"/>
      <c r="DF138" s="112"/>
      <c r="DG138" s="112"/>
      <c r="DH138" s="112"/>
      <c r="DI138" s="112"/>
      <c r="DJ138" s="112"/>
      <c r="DK138" s="112"/>
      <c r="DL138" s="278" t="str">
        <f t="shared" ca="1" si="94"/>
        <v/>
      </c>
      <c r="DM138" s="245" t="str">
        <f t="shared" ca="1" si="112"/>
        <v/>
      </c>
      <c r="DN138" s="245" t="str">
        <f t="shared" ca="1" si="112"/>
        <v/>
      </c>
      <c r="DO138" s="245" t="str">
        <f t="shared" ca="1" si="112"/>
        <v/>
      </c>
      <c r="DP138" s="245" t="str">
        <f t="shared" ca="1" si="112"/>
        <v/>
      </c>
      <c r="DQ138" s="245" t="str">
        <f t="shared" ca="1" si="112"/>
        <v/>
      </c>
      <c r="DR138" s="244"/>
      <c r="DS138" s="245" t="str">
        <f t="shared" si="105"/>
        <v/>
      </c>
      <c r="DT138" s="245" t="str">
        <f t="shared" si="105"/>
        <v/>
      </c>
      <c r="DU138" s="245" t="str">
        <f t="shared" si="105"/>
        <v/>
      </c>
      <c r="DV138" s="244" t="str">
        <f t="shared" ca="1" si="65"/>
        <v/>
      </c>
      <c r="DW138" s="244"/>
      <c r="DX138" s="244" t="e">
        <f t="shared" ca="1" si="111"/>
        <v>#N/A</v>
      </c>
      <c r="EW138" s="244">
        <v>0</v>
      </c>
      <c r="EX138" s="278" t="e">
        <f ca="1">VLOOKUP(DM138,Foglio1!$AB$31:$AN$261,13)-6+EW138</f>
        <v>#N/A</v>
      </c>
      <c r="EY138" s="244"/>
      <c r="EZ138" s="244" t="e">
        <f t="shared" ca="1" si="108"/>
        <v>#REF!</v>
      </c>
      <c r="FA138" s="244" t="e">
        <f t="shared" ca="1" si="109"/>
        <v>#N/A</v>
      </c>
      <c r="FB138" s="244" t="e">
        <f t="shared" ca="1" si="109"/>
        <v>#N/A</v>
      </c>
      <c r="FC138" s="244" t="e">
        <f t="shared" ca="1" si="109"/>
        <v>#N/A</v>
      </c>
      <c r="FD138" s="244" t="e">
        <f t="shared" ca="1" si="109"/>
        <v>#N/A</v>
      </c>
      <c r="FE138" s="244" t="e">
        <f t="shared" ca="1" si="109"/>
        <v>#N/A</v>
      </c>
      <c r="FF138" s="244" t="e">
        <f t="shared" ca="1" si="109"/>
        <v>#N/A</v>
      </c>
      <c r="FG138" s="244" t="e">
        <f t="shared" ca="1" si="109"/>
        <v>#N/A</v>
      </c>
      <c r="FH138" s="244" t="e">
        <f t="shared" ca="1" si="109"/>
        <v>#N/A</v>
      </c>
      <c r="FI138" s="244" t="e">
        <f t="shared" ca="1" si="109"/>
        <v>#N/A</v>
      </c>
      <c r="FJ138" s="244" t="e">
        <f t="shared" ca="1" si="109"/>
        <v>#N/A</v>
      </c>
      <c r="FK138" s="244" t="e">
        <f t="shared" ca="1" si="109"/>
        <v>#N/A</v>
      </c>
      <c r="FL138" s="244" t="e">
        <f t="shared" ca="1" si="109"/>
        <v>#N/A</v>
      </c>
      <c r="FM138" s="244" t="e">
        <f t="shared" ca="1" si="66"/>
        <v>#REF!</v>
      </c>
      <c r="FN138" s="244"/>
    </row>
    <row r="139" spans="5:170" x14ac:dyDescent="0.25">
      <c r="E139" s="244"/>
      <c r="F139" s="244"/>
      <c r="G139" s="244"/>
      <c r="L139">
        <f t="shared" si="87"/>
        <v>139</v>
      </c>
      <c r="AG139" s="238">
        <f>AG138</f>
        <v>43</v>
      </c>
      <c r="AH139" s="112" t="e">
        <f ca="1">AI138+1</f>
        <v>#N/A</v>
      </c>
      <c r="AI139" s="112">
        <f ca="1">INDIRECT(CONCATENATE("AF",AG135))</f>
        <v>100000</v>
      </c>
      <c r="AJ139" s="114"/>
      <c r="AK139" s="114"/>
      <c r="AL139" s="238" t="e">
        <f t="shared" ca="1" si="88"/>
        <v>#N/A</v>
      </c>
      <c r="AM139" s="112">
        <f t="shared" ca="1" si="107"/>
        <v>100000</v>
      </c>
      <c r="AN139" s="112">
        <f t="shared" ca="1" si="89"/>
        <v>100000</v>
      </c>
      <c r="AO139" s="114">
        <f t="shared" ca="1" si="75"/>
        <v>0</v>
      </c>
      <c r="AP139" s="114">
        <f t="shared" ca="1" si="76"/>
        <v>0</v>
      </c>
      <c r="AR139" s="238">
        <f t="shared" si="90"/>
        <v>139</v>
      </c>
      <c r="AU139" s="283">
        <f t="shared" si="91"/>
        <v>120</v>
      </c>
      <c r="AV139" s="284">
        <f t="shared" ca="1" si="77"/>
        <v>100000</v>
      </c>
      <c r="AW139" s="284">
        <f t="shared" ca="1" si="113"/>
        <v>100000</v>
      </c>
      <c r="AX139" s="285">
        <f t="shared" ca="1" si="114"/>
        <v>10</v>
      </c>
      <c r="AY139" s="285">
        <f t="shared" ca="1" si="79"/>
        <v>18</v>
      </c>
      <c r="AZ139" s="282"/>
      <c r="BH139" s="238">
        <f t="shared" si="93"/>
        <v>120</v>
      </c>
      <c r="BI139" s="112">
        <f t="shared" ca="1" si="110"/>
        <v>100000</v>
      </c>
      <c r="BK139" s="245" t="e">
        <f t="shared" ca="1" si="82"/>
        <v>#N/A</v>
      </c>
      <c r="BL139" s="245" t="e">
        <f t="shared" ca="1" si="83"/>
        <v>#N/A</v>
      </c>
      <c r="CL139" s="112"/>
      <c r="CM139" s="112"/>
      <c r="CP139" s="112"/>
      <c r="CQ139" s="112"/>
      <c r="CR139" s="112"/>
      <c r="CS139" s="112"/>
      <c r="CT139" s="112"/>
      <c r="CU139" s="112"/>
      <c r="CV139" s="112"/>
      <c r="CW139" s="112" t="s">
        <v>224</v>
      </c>
      <c r="CX139" s="112" t="s">
        <v>225</v>
      </c>
      <c r="CY139" s="112" t="s">
        <v>226</v>
      </c>
      <c r="CZ139" s="112" t="s">
        <v>227</v>
      </c>
      <c r="DA139" s="112" t="s">
        <v>228</v>
      </c>
      <c r="DB139" s="112" t="s">
        <v>229</v>
      </c>
      <c r="DC139" s="112"/>
      <c r="DD139" s="238"/>
      <c r="DE139" s="112"/>
      <c r="DF139" s="112"/>
      <c r="DG139" s="112"/>
      <c r="DH139" s="112"/>
      <c r="DI139" s="112"/>
      <c r="DJ139" s="112"/>
      <c r="DK139" s="112"/>
      <c r="DL139" s="278" t="str">
        <f t="shared" ca="1" si="94"/>
        <v/>
      </c>
      <c r="DM139" s="245" t="str">
        <f t="shared" ca="1" si="112"/>
        <v/>
      </c>
      <c r="DN139" s="245" t="str">
        <f t="shared" ca="1" si="112"/>
        <v/>
      </c>
      <c r="DO139" s="245" t="str">
        <f t="shared" ca="1" si="112"/>
        <v/>
      </c>
      <c r="DP139" s="245" t="str">
        <f t="shared" ca="1" si="112"/>
        <v/>
      </c>
      <c r="DQ139" s="245" t="str">
        <f t="shared" ca="1" si="112"/>
        <v/>
      </c>
      <c r="DR139" s="244"/>
      <c r="DS139" s="245" t="str">
        <f t="shared" si="105"/>
        <v/>
      </c>
      <c r="DT139" s="245" t="str">
        <f t="shared" si="105"/>
        <v/>
      </c>
      <c r="DU139" s="245" t="str">
        <f t="shared" si="105"/>
        <v/>
      </c>
      <c r="DV139" s="244" t="str">
        <f t="shared" ca="1" si="65"/>
        <v/>
      </c>
      <c r="DW139" s="244"/>
      <c r="DX139" s="244" t="e">
        <f t="shared" ca="1" si="111"/>
        <v>#N/A</v>
      </c>
      <c r="EW139" s="244">
        <v>0</v>
      </c>
      <c r="EX139" s="278" t="e">
        <f ca="1">VLOOKUP(DM139,Foglio1!$AB$31:$AN$261,13)-6+EW139</f>
        <v>#N/A</v>
      </c>
      <c r="EY139" s="244"/>
      <c r="EZ139" s="244" t="e">
        <f t="shared" ca="1" si="108"/>
        <v>#REF!</v>
      </c>
      <c r="FA139" s="244" t="e">
        <f t="shared" ca="1" si="109"/>
        <v>#N/A</v>
      </c>
      <c r="FB139" s="244" t="e">
        <f t="shared" ca="1" si="109"/>
        <v>#N/A</v>
      </c>
      <c r="FC139" s="244" t="e">
        <f t="shared" ca="1" si="109"/>
        <v>#N/A</v>
      </c>
      <c r="FD139" s="244" t="e">
        <f t="shared" ca="1" si="109"/>
        <v>#N/A</v>
      </c>
      <c r="FE139" s="244" t="e">
        <f t="shared" ca="1" si="109"/>
        <v>#N/A</v>
      </c>
      <c r="FF139" s="244" t="e">
        <f t="shared" ca="1" si="109"/>
        <v>#N/A</v>
      </c>
      <c r="FG139" s="244" t="e">
        <f t="shared" ca="1" si="109"/>
        <v>#N/A</v>
      </c>
      <c r="FH139" s="244" t="e">
        <f t="shared" ca="1" si="109"/>
        <v>#N/A</v>
      </c>
      <c r="FI139" s="244" t="e">
        <f t="shared" ca="1" si="109"/>
        <v>#N/A</v>
      </c>
      <c r="FJ139" s="244" t="e">
        <f t="shared" ca="1" si="109"/>
        <v>#N/A</v>
      </c>
      <c r="FK139" s="244" t="e">
        <f t="shared" ca="1" si="109"/>
        <v>#N/A</v>
      </c>
      <c r="FL139" s="244" t="e">
        <f t="shared" ca="1" si="109"/>
        <v>#N/A</v>
      </c>
      <c r="FM139" s="244" t="e">
        <f t="shared" ca="1" si="66"/>
        <v>#REF!</v>
      </c>
      <c r="FN139" s="244"/>
    </row>
    <row r="140" spans="5:170" x14ac:dyDescent="0.25">
      <c r="E140" s="244"/>
      <c r="F140" s="244"/>
      <c r="G140" s="244"/>
      <c r="L140">
        <f t="shared" si="87"/>
        <v>140</v>
      </c>
      <c r="AG140" s="238">
        <f>AG139+1</f>
        <v>44</v>
      </c>
      <c r="AH140" s="112">
        <f ca="1">INDIRECT(CONCATENATE("AA",AG140))</f>
        <v>100000</v>
      </c>
      <c r="AI140" s="112" t="e">
        <f ca="1">IF(            INDIRECT(CONCATENATE( "AB",AG140))&lt;100000,       INDIRECT(CONCATENATE("AB",AG140))  -1,IF(   INDIRECT(CONCATENATE("AC",AG140))&lt;100000,   INDIRECT(CONCATENATE("AC",AG140))-1,IF(   INDIRECT(CONCATENATE("AD", AG140))&lt;100000, INDIRECT(CONCATENATE("AD",AG140))-1,IF(   INDIRECT(CONCATENATE("AE",AG140))&lt;100000,  INDIRECT(CONCATENATE("AE",G140)),INDIRECT(CONCATENATE("AF",AG140))                ))))</f>
        <v>#N/A</v>
      </c>
      <c r="AJ140" s="114"/>
      <c r="AK140" s="114"/>
      <c r="AL140" s="238" t="e">
        <f t="shared" ca="1" si="88"/>
        <v>#N/A</v>
      </c>
      <c r="AM140" s="112">
        <f t="shared" ca="1" si="107"/>
        <v>100000</v>
      </c>
      <c r="AN140" s="112">
        <f t="shared" ca="1" si="89"/>
        <v>100000</v>
      </c>
      <c r="AO140" s="114">
        <f t="shared" ca="1" si="75"/>
        <v>0</v>
      </c>
      <c r="AP140" s="114">
        <f t="shared" ca="1" si="76"/>
        <v>0</v>
      </c>
      <c r="AR140" s="238">
        <f t="shared" si="90"/>
        <v>140</v>
      </c>
      <c r="AU140" s="283">
        <f t="shared" si="91"/>
        <v>121</v>
      </c>
      <c r="AV140" s="284">
        <f t="shared" ca="1" si="77"/>
        <v>100000</v>
      </c>
      <c r="AW140" s="284">
        <f t="shared" ca="1" si="113"/>
        <v>100000</v>
      </c>
      <c r="AX140" s="285">
        <f t="shared" ca="1" si="114"/>
        <v>10</v>
      </c>
      <c r="AY140" s="285">
        <f t="shared" ca="1" si="79"/>
        <v>18</v>
      </c>
      <c r="AZ140" s="282"/>
      <c r="BH140" s="238">
        <f t="shared" si="93"/>
        <v>121</v>
      </c>
      <c r="BI140" s="112">
        <f t="shared" ca="1" si="110"/>
        <v>100000</v>
      </c>
      <c r="BK140" s="245" t="e">
        <f t="shared" ca="1" si="82"/>
        <v>#N/A</v>
      </c>
      <c r="BL140" s="245" t="e">
        <f t="shared" ca="1" si="83"/>
        <v>#N/A</v>
      </c>
      <c r="CL140" s="112"/>
      <c r="CM140" s="112"/>
      <c r="CP140" s="112"/>
      <c r="CQ140" s="112"/>
      <c r="CR140" s="112"/>
      <c r="CS140" s="112"/>
      <c r="CT140" s="112"/>
      <c r="CU140" s="112"/>
      <c r="CV140" s="112"/>
      <c r="CW140" s="112" t="s">
        <v>224</v>
      </c>
      <c r="CX140" s="112" t="s">
        <v>225</v>
      </c>
      <c r="CY140" s="112" t="s">
        <v>226</v>
      </c>
      <c r="CZ140" s="112" t="s">
        <v>227</v>
      </c>
      <c r="DA140" s="112" t="s">
        <v>228</v>
      </c>
      <c r="DB140" s="112" t="s">
        <v>229</v>
      </c>
      <c r="DC140" s="112"/>
      <c r="DD140" s="238"/>
      <c r="DE140" s="112"/>
      <c r="DF140" s="112"/>
      <c r="DG140" s="112"/>
      <c r="DH140" s="112"/>
      <c r="DI140" s="112"/>
      <c r="DJ140" s="112"/>
      <c r="DK140" s="112"/>
      <c r="DL140" s="278" t="str">
        <f t="shared" ca="1" si="94"/>
        <v/>
      </c>
      <c r="DM140" s="245" t="str">
        <f t="shared" ca="1" si="112"/>
        <v/>
      </c>
      <c r="DN140" s="245" t="str">
        <f t="shared" ca="1" si="112"/>
        <v/>
      </c>
      <c r="DO140" s="245" t="str">
        <f t="shared" ca="1" si="112"/>
        <v/>
      </c>
      <c r="DP140" s="245" t="str">
        <f t="shared" ca="1" si="112"/>
        <v/>
      </c>
      <c r="DQ140" s="245" t="str">
        <f t="shared" ca="1" si="112"/>
        <v/>
      </c>
      <c r="DR140" s="244"/>
      <c r="DS140" s="245" t="str">
        <f t="shared" si="105"/>
        <v/>
      </c>
      <c r="DT140" s="245" t="str">
        <f t="shared" si="105"/>
        <v/>
      </c>
      <c r="DU140" s="245" t="str">
        <f t="shared" si="105"/>
        <v/>
      </c>
      <c r="DV140" s="244" t="str">
        <f t="shared" ca="1" si="65"/>
        <v/>
      </c>
      <c r="DW140" s="244"/>
      <c r="DX140" s="244" t="e">
        <f t="shared" ca="1" si="111"/>
        <v>#N/A</v>
      </c>
      <c r="EW140" s="244">
        <v>0</v>
      </c>
      <c r="EX140" s="278" t="e">
        <f ca="1">VLOOKUP(DM140,Foglio1!$AB$31:$AN$261,13)-6+EW140</f>
        <v>#N/A</v>
      </c>
      <c r="EY140" s="244"/>
      <c r="EZ140" s="244" t="e">
        <f t="shared" ca="1" si="108"/>
        <v>#REF!</v>
      </c>
      <c r="FA140" s="244" t="e">
        <f t="shared" ca="1" si="109"/>
        <v>#N/A</v>
      </c>
      <c r="FB140" s="244" t="e">
        <f t="shared" ca="1" si="109"/>
        <v>#N/A</v>
      </c>
      <c r="FC140" s="244" t="e">
        <f t="shared" ca="1" si="109"/>
        <v>#N/A</v>
      </c>
      <c r="FD140" s="244" t="e">
        <f t="shared" ca="1" si="109"/>
        <v>#N/A</v>
      </c>
      <c r="FE140" s="244" t="e">
        <f t="shared" ca="1" si="109"/>
        <v>#N/A</v>
      </c>
      <c r="FF140" s="244" t="e">
        <f t="shared" ca="1" si="109"/>
        <v>#N/A</v>
      </c>
      <c r="FG140" s="244" t="e">
        <f t="shared" ca="1" si="109"/>
        <v>#N/A</v>
      </c>
      <c r="FH140" s="244" t="e">
        <f t="shared" ca="1" si="109"/>
        <v>#N/A</v>
      </c>
      <c r="FI140" s="244" t="e">
        <f t="shared" ca="1" si="109"/>
        <v>#N/A</v>
      </c>
      <c r="FJ140" s="244" t="e">
        <f t="shared" ca="1" si="109"/>
        <v>#N/A</v>
      </c>
      <c r="FK140" s="244" t="e">
        <f t="shared" ca="1" si="109"/>
        <v>#N/A</v>
      </c>
      <c r="FL140" s="244" t="e">
        <f t="shared" ca="1" si="109"/>
        <v>#N/A</v>
      </c>
      <c r="FM140" s="244" t="e">
        <f t="shared" ca="1" si="66"/>
        <v>#REF!</v>
      </c>
      <c r="FN140" s="244"/>
    </row>
    <row r="141" spans="5:170" x14ac:dyDescent="0.25">
      <c r="E141" s="244"/>
      <c r="F141" s="244"/>
      <c r="G141" s="244"/>
      <c r="L141">
        <f t="shared" si="87"/>
        <v>141</v>
      </c>
      <c r="AG141" s="238">
        <f>AG140</f>
        <v>44</v>
      </c>
      <c r="AH141" s="112" t="e">
        <f ca="1">AI140+1</f>
        <v>#N/A</v>
      </c>
      <c r="AI141" s="112" t="e">
        <f ca="1">IF(INDIRECT(CONCATENATE("AC",AG140))&lt;100000,INDIRECT(CONCATENATE("AC",AG140))-1,IF(INDIRECT(CONCATENATE("AD",AG140))&lt;100000,INDIRECT(CONCATENATE("AD",AG140))-1,IF(INDIRECT(CONCATENATE("AE",AG140))&lt;100000,INDIRECT(CONCATENATE("AE",G140)),INDIRECT(CONCATENATE("AF",AG140)))))</f>
        <v>#N/A</v>
      </c>
      <c r="AJ141" s="114"/>
      <c r="AK141" s="114"/>
      <c r="AL141" s="238" t="e">
        <f t="shared" ca="1" si="88"/>
        <v>#N/A</v>
      </c>
      <c r="AM141" s="112">
        <f t="shared" ca="1" si="107"/>
        <v>100000</v>
      </c>
      <c r="AN141" s="112">
        <f t="shared" ca="1" si="89"/>
        <v>100000</v>
      </c>
      <c r="AO141" s="114">
        <f t="shared" ca="1" si="75"/>
        <v>0</v>
      </c>
      <c r="AP141" s="114">
        <f t="shared" ca="1" si="76"/>
        <v>0</v>
      </c>
      <c r="AR141" s="238">
        <f t="shared" si="90"/>
        <v>141</v>
      </c>
      <c r="AU141" s="283">
        <f t="shared" si="91"/>
        <v>122</v>
      </c>
      <c r="AV141" s="284">
        <f t="shared" ca="1" si="77"/>
        <v>100000</v>
      </c>
      <c r="AW141" s="284">
        <f t="shared" ca="1" si="113"/>
        <v>100000</v>
      </c>
      <c r="AX141" s="285">
        <f t="shared" ca="1" si="114"/>
        <v>10</v>
      </c>
      <c r="AY141" s="285">
        <f t="shared" ca="1" si="79"/>
        <v>18</v>
      </c>
      <c r="AZ141" s="282"/>
      <c r="BH141" s="238">
        <f t="shared" si="93"/>
        <v>122</v>
      </c>
      <c r="BI141" s="112">
        <f t="shared" ca="1" si="110"/>
        <v>100000</v>
      </c>
      <c r="BK141" s="245" t="e">
        <f t="shared" ca="1" si="82"/>
        <v>#N/A</v>
      </c>
      <c r="BL141" s="245" t="e">
        <f t="shared" ca="1" si="83"/>
        <v>#N/A</v>
      </c>
      <c r="CL141" s="112"/>
      <c r="CM141" s="112"/>
      <c r="CP141" s="112"/>
      <c r="CQ141" s="112"/>
      <c r="CR141" s="112"/>
      <c r="CS141" s="112"/>
      <c r="CT141" s="112"/>
      <c r="CU141" s="112"/>
      <c r="CV141" s="112"/>
      <c r="CW141" s="112" t="s">
        <v>224</v>
      </c>
      <c r="CX141" s="112" t="s">
        <v>225</v>
      </c>
      <c r="CY141" s="112" t="s">
        <v>226</v>
      </c>
      <c r="CZ141" s="112" t="s">
        <v>227</v>
      </c>
      <c r="DA141" s="112" t="s">
        <v>228</v>
      </c>
      <c r="DB141" s="112" t="s">
        <v>229</v>
      </c>
      <c r="DC141" s="112"/>
      <c r="DD141" s="238"/>
      <c r="DE141" s="112"/>
      <c r="DF141" s="112"/>
      <c r="DG141" s="112"/>
      <c r="DH141" s="112"/>
      <c r="DI141" s="112"/>
      <c r="DJ141" s="112"/>
      <c r="DK141" s="112"/>
      <c r="DL141" s="278" t="str">
        <f t="shared" ca="1" si="94"/>
        <v/>
      </c>
      <c r="DM141" s="245" t="str">
        <f t="shared" ca="1" si="112"/>
        <v/>
      </c>
      <c r="DN141" s="245" t="str">
        <f t="shared" ca="1" si="112"/>
        <v/>
      </c>
      <c r="DO141" s="245" t="str">
        <f t="shared" ca="1" si="112"/>
        <v/>
      </c>
      <c r="DP141" s="245" t="str">
        <f t="shared" ca="1" si="112"/>
        <v/>
      </c>
      <c r="DQ141" s="245" t="str">
        <f t="shared" ca="1" si="112"/>
        <v/>
      </c>
      <c r="DR141" s="244"/>
      <c r="DS141" s="245" t="str">
        <f t="shared" si="105"/>
        <v/>
      </c>
      <c r="DT141" s="245" t="str">
        <f t="shared" si="105"/>
        <v/>
      </c>
      <c r="DU141" s="245" t="str">
        <f t="shared" si="105"/>
        <v/>
      </c>
      <c r="DV141" s="244" t="str">
        <f t="shared" ca="1" si="65"/>
        <v/>
      </c>
      <c r="DW141" s="244"/>
      <c r="DX141" s="244" t="e">
        <f t="shared" ca="1" si="111"/>
        <v>#N/A</v>
      </c>
      <c r="EW141" s="244">
        <v>0</v>
      </c>
      <c r="EX141" s="278" t="e">
        <f ca="1">VLOOKUP(DM141,Foglio1!$AB$31:$AN$261,13)-6+EW141</f>
        <v>#N/A</v>
      </c>
      <c r="EY141" s="244"/>
      <c r="EZ141" s="244" t="e">
        <f t="shared" ca="1" si="108"/>
        <v>#REF!</v>
      </c>
      <c r="FA141" s="244" t="e">
        <f t="shared" ca="1" si="109"/>
        <v>#N/A</v>
      </c>
      <c r="FB141" s="244" t="e">
        <f t="shared" ca="1" si="109"/>
        <v>#N/A</v>
      </c>
      <c r="FC141" s="244" t="e">
        <f t="shared" ca="1" si="109"/>
        <v>#N/A</v>
      </c>
      <c r="FD141" s="244" t="e">
        <f t="shared" ca="1" si="109"/>
        <v>#N/A</v>
      </c>
      <c r="FE141" s="244" t="e">
        <f t="shared" ca="1" si="109"/>
        <v>#N/A</v>
      </c>
      <c r="FF141" s="244" t="e">
        <f t="shared" ca="1" si="109"/>
        <v>#N/A</v>
      </c>
      <c r="FG141" s="244" t="e">
        <f t="shared" ca="1" si="109"/>
        <v>#N/A</v>
      </c>
      <c r="FH141" s="244" t="e">
        <f t="shared" ca="1" si="109"/>
        <v>#N/A</v>
      </c>
      <c r="FI141" s="244" t="e">
        <f t="shared" ca="1" si="109"/>
        <v>#N/A</v>
      </c>
      <c r="FJ141" s="244" t="e">
        <f t="shared" ca="1" si="109"/>
        <v>#N/A</v>
      </c>
      <c r="FK141" s="244" t="e">
        <f t="shared" ca="1" si="109"/>
        <v>#N/A</v>
      </c>
      <c r="FL141" s="244" t="e">
        <f t="shared" ca="1" si="109"/>
        <v>#N/A</v>
      </c>
      <c r="FM141" s="244" t="e">
        <f t="shared" ca="1" si="66"/>
        <v>#REF!</v>
      </c>
      <c r="FN141" s="244"/>
    </row>
    <row r="142" spans="5:170" x14ac:dyDescent="0.25">
      <c r="E142" s="244"/>
      <c r="F142" s="244"/>
      <c r="G142" s="244"/>
      <c r="AG142" s="238">
        <f>AG141</f>
        <v>44</v>
      </c>
      <c r="AH142" s="112" t="e">
        <f ca="1">AI141+1</f>
        <v>#N/A</v>
      </c>
      <c r="AI142" s="112" t="e">
        <f ca="1">IF(INDIRECT(CONCATENATE("AD",AG140))&lt;100000,INDIRECT(CONCATENATE("AD",AG140))-1,IF(INDIRECT(CONCATENATE("AE",AG140))&lt;100000,INDIRECT(CONCATENATE("AE",G140)),INDIRECT(CONCATENATE("AF",AG140))))</f>
        <v>#N/A</v>
      </c>
      <c r="AJ142" s="114"/>
      <c r="AK142" s="114"/>
      <c r="AL142" s="238" t="e">
        <f t="shared" ca="1" si="88"/>
        <v>#N/A</v>
      </c>
      <c r="AM142" s="112">
        <f t="shared" ca="1" si="107"/>
        <v>100000</v>
      </c>
      <c r="AN142" s="112">
        <f t="shared" ca="1" si="89"/>
        <v>100000</v>
      </c>
      <c r="AO142" s="114">
        <f t="shared" ca="1" si="75"/>
        <v>0</v>
      </c>
      <c r="AP142" s="114">
        <f t="shared" ca="1" si="76"/>
        <v>0</v>
      </c>
      <c r="AR142" s="238">
        <f t="shared" si="90"/>
        <v>142</v>
      </c>
      <c r="AU142" s="283">
        <f t="shared" si="91"/>
        <v>123</v>
      </c>
      <c r="AV142" s="284">
        <f t="shared" ca="1" si="77"/>
        <v>100000</v>
      </c>
      <c r="AW142" s="284">
        <f t="shared" ca="1" si="113"/>
        <v>100000</v>
      </c>
      <c r="AX142" s="285">
        <f t="shared" ca="1" si="114"/>
        <v>10</v>
      </c>
      <c r="AY142" s="285">
        <f t="shared" ca="1" si="79"/>
        <v>18</v>
      </c>
      <c r="AZ142" s="282"/>
      <c r="BH142" s="238">
        <f t="shared" si="93"/>
        <v>123</v>
      </c>
      <c r="BI142" s="112">
        <f t="shared" ca="1" si="110"/>
        <v>100000</v>
      </c>
      <c r="BK142" s="245" t="e">
        <f t="shared" ca="1" si="82"/>
        <v>#N/A</v>
      </c>
      <c r="BL142" s="245" t="e">
        <f t="shared" ca="1" si="83"/>
        <v>#N/A</v>
      </c>
      <c r="CL142" s="112"/>
      <c r="CM142" s="112"/>
      <c r="CP142" s="112"/>
      <c r="CQ142" s="112"/>
      <c r="CR142" s="112"/>
      <c r="CS142" s="112"/>
      <c r="CT142" s="112"/>
      <c r="CU142" s="112"/>
      <c r="CV142" s="112"/>
      <c r="CW142" s="112" t="s">
        <v>224</v>
      </c>
      <c r="CX142" s="112" t="s">
        <v>225</v>
      </c>
      <c r="CY142" s="112" t="s">
        <v>226</v>
      </c>
      <c r="CZ142" s="112" t="s">
        <v>227</v>
      </c>
      <c r="DA142" s="112" t="s">
        <v>228</v>
      </c>
      <c r="DB142" s="112" t="s">
        <v>229</v>
      </c>
      <c r="DC142" s="112"/>
      <c r="DD142" s="238"/>
      <c r="DE142" s="112"/>
      <c r="DF142" s="112"/>
      <c r="DG142" s="112"/>
      <c r="DH142" s="112"/>
      <c r="DI142" s="112"/>
      <c r="DJ142" s="112"/>
      <c r="DK142" s="112"/>
      <c r="DL142" s="278" t="str">
        <f t="shared" ca="1" si="94"/>
        <v/>
      </c>
      <c r="DM142" s="245" t="str">
        <f t="shared" ca="1" si="112"/>
        <v/>
      </c>
      <c r="DN142" s="245" t="str">
        <f t="shared" ca="1" si="112"/>
        <v/>
      </c>
      <c r="DO142" s="245" t="str">
        <f t="shared" ca="1" si="112"/>
        <v/>
      </c>
      <c r="DP142" s="245" t="str">
        <f t="shared" ca="1" si="112"/>
        <v/>
      </c>
      <c r="DQ142" s="245" t="str">
        <f t="shared" ca="1" si="112"/>
        <v/>
      </c>
      <c r="DR142" s="244"/>
      <c r="DS142" s="245" t="str">
        <f t="shared" si="105"/>
        <v/>
      </c>
      <c r="DT142" s="245" t="str">
        <f t="shared" si="105"/>
        <v/>
      </c>
      <c r="DU142" s="245" t="str">
        <f t="shared" si="105"/>
        <v/>
      </c>
      <c r="DV142" s="244" t="str">
        <f t="shared" ca="1" si="65"/>
        <v/>
      </c>
      <c r="DW142" s="244"/>
      <c r="DX142" s="244" t="e">
        <f t="shared" ca="1" si="111"/>
        <v>#N/A</v>
      </c>
      <c r="EW142" s="244">
        <v>0</v>
      </c>
      <c r="EX142" s="278" t="e">
        <f ca="1">VLOOKUP(DM142,Foglio1!$AB$31:$AN$261,13)-6+EW142</f>
        <v>#N/A</v>
      </c>
      <c r="EY142" s="244"/>
      <c r="EZ142" s="244" t="e">
        <f t="shared" ca="1" si="108"/>
        <v>#REF!</v>
      </c>
      <c r="FA142" s="244" t="e">
        <f t="shared" ref="FA142:FL142" ca="1" si="115">INDIRECT(CONCATENATE(EY$16,EY$17,$EB142))</f>
        <v>#REF!</v>
      </c>
      <c r="FB142" s="244" t="e">
        <f t="shared" ca="1" si="115"/>
        <v>#REF!</v>
      </c>
      <c r="FC142" s="244" t="e">
        <f t="shared" ca="1" si="115"/>
        <v>#REF!</v>
      </c>
      <c r="FD142" s="244" t="e">
        <f t="shared" ca="1" si="115"/>
        <v>#REF!</v>
      </c>
      <c r="FE142" s="244" t="e">
        <f t="shared" ca="1" si="115"/>
        <v>#REF!</v>
      </c>
      <c r="FF142" s="244" t="e">
        <f t="shared" ca="1" si="115"/>
        <v>#REF!</v>
      </c>
      <c r="FG142" s="244" t="e">
        <f t="shared" ca="1" si="115"/>
        <v>#REF!</v>
      </c>
      <c r="FH142" s="244" t="e">
        <f t="shared" ca="1" si="115"/>
        <v>#REF!</v>
      </c>
      <c r="FI142" s="244" t="e">
        <f t="shared" ca="1" si="115"/>
        <v>#REF!</v>
      </c>
      <c r="FJ142" s="244" t="e">
        <f t="shared" ca="1" si="115"/>
        <v>#REF!</v>
      </c>
      <c r="FK142" s="244" t="e">
        <f t="shared" ca="1" si="115"/>
        <v>#REF!</v>
      </c>
      <c r="FL142" s="244" t="e">
        <f t="shared" ca="1" si="115"/>
        <v>#REF!</v>
      </c>
      <c r="FM142" s="244" t="e">
        <f t="shared" ca="1" si="66"/>
        <v>#REF!</v>
      </c>
      <c r="FN142" s="244"/>
    </row>
    <row r="143" spans="5:170" x14ac:dyDescent="0.25">
      <c r="E143" s="244"/>
      <c r="F143" s="244"/>
      <c r="G143" s="244"/>
      <c r="AG143" s="238">
        <f>AG142</f>
        <v>44</v>
      </c>
      <c r="AH143" s="112" t="e">
        <f ca="1">AI142+1</f>
        <v>#N/A</v>
      </c>
      <c r="AI143" s="112" t="e">
        <f ca="1">IF(INDIRECT(CONCATENATE("AE",AG140))&lt;100000,INDIRECT(CONCATENATE("AE",G140)),INDIRECT(CONCATENATE("AF",AG140)))</f>
        <v>#N/A</v>
      </c>
      <c r="AJ143" s="114"/>
      <c r="AK143" s="114"/>
      <c r="AL143" s="238" t="e">
        <f t="shared" ca="1" si="88"/>
        <v>#N/A</v>
      </c>
      <c r="AM143" s="112">
        <f t="shared" ca="1" si="107"/>
        <v>100000</v>
      </c>
      <c r="AN143" s="112">
        <f t="shared" ca="1" si="89"/>
        <v>100000</v>
      </c>
      <c r="AO143" s="114">
        <f t="shared" ca="1" si="75"/>
        <v>0</v>
      </c>
      <c r="AP143" s="114">
        <f t="shared" ca="1" si="76"/>
        <v>0</v>
      </c>
      <c r="AR143" s="238">
        <f t="shared" si="90"/>
        <v>143</v>
      </c>
      <c r="AU143" s="283">
        <f t="shared" si="91"/>
        <v>124</v>
      </c>
      <c r="AV143" s="284">
        <f t="shared" ca="1" si="77"/>
        <v>100000</v>
      </c>
      <c r="AW143" s="284">
        <f t="shared" ca="1" si="113"/>
        <v>100000</v>
      </c>
      <c r="AX143" s="285">
        <f t="shared" ca="1" si="114"/>
        <v>10</v>
      </c>
      <c r="AY143" s="285">
        <f t="shared" ca="1" si="79"/>
        <v>18</v>
      </c>
      <c r="AZ143" s="282"/>
      <c r="BH143" s="238">
        <f t="shared" si="93"/>
        <v>124</v>
      </c>
      <c r="BI143" s="112">
        <f t="shared" ca="1" si="110"/>
        <v>100000</v>
      </c>
      <c r="BK143" s="245" t="e">
        <f t="shared" ca="1" si="82"/>
        <v>#N/A</v>
      </c>
      <c r="BL143" s="245" t="e">
        <f t="shared" ca="1" si="83"/>
        <v>#N/A</v>
      </c>
      <c r="CL143" s="112"/>
      <c r="CM143" s="112"/>
      <c r="CP143" s="112"/>
      <c r="CQ143" s="112"/>
      <c r="CR143" s="112"/>
      <c r="CS143" s="112"/>
      <c r="CT143" s="112"/>
      <c r="CU143" s="112"/>
      <c r="CV143" s="112"/>
      <c r="CW143" s="112" t="s">
        <v>224</v>
      </c>
      <c r="CX143" s="112" t="s">
        <v>225</v>
      </c>
      <c r="CY143" s="112" t="s">
        <v>226</v>
      </c>
      <c r="CZ143" s="112" t="s">
        <v>227</v>
      </c>
      <c r="DA143" s="112" t="s">
        <v>228</v>
      </c>
      <c r="DB143" s="112" t="s">
        <v>229</v>
      </c>
      <c r="DC143" s="112"/>
      <c r="DD143" s="238"/>
      <c r="DE143" s="112"/>
      <c r="DF143" s="112"/>
      <c r="DG143" s="112"/>
      <c r="DH143" s="112"/>
      <c r="DI143" s="112"/>
      <c r="DJ143" s="112"/>
      <c r="DK143" s="112"/>
      <c r="DL143" s="278" t="str">
        <f t="shared" ca="1" si="94"/>
        <v/>
      </c>
      <c r="DM143" s="245">
        <f t="shared" ref="DM143:DP145" ca="1" si="116">AV143</f>
        <v>100000</v>
      </c>
      <c r="DN143" s="245">
        <f t="shared" ca="1" si="116"/>
        <v>100000</v>
      </c>
      <c r="DO143" s="281">
        <f t="shared" ca="1" si="116"/>
        <v>10</v>
      </c>
      <c r="DP143" s="281">
        <f t="shared" ca="1" si="116"/>
        <v>18</v>
      </c>
      <c r="DQ143" s="244">
        <f ca="1">DN143-DM143+1</f>
        <v>1</v>
      </c>
      <c r="DR143" s="244"/>
      <c r="DS143" s="244">
        <f>ED143+EE143+EF143+EG143+EH143+EI143+EK143+EL143+EN143+EO143+EP143</f>
        <v>0</v>
      </c>
      <c r="DT143" s="244" t="e">
        <f ca="1">EZ143+FA143+FB143+FC143+FD143+FE143+FG143+FH143+FJ143+FK143+FL143+FM143</f>
        <v>#REF!</v>
      </c>
      <c r="DU143" s="244"/>
      <c r="DV143" s="244" t="str">
        <f t="shared" ca="1" si="65"/>
        <v/>
      </c>
      <c r="DW143" s="244"/>
      <c r="DX143" s="244">
        <f t="shared" ca="1" si="111"/>
        <v>35</v>
      </c>
      <c r="EW143" s="244">
        <v>0</v>
      </c>
      <c r="EX143" s="278">
        <f ca="1">VLOOKUP(DM143,Foglio1!$AB$31:$AN$261,13)-6+EW143</f>
        <v>255</v>
      </c>
      <c r="EY143" s="244"/>
      <c r="EZ143" s="244" t="e">
        <f t="shared" ref="EZ143:FL147" ca="1" si="117">INDIRECT(CONCATENATE(EX$16,EX$17,$EB143))</f>
        <v>#REF!</v>
      </c>
      <c r="FA143" s="244" t="e">
        <f t="shared" ca="1" si="117"/>
        <v>#REF!</v>
      </c>
      <c r="FB143" s="244" t="e">
        <f t="shared" ca="1" si="117"/>
        <v>#REF!</v>
      </c>
      <c r="FC143" s="244" t="e">
        <f t="shared" ca="1" si="117"/>
        <v>#REF!</v>
      </c>
      <c r="FD143" s="244" t="e">
        <f t="shared" ca="1" si="117"/>
        <v>#REF!</v>
      </c>
      <c r="FE143" s="244" t="e">
        <f t="shared" ca="1" si="117"/>
        <v>#REF!</v>
      </c>
      <c r="FF143" s="244" t="e">
        <f t="shared" ca="1" si="117"/>
        <v>#REF!</v>
      </c>
      <c r="FG143" s="244" t="e">
        <f t="shared" ca="1" si="117"/>
        <v>#REF!</v>
      </c>
      <c r="FH143" s="244" t="e">
        <f t="shared" ca="1" si="117"/>
        <v>#REF!</v>
      </c>
      <c r="FI143" s="244" t="e">
        <f t="shared" ca="1" si="117"/>
        <v>#REF!</v>
      </c>
      <c r="FJ143" s="244" t="e">
        <f t="shared" ca="1" si="117"/>
        <v>#REF!</v>
      </c>
      <c r="FK143" s="244" t="e">
        <f t="shared" ca="1" si="117"/>
        <v>#REF!</v>
      </c>
      <c r="FL143" s="244" t="e">
        <f t="shared" ca="1" si="117"/>
        <v>#REF!</v>
      </c>
      <c r="FM143" s="244" t="e">
        <f t="shared" ca="1" si="66"/>
        <v>#REF!</v>
      </c>
      <c r="FN143" s="244"/>
    </row>
    <row r="144" spans="5:170" x14ac:dyDescent="0.25">
      <c r="E144" s="244"/>
      <c r="F144" s="244"/>
      <c r="G144" s="244"/>
      <c r="AG144" s="238">
        <f>AG143</f>
        <v>44</v>
      </c>
      <c r="AH144" s="112" t="e">
        <f ca="1">AI143+1</f>
        <v>#N/A</v>
      </c>
      <c r="AI144" s="112">
        <f ca="1">INDIRECT(CONCATENATE("AF",AG140))</f>
        <v>100000</v>
      </c>
      <c r="AJ144" s="114"/>
      <c r="AK144" s="114"/>
      <c r="AL144" s="238" t="e">
        <f t="shared" ca="1" si="88"/>
        <v>#N/A</v>
      </c>
      <c r="AM144" s="112">
        <f t="shared" ca="1" si="107"/>
        <v>100000</v>
      </c>
      <c r="AN144" s="112">
        <f t="shared" ca="1" si="89"/>
        <v>100000</v>
      </c>
      <c r="AO144" s="114">
        <f t="shared" ca="1" si="75"/>
        <v>0</v>
      </c>
      <c r="AP144" s="114">
        <f t="shared" ca="1" si="76"/>
        <v>0</v>
      </c>
      <c r="AR144" s="238">
        <f t="shared" si="90"/>
        <v>144</v>
      </c>
      <c r="AU144" s="283">
        <f t="shared" si="91"/>
        <v>125</v>
      </c>
      <c r="AV144" s="284">
        <f t="shared" ca="1" si="77"/>
        <v>100000</v>
      </c>
      <c r="AW144" s="284">
        <f t="shared" ca="1" si="113"/>
        <v>100000</v>
      </c>
      <c r="AX144" s="285">
        <f t="shared" ca="1" si="114"/>
        <v>10</v>
      </c>
      <c r="AY144" s="285">
        <f t="shared" ca="1" si="79"/>
        <v>18</v>
      </c>
      <c r="AZ144" s="282"/>
      <c r="BH144" s="238">
        <f t="shared" si="93"/>
        <v>125</v>
      </c>
      <c r="BK144" s="245" t="e">
        <f t="shared" ca="1" si="82"/>
        <v>#N/A</v>
      </c>
      <c r="CL144" s="112"/>
      <c r="CM144" s="112"/>
      <c r="CP144" s="112"/>
      <c r="CQ144" s="112"/>
      <c r="CR144" s="112"/>
      <c r="CS144" s="112"/>
      <c r="CT144" s="112"/>
      <c r="CU144" s="112"/>
      <c r="CV144" s="112"/>
      <c r="CW144" s="112" t="s">
        <v>224</v>
      </c>
      <c r="CX144" s="112" t="s">
        <v>225</v>
      </c>
      <c r="CY144" s="112" t="s">
        <v>226</v>
      </c>
      <c r="CZ144" s="112" t="s">
        <v>227</v>
      </c>
      <c r="DA144" s="112" t="s">
        <v>228</v>
      </c>
      <c r="DB144" s="112" t="s">
        <v>229</v>
      </c>
      <c r="DC144" s="112"/>
      <c r="DD144" s="238"/>
      <c r="DE144" s="112"/>
      <c r="DF144" s="112"/>
      <c r="DG144" s="112"/>
      <c r="DH144" s="112"/>
      <c r="DI144" s="112"/>
      <c r="DJ144" s="112"/>
      <c r="DK144" s="112"/>
      <c r="DL144" s="278" t="str">
        <f t="shared" ca="1" si="94"/>
        <v/>
      </c>
      <c r="DM144" s="245">
        <f t="shared" ca="1" si="116"/>
        <v>100000</v>
      </c>
      <c r="DN144" s="245">
        <f t="shared" ca="1" si="116"/>
        <v>100000</v>
      </c>
      <c r="DO144" s="281">
        <f t="shared" ca="1" si="116"/>
        <v>10</v>
      </c>
      <c r="DP144" s="281">
        <f t="shared" ca="1" si="116"/>
        <v>18</v>
      </c>
      <c r="DQ144" s="244">
        <f ca="1">DN144-DM144+1</f>
        <v>1</v>
      </c>
      <c r="DR144" s="244"/>
      <c r="DS144" s="244">
        <f>ED144+EE144+EF144+EG144+EH144+EI144+EK144+EL144+EN144+EO144+EP144</f>
        <v>0</v>
      </c>
      <c r="DT144" s="244" t="e">
        <f ca="1">EZ144+FA144+FB144+FC144+FD144+FE144+FG144+FH144+FJ144+FK144+FL144+FM144</f>
        <v>#REF!</v>
      </c>
      <c r="DU144" s="244"/>
      <c r="DV144" s="244" t="str">
        <f ca="1">IF(DL144="","",IF(DX144=0,"0/2 anni",IF(DY144=3,"3/8 anni",IF(DY144=9,"9/14 anni",IF(DY144=15,"15/20 anni",IF(DY144=21,"21/27 anni",IF(DY144=28,"28/34 anni","oltre 34")))))))</f>
        <v/>
      </c>
      <c r="DW144" s="244"/>
      <c r="DX144" s="244">
        <f t="shared" ca="1" si="111"/>
        <v>35</v>
      </c>
      <c r="EW144" s="244">
        <v>0</v>
      </c>
      <c r="EX144" s="278">
        <f ca="1">VLOOKUP(DM144,Foglio1!$AB$31:$AN$261,13)-6+EW144</f>
        <v>255</v>
      </c>
      <c r="EY144" s="244"/>
      <c r="EZ144" s="244" t="e">
        <f t="shared" ca="1" si="117"/>
        <v>#REF!</v>
      </c>
      <c r="FA144" s="244" t="e">
        <f t="shared" ca="1" si="117"/>
        <v>#REF!</v>
      </c>
      <c r="FB144" s="244" t="e">
        <f t="shared" ca="1" si="117"/>
        <v>#REF!</v>
      </c>
      <c r="FC144" s="244" t="e">
        <f t="shared" ca="1" si="117"/>
        <v>#REF!</v>
      </c>
      <c r="FD144" s="244" t="e">
        <f t="shared" ca="1" si="117"/>
        <v>#REF!</v>
      </c>
      <c r="FE144" s="244" t="e">
        <f t="shared" ca="1" si="117"/>
        <v>#REF!</v>
      </c>
      <c r="FF144" s="244" t="e">
        <f t="shared" ca="1" si="117"/>
        <v>#REF!</v>
      </c>
      <c r="FG144" s="244" t="e">
        <f t="shared" ca="1" si="117"/>
        <v>#REF!</v>
      </c>
      <c r="FH144" s="244" t="e">
        <f t="shared" ca="1" si="117"/>
        <v>#REF!</v>
      </c>
      <c r="FI144" s="244" t="e">
        <f t="shared" ca="1" si="117"/>
        <v>#REF!</v>
      </c>
      <c r="FJ144" s="244" t="e">
        <f t="shared" ca="1" si="117"/>
        <v>#REF!</v>
      </c>
      <c r="FK144" s="244" t="e">
        <f t="shared" ca="1" si="117"/>
        <v>#REF!</v>
      </c>
      <c r="FL144" s="244" t="e">
        <f t="shared" ca="1" si="117"/>
        <v>#REF!</v>
      </c>
      <c r="FM144" s="244" t="e">
        <f t="shared" ca="1" si="66"/>
        <v>#REF!</v>
      </c>
      <c r="FN144" s="244"/>
    </row>
    <row r="145" spans="5:170" x14ac:dyDescent="0.25">
      <c r="E145" s="244"/>
      <c r="F145" s="244"/>
      <c r="G145" s="244"/>
      <c r="AG145" s="238">
        <f>AG144+1</f>
        <v>45</v>
      </c>
      <c r="AH145" s="112">
        <f ca="1">INDIRECT(CONCATENATE("AA",AG145))</f>
        <v>100000</v>
      </c>
      <c r="AI145" s="112" t="e">
        <f ca="1">IF(            INDIRECT(CONCATENATE( "AB",AG145))&lt;100000,       INDIRECT(CONCATENATE("AB",AG145))  -1,IF(   INDIRECT(CONCATENATE("AC",AG145))&lt;100000,   INDIRECT(CONCATENATE("AC",AG145))-1,IF(   INDIRECT(CONCATENATE("AD", AG145))&lt;100000, INDIRECT(CONCATENATE("AD",AG145))-1,IF(   INDIRECT(CONCATENATE("AE",AG145))&lt;100000,  INDIRECT(CONCATENATE("AE",G145)),INDIRECT(CONCATENATE("AF",AG145))                ))))</f>
        <v>#N/A</v>
      </c>
      <c r="AJ145" s="114"/>
      <c r="AK145" s="114"/>
      <c r="AL145" s="238" t="e">
        <f t="shared" ca="1" si="88"/>
        <v>#N/A</v>
      </c>
      <c r="AM145" s="112">
        <f t="shared" ca="1" si="107"/>
        <v>100000</v>
      </c>
      <c r="AN145" s="112">
        <f t="shared" ca="1" si="89"/>
        <v>100000</v>
      </c>
      <c r="AO145" s="114">
        <f t="shared" ca="1" si="75"/>
        <v>0</v>
      </c>
      <c r="AP145" s="114">
        <f t="shared" ca="1" si="76"/>
        <v>0</v>
      </c>
      <c r="AR145" s="238">
        <f t="shared" si="90"/>
        <v>145</v>
      </c>
      <c r="AU145" s="283">
        <f t="shared" si="91"/>
        <v>126</v>
      </c>
      <c r="AV145" s="284">
        <f t="shared" ca="1" si="77"/>
        <v>100000</v>
      </c>
      <c r="AW145" s="284">
        <f t="shared" ca="1" si="113"/>
        <v>100000</v>
      </c>
      <c r="AX145" s="285">
        <f t="shared" ca="1" si="114"/>
        <v>10</v>
      </c>
      <c r="AY145" s="285">
        <f t="shared" ca="1" si="79"/>
        <v>18</v>
      </c>
      <c r="AZ145" s="282"/>
      <c r="BH145" s="238">
        <f t="shared" si="93"/>
        <v>126</v>
      </c>
      <c r="BK145" s="245" t="e">
        <f t="shared" ca="1" si="82"/>
        <v>#N/A</v>
      </c>
      <c r="CL145" s="112"/>
      <c r="CM145" s="112"/>
      <c r="CP145" s="112"/>
      <c r="CQ145" s="112"/>
      <c r="CR145" s="112"/>
      <c r="CS145" s="112"/>
      <c r="CT145" s="112"/>
      <c r="CU145" s="112"/>
      <c r="CV145" s="112"/>
      <c r="CW145" s="112" t="s">
        <v>224</v>
      </c>
      <c r="CX145" s="112" t="s">
        <v>225</v>
      </c>
      <c r="CY145" s="112" t="s">
        <v>226</v>
      </c>
      <c r="CZ145" s="112" t="s">
        <v>227</v>
      </c>
      <c r="DA145" s="112" t="s">
        <v>228</v>
      </c>
      <c r="DB145" s="112" t="s">
        <v>229</v>
      </c>
      <c r="DC145" s="112"/>
      <c r="DD145" s="238"/>
      <c r="DE145" s="112"/>
      <c r="DF145" s="112"/>
      <c r="DG145" s="112"/>
      <c r="DH145" s="112"/>
      <c r="DI145" s="112"/>
      <c r="DJ145" s="112"/>
      <c r="DK145" s="112"/>
      <c r="DL145" s="278" t="str">
        <f t="shared" ca="1" si="94"/>
        <v/>
      </c>
      <c r="DM145" s="245">
        <f t="shared" ca="1" si="116"/>
        <v>100000</v>
      </c>
      <c r="DN145" s="245">
        <f t="shared" ca="1" si="116"/>
        <v>100000</v>
      </c>
      <c r="DO145" s="281">
        <f t="shared" ca="1" si="116"/>
        <v>10</v>
      </c>
      <c r="DP145" s="281">
        <f t="shared" ca="1" si="116"/>
        <v>18</v>
      </c>
      <c r="DQ145" s="244">
        <f ca="1">DN145-DM145+1</f>
        <v>1</v>
      </c>
      <c r="DR145" s="244"/>
      <c r="DS145" s="244">
        <f>ED145+EE145+EF145+EG145+EH145+EI145+EK145+EL145+EN145+EO145+EP145</f>
        <v>0</v>
      </c>
      <c r="DT145" s="244" t="e">
        <f ca="1">EZ145+FA145+FB145+FC145+FD145+FE145+FG145+FH145+FJ145+FK145+FL145+FM145</f>
        <v>#REF!</v>
      </c>
      <c r="DU145" s="244"/>
      <c r="DV145" s="244" t="str">
        <f ca="1">IF(DL145="","",IF(DX145=0,"0/2 anni",IF(DY145=3,"3/8 anni",IF(DY145=9,"9/14 anni",IF(DY145=15,"15/20 anni",IF(DY145=21,"21/27 anni",IF(DY145=28,"28/34 anni","oltre 34")))))))</f>
        <v/>
      </c>
      <c r="DW145" s="244"/>
      <c r="DX145" s="244">
        <f t="shared" ca="1" si="111"/>
        <v>35</v>
      </c>
      <c r="EW145" s="244">
        <v>0</v>
      </c>
      <c r="EX145" s="278">
        <f ca="1">VLOOKUP(DM145,Foglio1!$AB$31:$AN$261,13)-6+EW145</f>
        <v>255</v>
      </c>
      <c r="EY145" s="244"/>
      <c r="EZ145" s="244" t="e">
        <f t="shared" ca="1" si="117"/>
        <v>#REF!</v>
      </c>
      <c r="FA145" s="244" t="e">
        <f t="shared" ca="1" si="117"/>
        <v>#REF!</v>
      </c>
      <c r="FB145" s="244" t="e">
        <f t="shared" ca="1" si="117"/>
        <v>#REF!</v>
      </c>
      <c r="FC145" s="244" t="e">
        <f t="shared" ca="1" si="117"/>
        <v>#REF!</v>
      </c>
      <c r="FD145" s="244" t="e">
        <f t="shared" ca="1" si="117"/>
        <v>#REF!</v>
      </c>
      <c r="FE145" s="244" t="e">
        <f t="shared" ca="1" si="117"/>
        <v>#REF!</v>
      </c>
      <c r="FF145" s="244" t="e">
        <f t="shared" ca="1" si="117"/>
        <v>#REF!</v>
      </c>
      <c r="FG145" s="244" t="e">
        <f t="shared" ca="1" si="117"/>
        <v>#REF!</v>
      </c>
      <c r="FH145" s="244" t="e">
        <f t="shared" ca="1" si="117"/>
        <v>#REF!</v>
      </c>
      <c r="FI145" s="244" t="e">
        <f t="shared" ca="1" si="117"/>
        <v>#REF!</v>
      </c>
      <c r="FJ145" s="244" t="e">
        <f t="shared" ca="1" si="117"/>
        <v>#REF!</v>
      </c>
      <c r="FK145" s="244" t="e">
        <f t="shared" ca="1" si="117"/>
        <v>#REF!</v>
      </c>
      <c r="FL145" s="244" t="e">
        <f t="shared" ca="1" si="117"/>
        <v>#REF!</v>
      </c>
      <c r="FM145" s="244" t="e">
        <f t="shared" ca="1" si="66"/>
        <v>#REF!</v>
      </c>
      <c r="FN145" s="244"/>
    </row>
    <row r="146" spans="5:170" x14ac:dyDescent="0.25">
      <c r="E146" s="244"/>
      <c r="F146" s="244"/>
      <c r="G146" s="244"/>
      <c r="AG146" s="238">
        <f>AG145</f>
        <v>45</v>
      </c>
      <c r="AH146" s="112" t="e">
        <f ca="1">AI145+1</f>
        <v>#N/A</v>
      </c>
      <c r="AI146" s="112" t="e">
        <f ca="1">IF(INDIRECT(CONCATENATE("AC",AG145))&lt;100000,INDIRECT(CONCATENATE("AC",AG145))-1,IF(INDIRECT(CONCATENATE("AD",AG145))&lt;100000,INDIRECT(CONCATENATE("AD",AG145))-1,IF(INDIRECT(CONCATENATE("AE",AG145))&lt;100000,INDIRECT(CONCATENATE("AE",G145)),INDIRECT(CONCATENATE("AF",AG145)))))</f>
        <v>#N/A</v>
      </c>
      <c r="AJ146" s="114"/>
      <c r="AK146" s="114"/>
      <c r="AL146" s="238" t="e">
        <f t="shared" ca="1" si="88"/>
        <v>#N/A</v>
      </c>
      <c r="AM146" s="112">
        <f t="shared" ca="1" si="107"/>
        <v>100000</v>
      </c>
      <c r="AN146" s="112">
        <f t="shared" ca="1" si="89"/>
        <v>100000</v>
      </c>
      <c r="AO146" s="114">
        <f t="shared" ca="1" si="75"/>
        <v>0</v>
      </c>
      <c r="AP146" s="114">
        <f t="shared" ca="1" si="76"/>
        <v>0</v>
      </c>
      <c r="AR146" s="238">
        <f t="shared" si="90"/>
        <v>146</v>
      </c>
      <c r="AU146" s="283">
        <f t="shared" si="91"/>
        <v>127</v>
      </c>
      <c r="AV146" s="284">
        <f t="shared" ca="1" si="77"/>
        <v>100000</v>
      </c>
      <c r="AW146" s="284">
        <f t="shared" ca="1" si="113"/>
        <v>100000</v>
      </c>
      <c r="AX146" s="285">
        <f t="shared" ca="1" si="114"/>
        <v>10</v>
      </c>
      <c r="AY146" s="285">
        <f t="shared" ca="1" si="79"/>
        <v>18</v>
      </c>
      <c r="AZ146" s="282"/>
      <c r="BH146" s="238">
        <f t="shared" si="93"/>
        <v>127</v>
      </c>
      <c r="BK146" s="245" t="e">
        <f t="shared" ca="1" si="82"/>
        <v>#N/A</v>
      </c>
      <c r="CL146" s="112"/>
      <c r="CM146" s="112"/>
      <c r="CP146" s="112"/>
      <c r="CQ146" s="112"/>
      <c r="CR146" s="112"/>
      <c r="CS146" s="112"/>
      <c r="CT146" s="112"/>
      <c r="CU146" s="112"/>
      <c r="CV146" s="112"/>
      <c r="CW146" s="112" t="s">
        <v>224</v>
      </c>
      <c r="CX146" s="112" t="s">
        <v>225</v>
      </c>
      <c r="CY146" s="112" t="s">
        <v>226</v>
      </c>
      <c r="CZ146" s="112" t="s">
        <v>227</v>
      </c>
      <c r="DA146" s="112" t="s">
        <v>228</v>
      </c>
      <c r="DB146" s="112" t="s">
        <v>229</v>
      </c>
      <c r="DC146" s="112"/>
      <c r="DD146" s="238"/>
      <c r="DE146" s="112"/>
      <c r="DF146" s="112"/>
      <c r="DG146" s="112"/>
      <c r="DH146" s="112"/>
      <c r="DI146" s="112"/>
      <c r="DJ146" s="112"/>
      <c r="DK146" s="112"/>
      <c r="DL146" s="112"/>
      <c r="DM146" s="112" t="e">
        <f>SMALL($DG$20:$DG$343,DL146)</f>
        <v>#NUM!</v>
      </c>
      <c r="DN146" s="112" t="e">
        <f>VLOOKUP(DM146,$DG$20:$DH$343,2,)</f>
        <v>#NUM!</v>
      </c>
      <c r="DO146" s="112"/>
      <c r="DP146" s="112"/>
      <c r="DX146" t="e">
        <f t="shared" si="111"/>
        <v>#NUM!</v>
      </c>
      <c r="EW146" s="244">
        <v>0</v>
      </c>
      <c r="EX146" s="278" t="e">
        <f>VLOOKUP(DM146,Foglio1!$AB$31:$AN$261,13)-6</f>
        <v>#NUM!</v>
      </c>
      <c r="EY146" s="244"/>
      <c r="EZ146" s="244" t="e">
        <f t="shared" ca="1" si="117"/>
        <v>#REF!</v>
      </c>
      <c r="FA146" s="244" t="e">
        <f t="shared" ca="1" si="117"/>
        <v>#REF!</v>
      </c>
      <c r="FB146" s="244" t="e">
        <f t="shared" ca="1" si="117"/>
        <v>#REF!</v>
      </c>
      <c r="FC146" s="244" t="e">
        <f t="shared" ca="1" si="117"/>
        <v>#REF!</v>
      </c>
      <c r="FD146" s="244" t="e">
        <f t="shared" ca="1" si="117"/>
        <v>#REF!</v>
      </c>
      <c r="FE146" s="244" t="e">
        <f t="shared" ca="1" si="117"/>
        <v>#REF!</v>
      </c>
      <c r="FF146" s="244" t="e">
        <f t="shared" ca="1" si="117"/>
        <v>#REF!</v>
      </c>
      <c r="FG146" s="244" t="e">
        <f t="shared" ca="1" si="117"/>
        <v>#REF!</v>
      </c>
      <c r="FH146" s="244" t="e">
        <f t="shared" ca="1" si="117"/>
        <v>#REF!</v>
      </c>
      <c r="FI146" s="244" t="e">
        <f t="shared" ca="1" si="117"/>
        <v>#REF!</v>
      </c>
      <c r="FJ146" s="244" t="e">
        <f t="shared" ca="1" si="117"/>
        <v>#REF!</v>
      </c>
      <c r="FK146" s="244" t="e">
        <f t="shared" ca="1" si="117"/>
        <v>#REF!</v>
      </c>
      <c r="FL146" s="244" t="e">
        <f t="shared" ca="1" si="117"/>
        <v>#REF!</v>
      </c>
      <c r="FM146" s="244" t="e">
        <f t="shared" ca="1" si="66"/>
        <v>#REF!</v>
      </c>
      <c r="FN146" s="244"/>
    </row>
    <row r="147" spans="5:170" x14ac:dyDescent="0.25">
      <c r="AG147" s="238">
        <f>AG146</f>
        <v>45</v>
      </c>
      <c r="AH147" s="112" t="e">
        <f ca="1">AI146+1</f>
        <v>#N/A</v>
      </c>
      <c r="AI147" s="112" t="e">
        <f ca="1">IF(INDIRECT(CONCATENATE("AD",AG145))&lt;100000,INDIRECT(CONCATENATE("AD",AG145))-1,IF(INDIRECT(CONCATENATE("AE",AG145))&lt;100000,INDIRECT(CONCATENATE("AE",G145)),INDIRECT(CONCATENATE("AF",AG145))))</f>
        <v>#N/A</v>
      </c>
      <c r="AJ147" s="114"/>
      <c r="AK147" s="114"/>
      <c r="AL147" s="238" t="e">
        <f t="shared" ca="1" si="88"/>
        <v>#N/A</v>
      </c>
      <c r="AM147" s="112">
        <f t="shared" ca="1" si="107"/>
        <v>100000</v>
      </c>
      <c r="AN147" s="112">
        <f t="shared" ca="1" si="89"/>
        <v>100000</v>
      </c>
      <c r="AO147" s="114">
        <f t="shared" ca="1" si="75"/>
        <v>0</v>
      </c>
      <c r="AP147" s="114">
        <f t="shared" ca="1" si="76"/>
        <v>0</v>
      </c>
      <c r="AR147" s="238">
        <f t="shared" si="90"/>
        <v>147</v>
      </c>
      <c r="AU147" s="283">
        <f t="shared" si="91"/>
        <v>128</v>
      </c>
      <c r="AV147" s="284">
        <f t="shared" ca="1" si="77"/>
        <v>100000</v>
      </c>
      <c r="AW147" s="284">
        <f t="shared" ca="1" si="113"/>
        <v>100000</v>
      </c>
      <c r="AX147" s="285">
        <f t="shared" ca="1" si="114"/>
        <v>10</v>
      </c>
      <c r="AY147" s="285">
        <f t="shared" ca="1" si="79"/>
        <v>18</v>
      </c>
      <c r="AZ147" s="282"/>
      <c r="BH147" s="238">
        <f t="shared" si="93"/>
        <v>128</v>
      </c>
      <c r="BK147" s="245" t="e">
        <f t="shared" ca="1" si="82"/>
        <v>#N/A</v>
      </c>
      <c r="CL147" s="112"/>
      <c r="CM147" s="112"/>
      <c r="CP147" s="112"/>
      <c r="CQ147" s="112"/>
      <c r="CR147" s="112"/>
      <c r="CS147" s="112"/>
      <c r="CT147" s="112"/>
      <c r="CU147" s="112"/>
      <c r="CV147" s="112"/>
      <c r="CW147" s="112" t="s">
        <v>224</v>
      </c>
      <c r="CX147" s="112" t="s">
        <v>225</v>
      </c>
      <c r="CY147" s="112" t="s">
        <v>226</v>
      </c>
      <c r="CZ147" s="112" t="s">
        <v>227</v>
      </c>
      <c r="DA147" s="112" t="s">
        <v>228</v>
      </c>
      <c r="DB147" s="112" t="s">
        <v>229</v>
      </c>
      <c r="DC147" s="112"/>
      <c r="DD147" s="238"/>
      <c r="DE147" s="112"/>
      <c r="DF147" s="112"/>
      <c r="DG147" s="112"/>
      <c r="DH147" s="112"/>
      <c r="DI147" s="112"/>
      <c r="DJ147" s="112"/>
      <c r="DK147" s="112"/>
      <c r="DL147" s="112"/>
      <c r="DM147" s="112" t="e">
        <f>SMALL($DG$20:$DG$343,DL147)</f>
        <v>#NUM!</v>
      </c>
      <c r="DN147" s="112" t="e">
        <f>VLOOKUP(DM147,$DG$20:$DH$343,2,)</f>
        <v>#NUM!</v>
      </c>
      <c r="DO147" s="112"/>
      <c r="DP147" s="112"/>
      <c r="DX147" t="e">
        <f t="shared" si="111"/>
        <v>#NUM!</v>
      </c>
      <c r="EW147" s="244">
        <v>0</v>
      </c>
      <c r="EX147" s="278" t="e">
        <f>VLOOKUP(DM147,Foglio1!$AB$31:$AN$261,13)-6</f>
        <v>#NUM!</v>
      </c>
      <c r="EY147" s="244"/>
      <c r="EZ147" s="244" t="e">
        <f t="shared" ca="1" si="117"/>
        <v>#REF!</v>
      </c>
      <c r="FA147" s="244" t="e">
        <f t="shared" ca="1" si="117"/>
        <v>#REF!</v>
      </c>
      <c r="FB147" s="244" t="e">
        <f t="shared" ca="1" si="117"/>
        <v>#REF!</v>
      </c>
      <c r="FC147" s="244" t="e">
        <f t="shared" ca="1" si="117"/>
        <v>#REF!</v>
      </c>
      <c r="FD147" s="244" t="e">
        <f t="shared" ca="1" si="117"/>
        <v>#REF!</v>
      </c>
      <c r="FE147" s="244" t="e">
        <f t="shared" ca="1" si="117"/>
        <v>#REF!</v>
      </c>
      <c r="FF147" s="244" t="e">
        <f t="shared" ca="1" si="117"/>
        <v>#REF!</v>
      </c>
      <c r="FG147" s="244" t="e">
        <f t="shared" ca="1" si="117"/>
        <v>#REF!</v>
      </c>
      <c r="FH147" s="244" t="e">
        <f t="shared" ca="1" si="117"/>
        <v>#REF!</v>
      </c>
      <c r="FI147" s="244" t="e">
        <f t="shared" ca="1" si="117"/>
        <v>#REF!</v>
      </c>
      <c r="FJ147" s="244" t="e">
        <f t="shared" ca="1" si="117"/>
        <v>#REF!</v>
      </c>
      <c r="FK147" s="244" t="e">
        <f t="shared" ca="1" si="117"/>
        <v>#REF!</v>
      </c>
      <c r="FL147" s="244" t="e">
        <f t="shared" ca="1" si="117"/>
        <v>#REF!</v>
      </c>
      <c r="FM147" s="244" t="e">
        <f t="shared" ca="1" si="66"/>
        <v>#REF!</v>
      </c>
      <c r="FN147" s="244"/>
    </row>
    <row r="148" spans="5:170" x14ac:dyDescent="0.25">
      <c r="AG148" s="238">
        <f>AG147</f>
        <v>45</v>
      </c>
      <c r="AH148" s="112" t="e">
        <f ca="1">AI147+1</f>
        <v>#N/A</v>
      </c>
      <c r="AI148" s="112" t="e">
        <f ca="1">IF(INDIRECT(CONCATENATE("AE",AG145))&lt;100000,INDIRECT(CONCATENATE("AE",G145)),INDIRECT(CONCATENATE("AF",AG145)))</f>
        <v>#N/A</v>
      </c>
      <c r="AJ148" s="114"/>
      <c r="AK148" s="114"/>
      <c r="AL148" s="238" t="e">
        <f t="shared" ca="1" si="88"/>
        <v>#N/A</v>
      </c>
      <c r="AM148" s="112">
        <f t="shared" ca="1" si="107"/>
        <v>100000</v>
      </c>
      <c r="AN148" s="112">
        <f t="shared" ca="1" si="89"/>
        <v>100000</v>
      </c>
      <c r="AO148" s="114">
        <f t="shared" ca="1" si="75"/>
        <v>0</v>
      </c>
      <c r="AP148" s="114">
        <f t="shared" ca="1" si="76"/>
        <v>0</v>
      </c>
      <c r="AR148" s="238">
        <f t="shared" si="90"/>
        <v>148</v>
      </c>
      <c r="AU148" s="283">
        <f t="shared" si="91"/>
        <v>129</v>
      </c>
      <c r="AV148" s="284">
        <f t="shared" ca="1" si="77"/>
        <v>100000</v>
      </c>
      <c r="AW148" s="284">
        <f t="shared" ca="1" si="113"/>
        <v>100000</v>
      </c>
      <c r="AX148" s="285">
        <f t="shared" ca="1" si="114"/>
        <v>10</v>
      </c>
      <c r="AY148" s="285">
        <f t="shared" ca="1" si="79"/>
        <v>18</v>
      </c>
      <c r="AZ148" s="282"/>
      <c r="BH148" s="238">
        <f t="shared" si="93"/>
        <v>129</v>
      </c>
      <c r="BK148" s="245" t="e">
        <f t="shared" ca="1" si="82"/>
        <v>#N/A</v>
      </c>
      <c r="CJ148" s="112"/>
      <c r="CK148" s="112"/>
      <c r="CN148" s="112"/>
      <c r="CO148" s="112"/>
      <c r="CP148" s="112"/>
      <c r="CQ148" s="112"/>
      <c r="CR148" s="112"/>
      <c r="CS148" s="112"/>
      <c r="CT148" s="112"/>
      <c r="CU148" s="112"/>
      <c r="CV148" s="112" t="s">
        <v>225</v>
      </c>
      <c r="CW148" s="112" t="s">
        <v>226</v>
      </c>
      <c r="CX148" s="112" t="s">
        <v>227</v>
      </c>
      <c r="CY148" s="112" t="s">
        <v>228</v>
      </c>
      <c r="CZ148" s="112" t="s">
        <v>229</v>
      </c>
      <c r="DA148" s="112"/>
      <c r="DB148" s="238">
        <f>DD145+1</f>
        <v>1</v>
      </c>
      <c r="DC148" s="112"/>
      <c r="DD148" s="112"/>
      <c r="DE148" s="112"/>
      <c r="DF148" s="112"/>
      <c r="DG148" s="112"/>
      <c r="DH148" s="112"/>
      <c r="DI148" s="112"/>
      <c r="DJ148" s="112"/>
      <c r="DK148" s="112" t="e">
        <f t="shared" ref="DK148:DK162" si="118">SMALL($DG$20:$DG$343,DJ148)</f>
        <v>#NUM!</v>
      </c>
      <c r="DL148" s="112" t="e">
        <f t="shared" ref="DL148:DL162" si="119">VLOOKUP(DK148,$DG$20:$DH$343,2,)</f>
        <v>#NUM!</v>
      </c>
      <c r="DM148" s="112"/>
      <c r="DN148" s="112"/>
      <c r="DV148" t="e">
        <f>VLOOKUP(DK148,$DL$8:$DM$14,2)</f>
        <v>#NUM!</v>
      </c>
      <c r="EU148" s="244">
        <v>0</v>
      </c>
      <c r="EV148" s="278" t="e">
        <f>VLOOKUP(DK148,Foglio1!$AB$31:$AN$261,13)-6</f>
        <v>#NUM!</v>
      </c>
      <c r="EW148" s="244"/>
      <c r="EX148" s="244" t="e">
        <f t="shared" ref="EX148:FK162" ca="1" si="120">INDIRECT(CONCATENATE(EX$16,EX$17,$DZ148))</f>
        <v>#REF!</v>
      </c>
      <c r="EY148" s="244" t="e">
        <f t="shared" ca="1" si="120"/>
        <v>#REF!</v>
      </c>
      <c r="EZ148" s="244" t="e">
        <f t="shared" ca="1" si="120"/>
        <v>#REF!</v>
      </c>
      <c r="FA148" s="244" t="e">
        <f t="shared" ca="1" si="120"/>
        <v>#REF!</v>
      </c>
      <c r="FB148" s="244" t="e">
        <f t="shared" ca="1" si="120"/>
        <v>#REF!</v>
      </c>
      <c r="FC148" s="244" t="e">
        <f t="shared" ca="1" si="120"/>
        <v>#REF!</v>
      </c>
      <c r="FD148" s="244" t="e">
        <f t="shared" ca="1" si="120"/>
        <v>#REF!</v>
      </c>
      <c r="FE148" s="244" t="e">
        <f t="shared" ca="1" si="120"/>
        <v>#REF!</v>
      </c>
      <c r="FF148" s="244" t="e">
        <f t="shared" ca="1" si="120"/>
        <v>#REF!</v>
      </c>
      <c r="FG148" s="244" t="e">
        <f t="shared" ca="1" si="120"/>
        <v>#REF!</v>
      </c>
      <c r="FH148" s="244" t="e">
        <f t="shared" ca="1" si="120"/>
        <v>#REF!</v>
      </c>
      <c r="FI148" s="244" t="e">
        <f t="shared" ca="1" si="120"/>
        <v>#REF!</v>
      </c>
      <c r="FJ148" s="244" t="e">
        <f t="shared" ca="1" si="120"/>
        <v>#REF!</v>
      </c>
      <c r="FK148" s="244" t="e">
        <f t="shared" ca="1" si="120"/>
        <v>#REF!</v>
      </c>
      <c r="FL148" s="244"/>
    </row>
    <row r="149" spans="5:170" x14ac:dyDescent="0.25">
      <c r="AG149" s="238">
        <f>AG148</f>
        <v>45</v>
      </c>
      <c r="AH149" s="112" t="e">
        <f ca="1">AI148+1</f>
        <v>#N/A</v>
      </c>
      <c r="AI149" s="112">
        <f ca="1">INDIRECT(CONCATENATE("AF",AG145))</f>
        <v>100000</v>
      </c>
      <c r="AJ149" s="114"/>
      <c r="AK149" s="114"/>
      <c r="AL149" s="238" t="e">
        <f t="shared" ca="1" si="88"/>
        <v>#N/A</v>
      </c>
      <c r="AM149" s="112">
        <f t="shared" ca="1" si="107"/>
        <v>100000</v>
      </c>
      <c r="AN149" s="112">
        <f t="shared" ca="1" si="89"/>
        <v>100000</v>
      </c>
      <c r="AO149" s="114">
        <f t="shared" ref="AO149:AO212" ca="1" si="121">INDIRECT(CONCATENATE("H",AG149))</f>
        <v>0</v>
      </c>
      <c r="AP149" s="114">
        <f t="shared" ref="AP149:AP212" ca="1" si="122">INDIRECT(CONCATENATE("J",AG149))</f>
        <v>0</v>
      </c>
      <c r="AR149" s="238">
        <f t="shared" si="90"/>
        <v>149</v>
      </c>
      <c r="AU149" s="283">
        <f t="shared" si="91"/>
        <v>130</v>
      </c>
      <c r="AV149" s="284">
        <f ca="1">SMALL($AM$20:$AM$564,AU149)</f>
        <v>100000</v>
      </c>
      <c r="AW149" s="284">
        <f t="shared" ca="1" si="113"/>
        <v>100000</v>
      </c>
      <c r="AX149" s="285">
        <f t="shared" ca="1" si="114"/>
        <v>10</v>
      </c>
      <c r="AY149" s="285">
        <f ca="1">VLOOKUP(AV149,$AM$20:$AP$564,4,FALSE)</f>
        <v>18</v>
      </c>
      <c r="AZ149" s="282"/>
      <c r="BH149" s="238">
        <f t="shared" si="93"/>
        <v>130</v>
      </c>
      <c r="BK149" s="245" t="e">
        <f t="shared" ref="BK149:BK154" ca="1" si="123">SMALL($BI$20:$BI$154,BH149)</f>
        <v>#N/A</v>
      </c>
      <c r="CJ149" s="112"/>
      <c r="CK149" s="112"/>
      <c r="CN149" s="112"/>
      <c r="CO149" s="112"/>
      <c r="CP149" s="112"/>
      <c r="CQ149" s="112"/>
      <c r="CR149" s="112"/>
      <c r="CS149" s="112"/>
      <c r="CT149" s="112"/>
      <c r="CU149" s="112"/>
      <c r="CV149" s="112" t="s">
        <v>225</v>
      </c>
      <c r="CW149" s="112" t="s">
        <v>226</v>
      </c>
      <c r="CX149" s="112" t="s">
        <v>227</v>
      </c>
      <c r="CY149" s="112" t="s">
        <v>228</v>
      </c>
      <c r="CZ149" s="112" t="s">
        <v>229</v>
      </c>
      <c r="DA149" s="112"/>
      <c r="DB149" s="238">
        <f>DD146+1</f>
        <v>1</v>
      </c>
      <c r="DC149" s="112"/>
      <c r="DD149" s="112"/>
      <c r="DE149" s="112"/>
      <c r="DF149" s="112"/>
      <c r="DG149" s="112"/>
      <c r="DH149" s="112"/>
      <c r="DI149" s="112"/>
      <c r="DJ149" s="112"/>
      <c r="DK149" s="112" t="e">
        <f t="shared" si="118"/>
        <v>#NUM!</v>
      </c>
      <c r="DL149" s="112" t="e">
        <f t="shared" si="119"/>
        <v>#NUM!</v>
      </c>
      <c r="DM149" s="112"/>
      <c r="DN149" s="112"/>
      <c r="EU149" s="244">
        <v>0</v>
      </c>
      <c r="EV149" s="278" t="e">
        <f>VLOOKUP(DK149,Foglio1!$AB$31:$AN$261,13)-6</f>
        <v>#NUM!</v>
      </c>
      <c r="EW149" s="244"/>
      <c r="EX149" s="244" t="e">
        <f t="shared" ca="1" si="120"/>
        <v>#REF!</v>
      </c>
      <c r="EY149" s="244" t="e">
        <f t="shared" ca="1" si="120"/>
        <v>#REF!</v>
      </c>
      <c r="EZ149" s="244" t="e">
        <f t="shared" ca="1" si="120"/>
        <v>#REF!</v>
      </c>
      <c r="FA149" s="244" t="e">
        <f t="shared" ca="1" si="120"/>
        <v>#REF!</v>
      </c>
      <c r="FB149" s="244" t="e">
        <f t="shared" ca="1" si="120"/>
        <v>#REF!</v>
      </c>
      <c r="FC149" s="244" t="e">
        <f t="shared" ca="1" si="120"/>
        <v>#REF!</v>
      </c>
      <c r="FD149" s="244" t="e">
        <f t="shared" ca="1" si="120"/>
        <v>#REF!</v>
      </c>
      <c r="FE149" s="244" t="e">
        <f t="shared" ca="1" si="120"/>
        <v>#REF!</v>
      </c>
      <c r="FF149" s="244" t="e">
        <f t="shared" ca="1" si="120"/>
        <v>#REF!</v>
      </c>
      <c r="FG149" s="244" t="e">
        <f t="shared" ca="1" si="120"/>
        <v>#REF!</v>
      </c>
      <c r="FH149" s="244" t="e">
        <f t="shared" ca="1" si="120"/>
        <v>#REF!</v>
      </c>
      <c r="FI149" s="244" t="e">
        <f t="shared" ca="1" si="120"/>
        <v>#REF!</v>
      </c>
      <c r="FJ149" s="244" t="e">
        <f t="shared" ca="1" si="120"/>
        <v>#REF!</v>
      </c>
      <c r="FK149" s="244" t="e">
        <f t="shared" ca="1" si="120"/>
        <v>#REF!</v>
      </c>
      <c r="FL149" s="244"/>
    </row>
    <row r="150" spans="5:170" x14ac:dyDescent="0.25">
      <c r="AG150" s="238">
        <f>AG149+1</f>
        <v>46</v>
      </c>
      <c r="AH150" s="112">
        <f ca="1">INDIRECT(CONCATENATE("AA",AG150))</f>
        <v>100000</v>
      </c>
      <c r="AI150" s="112" t="e">
        <f ca="1">IF(            INDIRECT(CONCATENATE( "AB",AG150))&lt;100000,       INDIRECT(CONCATENATE("AB",AG150))  -1,IF(   INDIRECT(CONCATENATE("AC",AG150))&lt;100000,   INDIRECT(CONCATENATE("AC",AG150))-1,IF(   INDIRECT(CONCATENATE("AD", AG150))&lt;100000, INDIRECT(CONCATENATE("AD",AG150))-1,IF(   INDIRECT(CONCATENATE("AE",AG150))&lt;100000,  INDIRECT(CONCATENATE("AE",G150)),INDIRECT(CONCATENATE("AF",AG150))                ))))</f>
        <v>#N/A</v>
      </c>
      <c r="AJ150" s="114"/>
      <c r="AK150" s="114"/>
      <c r="AL150" s="238" t="e">
        <f t="shared" ref="AL150:AL213" ca="1" si="124">IF(AI150=AI149,0,1)</f>
        <v>#N/A</v>
      </c>
      <c r="AM150" s="112">
        <f t="shared" ca="1" si="107"/>
        <v>100000</v>
      </c>
      <c r="AN150" s="112">
        <f t="shared" ref="AN150:AN213" ca="1" si="125">IF(AM150=100000,100000,AI150)</f>
        <v>100000</v>
      </c>
      <c r="AO150" s="114">
        <f t="shared" ca="1" si="121"/>
        <v>0</v>
      </c>
      <c r="AP150" s="114">
        <f t="shared" ca="1" si="122"/>
        <v>0</v>
      </c>
      <c r="AR150" s="238">
        <f t="shared" ref="AR150:AR213" si="126">AR149+1</f>
        <v>150</v>
      </c>
      <c r="AU150" s="283">
        <f t="shared" ref="AU150:AU213" si="127">AU149+1</f>
        <v>131</v>
      </c>
      <c r="AV150" s="284">
        <f ca="1">SMALL($AM$20:$AM$564,AU150)</f>
        <v>100000</v>
      </c>
      <c r="AW150" s="284">
        <f t="shared" ca="1" si="113"/>
        <v>100000</v>
      </c>
      <c r="AX150" s="285">
        <f t="shared" ca="1" si="114"/>
        <v>10</v>
      </c>
      <c r="AY150" s="285">
        <f ca="1">VLOOKUP(AV150,$AM$20:$AP$564,4,FALSE)</f>
        <v>18</v>
      </c>
      <c r="AZ150" s="282"/>
      <c r="BH150" s="238">
        <f>BH149+1</f>
        <v>131</v>
      </c>
      <c r="BK150" s="245" t="e">
        <f t="shared" ca="1" si="123"/>
        <v>#N/A</v>
      </c>
      <c r="CJ150" s="112"/>
      <c r="CK150" s="112"/>
      <c r="CN150" s="112"/>
      <c r="CO150" s="112"/>
      <c r="CP150" s="112"/>
      <c r="CQ150" s="112"/>
      <c r="CR150" s="112"/>
      <c r="CS150" s="112"/>
      <c r="CT150" s="112"/>
      <c r="CU150" s="112"/>
      <c r="CV150" s="112" t="s">
        <v>225</v>
      </c>
      <c r="CW150" s="112" t="s">
        <v>226</v>
      </c>
      <c r="CX150" s="112" t="s">
        <v>227</v>
      </c>
      <c r="CY150" s="112" t="s">
        <v>228</v>
      </c>
      <c r="CZ150" s="112" t="s">
        <v>229</v>
      </c>
      <c r="DA150" s="112"/>
      <c r="DB150" s="238">
        <f>DD147+1</f>
        <v>1</v>
      </c>
      <c r="DC150" s="112"/>
      <c r="DD150" s="112"/>
      <c r="DE150" s="112"/>
      <c r="DF150" s="112"/>
      <c r="DG150" s="112"/>
      <c r="DH150" s="112"/>
      <c r="DI150" s="112"/>
      <c r="DJ150" s="112"/>
      <c r="DK150" s="112" t="e">
        <f t="shared" si="118"/>
        <v>#NUM!</v>
      </c>
      <c r="DL150" s="112" t="e">
        <f t="shared" si="119"/>
        <v>#NUM!</v>
      </c>
      <c r="DM150" s="112"/>
      <c r="DN150" s="112"/>
      <c r="EU150" s="244">
        <v>0</v>
      </c>
      <c r="EV150" s="278" t="e">
        <f>VLOOKUP(DK150,Foglio1!$AB$31:$AN$261,13)-6</f>
        <v>#NUM!</v>
      </c>
      <c r="EW150" s="244"/>
      <c r="EX150" s="244" t="e">
        <f t="shared" ca="1" si="120"/>
        <v>#REF!</v>
      </c>
      <c r="EY150" s="244" t="e">
        <f t="shared" ca="1" si="120"/>
        <v>#REF!</v>
      </c>
      <c r="EZ150" s="244" t="e">
        <f t="shared" ca="1" si="120"/>
        <v>#REF!</v>
      </c>
      <c r="FA150" s="244" t="e">
        <f t="shared" ca="1" si="120"/>
        <v>#REF!</v>
      </c>
      <c r="FB150" s="244" t="e">
        <f t="shared" ca="1" si="120"/>
        <v>#REF!</v>
      </c>
      <c r="FC150" s="244" t="e">
        <f t="shared" ca="1" si="120"/>
        <v>#REF!</v>
      </c>
      <c r="FD150" s="244" t="e">
        <f t="shared" ca="1" si="120"/>
        <v>#REF!</v>
      </c>
      <c r="FE150" s="244" t="e">
        <f t="shared" ca="1" si="120"/>
        <v>#REF!</v>
      </c>
      <c r="FF150" s="244" t="e">
        <f t="shared" ca="1" si="120"/>
        <v>#REF!</v>
      </c>
      <c r="FG150" s="244" t="e">
        <f t="shared" ca="1" si="120"/>
        <v>#REF!</v>
      </c>
      <c r="FH150" s="244" t="e">
        <f t="shared" ca="1" si="120"/>
        <v>#REF!</v>
      </c>
      <c r="FI150" s="244" t="e">
        <f t="shared" ca="1" si="120"/>
        <v>#REF!</v>
      </c>
      <c r="FJ150" s="244" t="e">
        <f t="shared" ca="1" si="120"/>
        <v>#REF!</v>
      </c>
      <c r="FK150" s="244" t="e">
        <f t="shared" ca="1" si="120"/>
        <v>#REF!</v>
      </c>
      <c r="FL150" s="244"/>
    </row>
    <row r="151" spans="5:170" x14ac:dyDescent="0.25">
      <c r="AG151" s="238">
        <f>AG150</f>
        <v>46</v>
      </c>
      <c r="AH151" s="112" t="e">
        <f ca="1">AI150+1</f>
        <v>#N/A</v>
      </c>
      <c r="AI151" s="112" t="e">
        <f ca="1">IF(INDIRECT(CONCATENATE("AC",AG150))&lt;100000,INDIRECT(CONCATENATE("AC",AG150))-1,IF(INDIRECT(CONCATENATE("AD",AG150))&lt;100000,INDIRECT(CONCATENATE("AD",AG150))-1,IF(INDIRECT(CONCATENATE("AE",AG150))&lt;100000,INDIRECT(CONCATENATE("AE",G150)),INDIRECT(CONCATENATE("AF",AG150)))))</f>
        <v>#N/A</v>
      </c>
      <c r="AJ151" s="114"/>
      <c r="AK151" s="114"/>
      <c r="AL151" s="238" t="e">
        <f t="shared" ca="1" si="124"/>
        <v>#N/A</v>
      </c>
      <c r="AM151" s="112">
        <f t="shared" ca="1" si="107"/>
        <v>100000</v>
      </c>
      <c r="AN151" s="112">
        <f t="shared" ca="1" si="125"/>
        <v>100000</v>
      </c>
      <c r="AO151" s="114">
        <f t="shared" ca="1" si="121"/>
        <v>0</v>
      </c>
      <c r="AP151" s="114">
        <f t="shared" ca="1" si="122"/>
        <v>0</v>
      </c>
      <c r="AR151" s="238">
        <f t="shared" si="126"/>
        <v>151</v>
      </c>
      <c r="AU151" s="283">
        <f t="shared" si="127"/>
        <v>132</v>
      </c>
      <c r="AV151" s="284">
        <f ca="1">SMALL($AM$20:$AM$564,AU151)</f>
        <v>100000</v>
      </c>
      <c r="AW151" s="284">
        <f t="shared" ca="1" si="113"/>
        <v>100000</v>
      </c>
      <c r="AX151" s="285">
        <f t="shared" ca="1" si="114"/>
        <v>10</v>
      </c>
      <c r="AY151" s="285">
        <f ca="1">VLOOKUP(AV151,$AM$20:$AP$564,4,FALSE)</f>
        <v>18</v>
      </c>
      <c r="AZ151" s="282"/>
      <c r="BH151" s="238">
        <f>BH150+1</f>
        <v>132</v>
      </c>
      <c r="BK151" s="245" t="e">
        <f t="shared" ca="1" si="123"/>
        <v>#N/A</v>
      </c>
      <c r="CJ151" s="112"/>
      <c r="CK151" s="112"/>
      <c r="CN151" s="112"/>
      <c r="CO151" s="112"/>
      <c r="CP151" s="112"/>
      <c r="CQ151" s="112"/>
      <c r="CR151" s="112"/>
      <c r="CS151" s="112"/>
      <c r="CT151" s="112"/>
      <c r="CU151" s="112"/>
      <c r="CV151" s="112" t="s">
        <v>225</v>
      </c>
      <c r="CW151" s="112" t="s">
        <v>226</v>
      </c>
      <c r="CX151" s="112" t="s">
        <v>227</v>
      </c>
      <c r="CY151" s="112" t="s">
        <v>228</v>
      </c>
      <c r="CZ151" s="112" t="s">
        <v>229</v>
      </c>
      <c r="DA151" s="112"/>
      <c r="DB151" s="238">
        <f t="shared" ref="DB151:DB162" si="128">DB148+1</f>
        <v>2</v>
      </c>
      <c r="DC151" s="112"/>
      <c r="DD151" s="112"/>
      <c r="DE151" s="112"/>
      <c r="DF151" s="112"/>
      <c r="DG151" s="112"/>
      <c r="DH151" s="112"/>
      <c r="DI151" s="112"/>
      <c r="DJ151" s="112"/>
      <c r="DK151" s="112" t="e">
        <f t="shared" si="118"/>
        <v>#NUM!</v>
      </c>
      <c r="DL151" s="112" t="e">
        <f t="shared" si="119"/>
        <v>#NUM!</v>
      </c>
      <c r="DM151" s="112"/>
      <c r="DN151" s="112"/>
      <c r="EU151" s="244">
        <v>0</v>
      </c>
      <c r="EV151" s="278" t="e">
        <f>VLOOKUP(DK151,Foglio1!$AB$31:$AN$261,13)-6</f>
        <v>#NUM!</v>
      </c>
      <c r="EW151" s="244"/>
      <c r="EX151" s="244" t="e">
        <f t="shared" ca="1" si="120"/>
        <v>#REF!</v>
      </c>
      <c r="EY151" s="244" t="e">
        <f t="shared" ca="1" si="120"/>
        <v>#REF!</v>
      </c>
      <c r="EZ151" s="244" t="e">
        <f t="shared" ca="1" si="120"/>
        <v>#REF!</v>
      </c>
      <c r="FA151" s="244" t="e">
        <f t="shared" ca="1" si="120"/>
        <v>#REF!</v>
      </c>
      <c r="FB151" s="244" t="e">
        <f t="shared" ca="1" si="120"/>
        <v>#REF!</v>
      </c>
      <c r="FC151" s="244" t="e">
        <f t="shared" ca="1" si="120"/>
        <v>#REF!</v>
      </c>
      <c r="FD151" s="244" t="e">
        <f t="shared" ca="1" si="120"/>
        <v>#REF!</v>
      </c>
      <c r="FE151" s="244" t="e">
        <f t="shared" ca="1" si="120"/>
        <v>#REF!</v>
      </c>
      <c r="FF151" s="244" t="e">
        <f t="shared" ca="1" si="120"/>
        <v>#REF!</v>
      </c>
      <c r="FG151" s="244" t="e">
        <f t="shared" ca="1" si="120"/>
        <v>#REF!</v>
      </c>
      <c r="FH151" s="244" t="e">
        <f t="shared" ca="1" si="120"/>
        <v>#REF!</v>
      </c>
      <c r="FI151" s="244" t="e">
        <f t="shared" ca="1" si="120"/>
        <v>#REF!</v>
      </c>
      <c r="FJ151" s="244" t="e">
        <f t="shared" ca="1" si="120"/>
        <v>#REF!</v>
      </c>
      <c r="FK151" s="244" t="e">
        <f t="shared" ca="1" si="120"/>
        <v>#REF!</v>
      </c>
      <c r="FL151" s="244"/>
    </row>
    <row r="152" spans="5:170" x14ac:dyDescent="0.25">
      <c r="AG152" s="238">
        <f>AG151</f>
        <v>46</v>
      </c>
      <c r="AH152" s="112" t="e">
        <f ca="1">AI151+1</f>
        <v>#N/A</v>
      </c>
      <c r="AI152" s="112" t="e">
        <f ca="1">IF(INDIRECT(CONCATENATE("AD",AG150))&lt;100000,INDIRECT(CONCATENATE("AD",AG150))-1,IF(INDIRECT(CONCATENATE("AE",AG150))&lt;100000,INDIRECT(CONCATENATE("AE",G150)),INDIRECT(CONCATENATE("AF",AG150))))</f>
        <v>#N/A</v>
      </c>
      <c r="AJ152" s="114"/>
      <c r="AK152" s="114"/>
      <c r="AL152" s="238" t="e">
        <f t="shared" ca="1" si="124"/>
        <v>#N/A</v>
      </c>
      <c r="AM152" s="112">
        <f t="shared" ca="1" si="107"/>
        <v>100000</v>
      </c>
      <c r="AN152" s="112">
        <f t="shared" ca="1" si="125"/>
        <v>100000</v>
      </c>
      <c r="AO152" s="114">
        <f t="shared" ca="1" si="121"/>
        <v>0</v>
      </c>
      <c r="AP152" s="114">
        <f t="shared" ca="1" si="122"/>
        <v>0</v>
      </c>
      <c r="AR152" s="238">
        <f t="shared" si="126"/>
        <v>152</v>
      </c>
      <c r="AU152" s="283">
        <f t="shared" si="127"/>
        <v>133</v>
      </c>
      <c r="AV152" s="284">
        <f ca="1">SMALL($AM$20:$AM$564,AU152)</f>
        <v>100000</v>
      </c>
      <c r="AW152" s="284">
        <f t="shared" ca="1" si="113"/>
        <v>100000</v>
      </c>
      <c r="AX152" s="285">
        <f t="shared" ca="1" si="114"/>
        <v>10</v>
      </c>
      <c r="AY152" s="285">
        <f ca="1">VLOOKUP(AV152,$AM$20:$AP$564,4,FALSE)</f>
        <v>18</v>
      </c>
      <c r="AZ152" s="282"/>
      <c r="BH152" s="238">
        <f>BH151+1</f>
        <v>133</v>
      </c>
      <c r="BK152" s="245" t="e">
        <f t="shared" ca="1" si="123"/>
        <v>#N/A</v>
      </c>
      <c r="CJ152" s="112"/>
      <c r="CK152" s="112"/>
      <c r="CN152" s="112"/>
      <c r="CO152" s="112"/>
      <c r="CP152" s="112"/>
      <c r="CQ152" s="112"/>
      <c r="CR152" s="112"/>
      <c r="CS152" s="112"/>
      <c r="CT152" s="112"/>
      <c r="CU152" s="112"/>
      <c r="CV152" s="112" t="s">
        <v>225</v>
      </c>
      <c r="CW152" s="112" t="s">
        <v>226</v>
      </c>
      <c r="CX152" s="112" t="s">
        <v>227</v>
      </c>
      <c r="CY152" s="112" t="s">
        <v>228</v>
      </c>
      <c r="CZ152" s="112" t="s">
        <v>229</v>
      </c>
      <c r="DA152" s="112"/>
      <c r="DB152" s="238">
        <f t="shared" si="128"/>
        <v>2</v>
      </c>
      <c r="DC152" s="112"/>
      <c r="DD152" s="112"/>
      <c r="DE152" s="112"/>
      <c r="DF152" s="112"/>
      <c r="DG152" s="112"/>
      <c r="DH152" s="112"/>
      <c r="DI152" s="112"/>
      <c r="DJ152" s="112"/>
      <c r="DK152" s="112" t="e">
        <f t="shared" si="118"/>
        <v>#NUM!</v>
      </c>
      <c r="DL152" s="112" t="e">
        <f t="shared" si="119"/>
        <v>#NUM!</v>
      </c>
      <c r="DM152" s="112"/>
      <c r="DN152" s="112"/>
      <c r="EU152" s="244">
        <v>0</v>
      </c>
      <c r="EV152" s="278" t="e">
        <f>VLOOKUP(DK152,Foglio1!$AB$31:$AN$261,13)-6</f>
        <v>#NUM!</v>
      </c>
      <c r="EW152" s="244"/>
      <c r="EX152" s="244" t="e">
        <f t="shared" ca="1" si="120"/>
        <v>#REF!</v>
      </c>
      <c r="EY152" s="244" t="e">
        <f t="shared" ca="1" si="120"/>
        <v>#REF!</v>
      </c>
      <c r="EZ152" s="244" t="e">
        <f t="shared" ca="1" si="120"/>
        <v>#REF!</v>
      </c>
      <c r="FA152" s="244" t="e">
        <f t="shared" ca="1" si="120"/>
        <v>#REF!</v>
      </c>
      <c r="FB152" s="244" t="e">
        <f t="shared" ca="1" si="120"/>
        <v>#REF!</v>
      </c>
      <c r="FC152" s="244" t="e">
        <f t="shared" ca="1" si="120"/>
        <v>#REF!</v>
      </c>
      <c r="FD152" s="244" t="e">
        <f t="shared" ca="1" si="120"/>
        <v>#REF!</v>
      </c>
      <c r="FE152" s="244" t="e">
        <f t="shared" ca="1" si="120"/>
        <v>#REF!</v>
      </c>
      <c r="FF152" s="244" t="e">
        <f t="shared" ca="1" si="120"/>
        <v>#REF!</v>
      </c>
      <c r="FG152" s="244" t="e">
        <f t="shared" ca="1" si="120"/>
        <v>#REF!</v>
      </c>
      <c r="FH152" s="244" t="e">
        <f t="shared" ca="1" si="120"/>
        <v>#REF!</v>
      </c>
      <c r="FI152" s="244" t="e">
        <f t="shared" ca="1" si="120"/>
        <v>#REF!</v>
      </c>
      <c r="FJ152" s="244" t="e">
        <f t="shared" ca="1" si="120"/>
        <v>#REF!</v>
      </c>
      <c r="FK152" s="244" t="e">
        <f t="shared" ca="1" si="120"/>
        <v>#REF!</v>
      </c>
      <c r="FL152" s="244"/>
    </row>
    <row r="153" spans="5:170" x14ac:dyDescent="0.25">
      <c r="AG153" s="238">
        <f>AG152</f>
        <v>46</v>
      </c>
      <c r="AH153" s="112" t="e">
        <f ca="1">AI152+1</f>
        <v>#N/A</v>
      </c>
      <c r="AI153" s="112" t="e">
        <f ca="1">IF(INDIRECT(CONCATENATE("AE",AG150))&lt;100000,INDIRECT(CONCATENATE("AE",G150)),INDIRECT(CONCATENATE("AF",AG150)))</f>
        <v>#N/A</v>
      </c>
      <c r="AJ153" s="114"/>
      <c r="AK153" s="114"/>
      <c r="AL153" s="238" t="e">
        <f t="shared" ca="1" si="124"/>
        <v>#N/A</v>
      </c>
      <c r="AM153" s="112">
        <f t="shared" ca="1" si="107"/>
        <v>100000</v>
      </c>
      <c r="AN153" s="112">
        <f t="shared" ca="1" si="125"/>
        <v>100000</v>
      </c>
      <c r="AO153" s="114">
        <f t="shared" ca="1" si="121"/>
        <v>0</v>
      </c>
      <c r="AP153" s="114">
        <f t="shared" ca="1" si="122"/>
        <v>0</v>
      </c>
      <c r="AR153" s="238">
        <f t="shared" si="126"/>
        <v>153</v>
      </c>
      <c r="AU153" s="238">
        <f t="shared" si="127"/>
        <v>134</v>
      </c>
      <c r="AV153" s="238"/>
      <c r="AW153" s="238"/>
      <c r="BH153" s="238">
        <f>BH152+1</f>
        <v>134</v>
      </c>
      <c r="BK153" s="245" t="e">
        <f t="shared" ca="1" si="123"/>
        <v>#N/A</v>
      </c>
      <c r="CJ153" s="112"/>
      <c r="CK153" s="112"/>
      <c r="CN153" s="112"/>
      <c r="CO153" s="112"/>
      <c r="CP153" s="112"/>
      <c r="CQ153" s="112"/>
      <c r="CR153" s="112"/>
      <c r="CS153" s="112"/>
      <c r="CT153" s="112"/>
      <c r="CU153" s="112"/>
      <c r="CV153" s="112" t="s">
        <v>225</v>
      </c>
      <c r="CW153" s="112" t="s">
        <v>226</v>
      </c>
      <c r="CX153" s="112" t="s">
        <v>227</v>
      </c>
      <c r="CY153" s="112" t="s">
        <v>228</v>
      </c>
      <c r="CZ153" s="112" t="s">
        <v>229</v>
      </c>
      <c r="DA153" s="112"/>
      <c r="DB153" s="238">
        <f t="shared" si="128"/>
        <v>2</v>
      </c>
      <c r="DC153" s="112"/>
      <c r="DD153" s="112"/>
      <c r="DE153" s="112"/>
      <c r="DF153" s="112"/>
      <c r="DG153" s="112"/>
      <c r="DH153" s="112"/>
      <c r="DI153" s="112"/>
      <c r="DJ153" s="112"/>
      <c r="DK153" s="112" t="e">
        <f t="shared" si="118"/>
        <v>#NUM!</v>
      </c>
      <c r="DL153" s="112" t="e">
        <f t="shared" si="119"/>
        <v>#NUM!</v>
      </c>
      <c r="DM153" s="112"/>
      <c r="DN153" s="112"/>
      <c r="EU153" s="244">
        <v>0</v>
      </c>
      <c r="EV153" s="278" t="e">
        <f>VLOOKUP(DK153,Foglio1!$AB$31:$AN$261,13)-6</f>
        <v>#NUM!</v>
      </c>
      <c r="EW153" s="244"/>
      <c r="EX153" s="244" t="e">
        <f t="shared" ca="1" si="120"/>
        <v>#REF!</v>
      </c>
      <c r="EY153" s="244" t="e">
        <f t="shared" ca="1" si="120"/>
        <v>#REF!</v>
      </c>
      <c r="EZ153" s="244" t="e">
        <f t="shared" ca="1" si="120"/>
        <v>#REF!</v>
      </c>
      <c r="FA153" s="244" t="e">
        <f t="shared" ca="1" si="120"/>
        <v>#REF!</v>
      </c>
      <c r="FB153" s="244" t="e">
        <f t="shared" ca="1" si="120"/>
        <v>#REF!</v>
      </c>
      <c r="FC153" s="244" t="e">
        <f t="shared" ca="1" si="120"/>
        <v>#REF!</v>
      </c>
      <c r="FD153" s="244" t="e">
        <f t="shared" ca="1" si="120"/>
        <v>#REF!</v>
      </c>
      <c r="FE153" s="244" t="e">
        <f t="shared" ca="1" si="120"/>
        <v>#REF!</v>
      </c>
      <c r="FF153" s="244" t="e">
        <f t="shared" ca="1" si="120"/>
        <v>#REF!</v>
      </c>
      <c r="FG153" s="244" t="e">
        <f t="shared" ca="1" si="120"/>
        <v>#REF!</v>
      </c>
      <c r="FH153" s="244" t="e">
        <f t="shared" ca="1" si="120"/>
        <v>#REF!</v>
      </c>
      <c r="FI153" s="244" t="e">
        <f t="shared" ca="1" si="120"/>
        <v>#REF!</v>
      </c>
      <c r="FJ153" s="244" t="e">
        <f t="shared" ca="1" si="120"/>
        <v>#REF!</v>
      </c>
      <c r="FK153" s="244" t="e">
        <f t="shared" ca="1" si="120"/>
        <v>#REF!</v>
      </c>
      <c r="FL153" s="244"/>
    </row>
    <row r="154" spans="5:170" x14ac:dyDescent="0.25">
      <c r="AG154" s="238">
        <f>AG153</f>
        <v>46</v>
      </c>
      <c r="AH154" s="112" t="e">
        <f ca="1">AI153+1</f>
        <v>#N/A</v>
      </c>
      <c r="AI154" s="112">
        <f ca="1">INDIRECT(CONCATENATE("AF",AG150))</f>
        <v>100000</v>
      </c>
      <c r="AJ154" s="114"/>
      <c r="AK154" s="114"/>
      <c r="AL154" s="238" t="e">
        <f t="shared" ca="1" si="124"/>
        <v>#N/A</v>
      </c>
      <c r="AM154" s="112">
        <f t="shared" ca="1" si="107"/>
        <v>100000</v>
      </c>
      <c r="AN154" s="112">
        <f t="shared" ca="1" si="125"/>
        <v>100000</v>
      </c>
      <c r="AO154" s="114">
        <f t="shared" ca="1" si="121"/>
        <v>0</v>
      </c>
      <c r="AP154" s="114">
        <f t="shared" ca="1" si="122"/>
        <v>0</v>
      </c>
      <c r="AR154" s="238">
        <f t="shared" si="126"/>
        <v>154</v>
      </c>
      <c r="AU154" s="238">
        <f t="shared" si="127"/>
        <v>135</v>
      </c>
      <c r="AV154" s="238"/>
      <c r="AW154" s="238"/>
      <c r="BH154" s="238">
        <f>BH153+1</f>
        <v>135</v>
      </c>
      <c r="BK154" s="245" t="e">
        <f t="shared" ca="1" si="123"/>
        <v>#N/A</v>
      </c>
      <c r="CJ154" s="112"/>
      <c r="CK154" s="112"/>
      <c r="CN154" s="112"/>
      <c r="CO154" s="112"/>
      <c r="CP154" s="112"/>
      <c r="CQ154" s="112"/>
      <c r="CR154" s="112"/>
      <c r="CS154" s="112"/>
      <c r="CT154" s="112"/>
      <c r="CU154" s="112"/>
      <c r="CV154" s="112" t="s">
        <v>225</v>
      </c>
      <c r="CW154" s="112" t="s">
        <v>226</v>
      </c>
      <c r="CX154" s="112" t="s">
        <v>227</v>
      </c>
      <c r="CY154" s="112" t="s">
        <v>228</v>
      </c>
      <c r="CZ154" s="112" t="s">
        <v>229</v>
      </c>
      <c r="DA154" s="112"/>
      <c r="DB154" s="238">
        <f t="shared" si="128"/>
        <v>3</v>
      </c>
      <c r="DC154" s="112"/>
      <c r="DD154" s="112"/>
      <c r="DE154" s="112"/>
      <c r="DF154" s="112"/>
      <c r="DG154" s="112"/>
      <c r="DH154" s="112"/>
      <c r="DI154" s="112"/>
      <c r="DJ154" s="112"/>
      <c r="DK154" s="112" t="e">
        <f t="shared" si="118"/>
        <v>#NUM!</v>
      </c>
      <c r="DL154" s="112" t="e">
        <f t="shared" si="119"/>
        <v>#NUM!</v>
      </c>
      <c r="DM154" s="112"/>
      <c r="DN154" s="112"/>
      <c r="EU154" s="244">
        <v>0</v>
      </c>
      <c r="EV154" s="278" t="e">
        <f>VLOOKUP(DK154,Foglio1!$AB$31:$AN$261,13)-6</f>
        <v>#NUM!</v>
      </c>
      <c r="EW154" s="244"/>
      <c r="EX154" s="244" t="e">
        <f t="shared" ca="1" si="120"/>
        <v>#REF!</v>
      </c>
      <c r="EY154" s="244" t="e">
        <f t="shared" ca="1" si="120"/>
        <v>#REF!</v>
      </c>
      <c r="EZ154" s="244" t="e">
        <f t="shared" ca="1" si="120"/>
        <v>#REF!</v>
      </c>
      <c r="FA154" s="244" t="e">
        <f t="shared" ca="1" si="120"/>
        <v>#REF!</v>
      </c>
      <c r="FB154" s="244" t="e">
        <f t="shared" ca="1" si="120"/>
        <v>#REF!</v>
      </c>
      <c r="FC154" s="244" t="e">
        <f t="shared" ca="1" si="120"/>
        <v>#REF!</v>
      </c>
      <c r="FD154" s="244" t="e">
        <f t="shared" ca="1" si="120"/>
        <v>#REF!</v>
      </c>
      <c r="FE154" s="244" t="e">
        <f t="shared" ca="1" si="120"/>
        <v>#REF!</v>
      </c>
      <c r="FF154" s="244" t="e">
        <f t="shared" ca="1" si="120"/>
        <v>#REF!</v>
      </c>
      <c r="FG154" s="244" t="e">
        <f t="shared" ca="1" si="120"/>
        <v>#REF!</v>
      </c>
      <c r="FH154" s="244" t="e">
        <f t="shared" ca="1" si="120"/>
        <v>#REF!</v>
      </c>
      <c r="FI154" s="244" t="e">
        <f t="shared" ca="1" si="120"/>
        <v>#REF!</v>
      </c>
      <c r="FJ154" s="244" t="e">
        <f t="shared" ca="1" si="120"/>
        <v>#REF!</v>
      </c>
      <c r="FK154" s="244" t="e">
        <f t="shared" ca="1" si="120"/>
        <v>#REF!</v>
      </c>
      <c r="FL154" s="244"/>
    </row>
    <row r="155" spans="5:170" x14ac:dyDescent="0.25">
      <c r="AG155" s="238">
        <f>AG154+1</f>
        <v>47</v>
      </c>
      <c r="AH155" s="112">
        <f ca="1">INDIRECT(CONCATENATE("AA",AG155))</f>
        <v>100000</v>
      </c>
      <c r="AI155" s="112" t="e">
        <f ca="1">IF(            INDIRECT(CONCATENATE( "AB",AG155))&lt;100000,       INDIRECT(CONCATENATE("AB",AG155))  -1,IF(   INDIRECT(CONCATENATE("AC",AG155))&lt;100000,   INDIRECT(CONCATENATE("AC",AG155))-1,IF(   INDIRECT(CONCATENATE("AD", AG155))&lt;100000, INDIRECT(CONCATENATE("AD",AG155))-1,IF(   INDIRECT(CONCATENATE("AE",AG155))&lt;100000,  INDIRECT(CONCATENATE("AE",G155)),INDIRECT(CONCATENATE("AF",AG155))                ))))</f>
        <v>#N/A</v>
      </c>
      <c r="AJ155" s="114"/>
      <c r="AK155" s="114"/>
      <c r="AL155" s="238" t="e">
        <f t="shared" ca="1" si="124"/>
        <v>#N/A</v>
      </c>
      <c r="AM155" s="112">
        <f t="shared" ca="1" si="107"/>
        <v>100000</v>
      </c>
      <c r="AN155" s="112">
        <f t="shared" ca="1" si="125"/>
        <v>100000</v>
      </c>
      <c r="AO155" s="114">
        <f t="shared" ca="1" si="121"/>
        <v>0</v>
      </c>
      <c r="AP155" s="114">
        <f t="shared" ca="1" si="122"/>
        <v>0</v>
      </c>
      <c r="AR155" s="238">
        <f t="shared" si="126"/>
        <v>155</v>
      </c>
      <c r="AU155" s="238">
        <f t="shared" si="127"/>
        <v>136</v>
      </c>
      <c r="AV155" s="238"/>
      <c r="AW155" s="238"/>
      <c r="CJ155" s="112"/>
      <c r="CK155" s="112"/>
      <c r="CN155" s="112"/>
      <c r="CO155" s="112"/>
      <c r="CP155" s="112"/>
      <c r="CQ155" s="112"/>
      <c r="CR155" s="112"/>
      <c r="CS155" s="112"/>
      <c r="CT155" s="112"/>
      <c r="CU155" s="112"/>
      <c r="CV155" s="112" t="s">
        <v>225</v>
      </c>
      <c r="CW155" s="112" t="s">
        <v>226</v>
      </c>
      <c r="CX155" s="112" t="s">
        <v>227</v>
      </c>
      <c r="CY155" s="112" t="s">
        <v>228</v>
      </c>
      <c r="CZ155" s="112" t="s">
        <v>229</v>
      </c>
      <c r="DA155" s="112"/>
      <c r="DB155" s="238">
        <f t="shared" si="128"/>
        <v>3</v>
      </c>
      <c r="DC155" s="112"/>
      <c r="DD155" s="112"/>
      <c r="DE155" s="112"/>
      <c r="DF155" s="112"/>
      <c r="DG155" s="112"/>
      <c r="DH155" s="112"/>
      <c r="DI155" s="112"/>
      <c r="DJ155" s="112"/>
      <c r="DK155" s="112" t="e">
        <f t="shared" si="118"/>
        <v>#NUM!</v>
      </c>
      <c r="DL155" s="112" t="e">
        <f t="shared" si="119"/>
        <v>#NUM!</v>
      </c>
      <c r="DM155" s="112"/>
      <c r="DN155" s="112"/>
      <c r="EU155" s="244">
        <v>0</v>
      </c>
      <c r="EV155" s="278" t="e">
        <f>VLOOKUP(DK155,Foglio1!$AB$31:$AN$261,13)-6</f>
        <v>#NUM!</v>
      </c>
      <c r="EW155" s="244"/>
      <c r="EX155" s="244" t="e">
        <f t="shared" ca="1" si="120"/>
        <v>#REF!</v>
      </c>
      <c r="EY155" s="244" t="e">
        <f t="shared" ca="1" si="120"/>
        <v>#REF!</v>
      </c>
      <c r="EZ155" s="244" t="e">
        <f t="shared" ca="1" si="120"/>
        <v>#REF!</v>
      </c>
      <c r="FA155" s="244" t="e">
        <f t="shared" ca="1" si="120"/>
        <v>#REF!</v>
      </c>
      <c r="FB155" s="244" t="e">
        <f t="shared" ca="1" si="120"/>
        <v>#REF!</v>
      </c>
      <c r="FC155" s="244" t="e">
        <f t="shared" ca="1" si="120"/>
        <v>#REF!</v>
      </c>
      <c r="FD155" s="244" t="e">
        <f t="shared" ca="1" si="120"/>
        <v>#REF!</v>
      </c>
      <c r="FE155" s="244" t="e">
        <f t="shared" ca="1" si="120"/>
        <v>#REF!</v>
      </c>
      <c r="FF155" s="244" t="e">
        <f t="shared" ca="1" si="120"/>
        <v>#REF!</v>
      </c>
      <c r="FG155" s="244" t="e">
        <f t="shared" ca="1" si="120"/>
        <v>#REF!</v>
      </c>
      <c r="FH155" s="244" t="e">
        <f t="shared" ca="1" si="120"/>
        <v>#REF!</v>
      </c>
      <c r="FI155" s="244" t="e">
        <f t="shared" ca="1" si="120"/>
        <v>#REF!</v>
      </c>
      <c r="FJ155" s="244" t="e">
        <f t="shared" ca="1" si="120"/>
        <v>#REF!</v>
      </c>
      <c r="FK155" s="244" t="e">
        <f t="shared" ca="1" si="120"/>
        <v>#REF!</v>
      </c>
      <c r="FL155" s="244"/>
    </row>
    <row r="156" spans="5:170" x14ac:dyDescent="0.25">
      <c r="AG156" s="238">
        <f>AG155</f>
        <v>47</v>
      </c>
      <c r="AH156" s="112" t="e">
        <f ca="1">AI155+1</f>
        <v>#N/A</v>
      </c>
      <c r="AI156" s="112" t="e">
        <f ca="1">IF(INDIRECT(CONCATENATE("AC",AG155))&lt;100000,INDIRECT(CONCATENATE("AC",AG155))-1,IF(INDIRECT(CONCATENATE("AD",AG155))&lt;100000,INDIRECT(CONCATENATE("AD",AG155))-1,IF(INDIRECT(CONCATENATE("AE",AG155))&lt;100000,INDIRECT(CONCATENATE("AE",G155)),INDIRECT(CONCATENATE("AF",AG155)))))</f>
        <v>#N/A</v>
      </c>
      <c r="AJ156" s="114"/>
      <c r="AK156" s="114"/>
      <c r="AL156" s="238" t="e">
        <f t="shared" ca="1" si="124"/>
        <v>#N/A</v>
      </c>
      <c r="AM156" s="112">
        <f t="shared" ca="1" si="107"/>
        <v>100000</v>
      </c>
      <c r="AN156" s="112">
        <f t="shared" ca="1" si="125"/>
        <v>100000</v>
      </c>
      <c r="AO156" s="114">
        <f t="shared" ca="1" si="121"/>
        <v>0</v>
      </c>
      <c r="AP156" s="114">
        <f t="shared" ca="1" si="122"/>
        <v>0</v>
      </c>
      <c r="AR156" s="238">
        <f t="shared" si="126"/>
        <v>156</v>
      </c>
      <c r="AU156" s="238">
        <f t="shared" si="127"/>
        <v>137</v>
      </c>
      <c r="AV156" s="238"/>
      <c r="AW156" s="238"/>
      <c r="CJ156" s="112"/>
      <c r="CK156" s="112"/>
      <c r="CN156" s="112"/>
      <c r="CO156" s="112"/>
      <c r="CP156" s="112"/>
      <c r="CQ156" s="112"/>
      <c r="CR156" s="112"/>
      <c r="CS156" s="112"/>
      <c r="CT156" s="112"/>
      <c r="CU156" s="112"/>
      <c r="CV156" s="112" t="s">
        <v>225</v>
      </c>
      <c r="CW156" s="112" t="s">
        <v>226</v>
      </c>
      <c r="CX156" s="112" t="s">
        <v>227</v>
      </c>
      <c r="CY156" s="112" t="s">
        <v>228</v>
      </c>
      <c r="CZ156" s="112" t="s">
        <v>229</v>
      </c>
      <c r="DA156" s="112"/>
      <c r="DB156" s="238">
        <f t="shared" si="128"/>
        <v>3</v>
      </c>
      <c r="DC156" s="112"/>
      <c r="DD156" s="112"/>
      <c r="DE156" s="112"/>
      <c r="DF156" s="112"/>
      <c r="DG156" s="112"/>
      <c r="DH156" s="112"/>
      <c r="DI156" s="112"/>
      <c r="DJ156" s="112"/>
      <c r="DK156" s="112" t="e">
        <f t="shared" si="118"/>
        <v>#NUM!</v>
      </c>
      <c r="DL156" s="112" t="e">
        <f t="shared" si="119"/>
        <v>#NUM!</v>
      </c>
      <c r="DM156" s="112"/>
      <c r="DN156" s="112"/>
      <c r="EU156" s="244">
        <v>0</v>
      </c>
      <c r="EV156" s="278" t="e">
        <f>VLOOKUP(DK156,Foglio1!$AB$31:$AN$261,13)-6</f>
        <v>#NUM!</v>
      </c>
      <c r="EW156" s="244"/>
      <c r="EX156" s="244" t="e">
        <f t="shared" ca="1" si="120"/>
        <v>#REF!</v>
      </c>
      <c r="EY156" s="244" t="e">
        <f t="shared" ca="1" si="120"/>
        <v>#REF!</v>
      </c>
      <c r="EZ156" s="244" t="e">
        <f t="shared" ca="1" si="120"/>
        <v>#REF!</v>
      </c>
      <c r="FA156" s="244" t="e">
        <f t="shared" ca="1" si="120"/>
        <v>#REF!</v>
      </c>
      <c r="FB156" s="244" t="e">
        <f t="shared" ca="1" si="120"/>
        <v>#REF!</v>
      </c>
      <c r="FC156" s="244" t="e">
        <f t="shared" ca="1" si="120"/>
        <v>#REF!</v>
      </c>
      <c r="FD156" s="244" t="e">
        <f t="shared" ca="1" si="120"/>
        <v>#REF!</v>
      </c>
      <c r="FE156" s="244" t="e">
        <f t="shared" ca="1" si="120"/>
        <v>#REF!</v>
      </c>
      <c r="FF156" s="244" t="e">
        <f t="shared" ca="1" si="120"/>
        <v>#REF!</v>
      </c>
      <c r="FG156" s="244" t="e">
        <f t="shared" ca="1" si="120"/>
        <v>#REF!</v>
      </c>
      <c r="FH156" s="244" t="e">
        <f t="shared" ca="1" si="120"/>
        <v>#REF!</v>
      </c>
      <c r="FI156" s="244" t="e">
        <f t="shared" ca="1" si="120"/>
        <v>#REF!</v>
      </c>
      <c r="FJ156" s="244" t="e">
        <f t="shared" ca="1" si="120"/>
        <v>#REF!</v>
      </c>
      <c r="FK156" s="244" t="e">
        <f t="shared" ca="1" si="120"/>
        <v>#REF!</v>
      </c>
      <c r="FL156" s="244"/>
    </row>
    <row r="157" spans="5:170" x14ac:dyDescent="0.25">
      <c r="AG157" s="238">
        <f>AG156</f>
        <v>47</v>
      </c>
      <c r="AH157" s="112" t="e">
        <f ca="1">AI156+1</f>
        <v>#N/A</v>
      </c>
      <c r="AI157" s="112" t="e">
        <f ca="1">IF(INDIRECT(CONCATENATE("AD",AG155))&lt;100000,INDIRECT(CONCATENATE("AD",AG155))-1,IF(INDIRECT(CONCATENATE("AE",AG155))&lt;100000,INDIRECT(CONCATENATE("AE",G155)),INDIRECT(CONCATENATE("AF",AG155))))</f>
        <v>#N/A</v>
      </c>
      <c r="AJ157" s="114"/>
      <c r="AK157" s="114"/>
      <c r="AL157" s="238" t="e">
        <f t="shared" ca="1" si="124"/>
        <v>#N/A</v>
      </c>
      <c r="AM157" s="112">
        <f t="shared" ca="1" si="107"/>
        <v>100000</v>
      </c>
      <c r="AN157" s="112">
        <f t="shared" ca="1" si="125"/>
        <v>100000</v>
      </c>
      <c r="AO157" s="114">
        <f t="shared" ca="1" si="121"/>
        <v>0</v>
      </c>
      <c r="AP157" s="114">
        <f t="shared" ca="1" si="122"/>
        <v>0</v>
      </c>
      <c r="AR157" s="238">
        <f t="shared" si="126"/>
        <v>157</v>
      </c>
      <c r="AU157" s="238">
        <f t="shared" si="127"/>
        <v>138</v>
      </c>
      <c r="AV157" s="238"/>
      <c r="AW157" s="238"/>
      <c r="CJ157" s="112"/>
      <c r="CK157" s="112"/>
      <c r="CN157" s="112"/>
      <c r="CO157" s="112"/>
      <c r="CP157" s="112"/>
      <c r="CQ157" s="112"/>
      <c r="CR157" s="112"/>
      <c r="CS157" s="112"/>
      <c r="CT157" s="112"/>
      <c r="CU157" s="112"/>
      <c r="CV157" s="112" t="s">
        <v>225</v>
      </c>
      <c r="CW157" s="112" t="s">
        <v>226</v>
      </c>
      <c r="CX157" s="112" t="s">
        <v>227</v>
      </c>
      <c r="CY157" s="112" t="s">
        <v>228</v>
      </c>
      <c r="CZ157" s="112" t="s">
        <v>229</v>
      </c>
      <c r="DA157" s="112"/>
      <c r="DB157" s="238">
        <f t="shared" si="128"/>
        <v>4</v>
      </c>
      <c r="DC157" s="112"/>
      <c r="DD157" s="112"/>
      <c r="DE157" s="112"/>
      <c r="DF157" s="112"/>
      <c r="DG157" s="112"/>
      <c r="DH157" s="112"/>
      <c r="DI157" s="112"/>
      <c r="DJ157" s="112"/>
      <c r="DK157" s="112" t="e">
        <f t="shared" si="118"/>
        <v>#NUM!</v>
      </c>
      <c r="DL157" s="112" t="e">
        <f t="shared" si="119"/>
        <v>#NUM!</v>
      </c>
      <c r="DM157" s="112"/>
      <c r="DN157" s="112"/>
      <c r="EU157" s="244">
        <v>0</v>
      </c>
      <c r="EV157" s="278" t="e">
        <f>VLOOKUP(DK157,Foglio1!$AB$31:$AN$261,13)-6</f>
        <v>#NUM!</v>
      </c>
      <c r="EW157" s="244"/>
      <c r="EX157" s="244" t="e">
        <f t="shared" ca="1" si="120"/>
        <v>#REF!</v>
      </c>
      <c r="EY157" s="244" t="e">
        <f t="shared" ca="1" si="120"/>
        <v>#REF!</v>
      </c>
      <c r="EZ157" s="244" t="e">
        <f t="shared" ca="1" si="120"/>
        <v>#REF!</v>
      </c>
      <c r="FA157" s="244" t="e">
        <f t="shared" ca="1" si="120"/>
        <v>#REF!</v>
      </c>
      <c r="FB157" s="244" t="e">
        <f t="shared" ca="1" si="120"/>
        <v>#REF!</v>
      </c>
      <c r="FC157" s="244" t="e">
        <f t="shared" ca="1" si="120"/>
        <v>#REF!</v>
      </c>
      <c r="FD157" s="244" t="e">
        <f t="shared" ca="1" si="120"/>
        <v>#REF!</v>
      </c>
      <c r="FE157" s="244" t="e">
        <f t="shared" ca="1" si="120"/>
        <v>#REF!</v>
      </c>
      <c r="FF157" s="244" t="e">
        <f t="shared" ca="1" si="120"/>
        <v>#REF!</v>
      </c>
      <c r="FG157" s="244" t="e">
        <f t="shared" ca="1" si="120"/>
        <v>#REF!</v>
      </c>
      <c r="FH157" s="244" t="e">
        <f t="shared" ca="1" si="120"/>
        <v>#REF!</v>
      </c>
      <c r="FI157" s="244" t="e">
        <f t="shared" ca="1" si="120"/>
        <v>#REF!</v>
      </c>
      <c r="FJ157" s="244" t="e">
        <f t="shared" ca="1" si="120"/>
        <v>#REF!</v>
      </c>
      <c r="FK157" s="244" t="e">
        <f t="shared" ca="1" si="120"/>
        <v>#REF!</v>
      </c>
      <c r="FL157" s="244"/>
    </row>
    <row r="158" spans="5:170" x14ac:dyDescent="0.25">
      <c r="AG158" s="238">
        <f>AG157</f>
        <v>47</v>
      </c>
      <c r="AH158" s="112" t="e">
        <f ca="1">AI157+1</f>
        <v>#N/A</v>
      </c>
      <c r="AI158" s="112" t="e">
        <f ca="1">IF(INDIRECT(CONCATENATE("AE",AG155))&lt;100000,INDIRECT(CONCATENATE("AE",G155)),INDIRECT(CONCATENATE("AF",AG155)))</f>
        <v>#N/A</v>
      </c>
      <c r="AJ158" s="114"/>
      <c r="AK158" s="114"/>
      <c r="AL158" s="238" t="e">
        <f t="shared" ca="1" si="124"/>
        <v>#N/A</v>
      </c>
      <c r="AM158" s="112">
        <f t="shared" ca="1" si="107"/>
        <v>100000</v>
      </c>
      <c r="AN158" s="112">
        <f t="shared" ca="1" si="125"/>
        <v>100000</v>
      </c>
      <c r="AO158" s="114">
        <f t="shared" ca="1" si="121"/>
        <v>0</v>
      </c>
      <c r="AP158" s="114">
        <f t="shared" ca="1" si="122"/>
        <v>0</v>
      </c>
      <c r="AR158" s="238">
        <f t="shared" si="126"/>
        <v>158</v>
      </c>
      <c r="AU158" s="238">
        <f t="shared" si="127"/>
        <v>139</v>
      </c>
      <c r="AV158" s="238"/>
      <c r="AW158" s="238"/>
      <c r="CJ158" s="112"/>
      <c r="CK158" s="112"/>
      <c r="CN158" s="112"/>
      <c r="CO158" s="112"/>
      <c r="CP158" s="112"/>
      <c r="CQ158" s="112"/>
      <c r="CR158" s="112"/>
      <c r="CS158" s="112"/>
      <c r="CT158" s="112"/>
      <c r="CU158" s="112"/>
      <c r="CV158" s="112" t="s">
        <v>225</v>
      </c>
      <c r="CW158" s="112" t="s">
        <v>226</v>
      </c>
      <c r="CX158" s="112" t="s">
        <v>227</v>
      </c>
      <c r="CY158" s="112" t="s">
        <v>228</v>
      </c>
      <c r="CZ158" s="112" t="s">
        <v>229</v>
      </c>
      <c r="DA158" s="112"/>
      <c r="DB158" s="238">
        <f t="shared" si="128"/>
        <v>4</v>
      </c>
      <c r="DC158" s="112"/>
      <c r="DD158" s="112"/>
      <c r="DE158" s="112"/>
      <c r="DF158" s="112"/>
      <c r="DG158" s="112"/>
      <c r="DH158" s="112"/>
      <c r="DI158" s="112"/>
      <c r="DJ158" s="112"/>
      <c r="DK158" s="112" t="e">
        <f t="shared" si="118"/>
        <v>#NUM!</v>
      </c>
      <c r="DL158" s="112" t="e">
        <f t="shared" si="119"/>
        <v>#NUM!</v>
      </c>
      <c r="DM158" s="112"/>
      <c r="DN158" s="112"/>
      <c r="EU158" s="244">
        <v>0</v>
      </c>
      <c r="EV158" s="278" t="e">
        <f>VLOOKUP(DK158,Foglio1!$AB$31:$AN$261,13)-6</f>
        <v>#NUM!</v>
      </c>
      <c r="EW158" s="244"/>
      <c r="EX158" s="244" t="e">
        <f t="shared" ca="1" si="120"/>
        <v>#REF!</v>
      </c>
      <c r="EY158" s="244" t="e">
        <f t="shared" ca="1" si="120"/>
        <v>#REF!</v>
      </c>
      <c r="EZ158" s="244" t="e">
        <f t="shared" ca="1" si="120"/>
        <v>#REF!</v>
      </c>
      <c r="FA158" s="244" t="e">
        <f t="shared" ca="1" si="120"/>
        <v>#REF!</v>
      </c>
      <c r="FB158" s="244" t="e">
        <f t="shared" ca="1" si="120"/>
        <v>#REF!</v>
      </c>
      <c r="FC158" s="244" t="e">
        <f t="shared" ca="1" si="120"/>
        <v>#REF!</v>
      </c>
      <c r="FD158" s="244" t="e">
        <f t="shared" ca="1" si="120"/>
        <v>#REF!</v>
      </c>
      <c r="FE158" s="244" t="e">
        <f t="shared" ca="1" si="120"/>
        <v>#REF!</v>
      </c>
      <c r="FF158" s="244" t="e">
        <f t="shared" ca="1" si="120"/>
        <v>#REF!</v>
      </c>
      <c r="FG158" s="244" t="e">
        <f t="shared" ca="1" si="120"/>
        <v>#REF!</v>
      </c>
      <c r="FH158" s="244" t="e">
        <f t="shared" ca="1" si="120"/>
        <v>#REF!</v>
      </c>
      <c r="FI158" s="244" t="e">
        <f t="shared" ca="1" si="120"/>
        <v>#REF!</v>
      </c>
      <c r="FJ158" s="244" t="e">
        <f t="shared" ca="1" si="120"/>
        <v>#REF!</v>
      </c>
      <c r="FK158" s="244" t="e">
        <f t="shared" ca="1" si="120"/>
        <v>#REF!</v>
      </c>
      <c r="FL158" s="244"/>
    </row>
    <row r="159" spans="5:170" x14ac:dyDescent="0.25">
      <c r="AG159" s="238">
        <f>AG158</f>
        <v>47</v>
      </c>
      <c r="AH159" s="112" t="e">
        <f ca="1">AI158+1</f>
        <v>#N/A</v>
      </c>
      <c r="AI159" s="112">
        <f ca="1">INDIRECT(CONCATENATE("AF",AG155))</f>
        <v>100000</v>
      </c>
      <c r="AJ159" s="114"/>
      <c r="AK159" s="114"/>
      <c r="AL159" s="238" t="e">
        <f t="shared" ca="1" si="124"/>
        <v>#N/A</v>
      </c>
      <c r="AM159" s="112">
        <f t="shared" ca="1" si="107"/>
        <v>100000</v>
      </c>
      <c r="AN159" s="112">
        <f t="shared" ca="1" si="125"/>
        <v>100000</v>
      </c>
      <c r="AO159" s="114">
        <f t="shared" ca="1" si="121"/>
        <v>0</v>
      </c>
      <c r="AP159" s="114">
        <f t="shared" ca="1" si="122"/>
        <v>0</v>
      </c>
      <c r="AR159" s="238">
        <f t="shared" si="126"/>
        <v>159</v>
      </c>
      <c r="AU159" s="238">
        <f t="shared" si="127"/>
        <v>140</v>
      </c>
      <c r="AV159" s="238"/>
      <c r="AW159" s="238"/>
      <c r="CJ159" s="112"/>
      <c r="CK159" s="112"/>
      <c r="CN159" s="112"/>
      <c r="CO159" s="112"/>
      <c r="CP159" s="112"/>
      <c r="CQ159" s="112"/>
      <c r="CR159" s="112"/>
      <c r="CS159" s="112"/>
      <c r="CT159" s="112"/>
      <c r="CU159" s="112"/>
      <c r="CV159" s="112" t="s">
        <v>225</v>
      </c>
      <c r="CW159" s="112" t="s">
        <v>226</v>
      </c>
      <c r="CX159" s="112" t="s">
        <v>227</v>
      </c>
      <c r="CY159" s="112" t="s">
        <v>228</v>
      </c>
      <c r="CZ159" s="112" t="s">
        <v>229</v>
      </c>
      <c r="DA159" s="112"/>
      <c r="DB159" s="238">
        <f t="shared" si="128"/>
        <v>4</v>
      </c>
      <c r="DC159" s="112"/>
      <c r="DD159" s="112"/>
      <c r="DE159" s="112"/>
      <c r="DF159" s="112"/>
      <c r="DG159" s="112"/>
      <c r="DH159" s="112"/>
      <c r="DI159" s="112"/>
      <c r="DJ159" s="112"/>
      <c r="DK159" s="112" t="e">
        <f t="shared" si="118"/>
        <v>#NUM!</v>
      </c>
      <c r="DL159" s="112" t="e">
        <f t="shared" si="119"/>
        <v>#NUM!</v>
      </c>
      <c r="DM159" s="112"/>
      <c r="DN159" s="112"/>
      <c r="EU159" s="244">
        <v>0</v>
      </c>
      <c r="EV159" s="278" t="e">
        <f>VLOOKUP(DK159,Foglio1!$AB$31:$AN$261,13)-6</f>
        <v>#NUM!</v>
      </c>
      <c r="EW159" s="244"/>
      <c r="EX159" s="244" t="e">
        <f t="shared" ca="1" si="120"/>
        <v>#REF!</v>
      </c>
      <c r="EY159" s="244" t="e">
        <f t="shared" ca="1" si="120"/>
        <v>#REF!</v>
      </c>
      <c r="EZ159" s="244" t="e">
        <f t="shared" ca="1" si="120"/>
        <v>#REF!</v>
      </c>
      <c r="FA159" s="244" t="e">
        <f t="shared" ca="1" si="120"/>
        <v>#REF!</v>
      </c>
      <c r="FB159" s="244" t="e">
        <f t="shared" ca="1" si="120"/>
        <v>#REF!</v>
      </c>
      <c r="FC159" s="244" t="e">
        <f t="shared" ca="1" si="120"/>
        <v>#REF!</v>
      </c>
      <c r="FD159" s="244" t="e">
        <f t="shared" ca="1" si="120"/>
        <v>#REF!</v>
      </c>
      <c r="FE159" s="244" t="e">
        <f t="shared" ca="1" si="120"/>
        <v>#REF!</v>
      </c>
      <c r="FF159" s="244" t="e">
        <f t="shared" ca="1" si="120"/>
        <v>#REF!</v>
      </c>
      <c r="FG159" s="244" t="e">
        <f t="shared" ca="1" si="120"/>
        <v>#REF!</v>
      </c>
      <c r="FH159" s="244" t="e">
        <f t="shared" ca="1" si="120"/>
        <v>#REF!</v>
      </c>
      <c r="FI159" s="244" t="e">
        <f t="shared" ca="1" si="120"/>
        <v>#REF!</v>
      </c>
      <c r="FJ159" s="244" t="e">
        <f t="shared" ca="1" si="120"/>
        <v>#REF!</v>
      </c>
      <c r="FK159" s="244" t="e">
        <f t="shared" ca="1" si="120"/>
        <v>#REF!</v>
      </c>
      <c r="FL159" s="244"/>
    </row>
    <row r="160" spans="5:170" x14ac:dyDescent="0.25">
      <c r="AG160" s="238">
        <f>AG159+1</f>
        <v>48</v>
      </c>
      <c r="AH160" s="112">
        <f ca="1">INDIRECT(CONCATENATE("AA",AG160))</f>
        <v>100000</v>
      </c>
      <c r="AI160" s="112" t="e">
        <f ca="1">IF(            INDIRECT(CONCATENATE( "AB",AG160))&lt;100000,       INDIRECT(CONCATENATE("AB",AG160))  -1,IF(   INDIRECT(CONCATENATE("AC",AG160))&lt;100000,   INDIRECT(CONCATENATE("AC",AG160))-1,IF(   INDIRECT(CONCATENATE("AD", AG160))&lt;100000, INDIRECT(CONCATENATE("AD",AG160))-1,IF(   INDIRECT(CONCATENATE("AE",AG160))&lt;100000,  INDIRECT(CONCATENATE("AE",G160)),INDIRECT(CONCATENATE("AF",AG160))                ))))</f>
        <v>#N/A</v>
      </c>
      <c r="AJ160" s="114"/>
      <c r="AK160" s="114"/>
      <c r="AL160" s="238" t="e">
        <f t="shared" ca="1" si="124"/>
        <v>#N/A</v>
      </c>
      <c r="AM160" s="112">
        <f t="shared" ca="1" si="107"/>
        <v>100000</v>
      </c>
      <c r="AN160" s="112">
        <f t="shared" ca="1" si="125"/>
        <v>100000</v>
      </c>
      <c r="AO160" s="114">
        <f t="shared" ca="1" si="121"/>
        <v>0</v>
      </c>
      <c r="AP160" s="114">
        <f t="shared" ca="1" si="122"/>
        <v>0</v>
      </c>
      <c r="AR160" s="238">
        <f t="shared" si="126"/>
        <v>160</v>
      </c>
      <c r="AU160" s="238">
        <f t="shared" si="127"/>
        <v>141</v>
      </c>
      <c r="AV160" s="238"/>
      <c r="AW160" s="238"/>
      <c r="BB160" t="s">
        <v>243</v>
      </c>
      <c r="BC160">
        <f>MIN(D163:D215)</f>
        <v>163</v>
      </c>
      <c r="BE160" t="str">
        <f>CONCATENATE(BB160,BC160)</f>
        <v>E163</v>
      </c>
      <c r="BI160" t="str">
        <f>CONCATENATE(BE160,":",BE161)</f>
        <v>E163:E167</v>
      </c>
      <c r="CJ160" s="112"/>
      <c r="CK160" s="112"/>
      <c r="CN160" s="112"/>
      <c r="CO160" s="112"/>
      <c r="CP160" s="112"/>
      <c r="CQ160" s="112"/>
      <c r="CR160" s="112"/>
      <c r="CS160" s="112"/>
      <c r="CT160" s="112"/>
      <c r="CU160" s="112"/>
      <c r="CV160" s="112" t="s">
        <v>225</v>
      </c>
      <c r="CW160" s="112" t="s">
        <v>226</v>
      </c>
      <c r="CX160" s="112" t="s">
        <v>227</v>
      </c>
      <c r="CY160" s="112" t="s">
        <v>228</v>
      </c>
      <c r="CZ160" s="112" t="s">
        <v>229</v>
      </c>
      <c r="DA160" s="112"/>
      <c r="DB160" s="238">
        <f t="shared" si="128"/>
        <v>5</v>
      </c>
      <c r="DC160" s="112"/>
      <c r="DD160" s="112"/>
      <c r="DE160" s="112"/>
      <c r="DF160" s="112"/>
      <c r="DG160" s="112"/>
      <c r="DH160" s="112"/>
      <c r="DI160" s="112"/>
      <c r="DJ160" s="112"/>
      <c r="DK160" s="112" t="e">
        <f t="shared" si="118"/>
        <v>#NUM!</v>
      </c>
      <c r="DL160" s="112" t="e">
        <f t="shared" si="119"/>
        <v>#NUM!</v>
      </c>
      <c r="DM160" s="112"/>
      <c r="DN160" s="112"/>
      <c r="EU160" s="244">
        <v>0</v>
      </c>
      <c r="EV160" s="278" t="e">
        <f>VLOOKUP(DK160,Foglio1!$AB$31:$AN$261,13)-6</f>
        <v>#NUM!</v>
      </c>
      <c r="EW160" s="244"/>
      <c r="EX160" s="244" t="e">
        <f t="shared" ca="1" si="120"/>
        <v>#REF!</v>
      </c>
      <c r="EY160" s="244" t="e">
        <f t="shared" ca="1" si="120"/>
        <v>#REF!</v>
      </c>
      <c r="EZ160" s="244" t="e">
        <f t="shared" ca="1" si="120"/>
        <v>#REF!</v>
      </c>
      <c r="FA160" s="244" t="e">
        <f t="shared" ca="1" si="120"/>
        <v>#REF!</v>
      </c>
      <c r="FB160" s="244" t="e">
        <f t="shared" ca="1" si="120"/>
        <v>#REF!</v>
      </c>
      <c r="FC160" s="244" t="e">
        <f t="shared" ca="1" si="120"/>
        <v>#REF!</v>
      </c>
      <c r="FD160" s="244" t="e">
        <f t="shared" ca="1" si="120"/>
        <v>#REF!</v>
      </c>
      <c r="FE160" s="244" t="e">
        <f t="shared" ca="1" si="120"/>
        <v>#REF!</v>
      </c>
      <c r="FF160" s="244" t="e">
        <f t="shared" ca="1" si="120"/>
        <v>#REF!</v>
      </c>
      <c r="FG160" s="244" t="e">
        <f t="shared" ca="1" si="120"/>
        <v>#REF!</v>
      </c>
      <c r="FH160" s="244" t="e">
        <f t="shared" ca="1" si="120"/>
        <v>#REF!</v>
      </c>
      <c r="FI160" s="244" t="e">
        <f t="shared" ca="1" si="120"/>
        <v>#REF!</v>
      </c>
      <c r="FJ160" s="244" t="e">
        <f t="shared" ca="1" si="120"/>
        <v>#REF!</v>
      </c>
      <c r="FK160" s="244" t="e">
        <f t="shared" ca="1" si="120"/>
        <v>#REF!</v>
      </c>
      <c r="FL160" s="244"/>
    </row>
    <row r="161" spans="4:171" x14ac:dyDescent="0.25">
      <c r="AG161" s="238">
        <f>AG160</f>
        <v>48</v>
      </c>
      <c r="AH161" s="112" t="e">
        <f ca="1">AI160+1</f>
        <v>#N/A</v>
      </c>
      <c r="AI161" s="112" t="e">
        <f ca="1">IF(INDIRECT(CONCATENATE("AC",AG160))&lt;100000,INDIRECT(CONCATENATE("AC",AG160))-1,IF(INDIRECT(CONCATENATE("AD",AG160))&lt;100000,INDIRECT(CONCATENATE("AD",AG160))-1,IF(INDIRECT(CONCATENATE("AE",AG160))&lt;100000,INDIRECT(CONCATENATE("AE",G160)),INDIRECT(CONCATENATE("AF",AG160)))))</f>
        <v>#N/A</v>
      </c>
      <c r="AJ161" s="114"/>
      <c r="AK161" s="114"/>
      <c r="AL161" s="238" t="e">
        <f t="shared" ca="1" si="124"/>
        <v>#N/A</v>
      </c>
      <c r="AM161" s="112">
        <f t="shared" ca="1" si="107"/>
        <v>100000</v>
      </c>
      <c r="AN161" s="112">
        <f t="shared" ca="1" si="125"/>
        <v>100000</v>
      </c>
      <c r="AO161" s="114">
        <f t="shared" ca="1" si="121"/>
        <v>0</v>
      </c>
      <c r="AP161" s="114">
        <f t="shared" ca="1" si="122"/>
        <v>0</v>
      </c>
      <c r="AR161" s="238">
        <f t="shared" si="126"/>
        <v>161</v>
      </c>
      <c r="AU161" s="238">
        <f t="shared" si="127"/>
        <v>142</v>
      </c>
      <c r="AV161" s="238"/>
      <c r="AW161" s="238"/>
      <c r="BB161" t="s">
        <v>243</v>
      </c>
      <c r="BC161">
        <f>MAX(D163:D215)</f>
        <v>167</v>
      </c>
      <c r="BE161" t="str">
        <f>CONCATENATE(BB161,BC161)</f>
        <v>E167</v>
      </c>
      <c r="CJ161" s="112"/>
      <c r="CK161" s="112"/>
      <c r="CN161" s="112"/>
      <c r="CO161" s="112"/>
      <c r="CP161" s="112"/>
      <c r="CQ161" s="112"/>
      <c r="CR161" s="112"/>
      <c r="CS161" s="112"/>
      <c r="CT161" s="112"/>
      <c r="CU161" s="112"/>
      <c r="CV161" s="112" t="s">
        <v>225</v>
      </c>
      <c r="CW161" s="112" t="s">
        <v>226</v>
      </c>
      <c r="CX161" s="112" t="s">
        <v>227</v>
      </c>
      <c r="CY161" s="112" t="s">
        <v>228</v>
      </c>
      <c r="CZ161" s="112" t="s">
        <v>229</v>
      </c>
      <c r="DA161" s="112"/>
      <c r="DB161" s="238">
        <f t="shared" si="128"/>
        <v>5</v>
      </c>
      <c r="DC161" s="112"/>
      <c r="DD161" s="112"/>
      <c r="DE161" s="112"/>
      <c r="DF161" s="112"/>
      <c r="DG161" s="112"/>
      <c r="DH161" s="112"/>
      <c r="DI161" s="112"/>
      <c r="DJ161" s="112"/>
      <c r="DK161" s="112" t="e">
        <f t="shared" si="118"/>
        <v>#NUM!</v>
      </c>
      <c r="DL161" s="112" t="e">
        <f t="shared" si="119"/>
        <v>#NUM!</v>
      </c>
      <c r="DM161" s="112"/>
      <c r="DN161" s="112"/>
      <c r="EU161" s="244">
        <v>0</v>
      </c>
      <c r="EV161" s="278" t="e">
        <f>VLOOKUP(DK161,Foglio1!$AB$31:$AN$261,13)-6</f>
        <v>#NUM!</v>
      </c>
      <c r="EW161" s="244"/>
      <c r="EX161" s="244" t="e">
        <f t="shared" ca="1" si="120"/>
        <v>#REF!</v>
      </c>
      <c r="EY161" s="244" t="e">
        <f t="shared" ca="1" si="120"/>
        <v>#REF!</v>
      </c>
      <c r="EZ161" s="244" t="e">
        <f t="shared" ca="1" si="120"/>
        <v>#REF!</v>
      </c>
      <c r="FA161" s="244" t="e">
        <f t="shared" ca="1" si="120"/>
        <v>#REF!</v>
      </c>
      <c r="FB161" s="244" t="e">
        <f t="shared" ca="1" si="120"/>
        <v>#REF!</v>
      </c>
      <c r="FC161" s="244" t="e">
        <f t="shared" ca="1" si="120"/>
        <v>#REF!</v>
      </c>
      <c r="FD161" s="244" t="e">
        <f t="shared" ca="1" si="120"/>
        <v>#REF!</v>
      </c>
      <c r="FE161" s="244" t="e">
        <f t="shared" ca="1" si="120"/>
        <v>#REF!</v>
      </c>
      <c r="FF161" s="244" t="e">
        <f t="shared" ca="1" si="120"/>
        <v>#REF!</v>
      </c>
      <c r="FG161" s="244" t="e">
        <f t="shared" ca="1" si="120"/>
        <v>#REF!</v>
      </c>
      <c r="FH161" s="244" t="e">
        <f t="shared" ca="1" si="120"/>
        <v>#REF!</v>
      </c>
      <c r="FI161" s="244" t="e">
        <f t="shared" ca="1" si="120"/>
        <v>#REF!</v>
      </c>
      <c r="FJ161" s="244" t="e">
        <f t="shared" ca="1" si="120"/>
        <v>#REF!</v>
      </c>
      <c r="FK161" s="244" t="e">
        <f t="shared" ca="1" si="120"/>
        <v>#REF!</v>
      </c>
      <c r="FL161" s="244"/>
    </row>
    <row r="162" spans="4:171" x14ac:dyDescent="0.25">
      <c r="AG162" s="238">
        <f>AG161</f>
        <v>48</v>
      </c>
      <c r="AH162" s="112" t="e">
        <f ca="1">AI161+1</f>
        <v>#N/A</v>
      </c>
      <c r="AI162" s="112" t="e">
        <f ca="1">IF(INDIRECT(CONCATENATE("AD",AG160))&lt;100000,INDIRECT(CONCATENATE("AD",AG160))-1,IF(INDIRECT(CONCATENATE("AE",AG160))&lt;100000,INDIRECT(CONCATENATE("AE",G160)),INDIRECT(CONCATENATE("AF",AG160))))</f>
        <v>#N/A</v>
      </c>
      <c r="AJ162" s="114"/>
      <c r="AK162" s="114"/>
      <c r="AL162" s="238" t="e">
        <f t="shared" ca="1" si="124"/>
        <v>#N/A</v>
      </c>
      <c r="AM162" s="112">
        <f t="shared" ca="1" si="107"/>
        <v>100000</v>
      </c>
      <c r="AN162" s="112">
        <f t="shared" ca="1" si="125"/>
        <v>100000</v>
      </c>
      <c r="AO162" s="114">
        <f t="shared" ca="1" si="121"/>
        <v>0</v>
      </c>
      <c r="AP162" s="114">
        <f t="shared" ca="1" si="122"/>
        <v>0</v>
      </c>
      <c r="AR162" s="238">
        <f t="shared" si="126"/>
        <v>162</v>
      </c>
      <c r="AU162" s="238">
        <f t="shared" si="127"/>
        <v>143</v>
      </c>
      <c r="AV162" s="238"/>
      <c r="AW162" s="238"/>
      <c r="CJ162" s="112"/>
      <c r="CK162" s="112"/>
      <c r="CN162" s="112"/>
      <c r="CO162" s="112"/>
      <c r="CP162" s="112"/>
      <c r="CQ162" s="112"/>
      <c r="CR162" s="112"/>
      <c r="CS162" s="112"/>
      <c r="CT162" s="112"/>
      <c r="CU162" s="112"/>
      <c r="CV162" s="112" t="s">
        <v>225</v>
      </c>
      <c r="CW162" s="112" t="s">
        <v>226</v>
      </c>
      <c r="CX162" s="112" t="s">
        <v>227</v>
      </c>
      <c r="CY162" s="112" t="s">
        <v>228</v>
      </c>
      <c r="CZ162" s="112" t="s">
        <v>229</v>
      </c>
      <c r="DA162" s="112"/>
      <c r="DB162" s="238">
        <f t="shared" si="128"/>
        <v>5</v>
      </c>
      <c r="DC162" s="112"/>
      <c r="DD162" s="112"/>
      <c r="DE162" s="112"/>
      <c r="DF162" s="112"/>
      <c r="DG162" s="112"/>
      <c r="DH162" s="112"/>
      <c r="DI162" s="112"/>
      <c r="DJ162" s="112"/>
      <c r="DK162" s="112" t="e">
        <f t="shared" si="118"/>
        <v>#NUM!</v>
      </c>
      <c r="DL162" s="112" t="e">
        <f t="shared" si="119"/>
        <v>#NUM!</v>
      </c>
      <c r="DM162" s="112"/>
      <c r="DN162" s="112"/>
      <c r="EU162" s="244">
        <v>0</v>
      </c>
      <c r="EV162" s="278" t="e">
        <f>VLOOKUP(DK162,Foglio1!$AB$31:$AN$261,13)-6</f>
        <v>#NUM!</v>
      </c>
      <c r="EW162" s="244"/>
      <c r="EX162" s="244" t="e">
        <f t="shared" ca="1" si="120"/>
        <v>#REF!</v>
      </c>
      <c r="EY162" s="244" t="e">
        <f t="shared" ca="1" si="120"/>
        <v>#REF!</v>
      </c>
      <c r="EZ162" s="244" t="e">
        <f t="shared" ca="1" si="120"/>
        <v>#REF!</v>
      </c>
      <c r="FA162" s="244" t="e">
        <f t="shared" ca="1" si="120"/>
        <v>#REF!</v>
      </c>
      <c r="FB162" s="244" t="e">
        <f t="shared" ca="1" si="120"/>
        <v>#REF!</v>
      </c>
      <c r="FC162" s="244" t="e">
        <f t="shared" ca="1" si="120"/>
        <v>#REF!</v>
      </c>
      <c r="FD162" s="244" t="e">
        <f t="shared" ca="1" si="120"/>
        <v>#REF!</v>
      </c>
      <c r="FE162" s="244" t="e">
        <f t="shared" ca="1" si="120"/>
        <v>#REF!</v>
      </c>
      <c r="FF162" s="244" t="e">
        <f t="shared" ca="1" si="120"/>
        <v>#REF!</v>
      </c>
      <c r="FG162" s="244" t="e">
        <f t="shared" ca="1" si="120"/>
        <v>#REF!</v>
      </c>
      <c r="FH162" s="244" t="e">
        <f t="shared" ca="1" si="120"/>
        <v>#REF!</v>
      </c>
      <c r="FI162" s="244" t="e">
        <f t="shared" ca="1" si="120"/>
        <v>#REF!</v>
      </c>
      <c r="FJ162" s="244" t="e">
        <f t="shared" ca="1" si="120"/>
        <v>#REF!</v>
      </c>
      <c r="FK162" s="244" t="e">
        <f t="shared" ca="1" si="120"/>
        <v>#REF!</v>
      </c>
      <c r="FL162" s="244"/>
    </row>
    <row r="163" spans="4:171" x14ac:dyDescent="0.25">
      <c r="D163">
        <f>IF(E163&lt;100000,163,"")</f>
        <v>163</v>
      </c>
      <c r="E163" s="112">
        <f t="shared" ref="E163:F178" si="129">IF(F20=0,100000,F20)</f>
        <v>36770</v>
      </c>
      <c r="F163" s="112">
        <f t="shared" si="129"/>
        <v>37134</v>
      </c>
      <c r="G163" s="112"/>
      <c r="H163" s="238">
        <v>1</v>
      </c>
      <c r="J163" s="112" t="e">
        <f ca="1">VLOOKUP(N163,$E$163:$F$176,2)</f>
        <v>#N/A</v>
      </c>
      <c r="K163" s="112"/>
      <c r="L163" s="112"/>
      <c r="M163" t="e">
        <f ca="1">IF(J163&gt;=N163,1,0)</f>
        <v>#N/A</v>
      </c>
      <c r="N163" s="112">
        <f ca="1">N20</f>
        <v>36138</v>
      </c>
      <c r="AG163" s="238">
        <f>AG162</f>
        <v>48</v>
      </c>
      <c r="AH163" s="112" t="e">
        <f ca="1">AI162+1</f>
        <v>#N/A</v>
      </c>
      <c r="AI163" s="112" t="e">
        <f ca="1">IF(INDIRECT(CONCATENATE("AE",AG160))&lt;100000,INDIRECT(CONCATENATE("AE",G160)),INDIRECT(CONCATENATE("AF",AG160)))</f>
        <v>#N/A</v>
      </c>
      <c r="AJ163" s="114"/>
      <c r="AK163" s="114"/>
      <c r="AL163" s="238" t="e">
        <f t="shared" ca="1" si="124"/>
        <v>#N/A</v>
      </c>
      <c r="AM163" s="112">
        <f t="shared" ca="1" si="107"/>
        <v>100000</v>
      </c>
      <c r="AN163" s="112">
        <f t="shared" ca="1" si="125"/>
        <v>100000</v>
      </c>
      <c r="AO163" s="114">
        <f t="shared" ca="1" si="121"/>
        <v>0</v>
      </c>
      <c r="AP163" s="114">
        <f t="shared" ca="1" si="122"/>
        <v>0</v>
      </c>
      <c r="AR163" s="238">
        <f t="shared" si="126"/>
        <v>163</v>
      </c>
      <c r="AU163" s="238">
        <f t="shared" si="127"/>
        <v>144</v>
      </c>
      <c r="AV163" s="238"/>
      <c r="AW163" s="238"/>
      <c r="BB163">
        <v>1</v>
      </c>
      <c r="BC163" s="112">
        <f ca="1">SMALL($E$163:$E$283,BB163)</f>
        <v>36138</v>
      </c>
      <c r="BD163" s="112"/>
      <c r="BE163" s="112" t="e">
        <f ca="1">VLOOKUP(BC163,$E$163:$F$196,2)</f>
        <v>#N/A</v>
      </c>
      <c r="BF163" s="112"/>
      <c r="BG163" s="112"/>
      <c r="BH163" s="112"/>
      <c r="BJ163" s="112" t="e">
        <f ca="1">VLOOKUP(BC163,INDIRECT($BI$160),1,FALSE)</f>
        <v>#N/A</v>
      </c>
      <c r="CM163" s="112"/>
      <c r="CN163" s="112"/>
      <c r="CQ163" s="112"/>
      <c r="CR163" s="112"/>
      <c r="CS163" s="112"/>
      <c r="CT163" s="112"/>
      <c r="CU163" s="112"/>
      <c r="CV163" s="112"/>
      <c r="CW163" s="112"/>
      <c r="CX163" s="112" t="s">
        <v>224</v>
      </c>
      <c r="CY163" s="112" t="s">
        <v>225</v>
      </c>
      <c r="CZ163" s="112" t="s">
        <v>226</v>
      </c>
      <c r="DA163" s="112" t="s">
        <v>227</v>
      </c>
      <c r="DB163" s="112" t="s">
        <v>228</v>
      </c>
      <c r="DC163" s="112"/>
      <c r="DD163" s="112"/>
      <c r="DE163" s="238"/>
      <c r="DF163" s="112"/>
      <c r="DG163" s="112"/>
      <c r="DH163" s="112"/>
      <c r="DI163" s="112"/>
      <c r="DJ163" s="112"/>
      <c r="DK163" s="112">
        <f t="shared" ref="DK163:DK226" si="130">IF(AND(DG163&gt;1000,DG163&lt;80000),DG163,100000)</f>
        <v>100000</v>
      </c>
      <c r="DL163" s="112"/>
      <c r="DM163" s="112"/>
      <c r="DN163" s="112" t="e">
        <f t="shared" ref="DN163:DN226" si="131">SMALL($DG$20:$DG$343,DM163)</f>
        <v>#NUM!</v>
      </c>
      <c r="DO163" s="112" t="e">
        <f t="shared" ref="DO163:DO226" si="132">VLOOKUP(DN163,$DG$20:$DH$343,2,)</f>
        <v>#NUM!</v>
      </c>
      <c r="DP163" s="112"/>
      <c r="DQ163" s="112"/>
      <c r="EX163" s="244">
        <v>0</v>
      </c>
      <c r="EY163" s="278" t="e">
        <f>VLOOKUP(DN163,Foglio1!$AB$31:$AN$261,13)-6</f>
        <v>#NUM!</v>
      </c>
      <c r="EZ163" s="244"/>
      <c r="FA163" s="244" t="e">
        <f t="shared" ref="FA163:FN165" ca="1" si="133">INDIRECT(CONCATENATE(EX$16,EX$17,$EC163))</f>
        <v>#REF!</v>
      </c>
      <c r="FB163" s="244" t="e">
        <f t="shared" ca="1" si="133"/>
        <v>#REF!</v>
      </c>
      <c r="FC163" s="244" t="e">
        <f t="shared" ca="1" si="133"/>
        <v>#REF!</v>
      </c>
      <c r="FD163" s="244" t="e">
        <f t="shared" ca="1" si="133"/>
        <v>#REF!</v>
      </c>
      <c r="FE163" s="244" t="e">
        <f t="shared" ca="1" si="133"/>
        <v>#REF!</v>
      </c>
      <c r="FF163" s="244" t="e">
        <f t="shared" ca="1" si="133"/>
        <v>#REF!</v>
      </c>
      <c r="FG163" s="244" t="e">
        <f t="shared" ca="1" si="133"/>
        <v>#REF!</v>
      </c>
      <c r="FH163" s="244" t="e">
        <f t="shared" ca="1" si="133"/>
        <v>#REF!</v>
      </c>
      <c r="FI163" s="244" t="e">
        <f t="shared" ca="1" si="133"/>
        <v>#REF!</v>
      </c>
      <c r="FJ163" s="244" t="e">
        <f t="shared" ca="1" si="133"/>
        <v>#REF!</v>
      </c>
      <c r="FK163" s="244" t="e">
        <f t="shared" ca="1" si="133"/>
        <v>#REF!</v>
      </c>
      <c r="FL163" s="244" t="e">
        <f t="shared" ca="1" si="133"/>
        <v>#REF!</v>
      </c>
      <c r="FM163" s="244" t="e">
        <f t="shared" ca="1" si="133"/>
        <v>#REF!</v>
      </c>
      <c r="FN163" s="244" t="e">
        <f t="shared" ca="1" si="133"/>
        <v>#REF!</v>
      </c>
      <c r="FO163" s="244"/>
    </row>
    <row r="164" spans="4:171" x14ac:dyDescent="0.25">
      <c r="D164">
        <f>IF(E164&lt;100000,D163+1,"")</f>
        <v>164</v>
      </c>
      <c r="E164" s="112">
        <f t="shared" si="129"/>
        <v>37135</v>
      </c>
      <c r="F164" s="112">
        <f t="shared" si="129"/>
        <v>37499</v>
      </c>
      <c r="G164" s="112"/>
      <c r="H164" s="238">
        <f>H163+1</f>
        <v>2</v>
      </c>
      <c r="J164" s="112" t="e">
        <f t="shared" ref="J164:J179" ca="1" si="134">VLOOKUP(N164,$E$163:$F$176,2)</f>
        <v>#N/A</v>
      </c>
      <c r="K164" s="112"/>
      <c r="L164" s="112"/>
      <c r="M164" t="e">
        <f ca="1">IF(J164&gt;=N164,1,0)</f>
        <v>#N/A</v>
      </c>
      <c r="N164" s="112">
        <f t="shared" ref="N164:N179" ca="1" si="135">N21</f>
        <v>36312</v>
      </c>
      <c r="AG164" s="238">
        <f>AG163</f>
        <v>48</v>
      </c>
      <c r="AH164" s="112" t="e">
        <f ca="1">AI163+1</f>
        <v>#N/A</v>
      </c>
      <c r="AI164" s="112">
        <f ca="1">INDIRECT(CONCATENATE("AF",AG160))</f>
        <v>100000</v>
      </c>
      <c r="AJ164" s="114"/>
      <c r="AK164" s="114"/>
      <c r="AL164" s="238" t="e">
        <f t="shared" ca="1" si="124"/>
        <v>#N/A</v>
      </c>
      <c r="AM164" s="112">
        <f t="shared" ca="1" si="107"/>
        <v>100000</v>
      </c>
      <c r="AN164" s="112">
        <f t="shared" ca="1" si="125"/>
        <v>100000</v>
      </c>
      <c r="AO164" s="114">
        <f t="shared" ca="1" si="121"/>
        <v>0</v>
      </c>
      <c r="AP164" s="114">
        <f t="shared" ca="1" si="122"/>
        <v>0</v>
      </c>
      <c r="AR164" s="238">
        <f t="shared" si="126"/>
        <v>164</v>
      </c>
      <c r="AU164" s="238">
        <f t="shared" si="127"/>
        <v>145</v>
      </c>
      <c r="AV164" s="238"/>
      <c r="AW164" s="238"/>
      <c r="BB164">
        <f>BB163+1</f>
        <v>2</v>
      </c>
      <c r="BC164" s="112">
        <f t="shared" ref="BC164:BC227" ca="1" si="136">SMALL($E$163:$E$283,BB164)</f>
        <v>36312</v>
      </c>
      <c r="BD164" s="112"/>
      <c r="BE164" s="112" t="e">
        <f t="shared" ref="BE164:BE213" ca="1" si="137">VLOOKUP(BC164,$E$163:$F$196,2)</f>
        <v>#N/A</v>
      </c>
      <c r="BF164" s="112"/>
      <c r="BG164" s="112"/>
      <c r="BH164" s="112"/>
      <c r="BJ164" s="112" t="e">
        <f ca="1">VLOOKUP(BC164,INDIRECT($BI$160),1,FALSE)</f>
        <v>#N/A</v>
      </c>
      <c r="CM164" s="112"/>
      <c r="CN164" s="112"/>
      <c r="CQ164" s="112"/>
      <c r="CR164" s="112"/>
      <c r="CS164" s="112"/>
      <c r="CT164" s="112"/>
      <c r="CU164" s="112"/>
      <c r="CV164" s="112"/>
      <c r="CW164" s="112"/>
      <c r="CX164" s="112" t="s">
        <v>224</v>
      </c>
      <c r="CY164" s="112" t="s">
        <v>225</v>
      </c>
      <c r="CZ164" s="112" t="s">
        <v>226</v>
      </c>
      <c r="DA164" s="112" t="s">
        <v>227</v>
      </c>
      <c r="DB164" s="112" t="s">
        <v>228</v>
      </c>
      <c r="DC164" s="112"/>
      <c r="DD164" s="112"/>
      <c r="DE164" s="238"/>
      <c r="DF164" s="112"/>
      <c r="DG164" s="112"/>
      <c r="DH164" s="112"/>
      <c r="DI164" s="112"/>
      <c r="DJ164" s="112"/>
      <c r="DK164" s="112">
        <f t="shared" si="130"/>
        <v>100000</v>
      </c>
      <c r="DL164" s="112"/>
      <c r="DM164" s="112"/>
      <c r="DN164" s="112" t="e">
        <f t="shared" si="131"/>
        <v>#NUM!</v>
      </c>
      <c r="DO164" s="112" t="e">
        <f t="shared" si="132"/>
        <v>#NUM!</v>
      </c>
      <c r="DP164" s="112"/>
      <c r="DQ164" s="112"/>
      <c r="EX164" s="244">
        <v>0</v>
      </c>
      <c r="EY164" s="278" t="e">
        <f>VLOOKUP(DN164,Foglio1!$AB$31:$AN$261,13)-6</f>
        <v>#NUM!</v>
      </c>
      <c r="EZ164" s="244"/>
      <c r="FA164" s="244" t="e">
        <f t="shared" ca="1" si="133"/>
        <v>#REF!</v>
      </c>
      <c r="FB164" s="244" t="e">
        <f t="shared" ca="1" si="133"/>
        <v>#REF!</v>
      </c>
      <c r="FC164" s="244" t="e">
        <f t="shared" ca="1" si="133"/>
        <v>#REF!</v>
      </c>
      <c r="FD164" s="244" t="e">
        <f t="shared" ca="1" si="133"/>
        <v>#REF!</v>
      </c>
      <c r="FE164" s="244" t="e">
        <f t="shared" ca="1" si="133"/>
        <v>#REF!</v>
      </c>
      <c r="FF164" s="244" t="e">
        <f t="shared" ca="1" si="133"/>
        <v>#REF!</v>
      </c>
      <c r="FG164" s="244" t="e">
        <f t="shared" ca="1" si="133"/>
        <v>#REF!</v>
      </c>
      <c r="FH164" s="244" t="e">
        <f t="shared" ca="1" si="133"/>
        <v>#REF!</v>
      </c>
      <c r="FI164" s="244" t="e">
        <f t="shared" ca="1" si="133"/>
        <v>#REF!</v>
      </c>
      <c r="FJ164" s="244" t="e">
        <f t="shared" ca="1" si="133"/>
        <v>#REF!</v>
      </c>
      <c r="FK164" s="244" t="e">
        <f t="shared" ca="1" si="133"/>
        <v>#REF!</v>
      </c>
      <c r="FL164" s="244" t="e">
        <f t="shared" ca="1" si="133"/>
        <v>#REF!</v>
      </c>
      <c r="FM164" s="244" t="e">
        <f t="shared" ca="1" si="133"/>
        <v>#REF!</v>
      </c>
      <c r="FN164" s="244" t="e">
        <f t="shared" ca="1" si="133"/>
        <v>#REF!</v>
      </c>
      <c r="FO164" s="244"/>
    </row>
    <row r="165" spans="4:171" x14ac:dyDescent="0.25">
      <c r="D165">
        <f t="shared" ref="D165:D228" si="138">IF(E165&lt;100000,D164+1,"")</f>
        <v>165</v>
      </c>
      <c r="E165" s="112">
        <f t="shared" si="129"/>
        <v>37500</v>
      </c>
      <c r="F165" s="112">
        <f t="shared" si="129"/>
        <v>37864</v>
      </c>
      <c r="G165" s="112"/>
      <c r="H165" s="238">
        <f t="shared" ref="H165:H226" si="139">H164+1</f>
        <v>3</v>
      </c>
      <c r="J165" s="112" t="e">
        <f t="shared" ca="1" si="134"/>
        <v>#N/A</v>
      </c>
      <c r="K165" s="112"/>
      <c r="L165" s="112"/>
      <c r="M165" t="e">
        <f ca="1">IF(J165&gt;=N165,1,0)</f>
        <v>#N/A</v>
      </c>
      <c r="N165" s="112">
        <f t="shared" ca="1" si="135"/>
        <v>36708</v>
      </c>
      <c r="AG165" s="238">
        <f>AG164+1</f>
        <v>49</v>
      </c>
      <c r="AH165" s="112">
        <f ca="1">INDIRECT(CONCATENATE("AA",AG165))</f>
        <v>100000</v>
      </c>
      <c r="AI165" s="112" t="e">
        <f ca="1">IF(            INDIRECT(CONCATENATE( "AB",AG165))&lt;100000,       INDIRECT(CONCATENATE("AB",AG165))  -1,IF(   INDIRECT(CONCATENATE("AC",AG165))&lt;100000,   INDIRECT(CONCATENATE("AC",AG165))-1,IF(   INDIRECT(CONCATENATE("AD", AG165))&lt;100000, INDIRECT(CONCATENATE("AD",AG165))-1,IF(   INDIRECT(CONCATENATE("AE",AG165))&lt;100000,  INDIRECT(CONCATENATE("AE",G165)),INDIRECT(CONCATENATE("AF",AG165))                ))))</f>
        <v>#N/A</v>
      </c>
      <c r="AJ165" s="114"/>
      <c r="AK165" s="114"/>
      <c r="AL165" s="238" t="e">
        <f t="shared" ca="1" si="124"/>
        <v>#N/A</v>
      </c>
      <c r="AM165" s="112">
        <f t="shared" ca="1" si="107"/>
        <v>100000</v>
      </c>
      <c r="AN165" s="112">
        <f t="shared" ca="1" si="125"/>
        <v>100000</v>
      </c>
      <c r="AO165" s="114">
        <f t="shared" ca="1" si="121"/>
        <v>0</v>
      </c>
      <c r="AP165" s="114">
        <f t="shared" ca="1" si="122"/>
        <v>0</v>
      </c>
      <c r="AR165" s="238">
        <f t="shared" si="126"/>
        <v>165</v>
      </c>
      <c r="AU165" s="238">
        <f t="shared" si="127"/>
        <v>146</v>
      </c>
      <c r="AV165" s="238"/>
      <c r="AW165" s="238"/>
      <c r="BB165">
        <f t="shared" ref="BB165:BB228" si="140">BB164+1</f>
        <v>3</v>
      </c>
      <c r="BC165" s="112">
        <f t="shared" ca="1" si="136"/>
        <v>36708</v>
      </c>
      <c r="BD165" s="112"/>
      <c r="BE165" s="112" t="e">
        <f t="shared" ca="1" si="137"/>
        <v>#N/A</v>
      </c>
      <c r="BF165" s="112"/>
      <c r="BG165" s="112"/>
      <c r="BH165" s="112"/>
      <c r="BJ165" s="112" t="e">
        <f ca="1">VLOOKUP(BC165,INDIRECT($BI$160),1,FALSE)</f>
        <v>#N/A</v>
      </c>
      <c r="CM165" s="112"/>
      <c r="CN165" s="112"/>
      <c r="CQ165" s="112"/>
      <c r="CR165" s="112"/>
      <c r="CS165" s="112"/>
      <c r="CT165" s="112"/>
      <c r="CU165" s="112"/>
      <c r="CV165" s="112"/>
      <c r="CW165" s="112"/>
      <c r="CX165" s="112" t="s">
        <v>224</v>
      </c>
      <c r="CY165" s="112" t="s">
        <v>225</v>
      </c>
      <c r="CZ165" s="112" t="s">
        <v>226</v>
      </c>
      <c r="DA165" s="112" t="s">
        <v>227</v>
      </c>
      <c r="DB165" s="112" t="s">
        <v>228</v>
      </c>
      <c r="DC165" s="112"/>
      <c r="DD165" s="112"/>
      <c r="DE165" s="238"/>
      <c r="DF165" s="112"/>
      <c r="DG165" s="112"/>
      <c r="DH165" s="112"/>
      <c r="DI165" s="112"/>
      <c r="DJ165" s="112"/>
      <c r="DK165" s="112">
        <f t="shared" si="130"/>
        <v>100000</v>
      </c>
      <c r="DL165" s="112"/>
      <c r="DM165" s="112"/>
      <c r="DN165" s="112" t="e">
        <f t="shared" si="131"/>
        <v>#NUM!</v>
      </c>
      <c r="DO165" s="112" t="e">
        <f t="shared" si="132"/>
        <v>#NUM!</v>
      </c>
      <c r="DP165" s="112"/>
      <c r="DQ165" s="112"/>
      <c r="EX165" s="244">
        <v>0</v>
      </c>
      <c r="EY165" s="278" t="e">
        <f>VLOOKUP(DN165,Foglio1!$AB$31:$AN$261,13)-6</f>
        <v>#NUM!</v>
      </c>
      <c r="EZ165" s="244"/>
      <c r="FA165" s="244" t="e">
        <f t="shared" ca="1" si="133"/>
        <v>#REF!</v>
      </c>
      <c r="FB165" s="244" t="e">
        <f t="shared" ca="1" si="133"/>
        <v>#REF!</v>
      </c>
      <c r="FC165" s="244" t="e">
        <f t="shared" ca="1" si="133"/>
        <v>#REF!</v>
      </c>
      <c r="FD165" s="244" t="e">
        <f t="shared" ca="1" si="133"/>
        <v>#REF!</v>
      </c>
      <c r="FE165" s="244" t="e">
        <f t="shared" ca="1" si="133"/>
        <v>#REF!</v>
      </c>
      <c r="FF165" s="244" t="e">
        <f t="shared" ca="1" si="133"/>
        <v>#REF!</v>
      </c>
      <c r="FG165" s="244" t="e">
        <f t="shared" ca="1" si="133"/>
        <v>#REF!</v>
      </c>
      <c r="FH165" s="244" t="e">
        <f t="shared" ca="1" si="133"/>
        <v>#REF!</v>
      </c>
      <c r="FI165" s="244" t="e">
        <f t="shared" ca="1" si="133"/>
        <v>#REF!</v>
      </c>
      <c r="FJ165" s="244" t="e">
        <f t="shared" ca="1" si="133"/>
        <v>#REF!</v>
      </c>
      <c r="FK165" s="244" t="e">
        <f t="shared" ca="1" si="133"/>
        <v>#REF!</v>
      </c>
      <c r="FL165" s="244" t="e">
        <f t="shared" ca="1" si="133"/>
        <v>#REF!</v>
      </c>
      <c r="FM165" s="244" t="e">
        <f t="shared" ca="1" si="133"/>
        <v>#REF!</v>
      </c>
      <c r="FN165" s="244" t="e">
        <f t="shared" ca="1" si="133"/>
        <v>#REF!</v>
      </c>
      <c r="FO165" s="244"/>
    </row>
    <row r="166" spans="4:171" x14ac:dyDescent="0.25">
      <c r="D166">
        <f t="shared" si="138"/>
        <v>166</v>
      </c>
      <c r="E166" s="112">
        <f t="shared" si="129"/>
        <v>39326</v>
      </c>
      <c r="F166" s="112">
        <f t="shared" si="129"/>
        <v>39692</v>
      </c>
      <c r="G166" s="112"/>
      <c r="H166" s="238">
        <f t="shared" si="139"/>
        <v>4</v>
      </c>
      <c r="J166" s="112">
        <f t="shared" ca="1" si="134"/>
        <v>37134</v>
      </c>
      <c r="K166" s="112"/>
      <c r="L166" s="112"/>
      <c r="M166">
        <f ca="1">IF(J166&gt;=N166,1,0)</f>
        <v>1</v>
      </c>
      <c r="N166" s="112">
        <f t="shared" ca="1" si="135"/>
        <v>36770</v>
      </c>
      <c r="AG166" s="238">
        <f>AG165</f>
        <v>49</v>
      </c>
      <c r="AH166" s="112" t="e">
        <f ca="1">AI165+1</f>
        <v>#N/A</v>
      </c>
      <c r="AI166" s="112" t="e">
        <f ca="1">IF(INDIRECT(CONCATENATE("AC",AG165))&lt;100000,INDIRECT(CONCATENATE("AC",AG165))-1,IF(INDIRECT(CONCATENATE("AD",AG165))&lt;100000,INDIRECT(CONCATENATE("AD",AG165))-1,IF(INDIRECT(CONCATENATE("AE",AG165))&lt;100000,INDIRECT(CONCATENATE("AE",G165)),INDIRECT(CONCATENATE("AF",AG165)))))</f>
        <v>#N/A</v>
      </c>
      <c r="AJ166" s="114"/>
      <c r="AK166" s="114"/>
      <c r="AL166" s="238" t="e">
        <f t="shared" ca="1" si="124"/>
        <v>#N/A</v>
      </c>
      <c r="AM166" s="112">
        <f t="shared" ca="1" si="107"/>
        <v>100000</v>
      </c>
      <c r="AN166" s="112">
        <f t="shared" ca="1" si="125"/>
        <v>100000</v>
      </c>
      <c r="AO166" s="114">
        <f t="shared" ca="1" si="121"/>
        <v>0</v>
      </c>
      <c r="AP166" s="114">
        <f t="shared" ca="1" si="122"/>
        <v>0</v>
      </c>
      <c r="AR166" s="238">
        <f t="shared" si="126"/>
        <v>166</v>
      </c>
      <c r="AU166" s="238">
        <f t="shared" si="127"/>
        <v>147</v>
      </c>
      <c r="AV166" s="238"/>
      <c r="AW166" s="238"/>
      <c r="BB166">
        <f t="shared" si="140"/>
        <v>4</v>
      </c>
      <c r="BC166" s="112">
        <f t="shared" ca="1" si="136"/>
        <v>36770</v>
      </c>
      <c r="BD166" s="112"/>
      <c r="BE166" s="112">
        <f t="shared" ca="1" si="137"/>
        <v>37134</v>
      </c>
      <c r="BF166" s="112"/>
      <c r="BG166" s="112"/>
      <c r="BH166" s="112"/>
      <c r="BJ166" s="112">
        <f ca="1">VLOOKUP(BC166,INDIRECT($BI$160),1,FALSE)</f>
        <v>36770</v>
      </c>
      <c r="CM166" s="112"/>
      <c r="CN166" s="112"/>
      <c r="CQ166" s="112"/>
      <c r="CR166" s="112"/>
      <c r="CS166" s="112"/>
      <c r="CT166" s="112"/>
      <c r="CU166" s="112"/>
      <c r="CV166" s="112"/>
      <c r="CW166" s="112"/>
      <c r="CX166" s="112" t="s">
        <v>224</v>
      </c>
      <c r="CY166" s="112" t="s">
        <v>225</v>
      </c>
      <c r="CZ166" s="112" t="s">
        <v>226</v>
      </c>
      <c r="DA166" s="112" t="s">
        <v>227</v>
      </c>
      <c r="DB166" s="112" t="s">
        <v>228</v>
      </c>
      <c r="DC166" s="112"/>
      <c r="DD166" s="112"/>
      <c r="DE166" s="238"/>
      <c r="DF166" s="112"/>
      <c r="DG166" s="112"/>
      <c r="DH166" s="112"/>
      <c r="DI166" s="112"/>
      <c r="DJ166" s="112"/>
      <c r="DK166" s="112">
        <f t="shared" si="130"/>
        <v>100000</v>
      </c>
      <c r="DL166" s="112"/>
      <c r="DM166" s="112"/>
      <c r="DN166" s="112" t="e">
        <f t="shared" si="131"/>
        <v>#NUM!</v>
      </c>
      <c r="DO166" s="112" t="e">
        <f t="shared" si="132"/>
        <v>#NUM!</v>
      </c>
      <c r="DP166" s="112"/>
      <c r="DQ166" s="112"/>
    </row>
    <row r="167" spans="4:171" x14ac:dyDescent="0.25">
      <c r="D167">
        <f t="shared" si="138"/>
        <v>167</v>
      </c>
      <c r="E167" s="112">
        <f t="shared" si="129"/>
        <v>39539</v>
      </c>
      <c r="F167" s="112">
        <f t="shared" si="129"/>
        <v>39630</v>
      </c>
      <c r="G167" s="112"/>
      <c r="H167" s="238">
        <f t="shared" si="139"/>
        <v>5</v>
      </c>
      <c r="J167" s="112">
        <f t="shared" ca="1" si="134"/>
        <v>37134</v>
      </c>
      <c r="K167" s="112"/>
      <c r="L167" s="112"/>
      <c r="M167">
        <f ca="1">IF(J167&gt;=N167,1,0)</f>
        <v>1</v>
      </c>
      <c r="N167" s="112">
        <f t="shared" ca="1" si="135"/>
        <v>36892</v>
      </c>
      <c r="AG167" s="238">
        <f>AG166</f>
        <v>49</v>
      </c>
      <c r="AH167" s="112" t="e">
        <f ca="1">AI166+1</f>
        <v>#N/A</v>
      </c>
      <c r="AI167" s="112" t="e">
        <f ca="1">IF(INDIRECT(CONCATENATE("AD",AG165))&lt;100000,INDIRECT(CONCATENATE("AD",AG165))-1,IF(INDIRECT(CONCATENATE("AE",AG165))&lt;100000,INDIRECT(CONCATENATE("AE",G165)),INDIRECT(CONCATENATE("AF",AG165))))</f>
        <v>#N/A</v>
      </c>
      <c r="AJ167" s="114"/>
      <c r="AK167" s="114"/>
      <c r="AL167" s="238" t="e">
        <f t="shared" ca="1" si="124"/>
        <v>#N/A</v>
      </c>
      <c r="AM167" s="112">
        <f t="shared" ca="1" si="107"/>
        <v>100000</v>
      </c>
      <c r="AN167" s="112">
        <f t="shared" ca="1" si="125"/>
        <v>100000</v>
      </c>
      <c r="AO167" s="114">
        <f t="shared" ca="1" si="121"/>
        <v>0</v>
      </c>
      <c r="AP167" s="114">
        <f t="shared" ca="1" si="122"/>
        <v>0</v>
      </c>
      <c r="AR167" s="238">
        <f t="shared" si="126"/>
        <v>167</v>
      </c>
      <c r="AU167" s="238">
        <f t="shared" si="127"/>
        <v>148</v>
      </c>
      <c r="AV167" s="238"/>
      <c r="AW167" s="238"/>
      <c r="BB167">
        <f t="shared" si="140"/>
        <v>5</v>
      </c>
      <c r="BC167" s="112">
        <f t="shared" ca="1" si="136"/>
        <v>36770</v>
      </c>
      <c r="BD167" s="112"/>
      <c r="BE167" s="112">
        <f t="shared" ca="1" si="137"/>
        <v>37134</v>
      </c>
      <c r="BF167" s="112"/>
      <c r="BG167" s="112"/>
      <c r="BH167" s="112"/>
      <c r="BJ167" s="112">
        <f ca="1">VLOOKUP(BC167,INDIRECT($BI$160),1,FALSE)</f>
        <v>36770</v>
      </c>
      <c r="CM167" s="112"/>
      <c r="CN167" s="112"/>
      <c r="CQ167" s="112"/>
      <c r="CR167" s="112"/>
      <c r="CS167" s="112"/>
      <c r="CT167" s="112"/>
      <c r="CU167" s="112"/>
      <c r="CV167" s="112"/>
      <c r="CW167" s="112"/>
      <c r="CX167" s="112" t="s">
        <v>224</v>
      </c>
      <c r="CY167" s="112" t="s">
        <v>225</v>
      </c>
      <c r="CZ167" s="112" t="s">
        <v>226</v>
      </c>
      <c r="DA167" s="112" t="s">
        <v>227</v>
      </c>
      <c r="DB167" s="112" t="s">
        <v>228</v>
      </c>
      <c r="DC167" s="112"/>
      <c r="DD167" s="112"/>
      <c r="DE167" s="238"/>
      <c r="DF167" s="112"/>
      <c r="DG167" s="112"/>
      <c r="DH167" s="112"/>
      <c r="DI167" s="112"/>
      <c r="DJ167" s="112"/>
      <c r="DK167" s="112">
        <f t="shared" si="130"/>
        <v>100000</v>
      </c>
      <c r="DL167" s="112"/>
      <c r="DM167" s="112"/>
      <c r="DN167" s="112" t="e">
        <f t="shared" si="131"/>
        <v>#NUM!</v>
      </c>
      <c r="DO167" s="112" t="e">
        <f t="shared" si="132"/>
        <v>#NUM!</v>
      </c>
      <c r="DP167" s="112"/>
      <c r="DQ167" s="112"/>
    </row>
    <row r="168" spans="4:171" x14ac:dyDescent="0.25">
      <c r="D168" t="str">
        <f t="shared" si="138"/>
        <v/>
      </c>
      <c r="E168" s="112">
        <f t="shared" si="129"/>
        <v>100000</v>
      </c>
      <c r="F168" s="112">
        <f t="shared" si="129"/>
        <v>100000</v>
      </c>
      <c r="G168" s="112"/>
      <c r="H168" s="238">
        <f t="shared" si="139"/>
        <v>6</v>
      </c>
      <c r="J168" s="112">
        <f t="shared" ca="1" si="134"/>
        <v>37499</v>
      </c>
      <c r="K168" s="112"/>
      <c r="L168" s="112"/>
      <c r="M168">
        <f t="shared" ref="M168:M179" ca="1" si="141">IF(J168&gt;=N168,1,0)</f>
        <v>1</v>
      </c>
      <c r="N168" s="112">
        <f t="shared" ca="1" si="135"/>
        <v>37257</v>
      </c>
      <c r="AG168" s="238">
        <f>AG167</f>
        <v>49</v>
      </c>
      <c r="AH168" s="112" t="e">
        <f ca="1">AI167+1</f>
        <v>#N/A</v>
      </c>
      <c r="AI168" s="112" t="e">
        <f ca="1">IF(INDIRECT(CONCATENATE("AE",AG165))&lt;100000,INDIRECT(CONCATENATE("AE",G165)),INDIRECT(CONCATENATE("AF",AG165)))</f>
        <v>#N/A</v>
      </c>
      <c r="AJ168" s="114"/>
      <c r="AK168" s="114"/>
      <c r="AL168" s="238" t="e">
        <f t="shared" ca="1" si="124"/>
        <v>#N/A</v>
      </c>
      <c r="AM168" s="112">
        <f t="shared" ca="1" si="107"/>
        <v>100000</v>
      </c>
      <c r="AN168" s="112">
        <f t="shared" ca="1" si="125"/>
        <v>100000</v>
      </c>
      <c r="AO168" s="114">
        <f t="shared" ca="1" si="121"/>
        <v>0</v>
      </c>
      <c r="AP168" s="114">
        <f t="shared" ca="1" si="122"/>
        <v>0</v>
      </c>
      <c r="AR168" s="238">
        <f t="shared" si="126"/>
        <v>168</v>
      </c>
      <c r="AU168" s="238">
        <f t="shared" si="127"/>
        <v>149</v>
      </c>
      <c r="AV168" s="238"/>
      <c r="AW168" s="238"/>
      <c r="BB168">
        <f t="shared" si="140"/>
        <v>6</v>
      </c>
      <c r="BC168" s="112">
        <f t="shared" ca="1" si="136"/>
        <v>36892</v>
      </c>
      <c r="BD168" s="112"/>
      <c r="BE168" s="112">
        <f t="shared" ca="1" si="137"/>
        <v>37134</v>
      </c>
      <c r="BF168" s="112"/>
      <c r="BG168" s="112"/>
      <c r="BH168" s="112"/>
      <c r="BJ168" s="112" t="e">
        <f t="shared" ref="BJ168:BJ196" ca="1" si="142">VLOOKUP(BC168,INDIRECT($BI$160),1,FALSE)</f>
        <v>#N/A</v>
      </c>
      <c r="CM168" s="112"/>
      <c r="CN168" s="112"/>
      <c r="CQ168" s="112"/>
      <c r="CR168" s="112"/>
      <c r="CS168" s="112"/>
      <c r="CT168" s="112"/>
      <c r="CU168" s="112"/>
      <c r="CV168" s="112"/>
      <c r="CW168" s="112"/>
      <c r="CX168" s="112" t="s">
        <v>224</v>
      </c>
      <c r="CY168" s="112" t="s">
        <v>225</v>
      </c>
      <c r="CZ168" s="112" t="s">
        <v>226</v>
      </c>
      <c r="DA168" s="112" t="s">
        <v>227</v>
      </c>
      <c r="DB168" s="112" t="s">
        <v>228</v>
      </c>
      <c r="DC168" s="112"/>
      <c r="DD168" s="112"/>
      <c r="DE168" s="238"/>
      <c r="DF168" s="112"/>
      <c r="DG168" s="112"/>
      <c r="DH168" s="112"/>
      <c r="DI168" s="112"/>
      <c r="DJ168" s="112"/>
      <c r="DK168" s="112">
        <f t="shared" si="130"/>
        <v>100000</v>
      </c>
      <c r="DL168" s="112"/>
      <c r="DM168" s="112"/>
      <c r="DN168" s="112" t="e">
        <f t="shared" si="131"/>
        <v>#NUM!</v>
      </c>
      <c r="DO168" s="112" t="e">
        <f t="shared" si="132"/>
        <v>#NUM!</v>
      </c>
      <c r="DP168" s="112"/>
      <c r="DQ168" s="112"/>
    </row>
    <row r="169" spans="4:171" x14ac:dyDescent="0.25">
      <c r="D169" t="str">
        <f t="shared" si="138"/>
        <v/>
      </c>
      <c r="E169" s="112">
        <f t="shared" si="129"/>
        <v>100000</v>
      </c>
      <c r="F169" s="112">
        <f t="shared" si="129"/>
        <v>100000</v>
      </c>
      <c r="G169" s="112"/>
      <c r="H169" s="238">
        <f t="shared" si="139"/>
        <v>7</v>
      </c>
      <c r="J169" s="112">
        <f t="shared" ca="1" si="134"/>
        <v>37499</v>
      </c>
      <c r="K169" s="112"/>
      <c r="L169" s="112"/>
      <c r="M169">
        <f t="shared" ca="1" si="141"/>
        <v>1</v>
      </c>
      <c r="N169" s="112">
        <f t="shared" ca="1" si="135"/>
        <v>37411</v>
      </c>
      <c r="AG169" s="238">
        <f>AG168</f>
        <v>49</v>
      </c>
      <c r="AH169" s="112" t="e">
        <f ca="1">AI168+1</f>
        <v>#N/A</v>
      </c>
      <c r="AI169" s="112">
        <f ca="1">INDIRECT(CONCATENATE("AF",AG165))</f>
        <v>100000</v>
      </c>
      <c r="AJ169" s="114"/>
      <c r="AK169" s="114"/>
      <c r="AL169" s="238" t="e">
        <f t="shared" ca="1" si="124"/>
        <v>#N/A</v>
      </c>
      <c r="AM169" s="112">
        <f t="shared" ref="AM169:AM232" ca="1" si="143">IF(TYPE(AL169)=16,100000,IF(AL169=0,100000,AH169))</f>
        <v>100000</v>
      </c>
      <c r="AN169" s="112">
        <f t="shared" ca="1" si="125"/>
        <v>100000</v>
      </c>
      <c r="AO169" s="114">
        <f t="shared" ca="1" si="121"/>
        <v>0</v>
      </c>
      <c r="AP169" s="114">
        <f t="shared" ca="1" si="122"/>
        <v>0</v>
      </c>
      <c r="AR169" s="238">
        <f t="shared" si="126"/>
        <v>169</v>
      </c>
      <c r="AU169" s="238">
        <f t="shared" si="127"/>
        <v>150</v>
      </c>
      <c r="AV169" s="238"/>
      <c r="AW169" s="238"/>
      <c r="BB169">
        <f t="shared" si="140"/>
        <v>7</v>
      </c>
      <c r="BC169" s="112">
        <f t="shared" ca="1" si="136"/>
        <v>37135</v>
      </c>
      <c r="BD169" s="112"/>
      <c r="BE169" s="112">
        <f t="shared" ca="1" si="137"/>
        <v>37499</v>
      </c>
      <c r="BF169" s="112"/>
      <c r="BG169" s="112"/>
      <c r="BH169" s="112"/>
      <c r="BJ169" s="112">
        <f t="shared" ca="1" si="142"/>
        <v>37135</v>
      </c>
      <c r="CM169" s="112"/>
      <c r="CN169" s="112"/>
      <c r="CQ169" s="112"/>
      <c r="CR169" s="112"/>
      <c r="CS169" s="112"/>
      <c r="CT169" s="112"/>
      <c r="CU169" s="112"/>
      <c r="CV169" s="112"/>
      <c r="CW169" s="112"/>
      <c r="CX169" s="112" t="s">
        <v>224</v>
      </c>
      <c r="CY169" s="112" t="s">
        <v>225</v>
      </c>
      <c r="CZ169" s="112" t="s">
        <v>226</v>
      </c>
      <c r="DA169" s="112" t="s">
        <v>227</v>
      </c>
      <c r="DB169" s="112" t="s">
        <v>228</v>
      </c>
      <c r="DC169" s="112"/>
      <c r="DD169" s="112"/>
      <c r="DE169" s="238"/>
      <c r="DF169" s="112"/>
      <c r="DG169" s="112"/>
      <c r="DH169" s="112"/>
      <c r="DI169" s="112"/>
      <c r="DJ169" s="112"/>
      <c r="DK169" s="112">
        <f t="shared" si="130"/>
        <v>100000</v>
      </c>
      <c r="DL169" s="112"/>
      <c r="DM169" s="112"/>
      <c r="DN169" s="112" t="e">
        <f t="shared" si="131"/>
        <v>#NUM!</v>
      </c>
      <c r="DO169" s="112" t="e">
        <f t="shared" si="132"/>
        <v>#NUM!</v>
      </c>
      <c r="DP169" s="112"/>
      <c r="DQ169" s="112"/>
    </row>
    <row r="170" spans="4:171" x14ac:dyDescent="0.25">
      <c r="D170" t="str">
        <f t="shared" si="138"/>
        <v/>
      </c>
      <c r="E170" s="112">
        <f t="shared" si="129"/>
        <v>100000</v>
      </c>
      <c r="F170" s="112">
        <f t="shared" si="129"/>
        <v>100000</v>
      </c>
      <c r="G170" s="112"/>
      <c r="H170" s="238">
        <f t="shared" si="139"/>
        <v>8</v>
      </c>
      <c r="J170" s="112">
        <f t="shared" ca="1" si="134"/>
        <v>37864</v>
      </c>
      <c r="K170" s="112"/>
      <c r="L170" s="112"/>
      <c r="M170">
        <f t="shared" ca="1" si="141"/>
        <v>1</v>
      </c>
      <c r="N170" s="112">
        <f t="shared" ca="1" si="135"/>
        <v>37622</v>
      </c>
      <c r="AG170" s="238">
        <f>AG169+1</f>
        <v>50</v>
      </c>
      <c r="AH170" s="112">
        <f ca="1">INDIRECT(CONCATENATE("AA",AG170))</f>
        <v>100000</v>
      </c>
      <c r="AI170" s="112" t="e">
        <f ca="1">IF(            INDIRECT(CONCATENATE( "AB",AG170))&lt;100000,       INDIRECT(CONCATENATE("AB",AG170))  -1,IF(   INDIRECT(CONCATENATE("AC",AG170))&lt;100000,   INDIRECT(CONCATENATE("AC",AG170))-1,IF(   INDIRECT(CONCATENATE("AD", AG170))&lt;100000, INDIRECT(CONCATENATE("AD",AG170))-1,IF(   INDIRECT(CONCATENATE("AE",AG170))&lt;100000,  INDIRECT(CONCATENATE("AE",G170)),INDIRECT(CONCATENATE("AF",AG170))                ))))</f>
        <v>#N/A</v>
      </c>
      <c r="AJ170" s="114"/>
      <c r="AK170" s="114"/>
      <c r="AL170" s="238" t="e">
        <f t="shared" ca="1" si="124"/>
        <v>#N/A</v>
      </c>
      <c r="AM170" s="112">
        <f t="shared" ca="1" si="143"/>
        <v>100000</v>
      </c>
      <c r="AN170" s="112">
        <f t="shared" ca="1" si="125"/>
        <v>100000</v>
      </c>
      <c r="AO170" s="114">
        <f t="shared" ca="1" si="121"/>
        <v>0</v>
      </c>
      <c r="AP170" s="114">
        <f t="shared" ca="1" si="122"/>
        <v>0</v>
      </c>
      <c r="AR170" s="238">
        <f t="shared" si="126"/>
        <v>170</v>
      </c>
      <c r="AU170" s="238">
        <f t="shared" si="127"/>
        <v>151</v>
      </c>
      <c r="AV170" s="238"/>
      <c r="AW170" s="238"/>
      <c r="BB170">
        <f t="shared" si="140"/>
        <v>8</v>
      </c>
      <c r="BC170" s="112">
        <f t="shared" ca="1" si="136"/>
        <v>37257</v>
      </c>
      <c r="BD170" s="112"/>
      <c r="BE170" s="112">
        <f t="shared" ca="1" si="137"/>
        <v>37499</v>
      </c>
      <c r="BF170" s="112"/>
      <c r="BG170" s="112"/>
      <c r="BH170" s="112"/>
      <c r="BJ170" s="112" t="e">
        <f t="shared" ca="1" si="142"/>
        <v>#N/A</v>
      </c>
      <c r="CM170" s="112"/>
      <c r="CN170" s="112"/>
      <c r="CQ170" s="112"/>
      <c r="CR170" s="112"/>
      <c r="CS170" s="112"/>
      <c r="CT170" s="112"/>
      <c r="CU170" s="112"/>
      <c r="CV170" s="112"/>
      <c r="CW170" s="112"/>
      <c r="CX170" s="112" t="s">
        <v>224</v>
      </c>
      <c r="CY170" s="112" t="s">
        <v>225</v>
      </c>
      <c r="CZ170" s="112" t="s">
        <v>226</v>
      </c>
      <c r="DA170" s="112" t="s">
        <v>227</v>
      </c>
      <c r="DB170" s="112" t="s">
        <v>228</v>
      </c>
      <c r="DC170" s="112"/>
      <c r="DD170" s="112"/>
      <c r="DE170" s="238"/>
      <c r="DF170" s="112"/>
      <c r="DG170" s="112"/>
      <c r="DH170" s="112"/>
      <c r="DI170" s="112"/>
      <c r="DJ170" s="112"/>
      <c r="DK170" s="112">
        <f t="shared" si="130"/>
        <v>100000</v>
      </c>
      <c r="DL170" s="112"/>
      <c r="DM170" s="112"/>
      <c r="DN170" s="112" t="e">
        <f t="shared" si="131"/>
        <v>#NUM!</v>
      </c>
      <c r="DO170" s="112" t="e">
        <f t="shared" si="132"/>
        <v>#NUM!</v>
      </c>
      <c r="DP170" s="112"/>
      <c r="DQ170" s="112"/>
    </row>
    <row r="171" spans="4:171" x14ac:dyDescent="0.25">
      <c r="D171" t="str">
        <f t="shared" si="138"/>
        <v/>
      </c>
      <c r="E171" s="112">
        <f t="shared" si="129"/>
        <v>100000</v>
      </c>
      <c r="F171" s="112">
        <f t="shared" si="129"/>
        <v>100000</v>
      </c>
      <c r="G171" s="112"/>
      <c r="H171" s="238">
        <f t="shared" si="139"/>
        <v>9</v>
      </c>
      <c r="J171" s="112">
        <f t="shared" ca="1" si="134"/>
        <v>37864</v>
      </c>
      <c r="K171" s="112"/>
      <c r="L171" s="112"/>
      <c r="M171">
        <f t="shared" ca="1" si="141"/>
        <v>0</v>
      </c>
      <c r="N171" s="112">
        <f t="shared" ca="1" si="135"/>
        <v>37987</v>
      </c>
      <c r="AG171" s="238">
        <f>AG170</f>
        <v>50</v>
      </c>
      <c r="AH171" s="112" t="e">
        <f ca="1">AI170+1</f>
        <v>#N/A</v>
      </c>
      <c r="AI171" s="112" t="e">
        <f ca="1">IF(INDIRECT(CONCATENATE("AC",AG170))&lt;100000,INDIRECT(CONCATENATE("AC",AG170))-1,IF(INDIRECT(CONCATENATE("AD",AG170))&lt;100000,INDIRECT(CONCATENATE("AD",AG170))-1,IF(INDIRECT(CONCATENATE("AE",AG170))&lt;100000,INDIRECT(CONCATENATE("AE",G170)),INDIRECT(CONCATENATE("AF",AG170)))))</f>
        <v>#N/A</v>
      </c>
      <c r="AJ171" s="114"/>
      <c r="AK171" s="114"/>
      <c r="AL171" s="238" t="e">
        <f t="shared" ca="1" si="124"/>
        <v>#N/A</v>
      </c>
      <c r="AM171" s="112">
        <f t="shared" ca="1" si="143"/>
        <v>100000</v>
      </c>
      <c r="AN171" s="112">
        <f t="shared" ca="1" si="125"/>
        <v>100000</v>
      </c>
      <c r="AO171" s="114">
        <f t="shared" ca="1" si="121"/>
        <v>0</v>
      </c>
      <c r="AP171" s="114">
        <f t="shared" ca="1" si="122"/>
        <v>0</v>
      </c>
      <c r="AR171" s="238">
        <f t="shared" si="126"/>
        <v>171</v>
      </c>
      <c r="AU171" s="238">
        <f t="shared" si="127"/>
        <v>152</v>
      </c>
      <c r="AV171" s="238"/>
      <c r="AW171" s="238"/>
      <c r="BB171">
        <f t="shared" si="140"/>
        <v>9</v>
      </c>
      <c r="BC171" s="112">
        <f t="shared" ca="1" si="136"/>
        <v>37411</v>
      </c>
      <c r="BD171" s="112"/>
      <c r="BE171" s="112">
        <f t="shared" ca="1" si="137"/>
        <v>37499</v>
      </c>
      <c r="BF171" s="112"/>
      <c r="BG171" s="112"/>
      <c r="BH171" s="112"/>
      <c r="BJ171" s="112" t="e">
        <f t="shared" ca="1" si="142"/>
        <v>#N/A</v>
      </c>
      <c r="CM171" s="112"/>
      <c r="CN171" s="112"/>
      <c r="CQ171" s="112"/>
      <c r="CR171" s="112"/>
      <c r="CS171" s="112"/>
      <c r="CT171" s="112"/>
      <c r="CU171" s="112"/>
      <c r="CV171" s="112"/>
      <c r="CW171" s="112"/>
      <c r="CX171" s="112" t="s">
        <v>224</v>
      </c>
      <c r="CY171" s="112" t="s">
        <v>225</v>
      </c>
      <c r="CZ171" s="112" t="s">
        <v>226</v>
      </c>
      <c r="DA171" s="112" t="s">
        <v>227</v>
      </c>
      <c r="DB171" s="112" t="s">
        <v>228</v>
      </c>
      <c r="DC171" s="112"/>
      <c r="DD171" s="112"/>
      <c r="DE171" s="238"/>
      <c r="DF171" s="112"/>
      <c r="DG171" s="112"/>
      <c r="DH171" s="112"/>
      <c r="DI171" s="112"/>
      <c r="DJ171" s="112"/>
      <c r="DK171" s="112">
        <f t="shared" si="130"/>
        <v>100000</v>
      </c>
      <c r="DL171" s="112"/>
      <c r="DM171" s="112"/>
      <c r="DN171" s="112" t="e">
        <f t="shared" si="131"/>
        <v>#NUM!</v>
      </c>
      <c r="DO171" s="112" t="e">
        <f t="shared" si="132"/>
        <v>#NUM!</v>
      </c>
      <c r="DP171" s="112"/>
      <c r="DQ171" s="112"/>
    </row>
    <row r="172" spans="4:171" x14ac:dyDescent="0.25">
      <c r="D172" t="str">
        <f t="shared" si="138"/>
        <v/>
      </c>
      <c r="E172" s="112">
        <f t="shared" si="129"/>
        <v>100000</v>
      </c>
      <c r="F172" s="112">
        <f t="shared" si="129"/>
        <v>100000</v>
      </c>
      <c r="G172" s="112"/>
      <c r="H172" s="238">
        <f t="shared" si="139"/>
        <v>10</v>
      </c>
      <c r="J172" s="112">
        <f t="shared" ca="1" si="134"/>
        <v>37864</v>
      </c>
      <c r="K172" s="112"/>
      <c r="L172" s="112"/>
      <c r="M172">
        <f t="shared" ca="1" si="141"/>
        <v>0</v>
      </c>
      <c r="N172" s="112">
        <f t="shared" ca="1" si="135"/>
        <v>38384</v>
      </c>
      <c r="AG172" s="238">
        <f>AG171</f>
        <v>50</v>
      </c>
      <c r="AH172" s="112" t="e">
        <f ca="1">AI171+1</f>
        <v>#N/A</v>
      </c>
      <c r="AI172" s="112" t="e">
        <f ca="1">IF(INDIRECT(CONCATENATE("AD",AG170))&lt;100000,INDIRECT(CONCATENATE("AD",AG170))-1,IF(INDIRECT(CONCATENATE("AE",AG170))&lt;100000,INDIRECT(CONCATENATE("AE",G170)),INDIRECT(CONCATENATE("AF",AG170))))</f>
        <v>#N/A</v>
      </c>
      <c r="AJ172" s="114"/>
      <c r="AK172" s="114"/>
      <c r="AL172" s="238" t="e">
        <f t="shared" ca="1" si="124"/>
        <v>#N/A</v>
      </c>
      <c r="AM172" s="112">
        <f t="shared" ca="1" si="143"/>
        <v>100000</v>
      </c>
      <c r="AN172" s="112">
        <f t="shared" ca="1" si="125"/>
        <v>100000</v>
      </c>
      <c r="AO172" s="114">
        <f t="shared" ca="1" si="121"/>
        <v>0</v>
      </c>
      <c r="AP172" s="114">
        <f t="shared" ca="1" si="122"/>
        <v>0</v>
      </c>
      <c r="AR172" s="238">
        <f t="shared" si="126"/>
        <v>172</v>
      </c>
      <c r="AU172" s="238">
        <f t="shared" si="127"/>
        <v>153</v>
      </c>
      <c r="AV172" s="238"/>
      <c r="AW172" s="238"/>
      <c r="BB172">
        <f t="shared" si="140"/>
        <v>10</v>
      </c>
      <c r="BC172" s="112">
        <f t="shared" ca="1" si="136"/>
        <v>37500</v>
      </c>
      <c r="BD172" s="112"/>
      <c r="BE172" s="112">
        <f t="shared" ca="1" si="137"/>
        <v>37864</v>
      </c>
      <c r="BF172" s="112"/>
      <c r="BG172" s="112"/>
      <c r="BH172" s="112"/>
      <c r="BJ172" s="112">
        <f t="shared" ca="1" si="142"/>
        <v>37500</v>
      </c>
      <c r="CM172" s="112"/>
      <c r="CN172" s="112"/>
      <c r="CQ172" s="112"/>
      <c r="CR172" s="112"/>
      <c r="CS172" s="112"/>
      <c r="CT172" s="112"/>
      <c r="CU172" s="112"/>
      <c r="CV172" s="112"/>
      <c r="CW172" s="112"/>
      <c r="CX172" s="112" t="s">
        <v>224</v>
      </c>
      <c r="CY172" s="112" t="s">
        <v>225</v>
      </c>
      <c r="CZ172" s="112" t="s">
        <v>226</v>
      </c>
      <c r="DA172" s="112" t="s">
        <v>227</v>
      </c>
      <c r="DB172" s="112" t="s">
        <v>228</v>
      </c>
      <c r="DC172" s="112"/>
      <c r="DD172" s="112"/>
      <c r="DE172" s="238"/>
      <c r="DF172" s="112"/>
      <c r="DG172" s="112"/>
      <c r="DH172" s="112"/>
      <c r="DI172" s="112"/>
      <c r="DJ172" s="112"/>
      <c r="DK172" s="112">
        <f t="shared" si="130"/>
        <v>100000</v>
      </c>
      <c r="DL172" s="112"/>
      <c r="DM172" s="112"/>
      <c r="DN172" s="112" t="e">
        <f t="shared" si="131"/>
        <v>#NUM!</v>
      </c>
      <c r="DO172" s="112" t="e">
        <f t="shared" si="132"/>
        <v>#NUM!</v>
      </c>
      <c r="DP172" s="112"/>
      <c r="DQ172" s="112"/>
    </row>
    <row r="173" spans="4:171" x14ac:dyDescent="0.25">
      <c r="D173" t="str">
        <f t="shared" si="138"/>
        <v/>
      </c>
      <c r="E173" s="112">
        <f t="shared" si="129"/>
        <v>100000</v>
      </c>
      <c r="F173" s="112">
        <f t="shared" si="129"/>
        <v>100000</v>
      </c>
      <c r="G173" s="112"/>
      <c r="H173" s="238">
        <f t="shared" si="139"/>
        <v>11</v>
      </c>
      <c r="J173" s="112">
        <f t="shared" ca="1" si="134"/>
        <v>37864</v>
      </c>
      <c r="K173" s="112"/>
      <c r="L173" s="112"/>
      <c r="M173">
        <f t="shared" ca="1" si="141"/>
        <v>0</v>
      </c>
      <c r="N173" s="112">
        <f t="shared" ca="1" si="135"/>
        <v>38718</v>
      </c>
      <c r="AG173" s="238">
        <f>AG172</f>
        <v>50</v>
      </c>
      <c r="AH173" s="112" t="e">
        <f ca="1">AI172+1</f>
        <v>#N/A</v>
      </c>
      <c r="AI173" s="112" t="e">
        <f ca="1">IF(INDIRECT(CONCATENATE("AE",AG170))&lt;100000,INDIRECT(CONCATENATE("AE",G170)),INDIRECT(CONCATENATE("AF",AG170)))</f>
        <v>#N/A</v>
      </c>
      <c r="AJ173" s="114"/>
      <c r="AK173" s="114"/>
      <c r="AL173" s="238" t="e">
        <f t="shared" ca="1" si="124"/>
        <v>#N/A</v>
      </c>
      <c r="AM173" s="112">
        <f t="shared" ca="1" si="143"/>
        <v>100000</v>
      </c>
      <c r="AN173" s="112">
        <f t="shared" ca="1" si="125"/>
        <v>100000</v>
      </c>
      <c r="AO173" s="114">
        <f t="shared" ca="1" si="121"/>
        <v>0</v>
      </c>
      <c r="AP173" s="114">
        <f t="shared" ca="1" si="122"/>
        <v>0</v>
      </c>
      <c r="AR173" s="238">
        <f t="shared" si="126"/>
        <v>173</v>
      </c>
      <c r="AU173" s="238">
        <f t="shared" si="127"/>
        <v>154</v>
      </c>
      <c r="AV173" s="238"/>
      <c r="AW173" s="238"/>
      <c r="BB173">
        <f t="shared" si="140"/>
        <v>11</v>
      </c>
      <c r="BC173" s="112">
        <f t="shared" ca="1" si="136"/>
        <v>37622</v>
      </c>
      <c r="BD173" s="112"/>
      <c r="BE173" s="112">
        <f t="shared" ca="1" si="137"/>
        <v>37864</v>
      </c>
      <c r="BF173" s="112"/>
      <c r="BG173" s="112"/>
      <c r="BH173" s="112"/>
      <c r="BJ173" s="112" t="e">
        <f t="shared" ca="1" si="142"/>
        <v>#N/A</v>
      </c>
      <c r="CM173" s="112"/>
      <c r="CN173" s="112"/>
      <c r="CQ173" s="112"/>
      <c r="CR173" s="112"/>
      <c r="CS173" s="112"/>
      <c r="CT173" s="112"/>
      <c r="CU173" s="112"/>
      <c r="CV173" s="112"/>
      <c r="CW173" s="112"/>
      <c r="CX173" s="112" t="s">
        <v>224</v>
      </c>
      <c r="CY173" s="112" t="s">
        <v>225</v>
      </c>
      <c r="CZ173" s="112" t="s">
        <v>226</v>
      </c>
      <c r="DA173" s="112" t="s">
        <v>227</v>
      </c>
      <c r="DB173" s="112" t="s">
        <v>228</v>
      </c>
      <c r="DC173" s="112"/>
      <c r="DD173" s="112"/>
      <c r="DE173" s="238"/>
      <c r="DF173" s="112"/>
      <c r="DG173" s="112"/>
      <c r="DH173" s="112"/>
      <c r="DI173" s="112"/>
      <c r="DJ173" s="112"/>
      <c r="DK173" s="112">
        <f t="shared" si="130"/>
        <v>100000</v>
      </c>
      <c r="DL173" s="112"/>
      <c r="DM173" s="112"/>
      <c r="DN173" s="112" t="e">
        <f t="shared" si="131"/>
        <v>#NUM!</v>
      </c>
      <c r="DO173" s="112" t="e">
        <f t="shared" si="132"/>
        <v>#NUM!</v>
      </c>
      <c r="DP173" s="112"/>
      <c r="DQ173" s="112"/>
    </row>
    <row r="174" spans="4:171" x14ac:dyDescent="0.25">
      <c r="D174" t="str">
        <f t="shared" si="138"/>
        <v/>
      </c>
      <c r="E174" s="112">
        <f t="shared" si="129"/>
        <v>100000</v>
      </c>
      <c r="F174" s="112">
        <f t="shared" si="129"/>
        <v>100000</v>
      </c>
      <c r="G174" s="112"/>
      <c r="H174" s="238">
        <f t="shared" si="139"/>
        <v>12</v>
      </c>
      <c r="J174" s="112">
        <f t="shared" ca="1" si="134"/>
        <v>37864</v>
      </c>
      <c r="K174" s="112"/>
      <c r="L174" s="112"/>
      <c r="M174">
        <f t="shared" ca="1" si="141"/>
        <v>0</v>
      </c>
      <c r="N174" s="112">
        <f t="shared" ca="1" si="135"/>
        <v>39083</v>
      </c>
      <c r="AG174" s="238">
        <f>AG173</f>
        <v>50</v>
      </c>
      <c r="AH174" s="112" t="e">
        <f ca="1">AI173+1</f>
        <v>#N/A</v>
      </c>
      <c r="AI174" s="112">
        <f ca="1">INDIRECT(CONCATENATE("AF",AG170))</f>
        <v>100000</v>
      </c>
      <c r="AJ174" s="114"/>
      <c r="AK174" s="114"/>
      <c r="AL174" s="238" t="e">
        <f t="shared" ca="1" si="124"/>
        <v>#N/A</v>
      </c>
      <c r="AM174" s="112">
        <f t="shared" ca="1" si="143"/>
        <v>100000</v>
      </c>
      <c r="AN174" s="112">
        <f t="shared" ca="1" si="125"/>
        <v>100000</v>
      </c>
      <c r="AO174" s="114">
        <f t="shared" ca="1" si="121"/>
        <v>0</v>
      </c>
      <c r="AP174" s="114">
        <f t="shared" ca="1" si="122"/>
        <v>0</v>
      </c>
      <c r="AR174" s="238">
        <f t="shared" si="126"/>
        <v>174</v>
      </c>
      <c r="AU174" s="238">
        <f t="shared" si="127"/>
        <v>155</v>
      </c>
      <c r="AV174" s="238"/>
      <c r="AW174" s="238"/>
      <c r="BB174">
        <f t="shared" si="140"/>
        <v>12</v>
      </c>
      <c r="BC174" s="112">
        <f t="shared" ca="1" si="136"/>
        <v>37987</v>
      </c>
      <c r="BD174" s="112"/>
      <c r="BE174" s="112">
        <f t="shared" ca="1" si="137"/>
        <v>37864</v>
      </c>
      <c r="BF174" s="112"/>
      <c r="BG174" s="112"/>
      <c r="BH174" s="112"/>
      <c r="BJ174" s="112" t="e">
        <f t="shared" ca="1" si="142"/>
        <v>#N/A</v>
      </c>
      <c r="BL174" t="s">
        <v>244</v>
      </c>
      <c r="CM174" s="112"/>
      <c r="CN174" s="112"/>
      <c r="CQ174" s="112"/>
      <c r="CR174" s="112"/>
      <c r="CS174" s="112"/>
      <c r="CT174" s="112"/>
      <c r="CU174" s="112"/>
      <c r="CV174" s="112"/>
      <c r="CW174" s="112"/>
      <c r="CX174" s="112" t="s">
        <v>224</v>
      </c>
      <c r="CY174" s="112" t="s">
        <v>225</v>
      </c>
      <c r="CZ174" s="112" t="s">
        <v>226</v>
      </c>
      <c r="DA174" s="112" t="s">
        <v>227</v>
      </c>
      <c r="DB174" s="112" t="s">
        <v>228</v>
      </c>
      <c r="DC174" s="112"/>
      <c r="DD174" s="112"/>
      <c r="DE174" s="238"/>
      <c r="DF174" s="112"/>
      <c r="DG174" s="112"/>
      <c r="DH174" s="112"/>
      <c r="DI174" s="112"/>
      <c r="DJ174" s="112"/>
      <c r="DK174" s="112">
        <f t="shared" si="130"/>
        <v>100000</v>
      </c>
      <c r="DL174" s="112"/>
      <c r="DM174" s="112"/>
      <c r="DN174" s="112" t="e">
        <f t="shared" si="131"/>
        <v>#NUM!</v>
      </c>
      <c r="DO174" s="112" t="e">
        <f t="shared" si="132"/>
        <v>#NUM!</v>
      </c>
      <c r="DP174" s="112"/>
      <c r="DQ174" s="112"/>
    </row>
    <row r="175" spans="4:171" x14ac:dyDescent="0.25">
      <c r="D175" t="str">
        <f t="shared" si="138"/>
        <v/>
      </c>
      <c r="E175" s="112">
        <f t="shared" si="129"/>
        <v>100000</v>
      </c>
      <c r="F175" s="112">
        <f t="shared" si="129"/>
        <v>100000</v>
      </c>
      <c r="G175" s="112"/>
      <c r="H175" s="238">
        <f t="shared" si="139"/>
        <v>13</v>
      </c>
      <c r="J175" s="112">
        <f t="shared" ca="1" si="134"/>
        <v>37864</v>
      </c>
      <c r="K175" s="112"/>
      <c r="L175" s="112"/>
      <c r="M175">
        <f t="shared" ca="1" si="141"/>
        <v>0</v>
      </c>
      <c r="N175" s="112">
        <f t="shared" ca="1" si="135"/>
        <v>39114</v>
      </c>
      <c r="AG175" s="238">
        <f>AG174+1</f>
        <v>51</v>
      </c>
      <c r="AH175" s="112">
        <f ca="1">INDIRECT(CONCATENATE("AA",AG175))</f>
        <v>100000</v>
      </c>
      <c r="AI175" s="112" t="e">
        <f ca="1">IF(            INDIRECT(CONCATENATE( "AB",AG175))&lt;100000,       INDIRECT(CONCATENATE("AB",AG175))  -1,IF(   INDIRECT(CONCATENATE("AC",AG175))&lt;100000,   INDIRECT(CONCATENATE("AC",AG175))-1,IF(   INDIRECT(CONCATENATE("AD", AG175))&lt;100000, INDIRECT(CONCATENATE("AD",AG175))-1,IF(   INDIRECT(CONCATENATE("AE",AG175))&lt;100000,  INDIRECT(CONCATENATE("AE",G175)),INDIRECT(CONCATENATE("AF",AG175))                ))))</f>
        <v>#N/A</v>
      </c>
      <c r="AJ175" s="114"/>
      <c r="AK175" s="114"/>
      <c r="AL175" s="238" t="e">
        <f t="shared" ca="1" si="124"/>
        <v>#N/A</v>
      </c>
      <c r="AM175" s="112">
        <f t="shared" ca="1" si="143"/>
        <v>100000</v>
      </c>
      <c r="AN175" s="112">
        <f t="shared" ca="1" si="125"/>
        <v>100000</v>
      </c>
      <c r="AO175" s="114">
        <f t="shared" ca="1" si="121"/>
        <v>0</v>
      </c>
      <c r="AP175" s="114">
        <f t="shared" ca="1" si="122"/>
        <v>0</v>
      </c>
      <c r="AR175" s="238">
        <f t="shared" si="126"/>
        <v>175</v>
      </c>
      <c r="AU175" s="238">
        <f t="shared" si="127"/>
        <v>156</v>
      </c>
      <c r="AV175" s="238"/>
      <c r="AW175" s="238"/>
      <c r="BB175">
        <f t="shared" si="140"/>
        <v>13</v>
      </c>
      <c r="BC175" s="112">
        <f t="shared" ca="1" si="136"/>
        <v>38384</v>
      </c>
      <c r="BD175" s="112"/>
      <c r="BE175" s="112">
        <f t="shared" ca="1" si="137"/>
        <v>37864</v>
      </c>
      <c r="BF175" s="112"/>
      <c r="BG175" s="112"/>
      <c r="BH175" s="112"/>
      <c r="BJ175" s="112" t="e">
        <f t="shared" ca="1" si="142"/>
        <v>#N/A</v>
      </c>
      <c r="CM175" s="112"/>
      <c r="CN175" s="112"/>
      <c r="CQ175" s="112"/>
      <c r="CR175" s="112"/>
      <c r="CS175" s="112"/>
      <c r="CT175" s="112"/>
      <c r="CU175" s="112"/>
      <c r="CV175" s="112"/>
      <c r="CW175" s="112"/>
      <c r="CX175" s="112" t="s">
        <v>224</v>
      </c>
      <c r="CY175" s="112" t="s">
        <v>225</v>
      </c>
      <c r="CZ175" s="112" t="s">
        <v>226</v>
      </c>
      <c r="DA175" s="112" t="s">
        <v>227</v>
      </c>
      <c r="DB175" s="112" t="s">
        <v>228</v>
      </c>
      <c r="DC175" s="112"/>
      <c r="DD175" s="112"/>
      <c r="DE175" s="238"/>
      <c r="DF175" s="112"/>
      <c r="DG175" s="112"/>
      <c r="DH175" s="112"/>
      <c r="DI175" s="112"/>
      <c r="DJ175" s="112"/>
      <c r="DK175" s="112">
        <f t="shared" si="130"/>
        <v>100000</v>
      </c>
      <c r="DL175" s="112"/>
      <c r="DM175" s="112"/>
      <c r="DN175" s="112" t="e">
        <f t="shared" si="131"/>
        <v>#NUM!</v>
      </c>
      <c r="DO175" s="112" t="e">
        <f t="shared" si="132"/>
        <v>#NUM!</v>
      </c>
      <c r="DP175" s="112"/>
      <c r="DQ175" s="112"/>
    </row>
    <row r="176" spans="4:171" x14ac:dyDescent="0.25">
      <c r="D176" t="str">
        <f t="shared" si="138"/>
        <v/>
      </c>
      <c r="E176" s="112">
        <f t="shared" si="129"/>
        <v>100000</v>
      </c>
      <c r="F176" s="112">
        <f t="shared" si="129"/>
        <v>100000</v>
      </c>
      <c r="G176" s="112"/>
      <c r="H176" s="238">
        <f t="shared" si="139"/>
        <v>14</v>
      </c>
      <c r="J176" s="112">
        <f t="shared" ca="1" si="134"/>
        <v>37864</v>
      </c>
      <c r="K176" s="112"/>
      <c r="L176" s="112"/>
      <c r="M176">
        <f t="shared" ca="1" si="141"/>
        <v>0</v>
      </c>
      <c r="N176" s="112">
        <f t="shared" ca="1" si="135"/>
        <v>39264</v>
      </c>
      <c r="AG176" s="238">
        <f>AG175</f>
        <v>51</v>
      </c>
      <c r="AH176" s="112" t="e">
        <f ca="1">AI175+1</f>
        <v>#N/A</v>
      </c>
      <c r="AI176" s="112" t="e">
        <f ca="1">IF(INDIRECT(CONCATENATE("AC",AG175))&lt;100000,INDIRECT(CONCATENATE("AC",AG175))-1,IF(INDIRECT(CONCATENATE("AD",AG175))&lt;100000,INDIRECT(CONCATENATE("AD",AG175))-1,IF(INDIRECT(CONCATENATE("AE",AG175))&lt;100000,INDIRECT(CONCATENATE("AE",G175)),INDIRECT(CONCATENATE("AF",AG175)))))</f>
        <v>#N/A</v>
      </c>
      <c r="AJ176" s="114"/>
      <c r="AK176" s="114"/>
      <c r="AL176" s="238" t="e">
        <f t="shared" ca="1" si="124"/>
        <v>#N/A</v>
      </c>
      <c r="AM176" s="112">
        <f t="shared" ca="1" si="143"/>
        <v>100000</v>
      </c>
      <c r="AN176" s="112">
        <f t="shared" ca="1" si="125"/>
        <v>100000</v>
      </c>
      <c r="AO176" s="114">
        <f t="shared" ca="1" si="121"/>
        <v>0</v>
      </c>
      <c r="AP176" s="114">
        <f t="shared" ca="1" si="122"/>
        <v>0</v>
      </c>
      <c r="AR176" s="238">
        <f t="shared" si="126"/>
        <v>176</v>
      </c>
      <c r="AU176" s="238">
        <f t="shared" si="127"/>
        <v>157</v>
      </c>
      <c r="AV176" s="238"/>
      <c r="AW176" s="238"/>
      <c r="BB176">
        <f t="shared" si="140"/>
        <v>14</v>
      </c>
      <c r="BC176" s="112">
        <f t="shared" ca="1" si="136"/>
        <v>38718</v>
      </c>
      <c r="BD176" s="112"/>
      <c r="BE176" s="112">
        <f t="shared" ca="1" si="137"/>
        <v>37864</v>
      </c>
      <c r="BF176" s="112"/>
      <c r="BG176" s="112"/>
      <c r="BH176" s="112"/>
      <c r="BJ176" s="112" t="e">
        <f t="shared" ca="1" si="142"/>
        <v>#N/A</v>
      </c>
      <c r="CM176" s="112"/>
      <c r="CN176" s="112"/>
      <c r="CQ176" s="112"/>
      <c r="CR176" s="112"/>
      <c r="CS176" s="112"/>
      <c r="CT176" s="112"/>
      <c r="CU176" s="112"/>
      <c r="CV176" s="112"/>
      <c r="CW176" s="112"/>
      <c r="CX176" s="112" t="s">
        <v>224</v>
      </c>
      <c r="CY176" s="112" t="s">
        <v>225</v>
      </c>
      <c r="CZ176" s="112" t="s">
        <v>226</v>
      </c>
      <c r="DA176" s="112" t="s">
        <v>227</v>
      </c>
      <c r="DB176" s="112" t="s">
        <v>228</v>
      </c>
      <c r="DC176" s="112"/>
      <c r="DD176" s="112"/>
      <c r="DE176" s="238"/>
      <c r="DF176" s="112"/>
      <c r="DG176" s="112"/>
      <c r="DH176" s="112"/>
      <c r="DI176" s="112"/>
      <c r="DJ176" s="112"/>
      <c r="DK176" s="112">
        <f t="shared" si="130"/>
        <v>100000</v>
      </c>
      <c r="DL176" s="112"/>
      <c r="DM176" s="112"/>
      <c r="DN176" s="112" t="e">
        <f t="shared" si="131"/>
        <v>#NUM!</v>
      </c>
      <c r="DO176" s="112" t="e">
        <f t="shared" si="132"/>
        <v>#NUM!</v>
      </c>
      <c r="DP176" s="112"/>
      <c r="DQ176" s="112"/>
    </row>
    <row r="177" spans="4:121" x14ac:dyDescent="0.25">
      <c r="D177" t="str">
        <f t="shared" si="138"/>
        <v/>
      </c>
      <c r="E177" s="112">
        <f t="shared" si="129"/>
        <v>100000</v>
      </c>
      <c r="F177" s="112">
        <f t="shared" si="129"/>
        <v>100000</v>
      </c>
      <c r="G177" s="112"/>
      <c r="H177" s="238">
        <f t="shared" si="139"/>
        <v>15</v>
      </c>
      <c r="J177" s="112">
        <f t="shared" ca="1" si="134"/>
        <v>39692</v>
      </c>
      <c r="K177" s="112"/>
      <c r="L177" s="112"/>
      <c r="M177">
        <f t="shared" ca="1" si="141"/>
        <v>1</v>
      </c>
      <c r="N177" s="112">
        <f t="shared" ca="1" si="135"/>
        <v>39447</v>
      </c>
      <c r="AG177" s="238">
        <f>AG176</f>
        <v>51</v>
      </c>
      <c r="AH177" s="112" t="e">
        <f ca="1">AI176+1</f>
        <v>#N/A</v>
      </c>
      <c r="AI177" s="112" t="e">
        <f ca="1">IF(INDIRECT(CONCATENATE("AD",AG175))&lt;100000,INDIRECT(CONCATENATE("AD",AG175))-1,IF(INDIRECT(CONCATENATE("AE",AG175))&lt;100000,INDIRECT(CONCATENATE("AE",G175)),INDIRECT(CONCATENATE("AF",AG175))))</f>
        <v>#N/A</v>
      </c>
      <c r="AJ177" s="114"/>
      <c r="AK177" s="114"/>
      <c r="AL177" s="238" t="e">
        <f t="shared" ca="1" si="124"/>
        <v>#N/A</v>
      </c>
      <c r="AM177" s="112">
        <f t="shared" ca="1" si="143"/>
        <v>100000</v>
      </c>
      <c r="AN177" s="112">
        <f t="shared" ca="1" si="125"/>
        <v>100000</v>
      </c>
      <c r="AO177" s="114">
        <f t="shared" ca="1" si="121"/>
        <v>0</v>
      </c>
      <c r="AP177" s="114">
        <f t="shared" ca="1" si="122"/>
        <v>0</v>
      </c>
      <c r="AR177" s="238">
        <f t="shared" si="126"/>
        <v>177</v>
      </c>
      <c r="AU177" s="238">
        <f t="shared" si="127"/>
        <v>158</v>
      </c>
      <c r="AV177" s="238"/>
      <c r="AW177" s="238"/>
      <c r="BB177">
        <f t="shared" si="140"/>
        <v>15</v>
      </c>
      <c r="BC177" s="112">
        <f t="shared" ca="1" si="136"/>
        <v>39083</v>
      </c>
      <c r="BD177" s="112"/>
      <c r="BE177" s="112">
        <f t="shared" ca="1" si="137"/>
        <v>37864</v>
      </c>
      <c r="BF177" s="112"/>
      <c r="BG177" s="112"/>
      <c r="BH177" s="112"/>
      <c r="BJ177" s="112" t="e">
        <f t="shared" ca="1" si="142"/>
        <v>#N/A</v>
      </c>
      <c r="CM177" s="112"/>
      <c r="CN177" s="112"/>
      <c r="CQ177" s="112"/>
      <c r="CR177" s="112"/>
      <c r="CS177" s="112"/>
      <c r="CT177" s="112"/>
      <c r="CU177" s="112"/>
      <c r="CV177" s="112"/>
      <c r="CW177" s="112"/>
      <c r="CX177" s="112" t="s">
        <v>224</v>
      </c>
      <c r="CY177" s="112" t="s">
        <v>225</v>
      </c>
      <c r="CZ177" s="112" t="s">
        <v>226</v>
      </c>
      <c r="DA177" s="112" t="s">
        <v>227</v>
      </c>
      <c r="DB177" s="112" t="s">
        <v>228</v>
      </c>
      <c r="DC177" s="112"/>
      <c r="DD177" s="112"/>
      <c r="DE177" s="238"/>
      <c r="DF177" s="112"/>
      <c r="DG177" s="112"/>
      <c r="DH177" s="112"/>
      <c r="DI177" s="112"/>
      <c r="DJ177" s="112"/>
      <c r="DK177" s="112">
        <f t="shared" si="130"/>
        <v>100000</v>
      </c>
      <c r="DL177" s="112"/>
      <c r="DM177" s="112"/>
      <c r="DN177" s="112" t="e">
        <f t="shared" si="131"/>
        <v>#NUM!</v>
      </c>
      <c r="DO177" s="112" t="e">
        <f t="shared" si="132"/>
        <v>#NUM!</v>
      </c>
      <c r="DP177" s="112"/>
      <c r="DQ177" s="112"/>
    </row>
    <row r="178" spans="4:121" x14ac:dyDescent="0.25">
      <c r="D178" t="str">
        <f t="shared" si="138"/>
        <v/>
      </c>
      <c r="E178" s="112">
        <f t="shared" si="129"/>
        <v>100000</v>
      </c>
      <c r="F178" s="112">
        <f t="shared" si="129"/>
        <v>100000</v>
      </c>
      <c r="G178" s="112"/>
      <c r="H178" s="238">
        <f t="shared" si="139"/>
        <v>16</v>
      </c>
      <c r="J178" s="112">
        <f t="shared" ca="1" si="134"/>
        <v>39630</v>
      </c>
      <c r="K178" s="112"/>
      <c r="L178" s="112"/>
      <c r="M178">
        <f t="shared" ca="1" si="141"/>
        <v>1</v>
      </c>
      <c r="N178" s="112">
        <f t="shared" ca="1" si="135"/>
        <v>39539</v>
      </c>
      <c r="AG178" s="238">
        <f>AG177</f>
        <v>51</v>
      </c>
      <c r="AH178" s="112" t="e">
        <f ca="1">AI177+1</f>
        <v>#N/A</v>
      </c>
      <c r="AI178" s="112" t="e">
        <f ca="1">IF(INDIRECT(CONCATENATE("AE",AG175))&lt;100000,INDIRECT(CONCATENATE("AE",G175)),INDIRECT(CONCATENATE("AF",AG175)))</f>
        <v>#N/A</v>
      </c>
      <c r="AJ178" s="114"/>
      <c r="AK178" s="114"/>
      <c r="AL178" s="238" t="e">
        <f t="shared" ca="1" si="124"/>
        <v>#N/A</v>
      </c>
      <c r="AM178" s="112">
        <f t="shared" ca="1" si="143"/>
        <v>100000</v>
      </c>
      <c r="AN178" s="112">
        <f t="shared" ca="1" si="125"/>
        <v>100000</v>
      </c>
      <c r="AO178" s="114">
        <f t="shared" ca="1" si="121"/>
        <v>0</v>
      </c>
      <c r="AP178" s="114">
        <f t="shared" ca="1" si="122"/>
        <v>0</v>
      </c>
      <c r="AR178" s="238">
        <f t="shared" si="126"/>
        <v>178</v>
      </c>
      <c r="AU178" s="238">
        <f t="shared" si="127"/>
        <v>159</v>
      </c>
      <c r="AV178" s="238"/>
      <c r="AW178" s="238"/>
      <c r="BB178">
        <f t="shared" si="140"/>
        <v>16</v>
      </c>
      <c r="BC178" s="112">
        <f t="shared" ca="1" si="136"/>
        <v>39114</v>
      </c>
      <c r="BD178" s="112"/>
      <c r="BE178" s="112">
        <f t="shared" ca="1" si="137"/>
        <v>37864</v>
      </c>
      <c r="BF178" s="112"/>
      <c r="BG178" s="112"/>
      <c r="BH178" s="112"/>
      <c r="BJ178" s="112" t="e">
        <f t="shared" ca="1" si="142"/>
        <v>#N/A</v>
      </c>
      <c r="CM178" s="112"/>
      <c r="CN178" s="112"/>
      <c r="CQ178" s="112"/>
      <c r="CR178" s="112"/>
      <c r="CS178" s="112"/>
      <c r="CT178" s="112"/>
      <c r="CU178" s="112"/>
      <c r="CV178" s="112"/>
      <c r="CW178" s="112"/>
      <c r="CX178" s="112" t="s">
        <v>224</v>
      </c>
      <c r="CY178" s="112" t="s">
        <v>225</v>
      </c>
      <c r="CZ178" s="112" t="s">
        <v>226</v>
      </c>
      <c r="DA178" s="112" t="s">
        <v>227</v>
      </c>
      <c r="DB178" s="112" t="s">
        <v>228</v>
      </c>
      <c r="DC178" s="112"/>
      <c r="DD178" s="112"/>
      <c r="DE178" s="238"/>
      <c r="DF178" s="112"/>
      <c r="DG178" s="112"/>
      <c r="DH178" s="112"/>
      <c r="DI178" s="112"/>
      <c r="DJ178" s="112"/>
      <c r="DK178" s="112">
        <f t="shared" si="130"/>
        <v>100000</v>
      </c>
      <c r="DL178" s="112"/>
      <c r="DM178" s="112"/>
      <c r="DN178" s="112" t="e">
        <f t="shared" si="131"/>
        <v>#NUM!</v>
      </c>
      <c r="DO178" s="112" t="e">
        <f t="shared" si="132"/>
        <v>#NUM!</v>
      </c>
      <c r="DP178" s="112"/>
      <c r="DQ178" s="112"/>
    </row>
    <row r="179" spans="4:121" x14ac:dyDescent="0.25">
      <c r="D179" t="str">
        <f t="shared" si="138"/>
        <v/>
      </c>
      <c r="E179" s="112">
        <f t="shared" ref="E179:F194" si="144">IF(F36=0,100000,F36)</f>
        <v>100000</v>
      </c>
      <c r="F179" s="112">
        <f t="shared" si="144"/>
        <v>100000</v>
      </c>
      <c r="G179" s="112"/>
      <c r="H179" s="238">
        <f t="shared" si="139"/>
        <v>17</v>
      </c>
      <c r="J179" s="112">
        <f t="shared" ca="1" si="134"/>
        <v>39630</v>
      </c>
      <c r="K179" s="112"/>
      <c r="L179" s="112"/>
      <c r="M179">
        <f t="shared" ca="1" si="141"/>
        <v>1</v>
      </c>
      <c r="N179" s="112">
        <f t="shared" ca="1" si="135"/>
        <v>39630</v>
      </c>
      <c r="AG179" s="238">
        <f>AG178</f>
        <v>51</v>
      </c>
      <c r="AH179" s="112" t="e">
        <f ca="1">AI178+1</f>
        <v>#N/A</v>
      </c>
      <c r="AI179" s="112">
        <f ca="1">INDIRECT(CONCATENATE("AF",AG175))</f>
        <v>100000</v>
      </c>
      <c r="AJ179" s="114"/>
      <c r="AK179" s="114"/>
      <c r="AL179" s="238" t="e">
        <f t="shared" ca="1" si="124"/>
        <v>#N/A</v>
      </c>
      <c r="AM179" s="112">
        <f t="shared" ca="1" si="143"/>
        <v>100000</v>
      </c>
      <c r="AN179" s="112">
        <f t="shared" ca="1" si="125"/>
        <v>100000</v>
      </c>
      <c r="AO179" s="114">
        <f t="shared" ca="1" si="121"/>
        <v>0</v>
      </c>
      <c r="AP179" s="114">
        <f t="shared" ca="1" si="122"/>
        <v>0</v>
      </c>
      <c r="AR179" s="238">
        <f t="shared" si="126"/>
        <v>179</v>
      </c>
      <c r="AU179" s="238">
        <f t="shared" si="127"/>
        <v>160</v>
      </c>
      <c r="AV179" s="238"/>
      <c r="AW179" s="238"/>
      <c r="BB179">
        <f t="shared" si="140"/>
        <v>17</v>
      </c>
      <c r="BC179" s="112">
        <f t="shared" ca="1" si="136"/>
        <v>39264</v>
      </c>
      <c r="BD179" s="112"/>
      <c r="BE179" s="112">
        <f t="shared" ca="1" si="137"/>
        <v>37864</v>
      </c>
      <c r="BF179" s="112"/>
      <c r="BG179" s="112"/>
      <c r="BH179" s="112"/>
      <c r="BJ179" s="112" t="e">
        <f t="shared" ca="1" si="142"/>
        <v>#N/A</v>
      </c>
      <c r="CM179" s="112"/>
      <c r="CN179" s="112"/>
      <c r="CQ179" s="112"/>
      <c r="CR179" s="112"/>
      <c r="CS179" s="112"/>
      <c r="CT179" s="112"/>
      <c r="CU179" s="112"/>
      <c r="CV179" s="112"/>
      <c r="CW179" s="112"/>
      <c r="CX179" s="112" t="s">
        <v>224</v>
      </c>
      <c r="CY179" s="112" t="s">
        <v>225</v>
      </c>
      <c r="CZ179" s="112" t="s">
        <v>226</v>
      </c>
      <c r="DA179" s="112" t="s">
        <v>227</v>
      </c>
      <c r="DB179" s="112" t="s">
        <v>228</v>
      </c>
      <c r="DC179" s="112"/>
      <c r="DD179" s="112"/>
      <c r="DE179" s="238"/>
      <c r="DF179" s="112"/>
      <c r="DG179" s="112"/>
      <c r="DH179" s="112"/>
      <c r="DI179" s="112"/>
      <c r="DJ179" s="112"/>
      <c r="DK179" s="112">
        <f t="shared" si="130"/>
        <v>100000</v>
      </c>
      <c r="DL179" s="112"/>
      <c r="DM179" s="112"/>
      <c r="DN179" s="112" t="e">
        <f t="shared" si="131"/>
        <v>#NUM!</v>
      </c>
      <c r="DO179" s="112" t="e">
        <f t="shared" si="132"/>
        <v>#NUM!</v>
      </c>
      <c r="DP179" s="112"/>
      <c r="DQ179" s="112"/>
    </row>
    <row r="180" spans="4:121" x14ac:dyDescent="0.25">
      <c r="D180" t="str">
        <f t="shared" si="138"/>
        <v/>
      </c>
      <c r="E180" s="112">
        <f t="shared" si="144"/>
        <v>100000</v>
      </c>
      <c r="F180" s="112">
        <f t="shared" si="144"/>
        <v>100000</v>
      </c>
      <c r="G180" s="112"/>
      <c r="H180" s="238">
        <f t="shared" si="139"/>
        <v>18</v>
      </c>
      <c r="AG180" s="238">
        <f>AG179+1</f>
        <v>52</v>
      </c>
      <c r="AH180" s="112">
        <f ca="1">INDIRECT(CONCATENATE("AA",AG180))</f>
        <v>100000</v>
      </c>
      <c r="AI180" s="112" t="e">
        <f ca="1">IF(            INDIRECT(CONCATENATE( "AB",AG180))&lt;100000,       INDIRECT(CONCATENATE("AB",AG180))  -1,IF(   INDIRECT(CONCATENATE("AC",AG180))&lt;100000,   INDIRECT(CONCATENATE("AC",AG180))-1,IF(   INDIRECT(CONCATENATE("AD", AG180))&lt;100000, INDIRECT(CONCATENATE("AD",AG180))-1,IF(   INDIRECT(CONCATENATE("AE",AG180))&lt;100000,  INDIRECT(CONCATENATE("AE",G180)),INDIRECT(CONCATENATE("AF",AG180))                ))))</f>
        <v>#N/A</v>
      </c>
      <c r="AJ180" s="114"/>
      <c r="AK180" s="114"/>
      <c r="AL180" s="238" t="e">
        <f t="shared" ca="1" si="124"/>
        <v>#N/A</v>
      </c>
      <c r="AM180" s="112">
        <f t="shared" ca="1" si="143"/>
        <v>100000</v>
      </c>
      <c r="AN180" s="112">
        <f t="shared" ca="1" si="125"/>
        <v>100000</v>
      </c>
      <c r="AO180" s="114">
        <f t="shared" ca="1" si="121"/>
        <v>0</v>
      </c>
      <c r="AP180" s="114">
        <f t="shared" ca="1" si="122"/>
        <v>0</v>
      </c>
      <c r="AR180" s="238">
        <f t="shared" si="126"/>
        <v>180</v>
      </c>
      <c r="AU180" s="238">
        <f t="shared" si="127"/>
        <v>161</v>
      </c>
      <c r="AV180" s="238"/>
      <c r="AW180" s="238"/>
      <c r="BB180">
        <f t="shared" si="140"/>
        <v>18</v>
      </c>
      <c r="BC180" s="112">
        <f t="shared" ca="1" si="136"/>
        <v>39326</v>
      </c>
      <c r="BD180" s="112"/>
      <c r="BE180" s="112">
        <f t="shared" ca="1" si="137"/>
        <v>39692</v>
      </c>
      <c r="BF180" s="112"/>
      <c r="BG180" s="112"/>
      <c r="BH180" s="112"/>
      <c r="BJ180" s="112">
        <f t="shared" ca="1" si="142"/>
        <v>39326</v>
      </c>
      <c r="CM180" s="112"/>
      <c r="CN180" s="112"/>
      <c r="CQ180" s="112"/>
      <c r="CR180" s="112"/>
      <c r="CS180" s="112"/>
      <c r="CT180" s="112"/>
      <c r="CU180" s="112"/>
      <c r="CV180" s="112"/>
      <c r="CW180" s="112"/>
      <c r="CX180" s="112" t="s">
        <v>224</v>
      </c>
      <c r="CY180" s="112" t="s">
        <v>225</v>
      </c>
      <c r="CZ180" s="112" t="s">
        <v>226</v>
      </c>
      <c r="DA180" s="112" t="s">
        <v>227</v>
      </c>
      <c r="DB180" s="112" t="s">
        <v>228</v>
      </c>
      <c r="DC180" s="112"/>
      <c r="DD180" s="112"/>
      <c r="DE180" s="238"/>
      <c r="DF180" s="112"/>
      <c r="DG180" s="112"/>
      <c r="DH180" s="112"/>
      <c r="DI180" s="112"/>
      <c r="DJ180" s="112"/>
      <c r="DK180" s="112">
        <f t="shared" si="130"/>
        <v>100000</v>
      </c>
      <c r="DL180" s="112"/>
      <c r="DM180" s="112"/>
      <c r="DN180" s="112" t="e">
        <f t="shared" si="131"/>
        <v>#NUM!</v>
      </c>
      <c r="DO180" s="112" t="e">
        <f t="shared" si="132"/>
        <v>#NUM!</v>
      </c>
      <c r="DP180" s="112"/>
      <c r="DQ180" s="112"/>
    </row>
    <row r="181" spans="4:121" x14ac:dyDescent="0.25">
      <c r="D181" t="str">
        <f t="shared" si="138"/>
        <v/>
      </c>
      <c r="E181" s="112">
        <f t="shared" si="144"/>
        <v>100000</v>
      </c>
      <c r="F181" s="112">
        <f t="shared" si="144"/>
        <v>100000</v>
      </c>
      <c r="G181" s="112"/>
      <c r="H181" s="238">
        <f t="shared" si="139"/>
        <v>19</v>
      </c>
      <c r="AG181" s="238">
        <f>AG180</f>
        <v>52</v>
      </c>
      <c r="AH181" s="112" t="e">
        <f ca="1">AI180+1</f>
        <v>#N/A</v>
      </c>
      <c r="AI181" s="112" t="e">
        <f ca="1">IF(INDIRECT(CONCATENATE("AC",AG180))&lt;100000,INDIRECT(CONCATENATE("AC",AG180))-1,IF(INDIRECT(CONCATENATE("AD",AG180))&lt;100000,INDIRECT(CONCATENATE("AD",AG180))-1,IF(INDIRECT(CONCATENATE("AE",AG180))&lt;100000,INDIRECT(CONCATENATE("AE",G180)),INDIRECT(CONCATENATE("AF",AG180)))))</f>
        <v>#N/A</v>
      </c>
      <c r="AJ181" s="114"/>
      <c r="AK181" s="114"/>
      <c r="AL181" s="238" t="e">
        <f t="shared" ca="1" si="124"/>
        <v>#N/A</v>
      </c>
      <c r="AM181" s="112">
        <f t="shared" ca="1" si="143"/>
        <v>100000</v>
      </c>
      <c r="AN181" s="112">
        <f t="shared" ca="1" si="125"/>
        <v>100000</v>
      </c>
      <c r="AO181" s="114">
        <f t="shared" ca="1" si="121"/>
        <v>0</v>
      </c>
      <c r="AP181" s="114">
        <f t="shared" ca="1" si="122"/>
        <v>0</v>
      </c>
      <c r="AR181" s="238">
        <f t="shared" si="126"/>
        <v>181</v>
      </c>
      <c r="AU181" s="238">
        <f t="shared" si="127"/>
        <v>162</v>
      </c>
      <c r="AV181" s="238"/>
      <c r="AW181" s="238"/>
      <c r="BB181">
        <f t="shared" si="140"/>
        <v>19</v>
      </c>
      <c r="BC181" s="112">
        <f t="shared" ca="1" si="136"/>
        <v>39447</v>
      </c>
      <c r="BD181" s="112"/>
      <c r="BE181" s="112">
        <f t="shared" ca="1" si="137"/>
        <v>39692</v>
      </c>
      <c r="BF181" s="112"/>
      <c r="BG181" s="112"/>
      <c r="BH181" s="112"/>
      <c r="BJ181" s="112" t="e">
        <f t="shared" ca="1" si="142"/>
        <v>#N/A</v>
      </c>
      <c r="CM181" s="112"/>
      <c r="CN181" s="112"/>
      <c r="CQ181" s="112"/>
      <c r="CR181" s="112"/>
      <c r="CS181" s="112"/>
      <c r="CT181" s="112"/>
      <c r="CU181" s="112"/>
      <c r="CV181" s="112"/>
      <c r="CW181" s="112"/>
      <c r="CX181" s="112" t="s">
        <v>224</v>
      </c>
      <c r="CY181" s="112" t="s">
        <v>225</v>
      </c>
      <c r="CZ181" s="112" t="s">
        <v>226</v>
      </c>
      <c r="DA181" s="112" t="s">
        <v>227</v>
      </c>
      <c r="DB181" s="112" t="s">
        <v>228</v>
      </c>
      <c r="DC181" s="112"/>
      <c r="DD181" s="112"/>
      <c r="DE181" s="238"/>
      <c r="DF181" s="112"/>
      <c r="DG181" s="112"/>
      <c r="DH181" s="112"/>
      <c r="DI181" s="112"/>
      <c r="DJ181" s="112"/>
      <c r="DK181" s="112">
        <f t="shared" si="130"/>
        <v>100000</v>
      </c>
      <c r="DL181" s="112"/>
      <c r="DM181" s="112"/>
      <c r="DN181" s="112" t="e">
        <f t="shared" si="131"/>
        <v>#NUM!</v>
      </c>
      <c r="DO181" s="112" t="e">
        <f t="shared" si="132"/>
        <v>#NUM!</v>
      </c>
      <c r="DP181" s="112"/>
      <c r="DQ181" s="112"/>
    </row>
    <row r="182" spans="4:121" x14ac:dyDescent="0.25">
      <c r="D182" t="str">
        <f t="shared" si="138"/>
        <v/>
      </c>
      <c r="E182" s="112">
        <f t="shared" si="144"/>
        <v>100000</v>
      </c>
      <c r="F182" s="112">
        <f t="shared" si="144"/>
        <v>100000</v>
      </c>
      <c r="G182" s="112"/>
      <c r="H182" s="238">
        <f t="shared" si="139"/>
        <v>20</v>
      </c>
      <c r="AG182" s="238">
        <f>AG181</f>
        <v>52</v>
      </c>
      <c r="AH182" s="112" t="e">
        <f ca="1">AI181+1</f>
        <v>#N/A</v>
      </c>
      <c r="AI182" s="112" t="e">
        <f ca="1">IF(INDIRECT(CONCATENATE("AD",AG180))&lt;100000,INDIRECT(CONCATENATE("AD",AG180))-1,IF(INDIRECT(CONCATENATE("AE",AG180))&lt;100000,INDIRECT(CONCATENATE("AE",G180)),INDIRECT(CONCATENATE("AF",AG180))))</f>
        <v>#N/A</v>
      </c>
      <c r="AJ182" s="114"/>
      <c r="AK182" s="114"/>
      <c r="AL182" s="238" t="e">
        <f t="shared" ca="1" si="124"/>
        <v>#N/A</v>
      </c>
      <c r="AM182" s="112">
        <f t="shared" ca="1" si="143"/>
        <v>100000</v>
      </c>
      <c r="AN182" s="112">
        <f t="shared" ca="1" si="125"/>
        <v>100000</v>
      </c>
      <c r="AO182" s="114">
        <f t="shared" ca="1" si="121"/>
        <v>0</v>
      </c>
      <c r="AP182" s="114">
        <f t="shared" ca="1" si="122"/>
        <v>0</v>
      </c>
      <c r="AR182" s="238">
        <f t="shared" si="126"/>
        <v>182</v>
      </c>
      <c r="AU182" s="238">
        <f t="shared" si="127"/>
        <v>163</v>
      </c>
      <c r="AV182" s="238"/>
      <c r="AW182" s="238"/>
      <c r="BB182">
        <f t="shared" si="140"/>
        <v>20</v>
      </c>
      <c r="BC182" s="112">
        <f t="shared" ca="1" si="136"/>
        <v>39539</v>
      </c>
      <c r="BD182" s="112"/>
      <c r="BE182" s="112">
        <f t="shared" ca="1" si="137"/>
        <v>39630</v>
      </c>
      <c r="BF182" s="112"/>
      <c r="BG182" s="112"/>
      <c r="BH182" s="112"/>
      <c r="BJ182" s="112">
        <f t="shared" ca="1" si="142"/>
        <v>39539</v>
      </c>
      <c r="CM182" s="112"/>
      <c r="CN182" s="112"/>
      <c r="CQ182" s="112"/>
      <c r="CR182" s="112"/>
      <c r="CS182" s="112"/>
      <c r="CT182" s="112"/>
      <c r="CU182" s="112"/>
      <c r="CV182" s="112"/>
      <c r="CW182" s="112"/>
      <c r="CX182" s="112" t="s">
        <v>224</v>
      </c>
      <c r="CY182" s="112" t="s">
        <v>225</v>
      </c>
      <c r="CZ182" s="112" t="s">
        <v>226</v>
      </c>
      <c r="DA182" s="112" t="s">
        <v>227</v>
      </c>
      <c r="DB182" s="112" t="s">
        <v>228</v>
      </c>
      <c r="DC182" s="112"/>
      <c r="DD182" s="112"/>
      <c r="DE182" s="238"/>
      <c r="DF182" s="112"/>
      <c r="DG182" s="112"/>
      <c r="DH182" s="112"/>
      <c r="DI182" s="112"/>
      <c r="DJ182" s="112"/>
      <c r="DK182" s="112">
        <f t="shared" si="130"/>
        <v>100000</v>
      </c>
      <c r="DL182" s="112"/>
      <c r="DM182" s="112"/>
      <c r="DN182" s="112" t="e">
        <f t="shared" si="131"/>
        <v>#NUM!</v>
      </c>
      <c r="DO182" s="112" t="e">
        <f t="shared" si="132"/>
        <v>#NUM!</v>
      </c>
      <c r="DP182" s="112"/>
      <c r="DQ182" s="112"/>
    </row>
    <row r="183" spans="4:121" x14ac:dyDescent="0.25">
      <c r="D183" t="str">
        <f t="shared" si="138"/>
        <v/>
      </c>
      <c r="E183" s="112">
        <f t="shared" si="144"/>
        <v>100000</v>
      </c>
      <c r="F183" s="112">
        <f t="shared" si="144"/>
        <v>100000</v>
      </c>
      <c r="G183" s="112"/>
      <c r="H183" s="238">
        <f t="shared" si="139"/>
        <v>21</v>
      </c>
      <c r="AG183" s="238">
        <f>AG182</f>
        <v>52</v>
      </c>
      <c r="AH183" s="112" t="e">
        <f ca="1">AI182+1</f>
        <v>#N/A</v>
      </c>
      <c r="AI183" s="112" t="e">
        <f ca="1">IF(INDIRECT(CONCATENATE("AE",AG180))&lt;100000,INDIRECT(CONCATENATE("AE",G180)),INDIRECT(CONCATENATE("AF",AG180)))</f>
        <v>#N/A</v>
      </c>
      <c r="AJ183" s="114"/>
      <c r="AK183" s="114"/>
      <c r="AL183" s="238" t="e">
        <f t="shared" ca="1" si="124"/>
        <v>#N/A</v>
      </c>
      <c r="AM183" s="112">
        <f t="shared" ca="1" si="143"/>
        <v>100000</v>
      </c>
      <c r="AN183" s="112">
        <f t="shared" ca="1" si="125"/>
        <v>100000</v>
      </c>
      <c r="AO183" s="114">
        <f t="shared" ca="1" si="121"/>
        <v>0</v>
      </c>
      <c r="AP183" s="114">
        <f t="shared" ca="1" si="122"/>
        <v>0</v>
      </c>
      <c r="AR183" s="238">
        <f t="shared" si="126"/>
        <v>183</v>
      </c>
      <c r="AU183" s="238">
        <f t="shared" si="127"/>
        <v>164</v>
      </c>
      <c r="AV183" s="238"/>
      <c r="AW183" s="238"/>
      <c r="BB183">
        <f t="shared" si="140"/>
        <v>21</v>
      </c>
      <c r="BC183" s="112">
        <f t="shared" ca="1" si="136"/>
        <v>39539</v>
      </c>
      <c r="BD183" s="112"/>
      <c r="BE183" s="112">
        <f t="shared" ca="1" si="137"/>
        <v>39630</v>
      </c>
      <c r="BF183" s="112"/>
      <c r="BG183" s="112"/>
      <c r="BH183" s="112"/>
      <c r="BJ183" s="112">
        <f t="shared" ca="1" si="142"/>
        <v>39539</v>
      </c>
      <c r="CM183" s="112"/>
      <c r="CN183" s="112"/>
      <c r="CQ183" s="112"/>
      <c r="CR183" s="112"/>
      <c r="CS183" s="112"/>
      <c r="CT183" s="112"/>
      <c r="CU183" s="112"/>
      <c r="CV183" s="112"/>
      <c r="CW183" s="112"/>
      <c r="CX183" s="112" t="s">
        <v>224</v>
      </c>
      <c r="CY183" s="112" t="s">
        <v>225</v>
      </c>
      <c r="CZ183" s="112" t="s">
        <v>226</v>
      </c>
      <c r="DA183" s="112" t="s">
        <v>227</v>
      </c>
      <c r="DB183" s="112" t="s">
        <v>228</v>
      </c>
      <c r="DC183" s="112"/>
      <c r="DD183" s="112"/>
      <c r="DE183" s="238"/>
      <c r="DF183" s="112"/>
      <c r="DG183" s="112"/>
      <c r="DH183" s="112"/>
      <c r="DI183" s="112"/>
      <c r="DJ183" s="112"/>
      <c r="DK183" s="112">
        <f t="shared" si="130"/>
        <v>100000</v>
      </c>
      <c r="DL183" s="112"/>
      <c r="DM183" s="112"/>
      <c r="DN183" s="112" t="e">
        <f t="shared" si="131"/>
        <v>#NUM!</v>
      </c>
      <c r="DO183" s="112" t="e">
        <f t="shared" si="132"/>
        <v>#NUM!</v>
      </c>
      <c r="DP183" s="112"/>
      <c r="DQ183" s="112"/>
    </row>
    <row r="184" spans="4:121" x14ac:dyDescent="0.25">
      <c r="D184" t="str">
        <f t="shared" si="138"/>
        <v/>
      </c>
      <c r="E184" s="112">
        <f t="shared" si="144"/>
        <v>100000</v>
      </c>
      <c r="F184" s="112">
        <f t="shared" si="144"/>
        <v>100000</v>
      </c>
      <c r="G184" s="112"/>
      <c r="H184" s="238">
        <f t="shared" si="139"/>
        <v>22</v>
      </c>
      <c r="AG184" s="238">
        <f>AG183</f>
        <v>52</v>
      </c>
      <c r="AH184" s="112" t="e">
        <f ca="1">AI183+1</f>
        <v>#N/A</v>
      </c>
      <c r="AI184" s="112">
        <f ca="1">INDIRECT(CONCATENATE("AF",AG180))</f>
        <v>100000</v>
      </c>
      <c r="AJ184" s="114"/>
      <c r="AK184" s="114"/>
      <c r="AL184" s="238" t="e">
        <f t="shared" ca="1" si="124"/>
        <v>#N/A</v>
      </c>
      <c r="AM184" s="112">
        <f t="shared" ca="1" si="143"/>
        <v>100000</v>
      </c>
      <c r="AN184" s="112">
        <f t="shared" ca="1" si="125"/>
        <v>100000</v>
      </c>
      <c r="AO184" s="114">
        <f t="shared" ca="1" si="121"/>
        <v>0</v>
      </c>
      <c r="AP184" s="114">
        <f t="shared" ca="1" si="122"/>
        <v>0</v>
      </c>
      <c r="AR184" s="238">
        <f t="shared" si="126"/>
        <v>184</v>
      </c>
      <c r="AU184" s="238">
        <f t="shared" si="127"/>
        <v>165</v>
      </c>
      <c r="AV184" s="238"/>
      <c r="AW184" s="238"/>
      <c r="BB184">
        <f t="shared" si="140"/>
        <v>22</v>
      </c>
      <c r="BC184" s="112">
        <f t="shared" ca="1" si="136"/>
        <v>39630</v>
      </c>
      <c r="BD184" s="112"/>
      <c r="BE184" s="112">
        <f t="shared" ca="1" si="137"/>
        <v>39630</v>
      </c>
      <c r="BF184" s="112"/>
      <c r="BG184" s="112"/>
      <c r="BH184" s="112"/>
      <c r="BJ184" s="112" t="e">
        <f t="shared" ca="1" si="142"/>
        <v>#N/A</v>
      </c>
      <c r="CM184" s="112"/>
      <c r="CN184" s="112"/>
      <c r="CQ184" s="112"/>
      <c r="CR184" s="112"/>
      <c r="CS184" s="112"/>
      <c r="CT184" s="112"/>
      <c r="CU184" s="112"/>
      <c r="CV184" s="112"/>
      <c r="CW184" s="112"/>
      <c r="CX184" s="112" t="s">
        <v>224</v>
      </c>
      <c r="CY184" s="112" t="s">
        <v>225</v>
      </c>
      <c r="CZ184" s="112" t="s">
        <v>226</v>
      </c>
      <c r="DA184" s="112" t="s">
        <v>227</v>
      </c>
      <c r="DB184" s="112" t="s">
        <v>228</v>
      </c>
      <c r="DC184" s="112"/>
      <c r="DD184" s="112"/>
      <c r="DE184" s="238"/>
      <c r="DF184" s="112"/>
      <c r="DG184" s="112"/>
      <c r="DH184" s="112"/>
      <c r="DI184" s="112"/>
      <c r="DJ184" s="112"/>
      <c r="DK184" s="112">
        <f t="shared" si="130"/>
        <v>100000</v>
      </c>
      <c r="DL184" s="112"/>
      <c r="DM184" s="112"/>
      <c r="DN184" s="112" t="e">
        <f t="shared" si="131"/>
        <v>#NUM!</v>
      </c>
      <c r="DO184" s="112" t="e">
        <f t="shared" si="132"/>
        <v>#NUM!</v>
      </c>
      <c r="DP184" s="112"/>
      <c r="DQ184" s="112"/>
    </row>
    <row r="185" spans="4:121" x14ac:dyDescent="0.25">
      <c r="D185" t="str">
        <f t="shared" si="138"/>
        <v/>
      </c>
      <c r="E185" s="112">
        <f t="shared" si="144"/>
        <v>100000</v>
      </c>
      <c r="F185" s="112">
        <f t="shared" si="144"/>
        <v>100000</v>
      </c>
      <c r="G185" s="112"/>
      <c r="H185" s="238">
        <f t="shared" si="139"/>
        <v>23</v>
      </c>
      <c r="AG185" s="238">
        <f>AG184+1</f>
        <v>53</v>
      </c>
      <c r="AH185" s="112">
        <f ca="1">INDIRECT(CONCATENATE("AA",AG185))</f>
        <v>100000</v>
      </c>
      <c r="AI185" s="112" t="e">
        <f ca="1">IF(            INDIRECT(CONCATENATE( "AB",AG185))&lt;100000,       INDIRECT(CONCATENATE("AB",AG185))  -1,IF(   INDIRECT(CONCATENATE("AC",AG185))&lt;100000,   INDIRECT(CONCATENATE("AC",AG185))-1,IF(   INDIRECT(CONCATENATE("AD", AG185))&lt;100000, INDIRECT(CONCATENATE("AD",AG185))-1,IF(   INDIRECT(CONCATENATE("AE",AG185))&lt;100000,  INDIRECT(CONCATENATE("AE",G185)),INDIRECT(CONCATENATE("AF",AG185))                ))))</f>
        <v>#N/A</v>
      </c>
      <c r="AJ185" s="114"/>
      <c r="AK185" s="114"/>
      <c r="AL185" s="238" t="e">
        <f t="shared" ca="1" si="124"/>
        <v>#N/A</v>
      </c>
      <c r="AM185" s="112">
        <f t="shared" ca="1" si="143"/>
        <v>100000</v>
      </c>
      <c r="AN185" s="112">
        <f t="shared" ca="1" si="125"/>
        <v>100000</v>
      </c>
      <c r="AO185" s="114">
        <f t="shared" ca="1" si="121"/>
        <v>0</v>
      </c>
      <c r="AP185" s="114">
        <f t="shared" ca="1" si="122"/>
        <v>0</v>
      </c>
      <c r="AR185" s="238">
        <f t="shared" si="126"/>
        <v>185</v>
      </c>
      <c r="AU185" s="238">
        <f t="shared" si="127"/>
        <v>166</v>
      </c>
      <c r="AV185" s="238"/>
      <c r="AW185" s="238"/>
      <c r="BB185">
        <f t="shared" si="140"/>
        <v>23</v>
      </c>
      <c r="BC185" s="112">
        <f t="shared" ca="1" si="136"/>
        <v>100000</v>
      </c>
      <c r="BD185" s="112"/>
      <c r="BE185" s="112">
        <f t="shared" ca="1" si="137"/>
        <v>100000</v>
      </c>
      <c r="BF185" s="112"/>
      <c r="BG185" s="112"/>
      <c r="BH185" s="112"/>
      <c r="BJ185" s="112" t="e">
        <f t="shared" ca="1" si="142"/>
        <v>#N/A</v>
      </c>
      <c r="CM185" s="112"/>
      <c r="CN185" s="112"/>
      <c r="CQ185" s="112"/>
      <c r="CR185" s="112"/>
      <c r="CS185" s="112"/>
      <c r="CT185" s="112"/>
      <c r="CU185" s="112"/>
      <c r="CV185" s="112"/>
      <c r="CW185" s="112"/>
      <c r="CX185" s="112" t="s">
        <v>224</v>
      </c>
      <c r="CY185" s="112" t="s">
        <v>225</v>
      </c>
      <c r="CZ185" s="112" t="s">
        <v>226</v>
      </c>
      <c r="DA185" s="112" t="s">
        <v>227</v>
      </c>
      <c r="DB185" s="112" t="s">
        <v>228</v>
      </c>
      <c r="DC185" s="112"/>
      <c r="DD185" s="112"/>
      <c r="DE185" s="238"/>
      <c r="DF185" s="112"/>
      <c r="DG185" s="112"/>
      <c r="DH185" s="112"/>
      <c r="DI185" s="112"/>
      <c r="DJ185" s="112"/>
      <c r="DK185" s="112">
        <f t="shared" si="130"/>
        <v>100000</v>
      </c>
      <c r="DL185" s="112"/>
      <c r="DM185" s="112"/>
      <c r="DN185" s="112" t="e">
        <f t="shared" si="131"/>
        <v>#NUM!</v>
      </c>
      <c r="DO185" s="112" t="e">
        <f t="shared" si="132"/>
        <v>#NUM!</v>
      </c>
      <c r="DP185" s="112"/>
      <c r="DQ185" s="112"/>
    </row>
    <row r="186" spans="4:121" x14ac:dyDescent="0.25">
      <c r="D186" t="str">
        <f t="shared" si="138"/>
        <v/>
      </c>
      <c r="E186" s="112">
        <f t="shared" si="144"/>
        <v>100000</v>
      </c>
      <c r="F186" s="112">
        <f t="shared" si="144"/>
        <v>100000</v>
      </c>
      <c r="G186" s="112"/>
      <c r="H186" s="238">
        <f t="shared" si="139"/>
        <v>24</v>
      </c>
      <c r="AG186" s="238">
        <f>AG185</f>
        <v>53</v>
      </c>
      <c r="AH186" s="112" t="e">
        <f ca="1">AI185+1</f>
        <v>#N/A</v>
      </c>
      <c r="AI186" s="112" t="e">
        <f ca="1">IF(INDIRECT(CONCATENATE("AC",AG185))&lt;100000,INDIRECT(CONCATENATE("AC",AG185))-1,IF(INDIRECT(CONCATENATE("AD",AG185))&lt;100000,INDIRECT(CONCATENATE("AD",AG185))-1,IF(INDIRECT(CONCATENATE("AE",AG185))&lt;100000,INDIRECT(CONCATENATE("AE",G185)),INDIRECT(CONCATENATE("AF",AG185)))))</f>
        <v>#N/A</v>
      </c>
      <c r="AJ186" s="114"/>
      <c r="AK186" s="114"/>
      <c r="AL186" s="238" t="e">
        <f t="shared" ca="1" si="124"/>
        <v>#N/A</v>
      </c>
      <c r="AM186" s="112">
        <f t="shared" ca="1" si="143"/>
        <v>100000</v>
      </c>
      <c r="AN186" s="112">
        <f t="shared" ca="1" si="125"/>
        <v>100000</v>
      </c>
      <c r="AO186" s="114">
        <f t="shared" ca="1" si="121"/>
        <v>0</v>
      </c>
      <c r="AP186" s="114">
        <f t="shared" ca="1" si="122"/>
        <v>0</v>
      </c>
      <c r="AR186" s="238">
        <f t="shared" si="126"/>
        <v>186</v>
      </c>
      <c r="AU186" s="238">
        <f t="shared" si="127"/>
        <v>167</v>
      </c>
      <c r="AV186" s="238"/>
      <c r="AW186" s="238"/>
      <c r="BB186">
        <f t="shared" si="140"/>
        <v>24</v>
      </c>
      <c r="BC186" s="112">
        <f t="shared" ca="1" si="136"/>
        <v>100000</v>
      </c>
      <c r="BD186" s="112"/>
      <c r="BE186" s="112">
        <f t="shared" ca="1" si="137"/>
        <v>100000</v>
      </c>
      <c r="BF186" s="112"/>
      <c r="BG186" s="112"/>
      <c r="BH186" s="112"/>
      <c r="BJ186" s="112" t="e">
        <f t="shared" ca="1" si="142"/>
        <v>#N/A</v>
      </c>
      <c r="CM186" s="112"/>
      <c r="CN186" s="112"/>
      <c r="CQ186" s="112"/>
      <c r="CR186" s="112"/>
      <c r="CS186" s="112"/>
      <c r="CT186" s="112"/>
      <c r="CU186" s="112"/>
      <c r="CV186" s="112"/>
      <c r="CW186" s="112"/>
      <c r="CX186" s="112" t="s">
        <v>224</v>
      </c>
      <c r="CY186" s="112" t="s">
        <v>225</v>
      </c>
      <c r="CZ186" s="112" t="s">
        <v>226</v>
      </c>
      <c r="DA186" s="112" t="s">
        <v>227</v>
      </c>
      <c r="DB186" s="112" t="s">
        <v>228</v>
      </c>
      <c r="DC186" s="112"/>
      <c r="DD186" s="112"/>
      <c r="DE186" s="238"/>
      <c r="DF186" s="112"/>
      <c r="DG186" s="112"/>
      <c r="DH186" s="112"/>
      <c r="DI186" s="112"/>
      <c r="DJ186" s="112"/>
      <c r="DK186" s="112">
        <f t="shared" si="130"/>
        <v>100000</v>
      </c>
      <c r="DL186" s="112"/>
      <c r="DM186" s="112"/>
      <c r="DN186" s="112" t="e">
        <f t="shared" si="131"/>
        <v>#NUM!</v>
      </c>
      <c r="DO186" s="112" t="e">
        <f t="shared" si="132"/>
        <v>#NUM!</v>
      </c>
      <c r="DP186" s="112"/>
      <c r="DQ186" s="112"/>
    </row>
    <row r="187" spans="4:121" x14ac:dyDescent="0.25">
      <c r="D187" t="str">
        <f t="shared" si="138"/>
        <v/>
      </c>
      <c r="E187" s="112">
        <f t="shared" si="144"/>
        <v>100000</v>
      </c>
      <c r="F187" s="112">
        <f t="shared" si="144"/>
        <v>100000</v>
      </c>
      <c r="G187" s="112"/>
      <c r="H187" s="238">
        <f t="shared" si="139"/>
        <v>25</v>
      </c>
      <c r="AG187" s="238">
        <f>AG186</f>
        <v>53</v>
      </c>
      <c r="AH187" s="112" t="e">
        <f ca="1">AI186+1</f>
        <v>#N/A</v>
      </c>
      <c r="AI187" s="112" t="e">
        <f ca="1">IF(INDIRECT(CONCATENATE("AD",AG185))&lt;100000,INDIRECT(CONCATENATE("AD",AG185))-1,IF(INDIRECT(CONCATENATE("AE",AG185))&lt;100000,INDIRECT(CONCATENATE("AE",G185)),INDIRECT(CONCATENATE("AF",AG185))))</f>
        <v>#N/A</v>
      </c>
      <c r="AJ187" s="114"/>
      <c r="AK187" s="114"/>
      <c r="AL187" s="238" t="e">
        <f t="shared" ca="1" si="124"/>
        <v>#N/A</v>
      </c>
      <c r="AM187" s="112">
        <f t="shared" ca="1" si="143"/>
        <v>100000</v>
      </c>
      <c r="AN187" s="112">
        <f t="shared" ca="1" si="125"/>
        <v>100000</v>
      </c>
      <c r="AO187" s="114">
        <f t="shared" ca="1" si="121"/>
        <v>0</v>
      </c>
      <c r="AP187" s="114">
        <f t="shared" ca="1" si="122"/>
        <v>0</v>
      </c>
      <c r="AR187" s="238">
        <f t="shared" si="126"/>
        <v>187</v>
      </c>
      <c r="AU187" s="238">
        <f t="shared" si="127"/>
        <v>168</v>
      </c>
      <c r="AV187" s="238"/>
      <c r="AW187" s="238"/>
      <c r="BB187">
        <f t="shared" si="140"/>
        <v>25</v>
      </c>
      <c r="BC187" s="112">
        <f t="shared" ca="1" si="136"/>
        <v>100000</v>
      </c>
      <c r="BD187" s="112"/>
      <c r="BE187" s="112">
        <f t="shared" ca="1" si="137"/>
        <v>100000</v>
      </c>
      <c r="BF187" s="112"/>
      <c r="BG187" s="112"/>
      <c r="BH187" s="112"/>
      <c r="BJ187" s="112" t="e">
        <f t="shared" ca="1" si="142"/>
        <v>#N/A</v>
      </c>
      <c r="CM187" s="112"/>
      <c r="CN187" s="112"/>
      <c r="CQ187" s="112"/>
      <c r="CR187" s="112"/>
      <c r="CS187" s="112"/>
      <c r="CT187" s="112"/>
      <c r="CU187" s="112"/>
      <c r="CV187" s="112"/>
      <c r="CW187" s="112"/>
      <c r="CX187" s="112" t="s">
        <v>224</v>
      </c>
      <c r="CY187" s="112" t="s">
        <v>225</v>
      </c>
      <c r="CZ187" s="112" t="s">
        <v>226</v>
      </c>
      <c r="DA187" s="112" t="s">
        <v>227</v>
      </c>
      <c r="DB187" s="112" t="s">
        <v>228</v>
      </c>
      <c r="DC187" s="112"/>
      <c r="DD187" s="112"/>
      <c r="DE187" s="238"/>
      <c r="DF187" s="112"/>
      <c r="DG187" s="112"/>
      <c r="DH187" s="112"/>
      <c r="DI187" s="112"/>
      <c r="DJ187" s="112"/>
      <c r="DK187" s="112">
        <f t="shared" si="130"/>
        <v>100000</v>
      </c>
      <c r="DL187" s="112"/>
      <c r="DM187" s="112"/>
      <c r="DN187" s="112" t="e">
        <f t="shared" si="131"/>
        <v>#NUM!</v>
      </c>
      <c r="DO187" s="112" t="e">
        <f t="shared" si="132"/>
        <v>#NUM!</v>
      </c>
      <c r="DP187" s="112"/>
      <c r="DQ187" s="112"/>
    </row>
    <row r="188" spans="4:121" x14ac:dyDescent="0.25">
      <c r="D188" t="str">
        <f t="shared" si="138"/>
        <v/>
      </c>
      <c r="E188" s="112">
        <f t="shared" si="144"/>
        <v>100000</v>
      </c>
      <c r="F188" s="112">
        <f t="shared" si="144"/>
        <v>100000</v>
      </c>
      <c r="G188" s="112"/>
      <c r="H188" s="238">
        <f t="shared" si="139"/>
        <v>26</v>
      </c>
      <c r="AG188" s="238">
        <f>AG187</f>
        <v>53</v>
      </c>
      <c r="AH188" s="112" t="e">
        <f ca="1">AI187+1</f>
        <v>#N/A</v>
      </c>
      <c r="AI188" s="112" t="e">
        <f ca="1">IF(INDIRECT(CONCATENATE("AE",AG185))&lt;100000,INDIRECT(CONCATENATE("AE",G185)),INDIRECT(CONCATENATE("AF",AG185)))</f>
        <v>#N/A</v>
      </c>
      <c r="AJ188" s="114"/>
      <c r="AK188" s="114"/>
      <c r="AL188" s="238" t="e">
        <f t="shared" ca="1" si="124"/>
        <v>#N/A</v>
      </c>
      <c r="AM188" s="112">
        <f t="shared" ca="1" si="143"/>
        <v>100000</v>
      </c>
      <c r="AN188" s="112">
        <f t="shared" ca="1" si="125"/>
        <v>100000</v>
      </c>
      <c r="AO188" s="114">
        <f t="shared" ca="1" si="121"/>
        <v>0</v>
      </c>
      <c r="AP188" s="114">
        <f t="shared" ca="1" si="122"/>
        <v>0</v>
      </c>
      <c r="AR188" s="238">
        <f t="shared" si="126"/>
        <v>188</v>
      </c>
      <c r="AU188" s="238">
        <f t="shared" si="127"/>
        <v>169</v>
      </c>
      <c r="AV188" s="238"/>
      <c r="AW188" s="238"/>
      <c r="BB188">
        <f t="shared" si="140"/>
        <v>26</v>
      </c>
      <c r="BC188" s="112">
        <f t="shared" ca="1" si="136"/>
        <v>100000</v>
      </c>
      <c r="BD188" s="112"/>
      <c r="BE188" s="112">
        <f t="shared" ca="1" si="137"/>
        <v>100000</v>
      </c>
      <c r="BF188" s="112"/>
      <c r="BG188" s="112"/>
      <c r="BH188" s="112"/>
      <c r="BJ188" s="112" t="e">
        <f t="shared" ca="1" si="142"/>
        <v>#N/A</v>
      </c>
      <c r="CM188" s="112"/>
      <c r="CN188" s="112"/>
      <c r="CQ188" s="112"/>
      <c r="CR188" s="112"/>
      <c r="CS188" s="112"/>
      <c r="CT188" s="112"/>
      <c r="CU188" s="112"/>
      <c r="CV188" s="112"/>
      <c r="CW188" s="112"/>
      <c r="CX188" s="112" t="s">
        <v>224</v>
      </c>
      <c r="CY188" s="112" t="s">
        <v>225</v>
      </c>
      <c r="CZ188" s="112" t="s">
        <v>226</v>
      </c>
      <c r="DA188" s="112" t="s">
        <v>227</v>
      </c>
      <c r="DB188" s="112" t="s">
        <v>228</v>
      </c>
      <c r="DC188" s="112"/>
      <c r="DD188" s="112"/>
      <c r="DE188" s="238"/>
      <c r="DF188" s="112"/>
      <c r="DG188" s="112"/>
      <c r="DH188" s="112"/>
      <c r="DI188" s="112"/>
      <c r="DJ188" s="112"/>
      <c r="DK188" s="112">
        <f t="shared" si="130"/>
        <v>100000</v>
      </c>
      <c r="DL188" s="112"/>
      <c r="DM188" s="112"/>
      <c r="DN188" s="112" t="e">
        <f t="shared" si="131"/>
        <v>#NUM!</v>
      </c>
      <c r="DO188" s="112" t="e">
        <f t="shared" si="132"/>
        <v>#NUM!</v>
      </c>
      <c r="DP188" s="112"/>
      <c r="DQ188" s="112"/>
    </row>
    <row r="189" spans="4:121" x14ac:dyDescent="0.25">
      <c r="D189" t="str">
        <f t="shared" si="138"/>
        <v/>
      </c>
      <c r="E189" s="112">
        <f t="shared" si="144"/>
        <v>100000</v>
      </c>
      <c r="F189" s="112">
        <f t="shared" si="144"/>
        <v>100000</v>
      </c>
      <c r="G189" s="112"/>
      <c r="H189" s="238">
        <f t="shared" si="139"/>
        <v>27</v>
      </c>
      <c r="AG189" s="238">
        <f>AG188</f>
        <v>53</v>
      </c>
      <c r="AH189" s="112" t="e">
        <f ca="1">AI188+1</f>
        <v>#N/A</v>
      </c>
      <c r="AI189" s="112">
        <f ca="1">INDIRECT(CONCATENATE("AF",AG185))</f>
        <v>100000</v>
      </c>
      <c r="AJ189" s="114"/>
      <c r="AK189" s="114"/>
      <c r="AL189" s="238" t="e">
        <f t="shared" ca="1" si="124"/>
        <v>#N/A</v>
      </c>
      <c r="AM189" s="112">
        <f t="shared" ca="1" si="143"/>
        <v>100000</v>
      </c>
      <c r="AN189" s="112">
        <f t="shared" ca="1" si="125"/>
        <v>100000</v>
      </c>
      <c r="AO189" s="114">
        <f t="shared" ca="1" si="121"/>
        <v>0</v>
      </c>
      <c r="AP189" s="114">
        <f t="shared" ca="1" si="122"/>
        <v>0</v>
      </c>
      <c r="AR189" s="238">
        <f t="shared" si="126"/>
        <v>189</v>
      </c>
      <c r="AU189" s="238">
        <f t="shared" si="127"/>
        <v>170</v>
      </c>
      <c r="AV189" s="238"/>
      <c r="AW189" s="238"/>
      <c r="BB189">
        <f t="shared" si="140"/>
        <v>27</v>
      </c>
      <c r="BC189" s="112">
        <f t="shared" ca="1" si="136"/>
        <v>100000</v>
      </c>
      <c r="BD189" s="112"/>
      <c r="BE189" s="112">
        <f t="shared" ca="1" si="137"/>
        <v>100000</v>
      </c>
      <c r="BF189" s="112"/>
      <c r="BG189" s="112"/>
      <c r="BH189" s="112"/>
      <c r="BJ189" s="112" t="e">
        <f t="shared" ca="1" si="142"/>
        <v>#N/A</v>
      </c>
      <c r="CM189" s="112"/>
      <c r="CN189" s="112"/>
      <c r="CQ189" s="112"/>
      <c r="CR189" s="112"/>
      <c r="CS189" s="112"/>
      <c r="CT189" s="112"/>
      <c r="CU189" s="112"/>
      <c r="CV189" s="112"/>
      <c r="CW189" s="112"/>
      <c r="CX189" s="112" t="s">
        <v>224</v>
      </c>
      <c r="CY189" s="112" t="s">
        <v>225</v>
      </c>
      <c r="CZ189" s="112" t="s">
        <v>226</v>
      </c>
      <c r="DA189" s="112" t="s">
        <v>227</v>
      </c>
      <c r="DB189" s="112" t="s">
        <v>228</v>
      </c>
      <c r="DC189" s="112"/>
      <c r="DD189" s="112"/>
      <c r="DE189" s="238"/>
      <c r="DF189" s="112"/>
      <c r="DG189" s="112"/>
      <c r="DH189" s="112"/>
      <c r="DI189" s="112"/>
      <c r="DJ189" s="112"/>
      <c r="DK189" s="112">
        <f t="shared" si="130"/>
        <v>100000</v>
      </c>
      <c r="DL189" s="112"/>
      <c r="DM189" s="112"/>
      <c r="DN189" s="112" t="e">
        <f t="shared" si="131"/>
        <v>#NUM!</v>
      </c>
      <c r="DO189" s="112" t="e">
        <f t="shared" si="132"/>
        <v>#NUM!</v>
      </c>
      <c r="DP189" s="112"/>
      <c r="DQ189" s="112"/>
    </row>
    <row r="190" spans="4:121" x14ac:dyDescent="0.25">
      <c r="D190" t="str">
        <f t="shared" si="138"/>
        <v/>
      </c>
      <c r="E190" s="112">
        <f t="shared" si="144"/>
        <v>100000</v>
      </c>
      <c r="F190" s="112">
        <f t="shared" si="144"/>
        <v>100000</v>
      </c>
      <c r="G190" s="112"/>
      <c r="H190" s="238">
        <f t="shared" si="139"/>
        <v>28</v>
      </c>
      <c r="AG190" s="238">
        <f>AG189+1</f>
        <v>54</v>
      </c>
      <c r="AH190" s="112">
        <f ca="1">INDIRECT(CONCATENATE("AA",AG190))</f>
        <v>100000</v>
      </c>
      <c r="AI190" s="112" t="e">
        <f ca="1">IF(            INDIRECT(CONCATENATE( "AB",AG190))&lt;100000,       INDIRECT(CONCATENATE("AB",AG190))  -1,IF(   INDIRECT(CONCATENATE("AC",AG190))&lt;100000,   INDIRECT(CONCATENATE("AC",AG190))-1,IF(   INDIRECT(CONCATENATE("AD", AG190))&lt;100000, INDIRECT(CONCATENATE("AD",AG190))-1,IF(   INDIRECT(CONCATENATE("AE",AG190))&lt;100000,  INDIRECT(CONCATENATE("AE",G190)),INDIRECT(CONCATENATE("AF",AG190))                ))))</f>
        <v>#N/A</v>
      </c>
      <c r="AJ190" s="114"/>
      <c r="AK190" s="114"/>
      <c r="AL190" s="238" t="e">
        <f t="shared" ca="1" si="124"/>
        <v>#N/A</v>
      </c>
      <c r="AM190" s="112">
        <f t="shared" ca="1" si="143"/>
        <v>100000</v>
      </c>
      <c r="AN190" s="112">
        <f t="shared" ca="1" si="125"/>
        <v>100000</v>
      </c>
      <c r="AO190" s="114">
        <f t="shared" ca="1" si="121"/>
        <v>0</v>
      </c>
      <c r="AP190" s="114">
        <f t="shared" ca="1" si="122"/>
        <v>0</v>
      </c>
      <c r="AR190" s="238">
        <f t="shared" si="126"/>
        <v>190</v>
      </c>
      <c r="AU190" s="238">
        <f t="shared" si="127"/>
        <v>171</v>
      </c>
      <c r="AV190" s="238"/>
      <c r="AW190" s="238"/>
      <c r="BB190">
        <f t="shared" si="140"/>
        <v>28</v>
      </c>
      <c r="BC190" s="112">
        <f t="shared" ca="1" si="136"/>
        <v>100000</v>
      </c>
      <c r="BD190" s="112"/>
      <c r="BE190" s="112">
        <f t="shared" ca="1" si="137"/>
        <v>100000</v>
      </c>
      <c r="BF190" s="112"/>
      <c r="BG190" s="112"/>
      <c r="BH190" s="112"/>
      <c r="BJ190" s="112" t="e">
        <f t="shared" ca="1" si="142"/>
        <v>#N/A</v>
      </c>
      <c r="CM190" s="112"/>
      <c r="CN190" s="112"/>
      <c r="CQ190" s="112"/>
      <c r="CR190" s="112"/>
      <c r="CS190" s="112"/>
      <c r="CT190" s="112"/>
      <c r="CU190" s="112"/>
      <c r="CV190" s="112"/>
      <c r="CW190" s="112"/>
      <c r="CX190" s="112" t="s">
        <v>224</v>
      </c>
      <c r="CY190" s="112" t="s">
        <v>225</v>
      </c>
      <c r="CZ190" s="112" t="s">
        <v>226</v>
      </c>
      <c r="DA190" s="112" t="s">
        <v>227</v>
      </c>
      <c r="DB190" s="112" t="s">
        <v>228</v>
      </c>
      <c r="DC190" s="112"/>
      <c r="DD190" s="112"/>
      <c r="DE190" s="238"/>
      <c r="DF190" s="112"/>
      <c r="DG190" s="112"/>
      <c r="DH190" s="112"/>
      <c r="DI190" s="112"/>
      <c r="DJ190" s="112"/>
      <c r="DK190" s="112">
        <f t="shared" si="130"/>
        <v>100000</v>
      </c>
      <c r="DL190" s="112"/>
      <c r="DM190" s="112"/>
      <c r="DN190" s="112" t="e">
        <f t="shared" si="131"/>
        <v>#NUM!</v>
      </c>
      <c r="DO190" s="112" t="e">
        <f t="shared" si="132"/>
        <v>#NUM!</v>
      </c>
      <c r="DP190" s="112"/>
      <c r="DQ190" s="112"/>
    </row>
    <row r="191" spans="4:121" x14ac:dyDescent="0.25">
      <c r="D191" t="str">
        <f t="shared" si="138"/>
        <v/>
      </c>
      <c r="E191" s="112">
        <f t="shared" si="144"/>
        <v>100000</v>
      </c>
      <c r="F191" s="112">
        <f t="shared" si="144"/>
        <v>100000</v>
      </c>
      <c r="G191" s="112"/>
      <c r="H191" s="238">
        <f t="shared" si="139"/>
        <v>29</v>
      </c>
      <c r="AG191" s="238">
        <f>AG190</f>
        <v>54</v>
      </c>
      <c r="AH191" s="112" t="e">
        <f ca="1">AI190+1</f>
        <v>#N/A</v>
      </c>
      <c r="AI191" s="112" t="e">
        <f ca="1">IF(INDIRECT(CONCATENATE("AC",AG190))&lt;100000,INDIRECT(CONCATENATE("AC",AG190))-1,IF(INDIRECT(CONCATENATE("AD",AG190))&lt;100000,INDIRECT(CONCATENATE("AD",AG190))-1,IF(INDIRECT(CONCATENATE("AE",AG190))&lt;100000,INDIRECT(CONCATENATE("AE",G190)),INDIRECT(CONCATENATE("AF",AG190)))))</f>
        <v>#N/A</v>
      </c>
      <c r="AJ191" s="114"/>
      <c r="AK191" s="114"/>
      <c r="AL191" s="238" t="e">
        <f t="shared" ca="1" si="124"/>
        <v>#N/A</v>
      </c>
      <c r="AM191" s="112">
        <f t="shared" ca="1" si="143"/>
        <v>100000</v>
      </c>
      <c r="AN191" s="112">
        <f t="shared" ca="1" si="125"/>
        <v>100000</v>
      </c>
      <c r="AO191" s="114">
        <f t="shared" ca="1" si="121"/>
        <v>0</v>
      </c>
      <c r="AP191" s="114">
        <f t="shared" ca="1" si="122"/>
        <v>0</v>
      </c>
      <c r="AR191" s="238">
        <f t="shared" si="126"/>
        <v>191</v>
      </c>
      <c r="AU191" s="238">
        <f t="shared" si="127"/>
        <v>172</v>
      </c>
      <c r="AV191" s="238"/>
      <c r="AW191" s="238"/>
      <c r="BB191">
        <f t="shared" si="140"/>
        <v>29</v>
      </c>
      <c r="BC191" s="112">
        <f t="shared" ca="1" si="136"/>
        <v>100000</v>
      </c>
      <c r="BD191" s="112"/>
      <c r="BE191" s="112">
        <f t="shared" ca="1" si="137"/>
        <v>100000</v>
      </c>
      <c r="BF191" s="112"/>
      <c r="BG191" s="112"/>
      <c r="BH191" s="112"/>
      <c r="BJ191" s="112" t="e">
        <f t="shared" ca="1" si="142"/>
        <v>#N/A</v>
      </c>
      <c r="CM191" s="112"/>
      <c r="CN191" s="112"/>
      <c r="CQ191" s="112"/>
      <c r="CR191" s="112"/>
      <c r="CS191" s="112"/>
      <c r="CT191" s="112"/>
      <c r="CU191" s="112"/>
      <c r="CV191" s="112"/>
      <c r="CW191" s="112"/>
      <c r="CX191" s="112" t="s">
        <v>224</v>
      </c>
      <c r="CY191" s="112" t="s">
        <v>225</v>
      </c>
      <c r="CZ191" s="112" t="s">
        <v>226</v>
      </c>
      <c r="DA191" s="112" t="s">
        <v>227</v>
      </c>
      <c r="DB191" s="112" t="s">
        <v>228</v>
      </c>
      <c r="DC191" s="112"/>
      <c r="DD191" s="112"/>
      <c r="DE191" s="238"/>
      <c r="DF191" s="112"/>
      <c r="DG191" s="112"/>
      <c r="DH191" s="112"/>
      <c r="DI191" s="112"/>
      <c r="DJ191" s="112"/>
      <c r="DK191" s="112">
        <f t="shared" si="130"/>
        <v>100000</v>
      </c>
      <c r="DL191" s="112"/>
      <c r="DM191" s="112"/>
      <c r="DN191" s="112" t="e">
        <f t="shared" si="131"/>
        <v>#NUM!</v>
      </c>
      <c r="DO191" s="112" t="e">
        <f t="shared" si="132"/>
        <v>#NUM!</v>
      </c>
      <c r="DP191" s="112"/>
      <c r="DQ191" s="112"/>
    </row>
    <row r="192" spans="4:121" x14ac:dyDescent="0.25">
      <c r="D192" t="str">
        <f t="shared" si="138"/>
        <v/>
      </c>
      <c r="E192" s="112">
        <f t="shared" si="144"/>
        <v>100000</v>
      </c>
      <c r="F192" s="112">
        <f t="shared" si="144"/>
        <v>100000</v>
      </c>
      <c r="G192" s="112"/>
      <c r="H192" s="238">
        <f t="shared" si="139"/>
        <v>30</v>
      </c>
      <c r="AG192" s="238">
        <f>AG191</f>
        <v>54</v>
      </c>
      <c r="AH192" s="112" t="e">
        <f ca="1">AI191+1</f>
        <v>#N/A</v>
      </c>
      <c r="AI192" s="112" t="e">
        <f ca="1">IF(INDIRECT(CONCATENATE("AD",AG190))&lt;100000,INDIRECT(CONCATENATE("AD",AG190))-1,IF(INDIRECT(CONCATENATE("AE",AG190))&lt;100000,INDIRECT(CONCATENATE("AE",G190)),INDIRECT(CONCATENATE("AF",AG190))))</f>
        <v>#N/A</v>
      </c>
      <c r="AJ192" s="114"/>
      <c r="AK192" s="114"/>
      <c r="AL192" s="238" t="e">
        <f t="shared" ca="1" si="124"/>
        <v>#N/A</v>
      </c>
      <c r="AM192" s="112">
        <f t="shared" ca="1" si="143"/>
        <v>100000</v>
      </c>
      <c r="AN192" s="112">
        <f t="shared" ca="1" si="125"/>
        <v>100000</v>
      </c>
      <c r="AO192" s="114">
        <f t="shared" ca="1" si="121"/>
        <v>0</v>
      </c>
      <c r="AP192" s="114">
        <f t="shared" ca="1" si="122"/>
        <v>0</v>
      </c>
      <c r="AR192" s="238">
        <f t="shared" si="126"/>
        <v>192</v>
      </c>
      <c r="AU192" s="238">
        <f t="shared" si="127"/>
        <v>173</v>
      </c>
      <c r="AV192" s="238"/>
      <c r="AW192" s="238"/>
      <c r="BB192">
        <f t="shared" si="140"/>
        <v>30</v>
      </c>
      <c r="BC192" s="112">
        <f t="shared" ca="1" si="136"/>
        <v>100000</v>
      </c>
      <c r="BD192" s="112"/>
      <c r="BE192" s="112">
        <f t="shared" ca="1" si="137"/>
        <v>100000</v>
      </c>
      <c r="BF192" s="112"/>
      <c r="BG192" s="112"/>
      <c r="BH192" s="112"/>
      <c r="BJ192" s="112" t="e">
        <f t="shared" ca="1" si="142"/>
        <v>#N/A</v>
      </c>
      <c r="CM192" s="112"/>
      <c r="CN192" s="112"/>
      <c r="CQ192" s="112"/>
      <c r="CR192" s="112"/>
      <c r="CS192" s="112"/>
      <c r="CT192" s="112"/>
      <c r="CU192" s="112"/>
      <c r="CV192" s="112"/>
      <c r="CW192" s="112"/>
      <c r="CX192" s="112" t="s">
        <v>224</v>
      </c>
      <c r="CY192" s="112" t="s">
        <v>225</v>
      </c>
      <c r="CZ192" s="112" t="s">
        <v>226</v>
      </c>
      <c r="DA192" s="112" t="s">
        <v>227</v>
      </c>
      <c r="DB192" s="112" t="s">
        <v>228</v>
      </c>
      <c r="DC192" s="112"/>
      <c r="DD192" s="112"/>
      <c r="DE192" s="238"/>
      <c r="DF192" s="112"/>
      <c r="DG192" s="112"/>
      <c r="DH192" s="112"/>
      <c r="DI192" s="112"/>
      <c r="DJ192" s="112"/>
      <c r="DK192" s="112">
        <f t="shared" si="130"/>
        <v>100000</v>
      </c>
      <c r="DL192" s="112"/>
      <c r="DM192" s="112"/>
      <c r="DN192" s="112" t="e">
        <f t="shared" si="131"/>
        <v>#NUM!</v>
      </c>
      <c r="DO192" s="112" t="e">
        <f t="shared" si="132"/>
        <v>#NUM!</v>
      </c>
      <c r="DP192" s="112"/>
      <c r="DQ192" s="112"/>
    </row>
    <row r="193" spans="4:121" x14ac:dyDescent="0.25">
      <c r="D193" t="str">
        <f t="shared" si="138"/>
        <v/>
      </c>
      <c r="E193" s="112">
        <f t="shared" si="144"/>
        <v>100000</v>
      </c>
      <c r="F193" s="112">
        <f t="shared" si="144"/>
        <v>100000</v>
      </c>
      <c r="G193" s="112"/>
      <c r="H193" s="238">
        <f t="shared" si="139"/>
        <v>31</v>
      </c>
      <c r="AG193" s="238">
        <f>AG192</f>
        <v>54</v>
      </c>
      <c r="AH193" s="112" t="e">
        <f ca="1">AI192+1</f>
        <v>#N/A</v>
      </c>
      <c r="AI193" s="112" t="e">
        <f ca="1">IF(INDIRECT(CONCATENATE("AE",AG190))&lt;100000,INDIRECT(CONCATENATE("AE",G190)),INDIRECT(CONCATENATE("AF",AG190)))</f>
        <v>#N/A</v>
      </c>
      <c r="AJ193" s="114"/>
      <c r="AK193" s="114"/>
      <c r="AL193" s="238" t="e">
        <f t="shared" ca="1" si="124"/>
        <v>#N/A</v>
      </c>
      <c r="AM193" s="112">
        <f t="shared" ca="1" si="143"/>
        <v>100000</v>
      </c>
      <c r="AN193" s="112">
        <f t="shared" ca="1" si="125"/>
        <v>100000</v>
      </c>
      <c r="AO193" s="114">
        <f t="shared" ca="1" si="121"/>
        <v>0</v>
      </c>
      <c r="AP193" s="114">
        <f t="shared" ca="1" si="122"/>
        <v>0</v>
      </c>
      <c r="AR193" s="238">
        <f t="shared" si="126"/>
        <v>193</v>
      </c>
      <c r="AU193" s="238">
        <f t="shared" si="127"/>
        <v>174</v>
      </c>
      <c r="AV193" s="238"/>
      <c r="AW193" s="238"/>
      <c r="BB193">
        <f t="shared" si="140"/>
        <v>31</v>
      </c>
      <c r="BC193" s="112">
        <f t="shared" ca="1" si="136"/>
        <v>100000</v>
      </c>
      <c r="BD193" s="112"/>
      <c r="BE193" s="112">
        <f t="shared" ca="1" si="137"/>
        <v>100000</v>
      </c>
      <c r="BF193" s="112"/>
      <c r="BG193" s="112"/>
      <c r="BH193" s="112"/>
      <c r="BJ193" s="112" t="e">
        <f t="shared" ca="1" si="142"/>
        <v>#N/A</v>
      </c>
      <c r="CM193" s="112"/>
      <c r="CN193" s="112"/>
      <c r="CQ193" s="112"/>
      <c r="CR193" s="112"/>
      <c r="CS193" s="112"/>
      <c r="CT193" s="112"/>
      <c r="CU193" s="112"/>
      <c r="CV193" s="112"/>
      <c r="CW193" s="112"/>
      <c r="CX193" s="112" t="s">
        <v>224</v>
      </c>
      <c r="CY193" s="112" t="s">
        <v>225</v>
      </c>
      <c r="CZ193" s="112" t="s">
        <v>226</v>
      </c>
      <c r="DA193" s="112" t="s">
        <v>227</v>
      </c>
      <c r="DB193" s="112" t="s">
        <v>228</v>
      </c>
      <c r="DC193" s="112"/>
      <c r="DD193" s="112"/>
      <c r="DE193" s="238"/>
      <c r="DF193" s="112"/>
      <c r="DG193" s="112"/>
      <c r="DH193" s="112"/>
      <c r="DI193" s="112"/>
      <c r="DJ193" s="112"/>
      <c r="DK193" s="112">
        <f t="shared" si="130"/>
        <v>100000</v>
      </c>
      <c r="DL193" s="112"/>
      <c r="DM193" s="112"/>
      <c r="DN193" s="112" t="e">
        <f t="shared" si="131"/>
        <v>#NUM!</v>
      </c>
      <c r="DO193" s="112" t="e">
        <f t="shared" si="132"/>
        <v>#NUM!</v>
      </c>
      <c r="DP193" s="112"/>
      <c r="DQ193" s="112"/>
    </row>
    <row r="194" spans="4:121" x14ac:dyDescent="0.25">
      <c r="D194" t="str">
        <f t="shared" si="138"/>
        <v/>
      </c>
      <c r="E194" s="112">
        <f t="shared" si="144"/>
        <v>100000</v>
      </c>
      <c r="F194" s="112">
        <f t="shared" si="144"/>
        <v>100000</v>
      </c>
      <c r="G194" s="112"/>
      <c r="H194" s="238">
        <f t="shared" si="139"/>
        <v>32</v>
      </c>
      <c r="AG194" s="238">
        <f>AG193</f>
        <v>54</v>
      </c>
      <c r="AH194" s="112" t="e">
        <f ca="1">AI193+1</f>
        <v>#N/A</v>
      </c>
      <c r="AI194" s="112">
        <f ca="1">INDIRECT(CONCATENATE("AF",AG190))</f>
        <v>100000</v>
      </c>
      <c r="AJ194" s="114"/>
      <c r="AK194" s="114"/>
      <c r="AL194" s="238" t="e">
        <f t="shared" ca="1" si="124"/>
        <v>#N/A</v>
      </c>
      <c r="AM194" s="112">
        <f t="shared" ca="1" si="143"/>
        <v>100000</v>
      </c>
      <c r="AN194" s="112">
        <f t="shared" ca="1" si="125"/>
        <v>100000</v>
      </c>
      <c r="AO194" s="114">
        <f t="shared" ca="1" si="121"/>
        <v>0</v>
      </c>
      <c r="AP194" s="114">
        <f t="shared" ca="1" si="122"/>
        <v>0</v>
      </c>
      <c r="AR194" s="238">
        <f t="shared" si="126"/>
        <v>194</v>
      </c>
      <c r="AU194" s="238">
        <f t="shared" si="127"/>
        <v>175</v>
      </c>
      <c r="AV194" s="238"/>
      <c r="AW194" s="238"/>
      <c r="BB194">
        <f t="shared" si="140"/>
        <v>32</v>
      </c>
      <c r="BC194" s="112">
        <f t="shared" ca="1" si="136"/>
        <v>100000</v>
      </c>
      <c r="BD194" s="112"/>
      <c r="BE194" s="112">
        <f t="shared" ca="1" si="137"/>
        <v>100000</v>
      </c>
      <c r="BF194" s="112"/>
      <c r="BG194" s="112"/>
      <c r="BH194" s="112"/>
      <c r="BJ194" s="112" t="e">
        <f t="shared" ca="1" si="142"/>
        <v>#N/A</v>
      </c>
      <c r="CM194" s="112"/>
      <c r="CN194" s="112"/>
      <c r="CQ194" s="112"/>
      <c r="CR194" s="112"/>
      <c r="CS194" s="112"/>
      <c r="CT194" s="112"/>
      <c r="CU194" s="112"/>
      <c r="CV194" s="112"/>
      <c r="CW194" s="112"/>
      <c r="CX194" s="112" t="s">
        <v>224</v>
      </c>
      <c r="CY194" s="112" t="s">
        <v>225</v>
      </c>
      <c r="CZ194" s="112" t="s">
        <v>226</v>
      </c>
      <c r="DA194" s="112" t="s">
        <v>227</v>
      </c>
      <c r="DB194" s="112" t="s">
        <v>228</v>
      </c>
      <c r="DC194" s="112"/>
      <c r="DD194" s="112"/>
      <c r="DE194" s="238"/>
      <c r="DF194" s="112"/>
      <c r="DG194" s="112"/>
      <c r="DH194" s="112"/>
      <c r="DI194" s="112"/>
      <c r="DJ194" s="112"/>
      <c r="DK194" s="112">
        <f t="shared" si="130"/>
        <v>100000</v>
      </c>
      <c r="DL194" s="112"/>
      <c r="DM194" s="112"/>
      <c r="DN194" s="112" t="e">
        <f t="shared" si="131"/>
        <v>#NUM!</v>
      </c>
      <c r="DO194" s="112" t="e">
        <f t="shared" si="132"/>
        <v>#NUM!</v>
      </c>
      <c r="DP194" s="112"/>
      <c r="DQ194" s="112"/>
    </row>
    <row r="195" spans="4:121" x14ac:dyDescent="0.25">
      <c r="D195" t="str">
        <f t="shared" si="138"/>
        <v/>
      </c>
      <c r="E195" s="112">
        <f t="shared" ref="E195:F210" si="145">IF(F52=0,100000,F52)</f>
        <v>100000</v>
      </c>
      <c r="F195" s="112">
        <f t="shared" si="145"/>
        <v>100000</v>
      </c>
      <c r="G195" s="112"/>
      <c r="H195" s="238">
        <f t="shared" si="139"/>
        <v>33</v>
      </c>
      <c r="AG195" s="238">
        <f>AG194+1</f>
        <v>55</v>
      </c>
      <c r="AH195" s="112">
        <f ca="1">INDIRECT(CONCATENATE("AA",AG195))</f>
        <v>100000</v>
      </c>
      <c r="AI195" s="112" t="e">
        <f ca="1">IF(            INDIRECT(CONCATENATE( "AB",AG195))&lt;100000,       INDIRECT(CONCATENATE("AB",AG195))  -1,IF(   INDIRECT(CONCATENATE("AC",AG195))&lt;100000,   INDIRECT(CONCATENATE("AC",AG195))-1,IF(   INDIRECT(CONCATENATE("AD", AG195))&lt;100000, INDIRECT(CONCATENATE("AD",AG195))-1,IF(   INDIRECT(CONCATENATE("AE",AG195))&lt;100000,  INDIRECT(CONCATENATE("AE",G195)),INDIRECT(CONCATENATE("AF",AG195))                ))))</f>
        <v>#N/A</v>
      </c>
      <c r="AJ195" s="114"/>
      <c r="AK195" s="114"/>
      <c r="AL195" s="238" t="e">
        <f t="shared" ca="1" si="124"/>
        <v>#N/A</v>
      </c>
      <c r="AM195" s="112">
        <f t="shared" ca="1" si="143"/>
        <v>100000</v>
      </c>
      <c r="AN195" s="112">
        <f t="shared" ca="1" si="125"/>
        <v>100000</v>
      </c>
      <c r="AO195" s="114">
        <f t="shared" ca="1" si="121"/>
        <v>0</v>
      </c>
      <c r="AP195" s="114">
        <f t="shared" ca="1" si="122"/>
        <v>0</v>
      </c>
      <c r="AR195" s="238">
        <f t="shared" si="126"/>
        <v>195</v>
      </c>
      <c r="AU195" s="238">
        <f t="shared" si="127"/>
        <v>176</v>
      </c>
      <c r="AV195" s="238"/>
      <c r="AW195" s="238"/>
      <c r="BB195">
        <f t="shared" si="140"/>
        <v>33</v>
      </c>
      <c r="BC195" s="112">
        <f t="shared" ca="1" si="136"/>
        <v>100000</v>
      </c>
      <c r="BD195" s="112"/>
      <c r="BE195" s="112">
        <f t="shared" ca="1" si="137"/>
        <v>100000</v>
      </c>
      <c r="BF195" s="112"/>
      <c r="BG195" s="112"/>
      <c r="BH195" s="112"/>
      <c r="BJ195" s="112" t="e">
        <f t="shared" ca="1" si="142"/>
        <v>#N/A</v>
      </c>
      <c r="CM195" s="112"/>
      <c r="CN195" s="112"/>
      <c r="CQ195" s="112"/>
      <c r="CR195" s="112"/>
      <c r="CS195" s="112"/>
      <c r="CT195" s="112"/>
      <c r="CU195" s="112"/>
      <c r="CV195" s="112"/>
      <c r="CW195" s="112"/>
      <c r="CX195" s="112" t="s">
        <v>224</v>
      </c>
      <c r="CY195" s="112" t="s">
        <v>225</v>
      </c>
      <c r="CZ195" s="112" t="s">
        <v>226</v>
      </c>
      <c r="DA195" s="112" t="s">
        <v>227</v>
      </c>
      <c r="DB195" s="112" t="s">
        <v>228</v>
      </c>
      <c r="DC195" s="112"/>
      <c r="DD195" s="112"/>
      <c r="DE195" s="238"/>
      <c r="DF195" s="112"/>
      <c r="DG195" s="112"/>
      <c r="DH195" s="112"/>
      <c r="DI195" s="112"/>
      <c r="DJ195" s="112"/>
      <c r="DK195" s="112">
        <f t="shared" si="130"/>
        <v>100000</v>
      </c>
      <c r="DL195" s="112"/>
      <c r="DM195" s="112"/>
      <c r="DN195" s="112" t="e">
        <f t="shared" si="131"/>
        <v>#NUM!</v>
      </c>
      <c r="DO195" s="112" t="e">
        <f t="shared" si="132"/>
        <v>#NUM!</v>
      </c>
      <c r="DP195" s="112"/>
      <c r="DQ195" s="112"/>
    </row>
    <row r="196" spans="4:121" x14ac:dyDescent="0.25">
      <c r="D196" t="str">
        <f t="shared" si="138"/>
        <v/>
      </c>
      <c r="E196" s="112">
        <f t="shared" si="145"/>
        <v>100000</v>
      </c>
      <c r="F196" s="112">
        <f t="shared" si="145"/>
        <v>100000</v>
      </c>
      <c r="G196" s="112"/>
      <c r="H196" s="238">
        <f t="shared" si="139"/>
        <v>34</v>
      </c>
      <c r="AG196" s="238">
        <f>AG195</f>
        <v>55</v>
      </c>
      <c r="AH196" s="112" t="e">
        <f ca="1">AI195+1</f>
        <v>#N/A</v>
      </c>
      <c r="AI196" s="112" t="e">
        <f ca="1">IF(INDIRECT(CONCATENATE("AC",AG195))&lt;100000,INDIRECT(CONCATENATE("AC",AG195))-1,IF(INDIRECT(CONCATENATE("AD",AG195))&lt;100000,INDIRECT(CONCATENATE("AD",AG195))-1,IF(INDIRECT(CONCATENATE("AE",AG195))&lt;100000,INDIRECT(CONCATENATE("AE",G195)),INDIRECT(CONCATENATE("AF",AG195)))))</f>
        <v>#N/A</v>
      </c>
      <c r="AJ196" s="114"/>
      <c r="AK196" s="114"/>
      <c r="AL196" s="238" t="e">
        <f t="shared" ca="1" si="124"/>
        <v>#N/A</v>
      </c>
      <c r="AM196" s="112">
        <f t="shared" ca="1" si="143"/>
        <v>100000</v>
      </c>
      <c r="AN196" s="112">
        <f t="shared" ca="1" si="125"/>
        <v>100000</v>
      </c>
      <c r="AO196" s="114">
        <f t="shared" ca="1" si="121"/>
        <v>0</v>
      </c>
      <c r="AP196" s="114">
        <f t="shared" ca="1" si="122"/>
        <v>0</v>
      </c>
      <c r="AR196" s="238">
        <f t="shared" si="126"/>
        <v>196</v>
      </c>
      <c r="AU196" s="238">
        <f t="shared" si="127"/>
        <v>177</v>
      </c>
      <c r="AV196" s="238"/>
      <c r="AW196" s="238"/>
      <c r="BB196">
        <f t="shared" si="140"/>
        <v>34</v>
      </c>
      <c r="BC196" s="112">
        <f t="shared" ca="1" si="136"/>
        <v>100000</v>
      </c>
      <c r="BD196" s="112"/>
      <c r="BE196" s="112">
        <f t="shared" ca="1" si="137"/>
        <v>100000</v>
      </c>
      <c r="BF196" s="112"/>
      <c r="BG196" s="112"/>
      <c r="BH196" s="112"/>
      <c r="BJ196" s="112" t="e">
        <f t="shared" ca="1" si="142"/>
        <v>#N/A</v>
      </c>
      <c r="CM196" s="112"/>
      <c r="CN196" s="112"/>
      <c r="CQ196" s="112"/>
      <c r="CR196" s="112"/>
      <c r="CS196" s="112"/>
      <c r="CT196" s="112"/>
      <c r="CU196" s="112"/>
      <c r="CV196" s="112"/>
      <c r="CW196" s="112"/>
      <c r="CX196" s="112" t="s">
        <v>224</v>
      </c>
      <c r="CY196" s="112" t="s">
        <v>225</v>
      </c>
      <c r="CZ196" s="112" t="s">
        <v>226</v>
      </c>
      <c r="DA196" s="112" t="s">
        <v>227</v>
      </c>
      <c r="DB196" s="112" t="s">
        <v>228</v>
      </c>
      <c r="DC196" s="112"/>
      <c r="DD196" s="112"/>
      <c r="DE196" s="238"/>
      <c r="DF196" s="112"/>
      <c r="DG196" s="112"/>
      <c r="DH196" s="112"/>
      <c r="DI196" s="112"/>
      <c r="DJ196" s="112"/>
      <c r="DK196" s="112">
        <f t="shared" si="130"/>
        <v>100000</v>
      </c>
      <c r="DL196" s="112"/>
      <c r="DM196" s="112"/>
      <c r="DN196" s="112" t="e">
        <f t="shared" si="131"/>
        <v>#NUM!</v>
      </c>
      <c r="DO196" s="112" t="e">
        <f t="shared" si="132"/>
        <v>#NUM!</v>
      </c>
      <c r="DP196" s="112"/>
      <c r="DQ196" s="112"/>
    </row>
    <row r="197" spans="4:121" x14ac:dyDescent="0.25">
      <c r="D197" t="str">
        <f t="shared" si="138"/>
        <v/>
      </c>
      <c r="E197" s="112">
        <f t="shared" si="145"/>
        <v>100000</v>
      </c>
      <c r="F197" s="112">
        <f t="shared" si="145"/>
        <v>100000</v>
      </c>
      <c r="G197" s="112"/>
      <c r="H197" s="238">
        <f t="shared" si="139"/>
        <v>35</v>
      </c>
      <c r="AG197" s="238">
        <f>AG196</f>
        <v>55</v>
      </c>
      <c r="AH197" s="112" t="e">
        <f ca="1">AI196+1</f>
        <v>#N/A</v>
      </c>
      <c r="AI197" s="112" t="e">
        <f ca="1">IF(INDIRECT(CONCATENATE("AD",AG195))&lt;100000,INDIRECT(CONCATENATE("AD",AG195))-1,IF(INDIRECT(CONCATENATE("AE",AG195))&lt;100000,INDIRECT(CONCATENATE("AE",G195)),INDIRECT(CONCATENATE("AF",AG195))))</f>
        <v>#N/A</v>
      </c>
      <c r="AJ197" s="114"/>
      <c r="AK197" s="114"/>
      <c r="AL197" s="238" t="e">
        <f t="shared" ca="1" si="124"/>
        <v>#N/A</v>
      </c>
      <c r="AM197" s="112">
        <f t="shared" ca="1" si="143"/>
        <v>100000</v>
      </c>
      <c r="AN197" s="112">
        <f t="shared" ca="1" si="125"/>
        <v>100000</v>
      </c>
      <c r="AO197" s="114">
        <f t="shared" ca="1" si="121"/>
        <v>0</v>
      </c>
      <c r="AP197" s="114">
        <f t="shared" ca="1" si="122"/>
        <v>0</v>
      </c>
      <c r="AR197" s="238">
        <f t="shared" si="126"/>
        <v>197</v>
      </c>
      <c r="AU197" s="238">
        <f t="shared" si="127"/>
        <v>178</v>
      </c>
      <c r="AV197" s="238"/>
      <c r="AW197" s="238"/>
      <c r="BB197">
        <f t="shared" si="140"/>
        <v>35</v>
      </c>
      <c r="BC197" s="112">
        <f t="shared" ca="1" si="136"/>
        <v>100000</v>
      </c>
      <c r="BD197" s="112"/>
      <c r="BE197" s="112">
        <f t="shared" ca="1" si="137"/>
        <v>100000</v>
      </c>
      <c r="BF197" s="112"/>
      <c r="BG197" s="112"/>
      <c r="BH197" s="112"/>
      <c r="CM197" s="112"/>
      <c r="CN197" s="112"/>
      <c r="CQ197" s="112"/>
      <c r="CR197" s="112"/>
      <c r="CS197" s="112"/>
      <c r="CT197" s="112"/>
      <c r="CU197" s="112"/>
      <c r="CV197" s="112"/>
      <c r="CW197" s="112"/>
      <c r="CX197" s="112" t="s">
        <v>224</v>
      </c>
      <c r="CY197" s="112" t="s">
        <v>225</v>
      </c>
      <c r="CZ197" s="112" t="s">
        <v>226</v>
      </c>
      <c r="DA197" s="112" t="s">
        <v>227</v>
      </c>
      <c r="DB197" s="112" t="s">
        <v>228</v>
      </c>
      <c r="DC197" s="112"/>
      <c r="DD197" s="112"/>
      <c r="DE197" s="238"/>
      <c r="DF197" s="112"/>
      <c r="DG197" s="112"/>
      <c r="DH197" s="112"/>
      <c r="DI197" s="112"/>
      <c r="DJ197" s="112"/>
      <c r="DK197" s="112">
        <f t="shared" si="130"/>
        <v>100000</v>
      </c>
      <c r="DL197" s="112"/>
      <c r="DM197" s="112"/>
      <c r="DN197" s="112" t="e">
        <f t="shared" si="131"/>
        <v>#NUM!</v>
      </c>
      <c r="DO197" s="112" t="e">
        <f t="shared" si="132"/>
        <v>#NUM!</v>
      </c>
      <c r="DP197" s="112"/>
      <c r="DQ197" s="112"/>
    </row>
    <row r="198" spans="4:121" x14ac:dyDescent="0.25">
      <c r="D198" t="str">
        <f t="shared" si="138"/>
        <v/>
      </c>
      <c r="E198" s="112">
        <f t="shared" si="145"/>
        <v>100000</v>
      </c>
      <c r="F198" s="112">
        <f t="shared" si="145"/>
        <v>100000</v>
      </c>
      <c r="G198" s="112"/>
      <c r="H198" s="238">
        <f t="shared" si="139"/>
        <v>36</v>
      </c>
      <c r="AG198" s="238">
        <f>AG197</f>
        <v>55</v>
      </c>
      <c r="AH198" s="112" t="e">
        <f ca="1">AI197+1</f>
        <v>#N/A</v>
      </c>
      <c r="AI198" s="112" t="e">
        <f ca="1">IF(INDIRECT(CONCATENATE("AE",AG195))&lt;100000,INDIRECT(CONCATENATE("AE",G195)),INDIRECT(CONCATENATE("AF",AG195)))</f>
        <v>#N/A</v>
      </c>
      <c r="AJ198" s="114"/>
      <c r="AK198" s="114"/>
      <c r="AL198" s="238" t="e">
        <f t="shared" ca="1" si="124"/>
        <v>#N/A</v>
      </c>
      <c r="AM198" s="112">
        <f t="shared" ca="1" si="143"/>
        <v>100000</v>
      </c>
      <c r="AN198" s="112">
        <f t="shared" ca="1" si="125"/>
        <v>100000</v>
      </c>
      <c r="AO198" s="114">
        <f t="shared" ca="1" si="121"/>
        <v>0</v>
      </c>
      <c r="AP198" s="114">
        <f t="shared" ca="1" si="122"/>
        <v>0</v>
      </c>
      <c r="AR198" s="238">
        <f t="shared" si="126"/>
        <v>198</v>
      </c>
      <c r="AU198" s="238">
        <f t="shared" si="127"/>
        <v>179</v>
      </c>
      <c r="AV198" s="238"/>
      <c r="AW198" s="238"/>
      <c r="BB198">
        <f t="shared" si="140"/>
        <v>36</v>
      </c>
      <c r="BC198" s="112">
        <f t="shared" ca="1" si="136"/>
        <v>100000</v>
      </c>
      <c r="BD198" s="112"/>
      <c r="BE198" s="112">
        <f t="shared" ca="1" si="137"/>
        <v>100000</v>
      </c>
      <c r="BF198" s="112"/>
      <c r="BG198" s="112"/>
      <c r="BH198" s="112"/>
      <c r="CM198" s="112"/>
      <c r="CN198" s="112"/>
      <c r="CQ198" s="112"/>
      <c r="CR198" s="112"/>
      <c r="CS198" s="112"/>
      <c r="CT198" s="112"/>
      <c r="CU198" s="112"/>
      <c r="CV198" s="112"/>
      <c r="CW198" s="112"/>
      <c r="CX198" s="112" t="s">
        <v>224</v>
      </c>
      <c r="CY198" s="112" t="s">
        <v>225</v>
      </c>
      <c r="CZ198" s="112" t="s">
        <v>226</v>
      </c>
      <c r="DA198" s="112" t="s">
        <v>227</v>
      </c>
      <c r="DB198" s="112" t="s">
        <v>228</v>
      </c>
      <c r="DC198" s="112"/>
      <c r="DD198" s="112"/>
      <c r="DE198" s="238"/>
      <c r="DF198" s="112"/>
      <c r="DG198" s="112"/>
      <c r="DH198" s="112"/>
      <c r="DI198" s="112"/>
      <c r="DJ198" s="112"/>
      <c r="DK198" s="112">
        <f t="shared" si="130"/>
        <v>100000</v>
      </c>
      <c r="DL198" s="112"/>
      <c r="DM198" s="112"/>
      <c r="DN198" s="112" t="e">
        <f t="shared" si="131"/>
        <v>#NUM!</v>
      </c>
      <c r="DO198" s="112" t="e">
        <f t="shared" si="132"/>
        <v>#NUM!</v>
      </c>
      <c r="DP198" s="112"/>
      <c r="DQ198" s="112"/>
    </row>
    <row r="199" spans="4:121" x14ac:dyDescent="0.25">
      <c r="D199" t="str">
        <f t="shared" si="138"/>
        <v/>
      </c>
      <c r="E199" s="112">
        <f t="shared" si="145"/>
        <v>100000</v>
      </c>
      <c r="F199" s="112">
        <f t="shared" si="145"/>
        <v>100000</v>
      </c>
      <c r="G199" s="112"/>
      <c r="H199" s="238">
        <f t="shared" si="139"/>
        <v>37</v>
      </c>
      <c r="AG199" s="238">
        <f>AG198</f>
        <v>55</v>
      </c>
      <c r="AH199" s="112" t="e">
        <f ca="1">AI198+1</f>
        <v>#N/A</v>
      </c>
      <c r="AI199" s="112">
        <f ca="1">INDIRECT(CONCATENATE("AF",AG195))</f>
        <v>100000</v>
      </c>
      <c r="AJ199" s="114"/>
      <c r="AK199" s="114"/>
      <c r="AL199" s="238" t="e">
        <f t="shared" ca="1" si="124"/>
        <v>#N/A</v>
      </c>
      <c r="AM199" s="112">
        <f t="shared" ca="1" si="143"/>
        <v>100000</v>
      </c>
      <c r="AN199" s="112">
        <f t="shared" ca="1" si="125"/>
        <v>100000</v>
      </c>
      <c r="AO199" s="114">
        <f t="shared" ca="1" si="121"/>
        <v>0</v>
      </c>
      <c r="AP199" s="114">
        <f t="shared" ca="1" si="122"/>
        <v>0</v>
      </c>
      <c r="AR199" s="238">
        <f t="shared" si="126"/>
        <v>199</v>
      </c>
      <c r="AU199" s="238">
        <f t="shared" si="127"/>
        <v>180</v>
      </c>
      <c r="AV199" s="238"/>
      <c r="AW199" s="238"/>
      <c r="BB199">
        <f t="shared" si="140"/>
        <v>37</v>
      </c>
      <c r="BC199" s="112">
        <f t="shared" ca="1" si="136"/>
        <v>100000</v>
      </c>
      <c r="BD199" s="112"/>
      <c r="BE199" s="112">
        <f t="shared" ca="1" si="137"/>
        <v>100000</v>
      </c>
      <c r="BF199" s="112"/>
      <c r="BG199" s="112"/>
      <c r="BH199" s="112"/>
      <c r="CM199" s="112"/>
      <c r="CN199" s="112"/>
      <c r="CQ199" s="112"/>
      <c r="CR199" s="112"/>
      <c r="CS199" s="112"/>
      <c r="CT199" s="112"/>
      <c r="CU199" s="112"/>
      <c r="CV199" s="112"/>
      <c r="CW199" s="112"/>
      <c r="CX199" s="112" t="s">
        <v>224</v>
      </c>
      <c r="CY199" s="112" t="s">
        <v>225</v>
      </c>
      <c r="CZ199" s="112" t="s">
        <v>226</v>
      </c>
      <c r="DA199" s="112" t="s">
        <v>227</v>
      </c>
      <c r="DB199" s="112" t="s">
        <v>228</v>
      </c>
      <c r="DC199" s="112"/>
      <c r="DD199" s="112"/>
      <c r="DE199" s="238"/>
      <c r="DF199" s="112"/>
      <c r="DG199" s="112"/>
      <c r="DH199" s="112"/>
      <c r="DI199" s="112"/>
      <c r="DJ199" s="112"/>
      <c r="DK199" s="112">
        <f t="shared" si="130"/>
        <v>100000</v>
      </c>
      <c r="DL199" s="112"/>
      <c r="DM199" s="112"/>
      <c r="DN199" s="112" t="e">
        <f t="shared" si="131"/>
        <v>#NUM!</v>
      </c>
      <c r="DO199" s="112" t="e">
        <f t="shared" si="132"/>
        <v>#NUM!</v>
      </c>
      <c r="DP199" s="112"/>
      <c r="DQ199" s="112"/>
    </row>
    <row r="200" spans="4:121" x14ac:dyDescent="0.25">
      <c r="D200" t="str">
        <f t="shared" si="138"/>
        <v/>
      </c>
      <c r="E200" s="112">
        <f t="shared" si="145"/>
        <v>100000</v>
      </c>
      <c r="F200" s="112">
        <f t="shared" si="145"/>
        <v>100000</v>
      </c>
      <c r="G200" s="112"/>
      <c r="H200" s="238">
        <f t="shared" si="139"/>
        <v>38</v>
      </c>
      <c r="AG200" s="238">
        <f>AG199+1</f>
        <v>56</v>
      </c>
      <c r="AH200" s="112">
        <f ca="1">INDIRECT(CONCATENATE("AA",AG200))</f>
        <v>100000</v>
      </c>
      <c r="AI200" s="112" t="e">
        <f ca="1">IF(            INDIRECT(CONCATENATE( "AB",AG200))&lt;100000,       INDIRECT(CONCATENATE("AB",AG200))  -1,IF(   INDIRECT(CONCATENATE("AC",AG200))&lt;100000,   INDIRECT(CONCATENATE("AC",AG200))-1,IF(   INDIRECT(CONCATENATE("AD", AG200))&lt;100000, INDIRECT(CONCATENATE("AD",AG200))-1,IF(   INDIRECT(CONCATENATE("AE",AG200))&lt;100000,  INDIRECT(CONCATENATE("AE",G200)),INDIRECT(CONCATENATE("AF",AG200))                ))))</f>
        <v>#N/A</v>
      </c>
      <c r="AJ200" s="114"/>
      <c r="AK200" s="114"/>
      <c r="AL200" s="238" t="e">
        <f t="shared" ca="1" si="124"/>
        <v>#N/A</v>
      </c>
      <c r="AM200" s="112">
        <f t="shared" ca="1" si="143"/>
        <v>100000</v>
      </c>
      <c r="AN200" s="112">
        <f t="shared" ca="1" si="125"/>
        <v>100000</v>
      </c>
      <c r="AO200" s="114">
        <f t="shared" ca="1" si="121"/>
        <v>0</v>
      </c>
      <c r="AP200" s="114">
        <f t="shared" ca="1" si="122"/>
        <v>0</v>
      </c>
      <c r="AR200" s="238">
        <f t="shared" si="126"/>
        <v>200</v>
      </c>
      <c r="AU200" s="238">
        <f t="shared" si="127"/>
        <v>181</v>
      </c>
      <c r="AV200" s="238"/>
      <c r="AW200" s="238"/>
      <c r="BB200">
        <f t="shared" si="140"/>
        <v>38</v>
      </c>
      <c r="BC200" s="112">
        <f t="shared" ca="1" si="136"/>
        <v>100000</v>
      </c>
      <c r="BD200" s="112"/>
      <c r="BE200" s="112">
        <f t="shared" ca="1" si="137"/>
        <v>100000</v>
      </c>
      <c r="BF200" s="112"/>
      <c r="BG200" s="112"/>
      <c r="BH200" s="112"/>
      <c r="CM200" s="112"/>
      <c r="CN200" s="112"/>
      <c r="CQ200" s="112"/>
      <c r="CR200" s="112"/>
      <c r="CS200" s="112"/>
      <c r="CT200" s="112"/>
      <c r="CU200" s="112"/>
      <c r="CV200" s="112"/>
      <c r="CW200" s="112"/>
      <c r="CX200" s="112" t="s">
        <v>224</v>
      </c>
      <c r="CY200" s="112" t="s">
        <v>225</v>
      </c>
      <c r="CZ200" s="112" t="s">
        <v>226</v>
      </c>
      <c r="DA200" s="112" t="s">
        <v>227</v>
      </c>
      <c r="DB200" s="112" t="s">
        <v>228</v>
      </c>
      <c r="DC200" s="112"/>
      <c r="DD200" s="112"/>
      <c r="DE200" s="238"/>
      <c r="DF200" s="112"/>
      <c r="DG200" s="112"/>
      <c r="DH200" s="112"/>
      <c r="DI200" s="112"/>
      <c r="DJ200" s="112"/>
      <c r="DK200" s="112">
        <f t="shared" si="130"/>
        <v>100000</v>
      </c>
      <c r="DL200" s="112"/>
      <c r="DM200" s="112"/>
      <c r="DN200" s="112" t="e">
        <f t="shared" si="131"/>
        <v>#NUM!</v>
      </c>
      <c r="DO200" s="112" t="e">
        <f t="shared" si="132"/>
        <v>#NUM!</v>
      </c>
      <c r="DP200" s="112"/>
      <c r="DQ200" s="112"/>
    </row>
    <row r="201" spans="4:121" x14ac:dyDescent="0.25">
      <c r="D201" t="str">
        <f t="shared" si="138"/>
        <v/>
      </c>
      <c r="E201" s="112">
        <f t="shared" si="145"/>
        <v>100000</v>
      </c>
      <c r="F201" s="112">
        <f t="shared" si="145"/>
        <v>100000</v>
      </c>
      <c r="G201" s="112"/>
      <c r="H201" s="238">
        <f t="shared" si="139"/>
        <v>39</v>
      </c>
      <c r="AG201" s="238">
        <f>AG200</f>
        <v>56</v>
      </c>
      <c r="AH201" s="112" t="e">
        <f ca="1">AI200+1</f>
        <v>#N/A</v>
      </c>
      <c r="AI201" s="112" t="e">
        <f ca="1">IF(INDIRECT(CONCATENATE("AC",AG200))&lt;100000,INDIRECT(CONCATENATE("AC",AG200))-1,IF(INDIRECT(CONCATENATE("AD",AG200))&lt;100000,INDIRECT(CONCATENATE("AD",AG200))-1,IF(INDIRECT(CONCATENATE("AE",AG200))&lt;100000,INDIRECT(CONCATENATE("AE",G200)),INDIRECT(CONCATENATE("AF",AG200)))))</f>
        <v>#N/A</v>
      </c>
      <c r="AJ201" s="114"/>
      <c r="AK201" s="114"/>
      <c r="AL201" s="238" t="e">
        <f t="shared" ca="1" si="124"/>
        <v>#N/A</v>
      </c>
      <c r="AM201" s="112">
        <f t="shared" ca="1" si="143"/>
        <v>100000</v>
      </c>
      <c r="AN201" s="112">
        <f t="shared" ca="1" si="125"/>
        <v>100000</v>
      </c>
      <c r="AO201" s="114">
        <f t="shared" ca="1" si="121"/>
        <v>0</v>
      </c>
      <c r="AP201" s="114">
        <f t="shared" ca="1" si="122"/>
        <v>0</v>
      </c>
      <c r="AR201" s="238">
        <f t="shared" si="126"/>
        <v>201</v>
      </c>
      <c r="AU201" s="238">
        <f t="shared" si="127"/>
        <v>182</v>
      </c>
      <c r="AV201" s="238"/>
      <c r="AW201" s="238"/>
      <c r="BB201">
        <f t="shared" si="140"/>
        <v>39</v>
      </c>
      <c r="BC201" s="112">
        <f t="shared" ca="1" si="136"/>
        <v>100000</v>
      </c>
      <c r="BD201" s="112"/>
      <c r="BE201" s="112">
        <f t="shared" ca="1" si="137"/>
        <v>100000</v>
      </c>
      <c r="BF201" s="112"/>
      <c r="BG201" s="112"/>
      <c r="BH201" s="112"/>
      <c r="CM201" s="112"/>
      <c r="CN201" s="112"/>
      <c r="CQ201" s="112"/>
      <c r="CR201" s="112"/>
      <c r="CS201" s="112"/>
      <c r="CT201" s="112"/>
      <c r="CU201" s="112"/>
      <c r="CV201" s="112"/>
      <c r="CW201" s="112"/>
      <c r="CX201" s="112" t="s">
        <v>224</v>
      </c>
      <c r="CY201" s="112" t="s">
        <v>225</v>
      </c>
      <c r="CZ201" s="112" t="s">
        <v>226</v>
      </c>
      <c r="DA201" s="112" t="s">
        <v>227</v>
      </c>
      <c r="DB201" s="112" t="s">
        <v>228</v>
      </c>
      <c r="DC201" s="112"/>
      <c r="DD201" s="112"/>
      <c r="DE201" s="238"/>
      <c r="DF201" s="112"/>
      <c r="DG201" s="112"/>
      <c r="DH201" s="112"/>
      <c r="DI201" s="112"/>
      <c r="DJ201" s="112"/>
      <c r="DK201" s="112">
        <f t="shared" si="130"/>
        <v>100000</v>
      </c>
      <c r="DL201" s="112"/>
      <c r="DM201" s="112"/>
      <c r="DN201" s="112" t="e">
        <f t="shared" si="131"/>
        <v>#NUM!</v>
      </c>
      <c r="DO201" s="112" t="e">
        <f t="shared" si="132"/>
        <v>#NUM!</v>
      </c>
      <c r="DP201" s="112"/>
      <c r="DQ201" s="112"/>
    </row>
    <row r="202" spans="4:121" x14ac:dyDescent="0.25">
      <c r="D202" t="str">
        <f t="shared" si="138"/>
        <v/>
      </c>
      <c r="E202" s="112">
        <f t="shared" si="145"/>
        <v>100000</v>
      </c>
      <c r="F202" s="112">
        <f t="shared" si="145"/>
        <v>100000</v>
      </c>
      <c r="G202" s="112"/>
      <c r="H202" s="238">
        <f t="shared" si="139"/>
        <v>40</v>
      </c>
      <c r="AG202" s="238">
        <f>AG201</f>
        <v>56</v>
      </c>
      <c r="AH202" s="112" t="e">
        <f ca="1">AI201+1</f>
        <v>#N/A</v>
      </c>
      <c r="AI202" s="112" t="e">
        <f ca="1">IF(INDIRECT(CONCATENATE("AD",AG200))&lt;100000,INDIRECT(CONCATENATE("AD",AG200))-1,IF(INDIRECT(CONCATENATE("AE",AG200))&lt;100000,INDIRECT(CONCATENATE("AE",G200)),INDIRECT(CONCATENATE("AF",AG200))))</f>
        <v>#N/A</v>
      </c>
      <c r="AJ202" s="114"/>
      <c r="AK202" s="114"/>
      <c r="AL202" s="238" t="e">
        <f t="shared" ca="1" si="124"/>
        <v>#N/A</v>
      </c>
      <c r="AM202" s="112">
        <f t="shared" ca="1" si="143"/>
        <v>100000</v>
      </c>
      <c r="AN202" s="112">
        <f t="shared" ca="1" si="125"/>
        <v>100000</v>
      </c>
      <c r="AO202" s="114">
        <f t="shared" ca="1" si="121"/>
        <v>0</v>
      </c>
      <c r="AP202" s="114">
        <f t="shared" ca="1" si="122"/>
        <v>0</v>
      </c>
      <c r="AR202" s="238">
        <f t="shared" si="126"/>
        <v>202</v>
      </c>
      <c r="AU202" s="238">
        <f t="shared" si="127"/>
        <v>183</v>
      </c>
      <c r="AV202" s="238"/>
      <c r="AW202" s="238"/>
      <c r="BB202">
        <f t="shared" si="140"/>
        <v>40</v>
      </c>
      <c r="BC202" s="112">
        <f t="shared" ca="1" si="136"/>
        <v>100000</v>
      </c>
      <c r="BD202" s="112"/>
      <c r="BE202" s="112">
        <f t="shared" ca="1" si="137"/>
        <v>100000</v>
      </c>
      <c r="BF202" s="112"/>
      <c r="BG202" s="112"/>
      <c r="BH202" s="112"/>
      <c r="CM202" s="112"/>
      <c r="CN202" s="112"/>
      <c r="CQ202" s="112"/>
      <c r="CR202" s="112"/>
      <c r="CS202" s="112"/>
      <c r="CT202" s="112"/>
      <c r="CU202" s="112"/>
      <c r="CV202" s="112"/>
      <c r="CW202" s="112"/>
      <c r="CX202" s="112" t="s">
        <v>224</v>
      </c>
      <c r="CY202" s="112" t="s">
        <v>225</v>
      </c>
      <c r="CZ202" s="112" t="s">
        <v>226</v>
      </c>
      <c r="DA202" s="112" t="s">
        <v>227</v>
      </c>
      <c r="DB202" s="112" t="s">
        <v>228</v>
      </c>
      <c r="DC202" s="112"/>
      <c r="DD202" s="112"/>
      <c r="DE202" s="238"/>
      <c r="DF202" s="112"/>
      <c r="DG202" s="112"/>
      <c r="DH202" s="112"/>
      <c r="DI202" s="112"/>
      <c r="DJ202" s="112"/>
      <c r="DK202" s="112">
        <f t="shared" si="130"/>
        <v>100000</v>
      </c>
      <c r="DL202" s="112"/>
      <c r="DM202" s="112"/>
      <c r="DN202" s="112" t="e">
        <f t="shared" si="131"/>
        <v>#NUM!</v>
      </c>
      <c r="DO202" s="112" t="e">
        <f t="shared" si="132"/>
        <v>#NUM!</v>
      </c>
      <c r="DP202" s="112"/>
      <c r="DQ202" s="112"/>
    </row>
    <row r="203" spans="4:121" x14ac:dyDescent="0.25">
      <c r="D203" t="str">
        <f t="shared" si="138"/>
        <v/>
      </c>
      <c r="E203" s="112">
        <f t="shared" si="145"/>
        <v>100000</v>
      </c>
      <c r="F203" s="112">
        <f t="shared" si="145"/>
        <v>100000</v>
      </c>
      <c r="G203" s="112"/>
      <c r="H203" s="238">
        <f t="shared" si="139"/>
        <v>41</v>
      </c>
      <c r="AG203" s="238">
        <f>AG202</f>
        <v>56</v>
      </c>
      <c r="AH203" s="112" t="e">
        <f ca="1">AI202+1</f>
        <v>#N/A</v>
      </c>
      <c r="AI203" s="112" t="e">
        <f ca="1">IF(INDIRECT(CONCATENATE("AE",AG200))&lt;100000,INDIRECT(CONCATENATE("AE",G200)),INDIRECT(CONCATENATE("AF",AG200)))</f>
        <v>#N/A</v>
      </c>
      <c r="AJ203" s="114"/>
      <c r="AK203" s="114"/>
      <c r="AL203" s="238" t="e">
        <f t="shared" ca="1" si="124"/>
        <v>#N/A</v>
      </c>
      <c r="AM203" s="112">
        <f t="shared" ca="1" si="143"/>
        <v>100000</v>
      </c>
      <c r="AN203" s="112">
        <f t="shared" ca="1" si="125"/>
        <v>100000</v>
      </c>
      <c r="AO203" s="114">
        <f t="shared" ca="1" si="121"/>
        <v>0</v>
      </c>
      <c r="AP203" s="114">
        <f t="shared" ca="1" si="122"/>
        <v>0</v>
      </c>
      <c r="AR203" s="238">
        <f t="shared" si="126"/>
        <v>203</v>
      </c>
      <c r="AU203" s="238">
        <f t="shared" si="127"/>
        <v>184</v>
      </c>
      <c r="AV203" s="238"/>
      <c r="AW203" s="238"/>
      <c r="BB203">
        <f t="shared" si="140"/>
        <v>41</v>
      </c>
      <c r="BC203" s="112">
        <f t="shared" ca="1" si="136"/>
        <v>100000</v>
      </c>
      <c r="BD203" s="112"/>
      <c r="BE203" s="112">
        <f t="shared" ca="1" si="137"/>
        <v>100000</v>
      </c>
      <c r="BF203" s="112"/>
      <c r="BG203" s="112"/>
      <c r="BH203" s="112"/>
      <c r="CM203" s="112"/>
      <c r="CN203" s="112"/>
      <c r="CQ203" s="112"/>
      <c r="CR203" s="112"/>
      <c r="CS203" s="112"/>
      <c r="CT203" s="112"/>
      <c r="CU203" s="112"/>
      <c r="CV203" s="112"/>
      <c r="CW203" s="112"/>
      <c r="CX203" s="112" t="s">
        <v>224</v>
      </c>
      <c r="CY203" s="112" t="s">
        <v>225</v>
      </c>
      <c r="CZ203" s="112" t="s">
        <v>226</v>
      </c>
      <c r="DA203" s="112" t="s">
        <v>227</v>
      </c>
      <c r="DB203" s="112" t="s">
        <v>228</v>
      </c>
      <c r="DC203" s="112"/>
      <c r="DD203" s="112"/>
      <c r="DE203" s="238"/>
      <c r="DF203" s="112"/>
      <c r="DG203" s="112"/>
      <c r="DH203" s="112"/>
      <c r="DI203" s="112"/>
      <c r="DJ203" s="112"/>
      <c r="DK203" s="112">
        <f t="shared" si="130"/>
        <v>100000</v>
      </c>
      <c r="DL203" s="112"/>
      <c r="DM203" s="112"/>
      <c r="DN203" s="112" t="e">
        <f t="shared" si="131"/>
        <v>#NUM!</v>
      </c>
      <c r="DO203" s="112" t="e">
        <f t="shared" si="132"/>
        <v>#NUM!</v>
      </c>
      <c r="DP203" s="112"/>
      <c r="DQ203" s="112"/>
    </row>
    <row r="204" spans="4:121" x14ac:dyDescent="0.25">
      <c r="D204" t="str">
        <f t="shared" si="138"/>
        <v/>
      </c>
      <c r="E204" s="112">
        <f t="shared" si="145"/>
        <v>100000</v>
      </c>
      <c r="F204" s="112">
        <f t="shared" si="145"/>
        <v>100000</v>
      </c>
      <c r="G204" s="112"/>
      <c r="H204" s="238">
        <f t="shared" si="139"/>
        <v>42</v>
      </c>
      <c r="AG204" s="238">
        <f>AG203</f>
        <v>56</v>
      </c>
      <c r="AH204" s="112" t="e">
        <f ca="1">AI203+1</f>
        <v>#N/A</v>
      </c>
      <c r="AI204" s="112">
        <f ca="1">INDIRECT(CONCATENATE("AF",AG200))</f>
        <v>100000</v>
      </c>
      <c r="AJ204" s="114"/>
      <c r="AK204" s="114"/>
      <c r="AL204" s="238" t="e">
        <f t="shared" ca="1" si="124"/>
        <v>#N/A</v>
      </c>
      <c r="AM204" s="112">
        <f t="shared" ca="1" si="143"/>
        <v>100000</v>
      </c>
      <c r="AN204" s="112">
        <f t="shared" ca="1" si="125"/>
        <v>100000</v>
      </c>
      <c r="AO204" s="114">
        <f t="shared" ca="1" si="121"/>
        <v>0</v>
      </c>
      <c r="AP204" s="114">
        <f t="shared" ca="1" si="122"/>
        <v>0</v>
      </c>
      <c r="AR204" s="238">
        <f t="shared" si="126"/>
        <v>204</v>
      </c>
      <c r="AU204" s="238">
        <f t="shared" si="127"/>
        <v>185</v>
      </c>
      <c r="AV204" s="238"/>
      <c r="AW204" s="238"/>
      <c r="BB204">
        <f t="shared" si="140"/>
        <v>42</v>
      </c>
      <c r="BC204" s="112">
        <f t="shared" ca="1" si="136"/>
        <v>100000</v>
      </c>
      <c r="BD204" s="112"/>
      <c r="BE204" s="112">
        <f t="shared" ca="1" si="137"/>
        <v>100000</v>
      </c>
      <c r="BF204" s="112"/>
      <c r="BG204" s="112"/>
      <c r="BH204" s="112"/>
      <c r="CM204" s="112"/>
      <c r="CN204" s="112"/>
      <c r="CQ204" s="112"/>
      <c r="CR204" s="112"/>
      <c r="CS204" s="112"/>
      <c r="CT204" s="112"/>
      <c r="CU204" s="112"/>
      <c r="CV204" s="112"/>
      <c r="CW204" s="112"/>
      <c r="CX204" s="112" t="s">
        <v>224</v>
      </c>
      <c r="CY204" s="112" t="s">
        <v>225</v>
      </c>
      <c r="CZ204" s="112" t="s">
        <v>226</v>
      </c>
      <c r="DA204" s="112" t="s">
        <v>227</v>
      </c>
      <c r="DB204" s="112" t="s">
        <v>228</v>
      </c>
      <c r="DC204" s="112"/>
      <c r="DD204" s="112"/>
      <c r="DE204" s="238"/>
      <c r="DF204" s="112"/>
      <c r="DG204" s="112"/>
      <c r="DH204" s="112"/>
      <c r="DI204" s="112"/>
      <c r="DJ204" s="112"/>
      <c r="DK204" s="112">
        <f t="shared" si="130"/>
        <v>100000</v>
      </c>
      <c r="DL204" s="112"/>
      <c r="DM204" s="112"/>
      <c r="DN204" s="112" t="e">
        <f t="shared" si="131"/>
        <v>#NUM!</v>
      </c>
      <c r="DO204" s="112" t="e">
        <f t="shared" si="132"/>
        <v>#NUM!</v>
      </c>
      <c r="DP204" s="112"/>
      <c r="DQ204" s="112"/>
    </row>
    <row r="205" spans="4:121" x14ac:dyDescent="0.25">
      <c r="D205" t="str">
        <f t="shared" si="138"/>
        <v/>
      </c>
      <c r="E205" s="112">
        <f t="shared" si="145"/>
        <v>100000</v>
      </c>
      <c r="F205" s="112">
        <f t="shared" si="145"/>
        <v>100000</v>
      </c>
      <c r="G205" s="112"/>
      <c r="H205" s="238">
        <f t="shared" si="139"/>
        <v>43</v>
      </c>
      <c r="AG205" s="238">
        <f>AG204+1</f>
        <v>57</v>
      </c>
      <c r="AH205" s="112">
        <f ca="1">INDIRECT(CONCATENATE("AA",AG205))</f>
        <v>100000</v>
      </c>
      <c r="AI205" s="112" t="e">
        <f ca="1">IF(            INDIRECT(CONCATENATE( "AB",AG205))&lt;100000,       INDIRECT(CONCATENATE("AB",AG205))  -1,IF(   INDIRECT(CONCATENATE("AC",AG205))&lt;100000,   INDIRECT(CONCATENATE("AC",AG205))-1,IF(   INDIRECT(CONCATENATE("AD", AG205))&lt;100000, INDIRECT(CONCATENATE("AD",AG205))-1,IF(   INDIRECT(CONCATENATE("AE",AG205))&lt;100000,  INDIRECT(CONCATENATE("AE",G205)),INDIRECT(CONCATENATE("AF",AG205))                ))))</f>
        <v>#N/A</v>
      </c>
      <c r="AJ205" s="114"/>
      <c r="AK205" s="114"/>
      <c r="AL205" s="238" t="e">
        <f t="shared" ca="1" si="124"/>
        <v>#N/A</v>
      </c>
      <c r="AM205" s="112">
        <f t="shared" ca="1" si="143"/>
        <v>100000</v>
      </c>
      <c r="AN205" s="112">
        <f t="shared" ca="1" si="125"/>
        <v>100000</v>
      </c>
      <c r="AO205" s="114">
        <f t="shared" ca="1" si="121"/>
        <v>0</v>
      </c>
      <c r="AP205" s="114">
        <f t="shared" ca="1" si="122"/>
        <v>0</v>
      </c>
      <c r="AR205" s="238">
        <f t="shared" si="126"/>
        <v>205</v>
      </c>
      <c r="AU205" s="238">
        <f t="shared" si="127"/>
        <v>186</v>
      </c>
      <c r="AV205" s="238"/>
      <c r="AW205" s="238"/>
      <c r="BB205">
        <f t="shared" si="140"/>
        <v>43</v>
      </c>
      <c r="BC205" s="112">
        <f t="shared" ca="1" si="136"/>
        <v>100000</v>
      </c>
      <c r="BD205" s="112"/>
      <c r="BE205" s="112">
        <f t="shared" ca="1" si="137"/>
        <v>100000</v>
      </c>
      <c r="BF205" s="112"/>
      <c r="BG205" s="112"/>
      <c r="BH205" s="112"/>
      <c r="CM205" s="112"/>
      <c r="CN205" s="112"/>
      <c r="CQ205" s="112"/>
      <c r="CR205" s="112"/>
      <c r="CS205" s="112"/>
      <c r="CT205" s="112"/>
      <c r="CU205" s="112"/>
      <c r="CV205" s="112"/>
      <c r="CW205" s="112"/>
      <c r="CX205" s="112" t="s">
        <v>224</v>
      </c>
      <c r="CY205" s="112" t="s">
        <v>225</v>
      </c>
      <c r="CZ205" s="112" t="s">
        <v>226</v>
      </c>
      <c r="DA205" s="112" t="s">
        <v>227</v>
      </c>
      <c r="DB205" s="112" t="s">
        <v>228</v>
      </c>
      <c r="DC205" s="112"/>
      <c r="DD205" s="112"/>
      <c r="DE205" s="238"/>
      <c r="DF205" s="112"/>
      <c r="DG205" s="112"/>
      <c r="DH205" s="112"/>
      <c r="DI205" s="112"/>
      <c r="DJ205" s="112"/>
      <c r="DK205" s="112">
        <f t="shared" si="130"/>
        <v>100000</v>
      </c>
      <c r="DL205" s="112"/>
      <c r="DM205" s="112"/>
      <c r="DN205" s="112" t="e">
        <f t="shared" si="131"/>
        <v>#NUM!</v>
      </c>
      <c r="DO205" s="112" t="e">
        <f t="shared" si="132"/>
        <v>#NUM!</v>
      </c>
      <c r="DP205" s="112"/>
      <c r="DQ205" s="112"/>
    </row>
    <row r="206" spans="4:121" x14ac:dyDescent="0.25">
      <c r="D206" t="str">
        <f t="shared" si="138"/>
        <v/>
      </c>
      <c r="E206" s="112">
        <f t="shared" si="145"/>
        <v>100000</v>
      </c>
      <c r="F206" s="112">
        <f t="shared" si="145"/>
        <v>100000</v>
      </c>
      <c r="G206" s="112"/>
      <c r="H206" s="238">
        <f t="shared" si="139"/>
        <v>44</v>
      </c>
      <c r="AG206" s="238">
        <f>AG205</f>
        <v>57</v>
      </c>
      <c r="AH206" s="112" t="e">
        <f ca="1">AI205+1</f>
        <v>#N/A</v>
      </c>
      <c r="AI206" s="112" t="e">
        <f ca="1">IF(INDIRECT(CONCATENATE("AC",AG205))&lt;100000,INDIRECT(CONCATENATE("AC",AG205))-1,IF(INDIRECT(CONCATENATE("AD",AG205))&lt;100000,INDIRECT(CONCATENATE("AD",AG205))-1,IF(INDIRECT(CONCATENATE("AE",AG205))&lt;100000,INDIRECT(CONCATENATE("AE",G205)),INDIRECT(CONCATENATE("AF",AG205)))))</f>
        <v>#N/A</v>
      </c>
      <c r="AJ206" s="114"/>
      <c r="AK206" s="114"/>
      <c r="AL206" s="238" t="e">
        <f t="shared" ca="1" si="124"/>
        <v>#N/A</v>
      </c>
      <c r="AM206" s="112">
        <f t="shared" ca="1" si="143"/>
        <v>100000</v>
      </c>
      <c r="AN206" s="112">
        <f t="shared" ca="1" si="125"/>
        <v>100000</v>
      </c>
      <c r="AO206" s="114">
        <f t="shared" ca="1" si="121"/>
        <v>0</v>
      </c>
      <c r="AP206" s="114">
        <f t="shared" ca="1" si="122"/>
        <v>0</v>
      </c>
      <c r="AR206" s="238">
        <f t="shared" si="126"/>
        <v>206</v>
      </c>
      <c r="AU206" s="238">
        <f t="shared" si="127"/>
        <v>187</v>
      </c>
      <c r="AV206" s="238"/>
      <c r="AW206" s="238"/>
      <c r="BB206">
        <f t="shared" si="140"/>
        <v>44</v>
      </c>
      <c r="BC206" s="112">
        <f t="shared" ca="1" si="136"/>
        <v>100000</v>
      </c>
      <c r="BD206" s="112"/>
      <c r="BE206" s="112">
        <f t="shared" ca="1" si="137"/>
        <v>100000</v>
      </c>
      <c r="BF206" s="112"/>
      <c r="BG206" s="112"/>
      <c r="BH206" s="112"/>
      <c r="CM206" s="112"/>
      <c r="CN206" s="112"/>
      <c r="CQ206" s="112"/>
      <c r="CR206" s="112"/>
      <c r="CS206" s="112"/>
      <c r="CT206" s="112"/>
      <c r="CU206" s="112"/>
      <c r="CV206" s="112"/>
      <c r="CW206" s="112"/>
      <c r="CX206" s="112" t="s">
        <v>224</v>
      </c>
      <c r="CY206" s="112" t="s">
        <v>225</v>
      </c>
      <c r="CZ206" s="112" t="s">
        <v>226</v>
      </c>
      <c r="DA206" s="112" t="s">
        <v>227</v>
      </c>
      <c r="DB206" s="112" t="s">
        <v>228</v>
      </c>
      <c r="DC206" s="112"/>
      <c r="DD206" s="112"/>
      <c r="DE206" s="238"/>
      <c r="DF206" s="112"/>
      <c r="DG206" s="112"/>
      <c r="DH206" s="112"/>
      <c r="DI206" s="112"/>
      <c r="DJ206" s="112"/>
      <c r="DK206" s="112">
        <f t="shared" si="130"/>
        <v>100000</v>
      </c>
      <c r="DL206" s="112"/>
      <c r="DM206" s="112"/>
      <c r="DN206" s="112" t="e">
        <f t="shared" si="131"/>
        <v>#NUM!</v>
      </c>
      <c r="DO206" s="112" t="e">
        <f t="shared" si="132"/>
        <v>#NUM!</v>
      </c>
      <c r="DP206" s="112"/>
      <c r="DQ206" s="112"/>
    </row>
    <row r="207" spans="4:121" x14ac:dyDescent="0.25">
      <c r="D207" t="str">
        <f t="shared" si="138"/>
        <v/>
      </c>
      <c r="E207" s="112">
        <f t="shared" si="145"/>
        <v>100000</v>
      </c>
      <c r="F207" s="112">
        <f t="shared" si="145"/>
        <v>100000</v>
      </c>
      <c r="G207" s="112"/>
      <c r="H207" s="238">
        <f t="shared" si="139"/>
        <v>45</v>
      </c>
      <c r="AG207" s="238">
        <f>AG206</f>
        <v>57</v>
      </c>
      <c r="AH207" s="112" t="e">
        <f ca="1">AI206+1</f>
        <v>#N/A</v>
      </c>
      <c r="AI207" s="112" t="e">
        <f ca="1">IF(INDIRECT(CONCATENATE("AD",AG205))&lt;100000,INDIRECT(CONCATENATE("AD",AG205))-1,IF(INDIRECT(CONCATENATE("AE",AG205))&lt;100000,INDIRECT(CONCATENATE("AE",G205)),INDIRECT(CONCATENATE("AF",AG205))))</f>
        <v>#N/A</v>
      </c>
      <c r="AJ207" s="114"/>
      <c r="AK207" s="114"/>
      <c r="AL207" s="238" t="e">
        <f t="shared" ca="1" si="124"/>
        <v>#N/A</v>
      </c>
      <c r="AM207" s="112">
        <f t="shared" ca="1" si="143"/>
        <v>100000</v>
      </c>
      <c r="AN207" s="112">
        <f t="shared" ca="1" si="125"/>
        <v>100000</v>
      </c>
      <c r="AO207" s="114">
        <f t="shared" ca="1" si="121"/>
        <v>0</v>
      </c>
      <c r="AP207" s="114">
        <f t="shared" ca="1" si="122"/>
        <v>0</v>
      </c>
      <c r="AR207" s="238">
        <f t="shared" si="126"/>
        <v>207</v>
      </c>
      <c r="AU207" s="238">
        <f t="shared" si="127"/>
        <v>188</v>
      </c>
      <c r="AV207" s="238"/>
      <c r="AW207" s="238"/>
      <c r="BB207">
        <f t="shared" si="140"/>
        <v>45</v>
      </c>
      <c r="BC207" s="112">
        <f t="shared" ca="1" si="136"/>
        <v>100000</v>
      </c>
      <c r="BD207" s="112"/>
      <c r="BE207" s="112">
        <f t="shared" ca="1" si="137"/>
        <v>100000</v>
      </c>
      <c r="BF207" s="112"/>
      <c r="BG207" s="112"/>
      <c r="BH207" s="112"/>
      <c r="CM207" s="112"/>
      <c r="CN207" s="112"/>
      <c r="CQ207" s="112"/>
      <c r="CR207" s="112"/>
      <c r="CS207" s="112"/>
      <c r="CT207" s="112"/>
      <c r="CU207" s="112"/>
      <c r="CV207" s="112"/>
      <c r="CW207" s="112"/>
      <c r="CX207" s="112" t="s">
        <v>224</v>
      </c>
      <c r="CY207" s="112" t="s">
        <v>225</v>
      </c>
      <c r="CZ207" s="112" t="s">
        <v>226</v>
      </c>
      <c r="DA207" s="112" t="s">
        <v>227</v>
      </c>
      <c r="DB207" s="112" t="s">
        <v>228</v>
      </c>
      <c r="DC207" s="112"/>
      <c r="DD207" s="112"/>
      <c r="DE207" s="238"/>
      <c r="DF207" s="112"/>
      <c r="DG207" s="112"/>
      <c r="DH207" s="112"/>
      <c r="DI207" s="112"/>
      <c r="DJ207" s="112"/>
      <c r="DK207" s="112">
        <f t="shared" si="130"/>
        <v>100000</v>
      </c>
      <c r="DL207" s="112"/>
      <c r="DM207" s="112"/>
      <c r="DN207" s="112" t="e">
        <f t="shared" si="131"/>
        <v>#NUM!</v>
      </c>
      <c r="DO207" s="112" t="e">
        <f t="shared" si="132"/>
        <v>#NUM!</v>
      </c>
      <c r="DP207" s="112"/>
      <c r="DQ207" s="112"/>
    </row>
    <row r="208" spans="4:121" x14ac:dyDescent="0.25">
      <c r="D208" t="str">
        <f t="shared" si="138"/>
        <v/>
      </c>
      <c r="E208" s="112">
        <f t="shared" si="145"/>
        <v>100000</v>
      </c>
      <c r="F208" s="112">
        <f t="shared" si="145"/>
        <v>100000</v>
      </c>
      <c r="G208" s="112"/>
      <c r="H208" s="238">
        <f t="shared" si="139"/>
        <v>46</v>
      </c>
      <c r="AG208" s="238">
        <f>AG207</f>
        <v>57</v>
      </c>
      <c r="AH208" s="112" t="e">
        <f ca="1">AI207+1</f>
        <v>#N/A</v>
      </c>
      <c r="AI208" s="112" t="e">
        <f ca="1">IF(INDIRECT(CONCATENATE("AE",AG205))&lt;100000,INDIRECT(CONCATENATE("AE",G205)),INDIRECT(CONCATENATE("AF",AG205)))</f>
        <v>#N/A</v>
      </c>
      <c r="AJ208" s="114"/>
      <c r="AK208" s="114"/>
      <c r="AL208" s="238" t="e">
        <f t="shared" ca="1" si="124"/>
        <v>#N/A</v>
      </c>
      <c r="AM208" s="112">
        <f t="shared" ca="1" si="143"/>
        <v>100000</v>
      </c>
      <c r="AN208" s="112">
        <f t="shared" ca="1" si="125"/>
        <v>100000</v>
      </c>
      <c r="AO208" s="114">
        <f t="shared" ca="1" si="121"/>
        <v>0</v>
      </c>
      <c r="AP208" s="114">
        <f t="shared" ca="1" si="122"/>
        <v>0</v>
      </c>
      <c r="AR208" s="238">
        <f t="shared" si="126"/>
        <v>208</v>
      </c>
      <c r="AU208" s="238">
        <f t="shared" si="127"/>
        <v>189</v>
      </c>
      <c r="AV208" s="238"/>
      <c r="AW208" s="238"/>
      <c r="BB208">
        <f t="shared" si="140"/>
        <v>46</v>
      </c>
      <c r="BC208" s="112">
        <f t="shared" ca="1" si="136"/>
        <v>100000</v>
      </c>
      <c r="BD208" s="112"/>
      <c r="BE208" s="112">
        <f t="shared" ca="1" si="137"/>
        <v>100000</v>
      </c>
      <c r="BF208" s="112"/>
      <c r="BG208" s="112"/>
      <c r="BH208" s="112"/>
      <c r="CM208" s="112"/>
      <c r="CN208" s="112"/>
      <c r="CQ208" s="112"/>
      <c r="CR208" s="112"/>
      <c r="CS208" s="112"/>
      <c r="CT208" s="112"/>
      <c r="CU208" s="112"/>
      <c r="CV208" s="112"/>
      <c r="CW208" s="112"/>
      <c r="CX208" s="112" t="s">
        <v>224</v>
      </c>
      <c r="CY208" s="112" t="s">
        <v>225</v>
      </c>
      <c r="CZ208" s="112" t="s">
        <v>226</v>
      </c>
      <c r="DA208" s="112" t="s">
        <v>227</v>
      </c>
      <c r="DB208" s="112" t="s">
        <v>228</v>
      </c>
      <c r="DC208" s="112"/>
      <c r="DD208" s="112"/>
      <c r="DE208" s="238"/>
      <c r="DF208" s="112"/>
      <c r="DG208" s="112"/>
      <c r="DH208" s="112"/>
      <c r="DI208" s="112"/>
      <c r="DJ208" s="112"/>
      <c r="DK208" s="112">
        <f t="shared" si="130"/>
        <v>100000</v>
      </c>
      <c r="DL208" s="112"/>
      <c r="DM208" s="112"/>
      <c r="DN208" s="112" t="e">
        <f t="shared" si="131"/>
        <v>#NUM!</v>
      </c>
      <c r="DO208" s="112" t="e">
        <f t="shared" si="132"/>
        <v>#NUM!</v>
      </c>
      <c r="DP208" s="112"/>
      <c r="DQ208" s="112"/>
    </row>
    <row r="209" spans="4:121" x14ac:dyDescent="0.25">
      <c r="D209" t="str">
        <f t="shared" si="138"/>
        <v/>
      </c>
      <c r="E209" s="112">
        <f t="shared" si="145"/>
        <v>100000</v>
      </c>
      <c r="F209" s="112">
        <f t="shared" si="145"/>
        <v>100000</v>
      </c>
      <c r="G209" s="112"/>
      <c r="H209" s="238">
        <f t="shared" si="139"/>
        <v>47</v>
      </c>
      <c r="AG209" s="238">
        <f>AG208</f>
        <v>57</v>
      </c>
      <c r="AH209" s="112" t="e">
        <f ca="1">AI208+1</f>
        <v>#N/A</v>
      </c>
      <c r="AI209" s="112">
        <f ca="1">INDIRECT(CONCATENATE("AF",AG205))</f>
        <v>100000</v>
      </c>
      <c r="AJ209" s="114"/>
      <c r="AK209" s="114"/>
      <c r="AL209" s="238" t="e">
        <f t="shared" ca="1" si="124"/>
        <v>#N/A</v>
      </c>
      <c r="AM209" s="112">
        <f t="shared" ca="1" si="143"/>
        <v>100000</v>
      </c>
      <c r="AN209" s="112">
        <f t="shared" ca="1" si="125"/>
        <v>100000</v>
      </c>
      <c r="AO209" s="114">
        <f t="shared" ca="1" si="121"/>
        <v>0</v>
      </c>
      <c r="AP209" s="114">
        <f t="shared" ca="1" si="122"/>
        <v>0</v>
      </c>
      <c r="AR209" s="238">
        <f t="shared" si="126"/>
        <v>209</v>
      </c>
      <c r="AU209" s="238">
        <f t="shared" si="127"/>
        <v>190</v>
      </c>
      <c r="AV209" s="238"/>
      <c r="AW209" s="238"/>
      <c r="BB209">
        <f t="shared" si="140"/>
        <v>47</v>
      </c>
      <c r="BC209" s="112">
        <f t="shared" ca="1" si="136"/>
        <v>100000</v>
      </c>
      <c r="BD209" s="112"/>
      <c r="BE209" s="112">
        <f t="shared" ca="1" si="137"/>
        <v>100000</v>
      </c>
      <c r="BF209" s="112"/>
      <c r="BG209" s="112"/>
      <c r="BH209" s="112"/>
      <c r="CM209" s="112"/>
      <c r="CN209" s="112"/>
      <c r="CQ209" s="112"/>
      <c r="CR209" s="112"/>
      <c r="CS209" s="112"/>
      <c r="CT209" s="112"/>
      <c r="CU209" s="112"/>
      <c r="CV209" s="112"/>
      <c r="CW209" s="112"/>
      <c r="CX209" s="112" t="s">
        <v>224</v>
      </c>
      <c r="CY209" s="112" t="s">
        <v>225</v>
      </c>
      <c r="CZ209" s="112" t="s">
        <v>226</v>
      </c>
      <c r="DA209" s="112" t="s">
        <v>227</v>
      </c>
      <c r="DB209" s="112" t="s">
        <v>228</v>
      </c>
      <c r="DC209" s="112"/>
      <c r="DD209" s="112"/>
      <c r="DE209" s="238"/>
      <c r="DF209" s="112"/>
      <c r="DG209" s="112"/>
      <c r="DH209" s="112"/>
      <c r="DI209" s="112"/>
      <c r="DJ209" s="112"/>
      <c r="DK209" s="112">
        <f t="shared" si="130"/>
        <v>100000</v>
      </c>
      <c r="DL209" s="112"/>
      <c r="DM209" s="112"/>
      <c r="DN209" s="112" t="e">
        <f t="shared" si="131"/>
        <v>#NUM!</v>
      </c>
      <c r="DO209" s="112" t="e">
        <f t="shared" si="132"/>
        <v>#NUM!</v>
      </c>
      <c r="DP209" s="112"/>
      <c r="DQ209" s="112"/>
    </row>
    <row r="210" spans="4:121" x14ac:dyDescent="0.25">
      <c r="D210" t="str">
        <f t="shared" si="138"/>
        <v/>
      </c>
      <c r="E210" s="112">
        <f t="shared" si="145"/>
        <v>100000</v>
      </c>
      <c r="F210" s="112">
        <f t="shared" si="145"/>
        <v>100000</v>
      </c>
      <c r="G210" s="112"/>
      <c r="H210" s="238">
        <f t="shared" si="139"/>
        <v>48</v>
      </c>
      <c r="AG210" s="238">
        <f>AG209+1</f>
        <v>58</v>
      </c>
      <c r="AH210" s="112">
        <f ca="1">INDIRECT(CONCATENATE("AA",AG210))</f>
        <v>100000</v>
      </c>
      <c r="AI210" s="112" t="e">
        <f ca="1">IF(            INDIRECT(CONCATENATE( "AB",AG210))&lt;100000,       INDIRECT(CONCATENATE("AB",AG210))  -1,IF(   INDIRECT(CONCATENATE("AC",AG210))&lt;100000,   INDIRECT(CONCATENATE("AC",AG210))-1,IF(   INDIRECT(CONCATENATE("AD", AG210))&lt;100000, INDIRECT(CONCATENATE("AD",AG210))-1,IF(   INDIRECT(CONCATENATE("AE",AG210))&lt;100000,  INDIRECT(CONCATENATE("AE",G210)),INDIRECT(CONCATENATE("AF",AG210))                ))))</f>
        <v>#N/A</v>
      </c>
      <c r="AJ210" s="114"/>
      <c r="AK210" s="114"/>
      <c r="AL210" s="238" t="e">
        <f t="shared" ca="1" si="124"/>
        <v>#N/A</v>
      </c>
      <c r="AM210" s="112">
        <f t="shared" ca="1" si="143"/>
        <v>100000</v>
      </c>
      <c r="AN210" s="112">
        <f t="shared" ca="1" si="125"/>
        <v>100000</v>
      </c>
      <c r="AO210" s="114">
        <f t="shared" ca="1" si="121"/>
        <v>0</v>
      </c>
      <c r="AP210" s="114">
        <f t="shared" ca="1" si="122"/>
        <v>0</v>
      </c>
      <c r="AR210" s="238">
        <f t="shared" si="126"/>
        <v>210</v>
      </c>
      <c r="AU210" s="238">
        <f t="shared" si="127"/>
        <v>191</v>
      </c>
      <c r="AV210" s="238"/>
      <c r="AW210" s="238"/>
      <c r="BB210">
        <f t="shared" si="140"/>
        <v>48</v>
      </c>
      <c r="BC210" s="112">
        <f t="shared" ca="1" si="136"/>
        <v>100000</v>
      </c>
      <c r="BD210" s="112"/>
      <c r="BE210" s="112">
        <f t="shared" ca="1" si="137"/>
        <v>100000</v>
      </c>
      <c r="BF210" s="112"/>
      <c r="BG210" s="112"/>
      <c r="BH210" s="112"/>
      <c r="CM210" s="112"/>
      <c r="CN210" s="112"/>
      <c r="CQ210" s="112"/>
      <c r="CR210" s="112"/>
      <c r="CS210" s="112"/>
      <c r="CT210" s="112"/>
      <c r="CU210" s="112"/>
      <c r="CV210" s="112"/>
      <c r="CW210" s="112"/>
      <c r="CX210" s="112" t="s">
        <v>224</v>
      </c>
      <c r="CY210" s="112" t="s">
        <v>225</v>
      </c>
      <c r="CZ210" s="112" t="s">
        <v>226</v>
      </c>
      <c r="DA210" s="112" t="s">
        <v>227</v>
      </c>
      <c r="DB210" s="112" t="s">
        <v>228</v>
      </c>
      <c r="DC210" s="112"/>
      <c r="DD210" s="112"/>
      <c r="DE210" s="238"/>
      <c r="DF210" s="112"/>
      <c r="DG210" s="112"/>
      <c r="DH210" s="112"/>
      <c r="DI210" s="112"/>
      <c r="DJ210" s="112"/>
      <c r="DK210" s="112">
        <f t="shared" si="130"/>
        <v>100000</v>
      </c>
      <c r="DL210" s="112"/>
      <c r="DM210" s="112"/>
      <c r="DN210" s="112" t="e">
        <f t="shared" si="131"/>
        <v>#NUM!</v>
      </c>
      <c r="DO210" s="112" t="e">
        <f t="shared" si="132"/>
        <v>#NUM!</v>
      </c>
      <c r="DP210" s="112"/>
      <c r="DQ210" s="112"/>
    </row>
    <row r="211" spans="4:121" x14ac:dyDescent="0.25">
      <c r="D211" t="str">
        <f t="shared" si="138"/>
        <v/>
      </c>
      <c r="E211" s="112">
        <f t="shared" ref="E211:F226" si="146">IF(F68=0,100000,F68)</f>
        <v>100000</v>
      </c>
      <c r="F211" s="112">
        <f t="shared" si="146"/>
        <v>100000</v>
      </c>
      <c r="G211" s="112"/>
      <c r="H211" s="238">
        <f t="shared" si="139"/>
        <v>49</v>
      </c>
      <c r="AG211" s="238">
        <f>AG210</f>
        <v>58</v>
      </c>
      <c r="AH211" s="112" t="e">
        <f ca="1">AI210+1</f>
        <v>#N/A</v>
      </c>
      <c r="AI211" s="112" t="e">
        <f ca="1">IF(INDIRECT(CONCATENATE("AC",AG210))&lt;100000,INDIRECT(CONCATENATE("AC",AG210))-1,IF(INDIRECT(CONCATENATE("AD",AG210))&lt;100000,INDIRECT(CONCATENATE("AD",AG210))-1,IF(INDIRECT(CONCATENATE("AE",AG210))&lt;100000,INDIRECT(CONCATENATE("AE",G210)),INDIRECT(CONCATENATE("AF",AG210)))))</f>
        <v>#N/A</v>
      </c>
      <c r="AJ211" s="114"/>
      <c r="AK211" s="114"/>
      <c r="AL211" s="238" t="e">
        <f t="shared" ca="1" si="124"/>
        <v>#N/A</v>
      </c>
      <c r="AM211" s="112">
        <f t="shared" ca="1" si="143"/>
        <v>100000</v>
      </c>
      <c r="AN211" s="112">
        <f t="shared" ca="1" si="125"/>
        <v>100000</v>
      </c>
      <c r="AO211" s="114">
        <f t="shared" ca="1" si="121"/>
        <v>0</v>
      </c>
      <c r="AP211" s="114">
        <f t="shared" ca="1" si="122"/>
        <v>0</v>
      </c>
      <c r="AR211" s="238">
        <f t="shared" si="126"/>
        <v>211</v>
      </c>
      <c r="AU211" s="238">
        <f t="shared" si="127"/>
        <v>192</v>
      </c>
      <c r="AV211" s="238"/>
      <c r="AW211" s="238"/>
      <c r="BB211">
        <f t="shared" si="140"/>
        <v>49</v>
      </c>
      <c r="BC211" s="112">
        <f t="shared" ca="1" si="136"/>
        <v>100000</v>
      </c>
      <c r="BD211" s="112"/>
      <c r="BE211" s="112">
        <f t="shared" ca="1" si="137"/>
        <v>100000</v>
      </c>
      <c r="BF211" s="112"/>
      <c r="BG211" s="112"/>
      <c r="BH211" s="112"/>
      <c r="CM211" s="112"/>
      <c r="CN211" s="112"/>
      <c r="CQ211" s="112"/>
      <c r="CR211" s="112"/>
      <c r="CS211" s="112"/>
      <c r="CT211" s="112"/>
      <c r="CU211" s="112"/>
      <c r="CV211" s="112"/>
      <c r="CW211" s="112"/>
      <c r="CX211" s="112" t="s">
        <v>224</v>
      </c>
      <c r="CY211" s="112" t="s">
        <v>225</v>
      </c>
      <c r="CZ211" s="112" t="s">
        <v>226</v>
      </c>
      <c r="DA211" s="112" t="s">
        <v>227</v>
      </c>
      <c r="DB211" s="112" t="s">
        <v>228</v>
      </c>
      <c r="DC211" s="112"/>
      <c r="DD211" s="112"/>
      <c r="DE211" s="238"/>
      <c r="DF211" s="112"/>
      <c r="DG211" s="112"/>
      <c r="DH211" s="112"/>
      <c r="DI211" s="112"/>
      <c r="DJ211" s="112"/>
      <c r="DK211" s="112">
        <f t="shared" si="130"/>
        <v>100000</v>
      </c>
      <c r="DL211" s="112"/>
      <c r="DM211" s="112"/>
      <c r="DN211" s="112" t="e">
        <f t="shared" si="131"/>
        <v>#NUM!</v>
      </c>
      <c r="DO211" s="112" t="e">
        <f t="shared" si="132"/>
        <v>#NUM!</v>
      </c>
      <c r="DP211" s="112"/>
      <c r="DQ211" s="112"/>
    </row>
    <row r="212" spans="4:121" x14ac:dyDescent="0.25">
      <c r="D212" t="str">
        <f t="shared" si="138"/>
        <v/>
      </c>
      <c r="E212" s="112">
        <f t="shared" si="146"/>
        <v>100000</v>
      </c>
      <c r="F212" s="112">
        <f t="shared" si="146"/>
        <v>100000</v>
      </c>
      <c r="G212" s="112"/>
      <c r="H212" s="238">
        <f t="shared" si="139"/>
        <v>50</v>
      </c>
      <c r="AG212" s="238">
        <f>AG211</f>
        <v>58</v>
      </c>
      <c r="AH212" s="112" t="e">
        <f ca="1">AI211+1</f>
        <v>#N/A</v>
      </c>
      <c r="AI212" s="112" t="e">
        <f ca="1">IF(INDIRECT(CONCATENATE("AD",AG210))&lt;100000,INDIRECT(CONCATENATE("AD",AG210))-1,IF(INDIRECT(CONCATENATE("AE",AG210))&lt;100000,INDIRECT(CONCATENATE("AE",G210)),INDIRECT(CONCATENATE("AF",AG210))))</f>
        <v>#N/A</v>
      </c>
      <c r="AJ212" s="114"/>
      <c r="AK212" s="114"/>
      <c r="AL212" s="238" t="e">
        <f t="shared" ca="1" si="124"/>
        <v>#N/A</v>
      </c>
      <c r="AM212" s="112">
        <f t="shared" ca="1" si="143"/>
        <v>100000</v>
      </c>
      <c r="AN212" s="112">
        <f t="shared" ca="1" si="125"/>
        <v>100000</v>
      </c>
      <c r="AO212" s="114">
        <f t="shared" ca="1" si="121"/>
        <v>0</v>
      </c>
      <c r="AP212" s="114">
        <f t="shared" ca="1" si="122"/>
        <v>0</v>
      </c>
      <c r="AR212" s="238">
        <f t="shared" si="126"/>
        <v>212</v>
      </c>
      <c r="AU212" s="238">
        <f t="shared" si="127"/>
        <v>193</v>
      </c>
      <c r="AV212" s="238"/>
      <c r="AW212" s="238"/>
      <c r="BB212">
        <f t="shared" si="140"/>
        <v>50</v>
      </c>
      <c r="BC212" s="112">
        <f t="shared" ca="1" si="136"/>
        <v>100000</v>
      </c>
      <c r="BD212" s="112"/>
      <c r="BE212" s="112">
        <f t="shared" ca="1" si="137"/>
        <v>100000</v>
      </c>
      <c r="BF212" s="112"/>
      <c r="BG212" s="112"/>
      <c r="BH212" s="112"/>
      <c r="CM212" s="112"/>
      <c r="CN212" s="112"/>
      <c r="CQ212" s="112"/>
      <c r="CR212" s="112"/>
      <c r="CS212" s="112"/>
      <c r="CT212" s="112"/>
      <c r="CU212" s="112"/>
      <c r="CV212" s="112"/>
      <c r="CW212" s="112"/>
      <c r="CX212" s="112" t="s">
        <v>224</v>
      </c>
      <c r="CY212" s="112" t="s">
        <v>225</v>
      </c>
      <c r="CZ212" s="112" t="s">
        <v>226</v>
      </c>
      <c r="DA212" s="112" t="s">
        <v>227</v>
      </c>
      <c r="DB212" s="112" t="s">
        <v>228</v>
      </c>
      <c r="DC212" s="112"/>
      <c r="DD212" s="112"/>
      <c r="DE212" s="238"/>
      <c r="DF212" s="112"/>
      <c r="DG212" s="112"/>
      <c r="DH212" s="112"/>
      <c r="DI212" s="112"/>
      <c r="DJ212" s="112"/>
      <c r="DK212" s="112">
        <f t="shared" si="130"/>
        <v>100000</v>
      </c>
      <c r="DL212" s="112"/>
      <c r="DM212" s="112"/>
      <c r="DN212" s="112" t="e">
        <f t="shared" si="131"/>
        <v>#NUM!</v>
      </c>
      <c r="DO212" s="112" t="e">
        <f t="shared" si="132"/>
        <v>#NUM!</v>
      </c>
      <c r="DP212" s="112"/>
      <c r="DQ212" s="112"/>
    </row>
    <row r="213" spans="4:121" x14ac:dyDescent="0.25">
      <c r="D213" t="str">
        <f t="shared" si="138"/>
        <v/>
      </c>
      <c r="E213" s="112">
        <f t="shared" si="146"/>
        <v>100000</v>
      </c>
      <c r="F213" s="112">
        <f t="shared" si="146"/>
        <v>100000</v>
      </c>
      <c r="G213" s="112"/>
      <c r="H213" s="238">
        <f t="shared" si="139"/>
        <v>51</v>
      </c>
      <c r="AG213" s="238">
        <f>AG212</f>
        <v>58</v>
      </c>
      <c r="AH213" s="112" t="e">
        <f ca="1">AI212+1</f>
        <v>#N/A</v>
      </c>
      <c r="AI213" s="112" t="e">
        <f ca="1">IF(INDIRECT(CONCATENATE("AE",AG210))&lt;100000,INDIRECT(CONCATENATE("AE",G210)),INDIRECT(CONCATENATE("AF",AG210)))</f>
        <v>#N/A</v>
      </c>
      <c r="AJ213" s="114"/>
      <c r="AK213" s="114"/>
      <c r="AL213" s="238" t="e">
        <f t="shared" ca="1" si="124"/>
        <v>#N/A</v>
      </c>
      <c r="AM213" s="112">
        <f t="shared" ca="1" si="143"/>
        <v>100000</v>
      </c>
      <c r="AN213" s="112">
        <f t="shared" ca="1" si="125"/>
        <v>100000</v>
      </c>
      <c r="AO213" s="114">
        <f t="shared" ref="AO213:AO276" ca="1" si="147">INDIRECT(CONCATENATE("H",AG213))</f>
        <v>0</v>
      </c>
      <c r="AP213" s="114">
        <f t="shared" ref="AP213:AP276" ca="1" si="148">INDIRECT(CONCATENATE("J",AG213))</f>
        <v>0</v>
      </c>
      <c r="AR213" s="238">
        <f t="shared" si="126"/>
        <v>213</v>
      </c>
      <c r="AU213" s="238">
        <f t="shared" si="127"/>
        <v>194</v>
      </c>
      <c r="AV213" s="238"/>
      <c r="AW213" s="238"/>
      <c r="BB213">
        <f t="shared" si="140"/>
        <v>51</v>
      </c>
      <c r="BC213" s="112">
        <f t="shared" ca="1" si="136"/>
        <v>100000</v>
      </c>
      <c r="BD213" s="112"/>
      <c r="BE213" s="112">
        <f t="shared" ca="1" si="137"/>
        <v>100000</v>
      </c>
      <c r="BF213" s="112"/>
      <c r="BG213" s="112"/>
      <c r="BH213" s="112"/>
      <c r="CM213" s="112"/>
      <c r="CN213" s="112"/>
      <c r="CQ213" s="112"/>
      <c r="CR213" s="112"/>
      <c r="CS213" s="112"/>
      <c r="CT213" s="112"/>
      <c r="CU213" s="112"/>
      <c r="CV213" s="112"/>
      <c r="CW213" s="112"/>
      <c r="CX213" s="112" t="s">
        <v>224</v>
      </c>
      <c r="CY213" s="112" t="s">
        <v>225</v>
      </c>
      <c r="CZ213" s="112" t="s">
        <v>226</v>
      </c>
      <c r="DA213" s="112" t="s">
        <v>227</v>
      </c>
      <c r="DB213" s="112" t="s">
        <v>228</v>
      </c>
      <c r="DC213" s="112"/>
      <c r="DD213" s="112"/>
      <c r="DE213" s="238"/>
      <c r="DF213" s="112"/>
      <c r="DG213" s="112"/>
      <c r="DH213" s="112"/>
      <c r="DI213" s="112"/>
      <c r="DJ213" s="112"/>
      <c r="DK213" s="112">
        <f t="shared" si="130"/>
        <v>100000</v>
      </c>
      <c r="DL213" s="112"/>
      <c r="DM213" s="112"/>
      <c r="DN213" s="112" t="e">
        <f t="shared" si="131"/>
        <v>#NUM!</v>
      </c>
      <c r="DO213" s="112" t="e">
        <f t="shared" si="132"/>
        <v>#NUM!</v>
      </c>
      <c r="DP213" s="112"/>
      <c r="DQ213" s="112"/>
    </row>
    <row r="214" spans="4:121" x14ac:dyDescent="0.25">
      <c r="D214" t="str">
        <f t="shared" si="138"/>
        <v/>
      </c>
      <c r="E214" s="112">
        <f t="shared" si="146"/>
        <v>100000</v>
      </c>
      <c r="F214" s="112">
        <f t="shared" si="146"/>
        <v>100000</v>
      </c>
      <c r="G214" s="112"/>
      <c r="H214" s="238">
        <f t="shared" si="139"/>
        <v>52</v>
      </c>
      <c r="AG214" s="238">
        <f>AG213</f>
        <v>58</v>
      </c>
      <c r="AH214" s="112" t="e">
        <f ca="1">AI213+1</f>
        <v>#N/A</v>
      </c>
      <c r="AI214" s="112">
        <f ca="1">INDIRECT(CONCATENATE("AF",AG210))</f>
        <v>100000</v>
      </c>
      <c r="AJ214" s="114"/>
      <c r="AK214" s="114"/>
      <c r="AL214" s="238" t="e">
        <f t="shared" ref="AL214:AL277" ca="1" si="149">IF(AI214=AI213,0,1)</f>
        <v>#N/A</v>
      </c>
      <c r="AM214" s="112">
        <f t="shared" ca="1" si="143"/>
        <v>100000</v>
      </c>
      <c r="AN214" s="112">
        <f t="shared" ref="AN214:AN277" ca="1" si="150">IF(AM214=100000,100000,AI214)</f>
        <v>100000</v>
      </c>
      <c r="AO214" s="114">
        <f t="shared" ca="1" si="147"/>
        <v>0</v>
      </c>
      <c r="AP214" s="114">
        <f t="shared" ca="1" si="148"/>
        <v>0</v>
      </c>
      <c r="AR214" s="238">
        <f t="shared" ref="AR214:AR277" si="151">AR213+1</f>
        <v>214</v>
      </c>
      <c r="AU214" s="238">
        <f t="shared" ref="AU214:AU277" si="152">AU213+1</f>
        <v>195</v>
      </c>
      <c r="AV214" s="238"/>
      <c r="AW214" s="238"/>
      <c r="BB214">
        <f t="shared" si="140"/>
        <v>52</v>
      </c>
      <c r="BC214" s="112">
        <f t="shared" ca="1" si="136"/>
        <v>100000</v>
      </c>
      <c r="BD214" s="112"/>
      <c r="CM214" s="112"/>
      <c r="CN214" s="112"/>
      <c r="CQ214" s="112"/>
      <c r="CR214" s="112"/>
      <c r="CS214" s="112"/>
      <c r="CT214" s="112"/>
      <c r="CU214" s="112"/>
      <c r="CV214" s="112"/>
      <c r="CW214" s="112"/>
      <c r="CX214" s="112" t="s">
        <v>224</v>
      </c>
      <c r="CY214" s="112" t="s">
        <v>225</v>
      </c>
      <c r="CZ214" s="112" t="s">
        <v>226</v>
      </c>
      <c r="DA214" s="112" t="s">
        <v>227</v>
      </c>
      <c r="DB214" s="112" t="s">
        <v>228</v>
      </c>
      <c r="DC214" s="112"/>
      <c r="DD214" s="112"/>
      <c r="DE214" s="238"/>
      <c r="DF214" s="112"/>
      <c r="DG214" s="112"/>
      <c r="DH214" s="112"/>
      <c r="DI214" s="112"/>
      <c r="DJ214" s="112"/>
      <c r="DK214" s="112">
        <f t="shared" si="130"/>
        <v>100000</v>
      </c>
      <c r="DL214" s="112"/>
      <c r="DM214" s="112"/>
      <c r="DN214" s="112" t="e">
        <f t="shared" si="131"/>
        <v>#NUM!</v>
      </c>
      <c r="DO214" s="112" t="e">
        <f t="shared" si="132"/>
        <v>#NUM!</v>
      </c>
      <c r="DP214" s="112"/>
      <c r="DQ214" s="112"/>
    </row>
    <row r="215" spans="4:121" x14ac:dyDescent="0.25">
      <c r="D215" t="str">
        <f t="shared" si="138"/>
        <v/>
      </c>
      <c r="E215" s="112">
        <f t="shared" si="146"/>
        <v>100000</v>
      </c>
      <c r="F215" s="112">
        <f t="shared" si="146"/>
        <v>100000</v>
      </c>
      <c r="G215" s="112"/>
      <c r="H215" s="238">
        <f t="shared" si="139"/>
        <v>53</v>
      </c>
      <c r="AG215" s="238">
        <f>AG214+1</f>
        <v>59</v>
      </c>
      <c r="AH215" s="112">
        <f ca="1">INDIRECT(CONCATENATE("AA",AG215))</f>
        <v>100000</v>
      </c>
      <c r="AI215" s="112" t="e">
        <f ca="1">IF(            INDIRECT(CONCATENATE( "AB",AG215))&lt;100000,       INDIRECT(CONCATENATE("AB",AG215))  -1,IF(   INDIRECT(CONCATENATE("AC",AG215))&lt;100000,   INDIRECT(CONCATENATE("AC",AG215))-1,IF(   INDIRECT(CONCATENATE("AD", AG215))&lt;100000, INDIRECT(CONCATENATE("AD",AG215))-1,IF(   INDIRECT(CONCATENATE("AE",AG215))&lt;100000,  INDIRECT(CONCATENATE("AE",G215)),INDIRECT(CONCATENATE("AF",AG215))                ))))</f>
        <v>#N/A</v>
      </c>
      <c r="AJ215" s="114"/>
      <c r="AK215" s="114"/>
      <c r="AL215" s="238" t="e">
        <f t="shared" ca="1" si="149"/>
        <v>#N/A</v>
      </c>
      <c r="AM215" s="112">
        <f t="shared" ca="1" si="143"/>
        <v>100000</v>
      </c>
      <c r="AN215" s="112">
        <f t="shared" ca="1" si="150"/>
        <v>100000</v>
      </c>
      <c r="AO215" s="114">
        <f t="shared" ca="1" si="147"/>
        <v>0</v>
      </c>
      <c r="AP215" s="114">
        <f t="shared" ca="1" si="148"/>
        <v>0</v>
      </c>
      <c r="AR215" s="238">
        <f t="shared" si="151"/>
        <v>215</v>
      </c>
      <c r="AU215" s="238">
        <f t="shared" si="152"/>
        <v>196</v>
      </c>
      <c r="AV215" s="238"/>
      <c r="AW215" s="238"/>
      <c r="BB215">
        <f t="shared" si="140"/>
        <v>53</v>
      </c>
      <c r="BC215" s="112">
        <f t="shared" ca="1" si="136"/>
        <v>100000</v>
      </c>
      <c r="BD215" s="112"/>
      <c r="CM215" s="112"/>
      <c r="CN215" s="112"/>
      <c r="CQ215" s="112"/>
      <c r="CR215" s="112"/>
      <c r="CS215" s="112"/>
      <c r="CT215" s="112"/>
      <c r="CU215" s="112"/>
      <c r="CV215" s="112"/>
      <c r="CW215" s="112"/>
      <c r="CX215" s="112" t="s">
        <v>224</v>
      </c>
      <c r="CY215" s="112" t="s">
        <v>225</v>
      </c>
      <c r="CZ215" s="112" t="s">
        <v>226</v>
      </c>
      <c r="DA215" s="112" t="s">
        <v>227</v>
      </c>
      <c r="DB215" s="112" t="s">
        <v>228</v>
      </c>
      <c r="DC215" s="112"/>
      <c r="DD215" s="112"/>
      <c r="DE215" s="238"/>
      <c r="DF215" s="112"/>
      <c r="DG215" s="112"/>
      <c r="DH215" s="112"/>
      <c r="DI215" s="112"/>
      <c r="DJ215" s="112"/>
      <c r="DK215" s="112">
        <f t="shared" si="130"/>
        <v>100000</v>
      </c>
      <c r="DL215" s="112"/>
      <c r="DM215" s="112"/>
      <c r="DN215" s="112" t="e">
        <f t="shared" si="131"/>
        <v>#NUM!</v>
      </c>
      <c r="DO215" s="112" t="e">
        <f t="shared" si="132"/>
        <v>#NUM!</v>
      </c>
      <c r="DP215" s="112"/>
      <c r="DQ215" s="112"/>
    </row>
    <row r="216" spans="4:121" x14ac:dyDescent="0.25">
      <c r="D216" t="str">
        <f t="shared" si="138"/>
        <v/>
      </c>
      <c r="E216" s="112">
        <f t="shared" si="146"/>
        <v>100000</v>
      </c>
      <c r="F216" s="112">
        <f t="shared" si="146"/>
        <v>100000</v>
      </c>
      <c r="H216" s="238">
        <f t="shared" si="139"/>
        <v>54</v>
      </c>
      <c r="AG216" s="238">
        <f>AG215</f>
        <v>59</v>
      </c>
      <c r="AH216" s="112" t="e">
        <f ca="1">AI215+1</f>
        <v>#N/A</v>
      </c>
      <c r="AI216" s="112" t="e">
        <f ca="1">IF(INDIRECT(CONCATENATE("AC",AG215))&lt;100000,INDIRECT(CONCATENATE("AC",AG215))-1,IF(INDIRECT(CONCATENATE("AD",AG215))&lt;100000,INDIRECT(CONCATENATE("AD",AG215))-1,IF(INDIRECT(CONCATENATE("AE",AG215))&lt;100000,INDIRECT(CONCATENATE("AE",G215)),INDIRECT(CONCATENATE("AF",AG215)))))</f>
        <v>#N/A</v>
      </c>
      <c r="AJ216" s="114"/>
      <c r="AK216" s="114"/>
      <c r="AL216" s="238" t="e">
        <f t="shared" ca="1" si="149"/>
        <v>#N/A</v>
      </c>
      <c r="AM216" s="112">
        <f t="shared" ca="1" si="143"/>
        <v>100000</v>
      </c>
      <c r="AN216" s="112">
        <f t="shared" ca="1" si="150"/>
        <v>100000</v>
      </c>
      <c r="AO216" s="114">
        <f t="shared" ca="1" si="147"/>
        <v>0</v>
      </c>
      <c r="AP216" s="114">
        <f t="shared" ca="1" si="148"/>
        <v>0</v>
      </c>
      <c r="AR216" s="238">
        <f t="shared" si="151"/>
        <v>216</v>
      </c>
      <c r="AU216" s="238">
        <f t="shared" si="152"/>
        <v>197</v>
      </c>
      <c r="AV216" s="238"/>
      <c r="AW216" s="238"/>
      <c r="BB216">
        <f t="shared" si="140"/>
        <v>54</v>
      </c>
      <c r="BC216" s="112">
        <f t="shared" ca="1" si="136"/>
        <v>100000</v>
      </c>
      <c r="BD216" s="112"/>
      <c r="CM216" s="112"/>
      <c r="CN216" s="112"/>
      <c r="CQ216" s="112"/>
      <c r="CR216" s="112"/>
      <c r="CS216" s="112"/>
      <c r="CT216" s="112"/>
      <c r="CU216" s="112"/>
      <c r="CV216" s="112"/>
      <c r="CW216" s="112"/>
      <c r="CX216" s="112" t="s">
        <v>224</v>
      </c>
      <c r="CY216" s="112" t="s">
        <v>225</v>
      </c>
      <c r="CZ216" s="112" t="s">
        <v>226</v>
      </c>
      <c r="DA216" s="112" t="s">
        <v>227</v>
      </c>
      <c r="DB216" s="112" t="s">
        <v>228</v>
      </c>
      <c r="DC216" s="112"/>
      <c r="DD216" s="112"/>
      <c r="DE216" s="238"/>
      <c r="DF216" s="112"/>
      <c r="DG216" s="112"/>
      <c r="DH216" s="112"/>
      <c r="DI216" s="112"/>
      <c r="DJ216" s="112"/>
      <c r="DK216" s="112">
        <f t="shared" si="130"/>
        <v>100000</v>
      </c>
      <c r="DL216" s="112"/>
      <c r="DM216" s="112"/>
      <c r="DN216" s="112" t="e">
        <f t="shared" si="131"/>
        <v>#NUM!</v>
      </c>
      <c r="DO216" s="112" t="e">
        <f t="shared" si="132"/>
        <v>#NUM!</v>
      </c>
      <c r="DP216" s="112"/>
      <c r="DQ216" s="112"/>
    </row>
    <row r="217" spans="4:121" x14ac:dyDescent="0.25">
      <c r="D217" t="str">
        <f t="shared" si="138"/>
        <v/>
      </c>
      <c r="E217" s="112">
        <f t="shared" si="146"/>
        <v>100000</v>
      </c>
      <c r="F217" s="112">
        <f t="shared" si="146"/>
        <v>100000</v>
      </c>
      <c r="H217" s="238">
        <f t="shared" si="139"/>
        <v>55</v>
      </c>
      <c r="AG217" s="238">
        <f>AG216</f>
        <v>59</v>
      </c>
      <c r="AH217" s="112" t="e">
        <f ca="1">AI216+1</f>
        <v>#N/A</v>
      </c>
      <c r="AI217" s="112" t="e">
        <f ca="1">IF(INDIRECT(CONCATENATE("AD",AG215))&lt;100000,INDIRECT(CONCATENATE("AD",AG215))-1,IF(INDIRECT(CONCATENATE("AE",AG215))&lt;100000,INDIRECT(CONCATENATE("AE",G215)),INDIRECT(CONCATENATE("AF",AG215))))</f>
        <v>#N/A</v>
      </c>
      <c r="AJ217" s="114"/>
      <c r="AK217" s="114"/>
      <c r="AL217" s="238" t="e">
        <f t="shared" ca="1" si="149"/>
        <v>#N/A</v>
      </c>
      <c r="AM217" s="112">
        <f t="shared" ca="1" si="143"/>
        <v>100000</v>
      </c>
      <c r="AN217" s="112">
        <f t="shared" ca="1" si="150"/>
        <v>100000</v>
      </c>
      <c r="AO217" s="114">
        <f t="shared" ca="1" si="147"/>
        <v>0</v>
      </c>
      <c r="AP217" s="114">
        <f t="shared" ca="1" si="148"/>
        <v>0</v>
      </c>
      <c r="AR217" s="238">
        <f t="shared" si="151"/>
        <v>217</v>
      </c>
      <c r="AU217" s="238">
        <f t="shared" si="152"/>
        <v>198</v>
      </c>
      <c r="AV217" s="238"/>
      <c r="AW217" s="238"/>
      <c r="BB217">
        <f t="shared" si="140"/>
        <v>55</v>
      </c>
      <c r="BC217" s="112">
        <f t="shared" ca="1" si="136"/>
        <v>100000</v>
      </c>
      <c r="BD217" s="112"/>
      <c r="CM217" s="112"/>
      <c r="CN217" s="112"/>
      <c r="CQ217" s="112"/>
      <c r="CR217" s="112"/>
      <c r="CS217" s="112"/>
      <c r="CT217" s="112"/>
      <c r="CU217" s="112"/>
      <c r="CV217" s="112"/>
      <c r="CW217" s="112"/>
      <c r="CX217" s="112" t="s">
        <v>224</v>
      </c>
      <c r="CY217" s="112" t="s">
        <v>225</v>
      </c>
      <c r="CZ217" s="112" t="s">
        <v>226</v>
      </c>
      <c r="DA217" s="112" t="s">
        <v>227</v>
      </c>
      <c r="DB217" s="112" t="s">
        <v>228</v>
      </c>
      <c r="DC217" s="112"/>
      <c r="DD217" s="112"/>
      <c r="DE217" s="238"/>
      <c r="DF217" s="112"/>
      <c r="DG217" s="112"/>
      <c r="DH217" s="112"/>
      <c r="DI217" s="112"/>
      <c r="DJ217" s="112"/>
      <c r="DK217" s="112">
        <f t="shared" si="130"/>
        <v>100000</v>
      </c>
      <c r="DL217" s="112"/>
      <c r="DM217" s="112"/>
      <c r="DN217" s="112" t="e">
        <f t="shared" si="131"/>
        <v>#NUM!</v>
      </c>
      <c r="DO217" s="112" t="e">
        <f t="shared" si="132"/>
        <v>#NUM!</v>
      </c>
      <c r="DP217" s="112"/>
      <c r="DQ217" s="112"/>
    </row>
    <row r="218" spans="4:121" x14ac:dyDescent="0.25">
      <c r="D218" t="str">
        <f t="shared" si="138"/>
        <v/>
      </c>
      <c r="E218" s="112">
        <f t="shared" si="146"/>
        <v>100000</v>
      </c>
      <c r="F218" s="112">
        <f t="shared" si="146"/>
        <v>100000</v>
      </c>
      <c r="H218" s="238">
        <f t="shared" si="139"/>
        <v>56</v>
      </c>
      <c r="AG218" s="238">
        <f>AG217</f>
        <v>59</v>
      </c>
      <c r="AH218" s="112" t="e">
        <f ca="1">AI217+1</f>
        <v>#N/A</v>
      </c>
      <c r="AI218" s="112" t="e">
        <f ca="1">IF(INDIRECT(CONCATENATE("AE",AG215))&lt;100000,INDIRECT(CONCATENATE("AE",G215)),INDIRECT(CONCATENATE("AF",AG215)))</f>
        <v>#N/A</v>
      </c>
      <c r="AJ218" s="114"/>
      <c r="AK218" s="114"/>
      <c r="AL218" s="238" t="e">
        <f t="shared" ca="1" si="149"/>
        <v>#N/A</v>
      </c>
      <c r="AM218" s="112">
        <f t="shared" ca="1" si="143"/>
        <v>100000</v>
      </c>
      <c r="AN218" s="112">
        <f t="shared" ca="1" si="150"/>
        <v>100000</v>
      </c>
      <c r="AO218" s="114">
        <f t="shared" ca="1" si="147"/>
        <v>0</v>
      </c>
      <c r="AP218" s="114">
        <f t="shared" ca="1" si="148"/>
        <v>0</v>
      </c>
      <c r="AR218" s="238">
        <f t="shared" si="151"/>
        <v>218</v>
      </c>
      <c r="AU218" s="238">
        <f t="shared" si="152"/>
        <v>199</v>
      </c>
      <c r="AV218" s="238"/>
      <c r="AW218" s="238"/>
      <c r="BB218">
        <f t="shared" si="140"/>
        <v>56</v>
      </c>
      <c r="BC218" s="112">
        <f t="shared" ca="1" si="136"/>
        <v>100000</v>
      </c>
      <c r="BD218" s="112"/>
      <c r="CM218" s="112"/>
      <c r="CN218" s="112"/>
      <c r="CQ218" s="112"/>
      <c r="CR218" s="112"/>
      <c r="CS218" s="112"/>
      <c r="CT218" s="112"/>
      <c r="CU218" s="112"/>
      <c r="CV218" s="112"/>
      <c r="CW218" s="112"/>
      <c r="CX218" s="112" t="s">
        <v>224</v>
      </c>
      <c r="CY218" s="112" t="s">
        <v>225</v>
      </c>
      <c r="CZ218" s="112" t="s">
        <v>226</v>
      </c>
      <c r="DA218" s="112" t="s">
        <v>227</v>
      </c>
      <c r="DB218" s="112" t="s">
        <v>228</v>
      </c>
      <c r="DC218" s="112"/>
      <c r="DD218" s="112"/>
      <c r="DE218" s="238"/>
      <c r="DF218" s="112"/>
      <c r="DG218" s="112"/>
      <c r="DH218" s="112"/>
      <c r="DI218" s="112"/>
      <c r="DJ218" s="112"/>
      <c r="DK218" s="112">
        <f t="shared" si="130"/>
        <v>100000</v>
      </c>
      <c r="DL218" s="112"/>
      <c r="DM218" s="112"/>
      <c r="DN218" s="112" t="e">
        <f t="shared" si="131"/>
        <v>#NUM!</v>
      </c>
      <c r="DO218" s="112" t="e">
        <f t="shared" si="132"/>
        <v>#NUM!</v>
      </c>
      <c r="DP218" s="112"/>
      <c r="DQ218" s="112"/>
    </row>
    <row r="219" spans="4:121" x14ac:dyDescent="0.25">
      <c r="D219" t="str">
        <f t="shared" si="138"/>
        <v/>
      </c>
      <c r="E219" s="112">
        <f t="shared" si="146"/>
        <v>100000</v>
      </c>
      <c r="F219" s="112">
        <f t="shared" si="146"/>
        <v>100000</v>
      </c>
      <c r="H219" s="238">
        <f t="shared" si="139"/>
        <v>57</v>
      </c>
      <c r="AG219" s="238">
        <f>AG218</f>
        <v>59</v>
      </c>
      <c r="AH219" s="112" t="e">
        <f ca="1">AI218+1</f>
        <v>#N/A</v>
      </c>
      <c r="AI219" s="112">
        <f ca="1">INDIRECT(CONCATENATE("AF",AG215))</f>
        <v>100000</v>
      </c>
      <c r="AJ219" s="114"/>
      <c r="AK219" s="114"/>
      <c r="AL219" s="238" t="e">
        <f t="shared" ca="1" si="149"/>
        <v>#N/A</v>
      </c>
      <c r="AM219" s="112">
        <f t="shared" ca="1" si="143"/>
        <v>100000</v>
      </c>
      <c r="AN219" s="112">
        <f t="shared" ca="1" si="150"/>
        <v>100000</v>
      </c>
      <c r="AO219" s="114">
        <f t="shared" ca="1" si="147"/>
        <v>0</v>
      </c>
      <c r="AP219" s="114">
        <f t="shared" ca="1" si="148"/>
        <v>0</v>
      </c>
      <c r="AR219" s="238">
        <f t="shared" si="151"/>
        <v>219</v>
      </c>
      <c r="AU219" s="238">
        <f t="shared" si="152"/>
        <v>200</v>
      </c>
      <c r="AV219" s="238"/>
      <c r="AW219" s="238"/>
      <c r="BB219">
        <f t="shared" si="140"/>
        <v>57</v>
      </c>
      <c r="BC219" s="112">
        <f t="shared" ca="1" si="136"/>
        <v>100000</v>
      </c>
      <c r="BD219" s="112"/>
      <c r="CM219" s="112"/>
      <c r="CN219" s="112"/>
      <c r="CQ219" s="112"/>
      <c r="CR219" s="112"/>
      <c r="CS219" s="112"/>
      <c r="CT219" s="112"/>
      <c r="CU219" s="112"/>
      <c r="CV219" s="112"/>
      <c r="CW219" s="112"/>
      <c r="CX219" s="112" t="s">
        <v>224</v>
      </c>
      <c r="CY219" s="112" t="s">
        <v>225</v>
      </c>
      <c r="CZ219" s="112" t="s">
        <v>226</v>
      </c>
      <c r="DA219" s="112" t="s">
        <v>227</v>
      </c>
      <c r="DB219" s="112" t="s">
        <v>228</v>
      </c>
      <c r="DC219" s="112"/>
      <c r="DD219" s="112"/>
      <c r="DE219" s="238"/>
      <c r="DF219" s="112"/>
      <c r="DG219" s="112"/>
      <c r="DH219" s="112"/>
      <c r="DI219" s="112"/>
      <c r="DJ219" s="112"/>
      <c r="DK219" s="112">
        <f t="shared" si="130"/>
        <v>100000</v>
      </c>
      <c r="DL219" s="112"/>
      <c r="DM219" s="112"/>
      <c r="DN219" s="112" t="e">
        <f t="shared" si="131"/>
        <v>#NUM!</v>
      </c>
      <c r="DO219" s="112" t="e">
        <f t="shared" si="132"/>
        <v>#NUM!</v>
      </c>
      <c r="DP219" s="112"/>
      <c r="DQ219" s="112"/>
    </row>
    <row r="220" spans="4:121" x14ac:dyDescent="0.25">
      <c r="D220" t="str">
        <f t="shared" si="138"/>
        <v/>
      </c>
      <c r="E220" s="112">
        <f t="shared" si="146"/>
        <v>100000</v>
      </c>
      <c r="F220" s="112">
        <f t="shared" si="146"/>
        <v>100000</v>
      </c>
      <c r="H220" s="238">
        <f t="shared" si="139"/>
        <v>58</v>
      </c>
      <c r="AG220" s="238">
        <f>AG219+1</f>
        <v>60</v>
      </c>
      <c r="AH220" s="112">
        <f ca="1">INDIRECT(CONCATENATE("AA",AG220))</f>
        <v>100000</v>
      </c>
      <c r="AI220" s="112" t="e">
        <f ca="1">IF(            INDIRECT(CONCATENATE( "AB",AG220))&lt;100000,       INDIRECT(CONCATENATE("AB",AG220))  -1,IF(   INDIRECT(CONCATENATE("AC",AG220))&lt;100000,   INDIRECT(CONCATENATE("AC",AG220))-1,IF(   INDIRECT(CONCATENATE("AD", AG220))&lt;100000, INDIRECT(CONCATENATE("AD",AG220))-1,IF(   INDIRECT(CONCATENATE("AE",AG220))&lt;100000,  INDIRECT(CONCATENATE("AE",G220)),INDIRECT(CONCATENATE("AF",AG220))                ))))</f>
        <v>#N/A</v>
      </c>
      <c r="AJ220" s="114"/>
      <c r="AK220" s="114"/>
      <c r="AL220" s="238" t="e">
        <f t="shared" ca="1" si="149"/>
        <v>#N/A</v>
      </c>
      <c r="AM220" s="112">
        <f t="shared" ca="1" si="143"/>
        <v>100000</v>
      </c>
      <c r="AN220" s="112">
        <f t="shared" ca="1" si="150"/>
        <v>100000</v>
      </c>
      <c r="AO220" s="114">
        <f t="shared" ca="1" si="147"/>
        <v>0</v>
      </c>
      <c r="AP220" s="114">
        <f t="shared" ca="1" si="148"/>
        <v>0</v>
      </c>
      <c r="AR220" s="238">
        <f t="shared" si="151"/>
        <v>220</v>
      </c>
      <c r="AU220" s="238">
        <f t="shared" si="152"/>
        <v>201</v>
      </c>
      <c r="AV220" s="238"/>
      <c r="AW220" s="238"/>
      <c r="BB220">
        <f t="shared" si="140"/>
        <v>58</v>
      </c>
      <c r="BC220" s="112">
        <f t="shared" ca="1" si="136"/>
        <v>100000</v>
      </c>
      <c r="BD220" s="112"/>
      <c r="CM220" s="112"/>
      <c r="CN220" s="112"/>
      <c r="CQ220" s="112"/>
      <c r="CR220" s="112"/>
      <c r="CS220" s="112"/>
      <c r="CT220" s="112"/>
      <c r="CU220" s="112"/>
      <c r="CV220" s="112"/>
      <c r="CW220" s="112"/>
      <c r="CX220" s="112" t="s">
        <v>224</v>
      </c>
      <c r="CY220" s="112" t="s">
        <v>225</v>
      </c>
      <c r="CZ220" s="112" t="s">
        <v>226</v>
      </c>
      <c r="DA220" s="112" t="s">
        <v>227</v>
      </c>
      <c r="DB220" s="112" t="s">
        <v>228</v>
      </c>
      <c r="DC220" s="112"/>
      <c r="DD220" s="112"/>
      <c r="DE220" s="238"/>
      <c r="DF220" s="112"/>
      <c r="DG220" s="112"/>
      <c r="DH220" s="112"/>
      <c r="DI220" s="112"/>
      <c r="DJ220" s="112"/>
      <c r="DK220" s="112">
        <f t="shared" si="130"/>
        <v>100000</v>
      </c>
      <c r="DL220" s="112"/>
      <c r="DM220" s="112"/>
      <c r="DN220" s="112" t="e">
        <f t="shared" si="131"/>
        <v>#NUM!</v>
      </c>
      <c r="DO220" s="112" t="e">
        <f t="shared" si="132"/>
        <v>#NUM!</v>
      </c>
      <c r="DP220" s="112"/>
      <c r="DQ220" s="112"/>
    </row>
    <row r="221" spans="4:121" x14ac:dyDescent="0.25">
      <c r="D221" t="str">
        <f t="shared" si="138"/>
        <v/>
      </c>
      <c r="E221" s="112">
        <f t="shared" si="146"/>
        <v>100000</v>
      </c>
      <c r="F221" s="112">
        <f t="shared" si="146"/>
        <v>100000</v>
      </c>
      <c r="H221" s="238">
        <f t="shared" si="139"/>
        <v>59</v>
      </c>
      <c r="AG221" s="238">
        <f>AG220</f>
        <v>60</v>
      </c>
      <c r="AH221" s="112" t="e">
        <f ca="1">AI220+1</f>
        <v>#N/A</v>
      </c>
      <c r="AI221" s="112" t="e">
        <f ca="1">IF(INDIRECT(CONCATENATE("AC",AG220))&lt;100000,INDIRECT(CONCATENATE("AC",AG220))-1,IF(INDIRECT(CONCATENATE("AD",AG220))&lt;100000,INDIRECT(CONCATENATE("AD",AG220))-1,IF(INDIRECT(CONCATENATE("AE",AG220))&lt;100000,INDIRECT(CONCATENATE("AE",G220)),INDIRECT(CONCATENATE("AF",AG220)))))</f>
        <v>#N/A</v>
      </c>
      <c r="AJ221" s="114"/>
      <c r="AK221" s="114"/>
      <c r="AL221" s="238" t="e">
        <f t="shared" ca="1" si="149"/>
        <v>#N/A</v>
      </c>
      <c r="AM221" s="112">
        <f t="shared" ca="1" si="143"/>
        <v>100000</v>
      </c>
      <c r="AN221" s="112">
        <f t="shared" ca="1" si="150"/>
        <v>100000</v>
      </c>
      <c r="AO221" s="114">
        <f t="shared" ca="1" si="147"/>
        <v>0</v>
      </c>
      <c r="AP221" s="114">
        <f t="shared" ca="1" si="148"/>
        <v>0</v>
      </c>
      <c r="AR221" s="238">
        <f t="shared" si="151"/>
        <v>221</v>
      </c>
      <c r="AU221" s="238">
        <f t="shared" si="152"/>
        <v>202</v>
      </c>
      <c r="AV221" s="238"/>
      <c r="AW221" s="238"/>
      <c r="BB221">
        <f t="shared" si="140"/>
        <v>59</v>
      </c>
      <c r="BC221" s="112">
        <f t="shared" ca="1" si="136"/>
        <v>100000</v>
      </c>
      <c r="BD221" s="112"/>
      <c r="CM221" s="112"/>
      <c r="CN221" s="112"/>
      <c r="CQ221" s="112"/>
      <c r="CR221" s="112"/>
      <c r="CS221" s="112"/>
      <c r="CT221" s="112"/>
      <c r="CU221" s="112"/>
      <c r="CV221" s="112"/>
      <c r="CW221" s="112"/>
      <c r="CX221" s="112" t="s">
        <v>224</v>
      </c>
      <c r="CY221" s="112" t="s">
        <v>225</v>
      </c>
      <c r="CZ221" s="112" t="s">
        <v>226</v>
      </c>
      <c r="DA221" s="112" t="s">
        <v>227</v>
      </c>
      <c r="DB221" s="112" t="s">
        <v>228</v>
      </c>
      <c r="DC221" s="112"/>
      <c r="DD221" s="112"/>
      <c r="DE221" s="238"/>
      <c r="DF221" s="112"/>
      <c r="DG221" s="112"/>
      <c r="DH221" s="112"/>
      <c r="DI221" s="112"/>
      <c r="DJ221" s="112"/>
      <c r="DK221" s="112">
        <f t="shared" si="130"/>
        <v>100000</v>
      </c>
      <c r="DL221" s="112"/>
      <c r="DM221" s="112"/>
      <c r="DN221" s="112" t="e">
        <f t="shared" si="131"/>
        <v>#NUM!</v>
      </c>
      <c r="DO221" s="112" t="e">
        <f t="shared" si="132"/>
        <v>#NUM!</v>
      </c>
      <c r="DP221" s="112"/>
      <c r="DQ221" s="112"/>
    </row>
    <row r="222" spans="4:121" x14ac:dyDescent="0.25">
      <c r="D222" t="str">
        <f t="shared" si="138"/>
        <v/>
      </c>
      <c r="E222" s="112">
        <f t="shared" si="146"/>
        <v>100000</v>
      </c>
      <c r="F222" s="112">
        <f t="shared" si="146"/>
        <v>100000</v>
      </c>
      <c r="H222" s="238">
        <f t="shared" si="139"/>
        <v>60</v>
      </c>
      <c r="AG222" s="238">
        <f>AG221</f>
        <v>60</v>
      </c>
      <c r="AH222" s="112" t="e">
        <f ca="1">AI221+1</f>
        <v>#N/A</v>
      </c>
      <c r="AI222" s="112" t="e">
        <f ca="1">IF(INDIRECT(CONCATENATE("AD",AG220))&lt;100000,INDIRECT(CONCATENATE("AD",AG220))-1,IF(INDIRECT(CONCATENATE("AE",AG220))&lt;100000,INDIRECT(CONCATENATE("AE",G220)),INDIRECT(CONCATENATE("AF",AG220))))</f>
        <v>#N/A</v>
      </c>
      <c r="AJ222" s="114"/>
      <c r="AK222" s="114"/>
      <c r="AL222" s="238" t="e">
        <f t="shared" ca="1" si="149"/>
        <v>#N/A</v>
      </c>
      <c r="AM222" s="112">
        <f t="shared" ca="1" si="143"/>
        <v>100000</v>
      </c>
      <c r="AN222" s="112">
        <f t="shared" ca="1" si="150"/>
        <v>100000</v>
      </c>
      <c r="AO222" s="114">
        <f t="shared" ca="1" si="147"/>
        <v>0</v>
      </c>
      <c r="AP222" s="114">
        <f t="shared" ca="1" si="148"/>
        <v>0</v>
      </c>
      <c r="AR222" s="238">
        <f t="shared" si="151"/>
        <v>222</v>
      </c>
      <c r="AU222" s="238">
        <f t="shared" si="152"/>
        <v>203</v>
      </c>
      <c r="AV222" s="238"/>
      <c r="AW222" s="238"/>
      <c r="BB222">
        <f t="shared" si="140"/>
        <v>60</v>
      </c>
      <c r="BC222" s="112">
        <f t="shared" ca="1" si="136"/>
        <v>100000</v>
      </c>
      <c r="BD222" s="112"/>
      <c r="CM222" s="112"/>
      <c r="CN222" s="112"/>
      <c r="CQ222" s="112"/>
      <c r="CR222" s="112"/>
      <c r="CS222" s="112"/>
      <c r="CT222" s="112"/>
      <c r="CU222" s="112"/>
      <c r="CV222" s="112"/>
      <c r="CW222" s="112"/>
      <c r="CX222" s="112" t="s">
        <v>224</v>
      </c>
      <c r="CY222" s="112" t="s">
        <v>225</v>
      </c>
      <c r="CZ222" s="112" t="s">
        <v>226</v>
      </c>
      <c r="DA222" s="112" t="s">
        <v>227</v>
      </c>
      <c r="DB222" s="112" t="s">
        <v>228</v>
      </c>
      <c r="DC222" s="112"/>
      <c r="DD222" s="112"/>
      <c r="DE222" s="238"/>
      <c r="DF222" s="112"/>
      <c r="DG222" s="112"/>
      <c r="DH222" s="112"/>
      <c r="DI222" s="112"/>
      <c r="DJ222" s="112"/>
      <c r="DK222" s="112">
        <f t="shared" si="130"/>
        <v>100000</v>
      </c>
      <c r="DL222" s="112"/>
      <c r="DM222" s="112"/>
      <c r="DN222" s="112" t="e">
        <f t="shared" si="131"/>
        <v>#NUM!</v>
      </c>
      <c r="DO222" s="112" t="e">
        <f t="shared" si="132"/>
        <v>#NUM!</v>
      </c>
      <c r="DP222" s="112"/>
      <c r="DQ222" s="112"/>
    </row>
    <row r="223" spans="4:121" x14ac:dyDescent="0.25">
      <c r="D223" t="str">
        <f t="shared" si="138"/>
        <v/>
      </c>
      <c r="E223" s="112">
        <f t="shared" si="146"/>
        <v>100000</v>
      </c>
      <c r="F223" s="112">
        <f t="shared" si="146"/>
        <v>100000</v>
      </c>
      <c r="H223" s="238">
        <f t="shared" si="139"/>
        <v>61</v>
      </c>
      <c r="AG223" s="238">
        <f>AG222</f>
        <v>60</v>
      </c>
      <c r="AH223" s="112" t="e">
        <f ca="1">AI222+1</f>
        <v>#N/A</v>
      </c>
      <c r="AI223" s="112" t="e">
        <f ca="1">IF(INDIRECT(CONCATENATE("AE",AG220))&lt;100000,INDIRECT(CONCATENATE("AE",G220)),INDIRECT(CONCATENATE("AF",AG220)))</f>
        <v>#N/A</v>
      </c>
      <c r="AJ223" s="114"/>
      <c r="AK223" s="114"/>
      <c r="AL223" s="238" t="e">
        <f t="shared" ca="1" si="149"/>
        <v>#N/A</v>
      </c>
      <c r="AM223" s="112">
        <f t="shared" ca="1" si="143"/>
        <v>100000</v>
      </c>
      <c r="AN223" s="112">
        <f t="shared" ca="1" si="150"/>
        <v>100000</v>
      </c>
      <c r="AO223" s="114">
        <f t="shared" ca="1" si="147"/>
        <v>0</v>
      </c>
      <c r="AP223" s="114">
        <f t="shared" ca="1" si="148"/>
        <v>0</v>
      </c>
      <c r="AR223" s="238">
        <f t="shared" si="151"/>
        <v>223</v>
      </c>
      <c r="AU223" s="238">
        <f t="shared" si="152"/>
        <v>204</v>
      </c>
      <c r="AV223" s="238"/>
      <c r="AW223" s="238"/>
      <c r="BB223">
        <f t="shared" si="140"/>
        <v>61</v>
      </c>
      <c r="BC223" s="112">
        <f t="shared" ca="1" si="136"/>
        <v>100000</v>
      </c>
      <c r="BD223" s="112"/>
      <c r="CM223" s="112"/>
      <c r="CN223" s="112"/>
      <c r="CQ223" s="112"/>
      <c r="CR223" s="112"/>
      <c r="CS223" s="112"/>
      <c r="CT223" s="112"/>
      <c r="CU223" s="112"/>
      <c r="CV223" s="112"/>
      <c r="CW223" s="112"/>
      <c r="CX223" s="112" t="s">
        <v>224</v>
      </c>
      <c r="CY223" s="112" t="s">
        <v>225</v>
      </c>
      <c r="CZ223" s="112" t="s">
        <v>226</v>
      </c>
      <c r="DA223" s="112" t="s">
        <v>227</v>
      </c>
      <c r="DB223" s="112" t="s">
        <v>228</v>
      </c>
      <c r="DC223" s="112"/>
      <c r="DD223" s="112"/>
      <c r="DE223" s="238"/>
      <c r="DF223" s="112"/>
      <c r="DG223" s="112"/>
      <c r="DH223" s="112"/>
      <c r="DI223" s="112"/>
      <c r="DJ223" s="112"/>
      <c r="DK223" s="112">
        <f t="shared" si="130"/>
        <v>100000</v>
      </c>
      <c r="DL223" s="112"/>
      <c r="DM223" s="112"/>
      <c r="DN223" s="112" t="e">
        <f t="shared" si="131"/>
        <v>#NUM!</v>
      </c>
      <c r="DO223" s="112" t="e">
        <f t="shared" si="132"/>
        <v>#NUM!</v>
      </c>
      <c r="DP223" s="112"/>
      <c r="DQ223" s="112"/>
    </row>
    <row r="224" spans="4:121" x14ac:dyDescent="0.25">
      <c r="D224" t="str">
        <f t="shared" si="138"/>
        <v/>
      </c>
      <c r="E224" s="112">
        <f t="shared" si="146"/>
        <v>100000</v>
      </c>
      <c r="F224" s="112">
        <f t="shared" si="146"/>
        <v>100000</v>
      </c>
      <c r="H224" s="238">
        <f t="shared" si="139"/>
        <v>62</v>
      </c>
      <c r="AG224" s="238">
        <f>AG223</f>
        <v>60</v>
      </c>
      <c r="AH224" s="112" t="e">
        <f ca="1">AI223+1</f>
        <v>#N/A</v>
      </c>
      <c r="AI224" s="112">
        <f ca="1">INDIRECT(CONCATENATE("AF",AG220))</f>
        <v>100000</v>
      </c>
      <c r="AJ224" s="114"/>
      <c r="AK224" s="114"/>
      <c r="AL224" s="238" t="e">
        <f t="shared" ca="1" si="149"/>
        <v>#N/A</v>
      </c>
      <c r="AM224" s="112">
        <f t="shared" ca="1" si="143"/>
        <v>100000</v>
      </c>
      <c r="AN224" s="112">
        <f t="shared" ca="1" si="150"/>
        <v>100000</v>
      </c>
      <c r="AO224" s="114">
        <f t="shared" ca="1" si="147"/>
        <v>0</v>
      </c>
      <c r="AP224" s="114">
        <f t="shared" ca="1" si="148"/>
        <v>0</v>
      </c>
      <c r="AR224" s="238">
        <f t="shared" si="151"/>
        <v>224</v>
      </c>
      <c r="AU224" s="238">
        <f t="shared" si="152"/>
        <v>205</v>
      </c>
      <c r="AV224" s="238"/>
      <c r="AW224" s="238"/>
      <c r="BB224">
        <f t="shared" si="140"/>
        <v>62</v>
      </c>
      <c r="BC224" s="112">
        <f t="shared" ca="1" si="136"/>
        <v>100000</v>
      </c>
      <c r="BD224" s="112"/>
      <c r="CM224" s="112"/>
      <c r="CN224" s="112"/>
      <c r="CQ224" s="112"/>
      <c r="CR224" s="112"/>
      <c r="CS224" s="112"/>
      <c r="CT224" s="112"/>
      <c r="CU224" s="112"/>
      <c r="CV224" s="112"/>
      <c r="CW224" s="112"/>
      <c r="CX224" s="112" t="s">
        <v>224</v>
      </c>
      <c r="CY224" s="112" t="s">
        <v>225</v>
      </c>
      <c r="CZ224" s="112" t="s">
        <v>226</v>
      </c>
      <c r="DA224" s="112" t="s">
        <v>227</v>
      </c>
      <c r="DB224" s="112" t="s">
        <v>228</v>
      </c>
      <c r="DC224" s="112"/>
      <c r="DD224" s="112"/>
      <c r="DE224" s="238"/>
      <c r="DF224" s="112"/>
      <c r="DG224" s="112"/>
      <c r="DH224" s="112"/>
      <c r="DI224" s="112"/>
      <c r="DJ224" s="112"/>
      <c r="DK224" s="112">
        <f t="shared" si="130"/>
        <v>100000</v>
      </c>
      <c r="DL224" s="112"/>
      <c r="DM224" s="112"/>
      <c r="DN224" s="112" t="e">
        <f t="shared" si="131"/>
        <v>#NUM!</v>
      </c>
      <c r="DO224" s="112" t="e">
        <f t="shared" si="132"/>
        <v>#NUM!</v>
      </c>
      <c r="DP224" s="112"/>
      <c r="DQ224" s="112"/>
    </row>
    <row r="225" spans="4:121" x14ac:dyDescent="0.25">
      <c r="D225" t="str">
        <f t="shared" si="138"/>
        <v/>
      </c>
      <c r="E225" s="112">
        <f t="shared" si="146"/>
        <v>100000</v>
      </c>
      <c r="F225" s="112">
        <f t="shared" si="146"/>
        <v>100000</v>
      </c>
      <c r="H225" s="238">
        <f t="shared" si="139"/>
        <v>63</v>
      </c>
      <c r="AG225" s="238">
        <f>AG224+1</f>
        <v>61</v>
      </c>
      <c r="AH225" s="112">
        <f ca="1">INDIRECT(CONCATENATE("AA",AG225))</f>
        <v>100000</v>
      </c>
      <c r="AI225" s="112" t="e">
        <f ca="1">IF(            INDIRECT(CONCATENATE( "AB",AG225))&lt;100000,       INDIRECT(CONCATENATE("AB",AG225))  -1,IF(   INDIRECT(CONCATENATE("AC",AG225))&lt;100000,   INDIRECT(CONCATENATE("AC",AG225))-1,IF(   INDIRECT(CONCATENATE("AD", AG225))&lt;100000, INDIRECT(CONCATENATE("AD",AG225))-1,IF(   INDIRECT(CONCATENATE("AE",AG225))&lt;100000,  INDIRECT(CONCATENATE("AE",G225)),INDIRECT(CONCATENATE("AF",AG225))                ))))</f>
        <v>#N/A</v>
      </c>
      <c r="AJ225" s="114"/>
      <c r="AK225" s="114"/>
      <c r="AL225" s="238" t="e">
        <f t="shared" ca="1" si="149"/>
        <v>#N/A</v>
      </c>
      <c r="AM225" s="112">
        <f t="shared" ca="1" si="143"/>
        <v>100000</v>
      </c>
      <c r="AN225" s="112">
        <f t="shared" ca="1" si="150"/>
        <v>100000</v>
      </c>
      <c r="AO225" s="114">
        <f t="shared" ca="1" si="147"/>
        <v>0</v>
      </c>
      <c r="AP225" s="114">
        <f t="shared" ca="1" si="148"/>
        <v>0</v>
      </c>
      <c r="AR225" s="238">
        <f t="shared" si="151"/>
        <v>225</v>
      </c>
      <c r="AU225" s="238">
        <f t="shared" si="152"/>
        <v>206</v>
      </c>
      <c r="AV225" s="238"/>
      <c r="AW225" s="238"/>
      <c r="BB225">
        <f t="shared" si="140"/>
        <v>63</v>
      </c>
      <c r="BC225" s="112">
        <f t="shared" ca="1" si="136"/>
        <v>100000</v>
      </c>
      <c r="BD225" s="112"/>
      <c r="CM225" s="112"/>
      <c r="CN225" s="112"/>
      <c r="CQ225" s="112"/>
      <c r="CR225" s="112"/>
      <c r="CS225" s="112"/>
      <c r="CT225" s="112"/>
      <c r="CU225" s="112"/>
      <c r="CV225" s="112"/>
      <c r="CW225" s="112"/>
      <c r="CX225" s="112" t="s">
        <v>224</v>
      </c>
      <c r="CY225" s="112" t="s">
        <v>225</v>
      </c>
      <c r="CZ225" s="112" t="s">
        <v>226</v>
      </c>
      <c r="DA225" s="112" t="s">
        <v>227</v>
      </c>
      <c r="DB225" s="112" t="s">
        <v>228</v>
      </c>
      <c r="DC225" s="112"/>
      <c r="DD225" s="112"/>
      <c r="DE225" s="238"/>
      <c r="DF225" s="112"/>
      <c r="DG225" s="112"/>
      <c r="DH225" s="112"/>
      <c r="DI225" s="112"/>
      <c r="DJ225" s="112"/>
      <c r="DK225" s="112">
        <f t="shared" si="130"/>
        <v>100000</v>
      </c>
      <c r="DL225" s="112"/>
      <c r="DM225" s="112"/>
      <c r="DN225" s="112" t="e">
        <f t="shared" si="131"/>
        <v>#NUM!</v>
      </c>
      <c r="DO225" s="112" t="e">
        <f t="shared" si="132"/>
        <v>#NUM!</v>
      </c>
      <c r="DP225" s="112"/>
      <c r="DQ225" s="112"/>
    </row>
    <row r="226" spans="4:121" x14ac:dyDescent="0.25">
      <c r="D226" t="str">
        <f t="shared" si="138"/>
        <v/>
      </c>
      <c r="E226" s="112">
        <f t="shared" si="146"/>
        <v>100000</v>
      </c>
      <c r="F226" s="112">
        <f t="shared" si="146"/>
        <v>100000</v>
      </c>
      <c r="H226" s="238">
        <f t="shared" si="139"/>
        <v>64</v>
      </c>
      <c r="AG226" s="238">
        <f>AG225</f>
        <v>61</v>
      </c>
      <c r="AH226" s="112" t="e">
        <f ca="1">AI225+1</f>
        <v>#N/A</v>
      </c>
      <c r="AI226" s="112" t="e">
        <f ca="1">IF(INDIRECT(CONCATENATE("AC",AG225))&lt;100000,INDIRECT(CONCATENATE("AC",AG225))-1,IF(INDIRECT(CONCATENATE("AD",AG225))&lt;100000,INDIRECT(CONCATENATE("AD",AG225))-1,IF(INDIRECT(CONCATENATE("AE",AG225))&lt;100000,INDIRECT(CONCATENATE("AE",G225)),INDIRECT(CONCATENATE("AF",AG225)))))</f>
        <v>#N/A</v>
      </c>
      <c r="AJ226" s="114"/>
      <c r="AK226" s="114"/>
      <c r="AL226" s="238" t="e">
        <f t="shared" ca="1" si="149"/>
        <v>#N/A</v>
      </c>
      <c r="AM226" s="112">
        <f t="shared" ca="1" si="143"/>
        <v>100000</v>
      </c>
      <c r="AN226" s="112">
        <f t="shared" ca="1" si="150"/>
        <v>100000</v>
      </c>
      <c r="AO226" s="114">
        <f t="shared" ca="1" si="147"/>
        <v>0</v>
      </c>
      <c r="AP226" s="114">
        <f t="shared" ca="1" si="148"/>
        <v>0</v>
      </c>
      <c r="AR226" s="238">
        <f t="shared" si="151"/>
        <v>226</v>
      </c>
      <c r="AU226" s="238">
        <f t="shared" si="152"/>
        <v>207</v>
      </c>
      <c r="AV226" s="238"/>
      <c r="AW226" s="238"/>
      <c r="BB226">
        <f t="shared" si="140"/>
        <v>64</v>
      </c>
      <c r="BC226" s="112">
        <f t="shared" ca="1" si="136"/>
        <v>100000</v>
      </c>
      <c r="BD226" s="112"/>
      <c r="CM226" s="112"/>
      <c r="CN226" s="112"/>
      <c r="CQ226" s="112"/>
      <c r="CR226" s="112"/>
      <c r="CS226" s="112"/>
      <c r="CT226" s="112"/>
      <c r="CU226" s="112"/>
      <c r="CV226" s="112"/>
      <c r="CW226" s="112"/>
      <c r="CX226" s="112" t="s">
        <v>224</v>
      </c>
      <c r="CY226" s="112" t="s">
        <v>225</v>
      </c>
      <c r="CZ226" s="112" t="s">
        <v>226</v>
      </c>
      <c r="DA226" s="112" t="s">
        <v>227</v>
      </c>
      <c r="DB226" s="112" t="s">
        <v>228</v>
      </c>
      <c r="DC226" s="112"/>
      <c r="DD226" s="112"/>
      <c r="DE226" s="238"/>
      <c r="DF226" s="112"/>
      <c r="DG226" s="112"/>
      <c r="DH226" s="112"/>
      <c r="DI226" s="112"/>
      <c r="DJ226" s="112"/>
      <c r="DK226" s="112">
        <f t="shared" si="130"/>
        <v>100000</v>
      </c>
      <c r="DL226" s="112"/>
      <c r="DM226" s="112"/>
      <c r="DN226" s="112" t="e">
        <f t="shared" si="131"/>
        <v>#NUM!</v>
      </c>
      <c r="DO226" s="112" t="e">
        <f t="shared" si="132"/>
        <v>#NUM!</v>
      </c>
      <c r="DP226" s="112"/>
      <c r="DQ226" s="112"/>
    </row>
    <row r="227" spans="4:121" x14ac:dyDescent="0.25">
      <c r="D227" t="str">
        <f t="shared" si="138"/>
        <v/>
      </c>
      <c r="E227" s="112">
        <f t="shared" ref="E227:F242" si="153">IF(F84=0,100000,F84)</f>
        <v>100000</v>
      </c>
      <c r="F227" s="112">
        <f t="shared" si="153"/>
        <v>100000</v>
      </c>
      <c r="AG227" s="238">
        <f>AG226</f>
        <v>61</v>
      </c>
      <c r="AH227" s="112" t="e">
        <f ca="1">AI226+1</f>
        <v>#N/A</v>
      </c>
      <c r="AI227" s="112" t="e">
        <f ca="1">IF(INDIRECT(CONCATENATE("AD",AG225))&lt;100000,INDIRECT(CONCATENATE("AD",AG225))-1,IF(INDIRECT(CONCATENATE("AE",AG225))&lt;100000,INDIRECT(CONCATENATE("AE",G225)),INDIRECT(CONCATENATE("AF",AG225))))</f>
        <v>#N/A</v>
      </c>
      <c r="AJ227" s="114"/>
      <c r="AK227" s="114"/>
      <c r="AL227" s="238" t="e">
        <f t="shared" ca="1" si="149"/>
        <v>#N/A</v>
      </c>
      <c r="AM227" s="112">
        <f t="shared" ca="1" si="143"/>
        <v>100000</v>
      </c>
      <c r="AN227" s="112">
        <f t="shared" ca="1" si="150"/>
        <v>100000</v>
      </c>
      <c r="AO227" s="114">
        <f t="shared" ca="1" si="147"/>
        <v>0</v>
      </c>
      <c r="AP227" s="114">
        <f t="shared" ca="1" si="148"/>
        <v>0</v>
      </c>
      <c r="AR227" s="238">
        <f t="shared" si="151"/>
        <v>227</v>
      </c>
      <c r="AU227" s="238">
        <f t="shared" si="152"/>
        <v>208</v>
      </c>
      <c r="AV227" s="238"/>
      <c r="AW227" s="238"/>
      <c r="BB227">
        <f t="shared" si="140"/>
        <v>65</v>
      </c>
      <c r="BC227" s="112">
        <f t="shared" ca="1" si="136"/>
        <v>100000</v>
      </c>
      <c r="BD227" s="112"/>
      <c r="CM227" s="112"/>
      <c r="CN227" s="112"/>
      <c r="CQ227" s="112"/>
      <c r="CR227" s="112"/>
      <c r="CS227" s="112"/>
      <c r="CT227" s="112"/>
      <c r="CU227" s="112"/>
      <c r="CV227" s="112"/>
      <c r="CW227" s="112"/>
      <c r="CX227" s="112" t="s">
        <v>224</v>
      </c>
      <c r="CY227" s="112" t="s">
        <v>225</v>
      </c>
      <c r="CZ227" s="112" t="s">
        <v>226</v>
      </c>
      <c r="DA227" s="112" t="s">
        <v>227</v>
      </c>
      <c r="DB227" s="112" t="s">
        <v>228</v>
      </c>
      <c r="DC227" s="112"/>
      <c r="DD227" s="112"/>
      <c r="DE227" s="238"/>
      <c r="DF227" s="112"/>
      <c r="DG227" s="112"/>
      <c r="DH227" s="112"/>
      <c r="DI227" s="112"/>
      <c r="DJ227" s="112"/>
      <c r="DK227" s="112">
        <f t="shared" ref="DK227:DK290" si="154">IF(AND(DG227&gt;1000,DG227&lt;80000),DG227,100000)</f>
        <v>100000</v>
      </c>
      <c r="DL227" s="112"/>
      <c r="DM227" s="112"/>
      <c r="DN227" s="112" t="e">
        <f t="shared" ref="DN227:DN233" si="155">SMALL($DG$20:$DG$343,DM227)</f>
        <v>#NUM!</v>
      </c>
      <c r="DO227" s="112"/>
      <c r="DP227" s="112"/>
      <c r="DQ227" s="112"/>
    </row>
    <row r="228" spans="4:121" x14ac:dyDescent="0.25">
      <c r="D228" t="str">
        <f t="shared" si="138"/>
        <v/>
      </c>
      <c r="E228" s="112">
        <f t="shared" si="153"/>
        <v>100000</v>
      </c>
      <c r="F228" s="112">
        <f t="shared" si="153"/>
        <v>100000</v>
      </c>
      <c r="AG228" s="238">
        <f>AG227</f>
        <v>61</v>
      </c>
      <c r="AH228" s="112" t="e">
        <f ca="1">AI227+1</f>
        <v>#N/A</v>
      </c>
      <c r="AI228" s="112" t="e">
        <f ca="1">IF(INDIRECT(CONCATENATE("AE",AG225))&lt;100000,INDIRECT(CONCATENATE("AE",G225)),INDIRECT(CONCATENATE("AF",AG225)))</f>
        <v>#N/A</v>
      </c>
      <c r="AJ228" s="114"/>
      <c r="AK228" s="114"/>
      <c r="AL228" s="238" t="e">
        <f t="shared" ca="1" si="149"/>
        <v>#N/A</v>
      </c>
      <c r="AM228" s="112">
        <f t="shared" ca="1" si="143"/>
        <v>100000</v>
      </c>
      <c r="AN228" s="112">
        <f t="shared" ca="1" si="150"/>
        <v>100000</v>
      </c>
      <c r="AO228" s="114">
        <f t="shared" ca="1" si="147"/>
        <v>0</v>
      </c>
      <c r="AP228" s="114">
        <f t="shared" ca="1" si="148"/>
        <v>0</v>
      </c>
      <c r="AR228" s="238">
        <f t="shared" si="151"/>
        <v>228</v>
      </c>
      <c r="AU228" s="238">
        <f t="shared" si="152"/>
        <v>209</v>
      </c>
      <c r="AV228" s="238"/>
      <c r="AW228" s="238"/>
      <c r="BB228">
        <f t="shared" si="140"/>
        <v>66</v>
      </c>
      <c r="BC228" s="112">
        <f t="shared" ref="BC228:BC248" ca="1" si="156">SMALL($E$163:$E$283,BB228)</f>
        <v>100000</v>
      </c>
      <c r="BD228" s="112"/>
      <c r="CM228" s="112"/>
      <c r="CN228" s="112"/>
      <c r="CQ228" s="112"/>
      <c r="CR228" s="112"/>
      <c r="CS228" s="112"/>
      <c r="CT228" s="112"/>
      <c r="CU228" s="112"/>
      <c r="CV228" s="112"/>
      <c r="CW228" s="112"/>
      <c r="CX228" s="112" t="s">
        <v>224</v>
      </c>
      <c r="CY228" s="112" t="s">
        <v>225</v>
      </c>
      <c r="CZ228" s="112" t="s">
        <v>226</v>
      </c>
      <c r="DA228" s="112" t="s">
        <v>227</v>
      </c>
      <c r="DB228" s="112" t="s">
        <v>228</v>
      </c>
      <c r="DC228" s="112"/>
      <c r="DD228" s="112"/>
      <c r="DE228" s="238"/>
      <c r="DF228" s="112"/>
      <c r="DG228" s="112"/>
      <c r="DH228" s="112"/>
      <c r="DI228" s="112"/>
      <c r="DJ228" s="112"/>
      <c r="DK228" s="112">
        <f t="shared" si="154"/>
        <v>100000</v>
      </c>
      <c r="DL228" s="112"/>
      <c r="DM228" s="112"/>
      <c r="DN228" s="112" t="e">
        <f t="shared" si="155"/>
        <v>#NUM!</v>
      </c>
      <c r="DO228" s="112"/>
      <c r="DP228" s="112"/>
      <c r="DQ228" s="112"/>
    </row>
    <row r="229" spans="4:121" x14ac:dyDescent="0.25">
      <c r="D229" t="str">
        <f t="shared" ref="D229:D258" si="157">IF(E229&lt;100000,D228+1,"")</f>
        <v/>
      </c>
      <c r="E229" s="112">
        <f t="shared" si="153"/>
        <v>100000</v>
      </c>
      <c r="F229" s="112">
        <f t="shared" si="153"/>
        <v>100000</v>
      </c>
      <c r="AG229" s="238">
        <f>AG228</f>
        <v>61</v>
      </c>
      <c r="AH229" s="112" t="e">
        <f ca="1">AI228+1</f>
        <v>#N/A</v>
      </c>
      <c r="AI229" s="112">
        <f ca="1">INDIRECT(CONCATENATE("AF",AG225))</f>
        <v>100000</v>
      </c>
      <c r="AJ229" s="114"/>
      <c r="AK229" s="114"/>
      <c r="AL229" s="238" t="e">
        <f t="shared" ca="1" si="149"/>
        <v>#N/A</v>
      </c>
      <c r="AM229" s="112">
        <f t="shared" ca="1" si="143"/>
        <v>100000</v>
      </c>
      <c r="AN229" s="112">
        <f t="shared" ca="1" si="150"/>
        <v>100000</v>
      </c>
      <c r="AO229" s="114">
        <f t="shared" ca="1" si="147"/>
        <v>0</v>
      </c>
      <c r="AP229" s="114">
        <f t="shared" ca="1" si="148"/>
        <v>0</v>
      </c>
      <c r="AR229" s="238">
        <f t="shared" si="151"/>
        <v>229</v>
      </c>
      <c r="AU229" s="238">
        <f t="shared" si="152"/>
        <v>210</v>
      </c>
      <c r="AV229" s="238"/>
      <c r="AW229" s="238"/>
      <c r="BB229">
        <f t="shared" ref="BB229:BB248" si="158">BB228+1</f>
        <v>67</v>
      </c>
      <c r="BC229" s="112">
        <f t="shared" ca="1" si="156"/>
        <v>100000</v>
      </c>
      <c r="BD229" s="112"/>
      <c r="CM229" s="112"/>
      <c r="CN229" s="112"/>
      <c r="CQ229" s="112"/>
      <c r="CR229" s="112"/>
      <c r="CS229" s="112"/>
      <c r="CT229" s="112"/>
      <c r="CU229" s="112"/>
      <c r="CV229" s="112"/>
      <c r="CW229" s="112"/>
      <c r="CX229" s="112" t="s">
        <v>224</v>
      </c>
      <c r="CY229" s="112" t="s">
        <v>225</v>
      </c>
      <c r="CZ229" s="112" t="s">
        <v>226</v>
      </c>
      <c r="DA229" s="112" t="s">
        <v>227</v>
      </c>
      <c r="DB229" s="112" t="s">
        <v>228</v>
      </c>
      <c r="DC229" s="112"/>
      <c r="DD229" s="112"/>
      <c r="DE229" s="238"/>
      <c r="DF229" s="112"/>
      <c r="DG229" s="112"/>
      <c r="DH229" s="112"/>
      <c r="DI229" s="112"/>
      <c r="DJ229" s="112"/>
      <c r="DK229" s="112">
        <f t="shared" si="154"/>
        <v>100000</v>
      </c>
      <c r="DL229" s="112"/>
      <c r="DM229" s="112"/>
      <c r="DN229" s="112" t="e">
        <f t="shared" si="155"/>
        <v>#NUM!</v>
      </c>
      <c r="DO229" s="112"/>
      <c r="DP229" s="112"/>
      <c r="DQ229" s="112"/>
    </row>
    <row r="230" spans="4:121" x14ac:dyDescent="0.25">
      <c r="D230" t="str">
        <f t="shared" si="157"/>
        <v/>
      </c>
      <c r="E230" s="112">
        <f t="shared" si="153"/>
        <v>100000</v>
      </c>
      <c r="F230" s="112">
        <f t="shared" si="153"/>
        <v>100000</v>
      </c>
      <c r="AG230" s="238">
        <f>AG229+1</f>
        <v>62</v>
      </c>
      <c r="AH230" s="112">
        <f ca="1">INDIRECT(CONCATENATE("AA",AG230))</f>
        <v>100000</v>
      </c>
      <c r="AI230" s="112" t="e">
        <f ca="1">IF(            INDIRECT(CONCATENATE( "AB",AG230))&lt;100000,       INDIRECT(CONCATENATE("AB",AG230))  -1,IF(   INDIRECT(CONCATENATE("AC",AG230))&lt;100000,   INDIRECT(CONCATENATE("AC",AG230))-1,IF(   INDIRECT(CONCATENATE("AD", AG230))&lt;100000, INDIRECT(CONCATENATE("AD",AG230))-1,IF(   INDIRECT(CONCATENATE("AE",AG230))&lt;100000,  INDIRECT(CONCATENATE("AE",G230)),INDIRECT(CONCATENATE("AF",AG230))                ))))</f>
        <v>#N/A</v>
      </c>
      <c r="AJ230" s="114"/>
      <c r="AK230" s="114"/>
      <c r="AL230" s="238" t="e">
        <f t="shared" ca="1" si="149"/>
        <v>#N/A</v>
      </c>
      <c r="AM230" s="112">
        <f t="shared" ca="1" si="143"/>
        <v>100000</v>
      </c>
      <c r="AN230" s="112">
        <f t="shared" ca="1" si="150"/>
        <v>100000</v>
      </c>
      <c r="AO230" s="114">
        <f t="shared" ca="1" si="147"/>
        <v>0</v>
      </c>
      <c r="AP230" s="114">
        <f t="shared" ca="1" si="148"/>
        <v>0</v>
      </c>
      <c r="AR230" s="238">
        <f t="shared" si="151"/>
        <v>230</v>
      </c>
      <c r="AU230" s="238">
        <f t="shared" si="152"/>
        <v>211</v>
      </c>
      <c r="AV230" s="238"/>
      <c r="AW230" s="238"/>
      <c r="BB230">
        <f t="shared" si="158"/>
        <v>68</v>
      </c>
      <c r="BC230" s="112">
        <f t="shared" ca="1" si="156"/>
        <v>100000</v>
      </c>
      <c r="BD230" s="112"/>
      <c r="CM230" s="112"/>
      <c r="CN230" s="112"/>
      <c r="CQ230" s="112"/>
      <c r="CR230" s="112"/>
      <c r="CS230" s="112"/>
      <c r="CT230" s="112"/>
      <c r="CU230" s="112"/>
      <c r="CV230" s="112"/>
      <c r="CW230" s="112"/>
      <c r="CX230" s="112" t="s">
        <v>224</v>
      </c>
      <c r="CY230" s="112" t="s">
        <v>225</v>
      </c>
      <c r="CZ230" s="112" t="s">
        <v>226</v>
      </c>
      <c r="DA230" s="112" t="s">
        <v>227</v>
      </c>
      <c r="DB230" s="112" t="s">
        <v>228</v>
      </c>
      <c r="DC230" s="112"/>
      <c r="DD230" s="112"/>
      <c r="DE230" s="238"/>
      <c r="DF230" s="112"/>
      <c r="DG230" s="112"/>
      <c r="DH230" s="112"/>
      <c r="DI230" s="112"/>
      <c r="DJ230" s="112"/>
      <c r="DK230" s="112">
        <f t="shared" si="154"/>
        <v>100000</v>
      </c>
      <c r="DL230" s="112"/>
      <c r="DM230" s="112"/>
      <c r="DN230" s="112" t="e">
        <f t="shared" si="155"/>
        <v>#NUM!</v>
      </c>
      <c r="DO230" s="112"/>
      <c r="DP230" s="112"/>
      <c r="DQ230" s="112"/>
    </row>
    <row r="231" spans="4:121" x14ac:dyDescent="0.25">
      <c r="D231" t="str">
        <f t="shared" si="157"/>
        <v/>
      </c>
      <c r="E231" s="112">
        <f t="shared" si="153"/>
        <v>100000</v>
      </c>
      <c r="F231" s="112">
        <f t="shared" si="153"/>
        <v>100000</v>
      </c>
      <c r="AG231" s="238">
        <f>AG230</f>
        <v>62</v>
      </c>
      <c r="AH231" s="112" t="e">
        <f ca="1">AI230+1</f>
        <v>#N/A</v>
      </c>
      <c r="AI231" s="112" t="e">
        <f ca="1">IF(INDIRECT(CONCATENATE("AC",AG230))&lt;100000,INDIRECT(CONCATENATE("AC",AG230))-1,IF(INDIRECT(CONCATENATE("AD",AG230))&lt;100000,INDIRECT(CONCATENATE("AD",AG230))-1,IF(INDIRECT(CONCATENATE("AE",AG230))&lt;100000,INDIRECT(CONCATENATE("AE",G230)),INDIRECT(CONCATENATE("AF",AG230)))))</f>
        <v>#N/A</v>
      </c>
      <c r="AJ231" s="114"/>
      <c r="AK231" s="114"/>
      <c r="AL231" s="238" t="e">
        <f t="shared" ca="1" si="149"/>
        <v>#N/A</v>
      </c>
      <c r="AM231" s="112">
        <f t="shared" ca="1" si="143"/>
        <v>100000</v>
      </c>
      <c r="AN231" s="112">
        <f t="shared" ca="1" si="150"/>
        <v>100000</v>
      </c>
      <c r="AO231" s="114">
        <f t="shared" ca="1" si="147"/>
        <v>0</v>
      </c>
      <c r="AP231" s="114">
        <f t="shared" ca="1" si="148"/>
        <v>0</v>
      </c>
      <c r="AR231" s="238">
        <f t="shared" si="151"/>
        <v>231</v>
      </c>
      <c r="AU231" s="238">
        <f t="shared" si="152"/>
        <v>212</v>
      </c>
      <c r="AV231" s="238"/>
      <c r="AW231" s="238"/>
      <c r="BB231">
        <f t="shared" si="158"/>
        <v>69</v>
      </c>
      <c r="BC231" s="112">
        <f t="shared" ca="1" si="156"/>
        <v>100000</v>
      </c>
      <c r="BD231" s="112"/>
      <c r="CM231" s="112"/>
      <c r="CN231" s="112"/>
      <c r="CQ231" s="112"/>
      <c r="CR231" s="112"/>
      <c r="CS231" s="112"/>
      <c r="CT231" s="112"/>
      <c r="CU231" s="112"/>
      <c r="CV231" s="112"/>
      <c r="CW231" s="112"/>
      <c r="CX231" s="112" t="s">
        <v>224</v>
      </c>
      <c r="CY231" s="112" t="s">
        <v>225</v>
      </c>
      <c r="CZ231" s="112" t="s">
        <v>226</v>
      </c>
      <c r="DA231" s="112" t="s">
        <v>227</v>
      </c>
      <c r="DB231" s="112" t="s">
        <v>228</v>
      </c>
      <c r="DC231" s="112"/>
      <c r="DD231" s="112"/>
      <c r="DE231" s="238"/>
      <c r="DF231" s="112"/>
      <c r="DG231" s="112"/>
      <c r="DH231" s="112"/>
      <c r="DI231" s="112"/>
      <c r="DJ231" s="112"/>
      <c r="DK231" s="112">
        <f t="shared" si="154"/>
        <v>100000</v>
      </c>
      <c r="DL231" s="112"/>
      <c r="DM231" s="112"/>
      <c r="DN231" s="112" t="e">
        <f t="shared" si="155"/>
        <v>#NUM!</v>
      </c>
      <c r="DO231" s="112"/>
      <c r="DP231" s="112"/>
      <c r="DQ231" s="112"/>
    </row>
    <row r="232" spans="4:121" x14ac:dyDescent="0.25">
      <c r="D232" t="str">
        <f t="shared" si="157"/>
        <v/>
      </c>
      <c r="E232" s="112">
        <f t="shared" si="153"/>
        <v>100000</v>
      </c>
      <c r="F232" s="112">
        <f t="shared" si="153"/>
        <v>100000</v>
      </c>
      <c r="AG232" s="238">
        <f>AG231</f>
        <v>62</v>
      </c>
      <c r="AH232" s="112" t="e">
        <f ca="1">AI231+1</f>
        <v>#N/A</v>
      </c>
      <c r="AI232" s="112" t="e">
        <f ca="1">IF(INDIRECT(CONCATENATE("AD",AG230))&lt;100000,INDIRECT(CONCATENATE("AD",AG230))-1,IF(INDIRECT(CONCATENATE("AE",AG230))&lt;100000,INDIRECT(CONCATENATE("AE",G230)),INDIRECT(CONCATENATE("AF",AG230))))</f>
        <v>#N/A</v>
      </c>
      <c r="AJ232" s="114"/>
      <c r="AK232" s="114"/>
      <c r="AL232" s="238" t="e">
        <f t="shared" ca="1" si="149"/>
        <v>#N/A</v>
      </c>
      <c r="AM232" s="112">
        <f t="shared" ca="1" si="143"/>
        <v>100000</v>
      </c>
      <c r="AN232" s="112">
        <f t="shared" ca="1" si="150"/>
        <v>100000</v>
      </c>
      <c r="AO232" s="114">
        <f t="shared" ca="1" si="147"/>
        <v>0</v>
      </c>
      <c r="AP232" s="114">
        <f t="shared" ca="1" si="148"/>
        <v>0</v>
      </c>
      <c r="AR232" s="238">
        <f t="shared" si="151"/>
        <v>232</v>
      </c>
      <c r="AU232" s="238">
        <f t="shared" si="152"/>
        <v>213</v>
      </c>
      <c r="AV232" s="238"/>
      <c r="AW232" s="238"/>
      <c r="BB232">
        <f t="shared" si="158"/>
        <v>70</v>
      </c>
      <c r="BC232" s="112">
        <f t="shared" ca="1" si="156"/>
        <v>100000</v>
      </c>
      <c r="BD232" s="112"/>
      <c r="CM232" s="112"/>
      <c r="CN232" s="112"/>
      <c r="CQ232" s="112"/>
      <c r="CR232" s="112"/>
      <c r="CS232" s="112"/>
      <c r="CT232" s="112"/>
      <c r="CU232" s="112"/>
      <c r="CV232" s="112"/>
      <c r="CW232" s="112"/>
      <c r="CX232" s="112" t="s">
        <v>224</v>
      </c>
      <c r="CY232" s="112" t="s">
        <v>225</v>
      </c>
      <c r="CZ232" s="112" t="s">
        <v>226</v>
      </c>
      <c r="DA232" s="112" t="s">
        <v>227</v>
      </c>
      <c r="DB232" s="112" t="s">
        <v>228</v>
      </c>
      <c r="DC232" s="112"/>
      <c r="DD232" s="112"/>
      <c r="DE232" s="238"/>
      <c r="DF232" s="112"/>
      <c r="DG232" s="112"/>
      <c r="DH232" s="112"/>
      <c r="DI232" s="112"/>
      <c r="DJ232" s="112"/>
      <c r="DK232" s="112">
        <f t="shared" si="154"/>
        <v>100000</v>
      </c>
      <c r="DL232" s="112"/>
      <c r="DM232" s="112"/>
      <c r="DN232" s="112" t="e">
        <f t="shared" si="155"/>
        <v>#NUM!</v>
      </c>
      <c r="DO232" s="112"/>
      <c r="DP232" s="112"/>
      <c r="DQ232" s="112"/>
    </row>
    <row r="233" spans="4:121" x14ac:dyDescent="0.25">
      <c r="D233" t="str">
        <f t="shared" si="157"/>
        <v/>
      </c>
      <c r="E233" s="112">
        <f t="shared" si="153"/>
        <v>100000</v>
      </c>
      <c r="F233" s="112">
        <f t="shared" si="153"/>
        <v>100000</v>
      </c>
      <c r="AG233" s="238">
        <f>AG232</f>
        <v>62</v>
      </c>
      <c r="AH233" s="112" t="e">
        <f ca="1">AI232+1</f>
        <v>#N/A</v>
      </c>
      <c r="AI233" s="112" t="e">
        <f ca="1">IF(INDIRECT(CONCATENATE("AE",AG230))&lt;100000,INDIRECT(CONCATENATE("AE",G230)),INDIRECT(CONCATENATE("AF",AG230)))</f>
        <v>#N/A</v>
      </c>
      <c r="AJ233" s="114"/>
      <c r="AK233" s="114"/>
      <c r="AL233" s="238" t="e">
        <f t="shared" ca="1" si="149"/>
        <v>#N/A</v>
      </c>
      <c r="AM233" s="112">
        <f t="shared" ref="AM233:AM296" ca="1" si="159">IF(TYPE(AL233)=16,100000,IF(AL233=0,100000,AH233))</f>
        <v>100000</v>
      </c>
      <c r="AN233" s="112">
        <f t="shared" ca="1" si="150"/>
        <v>100000</v>
      </c>
      <c r="AO233" s="114">
        <f t="shared" ca="1" si="147"/>
        <v>0</v>
      </c>
      <c r="AP233" s="114">
        <f t="shared" ca="1" si="148"/>
        <v>0</v>
      </c>
      <c r="AR233" s="238">
        <f t="shared" si="151"/>
        <v>233</v>
      </c>
      <c r="AU233" s="238">
        <f t="shared" si="152"/>
        <v>214</v>
      </c>
      <c r="AV233" s="238"/>
      <c r="AW233" s="238"/>
      <c r="BB233">
        <f t="shared" si="158"/>
        <v>71</v>
      </c>
      <c r="BC233" s="112">
        <f t="shared" ca="1" si="156"/>
        <v>100000</v>
      </c>
      <c r="BD233" s="112"/>
      <c r="CM233" s="112"/>
      <c r="CN233" s="112"/>
      <c r="CQ233" s="112"/>
      <c r="CR233" s="112"/>
      <c r="CS233" s="112"/>
      <c r="CT233" s="112"/>
      <c r="CU233" s="112"/>
      <c r="CV233" s="112"/>
      <c r="CW233" s="112"/>
      <c r="CX233" s="112" t="s">
        <v>224</v>
      </c>
      <c r="CY233" s="112" t="s">
        <v>225</v>
      </c>
      <c r="CZ233" s="112" t="s">
        <v>226</v>
      </c>
      <c r="DA233" s="112" t="s">
        <v>227</v>
      </c>
      <c r="DB233" s="112" t="s">
        <v>228</v>
      </c>
      <c r="DC233" s="112"/>
      <c r="DD233" s="112"/>
      <c r="DE233" s="238"/>
      <c r="DF233" s="112"/>
      <c r="DG233" s="112"/>
      <c r="DH233" s="112"/>
      <c r="DI233" s="112"/>
      <c r="DJ233" s="112"/>
      <c r="DK233" s="112">
        <f t="shared" si="154"/>
        <v>100000</v>
      </c>
      <c r="DL233" s="112"/>
      <c r="DM233" s="112"/>
      <c r="DN233" s="112" t="e">
        <f t="shared" si="155"/>
        <v>#NUM!</v>
      </c>
      <c r="DO233" s="112"/>
      <c r="DP233" s="112"/>
      <c r="DQ233" s="112"/>
    </row>
    <row r="234" spans="4:121" x14ac:dyDescent="0.25">
      <c r="D234" t="str">
        <f t="shared" si="157"/>
        <v/>
      </c>
      <c r="E234" s="112">
        <f t="shared" si="153"/>
        <v>100000</v>
      </c>
      <c r="F234" s="112">
        <f t="shared" si="153"/>
        <v>100000</v>
      </c>
      <c r="AG234" s="238">
        <f>AG233</f>
        <v>62</v>
      </c>
      <c r="AH234" s="112" t="e">
        <f ca="1">AI233+1</f>
        <v>#N/A</v>
      </c>
      <c r="AI234" s="112">
        <f ca="1">INDIRECT(CONCATENATE("AF",AG230))</f>
        <v>100000</v>
      </c>
      <c r="AJ234" s="114"/>
      <c r="AK234" s="114"/>
      <c r="AL234" s="238" t="e">
        <f t="shared" ca="1" si="149"/>
        <v>#N/A</v>
      </c>
      <c r="AM234" s="112">
        <f t="shared" ca="1" si="159"/>
        <v>100000</v>
      </c>
      <c r="AN234" s="112">
        <f t="shared" ca="1" si="150"/>
        <v>100000</v>
      </c>
      <c r="AO234" s="114">
        <f t="shared" ca="1" si="147"/>
        <v>0</v>
      </c>
      <c r="AP234" s="114">
        <f t="shared" ca="1" si="148"/>
        <v>0</v>
      </c>
      <c r="AR234" s="238">
        <f t="shared" si="151"/>
        <v>234</v>
      </c>
      <c r="AU234" s="238">
        <f t="shared" si="152"/>
        <v>215</v>
      </c>
      <c r="AV234" s="238"/>
      <c r="AW234" s="238"/>
      <c r="BB234">
        <f t="shared" si="158"/>
        <v>72</v>
      </c>
      <c r="BC234" s="112">
        <f t="shared" ca="1" si="156"/>
        <v>100000</v>
      </c>
      <c r="BD234" s="112"/>
      <c r="CM234" s="112"/>
      <c r="CN234" s="112"/>
      <c r="CQ234" s="112"/>
      <c r="CR234" s="112"/>
      <c r="CS234" s="112"/>
      <c r="CT234" s="112"/>
      <c r="CU234" s="112"/>
      <c r="CV234" s="112"/>
      <c r="CW234" s="112"/>
      <c r="CX234" s="112" t="s">
        <v>224</v>
      </c>
      <c r="CY234" s="112" t="s">
        <v>225</v>
      </c>
      <c r="CZ234" s="112" t="s">
        <v>226</v>
      </c>
      <c r="DA234" s="112" t="s">
        <v>227</v>
      </c>
      <c r="DB234" s="112" t="s">
        <v>228</v>
      </c>
      <c r="DC234" s="112"/>
      <c r="DD234" s="112"/>
      <c r="DE234" s="238"/>
      <c r="DF234" s="112"/>
      <c r="DG234" s="112"/>
      <c r="DH234" s="112"/>
      <c r="DI234" s="112"/>
      <c r="DJ234" s="112"/>
      <c r="DK234" s="112">
        <f t="shared" si="154"/>
        <v>100000</v>
      </c>
      <c r="DL234" s="112"/>
      <c r="DM234" s="112"/>
      <c r="DN234" s="112"/>
      <c r="DO234" s="112"/>
      <c r="DP234" s="112"/>
      <c r="DQ234" s="112"/>
    </row>
    <row r="235" spans="4:121" x14ac:dyDescent="0.25">
      <c r="D235" t="str">
        <f t="shared" si="157"/>
        <v/>
      </c>
      <c r="E235" s="112">
        <f t="shared" si="153"/>
        <v>100000</v>
      </c>
      <c r="F235" s="112">
        <f t="shared" si="153"/>
        <v>100000</v>
      </c>
      <c r="AG235" s="238">
        <f>AG234+1</f>
        <v>63</v>
      </c>
      <c r="AH235" s="112">
        <f ca="1">INDIRECT(CONCATENATE("AA",AG235))</f>
        <v>100000</v>
      </c>
      <c r="AI235" s="112" t="e">
        <f ca="1">IF(            INDIRECT(CONCATENATE( "AB",AG235))&lt;100000,       INDIRECT(CONCATENATE("AB",AG235))  -1,IF(   INDIRECT(CONCATENATE("AC",AG235))&lt;100000,   INDIRECT(CONCATENATE("AC",AG235))-1,IF(   INDIRECT(CONCATENATE("AD", AG235))&lt;100000, INDIRECT(CONCATENATE("AD",AG235))-1,IF(   INDIRECT(CONCATENATE("AE",AG235))&lt;100000,  INDIRECT(CONCATENATE("AE",G235)),INDIRECT(CONCATENATE("AF",AG235))                ))))</f>
        <v>#N/A</v>
      </c>
      <c r="AJ235" s="114"/>
      <c r="AK235" s="114"/>
      <c r="AL235" s="238" t="e">
        <f t="shared" ca="1" si="149"/>
        <v>#N/A</v>
      </c>
      <c r="AM235" s="112">
        <f t="shared" ca="1" si="159"/>
        <v>100000</v>
      </c>
      <c r="AN235" s="112">
        <f t="shared" ca="1" si="150"/>
        <v>100000</v>
      </c>
      <c r="AO235" s="114">
        <f t="shared" ca="1" si="147"/>
        <v>0</v>
      </c>
      <c r="AP235" s="114">
        <f t="shared" ca="1" si="148"/>
        <v>0</v>
      </c>
      <c r="AR235" s="238">
        <f t="shared" si="151"/>
        <v>235</v>
      </c>
      <c r="AU235" s="238">
        <f t="shared" si="152"/>
        <v>216</v>
      </c>
      <c r="AV235" s="238"/>
      <c r="AW235" s="238"/>
      <c r="BB235">
        <f t="shared" si="158"/>
        <v>73</v>
      </c>
      <c r="BC235" s="112">
        <f t="shared" ca="1" si="156"/>
        <v>100000</v>
      </c>
      <c r="BD235" s="112"/>
      <c r="CM235" s="112"/>
      <c r="CN235" s="112"/>
      <c r="CQ235" s="112"/>
      <c r="CR235" s="112"/>
      <c r="CS235" s="112"/>
      <c r="CT235" s="112"/>
      <c r="CU235" s="112"/>
      <c r="CV235" s="112"/>
      <c r="CW235" s="112"/>
      <c r="CX235" s="112" t="s">
        <v>224</v>
      </c>
      <c r="CY235" s="112" t="s">
        <v>225</v>
      </c>
      <c r="CZ235" s="112" t="s">
        <v>226</v>
      </c>
      <c r="DA235" s="112" t="s">
        <v>227</v>
      </c>
      <c r="DB235" s="112" t="s">
        <v>228</v>
      </c>
      <c r="DC235" s="112"/>
      <c r="DD235" s="112"/>
      <c r="DE235" s="238"/>
      <c r="DF235" s="112"/>
      <c r="DG235" s="112"/>
      <c r="DH235" s="112"/>
      <c r="DI235" s="112"/>
      <c r="DJ235" s="112"/>
      <c r="DK235" s="112">
        <f t="shared" si="154"/>
        <v>100000</v>
      </c>
      <c r="DL235" s="112"/>
      <c r="DM235" s="112"/>
      <c r="DN235" s="112"/>
      <c r="DO235" s="112"/>
      <c r="DP235" s="112"/>
      <c r="DQ235" s="112"/>
    </row>
    <row r="236" spans="4:121" x14ac:dyDescent="0.25">
      <c r="D236" t="str">
        <f t="shared" si="157"/>
        <v/>
      </c>
      <c r="E236" s="112">
        <f t="shared" si="153"/>
        <v>100000</v>
      </c>
      <c r="F236" s="112">
        <f t="shared" si="153"/>
        <v>100000</v>
      </c>
      <c r="AG236" s="238">
        <f>AG235</f>
        <v>63</v>
      </c>
      <c r="AH236" s="112" t="e">
        <f ca="1">AI235+1</f>
        <v>#N/A</v>
      </c>
      <c r="AI236" s="112" t="e">
        <f ca="1">IF(INDIRECT(CONCATENATE("AC",AG235))&lt;100000,INDIRECT(CONCATENATE("AC",AG235))-1,IF(INDIRECT(CONCATENATE("AD",AG235))&lt;100000,INDIRECT(CONCATENATE("AD",AG235))-1,IF(INDIRECT(CONCATENATE("AE",AG235))&lt;100000,INDIRECT(CONCATENATE("AE",G235)),INDIRECT(CONCATENATE("AF",AG235)))))</f>
        <v>#N/A</v>
      </c>
      <c r="AJ236" s="114"/>
      <c r="AK236" s="114"/>
      <c r="AL236" s="238" t="e">
        <f t="shared" ca="1" si="149"/>
        <v>#N/A</v>
      </c>
      <c r="AM236" s="112">
        <f t="shared" ca="1" si="159"/>
        <v>100000</v>
      </c>
      <c r="AN236" s="112">
        <f t="shared" ca="1" si="150"/>
        <v>100000</v>
      </c>
      <c r="AO236" s="114">
        <f t="shared" ca="1" si="147"/>
        <v>0</v>
      </c>
      <c r="AP236" s="114">
        <f t="shared" ca="1" si="148"/>
        <v>0</v>
      </c>
      <c r="AR236" s="238">
        <f t="shared" si="151"/>
        <v>236</v>
      </c>
      <c r="AU236" s="238">
        <f t="shared" si="152"/>
        <v>217</v>
      </c>
      <c r="AV236" s="238"/>
      <c r="AW236" s="238"/>
      <c r="BB236">
        <f t="shared" si="158"/>
        <v>74</v>
      </c>
      <c r="BC236" s="112">
        <f t="shared" ca="1" si="156"/>
        <v>100000</v>
      </c>
      <c r="BD236" s="112"/>
      <c r="CM236" s="112"/>
      <c r="CN236" s="112"/>
      <c r="CQ236" s="112"/>
      <c r="CR236" s="112"/>
      <c r="CS236" s="112"/>
      <c r="CT236" s="112"/>
      <c r="CU236" s="112"/>
      <c r="CV236" s="112"/>
      <c r="CW236" s="112"/>
      <c r="CX236" s="112" t="s">
        <v>224</v>
      </c>
      <c r="CY236" s="112" t="s">
        <v>225</v>
      </c>
      <c r="CZ236" s="112" t="s">
        <v>226</v>
      </c>
      <c r="DA236" s="112" t="s">
        <v>227</v>
      </c>
      <c r="DB236" s="112" t="s">
        <v>228</v>
      </c>
      <c r="DC236" s="112"/>
      <c r="DD236" s="112"/>
      <c r="DE236" s="238"/>
      <c r="DF236" s="112"/>
      <c r="DG236" s="112"/>
      <c r="DH236" s="112"/>
      <c r="DI236" s="112"/>
      <c r="DJ236" s="112"/>
      <c r="DK236" s="112">
        <f t="shared" si="154"/>
        <v>100000</v>
      </c>
      <c r="DL236" s="112"/>
      <c r="DM236" s="112"/>
      <c r="DN236" s="112"/>
      <c r="DO236" s="112"/>
      <c r="DP236" s="112"/>
      <c r="DQ236" s="112"/>
    </row>
    <row r="237" spans="4:121" x14ac:dyDescent="0.25">
      <c r="D237" t="str">
        <f t="shared" si="157"/>
        <v/>
      </c>
      <c r="E237" s="112">
        <f t="shared" si="153"/>
        <v>100000</v>
      </c>
      <c r="F237" s="112">
        <f t="shared" si="153"/>
        <v>100000</v>
      </c>
      <c r="AG237" s="238">
        <f>AG236</f>
        <v>63</v>
      </c>
      <c r="AH237" s="112" t="e">
        <f ca="1">AI236+1</f>
        <v>#N/A</v>
      </c>
      <c r="AI237" s="112" t="e">
        <f ca="1">IF(INDIRECT(CONCATENATE("AD",AG235))&lt;100000,INDIRECT(CONCATENATE("AD",AG235))-1,IF(INDIRECT(CONCATENATE("AE",AG235))&lt;100000,INDIRECT(CONCATENATE("AE",G235)),INDIRECT(CONCATENATE("AF",AG235))))</f>
        <v>#N/A</v>
      </c>
      <c r="AJ237" s="114"/>
      <c r="AK237" s="114"/>
      <c r="AL237" s="238" t="e">
        <f t="shared" ca="1" si="149"/>
        <v>#N/A</v>
      </c>
      <c r="AM237" s="112">
        <f t="shared" ca="1" si="159"/>
        <v>100000</v>
      </c>
      <c r="AN237" s="112">
        <f t="shared" ca="1" si="150"/>
        <v>100000</v>
      </c>
      <c r="AO237" s="114">
        <f t="shared" ca="1" si="147"/>
        <v>0</v>
      </c>
      <c r="AP237" s="114">
        <f t="shared" ca="1" si="148"/>
        <v>0</v>
      </c>
      <c r="AR237" s="238">
        <f t="shared" si="151"/>
        <v>237</v>
      </c>
      <c r="AU237" s="238">
        <f t="shared" si="152"/>
        <v>218</v>
      </c>
      <c r="AV237" s="238"/>
      <c r="AW237" s="238"/>
      <c r="BB237">
        <f t="shared" si="158"/>
        <v>75</v>
      </c>
      <c r="BC237" s="112">
        <f t="shared" ca="1" si="156"/>
        <v>100000</v>
      </c>
      <c r="BD237" s="112"/>
      <c r="CM237" s="112"/>
      <c r="CN237" s="112"/>
      <c r="CQ237" s="112"/>
      <c r="CR237" s="112"/>
      <c r="CS237" s="112"/>
      <c r="CT237" s="112"/>
      <c r="CU237" s="112"/>
      <c r="CV237" s="112"/>
      <c r="CW237" s="112"/>
      <c r="CX237" s="112" t="s">
        <v>224</v>
      </c>
      <c r="CY237" s="112" t="s">
        <v>225</v>
      </c>
      <c r="CZ237" s="112" t="s">
        <v>226</v>
      </c>
      <c r="DA237" s="112" t="s">
        <v>227</v>
      </c>
      <c r="DB237" s="112" t="s">
        <v>228</v>
      </c>
      <c r="DC237" s="112"/>
      <c r="DD237" s="112"/>
      <c r="DE237" s="238"/>
      <c r="DF237" s="112"/>
      <c r="DG237" s="112"/>
      <c r="DH237" s="112"/>
      <c r="DI237" s="112"/>
      <c r="DJ237" s="112"/>
      <c r="DK237" s="112">
        <f t="shared" si="154"/>
        <v>100000</v>
      </c>
      <c r="DL237" s="112"/>
      <c r="DM237" s="112"/>
      <c r="DN237" s="112"/>
      <c r="DO237" s="112"/>
      <c r="DP237" s="112"/>
      <c r="DQ237" s="112"/>
    </row>
    <row r="238" spans="4:121" x14ac:dyDescent="0.25">
      <c r="D238" t="str">
        <f t="shared" si="157"/>
        <v/>
      </c>
      <c r="E238" s="112">
        <f t="shared" si="153"/>
        <v>100000</v>
      </c>
      <c r="F238" s="112">
        <f t="shared" si="153"/>
        <v>100000</v>
      </c>
      <c r="AG238" s="238">
        <f>AG237</f>
        <v>63</v>
      </c>
      <c r="AH238" s="112" t="e">
        <f ca="1">AI237+1</f>
        <v>#N/A</v>
      </c>
      <c r="AI238" s="112" t="e">
        <f ca="1">IF(INDIRECT(CONCATENATE("AE",AG235))&lt;100000,INDIRECT(CONCATENATE("AE",G235)),INDIRECT(CONCATENATE("AF",AG235)))</f>
        <v>#N/A</v>
      </c>
      <c r="AJ238" s="114"/>
      <c r="AK238" s="114"/>
      <c r="AL238" s="238" t="e">
        <f t="shared" ca="1" si="149"/>
        <v>#N/A</v>
      </c>
      <c r="AM238" s="112">
        <f t="shared" ca="1" si="159"/>
        <v>100000</v>
      </c>
      <c r="AN238" s="112">
        <f t="shared" ca="1" si="150"/>
        <v>100000</v>
      </c>
      <c r="AO238" s="114">
        <f t="shared" ca="1" si="147"/>
        <v>0</v>
      </c>
      <c r="AP238" s="114">
        <f t="shared" ca="1" si="148"/>
        <v>0</v>
      </c>
      <c r="AR238" s="238">
        <f t="shared" si="151"/>
        <v>238</v>
      </c>
      <c r="AU238" s="238">
        <f t="shared" si="152"/>
        <v>219</v>
      </c>
      <c r="AV238" s="238"/>
      <c r="AW238" s="238"/>
      <c r="BB238">
        <f t="shared" si="158"/>
        <v>76</v>
      </c>
      <c r="BC238" s="112">
        <f t="shared" ca="1" si="156"/>
        <v>100000</v>
      </c>
      <c r="BD238" s="112"/>
      <c r="CM238" s="112"/>
      <c r="CN238" s="112"/>
      <c r="CQ238" s="112"/>
      <c r="CR238" s="112"/>
      <c r="CS238" s="112"/>
      <c r="CT238" s="112"/>
      <c r="CU238" s="112"/>
      <c r="CV238" s="112"/>
      <c r="CW238" s="112"/>
      <c r="CX238" s="112" t="s">
        <v>224</v>
      </c>
      <c r="CY238" s="112" t="s">
        <v>225</v>
      </c>
      <c r="CZ238" s="112" t="s">
        <v>226</v>
      </c>
      <c r="DA238" s="112" t="s">
        <v>227</v>
      </c>
      <c r="DB238" s="112" t="s">
        <v>228</v>
      </c>
      <c r="DC238" s="112"/>
      <c r="DD238" s="112"/>
      <c r="DE238" s="238"/>
      <c r="DF238" s="112"/>
      <c r="DG238" s="112"/>
      <c r="DH238" s="112"/>
      <c r="DI238" s="112"/>
      <c r="DJ238" s="112"/>
      <c r="DK238" s="112">
        <f t="shared" si="154"/>
        <v>100000</v>
      </c>
      <c r="DL238" s="112"/>
      <c r="DM238" s="112"/>
      <c r="DN238" s="112"/>
      <c r="DO238" s="112"/>
      <c r="DP238" s="112"/>
      <c r="DQ238" s="112"/>
    </row>
    <row r="239" spans="4:121" x14ac:dyDescent="0.25">
      <c r="D239" t="str">
        <f t="shared" si="157"/>
        <v/>
      </c>
      <c r="E239" s="112">
        <f t="shared" si="153"/>
        <v>100000</v>
      </c>
      <c r="F239" s="112">
        <f t="shared" si="153"/>
        <v>100000</v>
      </c>
      <c r="AG239" s="238">
        <f>AG238</f>
        <v>63</v>
      </c>
      <c r="AH239" s="112" t="e">
        <f ca="1">AI238+1</f>
        <v>#N/A</v>
      </c>
      <c r="AI239" s="112">
        <f ca="1">INDIRECT(CONCATENATE("AF",AG235))</f>
        <v>100000</v>
      </c>
      <c r="AJ239" s="114"/>
      <c r="AK239" s="114"/>
      <c r="AL239" s="238" t="e">
        <f t="shared" ca="1" si="149"/>
        <v>#N/A</v>
      </c>
      <c r="AM239" s="112">
        <f t="shared" ca="1" si="159"/>
        <v>100000</v>
      </c>
      <c r="AN239" s="112">
        <f t="shared" ca="1" si="150"/>
        <v>100000</v>
      </c>
      <c r="AO239" s="114">
        <f t="shared" ca="1" si="147"/>
        <v>0</v>
      </c>
      <c r="AP239" s="114">
        <f t="shared" ca="1" si="148"/>
        <v>0</v>
      </c>
      <c r="AR239" s="238">
        <f t="shared" si="151"/>
        <v>239</v>
      </c>
      <c r="AU239" s="238">
        <f t="shared" si="152"/>
        <v>220</v>
      </c>
      <c r="AV239" s="238"/>
      <c r="AW239" s="238"/>
      <c r="BB239">
        <f t="shared" si="158"/>
        <v>77</v>
      </c>
      <c r="BC239" s="112">
        <f t="shared" ca="1" si="156"/>
        <v>100000</v>
      </c>
      <c r="BD239" s="112"/>
      <c r="CM239" s="112"/>
      <c r="CN239" s="112"/>
      <c r="CQ239" s="112"/>
      <c r="CR239" s="112"/>
      <c r="CS239" s="112"/>
      <c r="CT239" s="112"/>
      <c r="CU239" s="112"/>
      <c r="CV239" s="112"/>
      <c r="CW239" s="112"/>
      <c r="CX239" s="112" t="s">
        <v>224</v>
      </c>
      <c r="CY239" s="112" t="s">
        <v>225</v>
      </c>
      <c r="CZ239" s="112" t="s">
        <v>226</v>
      </c>
      <c r="DA239" s="112" t="s">
        <v>227</v>
      </c>
      <c r="DB239" s="112" t="s">
        <v>228</v>
      </c>
      <c r="DC239" s="112"/>
      <c r="DD239" s="112"/>
      <c r="DE239" s="238"/>
      <c r="DF239" s="112"/>
      <c r="DG239" s="112"/>
      <c r="DH239" s="112"/>
      <c r="DI239" s="112"/>
      <c r="DJ239" s="112"/>
      <c r="DK239" s="112">
        <f t="shared" si="154"/>
        <v>100000</v>
      </c>
      <c r="DL239" s="112"/>
      <c r="DM239" s="112"/>
      <c r="DN239" s="112"/>
      <c r="DO239" s="112"/>
      <c r="DP239" s="112"/>
      <c r="DQ239" s="112"/>
    </row>
    <row r="240" spans="4:121" x14ac:dyDescent="0.25">
      <c r="D240" t="str">
        <f t="shared" si="157"/>
        <v/>
      </c>
      <c r="E240" s="112">
        <f t="shared" si="153"/>
        <v>100000</v>
      </c>
      <c r="F240" s="112">
        <f t="shared" si="153"/>
        <v>100000</v>
      </c>
      <c r="AG240" s="238">
        <f>AG239+1</f>
        <v>64</v>
      </c>
      <c r="AH240" s="112">
        <f ca="1">INDIRECT(CONCATENATE("AA",AG240))</f>
        <v>100000</v>
      </c>
      <c r="AI240" s="112" t="e">
        <f ca="1">IF(            INDIRECT(CONCATENATE( "AB",AG240))&lt;100000,       INDIRECT(CONCATENATE("AB",AG240))  -1,IF(   INDIRECT(CONCATENATE("AC",AG240))&lt;100000,   INDIRECT(CONCATENATE("AC",AG240))-1,IF(   INDIRECT(CONCATENATE("AD", AG240))&lt;100000, INDIRECT(CONCATENATE("AD",AG240))-1,IF(   INDIRECT(CONCATENATE("AE",AG240))&lt;100000,  INDIRECT(CONCATENATE("AE",G240)),INDIRECT(CONCATENATE("AF",AG240))                ))))</f>
        <v>#N/A</v>
      </c>
      <c r="AJ240" s="114"/>
      <c r="AK240" s="114"/>
      <c r="AL240" s="238" t="e">
        <f t="shared" ca="1" si="149"/>
        <v>#N/A</v>
      </c>
      <c r="AM240" s="112">
        <f t="shared" ca="1" si="159"/>
        <v>100000</v>
      </c>
      <c r="AN240" s="112">
        <f t="shared" ca="1" si="150"/>
        <v>100000</v>
      </c>
      <c r="AO240" s="114">
        <f t="shared" ca="1" si="147"/>
        <v>0</v>
      </c>
      <c r="AP240" s="114">
        <f t="shared" ca="1" si="148"/>
        <v>0</v>
      </c>
      <c r="AR240" s="238">
        <f t="shared" si="151"/>
        <v>240</v>
      </c>
      <c r="AU240" s="238">
        <f t="shared" si="152"/>
        <v>221</v>
      </c>
      <c r="AV240" s="238"/>
      <c r="AW240" s="238"/>
      <c r="BB240">
        <f t="shared" si="158"/>
        <v>78</v>
      </c>
      <c r="BC240" s="112">
        <f t="shared" ca="1" si="156"/>
        <v>100000</v>
      </c>
      <c r="BD240" s="112"/>
      <c r="CM240" s="112"/>
      <c r="CN240" s="112"/>
      <c r="CQ240" s="112"/>
      <c r="CR240" s="112"/>
      <c r="CS240" s="112"/>
      <c r="CT240" s="112"/>
      <c r="CU240" s="112"/>
      <c r="CV240" s="112"/>
      <c r="CW240" s="112"/>
      <c r="CX240" s="112" t="s">
        <v>224</v>
      </c>
      <c r="CY240" s="112" t="s">
        <v>225</v>
      </c>
      <c r="CZ240" s="112" t="s">
        <v>226</v>
      </c>
      <c r="DA240" s="112" t="s">
        <v>227</v>
      </c>
      <c r="DB240" s="112" t="s">
        <v>228</v>
      </c>
      <c r="DC240" s="112"/>
      <c r="DD240" s="112"/>
      <c r="DE240" s="238"/>
      <c r="DF240" s="112"/>
      <c r="DG240" s="112"/>
      <c r="DH240" s="112"/>
      <c r="DI240" s="112"/>
      <c r="DJ240" s="112"/>
      <c r="DK240" s="112">
        <f t="shared" si="154"/>
        <v>100000</v>
      </c>
      <c r="DL240" s="112"/>
      <c r="DM240" s="112"/>
      <c r="DN240" s="112"/>
      <c r="DO240" s="112"/>
      <c r="DP240" s="112"/>
      <c r="DQ240" s="112"/>
    </row>
    <row r="241" spans="4:121" x14ac:dyDescent="0.25">
      <c r="D241" t="str">
        <f t="shared" si="157"/>
        <v/>
      </c>
      <c r="E241" s="112">
        <f t="shared" si="153"/>
        <v>100000</v>
      </c>
      <c r="F241" s="112">
        <f t="shared" si="153"/>
        <v>100000</v>
      </c>
      <c r="AG241" s="238">
        <f>AG240</f>
        <v>64</v>
      </c>
      <c r="AH241" s="112" t="e">
        <f ca="1">AI240+1</f>
        <v>#N/A</v>
      </c>
      <c r="AI241" s="112" t="e">
        <f ca="1">IF(INDIRECT(CONCATENATE("AC",AG240))&lt;100000,INDIRECT(CONCATENATE("AC",AG240))-1,IF(INDIRECT(CONCATENATE("AD",AG240))&lt;100000,INDIRECT(CONCATENATE("AD",AG240))-1,IF(INDIRECT(CONCATENATE("AE",AG240))&lt;100000,INDIRECT(CONCATENATE("AE",G240)),INDIRECT(CONCATENATE("AF",AG240)))))</f>
        <v>#N/A</v>
      </c>
      <c r="AJ241" s="114"/>
      <c r="AK241" s="114"/>
      <c r="AL241" s="238" t="e">
        <f t="shared" ca="1" si="149"/>
        <v>#N/A</v>
      </c>
      <c r="AM241" s="112">
        <f t="shared" ca="1" si="159"/>
        <v>100000</v>
      </c>
      <c r="AN241" s="112">
        <f t="shared" ca="1" si="150"/>
        <v>100000</v>
      </c>
      <c r="AO241" s="114">
        <f t="shared" ca="1" si="147"/>
        <v>0</v>
      </c>
      <c r="AP241" s="114">
        <f t="shared" ca="1" si="148"/>
        <v>0</v>
      </c>
      <c r="AR241" s="238">
        <f t="shared" si="151"/>
        <v>241</v>
      </c>
      <c r="AU241" s="238">
        <f t="shared" si="152"/>
        <v>222</v>
      </c>
      <c r="AV241" s="238"/>
      <c r="AW241" s="238"/>
      <c r="BB241">
        <f t="shared" si="158"/>
        <v>79</v>
      </c>
      <c r="BC241" s="112">
        <f t="shared" ca="1" si="156"/>
        <v>100000</v>
      </c>
      <c r="BD241" s="112"/>
      <c r="CM241" s="112"/>
      <c r="CN241" s="112"/>
      <c r="CQ241" s="112"/>
      <c r="CR241" s="112"/>
      <c r="CS241" s="112"/>
      <c r="CT241" s="112"/>
      <c r="CU241" s="112"/>
      <c r="CV241" s="112"/>
      <c r="CW241" s="112"/>
      <c r="CX241" s="112" t="s">
        <v>224</v>
      </c>
      <c r="CY241" s="112" t="s">
        <v>225</v>
      </c>
      <c r="CZ241" s="112" t="s">
        <v>226</v>
      </c>
      <c r="DA241" s="112" t="s">
        <v>227</v>
      </c>
      <c r="DB241" s="112" t="s">
        <v>228</v>
      </c>
      <c r="DC241" s="112"/>
      <c r="DD241" s="112"/>
      <c r="DE241" s="238"/>
      <c r="DF241" s="112"/>
      <c r="DG241" s="112"/>
      <c r="DH241" s="112"/>
      <c r="DI241" s="112"/>
      <c r="DJ241" s="112"/>
      <c r="DK241" s="112">
        <f t="shared" si="154"/>
        <v>100000</v>
      </c>
      <c r="DL241" s="112"/>
      <c r="DM241" s="112"/>
      <c r="DN241" s="112"/>
      <c r="DO241" s="112"/>
      <c r="DP241" s="112"/>
      <c r="DQ241" s="112"/>
    </row>
    <row r="242" spans="4:121" x14ac:dyDescent="0.25">
      <c r="D242" t="str">
        <f t="shared" si="157"/>
        <v/>
      </c>
      <c r="E242" s="112">
        <f t="shared" si="153"/>
        <v>100000</v>
      </c>
      <c r="F242" s="112">
        <f t="shared" si="153"/>
        <v>100000</v>
      </c>
      <c r="AG242" s="238">
        <f>AG241</f>
        <v>64</v>
      </c>
      <c r="AH242" s="112" t="e">
        <f ca="1">AI241+1</f>
        <v>#N/A</v>
      </c>
      <c r="AI242" s="112" t="e">
        <f ca="1">IF(INDIRECT(CONCATENATE("AD",AG240))&lt;100000,INDIRECT(CONCATENATE("AD",AG240))-1,IF(INDIRECT(CONCATENATE("AE",AG240))&lt;100000,INDIRECT(CONCATENATE("AE",G240)),INDIRECT(CONCATENATE("AF",AG240))))</f>
        <v>#N/A</v>
      </c>
      <c r="AJ242" s="114"/>
      <c r="AK242" s="114"/>
      <c r="AL242" s="238" t="e">
        <f t="shared" ca="1" si="149"/>
        <v>#N/A</v>
      </c>
      <c r="AM242" s="112">
        <f t="shared" ca="1" si="159"/>
        <v>100000</v>
      </c>
      <c r="AN242" s="112">
        <f t="shared" ca="1" si="150"/>
        <v>100000</v>
      </c>
      <c r="AO242" s="114">
        <f t="shared" ca="1" si="147"/>
        <v>0</v>
      </c>
      <c r="AP242" s="114">
        <f t="shared" ca="1" si="148"/>
        <v>0</v>
      </c>
      <c r="AR242" s="238">
        <f t="shared" si="151"/>
        <v>242</v>
      </c>
      <c r="AU242" s="238">
        <f t="shared" si="152"/>
        <v>223</v>
      </c>
      <c r="AV242" s="238"/>
      <c r="AW242" s="238"/>
      <c r="BB242">
        <f t="shared" si="158"/>
        <v>80</v>
      </c>
      <c r="BC242" s="112">
        <f t="shared" ca="1" si="156"/>
        <v>100000</v>
      </c>
      <c r="BD242" s="112"/>
      <c r="CM242" s="112"/>
      <c r="CN242" s="112"/>
      <c r="CQ242" s="112"/>
      <c r="CR242" s="112"/>
      <c r="CS242" s="112"/>
      <c r="CT242" s="112"/>
      <c r="CU242" s="112"/>
      <c r="CV242" s="112"/>
      <c r="CW242" s="112"/>
      <c r="CX242" s="112" t="s">
        <v>224</v>
      </c>
      <c r="CY242" s="112" t="s">
        <v>225</v>
      </c>
      <c r="CZ242" s="112" t="s">
        <v>226</v>
      </c>
      <c r="DA242" s="112" t="s">
        <v>227</v>
      </c>
      <c r="DB242" s="112" t="s">
        <v>228</v>
      </c>
      <c r="DC242" s="112"/>
      <c r="DD242" s="112"/>
      <c r="DE242" s="238"/>
      <c r="DF242" s="112"/>
      <c r="DG242" s="112"/>
      <c r="DH242" s="112"/>
      <c r="DI242" s="112"/>
      <c r="DJ242" s="112"/>
      <c r="DK242" s="112">
        <f t="shared" si="154"/>
        <v>100000</v>
      </c>
      <c r="DL242" s="112"/>
      <c r="DM242" s="112"/>
      <c r="DN242" s="112"/>
      <c r="DO242" s="112"/>
      <c r="DP242" s="112"/>
      <c r="DQ242" s="112"/>
    </row>
    <row r="243" spans="4:121" x14ac:dyDescent="0.25">
      <c r="D243" t="str">
        <f t="shared" si="157"/>
        <v/>
      </c>
      <c r="E243" s="112">
        <f t="shared" ref="E243:F258" si="160">IF(F100=0,100000,F100)</f>
        <v>100000</v>
      </c>
      <c r="F243" s="112">
        <f t="shared" si="160"/>
        <v>100000</v>
      </c>
      <c r="AG243" s="238">
        <f>AG242</f>
        <v>64</v>
      </c>
      <c r="AH243" s="112" t="e">
        <f ca="1">AI242+1</f>
        <v>#N/A</v>
      </c>
      <c r="AI243" s="112" t="e">
        <f ca="1">IF(INDIRECT(CONCATENATE("AE",AG240))&lt;100000,INDIRECT(CONCATENATE("AE",G240)),INDIRECT(CONCATENATE("AF",AG240)))</f>
        <v>#N/A</v>
      </c>
      <c r="AJ243" s="114"/>
      <c r="AK243" s="114"/>
      <c r="AL243" s="238" t="e">
        <f t="shared" ca="1" si="149"/>
        <v>#N/A</v>
      </c>
      <c r="AM243" s="112">
        <f t="shared" ca="1" si="159"/>
        <v>100000</v>
      </c>
      <c r="AN243" s="112">
        <f t="shared" ca="1" si="150"/>
        <v>100000</v>
      </c>
      <c r="AO243" s="114">
        <f t="shared" ca="1" si="147"/>
        <v>0</v>
      </c>
      <c r="AP243" s="114">
        <f t="shared" ca="1" si="148"/>
        <v>0</v>
      </c>
      <c r="AR243" s="238">
        <f t="shared" si="151"/>
        <v>243</v>
      </c>
      <c r="AU243" s="238">
        <f t="shared" si="152"/>
        <v>224</v>
      </c>
      <c r="AV243" s="238"/>
      <c r="AW243" s="238"/>
      <c r="BB243">
        <f t="shared" si="158"/>
        <v>81</v>
      </c>
      <c r="BC243" s="112">
        <f t="shared" ca="1" si="156"/>
        <v>100000</v>
      </c>
      <c r="BD243" s="112"/>
      <c r="CM243" s="112"/>
      <c r="CN243" s="112"/>
      <c r="CQ243" s="112"/>
      <c r="CR243" s="112"/>
      <c r="CS243" s="112"/>
      <c r="CT243" s="112"/>
      <c r="CU243" s="112"/>
      <c r="CV243" s="112"/>
      <c r="CW243" s="112"/>
      <c r="CX243" s="112" t="s">
        <v>224</v>
      </c>
      <c r="CY243" s="112" t="s">
        <v>225</v>
      </c>
      <c r="CZ243" s="112" t="s">
        <v>226</v>
      </c>
      <c r="DA243" s="112" t="s">
        <v>227</v>
      </c>
      <c r="DB243" s="112" t="s">
        <v>228</v>
      </c>
      <c r="DC243" s="112"/>
      <c r="DD243" s="112"/>
      <c r="DE243" s="238"/>
      <c r="DF243" s="112"/>
      <c r="DG243" s="112"/>
      <c r="DH243" s="112"/>
      <c r="DI243" s="112"/>
      <c r="DJ243" s="112"/>
      <c r="DK243" s="112">
        <f t="shared" si="154"/>
        <v>100000</v>
      </c>
      <c r="DL243" s="112"/>
      <c r="DM243" s="112"/>
      <c r="DN243" s="112"/>
      <c r="DO243" s="112"/>
      <c r="DP243" s="112"/>
      <c r="DQ243" s="112"/>
    </row>
    <row r="244" spans="4:121" x14ac:dyDescent="0.25">
      <c r="D244" t="str">
        <f t="shared" si="157"/>
        <v/>
      </c>
      <c r="E244" s="112">
        <f t="shared" si="160"/>
        <v>100000</v>
      </c>
      <c r="F244" s="112">
        <f t="shared" si="160"/>
        <v>100000</v>
      </c>
      <c r="AG244" s="238">
        <f>AG243</f>
        <v>64</v>
      </c>
      <c r="AH244" s="112" t="e">
        <f ca="1">AI243+1</f>
        <v>#N/A</v>
      </c>
      <c r="AI244" s="112">
        <f ca="1">INDIRECT(CONCATENATE("AF",AG240))</f>
        <v>100000</v>
      </c>
      <c r="AJ244" s="114"/>
      <c r="AK244" s="114"/>
      <c r="AL244" s="238" t="e">
        <f t="shared" ca="1" si="149"/>
        <v>#N/A</v>
      </c>
      <c r="AM244" s="112">
        <f t="shared" ca="1" si="159"/>
        <v>100000</v>
      </c>
      <c r="AN244" s="112">
        <f t="shared" ca="1" si="150"/>
        <v>100000</v>
      </c>
      <c r="AO244" s="114">
        <f t="shared" ca="1" si="147"/>
        <v>0</v>
      </c>
      <c r="AP244" s="114">
        <f t="shared" ca="1" si="148"/>
        <v>0</v>
      </c>
      <c r="AR244" s="238">
        <f t="shared" si="151"/>
        <v>244</v>
      </c>
      <c r="AU244" s="238">
        <f t="shared" si="152"/>
        <v>225</v>
      </c>
      <c r="AV244" s="238"/>
      <c r="AW244" s="238"/>
      <c r="BB244">
        <f t="shared" si="158"/>
        <v>82</v>
      </c>
      <c r="BC244" s="112">
        <f t="shared" ca="1" si="156"/>
        <v>100000</v>
      </c>
      <c r="BD244" s="112"/>
      <c r="CM244" s="112"/>
      <c r="CN244" s="112"/>
      <c r="CQ244" s="112"/>
      <c r="CR244" s="112"/>
      <c r="CS244" s="112"/>
      <c r="CT244" s="112"/>
      <c r="CU244" s="112"/>
      <c r="CV244" s="112"/>
      <c r="CW244" s="112"/>
      <c r="CX244" s="112" t="s">
        <v>224</v>
      </c>
      <c r="CY244" s="112" t="s">
        <v>225</v>
      </c>
      <c r="CZ244" s="112" t="s">
        <v>226</v>
      </c>
      <c r="DA244" s="112" t="s">
        <v>227</v>
      </c>
      <c r="DB244" s="112" t="s">
        <v>228</v>
      </c>
      <c r="DC244" s="112"/>
      <c r="DD244" s="112"/>
      <c r="DE244" s="238"/>
      <c r="DF244" s="112"/>
      <c r="DG244" s="112"/>
      <c r="DH244" s="112"/>
      <c r="DI244" s="112"/>
      <c r="DJ244" s="112"/>
      <c r="DK244" s="112">
        <f t="shared" si="154"/>
        <v>100000</v>
      </c>
      <c r="DL244" s="112"/>
      <c r="DM244" s="112"/>
      <c r="DN244" s="112"/>
      <c r="DO244" s="112"/>
      <c r="DP244" s="112"/>
      <c r="DQ244" s="112"/>
    </row>
    <row r="245" spans="4:121" x14ac:dyDescent="0.25">
      <c r="D245" t="str">
        <f t="shared" si="157"/>
        <v/>
      </c>
      <c r="E245" s="112">
        <f t="shared" si="160"/>
        <v>100000</v>
      </c>
      <c r="F245" s="112">
        <f t="shared" si="160"/>
        <v>100000</v>
      </c>
      <c r="AG245" s="238">
        <f>AG244+1</f>
        <v>65</v>
      </c>
      <c r="AH245" s="112">
        <f ca="1">INDIRECT(CONCATENATE("AA",AG245))</f>
        <v>100000</v>
      </c>
      <c r="AI245" s="112" t="e">
        <f ca="1">IF(            INDIRECT(CONCATENATE( "AB",AG245))&lt;100000,       INDIRECT(CONCATENATE("AB",AG245))  -1,IF(   INDIRECT(CONCATENATE("AC",AG245))&lt;100000,   INDIRECT(CONCATENATE("AC",AG245))-1,IF(   INDIRECT(CONCATENATE("AD", AG245))&lt;100000, INDIRECT(CONCATENATE("AD",AG245))-1,IF(   INDIRECT(CONCATENATE("AE",AG245))&lt;100000,  INDIRECT(CONCATENATE("AE",G245)),INDIRECT(CONCATENATE("AF",AG245))                ))))</f>
        <v>#N/A</v>
      </c>
      <c r="AJ245" s="114"/>
      <c r="AK245" s="114"/>
      <c r="AL245" s="238" t="e">
        <f t="shared" ca="1" si="149"/>
        <v>#N/A</v>
      </c>
      <c r="AM245" s="112">
        <f t="shared" ca="1" si="159"/>
        <v>100000</v>
      </c>
      <c r="AN245" s="112">
        <f t="shared" ca="1" si="150"/>
        <v>100000</v>
      </c>
      <c r="AO245" s="114">
        <f t="shared" ca="1" si="147"/>
        <v>0</v>
      </c>
      <c r="AP245" s="114">
        <f t="shared" ca="1" si="148"/>
        <v>0</v>
      </c>
      <c r="AR245" s="238">
        <f t="shared" si="151"/>
        <v>245</v>
      </c>
      <c r="AU245" s="238">
        <f t="shared" si="152"/>
        <v>226</v>
      </c>
      <c r="AV245" s="238"/>
      <c r="AW245" s="238"/>
      <c r="BB245">
        <f t="shared" si="158"/>
        <v>83</v>
      </c>
      <c r="BC245" s="112">
        <f t="shared" ca="1" si="156"/>
        <v>100000</v>
      </c>
      <c r="BD245" s="112"/>
      <c r="CM245" s="112"/>
      <c r="CN245" s="112"/>
      <c r="CQ245" s="112"/>
      <c r="CR245" s="112"/>
      <c r="CS245" s="112"/>
      <c r="CT245" s="112"/>
      <c r="CU245" s="112"/>
      <c r="CV245" s="112"/>
      <c r="CW245" s="112"/>
      <c r="CX245" s="112" t="s">
        <v>224</v>
      </c>
      <c r="CY245" s="112" t="s">
        <v>225</v>
      </c>
      <c r="CZ245" s="112" t="s">
        <v>226</v>
      </c>
      <c r="DA245" s="112" t="s">
        <v>227</v>
      </c>
      <c r="DB245" s="112" t="s">
        <v>228</v>
      </c>
      <c r="DC245" s="112"/>
      <c r="DD245" s="112"/>
      <c r="DE245" s="238"/>
      <c r="DF245" s="112"/>
      <c r="DG245" s="112"/>
      <c r="DH245" s="112"/>
      <c r="DI245" s="112"/>
      <c r="DJ245" s="112"/>
      <c r="DK245" s="112">
        <f t="shared" si="154"/>
        <v>100000</v>
      </c>
      <c r="DL245" s="112"/>
      <c r="DM245" s="112"/>
      <c r="DN245" s="112"/>
      <c r="DO245" s="112"/>
      <c r="DP245" s="112"/>
      <c r="DQ245" s="112"/>
    </row>
    <row r="246" spans="4:121" x14ac:dyDescent="0.25">
      <c r="D246" t="str">
        <f t="shared" si="157"/>
        <v/>
      </c>
      <c r="E246" s="112">
        <f t="shared" si="160"/>
        <v>100000</v>
      </c>
      <c r="F246" s="112">
        <f t="shared" si="160"/>
        <v>100000</v>
      </c>
      <c r="AG246" s="238">
        <f>AG245</f>
        <v>65</v>
      </c>
      <c r="AH246" s="112" t="e">
        <f ca="1">AI245+1</f>
        <v>#N/A</v>
      </c>
      <c r="AI246" s="112" t="e">
        <f ca="1">IF(INDIRECT(CONCATENATE("AC",AG245))&lt;100000,INDIRECT(CONCATENATE("AC",AG245))-1,IF(INDIRECT(CONCATENATE("AD",AG245))&lt;100000,INDIRECT(CONCATENATE("AD",AG245))-1,IF(INDIRECT(CONCATENATE("AE",AG245))&lt;100000,INDIRECT(CONCATENATE("AE",G245)),INDIRECT(CONCATENATE("AF",AG245)))))</f>
        <v>#N/A</v>
      </c>
      <c r="AJ246" s="114"/>
      <c r="AK246" s="114"/>
      <c r="AL246" s="238" t="e">
        <f t="shared" ca="1" si="149"/>
        <v>#N/A</v>
      </c>
      <c r="AM246" s="112">
        <f t="shared" ca="1" si="159"/>
        <v>100000</v>
      </c>
      <c r="AN246" s="112">
        <f t="shared" ca="1" si="150"/>
        <v>100000</v>
      </c>
      <c r="AO246" s="114">
        <f t="shared" ca="1" si="147"/>
        <v>0</v>
      </c>
      <c r="AP246" s="114">
        <f t="shared" ca="1" si="148"/>
        <v>0</v>
      </c>
      <c r="AR246" s="238">
        <f t="shared" si="151"/>
        <v>246</v>
      </c>
      <c r="AU246" s="238">
        <f t="shared" si="152"/>
        <v>227</v>
      </c>
      <c r="AV246" s="238"/>
      <c r="AW246" s="238"/>
      <c r="BB246">
        <f t="shared" si="158"/>
        <v>84</v>
      </c>
      <c r="BC246" s="112">
        <f t="shared" ca="1" si="156"/>
        <v>100000</v>
      </c>
      <c r="BD246" s="112"/>
      <c r="CM246" s="112"/>
      <c r="CN246" s="112"/>
      <c r="CQ246" s="112"/>
      <c r="CR246" s="112"/>
      <c r="CS246" s="112"/>
      <c r="CT246" s="112"/>
      <c r="CU246" s="112"/>
      <c r="CV246" s="112"/>
      <c r="CW246" s="112"/>
      <c r="CX246" s="112" t="s">
        <v>224</v>
      </c>
      <c r="CY246" s="112" t="s">
        <v>225</v>
      </c>
      <c r="CZ246" s="112" t="s">
        <v>226</v>
      </c>
      <c r="DA246" s="112" t="s">
        <v>227</v>
      </c>
      <c r="DB246" s="112" t="s">
        <v>228</v>
      </c>
      <c r="DC246" s="112"/>
      <c r="DD246" s="112"/>
      <c r="DE246" s="238"/>
      <c r="DF246" s="112"/>
      <c r="DG246" s="112"/>
      <c r="DH246" s="112"/>
      <c r="DI246" s="112"/>
      <c r="DJ246" s="112"/>
      <c r="DK246" s="112">
        <f t="shared" si="154"/>
        <v>100000</v>
      </c>
      <c r="DL246" s="112"/>
      <c r="DM246" s="112"/>
      <c r="DN246" s="112"/>
      <c r="DO246" s="112"/>
      <c r="DP246" s="112"/>
      <c r="DQ246" s="112"/>
    </row>
    <row r="247" spans="4:121" x14ac:dyDescent="0.25">
      <c r="D247" t="str">
        <f t="shared" si="157"/>
        <v/>
      </c>
      <c r="E247" s="112">
        <f t="shared" si="160"/>
        <v>100000</v>
      </c>
      <c r="F247" s="112">
        <f t="shared" si="160"/>
        <v>100000</v>
      </c>
      <c r="AG247" s="238">
        <f>AG246</f>
        <v>65</v>
      </c>
      <c r="AH247" s="112" t="e">
        <f ca="1">AI246+1</f>
        <v>#N/A</v>
      </c>
      <c r="AI247" s="112" t="e">
        <f ca="1">IF(INDIRECT(CONCATENATE("AD",AG245))&lt;100000,INDIRECT(CONCATENATE("AD",AG245))-1,IF(INDIRECT(CONCATENATE("AE",AG245))&lt;100000,INDIRECT(CONCATENATE("AE",G245)),INDIRECT(CONCATENATE("AF",AG245))))</f>
        <v>#N/A</v>
      </c>
      <c r="AJ247" s="114"/>
      <c r="AK247" s="114"/>
      <c r="AL247" s="238" t="e">
        <f t="shared" ca="1" si="149"/>
        <v>#N/A</v>
      </c>
      <c r="AM247" s="112">
        <f t="shared" ca="1" si="159"/>
        <v>100000</v>
      </c>
      <c r="AN247" s="112">
        <f t="shared" ca="1" si="150"/>
        <v>100000</v>
      </c>
      <c r="AO247" s="114">
        <f t="shared" ca="1" si="147"/>
        <v>0</v>
      </c>
      <c r="AP247" s="114">
        <f t="shared" ca="1" si="148"/>
        <v>0</v>
      </c>
      <c r="AR247" s="238">
        <f t="shared" si="151"/>
        <v>247</v>
      </c>
      <c r="AU247" s="238">
        <f t="shared" si="152"/>
        <v>228</v>
      </c>
      <c r="AV247" s="238"/>
      <c r="AW247" s="238"/>
      <c r="BB247">
        <f t="shared" si="158"/>
        <v>85</v>
      </c>
      <c r="BC247" s="112">
        <f t="shared" ca="1" si="156"/>
        <v>100000</v>
      </c>
      <c r="BD247" s="112"/>
      <c r="CM247" s="112"/>
      <c r="CN247" s="112"/>
      <c r="CQ247" s="112"/>
      <c r="CR247" s="112"/>
      <c r="CS247" s="112"/>
      <c r="CT247" s="112"/>
      <c r="CU247" s="112"/>
      <c r="CV247" s="112"/>
      <c r="CW247" s="112"/>
      <c r="CX247" s="112" t="s">
        <v>224</v>
      </c>
      <c r="CY247" s="112" t="s">
        <v>225</v>
      </c>
      <c r="CZ247" s="112" t="s">
        <v>226</v>
      </c>
      <c r="DA247" s="112" t="s">
        <v>227</v>
      </c>
      <c r="DB247" s="112" t="s">
        <v>228</v>
      </c>
      <c r="DC247" s="112"/>
      <c r="DD247" s="112"/>
      <c r="DE247" s="238"/>
      <c r="DF247" s="112"/>
      <c r="DG247" s="112"/>
      <c r="DH247" s="112"/>
      <c r="DI247" s="112"/>
      <c r="DJ247" s="112"/>
      <c r="DK247" s="112">
        <f t="shared" si="154"/>
        <v>100000</v>
      </c>
      <c r="DL247" s="112"/>
      <c r="DM247" s="112"/>
      <c r="DN247" s="112"/>
      <c r="DO247" s="112"/>
      <c r="DP247" s="112"/>
      <c r="DQ247" s="112"/>
    </row>
    <row r="248" spans="4:121" x14ac:dyDescent="0.25">
      <c r="D248" t="str">
        <f t="shared" si="157"/>
        <v/>
      </c>
      <c r="E248" s="112">
        <f t="shared" si="160"/>
        <v>100000</v>
      </c>
      <c r="F248" s="112">
        <f t="shared" si="160"/>
        <v>100000</v>
      </c>
      <c r="AG248" s="238">
        <f>AG247</f>
        <v>65</v>
      </c>
      <c r="AH248" s="112" t="e">
        <f ca="1">AI247+1</f>
        <v>#N/A</v>
      </c>
      <c r="AI248" s="112" t="e">
        <f ca="1">IF(INDIRECT(CONCATENATE("AE",AG245))&lt;100000,INDIRECT(CONCATENATE("AE",G245)),INDIRECT(CONCATENATE("AF",AG245)))</f>
        <v>#N/A</v>
      </c>
      <c r="AJ248" s="114"/>
      <c r="AK248" s="114"/>
      <c r="AL248" s="238" t="e">
        <f t="shared" ca="1" si="149"/>
        <v>#N/A</v>
      </c>
      <c r="AM248" s="112">
        <f t="shared" ca="1" si="159"/>
        <v>100000</v>
      </c>
      <c r="AN248" s="112">
        <f t="shared" ca="1" si="150"/>
        <v>100000</v>
      </c>
      <c r="AO248" s="114">
        <f t="shared" ca="1" si="147"/>
        <v>0</v>
      </c>
      <c r="AP248" s="114">
        <f t="shared" ca="1" si="148"/>
        <v>0</v>
      </c>
      <c r="AR248" s="238">
        <f t="shared" si="151"/>
        <v>248</v>
      </c>
      <c r="AU248" s="238">
        <f t="shared" si="152"/>
        <v>229</v>
      </c>
      <c r="AV248" s="238"/>
      <c r="AW248" s="238"/>
      <c r="BB248">
        <f t="shared" si="158"/>
        <v>86</v>
      </c>
      <c r="BC248" s="112">
        <f t="shared" ca="1" si="156"/>
        <v>100000</v>
      </c>
      <c r="BD248" s="112"/>
      <c r="CM248" s="112"/>
      <c r="CN248" s="112"/>
      <c r="CQ248" s="112"/>
      <c r="CR248" s="112"/>
      <c r="CS248" s="112"/>
      <c r="CT248" s="112"/>
      <c r="CU248" s="112"/>
      <c r="CV248" s="112"/>
      <c r="CW248" s="112"/>
      <c r="CX248" s="112" t="s">
        <v>224</v>
      </c>
      <c r="CY248" s="112" t="s">
        <v>225</v>
      </c>
      <c r="CZ248" s="112" t="s">
        <v>226</v>
      </c>
      <c r="DA248" s="112" t="s">
        <v>227</v>
      </c>
      <c r="DB248" s="112" t="s">
        <v>228</v>
      </c>
      <c r="DC248" s="112"/>
      <c r="DD248" s="112"/>
      <c r="DE248" s="238"/>
      <c r="DF248" s="112"/>
      <c r="DG248" s="112"/>
      <c r="DH248" s="112"/>
      <c r="DI248" s="112"/>
      <c r="DJ248" s="112"/>
      <c r="DK248" s="112">
        <f t="shared" si="154"/>
        <v>100000</v>
      </c>
      <c r="DL248" s="112"/>
      <c r="DM248" s="112"/>
      <c r="DN248" s="112"/>
      <c r="DO248" s="112"/>
      <c r="DP248" s="112"/>
      <c r="DQ248" s="112"/>
    </row>
    <row r="249" spans="4:121" x14ac:dyDescent="0.25">
      <c r="D249" t="str">
        <f t="shared" si="157"/>
        <v/>
      </c>
      <c r="E249" s="112">
        <f t="shared" si="160"/>
        <v>100000</v>
      </c>
      <c r="F249" s="112">
        <f t="shared" si="160"/>
        <v>100000</v>
      </c>
      <c r="AG249" s="238">
        <f>AG248</f>
        <v>65</v>
      </c>
      <c r="AH249" s="112" t="e">
        <f ca="1">AI248+1</f>
        <v>#N/A</v>
      </c>
      <c r="AI249" s="112">
        <f ca="1">INDIRECT(CONCATENATE("AF",AG245))</f>
        <v>100000</v>
      </c>
      <c r="AJ249" s="114"/>
      <c r="AK249" s="114"/>
      <c r="AL249" s="238" t="e">
        <f t="shared" ca="1" si="149"/>
        <v>#N/A</v>
      </c>
      <c r="AM249" s="112">
        <f t="shared" ca="1" si="159"/>
        <v>100000</v>
      </c>
      <c r="AN249" s="112">
        <f t="shared" ca="1" si="150"/>
        <v>100000</v>
      </c>
      <c r="AO249" s="114">
        <f t="shared" ca="1" si="147"/>
        <v>0</v>
      </c>
      <c r="AP249" s="114">
        <f t="shared" ca="1" si="148"/>
        <v>0</v>
      </c>
      <c r="AR249" s="238">
        <f t="shared" si="151"/>
        <v>249</v>
      </c>
      <c r="AU249" s="238">
        <f t="shared" si="152"/>
        <v>230</v>
      </c>
      <c r="AV249" s="238"/>
      <c r="AW249" s="238"/>
      <c r="CM249" s="112"/>
      <c r="CN249" s="112"/>
      <c r="CQ249" s="112"/>
      <c r="CR249" s="112"/>
      <c r="CS249" s="112"/>
      <c r="CT249" s="112"/>
      <c r="CU249" s="112"/>
      <c r="CV249" s="112"/>
      <c r="CW249" s="112"/>
      <c r="CX249" s="112" t="s">
        <v>224</v>
      </c>
      <c r="CY249" s="112" t="s">
        <v>225</v>
      </c>
      <c r="CZ249" s="112" t="s">
        <v>226</v>
      </c>
      <c r="DA249" s="112" t="s">
        <v>227</v>
      </c>
      <c r="DB249" s="112" t="s">
        <v>228</v>
      </c>
      <c r="DC249" s="112"/>
      <c r="DD249" s="112"/>
      <c r="DE249" s="238"/>
      <c r="DF249" s="112"/>
      <c r="DG249" s="112"/>
      <c r="DH249" s="112"/>
      <c r="DI249" s="112"/>
      <c r="DJ249" s="112"/>
      <c r="DK249" s="112">
        <f t="shared" si="154"/>
        <v>100000</v>
      </c>
      <c r="DL249" s="112"/>
      <c r="DM249" s="112"/>
      <c r="DN249" s="112"/>
      <c r="DO249" s="112"/>
      <c r="DP249" s="112"/>
      <c r="DQ249" s="112"/>
    </row>
    <row r="250" spans="4:121" x14ac:dyDescent="0.25">
      <c r="D250" t="str">
        <f t="shared" si="157"/>
        <v/>
      </c>
      <c r="E250" s="112">
        <f t="shared" si="160"/>
        <v>100000</v>
      </c>
      <c r="F250" s="112">
        <f t="shared" si="160"/>
        <v>100000</v>
      </c>
      <c r="AG250" s="238">
        <f>AG249+1</f>
        <v>66</v>
      </c>
      <c r="AH250" s="112">
        <f ca="1">INDIRECT(CONCATENATE("AA",AG250))</f>
        <v>100000</v>
      </c>
      <c r="AI250" s="112" t="e">
        <f ca="1">IF(            INDIRECT(CONCATENATE( "AB",AG250))&lt;100000,       INDIRECT(CONCATENATE("AB",AG250))  -1,IF(   INDIRECT(CONCATENATE("AC",AG250))&lt;100000,   INDIRECT(CONCATENATE("AC",AG250))-1,IF(   INDIRECT(CONCATENATE("AD", AG250))&lt;100000, INDIRECT(CONCATENATE("AD",AG250))-1,IF(   INDIRECT(CONCATENATE("AE",AG250))&lt;100000,  INDIRECT(CONCATENATE("AE",G250)),INDIRECT(CONCATENATE("AF",AG250))                ))))</f>
        <v>#N/A</v>
      </c>
      <c r="AJ250" s="114"/>
      <c r="AK250" s="114"/>
      <c r="AL250" s="238" t="e">
        <f t="shared" ca="1" si="149"/>
        <v>#N/A</v>
      </c>
      <c r="AM250" s="112">
        <f t="shared" ca="1" si="159"/>
        <v>100000</v>
      </c>
      <c r="AN250" s="112">
        <f t="shared" ca="1" si="150"/>
        <v>100000</v>
      </c>
      <c r="AO250" s="114">
        <f t="shared" ca="1" si="147"/>
        <v>0</v>
      </c>
      <c r="AP250" s="114">
        <f t="shared" ca="1" si="148"/>
        <v>0</v>
      </c>
      <c r="AR250" s="238">
        <f t="shared" si="151"/>
        <v>250</v>
      </c>
      <c r="AU250" s="238">
        <f t="shared" si="152"/>
        <v>231</v>
      </c>
      <c r="AV250" s="238"/>
      <c r="AW250" s="238"/>
      <c r="CM250" s="112"/>
      <c r="CN250" s="112"/>
      <c r="CQ250" s="112"/>
      <c r="CR250" s="112"/>
      <c r="CS250" s="112"/>
      <c r="CT250" s="112"/>
      <c r="CU250" s="112"/>
      <c r="CV250" s="112"/>
      <c r="CW250" s="112"/>
      <c r="CX250" s="112" t="s">
        <v>224</v>
      </c>
      <c r="CY250" s="112" t="s">
        <v>225</v>
      </c>
      <c r="CZ250" s="112" t="s">
        <v>226</v>
      </c>
      <c r="DA250" s="112" t="s">
        <v>227</v>
      </c>
      <c r="DB250" s="112" t="s">
        <v>228</v>
      </c>
      <c r="DC250" s="112"/>
      <c r="DD250" s="112"/>
      <c r="DE250" s="238"/>
      <c r="DF250" s="112"/>
      <c r="DG250" s="112"/>
      <c r="DH250" s="112"/>
      <c r="DI250" s="112"/>
      <c r="DJ250" s="112"/>
      <c r="DK250" s="112">
        <f t="shared" si="154"/>
        <v>100000</v>
      </c>
      <c r="DL250" s="112"/>
      <c r="DM250" s="112"/>
      <c r="DN250" s="112"/>
      <c r="DO250" s="112"/>
      <c r="DP250" s="112"/>
      <c r="DQ250" s="112"/>
    </row>
    <row r="251" spans="4:121" x14ac:dyDescent="0.25">
      <c r="D251" t="str">
        <f t="shared" si="157"/>
        <v/>
      </c>
      <c r="E251" s="112">
        <f t="shared" si="160"/>
        <v>100000</v>
      </c>
      <c r="F251" s="112">
        <f t="shared" si="160"/>
        <v>100000</v>
      </c>
      <c r="AG251" s="238">
        <f>AG250</f>
        <v>66</v>
      </c>
      <c r="AH251" s="112" t="e">
        <f ca="1">AI250+1</f>
        <v>#N/A</v>
      </c>
      <c r="AI251" s="112" t="e">
        <f ca="1">IF(INDIRECT(CONCATENATE("AC",AG250))&lt;100000,INDIRECT(CONCATENATE("AC",AG250))-1,IF(INDIRECT(CONCATENATE("AD",AG250))&lt;100000,INDIRECT(CONCATENATE("AD",AG250))-1,IF(INDIRECT(CONCATENATE("AE",AG250))&lt;100000,INDIRECT(CONCATENATE("AE",G250)),INDIRECT(CONCATENATE("AF",AG250)))))</f>
        <v>#N/A</v>
      </c>
      <c r="AJ251" s="114"/>
      <c r="AK251" s="114"/>
      <c r="AL251" s="238" t="e">
        <f t="shared" ca="1" si="149"/>
        <v>#N/A</v>
      </c>
      <c r="AM251" s="112">
        <f t="shared" ca="1" si="159"/>
        <v>100000</v>
      </c>
      <c r="AN251" s="112">
        <f t="shared" ca="1" si="150"/>
        <v>100000</v>
      </c>
      <c r="AO251" s="114">
        <f t="shared" ca="1" si="147"/>
        <v>0</v>
      </c>
      <c r="AP251" s="114">
        <f t="shared" ca="1" si="148"/>
        <v>0</v>
      </c>
      <c r="AR251" s="238">
        <f t="shared" si="151"/>
        <v>251</v>
      </c>
      <c r="AU251" s="238">
        <f t="shared" si="152"/>
        <v>232</v>
      </c>
      <c r="AV251" s="238"/>
      <c r="AW251" s="238"/>
      <c r="CM251" s="112"/>
      <c r="CN251" s="112"/>
      <c r="CQ251" s="112"/>
      <c r="CR251" s="112"/>
      <c r="CS251" s="112"/>
      <c r="CT251" s="112"/>
      <c r="CU251" s="112"/>
      <c r="CV251" s="112"/>
      <c r="CW251" s="112"/>
      <c r="CX251" s="112" t="s">
        <v>224</v>
      </c>
      <c r="CY251" s="112" t="s">
        <v>225</v>
      </c>
      <c r="CZ251" s="112" t="s">
        <v>226</v>
      </c>
      <c r="DA251" s="112" t="s">
        <v>227</v>
      </c>
      <c r="DB251" s="112" t="s">
        <v>228</v>
      </c>
      <c r="DC251" s="112"/>
      <c r="DD251" s="112"/>
      <c r="DE251" s="238"/>
      <c r="DF251" s="112"/>
      <c r="DG251" s="112"/>
      <c r="DH251" s="112"/>
      <c r="DI251" s="112"/>
      <c r="DJ251" s="112"/>
      <c r="DK251" s="112">
        <f t="shared" si="154"/>
        <v>100000</v>
      </c>
      <c r="DL251" s="112"/>
      <c r="DM251" s="112"/>
      <c r="DN251" s="112"/>
      <c r="DO251" s="112"/>
      <c r="DP251" s="112"/>
      <c r="DQ251" s="112"/>
    </row>
    <row r="252" spans="4:121" x14ac:dyDescent="0.25">
      <c r="D252" t="str">
        <f t="shared" si="157"/>
        <v/>
      </c>
      <c r="E252" s="112">
        <f t="shared" si="160"/>
        <v>100000</v>
      </c>
      <c r="F252" s="112">
        <f t="shared" si="160"/>
        <v>100000</v>
      </c>
      <c r="AG252" s="238">
        <f>AG251</f>
        <v>66</v>
      </c>
      <c r="AH252" s="112" t="e">
        <f ca="1">AI251+1</f>
        <v>#N/A</v>
      </c>
      <c r="AI252" s="112" t="e">
        <f ca="1">IF(INDIRECT(CONCATENATE("AD",AG250))&lt;100000,INDIRECT(CONCATENATE("AD",AG250))-1,IF(INDIRECT(CONCATENATE("AE",AG250))&lt;100000,INDIRECT(CONCATENATE("AE",G250)),INDIRECT(CONCATENATE("AF",AG250))))</f>
        <v>#N/A</v>
      </c>
      <c r="AJ252" s="114"/>
      <c r="AK252" s="114"/>
      <c r="AL252" s="238" t="e">
        <f t="shared" ca="1" si="149"/>
        <v>#N/A</v>
      </c>
      <c r="AM252" s="112">
        <f t="shared" ca="1" si="159"/>
        <v>100000</v>
      </c>
      <c r="AN252" s="112">
        <f t="shared" ca="1" si="150"/>
        <v>100000</v>
      </c>
      <c r="AO252" s="114">
        <f t="shared" ca="1" si="147"/>
        <v>0</v>
      </c>
      <c r="AP252" s="114">
        <f t="shared" ca="1" si="148"/>
        <v>0</v>
      </c>
      <c r="AR252" s="238">
        <f t="shared" si="151"/>
        <v>252</v>
      </c>
      <c r="AU252" s="238">
        <f t="shared" si="152"/>
        <v>233</v>
      </c>
      <c r="AV252" s="238"/>
      <c r="AW252" s="238"/>
      <c r="CM252" s="112"/>
      <c r="CN252" s="112"/>
      <c r="CQ252" s="112"/>
      <c r="CR252" s="112"/>
      <c r="CS252" s="112"/>
      <c r="CT252" s="112"/>
      <c r="CU252" s="112"/>
      <c r="CV252" s="112"/>
      <c r="CW252" s="112"/>
      <c r="CX252" s="112" t="s">
        <v>224</v>
      </c>
      <c r="CY252" s="112" t="s">
        <v>225</v>
      </c>
      <c r="CZ252" s="112" t="s">
        <v>226</v>
      </c>
      <c r="DA252" s="112" t="s">
        <v>227</v>
      </c>
      <c r="DB252" s="112" t="s">
        <v>228</v>
      </c>
      <c r="DC252" s="112"/>
      <c r="DD252" s="112"/>
      <c r="DE252" s="238"/>
      <c r="DF252" s="112"/>
      <c r="DG252" s="112"/>
      <c r="DH252" s="112"/>
      <c r="DI252" s="112"/>
      <c r="DJ252" s="112"/>
      <c r="DK252" s="112">
        <f t="shared" si="154"/>
        <v>100000</v>
      </c>
      <c r="DL252" s="112"/>
      <c r="DM252" s="112"/>
      <c r="DN252" s="112"/>
      <c r="DO252" s="112"/>
      <c r="DP252" s="112"/>
      <c r="DQ252" s="112"/>
    </row>
    <row r="253" spans="4:121" x14ac:dyDescent="0.25">
      <c r="D253" t="str">
        <f t="shared" si="157"/>
        <v/>
      </c>
      <c r="E253" s="112">
        <f t="shared" si="160"/>
        <v>100000</v>
      </c>
      <c r="F253" s="112">
        <f t="shared" si="160"/>
        <v>100000</v>
      </c>
      <c r="AG253" s="238">
        <f>AG252</f>
        <v>66</v>
      </c>
      <c r="AH253" s="112" t="e">
        <f ca="1">AI252+1</f>
        <v>#N/A</v>
      </c>
      <c r="AI253" s="112" t="e">
        <f ca="1">IF(INDIRECT(CONCATENATE("AE",AG250))&lt;100000,INDIRECT(CONCATENATE("AE",G250)),INDIRECT(CONCATENATE("AF",AG250)))</f>
        <v>#N/A</v>
      </c>
      <c r="AJ253" s="114"/>
      <c r="AK253" s="114"/>
      <c r="AL253" s="238" t="e">
        <f t="shared" ca="1" si="149"/>
        <v>#N/A</v>
      </c>
      <c r="AM253" s="112">
        <f t="shared" ca="1" si="159"/>
        <v>100000</v>
      </c>
      <c r="AN253" s="112">
        <f t="shared" ca="1" si="150"/>
        <v>100000</v>
      </c>
      <c r="AO253" s="114">
        <f t="shared" ca="1" si="147"/>
        <v>0</v>
      </c>
      <c r="AP253" s="114">
        <f t="shared" ca="1" si="148"/>
        <v>0</v>
      </c>
      <c r="AR253" s="238">
        <f t="shared" si="151"/>
        <v>253</v>
      </c>
      <c r="AU253" s="238">
        <f t="shared" si="152"/>
        <v>234</v>
      </c>
      <c r="AV253" s="238"/>
      <c r="AW253" s="238"/>
      <c r="CM253" s="112"/>
      <c r="CN253" s="112"/>
      <c r="CQ253" s="112"/>
      <c r="CR253" s="112"/>
      <c r="CS253" s="112"/>
      <c r="CT253" s="112"/>
      <c r="CU253" s="112"/>
      <c r="CV253" s="112"/>
      <c r="CW253" s="112"/>
      <c r="CX253" s="112" t="s">
        <v>224</v>
      </c>
      <c r="CY253" s="112" t="s">
        <v>225</v>
      </c>
      <c r="CZ253" s="112" t="s">
        <v>226</v>
      </c>
      <c r="DA253" s="112" t="s">
        <v>227</v>
      </c>
      <c r="DB253" s="112" t="s">
        <v>228</v>
      </c>
      <c r="DC253" s="112"/>
      <c r="DD253" s="112"/>
      <c r="DE253" s="238"/>
      <c r="DF253" s="112"/>
      <c r="DG253" s="112"/>
      <c r="DH253" s="112"/>
      <c r="DI253" s="112"/>
      <c r="DJ253" s="112"/>
      <c r="DK253" s="112">
        <f t="shared" si="154"/>
        <v>100000</v>
      </c>
      <c r="DL253" s="112"/>
      <c r="DM253" s="112"/>
      <c r="DN253" s="112"/>
      <c r="DO253" s="112"/>
      <c r="DP253" s="112"/>
      <c r="DQ253" s="112"/>
    </row>
    <row r="254" spans="4:121" x14ac:dyDescent="0.25">
      <c r="D254" t="str">
        <f t="shared" si="157"/>
        <v/>
      </c>
      <c r="E254" s="112">
        <f t="shared" si="160"/>
        <v>100000</v>
      </c>
      <c r="F254" s="112">
        <f t="shared" si="160"/>
        <v>100000</v>
      </c>
      <c r="AG254" s="238">
        <f>AG253</f>
        <v>66</v>
      </c>
      <c r="AH254" s="112" t="e">
        <f ca="1">AI253+1</f>
        <v>#N/A</v>
      </c>
      <c r="AI254" s="112">
        <f ca="1">INDIRECT(CONCATENATE("AF",AG250))</f>
        <v>100000</v>
      </c>
      <c r="AJ254" s="114"/>
      <c r="AK254" s="114"/>
      <c r="AL254" s="238" t="e">
        <f t="shared" ca="1" si="149"/>
        <v>#N/A</v>
      </c>
      <c r="AM254" s="112">
        <f t="shared" ca="1" si="159"/>
        <v>100000</v>
      </c>
      <c r="AN254" s="112">
        <f t="shared" ca="1" si="150"/>
        <v>100000</v>
      </c>
      <c r="AO254" s="114">
        <f t="shared" ca="1" si="147"/>
        <v>0</v>
      </c>
      <c r="AP254" s="114">
        <f t="shared" ca="1" si="148"/>
        <v>0</v>
      </c>
      <c r="AR254" s="238">
        <f t="shared" si="151"/>
        <v>254</v>
      </c>
      <c r="AU254" s="238">
        <f t="shared" si="152"/>
        <v>235</v>
      </c>
      <c r="AV254" s="238"/>
      <c r="AW254" s="238"/>
      <c r="CM254" s="112"/>
      <c r="CN254" s="112"/>
      <c r="CQ254" s="112"/>
      <c r="CR254" s="112"/>
      <c r="CS254" s="112"/>
      <c r="CT254" s="112"/>
      <c r="CU254" s="112"/>
      <c r="CV254" s="112"/>
      <c r="CW254" s="112"/>
      <c r="CX254" s="112" t="s">
        <v>224</v>
      </c>
      <c r="CY254" s="112" t="s">
        <v>225</v>
      </c>
      <c r="CZ254" s="112" t="s">
        <v>226</v>
      </c>
      <c r="DA254" s="112" t="s">
        <v>227</v>
      </c>
      <c r="DB254" s="112" t="s">
        <v>228</v>
      </c>
      <c r="DC254" s="112"/>
      <c r="DD254" s="112"/>
      <c r="DE254" s="238"/>
      <c r="DF254" s="112"/>
      <c r="DG254" s="112"/>
      <c r="DH254" s="112"/>
      <c r="DI254" s="112"/>
      <c r="DJ254" s="112"/>
      <c r="DK254" s="112">
        <f t="shared" si="154"/>
        <v>100000</v>
      </c>
      <c r="DL254" s="112"/>
      <c r="DM254" s="112"/>
      <c r="DN254" s="112"/>
      <c r="DO254" s="112"/>
      <c r="DP254" s="112"/>
      <c r="DQ254" s="112"/>
    </row>
    <row r="255" spans="4:121" x14ac:dyDescent="0.25">
      <c r="D255" t="str">
        <f t="shared" si="157"/>
        <v/>
      </c>
      <c r="E255" s="112">
        <f t="shared" si="160"/>
        <v>100000</v>
      </c>
      <c r="F255" s="112">
        <f t="shared" si="160"/>
        <v>100000</v>
      </c>
      <c r="AG255" s="238">
        <f>AG254+1</f>
        <v>67</v>
      </c>
      <c r="AH255" s="112">
        <f ca="1">INDIRECT(CONCATENATE("AA",AG255))</f>
        <v>100000</v>
      </c>
      <c r="AI255" s="112" t="e">
        <f ca="1">IF(            INDIRECT(CONCATENATE( "AB",AG255))&lt;100000,       INDIRECT(CONCATENATE("AB",AG255))  -1,IF(   INDIRECT(CONCATENATE("AC",AG255))&lt;100000,   INDIRECT(CONCATENATE("AC",AG255))-1,IF(   INDIRECT(CONCATENATE("AD", AG255))&lt;100000, INDIRECT(CONCATENATE("AD",AG255))-1,IF(   INDIRECT(CONCATENATE("AE",AG255))&lt;100000,  INDIRECT(CONCATENATE("AE",G255)),INDIRECT(CONCATENATE("AF",AG255))                ))))</f>
        <v>#N/A</v>
      </c>
      <c r="AJ255" s="114"/>
      <c r="AK255" s="114"/>
      <c r="AL255" s="238" t="e">
        <f t="shared" ca="1" si="149"/>
        <v>#N/A</v>
      </c>
      <c r="AM255" s="112">
        <f t="shared" ca="1" si="159"/>
        <v>100000</v>
      </c>
      <c r="AN255" s="112">
        <f t="shared" ca="1" si="150"/>
        <v>100000</v>
      </c>
      <c r="AO255" s="114">
        <f t="shared" ca="1" si="147"/>
        <v>0</v>
      </c>
      <c r="AP255" s="114">
        <f t="shared" ca="1" si="148"/>
        <v>0</v>
      </c>
      <c r="AR255" s="238">
        <f t="shared" si="151"/>
        <v>255</v>
      </c>
      <c r="AU255" s="238">
        <f t="shared" si="152"/>
        <v>236</v>
      </c>
      <c r="AV255" s="238"/>
      <c r="AW255" s="238"/>
      <c r="CM255" s="112"/>
      <c r="CN255" s="112"/>
      <c r="CQ255" s="112"/>
      <c r="CR255" s="112"/>
      <c r="CS255" s="112"/>
      <c r="CT255" s="112"/>
      <c r="CU255" s="112"/>
      <c r="CV255" s="112"/>
      <c r="CW255" s="112"/>
      <c r="CX255" s="112" t="s">
        <v>224</v>
      </c>
      <c r="CY255" s="112" t="s">
        <v>225</v>
      </c>
      <c r="CZ255" s="112" t="s">
        <v>226</v>
      </c>
      <c r="DA255" s="112" t="s">
        <v>227</v>
      </c>
      <c r="DB255" s="112" t="s">
        <v>228</v>
      </c>
      <c r="DC255" s="112"/>
      <c r="DD255" s="112"/>
      <c r="DE255" s="238"/>
      <c r="DF255" s="112"/>
      <c r="DG255" s="112"/>
      <c r="DH255" s="112"/>
      <c r="DI255" s="112"/>
      <c r="DJ255" s="112"/>
      <c r="DK255" s="112">
        <f t="shared" si="154"/>
        <v>100000</v>
      </c>
      <c r="DL255" s="112"/>
      <c r="DM255" s="112"/>
      <c r="DN255" s="112"/>
      <c r="DO255" s="112"/>
      <c r="DP255" s="112"/>
      <c r="DQ255" s="112"/>
    </row>
    <row r="256" spans="4:121" x14ac:dyDescent="0.25">
      <c r="D256" t="str">
        <f t="shared" si="157"/>
        <v/>
      </c>
      <c r="E256" s="112">
        <f t="shared" si="160"/>
        <v>100000</v>
      </c>
      <c r="F256" s="112">
        <f t="shared" si="160"/>
        <v>100000</v>
      </c>
      <c r="AG256" s="238">
        <f>AG255</f>
        <v>67</v>
      </c>
      <c r="AH256" s="112" t="e">
        <f ca="1">AI255+1</f>
        <v>#N/A</v>
      </c>
      <c r="AI256" s="112" t="e">
        <f ca="1">IF(INDIRECT(CONCATENATE("AC",AG255))&lt;100000,INDIRECT(CONCATENATE("AC",AG255))-1,IF(INDIRECT(CONCATENATE("AD",AG255))&lt;100000,INDIRECT(CONCATENATE("AD",AG255))-1,IF(INDIRECT(CONCATENATE("AE",AG255))&lt;100000,INDIRECT(CONCATENATE("AE",G255)),INDIRECT(CONCATENATE("AF",AG255)))))</f>
        <v>#N/A</v>
      </c>
      <c r="AJ256" s="114"/>
      <c r="AK256" s="114"/>
      <c r="AL256" s="238" t="e">
        <f t="shared" ca="1" si="149"/>
        <v>#N/A</v>
      </c>
      <c r="AM256" s="112">
        <f t="shared" ca="1" si="159"/>
        <v>100000</v>
      </c>
      <c r="AN256" s="112">
        <f t="shared" ca="1" si="150"/>
        <v>100000</v>
      </c>
      <c r="AO256" s="114">
        <f t="shared" ca="1" si="147"/>
        <v>0</v>
      </c>
      <c r="AP256" s="114">
        <f t="shared" ca="1" si="148"/>
        <v>0</v>
      </c>
      <c r="AR256" s="238">
        <f t="shared" si="151"/>
        <v>256</v>
      </c>
      <c r="AU256" s="238">
        <f t="shared" si="152"/>
        <v>237</v>
      </c>
      <c r="AV256" s="238"/>
      <c r="AW256" s="238"/>
      <c r="CM256" s="112"/>
      <c r="CN256" s="112"/>
      <c r="CQ256" s="112"/>
      <c r="CR256" s="112"/>
      <c r="CS256" s="112"/>
      <c r="CT256" s="112"/>
      <c r="CU256" s="112"/>
      <c r="CV256" s="112"/>
      <c r="CW256" s="112"/>
      <c r="CX256" s="112" t="s">
        <v>224</v>
      </c>
      <c r="CY256" s="112" t="s">
        <v>225</v>
      </c>
      <c r="CZ256" s="112" t="s">
        <v>226</v>
      </c>
      <c r="DA256" s="112" t="s">
        <v>227</v>
      </c>
      <c r="DB256" s="112" t="s">
        <v>228</v>
      </c>
      <c r="DC256" s="112"/>
      <c r="DD256" s="112"/>
      <c r="DE256" s="238"/>
      <c r="DF256" s="112"/>
      <c r="DG256" s="112"/>
      <c r="DH256" s="112"/>
      <c r="DI256" s="112"/>
      <c r="DJ256" s="112"/>
      <c r="DK256" s="112">
        <f t="shared" si="154"/>
        <v>100000</v>
      </c>
      <c r="DL256" s="112"/>
      <c r="DM256" s="112"/>
      <c r="DN256" s="112"/>
      <c r="DO256" s="112"/>
      <c r="DP256" s="112"/>
      <c r="DQ256" s="112"/>
    </row>
    <row r="257" spans="4:121" x14ac:dyDescent="0.25">
      <c r="D257" t="str">
        <f t="shared" si="157"/>
        <v/>
      </c>
      <c r="E257" s="112">
        <f t="shared" si="160"/>
        <v>100000</v>
      </c>
      <c r="F257" s="112">
        <f t="shared" si="160"/>
        <v>100000</v>
      </c>
      <c r="AG257" s="238">
        <f>AG256</f>
        <v>67</v>
      </c>
      <c r="AH257" s="112" t="e">
        <f ca="1">AI256+1</f>
        <v>#N/A</v>
      </c>
      <c r="AI257" s="112" t="e">
        <f ca="1">IF(INDIRECT(CONCATENATE("AD",AG255))&lt;100000,INDIRECT(CONCATENATE("AD",AG255))-1,IF(INDIRECT(CONCATENATE("AE",AG255))&lt;100000,INDIRECT(CONCATENATE("AE",G255)),INDIRECT(CONCATENATE("AF",AG255))))</f>
        <v>#N/A</v>
      </c>
      <c r="AJ257" s="114"/>
      <c r="AK257" s="114"/>
      <c r="AL257" s="238" t="e">
        <f t="shared" ca="1" si="149"/>
        <v>#N/A</v>
      </c>
      <c r="AM257" s="112">
        <f t="shared" ca="1" si="159"/>
        <v>100000</v>
      </c>
      <c r="AN257" s="112">
        <f t="shared" ca="1" si="150"/>
        <v>100000</v>
      </c>
      <c r="AO257" s="114">
        <f t="shared" ca="1" si="147"/>
        <v>0</v>
      </c>
      <c r="AP257" s="114">
        <f t="shared" ca="1" si="148"/>
        <v>0</v>
      </c>
      <c r="AR257" s="238">
        <f t="shared" si="151"/>
        <v>257</v>
      </c>
      <c r="AU257" s="238">
        <f t="shared" si="152"/>
        <v>238</v>
      </c>
      <c r="AV257" s="238"/>
      <c r="AW257" s="238"/>
      <c r="CM257" s="112"/>
      <c r="CN257" s="112"/>
      <c r="CQ257" s="112"/>
      <c r="CR257" s="112"/>
      <c r="CS257" s="112"/>
      <c r="CT257" s="112"/>
      <c r="CU257" s="112"/>
      <c r="CV257" s="112"/>
      <c r="CW257" s="112"/>
      <c r="CX257" s="112" t="s">
        <v>224</v>
      </c>
      <c r="CY257" s="112" t="s">
        <v>225</v>
      </c>
      <c r="CZ257" s="112" t="s">
        <v>226</v>
      </c>
      <c r="DA257" s="112" t="s">
        <v>227</v>
      </c>
      <c r="DB257" s="112" t="s">
        <v>228</v>
      </c>
      <c r="DC257" s="112"/>
      <c r="DD257" s="112"/>
      <c r="DE257" s="238"/>
      <c r="DF257" s="112"/>
      <c r="DG257" s="112"/>
      <c r="DH257" s="112"/>
      <c r="DI257" s="112"/>
      <c r="DJ257" s="112"/>
      <c r="DK257" s="112">
        <f t="shared" si="154"/>
        <v>100000</v>
      </c>
      <c r="DL257" s="112"/>
      <c r="DM257" s="112"/>
      <c r="DN257" s="112"/>
      <c r="DO257" s="112"/>
      <c r="DP257" s="112"/>
      <c r="DQ257" s="112"/>
    </row>
    <row r="258" spans="4:121" x14ac:dyDescent="0.25">
      <c r="D258" t="str">
        <f t="shared" si="157"/>
        <v/>
      </c>
      <c r="E258" s="112">
        <f t="shared" si="160"/>
        <v>100000</v>
      </c>
      <c r="F258" s="112">
        <f t="shared" si="160"/>
        <v>100000</v>
      </c>
      <c r="AG258" s="238">
        <f>AG257</f>
        <v>67</v>
      </c>
      <c r="AH258" s="112" t="e">
        <f ca="1">AI257+1</f>
        <v>#N/A</v>
      </c>
      <c r="AI258" s="112" t="e">
        <f ca="1">IF(INDIRECT(CONCATENATE("AE",AG255))&lt;100000,INDIRECT(CONCATENATE("AE",G255)),INDIRECT(CONCATENATE("AF",AG255)))</f>
        <v>#N/A</v>
      </c>
      <c r="AJ258" s="114"/>
      <c r="AK258" s="114"/>
      <c r="AL258" s="238" t="e">
        <f t="shared" ca="1" si="149"/>
        <v>#N/A</v>
      </c>
      <c r="AM258" s="112">
        <f t="shared" ca="1" si="159"/>
        <v>100000</v>
      </c>
      <c r="AN258" s="112">
        <f t="shared" ca="1" si="150"/>
        <v>100000</v>
      </c>
      <c r="AO258" s="114">
        <f t="shared" ca="1" si="147"/>
        <v>0</v>
      </c>
      <c r="AP258" s="114">
        <f t="shared" ca="1" si="148"/>
        <v>0</v>
      </c>
      <c r="AR258" s="238">
        <f t="shared" si="151"/>
        <v>258</v>
      </c>
      <c r="AU258" s="238">
        <f t="shared" si="152"/>
        <v>239</v>
      </c>
      <c r="AV258" s="238"/>
      <c r="AW258" s="238"/>
      <c r="CM258" s="112"/>
      <c r="CN258" s="112"/>
      <c r="CQ258" s="112"/>
      <c r="CR258" s="112"/>
      <c r="CS258" s="112"/>
      <c r="CT258" s="112"/>
      <c r="CU258" s="112"/>
      <c r="CV258" s="112"/>
      <c r="CW258" s="112"/>
      <c r="CX258" s="112" t="s">
        <v>224</v>
      </c>
      <c r="CY258" s="112" t="s">
        <v>225</v>
      </c>
      <c r="CZ258" s="112" t="s">
        <v>226</v>
      </c>
      <c r="DA258" s="112" t="s">
        <v>227</v>
      </c>
      <c r="DB258" s="112" t="s">
        <v>228</v>
      </c>
      <c r="DC258" s="112"/>
      <c r="DD258" s="112"/>
      <c r="DE258" s="238"/>
      <c r="DF258" s="112"/>
      <c r="DG258" s="112"/>
      <c r="DH258" s="112"/>
      <c r="DI258" s="112"/>
      <c r="DJ258" s="112"/>
      <c r="DK258" s="112">
        <f t="shared" si="154"/>
        <v>100000</v>
      </c>
      <c r="DL258" s="112"/>
      <c r="DM258" s="112"/>
      <c r="DN258" s="112"/>
      <c r="DO258" s="112"/>
      <c r="DP258" s="112"/>
      <c r="DQ258" s="112"/>
    </row>
    <row r="259" spans="4:121" x14ac:dyDescent="0.25">
      <c r="E259" s="112">
        <f ca="1">IF(N163&gt;0,N163,100000)</f>
        <v>36138</v>
      </c>
      <c r="AG259" s="238">
        <f>AG258</f>
        <v>67</v>
      </c>
      <c r="AH259" s="112" t="e">
        <f ca="1">AI258+1</f>
        <v>#N/A</v>
      </c>
      <c r="AI259" s="112">
        <f ca="1">INDIRECT(CONCATENATE("AF",AG255))</f>
        <v>100000</v>
      </c>
      <c r="AJ259" s="114"/>
      <c r="AK259" s="114"/>
      <c r="AL259" s="238" t="e">
        <f t="shared" ca="1" si="149"/>
        <v>#N/A</v>
      </c>
      <c r="AM259" s="112">
        <f t="shared" ca="1" si="159"/>
        <v>100000</v>
      </c>
      <c r="AN259" s="112">
        <f t="shared" ca="1" si="150"/>
        <v>100000</v>
      </c>
      <c r="AO259" s="114">
        <f t="shared" ca="1" si="147"/>
        <v>0</v>
      </c>
      <c r="AP259" s="114">
        <f t="shared" ca="1" si="148"/>
        <v>0</v>
      </c>
      <c r="AR259" s="238">
        <f t="shared" si="151"/>
        <v>259</v>
      </c>
      <c r="AU259" s="238">
        <f t="shared" si="152"/>
        <v>240</v>
      </c>
      <c r="AV259" s="238"/>
      <c r="AW259" s="238"/>
      <c r="CM259" s="112"/>
      <c r="CN259" s="112"/>
      <c r="CQ259" s="112"/>
      <c r="CR259" s="112"/>
      <c r="CS259" s="112"/>
      <c r="CT259" s="112"/>
      <c r="CU259" s="112"/>
      <c r="CV259" s="112"/>
      <c r="CW259" s="112"/>
      <c r="CX259" s="112" t="s">
        <v>224</v>
      </c>
      <c r="CY259" s="112" t="s">
        <v>225</v>
      </c>
      <c r="CZ259" s="112" t="s">
        <v>226</v>
      </c>
      <c r="DA259" s="112" t="s">
        <v>227</v>
      </c>
      <c r="DB259" s="112" t="s">
        <v>228</v>
      </c>
      <c r="DC259" s="112"/>
      <c r="DD259" s="112"/>
      <c r="DE259" s="238"/>
      <c r="DF259" s="112"/>
      <c r="DG259" s="112"/>
      <c r="DH259" s="112"/>
      <c r="DI259" s="112"/>
      <c r="DJ259" s="112"/>
      <c r="DK259" s="112">
        <f t="shared" si="154"/>
        <v>100000</v>
      </c>
      <c r="DL259" s="112"/>
      <c r="DM259" s="112"/>
      <c r="DN259" s="112"/>
      <c r="DO259" s="112"/>
      <c r="DP259" s="112"/>
      <c r="DQ259" s="112"/>
    </row>
    <row r="260" spans="4:121" x14ac:dyDescent="0.25">
      <c r="E260" s="112">
        <f t="shared" ref="E260:E283" ca="1" si="161">IF(N164&gt;0,N164,100000)</f>
        <v>36312</v>
      </c>
      <c r="AG260" s="238">
        <f>AG259+1</f>
        <v>68</v>
      </c>
      <c r="AH260" s="112">
        <f ca="1">INDIRECT(CONCATENATE("AA",AG260))</f>
        <v>100000</v>
      </c>
      <c r="AI260" s="112" t="e">
        <f ca="1">IF(            INDIRECT(CONCATENATE( "AB",AG260))&lt;100000,       INDIRECT(CONCATENATE("AB",AG260))  -1,IF(   INDIRECT(CONCATENATE("AC",AG260))&lt;100000,   INDIRECT(CONCATENATE("AC",AG260))-1,IF(   INDIRECT(CONCATENATE("AD", AG260))&lt;100000, INDIRECT(CONCATENATE("AD",AG260))-1,IF(   INDIRECT(CONCATENATE("AE",AG260))&lt;100000,  INDIRECT(CONCATENATE("AE",G260)),INDIRECT(CONCATENATE("AF",AG260))                ))))</f>
        <v>#N/A</v>
      </c>
      <c r="AJ260" s="114"/>
      <c r="AK260" s="114"/>
      <c r="AL260" s="238" t="e">
        <f t="shared" ca="1" si="149"/>
        <v>#N/A</v>
      </c>
      <c r="AM260" s="112">
        <f t="shared" ca="1" si="159"/>
        <v>100000</v>
      </c>
      <c r="AN260" s="112">
        <f t="shared" ca="1" si="150"/>
        <v>100000</v>
      </c>
      <c r="AO260" s="114">
        <f t="shared" ca="1" si="147"/>
        <v>0</v>
      </c>
      <c r="AP260" s="114">
        <f t="shared" ca="1" si="148"/>
        <v>0</v>
      </c>
      <c r="AR260" s="238">
        <f t="shared" si="151"/>
        <v>260</v>
      </c>
      <c r="AU260" s="238">
        <f t="shared" si="152"/>
        <v>241</v>
      </c>
      <c r="AV260" s="238"/>
      <c r="AW260" s="238"/>
      <c r="CM260" s="112"/>
      <c r="CN260" s="112"/>
      <c r="CQ260" s="112"/>
      <c r="CR260" s="112"/>
      <c r="CS260" s="112"/>
      <c r="CT260" s="112"/>
      <c r="CU260" s="112"/>
      <c r="CV260" s="112"/>
      <c r="CW260" s="112"/>
      <c r="CX260" s="112" t="s">
        <v>224</v>
      </c>
      <c r="CY260" s="112" t="s">
        <v>225</v>
      </c>
      <c r="CZ260" s="112" t="s">
        <v>226</v>
      </c>
      <c r="DA260" s="112" t="s">
        <v>227</v>
      </c>
      <c r="DB260" s="112" t="s">
        <v>228</v>
      </c>
      <c r="DC260" s="112"/>
      <c r="DD260" s="112"/>
      <c r="DE260" s="238"/>
      <c r="DF260" s="112"/>
      <c r="DG260" s="112"/>
      <c r="DH260" s="112"/>
      <c r="DI260" s="112"/>
      <c r="DJ260" s="112"/>
      <c r="DK260" s="112">
        <f t="shared" si="154"/>
        <v>100000</v>
      </c>
      <c r="DL260" s="112"/>
      <c r="DM260" s="112"/>
      <c r="DN260" s="112"/>
      <c r="DO260" s="112"/>
      <c r="DP260" s="112"/>
      <c r="DQ260" s="112"/>
    </row>
    <row r="261" spans="4:121" x14ac:dyDescent="0.25">
      <c r="E261" s="112">
        <f t="shared" ca="1" si="161"/>
        <v>36708</v>
      </c>
      <c r="AG261" s="238">
        <f>AG260</f>
        <v>68</v>
      </c>
      <c r="AH261" s="112" t="e">
        <f ca="1">AI260+1</f>
        <v>#N/A</v>
      </c>
      <c r="AI261" s="112" t="e">
        <f ca="1">IF(INDIRECT(CONCATENATE("AC",AG260))&lt;100000,INDIRECT(CONCATENATE("AC",AG260))-1,IF(INDIRECT(CONCATENATE("AD",AG260))&lt;100000,INDIRECT(CONCATENATE("AD",AG260))-1,IF(INDIRECT(CONCATENATE("AE",AG260))&lt;100000,INDIRECT(CONCATENATE("AE",G260)),INDIRECT(CONCATENATE("AF",AG260)))))</f>
        <v>#N/A</v>
      </c>
      <c r="AJ261" s="114"/>
      <c r="AK261" s="114"/>
      <c r="AL261" s="238" t="e">
        <f t="shared" ca="1" si="149"/>
        <v>#N/A</v>
      </c>
      <c r="AM261" s="112">
        <f t="shared" ca="1" si="159"/>
        <v>100000</v>
      </c>
      <c r="AN261" s="112">
        <f t="shared" ca="1" si="150"/>
        <v>100000</v>
      </c>
      <c r="AO261" s="114">
        <f t="shared" ca="1" si="147"/>
        <v>0</v>
      </c>
      <c r="AP261" s="114">
        <f t="shared" ca="1" si="148"/>
        <v>0</v>
      </c>
      <c r="AR261" s="238">
        <f t="shared" si="151"/>
        <v>261</v>
      </c>
      <c r="AU261" s="238">
        <f t="shared" si="152"/>
        <v>242</v>
      </c>
      <c r="AV261" s="238"/>
      <c r="AW261" s="238"/>
      <c r="CM261" s="112"/>
      <c r="CN261" s="112"/>
      <c r="CQ261" s="112"/>
      <c r="CR261" s="112"/>
      <c r="CS261" s="112"/>
      <c r="CT261" s="112"/>
      <c r="CU261" s="112"/>
      <c r="CV261" s="112"/>
      <c r="CW261" s="112"/>
      <c r="CX261" s="112" t="s">
        <v>224</v>
      </c>
      <c r="CY261" s="112" t="s">
        <v>225</v>
      </c>
      <c r="CZ261" s="112" t="s">
        <v>226</v>
      </c>
      <c r="DA261" s="112" t="s">
        <v>227</v>
      </c>
      <c r="DB261" s="112" t="s">
        <v>228</v>
      </c>
      <c r="DC261" s="112"/>
      <c r="DD261" s="112"/>
      <c r="DE261" s="238"/>
      <c r="DF261" s="112"/>
      <c r="DG261" s="112"/>
      <c r="DH261" s="112"/>
      <c r="DI261" s="112"/>
      <c r="DJ261" s="112"/>
      <c r="DK261" s="112">
        <f t="shared" si="154"/>
        <v>100000</v>
      </c>
      <c r="DL261" s="112"/>
      <c r="DM261" s="112"/>
      <c r="DN261" s="112"/>
      <c r="DO261" s="112"/>
      <c r="DP261" s="112"/>
      <c r="DQ261" s="112"/>
    </row>
    <row r="262" spans="4:121" x14ac:dyDescent="0.25">
      <c r="E262" s="112">
        <f t="shared" ca="1" si="161"/>
        <v>36770</v>
      </c>
      <c r="AG262" s="238">
        <f>AG261</f>
        <v>68</v>
      </c>
      <c r="AH262" s="112" t="e">
        <f ca="1">AI261+1</f>
        <v>#N/A</v>
      </c>
      <c r="AI262" s="112" t="e">
        <f ca="1">IF(INDIRECT(CONCATENATE("AD",AG260))&lt;100000,INDIRECT(CONCATENATE("AD",AG260))-1,IF(INDIRECT(CONCATENATE("AE",AG260))&lt;100000,INDIRECT(CONCATENATE("AE",G260)),INDIRECT(CONCATENATE("AF",AG260))))</f>
        <v>#N/A</v>
      </c>
      <c r="AJ262" s="114"/>
      <c r="AK262" s="114"/>
      <c r="AL262" s="238" t="e">
        <f t="shared" ca="1" si="149"/>
        <v>#N/A</v>
      </c>
      <c r="AM262" s="112">
        <f t="shared" ca="1" si="159"/>
        <v>100000</v>
      </c>
      <c r="AN262" s="112">
        <f t="shared" ca="1" si="150"/>
        <v>100000</v>
      </c>
      <c r="AO262" s="114">
        <f t="shared" ca="1" si="147"/>
        <v>0</v>
      </c>
      <c r="AP262" s="114">
        <f t="shared" ca="1" si="148"/>
        <v>0</v>
      </c>
      <c r="AR262" s="238">
        <f t="shared" si="151"/>
        <v>262</v>
      </c>
      <c r="AU262" s="238">
        <f t="shared" si="152"/>
        <v>243</v>
      </c>
      <c r="AV262" s="238"/>
      <c r="AW262" s="238"/>
      <c r="CM262" s="112"/>
      <c r="CN262" s="112"/>
      <c r="CQ262" s="112"/>
      <c r="CR262" s="112"/>
      <c r="CS262" s="112"/>
      <c r="CT262" s="112"/>
      <c r="CU262" s="112"/>
      <c r="CV262" s="112"/>
      <c r="CW262" s="112"/>
      <c r="CX262" s="112" t="s">
        <v>224</v>
      </c>
      <c r="CY262" s="112" t="s">
        <v>225</v>
      </c>
      <c r="CZ262" s="112" t="s">
        <v>226</v>
      </c>
      <c r="DA262" s="112" t="s">
        <v>227</v>
      </c>
      <c r="DB262" s="112" t="s">
        <v>228</v>
      </c>
      <c r="DC262" s="112"/>
      <c r="DD262" s="112"/>
      <c r="DE262" s="238"/>
      <c r="DF262" s="112"/>
      <c r="DG262" s="112"/>
      <c r="DH262" s="112"/>
      <c r="DI262" s="112"/>
      <c r="DJ262" s="112"/>
      <c r="DK262" s="112">
        <f t="shared" si="154"/>
        <v>100000</v>
      </c>
      <c r="DL262" s="112"/>
      <c r="DM262" s="112"/>
      <c r="DN262" s="112"/>
      <c r="DO262" s="112"/>
      <c r="DP262" s="112"/>
      <c r="DQ262" s="112"/>
    </row>
    <row r="263" spans="4:121" x14ac:dyDescent="0.25">
      <c r="E263" s="112">
        <f t="shared" ca="1" si="161"/>
        <v>36892</v>
      </c>
      <c r="AG263" s="238">
        <f>AG262</f>
        <v>68</v>
      </c>
      <c r="AH263" s="112" t="e">
        <f ca="1">AI262+1</f>
        <v>#N/A</v>
      </c>
      <c r="AI263" s="112" t="e">
        <f ca="1">IF(INDIRECT(CONCATENATE("AE",AG260))&lt;100000,INDIRECT(CONCATENATE("AE",G260)),INDIRECT(CONCATENATE("AF",AG260)))</f>
        <v>#N/A</v>
      </c>
      <c r="AJ263" s="114"/>
      <c r="AK263" s="114"/>
      <c r="AL263" s="238" t="e">
        <f t="shared" ca="1" si="149"/>
        <v>#N/A</v>
      </c>
      <c r="AM263" s="112">
        <f t="shared" ca="1" si="159"/>
        <v>100000</v>
      </c>
      <c r="AN263" s="112">
        <f t="shared" ca="1" si="150"/>
        <v>100000</v>
      </c>
      <c r="AO263" s="114">
        <f t="shared" ca="1" si="147"/>
        <v>0</v>
      </c>
      <c r="AP263" s="114">
        <f t="shared" ca="1" si="148"/>
        <v>0</v>
      </c>
      <c r="AR263" s="238">
        <f t="shared" si="151"/>
        <v>263</v>
      </c>
      <c r="AU263" s="238">
        <f t="shared" si="152"/>
        <v>244</v>
      </c>
      <c r="AV263" s="238"/>
      <c r="AW263" s="238"/>
      <c r="CM263" s="112"/>
      <c r="CN263" s="112"/>
      <c r="CQ263" s="112"/>
      <c r="CR263" s="112"/>
      <c r="CS263" s="112"/>
      <c r="CT263" s="112"/>
      <c r="CU263" s="112"/>
      <c r="CV263" s="112"/>
      <c r="CW263" s="112"/>
      <c r="CX263" s="112" t="s">
        <v>224</v>
      </c>
      <c r="CY263" s="112" t="s">
        <v>225</v>
      </c>
      <c r="CZ263" s="112" t="s">
        <v>226</v>
      </c>
      <c r="DA263" s="112" t="s">
        <v>227</v>
      </c>
      <c r="DB263" s="112" t="s">
        <v>228</v>
      </c>
      <c r="DC263" s="112"/>
      <c r="DD263" s="112"/>
      <c r="DE263" s="238"/>
      <c r="DF263" s="112"/>
      <c r="DG263" s="112"/>
      <c r="DH263" s="112"/>
      <c r="DI263" s="112"/>
      <c r="DJ263" s="112"/>
      <c r="DK263" s="112">
        <f t="shared" si="154"/>
        <v>100000</v>
      </c>
      <c r="DL263" s="112"/>
      <c r="DM263" s="112"/>
      <c r="DN263" s="112"/>
      <c r="DO263" s="112"/>
      <c r="DP263" s="112"/>
      <c r="DQ263" s="112"/>
    </row>
    <row r="264" spans="4:121" x14ac:dyDescent="0.25">
      <c r="E264" s="112">
        <f t="shared" ca="1" si="161"/>
        <v>37257</v>
      </c>
      <c r="AG264" s="238">
        <f>AG263</f>
        <v>68</v>
      </c>
      <c r="AH264" s="112" t="e">
        <f ca="1">AI263+1</f>
        <v>#N/A</v>
      </c>
      <c r="AI264" s="112">
        <f ca="1">INDIRECT(CONCATENATE("AF",AG260))</f>
        <v>100000</v>
      </c>
      <c r="AJ264" s="114"/>
      <c r="AK264" s="114"/>
      <c r="AL264" s="238" t="e">
        <f t="shared" ca="1" si="149"/>
        <v>#N/A</v>
      </c>
      <c r="AM264" s="112">
        <f t="shared" ca="1" si="159"/>
        <v>100000</v>
      </c>
      <c r="AN264" s="112">
        <f t="shared" ca="1" si="150"/>
        <v>100000</v>
      </c>
      <c r="AO264" s="114">
        <f t="shared" ca="1" si="147"/>
        <v>0</v>
      </c>
      <c r="AP264" s="114">
        <f t="shared" ca="1" si="148"/>
        <v>0</v>
      </c>
      <c r="AR264" s="238">
        <f t="shared" si="151"/>
        <v>264</v>
      </c>
      <c r="AU264" s="238">
        <f t="shared" si="152"/>
        <v>245</v>
      </c>
      <c r="AV264" s="238"/>
      <c r="AW264" s="238"/>
      <c r="CM264" s="112"/>
      <c r="CN264" s="112"/>
      <c r="CQ264" s="112"/>
      <c r="CR264" s="112"/>
      <c r="CS264" s="112"/>
      <c r="CT264" s="112"/>
      <c r="CU264" s="112"/>
      <c r="CV264" s="112"/>
      <c r="CW264" s="112"/>
      <c r="CX264" s="112" t="s">
        <v>224</v>
      </c>
      <c r="CY264" s="112" t="s">
        <v>225</v>
      </c>
      <c r="CZ264" s="112" t="s">
        <v>226</v>
      </c>
      <c r="DA264" s="112" t="s">
        <v>227</v>
      </c>
      <c r="DB264" s="112" t="s">
        <v>228</v>
      </c>
      <c r="DC264" s="112"/>
      <c r="DD264" s="112"/>
      <c r="DE264" s="238"/>
      <c r="DF264" s="112"/>
      <c r="DG264" s="112"/>
      <c r="DH264" s="112"/>
      <c r="DI264" s="112"/>
      <c r="DJ264" s="112"/>
      <c r="DK264" s="112">
        <f t="shared" si="154"/>
        <v>100000</v>
      </c>
      <c r="DL264" s="112"/>
      <c r="DM264" s="112"/>
      <c r="DN264" s="112"/>
      <c r="DO264" s="112"/>
      <c r="DP264" s="112"/>
      <c r="DQ264" s="112"/>
    </row>
    <row r="265" spans="4:121" x14ac:dyDescent="0.25">
      <c r="E265" s="112">
        <f t="shared" ca="1" si="161"/>
        <v>37411</v>
      </c>
      <c r="AG265" s="238">
        <f>AG264+1</f>
        <v>69</v>
      </c>
      <c r="AH265" s="112">
        <f ca="1">INDIRECT(CONCATENATE("AA",AG265))</f>
        <v>100000</v>
      </c>
      <c r="AI265" s="112" t="e">
        <f ca="1">IF(            INDIRECT(CONCATENATE( "AB",AG265))&lt;100000,       INDIRECT(CONCATENATE("AB",AG265))  -1,IF(   INDIRECT(CONCATENATE("AC",AG265))&lt;100000,   INDIRECT(CONCATENATE("AC",AG265))-1,IF(   INDIRECT(CONCATENATE("AD", AG265))&lt;100000, INDIRECT(CONCATENATE("AD",AG265))-1,IF(   INDIRECT(CONCATENATE("AE",AG265))&lt;100000,  INDIRECT(CONCATENATE("AE",G265)),INDIRECT(CONCATENATE("AF",AG265))                ))))</f>
        <v>#N/A</v>
      </c>
      <c r="AJ265" s="114"/>
      <c r="AK265" s="114"/>
      <c r="AL265" s="238" t="e">
        <f t="shared" ca="1" si="149"/>
        <v>#N/A</v>
      </c>
      <c r="AM265" s="112">
        <f t="shared" ca="1" si="159"/>
        <v>100000</v>
      </c>
      <c r="AN265" s="112">
        <f t="shared" ca="1" si="150"/>
        <v>100000</v>
      </c>
      <c r="AO265" s="114">
        <f t="shared" ca="1" si="147"/>
        <v>0</v>
      </c>
      <c r="AP265" s="114">
        <f t="shared" ca="1" si="148"/>
        <v>0</v>
      </c>
      <c r="AR265" s="238">
        <f t="shared" si="151"/>
        <v>265</v>
      </c>
      <c r="AU265" s="238">
        <f t="shared" si="152"/>
        <v>246</v>
      </c>
      <c r="AV265" s="238"/>
      <c r="AW265" s="238"/>
      <c r="CM265" s="112"/>
      <c r="CN265" s="112"/>
      <c r="CQ265" s="112"/>
      <c r="CR265" s="112"/>
      <c r="CS265" s="112"/>
      <c r="CT265" s="112"/>
      <c r="CU265" s="112"/>
      <c r="CV265" s="112"/>
      <c r="CW265" s="112"/>
      <c r="CX265" s="112" t="s">
        <v>224</v>
      </c>
      <c r="CY265" s="112" t="s">
        <v>225</v>
      </c>
      <c r="CZ265" s="112" t="s">
        <v>226</v>
      </c>
      <c r="DA265" s="112" t="s">
        <v>227</v>
      </c>
      <c r="DB265" s="112" t="s">
        <v>228</v>
      </c>
      <c r="DC265" s="112"/>
      <c r="DD265" s="112"/>
      <c r="DE265" s="238"/>
      <c r="DF265" s="112"/>
      <c r="DG265" s="112"/>
      <c r="DH265" s="112"/>
      <c r="DI265" s="112"/>
      <c r="DJ265" s="112"/>
      <c r="DK265" s="112">
        <f t="shared" si="154"/>
        <v>100000</v>
      </c>
      <c r="DL265" s="112"/>
      <c r="DM265" s="112"/>
      <c r="DN265" s="112"/>
      <c r="DO265" s="112"/>
      <c r="DP265" s="112"/>
      <c r="DQ265" s="112"/>
    </row>
    <row r="266" spans="4:121" x14ac:dyDescent="0.25">
      <c r="E266" s="112">
        <f t="shared" ca="1" si="161"/>
        <v>37622</v>
      </c>
      <c r="AG266" s="238">
        <f>AG265</f>
        <v>69</v>
      </c>
      <c r="AH266" s="112" t="e">
        <f ca="1">AI265+1</f>
        <v>#N/A</v>
      </c>
      <c r="AI266" s="112" t="e">
        <f ca="1">IF(INDIRECT(CONCATENATE("AC",AG265))&lt;100000,INDIRECT(CONCATENATE("AC",AG265))-1,IF(INDIRECT(CONCATENATE("AD",AG265))&lt;100000,INDIRECT(CONCATENATE("AD",AG265))-1,IF(INDIRECT(CONCATENATE("AE",AG265))&lt;100000,INDIRECT(CONCATENATE("AE",G265)),INDIRECT(CONCATENATE("AF",AG265)))))</f>
        <v>#N/A</v>
      </c>
      <c r="AJ266" s="114"/>
      <c r="AK266" s="114"/>
      <c r="AL266" s="238" t="e">
        <f t="shared" ca="1" si="149"/>
        <v>#N/A</v>
      </c>
      <c r="AM266" s="112">
        <f t="shared" ca="1" si="159"/>
        <v>100000</v>
      </c>
      <c r="AN266" s="112">
        <f t="shared" ca="1" si="150"/>
        <v>100000</v>
      </c>
      <c r="AO266" s="114">
        <f t="shared" ca="1" si="147"/>
        <v>0</v>
      </c>
      <c r="AP266" s="114">
        <f t="shared" ca="1" si="148"/>
        <v>0</v>
      </c>
      <c r="AR266" s="238">
        <f t="shared" si="151"/>
        <v>266</v>
      </c>
      <c r="AU266" s="238">
        <f t="shared" si="152"/>
        <v>247</v>
      </c>
      <c r="AV266" s="238"/>
      <c r="AW266" s="238"/>
      <c r="CM266" s="112"/>
      <c r="CN266" s="112"/>
      <c r="CQ266" s="112"/>
      <c r="CR266" s="112"/>
      <c r="CS266" s="112"/>
      <c r="CT266" s="112"/>
      <c r="CU266" s="112"/>
      <c r="CV266" s="112"/>
      <c r="CW266" s="112"/>
      <c r="CX266" s="112" t="s">
        <v>224</v>
      </c>
      <c r="CY266" s="112" t="s">
        <v>225</v>
      </c>
      <c r="CZ266" s="112" t="s">
        <v>226</v>
      </c>
      <c r="DA266" s="112" t="s">
        <v>227</v>
      </c>
      <c r="DB266" s="112" t="s">
        <v>228</v>
      </c>
      <c r="DC266" s="112"/>
      <c r="DD266" s="112"/>
      <c r="DE266" s="238"/>
      <c r="DF266" s="112"/>
      <c r="DG266" s="112"/>
      <c r="DH266" s="112"/>
      <c r="DI266" s="112"/>
      <c r="DJ266" s="112"/>
      <c r="DK266" s="112">
        <f t="shared" si="154"/>
        <v>100000</v>
      </c>
      <c r="DL266" s="112"/>
      <c r="DM266" s="112"/>
      <c r="DN266" s="112"/>
      <c r="DO266" s="112"/>
      <c r="DP266" s="112"/>
      <c r="DQ266" s="112"/>
    </row>
    <row r="267" spans="4:121" x14ac:dyDescent="0.25">
      <c r="E267" s="112">
        <f t="shared" ca="1" si="161"/>
        <v>37987</v>
      </c>
      <c r="AG267" s="238">
        <f>AG266</f>
        <v>69</v>
      </c>
      <c r="AH267" s="112" t="e">
        <f ca="1">AI266+1</f>
        <v>#N/A</v>
      </c>
      <c r="AI267" s="112" t="e">
        <f ca="1">IF(INDIRECT(CONCATENATE("AD",AG265))&lt;100000,INDIRECT(CONCATENATE("AD",AG265))-1,IF(INDIRECT(CONCATENATE("AE",AG265))&lt;100000,INDIRECT(CONCATENATE("AE",G265)),INDIRECT(CONCATENATE("AF",AG265))))</f>
        <v>#N/A</v>
      </c>
      <c r="AJ267" s="114"/>
      <c r="AK267" s="114"/>
      <c r="AL267" s="238" t="e">
        <f t="shared" ca="1" si="149"/>
        <v>#N/A</v>
      </c>
      <c r="AM267" s="112">
        <f t="shared" ca="1" si="159"/>
        <v>100000</v>
      </c>
      <c r="AN267" s="112">
        <f t="shared" ca="1" si="150"/>
        <v>100000</v>
      </c>
      <c r="AO267" s="114">
        <f t="shared" ca="1" si="147"/>
        <v>0</v>
      </c>
      <c r="AP267" s="114">
        <f t="shared" ca="1" si="148"/>
        <v>0</v>
      </c>
      <c r="AR267" s="238">
        <f t="shared" si="151"/>
        <v>267</v>
      </c>
      <c r="AU267" s="238">
        <f t="shared" si="152"/>
        <v>248</v>
      </c>
      <c r="AV267" s="238"/>
      <c r="AW267" s="238"/>
      <c r="CM267" s="112"/>
      <c r="CN267" s="112"/>
      <c r="CQ267" s="112"/>
      <c r="CR267" s="112"/>
      <c r="CS267" s="112"/>
      <c r="CT267" s="112"/>
      <c r="CU267" s="112"/>
      <c r="CV267" s="112"/>
      <c r="CW267" s="112"/>
      <c r="CX267" s="112" t="s">
        <v>224</v>
      </c>
      <c r="CY267" s="112" t="s">
        <v>225</v>
      </c>
      <c r="CZ267" s="112" t="s">
        <v>226</v>
      </c>
      <c r="DA267" s="112" t="s">
        <v>227</v>
      </c>
      <c r="DB267" s="112" t="s">
        <v>228</v>
      </c>
      <c r="DC267" s="112"/>
      <c r="DD267" s="112"/>
      <c r="DE267" s="238"/>
      <c r="DF267" s="112"/>
      <c r="DG267" s="112"/>
      <c r="DH267" s="112"/>
      <c r="DI267" s="112"/>
      <c r="DJ267" s="112"/>
      <c r="DK267" s="112">
        <f t="shared" si="154"/>
        <v>100000</v>
      </c>
      <c r="DL267" s="112"/>
      <c r="DM267" s="112"/>
      <c r="DN267" s="112"/>
      <c r="DO267" s="112"/>
      <c r="DP267" s="112"/>
      <c r="DQ267" s="112"/>
    </row>
    <row r="268" spans="4:121" x14ac:dyDescent="0.25">
      <c r="E268" s="112">
        <f t="shared" ca="1" si="161"/>
        <v>38384</v>
      </c>
      <c r="AG268" s="238">
        <f>AG267</f>
        <v>69</v>
      </c>
      <c r="AH268" s="112" t="e">
        <f ca="1">AI267+1</f>
        <v>#N/A</v>
      </c>
      <c r="AI268" s="112" t="e">
        <f ca="1">IF(INDIRECT(CONCATENATE("AE",AG265))&lt;100000,INDIRECT(CONCATENATE("AE",G265)),INDIRECT(CONCATENATE("AF",AG265)))</f>
        <v>#N/A</v>
      </c>
      <c r="AJ268" s="114"/>
      <c r="AK268" s="114"/>
      <c r="AL268" s="238" t="e">
        <f t="shared" ca="1" si="149"/>
        <v>#N/A</v>
      </c>
      <c r="AM268" s="112">
        <f t="shared" ca="1" si="159"/>
        <v>100000</v>
      </c>
      <c r="AN268" s="112">
        <f t="shared" ca="1" si="150"/>
        <v>100000</v>
      </c>
      <c r="AO268" s="114">
        <f t="shared" ca="1" si="147"/>
        <v>0</v>
      </c>
      <c r="AP268" s="114">
        <f t="shared" ca="1" si="148"/>
        <v>0</v>
      </c>
      <c r="AR268" s="238">
        <f t="shared" si="151"/>
        <v>268</v>
      </c>
      <c r="AU268" s="238">
        <f t="shared" si="152"/>
        <v>249</v>
      </c>
      <c r="AV268" s="238"/>
      <c r="AW268" s="238"/>
      <c r="CM268" s="112"/>
      <c r="CN268" s="112"/>
      <c r="CQ268" s="112"/>
      <c r="CR268" s="112"/>
      <c r="CS268" s="112"/>
      <c r="CT268" s="112"/>
      <c r="CU268" s="112"/>
      <c r="CV268" s="112"/>
      <c r="CW268" s="112"/>
      <c r="CX268" s="112" t="s">
        <v>224</v>
      </c>
      <c r="CY268" s="112" t="s">
        <v>225</v>
      </c>
      <c r="CZ268" s="112" t="s">
        <v>226</v>
      </c>
      <c r="DA268" s="112" t="s">
        <v>227</v>
      </c>
      <c r="DB268" s="112" t="s">
        <v>228</v>
      </c>
      <c r="DC268" s="112"/>
      <c r="DD268" s="112"/>
      <c r="DE268" s="238"/>
      <c r="DF268" s="112"/>
      <c r="DG268" s="112"/>
      <c r="DH268" s="112"/>
      <c r="DI268" s="112"/>
      <c r="DJ268" s="112"/>
      <c r="DK268" s="112">
        <f t="shared" si="154"/>
        <v>100000</v>
      </c>
      <c r="DL268" s="112"/>
      <c r="DM268" s="112"/>
      <c r="DN268" s="112"/>
      <c r="DO268" s="112"/>
      <c r="DP268" s="112"/>
      <c r="DQ268" s="112"/>
    </row>
    <row r="269" spans="4:121" x14ac:dyDescent="0.25">
      <c r="E269" s="112">
        <f t="shared" ca="1" si="161"/>
        <v>38718</v>
      </c>
      <c r="AG269" s="238">
        <f>AG268</f>
        <v>69</v>
      </c>
      <c r="AH269" s="112" t="e">
        <f ca="1">AI268+1</f>
        <v>#N/A</v>
      </c>
      <c r="AI269" s="112">
        <f ca="1">INDIRECT(CONCATENATE("AF",AG265))</f>
        <v>100000</v>
      </c>
      <c r="AJ269" s="114"/>
      <c r="AK269" s="114"/>
      <c r="AL269" s="238" t="e">
        <f t="shared" ca="1" si="149"/>
        <v>#N/A</v>
      </c>
      <c r="AM269" s="112">
        <f t="shared" ca="1" si="159"/>
        <v>100000</v>
      </c>
      <c r="AN269" s="112">
        <f t="shared" ca="1" si="150"/>
        <v>100000</v>
      </c>
      <c r="AO269" s="114">
        <f t="shared" ca="1" si="147"/>
        <v>0</v>
      </c>
      <c r="AP269" s="114">
        <f t="shared" ca="1" si="148"/>
        <v>0</v>
      </c>
      <c r="AR269" s="238">
        <f t="shared" si="151"/>
        <v>269</v>
      </c>
      <c r="AU269" s="238">
        <f t="shared" si="152"/>
        <v>250</v>
      </c>
      <c r="AV269" s="238"/>
      <c r="AW269" s="238"/>
      <c r="CM269" s="112"/>
      <c r="CN269" s="112"/>
      <c r="CQ269" s="112"/>
      <c r="CR269" s="112"/>
      <c r="CS269" s="112"/>
      <c r="CT269" s="112"/>
      <c r="CU269" s="112"/>
      <c r="CV269" s="112"/>
      <c r="CW269" s="112"/>
      <c r="CX269" s="112" t="s">
        <v>224</v>
      </c>
      <c r="CY269" s="112" t="s">
        <v>225</v>
      </c>
      <c r="CZ269" s="112" t="s">
        <v>226</v>
      </c>
      <c r="DA269" s="112" t="s">
        <v>227</v>
      </c>
      <c r="DB269" s="112" t="s">
        <v>228</v>
      </c>
      <c r="DC269" s="112"/>
      <c r="DD269" s="112"/>
      <c r="DE269" s="238"/>
      <c r="DF269" s="112"/>
      <c r="DG269" s="112"/>
      <c r="DH269" s="112"/>
      <c r="DI269" s="112"/>
      <c r="DJ269" s="112"/>
      <c r="DK269" s="112">
        <f t="shared" si="154"/>
        <v>100000</v>
      </c>
      <c r="DL269" s="112"/>
      <c r="DM269" s="112"/>
      <c r="DN269" s="112"/>
      <c r="DO269" s="112"/>
      <c r="DP269" s="112"/>
      <c r="DQ269" s="112"/>
    </row>
    <row r="270" spans="4:121" x14ac:dyDescent="0.25">
      <c r="E270" s="112">
        <f t="shared" ca="1" si="161"/>
        <v>39083</v>
      </c>
      <c r="AG270" s="238">
        <f>AG269+1</f>
        <v>70</v>
      </c>
      <c r="AH270" s="112">
        <f ca="1">INDIRECT(CONCATENATE("AA",AG270))</f>
        <v>100000</v>
      </c>
      <c r="AI270" s="112" t="e">
        <f ca="1">IF(            INDIRECT(CONCATENATE( "AB",AG270))&lt;100000,       INDIRECT(CONCATENATE("AB",AG270))  -1,IF(   INDIRECT(CONCATENATE("AC",AG270))&lt;100000,   INDIRECT(CONCATENATE("AC",AG270))-1,IF(   INDIRECT(CONCATENATE("AD", AG270))&lt;100000, INDIRECT(CONCATENATE("AD",AG270))-1,IF(   INDIRECT(CONCATENATE("AE",AG270))&lt;100000,  INDIRECT(CONCATENATE("AE",G270)),INDIRECT(CONCATENATE("AF",AG270))                ))))</f>
        <v>#N/A</v>
      </c>
      <c r="AJ270" s="114"/>
      <c r="AK270" s="114"/>
      <c r="AL270" s="238" t="e">
        <f t="shared" ca="1" si="149"/>
        <v>#N/A</v>
      </c>
      <c r="AM270" s="112">
        <f t="shared" ca="1" si="159"/>
        <v>100000</v>
      </c>
      <c r="AN270" s="112">
        <f t="shared" ca="1" si="150"/>
        <v>100000</v>
      </c>
      <c r="AO270" s="114">
        <f t="shared" ca="1" si="147"/>
        <v>0</v>
      </c>
      <c r="AP270" s="114">
        <f t="shared" ca="1" si="148"/>
        <v>0</v>
      </c>
      <c r="AR270" s="238">
        <f t="shared" si="151"/>
        <v>270</v>
      </c>
      <c r="AU270" s="238">
        <f t="shared" si="152"/>
        <v>251</v>
      </c>
      <c r="AV270" s="238"/>
      <c r="AW270" s="238"/>
      <c r="CM270" s="112"/>
      <c r="CN270" s="112"/>
      <c r="CQ270" s="112"/>
      <c r="CR270" s="112"/>
      <c r="CS270" s="112"/>
      <c r="CT270" s="112"/>
      <c r="CU270" s="112"/>
      <c r="CV270" s="112"/>
      <c r="CW270" s="112"/>
      <c r="CX270" s="112" t="s">
        <v>224</v>
      </c>
      <c r="CY270" s="112" t="s">
        <v>225</v>
      </c>
      <c r="CZ270" s="112" t="s">
        <v>226</v>
      </c>
      <c r="DA270" s="112" t="s">
        <v>227</v>
      </c>
      <c r="DB270" s="112" t="s">
        <v>228</v>
      </c>
      <c r="DC270" s="112"/>
      <c r="DD270" s="112"/>
      <c r="DE270" s="238"/>
      <c r="DF270" s="112"/>
      <c r="DG270" s="112"/>
      <c r="DH270" s="112"/>
      <c r="DI270" s="112"/>
      <c r="DJ270" s="112"/>
      <c r="DK270" s="112">
        <f t="shared" si="154"/>
        <v>100000</v>
      </c>
      <c r="DL270" s="112"/>
      <c r="DM270" s="112"/>
      <c r="DN270" s="112"/>
      <c r="DO270" s="112"/>
      <c r="DP270" s="112"/>
      <c r="DQ270" s="112"/>
    </row>
    <row r="271" spans="4:121" x14ac:dyDescent="0.25">
      <c r="E271" s="112">
        <f t="shared" ca="1" si="161"/>
        <v>39114</v>
      </c>
      <c r="AG271" s="238">
        <f>AG270</f>
        <v>70</v>
      </c>
      <c r="AH271" s="112" t="e">
        <f ca="1">AI270+1</f>
        <v>#N/A</v>
      </c>
      <c r="AI271" s="112" t="e">
        <f ca="1">IF(INDIRECT(CONCATENATE("AC",AG270))&lt;100000,INDIRECT(CONCATENATE("AC",AG270))-1,IF(INDIRECT(CONCATENATE("AD",AG270))&lt;100000,INDIRECT(CONCATENATE("AD",AG270))-1,IF(INDIRECT(CONCATENATE("AE",AG270))&lt;100000,INDIRECT(CONCATENATE("AE",G270)),INDIRECT(CONCATENATE("AF",AG270)))))</f>
        <v>#N/A</v>
      </c>
      <c r="AJ271" s="114"/>
      <c r="AK271" s="114"/>
      <c r="AL271" s="238" t="e">
        <f t="shared" ca="1" si="149"/>
        <v>#N/A</v>
      </c>
      <c r="AM271" s="112">
        <f t="shared" ca="1" si="159"/>
        <v>100000</v>
      </c>
      <c r="AN271" s="112">
        <f t="shared" ca="1" si="150"/>
        <v>100000</v>
      </c>
      <c r="AO271" s="114">
        <f t="shared" ca="1" si="147"/>
        <v>0</v>
      </c>
      <c r="AP271" s="114">
        <f t="shared" ca="1" si="148"/>
        <v>0</v>
      </c>
      <c r="AR271" s="238">
        <f t="shared" si="151"/>
        <v>271</v>
      </c>
      <c r="AU271" s="238">
        <f t="shared" si="152"/>
        <v>252</v>
      </c>
      <c r="AV271" s="238"/>
      <c r="AW271" s="238"/>
      <c r="CM271" s="112"/>
      <c r="CN271" s="112"/>
      <c r="CQ271" s="112"/>
      <c r="CR271" s="112"/>
      <c r="CS271" s="112"/>
      <c r="CT271" s="112"/>
      <c r="CU271" s="112"/>
      <c r="CV271" s="112"/>
      <c r="CW271" s="112"/>
      <c r="CX271" s="112" t="s">
        <v>224</v>
      </c>
      <c r="CY271" s="112" t="s">
        <v>225</v>
      </c>
      <c r="CZ271" s="112" t="s">
        <v>226</v>
      </c>
      <c r="DA271" s="112" t="s">
        <v>227</v>
      </c>
      <c r="DB271" s="112" t="s">
        <v>228</v>
      </c>
      <c r="DC271" s="112"/>
      <c r="DD271" s="112"/>
      <c r="DE271" s="238"/>
      <c r="DF271" s="112"/>
      <c r="DG271" s="112"/>
      <c r="DH271" s="112"/>
      <c r="DI271" s="112"/>
      <c r="DJ271" s="112"/>
      <c r="DK271" s="112">
        <f t="shared" si="154"/>
        <v>100000</v>
      </c>
      <c r="DL271" s="112"/>
      <c r="DM271" s="112"/>
      <c r="DN271" s="112"/>
      <c r="DO271" s="112"/>
      <c r="DP271" s="112"/>
      <c r="DQ271" s="112"/>
    </row>
    <row r="272" spans="4:121" x14ac:dyDescent="0.25">
      <c r="E272" s="112">
        <f t="shared" ca="1" si="161"/>
        <v>39264</v>
      </c>
      <c r="AG272" s="238">
        <f>AG271</f>
        <v>70</v>
      </c>
      <c r="AH272" s="112" t="e">
        <f ca="1">AI271+1</f>
        <v>#N/A</v>
      </c>
      <c r="AI272" s="112" t="e">
        <f ca="1">IF(INDIRECT(CONCATENATE("AD",AG270))&lt;100000,INDIRECT(CONCATENATE("AD",AG270))-1,IF(INDIRECT(CONCATENATE("AE",AG270))&lt;100000,INDIRECT(CONCATENATE("AE",G270)),INDIRECT(CONCATENATE("AF",AG270))))</f>
        <v>#N/A</v>
      </c>
      <c r="AJ272" s="114"/>
      <c r="AK272" s="114"/>
      <c r="AL272" s="238" t="e">
        <f t="shared" ca="1" si="149"/>
        <v>#N/A</v>
      </c>
      <c r="AM272" s="112">
        <f t="shared" ca="1" si="159"/>
        <v>100000</v>
      </c>
      <c r="AN272" s="112">
        <f t="shared" ca="1" si="150"/>
        <v>100000</v>
      </c>
      <c r="AO272" s="114">
        <f t="shared" ca="1" si="147"/>
        <v>0</v>
      </c>
      <c r="AP272" s="114">
        <f t="shared" ca="1" si="148"/>
        <v>0</v>
      </c>
      <c r="AR272" s="238">
        <f t="shared" si="151"/>
        <v>272</v>
      </c>
      <c r="AU272" s="238">
        <f t="shared" si="152"/>
        <v>253</v>
      </c>
      <c r="AV272" s="238"/>
      <c r="AW272" s="238"/>
      <c r="CM272" s="112"/>
      <c r="CN272" s="112"/>
      <c r="CQ272" s="112"/>
      <c r="CR272" s="112"/>
      <c r="CS272" s="112"/>
      <c r="CT272" s="112"/>
      <c r="CU272" s="112"/>
      <c r="CV272" s="112"/>
      <c r="CW272" s="112"/>
      <c r="CX272" s="112" t="s">
        <v>224</v>
      </c>
      <c r="CY272" s="112" t="s">
        <v>225</v>
      </c>
      <c r="CZ272" s="112" t="s">
        <v>226</v>
      </c>
      <c r="DA272" s="112" t="s">
        <v>227</v>
      </c>
      <c r="DB272" s="112" t="s">
        <v>228</v>
      </c>
      <c r="DC272" s="112"/>
      <c r="DD272" s="112"/>
      <c r="DE272" s="238"/>
      <c r="DF272" s="112"/>
      <c r="DG272" s="112"/>
      <c r="DH272" s="112"/>
      <c r="DI272" s="112"/>
      <c r="DJ272" s="112"/>
      <c r="DK272" s="112">
        <f t="shared" si="154"/>
        <v>100000</v>
      </c>
      <c r="DL272" s="112"/>
      <c r="DM272" s="112"/>
      <c r="DN272" s="112"/>
      <c r="DO272" s="112"/>
      <c r="DP272" s="112"/>
      <c r="DQ272" s="112"/>
    </row>
    <row r="273" spans="5:122" x14ac:dyDescent="0.25">
      <c r="E273" s="112">
        <f t="shared" ca="1" si="161"/>
        <v>39447</v>
      </c>
      <c r="AG273" s="238">
        <f>AG272</f>
        <v>70</v>
      </c>
      <c r="AH273" s="112" t="e">
        <f ca="1">AI272+1</f>
        <v>#N/A</v>
      </c>
      <c r="AI273" s="112" t="e">
        <f ca="1">IF(INDIRECT(CONCATENATE("AE",AG270))&lt;100000,INDIRECT(CONCATENATE("AE",G270)),INDIRECT(CONCATENATE("AF",AG270)))</f>
        <v>#N/A</v>
      </c>
      <c r="AJ273" s="114"/>
      <c r="AK273" s="114"/>
      <c r="AL273" s="238" t="e">
        <f t="shared" ca="1" si="149"/>
        <v>#N/A</v>
      </c>
      <c r="AM273" s="112">
        <f t="shared" ca="1" si="159"/>
        <v>100000</v>
      </c>
      <c r="AN273" s="112">
        <f t="shared" ca="1" si="150"/>
        <v>100000</v>
      </c>
      <c r="AO273" s="114">
        <f t="shared" ca="1" si="147"/>
        <v>0</v>
      </c>
      <c r="AP273" s="114">
        <f t="shared" ca="1" si="148"/>
        <v>0</v>
      </c>
      <c r="AR273" s="238">
        <f t="shared" si="151"/>
        <v>273</v>
      </c>
      <c r="AU273" s="238">
        <f t="shared" si="152"/>
        <v>254</v>
      </c>
      <c r="AV273" s="238"/>
      <c r="AW273" s="238"/>
      <c r="CM273" s="112"/>
      <c r="CN273" s="112"/>
      <c r="CQ273" s="112"/>
      <c r="CR273" s="112"/>
      <c r="CS273" s="112"/>
      <c r="CT273" s="112"/>
      <c r="CU273" s="112"/>
      <c r="CV273" s="112"/>
      <c r="CW273" s="112"/>
      <c r="CX273" s="112" t="s">
        <v>224</v>
      </c>
      <c r="CY273" s="112" t="s">
        <v>225</v>
      </c>
      <c r="CZ273" s="112" t="s">
        <v>226</v>
      </c>
      <c r="DA273" s="112" t="s">
        <v>227</v>
      </c>
      <c r="DB273" s="112" t="s">
        <v>228</v>
      </c>
      <c r="DC273" s="112"/>
      <c r="DD273" s="112"/>
      <c r="DE273" s="238"/>
      <c r="DF273" s="112"/>
      <c r="DG273" s="112"/>
      <c r="DH273" s="112"/>
      <c r="DI273" s="112"/>
      <c r="DJ273" s="112"/>
      <c r="DK273" s="112">
        <f t="shared" si="154"/>
        <v>100000</v>
      </c>
      <c r="DL273" s="112"/>
      <c r="DM273" s="112"/>
      <c r="DN273" s="112"/>
      <c r="DO273" s="112"/>
      <c r="DP273" s="112"/>
      <c r="DQ273" s="112"/>
    </row>
    <row r="274" spans="5:122" x14ac:dyDescent="0.25">
      <c r="E274" s="112">
        <f t="shared" ca="1" si="161"/>
        <v>39539</v>
      </c>
      <c r="AG274" s="238">
        <f>AG273</f>
        <v>70</v>
      </c>
      <c r="AH274" s="112" t="e">
        <f ca="1">AI273+1</f>
        <v>#N/A</v>
      </c>
      <c r="AI274" s="112">
        <f ca="1">INDIRECT(CONCATENATE("AF",AG270))</f>
        <v>100000</v>
      </c>
      <c r="AJ274" s="114"/>
      <c r="AK274" s="114"/>
      <c r="AL274" s="238" t="e">
        <f t="shared" ca="1" si="149"/>
        <v>#N/A</v>
      </c>
      <c r="AM274" s="112">
        <f t="shared" ca="1" si="159"/>
        <v>100000</v>
      </c>
      <c r="AN274" s="112">
        <f t="shared" ca="1" si="150"/>
        <v>100000</v>
      </c>
      <c r="AO274" s="114">
        <f t="shared" ca="1" si="147"/>
        <v>0</v>
      </c>
      <c r="AP274" s="114">
        <f t="shared" ca="1" si="148"/>
        <v>0</v>
      </c>
      <c r="AR274" s="238">
        <f t="shared" si="151"/>
        <v>274</v>
      </c>
      <c r="AU274" s="238">
        <f t="shared" si="152"/>
        <v>255</v>
      </c>
      <c r="AV274" s="238"/>
      <c r="AW274" s="238"/>
      <c r="CM274" s="112"/>
      <c r="CN274" s="112"/>
      <c r="CQ274" s="112"/>
      <c r="CR274" s="112"/>
      <c r="CS274" s="112"/>
      <c r="CT274" s="112"/>
      <c r="CU274" s="112"/>
      <c r="CV274" s="112"/>
      <c r="CW274" s="112"/>
      <c r="CX274" s="112" t="s">
        <v>224</v>
      </c>
      <c r="CY274" s="112" t="s">
        <v>225</v>
      </c>
      <c r="CZ274" s="112" t="s">
        <v>226</v>
      </c>
      <c r="DA274" s="112" t="s">
        <v>227</v>
      </c>
      <c r="DB274" s="112" t="s">
        <v>228</v>
      </c>
      <c r="DC274" s="112"/>
      <c r="DD274" s="112"/>
      <c r="DE274" s="238"/>
      <c r="DF274" s="112"/>
      <c r="DG274" s="112"/>
      <c r="DH274" s="112"/>
      <c r="DI274" s="112"/>
      <c r="DJ274" s="112"/>
      <c r="DK274" s="112">
        <f t="shared" si="154"/>
        <v>100000</v>
      </c>
      <c r="DL274" s="112"/>
      <c r="DM274" s="112"/>
      <c r="DN274" s="112"/>
      <c r="DO274" s="112"/>
      <c r="DP274" s="112"/>
      <c r="DQ274" s="112"/>
    </row>
    <row r="275" spans="5:122" x14ac:dyDescent="0.25">
      <c r="E275" s="112">
        <f t="shared" ca="1" si="161"/>
        <v>39630</v>
      </c>
      <c r="AG275" s="238">
        <f>AG274+1</f>
        <v>71</v>
      </c>
      <c r="AH275" s="112">
        <f ca="1">INDIRECT(CONCATENATE("AA",AG275))</f>
        <v>100000</v>
      </c>
      <c r="AI275" s="112" t="e">
        <f ca="1">IF(            INDIRECT(CONCATENATE( "AB",AG275))&lt;100000,       INDIRECT(CONCATENATE("AB",AG275))  -1,IF(   INDIRECT(CONCATENATE("AC",AG275))&lt;100000,   INDIRECT(CONCATENATE("AC",AG275))-1,IF(   INDIRECT(CONCATENATE("AD", AG275))&lt;100000, INDIRECT(CONCATENATE("AD",AG275))-1,IF(   INDIRECT(CONCATENATE("AE",AG275))&lt;100000,  INDIRECT(CONCATENATE("AE",G275)),INDIRECT(CONCATENATE("AF",AG275))                ))))</f>
        <v>#N/A</v>
      </c>
      <c r="AJ275" s="114"/>
      <c r="AK275" s="114"/>
      <c r="AL275" s="238" t="e">
        <f t="shared" ca="1" si="149"/>
        <v>#N/A</v>
      </c>
      <c r="AM275" s="112">
        <f t="shared" ca="1" si="159"/>
        <v>100000</v>
      </c>
      <c r="AN275" s="112">
        <f t="shared" ca="1" si="150"/>
        <v>100000</v>
      </c>
      <c r="AO275" s="114">
        <f t="shared" ca="1" si="147"/>
        <v>0</v>
      </c>
      <c r="AP275" s="114">
        <f t="shared" ca="1" si="148"/>
        <v>0</v>
      </c>
      <c r="AR275" s="238">
        <f t="shared" si="151"/>
        <v>275</v>
      </c>
      <c r="AU275" s="238">
        <f t="shared" si="152"/>
        <v>256</v>
      </c>
      <c r="AV275" s="238"/>
      <c r="AW275" s="238"/>
      <c r="CM275" s="112"/>
      <c r="CN275" s="112"/>
      <c r="CQ275" s="112"/>
      <c r="CR275" s="112"/>
      <c r="CS275" s="112"/>
      <c r="CT275" s="112"/>
      <c r="CU275" s="112"/>
      <c r="CV275" s="112"/>
      <c r="CW275" s="112"/>
      <c r="CX275" s="112" t="s">
        <v>224</v>
      </c>
      <c r="CY275" s="112" t="s">
        <v>225</v>
      </c>
      <c r="CZ275" s="112" t="s">
        <v>226</v>
      </c>
      <c r="DA275" s="112" t="s">
        <v>227</v>
      </c>
      <c r="DB275" s="112" t="s">
        <v>228</v>
      </c>
      <c r="DC275" s="112"/>
      <c r="DD275" s="112"/>
      <c r="DE275" s="238"/>
      <c r="DF275" s="112"/>
      <c r="DG275" s="112"/>
      <c r="DH275" s="112"/>
      <c r="DI275" s="112"/>
      <c r="DJ275" s="112"/>
      <c r="DK275" s="112">
        <f t="shared" si="154"/>
        <v>100000</v>
      </c>
      <c r="DL275" s="112"/>
      <c r="DM275" s="112"/>
      <c r="DN275" s="112"/>
      <c r="DO275" s="112"/>
      <c r="DP275" s="112"/>
      <c r="DQ275" s="112"/>
    </row>
    <row r="276" spans="5:122" x14ac:dyDescent="0.25">
      <c r="E276" s="112">
        <f t="shared" si="161"/>
        <v>100000</v>
      </c>
      <c r="AG276" s="238">
        <f>AG275</f>
        <v>71</v>
      </c>
      <c r="AH276" s="112" t="e">
        <f ca="1">AI275+1</f>
        <v>#N/A</v>
      </c>
      <c r="AI276" s="112" t="e">
        <f ca="1">IF(INDIRECT(CONCATENATE("AC",AG275))&lt;100000,INDIRECT(CONCATENATE("AC",AG275))-1,IF(INDIRECT(CONCATENATE("AD",AG275))&lt;100000,INDIRECT(CONCATENATE("AD",AG275))-1,IF(INDIRECT(CONCATENATE("AE",AG275))&lt;100000,INDIRECT(CONCATENATE("AE",G275)),INDIRECT(CONCATENATE("AF",AG275)))))</f>
        <v>#N/A</v>
      </c>
      <c r="AJ276" s="114"/>
      <c r="AK276" s="114"/>
      <c r="AL276" s="238" t="e">
        <f t="shared" ca="1" si="149"/>
        <v>#N/A</v>
      </c>
      <c r="AM276" s="112">
        <f t="shared" ca="1" si="159"/>
        <v>100000</v>
      </c>
      <c r="AN276" s="112">
        <f t="shared" ca="1" si="150"/>
        <v>100000</v>
      </c>
      <c r="AO276" s="114">
        <f t="shared" ca="1" si="147"/>
        <v>0</v>
      </c>
      <c r="AP276" s="114">
        <f t="shared" ca="1" si="148"/>
        <v>0</v>
      </c>
      <c r="AR276" s="238">
        <f t="shared" si="151"/>
        <v>276</v>
      </c>
      <c r="AU276" s="238">
        <f t="shared" si="152"/>
        <v>257</v>
      </c>
      <c r="AV276" s="238"/>
      <c r="AW276" s="238"/>
      <c r="CM276" s="112"/>
      <c r="CN276" s="112"/>
      <c r="CQ276" s="112"/>
      <c r="CR276" s="112"/>
      <c r="CS276" s="112"/>
      <c r="CT276" s="112"/>
      <c r="CU276" s="112"/>
      <c r="CV276" s="112"/>
      <c r="CW276" s="112"/>
      <c r="CX276" s="112" t="s">
        <v>224</v>
      </c>
      <c r="CY276" s="112" t="s">
        <v>225</v>
      </c>
      <c r="CZ276" s="112" t="s">
        <v>226</v>
      </c>
      <c r="DA276" s="112" t="s">
        <v>227</v>
      </c>
      <c r="DB276" s="112" t="s">
        <v>228</v>
      </c>
      <c r="DC276" s="112"/>
      <c r="DD276" s="112"/>
      <c r="DE276" s="238"/>
      <c r="DF276" s="112"/>
      <c r="DG276" s="112"/>
      <c r="DH276" s="112"/>
      <c r="DI276" s="112"/>
      <c r="DJ276" s="112"/>
      <c r="DK276" s="112">
        <f t="shared" si="154"/>
        <v>100000</v>
      </c>
      <c r="DL276" s="112"/>
      <c r="DM276" s="112"/>
      <c r="DN276" s="112"/>
      <c r="DO276" s="112"/>
      <c r="DP276" s="112"/>
      <c r="DQ276" s="112"/>
    </row>
    <row r="277" spans="5:122" x14ac:dyDescent="0.25">
      <c r="E277" s="112">
        <f t="shared" si="161"/>
        <v>100000</v>
      </c>
      <c r="AG277" s="238">
        <f>AG276</f>
        <v>71</v>
      </c>
      <c r="AH277" s="112" t="e">
        <f ca="1">AI276+1</f>
        <v>#N/A</v>
      </c>
      <c r="AI277" s="112" t="e">
        <f ca="1">IF(INDIRECT(CONCATENATE("AD",AG275))&lt;100000,INDIRECT(CONCATENATE("AD",AG275))-1,IF(INDIRECT(CONCATENATE("AE",AG275))&lt;100000,INDIRECT(CONCATENATE("AE",G275)),INDIRECT(CONCATENATE("AF",AG275))))</f>
        <v>#N/A</v>
      </c>
      <c r="AJ277" s="114"/>
      <c r="AK277" s="114"/>
      <c r="AL277" s="238" t="e">
        <f t="shared" ca="1" si="149"/>
        <v>#N/A</v>
      </c>
      <c r="AM277" s="112">
        <f t="shared" ca="1" si="159"/>
        <v>100000</v>
      </c>
      <c r="AN277" s="112">
        <f t="shared" ca="1" si="150"/>
        <v>100000</v>
      </c>
      <c r="AO277" s="114">
        <f t="shared" ref="AO277:AO340" ca="1" si="162">INDIRECT(CONCATENATE("H",AG277))</f>
        <v>0</v>
      </c>
      <c r="AP277" s="114">
        <f t="shared" ref="AP277:AP340" ca="1" si="163">INDIRECT(CONCATENATE("J",AG277))</f>
        <v>0</v>
      </c>
      <c r="AR277" s="238">
        <f t="shared" si="151"/>
        <v>277</v>
      </c>
      <c r="AU277" s="238">
        <f t="shared" si="152"/>
        <v>258</v>
      </c>
      <c r="AV277" s="238"/>
      <c r="AW277" s="238"/>
      <c r="CM277" s="112"/>
      <c r="CN277" s="112"/>
      <c r="CQ277" s="112"/>
      <c r="CR277" s="112"/>
      <c r="CS277" s="112"/>
      <c r="CT277" s="112"/>
      <c r="CU277" s="112"/>
      <c r="CV277" s="112"/>
      <c r="CW277" s="112"/>
      <c r="CX277" s="112" t="s">
        <v>224</v>
      </c>
      <c r="CY277" s="112" t="s">
        <v>225</v>
      </c>
      <c r="CZ277" s="112" t="s">
        <v>226</v>
      </c>
      <c r="DA277" s="112" t="s">
        <v>227</v>
      </c>
      <c r="DB277" s="112" t="s">
        <v>228</v>
      </c>
      <c r="DC277" s="112"/>
      <c r="DD277" s="112"/>
      <c r="DE277" s="238"/>
      <c r="DF277" s="112"/>
      <c r="DG277" s="112"/>
      <c r="DH277" s="112"/>
      <c r="DI277" s="112"/>
      <c r="DJ277" s="112"/>
      <c r="DK277" s="112">
        <f t="shared" si="154"/>
        <v>100000</v>
      </c>
      <c r="DL277" s="112"/>
      <c r="DM277" s="112"/>
      <c r="DN277" s="112"/>
      <c r="DO277" s="112"/>
      <c r="DP277" s="112"/>
      <c r="DQ277" s="112"/>
    </row>
    <row r="278" spans="5:122" x14ac:dyDescent="0.25">
      <c r="E278" s="112">
        <f t="shared" si="161"/>
        <v>100000</v>
      </c>
      <c r="AG278" s="238">
        <f>AG277</f>
        <v>71</v>
      </c>
      <c r="AH278" s="112" t="e">
        <f ca="1">AI277+1</f>
        <v>#N/A</v>
      </c>
      <c r="AI278" s="112" t="e">
        <f ca="1">IF(INDIRECT(CONCATENATE("AE",AG275))&lt;100000,INDIRECT(CONCATENATE("AE",G275)),INDIRECT(CONCATENATE("AF",AG275)))</f>
        <v>#N/A</v>
      </c>
      <c r="AJ278" s="114"/>
      <c r="AK278" s="114"/>
      <c r="AL278" s="238" t="e">
        <f t="shared" ref="AL278:AL341" ca="1" si="164">IF(AI278=AI277,0,1)</f>
        <v>#N/A</v>
      </c>
      <c r="AM278" s="112">
        <f t="shared" ca="1" si="159"/>
        <v>100000</v>
      </c>
      <c r="AN278" s="112">
        <f t="shared" ref="AN278:AN341" ca="1" si="165">IF(AM278=100000,100000,AI278)</f>
        <v>100000</v>
      </c>
      <c r="AO278" s="114">
        <f t="shared" ca="1" si="162"/>
        <v>0</v>
      </c>
      <c r="AP278" s="114">
        <f t="shared" ca="1" si="163"/>
        <v>0</v>
      </c>
      <c r="AR278" s="238">
        <f t="shared" ref="AR278:AR341" si="166">AR277+1</f>
        <v>278</v>
      </c>
      <c r="AU278" s="238">
        <f t="shared" ref="AU278:AU341" si="167">AU277+1</f>
        <v>259</v>
      </c>
      <c r="AV278" s="238"/>
      <c r="AW278" s="238"/>
      <c r="CM278" s="112"/>
      <c r="CN278" s="112"/>
      <c r="CQ278" s="112"/>
      <c r="CR278" s="112"/>
      <c r="CS278" s="112"/>
      <c r="CT278" s="112"/>
      <c r="CU278" s="112"/>
      <c r="CV278" s="112"/>
      <c r="CW278" s="112"/>
      <c r="CX278" s="112" t="s">
        <v>224</v>
      </c>
      <c r="CY278" s="112" t="s">
        <v>225</v>
      </c>
      <c r="CZ278" s="112" t="s">
        <v>226</v>
      </c>
      <c r="DA278" s="112" t="s">
        <v>227</v>
      </c>
      <c r="DB278" s="112" t="s">
        <v>228</v>
      </c>
      <c r="DC278" s="112"/>
      <c r="DD278" s="112"/>
      <c r="DE278" s="238"/>
      <c r="DF278" s="112"/>
      <c r="DG278" s="112"/>
      <c r="DH278" s="112"/>
      <c r="DI278" s="112"/>
      <c r="DJ278" s="112"/>
      <c r="DK278" s="112">
        <f t="shared" si="154"/>
        <v>100000</v>
      </c>
      <c r="DL278" s="112"/>
      <c r="DM278" s="112"/>
      <c r="DN278" s="112"/>
      <c r="DO278" s="112"/>
      <c r="DP278" s="112"/>
      <c r="DQ278" s="112"/>
    </row>
    <row r="279" spans="5:122" x14ac:dyDescent="0.25">
      <c r="E279" s="112">
        <f t="shared" si="161"/>
        <v>100000</v>
      </c>
      <c r="AG279" s="238">
        <f>AG278</f>
        <v>71</v>
      </c>
      <c r="AH279" s="112" t="e">
        <f ca="1">AI278+1</f>
        <v>#N/A</v>
      </c>
      <c r="AI279" s="112">
        <f ca="1">INDIRECT(CONCATENATE("AF",AG275))</f>
        <v>100000</v>
      </c>
      <c r="AJ279" s="114"/>
      <c r="AK279" s="114"/>
      <c r="AL279" s="238" t="e">
        <f t="shared" ca="1" si="164"/>
        <v>#N/A</v>
      </c>
      <c r="AM279" s="112">
        <f t="shared" ca="1" si="159"/>
        <v>100000</v>
      </c>
      <c r="AN279" s="112">
        <f t="shared" ca="1" si="165"/>
        <v>100000</v>
      </c>
      <c r="AO279" s="114">
        <f t="shared" ca="1" si="162"/>
        <v>0</v>
      </c>
      <c r="AP279" s="114">
        <f t="shared" ca="1" si="163"/>
        <v>0</v>
      </c>
      <c r="AR279" s="238">
        <f t="shared" si="166"/>
        <v>279</v>
      </c>
      <c r="AU279" s="238">
        <f t="shared" si="167"/>
        <v>260</v>
      </c>
      <c r="AV279" s="238"/>
      <c r="AW279" s="238"/>
      <c r="CM279" s="112"/>
      <c r="CN279" s="112"/>
      <c r="CQ279" s="112"/>
      <c r="CR279" s="112"/>
      <c r="CS279" s="112"/>
      <c r="CT279" s="112"/>
      <c r="CU279" s="112"/>
      <c r="CV279" s="112"/>
      <c r="CW279" s="112"/>
      <c r="CX279" s="112" t="s">
        <v>224</v>
      </c>
      <c r="CY279" s="112" t="s">
        <v>225</v>
      </c>
      <c r="CZ279" s="112" t="s">
        <v>226</v>
      </c>
      <c r="DA279" s="112" t="s">
        <v>227</v>
      </c>
      <c r="DB279" s="112" t="s">
        <v>228</v>
      </c>
      <c r="DC279" s="112"/>
      <c r="DD279" s="112"/>
      <c r="DE279" s="238"/>
      <c r="DF279" s="112"/>
      <c r="DG279" s="112"/>
      <c r="DH279" s="112"/>
      <c r="DI279" s="112"/>
      <c r="DJ279" s="112"/>
      <c r="DK279" s="112">
        <f t="shared" si="154"/>
        <v>100000</v>
      </c>
      <c r="DL279" s="112"/>
      <c r="DM279" s="112"/>
      <c r="DN279" s="112"/>
      <c r="DO279" s="112"/>
      <c r="DP279" s="112"/>
      <c r="DQ279" s="112"/>
    </row>
    <row r="280" spans="5:122" x14ac:dyDescent="0.25">
      <c r="E280" s="112">
        <f t="shared" si="161"/>
        <v>100000</v>
      </c>
      <c r="AG280" s="238">
        <f>AG279+1</f>
        <v>72</v>
      </c>
      <c r="AH280" s="112">
        <f ca="1">INDIRECT(CONCATENATE("AA",AG280))</f>
        <v>100000</v>
      </c>
      <c r="AI280" s="112" t="e">
        <f ca="1">IF(            INDIRECT(CONCATENATE( "AB",AG280))&lt;100000,       INDIRECT(CONCATENATE("AB",AG280))  -1,IF(   INDIRECT(CONCATENATE("AC",AG280))&lt;100000,   INDIRECT(CONCATENATE("AC",AG280))-1,IF(   INDIRECT(CONCATENATE("AD", AG280))&lt;100000, INDIRECT(CONCATENATE("AD",AG280))-1,IF(   INDIRECT(CONCATENATE("AE",AG280))&lt;100000,  INDIRECT(CONCATENATE("AE",G280)),INDIRECT(CONCATENATE("AF",AG280))                ))))</f>
        <v>#N/A</v>
      </c>
      <c r="AJ280" s="114"/>
      <c r="AK280" s="114"/>
      <c r="AL280" s="238" t="e">
        <f t="shared" ca="1" si="164"/>
        <v>#N/A</v>
      </c>
      <c r="AM280" s="112">
        <f t="shared" ca="1" si="159"/>
        <v>100000</v>
      </c>
      <c r="AN280" s="112">
        <f t="shared" ca="1" si="165"/>
        <v>100000</v>
      </c>
      <c r="AO280" s="114">
        <f t="shared" ca="1" si="162"/>
        <v>0</v>
      </c>
      <c r="AP280" s="114">
        <f t="shared" ca="1" si="163"/>
        <v>0</v>
      </c>
      <c r="AR280" s="238">
        <f t="shared" si="166"/>
        <v>280</v>
      </c>
      <c r="AU280" s="238">
        <f t="shared" si="167"/>
        <v>261</v>
      </c>
      <c r="AV280" s="238"/>
      <c r="AW280" s="238"/>
      <c r="CM280" s="112"/>
      <c r="CN280" s="112"/>
      <c r="CQ280" s="112"/>
      <c r="CR280" s="112"/>
      <c r="CS280" s="112"/>
      <c r="CT280" s="112"/>
      <c r="CU280" s="112"/>
      <c r="CV280" s="112"/>
      <c r="CW280" s="112"/>
      <c r="CX280" s="112" t="s">
        <v>224</v>
      </c>
      <c r="CY280" s="112" t="s">
        <v>225</v>
      </c>
      <c r="CZ280" s="112" t="s">
        <v>226</v>
      </c>
      <c r="DA280" s="112" t="s">
        <v>227</v>
      </c>
      <c r="DB280" s="112" t="s">
        <v>228</v>
      </c>
      <c r="DC280" s="112"/>
      <c r="DD280" s="112"/>
      <c r="DE280" s="238"/>
      <c r="DF280" s="112"/>
      <c r="DG280" s="112"/>
      <c r="DH280" s="112"/>
      <c r="DI280" s="112"/>
      <c r="DJ280" s="112"/>
      <c r="DK280" s="112">
        <f t="shared" si="154"/>
        <v>100000</v>
      </c>
      <c r="DL280" s="112"/>
      <c r="DM280" s="112"/>
      <c r="DN280" s="112"/>
      <c r="DO280" s="112"/>
      <c r="DP280" s="112"/>
      <c r="DQ280" s="112"/>
    </row>
    <row r="281" spans="5:122" x14ac:dyDescent="0.25">
      <c r="E281" s="112">
        <f t="shared" si="161"/>
        <v>100000</v>
      </c>
      <c r="AG281" s="238">
        <f>AG280</f>
        <v>72</v>
      </c>
      <c r="AH281" s="112" t="e">
        <f ca="1">AI280+1</f>
        <v>#N/A</v>
      </c>
      <c r="AI281" s="112" t="e">
        <f ca="1">IF(INDIRECT(CONCATENATE("AC",AG280))&lt;100000,INDIRECT(CONCATENATE("AC",AG280))-1,IF(INDIRECT(CONCATENATE("AD",AG280))&lt;100000,INDIRECT(CONCATENATE("AD",AG280))-1,IF(INDIRECT(CONCATENATE("AE",AG280))&lt;100000,INDIRECT(CONCATENATE("AE",G280)),INDIRECT(CONCATENATE("AF",AG280)))))</f>
        <v>#N/A</v>
      </c>
      <c r="AJ281" s="114"/>
      <c r="AK281" s="114"/>
      <c r="AL281" s="238" t="e">
        <f t="shared" ca="1" si="164"/>
        <v>#N/A</v>
      </c>
      <c r="AM281" s="112">
        <f t="shared" ca="1" si="159"/>
        <v>100000</v>
      </c>
      <c r="AN281" s="112">
        <f t="shared" ca="1" si="165"/>
        <v>100000</v>
      </c>
      <c r="AO281" s="114">
        <f t="shared" ca="1" si="162"/>
        <v>0</v>
      </c>
      <c r="AP281" s="114">
        <f t="shared" ca="1" si="163"/>
        <v>0</v>
      </c>
      <c r="AR281" s="238">
        <f t="shared" si="166"/>
        <v>281</v>
      </c>
      <c r="AU281" s="238">
        <f t="shared" si="167"/>
        <v>262</v>
      </c>
      <c r="AV281" s="238"/>
      <c r="AW281" s="238"/>
      <c r="CM281" s="112"/>
      <c r="CN281" s="112"/>
      <c r="CQ281" s="112"/>
      <c r="CR281" s="112"/>
      <c r="CS281" s="112"/>
      <c r="CT281" s="112"/>
      <c r="CU281" s="112"/>
      <c r="CV281" s="112"/>
      <c r="CW281" s="112"/>
      <c r="CX281" s="112" t="s">
        <v>224</v>
      </c>
      <c r="CY281" s="112" t="s">
        <v>225</v>
      </c>
      <c r="CZ281" s="112" t="s">
        <v>226</v>
      </c>
      <c r="DA281" s="112" t="s">
        <v>227</v>
      </c>
      <c r="DB281" s="112" t="s">
        <v>228</v>
      </c>
      <c r="DC281" s="112"/>
      <c r="DD281" s="112"/>
      <c r="DE281" s="238"/>
      <c r="DF281" s="112"/>
      <c r="DG281" s="112"/>
      <c r="DH281" s="112"/>
      <c r="DI281" s="112"/>
      <c r="DJ281" s="112"/>
      <c r="DK281" s="112">
        <f t="shared" si="154"/>
        <v>100000</v>
      </c>
      <c r="DL281" s="112"/>
      <c r="DM281" s="112"/>
      <c r="DN281" s="112"/>
      <c r="DO281" s="112"/>
      <c r="DP281" s="112"/>
      <c r="DQ281" s="112"/>
    </row>
    <row r="282" spans="5:122" x14ac:dyDescent="0.25">
      <c r="E282" s="112">
        <f t="shared" si="161"/>
        <v>100000</v>
      </c>
      <c r="AG282" s="238">
        <f>AG281</f>
        <v>72</v>
      </c>
      <c r="AH282" s="112" t="e">
        <f ca="1">AI281+1</f>
        <v>#N/A</v>
      </c>
      <c r="AI282" s="112" t="e">
        <f ca="1">IF(INDIRECT(CONCATENATE("AD",AG280))&lt;100000,INDIRECT(CONCATENATE("AD",AG280))-1,IF(INDIRECT(CONCATENATE("AE",AG280))&lt;100000,INDIRECT(CONCATENATE("AE",G280)),INDIRECT(CONCATENATE("AF",AG280))))</f>
        <v>#N/A</v>
      </c>
      <c r="AJ282" s="114"/>
      <c r="AK282" s="114"/>
      <c r="AL282" s="238" t="e">
        <f t="shared" ca="1" si="164"/>
        <v>#N/A</v>
      </c>
      <c r="AM282" s="112">
        <f t="shared" ca="1" si="159"/>
        <v>100000</v>
      </c>
      <c r="AN282" s="112">
        <f t="shared" ca="1" si="165"/>
        <v>100000</v>
      </c>
      <c r="AO282" s="114">
        <f t="shared" ca="1" si="162"/>
        <v>0</v>
      </c>
      <c r="AP282" s="114">
        <f t="shared" ca="1" si="163"/>
        <v>0</v>
      </c>
      <c r="AR282" s="238">
        <f t="shared" si="166"/>
        <v>282</v>
      </c>
      <c r="AU282" s="238">
        <f t="shared" si="167"/>
        <v>263</v>
      </c>
      <c r="AV282" s="238"/>
      <c r="AW282" s="238"/>
      <c r="CM282" s="112"/>
      <c r="CN282" s="112"/>
      <c r="CQ282" s="112"/>
      <c r="CR282" s="112"/>
      <c r="CS282" s="112"/>
      <c r="CT282" s="112"/>
      <c r="CU282" s="112"/>
      <c r="CV282" s="112"/>
      <c r="CW282" s="112"/>
      <c r="CX282" s="112" t="s">
        <v>224</v>
      </c>
      <c r="CY282" s="112" t="s">
        <v>225</v>
      </c>
      <c r="CZ282" s="112" t="s">
        <v>226</v>
      </c>
      <c r="DA282" s="112" t="s">
        <v>227</v>
      </c>
      <c r="DB282" s="112" t="s">
        <v>228</v>
      </c>
      <c r="DC282" s="112"/>
      <c r="DD282" s="112"/>
      <c r="DE282" s="238"/>
      <c r="DF282" s="112"/>
      <c r="DG282" s="112"/>
      <c r="DH282" s="112"/>
      <c r="DI282" s="112"/>
      <c r="DJ282" s="112"/>
      <c r="DK282" s="112">
        <f t="shared" si="154"/>
        <v>100000</v>
      </c>
      <c r="DL282" s="112"/>
      <c r="DM282" s="112"/>
      <c r="DN282" s="112"/>
      <c r="DO282" s="112"/>
      <c r="DP282" s="112"/>
      <c r="DQ282" s="112"/>
      <c r="DR282" t="e">
        <f t="shared" ref="DR282:DR341" si="168">VLOOKUP(CQ282,$F$20:$H$138,3)</f>
        <v>#N/A</v>
      </c>
    </row>
    <row r="283" spans="5:122" x14ac:dyDescent="0.25">
      <c r="E283" s="112">
        <f t="shared" si="161"/>
        <v>100000</v>
      </c>
      <c r="AG283" s="238">
        <f>AG282</f>
        <v>72</v>
      </c>
      <c r="AH283" s="112" t="e">
        <f ca="1">AI282+1</f>
        <v>#N/A</v>
      </c>
      <c r="AI283" s="112" t="e">
        <f ca="1">IF(INDIRECT(CONCATENATE("AE",AG280))&lt;100000,INDIRECT(CONCATENATE("AE",G280)),INDIRECT(CONCATENATE("AF",AG280)))</f>
        <v>#N/A</v>
      </c>
      <c r="AJ283" s="114"/>
      <c r="AK283" s="114"/>
      <c r="AL283" s="238" t="e">
        <f t="shared" ca="1" si="164"/>
        <v>#N/A</v>
      </c>
      <c r="AM283" s="112">
        <f t="shared" ca="1" si="159"/>
        <v>100000</v>
      </c>
      <c r="AN283" s="112">
        <f t="shared" ca="1" si="165"/>
        <v>100000</v>
      </c>
      <c r="AO283" s="114">
        <f t="shared" ca="1" si="162"/>
        <v>0</v>
      </c>
      <c r="AP283" s="114">
        <f t="shared" ca="1" si="163"/>
        <v>0</v>
      </c>
      <c r="AR283" s="238">
        <f t="shared" si="166"/>
        <v>283</v>
      </c>
      <c r="AU283" s="238">
        <f t="shared" si="167"/>
        <v>264</v>
      </c>
      <c r="AV283" s="238"/>
      <c r="AW283" s="238"/>
      <c r="CM283" s="112"/>
      <c r="CN283" s="112"/>
      <c r="CQ283" s="112"/>
      <c r="CR283" s="112"/>
      <c r="CS283" s="112"/>
      <c r="CT283" s="112"/>
      <c r="CU283" s="112"/>
      <c r="CV283" s="112"/>
      <c r="CW283" s="112"/>
      <c r="CX283" s="112" t="s">
        <v>224</v>
      </c>
      <c r="CY283" s="112" t="s">
        <v>225</v>
      </c>
      <c r="CZ283" s="112" t="s">
        <v>226</v>
      </c>
      <c r="DA283" s="112" t="s">
        <v>227</v>
      </c>
      <c r="DB283" s="112" t="s">
        <v>228</v>
      </c>
      <c r="DC283" s="112"/>
      <c r="DD283" s="112"/>
      <c r="DE283" s="238"/>
      <c r="DF283" s="112"/>
      <c r="DG283" s="112"/>
      <c r="DH283" s="112"/>
      <c r="DI283" s="112"/>
      <c r="DJ283" s="112"/>
      <c r="DK283" s="112">
        <f t="shared" si="154"/>
        <v>100000</v>
      </c>
      <c r="DL283" s="112"/>
      <c r="DM283" s="112"/>
      <c r="DN283" s="112"/>
      <c r="DO283" s="112"/>
      <c r="DP283" s="112"/>
      <c r="DQ283" s="112"/>
      <c r="DR283" t="e">
        <f t="shared" si="168"/>
        <v>#N/A</v>
      </c>
    </row>
    <row r="284" spans="5:122" x14ac:dyDescent="0.25">
      <c r="AG284" s="238">
        <f>AG283</f>
        <v>72</v>
      </c>
      <c r="AH284" s="112" t="e">
        <f ca="1">AI283+1</f>
        <v>#N/A</v>
      </c>
      <c r="AI284" s="112">
        <f ca="1">INDIRECT(CONCATENATE("AF",AG280))</f>
        <v>100000</v>
      </c>
      <c r="AJ284" s="114"/>
      <c r="AK284" s="114"/>
      <c r="AL284" s="238" t="e">
        <f t="shared" ca="1" si="164"/>
        <v>#N/A</v>
      </c>
      <c r="AM284" s="112">
        <f t="shared" ca="1" si="159"/>
        <v>100000</v>
      </c>
      <c r="AN284" s="112">
        <f t="shared" ca="1" si="165"/>
        <v>100000</v>
      </c>
      <c r="AO284" s="114">
        <f t="shared" ca="1" si="162"/>
        <v>0</v>
      </c>
      <c r="AP284" s="114">
        <f t="shared" ca="1" si="163"/>
        <v>0</v>
      </c>
      <c r="AR284" s="238">
        <f t="shared" si="166"/>
        <v>284</v>
      </c>
      <c r="AU284" s="238">
        <f t="shared" si="167"/>
        <v>265</v>
      </c>
      <c r="AV284" s="238"/>
      <c r="AW284" s="238"/>
      <c r="CM284" s="112"/>
      <c r="CN284" s="112"/>
      <c r="CQ284" s="112"/>
      <c r="CR284" s="112"/>
      <c r="CS284" s="112"/>
      <c r="CT284" s="112"/>
      <c r="CU284" s="112"/>
      <c r="CV284" s="112"/>
      <c r="CW284" s="112"/>
      <c r="CX284" s="112" t="s">
        <v>224</v>
      </c>
      <c r="CY284" s="112" t="s">
        <v>225</v>
      </c>
      <c r="CZ284" s="112" t="s">
        <v>226</v>
      </c>
      <c r="DA284" s="112" t="s">
        <v>227</v>
      </c>
      <c r="DB284" s="112" t="s">
        <v>228</v>
      </c>
      <c r="DC284" s="112"/>
      <c r="DD284" s="112"/>
      <c r="DE284" s="238"/>
      <c r="DF284" s="112"/>
      <c r="DG284" s="112"/>
      <c r="DH284" s="112"/>
      <c r="DI284" s="112"/>
      <c r="DJ284" s="112"/>
      <c r="DK284" s="112">
        <f t="shared" si="154"/>
        <v>100000</v>
      </c>
      <c r="DL284" s="112"/>
      <c r="DM284" s="112"/>
      <c r="DN284" s="112"/>
      <c r="DO284" s="112"/>
      <c r="DP284" s="112"/>
      <c r="DQ284" s="112"/>
      <c r="DR284" t="e">
        <f t="shared" si="168"/>
        <v>#N/A</v>
      </c>
    </row>
    <row r="285" spans="5:122" x14ac:dyDescent="0.25">
      <c r="AG285" s="238">
        <f>AG284+1</f>
        <v>73</v>
      </c>
      <c r="AH285" s="112">
        <f ca="1">INDIRECT(CONCATENATE("AA",AG285))</f>
        <v>100000</v>
      </c>
      <c r="AI285" s="112" t="e">
        <f ca="1">IF(            INDIRECT(CONCATENATE( "AB",AG285))&lt;100000,       INDIRECT(CONCATENATE("AB",AG285))  -1,IF(   INDIRECT(CONCATENATE("AC",AG285))&lt;100000,   INDIRECT(CONCATENATE("AC",AG285))-1,IF(   INDIRECT(CONCATENATE("AD", AG285))&lt;100000, INDIRECT(CONCATENATE("AD",AG285))-1,IF(   INDIRECT(CONCATENATE("AE",AG285))&lt;100000,  INDIRECT(CONCATENATE("AE",G285)),INDIRECT(CONCATENATE("AF",AG285))                ))))</f>
        <v>#N/A</v>
      </c>
      <c r="AJ285" s="114"/>
      <c r="AK285" s="114"/>
      <c r="AL285" s="238" t="e">
        <f t="shared" ca="1" si="164"/>
        <v>#N/A</v>
      </c>
      <c r="AM285" s="112">
        <f t="shared" ca="1" si="159"/>
        <v>100000</v>
      </c>
      <c r="AN285" s="112">
        <f t="shared" ca="1" si="165"/>
        <v>100000</v>
      </c>
      <c r="AO285" s="114">
        <f t="shared" ca="1" si="162"/>
        <v>0</v>
      </c>
      <c r="AP285" s="114">
        <f t="shared" ca="1" si="163"/>
        <v>0</v>
      </c>
      <c r="AR285" s="238">
        <f t="shared" si="166"/>
        <v>285</v>
      </c>
      <c r="AU285" s="238">
        <f t="shared" si="167"/>
        <v>266</v>
      </c>
      <c r="AV285" s="238"/>
      <c r="AW285" s="238"/>
      <c r="CM285" s="112"/>
      <c r="CN285" s="112"/>
      <c r="CQ285" s="112"/>
      <c r="CR285" s="112"/>
      <c r="CS285" s="112"/>
      <c r="CT285" s="112"/>
      <c r="CU285" s="112"/>
      <c r="CV285" s="112"/>
      <c r="CW285" s="112"/>
      <c r="CX285" s="112" t="s">
        <v>224</v>
      </c>
      <c r="CY285" s="112" t="s">
        <v>225</v>
      </c>
      <c r="CZ285" s="112" t="s">
        <v>226</v>
      </c>
      <c r="DA285" s="112" t="s">
        <v>227</v>
      </c>
      <c r="DB285" s="112" t="s">
        <v>228</v>
      </c>
      <c r="DC285" s="112"/>
      <c r="DD285" s="112"/>
      <c r="DE285" s="238"/>
      <c r="DF285" s="112"/>
      <c r="DG285" s="112"/>
      <c r="DH285" s="112"/>
      <c r="DI285" s="112"/>
      <c r="DJ285" s="112"/>
      <c r="DK285" s="112">
        <f t="shared" si="154"/>
        <v>100000</v>
      </c>
      <c r="DL285" s="112"/>
      <c r="DM285" s="112"/>
      <c r="DN285" s="112"/>
      <c r="DO285" s="112"/>
      <c r="DP285" s="112"/>
      <c r="DQ285" s="112"/>
      <c r="DR285" t="e">
        <f t="shared" si="168"/>
        <v>#N/A</v>
      </c>
    </row>
    <row r="286" spans="5:122" x14ac:dyDescent="0.25">
      <c r="AG286" s="238">
        <f>AG285</f>
        <v>73</v>
      </c>
      <c r="AH286" s="112" t="e">
        <f ca="1">AI285+1</f>
        <v>#N/A</v>
      </c>
      <c r="AI286" s="112" t="e">
        <f ca="1">IF(INDIRECT(CONCATENATE("AC",AG285))&lt;100000,INDIRECT(CONCATENATE("AC",AG285))-1,IF(INDIRECT(CONCATENATE("AD",AG285))&lt;100000,INDIRECT(CONCATENATE("AD",AG285))-1,IF(INDIRECT(CONCATENATE("AE",AG285))&lt;100000,INDIRECT(CONCATENATE("AE",G285)),INDIRECT(CONCATENATE("AF",AG285)))))</f>
        <v>#N/A</v>
      </c>
      <c r="AJ286" s="114"/>
      <c r="AK286" s="114"/>
      <c r="AL286" s="238" t="e">
        <f t="shared" ca="1" si="164"/>
        <v>#N/A</v>
      </c>
      <c r="AM286" s="112">
        <f t="shared" ca="1" si="159"/>
        <v>100000</v>
      </c>
      <c r="AN286" s="112">
        <f t="shared" ca="1" si="165"/>
        <v>100000</v>
      </c>
      <c r="AO286" s="114">
        <f t="shared" ca="1" si="162"/>
        <v>0</v>
      </c>
      <c r="AP286" s="114">
        <f t="shared" ca="1" si="163"/>
        <v>0</v>
      </c>
      <c r="AR286" s="238">
        <f t="shared" si="166"/>
        <v>286</v>
      </c>
      <c r="AU286" s="238">
        <f t="shared" si="167"/>
        <v>267</v>
      </c>
      <c r="AV286" s="238"/>
      <c r="AW286" s="238"/>
      <c r="CM286" s="112"/>
      <c r="CN286" s="112"/>
      <c r="CQ286" s="112"/>
      <c r="CR286" s="112"/>
      <c r="CS286" s="112"/>
      <c r="CT286" s="112"/>
      <c r="CU286" s="112"/>
      <c r="CV286" s="112"/>
      <c r="CW286" s="112"/>
      <c r="CX286" s="112" t="s">
        <v>224</v>
      </c>
      <c r="CY286" s="112" t="s">
        <v>225</v>
      </c>
      <c r="CZ286" s="112" t="s">
        <v>226</v>
      </c>
      <c r="DA286" s="112" t="s">
        <v>227</v>
      </c>
      <c r="DB286" s="112" t="s">
        <v>228</v>
      </c>
      <c r="DC286" s="112"/>
      <c r="DD286" s="112"/>
      <c r="DE286" s="238"/>
      <c r="DF286" s="112"/>
      <c r="DG286" s="112"/>
      <c r="DH286" s="112"/>
      <c r="DI286" s="112"/>
      <c r="DJ286" s="112"/>
      <c r="DK286" s="112">
        <f t="shared" si="154"/>
        <v>100000</v>
      </c>
      <c r="DL286" s="112"/>
      <c r="DM286" s="112"/>
      <c r="DN286" s="112"/>
      <c r="DO286" s="112"/>
      <c r="DP286" s="112"/>
      <c r="DQ286" s="112"/>
      <c r="DR286" t="e">
        <f t="shared" si="168"/>
        <v>#N/A</v>
      </c>
    </row>
    <row r="287" spans="5:122" x14ac:dyDescent="0.25">
      <c r="AG287" s="238">
        <f>AG286</f>
        <v>73</v>
      </c>
      <c r="AH287" s="112" t="e">
        <f ca="1">AI286+1</f>
        <v>#N/A</v>
      </c>
      <c r="AI287" s="112" t="e">
        <f ca="1">IF(INDIRECT(CONCATENATE("AD",AG285))&lt;100000,INDIRECT(CONCATENATE("AD",AG285))-1,IF(INDIRECT(CONCATENATE("AE",AG285))&lt;100000,INDIRECT(CONCATENATE("AE",G285)),INDIRECT(CONCATENATE("AF",AG285))))</f>
        <v>#N/A</v>
      </c>
      <c r="AJ287" s="114"/>
      <c r="AK287" s="114"/>
      <c r="AL287" s="238" t="e">
        <f t="shared" ca="1" si="164"/>
        <v>#N/A</v>
      </c>
      <c r="AM287" s="112">
        <f t="shared" ca="1" si="159"/>
        <v>100000</v>
      </c>
      <c r="AN287" s="112">
        <f t="shared" ca="1" si="165"/>
        <v>100000</v>
      </c>
      <c r="AO287" s="114">
        <f t="shared" ca="1" si="162"/>
        <v>0</v>
      </c>
      <c r="AP287" s="114">
        <f t="shared" ca="1" si="163"/>
        <v>0</v>
      </c>
      <c r="AR287" s="238">
        <f t="shared" si="166"/>
        <v>287</v>
      </c>
      <c r="AU287" s="238">
        <f t="shared" si="167"/>
        <v>268</v>
      </c>
      <c r="AV287" s="238"/>
      <c r="AW287" s="238"/>
      <c r="CM287" s="112"/>
      <c r="CN287" s="112"/>
      <c r="CQ287" s="112"/>
      <c r="CR287" s="112"/>
      <c r="CS287" s="112"/>
      <c r="CT287" s="112"/>
      <c r="CU287" s="112"/>
      <c r="CV287" s="112"/>
      <c r="CW287" s="112"/>
      <c r="CX287" s="112" t="s">
        <v>224</v>
      </c>
      <c r="CY287" s="112" t="s">
        <v>225</v>
      </c>
      <c r="CZ287" s="112" t="s">
        <v>226</v>
      </c>
      <c r="DA287" s="112" t="s">
        <v>227</v>
      </c>
      <c r="DB287" s="112" t="s">
        <v>228</v>
      </c>
      <c r="DC287" s="112"/>
      <c r="DD287" s="112"/>
      <c r="DE287" s="238"/>
      <c r="DF287" s="112"/>
      <c r="DG287" s="112"/>
      <c r="DH287" s="112"/>
      <c r="DI287" s="112"/>
      <c r="DJ287" s="112"/>
      <c r="DK287" s="112">
        <f t="shared" si="154"/>
        <v>100000</v>
      </c>
      <c r="DL287" s="112"/>
      <c r="DM287" s="112"/>
      <c r="DN287" s="112"/>
      <c r="DO287" s="112"/>
      <c r="DP287" s="112"/>
      <c r="DQ287" s="112"/>
      <c r="DR287" t="e">
        <f t="shared" si="168"/>
        <v>#N/A</v>
      </c>
    </row>
    <row r="288" spans="5:122" x14ac:dyDescent="0.25">
      <c r="AG288" s="238">
        <f>AG287</f>
        <v>73</v>
      </c>
      <c r="AH288" s="112" t="e">
        <f ca="1">AI287+1</f>
        <v>#N/A</v>
      </c>
      <c r="AI288" s="112" t="e">
        <f ca="1">IF(INDIRECT(CONCATENATE("AE",AG285))&lt;100000,INDIRECT(CONCATENATE("AE",G285)),INDIRECT(CONCATENATE("AF",AG285)))</f>
        <v>#N/A</v>
      </c>
      <c r="AJ288" s="114"/>
      <c r="AK288" s="114"/>
      <c r="AL288" s="238" t="e">
        <f t="shared" ca="1" si="164"/>
        <v>#N/A</v>
      </c>
      <c r="AM288" s="112">
        <f t="shared" ca="1" si="159"/>
        <v>100000</v>
      </c>
      <c r="AN288" s="112">
        <f t="shared" ca="1" si="165"/>
        <v>100000</v>
      </c>
      <c r="AO288" s="114">
        <f t="shared" ca="1" si="162"/>
        <v>0</v>
      </c>
      <c r="AP288" s="114">
        <f t="shared" ca="1" si="163"/>
        <v>0</v>
      </c>
      <c r="AR288" s="238">
        <f t="shared" si="166"/>
        <v>288</v>
      </c>
      <c r="AU288" s="238">
        <f t="shared" si="167"/>
        <v>269</v>
      </c>
      <c r="AV288" s="238"/>
      <c r="AW288" s="238"/>
      <c r="CM288" s="112"/>
      <c r="CN288" s="112"/>
      <c r="CQ288" s="112"/>
      <c r="CR288" s="112"/>
      <c r="CS288" s="112"/>
      <c r="CT288" s="112"/>
      <c r="CU288" s="112"/>
      <c r="CV288" s="112"/>
      <c r="CW288" s="112"/>
      <c r="CX288" s="112" t="s">
        <v>224</v>
      </c>
      <c r="CY288" s="112" t="s">
        <v>225</v>
      </c>
      <c r="CZ288" s="112" t="s">
        <v>226</v>
      </c>
      <c r="DA288" s="112" t="s">
        <v>227</v>
      </c>
      <c r="DB288" s="112" t="s">
        <v>228</v>
      </c>
      <c r="DC288" s="112"/>
      <c r="DD288" s="112"/>
      <c r="DE288" s="238"/>
      <c r="DF288" s="112"/>
      <c r="DG288" s="112"/>
      <c r="DH288" s="112"/>
      <c r="DI288" s="112"/>
      <c r="DJ288" s="112"/>
      <c r="DK288" s="112">
        <f t="shared" si="154"/>
        <v>100000</v>
      </c>
      <c r="DL288" s="112"/>
      <c r="DM288" s="112"/>
      <c r="DN288" s="112"/>
      <c r="DO288" s="112"/>
      <c r="DP288" s="112"/>
      <c r="DQ288" s="112"/>
      <c r="DR288" t="e">
        <f t="shared" si="168"/>
        <v>#N/A</v>
      </c>
    </row>
    <row r="289" spans="33:122" x14ac:dyDescent="0.25">
      <c r="AG289" s="238">
        <f>AG288</f>
        <v>73</v>
      </c>
      <c r="AH289" s="112" t="e">
        <f ca="1">AI288+1</f>
        <v>#N/A</v>
      </c>
      <c r="AI289" s="112">
        <f ca="1">INDIRECT(CONCATENATE("AF",AG285))</f>
        <v>100000</v>
      </c>
      <c r="AJ289" s="114"/>
      <c r="AK289" s="114"/>
      <c r="AL289" s="238" t="e">
        <f t="shared" ca="1" si="164"/>
        <v>#N/A</v>
      </c>
      <c r="AM289" s="112">
        <f t="shared" ca="1" si="159"/>
        <v>100000</v>
      </c>
      <c r="AN289" s="112">
        <f t="shared" ca="1" si="165"/>
        <v>100000</v>
      </c>
      <c r="AO289" s="114">
        <f t="shared" ca="1" si="162"/>
        <v>0</v>
      </c>
      <c r="AP289" s="114">
        <f t="shared" ca="1" si="163"/>
        <v>0</v>
      </c>
      <c r="AR289" s="238">
        <f t="shared" si="166"/>
        <v>289</v>
      </c>
      <c r="AU289" s="238">
        <f t="shared" si="167"/>
        <v>270</v>
      </c>
      <c r="AV289" s="238"/>
      <c r="AW289" s="238"/>
      <c r="CM289" s="112"/>
      <c r="CN289" s="112"/>
      <c r="CQ289" s="112"/>
      <c r="CR289" s="112"/>
      <c r="CS289" s="112"/>
      <c r="CT289" s="112"/>
      <c r="CU289" s="112"/>
      <c r="CV289" s="112"/>
      <c r="CW289" s="112"/>
      <c r="CX289" s="112" t="s">
        <v>224</v>
      </c>
      <c r="CY289" s="112" t="s">
        <v>225</v>
      </c>
      <c r="CZ289" s="112" t="s">
        <v>226</v>
      </c>
      <c r="DA289" s="112" t="s">
        <v>227</v>
      </c>
      <c r="DB289" s="112" t="s">
        <v>228</v>
      </c>
      <c r="DC289" s="112"/>
      <c r="DD289" s="112"/>
      <c r="DE289" s="238"/>
      <c r="DF289" s="112"/>
      <c r="DG289" s="112"/>
      <c r="DH289" s="112"/>
      <c r="DI289" s="112"/>
      <c r="DJ289" s="112"/>
      <c r="DK289" s="112">
        <f t="shared" si="154"/>
        <v>100000</v>
      </c>
      <c r="DL289" s="112"/>
      <c r="DM289" s="112"/>
      <c r="DN289" s="112"/>
      <c r="DO289" s="112"/>
      <c r="DP289" s="112"/>
      <c r="DQ289" s="112"/>
      <c r="DR289" t="e">
        <f t="shared" si="168"/>
        <v>#N/A</v>
      </c>
    </row>
    <row r="290" spans="33:122" x14ac:dyDescent="0.25">
      <c r="AG290" s="238">
        <f>AG289+1</f>
        <v>74</v>
      </c>
      <c r="AH290" s="112">
        <f ca="1">INDIRECT(CONCATENATE("AA",AG290))</f>
        <v>100000</v>
      </c>
      <c r="AI290" s="112" t="e">
        <f ca="1">IF(            INDIRECT(CONCATENATE( "AB",AG290))&lt;100000,       INDIRECT(CONCATENATE("AB",AG290))  -1,IF(   INDIRECT(CONCATENATE("AC",AG290))&lt;100000,   INDIRECT(CONCATENATE("AC",AG290))-1,IF(   INDIRECT(CONCATENATE("AD", AG290))&lt;100000, INDIRECT(CONCATENATE("AD",AG290))-1,IF(   INDIRECT(CONCATENATE("AE",AG290))&lt;100000,  INDIRECT(CONCATENATE("AE",G290)),INDIRECT(CONCATENATE("AF",AG290))                ))))</f>
        <v>#N/A</v>
      </c>
      <c r="AJ290" s="114"/>
      <c r="AK290" s="114"/>
      <c r="AL290" s="238" t="e">
        <f t="shared" ca="1" si="164"/>
        <v>#N/A</v>
      </c>
      <c r="AM290" s="112">
        <f t="shared" ca="1" si="159"/>
        <v>100000</v>
      </c>
      <c r="AN290" s="112">
        <f t="shared" ca="1" si="165"/>
        <v>100000</v>
      </c>
      <c r="AO290" s="114">
        <f t="shared" ca="1" si="162"/>
        <v>0</v>
      </c>
      <c r="AP290" s="114">
        <f t="shared" ca="1" si="163"/>
        <v>0</v>
      </c>
      <c r="AR290" s="238">
        <f t="shared" si="166"/>
        <v>290</v>
      </c>
      <c r="AU290" s="238">
        <f t="shared" si="167"/>
        <v>271</v>
      </c>
      <c r="AV290" s="238"/>
      <c r="AW290" s="238"/>
      <c r="CM290" s="112"/>
      <c r="CN290" s="112"/>
      <c r="CQ290" s="112"/>
      <c r="CR290" s="112"/>
      <c r="CS290" s="112"/>
      <c r="CT290" s="112"/>
      <c r="CU290" s="112"/>
      <c r="CV290" s="112"/>
      <c r="CW290" s="112"/>
      <c r="CX290" s="112" t="s">
        <v>224</v>
      </c>
      <c r="CY290" s="112" t="s">
        <v>225</v>
      </c>
      <c r="CZ290" s="112" t="s">
        <v>226</v>
      </c>
      <c r="DA290" s="112" t="s">
        <v>227</v>
      </c>
      <c r="DB290" s="112" t="s">
        <v>228</v>
      </c>
      <c r="DC290" s="112"/>
      <c r="DD290" s="112"/>
      <c r="DE290" s="238"/>
      <c r="DF290" s="112"/>
      <c r="DG290" s="112"/>
      <c r="DH290" s="112"/>
      <c r="DI290" s="112"/>
      <c r="DJ290" s="112"/>
      <c r="DK290" s="112">
        <f t="shared" si="154"/>
        <v>100000</v>
      </c>
      <c r="DL290" s="112"/>
      <c r="DM290" s="112"/>
      <c r="DN290" s="112"/>
      <c r="DO290" s="112"/>
      <c r="DP290" s="112"/>
      <c r="DQ290" s="112"/>
      <c r="DR290" t="e">
        <f t="shared" si="168"/>
        <v>#N/A</v>
      </c>
    </row>
    <row r="291" spans="33:122" x14ac:dyDescent="0.25">
      <c r="AG291" s="238">
        <f>AG290</f>
        <v>74</v>
      </c>
      <c r="AH291" s="112" t="e">
        <f ca="1">AI290+1</f>
        <v>#N/A</v>
      </c>
      <c r="AI291" s="112" t="e">
        <f ca="1">IF(INDIRECT(CONCATENATE("AC",AG290))&lt;100000,INDIRECT(CONCATENATE("AC",AG290))-1,IF(INDIRECT(CONCATENATE("AD",AG290))&lt;100000,INDIRECT(CONCATENATE("AD",AG290))-1,IF(INDIRECT(CONCATENATE("AE",AG290))&lt;100000,INDIRECT(CONCATENATE("AE",G290)),INDIRECT(CONCATENATE("AF",AG290)))))</f>
        <v>#N/A</v>
      </c>
      <c r="AJ291" s="114"/>
      <c r="AK291" s="114"/>
      <c r="AL291" s="238" t="e">
        <f t="shared" ca="1" si="164"/>
        <v>#N/A</v>
      </c>
      <c r="AM291" s="112">
        <f t="shared" ca="1" si="159"/>
        <v>100000</v>
      </c>
      <c r="AN291" s="112">
        <f t="shared" ca="1" si="165"/>
        <v>100000</v>
      </c>
      <c r="AO291" s="114">
        <f t="shared" ca="1" si="162"/>
        <v>0</v>
      </c>
      <c r="AP291" s="114">
        <f t="shared" ca="1" si="163"/>
        <v>0</v>
      </c>
      <c r="AR291" s="238">
        <f t="shared" si="166"/>
        <v>291</v>
      </c>
      <c r="AU291" s="238">
        <f t="shared" si="167"/>
        <v>272</v>
      </c>
      <c r="AV291" s="238"/>
      <c r="AW291" s="238"/>
      <c r="CM291" s="112"/>
      <c r="CN291" s="112"/>
      <c r="CQ291" s="112"/>
      <c r="CR291" s="112"/>
      <c r="CS291" s="112"/>
      <c r="CT291" s="112"/>
      <c r="CU291" s="112"/>
      <c r="CV291" s="112"/>
      <c r="CW291" s="112"/>
      <c r="CX291" s="112" t="s">
        <v>224</v>
      </c>
      <c r="CY291" s="112" t="s">
        <v>225</v>
      </c>
      <c r="CZ291" s="112" t="s">
        <v>226</v>
      </c>
      <c r="DA291" s="112" t="s">
        <v>227</v>
      </c>
      <c r="DB291" s="112" t="s">
        <v>228</v>
      </c>
      <c r="DC291" s="112"/>
      <c r="DD291" s="112"/>
      <c r="DE291" s="238"/>
      <c r="DF291" s="112"/>
      <c r="DG291" s="112"/>
      <c r="DH291" s="112"/>
      <c r="DI291" s="112"/>
      <c r="DJ291" s="112"/>
      <c r="DK291" s="112">
        <f t="shared" ref="DK291:DK340" si="169">IF(AND(DG291&gt;1000,DG291&lt;80000),DG291,100000)</f>
        <v>100000</v>
      </c>
      <c r="DL291" s="112"/>
      <c r="DM291" s="112"/>
      <c r="DN291" s="112"/>
      <c r="DO291" s="112"/>
      <c r="DP291" s="112"/>
      <c r="DQ291" s="112"/>
      <c r="DR291" t="e">
        <f t="shared" si="168"/>
        <v>#N/A</v>
      </c>
    </row>
    <row r="292" spans="33:122" x14ac:dyDescent="0.25">
      <c r="AG292" s="238">
        <f>AG291</f>
        <v>74</v>
      </c>
      <c r="AH292" s="112" t="e">
        <f ca="1">AI291+1</f>
        <v>#N/A</v>
      </c>
      <c r="AI292" s="112" t="e">
        <f ca="1">IF(INDIRECT(CONCATENATE("AD",AG290))&lt;100000,INDIRECT(CONCATENATE("AD",AG290))-1,IF(INDIRECT(CONCATENATE("AE",AG290))&lt;100000,INDIRECT(CONCATENATE("AE",G290)),INDIRECT(CONCATENATE("AF",AG290))))</f>
        <v>#N/A</v>
      </c>
      <c r="AJ292" s="114"/>
      <c r="AK292" s="114"/>
      <c r="AL292" s="238" t="e">
        <f t="shared" ca="1" si="164"/>
        <v>#N/A</v>
      </c>
      <c r="AM292" s="112">
        <f t="shared" ca="1" si="159"/>
        <v>100000</v>
      </c>
      <c r="AN292" s="112">
        <f t="shared" ca="1" si="165"/>
        <v>100000</v>
      </c>
      <c r="AO292" s="114">
        <f t="shared" ca="1" si="162"/>
        <v>0</v>
      </c>
      <c r="AP292" s="114">
        <f t="shared" ca="1" si="163"/>
        <v>0</v>
      </c>
      <c r="AR292" s="238">
        <f t="shared" si="166"/>
        <v>292</v>
      </c>
      <c r="AU292" s="238">
        <f t="shared" si="167"/>
        <v>273</v>
      </c>
      <c r="AV292" s="238"/>
      <c r="AW292" s="238"/>
      <c r="CM292" s="112"/>
      <c r="CN292" s="112"/>
      <c r="CQ292" s="112"/>
      <c r="CR292" s="112"/>
      <c r="CS292" s="112"/>
      <c r="CT292" s="112"/>
      <c r="CU292" s="112"/>
      <c r="CV292" s="112"/>
      <c r="CW292" s="112"/>
      <c r="CX292" s="112" t="s">
        <v>224</v>
      </c>
      <c r="CY292" s="112" t="s">
        <v>225</v>
      </c>
      <c r="CZ292" s="112" t="s">
        <v>226</v>
      </c>
      <c r="DA292" s="112" t="s">
        <v>227</v>
      </c>
      <c r="DB292" s="112" t="s">
        <v>228</v>
      </c>
      <c r="DC292" s="112"/>
      <c r="DD292" s="112"/>
      <c r="DE292" s="238"/>
      <c r="DF292" s="112"/>
      <c r="DG292" s="112"/>
      <c r="DH292" s="112"/>
      <c r="DI292" s="112"/>
      <c r="DJ292" s="112"/>
      <c r="DK292" s="112">
        <f t="shared" si="169"/>
        <v>100000</v>
      </c>
      <c r="DL292" s="112"/>
      <c r="DM292" s="112"/>
      <c r="DN292" s="112"/>
      <c r="DO292" s="112"/>
      <c r="DP292" s="112"/>
      <c r="DQ292" s="112"/>
      <c r="DR292" t="e">
        <f t="shared" si="168"/>
        <v>#N/A</v>
      </c>
    </row>
    <row r="293" spans="33:122" x14ac:dyDescent="0.25">
      <c r="AG293" s="238">
        <f>AG292</f>
        <v>74</v>
      </c>
      <c r="AH293" s="112" t="e">
        <f ca="1">AI292+1</f>
        <v>#N/A</v>
      </c>
      <c r="AI293" s="112" t="e">
        <f ca="1">IF(INDIRECT(CONCATENATE("AE",AG290))&lt;100000,INDIRECT(CONCATENATE("AE",G290)),INDIRECT(CONCATENATE("AF",AG290)))</f>
        <v>#N/A</v>
      </c>
      <c r="AJ293" s="114"/>
      <c r="AK293" s="114"/>
      <c r="AL293" s="238" t="e">
        <f t="shared" ca="1" si="164"/>
        <v>#N/A</v>
      </c>
      <c r="AM293" s="112">
        <f t="shared" ca="1" si="159"/>
        <v>100000</v>
      </c>
      <c r="AN293" s="112">
        <f t="shared" ca="1" si="165"/>
        <v>100000</v>
      </c>
      <c r="AO293" s="114">
        <f t="shared" ca="1" si="162"/>
        <v>0</v>
      </c>
      <c r="AP293" s="114">
        <f t="shared" ca="1" si="163"/>
        <v>0</v>
      </c>
      <c r="AR293" s="238">
        <f t="shared" si="166"/>
        <v>293</v>
      </c>
      <c r="AU293" s="238">
        <f t="shared" si="167"/>
        <v>274</v>
      </c>
      <c r="AV293" s="238"/>
      <c r="AW293" s="238"/>
      <c r="CM293" s="112"/>
      <c r="CN293" s="112"/>
      <c r="CQ293" s="112"/>
      <c r="CR293" s="112"/>
      <c r="CS293" s="112"/>
      <c r="CT293" s="112"/>
      <c r="CU293" s="112"/>
      <c r="CV293" s="112"/>
      <c r="CW293" s="112"/>
      <c r="CX293" s="112" t="s">
        <v>224</v>
      </c>
      <c r="CY293" s="112" t="s">
        <v>225</v>
      </c>
      <c r="CZ293" s="112" t="s">
        <v>226</v>
      </c>
      <c r="DA293" s="112" t="s">
        <v>227</v>
      </c>
      <c r="DB293" s="112" t="s">
        <v>228</v>
      </c>
      <c r="DC293" s="112"/>
      <c r="DD293" s="112"/>
      <c r="DE293" s="238"/>
      <c r="DF293" s="112"/>
      <c r="DG293" s="112"/>
      <c r="DH293" s="112"/>
      <c r="DI293" s="112"/>
      <c r="DJ293" s="112"/>
      <c r="DK293" s="112">
        <f t="shared" si="169"/>
        <v>100000</v>
      </c>
      <c r="DL293" s="112"/>
      <c r="DM293" s="112"/>
      <c r="DN293" s="112"/>
      <c r="DO293" s="112"/>
      <c r="DP293" s="112"/>
      <c r="DQ293" s="112"/>
      <c r="DR293" t="e">
        <f t="shared" si="168"/>
        <v>#N/A</v>
      </c>
    </row>
    <row r="294" spans="33:122" x14ac:dyDescent="0.25">
      <c r="AG294" s="238">
        <f>AG293</f>
        <v>74</v>
      </c>
      <c r="AH294" s="112" t="e">
        <f ca="1">AI293+1</f>
        <v>#N/A</v>
      </c>
      <c r="AI294" s="112">
        <f ca="1">INDIRECT(CONCATENATE("AF",AG290))</f>
        <v>100000</v>
      </c>
      <c r="AJ294" s="114"/>
      <c r="AK294" s="114"/>
      <c r="AL294" s="238" t="e">
        <f t="shared" ca="1" si="164"/>
        <v>#N/A</v>
      </c>
      <c r="AM294" s="112">
        <f t="shared" ca="1" si="159"/>
        <v>100000</v>
      </c>
      <c r="AN294" s="112">
        <f t="shared" ca="1" si="165"/>
        <v>100000</v>
      </c>
      <c r="AO294" s="114">
        <f t="shared" ca="1" si="162"/>
        <v>0</v>
      </c>
      <c r="AP294" s="114">
        <f t="shared" ca="1" si="163"/>
        <v>0</v>
      </c>
      <c r="AR294" s="238">
        <f t="shared" si="166"/>
        <v>294</v>
      </c>
      <c r="AU294" s="238">
        <f t="shared" si="167"/>
        <v>275</v>
      </c>
      <c r="AV294" s="238"/>
      <c r="AW294" s="238"/>
      <c r="CM294" s="112"/>
      <c r="CN294" s="112"/>
      <c r="CQ294" s="112"/>
      <c r="CR294" s="112"/>
      <c r="CS294" s="112"/>
      <c r="CT294" s="112"/>
      <c r="CU294" s="112"/>
      <c r="CV294" s="112"/>
      <c r="CW294" s="112"/>
      <c r="CX294" s="112" t="s">
        <v>224</v>
      </c>
      <c r="CY294" s="112" t="s">
        <v>225</v>
      </c>
      <c r="CZ294" s="112" t="s">
        <v>226</v>
      </c>
      <c r="DA294" s="112" t="s">
        <v>227</v>
      </c>
      <c r="DB294" s="112" t="s">
        <v>228</v>
      </c>
      <c r="DC294" s="112"/>
      <c r="DD294" s="112"/>
      <c r="DE294" s="238"/>
      <c r="DF294" s="112"/>
      <c r="DG294" s="112"/>
      <c r="DH294" s="112"/>
      <c r="DI294" s="112"/>
      <c r="DJ294" s="112"/>
      <c r="DK294" s="112">
        <f t="shared" si="169"/>
        <v>100000</v>
      </c>
      <c r="DL294" s="112"/>
      <c r="DM294" s="112"/>
      <c r="DN294" s="112"/>
      <c r="DO294" s="112"/>
      <c r="DP294" s="112"/>
      <c r="DQ294" s="112"/>
      <c r="DR294" t="e">
        <f t="shared" si="168"/>
        <v>#N/A</v>
      </c>
    </row>
    <row r="295" spans="33:122" x14ac:dyDescent="0.25">
      <c r="AG295" s="238">
        <f>AG294+1</f>
        <v>75</v>
      </c>
      <c r="AH295" s="112">
        <f ca="1">INDIRECT(CONCATENATE("AA",AG295))</f>
        <v>100000</v>
      </c>
      <c r="AI295" s="112" t="e">
        <f ca="1">IF(            INDIRECT(CONCATENATE( "AB",AG295))&lt;100000,       INDIRECT(CONCATENATE("AB",AG295))  -1,IF(   INDIRECT(CONCATENATE("AC",AG295))&lt;100000,   INDIRECT(CONCATENATE("AC",AG295))-1,IF(   INDIRECT(CONCATENATE("AD", AG295))&lt;100000, INDIRECT(CONCATENATE("AD",AG295))-1,IF(   INDIRECT(CONCATENATE("AE",AG295))&lt;100000,  INDIRECT(CONCATENATE("AE",G295)),INDIRECT(CONCATENATE("AF",AG295))                ))))</f>
        <v>#N/A</v>
      </c>
      <c r="AJ295" s="114"/>
      <c r="AK295" s="114"/>
      <c r="AL295" s="238" t="e">
        <f t="shared" ca="1" si="164"/>
        <v>#N/A</v>
      </c>
      <c r="AM295" s="112">
        <f t="shared" ca="1" si="159"/>
        <v>100000</v>
      </c>
      <c r="AN295" s="112">
        <f t="shared" ca="1" si="165"/>
        <v>100000</v>
      </c>
      <c r="AO295" s="114">
        <f t="shared" ca="1" si="162"/>
        <v>0</v>
      </c>
      <c r="AP295" s="114">
        <f t="shared" ca="1" si="163"/>
        <v>0</v>
      </c>
      <c r="AR295" s="238">
        <f t="shared" si="166"/>
        <v>295</v>
      </c>
      <c r="AU295" s="238">
        <f t="shared" si="167"/>
        <v>276</v>
      </c>
      <c r="AV295" s="238"/>
      <c r="AW295" s="238"/>
      <c r="CM295" s="112"/>
      <c r="CN295" s="112"/>
      <c r="CQ295" s="112"/>
      <c r="CR295" s="112"/>
      <c r="CS295" s="112"/>
      <c r="CT295" s="112"/>
      <c r="CU295" s="112"/>
      <c r="CV295" s="112"/>
      <c r="CW295" s="112"/>
      <c r="CX295" s="112" t="s">
        <v>224</v>
      </c>
      <c r="CY295" s="112" t="s">
        <v>225</v>
      </c>
      <c r="CZ295" s="112" t="s">
        <v>226</v>
      </c>
      <c r="DA295" s="112" t="s">
        <v>227</v>
      </c>
      <c r="DB295" s="112" t="s">
        <v>228</v>
      </c>
      <c r="DC295" s="112"/>
      <c r="DD295" s="112"/>
      <c r="DE295" s="238"/>
      <c r="DF295" s="112"/>
      <c r="DG295" s="112"/>
      <c r="DH295" s="112"/>
      <c r="DI295" s="112"/>
      <c r="DJ295" s="112"/>
      <c r="DK295" s="112">
        <f t="shared" si="169"/>
        <v>100000</v>
      </c>
      <c r="DL295" s="112"/>
      <c r="DM295" s="112"/>
      <c r="DN295" s="112"/>
      <c r="DO295" s="112"/>
      <c r="DP295" s="112"/>
      <c r="DQ295" s="112"/>
      <c r="DR295" t="e">
        <f t="shared" si="168"/>
        <v>#N/A</v>
      </c>
    </row>
    <row r="296" spans="33:122" x14ac:dyDescent="0.25">
      <c r="AG296" s="238">
        <f>AG295</f>
        <v>75</v>
      </c>
      <c r="AH296" s="112" t="e">
        <f ca="1">AI295+1</f>
        <v>#N/A</v>
      </c>
      <c r="AI296" s="112" t="e">
        <f ca="1">IF(INDIRECT(CONCATENATE("AC",AG295))&lt;100000,INDIRECT(CONCATENATE("AC",AG295))-1,IF(INDIRECT(CONCATENATE("AD",AG295))&lt;100000,INDIRECT(CONCATENATE("AD",AG295))-1,IF(INDIRECT(CONCATENATE("AE",AG295))&lt;100000,INDIRECT(CONCATENATE("AE",G295)),INDIRECT(CONCATENATE("AF",AG295)))))</f>
        <v>#N/A</v>
      </c>
      <c r="AJ296" s="114"/>
      <c r="AK296" s="114"/>
      <c r="AL296" s="238" t="e">
        <f t="shared" ca="1" si="164"/>
        <v>#N/A</v>
      </c>
      <c r="AM296" s="112">
        <f t="shared" ca="1" si="159"/>
        <v>100000</v>
      </c>
      <c r="AN296" s="112">
        <f t="shared" ca="1" si="165"/>
        <v>100000</v>
      </c>
      <c r="AO296" s="114">
        <f t="shared" ca="1" si="162"/>
        <v>0</v>
      </c>
      <c r="AP296" s="114">
        <f t="shared" ca="1" si="163"/>
        <v>0</v>
      </c>
      <c r="AR296" s="238">
        <f t="shared" si="166"/>
        <v>296</v>
      </c>
      <c r="AU296" s="238">
        <f t="shared" si="167"/>
        <v>277</v>
      </c>
      <c r="AV296" s="238"/>
      <c r="AW296" s="238"/>
      <c r="CM296" s="112"/>
      <c r="CN296" s="112"/>
      <c r="CQ296" s="112"/>
      <c r="CR296" s="112"/>
      <c r="CS296" s="112"/>
      <c r="CT296" s="112"/>
      <c r="CU296" s="112"/>
      <c r="CV296" s="112"/>
      <c r="CW296" s="112"/>
      <c r="CX296" s="112" t="s">
        <v>224</v>
      </c>
      <c r="CY296" s="112" t="s">
        <v>225</v>
      </c>
      <c r="CZ296" s="112" t="s">
        <v>226</v>
      </c>
      <c r="DA296" s="112" t="s">
        <v>227</v>
      </c>
      <c r="DB296" s="112" t="s">
        <v>228</v>
      </c>
      <c r="DC296" s="112"/>
      <c r="DD296" s="112"/>
      <c r="DE296" s="238"/>
      <c r="DF296" s="112"/>
      <c r="DG296" s="112"/>
      <c r="DH296" s="112"/>
      <c r="DI296" s="112"/>
      <c r="DJ296" s="112"/>
      <c r="DK296" s="112">
        <f t="shared" si="169"/>
        <v>100000</v>
      </c>
      <c r="DL296" s="112"/>
      <c r="DM296" s="112"/>
      <c r="DN296" s="112"/>
      <c r="DO296" s="112"/>
      <c r="DP296" s="112"/>
      <c r="DQ296" s="112"/>
      <c r="DR296" t="e">
        <f t="shared" si="168"/>
        <v>#N/A</v>
      </c>
    </row>
    <row r="297" spans="33:122" x14ac:dyDescent="0.25">
      <c r="AG297" s="238">
        <f>AG296</f>
        <v>75</v>
      </c>
      <c r="AH297" s="112" t="e">
        <f ca="1">AI296+1</f>
        <v>#N/A</v>
      </c>
      <c r="AI297" s="112" t="e">
        <f ca="1">IF(INDIRECT(CONCATENATE("AD",AG295))&lt;100000,INDIRECT(CONCATENATE("AD",AG295))-1,IF(INDIRECT(CONCATENATE("AE",AG295))&lt;100000,INDIRECT(CONCATENATE("AE",G295)),INDIRECT(CONCATENATE("AF",AG295))))</f>
        <v>#N/A</v>
      </c>
      <c r="AJ297" s="114"/>
      <c r="AK297" s="114"/>
      <c r="AL297" s="238" t="e">
        <f t="shared" ca="1" si="164"/>
        <v>#N/A</v>
      </c>
      <c r="AM297" s="112">
        <f t="shared" ref="AM297:AM360" ca="1" si="170">IF(TYPE(AL297)=16,100000,IF(AL297=0,100000,AH297))</f>
        <v>100000</v>
      </c>
      <c r="AN297" s="112">
        <f t="shared" ca="1" si="165"/>
        <v>100000</v>
      </c>
      <c r="AO297" s="114">
        <f t="shared" ca="1" si="162"/>
        <v>0</v>
      </c>
      <c r="AP297" s="114">
        <f t="shared" ca="1" si="163"/>
        <v>0</v>
      </c>
      <c r="AR297" s="238">
        <f t="shared" si="166"/>
        <v>297</v>
      </c>
      <c r="AU297" s="238">
        <f t="shared" si="167"/>
        <v>278</v>
      </c>
      <c r="AV297" s="238"/>
      <c r="AW297" s="238"/>
      <c r="CM297" s="112"/>
      <c r="CN297" s="112"/>
      <c r="CQ297" s="112"/>
      <c r="CR297" s="112"/>
      <c r="CS297" s="112"/>
      <c r="CT297" s="112"/>
      <c r="CU297" s="112"/>
      <c r="CV297" s="112"/>
      <c r="CW297" s="112"/>
      <c r="CX297" s="112" t="s">
        <v>224</v>
      </c>
      <c r="CY297" s="112" t="s">
        <v>225</v>
      </c>
      <c r="CZ297" s="112" t="s">
        <v>226</v>
      </c>
      <c r="DA297" s="112" t="s">
        <v>227</v>
      </c>
      <c r="DB297" s="112" t="s">
        <v>228</v>
      </c>
      <c r="DC297" s="112"/>
      <c r="DD297" s="112"/>
      <c r="DE297" s="238"/>
      <c r="DF297" s="112"/>
      <c r="DG297" s="112"/>
      <c r="DH297" s="112"/>
      <c r="DI297" s="112"/>
      <c r="DJ297" s="112"/>
      <c r="DK297" s="112">
        <f t="shared" si="169"/>
        <v>100000</v>
      </c>
      <c r="DL297" s="112"/>
      <c r="DM297" s="112"/>
      <c r="DN297" s="112"/>
      <c r="DO297" s="112"/>
      <c r="DP297" s="112"/>
      <c r="DQ297" s="112"/>
      <c r="DR297" t="e">
        <f t="shared" si="168"/>
        <v>#N/A</v>
      </c>
    </row>
    <row r="298" spans="33:122" x14ac:dyDescent="0.25">
      <c r="AG298" s="238">
        <f>AG297</f>
        <v>75</v>
      </c>
      <c r="AH298" s="112" t="e">
        <f ca="1">AI297+1</f>
        <v>#N/A</v>
      </c>
      <c r="AI298" s="112" t="e">
        <f ca="1">IF(INDIRECT(CONCATENATE("AE",AG295))&lt;100000,INDIRECT(CONCATENATE("AE",G295)),INDIRECT(CONCATENATE("AF",AG295)))</f>
        <v>#N/A</v>
      </c>
      <c r="AJ298" s="114"/>
      <c r="AK298" s="114"/>
      <c r="AL298" s="238" t="e">
        <f t="shared" ca="1" si="164"/>
        <v>#N/A</v>
      </c>
      <c r="AM298" s="112">
        <f t="shared" ca="1" si="170"/>
        <v>100000</v>
      </c>
      <c r="AN298" s="112">
        <f t="shared" ca="1" si="165"/>
        <v>100000</v>
      </c>
      <c r="AO298" s="114">
        <f t="shared" ca="1" si="162"/>
        <v>0</v>
      </c>
      <c r="AP298" s="114">
        <f t="shared" ca="1" si="163"/>
        <v>0</v>
      </c>
      <c r="AR298" s="238">
        <f t="shared" si="166"/>
        <v>298</v>
      </c>
      <c r="AU298" s="238">
        <f t="shared" si="167"/>
        <v>279</v>
      </c>
      <c r="AV298" s="238"/>
      <c r="AW298" s="238"/>
      <c r="CM298" s="112"/>
      <c r="CN298" s="112"/>
      <c r="CQ298" s="112"/>
      <c r="CR298" s="112"/>
      <c r="CS298" s="112"/>
      <c r="CT298" s="112"/>
      <c r="CU298" s="112"/>
      <c r="CV298" s="112"/>
      <c r="CW298" s="112"/>
      <c r="CX298" s="112" t="s">
        <v>224</v>
      </c>
      <c r="CY298" s="112" t="s">
        <v>225</v>
      </c>
      <c r="CZ298" s="112" t="s">
        <v>226</v>
      </c>
      <c r="DA298" s="112" t="s">
        <v>227</v>
      </c>
      <c r="DB298" s="112" t="s">
        <v>228</v>
      </c>
      <c r="DC298" s="112"/>
      <c r="DD298" s="112"/>
      <c r="DE298" s="238"/>
      <c r="DF298" s="112"/>
      <c r="DG298" s="112"/>
      <c r="DH298" s="112"/>
      <c r="DI298" s="112"/>
      <c r="DJ298" s="112"/>
      <c r="DK298" s="112">
        <f t="shared" si="169"/>
        <v>100000</v>
      </c>
      <c r="DL298" s="112"/>
      <c r="DM298" s="112"/>
      <c r="DN298" s="112"/>
      <c r="DO298" s="112"/>
      <c r="DP298" s="112"/>
      <c r="DQ298" s="112"/>
      <c r="DR298" t="e">
        <f t="shared" si="168"/>
        <v>#N/A</v>
      </c>
    </row>
    <row r="299" spans="33:122" x14ac:dyDescent="0.25">
      <c r="AG299" s="238">
        <f>AG298</f>
        <v>75</v>
      </c>
      <c r="AH299" s="112" t="e">
        <f ca="1">AI298+1</f>
        <v>#N/A</v>
      </c>
      <c r="AI299" s="112">
        <f ca="1">INDIRECT(CONCATENATE("AF",AG295))</f>
        <v>100000</v>
      </c>
      <c r="AJ299" s="114"/>
      <c r="AK299" s="114"/>
      <c r="AL299" s="238" t="e">
        <f t="shared" ca="1" si="164"/>
        <v>#N/A</v>
      </c>
      <c r="AM299" s="112">
        <f t="shared" ca="1" si="170"/>
        <v>100000</v>
      </c>
      <c r="AN299" s="112">
        <f t="shared" ca="1" si="165"/>
        <v>100000</v>
      </c>
      <c r="AO299" s="114">
        <f t="shared" ca="1" si="162"/>
        <v>0</v>
      </c>
      <c r="AP299" s="114">
        <f t="shared" ca="1" si="163"/>
        <v>0</v>
      </c>
      <c r="AR299" s="238">
        <f t="shared" si="166"/>
        <v>299</v>
      </c>
      <c r="AU299" s="238">
        <f t="shared" si="167"/>
        <v>280</v>
      </c>
      <c r="AV299" s="238"/>
      <c r="AW299" s="238"/>
      <c r="CM299" s="112"/>
      <c r="CN299" s="112"/>
      <c r="CQ299" s="112"/>
      <c r="CR299" s="112"/>
      <c r="CS299" s="112"/>
      <c r="CT299" s="112"/>
      <c r="CU299" s="112"/>
      <c r="CV299" s="112"/>
      <c r="CW299" s="112"/>
      <c r="CX299" s="112" t="s">
        <v>224</v>
      </c>
      <c r="CY299" s="112" t="s">
        <v>225</v>
      </c>
      <c r="CZ299" s="112" t="s">
        <v>226</v>
      </c>
      <c r="DA299" s="112" t="s">
        <v>227</v>
      </c>
      <c r="DB299" s="112" t="s">
        <v>228</v>
      </c>
      <c r="DC299" s="112"/>
      <c r="DD299" s="112"/>
      <c r="DE299" s="238"/>
      <c r="DF299" s="112"/>
      <c r="DG299" s="112"/>
      <c r="DH299" s="112"/>
      <c r="DI299" s="112"/>
      <c r="DJ299" s="112"/>
      <c r="DK299" s="112">
        <f t="shared" si="169"/>
        <v>100000</v>
      </c>
      <c r="DL299" s="112"/>
      <c r="DM299" s="112"/>
      <c r="DN299" s="112"/>
      <c r="DO299" s="112"/>
      <c r="DP299" s="112"/>
      <c r="DQ299" s="112"/>
      <c r="DR299" t="e">
        <f t="shared" si="168"/>
        <v>#N/A</v>
      </c>
    </row>
    <row r="300" spans="33:122" x14ac:dyDescent="0.25">
      <c r="AG300" s="238">
        <f>AG299+1</f>
        <v>76</v>
      </c>
      <c r="AH300" s="112">
        <f ca="1">INDIRECT(CONCATENATE("AA",AG300))</f>
        <v>100000</v>
      </c>
      <c r="AI300" s="112" t="e">
        <f ca="1">IF(            INDIRECT(CONCATENATE( "AB",AG300))&lt;100000,       INDIRECT(CONCATENATE("AB",AG300))  -1,IF(   INDIRECT(CONCATENATE("AC",AG300))&lt;100000,   INDIRECT(CONCATENATE("AC",AG300))-1,IF(   INDIRECT(CONCATENATE("AD", AG300))&lt;100000, INDIRECT(CONCATENATE("AD",AG300))-1,IF(   INDIRECT(CONCATENATE("AE",AG300))&lt;100000,  INDIRECT(CONCATENATE("AE",G300)),INDIRECT(CONCATENATE("AF",AG300))                ))))</f>
        <v>#N/A</v>
      </c>
      <c r="AJ300" s="114"/>
      <c r="AK300" s="114"/>
      <c r="AL300" s="238" t="e">
        <f t="shared" ca="1" si="164"/>
        <v>#N/A</v>
      </c>
      <c r="AM300" s="112">
        <f t="shared" ca="1" si="170"/>
        <v>100000</v>
      </c>
      <c r="AN300" s="112">
        <f t="shared" ca="1" si="165"/>
        <v>100000</v>
      </c>
      <c r="AO300" s="114">
        <f t="shared" ca="1" si="162"/>
        <v>0</v>
      </c>
      <c r="AP300" s="114">
        <f t="shared" ca="1" si="163"/>
        <v>0</v>
      </c>
      <c r="AR300" s="238">
        <f t="shared" si="166"/>
        <v>300</v>
      </c>
      <c r="AU300" s="238">
        <f t="shared" si="167"/>
        <v>281</v>
      </c>
      <c r="AV300" s="238"/>
      <c r="AW300" s="238"/>
      <c r="CM300" s="112"/>
      <c r="CN300" s="112"/>
      <c r="CQ300" s="112"/>
      <c r="CR300" s="112"/>
      <c r="CS300" s="112"/>
      <c r="CT300" s="112"/>
      <c r="CU300" s="112"/>
      <c r="CV300" s="112"/>
      <c r="CW300" s="112"/>
      <c r="CX300" s="112" t="s">
        <v>224</v>
      </c>
      <c r="CY300" s="112" t="s">
        <v>225</v>
      </c>
      <c r="CZ300" s="112" t="s">
        <v>226</v>
      </c>
      <c r="DA300" s="112" t="s">
        <v>227</v>
      </c>
      <c r="DB300" s="112" t="s">
        <v>228</v>
      </c>
      <c r="DC300" s="112"/>
      <c r="DD300" s="112"/>
      <c r="DE300" s="238"/>
      <c r="DF300" s="112"/>
      <c r="DG300" s="112"/>
      <c r="DH300" s="112"/>
      <c r="DI300" s="112"/>
      <c r="DJ300" s="112"/>
      <c r="DK300" s="112">
        <f t="shared" si="169"/>
        <v>100000</v>
      </c>
      <c r="DL300" s="112"/>
      <c r="DM300" s="112"/>
      <c r="DN300" s="112"/>
      <c r="DO300" s="112"/>
      <c r="DP300" s="112"/>
      <c r="DQ300" s="112"/>
      <c r="DR300" t="e">
        <f t="shared" si="168"/>
        <v>#N/A</v>
      </c>
    </row>
    <row r="301" spans="33:122" x14ac:dyDescent="0.25">
      <c r="AG301" s="238">
        <f>AG300</f>
        <v>76</v>
      </c>
      <c r="AH301" s="112" t="e">
        <f ca="1">AI300+1</f>
        <v>#N/A</v>
      </c>
      <c r="AI301" s="112" t="e">
        <f ca="1">IF(INDIRECT(CONCATENATE("AC",AG300))&lt;100000,INDIRECT(CONCATENATE("AC",AG300))-1,IF(INDIRECT(CONCATENATE("AD",AG300))&lt;100000,INDIRECT(CONCATENATE("AD",AG300))-1,IF(INDIRECT(CONCATENATE("AE",AG300))&lt;100000,INDIRECT(CONCATENATE("AE",G300)),INDIRECT(CONCATENATE("AF",AG300)))))</f>
        <v>#N/A</v>
      </c>
      <c r="AJ301" s="114"/>
      <c r="AK301" s="114"/>
      <c r="AL301" s="238" t="e">
        <f t="shared" ca="1" si="164"/>
        <v>#N/A</v>
      </c>
      <c r="AM301" s="112">
        <f t="shared" ca="1" si="170"/>
        <v>100000</v>
      </c>
      <c r="AN301" s="112">
        <f t="shared" ca="1" si="165"/>
        <v>100000</v>
      </c>
      <c r="AO301" s="114">
        <f t="shared" ca="1" si="162"/>
        <v>0</v>
      </c>
      <c r="AP301" s="114">
        <f t="shared" ca="1" si="163"/>
        <v>0</v>
      </c>
      <c r="AR301" s="238">
        <f t="shared" si="166"/>
        <v>301</v>
      </c>
      <c r="AU301" s="238">
        <f t="shared" si="167"/>
        <v>282</v>
      </c>
      <c r="AV301" s="238"/>
      <c r="AW301" s="238"/>
      <c r="CM301" s="112"/>
      <c r="CN301" s="112"/>
      <c r="CQ301" s="112"/>
      <c r="CR301" s="112"/>
      <c r="CS301" s="112"/>
      <c r="CT301" s="112"/>
      <c r="CU301" s="112"/>
      <c r="CV301" s="112"/>
      <c r="CW301" s="112"/>
      <c r="CX301" s="112" t="s">
        <v>224</v>
      </c>
      <c r="CY301" s="112" t="s">
        <v>225</v>
      </c>
      <c r="CZ301" s="112" t="s">
        <v>226</v>
      </c>
      <c r="DA301" s="112" t="s">
        <v>227</v>
      </c>
      <c r="DB301" s="112" t="s">
        <v>228</v>
      </c>
      <c r="DC301" s="112"/>
      <c r="DD301" s="112"/>
      <c r="DE301" s="238"/>
      <c r="DF301" s="112"/>
      <c r="DG301" s="112"/>
      <c r="DH301" s="112"/>
      <c r="DI301" s="112"/>
      <c r="DJ301" s="112"/>
      <c r="DK301" s="112">
        <f t="shared" si="169"/>
        <v>100000</v>
      </c>
      <c r="DL301" s="112"/>
      <c r="DM301" s="112"/>
      <c r="DN301" s="112"/>
      <c r="DO301" s="112"/>
      <c r="DP301" s="112"/>
      <c r="DQ301" s="112"/>
      <c r="DR301" t="e">
        <f t="shared" si="168"/>
        <v>#N/A</v>
      </c>
    </row>
    <row r="302" spans="33:122" x14ac:dyDescent="0.25">
      <c r="AG302" s="238">
        <f>AG301</f>
        <v>76</v>
      </c>
      <c r="AH302" s="112" t="e">
        <f ca="1">AI301+1</f>
        <v>#N/A</v>
      </c>
      <c r="AI302" s="112" t="e">
        <f ca="1">IF(INDIRECT(CONCATENATE("AD",AG300))&lt;100000,INDIRECT(CONCATENATE("AD",AG300))-1,IF(INDIRECT(CONCATENATE("AE",AG300))&lt;100000,INDIRECT(CONCATENATE("AE",G300)),INDIRECT(CONCATENATE("AF",AG300))))</f>
        <v>#N/A</v>
      </c>
      <c r="AJ302" s="114"/>
      <c r="AK302" s="114"/>
      <c r="AL302" s="238" t="e">
        <f t="shared" ca="1" si="164"/>
        <v>#N/A</v>
      </c>
      <c r="AM302" s="112">
        <f t="shared" ca="1" si="170"/>
        <v>100000</v>
      </c>
      <c r="AN302" s="112">
        <f t="shared" ca="1" si="165"/>
        <v>100000</v>
      </c>
      <c r="AO302" s="114">
        <f t="shared" ca="1" si="162"/>
        <v>0</v>
      </c>
      <c r="AP302" s="114">
        <f t="shared" ca="1" si="163"/>
        <v>0</v>
      </c>
      <c r="AR302" s="238">
        <f t="shared" si="166"/>
        <v>302</v>
      </c>
      <c r="AU302" s="238">
        <f t="shared" si="167"/>
        <v>283</v>
      </c>
      <c r="AV302" s="238"/>
      <c r="AW302" s="238"/>
      <c r="CM302" s="112"/>
      <c r="CN302" s="112"/>
      <c r="CQ302" s="112"/>
      <c r="CR302" s="112"/>
      <c r="CS302" s="112"/>
      <c r="CT302" s="112"/>
      <c r="CU302" s="112"/>
      <c r="CV302" s="112"/>
      <c r="CW302" s="112"/>
      <c r="CX302" s="112" t="s">
        <v>224</v>
      </c>
      <c r="CY302" s="112" t="s">
        <v>225</v>
      </c>
      <c r="CZ302" s="112" t="s">
        <v>226</v>
      </c>
      <c r="DA302" s="112" t="s">
        <v>227</v>
      </c>
      <c r="DB302" s="112" t="s">
        <v>228</v>
      </c>
      <c r="DC302" s="112"/>
      <c r="DD302" s="112"/>
      <c r="DE302" s="238"/>
      <c r="DF302" s="112"/>
      <c r="DG302" s="112"/>
      <c r="DH302" s="112"/>
      <c r="DI302" s="112"/>
      <c r="DJ302" s="112"/>
      <c r="DK302" s="112">
        <f t="shared" si="169"/>
        <v>100000</v>
      </c>
      <c r="DL302" s="112"/>
      <c r="DM302" s="112"/>
      <c r="DN302" s="112"/>
      <c r="DO302" s="112"/>
      <c r="DP302" s="112"/>
      <c r="DQ302" s="112"/>
      <c r="DR302" t="e">
        <f t="shared" si="168"/>
        <v>#N/A</v>
      </c>
    </row>
    <row r="303" spans="33:122" x14ac:dyDescent="0.25">
      <c r="AG303" s="238">
        <f>AG302</f>
        <v>76</v>
      </c>
      <c r="AH303" s="112" t="e">
        <f ca="1">AI302+1</f>
        <v>#N/A</v>
      </c>
      <c r="AI303" s="112" t="e">
        <f ca="1">IF(INDIRECT(CONCATENATE("AE",AG300))&lt;100000,INDIRECT(CONCATENATE("AE",G300)),INDIRECT(CONCATENATE("AF",AG300)))</f>
        <v>#N/A</v>
      </c>
      <c r="AJ303" s="114"/>
      <c r="AK303" s="114"/>
      <c r="AL303" s="238" t="e">
        <f t="shared" ca="1" si="164"/>
        <v>#N/A</v>
      </c>
      <c r="AM303" s="112">
        <f t="shared" ca="1" si="170"/>
        <v>100000</v>
      </c>
      <c r="AN303" s="112">
        <f t="shared" ca="1" si="165"/>
        <v>100000</v>
      </c>
      <c r="AO303" s="114">
        <f t="shared" ca="1" si="162"/>
        <v>0</v>
      </c>
      <c r="AP303" s="114">
        <f t="shared" ca="1" si="163"/>
        <v>0</v>
      </c>
      <c r="AR303" s="238">
        <f t="shared" si="166"/>
        <v>303</v>
      </c>
      <c r="AU303" s="238">
        <f t="shared" si="167"/>
        <v>284</v>
      </c>
      <c r="AV303" s="238"/>
      <c r="AW303" s="238"/>
      <c r="CM303" s="112"/>
      <c r="CN303" s="112"/>
      <c r="CQ303" s="112"/>
      <c r="CR303" s="112"/>
      <c r="CS303" s="112"/>
      <c r="CT303" s="112"/>
      <c r="CU303" s="112"/>
      <c r="CV303" s="112"/>
      <c r="CW303" s="112"/>
      <c r="CX303" s="112" t="s">
        <v>224</v>
      </c>
      <c r="CY303" s="112" t="s">
        <v>225</v>
      </c>
      <c r="CZ303" s="112" t="s">
        <v>226</v>
      </c>
      <c r="DA303" s="112" t="s">
        <v>227</v>
      </c>
      <c r="DB303" s="112" t="s">
        <v>228</v>
      </c>
      <c r="DC303" s="112"/>
      <c r="DD303" s="112"/>
      <c r="DE303" s="238"/>
      <c r="DF303" s="112"/>
      <c r="DG303" s="112"/>
      <c r="DH303" s="112"/>
      <c r="DI303" s="112"/>
      <c r="DJ303" s="112"/>
      <c r="DK303" s="112">
        <f t="shared" si="169"/>
        <v>100000</v>
      </c>
      <c r="DL303" s="112"/>
      <c r="DM303" s="112"/>
      <c r="DN303" s="112"/>
      <c r="DO303" s="112"/>
      <c r="DP303" s="112"/>
      <c r="DQ303" s="112"/>
      <c r="DR303" t="e">
        <f t="shared" si="168"/>
        <v>#N/A</v>
      </c>
    </row>
    <row r="304" spans="33:122" x14ac:dyDescent="0.25">
      <c r="AG304" s="238">
        <f>AG303</f>
        <v>76</v>
      </c>
      <c r="AH304" s="112" t="e">
        <f ca="1">AI303+1</f>
        <v>#N/A</v>
      </c>
      <c r="AI304" s="112">
        <f ca="1">INDIRECT(CONCATENATE("AF",AG300))</f>
        <v>100000</v>
      </c>
      <c r="AJ304" s="114"/>
      <c r="AK304" s="114"/>
      <c r="AL304" s="238" t="e">
        <f t="shared" ca="1" si="164"/>
        <v>#N/A</v>
      </c>
      <c r="AM304" s="112">
        <f t="shared" ca="1" si="170"/>
        <v>100000</v>
      </c>
      <c r="AN304" s="112">
        <f t="shared" ca="1" si="165"/>
        <v>100000</v>
      </c>
      <c r="AO304" s="114">
        <f t="shared" ca="1" si="162"/>
        <v>0</v>
      </c>
      <c r="AP304" s="114">
        <f t="shared" ca="1" si="163"/>
        <v>0</v>
      </c>
      <c r="AR304" s="238">
        <f t="shared" si="166"/>
        <v>304</v>
      </c>
      <c r="AU304" s="238">
        <f t="shared" si="167"/>
        <v>285</v>
      </c>
      <c r="AV304" s="238"/>
      <c r="AW304" s="238"/>
      <c r="CM304" s="112"/>
      <c r="CN304" s="112"/>
      <c r="CQ304" s="112"/>
      <c r="CR304" s="112"/>
      <c r="CS304" s="112"/>
      <c r="CT304" s="112"/>
      <c r="CU304" s="112"/>
      <c r="CV304" s="112"/>
      <c r="CW304" s="112"/>
      <c r="CX304" s="112" t="s">
        <v>224</v>
      </c>
      <c r="CY304" s="112" t="s">
        <v>225</v>
      </c>
      <c r="CZ304" s="112" t="s">
        <v>226</v>
      </c>
      <c r="DA304" s="112" t="s">
        <v>227</v>
      </c>
      <c r="DB304" s="112" t="s">
        <v>228</v>
      </c>
      <c r="DC304" s="112"/>
      <c r="DD304" s="112"/>
      <c r="DE304" s="238"/>
      <c r="DF304" s="112"/>
      <c r="DG304" s="112"/>
      <c r="DH304" s="112"/>
      <c r="DI304" s="112"/>
      <c r="DJ304" s="112"/>
      <c r="DK304" s="112">
        <f t="shared" si="169"/>
        <v>100000</v>
      </c>
      <c r="DL304" s="112"/>
      <c r="DM304" s="112"/>
      <c r="DN304" s="112"/>
      <c r="DO304" s="112"/>
      <c r="DP304" s="112"/>
      <c r="DQ304" s="112"/>
      <c r="DR304" t="e">
        <f t="shared" si="168"/>
        <v>#N/A</v>
      </c>
    </row>
    <row r="305" spans="33:122" x14ac:dyDescent="0.25">
      <c r="AG305" s="238">
        <f>AG304+1</f>
        <v>77</v>
      </c>
      <c r="AH305" s="112">
        <f ca="1">INDIRECT(CONCATENATE("AA",AG305))</f>
        <v>100000</v>
      </c>
      <c r="AI305" s="112" t="e">
        <f ca="1">IF(            INDIRECT(CONCATENATE( "AB",AG305))&lt;100000,       INDIRECT(CONCATENATE("AB",AG305))  -1,IF(   INDIRECT(CONCATENATE("AC",AG305))&lt;100000,   INDIRECT(CONCATENATE("AC",AG305))-1,IF(   INDIRECT(CONCATENATE("AD", AG305))&lt;100000, INDIRECT(CONCATENATE("AD",AG305))-1,IF(   INDIRECT(CONCATENATE("AE",AG305))&lt;100000,  INDIRECT(CONCATENATE("AE",G305)),INDIRECT(CONCATENATE("AF",AG305))                ))))</f>
        <v>#N/A</v>
      </c>
      <c r="AJ305" s="114"/>
      <c r="AK305" s="114"/>
      <c r="AL305" s="238" t="e">
        <f t="shared" ca="1" si="164"/>
        <v>#N/A</v>
      </c>
      <c r="AM305" s="112">
        <f t="shared" ca="1" si="170"/>
        <v>100000</v>
      </c>
      <c r="AN305" s="112">
        <f t="shared" ca="1" si="165"/>
        <v>100000</v>
      </c>
      <c r="AO305" s="114">
        <f t="shared" ca="1" si="162"/>
        <v>0</v>
      </c>
      <c r="AP305" s="114">
        <f t="shared" ca="1" si="163"/>
        <v>0</v>
      </c>
      <c r="AR305" s="238">
        <f t="shared" si="166"/>
        <v>305</v>
      </c>
      <c r="AU305" s="238">
        <f t="shared" si="167"/>
        <v>286</v>
      </c>
      <c r="AV305" s="238"/>
      <c r="AW305" s="238"/>
      <c r="CM305" s="112"/>
      <c r="CN305" s="112"/>
      <c r="CQ305" s="112"/>
      <c r="CR305" s="112"/>
      <c r="CS305" s="112"/>
      <c r="CT305" s="112"/>
      <c r="CU305" s="112"/>
      <c r="CV305" s="112"/>
      <c r="CW305" s="112"/>
      <c r="CX305" s="112" t="s">
        <v>224</v>
      </c>
      <c r="CY305" s="112" t="s">
        <v>225</v>
      </c>
      <c r="CZ305" s="112" t="s">
        <v>226</v>
      </c>
      <c r="DA305" s="112" t="s">
        <v>227</v>
      </c>
      <c r="DB305" s="112" t="s">
        <v>228</v>
      </c>
      <c r="DC305" s="112"/>
      <c r="DD305" s="112"/>
      <c r="DE305" s="238"/>
      <c r="DF305" s="112"/>
      <c r="DG305" s="112"/>
      <c r="DH305" s="112"/>
      <c r="DI305" s="112"/>
      <c r="DJ305" s="112"/>
      <c r="DK305" s="112">
        <f t="shared" si="169"/>
        <v>100000</v>
      </c>
      <c r="DL305" s="112"/>
      <c r="DM305" s="112"/>
      <c r="DN305" s="112"/>
      <c r="DO305" s="112"/>
      <c r="DP305" s="112"/>
      <c r="DQ305" s="112"/>
      <c r="DR305" t="e">
        <f t="shared" si="168"/>
        <v>#N/A</v>
      </c>
    </row>
    <row r="306" spans="33:122" x14ac:dyDescent="0.25">
      <c r="AG306" s="238">
        <f>AG305</f>
        <v>77</v>
      </c>
      <c r="AH306" s="112" t="e">
        <f ca="1">AI305+1</f>
        <v>#N/A</v>
      </c>
      <c r="AI306" s="112" t="e">
        <f ca="1">IF(INDIRECT(CONCATENATE("AC",AG305))&lt;100000,INDIRECT(CONCATENATE("AC",AG305))-1,IF(INDIRECT(CONCATENATE("AD",AG305))&lt;100000,INDIRECT(CONCATENATE("AD",AG305))-1,IF(INDIRECT(CONCATENATE("AE",AG305))&lt;100000,INDIRECT(CONCATENATE("AE",G305)),INDIRECT(CONCATENATE("AF",AG305)))))</f>
        <v>#N/A</v>
      </c>
      <c r="AJ306" s="114"/>
      <c r="AK306" s="114"/>
      <c r="AL306" s="238" t="e">
        <f t="shared" ca="1" si="164"/>
        <v>#N/A</v>
      </c>
      <c r="AM306" s="112">
        <f t="shared" ca="1" si="170"/>
        <v>100000</v>
      </c>
      <c r="AN306" s="112">
        <f t="shared" ca="1" si="165"/>
        <v>100000</v>
      </c>
      <c r="AO306" s="114">
        <f t="shared" ca="1" si="162"/>
        <v>0</v>
      </c>
      <c r="AP306" s="114">
        <f t="shared" ca="1" si="163"/>
        <v>0</v>
      </c>
      <c r="AR306" s="238">
        <f t="shared" si="166"/>
        <v>306</v>
      </c>
      <c r="AU306" s="238">
        <f t="shared" si="167"/>
        <v>287</v>
      </c>
      <c r="AV306" s="238"/>
      <c r="AW306" s="238"/>
      <c r="CM306" s="112"/>
      <c r="CN306" s="112"/>
      <c r="CQ306" s="112"/>
      <c r="CR306" s="112"/>
      <c r="CS306" s="112"/>
      <c r="CT306" s="112"/>
      <c r="CU306" s="112"/>
      <c r="CV306" s="112"/>
      <c r="CW306" s="112"/>
      <c r="CX306" s="112" t="s">
        <v>224</v>
      </c>
      <c r="CY306" s="112" t="s">
        <v>225</v>
      </c>
      <c r="CZ306" s="112" t="s">
        <v>226</v>
      </c>
      <c r="DA306" s="112" t="s">
        <v>227</v>
      </c>
      <c r="DB306" s="112" t="s">
        <v>228</v>
      </c>
      <c r="DC306" s="112"/>
      <c r="DD306" s="112"/>
      <c r="DE306" s="238"/>
      <c r="DF306" s="112"/>
      <c r="DG306" s="112"/>
      <c r="DH306" s="112"/>
      <c r="DI306" s="112"/>
      <c r="DJ306" s="112"/>
      <c r="DK306" s="112">
        <f t="shared" si="169"/>
        <v>100000</v>
      </c>
      <c r="DL306" s="112"/>
      <c r="DM306" s="112"/>
      <c r="DN306" s="112"/>
      <c r="DO306" s="112"/>
      <c r="DP306" s="112"/>
      <c r="DQ306" s="112"/>
      <c r="DR306" t="e">
        <f t="shared" si="168"/>
        <v>#N/A</v>
      </c>
    </row>
    <row r="307" spans="33:122" x14ac:dyDescent="0.25">
      <c r="AG307" s="238">
        <f>AG306</f>
        <v>77</v>
      </c>
      <c r="AH307" s="112" t="e">
        <f ca="1">AI306+1</f>
        <v>#N/A</v>
      </c>
      <c r="AI307" s="112" t="e">
        <f ca="1">IF(INDIRECT(CONCATENATE("AD",AG305))&lt;100000,INDIRECT(CONCATENATE("AD",AG305))-1,IF(INDIRECT(CONCATENATE("AE",AG305))&lt;100000,INDIRECT(CONCATENATE("AE",G305)),INDIRECT(CONCATENATE("AF",AG305))))</f>
        <v>#N/A</v>
      </c>
      <c r="AJ307" s="114"/>
      <c r="AK307" s="114"/>
      <c r="AL307" s="238" t="e">
        <f t="shared" ca="1" si="164"/>
        <v>#N/A</v>
      </c>
      <c r="AM307" s="112">
        <f t="shared" ca="1" si="170"/>
        <v>100000</v>
      </c>
      <c r="AN307" s="112">
        <f t="shared" ca="1" si="165"/>
        <v>100000</v>
      </c>
      <c r="AO307" s="114">
        <f t="shared" ca="1" si="162"/>
        <v>0</v>
      </c>
      <c r="AP307" s="114">
        <f t="shared" ca="1" si="163"/>
        <v>0</v>
      </c>
      <c r="AR307" s="238">
        <f t="shared" si="166"/>
        <v>307</v>
      </c>
      <c r="AU307" s="238">
        <f t="shared" si="167"/>
        <v>288</v>
      </c>
      <c r="AV307" s="238"/>
      <c r="AW307" s="238"/>
      <c r="CM307" s="112"/>
      <c r="CN307" s="112"/>
      <c r="CQ307" s="112"/>
      <c r="CR307" s="112"/>
      <c r="CS307" s="112"/>
      <c r="CT307" s="112"/>
      <c r="CU307" s="112"/>
      <c r="CV307" s="112"/>
      <c r="CW307" s="112"/>
      <c r="CX307" s="112" t="s">
        <v>224</v>
      </c>
      <c r="CY307" s="112" t="s">
        <v>225</v>
      </c>
      <c r="CZ307" s="112" t="s">
        <v>226</v>
      </c>
      <c r="DA307" s="112" t="s">
        <v>227</v>
      </c>
      <c r="DB307" s="112" t="s">
        <v>228</v>
      </c>
      <c r="DC307" s="112"/>
      <c r="DD307" s="112"/>
      <c r="DE307" s="238"/>
      <c r="DF307" s="112"/>
      <c r="DG307" s="112"/>
      <c r="DH307" s="112"/>
      <c r="DI307" s="112"/>
      <c r="DJ307" s="112"/>
      <c r="DK307" s="112">
        <f t="shared" si="169"/>
        <v>100000</v>
      </c>
      <c r="DL307" s="112"/>
      <c r="DM307" s="112"/>
      <c r="DN307" s="112"/>
      <c r="DO307" s="112"/>
      <c r="DP307" s="112"/>
      <c r="DQ307" s="112"/>
      <c r="DR307" t="e">
        <f t="shared" si="168"/>
        <v>#N/A</v>
      </c>
    </row>
    <row r="308" spans="33:122" x14ac:dyDescent="0.25">
      <c r="AG308" s="238">
        <f>AG307</f>
        <v>77</v>
      </c>
      <c r="AH308" s="112" t="e">
        <f ca="1">AI307+1</f>
        <v>#N/A</v>
      </c>
      <c r="AI308" s="112" t="e">
        <f ca="1">IF(INDIRECT(CONCATENATE("AE",AG305))&lt;100000,INDIRECT(CONCATENATE("AE",G305)),INDIRECT(CONCATENATE("AF",AG305)))</f>
        <v>#N/A</v>
      </c>
      <c r="AJ308" s="114"/>
      <c r="AK308" s="114"/>
      <c r="AL308" s="238" t="e">
        <f t="shared" ca="1" si="164"/>
        <v>#N/A</v>
      </c>
      <c r="AM308" s="112">
        <f t="shared" ca="1" si="170"/>
        <v>100000</v>
      </c>
      <c r="AN308" s="112">
        <f t="shared" ca="1" si="165"/>
        <v>100000</v>
      </c>
      <c r="AO308" s="114">
        <f t="shared" ca="1" si="162"/>
        <v>0</v>
      </c>
      <c r="AP308" s="114">
        <f t="shared" ca="1" si="163"/>
        <v>0</v>
      </c>
      <c r="AR308" s="238">
        <f t="shared" si="166"/>
        <v>308</v>
      </c>
      <c r="AU308" s="238">
        <f t="shared" si="167"/>
        <v>289</v>
      </c>
      <c r="AV308" s="238"/>
      <c r="AW308" s="238"/>
      <c r="CM308" s="112"/>
      <c r="CN308" s="112"/>
      <c r="CQ308" s="112"/>
      <c r="CR308" s="112"/>
      <c r="CS308" s="112"/>
      <c r="CT308" s="112"/>
      <c r="CU308" s="112"/>
      <c r="CV308" s="112"/>
      <c r="CW308" s="112"/>
      <c r="CX308" s="112" t="s">
        <v>224</v>
      </c>
      <c r="CY308" s="112" t="s">
        <v>225</v>
      </c>
      <c r="CZ308" s="112" t="s">
        <v>226</v>
      </c>
      <c r="DA308" s="112" t="s">
        <v>227</v>
      </c>
      <c r="DB308" s="112" t="s">
        <v>228</v>
      </c>
      <c r="DC308" s="112"/>
      <c r="DD308" s="112"/>
      <c r="DE308" s="238"/>
      <c r="DF308" s="112"/>
      <c r="DG308" s="112"/>
      <c r="DH308" s="112"/>
      <c r="DI308" s="112"/>
      <c r="DJ308" s="112"/>
      <c r="DK308" s="112">
        <f t="shared" si="169"/>
        <v>100000</v>
      </c>
      <c r="DL308" s="112"/>
      <c r="DM308" s="112"/>
      <c r="DN308" s="112"/>
      <c r="DO308" s="112"/>
      <c r="DP308" s="112"/>
      <c r="DQ308" s="112"/>
      <c r="DR308" t="e">
        <f t="shared" si="168"/>
        <v>#N/A</v>
      </c>
    </row>
    <row r="309" spans="33:122" x14ac:dyDescent="0.25">
      <c r="AG309" s="238">
        <f>AG308</f>
        <v>77</v>
      </c>
      <c r="AH309" s="112" t="e">
        <f ca="1">AI308+1</f>
        <v>#N/A</v>
      </c>
      <c r="AI309" s="112">
        <f ca="1">INDIRECT(CONCATENATE("AF",AG305))</f>
        <v>100000</v>
      </c>
      <c r="AJ309" s="114"/>
      <c r="AK309" s="114"/>
      <c r="AL309" s="238" t="e">
        <f t="shared" ca="1" si="164"/>
        <v>#N/A</v>
      </c>
      <c r="AM309" s="112">
        <f t="shared" ca="1" si="170"/>
        <v>100000</v>
      </c>
      <c r="AN309" s="112">
        <f t="shared" ca="1" si="165"/>
        <v>100000</v>
      </c>
      <c r="AO309" s="114">
        <f t="shared" ca="1" si="162"/>
        <v>0</v>
      </c>
      <c r="AP309" s="114">
        <f t="shared" ca="1" si="163"/>
        <v>0</v>
      </c>
      <c r="AR309" s="238">
        <f t="shared" si="166"/>
        <v>309</v>
      </c>
      <c r="AU309" s="238">
        <f t="shared" si="167"/>
        <v>290</v>
      </c>
      <c r="AV309" s="238"/>
      <c r="AW309" s="238"/>
      <c r="CM309" s="112"/>
      <c r="CN309" s="112"/>
      <c r="CQ309" s="112"/>
      <c r="CR309" s="112"/>
      <c r="CS309" s="112"/>
      <c r="CT309" s="112"/>
      <c r="CU309" s="112"/>
      <c r="CV309" s="112"/>
      <c r="CW309" s="112"/>
      <c r="CX309" s="112" t="s">
        <v>224</v>
      </c>
      <c r="CY309" s="112" t="s">
        <v>225</v>
      </c>
      <c r="CZ309" s="112" t="s">
        <v>226</v>
      </c>
      <c r="DA309" s="112" t="s">
        <v>227</v>
      </c>
      <c r="DB309" s="112" t="s">
        <v>228</v>
      </c>
      <c r="DC309" s="112"/>
      <c r="DD309" s="112"/>
      <c r="DE309" s="238"/>
      <c r="DF309" s="112"/>
      <c r="DG309" s="112"/>
      <c r="DH309" s="112"/>
      <c r="DI309" s="112"/>
      <c r="DJ309" s="112"/>
      <c r="DK309" s="112">
        <f t="shared" si="169"/>
        <v>100000</v>
      </c>
      <c r="DL309" s="112"/>
      <c r="DM309" s="112"/>
      <c r="DN309" s="112"/>
      <c r="DO309" s="112"/>
      <c r="DP309" s="112"/>
      <c r="DQ309" s="112"/>
      <c r="DR309" t="e">
        <f t="shared" si="168"/>
        <v>#N/A</v>
      </c>
    </row>
    <row r="310" spans="33:122" x14ac:dyDescent="0.25">
      <c r="AG310" s="238">
        <f>AG309+1</f>
        <v>78</v>
      </c>
      <c r="AH310" s="112">
        <f ca="1">INDIRECT(CONCATENATE("AA",AG310))</f>
        <v>100000</v>
      </c>
      <c r="AI310" s="112" t="e">
        <f ca="1">IF(            INDIRECT(CONCATENATE( "AB",AG310))&lt;100000,       INDIRECT(CONCATENATE("AB",AG310))  -1,IF(   INDIRECT(CONCATENATE("AC",AG310))&lt;100000,   INDIRECT(CONCATENATE("AC",AG310))-1,IF(   INDIRECT(CONCATENATE("AD", AG310))&lt;100000, INDIRECT(CONCATENATE("AD",AG310))-1,IF(   INDIRECT(CONCATENATE("AE",AG310))&lt;100000,  INDIRECT(CONCATENATE("AE",G310)),INDIRECT(CONCATENATE("AF",AG310))                ))))</f>
        <v>#N/A</v>
      </c>
      <c r="AJ310" s="114"/>
      <c r="AK310" s="114"/>
      <c r="AL310" s="238" t="e">
        <f t="shared" ca="1" si="164"/>
        <v>#N/A</v>
      </c>
      <c r="AM310" s="112">
        <f t="shared" ca="1" si="170"/>
        <v>100000</v>
      </c>
      <c r="AN310" s="112">
        <f t="shared" ca="1" si="165"/>
        <v>100000</v>
      </c>
      <c r="AO310" s="114">
        <f t="shared" ca="1" si="162"/>
        <v>0</v>
      </c>
      <c r="AP310" s="114">
        <f t="shared" ca="1" si="163"/>
        <v>0</v>
      </c>
      <c r="AR310" s="238">
        <f t="shared" si="166"/>
        <v>310</v>
      </c>
      <c r="AU310" s="238">
        <f t="shared" si="167"/>
        <v>291</v>
      </c>
      <c r="AV310" s="238"/>
      <c r="AW310" s="238"/>
      <c r="CM310" s="112"/>
      <c r="CN310" s="112"/>
      <c r="CQ310" s="112"/>
      <c r="CR310" s="112"/>
      <c r="CS310" s="112"/>
      <c r="CT310" s="112"/>
      <c r="CU310" s="112"/>
      <c r="CV310" s="112"/>
      <c r="CW310" s="112"/>
      <c r="CX310" s="112" t="s">
        <v>224</v>
      </c>
      <c r="CY310" s="112" t="s">
        <v>225</v>
      </c>
      <c r="CZ310" s="112" t="s">
        <v>226</v>
      </c>
      <c r="DA310" s="112" t="s">
        <v>227</v>
      </c>
      <c r="DB310" s="112" t="s">
        <v>228</v>
      </c>
      <c r="DC310" s="112"/>
      <c r="DD310" s="112"/>
      <c r="DE310" s="238"/>
      <c r="DF310" s="112"/>
      <c r="DG310" s="112"/>
      <c r="DH310" s="112"/>
      <c r="DI310" s="112"/>
      <c r="DJ310" s="112"/>
      <c r="DK310" s="112">
        <f t="shared" si="169"/>
        <v>100000</v>
      </c>
      <c r="DL310" s="112"/>
      <c r="DM310" s="112"/>
      <c r="DN310" s="112"/>
      <c r="DO310" s="112"/>
      <c r="DP310" s="112"/>
      <c r="DQ310" s="112"/>
      <c r="DR310" t="e">
        <f t="shared" si="168"/>
        <v>#N/A</v>
      </c>
    </row>
    <row r="311" spans="33:122" x14ac:dyDescent="0.25">
      <c r="AG311" s="238">
        <f>AG310</f>
        <v>78</v>
      </c>
      <c r="AH311" s="112" t="e">
        <f ca="1">AI310+1</f>
        <v>#N/A</v>
      </c>
      <c r="AI311" s="112" t="e">
        <f ca="1">IF(INDIRECT(CONCATENATE("AC",AG310))&lt;100000,INDIRECT(CONCATENATE("AC",AG310))-1,IF(INDIRECT(CONCATENATE("AD",AG310))&lt;100000,INDIRECT(CONCATENATE("AD",AG310))-1,IF(INDIRECT(CONCATENATE("AE",AG310))&lt;100000,INDIRECT(CONCATENATE("AE",G310)),INDIRECT(CONCATENATE("AF",AG310)))))</f>
        <v>#N/A</v>
      </c>
      <c r="AJ311" s="114"/>
      <c r="AK311" s="114"/>
      <c r="AL311" s="238" t="e">
        <f t="shared" ca="1" si="164"/>
        <v>#N/A</v>
      </c>
      <c r="AM311" s="112">
        <f t="shared" ca="1" si="170"/>
        <v>100000</v>
      </c>
      <c r="AN311" s="112">
        <f t="shared" ca="1" si="165"/>
        <v>100000</v>
      </c>
      <c r="AO311" s="114">
        <f t="shared" ca="1" si="162"/>
        <v>0</v>
      </c>
      <c r="AP311" s="114">
        <f t="shared" ca="1" si="163"/>
        <v>0</v>
      </c>
      <c r="AR311" s="238">
        <f t="shared" si="166"/>
        <v>311</v>
      </c>
      <c r="AU311" s="238">
        <f t="shared" si="167"/>
        <v>292</v>
      </c>
      <c r="AV311" s="238"/>
      <c r="AW311" s="238"/>
      <c r="CM311" s="112"/>
      <c r="CN311" s="112"/>
      <c r="CQ311" s="112"/>
      <c r="CR311" s="112"/>
      <c r="CS311" s="112"/>
      <c r="CT311" s="112"/>
      <c r="CU311" s="112"/>
      <c r="CV311" s="112"/>
      <c r="CW311" s="112"/>
      <c r="CX311" s="112" t="s">
        <v>224</v>
      </c>
      <c r="CY311" s="112" t="s">
        <v>225</v>
      </c>
      <c r="CZ311" s="112" t="s">
        <v>226</v>
      </c>
      <c r="DA311" s="112" t="s">
        <v>227</v>
      </c>
      <c r="DB311" s="112" t="s">
        <v>228</v>
      </c>
      <c r="DC311" s="112"/>
      <c r="DD311" s="112"/>
      <c r="DE311" s="238"/>
      <c r="DF311" s="112"/>
      <c r="DG311" s="112"/>
      <c r="DH311" s="112"/>
      <c r="DI311" s="112"/>
      <c r="DJ311" s="112"/>
      <c r="DK311" s="112">
        <f t="shared" si="169"/>
        <v>100000</v>
      </c>
      <c r="DL311" s="112"/>
      <c r="DM311" s="112"/>
      <c r="DN311" s="112"/>
      <c r="DO311" s="112"/>
      <c r="DP311" s="112"/>
      <c r="DQ311" s="112"/>
      <c r="DR311" t="e">
        <f t="shared" si="168"/>
        <v>#N/A</v>
      </c>
    </row>
    <row r="312" spans="33:122" x14ac:dyDescent="0.25">
      <c r="AG312" s="238">
        <f>AG311</f>
        <v>78</v>
      </c>
      <c r="AH312" s="112" t="e">
        <f ca="1">AI311+1</f>
        <v>#N/A</v>
      </c>
      <c r="AI312" s="112" t="e">
        <f ca="1">IF(INDIRECT(CONCATENATE("AD",AG310))&lt;100000,INDIRECT(CONCATENATE("AD",AG310))-1,IF(INDIRECT(CONCATENATE("AE",AG310))&lt;100000,INDIRECT(CONCATENATE("AE",G310)),INDIRECT(CONCATENATE("AF",AG310))))</f>
        <v>#N/A</v>
      </c>
      <c r="AJ312" s="114"/>
      <c r="AK312" s="114"/>
      <c r="AL312" s="238" t="e">
        <f t="shared" ca="1" si="164"/>
        <v>#N/A</v>
      </c>
      <c r="AM312" s="112">
        <f t="shared" ca="1" si="170"/>
        <v>100000</v>
      </c>
      <c r="AN312" s="112">
        <f t="shared" ca="1" si="165"/>
        <v>100000</v>
      </c>
      <c r="AO312" s="114">
        <f t="shared" ca="1" si="162"/>
        <v>0</v>
      </c>
      <c r="AP312" s="114">
        <f t="shared" ca="1" si="163"/>
        <v>0</v>
      </c>
      <c r="AR312" s="238">
        <f t="shared" si="166"/>
        <v>312</v>
      </c>
      <c r="AU312" s="238">
        <f t="shared" si="167"/>
        <v>293</v>
      </c>
      <c r="AV312" s="238"/>
      <c r="AW312" s="238"/>
      <c r="CM312" s="112"/>
      <c r="CN312" s="112"/>
      <c r="CQ312" s="112"/>
      <c r="CR312" s="112"/>
      <c r="CS312" s="112"/>
      <c r="CT312" s="112"/>
      <c r="CU312" s="112"/>
      <c r="CV312" s="112"/>
      <c r="CW312" s="112"/>
      <c r="CX312" s="112" t="s">
        <v>224</v>
      </c>
      <c r="CY312" s="112" t="s">
        <v>225</v>
      </c>
      <c r="CZ312" s="112" t="s">
        <v>226</v>
      </c>
      <c r="DA312" s="112" t="s">
        <v>227</v>
      </c>
      <c r="DB312" s="112" t="s">
        <v>228</v>
      </c>
      <c r="DC312" s="112"/>
      <c r="DD312" s="112"/>
      <c r="DE312" s="238"/>
      <c r="DF312" s="112"/>
      <c r="DG312" s="112"/>
      <c r="DH312" s="112"/>
      <c r="DI312" s="112"/>
      <c r="DJ312" s="112"/>
      <c r="DK312" s="112">
        <f t="shared" si="169"/>
        <v>100000</v>
      </c>
      <c r="DL312" s="112"/>
      <c r="DM312" s="112"/>
      <c r="DN312" s="112"/>
      <c r="DO312" s="112"/>
      <c r="DP312" s="112"/>
      <c r="DQ312" s="112"/>
      <c r="DR312" t="e">
        <f t="shared" si="168"/>
        <v>#N/A</v>
      </c>
    </row>
    <row r="313" spans="33:122" x14ac:dyDescent="0.25">
      <c r="AG313" s="238">
        <f>AG312</f>
        <v>78</v>
      </c>
      <c r="AH313" s="112" t="e">
        <f ca="1">AI312+1</f>
        <v>#N/A</v>
      </c>
      <c r="AI313" s="112" t="e">
        <f ca="1">IF(INDIRECT(CONCATENATE("AE",AG310))&lt;100000,INDIRECT(CONCATENATE("AE",G310)),INDIRECT(CONCATENATE("AF",AG310)))</f>
        <v>#N/A</v>
      </c>
      <c r="AJ313" s="114"/>
      <c r="AK313" s="114"/>
      <c r="AL313" s="238" t="e">
        <f t="shared" ca="1" si="164"/>
        <v>#N/A</v>
      </c>
      <c r="AM313" s="112">
        <f t="shared" ca="1" si="170"/>
        <v>100000</v>
      </c>
      <c r="AN313" s="112">
        <f t="shared" ca="1" si="165"/>
        <v>100000</v>
      </c>
      <c r="AO313" s="114">
        <f t="shared" ca="1" si="162"/>
        <v>0</v>
      </c>
      <c r="AP313" s="114">
        <f t="shared" ca="1" si="163"/>
        <v>0</v>
      </c>
      <c r="AR313" s="238">
        <f t="shared" si="166"/>
        <v>313</v>
      </c>
      <c r="AU313" s="238">
        <f t="shared" si="167"/>
        <v>294</v>
      </c>
      <c r="AV313" s="238"/>
      <c r="AW313" s="238"/>
      <c r="CM313" s="112"/>
      <c r="CN313" s="112"/>
      <c r="CQ313" s="112"/>
      <c r="CR313" s="112"/>
      <c r="CS313" s="112"/>
      <c r="CT313" s="112"/>
      <c r="CU313" s="112"/>
      <c r="CV313" s="112"/>
      <c r="CW313" s="112"/>
      <c r="CX313" s="112" t="s">
        <v>224</v>
      </c>
      <c r="CY313" s="112" t="s">
        <v>225</v>
      </c>
      <c r="CZ313" s="112" t="s">
        <v>226</v>
      </c>
      <c r="DA313" s="112" t="s">
        <v>227</v>
      </c>
      <c r="DB313" s="112" t="s">
        <v>228</v>
      </c>
      <c r="DC313" s="112"/>
      <c r="DD313" s="112"/>
      <c r="DE313" s="238"/>
      <c r="DF313" s="112"/>
      <c r="DG313" s="112"/>
      <c r="DH313" s="112"/>
      <c r="DI313" s="112"/>
      <c r="DJ313" s="112"/>
      <c r="DK313" s="112">
        <f t="shared" si="169"/>
        <v>100000</v>
      </c>
      <c r="DL313" s="112"/>
      <c r="DM313" s="112"/>
      <c r="DN313" s="112"/>
      <c r="DO313" s="112"/>
      <c r="DP313" s="112"/>
      <c r="DQ313" s="112"/>
      <c r="DR313" t="e">
        <f t="shared" si="168"/>
        <v>#N/A</v>
      </c>
    </row>
    <row r="314" spans="33:122" x14ac:dyDescent="0.25">
      <c r="AG314" s="238">
        <f>AG313</f>
        <v>78</v>
      </c>
      <c r="AH314" s="112" t="e">
        <f ca="1">AI313+1</f>
        <v>#N/A</v>
      </c>
      <c r="AI314" s="112">
        <f ca="1">INDIRECT(CONCATENATE("AF",AG310))</f>
        <v>100000</v>
      </c>
      <c r="AJ314" s="114"/>
      <c r="AK314" s="114"/>
      <c r="AL314" s="238" t="e">
        <f t="shared" ca="1" si="164"/>
        <v>#N/A</v>
      </c>
      <c r="AM314" s="112">
        <f t="shared" ca="1" si="170"/>
        <v>100000</v>
      </c>
      <c r="AN314" s="112">
        <f t="shared" ca="1" si="165"/>
        <v>100000</v>
      </c>
      <c r="AO314" s="114">
        <f t="shared" ca="1" si="162"/>
        <v>0</v>
      </c>
      <c r="AP314" s="114">
        <f t="shared" ca="1" si="163"/>
        <v>0</v>
      </c>
      <c r="AR314" s="238">
        <f t="shared" si="166"/>
        <v>314</v>
      </c>
      <c r="AU314" s="238">
        <f t="shared" si="167"/>
        <v>295</v>
      </c>
      <c r="AV314" s="238"/>
      <c r="AW314" s="238"/>
      <c r="CM314" s="112"/>
      <c r="CN314" s="112"/>
      <c r="CQ314" s="112"/>
      <c r="CR314" s="112"/>
      <c r="CS314" s="112"/>
      <c r="CT314" s="112"/>
      <c r="CU314" s="112"/>
      <c r="CV314" s="112"/>
      <c r="CW314" s="112"/>
      <c r="CX314" s="112" t="s">
        <v>224</v>
      </c>
      <c r="CY314" s="112" t="s">
        <v>225</v>
      </c>
      <c r="CZ314" s="112" t="s">
        <v>226</v>
      </c>
      <c r="DA314" s="112" t="s">
        <v>227</v>
      </c>
      <c r="DB314" s="112" t="s">
        <v>228</v>
      </c>
      <c r="DC314" s="112"/>
      <c r="DD314" s="112"/>
      <c r="DE314" s="238"/>
      <c r="DF314" s="112"/>
      <c r="DG314" s="112"/>
      <c r="DH314" s="112"/>
      <c r="DI314" s="112"/>
      <c r="DJ314" s="112"/>
      <c r="DK314" s="112">
        <f t="shared" si="169"/>
        <v>100000</v>
      </c>
      <c r="DL314" s="112"/>
      <c r="DM314" s="112"/>
      <c r="DN314" s="112"/>
      <c r="DO314" s="112"/>
      <c r="DP314" s="112"/>
      <c r="DQ314" s="112"/>
      <c r="DR314" t="e">
        <f t="shared" si="168"/>
        <v>#N/A</v>
      </c>
    </row>
    <row r="315" spans="33:122" x14ac:dyDescent="0.25">
      <c r="AG315" s="238">
        <f>AG314+1</f>
        <v>79</v>
      </c>
      <c r="AH315" s="112">
        <f ca="1">INDIRECT(CONCATENATE("AA",AG315))</f>
        <v>100000</v>
      </c>
      <c r="AI315" s="112" t="e">
        <f ca="1">IF(            INDIRECT(CONCATENATE( "AB",AG315))&lt;100000,       INDIRECT(CONCATENATE("AB",AG315))  -1,IF(   INDIRECT(CONCATENATE("AC",AG315))&lt;100000,   INDIRECT(CONCATENATE("AC",AG315))-1,IF(   INDIRECT(CONCATENATE("AD", AG315))&lt;100000, INDIRECT(CONCATENATE("AD",AG315))-1,IF(   INDIRECT(CONCATENATE("AE",AG315))&lt;100000,  INDIRECT(CONCATENATE("AE",G315)),INDIRECT(CONCATENATE("AF",AG315))                ))))</f>
        <v>#N/A</v>
      </c>
      <c r="AJ315" s="114"/>
      <c r="AK315" s="114"/>
      <c r="AL315" s="238" t="e">
        <f t="shared" ca="1" si="164"/>
        <v>#N/A</v>
      </c>
      <c r="AM315" s="112">
        <f t="shared" ca="1" si="170"/>
        <v>100000</v>
      </c>
      <c r="AN315" s="112">
        <f t="shared" ca="1" si="165"/>
        <v>100000</v>
      </c>
      <c r="AO315" s="114">
        <f t="shared" ca="1" si="162"/>
        <v>0</v>
      </c>
      <c r="AP315" s="114">
        <f t="shared" ca="1" si="163"/>
        <v>0</v>
      </c>
      <c r="AR315" s="238">
        <f t="shared" si="166"/>
        <v>315</v>
      </c>
      <c r="AU315" s="238">
        <f t="shared" si="167"/>
        <v>296</v>
      </c>
      <c r="AV315" s="238"/>
      <c r="AW315" s="238"/>
      <c r="CM315" s="112"/>
      <c r="CN315" s="112"/>
      <c r="CQ315" s="112"/>
      <c r="CR315" s="112"/>
      <c r="CS315" s="112"/>
      <c r="CT315" s="112"/>
      <c r="CU315" s="112"/>
      <c r="CV315" s="112"/>
      <c r="CW315" s="112"/>
      <c r="CX315" s="112" t="s">
        <v>224</v>
      </c>
      <c r="CY315" s="112" t="s">
        <v>225</v>
      </c>
      <c r="CZ315" s="112" t="s">
        <v>226</v>
      </c>
      <c r="DA315" s="112" t="s">
        <v>227</v>
      </c>
      <c r="DB315" s="112" t="s">
        <v>228</v>
      </c>
      <c r="DC315" s="112"/>
      <c r="DD315" s="112"/>
      <c r="DE315" s="238"/>
      <c r="DF315" s="112"/>
      <c r="DG315" s="112"/>
      <c r="DH315" s="112"/>
      <c r="DI315" s="112"/>
      <c r="DJ315" s="112"/>
      <c r="DK315" s="112">
        <f t="shared" si="169"/>
        <v>100000</v>
      </c>
      <c r="DL315" s="112"/>
      <c r="DM315" s="112"/>
      <c r="DN315" s="112"/>
      <c r="DO315" s="112"/>
      <c r="DP315" s="112"/>
      <c r="DQ315" s="112"/>
      <c r="DR315" t="e">
        <f t="shared" si="168"/>
        <v>#N/A</v>
      </c>
    </row>
    <row r="316" spans="33:122" x14ac:dyDescent="0.25">
      <c r="AG316" s="238">
        <f>AG315</f>
        <v>79</v>
      </c>
      <c r="AH316" s="112" t="e">
        <f ca="1">AI315+1</f>
        <v>#N/A</v>
      </c>
      <c r="AI316" s="112" t="e">
        <f ca="1">IF(INDIRECT(CONCATENATE("AC",AG315))&lt;100000,INDIRECT(CONCATENATE("AC",AG315))-1,IF(INDIRECT(CONCATENATE("AD",AG315))&lt;100000,INDIRECT(CONCATENATE("AD",AG315))-1,IF(INDIRECT(CONCATENATE("AE",AG315))&lt;100000,INDIRECT(CONCATENATE("AE",G315)),INDIRECT(CONCATENATE("AF",AG315)))))</f>
        <v>#N/A</v>
      </c>
      <c r="AJ316" s="114"/>
      <c r="AK316" s="114"/>
      <c r="AL316" s="238" t="e">
        <f t="shared" ca="1" si="164"/>
        <v>#N/A</v>
      </c>
      <c r="AM316" s="112">
        <f t="shared" ca="1" si="170"/>
        <v>100000</v>
      </c>
      <c r="AN316" s="112">
        <f t="shared" ca="1" si="165"/>
        <v>100000</v>
      </c>
      <c r="AO316" s="114">
        <f t="shared" ca="1" si="162"/>
        <v>0</v>
      </c>
      <c r="AP316" s="114">
        <f t="shared" ca="1" si="163"/>
        <v>0</v>
      </c>
      <c r="AR316" s="238">
        <f t="shared" si="166"/>
        <v>316</v>
      </c>
      <c r="AU316" s="238">
        <f t="shared" si="167"/>
        <v>297</v>
      </c>
      <c r="AV316" s="238"/>
      <c r="AW316" s="238"/>
      <c r="CM316" s="112"/>
      <c r="CN316" s="112"/>
      <c r="CQ316" s="112"/>
      <c r="CR316" s="112"/>
      <c r="CS316" s="112"/>
      <c r="CT316" s="112"/>
      <c r="CU316" s="112"/>
      <c r="CV316" s="112"/>
      <c r="CW316" s="112"/>
      <c r="CX316" s="112" t="s">
        <v>224</v>
      </c>
      <c r="CY316" s="112" t="s">
        <v>225</v>
      </c>
      <c r="CZ316" s="112" t="s">
        <v>226</v>
      </c>
      <c r="DA316" s="112" t="s">
        <v>227</v>
      </c>
      <c r="DB316" s="112" t="s">
        <v>228</v>
      </c>
      <c r="DC316" s="112"/>
      <c r="DD316" s="112"/>
      <c r="DE316" s="238"/>
      <c r="DF316" s="112"/>
      <c r="DG316" s="112"/>
      <c r="DH316" s="112"/>
      <c r="DI316" s="112"/>
      <c r="DJ316" s="112"/>
      <c r="DK316" s="112">
        <f t="shared" si="169"/>
        <v>100000</v>
      </c>
      <c r="DL316" s="112"/>
      <c r="DM316" s="112"/>
      <c r="DN316" s="112"/>
      <c r="DO316" s="112"/>
      <c r="DP316" s="112"/>
      <c r="DQ316" s="112"/>
      <c r="DR316" t="e">
        <f t="shared" si="168"/>
        <v>#N/A</v>
      </c>
    </row>
    <row r="317" spans="33:122" x14ac:dyDescent="0.25">
      <c r="AG317" s="238">
        <f>AG316</f>
        <v>79</v>
      </c>
      <c r="AH317" s="112" t="e">
        <f ca="1">AI316+1</f>
        <v>#N/A</v>
      </c>
      <c r="AI317" s="112" t="e">
        <f ca="1">IF(INDIRECT(CONCATENATE("AD",AG315))&lt;100000,INDIRECT(CONCATENATE("AD",AG315))-1,IF(INDIRECT(CONCATENATE("AE",AG315))&lt;100000,INDIRECT(CONCATENATE("AE",G315)),INDIRECT(CONCATENATE("AF",AG315))))</f>
        <v>#N/A</v>
      </c>
      <c r="AJ317" s="114"/>
      <c r="AK317" s="114"/>
      <c r="AL317" s="238" t="e">
        <f t="shared" ca="1" si="164"/>
        <v>#N/A</v>
      </c>
      <c r="AM317" s="112">
        <f t="shared" ca="1" si="170"/>
        <v>100000</v>
      </c>
      <c r="AN317" s="112">
        <f t="shared" ca="1" si="165"/>
        <v>100000</v>
      </c>
      <c r="AO317" s="114">
        <f t="shared" ca="1" si="162"/>
        <v>0</v>
      </c>
      <c r="AP317" s="114">
        <f t="shared" ca="1" si="163"/>
        <v>0</v>
      </c>
      <c r="AR317" s="238">
        <f t="shared" si="166"/>
        <v>317</v>
      </c>
      <c r="AU317" s="238">
        <f t="shared" si="167"/>
        <v>298</v>
      </c>
      <c r="AV317" s="238"/>
      <c r="AW317" s="238"/>
      <c r="CM317" s="112"/>
      <c r="CN317" s="112"/>
      <c r="CQ317" s="112"/>
      <c r="CR317" s="112"/>
      <c r="CS317" s="112"/>
      <c r="CT317" s="112"/>
      <c r="CU317" s="112"/>
      <c r="CV317" s="112"/>
      <c r="CW317" s="112"/>
      <c r="CX317" s="112" t="s">
        <v>224</v>
      </c>
      <c r="CY317" s="112" t="s">
        <v>225</v>
      </c>
      <c r="CZ317" s="112" t="s">
        <v>226</v>
      </c>
      <c r="DA317" s="112" t="s">
        <v>227</v>
      </c>
      <c r="DB317" s="112" t="s">
        <v>228</v>
      </c>
      <c r="DC317" s="112"/>
      <c r="DD317" s="112"/>
      <c r="DE317" s="238"/>
      <c r="DF317" s="112"/>
      <c r="DG317" s="112"/>
      <c r="DH317" s="112"/>
      <c r="DI317" s="112"/>
      <c r="DJ317" s="112"/>
      <c r="DK317" s="112">
        <f t="shared" si="169"/>
        <v>100000</v>
      </c>
      <c r="DL317" s="112"/>
      <c r="DM317" s="112"/>
      <c r="DN317" s="112"/>
      <c r="DO317" s="112"/>
      <c r="DP317" s="112"/>
      <c r="DQ317" s="112"/>
      <c r="DR317" t="e">
        <f t="shared" si="168"/>
        <v>#N/A</v>
      </c>
    </row>
    <row r="318" spans="33:122" x14ac:dyDescent="0.25">
      <c r="AG318" s="238">
        <f>AG317</f>
        <v>79</v>
      </c>
      <c r="AH318" s="112" t="e">
        <f ca="1">AI317+1</f>
        <v>#N/A</v>
      </c>
      <c r="AI318" s="112" t="e">
        <f ca="1">IF(INDIRECT(CONCATENATE("AE",AG315))&lt;100000,INDIRECT(CONCATENATE("AE",G315)),INDIRECT(CONCATENATE("AF",AG315)))</f>
        <v>#N/A</v>
      </c>
      <c r="AJ318" s="114"/>
      <c r="AK318" s="114"/>
      <c r="AL318" s="238" t="e">
        <f t="shared" ca="1" si="164"/>
        <v>#N/A</v>
      </c>
      <c r="AM318" s="112">
        <f t="shared" ca="1" si="170"/>
        <v>100000</v>
      </c>
      <c r="AN318" s="112">
        <f t="shared" ca="1" si="165"/>
        <v>100000</v>
      </c>
      <c r="AO318" s="114">
        <f t="shared" ca="1" si="162"/>
        <v>0</v>
      </c>
      <c r="AP318" s="114">
        <f t="shared" ca="1" si="163"/>
        <v>0</v>
      </c>
      <c r="AR318" s="238">
        <f t="shared" si="166"/>
        <v>318</v>
      </c>
      <c r="AU318" s="238">
        <f t="shared" si="167"/>
        <v>299</v>
      </c>
      <c r="AV318" s="238"/>
      <c r="AW318" s="238"/>
      <c r="CM318" s="112"/>
      <c r="CN318" s="112"/>
      <c r="CQ318" s="112"/>
      <c r="CR318" s="112"/>
      <c r="CS318" s="112"/>
      <c r="CT318" s="112"/>
      <c r="CU318" s="112"/>
      <c r="CV318" s="112"/>
      <c r="CW318" s="112"/>
      <c r="CX318" s="112" t="s">
        <v>224</v>
      </c>
      <c r="CY318" s="112" t="s">
        <v>225</v>
      </c>
      <c r="CZ318" s="112" t="s">
        <v>226</v>
      </c>
      <c r="DA318" s="112" t="s">
        <v>227</v>
      </c>
      <c r="DB318" s="112" t="s">
        <v>228</v>
      </c>
      <c r="DC318" s="112"/>
      <c r="DD318" s="112"/>
      <c r="DE318" s="238"/>
      <c r="DF318" s="112"/>
      <c r="DG318" s="112"/>
      <c r="DH318" s="112"/>
      <c r="DI318" s="112"/>
      <c r="DJ318" s="112"/>
      <c r="DK318" s="112">
        <f t="shared" si="169"/>
        <v>100000</v>
      </c>
      <c r="DL318" s="112"/>
      <c r="DM318" s="112"/>
      <c r="DN318" s="112"/>
      <c r="DO318" s="112"/>
      <c r="DP318" s="112"/>
      <c r="DQ318" s="112"/>
      <c r="DR318" t="e">
        <f t="shared" si="168"/>
        <v>#N/A</v>
      </c>
    </row>
    <row r="319" spans="33:122" x14ac:dyDescent="0.25">
      <c r="AG319" s="238">
        <f>AG318</f>
        <v>79</v>
      </c>
      <c r="AH319" s="112" t="e">
        <f ca="1">AI318+1</f>
        <v>#N/A</v>
      </c>
      <c r="AI319" s="112">
        <f ca="1">INDIRECT(CONCATENATE("AF",AG315))</f>
        <v>100000</v>
      </c>
      <c r="AJ319" s="114"/>
      <c r="AK319" s="114"/>
      <c r="AL319" s="238" t="e">
        <f t="shared" ca="1" si="164"/>
        <v>#N/A</v>
      </c>
      <c r="AM319" s="112">
        <f t="shared" ca="1" si="170"/>
        <v>100000</v>
      </c>
      <c r="AN319" s="112">
        <f t="shared" ca="1" si="165"/>
        <v>100000</v>
      </c>
      <c r="AO319" s="114">
        <f t="shared" ca="1" si="162"/>
        <v>0</v>
      </c>
      <c r="AP319" s="114">
        <f t="shared" ca="1" si="163"/>
        <v>0</v>
      </c>
      <c r="AR319" s="238">
        <f t="shared" si="166"/>
        <v>319</v>
      </c>
      <c r="AU319" s="238">
        <f t="shared" si="167"/>
        <v>300</v>
      </c>
      <c r="AV319" s="238"/>
      <c r="AW319" s="238"/>
      <c r="CM319" s="112"/>
      <c r="CN319" s="112"/>
      <c r="CQ319" s="112"/>
      <c r="CR319" s="112"/>
      <c r="CS319" s="112"/>
      <c r="CT319" s="112"/>
      <c r="CU319" s="112"/>
      <c r="CV319" s="112"/>
      <c r="CW319" s="112"/>
      <c r="CX319" s="112" t="s">
        <v>224</v>
      </c>
      <c r="CY319" s="112" t="s">
        <v>225</v>
      </c>
      <c r="CZ319" s="112" t="s">
        <v>226</v>
      </c>
      <c r="DA319" s="112" t="s">
        <v>227</v>
      </c>
      <c r="DB319" s="112" t="s">
        <v>228</v>
      </c>
      <c r="DC319" s="112"/>
      <c r="DD319" s="112"/>
      <c r="DE319" s="238"/>
      <c r="DF319" s="112"/>
      <c r="DG319" s="112"/>
      <c r="DH319" s="112"/>
      <c r="DI319" s="112"/>
      <c r="DJ319" s="112"/>
      <c r="DK319" s="112">
        <f t="shared" si="169"/>
        <v>100000</v>
      </c>
      <c r="DL319" s="112"/>
      <c r="DM319" s="112"/>
      <c r="DN319" s="112"/>
      <c r="DO319" s="112"/>
      <c r="DP319" s="112"/>
      <c r="DQ319" s="112"/>
      <c r="DR319" t="e">
        <f t="shared" si="168"/>
        <v>#N/A</v>
      </c>
    </row>
    <row r="320" spans="33:122" x14ac:dyDescent="0.25">
      <c r="AG320" s="238">
        <f>AG319+1</f>
        <v>80</v>
      </c>
      <c r="AH320" s="112">
        <f ca="1">INDIRECT(CONCATENATE("AA",AG320))</f>
        <v>100000</v>
      </c>
      <c r="AI320" s="112" t="e">
        <f ca="1">IF(            INDIRECT(CONCATENATE( "AB",AG320))&lt;100000,       INDIRECT(CONCATENATE("AB",AG320))  -1,IF(   INDIRECT(CONCATENATE("AC",AG320))&lt;100000,   INDIRECT(CONCATENATE("AC",AG320))-1,IF(   INDIRECT(CONCATENATE("AD", AG320))&lt;100000, INDIRECT(CONCATENATE("AD",AG320))-1,IF(   INDIRECT(CONCATENATE("AE",AG320))&lt;100000,  INDIRECT(CONCATENATE("AE",G320)),INDIRECT(CONCATENATE("AF",AG320))                ))))</f>
        <v>#N/A</v>
      </c>
      <c r="AJ320" s="114"/>
      <c r="AK320" s="114"/>
      <c r="AL320" s="238" t="e">
        <f t="shared" ca="1" si="164"/>
        <v>#N/A</v>
      </c>
      <c r="AM320" s="112">
        <f t="shared" ca="1" si="170"/>
        <v>100000</v>
      </c>
      <c r="AN320" s="112">
        <f t="shared" ca="1" si="165"/>
        <v>100000</v>
      </c>
      <c r="AO320" s="114">
        <f t="shared" ca="1" si="162"/>
        <v>0</v>
      </c>
      <c r="AP320" s="114">
        <f t="shared" ca="1" si="163"/>
        <v>0</v>
      </c>
      <c r="AR320" s="238">
        <f t="shared" si="166"/>
        <v>320</v>
      </c>
      <c r="AU320" s="238">
        <f t="shared" si="167"/>
        <v>301</v>
      </c>
      <c r="AV320" s="238"/>
      <c r="AW320" s="238"/>
      <c r="CM320" s="112"/>
      <c r="CN320" s="112"/>
      <c r="CQ320" s="112"/>
      <c r="CR320" s="112"/>
      <c r="CS320" s="112"/>
      <c r="CT320" s="112"/>
      <c r="CU320" s="112"/>
      <c r="CV320" s="112"/>
      <c r="CW320" s="112"/>
      <c r="CX320" s="112" t="s">
        <v>224</v>
      </c>
      <c r="CY320" s="112" t="s">
        <v>225</v>
      </c>
      <c r="CZ320" s="112" t="s">
        <v>226</v>
      </c>
      <c r="DA320" s="112" t="s">
        <v>227</v>
      </c>
      <c r="DB320" s="112" t="s">
        <v>228</v>
      </c>
      <c r="DC320" s="112"/>
      <c r="DD320" s="112"/>
      <c r="DE320" s="238"/>
      <c r="DF320" s="112"/>
      <c r="DG320" s="112"/>
      <c r="DH320" s="112"/>
      <c r="DI320" s="112"/>
      <c r="DJ320" s="112"/>
      <c r="DK320" s="112">
        <f t="shared" si="169"/>
        <v>100000</v>
      </c>
      <c r="DL320" s="112"/>
      <c r="DM320" s="112"/>
      <c r="DN320" s="112"/>
      <c r="DO320" s="112"/>
      <c r="DP320" s="112"/>
      <c r="DQ320" s="112"/>
      <c r="DR320" t="e">
        <f t="shared" si="168"/>
        <v>#N/A</v>
      </c>
    </row>
    <row r="321" spans="33:122" x14ac:dyDescent="0.25">
      <c r="AG321" s="238">
        <f>AG320</f>
        <v>80</v>
      </c>
      <c r="AH321" s="112" t="e">
        <f ca="1">AI320+1</f>
        <v>#N/A</v>
      </c>
      <c r="AI321" s="112" t="e">
        <f ca="1">IF(INDIRECT(CONCATENATE("AC",AG320))&lt;100000,INDIRECT(CONCATENATE("AC",AG320))-1,IF(INDIRECT(CONCATENATE("AD",AG320))&lt;100000,INDIRECT(CONCATENATE("AD",AG320))-1,IF(INDIRECT(CONCATENATE("AE",AG320))&lt;100000,INDIRECT(CONCATENATE("AE",G320)),INDIRECT(CONCATENATE("AF",AG320)))))</f>
        <v>#N/A</v>
      </c>
      <c r="AJ321" s="114"/>
      <c r="AK321" s="114"/>
      <c r="AL321" s="238" t="e">
        <f t="shared" ca="1" si="164"/>
        <v>#N/A</v>
      </c>
      <c r="AM321" s="112">
        <f t="shared" ca="1" si="170"/>
        <v>100000</v>
      </c>
      <c r="AN321" s="112">
        <f t="shared" ca="1" si="165"/>
        <v>100000</v>
      </c>
      <c r="AO321" s="114">
        <f t="shared" ca="1" si="162"/>
        <v>0</v>
      </c>
      <c r="AP321" s="114">
        <f t="shared" ca="1" si="163"/>
        <v>0</v>
      </c>
      <c r="AR321" s="238">
        <f t="shared" si="166"/>
        <v>321</v>
      </c>
      <c r="AU321" s="238">
        <f t="shared" si="167"/>
        <v>302</v>
      </c>
      <c r="AV321" s="238"/>
      <c r="AW321" s="238"/>
      <c r="CM321" s="112"/>
      <c r="CN321" s="112"/>
      <c r="CQ321" s="112"/>
      <c r="CR321" s="112"/>
      <c r="CS321" s="112"/>
      <c r="CT321" s="112"/>
      <c r="CU321" s="112"/>
      <c r="CV321" s="112"/>
      <c r="CW321" s="112"/>
      <c r="CX321" s="112" t="s">
        <v>224</v>
      </c>
      <c r="CY321" s="112" t="s">
        <v>225</v>
      </c>
      <c r="CZ321" s="112" t="s">
        <v>226</v>
      </c>
      <c r="DA321" s="112" t="s">
        <v>227</v>
      </c>
      <c r="DB321" s="112" t="s">
        <v>228</v>
      </c>
      <c r="DC321" s="112"/>
      <c r="DD321" s="112"/>
      <c r="DE321" s="238"/>
      <c r="DF321" s="112"/>
      <c r="DG321" s="112"/>
      <c r="DH321" s="112"/>
      <c r="DI321" s="112"/>
      <c r="DJ321" s="112"/>
      <c r="DK321" s="112">
        <f t="shared" si="169"/>
        <v>100000</v>
      </c>
      <c r="DL321" s="112"/>
      <c r="DM321" s="112"/>
      <c r="DN321" s="112"/>
      <c r="DO321" s="112"/>
      <c r="DP321" s="112"/>
      <c r="DQ321" s="112"/>
      <c r="DR321" t="e">
        <f t="shared" si="168"/>
        <v>#N/A</v>
      </c>
    </row>
    <row r="322" spans="33:122" x14ac:dyDescent="0.25">
      <c r="AG322" s="238">
        <f>AG321</f>
        <v>80</v>
      </c>
      <c r="AH322" s="112" t="e">
        <f ca="1">AI321+1</f>
        <v>#N/A</v>
      </c>
      <c r="AI322" s="112" t="e">
        <f ca="1">IF(INDIRECT(CONCATENATE("AD",AG320))&lt;100000,INDIRECT(CONCATENATE("AD",AG320))-1,IF(INDIRECT(CONCATENATE("AE",AG320))&lt;100000,INDIRECT(CONCATENATE("AE",G320)),INDIRECT(CONCATENATE("AF",AG320))))</f>
        <v>#N/A</v>
      </c>
      <c r="AJ322" s="114"/>
      <c r="AK322" s="114"/>
      <c r="AL322" s="238" t="e">
        <f t="shared" ca="1" si="164"/>
        <v>#N/A</v>
      </c>
      <c r="AM322" s="112">
        <f t="shared" ca="1" si="170"/>
        <v>100000</v>
      </c>
      <c r="AN322" s="112">
        <f t="shared" ca="1" si="165"/>
        <v>100000</v>
      </c>
      <c r="AO322" s="114">
        <f t="shared" ca="1" si="162"/>
        <v>0</v>
      </c>
      <c r="AP322" s="114">
        <f t="shared" ca="1" si="163"/>
        <v>0</v>
      </c>
      <c r="AR322" s="238">
        <f t="shared" si="166"/>
        <v>322</v>
      </c>
      <c r="AU322" s="238">
        <f t="shared" si="167"/>
        <v>303</v>
      </c>
      <c r="AV322" s="238"/>
      <c r="AW322" s="238"/>
      <c r="CM322" s="112"/>
      <c r="CN322" s="112"/>
      <c r="CQ322" s="112"/>
      <c r="CR322" s="112"/>
      <c r="CS322" s="112"/>
      <c r="CT322" s="112"/>
      <c r="CU322" s="112"/>
      <c r="CV322" s="112"/>
      <c r="CW322" s="112"/>
      <c r="CX322" s="112" t="s">
        <v>224</v>
      </c>
      <c r="CY322" s="112" t="s">
        <v>225</v>
      </c>
      <c r="CZ322" s="112" t="s">
        <v>226</v>
      </c>
      <c r="DA322" s="112" t="s">
        <v>227</v>
      </c>
      <c r="DB322" s="112" t="s">
        <v>228</v>
      </c>
      <c r="DC322" s="112"/>
      <c r="DD322" s="112"/>
      <c r="DE322" s="238"/>
      <c r="DF322" s="112"/>
      <c r="DG322" s="112"/>
      <c r="DH322" s="112"/>
      <c r="DI322" s="112"/>
      <c r="DJ322" s="112"/>
      <c r="DK322" s="112">
        <f t="shared" si="169"/>
        <v>100000</v>
      </c>
      <c r="DL322" s="112"/>
      <c r="DM322" s="112"/>
      <c r="DN322" s="112"/>
      <c r="DO322" s="112"/>
      <c r="DP322" s="112"/>
      <c r="DQ322" s="112"/>
      <c r="DR322" t="e">
        <f t="shared" si="168"/>
        <v>#N/A</v>
      </c>
    </row>
    <row r="323" spans="33:122" x14ac:dyDescent="0.25">
      <c r="AG323" s="238">
        <f>AG322</f>
        <v>80</v>
      </c>
      <c r="AH323" s="112" t="e">
        <f ca="1">AI322+1</f>
        <v>#N/A</v>
      </c>
      <c r="AI323" s="112" t="e">
        <f ca="1">IF(INDIRECT(CONCATENATE("AE",AG320))&lt;100000,INDIRECT(CONCATENATE("AE",G320)),INDIRECT(CONCATENATE("AF",AG320)))</f>
        <v>#N/A</v>
      </c>
      <c r="AJ323" s="114"/>
      <c r="AK323" s="114"/>
      <c r="AL323" s="238" t="e">
        <f t="shared" ca="1" si="164"/>
        <v>#N/A</v>
      </c>
      <c r="AM323" s="112">
        <f t="shared" ca="1" si="170"/>
        <v>100000</v>
      </c>
      <c r="AN323" s="112">
        <f t="shared" ca="1" si="165"/>
        <v>100000</v>
      </c>
      <c r="AO323" s="114">
        <f t="shared" ca="1" si="162"/>
        <v>0</v>
      </c>
      <c r="AP323" s="114">
        <f t="shared" ca="1" si="163"/>
        <v>0</v>
      </c>
      <c r="AR323" s="238">
        <f t="shared" si="166"/>
        <v>323</v>
      </c>
      <c r="AU323" s="238">
        <f t="shared" si="167"/>
        <v>304</v>
      </c>
      <c r="AV323" s="238"/>
      <c r="AW323" s="238"/>
      <c r="CM323" s="112"/>
      <c r="CN323" s="112"/>
      <c r="CQ323" s="112"/>
      <c r="CR323" s="112"/>
      <c r="CS323" s="112"/>
      <c r="CT323" s="112"/>
      <c r="CU323" s="112"/>
      <c r="CV323" s="112"/>
      <c r="CW323" s="112"/>
      <c r="CX323" s="112" t="s">
        <v>224</v>
      </c>
      <c r="CY323" s="112" t="s">
        <v>225</v>
      </c>
      <c r="CZ323" s="112" t="s">
        <v>226</v>
      </c>
      <c r="DA323" s="112" t="s">
        <v>227</v>
      </c>
      <c r="DB323" s="112" t="s">
        <v>228</v>
      </c>
      <c r="DC323" s="112"/>
      <c r="DD323" s="112"/>
      <c r="DE323" s="238"/>
      <c r="DF323" s="112"/>
      <c r="DG323" s="112"/>
      <c r="DH323" s="112"/>
      <c r="DI323" s="112"/>
      <c r="DJ323" s="112"/>
      <c r="DK323" s="112">
        <f t="shared" si="169"/>
        <v>100000</v>
      </c>
      <c r="DL323" s="112"/>
      <c r="DM323" s="112"/>
      <c r="DN323" s="112"/>
      <c r="DO323" s="112"/>
      <c r="DP323" s="112"/>
      <c r="DQ323" s="112"/>
      <c r="DR323" t="e">
        <f t="shared" si="168"/>
        <v>#N/A</v>
      </c>
    </row>
    <row r="324" spans="33:122" x14ac:dyDescent="0.25">
      <c r="AG324" s="238">
        <f>AG323</f>
        <v>80</v>
      </c>
      <c r="AH324" s="112" t="e">
        <f ca="1">AI323+1</f>
        <v>#N/A</v>
      </c>
      <c r="AI324" s="112">
        <f ca="1">INDIRECT(CONCATENATE("AF",AG320))</f>
        <v>100000</v>
      </c>
      <c r="AJ324" s="114"/>
      <c r="AK324" s="114"/>
      <c r="AL324" s="238" t="e">
        <f t="shared" ca="1" si="164"/>
        <v>#N/A</v>
      </c>
      <c r="AM324" s="112">
        <f t="shared" ca="1" si="170"/>
        <v>100000</v>
      </c>
      <c r="AN324" s="112">
        <f t="shared" ca="1" si="165"/>
        <v>100000</v>
      </c>
      <c r="AO324" s="114">
        <f t="shared" ca="1" si="162"/>
        <v>0</v>
      </c>
      <c r="AP324" s="114">
        <f t="shared" ca="1" si="163"/>
        <v>0</v>
      </c>
      <c r="AR324" s="238">
        <f t="shared" si="166"/>
        <v>324</v>
      </c>
      <c r="AU324" s="238">
        <f t="shared" si="167"/>
        <v>305</v>
      </c>
      <c r="AV324" s="238"/>
      <c r="AW324" s="238"/>
      <c r="CM324" s="112"/>
      <c r="CN324" s="112"/>
      <c r="CQ324" s="112"/>
      <c r="CR324" s="112"/>
      <c r="CS324" s="112"/>
      <c r="CT324" s="112"/>
      <c r="CU324" s="112"/>
      <c r="CV324" s="112"/>
      <c r="CW324" s="112"/>
      <c r="CX324" s="112" t="s">
        <v>224</v>
      </c>
      <c r="CY324" s="112" t="s">
        <v>225</v>
      </c>
      <c r="CZ324" s="112" t="s">
        <v>226</v>
      </c>
      <c r="DA324" s="112" t="s">
        <v>227</v>
      </c>
      <c r="DB324" s="112" t="s">
        <v>228</v>
      </c>
      <c r="DC324" s="112"/>
      <c r="DD324" s="112"/>
      <c r="DE324" s="238"/>
      <c r="DF324" s="112"/>
      <c r="DG324" s="112"/>
      <c r="DH324" s="112"/>
      <c r="DI324" s="112"/>
      <c r="DJ324" s="112"/>
      <c r="DK324" s="112">
        <f t="shared" si="169"/>
        <v>100000</v>
      </c>
      <c r="DL324" s="112"/>
      <c r="DM324" s="112"/>
      <c r="DN324" s="112"/>
      <c r="DO324" s="112"/>
      <c r="DP324" s="112"/>
      <c r="DQ324" s="112"/>
      <c r="DR324" t="e">
        <f t="shared" si="168"/>
        <v>#N/A</v>
      </c>
    </row>
    <row r="325" spans="33:122" x14ac:dyDescent="0.25">
      <c r="AG325" s="238">
        <f>AG324+1</f>
        <v>81</v>
      </c>
      <c r="AH325" s="112">
        <f ca="1">INDIRECT(CONCATENATE("AA",AG325))</f>
        <v>100000</v>
      </c>
      <c r="AI325" s="112" t="e">
        <f ca="1">IF(            INDIRECT(CONCATENATE( "AB",AG325))&lt;100000,       INDIRECT(CONCATENATE("AB",AG325))  -1,IF(   INDIRECT(CONCATENATE("AC",AG325))&lt;100000,   INDIRECT(CONCATENATE("AC",AG325))-1,IF(   INDIRECT(CONCATENATE("AD", AG325))&lt;100000, INDIRECT(CONCATENATE("AD",AG325))-1,IF(   INDIRECT(CONCATENATE("AE",AG325))&lt;100000,  INDIRECT(CONCATENATE("AE",G325)),INDIRECT(CONCATENATE("AF",AG325))                ))))</f>
        <v>#N/A</v>
      </c>
      <c r="AJ325" s="114"/>
      <c r="AK325" s="114"/>
      <c r="AL325" s="238" t="e">
        <f t="shared" ca="1" si="164"/>
        <v>#N/A</v>
      </c>
      <c r="AM325" s="112">
        <f t="shared" ca="1" si="170"/>
        <v>100000</v>
      </c>
      <c r="AN325" s="112">
        <f t="shared" ca="1" si="165"/>
        <v>100000</v>
      </c>
      <c r="AO325" s="114">
        <f t="shared" ca="1" si="162"/>
        <v>0</v>
      </c>
      <c r="AP325" s="114">
        <f t="shared" ca="1" si="163"/>
        <v>0</v>
      </c>
      <c r="AR325" s="238">
        <f t="shared" si="166"/>
        <v>325</v>
      </c>
      <c r="AU325" s="238">
        <f t="shared" si="167"/>
        <v>306</v>
      </c>
      <c r="AV325" s="238"/>
      <c r="AW325" s="238"/>
      <c r="CM325" s="112"/>
      <c r="CN325" s="112"/>
      <c r="CQ325" s="112"/>
      <c r="CR325" s="112"/>
      <c r="CS325" s="112"/>
      <c r="CT325" s="112"/>
      <c r="CU325" s="112"/>
      <c r="CV325" s="112"/>
      <c r="CW325" s="112"/>
      <c r="CX325" s="112" t="s">
        <v>224</v>
      </c>
      <c r="CY325" s="112" t="s">
        <v>225</v>
      </c>
      <c r="CZ325" s="112" t="s">
        <v>226</v>
      </c>
      <c r="DA325" s="112" t="s">
        <v>227</v>
      </c>
      <c r="DB325" s="112" t="s">
        <v>228</v>
      </c>
      <c r="DC325" s="112"/>
      <c r="DD325" s="112"/>
      <c r="DE325" s="238"/>
      <c r="DF325" s="112"/>
      <c r="DG325" s="112"/>
      <c r="DH325" s="112"/>
      <c r="DI325" s="112"/>
      <c r="DJ325" s="112"/>
      <c r="DK325" s="112">
        <f t="shared" si="169"/>
        <v>100000</v>
      </c>
      <c r="DL325" s="112"/>
      <c r="DM325" s="112"/>
      <c r="DN325" s="112"/>
      <c r="DO325" s="112"/>
      <c r="DP325" s="112"/>
      <c r="DQ325" s="112"/>
      <c r="DR325" t="e">
        <f t="shared" si="168"/>
        <v>#N/A</v>
      </c>
    </row>
    <row r="326" spans="33:122" x14ac:dyDescent="0.25">
      <c r="AG326" s="238">
        <f>AG325</f>
        <v>81</v>
      </c>
      <c r="AH326" s="112" t="e">
        <f ca="1">AI325+1</f>
        <v>#N/A</v>
      </c>
      <c r="AI326" s="112" t="e">
        <f ca="1">IF(INDIRECT(CONCATENATE("AC",AG325))&lt;100000,INDIRECT(CONCATENATE("AC",AG325))-1,IF(INDIRECT(CONCATENATE("AD",AG325))&lt;100000,INDIRECT(CONCATENATE("AD",AG325))-1,IF(INDIRECT(CONCATENATE("AE",AG325))&lt;100000,INDIRECT(CONCATENATE("AE",G325)),INDIRECT(CONCATENATE("AF",AG325)))))</f>
        <v>#N/A</v>
      </c>
      <c r="AJ326" s="114"/>
      <c r="AK326" s="114"/>
      <c r="AL326" s="238" t="e">
        <f t="shared" ca="1" si="164"/>
        <v>#N/A</v>
      </c>
      <c r="AM326" s="112">
        <f t="shared" ca="1" si="170"/>
        <v>100000</v>
      </c>
      <c r="AN326" s="112">
        <f t="shared" ca="1" si="165"/>
        <v>100000</v>
      </c>
      <c r="AO326" s="114">
        <f t="shared" ca="1" si="162"/>
        <v>0</v>
      </c>
      <c r="AP326" s="114">
        <f t="shared" ca="1" si="163"/>
        <v>0</v>
      </c>
      <c r="AR326" s="238">
        <f t="shared" si="166"/>
        <v>326</v>
      </c>
      <c r="AU326" s="238">
        <f t="shared" si="167"/>
        <v>307</v>
      </c>
      <c r="AV326" s="238"/>
      <c r="AW326" s="238"/>
      <c r="CM326" s="112"/>
      <c r="CN326" s="112"/>
      <c r="CQ326" s="112"/>
      <c r="CR326" s="112"/>
      <c r="CS326" s="112"/>
      <c r="CT326" s="112"/>
      <c r="CU326" s="112"/>
      <c r="CV326" s="112"/>
      <c r="CW326" s="112"/>
      <c r="CX326" s="112" t="s">
        <v>224</v>
      </c>
      <c r="CY326" s="112" t="s">
        <v>225</v>
      </c>
      <c r="CZ326" s="112" t="s">
        <v>226</v>
      </c>
      <c r="DA326" s="112" t="s">
        <v>227</v>
      </c>
      <c r="DB326" s="112" t="s">
        <v>228</v>
      </c>
      <c r="DC326" s="112"/>
      <c r="DD326" s="112"/>
      <c r="DE326" s="238"/>
      <c r="DF326" s="112"/>
      <c r="DG326" s="112"/>
      <c r="DH326" s="112"/>
      <c r="DI326" s="112"/>
      <c r="DJ326" s="112"/>
      <c r="DK326" s="112">
        <f t="shared" si="169"/>
        <v>100000</v>
      </c>
      <c r="DL326" s="112"/>
      <c r="DM326" s="112"/>
      <c r="DN326" s="112"/>
      <c r="DO326" s="112"/>
      <c r="DP326" s="112"/>
      <c r="DQ326" s="112"/>
      <c r="DR326" t="e">
        <f t="shared" si="168"/>
        <v>#N/A</v>
      </c>
    </row>
    <row r="327" spans="33:122" x14ac:dyDescent="0.25">
      <c r="AG327" s="238">
        <f>AG326</f>
        <v>81</v>
      </c>
      <c r="AH327" s="112" t="e">
        <f ca="1">AI326+1</f>
        <v>#N/A</v>
      </c>
      <c r="AI327" s="112" t="e">
        <f ca="1">IF(INDIRECT(CONCATENATE("AD",AG325))&lt;100000,INDIRECT(CONCATENATE("AD",AG325))-1,IF(INDIRECT(CONCATENATE("AE",AG325))&lt;100000,INDIRECT(CONCATENATE("AE",G325)),INDIRECT(CONCATENATE("AF",AG325))))</f>
        <v>#N/A</v>
      </c>
      <c r="AJ327" s="114"/>
      <c r="AK327" s="114"/>
      <c r="AL327" s="238" t="e">
        <f t="shared" ca="1" si="164"/>
        <v>#N/A</v>
      </c>
      <c r="AM327" s="112">
        <f t="shared" ca="1" si="170"/>
        <v>100000</v>
      </c>
      <c r="AN327" s="112">
        <f t="shared" ca="1" si="165"/>
        <v>100000</v>
      </c>
      <c r="AO327" s="114">
        <f t="shared" ca="1" si="162"/>
        <v>0</v>
      </c>
      <c r="AP327" s="114">
        <f t="shared" ca="1" si="163"/>
        <v>0</v>
      </c>
      <c r="AR327" s="238">
        <f t="shared" si="166"/>
        <v>327</v>
      </c>
      <c r="AU327" s="238">
        <f t="shared" si="167"/>
        <v>308</v>
      </c>
      <c r="AV327" s="238"/>
      <c r="AW327" s="238"/>
      <c r="CM327" s="112"/>
      <c r="CN327" s="112"/>
      <c r="CQ327" s="112"/>
      <c r="CR327" s="112"/>
      <c r="CS327" s="112"/>
      <c r="CT327" s="112"/>
      <c r="CU327" s="112"/>
      <c r="CV327" s="112"/>
      <c r="CW327" s="112"/>
      <c r="CX327" s="112" t="s">
        <v>224</v>
      </c>
      <c r="CY327" s="112" t="s">
        <v>225</v>
      </c>
      <c r="CZ327" s="112" t="s">
        <v>226</v>
      </c>
      <c r="DA327" s="112" t="s">
        <v>227</v>
      </c>
      <c r="DB327" s="112" t="s">
        <v>228</v>
      </c>
      <c r="DC327" s="112"/>
      <c r="DD327" s="112"/>
      <c r="DE327" s="238"/>
      <c r="DF327" s="112"/>
      <c r="DG327" s="112"/>
      <c r="DH327" s="112"/>
      <c r="DI327" s="112"/>
      <c r="DJ327" s="112"/>
      <c r="DK327" s="112">
        <f t="shared" si="169"/>
        <v>100000</v>
      </c>
      <c r="DL327" s="112"/>
      <c r="DM327" s="112"/>
      <c r="DN327" s="112"/>
      <c r="DO327" s="112"/>
      <c r="DP327" s="112"/>
      <c r="DQ327" s="112"/>
      <c r="DR327" t="e">
        <f t="shared" si="168"/>
        <v>#N/A</v>
      </c>
    </row>
    <row r="328" spans="33:122" x14ac:dyDescent="0.25">
      <c r="AG328" s="238">
        <f>AG327</f>
        <v>81</v>
      </c>
      <c r="AH328" s="112" t="e">
        <f ca="1">AI327+1</f>
        <v>#N/A</v>
      </c>
      <c r="AI328" s="112" t="e">
        <f ca="1">IF(INDIRECT(CONCATENATE("AE",AG325))&lt;100000,INDIRECT(CONCATENATE("AE",G325)),INDIRECT(CONCATENATE("AF",AG325)))</f>
        <v>#N/A</v>
      </c>
      <c r="AJ328" s="114"/>
      <c r="AK328" s="114"/>
      <c r="AL328" s="238" t="e">
        <f t="shared" ca="1" si="164"/>
        <v>#N/A</v>
      </c>
      <c r="AM328" s="112">
        <f t="shared" ca="1" si="170"/>
        <v>100000</v>
      </c>
      <c r="AN328" s="112">
        <f t="shared" ca="1" si="165"/>
        <v>100000</v>
      </c>
      <c r="AO328" s="114">
        <f t="shared" ca="1" si="162"/>
        <v>0</v>
      </c>
      <c r="AP328" s="114">
        <f t="shared" ca="1" si="163"/>
        <v>0</v>
      </c>
      <c r="AR328" s="238">
        <f t="shared" si="166"/>
        <v>328</v>
      </c>
      <c r="AU328" s="238">
        <f t="shared" si="167"/>
        <v>309</v>
      </c>
      <c r="AV328" s="238"/>
      <c r="AW328" s="238"/>
      <c r="CM328" s="112"/>
      <c r="CN328" s="112"/>
      <c r="CQ328" s="112"/>
      <c r="CR328" s="112"/>
      <c r="CS328" s="112"/>
      <c r="CT328" s="112"/>
      <c r="CU328" s="112"/>
      <c r="CV328" s="112"/>
      <c r="CW328" s="112"/>
      <c r="CX328" s="112" t="s">
        <v>224</v>
      </c>
      <c r="CY328" s="112" t="s">
        <v>225</v>
      </c>
      <c r="CZ328" s="112" t="s">
        <v>226</v>
      </c>
      <c r="DA328" s="112" t="s">
        <v>227</v>
      </c>
      <c r="DB328" s="112" t="s">
        <v>228</v>
      </c>
      <c r="DC328" s="112"/>
      <c r="DD328" s="112"/>
      <c r="DE328" s="238"/>
      <c r="DF328" s="112"/>
      <c r="DG328" s="112"/>
      <c r="DH328" s="112"/>
      <c r="DI328" s="112"/>
      <c r="DJ328" s="112"/>
      <c r="DK328" s="112">
        <f t="shared" si="169"/>
        <v>100000</v>
      </c>
      <c r="DL328" s="112"/>
      <c r="DM328" s="112"/>
      <c r="DN328" s="112"/>
      <c r="DO328" s="112"/>
      <c r="DP328" s="112"/>
      <c r="DQ328" s="112"/>
      <c r="DR328" t="e">
        <f t="shared" si="168"/>
        <v>#N/A</v>
      </c>
    </row>
    <row r="329" spans="33:122" x14ac:dyDescent="0.25">
      <c r="AG329" s="238">
        <f>AG328</f>
        <v>81</v>
      </c>
      <c r="AH329" s="112" t="e">
        <f ca="1">AI328+1</f>
        <v>#N/A</v>
      </c>
      <c r="AI329" s="112">
        <f ca="1">INDIRECT(CONCATENATE("AF",AG325))</f>
        <v>100000</v>
      </c>
      <c r="AJ329" s="114"/>
      <c r="AK329" s="114"/>
      <c r="AL329" s="238" t="e">
        <f t="shared" ca="1" si="164"/>
        <v>#N/A</v>
      </c>
      <c r="AM329" s="112">
        <f t="shared" ca="1" si="170"/>
        <v>100000</v>
      </c>
      <c r="AN329" s="112">
        <f t="shared" ca="1" si="165"/>
        <v>100000</v>
      </c>
      <c r="AO329" s="114">
        <f t="shared" ca="1" si="162"/>
        <v>0</v>
      </c>
      <c r="AP329" s="114">
        <f t="shared" ca="1" si="163"/>
        <v>0</v>
      </c>
      <c r="AR329" s="238">
        <f t="shared" si="166"/>
        <v>329</v>
      </c>
      <c r="AU329" s="238">
        <f t="shared" si="167"/>
        <v>310</v>
      </c>
      <c r="AV329" s="238"/>
      <c r="AW329" s="238"/>
      <c r="CM329" s="112"/>
      <c r="CN329" s="112"/>
      <c r="CQ329" s="112"/>
      <c r="CR329" s="112"/>
      <c r="CS329" s="112"/>
      <c r="CT329" s="112"/>
      <c r="CU329" s="112"/>
      <c r="CV329" s="112"/>
      <c r="CW329" s="112"/>
      <c r="CX329" s="112" t="s">
        <v>224</v>
      </c>
      <c r="CY329" s="112" t="s">
        <v>225</v>
      </c>
      <c r="CZ329" s="112" t="s">
        <v>226</v>
      </c>
      <c r="DA329" s="112" t="s">
        <v>227</v>
      </c>
      <c r="DB329" s="112" t="s">
        <v>228</v>
      </c>
      <c r="DC329" s="112"/>
      <c r="DD329" s="112"/>
      <c r="DE329" s="238"/>
      <c r="DF329" s="112"/>
      <c r="DG329" s="112"/>
      <c r="DH329" s="112"/>
      <c r="DI329" s="112"/>
      <c r="DJ329" s="112"/>
      <c r="DK329" s="112">
        <f t="shared" si="169"/>
        <v>100000</v>
      </c>
      <c r="DL329" s="112"/>
      <c r="DM329" s="112"/>
      <c r="DN329" s="112"/>
      <c r="DO329" s="112"/>
      <c r="DP329" s="112"/>
      <c r="DQ329" s="112"/>
      <c r="DR329" t="e">
        <f t="shared" si="168"/>
        <v>#N/A</v>
      </c>
    </row>
    <row r="330" spans="33:122" x14ac:dyDescent="0.25">
      <c r="AG330" s="238">
        <f>AG329+1</f>
        <v>82</v>
      </c>
      <c r="AH330" s="112">
        <f ca="1">INDIRECT(CONCATENATE("AA",AG330))</f>
        <v>100000</v>
      </c>
      <c r="AI330" s="112" t="e">
        <f ca="1">IF(            INDIRECT(CONCATENATE( "AB",AG330))&lt;100000,       INDIRECT(CONCATENATE("AB",AG330))  -1,IF(   INDIRECT(CONCATENATE("AC",AG330))&lt;100000,   INDIRECT(CONCATENATE("AC",AG330))-1,IF(   INDIRECT(CONCATENATE("AD", AG330))&lt;100000, INDIRECT(CONCATENATE("AD",AG330))-1,IF(   INDIRECT(CONCATENATE("AE",AG330))&lt;100000,  INDIRECT(CONCATENATE("AE",G330)),INDIRECT(CONCATENATE("AF",AG330))                ))))</f>
        <v>#N/A</v>
      </c>
      <c r="AJ330" s="114"/>
      <c r="AK330" s="114"/>
      <c r="AL330" s="238" t="e">
        <f t="shared" ca="1" si="164"/>
        <v>#N/A</v>
      </c>
      <c r="AM330" s="112">
        <f t="shared" ca="1" si="170"/>
        <v>100000</v>
      </c>
      <c r="AN330" s="112">
        <f t="shared" ca="1" si="165"/>
        <v>100000</v>
      </c>
      <c r="AO330" s="114">
        <f t="shared" ca="1" si="162"/>
        <v>0</v>
      </c>
      <c r="AP330" s="114">
        <f t="shared" ca="1" si="163"/>
        <v>0</v>
      </c>
      <c r="AR330" s="238">
        <f t="shared" si="166"/>
        <v>330</v>
      </c>
      <c r="AU330" s="238">
        <f t="shared" si="167"/>
        <v>311</v>
      </c>
      <c r="AV330" s="238"/>
      <c r="AW330" s="238"/>
      <c r="CM330" s="112"/>
      <c r="CN330" s="112"/>
      <c r="CQ330" s="112"/>
      <c r="CR330" s="112"/>
      <c r="CS330" s="112"/>
      <c r="CT330" s="112"/>
      <c r="CU330" s="112"/>
      <c r="CV330" s="112"/>
      <c r="CW330" s="112"/>
      <c r="CX330" s="112" t="s">
        <v>224</v>
      </c>
      <c r="CY330" s="112" t="s">
        <v>225</v>
      </c>
      <c r="CZ330" s="112" t="s">
        <v>226</v>
      </c>
      <c r="DA330" s="112" t="s">
        <v>227</v>
      </c>
      <c r="DB330" s="112" t="s">
        <v>228</v>
      </c>
      <c r="DC330" s="112"/>
      <c r="DD330" s="112"/>
      <c r="DE330" s="238"/>
      <c r="DF330" s="112"/>
      <c r="DG330" s="112"/>
      <c r="DH330" s="112"/>
      <c r="DI330" s="112"/>
      <c r="DJ330" s="112"/>
      <c r="DK330" s="112">
        <f t="shared" si="169"/>
        <v>100000</v>
      </c>
      <c r="DL330" s="112"/>
      <c r="DM330" s="112"/>
      <c r="DN330" s="112"/>
      <c r="DO330" s="112"/>
      <c r="DP330" s="112"/>
      <c r="DQ330" s="112"/>
      <c r="DR330" t="e">
        <f t="shared" si="168"/>
        <v>#N/A</v>
      </c>
    </row>
    <row r="331" spans="33:122" x14ac:dyDescent="0.25">
      <c r="AG331" s="238">
        <f>AG330</f>
        <v>82</v>
      </c>
      <c r="AH331" s="112" t="e">
        <f ca="1">AI330+1</f>
        <v>#N/A</v>
      </c>
      <c r="AI331" s="112" t="e">
        <f ca="1">IF(INDIRECT(CONCATENATE("AC",AG330))&lt;100000,INDIRECT(CONCATENATE("AC",AG330))-1,IF(INDIRECT(CONCATENATE("AD",AG330))&lt;100000,INDIRECT(CONCATENATE("AD",AG330))-1,IF(INDIRECT(CONCATENATE("AE",AG330))&lt;100000,INDIRECT(CONCATENATE("AE",G330)),INDIRECT(CONCATENATE("AF",AG330)))))</f>
        <v>#N/A</v>
      </c>
      <c r="AJ331" s="114"/>
      <c r="AK331" s="114"/>
      <c r="AL331" s="238" t="e">
        <f t="shared" ca="1" si="164"/>
        <v>#N/A</v>
      </c>
      <c r="AM331" s="112">
        <f t="shared" ca="1" si="170"/>
        <v>100000</v>
      </c>
      <c r="AN331" s="112">
        <f t="shared" ca="1" si="165"/>
        <v>100000</v>
      </c>
      <c r="AO331" s="114">
        <f t="shared" ca="1" si="162"/>
        <v>0</v>
      </c>
      <c r="AP331" s="114">
        <f t="shared" ca="1" si="163"/>
        <v>0</v>
      </c>
      <c r="AR331" s="238">
        <f t="shared" si="166"/>
        <v>331</v>
      </c>
      <c r="AU331" s="238">
        <f t="shared" si="167"/>
        <v>312</v>
      </c>
      <c r="AV331" s="238"/>
      <c r="AW331" s="238"/>
      <c r="CM331" s="112"/>
      <c r="CN331" s="112"/>
      <c r="CQ331" s="112"/>
      <c r="CR331" s="112"/>
      <c r="CS331" s="112"/>
      <c r="CT331" s="112"/>
      <c r="CU331" s="112"/>
      <c r="CV331" s="112"/>
      <c r="CW331" s="112"/>
      <c r="CX331" s="112" t="s">
        <v>224</v>
      </c>
      <c r="CY331" s="112" t="s">
        <v>225</v>
      </c>
      <c r="CZ331" s="112" t="s">
        <v>226</v>
      </c>
      <c r="DA331" s="112" t="s">
        <v>227</v>
      </c>
      <c r="DB331" s="112" t="s">
        <v>228</v>
      </c>
      <c r="DC331" s="112"/>
      <c r="DD331" s="112"/>
      <c r="DE331" s="238"/>
      <c r="DF331" s="112"/>
      <c r="DG331" s="112"/>
      <c r="DH331" s="112"/>
      <c r="DI331" s="112"/>
      <c r="DJ331" s="112"/>
      <c r="DK331" s="112">
        <f t="shared" si="169"/>
        <v>100000</v>
      </c>
      <c r="DL331" s="112"/>
      <c r="DM331" s="112"/>
      <c r="DN331" s="112"/>
      <c r="DO331" s="112"/>
      <c r="DP331" s="112"/>
      <c r="DQ331" s="112"/>
      <c r="DR331" t="e">
        <f t="shared" si="168"/>
        <v>#N/A</v>
      </c>
    </row>
    <row r="332" spans="33:122" x14ac:dyDescent="0.25">
      <c r="AG332" s="238">
        <f>AG331</f>
        <v>82</v>
      </c>
      <c r="AH332" s="112" t="e">
        <f ca="1">AI331+1</f>
        <v>#N/A</v>
      </c>
      <c r="AI332" s="112" t="e">
        <f ca="1">IF(INDIRECT(CONCATENATE("AD",AG330))&lt;100000,INDIRECT(CONCATENATE("AD",AG330))-1,IF(INDIRECT(CONCATENATE("AE",AG330))&lt;100000,INDIRECT(CONCATENATE("AE",G330)),INDIRECT(CONCATENATE("AF",AG330))))</f>
        <v>#N/A</v>
      </c>
      <c r="AJ332" s="114"/>
      <c r="AK332" s="114"/>
      <c r="AL332" s="238" t="e">
        <f t="shared" ca="1" si="164"/>
        <v>#N/A</v>
      </c>
      <c r="AM332" s="112">
        <f t="shared" ca="1" si="170"/>
        <v>100000</v>
      </c>
      <c r="AN332" s="112">
        <f t="shared" ca="1" si="165"/>
        <v>100000</v>
      </c>
      <c r="AO332" s="114">
        <f t="shared" ca="1" si="162"/>
        <v>0</v>
      </c>
      <c r="AP332" s="114">
        <f t="shared" ca="1" si="163"/>
        <v>0</v>
      </c>
      <c r="AR332" s="238">
        <f t="shared" si="166"/>
        <v>332</v>
      </c>
      <c r="AU332" s="238">
        <f t="shared" si="167"/>
        <v>313</v>
      </c>
      <c r="AV332" s="238"/>
      <c r="AW332" s="238"/>
      <c r="CM332" s="112"/>
      <c r="CN332" s="112"/>
      <c r="CQ332" s="112"/>
      <c r="CR332" s="112"/>
      <c r="CS332" s="112"/>
      <c r="CT332" s="112"/>
      <c r="CU332" s="112"/>
      <c r="CV332" s="112"/>
      <c r="CW332" s="112"/>
      <c r="CX332" s="112" t="s">
        <v>224</v>
      </c>
      <c r="CY332" s="112" t="s">
        <v>225</v>
      </c>
      <c r="CZ332" s="112" t="s">
        <v>226</v>
      </c>
      <c r="DA332" s="112" t="s">
        <v>227</v>
      </c>
      <c r="DB332" s="112" t="s">
        <v>228</v>
      </c>
      <c r="DC332" s="112"/>
      <c r="DD332" s="112"/>
      <c r="DE332" s="238"/>
      <c r="DF332" s="112"/>
      <c r="DG332" s="112"/>
      <c r="DH332" s="112"/>
      <c r="DI332" s="112"/>
      <c r="DJ332" s="112"/>
      <c r="DK332" s="112">
        <f t="shared" si="169"/>
        <v>100000</v>
      </c>
      <c r="DL332" s="112"/>
      <c r="DM332" s="112"/>
      <c r="DN332" s="112"/>
      <c r="DO332" s="112"/>
      <c r="DP332" s="112"/>
      <c r="DQ332" s="112"/>
      <c r="DR332" t="e">
        <f t="shared" si="168"/>
        <v>#N/A</v>
      </c>
    </row>
    <row r="333" spans="33:122" x14ac:dyDescent="0.25">
      <c r="AG333" s="238">
        <f>AG332</f>
        <v>82</v>
      </c>
      <c r="AH333" s="112" t="e">
        <f ca="1">AI332+1</f>
        <v>#N/A</v>
      </c>
      <c r="AI333" s="112" t="e">
        <f ca="1">IF(INDIRECT(CONCATENATE("AE",AG330))&lt;100000,INDIRECT(CONCATENATE("AE",G330)),INDIRECT(CONCATENATE("AF",AG330)))</f>
        <v>#N/A</v>
      </c>
      <c r="AJ333" s="114"/>
      <c r="AK333" s="114"/>
      <c r="AL333" s="238" t="e">
        <f t="shared" ca="1" si="164"/>
        <v>#N/A</v>
      </c>
      <c r="AM333" s="112">
        <f t="shared" ca="1" si="170"/>
        <v>100000</v>
      </c>
      <c r="AN333" s="112">
        <f t="shared" ca="1" si="165"/>
        <v>100000</v>
      </c>
      <c r="AO333" s="114">
        <f t="shared" ca="1" si="162"/>
        <v>0</v>
      </c>
      <c r="AP333" s="114">
        <f t="shared" ca="1" si="163"/>
        <v>0</v>
      </c>
      <c r="AR333" s="238">
        <f t="shared" si="166"/>
        <v>333</v>
      </c>
      <c r="AU333" s="238">
        <f t="shared" si="167"/>
        <v>314</v>
      </c>
      <c r="AV333" s="238"/>
      <c r="AW333" s="238"/>
      <c r="CM333" s="112"/>
      <c r="CN333" s="112"/>
      <c r="CQ333" s="112"/>
      <c r="CR333" s="112"/>
      <c r="CS333" s="112"/>
      <c r="CT333" s="112"/>
      <c r="CU333" s="112"/>
      <c r="CV333" s="112"/>
      <c r="CW333" s="112"/>
      <c r="CX333" s="112" t="s">
        <v>224</v>
      </c>
      <c r="CY333" s="112" t="s">
        <v>225</v>
      </c>
      <c r="CZ333" s="112" t="s">
        <v>226</v>
      </c>
      <c r="DA333" s="112" t="s">
        <v>227</v>
      </c>
      <c r="DB333" s="112" t="s">
        <v>228</v>
      </c>
      <c r="DC333" s="112"/>
      <c r="DD333" s="112"/>
      <c r="DE333" s="238"/>
      <c r="DF333" s="112"/>
      <c r="DG333" s="112"/>
      <c r="DH333" s="112"/>
      <c r="DI333" s="112"/>
      <c r="DJ333" s="112"/>
      <c r="DK333" s="112">
        <f t="shared" si="169"/>
        <v>100000</v>
      </c>
      <c r="DL333" s="112"/>
      <c r="DM333" s="112"/>
      <c r="DN333" s="112"/>
      <c r="DO333" s="112"/>
      <c r="DP333" s="112"/>
      <c r="DQ333" s="112"/>
      <c r="DR333" t="e">
        <f t="shared" si="168"/>
        <v>#N/A</v>
      </c>
    </row>
    <row r="334" spans="33:122" x14ac:dyDescent="0.25">
      <c r="AG334" s="238">
        <f>AG333</f>
        <v>82</v>
      </c>
      <c r="AH334" s="112" t="e">
        <f ca="1">AI333+1</f>
        <v>#N/A</v>
      </c>
      <c r="AI334" s="112">
        <f ca="1">INDIRECT(CONCATENATE("AF",AG330))</f>
        <v>100000</v>
      </c>
      <c r="AJ334" s="114"/>
      <c r="AK334" s="114"/>
      <c r="AL334" s="238" t="e">
        <f t="shared" ca="1" si="164"/>
        <v>#N/A</v>
      </c>
      <c r="AM334" s="112">
        <f t="shared" ca="1" si="170"/>
        <v>100000</v>
      </c>
      <c r="AN334" s="112">
        <f t="shared" ca="1" si="165"/>
        <v>100000</v>
      </c>
      <c r="AO334" s="114">
        <f t="shared" ca="1" si="162"/>
        <v>0</v>
      </c>
      <c r="AP334" s="114">
        <f t="shared" ca="1" si="163"/>
        <v>0</v>
      </c>
      <c r="AR334" s="238">
        <f t="shared" si="166"/>
        <v>334</v>
      </c>
      <c r="AU334" s="238">
        <f t="shared" si="167"/>
        <v>315</v>
      </c>
      <c r="AV334" s="238"/>
      <c r="AW334" s="238"/>
      <c r="CM334" s="112"/>
      <c r="CN334" s="112"/>
      <c r="CQ334" s="112"/>
      <c r="CR334" s="112"/>
      <c r="CS334" s="112"/>
      <c r="CT334" s="112"/>
      <c r="CU334" s="112"/>
      <c r="CV334" s="112"/>
      <c r="CW334" s="112"/>
      <c r="CX334" s="112" t="s">
        <v>224</v>
      </c>
      <c r="CY334" s="112" t="s">
        <v>225</v>
      </c>
      <c r="CZ334" s="112" t="s">
        <v>226</v>
      </c>
      <c r="DA334" s="112" t="s">
        <v>227</v>
      </c>
      <c r="DB334" s="112" t="s">
        <v>228</v>
      </c>
      <c r="DC334" s="112"/>
      <c r="DD334" s="112"/>
      <c r="DE334" s="238"/>
      <c r="DF334" s="112"/>
      <c r="DG334" s="112"/>
      <c r="DH334" s="112"/>
      <c r="DI334" s="112"/>
      <c r="DJ334" s="112"/>
      <c r="DK334" s="112">
        <f t="shared" si="169"/>
        <v>100000</v>
      </c>
      <c r="DL334" s="112"/>
      <c r="DM334" s="112"/>
      <c r="DN334" s="112"/>
      <c r="DO334" s="112"/>
      <c r="DP334" s="112"/>
      <c r="DQ334" s="112"/>
      <c r="DR334" t="e">
        <f t="shared" si="168"/>
        <v>#N/A</v>
      </c>
    </row>
    <row r="335" spans="33:122" x14ac:dyDescent="0.25">
      <c r="AG335" s="238">
        <f>AG334+1</f>
        <v>83</v>
      </c>
      <c r="AH335" s="112">
        <f ca="1">INDIRECT(CONCATENATE("AA",AG335))</f>
        <v>100000</v>
      </c>
      <c r="AI335" s="112" t="e">
        <f ca="1">IF(            INDIRECT(CONCATENATE( "AB",AG335))&lt;100000,       INDIRECT(CONCATENATE("AB",AG335))  -1,IF(   INDIRECT(CONCATENATE("AC",AG335))&lt;100000,   INDIRECT(CONCATENATE("AC",AG335))-1,IF(   INDIRECT(CONCATENATE("AD", AG335))&lt;100000, INDIRECT(CONCATENATE("AD",AG335))-1,IF(   INDIRECT(CONCATENATE("AE",AG335))&lt;100000,  INDIRECT(CONCATENATE("AE",G335)),INDIRECT(CONCATENATE("AF",AG335))                ))))</f>
        <v>#N/A</v>
      </c>
      <c r="AJ335" s="114"/>
      <c r="AK335" s="114"/>
      <c r="AL335" s="238" t="e">
        <f t="shared" ca="1" si="164"/>
        <v>#N/A</v>
      </c>
      <c r="AM335" s="112">
        <f t="shared" ca="1" si="170"/>
        <v>100000</v>
      </c>
      <c r="AN335" s="112">
        <f t="shared" ca="1" si="165"/>
        <v>100000</v>
      </c>
      <c r="AO335" s="114">
        <f t="shared" ca="1" si="162"/>
        <v>0</v>
      </c>
      <c r="AP335" s="114">
        <f t="shared" ca="1" si="163"/>
        <v>0</v>
      </c>
      <c r="AR335" s="238">
        <f t="shared" si="166"/>
        <v>335</v>
      </c>
      <c r="AU335" s="238">
        <f t="shared" si="167"/>
        <v>316</v>
      </c>
      <c r="AV335" s="238"/>
      <c r="AW335" s="238"/>
      <c r="CM335" s="112"/>
      <c r="CN335" s="112"/>
      <c r="CQ335" s="112"/>
      <c r="CR335" s="112"/>
      <c r="CS335" s="112"/>
      <c r="CT335" s="112"/>
      <c r="CU335" s="112"/>
      <c r="CV335" s="112"/>
      <c r="CW335" s="112"/>
      <c r="CX335" s="112" t="s">
        <v>224</v>
      </c>
      <c r="CY335" s="112" t="s">
        <v>225</v>
      </c>
      <c r="CZ335" s="112" t="s">
        <v>226</v>
      </c>
      <c r="DA335" s="112" t="s">
        <v>227</v>
      </c>
      <c r="DB335" s="112" t="s">
        <v>228</v>
      </c>
      <c r="DC335" s="112"/>
      <c r="DD335" s="112"/>
      <c r="DE335" s="238"/>
      <c r="DF335" s="112"/>
      <c r="DG335" s="112"/>
      <c r="DH335" s="112"/>
      <c r="DI335" s="112"/>
      <c r="DJ335" s="112"/>
      <c r="DK335" s="112">
        <f t="shared" si="169"/>
        <v>100000</v>
      </c>
      <c r="DL335" s="112"/>
      <c r="DM335" s="112"/>
      <c r="DN335" s="112"/>
      <c r="DO335" s="112"/>
      <c r="DP335" s="112"/>
      <c r="DQ335" s="112"/>
      <c r="DR335" t="e">
        <f t="shared" si="168"/>
        <v>#N/A</v>
      </c>
    </row>
    <row r="336" spans="33:122" x14ac:dyDescent="0.25">
      <c r="AG336" s="238">
        <f>AG335</f>
        <v>83</v>
      </c>
      <c r="AH336" s="112" t="e">
        <f ca="1">AI335+1</f>
        <v>#N/A</v>
      </c>
      <c r="AI336" s="112" t="e">
        <f ca="1">IF(INDIRECT(CONCATENATE("AC",AG335))&lt;100000,INDIRECT(CONCATENATE("AC",AG335))-1,IF(INDIRECT(CONCATENATE("AD",AG335))&lt;100000,INDIRECT(CONCATENATE("AD",AG335))-1,IF(INDIRECT(CONCATENATE("AE",AG335))&lt;100000,INDIRECT(CONCATENATE("AE",G335)),INDIRECT(CONCATENATE("AF",AG335)))))</f>
        <v>#N/A</v>
      </c>
      <c r="AJ336" s="114"/>
      <c r="AK336" s="114"/>
      <c r="AL336" s="238" t="e">
        <f t="shared" ca="1" si="164"/>
        <v>#N/A</v>
      </c>
      <c r="AM336" s="112">
        <f t="shared" ca="1" si="170"/>
        <v>100000</v>
      </c>
      <c r="AN336" s="112">
        <f t="shared" ca="1" si="165"/>
        <v>100000</v>
      </c>
      <c r="AO336" s="114">
        <f t="shared" ca="1" si="162"/>
        <v>0</v>
      </c>
      <c r="AP336" s="114">
        <f t="shared" ca="1" si="163"/>
        <v>0</v>
      </c>
      <c r="AR336" s="238">
        <f t="shared" si="166"/>
        <v>336</v>
      </c>
      <c r="AU336" s="238">
        <f t="shared" si="167"/>
        <v>317</v>
      </c>
      <c r="AV336" s="238"/>
      <c r="AW336" s="238"/>
      <c r="CM336" s="112"/>
      <c r="CN336" s="112"/>
      <c r="CQ336" s="112"/>
      <c r="CR336" s="112"/>
      <c r="CS336" s="112"/>
      <c r="CT336" s="112"/>
      <c r="CU336" s="112"/>
      <c r="CV336" s="112"/>
      <c r="CW336" s="112"/>
      <c r="CX336" s="112" t="s">
        <v>224</v>
      </c>
      <c r="CY336" s="112" t="s">
        <v>225</v>
      </c>
      <c r="CZ336" s="112" t="s">
        <v>226</v>
      </c>
      <c r="DA336" s="112" t="s">
        <v>227</v>
      </c>
      <c r="DB336" s="112" t="s">
        <v>228</v>
      </c>
      <c r="DC336" s="112"/>
      <c r="DD336" s="112"/>
      <c r="DE336" s="238"/>
      <c r="DF336" s="112"/>
      <c r="DG336" s="112"/>
      <c r="DH336" s="112"/>
      <c r="DI336" s="112"/>
      <c r="DJ336" s="112"/>
      <c r="DK336" s="112">
        <f t="shared" si="169"/>
        <v>100000</v>
      </c>
      <c r="DL336" s="112"/>
      <c r="DM336" s="112"/>
      <c r="DN336" s="112"/>
      <c r="DO336" s="112"/>
      <c r="DP336" s="112"/>
      <c r="DQ336" s="112"/>
      <c r="DR336" t="e">
        <f t="shared" si="168"/>
        <v>#N/A</v>
      </c>
    </row>
    <row r="337" spans="33:122" x14ac:dyDescent="0.25">
      <c r="AG337" s="238">
        <f>AG336</f>
        <v>83</v>
      </c>
      <c r="AH337" s="112" t="e">
        <f ca="1">AI336+1</f>
        <v>#N/A</v>
      </c>
      <c r="AI337" s="112" t="e">
        <f ca="1">IF(INDIRECT(CONCATENATE("AD",AG335))&lt;100000,INDIRECT(CONCATENATE("AD",AG335))-1,IF(INDIRECT(CONCATENATE("AE",AG335))&lt;100000,INDIRECT(CONCATENATE("AE",G335)),INDIRECT(CONCATENATE("AF",AG335))))</f>
        <v>#N/A</v>
      </c>
      <c r="AJ337" s="114"/>
      <c r="AK337" s="114"/>
      <c r="AL337" s="238" t="e">
        <f t="shared" ca="1" si="164"/>
        <v>#N/A</v>
      </c>
      <c r="AM337" s="112">
        <f t="shared" ca="1" si="170"/>
        <v>100000</v>
      </c>
      <c r="AN337" s="112">
        <f t="shared" ca="1" si="165"/>
        <v>100000</v>
      </c>
      <c r="AO337" s="114">
        <f t="shared" ca="1" si="162"/>
        <v>0</v>
      </c>
      <c r="AP337" s="114">
        <f t="shared" ca="1" si="163"/>
        <v>0</v>
      </c>
      <c r="AR337" s="238">
        <f t="shared" si="166"/>
        <v>337</v>
      </c>
      <c r="AU337" s="238">
        <f t="shared" si="167"/>
        <v>318</v>
      </c>
      <c r="AV337" s="238"/>
      <c r="AW337" s="238"/>
      <c r="CM337" s="112"/>
      <c r="CN337" s="112"/>
      <c r="CQ337" s="112"/>
      <c r="CR337" s="112"/>
      <c r="CS337" s="112"/>
      <c r="CT337" s="112"/>
      <c r="CU337" s="112"/>
      <c r="CV337" s="112"/>
      <c r="CW337" s="112"/>
      <c r="CX337" s="112" t="s">
        <v>224</v>
      </c>
      <c r="CY337" s="112" t="s">
        <v>225</v>
      </c>
      <c r="CZ337" s="112" t="s">
        <v>226</v>
      </c>
      <c r="DA337" s="112" t="s">
        <v>227</v>
      </c>
      <c r="DB337" s="112" t="s">
        <v>228</v>
      </c>
      <c r="DC337" s="112"/>
      <c r="DD337" s="112"/>
      <c r="DE337" s="238"/>
      <c r="DF337" s="112"/>
      <c r="DG337" s="112"/>
      <c r="DH337" s="112"/>
      <c r="DI337" s="112"/>
      <c r="DJ337" s="112"/>
      <c r="DK337" s="112">
        <f t="shared" si="169"/>
        <v>100000</v>
      </c>
      <c r="DL337" s="112"/>
      <c r="DM337" s="112"/>
      <c r="DN337" s="112"/>
      <c r="DO337" s="112"/>
      <c r="DP337" s="112"/>
      <c r="DQ337" s="112"/>
      <c r="DR337" t="e">
        <f t="shared" si="168"/>
        <v>#N/A</v>
      </c>
    </row>
    <row r="338" spans="33:122" x14ac:dyDescent="0.25">
      <c r="AG338" s="238">
        <f>AG337</f>
        <v>83</v>
      </c>
      <c r="AH338" s="112" t="e">
        <f ca="1">AI337+1</f>
        <v>#N/A</v>
      </c>
      <c r="AI338" s="112" t="e">
        <f ca="1">IF(INDIRECT(CONCATENATE("AE",AG335))&lt;100000,INDIRECT(CONCATENATE("AE",G335)),INDIRECT(CONCATENATE("AF",AG335)))</f>
        <v>#N/A</v>
      </c>
      <c r="AJ338" s="114"/>
      <c r="AK338" s="114"/>
      <c r="AL338" s="238" t="e">
        <f t="shared" ca="1" si="164"/>
        <v>#N/A</v>
      </c>
      <c r="AM338" s="112">
        <f t="shared" ca="1" si="170"/>
        <v>100000</v>
      </c>
      <c r="AN338" s="112">
        <f t="shared" ca="1" si="165"/>
        <v>100000</v>
      </c>
      <c r="AO338" s="114">
        <f t="shared" ca="1" si="162"/>
        <v>0</v>
      </c>
      <c r="AP338" s="114">
        <f t="shared" ca="1" si="163"/>
        <v>0</v>
      </c>
      <c r="AR338" s="238">
        <f t="shared" si="166"/>
        <v>338</v>
      </c>
      <c r="AU338" s="238">
        <f t="shared" si="167"/>
        <v>319</v>
      </c>
      <c r="AV338" s="238"/>
      <c r="AW338" s="238"/>
      <c r="CM338" s="112"/>
      <c r="CN338" s="112"/>
      <c r="CQ338" s="112"/>
      <c r="CR338" s="112"/>
      <c r="CS338" s="112"/>
      <c r="CT338" s="112"/>
      <c r="CU338" s="112"/>
      <c r="CV338" s="112"/>
      <c r="CW338" s="112"/>
      <c r="CX338" s="112" t="s">
        <v>224</v>
      </c>
      <c r="CY338" s="112" t="s">
        <v>225</v>
      </c>
      <c r="CZ338" s="112" t="s">
        <v>226</v>
      </c>
      <c r="DA338" s="112" t="s">
        <v>227</v>
      </c>
      <c r="DB338" s="112" t="s">
        <v>228</v>
      </c>
      <c r="DC338" s="112"/>
      <c r="DD338" s="112"/>
      <c r="DE338" s="238"/>
      <c r="DF338" s="112"/>
      <c r="DG338" s="112"/>
      <c r="DH338" s="112"/>
      <c r="DI338" s="112"/>
      <c r="DJ338" s="112"/>
      <c r="DK338" s="112">
        <f t="shared" si="169"/>
        <v>100000</v>
      </c>
      <c r="DL338" s="112"/>
      <c r="DM338" s="112"/>
      <c r="DN338" s="112"/>
      <c r="DO338" s="112"/>
      <c r="DP338" s="112"/>
      <c r="DQ338" s="112"/>
      <c r="DR338" t="e">
        <f t="shared" si="168"/>
        <v>#N/A</v>
      </c>
    </row>
    <row r="339" spans="33:122" x14ac:dyDescent="0.25">
      <c r="AG339" s="238">
        <f>AG338</f>
        <v>83</v>
      </c>
      <c r="AH339" s="112" t="e">
        <f ca="1">AI338+1</f>
        <v>#N/A</v>
      </c>
      <c r="AI339" s="112">
        <f ca="1">INDIRECT(CONCATENATE("AF",AG335))</f>
        <v>100000</v>
      </c>
      <c r="AJ339" s="114"/>
      <c r="AK339" s="114"/>
      <c r="AL339" s="238" t="e">
        <f t="shared" ca="1" si="164"/>
        <v>#N/A</v>
      </c>
      <c r="AM339" s="112">
        <f t="shared" ca="1" si="170"/>
        <v>100000</v>
      </c>
      <c r="AN339" s="112">
        <f t="shared" ca="1" si="165"/>
        <v>100000</v>
      </c>
      <c r="AO339" s="114">
        <f t="shared" ca="1" si="162"/>
        <v>0</v>
      </c>
      <c r="AP339" s="114">
        <f t="shared" ca="1" si="163"/>
        <v>0</v>
      </c>
      <c r="AR339" s="238">
        <f t="shared" si="166"/>
        <v>339</v>
      </c>
      <c r="AU339" s="238">
        <f t="shared" si="167"/>
        <v>320</v>
      </c>
      <c r="AV339" s="238"/>
      <c r="AW339" s="238"/>
      <c r="CM339" s="112"/>
      <c r="CN339" s="112"/>
      <c r="CQ339" s="112"/>
      <c r="CR339" s="112"/>
      <c r="CS339" s="112"/>
      <c r="CT339" s="112"/>
      <c r="CU339" s="112"/>
      <c r="CV339" s="112"/>
      <c r="CW339" s="112"/>
      <c r="CX339" s="112" t="s">
        <v>224</v>
      </c>
      <c r="CY339" s="112" t="s">
        <v>225</v>
      </c>
      <c r="CZ339" s="112" t="s">
        <v>226</v>
      </c>
      <c r="DA339" s="112" t="s">
        <v>227</v>
      </c>
      <c r="DB339" s="112" t="s">
        <v>228</v>
      </c>
      <c r="DC339" s="112"/>
      <c r="DD339" s="112"/>
      <c r="DE339" s="238"/>
      <c r="DF339" s="112"/>
      <c r="DG339" s="112"/>
      <c r="DH339" s="112"/>
      <c r="DI339" s="112"/>
      <c r="DJ339" s="112"/>
      <c r="DK339" s="112">
        <f t="shared" si="169"/>
        <v>100000</v>
      </c>
      <c r="DL339" s="112"/>
      <c r="DM339" s="112"/>
      <c r="DN339" s="112"/>
      <c r="DO339" s="112"/>
      <c r="DP339" s="112"/>
      <c r="DQ339" s="112"/>
      <c r="DR339" t="e">
        <f t="shared" si="168"/>
        <v>#N/A</v>
      </c>
    </row>
    <row r="340" spans="33:122" x14ac:dyDescent="0.25">
      <c r="AG340" s="238">
        <f>AG339+1</f>
        <v>84</v>
      </c>
      <c r="AH340" s="112">
        <f ca="1">INDIRECT(CONCATENATE("AA",AG340))</f>
        <v>100000</v>
      </c>
      <c r="AI340" s="112" t="e">
        <f ca="1">IF(            INDIRECT(CONCATENATE( "AB",AG340))&lt;100000,       INDIRECT(CONCATENATE("AB",AG340))  -1,IF(   INDIRECT(CONCATENATE("AC",AG340))&lt;100000,   INDIRECT(CONCATENATE("AC",AG340))-1,IF(   INDIRECT(CONCATENATE("AD", AG340))&lt;100000, INDIRECT(CONCATENATE("AD",AG340))-1,IF(   INDIRECT(CONCATENATE("AE",AG340))&lt;100000,  INDIRECT(CONCATENATE("AE",G340)),INDIRECT(CONCATENATE("AF",AG340))                ))))</f>
        <v>#N/A</v>
      </c>
      <c r="AJ340" s="114"/>
      <c r="AK340" s="114"/>
      <c r="AL340" s="238" t="e">
        <f t="shared" ca="1" si="164"/>
        <v>#N/A</v>
      </c>
      <c r="AM340" s="112">
        <f t="shared" ca="1" si="170"/>
        <v>100000</v>
      </c>
      <c r="AN340" s="112">
        <f t="shared" ca="1" si="165"/>
        <v>100000</v>
      </c>
      <c r="AO340" s="114">
        <f t="shared" ca="1" si="162"/>
        <v>0</v>
      </c>
      <c r="AP340" s="114">
        <f t="shared" ca="1" si="163"/>
        <v>0</v>
      </c>
      <c r="AR340" s="238">
        <f t="shared" si="166"/>
        <v>340</v>
      </c>
      <c r="AU340" s="238">
        <f t="shared" si="167"/>
        <v>321</v>
      </c>
      <c r="AV340" s="238"/>
      <c r="AW340" s="238"/>
      <c r="CM340" s="112"/>
      <c r="CN340" s="112"/>
      <c r="CQ340" s="112"/>
      <c r="CR340" s="112"/>
      <c r="CS340" s="112"/>
      <c r="CT340" s="112"/>
      <c r="CU340" s="112"/>
      <c r="CV340" s="112"/>
      <c r="CW340" s="112"/>
      <c r="CX340" s="112" t="s">
        <v>224</v>
      </c>
      <c r="CY340" s="112" t="s">
        <v>225</v>
      </c>
      <c r="CZ340" s="112" t="s">
        <v>226</v>
      </c>
      <c r="DA340" s="112" t="s">
        <v>227</v>
      </c>
      <c r="DB340" s="112" t="s">
        <v>228</v>
      </c>
      <c r="DC340" s="112"/>
      <c r="DD340" s="112"/>
      <c r="DE340" s="238"/>
      <c r="DF340" s="112"/>
      <c r="DG340" s="112"/>
      <c r="DH340" s="112"/>
      <c r="DI340" s="112"/>
      <c r="DJ340" s="112"/>
      <c r="DK340" s="112">
        <f t="shared" si="169"/>
        <v>100000</v>
      </c>
      <c r="DL340" s="112"/>
      <c r="DM340" s="112"/>
      <c r="DN340" s="112"/>
      <c r="DO340" s="112"/>
      <c r="DP340" s="112"/>
      <c r="DQ340" s="112"/>
      <c r="DR340" t="e">
        <f t="shared" si="168"/>
        <v>#N/A</v>
      </c>
    </row>
    <row r="341" spans="33:122" x14ac:dyDescent="0.25">
      <c r="AG341" s="238">
        <f>AG340</f>
        <v>84</v>
      </c>
      <c r="AH341" s="112" t="e">
        <f ca="1">AI340+1</f>
        <v>#N/A</v>
      </c>
      <c r="AI341" s="112" t="e">
        <f ca="1">IF(INDIRECT(CONCATENATE("AC",AG340))&lt;100000,INDIRECT(CONCATENATE("AC",AG340))-1,IF(INDIRECT(CONCATENATE("AD",AG340))&lt;100000,INDIRECT(CONCATENATE("AD",AG340))-1,IF(INDIRECT(CONCATENATE("AE",AG340))&lt;100000,INDIRECT(CONCATENATE("AE",G340)),INDIRECT(CONCATENATE("AF",AG340)))))</f>
        <v>#N/A</v>
      </c>
      <c r="AJ341" s="114"/>
      <c r="AK341" s="114"/>
      <c r="AL341" s="238" t="e">
        <f t="shared" ca="1" si="164"/>
        <v>#N/A</v>
      </c>
      <c r="AM341" s="112">
        <f t="shared" ca="1" si="170"/>
        <v>100000</v>
      </c>
      <c r="AN341" s="112">
        <f t="shared" ca="1" si="165"/>
        <v>100000</v>
      </c>
      <c r="AO341" s="114">
        <f t="shared" ref="AO341:AO404" ca="1" si="171">INDIRECT(CONCATENATE("H",AG341))</f>
        <v>0</v>
      </c>
      <c r="AP341" s="114">
        <f t="shared" ref="AP341:AP404" ca="1" si="172">INDIRECT(CONCATENATE("J",AG341))</f>
        <v>0</v>
      </c>
      <c r="AR341" s="238">
        <f t="shared" si="166"/>
        <v>341</v>
      </c>
      <c r="AU341" s="238">
        <f t="shared" si="167"/>
        <v>322</v>
      </c>
      <c r="AV341" s="238"/>
      <c r="AW341" s="238"/>
      <c r="CM341" s="112"/>
      <c r="CN341" s="112"/>
      <c r="CQ341" s="112"/>
      <c r="CR341" s="112"/>
      <c r="CS341" s="112"/>
      <c r="CT341" s="112"/>
      <c r="CU341" s="112"/>
      <c r="CV341" s="112"/>
      <c r="CW341" s="112"/>
      <c r="CX341" s="112" t="s">
        <v>224</v>
      </c>
      <c r="CY341" s="112" t="s">
        <v>225</v>
      </c>
      <c r="CZ341" s="112" t="s">
        <v>226</v>
      </c>
      <c r="DA341" s="112" t="s">
        <v>227</v>
      </c>
      <c r="DB341" s="112" t="s">
        <v>228</v>
      </c>
      <c r="DC341" s="112"/>
      <c r="DD341" s="112"/>
      <c r="DE341" s="238"/>
      <c r="DF341" s="112"/>
      <c r="DG341" s="112"/>
      <c r="DH341" s="112"/>
      <c r="DI341" s="112"/>
      <c r="DJ341" s="112"/>
      <c r="DK341" s="112">
        <f>IF(AND(DG341&gt;1000,DG341&lt;80000),DG341,100000)</f>
        <v>100000</v>
      </c>
      <c r="DL341" s="112"/>
      <c r="DM341" s="112"/>
      <c r="DN341" s="112"/>
      <c r="DO341" s="112"/>
      <c r="DP341" s="112"/>
      <c r="DQ341" s="112"/>
      <c r="DR341" t="e">
        <f t="shared" si="168"/>
        <v>#N/A</v>
      </c>
    </row>
    <row r="342" spans="33:122" x14ac:dyDescent="0.25">
      <c r="AG342" s="238">
        <f>AG341</f>
        <v>84</v>
      </c>
      <c r="AH342" s="112" t="e">
        <f ca="1">AI341+1</f>
        <v>#N/A</v>
      </c>
      <c r="AI342" s="112" t="e">
        <f ca="1">IF(INDIRECT(CONCATENATE("AD",AG340))&lt;100000,INDIRECT(CONCATENATE("AD",AG340))-1,IF(INDIRECT(CONCATENATE("AE",AG340))&lt;100000,INDIRECT(CONCATENATE("AE",G340)),INDIRECT(CONCATENATE("AF",AG340))))</f>
        <v>#N/A</v>
      </c>
      <c r="AJ342" s="114"/>
      <c r="AK342" s="114"/>
      <c r="AL342" s="238" t="e">
        <f t="shared" ref="AL342:AL405" ca="1" si="173">IF(AI342=AI341,0,1)</f>
        <v>#N/A</v>
      </c>
      <c r="AM342" s="112">
        <f t="shared" ca="1" si="170"/>
        <v>100000</v>
      </c>
      <c r="AN342" s="112">
        <f t="shared" ref="AN342:AN405" ca="1" si="174">IF(AM342=100000,100000,AI342)</f>
        <v>100000</v>
      </c>
      <c r="AO342" s="114">
        <f t="shared" ca="1" si="171"/>
        <v>0</v>
      </c>
      <c r="AP342" s="114">
        <f t="shared" ca="1" si="172"/>
        <v>0</v>
      </c>
      <c r="AR342" s="238">
        <f t="shared" ref="AR342:AR405" si="175">AR341+1</f>
        <v>342</v>
      </c>
      <c r="AU342" s="238">
        <f t="shared" ref="AU342:AU404" si="176">AU341+1</f>
        <v>323</v>
      </c>
      <c r="AV342" s="238"/>
      <c r="AW342" s="238"/>
      <c r="CM342" s="112"/>
      <c r="CN342" s="112"/>
      <c r="CQ342" s="112"/>
      <c r="CR342" s="112"/>
      <c r="CS342" s="112"/>
      <c r="CT342" s="112"/>
      <c r="CU342" s="112"/>
      <c r="CV342" s="112"/>
      <c r="CW342" s="112"/>
      <c r="CX342" s="112" t="s">
        <v>224</v>
      </c>
      <c r="CY342" s="112" t="s">
        <v>225</v>
      </c>
      <c r="CZ342" s="112" t="s">
        <v>226</v>
      </c>
      <c r="DA342" s="112" t="s">
        <v>227</v>
      </c>
      <c r="DB342" s="112" t="s">
        <v>228</v>
      </c>
      <c r="DC342" s="112"/>
      <c r="DD342" s="112"/>
      <c r="DE342" s="238"/>
      <c r="DF342" s="112"/>
      <c r="DG342" s="112"/>
      <c r="DH342" s="112"/>
      <c r="DI342" s="112"/>
      <c r="DJ342" s="112"/>
      <c r="DK342" s="112">
        <f>IF(AND(DG342&gt;1000,DG342&lt;80000),DG342,100000)</f>
        <v>100000</v>
      </c>
      <c r="DL342" s="112"/>
      <c r="DM342" s="112"/>
      <c r="DN342" s="112"/>
      <c r="DO342" s="112"/>
      <c r="DP342" s="112"/>
      <c r="DQ342" s="112"/>
      <c r="DR342" t="e">
        <f>VLOOKUP(CQ342,$F$20:$H$138,3)</f>
        <v>#N/A</v>
      </c>
    </row>
    <row r="343" spans="33:122" x14ac:dyDescent="0.25">
      <c r="AG343" s="238">
        <f>AG342</f>
        <v>84</v>
      </c>
      <c r="AH343" s="112" t="e">
        <f ca="1">AI342+1</f>
        <v>#N/A</v>
      </c>
      <c r="AI343" s="112" t="e">
        <f ca="1">IF(INDIRECT(CONCATENATE("AE",AG340))&lt;100000,INDIRECT(CONCATENATE("AE",G340)),INDIRECT(CONCATENATE("AF",AG340)))</f>
        <v>#N/A</v>
      </c>
      <c r="AJ343" s="114"/>
      <c r="AK343" s="114"/>
      <c r="AL343" s="238" t="e">
        <f t="shared" ca="1" si="173"/>
        <v>#N/A</v>
      </c>
      <c r="AM343" s="112">
        <f t="shared" ca="1" si="170"/>
        <v>100000</v>
      </c>
      <c r="AN343" s="112">
        <f t="shared" ca="1" si="174"/>
        <v>100000</v>
      </c>
      <c r="AO343" s="114">
        <f t="shared" ca="1" si="171"/>
        <v>0</v>
      </c>
      <c r="AP343" s="114">
        <f t="shared" ca="1" si="172"/>
        <v>0</v>
      </c>
      <c r="AR343" s="238">
        <f t="shared" si="175"/>
        <v>343</v>
      </c>
      <c r="AU343" s="238">
        <f t="shared" si="176"/>
        <v>324</v>
      </c>
      <c r="AV343" s="238"/>
      <c r="AW343" s="238"/>
      <c r="CM343" s="112"/>
      <c r="CN343" s="112"/>
      <c r="CQ343" s="112"/>
      <c r="CR343" s="112"/>
      <c r="CS343" s="112"/>
      <c r="CT343" s="112"/>
      <c r="CU343" s="112"/>
      <c r="CV343" s="112"/>
      <c r="CW343" s="112"/>
      <c r="CX343" s="112" t="s">
        <v>224</v>
      </c>
      <c r="CY343" s="112" t="s">
        <v>225</v>
      </c>
      <c r="CZ343" s="112" t="s">
        <v>226</v>
      </c>
      <c r="DA343" s="112" t="s">
        <v>227</v>
      </c>
      <c r="DB343" s="112" t="s">
        <v>228</v>
      </c>
      <c r="DC343" s="112"/>
      <c r="DD343" s="112"/>
      <c r="DE343" s="238"/>
      <c r="DF343" s="112"/>
      <c r="DG343" s="112"/>
      <c r="DH343" s="112"/>
      <c r="DI343" s="112"/>
      <c r="DJ343" s="112"/>
      <c r="DK343" s="112">
        <f>IF(AND(DG343&gt;1000,DG343&lt;80000),DG343,100000)</f>
        <v>100000</v>
      </c>
      <c r="DL343" s="112"/>
      <c r="DM343" s="112"/>
      <c r="DN343" s="112"/>
      <c r="DO343" s="112"/>
      <c r="DP343" s="112"/>
      <c r="DQ343" s="112"/>
      <c r="DR343" t="e">
        <f>VLOOKUP(CQ343,$F$20:$H$138,3)</f>
        <v>#N/A</v>
      </c>
    </row>
    <row r="344" spans="33:122" x14ac:dyDescent="0.25">
      <c r="AG344" s="238">
        <f>AG343</f>
        <v>84</v>
      </c>
      <c r="AH344" s="112" t="e">
        <f ca="1">AI343+1</f>
        <v>#N/A</v>
      </c>
      <c r="AI344" s="112">
        <f ca="1">INDIRECT(CONCATENATE("AF",AG340))</f>
        <v>100000</v>
      </c>
      <c r="AJ344" s="114"/>
      <c r="AK344" s="114"/>
      <c r="AL344" s="238" t="e">
        <f t="shared" ca="1" si="173"/>
        <v>#N/A</v>
      </c>
      <c r="AM344" s="112">
        <f t="shared" ca="1" si="170"/>
        <v>100000</v>
      </c>
      <c r="AN344" s="112">
        <f t="shared" ca="1" si="174"/>
        <v>100000</v>
      </c>
      <c r="AO344" s="114">
        <f t="shared" ca="1" si="171"/>
        <v>0</v>
      </c>
      <c r="AP344" s="114">
        <f t="shared" ca="1" si="172"/>
        <v>0</v>
      </c>
      <c r="AR344" s="238">
        <f t="shared" si="175"/>
        <v>344</v>
      </c>
      <c r="AU344" s="238">
        <f t="shared" si="176"/>
        <v>325</v>
      </c>
      <c r="AV344" s="238"/>
      <c r="AW344" s="238"/>
      <c r="CM344" s="112"/>
      <c r="CN344" s="112"/>
      <c r="CQ344" s="112"/>
      <c r="CR344" s="112"/>
      <c r="CS344" s="112"/>
      <c r="CT344" s="112"/>
      <c r="CU344" s="112"/>
      <c r="CV344" s="112"/>
      <c r="CW344" s="112"/>
      <c r="CX344" s="112" t="s">
        <v>224</v>
      </c>
      <c r="CY344" s="112" t="s">
        <v>225</v>
      </c>
      <c r="CZ344" s="112" t="s">
        <v>226</v>
      </c>
      <c r="DA344" s="112" t="s">
        <v>227</v>
      </c>
      <c r="DB344" s="112" t="s">
        <v>228</v>
      </c>
      <c r="DC344" s="112"/>
      <c r="DD344" s="112"/>
      <c r="DE344" s="112"/>
      <c r="DF344" s="112"/>
      <c r="DG344" s="112"/>
      <c r="DH344" s="112"/>
      <c r="DI344" s="112"/>
      <c r="DJ344" s="112"/>
      <c r="DK344" s="112"/>
      <c r="DL344" s="112"/>
      <c r="DM344" s="112"/>
      <c r="DN344" s="112"/>
      <c r="DO344" s="112"/>
      <c r="DP344" s="112"/>
      <c r="DQ344" s="112"/>
      <c r="DR344" t="e">
        <f>VLOOKUP(CQ344,$F$20:$H$138,3)</f>
        <v>#N/A</v>
      </c>
    </row>
    <row r="345" spans="33:122" x14ac:dyDescent="0.25">
      <c r="AG345" s="238">
        <f>AG344+1</f>
        <v>85</v>
      </c>
      <c r="AH345" s="112">
        <f ca="1">INDIRECT(CONCATENATE("AA",AG345))</f>
        <v>100000</v>
      </c>
      <c r="AI345" s="112" t="e">
        <f ca="1">IF(            INDIRECT(CONCATENATE( "AB",AG345))&lt;100000,       INDIRECT(CONCATENATE("AB",AG345))  -1,IF(   INDIRECT(CONCATENATE("AC",AG345))&lt;100000,   INDIRECT(CONCATENATE("AC",AG345))-1,IF(   INDIRECT(CONCATENATE("AD", AG345))&lt;100000, INDIRECT(CONCATENATE("AD",AG345))-1,IF(   INDIRECT(CONCATENATE("AE",AG345))&lt;100000,  INDIRECT(CONCATENATE("AE",G345)),INDIRECT(CONCATENATE("AF",AG345))                ))))</f>
        <v>#N/A</v>
      </c>
      <c r="AJ345" s="114"/>
      <c r="AK345" s="114"/>
      <c r="AL345" s="238" t="e">
        <f t="shared" ca="1" si="173"/>
        <v>#N/A</v>
      </c>
      <c r="AM345" s="112">
        <f t="shared" ca="1" si="170"/>
        <v>100000</v>
      </c>
      <c r="AN345" s="112">
        <f t="shared" ca="1" si="174"/>
        <v>100000</v>
      </c>
      <c r="AO345" s="114">
        <f t="shared" ca="1" si="171"/>
        <v>0</v>
      </c>
      <c r="AP345" s="114">
        <f t="shared" ca="1" si="172"/>
        <v>0</v>
      </c>
      <c r="AR345" s="238">
        <f t="shared" si="175"/>
        <v>345</v>
      </c>
      <c r="AU345" s="238">
        <f t="shared" si="176"/>
        <v>326</v>
      </c>
      <c r="AV345" s="238"/>
      <c r="AW345" s="238"/>
      <c r="CM345" s="112"/>
      <c r="CN345" s="112"/>
      <c r="CQ345" s="112"/>
      <c r="CR345" s="112"/>
      <c r="CS345" s="112"/>
      <c r="CT345" s="112"/>
      <c r="CU345" s="112"/>
      <c r="CV345" s="112"/>
      <c r="CW345" s="112"/>
      <c r="CX345" s="112" t="s">
        <v>224</v>
      </c>
      <c r="CY345" s="112" t="s">
        <v>225</v>
      </c>
      <c r="CZ345" s="112" t="s">
        <v>226</v>
      </c>
      <c r="DA345" s="112" t="s">
        <v>227</v>
      </c>
      <c r="DB345" s="112" t="s">
        <v>228</v>
      </c>
      <c r="DC345" s="112"/>
      <c r="DD345" s="112"/>
      <c r="DE345" s="112"/>
      <c r="DF345" s="112"/>
      <c r="DG345" s="112"/>
      <c r="DH345" s="112"/>
      <c r="DI345" s="112"/>
      <c r="DJ345" s="112"/>
      <c r="DK345" s="112"/>
      <c r="DL345" s="112"/>
      <c r="DM345" s="112"/>
      <c r="DN345" s="112"/>
      <c r="DO345" s="112"/>
      <c r="DP345" s="112"/>
      <c r="DQ345" s="112"/>
      <c r="DR345" t="e">
        <f>VLOOKUP(CQ345,$F$20:$H$138,3)</f>
        <v>#N/A</v>
      </c>
    </row>
    <row r="346" spans="33:122" x14ac:dyDescent="0.25">
      <c r="AG346" s="238">
        <f>AG345</f>
        <v>85</v>
      </c>
      <c r="AH346" s="112" t="e">
        <f ca="1">AI345+1</f>
        <v>#N/A</v>
      </c>
      <c r="AI346" s="112" t="e">
        <f ca="1">IF(INDIRECT(CONCATENATE("AC",AG345))&lt;100000,INDIRECT(CONCATENATE("AC",AG345))-1,IF(INDIRECT(CONCATENATE("AD",AG345))&lt;100000,INDIRECT(CONCATENATE("AD",AG345))-1,IF(INDIRECT(CONCATENATE("AE",AG345))&lt;100000,INDIRECT(CONCATENATE("AE",G345)),INDIRECT(CONCATENATE("AF",AG345)))))</f>
        <v>#N/A</v>
      </c>
      <c r="AJ346" s="114"/>
      <c r="AK346" s="114"/>
      <c r="AL346" s="238" t="e">
        <f t="shared" ca="1" si="173"/>
        <v>#N/A</v>
      </c>
      <c r="AM346" s="112">
        <f t="shared" ca="1" si="170"/>
        <v>100000</v>
      </c>
      <c r="AN346" s="112">
        <f t="shared" ca="1" si="174"/>
        <v>100000</v>
      </c>
      <c r="AO346" s="114">
        <f t="shared" ca="1" si="171"/>
        <v>0</v>
      </c>
      <c r="AP346" s="114">
        <f t="shared" ca="1" si="172"/>
        <v>0</v>
      </c>
      <c r="AR346" s="238">
        <f t="shared" si="175"/>
        <v>346</v>
      </c>
      <c r="AU346" s="238">
        <f t="shared" si="176"/>
        <v>327</v>
      </c>
      <c r="AV346" s="238"/>
      <c r="AW346" s="238"/>
      <c r="CM346" s="112"/>
      <c r="CN346" s="112"/>
      <c r="CQ346" s="112"/>
      <c r="CR346" s="112"/>
      <c r="CS346" s="112"/>
      <c r="CT346" s="112"/>
      <c r="CU346" s="112"/>
      <c r="CV346" s="112"/>
      <c r="CW346" s="112"/>
      <c r="CX346" s="112" t="s">
        <v>224</v>
      </c>
      <c r="CY346" s="112" t="s">
        <v>225</v>
      </c>
      <c r="CZ346" s="112" t="s">
        <v>226</v>
      </c>
      <c r="DA346" s="112" t="s">
        <v>227</v>
      </c>
      <c r="DB346" s="112" t="s">
        <v>228</v>
      </c>
      <c r="DC346" s="112"/>
      <c r="DD346" s="112"/>
      <c r="DE346" s="112"/>
      <c r="DF346" s="112"/>
      <c r="DG346" s="112"/>
      <c r="DH346" s="112"/>
      <c r="DI346" s="112"/>
      <c r="DJ346" s="112"/>
      <c r="DK346" s="112"/>
      <c r="DL346" s="112"/>
      <c r="DM346" s="112"/>
      <c r="DN346" s="112"/>
      <c r="DO346" s="112"/>
      <c r="DP346" s="112"/>
      <c r="DQ346" s="112"/>
      <c r="DR346" t="e">
        <f>VLOOKUP(CQ346,$F$20:$H$138,3)</f>
        <v>#N/A</v>
      </c>
    </row>
    <row r="347" spans="33:122" x14ac:dyDescent="0.25">
      <c r="AG347" s="238">
        <f>AG346</f>
        <v>85</v>
      </c>
      <c r="AH347" s="112" t="e">
        <f ca="1">AI346+1</f>
        <v>#N/A</v>
      </c>
      <c r="AI347" s="112" t="e">
        <f ca="1">IF(INDIRECT(CONCATENATE("AD",AG345))&lt;100000,INDIRECT(CONCATENATE("AD",AG345))-1,IF(INDIRECT(CONCATENATE("AE",AG345))&lt;100000,INDIRECT(CONCATENATE("AE",G345)),INDIRECT(CONCATENATE("AF",AG345))))</f>
        <v>#N/A</v>
      </c>
      <c r="AJ347" s="114"/>
      <c r="AK347" s="114"/>
      <c r="AL347" s="238" t="e">
        <f t="shared" ca="1" si="173"/>
        <v>#N/A</v>
      </c>
      <c r="AM347" s="112">
        <f t="shared" ca="1" si="170"/>
        <v>100000</v>
      </c>
      <c r="AN347" s="112">
        <f t="shared" ca="1" si="174"/>
        <v>100000</v>
      </c>
      <c r="AO347" s="114">
        <f t="shared" ca="1" si="171"/>
        <v>0</v>
      </c>
      <c r="AP347" s="114">
        <f t="shared" ca="1" si="172"/>
        <v>0</v>
      </c>
      <c r="AR347" s="238">
        <f t="shared" si="175"/>
        <v>347</v>
      </c>
      <c r="AU347" s="238">
        <f t="shared" si="176"/>
        <v>328</v>
      </c>
      <c r="AV347" s="238"/>
      <c r="AW347" s="238"/>
      <c r="CL347" s="112"/>
      <c r="CM347" s="112"/>
      <c r="CP347" s="112"/>
      <c r="CQ347" s="112"/>
      <c r="CR347" s="112"/>
      <c r="CS347" s="112"/>
      <c r="CT347" s="112"/>
      <c r="CU347" s="112"/>
      <c r="CV347" s="112"/>
      <c r="CW347" s="112" t="s">
        <v>224</v>
      </c>
      <c r="CX347" s="112" t="s">
        <v>225</v>
      </c>
      <c r="CY347" s="112" t="s">
        <v>226</v>
      </c>
      <c r="CZ347" s="112" t="s">
        <v>227</v>
      </c>
      <c r="DA347" s="112" t="s">
        <v>228</v>
      </c>
      <c r="DB347" s="112" t="s">
        <v>229</v>
      </c>
      <c r="DC347" s="112"/>
      <c r="DD347" s="112"/>
      <c r="DE347" s="112"/>
      <c r="DF347" s="112"/>
      <c r="DG347" s="112"/>
      <c r="DH347" s="112"/>
      <c r="DI347" s="112"/>
      <c r="DJ347" s="112"/>
      <c r="DK347" s="112"/>
      <c r="DL347" s="112"/>
      <c r="DM347" s="112"/>
      <c r="DN347" s="112"/>
      <c r="DO347" s="112"/>
      <c r="DP347" s="112"/>
      <c r="DQ347" t="e">
        <f t="shared" ref="DQ347:DQ356" si="177">VLOOKUP(CP347,$F$20:$H$138,3)</f>
        <v>#N/A</v>
      </c>
    </row>
    <row r="348" spans="33:122" x14ac:dyDescent="0.25">
      <c r="AG348" s="238">
        <f>AG347</f>
        <v>85</v>
      </c>
      <c r="AH348" s="112" t="e">
        <f ca="1">AI347+1</f>
        <v>#N/A</v>
      </c>
      <c r="AI348" s="112" t="e">
        <f ca="1">IF(INDIRECT(CONCATENATE("AE",AG345))&lt;100000,INDIRECT(CONCATENATE("AE",G345)),INDIRECT(CONCATENATE("AF",AG345)))</f>
        <v>#N/A</v>
      </c>
      <c r="AJ348" s="114"/>
      <c r="AK348" s="114"/>
      <c r="AL348" s="238" t="e">
        <f t="shared" ca="1" si="173"/>
        <v>#N/A</v>
      </c>
      <c r="AM348" s="112">
        <f t="shared" ca="1" si="170"/>
        <v>100000</v>
      </c>
      <c r="AN348" s="112">
        <f t="shared" ca="1" si="174"/>
        <v>100000</v>
      </c>
      <c r="AO348" s="114">
        <f t="shared" ca="1" si="171"/>
        <v>0</v>
      </c>
      <c r="AP348" s="114">
        <f t="shared" ca="1" si="172"/>
        <v>0</v>
      </c>
      <c r="AR348" s="238">
        <f t="shared" si="175"/>
        <v>348</v>
      </c>
      <c r="AU348" s="238">
        <f t="shared" si="176"/>
        <v>329</v>
      </c>
      <c r="AV348" s="238"/>
      <c r="AW348" s="238"/>
      <c r="CL348" s="112"/>
      <c r="CM348" s="112"/>
      <c r="CP348" s="112"/>
      <c r="CQ348" s="112"/>
      <c r="CR348" s="112"/>
      <c r="CS348" s="112"/>
      <c r="CT348" s="112"/>
      <c r="CU348" s="112"/>
      <c r="CV348" s="112"/>
      <c r="CW348" s="112" t="s">
        <v>224</v>
      </c>
      <c r="CX348" s="112" t="s">
        <v>225</v>
      </c>
      <c r="CY348" s="112" t="s">
        <v>226</v>
      </c>
      <c r="CZ348" s="112" t="s">
        <v>227</v>
      </c>
      <c r="DA348" s="112" t="s">
        <v>228</v>
      </c>
      <c r="DB348" s="112" t="s">
        <v>229</v>
      </c>
      <c r="DC348" s="112"/>
      <c r="DD348" s="112"/>
      <c r="DE348" s="112"/>
      <c r="DF348" s="112"/>
      <c r="DG348" s="112"/>
      <c r="DH348" s="112"/>
      <c r="DI348" s="112"/>
      <c r="DJ348" s="112"/>
      <c r="DK348" s="112"/>
      <c r="DL348" s="112"/>
      <c r="DM348" s="112"/>
      <c r="DN348" s="112"/>
      <c r="DO348" s="112"/>
      <c r="DP348" s="112"/>
      <c r="DQ348" t="e">
        <f t="shared" si="177"/>
        <v>#N/A</v>
      </c>
    </row>
    <row r="349" spans="33:122" x14ac:dyDescent="0.25">
      <c r="AG349" s="238">
        <f>AG348</f>
        <v>85</v>
      </c>
      <c r="AH349" s="112" t="e">
        <f ca="1">AI348+1</f>
        <v>#N/A</v>
      </c>
      <c r="AI349" s="112">
        <f ca="1">INDIRECT(CONCATENATE("AF",AG345))</f>
        <v>100000</v>
      </c>
      <c r="AJ349" s="114"/>
      <c r="AK349" s="114"/>
      <c r="AL349" s="238" t="e">
        <f t="shared" ca="1" si="173"/>
        <v>#N/A</v>
      </c>
      <c r="AM349" s="112">
        <f t="shared" ca="1" si="170"/>
        <v>100000</v>
      </c>
      <c r="AN349" s="112">
        <f t="shared" ca="1" si="174"/>
        <v>100000</v>
      </c>
      <c r="AO349" s="114">
        <f t="shared" ca="1" si="171"/>
        <v>0</v>
      </c>
      <c r="AP349" s="114">
        <f t="shared" ca="1" si="172"/>
        <v>0</v>
      </c>
      <c r="AR349" s="238">
        <f t="shared" si="175"/>
        <v>349</v>
      </c>
      <c r="AU349" s="238">
        <f t="shared" si="176"/>
        <v>330</v>
      </c>
      <c r="AV349" s="238"/>
      <c r="AW349" s="238"/>
      <c r="CL349" s="112"/>
      <c r="CM349" s="112"/>
      <c r="CP349" s="112"/>
      <c r="CQ349" s="112"/>
      <c r="CR349" s="112"/>
      <c r="CS349" s="112"/>
      <c r="CT349" s="112"/>
      <c r="CU349" s="112"/>
      <c r="CV349" s="112"/>
      <c r="CW349" s="112" t="s">
        <v>224</v>
      </c>
      <c r="CX349" s="112" t="s">
        <v>225</v>
      </c>
      <c r="CY349" s="112" t="s">
        <v>226</v>
      </c>
      <c r="CZ349" s="112" t="s">
        <v>227</v>
      </c>
      <c r="DA349" s="112" t="s">
        <v>228</v>
      </c>
      <c r="DB349" s="112" t="s">
        <v>229</v>
      </c>
      <c r="DC349" s="112"/>
      <c r="DD349" s="112"/>
      <c r="DE349" s="112"/>
      <c r="DF349" s="112"/>
      <c r="DG349" s="112"/>
      <c r="DH349" s="112"/>
      <c r="DI349" s="112"/>
      <c r="DJ349" s="112"/>
      <c r="DK349" s="112"/>
      <c r="DL349" s="112"/>
      <c r="DM349" s="112"/>
      <c r="DN349" s="112"/>
      <c r="DO349" s="112"/>
      <c r="DP349" s="112"/>
      <c r="DQ349" t="e">
        <f t="shared" si="177"/>
        <v>#N/A</v>
      </c>
    </row>
    <row r="350" spans="33:122" x14ac:dyDescent="0.25">
      <c r="AG350" s="238">
        <f>AG349+1</f>
        <v>86</v>
      </c>
      <c r="AH350" s="112">
        <f ca="1">INDIRECT(CONCATENATE("AA",AG350))</f>
        <v>100000</v>
      </c>
      <c r="AI350" s="112" t="e">
        <f ca="1">IF(            INDIRECT(CONCATENATE( "AB",AG350))&lt;100000,       INDIRECT(CONCATENATE("AB",AG350))  -1,IF(   INDIRECT(CONCATENATE("AC",AG350))&lt;100000,   INDIRECT(CONCATENATE("AC",AG350))-1,IF(   INDIRECT(CONCATENATE("AD", AG350))&lt;100000, INDIRECT(CONCATENATE("AD",AG350))-1,IF(   INDIRECT(CONCATENATE("AE",AG350))&lt;100000,  INDIRECT(CONCATENATE("AE",G350)),INDIRECT(CONCATENATE("AF",AG350))                ))))</f>
        <v>#N/A</v>
      </c>
      <c r="AJ350" s="114"/>
      <c r="AK350" s="114"/>
      <c r="AL350" s="238" t="e">
        <f t="shared" ca="1" si="173"/>
        <v>#N/A</v>
      </c>
      <c r="AM350" s="112">
        <f t="shared" ca="1" si="170"/>
        <v>100000</v>
      </c>
      <c r="AN350" s="112">
        <f t="shared" ca="1" si="174"/>
        <v>100000</v>
      </c>
      <c r="AO350" s="114">
        <f t="shared" ca="1" si="171"/>
        <v>0</v>
      </c>
      <c r="AP350" s="114">
        <f t="shared" ca="1" si="172"/>
        <v>0</v>
      </c>
      <c r="AR350" s="238">
        <f t="shared" si="175"/>
        <v>350</v>
      </c>
      <c r="AU350" s="238">
        <f t="shared" si="176"/>
        <v>331</v>
      </c>
      <c r="AV350" s="238"/>
      <c r="AW350" s="238"/>
      <c r="CL350" s="112"/>
      <c r="CM350" s="112"/>
      <c r="CP350" s="112"/>
      <c r="CQ350" s="112"/>
      <c r="CR350" s="112"/>
      <c r="CS350" s="112"/>
      <c r="CT350" s="112"/>
      <c r="CU350" s="112"/>
      <c r="CV350" s="112"/>
      <c r="CW350" s="112" t="s">
        <v>224</v>
      </c>
      <c r="CX350" s="112" t="s">
        <v>225</v>
      </c>
      <c r="CY350" s="112" t="s">
        <v>226</v>
      </c>
      <c r="CZ350" s="112" t="s">
        <v>227</v>
      </c>
      <c r="DA350" s="112" t="s">
        <v>228</v>
      </c>
      <c r="DB350" s="112" t="s">
        <v>229</v>
      </c>
      <c r="DC350" s="112"/>
      <c r="DD350" s="112"/>
      <c r="DE350" s="112"/>
      <c r="DF350" s="112"/>
      <c r="DG350" s="112"/>
      <c r="DH350" s="112"/>
      <c r="DI350" s="112"/>
      <c r="DJ350" s="112"/>
      <c r="DK350" s="112"/>
      <c r="DL350" s="112"/>
      <c r="DM350" s="112"/>
      <c r="DN350" s="112"/>
      <c r="DO350" s="112"/>
      <c r="DP350" s="112"/>
      <c r="DQ350" t="e">
        <f t="shared" si="177"/>
        <v>#N/A</v>
      </c>
    </row>
    <row r="351" spans="33:122" x14ac:dyDescent="0.25">
      <c r="AG351" s="238">
        <f>AG350</f>
        <v>86</v>
      </c>
      <c r="AH351" s="112" t="e">
        <f ca="1">AI350+1</f>
        <v>#N/A</v>
      </c>
      <c r="AI351" s="112" t="e">
        <f ca="1">IF(INDIRECT(CONCATENATE("AC",AG350))&lt;100000,INDIRECT(CONCATENATE("AC",AG350))-1,IF(INDIRECT(CONCATENATE("AD",AG350))&lt;100000,INDIRECT(CONCATENATE("AD",AG350))-1,IF(INDIRECT(CONCATENATE("AE",AG350))&lt;100000,INDIRECT(CONCATENATE("AE",G350)),INDIRECT(CONCATENATE("AF",AG350)))))</f>
        <v>#N/A</v>
      </c>
      <c r="AJ351" s="114"/>
      <c r="AK351" s="114"/>
      <c r="AL351" s="238" t="e">
        <f t="shared" ca="1" si="173"/>
        <v>#N/A</v>
      </c>
      <c r="AM351" s="112">
        <f t="shared" ca="1" si="170"/>
        <v>100000</v>
      </c>
      <c r="AN351" s="112">
        <f t="shared" ca="1" si="174"/>
        <v>100000</v>
      </c>
      <c r="AO351" s="114">
        <f t="shared" ca="1" si="171"/>
        <v>0</v>
      </c>
      <c r="AP351" s="114">
        <f t="shared" ca="1" si="172"/>
        <v>0</v>
      </c>
      <c r="AR351" s="238">
        <f t="shared" si="175"/>
        <v>351</v>
      </c>
      <c r="AU351" s="238">
        <f t="shared" si="176"/>
        <v>332</v>
      </c>
      <c r="AV351" s="238"/>
      <c r="AW351" s="238"/>
      <c r="CL351" s="112"/>
      <c r="CM351" s="112"/>
      <c r="CP351" s="112"/>
      <c r="CQ351" s="112"/>
      <c r="CR351" s="112"/>
      <c r="CS351" s="112"/>
      <c r="CT351" s="112"/>
      <c r="CU351" s="112"/>
      <c r="CV351" s="112"/>
      <c r="CW351" s="112" t="s">
        <v>224</v>
      </c>
      <c r="CX351" s="112" t="s">
        <v>225</v>
      </c>
      <c r="CY351" s="112" t="s">
        <v>226</v>
      </c>
      <c r="CZ351" s="112" t="s">
        <v>227</v>
      </c>
      <c r="DA351" s="112" t="s">
        <v>228</v>
      </c>
      <c r="DB351" s="112" t="s">
        <v>229</v>
      </c>
      <c r="DC351" s="112"/>
      <c r="DD351" s="112"/>
      <c r="DE351" s="112"/>
      <c r="DF351" s="112"/>
      <c r="DG351" s="112"/>
      <c r="DH351" s="112"/>
      <c r="DI351" s="112"/>
      <c r="DJ351" s="112"/>
      <c r="DK351" s="112"/>
      <c r="DL351" s="112"/>
      <c r="DM351" s="112"/>
      <c r="DN351" s="112"/>
      <c r="DO351" s="112"/>
      <c r="DP351" s="112"/>
      <c r="DQ351" t="e">
        <f t="shared" si="177"/>
        <v>#N/A</v>
      </c>
    </row>
    <row r="352" spans="33:122" x14ac:dyDescent="0.25">
      <c r="AG352" s="238">
        <f>AG351</f>
        <v>86</v>
      </c>
      <c r="AH352" s="112" t="e">
        <f ca="1">AI351+1</f>
        <v>#N/A</v>
      </c>
      <c r="AI352" s="112" t="e">
        <f ca="1">IF(INDIRECT(CONCATENATE("AD",AG350))&lt;100000,INDIRECT(CONCATENATE("AD",AG350))-1,IF(INDIRECT(CONCATENATE("AE",AG350))&lt;100000,INDIRECT(CONCATENATE("AE",G350)),INDIRECT(CONCATENATE("AF",AG350))))</f>
        <v>#N/A</v>
      </c>
      <c r="AJ352" s="114"/>
      <c r="AK352" s="114"/>
      <c r="AL352" s="238" t="e">
        <f t="shared" ca="1" si="173"/>
        <v>#N/A</v>
      </c>
      <c r="AM352" s="112">
        <f t="shared" ca="1" si="170"/>
        <v>100000</v>
      </c>
      <c r="AN352" s="112">
        <f t="shared" ca="1" si="174"/>
        <v>100000</v>
      </c>
      <c r="AO352" s="114">
        <f t="shared" ca="1" si="171"/>
        <v>0</v>
      </c>
      <c r="AP352" s="114">
        <f t="shared" ca="1" si="172"/>
        <v>0</v>
      </c>
      <c r="AR352" s="238">
        <f t="shared" si="175"/>
        <v>352</v>
      </c>
      <c r="AU352" s="238">
        <f t="shared" si="176"/>
        <v>333</v>
      </c>
      <c r="AV352" s="238"/>
      <c r="AW352" s="238"/>
      <c r="CL352" s="112"/>
      <c r="CM352" s="112"/>
      <c r="CP352" s="112"/>
      <c r="CQ352" s="112"/>
      <c r="CR352" s="112"/>
      <c r="CS352" s="112"/>
      <c r="CT352" s="112"/>
      <c r="CU352" s="112"/>
      <c r="CV352" s="112"/>
      <c r="CW352" s="112" t="s">
        <v>224</v>
      </c>
      <c r="CX352" s="112" t="s">
        <v>225</v>
      </c>
      <c r="CY352" s="112" t="s">
        <v>226</v>
      </c>
      <c r="CZ352" s="112" t="s">
        <v>227</v>
      </c>
      <c r="DA352" s="112" t="s">
        <v>228</v>
      </c>
      <c r="DB352" s="112" t="s">
        <v>229</v>
      </c>
      <c r="DC352" s="112"/>
      <c r="DD352" s="112"/>
      <c r="DE352" s="112"/>
      <c r="DF352" s="112"/>
      <c r="DG352" s="112"/>
      <c r="DH352" s="112"/>
      <c r="DI352" s="112"/>
      <c r="DJ352" s="112"/>
      <c r="DK352" s="112"/>
      <c r="DL352" s="112"/>
      <c r="DM352" s="112"/>
      <c r="DN352" s="112"/>
      <c r="DO352" s="112"/>
      <c r="DP352" s="112"/>
      <c r="DQ352" t="e">
        <f t="shared" si="177"/>
        <v>#N/A</v>
      </c>
    </row>
    <row r="353" spans="33:121" x14ac:dyDescent="0.25">
      <c r="AG353" s="238">
        <f>AG352</f>
        <v>86</v>
      </c>
      <c r="AH353" s="112" t="e">
        <f ca="1">AI352+1</f>
        <v>#N/A</v>
      </c>
      <c r="AI353" s="112" t="e">
        <f ca="1">IF(INDIRECT(CONCATENATE("AE",AG350))&lt;100000,INDIRECT(CONCATENATE("AE",G350)),INDIRECT(CONCATENATE("AF",AG350)))</f>
        <v>#N/A</v>
      </c>
      <c r="AJ353" s="114"/>
      <c r="AK353" s="114"/>
      <c r="AL353" s="238" t="e">
        <f t="shared" ca="1" si="173"/>
        <v>#N/A</v>
      </c>
      <c r="AM353" s="112">
        <f t="shared" ca="1" si="170"/>
        <v>100000</v>
      </c>
      <c r="AN353" s="112">
        <f t="shared" ca="1" si="174"/>
        <v>100000</v>
      </c>
      <c r="AO353" s="114">
        <f t="shared" ca="1" si="171"/>
        <v>0</v>
      </c>
      <c r="AP353" s="114">
        <f t="shared" ca="1" si="172"/>
        <v>0</v>
      </c>
      <c r="AR353" s="238">
        <f t="shared" si="175"/>
        <v>353</v>
      </c>
      <c r="AU353" s="238">
        <f t="shared" si="176"/>
        <v>334</v>
      </c>
      <c r="AV353" s="238"/>
      <c r="AW353" s="238"/>
      <c r="CL353" s="112"/>
      <c r="CM353" s="112"/>
      <c r="CP353" s="112"/>
      <c r="CQ353" s="112"/>
      <c r="CR353" s="112"/>
      <c r="CS353" s="112"/>
      <c r="CT353" s="112"/>
      <c r="CU353" s="112"/>
      <c r="CV353" s="112"/>
      <c r="CW353" s="112" t="s">
        <v>224</v>
      </c>
      <c r="CX353" s="112" t="s">
        <v>225</v>
      </c>
      <c r="CY353" s="112" t="s">
        <v>226</v>
      </c>
      <c r="CZ353" s="112" t="s">
        <v>227</v>
      </c>
      <c r="DA353" s="112" t="s">
        <v>228</v>
      </c>
      <c r="DB353" s="112" t="s">
        <v>229</v>
      </c>
      <c r="DC353" s="112"/>
      <c r="DD353" s="112"/>
      <c r="DE353" s="112"/>
      <c r="DF353" s="112"/>
      <c r="DG353" s="112"/>
      <c r="DH353" s="112"/>
      <c r="DI353" s="112"/>
      <c r="DJ353" s="112"/>
      <c r="DK353" s="112"/>
      <c r="DL353" s="112"/>
      <c r="DM353" s="112"/>
      <c r="DN353" s="112"/>
      <c r="DO353" s="112"/>
      <c r="DP353" s="112"/>
      <c r="DQ353" t="e">
        <f t="shared" si="177"/>
        <v>#N/A</v>
      </c>
    </row>
    <row r="354" spans="33:121" x14ac:dyDescent="0.25">
      <c r="AG354" s="238">
        <f>AG353</f>
        <v>86</v>
      </c>
      <c r="AH354" s="112" t="e">
        <f ca="1">AI353+1</f>
        <v>#N/A</v>
      </c>
      <c r="AI354" s="112">
        <f ca="1">INDIRECT(CONCATENATE("AF",AG350))</f>
        <v>100000</v>
      </c>
      <c r="AJ354" s="114"/>
      <c r="AK354" s="114"/>
      <c r="AL354" s="238" t="e">
        <f t="shared" ca="1" si="173"/>
        <v>#N/A</v>
      </c>
      <c r="AM354" s="112">
        <f t="shared" ca="1" si="170"/>
        <v>100000</v>
      </c>
      <c r="AN354" s="112">
        <f t="shared" ca="1" si="174"/>
        <v>100000</v>
      </c>
      <c r="AO354" s="114">
        <f t="shared" ca="1" si="171"/>
        <v>0</v>
      </c>
      <c r="AP354" s="114">
        <f t="shared" ca="1" si="172"/>
        <v>0</v>
      </c>
      <c r="AR354" s="238">
        <f t="shared" si="175"/>
        <v>354</v>
      </c>
      <c r="AU354" s="238">
        <f t="shared" si="176"/>
        <v>335</v>
      </c>
      <c r="AV354" s="238"/>
      <c r="AW354" s="238"/>
      <c r="CL354" s="112"/>
      <c r="CM354" s="112"/>
      <c r="CP354" s="112"/>
      <c r="CQ354" s="112"/>
      <c r="CR354" s="112"/>
      <c r="CS354" s="112"/>
      <c r="CT354" s="112"/>
      <c r="CU354" s="112"/>
      <c r="CV354" s="112"/>
      <c r="CW354" s="112" t="s">
        <v>224</v>
      </c>
      <c r="CX354" s="112" t="s">
        <v>225</v>
      </c>
      <c r="CY354" s="112" t="s">
        <v>226</v>
      </c>
      <c r="CZ354" s="112" t="s">
        <v>227</v>
      </c>
      <c r="DA354" s="112" t="s">
        <v>228</v>
      </c>
      <c r="DB354" s="112" t="s">
        <v>229</v>
      </c>
      <c r="DC354" s="112"/>
      <c r="DD354" s="112"/>
      <c r="DE354" s="112"/>
      <c r="DF354" s="112"/>
      <c r="DG354" s="112"/>
      <c r="DH354" s="112"/>
      <c r="DI354" s="112"/>
      <c r="DJ354" s="112"/>
      <c r="DK354" s="112"/>
      <c r="DL354" s="112"/>
      <c r="DM354" s="112"/>
      <c r="DN354" s="112"/>
      <c r="DO354" s="112"/>
      <c r="DP354" s="112"/>
      <c r="DQ354" t="e">
        <f t="shared" si="177"/>
        <v>#N/A</v>
      </c>
    </row>
    <row r="355" spans="33:121" x14ac:dyDescent="0.25">
      <c r="AG355" s="238">
        <f>AG354+1</f>
        <v>87</v>
      </c>
      <c r="AH355" s="112">
        <f ca="1">INDIRECT(CONCATENATE("AA",AG355))</f>
        <v>100000</v>
      </c>
      <c r="AI355" s="112" t="e">
        <f ca="1">IF(            INDIRECT(CONCATENATE( "AB",AG355))&lt;100000,       INDIRECT(CONCATENATE("AB",AG355))  -1,IF(   INDIRECT(CONCATENATE("AC",AG355))&lt;100000,   INDIRECT(CONCATENATE("AC",AG355))-1,IF(   INDIRECT(CONCATENATE("AD", AG355))&lt;100000, INDIRECT(CONCATENATE("AD",AG355))-1,IF(   INDIRECT(CONCATENATE("AE",AG355))&lt;100000,  INDIRECT(CONCATENATE("AE",G355)),INDIRECT(CONCATENATE("AF",AG355))                ))))</f>
        <v>#N/A</v>
      </c>
      <c r="AJ355" s="114"/>
      <c r="AK355" s="114"/>
      <c r="AL355" s="238" t="e">
        <f t="shared" ca="1" si="173"/>
        <v>#N/A</v>
      </c>
      <c r="AM355" s="112">
        <f t="shared" ca="1" si="170"/>
        <v>100000</v>
      </c>
      <c r="AN355" s="112">
        <f t="shared" ca="1" si="174"/>
        <v>100000</v>
      </c>
      <c r="AO355" s="114">
        <f t="shared" ca="1" si="171"/>
        <v>0</v>
      </c>
      <c r="AP355" s="114">
        <f t="shared" ca="1" si="172"/>
        <v>0</v>
      </c>
      <c r="AR355" s="238">
        <f t="shared" si="175"/>
        <v>355</v>
      </c>
      <c r="AU355" s="238">
        <f t="shared" si="176"/>
        <v>336</v>
      </c>
      <c r="AV355" s="238"/>
      <c r="AW355" s="238"/>
      <c r="CL355" s="112"/>
      <c r="CM355" s="112"/>
      <c r="CP355" s="112"/>
      <c r="CQ355" s="112"/>
      <c r="CR355" s="112"/>
      <c r="CS355" s="112"/>
      <c r="CT355" s="112"/>
      <c r="CU355" s="112"/>
      <c r="CV355" s="112"/>
      <c r="CW355" s="112"/>
      <c r="CX355" s="112"/>
      <c r="CY355" s="112"/>
      <c r="CZ355" s="112"/>
      <c r="DA355" s="112"/>
      <c r="DB355" s="112"/>
      <c r="DC355" s="112"/>
      <c r="DD355" s="112"/>
      <c r="DE355" s="112"/>
      <c r="DF355" s="112"/>
      <c r="DG355" s="112"/>
      <c r="DH355" s="112"/>
      <c r="DI355" s="112"/>
      <c r="DJ355" s="112"/>
      <c r="DK355" s="112"/>
      <c r="DL355" s="112"/>
      <c r="DM355" s="112"/>
      <c r="DN355" s="112"/>
      <c r="DO355" s="112"/>
      <c r="DP355" s="112"/>
      <c r="DQ355" t="e">
        <f t="shared" si="177"/>
        <v>#N/A</v>
      </c>
    </row>
    <row r="356" spans="33:121" x14ac:dyDescent="0.25">
      <c r="AG356" s="238">
        <f>AG355</f>
        <v>87</v>
      </c>
      <c r="AH356" s="112" t="e">
        <f ca="1">AI355+1</f>
        <v>#N/A</v>
      </c>
      <c r="AI356" s="112" t="e">
        <f ca="1">IF(INDIRECT(CONCATENATE("AC",AG355))&lt;100000,INDIRECT(CONCATENATE("AC",AG355))-1,IF(INDIRECT(CONCATENATE("AD",AG355))&lt;100000,INDIRECT(CONCATENATE("AD",AG355))-1,IF(INDIRECT(CONCATENATE("AE",AG355))&lt;100000,INDIRECT(CONCATENATE("AE",G355)),INDIRECT(CONCATENATE("AF",AG355)))))</f>
        <v>#N/A</v>
      </c>
      <c r="AJ356" s="114"/>
      <c r="AK356" s="114"/>
      <c r="AL356" s="238" t="e">
        <f t="shared" ca="1" si="173"/>
        <v>#N/A</v>
      </c>
      <c r="AM356" s="112">
        <f t="shared" ca="1" si="170"/>
        <v>100000</v>
      </c>
      <c r="AN356" s="112">
        <f t="shared" ca="1" si="174"/>
        <v>100000</v>
      </c>
      <c r="AO356" s="114">
        <f t="shared" ca="1" si="171"/>
        <v>0</v>
      </c>
      <c r="AP356" s="114">
        <f t="shared" ca="1" si="172"/>
        <v>0</v>
      </c>
      <c r="AR356" s="238">
        <f t="shared" si="175"/>
        <v>356</v>
      </c>
      <c r="AU356" s="238">
        <f t="shared" si="176"/>
        <v>337</v>
      </c>
      <c r="AV356" s="238"/>
      <c r="AW356" s="238"/>
      <c r="CL356" s="112"/>
      <c r="CM356" s="112"/>
      <c r="CP356" s="112"/>
      <c r="CQ356" s="112"/>
      <c r="CR356" s="112"/>
      <c r="CS356" s="112"/>
      <c r="CT356" s="112"/>
      <c r="CU356" s="112"/>
      <c r="CV356" s="112"/>
      <c r="CW356" s="112"/>
      <c r="CX356" s="112"/>
      <c r="CY356" s="112"/>
      <c r="CZ356" s="112"/>
      <c r="DA356" s="112"/>
      <c r="DB356" s="112"/>
      <c r="DC356" s="112"/>
      <c r="DD356" s="112"/>
      <c r="DE356" s="112"/>
      <c r="DF356" s="112"/>
      <c r="DG356" s="112"/>
      <c r="DH356" s="112"/>
      <c r="DI356" s="112"/>
      <c r="DJ356" s="112"/>
      <c r="DK356" s="112"/>
      <c r="DL356" s="112"/>
      <c r="DM356" s="112"/>
      <c r="DN356" s="112"/>
      <c r="DO356" s="112"/>
      <c r="DP356" s="112"/>
      <c r="DQ356" t="e">
        <f t="shared" si="177"/>
        <v>#N/A</v>
      </c>
    </row>
    <row r="357" spans="33:121" x14ac:dyDescent="0.25">
      <c r="AG357" s="238">
        <f>AG356</f>
        <v>87</v>
      </c>
      <c r="AH357" s="112" t="e">
        <f ca="1">AI356+1</f>
        <v>#N/A</v>
      </c>
      <c r="AI357" s="112" t="e">
        <f ca="1">IF(INDIRECT(CONCATENATE("AD",AG355))&lt;100000,INDIRECT(CONCATENATE("AD",AG355))-1,IF(INDIRECT(CONCATENATE("AE",AG355))&lt;100000,INDIRECT(CONCATENATE("AE",G355)),INDIRECT(CONCATENATE("AF",AG355))))</f>
        <v>#N/A</v>
      </c>
      <c r="AJ357" s="114"/>
      <c r="AK357" s="114"/>
      <c r="AL357" s="238" t="e">
        <f t="shared" ca="1" si="173"/>
        <v>#N/A</v>
      </c>
      <c r="AM357" s="112">
        <f t="shared" ca="1" si="170"/>
        <v>100000</v>
      </c>
      <c r="AN357" s="112">
        <f t="shared" ca="1" si="174"/>
        <v>100000</v>
      </c>
      <c r="AO357" s="114">
        <f t="shared" ca="1" si="171"/>
        <v>0</v>
      </c>
      <c r="AP357" s="114">
        <f t="shared" ca="1" si="172"/>
        <v>0</v>
      </c>
      <c r="AR357" s="238">
        <f t="shared" si="175"/>
        <v>357</v>
      </c>
      <c r="AU357" s="238">
        <f t="shared" si="176"/>
        <v>338</v>
      </c>
      <c r="AV357" s="238"/>
      <c r="AW357" s="238"/>
      <c r="CJ357" s="112"/>
      <c r="CK357" s="112"/>
      <c r="CN357" s="112"/>
      <c r="CO357" s="112"/>
      <c r="CP357" s="112"/>
      <c r="CQ357" s="112"/>
      <c r="CR357" s="112"/>
      <c r="CS357" s="112"/>
      <c r="CT357" s="112"/>
      <c r="CU357" s="112"/>
      <c r="CV357" s="112"/>
      <c r="CW357" s="112"/>
      <c r="CX357" s="112"/>
      <c r="CY357" s="112"/>
      <c r="CZ357" s="112"/>
      <c r="DA357" s="112"/>
      <c r="DB357" s="112"/>
      <c r="DC357" s="112"/>
      <c r="DD357" s="112"/>
      <c r="DE357" s="112"/>
      <c r="DF357" s="112"/>
      <c r="DG357" s="112"/>
      <c r="DH357" s="112"/>
      <c r="DI357" s="112"/>
      <c r="DJ357" s="112"/>
      <c r="DK357" s="112"/>
      <c r="DL357" s="112"/>
      <c r="DM357" s="112"/>
      <c r="DN357" s="112"/>
      <c r="DO357" t="e">
        <f t="shared" ref="DO357:DO397" si="178">VLOOKUP(CN357,$F$20:$H$138,3)</f>
        <v>#N/A</v>
      </c>
    </row>
    <row r="358" spans="33:121" x14ac:dyDescent="0.25">
      <c r="AG358" s="238">
        <f>AG357</f>
        <v>87</v>
      </c>
      <c r="AH358" s="112" t="e">
        <f ca="1">AI357+1</f>
        <v>#N/A</v>
      </c>
      <c r="AI358" s="112" t="e">
        <f ca="1">IF(INDIRECT(CONCATENATE("AE",AG355))&lt;100000,INDIRECT(CONCATENATE("AE",G355)),INDIRECT(CONCATENATE("AF",AG355)))</f>
        <v>#N/A</v>
      </c>
      <c r="AJ358" s="114"/>
      <c r="AK358" s="114"/>
      <c r="AL358" s="238" t="e">
        <f t="shared" ca="1" si="173"/>
        <v>#N/A</v>
      </c>
      <c r="AM358" s="112">
        <f t="shared" ca="1" si="170"/>
        <v>100000</v>
      </c>
      <c r="AN358" s="112">
        <f t="shared" ca="1" si="174"/>
        <v>100000</v>
      </c>
      <c r="AO358" s="114">
        <f t="shared" ca="1" si="171"/>
        <v>0</v>
      </c>
      <c r="AP358" s="114">
        <f t="shared" ca="1" si="172"/>
        <v>0</v>
      </c>
      <c r="AR358" s="238">
        <f t="shared" si="175"/>
        <v>358</v>
      </c>
      <c r="AU358" s="238">
        <f t="shared" si="176"/>
        <v>339</v>
      </c>
      <c r="AV358" s="238"/>
      <c r="AW358" s="238"/>
      <c r="CJ358" s="112"/>
      <c r="CK358" s="112"/>
      <c r="CN358" s="112"/>
      <c r="CO358" s="112"/>
      <c r="CP358" s="112"/>
      <c r="CQ358" s="112"/>
      <c r="CR358" s="112"/>
      <c r="CS358" s="112"/>
      <c r="CT358" s="112"/>
      <c r="CU358" s="112"/>
      <c r="CV358" s="112"/>
      <c r="CW358" s="112"/>
      <c r="CX358" s="112"/>
      <c r="CY358" s="112"/>
      <c r="CZ358" s="112"/>
      <c r="DA358" s="112"/>
      <c r="DB358" s="112"/>
      <c r="DC358" s="112"/>
      <c r="DD358" s="112"/>
      <c r="DE358" s="112"/>
      <c r="DF358" s="112"/>
      <c r="DG358" s="112"/>
      <c r="DH358" s="112"/>
      <c r="DI358" s="112"/>
      <c r="DJ358" s="112"/>
      <c r="DK358" s="112"/>
      <c r="DL358" s="112"/>
      <c r="DM358" s="112"/>
      <c r="DN358" s="112"/>
      <c r="DO358" t="e">
        <f t="shared" si="178"/>
        <v>#N/A</v>
      </c>
    </row>
    <row r="359" spans="33:121" x14ac:dyDescent="0.25">
      <c r="AG359" s="238">
        <f>AG358</f>
        <v>87</v>
      </c>
      <c r="AH359" s="112" t="e">
        <f ca="1">AI358+1</f>
        <v>#N/A</v>
      </c>
      <c r="AI359" s="112">
        <f ca="1">INDIRECT(CONCATENATE("AF",AG355))</f>
        <v>100000</v>
      </c>
      <c r="AJ359" s="114"/>
      <c r="AK359" s="114"/>
      <c r="AL359" s="238" t="e">
        <f t="shared" ca="1" si="173"/>
        <v>#N/A</v>
      </c>
      <c r="AM359" s="112">
        <f t="shared" ca="1" si="170"/>
        <v>100000</v>
      </c>
      <c r="AN359" s="112">
        <f t="shared" ca="1" si="174"/>
        <v>100000</v>
      </c>
      <c r="AO359" s="114">
        <f t="shared" ca="1" si="171"/>
        <v>0</v>
      </c>
      <c r="AP359" s="114">
        <f t="shared" ca="1" si="172"/>
        <v>0</v>
      </c>
      <c r="AR359" s="238">
        <f t="shared" si="175"/>
        <v>359</v>
      </c>
      <c r="AU359" s="238">
        <f t="shared" si="176"/>
        <v>340</v>
      </c>
      <c r="AV359" s="238"/>
      <c r="AW359" s="238"/>
      <c r="CJ359" s="112"/>
      <c r="CK359" s="112"/>
      <c r="CN359" s="112"/>
      <c r="CO359" s="112"/>
      <c r="CP359" s="112"/>
      <c r="CQ359" s="112"/>
      <c r="CR359" s="112"/>
      <c r="CS359" s="112"/>
      <c r="CT359" s="112"/>
      <c r="CU359" s="112"/>
      <c r="CV359" s="112"/>
      <c r="CW359" s="112"/>
      <c r="CX359" s="112"/>
      <c r="CY359" s="112"/>
      <c r="CZ359" s="112"/>
      <c r="DA359" s="112"/>
      <c r="DB359" s="112"/>
      <c r="DC359" s="112"/>
      <c r="DD359" s="112"/>
      <c r="DE359" s="112"/>
      <c r="DF359" s="112"/>
      <c r="DG359" s="112"/>
      <c r="DH359" s="112"/>
      <c r="DI359" s="112"/>
      <c r="DJ359" s="112"/>
      <c r="DK359" s="112"/>
      <c r="DL359" s="112"/>
      <c r="DM359" s="112"/>
      <c r="DN359" s="112"/>
      <c r="DO359" t="e">
        <f t="shared" si="178"/>
        <v>#N/A</v>
      </c>
    </row>
    <row r="360" spans="33:121" x14ac:dyDescent="0.25">
      <c r="AG360" s="238">
        <f>AG359+1</f>
        <v>88</v>
      </c>
      <c r="AH360" s="112">
        <f ca="1">INDIRECT(CONCATENATE("AA",AG360))</f>
        <v>100000</v>
      </c>
      <c r="AI360" s="112" t="e">
        <f ca="1">IF(            INDIRECT(CONCATENATE( "AB",AG360))&lt;100000,       INDIRECT(CONCATENATE("AB",AG360))  -1,IF(   INDIRECT(CONCATENATE("AC",AG360))&lt;100000,   INDIRECT(CONCATENATE("AC",AG360))-1,IF(   INDIRECT(CONCATENATE("AD", AG360))&lt;100000, INDIRECT(CONCATENATE("AD",AG360))-1,IF(   INDIRECT(CONCATENATE("AE",AG360))&lt;100000,  INDIRECT(CONCATENATE("AE",G360)),INDIRECT(CONCATENATE("AF",AG360))                ))))</f>
        <v>#N/A</v>
      </c>
      <c r="AJ360" s="114"/>
      <c r="AK360" s="114"/>
      <c r="AL360" s="238" t="e">
        <f t="shared" ca="1" si="173"/>
        <v>#N/A</v>
      </c>
      <c r="AM360" s="112">
        <f t="shared" ca="1" si="170"/>
        <v>100000</v>
      </c>
      <c r="AN360" s="112">
        <f t="shared" ca="1" si="174"/>
        <v>100000</v>
      </c>
      <c r="AO360" s="114">
        <f t="shared" ca="1" si="171"/>
        <v>0</v>
      </c>
      <c r="AP360" s="114">
        <f t="shared" ca="1" si="172"/>
        <v>0</v>
      </c>
      <c r="AR360" s="238">
        <f t="shared" si="175"/>
        <v>360</v>
      </c>
      <c r="AU360" s="238">
        <f t="shared" si="176"/>
        <v>341</v>
      </c>
      <c r="AV360" s="238"/>
      <c r="AW360" s="238"/>
      <c r="CJ360" s="112"/>
      <c r="CK360" s="112"/>
      <c r="CN360" s="112"/>
      <c r="CO360" s="112"/>
      <c r="CP360" s="112"/>
      <c r="CQ360" s="112"/>
      <c r="CR360" s="112"/>
      <c r="CS360" s="112"/>
      <c r="CT360" s="112"/>
      <c r="CU360" s="112"/>
      <c r="CV360" s="112"/>
      <c r="CW360" s="112"/>
      <c r="CX360" s="112"/>
      <c r="CY360" s="112"/>
      <c r="CZ360" s="112"/>
      <c r="DA360" s="112"/>
      <c r="DB360" s="112"/>
      <c r="DC360" s="112"/>
      <c r="DD360" s="112"/>
      <c r="DE360" s="112"/>
      <c r="DF360" s="112"/>
      <c r="DG360" s="112"/>
      <c r="DH360" s="112"/>
      <c r="DI360" s="112"/>
      <c r="DJ360" s="112"/>
      <c r="DK360" s="112"/>
      <c r="DL360" s="112"/>
      <c r="DM360" s="112"/>
      <c r="DN360" s="112"/>
      <c r="DO360" t="e">
        <f t="shared" si="178"/>
        <v>#N/A</v>
      </c>
    </row>
    <row r="361" spans="33:121" x14ac:dyDescent="0.25">
      <c r="AG361" s="238">
        <f>AG360</f>
        <v>88</v>
      </c>
      <c r="AH361" s="112" t="e">
        <f ca="1">AI360+1</f>
        <v>#N/A</v>
      </c>
      <c r="AI361" s="112" t="e">
        <f ca="1">IF(INDIRECT(CONCATENATE("AC",AG360))&lt;100000,INDIRECT(CONCATENATE("AC",AG360))-1,IF(INDIRECT(CONCATENATE("AD",AG360))&lt;100000,INDIRECT(CONCATENATE("AD",AG360))-1,IF(INDIRECT(CONCATENATE("AE",AG360))&lt;100000,INDIRECT(CONCATENATE("AE",G360)),INDIRECT(CONCATENATE("AF",AG360)))))</f>
        <v>#N/A</v>
      </c>
      <c r="AJ361" s="114"/>
      <c r="AK361" s="114"/>
      <c r="AL361" s="238" t="e">
        <f t="shared" ca="1" si="173"/>
        <v>#N/A</v>
      </c>
      <c r="AM361" s="112">
        <f t="shared" ref="AM361:AM424" ca="1" si="179">IF(TYPE(AL361)=16,100000,IF(AL361=0,100000,AH361))</f>
        <v>100000</v>
      </c>
      <c r="AN361" s="112">
        <f t="shared" ca="1" si="174"/>
        <v>100000</v>
      </c>
      <c r="AO361" s="114">
        <f t="shared" ca="1" si="171"/>
        <v>0</v>
      </c>
      <c r="AP361" s="114">
        <f t="shared" ca="1" si="172"/>
        <v>0</v>
      </c>
      <c r="AR361" s="238">
        <f t="shared" si="175"/>
        <v>361</v>
      </c>
      <c r="AU361" s="238">
        <f t="shared" si="176"/>
        <v>342</v>
      </c>
      <c r="AV361" s="238"/>
      <c r="AW361" s="238"/>
      <c r="CJ361" s="112"/>
      <c r="CK361" s="112"/>
      <c r="CN361" s="112"/>
      <c r="CO361" s="112"/>
      <c r="CP361" s="112"/>
      <c r="CQ361" s="112"/>
      <c r="CR361" s="112"/>
      <c r="CS361" s="112"/>
      <c r="CT361" s="112"/>
      <c r="CU361" s="112"/>
      <c r="CV361" s="112"/>
      <c r="CW361" s="112"/>
      <c r="CX361" s="112"/>
      <c r="CY361" s="112"/>
      <c r="CZ361" s="112"/>
      <c r="DA361" s="112"/>
      <c r="DB361" s="112"/>
      <c r="DC361" s="112"/>
      <c r="DD361" s="112"/>
      <c r="DE361" s="112"/>
      <c r="DF361" s="112"/>
      <c r="DG361" s="112"/>
      <c r="DH361" s="112"/>
      <c r="DI361" s="112"/>
      <c r="DJ361" s="112"/>
      <c r="DK361" s="112"/>
      <c r="DL361" s="112"/>
      <c r="DM361" s="112"/>
      <c r="DN361" s="112"/>
      <c r="DO361" t="e">
        <f t="shared" si="178"/>
        <v>#N/A</v>
      </c>
    </row>
    <row r="362" spans="33:121" x14ac:dyDescent="0.25">
      <c r="AG362" s="238">
        <f>AG361</f>
        <v>88</v>
      </c>
      <c r="AH362" s="112" t="e">
        <f ca="1">AI361+1</f>
        <v>#N/A</v>
      </c>
      <c r="AI362" s="112" t="e">
        <f ca="1">IF(INDIRECT(CONCATENATE("AD",AG360))&lt;100000,INDIRECT(CONCATENATE("AD",AG360))-1,IF(INDIRECT(CONCATENATE("AE",AG360))&lt;100000,INDIRECT(CONCATENATE("AE",G360)),INDIRECT(CONCATENATE("AF",AG360))))</f>
        <v>#N/A</v>
      </c>
      <c r="AJ362" s="114"/>
      <c r="AK362" s="114"/>
      <c r="AL362" s="238" t="e">
        <f t="shared" ca="1" si="173"/>
        <v>#N/A</v>
      </c>
      <c r="AM362" s="112">
        <f t="shared" ca="1" si="179"/>
        <v>100000</v>
      </c>
      <c r="AN362" s="112">
        <f t="shared" ca="1" si="174"/>
        <v>100000</v>
      </c>
      <c r="AO362" s="114">
        <f t="shared" ca="1" si="171"/>
        <v>0</v>
      </c>
      <c r="AP362" s="114">
        <f t="shared" ca="1" si="172"/>
        <v>0</v>
      </c>
      <c r="AR362" s="238">
        <f t="shared" si="175"/>
        <v>362</v>
      </c>
      <c r="AU362" s="238">
        <f t="shared" si="176"/>
        <v>343</v>
      </c>
      <c r="AV362" s="238"/>
      <c r="AW362" s="238"/>
      <c r="CJ362" s="112"/>
      <c r="CK362" s="112"/>
      <c r="CN362" s="112"/>
      <c r="CO362" s="112"/>
      <c r="CP362" s="112"/>
      <c r="CQ362" s="112"/>
      <c r="CR362" s="112"/>
      <c r="CS362" s="112"/>
      <c r="CT362" s="112"/>
      <c r="CU362" s="112"/>
      <c r="CV362" s="112"/>
      <c r="CW362" s="112"/>
      <c r="CX362" s="112"/>
      <c r="CY362" s="112"/>
      <c r="CZ362" s="112"/>
      <c r="DA362" s="112"/>
      <c r="DB362" s="112"/>
      <c r="DC362" s="112"/>
      <c r="DD362" s="112"/>
      <c r="DE362" s="112"/>
      <c r="DF362" s="112"/>
      <c r="DG362" s="112"/>
      <c r="DH362" s="112"/>
      <c r="DI362" s="112"/>
      <c r="DJ362" s="112"/>
      <c r="DK362" s="112"/>
      <c r="DL362" s="112"/>
      <c r="DM362" s="112"/>
      <c r="DN362" s="112"/>
      <c r="DO362" t="e">
        <f t="shared" si="178"/>
        <v>#N/A</v>
      </c>
    </row>
    <row r="363" spans="33:121" x14ac:dyDescent="0.25">
      <c r="AG363" s="238">
        <f>AG362</f>
        <v>88</v>
      </c>
      <c r="AH363" s="112" t="e">
        <f ca="1">AI362+1</f>
        <v>#N/A</v>
      </c>
      <c r="AI363" s="112" t="e">
        <f ca="1">IF(INDIRECT(CONCATENATE("AE",AG360))&lt;100000,INDIRECT(CONCATENATE("AE",G360)),INDIRECT(CONCATENATE("AF",AG360)))</f>
        <v>#N/A</v>
      </c>
      <c r="AJ363" s="114"/>
      <c r="AK363" s="114"/>
      <c r="AL363" s="238" t="e">
        <f t="shared" ca="1" si="173"/>
        <v>#N/A</v>
      </c>
      <c r="AM363" s="112">
        <f t="shared" ca="1" si="179"/>
        <v>100000</v>
      </c>
      <c r="AN363" s="112">
        <f t="shared" ca="1" si="174"/>
        <v>100000</v>
      </c>
      <c r="AO363" s="114">
        <f t="shared" ca="1" si="171"/>
        <v>0</v>
      </c>
      <c r="AP363" s="114">
        <f t="shared" ca="1" si="172"/>
        <v>0</v>
      </c>
      <c r="AR363" s="238">
        <f t="shared" si="175"/>
        <v>363</v>
      </c>
      <c r="AU363" s="238">
        <f t="shared" si="176"/>
        <v>344</v>
      </c>
      <c r="AV363" s="238"/>
      <c r="AW363" s="238"/>
      <c r="CJ363" s="112"/>
      <c r="CK363" s="112"/>
      <c r="CN363" s="112"/>
      <c r="CO363" s="112"/>
      <c r="CP363" s="112"/>
      <c r="CQ363" s="112"/>
      <c r="CR363" s="112"/>
      <c r="CS363" s="112"/>
      <c r="CT363" s="112"/>
      <c r="CU363" s="112"/>
      <c r="CV363" s="112"/>
      <c r="CW363" s="112"/>
      <c r="CX363" s="112"/>
      <c r="CY363" s="112"/>
      <c r="CZ363" s="112"/>
      <c r="DA363" s="112"/>
      <c r="DB363" s="112"/>
      <c r="DC363" s="112"/>
      <c r="DD363" s="112"/>
      <c r="DE363" s="112"/>
      <c r="DF363" s="112"/>
      <c r="DG363" s="112"/>
      <c r="DH363" s="112"/>
      <c r="DI363" s="112"/>
      <c r="DJ363" s="112"/>
      <c r="DK363" s="112"/>
      <c r="DL363" s="112"/>
      <c r="DM363" s="112"/>
      <c r="DN363" s="112"/>
      <c r="DO363" t="e">
        <f t="shared" si="178"/>
        <v>#N/A</v>
      </c>
    </row>
    <row r="364" spans="33:121" x14ac:dyDescent="0.25">
      <c r="AG364" s="238">
        <f>AG363</f>
        <v>88</v>
      </c>
      <c r="AH364" s="112" t="e">
        <f ca="1">AI363+1</f>
        <v>#N/A</v>
      </c>
      <c r="AI364" s="112">
        <f ca="1">INDIRECT(CONCATENATE("AF",AG360))</f>
        <v>100000</v>
      </c>
      <c r="AJ364" s="114"/>
      <c r="AK364" s="114"/>
      <c r="AL364" s="238" t="e">
        <f t="shared" ca="1" si="173"/>
        <v>#N/A</v>
      </c>
      <c r="AM364" s="112">
        <f t="shared" ca="1" si="179"/>
        <v>100000</v>
      </c>
      <c r="AN364" s="112">
        <f t="shared" ca="1" si="174"/>
        <v>100000</v>
      </c>
      <c r="AO364" s="114">
        <f t="shared" ca="1" si="171"/>
        <v>0</v>
      </c>
      <c r="AP364" s="114">
        <f t="shared" ca="1" si="172"/>
        <v>0</v>
      </c>
      <c r="AR364" s="238">
        <f t="shared" si="175"/>
        <v>364</v>
      </c>
      <c r="AU364" s="238">
        <f t="shared" si="176"/>
        <v>345</v>
      </c>
      <c r="AV364" s="238"/>
      <c r="AW364" s="238"/>
      <c r="CJ364" s="112"/>
      <c r="CK364" s="112"/>
      <c r="CN364" s="112"/>
      <c r="CO364" s="112"/>
      <c r="CP364" s="112"/>
      <c r="CQ364" s="112"/>
      <c r="CR364" s="112"/>
      <c r="CS364" s="112"/>
      <c r="CT364" s="112"/>
      <c r="CU364" s="112"/>
      <c r="CV364" s="112"/>
      <c r="CW364" s="112"/>
      <c r="CX364" s="112"/>
      <c r="CY364" s="112"/>
      <c r="CZ364" s="112"/>
      <c r="DA364" s="112"/>
      <c r="DB364" s="112"/>
      <c r="DC364" s="112"/>
      <c r="DD364" s="112"/>
      <c r="DE364" s="112"/>
      <c r="DF364" s="112"/>
      <c r="DG364" s="112"/>
      <c r="DH364" s="112"/>
      <c r="DI364" s="112"/>
      <c r="DJ364" s="112"/>
      <c r="DK364" s="112"/>
      <c r="DL364" s="112"/>
      <c r="DM364" s="112"/>
      <c r="DN364" s="112"/>
      <c r="DO364" t="e">
        <f t="shared" si="178"/>
        <v>#N/A</v>
      </c>
    </row>
    <row r="365" spans="33:121" x14ac:dyDescent="0.25">
      <c r="AG365" s="238">
        <f>AG364+1</f>
        <v>89</v>
      </c>
      <c r="AH365" s="112">
        <f ca="1">INDIRECT(CONCATENATE("AA",AG365))</f>
        <v>100000</v>
      </c>
      <c r="AI365" s="112" t="e">
        <f ca="1">IF(            INDIRECT(CONCATENATE( "AB",AG365))&lt;100000,       INDIRECT(CONCATENATE("AB",AG365))  -1,IF(   INDIRECT(CONCATENATE("AC",AG365))&lt;100000,   INDIRECT(CONCATENATE("AC",AG365))-1,IF(   INDIRECT(CONCATENATE("AD", AG365))&lt;100000, INDIRECT(CONCATENATE("AD",AG365))-1,IF(   INDIRECT(CONCATENATE("AE",AG365))&lt;100000,  INDIRECT(CONCATENATE("AE",G365)),INDIRECT(CONCATENATE("AF",AG365))                ))))</f>
        <v>#N/A</v>
      </c>
      <c r="AJ365" s="114"/>
      <c r="AK365" s="114"/>
      <c r="AL365" s="238" t="e">
        <f t="shared" ca="1" si="173"/>
        <v>#N/A</v>
      </c>
      <c r="AM365" s="112">
        <f t="shared" ca="1" si="179"/>
        <v>100000</v>
      </c>
      <c r="AN365" s="112">
        <f t="shared" ca="1" si="174"/>
        <v>100000</v>
      </c>
      <c r="AO365" s="114">
        <f t="shared" ca="1" si="171"/>
        <v>0</v>
      </c>
      <c r="AP365" s="114">
        <f t="shared" ca="1" si="172"/>
        <v>0</v>
      </c>
      <c r="AR365" s="238">
        <f t="shared" si="175"/>
        <v>365</v>
      </c>
      <c r="AU365" s="238">
        <f t="shared" si="176"/>
        <v>346</v>
      </c>
      <c r="AV365" s="238"/>
      <c r="AW365" s="238"/>
      <c r="CJ365" s="112"/>
      <c r="CK365" s="112"/>
      <c r="CN365" s="112"/>
      <c r="CO365" s="112"/>
      <c r="CP365" s="112"/>
      <c r="CQ365" s="112"/>
      <c r="CR365" s="112"/>
      <c r="CS365" s="112"/>
      <c r="CT365" s="112"/>
      <c r="CU365" s="112"/>
      <c r="CV365" s="112"/>
      <c r="CW365" s="112"/>
      <c r="CX365" s="112"/>
      <c r="CY365" s="112"/>
      <c r="CZ365" s="112"/>
      <c r="DA365" s="112"/>
      <c r="DB365" s="112"/>
      <c r="DC365" s="112"/>
      <c r="DD365" s="112"/>
      <c r="DE365" s="112"/>
      <c r="DF365" s="112"/>
      <c r="DG365" s="112"/>
      <c r="DH365" s="112"/>
      <c r="DI365" s="112"/>
      <c r="DJ365" s="112"/>
      <c r="DK365" s="112"/>
      <c r="DL365" s="112"/>
      <c r="DM365" s="112"/>
      <c r="DN365" s="112"/>
      <c r="DO365" t="e">
        <f t="shared" si="178"/>
        <v>#N/A</v>
      </c>
    </row>
    <row r="366" spans="33:121" x14ac:dyDescent="0.25">
      <c r="AG366" s="238">
        <f>AG365</f>
        <v>89</v>
      </c>
      <c r="AH366" s="112" t="e">
        <f ca="1">AI365+1</f>
        <v>#N/A</v>
      </c>
      <c r="AI366" s="112" t="e">
        <f ca="1">IF(INDIRECT(CONCATENATE("AC",AG365))&lt;100000,INDIRECT(CONCATENATE("AC",AG365))-1,IF(INDIRECT(CONCATENATE("AD",AG365))&lt;100000,INDIRECT(CONCATENATE("AD",AG365))-1,IF(INDIRECT(CONCATENATE("AE",AG365))&lt;100000,INDIRECT(CONCATENATE("AE",G365)),INDIRECT(CONCATENATE("AF",AG365)))))</f>
        <v>#N/A</v>
      </c>
      <c r="AJ366" s="114"/>
      <c r="AK366" s="114"/>
      <c r="AL366" s="238" t="e">
        <f t="shared" ca="1" si="173"/>
        <v>#N/A</v>
      </c>
      <c r="AM366" s="112">
        <f t="shared" ca="1" si="179"/>
        <v>100000</v>
      </c>
      <c r="AN366" s="112">
        <f t="shared" ca="1" si="174"/>
        <v>100000</v>
      </c>
      <c r="AO366" s="114">
        <f t="shared" ca="1" si="171"/>
        <v>0</v>
      </c>
      <c r="AP366" s="114">
        <f t="shared" ca="1" si="172"/>
        <v>0</v>
      </c>
      <c r="AR366" s="238">
        <f t="shared" si="175"/>
        <v>366</v>
      </c>
      <c r="AU366" s="238">
        <f t="shared" si="176"/>
        <v>347</v>
      </c>
      <c r="AV366" s="238"/>
      <c r="AW366" s="238"/>
      <c r="CJ366" s="112"/>
      <c r="CK366" s="112"/>
      <c r="CN366" s="112"/>
      <c r="CO366" s="112"/>
      <c r="CP366" s="112"/>
      <c r="CQ366" s="112"/>
      <c r="CR366" s="112"/>
      <c r="CS366" s="112"/>
      <c r="CT366" s="112"/>
      <c r="CU366" s="112"/>
      <c r="CV366" s="112"/>
      <c r="CW366" s="112"/>
      <c r="CX366" s="112"/>
      <c r="CY366" s="112"/>
      <c r="CZ366" s="112"/>
      <c r="DA366" s="112"/>
      <c r="DB366" s="112"/>
      <c r="DC366" s="112"/>
      <c r="DD366" s="112"/>
      <c r="DE366" s="112"/>
      <c r="DF366" s="112"/>
      <c r="DG366" s="112"/>
      <c r="DH366" s="112"/>
      <c r="DI366" s="112"/>
      <c r="DJ366" s="112"/>
      <c r="DK366" s="112"/>
      <c r="DL366" s="112"/>
      <c r="DM366" s="112"/>
      <c r="DN366" s="112"/>
      <c r="DO366" t="e">
        <f t="shared" si="178"/>
        <v>#N/A</v>
      </c>
    </row>
    <row r="367" spans="33:121" x14ac:dyDescent="0.25">
      <c r="AG367" s="238">
        <f>AG366</f>
        <v>89</v>
      </c>
      <c r="AH367" s="112" t="e">
        <f ca="1">AI366+1</f>
        <v>#N/A</v>
      </c>
      <c r="AI367" s="112" t="e">
        <f ca="1">IF(INDIRECT(CONCATENATE("AD",AG365))&lt;100000,INDIRECT(CONCATENATE("AD",AG365))-1,IF(INDIRECT(CONCATENATE("AE",AG365))&lt;100000,INDIRECT(CONCATENATE("AE",G365)),INDIRECT(CONCATENATE("AF",AG365))))</f>
        <v>#N/A</v>
      </c>
      <c r="AJ367" s="114"/>
      <c r="AK367" s="114"/>
      <c r="AL367" s="238" t="e">
        <f t="shared" ca="1" si="173"/>
        <v>#N/A</v>
      </c>
      <c r="AM367" s="112">
        <f t="shared" ca="1" si="179"/>
        <v>100000</v>
      </c>
      <c r="AN367" s="112">
        <f t="shared" ca="1" si="174"/>
        <v>100000</v>
      </c>
      <c r="AO367" s="114">
        <f t="shared" ca="1" si="171"/>
        <v>0</v>
      </c>
      <c r="AP367" s="114">
        <f t="shared" ca="1" si="172"/>
        <v>0</v>
      </c>
      <c r="AR367" s="238">
        <f t="shared" si="175"/>
        <v>367</v>
      </c>
      <c r="AU367" s="238">
        <f t="shared" si="176"/>
        <v>348</v>
      </c>
      <c r="AV367" s="238"/>
      <c r="AW367" s="238"/>
      <c r="CJ367" s="112"/>
      <c r="CK367" s="112"/>
      <c r="CN367" s="112"/>
      <c r="CO367" s="112"/>
      <c r="CP367" s="112"/>
      <c r="CQ367" s="112"/>
      <c r="CR367" s="112"/>
      <c r="CS367" s="112"/>
      <c r="CT367" s="112"/>
      <c r="CU367" s="112"/>
      <c r="CV367" s="112"/>
      <c r="CW367" s="112"/>
      <c r="CX367" s="112"/>
      <c r="CY367" s="112"/>
      <c r="CZ367" s="112"/>
      <c r="DA367" s="112"/>
      <c r="DB367" s="112"/>
      <c r="DC367" s="112"/>
      <c r="DD367" s="112"/>
      <c r="DE367" s="112"/>
      <c r="DF367" s="112"/>
      <c r="DG367" s="112"/>
      <c r="DH367" s="112"/>
      <c r="DI367" s="112"/>
      <c r="DJ367" s="112"/>
      <c r="DK367" s="112"/>
      <c r="DL367" s="112"/>
      <c r="DM367" s="112"/>
      <c r="DN367" s="112"/>
      <c r="DO367" t="e">
        <f t="shared" si="178"/>
        <v>#N/A</v>
      </c>
    </row>
    <row r="368" spans="33:121" x14ac:dyDescent="0.25">
      <c r="AG368" s="238">
        <f>AG367</f>
        <v>89</v>
      </c>
      <c r="AH368" s="112" t="e">
        <f ca="1">AI367+1</f>
        <v>#N/A</v>
      </c>
      <c r="AI368" s="112" t="e">
        <f ca="1">IF(INDIRECT(CONCATENATE("AE",AG365))&lt;100000,INDIRECT(CONCATENATE("AE",G365)),INDIRECT(CONCATENATE("AF",AG365)))</f>
        <v>#N/A</v>
      </c>
      <c r="AJ368" s="114"/>
      <c r="AK368" s="114"/>
      <c r="AL368" s="238" t="e">
        <f t="shared" ca="1" si="173"/>
        <v>#N/A</v>
      </c>
      <c r="AM368" s="112">
        <f t="shared" ca="1" si="179"/>
        <v>100000</v>
      </c>
      <c r="AN368" s="112">
        <f t="shared" ca="1" si="174"/>
        <v>100000</v>
      </c>
      <c r="AO368" s="114">
        <f t="shared" ca="1" si="171"/>
        <v>0</v>
      </c>
      <c r="AP368" s="114">
        <f t="shared" ca="1" si="172"/>
        <v>0</v>
      </c>
      <c r="AR368" s="238">
        <f t="shared" si="175"/>
        <v>368</v>
      </c>
      <c r="AU368" s="238">
        <f t="shared" si="176"/>
        <v>349</v>
      </c>
      <c r="AV368" s="238"/>
      <c r="AW368" s="238"/>
      <c r="CJ368" s="112"/>
      <c r="CK368" s="112"/>
      <c r="CN368" s="112"/>
      <c r="CO368" s="112"/>
      <c r="CP368" s="112"/>
      <c r="CQ368" s="112"/>
      <c r="CR368" s="112"/>
      <c r="CS368" s="112"/>
      <c r="CT368" s="112"/>
      <c r="CU368" s="112"/>
      <c r="CV368" s="112"/>
      <c r="CW368" s="112"/>
      <c r="CX368" s="112"/>
      <c r="CY368" s="112"/>
      <c r="CZ368" s="112"/>
      <c r="DA368" s="112"/>
      <c r="DB368" s="112"/>
      <c r="DC368" s="112"/>
      <c r="DD368" s="112"/>
      <c r="DE368" s="112"/>
      <c r="DF368" s="112"/>
      <c r="DG368" s="112"/>
      <c r="DH368" s="112"/>
      <c r="DI368" s="112"/>
      <c r="DJ368" s="112"/>
      <c r="DK368" s="112"/>
      <c r="DL368" s="112"/>
      <c r="DM368" s="112"/>
      <c r="DN368" s="112"/>
      <c r="DO368" t="e">
        <f t="shared" si="178"/>
        <v>#N/A</v>
      </c>
    </row>
    <row r="369" spans="33:119" x14ac:dyDescent="0.25">
      <c r="AG369" s="238">
        <f>AG368</f>
        <v>89</v>
      </c>
      <c r="AH369" s="112" t="e">
        <f ca="1">AI368+1</f>
        <v>#N/A</v>
      </c>
      <c r="AI369" s="112">
        <f ca="1">INDIRECT(CONCATENATE("AF",AG365))</f>
        <v>100000</v>
      </c>
      <c r="AJ369" s="114"/>
      <c r="AK369" s="114"/>
      <c r="AL369" s="238" t="e">
        <f t="shared" ca="1" si="173"/>
        <v>#N/A</v>
      </c>
      <c r="AM369" s="112">
        <f t="shared" ca="1" si="179"/>
        <v>100000</v>
      </c>
      <c r="AN369" s="112">
        <f t="shared" ca="1" si="174"/>
        <v>100000</v>
      </c>
      <c r="AO369" s="114">
        <f t="shared" ca="1" si="171"/>
        <v>0</v>
      </c>
      <c r="AP369" s="114">
        <f t="shared" ca="1" si="172"/>
        <v>0</v>
      </c>
      <c r="AR369" s="238">
        <f t="shared" si="175"/>
        <v>369</v>
      </c>
      <c r="AU369" s="238">
        <f t="shared" si="176"/>
        <v>350</v>
      </c>
      <c r="AV369" s="238"/>
      <c r="AW369" s="238"/>
      <c r="CJ369" s="112"/>
      <c r="CK369" s="112"/>
      <c r="CN369" s="112"/>
      <c r="CO369" s="112"/>
      <c r="CP369" s="112"/>
      <c r="CQ369" s="112"/>
      <c r="CR369" s="112"/>
      <c r="CS369" s="112"/>
      <c r="CT369" s="112"/>
      <c r="CU369" s="112"/>
      <c r="CV369" s="112"/>
      <c r="CW369" s="112"/>
      <c r="CX369" s="112"/>
      <c r="CY369" s="112"/>
      <c r="CZ369" s="112"/>
      <c r="DA369" s="112"/>
      <c r="DB369" s="112"/>
      <c r="DC369" s="112"/>
      <c r="DD369" s="112"/>
      <c r="DE369" s="112"/>
      <c r="DF369" s="112"/>
      <c r="DG369" s="112"/>
      <c r="DH369" s="112"/>
      <c r="DI369" s="112"/>
      <c r="DJ369" s="112"/>
      <c r="DK369" s="112"/>
      <c r="DL369" s="112"/>
      <c r="DM369" s="112"/>
      <c r="DN369" s="112"/>
      <c r="DO369" t="e">
        <f t="shared" si="178"/>
        <v>#N/A</v>
      </c>
    </row>
    <row r="370" spans="33:119" x14ac:dyDescent="0.25">
      <c r="AG370" s="238">
        <f>AG369+1</f>
        <v>90</v>
      </c>
      <c r="AH370" s="112">
        <f ca="1">INDIRECT(CONCATENATE("AA",AG370))</f>
        <v>100000</v>
      </c>
      <c r="AI370" s="112" t="e">
        <f ca="1">IF(            INDIRECT(CONCATENATE( "AB",AG370))&lt;100000,       INDIRECT(CONCATENATE("AB",AG370))  -1,IF(   INDIRECT(CONCATENATE("AC",AG370))&lt;100000,   INDIRECT(CONCATENATE("AC",AG370))-1,IF(   INDIRECT(CONCATENATE("AD", AG370))&lt;100000, INDIRECT(CONCATENATE("AD",AG370))-1,IF(   INDIRECT(CONCATENATE("AE",AG370))&lt;100000,  INDIRECT(CONCATENATE("AE",G370)),INDIRECT(CONCATENATE("AF",AG370))                ))))</f>
        <v>#N/A</v>
      </c>
      <c r="AJ370" s="114"/>
      <c r="AK370" s="114"/>
      <c r="AL370" s="238" t="e">
        <f t="shared" ca="1" si="173"/>
        <v>#N/A</v>
      </c>
      <c r="AM370" s="112">
        <f t="shared" ca="1" si="179"/>
        <v>100000</v>
      </c>
      <c r="AN370" s="112">
        <f t="shared" ca="1" si="174"/>
        <v>100000</v>
      </c>
      <c r="AO370" s="114">
        <f t="shared" ca="1" si="171"/>
        <v>0</v>
      </c>
      <c r="AP370" s="114">
        <f t="shared" ca="1" si="172"/>
        <v>0</v>
      </c>
      <c r="AR370" s="238">
        <f t="shared" si="175"/>
        <v>370</v>
      </c>
      <c r="AU370" s="238">
        <f t="shared" si="176"/>
        <v>351</v>
      </c>
      <c r="AV370" s="238"/>
      <c r="AW370" s="238"/>
      <c r="CJ370" s="112"/>
      <c r="CK370" s="112"/>
      <c r="CN370" s="112"/>
      <c r="CO370" s="112"/>
      <c r="CP370" s="112"/>
      <c r="CQ370" s="112"/>
      <c r="CR370" s="112"/>
      <c r="CS370" s="112"/>
      <c r="CT370" s="112"/>
      <c r="CU370" s="112"/>
      <c r="CV370" s="112"/>
      <c r="CW370" s="112"/>
      <c r="CX370" s="112"/>
      <c r="CY370" s="112"/>
      <c r="CZ370" s="112"/>
      <c r="DA370" s="112"/>
      <c r="DB370" s="112"/>
      <c r="DC370" s="112"/>
      <c r="DD370" s="112"/>
      <c r="DE370" s="112"/>
      <c r="DF370" s="112"/>
      <c r="DG370" s="112"/>
      <c r="DH370" s="112"/>
      <c r="DI370" s="112"/>
      <c r="DJ370" s="112"/>
      <c r="DK370" s="112"/>
      <c r="DL370" s="112"/>
      <c r="DM370" s="112"/>
      <c r="DN370" s="112"/>
      <c r="DO370" t="e">
        <f t="shared" si="178"/>
        <v>#N/A</v>
      </c>
    </row>
    <row r="371" spans="33:119" x14ac:dyDescent="0.25">
      <c r="AG371" s="238">
        <f>AG370</f>
        <v>90</v>
      </c>
      <c r="AH371" s="112" t="e">
        <f ca="1">AI370+1</f>
        <v>#N/A</v>
      </c>
      <c r="AI371" s="112" t="e">
        <f ca="1">IF(INDIRECT(CONCATENATE("AC",AG370))&lt;100000,INDIRECT(CONCATENATE("AC",AG370))-1,IF(INDIRECT(CONCATENATE("AD",AG370))&lt;100000,INDIRECT(CONCATENATE("AD",AG370))-1,IF(INDIRECT(CONCATENATE("AE",AG370))&lt;100000,INDIRECT(CONCATENATE("AE",G370)),INDIRECT(CONCATENATE("AF",AG370)))))</f>
        <v>#N/A</v>
      </c>
      <c r="AJ371" s="114"/>
      <c r="AK371" s="114"/>
      <c r="AL371" s="238" t="e">
        <f t="shared" ca="1" si="173"/>
        <v>#N/A</v>
      </c>
      <c r="AM371" s="112">
        <f t="shared" ca="1" si="179"/>
        <v>100000</v>
      </c>
      <c r="AN371" s="112">
        <f t="shared" ca="1" si="174"/>
        <v>100000</v>
      </c>
      <c r="AO371" s="114">
        <f t="shared" ca="1" si="171"/>
        <v>0</v>
      </c>
      <c r="AP371" s="114">
        <f t="shared" ca="1" si="172"/>
        <v>0</v>
      </c>
      <c r="AR371" s="238">
        <f t="shared" si="175"/>
        <v>371</v>
      </c>
      <c r="AU371" s="238">
        <f t="shared" si="176"/>
        <v>352</v>
      </c>
      <c r="AV371" s="238"/>
      <c r="AW371" s="238"/>
      <c r="CJ371" s="112"/>
      <c r="CK371" s="112"/>
      <c r="CN371" s="112"/>
      <c r="CO371" s="112"/>
      <c r="CP371" s="112"/>
      <c r="CQ371" s="112"/>
      <c r="CR371" s="112"/>
      <c r="CS371" s="112"/>
      <c r="CT371" s="112"/>
      <c r="CU371" s="112"/>
      <c r="CV371" s="112"/>
      <c r="CW371" s="112"/>
      <c r="CX371" s="112"/>
      <c r="CY371" s="112"/>
      <c r="CZ371" s="112"/>
      <c r="DA371" s="112"/>
      <c r="DB371" s="112"/>
      <c r="DC371" s="112"/>
      <c r="DD371" s="112"/>
      <c r="DE371" s="112"/>
      <c r="DF371" s="112"/>
      <c r="DG371" s="112"/>
      <c r="DH371" s="112"/>
      <c r="DI371" s="112"/>
      <c r="DJ371" s="112"/>
      <c r="DK371" s="112"/>
      <c r="DL371" s="112"/>
      <c r="DM371" s="112"/>
      <c r="DN371" s="112"/>
      <c r="DO371" t="e">
        <f t="shared" si="178"/>
        <v>#N/A</v>
      </c>
    </row>
    <row r="372" spans="33:119" x14ac:dyDescent="0.25">
      <c r="AG372" s="238">
        <f>AG371</f>
        <v>90</v>
      </c>
      <c r="AH372" s="112" t="e">
        <f ca="1">AI371+1</f>
        <v>#N/A</v>
      </c>
      <c r="AI372" s="112" t="e">
        <f ca="1">IF(INDIRECT(CONCATENATE("AD",AG370))&lt;100000,INDIRECT(CONCATENATE("AD",AG370))-1,IF(INDIRECT(CONCATENATE("AE",AG370))&lt;100000,INDIRECT(CONCATENATE("AE",G370)),INDIRECT(CONCATENATE("AF",AG370))))</f>
        <v>#N/A</v>
      </c>
      <c r="AJ372" s="114"/>
      <c r="AK372" s="114"/>
      <c r="AL372" s="238" t="e">
        <f t="shared" ca="1" si="173"/>
        <v>#N/A</v>
      </c>
      <c r="AM372" s="112">
        <f t="shared" ca="1" si="179"/>
        <v>100000</v>
      </c>
      <c r="AN372" s="112">
        <f t="shared" ca="1" si="174"/>
        <v>100000</v>
      </c>
      <c r="AO372" s="114">
        <f t="shared" ca="1" si="171"/>
        <v>0</v>
      </c>
      <c r="AP372" s="114">
        <f t="shared" ca="1" si="172"/>
        <v>0</v>
      </c>
      <c r="AR372" s="238">
        <f t="shared" si="175"/>
        <v>372</v>
      </c>
      <c r="AU372" s="238">
        <f t="shared" si="176"/>
        <v>353</v>
      </c>
      <c r="AV372" s="238"/>
      <c r="AW372" s="238"/>
      <c r="CJ372" s="112"/>
      <c r="CK372" s="112"/>
      <c r="CN372" s="112"/>
      <c r="CO372" s="112"/>
      <c r="CP372" s="112"/>
      <c r="CQ372" s="112"/>
      <c r="CR372" s="112"/>
      <c r="CS372" s="112"/>
      <c r="CT372" s="112"/>
      <c r="CU372" s="112"/>
      <c r="CV372" s="112"/>
      <c r="CW372" s="112"/>
      <c r="CX372" s="112"/>
      <c r="CY372" s="112"/>
      <c r="CZ372" s="112"/>
      <c r="DA372" s="112"/>
      <c r="DB372" s="112"/>
      <c r="DC372" s="112"/>
      <c r="DD372" s="112"/>
      <c r="DE372" s="112"/>
      <c r="DF372" s="112"/>
      <c r="DG372" s="112"/>
      <c r="DH372" s="112"/>
      <c r="DI372" s="112"/>
      <c r="DJ372" s="112"/>
      <c r="DK372" s="112"/>
      <c r="DL372" s="112"/>
      <c r="DM372" s="112"/>
      <c r="DN372" s="112"/>
      <c r="DO372" t="e">
        <f t="shared" si="178"/>
        <v>#N/A</v>
      </c>
    </row>
    <row r="373" spans="33:119" x14ac:dyDescent="0.25">
      <c r="AG373" s="238">
        <f>AG372</f>
        <v>90</v>
      </c>
      <c r="AH373" s="112" t="e">
        <f ca="1">AI372+1</f>
        <v>#N/A</v>
      </c>
      <c r="AI373" s="112" t="e">
        <f ca="1">IF(INDIRECT(CONCATENATE("AE",AG370))&lt;100000,INDIRECT(CONCATENATE("AE",G370)),INDIRECT(CONCATENATE("AF",AG370)))</f>
        <v>#N/A</v>
      </c>
      <c r="AJ373" s="114"/>
      <c r="AK373" s="114"/>
      <c r="AL373" s="238" t="e">
        <f t="shared" ca="1" si="173"/>
        <v>#N/A</v>
      </c>
      <c r="AM373" s="112">
        <f t="shared" ca="1" si="179"/>
        <v>100000</v>
      </c>
      <c r="AN373" s="112">
        <f t="shared" ca="1" si="174"/>
        <v>100000</v>
      </c>
      <c r="AO373" s="114">
        <f t="shared" ca="1" si="171"/>
        <v>0</v>
      </c>
      <c r="AP373" s="114">
        <f t="shared" ca="1" si="172"/>
        <v>0</v>
      </c>
      <c r="AR373" s="238">
        <f t="shared" si="175"/>
        <v>373</v>
      </c>
      <c r="AU373" s="238">
        <f t="shared" si="176"/>
        <v>354</v>
      </c>
      <c r="AV373" s="238"/>
      <c r="AW373" s="238"/>
      <c r="CJ373" s="112"/>
      <c r="CK373" s="112"/>
      <c r="CN373" s="112"/>
      <c r="CO373" s="112"/>
      <c r="CP373" s="112"/>
      <c r="CQ373" s="112"/>
      <c r="CR373" s="112"/>
      <c r="CS373" s="112"/>
      <c r="CT373" s="112"/>
      <c r="CU373" s="112"/>
      <c r="CV373" s="112"/>
      <c r="CW373" s="112"/>
      <c r="CX373" s="112"/>
      <c r="CY373" s="112"/>
      <c r="CZ373" s="112"/>
      <c r="DA373" s="112"/>
      <c r="DB373" s="112"/>
      <c r="DC373" s="112"/>
      <c r="DD373" s="112"/>
      <c r="DE373" s="112"/>
      <c r="DF373" s="112"/>
      <c r="DG373" s="112"/>
      <c r="DH373" s="112"/>
      <c r="DI373" s="112"/>
      <c r="DJ373" s="112"/>
      <c r="DK373" s="112"/>
      <c r="DL373" s="112"/>
      <c r="DM373" s="112"/>
      <c r="DN373" s="112"/>
      <c r="DO373" t="e">
        <f t="shared" si="178"/>
        <v>#N/A</v>
      </c>
    </row>
    <row r="374" spans="33:119" x14ac:dyDescent="0.25">
      <c r="AG374" s="238">
        <f>AG373</f>
        <v>90</v>
      </c>
      <c r="AH374" s="112" t="e">
        <f ca="1">AI373+1</f>
        <v>#N/A</v>
      </c>
      <c r="AI374" s="112">
        <f ca="1">INDIRECT(CONCATENATE("AF",AG370))</f>
        <v>100000</v>
      </c>
      <c r="AJ374" s="114"/>
      <c r="AK374" s="114"/>
      <c r="AL374" s="238" t="e">
        <f t="shared" ca="1" si="173"/>
        <v>#N/A</v>
      </c>
      <c r="AM374" s="112">
        <f t="shared" ca="1" si="179"/>
        <v>100000</v>
      </c>
      <c r="AN374" s="112">
        <f t="shared" ca="1" si="174"/>
        <v>100000</v>
      </c>
      <c r="AO374" s="114">
        <f t="shared" ca="1" si="171"/>
        <v>0</v>
      </c>
      <c r="AP374" s="114">
        <f t="shared" ca="1" si="172"/>
        <v>0</v>
      </c>
      <c r="AR374" s="238">
        <f t="shared" si="175"/>
        <v>374</v>
      </c>
      <c r="AU374" s="238">
        <f t="shared" si="176"/>
        <v>355</v>
      </c>
      <c r="AV374" s="238"/>
      <c r="AW374" s="238"/>
      <c r="CJ374" s="112"/>
      <c r="CK374" s="112"/>
      <c r="CN374" s="112"/>
      <c r="CO374" s="112"/>
      <c r="CP374" s="112"/>
      <c r="CQ374" s="112"/>
      <c r="CR374" s="112"/>
      <c r="CS374" s="112"/>
      <c r="CT374" s="112"/>
      <c r="CU374" s="112"/>
      <c r="CV374" s="112"/>
      <c r="CW374" s="112"/>
      <c r="CX374" s="112"/>
      <c r="CY374" s="112"/>
      <c r="CZ374" s="112"/>
      <c r="DA374" s="112"/>
      <c r="DB374" s="112"/>
      <c r="DC374" s="112"/>
      <c r="DD374" s="112"/>
      <c r="DE374" s="112"/>
      <c r="DF374" s="112"/>
      <c r="DG374" s="112"/>
      <c r="DH374" s="112"/>
      <c r="DI374" s="112"/>
      <c r="DJ374" s="112"/>
      <c r="DK374" s="112"/>
      <c r="DL374" s="112"/>
      <c r="DM374" s="112"/>
      <c r="DN374" s="112"/>
      <c r="DO374" t="e">
        <f t="shared" si="178"/>
        <v>#N/A</v>
      </c>
    </row>
    <row r="375" spans="33:119" x14ac:dyDescent="0.25">
      <c r="AG375" s="238">
        <f>AG374+1</f>
        <v>91</v>
      </c>
      <c r="AH375" s="112">
        <f ca="1">INDIRECT(CONCATENATE("AA",AG375))</f>
        <v>100000</v>
      </c>
      <c r="AI375" s="112" t="e">
        <f ca="1">IF(            INDIRECT(CONCATENATE( "AB",AG375))&lt;100000,       INDIRECT(CONCATENATE("AB",AG375))  -1,IF(   INDIRECT(CONCATENATE("AC",AG375))&lt;100000,   INDIRECT(CONCATENATE("AC",AG375))-1,IF(   INDIRECT(CONCATENATE("AD", AG375))&lt;100000, INDIRECT(CONCATENATE("AD",AG375))-1,IF(   INDIRECT(CONCATENATE("AE",AG375))&lt;100000,  INDIRECT(CONCATENATE("AE",G375)),INDIRECT(CONCATENATE("AF",AG375))                ))))</f>
        <v>#N/A</v>
      </c>
      <c r="AJ375" s="114"/>
      <c r="AK375" s="114"/>
      <c r="AL375" s="238" t="e">
        <f t="shared" ca="1" si="173"/>
        <v>#N/A</v>
      </c>
      <c r="AM375" s="112">
        <f t="shared" ca="1" si="179"/>
        <v>100000</v>
      </c>
      <c r="AN375" s="112">
        <f t="shared" ca="1" si="174"/>
        <v>100000</v>
      </c>
      <c r="AO375" s="114">
        <f t="shared" ca="1" si="171"/>
        <v>0</v>
      </c>
      <c r="AP375" s="114">
        <f t="shared" ca="1" si="172"/>
        <v>0</v>
      </c>
      <c r="AR375" s="238">
        <f t="shared" si="175"/>
        <v>375</v>
      </c>
      <c r="AU375" s="238">
        <f t="shared" si="176"/>
        <v>356</v>
      </c>
      <c r="AV375" s="238"/>
      <c r="AW375" s="238"/>
      <c r="CJ375" s="112"/>
      <c r="CK375" s="112"/>
      <c r="CN375" s="112"/>
      <c r="CO375" s="112"/>
      <c r="CP375" s="112"/>
      <c r="CQ375" s="112"/>
      <c r="CR375" s="112"/>
      <c r="CS375" s="112"/>
      <c r="CT375" s="112"/>
      <c r="CU375" s="112"/>
      <c r="CV375" s="112"/>
      <c r="CW375" s="112"/>
      <c r="CX375" s="112"/>
      <c r="CY375" s="112"/>
      <c r="CZ375" s="112"/>
      <c r="DA375" s="112"/>
      <c r="DB375" s="112"/>
      <c r="DC375" s="112"/>
      <c r="DD375" s="112"/>
      <c r="DE375" s="112"/>
      <c r="DF375" s="112"/>
      <c r="DG375" s="112"/>
      <c r="DH375" s="112"/>
      <c r="DI375" s="112"/>
      <c r="DJ375" s="112"/>
      <c r="DK375" s="112"/>
      <c r="DL375" s="112"/>
      <c r="DM375" s="112"/>
      <c r="DN375" s="112"/>
      <c r="DO375" t="e">
        <f t="shared" si="178"/>
        <v>#N/A</v>
      </c>
    </row>
    <row r="376" spans="33:119" x14ac:dyDescent="0.25">
      <c r="AG376" s="238">
        <f>AG375</f>
        <v>91</v>
      </c>
      <c r="AH376" s="112" t="e">
        <f ca="1">AI375+1</f>
        <v>#N/A</v>
      </c>
      <c r="AI376" s="112" t="e">
        <f ca="1">IF(INDIRECT(CONCATENATE("AC",AG375))&lt;100000,INDIRECT(CONCATENATE("AC",AG375))-1,IF(INDIRECT(CONCATENATE("AD",AG375))&lt;100000,INDIRECT(CONCATENATE("AD",AG375))-1,IF(INDIRECT(CONCATENATE("AE",AG375))&lt;100000,INDIRECT(CONCATENATE("AE",G375)),INDIRECT(CONCATENATE("AF",AG375)))))</f>
        <v>#N/A</v>
      </c>
      <c r="AJ376" s="114"/>
      <c r="AK376" s="114"/>
      <c r="AL376" s="238" t="e">
        <f t="shared" ca="1" si="173"/>
        <v>#N/A</v>
      </c>
      <c r="AM376" s="112">
        <f t="shared" ca="1" si="179"/>
        <v>100000</v>
      </c>
      <c r="AN376" s="112">
        <f t="shared" ca="1" si="174"/>
        <v>100000</v>
      </c>
      <c r="AO376" s="114">
        <f t="shared" ca="1" si="171"/>
        <v>0</v>
      </c>
      <c r="AP376" s="114">
        <f t="shared" ca="1" si="172"/>
        <v>0</v>
      </c>
      <c r="AR376" s="238">
        <f t="shared" si="175"/>
        <v>376</v>
      </c>
      <c r="AU376" s="238">
        <f t="shared" si="176"/>
        <v>357</v>
      </c>
      <c r="AV376" s="238"/>
      <c r="AW376" s="238"/>
      <c r="CJ376" s="112"/>
      <c r="CK376" s="112"/>
      <c r="CN376" s="112"/>
      <c r="CO376" s="112"/>
      <c r="CP376" s="112"/>
      <c r="CQ376" s="112"/>
      <c r="CR376" s="112"/>
      <c r="CS376" s="112"/>
      <c r="CT376" s="112"/>
      <c r="CU376" s="112"/>
      <c r="CV376" s="112"/>
      <c r="CW376" s="112"/>
      <c r="CX376" s="112"/>
      <c r="CY376" s="112"/>
      <c r="CZ376" s="112"/>
      <c r="DA376" s="112"/>
      <c r="DB376" s="112"/>
      <c r="DC376" s="112"/>
      <c r="DD376" s="112"/>
      <c r="DE376" s="112"/>
      <c r="DF376" s="112"/>
      <c r="DG376" s="112"/>
      <c r="DH376" s="112"/>
      <c r="DI376" s="112"/>
      <c r="DJ376" s="112"/>
      <c r="DK376" s="112"/>
      <c r="DL376" s="112"/>
      <c r="DM376" s="112"/>
      <c r="DN376" s="112"/>
      <c r="DO376" t="e">
        <f t="shared" si="178"/>
        <v>#N/A</v>
      </c>
    </row>
    <row r="377" spans="33:119" x14ac:dyDescent="0.25">
      <c r="AG377" s="238">
        <f>AG376</f>
        <v>91</v>
      </c>
      <c r="AH377" s="112" t="e">
        <f ca="1">AI376+1</f>
        <v>#N/A</v>
      </c>
      <c r="AI377" s="112" t="e">
        <f ca="1">IF(INDIRECT(CONCATENATE("AD",AG375))&lt;100000,INDIRECT(CONCATENATE("AD",AG375))-1,IF(INDIRECT(CONCATENATE("AE",AG375))&lt;100000,INDIRECT(CONCATENATE("AE",G375)),INDIRECT(CONCATENATE("AF",AG375))))</f>
        <v>#N/A</v>
      </c>
      <c r="AJ377" s="114"/>
      <c r="AK377" s="114"/>
      <c r="AL377" s="238" t="e">
        <f t="shared" ca="1" si="173"/>
        <v>#N/A</v>
      </c>
      <c r="AM377" s="112">
        <f t="shared" ca="1" si="179"/>
        <v>100000</v>
      </c>
      <c r="AN377" s="112">
        <f t="shared" ca="1" si="174"/>
        <v>100000</v>
      </c>
      <c r="AO377" s="114">
        <f t="shared" ca="1" si="171"/>
        <v>0</v>
      </c>
      <c r="AP377" s="114">
        <f t="shared" ca="1" si="172"/>
        <v>0</v>
      </c>
      <c r="AR377" s="238">
        <f t="shared" si="175"/>
        <v>377</v>
      </c>
      <c r="AU377" s="238">
        <f t="shared" si="176"/>
        <v>358</v>
      </c>
      <c r="AV377" s="238"/>
      <c r="AW377" s="238"/>
      <c r="CJ377" s="112"/>
      <c r="CK377" s="112"/>
      <c r="CN377" s="112"/>
      <c r="CO377" s="112"/>
      <c r="CP377" s="112"/>
      <c r="CQ377" s="112"/>
      <c r="CR377" s="112"/>
      <c r="CS377" s="112"/>
      <c r="CT377" s="112"/>
      <c r="CU377" s="112"/>
      <c r="CV377" s="112"/>
      <c r="CW377" s="112"/>
      <c r="CX377" s="112"/>
      <c r="CY377" s="112"/>
      <c r="CZ377" s="112"/>
      <c r="DA377" s="112"/>
      <c r="DB377" s="112"/>
      <c r="DC377" s="112"/>
      <c r="DD377" s="112"/>
      <c r="DE377" s="112"/>
      <c r="DF377" s="112"/>
      <c r="DG377" s="112"/>
      <c r="DH377" s="112"/>
      <c r="DI377" s="112"/>
      <c r="DJ377" s="112"/>
      <c r="DK377" s="112"/>
      <c r="DL377" s="112"/>
      <c r="DM377" s="112"/>
      <c r="DN377" s="112"/>
      <c r="DO377" t="e">
        <f t="shared" si="178"/>
        <v>#N/A</v>
      </c>
    </row>
    <row r="378" spans="33:119" x14ac:dyDescent="0.25">
      <c r="AG378" s="238">
        <f>AG377</f>
        <v>91</v>
      </c>
      <c r="AH378" s="112" t="e">
        <f ca="1">AI377+1</f>
        <v>#N/A</v>
      </c>
      <c r="AI378" s="112" t="e">
        <f ca="1">IF(INDIRECT(CONCATENATE("AE",AG375))&lt;100000,INDIRECT(CONCATENATE("AE",G375)),INDIRECT(CONCATENATE("AF",AG375)))</f>
        <v>#N/A</v>
      </c>
      <c r="AJ378" s="114"/>
      <c r="AK378" s="114"/>
      <c r="AL378" s="238" t="e">
        <f t="shared" ca="1" si="173"/>
        <v>#N/A</v>
      </c>
      <c r="AM378" s="112">
        <f t="shared" ca="1" si="179"/>
        <v>100000</v>
      </c>
      <c r="AN378" s="112">
        <f t="shared" ca="1" si="174"/>
        <v>100000</v>
      </c>
      <c r="AO378" s="114">
        <f t="shared" ca="1" si="171"/>
        <v>0</v>
      </c>
      <c r="AP378" s="114">
        <f t="shared" ca="1" si="172"/>
        <v>0</v>
      </c>
      <c r="AR378" s="238">
        <f t="shared" si="175"/>
        <v>378</v>
      </c>
      <c r="AU378" s="238">
        <f t="shared" si="176"/>
        <v>359</v>
      </c>
      <c r="AV378" s="238"/>
      <c r="AW378" s="238"/>
      <c r="CJ378" s="112"/>
      <c r="CK378" s="112"/>
      <c r="CN378" s="112"/>
      <c r="CO378" s="112"/>
      <c r="CP378" s="112"/>
      <c r="CQ378" s="112"/>
      <c r="CR378" s="112"/>
      <c r="CS378" s="112"/>
      <c r="CT378" s="112"/>
      <c r="CU378" s="112"/>
      <c r="CV378" s="112"/>
      <c r="CW378" s="112"/>
      <c r="CX378" s="112"/>
      <c r="CY378" s="112"/>
      <c r="CZ378" s="112"/>
      <c r="DA378" s="112"/>
      <c r="DB378" s="112"/>
      <c r="DC378" s="112"/>
      <c r="DD378" s="112"/>
      <c r="DE378" s="112"/>
      <c r="DF378" s="112"/>
      <c r="DG378" s="112"/>
      <c r="DH378" s="112"/>
      <c r="DI378" s="112"/>
      <c r="DJ378" s="112"/>
      <c r="DK378" s="112"/>
      <c r="DL378" s="112"/>
      <c r="DM378" s="112"/>
      <c r="DN378" s="112"/>
      <c r="DO378" t="e">
        <f t="shared" si="178"/>
        <v>#N/A</v>
      </c>
    </row>
    <row r="379" spans="33:119" x14ac:dyDescent="0.25">
      <c r="AG379" s="238">
        <f>AG378</f>
        <v>91</v>
      </c>
      <c r="AH379" s="112" t="e">
        <f ca="1">AI378+1</f>
        <v>#N/A</v>
      </c>
      <c r="AI379" s="112">
        <f ca="1">INDIRECT(CONCATENATE("AF",AG375))</f>
        <v>100000</v>
      </c>
      <c r="AJ379" s="114"/>
      <c r="AK379" s="114"/>
      <c r="AL379" s="238" t="e">
        <f t="shared" ca="1" si="173"/>
        <v>#N/A</v>
      </c>
      <c r="AM379" s="112">
        <f t="shared" ca="1" si="179"/>
        <v>100000</v>
      </c>
      <c r="AN379" s="112">
        <f t="shared" ca="1" si="174"/>
        <v>100000</v>
      </c>
      <c r="AO379" s="114">
        <f t="shared" ca="1" si="171"/>
        <v>0</v>
      </c>
      <c r="AP379" s="114">
        <f t="shared" ca="1" si="172"/>
        <v>0</v>
      </c>
      <c r="AR379" s="238">
        <f t="shared" si="175"/>
        <v>379</v>
      </c>
      <c r="AU379" s="238">
        <f t="shared" si="176"/>
        <v>360</v>
      </c>
      <c r="AV379" s="238"/>
      <c r="AW379" s="238"/>
      <c r="CJ379" s="112"/>
      <c r="CK379" s="112"/>
      <c r="CN379" s="112"/>
      <c r="CO379" s="112"/>
      <c r="CP379" s="112"/>
      <c r="CQ379" s="112"/>
      <c r="CR379" s="112"/>
      <c r="CS379" s="112"/>
      <c r="CT379" s="112"/>
      <c r="CU379" s="112"/>
      <c r="CV379" s="112"/>
      <c r="CW379" s="112"/>
      <c r="CX379" s="112"/>
      <c r="CY379" s="112"/>
      <c r="CZ379" s="112"/>
      <c r="DA379" s="112"/>
      <c r="DB379" s="112"/>
      <c r="DC379" s="112"/>
      <c r="DD379" s="112"/>
      <c r="DE379" s="112"/>
      <c r="DF379" s="112"/>
      <c r="DG379" s="112"/>
      <c r="DH379" s="112"/>
      <c r="DI379" s="112"/>
      <c r="DJ379" s="112"/>
      <c r="DK379" s="112"/>
      <c r="DL379" s="112"/>
      <c r="DM379" s="112"/>
      <c r="DN379" s="112"/>
      <c r="DO379" t="e">
        <f t="shared" si="178"/>
        <v>#N/A</v>
      </c>
    </row>
    <row r="380" spans="33:119" x14ac:dyDescent="0.25">
      <c r="AG380" s="238">
        <f>AG379+1</f>
        <v>92</v>
      </c>
      <c r="AH380" s="112">
        <f ca="1">INDIRECT(CONCATENATE("AA",AG380))</f>
        <v>100000</v>
      </c>
      <c r="AI380" s="112" t="e">
        <f ca="1">IF(            INDIRECT(CONCATENATE( "AB",AG380))&lt;100000,       INDIRECT(CONCATENATE("AB",AG380))  -1,IF(   INDIRECT(CONCATENATE("AC",AG380))&lt;100000,   INDIRECT(CONCATENATE("AC",AG380))-1,IF(   INDIRECT(CONCATENATE("AD", AG380))&lt;100000, INDIRECT(CONCATENATE("AD",AG380))-1,IF(   INDIRECT(CONCATENATE("AE",AG380))&lt;100000,  INDIRECT(CONCATENATE("AE",G380)),INDIRECT(CONCATENATE("AF",AG380))                ))))</f>
        <v>#N/A</v>
      </c>
      <c r="AJ380" s="114"/>
      <c r="AK380" s="114"/>
      <c r="AL380" s="238" t="e">
        <f t="shared" ca="1" si="173"/>
        <v>#N/A</v>
      </c>
      <c r="AM380" s="112">
        <f t="shared" ca="1" si="179"/>
        <v>100000</v>
      </c>
      <c r="AN380" s="112">
        <f t="shared" ca="1" si="174"/>
        <v>100000</v>
      </c>
      <c r="AO380" s="114">
        <f t="shared" ca="1" si="171"/>
        <v>0</v>
      </c>
      <c r="AP380" s="114">
        <f t="shared" ca="1" si="172"/>
        <v>0</v>
      </c>
      <c r="AR380" s="238">
        <f t="shared" si="175"/>
        <v>380</v>
      </c>
      <c r="AU380" s="238">
        <f t="shared" si="176"/>
        <v>361</v>
      </c>
      <c r="AV380" s="238"/>
      <c r="AW380" s="238"/>
      <c r="CJ380" s="112"/>
      <c r="CK380" s="112"/>
      <c r="CN380" s="112"/>
      <c r="CO380" s="112"/>
      <c r="CP380" s="112"/>
      <c r="CQ380" s="112"/>
      <c r="CR380" s="112"/>
      <c r="CS380" s="112"/>
      <c r="CT380" s="112"/>
      <c r="CU380" s="112"/>
      <c r="CV380" s="112"/>
      <c r="CW380" s="112"/>
      <c r="CX380" s="112"/>
      <c r="CY380" s="112"/>
      <c r="CZ380" s="112"/>
      <c r="DA380" s="112"/>
      <c r="DB380" s="112"/>
      <c r="DC380" s="112"/>
      <c r="DD380" s="112"/>
      <c r="DE380" s="112"/>
      <c r="DF380" s="112"/>
      <c r="DG380" s="112"/>
      <c r="DH380" s="112"/>
      <c r="DI380" s="112"/>
      <c r="DJ380" s="112"/>
      <c r="DK380" s="112"/>
      <c r="DL380" s="112"/>
      <c r="DM380" s="112"/>
      <c r="DN380" s="112"/>
      <c r="DO380" t="e">
        <f t="shared" si="178"/>
        <v>#N/A</v>
      </c>
    </row>
    <row r="381" spans="33:119" x14ac:dyDescent="0.25">
      <c r="AG381" s="238">
        <f>AG380</f>
        <v>92</v>
      </c>
      <c r="AH381" s="112" t="e">
        <f ca="1">AI380+1</f>
        <v>#N/A</v>
      </c>
      <c r="AI381" s="112" t="e">
        <f ca="1">IF(INDIRECT(CONCATENATE("AC",AG380))&lt;100000,INDIRECT(CONCATENATE("AC",AG380))-1,IF(INDIRECT(CONCATENATE("AD",AG380))&lt;100000,INDIRECT(CONCATENATE("AD",AG380))-1,IF(INDIRECT(CONCATENATE("AE",AG380))&lt;100000,INDIRECT(CONCATENATE("AE",G380)),INDIRECT(CONCATENATE("AF",AG380)))))</f>
        <v>#N/A</v>
      </c>
      <c r="AJ381" s="114"/>
      <c r="AK381" s="114"/>
      <c r="AL381" s="238" t="e">
        <f t="shared" ca="1" si="173"/>
        <v>#N/A</v>
      </c>
      <c r="AM381" s="112">
        <f t="shared" ca="1" si="179"/>
        <v>100000</v>
      </c>
      <c r="AN381" s="112">
        <f t="shared" ca="1" si="174"/>
        <v>100000</v>
      </c>
      <c r="AO381" s="114">
        <f t="shared" ca="1" si="171"/>
        <v>0</v>
      </c>
      <c r="AP381" s="114">
        <f t="shared" ca="1" si="172"/>
        <v>0</v>
      </c>
      <c r="AR381" s="238">
        <f t="shared" si="175"/>
        <v>381</v>
      </c>
      <c r="AU381" s="238">
        <f t="shared" si="176"/>
        <v>362</v>
      </c>
      <c r="AV381" s="238"/>
      <c r="AW381" s="238"/>
      <c r="CJ381" s="112"/>
      <c r="CK381" s="112"/>
      <c r="CN381" s="112"/>
      <c r="CO381" s="112"/>
      <c r="CP381" s="112"/>
      <c r="CQ381" s="112"/>
      <c r="CR381" s="112"/>
      <c r="CS381" s="112"/>
      <c r="CT381" s="112"/>
      <c r="CU381" s="112"/>
      <c r="CV381" s="112"/>
      <c r="CW381" s="112"/>
      <c r="CX381" s="112"/>
      <c r="CY381" s="112"/>
      <c r="CZ381" s="112"/>
      <c r="DA381" s="112"/>
      <c r="DB381" s="112"/>
      <c r="DC381" s="112"/>
      <c r="DD381" s="112"/>
      <c r="DE381" s="112"/>
      <c r="DF381" s="112"/>
      <c r="DG381" s="112"/>
      <c r="DH381" s="112"/>
      <c r="DI381" s="112"/>
      <c r="DJ381" s="112"/>
      <c r="DK381" s="112"/>
      <c r="DL381" s="112"/>
      <c r="DM381" s="112"/>
      <c r="DN381" s="112"/>
      <c r="DO381" t="e">
        <f t="shared" si="178"/>
        <v>#N/A</v>
      </c>
    </row>
    <row r="382" spans="33:119" x14ac:dyDescent="0.25">
      <c r="AG382" s="238">
        <f>AG381</f>
        <v>92</v>
      </c>
      <c r="AH382" s="112" t="e">
        <f ca="1">AI381+1</f>
        <v>#N/A</v>
      </c>
      <c r="AI382" s="112" t="e">
        <f ca="1">IF(INDIRECT(CONCATENATE("AD",AG380))&lt;100000,INDIRECT(CONCATENATE("AD",AG380))-1,IF(INDIRECT(CONCATENATE("AE",AG380))&lt;100000,INDIRECT(CONCATENATE("AE",G380)),INDIRECT(CONCATENATE("AF",AG380))))</f>
        <v>#N/A</v>
      </c>
      <c r="AJ382" s="114"/>
      <c r="AK382" s="114"/>
      <c r="AL382" s="238" t="e">
        <f t="shared" ca="1" si="173"/>
        <v>#N/A</v>
      </c>
      <c r="AM382" s="112">
        <f t="shared" ca="1" si="179"/>
        <v>100000</v>
      </c>
      <c r="AN382" s="112">
        <f t="shared" ca="1" si="174"/>
        <v>100000</v>
      </c>
      <c r="AO382" s="114">
        <f t="shared" ca="1" si="171"/>
        <v>0</v>
      </c>
      <c r="AP382" s="114">
        <f t="shared" ca="1" si="172"/>
        <v>0</v>
      </c>
      <c r="AR382" s="238">
        <f t="shared" si="175"/>
        <v>382</v>
      </c>
      <c r="AU382" s="238">
        <f t="shared" si="176"/>
        <v>363</v>
      </c>
      <c r="AV382" s="238"/>
      <c r="AW382" s="238"/>
      <c r="CJ382" s="112"/>
      <c r="CK382" s="112"/>
      <c r="CN382" s="112"/>
      <c r="CO382" s="112"/>
      <c r="CP382" s="112"/>
      <c r="CQ382" s="112"/>
      <c r="CR382" s="112"/>
      <c r="CS382" s="112"/>
      <c r="CT382" s="112"/>
      <c r="CU382" s="112"/>
      <c r="CV382" s="112"/>
      <c r="CW382" s="112"/>
      <c r="CX382" s="112"/>
      <c r="CY382" s="112"/>
      <c r="CZ382" s="112"/>
      <c r="DA382" s="112"/>
      <c r="DB382" s="112"/>
      <c r="DC382" s="112"/>
      <c r="DD382" s="112"/>
      <c r="DE382" s="112"/>
      <c r="DF382" s="112"/>
      <c r="DG382" s="112"/>
      <c r="DH382" s="112"/>
      <c r="DI382" s="112"/>
      <c r="DJ382" s="112"/>
      <c r="DK382" s="112"/>
      <c r="DL382" s="112"/>
      <c r="DM382" s="112"/>
      <c r="DN382" s="112"/>
      <c r="DO382" t="e">
        <f t="shared" si="178"/>
        <v>#N/A</v>
      </c>
    </row>
    <row r="383" spans="33:119" x14ac:dyDescent="0.25">
      <c r="AG383" s="238">
        <f>AG382</f>
        <v>92</v>
      </c>
      <c r="AH383" s="112" t="e">
        <f ca="1">AI382+1</f>
        <v>#N/A</v>
      </c>
      <c r="AI383" s="112" t="e">
        <f ca="1">IF(INDIRECT(CONCATENATE("AE",AG380))&lt;100000,INDIRECT(CONCATENATE("AE",G380)),INDIRECT(CONCATENATE("AF",AG380)))</f>
        <v>#N/A</v>
      </c>
      <c r="AJ383" s="114"/>
      <c r="AK383" s="114"/>
      <c r="AL383" s="238" t="e">
        <f t="shared" ca="1" si="173"/>
        <v>#N/A</v>
      </c>
      <c r="AM383" s="112">
        <f t="shared" ca="1" si="179"/>
        <v>100000</v>
      </c>
      <c r="AN383" s="112">
        <f t="shared" ca="1" si="174"/>
        <v>100000</v>
      </c>
      <c r="AO383" s="114">
        <f t="shared" ca="1" si="171"/>
        <v>0</v>
      </c>
      <c r="AP383" s="114">
        <f t="shared" ca="1" si="172"/>
        <v>0</v>
      </c>
      <c r="AR383" s="238">
        <f t="shared" si="175"/>
        <v>383</v>
      </c>
      <c r="AU383" s="238">
        <f t="shared" si="176"/>
        <v>364</v>
      </c>
      <c r="AV383" s="238"/>
      <c r="AW383" s="238"/>
      <c r="CJ383" s="112"/>
      <c r="CK383" s="112"/>
      <c r="CN383" s="112"/>
      <c r="CO383" s="112"/>
      <c r="CP383" s="112"/>
      <c r="CQ383" s="112"/>
      <c r="CR383" s="112"/>
      <c r="CS383" s="112"/>
      <c r="CT383" s="112"/>
      <c r="CU383" s="112"/>
      <c r="CV383" s="112"/>
      <c r="CW383" s="112"/>
      <c r="CX383" s="112"/>
      <c r="CY383" s="112"/>
      <c r="CZ383" s="112"/>
      <c r="DA383" s="112"/>
      <c r="DB383" s="112"/>
      <c r="DC383" s="112"/>
      <c r="DD383" s="112"/>
      <c r="DE383" s="112"/>
      <c r="DF383" s="112"/>
      <c r="DG383" s="112"/>
      <c r="DH383" s="112"/>
      <c r="DI383" s="112"/>
      <c r="DJ383" s="112"/>
      <c r="DK383" s="112"/>
      <c r="DL383" s="112"/>
      <c r="DM383" s="112"/>
      <c r="DN383" s="112"/>
      <c r="DO383" t="e">
        <f t="shared" si="178"/>
        <v>#N/A</v>
      </c>
    </row>
    <row r="384" spans="33:119" x14ac:dyDescent="0.25">
      <c r="AG384" s="238">
        <f>AG383</f>
        <v>92</v>
      </c>
      <c r="AH384" s="112" t="e">
        <f ca="1">AI383+1</f>
        <v>#N/A</v>
      </c>
      <c r="AI384" s="112">
        <f ca="1">INDIRECT(CONCATENATE("AF",AG380))</f>
        <v>100000</v>
      </c>
      <c r="AJ384" s="114"/>
      <c r="AK384" s="114"/>
      <c r="AL384" s="238" t="e">
        <f t="shared" ca="1" si="173"/>
        <v>#N/A</v>
      </c>
      <c r="AM384" s="112">
        <f t="shared" ca="1" si="179"/>
        <v>100000</v>
      </c>
      <c r="AN384" s="112">
        <f t="shared" ca="1" si="174"/>
        <v>100000</v>
      </c>
      <c r="AO384" s="114">
        <f t="shared" ca="1" si="171"/>
        <v>0</v>
      </c>
      <c r="AP384" s="114">
        <f t="shared" ca="1" si="172"/>
        <v>0</v>
      </c>
      <c r="AR384" s="238">
        <f t="shared" si="175"/>
        <v>384</v>
      </c>
      <c r="AU384" s="238">
        <f t="shared" si="176"/>
        <v>365</v>
      </c>
      <c r="AV384" s="238"/>
      <c r="AW384" s="238"/>
      <c r="CJ384" s="112"/>
      <c r="CK384" s="112"/>
      <c r="CN384" s="112"/>
      <c r="CO384" s="112"/>
      <c r="CP384" s="112"/>
      <c r="CQ384" s="112"/>
      <c r="CR384" s="112"/>
      <c r="CS384" s="112"/>
      <c r="CT384" s="112"/>
      <c r="CU384" s="112"/>
      <c r="CV384" s="112"/>
      <c r="CW384" s="112"/>
      <c r="CX384" s="112"/>
      <c r="CY384" s="112"/>
      <c r="CZ384" s="112"/>
      <c r="DA384" s="112"/>
      <c r="DB384" s="112"/>
      <c r="DC384" s="112"/>
      <c r="DD384" s="112"/>
      <c r="DE384" s="112"/>
      <c r="DF384" s="112"/>
      <c r="DG384" s="112"/>
      <c r="DH384" s="112"/>
      <c r="DI384" s="112"/>
      <c r="DJ384" s="112"/>
      <c r="DK384" s="112"/>
      <c r="DL384" s="112"/>
      <c r="DM384" s="112"/>
      <c r="DN384" s="112"/>
      <c r="DO384" t="e">
        <f t="shared" si="178"/>
        <v>#N/A</v>
      </c>
    </row>
    <row r="385" spans="33:119" x14ac:dyDescent="0.25">
      <c r="AG385" s="238">
        <f>AG384+1</f>
        <v>93</v>
      </c>
      <c r="AH385" s="112">
        <f ca="1">INDIRECT(CONCATENATE("AA",AG385))</f>
        <v>100000</v>
      </c>
      <c r="AI385" s="112" t="e">
        <f ca="1">IF(            INDIRECT(CONCATENATE( "AB",AG385))&lt;100000,       INDIRECT(CONCATENATE("AB",AG385))  -1,IF(   INDIRECT(CONCATENATE("AC",AG385))&lt;100000,   INDIRECT(CONCATENATE("AC",AG385))-1,IF(   INDIRECT(CONCATENATE("AD", AG385))&lt;100000, INDIRECT(CONCATENATE("AD",AG385))-1,IF(   INDIRECT(CONCATENATE("AE",AG385))&lt;100000,  INDIRECT(CONCATENATE("AE",G385)),INDIRECT(CONCATENATE("AF",AG385))                ))))</f>
        <v>#N/A</v>
      </c>
      <c r="AJ385" s="114"/>
      <c r="AK385" s="114"/>
      <c r="AL385" s="238" t="e">
        <f t="shared" ca="1" si="173"/>
        <v>#N/A</v>
      </c>
      <c r="AM385" s="112">
        <f t="shared" ca="1" si="179"/>
        <v>100000</v>
      </c>
      <c r="AN385" s="112">
        <f t="shared" ca="1" si="174"/>
        <v>100000</v>
      </c>
      <c r="AO385" s="114">
        <f t="shared" ca="1" si="171"/>
        <v>0</v>
      </c>
      <c r="AP385" s="114">
        <f t="shared" ca="1" si="172"/>
        <v>0</v>
      </c>
      <c r="AR385" s="238">
        <f t="shared" si="175"/>
        <v>385</v>
      </c>
      <c r="AU385" s="238">
        <f t="shared" si="176"/>
        <v>366</v>
      </c>
      <c r="AV385" s="238"/>
      <c r="AW385" s="238"/>
      <c r="CJ385" s="112"/>
      <c r="CK385" s="112"/>
      <c r="CN385" s="112"/>
      <c r="CO385" s="112"/>
      <c r="CP385" s="112"/>
      <c r="CQ385" s="112"/>
      <c r="CR385" s="112"/>
      <c r="CS385" s="112"/>
      <c r="CT385" s="112"/>
      <c r="CU385" s="112"/>
      <c r="CV385" s="112"/>
      <c r="CW385" s="112"/>
      <c r="CX385" s="112"/>
      <c r="CY385" s="112"/>
      <c r="CZ385" s="112"/>
      <c r="DA385" s="112"/>
      <c r="DB385" s="112"/>
      <c r="DC385" s="112"/>
      <c r="DD385" s="112"/>
      <c r="DE385" s="112"/>
      <c r="DF385" s="112"/>
      <c r="DG385" s="112"/>
      <c r="DH385" s="112"/>
      <c r="DI385" s="112"/>
      <c r="DJ385" s="112"/>
      <c r="DK385" s="112"/>
      <c r="DL385" s="112"/>
      <c r="DM385" s="112"/>
      <c r="DN385" s="112"/>
      <c r="DO385" t="e">
        <f t="shared" si="178"/>
        <v>#N/A</v>
      </c>
    </row>
    <row r="386" spans="33:119" x14ac:dyDescent="0.25">
      <c r="AG386" s="238">
        <f>AG385</f>
        <v>93</v>
      </c>
      <c r="AH386" s="112" t="e">
        <f ca="1">AI385+1</f>
        <v>#N/A</v>
      </c>
      <c r="AI386" s="112" t="e">
        <f ca="1">IF(INDIRECT(CONCATENATE("AC",AG385))&lt;100000,INDIRECT(CONCATENATE("AC",AG385))-1,IF(INDIRECT(CONCATENATE("AD",AG385))&lt;100000,INDIRECT(CONCATENATE("AD",AG385))-1,IF(INDIRECT(CONCATENATE("AE",AG385))&lt;100000,INDIRECT(CONCATENATE("AE",G385)),INDIRECT(CONCATENATE("AF",AG385)))))</f>
        <v>#N/A</v>
      </c>
      <c r="AJ386" s="114"/>
      <c r="AK386" s="114"/>
      <c r="AL386" s="238" t="e">
        <f t="shared" ca="1" si="173"/>
        <v>#N/A</v>
      </c>
      <c r="AM386" s="112">
        <f t="shared" ca="1" si="179"/>
        <v>100000</v>
      </c>
      <c r="AN386" s="112">
        <f t="shared" ca="1" si="174"/>
        <v>100000</v>
      </c>
      <c r="AO386" s="114">
        <f t="shared" ca="1" si="171"/>
        <v>0</v>
      </c>
      <c r="AP386" s="114">
        <f t="shared" ca="1" si="172"/>
        <v>0</v>
      </c>
      <c r="AR386" s="238">
        <f t="shared" si="175"/>
        <v>386</v>
      </c>
      <c r="AU386" s="238">
        <f t="shared" si="176"/>
        <v>367</v>
      </c>
      <c r="AV386" s="238"/>
      <c r="AW386" s="238"/>
      <c r="CJ386" s="112"/>
      <c r="CK386" s="112"/>
      <c r="CN386" s="112"/>
      <c r="CO386" s="112"/>
      <c r="CP386" s="112"/>
      <c r="CQ386" s="112"/>
      <c r="CR386" s="112"/>
      <c r="CS386" s="112"/>
      <c r="CT386" s="112"/>
      <c r="CU386" s="112"/>
      <c r="CV386" s="112"/>
      <c r="CW386" s="112"/>
      <c r="CX386" s="112"/>
      <c r="CY386" s="112"/>
      <c r="CZ386" s="112"/>
      <c r="DA386" s="112"/>
      <c r="DB386" s="112"/>
      <c r="DC386" s="112"/>
      <c r="DD386" s="112"/>
      <c r="DE386" s="112"/>
      <c r="DF386" s="112"/>
      <c r="DG386" s="112"/>
      <c r="DH386" s="112"/>
      <c r="DI386" s="112"/>
      <c r="DJ386" s="112"/>
      <c r="DK386" s="112"/>
      <c r="DL386" s="112"/>
      <c r="DM386" s="112"/>
      <c r="DN386" s="112"/>
      <c r="DO386" t="e">
        <f t="shared" si="178"/>
        <v>#N/A</v>
      </c>
    </row>
    <row r="387" spans="33:119" x14ac:dyDescent="0.25">
      <c r="AG387" s="238">
        <f>AG386</f>
        <v>93</v>
      </c>
      <c r="AH387" s="112" t="e">
        <f ca="1">AI386+1</f>
        <v>#N/A</v>
      </c>
      <c r="AI387" s="112" t="e">
        <f ca="1">IF(INDIRECT(CONCATENATE("AD",AG385))&lt;100000,INDIRECT(CONCATENATE("AD",AG385))-1,IF(INDIRECT(CONCATENATE("AE",AG385))&lt;100000,INDIRECT(CONCATENATE("AE",G385)),INDIRECT(CONCATENATE("AF",AG385))))</f>
        <v>#N/A</v>
      </c>
      <c r="AJ387" s="114"/>
      <c r="AK387" s="114"/>
      <c r="AL387" s="238" t="e">
        <f t="shared" ca="1" si="173"/>
        <v>#N/A</v>
      </c>
      <c r="AM387" s="112">
        <f t="shared" ca="1" si="179"/>
        <v>100000</v>
      </c>
      <c r="AN387" s="112">
        <f t="shared" ca="1" si="174"/>
        <v>100000</v>
      </c>
      <c r="AO387" s="114">
        <f t="shared" ca="1" si="171"/>
        <v>0</v>
      </c>
      <c r="AP387" s="114">
        <f t="shared" ca="1" si="172"/>
        <v>0</v>
      </c>
      <c r="AR387" s="238">
        <f t="shared" si="175"/>
        <v>387</v>
      </c>
      <c r="AU387" s="238">
        <f t="shared" si="176"/>
        <v>368</v>
      </c>
      <c r="AV387" s="238"/>
      <c r="AW387" s="238"/>
      <c r="CJ387" s="112"/>
      <c r="CK387" s="112"/>
      <c r="CN387" s="112"/>
      <c r="CO387" s="112"/>
      <c r="CP387" s="112"/>
      <c r="CQ387" s="112"/>
      <c r="CR387" s="112"/>
      <c r="CS387" s="112"/>
      <c r="CT387" s="112"/>
      <c r="CU387" s="112"/>
      <c r="CV387" s="112"/>
      <c r="CW387" s="112"/>
      <c r="CX387" s="112"/>
      <c r="CY387" s="112"/>
      <c r="CZ387" s="112"/>
      <c r="DA387" s="112"/>
      <c r="DB387" s="112"/>
      <c r="DC387" s="112"/>
      <c r="DD387" s="112"/>
      <c r="DE387" s="112"/>
      <c r="DF387" s="112"/>
      <c r="DG387" s="112"/>
      <c r="DH387" s="112"/>
      <c r="DI387" s="112"/>
      <c r="DJ387" s="112"/>
      <c r="DK387" s="112"/>
      <c r="DL387" s="112"/>
      <c r="DM387" s="112"/>
      <c r="DN387" s="112"/>
      <c r="DO387" t="e">
        <f t="shared" si="178"/>
        <v>#N/A</v>
      </c>
    </row>
    <row r="388" spans="33:119" x14ac:dyDescent="0.25">
      <c r="AG388" s="238">
        <f>AG387</f>
        <v>93</v>
      </c>
      <c r="AH388" s="112" t="e">
        <f ca="1">AI387+1</f>
        <v>#N/A</v>
      </c>
      <c r="AI388" s="112" t="e">
        <f ca="1">IF(INDIRECT(CONCATENATE("AE",AG385))&lt;100000,INDIRECT(CONCATENATE("AE",G385)),INDIRECT(CONCATENATE("AF",AG385)))</f>
        <v>#N/A</v>
      </c>
      <c r="AJ388" s="114"/>
      <c r="AK388" s="114"/>
      <c r="AL388" s="238" t="e">
        <f t="shared" ca="1" si="173"/>
        <v>#N/A</v>
      </c>
      <c r="AM388" s="112">
        <f t="shared" ca="1" si="179"/>
        <v>100000</v>
      </c>
      <c r="AN388" s="112">
        <f t="shared" ca="1" si="174"/>
        <v>100000</v>
      </c>
      <c r="AO388" s="114">
        <f t="shared" ca="1" si="171"/>
        <v>0</v>
      </c>
      <c r="AP388" s="114">
        <f t="shared" ca="1" si="172"/>
        <v>0</v>
      </c>
      <c r="AR388" s="238">
        <f t="shared" si="175"/>
        <v>388</v>
      </c>
      <c r="AU388" s="238">
        <f t="shared" si="176"/>
        <v>369</v>
      </c>
      <c r="AV388" s="238"/>
      <c r="AW388" s="238"/>
      <c r="CJ388" s="112"/>
      <c r="CK388" s="112"/>
      <c r="CN388" s="112"/>
      <c r="CO388" s="112"/>
      <c r="CP388" s="112"/>
      <c r="CQ388" s="112"/>
      <c r="CR388" s="112"/>
      <c r="CS388" s="112"/>
      <c r="CT388" s="112"/>
      <c r="CU388" s="112"/>
      <c r="CV388" s="112"/>
      <c r="CW388" s="112"/>
      <c r="CX388" s="112"/>
      <c r="CY388" s="112"/>
      <c r="CZ388" s="112"/>
      <c r="DA388" s="112"/>
      <c r="DB388" s="112"/>
      <c r="DC388" s="112"/>
      <c r="DD388" s="112"/>
      <c r="DE388" s="112"/>
      <c r="DF388" s="112"/>
      <c r="DG388" s="112"/>
      <c r="DH388" s="112"/>
      <c r="DI388" s="112"/>
      <c r="DJ388" s="112"/>
      <c r="DK388" s="112"/>
      <c r="DL388" s="112"/>
      <c r="DM388" s="112"/>
      <c r="DN388" s="112"/>
      <c r="DO388" t="e">
        <f t="shared" si="178"/>
        <v>#N/A</v>
      </c>
    </row>
    <row r="389" spans="33:119" x14ac:dyDescent="0.25">
      <c r="AG389" s="238">
        <f>AG388</f>
        <v>93</v>
      </c>
      <c r="AH389" s="112" t="e">
        <f ca="1">AI388+1</f>
        <v>#N/A</v>
      </c>
      <c r="AI389" s="112">
        <f ca="1">INDIRECT(CONCATENATE("AF",AG385))</f>
        <v>100000</v>
      </c>
      <c r="AJ389" s="114"/>
      <c r="AK389" s="114"/>
      <c r="AL389" s="238" t="e">
        <f t="shared" ca="1" si="173"/>
        <v>#N/A</v>
      </c>
      <c r="AM389" s="112">
        <f t="shared" ca="1" si="179"/>
        <v>100000</v>
      </c>
      <c r="AN389" s="112">
        <f t="shared" ca="1" si="174"/>
        <v>100000</v>
      </c>
      <c r="AO389" s="114">
        <f t="shared" ca="1" si="171"/>
        <v>0</v>
      </c>
      <c r="AP389" s="114">
        <f t="shared" ca="1" si="172"/>
        <v>0</v>
      </c>
      <c r="AR389" s="238">
        <f t="shared" si="175"/>
        <v>389</v>
      </c>
      <c r="AU389" s="238">
        <f t="shared" si="176"/>
        <v>370</v>
      </c>
      <c r="AV389" s="238"/>
      <c r="AW389" s="238"/>
      <c r="CJ389" s="112"/>
      <c r="CK389" s="112"/>
      <c r="CN389" s="112"/>
      <c r="CO389" s="112"/>
      <c r="CP389" s="112"/>
      <c r="CQ389" s="112"/>
      <c r="CR389" s="112"/>
      <c r="CS389" s="112"/>
      <c r="CT389" s="112"/>
      <c r="CU389" s="112"/>
      <c r="CV389" s="112"/>
      <c r="CW389" s="112"/>
      <c r="CX389" s="112"/>
      <c r="CY389" s="112"/>
      <c r="CZ389" s="112"/>
      <c r="DA389" s="112"/>
      <c r="DB389" s="112"/>
      <c r="DC389" s="112"/>
      <c r="DD389" s="112"/>
      <c r="DE389" s="112"/>
      <c r="DF389" s="112"/>
      <c r="DG389" s="112"/>
      <c r="DH389" s="112"/>
      <c r="DI389" s="112"/>
      <c r="DJ389" s="112"/>
      <c r="DK389" s="112"/>
      <c r="DL389" s="112"/>
      <c r="DM389" s="112"/>
      <c r="DN389" s="112"/>
      <c r="DO389" t="e">
        <f t="shared" si="178"/>
        <v>#N/A</v>
      </c>
    </row>
    <row r="390" spans="33:119" x14ac:dyDescent="0.25">
      <c r="AG390" s="238">
        <f>AG389+1</f>
        <v>94</v>
      </c>
      <c r="AH390" s="112">
        <f ca="1">INDIRECT(CONCATENATE("AA",AG390))</f>
        <v>100000</v>
      </c>
      <c r="AI390" s="112" t="e">
        <f ca="1">IF(            INDIRECT(CONCATENATE( "AB",AG390))&lt;100000,       INDIRECT(CONCATENATE("AB",AG390))  -1,IF(   INDIRECT(CONCATENATE("AC",AG390))&lt;100000,   INDIRECT(CONCATENATE("AC",AG390))-1,IF(   INDIRECT(CONCATENATE("AD", AG390))&lt;100000, INDIRECT(CONCATENATE("AD",AG390))-1,IF(   INDIRECT(CONCATENATE("AE",AG390))&lt;100000,  INDIRECT(CONCATENATE("AE",G390)),INDIRECT(CONCATENATE("AF",AG390))                ))))</f>
        <v>#N/A</v>
      </c>
      <c r="AJ390" s="114"/>
      <c r="AK390" s="114"/>
      <c r="AL390" s="238" t="e">
        <f t="shared" ca="1" si="173"/>
        <v>#N/A</v>
      </c>
      <c r="AM390" s="112">
        <f t="shared" ca="1" si="179"/>
        <v>100000</v>
      </c>
      <c r="AN390" s="112">
        <f t="shared" ca="1" si="174"/>
        <v>100000</v>
      </c>
      <c r="AO390" s="114">
        <f t="shared" ca="1" si="171"/>
        <v>0</v>
      </c>
      <c r="AP390" s="114">
        <f t="shared" ca="1" si="172"/>
        <v>0</v>
      </c>
      <c r="AR390" s="238">
        <f t="shared" si="175"/>
        <v>390</v>
      </c>
      <c r="AU390" s="238">
        <f t="shared" si="176"/>
        <v>371</v>
      </c>
      <c r="AV390" s="238"/>
      <c r="AW390" s="238"/>
      <c r="CJ390" s="112"/>
      <c r="CK390" s="112"/>
      <c r="CN390" s="112"/>
      <c r="CO390" s="112"/>
      <c r="CP390" s="112"/>
      <c r="CQ390" s="112"/>
      <c r="CR390" s="112"/>
      <c r="CS390" s="112"/>
      <c r="CT390" s="112"/>
      <c r="CU390" s="112"/>
      <c r="CV390" s="112"/>
      <c r="CW390" s="112"/>
      <c r="CX390" s="112"/>
      <c r="CY390" s="112"/>
      <c r="CZ390" s="112"/>
      <c r="DA390" s="112"/>
      <c r="DB390" s="112"/>
      <c r="DC390" s="112"/>
      <c r="DD390" s="112"/>
      <c r="DE390" s="112"/>
      <c r="DF390" s="112"/>
      <c r="DG390" s="112"/>
      <c r="DH390" s="112"/>
      <c r="DI390" s="112"/>
      <c r="DJ390" s="112"/>
      <c r="DK390" s="112"/>
      <c r="DL390" s="112"/>
      <c r="DM390" s="112"/>
      <c r="DN390" s="112"/>
      <c r="DO390" t="e">
        <f t="shared" si="178"/>
        <v>#N/A</v>
      </c>
    </row>
    <row r="391" spans="33:119" x14ac:dyDescent="0.25">
      <c r="AG391" s="238">
        <f>AG390</f>
        <v>94</v>
      </c>
      <c r="AH391" s="112" t="e">
        <f ca="1">AI390+1</f>
        <v>#N/A</v>
      </c>
      <c r="AI391" s="112" t="e">
        <f ca="1">IF(INDIRECT(CONCATENATE("AC",AG390))&lt;100000,INDIRECT(CONCATENATE("AC",AG390))-1,IF(INDIRECT(CONCATENATE("AD",AG390))&lt;100000,INDIRECT(CONCATENATE("AD",AG390))-1,IF(INDIRECT(CONCATENATE("AE",AG390))&lt;100000,INDIRECT(CONCATENATE("AE",G390)),INDIRECT(CONCATENATE("AF",AG390)))))</f>
        <v>#N/A</v>
      </c>
      <c r="AJ391" s="114"/>
      <c r="AK391" s="114"/>
      <c r="AL391" s="238" t="e">
        <f t="shared" ca="1" si="173"/>
        <v>#N/A</v>
      </c>
      <c r="AM391" s="112">
        <f t="shared" ca="1" si="179"/>
        <v>100000</v>
      </c>
      <c r="AN391" s="112">
        <f t="shared" ca="1" si="174"/>
        <v>100000</v>
      </c>
      <c r="AO391" s="114">
        <f t="shared" ca="1" si="171"/>
        <v>0</v>
      </c>
      <c r="AP391" s="114">
        <f t="shared" ca="1" si="172"/>
        <v>0</v>
      </c>
      <c r="AR391" s="238">
        <f t="shared" si="175"/>
        <v>391</v>
      </c>
      <c r="AU391" s="238">
        <f t="shared" si="176"/>
        <v>372</v>
      </c>
      <c r="AV391" s="238"/>
      <c r="AW391" s="238"/>
      <c r="CJ391" s="112"/>
      <c r="CK391" s="112"/>
      <c r="CN391" s="112"/>
      <c r="CO391" s="112"/>
      <c r="CP391" s="112"/>
      <c r="CQ391" s="112"/>
      <c r="CR391" s="112"/>
      <c r="CS391" s="112"/>
      <c r="CT391" s="112"/>
      <c r="CU391" s="112"/>
      <c r="CV391" s="112"/>
      <c r="CW391" s="112"/>
      <c r="CX391" s="112"/>
      <c r="CY391" s="112"/>
      <c r="CZ391" s="112"/>
      <c r="DA391" s="112"/>
      <c r="DB391" s="112"/>
      <c r="DC391" s="112"/>
      <c r="DD391" s="112"/>
      <c r="DE391" s="112"/>
      <c r="DF391" s="112"/>
      <c r="DG391" s="112"/>
      <c r="DH391" s="112"/>
      <c r="DI391" s="112"/>
      <c r="DJ391" s="112"/>
      <c r="DK391" s="112"/>
      <c r="DL391" s="112"/>
      <c r="DM391" s="112"/>
      <c r="DN391" s="112"/>
      <c r="DO391" t="e">
        <f t="shared" si="178"/>
        <v>#N/A</v>
      </c>
    </row>
    <row r="392" spans="33:119" x14ac:dyDescent="0.25">
      <c r="AG392" s="238">
        <f>AG391</f>
        <v>94</v>
      </c>
      <c r="AH392" s="112" t="e">
        <f ca="1">AI391+1</f>
        <v>#N/A</v>
      </c>
      <c r="AI392" s="112" t="e">
        <f ca="1">IF(INDIRECT(CONCATENATE("AD",AG390))&lt;100000,INDIRECT(CONCATENATE("AD",AG390))-1,IF(INDIRECT(CONCATENATE("AE",AG390))&lt;100000,INDIRECT(CONCATENATE("AE",G390)),INDIRECT(CONCATENATE("AF",AG390))))</f>
        <v>#N/A</v>
      </c>
      <c r="AJ392" s="114"/>
      <c r="AK392" s="114"/>
      <c r="AL392" s="238" t="e">
        <f t="shared" ca="1" si="173"/>
        <v>#N/A</v>
      </c>
      <c r="AM392" s="112">
        <f t="shared" ca="1" si="179"/>
        <v>100000</v>
      </c>
      <c r="AN392" s="112">
        <f t="shared" ca="1" si="174"/>
        <v>100000</v>
      </c>
      <c r="AO392" s="114">
        <f t="shared" ca="1" si="171"/>
        <v>0</v>
      </c>
      <c r="AP392" s="114">
        <f t="shared" ca="1" si="172"/>
        <v>0</v>
      </c>
      <c r="AR392" s="238">
        <f t="shared" si="175"/>
        <v>392</v>
      </c>
      <c r="AU392" s="238">
        <f t="shared" si="176"/>
        <v>373</v>
      </c>
      <c r="AV392" s="238"/>
      <c r="AW392" s="238"/>
      <c r="CJ392" s="112"/>
      <c r="CK392" s="112"/>
      <c r="CN392" s="112"/>
      <c r="CO392" s="112"/>
      <c r="CP392" s="112"/>
      <c r="CQ392" s="112"/>
      <c r="CR392" s="112"/>
      <c r="CS392" s="112"/>
      <c r="CT392" s="112"/>
      <c r="CU392" s="112"/>
      <c r="CV392" s="112"/>
      <c r="CW392" s="112"/>
      <c r="CX392" s="112"/>
      <c r="CY392" s="112"/>
      <c r="CZ392" s="112"/>
      <c r="DA392" s="112"/>
      <c r="DB392" s="112"/>
      <c r="DC392" s="112"/>
      <c r="DD392" s="112"/>
      <c r="DE392" s="112"/>
      <c r="DF392" s="112"/>
      <c r="DG392" s="112"/>
      <c r="DH392" s="112"/>
      <c r="DI392" s="112"/>
      <c r="DJ392" s="112"/>
      <c r="DK392" s="112"/>
      <c r="DL392" s="112"/>
      <c r="DM392" s="112"/>
      <c r="DN392" s="112"/>
      <c r="DO392" t="e">
        <f t="shared" si="178"/>
        <v>#N/A</v>
      </c>
    </row>
    <row r="393" spans="33:119" x14ac:dyDescent="0.25">
      <c r="AG393" s="238">
        <f>AG392</f>
        <v>94</v>
      </c>
      <c r="AH393" s="112" t="e">
        <f ca="1">AI392+1</f>
        <v>#N/A</v>
      </c>
      <c r="AI393" s="112" t="e">
        <f ca="1">IF(INDIRECT(CONCATENATE("AE",AG390))&lt;100000,INDIRECT(CONCATENATE("AE",G390)),INDIRECT(CONCATENATE("AF",AG390)))</f>
        <v>#N/A</v>
      </c>
      <c r="AJ393" s="114"/>
      <c r="AK393" s="114"/>
      <c r="AL393" s="238" t="e">
        <f t="shared" ca="1" si="173"/>
        <v>#N/A</v>
      </c>
      <c r="AM393" s="112">
        <f t="shared" ca="1" si="179"/>
        <v>100000</v>
      </c>
      <c r="AN393" s="112">
        <f t="shared" ca="1" si="174"/>
        <v>100000</v>
      </c>
      <c r="AO393" s="114">
        <f t="shared" ca="1" si="171"/>
        <v>0</v>
      </c>
      <c r="AP393" s="114">
        <f t="shared" ca="1" si="172"/>
        <v>0</v>
      </c>
      <c r="AR393" s="238">
        <f t="shared" si="175"/>
        <v>393</v>
      </c>
      <c r="AU393" s="238">
        <f t="shared" si="176"/>
        <v>374</v>
      </c>
      <c r="AV393" s="238"/>
      <c r="AW393" s="238"/>
      <c r="CJ393" s="112"/>
      <c r="CK393" s="112"/>
      <c r="CN393" s="112"/>
      <c r="CO393" s="112"/>
      <c r="CP393" s="112"/>
      <c r="CQ393" s="112"/>
      <c r="CR393" s="112"/>
      <c r="CS393" s="112"/>
      <c r="CT393" s="112"/>
      <c r="CU393" s="112"/>
      <c r="CV393" s="112"/>
      <c r="CW393" s="112"/>
      <c r="CX393" s="112"/>
      <c r="CY393" s="112"/>
      <c r="CZ393" s="112"/>
      <c r="DA393" s="112"/>
      <c r="DB393" s="112"/>
      <c r="DC393" s="112"/>
      <c r="DD393" s="112"/>
      <c r="DE393" s="112"/>
      <c r="DF393" s="112"/>
      <c r="DG393" s="112"/>
      <c r="DH393" s="112"/>
      <c r="DI393" s="112"/>
      <c r="DJ393" s="112"/>
      <c r="DK393" s="112"/>
      <c r="DL393" s="112"/>
      <c r="DM393" s="112"/>
      <c r="DN393" s="112"/>
      <c r="DO393" t="e">
        <f t="shared" si="178"/>
        <v>#N/A</v>
      </c>
    </row>
    <row r="394" spans="33:119" x14ac:dyDescent="0.25">
      <c r="AG394" s="238">
        <f>AG393</f>
        <v>94</v>
      </c>
      <c r="AH394" s="112" t="e">
        <f ca="1">AI393+1</f>
        <v>#N/A</v>
      </c>
      <c r="AI394" s="112">
        <f ca="1">INDIRECT(CONCATENATE("AF",AG390))</f>
        <v>100000</v>
      </c>
      <c r="AJ394" s="114"/>
      <c r="AK394" s="114"/>
      <c r="AL394" s="238" t="e">
        <f t="shared" ca="1" si="173"/>
        <v>#N/A</v>
      </c>
      <c r="AM394" s="112">
        <f t="shared" ca="1" si="179"/>
        <v>100000</v>
      </c>
      <c r="AN394" s="112">
        <f t="shared" ca="1" si="174"/>
        <v>100000</v>
      </c>
      <c r="AO394" s="114">
        <f t="shared" ca="1" si="171"/>
        <v>0</v>
      </c>
      <c r="AP394" s="114">
        <f t="shared" ca="1" si="172"/>
        <v>0</v>
      </c>
      <c r="AR394" s="238">
        <f t="shared" si="175"/>
        <v>394</v>
      </c>
      <c r="AU394" s="238">
        <f t="shared" si="176"/>
        <v>375</v>
      </c>
      <c r="AV394" s="238"/>
      <c r="AW394" s="238"/>
      <c r="CJ394" s="112"/>
      <c r="CK394" s="112"/>
      <c r="CN394" s="112"/>
      <c r="CO394" s="112"/>
      <c r="CP394" s="112"/>
      <c r="CQ394" s="112"/>
      <c r="CR394" s="112"/>
      <c r="CS394" s="112"/>
      <c r="CT394" s="112"/>
      <c r="CU394" s="112"/>
      <c r="CV394" s="112"/>
      <c r="CW394" s="112"/>
      <c r="CX394" s="112"/>
      <c r="CY394" s="112"/>
      <c r="CZ394" s="112"/>
      <c r="DA394" s="112"/>
      <c r="DB394" s="112"/>
      <c r="DC394" s="112"/>
      <c r="DD394" s="112"/>
      <c r="DE394" s="112"/>
      <c r="DF394" s="112"/>
      <c r="DG394" s="112"/>
      <c r="DH394" s="112"/>
      <c r="DI394" s="112"/>
      <c r="DJ394" s="112"/>
      <c r="DK394" s="112"/>
      <c r="DL394" s="112"/>
      <c r="DM394" s="112"/>
      <c r="DN394" s="112"/>
      <c r="DO394" t="e">
        <f t="shared" si="178"/>
        <v>#N/A</v>
      </c>
    </row>
    <row r="395" spans="33:119" x14ac:dyDescent="0.25">
      <c r="AG395" s="238">
        <f>AG394+1</f>
        <v>95</v>
      </c>
      <c r="AH395" s="112">
        <f ca="1">INDIRECT(CONCATENATE("AA",AG395))</f>
        <v>100000</v>
      </c>
      <c r="AI395" s="112" t="e">
        <f ca="1">IF(            INDIRECT(CONCATENATE( "AB",AG395))&lt;100000,       INDIRECT(CONCATENATE("AB",AG395))  -1,IF(   INDIRECT(CONCATENATE("AC",AG395))&lt;100000,   INDIRECT(CONCATENATE("AC",AG395))-1,IF(   INDIRECT(CONCATENATE("AD", AG395))&lt;100000, INDIRECT(CONCATENATE("AD",AG395))-1,IF(   INDIRECT(CONCATENATE("AE",AG395))&lt;100000,  INDIRECT(CONCATENATE("AE",G395)),INDIRECT(CONCATENATE("AF",AG395))                ))))</f>
        <v>#N/A</v>
      </c>
      <c r="AJ395" s="114"/>
      <c r="AK395" s="114"/>
      <c r="AL395" s="238" t="e">
        <f t="shared" ca="1" si="173"/>
        <v>#N/A</v>
      </c>
      <c r="AM395" s="112">
        <f t="shared" ca="1" si="179"/>
        <v>100000</v>
      </c>
      <c r="AN395" s="112">
        <f t="shared" ca="1" si="174"/>
        <v>100000</v>
      </c>
      <c r="AO395" s="114">
        <f t="shared" ca="1" si="171"/>
        <v>0</v>
      </c>
      <c r="AP395" s="114">
        <f t="shared" ca="1" si="172"/>
        <v>0</v>
      </c>
      <c r="AR395" s="238">
        <f t="shared" si="175"/>
        <v>395</v>
      </c>
      <c r="AU395" s="238">
        <f t="shared" si="176"/>
        <v>376</v>
      </c>
      <c r="AV395" s="238"/>
      <c r="AW395" s="238"/>
      <c r="CJ395" s="112"/>
      <c r="CK395" s="112"/>
      <c r="CN395" s="112"/>
      <c r="CO395" s="112"/>
      <c r="CP395" s="112"/>
      <c r="CQ395" s="112"/>
      <c r="CR395" s="112"/>
      <c r="CS395" s="112"/>
      <c r="CT395" s="112"/>
      <c r="CU395" s="112"/>
      <c r="CV395" s="112"/>
      <c r="CW395" s="112"/>
      <c r="CX395" s="112"/>
      <c r="CY395" s="112"/>
      <c r="CZ395" s="112"/>
      <c r="DA395" s="112"/>
      <c r="DB395" s="112"/>
      <c r="DC395" s="112"/>
      <c r="DD395" s="112"/>
      <c r="DE395" s="112"/>
      <c r="DF395" s="112"/>
      <c r="DG395" s="112"/>
      <c r="DH395" s="112"/>
      <c r="DI395" s="112"/>
      <c r="DJ395" s="112"/>
      <c r="DK395" s="112"/>
      <c r="DL395" s="112"/>
      <c r="DM395" s="112"/>
      <c r="DN395" s="112"/>
      <c r="DO395" t="e">
        <f t="shared" si="178"/>
        <v>#N/A</v>
      </c>
    </row>
    <row r="396" spans="33:119" x14ac:dyDescent="0.25">
      <c r="AG396" s="238">
        <f>AG395</f>
        <v>95</v>
      </c>
      <c r="AH396" s="112" t="e">
        <f ca="1">AI395+1</f>
        <v>#N/A</v>
      </c>
      <c r="AI396" s="112" t="e">
        <f ca="1">IF(INDIRECT(CONCATENATE("AC",AG395))&lt;100000,INDIRECT(CONCATENATE("AC",AG395))-1,IF(INDIRECT(CONCATENATE("AD",AG395))&lt;100000,INDIRECT(CONCATENATE("AD",AG395))-1,IF(INDIRECT(CONCATENATE("AE",AG395))&lt;100000,INDIRECT(CONCATENATE("AE",G395)),INDIRECT(CONCATENATE("AF",AG395)))))</f>
        <v>#N/A</v>
      </c>
      <c r="AJ396" s="114"/>
      <c r="AK396" s="114"/>
      <c r="AL396" s="238" t="e">
        <f t="shared" ca="1" si="173"/>
        <v>#N/A</v>
      </c>
      <c r="AM396" s="112">
        <f t="shared" ca="1" si="179"/>
        <v>100000</v>
      </c>
      <c r="AN396" s="112">
        <f t="shared" ca="1" si="174"/>
        <v>100000</v>
      </c>
      <c r="AO396" s="114">
        <f t="shared" ca="1" si="171"/>
        <v>0</v>
      </c>
      <c r="AP396" s="114">
        <f t="shared" ca="1" si="172"/>
        <v>0</v>
      </c>
      <c r="AR396" s="238">
        <f t="shared" si="175"/>
        <v>396</v>
      </c>
      <c r="AU396" s="238">
        <f t="shared" si="176"/>
        <v>377</v>
      </c>
      <c r="AV396" s="238"/>
      <c r="AW396" s="238"/>
      <c r="CJ396" s="112"/>
      <c r="CK396" s="112"/>
      <c r="CN396" s="112"/>
      <c r="CO396" s="112"/>
      <c r="CP396" s="112"/>
      <c r="CQ396" s="112"/>
      <c r="CR396" s="112"/>
      <c r="CS396" s="112"/>
      <c r="CT396" s="112"/>
      <c r="CU396" s="112"/>
      <c r="CV396" s="112"/>
      <c r="CW396" s="112"/>
      <c r="CX396" s="112"/>
      <c r="CY396" s="112"/>
      <c r="CZ396" s="112"/>
      <c r="DA396" s="112"/>
      <c r="DB396" s="112"/>
      <c r="DC396" s="112"/>
      <c r="DD396" s="112"/>
      <c r="DE396" s="112"/>
      <c r="DF396" s="112"/>
      <c r="DG396" s="112"/>
      <c r="DH396" s="112"/>
      <c r="DI396" s="112"/>
      <c r="DJ396" s="112"/>
      <c r="DK396" s="112"/>
      <c r="DL396" s="112"/>
      <c r="DM396" s="112"/>
      <c r="DN396" s="112"/>
      <c r="DO396" t="e">
        <f t="shared" si="178"/>
        <v>#N/A</v>
      </c>
    </row>
    <row r="397" spans="33:119" x14ac:dyDescent="0.25">
      <c r="AG397" s="238">
        <f>AG396</f>
        <v>95</v>
      </c>
      <c r="AH397" s="112" t="e">
        <f ca="1">AI396+1</f>
        <v>#N/A</v>
      </c>
      <c r="AI397" s="112" t="e">
        <f ca="1">IF(INDIRECT(CONCATENATE("AD",AG395))&lt;100000,INDIRECT(CONCATENATE("AD",AG395))-1,IF(INDIRECT(CONCATENATE("AE",AG395))&lt;100000,INDIRECT(CONCATENATE("AE",G395)),INDIRECT(CONCATENATE("AF",AG395))))</f>
        <v>#N/A</v>
      </c>
      <c r="AJ397" s="114"/>
      <c r="AK397" s="114"/>
      <c r="AL397" s="238" t="e">
        <f t="shared" ca="1" si="173"/>
        <v>#N/A</v>
      </c>
      <c r="AM397" s="112">
        <f t="shared" ca="1" si="179"/>
        <v>100000</v>
      </c>
      <c r="AN397" s="112">
        <f t="shared" ca="1" si="174"/>
        <v>100000</v>
      </c>
      <c r="AO397" s="114">
        <f t="shared" ca="1" si="171"/>
        <v>0</v>
      </c>
      <c r="AP397" s="114">
        <f t="shared" ca="1" si="172"/>
        <v>0</v>
      </c>
      <c r="AR397" s="238">
        <f t="shared" si="175"/>
        <v>397</v>
      </c>
      <c r="AU397" s="238">
        <f t="shared" si="176"/>
        <v>378</v>
      </c>
      <c r="AV397" s="238"/>
      <c r="AW397" s="238"/>
      <c r="CJ397" s="112"/>
      <c r="CK397" s="112"/>
      <c r="CN397" s="112"/>
      <c r="CO397" s="112"/>
      <c r="CP397" s="112"/>
      <c r="CQ397" s="112"/>
      <c r="CR397" s="112"/>
      <c r="CS397" s="112"/>
      <c r="CT397" s="112"/>
      <c r="CU397" s="112"/>
      <c r="CV397" s="112"/>
      <c r="CW397" s="112"/>
      <c r="CX397" s="112"/>
      <c r="CY397" s="112"/>
      <c r="CZ397" s="112"/>
      <c r="DA397" s="112"/>
      <c r="DB397" s="112"/>
      <c r="DC397" s="112"/>
      <c r="DD397" s="112"/>
      <c r="DE397" s="112"/>
      <c r="DF397" s="112"/>
      <c r="DG397" s="112"/>
      <c r="DH397" s="112"/>
      <c r="DI397" s="112"/>
      <c r="DJ397" s="112"/>
      <c r="DK397" s="112"/>
      <c r="DL397" s="112"/>
      <c r="DM397" s="112"/>
      <c r="DN397" s="112"/>
      <c r="DO397" t="e">
        <f t="shared" si="178"/>
        <v>#N/A</v>
      </c>
    </row>
    <row r="398" spans="33:119" x14ac:dyDescent="0.25">
      <c r="AG398" s="238">
        <f>AG397</f>
        <v>95</v>
      </c>
      <c r="AH398" s="112" t="e">
        <f ca="1">AI397+1</f>
        <v>#N/A</v>
      </c>
      <c r="AI398" s="112" t="e">
        <f ca="1">IF(INDIRECT(CONCATENATE("AE",AG395))&lt;100000,INDIRECT(CONCATENATE("AE",G395)),INDIRECT(CONCATENATE("AF",AG395)))</f>
        <v>#N/A</v>
      </c>
      <c r="AJ398" s="114"/>
      <c r="AK398" s="114"/>
      <c r="AL398" s="238" t="e">
        <f t="shared" ca="1" si="173"/>
        <v>#N/A</v>
      </c>
      <c r="AM398" s="112">
        <f t="shared" ca="1" si="179"/>
        <v>100000</v>
      </c>
      <c r="AN398" s="112">
        <f t="shared" ca="1" si="174"/>
        <v>100000</v>
      </c>
      <c r="AO398" s="114">
        <f t="shared" ca="1" si="171"/>
        <v>0</v>
      </c>
      <c r="AP398" s="114">
        <f t="shared" ca="1" si="172"/>
        <v>0</v>
      </c>
      <c r="AR398" s="238">
        <f t="shared" si="175"/>
        <v>398</v>
      </c>
      <c r="AU398" s="238">
        <f t="shared" si="176"/>
        <v>379</v>
      </c>
      <c r="AV398" s="238"/>
      <c r="AW398" s="238"/>
      <c r="CJ398" s="112"/>
      <c r="CK398" s="112"/>
      <c r="CN398" s="112"/>
      <c r="CO398" s="112"/>
      <c r="CP398" s="112"/>
      <c r="CQ398" s="112"/>
      <c r="CR398" s="112"/>
      <c r="CS398" s="112"/>
      <c r="CT398" s="112"/>
      <c r="CU398" s="112"/>
      <c r="CV398" s="112"/>
      <c r="CW398" s="112"/>
      <c r="CX398" s="112"/>
      <c r="CY398" s="112"/>
      <c r="CZ398" s="112"/>
      <c r="DA398" s="112"/>
      <c r="DB398" s="112"/>
      <c r="DC398" s="112"/>
      <c r="DD398" s="112"/>
      <c r="DE398" s="112"/>
      <c r="DF398" s="112"/>
      <c r="DG398" s="112"/>
      <c r="DH398" s="112"/>
      <c r="DI398" s="112"/>
      <c r="DJ398" s="112"/>
      <c r="DK398" s="112"/>
      <c r="DL398" s="112"/>
      <c r="DM398" s="112"/>
      <c r="DN398" s="112"/>
      <c r="DO398" t="e">
        <f t="shared" ref="DO398:DO461" si="180">VLOOKUP(CN398,$F$20:$H$138,3,FALSE)</f>
        <v>#N/A</v>
      </c>
    </row>
    <row r="399" spans="33:119" x14ac:dyDescent="0.25">
      <c r="AG399" s="238">
        <f>AG398</f>
        <v>95</v>
      </c>
      <c r="AH399" s="112" t="e">
        <f ca="1">AI398+1</f>
        <v>#N/A</v>
      </c>
      <c r="AI399" s="112">
        <f ca="1">INDIRECT(CONCATENATE("AF",AG395))</f>
        <v>100000</v>
      </c>
      <c r="AJ399" s="114"/>
      <c r="AK399" s="114"/>
      <c r="AL399" s="238" t="e">
        <f t="shared" ca="1" si="173"/>
        <v>#N/A</v>
      </c>
      <c r="AM399" s="112">
        <f t="shared" ca="1" si="179"/>
        <v>100000</v>
      </c>
      <c r="AN399" s="112">
        <f t="shared" ca="1" si="174"/>
        <v>100000</v>
      </c>
      <c r="AO399" s="114">
        <f t="shared" ca="1" si="171"/>
        <v>0</v>
      </c>
      <c r="AP399" s="114">
        <f t="shared" ca="1" si="172"/>
        <v>0</v>
      </c>
      <c r="AR399" s="238">
        <f t="shared" si="175"/>
        <v>399</v>
      </c>
      <c r="AU399" s="238">
        <f t="shared" si="176"/>
        <v>380</v>
      </c>
      <c r="AV399" s="238"/>
      <c r="AW399" s="238"/>
      <c r="CJ399" s="112"/>
      <c r="CK399" s="112"/>
      <c r="CN399" s="112"/>
      <c r="CO399" s="112"/>
      <c r="CP399" s="112"/>
      <c r="CQ399" s="112"/>
      <c r="CR399" s="112"/>
      <c r="CS399" s="112"/>
      <c r="CT399" s="112"/>
      <c r="CU399" s="112"/>
      <c r="CV399" s="112"/>
      <c r="CW399" s="112"/>
      <c r="CX399" s="112"/>
      <c r="CY399" s="112"/>
      <c r="CZ399" s="112"/>
      <c r="DA399" s="112"/>
      <c r="DB399" s="112"/>
      <c r="DC399" s="112"/>
      <c r="DD399" s="112"/>
      <c r="DE399" s="112"/>
      <c r="DF399" s="112"/>
      <c r="DG399" s="112"/>
      <c r="DH399" s="112"/>
      <c r="DI399" s="112"/>
      <c r="DJ399" s="112"/>
      <c r="DK399" s="112"/>
      <c r="DL399" s="112"/>
      <c r="DM399" s="112"/>
      <c r="DN399" s="112"/>
      <c r="DO399" t="e">
        <f t="shared" si="180"/>
        <v>#N/A</v>
      </c>
    </row>
    <row r="400" spans="33:119" x14ac:dyDescent="0.25">
      <c r="AG400" s="238">
        <f>AG399+1</f>
        <v>96</v>
      </c>
      <c r="AH400" s="112">
        <f ca="1">INDIRECT(CONCATENATE("AA",AG400))</f>
        <v>100000</v>
      </c>
      <c r="AI400" s="112" t="e">
        <f ca="1">IF(            INDIRECT(CONCATENATE( "AB",AG400))&lt;100000,       INDIRECT(CONCATENATE("AB",AG400))  -1,IF(   INDIRECT(CONCATENATE("AC",AG400))&lt;100000,   INDIRECT(CONCATENATE("AC",AG400))-1,IF(   INDIRECT(CONCATENATE("AD", AG400))&lt;100000, INDIRECT(CONCATENATE("AD",AG400))-1,IF(   INDIRECT(CONCATENATE("AE",AG400))&lt;100000,  INDIRECT(CONCATENATE("AE",G400)),INDIRECT(CONCATENATE("AF",AG400))                ))))</f>
        <v>#N/A</v>
      </c>
      <c r="AJ400" s="114"/>
      <c r="AK400" s="114"/>
      <c r="AL400" s="238" t="e">
        <f t="shared" ca="1" si="173"/>
        <v>#N/A</v>
      </c>
      <c r="AM400" s="112">
        <f t="shared" ca="1" si="179"/>
        <v>100000</v>
      </c>
      <c r="AN400" s="112">
        <f t="shared" ca="1" si="174"/>
        <v>100000</v>
      </c>
      <c r="AO400" s="114">
        <f t="shared" ca="1" si="171"/>
        <v>0</v>
      </c>
      <c r="AP400" s="114">
        <f t="shared" ca="1" si="172"/>
        <v>0</v>
      </c>
      <c r="AR400" s="238">
        <f t="shared" si="175"/>
        <v>400</v>
      </c>
      <c r="AU400" s="238">
        <f t="shared" si="176"/>
        <v>381</v>
      </c>
      <c r="AV400" s="238"/>
      <c r="AW400" s="238"/>
      <c r="CJ400" s="112"/>
      <c r="CK400" s="112"/>
      <c r="CN400" s="112"/>
      <c r="CO400" s="112"/>
      <c r="CP400" s="112"/>
      <c r="CQ400" s="112"/>
      <c r="CR400" s="112"/>
      <c r="CS400" s="112"/>
      <c r="CT400" s="112"/>
      <c r="CU400" s="112"/>
      <c r="CV400" s="112"/>
      <c r="CW400" s="112"/>
      <c r="CX400" s="112"/>
      <c r="CY400" s="112"/>
      <c r="CZ400" s="112"/>
      <c r="DA400" s="112"/>
      <c r="DB400" s="112"/>
      <c r="DC400" s="112"/>
      <c r="DD400" s="112"/>
      <c r="DE400" s="112"/>
      <c r="DF400" s="112"/>
      <c r="DG400" s="112"/>
      <c r="DH400" s="112"/>
      <c r="DI400" s="112"/>
      <c r="DJ400" s="112"/>
      <c r="DK400" s="112"/>
      <c r="DL400" s="112"/>
      <c r="DM400" s="112"/>
      <c r="DN400" s="112"/>
      <c r="DO400" t="e">
        <f t="shared" si="180"/>
        <v>#N/A</v>
      </c>
    </row>
    <row r="401" spans="33:119" x14ac:dyDescent="0.25">
      <c r="AG401" s="238">
        <f>AG400</f>
        <v>96</v>
      </c>
      <c r="AH401" s="112" t="e">
        <f ca="1">AI400+1</f>
        <v>#N/A</v>
      </c>
      <c r="AI401" s="112" t="e">
        <f ca="1">IF(INDIRECT(CONCATENATE("AC",AG400))&lt;100000,INDIRECT(CONCATENATE("AC",AG400))-1,IF(INDIRECT(CONCATENATE("AD",AG400))&lt;100000,INDIRECT(CONCATENATE("AD",AG400))-1,IF(INDIRECT(CONCATENATE("AE",AG400))&lt;100000,INDIRECT(CONCATENATE("AE",G400)),INDIRECT(CONCATENATE("AF",AG400)))))</f>
        <v>#N/A</v>
      </c>
      <c r="AJ401" s="114"/>
      <c r="AK401" s="114"/>
      <c r="AL401" s="238" t="e">
        <f t="shared" ca="1" si="173"/>
        <v>#N/A</v>
      </c>
      <c r="AM401" s="112">
        <f t="shared" ca="1" si="179"/>
        <v>100000</v>
      </c>
      <c r="AN401" s="112">
        <f t="shared" ca="1" si="174"/>
        <v>100000</v>
      </c>
      <c r="AO401" s="114">
        <f t="shared" ca="1" si="171"/>
        <v>0</v>
      </c>
      <c r="AP401" s="114">
        <f t="shared" ca="1" si="172"/>
        <v>0</v>
      </c>
      <c r="AR401" s="238">
        <f t="shared" si="175"/>
        <v>401</v>
      </c>
      <c r="AU401" s="238">
        <f t="shared" si="176"/>
        <v>382</v>
      </c>
      <c r="AV401" s="238"/>
      <c r="AW401" s="238"/>
      <c r="CJ401" s="112"/>
      <c r="CK401" s="112"/>
      <c r="CN401" s="112"/>
      <c r="CO401" s="112"/>
      <c r="CP401" s="112"/>
      <c r="CQ401" s="112"/>
      <c r="CR401" s="112"/>
      <c r="CS401" s="112"/>
      <c r="CT401" s="112"/>
      <c r="CU401" s="112"/>
      <c r="CV401" s="112"/>
      <c r="CW401" s="112"/>
      <c r="CX401" s="112"/>
      <c r="CY401" s="112"/>
      <c r="CZ401" s="112"/>
      <c r="DA401" s="112"/>
      <c r="DB401" s="112"/>
      <c r="DC401" s="112"/>
      <c r="DD401" s="112"/>
      <c r="DE401" s="112"/>
      <c r="DF401" s="112"/>
      <c r="DG401" s="112"/>
      <c r="DH401" s="112"/>
      <c r="DI401" s="112"/>
      <c r="DJ401" s="112"/>
      <c r="DK401" s="112"/>
      <c r="DL401" s="112"/>
      <c r="DM401" s="112"/>
      <c r="DN401" s="112"/>
      <c r="DO401" t="e">
        <f t="shared" si="180"/>
        <v>#N/A</v>
      </c>
    </row>
    <row r="402" spans="33:119" x14ac:dyDescent="0.25">
      <c r="AG402" s="238">
        <f>AG401</f>
        <v>96</v>
      </c>
      <c r="AH402" s="112" t="e">
        <f ca="1">AI401+1</f>
        <v>#N/A</v>
      </c>
      <c r="AI402" s="112" t="e">
        <f ca="1">IF(INDIRECT(CONCATENATE("AD",AG400))&lt;100000,INDIRECT(CONCATENATE("AD",AG400))-1,IF(INDIRECT(CONCATENATE("AE",AG400))&lt;100000,INDIRECT(CONCATENATE("AE",G400)),INDIRECT(CONCATENATE("AF",AG400))))</f>
        <v>#N/A</v>
      </c>
      <c r="AJ402" s="114"/>
      <c r="AK402" s="114"/>
      <c r="AL402" s="238" t="e">
        <f t="shared" ca="1" si="173"/>
        <v>#N/A</v>
      </c>
      <c r="AM402" s="112">
        <f t="shared" ca="1" si="179"/>
        <v>100000</v>
      </c>
      <c r="AN402" s="112">
        <f t="shared" ca="1" si="174"/>
        <v>100000</v>
      </c>
      <c r="AO402" s="114">
        <f t="shared" ca="1" si="171"/>
        <v>0</v>
      </c>
      <c r="AP402" s="114">
        <f t="shared" ca="1" si="172"/>
        <v>0</v>
      </c>
      <c r="AR402" s="238">
        <f t="shared" si="175"/>
        <v>402</v>
      </c>
      <c r="AU402" s="238">
        <f t="shared" si="176"/>
        <v>383</v>
      </c>
      <c r="AV402" s="238"/>
      <c r="AW402" s="238"/>
      <c r="CJ402" s="112"/>
      <c r="CK402" s="112"/>
      <c r="CN402" s="112"/>
      <c r="CO402" s="112"/>
      <c r="CP402" s="112"/>
      <c r="CQ402" s="112"/>
      <c r="CR402" s="112"/>
      <c r="CS402" s="112"/>
      <c r="CT402" s="112"/>
      <c r="CU402" s="112"/>
      <c r="CV402" s="112"/>
      <c r="CW402" s="112"/>
      <c r="CX402" s="112"/>
      <c r="CY402" s="112"/>
      <c r="CZ402" s="112"/>
      <c r="DA402" s="112"/>
      <c r="DB402" s="112"/>
      <c r="DC402" s="112"/>
      <c r="DD402" s="112"/>
      <c r="DE402" s="112"/>
      <c r="DF402" s="112"/>
      <c r="DG402" s="112"/>
      <c r="DH402" s="112"/>
      <c r="DI402" s="112"/>
      <c r="DJ402" s="112"/>
      <c r="DK402" s="112"/>
      <c r="DL402" s="112"/>
      <c r="DM402" s="112"/>
      <c r="DN402" s="112"/>
      <c r="DO402" t="e">
        <f t="shared" si="180"/>
        <v>#N/A</v>
      </c>
    </row>
    <row r="403" spans="33:119" x14ac:dyDescent="0.25">
      <c r="AG403" s="238">
        <f>AG402</f>
        <v>96</v>
      </c>
      <c r="AH403" s="112" t="e">
        <f ca="1">AI402+1</f>
        <v>#N/A</v>
      </c>
      <c r="AI403" s="112" t="e">
        <f ca="1">IF(INDIRECT(CONCATENATE("AE",AG400))&lt;100000,INDIRECT(CONCATENATE("AE",G400)),INDIRECT(CONCATENATE("AF",AG400)))</f>
        <v>#N/A</v>
      </c>
      <c r="AJ403" s="114"/>
      <c r="AK403" s="114"/>
      <c r="AL403" s="238" t="e">
        <f t="shared" ca="1" si="173"/>
        <v>#N/A</v>
      </c>
      <c r="AM403" s="112">
        <f t="shared" ca="1" si="179"/>
        <v>100000</v>
      </c>
      <c r="AN403" s="112">
        <f t="shared" ca="1" si="174"/>
        <v>100000</v>
      </c>
      <c r="AO403" s="114">
        <f t="shared" ca="1" si="171"/>
        <v>0</v>
      </c>
      <c r="AP403" s="114">
        <f t="shared" ca="1" si="172"/>
        <v>0</v>
      </c>
      <c r="AR403" s="238">
        <f t="shared" si="175"/>
        <v>403</v>
      </c>
      <c r="AU403" s="238">
        <f t="shared" si="176"/>
        <v>384</v>
      </c>
      <c r="AV403" s="238"/>
      <c r="AW403" s="238"/>
      <c r="CJ403" s="112"/>
      <c r="CK403" s="112"/>
      <c r="CN403" s="112"/>
      <c r="CO403" s="112"/>
      <c r="CP403" s="112"/>
      <c r="CQ403" s="112"/>
      <c r="CR403" s="112"/>
      <c r="CS403" s="112"/>
      <c r="CT403" s="112"/>
      <c r="CU403" s="112"/>
      <c r="CV403" s="112"/>
      <c r="CW403" s="112"/>
      <c r="CX403" s="112"/>
      <c r="CY403" s="112"/>
      <c r="CZ403" s="112"/>
      <c r="DA403" s="112"/>
      <c r="DB403" s="112"/>
      <c r="DC403" s="112"/>
      <c r="DD403" s="112"/>
      <c r="DE403" s="112"/>
      <c r="DF403" s="112"/>
      <c r="DG403" s="112"/>
      <c r="DH403" s="112"/>
      <c r="DI403" s="112"/>
      <c r="DJ403" s="112"/>
      <c r="DK403" s="112"/>
      <c r="DL403" s="112"/>
      <c r="DM403" s="112"/>
      <c r="DN403" s="112"/>
      <c r="DO403" t="e">
        <f t="shared" si="180"/>
        <v>#N/A</v>
      </c>
    </row>
    <row r="404" spans="33:119" x14ac:dyDescent="0.25">
      <c r="AG404" s="238">
        <f>AG403</f>
        <v>96</v>
      </c>
      <c r="AH404" s="112" t="e">
        <f ca="1">AI403+1</f>
        <v>#N/A</v>
      </c>
      <c r="AI404" s="112">
        <f ca="1">INDIRECT(CONCATENATE("AF",AG400))</f>
        <v>100000</v>
      </c>
      <c r="AJ404" s="114"/>
      <c r="AK404" s="114"/>
      <c r="AL404" s="238" t="e">
        <f t="shared" ca="1" si="173"/>
        <v>#N/A</v>
      </c>
      <c r="AM404" s="112">
        <f t="shared" ca="1" si="179"/>
        <v>100000</v>
      </c>
      <c r="AN404" s="112">
        <f t="shared" ca="1" si="174"/>
        <v>100000</v>
      </c>
      <c r="AO404" s="114">
        <f t="shared" ca="1" si="171"/>
        <v>0</v>
      </c>
      <c r="AP404" s="114">
        <f t="shared" ca="1" si="172"/>
        <v>0</v>
      </c>
      <c r="AR404" s="238">
        <f t="shared" si="175"/>
        <v>404</v>
      </c>
      <c r="AU404" s="238">
        <f t="shared" si="176"/>
        <v>385</v>
      </c>
      <c r="AV404" s="238"/>
      <c r="AW404" s="238"/>
      <c r="CJ404" s="112"/>
      <c r="CK404" s="112"/>
      <c r="CN404" s="112"/>
      <c r="CO404" s="112"/>
      <c r="CP404" s="112"/>
      <c r="CQ404" s="112"/>
      <c r="CR404" s="112"/>
      <c r="CS404" s="112"/>
      <c r="CT404" s="112"/>
      <c r="CU404" s="112"/>
      <c r="CV404" s="112"/>
      <c r="CW404" s="112"/>
      <c r="CX404" s="112"/>
      <c r="CY404" s="112"/>
      <c r="CZ404" s="112"/>
      <c r="DA404" s="112"/>
      <c r="DB404" s="112"/>
      <c r="DC404" s="112"/>
      <c r="DD404" s="112"/>
      <c r="DE404" s="112"/>
      <c r="DF404" s="112"/>
      <c r="DG404" s="112"/>
      <c r="DH404" s="112"/>
      <c r="DI404" s="112"/>
      <c r="DJ404" s="112"/>
      <c r="DK404" s="112"/>
      <c r="DL404" s="112"/>
      <c r="DM404" s="112"/>
      <c r="DN404" s="112"/>
      <c r="DO404" t="e">
        <f t="shared" si="180"/>
        <v>#N/A</v>
      </c>
    </row>
    <row r="405" spans="33:119" x14ac:dyDescent="0.25">
      <c r="AG405" s="238">
        <f>AG404+1</f>
        <v>97</v>
      </c>
      <c r="AH405" s="112">
        <f ca="1">INDIRECT(CONCATENATE("AA",AG405))</f>
        <v>100000</v>
      </c>
      <c r="AI405" s="112" t="e">
        <f ca="1">IF(            INDIRECT(CONCATENATE( "AB",AG405))&lt;100000,       INDIRECT(CONCATENATE("AB",AG405))  -1,IF(   INDIRECT(CONCATENATE("AC",AG405))&lt;100000,   INDIRECT(CONCATENATE("AC",AG405))-1,IF(   INDIRECT(CONCATENATE("AD", AG405))&lt;100000, INDIRECT(CONCATENATE("AD",AG405))-1,IF(   INDIRECT(CONCATENATE("AE",AG405))&lt;100000,  INDIRECT(CONCATENATE("AE",G405)),INDIRECT(CONCATENATE("AF",AG405))                ))))</f>
        <v>#N/A</v>
      </c>
      <c r="AJ405" s="114"/>
      <c r="AK405" s="114"/>
      <c r="AL405" s="238" t="e">
        <f t="shared" ca="1" si="173"/>
        <v>#N/A</v>
      </c>
      <c r="AM405" s="112">
        <f t="shared" ca="1" si="179"/>
        <v>100000</v>
      </c>
      <c r="AN405" s="112">
        <f t="shared" ca="1" si="174"/>
        <v>100000</v>
      </c>
      <c r="AO405" s="114">
        <f t="shared" ref="AO405:AO468" ca="1" si="181">INDIRECT(CONCATENATE("H",AG405))</f>
        <v>0</v>
      </c>
      <c r="AP405" s="114">
        <f t="shared" ref="AP405:AP468" ca="1" si="182">INDIRECT(CONCATENATE("J",AG405))</f>
        <v>0</v>
      </c>
      <c r="AR405" s="238">
        <f t="shared" si="175"/>
        <v>405</v>
      </c>
      <c r="CJ405" s="112"/>
      <c r="CK405" s="112"/>
      <c r="CN405" s="112"/>
      <c r="CO405" s="112"/>
      <c r="CP405" s="112"/>
      <c r="CQ405" s="112"/>
      <c r="CR405" s="112"/>
      <c r="CS405" s="112"/>
      <c r="CT405" s="112"/>
      <c r="CU405" s="112"/>
      <c r="CV405" s="112"/>
      <c r="CW405" s="112"/>
      <c r="CX405" s="112"/>
      <c r="CY405" s="112"/>
      <c r="CZ405" s="112"/>
      <c r="DA405" s="112"/>
      <c r="DB405" s="112"/>
      <c r="DC405" s="112"/>
      <c r="DD405" s="112"/>
      <c r="DE405" s="112"/>
      <c r="DF405" s="112"/>
      <c r="DG405" s="112"/>
      <c r="DH405" s="112"/>
      <c r="DI405" s="112"/>
      <c r="DJ405" s="112"/>
      <c r="DK405" s="112"/>
      <c r="DL405" s="112"/>
      <c r="DM405" s="112"/>
      <c r="DN405" s="112"/>
      <c r="DO405" t="e">
        <f t="shared" si="180"/>
        <v>#N/A</v>
      </c>
    </row>
    <row r="406" spans="33:119" x14ac:dyDescent="0.25">
      <c r="AG406" s="238">
        <f>AG405</f>
        <v>97</v>
      </c>
      <c r="AH406" s="112" t="e">
        <f ca="1">AI405+1</f>
        <v>#N/A</v>
      </c>
      <c r="AI406" s="112" t="e">
        <f ca="1">IF(INDIRECT(CONCATENATE("AC",AG405))&lt;100000,INDIRECT(CONCATENATE("AC",AG405))-1,IF(INDIRECT(CONCATENATE("AD",AG405))&lt;100000,INDIRECT(CONCATENATE("AD",AG405))-1,IF(INDIRECT(CONCATENATE("AE",AG405))&lt;100000,INDIRECT(CONCATENATE("AE",G405)),INDIRECT(CONCATENATE("AF",AG405)))))</f>
        <v>#N/A</v>
      </c>
      <c r="AJ406" s="114"/>
      <c r="AK406" s="114"/>
      <c r="AL406" s="238" t="e">
        <f t="shared" ref="AL406:AL469" ca="1" si="183">IF(AI406=AI405,0,1)</f>
        <v>#N/A</v>
      </c>
      <c r="AM406" s="112">
        <f t="shared" ca="1" si="179"/>
        <v>100000</v>
      </c>
      <c r="AN406" s="112">
        <f t="shared" ref="AN406:AN469" ca="1" si="184">IF(AM406=100000,100000,AI406)</f>
        <v>100000</v>
      </c>
      <c r="AO406" s="114">
        <f t="shared" ca="1" si="181"/>
        <v>0</v>
      </c>
      <c r="AP406" s="114">
        <f t="shared" ca="1" si="182"/>
        <v>0</v>
      </c>
      <c r="AR406" s="238">
        <f t="shared" ref="AR406:AR469" si="185">AR405+1</f>
        <v>406</v>
      </c>
      <c r="CJ406" s="112"/>
      <c r="CK406" s="112"/>
      <c r="CN406" s="112"/>
      <c r="CO406" s="112"/>
      <c r="CP406" s="112"/>
      <c r="CQ406" s="112"/>
      <c r="CR406" s="112"/>
      <c r="CS406" s="112"/>
      <c r="CT406" s="112"/>
      <c r="CU406" s="112"/>
      <c r="CV406" s="112"/>
      <c r="CW406" s="112"/>
      <c r="CX406" s="112"/>
      <c r="CY406" s="112"/>
      <c r="CZ406" s="112"/>
      <c r="DA406" s="112"/>
      <c r="DB406" s="112"/>
      <c r="DC406" s="112"/>
      <c r="DD406" s="112"/>
      <c r="DE406" s="112"/>
      <c r="DF406" s="112"/>
      <c r="DG406" s="112"/>
      <c r="DH406" s="112"/>
      <c r="DI406" s="112"/>
      <c r="DJ406" s="112"/>
      <c r="DK406" s="112"/>
      <c r="DL406" s="112"/>
      <c r="DM406" s="112"/>
      <c r="DN406" s="112"/>
      <c r="DO406" t="e">
        <f t="shared" si="180"/>
        <v>#N/A</v>
      </c>
    </row>
    <row r="407" spans="33:119" x14ac:dyDescent="0.25">
      <c r="AG407" s="238">
        <f>AG406</f>
        <v>97</v>
      </c>
      <c r="AH407" s="112" t="e">
        <f ca="1">AI406+1</f>
        <v>#N/A</v>
      </c>
      <c r="AI407" s="112" t="e">
        <f ca="1">IF(INDIRECT(CONCATENATE("AD",AG405))&lt;100000,INDIRECT(CONCATENATE("AD",AG405))-1,IF(INDIRECT(CONCATENATE("AE",AG405))&lt;100000,INDIRECT(CONCATENATE("AE",G405)),INDIRECT(CONCATENATE("AF",AG405))))</f>
        <v>#N/A</v>
      </c>
      <c r="AJ407" s="114"/>
      <c r="AK407" s="114"/>
      <c r="AL407" s="238" t="e">
        <f t="shared" ca="1" si="183"/>
        <v>#N/A</v>
      </c>
      <c r="AM407" s="112">
        <f t="shared" ca="1" si="179"/>
        <v>100000</v>
      </c>
      <c r="AN407" s="112">
        <f t="shared" ca="1" si="184"/>
        <v>100000</v>
      </c>
      <c r="AO407" s="114">
        <f t="shared" ca="1" si="181"/>
        <v>0</v>
      </c>
      <c r="AP407" s="114">
        <f t="shared" ca="1" si="182"/>
        <v>0</v>
      </c>
      <c r="AR407" s="238">
        <f t="shared" si="185"/>
        <v>407</v>
      </c>
      <c r="CJ407" s="112"/>
      <c r="CK407" s="112"/>
      <c r="CN407" s="112"/>
      <c r="CO407" s="112"/>
      <c r="CP407" s="112"/>
      <c r="CQ407" s="112"/>
      <c r="CR407" s="112"/>
      <c r="CS407" s="112"/>
      <c r="CT407" s="112"/>
      <c r="CU407" s="112"/>
      <c r="CV407" s="112"/>
      <c r="CW407" s="112"/>
      <c r="CX407" s="112"/>
      <c r="CY407" s="112"/>
      <c r="CZ407" s="112"/>
      <c r="DA407" s="112"/>
      <c r="DB407" s="112"/>
      <c r="DC407" s="112"/>
      <c r="DD407" s="112"/>
      <c r="DE407" s="112"/>
      <c r="DF407" s="112"/>
      <c r="DG407" s="112"/>
      <c r="DH407" s="112"/>
      <c r="DI407" s="112"/>
      <c r="DJ407" s="112"/>
      <c r="DK407" s="112"/>
      <c r="DL407" s="112"/>
      <c r="DM407" s="112"/>
      <c r="DN407" s="112"/>
      <c r="DO407" t="e">
        <f t="shared" si="180"/>
        <v>#N/A</v>
      </c>
    </row>
    <row r="408" spans="33:119" x14ac:dyDescent="0.25">
      <c r="AG408" s="238">
        <f>AG407</f>
        <v>97</v>
      </c>
      <c r="AH408" s="112" t="e">
        <f ca="1">AI407+1</f>
        <v>#N/A</v>
      </c>
      <c r="AI408" s="112" t="e">
        <f ca="1">IF(INDIRECT(CONCATENATE("AE",AG405))&lt;100000,INDIRECT(CONCATENATE("AE",G405)),INDIRECT(CONCATENATE("AF",AG405)))</f>
        <v>#N/A</v>
      </c>
      <c r="AJ408" s="114"/>
      <c r="AK408" s="114"/>
      <c r="AL408" s="238" t="e">
        <f t="shared" ca="1" si="183"/>
        <v>#N/A</v>
      </c>
      <c r="AM408" s="112">
        <f t="shared" ca="1" si="179"/>
        <v>100000</v>
      </c>
      <c r="AN408" s="112">
        <f t="shared" ca="1" si="184"/>
        <v>100000</v>
      </c>
      <c r="AO408" s="114">
        <f t="shared" ca="1" si="181"/>
        <v>0</v>
      </c>
      <c r="AP408" s="114">
        <f t="shared" ca="1" si="182"/>
        <v>0</v>
      </c>
      <c r="AR408" s="238">
        <f t="shared" si="185"/>
        <v>408</v>
      </c>
      <c r="CJ408" s="112"/>
      <c r="CK408" s="112"/>
      <c r="CN408" s="112"/>
      <c r="CO408" s="112"/>
      <c r="CP408" s="112"/>
      <c r="CQ408" s="112"/>
      <c r="CR408" s="112"/>
      <c r="CS408" s="112"/>
      <c r="CT408" s="112"/>
      <c r="CU408" s="112"/>
      <c r="CV408" s="112"/>
      <c r="CW408" s="112"/>
      <c r="CX408" s="112"/>
      <c r="CY408" s="112"/>
      <c r="CZ408" s="112"/>
      <c r="DA408" s="112"/>
      <c r="DB408" s="112"/>
      <c r="DC408" s="112"/>
      <c r="DD408" s="112"/>
      <c r="DE408" s="112"/>
      <c r="DF408" s="112"/>
      <c r="DG408" s="112"/>
      <c r="DH408" s="112"/>
      <c r="DI408" s="112"/>
      <c r="DJ408" s="112"/>
      <c r="DK408" s="112"/>
      <c r="DL408" s="112"/>
      <c r="DM408" s="112"/>
      <c r="DN408" s="112"/>
      <c r="DO408" t="e">
        <f t="shared" si="180"/>
        <v>#N/A</v>
      </c>
    </row>
    <row r="409" spans="33:119" x14ac:dyDescent="0.25">
      <c r="AG409" s="238">
        <f>AG408</f>
        <v>97</v>
      </c>
      <c r="AH409" s="112" t="e">
        <f ca="1">AI408+1</f>
        <v>#N/A</v>
      </c>
      <c r="AI409" s="112">
        <f ca="1">INDIRECT(CONCATENATE("AF",AG405))</f>
        <v>100000</v>
      </c>
      <c r="AJ409" s="114"/>
      <c r="AK409" s="114"/>
      <c r="AL409" s="238" t="e">
        <f t="shared" ca="1" si="183"/>
        <v>#N/A</v>
      </c>
      <c r="AM409" s="112">
        <f t="shared" ca="1" si="179"/>
        <v>100000</v>
      </c>
      <c r="AN409" s="112">
        <f t="shared" ca="1" si="184"/>
        <v>100000</v>
      </c>
      <c r="AO409" s="114">
        <f t="shared" ca="1" si="181"/>
        <v>0</v>
      </c>
      <c r="AP409" s="114">
        <f t="shared" ca="1" si="182"/>
        <v>0</v>
      </c>
      <c r="AR409" s="238">
        <f t="shared" si="185"/>
        <v>409</v>
      </c>
      <c r="CJ409" s="112"/>
      <c r="CK409" s="112"/>
      <c r="CN409" s="112"/>
      <c r="CO409" s="112"/>
      <c r="CP409" s="112"/>
      <c r="CQ409" s="112"/>
      <c r="CR409" s="112"/>
      <c r="CS409" s="112"/>
      <c r="CT409" s="112"/>
      <c r="CU409" s="112"/>
      <c r="CV409" s="112"/>
      <c r="CW409" s="112"/>
      <c r="CX409" s="112"/>
      <c r="CY409" s="112"/>
      <c r="CZ409" s="112"/>
      <c r="DA409" s="112"/>
      <c r="DB409" s="112"/>
      <c r="DC409" s="112"/>
      <c r="DD409" s="112"/>
      <c r="DE409" s="112"/>
      <c r="DF409" s="112"/>
      <c r="DG409" s="112"/>
      <c r="DH409" s="112"/>
      <c r="DI409" s="112"/>
      <c r="DJ409" s="112"/>
      <c r="DK409" s="112"/>
      <c r="DL409" s="112"/>
      <c r="DM409" s="112"/>
      <c r="DN409" s="112"/>
      <c r="DO409" t="e">
        <f t="shared" si="180"/>
        <v>#N/A</v>
      </c>
    </row>
    <row r="410" spans="33:119" x14ac:dyDescent="0.25">
      <c r="AG410" s="238">
        <f>AG409+1</f>
        <v>98</v>
      </c>
      <c r="AH410" s="112">
        <f ca="1">INDIRECT(CONCATENATE("AA",AG410))</f>
        <v>100000</v>
      </c>
      <c r="AI410" s="112" t="e">
        <f ca="1">IF(            INDIRECT(CONCATENATE( "AB",AG410))&lt;100000,       INDIRECT(CONCATENATE("AB",AG410))  -1,IF(   INDIRECT(CONCATENATE("AC",AG410))&lt;100000,   INDIRECT(CONCATENATE("AC",AG410))-1,IF(   INDIRECT(CONCATENATE("AD", AG410))&lt;100000, INDIRECT(CONCATENATE("AD",AG410))-1,IF(   INDIRECT(CONCATENATE("AE",AG410))&lt;100000,  INDIRECT(CONCATENATE("AE",G410)),INDIRECT(CONCATENATE("AF",AG410))                ))))</f>
        <v>#N/A</v>
      </c>
      <c r="AJ410" s="114"/>
      <c r="AK410" s="114"/>
      <c r="AL410" s="238" t="e">
        <f t="shared" ca="1" si="183"/>
        <v>#N/A</v>
      </c>
      <c r="AM410" s="112">
        <f t="shared" ca="1" si="179"/>
        <v>100000</v>
      </c>
      <c r="AN410" s="112">
        <f t="shared" ca="1" si="184"/>
        <v>100000</v>
      </c>
      <c r="AO410" s="114">
        <f t="shared" ca="1" si="181"/>
        <v>0</v>
      </c>
      <c r="AP410" s="114">
        <f t="shared" ca="1" si="182"/>
        <v>0</v>
      </c>
      <c r="AR410" s="238">
        <f t="shared" si="185"/>
        <v>410</v>
      </c>
      <c r="CJ410" s="112"/>
      <c r="CK410" s="112"/>
      <c r="CN410" s="112"/>
      <c r="CO410" s="112"/>
      <c r="CP410" s="112"/>
      <c r="CQ410" s="112"/>
      <c r="CR410" s="112"/>
      <c r="CS410" s="112"/>
      <c r="CT410" s="112"/>
      <c r="CU410" s="112"/>
      <c r="CV410" s="112"/>
      <c r="CW410" s="112"/>
      <c r="CX410" s="112"/>
      <c r="CY410" s="112"/>
      <c r="CZ410" s="112"/>
      <c r="DA410" s="112"/>
      <c r="DB410" s="112"/>
      <c r="DC410" s="112"/>
      <c r="DD410" s="112"/>
      <c r="DE410" s="112"/>
      <c r="DF410" s="112"/>
      <c r="DG410" s="112"/>
      <c r="DH410" s="112"/>
      <c r="DI410" s="112"/>
      <c r="DJ410" s="112"/>
      <c r="DK410" s="112"/>
      <c r="DL410" s="112"/>
      <c r="DM410" s="112"/>
      <c r="DN410" s="112"/>
      <c r="DO410" t="e">
        <f t="shared" si="180"/>
        <v>#N/A</v>
      </c>
    </row>
    <row r="411" spans="33:119" x14ac:dyDescent="0.25">
      <c r="AG411" s="238">
        <f>AG410</f>
        <v>98</v>
      </c>
      <c r="AH411" s="112" t="e">
        <f ca="1">AI410+1</f>
        <v>#N/A</v>
      </c>
      <c r="AI411" s="112" t="e">
        <f ca="1">IF(INDIRECT(CONCATENATE("AC",AG410))&lt;100000,INDIRECT(CONCATENATE("AC",AG410))-1,IF(INDIRECT(CONCATENATE("AD",AG410))&lt;100000,INDIRECT(CONCATENATE("AD",AG410))-1,IF(INDIRECT(CONCATENATE("AE",AG410))&lt;100000,INDIRECT(CONCATENATE("AE",G410)),INDIRECT(CONCATENATE("AF",AG410)))))</f>
        <v>#N/A</v>
      </c>
      <c r="AJ411" s="114"/>
      <c r="AK411" s="114"/>
      <c r="AL411" s="238" t="e">
        <f t="shared" ca="1" si="183"/>
        <v>#N/A</v>
      </c>
      <c r="AM411" s="112">
        <f t="shared" ca="1" si="179"/>
        <v>100000</v>
      </c>
      <c r="AN411" s="112">
        <f t="shared" ca="1" si="184"/>
        <v>100000</v>
      </c>
      <c r="AO411" s="114">
        <f t="shared" ca="1" si="181"/>
        <v>0</v>
      </c>
      <c r="AP411" s="114">
        <f t="shared" ca="1" si="182"/>
        <v>0</v>
      </c>
      <c r="AR411" s="238">
        <f t="shared" si="185"/>
        <v>411</v>
      </c>
      <c r="CJ411" s="112"/>
      <c r="CK411" s="112"/>
      <c r="CN411" s="112"/>
      <c r="CO411" s="112"/>
      <c r="CP411" s="112"/>
      <c r="CQ411" s="112"/>
      <c r="CR411" s="112"/>
      <c r="CS411" s="112"/>
      <c r="CT411" s="112"/>
      <c r="CU411" s="112"/>
      <c r="CV411" s="112"/>
      <c r="CW411" s="112"/>
      <c r="CX411" s="112"/>
      <c r="CY411" s="112"/>
      <c r="CZ411" s="112"/>
      <c r="DA411" s="112"/>
      <c r="DB411" s="112"/>
      <c r="DC411" s="112"/>
      <c r="DD411" s="112"/>
      <c r="DE411" s="112"/>
      <c r="DF411" s="112"/>
      <c r="DG411" s="112"/>
      <c r="DH411" s="112"/>
      <c r="DI411" s="112"/>
      <c r="DJ411" s="112"/>
      <c r="DK411" s="112"/>
      <c r="DL411" s="112"/>
      <c r="DM411" s="112"/>
      <c r="DN411" s="112"/>
      <c r="DO411" t="e">
        <f t="shared" si="180"/>
        <v>#N/A</v>
      </c>
    </row>
    <row r="412" spans="33:119" x14ac:dyDescent="0.25">
      <c r="AG412" s="238">
        <f>AG411</f>
        <v>98</v>
      </c>
      <c r="AH412" s="112" t="e">
        <f ca="1">AI411+1</f>
        <v>#N/A</v>
      </c>
      <c r="AI412" s="112" t="e">
        <f ca="1">IF(INDIRECT(CONCATENATE("AD",AG410))&lt;100000,INDIRECT(CONCATENATE("AD",AG410))-1,IF(INDIRECT(CONCATENATE("AE",AG410))&lt;100000,INDIRECT(CONCATENATE("AE",G410)),INDIRECT(CONCATENATE("AF",AG410))))</f>
        <v>#N/A</v>
      </c>
      <c r="AJ412" s="114"/>
      <c r="AK412" s="114"/>
      <c r="AL412" s="238" t="e">
        <f t="shared" ca="1" si="183"/>
        <v>#N/A</v>
      </c>
      <c r="AM412" s="112">
        <f t="shared" ca="1" si="179"/>
        <v>100000</v>
      </c>
      <c r="AN412" s="112">
        <f t="shared" ca="1" si="184"/>
        <v>100000</v>
      </c>
      <c r="AO412" s="114">
        <f t="shared" ca="1" si="181"/>
        <v>0</v>
      </c>
      <c r="AP412" s="114">
        <f t="shared" ca="1" si="182"/>
        <v>0</v>
      </c>
      <c r="AR412" s="238">
        <f t="shared" si="185"/>
        <v>412</v>
      </c>
      <c r="CJ412" s="112"/>
      <c r="CK412" s="112"/>
      <c r="CN412" s="112"/>
      <c r="CO412" s="112"/>
      <c r="CP412" s="112"/>
      <c r="CQ412" s="112"/>
      <c r="CR412" s="112"/>
      <c r="CS412" s="112"/>
      <c r="CT412" s="112"/>
      <c r="CU412" s="112"/>
      <c r="CV412" s="112"/>
      <c r="CW412" s="112"/>
      <c r="CX412" s="112"/>
      <c r="CY412" s="112"/>
      <c r="CZ412" s="112"/>
      <c r="DA412" s="112"/>
      <c r="DB412" s="112"/>
      <c r="DC412" s="112"/>
      <c r="DD412" s="112"/>
      <c r="DE412" s="112"/>
      <c r="DF412" s="112"/>
      <c r="DG412" s="112"/>
      <c r="DH412" s="112"/>
      <c r="DI412" s="112"/>
      <c r="DJ412" s="112"/>
      <c r="DK412" s="112"/>
      <c r="DL412" s="112"/>
      <c r="DM412" s="112"/>
      <c r="DN412" s="112"/>
      <c r="DO412" t="e">
        <f t="shared" si="180"/>
        <v>#N/A</v>
      </c>
    </row>
    <row r="413" spans="33:119" x14ac:dyDescent="0.25">
      <c r="AG413" s="238">
        <f>AG412</f>
        <v>98</v>
      </c>
      <c r="AH413" s="112" t="e">
        <f ca="1">AI412+1</f>
        <v>#N/A</v>
      </c>
      <c r="AI413" s="112" t="e">
        <f ca="1">IF(INDIRECT(CONCATENATE("AE",AG410))&lt;100000,INDIRECT(CONCATENATE("AE",G410)),INDIRECT(CONCATENATE("AF",AG410)))</f>
        <v>#N/A</v>
      </c>
      <c r="AJ413" s="114"/>
      <c r="AK413" s="114"/>
      <c r="AL413" s="238" t="e">
        <f t="shared" ca="1" si="183"/>
        <v>#N/A</v>
      </c>
      <c r="AM413" s="112">
        <f t="shared" ca="1" si="179"/>
        <v>100000</v>
      </c>
      <c r="AN413" s="112">
        <f t="shared" ca="1" si="184"/>
        <v>100000</v>
      </c>
      <c r="AO413" s="114">
        <f t="shared" ca="1" si="181"/>
        <v>0</v>
      </c>
      <c r="AP413" s="114">
        <f t="shared" ca="1" si="182"/>
        <v>0</v>
      </c>
      <c r="AR413" s="238">
        <f t="shared" si="185"/>
        <v>413</v>
      </c>
      <c r="CJ413" s="112"/>
      <c r="CK413" s="112"/>
      <c r="CN413" s="112"/>
      <c r="CO413" s="112"/>
      <c r="CP413" s="112"/>
      <c r="CQ413" s="112"/>
      <c r="CR413" s="112"/>
      <c r="CS413" s="112"/>
      <c r="CT413" s="112"/>
      <c r="CU413" s="112"/>
      <c r="CV413" s="112"/>
      <c r="CW413" s="112"/>
      <c r="CX413" s="112"/>
      <c r="CY413" s="112"/>
      <c r="CZ413" s="112"/>
      <c r="DA413" s="112"/>
      <c r="DB413" s="112"/>
      <c r="DC413" s="112"/>
      <c r="DD413" s="112"/>
      <c r="DE413" s="112"/>
      <c r="DF413" s="112"/>
      <c r="DG413" s="112"/>
      <c r="DH413" s="112"/>
      <c r="DI413" s="112"/>
      <c r="DJ413" s="112"/>
      <c r="DK413" s="112"/>
      <c r="DL413" s="112"/>
      <c r="DM413" s="112"/>
      <c r="DN413" s="112"/>
      <c r="DO413" t="e">
        <f t="shared" si="180"/>
        <v>#N/A</v>
      </c>
    </row>
    <row r="414" spans="33:119" x14ac:dyDescent="0.25">
      <c r="AG414" s="238">
        <f>AG413</f>
        <v>98</v>
      </c>
      <c r="AH414" s="112" t="e">
        <f ca="1">AI413+1</f>
        <v>#N/A</v>
      </c>
      <c r="AI414" s="112">
        <f ca="1">INDIRECT(CONCATENATE("AF",AG410))</f>
        <v>100000</v>
      </c>
      <c r="AJ414" s="114"/>
      <c r="AK414" s="114"/>
      <c r="AL414" s="238" t="e">
        <f t="shared" ca="1" si="183"/>
        <v>#N/A</v>
      </c>
      <c r="AM414" s="112">
        <f t="shared" ca="1" si="179"/>
        <v>100000</v>
      </c>
      <c r="AN414" s="112">
        <f t="shared" ca="1" si="184"/>
        <v>100000</v>
      </c>
      <c r="AO414" s="114">
        <f t="shared" ca="1" si="181"/>
        <v>0</v>
      </c>
      <c r="AP414" s="114">
        <f t="shared" ca="1" si="182"/>
        <v>0</v>
      </c>
      <c r="AR414" s="238">
        <f t="shared" si="185"/>
        <v>414</v>
      </c>
      <c r="CJ414" s="112"/>
      <c r="CK414" s="112"/>
      <c r="CN414" s="112"/>
      <c r="CO414" s="112"/>
      <c r="CP414" s="112"/>
      <c r="CQ414" s="112"/>
      <c r="CR414" s="112"/>
      <c r="CS414" s="112"/>
      <c r="CT414" s="112"/>
      <c r="CU414" s="112"/>
      <c r="CV414" s="112"/>
      <c r="CW414" s="112"/>
      <c r="CX414" s="112"/>
      <c r="CY414" s="112"/>
      <c r="CZ414" s="112"/>
      <c r="DA414" s="112"/>
      <c r="DB414" s="112"/>
      <c r="DC414" s="112"/>
      <c r="DD414" s="112"/>
      <c r="DE414" s="112"/>
      <c r="DF414" s="112"/>
      <c r="DG414" s="112"/>
      <c r="DH414" s="112"/>
      <c r="DI414" s="112"/>
      <c r="DJ414" s="112"/>
      <c r="DK414" s="112"/>
      <c r="DL414" s="112"/>
      <c r="DM414" s="112"/>
      <c r="DN414" s="112"/>
      <c r="DO414" t="e">
        <f t="shared" si="180"/>
        <v>#N/A</v>
      </c>
    </row>
    <row r="415" spans="33:119" x14ac:dyDescent="0.25">
      <c r="AG415" s="238">
        <f>AG414+1</f>
        <v>99</v>
      </c>
      <c r="AH415" s="112">
        <f ca="1">INDIRECT(CONCATENATE("AA",AG415))</f>
        <v>100000</v>
      </c>
      <c r="AI415" s="112" t="e">
        <f ca="1">IF(            INDIRECT(CONCATENATE( "AB",AG415))&lt;100000,       INDIRECT(CONCATENATE("AB",AG415))  -1,IF(   INDIRECT(CONCATENATE("AC",AG415))&lt;100000,   INDIRECT(CONCATENATE("AC",AG415))-1,IF(   INDIRECT(CONCATENATE("AD", AG415))&lt;100000, INDIRECT(CONCATENATE("AD",AG415))-1,IF(   INDIRECT(CONCATENATE("AE",AG415))&lt;100000,  INDIRECT(CONCATENATE("AE",G415)),INDIRECT(CONCATENATE("AF",AG415))                ))))</f>
        <v>#N/A</v>
      </c>
      <c r="AJ415" s="114"/>
      <c r="AK415" s="114"/>
      <c r="AL415" s="238" t="e">
        <f t="shared" ca="1" si="183"/>
        <v>#N/A</v>
      </c>
      <c r="AM415" s="112">
        <f t="shared" ca="1" si="179"/>
        <v>100000</v>
      </c>
      <c r="AN415" s="112">
        <f t="shared" ca="1" si="184"/>
        <v>100000</v>
      </c>
      <c r="AO415" s="114">
        <f t="shared" ca="1" si="181"/>
        <v>0</v>
      </c>
      <c r="AP415" s="114">
        <f t="shared" ca="1" si="182"/>
        <v>0</v>
      </c>
      <c r="AR415" s="238">
        <f t="shared" si="185"/>
        <v>415</v>
      </c>
      <c r="CJ415" s="112"/>
      <c r="CK415" s="112"/>
      <c r="CN415" s="112"/>
      <c r="CO415" s="112"/>
      <c r="CP415" s="112"/>
      <c r="CQ415" s="112"/>
      <c r="CR415" s="112"/>
      <c r="CS415" s="112"/>
      <c r="CT415" s="112"/>
      <c r="CU415" s="112"/>
      <c r="CV415" s="112"/>
      <c r="CW415" s="112"/>
      <c r="CX415" s="112"/>
      <c r="CY415" s="112"/>
      <c r="CZ415" s="112"/>
      <c r="DA415" s="112"/>
      <c r="DB415" s="112"/>
      <c r="DC415" s="112"/>
      <c r="DD415" s="112"/>
      <c r="DE415" s="112"/>
      <c r="DF415" s="112"/>
      <c r="DG415" s="112"/>
      <c r="DH415" s="112"/>
      <c r="DI415" s="112"/>
      <c r="DJ415" s="112"/>
      <c r="DK415" s="112"/>
      <c r="DL415" s="112"/>
      <c r="DM415" s="112"/>
      <c r="DN415" s="112"/>
      <c r="DO415" t="e">
        <f t="shared" si="180"/>
        <v>#N/A</v>
      </c>
    </row>
    <row r="416" spans="33:119" x14ac:dyDescent="0.25">
      <c r="AG416" s="238">
        <f>AG415</f>
        <v>99</v>
      </c>
      <c r="AH416" s="112" t="e">
        <f ca="1">AI415+1</f>
        <v>#N/A</v>
      </c>
      <c r="AI416" s="112" t="e">
        <f ca="1">IF(INDIRECT(CONCATENATE("AC",AG415))&lt;100000,INDIRECT(CONCATENATE("AC",AG415))-1,IF(INDIRECT(CONCATENATE("AD",AG415))&lt;100000,INDIRECT(CONCATENATE("AD",AG415))-1,IF(INDIRECT(CONCATENATE("AE",AG415))&lt;100000,INDIRECT(CONCATENATE("AE",G415)),INDIRECT(CONCATENATE("AF",AG415)))))</f>
        <v>#N/A</v>
      </c>
      <c r="AJ416" s="114"/>
      <c r="AK416" s="114"/>
      <c r="AL416" s="238" t="e">
        <f t="shared" ca="1" si="183"/>
        <v>#N/A</v>
      </c>
      <c r="AM416" s="112">
        <f t="shared" ca="1" si="179"/>
        <v>100000</v>
      </c>
      <c r="AN416" s="112">
        <f t="shared" ca="1" si="184"/>
        <v>100000</v>
      </c>
      <c r="AO416" s="114">
        <f t="shared" ca="1" si="181"/>
        <v>0</v>
      </c>
      <c r="AP416" s="114">
        <f t="shared" ca="1" si="182"/>
        <v>0</v>
      </c>
      <c r="AR416" s="238">
        <f t="shared" si="185"/>
        <v>416</v>
      </c>
      <c r="CJ416" s="112"/>
      <c r="CK416" s="112"/>
      <c r="CN416" s="112"/>
      <c r="CO416" s="112"/>
      <c r="CP416" s="112"/>
      <c r="CQ416" s="112"/>
      <c r="CR416" s="112"/>
      <c r="CS416" s="112"/>
      <c r="CT416" s="112"/>
      <c r="CU416" s="112"/>
      <c r="CV416" s="112"/>
      <c r="CW416" s="112"/>
      <c r="CX416" s="112"/>
      <c r="CY416" s="112"/>
      <c r="CZ416" s="112"/>
      <c r="DA416" s="112"/>
      <c r="DB416" s="112"/>
      <c r="DC416" s="112"/>
      <c r="DD416" s="112"/>
      <c r="DE416" s="112"/>
      <c r="DF416" s="112"/>
      <c r="DG416" s="112"/>
      <c r="DH416" s="112"/>
      <c r="DI416" s="112"/>
      <c r="DJ416" s="112"/>
      <c r="DK416" s="112"/>
      <c r="DL416" s="112"/>
      <c r="DM416" s="112"/>
      <c r="DN416" s="112"/>
      <c r="DO416" t="e">
        <f t="shared" si="180"/>
        <v>#N/A</v>
      </c>
    </row>
    <row r="417" spans="33:119" x14ac:dyDescent="0.25">
      <c r="AG417" s="238">
        <f>AG416</f>
        <v>99</v>
      </c>
      <c r="AH417" s="112" t="e">
        <f ca="1">AI416+1</f>
        <v>#N/A</v>
      </c>
      <c r="AI417" s="112" t="e">
        <f ca="1">IF(INDIRECT(CONCATENATE("AD",AG415))&lt;100000,INDIRECT(CONCATENATE("AD",AG415))-1,IF(INDIRECT(CONCATENATE("AE",AG415))&lt;100000,INDIRECT(CONCATENATE("AE",G415)),INDIRECT(CONCATENATE("AF",AG415))))</f>
        <v>#N/A</v>
      </c>
      <c r="AJ417" s="114"/>
      <c r="AK417" s="114"/>
      <c r="AL417" s="238" t="e">
        <f t="shared" ca="1" si="183"/>
        <v>#N/A</v>
      </c>
      <c r="AM417" s="112">
        <f t="shared" ca="1" si="179"/>
        <v>100000</v>
      </c>
      <c r="AN417" s="112">
        <f t="shared" ca="1" si="184"/>
        <v>100000</v>
      </c>
      <c r="AO417" s="114">
        <f t="shared" ca="1" si="181"/>
        <v>0</v>
      </c>
      <c r="AP417" s="114">
        <f t="shared" ca="1" si="182"/>
        <v>0</v>
      </c>
      <c r="AR417" s="238">
        <f t="shared" si="185"/>
        <v>417</v>
      </c>
      <c r="CJ417" s="112"/>
      <c r="CK417" s="112"/>
      <c r="CN417" s="112"/>
      <c r="CO417" s="112"/>
      <c r="CP417" s="112"/>
      <c r="CQ417" s="112"/>
      <c r="CR417" s="112"/>
      <c r="CS417" s="112"/>
      <c r="CT417" s="112"/>
      <c r="CU417" s="112"/>
      <c r="CV417" s="112"/>
      <c r="CW417" s="112"/>
      <c r="CX417" s="112"/>
      <c r="CY417" s="112"/>
      <c r="CZ417" s="112"/>
      <c r="DA417" s="112"/>
      <c r="DB417" s="112"/>
      <c r="DC417" s="112"/>
      <c r="DD417" s="112"/>
      <c r="DE417" s="112"/>
      <c r="DF417" s="112"/>
      <c r="DG417" s="112"/>
      <c r="DH417" s="112"/>
      <c r="DI417" s="112"/>
      <c r="DJ417" s="112"/>
      <c r="DK417" s="112"/>
      <c r="DL417" s="112"/>
      <c r="DM417" s="112"/>
      <c r="DN417" s="112"/>
      <c r="DO417" t="e">
        <f t="shared" si="180"/>
        <v>#N/A</v>
      </c>
    </row>
    <row r="418" spans="33:119" x14ac:dyDescent="0.25">
      <c r="AG418" s="238">
        <f>AG417</f>
        <v>99</v>
      </c>
      <c r="AH418" s="112" t="e">
        <f ca="1">AI417+1</f>
        <v>#N/A</v>
      </c>
      <c r="AI418" s="112" t="e">
        <f ca="1">IF(INDIRECT(CONCATENATE("AE",AG415))&lt;100000,INDIRECT(CONCATENATE("AE",G415)),INDIRECT(CONCATENATE("AF",AG415)))</f>
        <v>#N/A</v>
      </c>
      <c r="AJ418" s="114"/>
      <c r="AK418" s="114"/>
      <c r="AL418" s="238" t="e">
        <f t="shared" ca="1" si="183"/>
        <v>#N/A</v>
      </c>
      <c r="AM418" s="112">
        <f t="shared" ca="1" si="179"/>
        <v>100000</v>
      </c>
      <c r="AN418" s="112">
        <f t="shared" ca="1" si="184"/>
        <v>100000</v>
      </c>
      <c r="AO418" s="114">
        <f t="shared" ca="1" si="181"/>
        <v>0</v>
      </c>
      <c r="AP418" s="114">
        <f t="shared" ca="1" si="182"/>
        <v>0</v>
      </c>
      <c r="AR418" s="238">
        <f t="shared" si="185"/>
        <v>418</v>
      </c>
      <c r="CJ418" s="112"/>
      <c r="CK418" s="112"/>
      <c r="CN418" s="112"/>
      <c r="CO418" s="112"/>
      <c r="CP418" s="112"/>
      <c r="CQ418" s="112"/>
      <c r="CR418" s="112"/>
      <c r="CS418" s="112"/>
      <c r="CT418" s="112"/>
      <c r="CU418" s="112"/>
      <c r="CV418" s="112"/>
      <c r="CW418" s="112"/>
      <c r="CX418" s="112"/>
      <c r="CY418" s="112"/>
      <c r="CZ418" s="112"/>
      <c r="DA418" s="112"/>
      <c r="DB418" s="112"/>
      <c r="DC418" s="112"/>
      <c r="DD418" s="112"/>
      <c r="DE418" s="112"/>
      <c r="DF418" s="112"/>
      <c r="DG418" s="112"/>
      <c r="DH418" s="112"/>
      <c r="DI418" s="112"/>
      <c r="DJ418" s="112"/>
      <c r="DK418" s="112"/>
      <c r="DL418" s="112"/>
      <c r="DM418" s="112"/>
      <c r="DN418" s="112"/>
      <c r="DO418" t="e">
        <f t="shared" si="180"/>
        <v>#N/A</v>
      </c>
    </row>
    <row r="419" spans="33:119" x14ac:dyDescent="0.25">
      <c r="AG419" s="238">
        <f>AG418</f>
        <v>99</v>
      </c>
      <c r="AH419" s="112" t="e">
        <f ca="1">AI418+1</f>
        <v>#N/A</v>
      </c>
      <c r="AI419" s="112">
        <f ca="1">INDIRECT(CONCATENATE("AF",AG415))</f>
        <v>100000</v>
      </c>
      <c r="AJ419" s="114"/>
      <c r="AK419" s="114"/>
      <c r="AL419" s="238" t="e">
        <f t="shared" ca="1" si="183"/>
        <v>#N/A</v>
      </c>
      <c r="AM419" s="112">
        <f t="shared" ca="1" si="179"/>
        <v>100000</v>
      </c>
      <c r="AN419" s="112">
        <f t="shared" ca="1" si="184"/>
        <v>100000</v>
      </c>
      <c r="AO419" s="114">
        <f t="shared" ca="1" si="181"/>
        <v>0</v>
      </c>
      <c r="AP419" s="114">
        <f t="shared" ca="1" si="182"/>
        <v>0</v>
      </c>
      <c r="AR419" s="238">
        <f t="shared" si="185"/>
        <v>419</v>
      </c>
      <c r="CJ419" s="112"/>
      <c r="CK419" s="112"/>
      <c r="CN419" s="112"/>
      <c r="CO419" s="112"/>
      <c r="CP419" s="112"/>
      <c r="CQ419" s="112"/>
      <c r="CR419" s="112"/>
      <c r="CS419" s="112"/>
      <c r="CT419" s="112"/>
      <c r="CU419" s="112"/>
      <c r="CV419" s="112"/>
      <c r="CW419" s="112"/>
      <c r="CX419" s="112"/>
      <c r="CY419" s="112"/>
      <c r="CZ419" s="112"/>
      <c r="DA419" s="112"/>
      <c r="DB419" s="112"/>
      <c r="DC419" s="112"/>
      <c r="DD419" s="112"/>
      <c r="DE419" s="112"/>
      <c r="DF419" s="112"/>
      <c r="DG419" s="112"/>
      <c r="DH419" s="112"/>
      <c r="DI419" s="112"/>
      <c r="DJ419" s="112"/>
      <c r="DK419" s="112"/>
      <c r="DL419" s="112"/>
      <c r="DM419" s="112"/>
      <c r="DN419" s="112"/>
      <c r="DO419" t="e">
        <f t="shared" si="180"/>
        <v>#N/A</v>
      </c>
    </row>
    <row r="420" spans="33:119" x14ac:dyDescent="0.25">
      <c r="AG420" s="238">
        <f>AG419+1</f>
        <v>100</v>
      </c>
      <c r="AH420" s="112">
        <f ca="1">INDIRECT(CONCATENATE("AA",AG420))</f>
        <v>100000</v>
      </c>
      <c r="AI420" s="112" t="e">
        <f ca="1">IF(            INDIRECT(CONCATENATE( "AB",AG420))&lt;100000,       INDIRECT(CONCATENATE("AB",AG420))  -1,IF(   INDIRECT(CONCATENATE("AC",AG420))&lt;100000,   INDIRECT(CONCATENATE("AC",AG420))-1,IF(   INDIRECT(CONCATENATE("AD", AG420))&lt;100000, INDIRECT(CONCATENATE("AD",AG420))-1,IF(   INDIRECT(CONCATENATE("AE",AG420))&lt;100000,  INDIRECT(CONCATENATE("AE",G420)),INDIRECT(CONCATENATE("AF",AG420))                ))))</f>
        <v>#N/A</v>
      </c>
      <c r="AJ420" s="114"/>
      <c r="AK420" s="114"/>
      <c r="AL420" s="238" t="e">
        <f t="shared" ca="1" si="183"/>
        <v>#N/A</v>
      </c>
      <c r="AM420" s="112">
        <f t="shared" ca="1" si="179"/>
        <v>100000</v>
      </c>
      <c r="AN420" s="112">
        <f t="shared" ca="1" si="184"/>
        <v>100000</v>
      </c>
      <c r="AO420" s="114">
        <f t="shared" ca="1" si="181"/>
        <v>0</v>
      </c>
      <c r="AP420" s="114">
        <f t="shared" ca="1" si="182"/>
        <v>0</v>
      </c>
      <c r="AR420" s="238">
        <f t="shared" si="185"/>
        <v>420</v>
      </c>
      <c r="CJ420" s="112"/>
      <c r="CK420" s="112"/>
      <c r="CN420" s="112"/>
      <c r="CO420" s="112"/>
      <c r="CP420" s="112"/>
      <c r="CQ420" s="112"/>
      <c r="CR420" s="112"/>
      <c r="CS420" s="112"/>
      <c r="CT420" s="112"/>
      <c r="CU420" s="112"/>
      <c r="CV420" s="112"/>
      <c r="CW420" s="112"/>
      <c r="CX420" s="112"/>
      <c r="CY420" s="112"/>
      <c r="CZ420" s="112"/>
      <c r="DA420" s="112"/>
      <c r="DB420" s="112"/>
      <c r="DC420" s="112"/>
      <c r="DD420" s="112"/>
      <c r="DE420" s="112"/>
      <c r="DF420" s="112"/>
      <c r="DG420" s="112"/>
      <c r="DH420" s="112"/>
      <c r="DI420" s="112"/>
      <c r="DJ420" s="112"/>
      <c r="DK420" s="112"/>
      <c r="DL420" s="112"/>
      <c r="DM420" s="112"/>
      <c r="DN420" s="112"/>
      <c r="DO420" t="e">
        <f t="shared" si="180"/>
        <v>#N/A</v>
      </c>
    </row>
    <row r="421" spans="33:119" x14ac:dyDescent="0.25">
      <c r="AG421" s="238">
        <f>AG420</f>
        <v>100</v>
      </c>
      <c r="AH421" s="112" t="e">
        <f ca="1">AI420+1</f>
        <v>#N/A</v>
      </c>
      <c r="AI421" s="112" t="e">
        <f ca="1">IF(INDIRECT(CONCATENATE("AC",AG420))&lt;100000,INDIRECT(CONCATENATE("AC",AG420))-1,IF(INDIRECT(CONCATENATE("AD",AG420))&lt;100000,INDIRECT(CONCATENATE("AD",AG420))-1,IF(INDIRECT(CONCATENATE("AE",AG420))&lt;100000,INDIRECT(CONCATENATE("AE",G420)),INDIRECT(CONCATENATE("AF",AG420)))))</f>
        <v>#N/A</v>
      </c>
      <c r="AJ421" s="114"/>
      <c r="AK421" s="114"/>
      <c r="AL421" s="238" t="e">
        <f t="shared" ca="1" si="183"/>
        <v>#N/A</v>
      </c>
      <c r="AM421" s="112">
        <f t="shared" ca="1" si="179"/>
        <v>100000</v>
      </c>
      <c r="AN421" s="112">
        <f t="shared" ca="1" si="184"/>
        <v>100000</v>
      </c>
      <c r="AO421" s="114">
        <f t="shared" ca="1" si="181"/>
        <v>0</v>
      </c>
      <c r="AP421" s="114">
        <f t="shared" ca="1" si="182"/>
        <v>0</v>
      </c>
      <c r="AR421" s="238">
        <f t="shared" si="185"/>
        <v>421</v>
      </c>
      <c r="CJ421" s="112"/>
      <c r="CK421" s="112"/>
      <c r="CN421" s="112"/>
      <c r="CO421" s="112"/>
      <c r="CP421" s="112"/>
      <c r="CQ421" s="112"/>
      <c r="CR421" s="112"/>
      <c r="CS421" s="112"/>
      <c r="CT421" s="112"/>
      <c r="CU421" s="112"/>
      <c r="CV421" s="112"/>
      <c r="CW421" s="112"/>
      <c r="CX421" s="112"/>
      <c r="CY421" s="112"/>
      <c r="CZ421" s="112"/>
      <c r="DA421" s="112"/>
      <c r="DB421" s="112"/>
      <c r="DC421" s="112"/>
      <c r="DD421" s="112"/>
      <c r="DE421" s="112"/>
      <c r="DF421" s="112"/>
      <c r="DG421" s="112"/>
      <c r="DH421" s="112"/>
      <c r="DI421" s="112"/>
      <c r="DJ421" s="112"/>
      <c r="DK421" s="112"/>
      <c r="DL421" s="112"/>
      <c r="DM421" s="112"/>
      <c r="DN421" s="112"/>
      <c r="DO421" t="e">
        <f t="shared" si="180"/>
        <v>#N/A</v>
      </c>
    </row>
    <row r="422" spans="33:119" x14ac:dyDescent="0.25">
      <c r="AG422" s="238">
        <f>AG421</f>
        <v>100</v>
      </c>
      <c r="AH422" s="112" t="e">
        <f ca="1">AI421+1</f>
        <v>#N/A</v>
      </c>
      <c r="AI422" s="112" t="e">
        <f ca="1">IF(INDIRECT(CONCATENATE("AD",AG420))&lt;100000,INDIRECT(CONCATENATE("AD",AG420))-1,IF(INDIRECT(CONCATENATE("AE",AG420))&lt;100000,INDIRECT(CONCATENATE("AE",G420)),INDIRECT(CONCATENATE("AF",AG420))))</f>
        <v>#N/A</v>
      </c>
      <c r="AJ422" s="114"/>
      <c r="AK422" s="114"/>
      <c r="AL422" s="238" t="e">
        <f t="shared" ca="1" si="183"/>
        <v>#N/A</v>
      </c>
      <c r="AM422" s="112">
        <f t="shared" ca="1" si="179"/>
        <v>100000</v>
      </c>
      <c r="AN422" s="112">
        <f t="shared" ca="1" si="184"/>
        <v>100000</v>
      </c>
      <c r="AO422" s="114">
        <f t="shared" ca="1" si="181"/>
        <v>0</v>
      </c>
      <c r="AP422" s="114">
        <f t="shared" ca="1" si="182"/>
        <v>0</v>
      </c>
      <c r="AR422" s="238">
        <f t="shared" si="185"/>
        <v>422</v>
      </c>
      <c r="CJ422" s="112"/>
      <c r="CK422" s="112"/>
      <c r="CN422" s="112"/>
      <c r="CO422" s="112"/>
      <c r="CP422" s="112"/>
      <c r="CQ422" s="112"/>
      <c r="CR422" s="112"/>
      <c r="CS422" s="112"/>
      <c r="CT422" s="112"/>
      <c r="CU422" s="112"/>
      <c r="CV422" s="112"/>
      <c r="CW422" s="112"/>
      <c r="CX422" s="112"/>
      <c r="CY422" s="112"/>
      <c r="CZ422" s="112"/>
      <c r="DA422" s="112"/>
      <c r="DB422" s="112"/>
      <c r="DC422" s="112"/>
      <c r="DD422" s="112"/>
      <c r="DE422" s="112"/>
      <c r="DF422" s="112"/>
      <c r="DG422" s="112"/>
      <c r="DH422" s="112"/>
      <c r="DI422" s="112"/>
      <c r="DJ422" s="112"/>
      <c r="DK422" s="112"/>
      <c r="DL422" s="112"/>
      <c r="DM422" s="112"/>
      <c r="DN422" s="112"/>
      <c r="DO422" t="e">
        <f t="shared" si="180"/>
        <v>#N/A</v>
      </c>
    </row>
    <row r="423" spans="33:119" x14ac:dyDescent="0.25">
      <c r="AG423" s="238">
        <f>AG422</f>
        <v>100</v>
      </c>
      <c r="AH423" s="112" t="e">
        <f ca="1">AI422+1</f>
        <v>#N/A</v>
      </c>
      <c r="AI423" s="112" t="e">
        <f ca="1">IF(INDIRECT(CONCATENATE("AE",AG420))&lt;100000,INDIRECT(CONCATENATE("AE",G420)),INDIRECT(CONCATENATE("AF",AG420)))</f>
        <v>#N/A</v>
      </c>
      <c r="AJ423" s="114"/>
      <c r="AK423" s="114"/>
      <c r="AL423" s="238" t="e">
        <f t="shared" ca="1" si="183"/>
        <v>#N/A</v>
      </c>
      <c r="AM423" s="112">
        <f t="shared" ca="1" si="179"/>
        <v>100000</v>
      </c>
      <c r="AN423" s="112">
        <f t="shared" ca="1" si="184"/>
        <v>100000</v>
      </c>
      <c r="AO423" s="114">
        <f t="shared" ca="1" si="181"/>
        <v>0</v>
      </c>
      <c r="AP423" s="114">
        <f t="shared" ca="1" si="182"/>
        <v>0</v>
      </c>
      <c r="AR423" s="238">
        <f t="shared" si="185"/>
        <v>423</v>
      </c>
      <c r="CJ423" s="112"/>
      <c r="CK423" s="112"/>
      <c r="CN423" s="112"/>
      <c r="CO423" s="112"/>
      <c r="CP423" s="112"/>
      <c r="CQ423" s="112"/>
      <c r="CR423" s="112"/>
      <c r="CS423" s="112"/>
      <c r="CT423" s="112"/>
      <c r="CU423" s="112"/>
      <c r="CV423" s="112"/>
      <c r="CW423" s="112"/>
      <c r="CX423" s="112"/>
      <c r="CY423" s="112"/>
      <c r="CZ423" s="112"/>
      <c r="DA423" s="112"/>
      <c r="DB423" s="112"/>
      <c r="DC423" s="112"/>
      <c r="DD423" s="112"/>
      <c r="DE423" s="112"/>
      <c r="DF423" s="112"/>
      <c r="DG423" s="112"/>
      <c r="DH423" s="112"/>
      <c r="DI423" s="112"/>
      <c r="DJ423" s="112"/>
      <c r="DK423" s="112"/>
      <c r="DL423" s="112"/>
      <c r="DM423" s="112"/>
      <c r="DN423" s="112"/>
      <c r="DO423" t="e">
        <f t="shared" si="180"/>
        <v>#N/A</v>
      </c>
    </row>
    <row r="424" spans="33:119" x14ac:dyDescent="0.25">
      <c r="AG424" s="238">
        <f>AG423</f>
        <v>100</v>
      </c>
      <c r="AH424" s="112" t="e">
        <f ca="1">AI423+1</f>
        <v>#N/A</v>
      </c>
      <c r="AI424" s="112">
        <f ca="1">INDIRECT(CONCATENATE("AF",AG420))</f>
        <v>100000</v>
      </c>
      <c r="AJ424" s="114"/>
      <c r="AK424" s="114"/>
      <c r="AL424" s="238" t="e">
        <f t="shared" ca="1" si="183"/>
        <v>#N/A</v>
      </c>
      <c r="AM424" s="112">
        <f t="shared" ca="1" si="179"/>
        <v>100000</v>
      </c>
      <c r="AN424" s="112">
        <f t="shared" ca="1" si="184"/>
        <v>100000</v>
      </c>
      <c r="AO424" s="114">
        <f t="shared" ca="1" si="181"/>
        <v>0</v>
      </c>
      <c r="AP424" s="114">
        <f t="shared" ca="1" si="182"/>
        <v>0</v>
      </c>
      <c r="AR424" s="238">
        <f t="shared" si="185"/>
        <v>424</v>
      </c>
      <c r="CJ424" s="112"/>
      <c r="CK424" s="112"/>
      <c r="CN424" s="112"/>
      <c r="CO424" s="112"/>
      <c r="CP424" s="112"/>
      <c r="CQ424" s="112"/>
      <c r="CR424" s="112"/>
      <c r="CS424" s="112"/>
      <c r="CT424" s="112"/>
      <c r="CU424" s="112"/>
      <c r="CV424" s="112"/>
      <c r="CW424" s="112"/>
      <c r="CX424" s="112"/>
      <c r="CY424" s="112"/>
      <c r="CZ424" s="112"/>
      <c r="DA424" s="112"/>
      <c r="DB424" s="112"/>
      <c r="DC424" s="112"/>
      <c r="DD424" s="112"/>
      <c r="DE424" s="112"/>
      <c r="DF424" s="112"/>
      <c r="DG424" s="112"/>
      <c r="DH424" s="112"/>
      <c r="DI424" s="112"/>
      <c r="DJ424" s="112"/>
      <c r="DK424" s="112"/>
      <c r="DL424" s="112"/>
      <c r="DM424" s="112"/>
      <c r="DN424" s="112"/>
      <c r="DO424" t="e">
        <f t="shared" si="180"/>
        <v>#N/A</v>
      </c>
    </row>
    <row r="425" spans="33:119" x14ac:dyDescent="0.25">
      <c r="AG425" s="238">
        <f>AG424+1</f>
        <v>101</v>
      </c>
      <c r="AH425" s="112">
        <f ca="1">INDIRECT(CONCATENATE("AA",AG425))</f>
        <v>100000</v>
      </c>
      <c r="AI425" s="112" t="e">
        <f ca="1">IF(            INDIRECT(CONCATENATE( "AB",AG425))&lt;100000,       INDIRECT(CONCATENATE("AB",AG425))  -1,IF(   INDIRECT(CONCATENATE("AC",AG425))&lt;100000,   INDIRECT(CONCATENATE("AC",AG425))-1,IF(   INDIRECT(CONCATENATE("AD", AG425))&lt;100000, INDIRECT(CONCATENATE("AD",AG425))-1,IF(   INDIRECT(CONCATENATE("AE",AG425))&lt;100000,  INDIRECT(CONCATENATE("AE",G425)),INDIRECT(CONCATENATE("AF",AG425))                ))))</f>
        <v>#N/A</v>
      </c>
      <c r="AJ425" s="114"/>
      <c r="AK425" s="114"/>
      <c r="AL425" s="238" t="e">
        <f t="shared" ca="1" si="183"/>
        <v>#N/A</v>
      </c>
      <c r="AM425" s="112">
        <f t="shared" ref="AM425:AM488" ca="1" si="186">IF(TYPE(AL425)=16,100000,IF(AL425=0,100000,AH425))</f>
        <v>100000</v>
      </c>
      <c r="AN425" s="112">
        <f t="shared" ca="1" si="184"/>
        <v>100000</v>
      </c>
      <c r="AO425" s="114">
        <f t="shared" ca="1" si="181"/>
        <v>0</v>
      </c>
      <c r="AP425" s="114">
        <f t="shared" ca="1" si="182"/>
        <v>0</v>
      </c>
      <c r="AR425" s="238">
        <f t="shared" si="185"/>
        <v>425</v>
      </c>
      <c r="CJ425" s="112"/>
      <c r="CK425" s="112"/>
      <c r="CN425" s="112"/>
      <c r="CO425" s="112"/>
      <c r="CP425" s="112"/>
      <c r="CQ425" s="112"/>
      <c r="CR425" s="112"/>
      <c r="CS425" s="112"/>
      <c r="CT425" s="112"/>
      <c r="CU425" s="112"/>
      <c r="CV425" s="112"/>
      <c r="CW425" s="112"/>
      <c r="CX425" s="112"/>
      <c r="CY425" s="112"/>
      <c r="CZ425" s="112"/>
      <c r="DA425" s="112"/>
      <c r="DB425" s="112"/>
      <c r="DC425" s="112"/>
      <c r="DD425" s="112"/>
      <c r="DE425" s="112"/>
      <c r="DF425" s="112"/>
      <c r="DG425" s="112"/>
      <c r="DH425" s="112"/>
      <c r="DI425" s="112"/>
      <c r="DJ425" s="112"/>
      <c r="DK425" s="112"/>
      <c r="DL425" s="112"/>
      <c r="DM425" s="112"/>
      <c r="DN425" s="112"/>
      <c r="DO425" t="e">
        <f t="shared" si="180"/>
        <v>#N/A</v>
      </c>
    </row>
    <row r="426" spans="33:119" x14ac:dyDescent="0.25">
      <c r="AG426" s="238">
        <f>AG425</f>
        <v>101</v>
      </c>
      <c r="AH426" s="112" t="e">
        <f ca="1">AI425+1</f>
        <v>#N/A</v>
      </c>
      <c r="AI426" s="112" t="e">
        <f ca="1">IF(INDIRECT(CONCATENATE("AC",AG425))&lt;100000,INDIRECT(CONCATENATE("AC",AG425))-1,IF(INDIRECT(CONCATENATE("AD",AG425))&lt;100000,INDIRECT(CONCATENATE("AD",AG425))-1,IF(INDIRECT(CONCATENATE("AE",AG425))&lt;100000,INDIRECT(CONCATENATE("AE",G425)),INDIRECT(CONCATENATE("AF",AG425)))))</f>
        <v>#N/A</v>
      </c>
      <c r="AJ426" s="114"/>
      <c r="AK426" s="114"/>
      <c r="AL426" s="238" t="e">
        <f t="shared" ca="1" si="183"/>
        <v>#N/A</v>
      </c>
      <c r="AM426" s="112">
        <f t="shared" ca="1" si="186"/>
        <v>100000</v>
      </c>
      <c r="AN426" s="112">
        <f t="shared" ca="1" si="184"/>
        <v>100000</v>
      </c>
      <c r="AO426" s="114">
        <f t="shared" ca="1" si="181"/>
        <v>0</v>
      </c>
      <c r="AP426" s="114">
        <f t="shared" ca="1" si="182"/>
        <v>0</v>
      </c>
      <c r="AR426" s="238">
        <f t="shared" si="185"/>
        <v>426</v>
      </c>
      <c r="CJ426" s="112"/>
      <c r="CK426" s="112"/>
      <c r="CN426" s="112"/>
      <c r="CO426" s="112"/>
      <c r="CP426" s="112"/>
      <c r="CQ426" s="112"/>
      <c r="CR426" s="112"/>
      <c r="CS426" s="112"/>
      <c r="CT426" s="112"/>
      <c r="CU426" s="112"/>
      <c r="CV426" s="112"/>
      <c r="CW426" s="112"/>
      <c r="CX426" s="112"/>
      <c r="CY426" s="112"/>
      <c r="CZ426" s="112"/>
      <c r="DA426" s="112"/>
      <c r="DB426" s="112"/>
      <c r="DC426" s="112"/>
      <c r="DD426" s="112"/>
      <c r="DE426" s="112"/>
      <c r="DF426" s="112"/>
      <c r="DG426" s="112"/>
      <c r="DH426" s="112"/>
      <c r="DI426" s="112"/>
      <c r="DJ426" s="112"/>
      <c r="DK426" s="112"/>
      <c r="DL426" s="112"/>
      <c r="DM426" s="112"/>
      <c r="DN426" s="112"/>
      <c r="DO426" t="e">
        <f t="shared" si="180"/>
        <v>#N/A</v>
      </c>
    </row>
    <row r="427" spans="33:119" x14ac:dyDescent="0.25">
      <c r="AG427" s="238">
        <f>AG426</f>
        <v>101</v>
      </c>
      <c r="AH427" s="112" t="e">
        <f ca="1">AI426+1</f>
        <v>#N/A</v>
      </c>
      <c r="AI427" s="112" t="e">
        <f ca="1">IF(INDIRECT(CONCATENATE("AD",AG425))&lt;100000,INDIRECT(CONCATENATE("AD",AG425))-1,IF(INDIRECT(CONCATENATE("AE",AG425))&lt;100000,INDIRECT(CONCATENATE("AE",G425)),INDIRECT(CONCATENATE("AF",AG425))))</f>
        <v>#N/A</v>
      </c>
      <c r="AJ427" s="114"/>
      <c r="AK427" s="114"/>
      <c r="AL427" s="238" t="e">
        <f t="shared" ca="1" si="183"/>
        <v>#N/A</v>
      </c>
      <c r="AM427" s="112">
        <f t="shared" ca="1" si="186"/>
        <v>100000</v>
      </c>
      <c r="AN427" s="112">
        <f t="shared" ca="1" si="184"/>
        <v>100000</v>
      </c>
      <c r="AO427" s="114">
        <f t="shared" ca="1" si="181"/>
        <v>0</v>
      </c>
      <c r="AP427" s="114">
        <f t="shared" ca="1" si="182"/>
        <v>0</v>
      </c>
      <c r="AR427" s="238">
        <f t="shared" si="185"/>
        <v>427</v>
      </c>
      <c r="CJ427" s="112"/>
      <c r="CK427" s="112"/>
      <c r="CN427" s="112"/>
      <c r="CO427" s="112"/>
      <c r="CP427" s="112"/>
      <c r="CQ427" s="112"/>
      <c r="CR427" s="112"/>
      <c r="CS427" s="112"/>
      <c r="CT427" s="112"/>
      <c r="CU427" s="112"/>
      <c r="CV427" s="112"/>
      <c r="CW427" s="112"/>
      <c r="CX427" s="112"/>
      <c r="CY427" s="112"/>
      <c r="CZ427" s="112"/>
      <c r="DA427" s="112"/>
      <c r="DB427" s="112"/>
      <c r="DC427" s="112"/>
      <c r="DD427" s="112"/>
      <c r="DE427" s="112"/>
      <c r="DF427" s="112"/>
      <c r="DG427" s="112"/>
      <c r="DH427" s="112"/>
      <c r="DI427" s="112"/>
      <c r="DJ427" s="112"/>
      <c r="DK427" s="112"/>
      <c r="DL427" s="112"/>
      <c r="DM427" s="112"/>
      <c r="DN427" s="112"/>
      <c r="DO427" t="e">
        <f t="shared" si="180"/>
        <v>#N/A</v>
      </c>
    </row>
    <row r="428" spans="33:119" x14ac:dyDescent="0.25">
      <c r="AG428" s="238">
        <f>AG427</f>
        <v>101</v>
      </c>
      <c r="AH428" s="112" t="e">
        <f ca="1">AI427+1</f>
        <v>#N/A</v>
      </c>
      <c r="AI428" s="112" t="e">
        <f ca="1">IF(INDIRECT(CONCATENATE("AE",AG425))&lt;100000,INDIRECT(CONCATENATE("AE",G425)),INDIRECT(CONCATENATE("AF",AG425)))</f>
        <v>#N/A</v>
      </c>
      <c r="AJ428" s="114"/>
      <c r="AK428" s="114"/>
      <c r="AL428" s="238" t="e">
        <f t="shared" ca="1" si="183"/>
        <v>#N/A</v>
      </c>
      <c r="AM428" s="112">
        <f t="shared" ca="1" si="186"/>
        <v>100000</v>
      </c>
      <c r="AN428" s="112">
        <f t="shared" ca="1" si="184"/>
        <v>100000</v>
      </c>
      <c r="AO428" s="114">
        <f t="shared" ca="1" si="181"/>
        <v>0</v>
      </c>
      <c r="AP428" s="114">
        <f t="shared" ca="1" si="182"/>
        <v>0</v>
      </c>
      <c r="AR428" s="238">
        <f t="shared" si="185"/>
        <v>428</v>
      </c>
      <c r="CJ428" s="112"/>
      <c r="CK428" s="112"/>
      <c r="CN428" s="112"/>
      <c r="CO428" s="112"/>
      <c r="CP428" s="112"/>
      <c r="CQ428" s="112"/>
      <c r="CR428" s="112"/>
      <c r="CS428" s="112"/>
      <c r="CT428" s="112"/>
      <c r="CU428" s="112"/>
      <c r="CV428" s="112"/>
      <c r="CW428" s="112"/>
      <c r="CX428" s="112"/>
      <c r="CY428" s="112"/>
      <c r="CZ428" s="112"/>
      <c r="DA428" s="112"/>
      <c r="DB428" s="112"/>
      <c r="DC428" s="112"/>
      <c r="DD428" s="112"/>
      <c r="DE428" s="112"/>
      <c r="DF428" s="112"/>
      <c r="DG428" s="112"/>
      <c r="DH428" s="112"/>
      <c r="DI428" s="112"/>
      <c r="DJ428" s="112"/>
      <c r="DK428" s="112"/>
      <c r="DL428" s="112"/>
      <c r="DM428" s="112"/>
      <c r="DN428" s="112"/>
      <c r="DO428" t="e">
        <f t="shared" si="180"/>
        <v>#N/A</v>
      </c>
    </row>
    <row r="429" spans="33:119" x14ac:dyDescent="0.25">
      <c r="AG429" s="238">
        <f>AG428</f>
        <v>101</v>
      </c>
      <c r="AH429" s="112" t="e">
        <f ca="1">AI428+1</f>
        <v>#N/A</v>
      </c>
      <c r="AI429" s="112">
        <f ca="1">INDIRECT(CONCATENATE("AF",AG425))</f>
        <v>100000</v>
      </c>
      <c r="AJ429" s="114"/>
      <c r="AK429" s="114"/>
      <c r="AL429" s="238" t="e">
        <f t="shared" ca="1" si="183"/>
        <v>#N/A</v>
      </c>
      <c r="AM429" s="112">
        <f t="shared" ca="1" si="186"/>
        <v>100000</v>
      </c>
      <c r="AN429" s="112">
        <f t="shared" ca="1" si="184"/>
        <v>100000</v>
      </c>
      <c r="AO429" s="114">
        <f t="shared" ca="1" si="181"/>
        <v>0</v>
      </c>
      <c r="AP429" s="114">
        <f t="shared" ca="1" si="182"/>
        <v>0</v>
      </c>
      <c r="AR429" s="238">
        <f t="shared" si="185"/>
        <v>429</v>
      </c>
      <c r="CJ429" s="112"/>
      <c r="CK429" s="112"/>
      <c r="CN429" s="112"/>
      <c r="CO429" s="112"/>
      <c r="CP429" s="112"/>
      <c r="CQ429" s="112"/>
      <c r="CR429" s="112"/>
      <c r="CS429" s="112"/>
      <c r="CT429" s="112"/>
      <c r="CU429" s="112"/>
      <c r="CV429" s="112"/>
      <c r="CW429" s="112"/>
      <c r="CX429" s="112"/>
      <c r="CY429" s="112"/>
      <c r="CZ429" s="112"/>
      <c r="DA429" s="112"/>
      <c r="DB429" s="112"/>
      <c r="DC429" s="112"/>
      <c r="DD429" s="112"/>
      <c r="DE429" s="112"/>
      <c r="DF429" s="112"/>
      <c r="DG429" s="112"/>
      <c r="DH429" s="112"/>
      <c r="DI429" s="112"/>
      <c r="DJ429" s="112"/>
      <c r="DK429" s="112"/>
      <c r="DL429" s="112"/>
      <c r="DM429" s="112"/>
      <c r="DN429" s="112"/>
      <c r="DO429" t="e">
        <f t="shared" si="180"/>
        <v>#N/A</v>
      </c>
    </row>
    <row r="430" spans="33:119" x14ac:dyDescent="0.25">
      <c r="AG430" s="238">
        <f>AG429+1</f>
        <v>102</v>
      </c>
      <c r="AH430" s="112">
        <f ca="1">INDIRECT(CONCATENATE("AA",AG430))</f>
        <v>100000</v>
      </c>
      <c r="AI430" s="112" t="e">
        <f ca="1">IF(            INDIRECT(CONCATENATE( "AB",AG430))&lt;100000,       INDIRECT(CONCATENATE("AB",AG430))  -1,IF(   INDIRECT(CONCATENATE("AC",AG430))&lt;100000,   INDIRECT(CONCATENATE("AC",AG430))-1,IF(   INDIRECT(CONCATENATE("AD", AG430))&lt;100000, INDIRECT(CONCATENATE("AD",AG430))-1,IF(   INDIRECT(CONCATENATE("AE",AG430))&lt;100000,  INDIRECT(CONCATENATE("AE",G430)),INDIRECT(CONCATENATE("AF",AG430))                ))))</f>
        <v>#N/A</v>
      </c>
      <c r="AJ430" s="114"/>
      <c r="AK430" s="114"/>
      <c r="AL430" s="238" t="e">
        <f t="shared" ca="1" si="183"/>
        <v>#N/A</v>
      </c>
      <c r="AM430" s="112">
        <f t="shared" ca="1" si="186"/>
        <v>100000</v>
      </c>
      <c r="AN430" s="112">
        <f t="shared" ca="1" si="184"/>
        <v>100000</v>
      </c>
      <c r="AO430" s="114">
        <f t="shared" ca="1" si="181"/>
        <v>0</v>
      </c>
      <c r="AP430" s="114">
        <f t="shared" ca="1" si="182"/>
        <v>0</v>
      </c>
      <c r="AR430" s="238">
        <f t="shared" si="185"/>
        <v>430</v>
      </c>
      <c r="CJ430" s="112"/>
      <c r="CK430" s="112"/>
      <c r="CN430" s="112"/>
      <c r="CO430" s="112"/>
      <c r="CP430" s="112"/>
      <c r="CQ430" s="112"/>
      <c r="CR430" s="112"/>
      <c r="CS430" s="112"/>
      <c r="CT430" s="112"/>
      <c r="CU430" s="112"/>
      <c r="CV430" s="112"/>
      <c r="CW430" s="112"/>
      <c r="CX430" s="112"/>
      <c r="CY430" s="112"/>
      <c r="CZ430" s="112"/>
      <c r="DA430" s="112"/>
      <c r="DB430" s="112"/>
      <c r="DC430" s="112"/>
      <c r="DD430" s="112"/>
      <c r="DE430" s="112"/>
      <c r="DF430" s="112"/>
      <c r="DG430" s="112"/>
      <c r="DH430" s="112"/>
      <c r="DI430" s="112"/>
      <c r="DJ430" s="112"/>
      <c r="DK430" s="112"/>
      <c r="DL430" s="112"/>
      <c r="DM430" s="112"/>
      <c r="DN430" s="112"/>
      <c r="DO430" t="e">
        <f t="shared" si="180"/>
        <v>#N/A</v>
      </c>
    </row>
    <row r="431" spans="33:119" x14ac:dyDescent="0.25">
      <c r="AG431" s="238">
        <f>AG430</f>
        <v>102</v>
      </c>
      <c r="AH431" s="112" t="e">
        <f ca="1">AI430+1</f>
        <v>#N/A</v>
      </c>
      <c r="AI431" s="112" t="e">
        <f ca="1">IF(INDIRECT(CONCATENATE("AC",AG430))&lt;100000,INDIRECT(CONCATENATE("AC",AG430))-1,IF(INDIRECT(CONCATENATE("AD",AG430))&lt;100000,INDIRECT(CONCATENATE("AD",AG430))-1,IF(INDIRECT(CONCATENATE("AE",AG430))&lt;100000,INDIRECT(CONCATENATE("AE",G430)),INDIRECT(CONCATENATE("AF",AG430)))))</f>
        <v>#N/A</v>
      </c>
      <c r="AJ431" s="114"/>
      <c r="AK431" s="114"/>
      <c r="AL431" s="238" t="e">
        <f t="shared" ca="1" si="183"/>
        <v>#N/A</v>
      </c>
      <c r="AM431" s="112">
        <f t="shared" ca="1" si="186"/>
        <v>100000</v>
      </c>
      <c r="AN431" s="112">
        <f t="shared" ca="1" si="184"/>
        <v>100000</v>
      </c>
      <c r="AO431" s="114">
        <f t="shared" ca="1" si="181"/>
        <v>0</v>
      </c>
      <c r="AP431" s="114">
        <f t="shared" ca="1" si="182"/>
        <v>0</v>
      </c>
      <c r="AR431" s="238">
        <f t="shared" si="185"/>
        <v>431</v>
      </c>
      <c r="CJ431" s="112"/>
      <c r="CK431" s="112"/>
      <c r="CN431" s="112"/>
      <c r="CO431" s="112"/>
      <c r="CP431" s="112"/>
      <c r="CQ431" s="112"/>
      <c r="CR431" s="112"/>
      <c r="CS431" s="112"/>
      <c r="CT431" s="112"/>
      <c r="CU431" s="112"/>
      <c r="CV431" s="112"/>
      <c r="CW431" s="112"/>
      <c r="CX431" s="112"/>
      <c r="CY431" s="112"/>
      <c r="CZ431" s="112"/>
      <c r="DA431" s="112"/>
      <c r="DB431" s="112"/>
      <c r="DC431" s="112"/>
      <c r="DD431" s="112"/>
      <c r="DE431" s="112"/>
      <c r="DF431" s="112"/>
      <c r="DG431" s="112"/>
      <c r="DH431" s="112"/>
      <c r="DI431" s="112"/>
      <c r="DJ431" s="112"/>
      <c r="DK431" s="112"/>
      <c r="DL431" s="112"/>
      <c r="DM431" s="112"/>
      <c r="DN431" s="112"/>
      <c r="DO431" t="e">
        <f t="shared" si="180"/>
        <v>#N/A</v>
      </c>
    </row>
    <row r="432" spans="33:119" x14ac:dyDescent="0.25">
      <c r="AG432" s="238">
        <f>AG431</f>
        <v>102</v>
      </c>
      <c r="AH432" s="112" t="e">
        <f ca="1">AI431+1</f>
        <v>#N/A</v>
      </c>
      <c r="AI432" s="112" t="e">
        <f ca="1">IF(INDIRECT(CONCATENATE("AD",AG430))&lt;100000,INDIRECT(CONCATENATE("AD",AG430))-1,IF(INDIRECT(CONCATENATE("AE",AG430))&lt;100000,INDIRECT(CONCATENATE("AE",G430)),INDIRECT(CONCATENATE("AF",AG430))))</f>
        <v>#N/A</v>
      </c>
      <c r="AJ432" s="114"/>
      <c r="AK432" s="114"/>
      <c r="AL432" s="238" t="e">
        <f t="shared" ca="1" si="183"/>
        <v>#N/A</v>
      </c>
      <c r="AM432" s="112">
        <f t="shared" ca="1" si="186"/>
        <v>100000</v>
      </c>
      <c r="AN432" s="112">
        <f t="shared" ca="1" si="184"/>
        <v>100000</v>
      </c>
      <c r="AO432" s="114">
        <f t="shared" ca="1" si="181"/>
        <v>0</v>
      </c>
      <c r="AP432" s="114">
        <f t="shared" ca="1" si="182"/>
        <v>0</v>
      </c>
      <c r="AR432" s="238">
        <f t="shared" si="185"/>
        <v>432</v>
      </c>
      <c r="CJ432" s="112"/>
      <c r="CK432" s="112"/>
      <c r="CN432" s="112"/>
      <c r="CO432" s="112"/>
      <c r="CP432" s="112"/>
      <c r="CQ432" s="112"/>
      <c r="CR432" s="112"/>
      <c r="CS432" s="112"/>
      <c r="CT432" s="112"/>
      <c r="CU432" s="112"/>
      <c r="CV432" s="112"/>
      <c r="CW432" s="112"/>
      <c r="CX432" s="112"/>
      <c r="CY432" s="112"/>
      <c r="CZ432" s="112"/>
      <c r="DA432" s="112"/>
      <c r="DB432" s="112"/>
      <c r="DC432" s="112"/>
      <c r="DD432" s="112"/>
      <c r="DE432" s="112"/>
      <c r="DF432" s="112"/>
      <c r="DG432" s="112"/>
      <c r="DH432" s="112"/>
      <c r="DI432" s="112"/>
      <c r="DJ432" s="112"/>
      <c r="DK432" s="112"/>
      <c r="DL432" s="112"/>
      <c r="DM432" s="112"/>
      <c r="DN432" s="112"/>
      <c r="DO432" t="e">
        <f t="shared" si="180"/>
        <v>#N/A</v>
      </c>
    </row>
    <row r="433" spans="33:119" x14ac:dyDescent="0.25">
      <c r="AG433" s="238">
        <f>AG432</f>
        <v>102</v>
      </c>
      <c r="AH433" s="112" t="e">
        <f ca="1">AI432+1</f>
        <v>#N/A</v>
      </c>
      <c r="AI433" s="112" t="e">
        <f ca="1">IF(INDIRECT(CONCATENATE("AE",AG430))&lt;100000,INDIRECT(CONCATENATE("AE",G430)),INDIRECT(CONCATENATE("AF",AG430)))</f>
        <v>#N/A</v>
      </c>
      <c r="AJ433" s="114"/>
      <c r="AK433" s="114"/>
      <c r="AL433" s="238" t="e">
        <f t="shared" ca="1" si="183"/>
        <v>#N/A</v>
      </c>
      <c r="AM433" s="112">
        <f t="shared" ca="1" si="186"/>
        <v>100000</v>
      </c>
      <c r="AN433" s="112">
        <f t="shared" ca="1" si="184"/>
        <v>100000</v>
      </c>
      <c r="AO433" s="114">
        <f t="shared" ca="1" si="181"/>
        <v>0</v>
      </c>
      <c r="AP433" s="114">
        <f t="shared" ca="1" si="182"/>
        <v>0</v>
      </c>
      <c r="AR433" s="238">
        <f t="shared" si="185"/>
        <v>433</v>
      </c>
      <c r="CJ433" s="112"/>
      <c r="CK433" s="112"/>
      <c r="CN433" s="112"/>
      <c r="CO433" s="112"/>
      <c r="CP433" s="112"/>
      <c r="CQ433" s="112"/>
      <c r="CR433" s="112"/>
      <c r="CS433" s="112"/>
      <c r="CT433" s="112"/>
      <c r="CU433" s="112"/>
      <c r="CV433" s="112"/>
      <c r="CW433" s="112"/>
      <c r="CX433" s="112"/>
      <c r="CY433" s="112"/>
      <c r="CZ433" s="112"/>
      <c r="DA433" s="112"/>
      <c r="DB433" s="112"/>
      <c r="DC433" s="112"/>
      <c r="DD433" s="112"/>
      <c r="DE433" s="112"/>
      <c r="DF433" s="112"/>
      <c r="DG433" s="112"/>
      <c r="DH433" s="112"/>
      <c r="DI433" s="112"/>
      <c r="DJ433" s="112"/>
      <c r="DK433" s="112"/>
      <c r="DL433" s="112"/>
      <c r="DM433" s="112"/>
      <c r="DN433" s="112"/>
      <c r="DO433" t="e">
        <f t="shared" si="180"/>
        <v>#N/A</v>
      </c>
    </row>
    <row r="434" spans="33:119" x14ac:dyDescent="0.25">
      <c r="AG434" s="238">
        <f>AG433</f>
        <v>102</v>
      </c>
      <c r="AH434" s="112" t="e">
        <f ca="1">AI433+1</f>
        <v>#N/A</v>
      </c>
      <c r="AI434" s="112">
        <f ca="1">INDIRECT(CONCATENATE("AF",AG430))</f>
        <v>100000</v>
      </c>
      <c r="AJ434" s="114"/>
      <c r="AK434" s="114"/>
      <c r="AL434" s="238" t="e">
        <f t="shared" ca="1" si="183"/>
        <v>#N/A</v>
      </c>
      <c r="AM434" s="112">
        <f t="shared" ca="1" si="186"/>
        <v>100000</v>
      </c>
      <c r="AN434" s="112">
        <f t="shared" ca="1" si="184"/>
        <v>100000</v>
      </c>
      <c r="AO434" s="114">
        <f t="shared" ca="1" si="181"/>
        <v>0</v>
      </c>
      <c r="AP434" s="114">
        <f t="shared" ca="1" si="182"/>
        <v>0</v>
      </c>
      <c r="AR434" s="238">
        <f t="shared" si="185"/>
        <v>434</v>
      </c>
      <c r="CJ434" s="112"/>
      <c r="CK434" s="112"/>
      <c r="CN434" s="112"/>
      <c r="CO434" s="112"/>
      <c r="CP434" s="112"/>
      <c r="CQ434" s="112"/>
      <c r="CR434" s="112"/>
      <c r="CS434" s="112"/>
      <c r="CT434" s="112"/>
      <c r="CU434" s="112"/>
      <c r="CV434" s="112"/>
      <c r="CW434" s="112"/>
      <c r="CX434" s="112"/>
      <c r="CY434" s="112"/>
      <c r="CZ434" s="112"/>
      <c r="DA434" s="112"/>
      <c r="DB434" s="112"/>
      <c r="DC434" s="112"/>
      <c r="DD434" s="112"/>
      <c r="DE434" s="112"/>
      <c r="DF434" s="112"/>
      <c r="DG434" s="112"/>
      <c r="DH434" s="112"/>
      <c r="DI434" s="112"/>
      <c r="DJ434" s="112"/>
      <c r="DK434" s="112"/>
      <c r="DL434" s="112"/>
      <c r="DM434" s="112"/>
      <c r="DN434" s="112"/>
      <c r="DO434" t="e">
        <f t="shared" si="180"/>
        <v>#N/A</v>
      </c>
    </row>
    <row r="435" spans="33:119" x14ac:dyDescent="0.25">
      <c r="AG435" s="238">
        <f>AG434+1</f>
        <v>103</v>
      </c>
      <c r="AH435" s="112">
        <f ca="1">INDIRECT(CONCATENATE("AA",AG435))</f>
        <v>100000</v>
      </c>
      <c r="AI435" s="112" t="e">
        <f ca="1">IF(            INDIRECT(CONCATENATE( "AB",AG435))&lt;100000,       INDIRECT(CONCATENATE("AB",AG435))  -1,IF(   INDIRECT(CONCATENATE("AC",AG435))&lt;100000,   INDIRECT(CONCATENATE("AC",AG435))-1,IF(   INDIRECT(CONCATENATE("AD", AG435))&lt;100000, INDIRECT(CONCATENATE("AD",AG435))-1,IF(   INDIRECT(CONCATENATE("AE",AG435))&lt;100000,  INDIRECT(CONCATENATE("AE",G435)),INDIRECT(CONCATENATE("AF",AG435))                ))))</f>
        <v>#N/A</v>
      </c>
      <c r="AJ435" s="114"/>
      <c r="AK435" s="114"/>
      <c r="AL435" s="238" t="e">
        <f t="shared" ca="1" si="183"/>
        <v>#N/A</v>
      </c>
      <c r="AM435" s="112">
        <f t="shared" ca="1" si="186"/>
        <v>100000</v>
      </c>
      <c r="AN435" s="112">
        <f t="shared" ca="1" si="184"/>
        <v>100000</v>
      </c>
      <c r="AO435" s="114">
        <f t="shared" ca="1" si="181"/>
        <v>0</v>
      </c>
      <c r="AP435" s="114">
        <f t="shared" ca="1" si="182"/>
        <v>0</v>
      </c>
      <c r="AR435" s="238">
        <f t="shared" si="185"/>
        <v>435</v>
      </c>
      <c r="CJ435" s="112"/>
      <c r="CK435" s="112"/>
      <c r="CN435" s="112"/>
      <c r="CO435" s="112"/>
      <c r="CP435" s="112"/>
      <c r="CQ435" s="112"/>
      <c r="CR435" s="112"/>
      <c r="CS435" s="112"/>
      <c r="CT435" s="112"/>
      <c r="CU435" s="112"/>
      <c r="CV435" s="112"/>
      <c r="CW435" s="112"/>
      <c r="CX435" s="112"/>
      <c r="CY435" s="112"/>
      <c r="CZ435" s="112"/>
      <c r="DA435" s="112"/>
      <c r="DB435" s="112"/>
      <c r="DC435" s="112"/>
      <c r="DD435" s="112"/>
      <c r="DE435" s="112"/>
      <c r="DF435" s="112"/>
      <c r="DG435" s="112"/>
      <c r="DH435" s="112"/>
      <c r="DI435" s="112"/>
      <c r="DJ435" s="112"/>
      <c r="DK435" s="112"/>
      <c r="DL435" s="112"/>
      <c r="DM435" s="112"/>
      <c r="DN435" s="112"/>
      <c r="DO435" t="e">
        <f t="shared" si="180"/>
        <v>#N/A</v>
      </c>
    </row>
    <row r="436" spans="33:119" x14ac:dyDescent="0.25">
      <c r="AG436" s="238">
        <f>AG435</f>
        <v>103</v>
      </c>
      <c r="AH436" s="112" t="e">
        <f ca="1">AI435+1</f>
        <v>#N/A</v>
      </c>
      <c r="AI436" s="112" t="e">
        <f ca="1">IF(INDIRECT(CONCATENATE("AC",AG435))&lt;100000,INDIRECT(CONCATENATE("AC",AG435))-1,IF(INDIRECT(CONCATENATE("AD",AG435))&lt;100000,INDIRECT(CONCATENATE("AD",AG435))-1,IF(INDIRECT(CONCATENATE("AE",AG435))&lt;100000,INDIRECT(CONCATENATE("AE",G435)),INDIRECT(CONCATENATE("AF",AG435)))))</f>
        <v>#N/A</v>
      </c>
      <c r="AJ436" s="114"/>
      <c r="AK436" s="114"/>
      <c r="AL436" s="238" t="e">
        <f t="shared" ca="1" si="183"/>
        <v>#N/A</v>
      </c>
      <c r="AM436" s="112">
        <f t="shared" ca="1" si="186"/>
        <v>100000</v>
      </c>
      <c r="AN436" s="112">
        <f t="shared" ca="1" si="184"/>
        <v>100000</v>
      </c>
      <c r="AO436" s="114">
        <f t="shared" ca="1" si="181"/>
        <v>0</v>
      </c>
      <c r="AP436" s="114">
        <f t="shared" ca="1" si="182"/>
        <v>0</v>
      </c>
      <c r="AR436" s="238">
        <f t="shared" si="185"/>
        <v>436</v>
      </c>
      <c r="CJ436" s="112"/>
      <c r="CK436" s="112"/>
      <c r="CN436" s="112"/>
      <c r="CO436" s="112"/>
      <c r="CP436" s="112"/>
      <c r="CQ436" s="112"/>
      <c r="CR436" s="112"/>
      <c r="CS436" s="112"/>
      <c r="CT436" s="112"/>
      <c r="CU436" s="112"/>
      <c r="CV436" s="112"/>
      <c r="CW436" s="112"/>
      <c r="CX436" s="112"/>
      <c r="CY436" s="112"/>
      <c r="CZ436" s="112"/>
      <c r="DA436" s="112"/>
      <c r="DB436" s="112"/>
      <c r="DC436" s="112"/>
      <c r="DD436" s="112"/>
      <c r="DE436" s="112"/>
      <c r="DF436" s="112"/>
      <c r="DG436" s="112"/>
      <c r="DH436" s="112"/>
      <c r="DI436" s="112"/>
      <c r="DJ436" s="112"/>
      <c r="DK436" s="112"/>
      <c r="DL436" s="112"/>
      <c r="DM436" s="112"/>
      <c r="DN436" s="112"/>
      <c r="DO436" t="e">
        <f t="shared" si="180"/>
        <v>#N/A</v>
      </c>
    </row>
    <row r="437" spans="33:119" x14ac:dyDescent="0.25">
      <c r="AG437" s="238">
        <f>AG436</f>
        <v>103</v>
      </c>
      <c r="AH437" s="112" t="e">
        <f ca="1">AI436+1</f>
        <v>#N/A</v>
      </c>
      <c r="AI437" s="112" t="e">
        <f ca="1">IF(INDIRECT(CONCATENATE("AD",AG435))&lt;100000,INDIRECT(CONCATENATE("AD",AG435))-1,IF(INDIRECT(CONCATENATE("AE",AG435))&lt;100000,INDIRECT(CONCATENATE("AE",G435)),INDIRECT(CONCATENATE("AF",AG435))))</f>
        <v>#N/A</v>
      </c>
      <c r="AJ437" s="114"/>
      <c r="AK437" s="114"/>
      <c r="AL437" s="238" t="e">
        <f t="shared" ca="1" si="183"/>
        <v>#N/A</v>
      </c>
      <c r="AM437" s="112">
        <f t="shared" ca="1" si="186"/>
        <v>100000</v>
      </c>
      <c r="AN437" s="112">
        <f t="shared" ca="1" si="184"/>
        <v>100000</v>
      </c>
      <c r="AO437" s="114">
        <f t="shared" ca="1" si="181"/>
        <v>0</v>
      </c>
      <c r="AP437" s="114">
        <f t="shared" ca="1" si="182"/>
        <v>0</v>
      </c>
      <c r="AR437" s="238">
        <f t="shared" si="185"/>
        <v>437</v>
      </c>
      <c r="CJ437" s="112"/>
      <c r="CK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t="e">
        <f t="shared" si="180"/>
        <v>#N/A</v>
      </c>
    </row>
    <row r="438" spans="33:119" x14ac:dyDescent="0.25">
      <c r="AG438" s="238">
        <f>AG437</f>
        <v>103</v>
      </c>
      <c r="AH438" s="112" t="e">
        <f ca="1">AI437+1</f>
        <v>#N/A</v>
      </c>
      <c r="AI438" s="112" t="e">
        <f ca="1">IF(INDIRECT(CONCATENATE("AE",AG435))&lt;100000,INDIRECT(CONCATENATE("AE",G435)),INDIRECT(CONCATENATE("AF",AG435)))</f>
        <v>#N/A</v>
      </c>
      <c r="AJ438" s="114"/>
      <c r="AK438" s="114"/>
      <c r="AL438" s="238" t="e">
        <f t="shared" ca="1" si="183"/>
        <v>#N/A</v>
      </c>
      <c r="AM438" s="112">
        <f t="shared" ca="1" si="186"/>
        <v>100000</v>
      </c>
      <c r="AN438" s="112">
        <f t="shared" ca="1" si="184"/>
        <v>100000</v>
      </c>
      <c r="AO438" s="114">
        <f t="shared" ca="1" si="181"/>
        <v>0</v>
      </c>
      <c r="AP438" s="114">
        <f t="shared" ca="1" si="182"/>
        <v>0</v>
      </c>
      <c r="AR438" s="238">
        <f t="shared" si="185"/>
        <v>438</v>
      </c>
      <c r="CJ438" s="112"/>
      <c r="CK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t="e">
        <f t="shared" si="180"/>
        <v>#N/A</v>
      </c>
    </row>
    <row r="439" spans="33:119" x14ac:dyDescent="0.25">
      <c r="AG439" s="238">
        <f>AG438</f>
        <v>103</v>
      </c>
      <c r="AH439" s="112" t="e">
        <f ca="1">AI438+1</f>
        <v>#N/A</v>
      </c>
      <c r="AI439" s="112">
        <f ca="1">INDIRECT(CONCATENATE("AF",AG435))</f>
        <v>100000</v>
      </c>
      <c r="AJ439" s="114"/>
      <c r="AK439" s="114"/>
      <c r="AL439" s="238" t="e">
        <f t="shared" ca="1" si="183"/>
        <v>#N/A</v>
      </c>
      <c r="AM439" s="112">
        <f t="shared" ca="1" si="186"/>
        <v>100000</v>
      </c>
      <c r="AN439" s="112">
        <f t="shared" ca="1" si="184"/>
        <v>100000</v>
      </c>
      <c r="AO439" s="114">
        <f t="shared" ca="1" si="181"/>
        <v>0</v>
      </c>
      <c r="AP439" s="114">
        <f t="shared" ca="1" si="182"/>
        <v>0</v>
      </c>
      <c r="AR439" s="238">
        <f t="shared" si="185"/>
        <v>439</v>
      </c>
      <c r="CJ439" s="112"/>
      <c r="CK439" s="112"/>
      <c r="CN439" s="112"/>
      <c r="CO439" s="112"/>
      <c r="CP439" s="112"/>
      <c r="CQ439" s="112"/>
      <c r="CR439" s="112"/>
      <c r="CS439" s="112"/>
      <c r="CT439" s="112"/>
      <c r="CU439" s="112"/>
      <c r="CV439" s="112"/>
      <c r="CW439" s="112"/>
      <c r="CX439" s="112"/>
      <c r="CY439" s="112"/>
      <c r="CZ439" s="112"/>
      <c r="DA439" s="112"/>
      <c r="DB439" s="112"/>
      <c r="DC439" s="112"/>
      <c r="DD439" s="112"/>
      <c r="DE439" s="112"/>
      <c r="DF439" s="112"/>
      <c r="DG439" s="112"/>
      <c r="DH439" s="112"/>
      <c r="DI439" s="112"/>
      <c r="DJ439" s="112"/>
      <c r="DK439" s="112"/>
      <c r="DL439" s="112"/>
      <c r="DM439" s="112"/>
      <c r="DN439" s="112"/>
      <c r="DO439" t="e">
        <f t="shared" si="180"/>
        <v>#N/A</v>
      </c>
    </row>
    <row r="440" spans="33:119" x14ac:dyDescent="0.25">
      <c r="AG440" s="238">
        <f>AG439+1</f>
        <v>104</v>
      </c>
      <c r="AH440" s="112">
        <f ca="1">INDIRECT(CONCATENATE("AA",AG440))</f>
        <v>100000</v>
      </c>
      <c r="AI440" s="112" t="e">
        <f ca="1">IF(            INDIRECT(CONCATENATE( "AB",AG440))&lt;100000,       INDIRECT(CONCATENATE("AB",AG440))  -1,IF(   INDIRECT(CONCATENATE("AC",AG440))&lt;100000,   INDIRECT(CONCATENATE("AC",AG440))-1,IF(   INDIRECT(CONCATENATE("AD", AG440))&lt;100000, INDIRECT(CONCATENATE("AD",AG440))-1,IF(   INDIRECT(CONCATENATE("AE",AG440))&lt;100000,  INDIRECT(CONCATENATE("AE",G440)),INDIRECT(CONCATENATE("AF",AG440))                ))))</f>
        <v>#N/A</v>
      </c>
      <c r="AJ440" s="114"/>
      <c r="AK440" s="114"/>
      <c r="AL440" s="238" t="e">
        <f t="shared" ca="1" si="183"/>
        <v>#N/A</v>
      </c>
      <c r="AM440" s="112">
        <f t="shared" ca="1" si="186"/>
        <v>100000</v>
      </c>
      <c r="AN440" s="112">
        <f t="shared" ca="1" si="184"/>
        <v>100000</v>
      </c>
      <c r="AO440" s="114">
        <f t="shared" ca="1" si="181"/>
        <v>0</v>
      </c>
      <c r="AP440" s="114">
        <f t="shared" ca="1" si="182"/>
        <v>0</v>
      </c>
      <c r="AR440" s="238">
        <f t="shared" si="185"/>
        <v>440</v>
      </c>
      <c r="CJ440" s="112"/>
      <c r="CK440" s="112"/>
      <c r="CN440" s="112"/>
      <c r="CO440" s="112"/>
      <c r="CP440" s="112"/>
      <c r="CQ440" s="112"/>
      <c r="CR440" s="112"/>
      <c r="CS440" s="112"/>
      <c r="CT440" s="112"/>
      <c r="CU440" s="112"/>
      <c r="CV440" s="112"/>
      <c r="CW440" s="112"/>
      <c r="CX440" s="112"/>
      <c r="CY440" s="112"/>
      <c r="CZ440" s="112"/>
      <c r="DA440" s="112"/>
      <c r="DB440" s="112"/>
      <c r="DC440" s="112"/>
      <c r="DD440" s="112"/>
      <c r="DE440" s="112"/>
      <c r="DF440" s="112"/>
      <c r="DG440" s="112"/>
      <c r="DH440" s="112"/>
      <c r="DI440" s="112"/>
      <c r="DJ440" s="112"/>
      <c r="DK440" s="112"/>
      <c r="DL440" s="112"/>
      <c r="DM440" s="112"/>
      <c r="DN440" s="112"/>
      <c r="DO440" t="e">
        <f t="shared" si="180"/>
        <v>#N/A</v>
      </c>
    </row>
    <row r="441" spans="33:119" x14ac:dyDescent="0.25">
      <c r="AG441" s="238">
        <f>AG440</f>
        <v>104</v>
      </c>
      <c r="AH441" s="112" t="e">
        <f ca="1">AI440+1</f>
        <v>#N/A</v>
      </c>
      <c r="AI441" s="112" t="e">
        <f ca="1">IF(INDIRECT(CONCATENATE("AC",AG440))&lt;100000,INDIRECT(CONCATENATE("AC",AG440))-1,IF(INDIRECT(CONCATENATE("AD",AG440))&lt;100000,INDIRECT(CONCATENATE("AD",AG440))-1,IF(INDIRECT(CONCATENATE("AE",AG440))&lt;100000,INDIRECT(CONCATENATE("AE",G440)),INDIRECT(CONCATENATE("AF",AG440)))))</f>
        <v>#N/A</v>
      </c>
      <c r="AJ441" s="114"/>
      <c r="AK441" s="114"/>
      <c r="AL441" s="238" t="e">
        <f t="shared" ca="1" si="183"/>
        <v>#N/A</v>
      </c>
      <c r="AM441" s="112">
        <f t="shared" ca="1" si="186"/>
        <v>100000</v>
      </c>
      <c r="AN441" s="112">
        <f t="shared" ca="1" si="184"/>
        <v>100000</v>
      </c>
      <c r="AO441" s="114">
        <f t="shared" ca="1" si="181"/>
        <v>0</v>
      </c>
      <c r="AP441" s="114">
        <f t="shared" ca="1" si="182"/>
        <v>0</v>
      </c>
      <c r="AR441" s="238">
        <f t="shared" si="185"/>
        <v>441</v>
      </c>
      <c r="CJ441" s="112"/>
      <c r="CK441" s="112"/>
      <c r="CN441" s="112"/>
      <c r="CO441" s="112"/>
      <c r="CP441" s="112"/>
      <c r="CQ441" s="112"/>
      <c r="CR441" s="112"/>
      <c r="CS441" s="112"/>
      <c r="CT441" s="112"/>
      <c r="CU441" s="112"/>
      <c r="CV441" s="112"/>
      <c r="CW441" s="112"/>
      <c r="CX441" s="112"/>
      <c r="CY441" s="112"/>
      <c r="CZ441" s="112"/>
      <c r="DA441" s="112"/>
      <c r="DB441" s="112"/>
      <c r="DC441" s="112"/>
      <c r="DD441" s="112"/>
      <c r="DE441" s="112"/>
      <c r="DF441" s="112"/>
      <c r="DG441" s="112"/>
      <c r="DH441" s="112"/>
      <c r="DI441" s="112"/>
      <c r="DJ441" s="112"/>
      <c r="DK441" s="112"/>
      <c r="DL441" s="112"/>
      <c r="DM441" s="112"/>
      <c r="DN441" s="112"/>
      <c r="DO441" t="e">
        <f t="shared" si="180"/>
        <v>#N/A</v>
      </c>
    </row>
    <row r="442" spans="33:119" x14ac:dyDescent="0.25">
      <c r="AG442" s="238">
        <f>AG441</f>
        <v>104</v>
      </c>
      <c r="AH442" s="112" t="e">
        <f ca="1">AI441+1</f>
        <v>#N/A</v>
      </c>
      <c r="AI442" s="112" t="e">
        <f ca="1">IF(INDIRECT(CONCATENATE("AD",AG440))&lt;100000,INDIRECT(CONCATENATE("AD",AG440))-1,IF(INDIRECT(CONCATENATE("AE",AG440))&lt;100000,INDIRECT(CONCATENATE("AE",G440)),INDIRECT(CONCATENATE("AF",AG440))))</f>
        <v>#N/A</v>
      </c>
      <c r="AJ442" s="114"/>
      <c r="AK442" s="114"/>
      <c r="AL442" s="238" t="e">
        <f t="shared" ca="1" si="183"/>
        <v>#N/A</v>
      </c>
      <c r="AM442" s="112">
        <f t="shared" ca="1" si="186"/>
        <v>100000</v>
      </c>
      <c r="AN442" s="112">
        <f t="shared" ca="1" si="184"/>
        <v>100000</v>
      </c>
      <c r="AO442" s="114">
        <f t="shared" ca="1" si="181"/>
        <v>0</v>
      </c>
      <c r="AP442" s="114">
        <f t="shared" ca="1" si="182"/>
        <v>0</v>
      </c>
      <c r="AR442" s="238">
        <f t="shared" si="185"/>
        <v>442</v>
      </c>
      <c r="CJ442" s="112"/>
      <c r="CK442" s="112"/>
      <c r="CN442" s="112"/>
      <c r="CO442" s="112"/>
      <c r="CP442" s="112"/>
      <c r="CQ442" s="112"/>
      <c r="CR442" s="112"/>
      <c r="CS442" s="112"/>
      <c r="CT442" s="112"/>
      <c r="CU442" s="112"/>
      <c r="CV442" s="112"/>
      <c r="CW442" s="112"/>
      <c r="CX442" s="112"/>
      <c r="CY442" s="112"/>
      <c r="CZ442" s="112"/>
      <c r="DA442" s="112"/>
      <c r="DB442" s="112"/>
      <c r="DC442" s="112"/>
      <c r="DD442" s="112"/>
      <c r="DE442" s="112"/>
      <c r="DF442" s="112"/>
      <c r="DG442" s="112"/>
      <c r="DH442" s="112"/>
      <c r="DI442" s="112"/>
      <c r="DJ442" s="112"/>
      <c r="DK442" s="112"/>
      <c r="DL442" s="112"/>
      <c r="DM442" s="112"/>
      <c r="DN442" s="112"/>
      <c r="DO442" t="e">
        <f t="shared" si="180"/>
        <v>#N/A</v>
      </c>
    </row>
    <row r="443" spans="33:119" x14ac:dyDescent="0.25">
      <c r="AG443" s="238">
        <f>AG442</f>
        <v>104</v>
      </c>
      <c r="AH443" s="112" t="e">
        <f ca="1">AI442+1</f>
        <v>#N/A</v>
      </c>
      <c r="AI443" s="112" t="e">
        <f ca="1">IF(INDIRECT(CONCATENATE("AE",AG440))&lt;100000,INDIRECT(CONCATENATE("AE",G440)),INDIRECT(CONCATENATE("AF",AG440)))</f>
        <v>#N/A</v>
      </c>
      <c r="AJ443" s="114"/>
      <c r="AK443" s="114"/>
      <c r="AL443" s="238" t="e">
        <f t="shared" ca="1" si="183"/>
        <v>#N/A</v>
      </c>
      <c r="AM443" s="112">
        <f t="shared" ca="1" si="186"/>
        <v>100000</v>
      </c>
      <c r="AN443" s="112">
        <f t="shared" ca="1" si="184"/>
        <v>100000</v>
      </c>
      <c r="AO443" s="114">
        <f t="shared" ca="1" si="181"/>
        <v>0</v>
      </c>
      <c r="AP443" s="114">
        <f t="shared" ca="1" si="182"/>
        <v>0</v>
      </c>
      <c r="AR443" s="238">
        <f t="shared" si="185"/>
        <v>443</v>
      </c>
      <c r="CJ443" s="112"/>
      <c r="CK443" s="112"/>
      <c r="CN443" s="112"/>
      <c r="CO443" s="112"/>
      <c r="CP443" s="112"/>
      <c r="CQ443" s="112"/>
      <c r="CR443" s="112"/>
      <c r="CS443" s="112"/>
      <c r="CT443" s="112"/>
      <c r="CU443" s="112"/>
      <c r="CV443" s="112"/>
      <c r="CW443" s="112"/>
      <c r="CX443" s="112"/>
      <c r="CY443" s="112"/>
      <c r="CZ443" s="112"/>
      <c r="DA443" s="112"/>
      <c r="DB443" s="112"/>
      <c r="DC443" s="112"/>
      <c r="DD443" s="112"/>
      <c r="DE443" s="112"/>
      <c r="DF443" s="112"/>
      <c r="DG443" s="112"/>
      <c r="DH443" s="112"/>
      <c r="DI443" s="112"/>
      <c r="DJ443" s="112"/>
      <c r="DK443" s="112"/>
      <c r="DL443" s="112"/>
      <c r="DM443" s="112"/>
      <c r="DN443" s="112"/>
      <c r="DO443" t="e">
        <f t="shared" si="180"/>
        <v>#N/A</v>
      </c>
    </row>
    <row r="444" spans="33:119" x14ac:dyDescent="0.25">
      <c r="AG444" s="238">
        <f>AG443</f>
        <v>104</v>
      </c>
      <c r="AH444" s="112" t="e">
        <f ca="1">AI443+1</f>
        <v>#N/A</v>
      </c>
      <c r="AI444" s="112">
        <f ca="1">INDIRECT(CONCATENATE("AF",AG440))</f>
        <v>100000</v>
      </c>
      <c r="AJ444" s="114"/>
      <c r="AK444" s="114"/>
      <c r="AL444" s="238" t="e">
        <f t="shared" ca="1" si="183"/>
        <v>#N/A</v>
      </c>
      <c r="AM444" s="112">
        <f t="shared" ca="1" si="186"/>
        <v>100000</v>
      </c>
      <c r="AN444" s="112">
        <f t="shared" ca="1" si="184"/>
        <v>100000</v>
      </c>
      <c r="AO444" s="114">
        <f t="shared" ca="1" si="181"/>
        <v>0</v>
      </c>
      <c r="AP444" s="114">
        <f t="shared" ca="1" si="182"/>
        <v>0</v>
      </c>
      <c r="AR444" s="238">
        <f t="shared" si="185"/>
        <v>444</v>
      </c>
      <c r="CJ444" s="112"/>
      <c r="CK444" s="112"/>
      <c r="CN444" s="112"/>
      <c r="CO444" s="112"/>
      <c r="CP444" s="112"/>
      <c r="CQ444" s="112"/>
      <c r="CR444" s="112"/>
      <c r="CS444" s="112"/>
      <c r="CT444" s="112"/>
      <c r="CU444" s="112"/>
      <c r="CV444" s="112"/>
      <c r="CW444" s="112"/>
      <c r="CX444" s="112"/>
      <c r="CY444" s="112"/>
      <c r="CZ444" s="112"/>
      <c r="DA444" s="112"/>
      <c r="DB444" s="112"/>
      <c r="DC444" s="112"/>
      <c r="DD444" s="112"/>
      <c r="DE444" s="112"/>
      <c r="DF444" s="112"/>
      <c r="DG444" s="112"/>
      <c r="DH444" s="112"/>
      <c r="DI444" s="112"/>
      <c r="DJ444" s="112"/>
      <c r="DK444" s="112"/>
      <c r="DL444" s="112"/>
      <c r="DM444" s="112"/>
      <c r="DN444" s="112"/>
      <c r="DO444" t="e">
        <f t="shared" si="180"/>
        <v>#N/A</v>
      </c>
    </row>
    <row r="445" spans="33:119" x14ac:dyDescent="0.25">
      <c r="AG445" s="238">
        <f>AG444+1</f>
        <v>105</v>
      </c>
      <c r="AH445" s="112">
        <f ca="1">INDIRECT(CONCATENATE("AA",AG445))</f>
        <v>100000</v>
      </c>
      <c r="AI445" s="112" t="e">
        <f ca="1">IF(            INDIRECT(CONCATENATE( "AB",AG445))&lt;100000,       INDIRECT(CONCATENATE("AB",AG445))  -1,IF(   INDIRECT(CONCATENATE("AC",AG445))&lt;100000,   INDIRECT(CONCATENATE("AC",AG445))-1,IF(   INDIRECT(CONCATENATE("AD", AG445))&lt;100000, INDIRECT(CONCATENATE("AD",AG445))-1,IF(   INDIRECT(CONCATENATE("AE",AG445))&lt;100000,  INDIRECT(CONCATENATE("AE",G445)),INDIRECT(CONCATENATE("AF",AG445))                ))))</f>
        <v>#N/A</v>
      </c>
      <c r="AJ445" s="114"/>
      <c r="AK445" s="114"/>
      <c r="AL445" s="238" t="e">
        <f t="shared" ca="1" si="183"/>
        <v>#N/A</v>
      </c>
      <c r="AM445" s="112">
        <f t="shared" ca="1" si="186"/>
        <v>100000</v>
      </c>
      <c r="AN445" s="112">
        <f t="shared" ca="1" si="184"/>
        <v>100000</v>
      </c>
      <c r="AO445" s="114">
        <f t="shared" ca="1" si="181"/>
        <v>0</v>
      </c>
      <c r="AP445" s="114">
        <f t="shared" ca="1" si="182"/>
        <v>0</v>
      </c>
      <c r="AR445" s="238">
        <f t="shared" si="185"/>
        <v>445</v>
      </c>
      <c r="CJ445" s="112"/>
      <c r="CK445" s="112"/>
      <c r="CN445" s="112"/>
      <c r="CO445" s="112"/>
      <c r="CP445" s="112"/>
      <c r="CQ445" s="112"/>
      <c r="CR445" s="112"/>
      <c r="CS445" s="112"/>
      <c r="CT445" s="112"/>
      <c r="CU445" s="112"/>
      <c r="CV445" s="112"/>
      <c r="CW445" s="112"/>
      <c r="CX445" s="112"/>
      <c r="CY445" s="112"/>
      <c r="CZ445" s="112"/>
      <c r="DA445" s="112"/>
      <c r="DB445" s="112"/>
      <c r="DC445" s="112"/>
      <c r="DD445" s="112"/>
      <c r="DE445" s="112"/>
      <c r="DF445" s="112"/>
      <c r="DG445" s="112"/>
      <c r="DH445" s="112"/>
      <c r="DI445" s="112"/>
      <c r="DJ445" s="112"/>
      <c r="DK445" s="112"/>
      <c r="DL445" s="112"/>
      <c r="DM445" s="112"/>
      <c r="DN445" s="112"/>
      <c r="DO445" t="e">
        <f t="shared" si="180"/>
        <v>#N/A</v>
      </c>
    </row>
    <row r="446" spans="33:119" x14ac:dyDescent="0.25">
      <c r="AG446" s="238">
        <f>AG445</f>
        <v>105</v>
      </c>
      <c r="AH446" s="112" t="e">
        <f ca="1">AI445+1</f>
        <v>#N/A</v>
      </c>
      <c r="AI446" s="112" t="e">
        <f ca="1">IF(INDIRECT(CONCATENATE("AC",AG445))&lt;100000,INDIRECT(CONCATENATE("AC",AG445))-1,IF(INDIRECT(CONCATENATE("AD",AG445))&lt;100000,INDIRECT(CONCATENATE("AD",AG445))-1,IF(INDIRECT(CONCATENATE("AE",AG445))&lt;100000,INDIRECT(CONCATENATE("AE",G445)),INDIRECT(CONCATENATE("AF",AG445)))))</f>
        <v>#N/A</v>
      </c>
      <c r="AJ446" s="114"/>
      <c r="AK446" s="114"/>
      <c r="AL446" s="238" t="e">
        <f t="shared" ca="1" si="183"/>
        <v>#N/A</v>
      </c>
      <c r="AM446" s="112">
        <f t="shared" ca="1" si="186"/>
        <v>100000</v>
      </c>
      <c r="AN446" s="112">
        <f t="shared" ca="1" si="184"/>
        <v>100000</v>
      </c>
      <c r="AO446" s="114">
        <f t="shared" ca="1" si="181"/>
        <v>0</v>
      </c>
      <c r="AP446" s="114">
        <f t="shared" ca="1" si="182"/>
        <v>0</v>
      </c>
      <c r="AR446" s="238">
        <f t="shared" si="185"/>
        <v>446</v>
      </c>
      <c r="CJ446" s="112"/>
      <c r="CK446" s="112"/>
      <c r="CN446" s="112"/>
      <c r="CO446" s="112"/>
      <c r="CP446" s="112"/>
      <c r="CQ446" s="112"/>
      <c r="CR446" s="112"/>
      <c r="CS446" s="112"/>
      <c r="CT446" s="112"/>
      <c r="CU446" s="112"/>
      <c r="CV446" s="112"/>
      <c r="CW446" s="112"/>
      <c r="CX446" s="112"/>
      <c r="CY446" s="112"/>
      <c r="CZ446" s="112"/>
      <c r="DA446" s="112"/>
      <c r="DB446" s="112"/>
      <c r="DC446" s="112"/>
      <c r="DD446" s="112"/>
      <c r="DE446" s="112"/>
      <c r="DF446" s="112"/>
      <c r="DG446" s="112"/>
      <c r="DH446" s="112"/>
      <c r="DI446" s="112"/>
      <c r="DJ446" s="112"/>
      <c r="DK446" s="112"/>
      <c r="DL446" s="112"/>
      <c r="DM446" s="112"/>
      <c r="DN446" s="112"/>
      <c r="DO446" t="e">
        <f t="shared" si="180"/>
        <v>#N/A</v>
      </c>
    </row>
    <row r="447" spans="33:119" x14ac:dyDescent="0.25">
      <c r="AG447" s="238">
        <f>AG446</f>
        <v>105</v>
      </c>
      <c r="AH447" s="112" t="e">
        <f ca="1">AI446+1</f>
        <v>#N/A</v>
      </c>
      <c r="AI447" s="112" t="e">
        <f ca="1">IF(INDIRECT(CONCATENATE("AD",AG445))&lt;100000,INDIRECT(CONCATENATE("AD",AG445))-1,IF(INDIRECT(CONCATENATE("AE",AG445))&lt;100000,INDIRECT(CONCATENATE("AE",G445)),INDIRECT(CONCATENATE("AF",AG445))))</f>
        <v>#N/A</v>
      </c>
      <c r="AJ447" s="114"/>
      <c r="AK447" s="114"/>
      <c r="AL447" s="238" t="e">
        <f t="shared" ca="1" si="183"/>
        <v>#N/A</v>
      </c>
      <c r="AM447" s="112">
        <f t="shared" ca="1" si="186"/>
        <v>100000</v>
      </c>
      <c r="AN447" s="112">
        <f t="shared" ca="1" si="184"/>
        <v>100000</v>
      </c>
      <c r="AO447" s="114">
        <f t="shared" ca="1" si="181"/>
        <v>0</v>
      </c>
      <c r="AP447" s="114">
        <f t="shared" ca="1" si="182"/>
        <v>0</v>
      </c>
      <c r="AR447" s="238">
        <f t="shared" si="185"/>
        <v>447</v>
      </c>
      <c r="CJ447" s="112"/>
      <c r="CK447" s="112"/>
      <c r="CN447" s="112"/>
      <c r="CO447" s="112"/>
      <c r="CP447" s="112"/>
      <c r="CQ447" s="112"/>
      <c r="CR447" s="112"/>
      <c r="CS447" s="112"/>
      <c r="CT447" s="112"/>
      <c r="CU447" s="112"/>
      <c r="CV447" s="112"/>
      <c r="CW447" s="112"/>
      <c r="CX447" s="112"/>
      <c r="CY447" s="112"/>
      <c r="CZ447" s="112"/>
      <c r="DA447" s="112"/>
      <c r="DB447" s="112"/>
      <c r="DC447" s="112"/>
      <c r="DD447" s="112"/>
      <c r="DE447" s="112"/>
      <c r="DF447" s="112"/>
      <c r="DG447" s="112"/>
      <c r="DH447" s="112"/>
      <c r="DI447" s="112"/>
      <c r="DJ447" s="112"/>
      <c r="DK447" s="112"/>
      <c r="DL447" s="112"/>
      <c r="DM447" s="112"/>
      <c r="DN447" s="112"/>
      <c r="DO447" t="e">
        <f t="shared" si="180"/>
        <v>#N/A</v>
      </c>
    </row>
    <row r="448" spans="33:119" x14ac:dyDescent="0.25">
      <c r="AG448" s="238">
        <f>AG447</f>
        <v>105</v>
      </c>
      <c r="AH448" s="112" t="e">
        <f ca="1">AI447+1</f>
        <v>#N/A</v>
      </c>
      <c r="AI448" s="112" t="e">
        <f ca="1">IF(INDIRECT(CONCATENATE("AE",AG445))&lt;100000,INDIRECT(CONCATENATE("AE",G445)),INDIRECT(CONCATENATE("AF",AG445)))</f>
        <v>#N/A</v>
      </c>
      <c r="AJ448" s="114"/>
      <c r="AK448" s="114"/>
      <c r="AL448" s="238" t="e">
        <f t="shared" ca="1" si="183"/>
        <v>#N/A</v>
      </c>
      <c r="AM448" s="112">
        <f t="shared" ca="1" si="186"/>
        <v>100000</v>
      </c>
      <c r="AN448" s="112">
        <f t="shared" ca="1" si="184"/>
        <v>100000</v>
      </c>
      <c r="AO448" s="114">
        <f t="shared" ca="1" si="181"/>
        <v>0</v>
      </c>
      <c r="AP448" s="114">
        <f t="shared" ca="1" si="182"/>
        <v>0</v>
      </c>
      <c r="AR448" s="238">
        <f t="shared" si="185"/>
        <v>448</v>
      </c>
      <c r="CJ448" s="112"/>
      <c r="CK448" s="112"/>
      <c r="CN448" s="112"/>
      <c r="CO448" s="112"/>
      <c r="CP448" s="112"/>
      <c r="CQ448" s="112"/>
      <c r="CR448" s="112"/>
      <c r="CS448" s="112"/>
      <c r="CT448" s="112"/>
      <c r="CU448" s="112"/>
      <c r="CV448" s="112"/>
      <c r="CW448" s="112"/>
      <c r="CX448" s="112"/>
      <c r="CY448" s="112"/>
      <c r="CZ448" s="112"/>
      <c r="DA448" s="112"/>
      <c r="DB448" s="112"/>
      <c r="DC448" s="112"/>
      <c r="DD448" s="112"/>
      <c r="DE448" s="112"/>
      <c r="DF448" s="112"/>
      <c r="DG448" s="112"/>
      <c r="DH448" s="112"/>
      <c r="DI448" s="112"/>
      <c r="DJ448" s="112"/>
      <c r="DK448" s="112"/>
      <c r="DL448" s="112"/>
      <c r="DM448" s="112"/>
      <c r="DN448" s="112"/>
      <c r="DO448" t="e">
        <f t="shared" si="180"/>
        <v>#N/A</v>
      </c>
    </row>
    <row r="449" spans="33:119" x14ac:dyDescent="0.25">
      <c r="AG449" s="238">
        <f>AG448</f>
        <v>105</v>
      </c>
      <c r="AH449" s="112" t="e">
        <f ca="1">AI448+1</f>
        <v>#N/A</v>
      </c>
      <c r="AI449" s="112">
        <f ca="1">INDIRECT(CONCATENATE("AF",AG445))</f>
        <v>100000</v>
      </c>
      <c r="AJ449" s="114"/>
      <c r="AK449" s="114"/>
      <c r="AL449" s="238" t="e">
        <f t="shared" ca="1" si="183"/>
        <v>#N/A</v>
      </c>
      <c r="AM449" s="112">
        <f t="shared" ca="1" si="186"/>
        <v>100000</v>
      </c>
      <c r="AN449" s="112">
        <f t="shared" ca="1" si="184"/>
        <v>100000</v>
      </c>
      <c r="AO449" s="114">
        <f t="shared" ca="1" si="181"/>
        <v>0</v>
      </c>
      <c r="AP449" s="114">
        <f t="shared" ca="1" si="182"/>
        <v>0</v>
      </c>
      <c r="AR449" s="238">
        <f t="shared" si="185"/>
        <v>449</v>
      </c>
      <c r="CJ449" s="112"/>
      <c r="CK449" s="112"/>
      <c r="CN449" s="112"/>
      <c r="CO449" s="112"/>
      <c r="CP449" s="112"/>
      <c r="CQ449" s="112"/>
      <c r="CR449" s="112"/>
      <c r="CS449" s="112"/>
      <c r="CT449" s="112"/>
      <c r="CU449" s="112"/>
      <c r="CV449" s="112"/>
      <c r="CW449" s="112"/>
      <c r="CX449" s="112"/>
      <c r="CY449" s="112"/>
      <c r="CZ449" s="112"/>
      <c r="DA449" s="112"/>
      <c r="DB449" s="112"/>
      <c r="DC449" s="112"/>
      <c r="DD449" s="112"/>
      <c r="DE449" s="112"/>
      <c r="DF449" s="112"/>
      <c r="DG449" s="112"/>
      <c r="DH449" s="112"/>
      <c r="DI449" s="112"/>
      <c r="DJ449" s="112"/>
      <c r="DK449" s="112"/>
      <c r="DL449" s="112"/>
      <c r="DM449" s="112"/>
      <c r="DN449" s="112"/>
      <c r="DO449" t="e">
        <f t="shared" si="180"/>
        <v>#N/A</v>
      </c>
    </row>
    <row r="450" spans="33:119" x14ac:dyDescent="0.25">
      <c r="AG450" s="238">
        <f>AG449+1</f>
        <v>106</v>
      </c>
      <c r="AH450" s="112">
        <f ca="1">INDIRECT(CONCATENATE("AA",AG450))</f>
        <v>100000</v>
      </c>
      <c r="AI450" s="112" t="e">
        <f ca="1">IF(            INDIRECT(CONCATENATE( "AB",AG450))&lt;100000,       INDIRECT(CONCATENATE("AB",AG450))  -1,IF(   INDIRECT(CONCATENATE("AC",AG450))&lt;100000,   INDIRECT(CONCATENATE("AC",AG450))-1,IF(   INDIRECT(CONCATENATE("AD", AG450))&lt;100000, INDIRECT(CONCATENATE("AD",AG450))-1,IF(   INDIRECT(CONCATENATE("AE",AG450))&lt;100000,  INDIRECT(CONCATENATE("AE",G450)),INDIRECT(CONCATENATE("AF",AG450))                ))))</f>
        <v>#N/A</v>
      </c>
      <c r="AJ450" s="114"/>
      <c r="AK450" s="114"/>
      <c r="AL450" s="238" t="e">
        <f t="shared" ca="1" si="183"/>
        <v>#N/A</v>
      </c>
      <c r="AM450" s="112">
        <f t="shared" ca="1" si="186"/>
        <v>100000</v>
      </c>
      <c r="AN450" s="112">
        <f t="shared" ca="1" si="184"/>
        <v>100000</v>
      </c>
      <c r="AO450" s="114">
        <f t="shared" ca="1" si="181"/>
        <v>0</v>
      </c>
      <c r="AP450" s="114">
        <f t="shared" ca="1" si="182"/>
        <v>0</v>
      </c>
      <c r="AR450" s="238">
        <f t="shared" si="185"/>
        <v>450</v>
      </c>
      <c r="CJ450" s="112"/>
      <c r="CK450" s="112"/>
      <c r="CN450" s="112"/>
      <c r="CO450" s="112"/>
      <c r="CP450" s="112"/>
      <c r="CQ450" s="112"/>
      <c r="CR450" s="112"/>
      <c r="CS450" s="112"/>
      <c r="CT450" s="112"/>
      <c r="CU450" s="112"/>
      <c r="CV450" s="112"/>
      <c r="CW450" s="112"/>
      <c r="CX450" s="112"/>
      <c r="CY450" s="112"/>
      <c r="CZ450" s="112"/>
      <c r="DA450" s="112"/>
      <c r="DB450" s="112"/>
      <c r="DC450" s="112"/>
      <c r="DD450" s="112"/>
      <c r="DE450" s="112"/>
      <c r="DF450" s="112"/>
      <c r="DG450" s="112"/>
      <c r="DH450" s="112"/>
      <c r="DI450" s="112"/>
      <c r="DJ450" s="112"/>
      <c r="DK450" s="112"/>
      <c r="DL450" s="112"/>
      <c r="DM450" s="112"/>
      <c r="DN450" s="112"/>
      <c r="DO450" t="e">
        <f t="shared" si="180"/>
        <v>#N/A</v>
      </c>
    </row>
    <row r="451" spans="33:119" x14ac:dyDescent="0.25">
      <c r="AG451" s="238">
        <f>AG450</f>
        <v>106</v>
      </c>
      <c r="AH451" s="112" t="e">
        <f ca="1">AI450+1</f>
        <v>#N/A</v>
      </c>
      <c r="AI451" s="112" t="e">
        <f ca="1">IF(INDIRECT(CONCATENATE("AC",AG450))&lt;100000,INDIRECT(CONCATENATE("AC",AG450))-1,IF(INDIRECT(CONCATENATE("AD",AG450))&lt;100000,INDIRECT(CONCATENATE("AD",AG450))-1,IF(INDIRECT(CONCATENATE("AE",AG450))&lt;100000,INDIRECT(CONCATENATE("AE",G450)),INDIRECT(CONCATENATE("AF",AG450)))))</f>
        <v>#N/A</v>
      </c>
      <c r="AJ451" s="114"/>
      <c r="AK451" s="114"/>
      <c r="AL451" s="238" t="e">
        <f t="shared" ca="1" si="183"/>
        <v>#N/A</v>
      </c>
      <c r="AM451" s="112">
        <f t="shared" ca="1" si="186"/>
        <v>100000</v>
      </c>
      <c r="AN451" s="112">
        <f t="shared" ca="1" si="184"/>
        <v>100000</v>
      </c>
      <c r="AO451" s="114">
        <f t="shared" ca="1" si="181"/>
        <v>0</v>
      </c>
      <c r="AP451" s="114">
        <f t="shared" ca="1" si="182"/>
        <v>0</v>
      </c>
      <c r="AR451" s="238">
        <f t="shared" si="185"/>
        <v>451</v>
      </c>
      <c r="CJ451" s="112"/>
      <c r="CK451" s="112"/>
      <c r="CN451" s="112"/>
      <c r="CO451" s="112"/>
      <c r="CP451" s="112"/>
      <c r="CQ451" s="112"/>
      <c r="CR451" s="112"/>
      <c r="CS451" s="112"/>
      <c r="CT451" s="112"/>
      <c r="CU451" s="112"/>
      <c r="CV451" s="112"/>
      <c r="CW451" s="112"/>
      <c r="CX451" s="112"/>
      <c r="CY451" s="112"/>
      <c r="CZ451" s="112"/>
      <c r="DA451" s="112"/>
      <c r="DB451" s="112"/>
      <c r="DC451" s="112"/>
      <c r="DD451" s="112"/>
      <c r="DE451" s="112"/>
      <c r="DF451" s="112"/>
      <c r="DG451" s="112"/>
      <c r="DH451" s="112"/>
      <c r="DI451" s="112"/>
      <c r="DJ451" s="112"/>
      <c r="DK451" s="112"/>
      <c r="DL451" s="112"/>
      <c r="DM451" s="112"/>
      <c r="DN451" s="112"/>
      <c r="DO451" t="e">
        <f t="shared" si="180"/>
        <v>#N/A</v>
      </c>
    </row>
    <row r="452" spans="33:119" x14ac:dyDescent="0.25">
      <c r="AG452" s="238">
        <f>AG451</f>
        <v>106</v>
      </c>
      <c r="AH452" s="112" t="e">
        <f ca="1">AI451+1</f>
        <v>#N/A</v>
      </c>
      <c r="AI452" s="112" t="e">
        <f ca="1">IF(INDIRECT(CONCATENATE("AD",AG450))&lt;100000,INDIRECT(CONCATENATE("AD",AG450))-1,IF(INDIRECT(CONCATENATE("AE",AG450))&lt;100000,INDIRECT(CONCATENATE("AE",G450)),INDIRECT(CONCATENATE("AF",AG450))))</f>
        <v>#N/A</v>
      </c>
      <c r="AJ452" s="114"/>
      <c r="AK452" s="114"/>
      <c r="AL452" s="238" t="e">
        <f t="shared" ca="1" si="183"/>
        <v>#N/A</v>
      </c>
      <c r="AM452" s="112">
        <f t="shared" ca="1" si="186"/>
        <v>100000</v>
      </c>
      <c r="AN452" s="112">
        <f t="shared" ca="1" si="184"/>
        <v>100000</v>
      </c>
      <c r="AO452" s="114">
        <f t="shared" ca="1" si="181"/>
        <v>0</v>
      </c>
      <c r="AP452" s="114">
        <f t="shared" ca="1" si="182"/>
        <v>0</v>
      </c>
      <c r="AR452" s="238">
        <f t="shared" si="185"/>
        <v>452</v>
      </c>
      <c r="CJ452" s="112"/>
      <c r="CK452" s="112"/>
      <c r="CN452" s="112"/>
      <c r="CO452" s="112"/>
      <c r="CP452" s="112"/>
      <c r="CQ452" s="112"/>
      <c r="CR452" s="112"/>
      <c r="CS452" s="112"/>
      <c r="CT452" s="112"/>
      <c r="CU452" s="112"/>
      <c r="CV452" s="112"/>
      <c r="CW452" s="112"/>
      <c r="CX452" s="112"/>
      <c r="CY452" s="112"/>
      <c r="CZ452" s="112"/>
      <c r="DA452" s="112"/>
      <c r="DB452" s="112"/>
      <c r="DC452" s="112"/>
      <c r="DD452" s="112"/>
      <c r="DE452" s="112"/>
      <c r="DF452" s="112"/>
      <c r="DG452" s="112"/>
      <c r="DH452" s="112"/>
      <c r="DI452" s="112"/>
      <c r="DJ452" s="112"/>
      <c r="DK452" s="112"/>
      <c r="DL452" s="112"/>
      <c r="DM452" s="112"/>
      <c r="DN452" s="112"/>
      <c r="DO452" t="e">
        <f t="shared" si="180"/>
        <v>#N/A</v>
      </c>
    </row>
    <row r="453" spans="33:119" x14ac:dyDescent="0.25">
      <c r="AG453" s="238">
        <f>AG452</f>
        <v>106</v>
      </c>
      <c r="AH453" s="112" t="e">
        <f ca="1">AI452+1</f>
        <v>#N/A</v>
      </c>
      <c r="AI453" s="112" t="e">
        <f ca="1">IF(INDIRECT(CONCATENATE("AE",AG450))&lt;100000,INDIRECT(CONCATENATE("AE",G450)),INDIRECT(CONCATENATE("AF",AG450)))</f>
        <v>#N/A</v>
      </c>
      <c r="AJ453" s="114"/>
      <c r="AK453" s="114"/>
      <c r="AL453" s="238" t="e">
        <f t="shared" ca="1" si="183"/>
        <v>#N/A</v>
      </c>
      <c r="AM453" s="112">
        <f t="shared" ca="1" si="186"/>
        <v>100000</v>
      </c>
      <c r="AN453" s="112">
        <f t="shared" ca="1" si="184"/>
        <v>100000</v>
      </c>
      <c r="AO453" s="114">
        <f t="shared" ca="1" si="181"/>
        <v>0</v>
      </c>
      <c r="AP453" s="114">
        <f t="shared" ca="1" si="182"/>
        <v>0</v>
      </c>
      <c r="AR453" s="238">
        <f t="shared" si="185"/>
        <v>453</v>
      </c>
      <c r="CJ453" s="112"/>
      <c r="CK453" s="112"/>
      <c r="CN453" s="112"/>
      <c r="CO453" s="112"/>
      <c r="CP453" s="112"/>
      <c r="CQ453" s="112"/>
      <c r="CR453" s="112"/>
      <c r="CS453" s="112"/>
      <c r="CT453" s="112"/>
      <c r="CU453" s="112"/>
      <c r="CV453" s="112"/>
      <c r="CW453" s="112"/>
      <c r="CX453" s="112"/>
      <c r="CY453" s="112"/>
      <c r="CZ453" s="112"/>
      <c r="DA453" s="112"/>
      <c r="DB453" s="112"/>
      <c r="DC453" s="112"/>
      <c r="DD453" s="112"/>
      <c r="DE453" s="112"/>
      <c r="DF453" s="112"/>
      <c r="DG453" s="112"/>
      <c r="DH453" s="112"/>
      <c r="DI453" s="112"/>
      <c r="DJ453" s="112"/>
      <c r="DK453" s="112"/>
      <c r="DL453" s="112"/>
      <c r="DM453" s="112"/>
      <c r="DN453" s="112"/>
      <c r="DO453" t="e">
        <f t="shared" si="180"/>
        <v>#N/A</v>
      </c>
    </row>
    <row r="454" spans="33:119" x14ac:dyDescent="0.25">
      <c r="AG454" s="238">
        <f>AG453</f>
        <v>106</v>
      </c>
      <c r="AH454" s="112" t="e">
        <f ca="1">AI453+1</f>
        <v>#N/A</v>
      </c>
      <c r="AI454" s="112">
        <f ca="1">INDIRECT(CONCATENATE("AF",AG450))</f>
        <v>100000</v>
      </c>
      <c r="AJ454" s="114"/>
      <c r="AK454" s="114"/>
      <c r="AL454" s="238" t="e">
        <f t="shared" ca="1" si="183"/>
        <v>#N/A</v>
      </c>
      <c r="AM454" s="112">
        <f t="shared" ca="1" si="186"/>
        <v>100000</v>
      </c>
      <c r="AN454" s="112">
        <f t="shared" ca="1" si="184"/>
        <v>100000</v>
      </c>
      <c r="AO454" s="114">
        <f t="shared" ca="1" si="181"/>
        <v>0</v>
      </c>
      <c r="AP454" s="114">
        <f t="shared" ca="1" si="182"/>
        <v>0</v>
      </c>
      <c r="AR454" s="238">
        <f t="shared" si="185"/>
        <v>454</v>
      </c>
      <c r="CJ454" s="112"/>
      <c r="CK454" s="112"/>
      <c r="CN454" s="112"/>
      <c r="CO454" s="112"/>
      <c r="CP454" s="112"/>
      <c r="CQ454" s="112"/>
      <c r="CR454" s="112"/>
      <c r="CS454" s="112"/>
      <c r="CT454" s="112"/>
      <c r="CU454" s="112"/>
      <c r="CV454" s="112"/>
      <c r="CW454" s="112"/>
      <c r="CX454" s="112"/>
      <c r="CY454" s="112"/>
      <c r="CZ454" s="112"/>
      <c r="DA454" s="112"/>
      <c r="DB454" s="112"/>
      <c r="DC454" s="112"/>
      <c r="DD454" s="112"/>
      <c r="DE454" s="112"/>
      <c r="DF454" s="112"/>
      <c r="DG454" s="112"/>
      <c r="DH454" s="112"/>
      <c r="DI454" s="112"/>
      <c r="DJ454" s="112"/>
      <c r="DK454" s="112"/>
      <c r="DL454" s="112"/>
      <c r="DM454" s="112"/>
      <c r="DN454" s="112"/>
      <c r="DO454" t="e">
        <f t="shared" si="180"/>
        <v>#N/A</v>
      </c>
    </row>
    <row r="455" spans="33:119" x14ac:dyDescent="0.25">
      <c r="AG455" s="238">
        <f>AG454+1</f>
        <v>107</v>
      </c>
      <c r="AH455" s="112">
        <f ca="1">INDIRECT(CONCATENATE("AA",AG455))</f>
        <v>100000</v>
      </c>
      <c r="AI455" s="112" t="e">
        <f ca="1">IF(            INDIRECT(CONCATENATE( "AB",AG455))&lt;100000,       INDIRECT(CONCATENATE("AB",AG455))  -1,IF(   INDIRECT(CONCATENATE("AC",AG455))&lt;100000,   INDIRECT(CONCATENATE("AC",AG455))-1,IF(   INDIRECT(CONCATENATE("AD", AG455))&lt;100000, INDIRECT(CONCATENATE("AD",AG455))-1,IF(   INDIRECT(CONCATENATE("AE",AG455))&lt;100000,  INDIRECT(CONCATENATE("AE",G455)),INDIRECT(CONCATENATE("AF",AG455))                ))))</f>
        <v>#N/A</v>
      </c>
      <c r="AJ455" s="114"/>
      <c r="AK455" s="114"/>
      <c r="AL455" s="238" t="e">
        <f t="shared" ca="1" si="183"/>
        <v>#N/A</v>
      </c>
      <c r="AM455" s="112">
        <f t="shared" ca="1" si="186"/>
        <v>100000</v>
      </c>
      <c r="AN455" s="112">
        <f t="shared" ca="1" si="184"/>
        <v>100000</v>
      </c>
      <c r="AO455" s="114">
        <f t="shared" ca="1" si="181"/>
        <v>0</v>
      </c>
      <c r="AP455" s="114">
        <f t="shared" ca="1" si="182"/>
        <v>0</v>
      </c>
      <c r="AR455" s="238">
        <f t="shared" si="185"/>
        <v>455</v>
      </c>
      <c r="CJ455" s="112"/>
      <c r="CK455" s="112"/>
      <c r="CN455" s="112"/>
      <c r="CO455" s="112"/>
      <c r="CP455" s="112"/>
      <c r="CQ455" s="112"/>
      <c r="CR455" s="112"/>
      <c r="CS455" s="112"/>
      <c r="CT455" s="112"/>
      <c r="CU455" s="112"/>
      <c r="CV455" s="112"/>
      <c r="CW455" s="112"/>
      <c r="CX455" s="112"/>
      <c r="CY455" s="112"/>
      <c r="CZ455" s="112"/>
      <c r="DA455" s="112"/>
      <c r="DB455" s="112"/>
      <c r="DC455" s="112"/>
      <c r="DD455" s="112"/>
      <c r="DE455" s="112"/>
      <c r="DF455" s="112"/>
      <c r="DG455" s="112"/>
      <c r="DH455" s="112"/>
      <c r="DI455" s="112"/>
      <c r="DJ455" s="112"/>
      <c r="DK455" s="112"/>
      <c r="DL455" s="112"/>
      <c r="DM455" s="112"/>
      <c r="DN455" s="112"/>
      <c r="DO455" t="e">
        <f t="shared" si="180"/>
        <v>#N/A</v>
      </c>
    </row>
    <row r="456" spans="33:119" x14ac:dyDescent="0.25">
      <c r="AG456" s="238">
        <f>AG455</f>
        <v>107</v>
      </c>
      <c r="AH456" s="112" t="e">
        <f ca="1">AI455+1</f>
        <v>#N/A</v>
      </c>
      <c r="AI456" s="112" t="e">
        <f ca="1">IF(INDIRECT(CONCATENATE("AC",AG455))&lt;100000,INDIRECT(CONCATENATE("AC",AG455))-1,IF(INDIRECT(CONCATENATE("AD",AG455))&lt;100000,INDIRECT(CONCATENATE("AD",AG455))-1,IF(INDIRECT(CONCATENATE("AE",AG455))&lt;100000,INDIRECT(CONCATENATE("AE",G455)),INDIRECT(CONCATENATE("AF",AG455)))))</f>
        <v>#N/A</v>
      </c>
      <c r="AJ456" s="114"/>
      <c r="AK456" s="114"/>
      <c r="AL456" s="238" t="e">
        <f t="shared" ca="1" si="183"/>
        <v>#N/A</v>
      </c>
      <c r="AM456" s="112">
        <f t="shared" ca="1" si="186"/>
        <v>100000</v>
      </c>
      <c r="AN456" s="112">
        <f t="shared" ca="1" si="184"/>
        <v>100000</v>
      </c>
      <c r="AO456" s="114">
        <f t="shared" ca="1" si="181"/>
        <v>0</v>
      </c>
      <c r="AP456" s="114">
        <f t="shared" ca="1" si="182"/>
        <v>0</v>
      </c>
      <c r="AR456" s="238">
        <f t="shared" si="185"/>
        <v>456</v>
      </c>
      <c r="CJ456" s="112"/>
      <c r="CK456" s="112"/>
      <c r="CN456" s="112"/>
      <c r="CO456" s="112"/>
      <c r="CP456" s="112"/>
      <c r="CQ456" s="112"/>
      <c r="CR456" s="112"/>
      <c r="CS456" s="112"/>
      <c r="CT456" s="112"/>
      <c r="CU456" s="112"/>
      <c r="CV456" s="112"/>
      <c r="CW456" s="112"/>
      <c r="CX456" s="112"/>
      <c r="CY456" s="112"/>
      <c r="CZ456" s="112"/>
      <c r="DA456" s="112"/>
      <c r="DB456" s="112"/>
      <c r="DC456" s="112"/>
      <c r="DD456" s="112"/>
      <c r="DE456" s="112"/>
      <c r="DF456" s="112"/>
      <c r="DG456" s="112"/>
      <c r="DH456" s="112"/>
      <c r="DI456" s="112"/>
      <c r="DJ456" s="112"/>
      <c r="DK456" s="112"/>
      <c r="DL456" s="112"/>
      <c r="DM456" s="112"/>
      <c r="DN456" s="112"/>
      <c r="DO456" t="e">
        <f t="shared" si="180"/>
        <v>#N/A</v>
      </c>
    </row>
    <row r="457" spans="33:119" x14ac:dyDescent="0.25">
      <c r="AG457" s="238">
        <f>AG456</f>
        <v>107</v>
      </c>
      <c r="AH457" s="112" t="e">
        <f ca="1">AI456+1</f>
        <v>#N/A</v>
      </c>
      <c r="AI457" s="112" t="e">
        <f ca="1">IF(INDIRECT(CONCATENATE("AD",AG455))&lt;100000,INDIRECT(CONCATENATE("AD",AG455))-1,IF(INDIRECT(CONCATENATE("AE",AG455))&lt;100000,INDIRECT(CONCATENATE("AE",G455)),INDIRECT(CONCATENATE("AF",AG455))))</f>
        <v>#N/A</v>
      </c>
      <c r="AJ457" s="114"/>
      <c r="AK457" s="114"/>
      <c r="AL457" s="238" t="e">
        <f t="shared" ca="1" si="183"/>
        <v>#N/A</v>
      </c>
      <c r="AM457" s="112">
        <f t="shared" ca="1" si="186"/>
        <v>100000</v>
      </c>
      <c r="AN457" s="112">
        <f t="shared" ca="1" si="184"/>
        <v>100000</v>
      </c>
      <c r="AO457" s="114">
        <f t="shared" ca="1" si="181"/>
        <v>0</v>
      </c>
      <c r="AP457" s="114">
        <f t="shared" ca="1" si="182"/>
        <v>0</v>
      </c>
      <c r="AR457" s="238">
        <f t="shared" si="185"/>
        <v>457</v>
      </c>
      <c r="CJ457" s="112"/>
      <c r="CK457" s="112"/>
      <c r="CN457" s="112"/>
      <c r="CO457" s="112"/>
      <c r="CP457" s="112"/>
      <c r="CQ457" s="112"/>
      <c r="CR457" s="112"/>
      <c r="CS457" s="112"/>
      <c r="CT457" s="112"/>
      <c r="CU457" s="112"/>
      <c r="CV457" s="112"/>
      <c r="CW457" s="112"/>
      <c r="CX457" s="112"/>
      <c r="CY457" s="112"/>
      <c r="CZ457" s="112"/>
      <c r="DA457" s="112"/>
      <c r="DB457" s="112"/>
      <c r="DC457" s="112"/>
      <c r="DD457" s="112"/>
      <c r="DE457" s="112"/>
      <c r="DF457" s="112"/>
      <c r="DG457" s="112"/>
      <c r="DH457" s="112"/>
      <c r="DI457" s="112"/>
      <c r="DJ457" s="112"/>
      <c r="DK457" s="112"/>
      <c r="DL457" s="112"/>
      <c r="DM457" s="112"/>
      <c r="DN457" s="112"/>
      <c r="DO457" t="e">
        <f t="shared" si="180"/>
        <v>#N/A</v>
      </c>
    </row>
    <row r="458" spans="33:119" x14ac:dyDescent="0.25">
      <c r="AG458" s="238">
        <f>AG457</f>
        <v>107</v>
      </c>
      <c r="AH458" s="112" t="e">
        <f ca="1">AI457+1</f>
        <v>#N/A</v>
      </c>
      <c r="AI458" s="112" t="e">
        <f ca="1">IF(INDIRECT(CONCATENATE("AE",AG455))&lt;100000,INDIRECT(CONCATENATE("AE",G455)),INDIRECT(CONCATENATE("AF",AG455)))</f>
        <v>#N/A</v>
      </c>
      <c r="AJ458" s="114"/>
      <c r="AK458" s="114"/>
      <c r="AL458" s="238" t="e">
        <f t="shared" ca="1" si="183"/>
        <v>#N/A</v>
      </c>
      <c r="AM458" s="112">
        <f t="shared" ca="1" si="186"/>
        <v>100000</v>
      </c>
      <c r="AN458" s="112">
        <f t="shared" ca="1" si="184"/>
        <v>100000</v>
      </c>
      <c r="AO458" s="114">
        <f t="shared" ca="1" si="181"/>
        <v>0</v>
      </c>
      <c r="AP458" s="114">
        <f t="shared" ca="1" si="182"/>
        <v>0</v>
      </c>
      <c r="AR458" s="238">
        <f t="shared" si="185"/>
        <v>458</v>
      </c>
      <c r="CJ458" s="112"/>
      <c r="CK458" s="112"/>
      <c r="CN458" s="112"/>
      <c r="CO458" s="112"/>
      <c r="CP458" s="112"/>
      <c r="CQ458" s="112"/>
      <c r="CR458" s="112"/>
      <c r="CS458" s="112"/>
      <c r="CT458" s="112"/>
      <c r="CU458" s="112"/>
      <c r="CV458" s="112"/>
      <c r="CW458" s="112"/>
      <c r="CX458" s="112"/>
      <c r="CY458" s="112"/>
      <c r="CZ458" s="112"/>
      <c r="DA458" s="112"/>
      <c r="DB458" s="112"/>
      <c r="DC458" s="112"/>
      <c r="DD458" s="112"/>
      <c r="DE458" s="112"/>
      <c r="DF458" s="112"/>
      <c r="DG458" s="112"/>
      <c r="DH458" s="112"/>
      <c r="DI458" s="112"/>
      <c r="DJ458" s="112"/>
      <c r="DK458" s="112"/>
      <c r="DL458" s="112"/>
      <c r="DM458" s="112"/>
      <c r="DN458" s="112"/>
      <c r="DO458" t="e">
        <f t="shared" si="180"/>
        <v>#N/A</v>
      </c>
    </row>
    <row r="459" spans="33:119" x14ac:dyDescent="0.25">
      <c r="AG459" s="238">
        <f>AG458</f>
        <v>107</v>
      </c>
      <c r="AH459" s="112" t="e">
        <f ca="1">AI458+1</f>
        <v>#N/A</v>
      </c>
      <c r="AI459" s="112">
        <f ca="1">INDIRECT(CONCATENATE("AF",AG455))</f>
        <v>100000</v>
      </c>
      <c r="AJ459" s="114"/>
      <c r="AK459" s="114"/>
      <c r="AL459" s="238" t="e">
        <f t="shared" ca="1" si="183"/>
        <v>#N/A</v>
      </c>
      <c r="AM459" s="112">
        <f t="shared" ca="1" si="186"/>
        <v>100000</v>
      </c>
      <c r="AN459" s="112">
        <f t="shared" ca="1" si="184"/>
        <v>100000</v>
      </c>
      <c r="AO459" s="114">
        <f t="shared" ca="1" si="181"/>
        <v>0</v>
      </c>
      <c r="AP459" s="114">
        <f t="shared" ca="1" si="182"/>
        <v>0</v>
      </c>
      <c r="AR459" s="238">
        <f t="shared" si="185"/>
        <v>459</v>
      </c>
      <c r="CJ459" s="112"/>
      <c r="CK459" s="112"/>
      <c r="CN459" s="112"/>
      <c r="CO459" s="112"/>
      <c r="CP459" s="112"/>
      <c r="CQ459" s="112"/>
      <c r="CR459" s="112"/>
      <c r="CS459" s="112"/>
      <c r="CT459" s="112"/>
      <c r="CU459" s="112"/>
      <c r="CV459" s="112"/>
      <c r="CW459" s="112"/>
      <c r="CX459" s="112"/>
      <c r="CY459" s="112"/>
      <c r="CZ459" s="112"/>
      <c r="DA459" s="112"/>
      <c r="DB459" s="112"/>
      <c r="DC459" s="112"/>
      <c r="DD459" s="112"/>
      <c r="DE459" s="112"/>
      <c r="DF459" s="112"/>
      <c r="DG459" s="112"/>
      <c r="DH459" s="112"/>
      <c r="DI459" s="112"/>
      <c r="DJ459" s="112"/>
      <c r="DK459" s="112"/>
      <c r="DL459" s="112"/>
      <c r="DM459" s="112"/>
      <c r="DN459" s="112"/>
      <c r="DO459" t="e">
        <f t="shared" si="180"/>
        <v>#N/A</v>
      </c>
    </row>
    <row r="460" spans="33:119" x14ac:dyDescent="0.25">
      <c r="AG460" s="238">
        <f>AG459+1</f>
        <v>108</v>
      </c>
      <c r="AH460" s="112">
        <f ca="1">INDIRECT(CONCATENATE("AA",AG460))</f>
        <v>100000</v>
      </c>
      <c r="AI460" s="112" t="e">
        <f ca="1">IF(            INDIRECT(CONCATENATE( "AB",AG460))&lt;100000,       INDIRECT(CONCATENATE("AB",AG460))  -1,IF(   INDIRECT(CONCATENATE("AC",AG460))&lt;100000,   INDIRECT(CONCATENATE("AC",AG460))-1,IF(   INDIRECT(CONCATENATE("AD", AG460))&lt;100000, INDIRECT(CONCATENATE("AD",AG460))-1,IF(   INDIRECT(CONCATENATE("AE",AG460))&lt;100000,  INDIRECT(CONCATENATE("AE",G460)),INDIRECT(CONCATENATE("AF",AG460))                ))))</f>
        <v>#N/A</v>
      </c>
      <c r="AJ460" s="114"/>
      <c r="AK460" s="114"/>
      <c r="AL460" s="238" t="e">
        <f t="shared" ca="1" si="183"/>
        <v>#N/A</v>
      </c>
      <c r="AM460" s="112">
        <f t="shared" ca="1" si="186"/>
        <v>100000</v>
      </c>
      <c r="AN460" s="112">
        <f t="shared" ca="1" si="184"/>
        <v>100000</v>
      </c>
      <c r="AO460" s="114">
        <f t="shared" ca="1" si="181"/>
        <v>0</v>
      </c>
      <c r="AP460" s="114">
        <f t="shared" ca="1" si="182"/>
        <v>0</v>
      </c>
      <c r="AR460" s="238">
        <f t="shared" si="185"/>
        <v>460</v>
      </c>
      <c r="CJ460" s="112"/>
      <c r="CK460" s="112"/>
      <c r="CN460" s="112"/>
      <c r="CO460" s="112"/>
      <c r="CP460" s="112"/>
      <c r="CQ460" s="112"/>
      <c r="CR460" s="112"/>
      <c r="CS460" s="112"/>
      <c r="CT460" s="112"/>
      <c r="CU460" s="112"/>
      <c r="CV460" s="112"/>
      <c r="CW460" s="112"/>
      <c r="CX460" s="112"/>
      <c r="CY460" s="112"/>
      <c r="CZ460" s="112"/>
      <c r="DA460" s="112"/>
      <c r="DB460" s="112"/>
      <c r="DC460" s="112"/>
      <c r="DD460" s="112"/>
      <c r="DE460" s="112"/>
      <c r="DF460" s="112"/>
      <c r="DG460" s="112"/>
      <c r="DH460" s="112"/>
      <c r="DI460" s="112"/>
      <c r="DJ460" s="112"/>
      <c r="DK460" s="112"/>
      <c r="DL460" s="112"/>
      <c r="DM460" s="112"/>
      <c r="DN460" s="112"/>
      <c r="DO460" t="e">
        <f t="shared" si="180"/>
        <v>#N/A</v>
      </c>
    </row>
    <row r="461" spans="33:119" x14ac:dyDescent="0.25">
      <c r="AG461" s="238">
        <f>AG460</f>
        <v>108</v>
      </c>
      <c r="AH461" s="112" t="e">
        <f ca="1">AI460+1</f>
        <v>#N/A</v>
      </c>
      <c r="AI461" s="112" t="e">
        <f ca="1">IF(INDIRECT(CONCATENATE("AC",AG460))&lt;100000,INDIRECT(CONCATENATE("AC",AG460))-1,IF(INDIRECT(CONCATENATE("AD",AG460))&lt;100000,INDIRECT(CONCATENATE("AD",AG460))-1,IF(INDIRECT(CONCATENATE("AE",AG460))&lt;100000,INDIRECT(CONCATENATE("AE",G460)),INDIRECT(CONCATENATE("AF",AG460)))))</f>
        <v>#N/A</v>
      </c>
      <c r="AJ461" s="114"/>
      <c r="AK461" s="114"/>
      <c r="AL461" s="238" t="e">
        <f t="shared" ca="1" si="183"/>
        <v>#N/A</v>
      </c>
      <c r="AM461" s="112">
        <f t="shared" ca="1" si="186"/>
        <v>100000</v>
      </c>
      <c r="AN461" s="112">
        <f t="shared" ca="1" si="184"/>
        <v>100000</v>
      </c>
      <c r="AO461" s="114">
        <f t="shared" ca="1" si="181"/>
        <v>0</v>
      </c>
      <c r="AP461" s="114">
        <f t="shared" ca="1" si="182"/>
        <v>0</v>
      </c>
      <c r="AR461" s="238">
        <f t="shared" si="185"/>
        <v>461</v>
      </c>
      <c r="CJ461" s="112"/>
      <c r="CK461" s="112"/>
      <c r="CN461" s="112"/>
      <c r="CO461" s="112"/>
      <c r="CP461" s="112"/>
      <c r="CQ461" s="112"/>
      <c r="CR461" s="112"/>
      <c r="CS461" s="112"/>
      <c r="CT461" s="112"/>
      <c r="CU461" s="112"/>
      <c r="CV461" s="112"/>
      <c r="CW461" s="112"/>
      <c r="CX461" s="112"/>
      <c r="CY461" s="112"/>
      <c r="CZ461" s="112"/>
      <c r="DA461" s="112"/>
      <c r="DB461" s="112"/>
      <c r="DC461" s="112"/>
      <c r="DD461" s="112"/>
      <c r="DE461" s="112"/>
      <c r="DF461" s="112"/>
      <c r="DG461" s="112"/>
      <c r="DH461" s="112"/>
      <c r="DI461" s="112"/>
      <c r="DJ461" s="112"/>
      <c r="DK461" s="112"/>
      <c r="DL461" s="112"/>
      <c r="DM461" s="112"/>
      <c r="DN461" s="112"/>
      <c r="DO461" t="e">
        <f t="shared" si="180"/>
        <v>#N/A</v>
      </c>
    </row>
    <row r="462" spans="33:119" x14ac:dyDescent="0.25">
      <c r="AG462" s="238">
        <f>AG461</f>
        <v>108</v>
      </c>
      <c r="AH462" s="112" t="e">
        <f ca="1">AI461+1</f>
        <v>#N/A</v>
      </c>
      <c r="AI462" s="112" t="e">
        <f ca="1">IF(INDIRECT(CONCATENATE("AD",AG460))&lt;100000,INDIRECT(CONCATENATE("AD",AG460))-1,IF(INDIRECT(CONCATENATE("AE",AG460))&lt;100000,INDIRECT(CONCATENATE("AE",G460)),INDIRECT(CONCATENATE("AF",AG460))))</f>
        <v>#N/A</v>
      </c>
      <c r="AJ462" s="114"/>
      <c r="AK462" s="114"/>
      <c r="AL462" s="238" t="e">
        <f t="shared" ca="1" si="183"/>
        <v>#N/A</v>
      </c>
      <c r="AM462" s="112">
        <f t="shared" ca="1" si="186"/>
        <v>100000</v>
      </c>
      <c r="AN462" s="112">
        <f t="shared" ca="1" si="184"/>
        <v>100000</v>
      </c>
      <c r="AO462" s="114">
        <f t="shared" ca="1" si="181"/>
        <v>0</v>
      </c>
      <c r="AP462" s="114">
        <f t="shared" ca="1" si="182"/>
        <v>0</v>
      </c>
      <c r="AR462" s="238">
        <f t="shared" si="185"/>
        <v>462</v>
      </c>
      <c r="CJ462" s="112"/>
      <c r="CK462" s="112"/>
      <c r="CN462" s="112"/>
      <c r="CO462" s="112"/>
      <c r="CP462" s="112"/>
      <c r="CQ462" s="112"/>
      <c r="CR462" s="112"/>
      <c r="CS462" s="112"/>
      <c r="CT462" s="112"/>
      <c r="CU462" s="112"/>
      <c r="CV462" s="112"/>
      <c r="CW462" s="112"/>
      <c r="CX462" s="112"/>
      <c r="CY462" s="112"/>
      <c r="CZ462" s="112"/>
      <c r="DA462" s="112"/>
      <c r="DB462" s="112"/>
      <c r="DC462" s="112"/>
      <c r="DD462" s="112"/>
      <c r="DE462" s="112"/>
      <c r="DF462" s="112"/>
      <c r="DG462" s="112"/>
      <c r="DH462" s="112"/>
      <c r="DI462" s="112"/>
      <c r="DJ462" s="112"/>
      <c r="DK462" s="112"/>
      <c r="DL462" s="112"/>
      <c r="DM462" s="112"/>
      <c r="DN462" s="112"/>
      <c r="DO462" t="e">
        <f t="shared" ref="DO462:DO496" si="187">VLOOKUP(CN462,$F$20:$H$138,3,FALSE)</f>
        <v>#N/A</v>
      </c>
    </row>
    <row r="463" spans="33:119" x14ac:dyDescent="0.25">
      <c r="AG463" s="238">
        <f>AG462</f>
        <v>108</v>
      </c>
      <c r="AH463" s="112" t="e">
        <f ca="1">AI462+1</f>
        <v>#N/A</v>
      </c>
      <c r="AI463" s="112" t="e">
        <f ca="1">IF(INDIRECT(CONCATENATE("AE",AG460))&lt;100000,INDIRECT(CONCATENATE("AE",G460)),INDIRECT(CONCATENATE("AF",AG460)))</f>
        <v>#N/A</v>
      </c>
      <c r="AJ463" s="114"/>
      <c r="AK463" s="114"/>
      <c r="AL463" s="238" t="e">
        <f t="shared" ca="1" si="183"/>
        <v>#N/A</v>
      </c>
      <c r="AM463" s="112">
        <f t="shared" ca="1" si="186"/>
        <v>100000</v>
      </c>
      <c r="AN463" s="112">
        <f t="shared" ca="1" si="184"/>
        <v>100000</v>
      </c>
      <c r="AO463" s="114">
        <f t="shared" ca="1" si="181"/>
        <v>0</v>
      </c>
      <c r="AP463" s="114">
        <f t="shared" ca="1" si="182"/>
        <v>0</v>
      </c>
      <c r="AR463" s="238">
        <f t="shared" si="185"/>
        <v>463</v>
      </c>
      <c r="CJ463" s="112"/>
      <c r="CK463" s="112"/>
      <c r="CN463" s="112"/>
      <c r="CO463" s="112"/>
      <c r="CP463" s="112"/>
      <c r="CQ463" s="112"/>
      <c r="CR463" s="112"/>
      <c r="CS463" s="112"/>
      <c r="CT463" s="112"/>
      <c r="CU463" s="112"/>
      <c r="CV463" s="112"/>
      <c r="CW463" s="112"/>
      <c r="CX463" s="112"/>
      <c r="CY463" s="112"/>
      <c r="CZ463" s="112"/>
      <c r="DA463" s="112"/>
      <c r="DB463" s="112"/>
      <c r="DC463" s="112"/>
      <c r="DD463" s="112"/>
      <c r="DE463" s="112"/>
      <c r="DF463" s="112"/>
      <c r="DG463" s="112"/>
      <c r="DH463" s="112"/>
      <c r="DI463" s="112"/>
      <c r="DJ463" s="112"/>
      <c r="DK463" s="112"/>
      <c r="DL463" s="112"/>
      <c r="DM463" s="112"/>
      <c r="DN463" s="112"/>
      <c r="DO463" t="e">
        <f t="shared" si="187"/>
        <v>#N/A</v>
      </c>
    </row>
    <row r="464" spans="33:119" x14ac:dyDescent="0.25">
      <c r="AG464" s="238">
        <f>AG463</f>
        <v>108</v>
      </c>
      <c r="AH464" s="112" t="e">
        <f ca="1">AI463+1</f>
        <v>#N/A</v>
      </c>
      <c r="AI464" s="112">
        <f ca="1">INDIRECT(CONCATENATE("AF",AG460))</f>
        <v>100000</v>
      </c>
      <c r="AJ464" s="114"/>
      <c r="AK464" s="114"/>
      <c r="AL464" s="238" t="e">
        <f t="shared" ca="1" si="183"/>
        <v>#N/A</v>
      </c>
      <c r="AM464" s="112">
        <f t="shared" ca="1" si="186"/>
        <v>100000</v>
      </c>
      <c r="AN464" s="112">
        <f t="shared" ca="1" si="184"/>
        <v>100000</v>
      </c>
      <c r="AO464" s="114">
        <f t="shared" ca="1" si="181"/>
        <v>0</v>
      </c>
      <c r="AP464" s="114">
        <f t="shared" ca="1" si="182"/>
        <v>0</v>
      </c>
      <c r="AR464" s="238">
        <f t="shared" si="185"/>
        <v>464</v>
      </c>
      <c r="CJ464" s="112"/>
      <c r="CK464" s="112"/>
      <c r="CN464" s="112"/>
      <c r="CO464" s="112"/>
      <c r="CP464" s="112"/>
      <c r="CQ464" s="112"/>
      <c r="CR464" s="112"/>
      <c r="CS464" s="112"/>
      <c r="CT464" s="112"/>
      <c r="CU464" s="112"/>
      <c r="CV464" s="112"/>
      <c r="CW464" s="112"/>
      <c r="CX464" s="112"/>
      <c r="CY464" s="112"/>
      <c r="CZ464" s="112"/>
      <c r="DA464" s="112"/>
      <c r="DB464" s="112"/>
      <c r="DC464" s="112"/>
      <c r="DD464" s="112"/>
      <c r="DE464" s="112"/>
      <c r="DF464" s="112"/>
      <c r="DG464" s="112"/>
      <c r="DH464" s="112"/>
      <c r="DI464" s="112"/>
      <c r="DJ464" s="112"/>
      <c r="DK464" s="112"/>
      <c r="DL464" s="112"/>
      <c r="DM464" s="112"/>
      <c r="DN464" s="112"/>
      <c r="DO464" t="e">
        <f t="shared" si="187"/>
        <v>#N/A</v>
      </c>
    </row>
    <row r="465" spans="33:119" x14ac:dyDescent="0.25">
      <c r="AG465" s="238">
        <f>AG464+1</f>
        <v>109</v>
      </c>
      <c r="AH465" s="112">
        <f ca="1">INDIRECT(CONCATENATE("AA",AG465))</f>
        <v>100000</v>
      </c>
      <c r="AI465" s="112" t="e">
        <f ca="1">IF(            INDIRECT(CONCATENATE( "AB",AG465))&lt;100000,       INDIRECT(CONCATENATE("AB",AG465))  -1,IF(   INDIRECT(CONCATENATE("AC",AG465))&lt;100000,   INDIRECT(CONCATENATE("AC",AG465))-1,IF(   INDIRECT(CONCATENATE("AD", AG465))&lt;100000, INDIRECT(CONCATENATE("AD",AG465))-1,IF(   INDIRECT(CONCATENATE("AE",AG465))&lt;100000,  INDIRECT(CONCATENATE("AE",G465)),INDIRECT(CONCATENATE("AF",AG465))                ))))</f>
        <v>#N/A</v>
      </c>
      <c r="AJ465" s="114"/>
      <c r="AK465" s="114"/>
      <c r="AL465" s="238" t="e">
        <f t="shared" ca="1" si="183"/>
        <v>#N/A</v>
      </c>
      <c r="AM465" s="112">
        <f t="shared" ca="1" si="186"/>
        <v>100000</v>
      </c>
      <c r="AN465" s="112">
        <f t="shared" ca="1" si="184"/>
        <v>100000</v>
      </c>
      <c r="AO465" s="114">
        <f t="shared" ca="1" si="181"/>
        <v>0</v>
      </c>
      <c r="AP465" s="114">
        <f t="shared" ca="1" si="182"/>
        <v>0</v>
      </c>
      <c r="AR465" s="238">
        <f t="shared" si="185"/>
        <v>465</v>
      </c>
      <c r="CJ465" s="112"/>
      <c r="CK465" s="112"/>
      <c r="CN465" s="112"/>
      <c r="CO465" s="112"/>
      <c r="CP465" s="112"/>
      <c r="CQ465" s="112"/>
      <c r="CR465" s="112"/>
      <c r="CS465" s="112"/>
      <c r="CT465" s="112"/>
      <c r="CU465" s="112"/>
      <c r="CV465" s="112"/>
      <c r="CW465" s="112"/>
      <c r="CX465" s="112"/>
      <c r="CY465" s="112"/>
      <c r="CZ465" s="112"/>
      <c r="DA465" s="112"/>
      <c r="DB465" s="112"/>
      <c r="DC465" s="112"/>
      <c r="DD465" s="112"/>
      <c r="DE465" s="112"/>
      <c r="DF465" s="112"/>
      <c r="DG465" s="112"/>
      <c r="DH465" s="112"/>
      <c r="DI465" s="112"/>
      <c r="DJ465" s="112"/>
      <c r="DK465" s="112"/>
      <c r="DL465" s="112"/>
      <c r="DM465" s="112"/>
      <c r="DN465" s="112"/>
      <c r="DO465" t="e">
        <f t="shared" si="187"/>
        <v>#N/A</v>
      </c>
    </row>
    <row r="466" spans="33:119" x14ac:dyDescent="0.25">
      <c r="AG466" s="238">
        <f>AG465</f>
        <v>109</v>
      </c>
      <c r="AH466" s="112" t="e">
        <f ca="1">AI465+1</f>
        <v>#N/A</v>
      </c>
      <c r="AI466" s="112" t="e">
        <f ca="1">IF(INDIRECT(CONCATENATE("AC",AG465))&lt;100000,INDIRECT(CONCATENATE("AC",AG465))-1,IF(INDIRECT(CONCATENATE("AD",AG465))&lt;100000,INDIRECT(CONCATENATE("AD",AG465))-1,IF(INDIRECT(CONCATENATE("AE",AG465))&lt;100000,INDIRECT(CONCATENATE("AE",G465)),INDIRECT(CONCATENATE("AF",AG465)))))</f>
        <v>#N/A</v>
      </c>
      <c r="AJ466" s="114"/>
      <c r="AK466" s="114"/>
      <c r="AL466" s="238" t="e">
        <f t="shared" ca="1" si="183"/>
        <v>#N/A</v>
      </c>
      <c r="AM466" s="112">
        <f t="shared" ca="1" si="186"/>
        <v>100000</v>
      </c>
      <c r="AN466" s="112">
        <f t="shared" ca="1" si="184"/>
        <v>100000</v>
      </c>
      <c r="AO466" s="114">
        <f t="shared" ca="1" si="181"/>
        <v>0</v>
      </c>
      <c r="AP466" s="114">
        <f t="shared" ca="1" si="182"/>
        <v>0</v>
      </c>
      <c r="AR466" s="238">
        <f t="shared" si="185"/>
        <v>466</v>
      </c>
      <c r="CJ466" s="112"/>
      <c r="CK466" s="112"/>
      <c r="CN466" s="112"/>
      <c r="CO466" s="112"/>
      <c r="CP466" s="112"/>
      <c r="CQ466" s="112"/>
      <c r="CR466" s="112"/>
      <c r="CS466" s="112"/>
      <c r="CT466" s="112"/>
      <c r="CU466" s="112"/>
      <c r="CV466" s="112"/>
      <c r="CW466" s="112"/>
      <c r="CX466" s="112"/>
      <c r="CY466" s="112"/>
      <c r="CZ466" s="112"/>
      <c r="DA466" s="112"/>
      <c r="DB466" s="112"/>
      <c r="DC466" s="112"/>
      <c r="DD466" s="112"/>
      <c r="DE466" s="112"/>
      <c r="DF466" s="112"/>
      <c r="DG466" s="112"/>
      <c r="DH466" s="112"/>
      <c r="DI466" s="112"/>
      <c r="DJ466" s="112"/>
      <c r="DK466" s="112"/>
      <c r="DL466" s="112"/>
      <c r="DM466" s="112"/>
      <c r="DN466" s="112"/>
      <c r="DO466" t="e">
        <f t="shared" si="187"/>
        <v>#N/A</v>
      </c>
    </row>
    <row r="467" spans="33:119" x14ac:dyDescent="0.25">
      <c r="AG467" s="238">
        <f>AG466</f>
        <v>109</v>
      </c>
      <c r="AH467" s="112" t="e">
        <f ca="1">AI466+1</f>
        <v>#N/A</v>
      </c>
      <c r="AI467" s="112" t="e">
        <f ca="1">IF(INDIRECT(CONCATENATE("AD",AG465))&lt;100000,INDIRECT(CONCATENATE("AD",AG465))-1,IF(INDIRECT(CONCATENATE("AE",AG465))&lt;100000,INDIRECT(CONCATENATE("AE",G465)),INDIRECT(CONCATENATE("AF",AG465))))</f>
        <v>#N/A</v>
      </c>
      <c r="AJ467" s="114"/>
      <c r="AK467" s="114"/>
      <c r="AL467" s="238" t="e">
        <f t="shared" ca="1" si="183"/>
        <v>#N/A</v>
      </c>
      <c r="AM467" s="112">
        <f t="shared" ca="1" si="186"/>
        <v>100000</v>
      </c>
      <c r="AN467" s="112">
        <f t="shared" ca="1" si="184"/>
        <v>100000</v>
      </c>
      <c r="AO467" s="114">
        <f t="shared" ca="1" si="181"/>
        <v>0</v>
      </c>
      <c r="AP467" s="114">
        <f t="shared" ca="1" si="182"/>
        <v>0</v>
      </c>
      <c r="AR467" s="238">
        <f t="shared" si="185"/>
        <v>467</v>
      </c>
      <c r="CJ467" s="112"/>
      <c r="CK467" s="112"/>
      <c r="CN467" s="112"/>
      <c r="CO467" s="112"/>
      <c r="CP467" s="112"/>
      <c r="CQ467" s="112"/>
      <c r="CR467" s="112"/>
      <c r="CS467" s="112"/>
      <c r="CT467" s="112"/>
      <c r="CU467" s="112"/>
      <c r="CV467" s="112"/>
      <c r="CW467" s="112"/>
      <c r="CX467" s="112"/>
      <c r="CY467" s="112"/>
      <c r="CZ467" s="112"/>
      <c r="DA467" s="112"/>
      <c r="DB467" s="112"/>
      <c r="DC467" s="112"/>
      <c r="DD467" s="112"/>
      <c r="DE467" s="112"/>
      <c r="DF467" s="112"/>
      <c r="DG467" s="112"/>
      <c r="DH467" s="112"/>
      <c r="DI467" s="112"/>
      <c r="DJ467" s="112"/>
      <c r="DK467" s="112"/>
      <c r="DL467" s="112"/>
      <c r="DM467" s="112"/>
      <c r="DN467" s="112"/>
      <c r="DO467" t="e">
        <f t="shared" si="187"/>
        <v>#N/A</v>
      </c>
    </row>
    <row r="468" spans="33:119" x14ac:dyDescent="0.25">
      <c r="AG468" s="238">
        <f>AG467</f>
        <v>109</v>
      </c>
      <c r="AH468" s="112" t="e">
        <f ca="1">AI467+1</f>
        <v>#N/A</v>
      </c>
      <c r="AI468" s="112" t="e">
        <f ca="1">IF(INDIRECT(CONCATENATE("AE",AG465))&lt;100000,INDIRECT(CONCATENATE("AE",G465)),INDIRECT(CONCATENATE("AF",AG465)))</f>
        <v>#N/A</v>
      </c>
      <c r="AJ468" s="114"/>
      <c r="AK468" s="114"/>
      <c r="AL468" s="238" t="e">
        <f t="shared" ca="1" si="183"/>
        <v>#N/A</v>
      </c>
      <c r="AM468" s="112">
        <f t="shared" ca="1" si="186"/>
        <v>100000</v>
      </c>
      <c r="AN468" s="112">
        <f t="shared" ca="1" si="184"/>
        <v>100000</v>
      </c>
      <c r="AO468" s="114">
        <f t="shared" ca="1" si="181"/>
        <v>0</v>
      </c>
      <c r="AP468" s="114">
        <f t="shared" ca="1" si="182"/>
        <v>0</v>
      </c>
      <c r="AR468" s="238">
        <f t="shared" si="185"/>
        <v>468</v>
      </c>
      <c r="CJ468" s="112"/>
      <c r="CK468" s="112"/>
      <c r="CN468" s="112"/>
      <c r="CO468" s="112"/>
      <c r="CP468" s="112"/>
      <c r="CQ468" s="112"/>
      <c r="CR468" s="112"/>
      <c r="CS468" s="112"/>
      <c r="CT468" s="112"/>
      <c r="CU468" s="112"/>
      <c r="CV468" s="112"/>
      <c r="CW468" s="112"/>
      <c r="CX468" s="112"/>
      <c r="CY468" s="112"/>
      <c r="CZ468" s="112"/>
      <c r="DA468" s="112"/>
      <c r="DB468" s="112"/>
      <c r="DC468" s="112"/>
      <c r="DD468" s="112"/>
      <c r="DE468" s="112"/>
      <c r="DF468" s="112"/>
      <c r="DG468" s="112"/>
      <c r="DH468" s="112"/>
      <c r="DI468" s="112"/>
      <c r="DJ468" s="112"/>
      <c r="DK468" s="112"/>
      <c r="DL468" s="112"/>
      <c r="DM468" s="112"/>
      <c r="DN468" s="112"/>
      <c r="DO468" t="e">
        <f t="shared" si="187"/>
        <v>#N/A</v>
      </c>
    </row>
    <row r="469" spans="33:119" x14ac:dyDescent="0.25">
      <c r="AG469" s="238">
        <f>AG468</f>
        <v>109</v>
      </c>
      <c r="AH469" s="112" t="e">
        <f ca="1">AI468+1</f>
        <v>#N/A</v>
      </c>
      <c r="AI469" s="112">
        <f ca="1">INDIRECT(CONCATENATE("AF",AG465))</f>
        <v>100000</v>
      </c>
      <c r="AJ469" s="114"/>
      <c r="AK469" s="114"/>
      <c r="AL469" s="238" t="e">
        <f t="shared" ca="1" si="183"/>
        <v>#N/A</v>
      </c>
      <c r="AM469" s="112">
        <f t="shared" ca="1" si="186"/>
        <v>100000</v>
      </c>
      <c r="AN469" s="112">
        <f t="shared" ca="1" si="184"/>
        <v>100000</v>
      </c>
      <c r="AO469" s="114">
        <f t="shared" ref="AO469:AO532" ca="1" si="188">INDIRECT(CONCATENATE("H",AG469))</f>
        <v>0</v>
      </c>
      <c r="AP469" s="114">
        <f t="shared" ref="AP469:AP532" ca="1" si="189">INDIRECT(CONCATENATE("J",AG469))</f>
        <v>0</v>
      </c>
      <c r="AR469" s="238">
        <f t="shared" si="185"/>
        <v>469</v>
      </c>
      <c r="CJ469" s="112"/>
      <c r="CK469" s="112"/>
      <c r="CN469" s="112"/>
      <c r="CO469" s="112"/>
      <c r="CP469" s="112"/>
      <c r="CQ469" s="112"/>
      <c r="CR469" s="112"/>
      <c r="CS469" s="112"/>
      <c r="CT469" s="112"/>
      <c r="CU469" s="112"/>
      <c r="CV469" s="112"/>
      <c r="CW469" s="112"/>
      <c r="CX469" s="112"/>
      <c r="CY469" s="112"/>
      <c r="CZ469" s="112"/>
      <c r="DA469" s="112"/>
      <c r="DB469" s="112"/>
      <c r="DC469" s="112"/>
      <c r="DD469" s="112"/>
      <c r="DE469" s="112"/>
      <c r="DF469" s="112"/>
      <c r="DG469" s="112"/>
      <c r="DH469" s="112"/>
      <c r="DI469" s="112"/>
      <c r="DJ469" s="112"/>
      <c r="DK469" s="112"/>
      <c r="DL469" s="112"/>
      <c r="DM469" s="112"/>
      <c r="DN469" s="112"/>
      <c r="DO469" t="e">
        <f t="shared" si="187"/>
        <v>#N/A</v>
      </c>
    </row>
    <row r="470" spans="33:119" x14ac:dyDescent="0.25">
      <c r="AG470" s="238">
        <f>AG469+1</f>
        <v>110</v>
      </c>
      <c r="AH470" s="112">
        <f ca="1">INDIRECT(CONCATENATE("AA",AG470))</f>
        <v>100000</v>
      </c>
      <c r="AI470" s="112" t="e">
        <f ca="1">IF(            INDIRECT(CONCATENATE( "AB",AG470))&lt;100000,       INDIRECT(CONCATENATE("AB",AG470))  -1,IF(   INDIRECT(CONCATENATE("AC",AG470))&lt;100000,   INDIRECT(CONCATENATE("AC",AG470))-1,IF(   INDIRECT(CONCATENATE("AD", AG470))&lt;100000, INDIRECT(CONCATENATE("AD",AG470))-1,IF(   INDIRECT(CONCATENATE("AE",AG470))&lt;100000,  INDIRECT(CONCATENATE("AE",G470)),INDIRECT(CONCATENATE("AF",AG470))                ))))</f>
        <v>#N/A</v>
      </c>
      <c r="AJ470" s="114"/>
      <c r="AK470" s="114"/>
      <c r="AL470" s="238" t="e">
        <f t="shared" ref="AL470:AL533" ca="1" si="190">IF(AI470=AI469,0,1)</f>
        <v>#N/A</v>
      </c>
      <c r="AM470" s="112">
        <f t="shared" ca="1" si="186"/>
        <v>100000</v>
      </c>
      <c r="AN470" s="112">
        <f t="shared" ref="AN470:AN533" ca="1" si="191">IF(AM470=100000,100000,AI470)</f>
        <v>100000</v>
      </c>
      <c r="AO470" s="114">
        <f t="shared" ca="1" si="188"/>
        <v>0</v>
      </c>
      <c r="AP470" s="114">
        <f t="shared" ca="1" si="189"/>
        <v>0</v>
      </c>
      <c r="AR470" s="238">
        <f t="shared" ref="AR470:AR533" si="192">AR469+1</f>
        <v>470</v>
      </c>
      <c r="CJ470" s="112"/>
      <c r="CK470" s="112"/>
      <c r="CN470" s="112"/>
      <c r="CO470" s="112"/>
      <c r="CP470" s="112"/>
      <c r="CQ470" s="112"/>
      <c r="CR470" s="112"/>
      <c r="CS470" s="112"/>
      <c r="CT470" s="112"/>
      <c r="CU470" s="112"/>
      <c r="CV470" s="112"/>
      <c r="CW470" s="112"/>
      <c r="CX470" s="112"/>
      <c r="CY470" s="112"/>
      <c r="CZ470" s="112"/>
      <c r="DA470" s="112"/>
      <c r="DB470" s="112"/>
      <c r="DC470" s="112"/>
      <c r="DD470" s="112"/>
      <c r="DE470" s="112"/>
      <c r="DF470" s="112"/>
      <c r="DG470" s="112"/>
      <c r="DH470" s="112"/>
      <c r="DI470" s="112"/>
      <c r="DJ470" s="112"/>
      <c r="DK470" s="112"/>
      <c r="DL470" s="112"/>
      <c r="DM470" s="112"/>
      <c r="DN470" s="112"/>
      <c r="DO470" t="e">
        <f t="shared" si="187"/>
        <v>#N/A</v>
      </c>
    </row>
    <row r="471" spans="33:119" x14ac:dyDescent="0.25">
      <c r="AG471" s="238">
        <f>AG470</f>
        <v>110</v>
      </c>
      <c r="AH471" s="112" t="e">
        <f ca="1">AI470+1</f>
        <v>#N/A</v>
      </c>
      <c r="AI471" s="112" t="e">
        <f ca="1">IF(INDIRECT(CONCATENATE("AC",AG470))&lt;100000,INDIRECT(CONCATENATE("AC",AG470))-1,IF(INDIRECT(CONCATENATE("AD",AG470))&lt;100000,INDIRECT(CONCATENATE("AD",AG470))-1,IF(INDIRECT(CONCATENATE("AE",AG470))&lt;100000,INDIRECT(CONCATENATE("AE",G470)),INDIRECT(CONCATENATE("AF",AG470)))))</f>
        <v>#N/A</v>
      </c>
      <c r="AJ471" s="114"/>
      <c r="AK471" s="114"/>
      <c r="AL471" s="238" t="e">
        <f t="shared" ca="1" si="190"/>
        <v>#N/A</v>
      </c>
      <c r="AM471" s="112">
        <f t="shared" ca="1" si="186"/>
        <v>100000</v>
      </c>
      <c r="AN471" s="112">
        <f t="shared" ca="1" si="191"/>
        <v>100000</v>
      </c>
      <c r="AO471" s="114">
        <f t="shared" ca="1" si="188"/>
        <v>0</v>
      </c>
      <c r="AP471" s="114">
        <f t="shared" ca="1" si="189"/>
        <v>0</v>
      </c>
      <c r="AR471" s="238">
        <f t="shared" si="192"/>
        <v>471</v>
      </c>
      <c r="CJ471" s="112"/>
      <c r="CK471" s="112"/>
      <c r="CN471" s="112"/>
      <c r="CO471" s="112"/>
      <c r="CP471" s="112"/>
      <c r="CQ471" s="112"/>
      <c r="CR471" s="112"/>
      <c r="CS471" s="112"/>
      <c r="CT471" s="112"/>
      <c r="CU471" s="112"/>
      <c r="CV471" s="112"/>
      <c r="CW471" s="112"/>
      <c r="CX471" s="112"/>
      <c r="CY471" s="112"/>
      <c r="CZ471" s="112"/>
      <c r="DA471" s="112"/>
      <c r="DB471" s="112"/>
      <c r="DC471" s="112"/>
      <c r="DD471" s="112"/>
      <c r="DE471" s="112"/>
      <c r="DF471" s="112"/>
      <c r="DG471" s="112"/>
      <c r="DH471" s="112"/>
      <c r="DI471" s="112"/>
      <c r="DJ471" s="112"/>
      <c r="DK471" s="112"/>
      <c r="DL471" s="112"/>
      <c r="DM471" s="112"/>
      <c r="DN471" s="112"/>
      <c r="DO471" t="e">
        <f t="shared" si="187"/>
        <v>#N/A</v>
      </c>
    </row>
    <row r="472" spans="33:119" x14ac:dyDescent="0.25">
      <c r="AG472" s="238">
        <f>AG471</f>
        <v>110</v>
      </c>
      <c r="AH472" s="112" t="e">
        <f ca="1">AI471+1</f>
        <v>#N/A</v>
      </c>
      <c r="AI472" s="112" t="e">
        <f ca="1">IF(INDIRECT(CONCATENATE("AD",AG470))&lt;100000,INDIRECT(CONCATENATE("AD",AG470))-1,IF(INDIRECT(CONCATENATE("AE",AG470))&lt;100000,INDIRECT(CONCATENATE("AE",G470)),INDIRECT(CONCATENATE("AF",AG470))))</f>
        <v>#N/A</v>
      </c>
      <c r="AJ472" s="114"/>
      <c r="AK472" s="114"/>
      <c r="AL472" s="238" t="e">
        <f t="shared" ca="1" si="190"/>
        <v>#N/A</v>
      </c>
      <c r="AM472" s="112">
        <f t="shared" ca="1" si="186"/>
        <v>100000</v>
      </c>
      <c r="AN472" s="112">
        <f t="shared" ca="1" si="191"/>
        <v>100000</v>
      </c>
      <c r="AO472" s="114">
        <f t="shared" ca="1" si="188"/>
        <v>0</v>
      </c>
      <c r="AP472" s="114">
        <f t="shared" ca="1" si="189"/>
        <v>0</v>
      </c>
      <c r="AR472" s="238">
        <f t="shared" si="192"/>
        <v>472</v>
      </c>
      <c r="CJ472" s="112"/>
      <c r="CK472" s="112"/>
      <c r="CN472" s="112"/>
      <c r="CO472" s="112"/>
      <c r="CP472" s="112"/>
      <c r="CQ472" s="112"/>
      <c r="CR472" s="112"/>
      <c r="CS472" s="112"/>
      <c r="CT472" s="112"/>
      <c r="CU472" s="112"/>
      <c r="CV472" s="112"/>
      <c r="CW472" s="112"/>
      <c r="CX472" s="112"/>
      <c r="CY472" s="112"/>
      <c r="CZ472" s="112"/>
      <c r="DA472" s="112"/>
      <c r="DB472" s="112"/>
      <c r="DC472" s="112"/>
      <c r="DD472" s="112"/>
      <c r="DE472" s="112"/>
      <c r="DF472" s="112"/>
      <c r="DG472" s="112"/>
      <c r="DH472" s="112"/>
      <c r="DI472" s="112"/>
      <c r="DJ472" s="112"/>
      <c r="DK472" s="112"/>
      <c r="DL472" s="112"/>
      <c r="DM472" s="112"/>
      <c r="DN472" s="112"/>
      <c r="DO472" t="e">
        <f t="shared" si="187"/>
        <v>#N/A</v>
      </c>
    </row>
    <row r="473" spans="33:119" x14ac:dyDescent="0.25">
      <c r="AG473" s="238">
        <f>AG472</f>
        <v>110</v>
      </c>
      <c r="AH473" s="112" t="e">
        <f ca="1">AI472+1</f>
        <v>#N/A</v>
      </c>
      <c r="AI473" s="112" t="e">
        <f ca="1">IF(INDIRECT(CONCATENATE("AE",AG470))&lt;100000,INDIRECT(CONCATENATE("AE",G470)),INDIRECT(CONCATENATE("AF",AG470)))</f>
        <v>#N/A</v>
      </c>
      <c r="AJ473" s="114"/>
      <c r="AK473" s="114"/>
      <c r="AL473" s="238" t="e">
        <f t="shared" ca="1" si="190"/>
        <v>#N/A</v>
      </c>
      <c r="AM473" s="112">
        <f t="shared" ca="1" si="186"/>
        <v>100000</v>
      </c>
      <c r="AN473" s="112">
        <f t="shared" ca="1" si="191"/>
        <v>100000</v>
      </c>
      <c r="AO473" s="114">
        <f t="shared" ca="1" si="188"/>
        <v>0</v>
      </c>
      <c r="AP473" s="114">
        <f t="shared" ca="1" si="189"/>
        <v>0</v>
      </c>
      <c r="AR473" s="238">
        <f t="shared" si="192"/>
        <v>473</v>
      </c>
      <c r="CJ473" s="112"/>
      <c r="CK473" s="112"/>
      <c r="CN473" s="112"/>
      <c r="CO473" s="112"/>
      <c r="CP473" s="112"/>
      <c r="CQ473" s="112"/>
      <c r="CR473" s="112"/>
      <c r="CS473" s="112"/>
      <c r="CT473" s="112"/>
      <c r="CU473" s="112"/>
      <c r="CV473" s="112"/>
      <c r="CW473" s="112"/>
      <c r="CX473" s="112"/>
      <c r="CY473" s="112"/>
      <c r="CZ473" s="112"/>
      <c r="DA473" s="112"/>
      <c r="DB473" s="112"/>
      <c r="DC473" s="112"/>
      <c r="DD473" s="112"/>
      <c r="DE473" s="112"/>
      <c r="DF473" s="112"/>
      <c r="DG473" s="112"/>
      <c r="DH473" s="112"/>
      <c r="DI473" s="112"/>
      <c r="DJ473" s="112"/>
      <c r="DK473" s="112"/>
      <c r="DL473" s="112"/>
      <c r="DM473" s="112"/>
      <c r="DN473" s="112"/>
      <c r="DO473" t="e">
        <f t="shared" si="187"/>
        <v>#N/A</v>
      </c>
    </row>
    <row r="474" spans="33:119" x14ac:dyDescent="0.25">
      <c r="AG474" s="238">
        <f>AG473</f>
        <v>110</v>
      </c>
      <c r="AH474" s="112" t="e">
        <f ca="1">AI473+1</f>
        <v>#N/A</v>
      </c>
      <c r="AI474" s="112">
        <f ca="1">INDIRECT(CONCATENATE("AF",AG470))</f>
        <v>100000</v>
      </c>
      <c r="AJ474" s="114"/>
      <c r="AK474" s="114"/>
      <c r="AL474" s="238" t="e">
        <f t="shared" ca="1" si="190"/>
        <v>#N/A</v>
      </c>
      <c r="AM474" s="112">
        <f t="shared" ca="1" si="186"/>
        <v>100000</v>
      </c>
      <c r="AN474" s="112">
        <f t="shared" ca="1" si="191"/>
        <v>100000</v>
      </c>
      <c r="AO474" s="114">
        <f t="shared" ca="1" si="188"/>
        <v>0</v>
      </c>
      <c r="AP474" s="114">
        <f t="shared" ca="1" si="189"/>
        <v>0</v>
      </c>
      <c r="AR474" s="238">
        <f t="shared" si="192"/>
        <v>474</v>
      </c>
      <c r="CJ474" s="112"/>
      <c r="CK474" s="112"/>
      <c r="CN474" s="112"/>
      <c r="CO474" s="112"/>
      <c r="CP474" s="112"/>
      <c r="CQ474" s="112"/>
      <c r="CR474" s="112"/>
      <c r="CS474" s="112"/>
      <c r="CT474" s="112"/>
      <c r="CU474" s="112"/>
      <c r="CV474" s="112"/>
      <c r="CW474" s="112"/>
      <c r="CX474" s="112"/>
      <c r="CY474" s="112"/>
      <c r="CZ474" s="112"/>
      <c r="DA474" s="112"/>
      <c r="DB474" s="112"/>
      <c r="DC474" s="112"/>
      <c r="DD474" s="112"/>
      <c r="DE474" s="112"/>
      <c r="DF474" s="112"/>
      <c r="DG474" s="112"/>
      <c r="DH474" s="112"/>
      <c r="DI474" s="112"/>
      <c r="DJ474" s="112"/>
      <c r="DK474" s="112"/>
      <c r="DL474" s="112"/>
      <c r="DM474" s="112"/>
      <c r="DN474" s="112"/>
      <c r="DO474" t="e">
        <f t="shared" si="187"/>
        <v>#N/A</v>
      </c>
    </row>
    <row r="475" spans="33:119" x14ac:dyDescent="0.25">
      <c r="AG475" s="238">
        <f>AG474+1</f>
        <v>111</v>
      </c>
      <c r="AH475" s="112">
        <f ca="1">INDIRECT(CONCATENATE("AA",AG475))</f>
        <v>100000</v>
      </c>
      <c r="AI475" s="112" t="e">
        <f ca="1">IF(            INDIRECT(CONCATENATE( "AB",AG475))&lt;100000,       INDIRECT(CONCATENATE("AB",AG475))  -1,IF(   INDIRECT(CONCATENATE("AC",AG475))&lt;100000,   INDIRECT(CONCATENATE("AC",AG475))-1,IF(   INDIRECT(CONCATENATE("AD", AG475))&lt;100000, INDIRECT(CONCATENATE("AD",AG475))-1,IF(   INDIRECT(CONCATENATE("AE",AG475))&lt;100000,  INDIRECT(CONCATENATE("AE",G475)),INDIRECT(CONCATENATE("AF",AG475))                ))))</f>
        <v>#N/A</v>
      </c>
      <c r="AJ475" s="114"/>
      <c r="AK475" s="114"/>
      <c r="AL475" s="238" t="e">
        <f t="shared" ca="1" si="190"/>
        <v>#N/A</v>
      </c>
      <c r="AM475" s="112">
        <f t="shared" ca="1" si="186"/>
        <v>100000</v>
      </c>
      <c r="AN475" s="112">
        <f t="shared" ca="1" si="191"/>
        <v>100000</v>
      </c>
      <c r="AO475" s="114">
        <f t="shared" ca="1" si="188"/>
        <v>0</v>
      </c>
      <c r="AP475" s="114">
        <f t="shared" ca="1" si="189"/>
        <v>0</v>
      </c>
      <c r="AR475" s="238">
        <f t="shared" si="192"/>
        <v>475</v>
      </c>
      <c r="CJ475" s="112"/>
      <c r="CK475" s="112"/>
      <c r="CN475" s="112"/>
      <c r="CO475" s="112"/>
      <c r="CP475" s="112"/>
      <c r="CQ475" s="112"/>
      <c r="CR475" s="112"/>
      <c r="CS475" s="112"/>
      <c r="CT475" s="112"/>
      <c r="CU475" s="112"/>
      <c r="CV475" s="112"/>
      <c r="CW475" s="112"/>
      <c r="CX475" s="112"/>
      <c r="CY475" s="112"/>
      <c r="CZ475" s="112"/>
      <c r="DA475" s="112"/>
      <c r="DB475" s="112"/>
      <c r="DC475" s="112"/>
      <c r="DD475" s="112"/>
      <c r="DE475" s="112"/>
      <c r="DF475" s="112"/>
      <c r="DG475" s="112"/>
      <c r="DH475" s="112"/>
      <c r="DI475" s="112"/>
      <c r="DJ475" s="112"/>
      <c r="DK475" s="112"/>
      <c r="DL475" s="112"/>
      <c r="DM475" s="112"/>
      <c r="DN475" s="112"/>
      <c r="DO475" t="e">
        <f t="shared" si="187"/>
        <v>#N/A</v>
      </c>
    </row>
    <row r="476" spans="33:119" x14ac:dyDescent="0.25">
      <c r="AG476" s="238">
        <f>AG475</f>
        <v>111</v>
      </c>
      <c r="AH476" s="112" t="e">
        <f ca="1">AI475+1</f>
        <v>#N/A</v>
      </c>
      <c r="AI476" s="112" t="e">
        <f ca="1">IF(INDIRECT(CONCATENATE("AC",AG475))&lt;100000,INDIRECT(CONCATENATE("AC",AG475))-1,IF(INDIRECT(CONCATENATE("AD",AG475))&lt;100000,INDIRECT(CONCATENATE("AD",AG475))-1,IF(INDIRECT(CONCATENATE("AE",AG475))&lt;100000,INDIRECT(CONCATENATE("AE",G475)),INDIRECT(CONCATENATE("AF",AG475)))))</f>
        <v>#N/A</v>
      </c>
      <c r="AJ476" s="114"/>
      <c r="AK476" s="114"/>
      <c r="AL476" s="238" t="e">
        <f t="shared" ca="1" si="190"/>
        <v>#N/A</v>
      </c>
      <c r="AM476" s="112">
        <f t="shared" ca="1" si="186"/>
        <v>100000</v>
      </c>
      <c r="AN476" s="112">
        <f t="shared" ca="1" si="191"/>
        <v>100000</v>
      </c>
      <c r="AO476" s="114">
        <f t="shared" ca="1" si="188"/>
        <v>0</v>
      </c>
      <c r="AP476" s="114">
        <f t="shared" ca="1" si="189"/>
        <v>0</v>
      </c>
      <c r="AR476" s="238">
        <f t="shared" si="192"/>
        <v>476</v>
      </c>
      <c r="CJ476" s="112"/>
      <c r="CK476" s="112"/>
      <c r="CN476" s="112"/>
      <c r="CO476" s="112"/>
      <c r="CP476" s="112"/>
      <c r="CQ476" s="112"/>
      <c r="CR476" s="112"/>
      <c r="CS476" s="112"/>
      <c r="CT476" s="112"/>
      <c r="CU476" s="112"/>
      <c r="CV476" s="112"/>
      <c r="CW476" s="112"/>
      <c r="CX476" s="112"/>
      <c r="CY476" s="112"/>
      <c r="CZ476" s="112"/>
      <c r="DA476" s="112"/>
      <c r="DB476" s="112"/>
      <c r="DC476" s="112"/>
      <c r="DD476" s="112"/>
      <c r="DE476" s="112"/>
      <c r="DF476" s="112"/>
      <c r="DG476" s="112"/>
      <c r="DH476" s="112"/>
      <c r="DI476" s="112"/>
      <c r="DJ476" s="112"/>
      <c r="DK476" s="112"/>
      <c r="DL476" s="112"/>
      <c r="DM476" s="112"/>
      <c r="DN476" s="112"/>
      <c r="DO476" t="e">
        <f t="shared" si="187"/>
        <v>#N/A</v>
      </c>
    </row>
    <row r="477" spans="33:119" x14ac:dyDescent="0.25">
      <c r="AG477" s="238">
        <f>AG476</f>
        <v>111</v>
      </c>
      <c r="AH477" s="112" t="e">
        <f ca="1">AI476+1</f>
        <v>#N/A</v>
      </c>
      <c r="AI477" s="112" t="e">
        <f ca="1">IF(INDIRECT(CONCATENATE("AD",AG475))&lt;100000,INDIRECT(CONCATENATE("AD",AG475))-1,IF(INDIRECT(CONCATENATE("AE",AG475))&lt;100000,INDIRECT(CONCATENATE("AE",G475)),INDIRECT(CONCATENATE("AF",AG475))))</f>
        <v>#N/A</v>
      </c>
      <c r="AJ477" s="114"/>
      <c r="AK477" s="114"/>
      <c r="AL477" s="238" t="e">
        <f t="shared" ca="1" si="190"/>
        <v>#N/A</v>
      </c>
      <c r="AM477" s="112">
        <f t="shared" ca="1" si="186"/>
        <v>100000</v>
      </c>
      <c r="AN477" s="112">
        <f t="shared" ca="1" si="191"/>
        <v>100000</v>
      </c>
      <c r="AO477" s="114">
        <f t="shared" ca="1" si="188"/>
        <v>0</v>
      </c>
      <c r="AP477" s="114">
        <f t="shared" ca="1" si="189"/>
        <v>0</v>
      </c>
      <c r="AR477" s="238">
        <f t="shared" si="192"/>
        <v>477</v>
      </c>
      <c r="CJ477" s="112"/>
      <c r="CK477" s="112"/>
      <c r="CN477" s="112"/>
      <c r="CO477" s="112"/>
      <c r="CP477" s="112"/>
      <c r="CQ477" s="112"/>
      <c r="CR477" s="112"/>
      <c r="CS477" s="112"/>
      <c r="CT477" s="112"/>
      <c r="CU477" s="112"/>
      <c r="CV477" s="112"/>
      <c r="CW477" s="112"/>
      <c r="CX477" s="112"/>
      <c r="CY477" s="112"/>
      <c r="CZ477" s="112"/>
      <c r="DA477" s="112"/>
      <c r="DB477" s="112"/>
      <c r="DC477" s="112"/>
      <c r="DD477" s="112"/>
      <c r="DE477" s="112"/>
      <c r="DF477" s="112"/>
      <c r="DG477" s="112"/>
      <c r="DH477" s="112"/>
      <c r="DI477" s="112"/>
      <c r="DJ477" s="112"/>
      <c r="DK477" s="112"/>
      <c r="DL477" s="112"/>
      <c r="DM477" s="112"/>
      <c r="DN477" s="112"/>
      <c r="DO477" t="e">
        <f t="shared" si="187"/>
        <v>#N/A</v>
      </c>
    </row>
    <row r="478" spans="33:119" x14ac:dyDescent="0.25">
      <c r="AG478" s="238">
        <f>AG477</f>
        <v>111</v>
      </c>
      <c r="AH478" s="112" t="e">
        <f ca="1">AI477+1</f>
        <v>#N/A</v>
      </c>
      <c r="AI478" s="112" t="e">
        <f ca="1">IF(INDIRECT(CONCATENATE("AE",AG475))&lt;100000,INDIRECT(CONCATENATE("AE",G475)),INDIRECT(CONCATENATE("AF",AG475)))</f>
        <v>#N/A</v>
      </c>
      <c r="AJ478" s="114"/>
      <c r="AK478" s="114"/>
      <c r="AL478" s="238" t="e">
        <f t="shared" ca="1" si="190"/>
        <v>#N/A</v>
      </c>
      <c r="AM478" s="112">
        <f t="shared" ca="1" si="186"/>
        <v>100000</v>
      </c>
      <c r="AN478" s="112">
        <f t="shared" ca="1" si="191"/>
        <v>100000</v>
      </c>
      <c r="AO478" s="114">
        <f t="shared" ca="1" si="188"/>
        <v>0</v>
      </c>
      <c r="AP478" s="114">
        <f t="shared" ca="1" si="189"/>
        <v>0</v>
      </c>
      <c r="AR478" s="238">
        <f t="shared" si="192"/>
        <v>478</v>
      </c>
      <c r="CJ478" s="112"/>
      <c r="CK478" s="112"/>
      <c r="CN478" s="112"/>
      <c r="CO478" s="112"/>
      <c r="CP478" s="112"/>
      <c r="CQ478" s="112"/>
      <c r="CR478" s="112"/>
      <c r="CS478" s="112"/>
      <c r="CT478" s="112"/>
      <c r="CU478" s="112"/>
      <c r="CV478" s="112"/>
      <c r="CW478" s="112"/>
      <c r="CX478" s="112"/>
      <c r="CY478" s="112"/>
      <c r="CZ478" s="112"/>
      <c r="DA478" s="112"/>
      <c r="DB478" s="112"/>
      <c r="DC478" s="112"/>
      <c r="DD478" s="112"/>
      <c r="DE478" s="112"/>
      <c r="DF478" s="112"/>
      <c r="DG478" s="112"/>
      <c r="DH478" s="112"/>
      <c r="DI478" s="112"/>
      <c r="DJ478" s="112"/>
      <c r="DK478" s="112"/>
      <c r="DL478" s="112"/>
      <c r="DM478" s="112"/>
      <c r="DN478" s="112"/>
      <c r="DO478" t="e">
        <f t="shared" si="187"/>
        <v>#N/A</v>
      </c>
    </row>
    <row r="479" spans="33:119" x14ac:dyDescent="0.25">
      <c r="AG479" s="238">
        <f>AG478</f>
        <v>111</v>
      </c>
      <c r="AH479" s="112" t="e">
        <f ca="1">AI478+1</f>
        <v>#N/A</v>
      </c>
      <c r="AI479" s="112">
        <f ca="1">INDIRECT(CONCATENATE("AF",AG475))</f>
        <v>100000</v>
      </c>
      <c r="AJ479" s="114"/>
      <c r="AK479" s="114"/>
      <c r="AL479" s="238" t="e">
        <f t="shared" ca="1" si="190"/>
        <v>#N/A</v>
      </c>
      <c r="AM479" s="112">
        <f t="shared" ca="1" si="186"/>
        <v>100000</v>
      </c>
      <c r="AN479" s="112">
        <f t="shared" ca="1" si="191"/>
        <v>100000</v>
      </c>
      <c r="AO479" s="114">
        <f t="shared" ca="1" si="188"/>
        <v>0</v>
      </c>
      <c r="AP479" s="114">
        <f t="shared" ca="1" si="189"/>
        <v>0</v>
      </c>
      <c r="AR479" s="238">
        <f t="shared" si="192"/>
        <v>479</v>
      </c>
      <c r="CJ479" s="112"/>
      <c r="CK479" s="112"/>
      <c r="CN479" s="112"/>
      <c r="CO479" s="112"/>
      <c r="CP479" s="112"/>
      <c r="CQ479" s="112"/>
      <c r="CR479" s="112"/>
      <c r="CS479" s="112"/>
      <c r="CT479" s="112"/>
      <c r="CU479" s="112"/>
      <c r="CV479" s="112"/>
      <c r="CW479" s="112"/>
      <c r="CX479" s="112"/>
      <c r="CY479" s="112"/>
      <c r="CZ479" s="112"/>
      <c r="DA479" s="112"/>
      <c r="DB479" s="112"/>
      <c r="DC479" s="112"/>
      <c r="DD479" s="112"/>
      <c r="DE479" s="112"/>
      <c r="DF479" s="112"/>
      <c r="DG479" s="112"/>
      <c r="DH479" s="112"/>
      <c r="DI479" s="112"/>
      <c r="DJ479" s="112"/>
      <c r="DK479" s="112"/>
      <c r="DL479" s="112"/>
      <c r="DM479" s="112"/>
      <c r="DN479" s="112"/>
      <c r="DO479" t="e">
        <f t="shared" si="187"/>
        <v>#N/A</v>
      </c>
    </row>
    <row r="480" spans="33:119" x14ac:dyDescent="0.25">
      <c r="AG480" s="238">
        <f>AG479+1</f>
        <v>112</v>
      </c>
      <c r="AH480" s="112">
        <f ca="1">INDIRECT(CONCATENATE("AA",AG480))</f>
        <v>100000</v>
      </c>
      <c r="AI480" s="112" t="e">
        <f ca="1">IF(            INDIRECT(CONCATENATE( "AB",AG480))&lt;100000,       INDIRECT(CONCATENATE("AB",AG480))  -1,IF(   INDIRECT(CONCATENATE("AC",AG480))&lt;100000,   INDIRECT(CONCATENATE("AC",AG480))-1,IF(   INDIRECT(CONCATENATE("AD", AG480))&lt;100000, INDIRECT(CONCATENATE("AD",AG480))-1,IF(   INDIRECT(CONCATENATE("AE",AG480))&lt;100000,  INDIRECT(CONCATENATE("AE",G480)),INDIRECT(CONCATENATE("AF",AG480))                ))))</f>
        <v>#N/A</v>
      </c>
      <c r="AJ480" s="114"/>
      <c r="AK480" s="114"/>
      <c r="AL480" s="238" t="e">
        <f t="shared" ca="1" si="190"/>
        <v>#N/A</v>
      </c>
      <c r="AM480" s="112">
        <f t="shared" ca="1" si="186"/>
        <v>100000</v>
      </c>
      <c r="AN480" s="112">
        <f t="shared" ca="1" si="191"/>
        <v>100000</v>
      </c>
      <c r="AO480" s="114">
        <f t="shared" ca="1" si="188"/>
        <v>0</v>
      </c>
      <c r="AP480" s="114">
        <f t="shared" ca="1" si="189"/>
        <v>0</v>
      </c>
      <c r="AR480" s="238">
        <f t="shared" si="192"/>
        <v>480</v>
      </c>
      <c r="CJ480" s="112"/>
      <c r="CK480" s="112"/>
      <c r="CN480" s="112"/>
      <c r="CO480" s="112"/>
      <c r="CP480" s="112"/>
      <c r="CQ480" s="112"/>
      <c r="CR480" s="112"/>
      <c r="CS480" s="112"/>
      <c r="CT480" s="112"/>
      <c r="CU480" s="112"/>
      <c r="CV480" s="112"/>
      <c r="CW480" s="112"/>
      <c r="CX480" s="112"/>
      <c r="CY480" s="112"/>
      <c r="CZ480" s="112"/>
      <c r="DA480" s="112"/>
      <c r="DB480" s="112"/>
      <c r="DC480" s="112"/>
      <c r="DD480" s="112"/>
      <c r="DE480" s="112"/>
      <c r="DF480" s="112"/>
      <c r="DG480" s="112"/>
      <c r="DH480" s="112"/>
      <c r="DI480" s="112"/>
      <c r="DJ480" s="112"/>
      <c r="DK480" s="112"/>
      <c r="DL480" s="112"/>
      <c r="DM480" s="112"/>
      <c r="DN480" s="112"/>
      <c r="DO480" t="e">
        <f t="shared" si="187"/>
        <v>#N/A</v>
      </c>
    </row>
    <row r="481" spans="33:119" x14ac:dyDescent="0.25">
      <c r="AG481" s="238">
        <f>AG480</f>
        <v>112</v>
      </c>
      <c r="AH481" s="112" t="e">
        <f ca="1">AI480+1</f>
        <v>#N/A</v>
      </c>
      <c r="AI481" s="112" t="e">
        <f ca="1">IF(INDIRECT(CONCATENATE("AC",AG480))&lt;100000,INDIRECT(CONCATENATE("AC",AG480))-1,IF(INDIRECT(CONCATENATE("AD",AG480))&lt;100000,INDIRECT(CONCATENATE("AD",AG480))-1,IF(INDIRECT(CONCATENATE("AE",AG480))&lt;100000,INDIRECT(CONCATENATE("AE",G480)),INDIRECT(CONCATENATE("AF",AG480)))))</f>
        <v>#N/A</v>
      </c>
      <c r="AJ481" s="114"/>
      <c r="AK481" s="114"/>
      <c r="AL481" s="238" t="e">
        <f t="shared" ca="1" si="190"/>
        <v>#N/A</v>
      </c>
      <c r="AM481" s="112">
        <f t="shared" ca="1" si="186"/>
        <v>100000</v>
      </c>
      <c r="AN481" s="112">
        <f t="shared" ca="1" si="191"/>
        <v>100000</v>
      </c>
      <c r="AO481" s="114">
        <f t="shared" ca="1" si="188"/>
        <v>0</v>
      </c>
      <c r="AP481" s="114">
        <f t="shared" ca="1" si="189"/>
        <v>0</v>
      </c>
      <c r="AR481" s="238">
        <f t="shared" si="192"/>
        <v>481</v>
      </c>
      <c r="CJ481" s="112"/>
      <c r="CK481" s="112"/>
      <c r="CN481" s="112"/>
      <c r="CO481" s="112"/>
      <c r="CP481" s="112"/>
      <c r="CQ481" s="112"/>
      <c r="CR481" s="112"/>
      <c r="CS481" s="112"/>
      <c r="CT481" s="112"/>
      <c r="CU481" s="112"/>
      <c r="CV481" s="112"/>
      <c r="CW481" s="112"/>
      <c r="CX481" s="112"/>
      <c r="CY481" s="112"/>
      <c r="CZ481" s="112"/>
      <c r="DA481" s="112"/>
      <c r="DB481" s="112"/>
      <c r="DC481" s="112"/>
      <c r="DD481" s="112"/>
      <c r="DE481" s="112"/>
      <c r="DF481" s="112"/>
      <c r="DG481" s="112"/>
      <c r="DH481" s="112"/>
      <c r="DI481" s="112"/>
      <c r="DJ481" s="112"/>
      <c r="DK481" s="112"/>
      <c r="DL481" s="112"/>
      <c r="DM481" s="112"/>
      <c r="DN481" s="112"/>
      <c r="DO481" t="e">
        <f t="shared" si="187"/>
        <v>#N/A</v>
      </c>
    </row>
    <row r="482" spans="33:119" x14ac:dyDescent="0.25">
      <c r="AG482" s="238">
        <f>AG481</f>
        <v>112</v>
      </c>
      <c r="AH482" s="112" t="e">
        <f ca="1">AI481+1</f>
        <v>#N/A</v>
      </c>
      <c r="AI482" s="112" t="e">
        <f ca="1">IF(INDIRECT(CONCATENATE("AD",AG480))&lt;100000,INDIRECT(CONCATENATE("AD",AG480))-1,IF(INDIRECT(CONCATENATE("AE",AG480))&lt;100000,INDIRECT(CONCATENATE("AE",G480)),INDIRECT(CONCATENATE("AF",AG480))))</f>
        <v>#N/A</v>
      </c>
      <c r="AJ482" s="114"/>
      <c r="AK482" s="114"/>
      <c r="AL482" s="238" t="e">
        <f t="shared" ca="1" si="190"/>
        <v>#N/A</v>
      </c>
      <c r="AM482" s="112">
        <f t="shared" ca="1" si="186"/>
        <v>100000</v>
      </c>
      <c r="AN482" s="112">
        <f t="shared" ca="1" si="191"/>
        <v>100000</v>
      </c>
      <c r="AO482" s="114">
        <f t="shared" ca="1" si="188"/>
        <v>0</v>
      </c>
      <c r="AP482" s="114">
        <f t="shared" ca="1" si="189"/>
        <v>0</v>
      </c>
      <c r="AR482" s="238">
        <f t="shared" si="192"/>
        <v>482</v>
      </c>
      <c r="CJ482" s="112"/>
      <c r="CK482" s="112"/>
      <c r="CN482" s="112"/>
      <c r="CO482" s="112"/>
      <c r="CP482" s="112"/>
      <c r="CQ482" s="112"/>
      <c r="CR482" s="112"/>
      <c r="CS482" s="112"/>
      <c r="CT482" s="112"/>
      <c r="CU482" s="112"/>
      <c r="CV482" s="112"/>
      <c r="CW482" s="112"/>
      <c r="CX482" s="112"/>
      <c r="CY482" s="112"/>
      <c r="CZ482" s="112"/>
      <c r="DA482" s="112"/>
      <c r="DB482" s="112"/>
      <c r="DC482" s="112"/>
      <c r="DD482" s="112"/>
      <c r="DE482" s="112"/>
      <c r="DF482" s="112"/>
      <c r="DG482" s="112"/>
      <c r="DH482" s="112"/>
      <c r="DI482" s="112"/>
      <c r="DJ482" s="112"/>
      <c r="DK482" s="112"/>
      <c r="DL482" s="112"/>
      <c r="DM482" s="112"/>
      <c r="DN482" s="112"/>
      <c r="DO482" t="e">
        <f t="shared" si="187"/>
        <v>#N/A</v>
      </c>
    </row>
    <row r="483" spans="33:119" x14ac:dyDescent="0.25">
      <c r="AG483" s="238">
        <f>AG482</f>
        <v>112</v>
      </c>
      <c r="AH483" s="112" t="e">
        <f ca="1">AI482+1</f>
        <v>#N/A</v>
      </c>
      <c r="AI483" s="112" t="e">
        <f ca="1">IF(INDIRECT(CONCATENATE("AE",AG480))&lt;100000,INDIRECT(CONCATENATE("AE",G480)),INDIRECT(CONCATENATE("AF",AG480)))</f>
        <v>#N/A</v>
      </c>
      <c r="AJ483" s="114"/>
      <c r="AK483" s="114"/>
      <c r="AL483" s="238" t="e">
        <f t="shared" ca="1" si="190"/>
        <v>#N/A</v>
      </c>
      <c r="AM483" s="112">
        <f t="shared" ca="1" si="186"/>
        <v>100000</v>
      </c>
      <c r="AN483" s="112">
        <f t="shared" ca="1" si="191"/>
        <v>100000</v>
      </c>
      <c r="AO483" s="114">
        <f t="shared" ca="1" si="188"/>
        <v>0</v>
      </c>
      <c r="AP483" s="114">
        <f t="shared" ca="1" si="189"/>
        <v>0</v>
      </c>
      <c r="AR483" s="238">
        <f t="shared" si="192"/>
        <v>483</v>
      </c>
      <c r="CJ483" s="112"/>
      <c r="CK483" s="112"/>
      <c r="CN483" s="112"/>
      <c r="CO483" s="112"/>
      <c r="CP483" s="112"/>
      <c r="CQ483" s="112"/>
      <c r="CR483" s="112"/>
      <c r="CS483" s="112"/>
      <c r="CT483" s="112"/>
      <c r="CU483" s="112"/>
      <c r="CV483" s="112"/>
      <c r="CW483" s="112"/>
      <c r="CX483" s="112"/>
      <c r="CY483" s="112"/>
      <c r="CZ483" s="112"/>
      <c r="DA483" s="112"/>
      <c r="DB483" s="112"/>
      <c r="DC483" s="112"/>
      <c r="DD483" s="112"/>
      <c r="DE483" s="112"/>
      <c r="DF483" s="112"/>
      <c r="DG483" s="112"/>
      <c r="DH483" s="112"/>
      <c r="DI483" s="112"/>
      <c r="DJ483" s="112"/>
      <c r="DK483" s="112"/>
      <c r="DL483" s="112"/>
      <c r="DM483" s="112"/>
      <c r="DN483" s="112"/>
      <c r="DO483" t="e">
        <f t="shared" si="187"/>
        <v>#N/A</v>
      </c>
    </row>
    <row r="484" spans="33:119" x14ac:dyDescent="0.25">
      <c r="AG484" s="238">
        <f>AG483</f>
        <v>112</v>
      </c>
      <c r="AH484" s="112" t="e">
        <f ca="1">AI483+1</f>
        <v>#N/A</v>
      </c>
      <c r="AI484" s="112">
        <f ca="1">INDIRECT(CONCATENATE("AF",AG480))</f>
        <v>100000</v>
      </c>
      <c r="AJ484" s="114"/>
      <c r="AK484" s="114"/>
      <c r="AL484" s="238" t="e">
        <f t="shared" ca="1" si="190"/>
        <v>#N/A</v>
      </c>
      <c r="AM484" s="112">
        <f t="shared" ca="1" si="186"/>
        <v>100000</v>
      </c>
      <c r="AN484" s="112">
        <f t="shared" ca="1" si="191"/>
        <v>100000</v>
      </c>
      <c r="AO484" s="114">
        <f t="shared" ca="1" si="188"/>
        <v>0</v>
      </c>
      <c r="AP484" s="114">
        <f t="shared" ca="1" si="189"/>
        <v>0</v>
      </c>
      <c r="AR484" s="238">
        <f t="shared" si="192"/>
        <v>484</v>
      </c>
      <c r="CJ484" s="112"/>
      <c r="CK484" s="112"/>
      <c r="CN484" s="112"/>
      <c r="CO484" s="112"/>
      <c r="CP484" s="112"/>
      <c r="CQ484" s="112"/>
      <c r="CR484" s="112"/>
      <c r="CS484" s="112"/>
      <c r="CT484" s="112"/>
      <c r="CU484" s="112"/>
      <c r="CV484" s="112"/>
      <c r="CW484" s="112"/>
      <c r="CX484" s="112"/>
      <c r="CY484" s="112"/>
      <c r="CZ484" s="112"/>
      <c r="DA484" s="112"/>
      <c r="DB484" s="112"/>
      <c r="DC484" s="112"/>
      <c r="DD484" s="112"/>
      <c r="DE484" s="112"/>
      <c r="DF484" s="112"/>
      <c r="DG484" s="112"/>
      <c r="DH484" s="112"/>
      <c r="DI484" s="112"/>
      <c r="DJ484" s="112"/>
      <c r="DK484" s="112"/>
      <c r="DL484" s="112"/>
      <c r="DM484" s="112"/>
      <c r="DN484" s="112"/>
      <c r="DO484" t="e">
        <f t="shared" si="187"/>
        <v>#N/A</v>
      </c>
    </row>
    <row r="485" spans="33:119" x14ac:dyDescent="0.25">
      <c r="AG485" s="238">
        <f>AG484+1</f>
        <v>113</v>
      </c>
      <c r="AH485" s="112">
        <f ca="1">INDIRECT(CONCATENATE("AA",AG485))</f>
        <v>100000</v>
      </c>
      <c r="AI485" s="112" t="e">
        <f ca="1">IF(            INDIRECT(CONCATENATE( "AB",AG485))&lt;100000,       INDIRECT(CONCATENATE("AB",AG485))  -1,IF(   INDIRECT(CONCATENATE("AC",AG485))&lt;100000,   INDIRECT(CONCATENATE("AC",AG485))-1,IF(   INDIRECT(CONCATENATE("AD", AG485))&lt;100000, INDIRECT(CONCATENATE("AD",AG485))-1,IF(   INDIRECT(CONCATENATE("AE",AG485))&lt;100000,  INDIRECT(CONCATENATE("AE",G485)),INDIRECT(CONCATENATE("AF",AG485))                ))))</f>
        <v>#N/A</v>
      </c>
      <c r="AJ485" s="114"/>
      <c r="AK485" s="114"/>
      <c r="AL485" s="238" t="e">
        <f t="shared" ca="1" si="190"/>
        <v>#N/A</v>
      </c>
      <c r="AM485" s="112">
        <f t="shared" ca="1" si="186"/>
        <v>100000</v>
      </c>
      <c r="AN485" s="112">
        <f t="shared" ca="1" si="191"/>
        <v>100000</v>
      </c>
      <c r="AO485" s="114">
        <f t="shared" ca="1" si="188"/>
        <v>0</v>
      </c>
      <c r="AP485" s="114">
        <f t="shared" ca="1" si="189"/>
        <v>0</v>
      </c>
      <c r="AR485" s="238">
        <f t="shared" si="192"/>
        <v>485</v>
      </c>
      <c r="CJ485" s="112"/>
      <c r="CK485" s="112"/>
      <c r="CN485" s="112"/>
      <c r="CO485" s="112"/>
      <c r="CP485" s="112"/>
      <c r="CQ485" s="112"/>
      <c r="CR485" s="112"/>
      <c r="CS485" s="112"/>
      <c r="CT485" s="112"/>
      <c r="CU485" s="112"/>
      <c r="CV485" s="112"/>
      <c r="CW485" s="112"/>
      <c r="CX485" s="112"/>
      <c r="CY485" s="112"/>
      <c r="CZ485" s="112"/>
      <c r="DA485" s="112"/>
      <c r="DB485" s="112"/>
      <c r="DC485" s="112"/>
      <c r="DD485" s="112"/>
      <c r="DE485" s="112"/>
      <c r="DF485" s="112"/>
      <c r="DG485" s="112"/>
      <c r="DH485" s="112"/>
      <c r="DI485" s="112"/>
      <c r="DJ485" s="112"/>
      <c r="DK485" s="112"/>
      <c r="DL485" s="112"/>
      <c r="DM485" s="112"/>
      <c r="DN485" s="112"/>
      <c r="DO485" t="e">
        <f t="shared" si="187"/>
        <v>#N/A</v>
      </c>
    </row>
    <row r="486" spans="33:119" x14ac:dyDescent="0.25">
      <c r="AG486" s="238">
        <f>AG485</f>
        <v>113</v>
      </c>
      <c r="AH486" s="112" t="e">
        <f ca="1">AI485+1</f>
        <v>#N/A</v>
      </c>
      <c r="AI486" s="112" t="e">
        <f ca="1">IF(INDIRECT(CONCATENATE("AC",AG485))&lt;100000,INDIRECT(CONCATENATE("AC",AG485))-1,IF(INDIRECT(CONCATENATE("AD",AG485))&lt;100000,INDIRECT(CONCATENATE("AD",AG485))-1,IF(INDIRECT(CONCATENATE("AE",AG485))&lt;100000,INDIRECT(CONCATENATE("AE",G485)),INDIRECT(CONCATENATE("AF",AG485)))))</f>
        <v>#N/A</v>
      </c>
      <c r="AJ486" s="114"/>
      <c r="AK486" s="114"/>
      <c r="AL486" s="238" t="e">
        <f t="shared" ca="1" si="190"/>
        <v>#N/A</v>
      </c>
      <c r="AM486" s="112">
        <f t="shared" ca="1" si="186"/>
        <v>100000</v>
      </c>
      <c r="AN486" s="112">
        <f t="shared" ca="1" si="191"/>
        <v>100000</v>
      </c>
      <c r="AO486" s="114">
        <f t="shared" ca="1" si="188"/>
        <v>0</v>
      </c>
      <c r="AP486" s="114">
        <f t="shared" ca="1" si="189"/>
        <v>0</v>
      </c>
      <c r="AR486" s="238">
        <f t="shared" si="192"/>
        <v>486</v>
      </c>
      <c r="CJ486" s="112"/>
      <c r="CK486" s="112"/>
      <c r="CN486" s="112"/>
      <c r="CO486" s="112"/>
      <c r="CP486" s="112"/>
      <c r="CQ486" s="112"/>
      <c r="CR486" s="112"/>
      <c r="CS486" s="112"/>
      <c r="CT486" s="112"/>
      <c r="CU486" s="112"/>
      <c r="CV486" s="112"/>
      <c r="CW486" s="112"/>
      <c r="CX486" s="112"/>
      <c r="CY486" s="112"/>
      <c r="CZ486" s="112"/>
      <c r="DA486" s="112"/>
      <c r="DB486" s="112"/>
      <c r="DC486" s="112"/>
      <c r="DD486" s="112"/>
      <c r="DE486" s="112"/>
      <c r="DF486" s="112"/>
      <c r="DG486" s="112"/>
      <c r="DH486" s="112"/>
      <c r="DI486" s="112"/>
      <c r="DJ486" s="112"/>
      <c r="DK486" s="112"/>
      <c r="DL486" s="112"/>
      <c r="DM486" s="112"/>
      <c r="DN486" s="112"/>
      <c r="DO486" t="e">
        <f t="shared" si="187"/>
        <v>#N/A</v>
      </c>
    </row>
    <row r="487" spans="33:119" x14ac:dyDescent="0.25">
      <c r="AG487" s="238">
        <f>AG486</f>
        <v>113</v>
      </c>
      <c r="AH487" s="112" t="e">
        <f ca="1">AI486+1</f>
        <v>#N/A</v>
      </c>
      <c r="AI487" s="112" t="e">
        <f ca="1">IF(INDIRECT(CONCATENATE("AD",AG485))&lt;100000,INDIRECT(CONCATENATE("AD",AG485))-1,IF(INDIRECT(CONCATENATE("AE",AG485))&lt;100000,INDIRECT(CONCATENATE("AE",G485)),INDIRECT(CONCATENATE("AF",AG485))))</f>
        <v>#N/A</v>
      </c>
      <c r="AJ487" s="114"/>
      <c r="AK487" s="114"/>
      <c r="AL487" s="238" t="e">
        <f t="shared" ca="1" si="190"/>
        <v>#N/A</v>
      </c>
      <c r="AM487" s="112">
        <f t="shared" ca="1" si="186"/>
        <v>100000</v>
      </c>
      <c r="AN487" s="112">
        <f t="shared" ca="1" si="191"/>
        <v>100000</v>
      </c>
      <c r="AO487" s="114">
        <f t="shared" ca="1" si="188"/>
        <v>0</v>
      </c>
      <c r="AP487" s="114">
        <f t="shared" ca="1" si="189"/>
        <v>0</v>
      </c>
      <c r="AR487" s="238">
        <f t="shared" si="192"/>
        <v>487</v>
      </c>
      <c r="CJ487" s="112"/>
      <c r="CK487" s="112"/>
      <c r="CN487" s="112"/>
      <c r="CO487" s="112"/>
      <c r="CP487" s="112"/>
      <c r="CQ487" s="112"/>
      <c r="CR487" s="112"/>
      <c r="CS487" s="112"/>
      <c r="CT487" s="112"/>
      <c r="CU487" s="112"/>
      <c r="CV487" s="112"/>
      <c r="CW487" s="112"/>
      <c r="CX487" s="112"/>
      <c r="CY487" s="112"/>
      <c r="CZ487" s="112"/>
      <c r="DA487" s="112"/>
      <c r="DB487" s="112"/>
      <c r="DC487" s="112"/>
      <c r="DD487" s="112"/>
      <c r="DE487" s="112"/>
      <c r="DF487" s="112"/>
      <c r="DG487" s="112"/>
      <c r="DH487" s="112"/>
      <c r="DI487" s="112"/>
      <c r="DJ487" s="112"/>
      <c r="DK487" s="112"/>
      <c r="DL487" s="112"/>
      <c r="DM487" s="112"/>
      <c r="DN487" s="112"/>
      <c r="DO487" t="e">
        <f t="shared" si="187"/>
        <v>#N/A</v>
      </c>
    </row>
    <row r="488" spans="33:119" x14ac:dyDescent="0.25">
      <c r="AG488" s="238">
        <f>AG487</f>
        <v>113</v>
      </c>
      <c r="AH488" s="112" t="e">
        <f ca="1">AI487+1</f>
        <v>#N/A</v>
      </c>
      <c r="AI488" s="112" t="e">
        <f ca="1">IF(INDIRECT(CONCATENATE("AE",AG485))&lt;100000,INDIRECT(CONCATENATE("AE",G485)),INDIRECT(CONCATENATE("AF",AG485)))</f>
        <v>#N/A</v>
      </c>
      <c r="AJ488" s="114"/>
      <c r="AK488" s="114"/>
      <c r="AL488" s="238" t="e">
        <f t="shared" ca="1" si="190"/>
        <v>#N/A</v>
      </c>
      <c r="AM488" s="112">
        <f t="shared" ca="1" si="186"/>
        <v>100000</v>
      </c>
      <c r="AN488" s="112">
        <f t="shared" ca="1" si="191"/>
        <v>100000</v>
      </c>
      <c r="AO488" s="114">
        <f t="shared" ca="1" si="188"/>
        <v>0</v>
      </c>
      <c r="AP488" s="114">
        <f t="shared" ca="1" si="189"/>
        <v>0</v>
      </c>
      <c r="AR488" s="238">
        <f t="shared" si="192"/>
        <v>488</v>
      </c>
      <c r="CJ488" s="112"/>
      <c r="CK488" s="112"/>
      <c r="CN488" s="112"/>
      <c r="CO488" s="112"/>
      <c r="CP488" s="112"/>
      <c r="CQ488" s="112"/>
      <c r="CR488" s="112"/>
      <c r="CS488" s="112"/>
      <c r="CT488" s="112"/>
      <c r="CU488" s="112"/>
      <c r="CV488" s="112"/>
      <c r="CW488" s="112"/>
      <c r="CX488" s="112"/>
      <c r="CY488" s="112"/>
      <c r="CZ488" s="112"/>
      <c r="DA488" s="112"/>
      <c r="DB488" s="112"/>
      <c r="DC488" s="112"/>
      <c r="DD488" s="112"/>
      <c r="DE488" s="112"/>
      <c r="DF488" s="112"/>
      <c r="DG488" s="112"/>
      <c r="DH488" s="112"/>
      <c r="DI488" s="112"/>
      <c r="DJ488" s="112"/>
      <c r="DK488" s="112"/>
      <c r="DL488" s="112"/>
      <c r="DM488" s="112"/>
      <c r="DN488" s="112"/>
      <c r="DO488" t="e">
        <f t="shared" si="187"/>
        <v>#N/A</v>
      </c>
    </row>
    <row r="489" spans="33:119" x14ac:dyDescent="0.25">
      <c r="AG489" s="238">
        <f>AG488</f>
        <v>113</v>
      </c>
      <c r="AH489" s="112" t="e">
        <f ca="1">AI488+1</f>
        <v>#N/A</v>
      </c>
      <c r="AI489" s="112">
        <f ca="1">INDIRECT(CONCATENATE("AF",AG485))</f>
        <v>100000</v>
      </c>
      <c r="AJ489" s="114"/>
      <c r="AK489" s="114"/>
      <c r="AL489" s="238" t="e">
        <f t="shared" ca="1" si="190"/>
        <v>#N/A</v>
      </c>
      <c r="AM489" s="112">
        <f t="shared" ref="AM489:AM552" ca="1" si="193">IF(TYPE(AL489)=16,100000,IF(AL489=0,100000,AH489))</f>
        <v>100000</v>
      </c>
      <c r="AN489" s="112">
        <f t="shared" ca="1" si="191"/>
        <v>100000</v>
      </c>
      <c r="AO489" s="114">
        <f t="shared" ca="1" si="188"/>
        <v>0</v>
      </c>
      <c r="AP489" s="114">
        <f t="shared" ca="1" si="189"/>
        <v>0</v>
      </c>
      <c r="AR489" s="238">
        <f t="shared" si="192"/>
        <v>489</v>
      </c>
      <c r="CJ489" s="112"/>
      <c r="CK489" s="112"/>
      <c r="CN489" s="112"/>
      <c r="CO489" s="112"/>
      <c r="CP489" s="112"/>
      <c r="CQ489" s="112"/>
      <c r="CR489" s="112"/>
      <c r="CS489" s="112"/>
      <c r="CT489" s="112"/>
      <c r="CU489" s="112"/>
      <c r="CV489" s="112"/>
      <c r="CW489" s="112"/>
      <c r="CX489" s="112"/>
      <c r="CY489" s="112"/>
      <c r="CZ489" s="112"/>
      <c r="DA489" s="112"/>
      <c r="DB489" s="112"/>
      <c r="DC489" s="112"/>
      <c r="DD489" s="112"/>
      <c r="DE489" s="112"/>
      <c r="DF489" s="112"/>
      <c r="DG489" s="112"/>
      <c r="DH489" s="112"/>
      <c r="DI489" s="112"/>
      <c r="DJ489" s="112"/>
      <c r="DK489" s="112"/>
      <c r="DL489" s="112"/>
      <c r="DM489" s="112"/>
      <c r="DN489" s="112"/>
      <c r="DO489" t="e">
        <f t="shared" si="187"/>
        <v>#N/A</v>
      </c>
    </row>
    <row r="490" spans="33:119" x14ac:dyDescent="0.25">
      <c r="AG490" s="238">
        <f>AG489+1</f>
        <v>114</v>
      </c>
      <c r="AH490" s="112">
        <f ca="1">INDIRECT(CONCATENATE("AA",AG490))</f>
        <v>100000</v>
      </c>
      <c r="AI490" s="112" t="e">
        <f ca="1">IF(            INDIRECT(CONCATENATE( "AB",AG490))&lt;100000,       INDIRECT(CONCATENATE("AB",AG490))  -1,IF(   INDIRECT(CONCATENATE("AC",AG490))&lt;100000,   INDIRECT(CONCATENATE("AC",AG490))-1,IF(   INDIRECT(CONCATENATE("AD", AG490))&lt;100000, INDIRECT(CONCATENATE("AD",AG490))-1,IF(   INDIRECT(CONCATENATE("AE",AG490))&lt;100000,  INDIRECT(CONCATENATE("AE",G490)),INDIRECT(CONCATENATE("AF",AG490))                ))))</f>
        <v>#N/A</v>
      </c>
      <c r="AJ490" s="114"/>
      <c r="AK490" s="114"/>
      <c r="AL490" s="238" t="e">
        <f t="shared" ca="1" si="190"/>
        <v>#N/A</v>
      </c>
      <c r="AM490" s="112">
        <f t="shared" ca="1" si="193"/>
        <v>100000</v>
      </c>
      <c r="AN490" s="112">
        <f t="shared" ca="1" si="191"/>
        <v>100000</v>
      </c>
      <c r="AO490" s="114">
        <f t="shared" ca="1" si="188"/>
        <v>0</v>
      </c>
      <c r="AP490" s="114">
        <f t="shared" ca="1" si="189"/>
        <v>0</v>
      </c>
      <c r="AR490" s="238">
        <f t="shared" si="192"/>
        <v>490</v>
      </c>
      <c r="CJ490" s="112"/>
      <c r="CK490" s="112"/>
      <c r="CO490" s="112"/>
      <c r="CP490" s="112"/>
      <c r="CQ490" s="112"/>
      <c r="CR490" s="112"/>
      <c r="CS490" s="112"/>
      <c r="CT490" s="112"/>
      <c r="CU490" s="112"/>
      <c r="CV490" s="112"/>
      <c r="CW490" s="112"/>
      <c r="CX490" s="112"/>
      <c r="CY490" s="112"/>
      <c r="CZ490" s="112"/>
      <c r="DA490" s="112"/>
      <c r="DB490" s="112"/>
      <c r="DC490" s="112"/>
      <c r="DD490" s="112"/>
      <c r="DE490" s="112"/>
      <c r="DF490" s="112"/>
      <c r="DG490" s="112"/>
      <c r="DH490" s="112"/>
      <c r="DI490" s="112"/>
      <c r="DJ490" s="112"/>
      <c r="DK490" s="112"/>
      <c r="DL490" s="112"/>
      <c r="DM490" s="112"/>
      <c r="DN490" s="112"/>
      <c r="DO490" t="e">
        <f t="shared" si="187"/>
        <v>#N/A</v>
      </c>
    </row>
    <row r="491" spans="33:119" x14ac:dyDescent="0.25">
      <c r="AG491" s="238">
        <f>AG490</f>
        <v>114</v>
      </c>
      <c r="AH491" s="112" t="e">
        <f ca="1">AI490+1</f>
        <v>#N/A</v>
      </c>
      <c r="AI491" s="112" t="e">
        <f ca="1">IF(INDIRECT(CONCATENATE("AC",AG490))&lt;100000,INDIRECT(CONCATENATE("AC",AG490))-1,IF(INDIRECT(CONCATENATE("AD",AG490))&lt;100000,INDIRECT(CONCATENATE("AD",AG490))-1,IF(INDIRECT(CONCATENATE("AE",AG490))&lt;100000,INDIRECT(CONCATENATE("AE",G490)),INDIRECT(CONCATENATE("AF",AG490)))))</f>
        <v>#N/A</v>
      </c>
      <c r="AJ491" s="114"/>
      <c r="AK491" s="114"/>
      <c r="AL491" s="238" t="e">
        <f t="shared" ca="1" si="190"/>
        <v>#N/A</v>
      </c>
      <c r="AM491" s="112">
        <f t="shared" ca="1" si="193"/>
        <v>100000</v>
      </c>
      <c r="AN491" s="112">
        <f t="shared" ca="1" si="191"/>
        <v>100000</v>
      </c>
      <c r="AO491" s="114">
        <f t="shared" ca="1" si="188"/>
        <v>0</v>
      </c>
      <c r="AP491" s="114">
        <f t="shared" ca="1" si="189"/>
        <v>0</v>
      </c>
      <c r="AR491" s="238">
        <f t="shared" si="192"/>
        <v>491</v>
      </c>
      <c r="CJ491" s="112"/>
      <c r="CK491" s="112"/>
      <c r="CO491" s="112"/>
      <c r="CP491" s="112"/>
      <c r="CQ491" s="112"/>
      <c r="CR491" s="112"/>
      <c r="CS491" s="112"/>
      <c r="CT491" s="112"/>
      <c r="CU491" s="112"/>
      <c r="CV491" s="112"/>
      <c r="CW491" s="112"/>
      <c r="CX491" s="112"/>
      <c r="CY491" s="112"/>
      <c r="CZ491" s="112"/>
      <c r="DA491" s="112"/>
      <c r="DB491" s="112"/>
      <c r="DC491" s="112"/>
      <c r="DD491" s="112"/>
      <c r="DE491" s="112"/>
      <c r="DF491" s="112"/>
      <c r="DG491" s="112"/>
      <c r="DH491" s="112"/>
      <c r="DI491" s="112"/>
      <c r="DJ491" s="112"/>
      <c r="DK491" s="112"/>
      <c r="DL491" s="112"/>
      <c r="DM491" s="112"/>
      <c r="DN491" s="112"/>
      <c r="DO491" t="e">
        <f t="shared" si="187"/>
        <v>#N/A</v>
      </c>
    </row>
    <row r="492" spans="33:119" x14ac:dyDescent="0.25">
      <c r="AG492" s="238">
        <f>AG491</f>
        <v>114</v>
      </c>
      <c r="AH492" s="112" t="e">
        <f ca="1">AI491+1</f>
        <v>#N/A</v>
      </c>
      <c r="AI492" s="112" t="e">
        <f ca="1">IF(INDIRECT(CONCATENATE("AD",AG490))&lt;100000,INDIRECT(CONCATENATE("AD",AG490))-1,IF(INDIRECT(CONCATENATE("AE",AG490))&lt;100000,INDIRECT(CONCATENATE("AE",G490)),INDIRECT(CONCATENATE("AF",AG490))))</f>
        <v>#N/A</v>
      </c>
      <c r="AJ492" s="114"/>
      <c r="AK492" s="114"/>
      <c r="AL492" s="238" t="e">
        <f t="shared" ca="1" si="190"/>
        <v>#N/A</v>
      </c>
      <c r="AM492" s="112">
        <f t="shared" ca="1" si="193"/>
        <v>100000</v>
      </c>
      <c r="AN492" s="112">
        <f t="shared" ca="1" si="191"/>
        <v>100000</v>
      </c>
      <c r="AO492" s="114">
        <f t="shared" ca="1" si="188"/>
        <v>0</v>
      </c>
      <c r="AP492" s="114">
        <f t="shared" ca="1" si="189"/>
        <v>0</v>
      </c>
      <c r="AR492" s="238">
        <f t="shared" si="192"/>
        <v>492</v>
      </c>
      <c r="CJ492" s="112"/>
      <c r="CK492" s="112"/>
      <c r="CO492" s="112"/>
      <c r="CP492" s="112"/>
      <c r="CQ492" s="112"/>
      <c r="CR492" s="112"/>
      <c r="CS492" s="112"/>
      <c r="CT492" s="112"/>
      <c r="CU492" s="112"/>
      <c r="CV492" s="112"/>
      <c r="CW492" s="112"/>
      <c r="CX492" s="112"/>
      <c r="CY492" s="112"/>
      <c r="CZ492" s="112"/>
      <c r="DA492" s="112"/>
      <c r="DB492" s="112"/>
      <c r="DC492" s="112"/>
      <c r="DD492" s="112"/>
      <c r="DE492" s="112"/>
      <c r="DF492" s="112"/>
      <c r="DG492" s="112"/>
      <c r="DH492" s="112"/>
      <c r="DI492" s="112"/>
      <c r="DJ492" s="112"/>
      <c r="DK492" s="112"/>
      <c r="DL492" s="112"/>
      <c r="DM492" s="112"/>
      <c r="DN492" s="112"/>
      <c r="DO492" t="e">
        <f t="shared" si="187"/>
        <v>#N/A</v>
      </c>
    </row>
    <row r="493" spans="33:119" x14ac:dyDescent="0.25">
      <c r="AG493" s="238">
        <f>AG492</f>
        <v>114</v>
      </c>
      <c r="AH493" s="112" t="e">
        <f ca="1">AI492+1</f>
        <v>#N/A</v>
      </c>
      <c r="AI493" s="112" t="e">
        <f ca="1">IF(INDIRECT(CONCATENATE("AE",AG490))&lt;100000,INDIRECT(CONCATENATE("AE",G490)),INDIRECT(CONCATENATE("AF",AG490)))</f>
        <v>#N/A</v>
      </c>
      <c r="AJ493" s="114"/>
      <c r="AK493" s="114"/>
      <c r="AL493" s="238" t="e">
        <f t="shared" ca="1" si="190"/>
        <v>#N/A</v>
      </c>
      <c r="AM493" s="112">
        <f t="shared" ca="1" si="193"/>
        <v>100000</v>
      </c>
      <c r="AN493" s="112">
        <f t="shared" ca="1" si="191"/>
        <v>100000</v>
      </c>
      <c r="AO493" s="114">
        <f t="shared" ca="1" si="188"/>
        <v>0</v>
      </c>
      <c r="AP493" s="114">
        <f t="shared" ca="1" si="189"/>
        <v>0</v>
      </c>
      <c r="AR493" s="238">
        <f t="shared" si="192"/>
        <v>493</v>
      </c>
      <c r="CJ493" s="112"/>
      <c r="CK493" s="112"/>
      <c r="CO493" s="112"/>
      <c r="CP493" s="112"/>
      <c r="CQ493" s="112"/>
      <c r="CR493" s="112"/>
      <c r="CS493" s="112"/>
      <c r="CT493" s="112"/>
      <c r="CU493" s="112"/>
      <c r="CV493" s="112"/>
      <c r="CW493" s="112"/>
      <c r="CX493" s="112"/>
      <c r="CY493" s="112"/>
      <c r="CZ493" s="112"/>
      <c r="DA493" s="112"/>
      <c r="DB493" s="112"/>
      <c r="DC493" s="112"/>
      <c r="DD493" s="112"/>
      <c r="DE493" s="112"/>
      <c r="DF493" s="112"/>
      <c r="DG493" s="112"/>
      <c r="DH493" s="112"/>
      <c r="DI493" s="112"/>
      <c r="DJ493" s="112"/>
      <c r="DK493" s="112"/>
      <c r="DL493" s="112"/>
      <c r="DM493" s="112"/>
      <c r="DN493" s="112"/>
      <c r="DO493" t="e">
        <f t="shared" si="187"/>
        <v>#N/A</v>
      </c>
    </row>
    <row r="494" spans="33:119" x14ac:dyDescent="0.25">
      <c r="AG494" s="238">
        <f>AG493</f>
        <v>114</v>
      </c>
      <c r="AH494" s="112" t="e">
        <f ca="1">AI493+1</f>
        <v>#N/A</v>
      </c>
      <c r="AI494" s="112">
        <f ca="1">INDIRECT(CONCATENATE("AF",AG490))</f>
        <v>100000</v>
      </c>
      <c r="AJ494" s="114"/>
      <c r="AK494" s="114"/>
      <c r="AL494" s="238" t="e">
        <f t="shared" ca="1" si="190"/>
        <v>#N/A</v>
      </c>
      <c r="AM494" s="112">
        <f t="shared" ca="1" si="193"/>
        <v>100000</v>
      </c>
      <c r="AN494" s="112">
        <f t="shared" ca="1" si="191"/>
        <v>100000</v>
      </c>
      <c r="AO494" s="114">
        <f t="shared" ca="1" si="188"/>
        <v>0</v>
      </c>
      <c r="AP494" s="114">
        <f t="shared" ca="1" si="189"/>
        <v>0</v>
      </c>
      <c r="AR494" s="238">
        <f t="shared" si="192"/>
        <v>494</v>
      </c>
      <c r="CJ494" s="112"/>
      <c r="CK494" s="112"/>
      <c r="CO494" s="112"/>
      <c r="CP494" s="112"/>
      <c r="CQ494" s="112"/>
      <c r="CR494" s="112"/>
      <c r="CS494" s="112"/>
      <c r="CT494" s="112"/>
      <c r="CU494" s="112"/>
      <c r="CV494" s="112"/>
      <c r="CW494" s="112"/>
      <c r="CX494" s="112"/>
      <c r="CY494" s="112"/>
      <c r="CZ494" s="112"/>
      <c r="DA494" s="112"/>
      <c r="DB494" s="112"/>
      <c r="DC494" s="112"/>
      <c r="DD494" s="112"/>
      <c r="DE494" s="112"/>
      <c r="DF494" s="112"/>
      <c r="DG494" s="112"/>
      <c r="DH494" s="112"/>
      <c r="DI494" s="112"/>
      <c r="DJ494" s="112"/>
      <c r="DK494" s="112"/>
      <c r="DL494" s="112"/>
      <c r="DM494" s="112"/>
      <c r="DN494" s="112"/>
      <c r="DO494" t="e">
        <f t="shared" si="187"/>
        <v>#N/A</v>
      </c>
    </row>
    <row r="495" spans="33:119" x14ac:dyDescent="0.25">
      <c r="AG495" s="238">
        <f>AG494+1</f>
        <v>115</v>
      </c>
      <c r="AH495" s="112">
        <f ca="1">INDIRECT(CONCATENATE("AA",AG495))</f>
        <v>100000</v>
      </c>
      <c r="AI495" s="112" t="e">
        <f ca="1">IF(            INDIRECT(CONCATENATE( "AB",AG495))&lt;100000,       INDIRECT(CONCATENATE("AB",AG495))  -1,IF(   INDIRECT(CONCATENATE("AC",AG495))&lt;100000,   INDIRECT(CONCATENATE("AC",AG495))-1,IF(   INDIRECT(CONCATENATE("AD", AG495))&lt;100000, INDIRECT(CONCATENATE("AD",AG495))-1,IF(   INDIRECT(CONCATENATE("AE",AG495))&lt;100000,  INDIRECT(CONCATENATE("AE",G495)),INDIRECT(CONCATENATE("AF",AG495))                ))))</f>
        <v>#N/A</v>
      </c>
      <c r="AJ495" s="114"/>
      <c r="AK495" s="114"/>
      <c r="AL495" s="238" t="e">
        <f t="shared" ca="1" si="190"/>
        <v>#N/A</v>
      </c>
      <c r="AM495" s="112">
        <f t="shared" ca="1" si="193"/>
        <v>100000</v>
      </c>
      <c r="AN495" s="112">
        <f t="shared" ca="1" si="191"/>
        <v>100000</v>
      </c>
      <c r="AO495" s="114">
        <f t="shared" ca="1" si="188"/>
        <v>0</v>
      </c>
      <c r="AP495" s="114">
        <f t="shared" ca="1" si="189"/>
        <v>0</v>
      </c>
      <c r="AR495" s="238">
        <f t="shared" si="192"/>
        <v>495</v>
      </c>
      <c r="CJ495" s="112"/>
      <c r="CK495" s="112"/>
      <c r="CO495" s="112"/>
      <c r="CP495" s="112"/>
      <c r="CQ495" s="112"/>
      <c r="CR495" s="112"/>
      <c r="CS495" s="112"/>
      <c r="CT495" s="112"/>
      <c r="CU495" s="112"/>
      <c r="CV495" s="112"/>
      <c r="CW495" s="112"/>
      <c r="CX495" s="112"/>
      <c r="CY495" s="112"/>
      <c r="CZ495" s="112"/>
      <c r="DA495" s="112"/>
      <c r="DB495" s="112"/>
      <c r="DC495" s="112"/>
      <c r="DD495" s="112"/>
      <c r="DE495" s="112"/>
      <c r="DF495" s="112"/>
      <c r="DG495" s="112"/>
      <c r="DH495" s="112"/>
      <c r="DI495" s="112"/>
      <c r="DJ495" s="112"/>
      <c r="DK495" s="112"/>
      <c r="DL495" s="112"/>
      <c r="DM495" s="112"/>
      <c r="DN495" s="112"/>
      <c r="DO495" t="e">
        <f t="shared" si="187"/>
        <v>#N/A</v>
      </c>
    </row>
    <row r="496" spans="33:119" x14ac:dyDescent="0.25">
      <c r="AG496" s="238">
        <f>AG495</f>
        <v>115</v>
      </c>
      <c r="AH496" s="112" t="e">
        <f ca="1">AI495+1</f>
        <v>#N/A</v>
      </c>
      <c r="AI496" s="112" t="e">
        <f ca="1">IF(INDIRECT(CONCATENATE("AC",AG495))&lt;100000,INDIRECT(CONCATENATE("AC",AG495))-1,IF(INDIRECT(CONCATENATE("AD",AG495))&lt;100000,INDIRECT(CONCATENATE("AD",AG495))-1,IF(INDIRECT(CONCATENATE("AE",AG495))&lt;100000,INDIRECT(CONCATENATE("AE",G495)),INDIRECT(CONCATENATE("AF",AG495)))))</f>
        <v>#N/A</v>
      </c>
      <c r="AJ496" s="114"/>
      <c r="AK496" s="114"/>
      <c r="AL496" s="238" t="e">
        <f t="shared" ca="1" si="190"/>
        <v>#N/A</v>
      </c>
      <c r="AM496" s="112">
        <f t="shared" ca="1" si="193"/>
        <v>100000</v>
      </c>
      <c r="AN496" s="112">
        <f t="shared" ca="1" si="191"/>
        <v>100000</v>
      </c>
      <c r="AO496" s="114">
        <f t="shared" ca="1" si="188"/>
        <v>0</v>
      </c>
      <c r="AP496" s="114">
        <f t="shared" ca="1" si="189"/>
        <v>0</v>
      </c>
      <c r="AR496" s="238">
        <f t="shared" si="192"/>
        <v>496</v>
      </c>
      <c r="CJ496" s="112"/>
      <c r="CK496" s="112"/>
      <c r="DO496" t="e">
        <f t="shared" si="187"/>
        <v>#N/A</v>
      </c>
    </row>
    <row r="497" spans="33:89" x14ac:dyDescent="0.25">
      <c r="AG497" s="238">
        <f>AG496</f>
        <v>115</v>
      </c>
      <c r="AH497" s="112" t="e">
        <f ca="1">AI496+1</f>
        <v>#N/A</v>
      </c>
      <c r="AI497" s="112" t="e">
        <f ca="1">IF(INDIRECT(CONCATENATE("AD",AG495))&lt;100000,INDIRECT(CONCATENATE("AD",AG495))-1,IF(INDIRECT(CONCATENATE("AE",AG495))&lt;100000,INDIRECT(CONCATENATE("AE",G495)),INDIRECT(CONCATENATE("AF",AG495))))</f>
        <v>#N/A</v>
      </c>
      <c r="AJ497" s="114"/>
      <c r="AK497" s="114"/>
      <c r="AL497" s="238" t="e">
        <f t="shared" ca="1" si="190"/>
        <v>#N/A</v>
      </c>
      <c r="AM497" s="112">
        <f t="shared" ca="1" si="193"/>
        <v>100000</v>
      </c>
      <c r="AN497" s="112">
        <f t="shared" ca="1" si="191"/>
        <v>100000</v>
      </c>
      <c r="AO497" s="114">
        <f t="shared" ca="1" si="188"/>
        <v>0</v>
      </c>
      <c r="AP497" s="114">
        <f t="shared" ca="1" si="189"/>
        <v>0</v>
      </c>
      <c r="AR497" s="238">
        <f t="shared" si="192"/>
        <v>497</v>
      </c>
      <c r="CJ497" s="112"/>
      <c r="CK497" s="112"/>
    </row>
    <row r="498" spans="33:89" x14ac:dyDescent="0.25">
      <c r="AG498" s="238">
        <f>AG497</f>
        <v>115</v>
      </c>
      <c r="AH498" s="112" t="e">
        <f ca="1">AI497+1</f>
        <v>#N/A</v>
      </c>
      <c r="AI498" s="112" t="e">
        <f ca="1">IF(INDIRECT(CONCATENATE("AE",AG495))&lt;100000,INDIRECT(CONCATENATE("AE",G495)),INDIRECT(CONCATENATE("AF",AG495)))</f>
        <v>#N/A</v>
      </c>
      <c r="AJ498" s="114"/>
      <c r="AK498" s="114"/>
      <c r="AL498" s="238" t="e">
        <f t="shared" ca="1" si="190"/>
        <v>#N/A</v>
      </c>
      <c r="AM498" s="112">
        <f t="shared" ca="1" si="193"/>
        <v>100000</v>
      </c>
      <c r="AN498" s="112">
        <f t="shared" ca="1" si="191"/>
        <v>100000</v>
      </c>
      <c r="AO498" s="114">
        <f t="shared" ca="1" si="188"/>
        <v>0</v>
      </c>
      <c r="AP498" s="114">
        <f t="shared" ca="1" si="189"/>
        <v>0</v>
      </c>
      <c r="AR498" s="238">
        <f t="shared" si="192"/>
        <v>498</v>
      </c>
      <c r="CJ498" s="112"/>
      <c r="CK498" s="112"/>
    </row>
    <row r="499" spans="33:89" x14ac:dyDescent="0.25">
      <c r="AG499" s="238">
        <f>AG498</f>
        <v>115</v>
      </c>
      <c r="AH499" s="112" t="e">
        <f ca="1">AI498+1</f>
        <v>#N/A</v>
      </c>
      <c r="AI499" s="112">
        <f ca="1">INDIRECT(CONCATENATE("AF",AG495))</f>
        <v>100000</v>
      </c>
      <c r="AJ499" s="114"/>
      <c r="AK499" s="114"/>
      <c r="AL499" s="238" t="e">
        <f t="shared" ca="1" si="190"/>
        <v>#N/A</v>
      </c>
      <c r="AM499" s="112">
        <f t="shared" ca="1" si="193"/>
        <v>100000</v>
      </c>
      <c r="AN499" s="112">
        <f t="shared" ca="1" si="191"/>
        <v>100000</v>
      </c>
      <c r="AO499" s="114">
        <f t="shared" ca="1" si="188"/>
        <v>0</v>
      </c>
      <c r="AP499" s="114">
        <f t="shared" ca="1" si="189"/>
        <v>0</v>
      </c>
      <c r="AR499" s="238">
        <f t="shared" si="192"/>
        <v>499</v>
      </c>
      <c r="CJ499" s="112"/>
      <c r="CK499" s="112"/>
    </row>
    <row r="500" spans="33:89" x14ac:dyDescent="0.25">
      <c r="AG500" s="238">
        <f>AG499+1</f>
        <v>116</v>
      </c>
      <c r="AH500" s="112">
        <f ca="1">INDIRECT(CONCATENATE("AA",AG500))</f>
        <v>100000</v>
      </c>
      <c r="AI500" s="112" t="e">
        <f ca="1">IF(            INDIRECT(CONCATENATE( "AB",AG500))&lt;100000,       INDIRECT(CONCATENATE("AB",AG500))  -1,IF(   INDIRECT(CONCATENATE("AC",AG500))&lt;100000,   INDIRECT(CONCATENATE("AC",AG500))-1,IF(   INDIRECT(CONCATENATE("AD", AG500))&lt;100000, INDIRECT(CONCATENATE("AD",AG500))-1,IF(   INDIRECT(CONCATENATE("AE",AG500))&lt;100000,  INDIRECT(CONCATENATE("AE",G500)),INDIRECT(CONCATENATE("AF",AG500))                ))))</f>
        <v>#N/A</v>
      </c>
      <c r="AJ500" s="114"/>
      <c r="AK500" s="114"/>
      <c r="AL500" s="238" t="e">
        <f t="shared" ca="1" si="190"/>
        <v>#N/A</v>
      </c>
      <c r="AM500" s="112">
        <f t="shared" ca="1" si="193"/>
        <v>100000</v>
      </c>
      <c r="AN500" s="112">
        <f t="shared" ca="1" si="191"/>
        <v>100000</v>
      </c>
      <c r="AO500" s="114">
        <f t="shared" ca="1" si="188"/>
        <v>0</v>
      </c>
      <c r="AP500" s="114">
        <f t="shared" ca="1" si="189"/>
        <v>0</v>
      </c>
      <c r="AR500" s="238">
        <f t="shared" si="192"/>
        <v>500</v>
      </c>
      <c r="CJ500" s="112"/>
      <c r="CK500" s="112"/>
    </row>
    <row r="501" spans="33:89" x14ac:dyDescent="0.25">
      <c r="AG501" s="238">
        <f>AG500</f>
        <v>116</v>
      </c>
      <c r="AH501" s="112" t="e">
        <f ca="1">AI500+1</f>
        <v>#N/A</v>
      </c>
      <c r="AI501" s="112" t="e">
        <f ca="1">IF(INDIRECT(CONCATENATE("AC",AG500))&lt;100000,INDIRECT(CONCATENATE("AC",AG500))-1,IF(INDIRECT(CONCATENATE("AD",AG500))&lt;100000,INDIRECT(CONCATENATE("AD",AG500))-1,IF(INDIRECT(CONCATENATE("AE",AG500))&lt;100000,INDIRECT(CONCATENATE("AE",G500)),INDIRECT(CONCATENATE("AF",AG500)))))</f>
        <v>#N/A</v>
      </c>
      <c r="AJ501" s="114"/>
      <c r="AK501" s="114"/>
      <c r="AL501" s="238" t="e">
        <f t="shared" ca="1" si="190"/>
        <v>#N/A</v>
      </c>
      <c r="AM501" s="112">
        <f t="shared" ca="1" si="193"/>
        <v>100000</v>
      </c>
      <c r="AN501" s="112">
        <f t="shared" ca="1" si="191"/>
        <v>100000</v>
      </c>
      <c r="AO501" s="114">
        <f t="shared" ca="1" si="188"/>
        <v>0</v>
      </c>
      <c r="AP501" s="114">
        <f t="shared" ca="1" si="189"/>
        <v>0</v>
      </c>
      <c r="AR501" s="238">
        <f t="shared" si="192"/>
        <v>501</v>
      </c>
      <c r="CJ501" s="112"/>
      <c r="CK501" s="112"/>
    </row>
    <row r="502" spans="33:89" x14ac:dyDescent="0.25">
      <c r="AG502" s="238">
        <f>AG501</f>
        <v>116</v>
      </c>
      <c r="AH502" s="112" t="e">
        <f ca="1">AI501+1</f>
        <v>#N/A</v>
      </c>
      <c r="AI502" s="112" t="e">
        <f ca="1">IF(INDIRECT(CONCATENATE("AD",AG500))&lt;100000,INDIRECT(CONCATENATE("AD",AG500))-1,IF(INDIRECT(CONCATENATE("AE",AG500))&lt;100000,INDIRECT(CONCATENATE("AE",G500)),INDIRECT(CONCATENATE("AF",AG500))))</f>
        <v>#N/A</v>
      </c>
      <c r="AJ502" s="114"/>
      <c r="AK502" s="114"/>
      <c r="AL502" s="238" t="e">
        <f t="shared" ca="1" si="190"/>
        <v>#N/A</v>
      </c>
      <c r="AM502" s="112">
        <f t="shared" ca="1" si="193"/>
        <v>100000</v>
      </c>
      <c r="AN502" s="112">
        <f t="shared" ca="1" si="191"/>
        <v>100000</v>
      </c>
      <c r="AO502" s="114">
        <f t="shared" ca="1" si="188"/>
        <v>0</v>
      </c>
      <c r="AP502" s="114">
        <f t="shared" ca="1" si="189"/>
        <v>0</v>
      </c>
      <c r="AR502" s="238">
        <f t="shared" si="192"/>
        <v>502</v>
      </c>
      <c r="CJ502" s="112"/>
      <c r="CK502" s="112"/>
    </row>
    <row r="503" spans="33:89" x14ac:dyDescent="0.25">
      <c r="AG503" s="238">
        <f>AG502</f>
        <v>116</v>
      </c>
      <c r="AH503" s="112" t="e">
        <f ca="1">AI502+1</f>
        <v>#N/A</v>
      </c>
      <c r="AI503" s="112" t="e">
        <f ca="1">IF(INDIRECT(CONCATENATE("AE",AG500))&lt;100000,INDIRECT(CONCATENATE("AE",G500)),INDIRECT(CONCATENATE("AF",AG500)))</f>
        <v>#N/A</v>
      </c>
      <c r="AJ503" s="114"/>
      <c r="AK503" s="114"/>
      <c r="AL503" s="238" t="e">
        <f t="shared" ca="1" si="190"/>
        <v>#N/A</v>
      </c>
      <c r="AM503" s="112">
        <f t="shared" ca="1" si="193"/>
        <v>100000</v>
      </c>
      <c r="AN503" s="112">
        <f t="shared" ca="1" si="191"/>
        <v>100000</v>
      </c>
      <c r="AO503" s="114">
        <f t="shared" ca="1" si="188"/>
        <v>0</v>
      </c>
      <c r="AP503" s="114">
        <f t="shared" ca="1" si="189"/>
        <v>0</v>
      </c>
      <c r="AR503" s="238">
        <f t="shared" si="192"/>
        <v>503</v>
      </c>
      <c r="CJ503" s="112"/>
      <c r="CK503" s="112"/>
    </row>
    <row r="504" spans="33:89" x14ac:dyDescent="0.25">
      <c r="AG504" s="238">
        <f>AG503</f>
        <v>116</v>
      </c>
      <c r="AH504" s="112" t="e">
        <f ca="1">AI503+1</f>
        <v>#N/A</v>
      </c>
      <c r="AI504" s="112">
        <f ca="1">INDIRECT(CONCATENATE("AF",AG500))</f>
        <v>100000</v>
      </c>
      <c r="AJ504" s="114"/>
      <c r="AK504" s="114"/>
      <c r="AL504" s="238" t="e">
        <f t="shared" ca="1" si="190"/>
        <v>#N/A</v>
      </c>
      <c r="AM504" s="112">
        <f t="shared" ca="1" si="193"/>
        <v>100000</v>
      </c>
      <c r="AN504" s="112">
        <f t="shared" ca="1" si="191"/>
        <v>100000</v>
      </c>
      <c r="AO504" s="114">
        <f t="shared" ca="1" si="188"/>
        <v>0</v>
      </c>
      <c r="AP504" s="114">
        <f t="shared" ca="1" si="189"/>
        <v>0</v>
      </c>
      <c r="AR504" s="238">
        <f t="shared" si="192"/>
        <v>504</v>
      </c>
      <c r="CJ504" s="112"/>
      <c r="CK504" s="112"/>
    </row>
    <row r="505" spans="33:89" x14ac:dyDescent="0.25">
      <c r="AG505" s="238">
        <f>AG504+1</f>
        <v>117</v>
      </c>
      <c r="AH505" s="112">
        <f ca="1">INDIRECT(CONCATENATE("AA",AG505))</f>
        <v>100000</v>
      </c>
      <c r="AI505" s="112" t="e">
        <f ca="1">IF(            INDIRECT(CONCATENATE( "AB",AG505))&lt;100000,       INDIRECT(CONCATENATE("AB",AG505))  -1,IF(   INDIRECT(CONCATENATE("AC",AG505))&lt;100000,   INDIRECT(CONCATENATE("AC",AG505))-1,IF(   INDIRECT(CONCATENATE("AD", AG505))&lt;100000, INDIRECT(CONCATENATE("AD",AG505))-1,IF(   INDIRECT(CONCATENATE("AE",AG505))&lt;100000,  INDIRECT(CONCATENATE("AE",G505)),INDIRECT(CONCATENATE("AF",AG505))                ))))</f>
        <v>#N/A</v>
      </c>
      <c r="AJ505" s="114"/>
      <c r="AK505" s="114"/>
      <c r="AL505" s="238" t="e">
        <f t="shared" ca="1" si="190"/>
        <v>#N/A</v>
      </c>
      <c r="AM505" s="112">
        <f t="shared" ca="1" si="193"/>
        <v>100000</v>
      </c>
      <c r="AN505" s="112">
        <f t="shared" ca="1" si="191"/>
        <v>100000</v>
      </c>
      <c r="AO505" s="114">
        <f t="shared" ca="1" si="188"/>
        <v>0</v>
      </c>
      <c r="AP505" s="114">
        <f t="shared" ca="1" si="189"/>
        <v>0</v>
      </c>
      <c r="AR505" s="238">
        <f t="shared" si="192"/>
        <v>505</v>
      </c>
      <c r="CJ505" s="112"/>
      <c r="CK505" s="112"/>
    </row>
    <row r="506" spans="33:89" x14ac:dyDescent="0.25">
      <c r="AG506" s="238">
        <f>AG505</f>
        <v>117</v>
      </c>
      <c r="AH506" s="112" t="e">
        <f ca="1">AI505+1</f>
        <v>#N/A</v>
      </c>
      <c r="AI506" s="112" t="e">
        <f ca="1">IF(INDIRECT(CONCATENATE("AC",AG505))&lt;100000,INDIRECT(CONCATENATE("AC",AG505))-1,IF(INDIRECT(CONCATENATE("AD",AG505))&lt;100000,INDIRECT(CONCATENATE("AD",AG505))-1,IF(INDIRECT(CONCATENATE("AE",AG505))&lt;100000,INDIRECT(CONCATENATE("AE",G505)),INDIRECT(CONCATENATE("AF",AG505)))))</f>
        <v>#N/A</v>
      </c>
      <c r="AJ506" s="114"/>
      <c r="AK506" s="114"/>
      <c r="AL506" s="238" t="e">
        <f t="shared" ca="1" si="190"/>
        <v>#N/A</v>
      </c>
      <c r="AM506" s="112">
        <f t="shared" ca="1" si="193"/>
        <v>100000</v>
      </c>
      <c r="AN506" s="112">
        <f t="shared" ca="1" si="191"/>
        <v>100000</v>
      </c>
      <c r="AO506" s="114">
        <f t="shared" ca="1" si="188"/>
        <v>0</v>
      </c>
      <c r="AP506" s="114">
        <f t="shared" ca="1" si="189"/>
        <v>0</v>
      </c>
      <c r="AR506" s="238">
        <f t="shared" si="192"/>
        <v>506</v>
      </c>
      <c r="CJ506" s="112"/>
      <c r="CK506" s="112"/>
    </row>
    <row r="507" spans="33:89" x14ac:dyDescent="0.25">
      <c r="AG507" s="238">
        <f>AG506</f>
        <v>117</v>
      </c>
      <c r="AH507" s="112" t="e">
        <f ca="1">AI506+1</f>
        <v>#N/A</v>
      </c>
      <c r="AI507" s="112" t="e">
        <f ca="1">IF(INDIRECT(CONCATENATE("AD",AG505))&lt;100000,INDIRECT(CONCATENATE("AD",AG505))-1,IF(INDIRECT(CONCATENATE("AE",AG505))&lt;100000,INDIRECT(CONCATENATE("AE",G505)),INDIRECT(CONCATENATE("AF",AG505))))</f>
        <v>#N/A</v>
      </c>
      <c r="AJ507" s="114"/>
      <c r="AK507" s="114"/>
      <c r="AL507" s="238" t="e">
        <f t="shared" ca="1" si="190"/>
        <v>#N/A</v>
      </c>
      <c r="AM507" s="112">
        <f t="shared" ca="1" si="193"/>
        <v>100000</v>
      </c>
      <c r="AN507" s="112">
        <f t="shared" ca="1" si="191"/>
        <v>100000</v>
      </c>
      <c r="AO507" s="114">
        <f t="shared" ca="1" si="188"/>
        <v>0</v>
      </c>
      <c r="AP507" s="114">
        <f t="shared" ca="1" si="189"/>
        <v>0</v>
      </c>
      <c r="AR507" s="238">
        <f t="shared" si="192"/>
        <v>507</v>
      </c>
      <c r="CJ507" s="112"/>
      <c r="CK507" s="112"/>
    </row>
    <row r="508" spans="33:89" x14ac:dyDescent="0.25">
      <c r="AG508" s="238">
        <f>AG507</f>
        <v>117</v>
      </c>
      <c r="AH508" s="112" t="e">
        <f ca="1">AI507+1</f>
        <v>#N/A</v>
      </c>
      <c r="AI508" s="112" t="e">
        <f ca="1">IF(INDIRECT(CONCATENATE("AE",AG505))&lt;100000,INDIRECT(CONCATENATE("AE",G505)),INDIRECT(CONCATENATE("AF",AG505)))</f>
        <v>#N/A</v>
      </c>
      <c r="AJ508" s="114"/>
      <c r="AK508" s="114"/>
      <c r="AL508" s="238" t="e">
        <f t="shared" ca="1" si="190"/>
        <v>#N/A</v>
      </c>
      <c r="AM508" s="112">
        <f t="shared" ca="1" si="193"/>
        <v>100000</v>
      </c>
      <c r="AN508" s="112">
        <f t="shared" ca="1" si="191"/>
        <v>100000</v>
      </c>
      <c r="AO508" s="114">
        <f t="shared" ca="1" si="188"/>
        <v>0</v>
      </c>
      <c r="AP508" s="114">
        <f t="shared" ca="1" si="189"/>
        <v>0</v>
      </c>
      <c r="AR508" s="238">
        <f t="shared" si="192"/>
        <v>508</v>
      </c>
      <c r="CJ508" s="112"/>
      <c r="CK508" s="112"/>
    </row>
    <row r="509" spans="33:89" x14ac:dyDescent="0.25">
      <c r="AG509" s="238">
        <f>AG508</f>
        <v>117</v>
      </c>
      <c r="AH509" s="112" t="e">
        <f ca="1">AI508+1</f>
        <v>#N/A</v>
      </c>
      <c r="AI509" s="112">
        <f ca="1">INDIRECT(CONCATENATE("AF",AG505))</f>
        <v>100000</v>
      </c>
      <c r="AJ509" s="114"/>
      <c r="AK509" s="114"/>
      <c r="AL509" s="238" t="e">
        <f t="shared" ca="1" si="190"/>
        <v>#N/A</v>
      </c>
      <c r="AM509" s="112">
        <f t="shared" ca="1" si="193"/>
        <v>100000</v>
      </c>
      <c r="AN509" s="112">
        <f t="shared" ca="1" si="191"/>
        <v>100000</v>
      </c>
      <c r="AO509" s="114">
        <f t="shared" ca="1" si="188"/>
        <v>0</v>
      </c>
      <c r="AP509" s="114">
        <f t="shared" ca="1" si="189"/>
        <v>0</v>
      </c>
      <c r="AR509" s="238">
        <f t="shared" si="192"/>
        <v>509</v>
      </c>
      <c r="CJ509" s="112"/>
      <c r="CK509" s="112"/>
    </row>
    <row r="510" spans="33:89" x14ac:dyDescent="0.25">
      <c r="AG510" s="238">
        <f>AG509+1</f>
        <v>118</v>
      </c>
      <c r="AH510" s="112">
        <f ca="1">INDIRECT(CONCATENATE("AA",AG510))</f>
        <v>100000</v>
      </c>
      <c r="AI510" s="112" t="e">
        <f ca="1">IF(            INDIRECT(CONCATENATE( "AB",AG510))&lt;100000,       INDIRECT(CONCATENATE("AB",AG510))  -1,IF(   INDIRECT(CONCATENATE("AC",AG510))&lt;100000,   INDIRECT(CONCATENATE("AC",AG510))-1,IF(   INDIRECT(CONCATENATE("AD", AG510))&lt;100000, INDIRECT(CONCATENATE("AD",AG510))-1,IF(   INDIRECT(CONCATENATE("AE",AG510))&lt;100000,  INDIRECT(CONCATENATE("AE",G510)),INDIRECT(CONCATENATE("AF",AG510))                ))))</f>
        <v>#N/A</v>
      </c>
      <c r="AJ510" s="114"/>
      <c r="AK510" s="114"/>
      <c r="AL510" s="238" t="e">
        <f t="shared" ca="1" si="190"/>
        <v>#N/A</v>
      </c>
      <c r="AM510" s="112">
        <f t="shared" ca="1" si="193"/>
        <v>100000</v>
      </c>
      <c r="AN510" s="112">
        <f t="shared" ca="1" si="191"/>
        <v>100000</v>
      </c>
      <c r="AO510" s="114">
        <f t="shared" ca="1" si="188"/>
        <v>0</v>
      </c>
      <c r="AP510" s="114">
        <f t="shared" ca="1" si="189"/>
        <v>0</v>
      </c>
      <c r="AR510" s="238">
        <f t="shared" si="192"/>
        <v>510</v>
      </c>
      <c r="CJ510" s="112"/>
      <c r="CK510" s="112"/>
    </row>
    <row r="511" spans="33:89" x14ac:dyDescent="0.25">
      <c r="AG511" s="238">
        <f>AG510</f>
        <v>118</v>
      </c>
      <c r="AH511" s="112" t="e">
        <f ca="1">AI510+1</f>
        <v>#N/A</v>
      </c>
      <c r="AI511" s="112" t="e">
        <f ca="1">IF(INDIRECT(CONCATENATE("AC",AG510))&lt;100000,INDIRECT(CONCATENATE("AC",AG510))-1,IF(INDIRECT(CONCATENATE("AD",AG510))&lt;100000,INDIRECT(CONCATENATE("AD",AG510))-1,IF(INDIRECT(CONCATENATE("AE",AG510))&lt;100000,INDIRECT(CONCATENATE("AE",G510)),INDIRECT(CONCATENATE("AF",AG510)))))</f>
        <v>#N/A</v>
      </c>
      <c r="AJ511" s="114"/>
      <c r="AK511" s="114"/>
      <c r="AL511" s="238" t="e">
        <f t="shared" ca="1" si="190"/>
        <v>#N/A</v>
      </c>
      <c r="AM511" s="112">
        <f t="shared" ca="1" si="193"/>
        <v>100000</v>
      </c>
      <c r="AN511" s="112">
        <f t="shared" ca="1" si="191"/>
        <v>100000</v>
      </c>
      <c r="AO511" s="114">
        <f t="shared" ca="1" si="188"/>
        <v>0</v>
      </c>
      <c r="AP511" s="114">
        <f t="shared" ca="1" si="189"/>
        <v>0</v>
      </c>
      <c r="AR511" s="238">
        <f t="shared" si="192"/>
        <v>511</v>
      </c>
      <c r="CJ511" s="112"/>
      <c r="CK511" s="112"/>
    </row>
    <row r="512" spans="33:89" x14ac:dyDescent="0.25">
      <c r="AG512" s="238">
        <f>AG511</f>
        <v>118</v>
      </c>
      <c r="AH512" s="112" t="e">
        <f ca="1">AI511+1</f>
        <v>#N/A</v>
      </c>
      <c r="AI512" s="112" t="e">
        <f ca="1">IF(INDIRECT(CONCATENATE("AD",AG510))&lt;100000,INDIRECT(CONCATENATE("AD",AG510))-1,IF(INDIRECT(CONCATENATE("AE",AG510))&lt;100000,INDIRECT(CONCATENATE("AE",G510)),INDIRECT(CONCATENATE("AF",AG510))))</f>
        <v>#N/A</v>
      </c>
      <c r="AJ512" s="114"/>
      <c r="AK512" s="114"/>
      <c r="AL512" s="238" t="e">
        <f t="shared" ca="1" si="190"/>
        <v>#N/A</v>
      </c>
      <c r="AM512" s="112">
        <f t="shared" ca="1" si="193"/>
        <v>100000</v>
      </c>
      <c r="AN512" s="112">
        <f t="shared" ca="1" si="191"/>
        <v>100000</v>
      </c>
      <c r="AO512" s="114">
        <f t="shared" ca="1" si="188"/>
        <v>0</v>
      </c>
      <c r="AP512" s="114">
        <f t="shared" ca="1" si="189"/>
        <v>0</v>
      </c>
      <c r="AR512" s="238">
        <f t="shared" si="192"/>
        <v>512</v>
      </c>
      <c r="CJ512" s="112"/>
      <c r="CK512" s="112"/>
    </row>
    <row r="513" spans="33:89" x14ac:dyDescent="0.25">
      <c r="AG513" s="238">
        <f>AG512</f>
        <v>118</v>
      </c>
      <c r="AH513" s="112" t="e">
        <f ca="1">AI512+1</f>
        <v>#N/A</v>
      </c>
      <c r="AI513" s="112" t="e">
        <f ca="1">IF(INDIRECT(CONCATENATE("AE",AG510))&lt;100000,INDIRECT(CONCATENATE("AE",G510)),INDIRECT(CONCATENATE("AF",AG510)))</f>
        <v>#N/A</v>
      </c>
      <c r="AJ513" s="114"/>
      <c r="AK513" s="114"/>
      <c r="AL513" s="238" t="e">
        <f t="shared" ca="1" si="190"/>
        <v>#N/A</v>
      </c>
      <c r="AM513" s="112">
        <f t="shared" ca="1" si="193"/>
        <v>100000</v>
      </c>
      <c r="AN513" s="112">
        <f t="shared" ca="1" si="191"/>
        <v>100000</v>
      </c>
      <c r="AO513" s="114">
        <f t="shared" ca="1" si="188"/>
        <v>0</v>
      </c>
      <c r="AP513" s="114">
        <f t="shared" ca="1" si="189"/>
        <v>0</v>
      </c>
      <c r="AR513" s="238">
        <f t="shared" si="192"/>
        <v>513</v>
      </c>
      <c r="CJ513" s="112"/>
      <c r="CK513" s="112"/>
    </row>
    <row r="514" spans="33:89" x14ac:dyDescent="0.25">
      <c r="AG514" s="238">
        <f>AG513</f>
        <v>118</v>
      </c>
      <c r="AH514" s="112" t="e">
        <f ca="1">AI513+1</f>
        <v>#N/A</v>
      </c>
      <c r="AI514" s="112">
        <f ca="1">INDIRECT(CONCATENATE("AF",AG510))</f>
        <v>100000</v>
      </c>
      <c r="AJ514" s="114"/>
      <c r="AK514" s="114"/>
      <c r="AL514" s="238" t="e">
        <f t="shared" ca="1" si="190"/>
        <v>#N/A</v>
      </c>
      <c r="AM514" s="112">
        <f t="shared" ca="1" si="193"/>
        <v>100000</v>
      </c>
      <c r="AN514" s="112">
        <f t="shared" ca="1" si="191"/>
        <v>100000</v>
      </c>
      <c r="AO514" s="114">
        <f t="shared" ca="1" si="188"/>
        <v>0</v>
      </c>
      <c r="AP514" s="114">
        <f t="shared" ca="1" si="189"/>
        <v>0</v>
      </c>
      <c r="AR514" s="238">
        <f t="shared" si="192"/>
        <v>514</v>
      </c>
      <c r="CJ514" s="112"/>
      <c r="CK514" s="112"/>
    </row>
    <row r="515" spans="33:89" x14ac:dyDescent="0.25">
      <c r="AG515" s="238">
        <f>AG514+1</f>
        <v>119</v>
      </c>
      <c r="AH515" s="112">
        <f ca="1">INDIRECT(CONCATENATE("AA",AG515))</f>
        <v>100000</v>
      </c>
      <c r="AI515" s="112" t="e">
        <f ca="1">IF(            INDIRECT(CONCATENATE( "AB",AG515))&lt;100000,       INDIRECT(CONCATENATE("AB",AG515))  -1,IF(   INDIRECT(CONCATENATE("AC",AG515))&lt;100000,   INDIRECT(CONCATENATE("AC",AG515))-1,IF(   INDIRECT(CONCATENATE("AD", AG515))&lt;100000, INDIRECT(CONCATENATE("AD",AG515))-1,IF(   INDIRECT(CONCATENATE("AE",AG515))&lt;100000,  INDIRECT(CONCATENATE("AE",G515)),INDIRECT(CONCATENATE("AF",AG515))                ))))</f>
        <v>#N/A</v>
      </c>
      <c r="AJ515" s="114"/>
      <c r="AK515" s="114"/>
      <c r="AL515" s="238" t="e">
        <f t="shared" ca="1" si="190"/>
        <v>#N/A</v>
      </c>
      <c r="AM515" s="112">
        <f t="shared" ca="1" si="193"/>
        <v>100000</v>
      </c>
      <c r="AN515" s="112">
        <f t="shared" ca="1" si="191"/>
        <v>100000</v>
      </c>
      <c r="AO515" s="114">
        <f t="shared" ca="1" si="188"/>
        <v>0</v>
      </c>
      <c r="AP515" s="114">
        <f t="shared" ca="1" si="189"/>
        <v>0</v>
      </c>
      <c r="AR515" s="238">
        <f t="shared" si="192"/>
        <v>515</v>
      </c>
      <c r="CJ515" s="112"/>
      <c r="CK515" s="112"/>
    </row>
    <row r="516" spans="33:89" x14ac:dyDescent="0.25">
      <c r="AG516" s="238">
        <f>AG515</f>
        <v>119</v>
      </c>
      <c r="AH516" s="112" t="e">
        <f ca="1">AI515+1</f>
        <v>#N/A</v>
      </c>
      <c r="AI516" s="112" t="e">
        <f ca="1">IF(INDIRECT(CONCATENATE("AC",AG515))&lt;100000,INDIRECT(CONCATENATE("AC",AG515))-1,IF(INDIRECT(CONCATENATE("AD",AG515))&lt;100000,INDIRECT(CONCATENATE("AD",AG515))-1,IF(INDIRECT(CONCATENATE("AE",AG515))&lt;100000,INDIRECT(CONCATENATE("AE",G515)),INDIRECT(CONCATENATE("AF",AG515)))))</f>
        <v>#N/A</v>
      </c>
      <c r="AJ516" s="114"/>
      <c r="AK516" s="114"/>
      <c r="AL516" s="238" t="e">
        <f t="shared" ca="1" si="190"/>
        <v>#N/A</v>
      </c>
      <c r="AM516" s="112">
        <f t="shared" ca="1" si="193"/>
        <v>100000</v>
      </c>
      <c r="AN516" s="112">
        <f t="shared" ca="1" si="191"/>
        <v>100000</v>
      </c>
      <c r="AO516" s="114">
        <f t="shared" ca="1" si="188"/>
        <v>0</v>
      </c>
      <c r="AP516" s="114">
        <f t="shared" ca="1" si="189"/>
        <v>0</v>
      </c>
      <c r="AR516" s="238">
        <f t="shared" si="192"/>
        <v>516</v>
      </c>
      <c r="CJ516" s="112"/>
      <c r="CK516" s="112"/>
    </row>
    <row r="517" spans="33:89" x14ac:dyDescent="0.25">
      <c r="AG517" s="238">
        <f>AG516</f>
        <v>119</v>
      </c>
      <c r="AH517" s="112" t="e">
        <f ca="1">AI516+1</f>
        <v>#N/A</v>
      </c>
      <c r="AI517" s="112" t="e">
        <f ca="1">IF(INDIRECT(CONCATENATE("AD",AG515))&lt;100000,INDIRECT(CONCATENATE("AD",AG515))-1,IF(INDIRECT(CONCATENATE("AE",AG515))&lt;100000,INDIRECT(CONCATENATE("AE",G515)),INDIRECT(CONCATENATE("AF",AG515))))</f>
        <v>#N/A</v>
      </c>
      <c r="AJ517" s="114"/>
      <c r="AK517" s="114"/>
      <c r="AL517" s="238" t="e">
        <f t="shared" ca="1" si="190"/>
        <v>#N/A</v>
      </c>
      <c r="AM517" s="112">
        <f t="shared" ca="1" si="193"/>
        <v>100000</v>
      </c>
      <c r="AN517" s="112">
        <f t="shared" ca="1" si="191"/>
        <v>100000</v>
      </c>
      <c r="AO517" s="114">
        <f t="shared" ca="1" si="188"/>
        <v>0</v>
      </c>
      <c r="AP517" s="114">
        <f t="shared" ca="1" si="189"/>
        <v>0</v>
      </c>
      <c r="AR517" s="238">
        <f t="shared" si="192"/>
        <v>517</v>
      </c>
      <c r="CJ517" s="112"/>
      <c r="CK517" s="112"/>
    </row>
    <row r="518" spans="33:89" x14ac:dyDescent="0.25">
      <c r="AG518" s="238">
        <f>AG517</f>
        <v>119</v>
      </c>
      <c r="AH518" s="112" t="e">
        <f ca="1">AI517+1</f>
        <v>#N/A</v>
      </c>
      <c r="AI518" s="112" t="e">
        <f ca="1">IF(INDIRECT(CONCATENATE("AE",AG515))&lt;100000,INDIRECT(CONCATENATE("AE",G515)),INDIRECT(CONCATENATE("AF",AG515)))</f>
        <v>#N/A</v>
      </c>
      <c r="AJ518" s="114"/>
      <c r="AK518" s="114"/>
      <c r="AL518" s="238" t="e">
        <f t="shared" ca="1" si="190"/>
        <v>#N/A</v>
      </c>
      <c r="AM518" s="112">
        <f t="shared" ca="1" si="193"/>
        <v>100000</v>
      </c>
      <c r="AN518" s="112">
        <f t="shared" ca="1" si="191"/>
        <v>100000</v>
      </c>
      <c r="AO518" s="114">
        <f t="shared" ca="1" si="188"/>
        <v>0</v>
      </c>
      <c r="AP518" s="114">
        <f t="shared" ca="1" si="189"/>
        <v>0</v>
      </c>
      <c r="AR518" s="238">
        <f t="shared" si="192"/>
        <v>518</v>
      </c>
      <c r="CJ518" s="112"/>
      <c r="CK518" s="112"/>
    </row>
    <row r="519" spans="33:89" x14ac:dyDescent="0.25">
      <c r="AG519" s="238">
        <f>AG518</f>
        <v>119</v>
      </c>
      <c r="AH519" s="112" t="e">
        <f ca="1">AI518+1</f>
        <v>#N/A</v>
      </c>
      <c r="AI519" s="112">
        <f ca="1">INDIRECT(CONCATENATE("AF",AG515))</f>
        <v>100000</v>
      </c>
      <c r="AJ519" s="114"/>
      <c r="AK519" s="114"/>
      <c r="AL519" s="238" t="e">
        <f t="shared" ca="1" si="190"/>
        <v>#N/A</v>
      </c>
      <c r="AM519" s="112">
        <f t="shared" ca="1" si="193"/>
        <v>100000</v>
      </c>
      <c r="AN519" s="112">
        <f t="shared" ca="1" si="191"/>
        <v>100000</v>
      </c>
      <c r="AO519" s="114">
        <f t="shared" ca="1" si="188"/>
        <v>0</v>
      </c>
      <c r="AP519" s="114">
        <f t="shared" ca="1" si="189"/>
        <v>0</v>
      </c>
      <c r="AR519" s="238">
        <f t="shared" si="192"/>
        <v>519</v>
      </c>
      <c r="CJ519" s="112"/>
      <c r="CK519" s="112"/>
    </row>
    <row r="520" spans="33:89" x14ac:dyDescent="0.25">
      <c r="AG520" s="238">
        <f>AG519+1</f>
        <v>120</v>
      </c>
      <c r="AH520" s="112">
        <f ca="1">INDIRECT(CONCATENATE("AA",AG520))</f>
        <v>100000</v>
      </c>
      <c r="AI520" s="112" t="e">
        <f ca="1">IF(            INDIRECT(CONCATENATE( "AB",AG520))&lt;100000,       INDIRECT(CONCATENATE("AB",AG520))  -1,IF(   INDIRECT(CONCATENATE("AC",AG520))&lt;100000,   INDIRECT(CONCATENATE("AC",AG520))-1,IF(   INDIRECT(CONCATENATE("AD", AG520))&lt;100000, INDIRECT(CONCATENATE("AD",AG520))-1,IF(   INDIRECT(CONCATENATE("AE",AG520))&lt;100000,  INDIRECT(CONCATENATE("AE",G520)),INDIRECT(CONCATENATE("AF",AG520))                ))))</f>
        <v>#N/A</v>
      </c>
      <c r="AJ520" s="114"/>
      <c r="AK520" s="114"/>
      <c r="AL520" s="238" t="e">
        <f t="shared" ca="1" si="190"/>
        <v>#N/A</v>
      </c>
      <c r="AM520" s="112">
        <f t="shared" ca="1" si="193"/>
        <v>100000</v>
      </c>
      <c r="AN520" s="112">
        <f t="shared" ca="1" si="191"/>
        <v>100000</v>
      </c>
      <c r="AO520" s="114">
        <f t="shared" ca="1" si="188"/>
        <v>0</v>
      </c>
      <c r="AP520" s="114">
        <f t="shared" ca="1" si="189"/>
        <v>0</v>
      </c>
      <c r="AR520" s="238">
        <f t="shared" si="192"/>
        <v>520</v>
      </c>
      <c r="CJ520" s="112"/>
      <c r="CK520" s="112"/>
    </row>
    <row r="521" spans="33:89" x14ac:dyDescent="0.25">
      <c r="AG521" s="238">
        <f>AG520</f>
        <v>120</v>
      </c>
      <c r="AH521" s="112" t="e">
        <f ca="1">AI520+1</f>
        <v>#N/A</v>
      </c>
      <c r="AI521" s="112" t="e">
        <f ca="1">IF(INDIRECT(CONCATENATE("AC",AG520))&lt;100000,INDIRECT(CONCATENATE("AC",AG520))-1,IF(INDIRECT(CONCATENATE("AD",AG520))&lt;100000,INDIRECT(CONCATENATE("AD",AG520))-1,IF(INDIRECT(CONCATENATE("AE",AG520))&lt;100000,INDIRECT(CONCATENATE("AE",G520)),INDIRECT(CONCATENATE("AF",AG520)))))</f>
        <v>#N/A</v>
      </c>
      <c r="AJ521" s="114"/>
      <c r="AK521" s="114"/>
      <c r="AL521" s="238" t="e">
        <f t="shared" ca="1" si="190"/>
        <v>#N/A</v>
      </c>
      <c r="AM521" s="112">
        <f t="shared" ca="1" si="193"/>
        <v>100000</v>
      </c>
      <c r="AN521" s="112">
        <f t="shared" ca="1" si="191"/>
        <v>100000</v>
      </c>
      <c r="AO521" s="114">
        <f t="shared" ca="1" si="188"/>
        <v>0</v>
      </c>
      <c r="AP521" s="114">
        <f t="shared" ca="1" si="189"/>
        <v>0</v>
      </c>
      <c r="AR521" s="238">
        <f t="shared" si="192"/>
        <v>521</v>
      </c>
      <c r="CJ521" s="112"/>
      <c r="CK521" s="112"/>
    </row>
    <row r="522" spans="33:89" x14ac:dyDescent="0.25">
      <c r="AG522" s="238">
        <f>AG521</f>
        <v>120</v>
      </c>
      <c r="AH522" s="112" t="e">
        <f ca="1">AI521+1</f>
        <v>#N/A</v>
      </c>
      <c r="AI522" s="112" t="e">
        <f ca="1">IF(INDIRECT(CONCATENATE("AD",AG520))&lt;100000,INDIRECT(CONCATENATE("AD",AG520))-1,IF(INDIRECT(CONCATENATE("AE",AG520))&lt;100000,INDIRECT(CONCATENATE("AE",G520)),INDIRECT(CONCATENATE("AF",AG520))))</f>
        <v>#N/A</v>
      </c>
      <c r="AJ522" s="114"/>
      <c r="AK522" s="114"/>
      <c r="AL522" s="238" t="e">
        <f t="shared" ca="1" si="190"/>
        <v>#N/A</v>
      </c>
      <c r="AM522" s="112">
        <f t="shared" ca="1" si="193"/>
        <v>100000</v>
      </c>
      <c r="AN522" s="112">
        <f t="shared" ca="1" si="191"/>
        <v>100000</v>
      </c>
      <c r="AO522" s="114">
        <f t="shared" ca="1" si="188"/>
        <v>0</v>
      </c>
      <c r="AP522" s="114">
        <f t="shared" ca="1" si="189"/>
        <v>0</v>
      </c>
      <c r="AR522" s="238">
        <f t="shared" si="192"/>
        <v>522</v>
      </c>
      <c r="CJ522" s="112"/>
      <c r="CK522" s="112"/>
    </row>
    <row r="523" spans="33:89" x14ac:dyDescent="0.25">
      <c r="AG523" s="238">
        <f>AG522</f>
        <v>120</v>
      </c>
      <c r="AH523" s="112" t="e">
        <f ca="1">AI522+1</f>
        <v>#N/A</v>
      </c>
      <c r="AI523" s="112" t="e">
        <f ca="1">IF(INDIRECT(CONCATENATE("AE",AG520))&lt;100000,INDIRECT(CONCATENATE("AE",G520)),INDIRECT(CONCATENATE("AF",AG520)))</f>
        <v>#N/A</v>
      </c>
      <c r="AJ523" s="114"/>
      <c r="AK523" s="114"/>
      <c r="AL523" s="238" t="e">
        <f t="shared" ca="1" si="190"/>
        <v>#N/A</v>
      </c>
      <c r="AM523" s="112">
        <f t="shared" ca="1" si="193"/>
        <v>100000</v>
      </c>
      <c r="AN523" s="112">
        <f t="shared" ca="1" si="191"/>
        <v>100000</v>
      </c>
      <c r="AO523" s="114">
        <f t="shared" ca="1" si="188"/>
        <v>0</v>
      </c>
      <c r="AP523" s="114">
        <f t="shared" ca="1" si="189"/>
        <v>0</v>
      </c>
      <c r="AR523" s="238">
        <f t="shared" si="192"/>
        <v>523</v>
      </c>
      <c r="CJ523" s="112"/>
      <c r="CK523" s="112"/>
    </row>
    <row r="524" spans="33:89" x14ac:dyDescent="0.25">
      <c r="AG524" s="238">
        <f>AG523</f>
        <v>120</v>
      </c>
      <c r="AH524" s="112" t="e">
        <f ca="1">AI523+1</f>
        <v>#N/A</v>
      </c>
      <c r="AI524" s="112">
        <f ca="1">INDIRECT(CONCATENATE("AF",AG520))</f>
        <v>100000</v>
      </c>
      <c r="AJ524" s="114"/>
      <c r="AK524" s="114"/>
      <c r="AL524" s="238" t="e">
        <f t="shared" ca="1" si="190"/>
        <v>#N/A</v>
      </c>
      <c r="AM524" s="112">
        <f t="shared" ca="1" si="193"/>
        <v>100000</v>
      </c>
      <c r="AN524" s="112">
        <f t="shared" ca="1" si="191"/>
        <v>100000</v>
      </c>
      <c r="AO524" s="114">
        <f t="shared" ca="1" si="188"/>
        <v>0</v>
      </c>
      <c r="AP524" s="114">
        <f t="shared" ca="1" si="189"/>
        <v>0</v>
      </c>
      <c r="AR524" s="238">
        <f t="shared" si="192"/>
        <v>524</v>
      </c>
      <c r="CJ524" s="112"/>
      <c r="CK524" s="112"/>
    </row>
    <row r="525" spans="33:89" x14ac:dyDescent="0.25">
      <c r="AG525" s="238">
        <f>AG524+1</f>
        <v>121</v>
      </c>
      <c r="AH525" s="112">
        <f ca="1">INDIRECT(CONCATENATE("AA",AG525))</f>
        <v>100000</v>
      </c>
      <c r="AI525" s="112" t="e">
        <f ca="1">IF(            INDIRECT(CONCATENATE( "AB",AG525))&lt;100000,       INDIRECT(CONCATENATE("AB",AG525))  -1,IF(   INDIRECT(CONCATENATE("AC",AG525))&lt;100000,   INDIRECT(CONCATENATE("AC",AG525))-1,IF(   INDIRECT(CONCATENATE("AD", AG525))&lt;100000, INDIRECT(CONCATENATE("AD",AG525))-1,IF(   INDIRECT(CONCATENATE("AE",AG525))&lt;100000,  INDIRECT(CONCATENATE("AE",G525)),INDIRECT(CONCATENATE("AF",AG525))                ))))</f>
        <v>#N/A</v>
      </c>
      <c r="AJ525" s="114"/>
      <c r="AK525" s="114"/>
      <c r="AL525" s="238" t="e">
        <f t="shared" ca="1" si="190"/>
        <v>#N/A</v>
      </c>
      <c r="AM525" s="112">
        <f t="shared" ca="1" si="193"/>
        <v>100000</v>
      </c>
      <c r="AN525" s="112">
        <f t="shared" ca="1" si="191"/>
        <v>100000</v>
      </c>
      <c r="AO525" s="114">
        <f t="shared" ca="1" si="188"/>
        <v>0</v>
      </c>
      <c r="AP525" s="114">
        <f t="shared" ca="1" si="189"/>
        <v>0</v>
      </c>
      <c r="AR525" s="238">
        <f t="shared" si="192"/>
        <v>525</v>
      </c>
      <c r="CJ525" s="112"/>
      <c r="CK525" s="112"/>
    </row>
    <row r="526" spans="33:89" x14ac:dyDescent="0.25">
      <c r="AG526" s="238">
        <f>AG525</f>
        <v>121</v>
      </c>
      <c r="AH526" s="112" t="e">
        <f ca="1">AI525+1</f>
        <v>#N/A</v>
      </c>
      <c r="AI526" s="112" t="e">
        <f ca="1">IF(INDIRECT(CONCATENATE("AC",AG525))&lt;100000,INDIRECT(CONCATENATE("AC",AG525))-1,IF(INDIRECT(CONCATENATE("AD",AG525))&lt;100000,INDIRECT(CONCATENATE("AD",AG525))-1,IF(INDIRECT(CONCATENATE("AE",AG525))&lt;100000,INDIRECT(CONCATENATE("AE",G525)),INDIRECT(CONCATENATE("AF",AG525)))))</f>
        <v>#N/A</v>
      </c>
      <c r="AJ526" s="114"/>
      <c r="AK526" s="114"/>
      <c r="AL526" s="238" t="e">
        <f t="shared" ca="1" si="190"/>
        <v>#N/A</v>
      </c>
      <c r="AM526" s="112">
        <f t="shared" ca="1" si="193"/>
        <v>100000</v>
      </c>
      <c r="AN526" s="112">
        <f t="shared" ca="1" si="191"/>
        <v>100000</v>
      </c>
      <c r="AO526" s="114">
        <f t="shared" ca="1" si="188"/>
        <v>0</v>
      </c>
      <c r="AP526" s="114">
        <f t="shared" ca="1" si="189"/>
        <v>0</v>
      </c>
      <c r="AR526" s="238">
        <f t="shared" si="192"/>
        <v>526</v>
      </c>
      <c r="CJ526" s="112"/>
      <c r="CK526" s="112"/>
    </row>
    <row r="527" spans="33:89" x14ac:dyDescent="0.25">
      <c r="AG527" s="238">
        <f>AG526</f>
        <v>121</v>
      </c>
      <c r="AH527" s="112" t="e">
        <f ca="1">AI526+1</f>
        <v>#N/A</v>
      </c>
      <c r="AI527" s="112" t="e">
        <f ca="1">IF(INDIRECT(CONCATENATE("AD",AG525))&lt;100000,INDIRECT(CONCATENATE("AD",AG525))-1,IF(INDIRECT(CONCATENATE("AE",AG525))&lt;100000,INDIRECT(CONCATENATE("AE",G525)),INDIRECT(CONCATENATE("AF",AG525))))</f>
        <v>#N/A</v>
      </c>
      <c r="AJ527" s="114"/>
      <c r="AK527" s="114"/>
      <c r="AL527" s="238" t="e">
        <f t="shared" ca="1" si="190"/>
        <v>#N/A</v>
      </c>
      <c r="AM527" s="112">
        <f t="shared" ca="1" si="193"/>
        <v>100000</v>
      </c>
      <c r="AN527" s="112">
        <f t="shared" ca="1" si="191"/>
        <v>100000</v>
      </c>
      <c r="AO527" s="114">
        <f t="shared" ca="1" si="188"/>
        <v>0</v>
      </c>
      <c r="AP527" s="114">
        <f t="shared" ca="1" si="189"/>
        <v>0</v>
      </c>
      <c r="AR527" s="238">
        <f t="shared" si="192"/>
        <v>527</v>
      </c>
      <c r="CJ527" s="112"/>
      <c r="CK527" s="112"/>
    </row>
    <row r="528" spans="33:89" x14ac:dyDescent="0.25">
      <c r="AG528" s="238">
        <f>AG527</f>
        <v>121</v>
      </c>
      <c r="AH528" s="112" t="e">
        <f ca="1">AI527+1</f>
        <v>#N/A</v>
      </c>
      <c r="AI528" s="112" t="e">
        <f ca="1">IF(INDIRECT(CONCATENATE("AE",AG525))&lt;100000,INDIRECT(CONCATENATE("AE",G525)),INDIRECT(CONCATENATE("AF",AG525)))</f>
        <v>#N/A</v>
      </c>
      <c r="AJ528" s="114"/>
      <c r="AK528" s="114"/>
      <c r="AL528" s="238" t="e">
        <f t="shared" ca="1" si="190"/>
        <v>#N/A</v>
      </c>
      <c r="AM528" s="112">
        <f t="shared" ca="1" si="193"/>
        <v>100000</v>
      </c>
      <c r="AN528" s="112">
        <f t="shared" ca="1" si="191"/>
        <v>100000</v>
      </c>
      <c r="AO528" s="114">
        <f t="shared" ca="1" si="188"/>
        <v>0</v>
      </c>
      <c r="AP528" s="114">
        <f t="shared" ca="1" si="189"/>
        <v>0</v>
      </c>
      <c r="AR528" s="238">
        <f t="shared" si="192"/>
        <v>528</v>
      </c>
      <c r="CJ528" s="112"/>
      <c r="CK528" s="112"/>
    </row>
    <row r="529" spans="33:89" x14ac:dyDescent="0.25">
      <c r="AG529" s="238">
        <f>AG528</f>
        <v>121</v>
      </c>
      <c r="AH529" s="112" t="e">
        <f ca="1">AI528+1</f>
        <v>#N/A</v>
      </c>
      <c r="AI529" s="112">
        <f ca="1">INDIRECT(CONCATENATE("AF",AG525))</f>
        <v>100000</v>
      </c>
      <c r="AJ529" s="114"/>
      <c r="AK529" s="114"/>
      <c r="AL529" s="238" t="e">
        <f t="shared" ca="1" si="190"/>
        <v>#N/A</v>
      </c>
      <c r="AM529" s="112">
        <f t="shared" ca="1" si="193"/>
        <v>100000</v>
      </c>
      <c r="AN529" s="112">
        <f t="shared" ca="1" si="191"/>
        <v>100000</v>
      </c>
      <c r="AO529" s="114">
        <f t="shared" ca="1" si="188"/>
        <v>0</v>
      </c>
      <c r="AP529" s="114">
        <f t="shared" ca="1" si="189"/>
        <v>0</v>
      </c>
      <c r="AR529" s="238">
        <f t="shared" si="192"/>
        <v>529</v>
      </c>
      <c r="CJ529" s="112"/>
      <c r="CK529" s="112"/>
    </row>
    <row r="530" spans="33:89" x14ac:dyDescent="0.25">
      <c r="AG530" s="238">
        <f>AG529+1</f>
        <v>122</v>
      </c>
      <c r="AH530" s="112">
        <f ca="1">INDIRECT(CONCATENATE("AA",AG530))</f>
        <v>100000</v>
      </c>
      <c r="AI530" s="112" t="e">
        <f ca="1">IF(            INDIRECT(CONCATENATE( "AB",AG530))&lt;100000,       INDIRECT(CONCATENATE("AB",AG530))  -1,IF(   INDIRECT(CONCATENATE("AC",AG530))&lt;100000,   INDIRECT(CONCATENATE("AC",AG530))-1,IF(   INDIRECT(CONCATENATE("AD", AG530))&lt;100000, INDIRECT(CONCATENATE("AD",AG530))-1,IF(   INDIRECT(CONCATENATE("AE",AG530))&lt;100000,  INDIRECT(CONCATENATE("AE",G530)),INDIRECT(CONCATENATE("AF",AG530))                ))))</f>
        <v>#N/A</v>
      </c>
      <c r="AJ530" s="114"/>
      <c r="AK530" s="114"/>
      <c r="AL530" s="238" t="e">
        <f t="shared" ca="1" si="190"/>
        <v>#N/A</v>
      </c>
      <c r="AM530" s="112">
        <f t="shared" ca="1" si="193"/>
        <v>100000</v>
      </c>
      <c r="AN530" s="112">
        <f t="shared" ca="1" si="191"/>
        <v>100000</v>
      </c>
      <c r="AO530" s="114">
        <f t="shared" ca="1" si="188"/>
        <v>0</v>
      </c>
      <c r="AP530" s="114">
        <f t="shared" ca="1" si="189"/>
        <v>0</v>
      </c>
      <c r="AR530" s="238">
        <f t="shared" si="192"/>
        <v>530</v>
      </c>
      <c r="CJ530" s="112"/>
      <c r="CK530" s="112"/>
    </row>
    <row r="531" spans="33:89" x14ac:dyDescent="0.25">
      <c r="AG531" s="238">
        <f>AG530</f>
        <v>122</v>
      </c>
      <c r="AH531" s="112" t="e">
        <f ca="1">AI530+1</f>
        <v>#N/A</v>
      </c>
      <c r="AI531" s="112" t="e">
        <f ca="1">IF(INDIRECT(CONCATENATE("AC",AG530))&lt;100000,INDIRECT(CONCATENATE("AC",AG530))-1,IF(INDIRECT(CONCATENATE("AD",AG530))&lt;100000,INDIRECT(CONCATENATE("AD",AG530))-1,IF(INDIRECT(CONCATENATE("AE",AG530))&lt;100000,INDIRECT(CONCATENATE("AE",G530)),INDIRECT(CONCATENATE("AF",AG530)))))</f>
        <v>#N/A</v>
      </c>
      <c r="AJ531" s="114"/>
      <c r="AK531" s="114"/>
      <c r="AL531" s="238" t="e">
        <f t="shared" ca="1" si="190"/>
        <v>#N/A</v>
      </c>
      <c r="AM531" s="112">
        <f t="shared" ca="1" si="193"/>
        <v>100000</v>
      </c>
      <c r="AN531" s="112">
        <f t="shared" ca="1" si="191"/>
        <v>100000</v>
      </c>
      <c r="AO531" s="114">
        <f t="shared" ca="1" si="188"/>
        <v>0</v>
      </c>
      <c r="AP531" s="114">
        <f t="shared" ca="1" si="189"/>
        <v>0</v>
      </c>
      <c r="AR531" s="238">
        <f t="shared" si="192"/>
        <v>531</v>
      </c>
      <c r="CJ531" s="112"/>
      <c r="CK531" s="112"/>
    </row>
    <row r="532" spans="33:89" x14ac:dyDescent="0.25">
      <c r="AG532" s="238">
        <f>AG531</f>
        <v>122</v>
      </c>
      <c r="AH532" s="112" t="e">
        <f ca="1">AI531+1</f>
        <v>#N/A</v>
      </c>
      <c r="AI532" s="112" t="e">
        <f ca="1">IF(INDIRECT(CONCATENATE("AD",AG530))&lt;100000,INDIRECT(CONCATENATE("AD",AG530))-1,IF(INDIRECT(CONCATENATE("AE",AG530))&lt;100000,INDIRECT(CONCATENATE("AE",G530)),INDIRECT(CONCATENATE("AF",AG530))))</f>
        <v>#N/A</v>
      </c>
      <c r="AJ532" s="114"/>
      <c r="AK532" s="114"/>
      <c r="AL532" s="238" t="e">
        <f t="shared" ca="1" si="190"/>
        <v>#N/A</v>
      </c>
      <c r="AM532" s="112">
        <f t="shared" ca="1" si="193"/>
        <v>100000</v>
      </c>
      <c r="AN532" s="112">
        <f t="shared" ca="1" si="191"/>
        <v>100000</v>
      </c>
      <c r="AO532" s="114">
        <f t="shared" ca="1" si="188"/>
        <v>0</v>
      </c>
      <c r="AP532" s="114">
        <f t="shared" ca="1" si="189"/>
        <v>0</v>
      </c>
      <c r="AR532" s="238">
        <f t="shared" si="192"/>
        <v>532</v>
      </c>
      <c r="CJ532" s="112"/>
      <c r="CK532" s="112"/>
    </row>
    <row r="533" spans="33:89" x14ac:dyDescent="0.25">
      <c r="AG533" s="238">
        <f>AG532</f>
        <v>122</v>
      </c>
      <c r="AH533" s="112" t="e">
        <f ca="1">AI532+1</f>
        <v>#N/A</v>
      </c>
      <c r="AI533" s="112" t="e">
        <f ca="1">IF(INDIRECT(CONCATENATE("AE",AG530))&lt;100000,INDIRECT(CONCATENATE("AE",G530)),INDIRECT(CONCATENATE("AF",AG530)))</f>
        <v>#N/A</v>
      </c>
      <c r="AJ533" s="114"/>
      <c r="AK533" s="114"/>
      <c r="AL533" s="238" t="e">
        <f t="shared" ca="1" si="190"/>
        <v>#N/A</v>
      </c>
      <c r="AM533" s="112">
        <f t="shared" ca="1" si="193"/>
        <v>100000</v>
      </c>
      <c r="AN533" s="112">
        <f t="shared" ca="1" si="191"/>
        <v>100000</v>
      </c>
      <c r="AO533" s="114">
        <f t="shared" ref="AO533:AO564" ca="1" si="194">INDIRECT(CONCATENATE("H",AG533))</f>
        <v>0</v>
      </c>
      <c r="AP533" s="114">
        <f t="shared" ref="AP533:AP564" ca="1" si="195">INDIRECT(CONCATENATE("J",AG533))</f>
        <v>0</v>
      </c>
      <c r="AR533" s="238">
        <f t="shared" si="192"/>
        <v>533</v>
      </c>
      <c r="CJ533" s="112"/>
      <c r="CK533" s="112"/>
    </row>
    <row r="534" spans="33:89" x14ac:dyDescent="0.25">
      <c r="AG534" s="238">
        <f>AG533</f>
        <v>122</v>
      </c>
      <c r="AH534" s="112" t="e">
        <f ca="1">AI533+1</f>
        <v>#N/A</v>
      </c>
      <c r="AI534" s="112">
        <f ca="1">INDIRECT(CONCATENATE("AF",AG530))</f>
        <v>100000</v>
      </c>
      <c r="AJ534" s="114"/>
      <c r="AK534" s="114"/>
      <c r="AL534" s="238" t="e">
        <f t="shared" ref="AL534:AL564" ca="1" si="196">IF(AI534=AI533,0,1)</f>
        <v>#N/A</v>
      </c>
      <c r="AM534" s="112">
        <f t="shared" ca="1" si="193"/>
        <v>100000</v>
      </c>
      <c r="AN534" s="112">
        <f t="shared" ref="AN534:AN564" ca="1" si="197">IF(AM534=100000,100000,AI534)</f>
        <v>100000</v>
      </c>
      <c r="AO534" s="114">
        <f t="shared" ca="1" si="194"/>
        <v>0</v>
      </c>
      <c r="AP534" s="114">
        <f t="shared" ca="1" si="195"/>
        <v>0</v>
      </c>
      <c r="AR534" s="238">
        <f t="shared" ref="AR534:AR564" si="198">AR533+1</f>
        <v>534</v>
      </c>
      <c r="CJ534" s="112"/>
      <c r="CK534" s="112"/>
    </row>
    <row r="535" spans="33:89" x14ac:dyDescent="0.25">
      <c r="AG535" s="238">
        <f>AG534+1</f>
        <v>123</v>
      </c>
      <c r="AH535" s="112">
        <f ca="1">INDIRECT(CONCATENATE("AA",AG535))</f>
        <v>100000</v>
      </c>
      <c r="AI535" s="112" t="e">
        <f ca="1">IF(            INDIRECT(CONCATENATE( "AB",AG535))&lt;100000,       INDIRECT(CONCATENATE("AB",AG535))  -1,IF(   INDIRECT(CONCATENATE("AC",AG535))&lt;100000,   INDIRECT(CONCATENATE("AC",AG535))-1,IF(   INDIRECT(CONCATENATE("AD", AG535))&lt;100000, INDIRECT(CONCATENATE("AD",AG535))-1,IF(   INDIRECT(CONCATENATE("AE",AG535))&lt;100000,  INDIRECT(CONCATENATE("AE",G535)),INDIRECT(CONCATENATE("AF",AG535))                ))))</f>
        <v>#N/A</v>
      </c>
      <c r="AJ535" s="114"/>
      <c r="AK535" s="114"/>
      <c r="AL535" s="238" t="e">
        <f t="shared" ca="1" si="196"/>
        <v>#N/A</v>
      </c>
      <c r="AM535" s="112">
        <f t="shared" ca="1" si="193"/>
        <v>100000</v>
      </c>
      <c r="AN535" s="112">
        <f t="shared" ca="1" si="197"/>
        <v>100000</v>
      </c>
      <c r="AO535" s="114">
        <f t="shared" ca="1" si="194"/>
        <v>0</v>
      </c>
      <c r="AP535" s="114">
        <f t="shared" ca="1" si="195"/>
        <v>0</v>
      </c>
      <c r="AR535" s="238">
        <f t="shared" si="198"/>
        <v>535</v>
      </c>
      <c r="CJ535" s="112"/>
      <c r="CK535" s="112"/>
    </row>
    <row r="536" spans="33:89" x14ac:dyDescent="0.25">
      <c r="AG536" s="238">
        <f>AG535</f>
        <v>123</v>
      </c>
      <c r="AH536" s="112" t="e">
        <f ca="1">AI535+1</f>
        <v>#N/A</v>
      </c>
      <c r="AI536" s="112" t="e">
        <f ca="1">IF(INDIRECT(CONCATENATE("AC",AG535))&lt;100000,INDIRECT(CONCATENATE("AC",AG535))-1,IF(INDIRECT(CONCATENATE("AD",AG535))&lt;100000,INDIRECT(CONCATENATE("AD",AG535))-1,IF(INDIRECT(CONCATENATE("AE",AG535))&lt;100000,INDIRECT(CONCATENATE("AE",G535)),INDIRECT(CONCATENATE("AF",AG535)))))</f>
        <v>#N/A</v>
      </c>
      <c r="AJ536" s="114"/>
      <c r="AK536" s="114"/>
      <c r="AL536" s="238" t="e">
        <f t="shared" ca="1" si="196"/>
        <v>#N/A</v>
      </c>
      <c r="AM536" s="112">
        <f t="shared" ca="1" si="193"/>
        <v>100000</v>
      </c>
      <c r="AN536" s="112">
        <f t="shared" ca="1" si="197"/>
        <v>100000</v>
      </c>
      <c r="AO536" s="114">
        <f t="shared" ca="1" si="194"/>
        <v>0</v>
      </c>
      <c r="AP536" s="114">
        <f t="shared" ca="1" si="195"/>
        <v>0</v>
      </c>
      <c r="AR536" s="238">
        <f t="shared" si="198"/>
        <v>536</v>
      </c>
      <c r="CJ536" s="112"/>
      <c r="CK536" s="112"/>
    </row>
    <row r="537" spans="33:89" x14ac:dyDescent="0.25">
      <c r="AG537" s="238">
        <f>AG536</f>
        <v>123</v>
      </c>
      <c r="AH537" s="112" t="e">
        <f ca="1">AI536+1</f>
        <v>#N/A</v>
      </c>
      <c r="AI537" s="112" t="e">
        <f ca="1">IF(INDIRECT(CONCATENATE("AD",AG535))&lt;100000,INDIRECT(CONCATENATE("AD",AG535))-1,IF(INDIRECT(CONCATENATE("AE",AG535))&lt;100000,INDIRECT(CONCATENATE("AE",G535)),INDIRECT(CONCATENATE("AF",AG535))))</f>
        <v>#N/A</v>
      </c>
      <c r="AJ537" s="114"/>
      <c r="AK537" s="114"/>
      <c r="AL537" s="238" t="e">
        <f t="shared" ca="1" si="196"/>
        <v>#N/A</v>
      </c>
      <c r="AM537" s="112">
        <f t="shared" ca="1" si="193"/>
        <v>100000</v>
      </c>
      <c r="AN537" s="112">
        <f t="shared" ca="1" si="197"/>
        <v>100000</v>
      </c>
      <c r="AO537" s="114">
        <f t="shared" ca="1" si="194"/>
        <v>0</v>
      </c>
      <c r="AP537" s="114">
        <f t="shared" ca="1" si="195"/>
        <v>0</v>
      </c>
      <c r="AR537" s="238">
        <f t="shared" si="198"/>
        <v>537</v>
      </c>
      <c r="CJ537" s="112"/>
      <c r="CK537" s="112"/>
    </row>
    <row r="538" spans="33:89" x14ac:dyDescent="0.25">
      <c r="AG538" s="238">
        <f>AG537</f>
        <v>123</v>
      </c>
      <c r="AH538" s="112" t="e">
        <f ca="1">AI537+1</f>
        <v>#N/A</v>
      </c>
      <c r="AI538" s="112" t="e">
        <f ca="1">IF(INDIRECT(CONCATENATE("AE",AG535))&lt;100000,INDIRECT(CONCATENATE("AE",G535)),INDIRECT(CONCATENATE("AF",AG535)))</f>
        <v>#N/A</v>
      </c>
      <c r="AJ538" s="114"/>
      <c r="AK538" s="114"/>
      <c r="AL538" s="238" t="e">
        <f t="shared" ca="1" si="196"/>
        <v>#N/A</v>
      </c>
      <c r="AM538" s="112">
        <f t="shared" ca="1" si="193"/>
        <v>100000</v>
      </c>
      <c r="AN538" s="112">
        <f t="shared" ca="1" si="197"/>
        <v>100000</v>
      </c>
      <c r="AO538" s="114">
        <f t="shared" ca="1" si="194"/>
        <v>0</v>
      </c>
      <c r="AP538" s="114">
        <f t="shared" ca="1" si="195"/>
        <v>0</v>
      </c>
      <c r="AR538" s="238">
        <f t="shared" si="198"/>
        <v>538</v>
      </c>
      <c r="CJ538" s="112"/>
      <c r="CK538" s="112"/>
    </row>
    <row r="539" spans="33:89" x14ac:dyDescent="0.25">
      <c r="AG539" s="238">
        <f>AG538</f>
        <v>123</v>
      </c>
      <c r="AH539" s="112" t="e">
        <f ca="1">AI538+1</f>
        <v>#N/A</v>
      </c>
      <c r="AI539" s="112">
        <f ca="1">INDIRECT(CONCATENATE("AF",AG535))</f>
        <v>100000</v>
      </c>
      <c r="AJ539" s="114"/>
      <c r="AK539" s="114"/>
      <c r="AL539" s="238" t="e">
        <f t="shared" ca="1" si="196"/>
        <v>#N/A</v>
      </c>
      <c r="AM539" s="112">
        <f t="shared" ca="1" si="193"/>
        <v>100000</v>
      </c>
      <c r="AN539" s="112">
        <f t="shared" ca="1" si="197"/>
        <v>100000</v>
      </c>
      <c r="AO539" s="114">
        <f t="shared" ca="1" si="194"/>
        <v>0</v>
      </c>
      <c r="AP539" s="114">
        <f t="shared" ca="1" si="195"/>
        <v>0</v>
      </c>
      <c r="AR539" s="238">
        <f t="shared" si="198"/>
        <v>539</v>
      </c>
      <c r="CJ539" s="112"/>
      <c r="CK539" s="112"/>
    </row>
    <row r="540" spans="33:89" x14ac:dyDescent="0.25">
      <c r="AG540" s="238">
        <f>AG539+1</f>
        <v>124</v>
      </c>
      <c r="AH540" s="112">
        <f ca="1">INDIRECT(CONCATENATE("AA",AG540))</f>
        <v>100000</v>
      </c>
      <c r="AI540" s="112" t="e">
        <f ca="1">IF(            INDIRECT(CONCATENATE( "AB",AG540))&lt;100000,       INDIRECT(CONCATENATE("AB",AG540))  -1,IF(   INDIRECT(CONCATENATE("AC",AG540))&lt;100000,   INDIRECT(CONCATENATE("AC",AG540))-1,IF(   INDIRECT(CONCATENATE("AD", AG540))&lt;100000, INDIRECT(CONCATENATE("AD",AG540))-1,IF(   INDIRECT(CONCATENATE("AE",AG540))&lt;100000,  INDIRECT(CONCATENATE("AE",G540)),INDIRECT(CONCATENATE("AF",AG540))                ))))</f>
        <v>#N/A</v>
      </c>
      <c r="AJ540" s="114"/>
      <c r="AK540" s="114"/>
      <c r="AL540" s="238" t="e">
        <f t="shared" ca="1" si="196"/>
        <v>#N/A</v>
      </c>
      <c r="AM540" s="112">
        <f t="shared" ca="1" si="193"/>
        <v>100000</v>
      </c>
      <c r="AN540" s="112">
        <f t="shared" ca="1" si="197"/>
        <v>100000</v>
      </c>
      <c r="AO540" s="114">
        <f t="shared" ca="1" si="194"/>
        <v>0</v>
      </c>
      <c r="AP540" s="114">
        <f t="shared" ca="1" si="195"/>
        <v>0</v>
      </c>
      <c r="AR540" s="238">
        <f t="shared" si="198"/>
        <v>540</v>
      </c>
      <c r="CJ540" s="112"/>
      <c r="CK540" s="112"/>
    </row>
    <row r="541" spans="33:89" x14ac:dyDescent="0.25">
      <c r="AG541" s="238">
        <f>AG540</f>
        <v>124</v>
      </c>
      <c r="AH541" s="112" t="e">
        <f ca="1">AI540+1</f>
        <v>#N/A</v>
      </c>
      <c r="AI541" s="112" t="e">
        <f ca="1">IF(INDIRECT(CONCATENATE("AC",AG540))&lt;100000,INDIRECT(CONCATENATE("AC",AG540))-1,IF(INDIRECT(CONCATENATE("AD",AG540))&lt;100000,INDIRECT(CONCATENATE("AD",AG540))-1,IF(INDIRECT(CONCATENATE("AE",AG540))&lt;100000,INDIRECT(CONCATENATE("AE",G540)),INDIRECT(CONCATENATE("AF",AG540)))))</f>
        <v>#N/A</v>
      </c>
      <c r="AJ541" s="114"/>
      <c r="AK541" s="114"/>
      <c r="AL541" s="238" t="e">
        <f t="shared" ca="1" si="196"/>
        <v>#N/A</v>
      </c>
      <c r="AM541" s="112">
        <f t="shared" ca="1" si="193"/>
        <v>100000</v>
      </c>
      <c r="AN541" s="112">
        <f t="shared" ca="1" si="197"/>
        <v>100000</v>
      </c>
      <c r="AO541" s="114">
        <f t="shared" ca="1" si="194"/>
        <v>0</v>
      </c>
      <c r="AP541" s="114">
        <f t="shared" ca="1" si="195"/>
        <v>0</v>
      </c>
      <c r="AR541" s="238">
        <f t="shared" si="198"/>
        <v>541</v>
      </c>
      <c r="CJ541" s="112"/>
      <c r="CK541" s="112"/>
    </row>
    <row r="542" spans="33:89" x14ac:dyDescent="0.25">
      <c r="AG542" s="238">
        <f>AG541</f>
        <v>124</v>
      </c>
      <c r="AH542" s="112" t="e">
        <f ca="1">AI541+1</f>
        <v>#N/A</v>
      </c>
      <c r="AI542" s="112" t="e">
        <f ca="1">IF(INDIRECT(CONCATENATE("AD",AG540))&lt;100000,INDIRECT(CONCATENATE("AD",AG540))-1,IF(INDIRECT(CONCATENATE("AE",AG540))&lt;100000,INDIRECT(CONCATENATE("AE",G540)),INDIRECT(CONCATENATE("AF",AG540))))</f>
        <v>#N/A</v>
      </c>
      <c r="AJ542" s="114"/>
      <c r="AK542" s="114"/>
      <c r="AL542" s="238" t="e">
        <f t="shared" ca="1" si="196"/>
        <v>#N/A</v>
      </c>
      <c r="AM542" s="112">
        <f t="shared" ca="1" si="193"/>
        <v>100000</v>
      </c>
      <c r="AN542" s="112">
        <f t="shared" ca="1" si="197"/>
        <v>100000</v>
      </c>
      <c r="AO542" s="114">
        <f t="shared" ca="1" si="194"/>
        <v>0</v>
      </c>
      <c r="AP542" s="114">
        <f t="shared" ca="1" si="195"/>
        <v>0</v>
      </c>
      <c r="AR542" s="238">
        <f t="shared" si="198"/>
        <v>542</v>
      </c>
      <c r="CJ542" s="112"/>
      <c r="CK542" s="112"/>
    </row>
    <row r="543" spans="33:89" x14ac:dyDescent="0.25">
      <c r="AG543" s="238">
        <f>AG542</f>
        <v>124</v>
      </c>
      <c r="AH543" s="112" t="e">
        <f ca="1">AI542+1</f>
        <v>#N/A</v>
      </c>
      <c r="AI543" s="112" t="e">
        <f ca="1">IF(INDIRECT(CONCATENATE("AE",AG540))&lt;100000,INDIRECT(CONCATENATE("AE",G540)),INDIRECT(CONCATENATE("AF",AG540)))</f>
        <v>#N/A</v>
      </c>
      <c r="AJ543" s="114"/>
      <c r="AK543" s="114"/>
      <c r="AL543" s="238" t="e">
        <f t="shared" ca="1" si="196"/>
        <v>#N/A</v>
      </c>
      <c r="AM543" s="112">
        <f t="shared" ca="1" si="193"/>
        <v>100000</v>
      </c>
      <c r="AN543" s="112">
        <f t="shared" ca="1" si="197"/>
        <v>100000</v>
      </c>
      <c r="AO543" s="114">
        <f t="shared" ca="1" si="194"/>
        <v>0</v>
      </c>
      <c r="AP543" s="114">
        <f t="shared" ca="1" si="195"/>
        <v>0</v>
      </c>
      <c r="AR543" s="238">
        <f t="shared" si="198"/>
        <v>543</v>
      </c>
      <c r="CJ543" s="112"/>
      <c r="CK543" s="112"/>
    </row>
    <row r="544" spans="33:89" x14ac:dyDescent="0.25">
      <c r="AG544" s="238">
        <f>AG543</f>
        <v>124</v>
      </c>
      <c r="AH544" s="112" t="e">
        <f ca="1">AI543+1</f>
        <v>#N/A</v>
      </c>
      <c r="AI544" s="112">
        <f ca="1">INDIRECT(CONCATENATE("AF",AG540))</f>
        <v>100000</v>
      </c>
      <c r="AJ544" s="114"/>
      <c r="AK544" s="114"/>
      <c r="AL544" s="238" t="e">
        <f t="shared" ca="1" si="196"/>
        <v>#N/A</v>
      </c>
      <c r="AM544" s="112">
        <f t="shared" ca="1" si="193"/>
        <v>100000</v>
      </c>
      <c r="AN544" s="112">
        <f t="shared" ca="1" si="197"/>
        <v>100000</v>
      </c>
      <c r="AO544" s="114">
        <f t="shared" ca="1" si="194"/>
        <v>0</v>
      </c>
      <c r="AP544" s="114">
        <f t="shared" ca="1" si="195"/>
        <v>0</v>
      </c>
      <c r="AR544" s="238">
        <f t="shared" si="198"/>
        <v>544</v>
      </c>
      <c r="CJ544" s="112"/>
      <c r="CK544" s="112"/>
    </row>
    <row r="545" spans="33:89" x14ac:dyDescent="0.25">
      <c r="AG545" s="238">
        <f>AG544+1</f>
        <v>125</v>
      </c>
      <c r="AH545" s="112">
        <f ca="1">INDIRECT(CONCATENATE("AA",AG545))</f>
        <v>100000</v>
      </c>
      <c r="AI545" s="112" t="e">
        <f ca="1">IF(            INDIRECT(CONCATENATE( "AB",AG545))&lt;100000,       INDIRECT(CONCATENATE("AB",AG545))  -1,IF(   INDIRECT(CONCATENATE("AC",AG545))&lt;100000,   INDIRECT(CONCATENATE("AC",AG545))-1,IF(   INDIRECT(CONCATENATE("AD", AG545))&lt;100000, INDIRECT(CONCATENATE("AD",AG545))-1,IF(   INDIRECT(CONCATENATE("AE",AG545))&lt;100000,  INDIRECT(CONCATENATE("AE",G545)),INDIRECT(CONCATENATE("AF",AG545))                ))))</f>
        <v>#N/A</v>
      </c>
      <c r="AJ545" s="114"/>
      <c r="AK545" s="114"/>
      <c r="AL545" s="238" t="e">
        <f t="shared" ca="1" si="196"/>
        <v>#N/A</v>
      </c>
      <c r="AM545" s="112">
        <f t="shared" ca="1" si="193"/>
        <v>100000</v>
      </c>
      <c r="AN545" s="112">
        <f t="shared" ca="1" si="197"/>
        <v>100000</v>
      </c>
      <c r="AO545" s="114">
        <f t="shared" ca="1" si="194"/>
        <v>0</v>
      </c>
      <c r="AP545" s="114">
        <f t="shared" ca="1" si="195"/>
        <v>0</v>
      </c>
      <c r="AR545" s="238">
        <f t="shared" si="198"/>
        <v>545</v>
      </c>
      <c r="CJ545" s="112"/>
      <c r="CK545" s="112"/>
    </row>
    <row r="546" spans="33:89" x14ac:dyDescent="0.25">
      <c r="AG546" s="238">
        <f>AG545</f>
        <v>125</v>
      </c>
      <c r="AH546" s="112" t="e">
        <f ca="1">AI545+1</f>
        <v>#N/A</v>
      </c>
      <c r="AI546" s="112" t="e">
        <f ca="1">IF(INDIRECT(CONCATENATE("AC",AG545))&lt;100000,INDIRECT(CONCATENATE("AC",AG545))-1,IF(INDIRECT(CONCATENATE("AD",AG545))&lt;100000,INDIRECT(CONCATENATE("AD",AG545))-1,IF(INDIRECT(CONCATENATE("AE",AG545))&lt;100000,INDIRECT(CONCATENATE("AE",G545)),INDIRECT(CONCATENATE("AF",AG545)))))</f>
        <v>#N/A</v>
      </c>
      <c r="AJ546" s="114"/>
      <c r="AK546" s="114"/>
      <c r="AL546" s="238" t="e">
        <f t="shared" ca="1" si="196"/>
        <v>#N/A</v>
      </c>
      <c r="AM546" s="112">
        <f t="shared" ca="1" si="193"/>
        <v>100000</v>
      </c>
      <c r="AN546" s="112">
        <f t="shared" ca="1" si="197"/>
        <v>100000</v>
      </c>
      <c r="AO546" s="114">
        <f t="shared" ca="1" si="194"/>
        <v>0</v>
      </c>
      <c r="AP546" s="114">
        <f t="shared" ca="1" si="195"/>
        <v>0</v>
      </c>
      <c r="AR546" s="238">
        <f t="shared" si="198"/>
        <v>546</v>
      </c>
      <c r="CJ546" s="112"/>
      <c r="CK546" s="112"/>
    </row>
    <row r="547" spans="33:89" x14ac:dyDescent="0.25">
      <c r="AG547" s="238">
        <f>AG546</f>
        <v>125</v>
      </c>
      <c r="AH547" s="112" t="e">
        <f ca="1">AI546+1</f>
        <v>#N/A</v>
      </c>
      <c r="AI547" s="112" t="e">
        <f ca="1">IF(INDIRECT(CONCATENATE("AD",AG545))&lt;100000,INDIRECT(CONCATENATE("AD",AG545))-1,IF(INDIRECT(CONCATENATE("AE",AG545))&lt;100000,INDIRECT(CONCATENATE("AE",G545)),INDIRECT(CONCATENATE("AF",AG545))))</f>
        <v>#N/A</v>
      </c>
      <c r="AJ547" s="114"/>
      <c r="AK547" s="114"/>
      <c r="AL547" s="238" t="e">
        <f t="shared" ca="1" si="196"/>
        <v>#N/A</v>
      </c>
      <c r="AM547" s="112">
        <f t="shared" ca="1" si="193"/>
        <v>100000</v>
      </c>
      <c r="AN547" s="112">
        <f t="shared" ca="1" si="197"/>
        <v>100000</v>
      </c>
      <c r="AO547" s="114">
        <f t="shared" ca="1" si="194"/>
        <v>0</v>
      </c>
      <c r="AP547" s="114">
        <f t="shared" ca="1" si="195"/>
        <v>0</v>
      </c>
      <c r="AR547" s="238">
        <f t="shared" si="198"/>
        <v>547</v>
      </c>
      <c r="CJ547" s="112"/>
      <c r="CK547" s="112"/>
    </row>
    <row r="548" spans="33:89" x14ac:dyDescent="0.25">
      <c r="AG548" s="238">
        <f>AG547</f>
        <v>125</v>
      </c>
      <c r="AH548" s="112" t="e">
        <f ca="1">AI547+1</f>
        <v>#N/A</v>
      </c>
      <c r="AI548" s="112" t="e">
        <f ca="1">IF(INDIRECT(CONCATENATE("AE",AG545))&lt;100000,INDIRECT(CONCATENATE("AE",G545)),INDIRECT(CONCATENATE("AF",AG545)))</f>
        <v>#N/A</v>
      </c>
      <c r="AJ548" s="114"/>
      <c r="AK548" s="114"/>
      <c r="AL548" s="238" t="e">
        <f t="shared" ca="1" si="196"/>
        <v>#N/A</v>
      </c>
      <c r="AM548" s="112">
        <f t="shared" ca="1" si="193"/>
        <v>100000</v>
      </c>
      <c r="AN548" s="112">
        <f t="shared" ca="1" si="197"/>
        <v>100000</v>
      </c>
      <c r="AO548" s="114">
        <f t="shared" ca="1" si="194"/>
        <v>0</v>
      </c>
      <c r="AP548" s="114">
        <f t="shared" ca="1" si="195"/>
        <v>0</v>
      </c>
      <c r="AR548" s="238">
        <f t="shared" si="198"/>
        <v>548</v>
      </c>
      <c r="CJ548" s="112"/>
      <c r="CK548" s="112"/>
    </row>
    <row r="549" spans="33:89" x14ac:dyDescent="0.25">
      <c r="AG549" s="238">
        <f>AG548</f>
        <v>125</v>
      </c>
      <c r="AH549" s="112" t="e">
        <f ca="1">AI548+1</f>
        <v>#N/A</v>
      </c>
      <c r="AI549" s="112">
        <f ca="1">INDIRECT(CONCATENATE("AF",AG545))</f>
        <v>100000</v>
      </c>
      <c r="AJ549" s="114"/>
      <c r="AK549" s="114"/>
      <c r="AL549" s="238" t="e">
        <f t="shared" ca="1" si="196"/>
        <v>#N/A</v>
      </c>
      <c r="AM549" s="112">
        <f t="shared" ca="1" si="193"/>
        <v>100000</v>
      </c>
      <c r="AN549" s="112">
        <f t="shared" ca="1" si="197"/>
        <v>100000</v>
      </c>
      <c r="AO549" s="114">
        <f t="shared" ca="1" si="194"/>
        <v>0</v>
      </c>
      <c r="AP549" s="114">
        <f t="shared" ca="1" si="195"/>
        <v>0</v>
      </c>
      <c r="AR549" s="238">
        <f t="shared" si="198"/>
        <v>549</v>
      </c>
      <c r="CJ549" s="112"/>
      <c r="CK549" s="112"/>
    </row>
    <row r="550" spans="33:89" x14ac:dyDescent="0.25">
      <c r="AG550" s="238">
        <f>AG549+1</f>
        <v>126</v>
      </c>
      <c r="AH550" s="112">
        <f ca="1">INDIRECT(CONCATENATE("AA",AG550))</f>
        <v>100000</v>
      </c>
      <c r="AI550" s="112" t="e">
        <f ca="1">IF(            INDIRECT(CONCATENATE( "AB",AG550))&lt;100000,       INDIRECT(CONCATENATE("AB",AG550))  -1,IF(   INDIRECT(CONCATENATE("AC",AG550))&lt;100000,   INDIRECT(CONCATENATE("AC",AG550))-1,IF(   INDIRECT(CONCATENATE("AD", AG550))&lt;100000, INDIRECT(CONCATENATE("AD",AG550))-1,IF(   INDIRECT(CONCATENATE("AE",AG550))&lt;100000,  INDIRECT(CONCATENATE("AE",G550)),INDIRECT(CONCATENATE("AF",AG550))                ))))</f>
        <v>#N/A</v>
      </c>
      <c r="AJ550" s="114"/>
      <c r="AK550" s="114"/>
      <c r="AL550" s="238" t="e">
        <f t="shared" ca="1" si="196"/>
        <v>#N/A</v>
      </c>
      <c r="AM550" s="112">
        <f t="shared" ca="1" si="193"/>
        <v>100000</v>
      </c>
      <c r="AN550" s="112">
        <f t="shared" ca="1" si="197"/>
        <v>100000</v>
      </c>
      <c r="AO550" s="114">
        <f t="shared" ca="1" si="194"/>
        <v>0</v>
      </c>
      <c r="AP550" s="114">
        <f t="shared" ca="1" si="195"/>
        <v>0</v>
      </c>
      <c r="AR550" s="238">
        <f t="shared" si="198"/>
        <v>550</v>
      </c>
      <c r="CJ550" s="112"/>
      <c r="CK550" s="112"/>
    </row>
    <row r="551" spans="33:89" x14ac:dyDescent="0.25">
      <c r="AG551" s="238">
        <f>AG550</f>
        <v>126</v>
      </c>
      <c r="AH551" s="112" t="e">
        <f ca="1">AI550+1</f>
        <v>#N/A</v>
      </c>
      <c r="AI551" s="112" t="e">
        <f ca="1">IF(INDIRECT(CONCATENATE("AC",AG550))&lt;100000,INDIRECT(CONCATENATE("AC",AG550))-1,IF(INDIRECT(CONCATENATE("AD",AG550))&lt;100000,INDIRECT(CONCATENATE("AD",AG550))-1,IF(INDIRECT(CONCATENATE("AE",AG550))&lt;100000,INDIRECT(CONCATENATE("AE",G550)),INDIRECT(CONCATENATE("AF",AG550)))))</f>
        <v>#N/A</v>
      </c>
      <c r="AJ551" s="114"/>
      <c r="AK551" s="114"/>
      <c r="AL551" s="238" t="e">
        <f t="shared" ca="1" si="196"/>
        <v>#N/A</v>
      </c>
      <c r="AM551" s="112">
        <f t="shared" ca="1" si="193"/>
        <v>100000</v>
      </c>
      <c r="AN551" s="112">
        <f t="shared" ca="1" si="197"/>
        <v>100000</v>
      </c>
      <c r="AO551" s="114">
        <f t="shared" ca="1" si="194"/>
        <v>0</v>
      </c>
      <c r="AP551" s="114">
        <f t="shared" ca="1" si="195"/>
        <v>0</v>
      </c>
      <c r="AR551" s="238">
        <f t="shared" si="198"/>
        <v>551</v>
      </c>
      <c r="CJ551" s="112"/>
      <c r="CK551" s="112"/>
    </row>
    <row r="552" spans="33:89" x14ac:dyDescent="0.25">
      <c r="AG552" s="238">
        <f>AG551</f>
        <v>126</v>
      </c>
      <c r="AH552" s="112" t="e">
        <f ca="1">AI551+1</f>
        <v>#N/A</v>
      </c>
      <c r="AI552" s="112" t="e">
        <f ca="1">IF(INDIRECT(CONCATENATE("AD",AG550))&lt;100000,INDIRECT(CONCATENATE("AD",AG550))-1,IF(INDIRECT(CONCATENATE("AE",AG550))&lt;100000,INDIRECT(CONCATENATE("AE",G550)),INDIRECT(CONCATENATE("AF",AG550))))</f>
        <v>#N/A</v>
      </c>
      <c r="AJ552" s="114"/>
      <c r="AK552" s="114"/>
      <c r="AL552" s="238" t="e">
        <f t="shared" ca="1" si="196"/>
        <v>#N/A</v>
      </c>
      <c r="AM552" s="112">
        <f t="shared" ca="1" si="193"/>
        <v>100000</v>
      </c>
      <c r="AN552" s="112">
        <f t="shared" ca="1" si="197"/>
        <v>100000</v>
      </c>
      <c r="AO552" s="114">
        <f t="shared" ca="1" si="194"/>
        <v>0</v>
      </c>
      <c r="AP552" s="114">
        <f t="shared" ca="1" si="195"/>
        <v>0</v>
      </c>
      <c r="AR552" s="238">
        <f t="shared" si="198"/>
        <v>552</v>
      </c>
      <c r="CJ552" s="112"/>
      <c r="CK552" s="112"/>
    </row>
    <row r="553" spans="33:89" x14ac:dyDescent="0.25">
      <c r="AG553" s="238">
        <f>AG552</f>
        <v>126</v>
      </c>
      <c r="AH553" s="112" t="e">
        <f ca="1">AI552+1</f>
        <v>#N/A</v>
      </c>
      <c r="AI553" s="112" t="e">
        <f ca="1">IF(INDIRECT(CONCATENATE("AE",AG550))&lt;100000,INDIRECT(CONCATENATE("AE",G550)),INDIRECT(CONCATENATE("AF",AG550)))</f>
        <v>#N/A</v>
      </c>
      <c r="AJ553" s="114"/>
      <c r="AK553" s="114"/>
      <c r="AL553" s="238" t="e">
        <f t="shared" ca="1" si="196"/>
        <v>#N/A</v>
      </c>
      <c r="AM553" s="112">
        <f t="shared" ref="AM553:AM564" ca="1" si="199">IF(TYPE(AL553)=16,100000,IF(AL553=0,100000,AH553))</f>
        <v>100000</v>
      </c>
      <c r="AN553" s="112">
        <f t="shared" ca="1" si="197"/>
        <v>100000</v>
      </c>
      <c r="AO553" s="114">
        <f t="shared" ca="1" si="194"/>
        <v>0</v>
      </c>
      <c r="AP553" s="114">
        <f t="shared" ca="1" si="195"/>
        <v>0</v>
      </c>
      <c r="AR553" s="238">
        <f t="shared" si="198"/>
        <v>553</v>
      </c>
      <c r="CJ553" s="112"/>
      <c r="CK553" s="112"/>
    </row>
    <row r="554" spans="33:89" x14ac:dyDescent="0.25">
      <c r="AG554" s="238">
        <f>AG553</f>
        <v>126</v>
      </c>
      <c r="AH554" s="112" t="e">
        <f ca="1">AI553+1</f>
        <v>#N/A</v>
      </c>
      <c r="AI554" s="112">
        <f ca="1">INDIRECT(CONCATENATE("AF",AG550))</f>
        <v>100000</v>
      </c>
      <c r="AJ554" s="114"/>
      <c r="AK554" s="114"/>
      <c r="AL554" s="238" t="e">
        <f t="shared" ca="1" si="196"/>
        <v>#N/A</v>
      </c>
      <c r="AM554" s="112">
        <f t="shared" ca="1" si="199"/>
        <v>100000</v>
      </c>
      <c r="AN554" s="112">
        <f t="shared" ca="1" si="197"/>
        <v>100000</v>
      </c>
      <c r="AO554" s="114">
        <f t="shared" ca="1" si="194"/>
        <v>0</v>
      </c>
      <c r="AP554" s="114">
        <f t="shared" ca="1" si="195"/>
        <v>0</v>
      </c>
      <c r="AR554" s="238">
        <f t="shared" si="198"/>
        <v>554</v>
      </c>
      <c r="CJ554" s="112"/>
      <c r="CK554" s="112"/>
    </row>
    <row r="555" spans="33:89" x14ac:dyDescent="0.25">
      <c r="AG555" s="238">
        <f>AG554+1</f>
        <v>127</v>
      </c>
      <c r="AH555" s="112">
        <f ca="1">INDIRECT(CONCATENATE("AA",AG555))</f>
        <v>100000</v>
      </c>
      <c r="AI555" s="112" t="e">
        <f ca="1">IF(            INDIRECT(CONCATENATE( "AB",AG555))&lt;100000,       INDIRECT(CONCATENATE("AB",AG555))  -1,IF(   INDIRECT(CONCATENATE("AC",AG555))&lt;100000,   INDIRECT(CONCATENATE("AC",AG555))-1,IF(   INDIRECT(CONCATENATE("AD", AG555))&lt;100000, INDIRECT(CONCATENATE("AD",AG555))-1,IF(   INDIRECT(CONCATENATE("AE",AG555))&lt;100000,  INDIRECT(CONCATENATE("AE",G555)),INDIRECT(CONCATENATE("AF",AG555))                ))))</f>
        <v>#N/A</v>
      </c>
      <c r="AJ555" s="114"/>
      <c r="AK555" s="114"/>
      <c r="AL555" s="238" t="e">
        <f t="shared" ca="1" si="196"/>
        <v>#N/A</v>
      </c>
      <c r="AM555" s="112">
        <f t="shared" ca="1" si="199"/>
        <v>100000</v>
      </c>
      <c r="AN555" s="112">
        <f t="shared" ca="1" si="197"/>
        <v>100000</v>
      </c>
      <c r="AO555" s="114">
        <f t="shared" ca="1" si="194"/>
        <v>0</v>
      </c>
      <c r="AP555" s="114">
        <f t="shared" ca="1" si="195"/>
        <v>0</v>
      </c>
      <c r="AR555" s="238">
        <f t="shared" si="198"/>
        <v>555</v>
      </c>
      <c r="CJ555" s="112"/>
      <c r="CK555" s="112"/>
    </row>
    <row r="556" spans="33:89" x14ac:dyDescent="0.25">
      <c r="AG556" s="238">
        <f>AG555</f>
        <v>127</v>
      </c>
      <c r="AH556" s="112" t="e">
        <f ca="1">AI555+1</f>
        <v>#N/A</v>
      </c>
      <c r="AI556" s="112" t="e">
        <f ca="1">IF(INDIRECT(CONCATENATE("AC",AG555))&lt;100000,INDIRECT(CONCATENATE("AC",AG555))-1,IF(INDIRECT(CONCATENATE("AD",AG555))&lt;100000,INDIRECT(CONCATENATE("AD",AG555))-1,IF(INDIRECT(CONCATENATE("AE",AG555))&lt;100000,INDIRECT(CONCATENATE("AE",G555)),INDIRECT(CONCATENATE("AF",AG555)))))</f>
        <v>#N/A</v>
      </c>
      <c r="AJ556" s="114"/>
      <c r="AK556" s="114"/>
      <c r="AL556" s="238" t="e">
        <f t="shared" ca="1" si="196"/>
        <v>#N/A</v>
      </c>
      <c r="AM556" s="112">
        <f t="shared" ca="1" si="199"/>
        <v>100000</v>
      </c>
      <c r="AN556" s="112">
        <f t="shared" ca="1" si="197"/>
        <v>100000</v>
      </c>
      <c r="AO556" s="114">
        <f t="shared" ca="1" si="194"/>
        <v>0</v>
      </c>
      <c r="AP556" s="114">
        <f t="shared" ca="1" si="195"/>
        <v>0</v>
      </c>
      <c r="AR556" s="238">
        <f t="shared" si="198"/>
        <v>556</v>
      </c>
      <c r="CJ556" s="112"/>
      <c r="CK556" s="112"/>
    </row>
    <row r="557" spans="33:89" x14ac:dyDescent="0.25">
      <c r="AG557" s="238">
        <f>AG556</f>
        <v>127</v>
      </c>
      <c r="AH557" s="112" t="e">
        <f ca="1">AI556+1</f>
        <v>#N/A</v>
      </c>
      <c r="AI557" s="112" t="e">
        <f ca="1">IF(INDIRECT(CONCATENATE("AD",AG555))&lt;100000,INDIRECT(CONCATENATE("AD",AG555))-1,IF(INDIRECT(CONCATENATE("AE",AG555))&lt;100000,INDIRECT(CONCATENATE("AE",G555)),INDIRECT(CONCATENATE("AF",AG555))))</f>
        <v>#N/A</v>
      </c>
      <c r="AJ557" s="114"/>
      <c r="AK557" s="114"/>
      <c r="AL557" s="238" t="e">
        <f t="shared" ca="1" si="196"/>
        <v>#N/A</v>
      </c>
      <c r="AM557" s="112">
        <f t="shared" ca="1" si="199"/>
        <v>100000</v>
      </c>
      <c r="AN557" s="112">
        <f t="shared" ca="1" si="197"/>
        <v>100000</v>
      </c>
      <c r="AO557" s="114">
        <f t="shared" ca="1" si="194"/>
        <v>0</v>
      </c>
      <c r="AP557" s="114">
        <f t="shared" ca="1" si="195"/>
        <v>0</v>
      </c>
      <c r="AR557" s="238">
        <f t="shared" si="198"/>
        <v>557</v>
      </c>
      <c r="CJ557" s="112"/>
      <c r="CK557" s="112"/>
    </row>
    <row r="558" spans="33:89" x14ac:dyDescent="0.25">
      <c r="AG558" s="238">
        <f>AG557</f>
        <v>127</v>
      </c>
      <c r="AH558" s="112" t="e">
        <f ca="1">AI557+1</f>
        <v>#N/A</v>
      </c>
      <c r="AI558" s="112" t="e">
        <f ca="1">IF(INDIRECT(CONCATENATE("AE",AG555))&lt;100000,INDIRECT(CONCATENATE("AE",G555)),INDIRECT(CONCATENATE("AF",AG555)))</f>
        <v>#N/A</v>
      </c>
      <c r="AJ558" s="114"/>
      <c r="AK558" s="114"/>
      <c r="AL558" s="238" t="e">
        <f t="shared" ca="1" si="196"/>
        <v>#N/A</v>
      </c>
      <c r="AM558" s="112">
        <f t="shared" ca="1" si="199"/>
        <v>100000</v>
      </c>
      <c r="AN558" s="112">
        <f t="shared" ca="1" si="197"/>
        <v>100000</v>
      </c>
      <c r="AO558" s="114">
        <f t="shared" ca="1" si="194"/>
        <v>0</v>
      </c>
      <c r="AP558" s="114">
        <f t="shared" ca="1" si="195"/>
        <v>0</v>
      </c>
      <c r="AR558" s="238">
        <f t="shared" si="198"/>
        <v>558</v>
      </c>
      <c r="CJ558" s="112"/>
      <c r="CK558" s="112"/>
    </row>
    <row r="559" spans="33:89" x14ac:dyDescent="0.25">
      <c r="AG559" s="238">
        <f>AG558</f>
        <v>127</v>
      </c>
      <c r="AH559" s="112" t="e">
        <f ca="1">AI558+1</f>
        <v>#N/A</v>
      </c>
      <c r="AI559" s="112">
        <f ca="1">INDIRECT(CONCATENATE("AF",AG555))</f>
        <v>100000</v>
      </c>
      <c r="AJ559" s="114"/>
      <c r="AK559" s="114"/>
      <c r="AL559" s="238" t="e">
        <f t="shared" ca="1" si="196"/>
        <v>#N/A</v>
      </c>
      <c r="AM559" s="112">
        <f t="shared" ca="1" si="199"/>
        <v>100000</v>
      </c>
      <c r="AN559" s="112">
        <f t="shared" ca="1" si="197"/>
        <v>100000</v>
      </c>
      <c r="AO559" s="114">
        <f t="shared" ca="1" si="194"/>
        <v>0</v>
      </c>
      <c r="AP559" s="114">
        <f t="shared" ca="1" si="195"/>
        <v>0</v>
      </c>
      <c r="AR559" s="238">
        <f t="shared" si="198"/>
        <v>559</v>
      </c>
      <c r="CJ559" s="112"/>
      <c r="CK559" s="112"/>
    </row>
    <row r="560" spans="33:89" x14ac:dyDescent="0.25">
      <c r="AG560" s="238">
        <f>AG559+1</f>
        <v>128</v>
      </c>
      <c r="AH560" s="112">
        <f ca="1">INDIRECT(CONCATENATE("AA",AG560))</f>
        <v>100000</v>
      </c>
      <c r="AI560" s="112" t="e">
        <f ca="1">IF(            INDIRECT(CONCATENATE( "AB",AG560))&lt;100000,       INDIRECT(CONCATENATE("AB",AG560))  -1,IF(   INDIRECT(CONCATENATE("AC",AG560))&lt;100000,   INDIRECT(CONCATENATE("AC",AG560))-1,IF(   INDIRECT(CONCATENATE("AD", AG560))&lt;100000, INDIRECT(CONCATENATE("AD",AG560))-1,IF(   INDIRECT(CONCATENATE("AE",AG560))&lt;100000,  INDIRECT(CONCATENATE("AE",G560)),INDIRECT(CONCATENATE("AF",AG560))                ))))</f>
        <v>#N/A</v>
      </c>
      <c r="AJ560" s="114"/>
      <c r="AK560" s="114"/>
      <c r="AL560" s="238" t="e">
        <f t="shared" ca="1" si="196"/>
        <v>#N/A</v>
      </c>
      <c r="AM560" s="112">
        <f t="shared" ca="1" si="199"/>
        <v>100000</v>
      </c>
      <c r="AN560" s="112">
        <f t="shared" ca="1" si="197"/>
        <v>100000</v>
      </c>
      <c r="AO560" s="114">
        <f t="shared" ca="1" si="194"/>
        <v>0</v>
      </c>
      <c r="AP560" s="114">
        <f t="shared" ca="1" si="195"/>
        <v>0</v>
      </c>
      <c r="AR560" s="238">
        <f t="shared" si="198"/>
        <v>560</v>
      </c>
      <c r="CJ560" s="112"/>
      <c r="CK560" s="112"/>
    </row>
    <row r="561" spans="33:89" x14ac:dyDescent="0.25">
      <c r="AG561" s="238">
        <f>AG560</f>
        <v>128</v>
      </c>
      <c r="AH561" s="112" t="e">
        <f ca="1">AI560+1</f>
        <v>#N/A</v>
      </c>
      <c r="AI561" s="112" t="e">
        <f ca="1">IF(INDIRECT(CONCATENATE("AC",AG560))&lt;100000,INDIRECT(CONCATENATE("AC",AG560))-1,IF(INDIRECT(CONCATENATE("AD",AG560))&lt;100000,INDIRECT(CONCATENATE("AD",AG560))-1,IF(INDIRECT(CONCATENATE("AE",AG560))&lt;100000,INDIRECT(CONCATENATE("AE",G560)),INDIRECT(CONCATENATE("AF",AG560)))))</f>
        <v>#N/A</v>
      </c>
      <c r="AJ561" s="114"/>
      <c r="AK561" s="114"/>
      <c r="AL561" s="238" t="e">
        <f t="shared" ca="1" si="196"/>
        <v>#N/A</v>
      </c>
      <c r="AM561" s="112">
        <f t="shared" ca="1" si="199"/>
        <v>100000</v>
      </c>
      <c r="AN561" s="112">
        <f t="shared" ca="1" si="197"/>
        <v>100000</v>
      </c>
      <c r="AO561" s="114">
        <f t="shared" ca="1" si="194"/>
        <v>0</v>
      </c>
      <c r="AP561" s="114">
        <f t="shared" ca="1" si="195"/>
        <v>0</v>
      </c>
      <c r="AR561" s="238">
        <f t="shared" si="198"/>
        <v>561</v>
      </c>
      <c r="CJ561" s="112"/>
      <c r="CK561" s="112"/>
    </row>
    <row r="562" spans="33:89" x14ac:dyDescent="0.25">
      <c r="AG562" s="238">
        <f>AG561</f>
        <v>128</v>
      </c>
      <c r="AH562" s="112" t="e">
        <f ca="1">AI561+1</f>
        <v>#N/A</v>
      </c>
      <c r="AI562" s="112" t="e">
        <f ca="1">IF(INDIRECT(CONCATENATE("AD",AG560))&lt;100000,INDIRECT(CONCATENATE("AD",AG560))-1,IF(INDIRECT(CONCATENATE("AE",AG560))&lt;100000,INDIRECT(CONCATENATE("AE",G560)),INDIRECT(CONCATENATE("AF",AG560))))</f>
        <v>#N/A</v>
      </c>
      <c r="AJ562" s="114"/>
      <c r="AK562" s="114"/>
      <c r="AL562" s="238" t="e">
        <f t="shared" ca="1" si="196"/>
        <v>#N/A</v>
      </c>
      <c r="AM562" s="112">
        <f t="shared" ca="1" si="199"/>
        <v>100000</v>
      </c>
      <c r="AN562" s="112">
        <f t="shared" ca="1" si="197"/>
        <v>100000</v>
      </c>
      <c r="AO562" s="114">
        <f t="shared" ca="1" si="194"/>
        <v>0</v>
      </c>
      <c r="AP562" s="114">
        <f t="shared" ca="1" si="195"/>
        <v>0</v>
      </c>
      <c r="AR562" s="238">
        <f t="shared" si="198"/>
        <v>562</v>
      </c>
      <c r="CJ562" s="112"/>
      <c r="CK562" s="112"/>
    </row>
    <row r="563" spans="33:89" x14ac:dyDescent="0.25">
      <c r="AG563" s="238">
        <f>AG562</f>
        <v>128</v>
      </c>
      <c r="AH563" s="112" t="e">
        <f ca="1">AI562+1</f>
        <v>#N/A</v>
      </c>
      <c r="AI563" s="112" t="e">
        <f ca="1">IF(INDIRECT(CONCATENATE("AE",AG560))&lt;100000,INDIRECT(CONCATENATE("AE",G560)),INDIRECT(CONCATENATE("AF",AG560)))</f>
        <v>#N/A</v>
      </c>
      <c r="AJ563" s="114"/>
      <c r="AK563" s="114"/>
      <c r="AL563" s="238" t="e">
        <f t="shared" ca="1" si="196"/>
        <v>#N/A</v>
      </c>
      <c r="AM563" s="112">
        <f t="shared" ca="1" si="199"/>
        <v>100000</v>
      </c>
      <c r="AN563" s="112">
        <f t="shared" ca="1" si="197"/>
        <v>100000</v>
      </c>
      <c r="AO563" s="114">
        <f t="shared" ca="1" si="194"/>
        <v>0</v>
      </c>
      <c r="AP563" s="114">
        <f t="shared" ca="1" si="195"/>
        <v>0</v>
      </c>
      <c r="AR563" s="238">
        <f t="shared" si="198"/>
        <v>563</v>
      </c>
      <c r="CJ563" s="112"/>
      <c r="CK563" s="112"/>
    </row>
    <row r="564" spans="33:89" x14ac:dyDescent="0.25">
      <c r="AG564" s="238">
        <f>AG563</f>
        <v>128</v>
      </c>
      <c r="AH564" s="112" t="e">
        <f ca="1">AI563+1</f>
        <v>#N/A</v>
      </c>
      <c r="AI564" s="112">
        <f ca="1">INDIRECT(CONCATENATE("AF",AG560))</f>
        <v>100000</v>
      </c>
      <c r="AJ564" s="114"/>
      <c r="AK564" s="114"/>
      <c r="AL564" s="238" t="e">
        <f t="shared" ca="1" si="196"/>
        <v>#N/A</v>
      </c>
      <c r="AM564" s="112">
        <f t="shared" ca="1" si="199"/>
        <v>100000</v>
      </c>
      <c r="AN564" s="112">
        <f t="shared" ca="1" si="197"/>
        <v>100000</v>
      </c>
      <c r="AO564" s="114">
        <f t="shared" ca="1" si="194"/>
        <v>0</v>
      </c>
      <c r="AP564" s="114">
        <f t="shared" ca="1" si="195"/>
        <v>0</v>
      </c>
      <c r="AR564" s="238">
        <f t="shared" si="198"/>
        <v>564</v>
      </c>
      <c r="CJ564" s="112"/>
      <c r="CK564" s="112"/>
    </row>
    <row r="565" spans="33:89" x14ac:dyDescent="0.25">
      <c r="CJ565" s="112"/>
      <c r="CK565" s="112"/>
    </row>
    <row r="566" spans="33:89" x14ac:dyDescent="0.25">
      <c r="CJ566" s="112"/>
      <c r="CK566" s="112"/>
    </row>
    <row r="567" spans="33:89" x14ac:dyDescent="0.25">
      <c r="CJ567" s="112"/>
      <c r="CK567" s="112"/>
    </row>
    <row r="568" spans="33:89" x14ac:dyDescent="0.25">
      <c r="CJ568" s="112"/>
      <c r="CK568" s="112"/>
    </row>
    <row r="569" spans="33:89" x14ac:dyDescent="0.25">
      <c r="CJ569" s="112"/>
      <c r="CK569" s="112"/>
    </row>
    <row r="570" spans="33:89" x14ac:dyDescent="0.25">
      <c r="CJ570" s="112"/>
      <c r="CK570" s="112"/>
    </row>
    <row r="571" spans="33:89" x14ac:dyDescent="0.25">
      <c r="CJ571" s="112"/>
      <c r="CK571" s="112"/>
    </row>
    <row r="572" spans="33:89" x14ac:dyDescent="0.25">
      <c r="CJ572" s="112"/>
      <c r="CK572" s="112"/>
    </row>
    <row r="573" spans="33:89" x14ac:dyDescent="0.25">
      <c r="CJ573" s="112"/>
      <c r="CK573" s="112"/>
    </row>
    <row r="574" spans="33:89" x14ac:dyDescent="0.25">
      <c r="CJ574" s="112"/>
      <c r="CK574" s="112"/>
    </row>
    <row r="575" spans="33:89" x14ac:dyDescent="0.25">
      <c r="CJ575" s="112"/>
      <c r="CK575" s="112"/>
    </row>
  </sheetData>
  <mergeCells count="2">
    <mergeCell ref="EA19:EM19"/>
    <mergeCell ref="EW19:FI1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9"/>
  <dimension ref="C1:K101"/>
  <sheetViews>
    <sheetView showRowColHeaders="0" workbookViewId="0">
      <selection activeCell="E2" sqref="E2:J2"/>
    </sheetView>
  </sheetViews>
  <sheetFormatPr defaultColWidth="8.85546875" defaultRowHeight="150" customHeight="1" x14ac:dyDescent="0.25"/>
  <cols>
    <col min="1" max="1" width="1.5703125" style="246" customWidth="1"/>
    <col min="2" max="2" width="0.42578125" style="246" customWidth="1"/>
    <col min="3" max="3" width="82.28515625" style="246" customWidth="1"/>
    <col min="4" max="16384" width="8.85546875" style="246"/>
  </cols>
  <sheetData>
    <row r="1" spans="3:11" ht="101.45" customHeight="1" thickBot="1" x14ac:dyDescent="0.3">
      <c r="C1" s="263" t="s">
        <v>493</v>
      </c>
      <c r="E1" s="666" t="s">
        <v>494</v>
      </c>
      <c r="F1" s="667"/>
      <c r="G1" s="667"/>
      <c r="H1" s="667"/>
      <c r="I1" s="667"/>
      <c r="J1" s="667"/>
      <c r="K1" s="667"/>
    </row>
    <row r="2" spans="3:11" ht="101.45" customHeight="1" thickBot="1" x14ac:dyDescent="0.4">
      <c r="C2" s="263" t="s">
        <v>492</v>
      </c>
      <c r="E2" s="661" t="s">
        <v>395</v>
      </c>
      <c r="F2" s="662"/>
      <c r="G2" s="662"/>
      <c r="H2" s="662"/>
      <c r="I2" s="662"/>
      <c r="J2" s="663"/>
    </row>
    <row r="3" spans="3:11" ht="136.15" customHeight="1" thickBot="1" x14ac:dyDescent="0.4">
      <c r="C3" s="263" t="s">
        <v>326</v>
      </c>
      <c r="D3" s="402"/>
      <c r="E3" s="664" t="s">
        <v>415</v>
      </c>
      <c r="F3" s="665"/>
      <c r="G3" s="665"/>
      <c r="H3" s="665"/>
      <c r="I3" s="665"/>
      <c r="J3" s="403"/>
      <c r="K3" s="404"/>
    </row>
    <row r="4" spans="3:11" ht="200.45" customHeight="1" x14ac:dyDescent="0.25">
      <c r="C4" s="263" t="s">
        <v>396</v>
      </c>
    </row>
    <row r="5" spans="3:11" ht="21.6" customHeight="1" x14ac:dyDescent="0.25">
      <c r="C5" s="263"/>
    </row>
    <row r="6" spans="3:11" ht="12.6" customHeight="1" x14ac:dyDescent="0.25">
      <c r="C6" s="263"/>
    </row>
    <row r="7" spans="3:11" ht="10.15" customHeight="1" x14ac:dyDescent="0.25">
      <c r="C7" s="263"/>
    </row>
    <row r="8" spans="3:11" ht="10.15" customHeight="1" x14ac:dyDescent="0.25">
      <c r="C8" s="263"/>
    </row>
    <row r="9" spans="3:11" ht="38.450000000000003" customHeight="1" x14ac:dyDescent="0.25">
      <c r="C9" s="263"/>
    </row>
    <row r="10" spans="3:11" ht="114.6" customHeight="1" x14ac:dyDescent="0.25">
      <c r="C10" s="263" t="str">
        <f ca="1">Foglio7ti!HO38</f>
        <v xml:space="preserve">COME DA SENTENZA  ALLA DATA DEL:1/9/2018 VIENE RICONOSCIUTA LA SEGUENTE ANZIANITA': - Anni:0 - Mesi:0 - Giorni:0
Spetta all'interessato la seguente progressione:
  data  -  fascia 
1/9/2018   0-2 anni
</v>
      </c>
    </row>
    <row r="11" spans="3:11" ht="24.6" hidden="1" customHeight="1" x14ac:dyDescent="0.25">
      <c r="C11" s="263"/>
    </row>
    <row r="12" spans="3:11" ht="33" hidden="1" customHeight="1" x14ac:dyDescent="0.25">
      <c r="C12" s="263"/>
    </row>
    <row r="13" spans="3:11" ht="19.149999999999999" hidden="1" customHeight="1" x14ac:dyDescent="0.25">
      <c r="C13" s="263"/>
    </row>
    <row r="14" spans="3:11" ht="25.9" hidden="1" customHeight="1" x14ac:dyDescent="0.25">
      <c r="C14" s="263"/>
    </row>
    <row r="15" spans="3:11" ht="25.9" hidden="1" customHeight="1" x14ac:dyDescent="0.25">
      <c r="C15" s="263"/>
    </row>
    <row r="16" spans="3:11" ht="30.6" hidden="1" customHeight="1" x14ac:dyDescent="0.25">
      <c r="C16" s="263"/>
    </row>
    <row r="17" spans="3:3" ht="24.6" hidden="1" customHeight="1" x14ac:dyDescent="0.25">
      <c r="C17" s="263"/>
    </row>
    <row r="18" spans="3:3" ht="37.15" hidden="1" customHeight="1" x14ac:dyDescent="0.25">
      <c r="C18" s="263"/>
    </row>
    <row r="19" spans="3:3" ht="21" hidden="1" customHeight="1" x14ac:dyDescent="0.25">
      <c r="C19" s="263"/>
    </row>
    <row r="20" spans="3:3" ht="42" customHeight="1" x14ac:dyDescent="0.25">
      <c r="C20" s="263" t="s">
        <v>325</v>
      </c>
    </row>
    <row r="21" spans="3:3" ht="150" customHeight="1" x14ac:dyDescent="0.25">
      <c r="C21" s="263" t="str">
        <f ca="1">Foglio7ti!HO40</f>
        <v>ARTICOLO 1
con decorrenza dalla data: 1/9/2018   C.C.N.L. DEL 04/08/2011 - Fascia: 0-8 anni
 Stipendio annuo lordo euro: 21850,57
rpd/cia - annuo lordo euro: 2094
TOTALE ANNUO LORDO EURO 23944,57
Altri assegni previsti per legge</v>
      </c>
    </row>
    <row r="22" spans="3:3" ht="150" customHeight="1" x14ac:dyDescent="0.25">
      <c r="C22" s="263" t="str">
        <f ca="1">Foglio7ti!HO41</f>
        <v>ARTICOLO 2
con decorrenza dalla data: 1/1/2019   C.C.N.L. DEL 06/12/2022 - Fascia: 0-8 anni
 Stipendio annuo lordo euro: 22053,32
rpd/cia - annuo lordo euro: 2094
TOTALE ANNUO LORDO EURO 24147,32
Altri assegni previsti per legge</v>
      </c>
    </row>
    <row r="23" spans="3:3" ht="150" customHeight="1" x14ac:dyDescent="0.25">
      <c r="C23" s="263" t="str">
        <f ca="1">Foglio7ti!HO42</f>
        <v>ARTICOLO 3
con decorrenza dalla data: 1/1/2020   C.C.N.L. DEL 06/12/2022 - Fascia: 0-8 anni
 Stipendio annuo lordo euro: 22223,72
rpd/cia - annuo lordo euro: 2094
TOTALE ANNUO LORDO EURO 24317,72
Altri assegni previsti per legge</v>
      </c>
    </row>
    <row r="24" spans="3:3" ht="150" customHeight="1" x14ac:dyDescent="0.25">
      <c r="C24" s="263" t="str">
        <f ca="1">Foglio7ti!HO43</f>
        <v>ARTICOLO 4
con decorrenza dalla data: 1/1/2021   C.C.N.L. DEL 06/12/2022 - Fascia: 0-8 anni
 Stipendio annuo lordo euro: 22678,52
rpd/cia - annuo lordo euro: 2094
TOTALE ANNUO LORDO EURO 24772,52
Altri assegni previsti per legge</v>
      </c>
    </row>
    <row r="25" spans="3:3" ht="150" customHeight="1" x14ac:dyDescent="0.25">
      <c r="C25" s="263" t="str">
        <f ca="1">Foglio7ti!HO44</f>
        <v>ARTICOLO 5
con decorrenza dalla data: 1/9/2021   C.C.N.L. DEL 06/12/2022 - Fascia: 0-8 anni
 Stipendio annuo lordo euro: 22678,52
assegno ad personam ex fascia 3/8 anni - annuo lordo euro:  1188,1
rpd/cia - annuo lordo euro: 2094
TOTALE ANNUO LORDO EURO 25960,62
Altri assegni previsti per legge</v>
      </c>
    </row>
    <row r="26" spans="3:3" ht="150" customHeight="1" x14ac:dyDescent="0.25">
      <c r="C26" s="263" t="str">
        <f ca="1">Foglio7ti!HO45</f>
        <v>ARTICOLO 6
con decorrenza dalla data: 1/1/2022   C.C.N.L. DEL 06/12/2022 - Fascia: 0-8 anni
 Stipendio annuo lordo euro: 22678,52
assegno ad personam ex fascia 3/8 anni - annuo lordo euro:  1188,1
rpd/cia - annuo lordo euro: 2214
TOTALE ANNUO LORDO EURO 26080,62
Altri assegni previsti per legge</v>
      </c>
    </row>
    <row r="27" spans="3:3" ht="150" customHeight="1" x14ac:dyDescent="0.25">
      <c r="C27" s="263" t="str">
        <f ca="1">Foglio7ti!HO46</f>
        <v>ARTICOLO 7
con decorrenza dalla data: 1/4/2022   C.C.N.L. DEL 06/12/2022 - Fascia: 0-8 anni
 Stipendio annuo lordo euro: 22678,52
  Indennita di Vacanza contr.le - annuo lordo euro: 68,04
assegno ad personam ex fascia 3/8 anni - annuo lordo euro:  1188,1
rpd/cia - annuo lordo euro: 2214
TOTALE ANNUO LORDO EURO 26148,66
Altri assegni previsti per legge</v>
      </c>
    </row>
    <row r="28" spans="3:3" ht="150" customHeight="1" x14ac:dyDescent="0.25">
      <c r="C28" s="263" t="str">
        <f ca="1">Foglio7ti!HO47</f>
        <v>ARTICOLO 8
con decorrenza dalla data: 1/7/2022   C.C.N.L. DEL 06/12/2022 - Fascia: 0-8 anni
 Stipendio annuo lordo euro: 22678,52
  Indennita di Vacanza contr.le - annuo lordo euro: 113,39
assegno ad personam ex fascia 3/8 anni - annuo lordo euro:  1188,1
rpd/cia - annuo lordo euro: 2214
TOTALE ANNUO LORDO EURO 26194,01
Altri assegni previsti per legge</v>
      </c>
    </row>
    <row r="29" spans="3:3" ht="150" customHeight="1" x14ac:dyDescent="0.25">
      <c r="C29" s="263" t="str">
        <f ca="1">Foglio7ti!HO48</f>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row>
    <row r="30" spans="3:3" ht="150" customHeight="1" x14ac:dyDescent="0.25">
      <c r="C30" s="263" t="str">
        <f ca="1">Foglio7ti!HO49</f>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row>
    <row r="31" spans="3:3" ht="150" customHeight="1" x14ac:dyDescent="0.25">
      <c r="C31" s="263" t="str">
        <f ca="1">Foglio7ti!HO50</f>
        <v xml:space="preserve">
</v>
      </c>
    </row>
    <row r="32" spans="3:3" ht="150" customHeight="1" x14ac:dyDescent="0.25">
      <c r="C32" s="263" t="str">
        <f ca="1">Foglio7ti!HO51</f>
        <v/>
      </c>
    </row>
    <row r="33" spans="3:3" ht="150" customHeight="1" x14ac:dyDescent="0.25">
      <c r="C33" s="263" t="str">
        <f ca="1">Foglio7ti!HO52</f>
        <v/>
      </c>
    </row>
    <row r="34" spans="3:3" ht="150" customHeight="1" x14ac:dyDescent="0.25">
      <c r="C34" s="263" t="str">
        <f ca="1">Foglio7ti!HO53</f>
        <v/>
      </c>
    </row>
    <row r="35" spans="3:3" ht="150" customHeight="1" x14ac:dyDescent="0.25">
      <c r="C35" s="263" t="str">
        <f ca="1">Foglio7ti!HO54</f>
        <v/>
      </c>
    </row>
    <row r="36" spans="3:3" ht="150" customHeight="1" x14ac:dyDescent="0.25">
      <c r="C36" s="263" t="str">
        <f ca="1">Foglio7ti!HO55</f>
        <v/>
      </c>
    </row>
    <row r="37" spans="3:3" ht="150" customHeight="1" x14ac:dyDescent="0.25">
      <c r="C37" s="263" t="str">
        <f ca="1">Foglio7ti!HO56</f>
        <v/>
      </c>
    </row>
    <row r="38" spans="3:3" ht="150" customHeight="1" x14ac:dyDescent="0.25">
      <c r="C38" s="263" t="str">
        <f ca="1">Foglio7ti!HO57</f>
        <v/>
      </c>
    </row>
    <row r="39" spans="3:3" ht="150" customHeight="1" x14ac:dyDescent="0.25">
      <c r="C39" s="263" t="str">
        <f ca="1">Foglio7ti!HO58</f>
        <v/>
      </c>
    </row>
    <row r="40" spans="3:3" ht="150" customHeight="1" x14ac:dyDescent="0.25">
      <c r="C40" s="263" t="str">
        <f ca="1">Foglio7ti!HO59</f>
        <v/>
      </c>
    </row>
    <row r="41" spans="3:3" ht="150" customHeight="1" x14ac:dyDescent="0.25">
      <c r="C41" s="263" t="str">
        <f ca="1">Foglio7ti!HO60</f>
        <v/>
      </c>
    </row>
    <row r="42" spans="3:3" ht="150" customHeight="1" x14ac:dyDescent="0.25">
      <c r="C42" s="263" t="str">
        <f ca="1">Foglio7ti!HO61</f>
        <v/>
      </c>
    </row>
    <row r="43" spans="3:3" ht="150" customHeight="1" x14ac:dyDescent="0.25">
      <c r="C43" s="263" t="str">
        <f ca="1">Foglio7ti!HO62</f>
        <v/>
      </c>
    </row>
    <row r="44" spans="3:3" ht="150" customHeight="1" x14ac:dyDescent="0.25">
      <c r="C44" s="263" t="str">
        <f ca="1">Foglio7ti!HO63</f>
        <v/>
      </c>
    </row>
    <row r="45" spans="3:3" ht="150" customHeight="1" x14ac:dyDescent="0.25">
      <c r="C45" s="263" t="str">
        <f ca="1">Foglio7ti!HO64</f>
        <v/>
      </c>
    </row>
    <row r="46" spans="3:3" ht="150" customHeight="1" x14ac:dyDescent="0.25">
      <c r="C46" s="263" t="str">
        <f ca="1">Foglio7ti!HO65</f>
        <v/>
      </c>
    </row>
    <row r="47" spans="3:3" ht="150" customHeight="1" x14ac:dyDescent="0.25">
      <c r="C47" s="263" t="str">
        <f ca="1">Foglio7ti!HO66</f>
        <v/>
      </c>
    </row>
    <row r="48" spans="3:3" ht="150" customHeight="1" x14ac:dyDescent="0.25">
      <c r="C48" s="263" t="str">
        <f ca="1">Foglio7ti!HO67</f>
        <v/>
      </c>
    </row>
    <row r="49" spans="3:3" ht="150" customHeight="1" x14ac:dyDescent="0.25">
      <c r="C49" s="263" t="str">
        <f ca="1">Foglio7ti!HO68</f>
        <v/>
      </c>
    </row>
    <row r="50" spans="3:3" ht="150" customHeight="1" x14ac:dyDescent="0.25">
      <c r="C50" s="263" t="str">
        <f ca="1">Foglio7ti!HO69</f>
        <v/>
      </c>
    </row>
    <row r="51" spans="3:3" ht="150" customHeight="1" x14ac:dyDescent="0.25">
      <c r="C51" s="263" t="str">
        <f ca="1">Foglio7ti!HO70</f>
        <v/>
      </c>
    </row>
    <row r="52" spans="3:3" ht="150" customHeight="1" x14ac:dyDescent="0.25">
      <c r="C52" s="263" t="str">
        <f ca="1">Foglio7ti!HO71</f>
        <v/>
      </c>
    </row>
    <row r="53" spans="3:3" ht="150" customHeight="1" x14ac:dyDescent="0.25">
      <c r="C53" s="263" t="str">
        <f ca="1">Foglio7ti!HO72</f>
        <v/>
      </c>
    </row>
    <row r="54" spans="3:3" ht="150" customHeight="1" x14ac:dyDescent="0.25">
      <c r="C54" s="263" t="str">
        <f ca="1">Foglio7ti!HO73</f>
        <v/>
      </c>
    </row>
    <row r="55" spans="3:3" ht="150" customHeight="1" x14ac:dyDescent="0.25">
      <c r="C55" s="263" t="str">
        <f ca="1">Foglio7ti!HO74</f>
        <v/>
      </c>
    </row>
    <row r="56" spans="3:3" ht="150" customHeight="1" x14ac:dyDescent="0.25">
      <c r="C56" s="263" t="str">
        <f ca="1">Foglio7ti!HO75</f>
        <v/>
      </c>
    </row>
    <row r="57" spans="3:3" ht="150" customHeight="1" x14ac:dyDescent="0.25">
      <c r="C57" s="263" t="str">
        <f ca="1">Foglio7ti!HO76</f>
        <v/>
      </c>
    </row>
    <row r="58" spans="3:3" ht="150" customHeight="1" x14ac:dyDescent="0.25">
      <c r="C58" s="263" t="str">
        <f ca="1">Foglio7ti!HO77</f>
        <v/>
      </c>
    </row>
    <row r="59" spans="3:3" ht="150" customHeight="1" x14ac:dyDescent="0.25">
      <c r="C59" s="263" t="str">
        <f ca="1">Foglio7ti!HO78</f>
        <v/>
      </c>
    </row>
    <row r="60" spans="3:3" ht="150" customHeight="1" x14ac:dyDescent="0.25">
      <c r="C60" s="263" t="str">
        <f ca="1">Foglio7ti!HO79</f>
        <v/>
      </c>
    </row>
    <row r="61" spans="3:3" ht="150" customHeight="1" x14ac:dyDescent="0.25">
      <c r="C61" s="263" t="str">
        <f ca="1">Foglio7ti!HO80</f>
        <v/>
      </c>
    </row>
    <row r="62" spans="3:3" ht="150" customHeight="1" x14ac:dyDescent="0.25">
      <c r="C62" s="263" t="str">
        <f ca="1">Foglio7ti!HO81</f>
        <v/>
      </c>
    </row>
    <row r="63" spans="3:3" ht="150" customHeight="1" x14ac:dyDescent="0.25">
      <c r="C63" s="263" t="str">
        <f ca="1">Foglio7ti!HO82</f>
        <v/>
      </c>
    </row>
    <row r="64" spans="3:3" ht="150" customHeight="1" x14ac:dyDescent="0.25">
      <c r="C64" s="263" t="str">
        <f ca="1">Foglio7ti!HO83</f>
        <v/>
      </c>
    </row>
    <row r="65" spans="3:3" ht="150" customHeight="1" x14ac:dyDescent="0.25">
      <c r="C65" s="263" t="str">
        <f ca="1">Foglio7ti!HO84</f>
        <v/>
      </c>
    </row>
    <row r="66" spans="3:3" ht="150" customHeight="1" x14ac:dyDescent="0.25">
      <c r="C66" s="310">
        <f ca="1">Foglio7ti!HO85</f>
        <v>0</v>
      </c>
    </row>
    <row r="67" spans="3:3" ht="150" customHeight="1" x14ac:dyDescent="0.25">
      <c r="C67" s="310">
        <f ca="1">Foglio7ti!HO86</f>
        <v>0</v>
      </c>
    </row>
    <row r="68" spans="3:3" ht="150" customHeight="1" x14ac:dyDescent="0.25">
      <c r="C68" s="310">
        <f ca="1">Foglio7ti!HO87</f>
        <v>0</v>
      </c>
    </row>
    <row r="69" spans="3:3" ht="150" customHeight="1" x14ac:dyDescent="0.25">
      <c r="C69" s="310" t="str">
        <f ca="1">Foglio7ti!HO88</f>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row>
    <row r="70" spans="3:3" ht="150" customHeight="1" x14ac:dyDescent="0.25">
      <c r="C70" s="310" t="str">
        <f ca="1">Foglio7ti!HO89</f>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row>
    <row r="71" spans="3:3" ht="150" customHeight="1" x14ac:dyDescent="0.25">
      <c r="C71" s="310" t="str">
        <f ca="1">Foglio7ti!HO90</f>
        <v xml:space="preserve">
</v>
      </c>
    </row>
    <row r="72" spans="3:3" ht="150" customHeight="1" x14ac:dyDescent="0.25">
      <c r="C72" s="310" t="str">
        <f>Foglio7ti!HO91</f>
        <v/>
      </c>
    </row>
    <row r="73" spans="3:3" ht="150" customHeight="1" x14ac:dyDescent="0.25">
      <c r="C73" s="310" t="str">
        <f>Foglio7ti!HO92</f>
        <v/>
      </c>
    </row>
    <row r="74" spans="3:3" ht="150" customHeight="1" x14ac:dyDescent="0.25">
      <c r="C74" s="310" t="str">
        <f>Foglio7ti!HO93</f>
        <v/>
      </c>
    </row>
    <row r="75" spans="3:3" ht="150" customHeight="1" x14ac:dyDescent="0.25">
      <c r="C75" s="310" t="str">
        <f>Foglio7ti!HO94</f>
        <v/>
      </c>
    </row>
    <row r="76" spans="3:3" ht="150" customHeight="1" x14ac:dyDescent="0.25">
      <c r="C76" s="310" t="str">
        <f>Foglio7ti!HO95</f>
        <v/>
      </c>
    </row>
    <row r="77" spans="3:3" ht="150" customHeight="1" x14ac:dyDescent="0.25">
      <c r="C77" s="310" t="str">
        <f>Foglio7ti!HO96</f>
        <v/>
      </c>
    </row>
    <row r="78" spans="3:3" ht="150" customHeight="1" x14ac:dyDescent="0.25">
      <c r="C78" s="310" t="str">
        <f>Foglio7ti!HO97</f>
        <v/>
      </c>
    </row>
    <row r="79" spans="3:3" ht="150" customHeight="1" x14ac:dyDescent="0.25">
      <c r="C79" s="310" t="str">
        <f>Foglio7ti!HO98</f>
        <v/>
      </c>
    </row>
    <row r="80" spans="3:3" ht="150" customHeight="1" x14ac:dyDescent="0.25">
      <c r="C80" s="310" t="str">
        <f>Foglio7ti!HO99</f>
        <v/>
      </c>
    </row>
    <row r="81" spans="3:3" ht="150" customHeight="1" x14ac:dyDescent="0.25">
      <c r="C81" s="310" t="str">
        <f>Foglio7ti!HO100</f>
        <v/>
      </c>
    </row>
    <row r="82" spans="3:3" ht="150" customHeight="1" x14ac:dyDescent="0.25">
      <c r="C82" s="310" t="str">
        <f>Foglio7ti!HO101</f>
        <v/>
      </c>
    </row>
    <row r="83" spans="3:3" ht="150" customHeight="1" x14ac:dyDescent="0.25">
      <c r="C83" s="310">
        <f>Foglio7ti!HO102</f>
        <v>0</v>
      </c>
    </row>
    <row r="84" spans="3:3" ht="150" customHeight="1" x14ac:dyDescent="0.25">
      <c r="C84" s="310">
        <f>Foglio7ti!HO103</f>
        <v>0</v>
      </c>
    </row>
    <row r="85" spans="3:3" ht="150" customHeight="1" x14ac:dyDescent="0.25">
      <c r="C85" s="310">
        <f>Foglio7ti!HO104</f>
        <v>0</v>
      </c>
    </row>
    <row r="86" spans="3:3" ht="150" customHeight="1" x14ac:dyDescent="0.25">
      <c r="C86" s="310">
        <f>Foglio7ti!HO105</f>
        <v>0</v>
      </c>
    </row>
    <row r="87" spans="3:3" ht="150" customHeight="1" x14ac:dyDescent="0.25">
      <c r="C87" s="310">
        <f>Foglio7ti!HO106</f>
        <v>0</v>
      </c>
    </row>
    <row r="88" spans="3:3" ht="150" customHeight="1" x14ac:dyDescent="0.25">
      <c r="C88" s="310">
        <f>Foglio7ti!HO107</f>
        <v>0</v>
      </c>
    </row>
    <row r="89" spans="3:3" ht="150" customHeight="1" x14ac:dyDescent="0.25">
      <c r="C89" s="310">
        <f>Foglio7ti!HO108</f>
        <v>0</v>
      </c>
    </row>
    <row r="90" spans="3:3" ht="150" customHeight="1" x14ac:dyDescent="0.25">
      <c r="C90" s="310">
        <f>Foglio7ti!HO109</f>
        <v>0</v>
      </c>
    </row>
    <row r="91" spans="3:3" ht="150" customHeight="1" x14ac:dyDescent="0.25">
      <c r="C91" s="310">
        <f>Foglio7ti!HO110</f>
        <v>0</v>
      </c>
    </row>
    <row r="92" spans="3:3" ht="150" customHeight="1" x14ac:dyDescent="0.25">
      <c r="C92" s="310">
        <f>Foglio7ti!HO111</f>
        <v>0</v>
      </c>
    </row>
    <row r="93" spans="3:3" ht="150" customHeight="1" x14ac:dyDescent="0.25">
      <c r="C93" s="310">
        <f>Foglio7ti!HO112</f>
        <v>0</v>
      </c>
    </row>
    <row r="94" spans="3:3" ht="150" customHeight="1" x14ac:dyDescent="0.25">
      <c r="C94" s="310">
        <f>Foglio7ti!HO113</f>
        <v>0</v>
      </c>
    </row>
    <row r="95" spans="3:3" ht="150" customHeight="1" x14ac:dyDescent="0.25">
      <c r="C95" s="310">
        <f>Foglio7ti!HO114</f>
        <v>0</v>
      </c>
    </row>
    <row r="96" spans="3:3" ht="150" customHeight="1" x14ac:dyDescent="0.25">
      <c r="C96" s="310">
        <f>Foglio7ti!HO115</f>
        <v>0</v>
      </c>
    </row>
    <row r="97" spans="3:3" ht="150" customHeight="1" x14ac:dyDescent="0.25">
      <c r="C97" s="310">
        <f>Foglio7ti!HO116</f>
        <v>0</v>
      </c>
    </row>
    <row r="98" spans="3:3" ht="150" customHeight="1" x14ac:dyDescent="0.25">
      <c r="C98" s="310">
        <f>Foglio7ti!HO117</f>
        <v>0</v>
      </c>
    </row>
    <row r="99" spans="3:3" ht="150" customHeight="1" x14ac:dyDescent="0.25">
      <c r="C99" s="310">
        <f>Foglio7ti!HO118</f>
        <v>0</v>
      </c>
    </row>
    <row r="100" spans="3:3" ht="150" customHeight="1" x14ac:dyDescent="0.25">
      <c r="C100" s="310">
        <f>Foglio7ti!HO119</f>
        <v>0</v>
      </c>
    </row>
    <row r="101" spans="3:3" ht="150" customHeight="1" x14ac:dyDescent="0.25">
      <c r="C101" s="310">
        <f>Foglio7ti!HO120</f>
        <v>0</v>
      </c>
    </row>
  </sheetData>
  <mergeCells count="3">
    <mergeCell ref="E2:J2"/>
    <mergeCell ref="E3:I3"/>
    <mergeCell ref="E1:K1"/>
  </mergeCells>
  <hyperlinks>
    <hyperlink ref="E2:J2" location="frontti!A1" display="TORNA" xr:uid="{00000000-0004-0000-1200-000000000000}"/>
    <hyperlink ref="E3:I3" location="provvedimentoti!A1" display="VEDI IL PROSPETTO DELLE DIFFERENZE RETRIBUTIVE" xr:uid="{00000000-0004-0000-1200-000001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58"/>
  <dimension ref="A1:Z1344"/>
  <sheetViews>
    <sheetView showGridLines="0" workbookViewId="0">
      <pane ySplit="5" topLeftCell="A830" activePane="bottomLeft" state="frozen"/>
      <selection activeCell="L16" sqref="L16"/>
      <selection pane="bottomLeft" activeCell="F864" sqref="F864"/>
    </sheetView>
  </sheetViews>
  <sheetFormatPr defaultColWidth="14.42578125" defaultRowHeight="15" customHeight="1" x14ac:dyDescent="0.2"/>
  <cols>
    <col min="1"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26" width="8.7109375" style="8" customWidth="1"/>
    <col min="27" max="16384" width="14.42578125" style="8"/>
  </cols>
  <sheetData>
    <row r="1" spans="1:26" ht="16.5" customHeight="1" x14ac:dyDescent="0.2">
      <c r="A1" s="152" t="s">
        <v>66</v>
      </c>
      <c r="B1" s="168"/>
      <c r="C1" s="153" t="s">
        <v>70</v>
      </c>
      <c r="D1" s="168"/>
      <c r="E1" s="168"/>
      <c r="F1" s="168"/>
      <c r="G1" s="168"/>
      <c r="H1" s="168"/>
      <c r="I1" s="168"/>
      <c r="J1" s="168"/>
      <c r="K1" s="168"/>
      <c r="L1" s="106"/>
      <c r="M1" s="4"/>
      <c r="N1" s="154" t="s">
        <v>2</v>
      </c>
      <c r="O1" s="168"/>
      <c r="P1" s="106"/>
      <c r="Q1" s="5" t="s">
        <v>3</v>
      </c>
      <c r="R1" s="6">
        <v>12</v>
      </c>
      <c r="S1" s="7"/>
      <c r="T1" s="7"/>
      <c r="U1" s="7"/>
      <c r="V1" s="7"/>
      <c r="W1" s="7"/>
      <c r="X1" s="7"/>
      <c r="Y1" s="7"/>
      <c r="Z1" s="7"/>
    </row>
    <row r="2" spans="1:26" ht="12" customHeight="1" x14ac:dyDescent="0.2">
      <c r="A2" s="9">
        <v>3</v>
      </c>
      <c r="B2" s="10"/>
      <c r="C2" s="108"/>
      <c r="D2" s="108"/>
      <c r="E2" s="108"/>
      <c r="F2" s="108"/>
      <c r="G2" s="108"/>
      <c r="H2" s="108"/>
      <c r="I2" s="108"/>
      <c r="J2" s="108"/>
      <c r="K2" s="108"/>
      <c r="L2" s="109"/>
      <c r="M2" s="13"/>
      <c r="N2" s="169"/>
      <c r="O2" s="108"/>
      <c r="P2" s="109"/>
      <c r="Q2" s="14" t="s">
        <v>4</v>
      </c>
      <c r="R2" s="6"/>
      <c r="S2" s="7"/>
      <c r="T2" s="7"/>
      <c r="U2" s="7"/>
      <c r="V2" s="7"/>
      <c r="W2" s="7"/>
      <c r="X2" s="7"/>
      <c r="Y2" s="7"/>
      <c r="Z2" s="7"/>
    </row>
    <row r="3" spans="1:26" ht="12.75" customHeight="1" x14ac:dyDescent="0.2">
      <c r="A3" s="100" t="s">
        <v>5</v>
      </c>
      <c r="B3" s="105"/>
      <c r="C3" s="101" t="s">
        <v>6</v>
      </c>
      <c r="D3" s="106"/>
      <c r="E3" s="100" t="s">
        <v>7</v>
      </c>
      <c r="F3" s="107"/>
      <c r="G3" s="107"/>
      <c r="H3" s="107"/>
      <c r="I3" s="107"/>
      <c r="J3" s="105"/>
      <c r="K3" s="102" t="s">
        <v>8</v>
      </c>
      <c r="L3" s="102" t="s">
        <v>9</v>
      </c>
      <c r="M3" s="15"/>
      <c r="N3" s="103" t="s">
        <v>10</v>
      </c>
      <c r="O3" s="103" t="s">
        <v>11</v>
      </c>
      <c r="P3" s="16" t="s">
        <v>12</v>
      </c>
      <c r="Q3" s="104" t="s">
        <v>13</v>
      </c>
      <c r="R3" s="7"/>
      <c r="S3" s="7"/>
      <c r="T3" s="7"/>
      <c r="U3" s="7"/>
      <c r="V3" s="7"/>
      <c r="W3" s="7"/>
      <c r="X3" s="7"/>
      <c r="Y3" s="7"/>
      <c r="Z3" s="7"/>
    </row>
    <row r="4" spans="1:26" ht="34.5" customHeight="1" x14ac:dyDescent="0.2">
      <c r="A4" s="18" t="s">
        <v>14</v>
      </c>
      <c r="B4" s="18" t="s">
        <v>15</v>
      </c>
      <c r="C4" s="108"/>
      <c r="D4" s="109"/>
      <c r="E4" s="19" t="s">
        <v>16</v>
      </c>
      <c r="F4" s="19" t="s">
        <v>17</v>
      </c>
      <c r="G4" s="19" t="s">
        <v>18</v>
      </c>
      <c r="H4" s="19" t="s">
        <v>19</v>
      </c>
      <c r="I4" s="19" t="s">
        <v>20</v>
      </c>
      <c r="J4" s="19" t="s">
        <v>21</v>
      </c>
      <c r="K4" s="110"/>
      <c r="L4" s="110"/>
      <c r="M4" s="4"/>
      <c r="N4" s="110"/>
      <c r="O4" s="110"/>
      <c r="P4" s="20" t="s">
        <v>68</v>
      </c>
      <c r="Q4" s="110"/>
      <c r="R4" s="7"/>
      <c r="S4" s="7"/>
      <c r="T4" s="7"/>
      <c r="U4" s="7"/>
      <c r="V4" s="7"/>
      <c r="W4" s="7"/>
      <c r="X4" s="7"/>
      <c r="Y4" s="7"/>
      <c r="Z4" s="7"/>
    </row>
    <row r="5" spans="1:26" ht="10.5" customHeight="1" x14ac:dyDescent="0.2">
      <c r="A5" s="21" t="s">
        <v>23</v>
      </c>
      <c r="B5" s="22" t="s">
        <v>24</v>
      </c>
      <c r="C5" s="22" t="s">
        <v>25</v>
      </c>
      <c r="D5" s="105"/>
      <c r="E5" s="21" t="s">
        <v>26</v>
      </c>
      <c r="F5" s="21" t="s">
        <v>27</v>
      </c>
      <c r="G5" s="21" t="s">
        <v>28</v>
      </c>
      <c r="H5" s="21" t="s">
        <v>29</v>
      </c>
      <c r="I5" s="21" t="s">
        <v>30</v>
      </c>
      <c r="J5" s="21" t="s">
        <v>31</v>
      </c>
      <c r="K5" s="21" t="s">
        <v>32</v>
      </c>
      <c r="L5" s="21" t="s">
        <v>33</v>
      </c>
      <c r="M5" s="24"/>
      <c r="N5" s="25" t="s">
        <v>34</v>
      </c>
      <c r="O5" s="25" t="s">
        <v>35</v>
      </c>
      <c r="P5" s="21"/>
      <c r="Q5" s="21"/>
      <c r="R5" s="27"/>
      <c r="S5" s="27"/>
      <c r="T5" s="27"/>
      <c r="U5" s="27"/>
      <c r="V5" s="27"/>
      <c r="W5" s="27"/>
      <c r="X5" s="27"/>
      <c r="Y5" s="27"/>
      <c r="Z5" s="27"/>
    </row>
    <row r="6" spans="1:26" ht="12.75" customHeight="1" x14ac:dyDescent="0.2">
      <c r="A6" s="98">
        <v>32994</v>
      </c>
      <c r="B6" s="98">
        <v>33177</v>
      </c>
      <c r="C6" s="28" t="s">
        <v>36</v>
      </c>
      <c r="D6" s="29">
        <v>0</v>
      </c>
      <c r="E6" s="30">
        <v>4412.6099999999997</v>
      </c>
      <c r="F6" s="30">
        <v>440.02</v>
      </c>
      <c r="G6" s="30">
        <v>0</v>
      </c>
      <c r="H6" s="30">
        <v>5588.2</v>
      </c>
      <c r="I6" s="30">
        <v>0</v>
      </c>
      <c r="J6" s="30">
        <v>870.07</v>
      </c>
      <c r="K6" s="31">
        <v>10440.83</v>
      </c>
      <c r="L6" s="32">
        <v>11310.9</v>
      </c>
      <c r="M6" s="33"/>
      <c r="N6" s="30">
        <v>10440.83</v>
      </c>
      <c r="O6" s="30">
        <v>4852.63</v>
      </c>
      <c r="P6" s="30"/>
      <c r="Q6" s="30">
        <f>(N6+O6*0.18+J6)+(IF((P6-O6*0.18)&gt;0,(P6-O6*0.18),0))</f>
        <v>12184.3734</v>
      </c>
      <c r="R6" s="7"/>
      <c r="S6" s="7"/>
      <c r="T6" s="7"/>
      <c r="U6" s="7"/>
      <c r="V6" s="7"/>
      <c r="W6" s="7"/>
      <c r="X6" s="7"/>
      <c r="Y6" s="7"/>
      <c r="Z6" s="7"/>
    </row>
    <row r="7" spans="1:26" ht="9" customHeight="1" x14ac:dyDescent="0.2">
      <c r="A7" s="95"/>
      <c r="B7" s="95"/>
      <c r="C7" s="34" t="s">
        <v>37</v>
      </c>
      <c r="D7" s="35">
        <v>1</v>
      </c>
      <c r="E7" s="36">
        <v>8544004</v>
      </c>
      <c r="F7" s="36">
        <v>851998</v>
      </c>
      <c r="G7" s="36">
        <v>0</v>
      </c>
      <c r="H7" s="36">
        <v>10820264</v>
      </c>
      <c r="I7" s="36">
        <v>0</v>
      </c>
      <c r="J7" s="37">
        <v>1684690</v>
      </c>
      <c r="K7" s="36">
        <v>20216266</v>
      </c>
      <c r="L7" s="38">
        <v>21900956</v>
      </c>
      <c r="M7" s="39"/>
      <c r="N7" s="36">
        <v>20216266</v>
      </c>
      <c r="O7" s="36">
        <v>9396002</v>
      </c>
      <c r="P7" s="36">
        <v>0</v>
      </c>
      <c r="Q7" s="36">
        <f>Q6*1936.27</f>
        <v>23592236.683218002</v>
      </c>
      <c r="R7" s="7"/>
      <c r="S7" s="7"/>
      <c r="T7" s="7"/>
      <c r="U7" s="7"/>
      <c r="V7" s="7"/>
      <c r="W7" s="7"/>
      <c r="X7" s="7"/>
      <c r="Y7" s="7"/>
      <c r="Z7" s="7"/>
    </row>
    <row r="8" spans="1:26" ht="12.75" customHeight="1" x14ac:dyDescent="0.2">
      <c r="A8" s="155">
        <v>32994</v>
      </c>
      <c r="B8" s="155">
        <v>33177</v>
      </c>
      <c r="C8" s="40" t="s">
        <v>36</v>
      </c>
      <c r="D8" s="41">
        <v>2</v>
      </c>
      <c r="E8" s="42">
        <v>4641.91</v>
      </c>
      <c r="F8" s="42">
        <v>458.61</v>
      </c>
      <c r="G8" s="42">
        <v>0</v>
      </c>
      <c r="H8" s="42">
        <v>5588.2</v>
      </c>
      <c r="I8" s="42">
        <v>0</v>
      </c>
      <c r="J8" s="42">
        <v>890.73</v>
      </c>
      <c r="K8" s="43">
        <v>10688.72</v>
      </c>
      <c r="L8" s="32">
        <v>11579.45</v>
      </c>
      <c r="M8" s="33"/>
      <c r="N8" s="30">
        <v>10688.72</v>
      </c>
      <c r="O8" s="30">
        <v>5100.5200000000004</v>
      </c>
      <c r="P8" s="30"/>
      <c r="Q8" s="30">
        <f>(N8+O8*0.18+J8)+(IF((P8-O8*0.18)&gt;0,(P8-O8*0.18),0))</f>
        <v>12497.543599999999</v>
      </c>
      <c r="R8" s="7"/>
      <c r="S8" s="7"/>
      <c r="T8" s="7"/>
      <c r="U8" s="7"/>
      <c r="V8" s="7"/>
      <c r="W8" s="7"/>
      <c r="X8" s="7"/>
      <c r="Y8" s="7"/>
      <c r="Z8" s="7"/>
    </row>
    <row r="9" spans="1:26" ht="9" customHeight="1" x14ac:dyDescent="0.2">
      <c r="A9" s="95"/>
      <c r="B9" s="95"/>
      <c r="C9" s="34" t="s">
        <v>37</v>
      </c>
      <c r="D9" s="35">
        <v>3</v>
      </c>
      <c r="E9" s="36">
        <v>8987991</v>
      </c>
      <c r="F9" s="36">
        <v>887993</v>
      </c>
      <c r="G9" s="36">
        <v>0</v>
      </c>
      <c r="H9" s="36">
        <v>10820264</v>
      </c>
      <c r="I9" s="36">
        <v>0</v>
      </c>
      <c r="J9" s="37">
        <v>1724694</v>
      </c>
      <c r="K9" s="36">
        <v>20696248</v>
      </c>
      <c r="L9" s="38">
        <v>22420942</v>
      </c>
      <c r="M9" s="39"/>
      <c r="N9" s="36">
        <v>20696248</v>
      </c>
      <c r="O9" s="36">
        <v>9875984</v>
      </c>
      <c r="P9" s="36">
        <v>0</v>
      </c>
      <c r="Q9" s="36">
        <f>Q8*1936.27</f>
        <v>24198618.746371999</v>
      </c>
      <c r="R9" s="7"/>
      <c r="S9" s="7"/>
      <c r="T9" s="7"/>
      <c r="U9" s="7"/>
      <c r="V9" s="7"/>
      <c r="W9" s="7"/>
      <c r="X9" s="7"/>
      <c r="Y9" s="7"/>
      <c r="Z9" s="7"/>
    </row>
    <row r="10" spans="1:26" ht="12.75" customHeight="1" x14ac:dyDescent="0.2">
      <c r="A10" s="95"/>
      <c r="B10" s="95"/>
      <c r="C10" s="40" t="s">
        <v>36</v>
      </c>
      <c r="D10" s="41">
        <v>4</v>
      </c>
      <c r="E10" s="42">
        <v>4871.22</v>
      </c>
      <c r="F10" s="42">
        <v>483.4</v>
      </c>
      <c r="G10" s="42">
        <v>0</v>
      </c>
      <c r="H10" s="42">
        <v>5588.2</v>
      </c>
      <c r="I10" s="42">
        <v>0</v>
      </c>
      <c r="J10" s="42">
        <v>911.9</v>
      </c>
      <c r="K10" s="43">
        <v>10942.82</v>
      </c>
      <c r="L10" s="32">
        <v>11854.72</v>
      </c>
      <c r="M10" s="33"/>
      <c r="N10" s="30">
        <v>10942.82</v>
      </c>
      <c r="O10" s="30">
        <v>5354.62</v>
      </c>
      <c r="P10" s="30"/>
      <c r="Q10" s="30">
        <f>(N10+O10*0.18+J10)+(IF((P10-O10*0.18)&gt;0,(P10-O10*0.18),0))</f>
        <v>12818.551599999999</v>
      </c>
      <c r="R10" s="7"/>
      <c r="S10" s="7"/>
      <c r="T10" s="7"/>
      <c r="U10" s="7"/>
      <c r="V10" s="7"/>
      <c r="W10" s="7"/>
      <c r="X10" s="7"/>
      <c r="Y10" s="7"/>
      <c r="Z10" s="7"/>
    </row>
    <row r="11" spans="1:26" ht="9" customHeight="1" x14ac:dyDescent="0.2">
      <c r="A11" s="95"/>
      <c r="B11" s="95"/>
      <c r="C11" s="34" t="s">
        <v>37</v>
      </c>
      <c r="D11" s="35">
        <v>5</v>
      </c>
      <c r="E11" s="36">
        <v>9431997</v>
      </c>
      <c r="F11" s="36">
        <v>935993</v>
      </c>
      <c r="G11" s="36">
        <v>0</v>
      </c>
      <c r="H11" s="36">
        <v>10820264</v>
      </c>
      <c r="I11" s="36">
        <v>0</v>
      </c>
      <c r="J11" s="37">
        <v>1765685</v>
      </c>
      <c r="K11" s="36">
        <v>21188254</v>
      </c>
      <c r="L11" s="38">
        <v>22953939</v>
      </c>
      <c r="M11" s="39"/>
      <c r="N11" s="36">
        <v>21188254</v>
      </c>
      <c r="O11" s="36">
        <v>10367990</v>
      </c>
      <c r="P11" s="36">
        <v>0</v>
      </c>
      <c r="Q11" s="36">
        <f>Q10*1936.27</f>
        <v>24820176.906531997</v>
      </c>
      <c r="R11" s="7"/>
      <c r="S11" s="7"/>
      <c r="T11" s="7"/>
      <c r="U11" s="7"/>
      <c r="V11" s="7"/>
      <c r="W11" s="7"/>
      <c r="X11" s="7"/>
      <c r="Y11" s="7"/>
      <c r="Z11" s="7"/>
    </row>
    <row r="12" spans="1:26" ht="12.75" customHeight="1" x14ac:dyDescent="0.2">
      <c r="A12" s="95"/>
      <c r="B12" s="95"/>
      <c r="C12" s="40" t="s">
        <v>36</v>
      </c>
      <c r="D12" s="41">
        <v>6</v>
      </c>
      <c r="E12" s="42">
        <v>5199.6899999999996</v>
      </c>
      <c r="F12" s="42">
        <v>514.39</v>
      </c>
      <c r="G12" s="42">
        <v>0</v>
      </c>
      <c r="H12" s="42">
        <v>5588.2</v>
      </c>
      <c r="I12" s="42">
        <v>0</v>
      </c>
      <c r="J12" s="42">
        <v>941.86</v>
      </c>
      <c r="K12" s="43">
        <v>11302.28</v>
      </c>
      <c r="L12" s="32">
        <v>12244.14</v>
      </c>
      <c r="M12" s="33"/>
      <c r="N12" s="30">
        <v>11302.28</v>
      </c>
      <c r="O12" s="30">
        <v>5714.08</v>
      </c>
      <c r="P12" s="30"/>
      <c r="Q12" s="30">
        <f>(N12+O12*0.18+J12)+(IF((P12-O12*0.18)&gt;0,(P12-O12*0.18),0))</f>
        <v>13272.674400000002</v>
      </c>
      <c r="R12" s="7"/>
      <c r="S12" s="7"/>
      <c r="T12" s="7"/>
      <c r="U12" s="7"/>
      <c r="V12" s="7"/>
      <c r="W12" s="7"/>
      <c r="X12" s="7"/>
      <c r="Y12" s="7"/>
      <c r="Z12" s="7"/>
    </row>
    <row r="13" spans="1:26" ht="9" customHeight="1" x14ac:dyDescent="0.2">
      <c r="A13" s="95"/>
      <c r="B13" s="95"/>
      <c r="C13" s="34" t="s">
        <v>37</v>
      </c>
      <c r="D13" s="35">
        <v>7</v>
      </c>
      <c r="E13" s="36">
        <v>10068004</v>
      </c>
      <c r="F13" s="36">
        <v>995998</v>
      </c>
      <c r="G13" s="36">
        <v>0</v>
      </c>
      <c r="H13" s="36">
        <v>10820264</v>
      </c>
      <c r="I13" s="36">
        <v>0</v>
      </c>
      <c r="J13" s="37">
        <v>1823695</v>
      </c>
      <c r="K13" s="36">
        <v>21884266</v>
      </c>
      <c r="L13" s="38">
        <v>23707961</v>
      </c>
      <c r="M13" s="39"/>
      <c r="N13" s="36">
        <v>21884266</v>
      </c>
      <c r="O13" s="36">
        <v>11064002</v>
      </c>
      <c r="P13" s="36">
        <v>0</v>
      </c>
      <c r="Q13" s="36">
        <f>Q12*1936.27</f>
        <v>25699481.260488003</v>
      </c>
      <c r="R13" s="7"/>
      <c r="S13" s="7"/>
      <c r="T13" s="7"/>
      <c r="U13" s="7"/>
      <c r="V13" s="7"/>
      <c r="W13" s="7"/>
      <c r="X13" s="7"/>
      <c r="Y13" s="7"/>
      <c r="Z13" s="7"/>
    </row>
    <row r="14" spans="1:26" ht="12.75" customHeight="1" x14ac:dyDescent="0.2">
      <c r="A14" s="95"/>
      <c r="B14" s="95"/>
      <c r="C14" s="40" t="s">
        <v>36</v>
      </c>
      <c r="D14" s="41">
        <v>8</v>
      </c>
      <c r="E14" s="42">
        <v>5466.18</v>
      </c>
      <c r="F14" s="42">
        <v>545.38</v>
      </c>
      <c r="G14" s="42">
        <v>0</v>
      </c>
      <c r="H14" s="42">
        <v>5588.2</v>
      </c>
      <c r="I14" s="42">
        <v>0</v>
      </c>
      <c r="J14" s="42">
        <v>966.65</v>
      </c>
      <c r="K14" s="43">
        <v>11599.76</v>
      </c>
      <c r="L14" s="32">
        <v>12566.41</v>
      </c>
      <c r="M14" s="33"/>
      <c r="N14" s="30">
        <v>11599.76</v>
      </c>
      <c r="O14" s="30">
        <v>6011.56</v>
      </c>
      <c r="P14" s="30"/>
      <c r="Q14" s="30">
        <f>(N14+O14*0.18+J14)+(IF((P14-O14*0.18)&gt;0,(P14-O14*0.18),0))</f>
        <v>13648.4908</v>
      </c>
      <c r="R14" s="7"/>
      <c r="S14" s="7"/>
      <c r="T14" s="7"/>
      <c r="U14" s="7"/>
      <c r="V14" s="7"/>
      <c r="W14" s="7"/>
      <c r="X14" s="7"/>
      <c r="Y14" s="7"/>
      <c r="Z14" s="7"/>
    </row>
    <row r="15" spans="1:26" ht="9" customHeight="1" x14ac:dyDescent="0.2">
      <c r="A15" s="95"/>
      <c r="B15" s="95"/>
      <c r="C15" s="34" t="s">
        <v>37</v>
      </c>
      <c r="D15" s="35">
        <v>9</v>
      </c>
      <c r="E15" s="36">
        <v>10584000</v>
      </c>
      <c r="F15" s="36">
        <v>1056003</v>
      </c>
      <c r="G15" s="36">
        <v>0</v>
      </c>
      <c r="H15" s="36">
        <v>10820264</v>
      </c>
      <c r="I15" s="36">
        <v>0</v>
      </c>
      <c r="J15" s="37">
        <v>1871695</v>
      </c>
      <c r="K15" s="36">
        <v>22460267</v>
      </c>
      <c r="L15" s="38">
        <v>24331963</v>
      </c>
      <c r="M15" s="39"/>
      <c r="N15" s="36">
        <v>22460267</v>
      </c>
      <c r="O15" s="36">
        <v>11640003</v>
      </c>
      <c r="P15" s="36">
        <v>0</v>
      </c>
      <c r="Q15" s="36">
        <f>Q14*1936.27</f>
        <v>26427163.281315997</v>
      </c>
      <c r="R15" s="7"/>
      <c r="S15" s="7"/>
      <c r="T15" s="7"/>
      <c r="U15" s="7"/>
      <c r="V15" s="7"/>
      <c r="W15" s="7"/>
      <c r="X15" s="7"/>
      <c r="Y15" s="7"/>
      <c r="Z15" s="7"/>
    </row>
    <row r="16" spans="1:26" ht="12.75" customHeight="1" x14ac:dyDescent="0.2">
      <c r="A16" s="95"/>
      <c r="B16" s="95"/>
      <c r="C16" s="40" t="s">
        <v>36</v>
      </c>
      <c r="D16" s="41">
        <v>10</v>
      </c>
      <c r="E16" s="42">
        <v>5726.47</v>
      </c>
      <c r="F16" s="42">
        <v>570.16999999999996</v>
      </c>
      <c r="G16" s="42">
        <v>0</v>
      </c>
      <c r="H16" s="42">
        <v>5588.2</v>
      </c>
      <c r="I16" s="42">
        <v>0</v>
      </c>
      <c r="J16" s="42">
        <v>990.4</v>
      </c>
      <c r="K16" s="43">
        <v>11884.84</v>
      </c>
      <c r="L16" s="32">
        <v>12875.24</v>
      </c>
      <c r="M16" s="33"/>
      <c r="N16" s="30">
        <v>11884.84</v>
      </c>
      <c r="O16" s="30">
        <v>6296.64</v>
      </c>
      <c r="P16" s="30"/>
      <c r="Q16" s="30">
        <f>(N16+O16*0.18+J16)+(IF((P16-O16*0.18)&gt;0,(P16-O16*0.18),0))</f>
        <v>14008.635199999999</v>
      </c>
      <c r="R16" s="7"/>
      <c r="S16" s="7"/>
      <c r="T16" s="7"/>
      <c r="U16" s="7"/>
      <c r="V16" s="7"/>
      <c r="W16" s="7"/>
      <c r="X16" s="7"/>
      <c r="Y16" s="7"/>
      <c r="Z16" s="7"/>
    </row>
    <row r="17" spans="1:26" ht="9" customHeight="1" x14ac:dyDescent="0.2">
      <c r="A17" s="95"/>
      <c r="B17" s="95"/>
      <c r="C17" s="34" t="s">
        <v>37</v>
      </c>
      <c r="D17" s="35">
        <v>11</v>
      </c>
      <c r="E17" s="36">
        <v>11087992</v>
      </c>
      <c r="F17" s="36">
        <v>1104003</v>
      </c>
      <c r="G17" s="36">
        <v>0</v>
      </c>
      <c r="H17" s="36">
        <v>10820264</v>
      </c>
      <c r="I17" s="36">
        <v>0</v>
      </c>
      <c r="J17" s="37">
        <v>1917682</v>
      </c>
      <c r="K17" s="36">
        <v>23012259</v>
      </c>
      <c r="L17" s="38">
        <v>24929941</v>
      </c>
      <c r="M17" s="39"/>
      <c r="N17" s="36">
        <v>23012259</v>
      </c>
      <c r="O17" s="36">
        <v>12191995</v>
      </c>
      <c r="P17" s="36">
        <v>0</v>
      </c>
      <c r="Q17" s="36">
        <f>Q16*1936.27</f>
        <v>27124500.078703996</v>
      </c>
      <c r="R17" s="7"/>
      <c r="S17" s="7"/>
      <c r="T17" s="7"/>
      <c r="U17" s="7"/>
      <c r="V17" s="7"/>
      <c r="W17" s="7"/>
      <c r="X17" s="7"/>
      <c r="Y17" s="7"/>
      <c r="Z17" s="7"/>
    </row>
    <row r="18" spans="1:26" ht="12.75" customHeight="1" x14ac:dyDescent="0.2">
      <c r="A18" s="95"/>
      <c r="B18" s="95"/>
      <c r="C18" s="40" t="s">
        <v>36</v>
      </c>
      <c r="D18" s="41">
        <v>12</v>
      </c>
      <c r="E18" s="42">
        <v>5986.77</v>
      </c>
      <c r="F18" s="42">
        <v>594.96</v>
      </c>
      <c r="G18" s="42">
        <v>0</v>
      </c>
      <c r="H18" s="42">
        <v>5588.2</v>
      </c>
      <c r="I18" s="42">
        <v>0</v>
      </c>
      <c r="J18" s="42">
        <v>1014.16</v>
      </c>
      <c r="K18" s="43">
        <v>12169.93</v>
      </c>
      <c r="L18" s="32">
        <v>13184.09</v>
      </c>
      <c r="M18" s="33"/>
      <c r="N18" s="30">
        <v>12169.93</v>
      </c>
      <c r="O18" s="30">
        <v>6581.73</v>
      </c>
      <c r="P18" s="30"/>
      <c r="Q18" s="30">
        <f>(N18+O18*0.18+J18)+(IF((P18-O18*0.18)&gt;0,(P18-O18*0.18),0))</f>
        <v>14368.8014</v>
      </c>
      <c r="R18" s="7"/>
      <c r="S18" s="7"/>
      <c r="T18" s="7"/>
      <c r="U18" s="7"/>
      <c r="V18" s="7"/>
      <c r="W18" s="7"/>
      <c r="X18" s="7"/>
      <c r="Y18" s="7"/>
      <c r="Z18" s="7"/>
    </row>
    <row r="19" spans="1:26" ht="9" customHeight="1" x14ac:dyDescent="0.2">
      <c r="A19" s="95"/>
      <c r="B19" s="95"/>
      <c r="C19" s="34" t="s">
        <v>37</v>
      </c>
      <c r="D19" s="35">
        <v>13</v>
      </c>
      <c r="E19" s="36">
        <v>11592003</v>
      </c>
      <c r="F19" s="36">
        <v>1152003</v>
      </c>
      <c r="G19" s="36">
        <v>0</v>
      </c>
      <c r="H19" s="36">
        <v>10820264</v>
      </c>
      <c r="I19" s="36">
        <v>0</v>
      </c>
      <c r="J19" s="37">
        <v>1963688</v>
      </c>
      <c r="K19" s="36">
        <v>23564270</v>
      </c>
      <c r="L19" s="38">
        <v>25527958</v>
      </c>
      <c r="M19" s="39"/>
      <c r="N19" s="36">
        <v>23564270</v>
      </c>
      <c r="O19" s="36">
        <v>12744006</v>
      </c>
      <c r="P19" s="36">
        <v>0</v>
      </c>
      <c r="Q19" s="36">
        <f>Q18*1936.27</f>
        <v>27821879.086778</v>
      </c>
      <c r="R19" s="7"/>
      <c r="S19" s="7"/>
      <c r="T19" s="7"/>
      <c r="U19" s="7"/>
      <c r="V19" s="7"/>
      <c r="W19" s="7"/>
      <c r="X19" s="7"/>
      <c r="Y19" s="7"/>
      <c r="Z19" s="7"/>
    </row>
    <row r="20" spans="1:26" ht="12.75" customHeight="1" x14ac:dyDescent="0.2">
      <c r="A20" s="95"/>
      <c r="B20" s="95"/>
      <c r="C20" s="40" t="s">
        <v>36</v>
      </c>
      <c r="D20" s="41">
        <v>14</v>
      </c>
      <c r="E20" s="42">
        <v>6247.06</v>
      </c>
      <c r="F20" s="42">
        <v>619.75</v>
      </c>
      <c r="G20" s="42">
        <v>0</v>
      </c>
      <c r="H20" s="42">
        <v>5588.2</v>
      </c>
      <c r="I20" s="42">
        <v>0</v>
      </c>
      <c r="J20" s="42">
        <v>1037.92</v>
      </c>
      <c r="K20" s="43">
        <v>12455.01</v>
      </c>
      <c r="L20" s="32">
        <v>13492.93</v>
      </c>
      <c r="M20" s="33"/>
      <c r="N20" s="30">
        <v>12455.01</v>
      </c>
      <c r="O20" s="30">
        <v>6866.81</v>
      </c>
      <c r="P20" s="30"/>
      <c r="Q20" s="30">
        <f>(N20+O20*0.18+J20)+(IF((P20-O20*0.18)&gt;0,(P20-O20*0.18),0))</f>
        <v>14728.9558</v>
      </c>
      <c r="R20" s="7"/>
      <c r="S20" s="7"/>
      <c r="T20" s="7"/>
      <c r="U20" s="7"/>
      <c r="V20" s="7"/>
      <c r="W20" s="7"/>
      <c r="X20" s="7"/>
      <c r="Y20" s="7"/>
      <c r="Z20" s="7"/>
    </row>
    <row r="21" spans="1:26" ht="9" customHeight="1" x14ac:dyDescent="0.2">
      <c r="A21" s="95"/>
      <c r="B21" s="95"/>
      <c r="C21" s="34" t="s">
        <v>37</v>
      </c>
      <c r="D21" s="35">
        <v>15</v>
      </c>
      <c r="E21" s="36">
        <v>12095995</v>
      </c>
      <c r="F21" s="36">
        <v>1200003</v>
      </c>
      <c r="G21" s="36">
        <v>0</v>
      </c>
      <c r="H21" s="36">
        <v>10820264</v>
      </c>
      <c r="I21" s="36">
        <v>0</v>
      </c>
      <c r="J21" s="37">
        <v>2009693</v>
      </c>
      <c r="K21" s="36">
        <v>24116262</v>
      </c>
      <c r="L21" s="38">
        <v>26125956</v>
      </c>
      <c r="M21" s="39"/>
      <c r="N21" s="36">
        <v>24116262</v>
      </c>
      <c r="O21" s="36">
        <v>13295998</v>
      </c>
      <c r="P21" s="36">
        <v>0</v>
      </c>
      <c r="Q21" s="36">
        <f>Q20*1936.27</f>
        <v>28519235.246865999</v>
      </c>
      <c r="R21" s="7"/>
      <c r="S21" s="7"/>
      <c r="T21" s="7"/>
      <c r="U21" s="7"/>
      <c r="V21" s="7"/>
      <c r="W21" s="7"/>
      <c r="X21" s="7"/>
      <c r="Y21" s="7"/>
      <c r="Z21" s="7"/>
    </row>
    <row r="22" spans="1:26" ht="12.75" customHeight="1" x14ac:dyDescent="0.2">
      <c r="A22" s="95"/>
      <c r="B22" s="95"/>
      <c r="C22" s="40" t="s">
        <v>36</v>
      </c>
      <c r="D22" s="41">
        <v>16</v>
      </c>
      <c r="E22" s="42">
        <v>6507.36</v>
      </c>
      <c r="F22" s="42">
        <v>650.74</v>
      </c>
      <c r="G22" s="42">
        <v>0</v>
      </c>
      <c r="H22" s="42">
        <v>5588.2</v>
      </c>
      <c r="I22" s="42">
        <v>0</v>
      </c>
      <c r="J22" s="42">
        <v>1062.19</v>
      </c>
      <c r="K22" s="43">
        <v>12746.3</v>
      </c>
      <c r="L22" s="32">
        <v>13808.49</v>
      </c>
      <c r="M22" s="33"/>
      <c r="N22" s="30">
        <v>12746.3</v>
      </c>
      <c r="O22" s="30">
        <v>7158.1</v>
      </c>
      <c r="P22" s="30"/>
      <c r="Q22" s="30">
        <f>(N22+O22*0.18+J22)+(IF((P22-O22*0.18)&gt;0,(P22-O22*0.18),0))</f>
        <v>15096.948</v>
      </c>
      <c r="R22" s="7"/>
      <c r="S22" s="7"/>
      <c r="T22" s="7"/>
      <c r="U22" s="7"/>
      <c r="V22" s="7"/>
      <c r="W22" s="7"/>
      <c r="X22" s="7"/>
      <c r="Y22" s="7"/>
      <c r="Z22" s="7"/>
    </row>
    <row r="23" spans="1:26" ht="9" customHeight="1" x14ac:dyDescent="0.2">
      <c r="A23" s="95"/>
      <c r="B23" s="95"/>
      <c r="C23" s="34" t="s">
        <v>37</v>
      </c>
      <c r="D23" s="35">
        <v>17</v>
      </c>
      <c r="E23" s="36">
        <v>12600006</v>
      </c>
      <c r="F23" s="36">
        <v>1260008</v>
      </c>
      <c r="G23" s="36">
        <v>0</v>
      </c>
      <c r="H23" s="36">
        <v>10820264</v>
      </c>
      <c r="I23" s="36">
        <v>0</v>
      </c>
      <c r="J23" s="37">
        <v>2056687</v>
      </c>
      <c r="K23" s="36">
        <v>24680278</v>
      </c>
      <c r="L23" s="38">
        <v>26736965</v>
      </c>
      <c r="M23" s="39"/>
      <c r="N23" s="36">
        <v>24680278</v>
      </c>
      <c r="O23" s="36">
        <v>13860014</v>
      </c>
      <c r="P23" s="36">
        <v>0</v>
      </c>
      <c r="Q23" s="36">
        <f>Q22*1936.27</f>
        <v>29231767.503959998</v>
      </c>
      <c r="R23" s="7"/>
      <c r="S23" s="7"/>
      <c r="T23" s="7"/>
      <c r="U23" s="7"/>
      <c r="V23" s="7"/>
      <c r="W23" s="7"/>
      <c r="X23" s="7"/>
      <c r="Y23" s="7"/>
      <c r="Z23" s="7"/>
    </row>
    <row r="24" spans="1:26" ht="12.75" customHeight="1" x14ac:dyDescent="0.2">
      <c r="A24" s="95"/>
      <c r="B24" s="95"/>
      <c r="C24" s="40" t="s">
        <v>36</v>
      </c>
      <c r="D24" s="41">
        <v>18</v>
      </c>
      <c r="E24" s="42">
        <v>6767.65</v>
      </c>
      <c r="F24" s="42">
        <v>675.53</v>
      </c>
      <c r="G24" s="42">
        <v>0</v>
      </c>
      <c r="H24" s="42">
        <v>5588.2</v>
      </c>
      <c r="I24" s="42">
        <v>0</v>
      </c>
      <c r="J24" s="42">
        <v>1085.95</v>
      </c>
      <c r="K24" s="43">
        <v>13031.38</v>
      </c>
      <c r="L24" s="32">
        <v>14117.33</v>
      </c>
      <c r="M24" s="33"/>
      <c r="N24" s="30">
        <v>13031.38</v>
      </c>
      <c r="O24" s="30">
        <v>7443.18</v>
      </c>
      <c r="P24" s="30"/>
      <c r="Q24" s="30">
        <f>(N24+O24*0.18+J24)+(IF((P24-O24*0.18)&gt;0,(P24-O24*0.18),0))</f>
        <v>15457.1024</v>
      </c>
      <c r="R24" s="7"/>
      <c r="S24" s="7"/>
      <c r="T24" s="7"/>
      <c r="U24" s="7"/>
      <c r="V24" s="7"/>
      <c r="W24" s="7"/>
      <c r="X24" s="7"/>
      <c r="Y24" s="7"/>
      <c r="Z24" s="7"/>
    </row>
    <row r="25" spans="1:26" ht="9" customHeight="1" x14ac:dyDescent="0.2">
      <c r="A25" s="95"/>
      <c r="B25" s="95"/>
      <c r="C25" s="34" t="s">
        <v>37</v>
      </c>
      <c r="D25" s="35">
        <v>19</v>
      </c>
      <c r="E25" s="36">
        <v>13103998</v>
      </c>
      <c r="F25" s="36">
        <v>1308008</v>
      </c>
      <c r="G25" s="36">
        <v>0</v>
      </c>
      <c r="H25" s="36">
        <v>10820264</v>
      </c>
      <c r="I25" s="36">
        <v>0</v>
      </c>
      <c r="J25" s="37">
        <v>2102692</v>
      </c>
      <c r="K25" s="36">
        <v>25232270</v>
      </c>
      <c r="L25" s="38">
        <v>27334963</v>
      </c>
      <c r="M25" s="39"/>
      <c r="N25" s="36">
        <v>25232270</v>
      </c>
      <c r="O25" s="36">
        <v>14412006</v>
      </c>
      <c r="P25" s="36">
        <v>0</v>
      </c>
      <c r="Q25" s="36">
        <f>Q24*1936.27</f>
        <v>29929123.664047997</v>
      </c>
      <c r="R25" s="7"/>
      <c r="S25" s="7"/>
      <c r="T25" s="7"/>
      <c r="U25" s="7"/>
      <c r="V25" s="7"/>
      <c r="W25" s="7"/>
      <c r="X25" s="7"/>
      <c r="Y25" s="7"/>
      <c r="Z25" s="7"/>
    </row>
    <row r="26" spans="1:26" ht="12.75" customHeight="1" x14ac:dyDescent="0.2">
      <c r="A26" s="95"/>
      <c r="B26" s="95"/>
      <c r="C26" s="40" t="s">
        <v>36</v>
      </c>
      <c r="D26" s="41">
        <v>20</v>
      </c>
      <c r="E26" s="42">
        <v>7027.95</v>
      </c>
      <c r="F26" s="42">
        <v>700.32</v>
      </c>
      <c r="G26" s="42">
        <v>0</v>
      </c>
      <c r="H26" s="42">
        <v>5588.2</v>
      </c>
      <c r="I26" s="42">
        <v>0</v>
      </c>
      <c r="J26" s="42">
        <v>1109.71</v>
      </c>
      <c r="K26" s="43">
        <v>13316.47</v>
      </c>
      <c r="L26" s="32">
        <v>14426.18</v>
      </c>
      <c r="M26" s="33"/>
      <c r="N26" s="30">
        <v>13316.47</v>
      </c>
      <c r="O26" s="30">
        <v>7728.27</v>
      </c>
      <c r="P26" s="30"/>
      <c r="Q26" s="30">
        <f>(N26+O26*0.18+J26)+(IF((P26-O26*0.18)&gt;0,(P26-O26*0.18),0))</f>
        <v>15817.268599999999</v>
      </c>
      <c r="R26" s="7"/>
      <c r="S26" s="7"/>
      <c r="T26" s="7"/>
      <c r="U26" s="7"/>
      <c r="V26" s="7"/>
      <c r="W26" s="7"/>
      <c r="X26" s="7"/>
      <c r="Y26" s="7"/>
      <c r="Z26" s="7"/>
    </row>
    <row r="27" spans="1:26" ht="9" customHeight="1" x14ac:dyDescent="0.2">
      <c r="A27" s="95"/>
      <c r="B27" s="95"/>
      <c r="C27" s="34" t="s">
        <v>37</v>
      </c>
      <c r="D27" s="35">
        <v>21</v>
      </c>
      <c r="E27" s="36">
        <v>13608009</v>
      </c>
      <c r="F27" s="36">
        <v>1356009</v>
      </c>
      <c r="G27" s="36">
        <v>0</v>
      </c>
      <c r="H27" s="36">
        <v>10820264</v>
      </c>
      <c r="I27" s="36">
        <v>0</v>
      </c>
      <c r="J27" s="37">
        <v>2148698</v>
      </c>
      <c r="K27" s="36">
        <v>25784281</v>
      </c>
      <c r="L27" s="38">
        <v>27932980</v>
      </c>
      <c r="M27" s="39"/>
      <c r="N27" s="36">
        <v>25784281</v>
      </c>
      <c r="O27" s="36">
        <v>14964017</v>
      </c>
      <c r="P27" s="36">
        <v>0</v>
      </c>
      <c r="Q27" s="36">
        <f>Q26*1936.27</f>
        <v>30626502.672121998</v>
      </c>
      <c r="R27" s="7"/>
      <c r="S27" s="7"/>
      <c r="T27" s="7"/>
      <c r="U27" s="7"/>
      <c r="V27" s="7"/>
      <c r="W27" s="7"/>
      <c r="X27" s="7"/>
      <c r="Y27" s="7"/>
      <c r="Z27" s="7"/>
    </row>
    <row r="28" spans="1:26" ht="12.75" customHeight="1" x14ac:dyDescent="0.2">
      <c r="A28" s="95"/>
      <c r="B28" s="95"/>
      <c r="C28" s="40" t="s">
        <v>36</v>
      </c>
      <c r="D28" s="41">
        <v>22</v>
      </c>
      <c r="E28" s="42">
        <v>7170.49</v>
      </c>
      <c r="F28" s="42">
        <v>712.71</v>
      </c>
      <c r="G28" s="42">
        <v>0</v>
      </c>
      <c r="H28" s="42">
        <v>5588.2</v>
      </c>
      <c r="I28" s="42">
        <v>0</v>
      </c>
      <c r="J28" s="42">
        <v>1122.6199999999999</v>
      </c>
      <c r="K28" s="43">
        <v>13471.4</v>
      </c>
      <c r="L28" s="32">
        <v>14594.02</v>
      </c>
      <c r="M28" s="33"/>
      <c r="N28" s="30">
        <v>13471.4</v>
      </c>
      <c r="O28" s="30">
        <v>7883.2</v>
      </c>
      <c r="P28" s="30"/>
      <c r="Q28" s="30">
        <f>(N28+O28*0.18+J28)+(IF((P28-O28*0.18)&gt;0,(P28-O28*0.18),0))</f>
        <v>16012.995999999999</v>
      </c>
      <c r="R28" s="7"/>
      <c r="S28" s="7"/>
      <c r="T28" s="7"/>
      <c r="U28" s="7"/>
      <c r="V28" s="7"/>
      <c r="W28" s="7"/>
      <c r="X28" s="7"/>
      <c r="Y28" s="7"/>
      <c r="Z28" s="7"/>
    </row>
    <row r="29" spans="1:26" ht="9" customHeight="1" x14ac:dyDescent="0.2">
      <c r="A29" s="95"/>
      <c r="B29" s="95"/>
      <c r="C29" s="34" t="s">
        <v>37</v>
      </c>
      <c r="D29" s="35">
        <v>23</v>
      </c>
      <c r="E29" s="36">
        <v>13884005</v>
      </c>
      <c r="F29" s="36">
        <v>1379999</v>
      </c>
      <c r="G29" s="36">
        <v>0</v>
      </c>
      <c r="H29" s="36">
        <v>10820264</v>
      </c>
      <c r="I29" s="36">
        <v>0</v>
      </c>
      <c r="J29" s="37">
        <v>2173695</v>
      </c>
      <c r="K29" s="36">
        <v>26084268</v>
      </c>
      <c r="L29" s="38">
        <v>28257963</v>
      </c>
      <c r="M29" s="39"/>
      <c r="N29" s="36">
        <v>26084268</v>
      </c>
      <c r="O29" s="36">
        <v>15264004</v>
      </c>
      <c r="P29" s="36">
        <v>0</v>
      </c>
      <c r="Q29" s="36">
        <f>Q28*1936.27</f>
        <v>31005483.76492</v>
      </c>
      <c r="R29" s="7"/>
      <c r="S29" s="7"/>
      <c r="T29" s="7"/>
      <c r="U29" s="7"/>
      <c r="V29" s="7"/>
      <c r="W29" s="7"/>
      <c r="X29" s="7"/>
      <c r="Y29" s="7"/>
      <c r="Z29" s="7"/>
    </row>
    <row r="30" spans="1:26" ht="12.75" customHeight="1" x14ac:dyDescent="0.2">
      <c r="A30" s="95"/>
      <c r="B30" s="95"/>
      <c r="C30" s="40" t="s">
        <v>36</v>
      </c>
      <c r="D30" s="41">
        <v>24</v>
      </c>
      <c r="E30" s="42">
        <v>7313.03</v>
      </c>
      <c r="F30" s="42">
        <v>731.3</v>
      </c>
      <c r="G30" s="42">
        <v>0</v>
      </c>
      <c r="H30" s="42">
        <v>5588.2</v>
      </c>
      <c r="I30" s="42">
        <v>0</v>
      </c>
      <c r="J30" s="42">
        <v>1136.04</v>
      </c>
      <c r="K30" s="43">
        <v>13632.53</v>
      </c>
      <c r="L30" s="32">
        <v>14768.57</v>
      </c>
      <c r="M30" s="33"/>
      <c r="N30" s="30">
        <v>13632.53</v>
      </c>
      <c r="O30" s="30">
        <v>8044.33</v>
      </c>
      <c r="P30" s="30"/>
      <c r="Q30" s="30">
        <f>(N30+O30*0.18+J30)+(IF((P30-O30*0.18)&gt;0,(P30-O30*0.18),0))</f>
        <v>16216.5494</v>
      </c>
      <c r="R30" s="7"/>
      <c r="S30" s="7"/>
      <c r="T30" s="7"/>
      <c r="U30" s="7"/>
      <c r="V30" s="7"/>
      <c r="W30" s="7"/>
      <c r="X30" s="7"/>
      <c r="Y30" s="7"/>
      <c r="Z30" s="7"/>
    </row>
    <row r="31" spans="1:26" ht="9" customHeight="1" x14ac:dyDescent="0.2">
      <c r="A31" s="95"/>
      <c r="B31" s="95"/>
      <c r="C31" s="34" t="s">
        <v>37</v>
      </c>
      <c r="D31" s="35">
        <v>25</v>
      </c>
      <c r="E31" s="36">
        <v>14160001</v>
      </c>
      <c r="F31" s="36">
        <v>1415994</v>
      </c>
      <c r="G31" s="36">
        <v>0</v>
      </c>
      <c r="H31" s="36">
        <v>10820264</v>
      </c>
      <c r="I31" s="36">
        <v>0</v>
      </c>
      <c r="J31" s="37">
        <v>2199680</v>
      </c>
      <c r="K31" s="36">
        <v>26396259</v>
      </c>
      <c r="L31" s="38">
        <v>28595939</v>
      </c>
      <c r="M31" s="39"/>
      <c r="N31" s="36">
        <v>26396259</v>
      </c>
      <c r="O31" s="36">
        <v>15575995</v>
      </c>
      <c r="P31" s="36">
        <v>0</v>
      </c>
      <c r="Q31" s="36">
        <f>Q30*1936.27</f>
        <v>31399618.106738001</v>
      </c>
      <c r="R31" s="7"/>
      <c r="S31" s="7"/>
      <c r="T31" s="7"/>
      <c r="U31" s="7"/>
      <c r="V31" s="7"/>
      <c r="W31" s="7"/>
      <c r="X31" s="7"/>
      <c r="Y31" s="7"/>
      <c r="Z31" s="7"/>
    </row>
    <row r="32" spans="1:26" ht="12.75" customHeight="1" x14ac:dyDescent="0.2">
      <c r="A32" s="95"/>
      <c r="B32" s="95"/>
      <c r="C32" s="40" t="s">
        <v>36</v>
      </c>
      <c r="D32" s="41">
        <v>26</v>
      </c>
      <c r="E32" s="42">
        <v>7455.57</v>
      </c>
      <c r="F32" s="42">
        <v>743.7</v>
      </c>
      <c r="G32" s="42">
        <v>0</v>
      </c>
      <c r="H32" s="42">
        <v>5588.2</v>
      </c>
      <c r="I32" s="42">
        <v>0</v>
      </c>
      <c r="J32" s="42">
        <v>1148.96</v>
      </c>
      <c r="K32" s="43">
        <v>13787.47</v>
      </c>
      <c r="L32" s="32">
        <v>14936.43</v>
      </c>
      <c r="M32" s="33"/>
      <c r="N32" s="30">
        <v>13787.47</v>
      </c>
      <c r="O32" s="30">
        <v>8199.27</v>
      </c>
      <c r="P32" s="30"/>
      <c r="Q32" s="30">
        <f>(N32+O32*0.18+J32)+(IF((P32-O32*0.18)&gt;0,(P32-O32*0.18),0))</f>
        <v>16412.298599999998</v>
      </c>
      <c r="R32" s="7"/>
      <c r="S32" s="7"/>
      <c r="T32" s="7"/>
      <c r="U32" s="7"/>
      <c r="V32" s="7"/>
      <c r="W32" s="7"/>
      <c r="X32" s="7"/>
      <c r="Y32" s="7"/>
      <c r="Z32" s="7"/>
    </row>
    <row r="33" spans="1:26" ht="9" customHeight="1" x14ac:dyDescent="0.2">
      <c r="A33" s="95"/>
      <c r="B33" s="95"/>
      <c r="C33" s="34" t="s">
        <v>37</v>
      </c>
      <c r="D33" s="35">
        <v>27</v>
      </c>
      <c r="E33" s="36">
        <v>14435997</v>
      </c>
      <c r="F33" s="36">
        <v>1440004</v>
      </c>
      <c r="G33" s="36">
        <v>0</v>
      </c>
      <c r="H33" s="36">
        <v>10820264</v>
      </c>
      <c r="I33" s="36">
        <v>0</v>
      </c>
      <c r="J33" s="37">
        <v>2224697</v>
      </c>
      <c r="K33" s="36">
        <v>26696265</v>
      </c>
      <c r="L33" s="38">
        <v>28920961</v>
      </c>
      <c r="M33" s="39"/>
      <c r="N33" s="36">
        <v>26696265</v>
      </c>
      <c r="O33" s="36">
        <v>15876001</v>
      </c>
      <c r="P33" s="36">
        <v>0</v>
      </c>
      <c r="Q33" s="36">
        <f>Q32*1936.27</f>
        <v>31778641.410221998</v>
      </c>
      <c r="R33" s="7"/>
      <c r="S33" s="7"/>
      <c r="T33" s="7"/>
      <c r="U33" s="7"/>
      <c r="V33" s="7"/>
      <c r="W33" s="7"/>
      <c r="X33" s="7"/>
      <c r="Y33" s="7"/>
      <c r="Z33" s="7"/>
    </row>
    <row r="34" spans="1:26" ht="12.75" customHeight="1" x14ac:dyDescent="0.2">
      <c r="A34" s="95"/>
      <c r="B34" s="95"/>
      <c r="C34" s="40" t="s">
        <v>36</v>
      </c>
      <c r="D34" s="41">
        <v>28</v>
      </c>
      <c r="E34" s="42">
        <v>7591.92</v>
      </c>
      <c r="F34" s="42">
        <v>756.09</v>
      </c>
      <c r="G34" s="42">
        <v>0</v>
      </c>
      <c r="H34" s="42">
        <v>5588.2</v>
      </c>
      <c r="I34" s="42">
        <v>0</v>
      </c>
      <c r="J34" s="42">
        <v>1161.3499999999999</v>
      </c>
      <c r="K34" s="43">
        <v>13936.21</v>
      </c>
      <c r="L34" s="32">
        <v>15097.56</v>
      </c>
      <c r="M34" s="33"/>
      <c r="N34" s="30">
        <v>13936.21</v>
      </c>
      <c r="O34" s="30">
        <v>8348.01</v>
      </c>
      <c r="P34" s="30"/>
      <c r="Q34" s="30">
        <f>(N34+O34*0.18+J34)+(IF((P34-O34*0.18)&gt;0,(P34-O34*0.18),0))</f>
        <v>16600.201799999999</v>
      </c>
      <c r="R34" s="7"/>
      <c r="S34" s="7"/>
      <c r="T34" s="7"/>
      <c r="U34" s="7"/>
      <c r="V34" s="7"/>
      <c r="W34" s="7"/>
      <c r="X34" s="7"/>
      <c r="Y34" s="7"/>
      <c r="Z34" s="7"/>
    </row>
    <row r="35" spans="1:26" ht="9" customHeight="1" x14ac:dyDescent="0.2">
      <c r="A35" s="95"/>
      <c r="B35" s="95"/>
      <c r="C35" s="34" t="s">
        <v>37</v>
      </c>
      <c r="D35" s="35">
        <v>29</v>
      </c>
      <c r="E35" s="36">
        <v>14700007</v>
      </c>
      <c r="F35" s="36">
        <v>1463994</v>
      </c>
      <c r="G35" s="36">
        <v>0</v>
      </c>
      <c r="H35" s="36">
        <v>10820264</v>
      </c>
      <c r="I35" s="36">
        <v>0</v>
      </c>
      <c r="J35" s="37">
        <v>2248687</v>
      </c>
      <c r="K35" s="36">
        <v>26984265</v>
      </c>
      <c r="L35" s="38">
        <v>29232953</v>
      </c>
      <c r="M35" s="39"/>
      <c r="N35" s="36">
        <v>26984265</v>
      </c>
      <c r="O35" s="36">
        <v>16164001</v>
      </c>
      <c r="P35" s="36">
        <v>0</v>
      </c>
      <c r="Q35" s="36">
        <f>Q34*1936.27</f>
        <v>32142472.739285998</v>
      </c>
      <c r="R35" s="7"/>
      <c r="S35" s="7"/>
      <c r="T35" s="7"/>
      <c r="U35" s="7"/>
      <c r="V35" s="7"/>
      <c r="W35" s="7"/>
      <c r="X35" s="7"/>
      <c r="Y35" s="7"/>
      <c r="Z35" s="7"/>
    </row>
    <row r="36" spans="1:26" ht="12.75" customHeight="1" x14ac:dyDescent="0.2">
      <c r="A36" s="95"/>
      <c r="B36" s="95"/>
      <c r="C36" s="40" t="s">
        <v>36</v>
      </c>
      <c r="D36" s="41">
        <v>30</v>
      </c>
      <c r="E36" s="42">
        <v>7734.46</v>
      </c>
      <c r="F36" s="42">
        <v>768.49</v>
      </c>
      <c r="G36" s="42">
        <v>0</v>
      </c>
      <c r="H36" s="42">
        <v>5588.2</v>
      </c>
      <c r="I36" s="42">
        <v>0</v>
      </c>
      <c r="J36" s="42">
        <v>1174.26</v>
      </c>
      <c r="K36" s="43">
        <v>14091.15</v>
      </c>
      <c r="L36" s="32">
        <v>15265.41</v>
      </c>
      <c r="M36" s="33"/>
      <c r="N36" s="30">
        <v>14091.15</v>
      </c>
      <c r="O36" s="30">
        <v>8502.9500000000007</v>
      </c>
      <c r="P36" s="30"/>
      <c r="Q36" s="30">
        <f>(N36+O36*0.18+J36)+(IF((P36-O36*0.18)&gt;0,(P36-O36*0.18),0))</f>
        <v>16795.940999999999</v>
      </c>
      <c r="R36" s="7"/>
      <c r="S36" s="7"/>
      <c r="T36" s="7"/>
      <c r="U36" s="7"/>
      <c r="V36" s="7"/>
      <c r="W36" s="7"/>
      <c r="X36" s="7"/>
      <c r="Y36" s="7"/>
      <c r="Z36" s="7"/>
    </row>
    <row r="37" spans="1:26" ht="9" customHeight="1" x14ac:dyDescent="0.2">
      <c r="A37" s="95"/>
      <c r="B37" s="95"/>
      <c r="C37" s="34" t="s">
        <v>37</v>
      </c>
      <c r="D37" s="35">
        <v>31</v>
      </c>
      <c r="E37" s="36">
        <v>14976003</v>
      </c>
      <c r="F37" s="36">
        <v>1488004</v>
      </c>
      <c r="G37" s="36">
        <v>0</v>
      </c>
      <c r="H37" s="36">
        <v>10820264</v>
      </c>
      <c r="I37" s="36">
        <v>0</v>
      </c>
      <c r="J37" s="37">
        <v>2273684</v>
      </c>
      <c r="K37" s="36">
        <v>27284271</v>
      </c>
      <c r="L37" s="38">
        <v>29557955</v>
      </c>
      <c r="M37" s="39"/>
      <c r="N37" s="36">
        <v>27284271</v>
      </c>
      <c r="O37" s="36">
        <v>16464007</v>
      </c>
      <c r="P37" s="36">
        <v>0</v>
      </c>
      <c r="Q37" s="36">
        <f>Q36*1936.27</f>
        <v>32521476.680069998</v>
      </c>
      <c r="R37" s="7"/>
      <c r="S37" s="7"/>
      <c r="T37" s="7"/>
      <c r="U37" s="7"/>
      <c r="V37" s="7"/>
      <c r="W37" s="7"/>
      <c r="X37" s="7"/>
      <c r="Y37" s="7"/>
      <c r="Z37" s="7"/>
    </row>
    <row r="38" spans="1:26" ht="12.75" customHeight="1" x14ac:dyDescent="0.2">
      <c r="A38" s="95"/>
      <c r="B38" s="95"/>
      <c r="C38" s="40" t="s">
        <v>36</v>
      </c>
      <c r="D38" s="41">
        <v>32</v>
      </c>
      <c r="E38" s="42">
        <v>7877</v>
      </c>
      <c r="F38" s="42">
        <v>787.08</v>
      </c>
      <c r="G38" s="42">
        <v>0</v>
      </c>
      <c r="H38" s="42">
        <v>5588.2</v>
      </c>
      <c r="I38" s="42">
        <v>0</v>
      </c>
      <c r="J38" s="42">
        <v>1187.69</v>
      </c>
      <c r="K38" s="43">
        <v>14252.28</v>
      </c>
      <c r="L38" s="32">
        <v>15439.97</v>
      </c>
      <c r="M38" s="33"/>
      <c r="N38" s="30">
        <v>14252.28</v>
      </c>
      <c r="O38" s="30">
        <v>8664.08</v>
      </c>
      <c r="P38" s="30"/>
      <c r="Q38" s="30">
        <f>(N38+O38*0.18+J38)+(IF((P38-O38*0.18)&gt;0,(P38-O38*0.18),0))</f>
        <v>16999.504400000002</v>
      </c>
      <c r="R38" s="7"/>
      <c r="S38" s="7"/>
      <c r="T38" s="7"/>
      <c r="U38" s="7"/>
      <c r="V38" s="7"/>
      <c r="W38" s="7"/>
      <c r="X38" s="7"/>
      <c r="Y38" s="7"/>
      <c r="Z38" s="7"/>
    </row>
    <row r="39" spans="1:26" ht="9" customHeight="1" x14ac:dyDescent="0.2">
      <c r="A39" s="95"/>
      <c r="B39" s="95"/>
      <c r="C39" s="34" t="s">
        <v>37</v>
      </c>
      <c r="D39" s="35">
        <v>33</v>
      </c>
      <c r="E39" s="36">
        <v>15251999</v>
      </c>
      <c r="F39" s="36">
        <v>1523999</v>
      </c>
      <c r="G39" s="36">
        <v>0</v>
      </c>
      <c r="H39" s="36">
        <v>10820264</v>
      </c>
      <c r="I39" s="36">
        <v>0</v>
      </c>
      <c r="J39" s="37">
        <v>2299689</v>
      </c>
      <c r="K39" s="36">
        <v>27596262</v>
      </c>
      <c r="L39" s="38">
        <v>29895951</v>
      </c>
      <c r="M39" s="39"/>
      <c r="N39" s="36">
        <v>27596262</v>
      </c>
      <c r="O39" s="36">
        <v>16775998</v>
      </c>
      <c r="P39" s="36">
        <v>0</v>
      </c>
      <c r="Q39" s="36">
        <f>Q38*1936.27</f>
        <v>32915630.384588003</v>
      </c>
      <c r="R39" s="7"/>
      <c r="S39" s="7"/>
      <c r="T39" s="7"/>
      <c r="U39" s="7"/>
      <c r="V39" s="7"/>
      <c r="W39" s="7"/>
      <c r="X39" s="7"/>
      <c r="Y39" s="7"/>
      <c r="Z39" s="7"/>
    </row>
    <row r="40" spans="1:26" ht="12.75" customHeight="1" x14ac:dyDescent="0.2">
      <c r="A40" s="95"/>
      <c r="B40" s="95"/>
      <c r="C40" s="40" t="s">
        <v>36</v>
      </c>
      <c r="D40" s="41">
        <v>34</v>
      </c>
      <c r="E40" s="42">
        <v>7829.49</v>
      </c>
      <c r="F40" s="42">
        <v>799.48</v>
      </c>
      <c r="G40" s="42">
        <v>0</v>
      </c>
      <c r="H40" s="42">
        <v>5588.2</v>
      </c>
      <c r="I40" s="42">
        <v>0</v>
      </c>
      <c r="J40" s="42">
        <v>1184.76</v>
      </c>
      <c r="K40" s="43">
        <v>14217.17</v>
      </c>
      <c r="L40" s="32">
        <v>15401.93</v>
      </c>
      <c r="M40" s="33"/>
      <c r="N40" s="30">
        <v>14217.17</v>
      </c>
      <c r="O40" s="30">
        <v>8628.9699999999993</v>
      </c>
      <c r="P40" s="30"/>
      <c r="Q40" s="30">
        <f>(N40+O40*0.18+J40)+(IF((P40-O40*0.18)&gt;0,(P40-O40*0.18),0))</f>
        <v>16955.1446</v>
      </c>
      <c r="R40" s="7"/>
      <c r="S40" s="7"/>
      <c r="T40" s="7"/>
      <c r="U40" s="7"/>
      <c r="V40" s="7"/>
      <c r="W40" s="7"/>
      <c r="X40" s="7"/>
      <c r="Y40" s="7"/>
      <c r="Z40" s="7"/>
    </row>
    <row r="41" spans="1:26" ht="9" customHeight="1" x14ac:dyDescent="0.2">
      <c r="A41" s="95"/>
      <c r="B41" s="95"/>
      <c r="C41" s="34" t="s">
        <v>37</v>
      </c>
      <c r="D41" s="35">
        <v>35</v>
      </c>
      <c r="E41" s="36">
        <v>15160007</v>
      </c>
      <c r="F41" s="36">
        <v>1548009</v>
      </c>
      <c r="G41" s="36">
        <v>0</v>
      </c>
      <c r="H41" s="36">
        <v>10820264</v>
      </c>
      <c r="I41" s="36">
        <v>0</v>
      </c>
      <c r="J41" s="37">
        <v>2294015</v>
      </c>
      <c r="K41" s="36">
        <v>27528280</v>
      </c>
      <c r="L41" s="38">
        <v>29822295</v>
      </c>
      <c r="M41" s="39"/>
      <c r="N41" s="36">
        <v>27528280</v>
      </c>
      <c r="O41" s="36">
        <v>16708016</v>
      </c>
      <c r="P41" s="36">
        <v>0</v>
      </c>
      <c r="Q41" s="36">
        <f>Q40*1936.27</f>
        <v>32829737.834642</v>
      </c>
      <c r="R41" s="7"/>
      <c r="S41" s="7"/>
      <c r="T41" s="7"/>
      <c r="U41" s="7"/>
      <c r="V41" s="7"/>
      <c r="W41" s="7"/>
      <c r="X41" s="7"/>
      <c r="Y41" s="7"/>
      <c r="Z41" s="7"/>
    </row>
    <row r="42" spans="1:26" ht="12.75" customHeight="1" x14ac:dyDescent="0.2">
      <c r="A42" s="95"/>
      <c r="B42" s="95"/>
      <c r="C42" s="40" t="s">
        <v>36</v>
      </c>
      <c r="D42" s="41">
        <v>36</v>
      </c>
      <c r="E42" s="42">
        <v>8155.89</v>
      </c>
      <c r="F42" s="42">
        <v>811.87</v>
      </c>
      <c r="G42" s="42">
        <v>0</v>
      </c>
      <c r="H42" s="42">
        <v>5588.2</v>
      </c>
      <c r="I42" s="42">
        <v>0</v>
      </c>
      <c r="J42" s="42">
        <v>1213</v>
      </c>
      <c r="K42" s="43">
        <v>14555.96</v>
      </c>
      <c r="L42" s="32">
        <v>15768.96</v>
      </c>
      <c r="M42" s="33"/>
      <c r="N42" s="30">
        <v>14555.96</v>
      </c>
      <c r="O42" s="30">
        <v>8967.76</v>
      </c>
      <c r="P42" s="30"/>
      <c r="Q42" s="30">
        <f>(N42+O42*0.18+J42)+(IF((P42-O42*0.18)&gt;0,(P42-O42*0.18),0))</f>
        <v>17383.156799999997</v>
      </c>
      <c r="R42" s="7"/>
      <c r="S42" s="7"/>
      <c r="T42" s="7"/>
      <c r="U42" s="7"/>
      <c r="V42" s="7"/>
      <c r="W42" s="7"/>
      <c r="X42" s="7"/>
      <c r="Y42" s="7"/>
      <c r="Z42" s="7"/>
    </row>
    <row r="43" spans="1:26" ht="9" customHeight="1" x14ac:dyDescent="0.2">
      <c r="A43" s="95"/>
      <c r="B43" s="95"/>
      <c r="C43" s="34" t="s">
        <v>37</v>
      </c>
      <c r="D43" s="35">
        <v>37</v>
      </c>
      <c r="E43" s="36">
        <v>15792005</v>
      </c>
      <c r="F43" s="36">
        <v>1572000</v>
      </c>
      <c r="G43" s="36">
        <v>0</v>
      </c>
      <c r="H43" s="36">
        <v>10820264</v>
      </c>
      <c r="I43" s="36">
        <v>0</v>
      </c>
      <c r="J43" s="37">
        <v>2348696</v>
      </c>
      <c r="K43" s="36">
        <v>28184269</v>
      </c>
      <c r="L43" s="38">
        <v>30532964</v>
      </c>
      <c r="M43" s="39"/>
      <c r="N43" s="36">
        <v>28184269</v>
      </c>
      <c r="O43" s="36">
        <v>17364005</v>
      </c>
      <c r="P43" s="36">
        <v>0</v>
      </c>
      <c r="Q43" s="36">
        <f>Q42*1936.27</f>
        <v>33658485.017135993</v>
      </c>
      <c r="R43" s="7"/>
      <c r="S43" s="7"/>
      <c r="T43" s="7"/>
      <c r="U43" s="7"/>
      <c r="V43" s="7"/>
      <c r="W43" s="7"/>
      <c r="X43" s="7"/>
      <c r="Y43" s="7"/>
      <c r="Z43" s="7"/>
    </row>
    <row r="44" spans="1:26" ht="12.75" customHeight="1" x14ac:dyDescent="0.2">
      <c r="A44" s="95"/>
      <c r="B44" s="95"/>
      <c r="C44" s="40" t="s">
        <v>36</v>
      </c>
      <c r="D44" s="41">
        <v>38</v>
      </c>
      <c r="E44" s="42">
        <v>8298.43</v>
      </c>
      <c r="F44" s="42">
        <v>824.27</v>
      </c>
      <c r="G44" s="42">
        <v>0</v>
      </c>
      <c r="H44" s="42">
        <v>5588.2</v>
      </c>
      <c r="I44" s="42">
        <v>0</v>
      </c>
      <c r="J44" s="42">
        <v>1225.9100000000001</v>
      </c>
      <c r="K44" s="43">
        <v>14710.9</v>
      </c>
      <c r="L44" s="32">
        <v>15936.81</v>
      </c>
      <c r="M44" s="33"/>
      <c r="N44" s="30">
        <v>14710.9</v>
      </c>
      <c r="O44" s="30">
        <v>9122.7000000000007</v>
      </c>
      <c r="P44" s="30"/>
      <c r="Q44" s="30">
        <f>(N44+O44*0.18+J44)+(IF((P44-O44*0.18)&gt;0,(P44-O44*0.18),0))</f>
        <v>17578.896000000001</v>
      </c>
      <c r="R44" s="7"/>
      <c r="S44" s="7"/>
      <c r="T44" s="7"/>
      <c r="U44" s="7"/>
      <c r="V44" s="7"/>
      <c r="W44" s="7"/>
      <c r="X44" s="7"/>
      <c r="Y44" s="7"/>
      <c r="Z44" s="7"/>
    </row>
    <row r="45" spans="1:26" ht="9" customHeight="1" x14ac:dyDescent="0.2">
      <c r="A45" s="95"/>
      <c r="B45" s="95"/>
      <c r="C45" s="34" t="s">
        <v>37</v>
      </c>
      <c r="D45" s="35">
        <v>39</v>
      </c>
      <c r="E45" s="36">
        <v>16068001</v>
      </c>
      <c r="F45" s="36">
        <v>1596009</v>
      </c>
      <c r="G45" s="36">
        <v>0</v>
      </c>
      <c r="H45" s="36">
        <v>10820264</v>
      </c>
      <c r="I45" s="36">
        <v>0</v>
      </c>
      <c r="J45" s="37">
        <v>2373693</v>
      </c>
      <c r="K45" s="36">
        <v>28484274</v>
      </c>
      <c r="L45" s="38">
        <v>30857967</v>
      </c>
      <c r="M45" s="39"/>
      <c r="N45" s="36">
        <v>28484274</v>
      </c>
      <c r="O45" s="36">
        <v>17664010</v>
      </c>
      <c r="P45" s="36">
        <v>0</v>
      </c>
      <c r="Q45" s="36">
        <f>Q44*1936.27</f>
        <v>34037488.95792</v>
      </c>
      <c r="R45" s="7"/>
      <c r="S45" s="7"/>
      <c r="T45" s="7"/>
      <c r="U45" s="7"/>
      <c r="V45" s="7"/>
      <c r="W45" s="7"/>
      <c r="X45" s="7"/>
      <c r="Y45" s="7"/>
      <c r="Z45" s="7"/>
    </row>
    <row r="46" spans="1:26" ht="9" customHeight="1" x14ac:dyDescent="0.2">
      <c r="A46" s="95"/>
      <c r="B46" s="95"/>
      <c r="C46" s="44"/>
      <c r="D46" s="45"/>
      <c r="E46" s="96"/>
      <c r="F46" s="96"/>
      <c r="G46" s="96"/>
      <c r="H46" s="96"/>
      <c r="I46" s="96"/>
      <c r="J46" s="54"/>
      <c r="K46" s="96"/>
      <c r="L46" s="96"/>
      <c r="M46" s="39"/>
      <c r="N46" s="96"/>
      <c r="O46" s="96"/>
      <c r="P46" s="96"/>
      <c r="Q46" s="96"/>
      <c r="R46" s="7"/>
      <c r="S46" s="7"/>
      <c r="T46" s="7"/>
      <c r="U46" s="7"/>
      <c r="V46" s="7"/>
      <c r="W46" s="7"/>
      <c r="X46" s="7"/>
      <c r="Y46" s="7"/>
      <c r="Z46" s="7"/>
    </row>
    <row r="47" spans="1:26" ht="9" customHeight="1" x14ac:dyDescent="0.2">
      <c r="A47" s="95"/>
      <c r="B47" s="95"/>
      <c r="C47" s="44"/>
      <c r="D47" s="45"/>
      <c r="E47" s="96"/>
      <c r="F47" s="96"/>
      <c r="G47" s="96"/>
      <c r="H47" s="96"/>
      <c r="I47" s="96"/>
      <c r="J47" s="54"/>
      <c r="K47" s="96"/>
      <c r="L47" s="96"/>
      <c r="M47" s="39"/>
      <c r="N47" s="96"/>
      <c r="O47" s="96"/>
      <c r="P47" s="96"/>
      <c r="Q47" s="96"/>
      <c r="R47" s="7"/>
      <c r="S47" s="7"/>
      <c r="T47" s="7"/>
      <c r="U47" s="7"/>
      <c r="V47" s="7"/>
      <c r="W47" s="7"/>
      <c r="X47" s="7"/>
      <c r="Y47" s="7"/>
      <c r="Z47" s="7"/>
    </row>
    <row r="48" spans="1:26" ht="12.75" customHeight="1" x14ac:dyDescent="0.2">
      <c r="A48" s="95"/>
      <c r="B48" s="95"/>
      <c r="C48" s="40" t="s">
        <v>36</v>
      </c>
      <c r="D48" s="41">
        <v>40</v>
      </c>
      <c r="E48" s="42">
        <v>8440.9699999999993</v>
      </c>
      <c r="F48" s="42">
        <v>842.86</v>
      </c>
      <c r="G48" s="42">
        <v>0</v>
      </c>
      <c r="H48" s="42">
        <v>5588.2</v>
      </c>
      <c r="I48" s="42">
        <v>0</v>
      </c>
      <c r="J48" s="42">
        <v>1239.3399999999999</v>
      </c>
      <c r="K48" s="43">
        <v>14872.03</v>
      </c>
      <c r="L48" s="32">
        <v>16111.37</v>
      </c>
      <c r="M48" s="33"/>
      <c r="N48" s="30">
        <v>14872.03</v>
      </c>
      <c r="O48" s="30">
        <v>9283.83</v>
      </c>
      <c r="P48" s="30"/>
      <c r="Q48" s="30">
        <f>(N48+O48*0.18+J48)+(IF((P48-O48*0.18)&gt;0,(P48-O48*0.18),0))</f>
        <v>17782.4594</v>
      </c>
      <c r="R48" s="7"/>
      <c r="S48" s="7"/>
      <c r="T48" s="7"/>
      <c r="U48" s="7"/>
      <c r="V48" s="7"/>
      <c r="W48" s="7"/>
      <c r="X48" s="7"/>
      <c r="Y48" s="7"/>
      <c r="Z48" s="7"/>
    </row>
    <row r="49" spans="1:26" ht="9" customHeight="1" x14ac:dyDescent="0.2">
      <c r="A49" s="110"/>
      <c r="B49" s="110"/>
      <c r="C49" s="47"/>
      <c r="D49" s="48"/>
      <c r="E49" s="46">
        <v>16343997</v>
      </c>
      <c r="F49" s="46">
        <v>1632005</v>
      </c>
      <c r="G49" s="46">
        <v>0</v>
      </c>
      <c r="H49" s="46">
        <v>10820264</v>
      </c>
      <c r="I49" s="46">
        <v>0</v>
      </c>
      <c r="J49" s="49">
        <v>2399697</v>
      </c>
      <c r="K49" s="46">
        <v>28796266</v>
      </c>
      <c r="L49" s="38">
        <v>31195962</v>
      </c>
      <c r="M49" s="39"/>
      <c r="N49" s="46">
        <v>28796266</v>
      </c>
      <c r="O49" s="46">
        <v>17976002</v>
      </c>
      <c r="P49" s="46">
        <v>0</v>
      </c>
      <c r="Q49" s="36">
        <f>Q48*1936.27</f>
        <v>34431642.662437998</v>
      </c>
      <c r="R49" s="7"/>
      <c r="S49" s="7"/>
      <c r="T49" s="7"/>
      <c r="U49" s="7"/>
      <c r="V49" s="7"/>
      <c r="W49" s="7"/>
      <c r="X49" s="7"/>
      <c r="Y49" s="7"/>
      <c r="Z49" s="7"/>
    </row>
    <row r="50" spans="1:26" ht="12.75" customHeight="1" x14ac:dyDescent="0.2">
      <c r="A50" s="98">
        <v>33178</v>
      </c>
      <c r="B50" s="98">
        <v>33358</v>
      </c>
      <c r="C50" s="28" t="s">
        <v>36</v>
      </c>
      <c r="D50" s="29">
        <v>0</v>
      </c>
      <c r="E50" s="30">
        <v>4412.6099999999997</v>
      </c>
      <c r="F50" s="30">
        <v>440.02</v>
      </c>
      <c r="G50" s="30">
        <v>0</v>
      </c>
      <c r="H50" s="30">
        <v>5788.88</v>
      </c>
      <c r="I50" s="30">
        <v>0</v>
      </c>
      <c r="J50" s="30">
        <v>886.79</v>
      </c>
      <c r="K50" s="31">
        <v>10641.51</v>
      </c>
      <c r="L50" s="32">
        <v>11528.3</v>
      </c>
      <c r="M50" s="33"/>
      <c r="N50" s="30">
        <v>10641.51</v>
      </c>
      <c r="O50" s="30">
        <v>4852.63</v>
      </c>
      <c r="P50" s="30"/>
      <c r="Q50" s="30">
        <f>(N50+O50*0.18+J50)+(IF((P50-O50*0.18)&gt;0,(P50-O50*0.18),0))</f>
        <v>12401.773400000002</v>
      </c>
      <c r="R50" s="7"/>
      <c r="S50" s="7"/>
      <c r="T50" s="7"/>
      <c r="U50" s="7"/>
      <c r="V50" s="7"/>
      <c r="W50" s="7"/>
      <c r="X50" s="7"/>
      <c r="Y50" s="7"/>
      <c r="Z50" s="7"/>
    </row>
    <row r="51" spans="1:26" ht="9" customHeight="1" x14ac:dyDescent="0.2">
      <c r="A51" s="95"/>
      <c r="B51" s="95"/>
      <c r="C51" s="34" t="s">
        <v>37</v>
      </c>
      <c r="D51" s="35">
        <v>1</v>
      </c>
      <c r="E51" s="36">
        <v>8544004</v>
      </c>
      <c r="F51" s="36">
        <v>851998</v>
      </c>
      <c r="G51" s="36">
        <v>0</v>
      </c>
      <c r="H51" s="36">
        <v>11208835</v>
      </c>
      <c r="I51" s="36">
        <v>0</v>
      </c>
      <c r="J51" s="37">
        <v>1717065</v>
      </c>
      <c r="K51" s="36">
        <v>20604837</v>
      </c>
      <c r="L51" s="38">
        <v>22321901</v>
      </c>
      <c r="M51" s="39"/>
      <c r="N51" s="36">
        <v>20604837</v>
      </c>
      <c r="O51" s="36">
        <v>9396002</v>
      </c>
      <c r="P51" s="36">
        <v>0</v>
      </c>
      <c r="Q51" s="36">
        <f>Q50*1936.27</f>
        <v>24013181.781218003</v>
      </c>
      <c r="R51" s="7"/>
      <c r="S51" s="7"/>
      <c r="T51" s="7"/>
      <c r="U51" s="7"/>
      <c r="V51" s="7"/>
      <c r="W51" s="7"/>
      <c r="X51" s="7"/>
      <c r="Y51" s="7"/>
      <c r="Z51" s="7"/>
    </row>
    <row r="52" spans="1:26" ht="12.75" customHeight="1" x14ac:dyDescent="0.2">
      <c r="A52" s="155">
        <v>33178</v>
      </c>
      <c r="B52" s="155">
        <v>33358</v>
      </c>
      <c r="C52" s="40" t="s">
        <v>36</v>
      </c>
      <c r="D52" s="41">
        <v>2</v>
      </c>
      <c r="E52" s="42">
        <v>4641.91</v>
      </c>
      <c r="F52" s="42">
        <v>458.61</v>
      </c>
      <c r="G52" s="42">
        <v>0</v>
      </c>
      <c r="H52" s="42">
        <v>5788.88</v>
      </c>
      <c r="I52" s="42">
        <v>0</v>
      </c>
      <c r="J52" s="42">
        <v>907.45</v>
      </c>
      <c r="K52" s="43">
        <v>10889.4</v>
      </c>
      <c r="L52" s="32">
        <v>11796.85</v>
      </c>
      <c r="M52" s="33"/>
      <c r="N52" s="30">
        <v>10889.4</v>
      </c>
      <c r="O52" s="30">
        <v>5100.5200000000004</v>
      </c>
      <c r="P52" s="30"/>
      <c r="Q52" s="30">
        <f>(N52+O52*0.18+J52)+(IF((P52-O52*0.18)&gt;0,(P52-O52*0.18),0))</f>
        <v>12714.943600000001</v>
      </c>
      <c r="R52" s="7"/>
      <c r="S52" s="7"/>
      <c r="T52" s="7"/>
      <c r="U52" s="7"/>
      <c r="V52" s="7"/>
      <c r="W52" s="7"/>
      <c r="X52" s="7"/>
      <c r="Y52" s="7"/>
      <c r="Z52" s="7"/>
    </row>
    <row r="53" spans="1:26" ht="9" customHeight="1" x14ac:dyDescent="0.2">
      <c r="A53" s="95"/>
      <c r="B53" s="95"/>
      <c r="C53" s="34" t="s">
        <v>37</v>
      </c>
      <c r="D53" s="35">
        <v>3</v>
      </c>
      <c r="E53" s="36">
        <v>8987991</v>
      </c>
      <c r="F53" s="36">
        <v>887993</v>
      </c>
      <c r="G53" s="36">
        <v>0</v>
      </c>
      <c r="H53" s="36">
        <v>11208835</v>
      </c>
      <c r="I53" s="36">
        <v>0</v>
      </c>
      <c r="J53" s="37">
        <v>1757068</v>
      </c>
      <c r="K53" s="36">
        <v>21084819</v>
      </c>
      <c r="L53" s="38">
        <v>22841887</v>
      </c>
      <c r="M53" s="39"/>
      <c r="N53" s="36">
        <v>21084819</v>
      </c>
      <c r="O53" s="36">
        <v>9875984</v>
      </c>
      <c r="P53" s="36">
        <v>0</v>
      </c>
      <c r="Q53" s="36">
        <f>Q52*1936.27</f>
        <v>24619563.844372001</v>
      </c>
      <c r="R53" s="7"/>
      <c r="S53" s="7"/>
      <c r="T53" s="7"/>
      <c r="U53" s="7"/>
      <c r="V53" s="7"/>
      <c r="W53" s="7"/>
      <c r="X53" s="7"/>
      <c r="Y53" s="7"/>
      <c r="Z53" s="7"/>
    </row>
    <row r="54" spans="1:26" ht="12.75" customHeight="1" x14ac:dyDescent="0.2">
      <c r="A54" s="95"/>
      <c r="B54" s="95"/>
      <c r="C54" s="40" t="s">
        <v>36</v>
      </c>
      <c r="D54" s="41">
        <v>4</v>
      </c>
      <c r="E54" s="42">
        <v>4871.22</v>
      </c>
      <c r="F54" s="42">
        <v>483.4</v>
      </c>
      <c r="G54" s="42">
        <v>0</v>
      </c>
      <c r="H54" s="42">
        <v>5788.88</v>
      </c>
      <c r="I54" s="42">
        <v>0</v>
      </c>
      <c r="J54" s="42">
        <v>928.63</v>
      </c>
      <c r="K54" s="43">
        <v>11143.5</v>
      </c>
      <c r="L54" s="32">
        <v>12072.13</v>
      </c>
      <c r="M54" s="33"/>
      <c r="N54" s="30">
        <v>11143.5</v>
      </c>
      <c r="O54" s="30">
        <v>5354.62</v>
      </c>
      <c r="P54" s="30"/>
      <c r="Q54" s="30">
        <f>(N54+O54*0.18+J54)+(IF((P54-O54*0.18)&gt;0,(P54-O54*0.18),0))</f>
        <v>13035.961599999999</v>
      </c>
      <c r="R54" s="7"/>
      <c r="S54" s="7"/>
      <c r="T54" s="7"/>
      <c r="U54" s="7"/>
      <c r="V54" s="7"/>
      <c r="W54" s="7"/>
      <c r="X54" s="7"/>
      <c r="Y54" s="7"/>
      <c r="Z54" s="7"/>
    </row>
    <row r="55" spans="1:26" ht="9" customHeight="1" x14ac:dyDescent="0.2">
      <c r="A55" s="95"/>
      <c r="B55" s="95"/>
      <c r="C55" s="34" t="s">
        <v>37</v>
      </c>
      <c r="D55" s="35">
        <v>5</v>
      </c>
      <c r="E55" s="36">
        <v>9431997</v>
      </c>
      <c r="F55" s="36">
        <v>935993</v>
      </c>
      <c r="G55" s="36">
        <v>0</v>
      </c>
      <c r="H55" s="36">
        <v>11208835</v>
      </c>
      <c r="I55" s="36">
        <v>0</v>
      </c>
      <c r="J55" s="37">
        <v>1798078</v>
      </c>
      <c r="K55" s="36">
        <v>21576825</v>
      </c>
      <c r="L55" s="38">
        <v>23374903</v>
      </c>
      <c r="M55" s="39"/>
      <c r="N55" s="36">
        <v>21576825</v>
      </c>
      <c r="O55" s="36">
        <v>10367990</v>
      </c>
      <c r="P55" s="36">
        <v>0</v>
      </c>
      <c r="Q55" s="36">
        <f>Q54*1936.27</f>
        <v>25241141.367231999</v>
      </c>
      <c r="R55" s="7"/>
      <c r="S55" s="7"/>
      <c r="T55" s="7"/>
      <c r="U55" s="7"/>
      <c r="V55" s="7"/>
      <c r="W55" s="7"/>
      <c r="X55" s="7"/>
      <c r="Y55" s="7"/>
      <c r="Z55" s="7"/>
    </row>
    <row r="56" spans="1:26" ht="12.75" customHeight="1" x14ac:dyDescent="0.2">
      <c r="A56" s="95"/>
      <c r="B56" s="95"/>
      <c r="C56" s="40" t="s">
        <v>36</v>
      </c>
      <c r="D56" s="41">
        <v>6</v>
      </c>
      <c r="E56" s="42">
        <v>5199.6899999999996</v>
      </c>
      <c r="F56" s="42">
        <v>514.39</v>
      </c>
      <c r="G56" s="42">
        <v>0</v>
      </c>
      <c r="H56" s="42">
        <v>5788.88</v>
      </c>
      <c r="I56" s="42">
        <v>0</v>
      </c>
      <c r="J56" s="42">
        <v>958.58</v>
      </c>
      <c r="K56" s="43">
        <v>11502.96</v>
      </c>
      <c r="L56" s="32">
        <v>12461.54</v>
      </c>
      <c r="M56" s="33"/>
      <c r="N56" s="30">
        <v>11502.96</v>
      </c>
      <c r="O56" s="30">
        <v>5714.08</v>
      </c>
      <c r="P56" s="30"/>
      <c r="Q56" s="30">
        <f>(N56+O56*0.18+J56)+(IF((P56-O56*0.18)&gt;0,(P56-O56*0.18),0))</f>
        <v>13490.0744</v>
      </c>
      <c r="R56" s="7"/>
      <c r="S56" s="7"/>
      <c r="T56" s="7"/>
      <c r="U56" s="7"/>
      <c r="V56" s="7"/>
      <c r="W56" s="7"/>
      <c r="X56" s="7"/>
      <c r="Y56" s="7"/>
      <c r="Z56" s="7"/>
    </row>
    <row r="57" spans="1:26" ht="9" customHeight="1" x14ac:dyDescent="0.2">
      <c r="A57" s="95"/>
      <c r="B57" s="95"/>
      <c r="C57" s="34" t="s">
        <v>37</v>
      </c>
      <c r="D57" s="35">
        <v>7</v>
      </c>
      <c r="E57" s="36">
        <v>10068004</v>
      </c>
      <c r="F57" s="36">
        <v>995998</v>
      </c>
      <c r="G57" s="36">
        <v>0</v>
      </c>
      <c r="H57" s="36">
        <v>11208835</v>
      </c>
      <c r="I57" s="36">
        <v>0</v>
      </c>
      <c r="J57" s="37">
        <v>1856070</v>
      </c>
      <c r="K57" s="36">
        <v>22272836</v>
      </c>
      <c r="L57" s="38">
        <v>24128906</v>
      </c>
      <c r="M57" s="39"/>
      <c r="N57" s="36">
        <v>22272836</v>
      </c>
      <c r="O57" s="36">
        <v>11064002</v>
      </c>
      <c r="P57" s="36">
        <v>0</v>
      </c>
      <c r="Q57" s="36">
        <f>Q56*1936.27</f>
        <v>26120426.358487997</v>
      </c>
      <c r="R57" s="7"/>
      <c r="S57" s="7"/>
      <c r="T57" s="7"/>
      <c r="U57" s="7"/>
      <c r="V57" s="7"/>
      <c r="W57" s="7"/>
      <c r="X57" s="7"/>
      <c r="Y57" s="7"/>
      <c r="Z57" s="7"/>
    </row>
    <row r="58" spans="1:26" ht="12.75" customHeight="1" x14ac:dyDescent="0.2">
      <c r="A58" s="95"/>
      <c r="B58" s="95"/>
      <c r="C58" s="40" t="s">
        <v>36</v>
      </c>
      <c r="D58" s="41">
        <v>8</v>
      </c>
      <c r="E58" s="42">
        <v>5466.18</v>
      </c>
      <c r="F58" s="42">
        <v>545.38</v>
      </c>
      <c r="G58" s="42">
        <v>0</v>
      </c>
      <c r="H58" s="42">
        <v>5788.88</v>
      </c>
      <c r="I58" s="42">
        <v>0</v>
      </c>
      <c r="J58" s="42">
        <v>983.37</v>
      </c>
      <c r="K58" s="43">
        <v>11800.44</v>
      </c>
      <c r="L58" s="32">
        <v>12783.81</v>
      </c>
      <c r="M58" s="33"/>
      <c r="N58" s="30">
        <v>11800.44</v>
      </c>
      <c r="O58" s="30">
        <v>6011.56</v>
      </c>
      <c r="P58" s="30"/>
      <c r="Q58" s="30">
        <f>(N58+O58*0.18+J58)+(IF((P58-O58*0.18)&gt;0,(P58-O58*0.18),0))</f>
        <v>13865.890800000001</v>
      </c>
      <c r="R58" s="7"/>
      <c r="S58" s="7"/>
      <c r="T58" s="7"/>
      <c r="U58" s="7"/>
      <c r="V58" s="7"/>
      <c r="W58" s="7"/>
      <c r="X58" s="7"/>
      <c r="Y58" s="7"/>
      <c r="Z58" s="7"/>
    </row>
    <row r="59" spans="1:26" ht="9" customHeight="1" x14ac:dyDescent="0.2">
      <c r="A59" s="95"/>
      <c r="B59" s="95"/>
      <c r="C59" s="34" t="s">
        <v>37</v>
      </c>
      <c r="D59" s="35">
        <v>9</v>
      </c>
      <c r="E59" s="36">
        <v>10584000</v>
      </c>
      <c r="F59" s="36">
        <v>1056003</v>
      </c>
      <c r="G59" s="36">
        <v>0</v>
      </c>
      <c r="H59" s="36">
        <v>11208835</v>
      </c>
      <c r="I59" s="36">
        <v>0</v>
      </c>
      <c r="J59" s="37">
        <v>1904070</v>
      </c>
      <c r="K59" s="36">
        <v>22848838</v>
      </c>
      <c r="L59" s="38">
        <v>24752908</v>
      </c>
      <c r="M59" s="39"/>
      <c r="N59" s="36">
        <v>22848838</v>
      </c>
      <c r="O59" s="36">
        <v>11640003</v>
      </c>
      <c r="P59" s="36">
        <v>0</v>
      </c>
      <c r="Q59" s="36">
        <f>Q58*1936.27</f>
        <v>26848108.379316002</v>
      </c>
      <c r="R59" s="7"/>
      <c r="S59" s="7"/>
      <c r="T59" s="7"/>
      <c r="U59" s="7"/>
      <c r="V59" s="7"/>
      <c r="W59" s="7"/>
      <c r="X59" s="7"/>
      <c r="Y59" s="7"/>
      <c r="Z59" s="7"/>
    </row>
    <row r="60" spans="1:26" ht="12.75" customHeight="1" x14ac:dyDescent="0.2">
      <c r="A60" s="95"/>
      <c r="B60" s="95"/>
      <c r="C60" s="40" t="s">
        <v>36</v>
      </c>
      <c r="D60" s="41">
        <v>10</v>
      </c>
      <c r="E60" s="42">
        <v>5726.47</v>
      </c>
      <c r="F60" s="42">
        <v>570.16999999999996</v>
      </c>
      <c r="G60" s="42">
        <v>0</v>
      </c>
      <c r="H60" s="42">
        <v>5788.88</v>
      </c>
      <c r="I60" s="42">
        <v>0</v>
      </c>
      <c r="J60" s="42">
        <v>1007.13</v>
      </c>
      <c r="K60" s="43">
        <v>12085.52</v>
      </c>
      <c r="L60" s="32">
        <v>13092.65</v>
      </c>
      <c r="M60" s="33"/>
      <c r="N60" s="30">
        <v>12085.52</v>
      </c>
      <c r="O60" s="30">
        <v>6296.64</v>
      </c>
      <c r="P60" s="30"/>
      <c r="Q60" s="30">
        <f>(N60+O60*0.18+J60)+(IF((P60-O60*0.18)&gt;0,(P60-O60*0.18),0))</f>
        <v>14226.045199999999</v>
      </c>
      <c r="R60" s="7"/>
      <c r="S60" s="7"/>
      <c r="T60" s="7"/>
      <c r="U60" s="7"/>
      <c r="V60" s="7"/>
      <c r="W60" s="7"/>
      <c r="X60" s="7"/>
      <c r="Y60" s="7"/>
      <c r="Z60" s="7"/>
    </row>
    <row r="61" spans="1:26" ht="9" customHeight="1" x14ac:dyDescent="0.2">
      <c r="A61" s="95"/>
      <c r="B61" s="95"/>
      <c r="C61" s="34" t="s">
        <v>37</v>
      </c>
      <c r="D61" s="35">
        <v>11</v>
      </c>
      <c r="E61" s="36">
        <v>11087992</v>
      </c>
      <c r="F61" s="36">
        <v>1104003</v>
      </c>
      <c r="G61" s="36">
        <v>0</v>
      </c>
      <c r="H61" s="36">
        <v>11208835</v>
      </c>
      <c r="I61" s="36">
        <v>0</v>
      </c>
      <c r="J61" s="37">
        <v>1950076</v>
      </c>
      <c r="K61" s="36">
        <v>23400830</v>
      </c>
      <c r="L61" s="38">
        <v>25350905</v>
      </c>
      <c r="M61" s="39"/>
      <c r="N61" s="36">
        <v>23400830</v>
      </c>
      <c r="O61" s="36">
        <v>12191995</v>
      </c>
      <c r="P61" s="36">
        <v>0</v>
      </c>
      <c r="Q61" s="36">
        <f>Q60*1936.27</f>
        <v>27545464.539403997</v>
      </c>
      <c r="R61" s="7"/>
      <c r="S61" s="7"/>
      <c r="T61" s="7"/>
      <c r="U61" s="7"/>
      <c r="V61" s="7"/>
      <c r="W61" s="7"/>
      <c r="X61" s="7"/>
      <c r="Y61" s="7"/>
      <c r="Z61" s="7"/>
    </row>
    <row r="62" spans="1:26" ht="12.75" customHeight="1" x14ac:dyDescent="0.2">
      <c r="A62" s="95"/>
      <c r="B62" s="95"/>
      <c r="C62" s="40" t="s">
        <v>36</v>
      </c>
      <c r="D62" s="41">
        <v>12</v>
      </c>
      <c r="E62" s="42">
        <v>5986.77</v>
      </c>
      <c r="F62" s="42">
        <v>594.96</v>
      </c>
      <c r="G62" s="42">
        <v>0</v>
      </c>
      <c r="H62" s="42">
        <v>5788.88</v>
      </c>
      <c r="I62" s="42">
        <v>0</v>
      </c>
      <c r="J62" s="42">
        <v>1030.8800000000001</v>
      </c>
      <c r="K62" s="43">
        <v>12370.61</v>
      </c>
      <c r="L62" s="32">
        <v>13401.49</v>
      </c>
      <c r="M62" s="33"/>
      <c r="N62" s="30">
        <v>12370.61</v>
      </c>
      <c r="O62" s="30">
        <v>6581.73</v>
      </c>
      <c r="P62" s="30"/>
      <c r="Q62" s="30">
        <f>(N62+O62*0.18+J62)+(IF((P62-O62*0.18)&gt;0,(P62-O62*0.18),0))</f>
        <v>14586.201400000002</v>
      </c>
      <c r="R62" s="7"/>
      <c r="S62" s="7"/>
      <c r="T62" s="7"/>
      <c r="U62" s="7"/>
      <c r="V62" s="7"/>
      <c r="W62" s="7"/>
      <c r="X62" s="7"/>
      <c r="Y62" s="7"/>
      <c r="Z62" s="7"/>
    </row>
    <row r="63" spans="1:26" ht="9" customHeight="1" x14ac:dyDescent="0.2">
      <c r="A63" s="95"/>
      <c r="B63" s="95"/>
      <c r="C63" s="34" t="s">
        <v>37</v>
      </c>
      <c r="D63" s="35">
        <v>13</v>
      </c>
      <c r="E63" s="36">
        <v>11592003</v>
      </c>
      <c r="F63" s="36">
        <v>1152003</v>
      </c>
      <c r="G63" s="36">
        <v>0</v>
      </c>
      <c r="H63" s="36">
        <v>11208835</v>
      </c>
      <c r="I63" s="36">
        <v>0</v>
      </c>
      <c r="J63" s="37">
        <v>1996062</v>
      </c>
      <c r="K63" s="36">
        <v>23952841</v>
      </c>
      <c r="L63" s="38">
        <v>25948903</v>
      </c>
      <c r="M63" s="39"/>
      <c r="N63" s="36">
        <v>23952841</v>
      </c>
      <c r="O63" s="36">
        <v>12744006</v>
      </c>
      <c r="P63" s="36">
        <v>0</v>
      </c>
      <c r="Q63" s="36">
        <f>Q62*1936.27</f>
        <v>28242824.184778005</v>
      </c>
      <c r="R63" s="7"/>
      <c r="S63" s="7"/>
      <c r="T63" s="7"/>
      <c r="U63" s="7"/>
      <c r="V63" s="7"/>
      <c r="W63" s="7"/>
      <c r="X63" s="7"/>
      <c r="Y63" s="7"/>
      <c r="Z63" s="7"/>
    </row>
    <row r="64" spans="1:26" ht="12.75" customHeight="1" x14ac:dyDescent="0.2">
      <c r="A64" s="95"/>
      <c r="B64" s="95"/>
      <c r="C64" s="40" t="s">
        <v>36</v>
      </c>
      <c r="D64" s="41">
        <v>14</v>
      </c>
      <c r="E64" s="42">
        <v>6247.06</v>
      </c>
      <c r="F64" s="42">
        <v>619.75</v>
      </c>
      <c r="G64" s="42">
        <v>0</v>
      </c>
      <c r="H64" s="42">
        <v>5788.88</v>
      </c>
      <c r="I64" s="42">
        <v>0</v>
      </c>
      <c r="J64" s="42">
        <v>1054.6400000000001</v>
      </c>
      <c r="K64" s="43">
        <v>12655.69</v>
      </c>
      <c r="L64" s="32">
        <v>13710.33</v>
      </c>
      <c r="M64" s="33"/>
      <c r="N64" s="30">
        <v>12655.69</v>
      </c>
      <c r="O64" s="30">
        <v>6866.81</v>
      </c>
      <c r="P64" s="30"/>
      <c r="Q64" s="30">
        <f>(N64+O64*0.18+J64)+(IF((P64-O64*0.18)&gt;0,(P64-O64*0.18),0))</f>
        <v>14946.355799999999</v>
      </c>
      <c r="R64" s="7"/>
      <c r="S64" s="7"/>
      <c r="T64" s="7"/>
      <c r="U64" s="7"/>
      <c r="V64" s="7"/>
      <c r="W64" s="7"/>
      <c r="X64" s="7"/>
      <c r="Y64" s="7"/>
      <c r="Z64" s="7"/>
    </row>
    <row r="65" spans="1:26" ht="9" customHeight="1" x14ac:dyDescent="0.2">
      <c r="A65" s="95"/>
      <c r="B65" s="95"/>
      <c r="C65" s="34" t="s">
        <v>37</v>
      </c>
      <c r="D65" s="35">
        <v>15</v>
      </c>
      <c r="E65" s="36">
        <v>12095995</v>
      </c>
      <c r="F65" s="36">
        <v>1200003</v>
      </c>
      <c r="G65" s="36">
        <v>0</v>
      </c>
      <c r="H65" s="36">
        <v>11208835</v>
      </c>
      <c r="I65" s="36">
        <v>0</v>
      </c>
      <c r="J65" s="37">
        <v>2042068</v>
      </c>
      <c r="K65" s="36">
        <v>24504833</v>
      </c>
      <c r="L65" s="38">
        <v>26546901</v>
      </c>
      <c r="M65" s="39"/>
      <c r="N65" s="36">
        <v>24504833</v>
      </c>
      <c r="O65" s="36">
        <v>13295998</v>
      </c>
      <c r="P65" s="36">
        <v>0</v>
      </c>
      <c r="Q65" s="36">
        <f>Q64*1936.27</f>
        <v>28940180.344866</v>
      </c>
      <c r="R65" s="7"/>
      <c r="S65" s="7"/>
      <c r="T65" s="7"/>
      <c r="U65" s="7"/>
      <c r="V65" s="7"/>
      <c r="W65" s="7"/>
      <c r="X65" s="7"/>
      <c r="Y65" s="7"/>
      <c r="Z65" s="7"/>
    </row>
    <row r="66" spans="1:26" ht="12.75" customHeight="1" x14ac:dyDescent="0.2">
      <c r="A66" s="95"/>
      <c r="B66" s="95"/>
      <c r="C66" s="40" t="s">
        <v>36</v>
      </c>
      <c r="D66" s="41">
        <v>16</v>
      </c>
      <c r="E66" s="42">
        <v>6507.36</v>
      </c>
      <c r="F66" s="42">
        <v>650.74</v>
      </c>
      <c r="G66" s="42">
        <v>0</v>
      </c>
      <c r="H66" s="42">
        <v>5788.88</v>
      </c>
      <c r="I66" s="42">
        <v>0</v>
      </c>
      <c r="J66" s="42">
        <v>1078.92</v>
      </c>
      <c r="K66" s="43">
        <v>12946.98</v>
      </c>
      <c r="L66" s="32">
        <v>14025.9</v>
      </c>
      <c r="M66" s="33"/>
      <c r="N66" s="30">
        <v>12946.98</v>
      </c>
      <c r="O66" s="30">
        <v>7158.1</v>
      </c>
      <c r="P66" s="30"/>
      <c r="Q66" s="30">
        <f>(N66+O66*0.18+J66)+(IF((P66-O66*0.18)&gt;0,(P66-O66*0.18),0))</f>
        <v>15314.358</v>
      </c>
      <c r="R66" s="7"/>
      <c r="S66" s="7"/>
      <c r="T66" s="7"/>
      <c r="U66" s="7"/>
      <c r="V66" s="7"/>
      <c r="W66" s="7"/>
      <c r="X66" s="7"/>
      <c r="Y66" s="7"/>
      <c r="Z66" s="7"/>
    </row>
    <row r="67" spans="1:26" ht="9" customHeight="1" x14ac:dyDescent="0.2">
      <c r="A67" s="95"/>
      <c r="B67" s="95"/>
      <c r="C67" s="34" t="s">
        <v>37</v>
      </c>
      <c r="D67" s="35">
        <v>17</v>
      </c>
      <c r="E67" s="36">
        <v>12600006</v>
      </c>
      <c r="F67" s="36">
        <v>1260008</v>
      </c>
      <c r="G67" s="36">
        <v>0</v>
      </c>
      <c r="H67" s="36">
        <v>11208835</v>
      </c>
      <c r="I67" s="36">
        <v>0</v>
      </c>
      <c r="J67" s="37">
        <v>2089080</v>
      </c>
      <c r="K67" s="36">
        <v>25068849</v>
      </c>
      <c r="L67" s="38">
        <v>27157929</v>
      </c>
      <c r="M67" s="39"/>
      <c r="N67" s="36">
        <v>25068849</v>
      </c>
      <c r="O67" s="36">
        <v>13860014</v>
      </c>
      <c r="P67" s="36">
        <v>0</v>
      </c>
      <c r="Q67" s="36">
        <f>Q66*1936.27</f>
        <v>29652731.96466</v>
      </c>
      <c r="R67" s="7"/>
      <c r="S67" s="7"/>
      <c r="T67" s="7"/>
      <c r="U67" s="7"/>
      <c r="V67" s="7"/>
      <c r="W67" s="7"/>
      <c r="X67" s="7"/>
      <c r="Y67" s="7"/>
      <c r="Z67" s="7"/>
    </row>
    <row r="68" spans="1:26" ht="12.75" customHeight="1" x14ac:dyDescent="0.2">
      <c r="A68" s="95"/>
      <c r="B68" s="95"/>
      <c r="C68" s="40" t="s">
        <v>36</v>
      </c>
      <c r="D68" s="41">
        <v>18</v>
      </c>
      <c r="E68" s="42">
        <v>6767.65</v>
      </c>
      <c r="F68" s="42">
        <v>675.53</v>
      </c>
      <c r="G68" s="42">
        <v>0</v>
      </c>
      <c r="H68" s="42">
        <v>5788.88</v>
      </c>
      <c r="I68" s="42">
        <v>0</v>
      </c>
      <c r="J68" s="42">
        <v>1102.67</v>
      </c>
      <c r="K68" s="43">
        <v>13232.06</v>
      </c>
      <c r="L68" s="32">
        <v>14334.73</v>
      </c>
      <c r="M68" s="33"/>
      <c r="N68" s="30">
        <v>13232.06</v>
      </c>
      <c r="O68" s="30">
        <v>7443.18</v>
      </c>
      <c r="P68" s="30"/>
      <c r="Q68" s="30">
        <f>(N68+O68*0.18+J68)+(IF((P68-O68*0.18)&gt;0,(P68-O68*0.18),0))</f>
        <v>15674.502399999999</v>
      </c>
      <c r="R68" s="7"/>
      <c r="S68" s="7"/>
      <c r="T68" s="7"/>
      <c r="U68" s="7"/>
      <c r="V68" s="7"/>
      <c r="W68" s="7"/>
      <c r="X68" s="7"/>
      <c r="Y68" s="7"/>
      <c r="Z68" s="7"/>
    </row>
    <row r="69" spans="1:26" ht="9" customHeight="1" x14ac:dyDescent="0.2">
      <c r="A69" s="95"/>
      <c r="B69" s="95"/>
      <c r="C69" s="34" t="s">
        <v>37</v>
      </c>
      <c r="D69" s="35">
        <v>19</v>
      </c>
      <c r="E69" s="36">
        <v>13103998</v>
      </c>
      <c r="F69" s="36">
        <v>1308008</v>
      </c>
      <c r="G69" s="36">
        <v>0</v>
      </c>
      <c r="H69" s="36">
        <v>11208835</v>
      </c>
      <c r="I69" s="36">
        <v>0</v>
      </c>
      <c r="J69" s="37">
        <v>2135067</v>
      </c>
      <c r="K69" s="36">
        <v>25620841</v>
      </c>
      <c r="L69" s="38">
        <v>27755908</v>
      </c>
      <c r="M69" s="39"/>
      <c r="N69" s="36">
        <v>25620841</v>
      </c>
      <c r="O69" s="36">
        <v>14412006</v>
      </c>
      <c r="P69" s="36">
        <v>0</v>
      </c>
      <c r="Q69" s="36">
        <f>Q68*1936.27</f>
        <v>30350068.762047999</v>
      </c>
      <c r="R69" s="7"/>
      <c r="S69" s="7"/>
      <c r="T69" s="7"/>
      <c r="U69" s="7"/>
      <c r="V69" s="7"/>
      <c r="W69" s="7"/>
      <c r="X69" s="7"/>
      <c r="Y69" s="7"/>
      <c r="Z69" s="7"/>
    </row>
    <row r="70" spans="1:26" ht="12.75" customHeight="1" x14ac:dyDescent="0.2">
      <c r="A70" s="95"/>
      <c r="B70" s="95"/>
      <c r="C70" s="40" t="s">
        <v>36</v>
      </c>
      <c r="D70" s="41">
        <v>20</v>
      </c>
      <c r="E70" s="42">
        <v>7027.95</v>
      </c>
      <c r="F70" s="42">
        <v>700.32</v>
      </c>
      <c r="G70" s="42">
        <v>0</v>
      </c>
      <c r="H70" s="42">
        <v>5788.88</v>
      </c>
      <c r="I70" s="42">
        <v>0</v>
      </c>
      <c r="J70" s="42">
        <v>1126.43</v>
      </c>
      <c r="K70" s="43">
        <v>13517.15</v>
      </c>
      <c r="L70" s="32">
        <v>14643.58</v>
      </c>
      <c r="M70" s="33"/>
      <c r="N70" s="30">
        <v>13517.15</v>
      </c>
      <c r="O70" s="30">
        <v>7728.27</v>
      </c>
      <c r="P70" s="30"/>
      <c r="Q70" s="30">
        <f>(N70+O70*0.18+J70)+(IF((P70-O70*0.18)&gt;0,(P70-O70*0.18),0))</f>
        <v>16034.668600000001</v>
      </c>
      <c r="R70" s="7"/>
      <c r="S70" s="7"/>
      <c r="T70" s="7"/>
      <c r="U70" s="7"/>
      <c r="V70" s="7"/>
      <c r="W70" s="7"/>
      <c r="X70" s="7"/>
      <c r="Y70" s="7"/>
      <c r="Z70" s="7"/>
    </row>
    <row r="71" spans="1:26" ht="9" customHeight="1" x14ac:dyDescent="0.2">
      <c r="A71" s="95"/>
      <c r="B71" s="95"/>
      <c r="C71" s="34" t="s">
        <v>37</v>
      </c>
      <c r="D71" s="35">
        <v>21</v>
      </c>
      <c r="E71" s="36">
        <v>13608009</v>
      </c>
      <c r="F71" s="36">
        <v>1356009</v>
      </c>
      <c r="G71" s="36">
        <v>0</v>
      </c>
      <c r="H71" s="36">
        <v>11208835</v>
      </c>
      <c r="I71" s="36">
        <v>0</v>
      </c>
      <c r="J71" s="37">
        <v>2181073</v>
      </c>
      <c r="K71" s="36">
        <v>26172852</v>
      </c>
      <c r="L71" s="38">
        <v>28353925</v>
      </c>
      <c r="M71" s="39"/>
      <c r="N71" s="36">
        <v>26172852</v>
      </c>
      <c r="O71" s="36">
        <v>14964017</v>
      </c>
      <c r="P71" s="36">
        <v>0</v>
      </c>
      <c r="Q71" s="36">
        <f>Q70*1936.27</f>
        <v>31047447.770122003</v>
      </c>
      <c r="R71" s="7"/>
      <c r="S71" s="7"/>
      <c r="T71" s="7"/>
      <c r="U71" s="7"/>
      <c r="V71" s="7"/>
      <c r="W71" s="7"/>
      <c r="X71" s="7"/>
      <c r="Y71" s="7"/>
      <c r="Z71" s="7"/>
    </row>
    <row r="72" spans="1:26" ht="12.75" customHeight="1" x14ac:dyDescent="0.2">
      <c r="A72" s="95"/>
      <c r="B72" s="95"/>
      <c r="C72" s="40" t="s">
        <v>36</v>
      </c>
      <c r="D72" s="41">
        <v>22</v>
      </c>
      <c r="E72" s="42">
        <v>7170.49</v>
      </c>
      <c r="F72" s="42">
        <v>712.71</v>
      </c>
      <c r="G72" s="42">
        <v>0</v>
      </c>
      <c r="H72" s="42">
        <v>5788.88</v>
      </c>
      <c r="I72" s="42">
        <v>0</v>
      </c>
      <c r="J72" s="42">
        <v>1139.3399999999999</v>
      </c>
      <c r="K72" s="43">
        <v>13672.08</v>
      </c>
      <c r="L72" s="32">
        <v>14811.42</v>
      </c>
      <c r="M72" s="33"/>
      <c r="N72" s="30">
        <v>13672.08</v>
      </c>
      <c r="O72" s="30">
        <v>7883.2</v>
      </c>
      <c r="P72" s="30"/>
      <c r="Q72" s="30">
        <f>(N72+O72*0.18+J72)+(IF((P72-O72*0.18)&gt;0,(P72-O72*0.18),0))</f>
        <v>16230.396000000001</v>
      </c>
      <c r="R72" s="7"/>
      <c r="S72" s="7"/>
      <c r="T72" s="7"/>
      <c r="U72" s="7"/>
      <c r="V72" s="7"/>
      <c r="W72" s="7"/>
      <c r="X72" s="7"/>
      <c r="Y72" s="7"/>
      <c r="Z72" s="7"/>
    </row>
    <row r="73" spans="1:26" ht="9" customHeight="1" x14ac:dyDescent="0.2">
      <c r="A73" s="95"/>
      <c r="B73" s="95"/>
      <c r="C73" s="34" t="s">
        <v>37</v>
      </c>
      <c r="D73" s="35">
        <v>23</v>
      </c>
      <c r="E73" s="36">
        <v>13884005</v>
      </c>
      <c r="F73" s="36">
        <v>1379999</v>
      </c>
      <c r="G73" s="36">
        <v>0</v>
      </c>
      <c r="H73" s="36">
        <v>11208835</v>
      </c>
      <c r="I73" s="36">
        <v>0</v>
      </c>
      <c r="J73" s="37">
        <v>2206070</v>
      </c>
      <c r="K73" s="36">
        <v>26472838</v>
      </c>
      <c r="L73" s="38">
        <v>28678908</v>
      </c>
      <c r="M73" s="39"/>
      <c r="N73" s="36">
        <v>26472838</v>
      </c>
      <c r="O73" s="36">
        <v>15264004</v>
      </c>
      <c r="P73" s="36">
        <v>0</v>
      </c>
      <c r="Q73" s="36">
        <f>Q72*1936.27</f>
        <v>31426428.862920001</v>
      </c>
      <c r="R73" s="7"/>
      <c r="S73" s="7"/>
      <c r="T73" s="7"/>
      <c r="U73" s="7"/>
      <c r="V73" s="7"/>
      <c r="W73" s="7"/>
      <c r="X73" s="7"/>
      <c r="Y73" s="7"/>
      <c r="Z73" s="7"/>
    </row>
    <row r="74" spans="1:26" ht="12.75" customHeight="1" x14ac:dyDescent="0.2">
      <c r="A74" s="95"/>
      <c r="B74" s="95"/>
      <c r="C74" s="40" t="s">
        <v>36</v>
      </c>
      <c r="D74" s="41">
        <v>24</v>
      </c>
      <c r="E74" s="42">
        <v>7313.03</v>
      </c>
      <c r="F74" s="42">
        <v>731.3</v>
      </c>
      <c r="G74" s="42">
        <v>0</v>
      </c>
      <c r="H74" s="42">
        <v>5788.88</v>
      </c>
      <c r="I74" s="42">
        <v>0</v>
      </c>
      <c r="J74" s="42">
        <v>1152.77</v>
      </c>
      <c r="K74" s="43">
        <v>13833.21</v>
      </c>
      <c r="L74" s="32">
        <v>14985.98</v>
      </c>
      <c r="M74" s="33"/>
      <c r="N74" s="30">
        <v>13833.21</v>
      </c>
      <c r="O74" s="30">
        <v>8044.33</v>
      </c>
      <c r="P74" s="30"/>
      <c r="Q74" s="30">
        <f>(N74+O74*0.18+J74)+(IF((P74-O74*0.18)&gt;0,(P74-O74*0.18),0))</f>
        <v>16433.9594</v>
      </c>
      <c r="R74" s="7"/>
      <c r="S74" s="7"/>
      <c r="T74" s="7"/>
      <c r="U74" s="7"/>
      <c r="V74" s="7"/>
      <c r="W74" s="7"/>
      <c r="X74" s="7"/>
      <c r="Y74" s="7"/>
      <c r="Z74" s="7"/>
    </row>
    <row r="75" spans="1:26" ht="9" customHeight="1" x14ac:dyDescent="0.2">
      <c r="A75" s="95"/>
      <c r="B75" s="95"/>
      <c r="C75" s="34" t="s">
        <v>37</v>
      </c>
      <c r="D75" s="35">
        <v>25</v>
      </c>
      <c r="E75" s="36">
        <v>14160001</v>
      </c>
      <c r="F75" s="36">
        <v>1415994</v>
      </c>
      <c r="G75" s="36">
        <v>0</v>
      </c>
      <c r="H75" s="36">
        <v>11208835</v>
      </c>
      <c r="I75" s="36">
        <v>0</v>
      </c>
      <c r="J75" s="37">
        <v>2232074</v>
      </c>
      <c r="K75" s="36">
        <v>26784830</v>
      </c>
      <c r="L75" s="38">
        <v>29016903</v>
      </c>
      <c r="M75" s="39"/>
      <c r="N75" s="36">
        <v>26784830</v>
      </c>
      <c r="O75" s="36">
        <v>15575995</v>
      </c>
      <c r="P75" s="36">
        <v>0</v>
      </c>
      <c r="Q75" s="36">
        <f>Q74*1936.27</f>
        <v>31820582.567437999</v>
      </c>
      <c r="R75" s="7"/>
      <c r="S75" s="7"/>
      <c r="T75" s="7"/>
      <c r="U75" s="7"/>
      <c r="V75" s="7"/>
      <c r="W75" s="7"/>
      <c r="X75" s="7"/>
      <c r="Y75" s="7"/>
      <c r="Z75" s="7"/>
    </row>
    <row r="76" spans="1:26" ht="12.75" customHeight="1" x14ac:dyDescent="0.2">
      <c r="A76" s="95"/>
      <c r="B76" s="95"/>
      <c r="C76" s="40" t="s">
        <v>36</v>
      </c>
      <c r="D76" s="41">
        <v>26</v>
      </c>
      <c r="E76" s="42">
        <v>7455.57</v>
      </c>
      <c r="F76" s="42">
        <v>743.7</v>
      </c>
      <c r="G76" s="42">
        <v>0</v>
      </c>
      <c r="H76" s="42">
        <v>5788.88</v>
      </c>
      <c r="I76" s="42">
        <v>0</v>
      </c>
      <c r="J76" s="42">
        <v>1165.68</v>
      </c>
      <c r="K76" s="43">
        <v>13988.15</v>
      </c>
      <c r="L76" s="32">
        <v>15153.83</v>
      </c>
      <c r="M76" s="33"/>
      <c r="N76" s="30">
        <v>13988.15</v>
      </c>
      <c r="O76" s="30">
        <v>8199.27</v>
      </c>
      <c r="P76" s="30"/>
      <c r="Q76" s="30">
        <f>(N76+O76*0.18+J76)+(IF((P76-O76*0.18)&gt;0,(P76-O76*0.18),0))</f>
        <v>16629.6986</v>
      </c>
      <c r="R76" s="7"/>
      <c r="S76" s="7"/>
      <c r="T76" s="7"/>
      <c r="U76" s="7"/>
      <c r="V76" s="7"/>
      <c r="W76" s="7"/>
      <c r="X76" s="7"/>
      <c r="Y76" s="7"/>
      <c r="Z76" s="7"/>
    </row>
    <row r="77" spans="1:26" ht="9" customHeight="1" x14ac:dyDescent="0.2">
      <c r="A77" s="95"/>
      <c r="B77" s="95"/>
      <c r="C77" s="34" t="s">
        <v>37</v>
      </c>
      <c r="D77" s="35">
        <v>27</v>
      </c>
      <c r="E77" s="36">
        <v>14435997</v>
      </c>
      <c r="F77" s="36">
        <v>1440004</v>
      </c>
      <c r="G77" s="36">
        <v>0</v>
      </c>
      <c r="H77" s="36">
        <v>11208835</v>
      </c>
      <c r="I77" s="36">
        <v>0</v>
      </c>
      <c r="J77" s="37">
        <v>2257071</v>
      </c>
      <c r="K77" s="36">
        <v>27084835</v>
      </c>
      <c r="L77" s="38">
        <v>29341906</v>
      </c>
      <c r="M77" s="39"/>
      <c r="N77" s="36">
        <v>27084835</v>
      </c>
      <c r="O77" s="36">
        <v>15876001</v>
      </c>
      <c r="P77" s="36">
        <v>0</v>
      </c>
      <c r="Q77" s="36">
        <f>Q76*1936.27</f>
        <v>32199586.508221999</v>
      </c>
      <c r="R77" s="7"/>
      <c r="S77" s="7"/>
      <c r="T77" s="7"/>
      <c r="U77" s="7"/>
      <c r="V77" s="7"/>
      <c r="W77" s="7"/>
      <c r="X77" s="7"/>
      <c r="Y77" s="7"/>
      <c r="Z77" s="7"/>
    </row>
    <row r="78" spans="1:26" ht="12.75" customHeight="1" x14ac:dyDescent="0.2">
      <c r="A78" s="95"/>
      <c r="B78" s="95"/>
      <c r="C78" s="40" t="s">
        <v>36</v>
      </c>
      <c r="D78" s="41">
        <v>28</v>
      </c>
      <c r="E78" s="42">
        <v>7591.92</v>
      </c>
      <c r="F78" s="42">
        <v>756.09</v>
      </c>
      <c r="G78" s="42">
        <v>0</v>
      </c>
      <c r="H78" s="42">
        <v>5788.88</v>
      </c>
      <c r="I78" s="42">
        <v>0</v>
      </c>
      <c r="J78" s="42">
        <v>1178.07</v>
      </c>
      <c r="K78" s="43">
        <v>14136.89</v>
      </c>
      <c r="L78" s="32">
        <v>15314.96</v>
      </c>
      <c r="M78" s="33"/>
      <c r="N78" s="30">
        <v>14136.89</v>
      </c>
      <c r="O78" s="30">
        <v>8348.01</v>
      </c>
      <c r="P78" s="30"/>
      <c r="Q78" s="30">
        <f>(N78+O78*0.18+J78)+(IF((P78-O78*0.18)&gt;0,(P78-O78*0.18),0))</f>
        <v>16817.6018</v>
      </c>
      <c r="R78" s="7"/>
      <c r="S78" s="7"/>
      <c r="T78" s="7"/>
      <c r="U78" s="7"/>
      <c r="V78" s="7"/>
      <c r="W78" s="7"/>
      <c r="X78" s="7"/>
      <c r="Y78" s="7"/>
      <c r="Z78" s="7"/>
    </row>
    <row r="79" spans="1:26" ht="9" customHeight="1" x14ac:dyDescent="0.2">
      <c r="A79" s="95"/>
      <c r="B79" s="95"/>
      <c r="C79" s="34" t="s">
        <v>37</v>
      </c>
      <c r="D79" s="35">
        <v>29</v>
      </c>
      <c r="E79" s="36">
        <v>14700007</v>
      </c>
      <c r="F79" s="36">
        <v>1463994</v>
      </c>
      <c r="G79" s="36">
        <v>0</v>
      </c>
      <c r="H79" s="36">
        <v>11208835</v>
      </c>
      <c r="I79" s="36">
        <v>0</v>
      </c>
      <c r="J79" s="37">
        <v>2281062</v>
      </c>
      <c r="K79" s="36">
        <v>27372836</v>
      </c>
      <c r="L79" s="38">
        <v>29653898</v>
      </c>
      <c r="M79" s="39"/>
      <c r="N79" s="36">
        <v>27372836</v>
      </c>
      <c r="O79" s="36">
        <v>16164001</v>
      </c>
      <c r="P79" s="36">
        <v>0</v>
      </c>
      <c r="Q79" s="36">
        <f>Q78*1936.27</f>
        <v>32563417.837285999</v>
      </c>
      <c r="R79" s="7"/>
      <c r="S79" s="7"/>
      <c r="T79" s="7"/>
      <c r="U79" s="7"/>
      <c r="V79" s="7"/>
      <c r="W79" s="7"/>
      <c r="X79" s="7"/>
      <c r="Y79" s="7"/>
      <c r="Z79" s="7"/>
    </row>
    <row r="80" spans="1:26" ht="12.75" customHeight="1" x14ac:dyDescent="0.2">
      <c r="A80" s="95"/>
      <c r="B80" s="95"/>
      <c r="C80" s="40" t="s">
        <v>36</v>
      </c>
      <c r="D80" s="41">
        <v>30</v>
      </c>
      <c r="E80" s="42">
        <v>7734.46</v>
      </c>
      <c r="F80" s="42">
        <v>768.49</v>
      </c>
      <c r="G80" s="42">
        <v>0</v>
      </c>
      <c r="H80" s="42">
        <v>5788.88</v>
      </c>
      <c r="I80" s="42">
        <v>0</v>
      </c>
      <c r="J80" s="42">
        <v>1190.99</v>
      </c>
      <c r="K80" s="43">
        <v>14291.83</v>
      </c>
      <c r="L80" s="32">
        <v>15482.82</v>
      </c>
      <c r="M80" s="33"/>
      <c r="N80" s="30">
        <v>14291.83</v>
      </c>
      <c r="O80" s="30">
        <v>8502.9500000000007</v>
      </c>
      <c r="P80" s="30"/>
      <c r="Q80" s="30">
        <f>(N80+O80*0.18+J80)+(IF((P80-O80*0.18)&gt;0,(P80-O80*0.18),0))</f>
        <v>17013.351000000002</v>
      </c>
      <c r="R80" s="7"/>
      <c r="S80" s="7"/>
      <c r="T80" s="7"/>
      <c r="U80" s="7"/>
      <c r="V80" s="7"/>
      <c r="W80" s="7"/>
      <c r="X80" s="7"/>
      <c r="Y80" s="7"/>
      <c r="Z80" s="7"/>
    </row>
    <row r="81" spans="1:26" ht="9" customHeight="1" x14ac:dyDescent="0.2">
      <c r="A81" s="95"/>
      <c r="B81" s="95"/>
      <c r="C81" s="34" t="s">
        <v>37</v>
      </c>
      <c r="D81" s="35">
        <v>31</v>
      </c>
      <c r="E81" s="36">
        <v>14976003</v>
      </c>
      <c r="F81" s="36">
        <v>1488004</v>
      </c>
      <c r="G81" s="36">
        <v>0</v>
      </c>
      <c r="H81" s="36">
        <v>11208835</v>
      </c>
      <c r="I81" s="36">
        <v>0</v>
      </c>
      <c r="J81" s="37">
        <v>2306078</v>
      </c>
      <c r="K81" s="36">
        <v>27672842</v>
      </c>
      <c r="L81" s="38">
        <v>29978920</v>
      </c>
      <c r="M81" s="39"/>
      <c r="N81" s="36">
        <v>27672842</v>
      </c>
      <c r="O81" s="36">
        <v>16464007</v>
      </c>
      <c r="P81" s="36">
        <v>0</v>
      </c>
      <c r="Q81" s="36">
        <f>Q80*1936.27</f>
        <v>32942441.140770003</v>
      </c>
      <c r="R81" s="7"/>
      <c r="S81" s="7"/>
      <c r="T81" s="7"/>
      <c r="U81" s="7"/>
      <c r="V81" s="7"/>
      <c r="W81" s="7"/>
      <c r="X81" s="7"/>
      <c r="Y81" s="7"/>
      <c r="Z81" s="7"/>
    </row>
    <row r="82" spans="1:26" ht="12.75" customHeight="1" x14ac:dyDescent="0.2">
      <c r="A82" s="95"/>
      <c r="B82" s="95"/>
      <c r="C82" s="40" t="s">
        <v>36</v>
      </c>
      <c r="D82" s="41">
        <v>32</v>
      </c>
      <c r="E82" s="42">
        <v>7877</v>
      </c>
      <c r="F82" s="42">
        <v>787.08</v>
      </c>
      <c r="G82" s="42">
        <v>0</v>
      </c>
      <c r="H82" s="42">
        <v>5788.88</v>
      </c>
      <c r="I82" s="42">
        <v>0</v>
      </c>
      <c r="J82" s="42">
        <v>1204.4100000000001</v>
      </c>
      <c r="K82" s="43">
        <v>14452.96</v>
      </c>
      <c r="L82" s="32">
        <v>15657.37</v>
      </c>
      <c r="M82" s="33"/>
      <c r="N82" s="30">
        <v>14452.96</v>
      </c>
      <c r="O82" s="30">
        <v>8664.08</v>
      </c>
      <c r="P82" s="30"/>
      <c r="Q82" s="30">
        <f>(N82+O82*0.18+J82)+(IF((P82-O82*0.18)&gt;0,(P82-O82*0.18),0))</f>
        <v>17216.904399999999</v>
      </c>
      <c r="R82" s="7"/>
      <c r="S82" s="7"/>
      <c r="T82" s="7"/>
      <c r="U82" s="7"/>
      <c r="V82" s="7"/>
      <c r="W82" s="7"/>
      <c r="X82" s="7"/>
      <c r="Y82" s="7"/>
      <c r="Z82" s="7"/>
    </row>
    <row r="83" spans="1:26" ht="9" customHeight="1" x14ac:dyDescent="0.2">
      <c r="A83" s="95"/>
      <c r="B83" s="95"/>
      <c r="C83" s="34" t="s">
        <v>37</v>
      </c>
      <c r="D83" s="35">
        <v>33</v>
      </c>
      <c r="E83" s="36">
        <v>15251999</v>
      </c>
      <c r="F83" s="36">
        <v>1523999</v>
      </c>
      <c r="G83" s="36">
        <v>0</v>
      </c>
      <c r="H83" s="36">
        <v>11208835</v>
      </c>
      <c r="I83" s="36">
        <v>0</v>
      </c>
      <c r="J83" s="37">
        <v>2332063</v>
      </c>
      <c r="K83" s="36">
        <v>27984833</v>
      </c>
      <c r="L83" s="38">
        <v>30316896</v>
      </c>
      <c r="M83" s="39"/>
      <c r="N83" s="36">
        <v>27984833</v>
      </c>
      <c r="O83" s="36">
        <v>16775998</v>
      </c>
      <c r="P83" s="36">
        <v>0</v>
      </c>
      <c r="Q83" s="36">
        <f>Q82*1936.27</f>
        <v>33336575.482587997</v>
      </c>
      <c r="R83" s="7"/>
      <c r="S83" s="7"/>
      <c r="T83" s="7"/>
      <c r="U83" s="7"/>
      <c r="V83" s="7"/>
      <c r="W83" s="7"/>
      <c r="X83" s="7"/>
      <c r="Y83" s="7"/>
      <c r="Z83" s="7"/>
    </row>
    <row r="84" spans="1:26" ht="12.75" customHeight="1" x14ac:dyDescent="0.2">
      <c r="A84" s="95"/>
      <c r="B84" s="95"/>
      <c r="C84" s="40" t="s">
        <v>36</v>
      </c>
      <c r="D84" s="41">
        <v>34</v>
      </c>
      <c r="E84" s="42">
        <v>7829.49</v>
      </c>
      <c r="F84" s="42">
        <v>799.48</v>
      </c>
      <c r="G84" s="42">
        <v>0</v>
      </c>
      <c r="H84" s="42">
        <v>5788.88</v>
      </c>
      <c r="I84" s="42">
        <v>0</v>
      </c>
      <c r="J84" s="42">
        <v>1201.49</v>
      </c>
      <c r="K84" s="43">
        <v>14417.85</v>
      </c>
      <c r="L84" s="32">
        <v>15619.34</v>
      </c>
      <c r="M84" s="33"/>
      <c r="N84" s="30">
        <v>14417.85</v>
      </c>
      <c r="O84" s="30">
        <v>8628.9699999999993</v>
      </c>
      <c r="P84" s="30"/>
      <c r="Q84" s="30">
        <f>(N84+O84*0.18+J84)+(IF((P84-O84*0.18)&gt;0,(P84-O84*0.18),0))</f>
        <v>17172.554599999999</v>
      </c>
      <c r="R84" s="7"/>
      <c r="S84" s="7"/>
      <c r="T84" s="7"/>
      <c r="U84" s="7"/>
      <c r="V84" s="7"/>
      <c r="W84" s="7"/>
      <c r="X84" s="7"/>
      <c r="Y84" s="7"/>
      <c r="Z84" s="7"/>
    </row>
    <row r="85" spans="1:26" ht="9" customHeight="1" x14ac:dyDescent="0.2">
      <c r="A85" s="95"/>
      <c r="B85" s="95"/>
      <c r="C85" s="34" t="s">
        <v>37</v>
      </c>
      <c r="D85" s="35">
        <v>35</v>
      </c>
      <c r="E85" s="36">
        <v>15160007</v>
      </c>
      <c r="F85" s="36">
        <v>1548009</v>
      </c>
      <c r="G85" s="36">
        <v>0</v>
      </c>
      <c r="H85" s="36">
        <v>11208835</v>
      </c>
      <c r="I85" s="36">
        <v>0</v>
      </c>
      <c r="J85" s="37">
        <v>2326409</v>
      </c>
      <c r="K85" s="36">
        <v>27916850</v>
      </c>
      <c r="L85" s="38">
        <v>30243259</v>
      </c>
      <c r="M85" s="39"/>
      <c r="N85" s="36">
        <v>27916850</v>
      </c>
      <c r="O85" s="36">
        <v>16708016</v>
      </c>
      <c r="P85" s="36">
        <v>0</v>
      </c>
      <c r="Q85" s="36">
        <f>Q84*1936.27</f>
        <v>33250702.295341998</v>
      </c>
      <c r="R85" s="7"/>
      <c r="S85" s="7"/>
      <c r="T85" s="7"/>
      <c r="U85" s="7"/>
      <c r="V85" s="7"/>
      <c r="W85" s="7"/>
      <c r="X85" s="7"/>
      <c r="Y85" s="7"/>
      <c r="Z85" s="7"/>
    </row>
    <row r="86" spans="1:26" ht="12.75" customHeight="1" x14ac:dyDescent="0.2">
      <c r="A86" s="95"/>
      <c r="B86" s="95"/>
      <c r="C86" s="40" t="s">
        <v>36</v>
      </c>
      <c r="D86" s="41">
        <v>36</v>
      </c>
      <c r="E86" s="42">
        <v>8155.89</v>
      </c>
      <c r="F86" s="42">
        <v>811.87</v>
      </c>
      <c r="G86" s="42">
        <v>0</v>
      </c>
      <c r="H86" s="42">
        <v>5788.88</v>
      </c>
      <c r="I86" s="42">
        <v>0</v>
      </c>
      <c r="J86" s="42">
        <v>1229.72</v>
      </c>
      <c r="K86" s="43">
        <v>14756.64</v>
      </c>
      <c r="L86" s="32">
        <v>15986.36</v>
      </c>
      <c r="M86" s="33"/>
      <c r="N86" s="30">
        <v>14756.64</v>
      </c>
      <c r="O86" s="30">
        <v>8967.76</v>
      </c>
      <c r="P86" s="30"/>
      <c r="Q86" s="30">
        <f>(N86+O86*0.18+J86)+(IF((P86-O86*0.18)&gt;0,(P86-O86*0.18),0))</f>
        <v>17600.556799999998</v>
      </c>
      <c r="R86" s="7"/>
      <c r="S86" s="7"/>
      <c r="T86" s="7"/>
      <c r="U86" s="7"/>
      <c r="V86" s="7"/>
      <c r="W86" s="7"/>
      <c r="X86" s="7"/>
      <c r="Y86" s="7"/>
      <c r="Z86" s="7"/>
    </row>
    <row r="87" spans="1:26" ht="9" customHeight="1" x14ac:dyDescent="0.2">
      <c r="A87" s="95"/>
      <c r="B87" s="95"/>
      <c r="C87" s="34" t="s">
        <v>37</v>
      </c>
      <c r="D87" s="35">
        <v>37</v>
      </c>
      <c r="E87" s="36">
        <v>15792005</v>
      </c>
      <c r="F87" s="36">
        <v>1572000</v>
      </c>
      <c r="G87" s="36">
        <v>0</v>
      </c>
      <c r="H87" s="36">
        <v>11208835</v>
      </c>
      <c r="I87" s="36">
        <v>0</v>
      </c>
      <c r="J87" s="37">
        <v>2381070</v>
      </c>
      <c r="K87" s="36">
        <v>28572839</v>
      </c>
      <c r="L87" s="38">
        <v>30953909</v>
      </c>
      <c r="M87" s="39"/>
      <c r="N87" s="36">
        <v>28572839</v>
      </c>
      <c r="O87" s="36">
        <v>17364005</v>
      </c>
      <c r="P87" s="36">
        <v>0</v>
      </c>
      <c r="Q87" s="36">
        <f>Q86*1936.27</f>
        <v>34079430.115135998</v>
      </c>
      <c r="R87" s="7"/>
      <c r="S87" s="7"/>
      <c r="T87" s="7"/>
      <c r="U87" s="7"/>
      <c r="V87" s="7"/>
      <c r="W87" s="7"/>
      <c r="X87" s="7"/>
      <c r="Y87" s="7"/>
      <c r="Z87" s="7"/>
    </row>
    <row r="88" spans="1:26" ht="12.75" customHeight="1" x14ac:dyDescent="0.2">
      <c r="A88" s="95"/>
      <c r="B88" s="95"/>
      <c r="C88" s="40" t="s">
        <v>36</v>
      </c>
      <c r="D88" s="41">
        <v>38</v>
      </c>
      <c r="E88" s="42">
        <v>8298.43</v>
      </c>
      <c r="F88" s="42">
        <v>824.27</v>
      </c>
      <c r="G88" s="42">
        <v>0</v>
      </c>
      <c r="H88" s="42">
        <v>5788.88</v>
      </c>
      <c r="I88" s="42">
        <v>0</v>
      </c>
      <c r="J88" s="42">
        <v>1242.6300000000001</v>
      </c>
      <c r="K88" s="43">
        <v>14911.58</v>
      </c>
      <c r="L88" s="32">
        <v>16154.21</v>
      </c>
      <c r="M88" s="33"/>
      <c r="N88" s="30">
        <v>14911.58</v>
      </c>
      <c r="O88" s="30">
        <v>9122.7000000000007</v>
      </c>
      <c r="P88" s="30"/>
      <c r="Q88" s="30">
        <f>(N88+O88*0.18+J88)+(IF((P88-O88*0.18)&gt;0,(P88-O88*0.18),0))</f>
        <v>17796.296000000002</v>
      </c>
      <c r="R88" s="7"/>
      <c r="S88" s="7"/>
      <c r="T88" s="7"/>
      <c r="U88" s="7"/>
      <c r="V88" s="7"/>
      <c r="W88" s="7"/>
      <c r="X88" s="7"/>
      <c r="Y88" s="7"/>
      <c r="Z88" s="7"/>
    </row>
    <row r="89" spans="1:26" ht="9" customHeight="1" x14ac:dyDescent="0.2">
      <c r="A89" s="95"/>
      <c r="B89" s="95"/>
      <c r="C89" s="34" t="s">
        <v>37</v>
      </c>
      <c r="D89" s="35">
        <v>39</v>
      </c>
      <c r="E89" s="36">
        <v>16068001</v>
      </c>
      <c r="F89" s="36">
        <v>1596009</v>
      </c>
      <c r="G89" s="36">
        <v>0</v>
      </c>
      <c r="H89" s="36">
        <v>11208835</v>
      </c>
      <c r="I89" s="36">
        <v>0</v>
      </c>
      <c r="J89" s="37">
        <v>2406067</v>
      </c>
      <c r="K89" s="36">
        <v>28872845</v>
      </c>
      <c r="L89" s="38">
        <v>31278912</v>
      </c>
      <c r="M89" s="39"/>
      <c r="N89" s="36">
        <v>28872845</v>
      </c>
      <c r="O89" s="36">
        <v>17664010</v>
      </c>
      <c r="P89" s="36">
        <v>0</v>
      </c>
      <c r="Q89" s="36">
        <f>Q88*1936.27</f>
        <v>34458434.055920005</v>
      </c>
      <c r="R89" s="7"/>
      <c r="S89" s="7"/>
      <c r="T89" s="7"/>
      <c r="U89" s="7"/>
      <c r="V89" s="7"/>
      <c r="W89" s="7"/>
      <c r="X89" s="7"/>
      <c r="Y89" s="7"/>
      <c r="Z89" s="7"/>
    </row>
    <row r="90" spans="1:26" ht="9" customHeight="1" x14ac:dyDescent="0.2">
      <c r="A90" s="95"/>
      <c r="B90" s="95"/>
      <c r="C90" s="44"/>
      <c r="D90" s="45"/>
      <c r="E90" s="96"/>
      <c r="F90" s="96"/>
      <c r="G90" s="96"/>
      <c r="H90" s="96"/>
      <c r="I90" s="96"/>
      <c r="J90" s="54"/>
      <c r="K90" s="96"/>
      <c r="L90" s="96"/>
      <c r="M90" s="39"/>
      <c r="N90" s="96"/>
      <c r="O90" s="96"/>
      <c r="P90" s="96"/>
      <c r="Q90" s="96"/>
      <c r="R90" s="7"/>
      <c r="S90" s="7"/>
      <c r="T90" s="7"/>
      <c r="U90" s="7"/>
      <c r="V90" s="7"/>
      <c r="W90" s="7"/>
      <c r="X90" s="7"/>
      <c r="Y90" s="7"/>
      <c r="Z90" s="7"/>
    </row>
    <row r="91" spans="1:26" ht="9" customHeight="1" x14ac:dyDescent="0.2">
      <c r="A91" s="95"/>
      <c r="B91" s="95"/>
      <c r="C91" s="44"/>
      <c r="D91" s="45"/>
      <c r="E91" s="96"/>
      <c r="F91" s="96"/>
      <c r="G91" s="96"/>
      <c r="H91" s="96"/>
      <c r="I91" s="96"/>
      <c r="J91" s="54"/>
      <c r="K91" s="96"/>
      <c r="L91" s="96"/>
      <c r="M91" s="39"/>
      <c r="N91" s="96"/>
      <c r="O91" s="96"/>
      <c r="P91" s="96"/>
      <c r="Q91" s="96"/>
      <c r="R91" s="7"/>
      <c r="S91" s="7"/>
      <c r="T91" s="7"/>
      <c r="U91" s="7"/>
      <c r="V91" s="7"/>
      <c r="W91" s="7"/>
      <c r="X91" s="7"/>
      <c r="Y91" s="7"/>
      <c r="Z91" s="7"/>
    </row>
    <row r="92" spans="1:26" ht="12.75" customHeight="1" x14ac:dyDescent="0.2">
      <c r="A92" s="95"/>
      <c r="B92" s="95"/>
      <c r="C92" s="40" t="s">
        <v>36</v>
      </c>
      <c r="D92" s="41">
        <v>40</v>
      </c>
      <c r="E92" s="42">
        <v>8440.9699999999993</v>
      </c>
      <c r="F92" s="42">
        <v>842.86</v>
      </c>
      <c r="G92" s="42">
        <v>0</v>
      </c>
      <c r="H92" s="42">
        <v>5788.88</v>
      </c>
      <c r="I92" s="42">
        <v>0</v>
      </c>
      <c r="J92" s="42">
        <v>1256.06</v>
      </c>
      <c r="K92" s="43">
        <v>15072.71</v>
      </c>
      <c r="L92" s="32">
        <v>16328.77</v>
      </c>
      <c r="M92" s="33"/>
      <c r="N92" s="30">
        <v>15072.71</v>
      </c>
      <c r="O92" s="30">
        <v>9283.83</v>
      </c>
      <c r="P92" s="30"/>
      <c r="Q92" s="30">
        <f>(N92+O92*0.18+J92)+(IF((P92-O92*0.18)&gt;0,(P92-O92*0.18),0))</f>
        <v>17999.859400000001</v>
      </c>
      <c r="R92" s="7"/>
      <c r="S92" s="7"/>
      <c r="T92" s="7"/>
      <c r="U92" s="7"/>
      <c r="V92" s="7"/>
      <c r="W92" s="7"/>
      <c r="X92" s="7"/>
      <c r="Y92" s="7"/>
      <c r="Z92" s="7"/>
    </row>
    <row r="93" spans="1:26" ht="9" customHeight="1" x14ac:dyDescent="0.2">
      <c r="A93" s="110"/>
      <c r="B93" s="110"/>
      <c r="C93" s="47"/>
      <c r="D93" s="48"/>
      <c r="E93" s="46">
        <v>16343997</v>
      </c>
      <c r="F93" s="46">
        <v>1632005</v>
      </c>
      <c r="G93" s="46">
        <v>0</v>
      </c>
      <c r="H93" s="46">
        <v>11208835</v>
      </c>
      <c r="I93" s="46">
        <v>0</v>
      </c>
      <c r="J93" s="49">
        <v>2432071</v>
      </c>
      <c r="K93" s="46">
        <v>29184836</v>
      </c>
      <c r="L93" s="38">
        <v>31616907</v>
      </c>
      <c r="M93" s="39"/>
      <c r="N93" s="36">
        <v>29184836</v>
      </c>
      <c r="O93" s="36">
        <v>17976002</v>
      </c>
      <c r="P93" s="36">
        <v>0</v>
      </c>
      <c r="Q93" s="36">
        <f>Q92*1936.27</f>
        <v>34852587.760438003</v>
      </c>
      <c r="R93" s="7"/>
      <c r="S93" s="7"/>
      <c r="T93" s="7"/>
      <c r="U93" s="7"/>
      <c r="V93" s="7"/>
      <c r="W93" s="7"/>
      <c r="X93" s="7"/>
      <c r="Y93" s="7"/>
      <c r="Z93" s="7"/>
    </row>
    <row r="94" spans="1:26" ht="12.75" customHeight="1" x14ac:dyDescent="0.2">
      <c r="A94" s="98">
        <v>33359</v>
      </c>
      <c r="B94" s="98">
        <v>33542</v>
      </c>
      <c r="C94" s="28" t="s">
        <v>36</v>
      </c>
      <c r="D94" s="29">
        <v>0</v>
      </c>
      <c r="E94" s="30">
        <v>4412.6099999999997</v>
      </c>
      <c r="F94" s="30">
        <v>440.02</v>
      </c>
      <c r="G94" s="30">
        <v>0</v>
      </c>
      <c r="H94" s="30">
        <v>6056.11</v>
      </c>
      <c r="I94" s="30">
        <v>0</v>
      </c>
      <c r="J94" s="30">
        <v>909.06</v>
      </c>
      <c r="K94" s="31">
        <v>10908.74</v>
      </c>
      <c r="L94" s="32">
        <v>11817.8</v>
      </c>
      <c r="M94" s="33"/>
      <c r="N94" s="30">
        <v>10908.74</v>
      </c>
      <c r="O94" s="30">
        <v>4852.63</v>
      </c>
      <c r="P94" s="30"/>
      <c r="Q94" s="30">
        <f>(N94+O94*0.18+J94)+(IF((P94-O94*0.18)&gt;0,(P94-O94*0.18),0))</f>
        <v>12691.2734</v>
      </c>
      <c r="R94" s="7"/>
      <c r="S94" s="7"/>
      <c r="T94" s="7"/>
      <c r="U94" s="7"/>
      <c r="V94" s="7"/>
      <c r="W94" s="7"/>
      <c r="X94" s="7"/>
      <c r="Y94" s="7"/>
      <c r="Z94" s="7"/>
    </row>
    <row r="95" spans="1:26" ht="9" customHeight="1" x14ac:dyDescent="0.2">
      <c r="A95" s="95"/>
      <c r="B95" s="95"/>
      <c r="C95" s="34" t="s">
        <v>37</v>
      </c>
      <c r="D95" s="35">
        <v>1</v>
      </c>
      <c r="E95" s="36">
        <v>8544004</v>
      </c>
      <c r="F95" s="36">
        <v>851998</v>
      </c>
      <c r="G95" s="36">
        <v>0</v>
      </c>
      <c r="H95" s="36">
        <v>11726264</v>
      </c>
      <c r="I95" s="36">
        <v>0</v>
      </c>
      <c r="J95" s="37">
        <v>1760186</v>
      </c>
      <c r="K95" s="36">
        <v>21122266</v>
      </c>
      <c r="L95" s="38">
        <v>22882452</v>
      </c>
      <c r="M95" s="39"/>
      <c r="N95" s="36">
        <v>21122266</v>
      </c>
      <c r="O95" s="36">
        <v>9396002</v>
      </c>
      <c r="P95" s="36">
        <v>0</v>
      </c>
      <c r="Q95" s="36">
        <f>Q94*1936.27</f>
        <v>24573731.946217999</v>
      </c>
      <c r="R95" s="7"/>
      <c r="S95" s="7"/>
      <c r="T95" s="7"/>
      <c r="U95" s="7"/>
      <c r="V95" s="7"/>
      <c r="W95" s="7"/>
      <c r="X95" s="7"/>
      <c r="Y95" s="7"/>
      <c r="Z95" s="7"/>
    </row>
    <row r="96" spans="1:26" ht="12.75" customHeight="1" x14ac:dyDescent="0.2">
      <c r="A96" s="155">
        <v>33359</v>
      </c>
      <c r="B96" s="155">
        <v>33542</v>
      </c>
      <c r="C96" s="40" t="s">
        <v>36</v>
      </c>
      <c r="D96" s="41">
        <v>2</v>
      </c>
      <c r="E96" s="42">
        <v>4641.91</v>
      </c>
      <c r="F96" s="42">
        <v>458.61</v>
      </c>
      <c r="G96" s="42">
        <v>0</v>
      </c>
      <c r="H96" s="42">
        <v>6056.11</v>
      </c>
      <c r="I96" s="42">
        <v>0</v>
      </c>
      <c r="J96" s="42">
        <v>929.72</v>
      </c>
      <c r="K96" s="43">
        <v>11156.63</v>
      </c>
      <c r="L96" s="32">
        <v>12086.35</v>
      </c>
      <c r="M96" s="33"/>
      <c r="N96" s="30">
        <v>11156.63</v>
      </c>
      <c r="O96" s="30">
        <v>5100.5200000000004</v>
      </c>
      <c r="P96" s="30"/>
      <c r="Q96" s="30">
        <f>(N96+O96*0.18+J96)+(IF((P96-O96*0.18)&gt;0,(P96-O96*0.18),0))</f>
        <v>13004.443599999999</v>
      </c>
      <c r="R96" s="7"/>
      <c r="S96" s="7"/>
      <c r="T96" s="7"/>
      <c r="U96" s="7"/>
      <c r="V96" s="7"/>
      <c r="W96" s="7"/>
      <c r="X96" s="7"/>
      <c r="Y96" s="7"/>
      <c r="Z96" s="7"/>
    </row>
    <row r="97" spans="1:26" ht="9" customHeight="1" x14ac:dyDescent="0.2">
      <c r="A97" s="95"/>
      <c r="B97" s="95"/>
      <c r="C97" s="34" t="s">
        <v>37</v>
      </c>
      <c r="D97" s="35">
        <v>3</v>
      </c>
      <c r="E97" s="36">
        <v>8987991</v>
      </c>
      <c r="F97" s="36">
        <v>887993</v>
      </c>
      <c r="G97" s="36">
        <v>0</v>
      </c>
      <c r="H97" s="36">
        <v>11726264</v>
      </c>
      <c r="I97" s="36">
        <v>0</v>
      </c>
      <c r="J97" s="37">
        <v>1800189</v>
      </c>
      <c r="K97" s="36">
        <v>21602248</v>
      </c>
      <c r="L97" s="38">
        <v>23402437</v>
      </c>
      <c r="M97" s="39"/>
      <c r="N97" s="36">
        <v>21602248</v>
      </c>
      <c r="O97" s="36">
        <v>9875984</v>
      </c>
      <c r="P97" s="36">
        <v>0</v>
      </c>
      <c r="Q97" s="36">
        <f>Q96*1936.27</f>
        <v>25180114.009371996</v>
      </c>
      <c r="R97" s="7"/>
      <c r="S97" s="7"/>
      <c r="T97" s="7"/>
      <c r="U97" s="7"/>
      <c r="V97" s="7"/>
      <c r="W97" s="7"/>
      <c r="X97" s="7"/>
      <c r="Y97" s="7"/>
      <c r="Z97" s="7"/>
    </row>
    <row r="98" spans="1:26" ht="12.75" customHeight="1" x14ac:dyDescent="0.2">
      <c r="A98" s="95"/>
      <c r="B98" s="95"/>
      <c r="C98" s="40" t="s">
        <v>36</v>
      </c>
      <c r="D98" s="41">
        <v>4</v>
      </c>
      <c r="E98" s="42">
        <v>4871.22</v>
      </c>
      <c r="F98" s="42">
        <v>483.4</v>
      </c>
      <c r="G98" s="42">
        <v>0</v>
      </c>
      <c r="H98" s="42">
        <v>6056.11</v>
      </c>
      <c r="I98" s="42">
        <v>0</v>
      </c>
      <c r="J98" s="42">
        <v>950.89</v>
      </c>
      <c r="K98" s="43">
        <v>11410.73</v>
      </c>
      <c r="L98" s="32">
        <v>12361.62</v>
      </c>
      <c r="M98" s="33"/>
      <c r="N98" s="30">
        <v>11410.73</v>
      </c>
      <c r="O98" s="30">
        <v>5354.62</v>
      </c>
      <c r="P98" s="30"/>
      <c r="Q98" s="30">
        <f>(N98+O98*0.18+J98)+(IF((P98-O98*0.18)&gt;0,(P98-O98*0.18),0))</f>
        <v>13325.451599999999</v>
      </c>
      <c r="R98" s="7"/>
      <c r="S98" s="7"/>
      <c r="T98" s="7"/>
      <c r="U98" s="7"/>
      <c r="V98" s="7"/>
      <c r="W98" s="7"/>
      <c r="X98" s="7"/>
      <c r="Y98" s="7"/>
      <c r="Z98" s="7"/>
    </row>
    <row r="99" spans="1:26" ht="9" customHeight="1" x14ac:dyDescent="0.2">
      <c r="A99" s="95"/>
      <c r="B99" s="95"/>
      <c r="C99" s="34" t="s">
        <v>37</v>
      </c>
      <c r="D99" s="35">
        <v>5</v>
      </c>
      <c r="E99" s="36">
        <v>9431997</v>
      </c>
      <c r="F99" s="36">
        <v>935993</v>
      </c>
      <c r="G99" s="36">
        <v>0</v>
      </c>
      <c r="H99" s="36">
        <v>11726264</v>
      </c>
      <c r="I99" s="36">
        <v>0</v>
      </c>
      <c r="J99" s="37">
        <v>1841180</v>
      </c>
      <c r="K99" s="36">
        <v>22094254</v>
      </c>
      <c r="L99" s="38">
        <v>23935434</v>
      </c>
      <c r="M99" s="39"/>
      <c r="N99" s="36">
        <v>22094254</v>
      </c>
      <c r="O99" s="36">
        <v>10367990</v>
      </c>
      <c r="P99" s="36">
        <v>0</v>
      </c>
      <c r="Q99" s="36">
        <f>Q98*1936.27</f>
        <v>25801672.169531997</v>
      </c>
      <c r="R99" s="7"/>
      <c r="S99" s="7"/>
      <c r="T99" s="7"/>
      <c r="U99" s="7"/>
      <c r="V99" s="7"/>
      <c r="W99" s="7"/>
      <c r="X99" s="7"/>
      <c r="Y99" s="7"/>
      <c r="Z99" s="7"/>
    </row>
    <row r="100" spans="1:26" ht="12.75" customHeight="1" x14ac:dyDescent="0.2">
      <c r="A100" s="95"/>
      <c r="B100" s="95"/>
      <c r="C100" s="40" t="s">
        <v>36</v>
      </c>
      <c r="D100" s="41">
        <v>6</v>
      </c>
      <c r="E100" s="42">
        <v>5199.6899999999996</v>
      </c>
      <c r="F100" s="42">
        <v>514.39</v>
      </c>
      <c r="G100" s="42">
        <v>0</v>
      </c>
      <c r="H100" s="42">
        <v>6056.11</v>
      </c>
      <c r="I100" s="42">
        <v>0</v>
      </c>
      <c r="J100" s="42">
        <v>980.85</v>
      </c>
      <c r="K100" s="43">
        <v>11770.19</v>
      </c>
      <c r="L100" s="32">
        <v>12751.04</v>
      </c>
      <c r="M100" s="33"/>
      <c r="N100" s="30">
        <v>11770.19</v>
      </c>
      <c r="O100" s="30">
        <v>5714.08</v>
      </c>
      <c r="P100" s="30"/>
      <c r="Q100" s="30">
        <f>(N100+O100*0.18+J100)+(IF((P100-O100*0.18)&gt;0,(P100-O100*0.18),0))</f>
        <v>13779.574400000001</v>
      </c>
      <c r="R100" s="7"/>
      <c r="S100" s="7"/>
      <c r="T100" s="7"/>
      <c r="U100" s="7"/>
      <c r="V100" s="7"/>
      <c r="W100" s="7"/>
      <c r="X100" s="7"/>
      <c r="Y100" s="7"/>
      <c r="Z100" s="7"/>
    </row>
    <row r="101" spans="1:26" ht="9" customHeight="1" x14ac:dyDescent="0.2">
      <c r="A101" s="95"/>
      <c r="B101" s="95"/>
      <c r="C101" s="34" t="s">
        <v>37</v>
      </c>
      <c r="D101" s="35">
        <v>7</v>
      </c>
      <c r="E101" s="36">
        <v>10068004</v>
      </c>
      <c r="F101" s="36">
        <v>995998</v>
      </c>
      <c r="G101" s="36">
        <v>0</v>
      </c>
      <c r="H101" s="36">
        <v>11726264</v>
      </c>
      <c r="I101" s="36">
        <v>0</v>
      </c>
      <c r="J101" s="37">
        <v>1899190</v>
      </c>
      <c r="K101" s="36">
        <v>22790266</v>
      </c>
      <c r="L101" s="38">
        <v>24689456</v>
      </c>
      <c r="M101" s="39"/>
      <c r="N101" s="36">
        <v>22790266</v>
      </c>
      <c r="O101" s="36">
        <v>11064002</v>
      </c>
      <c r="P101" s="36">
        <v>0</v>
      </c>
      <c r="Q101" s="36">
        <f>Q100*1936.27</f>
        <v>26680976.523488004</v>
      </c>
      <c r="R101" s="7"/>
      <c r="S101" s="7"/>
      <c r="T101" s="7"/>
      <c r="U101" s="7"/>
      <c r="V101" s="7"/>
      <c r="W101" s="7"/>
      <c r="X101" s="7"/>
      <c r="Y101" s="7"/>
      <c r="Z101" s="7"/>
    </row>
    <row r="102" spans="1:26" ht="12.75" customHeight="1" x14ac:dyDescent="0.2">
      <c r="A102" s="95"/>
      <c r="B102" s="95"/>
      <c r="C102" s="40" t="s">
        <v>36</v>
      </c>
      <c r="D102" s="41">
        <v>8</v>
      </c>
      <c r="E102" s="42">
        <v>5466.18</v>
      </c>
      <c r="F102" s="42">
        <v>545.38</v>
      </c>
      <c r="G102" s="42">
        <v>0</v>
      </c>
      <c r="H102" s="42">
        <v>6056.11</v>
      </c>
      <c r="I102" s="42">
        <v>0</v>
      </c>
      <c r="J102" s="42">
        <v>1005.64</v>
      </c>
      <c r="K102" s="43">
        <v>12067.67</v>
      </c>
      <c r="L102" s="32">
        <v>13073.31</v>
      </c>
      <c r="M102" s="33"/>
      <c r="N102" s="30">
        <v>12067.67</v>
      </c>
      <c r="O102" s="30">
        <v>6011.56</v>
      </c>
      <c r="P102" s="30"/>
      <c r="Q102" s="30">
        <f>(N102+O102*0.18+J102)+(IF((P102-O102*0.18)&gt;0,(P102-O102*0.18),0))</f>
        <v>14155.390799999999</v>
      </c>
      <c r="R102" s="7"/>
      <c r="S102" s="7"/>
      <c r="T102" s="7"/>
      <c r="U102" s="7"/>
      <c r="V102" s="7"/>
      <c r="W102" s="7"/>
      <c r="X102" s="7"/>
      <c r="Y102" s="7"/>
      <c r="Z102" s="7"/>
    </row>
    <row r="103" spans="1:26" ht="9" customHeight="1" x14ac:dyDescent="0.2">
      <c r="A103" s="95"/>
      <c r="B103" s="95"/>
      <c r="C103" s="34" t="s">
        <v>37</v>
      </c>
      <c r="D103" s="35">
        <v>9</v>
      </c>
      <c r="E103" s="36">
        <v>10584000</v>
      </c>
      <c r="F103" s="36">
        <v>1056003</v>
      </c>
      <c r="G103" s="36">
        <v>0</v>
      </c>
      <c r="H103" s="36">
        <v>11726264</v>
      </c>
      <c r="I103" s="36">
        <v>0</v>
      </c>
      <c r="J103" s="37">
        <v>1947191</v>
      </c>
      <c r="K103" s="36">
        <v>23366267</v>
      </c>
      <c r="L103" s="38">
        <v>25313458</v>
      </c>
      <c r="M103" s="39"/>
      <c r="N103" s="36">
        <v>23366267</v>
      </c>
      <c r="O103" s="36">
        <v>11640003</v>
      </c>
      <c r="P103" s="36">
        <v>0</v>
      </c>
      <c r="Q103" s="36">
        <f>Q102*1936.27</f>
        <v>27408658.544315998</v>
      </c>
      <c r="R103" s="7"/>
      <c r="S103" s="7"/>
      <c r="T103" s="7"/>
      <c r="U103" s="7"/>
      <c r="V103" s="7"/>
      <c r="W103" s="7"/>
      <c r="X103" s="7"/>
      <c r="Y103" s="7"/>
      <c r="Z103" s="7"/>
    </row>
    <row r="104" spans="1:26" ht="12.75" customHeight="1" x14ac:dyDescent="0.2">
      <c r="A104" s="95"/>
      <c r="B104" s="95"/>
      <c r="C104" s="40" t="s">
        <v>36</v>
      </c>
      <c r="D104" s="41">
        <v>10</v>
      </c>
      <c r="E104" s="42">
        <v>5726.47</v>
      </c>
      <c r="F104" s="42">
        <v>570.16999999999996</v>
      </c>
      <c r="G104" s="42">
        <v>0</v>
      </c>
      <c r="H104" s="42">
        <v>6056.11</v>
      </c>
      <c r="I104" s="42">
        <v>0</v>
      </c>
      <c r="J104" s="42">
        <v>1029.4000000000001</v>
      </c>
      <c r="K104" s="43">
        <v>12352.75</v>
      </c>
      <c r="L104" s="32">
        <v>13382.15</v>
      </c>
      <c r="M104" s="33"/>
      <c r="N104" s="30">
        <v>12352.75</v>
      </c>
      <c r="O104" s="30">
        <v>6296.64</v>
      </c>
      <c r="P104" s="30"/>
      <c r="Q104" s="30">
        <f>(N104+O104*0.18+J104)+(IF((P104-O104*0.18)&gt;0,(P104-O104*0.18),0))</f>
        <v>14515.545199999999</v>
      </c>
      <c r="R104" s="7"/>
      <c r="S104" s="7"/>
      <c r="T104" s="7"/>
      <c r="U104" s="7"/>
      <c r="V104" s="7"/>
      <c r="W104" s="7"/>
      <c r="X104" s="7"/>
      <c r="Y104" s="7"/>
      <c r="Z104" s="7"/>
    </row>
    <row r="105" spans="1:26" ht="9" customHeight="1" x14ac:dyDescent="0.2">
      <c r="A105" s="95"/>
      <c r="B105" s="95"/>
      <c r="C105" s="34" t="s">
        <v>37</v>
      </c>
      <c r="D105" s="35">
        <v>11</v>
      </c>
      <c r="E105" s="36">
        <v>11087992</v>
      </c>
      <c r="F105" s="36">
        <v>1104003</v>
      </c>
      <c r="G105" s="36">
        <v>0</v>
      </c>
      <c r="H105" s="36">
        <v>11726264</v>
      </c>
      <c r="I105" s="36">
        <v>0</v>
      </c>
      <c r="J105" s="37">
        <v>1993196</v>
      </c>
      <c r="K105" s="36">
        <v>23918259</v>
      </c>
      <c r="L105" s="38">
        <v>25911456</v>
      </c>
      <c r="M105" s="39"/>
      <c r="N105" s="36">
        <v>23918259</v>
      </c>
      <c r="O105" s="36">
        <v>12191995</v>
      </c>
      <c r="P105" s="36">
        <v>0</v>
      </c>
      <c r="Q105" s="36">
        <f>Q104*1936.27</f>
        <v>28106014.704403996</v>
      </c>
      <c r="R105" s="7"/>
      <c r="S105" s="7"/>
      <c r="T105" s="7"/>
      <c r="U105" s="7"/>
      <c r="V105" s="7"/>
      <c r="W105" s="7"/>
      <c r="X105" s="7"/>
      <c r="Y105" s="7"/>
      <c r="Z105" s="7"/>
    </row>
    <row r="106" spans="1:26" ht="12.75" customHeight="1" x14ac:dyDescent="0.2">
      <c r="A106" s="95"/>
      <c r="B106" s="95"/>
      <c r="C106" s="40" t="s">
        <v>36</v>
      </c>
      <c r="D106" s="41">
        <v>12</v>
      </c>
      <c r="E106" s="42">
        <v>5986.77</v>
      </c>
      <c r="F106" s="42">
        <v>594.96</v>
      </c>
      <c r="G106" s="42">
        <v>0</v>
      </c>
      <c r="H106" s="42">
        <v>6056.11</v>
      </c>
      <c r="I106" s="42">
        <v>0</v>
      </c>
      <c r="J106" s="42">
        <v>1053.1500000000001</v>
      </c>
      <c r="K106" s="43">
        <v>12637.84</v>
      </c>
      <c r="L106" s="32">
        <v>13690.99</v>
      </c>
      <c r="M106" s="33"/>
      <c r="N106" s="30">
        <v>12637.84</v>
      </c>
      <c r="O106" s="30">
        <v>6581.73</v>
      </c>
      <c r="P106" s="30"/>
      <c r="Q106" s="30">
        <f>(N106+O106*0.18+J106)+(IF((P106-O106*0.18)&gt;0,(P106-O106*0.18),0))</f>
        <v>14875.7014</v>
      </c>
      <c r="R106" s="7"/>
      <c r="S106" s="7"/>
      <c r="T106" s="7"/>
      <c r="U106" s="7"/>
      <c r="V106" s="7"/>
      <c r="W106" s="7"/>
      <c r="X106" s="7"/>
      <c r="Y106" s="7"/>
      <c r="Z106" s="7"/>
    </row>
    <row r="107" spans="1:26" ht="9" customHeight="1" x14ac:dyDescent="0.2">
      <c r="A107" s="95"/>
      <c r="B107" s="95"/>
      <c r="C107" s="34" t="s">
        <v>37</v>
      </c>
      <c r="D107" s="35">
        <v>13</v>
      </c>
      <c r="E107" s="36">
        <v>11592003</v>
      </c>
      <c r="F107" s="36">
        <v>1152003</v>
      </c>
      <c r="G107" s="36">
        <v>0</v>
      </c>
      <c r="H107" s="36">
        <v>11726264</v>
      </c>
      <c r="I107" s="36">
        <v>0</v>
      </c>
      <c r="J107" s="37">
        <v>2039183</v>
      </c>
      <c r="K107" s="36">
        <v>24470270</v>
      </c>
      <c r="L107" s="38">
        <v>26509453</v>
      </c>
      <c r="M107" s="39"/>
      <c r="N107" s="36">
        <v>24470270</v>
      </c>
      <c r="O107" s="36">
        <v>12744006</v>
      </c>
      <c r="P107" s="36">
        <v>0</v>
      </c>
      <c r="Q107" s="36">
        <f>Q106*1936.27</f>
        <v>28803374.349778</v>
      </c>
      <c r="R107" s="7"/>
      <c r="S107" s="7"/>
      <c r="T107" s="7"/>
      <c r="U107" s="7"/>
      <c r="V107" s="7"/>
      <c r="W107" s="7"/>
      <c r="X107" s="7"/>
      <c r="Y107" s="7"/>
      <c r="Z107" s="7"/>
    </row>
    <row r="108" spans="1:26" ht="12.75" customHeight="1" x14ac:dyDescent="0.2">
      <c r="A108" s="95"/>
      <c r="B108" s="95"/>
      <c r="C108" s="40" t="s">
        <v>36</v>
      </c>
      <c r="D108" s="41">
        <v>14</v>
      </c>
      <c r="E108" s="42">
        <v>6247.06</v>
      </c>
      <c r="F108" s="42">
        <v>619.75</v>
      </c>
      <c r="G108" s="42">
        <v>0</v>
      </c>
      <c r="H108" s="42">
        <v>6056.11</v>
      </c>
      <c r="I108" s="42">
        <v>0</v>
      </c>
      <c r="J108" s="42">
        <v>1076.9100000000001</v>
      </c>
      <c r="K108" s="43">
        <v>12922.92</v>
      </c>
      <c r="L108" s="32">
        <v>13999.83</v>
      </c>
      <c r="M108" s="33"/>
      <c r="N108" s="30">
        <v>12922.92</v>
      </c>
      <c r="O108" s="30">
        <v>6866.81</v>
      </c>
      <c r="P108" s="30"/>
      <c r="Q108" s="30">
        <f>(N108+O108*0.18+J108)+(IF((P108-O108*0.18)&gt;0,(P108-O108*0.18),0))</f>
        <v>15235.855799999999</v>
      </c>
      <c r="R108" s="7"/>
      <c r="S108" s="7"/>
      <c r="T108" s="7"/>
      <c r="U108" s="7"/>
      <c r="V108" s="7"/>
      <c r="W108" s="7"/>
      <c r="X108" s="7"/>
      <c r="Y108" s="7"/>
      <c r="Z108" s="7"/>
    </row>
    <row r="109" spans="1:26" ht="9" customHeight="1" x14ac:dyDescent="0.2">
      <c r="A109" s="95"/>
      <c r="B109" s="95"/>
      <c r="C109" s="34" t="s">
        <v>37</v>
      </c>
      <c r="D109" s="35">
        <v>15</v>
      </c>
      <c r="E109" s="36">
        <v>12095995</v>
      </c>
      <c r="F109" s="36">
        <v>1200003</v>
      </c>
      <c r="G109" s="36">
        <v>0</v>
      </c>
      <c r="H109" s="36">
        <v>11726264</v>
      </c>
      <c r="I109" s="36">
        <v>0</v>
      </c>
      <c r="J109" s="37">
        <v>2085189</v>
      </c>
      <c r="K109" s="36">
        <v>25022262</v>
      </c>
      <c r="L109" s="38">
        <v>27107451</v>
      </c>
      <c r="M109" s="39"/>
      <c r="N109" s="36">
        <v>25022262</v>
      </c>
      <c r="O109" s="36">
        <v>13295998</v>
      </c>
      <c r="P109" s="36">
        <v>0</v>
      </c>
      <c r="Q109" s="36">
        <f>Q108*1936.27</f>
        <v>29500730.509865999</v>
      </c>
      <c r="R109" s="7"/>
      <c r="S109" s="7"/>
      <c r="T109" s="7"/>
      <c r="U109" s="7"/>
      <c r="V109" s="7"/>
      <c r="W109" s="7"/>
      <c r="X109" s="7"/>
      <c r="Y109" s="7"/>
      <c r="Z109" s="7"/>
    </row>
    <row r="110" spans="1:26" ht="12.75" customHeight="1" x14ac:dyDescent="0.2">
      <c r="A110" s="95"/>
      <c r="B110" s="95"/>
      <c r="C110" s="40" t="s">
        <v>36</v>
      </c>
      <c r="D110" s="41">
        <v>16</v>
      </c>
      <c r="E110" s="42">
        <v>6507.36</v>
      </c>
      <c r="F110" s="42">
        <v>650.74</v>
      </c>
      <c r="G110" s="42">
        <v>0</v>
      </c>
      <c r="H110" s="42">
        <v>6056.11</v>
      </c>
      <c r="I110" s="42">
        <v>0</v>
      </c>
      <c r="J110" s="42">
        <v>1101.18</v>
      </c>
      <c r="K110" s="43">
        <v>13214.21</v>
      </c>
      <c r="L110" s="32">
        <v>14315.39</v>
      </c>
      <c r="M110" s="33"/>
      <c r="N110" s="30">
        <v>13214.21</v>
      </c>
      <c r="O110" s="30">
        <v>7158.1</v>
      </c>
      <c r="P110" s="30"/>
      <c r="Q110" s="30">
        <f>(N110+O110*0.18+J110)+(IF((P110-O110*0.18)&gt;0,(P110-O110*0.18),0))</f>
        <v>15603.848</v>
      </c>
      <c r="R110" s="7"/>
      <c r="S110" s="7"/>
      <c r="T110" s="7"/>
      <c r="U110" s="7"/>
      <c r="V110" s="7"/>
      <c r="W110" s="7"/>
      <c r="X110" s="7"/>
      <c r="Y110" s="7"/>
      <c r="Z110" s="7"/>
    </row>
    <row r="111" spans="1:26" ht="9" customHeight="1" x14ac:dyDescent="0.2">
      <c r="A111" s="95"/>
      <c r="B111" s="95"/>
      <c r="C111" s="34" t="s">
        <v>37</v>
      </c>
      <c r="D111" s="35">
        <v>17</v>
      </c>
      <c r="E111" s="36">
        <v>12600006</v>
      </c>
      <c r="F111" s="36">
        <v>1260008</v>
      </c>
      <c r="G111" s="36">
        <v>0</v>
      </c>
      <c r="H111" s="36">
        <v>11726264</v>
      </c>
      <c r="I111" s="36">
        <v>0</v>
      </c>
      <c r="J111" s="37">
        <v>2132182</v>
      </c>
      <c r="K111" s="36">
        <v>25586278</v>
      </c>
      <c r="L111" s="38">
        <v>27718460</v>
      </c>
      <c r="M111" s="39"/>
      <c r="N111" s="36">
        <v>25586278</v>
      </c>
      <c r="O111" s="36">
        <v>13860014</v>
      </c>
      <c r="P111" s="36">
        <v>0</v>
      </c>
      <c r="Q111" s="36">
        <f>Q110*1936.27</f>
        <v>30213262.766959999</v>
      </c>
      <c r="R111" s="7"/>
      <c r="S111" s="7"/>
      <c r="T111" s="7"/>
      <c r="U111" s="7"/>
      <c r="V111" s="7"/>
      <c r="W111" s="7"/>
      <c r="X111" s="7"/>
      <c r="Y111" s="7"/>
      <c r="Z111" s="7"/>
    </row>
    <row r="112" spans="1:26" ht="12.75" customHeight="1" x14ac:dyDescent="0.2">
      <c r="A112" s="95"/>
      <c r="B112" s="95"/>
      <c r="C112" s="40" t="s">
        <v>36</v>
      </c>
      <c r="D112" s="41">
        <v>18</v>
      </c>
      <c r="E112" s="42">
        <v>6767.65</v>
      </c>
      <c r="F112" s="42">
        <v>675.53</v>
      </c>
      <c r="G112" s="42">
        <v>0</v>
      </c>
      <c r="H112" s="42">
        <v>6056.11</v>
      </c>
      <c r="I112" s="42">
        <v>0</v>
      </c>
      <c r="J112" s="42">
        <v>1124.94</v>
      </c>
      <c r="K112" s="43">
        <v>13499.29</v>
      </c>
      <c r="L112" s="32">
        <v>14624.23</v>
      </c>
      <c r="M112" s="33"/>
      <c r="N112" s="30">
        <v>13499.29</v>
      </c>
      <c r="O112" s="30">
        <v>7443.18</v>
      </c>
      <c r="P112" s="30"/>
      <c r="Q112" s="30">
        <f>(N112+O112*0.18+J112)+(IF((P112-O112*0.18)&gt;0,(P112-O112*0.18),0))</f>
        <v>15964.002400000001</v>
      </c>
      <c r="R112" s="7"/>
      <c r="S112" s="7"/>
      <c r="T112" s="7"/>
      <c r="U112" s="7"/>
      <c r="V112" s="7"/>
      <c r="W112" s="7"/>
      <c r="X112" s="7"/>
      <c r="Y112" s="7"/>
      <c r="Z112" s="7"/>
    </row>
    <row r="113" spans="1:26" ht="9" customHeight="1" x14ac:dyDescent="0.2">
      <c r="A113" s="95"/>
      <c r="B113" s="95"/>
      <c r="C113" s="34" t="s">
        <v>37</v>
      </c>
      <c r="D113" s="35">
        <v>19</v>
      </c>
      <c r="E113" s="36">
        <v>13103998</v>
      </c>
      <c r="F113" s="36">
        <v>1308008</v>
      </c>
      <c r="G113" s="36">
        <v>0</v>
      </c>
      <c r="H113" s="36">
        <v>11726264</v>
      </c>
      <c r="I113" s="36">
        <v>0</v>
      </c>
      <c r="J113" s="37">
        <v>2178188</v>
      </c>
      <c r="K113" s="36">
        <v>26138270</v>
      </c>
      <c r="L113" s="38">
        <v>28316458</v>
      </c>
      <c r="M113" s="39"/>
      <c r="N113" s="36">
        <v>26138270</v>
      </c>
      <c r="O113" s="36">
        <v>14412006</v>
      </c>
      <c r="P113" s="36">
        <v>0</v>
      </c>
      <c r="Q113" s="36">
        <f>Q112*1936.27</f>
        <v>30910618.927048001</v>
      </c>
      <c r="R113" s="7"/>
      <c r="S113" s="7"/>
      <c r="T113" s="7"/>
      <c r="U113" s="7"/>
      <c r="V113" s="7"/>
      <c r="W113" s="7"/>
      <c r="X113" s="7"/>
      <c r="Y113" s="7"/>
      <c r="Z113" s="7"/>
    </row>
    <row r="114" spans="1:26" ht="12.75" customHeight="1" x14ac:dyDescent="0.2">
      <c r="A114" s="95"/>
      <c r="B114" s="95"/>
      <c r="C114" s="40" t="s">
        <v>36</v>
      </c>
      <c r="D114" s="41">
        <v>20</v>
      </c>
      <c r="E114" s="42">
        <v>7027.95</v>
      </c>
      <c r="F114" s="42">
        <v>700.32</v>
      </c>
      <c r="G114" s="42">
        <v>0</v>
      </c>
      <c r="H114" s="42">
        <v>6056.11</v>
      </c>
      <c r="I114" s="42">
        <v>0</v>
      </c>
      <c r="J114" s="42">
        <v>1148.7</v>
      </c>
      <c r="K114" s="43">
        <v>13784.38</v>
      </c>
      <c r="L114" s="32">
        <v>14933.08</v>
      </c>
      <c r="M114" s="33"/>
      <c r="N114" s="30">
        <v>13784.38</v>
      </c>
      <c r="O114" s="30">
        <v>7728.27</v>
      </c>
      <c r="P114" s="30"/>
      <c r="Q114" s="30">
        <f>(N114+O114*0.18+J114)+(IF((P114-O114*0.18)&gt;0,(P114-O114*0.18),0))</f>
        <v>16324.168600000001</v>
      </c>
      <c r="R114" s="7"/>
      <c r="S114" s="7"/>
      <c r="T114" s="7"/>
      <c r="U114" s="7"/>
      <c r="V114" s="7"/>
      <c r="W114" s="7"/>
      <c r="X114" s="7"/>
      <c r="Y114" s="7"/>
      <c r="Z114" s="7"/>
    </row>
    <row r="115" spans="1:26" ht="9" customHeight="1" x14ac:dyDescent="0.2">
      <c r="A115" s="95"/>
      <c r="B115" s="95"/>
      <c r="C115" s="34" t="s">
        <v>37</v>
      </c>
      <c r="D115" s="35">
        <v>21</v>
      </c>
      <c r="E115" s="36">
        <v>13608009</v>
      </c>
      <c r="F115" s="36">
        <v>1356009</v>
      </c>
      <c r="G115" s="36">
        <v>0</v>
      </c>
      <c r="H115" s="36">
        <v>11726264</v>
      </c>
      <c r="I115" s="36">
        <v>0</v>
      </c>
      <c r="J115" s="37">
        <v>2224193</v>
      </c>
      <c r="K115" s="36">
        <v>26690281</v>
      </c>
      <c r="L115" s="38">
        <v>28914475</v>
      </c>
      <c r="M115" s="39"/>
      <c r="N115" s="36">
        <v>26690281</v>
      </c>
      <c r="O115" s="36">
        <v>14964017</v>
      </c>
      <c r="P115" s="36">
        <v>0</v>
      </c>
      <c r="Q115" s="36">
        <f>Q114*1936.27</f>
        <v>31607997.935122002</v>
      </c>
      <c r="R115" s="7"/>
      <c r="S115" s="7"/>
      <c r="T115" s="7"/>
      <c r="U115" s="7"/>
      <c r="V115" s="7"/>
      <c r="W115" s="7"/>
      <c r="X115" s="7"/>
      <c r="Y115" s="7"/>
      <c r="Z115" s="7"/>
    </row>
    <row r="116" spans="1:26" ht="12.75" customHeight="1" x14ac:dyDescent="0.2">
      <c r="A116" s="95"/>
      <c r="B116" s="95"/>
      <c r="C116" s="40" t="s">
        <v>36</v>
      </c>
      <c r="D116" s="41">
        <v>22</v>
      </c>
      <c r="E116" s="42">
        <v>7170.49</v>
      </c>
      <c r="F116" s="42">
        <v>712.71</v>
      </c>
      <c r="G116" s="42">
        <v>0</v>
      </c>
      <c r="H116" s="42">
        <v>6056.11</v>
      </c>
      <c r="I116" s="42">
        <v>0</v>
      </c>
      <c r="J116" s="42">
        <v>1161.6099999999999</v>
      </c>
      <c r="K116" s="43">
        <v>13939.31</v>
      </c>
      <c r="L116" s="32">
        <v>15100.92</v>
      </c>
      <c r="M116" s="33"/>
      <c r="N116" s="30">
        <v>13939.31</v>
      </c>
      <c r="O116" s="30">
        <v>7883.2</v>
      </c>
      <c r="P116" s="30"/>
      <c r="Q116" s="30">
        <f>(N116+O116*0.18+J116)+(IF((P116-O116*0.18)&gt;0,(P116-O116*0.18),0))</f>
        <v>16519.896000000001</v>
      </c>
      <c r="R116" s="7"/>
      <c r="S116" s="7"/>
      <c r="T116" s="7"/>
      <c r="U116" s="7"/>
      <c r="V116" s="7"/>
      <c r="W116" s="7"/>
      <c r="X116" s="7"/>
      <c r="Y116" s="7"/>
      <c r="Z116" s="7"/>
    </row>
    <row r="117" spans="1:26" ht="9" customHeight="1" x14ac:dyDescent="0.2">
      <c r="A117" s="95"/>
      <c r="B117" s="95"/>
      <c r="C117" s="34" t="s">
        <v>37</v>
      </c>
      <c r="D117" s="35">
        <v>23</v>
      </c>
      <c r="E117" s="36">
        <v>13884005</v>
      </c>
      <c r="F117" s="36">
        <v>1379999</v>
      </c>
      <c r="G117" s="36">
        <v>0</v>
      </c>
      <c r="H117" s="36">
        <v>11726264</v>
      </c>
      <c r="I117" s="36">
        <v>0</v>
      </c>
      <c r="J117" s="37">
        <v>2249191</v>
      </c>
      <c r="K117" s="36">
        <v>26990268</v>
      </c>
      <c r="L117" s="38">
        <v>29239458</v>
      </c>
      <c r="M117" s="39"/>
      <c r="N117" s="36">
        <v>26990268</v>
      </c>
      <c r="O117" s="36">
        <v>15264004</v>
      </c>
      <c r="P117" s="36">
        <v>0</v>
      </c>
      <c r="Q117" s="36">
        <f>Q116*1936.27</f>
        <v>31986979.02792</v>
      </c>
      <c r="R117" s="7"/>
      <c r="S117" s="7"/>
      <c r="T117" s="7"/>
      <c r="U117" s="7"/>
      <c r="V117" s="7"/>
      <c r="W117" s="7"/>
      <c r="X117" s="7"/>
      <c r="Y117" s="7"/>
      <c r="Z117" s="7"/>
    </row>
    <row r="118" spans="1:26" ht="12.75" customHeight="1" x14ac:dyDescent="0.2">
      <c r="A118" s="95"/>
      <c r="B118" s="95"/>
      <c r="C118" s="40" t="s">
        <v>36</v>
      </c>
      <c r="D118" s="41">
        <v>24</v>
      </c>
      <c r="E118" s="42">
        <v>7313.03</v>
      </c>
      <c r="F118" s="42">
        <v>731.3</v>
      </c>
      <c r="G118" s="42">
        <v>0</v>
      </c>
      <c r="H118" s="42">
        <v>6056.11</v>
      </c>
      <c r="I118" s="42">
        <v>0</v>
      </c>
      <c r="J118" s="42">
        <v>1175.04</v>
      </c>
      <c r="K118" s="43">
        <v>14100.44</v>
      </c>
      <c r="L118" s="32">
        <v>15275.48</v>
      </c>
      <c r="M118" s="33"/>
      <c r="N118" s="30">
        <v>14100.44</v>
      </c>
      <c r="O118" s="30">
        <v>8044.33</v>
      </c>
      <c r="P118" s="30"/>
      <c r="Q118" s="30">
        <f>(N118+O118*0.18+J118)+(IF((P118-O118*0.18)&gt;0,(P118-O118*0.18),0))</f>
        <v>16723.4594</v>
      </c>
      <c r="R118" s="7"/>
      <c r="S118" s="7"/>
      <c r="T118" s="7"/>
      <c r="U118" s="7"/>
      <c r="V118" s="7"/>
      <c r="W118" s="7"/>
      <c r="X118" s="7"/>
      <c r="Y118" s="7"/>
      <c r="Z118" s="7"/>
    </row>
    <row r="119" spans="1:26" ht="9" customHeight="1" x14ac:dyDescent="0.2">
      <c r="A119" s="95"/>
      <c r="B119" s="95"/>
      <c r="C119" s="34" t="s">
        <v>37</v>
      </c>
      <c r="D119" s="35">
        <v>25</v>
      </c>
      <c r="E119" s="36">
        <v>14160001</v>
      </c>
      <c r="F119" s="36">
        <v>1415994</v>
      </c>
      <c r="G119" s="36">
        <v>0</v>
      </c>
      <c r="H119" s="36">
        <v>11726264</v>
      </c>
      <c r="I119" s="36">
        <v>0</v>
      </c>
      <c r="J119" s="37">
        <v>2275195</v>
      </c>
      <c r="K119" s="36">
        <v>27302259</v>
      </c>
      <c r="L119" s="38">
        <v>29577454</v>
      </c>
      <c r="M119" s="39"/>
      <c r="N119" s="36">
        <v>27302259</v>
      </c>
      <c r="O119" s="36">
        <v>15575995</v>
      </c>
      <c r="P119" s="36">
        <v>0</v>
      </c>
      <c r="Q119" s="36">
        <f>Q118*1936.27</f>
        <v>32381132.732437998</v>
      </c>
      <c r="R119" s="7"/>
      <c r="S119" s="7"/>
      <c r="T119" s="7"/>
      <c r="U119" s="7"/>
      <c r="V119" s="7"/>
      <c r="W119" s="7"/>
      <c r="X119" s="7"/>
      <c r="Y119" s="7"/>
      <c r="Z119" s="7"/>
    </row>
    <row r="120" spans="1:26" ht="12.75" customHeight="1" x14ac:dyDescent="0.2">
      <c r="A120" s="95"/>
      <c r="B120" s="95"/>
      <c r="C120" s="40" t="s">
        <v>36</v>
      </c>
      <c r="D120" s="41">
        <v>26</v>
      </c>
      <c r="E120" s="42">
        <v>7455.57</v>
      </c>
      <c r="F120" s="42">
        <v>743.7</v>
      </c>
      <c r="G120" s="42">
        <v>0</v>
      </c>
      <c r="H120" s="42">
        <v>6056.11</v>
      </c>
      <c r="I120" s="42">
        <v>0</v>
      </c>
      <c r="J120" s="42">
        <v>1187.95</v>
      </c>
      <c r="K120" s="43">
        <v>14255.38</v>
      </c>
      <c r="L120" s="32">
        <v>15443.33</v>
      </c>
      <c r="M120" s="33"/>
      <c r="N120" s="30">
        <v>14255.38</v>
      </c>
      <c r="O120" s="30">
        <v>8199.27</v>
      </c>
      <c r="P120" s="30"/>
      <c r="Q120" s="30">
        <f>(N120+O120*0.18+J120)+(IF((P120-O120*0.18)&gt;0,(P120-O120*0.18),0))</f>
        <v>16919.1986</v>
      </c>
      <c r="R120" s="7"/>
      <c r="S120" s="7"/>
      <c r="T120" s="7"/>
      <c r="U120" s="7"/>
      <c r="V120" s="7"/>
      <c r="W120" s="7"/>
      <c r="X120" s="7"/>
      <c r="Y120" s="7"/>
      <c r="Z120" s="7"/>
    </row>
    <row r="121" spans="1:26" ht="9" customHeight="1" x14ac:dyDescent="0.2">
      <c r="A121" s="95"/>
      <c r="B121" s="95"/>
      <c r="C121" s="34" t="s">
        <v>37</v>
      </c>
      <c r="D121" s="35">
        <v>27</v>
      </c>
      <c r="E121" s="36">
        <v>14435997</v>
      </c>
      <c r="F121" s="36">
        <v>1440004</v>
      </c>
      <c r="G121" s="36">
        <v>0</v>
      </c>
      <c r="H121" s="36">
        <v>11726264</v>
      </c>
      <c r="I121" s="36">
        <v>0</v>
      </c>
      <c r="J121" s="37">
        <v>2300192</v>
      </c>
      <c r="K121" s="36">
        <v>27602265</v>
      </c>
      <c r="L121" s="38">
        <v>29902457</v>
      </c>
      <c r="M121" s="39"/>
      <c r="N121" s="36">
        <v>27602265</v>
      </c>
      <c r="O121" s="36">
        <v>15876001</v>
      </c>
      <c r="P121" s="36">
        <v>0</v>
      </c>
      <c r="Q121" s="36">
        <f>Q120*1936.27</f>
        <v>32760136.673221998</v>
      </c>
      <c r="R121" s="7"/>
      <c r="S121" s="7"/>
      <c r="T121" s="7"/>
      <c r="U121" s="7"/>
      <c r="V121" s="7"/>
      <c r="W121" s="7"/>
      <c r="X121" s="7"/>
      <c r="Y121" s="7"/>
      <c r="Z121" s="7"/>
    </row>
    <row r="122" spans="1:26" ht="12.75" customHeight="1" x14ac:dyDescent="0.2">
      <c r="A122" s="95"/>
      <c r="B122" s="95"/>
      <c r="C122" s="40" t="s">
        <v>36</v>
      </c>
      <c r="D122" s="41">
        <v>28</v>
      </c>
      <c r="E122" s="42">
        <v>7591.92</v>
      </c>
      <c r="F122" s="42">
        <v>756.09</v>
      </c>
      <c r="G122" s="42">
        <v>0</v>
      </c>
      <c r="H122" s="42">
        <v>6056.11</v>
      </c>
      <c r="I122" s="42">
        <v>0</v>
      </c>
      <c r="J122" s="42">
        <v>1200.3399999999999</v>
      </c>
      <c r="K122" s="43">
        <v>14404.12</v>
      </c>
      <c r="L122" s="32">
        <v>15604.46</v>
      </c>
      <c r="M122" s="33"/>
      <c r="N122" s="30">
        <v>14404.12</v>
      </c>
      <c r="O122" s="30">
        <v>8348.01</v>
      </c>
      <c r="P122" s="30"/>
      <c r="Q122" s="30">
        <f>(N122+O122*0.18+J122)+(IF((P122-O122*0.18)&gt;0,(P122-O122*0.18),0))</f>
        <v>17107.1018</v>
      </c>
      <c r="R122" s="7"/>
      <c r="S122" s="7"/>
      <c r="T122" s="7"/>
      <c r="U122" s="7"/>
      <c r="V122" s="7"/>
      <c r="W122" s="7"/>
      <c r="X122" s="7"/>
      <c r="Y122" s="7"/>
      <c r="Z122" s="7"/>
    </row>
    <row r="123" spans="1:26" ht="9" customHeight="1" x14ac:dyDescent="0.2">
      <c r="A123" s="95"/>
      <c r="B123" s="95"/>
      <c r="C123" s="34" t="s">
        <v>37</v>
      </c>
      <c r="D123" s="35">
        <v>29</v>
      </c>
      <c r="E123" s="36">
        <v>14700007</v>
      </c>
      <c r="F123" s="36">
        <v>1463994</v>
      </c>
      <c r="G123" s="36">
        <v>0</v>
      </c>
      <c r="H123" s="36">
        <v>11726264</v>
      </c>
      <c r="I123" s="36">
        <v>0</v>
      </c>
      <c r="J123" s="37">
        <v>2324182</v>
      </c>
      <c r="K123" s="36">
        <v>27890265</v>
      </c>
      <c r="L123" s="38">
        <v>30214448</v>
      </c>
      <c r="M123" s="39"/>
      <c r="N123" s="36">
        <v>27890265</v>
      </c>
      <c r="O123" s="36">
        <v>16164001</v>
      </c>
      <c r="P123" s="36">
        <v>0</v>
      </c>
      <c r="Q123" s="36">
        <f>Q122*1936.27</f>
        <v>33123968.002286002</v>
      </c>
      <c r="R123" s="7"/>
      <c r="S123" s="7"/>
      <c r="T123" s="7"/>
      <c r="U123" s="7"/>
      <c r="V123" s="7"/>
      <c r="W123" s="7"/>
      <c r="X123" s="7"/>
      <c r="Y123" s="7"/>
      <c r="Z123" s="7"/>
    </row>
    <row r="124" spans="1:26" ht="12.75" customHeight="1" x14ac:dyDescent="0.2">
      <c r="A124" s="95"/>
      <c r="B124" s="95"/>
      <c r="C124" s="40" t="s">
        <v>36</v>
      </c>
      <c r="D124" s="41">
        <v>30</v>
      </c>
      <c r="E124" s="42">
        <v>7734.46</v>
      </c>
      <c r="F124" s="42">
        <v>768.49</v>
      </c>
      <c r="G124" s="42">
        <v>0</v>
      </c>
      <c r="H124" s="42">
        <v>6056.11</v>
      </c>
      <c r="I124" s="42">
        <v>0</v>
      </c>
      <c r="J124" s="42">
        <v>1213.26</v>
      </c>
      <c r="K124" s="43">
        <v>14559.06</v>
      </c>
      <c r="L124" s="32">
        <v>15772.32</v>
      </c>
      <c r="M124" s="33"/>
      <c r="N124" s="30">
        <v>14559.06</v>
      </c>
      <c r="O124" s="30">
        <v>8502.9500000000007</v>
      </c>
      <c r="P124" s="30"/>
      <c r="Q124" s="30">
        <f>(N124+O124*0.18+J124)+(IF((P124-O124*0.18)&gt;0,(P124-O124*0.18),0))</f>
        <v>17302.850999999999</v>
      </c>
      <c r="R124" s="7"/>
      <c r="S124" s="7"/>
      <c r="T124" s="7"/>
      <c r="U124" s="7"/>
      <c r="V124" s="7"/>
      <c r="W124" s="7"/>
      <c r="X124" s="7"/>
      <c r="Y124" s="7"/>
      <c r="Z124" s="7"/>
    </row>
    <row r="125" spans="1:26" ht="9" customHeight="1" x14ac:dyDescent="0.2">
      <c r="A125" s="95"/>
      <c r="B125" s="95"/>
      <c r="C125" s="34" t="s">
        <v>37</v>
      </c>
      <c r="D125" s="35">
        <v>31</v>
      </c>
      <c r="E125" s="36">
        <v>14976003</v>
      </c>
      <c r="F125" s="36">
        <v>1488004</v>
      </c>
      <c r="G125" s="36">
        <v>0</v>
      </c>
      <c r="H125" s="36">
        <v>11726264</v>
      </c>
      <c r="I125" s="36">
        <v>0</v>
      </c>
      <c r="J125" s="37">
        <v>2349199</v>
      </c>
      <c r="K125" s="36">
        <v>28190271</v>
      </c>
      <c r="L125" s="38">
        <v>30539470</v>
      </c>
      <c r="M125" s="39"/>
      <c r="N125" s="36">
        <v>28190271</v>
      </c>
      <c r="O125" s="36">
        <v>16464007</v>
      </c>
      <c r="P125" s="36">
        <v>0</v>
      </c>
      <c r="Q125" s="36">
        <f>Q124*1936.27</f>
        <v>33502991.305769999</v>
      </c>
      <c r="R125" s="7"/>
      <c r="S125" s="7"/>
      <c r="T125" s="7"/>
      <c r="U125" s="7"/>
      <c r="V125" s="7"/>
      <c r="W125" s="7"/>
      <c r="X125" s="7"/>
      <c r="Y125" s="7"/>
      <c r="Z125" s="7"/>
    </row>
    <row r="126" spans="1:26" ht="12.75" customHeight="1" x14ac:dyDescent="0.2">
      <c r="A126" s="95"/>
      <c r="B126" s="95"/>
      <c r="C126" s="40" t="s">
        <v>36</v>
      </c>
      <c r="D126" s="41">
        <v>32</v>
      </c>
      <c r="E126" s="42">
        <v>7877</v>
      </c>
      <c r="F126" s="42">
        <v>787.08</v>
      </c>
      <c r="G126" s="42">
        <v>0</v>
      </c>
      <c r="H126" s="42">
        <v>6056.11</v>
      </c>
      <c r="I126" s="42">
        <v>0</v>
      </c>
      <c r="J126" s="42">
        <v>1226.68</v>
      </c>
      <c r="K126" s="43">
        <v>14720.19</v>
      </c>
      <c r="L126" s="32">
        <v>15946.87</v>
      </c>
      <c r="M126" s="33"/>
      <c r="N126" s="30">
        <v>14720.19</v>
      </c>
      <c r="O126" s="30">
        <v>8664.08</v>
      </c>
      <c r="P126" s="30"/>
      <c r="Q126" s="30">
        <f>(N126+O126*0.18+J126)+(IF((P126-O126*0.18)&gt;0,(P126-O126*0.18),0))</f>
        <v>17506.404399999999</v>
      </c>
      <c r="R126" s="7"/>
      <c r="S126" s="7"/>
      <c r="T126" s="7"/>
      <c r="U126" s="7"/>
      <c r="V126" s="7"/>
      <c r="W126" s="7"/>
      <c r="X126" s="7"/>
      <c r="Y126" s="7"/>
      <c r="Z126" s="7"/>
    </row>
    <row r="127" spans="1:26" ht="9" customHeight="1" x14ac:dyDescent="0.2">
      <c r="A127" s="95"/>
      <c r="B127" s="95"/>
      <c r="C127" s="34" t="s">
        <v>37</v>
      </c>
      <c r="D127" s="35">
        <v>33</v>
      </c>
      <c r="E127" s="36">
        <v>15251999</v>
      </c>
      <c r="F127" s="36">
        <v>1523999</v>
      </c>
      <c r="G127" s="36">
        <v>0</v>
      </c>
      <c r="H127" s="36">
        <v>11726264</v>
      </c>
      <c r="I127" s="36">
        <v>0</v>
      </c>
      <c r="J127" s="37">
        <v>2375184</v>
      </c>
      <c r="K127" s="36">
        <v>28502262</v>
      </c>
      <c r="L127" s="38">
        <v>30877446</v>
      </c>
      <c r="M127" s="39"/>
      <c r="N127" s="36">
        <v>28502262</v>
      </c>
      <c r="O127" s="36">
        <v>16775998</v>
      </c>
      <c r="P127" s="36">
        <v>0</v>
      </c>
      <c r="Q127" s="36">
        <f>Q126*1936.27</f>
        <v>33897125.647588</v>
      </c>
      <c r="R127" s="7"/>
      <c r="S127" s="7"/>
      <c r="T127" s="7"/>
      <c r="U127" s="7"/>
      <c r="V127" s="7"/>
      <c r="W127" s="7"/>
      <c r="X127" s="7"/>
      <c r="Y127" s="7"/>
      <c r="Z127" s="7"/>
    </row>
    <row r="128" spans="1:26" ht="12.75" customHeight="1" x14ac:dyDescent="0.2">
      <c r="A128" s="95"/>
      <c r="B128" s="95"/>
      <c r="C128" s="40" t="s">
        <v>36</v>
      </c>
      <c r="D128" s="41">
        <v>34</v>
      </c>
      <c r="E128" s="42">
        <v>7829.49</v>
      </c>
      <c r="F128" s="42">
        <v>799.48</v>
      </c>
      <c r="G128" s="42">
        <v>0</v>
      </c>
      <c r="H128" s="42">
        <v>6056.11</v>
      </c>
      <c r="I128" s="42">
        <v>0</v>
      </c>
      <c r="J128" s="42">
        <v>1223.76</v>
      </c>
      <c r="K128" s="43">
        <v>14685.08</v>
      </c>
      <c r="L128" s="32">
        <v>15908.84</v>
      </c>
      <c r="M128" s="33"/>
      <c r="N128" s="30">
        <v>14685.08</v>
      </c>
      <c r="O128" s="30">
        <v>8628.9699999999993</v>
      </c>
      <c r="P128" s="30"/>
      <c r="Q128" s="30">
        <f>(N128+O128*0.18+J128)+(IF((P128-O128*0.18)&gt;0,(P128-O128*0.18),0))</f>
        <v>17462.054599999999</v>
      </c>
      <c r="R128" s="7"/>
      <c r="S128" s="7"/>
      <c r="T128" s="7"/>
      <c r="U128" s="7"/>
      <c r="V128" s="7"/>
      <c r="W128" s="7"/>
      <c r="X128" s="7"/>
      <c r="Y128" s="7"/>
      <c r="Z128" s="7"/>
    </row>
    <row r="129" spans="1:26" ht="9" customHeight="1" x14ac:dyDescent="0.2">
      <c r="A129" s="95"/>
      <c r="B129" s="95"/>
      <c r="C129" s="34" t="s">
        <v>37</v>
      </c>
      <c r="D129" s="35">
        <v>35</v>
      </c>
      <c r="E129" s="36">
        <v>15160007</v>
      </c>
      <c r="F129" s="36">
        <v>1548009</v>
      </c>
      <c r="G129" s="36">
        <v>0</v>
      </c>
      <c r="H129" s="36">
        <v>11726264</v>
      </c>
      <c r="I129" s="36">
        <v>0</v>
      </c>
      <c r="J129" s="37">
        <v>2369530</v>
      </c>
      <c r="K129" s="36">
        <v>28434280</v>
      </c>
      <c r="L129" s="38">
        <v>30803810</v>
      </c>
      <c r="M129" s="39"/>
      <c r="N129" s="36">
        <v>28434280</v>
      </c>
      <c r="O129" s="36">
        <v>16708016</v>
      </c>
      <c r="P129" s="36">
        <v>0</v>
      </c>
      <c r="Q129" s="36">
        <f>Q128*1936.27</f>
        <v>33811252.460341997</v>
      </c>
      <c r="R129" s="7"/>
      <c r="S129" s="7"/>
      <c r="T129" s="7"/>
      <c r="U129" s="7"/>
      <c r="V129" s="7"/>
      <c r="W129" s="7"/>
      <c r="X129" s="7"/>
      <c r="Y129" s="7"/>
      <c r="Z129" s="7"/>
    </row>
    <row r="130" spans="1:26" ht="12.75" customHeight="1" x14ac:dyDescent="0.2">
      <c r="A130" s="95"/>
      <c r="B130" s="95"/>
      <c r="C130" s="40" t="s">
        <v>36</v>
      </c>
      <c r="D130" s="41">
        <v>36</v>
      </c>
      <c r="E130" s="42">
        <v>8155.89</v>
      </c>
      <c r="F130" s="42">
        <v>811.87</v>
      </c>
      <c r="G130" s="42">
        <v>0</v>
      </c>
      <c r="H130" s="42">
        <v>6056.11</v>
      </c>
      <c r="I130" s="42">
        <v>0</v>
      </c>
      <c r="J130" s="42">
        <v>1251.99</v>
      </c>
      <c r="K130" s="43">
        <v>15023.87</v>
      </c>
      <c r="L130" s="32">
        <v>16275.86</v>
      </c>
      <c r="M130" s="33"/>
      <c r="N130" s="30">
        <v>15023.87</v>
      </c>
      <c r="O130" s="30">
        <v>8967.76</v>
      </c>
      <c r="P130" s="30"/>
      <c r="Q130" s="30">
        <f>(N130+O130*0.18+J130)+(IF((P130-O130*0.18)&gt;0,(P130-O130*0.18),0))</f>
        <v>17890.056800000002</v>
      </c>
      <c r="R130" s="7"/>
      <c r="S130" s="7"/>
      <c r="T130" s="7"/>
      <c r="U130" s="7"/>
      <c r="V130" s="7"/>
      <c r="W130" s="7"/>
      <c r="X130" s="7"/>
      <c r="Y130" s="7"/>
      <c r="Z130" s="7"/>
    </row>
    <row r="131" spans="1:26" ht="9" customHeight="1" x14ac:dyDescent="0.2">
      <c r="A131" s="95"/>
      <c r="B131" s="95"/>
      <c r="C131" s="34" t="s">
        <v>37</v>
      </c>
      <c r="D131" s="35">
        <v>37</v>
      </c>
      <c r="E131" s="36">
        <v>15792005</v>
      </c>
      <c r="F131" s="36">
        <v>1572000</v>
      </c>
      <c r="G131" s="36">
        <v>0</v>
      </c>
      <c r="H131" s="36">
        <v>11726264</v>
      </c>
      <c r="I131" s="36">
        <v>0</v>
      </c>
      <c r="J131" s="37">
        <v>2424191</v>
      </c>
      <c r="K131" s="36">
        <v>29090269</v>
      </c>
      <c r="L131" s="38">
        <v>31514459</v>
      </c>
      <c r="M131" s="39"/>
      <c r="N131" s="36">
        <v>29090269</v>
      </c>
      <c r="O131" s="36">
        <v>17364005</v>
      </c>
      <c r="P131" s="36">
        <v>0</v>
      </c>
      <c r="Q131" s="36">
        <f>Q130*1936.27</f>
        <v>34639980.280136004</v>
      </c>
      <c r="R131" s="7"/>
      <c r="S131" s="7"/>
      <c r="T131" s="7"/>
      <c r="U131" s="7"/>
      <c r="V131" s="7"/>
      <c r="W131" s="7"/>
      <c r="X131" s="7"/>
      <c r="Y131" s="7"/>
      <c r="Z131" s="7"/>
    </row>
    <row r="132" spans="1:26" ht="12.75" customHeight="1" x14ac:dyDescent="0.2">
      <c r="A132" s="95"/>
      <c r="B132" s="95"/>
      <c r="C132" s="40" t="s">
        <v>36</v>
      </c>
      <c r="D132" s="41">
        <v>38</v>
      </c>
      <c r="E132" s="42">
        <v>8298.43</v>
      </c>
      <c r="F132" s="42">
        <v>824.27</v>
      </c>
      <c r="G132" s="42">
        <v>0</v>
      </c>
      <c r="H132" s="42">
        <v>6056.11</v>
      </c>
      <c r="I132" s="42">
        <v>0</v>
      </c>
      <c r="J132" s="42">
        <v>1264.9000000000001</v>
      </c>
      <c r="K132" s="43">
        <v>15178.81</v>
      </c>
      <c r="L132" s="32">
        <v>16443.71</v>
      </c>
      <c r="M132" s="33"/>
      <c r="N132" s="30">
        <v>15178.81</v>
      </c>
      <c r="O132" s="30">
        <v>9122.7000000000007</v>
      </c>
      <c r="P132" s="30"/>
      <c r="Q132" s="30">
        <f>(N132+O132*0.18+J132)+(IF((P132-O132*0.18)&gt;0,(P132-O132*0.18),0))</f>
        <v>18085.796000000002</v>
      </c>
      <c r="R132" s="7"/>
      <c r="S132" s="7"/>
      <c r="T132" s="7"/>
      <c r="U132" s="7"/>
      <c r="V132" s="7"/>
      <c r="W132" s="7"/>
      <c r="X132" s="7"/>
      <c r="Y132" s="7"/>
      <c r="Z132" s="7"/>
    </row>
    <row r="133" spans="1:26" ht="9" customHeight="1" x14ac:dyDescent="0.2">
      <c r="A133" s="95"/>
      <c r="B133" s="95"/>
      <c r="C133" s="34" t="s">
        <v>37</v>
      </c>
      <c r="D133" s="35">
        <v>39</v>
      </c>
      <c r="E133" s="36">
        <v>16068001</v>
      </c>
      <c r="F133" s="36">
        <v>1596009</v>
      </c>
      <c r="G133" s="36">
        <v>0</v>
      </c>
      <c r="H133" s="36">
        <v>11726264</v>
      </c>
      <c r="I133" s="36">
        <v>0</v>
      </c>
      <c r="J133" s="37">
        <v>2449188</v>
      </c>
      <c r="K133" s="36">
        <v>29390274</v>
      </c>
      <c r="L133" s="38">
        <v>31839462</v>
      </c>
      <c r="M133" s="39"/>
      <c r="N133" s="36">
        <v>29390274</v>
      </c>
      <c r="O133" s="36">
        <v>17664010</v>
      </c>
      <c r="P133" s="36">
        <v>0</v>
      </c>
      <c r="Q133" s="36">
        <f>Q132*1936.27</f>
        <v>35018984.220920004</v>
      </c>
      <c r="R133" s="7"/>
      <c r="S133" s="7"/>
      <c r="T133" s="7"/>
      <c r="U133" s="7"/>
      <c r="V133" s="7"/>
      <c r="W133" s="7"/>
      <c r="X133" s="7"/>
      <c r="Y133" s="7"/>
      <c r="Z133" s="7"/>
    </row>
    <row r="134" spans="1:26" ht="9" customHeight="1" x14ac:dyDescent="0.2">
      <c r="A134" s="95"/>
      <c r="B134" s="95"/>
      <c r="C134" s="44"/>
      <c r="D134" s="45"/>
      <c r="E134" s="96"/>
      <c r="F134" s="96"/>
      <c r="G134" s="96"/>
      <c r="H134" s="96"/>
      <c r="I134" s="96"/>
      <c r="J134" s="54"/>
      <c r="K134" s="96"/>
      <c r="L134" s="96"/>
      <c r="M134" s="39"/>
      <c r="N134" s="96"/>
      <c r="O134" s="96"/>
      <c r="P134" s="96"/>
      <c r="Q134" s="96"/>
      <c r="R134" s="7"/>
      <c r="S134" s="7"/>
      <c r="T134" s="7"/>
      <c r="U134" s="7"/>
      <c r="V134" s="7"/>
      <c r="W134" s="7"/>
      <c r="X134" s="7"/>
      <c r="Y134" s="7"/>
      <c r="Z134" s="7"/>
    </row>
    <row r="135" spans="1:26" ht="9" customHeight="1" x14ac:dyDescent="0.2">
      <c r="A135" s="95"/>
      <c r="B135" s="95"/>
      <c r="C135" s="44"/>
      <c r="D135" s="45"/>
      <c r="E135" s="96"/>
      <c r="F135" s="96"/>
      <c r="G135" s="96"/>
      <c r="H135" s="96"/>
      <c r="I135" s="96"/>
      <c r="J135" s="54"/>
      <c r="K135" s="96"/>
      <c r="L135" s="96"/>
      <c r="M135" s="39"/>
      <c r="N135" s="96"/>
      <c r="O135" s="96"/>
      <c r="P135" s="96"/>
      <c r="Q135" s="96"/>
      <c r="R135" s="7"/>
      <c r="S135" s="7"/>
      <c r="T135" s="7"/>
      <c r="U135" s="7"/>
      <c r="V135" s="7"/>
      <c r="W135" s="7"/>
      <c r="X135" s="7"/>
      <c r="Y135" s="7"/>
      <c r="Z135" s="7"/>
    </row>
    <row r="136" spans="1:26" ht="12.75" customHeight="1" x14ac:dyDescent="0.2">
      <c r="A136" s="95"/>
      <c r="B136" s="95"/>
      <c r="C136" s="40" t="s">
        <v>36</v>
      </c>
      <c r="D136" s="41">
        <v>40</v>
      </c>
      <c r="E136" s="42">
        <v>8440.9699999999993</v>
      </c>
      <c r="F136" s="42">
        <v>842.86</v>
      </c>
      <c r="G136" s="42">
        <v>0</v>
      </c>
      <c r="H136" s="42">
        <v>6056.11</v>
      </c>
      <c r="I136" s="42">
        <v>0</v>
      </c>
      <c r="J136" s="42">
        <v>1278.33</v>
      </c>
      <c r="K136" s="43">
        <v>15339.94</v>
      </c>
      <c r="L136" s="32">
        <v>16618.27</v>
      </c>
      <c r="M136" s="33"/>
      <c r="N136" s="30">
        <v>15339.94</v>
      </c>
      <c r="O136" s="30">
        <v>9283.83</v>
      </c>
      <c r="P136" s="30"/>
      <c r="Q136" s="30">
        <f>(N136+O136*0.18+J136)+(IF((P136-O136*0.18)&gt;0,(P136-O136*0.18),0))</f>
        <v>18289.359400000001</v>
      </c>
      <c r="R136" s="7"/>
      <c r="S136" s="7"/>
      <c r="T136" s="7"/>
      <c r="U136" s="7"/>
      <c r="V136" s="7"/>
      <c r="W136" s="7"/>
      <c r="X136" s="7"/>
      <c r="Y136" s="7"/>
      <c r="Z136" s="7"/>
    </row>
    <row r="137" spans="1:26" ht="9" customHeight="1" x14ac:dyDescent="0.2">
      <c r="A137" s="110"/>
      <c r="B137" s="110"/>
      <c r="C137" s="47"/>
      <c r="D137" s="48"/>
      <c r="E137" s="46">
        <v>16343997</v>
      </c>
      <c r="F137" s="46">
        <v>1632005</v>
      </c>
      <c r="G137" s="46">
        <v>0</v>
      </c>
      <c r="H137" s="46">
        <v>11726264</v>
      </c>
      <c r="I137" s="46">
        <v>0</v>
      </c>
      <c r="J137" s="49">
        <v>2475192</v>
      </c>
      <c r="K137" s="46">
        <v>29702266</v>
      </c>
      <c r="L137" s="38">
        <v>32177458</v>
      </c>
      <c r="M137" s="39"/>
      <c r="N137" s="36">
        <v>29702266</v>
      </c>
      <c r="O137" s="36">
        <v>17976002</v>
      </c>
      <c r="P137" s="36">
        <v>0</v>
      </c>
      <c r="Q137" s="36">
        <f>Q136*1936.27</f>
        <v>35413137.925438002</v>
      </c>
      <c r="R137" s="7"/>
      <c r="S137" s="7"/>
      <c r="T137" s="7"/>
      <c r="U137" s="7"/>
      <c r="V137" s="7"/>
      <c r="W137" s="7"/>
      <c r="X137" s="7"/>
      <c r="Y137" s="7"/>
      <c r="Z137" s="7"/>
    </row>
    <row r="138" spans="1:26" ht="12.75" customHeight="1" x14ac:dyDescent="0.2">
      <c r="A138" s="98">
        <v>33543</v>
      </c>
      <c r="B138" s="98">
        <v>33969</v>
      </c>
      <c r="C138" s="28" t="s">
        <v>36</v>
      </c>
      <c r="D138" s="29">
        <v>0</v>
      </c>
      <c r="E138" s="30">
        <v>4412.6099999999997</v>
      </c>
      <c r="F138" s="30">
        <v>440.02</v>
      </c>
      <c r="G138" s="30">
        <v>0</v>
      </c>
      <c r="H138" s="30">
        <v>6280.06</v>
      </c>
      <c r="I138" s="30">
        <v>0</v>
      </c>
      <c r="J138" s="30">
        <v>927.72</v>
      </c>
      <c r="K138" s="31">
        <v>11132.69</v>
      </c>
      <c r="L138" s="32">
        <v>12060.41</v>
      </c>
      <c r="M138" s="33"/>
      <c r="N138" s="30">
        <v>11132.69</v>
      </c>
      <c r="O138" s="30">
        <v>4852.63</v>
      </c>
      <c r="P138" s="30"/>
      <c r="Q138" s="30">
        <f>(N138+O138*0.18+J138)+(IF((P138-O138*0.18)&gt;0,(P138-O138*0.18),0))</f>
        <v>12933.883400000001</v>
      </c>
      <c r="R138" s="7"/>
      <c r="S138" s="7"/>
      <c r="T138" s="7"/>
      <c r="U138" s="7"/>
      <c r="V138" s="7"/>
      <c r="W138" s="7"/>
      <c r="X138" s="7"/>
      <c r="Y138" s="7"/>
      <c r="Z138" s="7"/>
    </row>
    <row r="139" spans="1:26" ht="9" customHeight="1" x14ac:dyDescent="0.2">
      <c r="A139" s="95"/>
      <c r="B139" s="95"/>
      <c r="C139" s="34" t="s">
        <v>37</v>
      </c>
      <c r="D139" s="35">
        <v>1</v>
      </c>
      <c r="E139" s="36">
        <v>8544004</v>
      </c>
      <c r="F139" s="36">
        <v>851998</v>
      </c>
      <c r="G139" s="36">
        <v>0</v>
      </c>
      <c r="H139" s="36">
        <v>12159892</v>
      </c>
      <c r="I139" s="36">
        <v>0</v>
      </c>
      <c r="J139" s="37">
        <v>1796316</v>
      </c>
      <c r="K139" s="36">
        <v>21555894</v>
      </c>
      <c r="L139" s="38">
        <v>23352210</v>
      </c>
      <c r="M139" s="39"/>
      <c r="N139" s="36">
        <v>21555894</v>
      </c>
      <c r="O139" s="36">
        <v>9396002</v>
      </c>
      <c r="P139" s="36">
        <v>0</v>
      </c>
      <c r="Q139" s="36">
        <f>Q138*1936.27</f>
        <v>25043490.410918001</v>
      </c>
      <c r="R139" s="7"/>
      <c r="S139" s="7"/>
      <c r="T139" s="7"/>
      <c r="U139" s="7"/>
      <c r="V139" s="7"/>
      <c r="W139" s="7"/>
      <c r="X139" s="7"/>
      <c r="Y139" s="7"/>
      <c r="Z139" s="7"/>
    </row>
    <row r="140" spans="1:26" ht="12.75" customHeight="1" x14ac:dyDescent="0.2">
      <c r="A140" s="155">
        <v>33543</v>
      </c>
      <c r="B140" s="155">
        <v>33969</v>
      </c>
      <c r="C140" s="40" t="s">
        <v>36</v>
      </c>
      <c r="D140" s="41">
        <v>2</v>
      </c>
      <c r="E140" s="42">
        <v>4641.91</v>
      </c>
      <c r="F140" s="42">
        <v>458.61</v>
      </c>
      <c r="G140" s="42">
        <v>0</v>
      </c>
      <c r="H140" s="42">
        <v>6280.06</v>
      </c>
      <c r="I140" s="42">
        <v>0</v>
      </c>
      <c r="J140" s="42">
        <v>948.38</v>
      </c>
      <c r="K140" s="43">
        <v>11380.58</v>
      </c>
      <c r="L140" s="32">
        <v>12328.96</v>
      </c>
      <c r="M140" s="33"/>
      <c r="N140" s="30">
        <v>11380.58</v>
      </c>
      <c r="O140" s="30">
        <v>5100.5200000000004</v>
      </c>
      <c r="P140" s="30"/>
      <c r="Q140" s="30">
        <f>(N140+O140*0.18+J140)+(IF((P140-O140*0.18)&gt;0,(P140-O140*0.18),0))</f>
        <v>13247.053599999999</v>
      </c>
      <c r="R140" s="7"/>
      <c r="S140" s="7"/>
      <c r="T140" s="7"/>
      <c r="U140" s="7"/>
      <c r="V140" s="7"/>
      <c r="W140" s="7"/>
      <c r="X140" s="7"/>
      <c r="Y140" s="7"/>
      <c r="Z140" s="7"/>
    </row>
    <row r="141" spans="1:26" ht="9" customHeight="1" x14ac:dyDescent="0.2">
      <c r="A141" s="95"/>
      <c r="B141" s="95"/>
      <c r="C141" s="34" t="s">
        <v>37</v>
      </c>
      <c r="D141" s="35">
        <v>3</v>
      </c>
      <c r="E141" s="36">
        <v>8987991</v>
      </c>
      <c r="F141" s="36">
        <v>887993</v>
      </c>
      <c r="G141" s="36">
        <v>0</v>
      </c>
      <c r="H141" s="36">
        <v>12159892</v>
      </c>
      <c r="I141" s="36">
        <v>0</v>
      </c>
      <c r="J141" s="37">
        <v>1836320</v>
      </c>
      <c r="K141" s="36">
        <v>22035876</v>
      </c>
      <c r="L141" s="38">
        <v>23872195</v>
      </c>
      <c r="M141" s="39"/>
      <c r="N141" s="36">
        <v>22035876</v>
      </c>
      <c r="O141" s="36">
        <v>9875984</v>
      </c>
      <c r="P141" s="36">
        <v>0</v>
      </c>
      <c r="Q141" s="36">
        <f>Q140*1936.27</f>
        <v>25649872.474071998</v>
      </c>
      <c r="R141" s="7"/>
      <c r="S141" s="7"/>
      <c r="T141" s="7"/>
      <c r="U141" s="7"/>
      <c r="V141" s="7"/>
      <c r="W141" s="7"/>
      <c r="X141" s="7"/>
      <c r="Y141" s="7"/>
      <c r="Z141" s="7"/>
    </row>
    <row r="142" spans="1:26" ht="12.75" customHeight="1" x14ac:dyDescent="0.2">
      <c r="A142" s="95"/>
      <c r="B142" s="95"/>
      <c r="C142" s="40" t="s">
        <v>36</v>
      </c>
      <c r="D142" s="41">
        <v>4</v>
      </c>
      <c r="E142" s="42">
        <v>4871.22</v>
      </c>
      <c r="F142" s="42">
        <v>483.4</v>
      </c>
      <c r="G142" s="42">
        <v>0</v>
      </c>
      <c r="H142" s="42">
        <v>6280.06</v>
      </c>
      <c r="I142" s="42">
        <v>0</v>
      </c>
      <c r="J142" s="42">
        <v>969.56</v>
      </c>
      <c r="K142" s="43">
        <v>11634.68</v>
      </c>
      <c r="L142" s="32">
        <v>12604.24</v>
      </c>
      <c r="M142" s="33"/>
      <c r="N142" s="30">
        <v>11634.68</v>
      </c>
      <c r="O142" s="30">
        <v>5354.62</v>
      </c>
      <c r="P142" s="30"/>
      <c r="Q142" s="30">
        <f>(N142+O142*0.18+J142)+(IF((P142-O142*0.18)&gt;0,(P142-O142*0.18),0))</f>
        <v>13568.071599999999</v>
      </c>
      <c r="R142" s="7"/>
      <c r="S142" s="7"/>
      <c r="T142" s="7"/>
      <c r="U142" s="7"/>
      <c r="V142" s="7"/>
      <c r="W142" s="7"/>
      <c r="X142" s="7"/>
      <c r="Y142" s="7"/>
      <c r="Z142" s="7"/>
    </row>
    <row r="143" spans="1:26" ht="9" customHeight="1" x14ac:dyDescent="0.2">
      <c r="A143" s="95"/>
      <c r="B143" s="95"/>
      <c r="C143" s="34" t="s">
        <v>37</v>
      </c>
      <c r="D143" s="35">
        <v>5</v>
      </c>
      <c r="E143" s="36">
        <v>9431997</v>
      </c>
      <c r="F143" s="36">
        <v>935993</v>
      </c>
      <c r="G143" s="36">
        <v>0</v>
      </c>
      <c r="H143" s="36">
        <v>12159892</v>
      </c>
      <c r="I143" s="36">
        <v>0</v>
      </c>
      <c r="J143" s="37">
        <v>1877330</v>
      </c>
      <c r="K143" s="36">
        <v>22527882</v>
      </c>
      <c r="L143" s="38">
        <v>24405212</v>
      </c>
      <c r="M143" s="39"/>
      <c r="N143" s="36">
        <v>22527882</v>
      </c>
      <c r="O143" s="36">
        <v>10367990</v>
      </c>
      <c r="P143" s="36">
        <v>0</v>
      </c>
      <c r="Q143" s="36">
        <f>Q142*1936.27</f>
        <v>26271449.996932</v>
      </c>
      <c r="R143" s="7"/>
      <c r="S143" s="7"/>
      <c r="T143" s="7"/>
      <c r="U143" s="7"/>
      <c r="V143" s="7"/>
      <c r="W143" s="7"/>
      <c r="X143" s="7"/>
      <c r="Y143" s="7"/>
      <c r="Z143" s="7"/>
    </row>
    <row r="144" spans="1:26" ht="12.75" customHeight="1" x14ac:dyDescent="0.2">
      <c r="A144" s="95"/>
      <c r="B144" s="95"/>
      <c r="C144" s="40" t="s">
        <v>36</v>
      </c>
      <c r="D144" s="41">
        <v>6</v>
      </c>
      <c r="E144" s="42">
        <v>5199.6899999999996</v>
      </c>
      <c r="F144" s="42">
        <v>514.39</v>
      </c>
      <c r="G144" s="42">
        <v>0</v>
      </c>
      <c r="H144" s="42">
        <v>6280.06</v>
      </c>
      <c r="I144" s="42">
        <v>0</v>
      </c>
      <c r="J144" s="42">
        <v>999.51</v>
      </c>
      <c r="K144" s="43">
        <v>11994.14</v>
      </c>
      <c r="L144" s="32">
        <v>12993.65</v>
      </c>
      <c r="M144" s="33"/>
      <c r="N144" s="30">
        <v>11994.14</v>
      </c>
      <c r="O144" s="30">
        <v>5714.08</v>
      </c>
      <c r="P144" s="30"/>
      <c r="Q144" s="30">
        <f>(N144+O144*0.18+J144)+(IF((P144-O144*0.18)&gt;0,(P144-O144*0.18),0))</f>
        <v>14022.1844</v>
      </c>
      <c r="R144" s="7"/>
      <c r="S144" s="7"/>
      <c r="T144" s="7"/>
      <c r="U144" s="7"/>
      <c r="V144" s="7"/>
      <c r="W144" s="7"/>
      <c r="X144" s="7"/>
      <c r="Y144" s="7"/>
      <c r="Z144" s="7"/>
    </row>
    <row r="145" spans="1:26" ht="9" customHeight="1" x14ac:dyDescent="0.2">
      <c r="A145" s="95"/>
      <c r="B145" s="95"/>
      <c r="C145" s="34" t="s">
        <v>37</v>
      </c>
      <c r="D145" s="35">
        <v>7</v>
      </c>
      <c r="E145" s="36">
        <v>10068004</v>
      </c>
      <c r="F145" s="36">
        <v>995998</v>
      </c>
      <c r="G145" s="36">
        <v>0</v>
      </c>
      <c r="H145" s="36">
        <v>12159892</v>
      </c>
      <c r="I145" s="36">
        <v>0</v>
      </c>
      <c r="J145" s="37">
        <v>1935321</v>
      </c>
      <c r="K145" s="36">
        <v>23223893</v>
      </c>
      <c r="L145" s="38">
        <v>25159215</v>
      </c>
      <c r="M145" s="39"/>
      <c r="N145" s="36">
        <v>23223893</v>
      </c>
      <c r="O145" s="36">
        <v>11064002</v>
      </c>
      <c r="P145" s="36">
        <v>0</v>
      </c>
      <c r="Q145" s="36">
        <f>Q144*1936.27</f>
        <v>27150734.988187999</v>
      </c>
      <c r="R145" s="7"/>
      <c r="S145" s="7"/>
      <c r="T145" s="7"/>
      <c r="U145" s="7"/>
      <c r="V145" s="7"/>
      <c r="W145" s="7"/>
      <c r="X145" s="7"/>
      <c r="Y145" s="7"/>
      <c r="Z145" s="7"/>
    </row>
    <row r="146" spans="1:26" ht="12.75" customHeight="1" x14ac:dyDescent="0.2">
      <c r="A146" s="95"/>
      <c r="B146" s="95"/>
      <c r="C146" s="40" t="s">
        <v>36</v>
      </c>
      <c r="D146" s="41">
        <v>8</v>
      </c>
      <c r="E146" s="42">
        <v>5466.18</v>
      </c>
      <c r="F146" s="42">
        <v>545.38</v>
      </c>
      <c r="G146" s="42">
        <v>0</v>
      </c>
      <c r="H146" s="42">
        <v>6280.06</v>
      </c>
      <c r="I146" s="42">
        <v>0</v>
      </c>
      <c r="J146" s="42">
        <v>1024.3</v>
      </c>
      <c r="K146" s="43">
        <v>12291.62</v>
      </c>
      <c r="L146" s="32">
        <v>13315.92</v>
      </c>
      <c r="M146" s="33"/>
      <c r="N146" s="30">
        <v>12291.62</v>
      </c>
      <c r="O146" s="30">
        <v>6011.56</v>
      </c>
      <c r="P146" s="30"/>
      <c r="Q146" s="30">
        <f>(N146+O146*0.18+J146)+(IF((P146-O146*0.18)&gt;0,(P146-O146*0.18),0))</f>
        <v>14398.0008</v>
      </c>
      <c r="R146" s="7"/>
      <c r="S146" s="7"/>
      <c r="T146" s="7"/>
      <c r="U146" s="7"/>
      <c r="V146" s="7"/>
      <c r="W146" s="7"/>
      <c r="X146" s="7"/>
      <c r="Y146" s="7"/>
      <c r="Z146" s="7"/>
    </row>
    <row r="147" spans="1:26" ht="9" customHeight="1" x14ac:dyDescent="0.2">
      <c r="A147" s="95"/>
      <c r="B147" s="95"/>
      <c r="C147" s="34" t="s">
        <v>37</v>
      </c>
      <c r="D147" s="35">
        <v>9</v>
      </c>
      <c r="E147" s="36">
        <v>10584000</v>
      </c>
      <c r="F147" s="36">
        <v>1056003</v>
      </c>
      <c r="G147" s="36">
        <v>0</v>
      </c>
      <c r="H147" s="36">
        <v>12159892</v>
      </c>
      <c r="I147" s="36">
        <v>0</v>
      </c>
      <c r="J147" s="37">
        <v>1983321</v>
      </c>
      <c r="K147" s="36">
        <v>23799895</v>
      </c>
      <c r="L147" s="38">
        <v>25783216</v>
      </c>
      <c r="M147" s="39"/>
      <c r="N147" s="36">
        <v>23799895</v>
      </c>
      <c r="O147" s="36">
        <v>11640003</v>
      </c>
      <c r="P147" s="36">
        <v>0</v>
      </c>
      <c r="Q147" s="36">
        <f>Q146*1936.27</f>
        <v>27878417.009016</v>
      </c>
      <c r="R147" s="7"/>
      <c r="S147" s="7"/>
      <c r="T147" s="7"/>
      <c r="U147" s="7"/>
      <c r="V147" s="7"/>
      <c r="W147" s="7"/>
      <c r="X147" s="7"/>
      <c r="Y147" s="7"/>
      <c r="Z147" s="7"/>
    </row>
    <row r="148" spans="1:26" ht="12.75" customHeight="1" x14ac:dyDescent="0.2">
      <c r="A148" s="95"/>
      <c r="B148" s="95"/>
      <c r="C148" s="40" t="s">
        <v>36</v>
      </c>
      <c r="D148" s="41">
        <v>10</v>
      </c>
      <c r="E148" s="42">
        <v>5726.47</v>
      </c>
      <c r="F148" s="42">
        <v>570.16999999999996</v>
      </c>
      <c r="G148" s="42">
        <v>0</v>
      </c>
      <c r="H148" s="42">
        <v>6280.06</v>
      </c>
      <c r="I148" s="42">
        <v>0</v>
      </c>
      <c r="J148" s="42">
        <v>1048.06</v>
      </c>
      <c r="K148" s="43">
        <v>12576.7</v>
      </c>
      <c r="L148" s="32">
        <v>13624.76</v>
      </c>
      <c r="M148" s="33"/>
      <c r="N148" s="30">
        <v>12576.7</v>
      </c>
      <c r="O148" s="30">
        <v>6296.64</v>
      </c>
      <c r="P148" s="30"/>
      <c r="Q148" s="30">
        <f>(N148+O148*0.18+J148)+(IF((P148-O148*0.18)&gt;0,(P148-O148*0.18),0))</f>
        <v>14758.155199999999</v>
      </c>
      <c r="R148" s="7"/>
      <c r="S148" s="7"/>
      <c r="T148" s="7"/>
      <c r="U148" s="7"/>
      <c r="V148" s="7"/>
      <c r="W148" s="7"/>
      <c r="X148" s="7"/>
      <c r="Y148" s="7"/>
      <c r="Z148" s="7"/>
    </row>
    <row r="149" spans="1:26" ht="9" customHeight="1" x14ac:dyDescent="0.2">
      <c r="A149" s="95"/>
      <c r="B149" s="95"/>
      <c r="C149" s="34" t="s">
        <v>37</v>
      </c>
      <c r="D149" s="35">
        <v>11</v>
      </c>
      <c r="E149" s="36">
        <v>11087992</v>
      </c>
      <c r="F149" s="36">
        <v>1104003</v>
      </c>
      <c r="G149" s="36">
        <v>0</v>
      </c>
      <c r="H149" s="36">
        <v>12159892</v>
      </c>
      <c r="I149" s="36">
        <v>0</v>
      </c>
      <c r="J149" s="37">
        <v>2029327</v>
      </c>
      <c r="K149" s="36">
        <v>24351887</v>
      </c>
      <c r="L149" s="38">
        <v>26381214</v>
      </c>
      <c r="M149" s="39"/>
      <c r="N149" s="36">
        <v>24351887</v>
      </c>
      <c r="O149" s="36">
        <v>12191995</v>
      </c>
      <c r="P149" s="36">
        <v>0</v>
      </c>
      <c r="Q149" s="36">
        <f>Q148*1936.27</f>
        <v>28575773.169103999</v>
      </c>
      <c r="R149" s="7"/>
      <c r="S149" s="7"/>
      <c r="T149" s="7"/>
      <c r="U149" s="7"/>
      <c r="V149" s="7"/>
      <c r="W149" s="7"/>
      <c r="X149" s="7"/>
      <c r="Y149" s="7"/>
      <c r="Z149" s="7"/>
    </row>
    <row r="150" spans="1:26" ht="12.75" customHeight="1" x14ac:dyDescent="0.2">
      <c r="A150" s="95"/>
      <c r="B150" s="95"/>
      <c r="C150" s="40" t="s">
        <v>36</v>
      </c>
      <c r="D150" s="41">
        <v>12</v>
      </c>
      <c r="E150" s="42">
        <v>5986.77</v>
      </c>
      <c r="F150" s="42">
        <v>594.96</v>
      </c>
      <c r="G150" s="42">
        <v>0</v>
      </c>
      <c r="H150" s="42">
        <v>6280.06</v>
      </c>
      <c r="I150" s="42">
        <v>0</v>
      </c>
      <c r="J150" s="42">
        <v>1071.82</v>
      </c>
      <c r="K150" s="43">
        <v>12861.79</v>
      </c>
      <c r="L150" s="32">
        <v>13933.61</v>
      </c>
      <c r="M150" s="33"/>
      <c r="N150" s="30">
        <v>12861.79</v>
      </c>
      <c r="O150" s="30">
        <v>6581.73</v>
      </c>
      <c r="P150" s="30"/>
      <c r="Q150" s="30">
        <f>(N150+O150*0.18+J150)+(IF((P150-O150*0.18)&gt;0,(P150-O150*0.18),0))</f>
        <v>15118.321400000001</v>
      </c>
      <c r="R150" s="7"/>
      <c r="S150" s="7"/>
      <c r="T150" s="7"/>
      <c r="U150" s="7"/>
      <c r="V150" s="7"/>
      <c r="W150" s="7"/>
      <c r="X150" s="7"/>
      <c r="Y150" s="7"/>
      <c r="Z150" s="7"/>
    </row>
    <row r="151" spans="1:26" ht="9" customHeight="1" x14ac:dyDescent="0.2">
      <c r="A151" s="95"/>
      <c r="B151" s="95"/>
      <c r="C151" s="34" t="s">
        <v>37</v>
      </c>
      <c r="D151" s="35">
        <v>13</v>
      </c>
      <c r="E151" s="36">
        <v>11592003</v>
      </c>
      <c r="F151" s="36">
        <v>1152003</v>
      </c>
      <c r="G151" s="36">
        <v>0</v>
      </c>
      <c r="H151" s="36">
        <v>12159892</v>
      </c>
      <c r="I151" s="36">
        <v>0</v>
      </c>
      <c r="J151" s="37">
        <v>2075333</v>
      </c>
      <c r="K151" s="36">
        <v>24903898</v>
      </c>
      <c r="L151" s="38">
        <v>26979231</v>
      </c>
      <c r="M151" s="39"/>
      <c r="N151" s="36">
        <v>24903898</v>
      </c>
      <c r="O151" s="36">
        <v>12744006</v>
      </c>
      <c r="P151" s="36">
        <v>0</v>
      </c>
      <c r="Q151" s="36">
        <f>Q150*1936.27</f>
        <v>29273152.177178003</v>
      </c>
      <c r="R151" s="7"/>
      <c r="S151" s="7"/>
      <c r="T151" s="7"/>
      <c r="U151" s="7"/>
      <c r="V151" s="7"/>
      <c r="W151" s="7"/>
      <c r="X151" s="7"/>
      <c r="Y151" s="7"/>
      <c r="Z151" s="7"/>
    </row>
    <row r="152" spans="1:26" ht="12.75" customHeight="1" x14ac:dyDescent="0.2">
      <c r="A152" s="95"/>
      <c r="B152" s="95"/>
      <c r="C152" s="40" t="s">
        <v>36</v>
      </c>
      <c r="D152" s="41">
        <v>14</v>
      </c>
      <c r="E152" s="42">
        <v>6247.06</v>
      </c>
      <c r="F152" s="42">
        <v>619.75</v>
      </c>
      <c r="G152" s="42">
        <v>0</v>
      </c>
      <c r="H152" s="42">
        <v>6280.06</v>
      </c>
      <c r="I152" s="42">
        <v>0</v>
      </c>
      <c r="J152" s="42">
        <v>1095.57</v>
      </c>
      <c r="K152" s="43">
        <v>13146.87</v>
      </c>
      <c r="L152" s="32">
        <v>14242.44</v>
      </c>
      <c r="M152" s="33"/>
      <c r="N152" s="30">
        <v>13146.87</v>
      </c>
      <c r="O152" s="30">
        <v>6866.81</v>
      </c>
      <c r="P152" s="30"/>
      <c r="Q152" s="30">
        <f>(N152+O152*0.18+J152)+(IF((P152-O152*0.18)&gt;0,(P152-O152*0.18),0))</f>
        <v>15478.4658</v>
      </c>
      <c r="R152" s="7"/>
      <c r="S152" s="7"/>
      <c r="T152" s="7"/>
      <c r="U152" s="7"/>
      <c r="V152" s="7"/>
      <c r="W152" s="7"/>
      <c r="X152" s="7"/>
      <c r="Y152" s="7"/>
      <c r="Z152" s="7"/>
    </row>
    <row r="153" spans="1:26" ht="9" customHeight="1" x14ac:dyDescent="0.2">
      <c r="A153" s="95"/>
      <c r="B153" s="95"/>
      <c r="C153" s="34" t="s">
        <v>37</v>
      </c>
      <c r="D153" s="35">
        <v>15</v>
      </c>
      <c r="E153" s="36">
        <v>12095995</v>
      </c>
      <c r="F153" s="36">
        <v>1200003</v>
      </c>
      <c r="G153" s="36">
        <v>0</v>
      </c>
      <c r="H153" s="36">
        <v>12159892</v>
      </c>
      <c r="I153" s="36">
        <v>0</v>
      </c>
      <c r="J153" s="37">
        <v>2121319</v>
      </c>
      <c r="K153" s="36">
        <v>25455890</v>
      </c>
      <c r="L153" s="38">
        <v>27577209</v>
      </c>
      <c r="M153" s="39"/>
      <c r="N153" s="36">
        <v>25455890</v>
      </c>
      <c r="O153" s="36">
        <v>13295998</v>
      </c>
      <c r="P153" s="36">
        <v>0</v>
      </c>
      <c r="Q153" s="36">
        <f>Q152*1936.27</f>
        <v>29970488.974566001</v>
      </c>
      <c r="R153" s="7"/>
      <c r="S153" s="7"/>
      <c r="T153" s="7"/>
      <c r="U153" s="7"/>
      <c r="V153" s="7"/>
      <c r="W153" s="7"/>
      <c r="X153" s="7"/>
      <c r="Y153" s="7"/>
      <c r="Z153" s="7"/>
    </row>
    <row r="154" spans="1:26" ht="12.75" customHeight="1" x14ac:dyDescent="0.2">
      <c r="A154" s="95"/>
      <c r="B154" s="95"/>
      <c r="C154" s="40" t="s">
        <v>36</v>
      </c>
      <c r="D154" s="41">
        <v>16</v>
      </c>
      <c r="E154" s="42">
        <v>6507.36</v>
      </c>
      <c r="F154" s="42">
        <v>650.74</v>
      </c>
      <c r="G154" s="42">
        <v>0</v>
      </c>
      <c r="H154" s="42">
        <v>6280.06</v>
      </c>
      <c r="I154" s="42">
        <v>0</v>
      </c>
      <c r="J154" s="42">
        <v>1119.8499999999999</v>
      </c>
      <c r="K154" s="43">
        <v>13438.16</v>
      </c>
      <c r="L154" s="32">
        <v>14558.01</v>
      </c>
      <c r="M154" s="33"/>
      <c r="N154" s="30">
        <v>13438.16</v>
      </c>
      <c r="O154" s="30">
        <v>7158.1</v>
      </c>
      <c r="P154" s="30"/>
      <c r="Q154" s="30">
        <f>(N154+O154*0.18+J154)+(IF((P154-O154*0.18)&gt;0,(P154-O154*0.18),0))</f>
        <v>15846.468000000001</v>
      </c>
      <c r="R154" s="7"/>
      <c r="S154" s="7"/>
      <c r="T154" s="7"/>
      <c r="U154" s="7"/>
      <c r="V154" s="7"/>
      <c r="W154" s="7"/>
      <c r="X154" s="7"/>
      <c r="Y154" s="7"/>
      <c r="Z154" s="7"/>
    </row>
    <row r="155" spans="1:26" ht="9" customHeight="1" x14ac:dyDescent="0.2">
      <c r="A155" s="95"/>
      <c r="B155" s="95"/>
      <c r="C155" s="34" t="s">
        <v>37</v>
      </c>
      <c r="D155" s="35">
        <v>17</v>
      </c>
      <c r="E155" s="36">
        <v>12600006</v>
      </c>
      <c r="F155" s="36">
        <v>1260008</v>
      </c>
      <c r="G155" s="36">
        <v>0</v>
      </c>
      <c r="H155" s="36">
        <v>12159892</v>
      </c>
      <c r="I155" s="36">
        <v>0</v>
      </c>
      <c r="J155" s="37">
        <v>2168332</v>
      </c>
      <c r="K155" s="36">
        <v>26019906</v>
      </c>
      <c r="L155" s="38">
        <v>28188238</v>
      </c>
      <c r="M155" s="39"/>
      <c r="N155" s="36">
        <v>26019906</v>
      </c>
      <c r="O155" s="36">
        <v>13860014</v>
      </c>
      <c r="P155" s="36">
        <v>0</v>
      </c>
      <c r="Q155" s="36">
        <f>Q154*1936.27</f>
        <v>30683040.594360001</v>
      </c>
      <c r="R155" s="7"/>
      <c r="S155" s="7"/>
      <c r="T155" s="7"/>
      <c r="U155" s="7"/>
      <c r="V155" s="7"/>
      <c r="W155" s="7"/>
      <c r="X155" s="7"/>
      <c r="Y155" s="7"/>
      <c r="Z155" s="7"/>
    </row>
    <row r="156" spans="1:26" ht="12.75" customHeight="1" x14ac:dyDescent="0.2">
      <c r="A156" s="95"/>
      <c r="B156" s="95"/>
      <c r="C156" s="40" t="s">
        <v>36</v>
      </c>
      <c r="D156" s="41">
        <v>18</v>
      </c>
      <c r="E156" s="42">
        <v>6767.65</v>
      </c>
      <c r="F156" s="42">
        <v>675.53</v>
      </c>
      <c r="G156" s="42">
        <v>0</v>
      </c>
      <c r="H156" s="42">
        <v>6280.06</v>
      </c>
      <c r="I156" s="42">
        <v>0</v>
      </c>
      <c r="J156" s="42">
        <v>1143.5999999999999</v>
      </c>
      <c r="K156" s="43">
        <v>13723.24</v>
      </c>
      <c r="L156" s="32">
        <v>14866.84</v>
      </c>
      <c r="M156" s="33"/>
      <c r="N156" s="30">
        <v>13723.24</v>
      </c>
      <c r="O156" s="30">
        <v>7443.18</v>
      </c>
      <c r="P156" s="30"/>
      <c r="Q156" s="30">
        <f>(N156+O156*0.18+J156)+(IF((P156-O156*0.18)&gt;0,(P156-O156*0.18),0))</f>
        <v>16206.6124</v>
      </c>
      <c r="R156" s="7"/>
      <c r="S156" s="7"/>
      <c r="T156" s="7"/>
      <c r="U156" s="7"/>
      <c r="V156" s="7"/>
      <c r="W156" s="7"/>
      <c r="X156" s="7"/>
      <c r="Y156" s="7"/>
      <c r="Z156" s="7"/>
    </row>
    <row r="157" spans="1:26" ht="9" customHeight="1" x14ac:dyDescent="0.2">
      <c r="A157" s="95"/>
      <c r="B157" s="95"/>
      <c r="C157" s="34" t="s">
        <v>37</v>
      </c>
      <c r="D157" s="35">
        <v>19</v>
      </c>
      <c r="E157" s="36">
        <v>13103998</v>
      </c>
      <c r="F157" s="36">
        <v>1308008</v>
      </c>
      <c r="G157" s="36">
        <v>0</v>
      </c>
      <c r="H157" s="36">
        <v>12159892</v>
      </c>
      <c r="I157" s="36">
        <v>0</v>
      </c>
      <c r="J157" s="37">
        <v>2214318</v>
      </c>
      <c r="K157" s="36">
        <v>26571898</v>
      </c>
      <c r="L157" s="38">
        <v>28786216</v>
      </c>
      <c r="M157" s="39"/>
      <c r="N157" s="36">
        <v>26571898</v>
      </c>
      <c r="O157" s="36">
        <v>14412006</v>
      </c>
      <c r="P157" s="36">
        <v>0</v>
      </c>
      <c r="Q157" s="36">
        <f>Q156*1936.27</f>
        <v>31380377.391748</v>
      </c>
      <c r="R157" s="7"/>
      <c r="S157" s="7"/>
      <c r="T157" s="7"/>
      <c r="U157" s="7"/>
      <c r="V157" s="7"/>
      <c r="W157" s="7"/>
      <c r="X157" s="7"/>
      <c r="Y157" s="7"/>
      <c r="Z157" s="7"/>
    </row>
    <row r="158" spans="1:26" ht="12.75" customHeight="1" x14ac:dyDescent="0.2">
      <c r="A158" s="95"/>
      <c r="B158" s="95"/>
      <c r="C158" s="40" t="s">
        <v>36</v>
      </c>
      <c r="D158" s="41">
        <v>20</v>
      </c>
      <c r="E158" s="42">
        <v>7027.95</v>
      </c>
      <c r="F158" s="42">
        <v>700.32</v>
      </c>
      <c r="G158" s="42">
        <v>0</v>
      </c>
      <c r="H158" s="42">
        <v>6280.06</v>
      </c>
      <c r="I158" s="42">
        <v>0</v>
      </c>
      <c r="J158" s="42">
        <v>1167.3599999999999</v>
      </c>
      <c r="K158" s="43">
        <v>14008.33</v>
      </c>
      <c r="L158" s="32">
        <v>15175.69</v>
      </c>
      <c r="M158" s="33"/>
      <c r="N158" s="30">
        <v>14008.33</v>
      </c>
      <c r="O158" s="30">
        <v>7728.27</v>
      </c>
      <c r="P158" s="30"/>
      <c r="Q158" s="30">
        <f>(N158+O158*0.18+J158)+(IF((P158-O158*0.18)&gt;0,(P158-O158*0.18),0))</f>
        <v>16566.778600000001</v>
      </c>
      <c r="R158" s="7"/>
      <c r="S158" s="7"/>
      <c r="T158" s="7"/>
      <c r="U158" s="7"/>
      <c r="V158" s="7"/>
      <c r="W158" s="7"/>
      <c r="X158" s="7"/>
      <c r="Y158" s="7"/>
      <c r="Z158" s="7"/>
    </row>
    <row r="159" spans="1:26" ht="9" customHeight="1" x14ac:dyDescent="0.2">
      <c r="A159" s="95"/>
      <c r="B159" s="95"/>
      <c r="C159" s="34" t="s">
        <v>37</v>
      </c>
      <c r="D159" s="35">
        <v>21</v>
      </c>
      <c r="E159" s="36">
        <v>13608009</v>
      </c>
      <c r="F159" s="36">
        <v>1356009</v>
      </c>
      <c r="G159" s="36">
        <v>0</v>
      </c>
      <c r="H159" s="36">
        <v>12159892</v>
      </c>
      <c r="I159" s="36">
        <v>0</v>
      </c>
      <c r="J159" s="37">
        <v>2260324</v>
      </c>
      <c r="K159" s="36">
        <v>27123909</v>
      </c>
      <c r="L159" s="38">
        <v>29384233</v>
      </c>
      <c r="M159" s="39"/>
      <c r="N159" s="36">
        <v>27123909</v>
      </c>
      <c r="O159" s="36">
        <v>14964017</v>
      </c>
      <c r="P159" s="36">
        <v>0</v>
      </c>
      <c r="Q159" s="36">
        <f>Q158*1936.27</f>
        <v>32077756.399822004</v>
      </c>
      <c r="R159" s="7"/>
      <c r="S159" s="7"/>
      <c r="T159" s="7"/>
      <c r="U159" s="7"/>
      <c r="V159" s="7"/>
      <c r="W159" s="7"/>
      <c r="X159" s="7"/>
      <c r="Y159" s="7"/>
      <c r="Z159" s="7"/>
    </row>
    <row r="160" spans="1:26" ht="12.75" customHeight="1" x14ac:dyDescent="0.2">
      <c r="A160" s="95"/>
      <c r="B160" s="95"/>
      <c r="C160" s="40" t="s">
        <v>36</v>
      </c>
      <c r="D160" s="41">
        <v>22</v>
      </c>
      <c r="E160" s="42">
        <v>7170.49</v>
      </c>
      <c r="F160" s="42">
        <v>712.71</v>
      </c>
      <c r="G160" s="42">
        <v>0</v>
      </c>
      <c r="H160" s="42">
        <v>6280.06</v>
      </c>
      <c r="I160" s="42">
        <v>0</v>
      </c>
      <c r="J160" s="42">
        <v>1180.27</v>
      </c>
      <c r="K160" s="43">
        <v>14163.26</v>
      </c>
      <c r="L160" s="32">
        <v>15343.53</v>
      </c>
      <c r="M160" s="33"/>
      <c r="N160" s="30">
        <v>14163.26</v>
      </c>
      <c r="O160" s="30">
        <v>7883.2</v>
      </c>
      <c r="P160" s="30"/>
      <c r="Q160" s="30">
        <f>(N160+O160*0.18+J160)+(IF((P160-O160*0.18)&gt;0,(P160-O160*0.18),0))</f>
        <v>16762.506000000001</v>
      </c>
      <c r="R160" s="7"/>
      <c r="S160" s="7"/>
      <c r="T160" s="7"/>
      <c r="U160" s="7"/>
      <c r="V160" s="7"/>
      <c r="W160" s="7"/>
      <c r="X160" s="7"/>
      <c r="Y160" s="7"/>
      <c r="Z160" s="7"/>
    </row>
    <row r="161" spans="1:26" ht="9" customHeight="1" x14ac:dyDescent="0.2">
      <c r="A161" s="95"/>
      <c r="B161" s="95"/>
      <c r="C161" s="34" t="s">
        <v>37</v>
      </c>
      <c r="D161" s="35">
        <v>23</v>
      </c>
      <c r="E161" s="36">
        <v>13884005</v>
      </c>
      <c r="F161" s="36">
        <v>1379999</v>
      </c>
      <c r="G161" s="36">
        <v>0</v>
      </c>
      <c r="H161" s="36">
        <v>12159892</v>
      </c>
      <c r="I161" s="36">
        <v>0</v>
      </c>
      <c r="J161" s="37">
        <v>2285321</v>
      </c>
      <c r="K161" s="36">
        <v>27423895</v>
      </c>
      <c r="L161" s="38">
        <v>29709217</v>
      </c>
      <c r="M161" s="39"/>
      <c r="N161" s="36">
        <v>27423895</v>
      </c>
      <c r="O161" s="36">
        <v>15264004</v>
      </c>
      <c r="P161" s="36">
        <v>0</v>
      </c>
      <c r="Q161" s="36">
        <f>Q160*1936.27</f>
        <v>32456737.492620002</v>
      </c>
      <c r="R161" s="7"/>
      <c r="S161" s="7"/>
      <c r="T161" s="7"/>
      <c r="U161" s="7"/>
      <c r="V161" s="7"/>
      <c r="W161" s="7"/>
      <c r="X161" s="7"/>
      <c r="Y161" s="7"/>
      <c r="Z161" s="7"/>
    </row>
    <row r="162" spans="1:26" ht="12.75" customHeight="1" x14ac:dyDescent="0.2">
      <c r="A162" s="95"/>
      <c r="B162" s="95"/>
      <c r="C162" s="40" t="s">
        <v>36</v>
      </c>
      <c r="D162" s="41">
        <v>24</v>
      </c>
      <c r="E162" s="42">
        <v>7313.03</v>
      </c>
      <c r="F162" s="42">
        <v>731.3</v>
      </c>
      <c r="G162" s="42">
        <v>0</v>
      </c>
      <c r="H162" s="42">
        <v>6280.06</v>
      </c>
      <c r="I162" s="42">
        <v>0</v>
      </c>
      <c r="J162" s="42">
        <v>1193.7</v>
      </c>
      <c r="K162" s="43">
        <v>14324.39</v>
      </c>
      <c r="L162" s="32">
        <v>15518.09</v>
      </c>
      <c r="M162" s="33"/>
      <c r="N162" s="30">
        <v>14324.39</v>
      </c>
      <c r="O162" s="30">
        <v>8044.33</v>
      </c>
      <c r="P162" s="30"/>
      <c r="Q162" s="30">
        <f>(N162+O162*0.18+J162)+(IF((P162-O162*0.18)&gt;0,(P162-O162*0.18),0))</f>
        <v>16966.0694</v>
      </c>
      <c r="R162" s="7"/>
      <c r="S162" s="7"/>
      <c r="T162" s="7"/>
      <c r="U162" s="7"/>
      <c r="V162" s="7"/>
      <c r="W162" s="7"/>
      <c r="X162" s="7"/>
      <c r="Y162" s="7"/>
      <c r="Z162" s="7"/>
    </row>
    <row r="163" spans="1:26" ht="9" customHeight="1" x14ac:dyDescent="0.2">
      <c r="A163" s="95"/>
      <c r="B163" s="95"/>
      <c r="C163" s="34" t="s">
        <v>37</v>
      </c>
      <c r="D163" s="35">
        <v>25</v>
      </c>
      <c r="E163" s="36">
        <v>14160001</v>
      </c>
      <c r="F163" s="36">
        <v>1415994</v>
      </c>
      <c r="G163" s="36">
        <v>0</v>
      </c>
      <c r="H163" s="36">
        <v>12159892</v>
      </c>
      <c r="I163" s="36">
        <v>0</v>
      </c>
      <c r="J163" s="37">
        <v>2311325</v>
      </c>
      <c r="K163" s="36">
        <v>27735887</v>
      </c>
      <c r="L163" s="38">
        <v>30047212</v>
      </c>
      <c r="M163" s="39"/>
      <c r="N163" s="36">
        <v>27735887</v>
      </c>
      <c r="O163" s="36">
        <v>15575995</v>
      </c>
      <c r="P163" s="36">
        <v>0</v>
      </c>
      <c r="Q163" s="36">
        <f>Q162*1936.27</f>
        <v>32850891.197138</v>
      </c>
      <c r="R163" s="7"/>
      <c r="S163" s="7"/>
      <c r="T163" s="7"/>
      <c r="U163" s="7"/>
      <c r="V163" s="7"/>
      <c r="W163" s="7"/>
      <c r="X163" s="7"/>
      <c r="Y163" s="7"/>
      <c r="Z163" s="7"/>
    </row>
    <row r="164" spans="1:26" ht="12.75" customHeight="1" x14ac:dyDescent="0.2">
      <c r="A164" s="95"/>
      <c r="B164" s="95"/>
      <c r="C164" s="40" t="s">
        <v>36</v>
      </c>
      <c r="D164" s="41">
        <v>26</v>
      </c>
      <c r="E164" s="42">
        <v>7455.57</v>
      </c>
      <c r="F164" s="42">
        <v>743.7</v>
      </c>
      <c r="G164" s="42">
        <v>0</v>
      </c>
      <c r="H164" s="42">
        <v>6280.06</v>
      </c>
      <c r="I164" s="42">
        <v>0</v>
      </c>
      <c r="J164" s="42">
        <v>1206.6099999999999</v>
      </c>
      <c r="K164" s="43">
        <v>14479.33</v>
      </c>
      <c r="L164" s="32">
        <v>15685.94</v>
      </c>
      <c r="M164" s="33"/>
      <c r="N164" s="30">
        <v>14479.33</v>
      </c>
      <c r="O164" s="30">
        <v>8199.27</v>
      </c>
      <c r="P164" s="30"/>
      <c r="Q164" s="30">
        <f>(N164+O164*0.18+J164)+(IF((P164-O164*0.18)&gt;0,(P164-O164*0.18),0))</f>
        <v>17161.8086</v>
      </c>
      <c r="R164" s="7"/>
      <c r="S164" s="7"/>
      <c r="T164" s="7"/>
      <c r="U164" s="7"/>
      <c r="V164" s="7"/>
      <c r="W164" s="7"/>
      <c r="X164" s="7"/>
      <c r="Y164" s="7"/>
      <c r="Z164" s="7"/>
    </row>
    <row r="165" spans="1:26" ht="9" customHeight="1" x14ac:dyDescent="0.2">
      <c r="A165" s="95"/>
      <c r="B165" s="95"/>
      <c r="C165" s="34" t="s">
        <v>37</v>
      </c>
      <c r="D165" s="35">
        <v>27</v>
      </c>
      <c r="E165" s="36">
        <v>14435997</v>
      </c>
      <c r="F165" s="36">
        <v>1440004</v>
      </c>
      <c r="G165" s="36">
        <v>0</v>
      </c>
      <c r="H165" s="36">
        <v>12159892</v>
      </c>
      <c r="I165" s="36">
        <v>0</v>
      </c>
      <c r="J165" s="37">
        <v>2336323</v>
      </c>
      <c r="K165" s="36">
        <v>28035892</v>
      </c>
      <c r="L165" s="38">
        <v>30372215</v>
      </c>
      <c r="M165" s="39"/>
      <c r="N165" s="36">
        <v>28035892</v>
      </c>
      <c r="O165" s="36">
        <v>15876001</v>
      </c>
      <c r="P165" s="36">
        <v>0</v>
      </c>
      <c r="Q165" s="36">
        <f>Q164*1936.27</f>
        <v>33229895.137922</v>
      </c>
      <c r="R165" s="7"/>
      <c r="S165" s="7"/>
      <c r="T165" s="7"/>
      <c r="U165" s="7"/>
      <c r="V165" s="7"/>
      <c r="W165" s="7"/>
      <c r="X165" s="7"/>
      <c r="Y165" s="7"/>
      <c r="Z165" s="7"/>
    </row>
    <row r="166" spans="1:26" ht="12.75" customHeight="1" x14ac:dyDescent="0.2">
      <c r="A166" s="95"/>
      <c r="B166" s="95"/>
      <c r="C166" s="40" t="s">
        <v>36</v>
      </c>
      <c r="D166" s="41">
        <v>28</v>
      </c>
      <c r="E166" s="42">
        <v>7591.92</v>
      </c>
      <c r="F166" s="42">
        <v>756.09</v>
      </c>
      <c r="G166" s="42">
        <v>0</v>
      </c>
      <c r="H166" s="42">
        <v>6280.06</v>
      </c>
      <c r="I166" s="42">
        <v>0</v>
      </c>
      <c r="J166" s="42">
        <v>1219.01</v>
      </c>
      <c r="K166" s="43">
        <v>14628.07</v>
      </c>
      <c r="L166" s="32">
        <v>15847.08</v>
      </c>
      <c r="M166" s="33"/>
      <c r="N166" s="30">
        <v>14628.07</v>
      </c>
      <c r="O166" s="30">
        <v>8348.01</v>
      </c>
      <c r="P166" s="30"/>
      <c r="Q166" s="30">
        <f>(N166+O166*0.18+J166)+(IF((P166-O166*0.18)&gt;0,(P166-O166*0.18),0))</f>
        <v>17349.721799999999</v>
      </c>
      <c r="R166" s="7"/>
      <c r="S166" s="7"/>
      <c r="T166" s="7"/>
      <c r="U166" s="7"/>
      <c r="V166" s="7"/>
      <c r="W166" s="7"/>
      <c r="X166" s="7"/>
      <c r="Y166" s="7"/>
      <c r="Z166" s="7"/>
    </row>
    <row r="167" spans="1:26" ht="9" customHeight="1" x14ac:dyDescent="0.2">
      <c r="A167" s="95"/>
      <c r="B167" s="95"/>
      <c r="C167" s="34" t="s">
        <v>37</v>
      </c>
      <c r="D167" s="35">
        <v>29</v>
      </c>
      <c r="E167" s="36">
        <v>14700007</v>
      </c>
      <c r="F167" s="36">
        <v>1463994</v>
      </c>
      <c r="G167" s="36">
        <v>0</v>
      </c>
      <c r="H167" s="36">
        <v>12159892</v>
      </c>
      <c r="I167" s="36">
        <v>0</v>
      </c>
      <c r="J167" s="37">
        <v>2360332</v>
      </c>
      <c r="K167" s="36">
        <v>28323893</v>
      </c>
      <c r="L167" s="38">
        <v>30684226</v>
      </c>
      <c r="M167" s="39"/>
      <c r="N167" s="36">
        <v>28323893</v>
      </c>
      <c r="O167" s="36">
        <v>16164001</v>
      </c>
      <c r="P167" s="36">
        <v>0</v>
      </c>
      <c r="Q167" s="36">
        <f>Q166*1936.27</f>
        <v>33593745.829686001</v>
      </c>
      <c r="R167" s="7"/>
      <c r="S167" s="7"/>
      <c r="T167" s="7"/>
      <c r="U167" s="7"/>
      <c r="V167" s="7"/>
      <c r="W167" s="7"/>
      <c r="X167" s="7"/>
      <c r="Y167" s="7"/>
      <c r="Z167" s="7"/>
    </row>
    <row r="168" spans="1:26" ht="12.75" customHeight="1" x14ac:dyDescent="0.2">
      <c r="A168" s="95"/>
      <c r="B168" s="95"/>
      <c r="C168" s="40" t="s">
        <v>36</v>
      </c>
      <c r="D168" s="41">
        <v>30</v>
      </c>
      <c r="E168" s="42">
        <v>7734.46</v>
      </c>
      <c r="F168" s="42">
        <v>768.49</v>
      </c>
      <c r="G168" s="42">
        <v>0</v>
      </c>
      <c r="H168" s="42">
        <v>6280.06</v>
      </c>
      <c r="I168" s="42">
        <v>0</v>
      </c>
      <c r="J168" s="42">
        <v>1231.92</v>
      </c>
      <c r="K168" s="43">
        <v>14783.01</v>
      </c>
      <c r="L168" s="32">
        <v>16014.93</v>
      </c>
      <c r="M168" s="33"/>
      <c r="N168" s="30">
        <v>14783.01</v>
      </c>
      <c r="O168" s="30">
        <v>8502.9500000000007</v>
      </c>
      <c r="P168" s="30"/>
      <c r="Q168" s="30">
        <f>(N168+O168*0.18+J168)+(IF((P168-O168*0.18)&gt;0,(P168-O168*0.18),0))</f>
        <v>17545.461000000003</v>
      </c>
      <c r="R168" s="7"/>
      <c r="S168" s="7"/>
      <c r="T168" s="7"/>
      <c r="U168" s="7"/>
      <c r="V168" s="7"/>
      <c r="W168" s="7"/>
      <c r="X168" s="7"/>
      <c r="Y168" s="7"/>
      <c r="Z168" s="7"/>
    </row>
    <row r="169" spans="1:26" ht="9" customHeight="1" x14ac:dyDescent="0.2">
      <c r="A169" s="95"/>
      <c r="B169" s="95"/>
      <c r="C169" s="34" t="s">
        <v>37</v>
      </c>
      <c r="D169" s="35">
        <v>31</v>
      </c>
      <c r="E169" s="36">
        <v>14976003</v>
      </c>
      <c r="F169" s="36">
        <v>1488004</v>
      </c>
      <c r="G169" s="36">
        <v>0</v>
      </c>
      <c r="H169" s="36">
        <v>12159892</v>
      </c>
      <c r="I169" s="36">
        <v>0</v>
      </c>
      <c r="J169" s="37">
        <v>2385330</v>
      </c>
      <c r="K169" s="36">
        <v>28623899</v>
      </c>
      <c r="L169" s="38">
        <v>31009229</v>
      </c>
      <c r="M169" s="39"/>
      <c r="N169" s="36">
        <v>28623899</v>
      </c>
      <c r="O169" s="36">
        <v>16464007</v>
      </c>
      <c r="P169" s="36">
        <v>0</v>
      </c>
      <c r="Q169" s="36">
        <f>Q168*1936.27</f>
        <v>33972749.770470008</v>
      </c>
      <c r="R169" s="7"/>
      <c r="S169" s="7"/>
      <c r="T169" s="7"/>
      <c r="U169" s="7"/>
      <c r="V169" s="7"/>
      <c r="W169" s="7"/>
      <c r="X169" s="7"/>
      <c r="Y169" s="7"/>
      <c r="Z169" s="7"/>
    </row>
    <row r="170" spans="1:26" ht="12.75" customHeight="1" x14ac:dyDescent="0.2">
      <c r="A170" s="95"/>
      <c r="B170" s="95"/>
      <c r="C170" s="40" t="s">
        <v>36</v>
      </c>
      <c r="D170" s="41">
        <v>32</v>
      </c>
      <c r="E170" s="42">
        <v>7877</v>
      </c>
      <c r="F170" s="42">
        <v>787.08</v>
      </c>
      <c r="G170" s="42">
        <v>0</v>
      </c>
      <c r="H170" s="42">
        <v>6280.06</v>
      </c>
      <c r="I170" s="42">
        <v>0</v>
      </c>
      <c r="J170" s="42">
        <v>1245.3499999999999</v>
      </c>
      <c r="K170" s="43">
        <v>14944.14</v>
      </c>
      <c r="L170" s="32">
        <v>16189.49</v>
      </c>
      <c r="M170" s="33"/>
      <c r="N170" s="30">
        <v>14944.14</v>
      </c>
      <c r="O170" s="30">
        <v>8664.08</v>
      </c>
      <c r="P170" s="30"/>
      <c r="Q170" s="30">
        <f>(N170+O170*0.18+J170)+(IF((P170-O170*0.18)&gt;0,(P170-O170*0.18),0))</f>
        <v>17749.024399999998</v>
      </c>
      <c r="R170" s="7"/>
      <c r="S170" s="7"/>
      <c r="T170" s="7"/>
      <c r="U170" s="7"/>
      <c r="V170" s="7"/>
      <c r="W170" s="7"/>
      <c r="X170" s="7"/>
      <c r="Y170" s="7"/>
      <c r="Z170" s="7"/>
    </row>
    <row r="171" spans="1:26" ht="9" customHeight="1" x14ac:dyDescent="0.2">
      <c r="A171" s="95"/>
      <c r="B171" s="95"/>
      <c r="C171" s="34" t="s">
        <v>37</v>
      </c>
      <c r="D171" s="35">
        <v>33</v>
      </c>
      <c r="E171" s="36">
        <v>15251999</v>
      </c>
      <c r="F171" s="36">
        <v>1523999</v>
      </c>
      <c r="G171" s="36">
        <v>0</v>
      </c>
      <c r="H171" s="36">
        <v>12159892</v>
      </c>
      <c r="I171" s="36">
        <v>0</v>
      </c>
      <c r="J171" s="37">
        <v>2411334</v>
      </c>
      <c r="K171" s="36">
        <v>28935890</v>
      </c>
      <c r="L171" s="38">
        <v>31347224</v>
      </c>
      <c r="M171" s="39"/>
      <c r="N171" s="36">
        <v>28935890</v>
      </c>
      <c r="O171" s="36">
        <v>16775998</v>
      </c>
      <c r="P171" s="36">
        <v>0</v>
      </c>
      <c r="Q171" s="36">
        <f>Q170*1936.27</f>
        <v>34366903.474987999</v>
      </c>
      <c r="R171" s="7"/>
      <c r="S171" s="7"/>
      <c r="T171" s="7"/>
      <c r="U171" s="7"/>
      <c r="V171" s="7"/>
      <c r="W171" s="7"/>
      <c r="X171" s="7"/>
      <c r="Y171" s="7"/>
      <c r="Z171" s="7"/>
    </row>
    <row r="172" spans="1:26" ht="12.75" customHeight="1" x14ac:dyDescent="0.2">
      <c r="A172" s="95"/>
      <c r="B172" s="95"/>
      <c r="C172" s="40" t="s">
        <v>36</v>
      </c>
      <c r="D172" s="41">
        <v>34</v>
      </c>
      <c r="E172" s="42">
        <v>7829.49</v>
      </c>
      <c r="F172" s="42">
        <v>799.48</v>
      </c>
      <c r="G172" s="42">
        <v>0</v>
      </c>
      <c r="H172" s="42">
        <v>6280.06</v>
      </c>
      <c r="I172" s="42">
        <v>0</v>
      </c>
      <c r="J172" s="42">
        <v>1242.42</v>
      </c>
      <c r="K172" s="43">
        <v>14909.03</v>
      </c>
      <c r="L172" s="32">
        <v>16151.45</v>
      </c>
      <c r="M172" s="33"/>
      <c r="N172" s="30">
        <v>14909.03</v>
      </c>
      <c r="O172" s="30">
        <v>8628.9699999999993</v>
      </c>
      <c r="P172" s="30"/>
      <c r="Q172" s="30">
        <f>(N172+O172*0.18+J172)+(IF((P172-O172*0.18)&gt;0,(P172-O172*0.18),0))</f>
        <v>17704.664600000004</v>
      </c>
      <c r="R172" s="7"/>
      <c r="S172" s="7"/>
      <c r="T172" s="7"/>
      <c r="U172" s="7"/>
      <c r="V172" s="7"/>
      <c r="W172" s="7"/>
      <c r="X172" s="7"/>
      <c r="Y172" s="7"/>
      <c r="Z172" s="7"/>
    </row>
    <row r="173" spans="1:26" ht="9" customHeight="1" x14ac:dyDescent="0.2">
      <c r="A173" s="95"/>
      <c r="B173" s="95"/>
      <c r="C173" s="34" t="s">
        <v>37</v>
      </c>
      <c r="D173" s="35">
        <v>35</v>
      </c>
      <c r="E173" s="36">
        <v>15160007</v>
      </c>
      <c r="F173" s="36">
        <v>1548009</v>
      </c>
      <c r="G173" s="36">
        <v>0</v>
      </c>
      <c r="H173" s="36">
        <v>12159892</v>
      </c>
      <c r="I173" s="36">
        <v>0</v>
      </c>
      <c r="J173" s="37">
        <v>2405661</v>
      </c>
      <c r="K173" s="36">
        <v>28867908</v>
      </c>
      <c r="L173" s="38">
        <v>31273568</v>
      </c>
      <c r="M173" s="39"/>
      <c r="N173" s="36">
        <v>28867908</v>
      </c>
      <c r="O173" s="36">
        <v>16708016</v>
      </c>
      <c r="P173" s="36">
        <v>0</v>
      </c>
      <c r="Q173" s="36">
        <f>Q172*1936.27</f>
        <v>34281010.925042003</v>
      </c>
      <c r="R173" s="7"/>
      <c r="S173" s="7"/>
      <c r="T173" s="7"/>
      <c r="U173" s="7"/>
      <c r="V173" s="7"/>
      <c r="W173" s="7"/>
      <c r="X173" s="7"/>
      <c r="Y173" s="7"/>
      <c r="Z173" s="7"/>
    </row>
    <row r="174" spans="1:26" ht="12.75" customHeight="1" x14ac:dyDescent="0.2">
      <c r="A174" s="95"/>
      <c r="B174" s="95"/>
      <c r="C174" s="40" t="s">
        <v>36</v>
      </c>
      <c r="D174" s="41">
        <v>36</v>
      </c>
      <c r="E174" s="42">
        <v>8155.89</v>
      </c>
      <c r="F174" s="42">
        <v>811.87</v>
      </c>
      <c r="G174" s="42">
        <v>0</v>
      </c>
      <c r="H174" s="42">
        <v>6280.06</v>
      </c>
      <c r="I174" s="42">
        <v>0</v>
      </c>
      <c r="J174" s="42">
        <v>1270.6500000000001</v>
      </c>
      <c r="K174" s="43">
        <v>15247.82</v>
      </c>
      <c r="L174" s="32">
        <v>16518.47</v>
      </c>
      <c r="M174" s="33"/>
      <c r="N174" s="30">
        <v>15247.82</v>
      </c>
      <c r="O174" s="30">
        <v>8967.76</v>
      </c>
      <c r="P174" s="30"/>
      <c r="Q174" s="30">
        <f>(N174+O174*0.18+J174)+(IF((P174-O174*0.18)&gt;0,(P174-O174*0.18),0))</f>
        <v>18132.666800000003</v>
      </c>
      <c r="R174" s="7"/>
      <c r="S174" s="7"/>
      <c r="T174" s="7"/>
      <c r="U174" s="7"/>
      <c r="V174" s="7"/>
      <c r="W174" s="7"/>
      <c r="X174" s="7"/>
      <c r="Y174" s="7"/>
      <c r="Z174" s="7"/>
    </row>
    <row r="175" spans="1:26" ht="9" customHeight="1" x14ac:dyDescent="0.2">
      <c r="A175" s="95"/>
      <c r="B175" s="95"/>
      <c r="C175" s="34" t="s">
        <v>37</v>
      </c>
      <c r="D175" s="35">
        <v>37</v>
      </c>
      <c r="E175" s="36">
        <v>15792005</v>
      </c>
      <c r="F175" s="36">
        <v>1572000</v>
      </c>
      <c r="G175" s="36">
        <v>0</v>
      </c>
      <c r="H175" s="36">
        <v>12159892</v>
      </c>
      <c r="I175" s="36">
        <v>0</v>
      </c>
      <c r="J175" s="37">
        <v>2460321</v>
      </c>
      <c r="K175" s="36">
        <v>29523896</v>
      </c>
      <c r="L175" s="38">
        <v>31984218</v>
      </c>
      <c r="M175" s="39"/>
      <c r="N175" s="36">
        <v>29523896</v>
      </c>
      <c r="O175" s="36">
        <v>17364005</v>
      </c>
      <c r="P175" s="36">
        <v>0</v>
      </c>
      <c r="Q175" s="36">
        <f>Q174*1936.27</f>
        <v>35109738.744836003</v>
      </c>
      <c r="R175" s="7"/>
      <c r="S175" s="7"/>
      <c r="T175" s="7"/>
      <c r="U175" s="7"/>
      <c r="V175" s="7"/>
      <c r="W175" s="7"/>
      <c r="X175" s="7"/>
      <c r="Y175" s="7"/>
      <c r="Z175" s="7"/>
    </row>
    <row r="176" spans="1:26" ht="12.75" customHeight="1" x14ac:dyDescent="0.2">
      <c r="A176" s="95"/>
      <c r="B176" s="95"/>
      <c r="C176" s="40" t="s">
        <v>36</v>
      </c>
      <c r="D176" s="41">
        <v>38</v>
      </c>
      <c r="E176" s="42">
        <v>8298.43</v>
      </c>
      <c r="F176" s="42">
        <v>824.27</v>
      </c>
      <c r="G176" s="42">
        <v>0</v>
      </c>
      <c r="H176" s="42">
        <v>6280.06</v>
      </c>
      <c r="I176" s="42">
        <v>0</v>
      </c>
      <c r="J176" s="42">
        <v>1283.56</v>
      </c>
      <c r="K176" s="43">
        <v>15402.76</v>
      </c>
      <c r="L176" s="32">
        <v>16686.32</v>
      </c>
      <c r="M176" s="33"/>
      <c r="N176" s="30">
        <v>15402.76</v>
      </c>
      <c r="O176" s="30">
        <v>9122.7000000000007</v>
      </c>
      <c r="P176" s="30"/>
      <c r="Q176" s="30">
        <f>(N176+O176*0.18+J176)+(IF((P176-O176*0.18)&gt;0,(P176-O176*0.18),0))</f>
        <v>18328.406000000003</v>
      </c>
      <c r="R176" s="7"/>
      <c r="S176" s="7"/>
      <c r="T176" s="7"/>
      <c r="U176" s="7"/>
      <c r="V176" s="7"/>
      <c r="W176" s="7"/>
      <c r="X176" s="7"/>
      <c r="Y176" s="7"/>
      <c r="Z176" s="7"/>
    </row>
    <row r="177" spans="1:26" ht="9" customHeight="1" x14ac:dyDescent="0.2">
      <c r="A177" s="95"/>
      <c r="B177" s="95"/>
      <c r="C177" s="34" t="s">
        <v>37</v>
      </c>
      <c r="D177" s="35">
        <v>39</v>
      </c>
      <c r="E177" s="36">
        <v>16068001</v>
      </c>
      <c r="F177" s="36">
        <v>1596009</v>
      </c>
      <c r="G177" s="36">
        <v>0</v>
      </c>
      <c r="H177" s="36">
        <v>12159892</v>
      </c>
      <c r="I177" s="36">
        <v>0</v>
      </c>
      <c r="J177" s="37">
        <v>2485319</v>
      </c>
      <c r="K177" s="36">
        <v>29823902</v>
      </c>
      <c r="L177" s="38">
        <v>32309221</v>
      </c>
      <c r="M177" s="39"/>
      <c r="N177" s="36">
        <v>29823902</v>
      </c>
      <c r="O177" s="36">
        <v>17664010</v>
      </c>
      <c r="P177" s="36">
        <v>0</v>
      </c>
      <c r="Q177" s="36">
        <f>Q176*1936.27</f>
        <v>35488742.685620002</v>
      </c>
      <c r="R177" s="7"/>
      <c r="S177" s="7"/>
      <c r="T177" s="7"/>
      <c r="U177" s="7"/>
      <c r="V177" s="7"/>
      <c r="W177" s="7"/>
      <c r="X177" s="7"/>
      <c r="Y177" s="7"/>
      <c r="Z177" s="7"/>
    </row>
    <row r="178" spans="1:26" ht="9" customHeight="1" x14ac:dyDescent="0.2">
      <c r="A178" s="95"/>
      <c r="B178" s="95"/>
      <c r="C178" s="44"/>
      <c r="D178" s="45"/>
      <c r="E178" s="96"/>
      <c r="F178" s="96"/>
      <c r="G178" s="96"/>
      <c r="H178" s="96"/>
      <c r="I178" s="96"/>
      <c r="J178" s="54"/>
      <c r="K178" s="96"/>
      <c r="L178" s="96"/>
      <c r="M178" s="39"/>
      <c r="N178" s="96"/>
      <c r="O178" s="96"/>
      <c r="P178" s="96"/>
      <c r="Q178" s="96"/>
      <c r="R178" s="7"/>
      <c r="S178" s="7"/>
      <c r="T178" s="7"/>
      <c r="U178" s="7"/>
      <c r="V178" s="7"/>
      <c r="W178" s="7"/>
      <c r="X178" s="7"/>
      <c r="Y178" s="7"/>
      <c r="Z178" s="7"/>
    </row>
    <row r="179" spans="1:26" ht="9" customHeight="1" x14ac:dyDescent="0.2">
      <c r="A179" s="95"/>
      <c r="B179" s="95"/>
      <c r="C179" s="44"/>
      <c r="D179" s="45"/>
      <c r="E179" s="96"/>
      <c r="F179" s="96"/>
      <c r="G179" s="96"/>
      <c r="H179" s="96"/>
      <c r="I179" s="96"/>
      <c r="J179" s="54"/>
      <c r="K179" s="96"/>
      <c r="L179" s="96"/>
      <c r="M179" s="39"/>
      <c r="N179" s="96"/>
      <c r="O179" s="96"/>
      <c r="P179" s="96"/>
      <c r="Q179" s="96"/>
      <c r="R179" s="7"/>
      <c r="S179" s="7"/>
      <c r="T179" s="7"/>
      <c r="U179" s="7"/>
      <c r="V179" s="7"/>
      <c r="W179" s="7"/>
      <c r="X179" s="7"/>
      <c r="Y179" s="7"/>
      <c r="Z179" s="7"/>
    </row>
    <row r="180" spans="1:26" ht="12.75" customHeight="1" x14ac:dyDescent="0.2">
      <c r="A180" s="95"/>
      <c r="B180" s="95"/>
      <c r="C180" s="40" t="s">
        <v>36</v>
      </c>
      <c r="D180" s="41">
        <v>40</v>
      </c>
      <c r="E180" s="42">
        <v>8440.9699999999993</v>
      </c>
      <c r="F180" s="42">
        <v>842.86</v>
      </c>
      <c r="G180" s="42">
        <v>0</v>
      </c>
      <c r="H180" s="42">
        <v>6280.06</v>
      </c>
      <c r="I180" s="42">
        <v>0</v>
      </c>
      <c r="J180" s="42">
        <v>1296.99</v>
      </c>
      <c r="K180" s="43">
        <v>15563.89</v>
      </c>
      <c r="L180" s="32">
        <v>16860.88</v>
      </c>
      <c r="M180" s="33"/>
      <c r="N180" s="30">
        <v>15563.89</v>
      </c>
      <c r="O180" s="30">
        <v>9283.83</v>
      </c>
      <c r="P180" s="30"/>
      <c r="Q180" s="30">
        <f>(N180+O180*0.18+J180)+(IF((P180-O180*0.18)&gt;0,(P180-O180*0.18),0))</f>
        <v>18531.969400000002</v>
      </c>
      <c r="R180" s="7"/>
      <c r="S180" s="7"/>
      <c r="T180" s="7"/>
      <c r="U180" s="7"/>
      <c r="V180" s="7"/>
      <c r="W180" s="7"/>
      <c r="X180" s="7"/>
      <c r="Y180" s="7"/>
      <c r="Z180" s="7"/>
    </row>
    <row r="181" spans="1:26" ht="9" customHeight="1" x14ac:dyDescent="0.2">
      <c r="A181" s="110"/>
      <c r="B181" s="110"/>
      <c r="C181" s="47"/>
      <c r="D181" s="48"/>
      <c r="E181" s="46">
        <v>16343997</v>
      </c>
      <c r="F181" s="46">
        <v>1632005</v>
      </c>
      <c r="G181" s="46">
        <v>0</v>
      </c>
      <c r="H181" s="46">
        <v>12159892</v>
      </c>
      <c r="I181" s="46">
        <v>0</v>
      </c>
      <c r="J181" s="49">
        <v>2511323</v>
      </c>
      <c r="K181" s="46">
        <v>30135893</v>
      </c>
      <c r="L181" s="38">
        <v>32647216</v>
      </c>
      <c r="M181" s="39"/>
      <c r="N181" s="36">
        <v>30135893</v>
      </c>
      <c r="O181" s="36">
        <v>17976002</v>
      </c>
      <c r="P181" s="36">
        <v>0</v>
      </c>
      <c r="Q181" s="36">
        <f>Q180*1936.27</f>
        <v>35882896.390138</v>
      </c>
      <c r="R181" s="7"/>
      <c r="S181" s="7"/>
      <c r="T181" s="7"/>
      <c r="U181" s="7"/>
      <c r="V181" s="7"/>
      <c r="W181" s="7"/>
      <c r="X181" s="7"/>
      <c r="Y181" s="7"/>
      <c r="Z181" s="7"/>
    </row>
    <row r="182" spans="1:26" ht="12.75" customHeight="1" x14ac:dyDescent="0.2">
      <c r="A182" s="98">
        <v>33970</v>
      </c>
      <c r="B182" s="98">
        <v>34424</v>
      </c>
      <c r="C182" s="28" t="s">
        <v>36</v>
      </c>
      <c r="D182" s="29">
        <v>0</v>
      </c>
      <c r="E182" s="30">
        <v>4412.6099999999997</v>
      </c>
      <c r="F182" s="30">
        <v>440.02</v>
      </c>
      <c r="G182" s="30">
        <v>123.95</v>
      </c>
      <c r="H182" s="30">
        <v>6280.06</v>
      </c>
      <c r="I182" s="30">
        <v>0</v>
      </c>
      <c r="J182" s="30">
        <v>938.05</v>
      </c>
      <c r="K182" s="31">
        <v>11256.64</v>
      </c>
      <c r="L182" s="32">
        <v>12194.69</v>
      </c>
      <c r="M182" s="33"/>
      <c r="N182" s="30">
        <v>11256.64</v>
      </c>
      <c r="O182" s="30">
        <v>4976.58</v>
      </c>
      <c r="P182" s="30"/>
      <c r="Q182" s="30">
        <f>(N182+O182*0.18+J182)+(IF((P182-O182*0.18)&gt;0,(P182-O182*0.18),0))</f>
        <v>13090.474399999999</v>
      </c>
      <c r="R182" s="7"/>
      <c r="S182" s="7"/>
      <c r="T182" s="7"/>
      <c r="U182" s="7"/>
      <c r="V182" s="7"/>
      <c r="W182" s="7"/>
      <c r="X182" s="7"/>
      <c r="Y182" s="7"/>
      <c r="Z182" s="7"/>
    </row>
    <row r="183" spans="1:26" ht="9" customHeight="1" x14ac:dyDescent="0.2">
      <c r="A183" s="95"/>
      <c r="B183" s="95"/>
      <c r="C183" s="34" t="s">
        <v>37</v>
      </c>
      <c r="D183" s="35">
        <v>1</v>
      </c>
      <c r="E183" s="36">
        <v>8544004</v>
      </c>
      <c r="F183" s="36">
        <v>851998</v>
      </c>
      <c r="G183" s="36">
        <v>240001</v>
      </c>
      <c r="H183" s="36">
        <v>12159892</v>
      </c>
      <c r="I183" s="36">
        <v>0</v>
      </c>
      <c r="J183" s="37">
        <v>1816318</v>
      </c>
      <c r="K183" s="36">
        <v>21795894</v>
      </c>
      <c r="L183" s="38">
        <v>23612212</v>
      </c>
      <c r="M183" s="39"/>
      <c r="N183" s="36">
        <v>21795894</v>
      </c>
      <c r="O183" s="36">
        <v>9636003</v>
      </c>
      <c r="P183" s="36">
        <v>0</v>
      </c>
      <c r="Q183" s="36">
        <f>Q182*1936.27</f>
        <v>25346692.866487999</v>
      </c>
      <c r="R183" s="7"/>
      <c r="S183" s="7"/>
      <c r="T183" s="7"/>
      <c r="U183" s="7"/>
      <c r="V183" s="7"/>
      <c r="W183" s="7"/>
      <c r="X183" s="7"/>
      <c r="Y183" s="7"/>
      <c r="Z183" s="7"/>
    </row>
    <row r="184" spans="1:26" ht="12.75" customHeight="1" x14ac:dyDescent="0.2">
      <c r="A184" s="155">
        <v>33970</v>
      </c>
      <c r="B184" s="155">
        <v>34424</v>
      </c>
      <c r="C184" s="40" t="s">
        <v>36</v>
      </c>
      <c r="D184" s="41">
        <v>2</v>
      </c>
      <c r="E184" s="42">
        <v>4641.91</v>
      </c>
      <c r="F184" s="42">
        <v>458.61</v>
      </c>
      <c r="G184" s="42">
        <v>123.95</v>
      </c>
      <c r="H184" s="42">
        <v>6280.06</v>
      </c>
      <c r="I184" s="42">
        <v>0</v>
      </c>
      <c r="J184" s="42">
        <v>958.71</v>
      </c>
      <c r="K184" s="43">
        <v>11504.53</v>
      </c>
      <c r="L184" s="32">
        <v>12463.24</v>
      </c>
      <c r="M184" s="33"/>
      <c r="N184" s="30">
        <v>11504.53</v>
      </c>
      <c r="O184" s="30">
        <v>5224.47</v>
      </c>
      <c r="P184" s="30"/>
      <c r="Q184" s="30">
        <f>(N184+O184*0.18+J184)+(IF((P184-O184*0.18)&gt;0,(P184-O184*0.18),0))</f>
        <v>13403.6446</v>
      </c>
      <c r="R184" s="7"/>
      <c r="S184" s="7"/>
      <c r="T184" s="7"/>
      <c r="U184" s="7"/>
      <c r="V184" s="7"/>
      <c r="W184" s="7"/>
      <c r="X184" s="7"/>
      <c r="Y184" s="7"/>
      <c r="Z184" s="7"/>
    </row>
    <row r="185" spans="1:26" ht="9" customHeight="1" x14ac:dyDescent="0.2">
      <c r="A185" s="95"/>
      <c r="B185" s="95"/>
      <c r="C185" s="34" t="s">
        <v>37</v>
      </c>
      <c r="D185" s="35">
        <v>3</v>
      </c>
      <c r="E185" s="36">
        <v>8987991</v>
      </c>
      <c r="F185" s="36">
        <v>887993</v>
      </c>
      <c r="G185" s="36">
        <v>240001</v>
      </c>
      <c r="H185" s="36">
        <v>12159892</v>
      </c>
      <c r="I185" s="36">
        <v>0</v>
      </c>
      <c r="J185" s="37">
        <v>1856321</v>
      </c>
      <c r="K185" s="36">
        <v>22275876</v>
      </c>
      <c r="L185" s="38">
        <v>24132198</v>
      </c>
      <c r="M185" s="39"/>
      <c r="N185" s="36">
        <v>22275876</v>
      </c>
      <c r="O185" s="36">
        <v>10115985</v>
      </c>
      <c r="P185" s="36">
        <v>0</v>
      </c>
      <c r="Q185" s="36">
        <f>Q184*1936.27</f>
        <v>25953074.929641999</v>
      </c>
      <c r="R185" s="7"/>
      <c r="S185" s="7"/>
      <c r="T185" s="7"/>
      <c r="U185" s="7"/>
      <c r="V185" s="7"/>
      <c r="W185" s="7"/>
      <c r="X185" s="7"/>
      <c r="Y185" s="7"/>
      <c r="Z185" s="7"/>
    </row>
    <row r="186" spans="1:26" ht="12.75" customHeight="1" x14ac:dyDescent="0.2">
      <c r="A186" s="95"/>
      <c r="B186" s="95"/>
      <c r="C186" s="40" t="s">
        <v>36</v>
      </c>
      <c r="D186" s="41">
        <v>4</v>
      </c>
      <c r="E186" s="42">
        <v>4871.22</v>
      </c>
      <c r="F186" s="42">
        <v>483.4</v>
      </c>
      <c r="G186" s="42">
        <v>123.95</v>
      </c>
      <c r="H186" s="42">
        <v>6280.06</v>
      </c>
      <c r="I186" s="42">
        <v>0</v>
      </c>
      <c r="J186" s="42">
        <v>979.89</v>
      </c>
      <c r="K186" s="43">
        <v>11758.63</v>
      </c>
      <c r="L186" s="32">
        <v>12738.52</v>
      </c>
      <c r="M186" s="33"/>
      <c r="N186" s="30">
        <v>11758.63</v>
      </c>
      <c r="O186" s="30">
        <v>5478.57</v>
      </c>
      <c r="P186" s="30"/>
      <c r="Q186" s="30">
        <f>(N186+O186*0.18+J186)+(IF((P186-O186*0.18)&gt;0,(P186-O186*0.18),0))</f>
        <v>13724.662599999998</v>
      </c>
      <c r="R186" s="7"/>
      <c r="S186" s="7"/>
      <c r="T186" s="7"/>
      <c r="U186" s="7"/>
      <c r="V186" s="7"/>
      <c r="W186" s="7"/>
      <c r="X186" s="7"/>
      <c r="Y186" s="7"/>
      <c r="Z186" s="7"/>
    </row>
    <row r="187" spans="1:26" ht="9" customHeight="1" x14ac:dyDescent="0.2">
      <c r="A187" s="95"/>
      <c r="B187" s="95"/>
      <c r="C187" s="34" t="s">
        <v>37</v>
      </c>
      <c r="D187" s="35">
        <v>5</v>
      </c>
      <c r="E187" s="36">
        <v>9431997</v>
      </c>
      <c r="F187" s="36">
        <v>935993</v>
      </c>
      <c r="G187" s="36">
        <v>240001</v>
      </c>
      <c r="H187" s="36">
        <v>12159892</v>
      </c>
      <c r="I187" s="36">
        <v>0</v>
      </c>
      <c r="J187" s="37">
        <v>1897332</v>
      </c>
      <c r="K187" s="36">
        <v>22767883</v>
      </c>
      <c r="L187" s="38">
        <v>24665214</v>
      </c>
      <c r="M187" s="39"/>
      <c r="N187" s="36">
        <v>22767883</v>
      </c>
      <c r="O187" s="36">
        <v>10607991</v>
      </c>
      <c r="P187" s="36">
        <v>0</v>
      </c>
      <c r="Q187" s="36">
        <f>Q186*1936.27</f>
        <v>26574652.452501997</v>
      </c>
      <c r="R187" s="7"/>
      <c r="S187" s="7"/>
      <c r="T187" s="7"/>
      <c r="U187" s="7"/>
      <c r="V187" s="7"/>
      <c r="W187" s="7"/>
      <c r="X187" s="7"/>
      <c r="Y187" s="7"/>
      <c r="Z187" s="7"/>
    </row>
    <row r="188" spans="1:26" ht="12.75" customHeight="1" x14ac:dyDescent="0.2">
      <c r="A188" s="95"/>
      <c r="B188" s="95"/>
      <c r="C188" s="40" t="s">
        <v>36</v>
      </c>
      <c r="D188" s="41">
        <v>6</v>
      </c>
      <c r="E188" s="42">
        <v>5199.6899999999996</v>
      </c>
      <c r="F188" s="42">
        <v>514.39</v>
      </c>
      <c r="G188" s="42">
        <v>123.95</v>
      </c>
      <c r="H188" s="42">
        <v>6280.06</v>
      </c>
      <c r="I188" s="42">
        <v>0</v>
      </c>
      <c r="J188" s="42">
        <v>1009.84</v>
      </c>
      <c r="K188" s="43">
        <v>12118.09</v>
      </c>
      <c r="L188" s="32">
        <v>13127.93</v>
      </c>
      <c r="M188" s="33"/>
      <c r="N188" s="30">
        <v>12118.09</v>
      </c>
      <c r="O188" s="30">
        <v>5838.03</v>
      </c>
      <c r="P188" s="30"/>
      <c r="Q188" s="30">
        <f>(N188+O188*0.18+J188)+(IF((P188-O188*0.18)&gt;0,(P188-O188*0.18),0))</f>
        <v>14178.7754</v>
      </c>
      <c r="R188" s="7"/>
      <c r="S188" s="7"/>
      <c r="T188" s="7"/>
      <c r="U188" s="7"/>
      <c r="V188" s="7"/>
      <c r="W188" s="7"/>
      <c r="X188" s="7"/>
      <c r="Y188" s="7"/>
      <c r="Z188" s="7"/>
    </row>
    <row r="189" spans="1:26" ht="9" customHeight="1" x14ac:dyDescent="0.2">
      <c r="A189" s="95"/>
      <c r="B189" s="95"/>
      <c r="C189" s="34" t="s">
        <v>37</v>
      </c>
      <c r="D189" s="35">
        <v>7</v>
      </c>
      <c r="E189" s="36">
        <v>10068004</v>
      </c>
      <c r="F189" s="36">
        <v>995998</v>
      </c>
      <c r="G189" s="36">
        <v>240001</v>
      </c>
      <c r="H189" s="36">
        <v>12159892</v>
      </c>
      <c r="I189" s="36">
        <v>0</v>
      </c>
      <c r="J189" s="37">
        <v>1955323</v>
      </c>
      <c r="K189" s="36">
        <v>23463894</v>
      </c>
      <c r="L189" s="38">
        <v>25419217</v>
      </c>
      <c r="M189" s="39"/>
      <c r="N189" s="36">
        <v>23463894</v>
      </c>
      <c r="O189" s="36">
        <v>11304002</v>
      </c>
      <c r="P189" s="36">
        <v>0</v>
      </c>
      <c r="Q189" s="36">
        <f>Q188*1936.27</f>
        <v>27453937.443758</v>
      </c>
      <c r="R189" s="7"/>
      <c r="S189" s="7"/>
      <c r="T189" s="7"/>
      <c r="U189" s="7"/>
      <c r="V189" s="7"/>
      <c r="W189" s="7"/>
      <c r="X189" s="7"/>
      <c r="Y189" s="7"/>
      <c r="Z189" s="7"/>
    </row>
    <row r="190" spans="1:26" ht="12.75" customHeight="1" x14ac:dyDescent="0.2">
      <c r="A190" s="95"/>
      <c r="B190" s="95"/>
      <c r="C190" s="40" t="s">
        <v>36</v>
      </c>
      <c r="D190" s="41">
        <v>8</v>
      </c>
      <c r="E190" s="42">
        <v>5466.18</v>
      </c>
      <c r="F190" s="42">
        <v>545.38</v>
      </c>
      <c r="G190" s="42">
        <v>123.95</v>
      </c>
      <c r="H190" s="42">
        <v>6280.06</v>
      </c>
      <c r="I190" s="42">
        <v>0</v>
      </c>
      <c r="J190" s="42">
        <v>1034.6300000000001</v>
      </c>
      <c r="K190" s="43">
        <v>12415.57</v>
      </c>
      <c r="L190" s="32">
        <v>13450.2</v>
      </c>
      <c r="M190" s="33"/>
      <c r="N190" s="30">
        <v>12415.57</v>
      </c>
      <c r="O190" s="30">
        <v>6135.51</v>
      </c>
      <c r="P190" s="30"/>
      <c r="Q190" s="30">
        <f>(N190+O190*0.18+J190)+(IF((P190-O190*0.18)&gt;0,(P190-O190*0.18),0))</f>
        <v>14554.591799999998</v>
      </c>
      <c r="R190" s="7"/>
      <c r="S190" s="7"/>
      <c r="T190" s="7"/>
      <c r="U190" s="7"/>
      <c r="V190" s="7"/>
      <c r="W190" s="7"/>
      <c r="X190" s="7"/>
      <c r="Y190" s="7"/>
      <c r="Z190" s="7"/>
    </row>
    <row r="191" spans="1:26" ht="9" customHeight="1" x14ac:dyDescent="0.2">
      <c r="A191" s="95"/>
      <c r="B191" s="95"/>
      <c r="C191" s="34" t="s">
        <v>37</v>
      </c>
      <c r="D191" s="35">
        <v>9</v>
      </c>
      <c r="E191" s="36">
        <v>10584000</v>
      </c>
      <c r="F191" s="36">
        <v>1056003</v>
      </c>
      <c r="G191" s="36">
        <v>240001</v>
      </c>
      <c r="H191" s="36">
        <v>12159892</v>
      </c>
      <c r="I191" s="36">
        <v>0</v>
      </c>
      <c r="J191" s="37">
        <v>2003323</v>
      </c>
      <c r="K191" s="36">
        <v>24039896</v>
      </c>
      <c r="L191" s="38">
        <v>26043219</v>
      </c>
      <c r="M191" s="39"/>
      <c r="N191" s="36">
        <v>24039896</v>
      </c>
      <c r="O191" s="36">
        <v>11880004</v>
      </c>
      <c r="P191" s="36">
        <v>0</v>
      </c>
      <c r="Q191" s="36">
        <f>Q190*1936.27</f>
        <v>28181619.464585997</v>
      </c>
      <c r="R191" s="7"/>
      <c r="S191" s="7"/>
      <c r="T191" s="7"/>
      <c r="U191" s="7"/>
      <c r="V191" s="7"/>
      <c r="W191" s="7"/>
      <c r="X191" s="7"/>
      <c r="Y191" s="7"/>
      <c r="Z191" s="7"/>
    </row>
    <row r="192" spans="1:26" ht="12.75" customHeight="1" x14ac:dyDescent="0.2">
      <c r="A192" s="95"/>
      <c r="B192" s="95"/>
      <c r="C192" s="40" t="s">
        <v>36</v>
      </c>
      <c r="D192" s="41">
        <v>10</v>
      </c>
      <c r="E192" s="42">
        <v>5726.47</v>
      </c>
      <c r="F192" s="42">
        <v>570.16999999999996</v>
      </c>
      <c r="G192" s="42">
        <v>123.95</v>
      </c>
      <c r="H192" s="42">
        <v>6280.06</v>
      </c>
      <c r="I192" s="42">
        <v>0</v>
      </c>
      <c r="J192" s="42">
        <v>1058.3900000000001</v>
      </c>
      <c r="K192" s="43">
        <v>12700.65</v>
      </c>
      <c r="L192" s="32">
        <v>13759.04</v>
      </c>
      <c r="M192" s="33"/>
      <c r="N192" s="30">
        <v>12700.65</v>
      </c>
      <c r="O192" s="30">
        <v>6420.59</v>
      </c>
      <c r="P192" s="30"/>
      <c r="Q192" s="30">
        <f>(N192+O192*0.18+J192)+(IF((P192-O192*0.18)&gt;0,(P192-O192*0.18),0))</f>
        <v>14914.7462</v>
      </c>
      <c r="R192" s="7"/>
      <c r="S192" s="7"/>
      <c r="T192" s="7"/>
      <c r="U192" s="7"/>
      <c r="V192" s="7"/>
      <c r="W192" s="7"/>
      <c r="X192" s="7"/>
      <c r="Y192" s="7"/>
      <c r="Z192" s="7"/>
    </row>
    <row r="193" spans="1:26" ht="9" customHeight="1" x14ac:dyDescent="0.2">
      <c r="A193" s="95"/>
      <c r="B193" s="95"/>
      <c r="C193" s="34" t="s">
        <v>37</v>
      </c>
      <c r="D193" s="35">
        <v>11</v>
      </c>
      <c r="E193" s="36">
        <v>11087992</v>
      </c>
      <c r="F193" s="36">
        <v>1104003</v>
      </c>
      <c r="G193" s="36">
        <v>240001</v>
      </c>
      <c r="H193" s="36">
        <v>12159892</v>
      </c>
      <c r="I193" s="36">
        <v>0</v>
      </c>
      <c r="J193" s="37">
        <v>2049329</v>
      </c>
      <c r="K193" s="36">
        <v>24591888</v>
      </c>
      <c r="L193" s="38">
        <v>26641216</v>
      </c>
      <c r="M193" s="39"/>
      <c r="N193" s="36">
        <v>24591888</v>
      </c>
      <c r="O193" s="36">
        <v>12431996</v>
      </c>
      <c r="P193" s="36">
        <v>0</v>
      </c>
      <c r="Q193" s="36">
        <f>Q192*1936.27</f>
        <v>28878975.624674</v>
      </c>
      <c r="R193" s="7"/>
      <c r="S193" s="7"/>
      <c r="T193" s="7"/>
      <c r="U193" s="7"/>
      <c r="V193" s="7"/>
      <c r="W193" s="7"/>
      <c r="X193" s="7"/>
      <c r="Y193" s="7"/>
      <c r="Z193" s="7"/>
    </row>
    <row r="194" spans="1:26" ht="12.75" customHeight="1" x14ac:dyDescent="0.2">
      <c r="A194" s="95"/>
      <c r="B194" s="95"/>
      <c r="C194" s="40" t="s">
        <v>36</v>
      </c>
      <c r="D194" s="41">
        <v>12</v>
      </c>
      <c r="E194" s="42">
        <v>5986.77</v>
      </c>
      <c r="F194" s="42">
        <v>594.96</v>
      </c>
      <c r="G194" s="42">
        <v>123.95</v>
      </c>
      <c r="H194" s="42">
        <v>6280.06</v>
      </c>
      <c r="I194" s="42">
        <v>0</v>
      </c>
      <c r="J194" s="42">
        <v>1082.1500000000001</v>
      </c>
      <c r="K194" s="43">
        <v>12985.74</v>
      </c>
      <c r="L194" s="32">
        <v>14067.89</v>
      </c>
      <c r="M194" s="33"/>
      <c r="N194" s="30">
        <v>12985.74</v>
      </c>
      <c r="O194" s="30">
        <v>6705.68</v>
      </c>
      <c r="P194" s="30"/>
      <c r="Q194" s="30">
        <f>(N194+O194*0.18+J194)+(IF((P194-O194*0.18)&gt;0,(P194-O194*0.18),0))</f>
        <v>15274.912399999999</v>
      </c>
      <c r="R194" s="7"/>
      <c r="S194" s="7"/>
      <c r="T194" s="7"/>
      <c r="U194" s="7"/>
      <c r="V194" s="7"/>
      <c r="W194" s="7"/>
      <c r="X194" s="7"/>
      <c r="Y194" s="7"/>
      <c r="Z194" s="7"/>
    </row>
    <row r="195" spans="1:26" ht="9" customHeight="1" x14ac:dyDescent="0.2">
      <c r="A195" s="95"/>
      <c r="B195" s="95"/>
      <c r="C195" s="34" t="s">
        <v>37</v>
      </c>
      <c r="D195" s="35">
        <v>13</v>
      </c>
      <c r="E195" s="36">
        <v>11592003</v>
      </c>
      <c r="F195" s="36">
        <v>1152003</v>
      </c>
      <c r="G195" s="36">
        <v>240001</v>
      </c>
      <c r="H195" s="36">
        <v>12159892</v>
      </c>
      <c r="I195" s="36">
        <v>0</v>
      </c>
      <c r="J195" s="37">
        <v>2095335</v>
      </c>
      <c r="K195" s="36">
        <v>25143899</v>
      </c>
      <c r="L195" s="38">
        <v>27239233</v>
      </c>
      <c r="M195" s="39"/>
      <c r="N195" s="36">
        <v>25143899</v>
      </c>
      <c r="O195" s="36">
        <v>12984007</v>
      </c>
      <c r="P195" s="36">
        <v>0</v>
      </c>
      <c r="Q195" s="36">
        <f>Q194*1936.27</f>
        <v>29576354.632747997</v>
      </c>
      <c r="R195" s="7"/>
      <c r="S195" s="7"/>
      <c r="T195" s="7"/>
      <c r="U195" s="7"/>
      <c r="V195" s="7"/>
      <c r="W195" s="7"/>
      <c r="X195" s="7"/>
      <c r="Y195" s="7"/>
      <c r="Z195" s="7"/>
    </row>
    <row r="196" spans="1:26" ht="12.75" customHeight="1" x14ac:dyDescent="0.2">
      <c r="A196" s="95"/>
      <c r="B196" s="95"/>
      <c r="C196" s="40" t="s">
        <v>36</v>
      </c>
      <c r="D196" s="41">
        <v>14</v>
      </c>
      <c r="E196" s="42">
        <v>6247.06</v>
      </c>
      <c r="F196" s="42">
        <v>619.75</v>
      </c>
      <c r="G196" s="42">
        <v>123.95</v>
      </c>
      <c r="H196" s="42">
        <v>6280.06</v>
      </c>
      <c r="I196" s="42">
        <v>0</v>
      </c>
      <c r="J196" s="42">
        <v>1105.9000000000001</v>
      </c>
      <c r="K196" s="43">
        <v>13270.82</v>
      </c>
      <c r="L196" s="32">
        <v>14376.72</v>
      </c>
      <c r="M196" s="33"/>
      <c r="N196" s="30">
        <v>13270.82</v>
      </c>
      <c r="O196" s="30">
        <v>6990.76</v>
      </c>
      <c r="P196" s="30"/>
      <c r="Q196" s="30">
        <f>(N196+O196*0.18+J196)+(IF((P196-O196*0.18)&gt;0,(P196-O196*0.18),0))</f>
        <v>15635.0568</v>
      </c>
      <c r="R196" s="7"/>
      <c r="S196" s="7"/>
      <c r="T196" s="7"/>
      <c r="U196" s="7"/>
      <c r="V196" s="7"/>
      <c r="W196" s="7"/>
      <c r="X196" s="7"/>
      <c r="Y196" s="7"/>
      <c r="Z196" s="7"/>
    </row>
    <row r="197" spans="1:26" ht="9" customHeight="1" x14ac:dyDescent="0.2">
      <c r="A197" s="95"/>
      <c r="B197" s="95"/>
      <c r="C197" s="34" t="s">
        <v>37</v>
      </c>
      <c r="D197" s="35">
        <v>15</v>
      </c>
      <c r="E197" s="36">
        <v>12095995</v>
      </c>
      <c r="F197" s="36">
        <v>1200003</v>
      </c>
      <c r="G197" s="36">
        <v>240001</v>
      </c>
      <c r="H197" s="36">
        <v>12159892</v>
      </c>
      <c r="I197" s="36">
        <v>0</v>
      </c>
      <c r="J197" s="37">
        <v>2141321</v>
      </c>
      <c r="K197" s="36">
        <v>25695891</v>
      </c>
      <c r="L197" s="38">
        <v>27837212</v>
      </c>
      <c r="M197" s="39"/>
      <c r="N197" s="36">
        <v>25695891</v>
      </c>
      <c r="O197" s="36">
        <v>13535999</v>
      </c>
      <c r="P197" s="36">
        <v>0</v>
      </c>
      <c r="Q197" s="36">
        <f>Q196*1936.27</f>
        <v>30273691.430135999</v>
      </c>
      <c r="R197" s="7"/>
      <c r="S197" s="7"/>
      <c r="T197" s="7"/>
      <c r="U197" s="7"/>
      <c r="V197" s="7"/>
      <c r="W197" s="7"/>
      <c r="X197" s="7"/>
      <c r="Y197" s="7"/>
      <c r="Z197" s="7"/>
    </row>
    <row r="198" spans="1:26" ht="12.75" customHeight="1" x14ac:dyDescent="0.2">
      <c r="A198" s="95"/>
      <c r="B198" s="95"/>
      <c r="C198" s="40" t="s">
        <v>36</v>
      </c>
      <c r="D198" s="41">
        <v>16</v>
      </c>
      <c r="E198" s="42">
        <v>6507.36</v>
      </c>
      <c r="F198" s="42">
        <v>650.74</v>
      </c>
      <c r="G198" s="42">
        <v>123.95</v>
      </c>
      <c r="H198" s="42">
        <v>6280.06</v>
      </c>
      <c r="I198" s="42">
        <v>0</v>
      </c>
      <c r="J198" s="42">
        <v>1130.18</v>
      </c>
      <c r="K198" s="43">
        <v>13562.11</v>
      </c>
      <c r="L198" s="32">
        <v>14692.29</v>
      </c>
      <c r="M198" s="33"/>
      <c r="N198" s="30">
        <v>13562.11</v>
      </c>
      <c r="O198" s="30">
        <v>7282.05</v>
      </c>
      <c r="P198" s="30"/>
      <c r="Q198" s="30">
        <f>(N198+O198*0.18+J198)+(IF((P198-O198*0.18)&gt;0,(P198-O198*0.18),0))</f>
        <v>16003.059000000001</v>
      </c>
      <c r="R198" s="7"/>
      <c r="S198" s="7"/>
      <c r="T198" s="7"/>
      <c r="U198" s="7"/>
      <c r="V198" s="7"/>
      <c r="W198" s="7"/>
      <c r="X198" s="7"/>
      <c r="Y198" s="7"/>
      <c r="Z198" s="7"/>
    </row>
    <row r="199" spans="1:26" ht="9" customHeight="1" x14ac:dyDescent="0.2">
      <c r="A199" s="95"/>
      <c r="B199" s="95"/>
      <c r="C199" s="34" t="s">
        <v>37</v>
      </c>
      <c r="D199" s="35">
        <v>17</v>
      </c>
      <c r="E199" s="36">
        <v>12600006</v>
      </c>
      <c r="F199" s="36">
        <v>1260008</v>
      </c>
      <c r="G199" s="36">
        <v>240001</v>
      </c>
      <c r="H199" s="36">
        <v>12159892</v>
      </c>
      <c r="I199" s="36">
        <v>0</v>
      </c>
      <c r="J199" s="37">
        <v>2188334</v>
      </c>
      <c r="K199" s="36">
        <v>26259907</v>
      </c>
      <c r="L199" s="38">
        <v>28448240</v>
      </c>
      <c r="M199" s="39"/>
      <c r="N199" s="36">
        <v>26259907</v>
      </c>
      <c r="O199" s="36">
        <v>14100015</v>
      </c>
      <c r="P199" s="36">
        <v>0</v>
      </c>
      <c r="Q199" s="36">
        <f>Q198*1936.27</f>
        <v>30986243.049930003</v>
      </c>
      <c r="R199" s="7"/>
      <c r="S199" s="7"/>
      <c r="T199" s="7"/>
      <c r="U199" s="7"/>
      <c r="V199" s="7"/>
      <c r="W199" s="7"/>
      <c r="X199" s="7"/>
      <c r="Y199" s="7"/>
      <c r="Z199" s="7"/>
    </row>
    <row r="200" spans="1:26" ht="12.75" customHeight="1" x14ac:dyDescent="0.2">
      <c r="A200" s="95"/>
      <c r="B200" s="95"/>
      <c r="C200" s="40" t="s">
        <v>36</v>
      </c>
      <c r="D200" s="41">
        <v>18</v>
      </c>
      <c r="E200" s="42">
        <v>6767.65</v>
      </c>
      <c r="F200" s="42">
        <v>675.53</v>
      </c>
      <c r="G200" s="42">
        <v>123.95</v>
      </c>
      <c r="H200" s="42">
        <v>6280.06</v>
      </c>
      <c r="I200" s="42">
        <v>0</v>
      </c>
      <c r="J200" s="42">
        <v>1153.93</v>
      </c>
      <c r="K200" s="43">
        <v>13847.19</v>
      </c>
      <c r="L200" s="32">
        <v>15001.12</v>
      </c>
      <c r="M200" s="33"/>
      <c r="N200" s="30">
        <v>13847.19</v>
      </c>
      <c r="O200" s="30">
        <v>7567.13</v>
      </c>
      <c r="P200" s="30"/>
      <c r="Q200" s="30">
        <f>(N200+O200*0.18+J200)+(IF((P200-O200*0.18)&gt;0,(P200-O200*0.18),0))</f>
        <v>16363.2034</v>
      </c>
      <c r="R200" s="7"/>
      <c r="S200" s="7"/>
      <c r="T200" s="7"/>
      <c r="U200" s="7"/>
      <c r="V200" s="7"/>
      <c r="W200" s="7"/>
      <c r="X200" s="7"/>
      <c r="Y200" s="7"/>
      <c r="Z200" s="7"/>
    </row>
    <row r="201" spans="1:26" ht="9" customHeight="1" x14ac:dyDescent="0.2">
      <c r="A201" s="95"/>
      <c r="B201" s="95"/>
      <c r="C201" s="34" t="s">
        <v>37</v>
      </c>
      <c r="D201" s="35">
        <v>19</v>
      </c>
      <c r="E201" s="36">
        <v>13103998</v>
      </c>
      <c r="F201" s="36">
        <v>1308008</v>
      </c>
      <c r="G201" s="36">
        <v>240001</v>
      </c>
      <c r="H201" s="36">
        <v>12159892</v>
      </c>
      <c r="I201" s="36">
        <v>0</v>
      </c>
      <c r="J201" s="37">
        <v>2234320</v>
      </c>
      <c r="K201" s="36">
        <v>26811899</v>
      </c>
      <c r="L201" s="38">
        <v>29046219</v>
      </c>
      <c r="M201" s="39"/>
      <c r="N201" s="36">
        <v>26811899</v>
      </c>
      <c r="O201" s="36">
        <v>14652007</v>
      </c>
      <c r="P201" s="36">
        <v>0</v>
      </c>
      <c r="Q201" s="36">
        <f>Q200*1936.27</f>
        <v>31683579.847318001</v>
      </c>
      <c r="R201" s="7"/>
      <c r="S201" s="7"/>
      <c r="T201" s="7"/>
      <c r="U201" s="7"/>
      <c r="V201" s="7"/>
      <c r="W201" s="7"/>
      <c r="X201" s="7"/>
      <c r="Y201" s="7"/>
      <c r="Z201" s="7"/>
    </row>
    <row r="202" spans="1:26" ht="12.75" customHeight="1" x14ac:dyDescent="0.2">
      <c r="A202" s="95"/>
      <c r="B202" s="95"/>
      <c r="C202" s="40" t="s">
        <v>36</v>
      </c>
      <c r="D202" s="41">
        <v>20</v>
      </c>
      <c r="E202" s="42">
        <v>7027.95</v>
      </c>
      <c r="F202" s="42">
        <v>700.32</v>
      </c>
      <c r="G202" s="42">
        <v>123.95</v>
      </c>
      <c r="H202" s="42">
        <v>6280.06</v>
      </c>
      <c r="I202" s="42">
        <v>0</v>
      </c>
      <c r="J202" s="42">
        <v>1177.69</v>
      </c>
      <c r="K202" s="43">
        <v>14132.28</v>
      </c>
      <c r="L202" s="32">
        <v>15309.97</v>
      </c>
      <c r="M202" s="33"/>
      <c r="N202" s="30">
        <v>14132.28</v>
      </c>
      <c r="O202" s="30">
        <v>7852.22</v>
      </c>
      <c r="P202" s="30"/>
      <c r="Q202" s="30">
        <f>(N202+O202*0.18+J202)+(IF((P202-O202*0.18)&gt;0,(P202-O202*0.18),0))</f>
        <v>16723.369600000002</v>
      </c>
      <c r="R202" s="7"/>
      <c r="S202" s="7"/>
      <c r="T202" s="7"/>
      <c r="U202" s="7"/>
      <c r="V202" s="7"/>
      <c r="W202" s="7"/>
      <c r="X202" s="7"/>
      <c r="Y202" s="7"/>
      <c r="Z202" s="7"/>
    </row>
    <row r="203" spans="1:26" ht="9" customHeight="1" x14ac:dyDescent="0.2">
      <c r="A203" s="95"/>
      <c r="B203" s="95"/>
      <c r="C203" s="34" t="s">
        <v>37</v>
      </c>
      <c r="D203" s="35">
        <v>21</v>
      </c>
      <c r="E203" s="36">
        <v>13608009</v>
      </c>
      <c r="F203" s="36">
        <v>1356009</v>
      </c>
      <c r="G203" s="36">
        <v>240001</v>
      </c>
      <c r="H203" s="36">
        <v>12159892</v>
      </c>
      <c r="I203" s="36">
        <v>0</v>
      </c>
      <c r="J203" s="37">
        <v>2280326</v>
      </c>
      <c r="K203" s="36">
        <v>27363910</v>
      </c>
      <c r="L203" s="38">
        <v>29644236</v>
      </c>
      <c r="M203" s="39"/>
      <c r="N203" s="36">
        <v>27363910</v>
      </c>
      <c r="O203" s="36">
        <v>15204018</v>
      </c>
      <c r="P203" s="36">
        <v>0</v>
      </c>
      <c r="Q203" s="36">
        <f>Q202*1936.27</f>
        <v>32380958.855392002</v>
      </c>
      <c r="R203" s="7"/>
      <c r="S203" s="7"/>
      <c r="T203" s="7"/>
      <c r="U203" s="7"/>
      <c r="V203" s="7"/>
      <c r="W203" s="7"/>
      <c r="X203" s="7"/>
      <c r="Y203" s="7"/>
      <c r="Z203" s="7"/>
    </row>
    <row r="204" spans="1:26" ht="12.75" customHeight="1" x14ac:dyDescent="0.2">
      <c r="A204" s="95"/>
      <c r="B204" s="95"/>
      <c r="C204" s="40" t="s">
        <v>36</v>
      </c>
      <c r="D204" s="41">
        <v>22</v>
      </c>
      <c r="E204" s="42">
        <v>7170.49</v>
      </c>
      <c r="F204" s="42">
        <v>712.71</v>
      </c>
      <c r="G204" s="42">
        <v>123.95</v>
      </c>
      <c r="H204" s="42">
        <v>6280.06</v>
      </c>
      <c r="I204" s="42">
        <v>0</v>
      </c>
      <c r="J204" s="42">
        <v>1190.5999999999999</v>
      </c>
      <c r="K204" s="43">
        <v>14287.21</v>
      </c>
      <c r="L204" s="32">
        <v>15477.81</v>
      </c>
      <c r="M204" s="33"/>
      <c r="N204" s="30">
        <v>14287.21</v>
      </c>
      <c r="O204" s="30">
        <v>8007.15</v>
      </c>
      <c r="P204" s="30"/>
      <c r="Q204" s="30">
        <f>(N204+O204*0.18+J204)+(IF((P204-O204*0.18)&gt;0,(P204-O204*0.18),0))</f>
        <v>16919.096999999998</v>
      </c>
      <c r="R204" s="7"/>
      <c r="S204" s="7"/>
      <c r="T204" s="7"/>
      <c r="U204" s="7"/>
      <c r="V204" s="7"/>
      <c r="W204" s="7"/>
      <c r="X204" s="7"/>
      <c r="Y204" s="7"/>
      <c r="Z204" s="7"/>
    </row>
    <row r="205" spans="1:26" ht="9" customHeight="1" x14ac:dyDescent="0.2">
      <c r="A205" s="95"/>
      <c r="B205" s="95"/>
      <c r="C205" s="34" t="s">
        <v>37</v>
      </c>
      <c r="D205" s="35">
        <v>23</v>
      </c>
      <c r="E205" s="36">
        <v>13884005</v>
      </c>
      <c r="F205" s="36">
        <v>1379999</v>
      </c>
      <c r="G205" s="36">
        <v>240001</v>
      </c>
      <c r="H205" s="36">
        <v>12159892</v>
      </c>
      <c r="I205" s="36">
        <v>0</v>
      </c>
      <c r="J205" s="37">
        <v>2305323</v>
      </c>
      <c r="K205" s="36">
        <v>27663896</v>
      </c>
      <c r="L205" s="38">
        <v>29969219</v>
      </c>
      <c r="M205" s="39"/>
      <c r="N205" s="36">
        <v>27663896</v>
      </c>
      <c r="O205" s="36">
        <v>15504004</v>
      </c>
      <c r="P205" s="36">
        <v>0</v>
      </c>
      <c r="Q205" s="36">
        <f>Q204*1936.27</f>
        <v>32759939.948189996</v>
      </c>
      <c r="R205" s="7"/>
      <c r="S205" s="7"/>
      <c r="T205" s="7"/>
      <c r="U205" s="7"/>
      <c r="V205" s="7"/>
      <c r="W205" s="7"/>
      <c r="X205" s="7"/>
      <c r="Y205" s="7"/>
      <c r="Z205" s="7"/>
    </row>
    <row r="206" spans="1:26" ht="12.75" customHeight="1" x14ac:dyDescent="0.2">
      <c r="A206" s="95"/>
      <c r="B206" s="95"/>
      <c r="C206" s="40" t="s">
        <v>36</v>
      </c>
      <c r="D206" s="41">
        <v>24</v>
      </c>
      <c r="E206" s="42">
        <v>7313.03</v>
      </c>
      <c r="F206" s="42">
        <v>731.3</v>
      </c>
      <c r="G206" s="42">
        <v>123.95</v>
      </c>
      <c r="H206" s="42">
        <v>6280.06</v>
      </c>
      <c r="I206" s="42">
        <v>0</v>
      </c>
      <c r="J206" s="42">
        <v>1204.03</v>
      </c>
      <c r="K206" s="43">
        <v>14448.34</v>
      </c>
      <c r="L206" s="32">
        <v>15652.37</v>
      </c>
      <c r="M206" s="33"/>
      <c r="N206" s="30">
        <v>14448.34</v>
      </c>
      <c r="O206" s="30">
        <v>8168.28</v>
      </c>
      <c r="P206" s="30"/>
      <c r="Q206" s="30">
        <f>(N206+O206*0.18+J206)+(IF((P206-O206*0.18)&gt;0,(P206-O206*0.18),0))</f>
        <v>17122.660400000001</v>
      </c>
      <c r="R206" s="7"/>
      <c r="S206" s="7"/>
      <c r="T206" s="7"/>
      <c r="U206" s="7"/>
      <c r="V206" s="7"/>
      <c r="W206" s="7"/>
      <c r="X206" s="7"/>
      <c r="Y206" s="7"/>
      <c r="Z206" s="7"/>
    </row>
    <row r="207" spans="1:26" ht="9" customHeight="1" x14ac:dyDescent="0.2">
      <c r="A207" s="95"/>
      <c r="B207" s="95"/>
      <c r="C207" s="34" t="s">
        <v>37</v>
      </c>
      <c r="D207" s="35">
        <v>25</v>
      </c>
      <c r="E207" s="36">
        <v>14160001</v>
      </c>
      <c r="F207" s="36">
        <v>1415994</v>
      </c>
      <c r="G207" s="36">
        <v>240001</v>
      </c>
      <c r="H207" s="36">
        <v>12159892</v>
      </c>
      <c r="I207" s="36">
        <v>0</v>
      </c>
      <c r="J207" s="37">
        <v>2331327</v>
      </c>
      <c r="K207" s="36">
        <v>27975887</v>
      </c>
      <c r="L207" s="38">
        <v>30307214</v>
      </c>
      <c r="M207" s="39"/>
      <c r="N207" s="36">
        <v>27975887</v>
      </c>
      <c r="O207" s="36">
        <v>15815996</v>
      </c>
      <c r="P207" s="36">
        <v>0</v>
      </c>
      <c r="Q207" s="36">
        <f>Q206*1936.27</f>
        <v>33154093.652708001</v>
      </c>
      <c r="R207" s="7"/>
      <c r="S207" s="7"/>
      <c r="T207" s="7"/>
      <c r="U207" s="7"/>
      <c r="V207" s="7"/>
      <c r="W207" s="7"/>
      <c r="X207" s="7"/>
      <c r="Y207" s="7"/>
      <c r="Z207" s="7"/>
    </row>
    <row r="208" spans="1:26" ht="12.75" customHeight="1" x14ac:dyDescent="0.2">
      <c r="A208" s="95"/>
      <c r="B208" s="95"/>
      <c r="C208" s="40" t="s">
        <v>36</v>
      </c>
      <c r="D208" s="41">
        <v>26</v>
      </c>
      <c r="E208" s="42">
        <v>7455.57</v>
      </c>
      <c r="F208" s="42">
        <v>743.7</v>
      </c>
      <c r="G208" s="42">
        <v>123.95</v>
      </c>
      <c r="H208" s="42">
        <v>6280.06</v>
      </c>
      <c r="I208" s="42">
        <v>0</v>
      </c>
      <c r="J208" s="42">
        <v>1216.94</v>
      </c>
      <c r="K208" s="43">
        <v>14603.28</v>
      </c>
      <c r="L208" s="32">
        <v>15820.22</v>
      </c>
      <c r="M208" s="33"/>
      <c r="N208" s="30">
        <v>14603.28</v>
      </c>
      <c r="O208" s="30">
        <v>8323.2199999999993</v>
      </c>
      <c r="P208" s="30"/>
      <c r="Q208" s="30">
        <f>(N208+O208*0.18+J208)+(IF((P208-O208*0.18)&gt;0,(P208-O208*0.18),0))</f>
        <v>17318.399600000001</v>
      </c>
      <c r="R208" s="7"/>
      <c r="S208" s="7"/>
      <c r="T208" s="7"/>
      <c r="U208" s="7"/>
      <c r="V208" s="7"/>
      <c r="W208" s="7"/>
      <c r="X208" s="7"/>
      <c r="Y208" s="7"/>
      <c r="Z208" s="7"/>
    </row>
    <row r="209" spans="1:26" ht="9" customHeight="1" x14ac:dyDescent="0.2">
      <c r="A209" s="95"/>
      <c r="B209" s="95"/>
      <c r="C209" s="34" t="s">
        <v>37</v>
      </c>
      <c r="D209" s="35">
        <v>27</v>
      </c>
      <c r="E209" s="36">
        <v>14435997</v>
      </c>
      <c r="F209" s="36">
        <v>1440004</v>
      </c>
      <c r="G209" s="36">
        <v>240001</v>
      </c>
      <c r="H209" s="36">
        <v>12159892</v>
      </c>
      <c r="I209" s="36">
        <v>0</v>
      </c>
      <c r="J209" s="37">
        <v>2356324</v>
      </c>
      <c r="K209" s="36">
        <v>28275893</v>
      </c>
      <c r="L209" s="38">
        <v>30632217</v>
      </c>
      <c r="M209" s="39"/>
      <c r="N209" s="36">
        <v>28275893</v>
      </c>
      <c r="O209" s="36">
        <v>16116001</v>
      </c>
      <c r="P209" s="36">
        <v>0</v>
      </c>
      <c r="Q209" s="36">
        <f>Q208*1936.27</f>
        <v>33533097.593492001</v>
      </c>
      <c r="R209" s="7"/>
      <c r="S209" s="7"/>
      <c r="T209" s="7"/>
      <c r="U209" s="7"/>
      <c r="V209" s="7"/>
      <c r="W209" s="7"/>
      <c r="X209" s="7"/>
      <c r="Y209" s="7"/>
      <c r="Z209" s="7"/>
    </row>
    <row r="210" spans="1:26" ht="12.75" customHeight="1" x14ac:dyDescent="0.2">
      <c r="A210" s="95"/>
      <c r="B210" s="95"/>
      <c r="C210" s="40" t="s">
        <v>36</v>
      </c>
      <c r="D210" s="41">
        <v>28</v>
      </c>
      <c r="E210" s="42">
        <v>7591.92</v>
      </c>
      <c r="F210" s="42">
        <v>756.09</v>
      </c>
      <c r="G210" s="42">
        <v>123.95</v>
      </c>
      <c r="H210" s="42">
        <v>6280.06</v>
      </c>
      <c r="I210" s="42">
        <v>0</v>
      </c>
      <c r="J210" s="42">
        <v>1229.3399999999999</v>
      </c>
      <c r="K210" s="43">
        <v>14752.02</v>
      </c>
      <c r="L210" s="32">
        <v>15981.36</v>
      </c>
      <c r="M210" s="33"/>
      <c r="N210" s="30">
        <v>14752.02</v>
      </c>
      <c r="O210" s="30">
        <v>8471.9599999999991</v>
      </c>
      <c r="P210" s="30"/>
      <c r="Q210" s="30">
        <f>(N210+O210*0.18+J210)+(IF((P210-O210*0.18)&gt;0,(P210-O210*0.18),0))</f>
        <v>17506.3128</v>
      </c>
      <c r="R210" s="7"/>
      <c r="S210" s="7"/>
      <c r="T210" s="7"/>
      <c r="U210" s="7"/>
      <c r="V210" s="7"/>
      <c r="W210" s="7"/>
      <c r="X210" s="7"/>
      <c r="Y210" s="7"/>
      <c r="Z210" s="7"/>
    </row>
    <row r="211" spans="1:26" ht="9" customHeight="1" x14ac:dyDescent="0.2">
      <c r="A211" s="95"/>
      <c r="B211" s="95"/>
      <c r="C211" s="34" t="s">
        <v>37</v>
      </c>
      <c r="D211" s="35">
        <v>29</v>
      </c>
      <c r="E211" s="36">
        <v>14700007</v>
      </c>
      <c r="F211" s="36">
        <v>1463994</v>
      </c>
      <c r="G211" s="36">
        <v>240001</v>
      </c>
      <c r="H211" s="36">
        <v>12159892</v>
      </c>
      <c r="I211" s="36">
        <v>0</v>
      </c>
      <c r="J211" s="37">
        <v>2380334</v>
      </c>
      <c r="K211" s="36">
        <v>28563894</v>
      </c>
      <c r="L211" s="38">
        <v>30944228</v>
      </c>
      <c r="M211" s="39"/>
      <c r="N211" s="36">
        <v>28563894</v>
      </c>
      <c r="O211" s="36">
        <v>16404002</v>
      </c>
      <c r="P211" s="36">
        <v>0</v>
      </c>
      <c r="Q211" s="36">
        <f>Q210*1936.27</f>
        <v>33896948.285255998</v>
      </c>
      <c r="R211" s="7"/>
      <c r="S211" s="7"/>
      <c r="T211" s="7"/>
      <c r="U211" s="7"/>
      <c r="V211" s="7"/>
      <c r="W211" s="7"/>
      <c r="X211" s="7"/>
      <c r="Y211" s="7"/>
      <c r="Z211" s="7"/>
    </row>
    <row r="212" spans="1:26" ht="12.75" customHeight="1" x14ac:dyDescent="0.2">
      <c r="A212" s="95"/>
      <c r="B212" s="95"/>
      <c r="C212" s="40" t="s">
        <v>36</v>
      </c>
      <c r="D212" s="41">
        <v>30</v>
      </c>
      <c r="E212" s="42">
        <v>7734.46</v>
      </c>
      <c r="F212" s="42">
        <v>768.49</v>
      </c>
      <c r="G212" s="42">
        <v>123.95</v>
      </c>
      <c r="H212" s="42">
        <v>6280.06</v>
      </c>
      <c r="I212" s="42">
        <v>0</v>
      </c>
      <c r="J212" s="42">
        <v>1242.25</v>
      </c>
      <c r="K212" s="43">
        <v>14906.96</v>
      </c>
      <c r="L212" s="32">
        <v>16149.21</v>
      </c>
      <c r="M212" s="33"/>
      <c r="N212" s="30">
        <v>14906.96</v>
      </c>
      <c r="O212" s="30">
        <v>8626.9</v>
      </c>
      <c r="P212" s="30"/>
      <c r="Q212" s="30">
        <f>(N212+O212*0.18+J212)+(IF((P212-O212*0.18)&gt;0,(P212-O212*0.18),0))</f>
        <v>17702.052</v>
      </c>
      <c r="R212" s="7"/>
      <c r="S212" s="7"/>
      <c r="T212" s="7"/>
      <c r="U212" s="7"/>
      <c r="V212" s="7"/>
      <c r="W212" s="7"/>
      <c r="X212" s="7"/>
      <c r="Y212" s="7"/>
      <c r="Z212" s="7"/>
    </row>
    <row r="213" spans="1:26" ht="9" customHeight="1" x14ac:dyDescent="0.2">
      <c r="A213" s="95"/>
      <c r="B213" s="95"/>
      <c r="C213" s="34" t="s">
        <v>37</v>
      </c>
      <c r="D213" s="35">
        <v>31</v>
      </c>
      <c r="E213" s="36">
        <v>14976003</v>
      </c>
      <c r="F213" s="36">
        <v>1488004</v>
      </c>
      <c r="G213" s="36">
        <v>240001</v>
      </c>
      <c r="H213" s="36">
        <v>12159892</v>
      </c>
      <c r="I213" s="36">
        <v>0</v>
      </c>
      <c r="J213" s="37">
        <v>2405331</v>
      </c>
      <c r="K213" s="36">
        <v>28863899</v>
      </c>
      <c r="L213" s="38">
        <v>31269231</v>
      </c>
      <c r="M213" s="39"/>
      <c r="N213" s="36">
        <v>28863899</v>
      </c>
      <c r="O213" s="36">
        <v>16704008</v>
      </c>
      <c r="P213" s="36">
        <v>0</v>
      </c>
      <c r="Q213" s="36">
        <f>Q212*1936.27</f>
        <v>34275952.226039998</v>
      </c>
      <c r="R213" s="7"/>
      <c r="S213" s="7"/>
      <c r="T213" s="7"/>
      <c r="U213" s="7"/>
      <c r="V213" s="7"/>
      <c r="W213" s="7"/>
      <c r="X213" s="7"/>
      <c r="Y213" s="7"/>
      <c r="Z213" s="7"/>
    </row>
    <row r="214" spans="1:26" ht="12.75" customHeight="1" x14ac:dyDescent="0.2">
      <c r="A214" s="95"/>
      <c r="B214" s="95"/>
      <c r="C214" s="40" t="s">
        <v>36</v>
      </c>
      <c r="D214" s="41">
        <v>32</v>
      </c>
      <c r="E214" s="42">
        <v>7877</v>
      </c>
      <c r="F214" s="42">
        <v>787.08</v>
      </c>
      <c r="G214" s="42">
        <v>123.95</v>
      </c>
      <c r="H214" s="42">
        <v>6280.06</v>
      </c>
      <c r="I214" s="42">
        <v>0</v>
      </c>
      <c r="J214" s="42">
        <v>1255.67</v>
      </c>
      <c r="K214" s="43">
        <v>15068.09</v>
      </c>
      <c r="L214" s="32">
        <v>16323.76</v>
      </c>
      <c r="M214" s="33"/>
      <c r="N214" s="30">
        <v>15068.09</v>
      </c>
      <c r="O214" s="30">
        <v>8788.0300000000007</v>
      </c>
      <c r="P214" s="30"/>
      <c r="Q214" s="30">
        <f>(N214+O214*0.18+J214)+(IF((P214-O214*0.18)&gt;0,(P214-O214*0.18),0))</f>
        <v>17905.6054</v>
      </c>
      <c r="R214" s="7"/>
      <c r="S214" s="7"/>
      <c r="T214" s="7"/>
      <c r="U214" s="7"/>
      <c r="V214" s="7"/>
      <c r="W214" s="7"/>
      <c r="X214" s="7"/>
      <c r="Y214" s="7"/>
      <c r="Z214" s="7"/>
    </row>
    <row r="215" spans="1:26" ht="9" customHeight="1" x14ac:dyDescent="0.2">
      <c r="A215" s="95"/>
      <c r="B215" s="95"/>
      <c r="C215" s="34" t="s">
        <v>37</v>
      </c>
      <c r="D215" s="35">
        <v>33</v>
      </c>
      <c r="E215" s="36">
        <v>15251999</v>
      </c>
      <c r="F215" s="36">
        <v>1523999</v>
      </c>
      <c r="G215" s="36">
        <v>240001</v>
      </c>
      <c r="H215" s="36">
        <v>12159892</v>
      </c>
      <c r="I215" s="36">
        <v>0</v>
      </c>
      <c r="J215" s="37">
        <v>2431316</v>
      </c>
      <c r="K215" s="36">
        <v>29175891</v>
      </c>
      <c r="L215" s="38">
        <v>31607207</v>
      </c>
      <c r="M215" s="39"/>
      <c r="N215" s="36">
        <v>29175891</v>
      </c>
      <c r="O215" s="36">
        <v>17015999</v>
      </c>
      <c r="P215" s="36">
        <v>0</v>
      </c>
      <c r="Q215" s="36">
        <f>Q214*1936.27</f>
        <v>34670086.567858003</v>
      </c>
      <c r="R215" s="7"/>
      <c r="S215" s="7"/>
      <c r="T215" s="7"/>
      <c r="U215" s="7"/>
      <c r="V215" s="7"/>
      <c r="W215" s="7"/>
      <c r="X215" s="7"/>
      <c r="Y215" s="7"/>
      <c r="Z215" s="7"/>
    </row>
    <row r="216" spans="1:26" ht="12.75" customHeight="1" x14ac:dyDescent="0.2">
      <c r="A216" s="95"/>
      <c r="B216" s="95"/>
      <c r="C216" s="40" t="s">
        <v>36</v>
      </c>
      <c r="D216" s="41">
        <v>34</v>
      </c>
      <c r="E216" s="42">
        <v>7829.49</v>
      </c>
      <c r="F216" s="42">
        <v>799.48</v>
      </c>
      <c r="G216" s="42">
        <v>123.95</v>
      </c>
      <c r="H216" s="42">
        <v>6280.06</v>
      </c>
      <c r="I216" s="42">
        <v>0</v>
      </c>
      <c r="J216" s="42">
        <v>1252.75</v>
      </c>
      <c r="K216" s="43">
        <v>15032.98</v>
      </c>
      <c r="L216" s="32">
        <v>16285.73</v>
      </c>
      <c r="M216" s="33"/>
      <c r="N216" s="30">
        <v>15032.98</v>
      </c>
      <c r="O216" s="30">
        <v>8752.92</v>
      </c>
      <c r="P216" s="30"/>
      <c r="Q216" s="30">
        <f>(N216+O216*0.18+J216)+(IF((P216-O216*0.18)&gt;0,(P216-O216*0.18),0))</f>
        <v>17861.2556</v>
      </c>
      <c r="R216" s="7"/>
      <c r="S216" s="7"/>
      <c r="T216" s="7"/>
      <c r="U216" s="7"/>
      <c r="V216" s="7"/>
      <c r="W216" s="7"/>
      <c r="X216" s="7"/>
      <c r="Y216" s="7"/>
      <c r="Z216" s="7"/>
    </row>
    <row r="217" spans="1:26" ht="9" customHeight="1" x14ac:dyDescent="0.2">
      <c r="A217" s="95"/>
      <c r="B217" s="95"/>
      <c r="C217" s="34" t="s">
        <v>37</v>
      </c>
      <c r="D217" s="35">
        <v>35</v>
      </c>
      <c r="E217" s="36">
        <v>15160007</v>
      </c>
      <c r="F217" s="36">
        <v>1548009</v>
      </c>
      <c r="G217" s="36">
        <v>240001</v>
      </c>
      <c r="H217" s="36">
        <v>12159892</v>
      </c>
      <c r="I217" s="36">
        <v>0</v>
      </c>
      <c r="J217" s="37">
        <v>2425662</v>
      </c>
      <c r="K217" s="36">
        <v>29107908</v>
      </c>
      <c r="L217" s="38">
        <v>31533570</v>
      </c>
      <c r="M217" s="39"/>
      <c r="N217" s="36">
        <v>29107908</v>
      </c>
      <c r="O217" s="36">
        <v>16948016</v>
      </c>
      <c r="P217" s="36">
        <v>0</v>
      </c>
      <c r="Q217" s="36">
        <f>Q216*1936.27</f>
        <v>34584213.380612001</v>
      </c>
      <c r="R217" s="7"/>
      <c r="S217" s="7"/>
      <c r="T217" s="7"/>
      <c r="U217" s="7"/>
      <c r="V217" s="7"/>
      <c r="W217" s="7"/>
      <c r="X217" s="7"/>
      <c r="Y217" s="7"/>
      <c r="Z217" s="7"/>
    </row>
    <row r="218" spans="1:26" ht="12.75" customHeight="1" x14ac:dyDescent="0.2">
      <c r="A218" s="95"/>
      <c r="B218" s="95"/>
      <c r="C218" s="40" t="s">
        <v>36</v>
      </c>
      <c r="D218" s="41">
        <v>36</v>
      </c>
      <c r="E218" s="42">
        <v>8155.89</v>
      </c>
      <c r="F218" s="42">
        <v>811.87</v>
      </c>
      <c r="G218" s="42">
        <v>123.95</v>
      </c>
      <c r="H218" s="42">
        <v>6280.06</v>
      </c>
      <c r="I218" s="42">
        <v>0</v>
      </c>
      <c r="J218" s="42">
        <v>1280.98</v>
      </c>
      <c r="K218" s="43">
        <v>15371.77</v>
      </c>
      <c r="L218" s="32">
        <v>16652.75</v>
      </c>
      <c r="M218" s="33"/>
      <c r="N218" s="30">
        <v>15371.77</v>
      </c>
      <c r="O218" s="30">
        <v>9091.7099999999991</v>
      </c>
      <c r="P218" s="30"/>
      <c r="Q218" s="30">
        <f>(N218+O218*0.18+J218)+(IF((P218-O218*0.18)&gt;0,(P218-O218*0.18),0))</f>
        <v>18289.257799999999</v>
      </c>
      <c r="R218" s="7"/>
      <c r="S218" s="7"/>
      <c r="T218" s="7"/>
      <c r="U218" s="7"/>
      <c r="V218" s="7"/>
      <c r="W218" s="7"/>
      <c r="X218" s="7"/>
      <c r="Y218" s="7"/>
      <c r="Z218" s="7"/>
    </row>
    <row r="219" spans="1:26" ht="9" customHeight="1" x14ac:dyDescent="0.2">
      <c r="A219" s="95"/>
      <c r="B219" s="95"/>
      <c r="C219" s="34" t="s">
        <v>37</v>
      </c>
      <c r="D219" s="35">
        <v>37</v>
      </c>
      <c r="E219" s="36">
        <v>15792005</v>
      </c>
      <c r="F219" s="36">
        <v>1572000</v>
      </c>
      <c r="G219" s="36">
        <v>240001</v>
      </c>
      <c r="H219" s="36">
        <v>12159892</v>
      </c>
      <c r="I219" s="36">
        <v>0</v>
      </c>
      <c r="J219" s="37">
        <v>2480323</v>
      </c>
      <c r="K219" s="36">
        <v>29763897</v>
      </c>
      <c r="L219" s="38">
        <v>32244220</v>
      </c>
      <c r="M219" s="39"/>
      <c r="N219" s="36">
        <v>29763897</v>
      </c>
      <c r="O219" s="36">
        <v>17604005</v>
      </c>
      <c r="P219" s="36">
        <v>0</v>
      </c>
      <c r="Q219" s="36">
        <f>Q218*1936.27</f>
        <v>35412941.200406</v>
      </c>
      <c r="R219" s="7"/>
      <c r="S219" s="7"/>
      <c r="T219" s="7"/>
      <c r="U219" s="7"/>
      <c r="V219" s="7"/>
      <c r="W219" s="7"/>
      <c r="X219" s="7"/>
      <c r="Y219" s="7"/>
      <c r="Z219" s="7"/>
    </row>
    <row r="220" spans="1:26" ht="12.75" customHeight="1" x14ac:dyDescent="0.2">
      <c r="A220" s="95"/>
      <c r="B220" s="95"/>
      <c r="C220" s="40" t="s">
        <v>36</v>
      </c>
      <c r="D220" s="41">
        <v>38</v>
      </c>
      <c r="E220" s="42">
        <v>8298.43</v>
      </c>
      <c r="F220" s="42">
        <v>824.27</v>
      </c>
      <c r="G220" s="42">
        <v>123.95</v>
      </c>
      <c r="H220" s="42">
        <v>6280.06</v>
      </c>
      <c r="I220" s="42">
        <v>0</v>
      </c>
      <c r="J220" s="42">
        <v>1293.8900000000001</v>
      </c>
      <c r="K220" s="43">
        <v>15526.71</v>
      </c>
      <c r="L220" s="32">
        <v>16820.599999999999</v>
      </c>
      <c r="M220" s="33"/>
      <c r="N220" s="30">
        <v>15526.71</v>
      </c>
      <c r="O220" s="30">
        <v>9246.65</v>
      </c>
      <c r="P220" s="30"/>
      <c r="Q220" s="30">
        <f>(N220+O220*0.18+J220)+(IF((P220-O220*0.18)&gt;0,(P220-O220*0.18),0))</f>
        <v>18484.996999999999</v>
      </c>
      <c r="R220" s="7"/>
      <c r="S220" s="7"/>
      <c r="T220" s="7"/>
      <c r="U220" s="7"/>
      <c r="V220" s="7"/>
      <c r="W220" s="7"/>
      <c r="X220" s="7"/>
      <c r="Y220" s="7"/>
      <c r="Z220" s="7"/>
    </row>
    <row r="221" spans="1:26" ht="9" customHeight="1" x14ac:dyDescent="0.2">
      <c r="A221" s="95"/>
      <c r="B221" s="95"/>
      <c r="C221" s="34" t="s">
        <v>37</v>
      </c>
      <c r="D221" s="35">
        <v>39</v>
      </c>
      <c r="E221" s="36">
        <v>16068001</v>
      </c>
      <c r="F221" s="36">
        <v>1596009</v>
      </c>
      <c r="G221" s="36">
        <v>240001</v>
      </c>
      <c r="H221" s="36">
        <v>12159892</v>
      </c>
      <c r="I221" s="36">
        <v>0</v>
      </c>
      <c r="J221" s="37">
        <v>2505320</v>
      </c>
      <c r="K221" s="36">
        <v>30063903</v>
      </c>
      <c r="L221" s="38">
        <v>32569223</v>
      </c>
      <c r="M221" s="39"/>
      <c r="N221" s="36">
        <v>30063903</v>
      </c>
      <c r="O221" s="36">
        <v>17904011</v>
      </c>
      <c r="P221" s="36">
        <v>0</v>
      </c>
      <c r="Q221" s="36">
        <f>Q220*1936.27</f>
        <v>35791945.14119</v>
      </c>
      <c r="R221" s="7"/>
      <c r="S221" s="7"/>
      <c r="T221" s="7"/>
      <c r="U221" s="7"/>
      <c r="V221" s="7"/>
      <c r="W221" s="7"/>
      <c r="X221" s="7"/>
      <c r="Y221" s="7"/>
      <c r="Z221" s="7"/>
    </row>
    <row r="222" spans="1:26" ht="9" customHeight="1" x14ac:dyDescent="0.2">
      <c r="A222" s="95"/>
      <c r="B222" s="95"/>
      <c r="C222" s="44"/>
      <c r="D222" s="45"/>
      <c r="E222" s="96"/>
      <c r="F222" s="96"/>
      <c r="G222" s="96"/>
      <c r="H222" s="96"/>
      <c r="I222" s="96"/>
      <c r="J222" s="54"/>
      <c r="K222" s="96"/>
      <c r="L222" s="96"/>
      <c r="M222" s="39"/>
      <c r="N222" s="96"/>
      <c r="O222" s="96"/>
      <c r="P222" s="96"/>
      <c r="Q222" s="96"/>
      <c r="R222" s="7"/>
      <c r="S222" s="7"/>
      <c r="T222" s="7"/>
      <c r="U222" s="7"/>
      <c r="V222" s="7"/>
      <c r="W222" s="7"/>
      <c r="X222" s="7"/>
      <c r="Y222" s="7"/>
      <c r="Z222" s="7"/>
    </row>
    <row r="223" spans="1:26" ht="9" customHeight="1" x14ac:dyDescent="0.2">
      <c r="A223" s="95"/>
      <c r="B223" s="95"/>
      <c r="C223" s="44"/>
      <c r="D223" s="45"/>
      <c r="E223" s="96"/>
      <c r="F223" s="96"/>
      <c r="G223" s="96"/>
      <c r="H223" s="96"/>
      <c r="I223" s="96"/>
      <c r="J223" s="54"/>
      <c r="K223" s="96"/>
      <c r="L223" s="96"/>
      <c r="M223" s="39"/>
      <c r="N223" s="96"/>
      <c r="O223" s="96"/>
      <c r="P223" s="96"/>
      <c r="Q223" s="96"/>
      <c r="R223" s="7"/>
      <c r="S223" s="7"/>
      <c r="T223" s="7"/>
      <c r="U223" s="7"/>
      <c r="V223" s="7"/>
      <c r="W223" s="7"/>
      <c r="X223" s="7"/>
      <c r="Y223" s="7"/>
      <c r="Z223" s="7"/>
    </row>
    <row r="224" spans="1:26" ht="12.75" customHeight="1" x14ac:dyDescent="0.2">
      <c r="A224" s="95"/>
      <c r="B224" s="95"/>
      <c r="C224" s="40" t="s">
        <v>36</v>
      </c>
      <c r="D224" s="41">
        <v>40</v>
      </c>
      <c r="E224" s="42">
        <v>8440.9699999999993</v>
      </c>
      <c r="F224" s="42">
        <v>842.86</v>
      </c>
      <c r="G224" s="42">
        <v>123.95</v>
      </c>
      <c r="H224" s="42">
        <v>6280.06</v>
      </c>
      <c r="I224" s="42">
        <v>0</v>
      </c>
      <c r="J224" s="42">
        <v>1307.32</v>
      </c>
      <c r="K224" s="43">
        <v>15687.84</v>
      </c>
      <c r="L224" s="32">
        <v>16995.16</v>
      </c>
      <c r="M224" s="33"/>
      <c r="N224" s="30">
        <v>15687.84</v>
      </c>
      <c r="O224" s="30">
        <v>9407.7800000000007</v>
      </c>
      <c r="P224" s="30"/>
      <c r="Q224" s="30">
        <f>(N224+O224*0.18+J224)+(IF((P224-O224*0.18)&gt;0,(P224-O224*0.18),0))</f>
        <v>18688.560399999998</v>
      </c>
      <c r="R224" s="7"/>
      <c r="S224" s="7"/>
      <c r="T224" s="7"/>
      <c r="U224" s="7"/>
      <c r="V224" s="7"/>
      <c r="W224" s="7"/>
      <c r="X224" s="7"/>
      <c r="Y224" s="7"/>
      <c r="Z224" s="7"/>
    </row>
    <row r="225" spans="1:26" ht="9" customHeight="1" x14ac:dyDescent="0.2">
      <c r="A225" s="110"/>
      <c r="B225" s="110"/>
      <c r="C225" s="47"/>
      <c r="D225" s="48"/>
      <c r="E225" s="46">
        <v>16343997</v>
      </c>
      <c r="F225" s="46">
        <v>1632005</v>
      </c>
      <c r="G225" s="46">
        <v>240001</v>
      </c>
      <c r="H225" s="46">
        <v>12159892</v>
      </c>
      <c r="I225" s="46">
        <v>0</v>
      </c>
      <c r="J225" s="49">
        <v>2531324</v>
      </c>
      <c r="K225" s="46">
        <v>30375894</v>
      </c>
      <c r="L225" s="38">
        <v>32907218</v>
      </c>
      <c r="M225" s="39"/>
      <c r="N225" s="36">
        <v>30375894</v>
      </c>
      <c r="O225" s="36">
        <v>18216002</v>
      </c>
      <c r="P225" s="36">
        <v>0</v>
      </c>
      <c r="Q225" s="36">
        <f>Q224*1936.27</f>
        <v>36186098.845707998</v>
      </c>
      <c r="R225" s="7"/>
      <c r="S225" s="7"/>
      <c r="T225" s="7"/>
      <c r="U225" s="7"/>
      <c r="V225" s="7"/>
      <c r="W225" s="7"/>
      <c r="X225" s="7"/>
      <c r="Y225" s="7"/>
      <c r="Z225" s="7"/>
    </row>
    <row r="226" spans="1:26" ht="12.75" customHeight="1" x14ac:dyDescent="0.2">
      <c r="A226" s="98">
        <v>34425</v>
      </c>
      <c r="B226" s="98">
        <v>34515</v>
      </c>
      <c r="C226" s="28" t="s">
        <v>36</v>
      </c>
      <c r="D226" s="29">
        <v>0</v>
      </c>
      <c r="E226" s="30">
        <v>4412.6099999999997</v>
      </c>
      <c r="F226" s="30">
        <v>440.02</v>
      </c>
      <c r="G226" s="30">
        <v>123.95</v>
      </c>
      <c r="H226" s="30">
        <v>6280.06</v>
      </c>
      <c r="I226" s="30">
        <v>112.27</v>
      </c>
      <c r="J226" s="30">
        <v>938.05</v>
      </c>
      <c r="K226" s="31">
        <v>11368.91</v>
      </c>
      <c r="L226" s="32">
        <v>12306.96</v>
      </c>
      <c r="M226" s="33"/>
      <c r="N226" s="30">
        <v>11368.91</v>
      </c>
      <c r="O226" s="30">
        <v>5088.8500000000004</v>
      </c>
      <c r="P226" s="30"/>
      <c r="Q226" s="30">
        <f>(N226+O226*0.18+J226)+(IF((P226-O226*0.18)&gt;0,(P226-O226*0.18),0))</f>
        <v>13222.953</v>
      </c>
      <c r="R226" s="7"/>
      <c r="S226" s="7"/>
      <c r="T226" s="7"/>
      <c r="U226" s="7"/>
      <c r="V226" s="7"/>
      <c r="W226" s="7"/>
      <c r="X226" s="7"/>
      <c r="Y226" s="7"/>
      <c r="Z226" s="7"/>
    </row>
    <row r="227" spans="1:26" ht="9" customHeight="1" x14ac:dyDescent="0.2">
      <c r="A227" s="95"/>
      <c r="B227" s="95"/>
      <c r="C227" s="34" t="s">
        <v>37</v>
      </c>
      <c r="D227" s="35">
        <v>1</v>
      </c>
      <c r="E227" s="36">
        <v>8544004</v>
      </c>
      <c r="F227" s="36">
        <v>851998</v>
      </c>
      <c r="G227" s="36">
        <v>240001</v>
      </c>
      <c r="H227" s="36">
        <v>12159892</v>
      </c>
      <c r="I227" s="36">
        <v>217385</v>
      </c>
      <c r="J227" s="37">
        <v>1816318</v>
      </c>
      <c r="K227" s="36">
        <v>22013279</v>
      </c>
      <c r="L227" s="38">
        <v>23829597</v>
      </c>
      <c r="M227" s="39"/>
      <c r="N227" s="36">
        <v>22013279</v>
      </c>
      <c r="O227" s="36">
        <v>9853388</v>
      </c>
      <c r="P227" s="36">
        <v>0</v>
      </c>
      <c r="Q227" s="36">
        <f>Q226*1936.27</f>
        <v>25603207.205309998</v>
      </c>
      <c r="R227" s="7"/>
      <c r="S227" s="7"/>
      <c r="T227" s="7"/>
      <c r="U227" s="7"/>
      <c r="V227" s="7"/>
      <c r="W227" s="7"/>
      <c r="X227" s="7"/>
      <c r="Y227" s="7"/>
      <c r="Z227" s="7"/>
    </row>
    <row r="228" spans="1:26" ht="12.75" customHeight="1" x14ac:dyDescent="0.2">
      <c r="A228" s="155">
        <v>34425</v>
      </c>
      <c r="B228" s="155">
        <v>34515</v>
      </c>
      <c r="C228" s="40" t="s">
        <v>36</v>
      </c>
      <c r="D228" s="41">
        <v>2</v>
      </c>
      <c r="E228" s="42">
        <v>4641.91</v>
      </c>
      <c r="F228" s="42">
        <v>458.61</v>
      </c>
      <c r="G228" s="42">
        <v>123.95</v>
      </c>
      <c r="H228" s="42">
        <v>6280.06</v>
      </c>
      <c r="I228" s="42">
        <v>112.27</v>
      </c>
      <c r="J228" s="42">
        <v>958.71</v>
      </c>
      <c r="K228" s="43">
        <v>11616.8</v>
      </c>
      <c r="L228" s="32">
        <v>12575.51</v>
      </c>
      <c r="M228" s="33"/>
      <c r="N228" s="30">
        <v>11616.8</v>
      </c>
      <c r="O228" s="30">
        <v>5336.74</v>
      </c>
      <c r="P228" s="30"/>
      <c r="Q228" s="30">
        <f>(N228+O228*0.18+J228)+(IF((P228-O228*0.18)&gt;0,(P228-O228*0.18),0))</f>
        <v>13536.123199999998</v>
      </c>
      <c r="R228" s="7"/>
      <c r="S228" s="7"/>
      <c r="T228" s="7"/>
      <c r="U228" s="7"/>
      <c r="V228" s="7"/>
      <c r="W228" s="7"/>
      <c r="X228" s="7"/>
      <c r="Y228" s="7"/>
      <c r="Z228" s="7"/>
    </row>
    <row r="229" spans="1:26" ht="9" customHeight="1" x14ac:dyDescent="0.2">
      <c r="A229" s="95"/>
      <c r="B229" s="95"/>
      <c r="C229" s="34" t="s">
        <v>37</v>
      </c>
      <c r="D229" s="35">
        <v>3</v>
      </c>
      <c r="E229" s="36">
        <v>8987991</v>
      </c>
      <c r="F229" s="36">
        <v>887993</v>
      </c>
      <c r="G229" s="36">
        <v>240001</v>
      </c>
      <c r="H229" s="36">
        <v>12159892</v>
      </c>
      <c r="I229" s="36">
        <v>217385</v>
      </c>
      <c r="J229" s="37">
        <v>1856321</v>
      </c>
      <c r="K229" s="36">
        <v>22493261</v>
      </c>
      <c r="L229" s="38">
        <v>24349583</v>
      </c>
      <c r="M229" s="39"/>
      <c r="N229" s="36">
        <v>22493261</v>
      </c>
      <c r="O229" s="36">
        <v>10333370</v>
      </c>
      <c r="P229" s="36">
        <v>0</v>
      </c>
      <c r="Q229" s="36">
        <f>Q228*1936.27</f>
        <v>26209589.268463995</v>
      </c>
      <c r="R229" s="7"/>
      <c r="S229" s="7"/>
      <c r="T229" s="7"/>
      <c r="U229" s="7"/>
      <c r="V229" s="7"/>
      <c r="W229" s="7"/>
      <c r="X229" s="7"/>
      <c r="Y229" s="7"/>
      <c r="Z229" s="7"/>
    </row>
    <row r="230" spans="1:26" ht="12.75" customHeight="1" x14ac:dyDescent="0.2">
      <c r="A230" s="95"/>
      <c r="B230" s="95"/>
      <c r="C230" s="40" t="s">
        <v>36</v>
      </c>
      <c r="D230" s="41">
        <v>4</v>
      </c>
      <c r="E230" s="42">
        <v>4871.22</v>
      </c>
      <c r="F230" s="42">
        <v>483.4</v>
      </c>
      <c r="G230" s="42">
        <v>123.95</v>
      </c>
      <c r="H230" s="42">
        <v>6280.06</v>
      </c>
      <c r="I230" s="42">
        <v>112.27</v>
      </c>
      <c r="J230" s="42">
        <v>979.89</v>
      </c>
      <c r="K230" s="43">
        <v>11870.9</v>
      </c>
      <c r="L230" s="32">
        <v>12850.79</v>
      </c>
      <c r="M230" s="33"/>
      <c r="N230" s="30">
        <v>11870.9</v>
      </c>
      <c r="O230" s="30">
        <v>5590.84</v>
      </c>
      <c r="P230" s="30"/>
      <c r="Q230" s="30">
        <f>(N230+O230*0.18+J230)+(IF((P230-O230*0.18)&gt;0,(P230-O230*0.18),0))</f>
        <v>13857.141199999998</v>
      </c>
      <c r="R230" s="7"/>
      <c r="S230" s="7"/>
      <c r="T230" s="7"/>
      <c r="U230" s="7"/>
      <c r="V230" s="7"/>
      <c r="W230" s="7"/>
      <c r="X230" s="7"/>
      <c r="Y230" s="7"/>
      <c r="Z230" s="7"/>
    </row>
    <row r="231" spans="1:26" ht="9" customHeight="1" x14ac:dyDescent="0.2">
      <c r="A231" s="95"/>
      <c r="B231" s="95"/>
      <c r="C231" s="34" t="s">
        <v>37</v>
      </c>
      <c r="D231" s="35">
        <v>5</v>
      </c>
      <c r="E231" s="36">
        <v>9431997</v>
      </c>
      <c r="F231" s="36">
        <v>935993</v>
      </c>
      <c r="G231" s="36">
        <v>240001</v>
      </c>
      <c r="H231" s="36">
        <v>12159892</v>
      </c>
      <c r="I231" s="36">
        <v>217385</v>
      </c>
      <c r="J231" s="37">
        <v>1897332</v>
      </c>
      <c r="K231" s="36">
        <v>22985268</v>
      </c>
      <c r="L231" s="38">
        <v>24882599</v>
      </c>
      <c r="M231" s="39"/>
      <c r="N231" s="36">
        <v>22985268</v>
      </c>
      <c r="O231" s="36">
        <v>10825376</v>
      </c>
      <c r="P231" s="36">
        <v>0</v>
      </c>
      <c r="Q231" s="36">
        <f>Q230*1936.27</f>
        <v>26831166.791323997</v>
      </c>
      <c r="R231" s="7"/>
      <c r="S231" s="7"/>
      <c r="T231" s="7"/>
      <c r="U231" s="7"/>
      <c r="V231" s="7"/>
      <c r="W231" s="7"/>
      <c r="X231" s="7"/>
      <c r="Y231" s="7"/>
      <c r="Z231" s="7"/>
    </row>
    <row r="232" spans="1:26" ht="12.75" customHeight="1" x14ac:dyDescent="0.2">
      <c r="A232" s="95"/>
      <c r="B232" s="95"/>
      <c r="C232" s="40" t="s">
        <v>36</v>
      </c>
      <c r="D232" s="41">
        <v>6</v>
      </c>
      <c r="E232" s="42">
        <v>5199.6899999999996</v>
      </c>
      <c r="F232" s="42">
        <v>514.39</v>
      </c>
      <c r="G232" s="42">
        <v>123.95</v>
      </c>
      <c r="H232" s="42">
        <v>6280.06</v>
      </c>
      <c r="I232" s="42">
        <v>112.27</v>
      </c>
      <c r="J232" s="42">
        <v>1009.84</v>
      </c>
      <c r="K232" s="43">
        <v>12230.36</v>
      </c>
      <c r="L232" s="32">
        <v>13240.2</v>
      </c>
      <c r="M232" s="33"/>
      <c r="N232" s="30">
        <v>12230.36</v>
      </c>
      <c r="O232" s="30">
        <v>5950.3</v>
      </c>
      <c r="P232" s="30"/>
      <c r="Q232" s="30">
        <f>(N232+O232*0.18+J232)+(IF((P232-O232*0.18)&gt;0,(P232-O232*0.18),0))</f>
        <v>14311.254000000001</v>
      </c>
      <c r="R232" s="7"/>
      <c r="S232" s="7"/>
      <c r="T232" s="7"/>
      <c r="U232" s="7"/>
      <c r="V232" s="7"/>
      <c r="W232" s="7"/>
      <c r="X232" s="7"/>
      <c r="Y232" s="7"/>
      <c r="Z232" s="7"/>
    </row>
    <row r="233" spans="1:26" ht="9" customHeight="1" x14ac:dyDescent="0.2">
      <c r="A233" s="95"/>
      <c r="B233" s="95"/>
      <c r="C233" s="34" t="s">
        <v>37</v>
      </c>
      <c r="D233" s="35">
        <v>7</v>
      </c>
      <c r="E233" s="36">
        <v>10068004</v>
      </c>
      <c r="F233" s="36">
        <v>995998</v>
      </c>
      <c r="G233" s="36">
        <v>240001</v>
      </c>
      <c r="H233" s="36">
        <v>12159892</v>
      </c>
      <c r="I233" s="36">
        <v>217385</v>
      </c>
      <c r="J233" s="37">
        <v>1955323</v>
      </c>
      <c r="K233" s="36">
        <v>23681279</v>
      </c>
      <c r="L233" s="38">
        <v>25636602</v>
      </c>
      <c r="M233" s="39"/>
      <c r="N233" s="36">
        <v>23681279</v>
      </c>
      <c r="O233" s="36">
        <v>11521387</v>
      </c>
      <c r="P233" s="36">
        <v>0</v>
      </c>
      <c r="Q233" s="36">
        <f>Q232*1936.27</f>
        <v>27710451.782580003</v>
      </c>
      <c r="R233" s="7"/>
      <c r="S233" s="7"/>
      <c r="T233" s="7"/>
      <c r="U233" s="7"/>
      <c r="V233" s="7"/>
      <c r="W233" s="7"/>
      <c r="X233" s="7"/>
      <c r="Y233" s="7"/>
      <c r="Z233" s="7"/>
    </row>
    <row r="234" spans="1:26" ht="12.75" customHeight="1" x14ac:dyDescent="0.2">
      <c r="A234" s="95"/>
      <c r="B234" s="95"/>
      <c r="C234" s="40" t="s">
        <v>36</v>
      </c>
      <c r="D234" s="41">
        <v>8</v>
      </c>
      <c r="E234" s="42">
        <v>5466.18</v>
      </c>
      <c r="F234" s="42">
        <v>545.38</v>
      </c>
      <c r="G234" s="42">
        <v>123.95</v>
      </c>
      <c r="H234" s="42">
        <v>6280.06</v>
      </c>
      <c r="I234" s="42">
        <v>112.27</v>
      </c>
      <c r="J234" s="42">
        <v>1034.6300000000001</v>
      </c>
      <c r="K234" s="43">
        <v>12527.84</v>
      </c>
      <c r="L234" s="32">
        <v>13562.47</v>
      </c>
      <c r="M234" s="33"/>
      <c r="N234" s="30">
        <v>12527.84</v>
      </c>
      <c r="O234" s="30">
        <v>6247.78</v>
      </c>
      <c r="P234" s="30"/>
      <c r="Q234" s="30">
        <f>(N234+O234*0.18+J234)+(IF((P234-O234*0.18)&gt;0,(P234-O234*0.18),0))</f>
        <v>14687.070400000001</v>
      </c>
      <c r="R234" s="7"/>
      <c r="S234" s="7"/>
      <c r="T234" s="7"/>
      <c r="U234" s="7"/>
      <c r="V234" s="7"/>
      <c r="W234" s="7"/>
      <c r="X234" s="7"/>
      <c r="Y234" s="7"/>
      <c r="Z234" s="7"/>
    </row>
    <row r="235" spans="1:26" ht="9" customHeight="1" x14ac:dyDescent="0.2">
      <c r="A235" s="95"/>
      <c r="B235" s="95"/>
      <c r="C235" s="34" t="s">
        <v>37</v>
      </c>
      <c r="D235" s="35">
        <v>9</v>
      </c>
      <c r="E235" s="36">
        <v>10584000</v>
      </c>
      <c r="F235" s="36">
        <v>1056003</v>
      </c>
      <c r="G235" s="36">
        <v>240001</v>
      </c>
      <c r="H235" s="36">
        <v>12159892</v>
      </c>
      <c r="I235" s="36">
        <v>217385</v>
      </c>
      <c r="J235" s="37">
        <v>2003323</v>
      </c>
      <c r="K235" s="36">
        <v>24257281</v>
      </c>
      <c r="L235" s="38">
        <v>26260604</v>
      </c>
      <c r="M235" s="39"/>
      <c r="N235" s="36">
        <v>24257281</v>
      </c>
      <c r="O235" s="36">
        <v>12097389</v>
      </c>
      <c r="P235" s="36">
        <v>0</v>
      </c>
      <c r="Q235" s="36">
        <f>Q234*1936.27</f>
        <v>28438133.803408001</v>
      </c>
      <c r="R235" s="7"/>
      <c r="S235" s="7"/>
      <c r="T235" s="7"/>
      <c r="U235" s="7"/>
      <c r="V235" s="7"/>
      <c r="W235" s="7"/>
      <c r="X235" s="7"/>
      <c r="Y235" s="7"/>
      <c r="Z235" s="7"/>
    </row>
    <row r="236" spans="1:26" ht="12.75" customHeight="1" x14ac:dyDescent="0.2">
      <c r="A236" s="95"/>
      <c r="B236" s="95"/>
      <c r="C236" s="40" t="s">
        <v>36</v>
      </c>
      <c r="D236" s="41">
        <v>10</v>
      </c>
      <c r="E236" s="42">
        <v>5726.47</v>
      </c>
      <c r="F236" s="42">
        <v>570.16999999999996</v>
      </c>
      <c r="G236" s="42">
        <v>123.95</v>
      </c>
      <c r="H236" s="42">
        <v>6280.06</v>
      </c>
      <c r="I236" s="42">
        <v>112.27</v>
      </c>
      <c r="J236" s="42">
        <v>1058.3900000000001</v>
      </c>
      <c r="K236" s="43">
        <v>12812.92</v>
      </c>
      <c r="L236" s="32">
        <v>13871.31</v>
      </c>
      <c r="M236" s="33"/>
      <c r="N236" s="30">
        <v>12812.92</v>
      </c>
      <c r="O236" s="30">
        <v>6532.86</v>
      </c>
      <c r="P236" s="30"/>
      <c r="Q236" s="30">
        <f>(N236+O236*0.18+J236)+(IF((P236-O236*0.18)&gt;0,(P236-O236*0.18),0))</f>
        <v>15047.2248</v>
      </c>
      <c r="R236" s="7"/>
      <c r="S236" s="7"/>
      <c r="T236" s="7"/>
      <c r="U236" s="7"/>
      <c r="V236" s="7"/>
      <c r="W236" s="7"/>
      <c r="X236" s="7"/>
      <c r="Y236" s="7"/>
      <c r="Z236" s="7"/>
    </row>
    <row r="237" spans="1:26" ht="9" customHeight="1" x14ac:dyDescent="0.2">
      <c r="A237" s="95"/>
      <c r="B237" s="95"/>
      <c r="C237" s="34" t="s">
        <v>37</v>
      </c>
      <c r="D237" s="35">
        <v>11</v>
      </c>
      <c r="E237" s="36">
        <v>11087992</v>
      </c>
      <c r="F237" s="36">
        <v>1104003</v>
      </c>
      <c r="G237" s="36">
        <v>240001</v>
      </c>
      <c r="H237" s="36">
        <v>12159892</v>
      </c>
      <c r="I237" s="36">
        <v>217385</v>
      </c>
      <c r="J237" s="37">
        <v>2049329</v>
      </c>
      <c r="K237" s="36">
        <v>24809273</v>
      </c>
      <c r="L237" s="38">
        <v>26858601</v>
      </c>
      <c r="M237" s="39"/>
      <c r="N237" s="36">
        <v>24809273</v>
      </c>
      <c r="O237" s="36">
        <v>12649381</v>
      </c>
      <c r="P237" s="36">
        <v>0</v>
      </c>
      <c r="Q237" s="36">
        <f>Q236*1936.27</f>
        <v>29135489.963496</v>
      </c>
      <c r="R237" s="7"/>
      <c r="S237" s="7"/>
      <c r="T237" s="7"/>
      <c r="U237" s="7"/>
      <c r="V237" s="7"/>
      <c r="W237" s="7"/>
      <c r="X237" s="7"/>
      <c r="Y237" s="7"/>
      <c r="Z237" s="7"/>
    </row>
    <row r="238" spans="1:26" ht="12.75" customHeight="1" x14ac:dyDescent="0.2">
      <c r="A238" s="95"/>
      <c r="B238" s="95"/>
      <c r="C238" s="40" t="s">
        <v>36</v>
      </c>
      <c r="D238" s="41">
        <v>12</v>
      </c>
      <c r="E238" s="42">
        <v>5986.77</v>
      </c>
      <c r="F238" s="42">
        <v>594.96</v>
      </c>
      <c r="G238" s="42">
        <v>123.95</v>
      </c>
      <c r="H238" s="42">
        <v>6280.06</v>
      </c>
      <c r="I238" s="42">
        <v>112.27</v>
      </c>
      <c r="J238" s="42">
        <v>1082.1500000000001</v>
      </c>
      <c r="K238" s="43">
        <v>13098.01</v>
      </c>
      <c r="L238" s="32">
        <v>14180.16</v>
      </c>
      <c r="M238" s="33"/>
      <c r="N238" s="30">
        <v>13098.01</v>
      </c>
      <c r="O238" s="30">
        <v>6817.95</v>
      </c>
      <c r="P238" s="30"/>
      <c r="Q238" s="30">
        <f>(N238+O238*0.18+J238)+(IF((P238-O238*0.18)&gt;0,(P238-O238*0.18),0))</f>
        <v>15407.391</v>
      </c>
      <c r="R238" s="7"/>
      <c r="S238" s="7"/>
      <c r="T238" s="7"/>
      <c r="U238" s="7"/>
      <c r="V238" s="7"/>
      <c r="W238" s="7"/>
      <c r="X238" s="7"/>
      <c r="Y238" s="7"/>
      <c r="Z238" s="7"/>
    </row>
    <row r="239" spans="1:26" ht="9" customHeight="1" x14ac:dyDescent="0.2">
      <c r="A239" s="95"/>
      <c r="B239" s="95"/>
      <c r="C239" s="34" t="s">
        <v>37</v>
      </c>
      <c r="D239" s="35">
        <v>13</v>
      </c>
      <c r="E239" s="36">
        <v>11592003</v>
      </c>
      <c r="F239" s="36">
        <v>1152003</v>
      </c>
      <c r="G239" s="36">
        <v>240001</v>
      </c>
      <c r="H239" s="36">
        <v>12159892</v>
      </c>
      <c r="I239" s="36">
        <v>217385</v>
      </c>
      <c r="J239" s="37">
        <v>2095335</v>
      </c>
      <c r="K239" s="36">
        <v>25361284</v>
      </c>
      <c r="L239" s="38">
        <v>27456618</v>
      </c>
      <c r="M239" s="39"/>
      <c r="N239" s="36">
        <v>25361284</v>
      </c>
      <c r="O239" s="36">
        <v>13201392</v>
      </c>
      <c r="P239" s="36">
        <v>0</v>
      </c>
      <c r="Q239" s="36">
        <f>Q238*1936.27</f>
        <v>29832868.97157</v>
      </c>
      <c r="R239" s="7"/>
      <c r="S239" s="7"/>
      <c r="T239" s="7"/>
      <c r="U239" s="7"/>
      <c r="V239" s="7"/>
      <c r="W239" s="7"/>
      <c r="X239" s="7"/>
      <c r="Y239" s="7"/>
      <c r="Z239" s="7"/>
    </row>
    <row r="240" spans="1:26" ht="12.75" customHeight="1" x14ac:dyDescent="0.2">
      <c r="A240" s="95"/>
      <c r="B240" s="95"/>
      <c r="C240" s="40" t="s">
        <v>36</v>
      </c>
      <c r="D240" s="41">
        <v>14</v>
      </c>
      <c r="E240" s="42">
        <v>6247.06</v>
      </c>
      <c r="F240" s="42">
        <v>619.75</v>
      </c>
      <c r="G240" s="42">
        <v>123.95</v>
      </c>
      <c r="H240" s="42">
        <v>6280.06</v>
      </c>
      <c r="I240" s="42">
        <v>112.27</v>
      </c>
      <c r="J240" s="42">
        <v>1105.9000000000001</v>
      </c>
      <c r="K240" s="43">
        <v>13383.09</v>
      </c>
      <c r="L240" s="32">
        <v>14488.99</v>
      </c>
      <c r="M240" s="33"/>
      <c r="N240" s="30">
        <v>13383.09</v>
      </c>
      <c r="O240" s="30">
        <v>7103.03</v>
      </c>
      <c r="P240" s="30"/>
      <c r="Q240" s="30">
        <f>(N240+O240*0.18+J240)+(IF((P240-O240*0.18)&gt;0,(P240-O240*0.18),0))</f>
        <v>15767.535399999999</v>
      </c>
      <c r="R240" s="7"/>
      <c r="S240" s="7"/>
      <c r="T240" s="7"/>
      <c r="U240" s="7"/>
      <c r="V240" s="7"/>
      <c r="W240" s="7"/>
      <c r="X240" s="7"/>
      <c r="Y240" s="7"/>
      <c r="Z240" s="7"/>
    </row>
    <row r="241" spans="1:26" ht="9" customHeight="1" x14ac:dyDescent="0.2">
      <c r="A241" s="95"/>
      <c r="B241" s="95"/>
      <c r="C241" s="34" t="s">
        <v>37</v>
      </c>
      <c r="D241" s="35">
        <v>15</v>
      </c>
      <c r="E241" s="36">
        <v>12095995</v>
      </c>
      <c r="F241" s="36">
        <v>1200003</v>
      </c>
      <c r="G241" s="36">
        <v>240001</v>
      </c>
      <c r="H241" s="36">
        <v>12159892</v>
      </c>
      <c r="I241" s="36">
        <v>217385</v>
      </c>
      <c r="J241" s="37">
        <v>2141321</v>
      </c>
      <c r="K241" s="36">
        <v>25913276</v>
      </c>
      <c r="L241" s="38">
        <v>28054597</v>
      </c>
      <c r="M241" s="39"/>
      <c r="N241" s="36">
        <v>25913276</v>
      </c>
      <c r="O241" s="36">
        <v>13753384</v>
      </c>
      <c r="P241" s="36">
        <v>0</v>
      </c>
      <c r="Q241" s="36">
        <f>Q240*1936.27</f>
        <v>30530205.768957999</v>
      </c>
      <c r="R241" s="7"/>
      <c r="S241" s="7"/>
      <c r="T241" s="7"/>
      <c r="U241" s="7"/>
      <c r="V241" s="7"/>
      <c r="W241" s="7"/>
      <c r="X241" s="7"/>
      <c r="Y241" s="7"/>
      <c r="Z241" s="7"/>
    </row>
    <row r="242" spans="1:26" ht="12.75" customHeight="1" x14ac:dyDescent="0.2">
      <c r="A242" s="95"/>
      <c r="B242" s="95"/>
      <c r="C242" s="40" t="s">
        <v>36</v>
      </c>
      <c r="D242" s="41">
        <v>16</v>
      </c>
      <c r="E242" s="42">
        <v>6507.36</v>
      </c>
      <c r="F242" s="42">
        <v>650.74</v>
      </c>
      <c r="G242" s="42">
        <v>123.95</v>
      </c>
      <c r="H242" s="42">
        <v>6280.06</v>
      </c>
      <c r="I242" s="42">
        <v>112.27</v>
      </c>
      <c r="J242" s="42">
        <v>1130.18</v>
      </c>
      <c r="K242" s="43">
        <v>13674.38</v>
      </c>
      <c r="L242" s="32">
        <v>14804.56</v>
      </c>
      <c r="M242" s="33"/>
      <c r="N242" s="30">
        <v>13674.38</v>
      </c>
      <c r="O242" s="30">
        <v>7394.32</v>
      </c>
      <c r="P242" s="30"/>
      <c r="Q242" s="30">
        <f>(N242+O242*0.18+J242)+(IF((P242-O242*0.18)&gt;0,(P242-O242*0.18),0))</f>
        <v>16135.5376</v>
      </c>
      <c r="R242" s="7"/>
      <c r="S242" s="7"/>
      <c r="T242" s="7"/>
      <c r="U242" s="7"/>
      <c r="V242" s="7"/>
      <c r="W242" s="7"/>
      <c r="X242" s="7"/>
      <c r="Y242" s="7"/>
      <c r="Z242" s="7"/>
    </row>
    <row r="243" spans="1:26" ht="9" customHeight="1" x14ac:dyDescent="0.2">
      <c r="A243" s="95"/>
      <c r="B243" s="95"/>
      <c r="C243" s="34" t="s">
        <v>37</v>
      </c>
      <c r="D243" s="35">
        <v>17</v>
      </c>
      <c r="E243" s="36">
        <v>12600006</v>
      </c>
      <c r="F243" s="36">
        <v>1260008</v>
      </c>
      <c r="G243" s="36">
        <v>240001</v>
      </c>
      <c r="H243" s="36">
        <v>12159892</v>
      </c>
      <c r="I243" s="36">
        <v>217385</v>
      </c>
      <c r="J243" s="37">
        <v>2188334</v>
      </c>
      <c r="K243" s="36">
        <v>26477292</v>
      </c>
      <c r="L243" s="38">
        <v>28665625</v>
      </c>
      <c r="M243" s="39"/>
      <c r="N243" s="36">
        <v>26477292</v>
      </c>
      <c r="O243" s="36">
        <v>14317400</v>
      </c>
      <c r="P243" s="36">
        <v>0</v>
      </c>
      <c r="Q243" s="36">
        <f>Q242*1936.27</f>
        <v>31242757.388751999</v>
      </c>
      <c r="R243" s="7"/>
      <c r="S243" s="7"/>
      <c r="T243" s="7"/>
      <c r="U243" s="7"/>
      <c r="V243" s="7"/>
      <c r="W243" s="7"/>
      <c r="X243" s="7"/>
      <c r="Y243" s="7"/>
      <c r="Z243" s="7"/>
    </row>
    <row r="244" spans="1:26" ht="12.75" customHeight="1" x14ac:dyDescent="0.2">
      <c r="A244" s="95"/>
      <c r="B244" s="95"/>
      <c r="C244" s="40" t="s">
        <v>36</v>
      </c>
      <c r="D244" s="41">
        <v>18</v>
      </c>
      <c r="E244" s="42">
        <v>6767.65</v>
      </c>
      <c r="F244" s="42">
        <v>675.53</v>
      </c>
      <c r="G244" s="42">
        <v>123.95</v>
      </c>
      <c r="H244" s="42">
        <v>6280.06</v>
      </c>
      <c r="I244" s="42">
        <v>112.27</v>
      </c>
      <c r="J244" s="42">
        <v>1153.93</v>
      </c>
      <c r="K244" s="43">
        <v>13959.46</v>
      </c>
      <c r="L244" s="32">
        <v>15113.39</v>
      </c>
      <c r="M244" s="33"/>
      <c r="N244" s="30">
        <v>13959.46</v>
      </c>
      <c r="O244" s="30">
        <v>7679.4</v>
      </c>
      <c r="P244" s="30"/>
      <c r="Q244" s="30">
        <f>(N244+O244*0.18+J244)+(IF((P244-O244*0.18)&gt;0,(P244-O244*0.18),0))</f>
        <v>16495.681999999997</v>
      </c>
      <c r="R244" s="7"/>
      <c r="S244" s="7"/>
      <c r="T244" s="7"/>
      <c r="U244" s="7"/>
      <c r="V244" s="7"/>
      <c r="W244" s="7"/>
      <c r="X244" s="7"/>
      <c r="Y244" s="7"/>
      <c r="Z244" s="7"/>
    </row>
    <row r="245" spans="1:26" ht="9" customHeight="1" x14ac:dyDescent="0.2">
      <c r="A245" s="95"/>
      <c r="B245" s="95"/>
      <c r="C245" s="34" t="s">
        <v>37</v>
      </c>
      <c r="D245" s="35">
        <v>19</v>
      </c>
      <c r="E245" s="36">
        <v>13103998</v>
      </c>
      <c r="F245" s="36">
        <v>1308008</v>
      </c>
      <c r="G245" s="36">
        <v>240001</v>
      </c>
      <c r="H245" s="36">
        <v>12159892</v>
      </c>
      <c r="I245" s="36">
        <v>217385</v>
      </c>
      <c r="J245" s="37">
        <v>2234320</v>
      </c>
      <c r="K245" s="36">
        <v>27029284</v>
      </c>
      <c r="L245" s="38">
        <v>29263604</v>
      </c>
      <c r="M245" s="39"/>
      <c r="N245" s="36">
        <v>27029284</v>
      </c>
      <c r="O245" s="36">
        <v>14869392</v>
      </c>
      <c r="P245" s="36">
        <v>0</v>
      </c>
      <c r="Q245" s="36">
        <f>Q244*1936.27</f>
        <v>31940094.186139993</v>
      </c>
      <c r="R245" s="7"/>
      <c r="S245" s="7"/>
      <c r="T245" s="7"/>
      <c r="U245" s="7"/>
      <c r="V245" s="7"/>
      <c r="W245" s="7"/>
      <c r="X245" s="7"/>
      <c r="Y245" s="7"/>
      <c r="Z245" s="7"/>
    </row>
    <row r="246" spans="1:26" ht="12.75" customHeight="1" x14ac:dyDescent="0.2">
      <c r="A246" s="95"/>
      <c r="B246" s="95"/>
      <c r="C246" s="40" t="s">
        <v>36</v>
      </c>
      <c r="D246" s="41">
        <v>20</v>
      </c>
      <c r="E246" s="42">
        <v>7027.95</v>
      </c>
      <c r="F246" s="42">
        <v>700.32</v>
      </c>
      <c r="G246" s="42">
        <v>123.95</v>
      </c>
      <c r="H246" s="42">
        <v>6280.06</v>
      </c>
      <c r="I246" s="42">
        <v>112.27</v>
      </c>
      <c r="J246" s="42">
        <v>1177.69</v>
      </c>
      <c r="K246" s="43">
        <v>14244.55</v>
      </c>
      <c r="L246" s="32">
        <v>15422.24</v>
      </c>
      <c r="M246" s="33"/>
      <c r="N246" s="30">
        <v>14244.55</v>
      </c>
      <c r="O246" s="30">
        <v>7964.49</v>
      </c>
      <c r="P246" s="30"/>
      <c r="Q246" s="30">
        <f>(N246+O246*0.18+J246)+(IF((P246-O246*0.18)&gt;0,(P246-O246*0.18),0))</f>
        <v>16855.8482</v>
      </c>
      <c r="R246" s="7"/>
      <c r="S246" s="7"/>
      <c r="T246" s="7"/>
      <c r="U246" s="7"/>
      <c r="V246" s="7"/>
      <c r="W246" s="7"/>
      <c r="X246" s="7"/>
      <c r="Y246" s="7"/>
      <c r="Z246" s="7"/>
    </row>
    <row r="247" spans="1:26" ht="9" customHeight="1" x14ac:dyDescent="0.2">
      <c r="A247" s="95"/>
      <c r="B247" s="95"/>
      <c r="C247" s="34" t="s">
        <v>37</v>
      </c>
      <c r="D247" s="35">
        <v>21</v>
      </c>
      <c r="E247" s="36">
        <v>13608009</v>
      </c>
      <c r="F247" s="36">
        <v>1356009</v>
      </c>
      <c r="G247" s="36">
        <v>240001</v>
      </c>
      <c r="H247" s="36">
        <v>12159892</v>
      </c>
      <c r="I247" s="36">
        <v>217385</v>
      </c>
      <c r="J247" s="37">
        <v>2280326</v>
      </c>
      <c r="K247" s="36">
        <v>27581295</v>
      </c>
      <c r="L247" s="38">
        <v>29861621</v>
      </c>
      <c r="M247" s="39"/>
      <c r="N247" s="36">
        <v>27581295</v>
      </c>
      <c r="O247" s="36">
        <v>15421403</v>
      </c>
      <c r="P247" s="36">
        <v>0</v>
      </c>
      <c r="Q247" s="36">
        <f>Q246*1936.27</f>
        <v>32637473.194214001</v>
      </c>
      <c r="R247" s="7"/>
      <c r="S247" s="7"/>
      <c r="T247" s="7"/>
      <c r="U247" s="7"/>
      <c r="V247" s="7"/>
      <c r="W247" s="7"/>
      <c r="X247" s="7"/>
      <c r="Y247" s="7"/>
      <c r="Z247" s="7"/>
    </row>
    <row r="248" spans="1:26" ht="12.75" customHeight="1" x14ac:dyDescent="0.2">
      <c r="A248" s="95"/>
      <c r="B248" s="95"/>
      <c r="C248" s="40" t="s">
        <v>36</v>
      </c>
      <c r="D248" s="41">
        <v>22</v>
      </c>
      <c r="E248" s="42">
        <v>7170.49</v>
      </c>
      <c r="F248" s="42">
        <v>712.71</v>
      </c>
      <c r="G248" s="42">
        <v>123.95</v>
      </c>
      <c r="H248" s="42">
        <v>6280.06</v>
      </c>
      <c r="I248" s="42">
        <v>112.27</v>
      </c>
      <c r="J248" s="42">
        <v>1190.5999999999999</v>
      </c>
      <c r="K248" s="43">
        <v>14399.48</v>
      </c>
      <c r="L248" s="32">
        <v>15590.08</v>
      </c>
      <c r="M248" s="33"/>
      <c r="N248" s="30">
        <v>14399.48</v>
      </c>
      <c r="O248" s="30">
        <v>8119.42</v>
      </c>
      <c r="P248" s="30"/>
      <c r="Q248" s="30">
        <f>(N248+O248*0.18+J248)+(IF((P248-O248*0.18)&gt;0,(P248-O248*0.18),0))</f>
        <v>17051.5756</v>
      </c>
      <c r="R248" s="7"/>
      <c r="S248" s="7"/>
      <c r="T248" s="7"/>
      <c r="U248" s="7"/>
      <c r="V248" s="7"/>
      <c r="W248" s="7"/>
      <c r="X248" s="7"/>
      <c r="Y248" s="7"/>
      <c r="Z248" s="7"/>
    </row>
    <row r="249" spans="1:26" ht="9" customHeight="1" x14ac:dyDescent="0.2">
      <c r="A249" s="95"/>
      <c r="B249" s="95"/>
      <c r="C249" s="34" t="s">
        <v>37</v>
      </c>
      <c r="D249" s="35">
        <v>23</v>
      </c>
      <c r="E249" s="36">
        <v>13884005</v>
      </c>
      <c r="F249" s="36">
        <v>1379999</v>
      </c>
      <c r="G249" s="36">
        <v>240001</v>
      </c>
      <c r="H249" s="36">
        <v>12159892</v>
      </c>
      <c r="I249" s="36">
        <v>217385</v>
      </c>
      <c r="J249" s="37">
        <v>2305323</v>
      </c>
      <c r="K249" s="36">
        <v>27881281</v>
      </c>
      <c r="L249" s="38">
        <v>30186604</v>
      </c>
      <c r="M249" s="39"/>
      <c r="N249" s="36">
        <v>27881281</v>
      </c>
      <c r="O249" s="36">
        <v>15721389</v>
      </c>
      <c r="P249" s="36">
        <v>0</v>
      </c>
      <c r="Q249" s="36">
        <f>Q248*1936.27</f>
        <v>33016454.287012</v>
      </c>
      <c r="R249" s="7"/>
      <c r="S249" s="7"/>
      <c r="T249" s="7"/>
      <c r="U249" s="7"/>
      <c r="V249" s="7"/>
      <c r="W249" s="7"/>
      <c r="X249" s="7"/>
      <c r="Y249" s="7"/>
      <c r="Z249" s="7"/>
    </row>
    <row r="250" spans="1:26" ht="12.75" customHeight="1" x14ac:dyDescent="0.2">
      <c r="A250" s="95"/>
      <c r="B250" s="95"/>
      <c r="C250" s="40" t="s">
        <v>36</v>
      </c>
      <c r="D250" s="41">
        <v>24</v>
      </c>
      <c r="E250" s="42">
        <v>7313.03</v>
      </c>
      <c r="F250" s="42">
        <v>731.3</v>
      </c>
      <c r="G250" s="42">
        <v>123.95</v>
      </c>
      <c r="H250" s="42">
        <v>6280.06</v>
      </c>
      <c r="I250" s="42">
        <v>112.27</v>
      </c>
      <c r="J250" s="42">
        <v>1204.03</v>
      </c>
      <c r="K250" s="43">
        <v>14560.61</v>
      </c>
      <c r="L250" s="32">
        <v>15764.64</v>
      </c>
      <c r="M250" s="33"/>
      <c r="N250" s="30">
        <v>14560.61</v>
      </c>
      <c r="O250" s="30">
        <v>8280.5499999999993</v>
      </c>
      <c r="P250" s="30"/>
      <c r="Q250" s="30">
        <f>(N250+O250*0.18+J250)+(IF((P250-O250*0.18)&gt;0,(P250-O250*0.18),0))</f>
        <v>17255.138999999999</v>
      </c>
      <c r="R250" s="7"/>
      <c r="S250" s="7"/>
      <c r="T250" s="7"/>
      <c r="U250" s="7"/>
      <c r="V250" s="7"/>
      <c r="W250" s="7"/>
      <c r="X250" s="7"/>
      <c r="Y250" s="7"/>
      <c r="Z250" s="7"/>
    </row>
    <row r="251" spans="1:26" ht="9" customHeight="1" x14ac:dyDescent="0.2">
      <c r="A251" s="95"/>
      <c r="B251" s="95"/>
      <c r="C251" s="34" t="s">
        <v>37</v>
      </c>
      <c r="D251" s="35">
        <v>25</v>
      </c>
      <c r="E251" s="36">
        <v>14160001</v>
      </c>
      <c r="F251" s="36">
        <v>1415994</v>
      </c>
      <c r="G251" s="36">
        <v>240001</v>
      </c>
      <c r="H251" s="36">
        <v>12159892</v>
      </c>
      <c r="I251" s="36">
        <v>217385</v>
      </c>
      <c r="J251" s="37">
        <v>2331327</v>
      </c>
      <c r="K251" s="36">
        <v>28193272</v>
      </c>
      <c r="L251" s="38">
        <v>30524599</v>
      </c>
      <c r="M251" s="39"/>
      <c r="N251" s="36">
        <v>28193272</v>
      </c>
      <c r="O251" s="36">
        <v>16033381</v>
      </c>
      <c r="P251" s="36">
        <v>0</v>
      </c>
      <c r="Q251" s="36">
        <f>Q250*1936.27</f>
        <v>33410607.991529997</v>
      </c>
      <c r="R251" s="7"/>
      <c r="S251" s="7"/>
      <c r="T251" s="7"/>
      <c r="U251" s="7"/>
      <c r="V251" s="7"/>
      <c r="W251" s="7"/>
      <c r="X251" s="7"/>
      <c r="Y251" s="7"/>
      <c r="Z251" s="7"/>
    </row>
    <row r="252" spans="1:26" ht="12.75" customHeight="1" x14ac:dyDescent="0.2">
      <c r="A252" s="95"/>
      <c r="B252" s="95"/>
      <c r="C252" s="40" t="s">
        <v>36</v>
      </c>
      <c r="D252" s="41">
        <v>26</v>
      </c>
      <c r="E252" s="42">
        <v>7455.57</v>
      </c>
      <c r="F252" s="42">
        <v>743.7</v>
      </c>
      <c r="G252" s="42">
        <v>123.95</v>
      </c>
      <c r="H252" s="42">
        <v>6280.06</v>
      </c>
      <c r="I252" s="42">
        <v>112.27</v>
      </c>
      <c r="J252" s="42">
        <v>1216.94</v>
      </c>
      <c r="K252" s="43">
        <v>14715.55</v>
      </c>
      <c r="L252" s="32">
        <v>15932.49</v>
      </c>
      <c r="M252" s="33"/>
      <c r="N252" s="30">
        <v>14715.55</v>
      </c>
      <c r="O252" s="30">
        <v>8435.49</v>
      </c>
      <c r="P252" s="30"/>
      <c r="Q252" s="30">
        <f>(N252+O252*0.18+J252)+(IF((P252-O252*0.18)&gt;0,(P252-O252*0.18),0))</f>
        <v>17450.878199999999</v>
      </c>
      <c r="R252" s="7"/>
      <c r="S252" s="7"/>
      <c r="T252" s="7"/>
      <c r="U252" s="7"/>
      <c r="V252" s="7"/>
      <c r="W252" s="7"/>
      <c r="X252" s="7"/>
      <c r="Y252" s="7"/>
      <c r="Z252" s="7"/>
    </row>
    <row r="253" spans="1:26" ht="9" customHeight="1" x14ac:dyDescent="0.2">
      <c r="A253" s="95"/>
      <c r="B253" s="95"/>
      <c r="C253" s="34" t="s">
        <v>37</v>
      </c>
      <c r="D253" s="35">
        <v>27</v>
      </c>
      <c r="E253" s="36">
        <v>14435997</v>
      </c>
      <c r="F253" s="36">
        <v>1440004</v>
      </c>
      <c r="G253" s="36">
        <v>240001</v>
      </c>
      <c r="H253" s="36">
        <v>12159892</v>
      </c>
      <c r="I253" s="36">
        <v>217385</v>
      </c>
      <c r="J253" s="37">
        <v>2356324</v>
      </c>
      <c r="K253" s="36">
        <v>28493278</v>
      </c>
      <c r="L253" s="38">
        <v>30849602</v>
      </c>
      <c r="M253" s="39"/>
      <c r="N253" s="36">
        <v>28493278</v>
      </c>
      <c r="O253" s="36">
        <v>16333386</v>
      </c>
      <c r="P253" s="36">
        <v>0</v>
      </c>
      <c r="Q253" s="36">
        <f>Q252*1936.27</f>
        <v>33789611.932314001</v>
      </c>
      <c r="R253" s="7"/>
      <c r="S253" s="7"/>
      <c r="T253" s="7"/>
      <c r="U253" s="7"/>
      <c r="V253" s="7"/>
      <c r="W253" s="7"/>
      <c r="X253" s="7"/>
      <c r="Y253" s="7"/>
      <c r="Z253" s="7"/>
    </row>
    <row r="254" spans="1:26" ht="12.75" customHeight="1" x14ac:dyDescent="0.2">
      <c r="A254" s="95"/>
      <c r="B254" s="95"/>
      <c r="C254" s="40" t="s">
        <v>36</v>
      </c>
      <c r="D254" s="41">
        <v>28</v>
      </c>
      <c r="E254" s="42">
        <v>7591.92</v>
      </c>
      <c r="F254" s="42">
        <v>756.09</v>
      </c>
      <c r="G254" s="42">
        <v>123.95</v>
      </c>
      <c r="H254" s="42">
        <v>6280.06</v>
      </c>
      <c r="I254" s="42">
        <v>112.27</v>
      </c>
      <c r="J254" s="42">
        <v>1229.3399999999999</v>
      </c>
      <c r="K254" s="43">
        <v>14864.29</v>
      </c>
      <c r="L254" s="32">
        <v>16093.63</v>
      </c>
      <c r="M254" s="33"/>
      <c r="N254" s="30">
        <v>14864.29</v>
      </c>
      <c r="O254" s="30">
        <v>8584.23</v>
      </c>
      <c r="P254" s="30"/>
      <c r="Q254" s="30">
        <f>(N254+O254*0.18+J254)+(IF((P254-O254*0.18)&gt;0,(P254-O254*0.18),0))</f>
        <v>17638.791400000002</v>
      </c>
      <c r="R254" s="7"/>
      <c r="S254" s="7"/>
      <c r="T254" s="7"/>
      <c r="U254" s="7"/>
      <c r="V254" s="7"/>
      <c r="W254" s="7"/>
      <c r="X254" s="7"/>
      <c r="Y254" s="7"/>
      <c r="Z254" s="7"/>
    </row>
    <row r="255" spans="1:26" ht="9" customHeight="1" x14ac:dyDescent="0.2">
      <c r="A255" s="95"/>
      <c r="B255" s="95"/>
      <c r="C255" s="34" t="s">
        <v>37</v>
      </c>
      <c r="D255" s="35">
        <v>29</v>
      </c>
      <c r="E255" s="36">
        <v>14700007</v>
      </c>
      <c r="F255" s="36">
        <v>1463994</v>
      </c>
      <c r="G255" s="36">
        <v>240001</v>
      </c>
      <c r="H255" s="36">
        <v>12159892</v>
      </c>
      <c r="I255" s="36">
        <v>217385</v>
      </c>
      <c r="J255" s="37">
        <v>2380334</v>
      </c>
      <c r="K255" s="36">
        <v>28781279</v>
      </c>
      <c r="L255" s="38">
        <v>31161613</v>
      </c>
      <c r="M255" s="39"/>
      <c r="N255" s="36">
        <v>28781279</v>
      </c>
      <c r="O255" s="36">
        <v>16621387</v>
      </c>
      <c r="P255" s="36">
        <v>0</v>
      </c>
      <c r="Q255" s="36">
        <f>Q254*1936.27</f>
        <v>34153462.624078006</v>
      </c>
      <c r="R255" s="7"/>
      <c r="S255" s="7"/>
      <c r="T255" s="7"/>
      <c r="U255" s="7"/>
      <c r="V255" s="7"/>
      <c r="W255" s="7"/>
      <c r="X255" s="7"/>
      <c r="Y255" s="7"/>
      <c r="Z255" s="7"/>
    </row>
    <row r="256" spans="1:26" ht="12.75" customHeight="1" x14ac:dyDescent="0.2">
      <c r="A256" s="95"/>
      <c r="B256" s="95"/>
      <c r="C256" s="40" t="s">
        <v>36</v>
      </c>
      <c r="D256" s="41">
        <v>30</v>
      </c>
      <c r="E256" s="42">
        <v>7734.46</v>
      </c>
      <c r="F256" s="42">
        <v>768.49</v>
      </c>
      <c r="G256" s="42">
        <v>123.95</v>
      </c>
      <c r="H256" s="42">
        <v>6280.06</v>
      </c>
      <c r="I256" s="42">
        <v>112.27</v>
      </c>
      <c r="J256" s="42">
        <v>1242.25</v>
      </c>
      <c r="K256" s="43">
        <v>15019.23</v>
      </c>
      <c r="L256" s="32">
        <v>16261.48</v>
      </c>
      <c r="M256" s="33"/>
      <c r="N256" s="30">
        <v>15019.23</v>
      </c>
      <c r="O256" s="30">
        <v>8739.17</v>
      </c>
      <c r="P256" s="30"/>
      <c r="Q256" s="30">
        <f>(N256+O256*0.18+J256)+(IF((P256-O256*0.18)&gt;0,(P256-O256*0.18),0))</f>
        <v>17834.530599999998</v>
      </c>
      <c r="R256" s="7"/>
      <c r="S256" s="7"/>
      <c r="T256" s="7"/>
      <c r="U256" s="7"/>
      <c r="V256" s="7"/>
      <c r="W256" s="7"/>
      <c r="X256" s="7"/>
      <c r="Y256" s="7"/>
      <c r="Z256" s="7"/>
    </row>
    <row r="257" spans="1:26" ht="9" customHeight="1" x14ac:dyDescent="0.2">
      <c r="A257" s="95"/>
      <c r="B257" s="95"/>
      <c r="C257" s="34" t="s">
        <v>37</v>
      </c>
      <c r="D257" s="35">
        <v>31</v>
      </c>
      <c r="E257" s="36">
        <v>14976003</v>
      </c>
      <c r="F257" s="36">
        <v>1488004</v>
      </c>
      <c r="G257" s="36">
        <v>240001</v>
      </c>
      <c r="H257" s="36">
        <v>12159892</v>
      </c>
      <c r="I257" s="36">
        <v>217385</v>
      </c>
      <c r="J257" s="37">
        <v>2405331</v>
      </c>
      <c r="K257" s="36">
        <v>29081284</v>
      </c>
      <c r="L257" s="38">
        <v>31486616</v>
      </c>
      <c r="M257" s="39"/>
      <c r="N257" s="36">
        <v>29081284</v>
      </c>
      <c r="O257" s="36">
        <v>16921393</v>
      </c>
      <c r="P257" s="36">
        <v>0</v>
      </c>
      <c r="Q257" s="36">
        <f>Q256*1936.27</f>
        <v>34532466.564861998</v>
      </c>
      <c r="R257" s="7"/>
      <c r="S257" s="7"/>
      <c r="T257" s="7"/>
      <c r="U257" s="7"/>
      <c r="V257" s="7"/>
      <c r="W257" s="7"/>
      <c r="X257" s="7"/>
      <c r="Y257" s="7"/>
      <c r="Z257" s="7"/>
    </row>
    <row r="258" spans="1:26" ht="12.75" customHeight="1" x14ac:dyDescent="0.2">
      <c r="A258" s="95"/>
      <c r="B258" s="95"/>
      <c r="C258" s="40" t="s">
        <v>36</v>
      </c>
      <c r="D258" s="41">
        <v>32</v>
      </c>
      <c r="E258" s="42">
        <v>7877</v>
      </c>
      <c r="F258" s="42">
        <v>787.08</v>
      </c>
      <c r="G258" s="42">
        <v>123.95</v>
      </c>
      <c r="H258" s="42">
        <v>6280.06</v>
      </c>
      <c r="I258" s="42">
        <v>112.27</v>
      </c>
      <c r="J258" s="42">
        <v>1255.67</v>
      </c>
      <c r="K258" s="43">
        <v>15180.36</v>
      </c>
      <c r="L258" s="32">
        <v>16436.03</v>
      </c>
      <c r="M258" s="33"/>
      <c r="N258" s="30">
        <v>15180.36</v>
      </c>
      <c r="O258" s="30">
        <v>8900.2999999999993</v>
      </c>
      <c r="P258" s="30"/>
      <c r="Q258" s="30">
        <f>(N258+O258*0.18+J258)+(IF((P258-O258*0.18)&gt;0,(P258-O258*0.18),0))</f>
        <v>18038.084000000003</v>
      </c>
      <c r="R258" s="7"/>
      <c r="S258" s="7"/>
      <c r="T258" s="7"/>
      <c r="U258" s="7"/>
      <c r="V258" s="7"/>
      <c r="W258" s="7"/>
      <c r="X258" s="7"/>
      <c r="Y258" s="7"/>
      <c r="Z258" s="7"/>
    </row>
    <row r="259" spans="1:26" ht="9" customHeight="1" x14ac:dyDescent="0.2">
      <c r="A259" s="95"/>
      <c r="B259" s="95"/>
      <c r="C259" s="34" t="s">
        <v>37</v>
      </c>
      <c r="D259" s="35">
        <v>33</v>
      </c>
      <c r="E259" s="36">
        <v>15251999</v>
      </c>
      <c r="F259" s="36">
        <v>1523999</v>
      </c>
      <c r="G259" s="36">
        <v>240001</v>
      </c>
      <c r="H259" s="36">
        <v>12159892</v>
      </c>
      <c r="I259" s="36">
        <v>217385</v>
      </c>
      <c r="J259" s="37">
        <v>2431316</v>
      </c>
      <c r="K259" s="36">
        <v>29393276</v>
      </c>
      <c r="L259" s="38">
        <v>31824592</v>
      </c>
      <c r="M259" s="39"/>
      <c r="N259" s="36">
        <v>29393276</v>
      </c>
      <c r="O259" s="36">
        <v>17233384</v>
      </c>
      <c r="P259" s="36">
        <v>0</v>
      </c>
      <c r="Q259" s="36">
        <f>Q258*1936.27</f>
        <v>34926600.906680003</v>
      </c>
      <c r="R259" s="7"/>
      <c r="S259" s="7"/>
      <c r="T259" s="7"/>
      <c r="U259" s="7"/>
      <c r="V259" s="7"/>
      <c r="W259" s="7"/>
      <c r="X259" s="7"/>
      <c r="Y259" s="7"/>
      <c r="Z259" s="7"/>
    </row>
    <row r="260" spans="1:26" ht="12.75" customHeight="1" x14ac:dyDescent="0.2">
      <c r="A260" s="95"/>
      <c r="B260" s="95"/>
      <c r="C260" s="40" t="s">
        <v>36</v>
      </c>
      <c r="D260" s="41">
        <v>34</v>
      </c>
      <c r="E260" s="42">
        <v>7829.49</v>
      </c>
      <c r="F260" s="42">
        <v>799.48</v>
      </c>
      <c r="G260" s="42">
        <v>123.95</v>
      </c>
      <c r="H260" s="42">
        <v>6280.06</v>
      </c>
      <c r="I260" s="42">
        <v>112.27</v>
      </c>
      <c r="J260" s="42">
        <v>1252.75</v>
      </c>
      <c r="K260" s="43">
        <v>15145.25</v>
      </c>
      <c r="L260" s="32">
        <v>16398</v>
      </c>
      <c r="M260" s="33"/>
      <c r="N260" s="30">
        <v>15145.25</v>
      </c>
      <c r="O260" s="30">
        <v>8865.19</v>
      </c>
      <c r="P260" s="30"/>
      <c r="Q260" s="30">
        <f>(N260+O260*0.18+J260)+(IF((P260-O260*0.18)&gt;0,(P260-O260*0.18),0))</f>
        <v>17993.734199999999</v>
      </c>
      <c r="R260" s="7"/>
      <c r="S260" s="7"/>
      <c r="T260" s="7"/>
      <c r="U260" s="7"/>
      <c r="V260" s="7"/>
      <c r="W260" s="7"/>
      <c r="X260" s="7"/>
      <c r="Y260" s="7"/>
      <c r="Z260" s="7"/>
    </row>
    <row r="261" spans="1:26" ht="9" customHeight="1" x14ac:dyDescent="0.2">
      <c r="A261" s="95"/>
      <c r="B261" s="95"/>
      <c r="C261" s="34" t="s">
        <v>37</v>
      </c>
      <c r="D261" s="35">
        <v>35</v>
      </c>
      <c r="E261" s="36">
        <v>15160007</v>
      </c>
      <c r="F261" s="36">
        <v>1548009</v>
      </c>
      <c r="G261" s="36">
        <v>240001</v>
      </c>
      <c r="H261" s="36">
        <v>12159892</v>
      </c>
      <c r="I261" s="36">
        <v>217385</v>
      </c>
      <c r="J261" s="37">
        <v>2425662</v>
      </c>
      <c r="K261" s="36">
        <v>29325293</v>
      </c>
      <c r="L261" s="38">
        <v>31750955</v>
      </c>
      <c r="M261" s="39"/>
      <c r="N261" s="36">
        <v>29325293</v>
      </c>
      <c r="O261" s="36">
        <v>17165401</v>
      </c>
      <c r="P261" s="36">
        <v>0</v>
      </c>
      <c r="Q261" s="36">
        <f>Q260*1936.27</f>
        <v>34840727.719434001</v>
      </c>
      <c r="R261" s="7"/>
      <c r="S261" s="7"/>
      <c r="T261" s="7"/>
      <c r="U261" s="7"/>
      <c r="V261" s="7"/>
      <c r="W261" s="7"/>
      <c r="X261" s="7"/>
      <c r="Y261" s="7"/>
      <c r="Z261" s="7"/>
    </row>
    <row r="262" spans="1:26" ht="12.75" customHeight="1" x14ac:dyDescent="0.2">
      <c r="A262" s="95"/>
      <c r="B262" s="95"/>
      <c r="C262" s="40" t="s">
        <v>36</v>
      </c>
      <c r="D262" s="41">
        <v>36</v>
      </c>
      <c r="E262" s="42">
        <v>8155.89</v>
      </c>
      <c r="F262" s="42">
        <v>811.87</v>
      </c>
      <c r="G262" s="42">
        <v>123.95</v>
      </c>
      <c r="H262" s="42">
        <v>6280.06</v>
      </c>
      <c r="I262" s="42">
        <v>112.27</v>
      </c>
      <c r="J262" s="42">
        <v>1280.98</v>
      </c>
      <c r="K262" s="43">
        <v>15484.04</v>
      </c>
      <c r="L262" s="32">
        <v>16765.02</v>
      </c>
      <c r="M262" s="33"/>
      <c r="N262" s="30">
        <v>15484.04</v>
      </c>
      <c r="O262" s="30">
        <v>9203.98</v>
      </c>
      <c r="P262" s="30"/>
      <c r="Q262" s="30">
        <f>(N262+O262*0.18+J262)+(IF((P262-O262*0.18)&gt;0,(P262-O262*0.18),0))</f>
        <v>18421.736400000002</v>
      </c>
      <c r="R262" s="7"/>
      <c r="S262" s="7"/>
      <c r="T262" s="7"/>
      <c r="U262" s="7"/>
      <c r="V262" s="7"/>
      <c r="W262" s="7"/>
      <c r="X262" s="7"/>
      <c r="Y262" s="7"/>
      <c r="Z262" s="7"/>
    </row>
    <row r="263" spans="1:26" ht="9" customHeight="1" x14ac:dyDescent="0.2">
      <c r="A263" s="95"/>
      <c r="B263" s="95"/>
      <c r="C263" s="34" t="s">
        <v>37</v>
      </c>
      <c r="D263" s="35">
        <v>37</v>
      </c>
      <c r="E263" s="36">
        <v>15792005</v>
      </c>
      <c r="F263" s="36">
        <v>1572000</v>
      </c>
      <c r="G263" s="36">
        <v>240001</v>
      </c>
      <c r="H263" s="36">
        <v>12159892</v>
      </c>
      <c r="I263" s="36">
        <v>217385</v>
      </c>
      <c r="J263" s="37">
        <v>2480323</v>
      </c>
      <c r="K263" s="36">
        <v>29981282</v>
      </c>
      <c r="L263" s="38">
        <v>32461605</v>
      </c>
      <c r="M263" s="39"/>
      <c r="N263" s="36">
        <v>29981282</v>
      </c>
      <c r="O263" s="36">
        <v>17821390</v>
      </c>
      <c r="P263" s="36">
        <v>0</v>
      </c>
      <c r="Q263" s="36">
        <f>Q262*1936.27</f>
        <v>35669455.539228</v>
      </c>
      <c r="R263" s="7"/>
      <c r="S263" s="7"/>
      <c r="T263" s="7"/>
      <c r="U263" s="7"/>
      <c r="V263" s="7"/>
      <c r="W263" s="7"/>
      <c r="X263" s="7"/>
      <c r="Y263" s="7"/>
      <c r="Z263" s="7"/>
    </row>
    <row r="264" spans="1:26" ht="12.75" customHeight="1" x14ac:dyDescent="0.2">
      <c r="A264" s="95"/>
      <c r="B264" s="95"/>
      <c r="C264" s="40" t="s">
        <v>36</v>
      </c>
      <c r="D264" s="41">
        <v>38</v>
      </c>
      <c r="E264" s="42">
        <v>8298.43</v>
      </c>
      <c r="F264" s="42">
        <v>824.27</v>
      </c>
      <c r="G264" s="42">
        <v>123.95</v>
      </c>
      <c r="H264" s="42">
        <v>6280.06</v>
      </c>
      <c r="I264" s="42">
        <v>112.27</v>
      </c>
      <c r="J264" s="42">
        <v>1293.8900000000001</v>
      </c>
      <c r="K264" s="43">
        <v>15638.98</v>
      </c>
      <c r="L264" s="32">
        <v>16932.87</v>
      </c>
      <c r="M264" s="33"/>
      <c r="N264" s="30">
        <v>15638.98</v>
      </c>
      <c r="O264" s="30">
        <v>9358.92</v>
      </c>
      <c r="P264" s="30"/>
      <c r="Q264" s="30">
        <f>(N264+O264*0.18+J264)+(IF((P264-O264*0.18)&gt;0,(P264-O264*0.18),0))</f>
        <v>18617.475599999998</v>
      </c>
      <c r="R264" s="7"/>
      <c r="S264" s="7"/>
      <c r="T264" s="7"/>
      <c r="U264" s="7"/>
      <c r="V264" s="7"/>
      <c r="W264" s="7"/>
      <c r="X264" s="7"/>
      <c r="Y264" s="7"/>
      <c r="Z264" s="7"/>
    </row>
    <row r="265" spans="1:26" ht="9" customHeight="1" x14ac:dyDescent="0.2">
      <c r="A265" s="95"/>
      <c r="B265" s="95"/>
      <c r="C265" s="34" t="s">
        <v>37</v>
      </c>
      <c r="D265" s="35">
        <v>39</v>
      </c>
      <c r="E265" s="36">
        <v>16068001</v>
      </c>
      <c r="F265" s="36">
        <v>1596009</v>
      </c>
      <c r="G265" s="36">
        <v>240001</v>
      </c>
      <c r="H265" s="36">
        <v>12159892</v>
      </c>
      <c r="I265" s="36">
        <v>217385</v>
      </c>
      <c r="J265" s="37">
        <v>2505320</v>
      </c>
      <c r="K265" s="36">
        <v>30281288</v>
      </c>
      <c r="L265" s="38">
        <v>32786608</v>
      </c>
      <c r="M265" s="39"/>
      <c r="N265" s="36">
        <v>30281288</v>
      </c>
      <c r="O265" s="36">
        <v>18121396</v>
      </c>
      <c r="P265" s="36">
        <v>0</v>
      </c>
      <c r="Q265" s="36">
        <f>Q264*1936.27</f>
        <v>36048459.480011992</v>
      </c>
      <c r="R265" s="7"/>
      <c r="S265" s="7"/>
      <c r="T265" s="7"/>
      <c r="U265" s="7"/>
      <c r="V265" s="7"/>
      <c r="W265" s="7"/>
      <c r="X265" s="7"/>
      <c r="Y265" s="7"/>
      <c r="Z265" s="7"/>
    </row>
    <row r="266" spans="1:26" ht="9" customHeight="1" x14ac:dyDescent="0.2">
      <c r="A266" s="95"/>
      <c r="B266" s="95"/>
      <c r="C266" s="44"/>
      <c r="D266" s="45"/>
      <c r="E266" s="96"/>
      <c r="F266" s="96"/>
      <c r="G266" s="96"/>
      <c r="H266" s="96"/>
      <c r="I266" s="96"/>
      <c r="J266" s="54"/>
      <c r="K266" s="96"/>
      <c r="L266" s="96"/>
      <c r="M266" s="39"/>
      <c r="N266" s="96"/>
      <c r="O266" s="96"/>
      <c r="P266" s="96"/>
      <c r="Q266" s="96"/>
      <c r="R266" s="7"/>
      <c r="S266" s="7"/>
      <c r="T266" s="7"/>
      <c r="U266" s="7"/>
      <c r="V266" s="7"/>
      <c r="W266" s="7"/>
      <c r="X266" s="7"/>
      <c r="Y266" s="7"/>
      <c r="Z266" s="7"/>
    </row>
    <row r="267" spans="1:26" ht="9" customHeight="1" x14ac:dyDescent="0.2">
      <c r="A267" s="95"/>
      <c r="B267" s="95"/>
      <c r="C267" s="44"/>
      <c r="D267" s="45"/>
      <c r="E267" s="96"/>
      <c r="F267" s="96"/>
      <c r="G267" s="96"/>
      <c r="H267" s="96"/>
      <c r="I267" s="96"/>
      <c r="J267" s="54"/>
      <c r="K267" s="96"/>
      <c r="L267" s="96"/>
      <c r="M267" s="39"/>
      <c r="N267" s="96"/>
      <c r="O267" s="96"/>
      <c r="P267" s="96"/>
      <c r="Q267" s="96"/>
      <c r="R267" s="7"/>
      <c r="S267" s="7"/>
      <c r="T267" s="7"/>
      <c r="U267" s="7"/>
      <c r="V267" s="7"/>
      <c r="W267" s="7"/>
      <c r="X267" s="7"/>
      <c r="Y267" s="7"/>
      <c r="Z267" s="7"/>
    </row>
    <row r="268" spans="1:26" ht="12.75" customHeight="1" x14ac:dyDescent="0.2">
      <c r="A268" s="95"/>
      <c r="B268" s="95"/>
      <c r="C268" s="40" t="s">
        <v>36</v>
      </c>
      <c r="D268" s="41">
        <v>40</v>
      </c>
      <c r="E268" s="42">
        <v>8440.9699999999993</v>
      </c>
      <c r="F268" s="42">
        <v>842.86</v>
      </c>
      <c r="G268" s="42">
        <v>123.95</v>
      </c>
      <c r="H268" s="42">
        <v>6280.06</v>
      </c>
      <c r="I268" s="42">
        <v>112.27</v>
      </c>
      <c r="J268" s="42">
        <v>1307.32</v>
      </c>
      <c r="K268" s="43">
        <v>15800.11</v>
      </c>
      <c r="L268" s="32">
        <v>17107.43</v>
      </c>
      <c r="M268" s="33"/>
      <c r="N268" s="30">
        <v>15800.11</v>
      </c>
      <c r="O268" s="30">
        <v>9520.0499999999993</v>
      </c>
      <c r="P268" s="30"/>
      <c r="Q268" s="30">
        <f>(N268+O268*0.18+J268)+(IF((P268-O268*0.18)&gt;0,(P268-O268*0.18),0))</f>
        <v>18821.039000000001</v>
      </c>
      <c r="R268" s="7"/>
      <c r="S268" s="7"/>
      <c r="T268" s="7"/>
      <c r="U268" s="7"/>
      <c r="V268" s="7"/>
      <c r="W268" s="7"/>
      <c r="X268" s="7"/>
      <c r="Y268" s="7"/>
      <c r="Z268" s="7"/>
    </row>
    <row r="269" spans="1:26" ht="9" customHeight="1" x14ac:dyDescent="0.2">
      <c r="A269" s="110"/>
      <c r="B269" s="110"/>
      <c r="C269" s="47"/>
      <c r="D269" s="48"/>
      <c r="E269" s="46">
        <v>16343997</v>
      </c>
      <c r="F269" s="46">
        <v>1632005</v>
      </c>
      <c r="G269" s="46">
        <v>240001</v>
      </c>
      <c r="H269" s="46">
        <v>12159892</v>
      </c>
      <c r="I269" s="46">
        <v>217385</v>
      </c>
      <c r="J269" s="49">
        <v>2531324</v>
      </c>
      <c r="K269" s="46">
        <v>30593279</v>
      </c>
      <c r="L269" s="38">
        <v>33124603</v>
      </c>
      <c r="M269" s="39"/>
      <c r="N269" s="36">
        <v>30593279</v>
      </c>
      <c r="O269" s="36">
        <v>18433387</v>
      </c>
      <c r="P269" s="36">
        <v>0</v>
      </c>
      <c r="Q269" s="36">
        <f>Q268*1936.27</f>
        <v>36442613.184529997</v>
      </c>
      <c r="R269" s="7"/>
      <c r="S269" s="7"/>
      <c r="T269" s="7"/>
      <c r="U269" s="7"/>
      <c r="V269" s="7"/>
      <c r="W269" s="7"/>
      <c r="X269" s="7"/>
      <c r="Y269" s="7"/>
      <c r="Z269" s="7"/>
    </row>
    <row r="270" spans="1:26" ht="12.75" customHeight="1" x14ac:dyDescent="0.2">
      <c r="A270" s="98">
        <v>34516</v>
      </c>
      <c r="B270" s="98">
        <v>34699</v>
      </c>
      <c r="C270" s="28" t="s">
        <v>36</v>
      </c>
      <c r="D270" s="29">
        <v>0</v>
      </c>
      <c r="E270" s="30">
        <v>4412.6099999999997</v>
      </c>
      <c r="F270" s="30">
        <v>440.02</v>
      </c>
      <c r="G270" s="30">
        <v>123.95</v>
      </c>
      <c r="H270" s="30">
        <v>6280.06</v>
      </c>
      <c r="I270" s="30">
        <v>187.12</v>
      </c>
      <c r="J270" s="30">
        <v>938.05</v>
      </c>
      <c r="K270" s="31">
        <v>11443.76</v>
      </c>
      <c r="L270" s="32">
        <v>12381.81</v>
      </c>
      <c r="M270" s="33"/>
      <c r="N270" s="30">
        <v>11443.76</v>
      </c>
      <c r="O270" s="30">
        <v>5163.7</v>
      </c>
      <c r="P270" s="30"/>
      <c r="Q270" s="30">
        <f>(N270+O270*0.18+J270)+(IF((P270-O270*0.18)&gt;0,(P270-O270*0.18),0))</f>
        <v>13311.276</v>
      </c>
      <c r="R270" s="7"/>
      <c r="S270" s="7"/>
      <c r="T270" s="7"/>
      <c r="U270" s="7"/>
      <c r="V270" s="7"/>
      <c r="W270" s="7"/>
      <c r="X270" s="7"/>
      <c r="Y270" s="7"/>
      <c r="Z270" s="7"/>
    </row>
    <row r="271" spans="1:26" ht="9" customHeight="1" x14ac:dyDescent="0.2">
      <c r="A271" s="95"/>
      <c r="B271" s="95"/>
      <c r="C271" s="34" t="s">
        <v>37</v>
      </c>
      <c r="D271" s="35">
        <v>1</v>
      </c>
      <c r="E271" s="36">
        <v>8544004</v>
      </c>
      <c r="F271" s="36">
        <v>851998</v>
      </c>
      <c r="G271" s="36">
        <v>240001</v>
      </c>
      <c r="H271" s="36">
        <v>12159892</v>
      </c>
      <c r="I271" s="36">
        <v>362315</v>
      </c>
      <c r="J271" s="37">
        <v>1816318</v>
      </c>
      <c r="K271" s="36">
        <v>22158209</v>
      </c>
      <c r="L271" s="38">
        <v>23974527</v>
      </c>
      <c r="M271" s="39"/>
      <c r="N271" s="36">
        <v>22158209</v>
      </c>
      <c r="O271" s="36">
        <v>9998317</v>
      </c>
      <c r="P271" s="36">
        <v>0</v>
      </c>
      <c r="Q271" s="36">
        <f>Q270*1936.27</f>
        <v>25774224.380520001</v>
      </c>
      <c r="R271" s="7"/>
      <c r="S271" s="7"/>
      <c r="T271" s="7"/>
      <c r="U271" s="7"/>
      <c r="V271" s="7"/>
      <c r="W271" s="7"/>
      <c r="X271" s="7"/>
      <c r="Y271" s="7"/>
      <c r="Z271" s="7"/>
    </row>
    <row r="272" spans="1:26" ht="12.75" customHeight="1" x14ac:dyDescent="0.2">
      <c r="A272" s="155">
        <v>34516</v>
      </c>
      <c r="B272" s="155">
        <v>34699</v>
      </c>
      <c r="C272" s="40" t="s">
        <v>36</v>
      </c>
      <c r="D272" s="41">
        <v>2</v>
      </c>
      <c r="E272" s="42">
        <v>4641.91</v>
      </c>
      <c r="F272" s="42">
        <v>458.61</v>
      </c>
      <c r="G272" s="42">
        <v>123.95</v>
      </c>
      <c r="H272" s="42">
        <v>6280.06</v>
      </c>
      <c r="I272" s="42">
        <v>187.12</v>
      </c>
      <c r="J272" s="42">
        <v>958.71</v>
      </c>
      <c r="K272" s="43">
        <v>11691.65</v>
      </c>
      <c r="L272" s="32">
        <v>12650.36</v>
      </c>
      <c r="M272" s="33"/>
      <c r="N272" s="30">
        <v>11691.65</v>
      </c>
      <c r="O272" s="30">
        <v>5411.59</v>
      </c>
      <c r="P272" s="30"/>
      <c r="Q272" s="30">
        <f>(N272+O272*0.18+J272)+(IF((P272-O272*0.18)&gt;0,(P272-O272*0.18),0))</f>
        <v>13624.446199999998</v>
      </c>
      <c r="R272" s="7"/>
      <c r="S272" s="7"/>
      <c r="T272" s="7"/>
      <c r="U272" s="7"/>
      <c r="V272" s="7"/>
      <c r="W272" s="7"/>
      <c r="X272" s="7"/>
      <c r="Y272" s="7"/>
      <c r="Z272" s="7"/>
    </row>
    <row r="273" spans="1:26" ht="9" customHeight="1" x14ac:dyDescent="0.2">
      <c r="A273" s="95"/>
      <c r="B273" s="95"/>
      <c r="C273" s="34" t="s">
        <v>37</v>
      </c>
      <c r="D273" s="35">
        <v>3</v>
      </c>
      <c r="E273" s="36">
        <v>8987991</v>
      </c>
      <c r="F273" s="36">
        <v>887993</v>
      </c>
      <c r="G273" s="36">
        <v>240001</v>
      </c>
      <c r="H273" s="36">
        <v>12159892</v>
      </c>
      <c r="I273" s="36">
        <v>362315</v>
      </c>
      <c r="J273" s="37">
        <v>1856321</v>
      </c>
      <c r="K273" s="36">
        <v>22638191</v>
      </c>
      <c r="L273" s="38">
        <v>24494513</v>
      </c>
      <c r="M273" s="39"/>
      <c r="N273" s="36">
        <v>22638191</v>
      </c>
      <c r="O273" s="36">
        <v>10478299</v>
      </c>
      <c r="P273" s="36">
        <v>0</v>
      </c>
      <c r="Q273" s="36">
        <f>Q272*1936.27</f>
        <v>26380606.443673998</v>
      </c>
      <c r="R273" s="7"/>
      <c r="S273" s="7"/>
      <c r="T273" s="7"/>
      <c r="U273" s="7"/>
      <c r="V273" s="7"/>
      <c r="W273" s="7"/>
      <c r="X273" s="7"/>
      <c r="Y273" s="7"/>
      <c r="Z273" s="7"/>
    </row>
    <row r="274" spans="1:26" ht="12.75" customHeight="1" x14ac:dyDescent="0.2">
      <c r="A274" s="95"/>
      <c r="B274" s="95"/>
      <c r="C274" s="40" t="s">
        <v>36</v>
      </c>
      <c r="D274" s="41">
        <v>4</v>
      </c>
      <c r="E274" s="42">
        <v>4871.22</v>
      </c>
      <c r="F274" s="42">
        <v>483.4</v>
      </c>
      <c r="G274" s="42">
        <v>123.95</v>
      </c>
      <c r="H274" s="42">
        <v>6280.06</v>
      </c>
      <c r="I274" s="42">
        <v>187.12</v>
      </c>
      <c r="J274" s="42">
        <v>979.89</v>
      </c>
      <c r="K274" s="43">
        <v>11945.75</v>
      </c>
      <c r="L274" s="32">
        <v>12925.64</v>
      </c>
      <c r="M274" s="33"/>
      <c r="N274" s="30">
        <v>11945.75</v>
      </c>
      <c r="O274" s="30">
        <v>5665.69</v>
      </c>
      <c r="P274" s="30"/>
      <c r="Q274" s="30">
        <f>(N274+O274*0.18+J274)+(IF((P274-O274*0.18)&gt;0,(P274-O274*0.18),0))</f>
        <v>13945.464199999999</v>
      </c>
      <c r="R274" s="7"/>
      <c r="S274" s="7"/>
      <c r="T274" s="7"/>
      <c r="U274" s="7"/>
      <c r="V274" s="7"/>
      <c r="W274" s="7"/>
      <c r="X274" s="7"/>
      <c r="Y274" s="7"/>
      <c r="Z274" s="7"/>
    </row>
    <row r="275" spans="1:26" ht="9" customHeight="1" x14ac:dyDescent="0.2">
      <c r="A275" s="95"/>
      <c r="B275" s="95"/>
      <c r="C275" s="34" t="s">
        <v>37</v>
      </c>
      <c r="D275" s="35">
        <v>5</v>
      </c>
      <c r="E275" s="36">
        <v>9431997</v>
      </c>
      <c r="F275" s="36">
        <v>935993</v>
      </c>
      <c r="G275" s="36">
        <v>240001</v>
      </c>
      <c r="H275" s="36">
        <v>12159892</v>
      </c>
      <c r="I275" s="36">
        <v>362315</v>
      </c>
      <c r="J275" s="37">
        <v>1897332</v>
      </c>
      <c r="K275" s="36">
        <v>23130197</v>
      </c>
      <c r="L275" s="38">
        <v>25027529</v>
      </c>
      <c r="M275" s="39"/>
      <c r="N275" s="36">
        <v>23130197</v>
      </c>
      <c r="O275" s="36">
        <v>10970306</v>
      </c>
      <c r="P275" s="36">
        <v>0</v>
      </c>
      <c r="Q275" s="36">
        <f>Q274*1936.27</f>
        <v>27002183.966533996</v>
      </c>
      <c r="R275" s="7"/>
      <c r="S275" s="7"/>
      <c r="T275" s="7"/>
      <c r="U275" s="7"/>
      <c r="V275" s="7"/>
      <c r="W275" s="7"/>
      <c r="X275" s="7"/>
      <c r="Y275" s="7"/>
      <c r="Z275" s="7"/>
    </row>
    <row r="276" spans="1:26" ht="12.75" customHeight="1" x14ac:dyDescent="0.2">
      <c r="A276" s="95"/>
      <c r="B276" s="95"/>
      <c r="C276" s="40" t="s">
        <v>36</v>
      </c>
      <c r="D276" s="41">
        <v>6</v>
      </c>
      <c r="E276" s="42">
        <v>5199.6899999999996</v>
      </c>
      <c r="F276" s="42">
        <v>514.39</v>
      </c>
      <c r="G276" s="42">
        <v>123.95</v>
      </c>
      <c r="H276" s="42">
        <v>6280.06</v>
      </c>
      <c r="I276" s="42">
        <v>187.12</v>
      </c>
      <c r="J276" s="42">
        <v>1009.84</v>
      </c>
      <c r="K276" s="43">
        <v>12305.21</v>
      </c>
      <c r="L276" s="32">
        <v>13315.05</v>
      </c>
      <c r="M276" s="33"/>
      <c r="N276" s="30">
        <v>12305.21</v>
      </c>
      <c r="O276" s="30">
        <v>6025.15</v>
      </c>
      <c r="P276" s="30"/>
      <c r="Q276" s="30">
        <f>(N276+O276*0.18+J276)+(IF((P276-O276*0.18)&gt;0,(P276-O276*0.18),0))</f>
        <v>14399.576999999999</v>
      </c>
      <c r="R276" s="7"/>
      <c r="S276" s="7"/>
      <c r="T276" s="7"/>
      <c r="U276" s="7"/>
      <c r="V276" s="7"/>
      <c r="W276" s="7"/>
      <c r="X276" s="7"/>
      <c r="Y276" s="7"/>
      <c r="Z276" s="7"/>
    </row>
    <row r="277" spans="1:26" ht="9" customHeight="1" x14ac:dyDescent="0.2">
      <c r="A277" s="95"/>
      <c r="B277" s="95"/>
      <c r="C277" s="34" t="s">
        <v>37</v>
      </c>
      <c r="D277" s="35">
        <v>7</v>
      </c>
      <c r="E277" s="36">
        <v>10068004</v>
      </c>
      <c r="F277" s="36">
        <v>995998</v>
      </c>
      <c r="G277" s="36">
        <v>240001</v>
      </c>
      <c r="H277" s="36">
        <v>12159892</v>
      </c>
      <c r="I277" s="36">
        <v>362315</v>
      </c>
      <c r="J277" s="37">
        <v>1955323</v>
      </c>
      <c r="K277" s="36">
        <v>23826209</v>
      </c>
      <c r="L277" s="38">
        <v>25781532</v>
      </c>
      <c r="M277" s="39"/>
      <c r="N277" s="36">
        <v>23826209</v>
      </c>
      <c r="O277" s="36">
        <v>11666317</v>
      </c>
      <c r="P277" s="36">
        <v>0</v>
      </c>
      <c r="Q277" s="36">
        <f>Q276*1936.27</f>
        <v>27881468.957789999</v>
      </c>
      <c r="R277" s="7"/>
      <c r="S277" s="7"/>
      <c r="T277" s="7"/>
      <c r="U277" s="7"/>
      <c r="V277" s="7"/>
      <c r="W277" s="7"/>
      <c r="X277" s="7"/>
      <c r="Y277" s="7"/>
      <c r="Z277" s="7"/>
    </row>
    <row r="278" spans="1:26" ht="12.75" customHeight="1" x14ac:dyDescent="0.2">
      <c r="A278" s="95"/>
      <c r="B278" s="95"/>
      <c r="C278" s="40" t="s">
        <v>36</v>
      </c>
      <c r="D278" s="41">
        <v>8</v>
      </c>
      <c r="E278" s="42">
        <v>5466.18</v>
      </c>
      <c r="F278" s="42">
        <v>545.38</v>
      </c>
      <c r="G278" s="42">
        <v>123.95</v>
      </c>
      <c r="H278" s="42">
        <v>6280.06</v>
      </c>
      <c r="I278" s="42">
        <v>187.12</v>
      </c>
      <c r="J278" s="42">
        <v>1034.6300000000001</v>
      </c>
      <c r="K278" s="43">
        <v>12602.69</v>
      </c>
      <c r="L278" s="32">
        <v>13637.32</v>
      </c>
      <c r="M278" s="33"/>
      <c r="N278" s="30">
        <v>12602.69</v>
      </c>
      <c r="O278" s="30">
        <v>6322.63</v>
      </c>
      <c r="P278" s="30"/>
      <c r="Q278" s="30">
        <f>(N278+O278*0.18+J278)+(IF((P278-O278*0.18)&gt;0,(P278-O278*0.18),0))</f>
        <v>14775.393400000001</v>
      </c>
      <c r="R278" s="7"/>
      <c r="S278" s="7"/>
      <c r="T278" s="7"/>
      <c r="U278" s="7"/>
      <c r="V278" s="7"/>
      <c r="W278" s="7"/>
      <c r="X278" s="7"/>
      <c r="Y278" s="7"/>
      <c r="Z278" s="7"/>
    </row>
    <row r="279" spans="1:26" ht="9" customHeight="1" x14ac:dyDescent="0.2">
      <c r="A279" s="95"/>
      <c r="B279" s="95"/>
      <c r="C279" s="34" t="s">
        <v>37</v>
      </c>
      <c r="D279" s="35">
        <v>9</v>
      </c>
      <c r="E279" s="36">
        <v>10584000</v>
      </c>
      <c r="F279" s="36">
        <v>1056003</v>
      </c>
      <c r="G279" s="36">
        <v>240001</v>
      </c>
      <c r="H279" s="36">
        <v>12159892</v>
      </c>
      <c r="I279" s="36">
        <v>362315</v>
      </c>
      <c r="J279" s="37">
        <v>2003323</v>
      </c>
      <c r="K279" s="36">
        <v>24402211</v>
      </c>
      <c r="L279" s="38">
        <v>26405534</v>
      </c>
      <c r="M279" s="39"/>
      <c r="N279" s="36">
        <v>24402211</v>
      </c>
      <c r="O279" s="36">
        <v>12242319</v>
      </c>
      <c r="P279" s="36">
        <v>0</v>
      </c>
      <c r="Q279" s="36">
        <f>Q278*1936.27</f>
        <v>28609150.978618</v>
      </c>
      <c r="R279" s="7"/>
      <c r="S279" s="7"/>
      <c r="T279" s="7"/>
      <c r="U279" s="7"/>
      <c r="V279" s="7"/>
      <c r="W279" s="7"/>
      <c r="X279" s="7"/>
      <c r="Y279" s="7"/>
      <c r="Z279" s="7"/>
    </row>
    <row r="280" spans="1:26" ht="12.75" customHeight="1" x14ac:dyDescent="0.2">
      <c r="A280" s="95"/>
      <c r="B280" s="95"/>
      <c r="C280" s="40" t="s">
        <v>36</v>
      </c>
      <c r="D280" s="41">
        <v>10</v>
      </c>
      <c r="E280" s="42">
        <v>5726.47</v>
      </c>
      <c r="F280" s="42">
        <v>570.16999999999996</v>
      </c>
      <c r="G280" s="42">
        <v>123.95</v>
      </c>
      <c r="H280" s="42">
        <v>6280.06</v>
      </c>
      <c r="I280" s="42">
        <v>187.12</v>
      </c>
      <c r="J280" s="42">
        <v>1058.3900000000001</v>
      </c>
      <c r="K280" s="43">
        <v>12887.77</v>
      </c>
      <c r="L280" s="32">
        <v>13946.16</v>
      </c>
      <c r="M280" s="33"/>
      <c r="N280" s="30">
        <v>12887.77</v>
      </c>
      <c r="O280" s="30">
        <v>6607.71</v>
      </c>
      <c r="P280" s="30"/>
      <c r="Q280" s="30">
        <f>(N280+O280*0.18+J280)+(IF((P280-O280*0.18)&gt;0,(P280-O280*0.18),0))</f>
        <v>15135.5478</v>
      </c>
      <c r="R280" s="7"/>
      <c r="S280" s="7"/>
      <c r="T280" s="7"/>
      <c r="U280" s="7"/>
      <c r="V280" s="7"/>
      <c r="W280" s="7"/>
      <c r="X280" s="7"/>
      <c r="Y280" s="7"/>
      <c r="Z280" s="7"/>
    </row>
    <row r="281" spans="1:26" ht="9" customHeight="1" x14ac:dyDescent="0.2">
      <c r="A281" s="95"/>
      <c r="B281" s="95"/>
      <c r="C281" s="34" t="s">
        <v>37</v>
      </c>
      <c r="D281" s="35">
        <v>11</v>
      </c>
      <c r="E281" s="36">
        <v>11087992</v>
      </c>
      <c r="F281" s="36">
        <v>1104003</v>
      </c>
      <c r="G281" s="36">
        <v>240001</v>
      </c>
      <c r="H281" s="36">
        <v>12159892</v>
      </c>
      <c r="I281" s="36">
        <v>362315</v>
      </c>
      <c r="J281" s="37">
        <v>2049329</v>
      </c>
      <c r="K281" s="36">
        <v>24954202</v>
      </c>
      <c r="L281" s="38">
        <v>27003531</v>
      </c>
      <c r="M281" s="39"/>
      <c r="N281" s="36">
        <v>24954202</v>
      </c>
      <c r="O281" s="36">
        <v>12794311</v>
      </c>
      <c r="P281" s="36">
        <v>0</v>
      </c>
      <c r="Q281" s="36">
        <f>Q280*1936.27</f>
        <v>29306507.138705999</v>
      </c>
      <c r="R281" s="7"/>
      <c r="S281" s="7"/>
      <c r="T281" s="7"/>
      <c r="U281" s="7"/>
      <c r="V281" s="7"/>
      <c r="W281" s="7"/>
      <c r="X281" s="7"/>
      <c r="Y281" s="7"/>
      <c r="Z281" s="7"/>
    </row>
    <row r="282" spans="1:26" ht="12.75" customHeight="1" x14ac:dyDescent="0.2">
      <c r="A282" s="95"/>
      <c r="B282" s="95"/>
      <c r="C282" s="40" t="s">
        <v>36</v>
      </c>
      <c r="D282" s="41">
        <v>12</v>
      </c>
      <c r="E282" s="42">
        <v>5986.77</v>
      </c>
      <c r="F282" s="42">
        <v>594.96</v>
      </c>
      <c r="G282" s="42">
        <v>123.95</v>
      </c>
      <c r="H282" s="42">
        <v>6280.06</v>
      </c>
      <c r="I282" s="42">
        <v>187.12</v>
      </c>
      <c r="J282" s="42">
        <v>1082.1500000000001</v>
      </c>
      <c r="K282" s="43">
        <v>13172.86</v>
      </c>
      <c r="L282" s="32">
        <v>14255.01</v>
      </c>
      <c r="M282" s="33"/>
      <c r="N282" s="30">
        <v>13172.86</v>
      </c>
      <c r="O282" s="30">
        <v>6892.8</v>
      </c>
      <c r="P282" s="30"/>
      <c r="Q282" s="30">
        <f>(N282+O282*0.18+J282)+(IF((P282-O282*0.18)&gt;0,(P282-O282*0.18),0))</f>
        <v>15495.714</v>
      </c>
      <c r="R282" s="7"/>
      <c r="S282" s="7"/>
      <c r="T282" s="7"/>
      <c r="U282" s="7"/>
      <c r="V282" s="7"/>
      <c r="W282" s="7"/>
      <c r="X282" s="7"/>
      <c r="Y282" s="7"/>
      <c r="Z282" s="7"/>
    </row>
    <row r="283" spans="1:26" ht="9" customHeight="1" x14ac:dyDescent="0.2">
      <c r="A283" s="95"/>
      <c r="B283" s="95"/>
      <c r="C283" s="34" t="s">
        <v>37</v>
      </c>
      <c r="D283" s="35">
        <v>13</v>
      </c>
      <c r="E283" s="36">
        <v>11592003</v>
      </c>
      <c r="F283" s="36">
        <v>1152003</v>
      </c>
      <c r="G283" s="36">
        <v>240001</v>
      </c>
      <c r="H283" s="36">
        <v>12159892</v>
      </c>
      <c r="I283" s="36">
        <v>362315</v>
      </c>
      <c r="J283" s="37">
        <v>2095335</v>
      </c>
      <c r="K283" s="36">
        <v>25506214</v>
      </c>
      <c r="L283" s="38">
        <v>27601548</v>
      </c>
      <c r="M283" s="39"/>
      <c r="N283" s="36">
        <v>25506214</v>
      </c>
      <c r="O283" s="36">
        <v>13346322</v>
      </c>
      <c r="P283" s="36">
        <v>0</v>
      </c>
      <c r="Q283" s="36">
        <f>Q282*1936.27</f>
        <v>30003886.146779999</v>
      </c>
      <c r="R283" s="7"/>
      <c r="S283" s="7"/>
      <c r="T283" s="7"/>
      <c r="U283" s="7"/>
      <c r="V283" s="7"/>
      <c r="W283" s="7"/>
      <c r="X283" s="7"/>
      <c r="Y283" s="7"/>
      <c r="Z283" s="7"/>
    </row>
    <row r="284" spans="1:26" ht="12.75" customHeight="1" x14ac:dyDescent="0.2">
      <c r="A284" s="95"/>
      <c r="B284" s="95"/>
      <c r="C284" s="40" t="s">
        <v>36</v>
      </c>
      <c r="D284" s="41">
        <v>14</v>
      </c>
      <c r="E284" s="42">
        <v>6247.06</v>
      </c>
      <c r="F284" s="42">
        <v>619.75</v>
      </c>
      <c r="G284" s="42">
        <v>123.95</v>
      </c>
      <c r="H284" s="42">
        <v>6280.06</v>
      </c>
      <c r="I284" s="42">
        <v>187.12</v>
      </c>
      <c r="J284" s="42">
        <v>1105.9000000000001</v>
      </c>
      <c r="K284" s="43">
        <v>13457.94</v>
      </c>
      <c r="L284" s="32">
        <v>14563.84</v>
      </c>
      <c r="M284" s="33"/>
      <c r="N284" s="30">
        <v>13457.94</v>
      </c>
      <c r="O284" s="30">
        <v>7177.88</v>
      </c>
      <c r="P284" s="30"/>
      <c r="Q284" s="30">
        <f>(N284+O284*0.18+J284)+(IF((P284-O284*0.18)&gt;0,(P284-O284*0.18),0))</f>
        <v>15855.858399999999</v>
      </c>
      <c r="R284" s="7"/>
      <c r="S284" s="7"/>
      <c r="T284" s="7"/>
      <c r="U284" s="7"/>
      <c r="V284" s="7"/>
      <c r="W284" s="7"/>
      <c r="X284" s="7"/>
      <c r="Y284" s="7"/>
      <c r="Z284" s="7"/>
    </row>
    <row r="285" spans="1:26" ht="9" customHeight="1" x14ac:dyDescent="0.2">
      <c r="A285" s="95"/>
      <c r="B285" s="95"/>
      <c r="C285" s="34" t="s">
        <v>37</v>
      </c>
      <c r="D285" s="35">
        <v>15</v>
      </c>
      <c r="E285" s="36">
        <v>12095995</v>
      </c>
      <c r="F285" s="36">
        <v>1200003</v>
      </c>
      <c r="G285" s="36">
        <v>240001</v>
      </c>
      <c r="H285" s="36">
        <v>12159892</v>
      </c>
      <c r="I285" s="36">
        <v>362315</v>
      </c>
      <c r="J285" s="37">
        <v>2141321</v>
      </c>
      <c r="K285" s="36">
        <v>26058205</v>
      </c>
      <c r="L285" s="38">
        <v>28199526</v>
      </c>
      <c r="M285" s="39"/>
      <c r="N285" s="36">
        <v>26058205</v>
      </c>
      <c r="O285" s="36">
        <v>13898314</v>
      </c>
      <c r="P285" s="36">
        <v>0</v>
      </c>
      <c r="Q285" s="36">
        <f>Q284*1936.27</f>
        <v>30701222.944167998</v>
      </c>
      <c r="R285" s="7"/>
      <c r="S285" s="7"/>
      <c r="T285" s="7"/>
      <c r="U285" s="7"/>
      <c r="V285" s="7"/>
      <c r="W285" s="7"/>
      <c r="X285" s="7"/>
      <c r="Y285" s="7"/>
      <c r="Z285" s="7"/>
    </row>
    <row r="286" spans="1:26" ht="12.75" customHeight="1" x14ac:dyDescent="0.2">
      <c r="A286" s="95"/>
      <c r="B286" s="95"/>
      <c r="C286" s="40" t="s">
        <v>36</v>
      </c>
      <c r="D286" s="41">
        <v>16</v>
      </c>
      <c r="E286" s="42">
        <v>6507.36</v>
      </c>
      <c r="F286" s="42">
        <v>650.74</v>
      </c>
      <c r="G286" s="42">
        <v>123.95</v>
      </c>
      <c r="H286" s="42">
        <v>6280.06</v>
      </c>
      <c r="I286" s="42">
        <v>187.12</v>
      </c>
      <c r="J286" s="42">
        <v>1130.18</v>
      </c>
      <c r="K286" s="43">
        <v>13749.23</v>
      </c>
      <c r="L286" s="32">
        <v>14879.41</v>
      </c>
      <c r="M286" s="33"/>
      <c r="N286" s="30">
        <v>13749.23</v>
      </c>
      <c r="O286" s="30">
        <v>7469.17</v>
      </c>
      <c r="P286" s="30"/>
      <c r="Q286" s="30">
        <f>(N286+O286*0.18+J286)+(IF((P286-O286*0.18)&gt;0,(P286-O286*0.18),0))</f>
        <v>16223.8606</v>
      </c>
      <c r="R286" s="7"/>
      <c r="S286" s="7"/>
      <c r="T286" s="7"/>
      <c r="U286" s="7"/>
      <c r="V286" s="7"/>
      <c r="W286" s="7"/>
      <c r="X286" s="7"/>
      <c r="Y286" s="7"/>
      <c r="Z286" s="7"/>
    </row>
    <row r="287" spans="1:26" ht="9" customHeight="1" x14ac:dyDescent="0.2">
      <c r="A287" s="95"/>
      <c r="B287" s="95"/>
      <c r="C287" s="34" t="s">
        <v>37</v>
      </c>
      <c r="D287" s="35">
        <v>17</v>
      </c>
      <c r="E287" s="36">
        <v>12600006</v>
      </c>
      <c r="F287" s="36">
        <v>1260008</v>
      </c>
      <c r="G287" s="36">
        <v>240001</v>
      </c>
      <c r="H287" s="36">
        <v>12159892</v>
      </c>
      <c r="I287" s="36">
        <v>362315</v>
      </c>
      <c r="J287" s="37">
        <v>2188334</v>
      </c>
      <c r="K287" s="36">
        <v>26622222</v>
      </c>
      <c r="L287" s="38">
        <v>28810555</v>
      </c>
      <c r="M287" s="39"/>
      <c r="N287" s="36">
        <v>26622222</v>
      </c>
      <c r="O287" s="36">
        <v>14462330</v>
      </c>
      <c r="P287" s="36">
        <v>0</v>
      </c>
      <c r="Q287" s="36">
        <f>Q286*1936.27</f>
        <v>31413774.563962001</v>
      </c>
      <c r="R287" s="7"/>
      <c r="S287" s="7"/>
      <c r="T287" s="7"/>
      <c r="U287" s="7"/>
      <c r="V287" s="7"/>
      <c r="W287" s="7"/>
      <c r="X287" s="7"/>
      <c r="Y287" s="7"/>
      <c r="Z287" s="7"/>
    </row>
    <row r="288" spans="1:26" ht="12.75" customHeight="1" x14ac:dyDescent="0.2">
      <c r="A288" s="95"/>
      <c r="B288" s="95"/>
      <c r="C288" s="40" t="s">
        <v>36</v>
      </c>
      <c r="D288" s="41">
        <v>18</v>
      </c>
      <c r="E288" s="42">
        <v>6767.65</v>
      </c>
      <c r="F288" s="42">
        <v>675.53</v>
      </c>
      <c r="G288" s="42">
        <v>123.95</v>
      </c>
      <c r="H288" s="42">
        <v>6280.06</v>
      </c>
      <c r="I288" s="42">
        <v>187.12</v>
      </c>
      <c r="J288" s="42">
        <v>1153.93</v>
      </c>
      <c r="K288" s="43">
        <v>14034.31</v>
      </c>
      <c r="L288" s="32">
        <v>15188.24</v>
      </c>
      <c r="M288" s="33"/>
      <c r="N288" s="30">
        <v>14034.31</v>
      </c>
      <c r="O288" s="30">
        <v>7754.25</v>
      </c>
      <c r="P288" s="30"/>
      <c r="Q288" s="30">
        <f>(N288+O288*0.18+J288)+(IF((P288-O288*0.18)&gt;0,(P288-O288*0.18),0))</f>
        <v>16584.004999999997</v>
      </c>
      <c r="R288" s="7"/>
      <c r="S288" s="7"/>
      <c r="T288" s="7"/>
      <c r="U288" s="7"/>
      <c r="V288" s="7"/>
      <c r="W288" s="7"/>
      <c r="X288" s="7"/>
      <c r="Y288" s="7"/>
      <c r="Z288" s="7"/>
    </row>
    <row r="289" spans="1:26" ht="9" customHeight="1" x14ac:dyDescent="0.2">
      <c r="A289" s="95"/>
      <c r="B289" s="95"/>
      <c r="C289" s="34" t="s">
        <v>37</v>
      </c>
      <c r="D289" s="35">
        <v>19</v>
      </c>
      <c r="E289" s="36">
        <v>13103998</v>
      </c>
      <c r="F289" s="36">
        <v>1308008</v>
      </c>
      <c r="G289" s="36">
        <v>240001</v>
      </c>
      <c r="H289" s="36">
        <v>12159892</v>
      </c>
      <c r="I289" s="36">
        <v>362315</v>
      </c>
      <c r="J289" s="37">
        <v>2234320</v>
      </c>
      <c r="K289" s="36">
        <v>27174213</v>
      </c>
      <c r="L289" s="38">
        <v>29408533</v>
      </c>
      <c r="M289" s="39"/>
      <c r="N289" s="36">
        <v>27174213</v>
      </c>
      <c r="O289" s="36">
        <v>15014322</v>
      </c>
      <c r="P289" s="36">
        <v>0</v>
      </c>
      <c r="Q289" s="36">
        <f>Q288*1936.27</f>
        <v>32111111.361349996</v>
      </c>
      <c r="R289" s="7"/>
      <c r="S289" s="7"/>
      <c r="T289" s="7"/>
      <c r="U289" s="7"/>
      <c r="V289" s="7"/>
      <c r="W289" s="7"/>
      <c r="X289" s="7"/>
      <c r="Y289" s="7"/>
      <c r="Z289" s="7"/>
    </row>
    <row r="290" spans="1:26" ht="12.75" customHeight="1" x14ac:dyDescent="0.2">
      <c r="A290" s="95"/>
      <c r="B290" s="95"/>
      <c r="C290" s="40" t="s">
        <v>36</v>
      </c>
      <c r="D290" s="41">
        <v>20</v>
      </c>
      <c r="E290" s="42">
        <v>7027.95</v>
      </c>
      <c r="F290" s="42">
        <v>700.32</v>
      </c>
      <c r="G290" s="42">
        <v>123.95</v>
      </c>
      <c r="H290" s="42">
        <v>6280.06</v>
      </c>
      <c r="I290" s="42">
        <v>187.12</v>
      </c>
      <c r="J290" s="42">
        <v>1177.69</v>
      </c>
      <c r="K290" s="43">
        <v>14319.4</v>
      </c>
      <c r="L290" s="32">
        <v>15497.09</v>
      </c>
      <c r="M290" s="33"/>
      <c r="N290" s="30">
        <v>14319.4</v>
      </c>
      <c r="O290" s="30">
        <v>8039.34</v>
      </c>
      <c r="P290" s="30"/>
      <c r="Q290" s="30">
        <f>(N290+O290*0.18+J290)+(IF((P290-O290*0.18)&gt;0,(P290-O290*0.18),0))</f>
        <v>16944.171200000001</v>
      </c>
      <c r="R290" s="7"/>
      <c r="S290" s="7"/>
      <c r="T290" s="7"/>
      <c r="U290" s="7"/>
      <c r="V290" s="7"/>
      <c r="W290" s="7"/>
      <c r="X290" s="7"/>
      <c r="Y290" s="7"/>
      <c r="Z290" s="7"/>
    </row>
    <row r="291" spans="1:26" ht="9" customHeight="1" x14ac:dyDescent="0.2">
      <c r="A291" s="95"/>
      <c r="B291" s="95"/>
      <c r="C291" s="34" t="s">
        <v>37</v>
      </c>
      <c r="D291" s="35">
        <v>21</v>
      </c>
      <c r="E291" s="36">
        <v>13608009</v>
      </c>
      <c r="F291" s="36">
        <v>1356009</v>
      </c>
      <c r="G291" s="36">
        <v>240001</v>
      </c>
      <c r="H291" s="36">
        <v>12159892</v>
      </c>
      <c r="I291" s="36">
        <v>362315</v>
      </c>
      <c r="J291" s="37">
        <v>2280326</v>
      </c>
      <c r="K291" s="36">
        <v>27726225</v>
      </c>
      <c r="L291" s="38">
        <v>30006550</v>
      </c>
      <c r="M291" s="39"/>
      <c r="N291" s="36">
        <v>27726225</v>
      </c>
      <c r="O291" s="36">
        <v>15566333</v>
      </c>
      <c r="P291" s="36">
        <v>0</v>
      </c>
      <c r="Q291" s="36">
        <f>Q290*1936.27</f>
        <v>32808490.369424</v>
      </c>
      <c r="R291" s="7"/>
      <c r="S291" s="7"/>
      <c r="T291" s="7"/>
      <c r="U291" s="7"/>
      <c r="V291" s="7"/>
      <c r="W291" s="7"/>
      <c r="X291" s="7"/>
      <c r="Y291" s="7"/>
      <c r="Z291" s="7"/>
    </row>
    <row r="292" spans="1:26" ht="12.75" customHeight="1" x14ac:dyDescent="0.2">
      <c r="A292" s="95"/>
      <c r="B292" s="95"/>
      <c r="C292" s="40" t="s">
        <v>36</v>
      </c>
      <c r="D292" s="41">
        <v>22</v>
      </c>
      <c r="E292" s="42">
        <v>7170.49</v>
      </c>
      <c r="F292" s="42">
        <v>712.71</v>
      </c>
      <c r="G292" s="42">
        <v>123.95</v>
      </c>
      <c r="H292" s="42">
        <v>6280.06</v>
      </c>
      <c r="I292" s="42">
        <v>187.12</v>
      </c>
      <c r="J292" s="42">
        <v>1190.5999999999999</v>
      </c>
      <c r="K292" s="43">
        <v>14474.33</v>
      </c>
      <c r="L292" s="32">
        <v>15664.93</v>
      </c>
      <c r="M292" s="33"/>
      <c r="N292" s="30">
        <v>14474.33</v>
      </c>
      <c r="O292" s="30">
        <v>8194.27</v>
      </c>
      <c r="P292" s="30"/>
      <c r="Q292" s="30">
        <f>(N292+O292*0.18+J292)+(IF((P292-O292*0.18)&gt;0,(P292-O292*0.18),0))</f>
        <v>17139.8986</v>
      </c>
      <c r="R292" s="7"/>
      <c r="S292" s="7"/>
      <c r="T292" s="7"/>
      <c r="U292" s="7"/>
      <c r="V292" s="7"/>
      <c r="W292" s="7"/>
      <c r="X292" s="7"/>
      <c r="Y292" s="7"/>
      <c r="Z292" s="7"/>
    </row>
    <row r="293" spans="1:26" ht="9" customHeight="1" x14ac:dyDescent="0.2">
      <c r="A293" s="95"/>
      <c r="B293" s="95"/>
      <c r="C293" s="34" t="s">
        <v>37</v>
      </c>
      <c r="D293" s="35">
        <v>23</v>
      </c>
      <c r="E293" s="36">
        <v>13884005</v>
      </c>
      <c r="F293" s="36">
        <v>1379999</v>
      </c>
      <c r="G293" s="36">
        <v>240001</v>
      </c>
      <c r="H293" s="36">
        <v>12159892</v>
      </c>
      <c r="I293" s="36">
        <v>362315</v>
      </c>
      <c r="J293" s="37">
        <v>2305323</v>
      </c>
      <c r="K293" s="36">
        <v>28026211</v>
      </c>
      <c r="L293" s="38">
        <v>30331534</v>
      </c>
      <c r="M293" s="39"/>
      <c r="N293" s="36">
        <v>28026211</v>
      </c>
      <c r="O293" s="36">
        <v>15866319</v>
      </c>
      <c r="P293" s="36">
        <v>0</v>
      </c>
      <c r="Q293" s="36">
        <f>Q292*1936.27</f>
        <v>33187471.462221999</v>
      </c>
      <c r="R293" s="7"/>
      <c r="S293" s="7"/>
      <c r="T293" s="7"/>
      <c r="U293" s="7"/>
      <c r="V293" s="7"/>
      <c r="W293" s="7"/>
      <c r="X293" s="7"/>
      <c r="Y293" s="7"/>
      <c r="Z293" s="7"/>
    </row>
    <row r="294" spans="1:26" ht="12.75" customHeight="1" x14ac:dyDescent="0.2">
      <c r="A294" s="95"/>
      <c r="B294" s="95"/>
      <c r="C294" s="40" t="s">
        <v>36</v>
      </c>
      <c r="D294" s="41">
        <v>24</v>
      </c>
      <c r="E294" s="42">
        <v>7313.03</v>
      </c>
      <c r="F294" s="42">
        <v>731.3</v>
      </c>
      <c r="G294" s="42">
        <v>123.95</v>
      </c>
      <c r="H294" s="42">
        <v>6280.06</v>
      </c>
      <c r="I294" s="42">
        <v>187.12</v>
      </c>
      <c r="J294" s="42">
        <v>1204.03</v>
      </c>
      <c r="K294" s="43">
        <v>14635.46</v>
      </c>
      <c r="L294" s="32">
        <v>15839.49</v>
      </c>
      <c r="M294" s="33"/>
      <c r="N294" s="30">
        <v>14635.46</v>
      </c>
      <c r="O294" s="30">
        <v>8355.4</v>
      </c>
      <c r="P294" s="30"/>
      <c r="Q294" s="30">
        <f>(N294+O294*0.18+J294)+(IF((P294-O294*0.18)&gt;0,(P294-O294*0.18),0))</f>
        <v>17343.462</v>
      </c>
      <c r="R294" s="7"/>
      <c r="S294" s="7"/>
      <c r="T294" s="7"/>
      <c r="U294" s="7"/>
      <c r="V294" s="7"/>
      <c r="W294" s="7"/>
      <c r="X294" s="7"/>
      <c r="Y294" s="7"/>
      <c r="Z294" s="7"/>
    </row>
    <row r="295" spans="1:26" ht="9" customHeight="1" x14ac:dyDescent="0.2">
      <c r="A295" s="95"/>
      <c r="B295" s="95"/>
      <c r="C295" s="34" t="s">
        <v>37</v>
      </c>
      <c r="D295" s="35">
        <v>25</v>
      </c>
      <c r="E295" s="36">
        <v>14160001</v>
      </c>
      <c r="F295" s="36">
        <v>1415994</v>
      </c>
      <c r="G295" s="36">
        <v>240001</v>
      </c>
      <c r="H295" s="36">
        <v>12159892</v>
      </c>
      <c r="I295" s="36">
        <v>362315</v>
      </c>
      <c r="J295" s="37">
        <v>2331327</v>
      </c>
      <c r="K295" s="36">
        <v>28338202</v>
      </c>
      <c r="L295" s="38">
        <v>30669529</v>
      </c>
      <c r="M295" s="39"/>
      <c r="N295" s="36">
        <v>28338202</v>
      </c>
      <c r="O295" s="36">
        <v>16178310</v>
      </c>
      <c r="P295" s="36">
        <v>0</v>
      </c>
      <c r="Q295" s="36">
        <f>Q294*1936.27</f>
        <v>33581625.16674</v>
      </c>
      <c r="R295" s="7"/>
      <c r="S295" s="7"/>
      <c r="T295" s="7"/>
      <c r="U295" s="7"/>
      <c r="V295" s="7"/>
      <c r="W295" s="7"/>
      <c r="X295" s="7"/>
      <c r="Y295" s="7"/>
      <c r="Z295" s="7"/>
    </row>
    <row r="296" spans="1:26" ht="12.75" customHeight="1" x14ac:dyDescent="0.2">
      <c r="A296" s="95"/>
      <c r="B296" s="95"/>
      <c r="C296" s="40" t="s">
        <v>36</v>
      </c>
      <c r="D296" s="41">
        <v>26</v>
      </c>
      <c r="E296" s="42">
        <v>7455.57</v>
      </c>
      <c r="F296" s="42">
        <v>743.7</v>
      </c>
      <c r="G296" s="42">
        <v>123.95</v>
      </c>
      <c r="H296" s="42">
        <v>6280.06</v>
      </c>
      <c r="I296" s="42">
        <v>187.12</v>
      </c>
      <c r="J296" s="42">
        <v>1216.94</v>
      </c>
      <c r="K296" s="43">
        <v>14790.4</v>
      </c>
      <c r="L296" s="32">
        <v>16007.34</v>
      </c>
      <c r="M296" s="33"/>
      <c r="N296" s="30">
        <v>14790.4</v>
      </c>
      <c r="O296" s="30">
        <v>8510.34</v>
      </c>
      <c r="P296" s="30"/>
      <c r="Q296" s="30">
        <f>(N296+O296*0.18+J296)+(IF((P296-O296*0.18)&gt;0,(P296-O296*0.18),0))</f>
        <v>17539.2012</v>
      </c>
      <c r="R296" s="7"/>
      <c r="S296" s="7"/>
      <c r="T296" s="7"/>
      <c r="U296" s="7"/>
      <c r="V296" s="7"/>
      <c r="W296" s="7"/>
      <c r="X296" s="7"/>
      <c r="Y296" s="7"/>
      <c r="Z296" s="7"/>
    </row>
    <row r="297" spans="1:26" ht="9" customHeight="1" x14ac:dyDescent="0.2">
      <c r="A297" s="95"/>
      <c r="B297" s="95"/>
      <c r="C297" s="34" t="s">
        <v>37</v>
      </c>
      <c r="D297" s="35">
        <v>27</v>
      </c>
      <c r="E297" s="36">
        <v>14435997</v>
      </c>
      <c r="F297" s="36">
        <v>1440004</v>
      </c>
      <c r="G297" s="36">
        <v>240001</v>
      </c>
      <c r="H297" s="36">
        <v>12159892</v>
      </c>
      <c r="I297" s="36">
        <v>362315</v>
      </c>
      <c r="J297" s="37">
        <v>2356324</v>
      </c>
      <c r="K297" s="36">
        <v>28638208</v>
      </c>
      <c r="L297" s="38">
        <v>30994532</v>
      </c>
      <c r="M297" s="39"/>
      <c r="N297" s="36">
        <v>28638208</v>
      </c>
      <c r="O297" s="36">
        <v>16478316</v>
      </c>
      <c r="P297" s="36">
        <v>0</v>
      </c>
      <c r="Q297" s="36">
        <f>Q296*1936.27</f>
        <v>33960629.107524</v>
      </c>
      <c r="R297" s="7"/>
      <c r="S297" s="7"/>
      <c r="T297" s="7"/>
      <c r="U297" s="7"/>
      <c r="V297" s="7"/>
      <c r="W297" s="7"/>
      <c r="X297" s="7"/>
      <c r="Y297" s="7"/>
      <c r="Z297" s="7"/>
    </row>
    <row r="298" spans="1:26" ht="12.75" customHeight="1" x14ac:dyDescent="0.2">
      <c r="A298" s="95"/>
      <c r="B298" s="95"/>
      <c r="C298" s="40" t="s">
        <v>36</v>
      </c>
      <c r="D298" s="41">
        <v>28</v>
      </c>
      <c r="E298" s="42">
        <v>7591.92</v>
      </c>
      <c r="F298" s="42">
        <v>756.09</v>
      </c>
      <c r="G298" s="42">
        <v>123.95</v>
      </c>
      <c r="H298" s="42">
        <v>6280.06</v>
      </c>
      <c r="I298" s="42">
        <v>187.12</v>
      </c>
      <c r="J298" s="42">
        <v>1229.3399999999999</v>
      </c>
      <c r="K298" s="43">
        <v>14939.14</v>
      </c>
      <c r="L298" s="32">
        <v>16168.48</v>
      </c>
      <c r="M298" s="33"/>
      <c r="N298" s="30">
        <v>14939.14</v>
      </c>
      <c r="O298" s="30">
        <v>8659.08</v>
      </c>
      <c r="P298" s="30"/>
      <c r="Q298" s="30">
        <f>(N298+O298*0.18+J298)+(IF((P298-O298*0.18)&gt;0,(P298-O298*0.18),0))</f>
        <v>17727.114399999999</v>
      </c>
      <c r="R298" s="7"/>
      <c r="S298" s="7"/>
      <c r="T298" s="7"/>
      <c r="U298" s="7"/>
      <c r="V298" s="7"/>
      <c r="W298" s="7"/>
      <c r="X298" s="7"/>
      <c r="Y298" s="7"/>
      <c r="Z298" s="7"/>
    </row>
    <row r="299" spans="1:26" ht="9" customHeight="1" x14ac:dyDescent="0.2">
      <c r="A299" s="95"/>
      <c r="B299" s="95"/>
      <c r="C299" s="34" t="s">
        <v>37</v>
      </c>
      <c r="D299" s="35">
        <v>29</v>
      </c>
      <c r="E299" s="36">
        <v>14700007</v>
      </c>
      <c r="F299" s="36">
        <v>1463994</v>
      </c>
      <c r="G299" s="36">
        <v>240001</v>
      </c>
      <c r="H299" s="36">
        <v>12159892</v>
      </c>
      <c r="I299" s="36">
        <v>362315</v>
      </c>
      <c r="J299" s="37">
        <v>2380334</v>
      </c>
      <c r="K299" s="36">
        <v>28926209</v>
      </c>
      <c r="L299" s="38">
        <v>31306543</v>
      </c>
      <c r="M299" s="39"/>
      <c r="N299" s="36">
        <v>28926209</v>
      </c>
      <c r="O299" s="36">
        <v>16766317</v>
      </c>
      <c r="P299" s="36">
        <v>0</v>
      </c>
      <c r="Q299" s="36">
        <f>Q298*1936.27</f>
        <v>34324479.799287997</v>
      </c>
      <c r="R299" s="7"/>
      <c r="S299" s="7"/>
      <c r="T299" s="7"/>
      <c r="U299" s="7"/>
      <c r="V299" s="7"/>
      <c r="W299" s="7"/>
      <c r="X299" s="7"/>
      <c r="Y299" s="7"/>
      <c r="Z299" s="7"/>
    </row>
    <row r="300" spans="1:26" ht="12.75" customHeight="1" x14ac:dyDescent="0.2">
      <c r="A300" s="95"/>
      <c r="B300" s="95"/>
      <c r="C300" s="40" t="s">
        <v>36</v>
      </c>
      <c r="D300" s="41">
        <v>30</v>
      </c>
      <c r="E300" s="42">
        <v>7734.46</v>
      </c>
      <c r="F300" s="42">
        <v>768.49</v>
      </c>
      <c r="G300" s="42">
        <v>123.95</v>
      </c>
      <c r="H300" s="42">
        <v>6280.06</v>
      </c>
      <c r="I300" s="42">
        <v>187.12</v>
      </c>
      <c r="J300" s="42">
        <v>1242.25</v>
      </c>
      <c r="K300" s="43">
        <v>15094.08</v>
      </c>
      <c r="L300" s="32">
        <v>16336.33</v>
      </c>
      <c r="M300" s="33"/>
      <c r="N300" s="30">
        <v>15094.08</v>
      </c>
      <c r="O300" s="30">
        <v>8814.02</v>
      </c>
      <c r="P300" s="30"/>
      <c r="Q300" s="30">
        <f>(N300+O300*0.18+J300)+(IF((P300-O300*0.18)&gt;0,(P300-O300*0.18),0))</f>
        <v>17922.853599999999</v>
      </c>
      <c r="R300" s="7"/>
      <c r="S300" s="7"/>
      <c r="T300" s="7"/>
      <c r="U300" s="7"/>
      <c r="V300" s="7"/>
      <c r="W300" s="7"/>
      <c r="X300" s="7"/>
      <c r="Y300" s="7"/>
      <c r="Z300" s="7"/>
    </row>
    <row r="301" spans="1:26" ht="9" customHeight="1" x14ac:dyDescent="0.2">
      <c r="A301" s="95"/>
      <c r="B301" s="95"/>
      <c r="C301" s="34" t="s">
        <v>37</v>
      </c>
      <c r="D301" s="35">
        <v>31</v>
      </c>
      <c r="E301" s="36">
        <v>14976003</v>
      </c>
      <c r="F301" s="36">
        <v>1488004</v>
      </c>
      <c r="G301" s="36">
        <v>240001</v>
      </c>
      <c r="H301" s="36">
        <v>12159892</v>
      </c>
      <c r="I301" s="36">
        <v>362315</v>
      </c>
      <c r="J301" s="37">
        <v>2405331</v>
      </c>
      <c r="K301" s="36">
        <v>29226214</v>
      </c>
      <c r="L301" s="38">
        <v>31631546</v>
      </c>
      <c r="M301" s="39"/>
      <c r="N301" s="36">
        <v>29226214</v>
      </c>
      <c r="O301" s="36">
        <v>17066323</v>
      </c>
      <c r="P301" s="36">
        <v>0</v>
      </c>
      <c r="Q301" s="36">
        <f>Q300*1936.27</f>
        <v>34703483.740071997</v>
      </c>
      <c r="R301" s="7"/>
      <c r="S301" s="7"/>
      <c r="T301" s="7"/>
      <c r="U301" s="7"/>
      <c r="V301" s="7"/>
      <c r="W301" s="7"/>
      <c r="X301" s="7"/>
      <c r="Y301" s="7"/>
      <c r="Z301" s="7"/>
    </row>
    <row r="302" spans="1:26" ht="12.75" customHeight="1" x14ac:dyDescent="0.2">
      <c r="A302" s="95"/>
      <c r="B302" s="95"/>
      <c r="C302" s="40" t="s">
        <v>36</v>
      </c>
      <c r="D302" s="41">
        <v>32</v>
      </c>
      <c r="E302" s="42">
        <v>7877</v>
      </c>
      <c r="F302" s="42">
        <v>787.08</v>
      </c>
      <c r="G302" s="42">
        <v>123.95</v>
      </c>
      <c r="H302" s="42">
        <v>6280.06</v>
      </c>
      <c r="I302" s="42">
        <v>187.12</v>
      </c>
      <c r="J302" s="42">
        <v>1255.67</v>
      </c>
      <c r="K302" s="43">
        <v>15255.21</v>
      </c>
      <c r="L302" s="32">
        <v>16510.88</v>
      </c>
      <c r="M302" s="33"/>
      <c r="N302" s="30">
        <v>15255.21</v>
      </c>
      <c r="O302" s="30">
        <v>8975.15</v>
      </c>
      <c r="P302" s="30"/>
      <c r="Q302" s="30">
        <f>(N302+O302*0.18+J302)+(IF((P302-O302*0.18)&gt;0,(P302-O302*0.18),0))</f>
        <v>18126.406999999999</v>
      </c>
      <c r="R302" s="7"/>
      <c r="S302" s="7"/>
      <c r="T302" s="7"/>
      <c r="U302" s="7"/>
      <c r="V302" s="7"/>
      <c r="W302" s="7"/>
      <c r="X302" s="7"/>
      <c r="Y302" s="7"/>
      <c r="Z302" s="7"/>
    </row>
    <row r="303" spans="1:26" ht="9" customHeight="1" x14ac:dyDescent="0.2">
      <c r="A303" s="95"/>
      <c r="B303" s="95"/>
      <c r="C303" s="34" t="s">
        <v>37</v>
      </c>
      <c r="D303" s="35">
        <v>33</v>
      </c>
      <c r="E303" s="36">
        <v>15251999</v>
      </c>
      <c r="F303" s="36">
        <v>1523999</v>
      </c>
      <c r="G303" s="36">
        <v>240001</v>
      </c>
      <c r="H303" s="36">
        <v>12159892</v>
      </c>
      <c r="I303" s="36">
        <v>362315</v>
      </c>
      <c r="J303" s="37">
        <v>2431316</v>
      </c>
      <c r="K303" s="36">
        <v>29538205</v>
      </c>
      <c r="L303" s="38">
        <v>31969522</v>
      </c>
      <c r="M303" s="39"/>
      <c r="N303" s="36">
        <v>29538205</v>
      </c>
      <c r="O303" s="36">
        <v>17378314</v>
      </c>
      <c r="P303" s="36">
        <v>0</v>
      </c>
      <c r="Q303" s="36">
        <f>Q302*1936.27</f>
        <v>35097618.081890002</v>
      </c>
      <c r="R303" s="7"/>
      <c r="S303" s="7"/>
      <c r="T303" s="7"/>
      <c r="U303" s="7"/>
      <c r="V303" s="7"/>
      <c r="W303" s="7"/>
      <c r="X303" s="7"/>
      <c r="Y303" s="7"/>
      <c r="Z303" s="7"/>
    </row>
    <row r="304" spans="1:26" ht="12.75" customHeight="1" x14ac:dyDescent="0.2">
      <c r="A304" s="95"/>
      <c r="B304" s="95"/>
      <c r="C304" s="40" t="s">
        <v>36</v>
      </c>
      <c r="D304" s="41">
        <v>34</v>
      </c>
      <c r="E304" s="42">
        <v>7829.49</v>
      </c>
      <c r="F304" s="42">
        <v>799.48</v>
      </c>
      <c r="G304" s="42">
        <v>123.95</v>
      </c>
      <c r="H304" s="42">
        <v>6280.06</v>
      </c>
      <c r="I304" s="42">
        <v>187.12</v>
      </c>
      <c r="J304" s="42">
        <v>1252.75</v>
      </c>
      <c r="K304" s="43">
        <v>15220.1</v>
      </c>
      <c r="L304" s="32">
        <v>16472.849999999999</v>
      </c>
      <c r="M304" s="33"/>
      <c r="N304" s="30">
        <v>15220.1</v>
      </c>
      <c r="O304" s="30">
        <v>8940.0400000000009</v>
      </c>
      <c r="P304" s="30"/>
      <c r="Q304" s="30">
        <f>(N304+O304*0.18+J304)+(IF((P304-O304*0.18)&gt;0,(P304-O304*0.18),0))</f>
        <v>18082.057199999999</v>
      </c>
      <c r="R304" s="7"/>
      <c r="S304" s="7"/>
      <c r="T304" s="7"/>
      <c r="U304" s="7"/>
      <c r="V304" s="7"/>
      <c r="W304" s="7"/>
      <c r="X304" s="7"/>
      <c r="Y304" s="7"/>
      <c r="Z304" s="7"/>
    </row>
    <row r="305" spans="1:26" ht="9" customHeight="1" x14ac:dyDescent="0.2">
      <c r="A305" s="95"/>
      <c r="B305" s="95"/>
      <c r="C305" s="34" t="s">
        <v>37</v>
      </c>
      <c r="D305" s="35">
        <v>35</v>
      </c>
      <c r="E305" s="36">
        <v>15160007</v>
      </c>
      <c r="F305" s="36">
        <v>1548009</v>
      </c>
      <c r="G305" s="36">
        <v>240001</v>
      </c>
      <c r="H305" s="36">
        <v>12159892</v>
      </c>
      <c r="I305" s="36">
        <v>362315</v>
      </c>
      <c r="J305" s="37">
        <v>2425662</v>
      </c>
      <c r="K305" s="36">
        <v>29470223</v>
      </c>
      <c r="L305" s="38">
        <v>31895885</v>
      </c>
      <c r="M305" s="39"/>
      <c r="N305" s="36">
        <v>29470223</v>
      </c>
      <c r="O305" s="36">
        <v>17310331</v>
      </c>
      <c r="P305" s="36">
        <v>0</v>
      </c>
      <c r="Q305" s="36">
        <f>Q304*1936.27</f>
        <v>35011744.894644</v>
      </c>
      <c r="R305" s="7"/>
      <c r="S305" s="7"/>
      <c r="T305" s="7"/>
      <c r="U305" s="7"/>
      <c r="V305" s="7"/>
      <c r="W305" s="7"/>
      <c r="X305" s="7"/>
      <c r="Y305" s="7"/>
      <c r="Z305" s="7"/>
    </row>
    <row r="306" spans="1:26" ht="12.75" customHeight="1" x14ac:dyDescent="0.2">
      <c r="A306" s="95"/>
      <c r="B306" s="95"/>
      <c r="C306" s="40" t="s">
        <v>36</v>
      </c>
      <c r="D306" s="41">
        <v>36</v>
      </c>
      <c r="E306" s="42">
        <v>8155.89</v>
      </c>
      <c r="F306" s="42">
        <v>811.87</v>
      </c>
      <c r="G306" s="42">
        <v>123.95</v>
      </c>
      <c r="H306" s="42">
        <v>6280.06</v>
      </c>
      <c r="I306" s="42">
        <v>187.12</v>
      </c>
      <c r="J306" s="42">
        <v>1280.98</v>
      </c>
      <c r="K306" s="43">
        <v>15558.89</v>
      </c>
      <c r="L306" s="32">
        <v>16839.87</v>
      </c>
      <c r="M306" s="33"/>
      <c r="N306" s="30">
        <v>15558.89</v>
      </c>
      <c r="O306" s="30">
        <v>9278.83</v>
      </c>
      <c r="P306" s="30"/>
      <c r="Q306" s="30">
        <f>(N306+O306*0.18+J306)+(IF((P306-O306*0.18)&gt;0,(P306-O306*0.18),0))</f>
        <v>18510.059399999998</v>
      </c>
      <c r="R306" s="7"/>
      <c r="S306" s="7"/>
      <c r="T306" s="7"/>
      <c r="U306" s="7"/>
      <c r="V306" s="7"/>
      <c r="W306" s="7"/>
      <c r="X306" s="7"/>
      <c r="Y306" s="7"/>
      <c r="Z306" s="7"/>
    </row>
    <row r="307" spans="1:26" ht="9" customHeight="1" x14ac:dyDescent="0.2">
      <c r="A307" s="95"/>
      <c r="B307" s="95"/>
      <c r="C307" s="34" t="s">
        <v>37</v>
      </c>
      <c r="D307" s="35">
        <v>37</v>
      </c>
      <c r="E307" s="36">
        <v>15792005</v>
      </c>
      <c r="F307" s="36">
        <v>1572000</v>
      </c>
      <c r="G307" s="36">
        <v>240001</v>
      </c>
      <c r="H307" s="36">
        <v>12159892</v>
      </c>
      <c r="I307" s="36">
        <v>362315</v>
      </c>
      <c r="J307" s="37">
        <v>2480323</v>
      </c>
      <c r="K307" s="36">
        <v>30126212</v>
      </c>
      <c r="L307" s="38">
        <v>32606535</v>
      </c>
      <c r="M307" s="39"/>
      <c r="N307" s="36">
        <v>30126212</v>
      </c>
      <c r="O307" s="36">
        <v>17966320</v>
      </c>
      <c r="P307" s="36">
        <v>0</v>
      </c>
      <c r="Q307" s="36">
        <f>Q306*1936.27</f>
        <v>35840472.714437999</v>
      </c>
      <c r="R307" s="7"/>
      <c r="S307" s="7"/>
      <c r="T307" s="7"/>
      <c r="U307" s="7"/>
      <c r="V307" s="7"/>
      <c r="W307" s="7"/>
      <c r="X307" s="7"/>
      <c r="Y307" s="7"/>
      <c r="Z307" s="7"/>
    </row>
    <row r="308" spans="1:26" ht="12.75" customHeight="1" x14ac:dyDescent="0.2">
      <c r="A308" s="95"/>
      <c r="B308" s="95"/>
      <c r="C308" s="40" t="s">
        <v>36</v>
      </c>
      <c r="D308" s="41">
        <v>38</v>
      </c>
      <c r="E308" s="42">
        <v>8298.43</v>
      </c>
      <c r="F308" s="42">
        <v>824.27</v>
      </c>
      <c r="G308" s="42">
        <v>123.95</v>
      </c>
      <c r="H308" s="42">
        <v>6280.06</v>
      </c>
      <c r="I308" s="42">
        <v>187.12</v>
      </c>
      <c r="J308" s="42">
        <v>1293.8900000000001</v>
      </c>
      <c r="K308" s="43">
        <v>15713.83</v>
      </c>
      <c r="L308" s="32">
        <v>17007.72</v>
      </c>
      <c r="M308" s="33"/>
      <c r="N308" s="30">
        <v>15713.83</v>
      </c>
      <c r="O308" s="30">
        <v>9433.77</v>
      </c>
      <c r="P308" s="30"/>
      <c r="Q308" s="30">
        <f>(N308+O308*0.18+J308)+(IF((P308-O308*0.18)&gt;0,(P308-O308*0.18),0))</f>
        <v>18705.798599999998</v>
      </c>
      <c r="R308" s="7"/>
      <c r="S308" s="7"/>
      <c r="T308" s="7"/>
      <c r="U308" s="7"/>
      <c r="V308" s="7"/>
      <c r="W308" s="7"/>
      <c r="X308" s="7"/>
      <c r="Y308" s="7"/>
      <c r="Z308" s="7"/>
    </row>
    <row r="309" spans="1:26" ht="9" customHeight="1" x14ac:dyDescent="0.2">
      <c r="A309" s="95"/>
      <c r="B309" s="95"/>
      <c r="C309" s="34" t="s">
        <v>37</v>
      </c>
      <c r="D309" s="35">
        <v>39</v>
      </c>
      <c r="E309" s="36">
        <v>16068001</v>
      </c>
      <c r="F309" s="36">
        <v>1596009</v>
      </c>
      <c r="G309" s="36">
        <v>240001</v>
      </c>
      <c r="H309" s="36">
        <v>12159892</v>
      </c>
      <c r="I309" s="36">
        <v>362315</v>
      </c>
      <c r="J309" s="37">
        <v>2505320</v>
      </c>
      <c r="K309" s="36">
        <v>30426218</v>
      </c>
      <c r="L309" s="38">
        <v>32931538</v>
      </c>
      <c r="M309" s="39"/>
      <c r="N309" s="36">
        <v>30426218</v>
      </c>
      <c r="O309" s="36">
        <v>18266326</v>
      </c>
      <c r="P309" s="36">
        <v>0</v>
      </c>
      <c r="Q309" s="36">
        <f>Q308*1936.27</f>
        <v>36219476.655221999</v>
      </c>
      <c r="R309" s="7"/>
      <c r="S309" s="7"/>
      <c r="T309" s="7"/>
      <c r="U309" s="7"/>
      <c r="V309" s="7"/>
      <c r="W309" s="7"/>
      <c r="X309" s="7"/>
      <c r="Y309" s="7"/>
      <c r="Z309" s="7"/>
    </row>
    <row r="310" spans="1:26" ht="9" customHeight="1" x14ac:dyDescent="0.2">
      <c r="A310" s="95"/>
      <c r="B310" s="95"/>
      <c r="C310" s="44"/>
      <c r="D310" s="45"/>
      <c r="E310" s="96"/>
      <c r="F310" s="96"/>
      <c r="G310" s="96"/>
      <c r="H310" s="96"/>
      <c r="I310" s="96"/>
      <c r="J310" s="54"/>
      <c r="K310" s="96"/>
      <c r="L310" s="96"/>
      <c r="M310" s="39"/>
      <c r="N310" s="96"/>
      <c r="O310" s="96"/>
      <c r="P310" s="96"/>
      <c r="Q310" s="96"/>
      <c r="R310" s="7"/>
      <c r="S310" s="7"/>
      <c r="T310" s="7"/>
      <c r="U310" s="7"/>
      <c r="V310" s="7"/>
      <c r="W310" s="7"/>
      <c r="X310" s="7"/>
      <c r="Y310" s="7"/>
      <c r="Z310" s="7"/>
    </row>
    <row r="311" spans="1:26" ht="9" customHeight="1" x14ac:dyDescent="0.2">
      <c r="A311" s="95"/>
      <c r="B311" s="95"/>
      <c r="C311" s="44"/>
      <c r="D311" s="45"/>
      <c r="E311" s="96"/>
      <c r="F311" s="96"/>
      <c r="G311" s="96"/>
      <c r="H311" s="96"/>
      <c r="I311" s="96"/>
      <c r="J311" s="54"/>
      <c r="K311" s="96"/>
      <c r="L311" s="96"/>
      <c r="M311" s="39"/>
      <c r="N311" s="96"/>
      <c r="O311" s="96"/>
      <c r="P311" s="96"/>
      <c r="Q311" s="96"/>
      <c r="R311" s="7"/>
      <c r="S311" s="7"/>
      <c r="T311" s="7"/>
      <c r="U311" s="7"/>
      <c r="V311" s="7"/>
      <c r="W311" s="7"/>
      <c r="X311" s="7"/>
      <c r="Y311" s="7"/>
      <c r="Z311" s="7"/>
    </row>
    <row r="312" spans="1:26" ht="12.75" customHeight="1" x14ac:dyDescent="0.2">
      <c r="A312" s="95"/>
      <c r="B312" s="95"/>
      <c r="C312" s="40" t="s">
        <v>36</v>
      </c>
      <c r="D312" s="41">
        <v>40</v>
      </c>
      <c r="E312" s="42">
        <v>8440.9699999999993</v>
      </c>
      <c r="F312" s="42">
        <v>842.86</v>
      </c>
      <c r="G312" s="42">
        <v>123.95</v>
      </c>
      <c r="H312" s="42">
        <v>6280.06</v>
      </c>
      <c r="I312" s="42">
        <v>187.12</v>
      </c>
      <c r="J312" s="42">
        <v>1307.32</v>
      </c>
      <c r="K312" s="43">
        <v>15874.96</v>
      </c>
      <c r="L312" s="32">
        <v>17182.28</v>
      </c>
      <c r="M312" s="33"/>
      <c r="N312" s="30">
        <v>15874.96</v>
      </c>
      <c r="O312" s="30">
        <v>9594.9</v>
      </c>
      <c r="P312" s="30"/>
      <c r="Q312" s="30">
        <f>(N312+O312*0.18+J312)+(IF((P312-O312*0.18)&gt;0,(P312-O312*0.18),0))</f>
        <v>18909.361999999997</v>
      </c>
      <c r="R312" s="7"/>
      <c r="S312" s="7"/>
      <c r="T312" s="7"/>
      <c r="U312" s="7"/>
      <c r="V312" s="7"/>
      <c r="W312" s="7"/>
      <c r="X312" s="7"/>
      <c r="Y312" s="7"/>
      <c r="Z312" s="7"/>
    </row>
    <row r="313" spans="1:26" ht="9" customHeight="1" x14ac:dyDescent="0.2">
      <c r="A313" s="110"/>
      <c r="B313" s="110"/>
      <c r="C313" s="47"/>
      <c r="D313" s="48"/>
      <c r="E313" s="46">
        <v>16343997</v>
      </c>
      <c r="F313" s="46">
        <v>1632005</v>
      </c>
      <c r="G313" s="46">
        <v>240001</v>
      </c>
      <c r="H313" s="46">
        <v>12159892</v>
      </c>
      <c r="I313" s="46">
        <v>362315</v>
      </c>
      <c r="J313" s="49">
        <v>2531324</v>
      </c>
      <c r="K313" s="46">
        <v>30738209</v>
      </c>
      <c r="L313" s="38">
        <v>33269533</v>
      </c>
      <c r="M313" s="39"/>
      <c r="N313" s="36">
        <v>30738209</v>
      </c>
      <c r="O313" s="36">
        <v>18578317</v>
      </c>
      <c r="P313" s="36">
        <v>0</v>
      </c>
      <c r="Q313" s="36">
        <f>Q312*1936.27</f>
        <v>36613630.359739996</v>
      </c>
      <c r="R313" s="7"/>
      <c r="S313" s="7"/>
      <c r="T313" s="7"/>
      <c r="U313" s="7"/>
      <c r="V313" s="7"/>
      <c r="W313" s="7"/>
      <c r="X313" s="7"/>
      <c r="Y313" s="7"/>
      <c r="Z313" s="7"/>
    </row>
    <row r="314" spans="1:26" ht="12.75" customHeight="1" x14ac:dyDescent="0.2">
      <c r="A314" s="98">
        <v>34700</v>
      </c>
      <c r="B314" s="98">
        <v>35033</v>
      </c>
      <c r="C314" s="28" t="s">
        <v>36</v>
      </c>
      <c r="D314" s="29">
        <v>0</v>
      </c>
      <c r="E314" s="30">
        <v>4768.5200000000004</v>
      </c>
      <c r="F314" s="30">
        <v>440.02</v>
      </c>
      <c r="G314" s="30">
        <v>123.95</v>
      </c>
      <c r="H314" s="30">
        <v>6280.06</v>
      </c>
      <c r="I314" s="30">
        <v>0</v>
      </c>
      <c r="J314" s="30">
        <v>967.71</v>
      </c>
      <c r="K314" s="31">
        <v>11612.55</v>
      </c>
      <c r="L314" s="120">
        <v>12580.26</v>
      </c>
      <c r="M314" s="33"/>
      <c r="N314" s="30">
        <v>11612.55</v>
      </c>
      <c r="O314" s="30">
        <v>5332.49</v>
      </c>
      <c r="P314" s="30"/>
      <c r="Q314" s="30">
        <f>(N314+O314*0.18+J314)+(IF((P314-O314*0.18)&gt;0,(P314-O314*0.18),0))</f>
        <v>13540.108199999999</v>
      </c>
      <c r="R314" s="7"/>
      <c r="S314" s="7"/>
      <c r="T314" s="7"/>
      <c r="U314" s="7"/>
      <c r="V314" s="7"/>
      <c r="W314" s="7"/>
      <c r="X314" s="7"/>
      <c r="Y314" s="7"/>
      <c r="Z314" s="7"/>
    </row>
    <row r="315" spans="1:26" ht="9" customHeight="1" x14ac:dyDescent="0.2">
      <c r="A315" s="95"/>
      <c r="B315" s="95"/>
      <c r="C315" s="34" t="s">
        <v>37</v>
      </c>
      <c r="D315" s="35">
        <v>1</v>
      </c>
      <c r="E315" s="36">
        <v>9233142</v>
      </c>
      <c r="F315" s="36">
        <v>851998</v>
      </c>
      <c r="G315" s="36">
        <v>240001</v>
      </c>
      <c r="H315" s="36">
        <v>12159892</v>
      </c>
      <c r="I315" s="36">
        <v>0</v>
      </c>
      <c r="J315" s="37">
        <v>1873748</v>
      </c>
      <c r="K315" s="36">
        <v>22485032</v>
      </c>
      <c r="L315" s="121">
        <v>24358780</v>
      </c>
      <c r="M315" s="39"/>
      <c r="N315" s="36">
        <v>22485032</v>
      </c>
      <c r="O315" s="36">
        <v>10325140</v>
      </c>
      <c r="P315" s="36">
        <v>0</v>
      </c>
      <c r="Q315" s="36">
        <f>Q314*1936.27</f>
        <v>26217305.304413997</v>
      </c>
      <c r="R315" s="7"/>
      <c r="S315" s="7"/>
      <c r="T315" s="7"/>
      <c r="U315" s="7"/>
      <c r="V315" s="7"/>
      <c r="W315" s="7"/>
      <c r="X315" s="7"/>
      <c r="Y315" s="7"/>
      <c r="Z315" s="7"/>
    </row>
    <row r="316" spans="1:26" ht="12.75" customHeight="1" x14ac:dyDescent="0.2">
      <c r="A316" s="155">
        <v>34700</v>
      </c>
      <c r="B316" s="155">
        <v>35033</v>
      </c>
      <c r="C316" s="40" t="s">
        <v>36</v>
      </c>
      <c r="D316" s="41">
        <v>2</v>
      </c>
      <c r="E316" s="42">
        <v>4997.83</v>
      </c>
      <c r="F316" s="42">
        <v>458.61</v>
      </c>
      <c r="G316" s="42">
        <v>123.95</v>
      </c>
      <c r="H316" s="42">
        <v>6280.06</v>
      </c>
      <c r="I316" s="42">
        <v>0</v>
      </c>
      <c r="J316" s="42">
        <v>988.37</v>
      </c>
      <c r="K316" s="43">
        <v>11860.45</v>
      </c>
      <c r="L316" s="122">
        <v>12848.82</v>
      </c>
      <c r="M316" s="33"/>
      <c r="N316" s="30">
        <v>11860.45</v>
      </c>
      <c r="O316" s="30">
        <v>5580.39</v>
      </c>
      <c r="P316" s="30"/>
      <c r="Q316" s="30">
        <f>(N316+O316*0.18+J316)+(IF((P316-O316*0.18)&gt;0,(P316-O316*0.18),0))</f>
        <v>13853.290200000001</v>
      </c>
      <c r="R316" s="7"/>
      <c r="S316" s="7"/>
      <c r="T316" s="7"/>
      <c r="U316" s="7"/>
      <c r="V316" s="7"/>
      <c r="W316" s="7"/>
      <c r="X316" s="7"/>
      <c r="Y316" s="7"/>
      <c r="Z316" s="7"/>
    </row>
    <row r="317" spans="1:26" ht="9" customHeight="1" x14ac:dyDescent="0.2">
      <c r="A317" s="95"/>
      <c r="B317" s="95"/>
      <c r="C317" s="34" t="s">
        <v>37</v>
      </c>
      <c r="D317" s="35">
        <v>3</v>
      </c>
      <c r="E317" s="36">
        <v>9677148</v>
      </c>
      <c r="F317" s="36">
        <v>887993</v>
      </c>
      <c r="G317" s="36">
        <v>240001</v>
      </c>
      <c r="H317" s="36">
        <v>12159892</v>
      </c>
      <c r="I317" s="36">
        <v>0</v>
      </c>
      <c r="J317" s="37">
        <v>1913751</v>
      </c>
      <c r="K317" s="36">
        <v>22965034</v>
      </c>
      <c r="L317" s="121">
        <v>24878785</v>
      </c>
      <c r="M317" s="39"/>
      <c r="N317" s="36">
        <v>22965034</v>
      </c>
      <c r="O317" s="36">
        <v>10805142</v>
      </c>
      <c r="P317" s="36">
        <v>0</v>
      </c>
      <c r="Q317" s="36">
        <f>Q316*1936.27</f>
        <v>26823710.215554003</v>
      </c>
      <c r="R317" s="7"/>
      <c r="S317" s="7"/>
      <c r="T317" s="7"/>
      <c r="U317" s="7"/>
      <c r="V317" s="7"/>
      <c r="W317" s="7"/>
      <c r="X317" s="7"/>
      <c r="Y317" s="7"/>
      <c r="Z317" s="7"/>
    </row>
    <row r="318" spans="1:26" ht="12.75" customHeight="1" x14ac:dyDescent="0.2">
      <c r="A318" s="95"/>
      <c r="B318" s="95"/>
      <c r="C318" s="40" t="s">
        <v>36</v>
      </c>
      <c r="D318" s="41">
        <v>4</v>
      </c>
      <c r="E318" s="42">
        <v>5234.95</v>
      </c>
      <c r="F318" s="42">
        <v>483.4</v>
      </c>
      <c r="G318" s="42">
        <v>123.95</v>
      </c>
      <c r="H318" s="42">
        <v>6280.06</v>
      </c>
      <c r="I318" s="42">
        <v>0</v>
      </c>
      <c r="J318" s="42">
        <v>1010.2</v>
      </c>
      <c r="K318" s="43">
        <v>12122.36</v>
      </c>
      <c r="L318" s="122">
        <v>13132.56</v>
      </c>
      <c r="M318" s="33"/>
      <c r="N318" s="30">
        <v>12122.36</v>
      </c>
      <c r="O318" s="30">
        <v>5842.3</v>
      </c>
      <c r="P318" s="30"/>
      <c r="Q318" s="30">
        <f>(N318+O318*0.18+J318)+(IF((P318-O318*0.18)&gt;0,(P318-O318*0.18),0))</f>
        <v>14184.174000000001</v>
      </c>
      <c r="R318" s="7"/>
      <c r="S318" s="7"/>
      <c r="T318" s="7"/>
      <c r="U318" s="7"/>
      <c r="V318" s="7"/>
      <c r="W318" s="7"/>
      <c r="X318" s="7"/>
      <c r="Y318" s="7"/>
      <c r="Z318" s="7"/>
    </row>
    <row r="319" spans="1:26" ht="9" customHeight="1" x14ac:dyDescent="0.2">
      <c r="A319" s="95"/>
      <c r="B319" s="95"/>
      <c r="C319" s="34" t="s">
        <v>37</v>
      </c>
      <c r="D319" s="35">
        <v>5</v>
      </c>
      <c r="E319" s="36">
        <v>10136277</v>
      </c>
      <c r="F319" s="36">
        <v>935993</v>
      </c>
      <c r="G319" s="36">
        <v>240001</v>
      </c>
      <c r="H319" s="36">
        <v>12159892</v>
      </c>
      <c r="I319" s="36">
        <v>0</v>
      </c>
      <c r="J319" s="37">
        <v>1956020</v>
      </c>
      <c r="K319" s="36">
        <v>23472162</v>
      </c>
      <c r="L319" s="121">
        <v>25428182</v>
      </c>
      <c r="M319" s="39"/>
      <c r="N319" s="36">
        <v>23472162</v>
      </c>
      <c r="O319" s="36">
        <v>11312270</v>
      </c>
      <c r="P319" s="36">
        <v>0</v>
      </c>
      <c r="Q319" s="36">
        <f>Q318*1936.27</f>
        <v>27464390.590980001</v>
      </c>
      <c r="R319" s="7"/>
      <c r="S319" s="7"/>
      <c r="T319" s="7"/>
      <c r="U319" s="7"/>
      <c r="V319" s="7"/>
      <c r="W319" s="7"/>
      <c r="X319" s="7"/>
      <c r="Y319" s="7"/>
      <c r="Z319" s="7"/>
    </row>
    <row r="320" spans="1:26" ht="12.75" customHeight="1" x14ac:dyDescent="0.2">
      <c r="A320" s="95"/>
      <c r="B320" s="95"/>
      <c r="C320" s="40" t="s">
        <v>36</v>
      </c>
      <c r="D320" s="41">
        <v>6</v>
      </c>
      <c r="E320" s="42">
        <v>5563.41</v>
      </c>
      <c r="F320" s="42">
        <v>514.39</v>
      </c>
      <c r="G320" s="42">
        <v>123.95</v>
      </c>
      <c r="H320" s="42">
        <v>6280.06</v>
      </c>
      <c r="I320" s="42">
        <v>0</v>
      </c>
      <c r="J320" s="42">
        <v>1040.1500000000001</v>
      </c>
      <c r="K320" s="43">
        <v>12481.81</v>
      </c>
      <c r="L320" s="122">
        <v>13521.96</v>
      </c>
      <c r="M320" s="33"/>
      <c r="N320" s="30">
        <v>12481.81</v>
      </c>
      <c r="O320" s="30">
        <v>6201.75</v>
      </c>
      <c r="P320" s="30"/>
      <c r="Q320" s="30">
        <f>(N320+O320*0.18+J320)+(IF((P320-O320*0.18)&gt;0,(P320-O320*0.18),0))</f>
        <v>14638.275</v>
      </c>
      <c r="R320" s="7"/>
      <c r="S320" s="7"/>
      <c r="T320" s="7"/>
      <c r="U320" s="7"/>
      <c r="V320" s="7"/>
      <c r="W320" s="7"/>
      <c r="X320" s="7"/>
      <c r="Y320" s="7"/>
      <c r="Z320" s="7"/>
    </row>
    <row r="321" spans="1:26" ht="9" customHeight="1" x14ac:dyDescent="0.2">
      <c r="A321" s="95"/>
      <c r="B321" s="95"/>
      <c r="C321" s="34" t="s">
        <v>37</v>
      </c>
      <c r="D321" s="35">
        <v>7</v>
      </c>
      <c r="E321" s="36">
        <v>10772264</v>
      </c>
      <c r="F321" s="36">
        <v>995998</v>
      </c>
      <c r="G321" s="36">
        <v>240001</v>
      </c>
      <c r="H321" s="36">
        <v>12159892</v>
      </c>
      <c r="I321" s="36">
        <v>0</v>
      </c>
      <c r="J321" s="37">
        <v>2014011</v>
      </c>
      <c r="K321" s="36">
        <v>24168154</v>
      </c>
      <c r="L321" s="121">
        <v>26182165</v>
      </c>
      <c r="M321" s="39"/>
      <c r="N321" s="36">
        <v>24168154</v>
      </c>
      <c r="O321" s="36">
        <v>12008262</v>
      </c>
      <c r="P321" s="36">
        <v>0</v>
      </c>
      <c r="Q321" s="36">
        <f>Q320*1936.27</f>
        <v>28343652.734249998</v>
      </c>
      <c r="R321" s="7"/>
      <c r="S321" s="7"/>
      <c r="T321" s="7"/>
      <c r="U321" s="7"/>
      <c r="V321" s="7"/>
      <c r="W321" s="7"/>
      <c r="X321" s="7"/>
      <c r="Y321" s="7"/>
      <c r="Z321" s="7"/>
    </row>
    <row r="322" spans="1:26" ht="12.75" customHeight="1" x14ac:dyDescent="0.2">
      <c r="A322" s="95"/>
      <c r="B322" s="95"/>
      <c r="C322" s="40" t="s">
        <v>36</v>
      </c>
      <c r="D322" s="41">
        <v>8</v>
      </c>
      <c r="E322" s="42">
        <v>5829.9</v>
      </c>
      <c r="F322" s="42">
        <v>545.38</v>
      </c>
      <c r="G322" s="42">
        <v>123.95</v>
      </c>
      <c r="H322" s="42">
        <v>6280.06</v>
      </c>
      <c r="I322" s="42">
        <v>0</v>
      </c>
      <c r="J322" s="42">
        <v>1064.94</v>
      </c>
      <c r="K322" s="43">
        <v>12779.29</v>
      </c>
      <c r="L322" s="122">
        <v>13844.23</v>
      </c>
      <c r="M322" s="33"/>
      <c r="N322" s="30">
        <v>12779.29</v>
      </c>
      <c r="O322" s="30">
        <v>6499.23</v>
      </c>
      <c r="P322" s="30"/>
      <c r="Q322" s="30">
        <f>(N322+O322*0.18+J322)+(IF((P322-O322*0.18)&gt;0,(P322-O322*0.18),0))</f>
        <v>15014.091400000001</v>
      </c>
      <c r="R322" s="7"/>
      <c r="S322" s="7"/>
      <c r="T322" s="7"/>
      <c r="U322" s="7"/>
      <c r="V322" s="7"/>
      <c r="W322" s="7"/>
      <c r="X322" s="7"/>
      <c r="Y322" s="7"/>
      <c r="Z322" s="7"/>
    </row>
    <row r="323" spans="1:26" ht="9" customHeight="1" x14ac:dyDescent="0.2">
      <c r="A323" s="95"/>
      <c r="B323" s="95"/>
      <c r="C323" s="34" t="s">
        <v>37</v>
      </c>
      <c r="D323" s="35">
        <v>9</v>
      </c>
      <c r="E323" s="36">
        <v>11288260</v>
      </c>
      <c r="F323" s="36">
        <v>1056003</v>
      </c>
      <c r="G323" s="36">
        <v>240001</v>
      </c>
      <c r="H323" s="36">
        <v>12159892</v>
      </c>
      <c r="I323" s="36">
        <v>0</v>
      </c>
      <c r="J323" s="37">
        <v>2062011</v>
      </c>
      <c r="K323" s="36">
        <v>24744156</v>
      </c>
      <c r="L323" s="121">
        <v>26806167</v>
      </c>
      <c r="M323" s="39"/>
      <c r="N323" s="36">
        <v>24744156</v>
      </c>
      <c r="O323" s="36">
        <v>12584264</v>
      </c>
      <c r="P323" s="36">
        <v>0</v>
      </c>
      <c r="Q323" s="36">
        <f>Q322*1936.27</f>
        <v>29071334.755078003</v>
      </c>
      <c r="R323" s="7"/>
      <c r="S323" s="7"/>
      <c r="T323" s="7"/>
      <c r="U323" s="7"/>
      <c r="V323" s="7"/>
      <c r="W323" s="7"/>
      <c r="X323" s="7"/>
      <c r="Y323" s="7"/>
      <c r="Z323" s="7"/>
    </row>
    <row r="324" spans="1:26" ht="12.75" customHeight="1" x14ac:dyDescent="0.2">
      <c r="A324" s="95"/>
      <c r="B324" s="95"/>
      <c r="C324" s="40" t="s">
        <v>36</v>
      </c>
      <c r="D324" s="41">
        <v>10</v>
      </c>
      <c r="E324" s="42">
        <v>6118.9</v>
      </c>
      <c r="F324" s="42">
        <v>570.16999999999996</v>
      </c>
      <c r="G324" s="42">
        <v>123.95</v>
      </c>
      <c r="H324" s="42">
        <v>6280.06</v>
      </c>
      <c r="I324" s="42">
        <v>0</v>
      </c>
      <c r="J324" s="42">
        <v>1091.0899999999999</v>
      </c>
      <c r="K324" s="43">
        <v>13093.08</v>
      </c>
      <c r="L324" s="122">
        <v>14184.17</v>
      </c>
      <c r="M324" s="33"/>
      <c r="N324" s="30">
        <v>13093.08</v>
      </c>
      <c r="O324" s="30">
        <v>6813.02</v>
      </c>
      <c r="P324" s="30"/>
      <c r="Q324" s="30">
        <f>(N324+O324*0.18+J324)+(IF((P324-O324*0.18)&gt;0,(P324-O324*0.18),0))</f>
        <v>15410.5136</v>
      </c>
      <c r="R324" s="7"/>
      <c r="S324" s="7"/>
      <c r="T324" s="7"/>
      <c r="U324" s="7"/>
      <c r="V324" s="7"/>
      <c r="W324" s="7"/>
      <c r="X324" s="7"/>
      <c r="Y324" s="7"/>
      <c r="Z324" s="7"/>
    </row>
    <row r="325" spans="1:26" ht="9" customHeight="1" x14ac:dyDescent="0.2">
      <c r="A325" s="95"/>
      <c r="B325" s="95"/>
      <c r="C325" s="34" t="s">
        <v>37</v>
      </c>
      <c r="D325" s="35">
        <v>11</v>
      </c>
      <c r="E325" s="36">
        <v>11847843</v>
      </c>
      <c r="F325" s="36">
        <v>1104003</v>
      </c>
      <c r="G325" s="36">
        <v>240001</v>
      </c>
      <c r="H325" s="36">
        <v>12159892</v>
      </c>
      <c r="I325" s="36">
        <v>0</v>
      </c>
      <c r="J325" s="37">
        <v>2112645</v>
      </c>
      <c r="K325" s="36">
        <v>25351738</v>
      </c>
      <c r="L325" s="121">
        <v>27464383</v>
      </c>
      <c r="M325" s="39"/>
      <c r="N325" s="36">
        <v>25351738</v>
      </c>
      <c r="O325" s="36">
        <v>13191846</v>
      </c>
      <c r="P325" s="36">
        <v>0</v>
      </c>
      <c r="Q325" s="36">
        <f>Q324*1936.27</f>
        <v>29838915.168272</v>
      </c>
      <c r="R325" s="7"/>
      <c r="S325" s="7"/>
      <c r="T325" s="7"/>
      <c r="U325" s="7"/>
      <c r="V325" s="7"/>
      <c r="W325" s="7"/>
      <c r="X325" s="7"/>
      <c r="Y325" s="7"/>
      <c r="Z325" s="7"/>
    </row>
    <row r="326" spans="1:26" ht="12.75" customHeight="1" x14ac:dyDescent="0.2">
      <c r="A326" s="95"/>
      <c r="B326" s="95"/>
      <c r="C326" s="40" t="s">
        <v>36</v>
      </c>
      <c r="D326" s="41">
        <v>12</v>
      </c>
      <c r="E326" s="42">
        <v>6379.19</v>
      </c>
      <c r="F326" s="42">
        <v>594.96</v>
      </c>
      <c r="G326" s="42">
        <v>123.95</v>
      </c>
      <c r="H326" s="42">
        <v>6280.06</v>
      </c>
      <c r="I326" s="42">
        <v>0</v>
      </c>
      <c r="J326" s="42">
        <v>1114.8499999999999</v>
      </c>
      <c r="K326" s="43">
        <v>13378.16</v>
      </c>
      <c r="L326" s="122">
        <v>14493.01</v>
      </c>
      <c r="M326" s="33"/>
      <c r="N326" s="30">
        <v>13378.16</v>
      </c>
      <c r="O326" s="30">
        <v>7098.1</v>
      </c>
      <c r="P326" s="30"/>
      <c r="Q326" s="30">
        <f>(N326+O326*0.18+J326)+(IF((P326-O326*0.18)&gt;0,(P326-O326*0.18),0))</f>
        <v>15770.668</v>
      </c>
      <c r="R326" s="7"/>
      <c r="S326" s="7"/>
      <c r="T326" s="7"/>
      <c r="U326" s="7"/>
      <c r="V326" s="7"/>
      <c r="W326" s="7"/>
      <c r="X326" s="7"/>
      <c r="Y326" s="7"/>
      <c r="Z326" s="7"/>
    </row>
    <row r="327" spans="1:26" ht="9" customHeight="1" x14ac:dyDescent="0.2">
      <c r="A327" s="95"/>
      <c r="B327" s="95"/>
      <c r="C327" s="34" t="s">
        <v>37</v>
      </c>
      <c r="D327" s="35">
        <v>13</v>
      </c>
      <c r="E327" s="36">
        <v>12351834</v>
      </c>
      <c r="F327" s="36">
        <v>1152003</v>
      </c>
      <c r="G327" s="36">
        <v>240001</v>
      </c>
      <c r="H327" s="36">
        <v>12159892</v>
      </c>
      <c r="I327" s="36">
        <v>0</v>
      </c>
      <c r="J327" s="37">
        <v>2158651</v>
      </c>
      <c r="K327" s="36">
        <v>25903730</v>
      </c>
      <c r="L327" s="121">
        <v>28062380</v>
      </c>
      <c r="M327" s="39"/>
      <c r="N327" s="36">
        <v>25903730</v>
      </c>
      <c r="O327" s="36">
        <v>13743838</v>
      </c>
      <c r="P327" s="36">
        <v>0</v>
      </c>
      <c r="Q327" s="36">
        <f>Q326*1936.27</f>
        <v>30536271.328359999</v>
      </c>
      <c r="R327" s="7"/>
      <c r="S327" s="7"/>
      <c r="T327" s="7"/>
      <c r="U327" s="7"/>
      <c r="V327" s="7"/>
      <c r="W327" s="7"/>
      <c r="X327" s="7"/>
      <c r="Y327" s="7"/>
      <c r="Z327" s="7"/>
    </row>
    <row r="328" spans="1:26" ht="12.75" customHeight="1" x14ac:dyDescent="0.2">
      <c r="A328" s="95"/>
      <c r="B328" s="95"/>
      <c r="C328" s="40" t="s">
        <v>36</v>
      </c>
      <c r="D328" s="41">
        <v>14</v>
      </c>
      <c r="E328" s="42">
        <v>6639.49</v>
      </c>
      <c r="F328" s="42">
        <v>619.75</v>
      </c>
      <c r="G328" s="42">
        <v>123.95</v>
      </c>
      <c r="H328" s="42">
        <v>6280.06</v>
      </c>
      <c r="I328" s="42">
        <v>0</v>
      </c>
      <c r="J328" s="42">
        <v>1138.5999999999999</v>
      </c>
      <c r="K328" s="43">
        <v>13663.25</v>
      </c>
      <c r="L328" s="122">
        <v>14801.85</v>
      </c>
      <c r="M328" s="33"/>
      <c r="N328" s="30">
        <v>13663.25</v>
      </c>
      <c r="O328" s="30">
        <v>7383.19</v>
      </c>
      <c r="P328" s="30"/>
      <c r="Q328" s="30">
        <f>(N328+O328*0.18+J328)+(IF((P328-O328*0.18)&gt;0,(P328-O328*0.18),0))</f>
        <v>16130.824200000001</v>
      </c>
      <c r="R328" s="7"/>
      <c r="S328" s="7"/>
      <c r="T328" s="7"/>
      <c r="U328" s="7"/>
      <c r="V328" s="7"/>
      <c r="W328" s="7"/>
      <c r="X328" s="7"/>
      <c r="Y328" s="7"/>
      <c r="Z328" s="7"/>
    </row>
    <row r="329" spans="1:26" ht="9" customHeight="1" x14ac:dyDescent="0.2">
      <c r="A329" s="95"/>
      <c r="B329" s="95"/>
      <c r="C329" s="34" t="s">
        <v>37</v>
      </c>
      <c r="D329" s="35">
        <v>15</v>
      </c>
      <c r="E329" s="36">
        <v>12855845</v>
      </c>
      <c r="F329" s="36">
        <v>1200003</v>
      </c>
      <c r="G329" s="36">
        <v>240001</v>
      </c>
      <c r="H329" s="36">
        <v>12159892</v>
      </c>
      <c r="I329" s="36">
        <v>0</v>
      </c>
      <c r="J329" s="37">
        <v>2204637</v>
      </c>
      <c r="K329" s="36">
        <v>26455741</v>
      </c>
      <c r="L329" s="121">
        <v>28660378</v>
      </c>
      <c r="M329" s="39"/>
      <c r="N329" s="36">
        <v>26455741</v>
      </c>
      <c r="O329" s="36">
        <v>14295849</v>
      </c>
      <c r="P329" s="36">
        <v>0</v>
      </c>
      <c r="Q329" s="36">
        <f>Q328*1936.27</f>
        <v>31233630.973734003</v>
      </c>
      <c r="R329" s="7"/>
      <c r="S329" s="7"/>
      <c r="T329" s="7"/>
      <c r="U329" s="7"/>
      <c r="V329" s="7"/>
      <c r="W329" s="7"/>
      <c r="X329" s="7"/>
      <c r="Y329" s="7"/>
      <c r="Z329" s="7"/>
    </row>
    <row r="330" spans="1:26" ht="12.75" customHeight="1" x14ac:dyDescent="0.2">
      <c r="A330" s="95"/>
      <c r="B330" s="95"/>
      <c r="C330" s="40" t="s">
        <v>36</v>
      </c>
      <c r="D330" s="41">
        <v>16</v>
      </c>
      <c r="E330" s="42">
        <v>6926.72</v>
      </c>
      <c r="F330" s="42">
        <v>650.74</v>
      </c>
      <c r="G330" s="42">
        <v>123.95</v>
      </c>
      <c r="H330" s="42">
        <v>6280.06</v>
      </c>
      <c r="I330" s="42">
        <v>0</v>
      </c>
      <c r="J330" s="42">
        <v>1165.1199999999999</v>
      </c>
      <c r="K330" s="43">
        <v>13981.47</v>
      </c>
      <c r="L330" s="122">
        <v>15146.59</v>
      </c>
      <c r="M330" s="33"/>
      <c r="N330" s="30">
        <v>13981.47</v>
      </c>
      <c r="O330" s="30">
        <v>7701.41</v>
      </c>
      <c r="P330" s="30"/>
      <c r="Q330" s="30">
        <f>(N330+O330*0.18+J330)+(IF((P330-O330*0.18)&gt;0,(P330-O330*0.18),0))</f>
        <v>16532.843799999999</v>
      </c>
      <c r="R330" s="7"/>
      <c r="S330" s="7"/>
      <c r="T330" s="7"/>
      <c r="U330" s="7"/>
      <c r="V330" s="7"/>
      <c r="W330" s="7"/>
      <c r="X330" s="7"/>
      <c r="Y330" s="7"/>
      <c r="Z330" s="7"/>
    </row>
    <row r="331" spans="1:26" ht="9" customHeight="1" x14ac:dyDescent="0.2">
      <c r="A331" s="95"/>
      <c r="B331" s="95"/>
      <c r="C331" s="34" t="s">
        <v>37</v>
      </c>
      <c r="D331" s="35">
        <v>17</v>
      </c>
      <c r="E331" s="36">
        <v>13412000</v>
      </c>
      <c r="F331" s="36">
        <v>1260008</v>
      </c>
      <c r="G331" s="36">
        <v>240001</v>
      </c>
      <c r="H331" s="36">
        <v>12159892</v>
      </c>
      <c r="I331" s="36">
        <v>0</v>
      </c>
      <c r="J331" s="37">
        <v>2255987</v>
      </c>
      <c r="K331" s="36">
        <v>27071901</v>
      </c>
      <c r="L331" s="121">
        <v>29327888</v>
      </c>
      <c r="M331" s="39"/>
      <c r="N331" s="36">
        <v>27071901</v>
      </c>
      <c r="O331" s="36">
        <v>14912009</v>
      </c>
      <c r="P331" s="36">
        <v>0</v>
      </c>
      <c r="Q331" s="36">
        <f>Q330*1936.27</f>
        <v>32012049.464625996</v>
      </c>
      <c r="R331" s="7"/>
      <c r="S331" s="7"/>
      <c r="T331" s="7"/>
      <c r="U331" s="7"/>
      <c r="V331" s="7"/>
      <c r="W331" s="7"/>
      <c r="X331" s="7"/>
      <c r="Y331" s="7"/>
      <c r="Z331" s="7"/>
    </row>
    <row r="332" spans="1:26" ht="12.75" customHeight="1" x14ac:dyDescent="0.2">
      <c r="A332" s="95"/>
      <c r="B332" s="95"/>
      <c r="C332" s="40" t="s">
        <v>36</v>
      </c>
      <c r="D332" s="41">
        <v>18</v>
      </c>
      <c r="E332" s="42">
        <v>7187.02</v>
      </c>
      <c r="F332" s="42">
        <v>675.53</v>
      </c>
      <c r="G332" s="42">
        <v>123.95</v>
      </c>
      <c r="H332" s="42">
        <v>6280.06</v>
      </c>
      <c r="I332" s="42">
        <v>0</v>
      </c>
      <c r="J332" s="42">
        <v>1188.8800000000001</v>
      </c>
      <c r="K332" s="43">
        <v>14266.56</v>
      </c>
      <c r="L332" s="122">
        <v>15455.44</v>
      </c>
      <c r="M332" s="33"/>
      <c r="N332" s="30">
        <v>14266.56</v>
      </c>
      <c r="O332" s="30">
        <v>7986.5</v>
      </c>
      <c r="P332" s="30"/>
      <c r="Q332" s="30">
        <f>(N332+O332*0.18+J332)+(IF((P332-O332*0.18)&gt;0,(P332-O332*0.18),0))</f>
        <v>16893.009999999998</v>
      </c>
      <c r="R332" s="7"/>
      <c r="S332" s="7"/>
      <c r="T332" s="7"/>
      <c r="U332" s="7"/>
      <c r="V332" s="7"/>
      <c r="W332" s="7"/>
      <c r="X332" s="7"/>
      <c r="Y332" s="7"/>
      <c r="Z332" s="7"/>
    </row>
    <row r="333" spans="1:26" ht="9" customHeight="1" x14ac:dyDescent="0.2">
      <c r="A333" s="95"/>
      <c r="B333" s="95"/>
      <c r="C333" s="34" t="s">
        <v>37</v>
      </c>
      <c r="D333" s="35">
        <v>19</v>
      </c>
      <c r="E333" s="36">
        <v>13916011</v>
      </c>
      <c r="F333" s="36">
        <v>1308008</v>
      </c>
      <c r="G333" s="36">
        <v>240001</v>
      </c>
      <c r="H333" s="36">
        <v>12159892</v>
      </c>
      <c r="I333" s="36">
        <v>0</v>
      </c>
      <c r="J333" s="37">
        <v>2301993</v>
      </c>
      <c r="K333" s="36">
        <v>27623912</v>
      </c>
      <c r="L333" s="121">
        <v>29925905</v>
      </c>
      <c r="M333" s="39"/>
      <c r="N333" s="36">
        <v>27623912</v>
      </c>
      <c r="O333" s="36">
        <v>15464020</v>
      </c>
      <c r="P333" s="36">
        <v>0</v>
      </c>
      <c r="Q333" s="36">
        <f>Q332*1936.27</f>
        <v>32709428.472699996</v>
      </c>
      <c r="R333" s="7"/>
      <c r="S333" s="7"/>
      <c r="T333" s="7"/>
      <c r="U333" s="7"/>
      <c r="V333" s="7"/>
      <c r="W333" s="7"/>
      <c r="X333" s="7"/>
      <c r="Y333" s="7"/>
      <c r="Z333" s="7"/>
    </row>
    <row r="334" spans="1:26" ht="12.75" customHeight="1" x14ac:dyDescent="0.2">
      <c r="A334" s="95"/>
      <c r="B334" s="95"/>
      <c r="C334" s="40" t="s">
        <v>36</v>
      </c>
      <c r="D334" s="41">
        <v>20</v>
      </c>
      <c r="E334" s="42">
        <v>7447.31</v>
      </c>
      <c r="F334" s="42">
        <v>700.32</v>
      </c>
      <c r="G334" s="42">
        <v>123.95</v>
      </c>
      <c r="H334" s="42">
        <v>6280.06</v>
      </c>
      <c r="I334" s="42">
        <v>0</v>
      </c>
      <c r="J334" s="42">
        <v>1212.6400000000001</v>
      </c>
      <c r="K334" s="43">
        <v>14551.64</v>
      </c>
      <c r="L334" s="122">
        <v>15764.28</v>
      </c>
      <c r="M334" s="33"/>
      <c r="N334" s="30">
        <v>14551.64</v>
      </c>
      <c r="O334" s="30">
        <v>8271.58</v>
      </c>
      <c r="P334" s="30"/>
      <c r="Q334" s="30">
        <f>(N334+O334*0.18+J334)+(IF((P334-O334*0.18)&gt;0,(P334-O334*0.18),0))</f>
        <v>17253.164399999998</v>
      </c>
      <c r="R334" s="7"/>
      <c r="S334" s="7"/>
      <c r="T334" s="7"/>
      <c r="U334" s="7"/>
      <c r="V334" s="7"/>
      <c r="W334" s="7"/>
      <c r="X334" s="7"/>
      <c r="Y334" s="7"/>
      <c r="Z334" s="7"/>
    </row>
    <row r="335" spans="1:26" ht="9" customHeight="1" x14ac:dyDescent="0.2">
      <c r="A335" s="95"/>
      <c r="B335" s="95"/>
      <c r="C335" s="34" t="s">
        <v>37</v>
      </c>
      <c r="D335" s="35">
        <v>21</v>
      </c>
      <c r="E335" s="36">
        <v>14420003</v>
      </c>
      <c r="F335" s="36">
        <v>1356009</v>
      </c>
      <c r="G335" s="36">
        <v>240001</v>
      </c>
      <c r="H335" s="36">
        <v>12159892</v>
      </c>
      <c r="I335" s="36">
        <v>0</v>
      </c>
      <c r="J335" s="37">
        <v>2347998</v>
      </c>
      <c r="K335" s="36">
        <v>28175904</v>
      </c>
      <c r="L335" s="121">
        <v>30523902</v>
      </c>
      <c r="M335" s="39"/>
      <c r="N335" s="36">
        <v>28175904</v>
      </c>
      <c r="O335" s="36">
        <v>16016012</v>
      </c>
      <c r="P335" s="36">
        <v>0</v>
      </c>
      <c r="Q335" s="36">
        <f>Q334*1936.27</f>
        <v>33406784.632787995</v>
      </c>
      <c r="R335" s="7"/>
      <c r="S335" s="7"/>
      <c r="T335" s="7"/>
      <c r="U335" s="7"/>
      <c r="V335" s="7"/>
      <c r="W335" s="7"/>
      <c r="X335" s="7"/>
      <c r="Y335" s="7"/>
      <c r="Z335" s="7"/>
    </row>
    <row r="336" spans="1:26" ht="12.75" customHeight="1" x14ac:dyDescent="0.2">
      <c r="A336" s="95"/>
      <c r="B336" s="95"/>
      <c r="C336" s="40" t="s">
        <v>36</v>
      </c>
      <c r="D336" s="41">
        <v>22</v>
      </c>
      <c r="E336" s="42">
        <v>7616.99</v>
      </c>
      <c r="F336" s="42">
        <v>712.71</v>
      </c>
      <c r="G336" s="42">
        <v>123.95</v>
      </c>
      <c r="H336" s="42">
        <v>6280.06</v>
      </c>
      <c r="I336" s="42">
        <v>0</v>
      </c>
      <c r="J336" s="42">
        <v>1227.81</v>
      </c>
      <c r="K336" s="43">
        <v>14733.71</v>
      </c>
      <c r="L336" s="122">
        <v>15961.52</v>
      </c>
      <c r="M336" s="33"/>
      <c r="N336" s="30">
        <v>14733.71</v>
      </c>
      <c r="O336" s="30">
        <v>8453.65</v>
      </c>
      <c r="P336" s="30"/>
      <c r="Q336" s="30">
        <f>(N336+O336*0.18+J336)+(IF((P336-O336*0.18)&gt;0,(P336-O336*0.18),0))</f>
        <v>17483.177</v>
      </c>
      <c r="R336" s="7"/>
      <c r="S336" s="7"/>
      <c r="T336" s="7"/>
      <c r="U336" s="7"/>
      <c r="V336" s="7"/>
      <c r="W336" s="7"/>
      <c r="X336" s="7"/>
      <c r="Y336" s="7"/>
      <c r="Z336" s="7"/>
    </row>
    <row r="337" spans="1:26" ht="9" customHeight="1" x14ac:dyDescent="0.2">
      <c r="A337" s="95"/>
      <c r="B337" s="95"/>
      <c r="C337" s="34" t="s">
        <v>37</v>
      </c>
      <c r="D337" s="35">
        <v>23</v>
      </c>
      <c r="E337" s="36">
        <v>14748549</v>
      </c>
      <c r="F337" s="36">
        <v>1379999</v>
      </c>
      <c r="G337" s="36">
        <v>240001</v>
      </c>
      <c r="H337" s="36">
        <v>12159892</v>
      </c>
      <c r="I337" s="36">
        <v>0</v>
      </c>
      <c r="J337" s="37">
        <v>2377372</v>
      </c>
      <c r="K337" s="36">
        <v>28528441</v>
      </c>
      <c r="L337" s="121">
        <v>30905812</v>
      </c>
      <c r="M337" s="39"/>
      <c r="N337" s="36">
        <v>28528441</v>
      </c>
      <c r="O337" s="36">
        <v>16368549</v>
      </c>
      <c r="P337" s="36">
        <v>0</v>
      </c>
      <c r="Q337" s="36">
        <f>Q336*1936.27</f>
        <v>33852151.129790001</v>
      </c>
      <c r="R337" s="7"/>
      <c r="S337" s="7"/>
      <c r="T337" s="7"/>
      <c r="U337" s="7"/>
      <c r="V337" s="7"/>
      <c r="W337" s="7"/>
      <c r="X337" s="7"/>
      <c r="Y337" s="7"/>
      <c r="Z337" s="7"/>
    </row>
    <row r="338" spans="1:26" ht="12.75" customHeight="1" x14ac:dyDescent="0.2">
      <c r="A338" s="95"/>
      <c r="B338" s="95"/>
      <c r="C338" s="40" t="s">
        <v>36</v>
      </c>
      <c r="D338" s="41">
        <v>24</v>
      </c>
      <c r="E338" s="42">
        <v>7759.53</v>
      </c>
      <c r="F338" s="42">
        <v>731.3</v>
      </c>
      <c r="G338" s="42">
        <v>123.95</v>
      </c>
      <c r="H338" s="42">
        <v>6280.06</v>
      </c>
      <c r="I338" s="42">
        <v>0</v>
      </c>
      <c r="J338" s="42">
        <v>1241.24</v>
      </c>
      <c r="K338" s="43">
        <v>14894.84</v>
      </c>
      <c r="L338" s="122">
        <v>16136.08</v>
      </c>
      <c r="M338" s="33"/>
      <c r="N338" s="30">
        <v>14894.84</v>
      </c>
      <c r="O338" s="30">
        <v>8614.7800000000007</v>
      </c>
      <c r="P338" s="30"/>
      <c r="Q338" s="30">
        <f>(N338+O338*0.18+J338)+(IF((P338-O338*0.18)&gt;0,(P338-O338*0.18),0))</f>
        <v>17686.740400000002</v>
      </c>
      <c r="R338" s="7"/>
      <c r="S338" s="7"/>
      <c r="T338" s="7"/>
      <c r="U338" s="7"/>
      <c r="V338" s="7"/>
      <c r="W338" s="7"/>
      <c r="X338" s="7"/>
      <c r="Y338" s="7"/>
      <c r="Z338" s="7"/>
    </row>
    <row r="339" spans="1:26" ht="9" customHeight="1" x14ac:dyDescent="0.2">
      <c r="A339" s="95"/>
      <c r="B339" s="95"/>
      <c r="C339" s="34" t="s">
        <v>37</v>
      </c>
      <c r="D339" s="35">
        <v>25</v>
      </c>
      <c r="E339" s="36">
        <v>15024545</v>
      </c>
      <c r="F339" s="36">
        <v>1415994</v>
      </c>
      <c r="G339" s="36">
        <v>240001</v>
      </c>
      <c r="H339" s="36">
        <v>12159892</v>
      </c>
      <c r="I339" s="36">
        <v>0</v>
      </c>
      <c r="J339" s="37">
        <v>2403376</v>
      </c>
      <c r="K339" s="36">
        <v>28840432</v>
      </c>
      <c r="L339" s="121">
        <v>31243808</v>
      </c>
      <c r="M339" s="39"/>
      <c r="N339" s="36">
        <v>28840432</v>
      </c>
      <c r="O339" s="36">
        <v>16680540</v>
      </c>
      <c r="P339" s="36">
        <v>0</v>
      </c>
      <c r="Q339" s="36">
        <f>Q338*1936.27</f>
        <v>34246304.834308006</v>
      </c>
      <c r="R339" s="7"/>
      <c r="S339" s="7"/>
      <c r="T339" s="7"/>
      <c r="U339" s="7"/>
      <c r="V339" s="7"/>
      <c r="W339" s="7"/>
      <c r="X339" s="7"/>
      <c r="Y339" s="7"/>
      <c r="Z339" s="7"/>
    </row>
    <row r="340" spans="1:26" ht="12.75" customHeight="1" x14ac:dyDescent="0.2">
      <c r="A340" s="95"/>
      <c r="B340" s="95"/>
      <c r="C340" s="40" t="s">
        <v>36</v>
      </c>
      <c r="D340" s="41">
        <v>26</v>
      </c>
      <c r="E340" s="42">
        <v>7902.07</v>
      </c>
      <c r="F340" s="42">
        <v>743.7</v>
      </c>
      <c r="G340" s="42">
        <v>123.95</v>
      </c>
      <c r="H340" s="42">
        <v>6280.06</v>
      </c>
      <c r="I340" s="42">
        <v>0</v>
      </c>
      <c r="J340" s="42">
        <v>1254.1500000000001</v>
      </c>
      <c r="K340" s="43">
        <v>15049.78</v>
      </c>
      <c r="L340" s="122">
        <v>16303.93</v>
      </c>
      <c r="M340" s="33"/>
      <c r="N340" s="30">
        <v>15049.78</v>
      </c>
      <c r="O340" s="30">
        <v>8769.7199999999993</v>
      </c>
      <c r="P340" s="30"/>
      <c r="Q340" s="30">
        <f>(N340+O340*0.18+J340)+(IF((P340-O340*0.18)&gt;0,(P340-O340*0.18),0))</f>
        <v>17882.479600000002</v>
      </c>
      <c r="R340" s="7"/>
      <c r="S340" s="7"/>
      <c r="T340" s="7"/>
      <c r="U340" s="7"/>
      <c r="V340" s="7"/>
      <c r="W340" s="7"/>
      <c r="X340" s="7"/>
      <c r="Y340" s="7"/>
      <c r="Z340" s="7"/>
    </row>
    <row r="341" spans="1:26" ht="9" customHeight="1" x14ac:dyDescent="0.2">
      <c r="A341" s="95"/>
      <c r="B341" s="95"/>
      <c r="C341" s="34" t="s">
        <v>37</v>
      </c>
      <c r="D341" s="35">
        <v>27</v>
      </c>
      <c r="E341" s="36">
        <v>15300541</v>
      </c>
      <c r="F341" s="36">
        <v>1440004</v>
      </c>
      <c r="G341" s="36">
        <v>240001</v>
      </c>
      <c r="H341" s="36">
        <v>12159892</v>
      </c>
      <c r="I341" s="36">
        <v>0</v>
      </c>
      <c r="J341" s="37">
        <v>2428373</v>
      </c>
      <c r="K341" s="36">
        <v>29140438</v>
      </c>
      <c r="L341" s="121">
        <v>31568811</v>
      </c>
      <c r="M341" s="39"/>
      <c r="N341" s="36">
        <v>29140438</v>
      </c>
      <c r="O341" s="36">
        <v>16980546</v>
      </c>
      <c r="P341" s="36">
        <v>0</v>
      </c>
      <c r="Q341" s="36">
        <f>Q340*1936.27</f>
        <v>34625308.775092006</v>
      </c>
      <c r="R341" s="7"/>
      <c r="S341" s="7"/>
      <c r="T341" s="7"/>
      <c r="U341" s="7"/>
      <c r="V341" s="7"/>
      <c r="W341" s="7"/>
      <c r="X341" s="7"/>
      <c r="Y341" s="7"/>
      <c r="Z341" s="7"/>
    </row>
    <row r="342" spans="1:26" ht="12.75" customHeight="1" x14ac:dyDescent="0.2">
      <c r="A342" s="95"/>
      <c r="B342" s="95"/>
      <c r="C342" s="40" t="s">
        <v>36</v>
      </c>
      <c r="D342" s="41">
        <v>28</v>
      </c>
      <c r="E342" s="42">
        <v>8057.94</v>
      </c>
      <c r="F342" s="42">
        <v>756.09</v>
      </c>
      <c r="G342" s="42">
        <v>123.95</v>
      </c>
      <c r="H342" s="42">
        <v>6280.06</v>
      </c>
      <c r="I342" s="42">
        <v>0</v>
      </c>
      <c r="J342" s="42">
        <v>1268.17</v>
      </c>
      <c r="K342" s="43">
        <v>15218.04</v>
      </c>
      <c r="L342" s="122">
        <v>16486.21</v>
      </c>
      <c r="M342" s="33"/>
      <c r="N342" s="30">
        <v>15218.04</v>
      </c>
      <c r="O342" s="30">
        <v>8937.98</v>
      </c>
      <c r="P342" s="30"/>
      <c r="Q342" s="30">
        <f>(N342+O342*0.18+J342)+(IF((P342-O342*0.18)&gt;0,(P342-O342*0.18),0))</f>
        <v>18095.046399999999</v>
      </c>
      <c r="R342" s="7"/>
      <c r="S342" s="7"/>
      <c r="T342" s="7"/>
      <c r="U342" s="7"/>
      <c r="V342" s="7"/>
      <c r="W342" s="7"/>
      <c r="X342" s="7"/>
      <c r="Y342" s="7"/>
      <c r="Z342" s="7"/>
    </row>
    <row r="343" spans="1:26" ht="9" customHeight="1" x14ac:dyDescent="0.2">
      <c r="A343" s="95"/>
      <c r="B343" s="95"/>
      <c r="C343" s="34" t="s">
        <v>37</v>
      </c>
      <c r="D343" s="35">
        <v>29</v>
      </c>
      <c r="E343" s="36">
        <v>15602347</v>
      </c>
      <c r="F343" s="36">
        <v>1463994</v>
      </c>
      <c r="G343" s="36">
        <v>240001</v>
      </c>
      <c r="H343" s="36">
        <v>12159892</v>
      </c>
      <c r="I343" s="36">
        <v>0</v>
      </c>
      <c r="J343" s="37">
        <v>2455520</v>
      </c>
      <c r="K343" s="36">
        <v>29466234</v>
      </c>
      <c r="L343" s="121">
        <v>31921754</v>
      </c>
      <c r="M343" s="39"/>
      <c r="N343" s="36">
        <v>29466234</v>
      </c>
      <c r="O343" s="36">
        <v>17306343</v>
      </c>
      <c r="P343" s="36">
        <v>0</v>
      </c>
      <c r="Q343" s="36">
        <f>Q342*1936.27</f>
        <v>35036895.492927998</v>
      </c>
      <c r="R343" s="7"/>
      <c r="S343" s="7"/>
      <c r="T343" s="7"/>
      <c r="U343" s="7"/>
      <c r="V343" s="7"/>
      <c r="W343" s="7"/>
      <c r="X343" s="7"/>
      <c r="Y343" s="7"/>
      <c r="Z343" s="7"/>
    </row>
    <row r="344" spans="1:26" ht="12.75" customHeight="1" x14ac:dyDescent="0.2">
      <c r="A344" s="95"/>
      <c r="B344" s="95"/>
      <c r="C344" s="40" t="s">
        <v>36</v>
      </c>
      <c r="D344" s="41">
        <v>30</v>
      </c>
      <c r="E344" s="42">
        <v>8200.48</v>
      </c>
      <c r="F344" s="42">
        <v>768.49</v>
      </c>
      <c r="G344" s="42">
        <v>123.95</v>
      </c>
      <c r="H344" s="42">
        <v>6280.06</v>
      </c>
      <c r="I344" s="42">
        <v>0</v>
      </c>
      <c r="J344" s="42">
        <v>1281.08</v>
      </c>
      <c r="K344" s="43">
        <v>15372.98</v>
      </c>
      <c r="L344" s="122">
        <v>16654.060000000001</v>
      </c>
      <c r="M344" s="33"/>
      <c r="N344" s="30">
        <v>15372.98</v>
      </c>
      <c r="O344" s="30">
        <v>9092.92</v>
      </c>
      <c r="P344" s="30"/>
      <c r="Q344" s="30">
        <f>(N344+O344*0.18+J344)+(IF((P344-O344*0.18)&gt;0,(P344-O344*0.18),0))</f>
        <v>18290.785600000003</v>
      </c>
      <c r="R344" s="7"/>
      <c r="S344" s="7"/>
      <c r="T344" s="7"/>
      <c r="U344" s="7"/>
      <c r="V344" s="7"/>
      <c r="W344" s="7"/>
      <c r="X344" s="7"/>
      <c r="Y344" s="7"/>
      <c r="Z344" s="7"/>
    </row>
    <row r="345" spans="1:26" ht="9" customHeight="1" x14ac:dyDescent="0.2">
      <c r="A345" s="95"/>
      <c r="B345" s="95"/>
      <c r="C345" s="34" t="s">
        <v>37</v>
      </c>
      <c r="D345" s="35">
        <v>31</v>
      </c>
      <c r="E345" s="36">
        <v>15878343</v>
      </c>
      <c r="F345" s="36">
        <v>1488004</v>
      </c>
      <c r="G345" s="36">
        <v>240001</v>
      </c>
      <c r="H345" s="36">
        <v>12159892</v>
      </c>
      <c r="I345" s="36">
        <v>0</v>
      </c>
      <c r="J345" s="37">
        <v>2480517</v>
      </c>
      <c r="K345" s="36">
        <v>29766240</v>
      </c>
      <c r="L345" s="121">
        <v>32246757</v>
      </c>
      <c r="M345" s="39"/>
      <c r="N345" s="36">
        <v>29766240</v>
      </c>
      <c r="O345" s="36">
        <v>17606348</v>
      </c>
      <c r="P345" s="36">
        <v>0</v>
      </c>
      <c r="Q345" s="36">
        <f>Q344*1936.27</f>
        <v>35415899.433712006</v>
      </c>
      <c r="R345" s="7"/>
      <c r="S345" s="7"/>
      <c r="T345" s="7"/>
      <c r="U345" s="7"/>
      <c r="V345" s="7"/>
      <c r="W345" s="7"/>
      <c r="X345" s="7"/>
      <c r="Y345" s="7"/>
      <c r="Z345" s="7"/>
    </row>
    <row r="346" spans="1:26" ht="12.75" customHeight="1" x14ac:dyDescent="0.2">
      <c r="A346" s="95"/>
      <c r="B346" s="95"/>
      <c r="C346" s="40" t="s">
        <v>36</v>
      </c>
      <c r="D346" s="41">
        <v>32</v>
      </c>
      <c r="E346" s="42">
        <v>8343.02</v>
      </c>
      <c r="F346" s="42">
        <v>787.08</v>
      </c>
      <c r="G346" s="42">
        <v>123.95</v>
      </c>
      <c r="H346" s="42">
        <v>6280.06</v>
      </c>
      <c r="I346" s="42">
        <v>0</v>
      </c>
      <c r="J346" s="42">
        <v>1294.51</v>
      </c>
      <c r="K346" s="43">
        <v>15534.11</v>
      </c>
      <c r="L346" s="122">
        <v>16828.62</v>
      </c>
      <c r="M346" s="33"/>
      <c r="N346" s="30">
        <v>15534.11</v>
      </c>
      <c r="O346" s="30">
        <v>9254.0499999999993</v>
      </c>
      <c r="P346" s="30"/>
      <c r="Q346" s="30">
        <f>(N346+O346*0.18+J346)+(IF((P346-O346*0.18)&gt;0,(P346-O346*0.18),0))</f>
        <v>18494.348999999998</v>
      </c>
      <c r="R346" s="7"/>
      <c r="S346" s="7"/>
      <c r="T346" s="7"/>
      <c r="U346" s="7"/>
      <c r="V346" s="7"/>
      <c r="W346" s="7"/>
      <c r="X346" s="7"/>
      <c r="Y346" s="7"/>
      <c r="Z346" s="7"/>
    </row>
    <row r="347" spans="1:26" ht="9" customHeight="1" x14ac:dyDescent="0.2">
      <c r="A347" s="95"/>
      <c r="B347" s="95"/>
      <c r="C347" s="34" t="s">
        <v>37</v>
      </c>
      <c r="D347" s="35">
        <v>33</v>
      </c>
      <c r="E347" s="36">
        <v>16154339</v>
      </c>
      <c r="F347" s="36">
        <v>1523999</v>
      </c>
      <c r="G347" s="36">
        <v>240001</v>
      </c>
      <c r="H347" s="36">
        <v>12159892</v>
      </c>
      <c r="I347" s="36">
        <v>0</v>
      </c>
      <c r="J347" s="37">
        <v>2506521</v>
      </c>
      <c r="K347" s="36">
        <v>30078231</v>
      </c>
      <c r="L347" s="121">
        <v>32584752</v>
      </c>
      <c r="M347" s="39"/>
      <c r="N347" s="36">
        <v>30078231</v>
      </c>
      <c r="O347" s="36">
        <v>17918339</v>
      </c>
      <c r="P347" s="36">
        <v>0</v>
      </c>
      <c r="Q347" s="36">
        <f>Q346*1936.27</f>
        <v>35810053.138229996</v>
      </c>
      <c r="R347" s="7"/>
      <c r="S347" s="7"/>
      <c r="T347" s="7"/>
      <c r="U347" s="7"/>
      <c r="V347" s="7"/>
      <c r="W347" s="7"/>
      <c r="X347" s="7"/>
      <c r="Y347" s="7"/>
      <c r="Z347" s="7"/>
    </row>
    <row r="348" spans="1:26" ht="12.75" customHeight="1" x14ac:dyDescent="0.2">
      <c r="A348" s="95"/>
      <c r="B348" s="95"/>
      <c r="C348" s="40" t="s">
        <v>36</v>
      </c>
      <c r="D348" s="41">
        <v>34</v>
      </c>
      <c r="E348" s="42">
        <v>8295.51</v>
      </c>
      <c r="F348" s="42">
        <v>799.48</v>
      </c>
      <c r="G348" s="42">
        <v>123.95</v>
      </c>
      <c r="H348" s="42">
        <v>6280.06</v>
      </c>
      <c r="I348" s="42">
        <v>0</v>
      </c>
      <c r="J348" s="42">
        <v>1291.58</v>
      </c>
      <c r="K348" s="43">
        <v>15499</v>
      </c>
      <c r="L348" s="122">
        <v>16790.580000000002</v>
      </c>
      <c r="M348" s="33"/>
      <c r="N348" s="30">
        <v>15499</v>
      </c>
      <c r="O348" s="30">
        <v>9218.94</v>
      </c>
      <c r="P348" s="30"/>
      <c r="Q348" s="30">
        <f>(N348+O348*0.18+J348)+(IF((P348-O348*0.18)&gt;0,(P348-O348*0.18),0))</f>
        <v>18449.989200000004</v>
      </c>
      <c r="R348" s="7"/>
      <c r="S348" s="7"/>
      <c r="T348" s="7"/>
      <c r="U348" s="7"/>
      <c r="V348" s="7"/>
      <c r="W348" s="7"/>
      <c r="X348" s="7"/>
      <c r="Y348" s="7"/>
      <c r="Z348" s="7"/>
    </row>
    <row r="349" spans="1:26" ht="9" customHeight="1" x14ac:dyDescent="0.2">
      <c r="A349" s="95"/>
      <c r="B349" s="95"/>
      <c r="C349" s="34" t="s">
        <v>37</v>
      </c>
      <c r="D349" s="35">
        <v>35</v>
      </c>
      <c r="E349" s="36">
        <v>16062347</v>
      </c>
      <c r="F349" s="36">
        <v>1548009</v>
      </c>
      <c r="G349" s="36">
        <v>240001</v>
      </c>
      <c r="H349" s="36">
        <v>12159892</v>
      </c>
      <c r="I349" s="36">
        <v>0</v>
      </c>
      <c r="J349" s="37">
        <v>2500848</v>
      </c>
      <c r="K349" s="36">
        <v>30010249</v>
      </c>
      <c r="L349" s="121">
        <v>32511096</v>
      </c>
      <c r="M349" s="39"/>
      <c r="N349" s="36">
        <v>30010249</v>
      </c>
      <c r="O349" s="36">
        <v>17850357</v>
      </c>
      <c r="P349" s="36">
        <v>0</v>
      </c>
      <c r="Q349" s="36">
        <f>Q348*1936.27</f>
        <v>35724160.588284008</v>
      </c>
      <c r="R349" s="7"/>
      <c r="S349" s="7"/>
      <c r="T349" s="7"/>
      <c r="U349" s="7"/>
      <c r="V349" s="7"/>
      <c r="W349" s="7"/>
      <c r="X349" s="7"/>
      <c r="Y349" s="7"/>
      <c r="Z349" s="7"/>
    </row>
    <row r="350" spans="1:26" ht="12.75" customHeight="1" x14ac:dyDescent="0.2">
      <c r="A350" s="95"/>
      <c r="B350" s="95"/>
      <c r="C350" s="40" t="s">
        <v>36</v>
      </c>
      <c r="D350" s="41">
        <v>36</v>
      </c>
      <c r="E350" s="42">
        <v>8636.5499999999993</v>
      </c>
      <c r="F350" s="42">
        <v>811.87</v>
      </c>
      <c r="G350" s="42">
        <v>123.95</v>
      </c>
      <c r="H350" s="42">
        <v>6280.06</v>
      </c>
      <c r="I350" s="42">
        <v>0</v>
      </c>
      <c r="J350" s="42">
        <v>1321.04</v>
      </c>
      <c r="K350" s="43">
        <v>15852.43</v>
      </c>
      <c r="L350" s="122">
        <v>17173.47</v>
      </c>
      <c r="M350" s="33"/>
      <c r="N350" s="30">
        <v>15852.43</v>
      </c>
      <c r="O350" s="30">
        <v>9572.3700000000008</v>
      </c>
      <c r="P350" s="30"/>
      <c r="Q350" s="30">
        <f>(N350+O350*0.18+J350)+(IF((P350-O350*0.18)&gt;0,(P350-O350*0.18),0))</f>
        <v>18896.496600000002</v>
      </c>
      <c r="R350" s="7"/>
      <c r="S350" s="7"/>
      <c r="T350" s="7"/>
      <c r="U350" s="7"/>
      <c r="V350" s="7"/>
      <c r="W350" s="7"/>
      <c r="X350" s="7"/>
      <c r="Y350" s="7"/>
      <c r="Z350" s="7"/>
    </row>
    <row r="351" spans="1:26" ht="9" customHeight="1" x14ac:dyDescent="0.2">
      <c r="A351" s="95"/>
      <c r="B351" s="95"/>
      <c r="C351" s="34" t="s">
        <v>37</v>
      </c>
      <c r="D351" s="35">
        <v>37</v>
      </c>
      <c r="E351" s="36">
        <v>16722693</v>
      </c>
      <c r="F351" s="36">
        <v>1572000</v>
      </c>
      <c r="G351" s="36">
        <v>240001</v>
      </c>
      <c r="H351" s="36">
        <v>12159892</v>
      </c>
      <c r="I351" s="36">
        <v>0</v>
      </c>
      <c r="J351" s="37">
        <v>2557890</v>
      </c>
      <c r="K351" s="36">
        <v>30694585</v>
      </c>
      <c r="L351" s="121">
        <v>33252475</v>
      </c>
      <c r="M351" s="39"/>
      <c r="N351" s="36">
        <v>30694585</v>
      </c>
      <c r="O351" s="36">
        <v>18534693</v>
      </c>
      <c r="P351" s="36">
        <v>0</v>
      </c>
      <c r="Q351" s="36">
        <f>Q350*1936.27</f>
        <v>36588719.471682005</v>
      </c>
      <c r="R351" s="7"/>
      <c r="S351" s="7"/>
      <c r="T351" s="7"/>
      <c r="U351" s="7"/>
      <c r="V351" s="7"/>
      <c r="W351" s="7"/>
      <c r="X351" s="7"/>
      <c r="Y351" s="7"/>
      <c r="Z351" s="7"/>
    </row>
    <row r="352" spans="1:26" ht="12.75" customHeight="1" x14ac:dyDescent="0.2">
      <c r="A352" s="95"/>
      <c r="B352" s="95"/>
      <c r="C352" s="40" t="s">
        <v>36</v>
      </c>
      <c r="D352" s="41">
        <v>38</v>
      </c>
      <c r="E352" s="42">
        <v>8779.09</v>
      </c>
      <c r="F352" s="42">
        <v>824.27</v>
      </c>
      <c r="G352" s="42">
        <v>123.95</v>
      </c>
      <c r="H352" s="42">
        <v>6280.06</v>
      </c>
      <c r="I352" s="42">
        <v>0</v>
      </c>
      <c r="J352" s="42">
        <v>1333.95</v>
      </c>
      <c r="K352" s="43">
        <v>16007.37</v>
      </c>
      <c r="L352" s="122">
        <v>17341.32</v>
      </c>
      <c r="M352" s="33"/>
      <c r="N352" s="30">
        <v>16007.37</v>
      </c>
      <c r="O352" s="30">
        <v>9727.31</v>
      </c>
      <c r="P352" s="30"/>
      <c r="Q352" s="30">
        <f>(N352+O352*0.18+J352)+(IF((P352-O352*0.18)&gt;0,(P352-O352*0.18),0))</f>
        <v>19092.235800000002</v>
      </c>
      <c r="R352" s="7"/>
      <c r="S352" s="7"/>
      <c r="T352" s="7"/>
      <c r="U352" s="7"/>
      <c r="V352" s="7"/>
      <c r="W352" s="7"/>
      <c r="X352" s="7"/>
      <c r="Y352" s="7"/>
      <c r="Z352" s="7"/>
    </row>
    <row r="353" spans="1:26" ht="9" customHeight="1" x14ac:dyDescent="0.2">
      <c r="A353" s="95"/>
      <c r="B353" s="95"/>
      <c r="C353" s="34" t="s">
        <v>37</v>
      </c>
      <c r="D353" s="35">
        <v>39</v>
      </c>
      <c r="E353" s="36">
        <v>16998689</v>
      </c>
      <c r="F353" s="36">
        <v>1596009</v>
      </c>
      <c r="G353" s="36">
        <v>240001</v>
      </c>
      <c r="H353" s="36">
        <v>12159892</v>
      </c>
      <c r="I353" s="36">
        <v>0</v>
      </c>
      <c r="J353" s="37">
        <v>2582887</v>
      </c>
      <c r="K353" s="36">
        <v>30994590</v>
      </c>
      <c r="L353" s="121">
        <v>33577478</v>
      </c>
      <c r="M353" s="39"/>
      <c r="N353" s="36">
        <v>30994590</v>
      </c>
      <c r="O353" s="36">
        <v>18834699</v>
      </c>
      <c r="P353" s="36">
        <v>0</v>
      </c>
      <c r="Q353" s="36">
        <f>Q352*1936.27</f>
        <v>36967723.412466004</v>
      </c>
      <c r="R353" s="7"/>
      <c r="S353" s="7"/>
      <c r="T353" s="7"/>
      <c r="U353" s="7"/>
      <c r="V353" s="7"/>
      <c r="W353" s="7"/>
      <c r="X353" s="7"/>
      <c r="Y353" s="7"/>
      <c r="Z353" s="7"/>
    </row>
    <row r="354" spans="1:26" ht="9" customHeight="1" x14ac:dyDescent="0.2">
      <c r="A354" s="95"/>
      <c r="B354" s="95"/>
      <c r="C354" s="44"/>
      <c r="D354" s="45"/>
      <c r="E354" s="96"/>
      <c r="F354" s="96"/>
      <c r="G354" s="96"/>
      <c r="H354" s="96"/>
      <c r="I354" s="96"/>
      <c r="J354" s="54"/>
      <c r="K354" s="96"/>
      <c r="L354" s="121"/>
      <c r="M354" s="39"/>
      <c r="N354" s="96"/>
      <c r="O354" s="96"/>
      <c r="P354" s="96"/>
      <c r="Q354" s="96"/>
      <c r="R354" s="7"/>
      <c r="S354" s="7"/>
      <c r="T354" s="7"/>
      <c r="U354" s="7"/>
      <c r="V354" s="7"/>
      <c r="W354" s="7"/>
      <c r="X354" s="7"/>
      <c r="Y354" s="7"/>
      <c r="Z354" s="7"/>
    </row>
    <row r="355" spans="1:26" ht="9" customHeight="1" x14ac:dyDescent="0.2">
      <c r="A355" s="95"/>
      <c r="B355" s="95"/>
      <c r="C355" s="44"/>
      <c r="D355" s="45"/>
      <c r="E355" s="96"/>
      <c r="F355" s="96"/>
      <c r="G355" s="96"/>
      <c r="H355" s="96"/>
      <c r="I355" s="96"/>
      <c r="J355" s="54"/>
      <c r="K355" s="96"/>
      <c r="L355" s="121"/>
      <c r="M355" s="39"/>
      <c r="N355" s="96"/>
      <c r="O355" s="96"/>
      <c r="P355" s="96"/>
      <c r="Q355" s="96"/>
      <c r="R355" s="7"/>
      <c r="S355" s="7"/>
      <c r="T355" s="7"/>
      <c r="U355" s="7"/>
      <c r="V355" s="7"/>
      <c r="W355" s="7"/>
      <c r="X355" s="7"/>
      <c r="Y355" s="7"/>
      <c r="Z355" s="7"/>
    </row>
    <row r="356" spans="1:26" ht="12.75" customHeight="1" x14ac:dyDescent="0.2">
      <c r="A356" s="95"/>
      <c r="B356" s="95"/>
      <c r="C356" s="40" t="s">
        <v>36</v>
      </c>
      <c r="D356" s="41">
        <v>40</v>
      </c>
      <c r="E356" s="42">
        <v>8921.64</v>
      </c>
      <c r="F356" s="42">
        <v>842.86</v>
      </c>
      <c r="G356" s="42">
        <v>123.95</v>
      </c>
      <c r="H356" s="42">
        <v>6280.06</v>
      </c>
      <c r="I356" s="42">
        <v>0</v>
      </c>
      <c r="J356" s="42">
        <v>1347.38</v>
      </c>
      <c r="K356" s="43">
        <v>16168.51</v>
      </c>
      <c r="L356" s="122">
        <v>17515.89</v>
      </c>
      <c r="M356" s="33"/>
      <c r="N356" s="30">
        <v>16168.51</v>
      </c>
      <c r="O356" s="30">
        <v>9888.4500000000007</v>
      </c>
      <c r="P356" s="30"/>
      <c r="Q356" s="30">
        <f>(N356+O356*0.18+J356)+(IF((P356-O356*0.18)&gt;0,(P356-O356*0.18),0))</f>
        <v>19295.811000000002</v>
      </c>
      <c r="R356" s="7"/>
      <c r="S356" s="7"/>
      <c r="T356" s="7"/>
      <c r="U356" s="7"/>
      <c r="V356" s="7"/>
      <c r="W356" s="7"/>
      <c r="X356" s="7"/>
      <c r="Y356" s="7"/>
      <c r="Z356" s="7"/>
    </row>
    <row r="357" spans="1:26" ht="9" customHeight="1" x14ac:dyDescent="0.2">
      <c r="A357" s="110"/>
      <c r="B357" s="110"/>
      <c r="C357" s="47"/>
      <c r="D357" s="48"/>
      <c r="E357" s="46">
        <v>17274704</v>
      </c>
      <c r="F357" s="46">
        <v>1632005</v>
      </c>
      <c r="G357" s="46">
        <v>240001</v>
      </c>
      <c r="H357" s="46">
        <v>12159892</v>
      </c>
      <c r="I357" s="46">
        <v>0</v>
      </c>
      <c r="J357" s="49">
        <v>2608891</v>
      </c>
      <c r="K357" s="46">
        <v>31306601</v>
      </c>
      <c r="L357" s="124">
        <v>33915492</v>
      </c>
      <c r="M357" s="39"/>
      <c r="N357" s="36">
        <v>31306601</v>
      </c>
      <c r="O357" s="36">
        <v>19146709</v>
      </c>
      <c r="P357" s="36">
        <v>0</v>
      </c>
      <c r="Q357" s="36">
        <f>Q356*1936.27</f>
        <v>37361899.96497</v>
      </c>
      <c r="R357" s="7"/>
      <c r="S357" s="7"/>
      <c r="T357" s="7"/>
      <c r="U357" s="7"/>
      <c r="V357" s="7"/>
      <c r="W357" s="7"/>
      <c r="X357" s="7"/>
      <c r="Y357" s="7"/>
      <c r="Z357" s="7"/>
    </row>
    <row r="358" spans="1:26" ht="12.75" customHeight="1" x14ac:dyDescent="0.2">
      <c r="A358" s="98">
        <v>35034</v>
      </c>
      <c r="B358" s="98">
        <v>35064</v>
      </c>
      <c r="C358" s="28" t="s">
        <v>36</v>
      </c>
      <c r="D358" s="29">
        <v>0</v>
      </c>
      <c r="E358" s="30">
        <v>5214.5</v>
      </c>
      <c r="F358" s="30">
        <v>440.02</v>
      </c>
      <c r="G358" s="30">
        <v>0</v>
      </c>
      <c r="H358" s="30">
        <v>6280.06</v>
      </c>
      <c r="I358" s="30">
        <v>0</v>
      </c>
      <c r="J358" s="30">
        <v>994.55</v>
      </c>
      <c r="K358" s="31">
        <v>11934.58</v>
      </c>
      <c r="L358" s="32">
        <v>12929.13</v>
      </c>
      <c r="M358" s="33"/>
      <c r="N358" s="30">
        <v>11934.58</v>
      </c>
      <c r="O358" s="30">
        <v>5654.52</v>
      </c>
      <c r="P358" s="30"/>
      <c r="Q358" s="30">
        <f>(N358+O358*0.18+J358)+(IF((P358-O358*0.18)&gt;0,(P358-O358*0.18),0))</f>
        <v>13946.943599999999</v>
      </c>
      <c r="R358" s="7"/>
      <c r="S358" s="7"/>
      <c r="T358" s="7"/>
      <c r="U358" s="7"/>
      <c r="V358" s="7"/>
      <c r="W358" s="7"/>
      <c r="X358" s="7"/>
      <c r="Y358" s="7"/>
      <c r="Z358" s="7"/>
    </row>
    <row r="359" spans="1:26" ht="9" customHeight="1" x14ac:dyDescent="0.2">
      <c r="A359" s="95"/>
      <c r="B359" s="95"/>
      <c r="C359" s="34" t="s">
        <v>37</v>
      </c>
      <c r="D359" s="35">
        <v>1</v>
      </c>
      <c r="E359" s="36">
        <v>10096680</v>
      </c>
      <c r="F359" s="36">
        <v>851998</v>
      </c>
      <c r="G359" s="36">
        <v>0</v>
      </c>
      <c r="H359" s="36">
        <v>12159892</v>
      </c>
      <c r="I359" s="36">
        <v>0</v>
      </c>
      <c r="J359" s="37">
        <v>1925717</v>
      </c>
      <c r="K359" s="36">
        <v>23108569</v>
      </c>
      <c r="L359" s="38">
        <v>25034287</v>
      </c>
      <c r="M359" s="39"/>
      <c r="N359" s="36">
        <v>23108569</v>
      </c>
      <c r="O359" s="36">
        <v>10948677</v>
      </c>
      <c r="P359" s="36">
        <v>0</v>
      </c>
      <c r="Q359" s="36">
        <f>Q358*1936.27</f>
        <v>27005048.484371997</v>
      </c>
      <c r="R359" s="7"/>
      <c r="S359" s="7"/>
      <c r="T359" s="7"/>
      <c r="U359" s="7"/>
      <c r="V359" s="7"/>
      <c r="W359" s="7"/>
      <c r="X359" s="7"/>
      <c r="Y359" s="7"/>
      <c r="Z359" s="7"/>
    </row>
    <row r="360" spans="1:26" ht="12.75" customHeight="1" x14ac:dyDescent="0.2">
      <c r="A360" s="155">
        <v>35034</v>
      </c>
      <c r="B360" s="155">
        <v>35064</v>
      </c>
      <c r="C360" s="40" t="s">
        <v>36</v>
      </c>
      <c r="D360" s="41">
        <v>2</v>
      </c>
      <c r="E360" s="42">
        <v>5443.81</v>
      </c>
      <c r="F360" s="42">
        <v>458.61</v>
      </c>
      <c r="G360" s="42">
        <v>0</v>
      </c>
      <c r="H360" s="42">
        <v>6280.06</v>
      </c>
      <c r="I360" s="42">
        <v>0</v>
      </c>
      <c r="J360" s="42">
        <v>1015.21</v>
      </c>
      <c r="K360" s="43">
        <v>12182.48</v>
      </c>
      <c r="L360" s="32">
        <v>13197.69</v>
      </c>
      <c r="M360" s="33"/>
      <c r="N360" s="30">
        <v>12182.48</v>
      </c>
      <c r="O360" s="30">
        <v>5902.42</v>
      </c>
      <c r="P360" s="30"/>
      <c r="Q360" s="30">
        <f>(N360+O360*0.18+J360)+(IF((P360-O360*0.18)&gt;0,(P360-O360*0.18),0))</f>
        <v>14260.125599999999</v>
      </c>
      <c r="R360" s="7"/>
      <c r="S360" s="7"/>
      <c r="T360" s="7"/>
      <c r="U360" s="7"/>
      <c r="V360" s="7"/>
      <c r="W360" s="7"/>
      <c r="X360" s="7"/>
      <c r="Y360" s="7"/>
      <c r="Z360" s="7"/>
    </row>
    <row r="361" spans="1:26" ht="9" customHeight="1" x14ac:dyDescent="0.2">
      <c r="A361" s="95"/>
      <c r="B361" s="95"/>
      <c r="C361" s="34" t="s">
        <v>37</v>
      </c>
      <c r="D361" s="35">
        <v>3</v>
      </c>
      <c r="E361" s="36">
        <v>10540686</v>
      </c>
      <c r="F361" s="36">
        <v>887993</v>
      </c>
      <c r="G361" s="36">
        <v>0</v>
      </c>
      <c r="H361" s="36">
        <v>12159892</v>
      </c>
      <c r="I361" s="36">
        <v>0</v>
      </c>
      <c r="J361" s="37">
        <v>1965721</v>
      </c>
      <c r="K361" s="36">
        <v>23588571</v>
      </c>
      <c r="L361" s="38">
        <v>25554291</v>
      </c>
      <c r="M361" s="39"/>
      <c r="N361" s="36">
        <v>23588571</v>
      </c>
      <c r="O361" s="36">
        <v>11428679</v>
      </c>
      <c r="P361" s="36">
        <v>0</v>
      </c>
      <c r="Q361" s="36">
        <f>Q360*1936.27</f>
        <v>27611453.395512</v>
      </c>
      <c r="R361" s="7"/>
      <c r="S361" s="7"/>
      <c r="T361" s="7"/>
      <c r="U361" s="7"/>
      <c r="V361" s="7"/>
      <c r="W361" s="7"/>
      <c r="X361" s="7"/>
      <c r="Y361" s="7"/>
      <c r="Z361" s="7"/>
    </row>
    <row r="362" spans="1:26" ht="12.75" customHeight="1" x14ac:dyDescent="0.2">
      <c r="A362" s="95"/>
      <c r="B362" s="95"/>
      <c r="C362" s="40" t="s">
        <v>36</v>
      </c>
      <c r="D362" s="41">
        <v>4</v>
      </c>
      <c r="E362" s="42">
        <v>5687.99</v>
      </c>
      <c r="F362" s="42">
        <v>483.4</v>
      </c>
      <c r="G362" s="42">
        <v>0</v>
      </c>
      <c r="H362" s="42">
        <v>6280.06</v>
      </c>
      <c r="I362" s="42">
        <v>0</v>
      </c>
      <c r="J362" s="42">
        <v>1037.6199999999999</v>
      </c>
      <c r="K362" s="43">
        <v>12451.45</v>
      </c>
      <c r="L362" s="32">
        <v>13489.07</v>
      </c>
      <c r="M362" s="33"/>
      <c r="N362" s="30">
        <v>12451.45</v>
      </c>
      <c r="O362" s="30">
        <v>6171.39</v>
      </c>
      <c r="P362" s="30"/>
      <c r="Q362" s="30">
        <f>(N362+O362*0.18+J362)+(IF((P362-O362*0.18)&gt;0,(P362-O362*0.18),0))</f>
        <v>14599.9202</v>
      </c>
      <c r="R362" s="7"/>
      <c r="S362" s="7"/>
      <c r="T362" s="7"/>
      <c r="U362" s="7"/>
      <c r="V362" s="7"/>
      <c r="W362" s="7"/>
      <c r="X362" s="7"/>
      <c r="Y362" s="7"/>
      <c r="Z362" s="7"/>
    </row>
    <row r="363" spans="1:26" ht="9" customHeight="1" x14ac:dyDescent="0.2">
      <c r="A363" s="95"/>
      <c r="B363" s="95"/>
      <c r="C363" s="34" t="s">
        <v>37</v>
      </c>
      <c r="D363" s="35">
        <v>5</v>
      </c>
      <c r="E363" s="36">
        <v>11013484</v>
      </c>
      <c r="F363" s="36">
        <v>935993</v>
      </c>
      <c r="G363" s="36">
        <v>0</v>
      </c>
      <c r="H363" s="36">
        <v>12159892</v>
      </c>
      <c r="I363" s="36">
        <v>0</v>
      </c>
      <c r="J363" s="37">
        <v>2009112</v>
      </c>
      <c r="K363" s="36">
        <v>24109369</v>
      </c>
      <c r="L363" s="38">
        <v>26118482</v>
      </c>
      <c r="M363" s="39"/>
      <c r="N363" s="36">
        <v>24109369</v>
      </c>
      <c r="O363" s="36">
        <v>11949477</v>
      </c>
      <c r="P363" s="36">
        <v>0</v>
      </c>
      <c r="Q363" s="36">
        <f>Q362*1936.27</f>
        <v>28269387.485654</v>
      </c>
      <c r="R363" s="7"/>
      <c r="S363" s="7"/>
      <c r="T363" s="7"/>
      <c r="U363" s="7"/>
      <c r="V363" s="7"/>
      <c r="W363" s="7"/>
      <c r="X363" s="7"/>
      <c r="Y363" s="7"/>
      <c r="Z363" s="7"/>
    </row>
    <row r="364" spans="1:26" ht="12.75" customHeight="1" x14ac:dyDescent="0.2">
      <c r="A364" s="95"/>
      <c r="B364" s="95"/>
      <c r="C364" s="40" t="s">
        <v>36</v>
      </c>
      <c r="D364" s="41">
        <v>6</v>
      </c>
      <c r="E364" s="42">
        <v>6016.45</v>
      </c>
      <c r="F364" s="42">
        <v>514.39</v>
      </c>
      <c r="G364" s="42">
        <v>0</v>
      </c>
      <c r="H364" s="42">
        <v>6280.06</v>
      </c>
      <c r="I364" s="42">
        <v>0</v>
      </c>
      <c r="J364" s="42">
        <v>1067.58</v>
      </c>
      <c r="K364" s="43">
        <v>12810.9</v>
      </c>
      <c r="L364" s="32">
        <v>13878.48</v>
      </c>
      <c r="M364" s="33"/>
      <c r="N364" s="30">
        <v>12810.9</v>
      </c>
      <c r="O364" s="30">
        <v>6530.84</v>
      </c>
      <c r="P364" s="30"/>
      <c r="Q364" s="30">
        <f>(N364+O364*0.18+J364)+(IF((P364-O364*0.18)&gt;0,(P364-O364*0.18),0))</f>
        <v>15054.031199999999</v>
      </c>
      <c r="R364" s="7"/>
      <c r="S364" s="7"/>
      <c r="T364" s="7"/>
      <c r="U364" s="7"/>
      <c r="V364" s="7"/>
      <c r="W364" s="7"/>
      <c r="X364" s="7"/>
      <c r="Y364" s="7"/>
      <c r="Z364" s="7"/>
    </row>
    <row r="365" spans="1:26" ht="9" customHeight="1" x14ac:dyDescent="0.2">
      <c r="A365" s="95"/>
      <c r="B365" s="95"/>
      <c r="C365" s="34" t="s">
        <v>37</v>
      </c>
      <c r="D365" s="35">
        <v>7</v>
      </c>
      <c r="E365" s="36">
        <v>11649472</v>
      </c>
      <c r="F365" s="36">
        <v>995998</v>
      </c>
      <c r="G365" s="36">
        <v>0</v>
      </c>
      <c r="H365" s="36">
        <v>12159892</v>
      </c>
      <c r="I365" s="36">
        <v>0</v>
      </c>
      <c r="J365" s="37">
        <v>2067123</v>
      </c>
      <c r="K365" s="36">
        <v>24805361</v>
      </c>
      <c r="L365" s="38">
        <v>26872484</v>
      </c>
      <c r="M365" s="39"/>
      <c r="N365" s="36">
        <v>24805361</v>
      </c>
      <c r="O365" s="36">
        <v>12645470</v>
      </c>
      <c r="P365" s="36">
        <v>0</v>
      </c>
      <c r="Q365" s="36">
        <f>Q364*1936.27</f>
        <v>29148668.991623998</v>
      </c>
      <c r="R365" s="7"/>
      <c r="S365" s="7"/>
      <c r="T365" s="7"/>
      <c r="U365" s="7"/>
      <c r="V365" s="7"/>
      <c r="W365" s="7"/>
      <c r="X365" s="7"/>
      <c r="Y365" s="7"/>
      <c r="Z365" s="7"/>
    </row>
    <row r="366" spans="1:26" ht="12.75" customHeight="1" x14ac:dyDescent="0.2">
      <c r="A366" s="95"/>
      <c r="B366" s="95"/>
      <c r="C366" s="40" t="s">
        <v>36</v>
      </c>
      <c r="D366" s="41">
        <v>8</v>
      </c>
      <c r="E366" s="42">
        <v>6282.95</v>
      </c>
      <c r="F366" s="42">
        <v>545.38</v>
      </c>
      <c r="G366" s="42">
        <v>0</v>
      </c>
      <c r="H366" s="42">
        <v>6280.06</v>
      </c>
      <c r="I366" s="42">
        <v>0</v>
      </c>
      <c r="J366" s="42">
        <v>1092.3699999999999</v>
      </c>
      <c r="K366" s="43">
        <v>13108.39</v>
      </c>
      <c r="L366" s="32">
        <v>14200.76</v>
      </c>
      <c r="M366" s="33"/>
      <c r="N366" s="30">
        <v>13108.39</v>
      </c>
      <c r="O366" s="30">
        <v>6828.33</v>
      </c>
      <c r="P366" s="30"/>
      <c r="Q366" s="30">
        <f>(N366+O366*0.18+J366)+(IF((P366-O366*0.18)&gt;0,(P366-O366*0.18),0))</f>
        <v>15429.859399999998</v>
      </c>
      <c r="R366" s="7"/>
      <c r="S366" s="7"/>
      <c r="T366" s="7"/>
      <c r="U366" s="7"/>
      <c r="V366" s="7"/>
      <c r="W366" s="7"/>
      <c r="X366" s="7"/>
      <c r="Y366" s="7"/>
      <c r="Z366" s="7"/>
    </row>
    <row r="367" spans="1:26" ht="9" customHeight="1" x14ac:dyDescent="0.2">
      <c r="A367" s="95"/>
      <c r="B367" s="95"/>
      <c r="C367" s="34" t="s">
        <v>37</v>
      </c>
      <c r="D367" s="35">
        <v>9</v>
      </c>
      <c r="E367" s="36">
        <v>12165488</v>
      </c>
      <c r="F367" s="36">
        <v>1056003</v>
      </c>
      <c r="G367" s="36">
        <v>0</v>
      </c>
      <c r="H367" s="36">
        <v>12159892</v>
      </c>
      <c r="I367" s="36">
        <v>0</v>
      </c>
      <c r="J367" s="37">
        <v>2115123</v>
      </c>
      <c r="K367" s="36">
        <v>25381382</v>
      </c>
      <c r="L367" s="38">
        <v>27496506</v>
      </c>
      <c r="M367" s="39"/>
      <c r="N367" s="36">
        <v>25381382</v>
      </c>
      <c r="O367" s="36">
        <v>13221491</v>
      </c>
      <c r="P367" s="36">
        <v>0</v>
      </c>
      <c r="Q367" s="36">
        <f>Q366*1936.27</f>
        <v>29876373.860437997</v>
      </c>
      <c r="R367" s="7"/>
      <c r="S367" s="7"/>
      <c r="T367" s="7"/>
      <c r="U367" s="7"/>
      <c r="V367" s="7"/>
      <c r="W367" s="7"/>
      <c r="X367" s="7"/>
      <c r="Y367" s="7"/>
      <c r="Z367" s="7"/>
    </row>
    <row r="368" spans="1:26" ht="12.75" customHeight="1" x14ac:dyDescent="0.2">
      <c r="A368" s="95"/>
      <c r="B368" s="95"/>
      <c r="C368" s="40" t="s">
        <v>36</v>
      </c>
      <c r="D368" s="41">
        <v>10</v>
      </c>
      <c r="E368" s="42">
        <v>6597.9</v>
      </c>
      <c r="F368" s="42">
        <v>570.16999999999996</v>
      </c>
      <c r="G368" s="42">
        <v>0</v>
      </c>
      <c r="H368" s="42">
        <v>6280.06</v>
      </c>
      <c r="I368" s="42">
        <v>0</v>
      </c>
      <c r="J368" s="42">
        <v>1120.68</v>
      </c>
      <c r="K368" s="43">
        <v>13448.13</v>
      </c>
      <c r="L368" s="32">
        <v>14568.81</v>
      </c>
      <c r="M368" s="33"/>
      <c r="N368" s="30">
        <v>13448.13</v>
      </c>
      <c r="O368" s="30">
        <v>7168.07</v>
      </c>
      <c r="P368" s="30"/>
      <c r="Q368" s="30">
        <f>(N368+O368*0.18+J368)+(IF((P368-O368*0.18)&gt;0,(P368-O368*0.18),0))</f>
        <v>15859.062599999999</v>
      </c>
      <c r="R368" s="7"/>
      <c r="S368" s="7"/>
      <c r="T368" s="7"/>
      <c r="U368" s="7"/>
      <c r="V368" s="7"/>
      <c r="W368" s="7"/>
      <c r="X368" s="7"/>
      <c r="Y368" s="7"/>
      <c r="Z368" s="7"/>
    </row>
    <row r="369" spans="1:26" ht="9" customHeight="1" x14ac:dyDescent="0.2">
      <c r="A369" s="95"/>
      <c r="B369" s="95"/>
      <c r="C369" s="34" t="s">
        <v>37</v>
      </c>
      <c r="D369" s="35">
        <v>11</v>
      </c>
      <c r="E369" s="36">
        <v>12775316</v>
      </c>
      <c r="F369" s="36">
        <v>1104003</v>
      </c>
      <c r="G369" s="36">
        <v>0</v>
      </c>
      <c r="H369" s="36">
        <v>12159892</v>
      </c>
      <c r="I369" s="36">
        <v>0</v>
      </c>
      <c r="J369" s="37">
        <v>2169939</v>
      </c>
      <c r="K369" s="36">
        <v>26039211</v>
      </c>
      <c r="L369" s="38">
        <v>28209150</v>
      </c>
      <c r="M369" s="39"/>
      <c r="N369" s="36">
        <v>26039211</v>
      </c>
      <c r="O369" s="36">
        <v>13879319</v>
      </c>
      <c r="P369" s="36">
        <v>0</v>
      </c>
      <c r="Q369" s="36">
        <f>Q368*1936.27</f>
        <v>30707427.140501998</v>
      </c>
      <c r="R369" s="7"/>
      <c r="S369" s="7"/>
      <c r="T369" s="7"/>
      <c r="U369" s="7"/>
      <c r="V369" s="7"/>
      <c r="W369" s="7"/>
      <c r="X369" s="7"/>
      <c r="Y369" s="7"/>
      <c r="Z369" s="7"/>
    </row>
    <row r="370" spans="1:26" ht="12.75" customHeight="1" x14ac:dyDescent="0.2">
      <c r="A370" s="95"/>
      <c r="B370" s="95"/>
      <c r="C370" s="40" t="s">
        <v>36</v>
      </c>
      <c r="D370" s="41">
        <v>12</v>
      </c>
      <c r="E370" s="42">
        <v>6858.2</v>
      </c>
      <c r="F370" s="42">
        <v>594.96</v>
      </c>
      <c r="G370" s="42">
        <v>0</v>
      </c>
      <c r="H370" s="42">
        <v>6280.06</v>
      </c>
      <c r="I370" s="42">
        <v>0</v>
      </c>
      <c r="J370" s="42">
        <v>1144.44</v>
      </c>
      <c r="K370" s="43">
        <v>13733.22</v>
      </c>
      <c r="L370" s="32">
        <v>14877.66</v>
      </c>
      <c r="M370" s="33"/>
      <c r="N370" s="30">
        <v>13733.22</v>
      </c>
      <c r="O370" s="30">
        <v>7453.16</v>
      </c>
      <c r="P370" s="30"/>
      <c r="Q370" s="30">
        <f>(N370+O370*0.18+J370)+(IF((P370-O370*0.18)&gt;0,(P370-O370*0.18),0))</f>
        <v>16219.228799999999</v>
      </c>
      <c r="R370" s="7"/>
      <c r="S370" s="7"/>
      <c r="T370" s="7"/>
      <c r="U370" s="7"/>
      <c r="V370" s="7"/>
      <c r="W370" s="7"/>
      <c r="X370" s="7"/>
      <c r="Y370" s="7"/>
      <c r="Z370" s="7"/>
    </row>
    <row r="371" spans="1:26" ht="9" customHeight="1" x14ac:dyDescent="0.2">
      <c r="A371" s="95"/>
      <c r="B371" s="95"/>
      <c r="C371" s="34" t="s">
        <v>37</v>
      </c>
      <c r="D371" s="35">
        <v>13</v>
      </c>
      <c r="E371" s="36">
        <v>13279327</v>
      </c>
      <c r="F371" s="36">
        <v>1152003</v>
      </c>
      <c r="G371" s="36">
        <v>0</v>
      </c>
      <c r="H371" s="36">
        <v>12159892</v>
      </c>
      <c r="I371" s="36">
        <v>0</v>
      </c>
      <c r="J371" s="37">
        <v>2215945</v>
      </c>
      <c r="K371" s="36">
        <v>26591222</v>
      </c>
      <c r="L371" s="38">
        <v>28807167</v>
      </c>
      <c r="M371" s="39"/>
      <c r="N371" s="36">
        <v>26591222</v>
      </c>
      <c r="O371" s="36">
        <v>14431330</v>
      </c>
      <c r="P371" s="36">
        <v>0</v>
      </c>
      <c r="Q371" s="36">
        <f>Q370*1936.27</f>
        <v>31404806.148575999</v>
      </c>
      <c r="R371" s="7"/>
      <c r="S371" s="7"/>
      <c r="T371" s="7"/>
      <c r="U371" s="7"/>
      <c r="V371" s="7"/>
      <c r="W371" s="7"/>
      <c r="X371" s="7"/>
      <c r="Y371" s="7"/>
      <c r="Z371" s="7"/>
    </row>
    <row r="372" spans="1:26" ht="12.75" customHeight="1" x14ac:dyDescent="0.2">
      <c r="A372" s="95"/>
      <c r="B372" s="95"/>
      <c r="C372" s="40" t="s">
        <v>36</v>
      </c>
      <c r="D372" s="41">
        <v>14</v>
      </c>
      <c r="E372" s="42">
        <v>7118.49</v>
      </c>
      <c r="F372" s="42">
        <v>619.75</v>
      </c>
      <c r="G372" s="42">
        <v>0</v>
      </c>
      <c r="H372" s="42">
        <v>6280.06</v>
      </c>
      <c r="I372" s="42">
        <v>0</v>
      </c>
      <c r="J372" s="42">
        <v>1168.19</v>
      </c>
      <c r="K372" s="43">
        <v>14018.3</v>
      </c>
      <c r="L372" s="32">
        <v>15186.49</v>
      </c>
      <c r="M372" s="33"/>
      <c r="N372" s="30">
        <v>14018.3</v>
      </c>
      <c r="O372" s="30">
        <v>7738.24</v>
      </c>
      <c r="P372" s="30"/>
      <c r="Q372" s="30">
        <f>(N372+O372*0.18+J372)+(IF((P372-O372*0.18)&gt;0,(P372-O372*0.18),0))</f>
        <v>16579.373199999998</v>
      </c>
      <c r="R372" s="7"/>
      <c r="S372" s="7"/>
      <c r="T372" s="7"/>
      <c r="U372" s="7"/>
      <c r="V372" s="7"/>
      <c r="W372" s="7"/>
      <c r="X372" s="7"/>
      <c r="Y372" s="7"/>
      <c r="Z372" s="7"/>
    </row>
    <row r="373" spans="1:26" ht="9" customHeight="1" x14ac:dyDescent="0.2">
      <c r="A373" s="95"/>
      <c r="B373" s="95"/>
      <c r="C373" s="34" t="s">
        <v>37</v>
      </c>
      <c r="D373" s="35">
        <v>15</v>
      </c>
      <c r="E373" s="36">
        <v>13783319</v>
      </c>
      <c r="F373" s="36">
        <v>1200003</v>
      </c>
      <c r="G373" s="36">
        <v>0</v>
      </c>
      <c r="H373" s="36">
        <v>12159892</v>
      </c>
      <c r="I373" s="36">
        <v>0</v>
      </c>
      <c r="J373" s="37">
        <v>2261931</v>
      </c>
      <c r="K373" s="36">
        <v>27143214</v>
      </c>
      <c r="L373" s="38">
        <v>29405145</v>
      </c>
      <c r="M373" s="39"/>
      <c r="N373" s="36">
        <v>27143214</v>
      </c>
      <c r="O373" s="36">
        <v>14983322</v>
      </c>
      <c r="P373" s="36">
        <v>0</v>
      </c>
      <c r="Q373" s="36">
        <f>Q372*1936.27</f>
        <v>32102142.945963997</v>
      </c>
      <c r="R373" s="7"/>
      <c r="S373" s="7"/>
      <c r="T373" s="7"/>
      <c r="U373" s="7"/>
      <c r="V373" s="7"/>
      <c r="W373" s="7"/>
      <c r="X373" s="7"/>
      <c r="Y373" s="7"/>
      <c r="Z373" s="7"/>
    </row>
    <row r="374" spans="1:26" ht="12.75" customHeight="1" x14ac:dyDescent="0.2">
      <c r="A374" s="95"/>
      <c r="B374" s="95"/>
      <c r="C374" s="40" t="s">
        <v>36</v>
      </c>
      <c r="D374" s="41">
        <v>16</v>
      </c>
      <c r="E374" s="42">
        <v>7430.1</v>
      </c>
      <c r="F374" s="42">
        <v>650.74</v>
      </c>
      <c r="G374" s="42">
        <v>0</v>
      </c>
      <c r="H374" s="42">
        <v>6280.06</v>
      </c>
      <c r="I374" s="42">
        <v>0</v>
      </c>
      <c r="J374" s="42">
        <v>1196.74</v>
      </c>
      <c r="K374" s="43">
        <v>14360.9</v>
      </c>
      <c r="L374" s="32">
        <v>15557.64</v>
      </c>
      <c r="M374" s="33"/>
      <c r="N374" s="30">
        <v>14360.9</v>
      </c>
      <c r="O374" s="30">
        <v>8080.84</v>
      </c>
      <c r="P374" s="30"/>
      <c r="Q374" s="30">
        <f>(N374+O374*0.18+J374)+(IF((P374-O374*0.18)&gt;0,(P374-O374*0.18),0))</f>
        <v>17012.191200000001</v>
      </c>
      <c r="R374" s="7"/>
      <c r="S374" s="7"/>
      <c r="T374" s="7"/>
      <c r="U374" s="7"/>
      <c r="V374" s="7"/>
      <c r="W374" s="7"/>
      <c r="X374" s="7"/>
      <c r="Y374" s="7"/>
      <c r="Z374" s="7"/>
    </row>
    <row r="375" spans="1:26" ht="9" customHeight="1" x14ac:dyDescent="0.2">
      <c r="A375" s="95"/>
      <c r="B375" s="95"/>
      <c r="C375" s="34" t="s">
        <v>37</v>
      </c>
      <c r="D375" s="35">
        <v>17</v>
      </c>
      <c r="E375" s="36">
        <v>14386680</v>
      </c>
      <c r="F375" s="36">
        <v>1260008</v>
      </c>
      <c r="G375" s="36">
        <v>0</v>
      </c>
      <c r="H375" s="36">
        <v>12159892</v>
      </c>
      <c r="I375" s="36">
        <v>0</v>
      </c>
      <c r="J375" s="37">
        <v>2317212</v>
      </c>
      <c r="K375" s="36">
        <v>27806580</v>
      </c>
      <c r="L375" s="38">
        <v>30123792</v>
      </c>
      <c r="M375" s="39"/>
      <c r="N375" s="36">
        <v>27806580</v>
      </c>
      <c r="O375" s="36">
        <v>15646688</v>
      </c>
      <c r="P375" s="36">
        <v>0</v>
      </c>
      <c r="Q375" s="36">
        <f>Q374*1936.27</f>
        <v>32940195.454824001</v>
      </c>
      <c r="R375" s="7"/>
      <c r="S375" s="7"/>
      <c r="T375" s="7"/>
      <c r="U375" s="7"/>
      <c r="V375" s="7"/>
      <c r="W375" s="7"/>
      <c r="X375" s="7"/>
      <c r="Y375" s="7"/>
      <c r="Z375" s="7"/>
    </row>
    <row r="376" spans="1:26" ht="12.75" customHeight="1" x14ac:dyDescent="0.2">
      <c r="A376" s="95"/>
      <c r="B376" s="95"/>
      <c r="C376" s="40" t="s">
        <v>36</v>
      </c>
      <c r="D376" s="41">
        <v>18</v>
      </c>
      <c r="E376" s="42">
        <v>7690.39</v>
      </c>
      <c r="F376" s="42">
        <v>675.53</v>
      </c>
      <c r="G376" s="42">
        <v>0</v>
      </c>
      <c r="H376" s="42">
        <v>6280.06</v>
      </c>
      <c r="I376" s="42">
        <v>0</v>
      </c>
      <c r="J376" s="42">
        <v>1220.5</v>
      </c>
      <c r="K376" s="43">
        <v>14645.98</v>
      </c>
      <c r="L376" s="32">
        <v>15866.48</v>
      </c>
      <c r="M376" s="33"/>
      <c r="N376" s="30">
        <v>14645.98</v>
      </c>
      <c r="O376" s="30">
        <v>8365.92</v>
      </c>
      <c r="P376" s="30"/>
      <c r="Q376" s="30">
        <f>(N376+O376*0.18+J376)+(IF((P376-O376*0.18)&gt;0,(P376-O376*0.18),0))</f>
        <v>17372.345600000001</v>
      </c>
      <c r="R376" s="7"/>
      <c r="S376" s="7"/>
      <c r="T376" s="7"/>
      <c r="U376" s="7"/>
      <c r="V376" s="7"/>
      <c r="W376" s="7"/>
      <c r="X376" s="7"/>
      <c r="Y376" s="7"/>
      <c r="Z376" s="7"/>
    </row>
    <row r="377" spans="1:26" ht="9" customHeight="1" x14ac:dyDescent="0.2">
      <c r="A377" s="95"/>
      <c r="B377" s="95"/>
      <c r="C377" s="34" t="s">
        <v>37</v>
      </c>
      <c r="D377" s="35">
        <v>19</v>
      </c>
      <c r="E377" s="36">
        <v>14890671</v>
      </c>
      <c r="F377" s="36">
        <v>1308008</v>
      </c>
      <c r="G377" s="36">
        <v>0</v>
      </c>
      <c r="H377" s="36">
        <v>12159892</v>
      </c>
      <c r="I377" s="36">
        <v>0</v>
      </c>
      <c r="J377" s="37">
        <v>2363218</v>
      </c>
      <c r="K377" s="36">
        <v>28358572</v>
      </c>
      <c r="L377" s="38">
        <v>30721789</v>
      </c>
      <c r="M377" s="39"/>
      <c r="N377" s="36">
        <v>28358572</v>
      </c>
      <c r="O377" s="36">
        <v>16198680</v>
      </c>
      <c r="P377" s="36">
        <v>0</v>
      </c>
      <c r="Q377" s="36">
        <f>Q376*1936.27</f>
        <v>33637551.614912003</v>
      </c>
      <c r="R377" s="7"/>
      <c r="S377" s="7"/>
      <c r="T377" s="7"/>
      <c r="U377" s="7"/>
      <c r="V377" s="7"/>
      <c r="W377" s="7"/>
      <c r="X377" s="7"/>
      <c r="Y377" s="7"/>
      <c r="Z377" s="7"/>
    </row>
    <row r="378" spans="1:26" ht="12.75" customHeight="1" x14ac:dyDescent="0.2">
      <c r="A378" s="95"/>
      <c r="B378" s="95"/>
      <c r="C378" s="40" t="s">
        <v>36</v>
      </c>
      <c r="D378" s="41">
        <v>20</v>
      </c>
      <c r="E378" s="42">
        <v>7950.69</v>
      </c>
      <c r="F378" s="42">
        <v>700.32</v>
      </c>
      <c r="G378" s="42">
        <v>0</v>
      </c>
      <c r="H378" s="42">
        <v>6280.06</v>
      </c>
      <c r="I378" s="42">
        <v>0</v>
      </c>
      <c r="J378" s="42">
        <v>1244.26</v>
      </c>
      <c r="K378" s="43">
        <v>14931.07</v>
      </c>
      <c r="L378" s="32">
        <v>16175.33</v>
      </c>
      <c r="M378" s="33"/>
      <c r="N378" s="30">
        <v>14931.07</v>
      </c>
      <c r="O378" s="30">
        <v>8651.01</v>
      </c>
      <c r="P378" s="30"/>
      <c r="Q378" s="30">
        <f>(N378+O378*0.18+J378)+(IF((P378-O378*0.18)&gt;0,(P378-O378*0.18),0))</f>
        <v>17732.511799999997</v>
      </c>
      <c r="R378" s="7"/>
      <c r="S378" s="7"/>
      <c r="T378" s="7"/>
      <c r="U378" s="7"/>
      <c r="V378" s="7"/>
      <c r="W378" s="7"/>
      <c r="X378" s="7"/>
      <c r="Y378" s="7"/>
      <c r="Z378" s="7"/>
    </row>
    <row r="379" spans="1:26" ht="9" customHeight="1" x14ac:dyDescent="0.2">
      <c r="A379" s="95"/>
      <c r="B379" s="95"/>
      <c r="C379" s="34" t="s">
        <v>37</v>
      </c>
      <c r="D379" s="35">
        <v>21</v>
      </c>
      <c r="E379" s="36">
        <v>15394683</v>
      </c>
      <c r="F379" s="36">
        <v>1356009</v>
      </c>
      <c r="G379" s="36">
        <v>0</v>
      </c>
      <c r="H379" s="36">
        <v>12159892</v>
      </c>
      <c r="I379" s="36">
        <v>0</v>
      </c>
      <c r="J379" s="37">
        <v>2409223</v>
      </c>
      <c r="K379" s="36">
        <v>28910583</v>
      </c>
      <c r="L379" s="38">
        <v>31319806</v>
      </c>
      <c r="M379" s="39"/>
      <c r="N379" s="36">
        <v>28910583</v>
      </c>
      <c r="O379" s="36">
        <v>16750691</v>
      </c>
      <c r="P379" s="36">
        <v>0</v>
      </c>
      <c r="Q379" s="36">
        <f>Q378*1936.27</f>
        <v>34334930.622985996</v>
      </c>
      <c r="R379" s="7"/>
      <c r="S379" s="7"/>
      <c r="T379" s="7"/>
      <c r="U379" s="7"/>
      <c r="V379" s="7"/>
      <c r="W379" s="7"/>
      <c r="X379" s="7"/>
      <c r="Y379" s="7"/>
      <c r="Z379" s="7"/>
    </row>
    <row r="380" spans="1:26" ht="12.75" customHeight="1" x14ac:dyDescent="0.2">
      <c r="A380" s="95"/>
      <c r="B380" s="95"/>
      <c r="C380" s="40" t="s">
        <v>36</v>
      </c>
      <c r="D380" s="41">
        <v>22</v>
      </c>
      <c r="E380" s="42">
        <v>8144.91</v>
      </c>
      <c r="F380" s="42">
        <v>712.71</v>
      </c>
      <c r="G380" s="42">
        <v>0</v>
      </c>
      <c r="H380" s="42">
        <v>6280.06</v>
      </c>
      <c r="I380" s="42">
        <v>0</v>
      </c>
      <c r="J380" s="42">
        <v>1261.47</v>
      </c>
      <c r="K380" s="43">
        <v>15137.68</v>
      </c>
      <c r="L380" s="32">
        <v>16399.150000000001</v>
      </c>
      <c r="M380" s="33"/>
      <c r="N380" s="30">
        <v>15137.68</v>
      </c>
      <c r="O380" s="30">
        <v>8857.6200000000008</v>
      </c>
      <c r="P380" s="30"/>
      <c r="Q380" s="30">
        <f>(N380+O380*0.18+J380)+(IF((P380-O380*0.18)&gt;0,(P380-O380*0.18),0))</f>
        <v>17993.5216</v>
      </c>
      <c r="R380" s="7"/>
      <c r="S380" s="7"/>
      <c r="T380" s="7"/>
      <c r="U380" s="7"/>
      <c r="V380" s="7"/>
      <c r="W380" s="7"/>
      <c r="X380" s="7"/>
      <c r="Y380" s="7"/>
      <c r="Z380" s="7"/>
    </row>
    <row r="381" spans="1:26" ht="9" customHeight="1" x14ac:dyDescent="0.2">
      <c r="A381" s="95"/>
      <c r="B381" s="95"/>
      <c r="C381" s="34" t="s">
        <v>37</v>
      </c>
      <c r="D381" s="35">
        <v>23</v>
      </c>
      <c r="E381" s="36">
        <v>15770745</v>
      </c>
      <c r="F381" s="36">
        <v>1379999</v>
      </c>
      <c r="G381" s="36">
        <v>0</v>
      </c>
      <c r="H381" s="36">
        <v>12159892</v>
      </c>
      <c r="I381" s="36">
        <v>0</v>
      </c>
      <c r="J381" s="37">
        <v>2442547</v>
      </c>
      <c r="K381" s="36">
        <v>29310636</v>
      </c>
      <c r="L381" s="38">
        <v>31753182</v>
      </c>
      <c r="M381" s="39"/>
      <c r="N381" s="36">
        <v>29310636</v>
      </c>
      <c r="O381" s="36">
        <v>17150744</v>
      </c>
      <c r="P381" s="36">
        <v>0</v>
      </c>
      <c r="Q381" s="36">
        <f>Q380*1936.27</f>
        <v>34840316.068432003</v>
      </c>
      <c r="R381" s="7"/>
      <c r="S381" s="7"/>
      <c r="T381" s="7"/>
      <c r="U381" s="7"/>
      <c r="V381" s="7"/>
      <c r="W381" s="7"/>
      <c r="X381" s="7"/>
      <c r="Y381" s="7"/>
      <c r="Z381" s="7"/>
    </row>
    <row r="382" spans="1:26" ht="12.75" customHeight="1" x14ac:dyDescent="0.2">
      <c r="A382" s="95"/>
      <c r="B382" s="95"/>
      <c r="C382" s="40" t="s">
        <v>36</v>
      </c>
      <c r="D382" s="41">
        <v>24</v>
      </c>
      <c r="E382" s="42">
        <v>8287.4500000000007</v>
      </c>
      <c r="F382" s="42">
        <v>731.3</v>
      </c>
      <c r="G382" s="42">
        <v>0</v>
      </c>
      <c r="H382" s="42">
        <v>6280.06</v>
      </c>
      <c r="I382" s="42">
        <v>0</v>
      </c>
      <c r="J382" s="42">
        <v>1274.9000000000001</v>
      </c>
      <c r="K382" s="43">
        <v>15298.81</v>
      </c>
      <c r="L382" s="32">
        <v>16573.71</v>
      </c>
      <c r="M382" s="33"/>
      <c r="N382" s="30">
        <v>15298.81</v>
      </c>
      <c r="O382" s="30">
        <v>9018.75</v>
      </c>
      <c r="P382" s="30"/>
      <c r="Q382" s="30">
        <f>(N382+O382*0.18+J382)+(IF((P382-O382*0.18)&gt;0,(P382-O382*0.18),0))</f>
        <v>18197.084999999999</v>
      </c>
      <c r="R382" s="7"/>
      <c r="S382" s="7"/>
      <c r="T382" s="7"/>
      <c r="U382" s="7"/>
      <c r="V382" s="7"/>
      <c r="W382" s="7"/>
      <c r="X382" s="7"/>
      <c r="Y382" s="7"/>
      <c r="Z382" s="7"/>
    </row>
    <row r="383" spans="1:26" ht="9" customHeight="1" x14ac:dyDescent="0.2">
      <c r="A383" s="95"/>
      <c r="B383" s="95"/>
      <c r="C383" s="34" t="s">
        <v>37</v>
      </c>
      <c r="D383" s="35">
        <v>25</v>
      </c>
      <c r="E383" s="36">
        <v>16046741</v>
      </c>
      <c r="F383" s="36">
        <v>1415994</v>
      </c>
      <c r="G383" s="36">
        <v>0</v>
      </c>
      <c r="H383" s="36">
        <v>12159892</v>
      </c>
      <c r="I383" s="36">
        <v>0</v>
      </c>
      <c r="J383" s="37">
        <v>2468551</v>
      </c>
      <c r="K383" s="36">
        <v>29622627</v>
      </c>
      <c r="L383" s="38">
        <v>32091177</v>
      </c>
      <c r="M383" s="39"/>
      <c r="N383" s="36">
        <v>29622627</v>
      </c>
      <c r="O383" s="36">
        <v>17462735</v>
      </c>
      <c r="P383" s="36">
        <v>0</v>
      </c>
      <c r="Q383" s="36">
        <f>Q382*1936.27</f>
        <v>35234469.772950001</v>
      </c>
      <c r="R383" s="7"/>
      <c r="S383" s="7"/>
      <c r="T383" s="7"/>
      <c r="U383" s="7"/>
      <c r="V383" s="7"/>
      <c r="W383" s="7"/>
      <c r="X383" s="7"/>
      <c r="Y383" s="7"/>
      <c r="Z383" s="7"/>
    </row>
    <row r="384" spans="1:26" ht="12.75" customHeight="1" x14ac:dyDescent="0.2">
      <c r="A384" s="95"/>
      <c r="B384" s="95"/>
      <c r="C384" s="40" t="s">
        <v>36</v>
      </c>
      <c r="D384" s="41">
        <v>26</v>
      </c>
      <c r="E384" s="42">
        <v>8429.99</v>
      </c>
      <c r="F384" s="42">
        <v>743.7</v>
      </c>
      <c r="G384" s="42">
        <v>0</v>
      </c>
      <c r="H384" s="42">
        <v>6280.06</v>
      </c>
      <c r="I384" s="42">
        <v>0</v>
      </c>
      <c r="J384" s="42">
        <v>1287.81</v>
      </c>
      <c r="K384" s="43">
        <v>15453.75</v>
      </c>
      <c r="L384" s="32">
        <v>16741.560000000001</v>
      </c>
      <c r="M384" s="33"/>
      <c r="N384" s="30">
        <v>15453.75</v>
      </c>
      <c r="O384" s="30">
        <v>9173.69</v>
      </c>
      <c r="P384" s="30"/>
      <c r="Q384" s="30">
        <f>(N384+O384*0.18+J384)+(IF((P384-O384*0.18)&gt;0,(P384-O384*0.18),0))</f>
        <v>18392.824200000003</v>
      </c>
      <c r="R384" s="7"/>
      <c r="S384" s="7"/>
      <c r="T384" s="7"/>
      <c r="U384" s="7"/>
      <c r="V384" s="7"/>
      <c r="W384" s="7"/>
      <c r="X384" s="7"/>
      <c r="Y384" s="7"/>
      <c r="Z384" s="7"/>
    </row>
    <row r="385" spans="1:26" ht="9" customHeight="1" x14ac:dyDescent="0.2">
      <c r="A385" s="95"/>
      <c r="B385" s="95"/>
      <c r="C385" s="34" t="s">
        <v>37</v>
      </c>
      <c r="D385" s="35">
        <v>27</v>
      </c>
      <c r="E385" s="36">
        <v>16322737</v>
      </c>
      <c r="F385" s="36">
        <v>1440004</v>
      </c>
      <c r="G385" s="36">
        <v>0</v>
      </c>
      <c r="H385" s="36">
        <v>12159892</v>
      </c>
      <c r="I385" s="36">
        <v>0</v>
      </c>
      <c r="J385" s="37">
        <v>2493548</v>
      </c>
      <c r="K385" s="36">
        <v>29922633</v>
      </c>
      <c r="L385" s="38">
        <v>32416180</v>
      </c>
      <c r="M385" s="39"/>
      <c r="N385" s="36">
        <v>29922633</v>
      </c>
      <c r="O385" s="36">
        <v>17762741</v>
      </c>
      <c r="P385" s="36">
        <v>0</v>
      </c>
      <c r="Q385" s="36">
        <f>Q384*1936.27</f>
        <v>35613473.713734008</v>
      </c>
      <c r="R385" s="7"/>
      <c r="S385" s="7"/>
      <c r="T385" s="7"/>
      <c r="U385" s="7"/>
      <c r="V385" s="7"/>
      <c r="W385" s="7"/>
      <c r="X385" s="7"/>
      <c r="Y385" s="7"/>
      <c r="Z385" s="7"/>
    </row>
    <row r="386" spans="1:26" ht="12.75" customHeight="1" x14ac:dyDescent="0.2">
      <c r="A386" s="95"/>
      <c r="B386" s="95"/>
      <c r="C386" s="40" t="s">
        <v>36</v>
      </c>
      <c r="D386" s="41">
        <v>28</v>
      </c>
      <c r="E386" s="42">
        <v>8603.5300000000007</v>
      </c>
      <c r="F386" s="42">
        <v>756.09</v>
      </c>
      <c r="G386" s="42">
        <v>0</v>
      </c>
      <c r="H386" s="42">
        <v>6280.06</v>
      </c>
      <c r="I386" s="42">
        <v>0</v>
      </c>
      <c r="J386" s="42">
        <v>1303.31</v>
      </c>
      <c r="K386" s="43">
        <v>15639.68</v>
      </c>
      <c r="L386" s="32">
        <v>16942.990000000002</v>
      </c>
      <c r="M386" s="33"/>
      <c r="N386" s="30">
        <v>15639.68</v>
      </c>
      <c r="O386" s="30">
        <v>9359.6200000000008</v>
      </c>
      <c r="P386" s="30"/>
      <c r="Q386" s="30">
        <f>(N386+O386*0.18+J386)+(IF((P386-O386*0.18)&gt;0,(P386-O386*0.18),0))</f>
        <v>18627.721600000001</v>
      </c>
      <c r="R386" s="7"/>
      <c r="S386" s="7"/>
      <c r="T386" s="7"/>
      <c r="U386" s="7"/>
      <c r="V386" s="7"/>
      <c r="W386" s="7"/>
      <c r="X386" s="7"/>
      <c r="Y386" s="7"/>
      <c r="Z386" s="7"/>
    </row>
    <row r="387" spans="1:26" ht="9" customHeight="1" x14ac:dyDescent="0.2">
      <c r="A387" s="95"/>
      <c r="B387" s="95"/>
      <c r="C387" s="34" t="s">
        <v>37</v>
      </c>
      <c r="D387" s="35">
        <v>29</v>
      </c>
      <c r="E387" s="36">
        <v>16658757</v>
      </c>
      <c r="F387" s="36">
        <v>1463994</v>
      </c>
      <c r="G387" s="36">
        <v>0</v>
      </c>
      <c r="H387" s="36">
        <v>12159892</v>
      </c>
      <c r="I387" s="36">
        <v>0</v>
      </c>
      <c r="J387" s="37">
        <v>2523560</v>
      </c>
      <c r="K387" s="36">
        <v>30282643</v>
      </c>
      <c r="L387" s="38">
        <v>32806203</v>
      </c>
      <c r="M387" s="39"/>
      <c r="N387" s="36">
        <v>30282643</v>
      </c>
      <c r="O387" s="36">
        <v>18122751</v>
      </c>
      <c r="P387" s="36">
        <v>0</v>
      </c>
      <c r="Q387" s="36">
        <f>Q386*1936.27</f>
        <v>36068298.502432004</v>
      </c>
      <c r="R387" s="7"/>
      <c r="S387" s="7"/>
      <c r="T387" s="7"/>
      <c r="U387" s="7"/>
      <c r="V387" s="7"/>
      <c r="W387" s="7"/>
      <c r="X387" s="7"/>
      <c r="Y387" s="7"/>
      <c r="Z387" s="7"/>
    </row>
    <row r="388" spans="1:26" ht="12.75" customHeight="1" x14ac:dyDescent="0.2">
      <c r="A388" s="95"/>
      <c r="B388" s="95"/>
      <c r="C388" s="40" t="s">
        <v>36</v>
      </c>
      <c r="D388" s="41">
        <v>30</v>
      </c>
      <c r="E388" s="42">
        <v>8746.07</v>
      </c>
      <c r="F388" s="42">
        <v>768.49</v>
      </c>
      <c r="G388" s="42">
        <v>0</v>
      </c>
      <c r="H388" s="42">
        <v>6280.06</v>
      </c>
      <c r="I388" s="42">
        <v>0</v>
      </c>
      <c r="J388" s="42">
        <v>1316.22</v>
      </c>
      <c r="K388" s="43">
        <v>15794.62</v>
      </c>
      <c r="L388" s="32">
        <v>17110.84</v>
      </c>
      <c r="M388" s="33"/>
      <c r="N388" s="30">
        <v>15794.62</v>
      </c>
      <c r="O388" s="30">
        <v>9514.56</v>
      </c>
      <c r="P388" s="30"/>
      <c r="Q388" s="30">
        <f>(N388+O388*0.18+J388)+(IF((P388-O388*0.18)&gt;0,(P388-O388*0.18),0))</f>
        <v>18823.460800000001</v>
      </c>
      <c r="R388" s="7"/>
      <c r="S388" s="7"/>
      <c r="T388" s="7"/>
      <c r="U388" s="7"/>
      <c r="V388" s="7"/>
      <c r="W388" s="7"/>
      <c r="X388" s="7"/>
      <c r="Y388" s="7"/>
      <c r="Z388" s="7"/>
    </row>
    <row r="389" spans="1:26" ht="9" customHeight="1" x14ac:dyDescent="0.2">
      <c r="A389" s="95"/>
      <c r="B389" s="95"/>
      <c r="C389" s="34" t="s">
        <v>37</v>
      </c>
      <c r="D389" s="35">
        <v>31</v>
      </c>
      <c r="E389" s="36">
        <v>16934753</v>
      </c>
      <c r="F389" s="36">
        <v>1488004</v>
      </c>
      <c r="G389" s="36">
        <v>0</v>
      </c>
      <c r="H389" s="36">
        <v>12159892</v>
      </c>
      <c r="I389" s="36">
        <v>0</v>
      </c>
      <c r="J389" s="37">
        <v>2548557</v>
      </c>
      <c r="K389" s="36">
        <v>30582649</v>
      </c>
      <c r="L389" s="38">
        <v>33131206</v>
      </c>
      <c r="M389" s="39"/>
      <c r="N389" s="36">
        <v>30582649</v>
      </c>
      <c r="O389" s="36">
        <v>18422757</v>
      </c>
      <c r="P389" s="36">
        <v>0</v>
      </c>
      <c r="Q389" s="36">
        <f>Q388*1936.27</f>
        <v>36447302.443216003</v>
      </c>
      <c r="R389" s="7"/>
      <c r="S389" s="7"/>
      <c r="T389" s="7"/>
      <c r="U389" s="7"/>
      <c r="V389" s="7"/>
      <c r="W389" s="7"/>
      <c r="X389" s="7"/>
      <c r="Y389" s="7"/>
      <c r="Z389" s="7"/>
    </row>
    <row r="390" spans="1:26" ht="12.75" customHeight="1" x14ac:dyDescent="0.2">
      <c r="A390" s="95"/>
      <c r="B390" s="95"/>
      <c r="C390" s="40" t="s">
        <v>36</v>
      </c>
      <c r="D390" s="41">
        <v>32</v>
      </c>
      <c r="E390" s="42">
        <v>8888.6200000000008</v>
      </c>
      <c r="F390" s="42">
        <v>787.08</v>
      </c>
      <c r="G390" s="42">
        <v>0</v>
      </c>
      <c r="H390" s="42">
        <v>6280.06</v>
      </c>
      <c r="I390" s="42">
        <v>0</v>
      </c>
      <c r="J390" s="42">
        <v>1329.65</v>
      </c>
      <c r="K390" s="43">
        <v>15955.76</v>
      </c>
      <c r="L390" s="32">
        <v>17285.41</v>
      </c>
      <c r="M390" s="33"/>
      <c r="N390" s="30">
        <v>15955.76</v>
      </c>
      <c r="O390" s="30">
        <v>9675.7000000000007</v>
      </c>
      <c r="P390" s="30"/>
      <c r="Q390" s="30">
        <f>(N390+O390*0.18+J390)+(IF((P390-O390*0.18)&gt;0,(P390-O390*0.18),0))</f>
        <v>19027.036</v>
      </c>
      <c r="R390" s="7"/>
      <c r="S390" s="7"/>
      <c r="T390" s="7"/>
      <c r="U390" s="7"/>
      <c r="V390" s="7"/>
      <c r="W390" s="7"/>
      <c r="X390" s="7"/>
      <c r="Y390" s="7"/>
      <c r="Z390" s="7"/>
    </row>
    <row r="391" spans="1:26" ht="9" customHeight="1" x14ac:dyDescent="0.2">
      <c r="A391" s="95"/>
      <c r="B391" s="95"/>
      <c r="C391" s="34" t="s">
        <v>37</v>
      </c>
      <c r="D391" s="35">
        <v>33</v>
      </c>
      <c r="E391" s="36">
        <v>17210768</v>
      </c>
      <c r="F391" s="36">
        <v>1523999</v>
      </c>
      <c r="G391" s="36">
        <v>0</v>
      </c>
      <c r="H391" s="36">
        <v>12159892</v>
      </c>
      <c r="I391" s="36">
        <v>0</v>
      </c>
      <c r="J391" s="37">
        <v>2574561</v>
      </c>
      <c r="K391" s="36">
        <v>30894659</v>
      </c>
      <c r="L391" s="38">
        <v>33469221</v>
      </c>
      <c r="M391" s="39"/>
      <c r="N391" s="36">
        <v>30894659</v>
      </c>
      <c r="O391" s="36">
        <v>18734768</v>
      </c>
      <c r="P391" s="36">
        <v>0</v>
      </c>
      <c r="Q391" s="36">
        <f>Q390*1936.27</f>
        <v>36841478.995719999</v>
      </c>
      <c r="R391" s="7"/>
      <c r="S391" s="7"/>
      <c r="T391" s="7"/>
      <c r="U391" s="7"/>
      <c r="V391" s="7"/>
      <c r="W391" s="7"/>
      <c r="X391" s="7"/>
      <c r="Y391" s="7"/>
      <c r="Z391" s="7"/>
    </row>
    <row r="392" spans="1:26" ht="12.75" customHeight="1" x14ac:dyDescent="0.2">
      <c r="A392" s="95"/>
      <c r="B392" s="95"/>
      <c r="C392" s="40" t="s">
        <v>36</v>
      </c>
      <c r="D392" s="41">
        <v>34</v>
      </c>
      <c r="E392" s="42">
        <v>8841.1</v>
      </c>
      <c r="F392" s="42">
        <v>799.48</v>
      </c>
      <c r="G392" s="42">
        <v>0</v>
      </c>
      <c r="H392" s="42">
        <v>6280.06</v>
      </c>
      <c r="I392" s="42">
        <v>0</v>
      </c>
      <c r="J392" s="42">
        <v>1326.72</v>
      </c>
      <c r="K392" s="43">
        <v>15920.64</v>
      </c>
      <c r="L392" s="32">
        <v>17247.36</v>
      </c>
      <c r="M392" s="33"/>
      <c r="N392" s="30">
        <v>15920.64</v>
      </c>
      <c r="O392" s="30">
        <v>9640.58</v>
      </c>
      <c r="P392" s="30"/>
      <c r="Q392" s="30">
        <f>(N392+O392*0.18+J392)+(IF((P392-O392*0.18)&gt;0,(P392-O392*0.18),0))</f>
        <v>18982.664400000001</v>
      </c>
      <c r="R392" s="7"/>
      <c r="S392" s="7"/>
      <c r="T392" s="7"/>
      <c r="U392" s="7"/>
      <c r="V392" s="7"/>
      <c r="W392" s="7"/>
      <c r="X392" s="7"/>
      <c r="Y392" s="7"/>
      <c r="Z392" s="7"/>
    </row>
    <row r="393" spans="1:26" ht="9" customHeight="1" x14ac:dyDescent="0.2">
      <c r="A393" s="95"/>
      <c r="B393" s="95"/>
      <c r="C393" s="34" t="s">
        <v>37</v>
      </c>
      <c r="D393" s="35">
        <v>35</v>
      </c>
      <c r="E393" s="36">
        <v>17118757</v>
      </c>
      <c r="F393" s="36">
        <v>1548009</v>
      </c>
      <c r="G393" s="36">
        <v>0</v>
      </c>
      <c r="H393" s="36">
        <v>12159892</v>
      </c>
      <c r="I393" s="36">
        <v>0</v>
      </c>
      <c r="J393" s="37">
        <v>2568888</v>
      </c>
      <c r="K393" s="36">
        <v>30826658</v>
      </c>
      <c r="L393" s="38">
        <v>33395546</v>
      </c>
      <c r="M393" s="39"/>
      <c r="N393" s="36">
        <v>30826658</v>
      </c>
      <c r="O393" s="36">
        <v>18666766</v>
      </c>
      <c r="P393" s="36">
        <v>0</v>
      </c>
      <c r="Q393" s="36">
        <f>Q392*1936.27</f>
        <v>36755563.597788006</v>
      </c>
      <c r="R393" s="7"/>
      <c r="S393" s="7"/>
      <c r="T393" s="7"/>
      <c r="U393" s="7"/>
      <c r="V393" s="7"/>
      <c r="W393" s="7"/>
      <c r="X393" s="7"/>
      <c r="Y393" s="7"/>
      <c r="Z393" s="7"/>
    </row>
    <row r="394" spans="1:26" ht="12.75" customHeight="1" x14ac:dyDescent="0.2">
      <c r="A394" s="95"/>
      <c r="B394" s="95"/>
      <c r="C394" s="40" t="s">
        <v>36</v>
      </c>
      <c r="D394" s="41">
        <v>36</v>
      </c>
      <c r="E394" s="42">
        <v>9195.39</v>
      </c>
      <c r="F394" s="42">
        <v>811.87</v>
      </c>
      <c r="G394" s="42">
        <v>0</v>
      </c>
      <c r="H394" s="42">
        <v>6280.06</v>
      </c>
      <c r="I394" s="42">
        <v>0</v>
      </c>
      <c r="J394" s="42">
        <v>1357.28</v>
      </c>
      <c r="K394" s="43">
        <v>16287.32</v>
      </c>
      <c r="L394" s="32">
        <v>17644.599999999999</v>
      </c>
      <c r="M394" s="33"/>
      <c r="N394" s="30">
        <v>16287.32</v>
      </c>
      <c r="O394" s="30">
        <v>10007.26</v>
      </c>
      <c r="P394" s="30"/>
      <c r="Q394" s="30">
        <f>(N394+O394*0.18+J394)+(IF((P394-O394*0.18)&gt;0,(P394-O394*0.18),0))</f>
        <v>19445.906799999997</v>
      </c>
      <c r="R394" s="7"/>
      <c r="S394" s="7"/>
      <c r="T394" s="7"/>
      <c r="U394" s="7"/>
      <c r="V394" s="7"/>
      <c r="W394" s="7"/>
      <c r="X394" s="7"/>
      <c r="Y394" s="7"/>
      <c r="Z394" s="7"/>
    </row>
    <row r="395" spans="1:26" ht="9" customHeight="1" x14ac:dyDescent="0.2">
      <c r="A395" s="95"/>
      <c r="B395" s="95"/>
      <c r="C395" s="34" t="s">
        <v>37</v>
      </c>
      <c r="D395" s="35">
        <v>37</v>
      </c>
      <c r="E395" s="36">
        <v>17804758</v>
      </c>
      <c r="F395" s="36">
        <v>1572000</v>
      </c>
      <c r="G395" s="36">
        <v>0</v>
      </c>
      <c r="H395" s="36">
        <v>12159892</v>
      </c>
      <c r="I395" s="36">
        <v>0</v>
      </c>
      <c r="J395" s="37">
        <v>2628061</v>
      </c>
      <c r="K395" s="36">
        <v>31536649</v>
      </c>
      <c r="L395" s="38">
        <v>34164710</v>
      </c>
      <c r="M395" s="39"/>
      <c r="N395" s="36">
        <v>31536649</v>
      </c>
      <c r="O395" s="36">
        <v>19376757</v>
      </c>
      <c r="P395" s="36">
        <v>0</v>
      </c>
      <c r="Q395" s="36">
        <f>Q394*1936.27</f>
        <v>37652525.959635995</v>
      </c>
      <c r="R395" s="7"/>
      <c r="S395" s="7"/>
      <c r="T395" s="7"/>
      <c r="U395" s="7"/>
      <c r="V395" s="7"/>
      <c r="W395" s="7"/>
      <c r="X395" s="7"/>
      <c r="Y395" s="7"/>
      <c r="Z395" s="7"/>
    </row>
    <row r="396" spans="1:26" ht="12.75" customHeight="1" x14ac:dyDescent="0.2">
      <c r="A396" s="95"/>
      <c r="B396" s="95"/>
      <c r="C396" s="40" t="s">
        <v>36</v>
      </c>
      <c r="D396" s="41">
        <v>38</v>
      </c>
      <c r="E396" s="42">
        <v>9337.93</v>
      </c>
      <c r="F396" s="42">
        <v>824.27</v>
      </c>
      <c r="G396" s="42">
        <v>0</v>
      </c>
      <c r="H396" s="42">
        <v>6280.06</v>
      </c>
      <c r="I396" s="42">
        <v>0</v>
      </c>
      <c r="J396" s="42">
        <v>1370.19</v>
      </c>
      <c r="K396" s="43">
        <v>16442.259999999998</v>
      </c>
      <c r="L396" s="32">
        <v>17812.45</v>
      </c>
      <c r="M396" s="33"/>
      <c r="N396" s="30">
        <v>16442.259999999998</v>
      </c>
      <c r="O396" s="30">
        <v>10162.200000000001</v>
      </c>
      <c r="P396" s="30"/>
      <c r="Q396" s="30">
        <f>(N396+O396*0.18+J396)+(IF((P396-O396*0.18)&gt;0,(P396-O396*0.18),0))</f>
        <v>19641.645999999997</v>
      </c>
      <c r="R396" s="7"/>
      <c r="S396" s="7"/>
      <c r="T396" s="7"/>
      <c r="U396" s="7"/>
      <c r="V396" s="7"/>
      <c r="W396" s="7"/>
      <c r="X396" s="7"/>
      <c r="Y396" s="7"/>
      <c r="Z396" s="7"/>
    </row>
    <row r="397" spans="1:26" ht="9" customHeight="1" x14ac:dyDescent="0.2">
      <c r="A397" s="95"/>
      <c r="B397" s="95"/>
      <c r="C397" s="34" t="s">
        <v>37</v>
      </c>
      <c r="D397" s="35">
        <v>39</v>
      </c>
      <c r="E397" s="36">
        <v>18080754</v>
      </c>
      <c r="F397" s="36">
        <v>1596009</v>
      </c>
      <c r="G397" s="36">
        <v>0</v>
      </c>
      <c r="H397" s="36">
        <v>12159892</v>
      </c>
      <c r="I397" s="36">
        <v>0</v>
      </c>
      <c r="J397" s="37">
        <v>2653058</v>
      </c>
      <c r="K397" s="36">
        <v>31836655</v>
      </c>
      <c r="L397" s="38">
        <v>34489713</v>
      </c>
      <c r="M397" s="39"/>
      <c r="N397" s="36">
        <v>31836655</v>
      </c>
      <c r="O397" s="36">
        <v>19676763</v>
      </c>
      <c r="P397" s="36">
        <v>0</v>
      </c>
      <c r="Q397" s="36">
        <f>Q396*1936.27</f>
        <v>38031529.900419995</v>
      </c>
      <c r="R397" s="7"/>
      <c r="S397" s="7"/>
      <c r="T397" s="7"/>
      <c r="U397" s="7"/>
      <c r="V397" s="7"/>
      <c r="W397" s="7"/>
      <c r="X397" s="7"/>
      <c r="Y397" s="7"/>
      <c r="Z397" s="7"/>
    </row>
    <row r="398" spans="1:26" ht="9" customHeight="1" x14ac:dyDescent="0.2">
      <c r="A398" s="95"/>
      <c r="B398" s="95"/>
      <c r="C398" s="44"/>
      <c r="D398" s="45"/>
      <c r="E398" s="96"/>
      <c r="F398" s="96"/>
      <c r="G398" s="96"/>
      <c r="H398" s="96"/>
      <c r="I398" s="96"/>
      <c r="J398" s="54"/>
      <c r="K398" s="96"/>
      <c r="L398" s="96"/>
      <c r="M398" s="39"/>
      <c r="N398" s="96"/>
      <c r="O398" s="96"/>
      <c r="P398" s="96"/>
      <c r="Q398" s="96"/>
      <c r="R398" s="7"/>
      <c r="S398" s="7"/>
      <c r="T398" s="7"/>
      <c r="U398" s="7"/>
      <c r="V398" s="7"/>
      <c r="W398" s="7"/>
      <c r="X398" s="7"/>
      <c r="Y398" s="7"/>
      <c r="Z398" s="7"/>
    </row>
    <row r="399" spans="1:26" ht="9" customHeight="1" x14ac:dyDescent="0.2">
      <c r="A399" s="95"/>
      <c r="B399" s="95"/>
      <c r="C399" s="44"/>
      <c r="D399" s="45"/>
      <c r="E399" s="96"/>
      <c r="F399" s="96"/>
      <c r="G399" s="96"/>
      <c r="H399" s="96"/>
      <c r="I399" s="96"/>
      <c r="J399" s="54"/>
      <c r="K399" s="96"/>
      <c r="L399" s="96"/>
      <c r="M399" s="39"/>
      <c r="N399" s="96"/>
      <c r="O399" s="96"/>
      <c r="P399" s="96"/>
      <c r="Q399" s="96"/>
      <c r="R399" s="7"/>
      <c r="S399" s="7"/>
      <c r="T399" s="7"/>
      <c r="U399" s="7"/>
      <c r="V399" s="7"/>
      <c r="W399" s="7"/>
      <c r="X399" s="7"/>
      <c r="Y399" s="7"/>
      <c r="Z399" s="7"/>
    </row>
    <row r="400" spans="1:26" ht="12.75" customHeight="1" x14ac:dyDescent="0.2">
      <c r="A400" s="95"/>
      <c r="B400" s="95"/>
      <c r="C400" s="40" t="s">
        <v>36</v>
      </c>
      <c r="D400" s="41">
        <v>40</v>
      </c>
      <c r="E400" s="42">
        <v>9480.48</v>
      </c>
      <c r="F400" s="42">
        <v>842.86</v>
      </c>
      <c r="G400" s="42">
        <v>0</v>
      </c>
      <c r="H400" s="42">
        <v>6280.06</v>
      </c>
      <c r="I400" s="42">
        <v>0</v>
      </c>
      <c r="J400" s="42">
        <v>1383.62</v>
      </c>
      <c r="K400" s="43">
        <v>16603.400000000001</v>
      </c>
      <c r="L400" s="32">
        <v>17987.02</v>
      </c>
      <c r="M400" s="33"/>
      <c r="N400" s="30">
        <v>16603.400000000001</v>
      </c>
      <c r="O400" s="30">
        <v>10323.34</v>
      </c>
      <c r="P400" s="30"/>
      <c r="Q400" s="30">
        <f>(N400+O400*0.18+J400)+(IF((P400-O400*0.18)&gt;0,(P400-O400*0.18),0))</f>
        <v>19845.2212</v>
      </c>
      <c r="R400" s="7"/>
      <c r="S400" s="7"/>
      <c r="T400" s="7"/>
      <c r="U400" s="7"/>
      <c r="V400" s="7"/>
      <c r="W400" s="7"/>
      <c r="X400" s="7"/>
      <c r="Y400" s="7"/>
      <c r="Z400" s="7"/>
    </row>
    <row r="401" spans="1:26" ht="9" customHeight="1" x14ac:dyDescent="0.2">
      <c r="A401" s="110"/>
      <c r="B401" s="110"/>
      <c r="C401" s="47"/>
      <c r="D401" s="48"/>
      <c r="E401" s="46">
        <v>18356769</v>
      </c>
      <c r="F401" s="46">
        <v>1632005</v>
      </c>
      <c r="G401" s="46">
        <v>0</v>
      </c>
      <c r="H401" s="46">
        <v>12159892</v>
      </c>
      <c r="I401" s="46">
        <v>0</v>
      </c>
      <c r="J401" s="49">
        <v>2679062</v>
      </c>
      <c r="K401" s="46">
        <v>32148665</v>
      </c>
      <c r="L401" s="38">
        <v>34827727</v>
      </c>
      <c r="M401" s="39"/>
      <c r="N401" s="36">
        <v>32148665</v>
      </c>
      <c r="O401" s="36">
        <v>19988774</v>
      </c>
      <c r="P401" s="36">
        <v>0</v>
      </c>
      <c r="Q401" s="36">
        <f>Q400*1936.27</f>
        <v>38425706.452923998</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98">
        <v>35065</v>
      </c>
      <c r="B420" s="98">
        <v>35369</v>
      </c>
      <c r="C420" s="28" t="s">
        <v>36</v>
      </c>
      <c r="D420" s="29">
        <v>0</v>
      </c>
      <c r="E420" s="30">
        <v>5952.17</v>
      </c>
      <c r="F420" s="30">
        <v>0</v>
      </c>
      <c r="G420" s="30">
        <v>0</v>
      </c>
      <c r="H420" s="30">
        <v>6280.06</v>
      </c>
      <c r="I420" s="30">
        <v>0</v>
      </c>
      <c r="J420" s="30">
        <v>1019.35</v>
      </c>
      <c r="K420" s="31">
        <v>12232.23</v>
      </c>
      <c r="L420" s="32">
        <v>13251.58</v>
      </c>
      <c r="M420" s="33"/>
      <c r="N420" s="30">
        <v>12232.23</v>
      </c>
      <c r="O420" s="30">
        <v>5952.17</v>
      </c>
      <c r="P420" s="30"/>
      <c r="Q420" s="30">
        <f>(N420+O420*0.18+J420)+(IF((P420-O420*0.18)&gt;0,(P420-O420*0.18),0))</f>
        <v>14322.970600000001</v>
      </c>
      <c r="R420" s="7"/>
      <c r="S420" s="7"/>
      <c r="T420" s="7"/>
      <c r="U420" s="7"/>
      <c r="V420" s="7"/>
      <c r="W420" s="7"/>
      <c r="X420" s="7"/>
      <c r="Y420" s="7"/>
      <c r="Z420" s="7"/>
    </row>
    <row r="421" spans="1:26" ht="9" customHeight="1" x14ac:dyDescent="0.2">
      <c r="A421" s="95"/>
      <c r="B421" s="95"/>
      <c r="C421" s="34" t="s">
        <v>37</v>
      </c>
      <c r="D421" s="35">
        <v>2</v>
      </c>
      <c r="E421" s="36">
        <v>11525008</v>
      </c>
      <c r="F421" s="36">
        <v>0</v>
      </c>
      <c r="G421" s="36">
        <v>0</v>
      </c>
      <c r="H421" s="36">
        <v>12159892</v>
      </c>
      <c r="I421" s="36">
        <v>0</v>
      </c>
      <c r="J421" s="37">
        <v>1973737</v>
      </c>
      <c r="K421" s="36">
        <v>23684900</v>
      </c>
      <c r="L421" s="38">
        <v>25658637</v>
      </c>
      <c r="M421" s="39"/>
      <c r="N421" s="36">
        <v>23684900</v>
      </c>
      <c r="O421" s="36">
        <v>11525008</v>
      </c>
      <c r="P421" s="36">
        <v>0</v>
      </c>
      <c r="Q421" s="36">
        <f>Q420*1936.27</f>
        <v>27733138.283662003</v>
      </c>
      <c r="R421" s="7"/>
      <c r="S421" s="7"/>
      <c r="T421" s="7"/>
      <c r="U421" s="7"/>
      <c r="V421" s="7"/>
      <c r="W421" s="7"/>
      <c r="X421" s="7"/>
      <c r="Y421" s="7"/>
      <c r="Z421" s="7"/>
    </row>
    <row r="422" spans="1:26" ht="12.75" customHeight="1" x14ac:dyDescent="0.2">
      <c r="A422" s="156">
        <v>35065</v>
      </c>
      <c r="B422" s="156">
        <v>35369</v>
      </c>
      <c r="C422" s="40" t="s">
        <v>36</v>
      </c>
      <c r="D422" s="41">
        <v>3</v>
      </c>
      <c r="E422" s="42">
        <v>6220.72</v>
      </c>
      <c r="F422" s="42">
        <v>0</v>
      </c>
      <c r="G422" s="42">
        <v>0</v>
      </c>
      <c r="H422" s="42">
        <v>6280.06</v>
      </c>
      <c r="I422" s="42">
        <v>0</v>
      </c>
      <c r="J422" s="42">
        <v>1041.73</v>
      </c>
      <c r="K422" s="43">
        <v>12500.78</v>
      </c>
      <c r="L422" s="32">
        <v>13542.51</v>
      </c>
      <c r="M422" s="33"/>
      <c r="N422" s="30">
        <v>12500.78</v>
      </c>
      <c r="O422" s="30">
        <v>6220.72</v>
      </c>
      <c r="P422" s="30"/>
      <c r="Q422" s="30">
        <f>(N422+O422*0.18+J422)+(IF((P422-O422*0.18)&gt;0,(P422-O422*0.18),0))</f>
        <v>14662.239600000001</v>
      </c>
      <c r="R422" s="7"/>
      <c r="S422" s="7"/>
      <c r="T422" s="7"/>
      <c r="U422" s="7"/>
      <c r="V422" s="7"/>
      <c r="W422" s="7"/>
      <c r="X422" s="7"/>
      <c r="Y422" s="7"/>
      <c r="Z422" s="7"/>
    </row>
    <row r="423" spans="1:26" ht="9" customHeight="1" x14ac:dyDescent="0.2">
      <c r="A423" s="95"/>
      <c r="B423" s="95"/>
      <c r="C423" s="34" t="s">
        <v>37</v>
      </c>
      <c r="D423" s="35">
        <v>8</v>
      </c>
      <c r="E423" s="36">
        <v>12044994</v>
      </c>
      <c r="F423" s="36">
        <v>0</v>
      </c>
      <c r="G423" s="36">
        <v>0</v>
      </c>
      <c r="H423" s="36">
        <v>12159892</v>
      </c>
      <c r="I423" s="36">
        <v>0</v>
      </c>
      <c r="J423" s="37">
        <v>2017071</v>
      </c>
      <c r="K423" s="36">
        <v>24204885</v>
      </c>
      <c r="L423" s="38">
        <v>26221956</v>
      </c>
      <c r="M423" s="39"/>
      <c r="N423" s="36">
        <v>24204885</v>
      </c>
      <c r="O423" s="36">
        <v>12044994</v>
      </c>
      <c r="P423" s="36">
        <v>0</v>
      </c>
      <c r="Q423" s="36">
        <f>Q422*1936.27</f>
        <v>28390054.670292001</v>
      </c>
      <c r="R423" s="7"/>
      <c r="S423" s="7"/>
      <c r="T423" s="7"/>
      <c r="U423" s="7"/>
      <c r="V423" s="7"/>
      <c r="W423" s="7"/>
      <c r="X423" s="7"/>
      <c r="Y423" s="7"/>
      <c r="Z423" s="7"/>
    </row>
    <row r="424" spans="1:26" ht="12.75" customHeight="1" x14ac:dyDescent="0.2">
      <c r="A424" s="95"/>
      <c r="B424" s="95"/>
      <c r="C424" s="40" t="s">
        <v>36</v>
      </c>
      <c r="D424" s="41">
        <v>9</v>
      </c>
      <c r="E424" s="42">
        <v>7211.29</v>
      </c>
      <c r="F424" s="42">
        <v>0</v>
      </c>
      <c r="G424" s="42">
        <v>0</v>
      </c>
      <c r="H424" s="42">
        <v>6280.06</v>
      </c>
      <c r="I424" s="42">
        <v>0</v>
      </c>
      <c r="J424" s="42">
        <v>1124.28</v>
      </c>
      <c r="K424" s="43">
        <v>13491.35</v>
      </c>
      <c r="L424" s="32">
        <v>14615.63</v>
      </c>
      <c r="M424" s="33"/>
      <c r="N424" s="30">
        <v>13491.35</v>
      </c>
      <c r="O424" s="30">
        <v>7211.29</v>
      </c>
      <c r="P424" s="30"/>
      <c r="Q424" s="30">
        <f>(N424+O424*0.18+J424)+(IF((P424-O424*0.18)&gt;0,(P424-O424*0.18),0))</f>
        <v>15913.662200000001</v>
      </c>
      <c r="R424" s="7"/>
      <c r="S424" s="7"/>
      <c r="T424" s="7"/>
      <c r="U424" s="7"/>
      <c r="V424" s="7"/>
      <c r="W424" s="7"/>
      <c r="X424" s="7"/>
      <c r="Y424" s="7"/>
      <c r="Z424" s="7"/>
    </row>
    <row r="425" spans="1:26" ht="9" customHeight="1" x14ac:dyDescent="0.2">
      <c r="A425" s="95"/>
      <c r="B425" s="95"/>
      <c r="C425" s="34" t="s">
        <v>37</v>
      </c>
      <c r="D425" s="35">
        <v>14</v>
      </c>
      <c r="E425" s="36">
        <v>13963004</v>
      </c>
      <c r="F425" s="36">
        <v>0</v>
      </c>
      <c r="G425" s="36">
        <v>0</v>
      </c>
      <c r="H425" s="36">
        <v>12159892</v>
      </c>
      <c r="I425" s="36">
        <v>0</v>
      </c>
      <c r="J425" s="37">
        <v>2176910</v>
      </c>
      <c r="K425" s="36">
        <v>26122896</v>
      </c>
      <c r="L425" s="38">
        <v>28299806</v>
      </c>
      <c r="M425" s="39"/>
      <c r="N425" s="36">
        <v>26122896</v>
      </c>
      <c r="O425" s="36">
        <v>13963004</v>
      </c>
      <c r="P425" s="36">
        <v>0</v>
      </c>
      <c r="Q425" s="36">
        <f>Q424*1936.27</f>
        <v>30813146.707994003</v>
      </c>
      <c r="R425" s="7"/>
      <c r="S425" s="7"/>
      <c r="T425" s="7"/>
      <c r="U425" s="7"/>
      <c r="V425" s="7"/>
      <c r="W425" s="7"/>
      <c r="X425" s="7"/>
      <c r="Y425" s="7"/>
      <c r="Z425" s="7"/>
    </row>
    <row r="426" spans="1:26" ht="12.75" customHeight="1" x14ac:dyDescent="0.2">
      <c r="A426" s="95"/>
      <c r="B426" s="95"/>
      <c r="C426" s="40" t="s">
        <v>36</v>
      </c>
      <c r="D426" s="41">
        <v>15</v>
      </c>
      <c r="E426" s="42">
        <v>8142.98</v>
      </c>
      <c r="F426" s="42">
        <v>0</v>
      </c>
      <c r="G426" s="42">
        <v>0</v>
      </c>
      <c r="H426" s="42">
        <v>6280.06</v>
      </c>
      <c r="I426" s="42">
        <v>0</v>
      </c>
      <c r="J426" s="42">
        <v>1201.92</v>
      </c>
      <c r="K426" s="43">
        <v>14423.04</v>
      </c>
      <c r="L426" s="32">
        <v>15624.96</v>
      </c>
      <c r="M426" s="33"/>
      <c r="N426" s="30">
        <v>14423.04</v>
      </c>
      <c r="O426" s="30">
        <v>8142.98</v>
      </c>
      <c r="P426" s="30"/>
      <c r="Q426" s="30">
        <f>(N426+O426*0.18+J426)+(IF((P426-O426*0.18)&gt;0,(P426-O426*0.18),0))</f>
        <v>17090.696400000001</v>
      </c>
      <c r="R426" s="7"/>
      <c r="S426" s="7"/>
      <c r="T426" s="7"/>
      <c r="U426" s="7"/>
      <c r="V426" s="7"/>
      <c r="W426" s="7"/>
      <c r="X426" s="7"/>
      <c r="Y426" s="7"/>
      <c r="Z426" s="7"/>
    </row>
    <row r="427" spans="1:26" ht="9" customHeight="1" x14ac:dyDescent="0.2">
      <c r="A427" s="95"/>
      <c r="B427" s="95"/>
      <c r="C427" s="34" t="s">
        <v>37</v>
      </c>
      <c r="D427" s="35">
        <v>20</v>
      </c>
      <c r="E427" s="36">
        <v>15767008</v>
      </c>
      <c r="F427" s="36">
        <v>0</v>
      </c>
      <c r="G427" s="36">
        <v>0</v>
      </c>
      <c r="H427" s="36">
        <v>12159892</v>
      </c>
      <c r="I427" s="36">
        <v>0</v>
      </c>
      <c r="J427" s="37">
        <v>2327242</v>
      </c>
      <c r="K427" s="36">
        <v>27926900</v>
      </c>
      <c r="L427" s="38">
        <v>30254141</v>
      </c>
      <c r="M427" s="39"/>
      <c r="N427" s="36">
        <v>27926900</v>
      </c>
      <c r="O427" s="36">
        <v>15767008</v>
      </c>
      <c r="P427" s="36">
        <v>0</v>
      </c>
      <c r="Q427" s="36">
        <f>Q426*1936.27</f>
        <v>33092202.718428001</v>
      </c>
      <c r="R427" s="7"/>
      <c r="S427" s="7"/>
      <c r="T427" s="7"/>
      <c r="U427" s="7"/>
      <c r="V427" s="7"/>
      <c r="W427" s="7"/>
      <c r="X427" s="7"/>
      <c r="Y427" s="7"/>
      <c r="Z427" s="7"/>
    </row>
    <row r="428" spans="1:26" ht="12.75" customHeight="1" x14ac:dyDescent="0.2">
      <c r="A428" s="95"/>
      <c r="B428" s="95"/>
      <c r="C428" s="40" t="s">
        <v>36</v>
      </c>
      <c r="D428" s="41">
        <v>21</v>
      </c>
      <c r="E428" s="42">
        <v>9074.66</v>
      </c>
      <c r="F428" s="42">
        <v>0</v>
      </c>
      <c r="G428" s="42">
        <v>0</v>
      </c>
      <c r="H428" s="42">
        <v>6280.06</v>
      </c>
      <c r="I428" s="42">
        <v>0</v>
      </c>
      <c r="J428" s="42">
        <v>1279.56</v>
      </c>
      <c r="K428" s="43">
        <v>15354.72</v>
      </c>
      <c r="L428" s="32">
        <v>16634.28</v>
      </c>
      <c r="M428" s="33"/>
      <c r="N428" s="30">
        <v>15354.72</v>
      </c>
      <c r="O428" s="30">
        <v>9074.66</v>
      </c>
      <c r="P428" s="30"/>
      <c r="Q428" s="30">
        <f>(N428+O428*0.18+J428)+(IF((P428-O428*0.18)&gt;0,(P428-O428*0.18),0))</f>
        <v>18267.718799999999</v>
      </c>
      <c r="R428" s="7"/>
      <c r="S428" s="7"/>
      <c r="T428" s="7"/>
      <c r="U428" s="7"/>
      <c r="V428" s="7"/>
      <c r="W428" s="7"/>
      <c r="X428" s="7"/>
      <c r="Y428" s="7"/>
      <c r="Z428" s="7"/>
    </row>
    <row r="429" spans="1:26" ht="9" customHeight="1" x14ac:dyDescent="0.2">
      <c r="A429" s="95"/>
      <c r="B429" s="95"/>
      <c r="C429" s="34" t="s">
        <v>37</v>
      </c>
      <c r="D429" s="35">
        <v>27</v>
      </c>
      <c r="E429" s="36">
        <v>17570992</v>
      </c>
      <c r="F429" s="36">
        <v>0</v>
      </c>
      <c r="G429" s="36">
        <v>0</v>
      </c>
      <c r="H429" s="36">
        <v>12159892</v>
      </c>
      <c r="I429" s="36">
        <v>0</v>
      </c>
      <c r="J429" s="37">
        <v>2477574</v>
      </c>
      <c r="K429" s="36">
        <v>29730884</v>
      </c>
      <c r="L429" s="38">
        <v>32208457</v>
      </c>
      <c r="M429" s="39"/>
      <c r="N429" s="36">
        <v>29730884</v>
      </c>
      <c r="O429" s="36">
        <v>17570992</v>
      </c>
      <c r="P429" s="36">
        <v>0</v>
      </c>
      <c r="Q429" s="36">
        <f>Q428*1936.27</f>
        <v>35371235.880875997</v>
      </c>
      <c r="R429" s="7"/>
      <c r="S429" s="7"/>
      <c r="T429" s="7"/>
      <c r="U429" s="7"/>
      <c r="V429" s="7"/>
      <c r="W429" s="7"/>
      <c r="X429" s="7"/>
      <c r="Y429" s="7"/>
      <c r="Z429" s="7"/>
    </row>
    <row r="430" spans="1:26" ht="12.75" customHeight="1" x14ac:dyDescent="0.2">
      <c r="A430" s="95"/>
      <c r="B430" s="95"/>
      <c r="C430" s="40" t="s">
        <v>36</v>
      </c>
      <c r="D430" s="41">
        <v>28</v>
      </c>
      <c r="E430" s="42">
        <v>9750.19</v>
      </c>
      <c r="F430" s="42">
        <v>0</v>
      </c>
      <c r="G430" s="42">
        <v>0</v>
      </c>
      <c r="H430" s="42">
        <v>6280.06</v>
      </c>
      <c r="I430" s="42">
        <v>0</v>
      </c>
      <c r="J430" s="42">
        <v>1335.85</v>
      </c>
      <c r="K430" s="43">
        <v>16030.25</v>
      </c>
      <c r="L430" s="32">
        <v>17366.099999999999</v>
      </c>
      <c r="M430" s="33"/>
      <c r="N430" s="30">
        <v>16030.25</v>
      </c>
      <c r="O430" s="30">
        <v>9750.19</v>
      </c>
      <c r="P430" s="30"/>
      <c r="Q430" s="30">
        <f>(N430+O430*0.18+J430)+(IF((P430-O430*0.18)&gt;0,(P430-O430*0.18),0))</f>
        <v>19121.1342</v>
      </c>
      <c r="R430" s="7"/>
      <c r="S430" s="7"/>
      <c r="T430" s="7"/>
      <c r="U430" s="7"/>
      <c r="V430" s="7"/>
      <c r="W430" s="7"/>
      <c r="X430" s="7"/>
      <c r="Y430" s="7"/>
      <c r="Z430" s="7"/>
    </row>
    <row r="431" spans="1:26" ht="9" customHeight="1" x14ac:dyDescent="0.2">
      <c r="A431" s="95"/>
      <c r="B431" s="95"/>
      <c r="C431" s="34" t="s">
        <v>37</v>
      </c>
      <c r="D431" s="35">
        <v>34</v>
      </c>
      <c r="E431" s="36">
        <v>18879000</v>
      </c>
      <c r="F431" s="36">
        <v>0</v>
      </c>
      <c r="G431" s="36">
        <v>0</v>
      </c>
      <c r="H431" s="36">
        <v>12159892</v>
      </c>
      <c r="I431" s="36">
        <v>0</v>
      </c>
      <c r="J431" s="37">
        <v>2586566</v>
      </c>
      <c r="K431" s="36">
        <v>31038892</v>
      </c>
      <c r="L431" s="38">
        <v>33625458</v>
      </c>
      <c r="M431" s="39"/>
      <c r="N431" s="36">
        <v>31038892</v>
      </c>
      <c r="O431" s="36">
        <v>18879000</v>
      </c>
      <c r="P431" s="36">
        <v>0</v>
      </c>
      <c r="Q431" s="36">
        <f>Q430*1936.27</f>
        <v>37023678.517434001</v>
      </c>
      <c r="R431" s="7"/>
      <c r="S431" s="7"/>
      <c r="T431" s="7"/>
      <c r="U431" s="7"/>
      <c r="V431" s="7"/>
      <c r="W431" s="7"/>
      <c r="X431" s="7"/>
      <c r="Y431" s="7"/>
      <c r="Z431" s="7"/>
    </row>
    <row r="432" spans="1:26" ht="12.75" customHeight="1" x14ac:dyDescent="0.2">
      <c r="A432" s="95"/>
      <c r="B432" s="95"/>
      <c r="C432" s="40" t="s">
        <v>36</v>
      </c>
      <c r="D432" s="41">
        <v>35</v>
      </c>
      <c r="E432" s="42">
        <v>10255.280000000001</v>
      </c>
      <c r="F432" s="42">
        <v>0</v>
      </c>
      <c r="G432" s="42">
        <v>0</v>
      </c>
      <c r="H432" s="42">
        <v>6280.06</v>
      </c>
      <c r="I432" s="42">
        <v>0</v>
      </c>
      <c r="J432" s="42">
        <v>1377.95</v>
      </c>
      <c r="K432" s="43">
        <v>16535.34</v>
      </c>
      <c r="L432" s="32">
        <v>17913.29</v>
      </c>
      <c r="M432" s="33"/>
      <c r="N432" s="30">
        <v>16535.34</v>
      </c>
      <c r="O432" s="30">
        <v>10255.280000000001</v>
      </c>
      <c r="P432" s="30"/>
      <c r="Q432" s="30">
        <f>(N432+O432*0.18+J432)+(IF((P432-O432*0.18)&gt;0,(P432-O432*0.18),0))</f>
        <v>19759.240400000002</v>
      </c>
      <c r="R432" s="7"/>
      <c r="S432" s="7"/>
      <c r="T432" s="7"/>
      <c r="U432" s="7"/>
      <c r="V432" s="7"/>
      <c r="W432" s="7"/>
      <c r="X432" s="7"/>
      <c r="Y432" s="7"/>
      <c r="Z432" s="7"/>
    </row>
    <row r="433" spans="1:26" ht="9" customHeight="1" x14ac:dyDescent="0.2">
      <c r="A433" s="110"/>
      <c r="B433" s="110"/>
      <c r="C433" s="47" t="s">
        <v>37</v>
      </c>
      <c r="D433" s="48"/>
      <c r="E433" s="46">
        <v>19856991</v>
      </c>
      <c r="F433" s="46">
        <v>0</v>
      </c>
      <c r="G433" s="46">
        <v>0</v>
      </c>
      <c r="H433" s="46">
        <v>12159892</v>
      </c>
      <c r="I433" s="46">
        <v>0</v>
      </c>
      <c r="J433" s="49">
        <v>2668083</v>
      </c>
      <c r="K433" s="46">
        <v>32016883</v>
      </c>
      <c r="L433" s="38">
        <v>34684966</v>
      </c>
      <c r="M433" s="39"/>
      <c r="N433" s="36">
        <v>32016883</v>
      </c>
      <c r="O433" s="36">
        <v>19856991</v>
      </c>
      <c r="P433" s="36">
        <v>0</v>
      </c>
      <c r="Q433" s="36">
        <f>Q432*1936.27</f>
        <v>38259224.409308001</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6"/>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6"/>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6"/>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6"/>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6"/>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6"/>
      <c r="M439" s="39"/>
      <c r="N439" s="96"/>
      <c r="O439" s="96"/>
      <c r="P439" s="96"/>
      <c r="Q439" s="96"/>
      <c r="R439" s="7"/>
      <c r="S439" s="7"/>
      <c r="T439" s="7"/>
      <c r="U439" s="7"/>
      <c r="V439" s="7"/>
      <c r="W439" s="7"/>
      <c r="X439" s="7"/>
      <c r="Y439" s="7"/>
      <c r="Z439" s="7"/>
    </row>
    <row r="440" spans="1:26" ht="12.75" customHeight="1" x14ac:dyDescent="0.2">
      <c r="A440" s="98">
        <v>35370</v>
      </c>
      <c r="B440" s="98">
        <v>35611</v>
      </c>
      <c r="C440" s="28" t="s">
        <v>36</v>
      </c>
      <c r="D440" s="29">
        <v>0</v>
      </c>
      <c r="E440" s="30">
        <v>6367.4</v>
      </c>
      <c r="F440" s="30">
        <v>0</v>
      </c>
      <c r="G440" s="30">
        <v>0</v>
      </c>
      <c r="H440" s="30">
        <v>6280.06</v>
      </c>
      <c r="I440" s="30">
        <v>0</v>
      </c>
      <c r="J440" s="30">
        <v>1053.96</v>
      </c>
      <c r="K440" s="31">
        <v>12647.46</v>
      </c>
      <c r="L440" s="32">
        <v>13701.42</v>
      </c>
      <c r="M440" s="33"/>
      <c r="N440" s="30">
        <v>12647.46</v>
      </c>
      <c r="O440" s="30">
        <v>6367.4</v>
      </c>
      <c r="P440" s="30"/>
      <c r="Q440" s="30">
        <f>(N440+O440*0.18+J440)+(IF((P440-O440*0.18)&gt;0,(P440-O440*0.18),0))</f>
        <v>14847.552</v>
      </c>
      <c r="R440" s="7"/>
      <c r="S440" s="7"/>
      <c r="T440" s="7"/>
      <c r="U440" s="7"/>
      <c r="V440" s="7"/>
      <c r="W440" s="7"/>
      <c r="X440" s="7"/>
      <c r="Y440" s="7"/>
      <c r="Z440" s="7"/>
    </row>
    <row r="441" spans="1:26" ht="9" customHeight="1" x14ac:dyDescent="0.2">
      <c r="A441" s="95"/>
      <c r="B441" s="95"/>
      <c r="C441" s="34" t="s">
        <v>37</v>
      </c>
      <c r="D441" s="35">
        <v>2</v>
      </c>
      <c r="E441" s="36">
        <v>12329006</v>
      </c>
      <c r="F441" s="36">
        <v>0</v>
      </c>
      <c r="G441" s="36">
        <v>0</v>
      </c>
      <c r="H441" s="36">
        <v>12159892</v>
      </c>
      <c r="I441" s="36">
        <v>0</v>
      </c>
      <c r="J441" s="37">
        <v>2040751</v>
      </c>
      <c r="K441" s="36">
        <v>24488897</v>
      </c>
      <c r="L441" s="38">
        <v>26529649</v>
      </c>
      <c r="M441" s="39"/>
      <c r="N441" s="36">
        <v>24488897</v>
      </c>
      <c r="O441" s="36">
        <v>12329006</v>
      </c>
      <c r="P441" s="36">
        <v>0</v>
      </c>
      <c r="Q441" s="36">
        <f>Q440*1936.27</f>
        <v>28748869.511039998</v>
      </c>
      <c r="R441" s="7"/>
      <c r="S441" s="7"/>
      <c r="T441" s="7"/>
      <c r="U441" s="7"/>
      <c r="V441" s="7"/>
      <c r="W441" s="7"/>
      <c r="X441" s="7"/>
      <c r="Y441" s="7"/>
      <c r="Z441" s="7"/>
    </row>
    <row r="442" spans="1:26" ht="12.75" customHeight="1" x14ac:dyDescent="0.2">
      <c r="A442" s="156">
        <v>35370</v>
      </c>
      <c r="B442" s="156">
        <v>35611</v>
      </c>
      <c r="C442" s="40" t="s">
        <v>36</v>
      </c>
      <c r="D442" s="41">
        <v>3</v>
      </c>
      <c r="E442" s="42">
        <v>6648.35</v>
      </c>
      <c r="F442" s="42">
        <v>0</v>
      </c>
      <c r="G442" s="42">
        <v>0</v>
      </c>
      <c r="H442" s="42">
        <v>6280.06</v>
      </c>
      <c r="I442" s="42">
        <v>0</v>
      </c>
      <c r="J442" s="42">
        <v>1077.3699999999999</v>
      </c>
      <c r="K442" s="43">
        <v>12928.41</v>
      </c>
      <c r="L442" s="32">
        <v>14005.78</v>
      </c>
      <c r="M442" s="33"/>
      <c r="N442" s="30">
        <v>12928.41</v>
      </c>
      <c r="O442" s="30">
        <v>6648.35</v>
      </c>
      <c r="P442" s="30"/>
      <c r="Q442" s="30">
        <f>(N442+O442*0.18+J442)+(IF((P442-O442*0.18)&gt;0,(P442-O442*0.18),0))</f>
        <v>15202.483</v>
      </c>
      <c r="R442" s="7"/>
      <c r="S442" s="7"/>
      <c r="T442" s="7"/>
      <c r="U442" s="7"/>
      <c r="V442" s="7"/>
      <c r="W442" s="7"/>
      <c r="X442" s="7"/>
      <c r="Y442" s="7"/>
      <c r="Z442" s="7"/>
    </row>
    <row r="443" spans="1:26" ht="9" customHeight="1" x14ac:dyDescent="0.2">
      <c r="A443" s="95"/>
      <c r="B443" s="95"/>
      <c r="C443" s="34" t="s">
        <v>37</v>
      </c>
      <c r="D443" s="35">
        <v>8</v>
      </c>
      <c r="E443" s="36">
        <v>12873001</v>
      </c>
      <c r="F443" s="36">
        <v>0</v>
      </c>
      <c r="G443" s="36">
        <v>0</v>
      </c>
      <c r="H443" s="36">
        <v>12159892</v>
      </c>
      <c r="I443" s="36">
        <v>0</v>
      </c>
      <c r="J443" s="37">
        <v>2086079</v>
      </c>
      <c r="K443" s="36">
        <v>25032892</v>
      </c>
      <c r="L443" s="38">
        <v>27118972</v>
      </c>
      <c r="M443" s="39"/>
      <c r="N443" s="36">
        <v>25032892</v>
      </c>
      <c r="O443" s="36">
        <v>12873001</v>
      </c>
      <c r="P443" s="36">
        <v>0</v>
      </c>
      <c r="Q443" s="36">
        <f>Q442*1936.27</f>
        <v>29436111.758409999</v>
      </c>
      <c r="R443" s="7"/>
      <c r="S443" s="7"/>
      <c r="T443" s="7"/>
      <c r="U443" s="7"/>
      <c r="V443" s="7"/>
      <c r="W443" s="7"/>
      <c r="X443" s="7"/>
      <c r="Y443" s="7"/>
      <c r="Z443" s="7"/>
    </row>
    <row r="444" spans="1:26" ht="12.75" customHeight="1" x14ac:dyDescent="0.2">
      <c r="A444" s="95"/>
      <c r="B444" s="95"/>
      <c r="C444" s="40" t="s">
        <v>36</v>
      </c>
      <c r="D444" s="41">
        <v>9</v>
      </c>
      <c r="E444" s="42">
        <v>7669.9</v>
      </c>
      <c r="F444" s="42">
        <v>0</v>
      </c>
      <c r="G444" s="42">
        <v>0</v>
      </c>
      <c r="H444" s="42">
        <v>6280.06</v>
      </c>
      <c r="I444" s="42">
        <v>0</v>
      </c>
      <c r="J444" s="42">
        <v>1162.5</v>
      </c>
      <c r="K444" s="43">
        <v>13949.96</v>
      </c>
      <c r="L444" s="32">
        <v>15112.46</v>
      </c>
      <c r="M444" s="33"/>
      <c r="N444" s="30">
        <v>13949.96</v>
      </c>
      <c r="O444" s="30">
        <v>7669.9</v>
      </c>
      <c r="P444" s="30"/>
      <c r="Q444" s="30">
        <f>(N444+O444*0.18+J444)+(IF((P444-O444*0.18)&gt;0,(P444-O444*0.18),0))</f>
        <v>16493.042000000001</v>
      </c>
      <c r="R444" s="7"/>
      <c r="S444" s="7"/>
      <c r="T444" s="7"/>
      <c r="U444" s="7"/>
      <c r="V444" s="7"/>
      <c r="W444" s="7"/>
      <c r="X444" s="7"/>
      <c r="Y444" s="7"/>
      <c r="Z444" s="7"/>
    </row>
    <row r="445" spans="1:26" ht="9" customHeight="1" x14ac:dyDescent="0.2">
      <c r="A445" s="95"/>
      <c r="B445" s="95"/>
      <c r="C445" s="34" t="s">
        <v>37</v>
      </c>
      <c r="D445" s="35">
        <v>14</v>
      </c>
      <c r="E445" s="36">
        <v>14850997</v>
      </c>
      <c r="F445" s="36">
        <v>0</v>
      </c>
      <c r="G445" s="36">
        <v>0</v>
      </c>
      <c r="H445" s="36">
        <v>12159892</v>
      </c>
      <c r="I445" s="36">
        <v>0</v>
      </c>
      <c r="J445" s="37">
        <v>2250914</v>
      </c>
      <c r="K445" s="36">
        <v>27010889</v>
      </c>
      <c r="L445" s="38">
        <v>29261803</v>
      </c>
      <c r="M445" s="39"/>
      <c r="N445" s="36">
        <v>27010889</v>
      </c>
      <c r="O445" s="36">
        <v>14850997</v>
      </c>
      <c r="P445" s="36">
        <v>0</v>
      </c>
      <c r="Q445" s="36">
        <f>Q444*1936.27</f>
        <v>31934982.433340002</v>
      </c>
      <c r="R445" s="7"/>
      <c r="S445" s="7"/>
      <c r="T445" s="7"/>
      <c r="U445" s="7"/>
      <c r="V445" s="7"/>
      <c r="W445" s="7"/>
      <c r="X445" s="7"/>
      <c r="Y445" s="7"/>
      <c r="Z445" s="7"/>
    </row>
    <row r="446" spans="1:26" ht="12.75" customHeight="1" x14ac:dyDescent="0.2">
      <c r="A446" s="95"/>
      <c r="B446" s="95"/>
      <c r="C446" s="40" t="s">
        <v>36</v>
      </c>
      <c r="D446" s="41">
        <v>15</v>
      </c>
      <c r="E446" s="42">
        <v>8632.58</v>
      </c>
      <c r="F446" s="42">
        <v>0</v>
      </c>
      <c r="G446" s="42">
        <v>0</v>
      </c>
      <c r="H446" s="42">
        <v>6280.06</v>
      </c>
      <c r="I446" s="42">
        <v>0</v>
      </c>
      <c r="J446" s="42">
        <v>1242.72</v>
      </c>
      <c r="K446" s="43">
        <v>14912.64</v>
      </c>
      <c r="L446" s="32">
        <v>16155.36</v>
      </c>
      <c r="M446" s="33"/>
      <c r="N446" s="30">
        <v>14912.64</v>
      </c>
      <c r="O446" s="30">
        <v>8632.58</v>
      </c>
      <c r="P446" s="30"/>
      <c r="Q446" s="30">
        <f>(N446+O446*0.18+J446)+(IF((P446-O446*0.18)&gt;0,(P446-O446*0.18),0))</f>
        <v>17709.224399999999</v>
      </c>
      <c r="R446" s="7"/>
      <c r="S446" s="7"/>
      <c r="T446" s="7"/>
      <c r="U446" s="7"/>
      <c r="V446" s="7"/>
      <c r="W446" s="7"/>
      <c r="X446" s="7"/>
      <c r="Y446" s="7"/>
      <c r="Z446" s="7"/>
    </row>
    <row r="447" spans="1:26" ht="9" customHeight="1" x14ac:dyDescent="0.2">
      <c r="A447" s="95"/>
      <c r="B447" s="95"/>
      <c r="C447" s="34" t="s">
        <v>37</v>
      </c>
      <c r="D447" s="35">
        <v>20</v>
      </c>
      <c r="E447" s="36">
        <v>16715006</v>
      </c>
      <c r="F447" s="36">
        <v>0</v>
      </c>
      <c r="G447" s="36">
        <v>0</v>
      </c>
      <c r="H447" s="36">
        <v>12159892</v>
      </c>
      <c r="I447" s="36">
        <v>0</v>
      </c>
      <c r="J447" s="37">
        <v>2406241</v>
      </c>
      <c r="K447" s="36">
        <v>28874897</v>
      </c>
      <c r="L447" s="38">
        <v>31281139</v>
      </c>
      <c r="M447" s="39"/>
      <c r="N447" s="36">
        <v>28874897</v>
      </c>
      <c r="O447" s="36">
        <v>16715006</v>
      </c>
      <c r="P447" s="36">
        <v>0</v>
      </c>
      <c r="Q447" s="36">
        <f>Q446*1936.27</f>
        <v>34289839.928987995</v>
      </c>
      <c r="R447" s="7"/>
      <c r="S447" s="7"/>
      <c r="T447" s="7"/>
      <c r="U447" s="7"/>
      <c r="V447" s="7"/>
      <c r="W447" s="7"/>
      <c r="X447" s="7"/>
      <c r="Y447" s="7"/>
      <c r="Z447" s="7"/>
    </row>
    <row r="448" spans="1:26" ht="12.75" customHeight="1" x14ac:dyDescent="0.2">
      <c r="A448" s="95"/>
      <c r="B448" s="95"/>
      <c r="C448" s="40" t="s">
        <v>36</v>
      </c>
      <c r="D448" s="41">
        <v>21</v>
      </c>
      <c r="E448" s="42">
        <v>9601.4500000000007</v>
      </c>
      <c r="F448" s="42">
        <v>0</v>
      </c>
      <c r="G448" s="42">
        <v>0</v>
      </c>
      <c r="H448" s="42">
        <v>6280.06</v>
      </c>
      <c r="I448" s="42">
        <v>0</v>
      </c>
      <c r="J448" s="42">
        <v>1323.46</v>
      </c>
      <c r="K448" s="43">
        <v>15881.51</v>
      </c>
      <c r="L448" s="32">
        <v>17204.97</v>
      </c>
      <c r="M448" s="33"/>
      <c r="N448" s="30">
        <v>15881.51</v>
      </c>
      <c r="O448" s="30">
        <v>9601.4500000000007</v>
      </c>
      <c r="P448" s="30"/>
      <c r="Q448" s="30">
        <f>(N448+O448*0.18+J448)+(IF((P448-O448*0.18)&gt;0,(P448-O448*0.18),0))</f>
        <v>18933.231</v>
      </c>
      <c r="R448" s="7"/>
      <c r="S448" s="7"/>
      <c r="T448" s="7"/>
      <c r="U448" s="7"/>
      <c r="V448" s="7"/>
      <c r="W448" s="7"/>
      <c r="X448" s="7"/>
      <c r="Y448" s="7"/>
      <c r="Z448" s="7"/>
    </row>
    <row r="449" spans="1:26" ht="9" customHeight="1" x14ac:dyDescent="0.2">
      <c r="A449" s="95"/>
      <c r="B449" s="95"/>
      <c r="C449" s="34" t="s">
        <v>37</v>
      </c>
      <c r="D449" s="35">
        <v>27</v>
      </c>
      <c r="E449" s="36">
        <v>18591000</v>
      </c>
      <c r="F449" s="36">
        <v>0</v>
      </c>
      <c r="G449" s="36">
        <v>0</v>
      </c>
      <c r="H449" s="36">
        <v>12159892</v>
      </c>
      <c r="I449" s="36">
        <v>0</v>
      </c>
      <c r="J449" s="37">
        <v>2562576</v>
      </c>
      <c r="K449" s="36">
        <v>30750891</v>
      </c>
      <c r="L449" s="38">
        <v>33313467</v>
      </c>
      <c r="M449" s="39"/>
      <c r="N449" s="36">
        <v>30750891</v>
      </c>
      <c r="O449" s="36">
        <v>18591000</v>
      </c>
      <c r="P449" s="36">
        <v>0</v>
      </c>
      <c r="Q449" s="36">
        <f>Q448*1936.27</f>
        <v>36659847.188369997</v>
      </c>
      <c r="R449" s="7"/>
      <c r="S449" s="7"/>
      <c r="T449" s="7"/>
      <c r="U449" s="7"/>
      <c r="V449" s="7"/>
      <c r="W449" s="7"/>
      <c r="X449" s="7"/>
      <c r="Y449" s="7"/>
      <c r="Z449" s="7"/>
    </row>
    <row r="450" spans="1:26" ht="12.75" customHeight="1" x14ac:dyDescent="0.2">
      <c r="A450" s="95"/>
      <c r="B450" s="95"/>
      <c r="C450" s="40" t="s">
        <v>36</v>
      </c>
      <c r="D450" s="41">
        <v>28</v>
      </c>
      <c r="E450" s="42">
        <v>10295.57</v>
      </c>
      <c r="F450" s="42">
        <v>0</v>
      </c>
      <c r="G450" s="42">
        <v>0</v>
      </c>
      <c r="H450" s="42">
        <v>6280.06</v>
      </c>
      <c r="I450" s="42">
        <v>0</v>
      </c>
      <c r="J450" s="42">
        <v>1381.3</v>
      </c>
      <c r="K450" s="43">
        <v>16575.63</v>
      </c>
      <c r="L450" s="32">
        <v>17956.93</v>
      </c>
      <c r="M450" s="33"/>
      <c r="N450" s="30">
        <v>16575.63</v>
      </c>
      <c r="O450" s="30">
        <v>10295.57</v>
      </c>
      <c r="P450" s="30"/>
      <c r="Q450" s="30">
        <f>(N450+O450*0.18+J450)+(IF((P450-O450*0.18)&gt;0,(P450-O450*0.18),0))</f>
        <v>19810.132600000001</v>
      </c>
      <c r="R450" s="7"/>
      <c r="S450" s="7"/>
      <c r="T450" s="7"/>
      <c r="U450" s="7"/>
      <c r="V450" s="7"/>
      <c r="W450" s="7"/>
      <c r="X450" s="7"/>
      <c r="Y450" s="7"/>
      <c r="Z450" s="7"/>
    </row>
    <row r="451" spans="1:26" ht="9" customHeight="1" x14ac:dyDescent="0.2">
      <c r="A451" s="95"/>
      <c r="B451" s="95"/>
      <c r="C451" s="34" t="s">
        <v>37</v>
      </c>
      <c r="D451" s="35">
        <v>34</v>
      </c>
      <c r="E451" s="36">
        <v>19935003</v>
      </c>
      <c r="F451" s="36">
        <v>0</v>
      </c>
      <c r="G451" s="36">
        <v>0</v>
      </c>
      <c r="H451" s="36">
        <v>12159892</v>
      </c>
      <c r="I451" s="36">
        <v>0</v>
      </c>
      <c r="J451" s="37">
        <v>2674570</v>
      </c>
      <c r="K451" s="36">
        <v>32094895</v>
      </c>
      <c r="L451" s="38">
        <v>34769465</v>
      </c>
      <c r="M451" s="39"/>
      <c r="N451" s="36">
        <v>32094895</v>
      </c>
      <c r="O451" s="36">
        <v>19935003</v>
      </c>
      <c r="P451" s="36">
        <v>0</v>
      </c>
      <c r="Q451" s="36">
        <f>Q450*1936.27</f>
        <v>38357765.449402004</v>
      </c>
      <c r="R451" s="7"/>
      <c r="S451" s="7"/>
      <c r="T451" s="7"/>
      <c r="U451" s="7"/>
      <c r="V451" s="7"/>
      <c r="W451" s="7"/>
      <c r="X451" s="7"/>
      <c r="Y451" s="7"/>
      <c r="Z451" s="7"/>
    </row>
    <row r="452" spans="1:26" ht="12.75" customHeight="1" x14ac:dyDescent="0.2">
      <c r="A452" s="95"/>
      <c r="B452" s="95"/>
      <c r="C452" s="40" t="s">
        <v>36</v>
      </c>
      <c r="D452" s="41">
        <v>35</v>
      </c>
      <c r="E452" s="42">
        <v>10819.26</v>
      </c>
      <c r="F452" s="42">
        <v>0</v>
      </c>
      <c r="G452" s="42">
        <v>0</v>
      </c>
      <c r="H452" s="42">
        <v>6280.06</v>
      </c>
      <c r="I452" s="42">
        <v>0</v>
      </c>
      <c r="J452" s="42">
        <v>1424.94</v>
      </c>
      <c r="K452" s="43">
        <v>17099.32</v>
      </c>
      <c r="L452" s="32">
        <v>18524.259999999998</v>
      </c>
      <c r="M452" s="33"/>
      <c r="N452" s="30">
        <v>17099.32</v>
      </c>
      <c r="O452" s="30">
        <v>10819.26</v>
      </c>
      <c r="P452" s="30"/>
      <c r="Q452" s="30">
        <f>(N452+O452*0.18+J452)+(IF((P452-O452*0.18)&gt;0,(P452-O452*0.18),0))</f>
        <v>20471.726799999997</v>
      </c>
      <c r="R452" s="7"/>
      <c r="S452" s="7"/>
      <c r="T452" s="7"/>
      <c r="U452" s="7"/>
      <c r="V452" s="7"/>
      <c r="W452" s="7"/>
      <c r="X452" s="7"/>
      <c r="Y452" s="7"/>
      <c r="Z452" s="7"/>
    </row>
    <row r="453" spans="1:26" ht="9" customHeight="1" x14ac:dyDescent="0.2">
      <c r="A453" s="110"/>
      <c r="B453" s="110"/>
      <c r="C453" s="47" t="s">
        <v>37</v>
      </c>
      <c r="D453" s="48"/>
      <c r="E453" s="46">
        <v>20949009</v>
      </c>
      <c r="F453" s="46">
        <v>0</v>
      </c>
      <c r="G453" s="46">
        <v>0</v>
      </c>
      <c r="H453" s="46">
        <v>12159892</v>
      </c>
      <c r="I453" s="46">
        <v>0</v>
      </c>
      <c r="J453" s="49">
        <v>2759069</v>
      </c>
      <c r="K453" s="46">
        <v>33108900</v>
      </c>
      <c r="L453" s="38">
        <v>35867969</v>
      </c>
      <c r="M453" s="39"/>
      <c r="N453" s="36">
        <v>33108900</v>
      </c>
      <c r="O453" s="36">
        <v>20949009</v>
      </c>
      <c r="P453" s="36">
        <v>0</v>
      </c>
      <c r="Q453" s="36">
        <f>Q452*1936.27</f>
        <v>39638790.451035991</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6"/>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6"/>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6"/>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6"/>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6"/>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6"/>
      <c r="M459" s="39"/>
      <c r="N459" s="96"/>
      <c r="O459" s="96"/>
      <c r="P459" s="96"/>
      <c r="Q459" s="96"/>
      <c r="R459" s="7"/>
      <c r="S459" s="7"/>
      <c r="T459" s="7"/>
      <c r="U459" s="7"/>
      <c r="V459" s="7"/>
      <c r="W459" s="7"/>
      <c r="X459" s="7"/>
      <c r="Y459" s="7"/>
      <c r="Z459" s="7"/>
    </row>
    <row r="460" spans="1:26" ht="12.75" customHeight="1" x14ac:dyDescent="0.2">
      <c r="A460" s="98">
        <v>35612</v>
      </c>
      <c r="B460" s="98">
        <v>36099</v>
      </c>
      <c r="C460" s="28" t="s">
        <v>36</v>
      </c>
      <c r="D460" s="29">
        <v>0</v>
      </c>
      <c r="E460" s="30">
        <v>6739.25</v>
      </c>
      <c r="F460" s="30">
        <v>0</v>
      </c>
      <c r="G460" s="30">
        <v>0</v>
      </c>
      <c r="H460" s="30">
        <v>6280.06</v>
      </c>
      <c r="I460" s="30">
        <v>0</v>
      </c>
      <c r="J460" s="30">
        <v>1084.94</v>
      </c>
      <c r="K460" s="31">
        <v>13019.31</v>
      </c>
      <c r="L460" s="32">
        <v>14104.25</v>
      </c>
      <c r="M460" s="33"/>
      <c r="N460" s="30">
        <v>13019.31</v>
      </c>
      <c r="O460" s="30">
        <v>6739.25</v>
      </c>
      <c r="P460" s="30"/>
      <c r="Q460" s="30">
        <f>(N460+O460*0.18+J460)+(IF((P460-O460*0.18)&gt;0,(P460-O460*0.18),0))</f>
        <v>15317.315000000001</v>
      </c>
      <c r="R460" s="7"/>
      <c r="S460" s="7"/>
      <c r="T460" s="7"/>
      <c r="U460" s="7"/>
      <c r="V460" s="7"/>
      <c r="W460" s="7"/>
      <c r="X460" s="7"/>
      <c r="Y460" s="7"/>
      <c r="Z460" s="7"/>
    </row>
    <row r="461" spans="1:26" ht="9" customHeight="1" x14ac:dyDescent="0.2">
      <c r="A461" s="95"/>
      <c r="B461" s="95"/>
      <c r="C461" s="34" t="s">
        <v>37</v>
      </c>
      <c r="D461" s="35">
        <v>2</v>
      </c>
      <c r="E461" s="36">
        <v>13049008</v>
      </c>
      <c r="F461" s="36">
        <v>0</v>
      </c>
      <c r="G461" s="36">
        <v>0</v>
      </c>
      <c r="H461" s="36">
        <v>12159892</v>
      </c>
      <c r="I461" s="36">
        <v>0</v>
      </c>
      <c r="J461" s="37">
        <v>2100737</v>
      </c>
      <c r="K461" s="36">
        <v>25208899</v>
      </c>
      <c r="L461" s="38">
        <v>27309636</v>
      </c>
      <c r="M461" s="39"/>
      <c r="N461" s="36">
        <v>25208899</v>
      </c>
      <c r="O461" s="36">
        <v>13049008</v>
      </c>
      <c r="P461" s="36">
        <v>0</v>
      </c>
      <c r="Q461" s="36">
        <f>Q460*1936.27</f>
        <v>29658457.515050001</v>
      </c>
      <c r="R461" s="7"/>
      <c r="S461" s="7"/>
      <c r="T461" s="7"/>
      <c r="U461" s="7"/>
      <c r="V461" s="7"/>
      <c r="W461" s="7"/>
      <c r="X461" s="7"/>
      <c r="Y461" s="7"/>
      <c r="Z461" s="7"/>
    </row>
    <row r="462" spans="1:26" ht="12.75" customHeight="1" x14ac:dyDescent="0.2">
      <c r="A462" s="156">
        <v>35612</v>
      </c>
      <c r="B462" s="156">
        <v>36099</v>
      </c>
      <c r="C462" s="40" t="s">
        <v>36</v>
      </c>
      <c r="D462" s="41">
        <v>3</v>
      </c>
      <c r="E462" s="42">
        <v>7026.4</v>
      </c>
      <c r="F462" s="42">
        <v>0</v>
      </c>
      <c r="G462" s="42">
        <v>0</v>
      </c>
      <c r="H462" s="42">
        <v>6280.06</v>
      </c>
      <c r="I462" s="42">
        <v>0</v>
      </c>
      <c r="J462" s="42">
        <v>1108.8699999999999</v>
      </c>
      <c r="K462" s="43">
        <v>13306.46</v>
      </c>
      <c r="L462" s="32">
        <v>14415.33</v>
      </c>
      <c r="M462" s="33"/>
      <c r="N462" s="30">
        <v>13306.46</v>
      </c>
      <c r="O462" s="30">
        <v>7026.4</v>
      </c>
      <c r="P462" s="30"/>
      <c r="Q462" s="30">
        <f>(N462+O462*0.18+J462)+(IF((P462-O462*0.18)&gt;0,(P462-O462*0.18),0))</f>
        <v>15680.081999999999</v>
      </c>
      <c r="R462" s="7"/>
      <c r="S462" s="7"/>
      <c r="T462" s="7"/>
      <c r="U462" s="7"/>
      <c r="V462" s="7"/>
      <c r="W462" s="7"/>
      <c r="X462" s="7"/>
      <c r="Y462" s="7"/>
      <c r="Z462" s="7"/>
    </row>
    <row r="463" spans="1:26" ht="9" customHeight="1" x14ac:dyDescent="0.2">
      <c r="A463" s="95"/>
      <c r="B463" s="95"/>
      <c r="C463" s="34" t="s">
        <v>37</v>
      </c>
      <c r="D463" s="35">
        <v>8</v>
      </c>
      <c r="E463" s="36">
        <v>13605008</v>
      </c>
      <c r="F463" s="36">
        <v>0</v>
      </c>
      <c r="G463" s="36">
        <v>0</v>
      </c>
      <c r="H463" s="36">
        <v>12159892</v>
      </c>
      <c r="I463" s="36">
        <v>0</v>
      </c>
      <c r="J463" s="37">
        <v>2147072</v>
      </c>
      <c r="K463" s="36">
        <v>25764899</v>
      </c>
      <c r="L463" s="38">
        <v>27911971</v>
      </c>
      <c r="M463" s="39"/>
      <c r="N463" s="36">
        <v>25764899</v>
      </c>
      <c r="O463" s="36">
        <v>13605008</v>
      </c>
      <c r="P463" s="36">
        <v>0</v>
      </c>
      <c r="Q463" s="36">
        <f>Q462*1936.27</f>
        <v>30360872.374139998</v>
      </c>
      <c r="R463" s="7"/>
      <c r="S463" s="7"/>
      <c r="T463" s="7"/>
      <c r="U463" s="7"/>
      <c r="V463" s="7"/>
      <c r="W463" s="7"/>
      <c r="X463" s="7"/>
      <c r="Y463" s="7"/>
      <c r="Z463" s="7"/>
    </row>
    <row r="464" spans="1:26" ht="12.75" customHeight="1" x14ac:dyDescent="0.2">
      <c r="A464" s="95"/>
      <c r="B464" s="95"/>
      <c r="C464" s="40" t="s">
        <v>36</v>
      </c>
      <c r="D464" s="41">
        <v>9</v>
      </c>
      <c r="E464" s="42">
        <v>8078.94</v>
      </c>
      <c r="F464" s="42">
        <v>0</v>
      </c>
      <c r="G464" s="42">
        <v>0</v>
      </c>
      <c r="H464" s="42">
        <v>6280.06</v>
      </c>
      <c r="I464" s="42">
        <v>0</v>
      </c>
      <c r="J464" s="42">
        <v>1196.58</v>
      </c>
      <c r="K464" s="43">
        <v>14359</v>
      </c>
      <c r="L464" s="32">
        <v>15555.58</v>
      </c>
      <c r="M464" s="33"/>
      <c r="N464" s="30">
        <v>14359</v>
      </c>
      <c r="O464" s="30">
        <v>8078.94</v>
      </c>
      <c r="P464" s="30"/>
      <c r="Q464" s="30">
        <f>(N464+O464*0.18+J464)+(IF((P464-O464*0.18)&gt;0,(P464-O464*0.18),0))</f>
        <v>17009.789199999999</v>
      </c>
      <c r="R464" s="7"/>
      <c r="S464" s="7"/>
      <c r="T464" s="7"/>
      <c r="U464" s="7"/>
      <c r="V464" s="7"/>
      <c r="W464" s="7"/>
      <c r="X464" s="7"/>
      <c r="Y464" s="7"/>
      <c r="Z464" s="7"/>
    </row>
    <row r="465" spans="1:26" ht="9" customHeight="1" x14ac:dyDescent="0.2">
      <c r="A465" s="95"/>
      <c r="B465" s="95"/>
      <c r="C465" s="34" t="s">
        <v>37</v>
      </c>
      <c r="D465" s="35">
        <v>14</v>
      </c>
      <c r="E465" s="36">
        <v>15643009</v>
      </c>
      <c r="F465" s="36">
        <v>0</v>
      </c>
      <c r="G465" s="36">
        <v>0</v>
      </c>
      <c r="H465" s="36">
        <v>12159892</v>
      </c>
      <c r="I465" s="36">
        <v>0</v>
      </c>
      <c r="J465" s="37">
        <v>2316902</v>
      </c>
      <c r="K465" s="36">
        <v>27802901</v>
      </c>
      <c r="L465" s="38">
        <v>30119803</v>
      </c>
      <c r="M465" s="39"/>
      <c r="N465" s="36">
        <v>27802901</v>
      </c>
      <c r="O465" s="36">
        <v>15643009</v>
      </c>
      <c r="P465" s="36">
        <v>0</v>
      </c>
      <c r="Q465" s="36">
        <f>Q464*1936.27</f>
        <v>32935544.534283999</v>
      </c>
      <c r="R465" s="7"/>
      <c r="S465" s="7"/>
      <c r="T465" s="7"/>
      <c r="U465" s="7"/>
      <c r="V465" s="7"/>
      <c r="W465" s="7"/>
      <c r="X465" s="7"/>
      <c r="Y465" s="7"/>
      <c r="Z465" s="7"/>
    </row>
    <row r="466" spans="1:26" ht="12.75" customHeight="1" x14ac:dyDescent="0.2">
      <c r="A466" s="95"/>
      <c r="B466" s="95"/>
      <c r="C466" s="40" t="s">
        <v>36</v>
      </c>
      <c r="D466" s="41">
        <v>15</v>
      </c>
      <c r="E466" s="42">
        <v>9066.4</v>
      </c>
      <c r="F466" s="42">
        <v>0</v>
      </c>
      <c r="G466" s="42">
        <v>0</v>
      </c>
      <c r="H466" s="42">
        <v>6280.06</v>
      </c>
      <c r="I466" s="42">
        <v>0</v>
      </c>
      <c r="J466" s="42">
        <v>1278.8699999999999</v>
      </c>
      <c r="K466" s="43">
        <v>15346.46</v>
      </c>
      <c r="L466" s="32">
        <v>16625.330000000002</v>
      </c>
      <c r="M466" s="33"/>
      <c r="N466" s="30">
        <v>15346.46</v>
      </c>
      <c r="O466" s="30">
        <v>9066.4</v>
      </c>
      <c r="P466" s="30"/>
      <c r="Q466" s="30">
        <f>(N466+O466*0.18+J466)+(IF((P466-O466*0.18)&gt;0,(P466-O466*0.18),0))</f>
        <v>18257.281999999999</v>
      </c>
      <c r="R466" s="7"/>
      <c r="S466" s="7"/>
      <c r="T466" s="7"/>
      <c r="U466" s="7"/>
      <c r="V466" s="7"/>
      <c r="W466" s="7"/>
      <c r="X466" s="7"/>
      <c r="Y466" s="7"/>
      <c r="Z466" s="7"/>
    </row>
    <row r="467" spans="1:26" ht="9" customHeight="1" x14ac:dyDescent="0.2">
      <c r="A467" s="95"/>
      <c r="B467" s="95"/>
      <c r="C467" s="34" t="s">
        <v>37</v>
      </c>
      <c r="D467" s="35">
        <v>20</v>
      </c>
      <c r="E467" s="36">
        <v>17554998</v>
      </c>
      <c r="F467" s="36">
        <v>0</v>
      </c>
      <c r="G467" s="36">
        <v>0</v>
      </c>
      <c r="H467" s="36">
        <v>12159892</v>
      </c>
      <c r="I467" s="36">
        <v>0</v>
      </c>
      <c r="J467" s="37">
        <v>2476238</v>
      </c>
      <c r="K467" s="36">
        <v>29714890</v>
      </c>
      <c r="L467" s="38">
        <v>32191128</v>
      </c>
      <c r="M467" s="39"/>
      <c r="N467" s="36">
        <v>29714890</v>
      </c>
      <c r="O467" s="36">
        <v>17554998</v>
      </c>
      <c r="P467" s="36">
        <v>0</v>
      </c>
      <c r="Q467" s="36">
        <f>Q466*1936.27</f>
        <v>35351027.418140002</v>
      </c>
      <c r="R467" s="7"/>
      <c r="S467" s="7"/>
      <c r="T467" s="7"/>
      <c r="U467" s="7"/>
      <c r="V467" s="7"/>
      <c r="W467" s="7"/>
      <c r="X467" s="7"/>
      <c r="Y467" s="7"/>
      <c r="Z467" s="7"/>
    </row>
    <row r="468" spans="1:26" ht="12.75" customHeight="1" x14ac:dyDescent="0.2">
      <c r="A468" s="95"/>
      <c r="B468" s="95"/>
      <c r="C468" s="40" t="s">
        <v>36</v>
      </c>
      <c r="D468" s="41">
        <v>21</v>
      </c>
      <c r="E468" s="42">
        <v>10066.26</v>
      </c>
      <c r="F468" s="42">
        <v>0</v>
      </c>
      <c r="G468" s="42">
        <v>0</v>
      </c>
      <c r="H468" s="42">
        <v>6280.06</v>
      </c>
      <c r="I468" s="42">
        <v>0</v>
      </c>
      <c r="J468" s="42">
        <v>1362.19</v>
      </c>
      <c r="K468" s="43">
        <v>16346.32</v>
      </c>
      <c r="L468" s="32">
        <v>17708.509999999998</v>
      </c>
      <c r="M468" s="33"/>
      <c r="N468" s="30">
        <v>16346.32</v>
      </c>
      <c r="O468" s="30">
        <v>10066.26</v>
      </c>
      <c r="P468" s="30"/>
      <c r="Q468" s="30">
        <f>(N468+O468*0.18+J468)+(IF((P468-O468*0.18)&gt;0,(P468-O468*0.18),0))</f>
        <v>19520.436799999999</v>
      </c>
      <c r="R468" s="7"/>
      <c r="S468" s="7"/>
      <c r="T468" s="7"/>
      <c r="U468" s="7"/>
      <c r="V468" s="7"/>
      <c r="W468" s="7"/>
      <c r="X468" s="7"/>
      <c r="Y468" s="7"/>
      <c r="Z468" s="7"/>
    </row>
    <row r="469" spans="1:26" ht="9" customHeight="1" x14ac:dyDescent="0.2">
      <c r="A469" s="95"/>
      <c r="B469" s="95"/>
      <c r="C469" s="34" t="s">
        <v>37</v>
      </c>
      <c r="D469" s="35">
        <v>27</v>
      </c>
      <c r="E469" s="36">
        <v>19490997</v>
      </c>
      <c r="F469" s="36">
        <v>0</v>
      </c>
      <c r="G469" s="36">
        <v>0</v>
      </c>
      <c r="H469" s="36">
        <v>12159892</v>
      </c>
      <c r="I469" s="36">
        <v>0</v>
      </c>
      <c r="J469" s="37">
        <v>2637568</v>
      </c>
      <c r="K469" s="36">
        <v>31650889</v>
      </c>
      <c r="L469" s="38">
        <v>34288457</v>
      </c>
      <c r="M469" s="39"/>
      <c r="N469" s="36">
        <v>31650889</v>
      </c>
      <c r="O469" s="36">
        <v>19490997</v>
      </c>
      <c r="P469" s="36">
        <v>0</v>
      </c>
      <c r="Q469" s="36">
        <f>Q468*1936.27</f>
        <v>37796836.162735999</v>
      </c>
      <c r="R469" s="7"/>
      <c r="S469" s="7"/>
      <c r="T469" s="7"/>
      <c r="U469" s="7"/>
      <c r="V469" s="7"/>
      <c r="W469" s="7"/>
      <c r="X469" s="7"/>
      <c r="Y469" s="7"/>
      <c r="Z469" s="7"/>
    </row>
    <row r="470" spans="1:26" ht="12.75" customHeight="1" x14ac:dyDescent="0.2">
      <c r="A470" s="95"/>
      <c r="B470" s="95"/>
      <c r="C470" s="40" t="s">
        <v>36</v>
      </c>
      <c r="D470" s="41">
        <v>28</v>
      </c>
      <c r="E470" s="42">
        <v>10778.97</v>
      </c>
      <c r="F470" s="42">
        <v>0</v>
      </c>
      <c r="G470" s="42">
        <v>0</v>
      </c>
      <c r="H470" s="42">
        <v>6280.06</v>
      </c>
      <c r="I470" s="42">
        <v>0</v>
      </c>
      <c r="J470" s="42">
        <v>1421.59</v>
      </c>
      <c r="K470" s="43">
        <v>17059.03</v>
      </c>
      <c r="L470" s="32">
        <v>18480.62</v>
      </c>
      <c r="M470" s="33"/>
      <c r="N470" s="30">
        <v>17059.03</v>
      </c>
      <c r="O470" s="30">
        <v>10778.97</v>
      </c>
      <c r="P470" s="30"/>
      <c r="Q470" s="30">
        <f>(N470+O470*0.18+J470)+(IF((P470-O470*0.18)&gt;0,(P470-O470*0.18),0))</f>
        <v>20420.834599999998</v>
      </c>
      <c r="R470" s="7"/>
      <c r="S470" s="7"/>
      <c r="T470" s="7"/>
      <c r="U470" s="7"/>
      <c r="V470" s="7"/>
      <c r="W470" s="7"/>
      <c r="X470" s="7"/>
      <c r="Y470" s="7"/>
      <c r="Z470" s="7"/>
    </row>
    <row r="471" spans="1:26" ht="9" customHeight="1" x14ac:dyDescent="0.2">
      <c r="A471" s="95"/>
      <c r="B471" s="95"/>
      <c r="C471" s="34" t="s">
        <v>37</v>
      </c>
      <c r="D471" s="35">
        <v>34</v>
      </c>
      <c r="E471" s="36">
        <v>20870996</v>
      </c>
      <c r="F471" s="36">
        <v>0</v>
      </c>
      <c r="G471" s="36">
        <v>0</v>
      </c>
      <c r="H471" s="36">
        <v>12159892</v>
      </c>
      <c r="I471" s="36">
        <v>0</v>
      </c>
      <c r="J471" s="37">
        <v>2752582</v>
      </c>
      <c r="K471" s="36">
        <v>33030888</v>
      </c>
      <c r="L471" s="38">
        <v>35783470</v>
      </c>
      <c r="M471" s="39"/>
      <c r="N471" s="36">
        <v>33030888</v>
      </c>
      <c r="O471" s="36">
        <v>20870996</v>
      </c>
      <c r="P471" s="36">
        <v>0</v>
      </c>
      <c r="Q471" s="36">
        <f>Q470*1936.27</f>
        <v>39540249.410941996</v>
      </c>
      <c r="R471" s="7"/>
      <c r="S471" s="7"/>
      <c r="T471" s="7"/>
      <c r="U471" s="7"/>
      <c r="V471" s="7"/>
      <c r="W471" s="7"/>
      <c r="X471" s="7"/>
      <c r="Y471" s="7"/>
      <c r="Z471" s="7"/>
    </row>
    <row r="472" spans="1:26" ht="12.75" customHeight="1" x14ac:dyDescent="0.2">
      <c r="A472" s="95"/>
      <c r="B472" s="95"/>
      <c r="C472" s="40" t="s">
        <v>36</v>
      </c>
      <c r="D472" s="41">
        <v>35</v>
      </c>
      <c r="E472" s="42">
        <v>11321.25</v>
      </c>
      <c r="F472" s="42">
        <v>0</v>
      </c>
      <c r="G472" s="42">
        <v>0</v>
      </c>
      <c r="H472" s="42">
        <v>6280.06</v>
      </c>
      <c r="I472" s="42">
        <v>0</v>
      </c>
      <c r="J472" s="42">
        <v>1466.78</v>
      </c>
      <c r="K472" s="43">
        <v>17601.310000000001</v>
      </c>
      <c r="L472" s="32">
        <v>19068.09</v>
      </c>
      <c r="M472" s="33"/>
      <c r="N472" s="30">
        <v>17601.310000000001</v>
      </c>
      <c r="O472" s="30">
        <v>11321.25</v>
      </c>
      <c r="P472" s="30"/>
      <c r="Q472" s="30">
        <f>(N472+O472*0.18+J472)+(IF((P472-O472*0.18)&gt;0,(P472-O472*0.18),0))</f>
        <v>21105.915000000001</v>
      </c>
      <c r="R472" s="7"/>
      <c r="S472" s="7"/>
      <c r="T472" s="7"/>
      <c r="U472" s="7"/>
      <c r="V472" s="7"/>
      <c r="W472" s="7"/>
      <c r="X472" s="7"/>
      <c r="Y472" s="7"/>
      <c r="Z472" s="7"/>
    </row>
    <row r="473" spans="1:26" ht="9" customHeight="1" x14ac:dyDescent="0.2">
      <c r="A473" s="110"/>
      <c r="B473" s="110"/>
      <c r="C473" s="47" t="s">
        <v>37</v>
      </c>
      <c r="D473" s="48"/>
      <c r="E473" s="46">
        <v>21920997</v>
      </c>
      <c r="F473" s="46">
        <v>0</v>
      </c>
      <c r="G473" s="46">
        <v>0</v>
      </c>
      <c r="H473" s="46">
        <v>12159892</v>
      </c>
      <c r="I473" s="46">
        <v>0</v>
      </c>
      <c r="J473" s="49">
        <v>2840082</v>
      </c>
      <c r="K473" s="46">
        <v>34080889</v>
      </c>
      <c r="L473" s="38">
        <v>36920971</v>
      </c>
      <c r="M473" s="39"/>
      <c r="N473" s="36">
        <v>34080889</v>
      </c>
      <c r="O473" s="36">
        <v>21920997</v>
      </c>
      <c r="P473" s="36">
        <v>0</v>
      </c>
      <c r="Q473" s="36">
        <f>Q472*1936.27</f>
        <v>40866750.037050001</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6"/>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6"/>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6"/>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12.75" customHeight="1" x14ac:dyDescent="0.2">
      <c r="A480" s="98">
        <v>36100</v>
      </c>
      <c r="B480" s="98">
        <v>36311</v>
      </c>
      <c r="C480" s="28" t="s">
        <v>36</v>
      </c>
      <c r="D480" s="29">
        <v>0</v>
      </c>
      <c r="E480" s="30">
        <v>6974.75</v>
      </c>
      <c r="F480" s="30">
        <v>0</v>
      </c>
      <c r="G480" s="30">
        <v>0</v>
      </c>
      <c r="H480" s="30">
        <v>6280.06</v>
      </c>
      <c r="I480" s="30">
        <v>0</v>
      </c>
      <c r="J480" s="30">
        <v>1104.57</v>
      </c>
      <c r="K480" s="31">
        <v>13254.81</v>
      </c>
      <c r="L480" s="32">
        <v>14359.38</v>
      </c>
      <c r="M480" s="33"/>
      <c r="N480" s="30">
        <v>13254.81</v>
      </c>
      <c r="O480" s="30">
        <v>6974.75</v>
      </c>
      <c r="P480" s="30"/>
      <c r="Q480" s="30">
        <f>(N480+O480*0.18+J480)+(IF((P480-O480*0.18)&gt;0,(P480-O480*0.18),0))</f>
        <v>15614.834999999999</v>
      </c>
      <c r="R480" s="7"/>
      <c r="S480" s="7"/>
      <c r="T480" s="7"/>
      <c r="U480" s="7"/>
      <c r="V480" s="7"/>
      <c r="W480" s="7"/>
      <c r="X480" s="7"/>
      <c r="Y480" s="7"/>
      <c r="Z480" s="7"/>
    </row>
    <row r="481" spans="1:26" ht="9" customHeight="1" x14ac:dyDescent="0.2">
      <c r="A481" s="95"/>
      <c r="B481" s="95"/>
      <c r="C481" s="34" t="s">
        <v>37</v>
      </c>
      <c r="D481" s="35">
        <v>2</v>
      </c>
      <c r="E481" s="36">
        <v>13504999</v>
      </c>
      <c r="F481" s="36">
        <v>0</v>
      </c>
      <c r="G481" s="36">
        <v>0</v>
      </c>
      <c r="H481" s="36">
        <v>12159892</v>
      </c>
      <c r="I481" s="36">
        <v>0</v>
      </c>
      <c r="J481" s="37">
        <v>2138746</v>
      </c>
      <c r="K481" s="36">
        <v>25664891</v>
      </c>
      <c r="L481" s="38">
        <v>27803637</v>
      </c>
      <c r="M481" s="39"/>
      <c r="N481" s="36">
        <v>25664891</v>
      </c>
      <c r="O481" s="36">
        <v>13504999</v>
      </c>
      <c r="P481" s="36">
        <v>0</v>
      </c>
      <c r="Q481" s="36">
        <f>Q480*1936.27</f>
        <v>30234536.565449998</v>
      </c>
      <c r="R481" s="7"/>
      <c r="S481" s="7"/>
      <c r="T481" s="7"/>
      <c r="U481" s="7"/>
      <c r="V481" s="7"/>
      <c r="W481" s="7"/>
      <c r="X481" s="7"/>
      <c r="Y481" s="7"/>
      <c r="Z481" s="7"/>
    </row>
    <row r="482" spans="1:26" ht="12.75" customHeight="1" x14ac:dyDescent="0.2">
      <c r="A482" s="156">
        <v>36100</v>
      </c>
      <c r="B482" s="156">
        <v>36311</v>
      </c>
      <c r="C482" s="40" t="s">
        <v>36</v>
      </c>
      <c r="D482" s="41">
        <v>3</v>
      </c>
      <c r="E482" s="42">
        <v>7268.1</v>
      </c>
      <c r="F482" s="42">
        <v>0</v>
      </c>
      <c r="G482" s="42">
        <v>0</v>
      </c>
      <c r="H482" s="42">
        <v>6280.06</v>
      </c>
      <c r="I482" s="42">
        <v>0</v>
      </c>
      <c r="J482" s="42">
        <v>1129.01</v>
      </c>
      <c r="K482" s="43">
        <v>13548.16</v>
      </c>
      <c r="L482" s="32">
        <v>14677.17</v>
      </c>
      <c r="M482" s="33"/>
      <c r="N482" s="30">
        <v>13548.16</v>
      </c>
      <c r="O482" s="30">
        <v>7268.1</v>
      </c>
      <c r="P482" s="30"/>
      <c r="Q482" s="30">
        <f>(N482+O482*0.18+J482)+(IF((P482-O482*0.18)&gt;0,(P482-O482*0.18),0))</f>
        <v>15985.428</v>
      </c>
      <c r="R482" s="7"/>
      <c r="S482" s="7"/>
      <c r="T482" s="7"/>
      <c r="U482" s="7"/>
      <c r="V482" s="7"/>
      <c r="W482" s="7"/>
      <c r="X482" s="7"/>
      <c r="Y482" s="7"/>
      <c r="Z482" s="7"/>
    </row>
    <row r="483" spans="1:26" ht="9" customHeight="1" x14ac:dyDescent="0.2">
      <c r="A483" s="95"/>
      <c r="B483" s="95"/>
      <c r="C483" s="34" t="s">
        <v>37</v>
      </c>
      <c r="D483" s="35">
        <v>8</v>
      </c>
      <c r="E483" s="36">
        <v>14073004</v>
      </c>
      <c r="F483" s="36">
        <v>0</v>
      </c>
      <c r="G483" s="36">
        <v>0</v>
      </c>
      <c r="H483" s="36">
        <v>12159892</v>
      </c>
      <c r="I483" s="36">
        <v>0</v>
      </c>
      <c r="J483" s="37">
        <v>2186068</v>
      </c>
      <c r="K483" s="36">
        <v>26232896</v>
      </c>
      <c r="L483" s="38">
        <v>28418964</v>
      </c>
      <c r="M483" s="39"/>
      <c r="N483" s="36">
        <v>26232896</v>
      </c>
      <c r="O483" s="36">
        <v>14073004</v>
      </c>
      <c r="P483" s="36">
        <v>0</v>
      </c>
      <c r="Q483" s="36">
        <f>Q482*1936.27</f>
        <v>30952104.673560001</v>
      </c>
      <c r="R483" s="7"/>
      <c r="S483" s="7"/>
      <c r="T483" s="7"/>
      <c r="U483" s="7"/>
      <c r="V483" s="7"/>
      <c r="W483" s="7"/>
      <c r="X483" s="7"/>
      <c r="Y483" s="7"/>
      <c r="Z483" s="7"/>
    </row>
    <row r="484" spans="1:26" ht="12.75" customHeight="1" x14ac:dyDescent="0.2">
      <c r="A484" s="95"/>
      <c r="B484" s="95"/>
      <c r="C484" s="40" t="s">
        <v>36</v>
      </c>
      <c r="D484" s="41">
        <v>9</v>
      </c>
      <c r="E484" s="42">
        <v>8339.23</v>
      </c>
      <c r="F484" s="42">
        <v>0</v>
      </c>
      <c r="G484" s="42">
        <v>0</v>
      </c>
      <c r="H484" s="42">
        <v>6280.06</v>
      </c>
      <c r="I484" s="42">
        <v>0</v>
      </c>
      <c r="J484" s="42">
        <v>1218.27</v>
      </c>
      <c r="K484" s="43">
        <v>14619.29</v>
      </c>
      <c r="L484" s="32">
        <v>15837.56</v>
      </c>
      <c r="M484" s="33"/>
      <c r="N484" s="30">
        <v>14619.29</v>
      </c>
      <c r="O484" s="30">
        <v>8339.23</v>
      </c>
      <c r="P484" s="30"/>
      <c r="Q484" s="30">
        <f>(N484+O484*0.18+J484)+(IF((P484-O484*0.18)&gt;0,(P484-O484*0.18),0))</f>
        <v>17338.6214</v>
      </c>
      <c r="R484" s="7"/>
      <c r="S484" s="7"/>
      <c r="T484" s="7"/>
      <c r="U484" s="7"/>
      <c r="V484" s="7"/>
      <c r="W484" s="7"/>
      <c r="X484" s="7"/>
      <c r="Y484" s="7"/>
      <c r="Z484" s="7"/>
    </row>
    <row r="485" spans="1:26" ht="9" customHeight="1" x14ac:dyDescent="0.2">
      <c r="A485" s="95"/>
      <c r="B485" s="95"/>
      <c r="C485" s="34" t="s">
        <v>37</v>
      </c>
      <c r="D485" s="35">
        <v>14</v>
      </c>
      <c r="E485" s="36">
        <v>16147001</v>
      </c>
      <c r="F485" s="36">
        <v>0</v>
      </c>
      <c r="G485" s="36">
        <v>0</v>
      </c>
      <c r="H485" s="36">
        <v>12159892</v>
      </c>
      <c r="I485" s="36">
        <v>0</v>
      </c>
      <c r="J485" s="37">
        <v>2358900</v>
      </c>
      <c r="K485" s="36">
        <v>28306893</v>
      </c>
      <c r="L485" s="38">
        <v>30665792</v>
      </c>
      <c r="M485" s="39"/>
      <c r="N485" s="36">
        <v>28306893</v>
      </c>
      <c r="O485" s="36">
        <v>16147001</v>
      </c>
      <c r="P485" s="36">
        <v>0</v>
      </c>
      <c r="Q485" s="36">
        <f>Q484*1936.27</f>
        <v>33572252.458177999</v>
      </c>
      <c r="R485" s="7"/>
      <c r="S485" s="7"/>
      <c r="T485" s="7"/>
      <c r="U485" s="7"/>
      <c r="V485" s="7"/>
      <c r="W485" s="7"/>
      <c r="X485" s="7"/>
      <c r="Y485" s="7"/>
      <c r="Z485" s="7"/>
    </row>
    <row r="486" spans="1:26" ht="12.75" customHeight="1" x14ac:dyDescent="0.2">
      <c r="A486" s="95"/>
      <c r="B486" s="95"/>
      <c r="C486" s="40" t="s">
        <v>36</v>
      </c>
      <c r="D486" s="41">
        <v>15</v>
      </c>
      <c r="E486" s="42">
        <v>9345.2900000000009</v>
      </c>
      <c r="F486" s="42">
        <v>0</v>
      </c>
      <c r="G486" s="42">
        <v>0</v>
      </c>
      <c r="H486" s="42">
        <v>6280.06</v>
      </c>
      <c r="I486" s="42">
        <v>0</v>
      </c>
      <c r="J486" s="42">
        <v>1302.1099999999999</v>
      </c>
      <c r="K486" s="43">
        <v>15625.35</v>
      </c>
      <c r="L486" s="32">
        <v>16927.46</v>
      </c>
      <c r="M486" s="33"/>
      <c r="N486" s="30">
        <v>15625.35</v>
      </c>
      <c r="O486" s="30">
        <v>9345.2900000000009</v>
      </c>
      <c r="P486" s="30"/>
      <c r="Q486" s="30">
        <f>(N486+O486*0.18+J486)+(IF((P486-O486*0.18)&gt;0,(P486-O486*0.18),0))</f>
        <v>18609.6122</v>
      </c>
      <c r="R486" s="7"/>
      <c r="S486" s="7"/>
      <c r="T486" s="7"/>
      <c r="U486" s="7"/>
      <c r="V486" s="7"/>
      <c r="W486" s="7"/>
      <c r="X486" s="7"/>
      <c r="Y486" s="7"/>
      <c r="Z486" s="7"/>
    </row>
    <row r="487" spans="1:26" ht="9" customHeight="1" x14ac:dyDescent="0.2">
      <c r="A487" s="95"/>
      <c r="B487" s="95"/>
      <c r="C487" s="34" t="s">
        <v>37</v>
      </c>
      <c r="D487" s="35">
        <v>20</v>
      </c>
      <c r="E487" s="36">
        <v>18095005</v>
      </c>
      <c r="F487" s="36">
        <v>0</v>
      </c>
      <c r="G487" s="36">
        <v>0</v>
      </c>
      <c r="H487" s="36">
        <v>12159892</v>
      </c>
      <c r="I487" s="36">
        <v>0</v>
      </c>
      <c r="J487" s="37">
        <v>2521237</v>
      </c>
      <c r="K487" s="36">
        <v>30254896</v>
      </c>
      <c r="L487" s="38">
        <v>32776133</v>
      </c>
      <c r="M487" s="39"/>
      <c r="N487" s="36">
        <v>30254896</v>
      </c>
      <c r="O487" s="36">
        <v>18095005</v>
      </c>
      <c r="P487" s="36">
        <v>0</v>
      </c>
      <c r="Q487" s="36">
        <f>Q486*1936.27</f>
        <v>36033233.814493999</v>
      </c>
      <c r="R487" s="7"/>
      <c r="S487" s="7"/>
      <c r="T487" s="7"/>
      <c r="U487" s="7"/>
      <c r="V487" s="7"/>
      <c r="W487" s="7"/>
      <c r="X487" s="7"/>
      <c r="Y487" s="7"/>
      <c r="Z487" s="7"/>
    </row>
    <row r="488" spans="1:26" ht="12.75" customHeight="1" x14ac:dyDescent="0.2">
      <c r="A488" s="95"/>
      <c r="B488" s="95"/>
      <c r="C488" s="40" t="s">
        <v>36</v>
      </c>
      <c r="D488" s="41">
        <v>21</v>
      </c>
      <c r="E488" s="42">
        <v>10357.540000000001</v>
      </c>
      <c r="F488" s="42">
        <v>0</v>
      </c>
      <c r="G488" s="42">
        <v>0</v>
      </c>
      <c r="H488" s="42">
        <v>6280.06</v>
      </c>
      <c r="I488" s="42">
        <v>0</v>
      </c>
      <c r="J488" s="42">
        <v>1386.47</v>
      </c>
      <c r="K488" s="43">
        <v>16637.599999999999</v>
      </c>
      <c r="L488" s="32">
        <v>18024.07</v>
      </c>
      <c r="M488" s="33"/>
      <c r="N488" s="30">
        <v>16637.599999999999</v>
      </c>
      <c r="O488" s="30">
        <v>10357.540000000001</v>
      </c>
      <c r="P488" s="30"/>
      <c r="Q488" s="30">
        <f>(N488+O488*0.18+J488)+(IF((P488-O488*0.18)&gt;0,(P488-O488*0.18),0))</f>
        <v>19888.427199999998</v>
      </c>
      <c r="R488" s="7"/>
      <c r="S488" s="7"/>
      <c r="T488" s="7"/>
      <c r="U488" s="7"/>
      <c r="V488" s="7"/>
      <c r="W488" s="7"/>
      <c r="X488" s="7"/>
      <c r="Y488" s="7"/>
      <c r="Z488" s="7"/>
    </row>
    <row r="489" spans="1:26" ht="9" customHeight="1" x14ac:dyDescent="0.2">
      <c r="A489" s="95"/>
      <c r="B489" s="95"/>
      <c r="C489" s="34" t="s">
        <v>37</v>
      </c>
      <c r="D489" s="35">
        <v>27</v>
      </c>
      <c r="E489" s="36">
        <v>20054994</v>
      </c>
      <c r="F489" s="36">
        <v>0</v>
      </c>
      <c r="G489" s="36">
        <v>0</v>
      </c>
      <c r="H489" s="36">
        <v>12159892</v>
      </c>
      <c r="I489" s="36">
        <v>0</v>
      </c>
      <c r="J489" s="37">
        <v>2684580</v>
      </c>
      <c r="K489" s="36">
        <v>32214886</v>
      </c>
      <c r="L489" s="38">
        <v>34899466</v>
      </c>
      <c r="M489" s="39"/>
      <c r="N489" s="36">
        <v>32214886</v>
      </c>
      <c r="O489" s="36">
        <v>20054994</v>
      </c>
      <c r="P489" s="36">
        <v>0</v>
      </c>
      <c r="Q489" s="36">
        <f>Q488*1936.27</f>
        <v>38509364.934543997</v>
      </c>
      <c r="R489" s="7"/>
      <c r="S489" s="7"/>
      <c r="T489" s="7"/>
      <c r="U489" s="7"/>
      <c r="V489" s="7"/>
      <c r="W489" s="7"/>
      <c r="X489" s="7"/>
      <c r="Y489" s="7"/>
      <c r="Z489" s="7"/>
    </row>
    <row r="490" spans="1:26" ht="12.75" customHeight="1" x14ac:dyDescent="0.2">
      <c r="A490" s="95"/>
      <c r="B490" s="95"/>
      <c r="C490" s="40" t="s">
        <v>36</v>
      </c>
      <c r="D490" s="41">
        <v>28</v>
      </c>
      <c r="E490" s="42">
        <v>11088.85</v>
      </c>
      <c r="F490" s="42">
        <v>0</v>
      </c>
      <c r="G490" s="42">
        <v>0</v>
      </c>
      <c r="H490" s="42">
        <v>6280.06</v>
      </c>
      <c r="I490" s="42">
        <v>0</v>
      </c>
      <c r="J490" s="42">
        <v>1447.41</v>
      </c>
      <c r="K490" s="43">
        <v>17368.91</v>
      </c>
      <c r="L490" s="32">
        <v>18816.32</v>
      </c>
      <c r="M490" s="33"/>
      <c r="N490" s="30">
        <v>17368.91</v>
      </c>
      <c r="O490" s="30">
        <v>11088.85</v>
      </c>
      <c r="P490" s="30"/>
      <c r="Q490" s="30">
        <f>(N490+O490*0.18+J490)+(IF((P490-O490*0.18)&gt;0,(P490-O490*0.18),0))</f>
        <v>20812.312999999998</v>
      </c>
      <c r="R490" s="7"/>
      <c r="S490" s="7"/>
      <c r="T490" s="7"/>
      <c r="U490" s="7"/>
      <c r="V490" s="7"/>
      <c r="W490" s="7"/>
      <c r="X490" s="7"/>
      <c r="Y490" s="7"/>
      <c r="Z490" s="7"/>
    </row>
    <row r="491" spans="1:26" ht="9" customHeight="1" x14ac:dyDescent="0.2">
      <c r="A491" s="95"/>
      <c r="B491" s="95"/>
      <c r="C491" s="34" t="s">
        <v>37</v>
      </c>
      <c r="D491" s="35">
        <v>34</v>
      </c>
      <c r="E491" s="36">
        <v>21471008</v>
      </c>
      <c r="F491" s="36">
        <v>0</v>
      </c>
      <c r="G491" s="36">
        <v>0</v>
      </c>
      <c r="H491" s="36">
        <v>12159892</v>
      </c>
      <c r="I491" s="36">
        <v>0</v>
      </c>
      <c r="J491" s="37">
        <v>2802577</v>
      </c>
      <c r="K491" s="36">
        <v>33630899</v>
      </c>
      <c r="L491" s="38">
        <v>36433476</v>
      </c>
      <c r="M491" s="39"/>
      <c r="N491" s="36">
        <v>33630899</v>
      </c>
      <c r="O491" s="36">
        <v>21471008</v>
      </c>
      <c r="P491" s="36">
        <v>0</v>
      </c>
      <c r="Q491" s="36">
        <f>Q490*1936.27</f>
        <v>40298257.292509995</v>
      </c>
      <c r="R491" s="7"/>
      <c r="S491" s="7"/>
      <c r="T491" s="7"/>
      <c r="U491" s="7"/>
      <c r="V491" s="7"/>
      <c r="W491" s="7"/>
      <c r="X491" s="7"/>
      <c r="Y491" s="7"/>
      <c r="Z491" s="7"/>
    </row>
    <row r="492" spans="1:26" ht="12.75" customHeight="1" x14ac:dyDescent="0.2">
      <c r="A492" s="95"/>
      <c r="B492" s="95"/>
      <c r="C492" s="40" t="s">
        <v>36</v>
      </c>
      <c r="D492" s="41">
        <v>35</v>
      </c>
      <c r="E492" s="42">
        <v>11637.32</v>
      </c>
      <c r="F492" s="42">
        <v>0</v>
      </c>
      <c r="G492" s="42">
        <v>0</v>
      </c>
      <c r="H492" s="42">
        <v>6280.06</v>
      </c>
      <c r="I492" s="42">
        <v>0</v>
      </c>
      <c r="J492" s="42">
        <v>1493.12</v>
      </c>
      <c r="K492" s="43">
        <v>17917.38</v>
      </c>
      <c r="L492" s="32">
        <v>19410.5</v>
      </c>
      <c r="M492" s="33"/>
      <c r="N492" s="30">
        <v>17917.38</v>
      </c>
      <c r="O492" s="30">
        <v>11637.32</v>
      </c>
      <c r="P492" s="30"/>
      <c r="Q492" s="30">
        <f>(N492+O492*0.18+J492)+(IF((P492-O492*0.18)&gt;0,(P492-O492*0.18),0))</f>
        <v>21505.2176</v>
      </c>
      <c r="R492" s="7"/>
      <c r="S492" s="7"/>
      <c r="T492" s="7"/>
      <c r="U492" s="7"/>
      <c r="V492" s="7"/>
      <c r="W492" s="7"/>
      <c r="X492" s="7"/>
      <c r="Y492" s="7"/>
      <c r="Z492" s="7"/>
    </row>
    <row r="493" spans="1:26" ht="9" customHeight="1" x14ac:dyDescent="0.2">
      <c r="A493" s="110"/>
      <c r="B493" s="110"/>
      <c r="C493" s="47" t="s">
        <v>37</v>
      </c>
      <c r="D493" s="48"/>
      <c r="E493" s="46">
        <v>22532994</v>
      </c>
      <c r="F493" s="46">
        <v>0</v>
      </c>
      <c r="G493" s="46">
        <v>0</v>
      </c>
      <c r="H493" s="46">
        <v>12159892</v>
      </c>
      <c r="I493" s="46">
        <v>0</v>
      </c>
      <c r="J493" s="49">
        <v>2891083</v>
      </c>
      <c r="K493" s="46">
        <v>34692885</v>
      </c>
      <c r="L493" s="38">
        <v>37583969</v>
      </c>
      <c r="M493" s="39"/>
      <c r="N493" s="36">
        <v>34692885</v>
      </c>
      <c r="O493" s="36">
        <v>22532994</v>
      </c>
      <c r="P493" s="36">
        <v>0</v>
      </c>
      <c r="Q493" s="36">
        <f>Q492*1936.27</f>
        <v>41639907.682351999</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12.75" customHeight="1" x14ac:dyDescent="0.2">
      <c r="A500" s="98">
        <v>36312</v>
      </c>
      <c r="B500" s="98">
        <v>36707</v>
      </c>
      <c r="C500" s="28" t="s">
        <v>36</v>
      </c>
      <c r="D500" s="29">
        <v>0</v>
      </c>
      <c r="E500" s="30">
        <v>7173.07</v>
      </c>
      <c r="F500" s="30">
        <v>0</v>
      </c>
      <c r="G500" s="30">
        <v>0</v>
      </c>
      <c r="H500" s="30">
        <v>6280.06</v>
      </c>
      <c r="I500" s="30">
        <v>0</v>
      </c>
      <c r="J500" s="30">
        <v>1121.0899999999999</v>
      </c>
      <c r="K500" s="31">
        <v>13453.13</v>
      </c>
      <c r="L500" s="32">
        <v>14574.22</v>
      </c>
      <c r="M500" s="33"/>
      <c r="N500" s="30">
        <v>13453.13</v>
      </c>
      <c r="O500" s="30">
        <v>7173.07</v>
      </c>
      <c r="P500" s="30"/>
      <c r="Q500" s="30">
        <f>(N500+O500*0.18+J500)+(IF((P500-O500*0.18)&gt;0,(P500-O500*0.18),0))</f>
        <v>15865.372599999999</v>
      </c>
      <c r="R500" s="7"/>
      <c r="S500" s="7"/>
      <c r="T500" s="7"/>
      <c r="U500" s="7"/>
      <c r="V500" s="7"/>
      <c r="W500" s="7"/>
      <c r="X500" s="7"/>
      <c r="Y500" s="7"/>
      <c r="Z500" s="7"/>
    </row>
    <row r="501" spans="1:26" ht="9" customHeight="1" x14ac:dyDescent="0.2">
      <c r="A501" s="95"/>
      <c r="B501" s="95"/>
      <c r="C501" s="34" t="s">
        <v>37</v>
      </c>
      <c r="D501" s="35">
        <v>2</v>
      </c>
      <c r="E501" s="36">
        <v>13889000</v>
      </c>
      <c r="F501" s="36">
        <v>0</v>
      </c>
      <c r="G501" s="36">
        <v>0</v>
      </c>
      <c r="H501" s="36">
        <v>12159892</v>
      </c>
      <c r="I501" s="36">
        <v>0</v>
      </c>
      <c r="J501" s="37">
        <v>2170733</v>
      </c>
      <c r="K501" s="36">
        <v>26048892</v>
      </c>
      <c r="L501" s="38">
        <v>28219625</v>
      </c>
      <c r="M501" s="39"/>
      <c r="N501" s="36">
        <v>26048892</v>
      </c>
      <c r="O501" s="36">
        <v>13889000</v>
      </c>
      <c r="P501" s="36">
        <v>0</v>
      </c>
      <c r="Q501" s="36">
        <f>Q500*1936.27</f>
        <v>30719645.004201997</v>
      </c>
      <c r="R501" s="7"/>
      <c r="S501" s="7"/>
      <c r="T501" s="7"/>
      <c r="U501" s="7"/>
      <c r="V501" s="7"/>
      <c r="W501" s="7"/>
      <c r="X501" s="7"/>
      <c r="Y501" s="7"/>
      <c r="Z501" s="7"/>
    </row>
    <row r="502" spans="1:26" ht="12.75" customHeight="1" x14ac:dyDescent="0.2">
      <c r="A502" s="156">
        <v>36312</v>
      </c>
      <c r="B502" s="156">
        <v>36707</v>
      </c>
      <c r="C502" s="40" t="s">
        <v>36</v>
      </c>
      <c r="D502" s="41">
        <v>3</v>
      </c>
      <c r="E502" s="42">
        <v>7472.61</v>
      </c>
      <c r="F502" s="42">
        <v>0</v>
      </c>
      <c r="G502" s="42">
        <v>0</v>
      </c>
      <c r="H502" s="42">
        <v>6280.06</v>
      </c>
      <c r="I502" s="42">
        <v>0</v>
      </c>
      <c r="J502" s="42">
        <v>1146.06</v>
      </c>
      <c r="K502" s="43">
        <v>13752.67</v>
      </c>
      <c r="L502" s="32">
        <v>14898.73</v>
      </c>
      <c r="M502" s="33"/>
      <c r="N502" s="30">
        <v>13752.67</v>
      </c>
      <c r="O502" s="30">
        <v>7472.61</v>
      </c>
      <c r="P502" s="30"/>
      <c r="Q502" s="30">
        <f>(N502+O502*0.18+J502)+(IF((P502-O502*0.18)&gt;0,(P502-O502*0.18),0))</f>
        <v>16243.799799999999</v>
      </c>
      <c r="R502" s="7"/>
      <c r="S502" s="7"/>
      <c r="T502" s="7"/>
      <c r="U502" s="7"/>
      <c r="V502" s="7"/>
      <c r="W502" s="7"/>
      <c r="X502" s="7"/>
      <c r="Y502" s="7"/>
      <c r="Z502" s="7"/>
    </row>
    <row r="503" spans="1:26" ht="9" customHeight="1" x14ac:dyDescent="0.2">
      <c r="A503" s="95"/>
      <c r="B503" s="95"/>
      <c r="C503" s="34" t="s">
        <v>37</v>
      </c>
      <c r="D503" s="35">
        <v>8</v>
      </c>
      <c r="E503" s="36">
        <v>14468991</v>
      </c>
      <c r="F503" s="36">
        <v>0</v>
      </c>
      <c r="G503" s="36">
        <v>0</v>
      </c>
      <c r="H503" s="36">
        <v>12159892</v>
      </c>
      <c r="I503" s="36">
        <v>0</v>
      </c>
      <c r="J503" s="37">
        <v>2219082</v>
      </c>
      <c r="K503" s="36">
        <v>26628882</v>
      </c>
      <c r="L503" s="38">
        <v>28847964</v>
      </c>
      <c r="M503" s="39"/>
      <c r="N503" s="36">
        <v>26628882</v>
      </c>
      <c r="O503" s="36">
        <v>14468991</v>
      </c>
      <c r="P503" s="36">
        <v>0</v>
      </c>
      <c r="Q503" s="36">
        <f>Q502*1936.27</f>
        <v>31452382.238745999</v>
      </c>
      <c r="R503" s="7"/>
      <c r="S503" s="7"/>
      <c r="T503" s="7"/>
      <c r="U503" s="7"/>
      <c r="V503" s="7"/>
      <c r="W503" s="7"/>
      <c r="X503" s="7"/>
      <c r="Y503" s="7"/>
      <c r="Z503" s="7"/>
    </row>
    <row r="504" spans="1:26" ht="12.75" customHeight="1" x14ac:dyDescent="0.2">
      <c r="A504" s="95"/>
      <c r="B504" s="95"/>
      <c r="C504" s="40" t="s">
        <v>36</v>
      </c>
      <c r="D504" s="41">
        <v>9</v>
      </c>
      <c r="E504" s="42">
        <v>8556.14</v>
      </c>
      <c r="F504" s="42">
        <v>0</v>
      </c>
      <c r="G504" s="42">
        <v>0</v>
      </c>
      <c r="H504" s="42">
        <v>6280.06</v>
      </c>
      <c r="I504" s="42">
        <v>0</v>
      </c>
      <c r="J504" s="42">
        <v>1236.3499999999999</v>
      </c>
      <c r="K504" s="43">
        <v>14836.2</v>
      </c>
      <c r="L504" s="32">
        <v>16072.55</v>
      </c>
      <c r="M504" s="33"/>
      <c r="N504" s="30">
        <v>14836.2</v>
      </c>
      <c r="O504" s="30">
        <v>8556.14</v>
      </c>
      <c r="P504" s="30"/>
      <c r="Q504" s="30">
        <f>(N504+O504*0.18+J504)+(IF((P504-O504*0.18)&gt;0,(P504-O504*0.18),0))</f>
        <v>17612.655200000001</v>
      </c>
      <c r="R504" s="7"/>
      <c r="S504" s="7"/>
      <c r="T504" s="7"/>
      <c r="U504" s="7"/>
      <c r="V504" s="7"/>
      <c r="W504" s="7"/>
      <c r="X504" s="7"/>
      <c r="Y504" s="7"/>
      <c r="Z504" s="7"/>
    </row>
    <row r="505" spans="1:26" ht="9" customHeight="1" x14ac:dyDescent="0.2">
      <c r="A505" s="95"/>
      <c r="B505" s="95"/>
      <c r="C505" s="34" t="s">
        <v>37</v>
      </c>
      <c r="D505" s="35">
        <v>14</v>
      </c>
      <c r="E505" s="36">
        <v>16566997</v>
      </c>
      <c r="F505" s="36">
        <v>0</v>
      </c>
      <c r="G505" s="36">
        <v>0</v>
      </c>
      <c r="H505" s="36">
        <v>12159892</v>
      </c>
      <c r="I505" s="36">
        <v>0</v>
      </c>
      <c r="J505" s="37">
        <v>2393907</v>
      </c>
      <c r="K505" s="36">
        <v>28726889</v>
      </c>
      <c r="L505" s="38">
        <v>31120796</v>
      </c>
      <c r="M505" s="39"/>
      <c r="N505" s="36">
        <v>28726889</v>
      </c>
      <c r="O505" s="36">
        <v>16566997</v>
      </c>
      <c r="P505" s="36">
        <v>0</v>
      </c>
      <c r="Q505" s="36">
        <f>Q504*1936.27</f>
        <v>34102855.884103999</v>
      </c>
      <c r="R505" s="7"/>
      <c r="S505" s="7"/>
      <c r="T505" s="7"/>
      <c r="U505" s="7"/>
      <c r="V505" s="7"/>
      <c r="W505" s="7"/>
      <c r="X505" s="7"/>
      <c r="Y505" s="7"/>
      <c r="Z505" s="7"/>
    </row>
    <row r="506" spans="1:26" ht="12.75" customHeight="1" x14ac:dyDescent="0.2">
      <c r="A506" s="95"/>
      <c r="B506" s="95"/>
      <c r="C506" s="40" t="s">
        <v>36</v>
      </c>
      <c r="D506" s="41">
        <v>15</v>
      </c>
      <c r="E506" s="42">
        <v>9574.59</v>
      </c>
      <c r="F506" s="42">
        <v>0</v>
      </c>
      <c r="G506" s="42">
        <v>0</v>
      </c>
      <c r="H506" s="42">
        <v>6280.06</v>
      </c>
      <c r="I506" s="42">
        <v>0</v>
      </c>
      <c r="J506" s="42">
        <v>1321.22</v>
      </c>
      <c r="K506" s="43">
        <v>15854.65</v>
      </c>
      <c r="L506" s="32">
        <v>17175.87</v>
      </c>
      <c r="M506" s="33"/>
      <c r="N506" s="30">
        <v>15854.65</v>
      </c>
      <c r="O506" s="30">
        <v>9574.59</v>
      </c>
      <c r="P506" s="30"/>
      <c r="Q506" s="30">
        <f>(N506+O506*0.18+J506)+(IF((P506-O506*0.18)&gt;0,(P506-O506*0.18),0))</f>
        <v>18899.296200000001</v>
      </c>
      <c r="R506" s="7"/>
      <c r="S506" s="7"/>
      <c r="T506" s="7"/>
      <c r="U506" s="7"/>
      <c r="V506" s="7"/>
      <c r="W506" s="7"/>
      <c r="X506" s="7"/>
      <c r="Y506" s="7"/>
      <c r="Z506" s="7"/>
    </row>
    <row r="507" spans="1:26" ht="9" customHeight="1" x14ac:dyDescent="0.2">
      <c r="A507" s="95"/>
      <c r="B507" s="95"/>
      <c r="C507" s="34" t="s">
        <v>37</v>
      </c>
      <c r="D507" s="35">
        <v>20</v>
      </c>
      <c r="E507" s="36">
        <v>18538991</v>
      </c>
      <c r="F507" s="36">
        <v>0</v>
      </c>
      <c r="G507" s="36">
        <v>0</v>
      </c>
      <c r="H507" s="36">
        <v>12159892</v>
      </c>
      <c r="I507" s="36">
        <v>0</v>
      </c>
      <c r="J507" s="37">
        <v>2558239</v>
      </c>
      <c r="K507" s="36">
        <v>30698883</v>
      </c>
      <c r="L507" s="38">
        <v>33257122</v>
      </c>
      <c r="M507" s="39"/>
      <c r="N507" s="36">
        <v>30698883</v>
      </c>
      <c r="O507" s="36">
        <v>18538991</v>
      </c>
      <c r="P507" s="36">
        <v>0</v>
      </c>
      <c r="Q507" s="36">
        <f>Q506*1936.27</f>
        <v>36594140.253173999</v>
      </c>
      <c r="R507" s="7"/>
      <c r="S507" s="7"/>
      <c r="T507" s="7"/>
      <c r="U507" s="7"/>
      <c r="V507" s="7"/>
      <c r="W507" s="7"/>
      <c r="X507" s="7"/>
      <c r="Y507" s="7"/>
      <c r="Z507" s="7"/>
    </row>
    <row r="508" spans="1:26" ht="12.75" customHeight="1" x14ac:dyDescent="0.2">
      <c r="A508" s="95"/>
      <c r="B508" s="95"/>
      <c r="C508" s="40" t="s">
        <v>36</v>
      </c>
      <c r="D508" s="41">
        <v>21</v>
      </c>
      <c r="E508" s="42">
        <v>10605.44</v>
      </c>
      <c r="F508" s="42">
        <v>0</v>
      </c>
      <c r="G508" s="42">
        <v>0</v>
      </c>
      <c r="H508" s="42">
        <v>6280.06</v>
      </c>
      <c r="I508" s="42">
        <v>0</v>
      </c>
      <c r="J508" s="42">
        <v>1407.13</v>
      </c>
      <c r="K508" s="43">
        <v>16885.5</v>
      </c>
      <c r="L508" s="32">
        <v>18292.63</v>
      </c>
      <c r="M508" s="33"/>
      <c r="N508" s="30">
        <v>16885.5</v>
      </c>
      <c r="O508" s="30">
        <v>10605.44</v>
      </c>
      <c r="P508" s="30"/>
      <c r="Q508" s="30">
        <f>(N508+O508*0.18+J508)+(IF((P508-O508*0.18)&gt;0,(P508-O508*0.18),0))</f>
        <v>20201.609200000003</v>
      </c>
      <c r="R508" s="7"/>
      <c r="S508" s="7"/>
      <c r="T508" s="7"/>
      <c r="U508" s="7"/>
      <c r="V508" s="7"/>
      <c r="W508" s="7"/>
      <c r="X508" s="7"/>
      <c r="Y508" s="7"/>
      <c r="Z508" s="7"/>
    </row>
    <row r="509" spans="1:26" ht="9" customHeight="1" x14ac:dyDescent="0.2">
      <c r="A509" s="95"/>
      <c r="B509" s="95"/>
      <c r="C509" s="34" t="s">
        <v>37</v>
      </c>
      <c r="D509" s="35">
        <v>27</v>
      </c>
      <c r="E509" s="36">
        <v>20534995</v>
      </c>
      <c r="F509" s="36">
        <v>0</v>
      </c>
      <c r="G509" s="36">
        <v>0</v>
      </c>
      <c r="H509" s="36">
        <v>12159892</v>
      </c>
      <c r="I509" s="36">
        <v>0</v>
      </c>
      <c r="J509" s="37">
        <v>2724584</v>
      </c>
      <c r="K509" s="36">
        <v>32694887</v>
      </c>
      <c r="L509" s="38">
        <v>35419471</v>
      </c>
      <c r="M509" s="39"/>
      <c r="N509" s="36">
        <v>32694887</v>
      </c>
      <c r="O509" s="36">
        <v>20534995</v>
      </c>
      <c r="P509" s="36">
        <v>0</v>
      </c>
      <c r="Q509" s="36">
        <f>Q508*1936.27</f>
        <v>39115769.845684007</v>
      </c>
      <c r="R509" s="7"/>
      <c r="S509" s="7"/>
      <c r="T509" s="7"/>
      <c r="U509" s="7"/>
      <c r="V509" s="7"/>
      <c r="W509" s="7"/>
      <c r="X509" s="7"/>
      <c r="Y509" s="7"/>
      <c r="Z509" s="7"/>
    </row>
    <row r="510" spans="1:26" ht="12.75" customHeight="1" x14ac:dyDescent="0.2">
      <c r="A510" s="95"/>
      <c r="B510" s="95"/>
      <c r="C510" s="40" t="s">
        <v>36</v>
      </c>
      <c r="D510" s="41">
        <v>28</v>
      </c>
      <c r="E510" s="42">
        <v>11342.94</v>
      </c>
      <c r="F510" s="42">
        <v>0</v>
      </c>
      <c r="G510" s="42">
        <v>0</v>
      </c>
      <c r="H510" s="42">
        <v>6280.06</v>
      </c>
      <c r="I510" s="42">
        <v>0</v>
      </c>
      <c r="J510" s="42">
        <v>1468.58</v>
      </c>
      <c r="K510" s="43">
        <v>17623</v>
      </c>
      <c r="L510" s="32">
        <v>19091.580000000002</v>
      </c>
      <c r="M510" s="33"/>
      <c r="N510" s="30">
        <v>17623</v>
      </c>
      <c r="O510" s="30">
        <v>11342.94</v>
      </c>
      <c r="P510" s="30"/>
      <c r="Q510" s="30">
        <f>(N510+O510*0.18+J510)+(IF((P510-O510*0.18)&gt;0,(P510-O510*0.18),0))</f>
        <v>21133.309200000003</v>
      </c>
      <c r="R510" s="7"/>
      <c r="S510" s="7"/>
      <c r="T510" s="7"/>
      <c r="U510" s="7"/>
      <c r="V510" s="7"/>
      <c r="W510" s="7"/>
      <c r="X510" s="7"/>
      <c r="Y510" s="7"/>
      <c r="Z510" s="7"/>
    </row>
    <row r="511" spans="1:26" ht="9" customHeight="1" x14ac:dyDescent="0.2">
      <c r="A511" s="95"/>
      <c r="B511" s="95"/>
      <c r="C511" s="34" t="s">
        <v>37</v>
      </c>
      <c r="D511" s="35">
        <v>34</v>
      </c>
      <c r="E511" s="36">
        <v>21962994</v>
      </c>
      <c r="F511" s="36">
        <v>0</v>
      </c>
      <c r="G511" s="36">
        <v>0</v>
      </c>
      <c r="H511" s="36">
        <v>12159892</v>
      </c>
      <c r="I511" s="36">
        <v>0</v>
      </c>
      <c r="J511" s="37">
        <v>2843567</v>
      </c>
      <c r="K511" s="36">
        <v>34122886</v>
      </c>
      <c r="L511" s="38">
        <v>36966454</v>
      </c>
      <c r="M511" s="39"/>
      <c r="N511" s="36">
        <v>34122886</v>
      </c>
      <c r="O511" s="36">
        <v>21962994</v>
      </c>
      <c r="P511" s="36">
        <v>0</v>
      </c>
      <c r="Q511" s="36">
        <f>Q510*1936.27</f>
        <v>40919792.604684003</v>
      </c>
      <c r="R511" s="7"/>
      <c r="S511" s="7"/>
      <c r="T511" s="7"/>
      <c r="U511" s="7"/>
      <c r="V511" s="7"/>
      <c r="W511" s="7"/>
      <c r="X511" s="7"/>
      <c r="Y511" s="7"/>
      <c r="Z511" s="7"/>
    </row>
    <row r="512" spans="1:26" ht="12.75" customHeight="1" x14ac:dyDescent="0.2">
      <c r="A512" s="95"/>
      <c r="B512" s="95"/>
      <c r="C512" s="40" t="s">
        <v>36</v>
      </c>
      <c r="D512" s="41">
        <v>35</v>
      </c>
      <c r="E512" s="42">
        <v>11903.82</v>
      </c>
      <c r="F512" s="42">
        <v>0</v>
      </c>
      <c r="G512" s="42">
        <v>0</v>
      </c>
      <c r="H512" s="42">
        <v>6280.06</v>
      </c>
      <c r="I512" s="42">
        <v>0</v>
      </c>
      <c r="J512" s="42">
        <v>1515.32</v>
      </c>
      <c r="K512" s="43">
        <v>18183.88</v>
      </c>
      <c r="L512" s="32">
        <v>19699.2</v>
      </c>
      <c r="M512" s="33"/>
      <c r="N512" s="30">
        <v>18183.88</v>
      </c>
      <c r="O512" s="30">
        <v>11903.82</v>
      </c>
      <c r="P512" s="30"/>
      <c r="Q512" s="30">
        <f>(N512+O512*0.18+J512)+(IF((P512-O512*0.18)&gt;0,(P512-O512*0.18),0))</f>
        <v>21841.887600000002</v>
      </c>
      <c r="R512" s="7"/>
      <c r="S512" s="7"/>
      <c r="T512" s="7"/>
      <c r="U512" s="7"/>
      <c r="V512" s="7"/>
      <c r="W512" s="7"/>
      <c r="X512" s="7"/>
      <c r="Y512" s="7"/>
      <c r="Z512" s="7"/>
    </row>
    <row r="513" spans="1:26" ht="9" customHeight="1" x14ac:dyDescent="0.2">
      <c r="A513" s="110"/>
      <c r="B513" s="110"/>
      <c r="C513" s="47" t="s">
        <v>37</v>
      </c>
      <c r="D513" s="48"/>
      <c r="E513" s="46">
        <v>23049010</v>
      </c>
      <c r="F513" s="46">
        <v>0</v>
      </c>
      <c r="G513" s="46">
        <v>0</v>
      </c>
      <c r="H513" s="46">
        <v>12159892</v>
      </c>
      <c r="I513" s="46">
        <v>0</v>
      </c>
      <c r="J513" s="49">
        <v>2934069</v>
      </c>
      <c r="K513" s="46">
        <v>35208901</v>
      </c>
      <c r="L513" s="38">
        <v>38142970</v>
      </c>
      <c r="M513" s="39"/>
      <c r="N513" s="36">
        <v>35208901</v>
      </c>
      <c r="O513" s="36">
        <v>23049010</v>
      </c>
      <c r="P513" s="36">
        <v>0</v>
      </c>
      <c r="Q513" s="36">
        <f>Q512*1936.27</f>
        <v>42291791.703252003</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98">
        <v>36708</v>
      </c>
      <c r="B520" s="98">
        <v>36769</v>
      </c>
      <c r="C520" s="28" t="s">
        <v>36</v>
      </c>
      <c r="D520" s="29">
        <v>0</v>
      </c>
      <c r="E520" s="30">
        <v>7334.2</v>
      </c>
      <c r="F520" s="30">
        <v>0</v>
      </c>
      <c r="G520" s="30">
        <v>0</v>
      </c>
      <c r="H520" s="30">
        <v>6280.06</v>
      </c>
      <c r="I520" s="30">
        <v>0</v>
      </c>
      <c r="J520" s="30">
        <v>1134.52</v>
      </c>
      <c r="K520" s="31">
        <v>13614.26</v>
      </c>
      <c r="L520" s="32">
        <v>14748.78</v>
      </c>
      <c r="M520" s="33"/>
      <c r="N520" s="30">
        <v>13614.26</v>
      </c>
      <c r="O520" s="30">
        <v>7334.2</v>
      </c>
      <c r="P520" s="30"/>
      <c r="Q520" s="30">
        <f>(N520+O520*0.18+J520)+(IF((P520-O520*0.18)&gt;0,(P520-O520*0.18),0))</f>
        <v>16068.936000000002</v>
      </c>
      <c r="R520" s="7"/>
      <c r="S520" s="7"/>
      <c r="T520" s="7"/>
      <c r="U520" s="7"/>
      <c r="V520" s="7"/>
      <c r="W520" s="7"/>
      <c r="X520" s="7"/>
      <c r="Y520" s="7"/>
      <c r="Z520" s="7"/>
    </row>
    <row r="521" spans="1:26" ht="9" customHeight="1" x14ac:dyDescent="0.2">
      <c r="A521" s="95"/>
      <c r="B521" s="95"/>
      <c r="C521" s="34" t="s">
        <v>37</v>
      </c>
      <c r="D521" s="35">
        <v>2</v>
      </c>
      <c r="E521" s="36">
        <v>14200991</v>
      </c>
      <c r="F521" s="36">
        <v>0</v>
      </c>
      <c r="G521" s="36">
        <v>0</v>
      </c>
      <c r="H521" s="36">
        <v>12159892</v>
      </c>
      <c r="I521" s="36">
        <v>0</v>
      </c>
      <c r="J521" s="37">
        <v>2196737</v>
      </c>
      <c r="K521" s="36">
        <v>26360883</v>
      </c>
      <c r="L521" s="38">
        <v>28557620</v>
      </c>
      <c r="M521" s="39"/>
      <c r="N521" s="36">
        <v>26360883</v>
      </c>
      <c r="O521" s="36">
        <v>14200991</v>
      </c>
      <c r="P521" s="36">
        <v>0</v>
      </c>
      <c r="Q521" s="36">
        <f>Q520*1936.27</f>
        <v>31113798.708720002</v>
      </c>
      <c r="R521" s="7"/>
      <c r="S521" s="7"/>
      <c r="T521" s="7"/>
      <c r="U521" s="7"/>
      <c r="V521" s="7"/>
      <c r="W521" s="7"/>
      <c r="X521" s="7"/>
      <c r="Y521" s="7"/>
      <c r="Z521" s="7"/>
    </row>
    <row r="522" spans="1:26" ht="12.75" customHeight="1" x14ac:dyDescent="0.2">
      <c r="A522" s="156">
        <v>36708</v>
      </c>
      <c r="B522" s="156">
        <v>36769</v>
      </c>
      <c r="C522" s="40" t="s">
        <v>36</v>
      </c>
      <c r="D522" s="41">
        <v>3</v>
      </c>
      <c r="E522" s="42">
        <v>7639.95</v>
      </c>
      <c r="F522" s="42">
        <v>0</v>
      </c>
      <c r="G522" s="42">
        <v>0</v>
      </c>
      <c r="H522" s="42">
        <v>6280.06</v>
      </c>
      <c r="I522" s="42">
        <v>0</v>
      </c>
      <c r="J522" s="42">
        <v>1160</v>
      </c>
      <c r="K522" s="43">
        <v>13920.01</v>
      </c>
      <c r="L522" s="32">
        <v>15080.01</v>
      </c>
      <c r="M522" s="33"/>
      <c r="N522" s="30">
        <v>13920.01</v>
      </c>
      <c r="O522" s="30">
        <v>7639.95</v>
      </c>
      <c r="P522" s="30"/>
      <c r="Q522" s="30">
        <f>(N522+O522*0.18+J522)+(IF((P522-O522*0.18)&gt;0,(P522-O522*0.18),0))</f>
        <v>16455.201000000001</v>
      </c>
      <c r="R522" s="7"/>
      <c r="S522" s="7"/>
      <c r="T522" s="7"/>
      <c r="U522" s="7"/>
      <c r="V522" s="7"/>
      <c r="W522" s="7"/>
      <c r="X522" s="7"/>
      <c r="Y522" s="7"/>
      <c r="Z522" s="7"/>
    </row>
    <row r="523" spans="1:26" ht="9" customHeight="1" x14ac:dyDescent="0.2">
      <c r="A523" s="95"/>
      <c r="B523" s="95"/>
      <c r="C523" s="34" t="s">
        <v>37</v>
      </c>
      <c r="D523" s="35">
        <v>8</v>
      </c>
      <c r="E523" s="36">
        <v>14793006</v>
      </c>
      <c r="F523" s="36">
        <v>0</v>
      </c>
      <c r="G523" s="36">
        <v>0</v>
      </c>
      <c r="H523" s="36">
        <v>12159892</v>
      </c>
      <c r="I523" s="36">
        <v>0</v>
      </c>
      <c r="J523" s="37">
        <v>2246073</v>
      </c>
      <c r="K523" s="36">
        <v>26952898</v>
      </c>
      <c r="L523" s="38">
        <v>29198971</v>
      </c>
      <c r="M523" s="39"/>
      <c r="N523" s="36">
        <v>26952898</v>
      </c>
      <c r="O523" s="36">
        <v>14793006</v>
      </c>
      <c r="P523" s="36">
        <v>0</v>
      </c>
      <c r="Q523" s="36">
        <f>Q522*1936.27</f>
        <v>31861712.040270001</v>
      </c>
      <c r="R523" s="7"/>
      <c r="S523" s="7"/>
      <c r="T523" s="7"/>
      <c r="U523" s="7"/>
      <c r="V523" s="7"/>
      <c r="W523" s="7"/>
      <c r="X523" s="7"/>
      <c r="Y523" s="7"/>
      <c r="Z523" s="7"/>
    </row>
    <row r="524" spans="1:26" ht="12.75" customHeight="1" x14ac:dyDescent="0.2">
      <c r="A524" s="95"/>
      <c r="B524" s="95"/>
      <c r="C524" s="40" t="s">
        <v>36</v>
      </c>
      <c r="D524" s="41">
        <v>9</v>
      </c>
      <c r="E524" s="42">
        <v>8735.8700000000008</v>
      </c>
      <c r="F524" s="42">
        <v>0</v>
      </c>
      <c r="G524" s="42">
        <v>0</v>
      </c>
      <c r="H524" s="42">
        <v>6280.06</v>
      </c>
      <c r="I524" s="42">
        <v>0</v>
      </c>
      <c r="J524" s="42">
        <v>1251.33</v>
      </c>
      <c r="K524" s="43">
        <v>15015.93</v>
      </c>
      <c r="L524" s="32">
        <v>16267.26</v>
      </c>
      <c r="M524" s="33"/>
      <c r="N524" s="30">
        <v>15015.93</v>
      </c>
      <c r="O524" s="30">
        <v>8735.8700000000008</v>
      </c>
      <c r="P524" s="30"/>
      <c r="Q524" s="30">
        <f>(N524+O524*0.18+J524)+(IF((P524-O524*0.18)&gt;0,(P524-O524*0.18),0))</f>
        <v>17839.7166</v>
      </c>
      <c r="R524" s="7"/>
      <c r="S524" s="7"/>
      <c r="T524" s="7"/>
      <c r="U524" s="7"/>
      <c r="V524" s="7"/>
      <c r="W524" s="7"/>
      <c r="X524" s="7"/>
      <c r="Y524" s="7"/>
      <c r="Z524" s="7"/>
    </row>
    <row r="525" spans="1:26" ht="9" customHeight="1" x14ac:dyDescent="0.2">
      <c r="A525" s="95"/>
      <c r="B525" s="95"/>
      <c r="C525" s="34" t="s">
        <v>37</v>
      </c>
      <c r="D525" s="35">
        <v>14</v>
      </c>
      <c r="E525" s="36">
        <v>16915003</v>
      </c>
      <c r="F525" s="36">
        <v>0</v>
      </c>
      <c r="G525" s="36">
        <v>0</v>
      </c>
      <c r="H525" s="36">
        <v>12159892</v>
      </c>
      <c r="I525" s="36">
        <v>0</v>
      </c>
      <c r="J525" s="37">
        <v>2422913</v>
      </c>
      <c r="K525" s="36">
        <v>29074895</v>
      </c>
      <c r="L525" s="38">
        <v>31497808</v>
      </c>
      <c r="M525" s="39"/>
      <c r="N525" s="36">
        <v>29074895</v>
      </c>
      <c r="O525" s="36">
        <v>16915003</v>
      </c>
      <c r="P525" s="36">
        <v>0</v>
      </c>
      <c r="Q525" s="36">
        <f>Q524*1936.27</f>
        <v>34542508.061081998</v>
      </c>
      <c r="R525" s="7"/>
      <c r="S525" s="7"/>
      <c r="T525" s="7"/>
      <c r="U525" s="7"/>
      <c r="V525" s="7"/>
      <c r="W525" s="7"/>
      <c r="X525" s="7"/>
      <c r="Y525" s="7"/>
      <c r="Z525" s="7"/>
    </row>
    <row r="526" spans="1:26" ht="12.75" customHeight="1" x14ac:dyDescent="0.2">
      <c r="A526" s="95"/>
      <c r="B526" s="95"/>
      <c r="C526" s="40" t="s">
        <v>36</v>
      </c>
      <c r="D526" s="41">
        <v>15</v>
      </c>
      <c r="E526" s="42">
        <v>9766.7199999999993</v>
      </c>
      <c r="F526" s="42">
        <v>0</v>
      </c>
      <c r="G526" s="42">
        <v>0</v>
      </c>
      <c r="H526" s="42">
        <v>6280.06</v>
      </c>
      <c r="I526" s="42">
        <v>0</v>
      </c>
      <c r="J526" s="42">
        <v>1337.23</v>
      </c>
      <c r="K526" s="43">
        <v>16046.78</v>
      </c>
      <c r="L526" s="32">
        <v>17384.009999999998</v>
      </c>
      <c r="M526" s="33"/>
      <c r="N526" s="30">
        <v>16046.78</v>
      </c>
      <c r="O526" s="30">
        <v>9766.7199999999993</v>
      </c>
      <c r="P526" s="30"/>
      <c r="Q526" s="30">
        <f>(N526+O526*0.18+J526)+(IF((P526-O526*0.18)&gt;0,(P526-O526*0.18),0))</f>
        <v>19142.0196</v>
      </c>
      <c r="R526" s="7"/>
      <c r="S526" s="7"/>
      <c r="T526" s="7"/>
      <c r="U526" s="7"/>
      <c r="V526" s="7"/>
      <c r="W526" s="7"/>
      <c r="X526" s="7"/>
      <c r="Y526" s="7"/>
      <c r="Z526" s="7"/>
    </row>
    <row r="527" spans="1:26" ht="9" customHeight="1" x14ac:dyDescent="0.2">
      <c r="A527" s="95"/>
      <c r="B527" s="95"/>
      <c r="C527" s="34" t="s">
        <v>37</v>
      </c>
      <c r="D527" s="35">
        <v>20</v>
      </c>
      <c r="E527" s="36">
        <v>18911007</v>
      </c>
      <c r="F527" s="36">
        <v>0</v>
      </c>
      <c r="G527" s="36">
        <v>0</v>
      </c>
      <c r="H527" s="36">
        <v>12159892</v>
      </c>
      <c r="I527" s="36">
        <v>0</v>
      </c>
      <c r="J527" s="37">
        <v>2589238</v>
      </c>
      <c r="K527" s="36">
        <v>31070899</v>
      </c>
      <c r="L527" s="38">
        <v>33660137</v>
      </c>
      <c r="M527" s="39"/>
      <c r="N527" s="36">
        <v>31070899</v>
      </c>
      <c r="O527" s="36">
        <v>18911007</v>
      </c>
      <c r="P527" s="36">
        <v>0</v>
      </c>
      <c r="Q527" s="36">
        <f>Q526*1936.27</f>
        <v>37064118.290891998</v>
      </c>
      <c r="R527" s="7"/>
      <c r="S527" s="7"/>
      <c r="T527" s="7"/>
      <c r="U527" s="7"/>
      <c r="V527" s="7"/>
      <c r="W527" s="7"/>
      <c r="X527" s="7"/>
      <c r="Y527" s="7"/>
      <c r="Z527" s="7"/>
    </row>
    <row r="528" spans="1:26" ht="12.75" customHeight="1" x14ac:dyDescent="0.2">
      <c r="A528" s="95"/>
      <c r="B528" s="95"/>
      <c r="C528" s="40" t="s">
        <v>36</v>
      </c>
      <c r="D528" s="41">
        <v>21</v>
      </c>
      <c r="E528" s="42">
        <v>10809.96</v>
      </c>
      <c r="F528" s="42">
        <v>0</v>
      </c>
      <c r="G528" s="42">
        <v>0</v>
      </c>
      <c r="H528" s="42">
        <v>6280.06</v>
      </c>
      <c r="I528" s="42">
        <v>0</v>
      </c>
      <c r="J528" s="42">
        <v>1424.17</v>
      </c>
      <c r="K528" s="43">
        <v>17090.02</v>
      </c>
      <c r="L528" s="32">
        <v>18514.189999999999</v>
      </c>
      <c r="M528" s="33"/>
      <c r="N528" s="30">
        <v>17090.02</v>
      </c>
      <c r="O528" s="30">
        <v>10809.96</v>
      </c>
      <c r="P528" s="30"/>
      <c r="Q528" s="30">
        <f>(N528+O528*0.18+J528)+(IF((P528-O528*0.18)&gt;0,(P528-O528*0.18),0))</f>
        <v>20459.982799999998</v>
      </c>
      <c r="R528" s="7"/>
      <c r="S528" s="7"/>
      <c r="T528" s="7"/>
      <c r="U528" s="7"/>
      <c r="V528" s="7"/>
      <c r="W528" s="7"/>
      <c r="X528" s="7"/>
      <c r="Y528" s="7"/>
      <c r="Z528" s="7"/>
    </row>
    <row r="529" spans="1:26" ht="9" customHeight="1" x14ac:dyDescent="0.2">
      <c r="A529" s="95"/>
      <c r="B529" s="95"/>
      <c r="C529" s="34" t="s">
        <v>37</v>
      </c>
      <c r="D529" s="35">
        <v>27</v>
      </c>
      <c r="E529" s="36">
        <v>20931001</v>
      </c>
      <c r="F529" s="36">
        <v>0</v>
      </c>
      <c r="G529" s="36">
        <v>0</v>
      </c>
      <c r="H529" s="36">
        <v>12159892</v>
      </c>
      <c r="I529" s="36">
        <v>0</v>
      </c>
      <c r="J529" s="37">
        <v>2757578</v>
      </c>
      <c r="K529" s="36">
        <v>33090893</v>
      </c>
      <c r="L529" s="38">
        <v>35848471</v>
      </c>
      <c r="M529" s="39"/>
      <c r="N529" s="36">
        <v>33090893</v>
      </c>
      <c r="O529" s="36">
        <v>20931001</v>
      </c>
      <c r="P529" s="36">
        <v>0</v>
      </c>
      <c r="Q529" s="36">
        <f>Q528*1936.27</f>
        <v>39616050.896155998</v>
      </c>
      <c r="R529" s="7"/>
      <c r="S529" s="7"/>
      <c r="T529" s="7"/>
      <c r="U529" s="7"/>
      <c r="V529" s="7"/>
      <c r="W529" s="7"/>
      <c r="X529" s="7"/>
      <c r="Y529" s="7"/>
      <c r="Z529" s="7"/>
    </row>
    <row r="530" spans="1:26" ht="12.75" customHeight="1" x14ac:dyDescent="0.2">
      <c r="A530" s="95"/>
      <c r="B530" s="95"/>
      <c r="C530" s="40" t="s">
        <v>36</v>
      </c>
      <c r="D530" s="41">
        <v>28</v>
      </c>
      <c r="E530" s="42">
        <v>11553.66</v>
      </c>
      <c r="F530" s="42">
        <v>0</v>
      </c>
      <c r="G530" s="42">
        <v>0</v>
      </c>
      <c r="H530" s="42">
        <v>6280.06</v>
      </c>
      <c r="I530" s="42">
        <v>0</v>
      </c>
      <c r="J530" s="42">
        <v>1486.14</v>
      </c>
      <c r="K530" s="43">
        <v>17833.72</v>
      </c>
      <c r="L530" s="32">
        <v>19319.86</v>
      </c>
      <c r="M530" s="33"/>
      <c r="N530" s="30">
        <v>17833.72</v>
      </c>
      <c r="O530" s="30">
        <v>11553.66</v>
      </c>
      <c r="P530" s="30"/>
      <c r="Q530" s="30">
        <f>(N530+O530*0.18+J530)+(IF((P530-O530*0.18)&gt;0,(P530-O530*0.18),0))</f>
        <v>21399.518800000002</v>
      </c>
      <c r="R530" s="7"/>
      <c r="S530" s="7"/>
      <c r="T530" s="7"/>
      <c r="U530" s="7"/>
      <c r="V530" s="7"/>
      <c r="W530" s="7"/>
      <c r="X530" s="7"/>
      <c r="Y530" s="7"/>
      <c r="Z530" s="7"/>
    </row>
    <row r="531" spans="1:26" ht="9" customHeight="1" x14ac:dyDescent="0.2">
      <c r="A531" s="95"/>
      <c r="B531" s="95"/>
      <c r="C531" s="34" t="s">
        <v>37</v>
      </c>
      <c r="D531" s="35">
        <v>34</v>
      </c>
      <c r="E531" s="36">
        <v>22371005</v>
      </c>
      <c r="F531" s="36">
        <v>0</v>
      </c>
      <c r="G531" s="36">
        <v>0</v>
      </c>
      <c r="H531" s="36">
        <v>12159892</v>
      </c>
      <c r="I531" s="36">
        <v>0</v>
      </c>
      <c r="J531" s="37">
        <v>2877568</v>
      </c>
      <c r="K531" s="36">
        <v>34530897</v>
      </c>
      <c r="L531" s="38">
        <v>37408465</v>
      </c>
      <c r="M531" s="39"/>
      <c r="N531" s="36">
        <v>34530897</v>
      </c>
      <c r="O531" s="36">
        <v>22371005</v>
      </c>
      <c r="P531" s="36">
        <v>0</v>
      </c>
      <c r="Q531" s="36">
        <f>Q530*1936.27</f>
        <v>41435246.266876005</v>
      </c>
      <c r="R531" s="7"/>
      <c r="S531" s="7"/>
      <c r="T531" s="7"/>
      <c r="U531" s="7"/>
      <c r="V531" s="7"/>
      <c r="W531" s="7"/>
      <c r="X531" s="7"/>
      <c r="Y531" s="7"/>
      <c r="Z531" s="7"/>
    </row>
    <row r="532" spans="1:26" ht="12.75" customHeight="1" x14ac:dyDescent="0.2">
      <c r="A532" s="95"/>
      <c r="B532" s="95"/>
      <c r="C532" s="40" t="s">
        <v>36</v>
      </c>
      <c r="D532" s="41">
        <v>35</v>
      </c>
      <c r="E532" s="42">
        <v>12120.73</v>
      </c>
      <c r="F532" s="42">
        <v>0</v>
      </c>
      <c r="G532" s="42">
        <v>0</v>
      </c>
      <c r="H532" s="42">
        <v>6280.06</v>
      </c>
      <c r="I532" s="42">
        <v>0</v>
      </c>
      <c r="J532" s="42">
        <v>1533.4</v>
      </c>
      <c r="K532" s="43">
        <v>18400.79</v>
      </c>
      <c r="L532" s="32">
        <v>19934.189999999999</v>
      </c>
      <c r="M532" s="33"/>
      <c r="N532" s="30">
        <v>18400.79</v>
      </c>
      <c r="O532" s="30">
        <v>12120.73</v>
      </c>
      <c r="P532" s="30"/>
      <c r="Q532" s="30">
        <f>(N532+O532*0.18+J532)+(IF((P532-O532*0.18)&gt;0,(P532-O532*0.18),0))</f>
        <v>22115.921400000003</v>
      </c>
      <c r="R532" s="7"/>
      <c r="S532" s="7"/>
      <c r="T532" s="7"/>
      <c r="U532" s="7"/>
      <c r="V532" s="7"/>
      <c r="W532" s="7"/>
      <c r="X532" s="7"/>
      <c r="Y532" s="7"/>
      <c r="Z532" s="7"/>
    </row>
    <row r="533" spans="1:26" ht="9" customHeight="1" x14ac:dyDescent="0.2">
      <c r="A533" s="110"/>
      <c r="B533" s="110"/>
      <c r="C533" s="47" t="s">
        <v>37</v>
      </c>
      <c r="D533" s="48"/>
      <c r="E533" s="46">
        <v>23469006</v>
      </c>
      <c r="F533" s="46">
        <v>0</v>
      </c>
      <c r="G533" s="46">
        <v>0</v>
      </c>
      <c r="H533" s="46">
        <v>12159892</v>
      </c>
      <c r="I533" s="46">
        <v>0</v>
      </c>
      <c r="J533" s="49">
        <v>2969076</v>
      </c>
      <c r="K533" s="46">
        <v>35628898</v>
      </c>
      <c r="L533" s="38">
        <v>38597974</v>
      </c>
      <c r="M533" s="39"/>
      <c r="N533" s="36">
        <v>35628898</v>
      </c>
      <c r="O533" s="36">
        <v>23469006</v>
      </c>
      <c r="P533" s="36">
        <v>0</v>
      </c>
      <c r="Q533" s="36">
        <f>Q532*1936.27</f>
        <v>42822395.129178002</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98">
        <v>36770</v>
      </c>
      <c r="B540" s="98">
        <v>36891</v>
      </c>
      <c r="C540" s="28" t="s">
        <v>36</v>
      </c>
      <c r="D540" s="29">
        <v>0</v>
      </c>
      <c r="E540" s="30">
        <v>7334.2</v>
      </c>
      <c r="F540" s="30">
        <v>0</v>
      </c>
      <c r="G540" s="30">
        <v>0</v>
      </c>
      <c r="H540" s="30">
        <v>6280.06</v>
      </c>
      <c r="I540" s="30">
        <v>0</v>
      </c>
      <c r="J540" s="30">
        <v>1134.52</v>
      </c>
      <c r="K540" s="31">
        <v>13614.26</v>
      </c>
      <c r="L540" s="32">
        <v>14748.78</v>
      </c>
      <c r="M540" s="33"/>
      <c r="N540" s="30">
        <v>13614.26</v>
      </c>
      <c r="O540" s="30">
        <v>7334.2</v>
      </c>
      <c r="P540" s="30"/>
      <c r="Q540" s="30">
        <f>(N540+O540*0.18+J540)+(IF((P540-O540*0.18)&gt;0,(P540-O540*0.18),0))</f>
        <v>16068.936000000002</v>
      </c>
      <c r="R540" s="7"/>
      <c r="S540" s="7"/>
      <c r="T540" s="7"/>
      <c r="U540" s="7"/>
      <c r="V540" s="7"/>
      <c r="W540" s="7"/>
      <c r="X540" s="7"/>
      <c r="Y540" s="7"/>
      <c r="Z540" s="7"/>
    </row>
    <row r="541" spans="1:26" ht="9" customHeight="1" x14ac:dyDescent="0.2">
      <c r="A541" s="95"/>
      <c r="B541" s="95"/>
      <c r="C541" s="34" t="s">
        <v>37</v>
      </c>
      <c r="D541" s="35">
        <v>2</v>
      </c>
      <c r="E541" s="36">
        <v>14200991</v>
      </c>
      <c r="F541" s="36">
        <v>0</v>
      </c>
      <c r="G541" s="36">
        <v>0</v>
      </c>
      <c r="H541" s="36">
        <v>12159892</v>
      </c>
      <c r="I541" s="36">
        <v>0</v>
      </c>
      <c r="J541" s="37">
        <v>2196737</v>
      </c>
      <c r="K541" s="36">
        <v>26360883</v>
      </c>
      <c r="L541" s="38">
        <v>28557620</v>
      </c>
      <c r="M541" s="39"/>
      <c r="N541" s="36">
        <v>26360883</v>
      </c>
      <c r="O541" s="36">
        <v>14200991</v>
      </c>
      <c r="P541" s="36">
        <v>0</v>
      </c>
      <c r="Q541" s="36">
        <f>Q540*1936.27</f>
        <v>31113798.708720002</v>
      </c>
      <c r="R541" s="7"/>
      <c r="S541" s="7"/>
      <c r="T541" s="7"/>
      <c r="U541" s="7"/>
      <c r="V541" s="7"/>
      <c r="W541" s="7"/>
      <c r="X541" s="7"/>
      <c r="Y541" s="7"/>
      <c r="Z541" s="7"/>
    </row>
    <row r="542" spans="1:26" ht="12.75" customHeight="1" x14ac:dyDescent="0.2">
      <c r="A542" s="156">
        <v>36770</v>
      </c>
      <c r="B542" s="156">
        <v>36891</v>
      </c>
      <c r="C542" s="40" t="s">
        <v>36</v>
      </c>
      <c r="D542" s="41">
        <v>3</v>
      </c>
      <c r="E542" s="42">
        <v>7639.95</v>
      </c>
      <c r="F542" s="42">
        <v>0</v>
      </c>
      <c r="G542" s="42">
        <v>0</v>
      </c>
      <c r="H542" s="42">
        <v>6280.06</v>
      </c>
      <c r="I542" s="42">
        <v>0</v>
      </c>
      <c r="J542" s="42">
        <v>1160</v>
      </c>
      <c r="K542" s="43">
        <v>13920.01</v>
      </c>
      <c r="L542" s="32">
        <v>15080.01</v>
      </c>
      <c r="M542" s="33"/>
      <c r="N542" s="30">
        <v>13920.01</v>
      </c>
      <c r="O542" s="30">
        <v>7639.95</v>
      </c>
      <c r="P542" s="30"/>
      <c r="Q542" s="30">
        <f>(N542+O542*0.18+J542)+(IF((P542-O542*0.18)&gt;0,(P542-O542*0.18),0))</f>
        <v>16455.201000000001</v>
      </c>
      <c r="R542" s="7"/>
      <c r="S542" s="7"/>
      <c r="T542" s="7"/>
      <c r="U542" s="7"/>
      <c r="V542" s="7"/>
      <c r="W542" s="7"/>
      <c r="X542" s="7"/>
      <c r="Y542" s="7"/>
      <c r="Z542" s="7"/>
    </row>
    <row r="543" spans="1:26" ht="9" customHeight="1" x14ac:dyDescent="0.2">
      <c r="A543" s="95"/>
      <c r="B543" s="95"/>
      <c r="C543" s="34" t="s">
        <v>37</v>
      </c>
      <c r="D543" s="35">
        <v>8</v>
      </c>
      <c r="E543" s="36">
        <v>14793006</v>
      </c>
      <c r="F543" s="36">
        <v>0</v>
      </c>
      <c r="G543" s="36">
        <v>0</v>
      </c>
      <c r="H543" s="36">
        <v>12159892</v>
      </c>
      <c r="I543" s="36">
        <v>0</v>
      </c>
      <c r="J543" s="37">
        <v>2246073</v>
      </c>
      <c r="K543" s="36">
        <v>26952898</v>
      </c>
      <c r="L543" s="38">
        <v>29198971</v>
      </c>
      <c r="M543" s="39"/>
      <c r="N543" s="36">
        <v>26952898</v>
      </c>
      <c r="O543" s="36">
        <v>14793006</v>
      </c>
      <c r="P543" s="36">
        <v>0</v>
      </c>
      <c r="Q543" s="36">
        <f>Q542*1936.27</f>
        <v>31861712.040270001</v>
      </c>
      <c r="R543" s="7"/>
      <c r="S543" s="7"/>
      <c r="T543" s="7"/>
      <c r="U543" s="7"/>
      <c r="V543" s="7"/>
      <c r="W543" s="7"/>
      <c r="X543" s="7"/>
      <c r="Y543" s="7"/>
      <c r="Z543" s="7"/>
    </row>
    <row r="544" spans="1:26" ht="12.75" customHeight="1" x14ac:dyDescent="0.2">
      <c r="A544" s="95"/>
      <c r="B544" s="95"/>
      <c r="C544" s="40" t="s">
        <v>36</v>
      </c>
      <c r="D544" s="41">
        <v>9</v>
      </c>
      <c r="E544" s="42">
        <v>8735.8700000000008</v>
      </c>
      <c r="F544" s="42">
        <v>0</v>
      </c>
      <c r="G544" s="42">
        <v>0</v>
      </c>
      <c r="H544" s="42">
        <v>6280.06</v>
      </c>
      <c r="I544" s="42">
        <v>0</v>
      </c>
      <c r="J544" s="42">
        <v>1251.33</v>
      </c>
      <c r="K544" s="43">
        <v>15015.93</v>
      </c>
      <c r="L544" s="32">
        <v>16267.26</v>
      </c>
      <c r="M544" s="33"/>
      <c r="N544" s="30">
        <v>15015.93</v>
      </c>
      <c r="O544" s="30">
        <v>8735.8700000000008</v>
      </c>
      <c r="P544" s="30"/>
      <c r="Q544" s="30">
        <f>(N544+O544*0.18+J544)+(IF((P544-O544*0.18)&gt;0,(P544-O544*0.18),0))</f>
        <v>17839.7166</v>
      </c>
      <c r="R544" s="7"/>
      <c r="S544" s="7"/>
      <c r="T544" s="7"/>
      <c r="U544" s="7"/>
      <c r="V544" s="7"/>
      <c r="W544" s="7"/>
      <c r="X544" s="7"/>
      <c r="Y544" s="7"/>
      <c r="Z544" s="7"/>
    </row>
    <row r="545" spans="1:26" ht="9" customHeight="1" x14ac:dyDescent="0.2">
      <c r="A545" s="95"/>
      <c r="B545" s="95"/>
      <c r="C545" s="34" t="s">
        <v>37</v>
      </c>
      <c r="D545" s="35">
        <v>14</v>
      </c>
      <c r="E545" s="36">
        <v>16915003</v>
      </c>
      <c r="F545" s="36">
        <v>0</v>
      </c>
      <c r="G545" s="36">
        <v>0</v>
      </c>
      <c r="H545" s="36">
        <v>12159892</v>
      </c>
      <c r="I545" s="36">
        <v>0</v>
      </c>
      <c r="J545" s="37">
        <v>2422913</v>
      </c>
      <c r="K545" s="36">
        <v>29074895</v>
      </c>
      <c r="L545" s="38">
        <v>31497808</v>
      </c>
      <c r="M545" s="39"/>
      <c r="N545" s="36">
        <v>29074895</v>
      </c>
      <c r="O545" s="36">
        <v>16915003</v>
      </c>
      <c r="P545" s="36">
        <v>0</v>
      </c>
      <c r="Q545" s="36">
        <f>Q544*1936.27</f>
        <v>34542508.061081998</v>
      </c>
      <c r="R545" s="7"/>
      <c r="S545" s="7"/>
      <c r="T545" s="7"/>
      <c r="U545" s="7"/>
      <c r="V545" s="7"/>
      <c r="W545" s="7"/>
      <c r="X545" s="7"/>
      <c r="Y545" s="7"/>
      <c r="Z545" s="7"/>
    </row>
    <row r="546" spans="1:26" ht="12.75" customHeight="1" x14ac:dyDescent="0.2">
      <c r="A546" s="95"/>
      <c r="B546" s="95"/>
      <c r="C546" s="40" t="s">
        <v>36</v>
      </c>
      <c r="D546" s="41">
        <v>15</v>
      </c>
      <c r="E546" s="42">
        <v>9766.7199999999993</v>
      </c>
      <c r="F546" s="42">
        <v>0</v>
      </c>
      <c r="G546" s="42">
        <v>0</v>
      </c>
      <c r="H546" s="42">
        <v>6280.06</v>
      </c>
      <c r="I546" s="42">
        <v>0</v>
      </c>
      <c r="J546" s="42">
        <v>1337.23</v>
      </c>
      <c r="K546" s="43">
        <v>16046.78</v>
      </c>
      <c r="L546" s="32">
        <v>17384.009999999998</v>
      </c>
      <c r="M546" s="33"/>
      <c r="N546" s="30">
        <v>16046.78</v>
      </c>
      <c r="O546" s="30">
        <v>9766.7199999999993</v>
      </c>
      <c r="P546" s="30"/>
      <c r="Q546" s="30">
        <f>(N546+O546*0.18+J546)+(IF((P546-O546*0.18)&gt;0,(P546-O546*0.18),0))</f>
        <v>19142.0196</v>
      </c>
      <c r="R546" s="7"/>
      <c r="S546" s="7"/>
      <c r="T546" s="7"/>
      <c r="U546" s="7"/>
      <c r="V546" s="7"/>
      <c r="W546" s="7"/>
      <c r="X546" s="7"/>
      <c r="Y546" s="7"/>
      <c r="Z546" s="7"/>
    </row>
    <row r="547" spans="1:26" ht="9" customHeight="1" x14ac:dyDescent="0.2">
      <c r="A547" s="95"/>
      <c r="B547" s="95"/>
      <c r="C547" s="34" t="s">
        <v>37</v>
      </c>
      <c r="D547" s="35">
        <v>20</v>
      </c>
      <c r="E547" s="36">
        <v>18911007</v>
      </c>
      <c r="F547" s="36">
        <v>0</v>
      </c>
      <c r="G547" s="36">
        <v>0</v>
      </c>
      <c r="H547" s="36">
        <v>12159892</v>
      </c>
      <c r="I547" s="36">
        <v>0</v>
      </c>
      <c r="J547" s="37">
        <v>2589238</v>
      </c>
      <c r="K547" s="36">
        <v>31070899</v>
      </c>
      <c r="L547" s="38">
        <v>33660137</v>
      </c>
      <c r="M547" s="39"/>
      <c r="N547" s="36">
        <v>31070899</v>
      </c>
      <c r="O547" s="36">
        <v>18911007</v>
      </c>
      <c r="P547" s="36">
        <v>0</v>
      </c>
      <c r="Q547" s="36">
        <f>Q546*1936.27</f>
        <v>37064118.290891998</v>
      </c>
      <c r="R547" s="7"/>
      <c r="S547" s="7"/>
      <c r="T547" s="7"/>
      <c r="U547" s="7"/>
      <c r="V547" s="7"/>
      <c r="W547" s="7"/>
      <c r="X547" s="7"/>
      <c r="Y547" s="7"/>
      <c r="Z547" s="7"/>
    </row>
    <row r="548" spans="1:26" ht="12.75" customHeight="1" x14ac:dyDescent="0.2">
      <c r="A548" s="95"/>
      <c r="B548" s="95"/>
      <c r="C548" s="40" t="s">
        <v>36</v>
      </c>
      <c r="D548" s="41">
        <v>21</v>
      </c>
      <c r="E548" s="42">
        <v>10809.96</v>
      </c>
      <c r="F548" s="42">
        <v>0</v>
      </c>
      <c r="G548" s="42">
        <v>0</v>
      </c>
      <c r="H548" s="42">
        <v>6280.06</v>
      </c>
      <c r="I548" s="42">
        <v>0</v>
      </c>
      <c r="J548" s="42">
        <v>1424.17</v>
      </c>
      <c r="K548" s="43">
        <v>17090.02</v>
      </c>
      <c r="L548" s="32">
        <v>18514.189999999999</v>
      </c>
      <c r="M548" s="33"/>
      <c r="N548" s="30">
        <v>17090.02</v>
      </c>
      <c r="O548" s="30">
        <v>10809.96</v>
      </c>
      <c r="P548" s="30"/>
      <c r="Q548" s="30">
        <f>(N548+O548*0.18+J548)+(IF((P548-O548*0.18)&gt;0,(P548-O548*0.18),0))</f>
        <v>20459.982799999998</v>
      </c>
      <c r="R548" s="7"/>
      <c r="S548" s="7"/>
      <c r="T548" s="7"/>
      <c r="U548" s="7"/>
      <c r="V548" s="7"/>
      <c r="W548" s="7"/>
      <c r="X548" s="7"/>
      <c r="Y548" s="7"/>
      <c r="Z548" s="7"/>
    </row>
    <row r="549" spans="1:26" ht="9" customHeight="1" x14ac:dyDescent="0.2">
      <c r="A549" s="95"/>
      <c r="B549" s="95"/>
      <c r="C549" s="34" t="s">
        <v>37</v>
      </c>
      <c r="D549" s="35">
        <v>27</v>
      </c>
      <c r="E549" s="36">
        <v>20931001</v>
      </c>
      <c r="F549" s="36">
        <v>0</v>
      </c>
      <c r="G549" s="36">
        <v>0</v>
      </c>
      <c r="H549" s="36">
        <v>12159892</v>
      </c>
      <c r="I549" s="36">
        <v>0</v>
      </c>
      <c r="J549" s="37">
        <v>2757578</v>
      </c>
      <c r="K549" s="36">
        <v>33090893</v>
      </c>
      <c r="L549" s="38">
        <v>35848471</v>
      </c>
      <c r="M549" s="39"/>
      <c r="N549" s="36">
        <v>33090893</v>
      </c>
      <c r="O549" s="36">
        <v>20931001</v>
      </c>
      <c r="P549" s="36">
        <v>0</v>
      </c>
      <c r="Q549" s="36">
        <f>Q548*1936.27</f>
        <v>39616050.896155998</v>
      </c>
      <c r="R549" s="7"/>
      <c r="S549" s="7"/>
      <c r="T549" s="7"/>
      <c r="U549" s="7"/>
      <c r="V549" s="7"/>
      <c r="W549" s="7"/>
      <c r="X549" s="7"/>
      <c r="Y549" s="7"/>
      <c r="Z549" s="7"/>
    </row>
    <row r="550" spans="1:26" ht="12.75" customHeight="1" x14ac:dyDescent="0.2">
      <c r="A550" s="95"/>
      <c r="B550" s="95"/>
      <c r="C550" s="40" t="s">
        <v>36</v>
      </c>
      <c r="D550" s="41">
        <v>28</v>
      </c>
      <c r="E550" s="42">
        <v>11553.66</v>
      </c>
      <c r="F550" s="42">
        <v>0</v>
      </c>
      <c r="G550" s="42">
        <v>0</v>
      </c>
      <c r="H550" s="42">
        <v>6280.06</v>
      </c>
      <c r="I550" s="42">
        <v>0</v>
      </c>
      <c r="J550" s="42">
        <v>1486.14</v>
      </c>
      <c r="K550" s="43">
        <v>17833.72</v>
      </c>
      <c r="L550" s="32">
        <v>19319.86</v>
      </c>
      <c r="M550" s="33"/>
      <c r="N550" s="30">
        <v>17833.72</v>
      </c>
      <c r="O550" s="30">
        <v>11553.66</v>
      </c>
      <c r="P550" s="30"/>
      <c r="Q550" s="30">
        <f>(N550+O550*0.18+J550)+(IF((P550-O550*0.18)&gt;0,(P550-O550*0.18),0))</f>
        <v>21399.518800000002</v>
      </c>
      <c r="R550" s="7"/>
      <c r="S550" s="7"/>
      <c r="T550" s="7"/>
      <c r="U550" s="7"/>
      <c r="V550" s="7"/>
      <c r="W550" s="7"/>
      <c r="X550" s="7"/>
      <c r="Y550" s="7"/>
      <c r="Z550" s="7"/>
    </row>
    <row r="551" spans="1:26" ht="9" customHeight="1" x14ac:dyDescent="0.2">
      <c r="A551" s="95"/>
      <c r="B551" s="95"/>
      <c r="C551" s="34" t="s">
        <v>37</v>
      </c>
      <c r="D551" s="35">
        <v>34</v>
      </c>
      <c r="E551" s="36">
        <v>22371005</v>
      </c>
      <c r="F551" s="36">
        <v>0</v>
      </c>
      <c r="G551" s="36">
        <v>0</v>
      </c>
      <c r="H551" s="36">
        <v>12159892</v>
      </c>
      <c r="I551" s="36">
        <v>0</v>
      </c>
      <c r="J551" s="37">
        <v>2877568</v>
      </c>
      <c r="K551" s="36">
        <v>34530897</v>
      </c>
      <c r="L551" s="38">
        <v>37408465</v>
      </c>
      <c r="M551" s="39"/>
      <c r="N551" s="36">
        <v>34530897</v>
      </c>
      <c r="O551" s="36">
        <v>22371005</v>
      </c>
      <c r="P551" s="36">
        <v>0</v>
      </c>
      <c r="Q551" s="36">
        <f>Q550*1936.27</f>
        <v>41435246.266876005</v>
      </c>
      <c r="R551" s="7"/>
      <c r="S551" s="7"/>
      <c r="T551" s="7"/>
      <c r="U551" s="7"/>
      <c r="V551" s="7"/>
      <c r="W551" s="7"/>
      <c r="X551" s="7"/>
      <c r="Y551" s="7"/>
      <c r="Z551" s="7"/>
    </row>
    <row r="552" spans="1:26" ht="12.75" customHeight="1" x14ac:dyDescent="0.2">
      <c r="A552" s="95"/>
      <c r="B552" s="95"/>
      <c r="C552" s="40" t="s">
        <v>36</v>
      </c>
      <c r="D552" s="41">
        <v>35</v>
      </c>
      <c r="E552" s="42">
        <v>12120.73</v>
      </c>
      <c r="F552" s="42">
        <v>0</v>
      </c>
      <c r="G552" s="42">
        <v>0</v>
      </c>
      <c r="H552" s="42">
        <v>6280.06</v>
      </c>
      <c r="I552" s="42">
        <v>0</v>
      </c>
      <c r="J552" s="42">
        <v>1533.4</v>
      </c>
      <c r="K552" s="43">
        <v>18400.79</v>
      </c>
      <c r="L552" s="32">
        <v>19934.189999999999</v>
      </c>
      <c r="M552" s="33"/>
      <c r="N552" s="30">
        <v>18400.79</v>
      </c>
      <c r="O552" s="30">
        <v>12120.73</v>
      </c>
      <c r="P552" s="30"/>
      <c r="Q552" s="30">
        <f>(N552+O552*0.18+J552)+(IF((P552-O552*0.18)&gt;0,(P552-O552*0.18),0))</f>
        <v>22115.921400000003</v>
      </c>
      <c r="R552" s="7"/>
      <c r="S552" s="7"/>
      <c r="T552" s="7"/>
      <c r="U552" s="7"/>
      <c r="V552" s="7"/>
      <c r="W552" s="7"/>
      <c r="X552" s="7"/>
      <c r="Y552" s="7"/>
      <c r="Z552" s="7"/>
    </row>
    <row r="553" spans="1:26" ht="9" customHeight="1" x14ac:dyDescent="0.2">
      <c r="A553" s="110"/>
      <c r="B553" s="110"/>
      <c r="C553" s="47" t="s">
        <v>37</v>
      </c>
      <c r="D553" s="48"/>
      <c r="E553" s="46">
        <v>23469006</v>
      </c>
      <c r="F553" s="46">
        <v>0</v>
      </c>
      <c r="G553" s="46">
        <v>0</v>
      </c>
      <c r="H553" s="46">
        <v>12159892</v>
      </c>
      <c r="I553" s="46">
        <v>0</v>
      </c>
      <c r="J553" s="49">
        <v>2969076</v>
      </c>
      <c r="K553" s="46">
        <v>35628898</v>
      </c>
      <c r="L553" s="38">
        <v>38597974</v>
      </c>
      <c r="M553" s="39"/>
      <c r="N553" s="36">
        <v>35628898</v>
      </c>
      <c r="O553" s="36">
        <v>23469006</v>
      </c>
      <c r="P553" s="36">
        <v>0</v>
      </c>
      <c r="Q553" s="36">
        <f>Q552*1936.27</f>
        <v>42822395.129178002</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98">
        <v>36892</v>
      </c>
      <c r="B560" s="98">
        <v>37256</v>
      </c>
      <c r="C560" s="28" t="s">
        <v>36</v>
      </c>
      <c r="D560" s="29">
        <v>0</v>
      </c>
      <c r="E560" s="30">
        <v>7606.89</v>
      </c>
      <c r="F560" s="30">
        <v>0</v>
      </c>
      <c r="G560" s="30">
        <v>0</v>
      </c>
      <c r="H560" s="30">
        <v>6280.06</v>
      </c>
      <c r="I560" s="30">
        <v>0</v>
      </c>
      <c r="J560" s="30">
        <v>1157.25</v>
      </c>
      <c r="K560" s="31">
        <v>13886.95</v>
      </c>
      <c r="L560" s="32">
        <v>15044.2</v>
      </c>
      <c r="M560" s="33"/>
      <c r="N560" s="30">
        <v>13886.95</v>
      </c>
      <c r="O560" s="30">
        <v>7606.89</v>
      </c>
      <c r="P560" s="30">
        <v>501.96</v>
      </c>
      <c r="Q560" s="30">
        <f>(N560+O560*0.18+J560)+(IF((P560-O560*0.18)&gt;0,(P560-O560*0.18),0))</f>
        <v>16413.440200000001</v>
      </c>
      <c r="R560" s="7"/>
      <c r="S560" s="7"/>
      <c r="T560" s="7"/>
      <c r="U560" s="7"/>
      <c r="V560" s="7"/>
      <c r="W560" s="7"/>
      <c r="X560" s="7"/>
      <c r="Y560" s="7"/>
      <c r="Z560" s="7"/>
    </row>
    <row r="561" spans="1:26" ht="9" customHeight="1" x14ac:dyDescent="0.2">
      <c r="A561" s="95"/>
      <c r="B561" s="95"/>
      <c r="C561" s="34" t="s">
        <v>37</v>
      </c>
      <c r="D561" s="35">
        <v>2</v>
      </c>
      <c r="E561" s="36">
        <v>14728993</v>
      </c>
      <c r="F561" s="36">
        <v>0</v>
      </c>
      <c r="G561" s="36">
        <v>0</v>
      </c>
      <c r="H561" s="36">
        <v>12159892</v>
      </c>
      <c r="I561" s="36">
        <v>0</v>
      </c>
      <c r="J561" s="37">
        <v>2240748</v>
      </c>
      <c r="K561" s="36">
        <v>26888885</v>
      </c>
      <c r="L561" s="38">
        <v>29129633</v>
      </c>
      <c r="M561" s="39"/>
      <c r="N561" s="36">
        <v>26888885</v>
      </c>
      <c r="O561" s="36">
        <v>14728993</v>
      </c>
      <c r="P561" s="36">
        <v>971930</v>
      </c>
      <c r="Q561" s="36">
        <f>Q560*1936.27</f>
        <v>31780851.856054001</v>
      </c>
      <c r="R561" s="7"/>
      <c r="S561" s="7"/>
      <c r="T561" s="7"/>
      <c r="U561" s="7"/>
      <c r="V561" s="7"/>
      <c r="W561" s="7"/>
      <c r="X561" s="7"/>
      <c r="Y561" s="7"/>
      <c r="Z561" s="7"/>
    </row>
    <row r="562" spans="1:26" ht="12.75" customHeight="1" x14ac:dyDescent="0.2">
      <c r="A562" s="156">
        <v>36892</v>
      </c>
      <c r="B562" s="156">
        <v>37256</v>
      </c>
      <c r="C562" s="40" t="s">
        <v>36</v>
      </c>
      <c r="D562" s="41">
        <v>3</v>
      </c>
      <c r="E562" s="42">
        <v>7918.83</v>
      </c>
      <c r="F562" s="42">
        <v>0</v>
      </c>
      <c r="G562" s="42">
        <v>0</v>
      </c>
      <c r="H562" s="42">
        <v>6280.06</v>
      </c>
      <c r="I562" s="42">
        <v>0</v>
      </c>
      <c r="J562" s="42">
        <v>1183.24</v>
      </c>
      <c r="K562" s="43">
        <v>14198.89</v>
      </c>
      <c r="L562" s="32">
        <v>15382.13</v>
      </c>
      <c r="M562" s="33"/>
      <c r="N562" s="30">
        <v>14198.89</v>
      </c>
      <c r="O562" s="30">
        <v>7918.83</v>
      </c>
      <c r="P562" s="30">
        <v>501.96</v>
      </c>
      <c r="Q562" s="30">
        <f>(N562+O562*0.18+J562)+(IF((P562-O562*0.18)&gt;0,(P562-O562*0.18),0))</f>
        <v>16807.519400000001</v>
      </c>
      <c r="R562" s="7"/>
      <c r="S562" s="7"/>
      <c r="T562" s="7"/>
      <c r="U562" s="7"/>
      <c r="V562" s="7"/>
      <c r="W562" s="7"/>
      <c r="X562" s="7"/>
      <c r="Y562" s="7"/>
      <c r="Z562" s="7"/>
    </row>
    <row r="563" spans="1:26" ht="9" customHeight="1" x14ac:dyDescent="0.2">
      <c r="A563" s="95"/>
      <c r="B563" s="95"/>
      <c r="C563" s="34" t="s">
        <v>37</v>
      </c>
      <c r="D563" s="35">
        <v>8</v>
      </c>
      <c r="E563" s="36">
        <v>15332993</v>
      </c>
      <c r="F563" s="36">
        <v>0</v>
      </c>
      <c r="G563" s="36">
        <v>0</v>
      </c>
      <c r="H563" s="36">
        <v>12159892</v>
      </c>
      <c r="I563" s="36">
        <v>0</v>
      </c>
      <c r="J563" s="37">
        <v>2291072</v>
      </c>
      <c r="K563" s="36">
        <v>27492885</v>
      </c>
      <c r="L563" s="38">
        <v>29783957</v>
      </c>
      <c r="M563" s="39"/>
      <c r="N563" s="36">
        <v>27492885</v>
      </c>
      <c r="O563" s="36">
        <v>15332993</v>
      </c>
      <c r="P563" s="36">
        <v>971930</v>
      </c>
      <c r="Q563" s="36">
        <f>Q562*1936.27</f>
        <v>32543895.588638</v>
      </c>
      <c r="R563" s="7"/>
      <c r="S563" s="7"/>
      <c r="T563" s="7"/>
      <c r="U563" s="7"/>
      <c r="V563" s="7"/>
      <c r="W563" s="7"/>
      <c r="X563" s="7"/>
      <c r="Y563" s="7"/>
      <c r="Z563" s="7"/>
    </row>
    <row r="564" spans="1:26" ht="12.75" customHeight="1" x14ac:dyDescent="0.2">
      <c r="A564" s="95"/>
      <c r="B564" s="95"/>
      <c r="C564" s="40" t="s">
        <v>36</v>
      </c>
      <c r="D564" s="41">
        <v>9</v>
      </c>
      <c r="E564" s="42">
        <v>9033.35</v>
      </c>
      <c r="F564" s="42">
        <v>0</v>
      </c>
      <c r="G564" s="42">
        <v>0</v>
      </c>
      <c r="H564" s="42">
        <v>6280.06</v>
      </c>
      <c r="I564" s="42">
        <v>0</v>
      </c>
      <c r="J564" s="42">
        <v>1276.1199999999999</v>
      </c>
      <c r="K564" s="43">
        <v>15313.41</v>
      </c>
      <c r="L564" s="32">
        <v>16589.53</v>
      </c>
      <c r="M564" s="33"/>
      <c r="N564" s="30">
        <v>15313.41</v>
      </c>
      <c r="O564" s="30">
        <v>9033.35</v>
      </c>
      <c r="P564" s="30">
        <v>501.96</v>
      </c>
      <c r="Q564" s="30">
        <f>(N564+O564*0.18+J564)+(IF((P564-O564*0.18)&gt;0,(P564-O564*0.18),0))</f>
        <v>18215.532999999999</v>
      </c>
      <c r="R564" s="7"/>
      <c r="S564" s="7"/>
      <c r="T564" s="7"/>
      <c r="U564" s="7"/>
      <c r="V564" s="7"/>
      <c r="W564" s="7"/>
      <c r="X564" s="7"/>
      <c r="Y564" s="7"/>
      <c r="Z564" s="7"/>
    </row>
    <row r="565" spans="1:26" ht="9" customHeight="1" x14ac:dyDescent="0.2">
      <c r="A565" s="95"/>
      <c r="B565" s="95"/>
      <c r="C565" s="34" t="s">
        <v>37</v>
      </c>
      <c r="D565" s="35">
        <v>14</v>
      </c>
      <c r="E565" s="36">
        <v>17491005</v>
      </c>
      <c r="F565" s="36">
        <v>0</v>
      </c>
      <c r="G565" s="36">
        <v>0</v>
      </c>
      <c r="H565" s="36">
        <v>12159892</v>
      </c>
      <c r="I565" s="36">
        <v>0</v>
      </c>
      <c r="J565" s="37">
        <v>2470913</v>
      </c>
      <c r="K565" s="36">
        <v>29650896</v>
      </c>
      <c r="L565" s="38">
        <v>32121809</v>
      </c>
      <c r="M565" s="39"/>
      <c r="N565" s="36">
        <v>29650896</v>
      </c>
      <c r="O565" s="36">
        <v>17491005</v>
      </c>
      <c r="P565" s="36">
        <v>971930</v>
      </c>
      <c r="Q565" s="36">
        <f>Q564*1936.27</f>
        <v>35270190.081909999</v>
      </c>
      <c r="R565" s="7"/>
      <c r="S565" s="7"/>
      <c r="T565" s="7"/>
      <c r="U565" s="7"/>
      <c r="V565" s="7"/>
      <c r="W565" s="7"/>
      <c r="X565" s="7"/>
      <c r="Y565" s="7"/>
      <c r="Z565" s="7"/>
    </row>
    <row r="566" spans="1:26" ht="12.75" customHeight="1" x14ac:dyDescent="0.2">
      <c r="A566" s="95"/>
      <c r="B566" s="95"/>
      <c r="C566" s="40" t="s">
        <v>36</v>
      </c>
      <c r="D566" s="41">
        <v>15</v>
      </c>
      <c r="E566" s="42">
        <v>10088.99</v>
      </c>
      <c r="F566" s="42">
        <v>0</v>
      </c>
      <c r="G566" s="42">
        <v>0</v>
      </c>
      <c r="H566" s="42">
        <v>6280.06</v>
      </c>
      <c r="I566" s="42">
        <v>0</v>
      </c>
      <c r="J566" s="42">
        <v>1364.09</v>
      </c>
      <c r="K566" s="43">
        <v>16369.05</v>
      </c>
      <c r="L566" s="32">
        <v>17733.14</v>
      </c>
      <c r="M566" s="33"/>
      <c r="N566" s="30">
        <v>16369.05</v>
      </c>
      <c r="O566" s="30">
        <v>10088.99</v>
      </c>
      <c r="P566" s="30">
        <v>501.96</v>
      </c>
      <c r="Q566" s="30">
        <f>(N566+O566*0.18+J566)+(IF((P566-O566*0.18)&gt;0,(P566-O566*0.18),0))</f>
        <v>19549.158199999998</v>
      </c>
      <c r="R566" s="7"/>
      <c r="S566" s="7"/>
      <c r="T566" s="7"/>
      <c r="U566" s="7"/>
      <c r="V566" s="7"/>
      <c r="W566" s="7"/>
      <c r="X566" s="7"/>
      <c r="Y566" s="7"/>
      <c r="Z566" s="7"/>
    </row>
    <row r="567" spans="1:26" ht="9" customHeight="1" x14ac:dyDescent="0.2">
      <c r="A567" s="95"/>
      <c r="B567" s="95"/>
      <c r="C567" s="34" t="s">
        <v>37</v>
      </c>
      <c r="D567" s="35">
        <v>20</v>
      </c>
      <c r="E567" s="36">
        <v>19535009</v>
      </c>
      <c r="F567" s="36">
        <v>0</v>
      </c>
      <c r="G567" s="36">
        <v>0</v>
      </c>
      <c r="H567" s="36">
        <v>12159892</v>
      </c>
      <c r="I567" s="36">
        <v>0</v>
      </c>
      <c r="J567" s="37">
        <v>2641247</v>
      </c>
      <c r="K567" s="36">
        <v>31694900</v>
      </c>
      <c r="L567" s="38">
        <v>34336147</v>
      </c>
      <c r="M567" s="39"/>
      <c r="N567" s="36">
        <v>31694900</v>
      </c>
      <c r="O567" s="36">
        <v>19535009</v>
      </c>
      <c r="P567" s="36">
        <v>971930</v>
      </c>
      <c r="Q567" s="36">
        <f>Q566*1936.27</f>
        <v>37852448.547913998</v>
      </c>
      <c r="R567" s="7"/>
      <c r="S567" s="7"/>
      <c r="T567" s="7"/>
      <c r="U567" s="7"/>
      <c r="V567" s="7"/>
      <c r="W567" s="7"/>
      <c r="X567" s="7"/>
      <c r="Y567" s="7"/>
      <c r="Z567" s="7"/>
    </row>
    <row r="568" spans="1:26" ht="12.75" customHeight="1" x14ac:dyDescent="0.2">
      <c r="A568" s="95"/>
      <c r="B568" s="95"/>
      <c r="C568" s="40" t="s">
        <v>36</v>
      </c>
      <c r="D568" s="41">
        <v>21</v>
      </c>
      <c r="E568" s="42">
        <v>11150.82</v>
      </c>
      <c r="F568" s="42">
        <v>0</v>
      </c>
      <c r="G568" s="42">
        <v>0</v>
      </c>
      <c r="H568" s="42">
        <v>6280.06</v>
      </c>
      <c r="I568" s="42">
        <v>0</v>
      </c>
      <c r="J568" s="42">
        <v>1452.57</v>
      </c>
      <c r="K568" s="43">
        <v>17430.88</v>
      </c>
      <c r="L568" s="32">
        <v>18883.45</v>
      </c>
      <c r="M568" s="33"/>
      <c r="N568" s="30">
        <v>17430.88</v>
      </c>
      <c r="O568" s="30">
        <v>11150.82</v>
      </c>
      <c r="P568" s="30">
        <v>501.96</v>
      </c>
      <c r="Q568" s="30">
        <f>(N568+O568*0.18+J568)+(IF((P568-O568*0.18)&gt;0,(P568-O568*0.18),0))</f>
        <v>20890.597600000001</v>
      </c>
      <c r="R568" s="7"/>
      <c r="S568" s="7"/>
      <c r="T568" s="7"/>
      <c r="U568" s="7"/>
      <c r="V568" s="7"/>
      <c r="W568" s="7"/>
      <c r="X568" s="7"/>
      <c r="Y568" s="7"/>
      <c r="Z568" s="7"/>
    </row>
    <row r="569" spans="1:26" ht="9" customHeight="1" x14ac:dyDescent="0.2">
      <c r="A569" s="95"/>
      <c r="B569" s="95"/>
      <c r="C569" s="34" t="s">
        <v>37</v>
      </c>
      <c r="D569" s="35">
        <v>27</v>
      </c>
      <c r="E569" s="36">
        <v>21590998</v>
      </c>
      <c r="F569" s="36">
        <v>0</v>
      </c>
      <c r="G569" s="36">
        <v>0</v>
      </c>
      <c r="H569" s="36">
        <v>12159892</v>
      </c>
      <c r="I569" s="36">
        <v>0</v>
      </c>
      <c r="J569" s="37">
        <v>2812568</v>
      </c>
      <c r="K569" s="36">
        <v>33750890</v>
      </c>
      <c r="L569" s="38">
        <v>36563458</v>
      </c>
      <c r="M569" s="39"/>
      <c r="N569" s="36">
        <v>33750890</v>
      </c>
      <c r="O569" s="36">
        <v>21590998</v>
      </c>
      <c r="P569" s="36">
        <v>971930</v>
      </c>
      <c r="Q569" s="36">
        <f>Q568*1936.27</f>
        <v>40449837.414952002</v>
      </c>
      <c r="R569" s="7"/>
      <c r="S569" s="7"/>
      <c r="T569" s="7"/>
      <c r="U569" s="7"/>
      <c r="V569" s="7"/>
      <c r="W569" s="7"/>
      <c r="X569" s="7"/>
      <c r="Y569" s="7"/>
      <c r="Z569" s="7"/>
    </row>
    <row r="570" spans="1:26" ht="12.75" customHeight="1" x14ac:dyDescent="0.2">
      <c r="A570" s="95"/>
      <c r="B570" s="95"/>
      <c r="C570" s="40" t="s">
        <v>36</v>
      </c>
      <c r="D570" s="41">
        <v>28</v>
      </c>
      <c r="E570" s="42">
        <v>11906.91</v>
      </c>
      <c r="F570" s="42">
        <v>0</v>
      </c>
      <c r="G570" s="42">
        <v>0</v>
      </c>
      <c r="H570" s="42">
        <v>6280.06</v>
      </c>
      <c r="I570" s="42">
        <v>0</v>
      </c>
      <c r="J570" s="42">
        <v>1515.58</v>
      </c>
      <c r="K570" s="43">
        <v>18186.97</v>
      </c>
      <c r="L570" s="32">
        <v>19702.55</v>
      </c>
      <c r="M570" s="33"/>
      <c r="N570" s="30">
        <v>18186.97</v>
      </c>
      <c r="O570" s="30">
        <v>11906.91</v>
      </c>
      <c r="P570" s="30">
        <v>501.96</v>
      </c>
      <c r="Q570" s="30">
        <f>(N570+O570*0.18+J570)+(IF((P570-O570*0.18)&gt;0,(P570-O570*0.18),0))</f>
        <v>21845.793799999999</v>
      </c>
      <c r="R570" s="7"/>
      <c r="S570" s="7"/>
      <c r="T570" s="7"/>
      <c r="U570" s="7"/>
      <c r="V570" s="7"/>
      <c r="W570" s="7"/>
      <c r="X570" s="7"/>
      <c r="Y570" s="7"/>
      <c r="Z570" s="7"/>
    </row>
    <row r="571" spans="1:26" ht="9" customHeight="1" x14ac:dyDescent="0.2">
      <c r="A571" s="95"/>
      <c r="B571" s="95"/>
      <c r="C571" s="34" t="s">
        <v>37</v>
      </c>
      <c r="D571" s="35">
        <v>34</v>
      </c>
      <c r="E571" s="36">
        <v>23054993</v>
      </c>
      <c r="F571" s="36">
        <v>0</v>
      </c>
      <c r="G571" s="36">
        <v>0</v>
      </c>
      <c r="H571" s="36">
        <v>12159892</v>
      </c>
      <c r="I571" s="36">
        <v>0</v>
      </c>
      <c r="J571" s="37">
        <v>2934572</v>
      </c>
      <c r="K571" s="36">
        <v>35214884</v>
      </c>
      <c r="L571" s="38">
        <v>38149456</v>
      </c>
      <c r="M571" s="39"/>
      <c r="N571" s="36">
        <v>35214884</v>
      </c>
      <c r="O571" s="36">
        <v>23054993</v>
      </c>
      <c r="P571" s="36">
        <v>971930</v>
      </c>
      <c r="Q571" s="36">
        <f>Q570*1936.27</f>
        <v>42299355.161125995</v>
      </c>
      <c r="R571" s="7"/>
      <c r="S571" s="7"/>
      <c r="T571" s="7"/>
      <c r="U571" s="7"/>
      <c r="V571" s="7"/>
      <c r="W571" s="7"/>
      <c r="X571" s="7"/>
      <c r="Y571" s="7"/>
      <c r="Z571" s="7"/>
    </row>
    <row r="572" spans="1:26" ht="12.75" customHeight="1" x14ac:dyDescent="0.2">
      <c r="A572" s="95"/>
      <c r="B572" s="95"/>
      <c r="C572" s="40" t="s">
        <v>36</v>
      </c>
      <c r="D572" s="41">
        <v>35</v>
      </c>
      <c r="E572" s="42">
        <v>12486.38</v>
      </c>
      <c r="F572" s="42">
        <v>0</v>
      </c>
      <c r="G572" s="42">
        <v>0</v>
      </c>
      <c r="H572" s="42">
        <v>6280.06</v>
      </c>
      <c r="I572" s="42">
        <v>0</v>
      </c>
      <c r="J572" s="42">
        <v>1563.87</v>
      </c>
      <c r="K572" s="43">
        <v>18766.439999999999</v>
      </c>
      <c r="L572" s="32">
        <v>20330.310000000001</v>
      </c>
      <c r="M572" s="33"/>
      <c r="N572" s="30">
        <v>18766.439999999999</v>
      </c>
      <c r="O572" s="30">
        <v>12486.38</v>
      </c>
      <c r="P572" s="30">
        <v>501.96</v>
      </c>
      <c r="Q572" s="30">
        <f>(N572+O572*0.18+J572)+(IF((P572-O572*0.18)&gt;0,(P572-O572*0.18),0))</f>
        <v>22577.858399999997</v>
      </c>
      <c r="R572" s="7"/>
      <c r="S572" s="7"/>
      <c r="T572" s="7"/>
      <c r="U572" s="7"/>
      <c r="V572" s="7"/>
      <c r="W572" s="7"/>
      <c r="X572" s="7"/>
      <c r="Y572" s="7"/>
      <c r="Z572" s="7"/>
    </row>
    <row r="573" spans="1:26" ht="9" customHeight="1" x14ac:dyDescent="0.2">
      <c r="A573" s="110"/>
      <c r="B573" s="110"/>
      <c r="C573" s="47" t="s">
        <v>37</v>
      </c>
      <c r="D573" s="48"/>
      <c r="E573" s="46">
        <v>24177003</v>
      </c>
      <c r="F573" s="46">
        <v>0</v>
      </c>
      <c r="G573" s="46">
        <v>0</v>
      </c>
      <c r="H573" s="46">
        <v>12159892</v>
      </c>
      <c r="I573" s="46">
        <v>0</v>
      </c>
      <c r="J573" s="49">
        <v>3028075</v>
      </c>
      <c r="K573" s="46">
        <v>36336895</v>
      </c>
      <c r="L573" s="38">
        <v>39364969</v>
      </c>
      <c r="M573" s="39"/>
      <c r="N573" s="36">
        <v>36336895</v>
      </c>
      <c r="O573" s="36">
        <v>24177003</v>
      </c>
      <c r="P573" s="36">
        <v>971930</v>
      </c>
      <c r="Q573" s="36">
        <f>Q572*1936.27</f>
        <v>43716829.884167992</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12.75" customHeight="1" x14ac:dyDescent="0.2">
      <c r="A580" s="98">
        <v>37257</v>
      </c>
      <c r="B580" s="98">
        <v>37621</v>
      </c>
      <c r="C580" s="28" t="s">
        <v>36</v>
      </c>
      <c r="D580" s="29">
        <v>0</v>
      </c>
      <c r="E580" s="30">
        <v>7956.81</v>
      </c>
      <c r="F580" s="30">
        <v>0</v>
      </c>
      <c r="G580" s="30">
        <v>0</v>
      </c>
      <c r="H580" s="30">
        <v>6280.06</v>
      </c>
      <c r="I580" s="30">
        <v>0</v>
      </c>
      <c r="J580" s="30">
        <v>1186.4100000000001</v>
      </c>
      <c r="K580" s="31">
        <v>14236.87</v>
      </c>
      <c r="L580" s="32">
        <v>15423.28</v>
      </c>
      <c r="M580" s="33"/>
      <c r="N580" s="30">
        <v>14236.87</v>
      </c>
      <c r="O580" s="30">
        <v>7956.81</v>
      </c>
      <c r="P580" s="30">
        <v>537.96</v>
      </c>
      <c r="Q580" s="30">
        <f>(N580+O580*0.18+J580)+(IF((P580-O580*0.18)&gt;0,(P580-O580*0.18),0))</f>
        <v>16855.505800000003</v>
      </c>
      <c r="R580" s="7"/>
      <c r="S580" s="7"/>
      <c r="T580" s="7"/>
      <c r="U580" s="7"/>
      <c r="V580" s="7"/>
      <c r="W580" s="7"/>
      <c r="X580" s="7"/>
      <c r="Y580" s="7"/>
      <c r="Z580" s="7"/>
    </row>
    <row r="581" spans="1:26" ht="9" customHeight="1" x14ac:dyDescent="0.2">
      <c r="A581" s="95"/>
      <c r="B581" s="95"/>
      <c r="C581" s="34" t="s">
        <v>37</v>
      </c>
      <c r="D581" s="35">
        <v>2</v>
      </c>
      <c r="E581" s="36">
        <v>15406532</v>
      </c>
      <c r="F581" s="36">
        <v>0</v>
      </c>
      <c r="G581" s="36">
        <v>0</v>
      </c>
      <c r="H581" s="36">
        <v>12159892</v>
      </c>
      <c r="I581" s="36">
        <v>0</v>
      </c>
      <c r="J581" s="37">
        <v>2297210</v>
      </c>
      <c r="K581" s="36">
        <v>27566424</v>
      </c>
      <c r="L581" s="38">
        <v>29863634</v>
      </c>
      <c r="M581" s="39"/>
      <c r="N581" s="36">
        <v>27566424</v>
      </c>
      <c r="O581" s="36">
        <v>15406532</v>
      </c>
      <c r="P581" s="36">
        <v>1041636</v>
      </c>
      <c r="Q581" s="36">
        <f>Q580*1936.27</f>
        <v>32636810.215366006</v>
      </c>
      <c r="R581" s="7"/>
      <c r="S581" s="7"/>
      <c r="T581" s="7"/>
      <c r="U581" s="7"/>
      <c r="V581" s="7"/>
      <c r="W581" s="7"/>
      <c r="X581" s="7"/>
      <c r="Y581" s="7"/>
      <c r="Z581" s="7"/>
    </row>
    <row r="582" spans="1:26" ht="12.75" customHeight="1" x14ac:dyDescent="0.2">
      <c r="A582" s="156">
        <v>37257</v>
      </c>
      <c r="B582" s="156">
        <v>37621</v>
      </c>
      <c r="C582" s="40" t="s">
        <v>36</v>
      </c>
      <c r="D582" s="41">
        <v>3</v>
      </c>
      <c r="E582" s="42">
        <v>8276.67</v>
      </c>
      <c r="F582" s="42">
        <v>0</v>
      </c>
      <c r="G582" s="42">
        <v>0</v>
      </c>
      <c r="H582" s="42">
        <v>6280.06</v>
      </c>
      <c r="I582" s="42">
        <v>0</v>
      </c>
      <c r="J582" s="42">
        <v>1213.06</v>
      </c>
      <c r="K582" s="43">
        <v>14556.73</v>
      </c>
      <c r="L582" s="32">
        <v>15769.79</v>
      </c>
      <c r="M582" s="33"/>
      <c r="N582" s="30">
        <v>14556.73</v>
      </c>
      <c r="O582" s="30">
        <v>8276.67</v>
      </c>
      <c r="P582" s="30">
        <v>537.96</v>
      </c>
      <c r="Q582" s="30">
        <f>(N582+O582*0.18+J582)+(IF((P582-O582*0.18)&gt;0,(P582-O582*0.18),0))</f>
        <v>17259.5906</v>
      </c>
      <c r="R582" s="7"/>
      <c r="S582" s="7"/>
      <c r="T582" s="7"/>
      <c r="U582" s="7"/>
      <c r="V582" s="7"/>
      <c r="W582" s="7"/>
      <c r="X582" s="7"/>
      <c r="Y582" s="7"/>
      <c r="Z582" s="7"/>
    </row>
    <row r="583" spans="1:26" ht="9" customHeight="1" x14ac:dyDescent="0.2">
      <c r="A583" s="95"/>
      <c r="B583" s="95"/>
      <c r="C583" s="34" t="s">
        <v>37</v>
      </c>
      <c r="D583" s="35">
        <v>8</v>
      </c>
      <c r="E583" s="36">
        <v>16025868</v>
      </c>
      <c r="F583" s="36">
        <v>0</v>
      </c>
      <c r="G583" s="36">
        <v>0</v>
      </c>
      <c r="H583" s="36">
        <v>12159892</v>
      </c>
      <c r="I583" s="36">
        <v>0</v>
      </c>
      <c r="J583" s="37">
        <v>2348812</v>
      </c>
      <c r="K583" s="36">
        <v>28185760</v>
      </c>
      <c r="L583" s="38">
        <v>30534571</v>
      </c>
      <c r="M583" s="39"/>
      <c r="N583" s="36">
        <v>28185760</v>
      </c>
      <c r="O583" s="36">
        <v>16025868</v>
      </c>
      <c r="P583" s="36">
        <v>1041636</v>
      </c>
      <c r="Q583" s="36">
        <f>Q582*1936.27</f>
        <v>33419227.491062</v>
      </c>
      <c r="R583" s="7"/>
      <c r="S583" s="7"/>
      <c r="T583" s="7"/>
      <c r="U583" s="7"/>
      <c r="V583" s="7"/>
      <c r="W583" s="7"/>
      <c r="X583" s="7"/>
      <c r="Y583" s="7"/>
      <c r="Z583" s="7"/>
    </row>
    <row r="584" spans="1:26" ht="12.75" customHeight="1" x14ac:dyDescent="0.2">
      <c r="A584" s="95"/>
      <c r="B584" s="95"/>
      <c r="C584" s="40" t="s">
        <v>36</v>
      </c>
      <c r="D584" s="41">
        <v>9</v>
      </c>
      <c r="E584" s="42">
        <v>9419.27</v>
      </c>
      <c r="F584" s="42">
        <v>0</v>
      </c>
      <c r="G584" s="42">
        <v>0</v>
      </c>
      <c r="H584" s="42">
        <v>6280.06</v>
      </c>
      <c r="I584" s="42">
        <v>0</v>
      </c>
      <c r="J584" s="42">
        <v>1308.28</v>
      </c>
      <c r="K584" s="43">
        <v>15699.33</v>
      </c>
      <c r="L584" s="32">
        <v>17007.61</v>
      </c>
      <c r="M584" s="33"/>
      <c r="N584" s="30">
        <v>15699.33</v>
      </c>
      <c r="O584" s="30">
        <v>9419.27</v>
      </c>
      <c r="P584" s="30">
        <v>537.96</v>
      </c>
      <c r="Q584" s="30">
        <f>(N584+O584*0.18+J584)+(IF((P584-O584*0.18)&gt;0,(P584-O584*0.18),0))</f>
        <v>18703.078599999997</v>
      </c>
      <c r="R584" s="7"/>
      <c r="S584" s="7"/>
      <c r="T584" s="7"/>
      <c r="U584" s="7"/>
      <c r="V584" s="7"/>
      <c r="W584" s="7"/>
      <c r="X584" s="7"/>
      <c r="Y584" s="7"/>
      <c r="Z584" s="7"/>
    </row>
    <row r="585" spans="1:26" ht="9" customHeight="1" x14ac:dyDescent="0.2">
      <c r="A585" s="95"/>
      <c r="B585" s="95"/>
      <c r="C585" s="34" t="s">
        <v>37</v>
      </c>
      <c r="D585" s="35">
        <v>14</v>
      </c>
      <c r="E585" s="36">
        <v>18238250</v>
      </c>
      <c r="F585" s="36">
        <v>0</v>
      </c>
      <c r="G585" s="36">
        <v>0</v>
      </c>
      <c r="H585" s="36">
        <v>12159892</v>
      </c>
      <c r="I585" s="36">
        <v>0</v>
      </c>
      <c r="J585" s="37">
        <v>2533183</v>
      </c>
      <c r="K585" s="36">
        <v>30398142</v>
      </c>
      <c r="L585" s="38">
        <v>32931325</v>
      </c>
      <c r="M585" s="39"/>
      <c r="N585" s="36">
        <v>30398142</v>
      </c>
      <c r="O585" s="36">
        <v>18238250</v>
      </c>
      <c r="P585" s="36">
        <v>1041636</v>
      </c>
      <c r="Q585" s="36">
        <f>Q584*1936.27</f>
        <v>36214210.000821993</v>
      </c>
      <c r="R585" s="7"/>
      <c r="S585" s="7"/>
      <c r="T585" s="7"/>
      <c r="U585" s="7"/>
      <c r="V585" s="7"/>
      <c r="W585" s="7"/>
      <c r="X585" s="7"/>
      <c r="Y585" s="7"/>
      <c r="Z585" s="7"/>
    </row>
    <row r="586" spans="1:26" ht="12.75" customHeight="1" x14ac:dyDescent="0.2">
      <c r="A586" s="95"/>
      <c r="B586" s="95"/>
      <c r="C586" s="40" t="s">
        <v>36</v>
      </c>
      <c r="D586" s="41">
        <v>15</v>
      </c>
      <c r="E586" s="42">
        <v>10501.43</v>
      </c>
      <c r="F586" s="42">
        <v>0</v>
      </c>
      <c r="G586" s="42">
        <v>0</v>
      </c>
      <c r="H586" s="42">
        <v>6280.06</v>
      </c>
      <c r="I586" s="42">
        <v>0</v>
      </c>
      <c r="J586" s="42">
        <v>1398.46</v>
      </c>
      <c r="K586" s="43">
        <v>16781.490000000002</v>
      </c>
      <c r="L586" s="32">
        <v>18179.95</v>
      </c>
      <c r="M586" s="33"/>
      <c r="N586" s="30">
        <v>16781.490000000002</v>
      </c>
      <c r="O586" s="30">
        <v>10501.43</v>
      </c>
      <c r="P586" s="30">
        <v>537.96</v>
      </c>
      <c r="Q586" s="30">
        <f>(N586+O586*0.18+J586)+(IF((P586-O586*0.18)&gt;0,(P586-O586*0.18),0))</f>
        <v>20070.207399999999</v>
      </c>
      <c r="R586" s="7"/>
      <c r="S586" s="7"/>
      <c r="T586" s="7"/>
      <c r="U586" s="7"/>
      <c r="V586" s="7"/>
      <c r="W586" s="7"/>
      <c r="X586" s="7"/>
      <c r="Y586" s="7"/>
      <c r="Z586" s="7"/>
    </row>
    <row r="587" spans="1:26" ht="9" customHeight="1" x14ac:dyDescent="0.2">
      <c r="A587" s="95"/>
      <c r="B587" s="95"/>
      <c r="C587" s="34" t="s">
        <v>37</v>
      </c>
      <c r="D587" s="35">
        <v>20</v>
      </c>
      <c r="E587" s="36">
        <v>20333604</v>
      </c>
      <c r="F587" s="36">
        <v>0</v>
      </c>
      <c r="G587" s="36">
        <v>0</v>
      </c>
      <c r="H587" s="36">
        <v>12159892</v>
      </c>
      <c r="I587" s="36">
        <v>0</v>
      </c>
      <c r="J587" s="37">
        <v>2707796</v>
      </c>
      <c r="K587" s="36">
        <v>32493496</v>
      </c>
      <c r="L587" s="38">
        <v>35201292</v>
      </c>
      <c r="M587" s="39"/>
      <c r="N587" s="36">
        <v>32493496</v>
      </c>
      <c r="O587" s="36">
        <v>20333604</v>
      </c>
      <c r="P587" s="36">
        <v>1041636</v>
      </c>
      <c r="Q587" s="36">
        <f>Q586*1936.27</f>
        <v>38861340.482397996</v>
      </c>
      <c r="R587" s="7"/>
      <c r="S587" s="7"/>
      <c r="T587" s="7"/>
      <c r="U587" s="7"/>
      <c r="V587" s="7"/>
      <c r="W587" s="7"/>
      <c r="X587" s="7"/>
      <c r="Y587" s="7"/>
      <c r="Z587" s="7"/>
    </row>
    <row r="588" spans="1:26" ht="12.75" customHeight="1" x14ac:dyDescent="0.2">
      <c r="A588" s="95"/>
      <c r="B588" s="95"/>
      <c r="C588" s="40" t="s">
        <v>36</v>
      </c>
      <c r="D588" s="41">
        <v>21</v>
      </c>
      <c r="E588" s="42">
        <v>11590.02</v>
      </c>
      <c r="F588" s="42">
        <v>0</v>
      </c>
      <c r="G588" s="42">
        <v>0</v>
      </c>
      <c r="H588" s="42">
        <v>6280.06</v>
      </c>
      <c r="I588" s="42">
        <v>0</v>
      </c>
      <c r="J588" s="42">
        <v>1489.17</v>
      </c>
      <c r="K588" s="43">
        <v>17870.080000000002</v>
      </c>
      <c r="L588" s="32">
        <v>19359.25</v>
      </c>
      <c r="M588" s="33"/>
      <c r="N588" s="30">
        <v>17870.080000000002</v>
      </c>
      <c r="O588" s="30">
        <v>11590.02</v>
      </c>
      <c r="P588" s="30">
        <v>537.96</v>
      </c>
      <c r="Q588" s="30">
        <f>(N588+O588*0.18+J588)+(IF((P588-O588*0.18)&gt;0,(P588-O588*0.18),0))</f>
        <v>21445.453600000001</v>
      </c>
      <c r="R588" s="7"/>
      <c r="S588" s="7"/>
      <c r="T588" s="7"/>
      <c r="U588" s="7"/>
      <c r="V588" s="7"/>
      <c r="W588" s="7"/>
      <c r="X588" s="7"/>
      <c r="Y588" s="7"/>
      <c r="Z588" s="7"/>
    </row>
    <row r="589" spans="1:26" ht="9" customHeight="1" x14ac:dyDescent="0.2">
      <c r="A589" s="95"/>
      <c r="B589" s="95"/>
      <c r="C589" s="34" t="s">
        <v>37</v>
      </c>
      <c r="D589" s="35">
        <v>27</v>
      </c>
      <c r="E589" s="36">
        <v>22441408</v>
      </c>
      <c r="F589" s="36">
        <v>0</v>
      </c>
      <c r="G589" s="36">
        <v>0</v>
      </c>
      <c r="H589" s="36">
        <v>12159892</v>
      </c>
      <c r="I589" s="36">
        <v>0</v>
      </c>
      <c r="J589" s="37">
        <v>2883435</v>
      </c>
      <c r="K589" s="36">
        <v>34601300</v>
      </c>
      <c r="L589" s="38">
        <v>37484735</v>
      </c>
      <c r="M589" s="39"/>
      <c r="N589" s="36">
        <v>34601300</v>
      </c>
      <c r="O589" s="36">
        <v>22441408</v>
      </c>
      <c r="P589" s="36">
        <v>1041636</v>
      </c>
      <c r="Q589" s="36">
        <f>Q588*1936.27</f>
        <v>41524188.442072004</v>
      </c>
      <c r="R589" s="7"/>
      <c r="S589" s="7"/>
      <c r="T589" s="7"/>
      <c r="U589" s="7"/>
      <c r="V589" s="7"/>
      <c r="W589" s="7"/>
      <c r="X589" s="7"/>
      <c r="Y589" s="7"/>
      <c r="Z589" s="7"/>
    </row>
    <row r="590" spans="1:26" ht="12.75" customHeight="1" x14ac:dyDescent="0.2">
      <c r="A590" s="95"/>
      <c r="B590" s="95"/>
      <c r="C590" s="40" t="s">
        <v>36</v>
      </c>
      <c r="D590" s="41">
        <v>28</v>
      </c>
      <c r="E590" s="42">
        <v>12365.19</v>
      </c>
      <c r="F590" s="42">
        <v>0</v>
      </c>
      <c r="G590" s="42">
        <v>0</v>
      </c>
      <c r="H590" s="42">
        <v>6280.06</v>
      </c>
      <c r="I590" s="42">
        <v>0</v>
      </c>
      <c r="J590" s="42">
        <v>1553.77</v>
      </c>
      <c r="K590" s="43">
        <v>18645.25</v>
      </c>
      <c r="L590" s="32">
        <v>20199.02</v>
      </c>
      <c r="M590" s="33"/>
      <c r="N590" s="30">
        <v>18645.25</v>
      </c>
      <c r="O590" s="30">
        <v>12365.19</v>
      </c>
      <c r="P590" s="30">
        <v>537.96</v>
      </c>
      <c r="Q590" s="30">
        <f>(N590+O590*0.18+J590)+(IF((P590-O590*0.18)&gt;0,(P590-O590*0.18),0))</f>
        <v>22424.754199999999</v>
      </c>
      <c r="R590" s="7"/>
      <c r="S590" s="7"/>
      <c r="T590" s="7"/>
      <c r="U590" s="7"/>
      <c r="V590" s="7"/>
      <c r="W590" s="7"/>
      <c r="X590" s="7"/>
      <c r="Y590" s="7"/>
      <c r="Z590" s="7"/>
    </row>
    <row r="591" spans="1:26" ht="9" customHeight="1" x14ac:dyDescent="0.2">
      <c r="A591" s="95"/>
      <c r="B591" s="95"/>
      <c r="C591" s="34" t="s">
        <v>37</v>
      </c>
      <c r="D591" s="35">
        <v>34</v>
      </c>
      <c r="E591" s="36">
        <v>23942346</v>
      </c>
      <c r="F591" s="36">
        <v>0</v>
      </c>
      <c r="G591" s="36">
        <v>0</v>
      </c>
      <c r="H591" s="36">
        <v>12159892</v>
      </c>
      <c r="I591" s="36">
        <v>0</v>
      </c>
      <c r="J591" s="37">
        <v>3008518</v>
      </c>
      <c r="K591" s="36">
        <v>36102238</v>
      </c>
      <c r="L591" s="38">
        <v>39110756</v>
      </c>
      <c r="M591" s="39"/>
      <c r="N591" s="36">
        <v>36102238</v>
      </c>
      <c r="O591" s="36">
        <v>23942346</v>
      </c>
      <c r="P591" s="36">
        <v>1041636</v>
      </c>
      <c r="Q591" s="36">
        <f>Q590*1936.27</f>
        <v>43420378.814833999</v>
      </c>
      <c r="R591" s="7"/>
      <c r="S591" s="7"/>
      <c r="T591" s="7"/>
      <c r="U591" s="7"/>
      <c r="V591" s="7"/>
      <c r="W591" s="7"/>
      <c r="X591" s="7"/>
      <c r="Y591" s="7"/>
      <c r="Z591" s="7"/>
    </row>
    <row r="592" spans="1:26" ht="12.75" customHeight="1" x14ac:dyDescent="0.2">
      <c r="A592" s="95"/>
      <c r="B592" s="95"/>
      <c r="C592" s="40" t="s">
        <v>36</v>
      </c>
      <c r="D592" s="41">
        <v>35</v>
      </c>
      <c r="E592" s="42">
        <v>12959.3</v>
      </c>
      <c r="F592" s="42">
        <v>0</v>
      </c>
      <c r="G592" s="42">
        <v>0</v>
      </c>
      <c r="H592" s="42">
        <v>6280.06</v>
      </c>
      <c r="I592" s="42">
        <v>0</v>
      </c>
      <c r="J592" s="42">
        <v>1603.28</v>
      </c>
      <c r="K592" s="43">
        <v>19239.36</v>
      </c>
      <c r="L592" s="32">
        <v>20842.64</v>
      </c>
      <c r="M592" s="33"/>
      <c r="N592" s="30">
        <v>19239.36</v>
      </c>
      <c r="O592" s="30">
        <v>12959.3</v>
      </c>
      <c r="P592" s="30">
        <v>537.96</v>
      </c>
      <c r="Q592" s="30">
        <f>(N592+O592*0.18+J592)+(IF((P592-O592*0.18)&gt;0,(P592-O592*0.18),0))</f>
        <v>23175.313999999998</v>
      </c>
      <c r="R592" s="7"/>
      <c r="S592" s="7"/>
      <c r="T592" s="7"/>
      <c r="U592" s="7"/>
      <c r="V592" s="7"/>
      <c r="W592" s="7"/>
      <c r="X592" s="7"/>
      <c r="Y592" s="7"/>
      <c r="Z592" s="7"/>
    </row>
    <row r="593" spans="1:26" ht="9" customHeight="1" x14ac:dyDescent="0.2">
      <c r="A593" s="110"/>
      <c r="B593" s="110"/>
      <c r="C593" s="47" t="s">
        <v>37</v>
      </c>
      <c r="D593" s="48"/>
      <c r="E593" s="46">
        <v>25092704</v>
      </c>
      <c r="F593" s="46">
        <v>0</v>
      </c>
      <c r="G593" s="46">
        <v>0</v>
      </c>
      <c r="H593" s="46">
        <v>12159892</v>
      </c>
      <c r="I593" s="46">
        <v>0</v>
      </c>
      <c r="J593" s="49">
        <v>3104383</v>
      </c>
      <c r="K593" s="46">
        <v>37252596</v>
      </c>
      <c r="L593" s="38">
        <v>40356979</v>
      </c>
      <c r="M593" s="39"/>
      <c r="N593" s="36">
        <v>37252596</v>
      </c>
      <c r="O593" s="36">
        <v>25092704</v>
      </c>
      <c r="P593" s="36">
        <v>1041636</v>
      </c>
      <c r="Q593" s="36">
        <f>Q592*1936.27</f>
        <v>44873665.238779999</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96"/>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96"/>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96"/>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96"/>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96"/>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96"/>
      <c r="Q599" s="96"/>
      <c r="R599" s="7"/>
      <c r="S599" s="7"/>
      <c r="T599" s="7"/>
      <c r="U599" s="7"/>
      <c r="V599" s="7"/>
      <c r="W599" s="7"/>
      <c r="X599" s="7"/>
      <c r="Y599" s="7"/>
      <c r="Z599" s="7"/>
    </row>
    <row r="600" spans="1:26" ht="12.75" customHeight="1" x14ac:dyDescent="0.2">
      <c r="A600" s="98">
        <v>37622</v>
      </c>
      <c r="B600" s="98">
        <v>37986</v>
      </c>
      <c r="C600" s="28" t="s">
        <v>36</v>
      </c>
      <c r="D600" s="29">
        <v>0</v>
      </c>
      <c r="E600" s="30">
        <v>8315.85</v>
      </c>
      <c r="F600" s="30">
        <v>0</v>
      </c>
      <c r="G600" s="30">
        <v>0</v>
      </c>
      <c r="H600" s="30">
        <v>6280.06</v>
      </c>
      <c r="I600" s="30">
        <v>0</v>
      </c>
      <c r="J600" s="30">
        <v>1216.33</v>
      </c>
      <c r="K600" s="31">
        <v>14595.91</v>
      </c>
      <c r="L600" s="32">
        <v>15812.24</v>
      </c>
      <c r="M600" s="33"/>
      <c r="N600" s="30">
        <v>14595.91</v>
      </c>
      <c r="O600" s="30">
        <v>8315.85</v>
      </c>
      <c r="P600" s="30">
        <v>633.96</v>
      </c>
      <c r="Q600" s="30">
        <f>(N600+O600*0.18+J600)+(IF((P600-O600*0.18)&gt;0,(P600-O600*0.18),0))</f>
        <v>17309.093000000001</v>
      </c>
      <c r="R600" s="7"/>
      <c r="S600" s="7"/>
      <c r="T600" s="7"/>
      <c r="U600" s="7"/>
      <c r="V600" s="7"/>
      <c r="W600" s="7"/>
      <c r="X600" s="7"/>
      <c r="Y600" s="7"/>
      <c r="Z600" s="7"/>
    </row>
    <row r="601" spans="1:26" ht="9" customHeight="1" x14ac:dyDescent="0.2">
      <c r="A601" s="95"/>
      <c r="B601" s="95"/>
      <c r="C601" s="34" t="s">
        <v>37</v>
      </c>
      <c r="D601" s="35">
        <v>2</v>
      </c>
      <c r="E601" s="36">
        <v>16101731</v>
      </c>
      <c r="F601" s="36">
        <v>0</v>
      </c>
      <c r="G601" s="36">
        <v>0</v>
      </c>
      <c r="H601" s="36">
        <v>12159892</v>
      </c>
      <c r="I601" s="36">
        <v>0</v>
      </c>
      <c r="J601" s="37">
        <v>2355143</v>
      </c>
      <c r="K601" s="36">
        <v>28261623</v>
      </c>
      <c r="L601" s="38">
        <v>30616766</v>
      </c>
      <c r="M601" s="39"/>
      <c r="N601" s="36">
        <v>28261623</v>
      </c>
      <c r="O601" s="36">
        <v>16101731</v>
      </c>
      <c r="P601" s="36">
        <v>1227518</v>
      </c>
      <c r="Q601" s="36">
        <f>Q600*1936.27</f>
        <v>33515077.503110003</v>
      </c>
      <c r="R601" s="7"/>
      <c r="S601" s="7"/>
      <c r="T601" s="7"/>
      <c r="U601" s="7"/>
      <c r="V601" s="7"/>
      <c r="W601" s="7"/>
      <c r="X601" s="7"/>
      <c r="Y601" s="7"/>
      <c r="Z601" s="7"/>
    </row>
    <row r="602" spans="1:26" ht="12.75" customHeight="1" x14ac:dyDescent="0.2">
      <c r="A602" s="156">
        <v>37622</v>
      </c>
      <c r="B602" s="156">
        <v>37986</v>
      </c>
      <c r="C602" s="40" t="s">
        <v>36</v>
      </c>
      <c r="D602" s="41">
        <v>3</v>
      </c>
      <c r="E602" s="42">
        <v>8643.8700000000008</v>
      </c>
      <c r="F602" s="42">
        <v>0</v>
      </c>
      <c r="G602" s="42">
        <v>0</v>
      </c>
      <c r="H602" s="42">
        <v>6280.06</v>
      </c>
      <c r="I602" s="42">
        <v>0</v>
      </c>
      <c r="J602" s="42">
        <v>1243.6600000000001</v>
      </c>
      <c r="K602" s="43">
        <v>14923.93</v>
      </c>
      <c r="L602" s="32">
        <v>16167.59</v>
      </c>
      <c r="M602" s="33"/>
      <c r="N602" s="30">
        <v>14923.93</v>
      </c>
      <c r="O602" s="30">
        <v>8643.8700000000008</v>
      </c>
      <c r="P602" s="30">
        <v>633.96</v>
      </c>
      <c r="Q602" s="30">
        <f>(N602+O602*0.18+J602)+(IF((P602-O602*0.18)&gt;0,(P602-O602*0.18),0))</f>
        <v>17723.4866</v>
      </c>
      <c r="R602" s="7"/>
      <c r="S602" s="7"/>
      <c r="T602" s="7"/>
      <c r="U602" s="7"/>
      <c r="V602" s="7"/>
      <c r="W602" s="7"/>
      <c r="X602" s="7"/>
      <c r="Y602" s="7"/>
      <c r="Z602" s="7"/>
    </row>
    <row r="603" spans="1:26" ht="9" customHeight="1" x14ac:dyDescent="0.2">
      <c r="A603" s="95"/>
      <c r="B603" s="95"/>
      <c r="C603" s="34" t="s">
        <v>37</v>
      </c>
      <c r="D603" s="35">
        <v>8</v>
      </c>
      <c r="E603" s="36">
        <v>16736866</v>
      </c>
      <c r="F603" s="36">
        <v>0</v>
      </c>
      <c r="G603" s="36">
        <v>0</v>
      </c>
      <c r="H603" s="36">
        <v>12159892</v>
      </c>
      <c r="I603" s="36">
        <v>0</v>
      </c>
      <c r="J603" s="37">
        <v>2408062</v>
      </c>
      <c r="K603" s="36">
        <v>28896758</v>
      </c>
      <c r="L603" s="38">
        <v>31304819</v>
      </c>
      <c r="M603" s="39"/>
      <c r="N603" s="36">
        <v>28896758</v>
      </c>
      <c r="O603" s="36">
        <v>16736866</v>
      </c>
      <c r="P603" s="36">
        <v>1227518</v>
      </c>
      <c r="Q603" s="36">
        <f>Q602*1936.27</f>
        <v>34317455.398982003</v>
      </c>
      <c r="R603" s="7"/>
      <c r="S603" s="7"/>
      <c r="T603" s="7"/>
      <c r="U603" s="7"/>
      <c r="V603" s="7"/>
      <c r="W603" s="7"/>
      <c r="X603" s="7"/>
      <c r="Y603" s="7"/>
      <c r="Z603" s="7"/>
    </row>
    <row r="604" spans="1:26" ht="12.75" customHeight="1" x14ac:dyDescent="0.2">
      <c r="A604" s="95"/>
      <c r="B604" s="95"/>
      <c r="C604" s="40" t="s">
        <v>36</v>
      </c>
      <c r="D604" s="41">
        <v>9</v>
      </c>
      <c r="E604" s="42">
        <v>9815.27</v>
      </c>
      <c r="F604" s="42">
        <v>0</v>
      </c>
      <c r="G604" s="42">
        <v>0</v>
      </c>
      <c r="H604" s="42">
        <v>6280.06</v>
      </c>
      <c r="I604" s="42">
        <v>0</v>
      </c>
      <c r="J604" s="42">
        <v>1341.28</v>
      </c>
      <c r="K604" s="43">
        <v>16095.33</v>
      </c>
      <c r="L604" s="32">
        <v>17436.61</v>
      </c>
      <c r="M604" s="33"/>
      <c r="N604" s="30">
        <v>16095.33</v>
      </c>
      <c r="O604" s="30">
        <v>9815.27</v>
      </c>
      <c r="P604" s="30">
        <v>633.96</v>
      </c>
      <c r="Q604" s="30">
        <f>(N604+O604*0.18+J604)+(IF((P604-O604*0.18)&gt;0,(P604-O604*0.18),0))</f>
        <v>19203.3586</v>
      </c>
      <c r="R604" s="7"/>
      <c r="S604" s="7"/>
      <c r="T604" s="7"/>
      <c r="U604" s="7"/>
      <c r="V604" s="7"/>
      <c r="W604" s="7"/>
      <c r="X604" s="7"/>
      <c r="Y604" s="7"/>
      <c r="Z604" s="7"/>
    </row>
    <row r="605" spans="1:26" ht="9" customHeight="1" x14ac:dyDescent="0.2">
      <c r="A605" s="95"/>
      <c r="B605" s="95"/>
      <c r="C605" s="34" t="s">
        <v>37</v>
      </c>
      <c r="D605" s="35">
        <v>14</v>
      </c>
      <c r="E605" s="36">
        <v>19005013</v>
      </c>
      <c r="F605" s="36">
        <v>0</v>
      </c>
      <c r="G605" s="36">
        <v>0</v>
      </c>
      <c r="H605" s="36">
        <v>12159892</v>
      </c>
      <c r="I605" s="36">
        <v>0</v>
      </c>
      <c r="J605" s="37">
        <v>2597080</v>
      </c>
      <c r="K605" s="36">
        <v>31164905</v>
      </c>
      <c r="L605" s="38">
        <v>33761985</v>
      </c>
      <c r="M605" s="39"/>
      <c r="N605" s="36">
        <v>31164905</v>
      </c>
      <c r="O605" s="36">
        <v>19005013</v>
      </c>
      <c r="P605" s="36">
        <v>1227518</v>
      </c>
      <c r="Q605" s="36">
        <f>Q604*1936.27</f>
        <v>37182887.156421997</v>
      </c>
      <c r="R605" s="7"/>
      <c r="S605" s="7"/>
      <c r="T605" s="7"/>
      <c r="U605" s="7"/>
      <c r="V605" s="7"/>
      <c r="W605" s="7"/>
      <c r="X605" s="7"/>
      <c r="Y605" s="7"/>
      <c r="Z605" s="7"/>
    </row>
    <row r="606" spans="1:26" ht="12.75" customHeight="1" x14ac:dyDescent="0.2">
      <c r="A606" s="95"/>
      <c r="B606" s="95"/>
      <c r="C606" s="40" t="s">
        <v>36</v>
      </c>
      <c r="D606" s="41">
        <v>15</v>
      </c>
      <c r="E606" s="42">
        <v>10924.67</v>
      </c>
      <c r="F606" s="42">
        <v>0</v>
      </c>
      <c r="G606" s="42">
        <v>0</v>
      </c>
      <c r="H606" s="42">
        <v>6280.06</v>
      </c>
      <c r="I606" s="42">
        <v>0</v>
      </c>
      <c r="J606" s="42">
        <v>1433.73</v>
      </c>
      <c r="K606" s="43">
        <v>17204.73</v>
      </c>
      <c r="L606" s="32">
        <v>18638.46</v>
      </c>
      <c r="M606" s="33"/>
      <c r="N606" s="30">
        <v>17204.73</v>
      </c>
      <c r="O606" s="30">
        <v>10924.67</v>
      </c>
      <c r="P606" s="30">
        <v>633.96</v>
      </c>
      <c r="Q606" s="30">
        <f>(N606+O606*0.18+J606)+(IF((P606-O606*0.18)&gt;0,(P606-O606*0.18),0))</f>
        <v>20604.900599999997</v>
      </c>
      <c r="R606" s="7"/>
      <c r="S606" s="7"/>
      <c r="T606" s="7"/>
      <c r="U606" s="7"/>
      <c r="V606" s="7"/>
      <c r="W606" s="7"/>
      <c r="X606" s="7"/>
      <c r="Y606" s="7"/>
      <c r="Z606" s="7"/>
    </row>
    <row r="607" spans="1:26" ht="9" customHeight="1" x14ac:dyDescent="0.2">
      <c r="A607" s="95"/>
      <c r="B607" s="95"/>
      <c r="C607" s="34" t="s">
        <v>37</v>
      </c>
      <c r="D607" s="35">
        <v>20</v>
      </c>
      <c r="E607" s="36">
        <v>21153111</v>
      </c>
      <c r="F607" s="36">
        <v>0</v>
      </c>
      <c r="G607" s="36">
        <v>0</v>
      </c>
      <c r="H607" s="36">
        <v>12159892</v>
      </c>
      <c r="I607" s="36">
        <v>0</v>
      </c>
      <c r="J607" s="37">
        <v>2776088</v>
      </c>
      <c r="K607" s="36">
        <v>33313003</v>
      </c>
      <c r="L607" s="38">
        <v>36089091</v>
      </c>
      <c r="M607" s="39"/>
      <c r="N607" s="36">
        <v>33313003</v>
      </c>
      <c r="O607" s="36">
        <v>21153111</v>
      </c>
      <c r="P607" s="36">
        <v>1227518</v>
      </c>
      <c r="Q607" s="36">
        <f>Q606*1936.27</f>
        <v>39896650.884761997</v>
      </c>
      <c r="R607" s="7"/>
      <c r="S607" s="7"/>
      <c r="T607" s="7"/>
      <c r="U607" s="7"/>
      <c r="V607" s="7"/>
      <c r="W607" s="7"/>
      <c r="X607" s="7"/>
      <c r="Y607" s="7"/>
      <c r="Z607" s="7"/>
    </row>
    <row r="608" spans="1:26" ht="12.75" customHeight="1" x14ac:dyDescent="0.2">
      <c r="A608" s="95"/>
      <c r="B608" s="95"/>
      <c r="C608" s="40" t="s">
        <v>36</v>
      </c>
      <c r="D608" s="41">
        <v>21</v>
      </c>
      <c r="E608" s="42">
        <v>12040.74</v>
      </c>
      <c r="F608" s="42">
        <v>0</v>
      </c>
      <c r="G608" s="42">
        <v>0</v>
      </c>
      <c r="H608" s="42">
        <v>6280.06</v>
      </c>
      <c r="I608" s="42">
        <v>0</v>
      </c>
      <c r="J608" s="42">
        <v>1526.73</v>
      </c>
      <c r="K608" s="43">
        <v>18320.8</v>
      </c>
      <c r="L608" s="32">
        <v>19847.53</v>
      </c>
      <c r="M608" s="33"/>
      <c r="N608" s="30">
        <v>18320.8</v>
      </c>
      <c r="O608" s="30">
        <v>12040.74</v>
      </c>
      <c r="P608" s="30">
        <v>633.96</v>
      </c>
      <c r="Q608" s="30">
        <f>(N608+O608*0.18+J608)+(IF((P608-O608*0.18)&gt;0,(P608-O608*0.18),0))</f>
        <v>22014.8632</v>
      </c>
      <c r="R608" s="7"/>
      <c r="S608" s="7"/>
      <c r="T608" s="7"/>
      <c r="U608" s="7"/>
      <c r="V608" s="7"/>
      <c r="W608" s="7"/>
      <c r="X608" s="7"/>
      <c r="Y608" s="7"/>
      <c r="Z608" s="7"/>
    </row>
    <row r="609" spans="1:26" ht="9" customHeight="1" x14ac:dyDescent="0.2">
      <c r="A609" s="95"/>
      <c r="B609" s="95"/>
      <c r="C609" s="34" t="s">
        <v>37</v>
      </c>
      <c r="D609" s="35">
        <v>27</v>
      </c>
      <c r="E609" s="36">
        <v>23314124</v>
      </c>
      <c r="F609" s="36">
        <v>0</v>
      </c>
      <c r="G609" s="36">
        <v>0</v>
      </c>
      <c r="H609" s="36">
        <v>12159892</v>
      </c>
      <c r="I609" s="36">
        <v>0</v>
      </c>
      <c r="J609" s="37">
        <v>2956161</v>
      </c>
      <c r="K609" s="36">
        <v>35474015</v>
      </c>
      <c r="L609" s="38">
        <v>38430177</v>
      </c>
      <c r="M609" s="39"/>
      <c r="N609" s="36">
        <v>35474015</v>
      </c>
      <c r="O609" s="36">
        <v>23314124</v>
      </c>
      <c r="P609" s="36">
        <v>1227518</v>
      </c>
      <c r="Q609" s="36">
        <f>Q608*1936.27</f>
        <v>42626719.168264002</v>
      </c>
      <c r="R609" s="7"/>
      <c r="S609" s="7"/>
      <c r="T609" s="7"/>
      <c r="U609" s="7"/>
      <c r="V609" s="7"/>
      <c r="W609" s="7"/>
      <c r="X609" s="7"/>
      <c r="Y609" s="7"/>
      <c r="Z609" s="7"/>
    </row>
    <row r="610" spans="1:26" ht="12.75" customHeight="1" x14ac:dyDescent="0.2">
      <c r="A610" s="95"/>
      <c r="B610" s="95"/>
      <c r="C610" s="40" t="s">
        <v>36</v>
      </c>
      <c r="D610" s="41">
        <v>28</v>
      </c>
      <c r="E610" s="42">
        <v>12835.47</v>
      </c>
      <c r="F610" s="42">
        <v>0</v>
      </c>
      <c r="G610" s="42">
        <v>0</v>
      </c>
      <c r="H610" s="42">
        <v>6280.06</v>
      </c>
      <c r="I610" s="42">
        <v>0</v>
      </c>
      <c r="J610" s="42">
        <v>1592.96</v>
      </c>
      <c r="K610" s="43">
        <v>19115.53</v>
      </c>
      <c r="L610" s="32">
        <v>20708.490000000002</v>
      </c>
      <c r="M610" s="33"/>
      <c r="N610" s="30">
        <v>19115.53</v>
      </c>
      <c r="O610" s="30">
        <v>12835.47</v>
      </c>
      <c r="P610" s="30">
        <v>633.96</v>
      </c>
      <c r="Q610" s="30">
        <f>(N610+O610*0.18+J610)+(IF((P610-O610*0.18)&gt;0,(P610-O610*0.18),0))</f>
        <v>23018.874599999999</v>
      </c>
      <c r="R610" s="7"/>
      <c r="S610" s="7"/>
      <c r="T610" s="7"/>
      <c r="U610" s="7"/>
      <c r="V610" s="7"/>
      <c r="W610" s="7"/>
      <c r="X610" s="7"/>
      <c r="Y610" s="7"/>
      <c r="Z610" s="7"/>
    </row>
    <row r="611" spans="1:26" ht="9" customHeight="1" x14ac:dyDescent="0.2">
      <c r="A611" s="95"/>
      <c r="B611" s="95"/>
      <c r="C611" s="34" t="s">
        <v>37</v>
      </c>
      <c r="D611" s="35">
        <v>34</v>
      </c>
      <c r="E611" s="36">
        <v>24852935</v>
      </c>
      <c r="F611" s="36">
        <v>0</v>
      </c>
      <c r="G611" s="36">
        <v>0</v>
      </c>
      <c r="H611" s="36">
        <v>12159892</v>
      </c>
      <c r="I611" s="36">
        <v>0</v>
      </c>
      <c r="J611" s="37">
        <v>3084401</v>
      </c>
      <c r="K611" s="36">
        <v>37012827</v>
      </c>
      <c r="L611" s="38">
        <v>40097228</v>
      </c>
      <c r="M611" s="39"/>
      <c r="N611" s="36">
        <v>37012827</v>
      </c>
      <c r="O611" s="36">
        <v>24852935</v>
      </c>
      <c r="P611" s="36">
        <v>1227518</v>
      </c>
      <c r="Q611" s="36">
        <f>Q610*1936.27</f>
        <v>44570756.321741998</v>
      </c>
      <c r="R611" s="7"/>
      <c r="S611" s="7"/>
      <c r="T611" s="7"/>
      <c r="U611" s="7"/>
      <c r="V611" s="7"/>
      <c r="W611" s="7"/>
      <c r="X611" s="7"/>
      <c r="Y611" s="7"/>
      <c r="Z611" s="7"/>
    </row>
    <row r="612" spans="1:26" ht="12.75" customHeight="1" x14ac:dyDescent="0.2">
      <c r="A612" s="95"/>
      <c r="B612" s="95"/>
      <c r="C612" s="40" t="s">
        <v>36</v>
      </c>
      <c r="D612" s="41">
        <v>35</v>
      </c>
      <c r="E612" s="42">
        <v>13444.58</v>
      </c>
      <c r="F612" s="42">
        <v>0</v>
      </c>
      <c r="G612" s="42">
        <v>0</v>
      </c>
      <c r="H612" s="42">
        <v>6280.06</v>
      </c>
      <c r="I612" s="42">
        <v>0</v>
      </c>
      <c r="J612" s="42">
        <v>1643.72</v>
      </c>
      <c r="K612" s="43">
        <v>19724.64</v>
      </c>
      <c r="L612" s="32">
        <v>21368.36</v>
      </c>
      <c r="M612" s="33"/>
      <c r="N612" s="30">
        <v>19724.64</v>
      </c>
      <c r="O612" s="30">
        <v>13444.58</v>
      </c>
      <c r="P612" s="30">
        <v>633.96</v>
      </c>
      <c r="Q612" s="30">
        <f>(N612+O612*0.18+J612)+(IF((P612-O612*0.18)&gt;0,(P612-O612*0.18),0))</f>
        <v>23788.384399999999</v>
      </c>
      <c r="R612" s="7"/>
      <c r="S612" s="7"/>
      <c r="T612" s="7"/>
      <c r="U612" s="7"/>
      <c r="V612" s="7"/>
      <c r="W612" s="7"/>
      <c r="X612" s="7"/>
      <c r="Y612" s="7"/>
      <c r="Z612" s="7"/>
    </row>
    <row r="613" spans="1:26" ht="9" customHeight="1" x14ac:dyDescent="0.2">
      <c r="A613" s="110"/>
      <c r="B613" s="110"/>
      <c r="C613" s="47" t="s">
        <v>37</v>
      </c>
      <c r="D613" s="48"/>
      <c r="E613" s="46">
        <v>26032337</v>
      </c>
      <c r="F613" s="46">
        <v>0</v>
      </c>
      <c r="G613" s="46">
        <v>0</v>
      </c>
      <c r="H613" s="46">
        <v>12159892</v>
      </c>
      <c r="I613" s="46">
        <v>0</v>
      </c>
      <c r="J613" s="49">
        <v>3182686</v>
      </c>
      <c r="K613" s="46">
        <v>38192229</v>
      </c>
      <c r="L613" s="38">
        <v>41374914</v>
      </c>
      <c r="M613" s="39"/>
      <c r="N613" s="36">
        <v>38192229</v>
      </c>
      <c r="O613" s="36">
        <v>26032337</v>
      </c>
      <c r="P613" s="36">
        <v>1227518</v>
      </c>
      <c r="Q613" s="36">
        <f>Q612*1936.27</f>
        <v>46060735.062187999</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98">
        <v>37987</v>
      </c>
      <c r="B620" s="98">
        <v>38383</v>
      </c>
      <c r="C620" s="28" t="s">
        <v>36</v>
      </c>
      <c r="D620" s="29">
        <v>0</v>
      </c>
      <c r="E620" s="30">
        <v>8624.01</v>
      </c>
      <c r="F620" s="30">
        <v>0</v>
      </c>
      <c r="G620" s="30">
        <v>0</v>
      </c>
      <c r="H620" s="30">
        <v>6280.06</v>
      </c>
      <c r="I620" s="30">
        <v>0</v>
      </c>
      <c r="J620" s="30">
        <v>1242.01</v>
      </c>
      <c r="K620" s="31">
        <v>14904.07</v>
      </c>
      <c r="L620" s="32">
        <v>16146.08</v>
      </c>
      <c r="M620" s="33"/>
      <c r="N620" s="30">
        <v>14904.07</v>
      </c>
      <c r="O620" s="30">
        <v>8624.01</v>
      </c>
      <c r="P620" s="30">
        <v>633.96</v>
      </c>
      <c r="Q620" s="30">
        <f>(N620+O620*0.18+J620)+(IF((P620-O620*0.18)&gt;0,(P620-O620*0.18),0))</f>
        <v>17698.4018</v>
      </c>
      <c r="R620" s="7"/>
      <c r="S620" s="7"/>
      <c r="T620" s="7"/>
      <c r="U620" s="7"/>
      <c r="V620" s="7"/>
      <c r="W620" s="7"/>
      <c r="X620" s="7"/>
      <c r="Y620" s="7"/>
      <c r="Z620" s="7"/>
    </row>
    <row r="621" spans="1:26" ht="9" customHeight="1" x14ac:dyDescent="0.2">
      <c r="A621" s="95"/>
      <c r="B621" s="95"/>
      <c r="C621" s="34" t="s">
        <v>37</v>
      </c>
      <c r="D621" s="35">
        <v>2</v>
      </c>
      <c r="E621" s="36">
        <v>16698412</v>
      </c>
      <c r="F621" s="36">
        <v>0</v>
      </c>
      <c r="G621" s="36">
        <v>0</v>
      </c>
      <c r="H621" s="36">
        <v>12159892</v>
      </c>
      <c r="I621" s="36">
        <v>0</v>
      </c>
      <c r="J621" s="37">
        <v>2404867</v>
      </c>
      <c r="K621" s="36">
        <v>28858304</v>
      </c>
      <c r="L621" s="38">
        <v>31263170</v>
      </c>
      <c r="M621" s="39"/>
      <c r="N621" s="36">
        <v>28858304</v>
      </c>
      <c r="O621" s="36">
        <v>16698412</v>
      </c>
      <c r="P621" s="36">
        <v>1227518</v>
      </c>
      <c r="Q621" s="36">
        <f>Q620*1936.27</f>
        <v>34268884.453286</v>
      </c>
      <c r="R621" s="7"/>
      <c r="S621" s="7"/>
      <c r="T621" s="7"/>
      <c r="U621" s="7"/>
      <c r="V621" s="7"/>
      <c r="W621" s="7"/>
      <c r="X621" s="7"/>
      <c r="Y621" s="7"/>
      <c r="Z621" s="7"/>
    </row>
    <row r="622" spans="1:26" ht="12.75" customHeight="1" x14ac:dyDescent="0.2">
      <c r="A622" s="156">
        <v>37987</v>
      </c>
      <c r="B622" s="156">
        <v>38383</v>
      </c>
      <c r="C622" s="40" t="s">
        <v>36</v>
      </c>
      <c r="D622" s="41">
        <v>3</v>
      </c>
      <c r="E622" s="42">
        <v>8958.99</v>
      </c>
      <c r="F622" s="42">
        <v>0</v>
      </c>
      <c r="G622" s="42">
        <v>0</v>
      </c>
      <c r="H622" s="42">
        <v>6280.06</v>
      </c>
      <c r="I622" s="42">
        <v>0</v>
      </c>
      <c r="J622" s="42">
        <v>1269.92</v>
      </c>
      <c r="K622" s="43">
        <v>15239.05</v>
      </c>
      <c r="L622" s="32">
        <v>16508.97</v>
      </c>
      <c r="M622" s="33"/>
      <c r="N622" s="30">
        <v>15239.05</v>
      </c>
      <c r="O622" s="30">
        <v>8958.99</v>
      </c>
      <c r="P622" s="30">
        <v>633.96</v>
      </c>
      <c r="Q622" s="30">
        <f>(N622+O622*0.18+J622)+(IF((P622-O622*0.18)&gt;0,(P622-O622*0.18),0))</f>
        <v>18121.588199999998</v>
      </c>
      <c r="R622" s="7"/>
      <c r="S622" s="7"/>
      <c r="T622" s="7"/>
      <c r="U622" s="7"/>
      <c r="V622" s="7"/>
      <c r="W622" s="7"/>
      <c r="X622" s="7"/>
      <c r="Y622" s="7"/>
      <c r="Z622" s="7"/>
    </row>
    <row r="623" spans="1:26" ht="9" customHeight="1" x14ac:dyDescent="0.2">
      <c r="A623" s="95"/>
      <c r="B623" s="95"/>
      <c r="C623" s="34" t="s">
        <v>37</v>
      </c>
      <c r="D623" s="35">
        <v>8</v>
      </c>
      <c r="E623" s="36">
        <v>17347024</v>
      </c>
      <c r="F623" s="36">
        <v>0</v>
      </c>
      <c r="G623" s="36">
        <v>0</v>
      </c>
      <c r="H623" s="36">
        <v>12159892</v>
      </c>
      <c r="I623" s="36">
        <v>0</v>
      </c>
      <c r="J623" s="37">
        <v>2458908</v>
      </c>
      <c r="K623" s="36">
        <v>29506915</v>
      </c>
      <c r="L623" s="38">
        <v>31965823</v>
      </c>
      <c r="M623" s="39"/>
      <c r="N623" s="36">
        <v>29506915</v>
      </c>
      <c r="O623" s="36">
        <v>17347024</v>
      </c>
      <c r="P623" s="36">
        <v>1227518</v>
      </c>
      <c r="Q623" s="36">
        <f>Q622*1936.27</f>
        <v>35088287.584013999</v>
      </c>
      <c r="R623" s="7"/>
      <c r="S623" s="7"/>
      <c r="T623" s="7"/>
      <c r="U623" s="7"/>
      <c r="V623" s="7"/>
      <c r="W623" s="7"/>
      <c r="X623" s="7"/>
      <c r="Y623" s="7"/>
      <c r="Z623" s="7"/>
    </row>
    <row r="624" spans="1:26" ht="12.75" customHeight="1" x14ac:dyDescent="0.2">
      <c r="A624" s="95"/>
      <c r="B624" s="95"/>
      <c r="C624" s="40" t="s">
        <v>36</v>
      </c>
      <c r="D624" s="41">
        <v>9</v>
      </c>
      <c r="E624" s="42">
        <v>10155.11</v>
      </c>
      <c r="F624" s="42">
        <v>0</v>
      </c>
      <c r="G624" s="42">
        <v>0</v>
      </c>
      <c r="H624" s="42">
        <v>6280.06</v>
      </c>
      <c r="I624" s="42">
        <v>0</v>
      </c>
      <c r="J624" s="42">
        <v>1369.6</v>
      </c>
      <c r="K624" s="43">
        <v>16435.169999999998</v>
      </c>
      <c r="L624" s="32">
        <v>17804.77</v>
      </c>
      <c r="M624" s="33"/>
      <c r="N624" s="30">
        <v>16435.169999999998</v>
      </c>
      <c r="O624" s="30">
        <v>10155.11</v>
      </c>
      <c r="P624" s="30">
        <v>633.96</v>
      </c>
      <c r="Q624" s="30">
        <f>(N624+O624*0.18+J624)+(IF((P624-O624*0.18)&gt;0,(P624-O624*0.18),0))</f>
        <v>19632.689799999996</v>
      </c>
      <c r="R624" s="7"/>
      <c r="S624" s="7"/>
      <c r="T624" s="7"/>
      <c r="U624" s="7"/>
      <c r="V624" s="7"/>
      <c r="W624" s="7"/>
      <c r="X624" s="7"/>
      <c r="Y624" s="7"/>
      <c r="Z624" s="7"/>
    </row>
    <row r="625" spans="1:26" ht="9" customHeight="1" x14ac:dyDescent="0.2">
      <c r="A625" s="95"/>
      <c r="B625" s="95"/>
      <c r="C625" s="34" t="s">
        <v>37</v>
      </c>
      <c r="D625" s="35">
        <v>14</v>
      </c>
      <c r="E625" s="36">
        <v>19663035</v>
      </c>
      <c r="F625" s="36">
        <v>0</v>
      </c>
      <c r="G625" s="36">
        <v>0</v>
      </c>
      <c r="H625" s="36">
        <v>12159892</v>
      </c>
      <c r="I625" s="36">
        <v>0</v>
      </c>
      <c r="J625" s="37">
        <v>2651915</v>
      </c>
      <c r="K625" s="36">
        <v>31822927</v>
      </c>
      <c r="L625" s="38">
        <v>34474842</v>
      </c>
      <c r="M625" s="39"/>
      <c r="N625" s="36">
        <v>31822927</v>
      </c>
      <c r="O625" s="36">
        <v>19663035</v>
      </c>
      <c r="P625" s="36">
        <v>1227518</v>
      </c>
      <c r="Q625" s="36">
        <f>Q624*1936.27</f>
        <v>38014188.279045992</v>
      </c>
      <c r="R625" s="7"/>
      <c r="S625" s="7"/>
      <c r="T625" s="7"/>
      <c r="U625" s="7"/>
      <c r="V625" s="7"/>
      <c r="W625" s="7"/>
      <c r="X625" s="7"/>
      <c r="Y625" s="7"/>
      <c r="Z625" s="7"/>
    </row>
    <row r="626" spans="1:26" ht="12.75" customHeight="1" x14ac:dyDescent="0.2">
      <c r="A626" s="95"/>
      <c r="B626" s="95"/>
      <c r="C626" s="40" t="s">
        <v>36</v>
      </c>
      <c r="D626" s="41">
        <v>15</v>
      </c>
      <c r="E626" s="42">
        <v>11287.91</v>
      </c>
      <c r="F626" s="42">
        <v>0</v>
      </c>
      <c r="G626" s="42">
        <v>0</v>
      </c>
      <c r="H626" s="42">
        <v>6280.06</v>
      </c>
      <c r="I626" s="42">
        <v>0</v>
      </c>
      <c r="J626" s="42">
        <v>1464</v>
      </c>
      <c r="K626" s="43">
        <v>17567.97</v>
      </c>
      <c r="L626" s="32">
        <v>19031.97</v>
      </c>
      <c r="M626" s="33"/>
      <c r="N626" s="30">
        <v>17567.97</v>
      </c>
      <c r="O626" s="30">
        <v>11287.91</v>
      </c>
      <c r="P626" s="30">
        <v>633.96</v>
      </c>
      <c r="Q626" s="30">
        <f>(N626+O626*0.18+J626)+(IF((P626-O626*0.18)&gt;0,(P626-O626*0.18),0))</f>
        <v>21063.793799999999</v>
      </c>
      <c r="R626" s="7"/>
      <c r="S626" s="7"/>
      <c r="T626" s="7"/>
      <c r="U626" s="7"/>
      <c r="V626" s="7"/>
      <c r="W626" s="7"/>
      <c r="X626" s="7"/>
      <c r="Y626" s="7"/>
      <c r="Z626" s="7"/>
    </row>
    <row r="627" spans="1:26" ht="9" customHeight="1" x14ac:dyDescent="0.2">
      <c r="A627" s="95"/>
      <c r="B627" s="95"/>
      <c r="C627" s="34" t="s">
        <v>37</v>
      </c>
      <c r="D627" s="35">
        <v>20</v>
      </c>
      <c r="E627" s="36">
        <v>21856441</v>
      </c>
      <c r="F627" s="36">
        <v>0</v>
      </c>
      <c r="G627" s="36">
        <v>0</v>
      </c>
      <c r="H627" s="36">
        <v>12159892</v>
      </c>
      <c r="I627" s="36">
        <v>0</v>
      </c>
      <c r="J627" s="37">
        <v>2834699</v>
      </c>
      <c r="K627" s="36">
        <v>34016333</v>
      </c>
      <c r="L627" s="38">
        <v>36851033</v>
      </c>
      <c r="M627" s="39"/>
      <c r="N627" s="36">
        <v>34016333</v>
      </c>
      <c r="O627" s="36">
        <v>21856441</v>
      </c>
      <c r="P627" s="36">
        <v>1227518</v>
      </c>
      <c r="Q627" s="36">
        <f>Q626*1936.27</f>
        <v>40785192.021126002</v>
      </c>
      <c r="R627" s="7"/>
      <c r="S627" s="7"/>
      <c r="T627" s="7"/>
      <c r="U627" s="7"/>
      <c r="V627" s="7"/>
      <c r="W627" s="7"/>
      <c r="X627" s="7"/>
      <c r="Y627" s="7"/>
      <c r="Z627" s="7"/>
    </row>
    <row r="628" spans="1:26" ht="12.75" customHeight="1" x14ac:dyDescent="0.2">
      <c r="A628" s="95"/>
      <c r="B628" s="95"/>
      <c r="C628" s="40" t="s">
        <v>36</v>
      </c>
      <c r="D628" s="41">
        <v>21</v>
      </c>
      <c r="E628" s="42">
        <v>12427.5</v>
      </c>
      <c r="F628" s="42">
        <v>0</v>
      </c>
      <c r="G628" s="42">
        <v>0</v>
      </c>
      <c r="H628" s="42">
        <v>6280.06</v>
      </c>
      <c r="I628" s="42">
        <v>0</v>
      </c>
      <c r="J628" s="42">
        <v>1558.96</v>
      </c>
      <c r="K628" s="43">
        <v>18707.560000000001</v>
      </c>
      <c r="L628" s="32">
        <v>20266.52</v>
      </c>
      <c r="M628" s="33"/>
      <c r="N628" s="30">
        <v>18707.560000000001</v>
      </c>
      <c r="O628" s="30">
        <v>12427.5</v>
      </c>
      <c r="P628" s="30">
        <v>633.96</v>
      </c>
      <c r="Q628" s="30">
        <f>(N628+O628*0.18+J628)+(IF((P628-O628*0.18)&gt;0,(P628-O628*0.18),0))</f>
        <v>22503.47</v>
      </c>
      <c r="R628" s="7"/>
      <c r="S628" s="7"/>
      <c r="T628" s="7"/>
      <c r="U628" s="7"/>
      <c r="V628" s="7"/>
      <c r="W628" s="7"/>
      <c r="X628" s="7"/>
      <c r="Y628" s="7"/>
      <c r="Z628" s="7"/>
    </row>
    <row r="629" spans="1:26" ht="9" customHeight="1" x14ac:dyDescent="0.2">
      <c r="A629" s="95"/>
      <c r="B629" s="95"/>
      <c r="C629" s="34" t="s">
        <v>37</v>
      </c>
      <c r="D629" s="35">
        <v>27</v>
      </c>
      <c r="E629" s="36">
        <v>24062995</v>
      </c>
      <c r="F629" s="36">
        <v>0</v>
      </c>
      <c r="G629" s="36">
        <v>0</v>
      </c>
      <c r="H629" s="36">
        <v>12159892</v>
      </c>
      <c r="I629" s="36">
        <v>0</v>
      </c>
      <c r="J629" s="37">
        <v>3018567</v>
      </c>
      <c r="K629" s="36">
        <v>36222887</v>
      </c>
      <c r="L629" s="38">
        <v>39241455</v>
      </c>
      <c r="M629" s="39"/>
      <c r="N629" s="36">
        <v>36222887</v>
      </c>
      <c r="O629" s="36">
        <v>24062995</v>
      </c>
      <c r="P629" s="36">
        <v>1227518</v>
      </c>
      <c r="Q629" s="36">
        <f>Q628*1936.27</f>
        <v>43572793.856899999</v>
      </c>
      <c r="R629" s="7"/>
      <c r="S629" s="7"/>
      <c r="T629" s="7"/>
      <c r="U629" s="7"/>
      <c r="V629" s="7"/>
      <c r="W629" s="7"/>
      <c r="X629" s="7"/>
      <c r="Y629" s="7"/>
      <c r="Z629" s="7"/>
    </row>
    <row r="630" spans="1:26" ht="12.75" customHeight="1" x14ac:dyDescent="0.2">
      <c r="A630" s="95"/>
      <c r="B630" s="95"/>
      <c r="C630" s="40" t="s">
        <v>36</v>
      </c>
      <c r="D630" s="41">
        <v>28</v>
      </c>
      <c r="E630" s="42">
        <v>13239.03</v>
      </c>
      <c r="F630" s="42">
        <v>0</v>
      </c>
      <c r="G630" s="42">
        <v>0</v>
      </c>
      <c r="H630" s="42">
        <v>6280.06</v>
      </c>
      <c r="I630" s="42">
        <v>0</v>
      </c>
      <c r="J630" s="42">
        <v>1626.59</v>
      </c>
      <c r="K630" s="43">
        <v>19519.09</v>
      </c>
      <c r="L630" s="32">
        <v>21145.68</v>
      </c>
      <c r="M630" s="33"/>
      <c r="N630" s="30">
        <v>19519.09</v>
      </c>
      <c r="O630" s="30">
        <v>13239.03</v>
      </c>
      <c r="P630" s="30">
        <v>633.96</v>
      </c>
      <c r="Q630" s="30">
        <f>(N630+O630*0.18+J630)+(IF((P630-O630*0.18)&gt;0,(P630-O630*0.18),0))</f>
        <v>23528.705399999999</v>
      </c>
      <c r="R630" s="7"/>
      <c r="S630" s="7"/>
      <c r="T630" s="7"/>
      <c r="U630" s="7"/>
      <c r="V630" s="7"/>
      <c r="W630" s="7"/>
      <c r="X630" s="7"/>
      <c r="Y630" s="7"/>
      <c r="Z630" s="7"/>
    </row>
    <row r="631" spans="1:26" ht="9" customHeight="1" x14ac:dyDescent="0.2">
      <c r="A631" s="95"/>
      <c r="B631" s="95"/>
      <c r="C631" s="34" t="s">
        <v>37</v>
      </c>
      <c r="D631" s="35">
        <v>34</v>
      </c>
      <c r="E631" s="36">
        <v>25634337</v>
      </c>
      <c r="F631" s="36">
        <v>0</v>
      </c>
      <c r="G631" s="36">
        <v>0</v>
      </c>
      <c r="H631" s="36">
        <v>12159892</v>
      </c>
      <c r="I631" s="36">
        <v>0</v>
      </c>
      <c r="J631" s="37">
        <v>3149517</v>
      </c>
      <c r="K631" s="36">
        <v>37794228</v>
      </c>
      <c r="L631" s="38">
        <v>40943746</v>
      </c>
      <c r="M631" s="39"/>
      <c r="N631" s="36">
        <v>37794228</v>
      </c>
      <c r="O631" s="36">
        <v>25634337</v>
      </c>
      <c r="P631" s="36">
        <v>1227518</v>
      </c>
      <c r="Q631" s="36">
        <f>Q630*1936.27</f>
        <v>45557926.404858001</v>
      </c>
      <c r="R631" s="7"/>
      <c r="S631" s="7"/>
      <c r="T631" s="7"/>
      <c r="U631" s="7"/>
      <c r="V631" s="7"/>
      <c r="W631" s="7"/>
      <c r="X631" s="7"/>
      <c r="Y631" s="7"/>
      <c r="Z631" s="7"/>
    </row>
    <row r="632" spans="1:26" ht="12.75" customHeight="1" x14ac:dyDescent="0.2">
      <c r="A632" s="95"/>
      <c r="B632" s="95"/>
      <c r="C632" s="40" t="s">
        <v>36</v>
      </c>
      <c r="D632" s="41">
        <v>35</v>
      </c>
      <c r="E632" s="42">
        <v>13860.98</v>
      </c>
      <c r="F632" s="42">
        <v>0</v>
      </c>
      <c r="G632" s="42">
        <v>0</v>
      </c>
      <c r="H632" s="42">
        <v>6280.06</v>
      </c>
      <c r="I632" s="42">
        <v>0</v>
      </c>
      <c r="J632" s="42">
        <v>1678.42</v>
      </c>
      <c r="K632" s="43">
        <v>20141.04</v>
      </c>
      <c r="L632" s="32">
        <v>21819.46</v>
      </c>
      <c r="M632" s="33"/>
      <c r="N632" s="30">
        <v>20141.04</v>
      </c>
      <c r="O632" s="30">
        <v>13860.98</v>
      </c>
      <c r="P632" s="30">
        <v>633.96</v>
      </c>
      <c r="Q632" s="30">
        <f>(N632+O632*0.18+J632)+(IF((P632-O632*0.18)&gt;0,(P632-O632*0.18),0))</f>
        <v>24314.436399999999</v>
      </c>
      <c r="R632" s="7"/>
      <c r="S632" s="7"/>
      <c r="T632" s="7"/>
      <c r="U632" s="7"/>
      <c r="V632" s="7"/>
      <c r="W632" s="7"/>
      <c r="X632" s="7"/>
      <c r="Y632" s="7"/>
      <c r="Z632" s="7"/>
    </row>
    <row r="633" spans="1:26" ht="9" customHeight="1" x14ac:dyDescent="0.2">
      <c r="A633" s="110"/>
      <c r="B633" s="110"/>
      <c r="C633" s="47" t="s">
        <v>37</v>
      </c>
      <c r="D633" s="48"/>
      <c r="E633" s="46">
        <v>26838600</v>
      </c>
      <c r="F633" s="46">
        <v>0</v>
      </c>
      <c r="G633" s="46">
        <v>0</v>
      </c>
      <c r="H633" s="46">
        <v>12159892</v>
      </c>
      <c r="I633" s="46">
        <v>0</v>
      </c>
      <c r="J633" s="49">
        <v>3249874</v>
      </c>
      <c r="K633" s="46">
        <v>38998492</v>
      </c>
      <c r="L633" s="38">
        <v>42248366</v>
      </c>
      <c r="M633" s="39"/>
      <c r="N633" s="36">
        <v>38998492</v>
      </c>
      <c r="O633" s="36">
        <v>26838600</v>
      </c>
      <c r="P633" s="36">
        <v>1227518</v>
      </c>
      <c r="Q633" s="36">
        <f>Q632*1936.27</f>
        <v>47079313.768227994</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98">
        <v>38384</v>
      </c>
      <c r="B640" s="98">
        <v>38717</v>
      </c>
      <c r="C640" s="28" t="s">
        <v>36</v>
      </c>
      <c r="D640" s="29">
        <v>0</v>
      </c>
      <c r="E640" s="30">
        <v>9022.2900000000009</v>
      </c>
      <c r="F640" s="30">
        <v>0</v>
      </c>
      <c r="G640" s="30">
        <v>0</v>
      </c>
      <c r="H640" s="30">
        <v>6280.06</v>
      </c>
      <c r="I640" s="30">
        <v>0</v>
      </c>
      <c r="J640" s="30">
        <v>1275.2</v>
      </c>
      <c r="K640" s="31">
        <v>15302.35</v>
      </c>
      <c r="L640" s="32">
        <v>16577.55</v>
      </c>
      <c r="M640" s="33"/>
      <c r="N640" s="30">
        <v>15302.35</v>
      </c>
      <c r="O640" s="30">
        <v>9022.2900000000009</v>
      </c>
      <c r="P640" s="30">
        <v>633.96</v>
      </c>
      <c r="Q640" s="30">
        <f>(N640+O640*0.18+J640)+(IF((P640-O640*0.18)&gt;0,(P640-O640*0.18),0))</f>
        <v>18201.5622</v>
      </c>
      <c r="R640" s="7"/>
      <c r="S640" s="7"/>
      <c r="T640" s="7"/>
      <c r="U640" s="7"/>
      <c r="V640" s="7"/>
      <c r="W640" s="7"/>
      <c r="X640" s="7"/>
      <c r="Y640" s="7"/>
      <c r="Z640" s="7"/>
    </row>
    <row r="641" spans="1:26" ht="9" customHeight="1" x14ac:dyDescent="0.2">
      <c r="A641" s="95"/>
      <c r="B641" s="95"/>
      <c r="C641" s="34" t="s">
        <v>37</v>
      </c>
      <c r="D641" s="35">
        <v>2</v>
      </c>
      <c r="E641" s="36">
        <v>17469589</v>
      </c>
      <c r="F641" s="36">
        <v>0</v>
      </c>
      <c r="G641" s="36">
        <v>0</v>
      </c>
      <c r="H641" s="36">
        <v>12159892</v>
      </c>
      <c r="I641" s="36">
        <v>0</v>
      </c>
      <c r="J641" s="37">
        <v>2469132</v>
      </c>
      <c r="K641" s="36">
        <v>29629481</v>
      </c>
      <c r="L641" s="38">
        <v>32098613</v>
      </c>
      <c r="M641" s="39"/>
      <c r="N641" s="36">
        <v>29629481</v>
      </c>
      <c r="O641" s="36">
        <v>17469589</v>
      </c>
      <c r="P641" s="36">
        <v>1227518</v>
      </c>
      <c r="Q641" s="36">
        <f>Q640*1936.27</f>
        <v>35243138.840994</v>
      </c>
      <c r="R641" s="7"/>
      <c r="S641" s="7"/>
      <c r="T641" s="7"/>
      <c r="U641" s="7"/>
      <c r="V641" s="7"/>
      <c r="W641" s="7"/>
      <c r="X641" s="7"/>
      <c r="Y641" s="7"/>
      <c r="Z641" s="7"/>
    </row>
    <row r="642" spans="1:26" ht="12.75" customHeight="1" x14ac:dyDescent="0.2">
      <c r="A642" s="156">
        <v>38384</v>
      </c>
      <c r="B642" s="156">
        <v>38717</v>
      </c>
      <c r="C642" s="40" t="s">
        <v>36</v>
      </c>
      <c r="D642" s="41">
        <v>3</v>
      </c>
      <c r="E642" s="42">
        <v>9366.27</v>
      </c>
      <c r="F642" s="42">
        <v>0</v>
      </c>
      <c r="G642" s="42">
        <v>0</v>
      </c>
      <c r="H642" s="42">
        <v>6280.06</v>
      </c>
      <c r="I642" s="42">
        <v>0</v>
      </c>
      <c r="J642" s="42">
        <v>1303.8599999999999</v>
      </c>
      <c r="K642" s="43">
        <v>15646.33</v>
      </c>
      <c r="L642" s="32">
        <v>16950.189999999999</v>
      </c>
      <c r="M642" s="33"/>
      <c r="N642" s="30">
        <v>15646.33</v>
      </c>
      <c r="O642" s="30">
        <v>9366.27</v>
      </c>
      <c r="P642" s="30">
        <v>633.96</v>
      </c>
      <c r="Q642" s="30">
        <f>(N642+O642*0.18+J642)+(IF((P642-O642*0.18)&gt;0,(P642-O642*0.18),0))</f>
        <v>18636.118600000002</v>
      </c>
      <c r="R642" s="7"/>
      <c r="S642" s="7"/>
      <c r="T642" s="7"/>
      <c r="U642" s="7"/>
      <c r="V642" s="7"/>
      <c r="W642" s="7"/>
      <c r="X642" s="7"/>
      <c r="Y642" s="7"/>
      <c r="Z642" s="7"/>
    </row>
    <row r="643" spans="1:26" ht="9" customHeight="1" x14ac:dyDescent="0.2">
      <c r="A643" s="95"/>
      <c r="B643" s="95"/>
      <c r="C643" s="34" t="s">
        <v>37</v>
      </c>
      <c r="D643" s="35">
        <v>8</v>
      </c>
      <c r="E643" s="36">
        <v>18135628</v>
      </c>
      <c r="F643" s="36">
        <v>0</v>
      </c>
      <c r="G643" s="36">
        <v>0</v>
      </c>
      <c r="H643" s="36">
        <v>12159892</v>
      </c>
      <c r="I643" s="36">
        <v>0</v>
      </c>
      <c r="J643" s="37">
        <v>2524625</v>
      </c>
      <c r="K643" s="36">
        <v>30295519</v>
      </c>
      <c r="L643" s="38">
        <v>32820144</v>
      </c>
      <c r="M643" s="39"/>
      <c r="N643" s="36">
        <v>30295519</v>
      </c>
      <c r="O643" s="36">
        <v>18135628</v>
      </c>
      <c r="P643" s="36">
        <v>1227518</v>
      </c>
      <c r="Q643" s="36">
        <f>Q642*1936.27</f>
        <v>36084557.361622006</v>
      </c>
      <c r="R643" s="7"/>
      <c r="S643" s="7"/>
      <c r="T643" s="7"/>
      <c r="U643" s="7"/>
      <c r="V643" s="7"/>
      <c r="W643" s="7"/>
      <c r="X643" s="7"/>
      <c r="Y643" s="7"/>
      <c r="Z643" s="7"/>
    </row>
    <row r="644" spans="1:26" ht="12.75" customHeight="1" x14ac:dyDescent="0.2">
      <c r="A644" s="95"/>
      <c r="B644" s="95"/>
      <c r="C644" s="40" t="s">
        <v>36</v>
      </c>
      <c r="D644" s="41">
        <v>9</v>
      </c>
      <c r="E644" s="42">
        <v>10594.31</v>
      </c>
      <c r="F644" s="42">
        <v>0</v>
      </c>
      <c r="G644" s="42">
        <v>0</v>
      </c>
      <c r="H644" s="42">
        <v>6280.06</v>
      </c>
      <c r="I644" s="42">
        <v>0</v>
      </c>
      <c r="J644" s="42">
        <v>1406.2</v>
      </c>
      <c r="K644" s="43">
        <v>16874.37</v>
      </c>
      <c r="L644" s="32">
        <v>18280.57</v>
      </c>
      <c r="M644" s="33"/>
      <c r="N644" s="30">
        <v>16874.37</v>
      </c>
      <c r="O644" s="30">
        <v>10594.31</v>
      </c>
      <c r="P644" s="30">
        <v>633.96</v>
      </c>
      <c r="Q644" s="30">
        <f>(N644+O644*0.18+J644)+(IF((P644-O644*0.18)&gt;0,(P644-O644*0.18),0))</f>
        <v>20187.5458</v>
      </c>
      <c r="R644" s="7"/>
      <c r="S644" s="7"/>
      <c r="T644" s="7"/>
      <c r="U644" s="7"/>
      <c r="V644" s="7"/>
      <c r="W644" s="7"/>
      <c r="X644" s="7"/>
      <c r="Y644" s="7"/>
      <c r="Z644" s="7"/>
    </row>
    <row r="645" spans="1:26" ht="9" customHeight="1" x14ac:dyDescent="0.2">
      <c r="A645" s="95"/>
      <c r="B645" s="95"/>
      <c r="C645" s="34" t="s">
        <v>37</v>
      </c>
      <c r="D645" s="35">
        <v>14</v>
      </c>
      <c r="E645" s="36">
        <v>20513445</v>
      </c>
      <c r="F645" s="36">
        <v>0</v>
      </c>
      <c r="G645" s="36">
        <v>0</v>
      </c>
      <c r="H645" s="36">
        <v>12159892</v>
      </c>
      <c r="I645" s="36">
        <v>0</v>
      </c>
      <c r="J645" s="37">
        <v>2722783</v>
      </c>
      <c r="K645" s="36">
        <v>32673336</v>
      </c>
      <c r="L645" s="38">
        <v>35396119</v>
      </c>
      <c r="M645" s="39"/>
      <c r="N645" s="36">
        <v>32673336</v>
      </c>
      <c r="O645" s="36">
        <v>20513445</v>
      </c>
      <c r="P645" s="36">
        <v>1227518</v>
      </c>
      <c r="Q645" s="36">
        <f>Q644*1936.27</f>
        <v>39088539.306166001</v>
      </c>
      <c r="R645" s="7"/>
      <c r="S645" s="7"/>
      <c r="T645" s="7"/>
      <c r="U645" s="7"/>
      <c r="V645" s="7"/>
      <c r="W645" s="7"/>
      <c r="X645" s="7"/>
      <c r="Y645" s="7"/>
      <c r="Z645" s="7"/>
    </row>
    <row r="646" spans="1:26" ht="12.75" customHeight="1" x14ac:dyDescent="0.2">
      <c r="A646" s="95"/>
      <c r="B646" s="95"/>
      <c r="C646" s="40" t="s">
        <v>36</v>
      </c>
      <c r="D646" s="41">
        <v>15</v>
      </c>
      <c r="E646" s="42">
        <v>11757.35</v>
      </c>
      <c r="F646" s="42">
        <v>0</v>
      </c>
      <c r="G646" s="42">
        <v>0</v>
      </c>
      <c r="H646" s="42">
        <v>6280.06</v>
      </c>
      <c r="I646" s="42">
        <v>0</v>
      </c>
      <c r="J646" s="42">
        <v>1503.12</v>
      </c>
      <c r="K646" s="43">
        <v>18037.41</v>
      </c>
      <c r="L646" s="32">
        <v>19540.53</v>
      </c>
      <c r="M646" s="33"/>
      <c r="N646" s="30">
        <v>18037.41</v>
      </c>
      <c r="O646" s="30">
        <v>11757.35</v>
      </c>
      <c r="P646" s="30">
        <v>633.96</v>
      </c>
      <c r="Q646" s="30">
        <f>(N646+O646*0.18+J646)+(IF((P646-O646*0.18)&gt;0,(P646-O646*0.18),0))</f>
        <v>21656.852999999999</v>
      </c>
      <c r="R646" s="7"/>
      <c r="S646" s="7"/>
      <c r="T646" s="7"/>
      <c r="U646" s="7"/>
      <c r="V646" s="7"/>
      <c r="W646" s="7"/>
      <c r="X646" s="7"/>
      <c r="Y646" s="7"/>
      <c r="Z646" s="7"/>
    </row>
    <row r="647" spans="1:26" ht="9" customHeight="1" x14ac:dyDescent="0.2">
      <c r="A647" s="95"/>
      <c r="B647" s="95"/>
      <c r="C647" s="34" t="s">
        <v>37</v>
      </c>
      <c r="D647" s="35">
        <v>20</v>
      </c>
      <c r="E647" s="36">
        <v>22765404</v>
      </c>
      <c r="F647" s="36">
        <v>0</v>
      </c>
      <c r="G647" s="36">
        <v>0</v>
      </c>
      <c r="H647" s="36">
        <v>12159892</v>
      </c>
      <c r="I647" s="36">
        <v>0</v>
      </c>
      <c r="J647" s="37">
        <v>2910446</v>
      </c>
      <c r="K647" s="36">
        <v>34925296</v>
      </c>
      <c r="L647" s="38">
        <v>37835742</v>
      </c>
      <c r="M647" s="39"/>
      <c r="N647" s="36">
        <v>34925296</v>
      </c>
      <c r="O647" s="36">
        <v>22765404</v>
      </c>
      <c r="P647" s="36">
        <v>1227518</v>
      </c>
      <c r="Q647" s="36">
        <f>Q646*1936.27</f>
        <v>41933514.758309998</v>
      </c>
      <c r="R647" s="7"/>
      <c r="S647" s="7"/>
      <c r="T647" s="7"/>
      <c r="U647" s="7"/>
      <c r="V647" s="7"/>
      <c r="W647" s="7"/>
      <c r="X647" s="7"/>
      <c r="Y647" s="7"/>
      <c r="Z647" s="7"/>
    </row>
    <row r="648" spans="1:26" ht="12.75" customHeight="1" x14ac:dyDescent="0.2">
      <c r="A648" s="95"/>
      <c r="B648" s="95"/>
      <c r="C648" s="40" t="s">
        <v>36</v>
      </c>
      <c r="D648" s="41">
        <v>21</v>
      </c>
      <c r="E648" s="42">
        <v>12927.42</v>
      </c>
      <c r="F648" s="42">
        <v>0</v>
      </c>
      <c r="G648" s="42">
        <v>0</v>
      </c>
      <c r="H648" s="42">
        <v>6280.06</v>
      </c>
      <c r="I648" s="42">
        <v>0</v>
      </c>
      <c r="J648" s="42">
        <v>1600.62</v>
      </c>
      <c r="K648" s="43">
        <v>19207.48</v>
      </c>
      <c r="L648" s="32">
        <v>20808.099999999999</v>
      </c>
      <c r="M648" s="33"/>
      <c r="N648" s="30">
        <v>19207.48</v>
      </c>
      <c r="O648" s="30">
        <v>12927.42</v>
      </c>
      <c r="P648" s="30">
        <v>633.96</v>
      </c>
      <c r="Q648" s="30">
        <f>(N648+O648*0.18+J648)+(IF((P648-O648*0.18)&gt;0,(P648-O648*0.18),0))</f>
        <v>23135.035599999999</v>
      </c>
      <c r="R648" s="7"/>
      <c r="S648" s="7"/>
      <c r="T648" s="7"/>
      <c r="U648" s="7"/>
      <c r="V648" s="7"/>
      <c r="W648" s="7"/>
      <c r="X648" s="7"/>
      <c r="Y648" s="7"/>
      <c r="Z648" s="7"/>
    </row>
    <row r="649" spans="1:26" ht="9" customHeight="1" x14ac:dyDescent="0.2">
      <c r="A649" s="95"/>
      <c r="B649" s="95"/>
      <c r="C649" s="34" t="s">
        <v>37</v>
      </c>
      <c r="D649" s="35">
        <v>27</v>
      </c>
      <c r="E649" s="36">
        <v>25030976</v>
      </c>
      <c r="F649" s="36">
        <v>0</v>
      </c>
      <c r="G649" s="36">
        <v>0</v>
      </c>
      <c r="H649" s="36">
        <v>12159892</v>
      </c>
      <c r="I649" s="36">
        <v>0</v>
      </c>
      <c r="J649" s="37">
        <v>3099232</v>
      </c>
      <c r="K649" s="36">
        <v>37190867</v>
      </c>
      <c r="L649" s="38">
        <v>40290100</v>
      </c>
      <c r="M649" s="39"/>
      <c r="N649" s="36">
        <v>37190867</v>
      </c>
      <c r="O649" s="36">
        <v>25030976</v>
      </c>
      <c r="P649" s="36">
        <v>1227518</v>
      </c>
      <c r="Q649" s="36">
        <f>Q648*1936.27</f>
        <v>44795675.381211996</v>
      </c>
      <c r="R649" s="7"/>
      <c r="S649" s="7"/>
      <c r="T649" s="7"/>
      <c r="U649" s="7"/>
      <c r="V649" s="7"/>
      <c r="W649" s="7"/>
      <c r="X649" s="7"/>
      <c r="Y649" s="7"/>
      <c r="Z649" s="7"/>
    </row>
    <row r="650" spans="1:26" ht="12.75" customHeight="1" x14ac:dyDescent="0.2">
      <c r="A650" s="95"/>
      <c r="B650" s="95"/>
      <c r="C650" s="40" t="s">
        <v>36</v>
      </c>
      <c r="D650" s="41">
        <v>28</v>
      </c>
      <c r="E650" s="42">
        <v>13760.67</v>
      </c>
      <c r="F650" s="42">
        <v>0</v>
      </c>
      <c r="G650" s="42">
        <v>0</v>
      </c>
      <c r="H650" s="42">
        <v>6280.06</v>
      </c>
      <c r="I650" s="42">
        <v>0</v>
      </c>
      <c r="J650" s="42">
        <v>1670.06</v>
      </c>
      <c r="K650" s="43">
        <v>20040.73</v>
      </c>
      <c r="L650" s="32">
        <v>21710.79</v>
      </c>
      <c r="M650" s="33"/>
      <c r="N650" s="30">
        <v>20040.73</v>
      </c>
      <c r="O650" s="30">
        <v>13760.67</v>
      </c>
      <c r="P650" s="30">
        <v>633.96</v>
      </c>
      <c r="Q650" s="30">
        <f>(N650+O650*0.18+J650)+(IF((P650-O650*0.18)&gt;0,(P650-O650*0.18),0))</f>
        <v>24187.710600000002</v>
      </c>
      <c r="R650" s="7"/>
      <c r="S650" s="7"/>
      <c r="T650" s="7"/>
      <c r="U650" s="7"/>
      <c r="V650" s="7"/>
      <c r="W650" s="7"/>
      <c r="X650" s="7"/>
      <c r="Y650" s="7"/>
      <c r="Z650" s="7"/>
    </row>
    <row r="651" spans="1:26" ht="9" customHeight="1" x14ac:dyDescent="0.2">
      <c r="A651" s="95"/>
      <c r="B651" s="95"/>
      <c r="C651" s="34" t="s">
        <v>37</v>
      </c>
      <c r="D651" s="35">
        <v>34</v>
      </c>
      <c r="E651" s="36">
        <v>26644373</v>
      </c>
      <c r="F651" s="36">
        <v>0</v>
      </c>
      <c r="G651" s="36">
        <v>0</v>
      </c>
      <c r="H651" s="36">
        <v>12159892</v>
      </c>
      <c r="I651" s="36">
        <v>0</v>
      </c>
      <c r="J651" s="37">
        <v>3233687</v>
      </c>
      <c r="K651" s="36">
        <v>38804264</v>
      </c>
      <c r="L651" s="38">
        <v>42037951</v>
      </c>
      <c r="M651" s="39"/>
      <c r="N651" s="36">
        <v>38804264</v>
      </c>
      <c r="O651" s="36">
        <v>26644373</v>
      </c>
      <c r="P651" s="36">
        <v>1227518</v>
      </c>
      <c r="Q651" s="36">
        <f>Q650*1936.27</f>
        <v>46833938.403462</v>
      </c>
      <c r="R651" s="7"/>
      <c r="S651" s="7"/>
      <c r="T651" s="7"/>
      <c r="U651" s="7"/>
      <c r="V651" s="7"/>
      <c r="W651" s="7"/>
      <c r="X651" s="7"/>
      <c r="Y651" s="7"/>
      <c r="Z651" s="7"/>
    </row>
    <row r="652" spans="1:26" ht="12.75" customHeight="1" x14ac:dyDescent="0.2">
      <c r="A652" s="95"/>
      <c r="B652" s="95"/>
      <c r="C652" s="40" t="s">
        <v>36</v>
      </c>
      <c r="D652" s="41">
        <v>35</v>
      </c>
      <c r="E652" s="42">
        <v>14399.3</v>
      </c>
      <c r="F652" s="42">
        <v>0</v>
      </c>
      <c r="G652" s="42">
        <v>0</v>
      </c>
      <c r="H652" s="42">
        <v>6280.06</v>
      </c>
      <c r="I652" s="42">
        <v>0</v>
      </c>
      <c r="J652" s="42">
        <v>1723.28</v>
      </c>
      <c r="K652" s="43">
        <v>20679.36</v>
      </c>
      <c r="L652" s="32">
        <v>22402.639999999999</v>
      </c>
      <c r="M652" s="33"/>
      <c r="N652" s="30">
        <v>20679.36</v>
      </c>
      <c r="O652" s="30">
        <v>14399.3</v>
      </c>
      <c r="P652" s="30">
        <v>633.96</v>
      </c>
      <c r="Q652" s="30">
        <f>(N652+O652*0.18+J652)+(IF((P652-O652*0.18)&gt;0,(P652-O652*0.18),0))</f>
        <v>24994.513999999999</v>
      </c>
      <c r="R652" s="7"/>
      <c r="S652" s="7"/>
      <c r="T652" s="7"/>
      <c r="U652" s="7"/>
      <c r="V652" s="7"/>
      <c r="W652" s="7"/>
      <c r="X652" s="7"/>
      <c r="Y652" s="7"/>
      <c r="Z652" s="7"/>
    </row>
    <row r="653" spans="1:26" ht="9" customHeight="1" x14ac:dyDescent="0.2">
      <c r="A653" s="110"/>
      <c r="B653" s="110"/>
      <c r="C653" s="47" t="s">
        <v>37</v>
      </c>
      <c r="D653" s="48"/>
      <c r="E653" s="46">
        <v>27880933</v>
      </c>
      <c r="F653" s="46">
        <v>0</v>
      </c>
      <c r="G653" s="46">
        <v>0</v>
      </c>
      <c r="H653" s="46">
        <v>12159892</v>
      </c>
      <c r="I653" s="46">
        <v>0</v>
      </c>
      <c r="J653" s="49">
        <v>3336735</v>
      </c>
      <c r="K653" s="46">
        <v>40040824</v>
      </c>
      <c r="L653" s="38">
        <v>43377560</v>
      </c>
      <c r="M653" s="39"/>
      <c r="N653" s="36">
        <v>40040824</v>
      </c>
      <c r="O653" s="36">
        <v>27880933</v>
      </c>
      <c r="P653" s="36">
        <v>1227518</v>
      </c>
      <c r="Q653" s="36">
        <f>Q652*1936.27</f>
        <v>48396127.622779995</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98">
        <v>38718</v>
      </c>
      <c r="B660" s="98">
        <v>39082</v>
      </c>
      <c r="C660" s="28" t="s">
        <v>36</v>
      </c>
      <c r="D660" s="29">
        <v>0</v>
      </c>
      <c r="E660" s="30">
        <v>9092.49</v>
      </c>
      <c r="F660" s="30">
        <v>0</v>
      </c>
      <c r="G660" s="30">
        <v>0</v>
      </c>
      <c r="H660" s="30">
        <v>6280.06</v>
      </c>
      <c r="I660" s="30">
        <v>0</v>
      </c>
      <c r="J660" s="30">
        <v>1281.05</v>
      </c>
      <c r="K660" s="31">
        <v>15372.55</v>
      </c>
      <c r="L660" s="32">
        <v>16653.599999999999</v>
      </c>
      <c r="M660" s="33"/>
      <c r="N660" s="30">
        <v>15372.55</v>
      </c>
      <c r="O660" s="30">
        <v>9092.49</v>
      </c>
      <c r="P660" s="30">
        <v>774</v>
      </c>
      <c r="Q660" s="30">
        <f>(N660+O660*0.18+J660)+(IF((P660-O660*0.18)&gt;0,(P660-O660*0.18),0))</f>
        <v>18290.248199999998</v>
      </c>
      <c r="R660" s="7"/>
      <c r="S660" s="7"/>
      <c r="T660" s="7"/>
      <c r="U660" s="7"/>
      <c r="V660" s="7"/>
      <c r="W660" s="7"/>
      <c r="X660" s="7"/>
      <c r="Y660" s="7"/>
      <c r="Z660" s="7"/>
    </row>
    <row r="661" spans="1:26" ht="9" customHeight="1" x14ac:dyDescent="0.2">
      <c r="A661" s="95"/>
      <c r="B661" s="95"/>
      <c r="C661" s="34" t="s">
        <v>37</v>
      </c>
      <c r="D661" s="35">
        <v>2</v>
      </c>
      <c r="E661" s="36">
        <v>17605516</v>
      </c>
      <c r="F661" s="36">
        <v>0</v>
      </c>
      <c r="G661" s="36">
        <v>0</v>
      </c>
      <c r="H661" s="36">
        <v>12159892</v>
      </c>
      <c r="I661" s="36">
        <v>0</v>
      </c>
      <c r="J661" s="37">
        <v>2480459</v>
      </c>
      <c r="K661" s="36">
        <v>29765407</v>
      </c>
      <c r="L661" s="50">
        <v>32245866</v>
      </c>
      <c r="M661" s="39"/>
      <c r="N661" s="36">
        <v>29765407</v>
      </c>
      <c r="O661" s="36">
        <v>17605516</v>
      </c>
      <c r="P661" s="36">
        <v>1498673</v>
      </c>
      <c r="Q661" s="36">
        <f>Q660*1936.27</f>
        <v>35414858.882213995</v>
      </c>
      <c r="R661" s="7"/>
      <c r="S661" s="7"/>
      <c r="T661" s="7"/>
      <c r="U661" s="7"/>
      <c r="V661" s="7"/>
      <c r="W661" s="7"/>
      <c r="X661" s="7"/>
      <c r="Y661" s="7"/>
      <c r="Z661" s="7"/>
    </row>
    <row r="662" spans="1:26" ht="12.75" customHeight="1" x14ac:dyDescent="0.2">
      <c r="A662" s="156">
        <v>38718</v>
      </c>
      <c r="B662" s="156">
        <v>39082</v>
      </c>
      <c r="C662" s="40" t="s">
        <v>36</v>
      </c>
      <c r="D662" s="41">
        <v>3</v>
      </c>
      <c r="E662" s="30">
        <v>9438.0300000000007</v>
      </c>
      <c r="F662" s="30">
        <v>0</v>
      </c>
      <c r="G662" s="30">
        <v>0</v>
      </c>
      <c r="H662" s="30">
        <v>6280.06</v>
      </c>
      <c r="I662" s="30">
        <v>0</v>
      </c>
      <c r="J662" s="42">
        <v>1309.8399999999999</v>
      </c>
      <c r="K662" s="43">
        <v>15718.09</v>
      </c>
      <c r="L662" s="51">
        <v>17027.93</v>
      </c>
      <c r="M662" s="33"/>
      <c r="N662" s="30">
        <v>15718.09</v>
      </c>
      <c r="O662" s="30">
        <v>9438.0300000000007</v>
      </c>
      <c r="P662" s="30">
        <v>774</v>
      </c>
      <c r="Q662" s="30">
        <f>(N662+O662*0.18+J662)+(IF((P662-O662*0.18)&gt;0,(P662-O662*0.18),0))</f>
        <v>18726.775400000002</v>
      </c>
      <c r="R662" s="7"/>
      <c r="S662" s="7"/>
      <c r="T662" s="7"/>
      <c r="U662" s="7"/>
      <c r="V662" s="7"/>
      <c r="W662" s="7"/>
      <c r="X662" s="7"/>
      <c r="Y662" s="7"/>
      <c r="Z662" s="7"/>
    </row>
    <row r="663" spans="1:26" ht="9" customHeight="1" x14ac:dyDescent="0.2">
      <c r="A663" s="95"/>
      <c r="B663" s="95"/>
      <c r="C663" s="34" t="s">
        <v>37</v>
      </c>
      <c r="D663" s="35">
        <v>8</v>
      </c>
      <c r="E663" s="36">
        <v>18274574</v>
      </c>
      <c r="F663" s="36">
        <v>0</v>
      </c>
      <c r="G663" s="36">
        <v>0</v>
      </c>
      <c r="H663" s="36">
        <v>12159892</v>
      </c>
      <c r="I663" s="36">
        <v>0</v>
      </c>
      <c r="J663" s="37">
        <v>2536204</v>
      </c>
      <c r="K663" s="36">
        <v>30434466</v>
      </c>
      <c r="L663" s="50">
        <v>32970670</v>
      </c>
      <c r="M663" s="39"/>
      <c r="N663" s="36">
        <v>30434466</v>
      </c>
      <c r="O663" s="36">
        <v>18274574</v>
      </c>
      <c r="P663" s="36">
        <v>1498673</v>
      </c>
      <c r="Q663" s="36">
        <f>Q662*1936.27</f>
        <v>36260093.403758004</v>
      </c>
      <c r="R663" s="7"/>
      <c r="S663" s="7"/>
      <c r="T663" s="7"/>
      <c r="U663" s="7"/>
      <c r="V663" s="7"/>
      <c r="W663" s="7"/>
      <c r="X663" s="7"/>
      <c r="Y663" s="7"/>
      <c r="Z663" s="7"/>
    </row>
    <row r="664" spans="1:26" ht="12.75" customHeight="1" x14ac:dyDescent="0.2">
      <c r="A664" s="95"/>
      <c r="B664" s="95"/>
      <c r="C664" s="40" t="s">
        <v>36</v>
      </c>
      <c r="D664" s="41">
        <v>9</v>
      </c>
      <c r="E664" s="30">
        <v>10671.71</v>
      </c>
      <c r="F664" s="30">
        <v>0</v>
      </c>
      <c r="G664" s="30">
        <v>0</v>
      </c>
      <c r="H664" s="30">
        <v>6280.06</v>
      </c>
      <c r="I664" s="30">
        <v>0</v>
      </c>
      <c r="J664" s="42">
        <v>1412.65</v>
      </c>
      <c r="K664" s="43">
        <v>16951.77</v>
      </c>
      <c r="L664" s="51">
        <v>18364.419999999998</v>
      </c>
      <c r="M664" s="33"/>
      <c r="N664" s="30">
        <v>16951.77</v>
      </c>
      <c r="O664" s="30">
        <v>10671.71</v>
      </c>
      <c r="P664" s="30">
        <v>774</v>
      </c>
      <c r="Q664" s="30">
        <f>(N664+O664*0.18+J664)+(IF((P664-O664*0.18)&gt;0,(P664-O664*0.18),0))</f>
        <v>20285.327800000003</v>
      </c>
      <c r="R664" s="7"/>
      <c r="S664" s="7"/>
      <c r="T664" s="7"/>
      <c r="U664" s="7"/>
      <c r="V664" s="7"/>
      <c r="W664" s="7"/>
      <c r="X664" s="7"/>
      <c r="Y664" s="7"/>
      <c r="Z664" s="7"/>
    </row>
    <row r="665" spans="1:26" ht="9" customHeight="1" x14ac:dyDescent="0.2">
      <c r="A665" s="95"/>
      <c r="B665" s="95"/>
      <c r="C665" s="34" t="s">
        <v>37</v>
      </c>
      <c r="D665" s="35">
        <v>14</v>
      </c>
      <c r="E665" s="36">
        <v>20663312</v>
      </c>
      <c r="F665" s="36">
        <v>0</v>
      </c>
      <c r="G665" s="36">
        <v>0</v>
      </c>
      <c r="H665" s="36">
        <v>12159892</v>
      </c>
      <c r="I665" s="36">
        <v>0</v>
      </c>
      <c r="J665" s="37">
        <v>2735272</v>
      </c>
      <c r="K665" s="36">
        <v>32823204</v>
      </c>
      <c r="L665" s="50">
        <v>35558476</v>
      </c>
      <c r="M665" s="39"/>
      <c r="N665" s="36">
        <v>32823204</v>
      </c>
      <c r="O665" s="36">
        <v>20663312</v>
      </c>
      <c r="P665" s="36">
        <v>1498673</v>
      </c>
      <c r="Q665" s="36">
        <f>Q664*1936.27</f>
        <v>39277871.659306005</v>
      </c>
      <c r="R665" s="7"/>
      <c r="S665" s="7"/>
      <c r="T665" s="7"/>
      <c r="U665" s="7"/>
      <c r="V665" s="7"/>
      <c r="W665" s="7"/>
      <c r="X665" s="7"/>
      <c r="Y665" s="7"/>
      <c r="Z665" s="7"/>
    </row>
    <row r="666" spans="1:26" ht="12.75" customHeight="1" x14ac:dyDescent="0.2">
      <c r="A666" s="95"/>
      <c r="B666" s="95"/>
      <c r="C666" s="40" t="s">
        <v>36</v>
      </c>
      <c r="D666" s="41">
        <v>15</v>
      </c>
      <c r="E666" s="30">
        <v>11840.15</v>
      </c>
      <c r="F666" s="30">
        <v>0</v>
      </c>
      <c r="G666" s="30">
        <v>0</v>
      </c>
      <c r="H666" s="30">
        <v>6280.06</v>
      </c>
      <c r="I666" s="30">
        <v>0</v>
      </c>
      <c r="J666" s="42">
        <v>1510.02</v>
      </c>
      <c r="K666" s="43">
        <v>18120.21</v>
      </c>
      <c r="L666" s="51">
        <v>19630.23</v>
      </c>
      <c r="M666" s="33"/>
      <c r="N666" s="30">
        <v>18120.21</v>
      </c>
      <c r="O666" s="30">
        <v>11840.15</v>
      </c>
      <c r="P666" s="30">
        <v>774</v>
      </c>
      <c r="Q666" s="30">
        <f>(N666+O666*0.18+J666)+(IF((P666-O666*0.18)&gt;0,(P666-O666*0.18),0))</f>
        <v>21761.456999999999</v>
      </c>
      <c r="R666" s="7"/>
      <c r="S666" s="7"/>
      <c r="T666" s="7"/>
      <c r="U666" s="7"/>
      <c r="V666" s="7"/>
      <c r="W666" s="7"/>
      <c r="X666" s="7"/>
      <c r="Y666" s="7"/>
      <c r="Z666" s="7"/>
    </row>
    <row r="667" spans="1:26" ht="9" customHeight="1" x14ac:dyDescent="0.2">
      <c r="A667" s="95"/>
      <c r="B667" s="95"/>
      <c r="C667" s="34" t="s">
        <v>37</v>
      </c>
      <c r="D667" s="35">
        <v>20</v>
      </c>
      <c r="E667" s="36">
        <v>22925727</v>
      </c>
      <c r="F667" s="36">
        <v>0</v>
      </c>
      <c r="G667" s="36">
        <v>0</v>
      </c>
      <c r="H667" s="36">
        <v>12159892</v>
      </c>
      <c r="I667" s="36">
        <v>0</v>
      </c>
      <c r="J667" s="37">
        <v>2923806</v>
      </c>
      <c r="K667" s="36">
        <v>35085619</v>
      </c>
      <c r="L667" s="50">
        <v>38009425</v>
      </c>
      <c r="M667" s="39"/>
      <c r="N667" s="36">
        <v>35085619</v>
      </c>
      <c r="O667" s="36">
        <v>22925727</v>
      </c>
      <c r="P667" s="36">
        <v>1498673</v>
      </c>
      <c r="Q667" s="36">
        <f>Q666*1936.27</f>
        <v>42136056.345389999</v>
      </c>
      <c r="R667" s="7"/>
      <c r="S667" s="7"/>
      <c r="T667" s="7"/>
      <c r="U667" s="7"/>
      <c r="V667" s="7"/>
      <c r="W667" s="7"/>
      <c r="X667" s="7"/>
      <c r="Y667" s="7"/>
      <c r="Z667" s="7"/>
    </row>
    <row r="668" spans="1:26" ht="12.75" customHeight="1" x14ac:dyDescent="0.2">
      <c r="A668" s="95"/>
      <c r="B668" s="95"/>
      <c r="C668" s="40" t="s">
        <v>36</v>
      </c>
      <c r="D668" s="41">
        <v>21</v>
      </c>
      <c r="E668" s="30">
        <v>13015.5</v>
      </c>
      <c r="F668" s="30">
        <v>0</v>
      </c>
      <c r="G668" s="30">
        <v>0</v>
      </c>
      <c r="H668" s="30">
        <v>6280.06</v>
      </c>
      <c r="I668" s="30">
        <v>0</v>
      </c>
      <c r="J668" s="42">
        <v>1607.96</v>
      </c>
      <c r="K668" s="43">
        <v>19295.560000000001</v>
      </c>
      <c r="L668" s="51">
        <v>20903.52</v>
      </c>
      <c r="M668" s="33"/>
      <c r="N668" s="30">
        <v>19295.560000000001</v>
      </c>
      <c r="O668" s="30">
        <v>13015.5</v>
      </c>
      <c r="P668" s="30">
        <v>774</v>
      </c>
      <c r="Q668" s="30">
        <f>(N668+O668*0.18+J668)+(IF((P668-O668*0.18)&gt;0,(P668-O668*0.18),0))</f>
        <v>23246.31</v>
      </c>
      <c r="R668" s="7"/>
      <c r="S668" s="7"/>
      <c r="T668" s="7"/>
      <c r="U668" s="7"/>
      <c r="V668" s="7"/>
      <c r="W668" s="7"/>
      <c r="X668" s="7"/>
      <c r="Y668" s="7"/>
      <c r="Z668" s="7"/>
    </row>
    <row r="669" spans="1:26" ht="9" customHeight="1" x14ac:dyDescent="0.2">
      <c r="A669" s="95"/>
      <c r="B669" s="95"/>
      <c r="C669" s="34" t="s">
        <v>37</v>
      </c>
      <c r="D669" s="35">
        <v>27</v>
      </c>
      <c r="E669" s="36">
        <v>25201522</v>
      </c>
      <c r="F669" s="36">
        <v>0</v>
      </c>
      <c r="G669" s="36">
        <v>0</v>
      </c>
      <c r="H669" s="36">
        <v>12159892</v>
      </c>
      <c r="I669" s="36">
        <v>0</v>
      </c>
      <c r="J669" s="37">
        <v>3113445</v>
      </c>
      <c r="K669" s="36">
        <v>37361414</v>
      </c>
      <c r="L669" s="50">
        <v>40474859</v>
      </c>
      <c r="M669" s="39"/>
      <c r="N669" s="36">
        <v>37361414</v>
      </c>
      <c r="O669" s="36">
        <v>25201522</v>
      </c>
      <c r="P669" s="36">
        <v>1498673</v>
      </c>
      <c r="Q669" s="36">
        <f>Q668*1936.27</f>
        <v>45011132.663699999</v>
      </c>
      <c r="R669" s="7"/>
      <c r="S669" s="7"/>
      <c r="T669" s="7"/>
      <c r="U669" s="7"/>
      <c r="V669" s="7"/>
      <c r="W669" s="7"/>
      <c r="X669" s="7"/>
      <c r="Y669" s="7"/>
      <c r="Z669" s="7"/>
    </row>
    <row r="670" spans="1:26" ht="12.75" customHeight="1" x14ac:dyDescent="0.2">
      <c r="A670" s="95"/>
      <c r="B670" s="95"/>
      <c r="C670" s="40" t="s">
        <v>36</v>
      </c>
      <c r="D670" s="41">
        <v>28</v>
      </c>
      <c r="E670" s="30">
        <v>13852.59</v>
      </c>
      <c r="F670" s="30">
        <v>0</v>
      </c>
      <c r="G670" s="30">
        <v>0</v>
      </c>
      <c r="H670" s="30">
        <v>6280.06</v>
      </c>
      <c r="I670" s="30">
        <v>0</v>
      </c>
      <c r="J670" s="42">
        <v>1677.72</v>
      </c>
      <c r="K670" s="43">
        <v>20132.650000000001</v>
      </c>
      <c r="L670" s="51">
        <v>21810.37</v>
      </c>
      <c r="M670" s="33"/>
      <c r="N670" s="30">
        <v>20132.650000000001</v>
      </c>
      <c r="O670" s="30">
        <v>13852.59</v>
      </c>
      <c r="P670" s="30">
        <v>774</v>
      </c>
      <c r="Q670" s="30">
        <f>(N670+O670*0.18+J670)+(IF((P670-O670*0.18)&gt;0,(P670-O670*0.18),0))</f>
        <v>24303.836200000002</v>
      </c>
      <c r="R670" s="7"/>
      <c r="S670" s="7"/>
      <c r="T670" s="7"/>
      <c r="U670" s="7"/>
      <c r="V670" s="7"/>
      <c r="W670" s="7"/>
      <c r="X670" s="7"/>
      <c r="Y670" s="7"/>
      <c r="Z670" s="7"/>
    </row>
    <row r="671" spans="1:26" ht="9" customHeight="1" x14ac:dyDescent="0.2">
      <c r="A671" s="95"/>
      <c r="B671" s="95"/>
      <c r="C671" s="34" t="s">
        <v>37</v>
      </c>
      <c r="D671" s="35">
        <v>34</v>
      </c>
      <c r="E671" s="36">
        <v>26822354</v>
      </c>
      <c r="F671" s="36">
        <v>0</v>
      </c>
      <c r="G671" s="36">
        <v>0</v>
      </c>
      <c r="H671" s="36">
        <v>12159892</v>
      </c>
      <c r="I671" s="36">
        <v>0</v>
      </c>
      <c r="J671" s="37">
        <v>3248519</v>
      </c>
      <c r="K671" s="36">
        <v>38982246</v>
      </c>
      <c r="L671" s="50">
        <v>42230765</v>
      </c>
      <c r="M671" s="39"/>
      <c r="N671" s="36">
        <v>38982246</v>
      </c>
      <c r="O671" s="36">
        <v>26822354</v>
      </c>
      <c r="P671" s="36">
        <v>1498673</v>
      </c>
      <c r="Q671" s="36">
        <f>Q670*1936.27</f>
        <v>47058788.918974005</v>
      </c>
      <c r="R671" s="7"/>
      <c r="S671" s="7"/>
      <c r="T671" s="7"/>
      <c r="U671" s="7"/>
      <c r="V671" s="7"/>
      <c r="W671" s="7"/>
      <c r="X671" s="7"/>
      <c r="Y671" s="7"/>
      <c r="Z671" s="7"/>
    </row>
    <row r="672" spans="1:26" ht="12.75" customHeight="1" x14ac:dyDescent="0.2">
      <c r="A672" s="95"/>
      <c r="B672" s="95"/>
      <c r="C672" s="40" t="s">
        <v>36</v>
      </c>
      <c r="D672" s="41">
        <v>35</v>
      </c>
      <c r="E672" s="30">
        <v>14494.22</v>
      </c>
      <c r="F672" s="30">
        <v>0</v>
      </c>
      <c r="G672" s="30">
        <v>0</v>
      </c>
      <c r="H672" s="30">
        <v>6280.06</v>
      </c>
      <c r="I672" s="30">
        <v>0</v>
      </c>
      <c r="J672" s="42">
        <v>1731.19</v>
      </c>
      <c r="K672" s="43">
        <v>20774.28</v>
      </c>
      <c r="L672" s="51">
        <v>22505.47</v>
      </c>
      <c r="M672" s="33"/>
      <c r="N672" s="30">
        <v>20774.28</v>
      </c>
      <c r="O672" s="30">
        <v>14494.22</v>
      </c>
      <c r="P672" s="30">
        <v>774</v>
      </c>
      <c r="Q672" s="30">
        <f>(N672+O672*0.18+J672)+(IF((P672-O672*0.18)&gt;0,(P672-O672*0.18),0))</f>
        <v>25114.429599999996</v>
      </c>
      <c r="R672" s="7"/>
      <c r="S672" s="7"/>
      <c r="T672" s="7"/>
      <c r="U672" s="7"/>
      <c r="V672" s="7"/>
      <c r="W672" s="7"/>
      <c r="X672" s="7"/>
      <c r="Y672" s="7"/>
      <c r="Z672" s="7"/>
    </row>
    <row r="673" spans="1:26" ht="9" customHeight="1" x14ac:dyDescent="0.2">
      <c r="A673" s="110"/>
      <c r="B673" s="110"/>
      <c r="C673" s="47" t="s">
        <v>37</v>
      </c>
      <c r="D673" s="48"/>
      <c r="E673" s="36">
        <v>28064723</v>
      </c>
      <c r="F673" s="36">
        <v>0</v>
      </c>
      <c r="G673" s="36">
        <v>0</v>
      </c>
      <c r="H673" s="36">
        <v>12159892</v>
      </c>
      <c r="I673" s="36">
        <v>0</v>
      </c>
      <c r="J673" s="49">
        <v>3352051</v>
      </c>
      <c r="K673" s="46">
        <v>40224615</v>
      </c>
      <c r="L673" s="52">
        <v>43576666</v>
      </c>
      <c r="M673" s="39"/>
      <c r="N673" s="36">
        <v>40224615</v>
      </c>
      <c r="O673" s="36">
        <v>28064723</v>
      </c>
      <c r="P673" s="36">
        <v>1498673</v>
      </c>
      <c r="Q673" s="36">
        <f>Q672*1936.27</f>
        <v>48628316.601591989</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7"/>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7"/>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7"/>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7"/>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7"/>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7"/>
      <c r="M679" s="39"/>
      <c r="N679" s="96"/>
      <c r="O679" s="96"/>
      <c r="P679" s="96"/>
      <c r="Q679" s="96"/>
      <c r="R679" s="7"/>
      <c r="S679" s="7"/>
      <c r="T679" s="7"/>
      <c r="U679" s="7"/>
      <c r="V679" s="7"/>
      <c r="W679" s="7"/>
      <c r="X679" s="7"/>
      <c r="Y679" s="7"/>
      <c r="Z679" s="7"/>
    </row>
    <row r="680" spans="1:26" ht="12.75" customHeight="1" x14ac:dyDescent="0.2">
      <c r="A680" s="98">
        <v>39083</v>
      </c>
      <c r="B680" s="98">
        <v>39113</v>
      </c>
      <c r="C680" s="28" t="s">
        <v>36</v>
      </c>
      <c r="D680" s="29">
        <v>0</v>
      </c>
      <c r="E680" s="30">
        <v>9382.41</v>
      </c>
      <c r="F680" s="30">
        <v>0</v>
      </c>
      <c r="G680" s="30">
        <v>0</v>
      </c>
      <c r="H680" s="30">
        <v>6280.06</v>
      </c>
      <c r="I680" s="30">
        <v>0</v>
      </c>
      <c r="J680" s="30">
        <v>1305.21</v>
      </c>
      <c r="K680" s="31">
        <v>15662.47</v>
      </c>
      <c r="L680" s="32">
        <v>16967.68</v>
      </c>
      <c r="M680" s="33"/>
      <c r="N680" s="30">
        <v>15662.47</v>
      </c>
      <c r="O680" s="30">
        <v>9382.41</v>
      </c>
      <c r="P680" s="30">
        <v>774</v>
      </c>
      <c r="Q680" s="30">
        <f>(N680+O680*0.18+J680)+(IF((P680-O680*0.18)&gt;0,(P680-O680*0.18),0))</f>
        <v>18656.513799999997</v>
      </c>
      <c r="R680" s="7"/>
      <c r="S680" s="7"/>
      <c r="T680" s="7"/>
      <c r="U680" s="7"/>
      <c r="V680" s="7"/>
      <c r="W680" s="7"/>
      <c r="X680" s="7"/>
      <c r="Y680" s="7"/>
      <c r="Z680" s="7"/>
    </row>
    <row r="681" spans="1:26" ht="9" customHeight="1" x14ac:dyDescent="0.2">
      <c r="A681" s="95"/>
      <c r="B681" s="95"/>
      <c r="C681" s="34" t="s">
        <v>37</v>
      </c>
      <c r="D681" s="35">
        <v>2</v>
      </c>
      <c r="E681" s="36">
        <v>18166879</v>
      </c>
      <c r="F681" s="36">
        <v>0</v>
      </c>
      <c r="G681" s="36">
        <v>0</v>
      </c>
      <c r="H681" s="36">
        <v>12159892</v>
      </c>
      <c r="I681" s="36">
        <v>0</v>
      </c>
      <c r="J681" s="37">
        <v>2527239</v>
      </c>
      <c r="K681" s="36">
        <v>30326771</v>
      </c>
      <c r="L681" s="50">
        <v>32854010</v>
      </c>
      <c r="M681" s="39"/>
      <c r="N681" s="36">
        <v>30326771</v>
      </c>
      <c r="O681" s="36">
        <v>18166879</v>
      </c>
      <c r="P681" s="36">
        <v>1498673</v>
      </c>
      <c r="Q681" s="36">
        <f>Q680*1936.27</f>
        <v>36124047.97552599</v>
      </c>
      <c r="R681" s="7"/>
      <c r="S681" s="7"/>
      <c r="T681" s="7"/>
      <c r="U681" s="7"/>
      <c r="V681" s="7"/>
      <c r="W681" s="7"/>
      <c r="X681" s="7"/>
      <c r="Y681" s="7"/>
      <c r="Z681" s="7"/>
    </row>
    <row r="682" spans="1:26" ht="12.75" customHeight="1" x14ac:dyDescent="0.2">
      <c r="A682" s="156">
        <v>39083</v>
      </c>
      <c r="B682" s="156">
        <v>39113</v>
      </c>
      <c r="C682" s="40" t="s">
        <v>36</v>
      </c>
      <c r="D682" s="41">
        <v>3</v>
      </c>
      <c r="E682" s="30">
        <v>9734.43</v>
      </c>
      <c r="F682" s="30">
        <v>0</v>
      </c>
      <c r="G682" s="30">
        <v>0</v>
      </c>
      <c r="H682" s="30">
        <v>6280.06</v>
      </c>
      <c r="I682" s="30">
        <v>0</v>
      </c>
      <c r="J682" s="42">
        <v>1334.54</v>
      </c>
      <c r="K682" s="43">
        <v>16014.49</v>
      </c>
      <c r="L682" s="51">
        <v>17349.03</v>
      </c>
      <c r="M682" s="33"/>
      <c r="N682" s="30">
        <v>16014.49</v>
      </c>
      <c r="O682" s="30">
        <v>9734.43</v>
      </c>
      <c r="P682" s="30">
        <v>774</v>
      </c>
      <c r="Q682" s="30">
        <f>(N682+O682*0.18+J682)+(IF((P682-O682*0.18)&gt;0,(P682-O682*0.18),0))</f>
        <v>19101.2274</v>
      </c>
      <c r="R682" s="7"/>
      <c r="S682" s="7"/>
      <c r="T682" s="7"/>
      <c r="U682" s="7"/>
      <c r="V682" s="7"/>
      <c r="W682" s="7"/>
      <c r="X682" s="7"/>
      <c r="Y682" s="7"/>
      <c r="Z682" s="7"/>
    </row>
    <row r="683" spans="1:26" ht="9" customHeight="1" x14ac:dyDescent="0.2">
      <c r="A683" s="95"/>
      <c r="B683" s="95"/>
      <c r="C683" s="34" t="s">
        <v>37</v>
      </c>
      <c r="D683" s="35">
        <v>8</v>
      </c>
      <c r="E683" s="36">
        <v>18848485</v>
      </c>
      <c r="F683" s="36">
        <v>0</v>
      </c>
      <c r="G683" s="36">
        <v>0</v>
      </c>
      <c r="H683" s="36">
        <v>12159892</v>
      </c>
      <c r="I683" s="36">
        <v>0</v>
      </c>
      <c r="J683" s="37">
        <v>2584030</v>
      </c>
      <c r="K683" s="36">
        <v>31008377</v>
      </c>
      <c r="L683" s="50">
        <v>33592406</v>
      </c>
      <c r="M683" s="39"/>
      <c r="N683" s="36">
        <v>31008377</v>
      </c>
      <c r="O683" s="36">
        <v>18848485</v>
      </c>
      <c r="P683" s="36">
        <v>1498673</v>
      </c>
      <c r="Q683" s="36">
        <f>Q682*1936.27</f>
        <v>36985133.577798001</v>
      </c>
      <c r="R683" s="7"/>
      <c r="S683" s="7"/>
      <c r="T683" s="7"/>
      <c r="U683" s="7"/>
      <c r="V683" s="7"/>
      <c r="W683" s="7"/>
      <c r="X683" s="7"/>
      <c r="Y683" s="7"/>
      <c r="Z683" s="7"/>
    </row>
    <row r="684" spans="1:26" ht="12.75" customHeight="1" x14ac:dyDescent="0.2">
      <c r="A684" s="95"/>
      <c r="B684" s="95"/>
      <c r="C684" s="40" t="s">
        <v>36</v>
      </c>
      <c r="D684" s="41">
        <v>9</v>
      </c>
      <c r="E684" s="30">
        <v>10991.39</v>
      </c>
      <c r="F684" s="30">
        <v>0</v>
      </c>
      <c r="G684" s="30">
        <v>0</v>
      </c>
      <c r="H684" s="30">
        <v>6280.06</v>
      </c>
      <c r="I684" s="30">
        <v>0</v>
      </c>
      <c r="J684" s="42">
        <v>1439.29</v>
      </c>
      <c r="K684" s="43">
        <v>17271.45</v>
      </c>
      <c r="L684" s="51">
        <v>18710.740000000002</v>
      </c>
      <c r="M684" s="33"/>
      <c r="N684" s="30">
        <v>17271.45</v>
      </c>
      <c r="O684" s="30">
        <v>10991.39</v>
      </c>
      <c r="P684" s="30">
        <v>774</v>
      </c>
      <c r="Q684" s="30">
        <f>(N684+O684*0.18+J684)+(IF((P684-O684*0.18)&gt;0,(P684-O684*0.18),0))</f>
        <v>20689.190200000001</v>
      </c>
      <c r="R684" s="7"/>
      <c r="S684" s="7"/>
      <c r="T684" s="7"/>
      <c r="U684" s="7"/>
      <c r="V684" s="7"/>
      <c r="W684" s="7"/>
      <c r="X684" s="7"/>
      <c r="Y684" s="7"/>
      <c r="Z684" s="7"/>
    </row>
    <row r="685" spans="1:26" ht="9" customHeight="1" x14ac:dyDescent="0.2">
      <c r="A685" s="95"/>
      <c r="B685" s="95"/>
      <c r="C685" s="34" t="s">
        <v>37</v>
      </c>
      <c r="D685" s="35">
        <v>14</v>
      </c>
      <c r="E685" s="36">
        <v>21282299</v>
      </c>
      <c r="F685" s="36">
        <v>0</v>
      </c>
      <c r="G685" s="36">
        <v>0</v>
      </c>
      <c r="H685" s="36">
        <v>12159892</v>
      </c>
      <c r="I685" s="36">
        <v>0</v>
      </c>
      <c r="J685" s="37">
        <v>2786854</v>
      </c>
      <c r="K685" s="36">
        <v>33442190</v>
      </c>
      <c r="L685" s="50">
        <v>36229045</v>
      </c>
      <c r="M685" s="39"/>
      <c r="N685" s="36">
        <v>33442190</v>
      </c>
      <c r="O685" s="36">
        <v>21282299</v>
      </c>
      <c r="P685" s="36">
        <v>1498673</v>
      </c>
      <c r="Q685" s="36">
        <f>Q684*1936.27</f>
        <v>40059858.308554001</v>
      </c>
      <c r="R685" s="7"/>
      <c r="S685" s="7"/>
      <c r="T685" s="7"/>
      <c r="U685" s="7"/>
      <c r="V685" s="7"/>
      <c r="W685" s="7"/>
      <c r="X685" s="7"/>
      <c r="Y685" s="7"/>
      <c r="Z685" s="7"/>
    </row>
    <row r="686" spans="1:26" ht="12.75" customHeight="1" x14ac:dyDescent="0.2">
      <c r="A686" s="95"/>
      <c r="B686" s="95"/>
      <c r="C686" s="40" t="s">
        <v>36</v>
      </c>
      <c r="D686" s="41">
        <v>15</v>
      </c>
      <c r="E686" s="30">
        <v>12181.79</v>
      </c>
      <c r="F686" s="30">
        <v>0</v>
      </c>
      <c r="G686" s="30">
        <v>0</v>
      </c>
      <c r="H686" s="30">
        <v>6280.06</v>
      </c>
      <c r="I686" s="30">
        <v>0</v>
      </c>
      <c r="J686" s="42">
        <v>1538.49</v>
      </c>
      <c r="K686" s="43">
        <v>18461.849999999999</v>
      </c>
      <c r="L686" s="51">
        <v>20000.34</v>
      </c>
      <c r="M686" s="33"/>
      <c r="N686" s="30">
        <v>18461.849999999999</v>
      </c>
      <c r="O686" s="30">
        <v>12181.79</v>
      </c>
      <c r="P686" s="30">
        <v>774</v>
      </c>
      <c r="Q686" s="30">
        <f>(N686+O686*0.18+J686)+(IF((P686-O686*0.18)&gt;0,(P686-O686*0.18),0))</f>
        <v>22193.0622</v>
      </c>
      <c r="R686" s="7"/>
      <c r="S686" s="7"/>
      <c r="T686" s="7"/>
      <c r="U686" s="7"/>
      <c r="V686" s="7"/>
      <c r="W686" s="7"/>
      <c r="X686" s="7"/>
      <c r="Y686" s="7"/>
      <c r="Z686" s="7"/>
    </row>
    <row r="687" spans="1:26" ht="9" customHeight="1" x14ac:dyDescent="0.2">
      <c r="A687" s="95"/>
      <c r="B687" s="95"/>
      <c r="C687" s="34" t="s">
        <v>37</v>
      </c>
      <c r="D687" s="35">
        <v>20</v>
      </c>
      <c r="E687" s="36">
        <v>23587235</v>
      </c>
      <c r="F687" s="36">
        <v>0</v>
      </c>
      <c r="G687" s="36">
        <v>0</v>
      </c>
      <c r="H687" s="36">
        <v>12159892</v>
      </c>
      <c r="I687" s="36">
        <v>0</v>
      </c>
      <c r="J687" s="37">
        <v>2978932</v>
      </c>
      <c r="K687" s="36">
        <v>35747126</v>
      </c>
      <c r="L687" s="50">
        <v>38726058</v>
      </c>
      <c r="M687" s="39"/>
      <c r="N687" s="36">
        <v>35747126</v>
      </c>
      <c r="O687" s="36">
        <v>23587235</v>
      </c>
      <c r="P687" s="36">
        <v>1498673</v>
      </c>
      <c r="Q687" s="36">
        <f>Q686*1936.27</f>
        <v>42971760.545993999</v>
      </c>
      <c r="R687" s="7"/>
      <c r="S687" s="7"/>
      <c r="T687" s="7"/>
      <c r="U687" s="7"/>
      <c r="V687" s="7"/>
      <c r="W687" s="7"/>
      <c r="X687" s="7"/>
      <c r="Y687" s="7"/>
      <c r="Z687" s="7"/>
    </row>
    <row r="688" spans="1:26" ht="12.75" customHeight="1" x14ac:dyDescent="0.2">
      <c r="A688" s="95"/>
      <c r="B688" s="95"/>
      <c r="C688" s="40" t="s">
        <v>36</v>
      </c>
      <c r="D688" s="41">
        <v>21</v>
      </c>
      <c r="E688" s="30">
        <v>13379.46</v>
      </c>
      <c r="F688" s="30">
        <v>0</v>
      </c>
      <c r="G688" s="30">
        <v>0</v>
      </c>
      <c r="H688" s="30">
        <v>6280.06</v>
      </c>
      <c r="I688" s="30">
        <v>0</v>
      </c>
      <c r="J688" s="42">
        <v>1638.29</v>
      </c>
      <c r="K688" s="43">
        <v>19659.52</v>
      </c>
      <c r="L688" s="51">
        <v>21297.81</v>
      </c>
      <c r="M688" s="33"/>
      <c r="N688" s="30">
        <v>19659.52</v>
      </c>
      <c r="O688" s="30">
        <v>13379.46</v>
      </c>
      <c r="P688" s="30">
        <v>774</v>
      </c>
      <c r="Q688" s="30">
        <f>(N688+O688*0.18+J688)+(IF((P688-O688*0.18)&gt;0,(P688-O688*0.18),0))</f>
        <v>23706.112800000003</v>
      </c>
      <c r="R688" s="7"/>
      <c r="S688" s="7"/>
      <c r="T688" s="7"/>
      <c r="U688" s="7"/>
      <c r="V688" s="7"/>
      <c r="W688" s="7"/>
      <c r="X688" s="7"/>
      <c r="Y688" s="7"/>
      <c r="Z688" s="7"/>
    </row>
    <row r="689" spans="1:26" ht="9" customHeight="1" x14ac:dyDescent="0.2">
      <c r="A689" s="95"/>
      <c r="B689" s="95"/>
      <c r="C689" s="34" t="s">
        <v>37</v>
      </c>
      <c r="D689" s="35">
        <v>27</v>
      </c>
      <c r="E689" s="36">
        <v>25906247</v>
      </c>
      <c r="F689" s="36">
        <v>0</v>
      </c>
      <c r="G689" s="36">
        <v>0</v>
      </c>
      <c r="H689" s="36">
        <v>12159892</v>
      </c>
      <c r="I689" s="36">
        <v>0</v>
      </c>
      <c r="J689" s="37">
        <v>3172172</v>
      </c>
      <c r="K689" s="36">
        <v>38066139</v>
      </c>
      <c r="L689" s="50">
        <v>41238311</v>
      </c>
      <c r="M689" s="39"/>
      <c r="N689" s="36">
        <v>38066139</v>
      </c>
      <c r="O689" s="36">
        <v>25906247</v>
      </c>
      <c r="P689" s="36">
        <v>1498673</v>
      </c>
      <c r="Q689" s="36">
        <f>Q688*1936.27</f>
        <v>45901435.031256005</v>
      </c>
      <c r="R689" s="7"/>
      <c r="S689" s="7"/>
      <c r="T689" s="7"/>
      <c r="U689" s="7"/>
      <c r="V689" s="7"/>
      <c r="W689" s="7"/>
      <c r="X689" s="7"/>
      <c r="Y689" s="7"/>
      <c r="Z689" s="7"/>
    </row>
    <row r="690" spans="1:26" ht="12.75" customHeight="1" x14ac:dyDescent="0.2">
      <c r="A690" s="95"/>
      <c r="B690" s="95"/>
      <c r="C690" s="40" t="s">
        <v>36</v>
      </c>
      <c r="D690" s="41">
        <v>28</v>
      </c>
      <c r="E690" s="30">
        <v>14232.27</v>
      </c>
      <c r="F690" s="30">
        <v>0</v>
      </c>
      <c r="G690" s="30">
        <v>0</v>
      </c>
      <c r="H690" s="30">
        <v>6280.06</v>
      </c>
      <c r="I690" s="30">
        <v>0</v>
      </c>
      <c r="J690" s="42">
        <v>1709.36</v>
      </c>
      <c r="K690" s="43">
        <v>20512.330000000002</v>
      </c>
      <c r="L690" s="51">
        <v>22221.69</v>
      </c>
      <c r="M690" s="33"/>
      <c r="N690" s="30">
        <v>20512.330000000002</v>
      </c>
      <c r="O690" s="30">
        <v>14232.27</v>
      </c>
      <c r="P690" s="30">
        <v>774</v>
      </c>
      <c r="Q690" s="30">
        <f>(N690+O690*0.18+J690)+(IF((P690-O690*0.18)&gt;0,(P690-O690*0.18),0))</f>
        <v>24783.498600000003</v>
      </c>
      <c r="R690" s="7"/>
      <c r="S690" s="7"/>
      <c r="T690" s="7"/>
      <c r="U690" s="7"/>
      <c r="V690" s="7"/>
      <c r="W690" s="7"/>
      <c r="X690" s="7"/>
      <c r="Y690" s="7"/>
      <c r="Z690" s="7"/>
    </row>
    <row r="691" spans="1:26" ht="9" customHeight="1" x14ac:dyDescent="0.2">
      <c r="A691" s="95"/>
      <c r="B691" s="95"/>
      <c r="C691" s="34" t="s">
        <v>37</v>
      </c>
      <c r="D691" s="35">
        <v>34</v>
      </c>
      <c r="E691" s="36">
        <v>27557517</v>
      </c>
      <c r="F691" s="36">
        <v>0</v>
      </c>
      <c r="G691" s="36">
        <v>0</v>
      </c>
      <c r="H691" s="36">
        <v>12159892</v>
      </c>
      <c r="I691" s="36">
        <v>0</v>
      </c>
      <c r="J691" s="37">
        <v>3309782</v>
      </c>
      <c r="K691" s="36">
        <v>39717409</v>
      </c>
      <c r="L691" s="50">
        <v>43027192</v>
      </c>
      <c r="M691" s="39"/>
      <c r="N691" s="36">
        <v>39717409</v>
      </c>
      <c r="O691" s="36">
        <v>27557517</v>
      </c>
      <c r="P691" s="36">
        <v>1498673</v>
      </c>
      <c r="Q691" s="36">
        <f>Q690*1936.27</f>
        <v>47987544.834222004</v>
      </c>
      <c r="R691" s="7"/>
      <c r="S691" s="7"/>
      <c r="T691" s="7"/>
      <c r="U691" s="7"/>
      <c r="V691" s="7"/>
      <c r="W691" s="7"/>
      <c r="X691" s="7"/>
      <c r="Y691" s="7"/>
      <c r="Z691" s="7"/>
    </row>
    <row r="692" spans="1:26" ht="12.75" customHeight="1" x14ac:dyDescent="0.2">
      <c r="A692" s="95"/>
      <c r="B692" s="95"/>
      <c r="C692" s="40" t="s">
        <v>36</v>
      </c>
      <c r="D692" s="41">
        <v>35</v>
      </c>
      <c r="E692" s="30">
        <v>14885.9</v>
      </c>
      <c r="F692" s="30">
        <v>0</v>
      </c>
      <c r="G692" s="30">
        <v>0</v>
      </c>
      <c r="H692" s="30">
        <v>6280.06</v>
      </c>
      <c r="I692" s="30">
        <v>0</v>
      </c>
      <c r="J692" s="42">
        <v>1763.83</v>
      </c>
      <c r="K692" s="43">
        <v>21165.96</v>
      </c>
      <c r="L692" s="51">
        <v>22929.79</v>
      </c>
      <c r="M692" s="33"/>
      <c r="N692" s="30">
        <v>21165.96</v>
      </c>
      <c r="O692" s="30">
        <v>14885.9</v>
      </c>
      <c r="P692" s="30">
        <v>774</v>
      </c>
      <c r="Q692" s="30">
        <f>(N692+O692*0.18+J692)+(IF((P692-O692*0.18)&gt;0,(P692-O692*0.18),0))</f>
        <v>25609.252</v>
      </c>
      <c r="R692" s="7"/>
      <c r="S692" s="7"/>
      <c r="T692" s="7"/>
      <c r="U692" s="7"/>
      <c r="V692" s="7"/>
      <c r="W692" s="7"/>
      <c r="X692" s="7"/>
      <c r="Y692" s="7"/>
      <c r="Z692" s="7"/>
    </row>
    <row r="693" spans="1:26" ht="9" customHeight="1" x14ac:dyDescent="0.2">
      <c r="A693" s="110"/>
      <c r="B693" s="110"/>
      <c r="C693" s="47" t="s">
        <v>37</v>
      </c>
      <c r="D693" s="48"/>
      <c r="E693" s="36">
        <v>28823122</v>
      </c>
      <c r="F693" s="36">
        <v>0</v>
      </c>
      <c r="G693" s="36">
        <v>0</v>
      </c>
      <c r="H693" s="36">
        <v>12159892</v>
      </c>
      <c r="I693" s="36">
        <v>0</v>
      </c>
      <c r="J693" s="49">
        <v>3415251</v>
      </c>
      <c r="K693" s="46">
        <v>40983013</v>
      </c>
      <c r="L693" s="52">
        <v>44398264</v>
      </c>
      <c r="M693" s="39"/>
      <c r="N693" s="36">
        <v>40983013</v>
      </c>
      <c r="O693" s="36">
        <v>28823122</v>
      </c>
      <c r="P693" s="36">
        <v>1498673</v>
      </c>
      <c r="Q693" s="36">
        <f>Q692*1936.27</f>
        <v>49586426.370039999</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7"/>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7"/>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7"/>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7"/>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7"/>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7"/>
      <c r="M699" s="39"/>
      <c r="N699" s="96"/>
      <c r="O699" s="96"/>
      <c r="P699" s="96"/>
      <c r="Q699" s="96"/>
      <c r="R699" s="7"/>
      <c r="S699" s="7"/>
      <c r="T699" s="7"/>
      <c r="U699" s="7"/>
      <c r="V699" s="7"/>
      <c r="W699" s="7"/>
      <c r="X699" s="7"/>
      <c r="Y699" s="7"/>
      <c r="Z699" s="7"/>
    </row>
    <row r="700" spans="1:26" ht="12.75" customHeight="1" x14ac:dyDescent="0.2">
      <c r="A700" s="98">
        <v>39114</v>
      </c>
      <c r="B700" s="98">
        <v>39538</v>
      </c>
      <c r="C700" s="28" t="s">
        <v>36</v>
      </c>
      <c r="D700" s="29">
        <v>0</v>
      </c>
      <c r="E700" s="30">
        <v>9805.5300000000007</v>
      </c>
      <c r="F700" s="30">
        <v>0</v>
      </c>
      <c r="G700" s="30">
        <v>0</v>
      </c>
      <c r="H700" s="30">
        <v>6280.06</v>
      </c>
      <c r="I700" s="30">
        <v>0</v>
      </c>
      <c r="J700" s="30">
        <v>1340.47</v>
      </c>
      <c r="K700" s="31">
        <v>16085.59</v>
      </c>
      <c r="L700" s="32">
        <v>17426.060000000001</v>
      </c>
      <c r="M700" s="33"/>
      <c r="N700" s="30">
        <v>16085.59</v>
      </c>
      <c r="O700" s="30">
        <v>9805.5300000000007</v>
      </c>
      <c r="P700" s="30">
        <v>774</v>
      </c>
      <c r="Q700" s="30">
        <f>(N700+O700*0.18+J700)+(IF((P700-O700*0.18)&gt;0,(P700-O700*0.18),0))</f>
        <v>19191.055400000001</v>
      </c>
      <c r="R700" s="7"/>
      <c r="S700" s="7"/>
      <c r="T700" s="7"/>
      <c r="U700" s="7"/>
      <c r="V700" s="7"/>
      <c r="W700" s="7"/>
      <c r="X700" s="7"/>
      <c r="Y700" s="7"/>
      <c r="Z700" s="7"/>
    </row>
    <row r="701" spans="1:26" ht="9" customHeight="1" x14ac:dyDescent="0.2">
      <c r="A701" s="95"/>
      <c r="B701" s="95"/>
      <c r="C701" s="34" t="s">
        <v>37</v>
      </c>
      <c r="D701" s="35">
        <v>2</v>
      </c>
      <c r="E701" s="36">
        <v>18986154</v>
      </c>
      <c r="F701" s="36">
        <v>0</v>
      </c>
      <c r="G701" s="36">
        <v>0</v>
      </c>
      <c r="H701" s="36">
        <v>12159892</v>
      </c>
      <c r="I701" s="36">
        <v>0</v>
      </c>
      <c r="J701" s="37">
        <v>2595512</v>
      </c>
      <c r="K701" s="36">
        <v>31146045</v>
      </c>
      <c r="L701" s="50">
        <v>33741557</v>
      </c>
      <c r="M701" s="39"/>
      <c r="N701" s="36">
        <v>31146045</v>
      </c>
      <c r="O701" s="36">
        <v>18986154</v>
      </c>
      <c r="P701" s="36">
        <v>1498673</v>
      </c>
      <c r="Q701" s="36">
        <f>Q700*1936.27</f>
        <v>37159064.839358002</v>
      </c>
      <c r="R701" s="7"/>
      <c r="S701" s="7"/>
      <c r="T701" s="7"/>
      <c r="U701" s="7"/>
      <c r="V701" s="7"/>
      <c r="W701" s="7"/>
      <c r="X701" s="7"/>
      <c r="Y701" s="7"/>
      <c r="Z701" s="7"/>
    </row>
    <row r="702" spans="1:26" ht="12.75" customHeight="1" x14ac:dyDescent="0.2">
      <c r="A702" s="156">
        <v>39114</v>
      </c>
      <c r="B702" s="156">
        <v>39538</v>
      </c>
      <c r="C702" s="40" t="s">
        <v>36</v>
      </c>
      <c r="D702" s="41">
        <v>3</v>
      </c>
      <c r="E702" s="30">
        <v>10167.15</v>
      </c>
      <c r="F702" s="30">
        <v>0</v>
      </c>
      <c r="G702" s="30">
        <v>0</v>
      </c>
      <c r="H702" s="30">
        <v>6280.06</v>
      </c>
      <c r="I702" s="30">
        <v>0</v>
      </c>
      <c r="J702" s="42">
        <v>1370.6</v>
      </c>
      <c r="K702" s="43">
        <v>16447.21</v>
      </c>
      <c r="L702" s="51">
        <v>17817.810000000001</v>
      </c>
      <c r="M702" s="33"/>
      <c r="N702" s="30">
        <v>16447.21</v>
      </c>
      <c r="O702" s="30">
        <v>10167.15</v>
      </c>
      <c r="P702" s="30">
        <v>774</v>
      </c>
      <c r="Q702" s="30">
        <f>(N702+O702*0.18+J702)+(IF((P702-O702*0.18)&gt;0,(P702-O702*0.18),0))</f>
        <v>19647.896999999997</v>
      </c>
      <c r="R702" s="7"/>
      <c r="S702" s="7"/>
      <c r="T702" s="7"/>
      <c r="U702" s="7"/>
      <c r="V702" s="7"/>
      <c r="W702" s="7"/>
      <c r="X702" s="7"/>
      <c r="Y702" s="7"/>
      <c r="Z702" s="7"/>
    </row>
    <row r="703" spans="1:26" ht="9" customHeight="1" x14ac:dyDescent="0.2">
      <c r="A703" s="95"/>
      <c r="B703" s="95"/>
      <c r="C703" s="34" t="s">
        <v>37</v>
      </c>
      <c r="D703" s="35">
        <v>8</v>
      </c>
      <c r="E703" s="36">
        <v>19686348</v>
      </c>
      <c r="F703" s="36">
        <v>0</v>
      </c>
      <c r="G703" s="36">
        <v>0</v>
      </c>
      <c r="H703" s="36">
        <v>12159892</v>
      </c>
      <c r="I703" s="36">
        <v>0</v>
      </c>
      <c r="J703" s="37">
        <v>2653852</v>
      </c>
      <c r="K703" s="36">
        <v>31846239</v>
      </c>
      <c r="L703" s="50">
        <v>34500091</v>
      </c>
      <c r="M703" s="39"/>
      <c r="N703" s="36">
        <v>31846239</v>
      </c>
      <c r="O703" s="36">
        <v>19686348</v>
      </c>
      <c r="P703" s="36">
        <v>1498673</v>
      </c>
      <c r="Q703" s="36">
        <f>Q702*1936.27</f>
        <v>38043633.524189994</v>
      </c>
      <c r="R703" s="7"/>
      <c r="S703" s="7"/>
      <c r="T703" s="7"/>
      <c r="U703" s="7"/>
      <c r="V703" s="7"/>
      <c r="W703" s="7"/>
      <c r="X703" s="7"/>
      <c r="Y703" s="7"/>
      <c r="Z703" s="7"/>
    </row>
    <row r="704" spans="1:26" ht="12.75" customHeight="1" x14ac:dyDescent="0.2">
      <c r="A704" s="95"/>
      <c r="B704" s="95"/>
      <c r="C704" s="40" t="s">
        <v>36</v>
      </c>
      <c r="D704" s="41">
        <v>9</v>
      </c>
      <c r="E704" s="30">
        <v>11457.95</v>
      </c>
      <c r="F704" s="30">
        <v>0</v>
      </c>
      <c r="G704" s="30">
        <v>0</v>
      </c>
      <c r="H704" s="30">
        <v>6280.06</v>
      </c>
      <c r="I704" s="30">
        <v>0</v>
      </c>
      <c r="J704" s="42">
        <v>1478.17</v>
      </c>
      <c r="K704" s="43">
        <v>17738.009999999998</v>
      </c>
      <c r="L704" s="51">
        <v>19216.18</v>
      </c>
      <c r="M704" s="33"/>
      <c r="N704" s="30">
        <v>17738.009999999998</v>
      </c>
      <c r="O704" s="30">
        <v>11457.95</v>
      </c>
      <c r="P704" s="30">
        <v>774</v>
      </c>
      <c r="Q704" s="30">
        <f>(N704+O704*0.18+J704)+(IF((P704-O704*0.18)&gt;0,(P704-O704*0.18),0))</f>
        <v>21278.610999999997</v>
      </c>
      <c r="R704" s="7"/>
      <c r="S704" s="7"/>
      <c r="T704" s="7"/>
      <c r="U704" s="7"/>
      <c r="V704" s="7"/>
      <c r="W704" s="7"/>
      <c r="X704" s="7"/>
      <c r="Y704" s="7"/>
      <c r="Z704" s="7"/>
    </row>
    <row r="705" spans="1:26" ht="9" customHeight="1" x14ac:dyDescent="0.2">
      <c r="A705" s="95"/>
      <c r="B705" s="95"/>
      <c r="C705" s="34" t="s">
        <v>37</v>
      </c>
      <c r="D705" s="35">
        <v>14</v>
      </c>
      <c r="E705" s="36">
        <v>22185685</v>
      </c>
      <c r="F705" s="36">
        <v>0</v>
      </c>
      <c r="G705" s="36">
        <v>0</v>
      </c>
      <c r="H705" s="36">
        <v>12159892</v>
      </c>
      <c r="I705" s="36">
        <v>0</v>
      </c>
      <c r="J705" s="37">
        <v>2862136</v>
      </c>
      <c r="K705" s="36">
        <v>34345577</v>
      </c>
      <c r="L705" s="50">
        <v>37207713</v>
      </c>
      <c r="M705" s="39"/>
      <c r="N705" s="36">
        <v>34345577</v>
      </c>
      <c r="O705" s="36">
        <v>22185685</v>
      </c>
      <c r="P705" s="36">
        <v>1498673</v>
      </c>
      <c r="Q705" s="36">
        <f>Q704*1936.27</f>
        <v>41201136.120969996</v>
      </c>
      <c r="R705" s="7"/>
      <c r="S705" s="7"/>
      <c r="T705" s="7"/>
      <c r="U705" s="7"/>
      <c r="V705" s="7"/>
      <c r="W705" s="7"/>
      <c r="X705" s="7"/>
      <c r="Y705" s="7"/>
      <c r="Z705" s="7"/>
    </row>
    <row r="706" spans="1:26" ht="12.75" customHeight="1" x14ac:dyDescent="0.2">
      <c r="A706" s="95"/>
      <c r="B706" s="95"/>
      <c r="C706" s="40" t="s">
        <v>36</v>
      </c>
      <c r="D706" s="41">
        <v>15</v>
      </c>
      <c r="E706" s="30">
        <v>12680.51</v>
      </c>
      <c r="F706" s="30">
        <v>0</v>
      </c>
      <c r="G706" s="30">
        <v>0</v>
      </c>
      <c r="H706" s="30">
        <v>6280.06</v>
      </c>
      <c r="I706" s="30">
        <v>0</v>
      </c>
      <c r="J706" s="42">
        <v>1580.05</v>
      </c>
      <c r="K706" s="43">
        <v>18960.57</v>
      </c>
      <c r="L706" s="51">
        <v>20540.62</v>
      </c>
      <c r="M706" s="33"/>
      <c r="N706" s="30">
        <v>18960.57</v>
      </c>
      <c r="O706" s="30">
        <v>12680.51</v>
      </c>
      <c r="P706" s="30">
        <v>774</v>
      </c>
      <c r="Q706" s="30">
        <f>(N706+O706*0.18+J706)+(IF((P706-O706*0.18)&gt;0,(P706-O706*0.18),0))</f>
        <v>22823.111799999999</v>
      </c>
      <c r="R706" s="7"/>
      <c r="S706" s="7"/>
      <c r="T706" s="7"/>
      <c r="U706" s="7"/>
      <c r="V706" s="7"/>
      <c r="W706" s="7"/>
      <c r="X706" s="7"/>
      <c r="Y706" s="7"/>
      <c r="Z706" s="7"/>
    </row>
    <row r="707" spans="1:26" ht="9" customHeight="1" x14ac:dyDescent="0.2">
      <c r="A707" s="95"/>
      <c r="B707" s="95"/>
      <c r="C707" s="34" t="s">
        <v>37</v>
      </c>
      <c r="D707" s="35">
        <v>20</v>
      </c>
      <c r="E707" s="36">
        <v>24552891</v>
      </c>
      <c r="F707" s="36">
        <v>0</v>
      </c>
      <c r="G707" s="36">
        <v>0</v>
      </c>
      <c r="H707" s="36">
        <v>12159892</v>
      </c>
      <c r="I707" s="36">
        <v>0</v>
      </c>
      <c r="J707" s="37">
        <v>3059403</v>
      </c>
      <c r="K707" s="36">
        <v>36712783</v>
      </c>
      <c r="L707" s="50">
        <v>39772186</v>
      </c>
      <c r="M707" s="39"/>
      <c r="N707" s="36">
        <v>36712783</v>
      </c>
      <c r="O707" s="36">
        <v>24552891</v>
      </c>
      <c r="P707" s="36">
        <v>1498673</v>
      </c>
      <c r="Q707" s="36">
        <f>Q706*1936.27</f>
        <v>44191706.684985995</v>
      </c>
      <c r="R707" s="7"/>
      <c r="S707" s="7"/>
      <c r="T707" s="7"/>
      <c r="U707" s="7"/>
      <c r="V707" s="7"/>
      <c r="W707" s="7"/>
      <c r="X707" s="7"/>
      <c r="Y707" s="7"/>
      <c r="Z707" s="7"/>
    </row>
    <row r="708" spans="1:26" ht="12.75" customHeight="1" x14ac:dyDescent="0.2">
      <c r="A708" s="95"/>
      <c r="B708" s="95"/>
      <c r="C708" s="40" t="s">
        <v>36</v>
      </c>
      <c r="D708" s="41">
        <v>21</v>
      </c>
      <c r="E708" s="30">
        <v>13910.46</v>
      </c>
      <c r="F708" s="30">
        <v>0</v>
      </c>
      <c r="G708" s="30">
        <v>0</v>
      </c>
      <c r="H708" s="30">
        <v>6280.06</v>
      </c>
      <c r="I708" s="30">
        <v>0</v>
      </c>
      <c r="J708" s="42">
        <v>1682.54</v>
      </c>
      <c r="K708" s="43">
        <v>20190.52</v>
      </c>
      <c r="L708" s="51">
        <v>21873.06</v>
      </c>
      <c r="M708" s="33"/>
      <c r="N708" s="30">
        <v>20190.52</v>
      </c>
      <c r="O708" s="30">
        <v>13910.46</v>
      </c>
      <c r="P708" s="30">
        <v>774</v>
      </c>
      <c r="Q708" s="30">
        <f>(N708+O708*0.18+J708)+(IF((P708-O708*0.18)&gt;0,(P708-O708*0.18),0))</f>
        <v>24376.942800000001</v>
      </c>
      <c r="R708" s="7"/>
      <c r="S708" s="7"/>
      <c r="T708" s="7"/>
      <c r="U708" s="7"/>
      <c r="V708" s="7"/>
      <c r="W708" s="7"/>
      <c r="X708" s="7"/>
      <c r="Y708" s="7"/>
      <c r="Z708" s="7"/>
    </row>
    <row r="709" spans="1:26" ht="9" customHeight="1" x14ac:dyDescent="0.2">
      <c r="A709" s="95"/>
      <c r="B709" s="95"/>
      <c r="C709" s="34" t="s">
        <v>37</v>
      </c>
      <c r="D709" s="35">
        <v>27</v>
      </c>
      <c r="E709" s="36">
        <v>26934406</v>
      </c>
      <c r="F709" s="36">
        <v>0</v>
      </c>
      <c r="G709" s="36">
        <v>0</v>
      </c>
      <c r="H709" s="36">
        <v>12159892</v>
      </c>
      <c r="I709" s="36">
        <v>0</v>
      </c>
      <c r="J709" s="37">
        <v>3257852</v>
      </c>
      <c r="K709" s="36">
        <v>39094298</v>
      </c>
      <c r="L709" s="50">
        <v>42352150</v>
      </c>
      <c r="M709" s="39"/>
      <c r="N709" s="36">
        <v>39094298</v>
      </c>
      <c r="O709" s="36">
        <v>26934406</v>
      </c>
      <c r="P709" s="36">
        <v>1498673</v>
      </c>
      <c r="Q709" s="36">
        <f>Q708*1936.27</f>
        <v>47200343.035356</v>
      </c>
      <c r="R709" s="7"/>
      <c r="S709" s="7"/>
      <c r="T709" s="7"/>
      <c r="U709" s="7"/>
      <c r="V709" s="7"/>
      <c r="W709" s="7"/>
      <c r="X709" s="7"/>
      <c r="Y709" s="7"/>
      <c r="Z709" s="7"/>
    </row>
    <row r="710" spans="1:26" ht="12.75" customHeight="1" x14ac:dyDescent="0.2">
      <c r="A710" s="95"/>
      <c r="B710" s="95"/>
      <c r="C710" s="40" t="s">
        <v>36</v>
      </c>
      <c r="D710" s="41">
        <v>28</v>
      </c>
      <c r="E710" s="30">
        <v>14786.43</v>
      </c>
      <c r="F710" s="30">
        <v>0</v>
      </c>
      <c r="G710" s="30">
        <v>0</v>
      </c>
      <c r="H710" s="30">
        <v>6280.06</v>
      </c>
      <c r="I710" s="30">
        <v>0</v>
      </c>
      <c r="J710" s="42">
        <v>1755.54</v>
      </c>
      <c r="K710" s="43">
        <v>21066.49</v>
      </c>
      <c r="L710" s="51">
        <v>22822.03</v>
      </c>
      <c r="M710" s="33"/>
      <c r="N710" s="30">
        <v>21066.49</v>
      </c>
      <c r="O710" s="30">
        <v>14786.43</v>
      </c>
      <c r="P710" s="30">
        <v>774</v>
      </c>
      <c r="Q710" s="30">
        <f>(N710+O710*0.18+J710)+(IF((P710-O710*0.18)&gt;0,(P710-O710*0.18),0))</f>
        <v>25483.587400000004</v>
      </c>
      <c r="R710" s="7"/>
      <c r="S710" s="7"/>
      <c r="T710" s="7"/>
      <c r="U710" s="7"/>
      <c r="V710" s="7"/>
      <c r="W710" s="7"/>
      <c r="X710" s="7"/>
      <c r="Y710" s="7"/>
      <c r="Z710" s="7"/>
    </row>
    <row r="711" spans="1:26" ht="9" customHeight="1" x14ac:dyDescent="0.2">
      <c r="A711" s="95"/>
      <c r="B711" s="95"/>
      <c r="C711" s="34" t="s">
        <v>37</v>
      </c>
      <c r="D711" s="35">
        <v>34</v>
      </c>
      <c r="E711" s="36">
        <v>28630521</v>
      </c>
      <c r="F711" s="36">
        <v>0</v>
      </c>
      <c r="G711" s="36">
        <v>0</v>
      </c>
      <c r="H711" s="36">
        <v>12159892</v>
      </c>
      <c r="I711" s="36">
        <v>0</v>
      </c>
      <c r="J711" s="37">
        <v>3399199</v>
      </c>
      <c r="K711" s="36">
        <v>40790413</v>
      </c>
      <c r="L711" s="50">
        <v>44189612</v>
      </c>
      <c r="M711" s="39"/>
      <c r="N711" s="36">
        <v>40790413</v>
      </c>
      <c r="O711" s="36">
        <v>28630521</v>
      </c>
      <c r="P711" s="36">
        <v>1498673</v>
      </c>
      <c r="Q711" s="36">
        <f>Q710*1936.27</f>
        <v>49343105.774998009</v>
      </c>
      <c r="R711" s="7"/>
      <c r="S711" s="7"/>
      <c r="T711" s="7"/>
      <c r="U711" s="7"/>
      <c r="V711" s="7"/>
      <c r="W711" s="7"/>
      <c r="X711" s="7"/>
      <c r="Y711" s="7"/>
      <c r="Z711" s="7"/>
    </row>
    <row r="712" spans="1:26" ht="12.75" customHeight="1" x14ac:dyDescent="0.2">
      <c r="A712" s="95"/>
      <c r="B712" s="95"/>
      <c r="C712" s="40" t="s">
        <v>36</v>
      </c>
      <c r="D712" s="41">
        <v>35</v>
      </c>
      <c r="E712" s="30">
        <v>15457.7</v>
      </c>
      <c r="F712" s="30">
        <v>0</v>
      </c>
      <c r="G712" s="30">
        <v>0</v>
      </c>
      <c r="H712" s="30">
        <v>6280.06</v>
      </c>
      <c r="I712" s="30">
        <v>0</v>
      </c>
      <c r="J712" s="42">
        <v>1811.48</v>
      </c>
      <c r="K712" s="43">
        <v>21737.759999999998</v>
      </c>
      <c r="L712" s="51">
        <v>23549.24</v>
      </c>
      <c r="M712" s="33"/>
      <c r="N712" s="30">
        <v>21737.759999999998</v>
      </c>
      <c r="O712" s="30">
        <v>15457.7</v>
      </c>
      <c r="P712" s="30">
        <v>774</v>
      </c>
      <c r="Q712" s="30">
        <f>(N712+O712*0.18+J712)+(IF((P712-O712*0.18)&gt;0,(P712-O712*0.18),0))</f>
        <v>26331.625999999997</v>
      </c>
      <c r="R712" s="7"/>
      <c r="S712" s="7"/>
      <c r="T712" s="7"/>
      <c r="U712" s="7"/>
      <c r="V712" s="7"/>
      <c r="W712" s="7"/>
      <c r="X712" s="7"/>
      <c r="Y712" s="7"/>
      <c r="Z712" s="7"/>
    </row>
    <row r="713" spans="1:26" ht="9" customHeight="1" x14ac:dyDescent="0.2">
      <c r="A713" s="110"/>
      <c r="B713" s="110"/>
      <c r="C713" s="47" t="s">
        <v>37</v>
      </c>
      <c r="D713" s="48"/>
      <c r="E713" s="46">
        <v>29930281</v>
      </c>
      <c r="F713" s="46">
        <v>0</v>
      </c>
      <c r="G713" s="46">
        <v>0</v>
      </c>
      <c r="H713" s="46">
        <v>12159892</v>
      </c>
      <c r="I713" s="46">
        <v>0</v>
      </c>
      <c r="J713" s="49">
        <v>3507514</v>
      </c>
      <c r="K713" s="46">
        <v>42090173</v>
      </c>
      <c r="L713" s="52">
        <v>45597687</v>
      </c>
      <c r="M713" s="39"/>
      <c r="N713" s="36">
        <v>42090173</v>
      </c>
      <c r="O713" s="36">
        <v>29930281</v>
      </c>
      <c r="P713" s="36">
        <v>1498673</v>
      </c>
      <c r="Q713" s="36">
        <f>Q712*1936.27</f>
        <v>50985137.475019991</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7"/>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7"/>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7"/>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7"/>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7"/>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7"/>
      <c r="M719" s="39"/>
      <c r="N719" s="96"/>
      <c r="O719" s="96"/>
      <c r="P719" s="96"/>
      <c r="Q719" s="96"/>
      <c r="R719" s="7"/>
      <c r="S719" s="7"/>
      <c r="T719" s="7"/>
      <c r="U719" s="7"/>
      <c r="V719" s="7"/>
      <c r="W719" s="7"/>
      <c r="X719" s="7"/>
      <c r="Y719" s="7"/>
      <c r="Z719" s="7"/>
    </row>
    <row r="720" spans="1:26" ht="12.75" customHeight="1" x14ac:dyDescent="0.2">
      <c r="A720" s="98">
        <v>39114</v>
      </c>
      <c r="B720" s="98">
        <v>39538</v>
      </c>
      <c r="C720" s="28" t="s">
        <v>37</v>
      </c>
      <c r="D720" s="29">
        <v>0</v>
      </c>
      <c r="E720" s="30">
        <v>9805.5300000000007</v>
      </c>
      <c r="F720" s="30">
        <v>0</v>
      </c>
      <c r="G720" s="30">
        <v>0</v>
      </c>
      <c r="H720" s="30">
        <v>6280.06</v>
      </c>
      <c r="I720" s="30">
        <v>0</v>
      </c>
      <c r="J720" s="30">
        <v>1340.47</v>
      </c>
      <c r="K720" s="31">
        <v>16085.59</v>
      </c>
      <c r="L720" s="32">
        <v>17426.060000000001</v>
      </c>
      <c r="M720" s="33"/>
      <c r="N720" s="30">
        <v>16085.59</v>
      </c>
      <c r="O720" s="30">
        <v>9805.5300000000007</v>
      </c>
      <c r="P720" s="30">
        <v>774</v>
      </c>
      <c r="Q720" s="30">
        <f>(N720+O720*0.18+J720)+(IF((P720-O720*0.18)&gt;0,(P720-O720*0.18),0))</f>
        <v>19191.055400000001</v>
      </c>
      <c r="R720" s="7"/>
      <c r="S720" s="7"/>
      <c r="T720" s="7"/>
      <c r="U720" s="7"/>
      <c r="V720" s="7"/>
      <c r="W720" s="7"/>
      <c r="X720" s="7"/>
      <c r="Y720" s="7"/>
      <c r="Z720" s="7"/>
    </row>
    <row r="721" spans="1:26" ht="9" customHeight="1" x14ac:dyDescent="0.2">
      <c r="A721" s="95"/>
      <c r="B721" s="95"/>
      <c r="C721" s="34" t="s">
        <v>37</v>
      </c>
      <c r="D721" s="35">
        <v>2</v>
      </c>
      <c r="E721" s="36">
        <v>18986154</v>
      </c>
      <c r="F721" s="36">
        <v>0</v>
      </c>
      <c r="G721" s="36">
        <v>0</v>
      </c>
      <c r="H721" s="36">
        <v>12159892</v>
      </c>
      <c r="I721" s="36">
        <v>0</v>
      </c>
      <c r="J721" s="37">
        <v>2595512</v>
      </c>
      <c r="K721" s="36">
        <v>31146045</v>
      </c>
      <c r="L721" s="50">
        <v>33741557</v>
      </c>
      <c r="M721" s="39"/>
      <c r="N721" s="36">
        <v>31146045</v>
      </c>
      <c r="O721" s="36">
        <v>18986154</v>
      </c>
      <c r="P721" s="36">
        <v>1498673</v>
      </c>
      <c r="Q721" s="36">
        <f>Q720*1936.27</f>
        <v>37159064.839358002</v>
      </c>
      <c r="R721" s="7"/>
      <c r="S721" s="7"/>
      <c r="T721" s="7"/>
      <c r="U721" s="7"/>
      <c r="V721" s="7"/>
      <c r="W721" s="7"/>
      <c r="X721" s="7"/>
      <c r="Y721" s="7"/>
      <c r="Z721" s="7"/>
    </row>
    <row r="722" spans="1:26" ht="12.75" customHeight="1" x14ac:dyDescent="0.2">
      <c r="A722" s="156">
        <v>39114</v>
      </c>
      <c r="B722" s="156">
        <v>39538</v>
      </c>
      <c r="C722" s="40" t="s">
        <v>36</v>
      </c>
      <c r="D722" s="41">
        <v>3</v>
      </c>
      <c r="E722" s="30">
        <v>10167.15</v>
      </c>
      <c r="F722" s="30">
        <v>0</v>
      </c>
      <c r="G722" s="30">
        <v>0</v>
      </c>
      <c r="H722" s="30">
        <v>6280.06</v>
      </c>
      <c r="I722" s="30">
        <v>0</v>
      </c>
      <c r="J722" s="42">
        <v>1370.6</v>
      </c>
      <c r="K722" s="43">
        <v>16447.21</v>
      </c>
      <c r="L722" s="51">
        <v>17817.810000000001</v>
      </c>
      <c r="M722" s="33"/>
      <c r="N722" s="30">
        <v>16447.21</v>
      </c>
      <c r="O722" s="30">
        <v>10167.15</v>
      </c>
      <c r="P722" s="30">
        <v>774</v>
      </c>
      <c r="Q722" s="30">
        <f>(N722+O722*0.18+J722)+(IF((P722-O722*0.18)&gt;0,(P722-O722*0.18),0))</f>
        <v>19647.896999999997</v>
      </c>
      <c r="R722" s="7"/>
      <c r="S722" s="7"/>
      <c r="T722" s="7"/>
      <c r="U722" s="7"/>
      <c r="V722" s="7"/>
      <c r="W722" s="7"/>
      <c r="X722" s="7"/>
      <c r="Y722" s="7"/>
      <c r="Z722" s="7"/>
    </row>
    <row r="723" spans="1:26" ht="9" customHeight="1" x14ac:dyDescent="0.2">
      <c r="A723" s="95"/>
      <c r="B723" s="95"/>
      <c r="C723" s="34" t="s">
        <v>37</v>
      </c>
      <c r="D723" s="35">
        <v>8</v>
      </c>
      <c r="E723" s="36">
        <v>19686348</v>
      </c>
      <c r="F723" s="36">
        <v>0</v>
      </c>
      <c r="G723" s="36">
        <v>0</v>
      </c>
      <c r="H723" s="36">
        <v>12159892</v>
      </c>
      <c r="I723" s="36">
        <v>0</v>
      </c>
      <c r="J723" s="37">
        <v>2653852</v>
      </c>
      <c r="K723" s="36">
        <v>31846239</v>
      </c>
      <c r="L723" s="50">
        <v>34500091</v>
      </c>
      <c r="M723" s="39"/>
      <c r="N723" s="36">
        <v>31846239</v>
      </c>
      <c r="O723" s="36">
        <v>19686348</v>
      </c>
      <c r="P723" s="36">
        <v>1498673</v>
      </c>
      <c r="Q723" s="36">
        <f>Q722*1936.27</f>
        <v>38043633.524189994</v>
      </c>
      <c r="R723" s="7"/>
      <c r="S723" s="7"/>
      <c r="T723" s="7"/>
      <c r="U723" s="7"/>
      <c r="V723" s="7"/>
      <c r="W723" s="7"/>
      <c r="X723" s="7"/>
      <c r="Y723" s="7"/>
      <c r="Z723" s="7"/>
    </row>
    <row r="724" spans="1:26" ht="12.75" customHeight="1" x14ac:dyDescent="0.2">
      <c r="A724" s="95"/>
      <c r="B724" s="95"/>
      <c r="C724" s="40" t="s">
        <v>36</v>
      </c>
      <c r="D724" s="41">
        <v>9</v>
      </c>
      <c r="E724" s="30">
        <v>11457.95</v>
      </c>
      <c r="F724" s="30">
        <v>0</v>
      </c>
      <c r="G724" s="30">
        <v>0</v>
      </c>
      <c r="H724" s="30">
        <v>6280.06</v>
      </c>
      <c r="I724" s="30">
        <v>0</v>
      </c>
      <c r="J724" s="42">
        <v>1478.17</v>
      </c>
      <c r="K724" s="43">
        <v>17738.009999999998</v>
      </c>
      <c r="L724" s="51">
        <v>19216.18</v>
      </c>
      <c r="M724" s="33"/>
      <c r="N724" s="30">
        <v>17738.009999999998</v>
      </c>
      <c r="O724" s="30">
        <v>11457.95</v>
      </c>
      <c r="P724" s="30">
        <v>774</v>
      </c>
      <c r="Q724" s="30">
        <f>(N724+O724*0.18+J724)+(IF((P724-O724*0.18)&gt;0,(P724-O724*0.18),0))</f>
        <v>21278.610999999997</v>
      </c>
      <c r="R724" s="7"/>
      <c r="S724" s="7"/>
      <c r="T724" s="7"/>
      <c r="U724" s="7"/>
      <c r="V724" s="7"/>
      <c r="W724" s="7"/>
      <c r="X724" s="7"/>
      <c r="Y724" s="7"/>
      <c r="Z724" s="7"/>
    </row>
    <row r="725" spans="1:26" ht="9" customHeight="1" x14ac:dyDescent="0.2">
      <c r="A725" s="95"/>
      <c r="B725" s="95"/>
      <c r="C725" s="34" t="s">
        <v>37</v>
      </c>
      <c r="D725" s="35">
        <v>14</v>
      </c>
      <c r="E725" s="36">
        <v>22185685</v>
      </c>
      <c r="F725" s="36">
        <v>0</v>
      </c>
      <c r="G725" s="36">
        <v>0</v>
      </c>
      <c r="H725" s="36">
        <v>12159892</v>
      </c>
      <c r="I725" s="36">
        <v>0</v>
      </c>
      <c r="J725" s="37">
        <v>2862136</v>
      </c>
      <c r="K725" s="36">
        <v>34345577</v>
      </c>
      <c r="L725" s="50">
        <v>37207713</v>
      </c>
      <c r="M725" s="39"/>
      <c r="N725" s="36">
        <v>34345577</v>
      </c>
      <c r="O725" s="36">
        <v>22185685</v>
      </c>
      <c r="P725" s="36">
        <v>1498673</v>
      </c>
      <c r="Q725" s="36">
        <f>Q724*1936.27</f>
        <v>41201136.120969996</v>
      </c>
      <c r="R725" s="7"/>
      <c r="S725" s="7"/>
      <c r="T725" s="7"/>
      <c r="U725" s="7"/>
      <c r="V725" s="7"/>
      <c r="W725" s="7"/>
      <c r="X725" s="7"/>
      <c r="Y725" s="7"/>
      <c r="Z725" s="7"/>
    </row>
    <row r="726" spans="1:26" ht="12.75" customHeight="1" x14ac:dyDescent="0.2">
      <c r="A726" s="95"/>
      <c r="B726" s="95"/>
      <c r="C726" s="40" t="s">
        <v>36</v>
      </c>
      <c r="D726" s="41">
        <v>15</v>
      </c>
      <c r="E726" s="30">
        <v>12680.51</v>
      </c>
      <c r="F726" s="30">
        <v>0</v>
      </c>
      <c r="G726" s="30">
        <v>0</v>
      </c>
      <c r="H726" s="30">
        <v>6280.06</v>
      </c>
      <c r="I726" s="30">
        <v>0</v>
      </c>
      <c r="J726" s="42">
        <v>1580.05</v>
      </c>
      <c r="K726" s="43">
        <v>18960.57</v>
      </c>
      <c r="L726" s="51">
        <v>20540.62</v>
      </c>
      <c r="M726" s="33"/>
      <c r="N726" s="30">
        <v>18960.57</v>
      </c>
      <c r="O726" s="30">
        <v>12680.51</v>
      </c>
      <c r="P726" s="30">
        <v>774</v>
      </c>
      <c r="Q726" s="30">
        <f>(N726+O726*0.18+J726)+(IF((P726-O726*0.18)&gt;0,(P726-O726*0.18),0))</f>
        <v>22823.111799999999</v>
      </c>
      <c r="R726" s="7"/>
      <c r="S726" s="7"/>
      <c r="T726" s="7"/>
      <c r="U726" s="7"/>
      <c r="V726" s="7"/>
      <c r="W726" s="7"/>
      <c r="X726" s="7"/>
      <c r="Y726" s="7"/>
      <c r="Z726" s="7"/>
    </row>
    <row r="727" spans="1:26" ht="9" customHeight="1" x14ac:dyDescent="0.2">
      <c r="A727" s="95"/>
      <c r="B727" s="95"/>
      <c r="C727" s="34" t="s">
        <v>37</v>
      </c>
      <c r="D727" s="35">
        <v>20</v>
      </c>
      <c r="E727" s="36">
        <v>24552891</v>
      </c>
      <c r="F727" s="36">
        <v>0</v>
      </c>
      <c r="G727" s="36">
        <v>0</v>
      </c>
      <c r="H727" s="36">
        <v>12159892</v>
      </c>
      <c r="I727" s="36">
        <v>0</v>
      </c>
      <c r="J727" s="37">
        <v>3059403</v>
      </c>
      <c r="K727" s="36">
        <v>36712783</v>
      </c>
      <c r="L727" s="50">
        <v>39772186</v>
      </c>
      <c r="M727" s="39"/>
      <c r="N727" s="36">
        <v>36712783</v>
      </c>
      <c r="O727" s="36">
        <v>24552891</v>
      </c>
      <c r="P727" s="36">
        <v>1498673</v>
      </c>
      <c r="Q727" s="36">
        <f>Q726*1936.27</f>
        <v>44191706.684985995</v>
      </c>
      <c r="R727" s="7"/>
      <c r="S727" s="7"/>
      <c r="T727" s="7"/>
      <c r="U727" s="7"/>
      <c r="V727" s="7"/>
      <c r="W727" s="7"/>
      <c r="X727" s="7"/>
      <c r="Y727" s="7"/>
      <c r="Z727" s="7"/>
    </row>
    <row r="728" spans="1:26" ht="12.75" customHeight="1" x14ac:dyDescent="0.2">
      <c r="A728" s="95"/>
      <c r="B728" s="95"/>
      <c r="C728" s="40" t="s">
        <v>36</v>
      </c>
      <c r="D728" s="41">
        <v>21</v>
      </c>
      <c r="E728" s="30">
        <v>13910.46</v>
      </c>
      <c r="F728" s="30">
        <v>0</v>
      </c>
      <c r="G728" s="30">
        <v>0</v>
      </c>
      <c r="H728" s="30">
        <v>6280.06</v>
      </c>
      <c r="I728" s="30">
        <v>0</v>
      </c>
      <c r="J728" s="42">
        <v>1682.54</v>
      </c>
      <c r="K728" s="43">
        <v>20190.52</v>
      </c>
      <c r="L728" s="51">
        <v>21873.06</v>
      </c>
      <c r="M728" s="33"/>
      <c r="N728" s="30">
        <v>20190.52</v>
      </c>
      <c r="O728" s="30">
        <v>13910.46</v>
      </c>
      <c r="P728" s="30">
        <v>774</v>
      </c>
      <c r="Q728" s="30">
        <f>(N728+O728*0.18+J728)+(IF((P728-O728*0.18)&gt;0,(P728-O728*0.18),0))</f>
        <v>24376.942800000001</v>
      </c>
      <c r="R728" s="7"/>
      <c r="S728" s="7"/>
      <c r="T728" s="7"/>
      <c r="U728" s="7"/>
      <c r="V728" s="7"/>
      <c r="W728" s="7"/>
      <c r="X728" s="7"/>
      <c r="Y728" s="7"/>
      <c r="Z728" s="7"/>
    </row>
    <row r="729" spans="1:26" ht="9" customHeight="1" x14ac:dyDescent="0.2">
      <c r="A729" s="95"/>
      <c r="B729" s="95"/>
      <c r="C729" s="34" t="s">
        <v>37</v>
      </c>
      <c r="D729" s="35">
        <v>27</v>
      </c>
      <c r="E729" s="36">
        <v>26934406</v>
      </c>
      <c r="F729" s="36">
        <v>0</v>
      </c>
      <c r="G729" s="36">
        <v>0</v>
      </c>
      <c r="H729" s="36">
        <v>12159892</v>
      </c>
      <c r="I729" s="36">
        <v>0</v>
      </c>
      <c r="J729" s="37">
        <v>3257852</v>
      </c>
      <c r="K729" s="36">
        <v>39094298</v>
      </c>
      <c r="L729" s="50">
        <v>42352150</v>
      </c>
      <c r="M729" s="39"/>
      <c r="N729" s="36">
        <v>39094298</v>
      </c>
      <c r="O729" s="36">
        <v>26934406</v>
      </c>
      <c r="P729" s="36">
        <v>1498673</v>
      </c>
      <c r="Q729" s="36">
        <f>Q728*1936.27</f>
        <v>47200343.035356</v>
      </c>
      <c r="R729" s="7"/>
      <c r="S729" s="7"/>
      <c r="T729" s="7"/>
      <c r="U729" s="7"/>
      <c r="V729" s="7"/>
      <c r="W729" s="7"/>
      <c r="X729" s="7"/>
      <c r="Y729" s="7"/>
      <c r="Z729" s="7"/>
    </row>
    <row r="730" spans="1:26" ht="12.75" customHeight="1" x14ac:dyDescent="0.2">
      <c r="A730" s="95"/>
      <c r="B730" s="95"/>
      <c r="C730" s="40" t="s">
        <v>36</v>
      </c>
      <c r="D730" s="41">
        <v>28</v>
      </c>
      <c r="E730" s="30">
        <v>14786.43</v>
      </c>
      <c r="F730" s="30">
        <v>0</v>
      </c>
      <c r="G730" s="30">
        <v>0</v>
      </c>
      <c r="H730" s="30">
        <v>6280.06</v>
      </c>
      <c r="I730" s="30">
        <v>0</v>
      </c>
      <c r="J730" s="42">
        <v>1755.54</v>
      </c>
      <c r="K730" s="43">
        <v>21066.49</v>
      </c>
      <c r="L730" s="51">
        <v>22822.03</v>
      </c>
      <c r="M730" s="33"/>
      <c r="N730" s="30">
        <v>21066.49</v>
      </c>
      <c r="O730" s="30">
        <v>14786.43</v>
      </c>
      <c r="P730" s="30">
        <v>774</v>
      </c>
      <c r="Q730" s="30">
        <f>(N730+O730*0.18+J730)+(IF((P730-O730*0.18)&gt;0,(P730-O730*0.18),0))</f>
        <v>25483.587400000004</v>
      </c>
      <c r="R730" s="7"/>
      <c r="S730" s="7"/>
      <c r="T730" s="7"/>
      <c r="U730" s="7"/>
      <c r="V730" s="7"/>
      <c r="W730" s="7"/>
      <c r="X730" s="7"/>
      <c r="Y730" s="7"/>
      <c r="Z730" s="7"/>
    </row>
    <row r="731" spans="1:26" ht="9" customHeight="1" x14ac:dyDescent="0.2">
      <c r="A731" s="95"/>
      <c r="B731" s="95"/>
      <c r="C731" s="34" t="s">
        <v>37</v>
      </c>
      <c r="D731" s="35">
        <v>34</v>
      </c>
      <c r="E731" s="36">
        <v>28630521</v>
      </c>
      <c r="F731" s="36">
        <v>0</v>
      </c>
      <c r="G731" s="36">
        <v>0</v>
      </c>
      <c r="H731" s="36">
        <v>12159892</v>
      </c>
      <c r="I731" s="36">
        <v>0</v>
      </c>
      <c r="J731" s="37">
        <v>3399199</v>
      </c>
      <c r="K731" s="36">
        <v>40790413</v>
      </c>
      <c r="L731" s="50">
        <v>44189612</v>
      </c>
      <c r="M731" s="39"/>
      <c r="N731" s="36">
        <v>40790413</v>
      </c>
      <c r="O731" s="36">
        <v>28630521</v>
      </c>
      <c r="P731" s="36">
        <v>1498673</v>
      </c>
      <c r="Q731" s="36">
        <f>Q730*1936.27</f>
        <v>49343105.774998009</v>
      </c>
      <c r="R731" s="7"/>
      <c r="S731" s="7"/>
      <c r="T731" s="7"/>
      <c r="U731" s="7"/>
      <c r="V731" s="7"/>
      <c r="W731" s="7"/>
      <c r="X731" s="7"/>
      <c r="Y731" s="7"/>
      <c r="Z731" s="7"/>
    </row>
    <row r="732" spans="1:26" ht="12.75" customHeight="1" x14ac:dyDescent="0.2">
      <c r="A732" s="95"/>
      <c r="B732" s="95"/>
      <c r="C732" s="40" t="s">
        <v>36</v>
      </c>
      <c r="D732" s="41">
        <v>35</v>
      </c>
      <c r="E732" s="30">
        <v>15457.7</v>
      </c>
      <c r="F732" s="30">
        <v>0</v>
      </c>
      <c r="G732" s="30">
        <v>0</v>
      </c>
      <c r="H732" s="30">
        <v>6280.06</v>
      </c>
      <c r="I732" s="30">
        <v>0</v>
      </c>
      <c r="J732" s="42">
        <v>1811.48</v>
      </c>
      <c r="K732" s="43">
        <v>21737.759999999998</v>
      </c>
      <c r="L732" s="51">
        <v>23549.24</v>
      </c>
      <c r="M732" s="33"/>
      <c r="N732" s="30">
        <v>21737.759999999998</v>
      </c>
      <c r="O732" s="30">
        <v>15457.7</v>
      </c>
      <c r="P732" s="30">
        <v>774</v>
      </c>
      <c r="Q732" s="30">
        <f>(N732+O732*0.18+J732)+(IF((P732-O732*0.18)&gt;0,(P732-O732*0.18),0))</f>
        <v>26331.625999999997</v>
      </c>
      <c r="R732" s="7"/>
      <c r="S732" s="7"/>
      <c r="T732" s="7"/>
      <c r="U732" s="7"/>
      <c r="V732" s="7"/>
      <c r="W732" s="7"/>
      <c r="X732" s="7"/>
      <c r="Y732" s="7"/>
      <c r="Z732" s="7"/>
    </row>
    <row r="733" spans="1:26" ht="9" customHeight="1" x14ac:dyDescent="0.2">
      <c r="A733" s="110"/>
      <c r="B733" s="110"/>
      <c r="C733" s="47" t="s">
        <v>37</v>
      </c>
      <c r="D733" s="48"/>
      <c r="E733" s="46">
        <v>29930281</v>
      </c>
      <c r="F733" s="46">
        <v>0</v>
      </c>
      <c r="G733" s="46">
        <v>0</v>
      </c>
      <c r="H733" s="46">
        <v>12159892</v>
      </c>
      <c r="I733" s="46">
        <v>0</v>
      </c>
      <c r="J733" s="49">
        <v>3507514</v>
      </c>
      <c r="K733" s="46">
        <v>42090173</v>
      </c>
      <c r="L733" s="52">
        <v>45597687</v>
      </c>
      <c r="M733" s="39"/>
      <c r="N733" s="36">
        <v>42090173</v>
      </c>
      <c r="O733" s="36">
        <v>29930281</v>
      </c>
      <c r="P733" s="36">
        <v>1498673</v>
      </c>
      <c r="Q733" s="36">
        <f>Q732*1936.27</f>
        <v>50985137.475019991</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7"/>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7"/>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7"/>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7"/>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7"/>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7"/>
      <c r="M739" s="39"/>
      <c r="N739" s="96"/>
      <c r="O739" s="96"/>
      <c r="P739" s="96"/>
      <c r="Q739" s="96"/>
      <c r="R739" s="7"/>
      <c r="S739" s="7"/>
      <c r="T739" s="7"/>
      <c r="U739" s="7"/>
      <c r="V739" s="7"/>
      <c r="W739" s="7"/>
      <c r="X739" s="7"/>
      <c r="Y739" s="7"/>
      <c r="Z739" s="7"/>
    </row>
    <row r="740" spans="1:26" ht="12.75" customHeight="1" x14ac:dyDescent="0.2">
      <c r="A740" s="98">
        <v>39539</v>
      </c>
      <c r="B740" s="98">
        <v>39629</v>
      </c>
      <c r="C740" s="28" t="s">
        <v>36</v>
      </c>
      <c r="D740" s="29">
        <v>0</v>
      </c>
      <c r="E740" s="30">
        <v>9887.61</v>
      </c>
      <c r="F740" s="30">
        <v>0</v>
      </c>
      <c r="G740" s="30">
        <v>0</v>
      </c>
      <c r="H740" s="30">
        <v>6280.06</v>
      </c>
      <c r="I740" s="30">
        <v>0</v>
      </c>
      <c r="J740" s="30">
        <v>1347.31</v>
      </c>
      <c r="K740" s="31">
        <v>16167.67</v>
      </c>
      <c r="L740" s="32">
        <v>17514.98</v>
      </c>
      <c r="M740" s="33"/>
      <c r="N740" s="30">
        <v>16167.67</v>
      </c>
      <c r="O740" s="30">
        <v>9887.61</v>
      </c>
      <c r="P740" s="30">
        <v>774</v>
      </c>
      <c r="Q740" s="30">
        <f>(N740+O740*0.18+J740)+(IF((P740-O740*0.18)&gt;0,(P740-O740*0.18),0))</f>
        <v>19294.749800000001</v>
      </c>
      <c r="R740" s="7"/>
      <c r="S740" s="7"/>
      <c r="T740" s="7"/>
      <c r="U740" s="7"/>
      <c r="V740" s="7"/>
      <c r="W740" s="7"/>
      <c r="X740" s="7"/>
      <c r="Y740" s="7"/>
      <c r="Z740" s="7"/>
    </row>
    <row r="741" spans="1:26" ht="9" customHeight="1" x14ac:dyDescent="0.2">
      <c r="A741" s="95"/>
      <c r="B741" s="95"/>
      <c r="C741" s="34" t="s">
        <v>37</v>
      </c>
      <c r="D741" s="35">
        <v>2</v>
      </c>
      <c r="E741" s="36">
        <v>19145083</v>
      </c>
      <c r="F741" s="36">
        <v>0</v>
      </c>
      <c r="G741" s="36">
        <v>0</v>
      </c>
      <c r="H741" s="36">
        <v>12159892</v>
      </c>
      <c r="I741" s="36">
        <v>0</v>
      </c>
      <c r="J741" s="37">
        <v>2608756</v>
      </c>
      <c r="K741" s="36">
        <v>31304974</v>
      </c>
      <c r="L741" s="50">
        <v>33913730</v>
      </c>
      <c r="M741" s="39"/>
      <c r="N741" s="36">
        <v>31304974</v>
      </c>
      <c r="O741" s="36">
        <v>19145083</v>
      </c>
      <c r="P741" s="36">
        <v>1498673</v>
      </c>
      <c r="Q741" s="36">
        <f>Q740*1936.27</f>
        <v>37359845.195246004</v>
      </c>
      <c r="R741" s="7"/>
      <c r="S741" s="7"/>
      <c r="T741" s="7"/>
      <c r="U741" s="7"/>
      <c r="V741" s="7"/>
      <c r="W741" s="7"/>
      <c r="X741" s="7"/>
      <c r="Y741" s="7"/>
      <c r="Z741" s="7"/>
    </row>
    <row r="742" spans="1:26" ht="12.75" customHeight="1" x14ac:dyDescent="0.2">
      <c r="A742" s="156">
        <v>39539</v>
      </c>
      <c r="B742" s="156">
        <v>39629</v>
      </c>
      <c r="C742" s="40" t="s">
        <v>36</v>
      </c>
      <c r="D742" s="41">
        <v>3</v>
      </c>
      <c r="E742" s="30">
        <v>10249.23</v>
      </c>
      <c r="F742" s="30">
        <v>0</v>
      </c>
      <c r="G742" s="30">
        <v>0</v>
      </c>
      <c r="H742" s="30">
        <v>6280.06</v>
      </c>
      <c r="I742" s="30">
        <v>0</v>
      </c>
      <c r="J742" s="42">
        <v>1377.44</v>
      </c>
      <c r="K742" s="43">
        <v>16529.29</v>
      </c>
      <c r="L742" s="51">
        <v>17906.73</v>
      </c>
      <c r="M742" s="33"/>
      <c r="N742" s="30">
        <v>16529.29</v>
      </c>
      <c r="O742" s="30">
        <v>10249.23</v>
      </c>
      <c r="P742" s="30">
        <v>774</v>
      </c>
      <c r="Q742" s="30">
        <f>(N742+O742*0.18+J742)+(IF((P742-O742*0.18)&gt;0,(P742-O742*0.18),0))</f>
        <v>19751.591400000001</v>
      </c>
      <c r="R742" s="7"/>
      <c r="S742" s="7"/>
      <c r="T742" s="7"/>
      <c r="U742" s="7"/>
      <c r="V742" s="7"/>
      <c r="W742" s="7"/>
      <c r="X742" s="7"/>
      <c r="Y742" s="7"/>
      <c r="Z742" s="7"/>
    </row>
    <row r="743" spans="1:26" ht="9" customHeight="1" x14ac:dyDescent="0.2">
      <c r="A743" s="95"/>
      <c r="B743" s="95"/>
      <c r="C743" s="34" t="s">
        <v>37</v>
      </c>
      <c r="D743" s="35">
        <v>8</v>
      </c>
      <c r="E743" s="36">
        <v>19845277</v>
      </c>
      <c r="F743" s="36">
        <v>0</v>
      </c>
      <c r="G743" s="36">
        <v>0</v>
      </c>
      <c r="H743" s="36">
        <v>12159892</v>
      </c>
      <c r="I743" s="36">
        <v>0</v>
      </c>
      <c r="J743" s="37">
        <v>2667096</v>
      </c>
      <c r="K743" s="36">
        <v>32005168</v>
      </c>
      <c r="L743" s="50">
        <v>34672264</v>
      </c>
      <c r="M743" s="39"/>
      <c r="N743" s="36">
        <v>32005168</v>
      </c>
      <c r="O743" s="36">
        <v>19845277</v>
      </c>
      <c r="P743" s="36">
        <v>1498673</v>
      </c>
      <c r="Q743" s="36">
        <f>Q742*1936.27</f>
        <v>38244413.880078003</v>
      </c>
      <c r="R743" s="7"/>
      <c r="S743" s="7"/>
      <c r="T743" s="7"/>
      <c r="U743" s="7"/>
      <c r="V743" s="7"/>
      <c r="W743" s="7"/>
      <c r="X743" s="7"/>
      <c r="Y743" s="7"/>
      <c r="Z743" s="7"/>
    </row>
    <row r="744" spans="1:26" ht="12.75" customHeight="1" x14ac:dyDescent="0.2">
      <c r="A744" s="95"/>
      <c r="B744" s="95"/>
      <c r="C744" s="40" t="s">
        <v>36</v>
      </c>
      <c r="D744" s="41">
        <v>9</v>
      </c>
      <c r="E744" s="30">
        <v>11540.03</v>
      </c>
      <c r="F744" s="30">
        <v>0</v>
      </c>
      <c r="G744" s="30">
        <v>0</v>
      </c>
      <c r="H744" s="30">
        <v>6280.06</v>
      </c>
      <c r="I744" s="30">
        <v>0</v>
      </c>
      <c r="J744" s="42">
        <v>1485.01</v>
      </c>
      <c r="K744" s="43">
        <v>17820.09</v>
      </c>
      <c r="L744" s="51">
        <v>19305.099999999999</v>
      </c>
      <c r="M744" s="33"/>
      <c r="N744" s="30">
        <v>17820.09</v>
      </c>
      <c r="O744" s="30">
        <v>11540.03</v>
      </c>
      <c r="P744" s="30">
        <v>774</v>
      </c>
      <c r="Q744" s="30">
        <f>(N744+O744*0.18+J744)+(IF((P744-O744*0.18)&gt;0,(P744-O744*0.18),0))</f>
        <v>21382.305399999997</v>
      </c>
      <c r="R744" s="7"/>
      <c r="S744" s="7"/>
      <c r="T744" s="7"/>
      <c r="U744" s="7"/>
      <c r="V744" s="7"/>
      <c r="W744" s="7"/>
      <c r="X744" s="7"/>
      <c r="Y744" s="7"/>
      <c r="Z744" s="7"/>
    </row>
    <row r="745" spans="1:26" ht="9" customHeight="1" x14ac:dyDescent="0.2">
      <c r="A745" s="95"/>
      <c r="B745" s="95"/>
      <c r="C745" s="34" t="s">
        <v>37</v>
      </c>
      <c r="D745" s="35">
        <v>14</v>
      </c>
      <c r="E745" s="36">
        <v>22344614</v>
      </c>
      <c r="F745" s="36">
        <v>0</v>
      </c>
      <c r="G745" s="36">
        <v>0</v>
      </c>
      <c r="H745" s="36">
        <v>12159892</v>
      </c>
      <c r="I745" s="36">
        <v>0</v>
      </c>
      <c r="J745" s="37">
        <v>2875380</v>
      </c>
      <c r="K745" s="36">
        <v>34504506</v>
      </c>
      <c r="L745" s="50">
        <v>37379886</v>
      </c>
      <c r="M745" s="39"/>
      <c r="N745" s="36">
        <v>34504506</v>
      </c>
      <c r="O745" s="36">
        <v>22344614</v>
      </c>
      <c r="P745" s="36">
        <v>1498673</v>
      </c>
      <c r="Q745" s="36">
        <f>Q744*1936.27</f>
        <v>41401916.476857997</v>
      </c>
      <c r="R745" s="7"/>
      <c r="S745" s="7"/>
      <c r="T745" s="7"/>
      <c r="U745" s="7"/>
      <c r="V745" s="7"/>
      <c r="W745" s="7"/>
      <c r="X745" s="7"/>
      <c r="Y745" s="7"/>
      <c r="Z745" s="7"/>
    </row>
    <row r="746" spans="1:26" ht="12.75" customHeight="1" x14ac:dyDescent="0.2">
      <c r="A746" s="95"/>
      <c r="B746" s="95"/>
      <c r="C746" s="40" t="s">
        <v>36</v>
      </c>
      <c r="D746" s="41">
        <v>15</v>
      </c>
      <c r="E746" s="30">
        <v>12762.59</v>
      </c>
      <c r="F746" s="30">
        <v>0</v>
      </c>
      <c r="G746" s="30">
        <v>0</v>
      </c>
      <c r="H746" s="30">
        <v>6280.06</v>
      </c>
      <c r="I746" s="30">
        <v>0</v>
      </c>
      <c r="J746" s="42">
        <v>1586.89</v>
      </c>
      <c r="K746" s="43">
        <v>19042.650000000001</v>
      </c>
      <c r="L746" s="51">
        <v>20629.54</v>
      </c>
      <c r="M746" s="33"/>
      <c r="N746" s="30">
        <v>19042.650000000001</v>
      </c>
      <c r="O746" s="30">
        <v>12762.59</v>
      </c>
      <c r="P746" s="30">
        <v>774</v>
      </c>
      <c r="Q746" s="30">
        <f>(N746+O746*0.18+J746)+(IF((P746-O746*0.18)&gt;0,(P746-O746*0.18),0))</f>
        <v>22926.806199999999</v>
      </c>
      <c r="R746" s="7"/>
      <c r="S746" s="7"/>
      <c r="T746" s="7"/>
      <c r="U746" s="7"/>
      <c r="V746" s="7"/>
      <c r="W746" s="7"/>
      <c r="X746" s="7"/>
      <c r="Y746" s="7"/>
      <c r="Z746" s="7"/>
    </row>
    <row r="747" spans="1:26" ht="9" customHeight="1" x14ac:dyDescent="0.2">
      <c r="A747" s="95"/>
      <c r="B747" s="95"/>
      <c r="C747" s="34" t="s">
        <v>37</v>
      </c>
      <c r="D747" s="35">
        <v>20</v>
      </c>
      <c r="E747" s="36">
        <v>24711820</v>
      </c>
      <c r="F747" s="36">
        <v>0</v>
      </c>
      <c r="G747" s="36">
        <v>0</v>
      </c>
      <c r="H747" s="36">
        <v>12159892</v>
      </c>
      <c r="I747" s="36">
        <v>0</v>
      </c>
      <c r="J747" s="37">
        <v>3072648</v>
      </c>
      <c r="K747" s="36">
        <v>36871712</v>
      </c>
      <c r="L747" s="50">
        <v>39944359</v>
      </c>
      <c r="M747" s="39"/>
      <c r="N747" s="36">
        <v>36871712</v>
      </c>
      <c r="O747" s="36">
        <v>24711820</v>
      </c>
      <c r="P747" s="36">
        <v>1498673</v>
      </c>
      <c r="Q747" s="36">
        <f>Q746*1936.27</f>
        <v>44392487.040873997</v>
      </c>
      <c r="R747" s="7"/>
      <c r="S747" s="7"/>
      <c r="T747" s="7"/>
      <c r="U747" s="7"/>
      <c r="V747" s="7"/>
      <c r="W747" s="7"/>
      <c r="X747" s="7"/>
      <c r="Y747" s="7"/>
      <c r="Z747" s="7"/>
    </row>
    <row r="748" spans="1:26" ht="12.75" customHeight="1" x14ac:dyDescent="0.2">
      <c r="A748" s="95"/>
      <c r="B748" s="95"/>
      <c r="C748" s="40" t="s">
        <v>36</v>
      </c>
      <c r="D748" s="41">
        <v>21</v>
      </c>
      <c r="E748" s="30">
        <v>13992.54</v>
      </c>
      <c r="F748" s="30">
        <v>0</v>
      </c>
      <c r="G748" s="30">
        <v>0</v>
      </c>
      <c r="H748" s="30">
        <v>6280.06</v>
      </c>
      <c r="I748" s="30">
        <v>0</v>
      </c>
      <c r="J748" s="42">
        <v>1689.38</v>
      </c>
      <c r="K748" s="43">
        <v>20272.599999999999</v>
      </c>
      <c r="L748" s="51">
        <v>21961.98</v>
      </c>
      <c r="M748" s="33"/>
      <c r="N748" s="30">
        <v>20272.599999999999</v>
      </c>
      <c r="O748" s="30">
        <v>13992.54</v>
      </c>
      <c r="P748" s="30">
        <v>774</v>
      </c>
      <c r="Q748" s="30">
        <f>(N748+O748*0.18+J748)+(IF((P748-O748*0.18)&gt;0,(P748-O748*0.18),0))</f>
        <v>24480.637200000001</v>
      </c>
      <c r="R748" s="7"/>
      <c r="S748" s="7"/>
      <c r="T748" s="7"/>
      <c r="U748" s="7"/>
      <c r="V748" s="7"/>
      <c r="W748" s="7"/>
      <c r="X748" s="7"/>
      <c r="Y748" s="7"/>
      <c r="Z748" s="7"/>
    </row>
    <row r="749" spans="1:26" ht="9" customHeight="1" x14ac:dyDescent="0.2">
      <c r="A749" s="95"/>
      <c r="B749" s="95"/>
      <c r="C749" s="34" t="s">
        <v>37</v>
      </c>
      <c r="D749" s="35">
        <v>27</v>
      </c>
      <c r="E749" s="36">
        <v>27093335</v>
      </c>
      <c r="F749" s="36">
        <v>0</v>
      </c>
      <c r="G749" s="36">
        <v>0</v>
      </c>
      <c r="H749" s="36">
        <v>12159892</v>
      </c>
      <c r="I749" s="36">
        <v>0</v>
      </c>
      <c r="J749" s="37">
        <v>3271096</v>
      </c>
      <c r="K749" s="36">
        <v>39253227</v>
      </c>
      <c r="L749" s="50">
        <v>42524323</v>
      </c>
      <c r="M749" s="39"/>
      <c r="N749" s="36">
        <v>39253227</v>
      </c>
      <c r="O749" s="36">
        <v>27093335</v>
      </c>
      <c r="P749" s="36">
        <v>1498673</v>
      </c>
      <c r="Q749" s="36">
        <f>Q748*1936.27</f>
        <v>47401123.391244002</v>
      </c>
      <c r="R749" s="7"/>
      <c r="S749" s="7"/>
      <c r="T749" s="7"/>
      <c r="U749" s="7"/>
      <c r="V749" s="7"/>
      <c r="W749" s="7"/>
      <c r="X749" s="7"/>
      <c r="Y749" s="7"/>
      <c r="Z749" s="7"/>
    </row>
    <row r="750" spans="1:26" ht="12.75" customHeight="1" x14ac:dyDescent="0.2">
      <c r="A750" s="95"/>
      <c r="B750" s="95"/>
      <c r="C750" s="40" t="s">
        <v>36</v>
      </c>
      <c r="D750" s="41">
        <v>28</v>
      </c>
      <c r="E750" s="30">
        <v>14868.51</v>
      </c>
      <c r="F750" s="30">
        <v>0</v>
      </c>
      <c r="G750" s="30">
        <v>0</v>
      </c>
      <c r="H750" s="30">
        <v>6280.06</v>
      </c>
      <c r="I750" s="30">
        <v>0</v>
      </c>
      <c r="J750" s="42">
        <v>1762.38</v>
      </c>
      <c r="K750" s="43">
        <v>21148.57</v>
      </c>
      <c r="L750" s="51">
        <v>22910.95</v>
      </c>
      <c r="M750" s="33"/>
      <c r="N750" s="30">
        <v>21148.57</v>
      </c>
      <c r="O750" s="30">
        <v>14868.51</v>
      </c>
      <c r="P750" s="30">
        <v>774</v>
      </c>
      <c r="Q750" s="30">
        <f>(N750+O750*0.18+J750)+(IF((P750-O750*0.18)&gt;0,(P750-O750*0.18),0))</f>
        <v>25587.281800000001</v>
      </c>
      <c r="R750" s="7"/>
      <c r="S750" s="7"/>
      <c r="T750" s="7"/>
      <c r="U750" s="7"/>
      <c r="V750" s="7"/>
      <c r="W750" s="7"/>
      <c r="X750" s="7"/>
      <c r="Y750" s="7"/>
      <c r="Z750" s="7"/>
    </row>
    <row r="751" spans="1:26" ht="9" customHeight="1" x14ac:dyDescent="0.2">
      <c r="A751" s="95"/>
      <c r="B751" s="95"/>
      <c r="C751" s="34" t="s">
        <v>37</v>
      </c>
      <c r="D751" s="35">
        <v>34</v>
      </c>
      <c r="E751" s="36">
        <v>28789450</v>
      </c>
      <c r="F751" s="36">
        <v>0</v>
      </c>
      <c r="G751" s="36">
        <v>0</v>
      </c>
      <c r="H751" s="36">
        <v>12159892</v>
      </c>
      <c r="I751" s="36">
        <v>0</v>
      </c>
      <c r="J751" s="37">
        <v>3412444</v>
      </c>
      <c r="K751" s="36">
        <v>40949342</v>
      </c>
      <c r="L751" s="50">
        <v>44361785</v>
      </c>
      <c r="M751" s="39"/>
      <c r="N751" s="36">
        <v>40949342</v>
      </c>
      <c r="O751" s="36">
        <v>28789450</v>
      </c>
      <c r="P751" s="36">
        <v>1498673</v>
      </c>
      <c r="Q751" s="36">
        <f>Q750*1936.27</f>
        <v>49543886.130886003</v>
      </c>
      <c r="R751" s="7"/>
      <c r="S751" s="7"/>
      <c r="T751" s="7"/>
      <c r="U751" s="7"/>
      <c r="V751" s="7"/>
      <c r="W751" s="7"/>
      <c r="X751" s="7"/>
      <c r="Y751" s="7"/>
      <c r="Z751" s="7"/>
    </row>
    <row r="752" spans="1:26" ht="12.75" customHeight="1" x14ac:dyDescent="0.2">
      <c r="A752" s="95"/>
      <c r="B752" s="95"/>
      <c r="C752" s="40" t="s">
        <v>36</v>
      </c>
      <c r="D752" s="41">
        <v>35</v>
      </c>
      <c r="E752" s="30">
        <v>15539.78</v>
      </c>
      <c r="F752" s="30">
        <v>0</v>
      </c>
      <c r="G752" s="30">
        <v>0</v>
      </c>
      <c r="H752" s="30">
        <v>6280.06</v>
      </c>
      <c r="I752" s="30">
        <v>0</v>
      </c>
      <c r="J752" s="42">
        <v>1818.32</v>
      </c>
      <c r="K752" s="43">
        <v>21819.84</v>
      </c>
      <c r="L752" s="51">
        <v>23638.16</v>
      </c>
      <c r="M752" s="33"/>
      <c r="N752" s="30">
        <v>21819.84</v>
      </c>
      <c r="O752" s="30">
        <v>15539.78</v>
      </c>
      <c r="P752" s="30">
        <v>774</v>
      </c>
      <c r="Q752" s="30">
        <f>(N752+O752*0.18+J752)+(IF((P752-O752*0.18)&gt;0,(P752-O752*0.18),0))</f>
        <v>26435.320400000001</v>
      </c>
      <c r="R752" s="7"/>
      <c r="S752" s="7"/>
      <c r="T752" s="7"/>
      <c r="U752" s="7"/>
      <c r="V752" s="7"/>
      <c r="W752" s="7"/>
      <c r="X752" s="7"/>
      <c r="Y752" s="7"/>
      <c r="Z752" s="7"/>
    </row>
    <row r="753" spans="1:26" ht="9" customHeight="1" x14ac:dyDescent="0.2">
      <c r="A753" s="110"/>
      <c r="B753" s="110"/>
      <c r="C753" s="47" t="s">
        <v>37</v>
      </c>
      <c r="D753" s="48"/>
      <c r="E753" s="36">
        <v>30089210</v>
      </c>
      <c r="F753" s="36">
        <v>0</v>
      </c>
      <c r="G753" s="36">
        <v>0</v>
      </c>
      <c r="H753" s="36">
        <v>12159892</v>
      </c>
      <c r="I753" s="36">
        <v>0</v>
      </c>
      <c r="J753" s="49">
        <v>3520758</v>
      </c>
      <c r="K753" s="46">
        <v>42249102</v>
      </c>
      <c r="L753" s="52">
        <v>45769860</v>
      </c>
      <c r="M753" s="39"/>
      <c r="N753" s="36">
        <v>42249102</v>
      </c>
      <c r="O753" s="36">
        <v>30089210</v>
      </c>
      <c r="P753" s="36">
        <v>1498673</v>
      </c>
      <c r="Q753" s="36">
        <f>Q752*1936.27</f>
        <v>51185917.830908</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7"/>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7"/>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7"/>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7"/>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7"/>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7"/>
      <c r="M759" s="39"/>
      <c r="N759" s="96"/>
      <c r="O759" s="96"/>
      <c r="P759" s="96"/>
      <c r="Q759" s="96"/>
      <c r="R759" s="7"/>
      <c r="S759" s="7"/>
      <c r="T759" s="7"/>
      <c r="U759" s="7"/>
      <c r="V759" s="7"/>
      <c r="W759" s="7"/>
      <c r="X759" s="7"/>
      <c r="Y759" s="7"/>
      <c r="Z759" s="7"/>
    </row>
    <row r="760" spans="1:26" ht="12.75" customHeight="1" x14ac:dyDescent="0.2">
      <c r="A760" s="98">
        <v>39630</v>
      </c>
      <c r="B760" s="98">
        <v>39813</v>
      </c>
      <c r="C760" s="28" t="s">
        <v>36</v>
      </c>
      <c r="D760" s="29">
        <v>0</v>
      </c>
      <c r="E760" s="30">
        <v>9942.2099999999991</v>
      </c>
      <c r="F760" s="30">
        <v>0</v>
      </c>
      <c r="G760" s="30">
        <v>0</v>
      </c>
      <c r="H760" s="30">
        <v>6280.06</v>
      </c>
      <c r="I760" s="30">
        <v>0</v>
      </c>
      <c r="J760" s="30">
        <v>1351.86</v>
      </c>
      <c r="K760" s="31">
        <v>16222.27</v>
      </c>
      <c r="L760" s="32">
        <v>17574.13</v>
      </c>
      <c r="M760" s="33"/>
      <c r="N760" s="30">
        <v>16222.27</v>
      </c>
      <c r="O760" s="30">
        <v>9942.2099999999991</v>
      </c>
      <c r="P760" s="30">
        <v>774</v>
      </c>
      <c r="Q760" s="30">
        <f>(N760+O760*0.18+J760)+(IF((P760-O760*0.18)&gt;0,(P760-O760*0.18),0))</f>
        <v>19363.727800000001</v>
      </c>
      <c r="R760" s="7"/>
      <c r="S760" s="7"/>
      <c r="T760" s="7"/>
      <c r="U760" s="7"/>
      <c r="V760" s="7"/>
      <c r="W760" s="7"/>
      <c r="X760" s="7"/>
      <c r="Y760" s="7"/>
      <c r="Z760" s="7"/>
    </row>
    <row r="761" spans="1:26" ht="9" customHeight="1" x14ac:dyDescent="0.2">
      <c r="A761" s="95"/>
      <c r="B761" s="95"/>
      <c r="C761" s="34" t="s">
        <v>37</v>
      </c>
      <c r="D761" s="35">
        <v>2</v>
      </c>
      <c r="E761" s="36">
        <v>19250803</v>
      </c>
      <c r="F761" s="36">
        <v>0</v>
      </c>
      <c r="G761" s="36">
        <v>0</v>
      </c>
      <c r="H761" s="36">
        <v>12159892</v>
      </c>
      <c r="I761" s="36">
        <v>0</v>
      </c>
      <c r="J761" s="37">
        <v>2617566</v>
      </c>
      <c r="K761" s="36">
        <v>31410695</v>
      </c>
      <c r="L761" s="50">
        <v>34028261</v>
      </c>
      <c r="M761" s="39"/>
      <c r="N761" s="36">
        <v>31410695</v>
      </c>
      <c r="O761" s="36">
        <v>19250803</v>
      </c>
      <c r="P761" s="36">
        <v>1498673</v>
      </c>
      <c r="Q761" s="36">
        <f>Q760*1936.27</f>
        <v>37493405.227306001</v>
      </c>
      <c r="R761" s="7"/>
      <c r="S761" s="7"/>
      <c r="T761" s="7"/>
      <c r="U761" s="7"/>
      <c r="V761" s="7"/>
      <c r="W761" s="7"/>
      <c r="X761" s="7"/>
      <c r="Y761" s="7"/>
      <c r="Z761" s="7"/>
    </row>
    <row r="762" spans="1:26" ht="12.75" customHeight="1" x14ac:dyDescent="0.2">
      <c r="A762" s="156">
        <v>39630</v>
      </c>
      <c r="B762" s="156">
        <v>39813</v>
      </c>
      <c r="C762" s="40" t="s">
        <v>36</v>
      </c>
      <c r="D762" s="41">
        <v>3</v>
      </c>
      <c r="E762" s="30">
        <v>10303.83</v>
      </c>
      <c r="F762" s="30">
        <v>0</v>
      </c>
      <c r="G762" s="30">
        <v>0</v>
      </c>
      <c r="H762" s="30">
        <v>6280.06</v>
      </c>
      <c r="I762" s="30">
        <v>0</v>
      </c>
      <c r="J762" s="42">
        <v>1381.99</v>
      </c>
      <c r="K762" s="43">
        <v>16583.89</v>
      </c>
      <c r="L762" s="51">
        <v>17965.88</v>
      </c>
      <c r="M762" s="33"/>
      <c r="N762" s="30">
        <v>16583.89</v>
      </c>
      <c r="O762" s="30">
        <v>10303.83</v>
      </c>
      <c r="P762" s="30">
        <v>774</v>
      </c>
      <c r="Q762" s="30">
        <f>(N762+O762*0.18+J762)+(IF((P762-O762*0.18)&gt;0,(P762-O762*0.18),0))</f>
        <v>19820.5694</v>
      </c>
      <c r="R762" s="7"/>
      <c r="S762" s="7"/>
      <c r="T762" s="7"/>
      <c r="U762" s="7"/>
      <c r="V762" s="7"/>
      <c r="W762" s="7"/>
      <c r="X762" s="7"/>
      <c r="Y762" s="7"/>
      <c r="Z762" s="7"/>
    </row>
    <row r="763" spans="1:26" ht="9" customHeight="1" x14ac:dyDescent="0.2">
      <c r="A763" s="95"/>
      <c r="B763" s="95"/>
      <c r="C763" s="34" t="s">
        <v>37</v>
      </c>
      <c r="D763" s="35">
        <v>8</v>
      </c>
      <c r="E763" s="36">
        <v>19950997</v>
      </c>
      <c r="F763" s="36">
        <v>0</v>
      </c>
      <c r="G763" s="36">
        <v>0</v>
      </c>
      <c r="H763" s="36">
        <v>12159892</v>
      </c>
      <c r="I763" s="36">
        <v>0</v>
      </c>
      <c r="J763" s="37">
        <v>2675906</v>
      </c>
      <c r="K763" s="36">
        <v>32110889</v>
      </c>
      <c r="L763" s="50">
        <v>34786794</v>
      </c>
      <c r="M763" s="39"/>
      <c r="N763" s="36">
        <v>32110889</v>
      </c>
      <c r="O763" s="36">
        <v>19950997</v>
      </c>
      <c r="P763" s="36">
        <v>1498673</v>
      </c>
      <c r="Q763" s="36">
        <f>Q762*1936.27</f>
        <v>38377973.912138</v>
      </c>
      <c r="R763" s="7"/>
      <c r="S763" s="7"/>
      <c r="T763" s="7"/>
      <c r="U763" s="7"/>
      <c r="V763" s="7"/>
      <c r="W763" s="7"/>
      <c r="X763" s="7"/>
      <c r="Y763" s="7"/>
      <c r="Z763" s="7"/>
    </row>
    <row r="764" spans="1:26" ht="12.75" customHeight="1" x14ac:dyDescent="0.2">
      <c r="A764" s="95"/>
      <c r="B764" s="95"/>
      <c r="C764" s="40" t="s">
        <v>36</v>
      </c>
      <c r="D764" s="41">
        <v>9</v>
      </c>
      <c r="E764" s="30">
        <v>11594.63</v>
      </c>
      <c r="F764" s="30">
        <v>0</v>
      </c>
      <c r="G764" s="30">
        <v>0</v>
      </c>
      <c r="H764" s="30">
        <v>6280.06</v>
      </c>
      <c r="I764" s="30">
        <v>0</v>
      </c>
      <c r="J764" s="42">
        <v>1489.56</v>
      </c>
      <c r="K764" s="43">
        <v>17874.689999999999</v>
      </c>
      <c r="L764" s="51">
        <v>19364.25</v>
      </c>
      <c r="M764" s="33"/>
      <c r="N764" s="30">
        <v>17874.689999999999</v>
      </c>
      <c r="O764" s="30">
        <v>11594.63</v>
      </c>
      <c r="P764" s="30">
        <v>774</v>
      </c>
      <c r="Q764" s="30">
        <f>(N764+O764*0.18+J764)+(IF((P764-O764*0.18)&gt;0,(P764-O764*0.18),0))</f>
        <v>21451.2834</v>
      </c>
      <c r="R764" s="7"/>
      <c r="S764" s="7"/>
      <c r="T764" s="7"/>
      <c r="U764" s="7"/>
      <c r="V764" s="7"/>
      <c r="W764" s="7"/>
      <c r="X764" s="7"/>
      <c r="Y764" s="7"/>
      <c r="Z764" s="7"/>
    </row>
    <row r="765" spans="1:26" ht="9" customHeight="1" x14ac:dyDescent="0.2">
      <c r="A765" s="95"/>
      <c r="B765" s="95"/>
      <c r="C765" s="34" t="s">
        <v>37</v>
      </c>
      <c r="D765" s="35">
        <v>14</v>
      </c>
      <c r="E765" s="36">
        <v>22450334</v>
      </c>
      <c r="F765" s="36">
        <v>0</v>
      </c>
      <c r="G765" s="36">
        <v>0</v>
      </c>
      <c r="H765" s="36">
        <v>12159892</v>
      </c>
      <c r="I765" s="36">
        <v>0</v>
      </c>
      <c r="J765" s="37">
        <v>2884190</v>
      </c>
      <c r="K765" s="36">
        <v>34610226</v>
      </c>
      <c r="L765" s="50">
        <v>37494416</v>
      </c>
      <c r="M765" s="39"/>
      <c r="N765" s="36">
        <v>34610226</v>
      </c>
      <c r="O765" s="36">
        <v>22450334</v>
      </c>
      <c r="P765" s="36">
        <v>1498673</v>
      </c>
      <c r="Q765" s="36">
        <f>Q764*1936.27</f>
        <v>41535476.508918002</v>
      </c>
      <c r="R765" s="7"/>
      <c r="S765" s="7"/>
      <c r="T765" s="7"/>
      <c r="U765" s="7"/>
      <c r="V765" s="7"/>
      <c r="W765" s="7"/>
      <c r="X765" s="7"/>
      <c r="Y765" s="7"/>
      <c r="Z765" s="7"/>
    </row>
    <row r="766" spans="1:26" ht="12.75" customHeight="1" x14ac:dyDescent="0.2">
      <c r="A766" s="95"/>
      <c r="B766" s="95"/>
      <c r="C766" s="40" t="s">
        <v>36</v>
      </c>
      <c r="D766" s="41">
        <v>15</v>
      </c>
      <c r="E766" s="30">
        <v>12817.19</v>
      </c>
      <c r="F766" s="30">
        <v>0</v>
      </c>
      <c r="G766" s="30">
        <v>0</v>
      </c>
      <c r="H766" s="30">
        <v>6280.06</v>
      </c>
      <c r="I766" s="30">
        <v>0</v>
      </c>
      <c r="J766" s="42">
        <v>1591.44</v>
      </c>
      <c r="K766" s="43">
        <v>19097.25</v>
      </c>
      <c r="L766" s="51">
        <v>20688.689999999999</v>
      </c>
      <c r="M766" s="33"/>
      <c r="N766" s="30">
        <v>19097.25</v>
      </c>
      <c r="O766" s="30">
        <v>12817.19</v>
      </c>
      <c r="P766" s="30">
        <v>774</v>
      </c>
      <c r="Q766" s="30">
        <f>(N766+O766*0.18+J766)+(IF((P766-O766*0.18)&gt;0,(P766-O766*0.18),0))</f>
        <v>22995.784199999998</v>
      </c>
      <c r="R766" s="7"/>
      <c r="S766" s="7"/>
      <c r="T766" s="7"/>
      <c r="U766" s="7"/>
      <c r="V766" s="7"/>
      <c r="W766" s="7"/>
      <c r="X766" s="7"/>
      <c r="Y766" s="7"/>
      <c r="Z766" s="7"/>
    </row>
    <row r="767" spans="1:26" ht="9" customHeight="1" x14ac:dyDescent="0.2">
      <c r="A767" s="95"/>
      <c r="B767" s="95"/>
      <c r="C767" s="34" t="s">
        <v>37</v>
      </c>
      <c r="D767" s="35">
        <v>20</v>
      </c>
      <c r="E767" s="36">
        <v>24817540</v>
      </c>
      <c r="F767" s="36">
        <v>0</v>
      </c>
      <c r="G767" s="36">
        <v>0</v>
      </c>
      <c r="H767" s="36">
        <v>12159892</v>
      </c>
      <c r="I767" s="36">
        <v>0</v>
      </c>
      <c r="J767" s="37">
        <v>3081458</v>
      </c>
      <c r="K767" s="36">
        <v>36977432</v>
      </c>
      <c r="L767" s="50">
        <v>40058890</v>
      </c>
      <c r="M767" s="39"/>
      <c r="N767" s="36">
        <v>36977432</v>
      </c>
      <c r="O767" s="36">
        <v>24817540</v>
      </c>
      <c r="P767" s="36">
        <v>1498673</v>
      </c>
      <c r="Q767" s="36">
        <f>Q766*1936.27</f>
        <v>44526047.072933994</v>
      </c>
      <c r="R767" s="7"/>
      <c r="S767" s="7"/>
      <c r="T767" s="7"/>
      <c r="U767" s="7"/>
      <c r="V767" s="7"/>
      <c r="W767" s="7"/>
      <c r="X767" s="7"/>
      <c r="Y767" s="7"/>
      <c r="Z767" s="7"/>
    </row>
    <row r="768" spans="1:26" ht="12.75" customHeight="1" x14ac:dyDescent="0.2">
      <c r="A768" s="95"/>
      <c r="B768" s="95"/>
      <c r="C768" s="40" t="s">
        <v>36</v>
      </c>
      <c r="D768" s="41">
        <v>21</v>
      </c>
      <c r="E768" s="30">
        <v>14047.14</v>
      </c>
      <c r="F768" s="30">
        <v>0</v>
      </c>
      <c r="G768" s="30">
        <v>0</v>
      </c>
      <c r="H768" s="30">
        <v>6280.06</v>
      </c>
      <c r="I768" s="30">
        <v>0</v>
      </c>
      <c r="J768" s="42">
        <v>1693.93</v>
      </c>
      <c r="K768" s="43">
        <v>20327.2</v>
      </c>
      <c r="L768" s="51">
        <v>22021.13</v>
      </c>
      <c r="M768" s="33"/>
      <c r="N768" s="30">
        <v>20327.2</v>
      </c>
      <c r="O768" s="30">
        <v>14047.14</v>
      </c>
      <c r="P768" s="30">
        <v>774</v>
      </c>
      <c r="Q768" s="30">
        <f>(N768+O768*0.18+J768)+(IF((P768-O768*0.18)&gt;0,(P768-O768*0.18),0))</f>
        <v>24549.6152</v>
      </c>
      <c r="R768" s="7"/>
      <c r="S768" s="7"/>
      <c r="T768" s="7"/>
      <c r="U768" s="7"/>
      <c r="V768" s="7"/>
      <c r="W768" s="7"/>
      <c r="X768" s="7"/>
      <c r="Y768" s="7"/>
      <c r="Z768" s="7"/>
    </row>
    <row r="769" spans="1:26" ht="9" customHeight="1" x14ac:dyDescent="0.2">
      <c r="A769" s="95"/>
      <c r="B769" s="95"/>
      <c r="C769" s="34" t="s">
        <v>37</v>
      </c>
      <c r="D769" s="35">
        <v>27</v>
      </c>
      <c r="E769" s="36">
        <v>27199056</v>
      </c>
      <c r="F769" s="36">
        <v>0</v>
      </c>
      <c r="G769" s="36">
        <v>0</v>
      </c>
      <c r="H769" s="36">
        <v>12159892</v>
      </c>
      <c r="I769" s="36">
        <v>0</v>
      </c>
      <c r="J769" s="37">
        <v>3279906</v>
      </c>
      <c r="K769" s="36">
        <v>39358948</v>
      </c>
      <c r="L769" s="50">
        <v>42638853</v>
      </c>
      <c r="M769" s="39"/>
      <c r="N769" s="36">
        <v>39358948</v>
      </c>
      <c r="O769" s="36">
        <v>27199056</v>
      </c>
      <c r="P769" s="36">
        <v>1498673</v>
      </c>
      <c r="Q769" s="36">
        <f>Q768*1936.27</f>
        <v>47534683.423303999</v>
      </c>
      <c r="R769" s="7"/>
      <c r="S769" s="7"/>
      <c r="T769" s="7"/>
      <c r="U769" s="7"/>
      <c r="V769" s="7"/>
      <c r="W769" s="7"/>
      <c r="X769" s="7"/>
      <c r="Y769" s="7"/>
      <c r="Z769" s="7"/>
    </row>
    <row r="770" spans="1:26" ht="12.75" customHeight="1" x14ac:dyDescent="0.2">
      <c r="A770" s="95"/>
      <c r="B770" s="95"/>
      <c r="C770" s="40" t="s">
        <v>36</v>
      </c>
      <c r="D770" s="41">
        <v>28</v>
      </c>
      <c r="E770" s="30">
        <v>14923.11</v>
      </c>
      <c r="F770" s="30">
        <v>0</v>
      </c>
      <c r="G770" s="30">
        <v>0</v>
      </c>
      <c r="H770" s="30">
        <v>6280.06</v>
      </c>
      <c r="I770" s="30">
        <v>0</v>
      </c>
      <c r="J770" s="42">
        <v>1766.93</v>
      </c>
      <c r="K770" s="43">
        <v>21203.17</v>
      </c>
      <c r="L770" s="51">
        <v>22970.1</v>
      </c>
      <c r="M770" s="33"/>
      <c r="N770" s="30">
        <v>21203.17</v>
      </c>
      <c r="O770" s="30">
        <v>14923.11</v>
      </c>
      <c r="P770" s="30">
        <v>774</v>
      </c>
      <c r="Q770" s="30">
        <f>(N770+O770*0.18+J770)+(IF((P770-O770*0.18)&gt;0,(P770-O770*0.18),0))</f>
        <v>25656.2598</v>
      </c>
      <c r="R770" s="7"/>
      <c r="S770" s="7"/>
      <c r="T770" s="7"/>
      <c r="U770" s="7"/>
      <c r="V770" s="7"/>
      <c r="W770" s="7"/>
      <c r="X770" s="7"/>
      <c r="Y770" s="7"/>
      <c r="Z770" s="7"/>
    </row>
    <row r="771" spans="1:26" ht="9" customHeight="1" x14ac:dyDescent="0.2">
      <c r="A771" s="95"/>
      <c r="B771" s="95"/>
      <c r="C771" s="34" t="s">
        <v>37</v>
      </c>
      <c r="D771" s="35">
        <v>34</v>
      </c>
      <c r="E771" s="36">
        <v>28895170</v>
      </c>
      <c r="F771" s="36">
        <v>0</v>
      </c>
      <c r="G771" s="36">
        <v>0</v>
      </c>
      <c r="H771" s="36">
        <v>12159892</v>
      </c>
      <c r="I771" s="36">
        <v>0</v>
      </c>
      <c r="J771" s="37">
        <v>3421254</v>
      </c>
      <c r="K771" s="36">
        <v>41055062</v>
      </c>
      <c r="L771" s="50">
        <v>44476316</v>
      </c>
      <c r="M771" s="39"/>
      <c r="N771" s="36">
        <v>41055062</v>
      </c>
      <c r="O771" s="36">
        <v>28895170</v>
      </c>
      <c r="P771" s="36">
        <v>1498673</v>
      </c>
      <c r="Q771" s="36">
        <f>Q770*1936.27</f>
        <v>49677446.162946001</v>
      </c>
      <c r="R771" s="7"/>
      <c r="S771" s="7"/>
      <c r="T771" s="7"/>
      <c r="U771" s="7"/>
      <c r="V771" s="7"/>
      <c r="W771" s="7"/>
      <c r="X771" s="7"/>
      <c r="Y771" s="7"/>
      <c r="Z771" s="7"/>
    </row>
    <row r="772" spans="1:26" ht="12.75" customHeight="1" x14ac:dyDescent="0.2">
      <c r="A772" s="95"/>
      <c r="B772" s="95"/>
      <c r="C772" s="40" t="s">
        <v>36</v>
      </c>
      <c r="D772" s="41">
        <v>35</v>
      </c>
      <c r="E772" s="30">
        <v>15594.38</v>
      </c>
      <c r="F772" s="30">
        <v>0</v>
      </c>
      <c r="G772" s="30">
        <v>0</v>
      </c>
      <c r="H772" s="30">
        <v>6280.06</v>
      </c>
      <c r="I772" s="30">
        <v>0</v>
      </c>
      <c r="J772" s="42">
        <v>1822.87</v>
      </c>
      <c r="K772" s="43">
        <v>21874.44</v>
      </c>
      <c r="L772" s="51">
        <v>23697.31</v>
      </c>
      <c r="M772" s="33"/>
      <c r="N772" s="30">
        <v>21874.44</v>
      </c>
      <c r="O772" s="30">
        <v>15594.38</v>
      </c>
      <c r="P772" s="30">
        <v>774</v>
      </c>
      <c r="Q772" s="30">
        <f>(N772+O772*0.18+J772)+(IF((P772-O772*0.18)&gt;0,(P772-O772*0.18),0))</f>
        <v>26504.298399999996</v>
      </c>
      <c r="R772" s="7"/>
      <c r="S772" s="7"/>
      <c r="T772" s="7"/>
      <c r="U772" s="7"/>
      <c r="V772" s="7"/>
      <c r="W772" s="7"/>
      <c r="X772" s="7"/>
      <c r="Y772" s="7"/>
      <c r="Z772" s="7"/>
    </row>
    <row r="773" spans="1:26" ht="9" customHeight="1" x14ac:dyDescent="0.2">
      <c r="A773" s="110"/>
      <c r="B773" s="110"/>
      <c r="C773" s="47" t="s">
        <v>37</v>
      </c>
      <c r="D773" s="48"/>
      <c r="E773" s="36">
        <v>30194930</v>
      </c>
      <c r="F773" s="36">
        <v>0</v>
      </c>
      <c r="G773" s="36">
        <v>0</v>
      </c>
      <c r="H773" s="36">
        <v>12159892</v>
      </c>
      <c r="I773" s="36">
        <v>0</v>
      </c>
      <c r="J773" s="49">
        <v>3529568</v>
      </c>
      <c r="K773" s="46">
        <v>42354822</v>
      </c>
      <c r="L773" s="52">
        <v>45884390</v>
      </c>
      <c r="M773" s="39"/>
      <c r="N773" s="36">
        <v>42354822</v>
      </c>
      <c r="O773" s="36">
        <v>30194930</v>
      </c>
      <c r="P773" s="36">
        <v>1498673</v>
      </c>
      <c r="Q773" s="36">
        <f>Q772*1936.27</f>
        <v>51319477.86296799</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7"/>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7"/>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7"/>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7"/>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7"/>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7"/>
      <c r="M779" s="39"/>
      <c r="N779" s="96"/>
      <c r="O779" s="96"/>
      <c r="P779" s="96"/>
      <c r="Q779" s="96"/>
      <c r="R779" s="7"/>
      <c r="S779" s="7"/>
      <c r="T779" s="7"/>
      <c r="U779" s="7"/>
      <c r="V779" s="7"/>
      <c r="W779" s="7"/>
      <c r="X779" s="7"/>
      <c r="Y779" s="7"/>
      <c r="Z779" s="7"/>
    </row>
    <row r="780" spans="1:26" ht="12.75" customHeight="1" x14ac:dyDescent="0.2">
      <c r="A780" s="98">
        <v>39814</v>
      </c>
      <c r="B780" s="98">
        <v>40268</v>
      </c>
      <c r="C780" s="28" t="s">
        <v>36</v>
      </c>
      <c r="D780" s="29">
        <v>0</v>
      </c>
      <c r="E780" s="30">
        <v>10415.969999999999</v>
      </c>
      <c r="F780" s="30">
        <v>0</v>
      </c>
      <c r="G780" s="30">
        <v>0</v>
      </c>
      <c r="H780" s="30">
        <v>6280.06</v>
      </c>
      <c r="I780" s="30">
        <v>0</v>
      </c>
      <c r="J780" s="30">
        <v>1391.34</v>
      </c>
      <c r="K780" s="31">
        <v>16696.03</v>
      </c>
      <c r="L780" s="32">
        <v>18087.37</v>
      </c>
      <c r="M780" s="33"/>
      <c r="N780" s="30">
        <v>16696.03</v>
      </c>
      <c r="O780" s="30">
        <v>10415.969999999999</v>
      </c>
      <c r="P780" s="30">
        <v>774</v>
      </c>
      <c r="Q780" s="30">
        <f>(N780+O780*0.18+J780)+(IF((P780-O780*0.18)&gt;0,(P780-O780*0.18),0))</f>
        <v>19962.244599999998</v>
      </c>
      <c r="R780" s="7"/>
      <c r="S780" s="7"/>
      <c r="T780" s="7"/>
      <c r="U780" s="7"/>
      <c r="V780" s="7"/>
      <c r="W780" s="7"/>
      <c r="X780" s="7"/>
      <c r="Y780" s="7"/>
      <c r="Z780" s="7"/>
    </row>
    <row r="781" spans="1:26" ht="9" customHeight="1" x14ac:dyDescent="0.2">
      <c r="A781" s="95"/>
      <c r="B781" s="95"/>
      <c r="C781" s="34" t="s">
        <v>37</v>
      </c>
      <c r="D781" s="35">
        <v>2</v>
      </c>
      <c r="E781" s="36">
        <v>20168130</v>
      </c>
      <c r="F781" s="36">
        <v>0</v>
      </c>
      <c r="G781" s="36">
        <v>0</v>
      </c>
      <c r="H781" s="36">
        <v>12159892</v>
      </c>
      <c r="I781" s="36">
        <v>0</v>
      </c>
      <c r="J781" s="37">
        <v>2694010</v>
      </c>
      <c r="K781" s="36">
        <v>32328022</v>
      </c>
      <c r="L781" s="50">
        <v>35022032</v>
      </c>
      <c r="M781" s="39"/>
      <c r="N781" s="36">
        <v>32328022</v>
      </c>
      <c r="O781" s="36">
        <v>20168130</v>
      </c>
      <c r="P781" s="36">
        <v>1498673</v>
      </c>
      <c r="Q781" s="36">
        <f>Q780*1936.27</f>
        <v>38652295.351641998</v>
      </c>
      <c r="R781" s="7"/>
      <c r="S781" s="7"/>
      <c r="T781" s="7"/>
      <c r="U781" s="7"/>
      <c r="V781" s="7"/>
      <c r="W781" s="7"/>
      <c r="X781" s="7"/>
      <c r="Y781" s="7"/>
      <c r="Z781" s="7"/>
    </row>
    <row r="782" spans="1:26" ht="12.75" customHeight="1" x14ac:dyDescent="0.2">
      <c r="A782" s="156">
        <v>39814</v>
      </c>
      <c r="B782" s="156">
        <v>40268</v>
      </c>
      <c r="C782" s="40" t="s">
        <v>36</v>
      </c>
      <c r="D782" s="41">
        <v>3</v>
      </c>
      <c r="E782" s="30">
        <v>10791.27</v>
      </c>
      <c r="F782" s="30">
        <v>0</v>
      </c>
      <c r="G782" s="30">
        <v>0</v>
      </c>
      <c r="H782" s="30">
        <v>6280.06</v>
      </c>
      <c r="I782" s="30">
        <v>0</v>
      </c>
      <c r="J782" s="42">
        <v>1422.61</v>
      </c>
      <c r="K782" s="43">
        <v>17071.330000000002</v>
      </c>
      <c r="L782" s="51">
        <v>18493.939999999999</v>
      </c>
      <c r="M782" s="33"/>
      <c r="N782" s="30">
        <v>17071.330000000002</v>
      </c>
      <c r="O782" s="30">
        <v>10791.27</v>
      </c>
      <c r="P782" s="30">
        <v>774</v>
      </c>
      <c r="Q782" s="30">
        <f>(N782+O782*0.18+J782)+(IF((P782-O782*0.18)&gt;0,(P782-O782*0.18),0))</f>
        <v>20436.368600000002</v>
      </c>
      <c r="R782" s="7"/>
      <c r="S782" s="7"/>
      <c r="T782" s="7"/>
      <c r="U782" s="7"/>
      <c r="V782" s="7"/>
      <c r="W782" s="7"/>
      <c r="X782" s="7"/>
      <c r="Y782" s="7"/>
      <c r="Z782" s="7"/>
    </row>
    <row r="783" spans="1:26" ht="9" customHeight="1" x14ac:dyDescent="0.2">
      <c r="A783" s="95"/>
      <c r="B783" s="95"/>
      <c r="C783" s="34" t="s">
        <v>37</v>
      </c>
      <c r="D783" s="35">
        <v>8</v>
      </c>
      <c r="E783" s="36">
        <v>20894812</v>
      </c>
      <c r="F783" s="36">
        <v>0</v>
      </c>
      <c r="G783" s="36">
        <v>0</v>
      </c>
      <c r="H783" s="36">
        <v>12159892</v>
      </c>
      <c r="I783" s="36">
        <v>0</v>
      </c>
      <c r="J783" s="37">
        <v>2754557</v>
      </c>
      <c r="K783" s="36">
        <v>33054704</v>
      </c>
      <c r="L783" s="50">
        <v>35809261</v>
      </c>
      <c r="M783" s="39"/>
      <c r="N783" s="36">
        <v>33054704</v>
      </c>
      <c r="O783" s="36">
        <v>20894812</v>
      </c>
      <c r="P783" s="36">
        <v>1498673</v>
      </c>
      <c r="Q783" s="36">
        <f>Q782*1936.27</f>
        <v>39570327.429122001</v>
      </c>
      <c r="R783" s="7"/>
      <c r="S783" s="7"/>
      <c r="T783" s="7"/>
      <c r="U783" s="7"/>
      <c r="V783" s="7"/>
      <c r="W783" s="7"/>
      <c r="X783" s="7"/>
      <c r="Y783" s="7"/>
      <c r="Z783" s="7"/>
    </row>
    <row r="784" spans="1:26" ht="12.75" customHeight="1" x14ac:dyDescent="0.2">
      <c r="A784" s="95"/>
      <c r="B784" s="95"/>
      <c r="C784" s="40" t="s">
        <v>36</v>
      </c>
      <c r="D784" s="41">
        <v>9</v>
      </c>
      <c r="E784" s="30">
        <v>12131.03</v>
      </c>
      <c r="F784" s="30">
        <v>0</v>
      </c>
      <c r="G784" s="30">
        <v>0</v>
      </c>
      <c r="H784" s="30">
        <v>6280.06</v>
      </c>
      <c r="I784" s="30">
        <v>0</v>
      </c>
      <c r="J784" s="42">
        <v>1534.26</v>
      </c>
      <c r="K784" s="43">
        <v>18411.09</v>
      </c>
      <c r="L784" s="51">
        <v>19945.349999999999</v>
      </c>
      <c r="M784" s="33"/>
      <c r="N784" s="30">
        <v>18411.09</v>
      </c>
      <c r="O784" s="30">
        <v>12131.03</v>
      </c>
      <c r="P784" s="30">
        <v>774</v>
      </c>
      <c r="Q784" s="30">
        <f>(N784+O784*0.18+J784)+(IF((P784-O784*0.18)&gt;0,(P784-O784*0.18),0))</f>
        <v>22128.935399999998</v>
      </c>
      <c r="R784" s="7"/>
      <c r="S784" s="7"/>
      <c r="T784" s="7"/>
      <c r="U784" s="7"/>
      <c r="V784" s="7"/>
      <c r="W784" s="7"/>
      <c r="X784" s="7"/>
      <c r="Y784" s="7"/>
      <c r="Z784" s="7"/>
    </row>
    <row r="785" spans="1:26" ht="9" customHeight="1" x14ac:dyDescent="0.2">
      <c r="A785" s="95"/>
      <c r="B785" s="95"/>
      <c r="C785" s="34" t="s">
        <v>37</v>
      </c>
      <c r="D785" s="35">
        <v>14</v>
      </c>
      <c r="E785" s="36">
        <v>23488949</v>
      </c>
      <c r="F785" s="36">
        <v>0</v>
      </c>
      <c r="G785" s="36">
        <v>0</v>
      </c>
      <c r="H785" s="36">
        <v>12159892</v>
      </c>
      <c r="I785" s="36">
        <v>0</v>
      </c>
      <c r="J785" s="37">
        <v>2970742</v>
      </c>
      <c r="K785" s="36">
        <v>35648841</v>
      </c>
      <c r="L785" s="50">
        <v>38619583</v>
      </c>
      <c r="M785" s="39"/>
      <c r="N785" s="36">
        <v>35648841</v>
      </c>
      <c r="O785" s="36">
        <v>23488949</v>
      </c>
      <c r="P785" s="36">
        <v>1498673</v>
      </c>
      <c r="Q785" s="36">
        <f>Q784*1936.27</f>
        <v>42847593.746957995</v>
      </c>
      <c r="R785" s="7"/>
      <c r="S785" s="7"/>
      <c r="T785" s="7"/>
      <c r="U785" s="7"/>
      <c r="V785" s="7"/>
      <c r="W785" s="7"/>
      <c r="X785" s="7"/>
      <c r="Y785" s="7"/>
      <c r="Z785" s="7"/>
    </row>
    <row r="786" spans="1:26" ht="12.75" customHeight="1" x14ac:dyDescent="0.2">
      <c r="A786" s="95"/>
      <c r="B786" s="95"/>
      <c r="C786" s="40" t="s">
        <v>36</v>
      </c>
      <c r="D786" s="41">
        <v>15</v>
      </c>
      <c r="E786" s="30">
        <v>13400.03</v>
      </c>
      <c r="F786" s="30">
        <v>0</v>
      </c>
      <c r="G786" s="30">
        <v>0</v>
      </c>
      <c r="H786" s="30">
        <v>6280.06</v>
      </c>
      <c r="I786" s="30">
        <v>0</v>
      </c>
      <c r="J786" s="42">
        <v>1640.01</v>
      </c>
      <c r="K786" s="43">
        <v>19680.09</v>
      </c>
      <c r="L786" s="51">
        <v>21320.1</v>
      </c>
      <c r="M786" s="33"/>
      <c r="N786" s="30">
        <v>19680.09</v>
      </c>
      <c r="O786" s="30">
        <v>13400.03</v>
      </c>
      <c r="P786" s="30">
        <v>774</v>
      </c>
      <c r="Q786" s="30">
        <f>(N786+O786*0.18+J786)+(IF((P786-O786*0.18)&gt;0,(P786-O786*0.18),0))</f>
        <v>23732.105399999997</v>
      </c>
      <c r="R786" s="7"/>
      <c r="S786" s="7"/>
      <c r="T786" s="7"/>
      <c r="U786" s="7"/>
      <c r="V786" s="7"/>
      <c r="W786" s="7"/>
      <c r="X786" s="7"/>
      <c r="Y786" s="7"/>
      <c r="Z786" s="7"/>
    </row>
    <row r="787" spans="1:26" ht="9" customHeight="1" x14ac:dyDescent="0.2">
      <c r="A787" s="95"/>
      <c r="B787" s="95"/>
      <c r="C787" s="34" t="s">
        <v>37</v>
      </c>
      <c r="D787" s="35">
        <v>20</v>
      </c>
      <c r="E787" s="36">
        <v>25946076</v>
      </c>
      <c r="F787" s="36">
        <v>0</v>
      </c>
      <c r="G787" s="36">
        <v>0</v>
      </c>
      <c r="H787" s="36">
        <v>12159892</v>
      </c>
      <c r="I787" s="36">
        <v>0</v>
      </c>
      <c r="J787" s="37">
        <v>3175502</v>
      </c>
      <c r="K787" s="36">
        <v>38105968</v>
      </c>
      <c r="L787" s="50">
        <v>41281470</v>
      </c>
      <c r="M787" s="39"/>
      <c r="N787" s="36">
        <v>38105968</v>
      </c>
      <c r="O787" s="36">
        <v>25946076</v>
      </c>
      <c r="P787" s="36">
        <v>1498673</v>
      </c>
      <c r="Q787" s="36">
        <f>Q786*1936.27</f>
        <v>45951763.722857997</v>
      </c>
      <c r="R787" s="7"/>
      <c r="S787" s="7"/>
      <c r="T787" s="7"/>
      <c r="U787" s="7"/>
      <c r="V787" s="7"/>
      <c r="W787" s="7"/>
      <c r="X787" s="7"/>
      <c r="Y787" s="7"/>
      <c r="Z787" s="7"/>
    </row>
    <row r="788" spans="1:26" ht="12.75" customHeight="1" x14ac:dyDescent="0.2">
      <c r="A788" s="95"/>
      <c r="B788" s="95"/>
      <c r="C788" s="40" t="s">
        <v>36</v>
      </c>
      <c r="D788" s="41">
        <v>21</v>
      </c>
      <c r="E788" s="30">
        <v>14676.66</v>
      </c>
      <c r="F788" s="30">
        <v>0</v>
      </c>
      <c r="G788" s="30">
        <v>0</v>
      </c>
      <c r="H788" s="30">
        <v>6280.06</v>
      </c>
      <c r="I788" s="30">
        <v>0</v>
      </c>
      <c r="J788" s="42">
        <v>1746.39</v>
      </c>
      <c r="K788" s="43">
        <v>20956.72</v>
      </c>
      <c r="L788" s="51">
        <v>22703.11</v>
      </c>
      <c r="M788" s="33"/>
      <c r="N788" s="30">
        <v>20956.72</v>
      </c>
      <c r="O788" s="30">
        <v>14676.66</v>
      </c>
      <c r="P788" s="30">
        <v>774</v>
      </c>
      <c r="Q788" s="30">
        <f>(N788+O788*0.18+J788)+(IF((P788-O788*0.18)&gt;0,(P788-O788*0.18),0))</f>
        <v>25344.908800000001</v>
      </c>
      <c r="R788" s="7"/>
      <c r="S788" s="7"/>
      <c r="T788" s="7"/>
      <c r="U788" s="7"/>
      <c r="V788" s="7"/>
      <c r="W788" s="7"/>
      <c r="X788" s="7"/>
      <c r="Y788" s="7"/>
      <c r="Z788" s="7"/>
    </row>
    <row r="789" spans="1:26" ht="9" customHeight="1" x14ac:dyDescent="0.2">
      <c r="A789" s="95"/>
      <c r="B789" s="95"/>
      <c r="C789" s="34" t="s">
        <v>37</v>
      </c>
      <c r="D789" s="35">
        <v>27</v>
      </c>
      <c r="E789" s="36">
        <v>28417976</v>
      </c>
      <c r="F789" s="36">
        <v>0</v>
      </c>
      <c r="G789" s="36">
        <v>0</v>
      </c>
      <c r="H789" s="36">
        <v>12159892</v>
      </c>
      <c r="I789" s="36">
        <v>0</v>
      </c>
      <c r="J789" s="37">
        <v>3381483</v>
      </c>
      <c r="K789" s="36">
        <v>40577868</v>
      </c>
      <c r="L789" s="50">
        <v>43959351</v>
      </c>
      <c r="M789" s="39"/>
      <c r="N789" s="36">
        <v>40577868</v>
      </c>
      <c r="O789" s="36">
        <v>28417976</v>
      </c>
      <c r="P789" s="36">
        <v>1498673</v>
      </c>
      <c r="Q789" s="36">
        <f>Q788*1936.27</f>
        <v>49074586.562176004</v>
      </c>
      <c r="R789" s="7"/>
      <c r="S789" s="7"/>
      <c r="T789" s="7"/>
      <c r="U789" s="7"/>
      <c r="V789" s="7"/>
      <c r="W789" s="7"/>
      <c r="X789" s="7"/>
      <c r="Y789" s="7"/>
      <c r="Z789" s="7"/>
    </row>
    <row r="790" spans="1:26" ht="12.75" customHeight="1" x14ac:dyDescent="0.2">
      <c r="A790" s="95"/>
      <c r="B790" s="95"/>
      <c r="C790" s="40" t="s">
        <v>36</v>
      </c>
      <c r="D790" s="41">
        <v>28</v>
      </c>
      <c r="E790" s="30">
        <v>15585.87</v>
      </c>
      <c r="F790" s="30">
        <v>0</v>
      </c>
      <c r="G790" s="30">
        <v>0</v>
      </c>
      <c r="H790" s="30">
        <v>6280.06</v>
      </c>
      <c r="I790" s="30">
        <v>0</v>
      </c>
      <c r="J790" s="42">
        <v>1822.16</v>
      </c>
      <c r="K790" s="43">
        <v>21865.93</v>
      </c>
      <c r="L790" s="51">
        <v>23688.09</v>
      </c>
      <c r="M790" s="33"/>
      <c r="N790" s="30">
        <v>21865.93</v>
      </c>
      <c r="O790" s="30">
        <v>15585.87</v>
      </c>
      <c r="P790" s="30">
        <v>774</v>
      </c>
      <c r="Q790" s="30">
        <f>(N790+O790*0.18+J790)+(IF((P790-O790*0.18)&gt;0,(P790-O790*0.18),0))</f>
        <v>26493.546600000001</v>
      </c>
      <c r="R790" s="7"/>
      <c r="S790" s="7"/>
      <c r="T790" s="7"/>
      <c r="U790" s="7"/>
      <c r="V790" s="7"/>
      <c r="W790" s="7"/>
      <c r="X790" s="7"/>
      <c r="Y790" s="7"/>
      <c r="Z790" s="7"/>
    </row>
    <row r="791" spans="1:26" ht="9" customHeight="1" x14ac:dyDescent="0.2">
      <c r="A791" s="95"/>
      <c r="B791" s="95"/>
      <c r="C791" s="34" t="s">
        <v>37</v>
      </c>
      <c r="D791" s="35">
        <v>34</v>
      </c>
      <c r="E791" s="36">
        <v>30178453</v>
      </c>
      <c r="F791" s="36">
        <v>0</v>
      </c>
      <c r="G791" s="36">
        <v>0</v>
      </c>
      <c r="H791" s="36">
        <v>12159892</v>
      </c>
      <c r="I791" s="36">
        <v>0</v>
      </c>
      <c r="J791" s="37">
        <v>3528194</v>
      </c>
      <c r="K791" s="36">
        <v>42338344</v>
      </c>
      <c r="L791" s="50">
        <v>45866538</v>
      </c>
      <c r="M791" s="39"/>
      <c r="N791" s="36">
        <v>42338344</v>
      </c>
      <c r="O791" s="36">
        <v>30178453</v>
      </c>
      <c r="P791" s="36">
        <v>1498673</v>
      </c>
      <c r="Q791" s="36">
        <f>Q790*1936.27</f>
        <v>51298659.475182004</v>
      </c>
      <c r="R791" s="7"/>
      <c r="S791" s="7"/>
      <c r="T791" s="7"/>
      <c r="U791" s="7"/>
      <c r="V791" s="7"/>
      <c r="W791" s="7"/>
      <c r="X791" s="7"/>
      <c r="Y791" s="7"/>
      <c r="Z791" s="7"/>
    </row>
    <row r="792" spans="1:26" ht="12.75" customHeight="1" x14ac:dyDescent="0.2">
      <c r="A792" s="95"/>
      <c r="B792" s="95"/>
      <c r="C792" s="40" t="s">
        <v>36</v>
      </c>
      <c r="D792" s="41">
        <v>35</v>
      </c>
      <c r="E792" s="30">
        <v>16282.58</v>
      </c>
      <c r="F792" s="30">
        <v>0</v>
      </c>
      <c r="G792" s="30">
        <v>0</v>
      </c>
      <c r="H792" s="30">
        <v>6280.06</v>
      </c>
      <c r="I792" s="30">
        <v>0</v>
      </c>
      <c r="J792" s="42">
        <v>1880.22</v>
      </c>
      <c r="K792" s="43">
        <v>22562.639999999999</v>
      </c>
      <c r="L792" s="51">
        <v>24442.86</v>
      </c>
      <c r="M792" s="33"/>
      <c r="N792" s="30">
        <v>22562.639999999999</v>
      </c>
      <c r="O792" s="30">
        <v>16282.58</v>
      </c>
      <c r="P792" s="30">
        <v>774</v>
      </c>
      <c r="Q792" s="30">
        <f>(N792+O792*0.18+J792)+(IF((P792-O792*0.18)&gt;0,(P792-O792*0.18),0))</f>
        <v>27373.724399999999</v>
      </c>
      <c r="R792" s="7"/>
      <c r="S792" s="7"/>
      <c r="T792" s="7"/>
      <c r="U792" s="7"/>
      <c r="V792" s="7"/>
      <c r="W792" s="7"/>
      <c r="X792" s="7"/>
      <c r="Y792" s="7"/>
      <c r="Z792" s="7"/>
    </row>
    <row r="793" spans="1:26" ht="9" customHeight="1" x14ac:dyDescent="0.2">
      <c r="A793" s="110"/>
      <c r="B793" s="110"/>
      <c r="C793" s="47" t="s">
        <v>37</v>
      </c>
      <c r="D793" s="48"/>
      <c r="E793" s="36">
        <v>31527471</v>
      </c>
      <c r="F793" s="36">
        <v>0</v>
      </c>
      <c r="G793" s="36">
        <v>0</v>
      </c>
      <c r="H793" s="36">
        <v>12159892</v>
      </c>
      <c r="I793" s="36">
        <v>0</v>
      </c>
      <c r="J793" s="49">
        <v>3640614</v>
      </c>
      <c r="K793" s="46">
        <v>43687363</v>
      </c>
      <c r="L793" s="52">
        <v>47327977</v>
      </c>
      <c r="M793" s="39"/>
      <c r="N793" s="36">
        <v>43687363</v>
      </c>
      <c r="O793" s="36">
        <v>31527471</v>
      </c>
      <c r="P793" s="36">
        <v>1498673</v>
      </c>
      <c r="Q793" s="36">
        <f>Q792*1936.27</f>
        <v>53002921.343988001</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7"/>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7"/>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7"/>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7"/>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7"/>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7"/>
      <c r="M799" s="39"/>
      <c r="N799" s="96"/>
      <c r="O799" s="96"/>
      <c r="P799" s="96"/>
      <c r="Q799" s="96"/>
      <c r="R799" s="7"/>
      <c r="S799" s="7"/>
      <c r="T799" s="7"/>
      <c r="U799" s="7"/>
      <c r="V799" s="7"/>
      <c r="W799" s="7"/>
      <c r="X799" s="7"/>
      <c r="Y799" s="7"/>
      <c r="Z799" s="7"/>
    </row>
    <row r="800" spans="1:26" ht="12.75" customHeight="1" x14ac:dyDescent="0.2">
      <c r="A800" s="98">
        <v>40269</v>
      </c>
      <c r="B800" s="98">
        <v>40359</v>
      </c>
      <c r="C800" s="28" t="s">
        <v>36</v>
      </c>
      <c r="D800" s="29">
        <v>0</v>
      </c>
      <c r="E800" s="30">
        <v>10415.969999999999</v>
      </c>
      <c r="F800" s="30">
        <v>0</v>
      </c>
      <c r="G800" s="30">
        <v>0</v>
      </c>
      <c r="H800" s="30">
        <v>6280.06</v>
      </c>
      <c r="I800" s="30">
        <v>75.13</v>
      </c>
      <c r="J800" s="30">
        <v>1391.34</v>
      </c>
      <c r="K800" s="31">
        <v>16771.16</v>
      </c>
      <c r="L800" s="32">
        <v>18162.5</v>
      </c>
      <c r="M800" s="33"/>
      <c r="N800" s="30">
        <v>16771.16</v>
      </c>
      <c r="O800" s="30">
        <v>10491.1</v>
      </c>
      <c r="P800" s="30">
        <v>774</v>
      </c>
      <c r="Q800" s="30">
        <f>(N800+O800*0.18+J800)+(IF((P800-O800*0.18)&gt;0,(P800-O800*0.18),0))</f>
        <v>20050.898000000001</v>
      </c>
      <c r="R800" s="7"/>
      <c r="S800" s="7"/>
      <c r="T800" s="7"/>
      <c r="U800" s="7"/>
      <c r="V800" s="7"/>
      <c r="W800" s="7"/>
      <c r="X800" s="7"/>
      <c r="Y800" s="7"/>
      <c r="Z800" s="7"/>
    </row>
    <row r="801" spans="1:26" ht="9" customHeight="1" x14ac:dyDescent="0.2">
      <c r="A801" s="95"/>
      <c r="B801" s="95"/>
      <c r="C801" s="34" t="s">
        <v>37</v>
      </c>
      <c r="D801" s="35">
        <v>2</v>
      </c>
      <c r="E801" s="36">
        <v>20168130</v>
      </c>
      <c r="F801" s="36">
        <v>0</v>
      </c>
      <c r="G801" s="36">
        <v>0</v>
      </c>
      <c r="H801" s="36">
        <v>12159892</v>
      </c>
      <c r="I801" s="36">
        <v>145472</v>
      </c>
      <c r="J801" s="37">
        <v>2694010</v>
      </c>
      <c r="K801" s="36">
        <v>32473494</v>
      </c>
      <c r="L801" s="50">
        <v>35167504</v>
      </c>
      <c r="M801" s="39"/>
      <c r="N801" s="36">
        <v>32473494</v>
      </c>
      <c r="O801" s="36">
        <v>20313602</v>
      </c>
      <c r="P801" s="36">
        <v>1498673</v>
      </c>
      <c r="Q801" s="36">
        <f>Q800*1936.27</f>
        <v>38823952.270460002</v>
      </c>
      <c r="R801" s="7"/>
      <c r="S801" s="7"/>
      <c r="T801" s="7"/>
      <c r="U801" s="7"/>
      <c r="V801" s="7"/>
      <c r="W801" s="7"/>
      <c r="X801" s="7"/>
      <c r="Y801" s="7"/>
      <c r="Z801" s="7"/>
    </row>
    <row r="802" spans="1:26" ht="12.75" customHeight="1" x14ac:dyDescent="0.2">
      <c r="A802" s="156">
        <v>40269</v>
      </c>
      <c r="B802" s="156">
        <v>40359</v>
      </c>
      <c r="C802" s="40" t="s">
        <v>36</v>
      </c>
      <c r="D802" s="41">
        <v>3</v>
      </c>
      <c r="E802" s="30">
        <v>10791.27</v>
      </c>
      <c r="F802" s="30">
        <v>0</v>
      </c>
      <c r="G802" s="30">
        <v>0</v>
      </c>
      <c r="H802" s="30">
        <v>6280.06</v>
      </c>
      <c r="I802" s="30">
        <v>75.13</v>
      </c>
      <c r="J802" s="42">
        <v>1422.61</v>
      </c>
      <c r="K802" s="43">
        <v>17146.46</v>
      </c>
      <c r="L802" s="51">
        <v>18569.07</v>
      </c>
      <c r="M802" s="33"/>
      <c r="N802" s="30">
        <v>17146.46</v>
      </c>
      <c r="O802" s="30">
        <v>10866.4</v>
      </c>
      <c r="P802" s="30">
        <v>774</v>
      </c>
      <c r="Q802" s="30">
        <f>(N802+O802*0.18+J802)+(IF((P802-O802*0.18)&gt;0,(P802-O802*0.18),0))</f>
        <v>20525.022000000001</v>
      </c>
      <c r="R802" s="7"/>
      <c r="S802" s="7"/>
      <c r="T802" s="7"/>
      <c r="U802" s="7"/>
      <c r="V802" s="7"/>
      <c r="W802" s="7"/>
      <c r="X802" s="7"/>
      <c r="Y802" s="7"/>
      <c r="Z802" s="7"/>
    </row>
    <row r="803" spans="1:26" ht="9" customHeight="1" x14ac:dyDescent="0.2">
      <c r="A803" s="95"/>
      <c r="B803" s="95"/>
      <c r="C803" s="34" t="s">
        <v>37</v>
      </c>
      <c r="D803" s="35">
        <v>8</v>
      </c>
      <c r="E803" s="36">
        <v>20894812</v>
      </c>
      <c r="F803" s="36">
        <v>0</v>
      </c>
      <c r="G803" s="36">
        <v>0</v>
      </c>
      <c r="H803" s="36">
        <v>12159892</v>
      </c>
      <c r="I803" s="36">
        <v>145472</v>
      </c>
      <c r="J803" s="37">
        <v>2754557</v>
      </c>
      <c r="K803" s="36">
        <v>33200176</v>
      </c>
      <c r="L803" s="50">
        <v>35954733</v>
      </c>
      <c r="M803" s="39"/>
      <c r="N803" s="36">
        <v>33200176</v>
      </c>
      <c r="O803" s="36">
        <v>21040284</v>
      </c>
      <c r="P803" s="36">
        <v>1498673</v>
      </c>
      <c r="Q803" s="36">
        <f>Q802*1936.27</f>
        <v>39741984.347939998</v>
      </c>
      <c r="R803" s="7"/>
      <c r="S803" s="7"/>
      <c r="T803" s="7"/>
      <c r="U803" s="7"/>
      <c r="V803" s="7"/>
      <c r="W803" s="7"/>
      <c r="X803" s="7"/>
      <c r="Y803" s="7"/>
      <c r="Z803" s="7"/>
    </row>
    <row r="804" spans="1:26" ht="12.75" customHeight="1" x14ac:dyDescent="0.2">
      <c r="A804" s="95"/>
      <c r="B804" s="95"/>
      <c r="C804" s="40" t="s">
        <v>36</v>
      </c>
      <c r="D804" s="41">
        <v>9</v>
      </c>
      <c r="E804" s="30">
        <v>12131.03</v>
      </c>
      <c r="F804" s="30">
        <v>0</v>
      </c>
      <c r="G804" s="30">
        <v>0</v>
      </c>
      <c r="H804" s="30">
        <v>6280.06</v>
      </c>
      <c r="I804" s="30">
        <v>75.13</v>
      </c>
      <c r="J804" s="42">
        <v>1534.26</v>
      </c>
      <c r="K804" s="43">
        <v>18486.22</v>
      </c>
      <c r="L804" s="51">
        <v>20020.48</v>
      </c>
      <c r="M804" s="33"/>
      <c r="N804" s="30">
        <v>18486.22</v>
      </c>
      <c r="O804" s="30">
        <v>12206.16</v>
      </c>
      <c r="P804" s="30">
        <v>774</v>
      </c>
      <c r="Q804" s="30">
        <f>(N804+O804*0.18+J804)+(IF((P804-O804*0.18)&gt;0,(P804-O804*0.18),0))</f>
        <v>22217.588800000001</v>
      </c>
      <c r="R804" s="7"/>
      <c r="S804" s="7"/>
      <c r="T804" s="7"/>
      <c r="U804" s="7"/>
      <c r="V804" s="7"/>
      <c r="W804" s="7"/>
      <c r="X804" s="7"/>
      <c r="Y804" s="7"/>
      <c r="Z804" s="7"/>
    </row>
    <row r="805" spans="1:26" ht="9" customHeight="1" x14ac:dyDescent="0.2">
      <c r="A805" s="95"/>
      <c r="B805" s="95"/>
      <c r="C805" s="34" t="s">
        <v>37</v>
      </c>
      <c r="D805" s="35">
        <v>14</v>
      </c>
      <c r="E805" s="36">
        <v>23488949</v>
      </c>
      <c r="F805" s="36">
        <v>0</v>
      </c>
      <c r="G805" s="36">
        <v>0</v>
      </c>
      <c r="H805" s="36">
        <v>12159892</v>
      </c>
      <c r="I805" s="36">
        <v>145472</v>
      </c>
      <c r="J805" s="37">
        <v>2970742</v>
      </c>
      <c r="K805" s="36">
        <v>35794313</v>
      </c>
      <c r="L805" s="50">
        <v>38765055</v>
      </c>
      <c r="M805" s="39"/>
      <c r="N805" s="36">
        <v>35794313</v>
      </c>
      <c r="O805" s="36">
        <v>23634421</v>
      </c>
      <c r="P805" s="36">
        <v>1498673</v>
      </c>
      <c r="Q805" s="36">
        <f>Q804*1936.27</f>
        <v>43019250.665775999</v>
      </c>
      <c r="R805" s="7"/>
      <c r="S805" s="7"/>
      <c r="T805" s="7"/>
      <c r="U805" s="7"/>
      <c r="V805" s="7"/>
      <c r="W805" s="7"/>
      <c r="X805" s="7"/>
      <c r="Y805" s="7"/>
      <c r="Z805" s="7"/>
    </row>
    <row r="806" spans="1:26" ht="12.75" customHeight="1" x14ac:dyDescent="0.2">
      <c r="A806" s="95"/>
      <c r="B806" s="95"/>
      <c r="C806" s="40" t="s">
        <v>36</v>
      </c>
      <c r="D806" s="41">
        <v>15</v>
      </c>
      <c r="E806" s="30">
        <v>13400.03</v>
      </c>
      <c r="F806" s="30">
        <v>0</v>
      </c>
      <c r="G806" s="30">
        <v>0</v>
      </c>
      <c r="H806" s="30">
        <v>6280.06</v>
      </c>
      <c r="I806" s="30">
        <v>75.13</v>
      </c>
      <c r="J806" s="42">
        <v>1640.01</v>
      </c>
      <c r="K806" s="43">
        <v>19755.22</v>
      </c>
      <c r="L806" s="51">
        <v>21395.23</v>
      </c>
      <c r="M806" s="33"/>
      <c r="N806" s="30">
        <v>19755.22</v>
      </c>
      <c r="O806" s="30">
        <v>13475.16</v>
      </c>
      <c r="P806" s="30">
        <v>774</v>
      </c>
      <c r="Q806" s="30">
        <f>(N806+O806*0.18+J806)+(IF((P806-O806*0.18)&gt;0,(P806-O806*0.18),0))</f>
        <v>23820.7588</v>
      </c>
      <c r="R806" s="7"/>
      <c r="S806" s="7"/>
      <c r="T806" s="7"/>
      <c r="U806" s="7"/>
      <c r="V806" s="7"/>
      <c r="W806" s="7"/>
      <c r="X806" s="7"/>
      <c r="Y806" s="7"/>
      <c r="Z806" s="7"/>
    </row>
    <row r="807" spans="1:26" ht="9" customHeight="1" x14ac:dyDescent="0.2">
      <c r="A807" s="95"/>
      <c r="B807" s="95"/>
      <c r="C807" s="34" t="s">
        <v>37</v>
      </c>
      <c r="D807" s="35">
        <v>20</v>
      </c>
      <c r="E807" s="36">
        <v>25946076</v>
      </c>
      <c r="F807" s="36">
        <v>0</v>
      </c>
      <c r="G807" s="36">
        <v>0</v>
      </c>
      <c r="H807" s="36">
        <v>12159892</v>
      </c>
      <c r="I807" s="36">
        <v>145472</v>
      </c>
      <c r="J807" s="37">
        <v>3175502</v>
      </c>
      <c r="K807" s="36">
        <v>38251440</v>
      </c>
      <c r="L807" s="50">
        <v>41426942</v>
      </c>
      <c r="M807" s="39"/>
      <c r="N807" s="36">
        <v>38251440</v>
      </c>
      <c r="O807" s="36">
        <v>26091548</v>
      </c>
      <c r="P807" s="36">
        <v>1498673</v>
      </c>
      <c r="Q807" s="36">
        <f>Q806*1936.27</f>
        <v>46123420.641676001</v>
      </c>
      <c r="R807" s="7"/>
      <c r="S807" s="7"/>
      <c r="T807" s="7"/>
      <c r="U807" s="7"/>
      <c r="V807" s="7"/>
      <c r="W807" s="7"/>
      <c r="X807" s="7"/>
      <c r="Y807" s="7"/>
      <c r="Z807" s="7"/>
    </row>
    <row r="808" spans="1:26" ht="12.75" customHeight="1" x14ac:dyDescent="0.2">
      <c r="A808" s="95"/>
      <c r="B808" s="95"/>
      <c r="C808" s="40" t="s">
        <v>36</v>
      </c>
      <c r="D808" s="41">
        <v>21</v>
      </c>
      <c r="E808" s="30">
        <v>14676.66</v>
      </c>
      <c r="F808" s="30">
        <v>0</v>
      </c>
      <c r="G808" s="30">
        <v>0</v>
      </c>
      <c r="H808" s="30">
        <v>6280.06</v>
      </c>
      <c r="I808" s="30">
        <v>75.13</v>
      </c>
      <c r="J808" s="42">
        <v>1746.39</v>
      </c>
      <c r="K808" s="43">
        <v>21031.85</v>
      </c>
      <c r="L808" s="51">
        <v>22778.240000000002</v>
      </c>
      <c r="M808" s="33"/>
      <c r="N808" s="30">
        <v>21031.85</v>
      </c>
      <c r="O808" s="30">
        <v>14751.79</v>
      </c>
      <c r="P808" s="30">
        <v>774</v>
      </c>
      <c r="Q808" s="30">
        <f>(N808+O808*0.18+J808)+(IF((P808-O808*0.18)&gt;0,(P808-O808*0.18),0))</f>
        <v>25433.562199999997</v>
      </c>
      <c r="R808" s="7"/>
      <c r="S808" s="7"/>
      <c r="T808" s="7"/>
      <c r="U808" s="7"/>
      <c r="V808" s="7"/>
      <c r="W808" s="7"/>
      <c r="X808" s="7"/>
      <c r="Y808" s="7"/>
      <c r="Z808" s="7"/>
    </row>
    <row r="809" spans="1:26" ht="9" customHeight="1" x14ac:dyDescent="0.2">
      <c r="A809" s="95"/>
      <c r="B809" s="95"/>
      <c r="C809" s="34" t="s">
        <v>37</v>
      </c>
      <c r="D809" s="35">
        <v>27</v>
      </c>
      <c r="E809" s="36">
        <v>28417976</v>
      </c>
      <c r="F809" s="36">
        <v>0</v>
      </c>
      <c r="G809" s="36">
        <v>0</v>
      </c>
      <c r="H809" s="36">
        <v>12159892</v>
      </c>
      <c r="I809" s="36">
        <v>145472</v>
      </c>
      <c r="J809" s="37">
        <v>3381483</v>
      </c>
      <c r="K809" s="36">
        <v>40723340</v>
      </c>
      <c r="L809" s="50">
        <v>44104823</v>
      </c>
      <c r="M809" s="39"/>
      <c r="N809" s="36">
        <v>40723340</v>
      </c>
      <c r="O809" s="36">
        <v>28563448</v>
      </c>
      <c r="P809" s="36">
        <v>1498673</v>
      </c>
      <c r="Q809" s="36">
        <f>Q808*1936.27</f>
        <v>49246243.480993994</v>
      </c>
      <c r="R809" s="7"/>
      <c r="S809" s="7"/>
      <c r="T809" s="7"/>
      <c r="U809" s="7"/>
      <c r="V809" s="7"/>
      <c r="W809" s="7"/>
      <c r="X809" s="7"/>
      <c r="Y809" s="7"/>
      <c r="Z809" s="7"/>
    </row>
    <row r="810" spans="1:26" ht="12.75" customHeight="1" x14ac:dyDescent="0.2">
      <c r="A810" s="95"/>
      <c r="B810" s="95"/>
      <c r="C810" s="40" t="s">
        <v>36</v>
      </c>
      <c r="D810" s="41">
        <v>28</v>
      </c>
      <c r="E810" s="30">
        <v>15585.87</v>
      </c>
      <c r="F810" s="30">
        <v>0</v>
      </c>
      <c r="G810" s="30">
        <v>0</v>
      </c>
      <c r="H810" s="30">
        <v>6280.06</v>
      </c>
      <c r="I810" s="30">
        <v>75.13</v>
      </c>
      <c r="J810" s="42">
        <v>1822.16</v>
      </c>
      <c r="K810" s="43">
        <v>21941.06</v>
      </c>
      <c r="L810" s="51">
        <v>23763.22</v>
      </c>
      <c r="M810" s="33"/>
      <c r="N810" s="30">
        <v>21941.06</v>
      </c>
      <c r="O810" s="30">
        <v>15661</v>
      </c>
      <c r="P810" s="30">
        <v>774</v>
      </c>
      <c r="Q810" s="30">
        <f>(N810+O810*0.18+J810)+(IF((P810-O810*0.18)&gt;0,(P810-O810*0.18),0))</f>
        <v>26582.2</v>
      </c>
      <c r="R810" s="7"/>
      <c r="S810" s="7"/>
      <c r="T810" s="7"/>
      <c r="U810" s="7"/>
      <c r="V810" s="7"/>
      <c r="W810" s="7"/>
      <c r="X810" s="7"/>
      <c r="Y810" s="7"/>
      <c r="Z810" s="7"/>
    </row>
    <row r="811" spans="1:26" ht="9" customHeight="1" x14ac:dyDescent="0.2">
      <c r="A811" s="95"/>
      <c r="B811" s="95"/>
      <c r="C811" s="34" t="s">
        <v>37</v>
      </c>
      <c r="D811" s="35">
        <v>34</v>
      </c>
      <c r="E811" s="36">
        <v>30178453</v>
      </c>
      <c r="F811" s="36">
        <v>0</v>
      </c>
      <c r="G811" s="36">
        <v>0</v>
      </c>
      <c r="H811" s="36">
        <v>12159892</v>
      </c>
      <c r="I811" s="36">
        <v>145472</v>
      </c>
      <c r="J811" s="37">
        <v>3528194</v>
      </c>
      <c r="K811" s="36">
        <v>42483816</v>
      </c>
      <c r="L811" s="50">
        <v>46012010</v>
      </c>
      <c r="M811" s="39"/>
      <c r="N811" s="36">
        <v>42483816</v>
      </c>
      <c r="O811" s="36">
        <v>30323924</v>
      </c>
      <c r="P811" s="36">
        <v>1498673</v>
      </c>
      <c r="Q811" s="36">
        <f>Q810*1936.27</f>
        <v>51470316.394000001</v>
      </c>
      <c r="R811" s="7"/>
      <c r="S811" s="7"/>
      <c r="T811" s="7"/>
      <c r="U811" s="7"/>
      <c r="V811" s="7"/>
      <c r="W811" s="7"/>
      <c r="X811" s="7"/>
      <c r="Y811" s="7"/>
      <c r="Z811" s="7"/>
    </row>
    <row r="812" spans="1:26" ht="12.75" customHeight="1" x14ac:dyDescent="0.2">
      <c r="A812" s="95"/>
      <c r="B812" s="95"/>
      <c r="C812" s="40" t="s">
        <v>36</v>
      </c>
      <c r="D812" s="41">
        <v>35</v>
      </c>
      <c r="E812" s="30">
        <v>16282.58</v>
      </c>
      <c r="F812" s="30">
        <v>0</v>
      </c>
      <c r="G812" s="30">
        <v>0</v>
      </c>
      <c r="H812" s="30">
        <v>6280.06</v>
      </c>
      <c r="I812" s="30">
        <v>75.13</v>
      </c>
      <c r="J812" s="42">
        <v>1880.22</v>
      </c>
      <c r="K812" s="43">
        <v>22637.77</v>
      </c>
      <c r="L812" s="51">
        <v>24517.99</v>
      </c>
      <c r="M812" s="33"/>
      <c r="N812" s="30">
        <v>22637.77</v>
      </c>
      <c r="O812" s="30">
        <v>16357.71</v>
      </c>
      <c r="P812" s="30">
        <v>774</v>
      </c>
      <c r="Q812" s="30">
        <f>(N812+O812*0.18+J812)+(IF((P812-O812*0.18)&gt;0,(P812-O812*0.18),0))</f>
        <v>27462.377800000002</v>
      </c>
      <c r="R812" s="7"/>
      <c r="S812" s="7"/>
      <c r="T812" s="7"/>
      <c r="U812" s="7"/>
      <c r="V812" s="7"/>
      <c r="W812" s="7"/>
      <c r="X812" s="7"/>
      <c r="Y812" s="7"/>
      <c r="Z812" s="7"/>
    </row>
    <row r="813" spans="1:26" ht="9" customHeight="1" x14ac:dyDescent="0.2">
      <c r="A813" s="110"/>
      <c r="B813" s="110"/>
      <c r="C813" s="47" t="s">
        <v>37</v>
      </c>
      <c r="D813" s="48"/>
      <c r="E813" s="36">
        <v>31527471</v>
      </c>
      <c r="F813" s="36">
        <v>0</v>
      </c>
      <c r="G813" s="36">
        <v>0</v>
      </c>
      <c r="H813" s="36">
        <v>12159892</v>
      </c>
      <c r="I813" s="36">
        <v>145472</v>
      </c>
      <c r="J813" s="49">
        <v>3640614</v>
      </c>
      <c r="K813" s="46">
        <v>43832835</v>
      </c>
      <c r="L813" s="52">
        <v>47473448</v>
      </c>
      <c r="M813" s="39"/>
      <c r="N813" s="36">
        <v>43832835</v>
      </c>
      <c r="O813" s="36">
        <v>31672943</v>
      </c>
      <c r="P813" s="36">
        <v>1498673</v>
      </c>
      <c r="Q813" s="36">
        <f>Q812*1936.27</f>
        <v>53174578.262806006</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7"/>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7"/>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7"/>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7"/>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7"/>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7"/>
      <c r="M819" s="39"/>
      <c r="N819" s="96"/>
      <c r="O819" s="96"/>
      <c r="P819" s="96"/>
      <c r="Q819" s="96"/>
      <c r="R819" s="7"/>
      <c r="S819" s="7"/>
      <c r="T819" s="7"/>
      <c r="U819" s="7"/>
      <c r="V819" s="7"/>
      <c r="W819" s="7"/>
      <c r="X819" s="7"/>
      <c r="Y819" s="7"/>
      <c r="Z819" s="7"/>
    </row>
    <row r="820" spans="1:26" ht="12.75" customHeight="1" x14ac:dyDescent="0.2">
      <c r="A820" s="98">
        <v>40360</v>
      </c>
      <c r="B820" s="98">
        <v>40421</v>
      </c>
      <c r="C820" s="28" t="s">
        <v>36</v>
      </c>
      <c r="D820" s="29">
        <v>0</v>
      </c>
      <c r="E820" s="30">
        <v>10415.969999999999</v>
      </c>
      <c r="F820" s="30">
        <v>0</v>
      </c>
      <c r="G820" s="30">
        <v>0</v>
      </c>
      <c r="H820" s="30">
        <v>6280.06</v>
      </c>
      <c r="I820" s="30">
        <v>125.22</v>
      </c>
      <c r="J820" s="30">
        <v>1391.34</v>
      </c>
      <c r="K820" s="31">
        <v>16821.25</v>
      </c>
      <c r="L820" s="32">
        <v>18212.59</v>
      </c>
      <c r="M820" s="33"/>
      <c r="N820" s="30">
        <v>16821.25</v>
      </c>
      <c r="O820" s="30">
        <v>10541.19</v>
      </c>
      <c r="P820" s="30">
        <v>774</v>
      </c>
      <c r="Q820" s="30">
        <f>(N820+O820*0.18+J820)+(IF((P820-O820*0.18)&gt;0,(P820-O820*0.18),0))</f>
        <v>20110.004199999999</v>
      </c>
      <c r="R820" s="7"/>
      <c r="S820" s="7"/>
      <c r="T820" s="7"/>
      <c r="U820" s="7"/>
      <c r="V820" s="7"/>
      <c r="W820" s="7"/>
      <c r="X820" s="7"/>
      <c r="Y820" s="7"/>
      <c r="Z820" s="7"/>
    </row>
    <row r="821" spans="1:26" ht="9" customHeight="1" x14ac:dyDescent="0.2">
      <c r="A821" s="95"/>
      <c r="B821" s="95"/>
      <c r="C821" s="34" t="s">
        <v>37</v>
      </c>
      <c r="D821" s="35">
        <v>2</v>
      </c>
      <c r="E821" s="36">
        <v>20168130</v>
      </c>
      <c r="F821" s="36">
        <v>0</v>
      </c>
      <c r="G821" s="36">
        <v>0</v>
      </c>
      <c r="H821" s="36">
        <v>12159892</v>
      </c>
      <c r="I821" s="36">
        <v>242460</v>
      </c>
      <c r="J821" s="37">
        <v>2694010</v>
      </c>
      <c r="K821" s="36">
        <v>32570482</v>
      </c>
      <c r="L821" s="50">
        <v>35264492</v>
      </c>
      <c r="M821" s="39"/>
      <c r="N821" s="36">
        <v>32570482</v>
      </c>
      <c r="O821" s="36">
        <v>20410590</v>
      </c>
      <c r="P821" s="36">
        <v>1498673</v>
      </c>
      <c r="Q821" s="36">
        <f>Q820*1936.27</f>
        <v>38938397.832333997</v>
      </c>
      <c r="R821" s="7"/>
      <c r="S821" s="7"/>
      <c r="T821" s="7"/>
      <c r="U821" s="7"/>
      <c r="V821" s="7"/>
      <c r="W821" s="7"/>
      <c r="X821" s="7"/>
      <c r="Y821" s="7"/>
      <c r="Z821" s="7"/>
    </row>
    <row r="822" spans="1:26" ht="12.75" customHeight="1" x14ac:dyDescent="0.2">
      <c r="A822" s="156">
        <v>40360</v>
      </c>
      <c r="B822" s="156">
        <v>40421</v>
      </c>
      <c r="C822" s="40" t="s">
        <v>36</v>
      </c>
      <c r="D822" s="41">
        <v>3</v>
      </c>
      <c r="E822" s="30">
        <v>10791.27</v>
      </c>
      <c r="F822" s="30">
        <v>0</v>
      </c>
      <c r="G822" s="30">
        <v>0</v>
      </c>
      <c r="H822" s="30">
        <v>6280.06</v>
      </c>
      <c r="I822" s="30">
        <v>125.22</v>
      </c>
      <c r="J822" s="42">
        <v>1422.61</v>
      </c>
      <c r="K822" s="43">
        <v>17196.55</v>
      </c>
      <c r="L822" s="51">
        <v>18619.16</v>
      </c>
      <c r="M822" s="33"/>
      <c r="N822" s="30">
        <v>17196.55</v>
      </c>
      <c r="O822" s="30">
        <v>10916.49</v>
      </c>
      <c r="P822" s="30">
        <v>774</v>
      </c>
      <c r="Q822" s="30">
        <f>(N822+O822*0.18+J822)+(IF((P822-O822*0.18)&gt;0,(P822-O822*0.18),0))</f>
        <v>20584.128199999999</v>
      </c>
      <c r="R822" s="7"/>
      <c r="S822" s="7"/>
      <c r="T822" s="7"/>
      <c r="U822" s="7"/>
      <c r="V822" s="7"/>
      <c r="W822" s="7"/>
      <c r="X822" s="7"/>
      <c r="Y822" s="7"/>
      <c r="Z822" s="7"/>
    </row>
    <row r="823" spans="1:26" ht="9" customHeight="1" x14ac:dyDescent="0.2">
      <c r="A823" s="95"/>
      <c r="B823" s="95"/>
      <c r="C823" s="34" t="s">
        <v>37</v>
      </c>
      <c r="D823" s="35">
        <v>8</v>
      </c>
      <c r="E823" s="36">
        <v>20894812</v>
      </c>
      <c r="F823" s="36">
        <v>0</v>
      </c>
      <c r="G823" s="36">
        <v>0</v>
      </c>
      <c r="H823" s="36">
        <v>12159892</v>
      </c>
      <c r="I823" s="36">
        <v>242460</v>
      </c>
      <c r="J823" s="37">
        <v>2754557</v>
      </c>
      <c r="K823" s="36">
        <v>33297164</v>
      </c>
      <c r="L823" s="50">
        <v>36051721</v>
      </c>
      <c r="M823" s="39"/>
      <c r="N823" s="36">
        <v>33297164</v>
      </c>
      <c r="O823" s="36">
        <v>21137272</v>
      </c>
      <c r="P823" s="36">
        <v>1498673</v>
      </c>
      <c r="Q823" s="36">
        <f>Q822*1936.27</f>
        <v>39856429.909814</v>
      </c>
      <c r="R823" s="7"/>
      <c r="S823" s="7"/>
      <c r="T823" s="7"/>
      <c r="U823" s="7"/>
      <c r="V823" s="7"/>
      <c r="W823" s="7"/>
      <c r="X823" s="7"/>
      <c r="Y823" s="7"/>
      <c r="Z823" s="7"/>
    </row>
    <row r="824" spans="1:26" ht="12.75" customHeight="1" x14ac:dyDescent="0.2">
      <c r="A824" s="95"/>
      <c r="B824" s="95"/>
      <c r="C824" s="40" t="s">
        <v>36</v>
      </c>
      <c r="D824" s="41">
        <v>9</v>
      </c>
      <c r="E824" s="30">
        <v>12131.03</v>
      </c>
      <c r="F824" s="30">
        <v>0</v>
      </c>
      <c r="G824" s="30">
        <v>0</v>
      </c>
      <c r="H824" s="30">
        <v>6280.06</v>
      </c>
      <c r="I824" s="30">
        <v>125.22</v>
      </c>
      <c r="J824" s="42">
        <v>1534.26</v>
      </c>
      <c r="K824" s="43">
        <v>18536.310000000001</v>
      </c>
      <c r="L824" s="51">
        <v>20070.57</v>
      </c>
      <c r="M824" s="33"/>
      <c r="N824" s="30">
        <v>18536.310000000001</v>
      </c>
      <c r="O824" s="30">
        <v>12256.25</v>
      </c>
      <c r="P824" s="30">
        <v>774</v>
      </c>
      <c r="Q824" s="30">
        <f>(N824+O824*0.18+J824)+(IF((P824-O824*0.18)&gt;0,(P824-O824*0.18),0))</f>
        <v>22276.695</v>
      </c>
      <c r="R824" s="7"/>
      <c r="S824" s="7"/>
      <c r="T824" s="7"/>
      <c r="U824" s="7"/>
      <c r="V824" s="7"/>
      <c r="W824" s="7"/>
      <c r="X824" s="7"/>
      <c r="Y824" s="7"/>
      <c r="Z824" s="7"/>
    </row>
    <row r="825" spans="1:26" ht="9" customHeight="1" x14ac:dyDescent="0.2">
      <c r="A825" s="95"/>
      <c r="B825" s="95"/>
      <c r="C825" s="34" t="s">
        <v>37</v>
      </c>
      <c r="D825" s="35">
        <v>14</v>
      </c>
      <c r="E825" s="36">
        <v>23488949</v>
      </c>
      <c r="F825" s="36">
        <v>0</v>
      </c>
      <c r="G825" s="36">
        <v>0</v>
      </c>
      <c r="H825" s="36">
        <v>12159892</v>
      </c>
      <c r="I825" s="36">
        <v>242460</v>
      </c>
      <c r="J825" s="37">
        <v>2970742</v>
      </c>
      <c r="K825" s="36">
        <v>35891301</v>
      </c>
      <c r="L825" s="50">
        <v>38862043</v>
      </c>
      <c r="M825" s="39"/>
      <c r="N825" s="36">
        <v>35891301</v>
      </c>
      <c r="O825" s="36">
        <v>23731409</v>
      </c>
      <c r="P825" s="36">
        <v>1498673</v>
      </c>
      <c r="Q825" s="36">
        <f>Q824*1936.27</f>
        <v>43133696.227650002</v>
      </c>
      <c r="R825" s="7"/>
      <c r="S825" s="7"/>
      <c r="T825" s="7"/>
      <c r="U825" s="7"/>
      <c r="V825" s="7"/>
      <c r="W825" s="7"/>
      <c r="X825" s="7"/>
      <c r="Y825" s="7"/>
      <c r="Z825" s="7"/>
    </row>
    <row r="826" spans="1:26" ht="12.75" customHeight="1" x14ac:dyDescent="0.2">
      <c r="A826" s="95"/>
      <c r="B826" s="95"/>
      <c r="C826" s="40" t="s">
        <v>36</v>
      </c>
      <c r="D826" s="41">
        <v>15</v>
      </c>
      <c r="E826" s="30">
        <v>13400.03</v>
      </c>
      <c r="F826" s="30">
        <v>0</v>
      </c>
      <c r="G826" s="30">
        <v>0</v>
      </c>
      <c r="H826" s="30">
        <v>6280.06</v>
      </c>
      <c r="I826" s="30">
        <v>125.22</v>
      </c>
      <c r="J826" s="42">
        <v>1640.01</v>
      </c>
      <c r="K826" s="43">
        <v>19805.310000000001</v>
      </c>
      <c r="L826" s="51">
        <v>21445.32</v>
      </c>
      <c r="M826" s="33"/>
      <c r="N826" s="30">
        <v>19805.310000000001</v>
      </c>
      <c r="O826" s="30">
        <v>13525.25</v>
      </c>
      <c r="P826" s="30">
        <v>774</v>
      </c>
      <c r="Q826" s="30">
        <f>(N826+O826*0.18+J826)+(IF((P826-O826*0.18)&gt;0,(P826-O826*0.18),0))</f>
        <v>23879.865000000002</v>
      </c>
      <c r="R826" s="7"/>
      <c r="S826" s="7"/>
      <c r="T826" s="7"/>
      <c r="U826" s="7"/>
      <c r="V826" s="7"/>
      <c r="W826" s="7"/>
      <c r="X826" s="7"/>
      <c r="Y826" s="7"/>
      <c r="Z826" s="7"/>
    </row>
    <row r="827" spans="1:26" ht="9" customHeight="1" x14ac:dyDescent="0.2">
      <c r="A827" s="95"/>
      <c r="B827" s="95"/>
      <c r="C827" s="34" t="s">
        <v>37</v>
      </c>
      <c r="D827" s="35">
        <v>20</v>
      </c>
      <c r="E827" s="36">
        <v>25946076</v>
      </c>
      <c r="F827" s="36">
        <v>0</v>
      </c>
      <c r="G827" s="36">
        <v>0</v>
      </c>
      <c r="H827" s="36">
        <v>12159892</v>
      </c>
      <c r="I827" s="36">
        <v>242460</v>
      </c>
      <c r="J827" s="37">
        <v>3175502</v>
      </c>
      <c r="K827" s="36">
        <v>38348428</v>
      </c>
      <c r="L827" s="50">
        <v>41523930</v>
      </c>
      <c r="M827" s="39"/>
      <c r="N827" s="36">
        <v>38348428</v>
      </c>
      <c r="O827" s="36">
        <v>26188536</v>
      </c>
      <c r="P827" s="36">
        <v>1498673</v>
      </c>
      <c r="Q827" s="36">
        <f>Q826*1936.27</f>
        <v>46237866.203550003</v>
      </c>
      <c r="R827" s="7"/>
      <c r="S827" s="7"/>
      <c r="T827" s="7"/>
      <c r="U827" s="7"/>
      <c r="V827" s="7"/>
      <c r="W827" s="7"/>
      <c r="X827" s="7"/>
      <c r="Y827" s="7"/>
      <c r="Z827" s="7"/>
    </row>
    <row r="828" spans="1:26" ht="12.75" customHeight="1" x14ac:dyDescent="0.2">
      <c r="A828" s="95"/>
      <c r="B828" s="95"/>
      <c r="C828" s="40" t="s">
        <v>36</v>
      </c>
      <c r="D828" s="41">
        <v>21</v>
      </c>
      <c r="E828" s="30">
        <v>14676.66</v>
      </c>
      <c r="F828" s="30">
        <v>0</v>
      </c>
      <c r="G828" s="30">
        <v>0</v>
      </c>
      <c r="H828" s="30">
        <v>6280.06</v>
      </c>
      <c r="I828" s="30">
        <v>125.22</v>
      </c>
      <c r="J828" s="42">
        <v>1746.39</v>
      </c>
      <c r="K828" s="43">
        <v>21081.94</v>
      </c>
      <c r="L828" s="51">
        <v>22828.33</v>
      </c>
      <c r="M828" s="33"/>
      <c r="N828" s="30">
        <v>21081.94</v>
      </c>
      <c r="O828" s="30">
        <v>14801.88</v>
      </c>
      <c r="P828" s="30">
        <v>774</v>
      </c>
      <c r="Q828" s="30">
        <f>(N828+O828*0.18+J828)+(IF((P828-O828*0.18)&gt;0,(P828-O828*0.18),0))</f>
        <v>25492.668399999999</v>
      </c>
      <c r="R828" s="7"/>
      <c r="S828" s="7"/>
      <c r="T828" s="7"/>
      <c r="U828" s="7"/>
      <c r="V828" s="7"/>
      <c r="W828" s="7"/>
      <c r="X828" s="7"/>
      <c r="Y828" s="7"/>
      <c r="Z828" s="7"/>
    </row>
    <row r="829" spans="1:26" ht="9" customHeight="1" x14ac:dyDescent="0.2">
      <c r="A829" s="95"/>
      <c r="B829" s="95"/>
      <c r="C829" s="34" t="s">
        <v>37</v>
      </c>
      <c r="D829" s="35">
        <v>27</v>
      </c>
      <c r="E829" s="36">
        <v>28417976</v>
      </c>
      <c r="F829" s="36">
        <v>0</v>
      </c>
      <c r="G829" s="36">
        <v>0</v>
      </c>
      <c r="H829" s="36">
        <v>12159892</v>
      </c>
      <c r="I829" s="36">
        <v>242460</v>
      </c>
      <c r="J829" s="37">
        <v>3381483</v>
      </c>
      <c r="K829" s="36">
        <v>40820328</v>
      </c>
      <c r="L829" s="50">
        <v>44201811</v>
      </c>
      <c r="M829" s="39"/>
      <c r="N829" s="36">
        <v>40820328</v>
      </c>
      <c r="O829" s="36">
        <v>28660436</v>
      </c>
      <c r="P829" s="36">
        <v>1498673</v>
      </c>
      <c r="Q829" s="36">
        <f>Q828*1936.27</f>
        <v>49360689.042867996</v>
      </c>
      <c r="R829" s="7"/>
      <c r="S829" s="7"/>
      <c r="T829" s="7"/>
      <c r="U829" s="7"/>
      <c r="V829" s="7"/>
      <c r="W829" s="7"/>
      <c r="X829" s="7"/>
      <c r="Y829" s="7"/>
      <c r="Z829" s="7"/>
    </row>
    <row r="830" spans="1:26" ht="12.75" customHeight="1" x14ac:dyDescent="0.2">
      <c r="A830" s="95"/>
      <c r="B830" s="95"/>
      <c r="C830" s="40" t="s">
        <v>36</v>
      </c>
      <c r="D830" s="41">
        <v>28</v>
      </c>
      <c r="E830" s="30">
        <v>15585.87</v>
      </c>
      <c r="F830" s="30">
        <v>0</v>
      </c>
      <c r="G830" s="30">
        <v>0</v>
      </c>
      <c r="H830" s="30">
        <v>6280.06</v>
      </c>
      <c r="I830" s="30">
        <v>125.22</v>
      </c>
      <c r="J830" s="42">
        <v>1822.16</v>
      </c>
      <c r="K830" s="43">
        <v>21991.15</v>
      </c>
      <c r="L830" s="51">
        <v>23813.31</v>
      </c>
      <c r="M830" s="33"/>
      <c r="N830" s="30">
        <v>21991.15</v>
      </c>
      <c r="O830" s="30">
        <v>15711.09</v>
      </c>
      <c r="P830" s="30">
        <v>774</v>
      </c>
      <c r="Q830" s="30">
        <f>(N830+O830*0.18+J830)+(IF((P830-O830*0.18)&gt;0,(P830-O830*0.18),0))</f>
        <v>26641.306200000003</v>
      </c>
      <c r="R830" s="7"/>
      <c r="S830" s="7"/>
      <c r="T830" s="7"/>
      <c r="U830" s="7"/>
      <c r="V830" s="7"/>
      <c r="W830" s="7"/>
      <c r="X830" s="7"/>
      <c r="Y830" s="7"/>
      <c r="Z830" s="7"/>
    </row>
    <row r="831" spans="1:26" ht="9" customHeight="1" x14ac:dyDescent="0.2">
      <c r="A831" s="95"/>
      <c r="B831" s="95"/>
      <c r="C831" s="34" t="s">
        <v>37</v>
      </c>
      <c r="D831" s="35">
        <v>34</v>
      </c>
      <c r="E831" s="36">
        <v>30178453</v>
      </c>
      <c r="F831" s="36">
        <v>0</v>
      </c>
      <c r="G831" s="36">
        <v>0</v>
      </c>
      <c r="H831" s="36">
        <v>12159892</v>
      </c>
      <c r="I831" s="36">
        <v>242460</v>
      </c>
      <c r="J831" s="37">
        <v>3528194</v>
      </c>
      <c r="K831" s="36">
        <v>42580804</v>
      </c>
      <c r="L831" s="50">
        <v>46108998</v>
      </c>
      <c r="M831" s="39"/>
      <c r="N831" s="36">
        <v>42580804</v>
      </c>
      <c r="O831" s="36">
        <v>30420912</v>
      </c>
      <c r="P831" s="36">
        <v>1498673</v>
      </c>
      <c r="Q831" s="36">
        <f>Q830*1936.27</f>
        <v>51584761.955874003</v>
      </c>
      <c r="R831" s="7"/>
      <c r="S831" s="7"/>
      <c r="T831" s="7"/>
      <c r="U831" s="7"/>
      <c r="V831" s="7"/>
      <c r="W831" s="7"/>
      <c r="X831" s="7"/>
      <c r="Y831" s="7"/>
      <c r="Z831" s="7"/>
    </row>
    <row r="832" spans="1:26" ht="12.75" customHeight="1" x14ac:dyDescent="0.2">
      <c r="A832" s="95"/>
      <c r="B832" s="95"/>
      <c r="C832" s="40" t="s">
        <v>36</v>
      </c>
      <c r="D832" s="41">
        <v>35</v>
      </c>
      <c r="E832" s="30">
        <v>16282.58</v>
      </c>
      <c r="F832" s="30">
        <v>0</v>
      </c>
      <c r="G832" s="30">
        <v>0</v>
      </c>
      <c r="H832" s="30">
        <v>6280.06</v>
      </c>
      <c r="I832" s="30">
        <v>125.22</v>
      </c>
      <c r="J832" s="42">
        <v>1880.22</v>
      </c>
      <c r="K832" s="43">
        <v>22687.86</v>
      </c>
      <c r="L832" s="51">
        <v>24568.080000000002</v>
      </c>
      <c r="M832" s="33"/>
      <c r="N832" s="30">
        <v>22687.86</v>
      </c>
      <c r="O832" s="30">
        <v>16407.8</v>
      </c>
      <c r="P832" s="30">
        <v>774</v>
      </c>
      <c r="Q832" s="30">
        <f>(N832+O832*0.18+J832)+(IF((P832-O832*0.18)&gt;0,(P832-O832*0.18),0))</f>
        <v>27521.484</v>
      </c>
      <c r="R832" s="7"/>
      <c r="S832" s="7"/>
      <c r="T832" s="7"/>
      <c r="U832" s="7"/>
      <c r="V832" s="7"/>
      <c r="W832" s="7"/>
      <c r="X832" s="7"/>
      <c r="Y832" s="7"/>
      <c r="Z832" s="7"/>
    </row>
    <row r="833" spans="1:26" ht="9" customHeight="1" x14ac:dyDescent="0.2">
      <c r="A833" s="110"/>
      <c r="B833" s="110"/>
      <c r="C833" s="47" t="s">
        <v>37</v>
      </c>
      <c r="D833" s="48"/>
      <c r="E833" s="46">
        <v>31527471</v>
      </c>
      <c r="F833" s="46">
        <v>0</v>
      </c>
      <c r="G833" s="46">
        <v>0</v>
      </c>
      <c r="H833" s="46">
        <v>12159892</v>
      </c>
      <c r="I833" s="46">
        <v>242460</v>
      </c>
      <c r="J833" s="49">
        <v>3640614</v>
      </c>
      <c r="K833" s="46">
        <v>43929823</v>
      </c>
      <c r="L833" s="52">
        <v>47570436</v>
      </c>
      <c r="M833" s="39"/>
      <c r="N833" s="46">
        <v>43929823</v>
      </c>
      <c r="O833" s="46">
        <v>31769931</v>
      </c>
      <c r="P833" s="46">
        <v>1498673</v>
      </c>
      <c r="Q833" s="46">
        <f>Q832*1936.27</f>
        <v>53289023.824680001</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7"/>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7"/>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7"/>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7"/>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7"/>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7"/>
      <c r="M839" s="39"/>
      <c r="N839" s="96"/>
      <c r="O839" s="96"/>
      <c r="P839" s="96"/>
      <c r="Q839" s="96"/>
      <c r="R839" s="7"/>
      <c r="S839" s="7"/>
      <c r="T839" s="7"/>
      <c r="U839" s="7"/>
      <c r="V839" s="7"/>
      <c r="W839" s="7"/>
      <c r="X839" s="7"/>
      <c r="Y839" s="7"/>
      <c r="Z839" s="7"/>
    </row>
    <row r="840" spans="1:26" ht="12.75" customHeight="1" x14ac:dyDescent="0.2">
      <c r="A840" s="98">
        <v>40422</v>
      </c>
      <c r="B840" s="98">
        <v>40543</v>
      </c>
      <c r="C840" s="28" t="s">
        <v>36</v>
      </c>
      <c r="D840" s="29">
        <v>0</v>
      </c>
      <c r="E840" s="30">
        <v>10415.969999999999</v>
      </c>
      <c r="F840" s="30">
        <v>0</v>
      </c>
      <c r="G840" s="30">
        <v>0</v>
      </c>
      <c r="H840" s="30">
        <v>6280.06</v>
      </c>
      <c r="I840" s="30">
        <v>125.22</v>
      </c>
      <c r="J840" s="30">
        <v>1391.34</v>
      </c>
      <c r="K840" s="31">
        <v>16821.25</v>
      </c>
      <c r="L840" s="32">
        <v>18212.59</v>
      </c>
      <c r="M840" s="33"/>
      <c r="N840" s="30">
        <v>16821.25</v>
      </c>
      <c r="O840" s="30">
        <v>10541.19</v>
      </c>
      <c r="P840" s="30">
        <v>774</v>
      </c>
      <c r="Q840" s="30">
        <f>(N840+O840*0.18+J840)+(IF((P840-O840*0.18)&gt;0,(P840-O840*0.18),0))</f>
        <v>20110.004199999999</v>
      </c>
      <c r="R840" s="7"/>
      <c r="S840" s="7"/>
      <c r="T840" s="7"/>
      <c r="U840" s="7"/>
      <c r="V840" s="7"/>
      <c r="W840" s="7"/>
      <c r="X840" s="7"/>
      <c r="Y840" s="7"/>
      <c r="Z840" s="7"/>
    </row>
    <row r="841" spans="1:26" ht="9" customHeight="1" x14ac:dyDescent="0.2">
      <c r="A841" s="95"/>
      <c r="B841" s="95"/>
      <c r="C841" s="34" t="s">
        <v>37</v>
      </c>
      <c r="D841" s="35">
        <v>2</v>
      </c>
      <c r="E841" s="36">
        <v>20168130</v>
      </c>
      <c r="F841" s="36">
        <v>0</v>
      </c>
      <c r="G841" s="36">
        <v>0</v>
      </c>
      <c r="H841" s="36">
        <v>12159892</v>
      </c>
      <c r="I841" s="36">
        <v>242460</v>
      </c>
      <c r="J841" s="37">
        <v>2694010</v>
      </c>
      <c r="K841" s="36">
        <v>32570482</v>
      </c>
      <c r="L841" s="50">
        <v>35264492</v>
      </c>
      <c r="M841" s="39"/>
      <c r="N841" s="36">
        <v>32570482</v>
      </c>
      <c r="O841" s="36">
        <v>20410590</v>
      </c>
      <c r="P841" s="36">
        <v>1498673</v>
      </c>
      <c r="Q841" s="36">
        <f>Q840*1936.27</f>
        <v>38938397.832333997</v>
      </c>
      <c r="R841" s="7"/>
      <c r="S841" s="7"/>
      <c r="T841" s="7"/>
      <c r="U841" s="7"/>
      <c r="V841" s="7"/>
      <c r="W841" s="7"/>
      <c r="X841" s="7"/>
      <c r="Y841" s="7"/>
      <c r="Z841" s="7"/>
    </row>
    <row r="842" spans="1:26" ht="12.75" customHeight="1" x14ac:dyDescent="0.2">
      <c r="A842" s="156">
        <v>40422</v>
      </c>
      <c r="B842" s="156">
        <v>40543</v>
      </c>
      <c r="C842" s="40" t="s">
        <v>36</v>
      </c>
      <c r="D842" s="41">
        <v>3</v>
      </c>
      <c r="E842" s="30">
        <v>10415.969999999999</v>
      </c>
      <c r="F842" s="30">
        <v>0</v>
      </c>
      <c r="G842" s="30">
        <v>0</v>
      </c>
      <c r="H842" s="30">
        <v>6280.06</v>
      </c>
      <c r="I842" s="30">
        <v>125.22</v>
      </c>
      <c r="J842" s="42">
        <v>1422.61</v>
      </c>
      <c r="K842" s="43">
        <v>17196.55</v>
      </c>
      <c r="L842" s="51">
        <v>18619.16</v>
      </c>
      <c r="M842" s="33"/>
      <c r="N842" s="30">
        <v>17196.55</v>
      </c>
      <c r="O842" s="30">
        <v>10916.49</v>
      </c>
      <c r="P842" s="30">
        <v>774</v>
      </c>
      <c r="Q842" s="30">
        <f>(N842+O842*0.18+J842)+(IF((P842-O842*0.18)&gt;0,(P842-O842*0.18),0))</f>
        <v>20584.128199999999</v>
      </c>
      <c r="R842" s="7"/>
      <c r="S842" s="7"/>
      <c r="T842" s="7"/>
      <c r="U842" s="7"/>
      <c r="V842" s="7"/>
      <c r="W842" s="7"/>
      <c r="X842" s="7"/>
      <c r="Y842" s="7"/>
      <c r="Z842" s="7"/>
    </row>
    <row r="843" spans="1:26" ht="9" customHeight="1" x14ac:dyDescent="0.2">
      <c r="A843" s="95"/>
      <c r="B843" s="95"/>
      <c r="C843" s="34" t="s">
        <v>37</v>
      </c>
      <c r="D843" s="35">
        <v>8</v>
      </c>
      <c r="E843" s="36">
        <v>20168130</v>
      </c>
      <c r="F843" s="36">
        <v>0</v>
      </c>
      <c r="G843" s="36">
        <v>0</v>
      </c>
      <c r="H843" s="36">
        <v>12159892</v>
      </c>
      <c r="I843" s="36">
        <v>242460</v>
      </c>
      <c r="J843" s="37">
        <v>2754557</v>
      </c>
      <c r="K843" s="36">
        <v>33297164</v>
      </c>
      <c r="L843" s="50">
        <v>36051721</v>
      </c>
      <c r="M843" s="39"/>
      <c r="N843" s="36">
        <v>33297164</v>
      </c>
      <c r="O843" s="36">
        <v>21137272</v>
      </c>
      <c r="P843" s="36">
        <v>1498673</v>
      </c>
      <c r="Q843" s="36">
        <f>Q842*1936.27</f>
        <v>39856429.909814</v>
      </c>
      <c r="R843" s="7"/>
      <c r="S843" s="7"/>
      <c r="T843" s="7"/>
      <c r="U843" s="7"/>
      <c r="V843" s="7"/>
      <c r="W843" s="7"/>
      <c r="X843" s="7"/>
      <c r="Y843" s="7"/>
      <c r="Z843" s="7"/>
    </row>
    <row r="844" spans="1:26" ht="12.75" customHeight="1" x14ac:dyDescent="0.2">
      <c r="A844" s="95"/>
      <c r="B844" s="95"/>
      <c r="C844" s="40" t="s">
        <v>36</v>
      </c>
      <c r="D844" s="41">
        <v>9</v>
      </c>
      <c r="E844" s="30">
        <v>12131.03</v>
      </c>
      <c r="F844" s="30">
        <v>0</v>
      </c>
      <c r="G844" s="30">
        <v>0</v>
      </c>
      <c r="H844" s="30">
        <v>6280.06</v>
      </c>
      <c r="I844" s="30">
        <v>125.22</v>
      </c>
      <c r="J844" s="42">
        <v>1534.26</v>
      </c>
      <c r="K844" s="43">
        <v>18536.310000000001</v>
      </c>
      <c r="L844" s="51">
        <v>20070.57</v>
      </c>
      <c r="M844" s="33"/>
      <c r="N844" s="30">
        <v>18536.310000000001</v>
      </c>
      <c r="O844" s="30">
        <v>12256.25</v>
      </c>
      <c r="P844" s="30">
        <v>774</v>
      </c>
      <c r="Q844" s="30">
        <f>(N844+O844*0.18+J844)+(IF((P844-O844*0.18)&gt;0,(P844-O844*0.18),0))</f>
        <v>22276.695</v>
      </c>
      <c r="R844" s="7"/>
      <c r="S844" s="7"/>
      <c r="T844" s="7"/>
      <c r="U844" s="7"/>
      <c r="V844" s="7"/>
      <c r="W844" s="7"/>
      <c r="X844" s="7"/>
      <c r="Y844" s="7"/>
      <c r="Z844" s="7"/>
    </row>
    <row r="845" spans="1:26" ht="9" customHeight="1" x14ac:dyDescent="0.2">
      <c r="A845" s="95"/>
      <c r="B845" s="95"/>
      <c r="C845" s="34" t="s">
        <v>37</v>
      </c>
      <c r="D845" s="35">
        <v>14</v>
      </c>
      <c r="E845" s="36">
        <v>23488949</v>
      </c>
      <c r="F845" s="36">
        <v>0</v>
      </c>
      <c r="G845" s="36">
        <v>0</v>
      </c>
      <c r="H845" s="36">
        <v>12159892</v>
      </c>
      <c r="I845" s="36">
        <v>242460</v>
      </c>
      <c r="J845" s="37">
        <v>2970742</v>
      </c>
      <c r="K845" s="36">
        <v>35891301</v>
      </c>
      <c r="L845" s="50">
        <v>38862043</v>
      </c>
      <c r="M845" s="39"/>
      <c r="N845" s="36">
        <v>35891301</v>
      </c>
      <c r="O845" s="36">
        <v>23731409</v>
      </c>
      <c r="P845" s="36">
        <v>1498673</v>
      </c>
      <c r="Q845" s="36">
        <f>Q844*1936.27</f>
        <v>43133696.227650002</v>
      </c>
      <c r="R845" s="7"/>
      <c r="S845" s="7"/>
      <c r="T845" s="7"/>
      <c r="U845" s="7"/>
      <c r="V845" s="7"/>
      <c r="W845" s="7"/>
      <c r="X845" s="7"/>
      <c r="Y845" s="7"/>
      <c r="Z845" s="7"/>
    </row>
    <row r="846" spans="1:26" ht="12.75" customHeight="1" x14ac:dyDescent="0.2">
      <c r="A846" s="95"/>
      <c r="B846" s="95"/>
      <c r="C846" s="40" t="s">
        <v>36</v>
      </c>
      <c r="D846" s="41">
        <v>15</v>
      </c>
      <c r="E846" s="30">
        <v>13400.03</v>
      </c>
      <c r="F846" s="30">
        <v>0</v>
      </c>
      <c r="G846" s="30">
        <v>0</v>
      </c>
      <c r="H846" s="30">
        <v>6280.06</v>
      </c>
      <c r="I846" s="30">
        <v>125.22</v>
      </c>
      <c r="J846" s="42">
        <v>1640.01</v>
      </c>
      <c r="K846" s="43">
        <v>19805.310000000001</v>
      </c>
      <c r="L846" s="51">
        <v>21445.32</v>
      </c>
      <c r="M846" s="33"/>
      <c r="N846" s="30">
        <v>19805.310000000001</v>
      </c>
      <c r="O846" s="30">
        <v>13525.25</v>
      </c>
      <c r="P846" s="30">
        <v>774</v>
      </c>
      <c r="Q846" s="30">
        <f>(N846+O846*0.18+J846)+(IF((P846-O846*0.18)&gt;0,(P846-O846*0.18),0))</f>
        <v>23879.865000000002</v>
      </c>
      <c r="R846" s="7"/>
      <c r="S846" s="7"/>
      <c r="T846" s="7"/>
      <c r="U846" s="7"/>
      <c r="V846" s="7"/>
      <c r="W846" s="7"/>
      <c r="X846" s="7"/>
      <c r="Y846" s="7"/>
      <c r="Z846" s="7"/>
    </row>
    <row r="847" spans="1:26" ht="9" customHeight="1" x14ac:dyDescent="0.2">
      <c r="A847" s="95"/>
      <c r="B847" s="95"/>
      <c r="C847" s="34" t="s">
        <v>37</v>
      </c>
      <c r="D847" s="35">
        <v>20</v>
      </c>
      <c r="E847" s="36">
        <v>25946076</v>
      </c>
      <c r="F847" s="36">
        <v>0</v>
      </c>
      <c r="G847" s="36">
        <v>0</v>
      </c>
      <c r="H847" s="36">
        <v>12159892</v>
      </c>
      <c r="I847" s="36">
        <v>242460</v>
      </c>
      <c r="J847" s="37">
        <v>3175502</v>
      </c>
      <c r="K847" s="36">
        <v>38348428</v>
      </c>
      <c r="L847" s="50">
        <v>41523930</v>
      </c>
      <c r="M847" s="39"/>
      <c r="N847" s="36">
        <v>38348428</v>
      </c>
      <c r="O847" s="36">
        <v>26188536</v>
      </c>
      <c r="P847" s="36">
        <v>1498673</v>
      </c>
      <c r="Q847" s="36">
        <f>Q846*1936.27</f>
        <v>46237866.203550003</v>
      </c>
      <c r="R847" s="7"/>
      <c r="S847" s="7"/>
      <c r="T847" s="7"/>
      <c r="U847" s="7"/>
      <c r="V847" s="7"/>
      <c r="W847" s="7"/>
      <c r="X847" s="7"/>
      <c r="Y847" s="7"/>
      <c r="Z847" s="7"/>
    </row>
    <row r="848" spans="1:26" ht="12.75" customHeight="1" x14ac:dyDescent="0.2">
      <c r="A848" s="95"/>
      <c r="B848" s="95"/>
      <c r="C848" s="40" t="s">
        <v>36</v>
      </c>
      <c r="D848" s="41">
        <v>21</v>
      </c>
      <c r="E848" s="30">
        <v>14676.66</v>
      </c>
      <c r="F848" s="30">
        <v>0</v>
      </c>
      <c r="G848" s="30">
        <v>0</v>
      </c>
      <c r="H848" s="30">
        <v>6280.06</v>
      </c>
      <c r="I848" s="30">
        <v>125.22</v>
      </c>
      <c r="J848" s="42">
        <v>1746.39</v>
      </c>
      <c r="K848" s="43">
        <v>21081.94</v>
      </c>
      <c r="L848" s="51">
        <v>22828.33</v>
      </c>
      <c r="M848" s="33"/>
      <c r="N848" s="30">
        <v>21081.94</v>
      </c>
      <c r="O848" s="30">
        <v>14801.88</v>
      </c>
      <c r="P848" s="30">
        <v>774</v>
      </c>
      <c r="Q848" s="30">
        <f>(N848+O848*0.18+J848)+(IF((P848-O848*0.18)&gt;0,(P848-O848*0.18),0))</f>
        <v>25492.668399999999</v>
      </c>
      <c r="R848" s="7"/>
      <c r="S848" s="7"/>
      <c r="T848" s="7"/>
      <c r="U848" s="7"/>
      <c r="V848" s="7"/>
      <c r="W848" s="7"/>
      <c r="X848" s="7"/>
      <c r="Y848" s="7"/>
      <c r="Z848" s="7"/>
    </row>
    <row r="849" spans="1:26" ht="9" customHeight="1" x14ac:dyDescent="0.2">
      <c r="A849" s="95"/>
      <c r="B849" s="95"/>
      <c r="C849" s="34" t="s">
        <v>37</v>
      </c>
      <c r="D849" s="35">
        <v>27</v>
      </c>
      <c r="E849" s="36">
        <v>28417976</v>
      </c>
      <c r="F849" s="36">
        <v>0</v>
      </c>
      <c r="G849" s="36">
        <v>0</v>
      </c>
      <c r="H849" s="36">
        <v>12159892</v>
      </c>
      <c r="I849" s="36">
        <v>242460</v>
      </c>
      <c r="J849" s="37">
        <v>3381483</v>
      </c>
      <c r="K849" s="36">
        <v>40820328</v>
      </c>
      <c r="L849" s="50">
        <v>44201811</v>
      </c>
      <c r="M849" s="39"/>
      <c r="N849" s="36">
        <v>40820328</v>
      </c>
      <c r="O849" s="36">
        <v>28660436</v>
      </c>
      <c r="P849" s="36">
        <v>1498673</v>
      </c>
      <c r="Q849" s="36">
        <f>Q848*1936.27</f>
        <v>49360689.042867996</v>
      </c>
      <c r="R849" s="7"/>
      <c r="S849" s="7"/>
      <c r="T849" s="7"/>
      <c r="U849" s="7"/>
      <c r="V849" s="7"/>
      <c r="W849" s="7"/>
      <c r="X849" s="7"/>
      <c r="Y849" s="7"/>
      <c r="Z849" s="7"/>
    </row>
    <row r="850" spans="1:26" ht="12.75" customHeight="1" x14ac:dyDescent="0.2">
      <c r="A850" s="95"/>
      <c r="B850" s="95"/>
      <c r="C850" s="40" t="s">
        <v>36</v>
      </c>
      <c r="D850" s="41">
        <v>28</v>
      </c>
      <c r="E850" s="30">
        <v>15585.87</v>
      </c>
      <c r="F850" s="30">
        <v>0</v>
      </c>
      <c r="G850" s="30">
        <v>0</v>
      </c>
      <c r="H850" s="30">
        <v>6280.06</v>
      </c>
      <c r="I850" s="30">
        <v>125.22</v>
      </c>
      <c r="J850" s="42">
        <v>1822.16</v>
      </c>
      <c r="K850" s="43">
        <v>21991.15</v>
      </c>
      <c r="L850" s="51">
        <v>23813.31</v>
      </c>
      <c r="M850" s="33"/>
      <c r="N850" s="30">
        <v>21991.15</v>
      </c>
      <c r="O850" s="30">
        <v>15711.09</v>
      </c>
      <c r="P850" s="30">
        <v>774</v>
      </c>
      <c r="Q850" s="30">
        <f>(N850+O850*0.18+J850)+(IF((P850-O850*0.18)&gt;0,(P850-O850*0.18),0))</f>
        <v>26641.306200000003</v>
      </c>
      <c r="R850" s="7"/>
      <c r="S850" s="7"/>
      <c r="T850" s="7"/>
      <c r="U850" s="7"/>
      <c r="V850" s="7"/>
      <c r="W850" s="7"/>
      <c r="X850" s="7"/>
      <c r="Y850" s="7"/>
      <c r="Z850" s="7"/>
    </row>
    <row r="851" spans="1:26" ht="9" customHeight="1" x14ac:dyDescent="0.2">
      <c r="A851" s="95"/>
      <c r="B851" s="95"/>
      <c r="C851" s="34" t="s">
        <v>37</v>
      </c>
      <c r="D851" s="35">
        <v>34</v>
      </c>
      <c r="E851" s="36">
        <v>30178453</v>
      </c>
      <c r="F851" s="36">
        <v>0</v>
      </c>
      <c r="G851" s="36">
        <v>0</v>
      </c>
      <c r="H851" s="36">
        <v>12159892</v>
      </c>
      <c r="I851" s="36">
        <v>242460</v>
      </c>
      <c r="J851" s="37">
        <v>3528194</v>
      </c>
      <c r="K851" s="36">
        <v>42580804</v>
      </c>
      <c r="L851" s="50">
        <v>46108998</v>
      </c>
      <c r="M851" s="39"/>
      <c r="N851" s="36">
        <v>42580804</v>
      </c>
      <c r="O851" s="36">
        <v>30420912</v>
      </c>
      <c r="P851" s="36">
        <v>1498673</v>
      </c>
      <c r="Q851" s="36">
        <f>Q850*1936.27</f>
        <v>51584761.955874003</v>
      </c>
      <c r="R851" s="7"/>
      <c r="S851" s="7"/>
      <c r="T851" s="7"/>
      <c r="U851" s="7"/>
      <c r="V851" s="7"/>
      <c r="W851" s="7"/>
      <c r="X851" s="7"/>
      <c r="Y851" s="7"/>
      <c r="Z851" s="7"/>
    </row>
    <row r="852" spans="1:26" ht="12.75" customHeight="1" x14ac:dyDescent="0.2">
      <c r="A852" s="95"/>
      <c r="B852" s="95"/>
      <c r="C852" s="40" t="s">
        <v>36</v>
      </c>
      <c r="D852" s="41">
        <v>35</v>
      </c>
      <c r="E852" s="30">
        <v>16282.58</v>
      </c>
      <c r="F852" s="30">
        <v>0</v>
      </c>
      <c r="G852" s="30">
        <v>0</v>
      </c>
      <c r="H852" s="30">
        <v>6280.06</v>
      </c>
      <c r="I852" s="30">
        <v>125.22</v>
      </c>
      <c r="J852" s="42">
        <v>1880.22</v>
      </c>
      <c r="K852" s="43">
        <v>22687.86</v>
      </c>
      <c r="L852" s="51">
        <v>24568.080000000002</v>
      </c>
      <c r="M852" s="33"/>
      <c r="N852" s="30">
        <v>22687.86</v>
      </c>
      <c r="O852" s="30">
        <v>16407.8</v>
      </c>
      <c r="P852" s="30">
        <v>774</v>
      </c>
      <c r="Q852" s="30">
        <f>(N852+O852*0.18+J852)+(IF((P852-O852*0.18)&gt;0,(P852-O852*0.18),0))</f>
        <v>27521.484</v>
      </c>
      <c r="R852" s="7"/>
      <c r="S852" s="7"/>
      <c r="T852" s="7"/>
      <c r="U852" s="7"/>
      <c r="V852" s="7"/>
      <c r="W852" s="7"/>
      <c r="X852" s="7"/>
      <c r="Y852" s="7"/>
      <c r="Z852" s="7"/>
    </row>
    <row r="853" spans="1:26" ht="9" customHeight="1" x14ac:dyDescent="0.2">
      <c r="A853" s="110"/>
      <c r="B853" s="110"/>
      <c r="C853" s="47" t="s">
        <v>37</v>
      </c>
      <c r="D853" s="48"/>
      <c r="E853" s="46">
        <v>31527471</v>
      </c>
      <c r="F853" s="46">
        <v>0</v>
      </c>
      <c r="G853" s="46">
        <v>0</v>
      </c>
      <c r="H853" s="46">
        <v>12159892</v>
      </c>
      <c r="I853" s="46">
        <v>242460</v>
      </c>
      <c r="J853" s="49">
        <v>3640614</v>
      </c>
      <c r="K853" s="46">
        <v>43929823</v>
      </c>
      <c r="L853" s="52">
        <v>47570436</v>
      </c>
      <c r="M853" s="39"/>
      <c r="N853" s="46">
        <v>43929823</v>
      </c>
      <c r="O853" s="46">
        <v>31769931</v>
      </c>
      <c r="P853" s="46">
        <v>1498673</v>
      </c>
      <c r="Q853" s="46">
        <f>Q852*1936.27</f>
        <v>53289023.824680001</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7"/>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7"/>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7"/>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7"/>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7"/>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7"/>
      <c r="M859" s="39"/>
      <c r="N859" s="96"/>
      <c r="O859" s="96"/>
      <c r="P859" s="96"/>
      <c r="Q859" s="96"/>
      <c r="R859" s="7"/>
      <c r="S859" s="7"/>
      <c r="T859" s="7"/>
      <c r="U859" s="7"/>
      <c r="V859" s="7"/>
      <c r="W859" s="7"/>
      <c r="X859" s="7"/>
      <c r="Y859" s="7"/>
      <c r="Z859" s="7"/>
    </row>
    <row r="860" spans="1:26" ht="12.75" customHeight="1" x14ac:dyDescent="0.2">
      <c r="A860" s="98">
        <f>B822+1</f>
        <v>40422</v>
      </c>
      <c r="B860" s="98">
        <v>42369</v>
      </c>
      <c r="C860" s="28" t="s">
        <v>36</v>
      </c>
      <c r="D860" s="29">
        <v>0</v>
      </c>
      <c r="E860" s="30">
        <f>E820</f>
        <v>10415.969999999999</v>
      </c>
      <c r="F860" s="30">
        <v>0</v>
      </c>
      <c r="G860" s="30"/>
      <c r="H860" s="30">
        <f>H820</f>
        <v>6280.06</v>
      </c>
      <c r="I860" s="30">
        <f>I820</f>
        <v>125.22</v>
      </c>
      <c r="J860" s="30">
        <f>(E860+H860+I860)/12</f>
        <v>1401.7708333333333</v>
      </c>
      <c r="K860" s="30">
        <f>E860+H860+I860</f>
        <v>16821.25</v>
      </c>
      <c r="L860" s="32">
        <f>J860+K860</f>
        <v>18223.020833333332</v>
      </c>
      <c r="M860" s="33"/>
      <c r="N860" s="30">
        <f>O860+H860</f>
        <v>16821.25</v>
      </c>
      <c r="O860" s="30">
        <f>E860+F860+G860+I860</f>
        <v>10541.189999999999</v>
      </c>
      <c r="P860" s="30">
        <v>774</v>
      </c>
      <c r="Q860" s="30">
        <f>(N860+O860*0.18+J860)+(IF((P860-O860*0.18)&gt;0,(P860-O860*0.18),0))</f>
        <v>20120.435033333331</v>
      </c>
      <c r="R860" s="7"/>
      <c r="S860" s="7"/>
      <c r="T860" s="7"/>
      <c r="U860" s="7"/>
      <c r="V860" s="7"/>
      <c r="W860" s="7"/>
      <c r="X860" s="7"/>
      <c r="Y860" s="7"/>
      <c r="Z860" s="7"/>
    </row>
    <row r="861" spans="1:26" ht="9" customHeight="1" x14ac:dyDescent="0.2">
      <c r="A861" s="95"/>
      <c r="B861" s="95"/>
      <c r="C861" s="34" t="s">
        <v>37</v>
      </c>
      <c r="D861" s="35">
        <v>2</v>
      </c>
      <c r="E861" s="46">
        <f>E860*1936.27</f>
        <v>20168130.231899999</v>
      </c>
      <c r="F861" s="36">
        <v>0</v>
      </c>
      <c r="G861" s="36">
        <v>0</v>
      </c>
      <c r="H861" s="46">
        <f>H860*1936.27</f>
        <v>12159891.7762</v>
      </c>
      <c r="I861" s="46">
        <f>I860*1936.27</f>
        <v>242459.72939999998</v>
      </c>
      <c r="J861" s="37">
        <f>J860*1936.27</f>
        <v>2714206.8114583329</v>
      </c>
      <c r="K861" s="46">
        <f>K860*1936.27</f>
        <v>32570481.737500001</v>
      </c>
      <c r="L861" s="46">
        <f>L860*1936.27</f>
        <v>35284688.548958331</v>
      </c>
      <c r="M861" s="39"/>
      <c r="N861" s="36">
        <f>N860*1936.27</f>
        <v>32570481.737500001</v>
      </c>
      <c r="O861" s="36">
        <f>O860*1936.27</f>
        <v>20410589.961299997</v>
      </c>
      <c r="P861" s="46">
        <v>1498673</v>
      </c>
      <c r="Q861" s="36">
        <f>Q860*1936.27</f>
        <v>38958594.741992332</v>
      </c>
      <c r="R861" s="7"/>
      <c r="S861" s="7"/>
      <c r="T861" s="7"/>
      <c r="U861" s="7"/>
      <c r="V861" s="7"/>
      <c r="W861" s="7"/>
      <c r="X861" s="7"/>
      <c r="Y861" s="7"/>
      <c r="Z861" s="7"/>
    </row>
    <row r="862" spans="1:26" ht="12.75" customHeight="1" x14ac:dyDescent="0.2">
      <c r="A862" s="156">
        <f>A860</f>
        <v>40422</v>
      </c>
      <c r="B862" s="156">
        <f>B860</f>
        <v>42369</v>
      </c>
      <c r="C862" s="40" t="s">
        <v>36</v>
      </c>
      <c r="D862" s="41">
        <v>3</v>
      </c>
      <c r="E862" s="30">
        <v>10415.969999999999</v>
      </c>
      <c r="F862" s="30">
        <v>0</v>
      </c>
      <c r="G862" s="30">
        <v>0</v>
      </c>
      <c r="H862" s="30">
        <f>H822</f>
        <v>6280.06</v>
      </c>
      <c r="I862" s="30">
        <f>I822</f>
        <v>125.22</v>
      </c>
      <c r="J862" s="30">
        <f>(E862+H862+I862)/12</f>
        <v>1401.7708333333333</v>
      </c>
      <c r="K862" s="30">
        <f>E862+H862+I862</f>
        <v>16821.25</v>
      </c>
      <c r="L862" s="32">
        <f>J862+K862</f>
        <v>18223.020833333332</v>
      </c>
      <c r="M862" s="33"/>
      <c r="N862" s="30">
        <f>O862+H862</f>
        <v>16821.25</v>
      </c>
      <c r="O862" s="30">
        <f>E862+F862+G862+I862</f>
        <v>10541.189999999999</v>
      </c>
      <c r="P862" s="30">
        <v>774</v>
      </c>
      <c r="Q862" s="30">
        <f>(N862+O862*0.18+J862)+(IF((P862-O862*0.18)&gt;0,(P862-O862*0.18),0))</f>
        <v>20120.435033333331</v>
      </c>
      <c r="R862" s="7"/>
      <c r="S862" s="7"/>
      <c r="T862" s="7"/>
      <c r="U862" s="7"/>
      <c r="V862" s="7"/>
      <c r="W862" s="7"/>
      <c r="X862" s="7"/>
      <c r="Y862" s="7"/>
      <c r="Z862" s="7"/>
    </row>
    <row r="863" spans="1:26" ht="9" customHeight="1" x14ac:dyDescent="0.2">
      <c r="A863" s="95"/>
      <c r="B863" s="95"/>
      <c r="C863" s="34" t="s">
        <v>37</v>
      </c>
      <c r="D863" s="35">
        <v>8</v>
      </c>
      <c r="E863" s="36">
        <v>20168130</v>
      </c>
      <c r="F863" s="36">
        <v>0</v>
      </c>
      <c r="G863" s="36">
        <v>0</v>
      </c>
      <c r="H863" s="46">
        <f>H862*1936.27</f>
        <v>12159891.7762</v>
      </c>
      <c r="I863" s="46">
        <f>I862*1936.27</f>
        <v>242459.72939999998</v>
      </c>
      <c r="J863" s="37">
        <f>J862*1936.27</f>
        <v>2714206.8114583329</v>
      </c>
      <c r="K863" s="46">
        <f>K862*1936.27</f>
        <v>32570481.737500001</v>
      </c>
      <c r="L863" s="46">
        <f>L862*1936.27</f>
        <v>35284688.548958331</v>
      </c>
      <c r="M863" s="39"/>
      <c r="N863" s="36">
        <f>N862*1936.27</f>
        <v>32570481.737500001</v>
      </c>
      <c r="O863" s="36">
        <f>O862*1936.27</f>
        <v>20410589.961299997</v>
      </c>
      <c r="P863" s="46">
        <v>1498673</v>
      </c>
      <c r="Q863" s="36">
        <f>Q862*1936.27</f>
        <v>38958594.741992332</v>
      </c>
      <c r="R863" s="7"/>
      <c r="S863" s="7"/>
      <c r="T863" s="7"/>
      <c r="U863" s="7"/>
      <c r="V863" s="7"/>
      <c r="W863" s="7"/>
      <c r="X863" s="7"/>
      <c r="Y863" s="7"/>
      <c r="Z863" s="7"/>
    </row>
    <row r="864" spans="1:26" ht="12.75" customHeight="1" x14ac:dyDescent="0.2">
      <c r="A864" s="95"/>
      <c r="B864" s="95"/>
      <c r="C864" s="40" t="s">
        <v>36</v>
      </c>
      <c r="D864" s="41">
        <v>9</v>
      </c>
      <c r="E864" s="30">
        <f>E824</f>
        <v>12131.03</v>
      </c>
      <c r="F864" s="30"/>
      <c r="G864" s="30">
        <v>0</v>
      </c>
      <c r="H864" s="30">
        <f>H824</f>
        <v>6280.06</v>
      </c>
      <c r="I864" s="30">
        <f>I824</f>
        <v>125.22</v>
      </c>
      <c r="J864" s="30">
        <f>(E864+H864+I864)/12</f>
        <v>1544.6925000000001</v>
      </c>
      <c r="K864" s="30">
        <f>E864+H864+I864</f>
        <v>18536.310000000001</v>
      </c>
      <c r="L864" s="32">
        <f>J864+K864</f>
        <v>20081.002500000002</v>
      </c>
      <c r="M864" s="33"/>
      <c r="N864" s="30">
        <f>O864+H864</f>
        <v>18536.310000000001</v>
      </c>
      <c r="O864" s="30">
        <f>E864+F864+G864+I864</f>
        <v>12256.25</v>
      </c>
      <c r="P864" s="30">
        <v>774</v>
      </c>
      <c r="Q864" s="30">
        <f>(N864+O864*0.18+J864)+(IF((P864-O864*0.18)&gt;0,(P864-O864*0.18),0))</f>
        <v>22287.127500000002</v>
      </c>
      <c r="R864" s="7"/>
      <c r="S864" s="7"/>
      <c r="T864" s="7"/>
      <c r="U864" s="7"/>
      <c r="V864" s="7"/>
      <c r="W864" s="7"/>
      <c r="X864" s="7"/>
      <c r="Y864" s="7"/>
      <c r="Z864" s="7"/>
    </row>
    <row r="865" spans="1:26" ht="9" customHeight="1" x14ac:dyDescent="0.2">
      <c r="A865" s="95"/>
      <c r="B865" s="95"/>
      <c r="C865" s="34" t="s">
        <v>37</v>
      </c>
      <c r="D865" s="35">
        <v>14</v>
      </c>
      <c r="E865" s="46">
        <f>E864*1936.27</f>
        <v>23488949.458100002</v>
      </c>
      <c r="F865" s="36">
        <v>0</v>
      </c>
      <c r="G865" s="36">
        <v>0</v>
      </c>
      <c r="H865" s="46">
        <f>H864*1936.27</f>
        <v>12159891.7762</v>
      </c>
      <c r="I865" s="46">
        <f>I864*1936.27</f>
        <v>242459.72939999998</v>
      </c>
      <c r="J865" s="37">
        <f>J864*1936.27</f>
        <v>2990941.746975</v>
      </c>
      <c r="K865" s="46">
        <f>K864*1936.27</f>
        <v>35891300.963700004</v>
      </c>
      <c r="L865" s="46">
        <f>L864*1936.27</f>
        <v>38882242.710675001</v>
      </c>
      <c r="M865" s="39"/>
      <c r="N865" s="36">
        <f>N864*1936.27</f>
        <v>35891300.963700004</v>
      </c>
      <c r="O865" s="36">
        <f>O864*1936.27</f>
        <v>23731409.1875</v>
      </c>
      <c r="P865" s="46">
        <v>1498673</v>
      </c>
      <c r="Q865" s="36">
        <f>Q864*1936.27</f>
        <v>43153896.364425004</v>
      </c>
      <c r="R865" s="7"/>
      <c r="S865" s="7"/>
      <c r="T865" s="7"/>
      <c r="U865" s="7"/>
      <c r="V865" s="7"/>
      <c r="W865" s="7"/>
      <c r="X865" s="7"/>
      <c r="Y865" s="7"/>
      <c r="Z865" s="7"/>
    </row>
    <row r="866" spans="1:26" ht="12.75" customHeight="1" x14ac:dyDescent="0.2">
      <c r="A866" s="95"/>
      <c r="B866" s="95"/>
      <c r="C866" s="40" t="s">
        <v>36</v>
      </c>
      <c r="D866" s="41">
        <v>15</v>
      </c>
      <c r="E866" s="30">
        <f>E826</f>
        <v>13400.03</v>
      </c>
      <c r="F866" s="30">
        <v>0</v>
      </c>
      <c r="G866" s="30">
        <v>0</v>
      </c>
      <c r="H866" s="30">
        <f>H826</f>
        <v>6280.06</v>
      </c>
      <c r="I866" s="30">
        <f>I826</f>
        <v>125.22</v>
      </c>
      <c r="J866" s="30">
        <f>(E866+H866+I866)/12</f>
        <v>1650.4425000000001</v>
      </c>
      <c r="K866" s="30">
        <f>E866+H866+I866</f>
        <v>19805.310000000001</v>
      </c>
      <c r="L866" s="32">
        <f>J866+K866</f>
        <v>21455.752500000002</v>
      </c>
      <c r="M866" s="33"/>
      <c r="N866" s="30">
        <f>O866+H866</f>
        <v>19805.310000000001</v>
      </c>
      <c r="O866" s="30">
        <f>E866+F866+G866+I866</f>
        <v>13525.25</v>
      </c>
      <c r="P866" s="30">
        <v>774</v>
      </c>
      <c r="Q866" s="30">
        <f>(N866+O866*0.18+J866)+(IF((P866-O866*0.18)&gt;0,(P866-O866*0.18),0))</f>
        <v>23890.297500000004</v>
      </c>
      <c r="R866" s="7"/>
      <c r="S866" s="7"/>
      <c r="T866" s="7"/>
      <c r="U866" s="7"/>
      <c r="V866" s="7"/>
      <c r="W866" s="7"/>
      <c r="X866" s="7"/>
      <c r="Y866" s="7"/>
      <c r="Z866" s="7"/>
    </row>
    <row r="867" spans="1:26" ht="9" customHeight="1" x14ac:dyDescent="0.2">
      <c r="A867" s="95"/>
      <c r="B867" s="95"/>
      <c r="C867" s="34" t="s">
        <v>37</v>
      </c>
      <c r="D867" s="35">
        <v>20</v>
      </c>
      <c r="E867" s="46">
        <f>E866*1936.27</f>
        <v>25946076.088100001</v>
      </c>
      <c r="F867" s="36">
        <v>0</v>
      </c>
      <c r="G867" s="36">
        <v>0</v>
      </c>
      <c r="H867" s="46">
        <f>H866*1936.27</f>
        <v>12159891.7762</v>
      </c>
      <c r="I867" s="46">
        <f>I866*1936.27</f>
        <v>242459.72939999998</v>
      </c>
      <c r="J867" s="37">
        <f>J866*1936.27</f>
        <v>3195702.2994750002</v>
      </c>
      <c r="K867" s="46">
        <f>K866*1936.27</f>
        <v>38348427.593699999</v>
      </c>
      <c r="L867" s="46">
        <f>L866*1936.27</f>
        <v>41544129.893175006</v>
      </c>
      <c r="M867" s="39"/>
      <c r="N867" s="36">
        <f>N866*1936.27</f>
        <v>38348427.593699999</v>
      </c>
      <c r="O867" s="36">
        <f>O866*1936.27</f>
        <v>26188535.817499999</v>
      </c>
      <c r="P867" s="46">
        <v>1498673</v>
      </c>
      <c r="Q867" s="36">
        <f>Q866*1936.27</f>
        <v>46258066.340325005</v>
      </c>
      <c r="R867" s="7"/>
      <c r="S867" s="7"/>
      <c r="T867" s="7"/>
      <c r="U867" s="7"/>
      <c r="V867" s="7"/>
      <c r="W867" s="7"/>
      <c r="X867" s="7"/>
      <c r="Y867" s="7"/>
      <c r="Z867" s="7"/>
    </row>
    <row r="868" spans="1:26" ht="12.75" customHeight="1" x14ac:dyDescent="0.2">
      <c r="A868" s="95"/>
      <c r="B868" s="95"/>
      <c r="C868" s="40" t="s">
        <v>36</v>
      </c>
      <c r="D868" s="41">
        <v>21</v>
      </c>
      <c r="E868" s="30">
        <f>E828</f>
        <v>14676.66</v>
      </c>
      <c r="F868" s="30">
        <v>0</v>
      </c>
      <c r="G868" s="30">
        <v>0</v>
      </c>
      <c r="H868" s="30">
        <f>H828</f>
        <v>6280.06</v>
      </c>
      <c r="I868" s="30">
        <f>I828</f>
        <v>125.22</v>
      </c>
      <c r="J868" s="30">
        <f>(E868+H868+I868)/12</f>
        <v>1756.8283333333336</v>
      </c>
      <c r="K868" s="30">
        <f>E868+H868+I868</f>
        <v>21081.940000000002</v>
      </c>
      <c r="L868" s="32">
        <f>J868+K868</f>
        <v>22838.768333333337</v>
      </c>
      <c r="M868" s="33"/>
      <c r="N868" s="30">
        <f>O868+H868</f>
        <v>21081.94</v>
      </c>
      <c r="O868" s="30">
        <f>E868+F868+G868+I868</f>
        <v>14801.88</v>
      </c>
      <c r="P868" s="30">
        <v>774</v>
      </c>
      <c r="Q868" s="30">
        <f>(N868+O868*0.18+J868)+(IF((P868-O868*0.18)&gt;0,(P868-O868*0.18),0))</f>
        <v>25503.106733333334</v>
      </c>
      <c r="R868" s="7"/>
      <c r="S868" s="7"/>
      <c r="T868" s="7"/>
      <c r="U868" s="7"/>
      <c r="V868" s="7"/>
      <c r="W868" s="7"/>
      <c r="X868" s="7"/>
      <c r="Y868" s="7"/>
      <c r="Z868" s="7"/>
    </row>
    <row r="869" spans="1:26" ht="9" customHeight="1" x14ac:dyDescent="0.2">
      <c r="A869" s="95"/>
      <c r="B869" s="95"/>
      <c r="C869" s="34" t="s">
        <v>37</v>
      </c>
      <c r="D869" s="35">
        <v>27</v>
      </c>
      <c r="E869" s="46">
        <f>E868*1936.27</f>
        <v>28417976.4582</v>
      </c>
      <c r="F869" s="36">
        <v>0</v>
      </c>
      <c r="G869" s="36">
        <v>0</v>
      </c>
      <c r="H869" s="46">
        <f>H868*1936.27</f>
        <v>12159891.7762</v>
      </c>
      <c r="I869" s="46">
        <f>I868*1936.27</f>
        <v>242459.72939999998</v>
      </c>
      <c r="J869" s="37">
        <f>J868*1936.27</f>
        <v>3401693.996983334</v>
      </c>
      <c r="K869" s="46">
        <f>K868*1936.27</f>
        <v>40820327.963800006</v>
      </c>
      <c r="L869" s="46">
        <f>L868*1936.27</f>
        <v>44222021.96078334</v>
      </c>
      <c r="M869" s="39"/>
      <c r="N869" s="36">
        <f>N868*1936.27</f>
        <v>40820327.963799998</v>
      </c>
      <c r="O869" s="36">
        <f>O868*1936.27</f>
        <v>28660436.187599998</v>
      </c>
      <c r="P869" s="46">
        <v>1498673</v>
      </c>
      <c r="Q869" s="36">
        <f>Q868*1936.27</f>
        <v>49380900.474551335</v>
      </c>
      <c r="R869" s="7"/>
      <c r="S869" s="7"/>
      <c r="T869" s="7"/>
      <c r="U869" s="7"/>
      <c r="V869" s="7"/>
      <c r="W869" s="7"/>
      <c r="X869" s="7"/>
      <c r="Y869" s="7"/>
      <c r="Z869" s="7"/>
    </row>
    <row r="870" spans="1:26" ht="12.75" customHeight="1" x14ac:dyDescent="0.2">
      <c r="A870" s="95"/>
      <c r="B870" s="95"/>
      <c r="C870" s="40" t="s">
        <v>36</v>
      </c>
      <c r="D870" s="41">
        <v>28</v>
      </c>
      <c r="E870" s="30">
        <f>E830</f>
        <v>15585.87</v>
      </c>
      <c r="F870" s="30">
        <v>0</v>
      </c>
      <c r="G870" s="30">
        <v>0</v>
      </c>
      <c r="H870" s="30">
        <f>H830</f>
        <v>6280.06</v>
      </c>
      <c r="I870" s="30">
        <f>I830</f>
        <v>125.22</v>
      </c>
      <c r="J870" s="30">
        <f>(E870+H870+I870)/12</f>
        <v>1832.5958333333335</v>
      </c>
      <c r="K870" s="30">
        <f>E870+H870+I870</f>
        <v>21991.15</v>
      </c>
      <c r="L870" s="32">
        <f>J870+K870</f>
        <v>23823.745833333334</v>
      </c>
      <c r="M870" s="33"/>
      <c r="N870" s="30">
        <f>O870+H870</f>
        <v>21991.15</v>
      </c>
      <c r="O870" s="30">
        <f>E870+F870+G870+I870</f>
        <v>15711.09</v>
      </c>
      <c r="P870" s="30">
        <v>774</v>
      </c>
      <c r="Q870" s="30">
        <f>(N870+O870*0.18+J870)+(IF((P870-O870*0.18)&gt;0,(P870-O870*0.18),0))</f>
        <v>26651.742033333336</v>
      </c>
      <c r="R870" s="7"/>
      <c r="S870" s="7"/>
      <c r="T870" s="7"/>
      <c r="U870" s="7"/>
      <c r="V870" s="7"/>
      <c r="W870" s="7"/>
      <c r="X870" s="7"/>
      <c r="Y870" s="7"/>
      <c r="Z870" s="7"/>
    </row>
    <row r="871" spans="1:26" ht="9" customHeight="1" x14ac:dyDescent="0.2">
      <c r="A871" s="95"/>
      <c r="B871" s="95"/>
      <c r="C871" s="34" t="s">
        <v>37</v>
      </c>
      <c r="D871" s="35">
        <v>34</v>
      </c>
      <c r="E871" s="46">
        <f>E870*1936.27</f>
        <v>30178452.504900001</v>
      </c>
      <c r="F871" s="36">
        <v>0</v>
      </c>
      <c r="G871" s="36">
        <v>0</v>
      </c>
      <c r="H871" s="46">
        <f>H870*1936.27</f>
        <v>12159891.7762</v>
      </c>
      <c r="I871" s="46">
        <f>I870*1936.27</f>
        <v>242459.72939999998</v>
      </c>
      <c r="J871" s="37">
        <f>J870*1936.27</f>
        <v>3548400.3342083339</v>
      </c>
      <c r="K871" s="46">
        <f>K870*1936.27</f>
        <v>42580804.010499999</v>
      </c>
      <c r="L871" s="46">
        <f>L870*1936.27</f>
        <v>46129204.344708338</v>
      </c>
      <c r="M871" s="39"/>
      <c r="N871" s="36">
        <f>N870*1936.27</f>
        <v>42580804.010499999</v>
      </c>
      <c r="O871" s="36">
        <f>O870*1936.27</f>
        <v>30420912.234299999</v>
      </c>
      <c r="P871" s="46">
        <v>1498673</v>
      </c>
      <c r="Q871" s="36">
        <f>Q870*1936.27</f>
        <v>51604968.546882339</v>
      </c>
      <c r="R871" s="7"/>
      <c r="S871" s="7"/>
      <c r="T871" s="7"/>
      <c r="U871" s="7"/>
      <c r="V871" s="7"/>
      <c r="W871" s="7"/>
      <c r="X871" s="7"/>
      <c r="Y871" s="7"/>
      <c r="Z871" s="7"/>
    </row>
    <row r="872" spans="1:26" ht="12.75" customHeight="1" x14ac:dyDescent="0.2">
      <c r="A872" s="95"/>
      <c r="B872" s="95"/>
      <c r="C872" s="40" t="s">
        <v>36</v>
      </c>
      <c r="D872" s="41">
        <v>35</v>
      </c>
      <c r="E872" s="30">
        <f>E832</f>
        <v>16282.58</v>
      </c>
      <c r="F872" s="30">
        <v>0</v>
      </c>
      <c r="G872" s="30">
        <v>0</v>
      </c>
      <c r="H872" s="30">
        <f>H832</f>
        <v>6280.06</v>
      </c>
      <c r="I872" s="30">
        <f>I832</f>
        <v>125.22</v>
      </c>
      <c r="J872" s="30">
        <f>(E872+H872+I872)/12</f>
        <v>1890.655</v>
      </c>
      <c r="K872" s="30">
        <f>E872+H872+I872</f>
        <v>22687.86</v>
      </c>
      <c r="L872" s="32">
        <f>J872+K872</f>
        <v>24578.514999999999</v>
      </c>
      <c r="M872" s="33"/>
      <c r="N872" s="30">
        <f>O872+H872</f>
        <v>22687.86</v>
      </c>
      <c r="O872" s="30">
        <f>E872+F872+G872+I872</f>
        <v>16407.8</v>
      </c>
      <c r="P872" s="30">
        <v>774</v>
      </c>
      <c r="Q872" s="30">
        <f>(N872+O872*0.18+J872)+(IF((P872-O872*0.18)&gt;0,(P872-O872*0.18),0))</f>
        <v>27531.918999999998</v>
      </c>
      <c r="R872" s="7"/>
      <c r="S872" s="7"/>
      <c r="T872" s="7"/>
      <c r="U872" s="7"/>
      <c r="V872" s="7"/>
      <c r="W872" s="7"/>
      <c r="X872" s="7"/>
      <c r="Y872" s="7"/>
      <c r="Z872" s="7"/>
    </row>
    <row r="873" spans="1:26" ht="9" customHeight="1" x14ac:dyDescent="0.2">
      <c r="A873" s="110"/>
      <c r="B873" s="110"/>
      <c r="C873" s="47" t="s">
        <v>37</v>
      </c>
      <c r="D873" s="48"/>
      <c r="E873" s="46">
        <f>E872*1936.27</f>
        <v>31527471.176599998</v>
      </c>
      <c r="F873" s="46">
        <v>0</v>
      </c>
      <c r="G873" s="46">
        <v>0</v>
      </c>
      <c r="H873" s="46">
        <f>H872*1936.27</f>
        <v>12159891.7762</v>
      </c>
      <c r="I873" s="46">
        <f>I872*1936.27</f>
        <v>242459.72939999998</v>
      </c>
      <c r="J873" s="46">
        <f>J872*1936.27</f>
        <v>3660818.5568499998</v>
      </c>
      <c r="K873" s="46">
        <f>K872*1936.27</f>
        <v>43929822.6822</v>
      </c>
      <c r="L873" s="46">
        <f>L872*1936.27</f>
        <v>47590641.239050001</v>
      </c>
      <c r="M873" s="39"/>
      <c r="N873" s="46">
        <f>N872*1936.27</f>
        <v>43929822.6822</v>
      </c>
      <c r="O873" s="46">
        <f>O872*1936.27</f>
        <v>31769930.905999999</v>
      </c>
      <c r="P873" s="46">
        <v>1498673</v>
      </c>
      <c r="Q873" s="46">
        <f>Q872*1936.27</f>
        <v>53309228.802129999</v>
      </c>
      <c r="R873" s="7"/>
      <c r="S873" s="7"/>
      <c r="T873" s="7"/>
      <c r="U873" s="7"/>
      <c r="V873" s="7"/>
      <c r="W873" s="7"/>
      <c r="X873" s="7"/>
      <c r="Y873" s="7"/>
      <c r="Z873" s="7"/>
    </row>
    <row r="874" spans="1:26" ht="9" customHeight="1" x14ac:dyDescent="0.2">
      <c r="A874" s="95"/>
      <c r="B874" s="95"/>
      <c r="C874" s="44"/>
      <c r="D874" s="45"/>
      <c r="E874" s="96"/>
      <c r="F874" s="96"/>
      <c r="G874" s="96"/>
      <c r="H874" s="96"/>
      <c r="I874" s="96"/>
      <c r="J874" s="96"/>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96"/>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96"/>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96"/>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96"/>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96"/>
      <c r="K879" s="96"/>
      <c r="L879" s="96"/>
      <c r="M879" s="39"/>
      <c r="N879" s="96"/>
      <c r="O879" s="96"/>
      <c r="P879" s="96"/>
      <c r="Q879" s="96"/>
      <c r="R879" s="7"/>
      <c r="S879" s="7"/>
      <c r="T879" s="7"/>
      <c r="U879" s="7"/>
      <c r="V879" s="7"/>
      <c r="W879" s="7"/>
      <c r="X879" s="7"/>
      <c r="Y879" s="7"/>
      <c r="Z879" s="7"/>
    </row>
    <row r="880" spans="1:26" ht="12.75" customHeight="1" x14ac:dyDescent="0.2">
      <c r="A880" s="98">
        <f>B860+1</f>
        <v>42370</v>
      </c>
      <c r="B880" s="98">
        <v>42735</v>
      </c>
      <c r="C880" s="28" t="s">
        <v>36</v>
      </c>
      <c r="D880" s="29">
        <v>0</v>
      </c>
      <c r="E880" s="30">
        <v>10481.969999999999</v>
      </c>
      <c r="F880" s="30">
        <v>0</v>
      </c>
      <c r="G880" s="30"/>
      <c r="H880" s="30">
        <v>6280.06</v>
      </c>
      <c r="I880" s="30">
        <v>125.22</v>
      </c>
      <c r="J880" s="30">
        <v>1407.27</v>
      </c>
      <c r="K880" s="30">
        <v>16887.25</v>
      </c>
      <c r="L880" s="32">
        <v>18294.52</v>
      </c>
      <c r="M880" s="33"/>
      <c r="N880" s="30">
        <v>16887.25</v>
      </c>
      <c r="O880" s="30">
        <v>10607.19</v>
      </c>
      <c r="P880" s="30">
        <v>774</v>
      </c>
      <c r="Q880" s="30">
        <v>20203.810000000001</v>
      </c>
      <c r="R880" s="7"/>
      <c r="S880" s="7"/>
      <c r="T880" s="7"/>
      <c r="U880" s="7"/>
      <c r="V880" s="7"/>
      <c r="W880" s="7"/>
      <c r="X880" s="7"/>
      <c r="Y880" s="7"/>
      <c r="Z880" s="7"/>
    </row>
    <row r="881" spans="1:26" ht="9" customHeight="1" x14ac:dyDescent="0.2">
      <c r="A881" s="95"/>
      <c r="B881" s="95"/>
      <c r="C881" s="34" t="s">
        <v>37</v>
      </c>
      <c r="D881" s="35">
        <v>8</v>
      </c>
      <c r="E881" s="46">
        <v>20295924</v>
      </c>
      <c r="F881" s="36">
        <v>0</v>
      </c>
      <c r="G881" s="36">
        <v>0</v>
      </c>
      <c r="H881" s="46">
        <v>12159892</v>
      </c>
      <c r="I881" s="46">
        <v>242460</v>
      </c>
      <c r="J881" s="37">
        <v>2724855</v>
      </c>
      <c r="K881" s="46">
        <v>32698276</v>
      </c>
      <c r="L881" s="46">
        <v>35423130</v>
      </c>
      <c r="M881" s="39"/>
      <c r="N881" s="36">
        <v>32698276</v>
      </c>
      <c r="O881" s="36">
        <v>20538384</v>
      </c>
      <c r="P881" s="46">
        <v>1498673</v>
      </c>
      <c r="Q881" s="36">
        <v>39120031</v>
      </c>
      <c r="R881" s="7"/>
      <c r="S881" s="7"/>
      <c r="T881" s="7"/>
      <c r="U881" s="7"/>
      <c r="V881" s="7"/>
      <c r="W881" s="7"/>
      <c r="X881" s="7"/>
      <c r="Y881" s="7"/>
      <c r="Z881" s="7"/>
    </row>
    <row r="882" spans="1:26" ht="12.75" customHeight="1" x14ac:dyDescent="0.2">
      <c r="A882" s="157">
        <f>A880</f>
        <v>42370</v>
      </c>
      <c r="B882" s="157">
        <f>B880</f>
        <v>42735</v>
      </c>
      <c r="C882" s="40" t="s">
        <v>36</v>
      </c>
      <c r="D882" s="41">
        <v>9</v>
      </c>
      <c r="E882" s="30">
        <v>12203.03</v>
      </c>
      <c r="F882" s="30"/>
      <c r="G882" s="30">
        <v>0</v>
      </c>
      <c r="H882" s="30">
        <v>6280.06</v>
      </c>
      <c r="I882" s="30">
        <v>125.22</v>
      </c>
      <c r="J882" s="30">
        <v>1550.69</v>
      </c>
      <c r="K882" s="30">
        <v>18608.310000000001</v>
      </c>
      <c r="L882" s="32">
        <v>20159</v>
      </c>
      <c r="M882" s="33"/>
      <c r="N882" s="30">
        <v>18608.310000000001</v>
      </c>
      <c r="O882" s="30">
        <v>12328.25</v>
      </c>
      <c r="P882" s="30">
        <v>774</v>
      </c>
      <c r="Q882" s="30">
        <v>22378.09</v>
      </c>
      <c r="R882" s="7"/>
      <c r="S882" s="7"/>
      <c r="T882" s="7"/>
      <c r="U882" s="7"/>
      <c r="V882" s="7"/>
      <c r="W882" s="7"/>
      <c r="X882" s="7"/>
      <c r="Y882" s="7"/>
      <c r="Z882" s="7"/>
    </row>
    <row r="883" spans="1:26" ht="9" customHeight="1" x14ac:dyDescent="0.2">
      <c r="A883" s="95"/>
      <c r="B883" s="95"/>
      <c r="C883" s="34" t="s">
        <v>37</v>
      </c>
      <c r="D883" s="35">
        <v>14</v>
      </c>
      <c r="E883" s="46">
        <v>23628361</v>
      </c>
      <c r="F883" s="36">
        <v>0</v>
      </c>
      <c r="G883" s="36">
        <v>0</v>
      </c>
      <c r="H883" s="46">
        <v>12159892</v>
      </c>
      <c r="I883" s="46">
        <v>242460</v>
      </c>
      <c r="J883" s="37">
        <v>3002555</v>
      </c>
      <c r="K883" s="46">
        <v>36030712</v>
      </c>
      <c r="L883" s="46">
        <v>39033267</v>
      </c>
      <c r="M883" s="39"/>
      <c r="N883" s="36">
        <v>36030712</v>
      </c>
      <c r="O883" s="36">
        <v>23870821</v>
      </c>
      <c r="P883" s="46">
        <v>1498673</v>
      </c>
      <c r="Q883" s="36">
        <v>43330024</v>
      </c>
      <c r="R883" s="7"/>
      <c r="S883" s="7"/>
      <c r="T883" s="7"/>
      <c r="U883" s="7"/>
      <c r="V883" s="7"/>
      <c r="W883" s="7"/>
      <c r="X883" s="7"/>
      <c r="Y883" s="7"/>
      <c r="Z883" s="7"/>
    </row>
    <row r="884" spans="1:26" ht="12.75" customHeight="1" x14ac:dyDescent="0.2">
      <c r="A884" s="95"/>
      <c r="B884" s="95"/>
      <c r="C884" s="40" t="s">
        <v>36</v>
      </c>
      <c r="D884" s="41">
        <v>15</v>
      </c>
      <c r="E884" s="30">
        <v>13478.03</v>
      </c>
      <c r="F884" s="30">
        <v>0</v>
      </c>
      <c r="G884" s="30">
        <v>0</v>
      </c>
      <c r="H884" s="30">
        <v>6280.06</v>
      </c>
      <c r="I884" s="30">
        <v>125.22</v>
      </c>
      <c r="J884" s="30">
        <v>1656.94</v>
      </c>
      <c r="K884" s="30">
        <v>19883.310000000001</v>
      </c>
      <c r="L884" s="32">
        <v>21540.25</v>
      </c>
      <c r="M884" s="33"/>
      <c r="N884" s="30">
        <v>19883.310000000001</v>
      </c>
      <c r="O884" s="30">
        <v>13603.25</v>
      </c>
      <c r="P884" s="30">
        <v>774</v>
      </c>
      <c r="Q884" s="30">
        <v>23988.84</v>
      </c>
      <c r="R884" s="7"/>
      <c r="S884" s="7"/>
      <c r="T884" s="7"/>
      <c r="U884" s="7"/>
      <c r="V884" s="7"/>
      <c r="W884" s="7"/>
      <c r="X884" s="7"/>
      <c r="Y884" s="7"/>
      <c r="Z884" s="7"/>
    </row>
    <row r="885" spans="1:26" ht="9" customHeight="1" x14ac:dyDescent="0.2">
      <c r="A885" s="95"/>
      <c r="B885" s="95"/>
      <c r="C885" s="34" t="s">
        <v>37</v>
      </c>
      <c r="D885" s="35">
        <v>20</v>
      </c>
      <c r="E885" s="46">
        <v>26097105</v>
      </c>
      <c r="F885" s="36">
        <v>0</v>
      </c>
      <c r="G885" s="36">
        <v>0</v>
      </c>
      <c r="H885" s="46">
        <v>12159892</v>
      </c>
      <c r="I885" s="46">
        <v>242460</v>
      </c>
      <c r="J885" s="37">
        <v>3208283</v>
      </c>
      <c r="K885" s="46">
        <v>38499457</v>
      </c>
      <c r="L885" s="46">
        <v>41707740</v>
      </c>
      <c r="M885" s="39"/>
      <c r="N885" s="36">
        <v>38499457</v>
      </c>
      <c r="O885" s="36">
        <v>26339565</v>
      </c>
      <c r="P885" s="46">
        <v>1498673</v>
      </c>
      <c r="Q885" s="36">
        <v>46448871</v>
      </c>
      <c r="R885" s="7"/>
      <c r="S885" s="7"/>
      <c r="T885" s="7"/>
      <c r="U885" s="7"/>
      <c r="V885" s="7"/>
      <c r="W885" s="7"/>
      <c r="X885" s="7"/>
      <c r="Y885" s="7"/>
      <c r="Z885" s="7"/>
    </row>
    <row r="886" spans="1:26" ht="12.75" customHeight="1" x14ac:dyDescent="0.2">
      <c r="A886" s="95"/>
      <c r="B886" s="95"/>
      <c r="C886" s="40" t="s">
        <v>36</v>
      </c>
      <c r="D886" s="41">
        <v>21</v>
      </c>
      <c r="E886" s="30">
        <v>14759.46</v>
      </c>
      <c r="F886" s="30">
        <v>0</v>
      </c>
      <c r="G886" s="30">
        <v>0</v>
      </c>
      <c r="H886" s="30">
        <v>6280.06</v>
      </c>
      <c r="I886" s="30">
        <v>125.22</v>
      </c>
      <c r="J886" s="30">
        <v>1763.73</v>
      </c>
      <c r="K886" s="30">
        <v>21164.74</v>
      </c>
      <c r="L886" s="32">
        <v>22928.47</v>
      </c>
      <c r="M886" s="33"/>
      <c r="N886" s="30">
        <v>21164.74</v>
      </c>
      <c r="O886" s="30">
        <v>14884.68</v>
      </c>
      <c r="P886" s="30">
        <v>774</v>
      </c>
      <c r="Q886" s="30">
        <v>25607.71</v>
      </c>
      <c r="R886" s="7"/>
      <c r="S886" s="7"/>
      <c r="T886" s="7"/>
      <c r="U886" s="7"/>
      <c r="V886" s="7"/>
      <c r="W886" s="7"/>
      <c r="X886" s="7"/>
      <c r="Y886" s="7"/>
      <c r="Z886" s="7"/>
    </row>
    <row r="887" spans="1:26" ht="9" customHeight="1" x14ac:dyDescent="0.2">
      <c r="A887" s="95"/>
      <c r="B887" s="95"/>
      <c r="C887" s="34" t="s">
        <v>37</v>
      </c>
      <c r="D887" s="35">
        <v>27</v>
      </c>
      <c r="E887" s="46">
        <v>28578300</v>
      </c>
      <c r="F887" s="36">
        <v>0</v>
      </c>
      <c r="G887" s="36">
        <v>0</v>
      </c>
      <c r="H887" s="46">
        <v>12159892</v>
      </c>
      <c r="I887" s="46">
        <v>242460</v>
      </c>
      <c r="J887" s="37">
        <v>3415057</v>
      </c>
      <c r="K887" s="46">
        <v>40980651</v>
      </c>
      <c r="L887" s="46">
        <v>44395709</v>
      </c>
      <c r="M887" s="39"/>
      <c r="N887" s="36">
        <v>40980651</v>
      </c>
      <c r="O887" s="36">
        <v>28820759</v>
      </c>
      <c r="P887" s="46">
        <v>1498673</v>
      </c>
      <c r="Q887" s="36">
        <v>49583441</v>
      </c>
      <c r="R887" s="7"/>
      <c r="S887" s="7"/>
      <c r="T887" s="7"/>
      <c r="U887" s="7"/>
      <c r="V887" s="7"/>
      <c r="W887" s="7"/>
      <c r="X887" s="7"/>
      <c r="Y887" s="7"/>
      <c r="Z887" s="7"/>
    </row>
    <row r="888" spans="1:26" ht="12.75" customHeight="1" x14ac:dyDescent="0.2">
      <c r="A888" s="95"/>
      <c r="B888" s="95"/>
      <c r="C888" s="40" t="s">
        <v>36</v>
      </c>
      <c r="D888" s="41">
        <v>28</v>
      </c>
      <c r="E888" s="30">
        <v>15672.27</v>
      </c>
      <c r="F888" s="30">
        <v>0</v>
      </c>
      <c r="G888" s="30">
        <v>0</v>
      </c>
      <c r="H888" s="30">
        <v>6280.06</v>
      </c>
      <c r="I888" s="30">
        <v>125.22</v>
      </c>
      <c r="J888" s="30">
        <v>1839.8</v>
      </c>
      <c r="K888" s="30">
        <v>22077.55</v>
      </c>
      <c r="L888" s="32">
        <v>23917.35</v>
      </c>
      <c r="M888" s="33"/>
      <c r="N888" s="30">
        <v>22077.55</v>
      </c>
      <c r="O888" s="30">
        <v>15797.49</v>
      </c>
      <c r="P888" s="30">
        <v>774</v>
      </c>
      <c r="Q888" s="30">
        <v>26760.9</v>
      </c>
      <c r="R888" s="7"/>
      <c r="S888" s="7"/>
      <c r="T888" s="7"/>
      <c r="U888" s="7"/>
      <c r="V888" s="7"/>
      <c r="W888" s="7"/>
      <c r="X888" s="7"/>
      <c r="Y888" s="7"/>
      <c r="Z888" s="7"/>
    </row>
    <row r="889" spans="1:26" ht="9" customHeight="1" x14ac:dyDescent="0.2">
      <c r="A889" s="95"/>
      <c r="B889" s="95"/>
      <c r="C889" s="34" t="s">
        <v>37</v>
      </c>
      <c r="D889" s="35">
        <v>34</v>
      </c>
      <c r="E889" s="46">
        <v>30345746</v>
      </c>
      <c r="F889" s="36">
        <v>0</v>
      </c>
      <c r="G889" s="36">
        <v>0</v>
      </c>
      <c r="H889" s="46">
        <v>12159892</v>
      </c>
      <c r="I889" s="46">
        <v>242460</v>
      </c>
      <c r="J889" s="37">
        <v>3562350</v>
      </c>
      <c r="K889" s="46">
        <v>42748098</v>
      </c>
      <c r="L889" s="46">
        <v>46310447</v>
      </c>
      <c r="M889" s="39"/>
      <c r="N889" s="36">
        <v>42748098</v>
      </c>
      <c r="O889" s="36">
        <v>30588206</v>
      </c>
      <c r="P889" s="46">
        <v>1498673</v>
      </c>
      <c r="Q889" s="36">
        <v>51816328</v>
      </c>
      <c r="R889" s="7"/>
      <c r="S889" s="7"/>
      <c r="T889" s="7"/>
      <c r="U889" s="7"/>
      <c r="V889" s="7"/>
      <c r="W889" s="7"/>
      <c r="X889" s="7"/>
      <c r="Y889" s="7"/>
      <c r="Z889" s="7"/>
    </row>
    <row r="890" spans="1:26" ht="12.75" customHeight="1" x14ac:dyDescent="0.2">
      <c r="A890" s="95"/>
      <c r="B890" s="95"/>
      <c r="C890" s="40" t="s">
        <v>36</v>
      </c>
      <c r="D890" s="41">
        <v>35</v>
      </c>
      <c r="E890" s="30">
        <v>16371.38</v>
      </c>
      <c r="F890" s="30">
        <v>0</v>
      </c>
      <c r="G890" s="30">
        <v>0</v>
      </c>
      <c r="H890" s="30">
        <v>6280.06</v>
      </c>
      <c r="I890" s="30">
        <v>125.22</v>
      </c>
      <c r="J890" s="30">
        <v>1898.06</v>
      </c>
      <c r="K890" s="30">
        <v>22776.66</v>
      </c>
      <c r="L890" s="32">
        <v>24674.720000000001</v>
      </c>
      <c r="M890" s="33"/>
      <c r="N890" s="30">
        <v>22776.66</v>
      </c>
      <c r="O890" s="30">
        <v>16496.599999999999</v>
      </c>
      <c r="P890" s="30">
        <v>774</v>
      </c>
      <c r="Q890" s="30">
        <v>27644.11</v>
      </c>
      <c r="R890" s="7"/>
      <c r="S890" s="7"/>
      <c r="T890" s="7"/>
      <c r="U890" s="7"/>
      <c r="V890" s="7"/>
      <c r="W890" s="7"/>
      <c r="X890" s="7"/>
      <c r="Y890" s="7"/>
      <c r="Z890" s="7"/>
    </row>
    <row r="891" spans="1:26" ht="9" customHeight="1" x14ac:dyDescent="0.2">
      <c r="A891" s="110"/>
      <c r="B891" s="110"/>
      <c r="C891" s="47" t="s">
        <v>37</v>
      </c>
      <c r="D891" s="48"/>
      <c r="E891" s="46">
        <v>31699412</v>
      </c>
      <c r="F891" s="36">
        <v>0</v>
      </c>
      <c r="G891" s="36">
        <v>0</v>
      </c>
      <c r="H891" s="46">
        <v>12159892</v>
      </c>
      <c r="I891" s="46">
        <v>242460</v>
      </c>
      <c r="J891" s="46">
        <v>3675157</v>
      </c>
      <c r="K891" s="46">
        <v>44101763</v>
      </c>
      <c r="L891" s="46">
        <v>47776920</v>
      </c>
      <c r="M891" s="39"/>
      <c r="N891" s="46">
        <v>44101763</v>
      </c>
      <c r="O891" s="46">
        <v>31941872</v>
      </c>
      <c r="P891" s="46">
        <v>1498673</v>
      </c>
      <c r="Q891" s="46">
        <v>53526461</v>
      </c>
      <c r="R891" s="7"/>
      <c r="S891" s="7"/>
      <c r="T891" s="7"/>
      <c r="U891" s="7"/>
      <c r="V891" s="7"/>
      <c r="W891" s="7"/>
      <c r="X891" s="7"/>
      <c r="Y891" s="7"/>
      <c r="Z891" s="7"/>
    </row>
    <row r="892" spans="1:26" ht="9" customHeight="1" x14ac:dyDescent="0.2">
      <c r="A892" s="186"/>
      <c r="B892" s="186"/>
      <c r="C892" s="45"/>
      <c r="D892" s="45"/>
      <c r="E892" s="54"/>
      <c r="F892" s="54"/>
      <c r="G892" s="54"/>
      <c r="H892" s="54"/>
      <c r="I892" s="54"/>
      <c r="J892" s="54"/>
      <c r="K892" s="54"/>
      <c r="L892" s="54"/>
      <c r="M892" s="39"/>
      <c r="N892" s="54"/>
      <c r="O892" s="54"/>
      <c r="P892" s="54"/>
      <c r="Q892" s="54"/>
      <c r="R892" s="7"/>
      <c r="S892" s="7"/>
      <c r="T892" s="7"/>
      <c r="U892" s="7"/>
      <c r="V892" s="7"/>
      <c r="W892" s="7"/>
      <c r="X892" s="7"/>
      <c r="Y892" s="7"/>
      <c r="Z892" s="7"/>
    </row>
    <row r="893" spans="1:26" ht="9" customHeight="1" x14ac:dyDescent="0.2">
      <c r="A893" s="186"/>
      <c r="B893" s="186"/>
      <c r="C893" s="45"/>
      <c r="D893" s="45"/>
      <c r="E893" s="54"/>
      <c r="F893" s="54"/>
      <c r="G893" s="54"/>
      <c r="H893" s="54"/>
      <c r="I893" s="54"/>
      <c r="J893" s="54"/>
      <c r="K893" s="54"/>
      <c r="L893" s="54"/>
      <c r="M893" s="39"/>
      <c r="N893" s="54"/>
      <c r="O893" s="54"/>
      <c r="P893" s="54"/>
      <c r="Q893" s="54"/>
      <c r="R893" s="7"/>
      <c r="S893" s="7"/>
      <c r="T893" s="7"/>
      <c r="U893" s="7"/>
      <c r="V893" s="7"/>
      <c r="W893" s="7"/>
      <c r="X893" s="7"/>
      <c r="Y893" s="7"/>
      <c r="Z893" s="7"/>
    </row>
    <row r="894" spans="1:26" ht="9" customHeight="1" x14ac:dyDescent="0.2">
      <c r="A894" s="186"/>
      <c r="B894" s="186"/>
      <c r="C894" s="45"/>
      <c r="D894" s="45"/>
      <c r="E894" s="54"/>
      <c r="F894" s="54"/>
      <c r="G894" s="54"/>
      <c r="H894" s="54"/>
      <c r="I894" s="54"/>
      <c r="J894" s="54"/>
      <c r="K894" s="54"/>
      <c r="L894" s="54"/>
      <c r="M894" s="39"/>
      <c r="N894" s="54"/>
      <c r="O894" s="54"/>
      <c r="P894" s="54"/>
      <c r="Q894" s="54"/>
      <c r="R894" s="7"/>
      <c r="S894" s="7"/>
      <c r="T894" s="7"/>
      <c r="U894" s="7"/>
      <c r="V894" s="7"/>
      <c r="W894" s="7"/>
      <c r="X894" s="7"/>
      <c r="Y894" s="7"/>
      <c r="Z894" s="7"/>
    </row>
    <row r="895" spans="1:26" ht="9" customHeight="1" x14ac:dyDescent="0.2">
      <c r="A895" s="186"/>
      <c r="B895" s="186"/>
      <c r="C895" s="45"/>
      <c r="D895" s="45"/>
      <c r="E895" s="54"/>
      <c r="F895" s="54"/>
      <c r="G895" s="54"/>
      <c r="H895" s="54"/>
      <c r="I895" s="54"/>
      <c r="J895" s="54"/>
      <c r="K895" s="54"/>
      <c r="L895" s="54"/>
      <c r="M895" s="39"/>
      <c r="N895" s="54"/>
      <c r="O895" s="54"/>
      <c r="P895" s="54"/>
      <c r="Q895" s="54"/>
      <c r="R895" s="7"/>
      <c r="S895" s="7"/>
      <c r="T895" s="7"/>
      <c r="U895" s="7"/>
      <c r="V895" s="7"/>
      <c r="W895" s="7"/>
      <c r="X895" s="7"/>
      <c r="Y895" s="7"/>
      <c r="Z895" s="7"/>
    </row>
    <row r="896" spans="1:26" ht="9" customHeight="1" x14ac:dyDescent="0.2">
      <c r="A896" s="186"/>
      <c r="B896" s="186"/>
      <c r="C896" s="45"/>
      <c r="D896" s="45"/>
      <c r="E896" s="54"/>
      <c r="F896" s="54"/>
      <c r="G896" s="54"/>
      <c r="H896" s="54"/>
      <c r="I896" s="54"/>
      <c r="J896" s="54"/>
      <c r="K896" s="54"/>
      <c r="L896" s="54"/>
      <c r="M896" s="39"/>
      <c r="N896" s="54"/>
      <c r="O896" s="54"/>
      <c r="P896" s="54"/>
      <c r="Q896" s="54"/>
      <c r="R896" s="7"/>
      <c r="S896" s="7"/>
      <c r="T896" s="7"/>
      <c r="U896" s="7"/>
      <c r="V896" s="7"/>
      <c r="W896" s="7"/>
      <c r="X896" s="7"/>
      <c r="Y896" s="7"/>
      <c r="Z896" s="7"/>
    </row>
    <row r="897" spans="1:26" ht="9" customHeight="1" x14ac:dyDescent="0.2">
      <c r="A897" s="186"/>
      <c r="B897" s="186"/>
      <c r="C897" s="45"/>
      <c r="D897" s="45"/>
      <c r="E897" s="54"/>
      <c r="F897" s="54"/>
      <c r="G897" s="54"/>
      <c r="H897" s="54"/>
      <c r="I897" s="54"/>
      <c r="J897" s="54"/>
      <c r="K897" s="54"/>
      <c r="L897" s="54"/>
      <c r="M897" s="39"/>
      <c r="N897" s="54"/>
      <c r="O897" s="54"/>
      <c r="P897" s="54"/>
      <c r="Q897" s="54"/>
      <c r="R897" s="7"/>
      <c r="S897" s="7"/>
      <c r="T897" s="7"/>
      <c r="U897" s="7"/>
      <c r="V897" s="7"/>
      <c r="W897" s="7"/>
      <c r="X897" s="7"/>
      <c r="Y897" s="7"/>
      <c r="Z897" s="7"/>
    </row>
    <row r="898" spans="1:26" ht="9" customHeight="1" x14ac:dyDescent="0.2">
      <c r="A898" s="186"/>
      <c r="B898" s="186"/>
      <c r="C898" s="45"/>
      <c r="D898" s="45"/>
      <c r="E898" s="54"/>
      <c r="F898" s="54"/>
      <c r="G898" s="54"/>
      <c r="H898" s="54"/>
      <c r="I898" s="54"/>
      <c r="J898" s="54"/>
      <c r="K898" s="54"/>
      <c r="L898" s="54"/>
      <c r="M898" s="39"/>
      <c r="N898" s="54"/>
      <c r="O898" s="54"/>
      <c r="P898" s="54"/>
      <c r="Q898" s="54"/>
      <c r="R898" s="7"/>
      <c r="S898" s="7"/>
      <c r="T898" s="7"/>
      <c r="U898" s="7"/>
      <c r="V898" s="7"/>
      <c r="W898" s="7"/>
      <c r="X898" s="7"/>
      <c r="Y898" s="7"/>
      <c r="Z898" s="7"/>
    </row>
    <row r="899" spans="1:26" ht="9" customHeight="1" x14ac:dyDescent="0.2">
      <c r="A899" s="186"/>
      <c r="B899" s="186"/>
      <c r="C899" s="45"/>
      <c r="D899" s="45"/>
      <c r="E899" s="54"/>
      <c r="F899" s="54"/>
      <c r="G899" s="54"/>
      <c r="H899" s="54"/>
      <c r="I899" s="54"/>
      <c r="J899" s="54"/>
      <c r="K899" s="54"/>
      <c r="L899" s="54"/>
      <c r="M899" s="39"/>
      <c r="N899" s="54"/>
      <c r="O899" s="54"/>
      <c r="P899" s="54"/>
      <c r="Q899" s="54"/>
      <c r="R899" s="7"/>
      <c r="S899" s="7"/>
      <c r="T899" s="7"/>
      <c r="U899" s="7"/>
      <c r="V899" s="7"/>
      <c r="W899" s="7"/>
      <c r="X899" s="7"/>
      <c r="Y899" s="7"/>
      <c r="Z899" s="7"/>
    </row>
    <row r="900" spans="1:26" s="7" customFormat="1" ht="12.75" customHeight="1" x14ac:dyDescent="0.2">
      <c r="A900" s="56">
        <v>42736</v>
      </c>
      <c r="B900" s="56">
        <v>43159</v>
      </c>
      <c r="C900" s="57" t="s">
        <v>36</v>
      </c>
      <c r="D900" s="58">
        <v>0</v>
      </c>
      <c r="E900" s="59">
        <v>10615.17</v>
      </c>
      <c r="F900" s="59">
        <v>0</v>
      </c>
      <c r="G900" s="59"/>
      <c r="H900" s="59">
        <v>6280.06</v>
      </c>
      <c r="I900" s="59">
        <v>125.22</v>
      </c>
      <c r="J900" s="59">
        <v>1418.37</v>
      </c>
      <c r="K900" s="59">
        <v>17020.45</v>
      </c>
      <c r="L900" s="60">
        <v>18438.82</v>
      </c>
      <c r="M900" s="33"/>
      <c r="N900" s="59">
        <v>17020.45</v>
      </c>
      <c r="O900" s="59">
        <v>10740.39</v>
      </c>
      <c r="P900" s="59">
        <v>774</v>
      </c>
      <c r="Q900" s="59">
        <v>20372.09</v>
      </c>
      <c r="R900" s="59">
        <v>18953.72</v>
      </c>
    </row>
    <row r="901" spans="1:26" s="7" customFormat="1" ht="9" customHeight="1" x14ac:dyDescent="0.2">
      <c r="A901" s="61"/>
      <c r="B901" s="61"/>
      <c r="C901" s="62" t="s">
        <v>37</v>
      </c>
      <c r="D901" s="63">
        <v>8</v>
      </c>
      <c r="E901" s="64">
        <v>20553835</v>
      </c>
      <c r="F901" s="65">
        <v>0</v>
      </c>
      <c r="G901" s="65">
        <v>0</v>
      </c>
      <c r="H901" s="64">
        <v>12159892</v>
      </c>
      <c r="I901" s="64">
        <v>242460</v>
      </c>
      <c r="J901" s="66">
        <v>2746347</v>
      </c>
      <c r="K901" s="64">
        <v>32956187</v>
      </c>
      <c r="L901" s="64">
        <v>35702534</v>
      </c>
      <c r="M901" s="39"/>
      <c r="N901" s="65">
        <v>32956187</v>
      </c>
      <c r="O901" s="65">
        <v>20796295</v>
      </c>
      <c r="P901" s="64">
        <v>1498673</v>
      </c>
      <c r="Q901" s="65">
        <v>39445867</v>
      </c>
      <c r="R901" s="65">
        <v>36699519</v>
      </c>
    </row>
    <row r="902" spans="1:26" s="7" customFormat="1" ht="12.75" customHeight="1" x14ac:dyDescent="0.2">
      <c r="A902" s="67">
        <v>42736</v>
      </c>
      <c r="B902" s="67">
        <v>43159</v>
      </c>
      <c r="C902" s="68" t="s">
        <v>36</v>
      </c>
      <c r="D902" s="69">
        <v>9</v>
      </c>
      <c r="E902" s="59">
        <v>12350.63</v>
      </c>
      <c r="F902" s="59">
        <v>0</v>
      </c>
      <c r="G902" s="59">
        <v>0</v>
      </c>
      <c r="H902" s="59">
        <v>6280.06</v>
      </c>
      <c r="I902" s="59">
        <v>125.22</v>
      </c>
      <c r="J902" s="59">
        <v>1562.99</v>
      </c>
      <c r="K902" s="59">
        <v>18755.91</v>
      </c>
      <c r="L902" s="60">
        <v>20318.900000000001</v>
      </c>
      <c r="M902" s="33"/>
      <c r="N902" s="59">
        <v>18755.91</v>
      </c>
      <c r="O902" s="59">
        <v>12475.85</v>
      </c>
      <c r="P902" s="59">
        <v>774</v>
      </c>
      <c r="Q902" s="59">
        <v>22564.55</v>
      </c>
      <c r="R902" s="59">
        <v>21001.56</v>
      </c>
    </row>
    <row r="903" spans="1:26" s="7" customFormat="1" ht="9" customHeight="1" x14ac:dyDescent="0.2">
      <c r="A903" s="67"/>
      <c r="B903" s="67"/>
      <c r="C903" s="62" t="s">
        <v>37</v>
      </c>
      <c r="D903" s="63">
        <v>14</v>
      </c>
      <c r="E903" s="64">
        <v>23914154</v>
      </c>
      <c r="F903" s="65">
        <v>0</v>
      </c>
      <c r="G903" s="65">
        <v>0</v>
      </c>
      <c r="H903" s="64">
        <v>12159892</v>
      </c>
      <c r="I903" s="64">
        <v>242460</v>
      </c>
      <c r="J903" s="66">
        <v>3026371</v>
      </c>
      <c r="K903" s="64">
        <v>36316506</v>
      </c>
      <c r="L903" s="64">
        <v>39342877</v>
      </c>
      <c r="M903" s="39"/>
      <c r="N903" s="65">
        <v>36316506</v>
      </c>
      <c r="O903" s="65">
        <v>24156614</v>
      </c>
      <c r="P903" s="64">
        <v>1498673</v>
      </c>
      <c r="Q903" s="65">
        <v>43691061</v>
      </c>
      <c r="R903" s="65">
        <v>40664691</v>
      </c>
    </row>
    <row r="904" spans="1:26" s="7" customFormat="1" ht="12.75" customHeight="1" x14ac:dyDescent="0.2">
      <c r="A904" s="67"/>
      <c r="B904" s="67"/>
      <c r="C904" s="68" t="s">
        <v>36</v>
      </c>
      <c r="D904" s="69">
        <v>15</v>
      </c>
      <c r="E904" s="59">
        <v>13634.03</v>
      </c>
      <c r="F904" s="59">
        <v>0</v>
      </c>
      <c r="G904" s="59">
        <v>0</v>
      </c>
      <c r="H904" s="59">
        <v>6280.06</v>
      </c>
      <c r="I904" s="59">
        <v>125.22</v>
      </c>
      <c r="J904" s="59">
        <v>1669.94</v>
      </c>
      <c r="K904" s="59">
        <v>20039.310000000001</v>
      </c>
      <c r="L904" s="60">
        <v>21709.25</v>
      </c>
      <c r="M904" s="33"/>
      <c r="N904" s="59">
        <v>20039.310000000001</v>
      </c>
      <c r="O904" s="59">
        <v>13759.25</v>
      </c>
      <c r="P904" s="59">
        <v>774</v>
      </c>
      <c r="Q904" s="59">
        <v>24185.919999999998</v>
      </c>
      <c r="R904" s="59">
        <v>22515.98</v>
      </c>
    </row>
    <row r="905" spans="1:26" s="7" customFormat="1" ht="9" customHeight="1" x14ac:dyDescent="0.2">
      <c r="A905" s="67"/>
      <c r="B905" s="67"/>
      <c r="C905" s="62" t="s">
        <v>37</v>
      </c>
      <c r="D905" s="63">
        <v>20</v>
      </c>
      <c r="E905" s="64">
        <v>26399163</v>
      </c>
      <c r="F905" s="65">
        <v>0</v>
      </c>
      <c r="G905" s="65">
        <v>0</v>
      </c>
      <c r="H905" s="64">
        <v>12159892</v>
      </c>
      <c r="I905" s="64">
        <v>242460</v>
      </c>
      <c r="J905" s="66">
        <v>3233455</v>
      </c>
      <c r="K905" s="64">
        <v>38801515</v>
      </c>
      <c r="L905" s="64">
        <v>42034969</v>
      </c>
      <c r="M905" s="39"/>
      <c r="N905" s="65">
        <v>38801515</v>
      </c>
      <c r="O905" s="65">
        <v>26641623</v>
      </c>
      <c r="P905" s="64">
        <v>1498673</v>
      </c>
      <c r="Q905" s="65">
        <v>46830471</v>
      </c>
      <c r="R905" s="65">
        <v>43597017</v>
      </c>
    </row>
    <row r="906" spans="1:26" s="7" customFormat="1" ht="12.75" customHeight="1" x14ac:dyDescent="0.2">
      <c r="A906" s="67"/>
      <c r="B906" s="67"/>
      <c r="C906" s="68" t="s">
        <v>36</v>
      </c>
      <c r="D906" s="69">
        <v>21</v>
      </c>
      <c r="E906" s="59">
        <v>14926.26</v>
      </c>
      <c r="F906" s="59">
        <v>0</v>
      </c>
      <c r="G906" s="59">
        <v>0</v>
      </c>
      <c r="H906" s="59">
        <v>6280.06</v>
      </c>
      <c r="I906" s="59">
        <v>125.22</v>
      </c>
      <c r="J906" s="59">
        <v>1777.63</v>
      </c>
      <c r="K906" s="59">
        <v>21331.54</v>
      </c>
      <c r="L906" s="60">
        <v>23109.17</v>
      </c>
      <c r="M906" s="33"/>
      <c r="N906" s="59">
        <v>21331.54</v>
      </c>
      <c r="O906" s="59">
        <v>15051.48</v>
      </c>
      <c r="P906" s="59">
        <v>774</v>
      </c>
      <c r="Q906" s="59">
        <v>25818.44</v>
      </c>
      <c r="R906" s="59">
        <v>24040.81</v>
      </c>
    </row>
    <row r="907" spans="1:26" s="7" customFormat="1" ht="9" customHeight="1" x14ac:dyDescent="0.2">
      <c r="A907" s="67"/>
      <c r="B907" s="67"/>
      <c r="C907" s="62" t="s">
        <v>37</v>
      </c>
      <c r="D907" s="63">
        <v>27</v>
      </c>
      <c r="E907" s="64">
        <v>28901269</v>
      </c>
      <c r="F907" s="65">
        <v>0</v>
      </c>
      <c r="G907" s="65">
        <v>0</v>
      </c>
      <c r="H907" s="64">
        <v>12159892</v>
      </c>
      <c r="I907" s="64">
        <v>242460</v>
      </c>
      <c r="J907" s="66">
        <v>3441972</v>
      </c>
      <c r="K907" s="64">
        <v>41303621</v>
      </c>
      <c r="L907" s="64">
        <v>44745593</v>
      </c>
      <c r="M907" s="39"/>
      <c r="N907" s="65">
        <v>41303621</v>
      </c>
      <c r="O907" s="65">
        <v>29143729</v>
      </c>
      <c r="P907" s="64">
        <v>1498673</v>
      </c>
      <c r="Q907" s="65">
        <v>49991471</v>
      </c>
      <c r="R907" s="65">
        <v>46549499</v>
      </c>
    </row>
    <row r="908" spans="1:26" s="7" customFormat="1" ht="12.75" customHeight="1" x14ac:dyDescent="0.2">
      <c r="A908" s="67"/>
      <c r="B908" s="67"/>
      <c r="C908" s="68" t="s">
        <v>36</v>
      </c>
      <c r="D908" s="69">
        <v>28</v>
      </c>
      <c r="E908" s="59">
        <v>15846.27</v>
      </c>
      <c r="F908" s="59">
        <v>0</v>
      </c>
      <c r="G908" s="59">
        <v>0</v>
      </c>
      <c r="H908" s="59">
        <v>6280.06</v>
      </c>
      <c r="I908" s="59">
        <v>125.22</v>
      </c>
      <c r="J908" s="59">
        <v>1854.3</v>
      </c>
      <c r="K908" s="59">
        <v>22251.55</v>
      </c>
      <c r="L908" s="60">
        <v>24105.85</v>
      </c>
      <c r="M908" s="33"/>
      <c r="N908" s="59">
        <v>22251.55</v>
      </c>
      <c r="O908" s="59">
        <v>15971.49</v>
      </c>
      <c r="P908" s="59">
        <v>774</v>
      </c>
      <c r="Q908" s="59">
        <v>26980.720000000001</v>
      </c>
      <c r="R908" s="59">
        <v>25126.42</v>
      </c>
    </row>
    <row r="909" spans="1:26" s="7" customFormat="1" ht="9" customHeight="1" x14ac:dyDescent="0.2">
      <c r="A909" s="67"/>
      <c r="B909" s="67"/>
      <c r="C909" s="62" t="s">
        <v>37</v>
      </c>
      <c r="D909" s="63">
        <v>34</v>
      </c>
      <c r="E909" s="64">
        <v>30682657</v>
      </c>
      <c r="F909" s="65">
        <v>0</v>
      </c>
      <c r="G909" s="65">
        <v>0</v>
      </c>
      <c r="H909" s="64">
        <v>12159892</v>
      </c>
      <c r="I909" s="64">
        <v>242460</v>
      </c>
      <c r="J909" s="66">
        <v>3590425</v>
      </c>
      <c r="K909" s="64">
        <v>43085009</v>
      </c>
      <c r="L909" s="64">
        <v>46675434</v>
      </c>
      <c r="M909" s="39"/>
      <c r="N909" s="65">
        <v>43085009</v>
      </c>
      <c r="O909" s="65">
        <v>30925117</v>
      </c>
      <c r="P909" s="64">
        <v>1498673</v>
      </c>
      <c r="Q909" s="65">
        <v>52241959</v>
      </c>
      <c r="R909" s="65">
        <v>48651533</v>
      </c>
    </row>
    <row r="910" spans="1:26" s="7" customFormat="1" ht="12.75" customHeight="1" x14ac:dyDescent="0.2">
      <c r="A910" s="67"/>
      <c r="B910" s="67"/>
      <c r="C910" s="68" t="s">
        <v>36</v>
      </c>
      <c r="D910" s="69">
        <v>35</v>
      </c>
      <c r="E910" s="59">
        <v>16551.38</v>
      </c>
      <c r="F910" s="59">
        <v>0</v>
      </c>
      <c r="G910" s="59">
        <v>0</v>
      </c>
      <c r="H910" s="59">
        <v>6280.06</v>
      </c>
      <c r="I910" s="59">
        <v>125.22</v>
      </c>
      <c r="J910" s="59">
        <v>1913.06</v>
      </c>
      <c r="K910" s="59">
        <v>22956.66</v>
      </c>
      <c r="L910" s="60">
        <v>24869.72</v>
      </c>
      <c r="M910" s="33"/>
      <c r="N910" s="59">
        <v>22956.66</v>
      </c>
      <c r="O910" s="59">
        <v>16676.599999999999</v>
      </c>
      <c r="P910" s="59">
        <v>774</v>
      </c>
      <c r="Q910" s="59">
        <v>27871.51</v>
      </c>
      <c r="R910" s="59">
        <v>25958.45</v>
      </c>
    </row>
    <row r="911" spans="1:26" s="7" customFormat="1" ht="9" customHeight="1" x14ac:dyDescent="0.2">
      <c r="A911" s="70"/>
      <c r="B911" s="70"/>
      <c r="C911" s="71" t="s">
        <v>37</v>
      </c>
      <c r="D911" s="72"/>
      <c r="E911" s="64">
        <v>32047941</v>
      </c>
      <c r="F911" s="64">
        <v>0</v>
      </c>
      <c r="G911" s="64">
        <v>0</v>
      </c>
      <c r="H911" s="64">
        <v>12159892</v>
      </c>
      <c r="I911" s="64">
        <v>242460</v>
      </c>
      <c r="J911" s="64">
        <v>3704201</v>
      </c>
      <c r="K911" s="64">
        <v>44450292</v>
      </c>
      <c r="L911" s="64">
        <v>48154493</v>
      </c>
      <c r="M911" s="39"/>
      <c r="N911" s="64">
        <v>44450292</v>
      </c>
      <c r="O911" s="64">
        <v>32290400</v>
      </c>
      <c r="P911" s="64">
        <v>1498673</v>
      </c>
      <c r="Q911" s="64">
        <v>53966769</v>
      </c>
      <c r="R911" s="65">
        <v>50262568</v>
      </c>
    </row>
    <row r="912" spans="1:26" s="7" customFormat="1" ht="9" customHeight="1" x14ac:dyDescent="0.2">
      <c r="A912" s="67"/>
      <c r="B912" s="67"/>
      <c r="C912" s="184"/>
      <c r="D912" s="45"/>
      <c r="E912" s="185"/>
      <c r="F912" s="185"/>
      <c r="G912" s="185"/>
      <c r="H912" s="185"/>
      <c r="I912" s="185"/>
      <c r="J912" s="185"/>
      <c r="K912" s="185"/>
      <c r="L912" s="185"/>
      <c r="M912" s="39"/>
      <c r="N912" s="185"/>
      <c r="O912" s="185"/>
      <c r="P912" s="185"/>
      <c r="Q912" s="185"/>
      <c r="R912" s="185"/>
    </row>
    <row r="913" spans="1:18" s="7" customFormat="1" ht="9" customHeight="1" x14ac:dyDescent="0.2">
      <c r="A913" s="67"/>
      <c r="B913" s="67"/>
      <c r="C913" s="184"/>
      <c r="D913" s="45"/>
      <c r="E913" s="185"/>
      <c r="F913" s="185"/>
      <c r="G913" s="185"/>
      <c r="H913" s="185"/>
      <c r="I913" s="185"/>
      <c r="J913" s="185"/>
      <c r="K913" s="185"/>
      <c r="L913" s="185"/>
      <c r="M913" s="39"/>
      <c r="N913" s="185"/>
      <c r="O913" s="185"/>
      <c r="P913" s="185"/>
      <c r="Q913" s="185"/>
      <c r="R913" s="185"/>
    </row>
    <row r="914" spans="1:18" s="7" customFormat="1" ht="9" customHeight="1" x14ac:dyDescent="0.2">
      <c r="A914" s="67"/>
      <c r="B914" s="67"/>
      <c r="C914" s="184"/>
      <c r="D914" s="45"/>
      <c r="E914" s="185"/>
      <c r="F914" s="185"/>
      <c r="G914" s="185"/>
      <c r="H914" s="185"/>
      <c r="I914" s="185"/>
      <c r="J914" s="185"/>
      <c r="K914" s="185"/>
      <c r="L914" s="185"/>
      <c r="M914" s="39"/>
      <c r="N914" s="185"/>
      <c r="O914" s="185"/>
      <c r="P914" s="185"/>
      <c r="Q914" s="185"/>
      <c r="R914" s="185"/>
    </row>
    <row r="915" spans="1:18" s="7" customFormat="1" ht="9" customHeight="1" x14ac:dyDescent="0.2">
      <c r="A915" s="67"/>
      <c r="B915" s="67"/>
      <c r="C915" s="184"/>
      <c r="D915" s="45"/>
      <c r="E915" s="185"/>
      <c r="F915" s="185"/>
      <c r="G915" s="185"/>
      <c r="H915" s="185"/>
      <c r="I915" s="185"/>
      <c r="J915" s="185"/>
      <c r="K915" s="185"/>
      <c r="L915" s="185"/>
      <c r="M915" s="39"/>
      <c r="N915" s="185"/>
      <c r="O915" s="185"/>
      <c r="P915" s="185"/>
      <c r="Q915" s="185"/>
      <c r="R915" s="185"/>
    </row>
    <row r="916" spans="1:18" s="7" customFormat="1" ht="9" customHeight="1" x14ac:dyDescent="0.2">
      <c r="A916" s="67"/>
      <c r="B916" s="67"/>
      <c r="C916" s="184"/>
      <c r="D916" s="45"/>
      <c r="E916" s="185"/>
      <c r="F916" s="185"/>
      <c r="G916" s="185"/>
      <c r="H916" s="185"/>
      <c r="I916" s="185"/>
      <c r="J916" s="185"/>
      <c r="K916" s="185"/>
      <c r="L916" s="185"/>
      <c r="M916" s="39"/>
      <c r="N916" s="185"/>
      <c r="O916" s="185"/>
      <c r="P916" s="185"/>
      <c r="Q916" s="185"/>
      <c r="R916" s="185"/>
    </row>
    <row r="917" spans="1:18" s="7" customFormat="1" ht="9" customHeight="1" x14ac:dyDescent="0.2">
      <c r="A917" s="67"/>
      <c r="B917" s="67"/>
      <c r="C917" s="184"/>
      <c r="D917" s="45"/>
      <c r="E917" s="185"/>
      <c r="F917" s="185"/>
      <c r="G917" s="185"/>
      <c r="H917" s="185"/>
      <c r="I917" s="185"/>
      <c r="J917" s="185"/>
      <c r="K917" s="185"/>
      <c r="L917" s="185"/>
      <c r="M917" s="39"/>
      <c r="N917" s="185"/>
      <c r="O917" s="185"/>
      <c r="P917" s="185"/>
      <c r="Q917" s="185"/>
      <c r="R917" s="185"/>
    </row>
    <row r="918" spans="1:18" s="7" customFormat="1" ht="9" customHeight="1" x14ac:dyDescent="0.2">
      <c r="A918" s="67"/>
      <c r="B918" s="67"/>
      <c r="C918" s="184"/>
      <c r="D918" s="45"/>
      <c r="E918" s="185"/>
      <c r="F918" s="185"/>
      <c r="G918" s="185"/>
      <c r="H918" s="185"/>
      <c r="I918" s="185"/>
      <c r="J918" s="185"/>
      <c r="K918" s="185"/>
      <c r="L918" s="185"/>
      <c r="M918" s="39"/>
      <c r="N918" s="185"/>
      <c r="O918" s="185"/>
      <c r="P918" s="185"/>
      <c r="Q918" s="185"/>
      <c r="R918" s="185"/>
    </row>
    <row r="919" spans="1:18" s="7" customFormat="1" ht="9" customHeight="1" x14ac:dyDescent="0.2">
      <c r="A919" s="67"/>
      <c r="B919" s="67"/>
      <c r="C919" s="184"/>
      <c r="D919" s="45"/>
      <c r="E919" s="185"/>
      <c r="F919" s="185"/>
      <c r="G919" s="185"/>
      <c r="H919" s="185"/>
      <c r="I919" s="185"/>
      <c r="J919" s="185"/>
      <c r="K919" s="185"/>
      <c r="L919" s="185"/>
      <c r="M919" s="39"/>
      <c r="N919" s="185"/>
      <c r="O919" s="185"/>
      <c r="P919" s="185"/>
      <c r="Q919" s="185"/>
      <c r="R919" s="185"/>
    </row>
    <row r="920" spans="1:18" s="7" customFormat="1" ht="12.75" customHeight="1" x14ac:dyDescent="0.2">
      <c r="A920" s="56">
        <v>43160</v>
      </c>
      <c r="B920" s="56">
        <v>43190</v>
      </c>
      <c r="C920" s="57" t="s">
        <v>36</v>
      </c>
      <c r="D920" s="58">
        <v>0</v>
      </c>
      <c r="E920" s="59">
        <v>10991.97</v>
      </c>
      <c r="F920" s="59">
        <v>0</v>
      </c>
      <c r="G920" s="59"/>
      <c r="H920" s="59">
        <v>6280.06</v>
      </c>
      <c r="I920" s="59">
        <v>125.22</v>
      </c>
      <c r="J920" s="59">
        <v>1449.77</v>
      </c>
      <c r="K920" s="59">
        <v>17397.25</v>
      </c>
      <c r="L920" s="60">
        <v>18847.02</v>
      </c>
      <c r="M920" s="33"/>
      <c r="N920" s="59">
        <v>17397.25</v>
      </c>
      <c r="O920" s="59">
        <v>11117.19</v>
      </c>
      <c r="P920" s="59">
        <v>884.4</v>
      </c>
      <c r="Q920" s="59">
        <v>20848.11</v>
      </c>
      <c r="R920" s="59">
        <v>19398.34</v>
      </c>
    </row>
    <row r="921" spans="1:18" s="7" customFormat="1" ht="9" customHeight="1" x14ac:dyDescent="0.2">
      <c r="A921" s="61"/>
      <c r="B921" s="61"/>
      <c r="C921" s="62" t="s">
        <v>37</v>
      </c>
      <c r="D921" s="63">
        <v>8</v>
      </c>
      <c r="E921" s="64">
        <v>21283422</v>
      </c>
      <c r="F921" s="65">
        <v>0</v>
      </c>
      <c r="G921" s="65">
        <v>0</v>
      </c>
      <c r="H921" s="64">
        <v>12159892</v>
      </c>
      <c r="I921" s="64">
        <v>242460</v>
      </c>
      <c r="J921" s="66">
        <v>2807146</v>
      </c>
      <c r="K921" s="64">
        <v>33685773</v>
      </c>
      <c r="L921" s="64">
        <v>36492919</v>
      </c>
      <c r="M921" s="39"/>
      <c r="N921" s="65">
        <v>33685773</v>
      </c>
      <c r="O921" s="65">
        <v>21525881</v>
      </c>
      <c r="P921" s="64">
        <v>1712437</v>
      </c>
      <c r="Q921" s="65">
        <v>40367570</v>
      </c>
      <c r="R921" s="65">
        <v>37560424</v>
      </c>
    </row>
    <row r="922" spans="1:18" s="7" customFormat="1" ht="12.75" customHeight="1" x14ac:dyDescent="0.2">
      <c r="A922" s="73">
        <v>43160</v>
      </c>
      <c r="B922" s="73">
        <v>43190</v>
      </c>
      <c r="C922" s="68" t="s">
        <v>36</v>
      </c>
      <c r="D922" s="69">
        <v>9</v>
      </c>
      <c r="E922" s="59">
        <v>12767.03</v>
      </c>
      <c r="F922" s="59">
        <v>0</v>
      </c>
      <c r="G922" s="59">
        <v>0</v>
      </c>
      <c r="H922" s="59">
        <v>6280.06</v>
      </c>
      <c r="I922" s="59">
        <v>125.22</v>
      </c>
      <c r="J922" s="59">
        <v>1597.69</v>
      </c>
      <c r="K922" s="59">
        <v>19172.310000000001</v>
      </c>
      <c r="L922" s="60">
        <v>20770</v>
      </c>
      <c r="M922" s="33"/>
      <c r="N922" s="59">
        <v>19172.310000000001</v>
      </c>
      <c r="O922" s="59">
        <v>12892.25</v>
      </c>
      <c r="P922" s="59">
        <v>884.4</v>
      </c>
      <c r="Q922" s="59">
        <v>23090.61</v>
      </c>
      <c r="R922" s="59">
        <v>21492.92</v>
      </c>
    </row>
    <row r="923" spans="1:18" s="7" customFormat="1" ht="9" customHeight="1" x14ac:dyDescent="0.2">
      <c r="A923" s="73"/>
      <c r="B923" s="73"/>
      <c r="C923" s="62" t="s">
        <v>37</v>
      </c>
      <c r="D923" s="63">
        <v>14</v>
      </c>
      <c r="E923" s="64">
        <v>24720417</v>
      </c>
      <c r="F923" s="65">
        <v>0</v>
      </c>
      <c r="G923" s="65">
        <v>0</v>
      </c>
      <c r="H923" s="64">
        <v>12159892</v>
      </c>
      <c r="I923" s="64">
        <v>242460</v>
      </c>
      <c r="J923" s="66">
        <v>3093559</v>
      </c>
      <c r="K923" s="64">
        <v>37122769</v>
      </c>
      <c r="L923" s="64">
        <v>40216328</v>
      </c>
      <c r="M923" s="39"/>
      <c r="N923" s="65">
        <v>37122769</v>
      </c>
      <c r="O923" s="65">
        <v>24962877</v>
      </c>
      <c r="P923" s="64">
        <v>1712437</v>
      </c>
      <c r="Q923" s="65">
        <v>44709655</v>
      </c>
      <c r="R923" s="65">
        <v>41616096</v>
      </c>
    </row>
    <row r="924" spans="1:18" s="7" customFormat="1" ht="12.75" customHeight="1" x14ac:dyDescent="0.2">
      <c r="A924" s="73"/>
      <c r="B924" s="73"/>
      <c r="C924" s="68" t="s">
        <v>36</v>
      </c>
      <c r="D924" s="69">
        <v>15</v>
      </c>
      <c r="E924" s="59">
        <v>14084.03</v>
      </c>
      <c r="F924" s="59">
        <v>0</v>
      </c>
      <c r="G924" s="59">
        <v>0</v>
      </c>
      <c r="H924" s="59">
        <v>6280.06</v>
      </c>
      <c r="I924" s="59">
        <v>125.22</v>
      </c>
      <c r="J924" s="59">
        <v>1707.44</v>
      </c>
      <c r="K924" s="59">
        <v>20489.310000000001</v>
      </c>
      <c r="L924" s="60">
        <v>22196.75</v>
      </c>
      <c r="M924" s="33"/>
      <c r="N924" s="59">
        <v>20489.310000000001</v>
      </c>
      <c r="O924" s="59">
        <v>14209.25</v>
      </c>
      <c r="P924" s="59">
        <v>884.4</v>
      </c>
      <c r="Q924" s="59">
        <v>24754.42</v>
      </c>
      <c r="R924" s="59">
        <v>23046.98</v>
      </c>
    </row>
    <row r="925" spans="1:18" s="7" customFormat="1" ht="9" customHeight="1" x14ac:dyDescent="0.2">
      <c r="A925" s="73"/>
      <c r="B925" s="73"/>
      <c r="C925" s="62" t="s">
        <v>37</v>
      </c>
      <c r="D925" s="63">
        <v>20</v>
      </c>
      <c r="E925" s="64">
        <v>27270485</v>
      </c>
      <c r="F925" s="65">
        <v>0</v>
      </c>
      <c r="G925" s="65">
        <v>0</v>
      </c>
      <c r="H925" s="64">
        <v>12159892</v>
      </c>
      <c r="I925" s="64">
        <v>242460</v>
      </c>
      <c r="J925" s="66">
        <v>3306065</v>
      </c>
      <c r="K925" s="64">
        <v>39672836</v>
      </c>
      <c r="L925" s="64">
        <v>42978901</v>
      </c>
      <c r="M925" s="39"/>
      <c r="N925" s="65">
        <v>39672836</v>
      </c>
      <c r="O925" s="65">
        <v>27512944</v>
      </c>
      <c r="P925" s="64">
        <v>1712437</v>
      </c>
      <c r="Q925" s="65">
        <v>47931241</v>
      </c>
      <c r="R925" s="65">
        <v>44625176</v>
      </c>
    </row>
    <row r="926" spans="1:18" s="7" customFormat="1" ht="12.75" customHeight="1" x14ac:dyDescent="0.2">
      <c r="A926" s="73"/>
      <c r="B926" s="73"/>
      <c r="C926" s="68" t="s">
        <v>36</v>
      </c>
      <c r="D926" s="69">
        <v>21</v>
      </c>
      <c r="E926" s="59">
        <v>15396.66</v>
      </c>
      <c r="F926" s="59">
        <v>0</v>
      </c>
      <c r="G926" s="59">
        <v>0</v>
      </c>
      <c r="H926" s="59">
        <v>6280.06</v>
      </c>
      <c r="I926" s="59">
        <v>125.22</v>
      </c>
      <c r="J926" s="59">
        <v>1816.83</v>
      </c>
      <c r="K926" s="59">
        <v>21801.94</v>
      </c>
      <c r="L926" s="60">
        <v>23618.77</v>
      </c>
      <c r="M926" s="33"/>
      <c r="N926" s="59">
        <v>21801.94</v>
      </c>
      <c r="O926" s="59">
        <v>15521.88</v>
      </c>
      <c r="P926" s="59">
        <v>884.4</v>
      </c>
      <c r="Q926" s="59">
        <v>26412.71</v>
      </c>
      <c r="R926" s="59">
        <v>24595.88</v>
      </c>
    </row>
    <row r="927" spans="1:18" s="7" customFormat="1" ht="9" customHeight="1" x14ac:dyDescent="0.2">
      <c r="A927" s="73"/>
      <c r="B927" s="73"/>
      <c r="C927" s="62" t="s">
        <v>37</v>
      </c>
      <c r="D927" s="63">
        <v>27</v>
      </c>
      <c r="E927" s="64">
        <v>29812091</v>
      </c>
      <c r="F927" s="65">
        <v>0</v>
      </c>
      <c r="G927" s="65">
        <v>0</v>
      </c>
      <c r="H927" s="64">
        <v>12159892</v>
      </c>
      <c r="I927" s="64">
        <v>242460</v>
      </c>
      <c r="J927" s="66">
        <v>3517873</v>
      </c>
      <c r="K927" s="64">
        <v>42214442</v>
      </c>
      <c r="L927" s="64">
        <v>45732316</v>
      </c>
      <c r="M927" s="39"/>
      <c r="N927" s="65">
        <v>42214442</v>
      </c>
      <c r="O927" s="65">
        <v>30054551</v>
      </c>
      <c r="P927" s="64">
        <v>1712437</v>
      </c>
      <c r="Q927" s="65">
        <v>51142138</v>
      </c>
      <c r="R927" s="65">
        <v>47624265</v>
      </c>
    </row>
    <row r="928" spans="1:18" s="7" customFormat="1" ht="12.75" customHeight="1" x14ac:dyDescent="0.2">
      <c r="A928" s="73"/>
      <c r="B928" s="73"/>
      <c r="C928" s="68" t="s">
        <v>36</v>
      </c>
      <c r="D928" s="69">
        <v>28</v>
      </c>
      <c r="E928" s="59">
        <v>16341.87</v>
      </c>
      <c r="F928" s="59">
        <v>0</v>
      </c>
      <c r="G928" s="59">
        <v>0</v>
      </c>
      <c r="H928" s="59">
        <v>6280.06</v>
      </c>
      <c r="I928" s="59">
        <v>125.22</v>
      </c>
      <c r="J928" s="59">
        <v>1895.6</v>
      </c>
      <c r="K928" s="59">
        <v>22747.15</v>
      </c>
      <c r="L928" s="60">
        <v>24642.75</v>
      </c>
      <c r="M928" s="33"/>
      <c r="N928" s="59">
        <v>22747.15</v>
      </c>
      <c r="O928" s="59">
        <v>16467.09</v>
      </c>
      <c r="P928" s="59">
        <v>884.4</v>
      </c>
      <c r="Q928" s="59">
        <v>27606.83</v>
      </c>
      <c r="R928" s="59">
        <v>25711.23</v>
      </c>
    </row>
    <row r="929" spans="1:18" s="7" customFormat="1" ht="9" customHeight="1" x14ac:dyDescent="0.2">
      <c r="A929" s="73"/>
      <c r="B929" s="73"/>
      <c r="C929" s="62" t="s">
        <v>37</v>
      </c>
      <c r="D929" s="63">
        <v>34</v>
      </c>
      <c r="E929" s="64">
        <v>31642273</v>
      </c>
      <c r="F929" s="65">
        <v>0</v>
      </c>
      <c r="G929" s="65">
        <v>0</v>
      </c>
      <c r="H929" s="64">
        <v>12159892</v>
      </c>
      <c r="I929" s="64">
        <v>242460</v>
      </c>
      <c r="J929" s="66">
        <v>3670393</v>
      </c>
      <c r="K929" s="64">
        <v>44044624</v>
      </c>
      <c r="L929" s="64">
        <v>47715018</v>
      </c>
      <c r="M929" s="39"/>
      <c r="N929" s="65">
        <v>44044624</v>
      </c>
      <c r="O929" s="65">
        <v>31884732</v>
      </c>
      <c r="P929" s="64">
        <v>1712437</v>
      </c>
      <c r="Q929" s="65">
        <v>53454277</v>
      </c>
      <c r="R929" s="65">
        <v>49783883</v>
      </c>
    </row>
    <row r="930" spans="1:18" s="7" customFormat="1" ht="12.75" customHeight="1" x14ac:dyDescent="0.2">
      <c r="A930" s="73"/>
      <c r="B930" s="73"/>
      <c r="C930" s="68" t="s">
        <v>36</v>
      </c>
      <c r="D930" s="69">
        <v>35</v>
      </c>
      <c r="E930" s="59">
        <v>17062.580000000002</v>
      </c>
      <c r="F930" s="59">
        <v>0</v>
      </c>
      <c r="G930" s="59">
        <v>0</v>
      </c>
      <c r="H930" s="59">
        <v>6280.06</v>
      </c>
      <c r="I930" s="59">
        <v>125.22</v>
      </c>
      <c r="J930" s="59">
        <v>1955.66</v>
      </c>
      <c r="K930" s="59">
        <v>23467.86</v>
      </c>
      <c r="L930" s="60">
        <v>25423.52</v>
      </c>
      <c r="M930" s="33"/>
      <c r="N930" s="59">
        <v>23467.86</v>
      </c>
      <c r="O930" s="59">
        <v>17187.8</v>
      </c>
      <c r="P930" s="59">
        <v>884.4</v>
      </c>
      <c r="Q930" s="59">
        <v>28517.32</v>
      </c>
      <c r="R930" s="59">
        <v>26561.66</v>
      </c>
    </row>
    <row r="931" spans="1:18" s="7" customFormat="1" ht="9" customHeight="1" x14ac:dyDescent="0.2">
      <c r="A931" s="74"/>
      <c r="B931" s="74"/>
      <c r="C931" s="71" t="s">
        <v>37</v>
      </c>
      <c r="D931" s="72"/>
      <c r="E931" s="64">
        <v>33037762</v>
      </c>
      <c r="F931" s="64">
        <v>0</v>
      </c>
      <c r="G931" s="64">
        <v>0</v>
      </c>
      <c r="H931" s="64">
        <v>12159892</v>
      </c>
      <c r="I931" s="64">
        <v>242460</v>
      </c>
      <c r="J931" s="64">
        <v>3786686</v>
      </c>
      <c r="K931" s="64">
        <v>45440113</v>
      </c>
      <c r="L931" s="64">
        <v>49226799</v>
      </c>
      <c r="M931" s="39"/>
      <c r="N931" s="64">
        <v>45440113</v>
      </c>
      <c r="O931" s="64">
        <v>33280222</v>
      </c>
      <c r="P931" s="64">
        <v>1712437</v>
      </c>
      <c r="Q931" s="64">
        <v>55217231</v>
      </c>
      <c r="R931" s="65">
        <v>51430545</v>
      </c>
    </row>
    <row r="932" spans="1:18" s="7" customFormat="1" ht="9" customHeight="1" x14ac:dyDescent="0.2">
      <c r="A932" s="73"/>
      <c r="B932" s="73"/>
      <c r="C932" s="184"/>
      <c r="D932" s="45"/>
      <c r="E932" s="185"/>
      <c r="F932" s="185"/>
      <c r="G932" s="185"/>
      <c r="H932" s="185"/>
      <c r="I932" s="185"/>
      <c r="J932" s="185"/>
      <c r="K932" s="185"/>
      <c r="L932" s="185"/>
      <c r="M932" s="39"/>
      <c r="N932" s="185"/>
      <c r="O932" s="185"/>
      <c r="P932" s="185"/>
      <c r="Q932" s="185"/>
      <c r="R932" s="185"/>
    </row>
    <row r="933" spans="1:18" s="7" customFormat="1" ht="9" customHeight="1" x14ac:dyDescent="0.2">
      <c r="A933" s="73"/>
      <c r="B933" s="73"/>
      <c r="C933" s="184"/>
      <c r="D933" s="45"/>
      <c r="E933" s="185"/>
      <c r="F933" s="185"/>
      <c r="G933" s="185"/>
      <c r="H933" s="185"/>
      <c r="I933" s="185"/>
      <c r="J933" s="185"/>
      <c r="K933" s="185"/>
      <c r="L933" s="185"/>
      <c r="M933" s="39"/>
      <c r="N933" s="185"/>
      <c r="O933" s="185"/>
      <c r="P933" s="185"/>
      <c r="Q933" s="185"/>
      <c r="R933" s="185"/>
    </row>
    <row r="934" spans="1:18" s="7" customFormat="1" ht="9" customHeight="1" x14ac:dyDescent="0.2">
      <c r="A934" s="73"/>
      <c r="B934" s="73"/>
      <c r="C934" s="184"/>
      <c r="D934" s="45"/>
      <c r="E934" s="185"/>
      <c r="F934" s="185"/>
      <c r="G934" s="185"/>
      <c r="H934" s="185"/>
      <c r="I934" s="185"/>
      <c r="J934" s="185"/>
      <c r="K934" s="185"/>
      <c r="L934" s="185"/>
      <c r="M934" s="39"/>
      <c r="N934" s="185"/>
      <c r="O934" s="185"/>
      <c r="P934" s="185"/>
      <c r="Q934" s="185"/>
      <c r="R934" s="185"/>
    </row>
    <row r="935" spans="1:18" s="7" customFormat="1" ht="9" customHeight="1" x14ac:dyDescent="0.2">
      <c r="A935" s="73"/>
      <c r="B935" s="73"/>
      <c r="C935" s="184"/>
      <c r="D935" s="45"/>
      <c r="E935" s="185"/>
      <c r="F935" s="185"/>
      <c r="G935" s="185"/>
      <c r="H935" s="185"/>
      <c r="I935" s="185"/>
      <c r="J935" s="185"/>
      <c r="K935" s="185"/>
      <c r="L935" s="185"/>
      <c r="M935" s="39"/>
      <c r="N935" s="185"/>
      <c r="O935" s="185"/>
      <c r="P935" s="185"/>
      <c r="Q935" s="185"/>
      <c r="R935" s="185"/>
    </row>
    <row r="936" spans="1:18" s="7" customFormat="1" ht="9" customHeight="1" x14ac:dyDescent="0.2">
      <c r="A936" s="73"/>
      <c r="B936" s="73"/>
      <c r="C936" s="184"/>
      <c r="D936" s="45"/>
      <c r="E936" s="185"/>
      <c r="F936" s="185"/>
      <c r="G936" s="185"/>
      <c r="H936" s="185"/>
      <c r="I936" s="185"/>
      <c r="J936" s="185"/>
      <c r="K936" s="185"/>
      <c r="L936" s="185"/>
      <c r="M936" s="39"/>
      <c r="N936" s="185"/>
      <c r="O936" s="185"/>
      <c r="P936" s="185"/>
      <c r="Q936" s="185"/>
      <c r="R936" s="185"/>
    </row>
    <row r="937" spans="1:18" s="7" customFormat="1" ht="9" customHeight="1" x14ac:dyDescent="0.2">
      <c r="A937" s="73"/>
      <c r="B937" s="73"/>
      <c r="C937" s="184"/>
      <c r="D937" s="45"/>
      <c r="E937" s="185"/>
      <c r="F937" s="185"/>
      <c r="G937" s="185"/>
      <c r="H937" s="185"/>
      <c r="I937" s="185"/>
      <c r="J937" s="185"/>
      <c r="K937" s="185"/>
      <c r="L937" s="185"/>
      <c r="M937" s="39"/>
      <c r="N937" s="185"/>
      <c r="O937" s="185"/>
      <c r="P937" s="185"/>
      <c r="Q937" s="185"/>
      <c r="R937" s="185"/>
    </row>
    <row r="938" spans="1:18" s="7" customFormat="1" ht="9" customHeight="1" x14ac:dyDescent="0.2">
      <c r="A938" s="73"/>
      <c r="B938" s="73"/>
      <c r="C938" s="184"/>
      <c r="D938" s="45"/>
      <c r="E938" s="185"/>
      <c r="F938" s="185"/>
      <c r="G938" s="185"/>
      <c r="H938" s="185"/>
      <c r="I938" s="185"/>
      <c r="J938" s="185"/>
      <c r="K938" s="185"/>
      <c r="L938" s="185"/>
      <c r="M938" s="39"/>
      <c r="N938" s="185"/>
      <c r="O938" s="185"/>
      <c r="P938" s="185"/>
      <c r="Q938" s="185"/>
      <c r="R938" s="185"/>
    </row>
    <row r="939" spans="1:18" s="7" customFormat="1" ht="9" customHeight="1" x14ac:dyDescent="0.2">
      <c r="A939" s="73"/>
      <c r="B939" s="73"/>
      <c r="C939" s="184"/>
      <c r="D939" s="45"/>
      <c r="E939" s="185"/>
      <c r="F939" s="185"/>
      <c r="G939" s="185"/>
      <c r="H939" s="185"/>
      <c r="I939" s="185"/>
      <c r="J939" s="185"/>
      <c r="K939" s="185"/>
      <c r="L939" s="185"/>
      <c r="M939" s="39"/>
      <c r="N939" s="185"/>
      <c r="O939" s="185"/>
      <c r="P939" s="185"/>
      <c r="Q939" s="185"/>
      <c r="R939" s="185"/>
    </row>
    <row r="940" spans="1:18" s="7" customFormat="1" ht="12.75" customHeight="1" x14ac:dyDescent="0.2">
      <c r="A940" s="56">
        <v>43191</v>
      </c>
      <c r="B940" s="56">
        <v>43465</v>
      </c>
      <c r="C940" s="57" t="s">
        <v>36</v>
      </c>
      <c r="D940" s="58">
        <v>0</v>
      </c>
      <c r="E940" s="59">
        <v>11117.19</v>
      </c>
      <c r="F940" s="59">
        <v>0</v>
      </c>
      <c r="G940" s="59"/>
      <c r="H940" s="59">
        <v>6280.06</v>
      </c>
      <c r="I940" s="59"/>
      <c r="J940" s="59">
        <v>1449.77</v>
      </c>
      <c r="K940" s="59">
        <v>17397.25</v>
      </c>
      <c r="L940" s="60">
        <v>18847.02</v>
      </c>
      <c r="M940" s="33"/>
      <c r="N940" s="59">
        <v>17397.25</v>
      </c>
      <c r="O940" s="59">
        <v>11117.19</v>
      </c>
      <c r="P940" s="59">
        <v>884.4</v>
      </c>
      <c r="Q940" s="59">
        <v>20848.11</v>
      </c>
      <c r="R940" s="59">
        <v>19398.34</v>
      </c>
    </row>
    <row r="941" spans="1:18" s="7" customFormat="1" ht="9" customHeight="1" x14ac:dyDescent="0.2">
      <c r="A941" s="61"/>
      <c r="B941" s="61"/>
      <c r="C941" s="62" t="s">
        <v>37</v>
      </c>
      <c r="D941" s="63">
        <v>8</v>
      </c>
      <c r="E941" s="64">
        <v>21525881</v>
      </c>
      <c r="F941" s="65">
        <v>0</v>
      </c>
      <c r="G941" s="65">
        <v>0</v>
      </c>
      <c r="H941" s="64">
        <v>12159892</v>
      </c>
      <c r="I941" s="64"/>
      <c r="J941" s="66">
        <v>2807146</v>
      </c>
      <c r="K941" s="64">
        <v>33685773</v>
      </c>
      <c r="L941" s="64">
        <v>36492919</v>
      </c>
      <c r="M941" s="39"/>
      <c r="N941" s="65">
        <v>33685773</v>
      </c>
      <c r="O941" s="65">
        <v>21525881</v>
      </c>
      <c r="P941" s="64">
        <v>1712437</v>
      </c>
      <c r="Q941" s="65">
        <v>40367570</v>
      </c>
      <c r="R941" s="65">
        <v>37560424</v>
      </c>
    </row>
    <row r="942" spans="1:18" s="7" customFormat="1" ht="12.75" customHeight="1" x14ac:dyDescent="0.2">
      <c r="A942" s="73">
        <v>43191</v>
      </c>
      <c r="B942" s="73">
        <f>B940</f>
        <v>43465</v>
      </c>
      <c r="C942" s="68" t="s">
        <v>36</v>
      </c>
      <c r="D942" s="69">
        <v>9</v>
      </c>
      <c r="E942" s="59">
        <v>12892.25</v>
      </c>
      <c r="F942" s="59">
        <v>0</v>
      </c>
      <c r="G942" s="59">
        <v>0</v>
      </c>
      <c r="H942" s="59">
        <v>6280.06</v>
      </c>
      <c r="I942" s="59"/>
      <c r="J942" s="59">
        <v>1597.69</v>
      </c>
      <c r="K942" s="59">
        <v>19172.310000000001</v>
      </c>
      <c r="L942" s="60">
        <v>20770</v>
      </c>
      <c r="M942" s="33"/>
      <c r="N942" s="59">
        <v>19172.310000000001</v>
      </c>
      <c r="O942" s="59">
        <v>12892.25</v>
      </c>
      <c r="P942" s="59">
        <v>884.4</v>
      </c>
      <c r="Q942" s="59">
        <v>23090.61</v>
      </c>
      <c r="R942" s="59">
        <v>21492.92</v>
      </c>
    </row>
    <row r="943" spans="1:18" s="7" customFormat="1" ht="9" customHeight="1" x14ac:dyDescent="0.2">
      <c r="A943" s="73"/>
      <c r="B943" s="73"/>
      <c r="C943" s="62" t="s">
        <v>37</v>
      </c>
      <c r="D943" s="63">
        <v>14</v>
      </c>
      <c r="E943" s="64">
        <v>24962877</v>
      </c>
      <c r="F943" s="65">
        <v>0</v>
      </c>
      <c r="G943" s="65">
        <v>0</v>
      </c>
      <c r="H943" s="64">
        <v>12159892</v>
      </c>
      <c r="I943" s="64"/>
      <c r="J943" s="66">
        <v>3093559</v>
      </c>
      <c r="K943" s="64">
        <v>37122769</v>
      </c>
      <c r="L943" s="64">
        <v>40216328</v>
      </c>
      <c r="M943" s="39"/>
      <c r="N943" s="65">
        <v>37122769</v>
      </c>
      <c r="O943" s="65">
        <v>24962877</v>
      </c>
      <c r="P943" s="64">
        <v>1712437</v>
      </c>
      <c r="Q943" s="65">
        <v>44709655</v>
      </c>
      <c r="R943" s="65">
        <v>41616096</v>
      </c>
    </row>
    <row r="944" spans="1:18" s="7" customFormat="1" ht="12.75" customHeight="1" x14ac:dyDescent="0.2">
      <c r="A944" s="73"/>
      <c r="B944" s="73"/>
      <c r="C944" s="68" t="s">
        <v>36</v>
      </c>
      <c r="D944" s="69">
        <v>15</v>
      </c>
      <c r="E944" s="59">
        <v>14209.25</v>
      </c>
      <c r="F944" s="59">
        <v>0</v>
      </c>
      <c r="G944" s="59">
        <v>0</v>
      </c>
      <c r="H944" s="59">
        <v>6280.06</v>
      </c>
      <c r="I944" s="59"/>
      <c r="J944" s="59">
        <v>1707.44</v>
      </c>
      <c r="K944" s="59">
        <v>20489.310000000001</v>
      </c>
      <c r="L944" s="60">
        <v>22196.75</v>
      </c>
      <c r="M944" s="33"/>
      <c r="N944" s="59">
        <v>20489.310000000001</v>
      </c>
      <c r="O944" s="59">
        <v>14209.25</v>
      </c>
      <c r="P944" s="59">
        <v>884.4</v>
      </c>
      <c r="Q944" s="59">
        <v>24754.42</v>
      </c>
      <c r="R944" s="59">
        <v>23046.98</v>
      </c>
    </row>
    <row r="945" spans="1:18" s="7" customFormat="1" ht="9" customHeight="1" x14ac:dyDescent="0.2">
      <c r="A945" s="73"/>
      <c r="B945" s="73"/>
      <c r="C945" s="62" t="s">
        <v>37</v>
      </c>
      <c r="D945" s="63">
        <v>20</v>
      </c>
      <c r="E945" s="64">
        <v>27512944</v>
      </c>
      <c r="F945" s="65">
        <v>0</v>
      </c>
      <c r="G945" s="65">
        <v>0</v>
      </c>
      <c r="H945" s="64">
        <v>12159892</v>
      </c>
      <c r="I945" s="64"/>
      <c r="J945" s="66">
        <v>3306065</v>
      </c>
      <c r="K945" s="64">
        <v>39672836</v>
      </c>
      <c r="L945" s="64">
        <v>42978901</v>
      </c>
      <c r="M945" s="39"/>
      <c r="N945" s="65">
        <v>39672836</v>
      </c>
      <c r="O945" s="65">
        <v>27512944</v>
      </c>
      <c r="P945" s="64">
        <v>1712437</v>
      </c>
      <c r="Q945" s="65">
        <v>47931241</v>
      </c>
      <c r="R945" s="65">
        <v>44625176</v>
      </c>
    </row>
    <row r="946" spans="1:18" s="7" customFormat="1" ht="12.75" customHeight="1" x14ac:dyDescent="0.2">
      <c r="A946" s="73"/>
      <c r="B946" s="73"/>
      <c r="C946" s="68" t="s">
        <v>36</v>
      </c>
      <c r="D946" s="69">
        <v>21</v>
      </c>
      <c r="E946" s="59">
        <v>15521.88</v>
      </c>
      <c r="F946" s="59">
        <v>0</v>
      </c>
      <c r="G946" s="59">
        <v>0</v>
      </c>
      <c r="H946" s="59">
        <v>6280.06</v>
      </c>
      <c r="I946" s="59"/>
      <c r="J946" s="59">
        <v>1816.83</v>
      </c>
      <c r="K946" s="59">
        <v>21801.94</v>
      </c>
      <c r="L946" s="60">
        <v>23618.77</v>
      </c>
      <c r="M946" s="33"/>
      <c r="N946" s="59">
        <v>21801.94</v>
      </c>
      <c r="O946" s="59">
        <v>15521.88</v>
      </c>
      <c r="P946" s="59">
        <v>884.4</v>
      </c>
      <c r="Q946" s="59">
        <v>26412.71</v>
      </c>
      <c r="R946" s="59">
        <v>24595.88</v>
      </c>
    </row>
    <row r="947" spans="1:18" s="7" customFormat="1" ht="9" customHeight="1" x14ac:dyDescent="0.2">
      <c r="A947" s="73"/>
      <c r="B947" s="73"/>
      <c r="C947" s="62" t="s">
        <v>37</v>
      </c>
      <c r="D947" s="63">
        <v>27</v>
      </c>
      <c r="E947" s="64">
        <v>30054551</v>
      </c>
      <c r="F947" s="65">
        <v>0</v>
      </c>
      <c r="G947" s="65">
        <v>0</v>
      </c>
      <c r="H947" s="64">
        <v>12159892</v>
      </c>
      <c r="I947" s="64"/>
      <c r="J947" s="66">
        <v>3517873</v>
      </c>
      <c r="K947" s="64">
        <v>42214442</v>
      </c>
      <c r="L947" s="64">
        <v>45732316</v>
      </c>
      <c r="M947" s="39"/>
      <c r="N947" s="65">
        <v>42214442</v>
      </c>
      <c r="O947" s="65">
        <v>30054551</v>
      </c>
      <c r="P947" s="64">
        <v>1712437</v>
      </c>
      <c r="Q947" s="65">
        <v>51142138</v>
      </c>
      <c r="R947" s="65">
        <v>47624265</v>
      </c>
    </row>
    <row r="948" spans="1:18" s="7" customFormat="1" ht="12.75" customHeight="1" x14ac:dyDescent="0.2">
      <c r="A948" s="73"/>
      <c r="B948" s="73"/>
      <c r="C948" s="68" t="s">
        <v>36</v>
      </c>
      <c r="D948" s="69">
        <v>28</v>
      </c>
      <c r="E948" s="59">
        <v>16467.09</v>
      </c>
      <c r="F948" s="59">
        <v>0</v>
      </c>
      <c r="G948" s="59">
        <v>0</v>
      </c>
      <c r="H948" s="59">
        <v>6280.06</v>
      </c>
      <c r="I948" s="59"/>
      <c r="J948" s="59">
        <v>1895.6</v>
      </c>
      <c r="K948" s="59">
        <v>22747.15</v>
      </c>
      <c r="L948" s="60">
        <v>24642.75</v>
      </c>
      <c r="M948" s="33"/>
      <c r="N948" s="59">
        <v>22747.15</v>
      </c>
      <c r="O948" s="59">
        <v>16467.09</v>
      </c>
      <c r="P948" s="59">
        <v>884.4</v>
      </c>
      <c r="Q948" s="59">
        <v>27606.83</v>
      </c>
      <c r="R948" s="59">
        <v>25711.23</v>
      </c>
    </row>
    <row r="949" spans="1:18" s="7" customFormat="1" ht="9" customHeight="1" x14ac:dyDescent="0.2">
      <c r="A949" s="73"/>
      <c r="B949" s="73"/>
      <c r="C949" s="62" t="s">
        <v>37</v>
      </c>
      <c r="D949" s="63">
        <v>34</v>
      </c>
      <c r="E949" s="64">
        <v>31884732</v>
      </c>
      <c r="F949" s="65">
        <v>0</v>
      </c>
      <c r="G949" s="65">
        <v>0</v>
      </c>
      <c r="H949" s="64">
        <v>12159892</v>
      </c>
      <c r="I949" s="64"/>
      <c r="J949" s="66">
        <v>3670393</v>
      </c>
      <c r="K949" s="64">
        <v>44044624</v>
      </c>
      <c r="L949" s="64">
        <v>47715018</v>
      </c>
      <c r="M949" s="39"/>
      <c r="N949" s="65">
        <v>44044624</v>
      </c>
      <c r="O949" s="65">
        <v>31884732</v>
      </c>
      <c r="P949" s="64">
        <v>1712437</v>
      </c>
      <c r="Q949" s="65">
        <v>53454277</v>
      </c>
      <c r="R949" s="65">
        <v>49783883</v>
      </c>
    </row>
    <row r="950" spans="1:18" s="7" customFormat="1" ht="12.75" customHeight="1" x14ac:dyDescent="0.2">
      <c r="A950" s="73"/>
      <c r="B950" s="73"/>
      <c r="C950" s="68" t="s">
        <v>36</v>
      </c>
      <c r="D950" s="69">
        <v>35</v>
      </c>
      <c r="E950" s="59">
        <v>17187.8</v>
      </c>
      <c r="F950" s="59">
        <v>0</v>
      </c>
      <c r="G950" s="59">
        <v>0</v>
      </c>
      <c r="H950" s="59">
        <v>6280.06</v>
      </c>
      <c r="I950" s="59"/>
      <c r="J950" s="59">
        <v>1955.66</v>
      </c>
      <c r="K950" s="59">
        <v>23467.86</v>
      </c>
      <c r="L950" s="60">
        <v>25423.52</v>
      </c>
      <c r="M950" s="33"/>
      <c r="N950" s="59">
        <v>23467.86</v>
      </c>
      <c r="O950" s="59">
        <v>17187.8</v>
      </c>
      <c r="P950" s="59">
        <v>884.4</v>
      </c>
      <c r="Q950" s="59">
        <v>28517.32</v>
      </c>
      <c r="R950" s="59">
        <v>26561.66</v>
      </c>
    </row>
    <row r="951" spans="1:18" s="7" customFormat="1" ht="9" customHeight="1" x14ac:dyDescent="0.2">
      <c r="A951" s="74"/>
      <c r="B951" s="74"/>
      <c r="C951" s="71" t="s">
        <v>37</v>
      </c>
      <c r="D951" s="72"/>
      <c r="E951" s="64">
        <v>33280222</v>
      </c>
      <c r="F951" s="64">
        <v>0</v>
      </c>
      <c r="G951" s="64">
        <v>0</v>
      </c>
      <c r="H951" s="64">
        <v>12159892</v>
      </c>
      <c r="I951" s="64"/>
      <c r="J951" s="64">
        <v>3786686</v>
      </c>
      <c r="K951" s="64">
        <v>45440113</v>
      </c>
      <c r="L951" s="64">
        <v>49226799</v>
      </c>
      <c r="M951" s="39"/>
      <c r="N951" s="64">
        <v>45440113</v>
      </c>
      <c r="O951" s="64">
        <v>33280222</v>
      </c>
      <c r="P951" s="64">
        <v>1712437</v>
      </c>
      <c r="Q951" s="64">
        <v>55217231</v>
      </c>
      <c r="R951" s="65">
        <v>51430545</v>
      </c>
    </row>
    <row r="952" spans="1:18" s="7" customFormat="1" ht="9" customHeight="1" x14ac:dyDescent="0.2">
      <c r="A952" s="73"/>
      <c r="B952" s="73"/>
      <c r="C952" s="184"/>
      <c r="D952" s="45"/>
      <c r="E952" s="185"/>
      <c r="F952" s="185"/>
      <c r="G952" s="185"/>
      <c r="H952" s="185"/>
      <c r="I952" s="185"/>
      <c r="J952" s="185"/>
      <c r="K952" s="185"/>
      <c r="L952" s="185"/>
      <c r="M952" s="39"/>
      <c r="N952" s="185"/>
      <c r="O952" s="185"/>
      <c r="P952" s="185"/>
      <c r="Q952" s="185"/>
      <c r="R952" s="185"/>
    </row>
    <row r="953" spans="1:18" s="7" customFormat="1" ht="9" customHeight="1" x14ac:dyDescent="0.2">
      <c r="A953" s="73"/>
      <c r="B953" s="73"/>
      <c r="C953" s="184"/>
      <c r="D953" s="45"/>
      <c r="E953" s="185"/>
      <c r="F953" s="185"/>
      <c r="G953" s="185"/>
      <c r="H953" s="185"/>
      <c r="I953" s="185"/>
      <c r="J953" s="185"/>
      <c r="K953" s="185"/>
      <c r="L953" s="185"/>
      <c r="M953" s="39"/>
      <c r="N953" s="185"/>
      <c r="O953" s="185"/>
      <c r="P953" s="185"/>
      <c r="Q953" s="185"/>
      <c r="R953" s="185"/>
    </row>
    <row r="954" spans="1:18" s="7" customFormat="1" ht="9" customHeight="1" x14ac:dyDescent="0.2">
      <c r="A954" s="73"/>
      <c r="B954" s="73"/>
      <c r="C954" s="184"/>
      <c r="D954" s="45"/>
      <c r="E954" s="185"/>
      <c r="F954" s="185"/>
      <c r="G954" s="185"/>
      <c r="H954" s="185"/>
      <c r="I954" s="185"/>
      <c r="J954" s="185"/>
      <c r="K954" s="185"/>
      <c r="L954" s="185"/>
      <c r="M954" s="39"/>
      <c r="N954" s="185"/>
      <c r="O954" s="185"/>
      <c r="P954" s="185"/>
      <c r="Q954" s="185"/>
      <c r="R954" s="185"/>
    </row>
    <row r="955" spans="1:18" s="7" customFormat="1" ht="9" customHeight="1" x14ac:dyDescent="0.2">
      <c r="A955" s="73"/>
      <c r="B955" s="73"/>
      <c r="C955" s="184"/>
      <c r="D955" s="45"/>
      <c r="E955" s="185"/>
      <c r="F955" s="185"/>
      <c r="G955" s="185"/>
      <c r="H955" s="185"/>
      <c r="I955" s="185"/>
      <c r="J955" s="185"/>
      <c r="K955" s="185"/>
      <c r="L955" s="185"/>
      <c r="M955" s="39"/>
      <c r="N955" s="185"/>
      <c r="O955" s="185"/>
      <c r="P955" s="185"/>
      <c r="Q955" s="185"/>
      <c r="R955" s="185"/>
    </row>
    <row r="956" spans="1:18" s="7" customFormat="1" ht="9" customHeight="1" x14ac:dyDescent="0.2">
      <c r="A956" s="73"/>
      <c r="B956" s="73"/>
      <c r="C956" s="184"/>
      <c r="D956" s="45"/>
      <c r="E956" s="185"/>
      <c r="F956" s="185"/>
      <c r="G956" s="185"/>
      <c r="H956" s="185"/>
      <c r="I956" s="185"/>
      <c r="J956" s="185"/>
      <c r="K956" s="185"/>
      <c r="L956" s="185"/>
      <c r="M956" s="39"/>
      <c r="N956" s="185"/>
      <c r="O956" s="185"/>
      <c r="P956" s="185"/>
      <c r="Q956" s="185"/>
      <c r="R956" s="185"/>
    </row>
    <row r="957" spans="1:18" s="7" customFormat="1" ht="9" customHeight="1" x14ac:dyDescent="0.2">
      <c r="A957" s="73"/>
      <c r="B957" s="73"/>
      <c r="C957" s="184"/>
      <c r="D957" s="45"/>
      <c r="E957" s="185"/>
      <c r="F957" s="185"/>
      <c r="G957" s="185"/>
      <c r="H957" s="185"/>
      <c r="I957" s="185"/>
      <c r="J957" s="185"/>
      <c r="K957" s="185"/>
      <c r="L957" s="185"/>
      <c r="M957" s="39"/>
      <c r="N957" s="185"/>
      <c r="O957" s="185"/>
      <c r="P957" s="185"/>
      <c r="Q957" s="185"/>
      <c r="R957" s="185"/>
    </row>
    <row r="958" spans="1:18" s="7" customFormat="1" ht="9" customHeight="1" x14ac:dyDescent="0.2">
      <c r="A958" s="73"/>
      <c r="B958" s="73"/>
      <c r="C958" s="184"/>
      <c r="D958" s="45"/>
      <c r="E958" s="185"/>
      <c r="F958" s="185"/>
      <c r="G958" s="185"/>
      <c r="H958" s="185"/>
      <c r="I958" s="185"/>
      <c r="J958" s="185"/>
      <c r="K958" s="185"/>
      <c r="L958" s="185"/>
      <c r="M958" s="39"/>
      <c r="N958" s="185"/>
      <c r="O958" s="185"/>
      <c r="P958" s="185"/>
      <c r="Q958" s="185"/>
      <c r="R958" s="185"/>
    </row>
    <row r="959" spans="1:18" s="7" customFormat="1" ht="9" customHeight="1" x14ac:dyDescent="0.2">
      <c r="A959" s="73"/>
      <c r="B959" s="73"/>
      <c r="C959" s="184"/>
      <c r="D959" s="45"/>
      <c r="E959" s="185"/>
      <c r="F959" s="185"/>
      <c r="G959" s="185"/>
      <c r="H959" s="185"/>
      <c r="I959" s="185"/>
      <c r="J959" s="185"/>
      <c r="K959" s="185"/>
      <c r="L959" s="185"/>
      <c r="M959" s="39"/>
      <c r="N959" s="185"/>
      <c r="O959" s="185"/>
      <c r="P959" s="185"/>
      <c r="Q959" s="185"/>
      <c r="R959" s="185"/>
    </row>
    <row r="960" spans="1:18" s="7" customFormat="1" ht="12.75" customHeight="1" x14ac:dyDescent="0.2">
      <c r="A960" s="56">
        <v>43466</v>
      </c>
      <c r="B960" s="56">
        <v>43830</v>
      </c>
      <c r="C960" s="57" t="s">
        <v>36</v>
      </c>
      <c r="D960" s="58">
        <v>0</v>
      </c>
      <c r="E960" s="59">
        <v>11279.219999999998</v>
      </c>
      <c r="F960" s="59"/>
      <c r="G960" s="59"/>
      <c r="H960" s="59">
        <v>6280.06</v>
      </c>
      <c r="I960" s="59"/>
      <c r="J960" s="59">
        <v>1455.86</v>
      </c>
      <c r="K960" s="59">
        <v>17470.330000000002</v>
      </c>
      <c r="L960" s="60">
        <v>18926.189999999999</v>
      </c>
      <c r="M960" s="33"/>
      <c r="N960" s="59">
        <v>17470.330000000002</v>
      </c>
      <c r="O960" s="59">
        <v>11190.27</v>
      </c>
      <c r="P960" s="59">
        <v>884.4</v>
      </c>
      <c r="Q960" s="59">
        <v>20940.439999999999</v>
      </c>
      <c r="R960" s="59">
        <v>19484.580000000002</v>
      </c>
    </row>
    <row r="961" spans="1:18" s="7" customFormat="1" ht="9" customHeight="1" x14ac:dyDescent="0.2">
      <c r="A961" s="61"/>
      <c r="B961" s="61"/>
      <c r="C961" s="62" t="s">
        <v>37</v>
      </c>
      <c r="D961" s="63">
        <v>8</v>
      </c>
      <c r="E961" s="64">
        <v>21525881</v>
      </c>
      <c r="F961" s="65"/>
      <c r="G961" s="65"/>
      <c r="H961" s="64">
        <v>12159892</v>
      </c>
      <c r="I961" s="64"/>
      <c r="J961" s="66">
        <v>2818938</v>
      </c>
      <c r="K961" s="66">
        <v>33827276</v>
      </c>
      <c r="L961" s="64">
        <v>36646214</v>
      </c>
      <c r="M961" s="39"/>
      <c r="N961" s="65">
        <v>33827276</v>
      </c>
      <c r="O961" s="65">
        <v>21667384</v>
      </c>
      <c r="P961" s="65">
        <v>1712437</v>
      </c>
      <c r="Q961" s="65">
        <v>40546346</v>
      </c>
      <c r="R961" s="65">
        <v>37727408</v>
      </c>
    </row>
    <row r="962" spans="1:18" s="7" customFormat="1" ht="12.75" customHeight="1" x14ac:dyDescent="0.2">
      <c r="A962" s="73">
        <f>A960</f>
        <v>43466</v>
      </c>
      <c r="B962" s="73">
        <f>B960</f>
        <v>43830</v>
      </c>
      <c r="C962" s="68" t="s">
        <v>36</v>
      </c>
      <c r="D962" s="69">
        <v>9</v>
      </c>
      <c r="E962" s="59">
        <v>13069.859999999997</v>
      </c>
      <c r="F962" s="59"/>
      <c r="G962" s="59"/>
      <c r="H962" s="59">
        <v>6280.06</v>
      </c>
      <c r="I962" s="59"/>
      <c r="J962" s="59">
        <v>1604.4</v>
      </c>
      <c r="K962" s="59">
        <v>16918.52</v>
      </c>
      <c r="L962" s="60">
        <v>18522.919999999998</v>
      </c>
      <c r="M962" s="33"/>
      <c r="N962" s="59">
        <v>19252.830000000002</v>
      </c>
      <c r="O962" s="59">
        <v>12972.77</v>
      </c>
      <c r="P962" s="59">
        <v>884.4</v>
      </c>
      <c r="Q962" s="59">
        <v>23192.33</v>
      </c>
      <c r="R962" s="59">
        <v>21587.93</v>
      </c>
    </row>
    <row r="963" spans="1:18" s="7" customFormat="1" ht="9" customHeight="1" x14ac:dyDescent="0.2">
      <c r="A963" s="73"/>
      <c r="B963" s="73"/>
      <c r="C963" s="62" t="s">
        <v>37</v>
      </c>
      <c r="D963" s="63">
        <v>14</v>
      </c>
      <c r="E963" s="64">
        <v>21525881</v>
      </c>
      <c r="F963" s="65"/>
      <c r="G963" s="65"/>
      <c r="H963" s="64">
        <v>12159892</v>
      </c>
      <c r="I963" s="64"/>
      <c r="J963" s="66">
        <v>3106552</v>
      </c>
      <c r="K963" s="64">
        <v>32758823</v>
      </c>
      <c r="L963" s="64">
        <v>35865374</v>
      </c>
      <c r="M963" s="39"/>
      <c r="N963" s="65">
        <v>37278677</v>
      </c>
      <c r="O963" s="65">
        <v>25118785</v>
      </c>
      <c r="P963" s="65">
        <v>1712437</v>
      </c>
      <c r="Q963" s="65">
        <v>44906613</v>
      </c>
      <c r="R963" s="65">
        <v>41800061</v>
      </c>
    </row>
    <row r="964" spans="1:18" s="7" customFormat="1" ht="12.75" customHeight="1" x14ac:dyDescent="0.2">
      <c r="A964" s="73"/>
      <c r="B964" s="73"/>
      <c r="C964" s="68" t="s">
        <v>36</v>
      </c>
      <c r="D964" s="69">
        <v>15</v>
      </c>
      <c r="E964" s="59">
        <v>14400.109999999997</v>
      </c>
      <c r="F964" s="59"/>
      <c r="G964" s="59"/>
      <c r="H964" s="59">
        <v>6280.06</v>
      </c>
      <c r="I964" s="59"/>
      <c r="J964" s="59">
        <v>1714.61</v>
      </c>
      <c r="K964" s="59">
        <v>17933.73</v>
      </c>
      <c r="L964" s="60">
        <v>19648.34</v>
      </c>
      <c r="M964" s="33"/>
      <c r="N964" s="59">
        <v>20575.349999999999</v>
      </c>
      <c r="O964" s="59">
        <v>14295.29</v>
      </c>
      <c r="P964" s="59">
        <v>884.4</v>
      </c>
      <c r="Q964" s="59">
        <v>24863.11</v>
      </c>
      <c r="R964" s="59">
        <v>23148.5</v>
      </c>
    </row>
    <row r="965" spans="1:18" s="7" customFormat="1" ht="9" customHeight="1" x14ac:dyDescent="0.2">
      <c r="A965" s="73"/>
      <c r="B965" s="73"/>
      <c r="C965" s="62" t="s">
        <v>37</v>
      </c>
      <c r="D965" s="63">
        <v>20</v>
      </c>
      <c r="E965" s="64">
        <v>21525881</v>
      </c>
      <c r="F965" s="65"/>
      <c r="G965" s="65"/>
      <c r="H965" s="64">
        <v>12159892</v>
      </c>
      <c r="I965" s="64"/>
      <c r="J965" s="66">
        <v>3319948</v>
      </c>
      <c r="K965" s="64">
        <v>34724543</v>
      </c>
      <c r="L965" s="64">
        <v>38044491</v>
      </c>
      <c r="M965" s="39"/>
      <c r="N965" s="65">
        <v>39839433</v>
      </c>
      <c r="O965" s="65">
        <v>27679541</v>
      </c>
      <c r="P965" s="65">
        <v>1712437</v>
      </c>
      <c r="Q965" s="65">
        <v>48141694</v>
      </c>
      <c r="R965" s="65">
        <v>44821746</v>
      </c>
    </row>
    <row r="966" spans="1:18" s="7" customFormat="1" ht="12.75" customHeight="1" x14ac:dyDescent="0.2">
      <c r="A966" s="73"/>
      <c r="B966" s="73"/>
      <c r="C966" s="68" t="s">
        <v>36</v>
      </c>
      <c r="D966" s="69">
        <v>21</v>
      </c>
      <c r="E966" s="59">
        <v>15724.759999999998</v>
      </c>
      <c r="F966" s="59"/>
      <c r="G966" s="59"/>
      <c r="H966" s="59">
        <v>6280.06</v>
      </c>
      <c r="I966" s="59"/>
      <c r="J966" s="59">
        <v>1824.46</v>
      </c>
      <c r="K966" s="59">
        <v>18921.79</v>
      </c>
      <c r="L966" s="60">
        <v>20746.25</v>
      </c>
      <c r="M966" s="33"/>
      <c r="N966" s="59">
        <v>21893.5</v>
      </c>
      <c r="O966" s="59">
        <v>15613.44</v>
      </c>
      <c r="P966" s="59">
        <v>884.4</v>
      </c>
      <c r="Q966" s="59">
        <v>26528.38</v>
      </c>
      <c r="R966" s="59">
        <v>24703.919999999998</v>
      </c>
    </row>
    <row r="967" spans="1:18" s="7" customFormat="1" ht="9" customHeight="1" x14ac:dyDescent="0.2">
      <c r="A967" s="73"/>
      <c r="B967" s="73"/>
      <c r="C967" s="62" t="s">
        <v>37</v>
      </c>
      <c r="D967" s="63">
        <v>27</v>
      </c>
      <c r="E967" s="64">
        <v>21525881</v>
      </c>
      <c r="F967" s="65"/>
      <c r="G967" s="65"/>
      <c r="H967" s="64">
        <v>12159892</v>
      </c>
      <c r="I967" s="64"/>
      <c r="J967" s="66">
        <v>3532647</v>
      </c>
      <c r="K967" s="64">
        <v>36637694</v>
      </c>
      <c r="L967" s="64">
        <v>40170341</v>
      </c>
      <c r="M967" s="39"/>
      <c r="N967" s="65">
        <v>42391727</v>
      </c>
      <c r="O967" s="65">
        <v>30231835</v>
      </c>
      <c r="P967" s="65">
        <v>1712437</v>
      </c>
      <c r="Q967" s="65">
        <v>51366106</v>
      </c>
      <c r="R967" s="65">
        <v>47833459</v>
      </c>
    </row>
    <row r="968" spans="1:18" s="7" customFormat="1" ht="12.75" customHeight="1" x14ac:dyDescent="0.2">
      <c r="A968" s="73"/>
      <c r="B968" s="73"/>
      <c r="C968" s="68" t="s">
        <v>36</v>
      </c>
      <c r="D968" s="69">
        <v>28</v>
      </c>
      <c r="E968" s="59">
        <v>16678.32</v>
      </c>
      <c r="F968" s="59"/>
      <c r="G968" s="59"/>
      <c r="H968" s="59">
        <v>6280.06</v>
      </c>
      <c r="I968" s="59"/>
      <c r="J968" s="59">
        <v>1903.56</v>
      </c>
      <c r="K968" s="59">
        <v>19673.080000000002</v>
      </c>
      <c r="L968" s="60">
        <v>21576.639999999999</v>
      </c>
      <c r="M968" s="33"/>
      <c r="N968" s="59">
        <v>22842.67</v>
      </c>
      <c r="O968" s="59">
        <v>16562.61</v>
      </c>
      <c r="P968" s="59">
        <v>884.4</v>
      </c>
      <c r="Q968" s="59">
        <v>27727.5</v>
      </c>
      <c r="R968" s="59">
        <v>25823.94</v>
      </c>
    </row>
    <row r="969" spans="1:18" s="7" customFormat="1" ht="9" customHeight="1" x14ac:dyDescent="0.2">
      <c r="A969" s="73"/>
      <c r="B969" s="73"/>
      <c r="C969" s="62" t="s">
        <v>37</v>
      </c>
      <c r="D969" s="63">
        <v>34</v>
      </c>
      <c r="E969" s="64">
        <v>21525881</v>
      </c>
      <c r="F969" s="65"/>
      <c r="G969" s="65"/>
      <c r="H969" s="64">
        <v>12159892</v>
      </c>
      <c r="I969" s="64"/>
      <c r="J969" s="66">
        <v>3685806</v>
      </c>
      <c r="K969" s="64">
        <v>38092395</v>
      </c>
      <c r="L969" s="64">
        <v>41778201</v>
      </c>
      <c r="M969" s="39"/>
      <c r="N969" s="65">
        <v>44229577</v>
      </c>
      <c r="O969" s="65">
        <v>32069685</v>
      </c>
      <c r="P969" s="65">
        <v>1712437</v>
      </c>
      <c r="Q969" s="65">
        <v>53687926</v>
      </c>
      <c r="R969" s="65">
        <v>50002120</v>
      </c>
    </row>
    <row r="970" spans="1:18" s="7" customFormat="1" ht="12.75" customHeight="1" x14ac:dyDescent="0.2">
      <c r="A970" s="73"/>
      <c r="B970" s="73"/>
      <c r="C970" s="68" t="s">
        <v>36</v>
      </c>
      <c r="D970" s="69">
        <v>35</v>
      </c>
      <c r="E970" s="59">
        <v>17406.189999999999</v>
      </c>
      <c r="F970" s="59"/>
      <c r="G970" s="59"/>
      <c r="H970" s="59">
        <v>6280.06</v>
      </c>
      <c r="I970" s="59"/>
      <c r="J970" s="59">
        <v>1963.87</v>
      </c>
      <c r="K970" s="59">
        <v>20206.89</v>
      </c>
      <c r="L970" s="60">
        <v>22170.76</v>
      </c>
      <c r="M970" s="33"/>
      <c r="N970" s="59">
        <v>23566.38</v>
      </c>
      <c r="O970" s="59">
        <v>17286.32</v>
      </c>
      <c r="P970" s="59">
        <v>884.4</v>
      </c>
      <c r="Q970" s="59">
        <v>28641.79</v>
      </c>
      <c r="R970" s="59">
        <v>26677.919999999998</v>
      </c>
    </row>
    <row r="971" spans="1:18" s="7" customFormat="1" ht="9" customHeight="1" x14ac:dyDescent="0.2">
      <c r="A971" s="74"/>
      <c r="B971" s="74"/>
      <c r="C971" s="71" t="s">
        <v>37</v>
      </c>
      <c r="D971" s="72"/>
      <c r="E971" s="64">
        <v>21525881</v>
      </c>
      <c r="F971" s="64"/>
      <c r="G971" s="64"/>
      <c r="H971" s="64">
        <v>12159892</v>
      </c>
      <c r="I971" s="64"/>
      <c r="J971" s="64">
        <v>3802583</v>
      </c>
      <c r="K971" s="64">
        <v>39125995</v>
      </c>
      <c r="L971" s="64">
        <v>42928577</v>
      </c>
      <c r="M971" s="39"/>
      <c r="N971" s="64">
        <v>45630875</v>
      </c>
      <c r="O971" s="65">
        <v>33470983</v>
      </c>
      <c r="P971" s="64">
        <v>1712437</v>
      </c>
      <c r="Q971" s="64">
        <v>55458239</v>
      </c>
      <c r="R971" s="65">
        <v>51655656</v>
      </c>
    </row>
    <row r="972" spans="1:18" s="7" customFormat="1" ht="9" customHeight="1" x14ac:dyDescent="0.2">
      <c r="A972" s="73"/>
      <c r="B972" s="73"/>
      <c r="C972" s="184"/>
      <c r="D972" s="45"/>
      <c r="E972" s="185"/>
      <c r="F972" s="185"/>
      <c r="G972" s="185"/>
      <c r="H972" s="185"/>
      <c r="I972" s="185"/>
      <c r="J972" s="185"/>
      <c r="K972" s="185"/>
      <c r="L972" s="185"/>
      <c r="M972" s="39"/>
      <c r="N972" s="185"/>
      <c r="O972" s="185"/>
      <c r="P972" s="185"/>
      <c r="Q972" s="185"/>
      <c r="R972" s="185"/>
    </row>
    <row r="973" spans="1:18" s="7" customFormat="1" ht="9" customHeight="1" x14ac:dyDescent="0.2">
      <c r="A973" s="73"/>
      <c r="B973" s="73"/>
      <c r="C973" s="184"/>
      <c r="D973" s="45"/>
      <c r="E973" s="185"/>
      <c r="F973" s="185"/>
      <c r="G973" s="185"/>
      <c r="H973" s="185"/>
      <c r="I973" s="185"/>
      <c r="J973" s="185"/>
      <c r="K973" s="185"/>
      <c r="L973" s="185"/>
      <c r="M973" s="39"/>
      <c r="N973" s="185"/>
      <c r="O973" s="185"/>
      <c r="P973" s="185"/>
      <c r="Q973" s="185"/>
      <c r="R973" s="185"/>
    </row>
    <row r="974" spans="1:18" s="7" customFormat="1" ht="9" customHeight="1" x14ac:dyDescent="0.2">
      <c r="A974" s="73"/>
      <c r="B974" s="73"/>
      <c r="C974" s="184"/>
      <c r="D974" s="45"/>
      <c r="E974" s="185"/>
      <c r="F974" s="185"/>
      <c r="G974" s="185"/>
      <c r="H974" s="185"/>
      <c r="I974" s="185"/>
      <c r="J974" s="185"/>
      <c r="K974" s="185"/>
      <c r="L974" s="185"/>
      <c r="M974" s="39"/>
      <c r="N974" s="185"/>
      <c r="O974" s="185"/>
      <c r="P974" s="185"/>
      <c r="Q974" s="185"/>
      <c r="R974" s="185"/>
    </row>
    <row r="975" spans="1:18" s="7" customFormat="1" ht="9" customHeight="1" x14ac:dyDescent="0.2">
      <c r="A975" s="73"/>
      <c r="B975" s="73"/>
      <c r="C975" s="184"/>
      <c r="D975" s="45"/>
      <c r="E975" s="185"/>
      <c r="F975" s="185"/>
      <c r="G975" s="185"/>
      <c r="H975" s="185"/>
      <c r="I975" s="185"/>
      <c r="J975" s="185"/>
      <c r="K975" s="185"/>
      <c r="L975" s="185"/>
      <c r="M975" s="39"/>
      <c r="N975" s="185"/>
      <c r="O975" s="185"/>
      <c r="P975" s="185"/>
      <c r="Q975" s="185"/>
      <c r="R975" s="185"/>
    </row>
    <row r="976" spans="1:18" s="7" customFormat="1" ht="9" customHeight="1" x14ac:dyDescent="0.2">
      <c r="A976" s="73"/>
      <c r="B976" s="73"/>
      <c r="C976" s="184"/>
      <c r="D976" s="45"/>
      <c r="E976" s="185"/>
      <c r="F976" s="185"/>
      <c r="G976" s="185"/>
      <c r="H976" s="185"/>
      <c r="I976" s="185"/>
      <c r="J976" s="185"/>
      <c r="K976" s="185"/>
      <c r="L976" s="185"/>
      <c r="M976" s="39"/>
      <c r="N976" s="185"/>
      <c r="O976" s="185"/>
      <c r="P976" s="185"/>
      <c r="Q976" s="185"/>
      <c r="R976" s="185"/>
    </row>
    <row r="977" spans="1:18" s="7" customFormat="1" ht="9" customHeight="1" x14ac:dyDescent="0.2">
      <c r="A977" s="73"/>
      <c r="B977" s="73"/>
      <c r="C977" s="184"/>
      <c r="D977" s="45"/>
      <c r="E977" s="185"/>
      <c r="F977" s="185"/>
      <c r="G977" s="185"/>
      <c r="H977" s="185"/>
      <c r="I977" s="185"/>
      <c r="J977" s="185"/>
      <c r="K977" s="185"/>
      <c r="L977" s="185"/>
      <c r="M977" s="39"/>
      <c r="N977" s="185"/>
      <c r="O977" s="185"/>
      <c r="P977" s="185"/>
      <c r="Q977" s="185"/>
      <c r="R977" s="185"/>
    </row>
    <row r="978" spans="1:18" s="7" customFormat="1" ht="9" customHeight="1" x14ac:dyDescent="0.2">
      <c r="A978" s="73"/>
      <c r="B978" s="73"/>
      <c r="C978" s="184"/>
      <c r="D978" s="45"/>
      <c r="E978" s="185"/>
      <c r="F978" s="185"/>
      <c r="G978" s="185"/>
      <c r="H978" s="185"/>
      <c r="I978" s="185"/>
      <c r="J978" s="185"/>
      <c r="K978" s="185"/>
      <c r="L978" s="185"/>
      <c r="M978" s="39"/>
      <c r="N978" s="185"/>
      <c r="O978" s="185"/>
      <c r="P978" s="185"/>
      <c r="Q978" s="185"/>
      <c r="R978" s="185"/>
    </row>
    <row r="979" spans="1:18" s="7" customFormat="1" ht="9" customHeight="1" x14ac:dyDescent="0.2">
      <c r="A979" s="73"/>
      <c r="B979" s="73"/>
      <c r="C979" s="184"/>
      <c r="D979" s="45"/>
      <c r="E979" s="185"/>
      <c r="F979" s="185"/>
      <c r="G979" s="185"/>
      <c r="H979" s="185"/>
      <c r="I979" s="185"/>
      <c r="J979" s="185"/>
      <c r="K979" s="185"/>
      <c r="L979" s="185"/>
      <c r="M979" s="39"/>
      <c r="N979" s="185"/>
      <c r="O979" s="185"/>
      <c r="P979" s="185"/>
      <c r="Q979" s="185"/>
      <c r="R979" s="185"/>
    </row>
    <row r="980" spans="1:18" s="7" customFormat="1" ht="12.75" customHeight="1" x14ac:dyDescent="0.2">
      <c r="A980" s="56">
        <v>43831</v>
      </c>
      <c r="B980" s="56">
        <v>44196</v>
      </c>
      <c r="C980" s="57" t="s">
        <v>36</v>
      </c>
      <c r="D980" s="58">
        <v>0</v>
      </c>
      <c r="E980" s="59">
        <v>11414.82</v>
      </c>
      <c r="F980" s="59"/>
      <c r="G980" s="59"/>
      <c r="H980" s="59">
        <v>6280.06</v>
      </c>
      <c r="I980" s="59"/>
      <c r="J980" s="59">
        <v>1459.92</v>
      </c>
      <c r="K980" s="59">
        <v>17519.05</v>
      </c>
      <c r="L980" s="60">
        <v>18978.97</v>
      </c>
      <c r="M980" s="33"/>
      <c r="N980" s="59">
        <v>17519.05</v>
      </c>
      <c r="O980" s="59">
        <v>11238.99</v>
      </c>
      <c r="P980" s="59">
        <v>884.4</v>
      </c>
      <c r="Q980" s="59">
        <v>21001.99</v>
      </c>
      <c r="R980" s="59">
        <v>19542.07</v>
      </c>
    </row>
    <row r="981" spans="1:18" s="7" customFormat="1" ht="9" customHeight="1" x14ac:dyDescent="0.2">
      <c r="A981" s="61"/>
      <c r="B981" s="61"/>
      <c r="C981" s="62" t="s">
        <v>37</v>
      </c>
      <c r="D981" s="63">
        <v>8</v>
      </c>
      <c r="E981" s="64">
        <v>21525881</v>
      </c>
      <c r="F981" s="65"/>
      <c r="G981" s="65"/>
      <c r="H981" s="64">
        <v>12159892</v>
      </c>
      <c r="I981" s="64"/>
      <c r="J981" s="66">
        <v>2826799</v>
      </c>
      <c r="K981" s="66">
        <v>33921611</v>
      </c>
      <c r="L981" s="64">
        <v>36748410</v>
      </c>
      <c r="M981" s="39"/>
      <c r="N981" s="65">
        <v>33921611</v>
      </c>
      <c r="O981" s="65">
        <v>21761719</v>
      </c>
      <c r="P981" s="65">
        <v>1712437</v>
      </c>
      <c r="Q981" s="65">
        <v>40665523</v>
      </c>
      <c r="R981" s="65">
        <v>37838724</v>
      </c>
    </row>
    <row r="982" spans="1:18" s="7" customFormat="1" ht="12.75" customHeight="1" x14ac:dyDescent="0.2">
      <c r="A982" s="73">
        <f>A980</f>
        <v>43831</v>
      </c>
      <c r="B982" s="73">
        <f>B980</f>
        <v>44196</v>
      </c>
      <c r="C982" s="68" t="s">
        <v>36</v>
      </c>
      <c r="D982" s="69">
        <v>9</v>
      </c>
      <c r="E982" s="59">
        <v>13219.859999999997</v>
      </c>
      <c r="F982" s="59"/>
      <c r="G982" s="59"/>
      <c r="H982" s="59">
        <v>6280.06</v>
      </c>
      <c r="I982" s="59"/>
      <c r="J982" s="59">
        <v>1608.87</v>
      </c>
      <c r="K982" s="59">
        <v>16918.52</v>
      </c>
      <c r="L982" s="60">
        <v>18527.39</v>
      </c>
      <c r="M982" s="33"/>
      <c r="N982" s="59">
        <v>19306.47</v>
      </c>
      <c r="O982" s="59">
        <v>13026.41</v>
      </c>
      <c r="P982" s="59">
        <v>884.4</v>
      </c>
      <c r="Q982" s="59">
        <v>23260.09</v>
      </c>
      <c r="R982" s="59">
        <v>21651.22</v>
      </c>
    </row>
    <row r="983" spans="1:18" s="7" customFormat="1" ht="9" customHeight="1" x14ac:dyDescent="0.2">
      <c r="A983" s="73"/>
      <c r="B983" s="73"/>
      <c r="C983" s="62" t="s">
        <v>37</v>
      </c>
      <c r="D983" s="63">
        <v>14</v>
      </c>
      <c r="E983" s="64">
        <v>21525881</v>
      </c>
      <c r="F983" s="65"/>
      <c r="G983" s="65"/>
      <c r="H983" s="64">
        <v>12159892</v>
      </c>
      <c r="I983" s="64"/>
      <c r="J983" s="66">
        <v>3115207</v>
      </c>
      <c r="K983" s="64">
        <v>32758823</v>
      </c>
      <c r="L983" s="64">
        <v>35874029</v>
      </c>
      <c r="M983" s="39"/>
      <c r="N983" s="65">
        <v>37382539</v>
      </c>
      <c r="O983" s="65">
        <v>25222647</v>
      </c>
      <c r="P983" s="65">
        <v>1712437</v>
      </c>
      <c r="Q983" s="65">
        <v>45037814</v>
      </c>
      <c r="R983" s="65">
        <v>41922608</v>
      </c>
    </row>
    <row r="984" spans="1:18" s="7" customFormat="1" ht="12.75" customHeight="1" x14ac:dyDescent="0.2">
      <c r="A984" s="73"/>
      <c r="B984" s="73"/>
      <c r="C984" s="68" t="s">
        <v>36</v>
      </c>
      <c r="D984" s="69">
        <v>15</v>
      </c>
      <c r="E984" s="59">
        <v>14559.71</v>
      </c>
      <c r="F984" s="59"/>
      <c r="G984" s="59"/>
      <c r="H984" s="59">
        <v>6280.06</v>
      </c>
      <c r="I984" s="59"/>
      <c r="J984" s="59">
        <v>1719.39</v>
      </c>
      <c r="K984" s="59">
        <v>17933.73</v>
      </c>
      <c r="L984" s="60">
        <v>19653.12</v>
      </c>
      <c r="M984" s="33"/>
      <c r="N984" s="59">
        <v>20632.71</v>
      </c>
      <c r="O984" s="59">
        <v>14352.65</v>
      </c>
      <c r="P984" s="59">
        <v>884.4</v>
      </c>
      <c r="Q984" s="59">
        <v>24935.58</v>
      </c>
      <c r="R984" s="59">
        <v>23216.19</v>
      </c>
    </row>
    <row r="985" spans="1:18" s="7" customFormat="1" ht="9" customHeight="1" x14ac:dyDescent="0.2">
      <c r="A985" s="73"/>
      <c r="B985" s="73"/>
      <c r="C985" s="62" t="s">
        <v>37</v>
      </c>
      <c r="D985" s="63">
        <v>20</v>
      </c>
      <c r="E985" s="64">
        <v>21525881</v>
      </c>
      <c r="F985" s="65"/>
      <c r="G985" s="65"/>
      <c r="H985" s="64">
        <v>12159892</v>
      </c>
      <c r="I985" s="64"/>
      <c r="J985" s="66">
        <v>3329203</v>
      </c>
      <c r="K985" s="64">
        <v>34724543</v>
      </c>
      <c r="L985" s="64">
        <v>38053747</v>
      </c>
      <c r="M985" s="39"/>
      <c r="N985" s="65">
        <v>39950497</v>
      </c>
      <c r="O985" s="65">
        <v>27790606</v>
      </c>
      <c r="P985" s="65">
        <v>1712437</v>
      </c>
      <c r="Q985" s="65">
        <v>48282015</v>
      </c>
      <c r="R985" s="65">
        <v>44952812</v>
      </c>
    </row>
    <row r="986" spans="1:18" s="7" customFormat="1" ht="12.75" customHeight="1" x14ac:dyDescent="0.2">
      <c r="A986" s="73"/>
      <c r="B986" s="73"/>
      <c r="C986" s="68" t="s">
        <v>36</v>
      </c>
      <c r="D986" s="69">
        <v>21</v>
      </c>
      <c r="E986" s="59">
        <v>15895.16</v>
      </c>
      <c r="F986" s="59"/>
      <c r="G986" s="59"/>
      <c r="H986" s="59">
        <v>6280.06</v>
      </c>
      <c r="I986" s="59"/>
      <c r="J986" s="59">
        <v>1829.55</v>
      </c>
      <c r="K986" s="59">
        <v>18921.79</v>
      </c>
      <c r="L986" s="60">
        <v>20751.34</v>
      </c>
      <c r="M986" s="33"/>
      <c r="N986" s="59">
        <v>21954.58</v>
      </c>
      <c r="O986" s="59">
        <v>15674.52</v>
      </c>
      <c r="P986" s="59">
        <v>884.4</v>
      </c>
      <c r="Q986" s="59">
        <v>26605.54</v>
      </c>
      <c r="R986" s="59">
        <v>24775.99</v>
      </c>
    </row>
    <row r="987" spans="1:18" s="7" customFormat="1" ht="9" customHeight="1" x14ac:dyDescent="0.2">
      <c r="A987" s="73"/>
      <c r="B987" s="73"/>
      <c r="C987" s="62" t="s">
        <v>37</v>
      </c>
      <c r="D987" s="63">
        <v>27</v>
      </c>
      <c r="E987" s="64">
        <v>21525881</v>
      </c>
      <c r="F987" s="65"/>
      <c r="G987" s="65"/>
      <c r="H987" s="64">
        <v>12159892</v>
      </c>
      <c r="I987" s="64"/>
      <c r="J987" s="66">
        <v>3542503</v>
      </c>
      <c r="K987" s="64">
        <v>36637694</v>
      </c>
      <c r="L987" s="64">
        <v>40180197</v>
      </c>
      <c r="M987" s="39"/>
      <c r="N987" s="65">
        <v>42509995</v>
      </c>
      <c r="O987" s="65">
        <v>30350103</v>
      </c>
      <c r="P987" s="65">
        <v>1712437</v>
      </c>
      <c r="Q987" s="65">
        <v>51515509</v>
      </c>
      <c r="R987" s="65">
        <v>47973006</v>
      </c>
    </row>
    <row r="988" spans="1:18" s="7" customFormat="1" ht="12.75" customHeight="1" x14ac:dyDescent="0.2">
      <c r="A988" s="73"/>
      <c r="B988" s="73"/>
      <c r="C988" s="68" t="s">
        <v>36</v>
      </c>
      <c r="D988" s="69">
        <v>28</v>
      </c>
      <c r="E988" s="59">
        <v>16855.919999999998</v>
      </c>
      <c r="F988" s="59"/>
      <c r="G988" s="59"/>
      <c r="H988" s="59">
        <v>6280.06</v>
      </c>
      <c r="I988" s="59"/>
      <c r="J988" s="59">
        <v>1908.87</v>
      </c>
      <c r="K988" s="59">
        <v>19673.080000000002</v>
      </c>
      <c r="L988" s="60">
        <v>21581.95</v>
      </c>
      <c r="M988" s="33"/>
      <c r="N988" s="59">
        <v>22906.39</v>
      </c>
      <c r="O988" s="59">
        <v>16626.330000000002</v>
      </c>
      <c r="P988" s="59">
        <v>884.4</v>
      </c>
      <c r="Q988" s="59">
        <v>27808</v>
      </c>
      <c r="R988" s="59">
        <v>25899.13</v>
      </c>
    </row>
    <row r="989" spans="1:18" s="7" customFormat="1" ht="9" customHeight="1" x14ac:dyDescent="0.2">
      <c r="A989" s="73"/>
      <c r="B989" s="73"/>
      <c r="C989" s="62" t="s">
        <v>37</v>
      </c>
      <c r="D989" s="63">
        <v>34</v>
      </c>
      <c r="E989" s="64">
        <v>21525881</v>
      </c>
      <c r="F989" s="65"/>
      <c r="G989" s="65"/>
      <c r="H989" s="64">
        <v>12159892</v>
      </c>
      <c r="I989" s="64"/>
      <c r="J989" s="66">
        <v>3696088</v>
      </c>
      <c r="K989" s="64">
        <v>38092395</v>
      </c>
      <c r="L989" s="64">
        <v>41788482</v>
      </c>
      <c r="M989" s="39"/>
      <c r="N989" s="65">
        <v>44352956</v>
      </c>
      <c r="O989" s="65">
        <v>32193064</v>
      </c>
      <c r="P989" s="65">
        <v>1712437</v>
      </c>
      <c r="Q989" s="65">
        <v>53843796</v>
      </c>
      <c r="R989" s="65">
        <v>50147708</v>
      </c>
    </row>
    <row r="990" spans="1:18" s="7" customFormat="1" ht="12.75" customHeight="1" x14ac:dyDescent="0.2">
      <c r="A990" s="73"/>
      <c r="B990" s="73"/>
      <c r="C990" s="68" t="s">
        <v>36</v>
      </c>
      <c r="D990" s="69">
        <v>35</v>
      </c>
      <c r="E990" s="59">
        <v>17589.789999999997</v>
      </c>
      <c r="F990" s="59"/>
      <c r="G990" s="59"/>
      <c r="H990" s="59">
        <v>6280.06</v>
      </c>
      <c r="I990" s="59"/>
      <c r="J990" s="59">
        <v>1969.35</v>
      </c>
      <c r="K990" s="59">
        <v>20206.89</v>
      </c>
      <c r="L990" s="60">
        <v>22176.240000000002</v>
      </c>
      <c r="M990" s="33"/>
      <c r="N990" s="59">
        <v>23632.14</v>
      </c>
      <c r="O990" s="59">
        <v>17352.080000000002</v>
      </c>
      <c r="P990" s="59">
        <v>884.4</v>
      </c>
      <c r="Q990" s="59">
        <v>28724.86</v>
      </c>
      <c r="R990" s="59">
        <v>26755.51</v>
      </c>
    </row>
    <row r="991" spans="1:18" s="7" customFormat="1" ht="9" customHeight="1" x14ac:dyDescent="0.2">
      <c r="A991" s="74"/>
      <c r="B991" s="74"/>
      <c r="C991" s="71" t="s">
        <v>37</v>
      </c>
      <c r="D991" s="72"/>
      <c r="E991" s="64">
        <v>21525881</v>
      </c>
      <c r="F991" s="64"/>
      <c r="G991" s="64"/>
      <c r="H991" s="64">
        <v>12159892</v>
      </c>
      <c r="I991" s="64"/>
      <c r="J991" s="64">
        <v>3813193</v>
      </c>
      <c r="K991" s="64">
        <v>39125995</v>
      </c>
      <c r="L991" s="64">
        <v>42939188</v>
      </c>
      <c r="M991" s="39"/>
      <c r="N991" s="64">
        <v>45758204</v>
      </c>
      <c r="O991" s="64">
        <v>33598312</v>
      </c>
      <c r="P991" s="64">
        <v>1712437</v>
      </c>
      <c r="Q991" s="64">
        <v>55619085</v>
      </c>
      <c r="R991" s="64">
        <v>51805891</v>
      </c>
    </row>
    <row r="992" spans="1:18" s="7" customFormat="1" ht="9" customHeight="1" x14ac:dyDescent="0.2">
      <c r="A992" s="73"/>
      <c r="B992" s="73"/>
      <c r="C992" s="184"/>
      <c r="D992" s="45"/>
      <c r="E992" s="185"/>
      <c r="F992" s="185"/>
      <c r="G992" s="185"/>
      <c r="H992" s="185"/>
      <c r="I992" s="185"/>
      <c r="J992" s="185"/>
      <c r="K992" s="185"/>
      <c r="L992" s="185"/>
      <c r="M992" s="39"/>
      <c r="N992" s="185"/>
      <c r="O992" s="185"/>
      <c r="P992" s="185"/>
      <c r="Q992" s="185"/>
      <c r="R992" s="185"/>
    </row>
    <row r="993" spans="1:18" s="7" customFormat="1" ht="9" customHeight="1" x14ac:dyDescent="0.2">
      <c r="A993" s="73"/>
      <c r="B993" s="73"/>
      <c r="C993" s="184"/>
      <c r="D993" s="45"/>
      <c r="E993" s="185"/>
      <c r="F993" s="185"/>
      <c r="G993" s="185"/>
      <c r="H993" s="185"/>
      <c r="I993" s="185"/>
      <c r="J993" s="185"/>
      <c r="K993" s="185"/>
      <c r="L993" s="185"/>
      <c r="M993" s="39"/>
      <c r="N993" s="185"/>
      <c r="O993" s="185"/>
      <c r="P993" s="185"/>
      <c r="Q993" s="185"/>
      <c r="R993" s="185"/>
    </row>
    <row r="994" spans="1:18" s="7" customFormat="1" ht="9" customHeight="1" x14ac:dyDescent="0.2">
      <c r="A994" s="73"/>
      <c r="B994" s="73"/>
      <c r="C994" s="184"/>
      <c r="D994" s="45"/>
      <c r="E994" s="185"/>
      <c r="F994" s="185"/>
      <c r="G994" s="185"/>
      <c r="H994" s="185"/>
      <c r="I994" s="185"/>
      <c r="J994" s="185"/>
      <c r="K994" s="185"/>
      <c r="L994" s="185"/>
      <c r="M994" s="39"/>
      <c r="N994" s="185"/>
      <c r="O994" s="185"/>
      <c r="P994" s="185"/>
      <c r="Q994" s="185"/>
      <c r="R994" s="185"/>
    </row>
    <row r="995" spans="1:18" s="7" customFormat="1" ht="9" customHeight="1" x14ac:dyDescent="0.2">
      <c r="A995" s="73"/>
      <c r="B995" s="73"/>
      <c r="C995" s="184"/>
      <c r="D995" s="45"/>
      <c r="E995" s="185"/>
      <c r="F995" s="185"/>
      <c r="G995" s="185"/>
      <c r="H995" s="185"/>
      <c r="I995" s="185"/>
      <c r="J995" s="185"/>
      <c r="K995" s="185"/>
      <c r="L995" s="185"/>
      <c r="M995" s="39"/>
      <c r="N995" s="185"/>
      <c r="O995" s="185"/>
      <c r="P995" s="185"/>
      <c r="Q995" s="185"/>
      <c r="R995" s="185"/>
    </row>
    <row r="996" spans="1:18" s="7" customFormat="1" ht="9" customHeight="1" x14ac:dyDescent="0.2">
      <c r="A996" s="73"/>
      <c r="B996" s="73"/>
      <c r="C996" s="184"/>
      <c r="D996" s="45"/>
      <c r="E996" s="185"/>
      <c r="F996" s="185"/>
      <c r="G996" s="185"/>
      <c r="H996" s="185"/>
      <c r="I996" s="185"/>
      <c r="J996" s="185"/>
      <c r="K996" s="185"/>
      <c r="L996" s="185"/>
      <c r="M996" s="39"/>
      <c r="N996" s="185"/>
      <c r="O996" s="185"/>
      <c r="P996" s="185"/>
      <c r="Q996" s="185"/>
      <c r="R996" s="185"/>
    </row>
    <row r="997" spans="1:18" s="7" customFormat="1" ht="9" customHeight="1" x14ac:dyDescent="0.2">
      <c r="A997" s="73"/>
      <c r="B997" s="73"/>
      <c r="C997" s="184"/>
      <c r="D997" s="45"/>
      <c r="E997" s="185"/>
      <c r="F997" s="185"/>
      <c r="G997" s="185"/>
      <c r="H997" s="185"/>
      <c r="I997" s="185"/>
      <c r="J997" s="185"/>
      <c r="K997" s="185"/>
      <c r="L997" s="185"/>
      <c r="M997" s="39"/>
      <c r="N997" s="185"/>
      <c r="O997" s="185"/>
      <c r="P997" s="185"/>
      <c r="Q997" s="185"/>
      <c r="R997" s="185"/>
    </row>
    <row r="998" spans="1:18" s="7" customFormat="1" ht="9" customHeight="1" x14ac:dyDescent="0.2">
      <c r="A998" s="73"/>
      <c r="B998" s="73"/>
      <c r="C998" s="184"/>
      <c r="D998" s="45"/>
      <c r="E998" s="185"/>
      <c r="F998" s="185"/>
      <c r="G998" s="185"/>
      <c r="H998" s="185"/>
      <c r="I998" s="185"/>
      <c r="J998" s="185"/>
      <c r="K998" s="185"/>
      <c r="L998" s="185"/>
      <c r="M998" s="39"/>
      <c r="N998" s="185"/>
      <c r="O998" s="185"/>
      <c r="P998" s="185"/>
      <c r="Q998" s="185"/>
      <c r="R998" s="185"/>
    </row>
    <row r="999" spans="1:18" s="7" customFormat="1" ht="9" customHeight="1" x14ac:dyDescent="0.2">
      <c r="A999" s="73"/>
      <c r="B999" s="73"/>
      <c r="C999" s="184"/>
      <c r="D999" s="45"/>
      <c r="E999" s="185"/>
      <c r="F999" s="185"/>
      <c r="G999" s="185"/>
      <c r="H999" s="185"/>
      <c r="I999" s="185"/>
      <c r="J999" s="185"/>
      <c r="K999" s="185"/>
      <c r="L999" s="185"/>
      <c r="M999" s="39"/>
      <c r="N999" s="185"/>
      <c r="O999" s="185"/>
      <c r="P999" s="185"/>
      <c r="Q999" s="185"/>
      <c r="R999" s="185"/>
    </row>
    <row r="1000" spans="1:18" s="7" customFormat="1" ht="12.75" customHeight="1" x14ac:dyDescent="0.2">
      <c r="A1000" s="56">
        <v>44197</v>
      </c>
      <c r="B1000" s="56">
        <v>44561</v>
      </c>
      <c r="C1000" s="57" t="s">
        <v>36</v>
      </c>
      <c r="D1000" s="58">
        <v>0</v>
      </c>
      <c r="E1000" s="59">
        <v>11777.219999999998</v>
      </c>
      <c r="F1000" s="59"/>
      <c r="G1000" s="59"/>
      <c r="H1000" s="59">
        <v>6280.06</v>
      </c>
      <c r="I1000" s="59"/>
      <c r="J1000" s="59">
        <v>1459.92</v>
      </c>
      <c r="K1000" s="59">
        <v>17519.05</v>
      </c>
      <c r="L1000" s="60">
        <v>18978.97</v>
      </c>
      <c r="M1000" s="33"/>
      <c r="N1000" s="59">
        <v>17519.05</v>
      </c>
      <c r="O1000" s="59">
        <v>11238.99</v>
      </c>
      <c r="P1000" s="59">
        <v>884.4</v>
      </c>
      <c r="Q1000" s="59">
        <v>21001.99</v>
      </c>
      <c r="R1000" s="59">
        <v>19542.07</v>
      </c>
    </row>
    <row r="1001" spans="1:18" s="7" customFormat="1" ht="9" customHeight="1" x14ac:dyDescent="0.2">
      <c r="A1001" s="61"/>
      <c r="B1001" s="61"/>
      <c r="C1001" s="62" t="s">
        <v>37</v>
      </c>
      <c r="D1001" s="63">
        <v>8</v>
      </c>
      <c r="E1001" s="64">
        <v>21525881</v>
      </c>
      <c r="F1001" s="65"/>
      <c r="G1001" s="65"/>
      <c r="H1001" s="64">
        <v>12159892</v>
      </c>
      <c r="I1001" s="64"/>
      <c r="J1001" s="66">
        <v>2826799</v>
      </c>
      <c r="K1001" s="66">
        <v>33921611</v>
      </c>
      <c r="L1001" s="64">
        <v>36748410</v>
      </c>
      <c r="M1001" s="39"/>
      <c r="N1001" s="65">
        <v>33921611</v>
      </c>
      <c r="O1001" s="65">
        <v>21761719</v>
      </c>
      <c r="P1001" s="65">
        <v>1712437</v>
      </c>
      <c r="Q1001" s="65">
        <v>40665523</v>
      </c>
      <c r="R1001" s="65">
        <v>37838724</v>
      </c>
    </row>
    <row r="1002" spans="1:18" s="7" customFormat="1" ht="12.75" customHeight="1" x14ac:dyDescent="0.2">
      <c r="A1002" s="73">
        <f>A1000</f>
        <v>44197</v>
      </c>
      <c r="B1002" s="73">
        <f>B1000</f>
        <v>44561</v>
      </c>
      <c r="C1002" s="68" t="s">
        <v>36</v>
      </c>
      <c r="D1002" s="69">
        <v>9</v>
      </c>
      <c r="E1002" s="59">
        <v>13612.259999999998</v>
      </c>
      <c r="F1002" s="59"/>
      <c r="G1002" s="59"/>
      <c r="H1002" s="59">
        <v>6280.06</v>
      </c>
      <c r="I1002" s="59"/>
      <c r="J1002" s="59">
        <v>1608.87</v>
      </c>
      <c r="K1002" s="59">
        <v>16918.52</v>
      </c>
      <c r="L1002" s="60">
        <v>18527.39</v>
      </c>
      <c r="M1002" s="33"/>
      <c r="N1002" s="59">
        <v>19306.47</v>
      </c>
      <c r="O1002" s="59">
        <v>13026.41</v>
      </c>
      <c r="P1002" s="59">
        <v>884.4</v>
      </c>
      <c r="Q1002" s="59">
        <v>23260.09</v>
      </c>
      <c r="R1002" s="59">
        <v>21651.22</v>
      </c>
    </row>
    <row r="1003" spans="1:18" s="7" customFormat="1" ht="9" customHeight="1" x14ac:dyDescent="0.2">
      <c r="A1003" s="73"/>
      <c r="B1003" s="73"/>
      <c r="C1003" s="62" t="s">
        <v>37</v>
      </c>
      <c r="D1003" s="63">
        <v>14</v>
      </c>
      <c r="E1003" s="64">
        <v>21525881</v>
      </c>
      <c r="F1003" s="65"/>
      <c r="G1003" s="65"/>
      <c r="H1003" s="64">
        <v>12159892</v>
      </c>
      <c r="I1003" s="64"/>
      <c r="J1003" s="66">
        <v>3115207</v>
      </c>
      <c r="K1003" s="64">
        <v>32758823</v>
      </c>
      <c r="L1003" s="64">
        <v>35874029</v>
      </c>
      <c r="M1003" s="39"/>
      <c r="N1003" s="65">
        <v>37382539</v>
      </c>
      <c r="O1003" s="65">
        <v>25222647</v>
      </c>
      <c r="P1003" s="65">
        <v>1712437</v>
      </c>
      <c r="Q1003" s="65">
        <v>45037814</v>
      </c>
      <c r="R1003" s="65">
        <v>41922608</v>
      </c>
    </row>
    <row r="1004" spans="1:18" s="7" customFormat="1" ht="12.75" customHeight="1" x14ac:dyDescent="0.2">
      <c r="A1004" s="73"/>
      <c r="B1004" s="73"/>
      <c r="C1004" s="68" t="s">
        <v>36</v>
      </c>
      <c r="D1004" s="69">
        <v>15</v>
      </c>
      <c r="E1004" s="59">
        <v>14989.309999999998</v>
      </c>
      <c r="F1004" s="59"/>
      <c r="G1004" s="59"/>
      <c r="H1004" s="59">
        <v>6280.06</v>
      </c>
      <c r="I1004" s="59"/>
      <c r="J1004" s="59">
        <v>1719.39</v>
      </c>
      <c r="K1004" s="59">
        <v>17933.73</v>
      </c>
      <c r="L1004" s="60">
        <v>19653.12</v>
      </c>
      <c r="M1004" s="33"/>
      <c r="N1004" s="59">
        <v>20632.71</v>
      </c>
      <c r="O1004" s="59">
        <v>14352.65</v>
      </c>
      <c r="P1004" s="59">
        <v>884.4</v>
      </c>
      <c r="Q1004" s="59">
        <v>24935.58</v>
      </c>
      <c r="R1004" s="59">
        <v>23216.19</v>
      </c>
    </row>
    <row r="1005" spans="1:18" s="7" customFormat="1" ht="9" customHeight="1" x14ac:dyDescent="0.2">
      <c r="A1005" s="73"/>
      <c r="B1005" s="73"/>
      <c r="C1005" s="62" t="s">
        <v>37</v>
      </c>
      <c r="D1005" s="63">
        <v>20</v>
      </c>
      <c r="E1005" s="64">
        <v>21525881</v>
      </c>
      <c r="F1005" s="65"/>
      <c r="G1005" s="65"/>
      <c r="H1005" s="64">
        <v>12159892</v>
      </c>
      <c r="I1005" s="64"/>
      <c r="J1005" s="66">
        <v>3329203</v>
      </c>
      <c r="K1005" s="64">
        <v>34724543</v>
      </c>
      <c r="L1005" s="64">
        <v>38053747</v>
      </c>
      <c r="M1005" s="39"/>
      <c r="N1005" s="65">
        <v>39950497</v>
      </c>
      <c r="O1005" s="65">
        <v>27790606</v>
      </c>
      <c r="P1005" s="65">
        <v>1712437</v>
      </c>
      <c r="Q1005" s="65">
        <v>48282015</v>
      </c>
      <c r="R1005" s="65">
        <v>44952812</v>
      </c>
    </row>
    <row r="1006" spans="1:18" s="7" customFormat="1" ht="12.75" customHeight="1" x14ac:dyDescent="0.2">
      <c r="A1006" s="73"/>
      <c r="B1006" s="73"/>
      <c r="C1006" s="68" t="s">
        <v>36</v>
      </c>
      <c r="D1006" s="69">
        <v>21</v>
      </c>
      <c r="E1006" s="59">
        <v>16349.96</v>
      </c>
      <c r="F1006" s="59"/>
      <c r="G1006" s="59"/>
      <c r="H1006" s="59">
        <v>6280.06</v>
      </c>
      <c r="I1006" s="59"/>
      <c r="J1006" s="59">
        <v>1829.55</v>
      </c>
      <c r="K1006" s="59">
        <v>18921.79</v>
      </c>
      <c r="L1006" s="60">
        <v>20751.34</v>
      </c>
      <c r="M1006" s="33"/>
      <c r="N1006" s="59">
        <v>21954.58</v>
      </c>
      <c r="O1006" s="59">
        <v>15674.52</v>
      </c>
      <c r="P1006" s="59">
        <v>884.4</v>
      </c>
      <c r="Q1006" s="59">
        <v>26605.54</v>
      </c>
      <c r="R1006" s="59">
        <v>24775.99</v>
      </c>
    </row>
    <row r="1007" spans="1:18" s="7" customFormat="1" ht="9" customHeight="1" x14ac:dyDescent="0.2">
      <c r="A1007" s="73"/>
      <c r="B1007" s="73"/>
      <c r="C1007" s="62" t="s">
        <v>37</v>
      </c>
      <c r="D1007" s="63">
        <v>27</v>
      </c>
      <c r="E1007" s="64">
        <v>21525881</v>
      </c>
      <c r="F1007" s="65"/>
      <c r="G1007" s="65"/>
      <c r="H1007" s="64">
        <v>12159892</v>
      </c>
      <c r="I1007" s="64"/>
      <c r="J1007" s="66">
        <v>3542503</v>
      </c>
      <c r="K1007" s="64">
        <v>36637694</v>
      </c>
      <c r="L1007" s="64">
        <v>40180197</v>
      </c>
      <c r="M1007" s="39"/>
      <c r="N1007" s="65">
        <v>42509995</v>
      </c>
      <c r="O1007" s="65">
        <v>30350103</v>
      </c>
      <c r="P1007" s="65">
        <v>1712437</v>
      </c>
      <c r="Q1007" s="65">
        <v>51515509</v>
      </c>
      <c r="R1007" s="65">
        <v>47973006</v>
      </c>
    </row>
    <row r="1008" spans="1:18" s="7" customFormat="1" ht="12.75" customHeight="1" x14ac:dyDescent="0.2">
      <c r="A1008" s="73"/>
      <c r="B1008" s="73"/>
      <c r="C1008" s="68" t="s">
        <v>36</v>
      </c>
      <c r="D1008" s="69">
        <v>28</v>
      </c>
      <c r="E1008" s="59">
        <v>17331.12</v>
      </c>
      <c r="F1008" s="59"/>
      <c r="G1008" s="59"/>
      <c r="H1008" s="59">
        <v>6280.06</v>
      </c>
      <c r="I1008" s="59"/>
      <c r="J1008" s="59">
        <v>1908.87</v>
      </c>
      <c r="K1008" s="59">
        <v>19673.080000000002</v>
      </c>
      <c r="L1008" s="60">
        <v>21581.95</v>
      </c>
      <c r="M1008" s="33"/>
      <c r="N1008" s="59">
        <v>22906.39</v>
      </c>
      <c r="O1008" s="59">
        <v>16626.330000000002</v>
      </c>
      <c r="P1008" s="59">
        <v>884.4</v>
      </c>
      <c r="Q1008" s="59">
        <v>27808</v>
      </c>
      <c r="R1008" s="59">
        <v>25899.13</v>
      </c>
    </row>
    <row r="1009" spans="1:22" s="7" customFormat="1" ht="9" customHeight="1" x14ac:dyDescent="0.2">
      <c r="A1009" s="73"/>
      <c r="B1009" s="73"/>
      <c r="C1009" s="62" t="s">
        <v>37</v>
      </c>
      <c r="D1009" s="63">
        <v>34</v>
      </c>
      <c r="E1009" s="64">
        <v>21525881</v>
      </c>
      <c r="F1009" s="65"/>
      <c r="G1009" s="65"/>
      <c r="H1009" s="64">
        <v>12159892</v>
      </c>
      <c r="I1009" s="64"/>
      <c r="J1009" s="66">
        <v>3696088</v>
      </c>
      <c r="K1009" s="64">
        <v>38092395</v>
      </c>
      <c r="L1009" s="64">
        <v>41788482</v>
      </c>
      <c r="M1009" s="39"/>
      <c r="N1009" s="65">
        <v>44352956</v>
      </c>
      <c r="O1009" s="65">
        <v>32193064</v>
      </c>
      <c r="P1009" s="65">
        <v>1712437</v>
      </c>
      <c r="Q1009" s="65">
        <v>53843796</v>
      </c>
      <c r="R1009" s="65">
        <v>50147708</v>
      </c>
    </row>
    <row r="1010" spans="1:22" s="7" customFormat="1" ht="12.75" customHeight="1" x14ac:dyDescent="0.2">
      <c r="A1010" s="73"/>
      <c r="B1010" s="73"/>
      <c r="C1010" s="68" t="s">
        <v>36</v>
      </c>
      <c r="D1010" s="69">
        <v>35</v>
      </c>
      <c r="E1010" s="59">
        <v>18075.789999999997</v>
      </c>
      <c r="F1010" s="59"/>
      <c r="G1010" s="59"/>
      <c r="H1010" s="59">
        <v>6280.06</v>
      </c>
      <c r="I1010" s="59"/>
      <c r="J1010" s="59">
        <v>1969.35</v>
      </c>
      <c r="K1010" s="59">
        <v>20206.89</v>
      </c>
      <c r="L1010" s="60">
        <v>22176.240000000002</v>
      </c>
      <c r="M1010" s="33"/>
      <c r="N1010" s="59">
        <v>23632.14</v>
      </c>
      <c r="O1010" s="59">
        <v>17352.080000000002</v>
      </c>
      <c r="P1010" s="59">
        <v>884.4</v>
      </c>
      <c r="Q1010" s="59">
        <v>28724.86</v>
      </c>
      <c r="R1010" s="59">
        <v>26755.51</v>
      </c>
    </row>
    <row r="1011" spans="1:22" s="7" customFormat="1" ht="9" customHeight="1" x14ac:dyDescent="0.2">
      <c r="A1011" s="74"/>
      <c r="B1011" s="74"/>
      <c r="C1011" s="71" t="s">
        <v>37</v>
      </c>
      <c r="D1011" s="72"/>
      <c r="E1011" s="64">
        <v>21525881</v>
      </c>
      <c r="F1011" s="64"/>
      <c r="G1011" s="64"/>
      <c r="H1011" s="64">
        <v>12159892</v>
      </c>
      <c r="I1011" s="64"/>
      <c r="J1011" s="64">
        <v>3813193</v>
      </c>
      <c r="K1011" s="64">
        <v>39125995</v>
      </c>
      <c r="L1011" s="64">
        <v>42939188</v>
      </c>
      <c r="M1011" s="39"/>
      <c r="N1011" s="64">
        <v>45758204</v>
      </c>
      <c r="O1011" s="64">
        <v>33598312</v>
      </c>
      <c r="P1011" s="64">
        <v>1712437</v>
      </c>
      <c r="Q1011" s="64">
        <v>55619085</v>
      </c>
      <c r="R1011" s="64">
        <v>51805891</v>
      </c>
    </row>
    <row r="1012" spans="1:22" s="7" customFormat="1" ht="10.15" customHeight="1" x14ac:dyDescent="0.2">
      <c r="A1012" s="73"/>
      <c r="B1012" s="73"/>
      <c r="C1012" s="184"/>
      <c r="D1012" s="45"/>
      <c r="E1012" s="185"/>
      <c r="F1012" s="185"/>
      <c r="G1012" s="185"/>
      <c r="H1012" s="185"/>
      <c r="I1012" s="185"/>
      <c r="J1012" s="185"/>
      <c r="K1012" s="185"/>
      <c r="L1012" s="185"/>
      <c r="M1012" s="39"/>
      <c r="N1012" s="185"/>
      <c r="O1012" s="185"/>
      <c r="P1012" s="185"/>
      <c r="Q1012" s="185"/>
      <c r="R1012" s="185"/>
    </row>
    <row r="1013" spans="1:22" s="7" customFormat="1" ht="10.15" customHeight="1" x14ac:dyDescent="0.2">
      <c r="A1013" s="73"/>
      <c r="B1013" s="73"/>
      <c r="C1013" s="184"/>
      <c r="D1013" s="45"/>
      <c r="E1013" s="185"/>
      <c r="F1013" s="185"/>
      <c r="G1013" s="185"/>
      <c r="H1013" s="185"/>
      <c r="I1013" s="185"/>
      <c r="J1013" s="185"/>
      <c r="K1013" s="185"/>
      <c r="L1013" s="185"/>
      <c r="M1013" s="39"/>
      <c r="N1013" s="185"/>
      <c r="O1013" s="185"/>
      <c r="P1013" s="185"/>
      <c r="Q1013" s="185"/>
      <c r="R1013" s="185"/>
    </row>
    <row r="1014" spans="1:22" s="7" customFormat="1" ht="10.15" customHeight="1" x14ac:dyDescent="0.2">
      <c r="A1014" s="73"/>
      <c r="B1014" s="73"/>
      <c r="C1014" s="184"/>
      <c r="D1014" s="45"/>
      <c r="E1014" s="185"/>
      <c r="F1014" s="185"/>
      <c r="G1014" s="185"/>
      <c r="H1014" s="185"/>
      <c r="I1014" s="185"/>
      <c r="J1014" s="185"/>
      <c r="K1014" s="185"/>
      <c r="L1014" s="185"/>
      <c r="M1014" s="39"/>
      <c r="N1014" s="185"/>
      <c r="O1014" s="185"/>
      <c r="P1014" s="185"/>
      <c r="Q1014" s="185"/>
      <c r="R1014" s="185"/>
    </row>
    <row r="1015" spans="1:22" s="7" customFormat="1" ht="10.15" customHeight="1" x14ac:dyDescent="0.2">
      <c r="A1015" s="73"/>
      <c r="B1015" s="73"/>
      <c r="C1015" s="184"/>
      <c r="D1015" s="45"/>
      <c r="E1015" s="185"/>
      <c r="F1015" s="185"/>
      <c r="G1015" s="185"/>
      <c r="H1015" s="185"/>
      <c r="I1015" s="185"/>
      <c r="J1015" s="185"/>
      <c r="K1015" s="185"/>
      <c r="L1015" s="185"/>
      <c r="M1015" s="39"/>
      <c r="N1015" s="185"/>
      <c r="O1015" s="185"/>
      <c r="P1015" s="185"/>
      <c r="Q1015" s="185"/>
      <c r="R1015" s="185"/>
    </row>
    <row r="1016" spans="1:22" s="7" customFormat="1" ht="10.15" customHeight="1" x14ac:dyDescent="0.2">
      <c r="A1016" s="73"/>
      <c r="B1016" s="73"/>
      <c r="C1016" s="184"/>
      <c r="D1016" s="45"/>
      <c r="E1016" s="185"/>
      <c r="F1016" s="185"/>
      <c r="G1016" s="185"/>
      <c r="H1016" s="185"/>
      <c r="I1016" s="185"/>
      <c r="J1016" s="185"/>
      <c r="K1016" s="185"/>
      <c r="L1016" s="185"/>
      <c r="M1016" s="39"/>
      <c r="N1016" s="185"/>
      <c r="O1016" s="185"/>
      <c r="P1016" s="185"/>
      <c r="Q1016" s="185"/>
      <c r="R1016" s="185"/>
    </row>
    <row r="1017" spans="1:22" s="7" customFormat="1" ht="10.15" customHeight="1" x14ac:dyDescent="0.2">
      <c r="A1017" s="73"/>
      <c r="B1017" s="73"/>
      <c r="C1017" s="184"/>
      <c r="D1017" s="45"/>
      <c r="E1017" s="185"/>
      <c r="F1017" s="185"/>
      <c r="G1017" s="185"/>
      <c r="H1017" s="185"/>
      <c r="I1017" s="185"/>
      <c r="J1017" s="185"/>
      <c r="K1017" s="185"/>
      <c r="L1017" s="185"/>
      <c r="M1017" s="39"/>
      <c r="N1017" s="185"/>
      <c r="O1017" s="185"/>
      <c r="P1017" s="185"/>
      <c r="Q1017" s="185"/>
      <c r="R1017" s="185"/>
    </row>
    <row r="1018" spans="1:22" s="7" customFormat="1" ht="10.15" customHeight="1" x14ac:dyDescent="0.2">
      <c r="A1018" s="73"/>
      <c r="B1018" s="73"/>
      <c r="C1018" s="184"/>
      <c r="D1018" s="45"/>
      <c r="E1018" s="185"/>
      <c r="F1018" s="185"/>
      <c r="G1018" s="185"/>
      <c r="H1018" s="185"/>
      <c r="I1018" s="185"/>
      <c r="J1018" s="185"/>
      <c r="K1018" s="185"/>
      <c r="L1018" s="185"/>
      <c r="M1018" s="39"/>
      <c r="N1018" s="185"/>
      <c r="O1018" s="185"/>
      <c r="P1018" s="185"/>
      <c r="Q1018" s="185"/>
      <c r="R1018" s="185"/>
    </row>
    <row r="1019" spans="1:22" s="7" customFormat="1" ht="10.15" customHeight="1" x14ac:dyDescent="0.2">
      <c r="A1019" s="73"/>
      <c r="B1019" s="73"/>
      <c r="C1019" s="184"/>
      <c r="D1019" s="45"/>
      <c r="E1019" s="185"/>
      <c r="F1019" s="185"/>
      <c r="G1019" s="185"/>
      <c r="H1019" s="185"/>
      <c r="I1019" s="185"/>
      <c r="J1019" s="185"/>
      <c r="K1019" s="185"/>
      <c r="L1019" s="185"/>
      <c r="M1019" s="39"/>
      <c r="N1019" s="185"/>
      <c r="O1019" s="185"/>
      <c r="P1019" s="185"/>
      <c r="Q1019" s="185"/>
      <c r="R1019" s="185"/>
    </row>
    <row r="1020" spans="1:22" s="7" customFormat="1" ht="10.15" customHeight="1" x14ac:dyDescent="0.2">
      <c r="A1020" s="522">
        <v>44562</v>
      </c>
      <c r="B1020" s="522">
        <v>44652</v>
      </c>
      <c r="C1020" s="57" t="s">
        <v>36</v>
      </c>
      <c r="D1020" s="58">
        <v>0</v>
      </c>
      <c r="E1020" s="59">
        <v>11777.219999999998</v>
      </c>
      <c r="F1020" s="59"/>
      <c r="G1020" s="59"/>
      <c r="H1020" s="59">
        <v>6280.06</v>
      </c>
      <c r="I1020" s="59"/>
      <c r="J1020" s="59">
        <v>1459.92</v>
      </c>
      <c r="K1020" s="59">
        <v>17519.05</v>
      </c>
      <c r="L1020" s="60">
        <v>18978.97</v>
      </c>
      <c r="M1020" s="33"/>
      <c r="N1020" s="59">
        <v>17519.05</v>
      </c>
      <c r="O1020" s="59">
        <v>11238.99</v>
      </c>
      <c r="P1020" s="59">
        <v>961.2</v>
      </c>
      <c r="Q1020" s="59">
        <v>21001.99</v>
      </c>
      <c r="R1020" s="59">
        <v>19542.07</v>
      </c>
      <c r="T1020" s="7">
        <f>6.4*12</f>
        <v>76.800000000000011</v>
      </c>
      <c r="V1020" s="76">
        <f>P1020+T1020</f>
        <v>1038</v>
      </c>
    </row>
    <row r="1021" spans="1:22" s="7" customFormat="1" ht="10.15" customHeight="1" x14ac:dyDescent="0.2">
      <c r="A1021" s="523"/>
      <c r="B1021" s="523"/>
      <c r="C1021" s="62" t="s">
        <v>37</v>
      </c>
      <c r="D1021" s="63">
        <v>8</v>
      </c>
      <c r="E1021" s="64">
        <v>21525881</v>
      </c>
      <c r="F1021" s="65"/>
      <c r="G1021" s="65"/>
      <c r="H1021" s="64">
        <v>12159892</v>
      </c>
      <c r="I1021" s="64"/>
      <c r="J1021" s="66">
        <v>2826799</v>
      </c>
      <c r="K1021" s="66">
        <v>33921611</v>
      </c>
      <c r="L1021" s="64">
        <v>36748410</v>
      </c>
      <c r="M1021" s="39"/>
      <c r="N1021" s="65">
        <v>33921611</v>
      </c>
      <c r="O1021" s="65">
        <v>21761719</v>
      </c>
      <c r="P1021" s="65"/>
      <c r="Q1021" s="65">
        <v>40665523</v>
      </c>
      <c r="R1021" s="65">
        <v>37838724</v>
      </c>
      <c r="V1021" s="76"/>
    </row>
    <row r="1022" spans="1:22" s="7" customFormat="1" ht="10.15" customHeight="1" x14ac:dyDescent="0.2">
      <c r="A1022" s="520">
        <f>A1020</f>
        <v>44562</v>
      </c>
      <c r="B1022" s="520">
        <v>44651</v>
      </c>
      <c r="C1022" s="68" t="s">
        <v>36</v>
      </c>
      <c r="D1022" s="69">
        <v>9</v>
      </c>
      <c r="E1022" s="59">
        <v>13612.259999999998</v>
      </c>
      <c r="F1022" s="59"/>
      <c r="G1022" s="59"/>
      <c r="H1022" s="59">
        <v>6280.06</v>
      </c>
      <c r="I1022" s="59"/>
      <c r="J1022" s="59">
        <v>1608.87</v>
      </c>
      <c r="K1022" s="59">
        <v>16918.52</v>
      </c>
      <c r="L1022" s="60">
        <v>18527.39</v>
      </c>
      <c r="M1022" s="33"/>
      <c r="N1022" s="59">
        <v>19306.47</v>
      </c>
      <c r="O1022" s="59">
        <v>13026.41</v>
      </c>
      <c r="P1022" s="59">
        <v>961.2</v>
      </c>
      <c r="Q1022" s="59">
        <v>23260.09</v>
      </c>
      <c r="R1022" s="59">
        <v>21651.22</v>
      </c>
      <c r="T1022" s="7">
        <v>76.800000000000011</v>
      </c>
      <c r="V1022" s="76">
        <f>P1022+T1022</f>
        <v>1038</v>
      </c>
    </row>
    <row r="1023" spans="1:22" s="7" customFormat="1" ht="10.15" customHeight="1" x14ac:dyDescent="0.2">
      <c r="A1023" s="520"/>
      <c r="B1023" s="520"/>
      <c r="C1023" s="62" t="s">
        <v>37</v>
      </c>
      <c r="D1023" s="63">
        <v>14</v>
      </c>
      <c r="E1023" s="64">
        <v>21525881</v>
      </c>
      <c r="F1023" s="65"/>
      <c r="G1023" s="65"/>
      <c r="H1023" s="64">
        <v>12159892</v>
      </c>
      <c r="I1023" s="64"/>
      <c r="J1023" s="66">
        <v>3115207</v>
      </c>
      <c r="K1023" s="64">
        <v>32758823</v>
      </c>
      <c r="L1023" s="64">
        <v>35874029</v>
      </c>
      <c r="M1023" s="39"/>
      <c r="N1023" s="65">
        <v>37382539</v>
      </c>
      <c r="O1023" s="65">
        <v>25222647</v>
      </c>
      <c r="P1023" s="65"/>
      <c r="Q1023" s="65">
        <v>45037814</v>
      </c>
      <c r="R1023" s="65">
        <v>41922608</v>
      </c>
      <c r="V1023" s="76"/>
    </row>
    <row r="1024" spans="1:22" s="7" customFormat="1" ht="10.15" customHeight="1" x14ac:dyDescent="0.2">
      <c r="A1024" s="520"/>
      <c r="B1024" s="520"/>
      <c r="C1024" s="68" t="s">
        <v>36</v>
      </c>
      <c r="D1024" s="69">
        <v>15</v>
      </c>
      <c r="E1024" s="59">
        <v>14989.309999999998</v>
      </c>
      <c r="F1024" s="59"/>
      <c r="G1024" s="59"/>
      <c r="H1024" s="59">
        <v>6280.06</v>
      </c>
      <c r="I1024" s="59"/>
      <c r="J1024" s="59">
        <v>1719.39</v>
      </c>
      <c r="K1024" s="59">
        <v>17933.73</v>
      </c>
      <c r="L1024" s="60">
        <v>19653.12</v>
      </c>
      <c r="M1024" s="33"/>
      <c r="N1024" s="59">
        <v>20632.71</v>
      </c>
      <c r="O1024" s="59">
        <v>14352.65</v>
      </c>
      <c r="P1024" s="59">
        <v>961.2</v>
      </c>
      <c r="Q1024" s="59">
        <v>24935.58</v>
      </c>
      <c r="R1024" s="59">
        <v>23216.19</v>
      </c>
      <c r="T1024" s="7">
        <v>76.800000000000011</v>
      </c>
      <c r="V1024" s="76">
        <f>P1024+T1024</f>
        <v>1038</v>
      </c>
    </row>
    <row r="1025" spans="1:22" s="7" customFormat="1" ht="10.15" customHeight="1" x14ac:dyDescent="0.2">
      <c r="A1025" s="520"/>
      <c r="B1025" s="520"/>
      <c r="C1025" s="62" t="s">
        <v>37</v>
      </c>
      <c r="D1025" s="63">
        <v>20</v>
      </c>
      <c r="E1025" s="64">
        <v>21525881</v>
      </c>
      <c r="F1025" s="65"/>
      <c r="G1025" s="65"/>
      <c r="H1025" s="64">
        <v>12159892</v>
      </c>
      <c r="I1025" s="64"/>
      <c r="J1025" s="66">
        <v>3329203</v>
      </c>
      <c r="K1025" s="64">
        <v>34724543</v>
      </c>
      <c r="L1025" s="64">
        <v>38053747</v>
      </c>
      <c r="M1025" s="39"/>
      <c r="N1025" s="65">
        <v>39950497</v>
      </c>
      <c r="O1025" s="65">
        <v>27790606</v>
      </c>
      <c r="P1025" s="65"/>
      <c r="Q1025" s="65">
        <v>48282015</v>
      </c>
      <c r="R1025" s="65">
        <v>44952812</v>
      </c>
      <c r="V1025" s="76"/>
    </row>
    <row r="1026" spans="1:22" s="7" customFormat="1" ht="10.15" customHeight="1" x14ac:dyDescent="0.2">
      <c r="A1026" s="520"/>
      <c r="B1026" s="520"/>
      <c r="C1026" s="68" t="s">
        <v>36</v>
      </c>
      <c r="D1026" s="69">
        <v>21</v>
      </c>
      <c r="E1026" s="59">
        <v>16349.96</v>
      </c>
      <c r="F1026" s="59"/>
      <c r="G1026" s="59"/>
      <c r="H1026" s="59">
        <v>6280.06</v>
      </c>
      <c r="I1026" s="59"/>
      <c r="J1026" s="59">
        <v>1829.55</v>
      </c>
      <c r="K1026" s="59">
        <v>18921.79</v>
      </c>
      <c r="L1026" s="60">
        <v>20751.34</v>
      </c>
      <c r="M1026" s="33"/>
      <c r="N1026" s="59">
        <v>21954.58</v>
      </c>
      <c r="O1026" s="59">
        <v>15674.52</v>
      </c>
      <c r="P1026" s="59">
        <v>961.2</v>
      </c>
      <c r="Q1026" s="59">
        <v>26605.54</v>
      </c>
      <c r="R1026" s="59">
        <v>24775.99</v>
      </c>
      <c r="T1026" s="7">
        <v>76.800000000000011</v>
      </c>
      <c r="V1026" s="76">
        <f>P1026+T1026</f>
        <v>1038</v>
      </c>
    </row>
    <row r="1027" spans="1:22" s="7" customFormat="1" ht="10.15" customHeight="1" x14ac:dyDescent="0.2">
      <c r="A1027" s="520"/>
      <c r="B1027" s="520"/>
      <c r="C1027" s="62" t="s">
        <v>37</v>
      </c>
      <c r="D1027" s="63">
        <v>27</v>
      </c>
      <c r="E1027" s="64">
        <v>21525881</v>
      </c>
      <c r="F1027" s="65"/>
      <c r="G1027" s="65"/>
      <c r="H1027" s="64">
        <v>12159892</v>
      </c>
      <c r="I1027" s="64"/>
      <c r="J1027" s="66">
        <v>3542503</v>
      </c>
      <c r="K1027" s="64">
        <v>36637694</v>
      </c>
      <c r="L1027" s="64">
        <v>40180197</v>
      </c>
      <c r="M1027" s="39"/>
      <c r="N1027" s="65">
        <v>42509995</v>
      </c>
      <c r="O1027" s="65">
        <v>30350103</v>
      </c>
      <c r="P1027" s="65"/>
      <c r="Q1027" s="65">
        <v>51515509</v>
      </c>
      <c r="R1027" s="65">
        <v>47973006</v>
      </c>
      <c r="V1027" s="76"/>
    </row>
    <row r="1028" spans="1:22" s="7" customFormat="1" ht="10.15" customHeight="1" x14ac:dyDescent="0.2">
      <c r="A1028" s="520"/>
      <c r="B1028" s="520"/>
      <c r="C1028" s="68" t="s">
        <v>36</v>
      </c>
      <c r="D1028" s="69">
        <v>28</v>
      </c>
      <c r="E1028" s="59">
        <v>17331.12</v>
      </c>
      <c r="F1028" s="59"/>
      <c r="G1028" s="59"/>
      <c r="H1028" s="59">
        <v>6280.06</v>
      </c>
      <c r="I1028" s="59"/>
      <c r="J1028" s="59">
        <v>1908.87</v>
      </c>
      <c r="K1028" s="59">
        <v>19673.080000000002</v>
      </c>
      <c r="L1028" s="60">
        <v>21581.95</v>
      </c>
      <c r="M1028" s="33"/>
      <c r="N1028" s="59">
        <v>22906.39</v>
      </c>
      <c r="O1028" s="59">
        <v>16626.330000000002</v>
      </c>
      <c r="P1028" s="59">
        <v>961.2</v>
      </c>
      <c r="Q1028" s="59">
        <v>27808</v>
      </c>
      <c r="R1028" s="59">
        <v>25899.13</v>
      </c>
      <c r="T1028" s="7">
        <v>76.800000000000011</v>
      </c>
      <c r="V1028" s="76">
        <f>P1028+T1028</f>
        <v>1038</v>
      </c>
    </row>
    <row r="1029" spans="1:22" s="7" customFormat="1" ht="10.15" customHeight="1" x14ac:dyDescent="0.2">
      <c r="A1029" s="520"/>
      <c r="B1029" s="520"/>
      <c r="C1029" s="62" t="s">
        <v>37</v>
      </c>
      <c r="D1029" s="63">
        <v>34</v>
      </c>
      <c r="E1029" s="64">
        <v>21525881</v>
      </c>
      <c r="F1029" s="65"/>
      <c r="G1029" s="65"/>
      <c r="H1029" s="64">
        <v>12159892</v>
      </c>
      <c r="I1029" s="64"/>
      <c r="J1029" s="66">
        <v>3696088</v>
      </c>
      <c r="K1029" s="64">
        <v>38092395</v>
      </c>
      <c r="L1029" s="64">
        <v>41788482</v>
      </c>
      <c r="M1029" s="39"/>
      <c r="N1029" s="65">
        <v>44352956</v>
      </c>
      <c r="O1029" s="65">
        <v>32193064</v>
      </c>
      <c r="P1029" s="65"/>
      <c r="Q1029" s="65">
        <v>53843796</v>
      </c>
      <c r="R1029" s="65">
        <v>50147708</v>
      </c>
      <c r="V1029" s="76"/>
    </row>
    <row r="1030" spans="1:22" s="7" customFormat="1" ht="10.15" customHeight="1" x14ac:dyDescent="0.2">
      <c r="A1030" s="520"/>
      <c r="B1030" s="520"/>
      <c r="C1030" s="68" t="s">
        <v>36</v>
      </c>
      <c r="D1030" s="69">
        <v>35</v>
      </c>
      <c r="E1030" s="59">
        <v>18075.789999999997</v>
      </c>
      <c r="F1030" s="59"/>
      <c r="G1030" s="59"/>
      <c r="H1030" s="59">
        <v>6280.06</v>
      </c>
      <c r="I1030" s="59"/>
      <c r="J1030" s="59">
        <v>1969.35</v>
      </c>
      <c r="K1030" s="59">
        <v>20206.89</v>
      </c>
      <c r="L1030" s="60">
        <v>22176.240000000002</v>
      </c>
      <c r="M1030" s="33"/>
      <c r="N1030" s="59">
        <v>23632.14</v>
      </c>
      <c r="O1030" s="59">
        <v>17352.080000000002</v>
      </c>
      <c r="P1030" s="59">
        <v>961.2</v>
      </c>
      <c r="Q1030" s="59">
        <v>28724.86</v>
      </c>
      <c r="R1030" s="59">
        <v>26755.51</v>
      </c>
      <c r="T1030" s="7">
        <v>76.800000000000011</v>
      </c>
      <c r="V1030" s="76">
        <f>P1030+T1030</f>
        <v>1038</v>
      </c>
    </row>
    <row r="1031" spans="1:22" s="7" customFormat="1" ht="10.15" customHeight="1" x14ac:dyDescent="0.2">
      <c r="A1031" s="521"/>
      <c r="B1031" s="521"/>
      <c r="C1031" s="71" t="s">
        <v>37</v>
      </c>
      <c r="D1031" s="72"/>
      <c r="E1031" s="64">
        <v>21525881</v>
      </c>
      <c r="F1031" s="64"/>
      <c r="G1031" s="64"/>
      <c r="H1031" s="64">
        <v>12159892</v>
      </c>
      <c r="I1031" s="64"/>
      <c r="J1031" s="64">
        <v>3813193</v>
      </c>
      <c r="K1031" s="64">
        <v>39125995</v>
      </c>
      <c r="L1031" s="64">
        <v>42939188</v>
      </c>
      <c r="M1031" s="39"/>
      <c r="N1031" s="64">
        <v>45758204</v>
      </c>
      <c r="O1031" s="64">
        <v>33598312</v>
      </c>
      <c r="P1031" s="64">
        <v>1712437</v>
      </c>
      <c r="Q1031" s="64">
        <v>55619085</v>
      </c>
      <c r="R1031" s="64">
        <v>51805891</v>
      </c>
    </row>
    <row r="1032" spans="1:22" s="7" customFormat="1" ht="10.15" customHeight="1" x14ac:dyDescent="0.2">
      <c r="A1032" s="95"/>
      <c r="B1032" s="95"/>
      <c r="C1032" s="184"/>
      <c r="D1032" s="45"/>
      <c r="E1032" s="185"/>
      <c r="F1032" s="185"/>
      <c r="G1032" s="185"/>
      <c r="H1032" s="185"/>
      <c r="I1032" s="185"/>
      <c r="J1032" s="185"/>
      <c r="K1032" s="185"/>
      <c r="L1032" s="185"/>
      <c r="M1032" s="39"/>
      <c r="N1032" s="185"/>
      <c r="O1032" s="185"/>
      <c r="P1032" s="185"/>
      <c r="Q1032" s="185"/>
      <c r="R1032" s="185"/>
    </row>
    <row r="1033" spans="1:22" s="7" customFormat="1" ht="10.15" customHeight="1" x14ac:dyDescent="0.2">
      <c r="A1033" s="95"/>
      <c r="B1033" s="95"/>
      <c r="C1033" s="184"/>
      <c r="D1033" s="45"/>
      <c r="E1033" s="185"/>
      <c r="F1033" s="185"/>
      <c r="G1033" s="185"/>
      <c r="H1033" s="185"/>
      <c r="I1033" s="185"/>
      <c r="J1033" s="185"/>
      <c r="K1033" s="185"/>
      <c r="L1033" s="185"/>
      <c r="M1033" s="39"/>
      <c r="N1033" s="185"/>
      <c r="O1033" s="185"/>
      <c r="P1033" s="185"/>
      <c r="Q1033" s="185"/>
      <c r="R1033" s="185"/>
    </row>
    <row r="1034" spans="1:22" s="7" customFormat="1" ht="10.15" customHeight="1" x14ac:dyDescent="0.2">
      <c r="A1034" s="95"/>
      <c r="B1034" s="95"/>
      <c r="C1034" s="184"/>
      <c r="D1034" s="45"/>
      <c r="E1034" s="185"/>
      <c r="F1034" s="185"/>
      <c r="G1034" s="185"/>
      <c r="H1034" s="185"/>
      <c r="I1034" s="185"/>
      <c r="J1034" s="185"/>
      <c r="K1034" s="185"/>
      <c r="L1034" s="185"/>
      <c r="M1034" s="39"/>
      <c r="N1034" s="185"/>
      <c r="O1034" s="185"/>
      <c r="P1034" s="185"/>
      <c r="Q1034" s="185"/>
      <c r="R1034" s="185"/>
    </row>
    <row r="1035" spans="1:22" s="7" customFormat="1" ht="10.15" customHeight="1" x14ac:dyDescent="0.2">
      <c r="A1035" s="95"/>
      <c r="B1035" s="95"/>
      <c r="C1035" s="184"/>
      <c r="D1035" s="45"/>
      <c r="E1035" s="185"/>
      <c r="F1035" s="185"/>
      <c r="G1035" s="185"/>
      <c r="H1035" s="185"/>
      <c r="I1035" s="185"/>
      <c r="J1035" s="185"/>
      <c r="K1035" s="185"/>
      <c r="L1035" s="185"/>
      <c r="M1035" s="39"/>
      <c r="N1035" s="185"/>
      <c r="O1035" s="185"/>
      <c r="P1035" s="185"/>
      <c r="Q1035" s="185"/>
      <c r="R1035" s="185"/>
    </row>
    <row r="1036" spans="1:22" s="7" customFormat="1" ht="10.15" customHeight="1" x14ac:dyDescent="0.2">
      <c r="A1036" s="95"/>
      <c r="B1036" s="95"/>
      <c r="C1036" s="184"/>
      <c r="D1036" s="45"/>
      <c r="E1036" s="185"/>
      <c r="F1036" s="185"/>
      <c r="G1036" s="185"/>
      <c r="H1036" s="185"/>
      <c r="I1036" s="185"/>
      <c r="J1036" s="185"/>
      <c r="K1036" s="185"/>
      <c r="L1036" s="185"/>
      <c r="M1036" s="39"/>
      <c r="N1036" s="185"/>
      <c r="O1036" s="185"/>
      <c r="P1036" s="185"/>
      <c r="Q1036" s="185"/>
      <c r="R1036" s="185"/>
    </row>
    <row r="1037" spans="1:22" s="7" customFormat="1" ht="10.15" customHeight="1" x14ac:dyDescent="0.2">
      <c r="A1037" s="95"/>
      <c r="B1037" s="95"/>
      <c r="C1037" s="184"/>
      <c r="D1037" s="45"/>
      <c r="E1037" s="185"/>
      <c r="F1037" s="185"/>
      <c r="G1037" s="185"/>
      <c r="H1037" s="185"/>
      <c r="I1037" s="185"/>
      <c r="J1037" s="185"/>
      <c r="K1037" s="185"/>
      <c r="L1037" s="185"/>
      <c r="M1037" s="39"/>
      <c r="N1037" s="185"/>
      <c r="O1037" s="185"/>
      <c r="P1037" s="185"/>
      <c r="Q1037" s="185"/>
      <c r="R1037" s="185"/>
    </row>
    <row r="1038" spans="1:22" s="7" customFormat="1" ht="10.15" customHeight="1" x14ac:dyDescent="0.2">
      <c r="A1038" s="95"/>
      <c r="B1038" s="95"/>
      <c r="C1038" s="184"/>
      <c r="D1038" s="45"/>
      <c r="E1038" s="185"/>
      <c r="F1038" s="185"/>
      <c r="G1038" s="185"/>
      <c r="H1038" s="185"/>
      <c r="I1038" s="185"/>
      <c r="J1038" s="185"/>
      <c r="K1038" s="185"/>
      <c r="L1038" s="185"/>
      <c r="M1038" s="39"/>
      <c r="N1038" s="185"/>
      <c r="O1038" s="185"/>
      <c r="P1038" s="185"/>
      <c r="Q1038" s="185"/>
      <c r="R1038" s="185"/>
    </row>
    <row r="1039" spans="1:22" s="7" customFormat="1" ht="10.15" customHeight="1" x14ac:dyDescent="0.2">
      <c r="A1039" s="95"/>
      <c r="B1039" s="95"/>
      <c r="C1039" s="184"/>
      <c r="D1039" s="45"/>
      <c r="E1039" s="185"/>
      <c r="F1039" s="185"/>
      <c r="G1039" s="185"/>
      <c r="H1039" s="185"/>
      <c r="I1039" s="185"/>
      <c r="J1039" s="185"/>
      <c r="K1039" s="185"/>
      <c r="L1039" s="185"/>
      <c r="M1039" s="39"/>
      <c r="N1039" s="185"/>
      <c r="O1039" s="185"/>
      <c r="P1039" s="185"/>
      <c r="Q1039" s="185"/>
      <c r="R1039" s="185"/>
    </row>
    <row r="1040" spans="1:22" s="7" customFormat="1" ht="10.15" customHeight="1" x14ac:dyDescent="0.2">
      <c r="A1040" s="522">
        <v>44652</v>
      </c>
      <c r="B1040" s="522">
        <v>44742</v>
      </c>
      <c r="C1040" s="57" t="s">
        <v>36</v>
      </c>
      <c r="D1040" s="58">
        <v>0</v>
      </c>
      <c r="E1040" s="59">
        <v>11777.219999999998</v>
      </c>
      <c r="F1040" s="59"/>
      <c r="G1040" s="59"/>
      <c r="H1040" s="59">
        <v>6280.06</v>
      </c>
      <c r="I1040" s="59">
        <f>ROUND(           (  E1040+H1040) *0.003,2)</f>
        <v>54.17</v>
      </c>
      <c r="J1040" s="59">
        <v>1459.92</v>
      </c>
      <c r="K1040" s="59">
        <v>17519.05</v>
      </c>
      <c r="L1040" s="60">
        <v>18978.97</v>
      </c>
      <c r="M1040" s="33"/>
      <c r="N1040" s="59">
        <v>17519.05</v>
      </c>
      <c r="O1040" s="59">
        <v>11238.99</v>
      </c>
      <c r="P1040" s="59">
        <v>961.2</v>
      </c>
      <c r="Q1040" s="59">
        <v>21001.99</v>
      </c>
      <c r="R1040" s="59">
        <v>19542.07</v>
      </c>
      <c r="T1040" s="7">
        <f>6.4*12</f>
        <v>76.800000000000011</v>
      </c>
      <c r="V1040" s="76">
        <f>P1040+T1040</f>
        <v>1038</v>
      </c>
    </row>
    <row r="1041" spans="1:22" s="7" customFormat="1" ht="10.15" customHeight="1" x14ac:dyDescent="0.2">
      <c r="A1041" s="523"/>
      <c r="B1041" s="523"/>
      <c r="C1041" s="62" t="s">
        <v>37</v>
      </c>
      <c r="D1041" s="63">
        <v>8</v>
      </c>
      <c r="E1041" s="64">
        <v>21525881</v>
      </c>
      <c r="F1041" s="65"/>
      <c r="G1041" s="65"/>
      <c r="H1041" s="64">
        <v>12159892</v>
      </c>
      <c r="I1041" s="64"/>
      <c r="J1041" s="66">
        <v>2826799</v>
      </c>
      <c r="K1041" s="66">
        <v>33921611</v>
      </c>
      <c r="L1041" s="64">
        <v>36748410</v>
      </c>
      <c r="M1041" s="39"/>
      <c r="N1041" s="65">
        <v>33921611</v>
      </c>
      <c r="O1041" s="65">
        <v>21761719</v>
      </c>
      <c r="P1041" s="65"/>
      <c r="Q1041" s="65">
        <v>40665523</v>
      </c>
      <c r="R1041" s="65">
        <v>37838724</v>
      </c>
      <c r="V1041" s="76"/>
    </row>
    <row r="1042" spans="1:22" s="7" customFormat="1" ht="10.15" customHeight="1" x14ac:dyDescent="0.2">
      <c r="A1042" s="520">
        <f>A1040</f>
        <v>44652</v>
      </c>
      <c r="B1042" s="520">
        <f>B1040</f>
        <v>44742</v>
      </c>
      <c r="C1042" s="68" t="s">
        <v>36</v>
      </c>
      <c r="D1042" s="69">
        <v>9</v>
      </c>
      <c r="E1042" s="59">
        <v>13612.259999999998</v>
      </c>
      <c r="F1042" s="59"/>
      <c r="G1042" s="59"/>
      <c r="H1042" s="59">
        <v>6280.06</v>
      </c>
      <c r="I1042" s="59">
        <f>ROUND(           (  E1042+H1042) *0.003,2)</f>
        <v>59.68</v>
      </c>
      <c r="J1042" s="59">
        <v>1608.87</v>
      </c>
      <c r="K1042" s="59">
        <v>16918.52</v>
      </c>
      <c r="L1042" s="60">
        <v>18527.39</v>
      </c>
      <c r="M1042" s="33"/>
      <c r="N1042" s="59">
        <v>19306.47</v>
      </c>
      <c r="O1042" s="59">
        <v>13026.41</v>
      </c>
      <c r="P1042" s="59">
        <v>961.2</v>
      </c>
      <c r="Q1042" s="59">
        <v>23260.09</v>
      </c>
      <c r="R1042" s="59">
        <v>21651.22</v>
      </c>
      <c r="T1042" s="7">
        <v>76.800000000000011</v>
      </c>
      <c r="V1042" s="76">
        <f>P1042+T1042</f>
        <v>1038</v>
      </c>
    </row>
    <row r="1043" spans="1:22" s="7" customFormat="1" ht="10.15" customHeight="1" x14ac:dyDescent="0.2">
      <c r="A1043" s="520"/>
      <c r="B1043" s="520"/>
      <c r="C1043" s="62" t="s">
        <v>37</v>
      </c>
      <c r="D1043" s="63">
        <v>14</v>
      </c>
      <c r="E1043" s="64">
        <v>21525881</v>
      </c>
      <c r="F1043" s="65"/>
      <c r="G1043" s="65"/>
      <c r="H1043" s="64">
        <v>12159892</v>
      </c>
      <c r="I1043" s="64"/>
      <c r="J1043" s="66">
        <v>3115207</v>
      </c>
      <c r="K1043" s="64">
        <v>32758823</v>
      </c>
      <c r="L1043" s="64">
        <v>35874029</v>
      </c>
      <c r="M1043" s="39"/>
      <c r="N1043" s="65">
        <v>37382539</v>
      </c>
      <c r="O1043" s="65">
        <v>25222647</v>
      </c>
      <c r="P1043" s="65"/>
      <c r="Q1043" s="65">
        <v>45037814</v>
      </c>
      <c r="R1043" s="65">
        <v>41922608</v>
      </c>
      <c r="V1043" s="76"/>
    </row>
    <row r="1044" spans="1:22" s="7" customFormat="1" ht="10.15" customHeight="1" x14ac:dyDescent="0.2">
      <c r="A1044" s="520"/>
      <c r="B1044" s="520"/>
      <c r="C1044" s="68" t="s">
        <v>36</v>
      </c>
      <c r="D1044" s="69">
        <v>15</v>
      </c>
      <c r="E1044" s="59">
        <v>14989.309999999998</v>
      </c>
      <c r="F1044" s="59"/>
      <c r="G1044" s="59"/>
      <c r="H1044" s="59">
        <v>6280.06</v>
      </c>
      <c r="I1044" s="59">
        <f>ROUND(           (  E1044+H1044) *0.003,2)</f>
        <v>63.81</v>
      </c>
      <c r="J1044" s="59">
        <v>1719.39</v>
      </c>
      <c r="K1044" s="59">
        <v>17933.73</v>
      </c>
      <c r="L1044" s="60">
        <v>19653.12</v>
      </c>
      <c r="M1044" s="33"/>
      <c r="N1044" s="59">
        <v>20632.71</v>
      </c>
      <c r="O1044" s="59">
        <v>14352.65</v>
      </c>
      <c r="P1044" s="59">
        <v>961.2</v>
      </c>
      <c r="Q1044" s="59">
        <v>24935.58</v>
      </c>
      <c r="R1044" s="59">
        <v>23216.19</v>
      </c>
      <c r="T1044" s="7">
        <v>76.800000000000011</v>
      </c>
      <c r="V1044" s="76">
        <f>P1044+T1044</f>
        <v>1038</v>
      </c>
    </row>
    <row r="1045" spans="1:22" s="7" customFormat="1" ht="10.15" customHeight="1" x14ac:dyDescent="0.2">
      <c r="A1045" s="520"/>
      <c r="B1045" s="520"/>
      <c r="C1045" s="62" t="s">
        <v>37</v>
      </c>
      <c r="D1045" s="63">
        <v>20</v>
      </c>
      <c r="E1045" s="64">
        <v>21525881</v>
      </c>
      <c r="F1045" s="65"/>
      <c r="G1045" s="65"/>
      <c r="H1045" s="64">
        <v>12159892</v>
      </c>
      <c r="I1045" s="64"/>
      <c r="J1045" s="66">
        <v>3329203</v>
      </c>
      <c r="K1045" s="64">
        <v>34724543</v>
      </c>
      <c r="L1045" s="64">
        <v>38053747</v>
      </c>
      <c r="M1045" s="39"/>
      <c r="N1045" s="65">
        <v>39950497</v>
      </c>
      <c r="O1045" s="65">
        <v>27790606</v>
      </c>
      <c r="P1045" s="65"/>
      <c r="Q1045" s="65">
        <v>48282015</v>
      </c>
      <c r="R1045" s="65">
        <v>44952812</v>
      </c>
      <c r="V1045" s="76"/>
    </row>
    <row r="1046" spans="1:22" s="7" customFormat="1" ht="10.15" customHeight="1" x14ac:dyDescent="0.2">
      <c r="A1046" s="520"/>
      <c r="B1046" s="520"/>
      <c r="C1046" s="68" t="s">
        <v>36</v>
      </c>
      <c r="D1046" s="69">
        <v>21</v>
      </c>
      <c r="E1046" s="59">
        <v>16349.96</v>
      </c>
      <c r="F1046" s="59"/>
      <c r="G1046" s="59"/>
      <c r="H1046" s="59">
        <v>6280.06</v>
      </c>
      <c r="I1046" s="59">
        <f>ROUND(           (  E1046+H1046) *0.003,2)</f>
        <v>67.89</v>
      </c>
      <c r="J1046" s="59">
        <v>1829.55</v>
      </c>
      <c r="K1046" s="59">
        <v>18921.79</v>
      </c>
      <c r="L1046" s="60">
        <v>20751.34</v>
      </c>
      <c r="M1046" s="33"/>
      <c r="N1046" s="59">
        <v>21954.58</v>
      </c>
      <c r="O1046" s="59">
        <v>15674.52</v>
      </c>
      <c r="P1046" s="59">
        <v>961.2</v>
      </c>
      <c r="Q1046" s="59">
        <v>26605.54</v>
      </c>
      <c r="R1046" s="59">
        <v>24775.99</v>
      </c>
      <c r="T1046" s="7">
        <v>76.800000000000011</v>
      </c>
      <c r="V1046" s="76">
        <f>P1046+T1046</f>
        <v>1038</v>
      </c>
    </row>
    <row r="1047" spans="1:22" s="7" customFormat="1" ht="10.15" customHeight="1" x14ac:dyDescent="0.2">
      <c r="A1047" s="520"/>
      <c r="B1047" s="520"/>
      <c r="C1047" s="62" t="s">
        <v>37</v>
      </c>
      <c r="D1047" s="63">
        <v>27</v>
      </c>
      <c r="E1047" s="64">
        <v>21525881</v>
      </c>
      <c r="F1047" s="65"/>
      <c r="G1047" s="65"/>
      <c r="H1047" s="64">
        <v>12159892</v>
      </c>
      <c r="I1047" s="64"/>
      <c r="J1047" s="66">
        <v>3542503</v>
      </c>
      <c r="K1047" s="64">
        <v>36637694</v>
      </c>
      <c r="L1047" s="64">
        <v>40180197</v>
      </c>
      <c r="M1047" s="39"/>
      <c r="N1047" s="65">
        <v>42509995</v>
      </c>
      <c r="O1047" s="65">
        <v>30350103</v>
      </c>
      <c r="P1047" s="65"/>
      <c r="Q1047" s="65">
        <v>51515509</v>
      </c>
      <c r="R1047" s="65">
        <v>47973006</v>
      </c>
      <c r="V1047" s="76"/>
    </row>
    <row r="1048" spans="1:22" s="7" customFormat="1" ht="10.15" customHeight="1" x14ac:dyDescent="0.2">
      <c r="A1048" s="520"/>
      <c r="B1048" s="520"/>
      <c r="C1048" s="68" t="s">
        <v>36</v>
      </c>
      <c r="D1048" s="69">
        <v>28</v>
      </c>
      <c r="E1048" s="59">
        <v>17331.12</v>
      </c>
      <c r="F1048" s="59"/>
      <c r="G1048" s="59"/>
      <c r="H1048" s="59">
        <v>6280.06</v>
      </c>
      <c r="I1048" s="59">
        <f>ROUND(           (  E1048+H1048) *0.003,2)</f>
        <v>70.83</v>
      </c>
      <c r="J1048" s="59">
        <v>1908.87</v>
      </c>
      <c r="K1048" s="59">
        <v>19673.080000000002</v>
      </c>
      <c r="L1048" s="60">
        <v>21581.95</v>
      </c>
      <c r="M1048" s="33"/>
      <c r="N1048" s="59">
        <v>22906.39</v>
      </c>
      <c r="O1048" s="59">
        <v>16626.330000000002</v>
      </c>
      <c r="P1048" s="59">
        <v>961.2</v>
      </c>
      <c r="Q1048" s="59">
        <v>27808</v>
      </c>
      <c r="R1048" s="59">
        <v>25899.13</v>
      </c>
      <c r="T1048" s="7">
        <v>76.800000000000011</v>
      </c>
      <c r="V1048" s="76">
        <f>P1048+T1048</f>
        <v>1038</v>
      </c>
    </row>
    <row r="1049" spans="1:22" s="7" customFormat="1" ht="10.15" customHeight="1" x14ac:dyDescent="0.2">
      <c r="A1049" s="520"/>
      <c r="B1049" s="520"/>
      <c r="C1049" s="62" t="s">
        <v>37</v>
      </c>
      <c r="D1049" s="63">
        <v>34</v>
      </c>
      <c r="E1049" s="64">
        <v>21525881</v>
      </c>
      <c r="F1049" s="65"/>
      <c r="G1049" s="65"/>
      <c r="H1049" s="64">
        <v>12159892</v>
      </c>
      <c r="I1049" s="64"/>
      <c r="J1049" s="66">
        <v>3696088</v>
      </c>
      <c r="K1049" s="64">
        <v>38092395</v>
      </c>
      <c r="L1049" s="64">
        <v>41788482</v>
      </c>
      <c r="M1049" s="39"/>
      <c r="N1049" s="65">
        <v>44352956</v>
      </c>
      <c r="O1049" s="65">
        <v>32193064</v>
      </c>
      <c r="P1049" s="65"/>
      <c r="Q1049" s="65">
        <v>53843796</v>
      </c>
      <c r="R1049" s="65">
        <v>50147708</v>
      </c>
      <c r="V1049" s="76"/>
    </row>
    <row r="1050" spans="1:22" s="7" customFormat="1" ht="10.15" customHeight="1" x14ac:dyDescent="0.2">
      <c r="A1050" s="520"/>
      <c r="B1050" s="520"/>
      <c r="C1050" s="68" t="s">
        <v>36</v>
      </c>
      <c r="D1050" s="69">
        <v>35</v>
      </c>
      <c r="E1050" s="59">
        <v>18075.789999999997</v>
      </c>
      <c r="F1050" s="59"/>
      <c r="G1050" s="59"/>
      <c r="H1050" s="59">
        <v>6280.06</v>
      </c>
      <c r="I1050" s="59">
        <f>ROUND(           (  E1050+H1050) *0.003,2)</f>
        <v>73.069999999999993</v>
      </c>
      <c r="J1050" s="59">
        <v>1969.35</v>
      </c>
      <c r="K1050" s="59">
        <v>20206.89</v>
      </c>
      <c r="L1050" s="60">
        <v>22176.240000000002</v>
      </c>
      <c r="M1050" s="33"/>
      <c r="N1050" s="59">
        <v>23632.14</v>
      </c>
      <c r="O1050" s="59">
        <v>17352.080000000002</v>
      </c>
      <c r="P1050" s="59">
        <v>961.2</v>
      </c>
      <c r="Q1050" s="59">
        <v>28724.86</v>
      </c>
      <c r="R1050" s="59">
        <v>26755.51</v>
      </c>
      <c r="T1050" s="7">
        <v>76.800000000000011</v>
      </c>
      <c r="V1050" s="76">
        <f>P1050+T1050</f>
        <v>1038</v>
      </c>
    </row>
    <row r="1051" spans="1:22" s="7" customFormat="1" ht="10.15" customHeight="1" x14ac:dyDescent="0.2">
      <c r="A1051" s="521"/>
      <c r="B1051" s="521"/>
      <c r="C1051" s="71" t="s">
        <v>37</v>
      </c>
      <c r="D1051" s="72"/>
      <c r="E1051" s="64">
        <v>21525881</v>
      </c>
      <c r="F1051" s="64"/>
      <c r="G1051" s="64"/>
      <c r="H1051" s="64">
        <v>12159892</v>
      </c>
      <c r="I1051" s="64"/>
      <c r="J1051" s="64">
        <v>3813193</v>
      </c>
      <c r="K1051" s="64">
        <v>39125995</v>
      </c>
      <c r="L1051" s="64">
        <v>42939188</v>
      </c>
      <c r="M1051" s="39"/>
      <c r="N1051" s="64">
        <v>45758204</v>
      </c>
      <c r="O1051" s="64">
        <v>33598312</v>
      </c>
      <c r="P1051" s="64">
        <v>1712437</v>
      </c>
      <c r="Q1051" s="64">
        <v>55619085</v>
      </c>
      <c r="R1051" s="64">
        <v>51805891</v>
      </c>
    </row>
    <row r="1052" spans="1:22" s="7" customFormat="1" ht="10.15" customHeight="1" x14ac:dyDescent="0.2">
      <c r="A1052" s="95"/>
      <c r="B1052" s="95"/>
      <c r="C1052" s="184"/>
      <c r="D1052" s="45"/>
      <c r="E1052" s="185"/>
      <c r="F1052" s="185"/>
      <c r="G1052" s="185"/>
      <c r="H1052" s="185"/>
      <c r="I1052" s="96"/>
      <c r="J1052" s="185"/>
      <c r="K1052" s="185"/>
      <c r="L1052" s="185"/>
      <c r="M1052" s="39"/>
      <c r="N1052" s="185"/>
      <c r="O1052" s="185"/>
      <c r="P1052" s="185"/>
      <c r="Q1052" s="185"/>
      <c r="R1052" s="185"/>
    </row>
    <row r="1053" spans="1:22" s="7" customFormat="1" ht="10.15" customHeight="1" x14ac:dyDescent="0.2">
      <c r="A1053" s="95"/>
      <c r="B1053" s="95"/>
      <c r="C1053" s="184"/>
      <c r="D1053" s="45"/>
      <c r="E1053" s="185"/>
      <c r="F1053" s="185"/>
      <c r="G1053" s="185"/>
      <c r="H1053" s="185"/>
      <c r="I1053" s="96"/>
      <c r="J1053" s="185"/>
      <c r="K1053" s="185"/>
      <c r="L1053" s="185"/>
      <c r="M1053" s="39"/>
      <c r="N1053" s="185"/>
      <c r="O1053" s="185"/>
      <c r="P1053" s="185"/>
      <c r="Q1053" s="185"/>
      <c r="R1053" s="185"/>
    </row>
    <row r="1054" spans="1:22" s="7" customFormat="1" ht="10.15" customHeight="1" x14ac:dyDescent="0.2">
      <c r="A1054" s="95"/>
      <c r="B1054" s="95"/>
      <c r="C1054" s="184"/>
      <c r="D1054" s="45"/>
      <c r="E1054" s="185"/>
      <c r="F1054" s="185"/>
      <c r="G1054" s="185"/>
      <c r="H1054" s="185"/>
      <c r="I1054" s="96"/>
      <c r="J1054" s="185"/>
      <c r="K1054" s="185"/>
      <c r="L1054" s="185"/>
      <c r="M1054" s="39"/>
      <c r="N1054" s="185"/>
      <c r="O1054" s="185"/>
      <c r="P1054" s="185"/>
      <c r="Q1054" s="185"/>
      <c r="R1054" s="185"/>
    </row>
    <row r="1055" spans="1:22" s="7" customFormat="1" ht="10.15" customHeight="1" x14ac:dyDescent="0.2">
      <c r="A1055" s="95"/>
      <c r="B1055" s="95"/>
      <c r="C1055" s="184"/>
      <c r="D1055" s="45"/>
      <c r="E1055" s="185"/>
      <c r="F1055" s="185"/>
      <c r="G1055" s="185"/>
      <c r="H1055" s="185"/>
      <c r="I1055" s="96"/>
      <c r="J1055" s="185"/>
      <c r="K1055" s="185"/>
      <c r="L1055" s="185"/>
      <c r="M1055" s="39"/>
      <c r="N1055" s="185"/>
      <c r="O1055" s="185"/>
      <c r="P1055" s="185"/>
      <c r="Q1055" s="185"/>
      <c r="R1055" s="185"/>
    </row>
    <row r="1056" spans="1:22" s="7" customFormat="1" ht="10.15" customHeight="1" x14ac:dyDescent="0.2">
      <c r="A1056" s="95"/>
      <c r="B1056" s="95"/>
      <c r="C1056" s="184"/>
      <c r="D1056" s="45"/>
      <c r="E1056" s="185"/>
      <c r="F1056" s="185"/>
      <c r="G1056" s="185"/>
      <c r="H1056" s="185"/>
      <c r="I1056" s="96"/>
      <c r="J1056" s="185"/>
      <c r="K1056" s="185"/>
      <c r="L1056" s="185"/>
      <c r="M1056" s="39"/>
      <c r="N1056" s="185"/>
      <c r="O1056" s="185"/>
      <c r="P1056" s="185"/>
      <c r="Q1056" s="185"/>
      <c r="R1056" s="185"/>
    </row>
    <row r="1057" spans="1:22" s="7" customFormat="1" ht="10.15" customHeight="1" x14ac:dyDescent="0.2">
      <c r="A1057" s="95"/>
      <c r="B1057" s="95"/>
      <c r="C1057" s="184"/>
      <c r="D1057" s="45"/>
      <c r="E1057" s="185"/>
      <c r="F1057" s="185"/>
      <c r="G1057" s="185"/>
      <c r="H1057" s="185"/>
      <c r="I1057" s="96"/>
      <c r="J1057" s="185"/>
      <c r="K1057" s="185"/>
      <c r="L1057" s="185"/>
      <c r="M1057" s="39"/>
      <c r="N1057" s="185"/>
      <c r="O1057" s="185"/>
      <c r="P1057" s="185"/>
      <c r="Q1057" s="185"/>
      <c r="R1057" s="185"/>
    </row>
    <row r="1058" spans="1:22" s="7" customFormat="1" ht="10.15" customHeight="1" x14ac:dyDescent="0.2">
      <c r="A1058" s="95"/>
      <c r="B1058" s="95"/>
      <c r="C1058" s="184"/>
      <c r="D1058" s="45"/>
      <c r="E1058" s="185"/>
      <c r="F1058" s="185"/>
      <c r="G1058" s="185"/>
      <c r="H1058" s="185"/>
      <c r="I1058" s="96"/>
      <c r="J1058" s="185"/>
      <c r="K1058" s="185"/>
      <c r="L1058" s="185"/>
      <c r="M1058" s="39"/>
      <c r="N1058" s="185"/>
      <c r="O1058" s="185"/>
      <c r="P1058" s="185"/>
      <c r="Q1058" s="185"/>
      <c r="R1058" s="185"/>
    </row>
    <row r="1059" spans="1:22" s="7" customFormat="1" ht="10.15" customHeight="1" x14ac:dyDescent="0.2">
      <c r="A1059" s="95"/>
      <c r="B1059" s="95"/>
      <c r="C1059" s="184"/>
      <c r="D1059" s="45"/>
      <c r="E1059" s="185"/>
      <c r="F1059" s="185"/>
      <c r="G1059" s="185"/>
      <c r="H1059" s="185"/>
      <c r="I1059" s="96"/>
      <c r="J1059" s="185"/>
      <c r="K1059" s="185"/>
      <c r="L1059" s="185"/>
      <c r="M1059" s="39"/>
      <c r="N1059" s="185"/>
      <c r="O1059" s="185"/>
      <c r="P1059" s="185"/>
      <c r="Q1059" s="185"/>
      <c r="R1059" s="185"/>
    </row>
    <row r="1060" spans="1:22" s="7" customFormat="1" ht="10.15" customHeight="1" x14ac:dyDescent="0.2">
      <c r="A1060" s="522">
        <v>44743</v>
      </c>
      <c r="B1060" s="522">
        <v>45291</v>
      </c>
      <c r="C1060" s="57" t="s">
        <v>36</v>
      </c>
      <c r="D1060" s="58">
        <v>0</v>
      </c>
      <c r="E1060" s="59">
        <v>11777.219999999998</v>
      </c>
      <c r="F1060" s="59"/>
      <c r="G1060" s="59"/>
      <c r="H1060" s="59">
        <v>6280.06</v>
      </c>
      <c r="I1060" s="59">
        <f>ROUND(           (  E1060+H1060) *0.005,2)</f>
        <v>90.29</v>
      </c>
      <c r="J1060" s="59">
        <v>1459.92</v>
      </c>
      <c r="K1060" s="59">
        <v>17519.05</v>
      </c>
      <c r="L1060" s="60">
        <v>18978.97</v>
      </c>
      <c r="M1060" s="33"/>
      <c r="N1060" s="59">
        <v>17519.05</v>
      </c>
      <c r="O1060" s="59">
        <v>11238.99</v>
      </c>
      <c r="P1060" s="59">
        <v>961.2</v>
      </c>
      <c r="Q1060" s="59">
        <v>21001.99</v>
      </c>
      <c r="R1060" s="59">
        <v>19542.07</v>
      </c>
      <c r="T1060" s="7">
        <f>6.4*12</f>
        <v>76.800000000000011</v>
      </c>
      <c r="V1060" s="76">
        <f>P1060+T1060</f>
        <v>1038</v>
      </c>
    </row>
    <row r="1061" spans="1:22" s="7" customFormat="1" ht="10.15" customHeight="1" x14ac:dyDescent="0.2">
      <c r="A1061" s="523"/>
      <c r="B1061" s="523"/>
      <c r="C1061" s="62" t="s">
        <v>37</v>
      </c>
      <c r="D1061" s="63">
        <v>8</v>
      </c>
      <c r="E1061" s="64">
        <v>21525881</v>
      </c>
      <c r="F1061" s="65"/>
      <c r="G1061" s="65"/>
      <c r="H1061" s="64">
        <v>12159892</v>
      </c>
      <c r="I1061" s="64"/>
      <c r="J1061" s="66">
        <v>2826799</v>
      </c>
      <c r="K1061" s="66">
        <v>33921611</v>
      </c>
      <c r="L1061" s="64">
        <v>36748410</v>
      </c>
      <c r="M1061" s="39"/>
      <c r="N1061" s="65">
        <v>33921611</v>
      </c>
      <c r="O1061" s="65">
        <v>21761719</v>
      </c>
      <c r="P1061" s="65"/>
      <c r="Q1061" s="65">
        <v>40665523</v>
      </c>
      <c r="R1061" s="65">
        <v>37838724</v>
      </c>
      <c r="V1061" s="76"/>
    </row>
    <row r="1062" spans="1:22" s="7" customFormat="1" ht="10.15" customHeight="1" x14ac:dyDescent="0.2">
      <c r="A1062" s="520">
        <f>A1060</f>
        <v>44743</v>
      </c>
      <c r="B1062" s="520">
        <f>B1060</f>
        <v>45291</v>
      </c>
      <c r="C1062" s="68" t="s">
        <v>36</v>
      </c>
      <c r="D1062" s="69">
        <v>9</v>
      </c>
      <c r="E1062" s="59">
        <v>13612.259999999998</v>
      </c>
      <c r="F1062" s="59"/>
      <c r="G1062" s="59"/>
      <c r="H1062" s="59">
        <v>6280.06</v>
      </c>
      <c r="I1062" s="59">
        <f>ROUND(           (  E1062+H1062) *0.005,2)</f>
        <v>99.46</v>
      </c>
      <c r="J1062" s="59">
        <v>1608.87</v>
      </c>
      <c r="K1062" s="59">
        <v>16918.52</v>
      </c>
      <c r="L1062" s="60">
        <v>18527.39</v>
      </c>
      <c r="M1062" s="33"/>
      <c r="N1062" s="59">
        <v>19306.47</v>
      </c>
      <c r="O1062" s="59">
        <v>13026.41</v>
      </c>
      <c r="P1062" s="59">
        <v>961.2</v>
      </c>
      <c r="Q1062" s="59">
        <v>23260.09</v>
      </c>
      <c r="R1062" s="59">
        <v>21651.22</v>
      </c>
      <c r="T1062" s="7">
        <v>76.800000000000011</v>
      </c>
      <c r="V1062" s="76">
        <f>P1062+T1062</f>
        <v>1038</v>
      </c>
    </row>
    <row r="1063" spans="1:22" s="7" customFormat="1" ht="10.15" customHeight="1" x14ac:dyDescent="0.2">
      <c r="A1063" s="520"/>
      <c r="B1063" s="520"/>
      <c r="C1063" s="62" t="s">
        <v>37</v>
      </c>
      <c r="D1063" s="63">
        <v>14</v>
      </c>
      <c r="E1063" s="64">
        <v>21525881</v>
      </c>
      <c r="F1063" s="65"/>
      <c r="G1063" s="65"/>
      <c r="H1063" s="64">
        <v>12159892</v>
      </c>
      <c r="I1063" s="64"/>
      <c r="J1063" s="66">
        <v>3115207</v>
      </c>
      <c r="K1063" s="64">
        <v>32758823</v>
      </c>
      <c r="L1063" s="64">
        <v>35874029</v>
      </c>
      <c r="M1063" s="39"/>
      <c r="N1063" s="65">
        <v>37382539</v>
      </c>
      <c r="O1063" s="65">
        <v>25222647</v>
      </c>
      <c r="P1063" s="65"/>
      <c r="Q1063" s="65">
        <v>45037814</v>
      </c>
      <c r="R1063" s="65">
        <v>41922608</v>
      </c>
      <c r="V1063" s="76"/>
    </row>
    <row r="1064" spans="1:22" s="7" customFormat="1" ht="10.15" customHeight="1" x14ac:dyDescent="0.2">
      <c r="A1064" s="520"/>
      <c r="B1064" s="520"/>
      <c r="C1064" s="68" t="s">
        <v>36</v>
      </c>
      <c r="D1064" s="69">
        <v>15</v>
      </c>
      <c r="E1064" s="59">
        <v>14989.309999999998</v>
      </c>
      <c r="F1064" s="59"/>
      <c r="G1064" s="59"/>
      <c r="H1064" s="59">
        <v>6280.06</v>
      </c>
      <c r="I1064" s="59">
        <f>ROUND(           (  E1064+H1064) *0.005,2)</f>
        <v>106.35</v>
      </c>
      <c r="J1064" s="59">
        <v>1719.39</v>
      </c>
      <c r="K1064" s="59">
        <v>17933.73</v>
      </c>
      <c r="L1064" s="60">
        <v>19653.12</v>
      </c>
      <c r="M1064" s="33"/>
      <c r="N1064" s="59">
        <v>20632.71</v>
      </c>
      <c r="O1064" s="59">
        <v>14352.65</v>
      </c>
      <c r="P1064" s="59">
        <v>961.2</v>
      </c>
      <c r="Q1064" s="59">
        <v>24935.58</v>
      </c>
      <c r="R1064" s="59">
        <v>23216.19</v>
      </c>
      <c r="T1064" s="7">
        <v>76.800000000000011</v>
      </c>
      <c r="V1064" s="76">
        <f>P1064+T1064</f>
        <v>1038</v>
      </c>
    </row>
    <row r="1065" spans="1:22" s="7" customFormat="1" ht="10.15" customHeight="1" x14ac:dyDescent="0.2">
      <c r="A1065" s="520"/>
      <c r="B1065" s="520"/>
      <c r="C1065" s="62" t="s">
        <v>37</v>
      </c>
      <c r="D1065" s="63">
        <v>20</v>
      </c>
      <c r="E1065" s="64">
        <v>21525881</v>
      </c>
      <c r="F1065" s="65"/>
      <c r="G1065" s="65"/>
      <c r="H1065" s="64">
        <v>12159892</v>
      </c>
      <c r="I1065" s="64"/>
      <c r="J1065" s="66">
        <v>3329203</v>
      </c>
      <c r="K1065" s="64">
        <v>34724543</v>
      </c>
      <c r="L1065" s="64">
        <v>38053747</v>
      </c>
      <c r="M1065" s="39"/>
      <c r="N1065" s="65">
        <v>39950497</v>
      </c>
      <c r="O1065" s="65">
        <v>27790606</v>
      </c>
      <c r="P1065" s="65"/>
      <c r="Q1065" s="65">
        <v>48282015</v>
      </c>
      <c r="R1065" s="65">
        <v>44952812</v>
      </c>
      <c r="V1065" s="76"/>
    </row>
    <row r="1066" spans="1:22" s="7" customFormat="1" ht="10.15" customHeight="1" x14ac:dyDescent="0.2">
      <c r="A1066" s="520"/>
      <c r="B1066" s="520"/>
      <c r="C1066" s="68" t="s">
        <v>36</v>
      </c>
      <c r="D1066" s="69">
        <v>21</v>
      </c>
      <c r="E1066" s="59">
        <v>16349.96</v>
      </c>
      <c r="F1066" s="59"/>
      <c r="G1066" s="59"/>
      <c r="H1066" s="59">
        <v>6280.06</v>
      </c>
      <c r="I1066" s="59">
        <f>ROUND(           (  E1066+H1066) *0.005,2)</f>
        <v>113.15</v>
      </c>
      <c r="J1066" s="59">
        <v>1829.55</v>
      </c>
      <c r="K1066" s="59">
        <v>18921.79</v>
      </c>
      <c r="L1066" s="60">
        <v>20751.34</v>
      </c>
      <c r="M1066" s="33"/>
      <c r="N1066" s="59">
        <v>21954.58</v>
      </c>
      <c r="O1066" s="59">
        <v>15674.52</v>
      </c>
      <c r="P1066" s="59">
        <v>961.2</v>
      </c>
      <c r="Q1066" s="59">
        <v>26605.54</v>
      </c>
      <c r="R1066" s="59">
        <v>24775.99</v>
      </c>
      <c r="T1066" s="7">
        <v>76.800000000000011</v>
      </c>
      <c r="V1066" s="76">
        <f>P1066+T1066</f>
        <v>1038</v>
      </c>
    </row>
    <row r="1067" spans="1:22" s="7" customFormat="1" ht="10.15" customHeight="1" x14ac:dyDescent="0.2">
      <c r="A1067" s="520"/>
      <c r="B1067" s="520"/>
      <c r="C1067" s="62" t="s">
        <v>37</v>
      </c>
      <c r="D1067" s="63">
        <v>27</v>
      </c>
      <c r="E1067" s="64">
        <v>21525881</v>
      </c>
      <c r="F1067" s="65"/>
      <c r="G1067" s="65"/>
      <c r="H1067" s="64">
        <v>12159892</v>
      </c>
      <c r="I1067" s="64"/>
      <c r="J1067" s="66">
        <v>3542503</v>
      </c>
      <c r="K1067" s="64">
        <v>36637694</v>
      </c>
      <c r="L1067" s="64">
        <v>40180197</v>
      </c>
      <c r="M1067" s="39"/>
      <c r="N1067" s="65">
        <v>42509995</v>
      </c>
      <c r="O1067" s="65">
        <v>30350103</v>
      </c>
      <c r="P1067" s="65"/>
      <c r="Q1067" s="65">
        <v>51515509</v>
      </c>
      <c r="R1067" s="65">
        <v>47973006</v>
      </c>
      <c r="V1067" s="76"/>
    </row>
    <row r="1068" spans="1:22" s="7" customFormat="1" ht="10.15" customHeight="1" x14ac:dyDescent="0.2">
      <c r="A1068" s="520"/>
      <c r="B1068" s="520"/>
      <c r="C1068" s="68" t="s">
        <v>36</v>
      </c>
      <c r="D1068" s="69">
        <v>28</v>
      </c>
      <c r="E1068" s="59">
        <v>17331.12</v>
      </c>
      <c r="F1068" s="59"/>
      <c r="G1068" s="59"/>
      <c r="H1068" s="59">
        <v>6280.06</v>
      </c>
      <c r="I1068" s="59">
        <f>ROUND(           (  E1068+H1068) *0.005,2)</f>
        <v>118.06</v>
      </c>
      <c r="J1068" s="59">
        <v>1908.87</v>
      </c>
      <c r="K1068" s="59">
        <v>19673.080000000002</v>
      </c>
      <c r="L1068" s="60">
        <v>21581.95</v>
      </c>
      <c r="M1068" s="33"/>
      <c r="N1068" s="59">
        <v>22906.39</v>
      </c>
      <c r="O1068" s="59">
        <v>16626.330000000002</v>
      </c>
      <c r="P1068" s="59">
        <v>961.2</v>
      </c>
      <c r="Q1068" s="59">
        <v>27808</v>
      </c>
      <c r="R1068" s="59">
        <v>25899.13</v>
      </c>
      <c r="T1068" s="7">
        <v>76.800000000000011</v>
      </c>
      <c r="V1068" s="76">
        <f>P1068+T1068</f>
        <v>1038</v>
      </c>
    </row>
    <row r="1069" spans="1:22" s="7" customFormat="1" ht="10.15" customHeight="1" x14ac:dyDescent="0.2">
      <c r="A1069" s="520"/>
      <c r="B1069" s="520"/>
      <c r="C1069" s="62" t="s">
        <v>37</v>
      </c>
      <c r="D1069" s="63">
        <v>34</v>
      </c>
      <c r="E1069" s="64">
        <v>21525881</v>
      </c>
      <c r="F1069" s="65"/>
      <c r="G1069" s="65"/>
      <c r="H1069" s="64">
        <v>12159892</v>
      </c>
      <c r="I1069" s="64"/>
      <c r="J1069" s="66">
        <v>3696088</v>
      </c>
      <c r="K1069" s="64">
        <v>38092395</v>
      </c>
      <c r="L1069" s="64">
        <v>41788482</v>
      </c>
      <c r="M1069" s="39"/>
      <c r="N1069" s="65">
        <v>44352956</v>
      </c>
      <c r="O1069" s="65">
        <v>32193064</v>
      </c>
      <c r="P1069" s="65"/>
      <c r="Q1069" s="65">
        <v>53843796</v>
      </c>
      <c r="R1069" s="65">
        <v>50147708</v>
      </c>
      <c r="V1069" s="76"/>
    </row>
    <row r="1070" spans="1:22" s="7" customFormat="1" ht="10.15" customHeight="1" x14ac:dyDescent="0.2">
      <c r="A1070" s="520"/>
      <c r="B1070" s="520"/>
      <c r="C1070" s="68" t="s">
        <v>36</v>
      </c>
      <c r="D1070" s="69">
        <v>35</v>
      </c>
      <c r="E1070" s="59">
        <v>18075.789999999997</v>
      </c>
      <c r="F1070" s="59"/>
      <c r="G1070" s="59"/>
      <c r="H1070" s="59">
        <v>6280.06</v>
      </c>
      <c r="I1070" s="59">
        <f>ROUND(           (  E1070+H1070) *0.005,2)</f>
        <v>121.78</v>
      </c>
      <c r="J1070" s="59">
        <v>1969.35</v>
      </c>
      <c r="K1070" s="59">
        <v>20206.89</v>
      </c>
      <c r="L1070" s="60">
        <v>22176.240000000002</v>
      </c>
      <c r="M1070" s="33"/>
      <c r="N1070" s="59">
        <v>23632.14</v>
      </c>
      <c r="O1070" s="59">
        <v>17352.080000000002</v>
      </c>
      <c r="P1070" s="59">
        <v>961.2</v>
      </c>
      <c r="Q1070" s="59">
        <v>28724.86</v>
      </c>
      <c r="R1070" s="59">
        <v>26755.51</v>
      </c>
      <c r="T1070" s="7">
        <v>76.800000000000011</v>
      </c>
      <c r="V1070" s="76">
        <f>P1070+T1070</f>
        <v>1038</v>
      </c>
    </row>
    <row r="1071" spans="1:22" s="7" customFormat="1" ht="10.15" customHeight="1" x14ac:dyDescent="0.2">
      <c r="A1071" s="521"/>
      <c r="B1071" s="521"/>
      <c r="C1071" s="71" t="s">
        <v>37</v>
      </c>
      <c r="D1071" s="72"/>
      <c r="E1071" s="64">
        <v>21525881</v>
      </c>
      <c r="F1071" s="64"/>
      <c r="G1071" s="64"/>
      <c r="H1071" s="64">
        <v>12159892</v>
      </c>
      <c r="I1071" s="64"/>
      <c r="J1071" s="64">
        <v>3813193</v>
      </c>
      <c r="K1071" s="64">
        <v>39125995</v>
      </c>
      <c r="L1071" s="64">
        <v>42939188</v>
      </c>
      <c r="M1071" s="39"/>
      <c r="N1071" s="64">
        <v>45758204</v>
      </c>
      <c r="O1071" s="64">
        <v>33598312</v>
      </c>
      <c r="P1071" s="64">
        <v>1712437</v>
      </c>
      <c r="Q1071" s="64">
        <v>55619085</v>
      </c>
      <c r="R1071" s="64">
        <v>51805891</v>
      </c>
    </row>
    <row r="1072" spans="1:22" s="7" customFormat="1" ht="10.15" customHeight="1" x14ac:dyDescent="0.2">
      <c r="A1072" s="73"/>
      <c r="B1072" s="73"/>
      <c r="C1072" s="184"/>
      <c r="D1072" s="45"/>
      <c r="E1072" s="185"/>
      <c r="F1072" s="185"/>
      <c r="G1072" s="185"/>
      <c r="H1072" s="185"/>
      <c r="I1072" s="185"/>
      <c r="J1072" s="185"/>
      <c r="K1072" s="185"/>
      <c r="L1072" s="185"/>
      <c r="M1072" s="39"/>
      <c r="N1072" s="185"/>
      <c r="O1072" s="185"/>
      <c r="P1072" s="185"/>
      <c r="Q1072" s="185"/>
      <c r="R1072" s="185"/>
    </row>
    <row r="1073" spans="1:22" s="7" customFormat="1" ht="10.15" customHeight="1" x14ac:dyDescent="0.2">
      <c r="A1073" s="73"/>
      <c r="B1073" s="73"/>
      <c r="C1073" s="184"/>
      <c r="D1073" s="45"/>
      <c r="E1073" s="185"/>
      <c r="F1073" s="185"/>
      <c r="G1073" s="185"/>
      <c r="H1073" s="185"/>
      <c r="I1073" s="185"/>
      <c r="J1073" s="185"/>
      <c r="K1073" s="185"/>
      <c r="L1073" s="185"/>
      <c r="M1073" s="39"/>
      <c r="N1073" s="185"/>
      <c r="O1073" s="185"/>
      <c r="P1073" s="185"/>
      <c r="Q1073" s="185"/>
      <c r="R1073" s="185"/>
    </row>
    <row r="1074" spans="1:22" s="7" customFormat="1" ht="10.15" customHeight="1" x14ac:dyDescent="0.2">
      <c r="A1074" s="73"/>
      <c r="B1074" s="73"/>
      <c r="C1074" s="184"/>
      <c r="D1074" s="45"/>
      <c r="E1074" s="185"/>
      <c r="F1074" s="185"/>
      <c r="G1074" s="185"/>
      <c r="H1074" s="185"/>
      <c r="I1074" s="185"/>
      <c r="J1074" s="185"/>
      <c r="K1074" s="185"/>
      <c r="L1074" s="185"/>
      <c r="M1074" s="39"/>
      <c r="N1074" s="185"/>
      <c r="O1074" s="185"/>
      <c r="P1074" s="185"/>
      <c r="Q1074" s="185"/>
      <c r="R1074" s="185"/>
    </row>
    <row r="1075" spans="1:22" s="7" customFormat="1" ht="10.15" customHeight="1" x14ac:dyDescent="0.2">
      <c r="A1075" s="73"/>
      <c r="B1075" s="73"/>
      <c r="C1075" s="184"/>
      <c r="D1075" s="45"/>
      <c r="E1075" s="185"/>
      <c r="F1075" s="185"/>
      <c r="G1075" s="185"/>
      <c r="H1075" s="185"/>
      <c r="I1075" s="185"/>
      <c r="J1075" s="185"/>
      <c r="K1075" s="185"/>
      <c r="L1075" s="185"/>
      <c r="M1075" s="39"/>
      <c r="N1075" s="185"/>
      <c r="O1075" s="185"/>
      <c r="P1075" s="185"/>
      <c r="Q1075" s="185"/>
      <c r="R1075" s="185"/>
    </row>
    <row r="1076" spans="1:22" s="7" customFormat="1" ht="10.15" customHeight="1" x14ac:dyDescent="0.2">
      <c r="A1076" s="73"/>
      <c r="B1076" s="73"/>
      <c r="C1076" s="184"/>
      <c r="D1076" s="45"/>
      <c r="E1076" s="185"/>
      <c r="F1076" s="185"/>
      <c r="G1076" s="185"/>
      <c r="H1076" s="185"/>
      <c r="I1076" s="185"/>
      <c r="J1076" s="185"/>
      <c r="K1076" s="185"/>
      <c r="L1076" s="185"/>
      <c r="M1076" s="39"/>
      <c r="N1076" s="185"/>
      <c r="O1076" s="185"/>
      <c r="P1076" s="185"/>
      <c r="Q1076" s="185"/>
      <c r="R1076" s="185"/>
    </row>
    <row r="1077" spans="1:22" s="7" customFormat="1" ht="10.15" customHeight="1" x14ac:dyDescent="0.2">
      <c r="A1077" s="73"/>
      <c r="B1077" s="73"/>
      <c r="C1077" s="184"/>
      <c r="D1077" s="45"/>
      <c r="E1077" s="185"/>
      <c r="F1077" s="185"/>
      <c r="G1077" s="185"/>
      <c r="H1077" s="185"/>
      <c r="I1077" s="185"/>
      <c r="J1077" s="185"/>
      <c r="K1077" s="185"/>
      <c r="L1077" s="185"/>
      <c r="M1077" s="39"/>
      <c r="N1077" s="185"/>
      <c r="O1077" s="185"/>
      <c r="P1077" s="185"/>
      <c r="Q1077" s="185"/>
      <c r="R1077" s="185"/>
    </row>
    <row r="1078" spans="1:22" s="7" customFormat="1" ht="10.15" customHeight="1" x14ac:dyDescent="0.2">
      <c r="A1078" s="73"/>
      <c r="B1078" s="73"/>
      <c r="C1078" s="184"/>
      <c r="D1078" s="45"/>
      <c r="E1078" s="185"/>
      <c r="F1078" s="185"/>
      <c r="G1078" s="185"/>
      <c r="H1078" s="185"/>
      <c r="I1078" s="185"/>
      <c r="J1078" s="185"/>
      <c r="K1078" s="185"/>
      <c r="L1078" s="185"/>
      <c r="M1078" s="39"/>
      <c r="N1078" s="185"/>
      <c r="O1078" s="185"/>
      <c r="P1078" s="185"/>
      <c r="Q1078" s="185"/>
      <c r="R1078" s="185"/>
    </row>
    <row r="1079" spans="1:22" s="7" customFormat="1" ht="10.15" customHeight="1" x14ac:dyDescent="0.2">
      <c r="A1079" s="73"/>
      <c r="B1079" s="73"/>
      <c r="C1079" s="184"/>
      <c r="D1079" s="45"/>
      <c r="E1079" s="185"/>
      <c r="F1079" s="185"/>
      <c r="G1079" s="185"/>
      <c r="H1079" s="185"/>
      <c r="I1079" s="185"/>
      <c r="J1079" s="185"/>
      <c r="K1079" s="185"/>
      <c r="L1079" s="185"/>
      <c r="M1079" s="39"/>
      <c r="N1079" s="185"/>
      <c r="O1079" s="185"/>
      <c r="P1079" s="185"/>
      <c r="Q1079" s="185"/>
      <c r="R1079" s="185"/>
    </row>
    <row r="1080" spans="1:22" s="7" customFormat="1" ht="10.15" customHeight="1" x14ac:dyDescent="0.2">
      <c r="A1080" s="56">
        <v>45292</v>
      </c>
      <c r="B1080" s="56">
        <v>45657</v>
      </c>
      <c r="C1080" s="57" t="s">
        <v>36</v>
      </c>
      <c r="D1080" s="58">
        <v>0</v>
      </c>
      <c r="E1080" s="59">
        <v>11777.219999999998</v>
      </c>
      <c r="F1080" s="59"/>
      <c r="G1080" s="59"/>
      <c r="H1080" s="59">
        <v>6280.06</v>
      </c>
      <c r="I1080" s="59"/>
      <c r="J1080" s="59">
        <v>1459.92</v>
      </c>
      <c r="K1080" s="59">
        <v>17519.05</v>
      </c>
      <c r="L1080" s="60">
        <v>18978.97</v>
      </c>
      <c r="M1080" s="33"/>
      <c r="N1080" s="59">
        <v>17519.05</v>
      </c>
      <c r="O1080" s="59">
        <v>11238.99</v>
      </c>
      <c r="P1080" s="59">
        <v>961.2</v>
      </c>
      <c r="Q1080" s="59">
        <v>21001.99</v>
      </c>
      <c r="R1080" s="59">
        <v>19542.07</v>
      </c>
      <c r="T1080" s="7">
        <f>6.4*12</f>
        <v>76.800000000000011</v>
      </c>
      <c r="V1080" s="76">
        <f>P1080+T1080</f>
        <v>1038</v>
      </c>
    </row>
    <row r="1081" spans="1:22" s="7" customFormat="1" ht="10.15" customHeight="1" x14ac:dyDescent="0.2">
      <c r="A1081" s="61"/>
      <c r="B1081" s="61"/>
      <c r="C1081" s="62" t="s">
        <v>37</v>
      </c>
      <c r="D1081" s="63">
        <v>8</v>
      </c>
      <c r="E1081" s="64">
        <v>21525881</v>
      </c>
      <c r="F1081" s="65"/>
      <c r="G1081" s="65"/>
      <c r="H1081" s="64">
        <v>12159892</v>
      </c>
      <c r="I1081" s="64"/>
      <c r="J1081" s="66">
        <v>2826799</v>
      </c>
      <c r="K1081" s="66">
        <v>33921611</v>
      </c>
      <c r="L1081" s="64">
        <v>36748410</v>
      </c>
      <c r="M1081" s="39"/>
      <c r="N1081" s="65">
        <v>33921611</v>
      </c>
      <c r="O1081" s="65">
        <v>21761719</v>
      </c>
      <c r="P1081" s="65"/>
      <c r="Q1081" s="65">
        <v>40665523</v>
      </c>
      <c r="R1081" s="65">
        <v>37838724</v>
      </c>
      <c r="V1081" s="76"/>
    </row>
    <row r="1082" spans="1:22" s="7" customFormat="1" ht="10.15" customHeight="1" x14ac:dyDescent="0.2">
      <c r="A1082" s="73">
        <f>A1080</f>
        <v>45292</v>
      </c>
      <c r="B1082" s="73">
        <f>B1080</f>
        <v>45657</v>
      </c>
      <c r="C1082" s="68" t="s">
        <v>36</v>
      </c>
      <c r="D1082" s="69">
        <v>9</v>
      </c>
      <c r="E1082" s="59">
        <v>13612.259999999998</v>
      </c>
      <c r="F1082" s="59"/>
      <c r="G1082" s="59"/>
      <c r="H1082" s="59">
        <v>6280.06</v>
      </c>
      <c r="I1082" s="59"/>
      <c r="J1082" s="59">
        <v>1608.87</v>
      </c>
      <c r="K1082" s="59">
        <v>16918.52</v>
      </c>
      <c r="L1082" s="60">
        <v>18527.39</v>
      </c>
      <c r="M1082" s="33"/>
      <c r="N1082" s="59">
        <v>19306.47</v>
      </c>
      <c r="O1082" s="59">
        <v>13026.41</v>
      </c>
      <c r="P1082" s="59">
        <v>961.2</v>
      </c>
      <c r="Q1082" s="59">
        <v>23260.09</v>
      </c>
      <c r="R1082" s="59">
        <v>21651.22</v>
      </c>
      <c r="T1082" s="7">
        <v>76.800000000000011</v>
      </c>
      <c r="V1082" s="76">
        <f>P1082+T1082</f>
        <v>1038</v>
      </c>
    </row>
    <row r="1083" spans="1:22" s="7" customFormat="1" ht="10.15" customHeight="1" x14ac:dyDescent="0.2">
      <c r="A1083" s="73"/>
      <c r="B1083" s="73"/>
      <c r="C1083" s="62" t="s">
        <v>37</v>
      </c>
      <c r="D1083" s="63">
        <v>14</v>
      </c>
      <c r="E1083" s="64">
        <v>21525881</v>
      </c>
      <c r="F1083" s="65"/>
      <c r="G1083" s="65"/>
      <c r="H1083" s="64">
        <v>12159892</v>
      </c>
      <c r="I1083" s="64"/>
      <c r="J1083" s="66">
        <v>3115207</v>
      </c>
      <c r="K1083" s="64">
        <v>32758823</v>
      </c>
      <c r="L1083" s="64">
        <v>35874029</v>
      </c>
      <c r="M1083" s="39"/>
      <c r="N1083" s="65">
        <v>37382539</v>
      </c>
      <c r="O1083" s="65">
        <v>25222647</v>
      </c>
      <c r="P1083" s="65"/>
      <c r="Q1083" s="65">
        <v>45037814</v>
      </c>
      <c r="R1083" s="65">
        <v>41922608</v>
      </c>
      <c r="V1083" s="76"/>
    </row>
    <row r="1084" spans="1:22" s="7" customFormat="1" ht="10.15" customHeight="1" x14ac:dyDescent="0.2">
      <c r="A1084" s="73"/>
      <c r="B1084" s="73"/>
      <c r="C1084" s="68" t="s">
        <v>36</v>
      </c>
      <c r="D1084" s="69">
        <v>15</v>
      </c>
      <c r="E1084" s="59">
        <v>14989.309999999998</v>
      </c>
      <c r="F1084" s="59"/>
      <c r="G1084" s="59"/>
      <c r="H1084" s="59">
        <v>6280.06</v>
      </c>
      <c r="I1084" s="59"/>
      <c r="J1084" s="59">
        <v>1719.39</v>
      </c>
      <c r="K1084" s="59">
        <v>17933.73</v>
      </c>
      <c r="L1084" s="60">
        <v>19653.12</v>
      </c>
      <c r="M1084" s="33"/>
      <c r="N1084" s="59">
        <v>20632.71</v>
      </c>
      <c r="O1084" s="59">
        <v>14352.65</v>
      </c>
      <c r="P1084" s="59">
        <v>961.2</v>
      </c>
      <c r="Q1084" s="59">
        <v>24935.58</v>
      </c>
      <c r="R1084" s="59">
        <v>23216.19</v>
      </c>
      <c r="T1084" s="7">
        <v>76.800000000000011</v>
      </c>
      <c r="V1084" s="76">
        <f>P1084+T1084</f>
        <v>1038</v>
      </c>
    </row>
    <row r="1085" spans="1:22" s="7" customFormat="1" ht="10.15" customHeight="1" x14ac:dyDescent="0.2">
      <c r="A1085" s="73"/>
      <c r="B1085" s="73"/>
      <c r="C1085" s="62" t="s">
        <v>37</v>
      </c>
      <c r="D1085" s="63">
        <v>20</v>
      </c>
      <c r="E1085" s="64">
        <v>21525881</v>
      </c>
      <c r="F1085" s="65"/>
      <c r="G1085" s="65"/>
      <c r="H1085" s="64">
        <v>12159892</v>
      </c>
      <c r="I1085" s="64"/>
      <c r="J1085" s="66">
        <v>3329203</v>
      </c>
      <c r="K1085" s="64">
        <v>34724543</v>
      </c>
      <c r="L1085" s="64">
        <v>38053747</v>
      </c>
      <c r="M1085" s="39"/>
      <c r="N1085" s="65">
        <v>39950497</v>
      </c>
      <c r="O1085" s="65">
        <v>27790606</v>
      </c>
      <c r="P1085" s="65"/>
      <c r="Q1085" s="65">
        <v>48282015</v>
      </c>
      <c r="R1085" s="65">
        <v>44952812</v>
      </c>
      <c r="V1085" s="76"/>
    </row>
    <row r="1086" spans="1:22" s="7" customFormat="1" ht="10.15" customHeight="1" x14ac:dyDescent="0.2">
      <c r="A1086" s="73"/>
      <c r="B1086" s="73"/>
      <c r="C1086" s="68" t="s">
        <v>36</v>
      </c>
      <c r="D1086" s="69">
        <v>21</v>
      </c>
      <c r="E1086" s="59">
        <v>16349.96</v>
      </c>
      <c r="F1086" s="59"/>
      <c r="G1086" s="59"/>
      <c r="H1086" s="59">
        <v>6280.06</v>
      </c>
      <c r="I1086" s="59"/>
      <c r="J1086" s="59">
        <v>1829.55</v>
      </c>
      <c r="K1086" s="59">
        <v>18921.79</v>
      </c>
      <c r="L1086" s="60">
        <v>20751.34</v>
      </c>
      <c r="M1086" s="33"/>
      <c r="N1086" s="59">
        <v>21954.58</v>
      </c>
      <c r="O1086" s="59">
        <v>15674.52</v>
      </c>
      <c r="P1086" s="59">
        <v>961.2</v>
      </c>
      <c r="Q1086" s="59">
        <v>26605.54</v>
      </c>
      <c r="R1086" s="59">
        <v>24775.99</v>
      </c>
      <c r="T1086" s="7">
        <v>76.800000000000011</v>
      </c>
      <c r="V1086" s="76">
        <f>P1086+T1086</f>
        <v>1038</v>
      </c>
    </row>
    <row r="1087" spans="1:22" s="7" customFormat="1" ht="10.15" customHeight="1" x14ac:dyDescent="0.2">
      <c r="A1087" s="73"/>
      <c r="B1087" s="73"/>
      <c r="C1087" s="62" t="s">
        <v>37</v>
      </c>
      <c r="D1087" s="63">
        <v>27</v>
      </c>
      <c r="E1087" s="64">
        <v>21525881</v>
      </c>
      <c r="F1087" s="65"/>
      <c r="G1087" s="65"/>
      <c r="H1087" s="64">
        <v>12159892</v>
      </c>
      <c r="I1087" s="64"/>
      <c r="J1087" s="66">
        <v>3542503</v>
      </c>
      <c r="K1087" s="64">
        <v>36637694</v>
      </c>
      <c r="L1087" s="64">
        <v>40180197</v>
      </c>
      <c r="M1087" s="39"/>
      <c r="N1087" s="65">
        <v>42509995</v>
      </c>
      <c r="O1087" s="65">
        <v>30350103</v>
      </c>
      <c r="P1087" s="65"/>
      <c r="Q1087" s="65">
        <v>51515509</v>
      </c>
      <c r="R1087" s="65">
        <v>47973006</v>
      </c>
      <c r="V1087" s="76"/>
    </row>
    <row r="1088" spans="1:22" s="7" customFormat="1" ht="10.15" customHeight="1" x14ac:dyDescent="0.2">
      <c r="A1088" s="73"/>
      <c r="B1088" s="73"/>
      <c r="C1088" s="68" t="s">
        <v>36</v>
      </c>
      <c r="D1088" s="69">
        <v>28</v>
      </c>
      <c r="E1088" s="59">
        <v>17331.12</v>
      </c>
      <c r="F1088" s="59"/>
      <c r="G1088" s="59"/>
      <c r="H1088" s="59">
        <v>6280.06</v>
      </c>
      <c r="I1088" s="59"/>
      <c r="J1088" s="59">
        <v>1908.87</v>
      </c>
      <c r="K1088" s="59">
        <v>19673.080000000002</v>
      </c>
      <c r="L1088" s="60">
        <v>21581.95</v>
      </c>
      <c r="M1088" s="33"/>
      <c r="N1088" s="59">
        <v>22906.39</v>
      </c>
      <c r="O1088" s="59">
        <v>16626.330000000002</v>
      </c>
      <c r="P1088" s="59">
        <v>961.2</v>
      </c>
      <c r="Q1088" s="59">
        <v>27808</v>
      </c>
      <c r="R1088" s="59">
        <v>25899.13</v>
      </c>
      <c r="T1088" s="7">
        <v>76.800000000000011</v>
      </c>
      <c r="V1088" s="76">
        <f>P1088+T1088</f>
        <v>1038</v>
      </c>
    </row>
    <row r="1089" spans="1:22" s="7" customFormat="1" ht="10.15" customHeight="1" x14ac:dyDescent="0.2">
      <c r="A1089" s="73"/>
      <c r="B1089" s="73"/>
      <c r="C1089" s="62" t="s">
        <v>37</v>
      </c>
      <c r="D1089" s="63">
        <v>34</v>
      </c>
      <c r="E1089" s="64">
        <v>21525881</v>
      </c>
      <c r="F1089" s="65"/>
      <c r="G1089" s="65"/>
      <c r="H1089" s="64">
        <v>12159892</v>
      </c>
      <c r="I1089" s="64"/>
      <c r="J1089" s="66">
        <v>3696088</v>
      </c>
      <c r="K1089" s="64">
        <v>38092395</v>
      </c>
      <c r="L1089" s="64">
        <v>41788482</v>
      </c>
      <c r="M1089" s="39"/>
      <c r="N1089" s="65">
        <v>44352956</v>
      </c>
      <c r="O1089" s="65">
        <v>32193064</v>
      </c>
      <c r="P1089" s="65"/>
      <c r="Q1089" s="65">
        <v>53843796</v>
      </c>
      <c r="R1089" s="65">
        <v>50147708</v>
      </c>
      <c r="V1089" s="76"/>
    </row>
    <row r="1090" spans="1:22" s="7" customFormat="1" ht="10.15" customHeight="1" x14ac:dyDescent="0.2">
      <c r="A1090" s="73"/>
      <c r="B1090" s="73"/>
      <c r="C1090" s="68" t="s">
        <v>36</v>
      </c>
      <c r="D1090" s="69">
        <v>35</v>
      </c>
      <c r="E1090" s="59">
        <v>18075.789999999997</v>
      </c>
      <c r="F1090" s="59"/>
      <c r="G1090" s="59"/>
      <c r="H1090" s="59">
        <v>6280.06</v>
      </c>
      <c r="I1090" s="59"/>
      <c r="J1090" s="59">
        <v>1969.35</v>
      </c>
      <c r="K1090" s="59">
        <v>20206.89</v>
      </c>
      <c r="L1090" s="60">
        <v>22176.240000000002</v>
      </c>
      <c r="M1090" s="33"/>
      <c r="N1090" s="59">
        <v>23632.14</v>
      </c>
      <c r="O1090" s="59">
        <v>17352.080000000002</v>
      </c>
      <c r="P1090" s="59">
        <v>961.2</v>
      </c>
      <c r="Q1090" s="59">
        <v>28724.86</v>
      </c>
      <c r="R1090" s="59">
        <v>26755.51</v>
      </c>
      <c r="T1090" s="7">
        <v>76.800000000000011</v>
      </c>
      <c r="V1090" s="76">
        <f>P1090+T1090</f>
        <v>1038</v>
      </c>
    </row>
    <row r="1091" spans="1:22" s="7" customFormat="1" ht="10.15" customHeight="1" x14ac:dyDescent="0.2">
      <c r="A1091" s="74"/>
      <c r="B1091" s="74"/>
      <c r="C1091" s="71" t="s">
        <v>37</v>
      </c>
      <c r="D1091" s="72"/>
      <c r="E1091" s="64">
        <v>21525881</v>
      </c>
      <c r="F1091" s="64"/>
      <c r="G1091" s="64"/>
      <c r="H1091" s="64">
        <v>12159892</v>
      </c>
      <c r="I1091" s="64"/>
      <c r="J1091" s="64">
        <v>3813193</v>
      </c>
      <c r="K1091" s="64">
        <v>39125995</v>
      </c>
      <c r="L1091" s="64">
        <v>42939188</v>
      </c>
      <c r="M1091" s="39"/>
      <c r="N1091" s="64">
        <v>45758204</v>
      </c>
      <c r="O1091" s="64">
        <v>33598312</v>
      </c>
      <c r="P1091" s="64">
        <v>1712437</v>
      </c>
      <c r="Q1091" s="64">
        <v>55619085</v>
      </c>
      <c r="R1091" s="64">
        <v>51805891</v>
      </c>
    </row>
    <row r="1092" spans="1:22" s="7" customFormat="1" ht="9" customHeight="1" x14ac:dyDescent="0.2">
      <c r="A1092" s="77"/>
      <c r="B1092" s="77"/>
      <c r="C1092" s="45"/>
      <c r="D1092" s="45"/>
      <c r="E1092" s="45"/>
      <c r="F1092" s="45"/>
      <c r="G1092" s="45"/>
      <c r="H1092" s="45"/>
      <c r="I1092" s="54"/>
      <c r="J1092" s="54"/>
      <c r="K1092" s="54"/>
      <c r="L1092" s="54"/>
      <c r="M1092" s="54"/>
      <c r="N1092" s="117"/>
      <c r="O1092" s="117"/>
      <c r="P1092" s="117"/>
      <c r="R1092" s="192"/>
    </row>
    <row r="1093" spans="1:22" s="7" customFormat="1" ht="9" customHeight="1" x14ac:dyDescent="0.2">
      <c r="A1093" s="77"/>
      <c r="B1093" s="77"/>
      <c r="C1093" s="45"/>
      <c r="D1093" s="45"/>
      <c r="E1093" s="45"/>
      <c r="F1093" s="45"/>
      <c r="G1093" s="45"/>
      <c r="H1093" s="45"/>
      <c r="I1093" s="54"/>
      <c r="J1093" s="54"/>
      <c r="K1093" s="54"/>
      <c r="L1093" s="54"/>
      <c r="M1093" s="54"/>
      <c r="N1093" s="117"/>
      <c r="O1093" s="117"/>
      <c r="P1093" s="117"/>
      <c r="R1093" s="192"/>
    </row>
    <row r="1094" spans="1:22" s="7" customFormat="1" ht="9" customHeight="1" x14ac:dyDescent="0.2">
      <c r="A1094" s="77"/>
      <c r="B1094" s="77"/>
      <c r="C1094" s="45"/>
      <c r="D1094" s="45"/>
      <c r="E1094" s="45"/>
      <c r="F1094" s="45"/>
      <c r="G1094" s="45"/>
      <c r="H1094" s="45"/>
      <c r="I1094" s="54"/>
      <c r="J1094" s="54"/>
      <c r="K1094" s="54"/>
      <c r="L1094" s="54"/>
      <c r="M1094" s="54"/>
      <c r="N1094" s="117"/>
      <c r="O1094" s="117"/>
      <c r="P1094" s="117"/>
      <c r="R1094" s="192"/>
    </row>
    <row r="1095" spans="1:22" s="7" customFormat="1" ht="9" customHeight="1" x14ac:dyDescent="0.2">
      <c r="A1095" s="77"/>
      <c r="B1095" s="77"/>
      <c r="C1095" s="45"/>
      <c r="D1095" s="45"/>
      <c r="E1095" s="45"/>
      <c r="F1095" s="45"/>
      <c r="G1095" s="45"/>
      <c r="H1095" s="45"/>
      <c r="I1095" s="54"/>
      <c r="J1095" s="54"/>
      <c r="K1095" s="54"/>
      <c r="L1095" s="54"/>
      <c r="M1095" s="54"/>
      <c r="N1095" s="54"/>
      <c r="O1095" s="54"/>
      <c r="P1095" s="54"/>
      <c r="R1095" s="194"/>
    </row>
    <row r="1096" spans="1:22" s="7" customFormat="1" ht="9" customHeight="1" x14ac:dyDescent="0.2">
      <c r="A1096" s="77"/>
      <c r="B1096" s="77"/>
      <c r="C1096" s="45"/>
      <c r="D1096" s="45"/>
      <c r="E1096" s="45"/>
      <c r="F1096" s="45"/>
      <c r="G1096" s="45"/>
      <c r="H1096" s="45"/>
      <c r="I1096" s="54"/>
      <c r="J1096" s="54"/>
      <c r="K1096" s="54"/>
      <c r="L1096" s="54"/>
      <c r="M1096" s="54"/>
      <c r="N1096" s="117"/>
      <c r="O1096" s="117"/>
      <c r="P1096" s="117"/>
      <c r="R1096" s="192"/>
    </row>
    <row r="1097" spans="1:22" s="7" customFormat="1" ht="9" customHeight="1" x14ac:dyDescent="0.2">
      <c r="A1097" s="77"/>
      <c r="B1097" s="77"/>
      <c r="C1097" s="45"/>
      <c r="D1097" s="45"/>
      <c r="E1097" s="45"/>
      <c r="F1097" s="45"/>
      <c r="G1097" s="45"/>
      <c r="H1097" s="45"/>
      <c r="I1097" s="54"/>
      <c r="J1097" s="54"/>
      <c r="K1097" s="54"/>
      <c r="L1097" s="54"/>
      <c r="M1097" s="54"/>
      <c r="N1097" s="54"/>
      <c r="O1097" s="54"/>
      <c r="P1097" s="54"/>
      <c r="R1097" s="117"/>
    </row>
    <row r="1098" spans="1:22" s="7" customFormat="1" ht="12.75" x14ac:dyDescent="0.2">
      <c r="N1098" s="117"/>
      <c r="O1098" s="117"/>
      <c r="P1098" s="117"/>
      <c r="R1098" s="54"/>
    </row>
    <row r="1099" spans="1:22" s="7" customFormat="1" ht="27.75" customHeight="1" x14ac:dyDescent="0.2">
      <c r="B1099" s="195" t="s">
        <v>69</v>
      </c>
      <c r="C1099" s="196"/>
      <c r="D1099" s="196"/>
      <c r="E1099" s="196"/>
      <c r="F1099" s="196"/>
      <c r="G1099" s="196"/>
      <c r="H1099" s="196"/>
      <c r="I1099" s="196"/>
      <c r="J1099" s="196"/>
      <c r="K1099" s="196"/>
      <c r="L1099" s="197"/>
      <c r="M1099" s="55"/>
      <c r="N1099" s="54"/>
      <c r="O1099" s="54"/>
      <c r="P1099" s="54"/>
      <c r="R1099" s="117"/>
    </row>
    <row r="1100" spans="1:22" s="7" customFormat="1" ht="19.5" customHeight="1" x14ac:dyDescent="0.2">
      <c r="B1100" s="81" t="s">
        <v>5</v>
      </c>
      <c r="C1100" s="82"/>
      <c r="D1100" s="83"/>
      <c r="E1100" s="84">
        <v>36708</v>
      </c>
      <c r="F1100" s="84">
        <v>36892</v>
      </c>
      <c r="G1100" s="84">
        <v>37257</v>
      </c>
      <c r="H1100" s="84">
        <v>37622</v>
      </c>
      <c r="I1100" s="84">
        <v>38718</v>
      </c>
      <c r="J1100" s="84">
        <v>43160</v>
      </c>
      <c r="K1100" s="86">
        <v>44562</v>
      </c>
      <c r="L1100" s="86"/>
      <c r="N1100" s="117"/>
      <c r="O1100" s="117"/>
      <c r="P1100" s="117"/>
      <c r="R1100" s="54"/>
    </row>
    <row r="1101" spans="1:22" s="7" customFormat="1" ht="12.75" x14ac:dyDescent="0.2">
      <c r="B1101" s="198"/>
      <c r="C1101" s="89"/>
      <c r="D1101" s="199"/>
      <c r="E1101" s="59">
        <v>501.96</v>
      </c>
      <c r="F1101" s="59">
        <v>501.96</v>
      </c>
      <c r="G1101" s="59">
        <v>537.96</v>
      </c>
      <c r="H1101" s="59">
        <v>633.96</v>
      </c>
      <c r="I1101" s="59">
        <v>774</v>
      </c>
      <c r="J1101" s="59">
        <f>9.2*12+I1101</f>
        <v>884.4</v>
      </c>
      <c r="K1101" s="59">
        <v>961.2</v>
      </c>
      <c r="L1101" s="59"/>
      <c r="N1101" s="54"/>
      <c r="O1101" s="54"/>
      <c r="P1101" s="54"/>
      <c r="R1101" s="117"/>
    </row>
    <row r="1102" spans="1:22" s="7" customFormat="1" ht="12.75" x14ac:dyDescent="0.2">
      <c r="B1102" s="200"/>
      <c r="C1102" s="72"/>
      <c r="D1102" s="201"/>
      <c r="E1102" s="93">
        <v>971930</v>
      </c>
      <c r="F1102" s="93">
        <v>971930</v>
      </c>
      <c r="G1102" s="93">
        <v>1041636</v>
      </c>
      <c r="H1102" s="93">
        <v>1227518</v>
      </c>
      <c r="I1102" s="93">
        <v>1498673</v>
      </c>
      <c r="J1102" s="93">
        <f>J1101*1936.27</f>
        <v>1712437.1879999998</v>
      </c>
      <c r="K1102" s="93"/>
      <c r="L1102" s="93"/>
      <c r="N1102" s="117"/>
      <c r="O1102" s="117"/>
      <c r="P1102" s="117"/>
      <c r="R1102" s="54"/>
    </row>
    <row r="1103" spans="1:22" s="7" customFormat="1" ht="12.75" x14ac:dyDescent="0.2">
      <c r="B1103" s="7" t="s">
        <v>39</v>
      </c>
      <c r="N1103" s="54"/>
      <c r="O1103" s="54"/>
      <c r="P1103" s="54"/>
    </row>
    <row r="1104" spans="1:22" s="7" customFormat="1" ht="12.75" x14ac:dyDescent="0.2"/>
    <row r="1105" spans="1:26" s="7" customFormat="1" ht="12.75" x14ac:dyDescent="0.2"/>
    <row r="1106" spans="1:26" s="7" customFormat="1" ht="12.75" x14ac:dyDescent="0.2"/>
    <row r="1107" spans="1:26" ht="12.75" customHeight="1" x14ac:dyDescent="0.2">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row>
    <row r="1108" spans="1:26" ht="12.75" customHeight="1" x14ac:dyDescent="0.2">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row>
    <row r="1109" spans="1:26" ht="12.75" customHeight="1" x14ac:dyDescent="0.2">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row>
    <row r="1110" spans="1:26" ht="12.75" customHeight="1" x14ac:dyDescent="0.2">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row>
    <row r="1111" spans="1:26" ht="12.75" customHeight="1" x14ac:dyDescent="0.2">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row>
    <row r="1112" spans="1:26" ht="12.75" customHeight="1" x14ac:dyDescent="0.2">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row>
    <row r="1113" spans="1:26" ht="12.75" customHeight="1" x14ac:dyDescent="0.2">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row>
    <row r="1114" spans="1:26" ht="12.75" customHeight="1" x14ac:dyDescent="0.2">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row>
    <row r="1115" spans="1:26" ht="12.75" customHeight="1" x14ac:dyDescent="0.2">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row>
    <row r="1116" spans="1:26" ht="12.75" customHeight="1" x14ac:dyDescent="0.2">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row>
    <row r="1117" spans="1:26" ht="12.75" customHeight="1" x14ac:dyDescent="0.2">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row>
    <row r="1118" spans="1:26" ht="12.75" customHeight="1" x14ac:dyDescent="0.2">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row>
    <row r="1119" spans="1:26" ht="12.75" customHeight="1" x14ac:dyDescent="0.2">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row>
    <row r="1120" spans="1:26" ht="12.75" customHeight="1" x14ac:dyDescent="0.2">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row>
    <row r="1121" spans="1:26" ht="12.75" customHeight="1" x14ac:dyDescent="0.2">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row>
    <row r="1122" spans="1:26" ht="12.75" customHeight="1" x14ac:dyDescent="0.2">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row>
    <row r="1123" spans="1:26" ht="12.75" customHeight="1" x14ac:dyDescent="0.2">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row>
    <row r="1124" spans="1:26" ht="12.75" customHeight="1" x14ac:dyDescent="0.2">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row>
    <row r="1125" spans="1:26" ht="12.75" customHeight="1" x14ac:dyDescent="0.2">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row>
    <row r="1126" spans="1:26" ht="12.75" customHeight="1"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row>
    <row r="1127" spans="1:26" ht="12.75" customHeight="1" x14ac:dyDescent="0.2">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row>
    <row r="1128" spans="1:26" ht="12.75" customHeight="1" x14ac:dyDescent="0.2">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row>
    <row r="1129" spans="1:26" ht="12.75" customHeight="1" x14ac:dyDescent="0.2">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row>
    <row r="1130" spans="1:26" ht="12.75" customHeight="1" x14ac:dyDescent="0.2">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row>
    <row r="1131" spans="1:26" ht="12.75" customHeight="1" x14ac:dyDescent="0.2">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row>
    <row r="1132" spans="1:26" ht="12.75" customHeight="1" x14ac:dyDescent="0.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row>
    <row r="1133" spans="1:26" ht="12.75" customHeight="1" x14ac:dyDescent="0.2">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row>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sheetData>
  <mergeCells count="12">
    <mergeCell ref="A1020:A1021"/>
    <mergeCell ref="B1020:B1021"/>
    <mergeCell ref="A1022:A1031"/>
    <mergeCell ref="B1022:B1031"/>
    <mergeCell ref="A1040:A1041"/>
    <mergeCell ref="B1040:B1041"/>
    <mergeCell ref="A1042:A1051"/>
    <mergeCell ref="B1042:B1051"/>
    <mergeCell ref="A1060:A1061"/>
    <mergeCell ref="B1060:B1061"/>
    <mergeCell ref="A1062:A1071"/>
    <mergeCell ref="B1062:B1071"/>
  </mergeCells>
  <conditionalFormatting sqref="E900:E1091">
    <cfRule type="cellIs" dxfId="586" priority="12" stopIfTrue="1" operator="equal">
      <formula>0</formula>
    </cfRule>
  </conditionalFormatting>
  <conditionalFormatting sqref="E900:O939">
    <cfRule type="cellIs" dxfId="585" priority="285" stopIfTrue="1" operator="equal">
      <formula>0</formula>
    </cfRule>
  </conditionalFormatting>
  <conditionalFormatting sqref="E6:Q899">
    <cfRule type="cellIs" dxfId="584" priority="301" stopIfTrue="1" operator="equal">
      <formula>0</formula>
    </cfRule>
  </conditionalFormatting>
  <conditionalFormatting sqref="E1092:Q1097">
    <cfRule type="cellIs" dxfId="583" priority="300" stopIfTrue="1" operator="equal">
      <formula>0</formula>
    </cfRule>
    <cfRule type="cellIs" dxfId="582" priority="294" stopIfTrue="1" operator="equal">
      <formula>0</formula>
    </cfRule>
  </conditionalFormatting>
  <conditionalFormatting sqref="F1032:G1091">
    <cfRule type="cellIs" dxfId="581" priority="44" stopIfTrue="1" operator="equal">
      <formula>0</formula>
    </cfRule>
  </conditionalFormatting>
  <conditionalFormatting sqref="F940:O959">
    <cfRule type="cellIs" dxfId="580" priority="287" stopIfTrue="1" operator="equal">
      <formula>0</formula>
    </cfRule>
  </conditionalFormatting>
  <conditionalFormatting sqref="F960:Q999">
    <cfRule type="cellIs" dxfId="579" priority="234" stopIfTrue="1" operator="equal">
      <formula>0</formula>
    </cfRule>
  </conditionalFormatting>
  <conditionalFormatting sqref="F1000:Q1019">
    <cfRule type="cellIs" dxfId="578" priority="186" stopIfTrue="1" operator="equal">
      <formula>0</formula>
    </cfRule>
  </conditionalFormatting>
  <conditionalFormatting sqref="F1020:Q1031">
    <cfRule type="cellIs" dxfId="577" priority="153" stopIfTrue="1" operator="equal">
      <formula>0</formula>
    </cfRule>
  </conditionalFormatting>
  <conditionalFormatting sqref="H1040:H1091">
    <cfRule type="cellIs" dxfId="576" priority="40" stopIfTrue="1" operator="equal">
      <formula>0</formula>
    </cfRule>
  </conditionalFormatting>
  <conditionalFormatting sqref="H1032:I1039">
    <cfRule type="cellIs" dxfId="575" priority="136" stopIfTrue="1" operator="equal">
      <formula>0</formula>
    </cfRule>
  </conditionalFormatting>
  <conditionalFormatting sqref="I1040:I1051">
    <cfRule type="cellIs" dxfId="574" priority="3" stopIfTrue="1" operator="equal">
      <formula>0</formula>
    </cfRule>
  </conditionalFormatting>
  <conditionalFormatting sqref="I1052:I1053">
    <cfRule type="cellIs" dxfId="573" priority="10" stopIfTrue="1" operator="equal">
      <formula>0</formula>
    </cfRule>
  </conditionalFormatting>
  <conditionalFormatting sqref="I1060:I1071">
    <cfRule type="cellIs" dxfId="572" priority="1" stopIfTrue="1" operator="equal">
      <formula>0</formula>
    </cfRule>
  </conditionalFormatting>
  <conditionalFormatting sqref="I1072:Q1091">
    <cfRule type="cellIs" dxfId="571" priority="24" stopIfTrue="1" operator="equal">
      <formula>0</formula>
    </cfRule>
  </conditionalFormatting>
  <conditionalFormatting sqref="J1032:Q1051">
    <cfRule type="cellIs" dxfId="570" priority="110" stopIfTrue="1" operator="equal">
      <formula>0</formula>
    </cfRule>
  </conditionalFormatting>
  <conditionalFormatting sqref="J1052:Q1071">
    <cfRule type="cellIs" dxfId="569" priority="67" stopIfTrue="1" operator="equal">
      <formula>0</formula>
    </cfRule>
  </conditionalFormatting>
  <conditionalFormatting sqref="M1092:Q1097">
    <cfRule type="cellIs" dxfId="568" priority="298" stopIfTrue="1" operator="equal">
      <formula>0</formula>
    </cfRule>
  </conditionalFormatting>
  <conditionalFormatting sqref="N900:Q900 N902:Q902 N904:Q904 N906:Q906 N908:Q908 N910:Q910 N920:Q920 N922:Q922 N924:Q924 N926:Q926 N928:Q928 N930:Q930 N940:Q940 N942:Q942 N944:Q944 N946:Q946 N948:Q948 N950:Q950">
    <cfRule type="cellIs" dxfId="567" priority="281" stopIfTrue="1" operator="equal">
      <formula>0</formula>
    </cfRule>
  </conditionalFormatting>
  <conditionalFormatting sqref="N1092:Q1094 N1096:Q1096">
    <cfRule type="cellIs" dxfId="566" priority="299" stopIfTrue="1" operator="equal">
      <formula>0</formula>
    </cfRule>
    <cfRule type="cellIs" dxfId="565" priority="295" stopIfTrue="1" operator="equal">
      <formula>0</formula>
    </cfRule>
  </conditionalFormatting>
  <conditionalFormatting sqref="N1098:Q1098 N1100:Q1100 N1102:Q1102">
    <cfRule type="cellIs" dxfId="564" priority="293" stopIfTrue="1" operator="equal">
      <formula>0</formula>
    </cfRule>
  </conditionalFormatting>
  <conditionalFormatting sqref="N1000:R1000 N1002:R1002 N1004:R1004 N1006:R1006 N1008:R1008 N1010:R1010">
    <cfRule type="cellIs" dxfId="563" priority="184" stopIfTrue="1" operator="equal">
      <formula>0</formula>
    </cfRule>
  </conditionalFormatting>
  <conditionalFormatting sqref="N1020:R1020 N1022:R1022 N1024:R1024 N1026:R1026 N1028:R1028 N1030:R1030">
    <cfRule type="cellIs" dxfId="562" priority="151" stopIfTrue="1" operator="equal">
      <formula>0</formula>
    </cfRule>
  </conditionalFormatting>
  <conditionalFormatting sqref="N1040:R1040 N1042:R1042 N1044:R1044 N1046:R1046 N1048:R1048 N1050:R1050">
    <cfRule type="cellIs" dxfId="561" priority="108" stopIfTrue="1" operator="equal">
      <formula>0</formula>
    </cfRule>
  </conditionalFormatting>
  <conditionalFormatting sqref="N1060:R1060 N1062:R1062 N1064:R1064 N1066:R1066 N1068:R1068 N1070:R1070">
    <cfRule type="cellIs" dxfId="560" priority="65" stopIfTrue="1" operator="equal">
      <formula>0</formula>
    </cfRule>
  </conditionalFormatting>
  <conditionalFormatting sqref="N1080:R1080 N1082:R1082 N1084:R1084 N1086:R1086 N1088:R1088 N1090:R1090">
    <cfRule type="cellIs" dxfId="559" priority="22" stopIfTrue="1" operator="equal">
      <formula>0</formula>
    </cfRule>
  </conditionalFormatting>
  <conditionalFormatting sqref="N1092:R1094 N1096:R1096">
    <cfRule type="cellIs" dxfId="558" priority="226" stopIfTrue="1" operator="equal">
      <formula>0</formula>
    </cfRule>
  </conditionalFormatting>
  <conditionalFormatting sqref="P900 P902 P904 P906 P908 P910 P920 P922 P924 P926 P928 P930 P940 P942 P944 P946 P948 P950">
    <cfRule type="cellIs" dxfId="557" priority="278" stopIfTrue="1" operator="equal">
      <formula>0</formula>
    </cfRule>
    <cfRule type="cellIs" dxfId="556" priority="276" stopIfTrue="1" operator="equal">
      <formula>0</formula>
    </cfRule>
  </conditionalFormatting>
  <conditionalFormatting sqref="P900:P959">
    <cfRule type="cellIs" dxfId="555" priority="277" stopIfTrue="1" operator="equal">
      <formula>0</formula>
    </cfRule>
    <cfRule type="cellIs" dxfId="554" priority="280" stopIfTrue="1" operator="equal">
      <formula>0</formula>
    </cfRule>
  </conditionalFormatting>
  <conditionalFormatting sqref="P900:Q959">
    <cfRule type="cellIs" dxfId="553" priority="282" stopIfTrue="1" operator="equal">
      <formula>0</formula>
    </cfRule>
  </conditionalFormatting>
  <conditionalFormatting sqref="R900 R902 R904 R906 R908 R910 R920 R922 R924 R926 R928 R930 R940 R942 R944 R946 R948 R950 N960:R960 N962:R962 N964:R964 N966:R966 N968:R968 N970:R970 N980:R980 N982:R982 N984:R984 N986:R986 N988:R988 N990:R990">
    <cfRule type="cellIs" dxfId="552" priority="232" stopIfTrue="1" operator="equal">
      <formula>0</formula>
    </cfRule>
  </conditionalFormatting>
  <conditionalFormatting sqref="R900 R902 R904 R906 R908 R910 R920 R922 R924 R926 R928 R930 R940 R942 R944 R946 R948 R950 R960 R962 R964 R966 R968 R970 R980 R982 R984 R986 R988 R990">
    <cfRule type="cellIs" dxfId="551" priority="229" stopIfTrue="1" operator="equal">
      <formula>0</formula>
    </cfRule>
  </conditionalFormatting>
  <conditionalFormatting sqref="R900 R902 R904 R906 R908 R910">
    <cfRule type="cellIs" dxfId="550" priority="223" stopIfTrue="1" operator="equal">
      <formula>0</formula>
    </cfRule>
  </conditionalFormatting>
  <conditionalFormatting sqref="R900:R919">
    <cfRule type="cellIs" dxfId="549" priority="224" stopIfTrue="1" operator="equal">
      <formula>0</formula>
    </cfRule>
  </conditionalFormatting>
  <conditionalFormatting sqref="R900:R999">
    <cfRule type="cellIs" dxfId="548" priority="230" stopIfTrue="1" operator="equal">
      <formula>0</formula>
    </cfRule>
  </conditionalFormatting>
  <conditionalFormatting sqref="R920 R922 R924 R926 R928 R930">
    <cfRule type="cellIs" dxfId="547" priority="221" stopIfTrue="1" operator="equal">
      <formula>0</formula>
    </cfRule>
  </conditionalFormatting>
  <conditionalFormatting sqref="R920:R939">
    <cfRule type="cellIs" dxfId="546" priority="222" stopIfTrue="1" operator="equal">
      <formula>0</formula>
    </cfRule>
  </conditionalFormatting>
  <conditionalFormatting sqref="R940 R942 R944 R946 R948 R950">
    <cfRule type="cellIs" dxfId="545" priority="219" stopIfTrue="1" operator="equal">
      <formula>0</formula>
    </cfRule>
  </conditionalFormatting>
  <conditionalFormatting sqref="R940:R959">
    <cfRule type="cellIs" dxfId="544" priority="220" stopIfTrue="1" operator="equal">
      <formula>0</formula>
    </cfRule>
  </conditionalFormatting>
  <conditionalFormatting sqref="R960">
    <cfRule type="cellIs" dxfId="543" priority="218" stopIfTrue="1" operator="equal">
      <formula>0</formula>
    </cfRule>
    <cfRule type="cellIs" dxfId="542" priority="217" stopIfTrue="1" operator="equal">
      <formula>0</formula>
    </cfRule>
  </conditionalFormatting>
  <conditionalFormatting sqref="R961:R962 R964 R966 R968 R970">
    <cfRule type="cellIs" dxfId="541" priority="215" stopIfTrue="1" operator="equal">
      <formula>0</formula>
    </cfRule>
  </conditionalFormatting>
  <conditionalFormatting sqref="R962 R964 R966 R968 R970">
    <cfRule type="cellIs" dxfId="540" priority="214" stopIfTrue="1" operator="equal">
      <formula>0</formula>
    </cfRule>
  </conditionalFormatting>
  <conditionalFormatting sqref="R963 R965 R967 R969">
    <cfRule type="cellIs" dxfId="539" priority="213" stopIfTrue="1" operator="equal">
      <formula>0</formula>
    </cfRule>
  </conditionalFormatting>
  <conditionalFormatting sqref="R971:R980">
    <cfRule type="cellIs" dxfId="538" priority="212" stopIfTrue="1" operator="equal">
      <formula>0</formula>
    </cfRule>
  </conditionalFormatting>
  <conditionalFormatting sqref="R980">
    <cfRule type="cellIs" dxfId="537" priority="211" stopIfTrue="1" operator="equal">
      <formula>0</formula>
    </cfRule>
  </conditionalFormatting>
  <conditionalFormatting sqref="R981:R982 R984 R986 R988 R990">
    <cfRule type="cellIs" dxfId="536" priority="209" stopIfTrue="1" operator="equal">
      <formula>0</formula>
    </cfRule>
  </conditionalFormatting>
  <conditionalFormatting sqref="R982 R984 R986 R988 R990">
    <cfRule type="cellIs" dxfId="535" priority="208" stopIfTrue="1" operator="equal">
      <formula>0</formula>
    </cfRule>
  </conditionalFormatting>
  <conditionalFormatting sqref="R983 R985 R987 R989">
    <cfRule type="cellIs" dxfId="534" priority="207" stopIfTrue="1" operator="equal">
      <formula>0</formula>
    </cfRule>
  </conditionalFormatting>
  <conditionalFormatting sqref="R991:R1019">
    <cfRule type="cellIs" dxfId="533" priority="182" stopIfTrue="1" operator="equal">
      <formula>0</formula>
    </cfRule>
  </conditionalFormatting>
  <conditionalFormatting sqref="R1000 R1002 R1004 R1006 R1008 R1010">
    <cfRule type="cellIs" dxfId="532" priority="181" stopIfTrue="1" operator="equal">
      <formula>0</formula>
    </cfRule>
  </conditionalFormatting>
  <conditionalFormatting sqref="R1000">
    <cfRule type="cellIs" dxfId="531" priority="180" stopIfTrue="1" operator="equal">
      <formula>0</formula>
    </cfRule>
    <cfRule type="cellIs" dxfId="530" priority="179" stopIfTrue="1" operator="equal">
      <formula>0</formula>
    </cfRule>
  </conditionalFormatting>
  <conditionalFormatting sqref="R1001:R1002 R1004 R1006 R1008 R1010">
    <cfRule type="cellIs" dxfId="529" priority="177" stopIfTrue="1" operator="equal">
      <formula>0</formula>
    </cfRule>
  </conditionalFormatting>
  <conditionalFormatting sqref="R1002 R1004 R1006 R1008 R1010">
    <cfRule type="cellIs" dxfId="528" priority="176" stopIfTrue="1" operator="equal">
      <formula>0</formula>
    </cfRule>
  </conditionalFormatting>
  <conditionalFormatting sqref="R1003 R1005 R1007 R1009">
    <cfRule type="cellIs" dxfId="527" priority="175" stopIfTrue="1" operator="equal">
      <formula>0</formula>
    </cfRule>
  </conditionalFormatting>
  <conditionalFormatting sqref="R1011:R1031">
    <cfRule type="cellIs" dxfId="526" priority="149" stopIfTrue="1" operator="equal">
      <formula>0</formula>
    </cfRule>
  </conditionalFormatting>
  <conditionalFormatting sqref="R1020 R1022 R1024 R1026 R1028 R1030">
    <cfRule type="cellIs" dxfId="525" priority="148" stopIfTrue="1" operator="equal">
      <formula>0</formula>
    </cfRule>
  </conditionalFormatting>
  <conditionalFormatting sqref="R1020">
    <cfRule type="cellIs" dxfId="524" priority="146" stopIfTrue="1" operator="equal">
      <formula>0</formula>
    </cfRule>
    <cfRule type="cellIs" dxfId="523" priority="147" stopIfTrue="1" operator="equal">
      <formula>0</formula>
    </cfRule>
  </conditionalFormatting>
  <conditionalFormatting sqref="R1021:R1022 R1024 R1026 R1028 R1030">
    <cfRule type="cellIs" dxfId="522" priority="144" stopIfTrue="1" operator="equal">
      <formula>0</formula>
    </cfRule>
  </conditionalFormatting>
  <conditionalFormatting sqref="R1022 R1024 R1026 R1028 R1030">
    <cfRule type="cellIs" dxfId="521" priority="143" stopIfTrue="1" operator="equal">
      <formula>0</formula>
    </cfRule>
  </conditionalFormatting>
  <conditionalFormatting sqref="R1023 R1025 R1027 R1029">
    <cfRule type="cellIs" dxfId="520" priority="142" stopIfTrue="1" operator="equal">
      <formula>0</formula>
    </cfRule>
  </conditionalFormatting>
  <conditionalFormatting sqref="R1031:R1051">
    <cfRule type="cellIs" dxfId="519" priority="106" stopIfTrue="1" operator="equal">
      <formula>0</formula>
    </cfRule>
  </conditionalFormatting>
  <conditionalFormatting sqref="R1040 R1042 R1044 R1046 R1048 R1050">
    <cfRule type="cellIs" dxfId="518" priority="105" stopIfTrue="1" operator="equal">
      <formula>0</formula>
    </cfRule>
  </conditionalFormatting>
  <conditionalFormatting sqref="R1040">
    <cfRule type="cellIs" dxfId="517" priority="104" stopIfTrue="1" operator="equal">
      <formula>0</formula>
    </cfRule>
    <cfRule type="cellIs" dxfId="516" priority="103" stopIfTrue="1" operator="equal">
      <formula>0</formula>
    </cfRule>
  </conditionalFormatting>
  <conditionalFormatting sqref="R1041:R1042 R1044 R1046 R1048 R1050">
    <cfRule type="cellIs" dxfId="515" priority="101" stopIfTrue="1" operator="equal">
      <formula>0</formula>
    </cfRule>
  </conditionalFormatting>
  <conditionalFormatting sqref="R1042 R1044 R1046 R1048 R1050">
    <cfRule type="cellIs" dxfId="514" priority="100" stopIfTrue="1" operator="equal">
      <formula>0</formula>
    </cfRule>
  </conditionalFormatting>
  <conditionalFormatting sqref="R1043 R1045 R1047 R1049">
    <cfRule type="cellIs" dxfId="513" priority="99" stopIfTrue="1" operator="equal">
      <formula>0</formula>
    </cfRule>
  </conditionalFormatting>
  <conditionalFormatting sqref="R1051:R1071">
    <cfRule type="cellIs" dxfId="512" priority="63" stopIfTrue="1" operator="equal">
      <formula>0</formula>
    </cfRule>
  </conditionalFormatting>
  <conditionalFormatting sqref="R1060 R1062 R1064 R1066 R1068 R1070">
    <cfRule type="cellIs" dxfId="511" priority="62" stopIfTrue="1" operator="equal">
      <formula>0</formula>
    </cfRule>
  </conditionalFormatting>
  <conditionalFormatting sqref="R1060">
    <cfRule type="cellIs" dxfId="510" priority="60" stopIfTrue="1" operator="equal">
      <formula>0</formula>
    </cfRule>
    <cfRule type="cellIs" dxfId="509" priority="61" stopIfTrue="1" operator="equal">
      <formula>0</formula>
    </cfRule>
  </conditionalFormatting>
  <conditionalFormatting sqref="R1061:R1062 R1064 R1066 R1068 R1070">
    <cfRule type="cellIs" dxfId="508" priority="58" stopIfTrue="1" operator="equal">
      <formula>0</formula>
    </cfRule>
  </conditionalFormatting>
  <conditionalFormatting sqref="R1062 R1064 R1066 R1068 R1070">
    <cfRule type="cellIs" dxfId="507" priority="57" stopIfTrue="1" operator="equal">
      <formula>0</formula>
    </cfRule>
  </conditionalFormatting>
  <conditionalFormatting sqref="R1063 R1065 R1067 R1069">
    <cfRule type="cellIs" dxfId="506" priority="56" stopIfTrue="1" operator="equal">
      <formula>0</formula>
    </cfRule>
  </conditionalFormatting>
  <conditionalFormatting sqref="R1071:R1102">
    <cfRule type="cellIs" dxfId="505" priority="20" stopIfTrue="1" operator="equal">
      <formula>0</formula>
    </cfRule>
  </conditionalFormatting>
  <conditionalFormatting sqref="R1080 R1082 R1084 R1086 R1088 R1090">
    <cfRule type="cellIs" dxfId="504" priority="19" stopIfTrue="1" operator="equal">
      <formula>0</formula>
    </cfRule>
  </conditionalFormatting>
  <conditionalFormatting sqref="R1080">
    <cfRule type="cellIs" dxfId="503" priority="18" stopIfTrue="1" operator="equal">
      <formula>0</formula>
    </cfRule>
    <cfRule type="cellIs" dxfId="502" priority="17" stopIfTrue="1" operator="equal">
      <formula>0</formula>
    </cfRule>
  </conditionalFormatting>
  <conditionalFormatting sqref="R1081:R1082 R1084 R1086 R1088 R1090">
    <cfRule type="cellIs" dxfId="501" priority="15" stopIfTrue="1" operator="equal">
      <formula>0</formula>
    </cfRule>
  </conditionalFormatting>
  <conditionalFormatting sqref="R1082 R1084 R1086 R1088 R1090">
    <cfRule type="cellIs" dxfId="500" priority="14" stopIfTrue="1" operator="equal">
      <formula>0</formula>
    </cfRule>
  </conditionalFormatting>
  <conditionalFormatting sqref="R1083 R1085 R1087 R1089 R1091">
    <cfRule type="cellIs" dxfId="499" priority="13" stopIfTrue="1" operator="equal">
      <formula>0</formula>
    </cfRule>
  </conditionalFormatting>
  <conditionalFormatting sqref="R1097 R1099 R1101">
    <cfRule type="cellIs" dxfId="498" priority="228"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207"/>
  <sheetViews>
    <sheetView topLeftCell="A35" zoomScale="80" zoomScaleNormal="80" workbookViewId="0">
      <selection activeCell="G125" sqref="G125:H125"/>
    </sheetView>
  </sheetViews>
  <sheetFormatPr defaultRowHeight="15" x14ac:dyDescent="0.25"/>
  <cols>
    <col min="1" max="3" width="10.5703125" bestFit="1" customWidth="1"/>
    <col min="5" max="5" width="10.5703125" bestFit="1" customWidth="1"/>
    <col min="6" max="6" width="31.85546875" customWidth="1"/>
    <col min="7" max="7" width="12.42578125" customWidth="1"/>
    <col min="8" max="8" width="13.28515625" customWidth="1"/>
    <col min="9" max="9" width="11.7109375" customWidth="1"/>
    <col min="10" max="10" width="12" customWidth="1"/>
    <col min="13" max="16" width="10.5703125" bestFit="1" customWidth="1"/>
    <col min="17" max="17" width="13.28515625" customWidth="1"/>
    <col min="18" max="18" width="10.5703125" bestFit="1" customWidth="1"/>
    <col min="20" max="20" width="13.28515625" customWidth="1"/>
    <col min="21" max="21" width="12.7109375" customWidth="1"/>
    <col min="24" max="24" width="9.28515625" bestFit="1" customWidth="1"/>
  </cols>
  <sheetData>
    <row r="1" spans="1:27" x14ac:dyDescent="0.25">
      <c r="Y1">
        <v>100</v>
      </c>
      <c r="Z1">
        <v>100</v>
      </c>
      <c r="AA1">
        <v>100</v>
      </c>
    </row>
    <row r="2" spans="1:27" ht="23.25" x14ac:dyDescent="0.35">
      <c r="F2" s="330" t="s">
        <v>340</v>
      </c>
      <c r="Y2">
        <v>100</v>
      </c>
      <c r="Z2">
        <v>100</v>
      </c>
      <c r="AA2">
        <v>100</v>
      </c>
    </row>
    <row r="3" spans="1:27" x14ac:dyDescent="0.25">
      <c r="Y3">
        <v>100</v>
      </c>
      <c r="Z3">
        <v>100</v>
      </c>
      <c r="AA3">
        <v>100</v>
      </c>
    </row>
    <row r="4" spans="1:27" ht="25.15" customHeight="1" x14ac:dyDescent="0.25">
      <c r="A4" t="s">
        <v>285</v>
      </c>
      <c r="D4">
        <v>16</v>
      </c>
      <c r="F4" s="288" t="str">
        <f>ti!F4</f>
        <v>DocenteLaureatoSuperiore</v>
      </c>
      <c r="Y4">
        <v>100</v>
      </c>
      <c r="Z4">
        <v>100</v>
      </c>
      <c r="AA4">
        <v>100</v>
      </c>
    </row>
    <row r="5" spans="1:27" x14ac:dyDescent="0.25">
      <c r="A5" t="s">
        <v>286</v>
      </c>
      <c r="D5">
        <v>18</v>
      </c>
      <c r="Y5">
        <v>100</v>
      </c>
      <c r="Z5">
        <v>100</v>
      </c>
      <c r="AA5">
        <v>100</v>
      </c>
    </row>
    <row r="6" spans="1:27" x14ac:dyDescent="0.25">
      <c r="A6" t="s">
        <v>287</v>
      </c>
      <c r="D6">
        <v>18</v>
      </c>
      <c r="Y6">
        <v>100</v>
      </c>
      <c r="Z6">
        <v>100</v>
      </c>
      <c r="AA6">
        <v>100</v>
      </c>
    </row>
    <row r="7" spans="1:27" x14ac:dyDescent="0.25">
      <c r="A7" t="s">
        <v>288</v>
      </c>
      <c r="D7">
        <v>18</v>
      </c>
      <c r="Y7">
        <v>100</v>
      </c>
      <c r="Z7">
        <v>100</v>
      </c>
      <c r="AA7">
        <v>100</v>
      </c>
    </row>
    <row r="8" spans="1:27" x14ac:dyDescent="0.25">
      <c r="A8" t="s">
        <v>289</v>
      </c>
      <c r="D8">
        <v>20</v>
      </c>
    </row>
    <row r="9" spans="1:27" x14ac:dyDescent="0.25">
      <c r="A9" t="s">
        <v>290</v>
      </c>
      <c r="D9">
        <v>20</v>
      </c>
    </row>
    <row r="10" spans="1:27" x14ac:dyDescent="0.25">
      <c r="A10" t="s">
        <v>291</v>
      </c>
      <c r="D10">
        <v>18</v>
      </c>
      <c r="F10" s="246" t="s">
        <v>93</v>
      </c>
      <c r="G10" s="246"/>
      <c r="H10" s="246" t="s">
        <v>56</v>
      </c>
      <c r="I10" s="246" t="s">
        <v>94</v>
      </c>
      <c r="J10" s="246" t="s">
        <v>95</v>
      </c>
      <c r="K10" s="246" t="s">
        <v>329</v>
      </c>
      <c r="O10">
        <v>0</v>
      </c>
      <c r="X10" t="s">
        <v>103</v>
      </c>
    </row>
    <row r="11" spans="1:27" x14ac:dyDescent="0.25">
      <c r="F11" s="270">
        <f>ti!F11</f>
        <v>43344</v>
      </c>
      <c r="G11" s="246"/>
      <c r="H11" s="246">
        <f>ti!H12</f>
        <v>0</v>
      </c>
      <c r="I11" s="246">
        <f>ti!I12</f>
        <v>0</v>
      </c>
      <c r="J11" s="246">
        <f>ti!J12</f>
        <v>0</v>
      </c>
      <c r="K11">
        <f>VLOOKUP(F4,A4:D10,4,FALSE)</f>
        <v>16</v>
      </c>
      <c r="O11">
        <v>3</v>
      </c>
      <c r="Q11">
        <v>2</v>
      </c>
      <c r="R11">
        <v>12</v>
      </c>
      <c r="S11">
        <v>0</v>
      </c>
      <c r="T11">
        <f>Q11-H11</f>
        <v>2</v>
      </c>
      <c r="U11">
        <f>R11-I11</f>
        <v>12</v>
      </c>
      <c r="V11">
        <f>S11-J11</f>
        <v>0</v>
      </c>
      <c r="X11">
        <f>IF(Y11=100,100,11)</f>
        <v>11</v>
      </c>
      <c r="Y11">
        <f>T11</f>
        <v>2</v>
      </c>
      <c r="Z11">
        <f t="shared" ref="Z11:AA17" si="0">U11</f>
        <v>12</v>
      </c>
      <c r="AA11">
        <f t="shared" si="0"/>
        <v>0</v>
      </c>
    </row>
    <row r="12" spans="1:27" x14ac:dyDescent="0.25">
      <c r="O12">
        <v>9</v>
      </c>
      <c r="Q12">
        <v>8</v>
      </c>
      <c r="R12">
        <v>12</v>
      </c>
      <c r="S12">
        <v>0</v>
      </c>
      <c r="T12">
        <f>Q12-H11</f>
        <v>8</v>
      </c>
      <c r="U12">
        <f>R12-I11</f>
        <v>12</v>
      </c>
      <c r="V12">
        <f>S12-J11</f>
        <v>0</v>
      </c>
      <c r="X12">
        <f>IF(Y12=100,100,12)</f>
        <v>12</v>
      </c>
      <c r="Y12">
        <f t="shared" ref="Y12:Y17" si="1">T12</f>
        <v>8</v>
      </c>
      <c r="Z12">
        <f t="shared" si="0"/>
        <v>12</v>
      </c>
      <c r="AA12">
        <f t="shared" si="0"/>
        <v>0</v>
      </c>
    </row>
    <row r="13" spans="1:27" x14ac:dyDescent="0.25">
      <c r="A13">
        <v>15</v>
      </c>
      <c r="B13">
        <v>21</v>
      </c>
      <c r="O13">
        <v>15</v>
      </c>
      <c r="Q13">
        <v>14</v>
      </c>
      <c r="R13">
        <v>12</v>
      </c>
      <c r="S13">
        <v>0</v>
      </c>
      <c r="T13">
        <f>Q13-H11</f>
        <v>14</v>
      </c>
      <c r="U13">
        <f>R13-I11</f>
        <v>12</v>
      </c>
      <c r="V13">
        <f>S13-J11</f>
        <v>0</v>
      </c>
      <c r="X13">
        <f>IF(Y13=100,100,13)</f>
        <v>13</v>
      </c>
      <c r="Y13">
        <f t="shared" si="1"/>
        <v>14</v>
      </c>
      <c r="Z13">
        <f t="shared" si="0"/>
        <v>12</v>
      </c>
      <c r="AA13">
        <f t="shared" si="0"/>
        <v>0</v>
      </c>
    </row>
    <row r="14" spans="1:27" x14ac:dyDescent="0.25">
      <c r="A14">
        <v>21</v>
      </c>
      <c r="B14">
        <v>28</v>
      </c>
      <c r="F14" s="112"/>
      <c r="O14">
        <v>21</v>
      </c>
      <c r="Q14">
        <v>20</v>
      </c>
      <c r="R14">
        <v>12</v>
      </c>
      <c r="S14">
        <v>0</v>
      </c>
      <c r="T14">
        <f>Q14-H11</f>
        <v>20</v>
      </c>
      <c r="U14">
        <f>R14-I11</f>
        <v>12</v>
      </c>
      <c r="V14">
        <f>S14-J11</f>
        <v>0</v>
      </c>
      <c r="X14">
        <f>IF(Y14=100,100,14)</f>
        <v>14</v>
      </c>
      <c r="Y14">
        <f t="shared" si="1"/>
        <v>20</v>
      </c>
      <c r="Z14">
        <f t="shared" si="0"/>
        <v>12</v>
      </c>
      <c r="AA14">
        <f t="shared" si="0"/>
        <v>0</v>
      </c>
    </row>
    <row r="15" spans="1:27" x14ac:dyDescent="0.25">
      <c r="A15">
        <v>28</v>
      </c>
      <c r="B15">
        <v>34</v>
      </c>
      <c r="F15" s="112" t="s">
        <v>264</v>
      </c>
      <c r="H15" t="str">
        <f>IF(J15="Doc","SI","NO")</f>
        <v>SI</v>
      </c>
      <c r="J15" t="str">
        <f>LEFT(F4,3)</f>
        <v>Doc</v>
      </c>
      <c r="O15">
        <v>28</v>
      </c>
      <c r="Q15">
        <v>27</v>
      </c>
      <c r="R15">
        <v>12</v>
      </c>
      <c r="S15">
        <v>0</v>
      </c>
      <c r="T15">
        <f>Q15-H11</f>
        <v>27</v>
      </c>
      <c r="U15">
        <f>R15-I11</f>
        <v>12</v>
      </c>
      <c r="V15">
        <f>S15-J11</f>
        <v>0</v>
      </c>
      <c r="X15">
        <f>IF(Y15=100,100,15)</f>
        <v>15</v>
      </c>
      <c r="Y15">
        <f t="shared" si="1"/>
        <v>27</v>
      </c>
      <c r="Z15">
        <f t="shared" si="0"/>
        <v>12</v>
      </c>
      <c r="AA15">
        <f t="shared" si="0"/>
        <v>0</v>
      </c>
    </row>
    <row r="16" spans="1:27" x14ac:dyDescent="0.25">
      <c r="A16">
        <v>34</v>
      </c>
      <c r="F16" s="112"/>
      <c r="O16">
        <v>35</v>
      </c>
      <c r="Q16">
        <v>34</v>
      </c>
      <c r="R16">
        <v>12</v>
      </c>
      <c r="S16">
        <v>0</v>
      </c>
      <c r="T16">
        <f>Q16-H11</f>
        <v>34</v>
      </c>
      <c r="U16">
        <f>R16-I11</f>
        <v>12</v>
      </c>
      <c r="V16">
        <f>S16-J11</f>
        <v>0</v>
      </c>
      <c r="X16">
        <f>IF(Y16=100,100,16)</f>
        <v>16</v>
      </c>
      <c r="Y16">
        <f t="shared" si="1"/>
        <v>34</v>
      </c>
      <c r="Z16">
        <f t="shared" si="0"/>
        <v>12</v>
      </c>
      <c r="AA16">
        <f t="shared" si="0"/>
        <v>0</v>
      </c>
    </row>
    <row r="17" spans="1:27" x14ac:dyDescent="0.25">
      <c r="F17" s="112" t="s">
        <v>266</v>
      </c>
      <c r="H17" t="str">
        <f>IF(ti!F11&lt;tiGiuEc1!J17,"SI","NO")</f>
        <v>NO</v>
      </c>
      <c r="J17" s="112">
        <v>40422</v>
      </c>
      <c r="X17">
        <f>IF(Y17=100,100,17)</f>
        <v>17</v>
      </c>
      <c r="Y17">
        <f t="shared" si="1"/>
        <v>0</v>
      </c>
      <c r="Z17">
        <f t="shared" si="0"/>
        <v>0</v>
      </c>
      <c r="AA17">
        <f t="shared" si="0"/>
        <v>0</v>
      </c>
    </row>
    <row r="18" spans="1:27" x14ac:dyDescent="0.25">
      <c r="F18" s="112"/>
    </row>
    <row r="19" spans="1:27" x14ac:dyDescent="0.25">
      <c r="E19" t="s">
        <v>297</v>
      </c>
      <c r="F19" s="112">
        <f>ti!F19</f>
        <v>0</v>
      </c>
      <c r="H19">
        <f>ti!H19</f>
        <v>0</v>
      </c>
      <c r="I19" t="s">
        <v>296</v>
      </c>
      <c r="J19" s="112">
        <f>ti!J19</f>
        <v>0</v>
      </c>
    </row>
    <row r="20" spans="1:27" x14ac:dyDescent="0.25">
      <c r="F20" s="112"/>
      <c r="W20">
        <f ca="1">$H$11+Y20</f>
        <v>2</v>
      </c>
      <c r="X20">
        <f>MIN(X11:X16)</f>
        <v>11</v>
      </c>
      <c r="Y20">
        <f t="shared" ref="Y20:Y27" ca="1" si="2">INDIRECT(CONCATENATE("y",X20))</f>
        <v>2</v>
      </c>
      <c r="Z20">
        <f ca="1">INDIRECT(CONCATENATE("z",X20))</f>
        <v>12</v>
      </c>
      <c r="AA20">
        <f ca="1">INDIRECT(CONCATENATE("aa",X20))</f>
        <v>0</v>
      </c>
    </row>
    <row r="21" spans="1:27" ht="15.75" thickBot="1" x14ac:dyDescent="0.3">
      <c r="F21" s="112"/>
      <c r="W21">
        <f t="shared" ref="W21:W27" ca="1" si="3">$H$11+Y21</f>
        <v>8</v>
      </c>
      <c r="X21">
        <f xml:space="preserve"> IF( X20+1&gt;16,1,X20+1)</f>
        <v>12</v>
      </c>
      <c r="Y21">
        <f t="shared" ca="1" si="2"/>
        <v>8</v>
      </c>
      <c r="Z21">
        <f t="shared" ref="Z21:Z27" ca="1" si="4">INDIRECT(CONCATENATE("z",X21))</f>
        <v>12</v>
      </c>
      <c r="AA21">
        <f t="shared" ref="AA21:AA27" ca="1" si="5">INDIRECT(CONCATENATE("aa",X21))</f>
        <v>0</v>
      </c>
    </row>
    <row r="22" spans="1:27" x14ac:dyDescent="0.25">
      <c r="A22" s="250">
        <f>ti!H73</f>
        <v>16</v>
      </c>
      <c r="B22" s="326">
        <f>ti!G73</f>
        <v>49188</v>
      </c>
      <c r="C22" s="251"/>
      <c r="D22" s="252"/>
      <c r="O22" t="s">
        <v>102</v>
      </c>
      <c r="W22">
        <f t="shared" ca="1" si="3"/>
        <v>14</v>
      </c>
      <c r="X22">
        <f t="shared" ref="X22:X27" si="6" xml:space="preserve"> IF( X21+1&gt;16,1,X21+1)</f>
        <v>13</v>
      </c>
      <c r="Y22">
        <f t="shared" ca="1" si="2"/>
        <v>14</v>
      </c>
      <c r="Z22">
        <f t="shared" ca="1" si="4"/>
        <v>12</v>
      </c>
      <c r="AA22">
        <f t="shared" ca="1" si="5"/>
        <v>0</v>
      </c>
    </row>
    <row r="23" spans="1:27" x14ac:dyDescent="0.25">
      <c r="A23" s="253" t="s">
        <v>336</v>
      </c>
      <c r="D23" s="254"/>
      <c r="O23" s="237" t="s">
        <v>96</v>
      </c>
      <c r="S23">
        <v>3</v>
      </c>
      <c r="T23">
        <f t="shared" ref="T23:T28" ca="1" si="7">VLOOKUP(S23,$W$20:$AA$27,3)</f>
        <v>2</v>
      </c>
      <c r="U23">
        <f t="shared" ref="U23:U28" ca="1" si="8">VLOOKUP(S23,$W$20:$AA$27,4)</f>
        <v>12</v>
      </c>
      <c r="V23">
        <f t="shared" ref="V23:V28" ca="1" si="9">VLOOKUP(S23,$W$20:$AA$27,5)</f>
        <v>0</v>
      </c>
      <c r="W23">
        <f t="shared" ca="1" si="3"/>
        <v>20</v>
      </c>
      <c r="X23">
        <f t="shared" si="6"/>
        <v>14</v>
      </c>
      <c r="Y23">
        <f t="shared" ca="1" si="2"/>
        <v>20</v>
      </c>
      <c r="Z23">
        <f t="shared" ca="1" si="4"/>
        <v>12</v>
      </c>
      <c r="AA23">
        <f t="shared" ca="1" si="5"/>
        <v>0</v>
      </c>
    </row>
    <row r="24" spans="1:27" x14ac:dyDescent="0.25">
      <c r="A24" s="253" t="s">
        <v>136</v>
      </c>
      <c r="B24" t="s">
        <v>93</v>
      </c>
      <c r="D24" s="254"/>
      <c r="F24" s="289" t="s">
        <v>271</v>
      </c>
      <c r="G24" s="289" t="s">
        <v>273</v>
      </c>
      <c r="H24" s="289" t="s">
        <v>272</v>
      </c>
      <c r="O24" t="s">
        <v>97</v>
      </c>
      <c r="S24">
        <v>9</v>
      </c>
      <c r="T24">
        <f t="shared" ca="1" si="7"/>
        <v>8</v>
      </c>
      <c r="U24">
        <f t="shared" ca="1" si="8"/>
        <v>12</v>
      </c>
      <c r="V24">
        <f t="shared" ca="1" si="9"/>
        <v>0</v>
      </c>
      <c r="W24">
        <f t="shared" ca="1" si="3"/>
        <v>27</v>
      </c>
      <c r="X24">
        <f t="shared" si="6"/>
        <v>15</v>
      </c>
      <c r="Y24">
        <f t="shared" ca="1" si="2"/>
        <v>27</v>
      </c>
      <c r="Z24">
        <f t="shared" ca="1" si="4"/>
        <v>12</v>
      </c>
      <c r="AA24">
        <f t="shared" ca="1" si="5"/>
        <v>0</v>
      </c>
    </row>
    <row r="25" spans="1:27" x14ac:dyDescent="0.25">
      <c r="A25" s="322">
        <f>VLOOKUP(A22,A13:A16,1)</f>
        <v>15</v>
      </c>
      <c r="B25" s="260">
        <f>B22</f>
        <v>49188</v>
      </c>
      <c r="C25" s="238"/>
      <c r="D25" s="328">
        <f>A22-A25</f>
        <v>1</v>
      </c>
      <c r="F25" s="289"/>
      <c r="G25" s="289">
        <f ca="1">S152</f>
        <v>0</v>
      </c>
      <c r="H25" s="290">
        <f t="shared" ref="H25:H31" ca="1" si="10">T152</f>
        <v>43344</v>
      </c>
      <c r="O25" t="s">
        <v>98</v>
      </c>
      <c r="S25">
        <v>15</v>
      </c>
      <c r="T25">
        <f t="shared" ca="1" si="7"/>
        <v>14</v>
      </c>
      <c r="U25">
        <f t="shared" ca="1" si="8"/>
        <v>12</v>
      </c>
      <c r="V25">
        <f t="shared" ca="1" si="9"/>
        <v>0</v>
      </c>
      <c r="W25">
        <f t="shared" ca="1" si="3"/>
        <v>34</v>
      </c>
      <c r="X25">
        <f t="shared" si="6"/>
        <v>16</v>
      </c>
      <c r="Y25">
        <f t="shared" ca="1" si="2"/>
        <v>34</v>
      </c>
      <c r="Z25">
        <f t="shared" ca="1" si="4"/>
        <v>12</v>
      </c>
      <c r="AA25">
        <f t="shared" ca="1" si="5"/>
        <v>0</v>
      </c>
    </row>
    <row r="26" spans="1:27" x14ac:dyDescent="0.25">
      <c r="A26" s="322">
        <f t="shared" ref="A26:A27" si="11">IF(AND(      A25&lt;&gt;34,A25&lt;&gt;50),            VLOOKUP(A25,A11:B14,2,FALSE ),50)</f>
        <v>21</v>
      </c>
      <c r="B26" s="112">
        <f>E29</f>
        <v>51380</v>
      </c>
      <c r="C26" s="238"/>
      <c r="D26" s="328">
        <f>A26-A25</f>
        <v>6</v>
      </c>
      <c r="E26" s="238">
        <f>A26-A22</f>
        <v>5</v>
      </c>
      <c r="F26" s="289"/>
      <c r="G26" s="289">
        <f t="shared" ref="G26:G31" ca="1" si="12">S153</f>
        <v>0</v>
      </c>
      <c r="H26" s="290">
        <f t="shared" ca="1" si="10"/>
        <v>43709</v>
      </c>
      <c r="O26" t="s">
        <v>99</v>
      </c>
      <c r="S26">
        <v>21</v>
      </c>
      <c r="T26">
        <f t="shared" ca="1" si="7"/>
        <v>20</v>
      </c>
      <c r="U26">
        <f t="shared" ca="1" si="8"/>
        <v>12</v>
      </c>
      <c r="V26">
        <f t="shared" ca="1" si="9"/>
        <v>0</v>
      </c>
      <c r="W26">
        <f t="shared" ca="1" si="3"/>
        <v>100</v>
      </c>
      <c r="X26">
        <f t="shared" si="6"/>
        <v>1</v>
      </c>
      <c r="Y26">
        <f t="shared" ca="1" si="2"/>
        <v>100</v>
      </c>
      <c r="Z26">
        <f t="shared" ca="1" si="4"/>
        <v>100</v>
      </c>
      <c r="AA26">
        <f t="shared" ca="1" si="5"/>
        <v>100</v>
      </c>
    </row>
    <row r="27" spans="1:27" x14ac:dyDescent="0.25">
      <c r="A27" s="322">
        <f t="shared" si="11"/>
        <v>28</v>
      </c>
      <c r="B27" s="112">
        <f>E32</f>
        <v>53936</v>
      </c>
      <c r="C27" s="238"/>
      <c r="D27" s="254"/>
      <c r="E27" s="112">
        <f>DATE(YEAR(B22)+E26,MONTH(B22),DAY(B22))</f>
        <v>51014</v>
      </c>
      <c r="F27" s="289"/>
      <c r="G27" s="289">
        <f t="shared" ca="1" si="12"/>
        <v>0</v>
      </c>
      <c r="H27" s="290">
        <f t="shared" ca="1" si="10"/>
        <v>44440</v>
      </c>
      <c r="O27" t="s">
        <v>100</v>
      </c>
      <c r="S27">
        <v>28</v>
      </c>
      <c r="T27">
        <f t="shared" ca="1" si="7"/>
        <v>27</v>
      </c>
      <c r="U27">
        <f t="shared" ca="1" si="8"/>
        <v>12</v>
      </c>
      <c r="V27">
        <f t="shared" ca="1" si="9"/>
        <v>0</v>
      </c>
      <c r="W27">
        <f t="shared" ca="1" si="3"/>
        <v>100</v>
      </c>
      <c r="X27">
        <f t="shared" si="6"/>
        <v>2</v>
      </c>
      <c r="Y27">
        <f t="shared" ca="1" si="2"/>
        <v>100</v>
      </c>
      <c r="Z27">
        <f t="shared" ca="1" si="4"/>
        <v>100</v>
      </c>
      <c r="AA27">
        <f t="shared" ca="1" si="5"/>
        <v>100</v>
      </c>
    </row>
    <row r="28" spans="1:27" x14ac:dyDescent="0.25">
      <c r="A28" s="322">
        <f>IF(AND(      A27&lt;&gt;34,A27&lt;&gt;50),            VLOOKUP(A27,A13:B16,2,FALSE ),50)</f>
        <v>34</v>
      </c>
      <c r="B28" s="112">
        <f>E34</f>
        <v>56128</v>
      </c>
      <c r="C28" s="238"/>
      <c r="D28" s="254"/>
      <c r="E28">
        <f>IF(AND(L31=2013,YEAR(B25)&lt;2013,YEAR(E27)&gt;2013),1,0)</f>
        <v>0</v>
      </c>
      <c r="F28" s="289"/>
      <c r="G28" s="289" t="str">
        <f t="shared" ca="1" si="12"/>
        <v/>
      </c>
      <c r="H28" s="290" t="str">
        <f t="shared" ca="1" si="10"/>
        <v/>
      </c>
      <c r="O28" t="s">
        <v>101</v>
      </c>
      <c r="S28">
        <v>35</v>
      </c>
      <c r="T28">
        <f t="shared" ca="1" si="7"/>
        <v>34</v>
      </c>
      <c r="U28">
        <f t="shared" ca="1" si="8"/>
        <v>12</v>
      </c>
      <c r="V28">
        <f t="shared" ca="1" si="9"/>
        <v>0</v>
      </c>
    </row>
    <row r="29" spans="1:27" x14ac:dyDescent="0.25">
      <c r="A29" s="322">
        <f t="shared" ref="A29:A30" si="13">IF(AND(      A28&lt;&gt;34,A28&lt;&gt;50),            VLOOKUP(A28,A14:B17,2,FALSE ),50)</f>
        <v>50</v>
      </c>
      <c r="B29" s="112"/>
      <c r="C29" s="238"/>
      <c r="D29" s="254"/>
      <c r="E29" s="112">
        <f>DATE(YEAR(E27)+1,MONTH(E27),DAY(E27))</f>
        <v>51380</v>
      </c>
      <c r="F29" s="290"/>
      <c r="G29" s="289" t="str">
        <f t="shared" ca="1" si="12"/>
        <v/>
      </c>
      <c r="H29" s="290" t="str">
        <f t="shared" ca="1" si="10"/>
        <v/>
      </c>
    </row>
    <row r="30" spans="1:27" x14ac:dyDescent="0.25">
      <c r="A30" s="322">
        <f t="shared" si="13"/>
        <v>50</v>
      </c>
      <c r="B30" s="112"/>
      <c r="C30" s="238"/>
      <c r="D30" s="254"/>
      <c r="F30" s="290"/>
      <c r="G30" s="289" t="str">
        <f t="shared" ca="1" si="12"/>
        <v/>
      </c>
      <c r="H30" s="290" t="str">
        <f t="shared" ca="1" si="10"/>
        <v/>
      </c>
      <c r="M30" t="s">
        <v>104</v>
      </c>
    </row>
    <row r="31" spans="1:27" ht="15.75" thickBot="1" x14ac:dyDescent="0.3">
      <c r="A31" s="323" t="str">
        <f t="shared" ref="A31:B32" ca="1" si="14">T206</f>
        <v/>
      </c>
      <c r="B31" s="324" t="str">
        <f t="shared" ca="1" si="14"/>
        <v/>
      </c>
      <c r="C31" s="238" t="str">
        <f ca="1">A31</f>
        <v/>
      </c>
      <c r="D31" s="258"/>
      <c r="E31">
        <f>IF(AND(YEAR(B26)&lt;2013,(YEAR(B26)+7)&gt;2013),1,0)</f>
        <v>0</v>
      </c>
      <c r="F31" s="290"/>
      <c r="G31" s="289" t="str">
        <f t="shared" ca="1" si="12"/>
        <v/>
      </c>
      <c r="H31" s="290" t="str">
        <f t="shared" ca="1" si="10"/>
        <v/>
      </c>
      <c r="L31" s="243">
        <v>2013</v>
      </c>
      <c r="M31" s="112">
        <v>41640</v>
      </c>
      <c r="N31" s="112"/>
      <c r="O31" s="112">
        <f>IF(YEAR(F11)=L31,M31,F11)</f>
        <v>43344</v>
      </c>
    </row>
    <row r="32" spans="1:27" x14ac:dyDescent="0.25">
      <c r="A32" s="238" t="str">
        <f t="shared" ca="1" si="14"/>
        <v/>
      </c>
      <c r="B32" s="112" t="str">
        <f t="shared" ca="1" si="14"/>
        <v/>
      </c>
      <c r="E32" s="112">
        <f>DATE(YEAR(B26)+7+E31,MONTH(B26),DAY(E29))</f>
        <v>53936</v>
      </c>
      <c r="F32" s="296"/>
      <c r="G32" s="295" t="str">
        <f ca="1">S147</f>
        <v/>
      </c>
      <c r="H32" s="296" t="str">
        <f ca="1">T147</f>
        <v/>
      </c>
      <c r="R32" s="112">
        <f>O31*1</f>
        <v>43344</v>
      </c>
      <c r="T32" s="238">
        <f ca="1">YEAR(R32)+T23</f>
        <v>2020</v>
      </c>
      <c r="U32" s="238">
        <f ca="1">MONTH(R32)+U23</f>
        <v>21</v>
      </c>
      <c r="V32" s="238">
        <f t="shared" ref="V32:V39" ca="1" si="15">DAY(R32)+V23</f>
        <v>1</v>
      </c>
    </row>
    <row r="33" spans="1:22" x14ac:dyDescent="0.25">
      <c r="E33">
        <f>IF(AND(L31=2013,YEAR(B27)&lt;2013,(YEAR(B27)+6)&gt;2013),1,0)</f>
        <v>0</v>
      </c>
      <c r="F33" s="295"/>
      <c r="G33" s="295"/>
      <c r="H33" s="296"/>
      <c r="R33" s="112">
        <f>R32</f>
        <v>43344</v>
      </c>
      <c r="T33" s="238">
        <f t="shared" ref="T33:T39" ca="1" si="16">YEAR(R33)+T24</f>
        <v>2026</v>
      </c>
      <c r="U33" s="238">
        <f t="shared" ref="U33:U39" ca="1" si="17">MONTH(R33)+U24</f>
        <v>21</v>
      </c>
      <c r="V33" s="238">
        <f t="shared" ca="1" si="15"/>
        <v>1</v>
      </c>
    </row>
    <row r="34" spans="1:22" ht="15.75" thickBot="1" x14ac:dyDescent="0.3">
      <c r="E34" s="112">
        <f>DATE(YEAR(B27)+6+E33,MONTH(E32),DAY(E32))</f>
        <v>56128</v>
      </c>
      <c r="I34" t="s">
        <v>108</v>
      </c>
      <c r="J34" t="s">
        <v>109</v>
      </c>
      <c r="K34" t="s">
        <v>107</v>
      </c>
      <c r="R34" s="112">
        <f t="shared" ref="R34:R39" si="18">R33</f>
        <v>43344</v>
      </c>
      <c r="T34" s="238">
        <f t="shared" ca="1" si="16"/>
        <v>2032</v>
      </c>
      <c r="U34" s="238">
        <f t="shared" ca="1" si="17"/>
        <v>21</v>
      </c>
      <c r="V34" s="238">
        <f t="shared" ca="1" si="15"/>
        <v>1</v>
      </c>
    </row>
    <row r="35" spans="1:22" x14ac:dyDescent="0.25">
      <c r="A35" s="250"/>
      <c r="B35" s="251"/>
      <c r="C35" s="251"/>
      <c r="D35" s="252"/>
      <c r="F35" t="s">
        <v>93</v>
      </c>
      <c r="G35" s="112">
        <f>ti!F11</f>
        <v>43344</v>
      </c>
      <c r="H35" t="s">
        <v>342</v>
      </c>
      <c r="I35">
        <f>ti!H12</f>
        <v>0</v>
      </c>
      <c r="J35">
        <f>ti!I12</f>
        <v>0</v>
      </c>
      <c r="K35">
        <f>ti!J12</f>
        <v>0</v>
      </c>
      <c r="R35" s="112">
        <f t="shared" si="18"/>
        <v>43344</v>
      </c>
      <c r="T35" s="238">
        <f t="shared" ca="1" si="16"/>
        <v>2038</v>
      </c>
      <c r="U35" s="238">
        <f t="shared" ca="1" si="17"/>
        <v>21</v>
      </c>
      <c r="V35" s="238">
        <f t="shared" ca="1" si="15"/>
        <v>1</v>
      </c>
    </row>
    <row r="36" spans="1:22" x14ac:dyDescent="0.25">
      <c r="A36" s="253" t="s">
        <v>335</v>
      </c>
      <c r="D36" s="254"/>
      <c r="H36" t="s">
        <v>343</v>
      </c>
      <c r="I36">
        <f>ti!H13</f>
        <v>0</v>
      </c>
      <c r="J36">
        <f>ti!I13</f>
        <v>0</v>
      </c>
      <c r="K36">
        <f>ti!J13</f>
        <v>0</v>
      </c>
      <c r="R36" s="112">
        <f t="shared" si="18"/>
        <v>43344</v>
      </c>
      <c r="T36" s="238">
        <f t="shared" ca="1" si="16"/>
        <v>2045</v>
      </c>
      <c r="U36" s="238">
        <f t="shared" ca="1" si="17"/>
        <v>21</v>
      </c>
      <c r="V36" s="238">
        <f t="shared" ca="1" si="15"/>
        <v>1</v>
      </c>
    </row>
    <row r="37" spans="1:22" ht="52.15" customHeight="1" x14ac:dyDescent="0.25">
      <c r="A37" s="253" t="s">
        <v>136</v>
      </c>
      <c r="B37" t="s">
        <v>93</v>
      </c>
      <c r="D37" s="254"/>
      <c r="E37" s="112"/>
      <c r="F37" s="331" t="s">
        <v>341</v>
      </c>
      <c r="G37" s="295" t="s">
        <v>269</v>
      </c>
      <c r="H37" s="295" t="s">
        <v>272</v>
      </c>
      <c r="R37" s="112">
        <f t="shared" si="18"/>
        <v>43344</v>
      </c>
      <c r="T37" s="238">
        <f t="shared" ca="1" si="16"/>
        <v>2052</v>
      </c>
      <c r="U37" s="238">
        <f t="shared" ca="1" si="17"/>
        <v>21</v>
      </c>
      <c r="V37" s="238">
        <f t="shared" ca="1" si="15"/>
        <v>1</v>
      </c>
    </row>
    <row r="38" spans="1:22" x14ac:dyDescent="0.25">
      <c r="A38" s="253">
        <f ca="1">T200</f>
        <v>0</v>
      </c>
      <c r="B38" s="260">
        <f t="shared" ref="B38:B44" ca="1" si="19">U200</f>
        <v>43344</v>
      </c>
      <c r="C38" s="238">
        <f t="shared" ref="C38:C44" ca="1" si="20">A38</f>
        <v>0</v>
      </c>
      <c r="D38" s="254"/>
      <c r="E38" s="112"/>
      <c r="F38" s="295"/>
      <c r="G38" s="298" t="str">
        <f>G119</f>
        <v/>
      </c>
      <c r="H38" s="296" t="str">
        <f t="shared" ref="H38:H44" si="21">H119</f>
        <v/>
      </c>
      <c r="J38">
        <v>0</v>
      </c>
      <c r="R38" s="112">
        <f t="shared" si="18"/>
        <v>43344</v>
      </c>
      <c r="T38" s="238">
        <f t="shared" si="16"/>
        <v>2018</v>
      </c>
      <c r="U38" s="238">
        <f t="shared" si="17"/>
        <v>9</v>
      </c>
      <c r="V38" s="238">
        <f t="shared" si="15"/>
        <v>1</v>
      </c>
    </row>
    <row r="39" spans="1:22" x14ac:dyDescent="0.25">
      <c r="A39" s="253" t="str">
        <f t="shared" ref="A39:A44" ca="1" si="22">T201</f>
        <v/>
      </c>
      <c r="B39" s="260" t="str">
        <f t="shared" ca="1" si="19"/>
        <v/>
      </c>
      <c r="C39" s="238" t="str">
        <f t="shared" ca="1" si="20"/>
        <v/>
      </c>
      <c r="D39" s="254"/>
      <c r="E39" s="112"/>
      <c r="F39" s="295"/>
      <c r="G39" s="298" t="str">
        <f t="shared" ref="G39" ca="1" si="23">G120</f>
        <v/>
      </c>
      <c r="H39" s="296" t="str">
        <f t="shared" ca="1" si="21"/>
        <v/>
      </c>
      <c r="J39">
        <v>3</v>
      </c>
      <c r="R39" s="112">
        <f t="shared" si="18"/>
        <v>43344</v>
      </c>
      <c r="T39" s="238">
        <f t="shared" si="16"/>
        <v>2018</v>
      </c>
      <c r="U39" s="238">
        <f t="shared" si="17"/>
        <v>9</v>
      </c>
      <c r="V39" s="238">
        <f t="shared" si="15"/>
        <v>1</v>
      </c>
    </row>
    <row r="40" spans="1:22" x14ac:dyDescent="0.25">
      <c r="A40" s="253" t="str">
        <f t="shared" ca="1" si="22"/>
        <v/>
      </c>
      <c r="B40" s="260" t="str">
        <f t="shared" ca="1" si="19"/>
        <v/>
      </c>
      <c r="C40" s="238" t="str">
        <f t="shared" ca="1" si="20"/>
        <v/>
      </c>
      <c r="D40" s="254"/>
      <c r="E40" s="112"/>
      <c r="F40" s="295"/>
      <c r="G40" s="298" t="str">
        <f t="shared" ref="G40" si="24">G121</f>
        <v/>
      </c>
      <c r="H40" s="296" t="str">
        <f t="shared" si="21"/>
        <v/>
      </c>
      <c r="J40">
        <v>9</v>
      </c>
    </row>
    <row r="41" spans="1:22" x14ac:dyDescent="0.25">
      <c r="A41" s="253" t="str">
        <f t="shared" ca="1" si="22"/>
        <v/>
      </c>
      <c r="B41" s="260" t="str">
        <f t="shared" ca="1" si="19"/>
        <v/>
      </c>
      <c r="C41" s="238" t="str">
        <f t="shared" ca="1" si="20"/>
        <v/>
      </c>
      <c r="D41" s="254"/>
      <c r="E41" s="112"/>
      <c r="F41" s="295"/>
      <c r="G41" s="298" t="str">
        <f t="shared" ref="G41" si="25">G122</f>
        <v/>
      </c>
      <c r="H41" s="296" t="str">
        <f t="shared" si="21"/>
        <v/>
      </c>
      <c r="J41">
        <v>15</v>
      </c>
      <c r="M41">
        <f ca="1">IF(T41=L31,1,0)</f>
        <v>0</v>
      </c>
      <c r="N41">
        <f ca="1">IF(AND(YEAR(F11)&lt;L31,T41&gt;L31),1,0)</f>
        <v>0</v>
      </c>
      <c r="S41">
        <v>3</v>
      </c>
      <c r="T41" s="238">
        <f ca="1">IF(U32&gt;11,T32+1,T32)</f>
        <v>2021</v>
      </c>
      <c r="U41" s="238">
        <f ca="1">IF(U32&gt;11,U32-12,U32)</f>
        <v>9</v>
      </c>
      <c r="V41" s="238">
        <f ca="1">V32</f>
        <v>1</v>
      </c>
    </row>
    <row r="42" spans="1:22" x14ac:dyDescent="0.25">
      <c r="A42" s="253" t="str">
        <f t="shared" ca="1" si="22"/>
        <v/>
      </c>
      <c r="B42" s="260" t="str">
        <f t="shared" ca="1" si="19"/>
        <v/>
      </c>
      <c r="C42" s="238" t="str">
        <f t="shared" ca="1" si="20"/>
        <v/>
      </c>
      <c r="D42" s="254"/>
      <c r="E42" s="112"/>
      <c r="F42" s="295"/>
      <c r="G42" s="298" t="str">
        <f t="shared" ref="G42" si="26">G123</f>
        <v/>
      </c>
      <c r="H42" s="296" t="str">
        <f t="shared" si="21"/>
        <v/>
      </c>
      <c r="J42">
        <v>21</v>
      </c>
      <c r="M42">
        <f ca="1">IF(T42&gt;=L31,1,M41)*N42*O42</f>
        <v>0</v>
      </c>
      <c r="N42">
        <f>IF(YEAR(F11)=L31,0,1)</f>
        <v>1</v>
      </c>
      <c r="O42">
        <f>IF(YEAR(F11)&gt;L31,0,1)</f>
        <v>0</v>
      </c>
      <c r="S42">
        <v>9</v>
      </c>
      <c r="T42" s="238">
        <f t="shared" ref="T42:T48" ca="1" si="27">IF(U33&gt;11,T33+1,T33)</f>
        <v>2027</v>
      </c>
      <c r="U42" s="238">
        <f t="shared" ref="U42:U48" ca="1" si="28">IF(U33&gt;11,U33-12,U33)</f>
        <v>9</v>
      </c>
      <c r="V42" s="238">
        <f t="shared" ref="V42:V48" ca="1" si="29">V33</f>
        <v>1</v>
      </c>
    </row>
    <row r="43" spans="1:22" x14ac:dyDescent="0.25">
      <c r="A43" s="253" t="str">
        <f t="shared" ca="1" si="22"/>
        <v/>
      </c>
      <c r="B43" s="260" t="str">
        <f t="shared" ca="1" si="19"/>
        <v/>
      </c>
      <c r="C43" s="238" t="str">
        <f t="shared" ca="1" si="20"/>
        <v/>
      </c>
      <c r="D43" s="254"/>
      <c r="E43" s="112"/>
      <c r="F43" s="295"/>
      <c r="G43" s="298" t="str">
        <f t="shared" ref="G43:G44" si="30">G124</f>
        <v/>
      </c>
      <c r="H43" s="296" t="str">
        <f t="shared" si="21"/>
        <v/>
      </c>
      <c r="J43">
        <v>28</v>
      </c>
      <c r="M43">
        <f ca="1">IF(T43&gt;=L31,1,M42)*N43*O43</f>
        <v>0</v>
      </c>
      <c r="N43">
        <f t="shared" ref="N43:O46" si="31">N42</f>
        <v>1</v>
      </c>
      <c r="O43">
        <f t="shared" si="31"/>
        <v>0</v>
      </c>
      <c r="S43">
        <v>15</v>
      </c>
      <c r="T43" s="238">
        <f t="shared" ca="1" si="27"/>
        <v>2033</v>
      </c>
      <c r="U43" s="238">
        <f t="shared" ca="1" si="28"/>
        <v>9</v>
      </c>
      <c r="V43" s="238">
        <f t="shared" ca="1" si="29"/>
        <v>1</v>
      </c>
    </row>
    <row r="44" spans="1:22" ht="15.75" thickBot="1" x14ac:dyDescent="0.3">
      <c r="A44" s="253" t="str">
        <f t="shared" ca="1" si="22"/>
        <v/>
      </c>
      <c r="B44" s="260" t="str">
        <f t="shared" ca="1" si="19"/>
        <v/>
      </c>
      <c r="C44" s="238" t="str">
        <f t="shared" ca="1" si="20"/>
        <v/>
      </c>
      <c r="D44" s="258"/>
      <c r="F44" s="295"/>
      <c r="G44" s="298" t="str">
        <f t="shared" si="30"/>
        <v/>
      </c>
      <c r="H44" s="296" t="str">
        <f t="shared" si="21"/>
        <v/>
      </c>
      <c r="J44">
        <v>34</v>
      </c>
      <c r="M44">
        <f ca="1">IF(T44&gt;=L31,1,M43)*N44*O44</f>
        <v>0</v>
      </c>
      <c r="N44">
        <f t="shared" si="31"/>
        <v>1</v>
      </c>
      <c r="O44">
        <f t="shared" si="31"/>
        <v>0</v>
      </c>
      <c r="S44">
        <v>21</v>
      </c>
      <c r="T44" s="238">
        <f t="shared" ca="1" si="27"/>
        <v>2039</v>
      </c>
      <c r="U44" s="238">
        <f t="shared" ca="1" si="28"/>
        <v>9</v>
      </c>
      <c r="V44" s="238">
        <f t="shared" ca="1" si="29"/>
        <v>1</v>
      </c>
    </row>
    <row r="45" spans="1:22" x14ac:dyDescent="0.25">
      <c r="B45" s="112"/>
      <c r="J45">
        <v>35</v>
      </c>
      <c r="M45">
        <f ca="1">IF(T45&gt;=L31,1,M44)*N45*O45</f>
        <v>0</v>
      </c>
      <c r="N45">
        <f t="shared" si="31"/>
        <v>1</v>
      </c>
      <c r="O45">
        <f t="shared" si="31"/>
        <v>0</v>
      </c>
      <c r="S45">
        <v>28</v>
      </c>
      <c r="T45" s="238">
        <f t="shared" ca="1" si="27"/>
        <v>2046</v>
      </c>
      <c r="U45" s="238">
        <f t="shared" ca="1" si="28"/>
        <v>9</v>
      </c>
      <c r="V45" s="238">
        <f t="shared" ca="1" si="29"/>
        <v>1</v>
      </c>
    </row>
    <row r="46" spans="1:22" x14ac:dyDescent="0.25">
      <c r="M46">
        <f ca="1">IF(T46&gt;=L31,1,M45)*N46*O46</f>
        <v>0</v>
      </c>
      <c r="N46">
        <f t="shared" si="31"/>
        <v>1</v>
      </c>
      <c r="O46">
        <f t="shared" si="31"/>
        <v>0</v>
      </c>
      <c r="S46">
        <v>35</v>
      </c>
      <c r="T46" s="238">
        <f t="shared" ca="1" si="27"/>
        <v>2053</v>
      </c>
      <c r="U46" s="238">
        <f t="shared" ca="1" si="28"/>
        <v>9</v>
      </c>
      <c r="V46" s="238">
        <f t="shared" ca="1" si="29"/>
        <v>1</v>
      </c>
    </row>
    <row r="47" spans="1:22" x14ac:dyDescent="0.25">
      <c r="T47" s="238">
        <f t="shared" si="27"/>
        <v>2018</v>
      </c>
      <c r="U47" s="238">
        <f t="shared" si="28"/>
        <v>9</v>
      </c>
      <c r="V47" s="238">
        <f t="shared" si="29"/>
        <v>1</v>
      </c>
    </row>
    <row r="48" spans="1:22" ht="15.75" thickBot="1" x14ac:dyDescent="0.3">
      <c r="A48" t="s">
        <v>337</v>
      </c>
      <c r="G48">
        <v>21</v>
      </c>
      <c r="H48" s="112">
        <f ca="1">ti!G89</f>
        <v>51014</v>
      </c>
      <c r="J48" s="112">
        <v>45536</v>
      </c>
      <c r="T48" s="238">
        <f t="shared" si="27"/>
        <v>2018</v>
      </c>
      <c r="U48" s="238">
        <f t="shared" si="28"/>
        <v>9</v>
      </c>
      <c r="V48" s="238">
        <f t="shared" si="29"/>
        <v>1</v>
      </c>
    </row>
    <row r="49" spans="1:20" x14ac:dyDescent="0.25">
      <c r="A49" s="325">
        <f>IF(A25&lt;21,0,A25)</f>
        <v>0</v>
      </c>
      <c r="B49" s="326">
        <f>IF(A49=0,0,B25)</f>
        <v>0</v>
      </c>
      <c r="C49" s="327">
        <f t="shared" ref="A49:C55" si="32">C25</f>
        <v>0</v>
      </c>
      <c r="G49">
        <v>28</v>
      </c>
      <c r="H49" s="112">
        <f ca="1">ti!G96</f>
        <v>53571</v>
      </c>
    </row>
    <row r="50" spans="1:20" x14ac:dyDescent="0.25">
      <c r="A50" s="322">
        <f t="shared" si="32"/>
        <v>21</v>
      </c>
      <c r="B50" s="112">
        <f t="shared" si="32"/>
        <v>51380</v>
      </c>
      <c r="C50" s="328">
        <f t="shared" si="32"/>
        <v>0</v>
      </c>
      <c r="G50">
        <v>35</v>
      </c>
      <c r="H50" s="112">
        <f ca="1">ti!G100</f>
        <v>56128</v>
      </c>
    </row>
    <row r="51" spans="1:20" x14ac:dyDescent="0.25">
      <c r="A51" s="322">
        <f t="shared" si="32"/>
        <v>28</v>
      </c>
      <c r="B51" s="112">
        <f t="shared" si="32"/>
        <v>53936</v>
      </c>
      <c r="C51" s="328">
        <f t="shared" si="32"/>
        <v>0</v>
      </c>
      <c r="H51" s="112"/>
      <c r="S51" s="241">
        <v>3</v>
      </c>
      <c r="T51" s="242">
        <f ca="1">DATE(T41+M41+N41,U41,V41)</f>
        <v>44440</v>
      </c>
    </row>
    <row r="52" spans="1:20" x14ac:dyDescent="0.25">
      <c r="A52" s="322">
        <f t="shared" si="32"/>
        <v>34</v>
      </c>
      <c r="B52" s="112">
        <f t="shared" si="32"/>
        <v>56128</v>
      </c>
      <c r="C52" s="328">
        <f t="shared" si="32"/>
        <v>0</v>
      </c>
      <c r="H52" s="112"/>
      <c r="O52">
        <f>IF(YEAR(R39)&lt;2013,365,0)</f>
        <v>0</v>
      </c>
      <c r="S52" s="241">
        <v>9</v>
      </c>
      <c r="T52" s="242">
        <f ca="1">DATE(T42+M42,U42,V42)</f>
        <v>46631</v>
      </c>
    </row>
    <row r="53" spans="1:20" x14ac:dyDescent="0.25">
      <c r="A53" s="322">
        <f t="shared" si="32"/>
        <v>50</v>
      </c>
      <c r="B53" s="112">
        <f t="shared" si="32"/>
        <v>0</v>
      </c>
      <c r="C53" s="328">
        <f t="shared" si="32"/>
        <v>0</v>
      </c>
      <c r="N53" s="112">
        <v>41639</v>
      </c>
      <c r="O53">
        <f>IF(YEAR(R37)=2013,_xlfn.DAYS(N53,R37),0)</f>
        <v>0</v>
      </c>
      <c r="S53" s="241">
        <v>15</v>
      </c>
      <c r="T53" s="242">
        <f ca="1">DATE(T43+M43,U43,V43)</f>
        <v>48823</v>
      </c>
    </row>
    <row r="54" spans="1:20" ht="15.75" thickBot="1" x14ac:dyDescent="0.3">
      <c r="A54" s="323">
        <f t="shared" si="32"/>
        <v>50</v>
      </c>
      <c r="B54" s="324">
        <f t="shared" si="32"/>
        <v>0</v>
      </c>
      <c r="C54" s="329">
        <f t="shared" si="32"/>
        <v>0</v>
      </c>
      <c r="O54">
        <f>IF(YEAR(R36)&gt;2013,0,0)</f>
        <v>0</v>
      </c>
      <c r="S54" s="241">
        <v>21</v>
      </c>
      <c r="T54" s="242">
        <f ca="1">DATE(T44+M44,U44,V44)</f>
        <v>51014</v>
      </c>
    </row>
    <row r="55" spans="1:20" x14ac:dyDescent="0.25">
      <c r="A55" s="238" t="str">
        <f t="shared" ca="1" si="32"/>
        <v/>
      </c>
      <c r="B55" s="238" t="str">
        <f t="shared" ca="1" si="32"/>
        <v/>
      </c>
      <c r="C55" s="238" t="str">
        <f t="shared" ca="1" si="32"/>
        <v/>
      </c>
      <c r="S55" s="241">
        <v>28</v>
      </c>
      <c r="T55" s="242">
        <f ca="1">DATE(T45+M45,U45,V45)</f>
        <v>53571</v>
      </c>
    </row>
    <row r="56" spans="1:20" ht="15.75" thickBot="1" x14ac:dyDescent="0.3">
      <c r="A56" s="238" t="s">
        <v>338</v>
      </c>
      <c r="B56" s="238"/>
      <c r="C56" s="238"/>
      <c r="G56">
        <f ca="1">G25</f>
        <v>0</v>
      </c>
      <c r="H56" s="112">
        <f ca="1">IF(G56=50,100000,H25)</f>
        <v>43344</v>
      </c>
      <c r="S56" s="241">
        <v>35</v>
      </c>
      <c r="T56" s="242">
        <f ca="1">DATE(T46+M46,U46,V46)</f>
        <v>56128</v>
      </c>
    </row>
    <row r="57" spans="1:20" x14ac:dyDescent="0.25">
      <c r="A57" s="325">
        <f t="shared" ref="A57:C63" ca="1" si="33">A38</f>
        <v>0</v>
      </c>
      <c r="B57" s="326">
        <f t="shared" ca="1" si="33"/>
        <v>43344</v>
      </c>
      <c r="C57" s="327">
        <f t="shared" ca="1" si="33"/>
        <v>0</v>
      </c>
      <c r="G57">
        <f t="shared" ref="G57:G63" ca="1" si="34">G26</f>
        <v>0</v>
      </c>
      <c r="H57" s="112">
        <f t="shared" ref="H57:H62" ca="1" si="35">IF(G57=50,100000,H26)</f>
        <v>43709</v>
      </c>
      <c r="T57" s="112" t="str">
        <f ca="1">IF(T47&gt;T46,DATE(T47,U47,V47),"")</f>
        <v/>
      </c>
    </row>
    <row r="58" spans="1:20" x14ac:dyDescent="0.25">
      <c r="A58" s="322" t="str">
        <f t="shared" ca="1" si="33"/>
        <v/>
      </c>
      <c r="B58" s="112" t="str">
        <f t="shared" ca="1" si="33"/>
        <v/>
      </c>
      <c r="C58" s="328" t="str">
        <f t="shared" ca="1" si="33"/>
        <v/>
      </c>
      <c r="G58">
        <f t="shared" ca="1" si="34"/>
        <v>0</v>
      </c>
      <c r="H58" s="112">
        <f t="shared" ca="1" si="35"/>
        <v>44440</v>
      </c>
    </row>
    <row r="59" spans="1:20" x14ac:dyDescent="0.25">
      <c r="A59" s="322" t="str">
        <f t="shared" ca="1" si="33"/>
        <v/>
      </c>
      <c r="B59" s="112" t="str">
        <f t="shared" ca="1" si="33"/>
        <v/>
      </c>
      <c r="C59" s="328" t="str">
        <f t="shared" ca="1" si="33"/>
        <v/>
      </c>
      <c r="G59" t="str">
        <f t="shared" ca="1" si="34"/>
        <v/>
      </c>
      <c r="H59" s="112" t="str">
        <f t="shared" ca="1" si="35"/>
        <v/>
      </c>
      <c r="R59" s="243"/>
      <c r="S59" s="241">
        <f t="shared" ref="S59:S64" si="36">S51</f>
        <v>3</v>
      </c>
      <c r="T59" s="242">
        <f t="shared" ref="T59:T64" ca="1" si="37">IF(YEAR(T51)=$L$31,$M$31,T51)</f>
        <v>44440</v>
      </c>
    </row>
    <row r="60" spans="1:20" x14ac:dyDescent="0.25">
      <c r="A60" s="322" t="str">
        <f t="shared" ca="1" si="33"/>
        <v/>
      </c>
      <c r="B60" s="112" t="str">
        <f t="shared" ca="1" si="33"/>
        <v/>
      </c>
      <c r="C60" s="328" t="str">
        <f t="shared" ca="1" si="33"/>
        <v/>
      </c>
      <c r="G60" t="str">
        <f t="shared" ca="1" si="34"/>
        <v/>
      </c>
      <c r="H60" s="112" t="str">
        <f t="shared" ca="1" si="35"/>
        <v/>
      </c>
      <c r="R60" s="243"/>
      <c r="S60" s="241">
        <f t="shared" si="36"/>
        <v>9</v>
      </c>
      <c r="T60" s="242">
        <f t="shared" ca="1" si="37"/>
        <v>46631</v>
      </c>
    </row>
    <row r="61" spans="1:20" x14ac:dyDescent="0.25">
      <c r="A61" s="322" t="str">
        <f t="shared" ca="1" si="33"/>
        <v/>
      </c>
      <c r="B61" s="112" t="str">
        <f t="shared" ca="1" si="33"/>
        <v/>
      </c>
      <c r="C61" s="328" t="str">
        <f t="shared" ca="1" si="33"/>
        <v/>
      </c>
      <c r="G61" t="str">
        <f t="shared" ca="1" si="34"/>
        <v/>
      </c>
      <c r="H61" s="112" t="str">
        <f t="shared" ca="1" si="35"/>
        <v/>
      </c>
      <c r="R61" s="243"/>
      <c r="S61" s="241">
        <f t="shared" si="36"/>
        <v>15</v>
      </c>
      <c r="T61" s="242">
        <f t="shared" ca="1" si="37"/>
        <v>48823</v>
      </c>
    </row>
    <row r="62" spans="1:20" x14ac:dyDescent="0.25">
      <c r="A62" s="322" t="str">
        <f t="shared" ca="1" si="33"/>
        <v/>
      </c>
      <c r="B62" s="112" t="str">
        <f t="shared" ca="1" si="33"/>
        <v/>
      </c>
      <c r="C62" s="328" t="str">
        <f t="shared" ca="1" si="33"/>
        <v/>
      </c>
      <c r="G62" t="str">
        <f t="shared" ca="1" si="34"/>
        <v/>
      </c>
      <c r="H62" s="112" t="str">
        <f t="shared" ca="1" si="35"/>
        <v/>
      </c>
      <c r="R62" s="243"/>
      <c r="S62" s="241">
        <f t="shared" si="36"/>
        <v>21</v>
      </c>
      <c r="T62" s="242">
        <f t="shared" ca="1" si="37"/>
        <v>51014</v>
      </c>
    </row>
    <row r="63" spans="1:20" ht="15.75" thickBot="1" x14ac:dyDescent="0.3">
      <c r="A63" s="323" t="str">
        <f t="shared" ca="1" si="33"/>
        <v/>
      </c>
      <c r="B63" s="256" t="str">
        <f t="shared" ca="1" si="33"/>
        <v/>
      </c>
      <c r="C63" s="329" t="str">
        <f t="shared" ca="1" si="33"/>
        <v/>
      </c>
      <c r="G63" t="str">
        <f t="shared" ca="1" si="34"/>
        <v/>
      </c>
      <c r="H63" s="112"/>
      <c r="R63" s="243"/>
      <c r="S63" s="241">
        <f t="shared" si="36"/>
        <v>28</v>
      </c>
      <c r="T63" s="242">
        <f t="shared" ca="1" si="37"/>
        <v>53571</v>
      </c>
    </row>
    <row r="64" spans="1:20" x14ac:dyDescent="0.25">
      <c r="A64" s="238"/>
      <c r="B64" s="238"/>
      <c r="C64" s="238"/>
      <c r="H64" s="112"/>
      <c r="R64" s="243"/>
      <c r="S64" s="241">
        <f t="shared" si="36"/>
        <v>35</v>
      </c>
      <c r="T64" s="242">
        <f t="shared" ca="1" si="37"/>
        <v>56128</v>
      </c>
    </row>
    <row r="65" spans="1:20" x14ac:dyDescent="0.25">
      <c r="A65" s="238"/>
      <c r="B65" s="238"/>
      <c r="C65" s="238"/>
      <c r="G65" s="238">
        <f>A25</f>
        <v>15</v>
      </c>
      <c r="H65" s="112">
        <f t="shared" ref="H65:H67" si="38">IF(G65=50,100000,B25)</f>
        <v>49188</v>
      </c>
    </row>
    <row r="66" spans="1:20" x14ac:dyDescent="0.25">
      <c r="A66" s="112">
        <f ca="1">VLOOKUP(A57,A49:B54,2,)</f>
        <v>0</v>
      </c>
      <c r="B66" s="238">
        <f t="shared" ref="B66:C72" ca="1" si="39">A57</f>
        <v>0</v>
      </c>
      <c r="C66" s="112">
        <f t="shared" ca="1" si="39"/>
        <v>43344</v>
      </c>
      <c r="G66" s="238">
        <f t="shared" ref="G66:G71" si="40">A26</f>
        <v>21</v>
      </c>
      <c r="H66" s="112">
        <f t="shared" si="38"/>
        <v>51380</v>
      </c>
    </row>
    <row r="67" spans="1:20" x14ac:dyDescent="0.25">
      <c r="A67" s="112" t="e">
        <f ca="1">VLOOKUP(A58,A49:B54,2,)</f>
        <v>#N/A</v>
      </c>
      <c r="B67" s="238" t="str">
        <f t="shared" ca="1" si="39"/>
        <v/>
      </c>
      <c r="C67" s="112" t="str">
        <f t="shared" ca="1" si="39"/>
        <v/>
      </c>
      <c r="G67" s="238">
        <f t="shared" si="40"/>
        <v>28</v>
      </c>
      <c r="H67" s="112">
        <f t="shared" si="38"/>
        <v>53936</v>
      </c>
      <c r="O67">
        <f>30-J11</f>
        <v>30</v>
      </c>
      <c r="P67" s="238">
        <f>IF(  YEAR(O31)&gt;L31,0,                DAY(T59)-O67)</f>
        <v>0</v>
      </c>
      <c r="Q67" s="112">
        <f t="shared" ref="Q67:Q72" ca="1" si="41">DATE(YEAR(T59),MONTH(T59),DAY(T59)-P67)</f>
        <v>44440</v>
      </c>
      <c r="R67" s="112">
        <f t="shared" ref="R67:R72" ca="1" si="42">IF(DAY(Q67)=30,1,Q67)</f>
        <v>44440</v>
      </c>
      <c r="S67" s="239">
        <f t="shared" ref="S67:S72" si="43">S59</f>
        <v>3</v>
      </c>
      <c r="T67" s="240">
        <f t="shared" ref="T67:T72" ca="1" si="44">IF(R67=1,DATE(YEAR(Q67),MONTH(Q67),R67),R67)</f>
        <v>44440</v>
      </c>
    </row>
    <row r="68" spans="1:20" x14ac:dyDescent="0.25">
      <c r="A68" s="112" t="e">
        <f ca="1">VLOOKUP(A59,A49:B54,2,)</f>
        <v>#N/A</v>
      </c>
      <c r="B68" s="238" t="str">
        <f t="shared" ca="1" si="39"/>
        <v/>
      </c>
      <c r="C68" s="112" t="str">
        <f t="shared" ca="1" si="39"/>
        <v/>
      </c>
      <c r="G68" s="238">
        <f t="shared" si="40"/>
        <v>34</v>
      </c>
      <c r="H68" s="112">
        <f>IF(G68=50,100000,B28)</f>
        <v>56128</v>
      </c>
      <c r="O68">
        <f>O67</f>
        <v>30</v>
      </c>
      <c r="P68" s="238">
        <f>P67</f>
        <v>0</v>
      </c>
      <c r="Q68" s="112">
        <f t="shared" ca="1" si="41"/>
        <v>46631</v>
      </c>
      <c r="R68" s="112">
        <f t="shared" ca="1" si="42"/>
        <v>46631</v>
      </c>
      <c r="S68" s="239">
        <f t="shared" si="43"/>
        <v>9</v>
      </c>
      <c r="T68" s="240">
        <f t="shared" ca="1" si="44"/>
        <v>46631</v>
      </c>
    </row>
    <row r="69" spans="1:20" x14ac:dyDescent="0.25">
      <c r="A69" s="112" t="e">
        <f ca="1">VLOOKUP(A60,A49:B54,2,)</f>
        <v>#N/A</v>
      </c>
      <c r="B69" s="238" t="str">
        <f t="shared" ca="1" si="39"/>
        <v/>
      </c>
      <c r="C69" s="112" t="str">
        <f t="shared" ca="1" si="39"/>
        <v/>
      </c>
      <c r="E69" s="112"/>
      <c r="G69" s="238">
        <f t="shared" si="40"/>
        <v>50</v>
      </c>
      <c r="H69" s="112">
        <f t="shared" ref="H69:H72" si="45">IF(G69=50,100000,B29)</f>
        <v>100000</v>
      </c>
      <c r="O69">
        <f>O67</f>
        <v>30</v>
      </c>
      <c r="P69" s="238">
        <f>P68</f>
        <v>0</v>
      </c>
      <c r="Q69" s="112">
        <f t="shared" ca="1" si="41"/>
        <v>48823</v>
      </c>
      <c r="R69" s="112">
        <f t="shared" ca="1" si="42"/>
        <v>48823</v>
      </c>
      <c r="S69" s="239">
        <f t="shared" si="43"/>
        <v>15</v>
      </c>
      <c r="T69" s="240">
        <f t="shared" ca="1" si="44"/>
        <v>48823</v>
      </c>
    </row>
    <row r="70" spans="1:20" x14ac:dyDescent="0.25">
      <c r="A70" s="112" t="e">
        <f ca="1">VLOOKUP(A61,A49:B54,2,)</f>
        <v>#N/A</v>
      </c>
      <c r="B70" s="238" t="str">
        <f t="shared" ca="1" si="39"/>
        <v/>
      </c>
      <c r="C70" s="112" t="str">
        <f t="shared" ca="1" si="39"/>
        <v/>
      </c>
      <c r="E70" s="112"/>
      <c r="G70" s="238">
        <f t="shared" si="40"/>
        <v>50</v>
      </c>
      <c r="H70" s="112">
        <f t="shared" si="45"/>
        <v>100000</v>
      </c>
      <c r="O70">
        <f>O67</f>
        <v>30</v>
      </c>
      <c r="P70" s="238">
        <f>P69</f>
        <v>0</v>
      </c>
      <c r="Q70" s="112">
        <f t="shared" ca="1" si="41"/>
        <v>51014</v>
      </c>
      <c r="R70" s="112">
        <f t="shared" ca="1" si="42"/>
        <v>51014</v>
      </c>
      <c r="S70" s="239">
        <f t="shared" si="43"/>
        <v>21</v>
      </c>
      <c r="T70" s="240">
        <f t="shared" ca="1" si="44"/>
        <v>51014</v>
      </c>
    </row>
    <row r="71" spans="1:20" x14ac:dyDescent="0.25">
      <c r="A71" s="112" t="e">
        <f ca="1">VLOOKUP(A62,A49:B54,2,)</f>
        <v>#N/A</v>
      </c>
      <c r="B71" s="238" t="str">
        <f t="shared" ca="1" si="39"/>
        <v/>
      </c>
      <c r="C71" s="112" t="str">
        <f t="shared" ca="1" si="39"/>
        <v/>
      </c>
      <c r="E71" s="112"/>
      <c r="G71" s="238" t="str">
        <f t="shared" ca="1" si="40"/>
        <v/>
      </c>
      <c r="H71" s="112" t="str">
        <f t="shared" ca="1" si="45"/>
        <v/>
      </c>
      <c r="O71">
        <f>O67</f>
        <v>30</v>
      </c>
      <c r="P71" s="238">
        <f>P70</f>
        <v>0</v>
      </c>
      <c r="Q71" s="112">
        <f t="shared" ca="1" si="41"/>
        <v>53571</v>
      </c>
      <c r="R71" s="112">
        <f t="shared" ca="1" si="42"/>
        <v>53571</v>
      </c>
      <c r="S71" s="239">
        <f t="shared" si="43"/>
        <v>28</v>
      </c>
      <c r="T71" s="240">
        <f t="shared" ca="1" si="44"/>
        <v>53571</v>
      </c>
    </row>
    <row r="72" spans="1:20" x14ac:dyDescent="0.25">
      <c r="A72" s="112" t="e">
        <f ca="1">VLOOKUP(A63,A49:B54,2,)</f>
        <v>#N/A</v>
      </c>
      <c r="B72" s="238" t="str">
        <f t="shared" ca="1" si="39"/>
        <v/>
      </c>
      <c r="C72" s="112" t="str">
        <f t="shared" ca="1" si="39"/>
        <v/>
      </c>
      <c r="H72" s="112" t="str">
        <f t="shared" ca="1" si="45"/>
        <v/>
      </c>
      <c r="O72">
        <f>O68</f>
        <v>30</v>
      </c>
      <c r="P72" s="238">
        <f>P71</f>
        <v>0</v>
      </c>
      <c r="Q72" s="112">
        <f t="shared" ca="1" si="41"/>
        <v>56128</v>
      </c>
      <c r="R72" s="112">
        <f t="shared" ca="1" si="42"/>
        <v>56128</v>
      </c>
      <c r="S72" s="239">
        <f t="shared" si="43"/>
        <v>35</v>
      </c>
      <c r="T72" s="240">
        <f t="shared" ca="1" si="44"/>
        <v>56128</v>
      </c>
    </row>
    <row r="73" spans="1:20" x14ac:dyDescent="0.25">
      <c r="A73" t="s">
        <v>339</v>
      </c>
      <c r="G73" s="112"/>
    </row>
    <row r="74" spans="1:20" x14ac:dyDescent="0.25">
      <c r="A74" s="278">
        <f ca="1">B66</f>
        <v>0</v>
      </c>
      <c r="B74" s="245">
        <f ca="1">IF(TYPE(A66)=16,C66,A66)</f>
        <v>0</v>
      </c>
      <c r="C74" s="238">
        <f ca="1">A74</f>
        <v>0</v>
      </c>
    </row>
    <row r="75" spans="1:20" x14ac:dyDescent="0.25">
      <c r="A75" s="278" t="str">
        <f t="shared" ref="A75:A80" ca="1" si="46">B67</f>
        <v/>
      </c>
      <c r="B75" s="245" t="str">
        <f t="shared" ref="B75:B80" ca="1" si="47">IF(TYPE(A67)=16,C67,A67)</f>
        <v/>
      </c>
      <c r="C75" s="238" t="str">
        <f t="shared" ref="C75:C81" ca="1" si="48">A75</f>
        <v/>
      </c>
      <c r="S75" s="289"/>
      <c r="T75" s="289"/>
    </row>
    <row r="76" spans="1:20" x14ac:dyDescent="0.25">
      <c r="A76" s="278" t="str">
        <f t="shared" ca="1" si="46"/>
        <v/>
      </c>
      <c r="B76" s="245" t="str">
        <f t="shared" ca="1" si="47"/>
        <v/>
      </c>
      <c r="C76" s="238" t="str">
        <f t="shared" ca="1" si="48"/>
        <v/>
      </c>
      <c r="H76" s="112"/>
      <c r="S76" s="289"/>
      <c r="T76" s="289"/>
    </row>
    <row r="77" spans="1:20" x14ac:dyDescent="0.25">
      <c r="A77" s="278" t="str">
        <f t="shared" ca="1" si="46"/>
        <v/>
      </c>
      <c r="B77" s="245" t="str">
        <f t="shared" ca="1" si="47"/>
        <v/>
      </c>
      <c r="C77" s="238" t="str">
        <f t="shared" ca="1" si="48"/>
        <v/>
      </c>
      <c r="F77">
        <v>1</v>
      </c>
      <c r="G77">
        <f ca="1">SMALL($G$56:$G$74,F77)</f>
        <v>0</v>
      </c>
      <c r="H77" s="112">
        <f ca="1">SMALL($H$56:$H$70,F77)</f>
        <v>43344</v>
      </c>
      <c r="O77">
        <f ca="1">IF(T67&gt;=F11,1,0)</f>
        <v>1</v>
      </c>
      <c r="S77" s="289">
        <f t="shared" ref="S77:S82" ca="1" si="49">IF(O77=1,S67,"")</f>
        <v>3</v>
      </c>
      <c r="T77" s="290">
        <f t="shared" ref="T77:T82" ca="1" si="50">IF(O77=1,T67,100000)</f>
        <v>44440</v>
      </c>
    </row>
    <row r="78" spans="1:20" x14ac:dyDescent="0.25">
      <c r="A78" s="278" t="str">
        <f t="shared" ca="1" si="46"/>
        <v/>
      </c>
      <c r="B78" s="245" t="str">
        <f t="shared" ca="1" si="47"/>
        <v/>
      </c>
      <c r="C78" s="238" t="str">
        <f t="shared" ca="1" si="48"/>
        <v/>
      </c>
      <c r="F78">
        <f>F77+1</f>
        <v>2</v>
      </c>
      <c r="G78">
        <f t="shared" ref="G78:G85" ca="1" si="51">SMALL($G$56:$G$74,F78)</f>
        <v>0</v>
      </c>
      <c r="H78" s="112">
        <f t="shared" ref="H78:H85" ca="1" si="52">SMALL($H$56:$H$70,F78)</f>
        <v>43709</v>
      </c>
      <c r="O78">
        <f ca="1">IF(T68&gt;=F11,1,0)</f>
        <v>1</v>
      </c>
      <c r="S78" s="289">
        <f t="shared" ca="1" si="49"/>
        <v>9</v>
      </c>
      <c r="T78" s="290">
        <f t="shared" ca="1" si="50"/>
        <v>46631</v>
      </c>
    </row>
    <row r="79" spans="1:20" x14ac:dyDescent="0.25">
      <c r="A79" s="278" t="str">
        <f t="shared" ca="1" si="46"/>
        <v/>
      </c>
      <c r="B79" s="245" t="str">
        <f t="shared" ca="1" si="47"/>
        <v/>
      </c>
      <c r="C79" s="238" t="str">
        <f t="shared" ca="1" si="48"/>
        <v/>
      </c>
      <c r="F79">
        <f t="shared" ref="F79:F85" si="53">F78+1</f>
        <v>3</v>
      </c>
      <c r="G79">
        <f t="shared" ca="1" si="51"/>
        <v>0</v>
      </c>
      <c r="H79" s="112">
        <f t="shared" ca="1" si="52"/>
        <v>44440</v>
      </c>
      <c r="O79">
        <f ca="1">IF(T69&gt;=F11,1,0)</f>
        <v>1</v>
      </c>
      <c r="S79" s="289">
        <f t="shared" ca="1" si="49"/>
        <v>15</v>
      </c>
      <c r="T79" s="290">
        <f t="shared" ca="1" si="50"/>
        <v>48823</v>
      </c>
    </row>
    <row r="80" spans="1:20" x14ac:dyDescent="0.25">
      <c r="A80" s="278" t="str">
        <f t="shared" ca="1" si="46"/>
        <v/>
      </c>
      <c r="B80" s="245" t="str">
        <f t="shared" ca="1" si="47"/>
        <v/>
      </c>
      <c r="C80" s="238" t="str">
        <f t="shared" ca="1" si="48"/>
        <v/>
      </c>
      <c r="F80">
        <f t="shared" si="53"/>
        <v>4</v>
      </c>
      <c r="G80">
        <f t="shared" ca="1" si="51"/>
        <v>15</v>
      </c>
      <c r="H80" s="112">
        <f t="shared" ca="1" si="52"/>
        <v>49188</v>
      </c>
      <c r="O80">
        <f ca="1">IF(T70&gt;=F11,1,0)</f>
        <v>1</v>
      </c>
      <c r="S80" s="289">
        <f t="shared" ca="1" si="49"/>
        <v>21</v>
      </c>
      <c r="T80" s="290">
        <f t="shared" ca="1" si="50"/>
        <v>51014</v>
      </c>
    </row>
    <row r="81" spans="1:22" x14ac:dyDescent="0.25">
      <c r="A81" s="278"/>
      <c r="B81" s="245"/>
      <c r="C81" s="238">
        <f t="shared" si="48"/>
        <v>0</v>
      </c>
      <c r="F81">
        <f t="shared" si="53"/>
        <v>5</v>
      </c>
      <c r="G81">
        <f t="shared" ca="1" si="51"/>
        <v>21</v>
      </c>
      <c r="H81" s="112">
        <f t="shared" ca="1" si="52"/>
        <v>51380</v>
      </c>
      <c r="O81">
        <f ca="1">IF(T71&gt;=F11,1,0)</f>
        <v>1</v>
      </c>
      <c r="S81" s="289">
        <f t="shared" ca="1" si="49"/>
        <v>28</v>
      </c>
      <c r="T81" s="290">
        <f t="shared" ca="1" si="50"/>
        <v>53571</v>
      </c>
    </row>
    <row r="82" spans="1:22" x14ac:dyDescent="0.25">
      <c r="F82">
        <f t="shared" si="53"/>
        <v>6</v>
      </c>
      <c r="G82">
        <f t="shared" ca="1" si="51"/>
        <v>28</v>
      </c>
      <c r="H82" s="112">
        <f t="shared" ca="1" si="52"/>
        <v>53936</v>
      </c>
      <c r="I82" s="279"/>
      <c r="J82" s="279"/>
      <c r="K82" s="279"/>
      <c r="L82" s="279"/>
      <c r="M82" s="279"/>
      <c r="N82" s="279"/>
      <c r="O82" s="279">
        <f ca="1">IF(T72&gt;=F11,1,0)</f>
        <v>1</v>
      </c>
      <c r="S82" s="289">
        <f t="shared" ca="1" si="49"/>
        <v>35</v>
      </c>
      <c r="T82" s="290">
        <f t="shared" ca="1" si="50"/>
        <v>56128</v>
      </c>
    </row>
    <row r="83" spans="1:22" x14ac:dyDescent="0.25">
      <c r="F83">
        <f t="shared" si="53"/>
        <v>7</v>
      </c>
      <c r="G83">
        <f t="shared" ca="1" si="51"/>
        <v>34</v>
      </c>
      <c r="H83" s="112">
        <f t="shared" ca="1" si="52"/>
        <v>56128</v>
      </c>
      <c r="I83" s="279"/>
      <c r="J83" s="279"/>
      <c r="K83" s="279"/>
      <c r="L83" s="279"/>
      <c r="M83" s="279"/>
      <c r="N83" s="279"/>
      <c r="O83" s="279"/>
    </row>
    <row r="84" spans="1:22" x14ac:dyDescent="0.25">
      <c r="F84">
        <f t="shared" si="53"/>
        <v>8</v>
      </c>
      <c r="G84">
        <f t="shared" ca="1" si="51"/>
        <v>50</v>
      </c>
      <c r="H84" s="112">
        <f t="shared" ca="1" si="52"/>
        <v>100000</v>
      </c>
    </row>
    <row r="85" spans="1:22" x14ac:dyDescent="0.25">
      <c r="F85">
        <f t="shared" si="53"/>
        <v>9</v>
      </c>
      <c r="G85">
        <f t="shared" ca="1" si="51"/>
        <v>50</v>
      </c>
      <c r="H85" s="112">
        <f t="shared" ca="1" si="52"/>
        <v>100000</v>
      </c>
    </row>
    <row r="86" spans="1:22" ht="15.75" x14ac:dyDescent="0.25">
      <c r="H86" s="112"/>
      <c r="S86" s="291"/>
      <c r="T86" s="291"/>
      <c r="V86">
        <f t="shared" ref="V86:V91" si="54">TYPE(S86)</f>
        <v>1</v>
      </c>
    </row>
    <row r="87" spans="1:22" ht="15.75" x14ac:dyDescent="0.25">
      <c r="H87" s="112"/>
      <c r="S87" s="291">
        <f>H11</f>
        <v>0</v>
      </c>
      <c r="T87" s="292">
        <f>F11</f>
        <v>43344</v>
      </c>
      <c r="V87">
        <f t="shared" si="54"/>
        <v>1</v>
      </c>
    </row>
    <row r="88" spans="1:22" ht="15.75" x14ac:dyDescent="0.25">
      <c r="H88" s="112"/>
      <c r="S88" s="291">
        <f ca="1">SMALL(S75:T82,1)</f>
        <v>3</v>
      </c>
      <c r="T88" s="292">
        <f t="shared" ref="T88:T93" ca="1" si="55">VLOOKUP(S88,$S$75:$T$82,2)</f>
        <v>44440</v>
      </c>
      <c r="V88">
        <f t="shared" ca="1" si="54"/>
        <v>1</v>
      </c>
    </row>
    <row r="89" spans="1:22" ht="15.75" x14ac:dyDescent="0.25">
      <c r="H89" s="112"/>
      <c r="S89" s="291">
        <f ca="1">SMALL(S75:T82,2)</f>
        <v>9</v>
      </c>
      <c r="T89" s="292">
        <f t="shared" ca="1" si="55"/>
        <v>46631</v>
      </c>
      <c r="V89">
        <f t="shared" ca="1" si="54"/>
        <v>1</v>
      </c>
    </row>
    <row r="90" spans="1:22" ht="15.75" x14ac:dyDescent="0.25">
      <c r="H90" s="112"/>
      <c r="S90" s="291">
        <f ca="1">SMALL(S75:T82,3)</f>
        <v>15</v>
      </c>
      <c r="T90" s="292">
        <f t="shared" ca="1" si="55"/>
        <v>48823</v>
      </c>
      <c r="V90">
        <f t="shared" ca="1" si="54"/>
        <v>1</v>
      </c>
    </row>
    <row r="91" spans="1:22" ht="15.75" x14ac:dyDescent="0.25">
      <c r="H91" s="112"/>
      <c r="S91" s="291">
        <f ca="1">SMALL(S75:T82,4)</f>
        <v>21</v>
      </c>
      <c r="T91" s="292">
        <f t="shared" ca="1" si="55"/>
        <v>51014</v>
      </c>
      <c r="V91">
        <f t="shared" ca="1" si="54"/>
        <v>1</v>
      </c>
    </row>
    <row r="92" spans="1:22" ht="15.75" x14ac:dyDescent="0.25">
      <c r="H92" s="112"/>
      <c r="S92" s="291">
        <f ca="1">SMALL(S75:T82,5)</f>
        <v>28</v>
      </c>
      <c r="T92" s="292">
        <f t="shared" ca="1" si="55"/>
        <v>53571</v>
      </c>
      <c r="V92">
        <f ca="1">TYPE(S92)</f>
        <v>1</v>
      </c>
    </row>
    <row r="93" spans="1:22" ht="15.75" x14ac:dyDescent="0.25">
      <c r="H93" s="112"/>
      <c r="S93" s="291">
        <f ca="1">SMALL(S75:T82,6)</f>
        <v>35</v>
      </c>
      <c r="T93" s="292">
        <f t="shared" ca="1" si="55"/>
        <v>56128</v>
      </c>
      <c r="V93">
        <f ca="1">TYPE(S93)</f>
        <v>1</v>
      </c>
    </row>
    <row r="94" spans="1:22" x14ac:dyDescent="0.25">
      <c r="H94" s="112"/>
    </row>
    <row r="95" spans="1:22" x14ac:dyDescent="0.25">
      <c r="H95" s="112"/>
    </row>
    <row r="96" spans="1:22" x14ac:dyDescent="0.25">
      <c r="H96" s="112"/>
    </row>
    <row r="97" spans="2:21" x14ac:dyDescent="0.25">
      <c r="B97" t="s">
        <v>482</v>
      </c>
      <c r="C97">
        <v>0</v>
      </c>
      <c r="F97" s="238" t="e">
        <f>VLOOKUP(frontti!N37,$B$97:$C$104,2,FALSE)</f>
        <v>#N/A</v>
      </c>
      <c r="G97" s="112">
        <f ca="1">frontti!O37</f>
        <v>43344</v>
      </c>
      <c r="H97" s="112"/>
      <c r="I97" t="e">
        <f>VLOOKUP(frontti!R40,$B$97:$C$104,2,FALSE)</f>
        <v>#N/A</v>
      </c>
      <c r="J97" s="112">
        <f>frontti!S40</f>
        <v>43344</v>
      </c>
      <c r="P97" t="s">
        <v>263</v>
      </c>
      <c r="U97" s="273">
        <v>45535</v>
      </c>
    </row>
    <row r="98" spans="2:21" x14ac:dyDescent="0.25">
      <c r="B98" t="s">
        <v>168</v>
      </c>
      <c r="C98">
        <v>0</v>
      </c>
      <c r="F98" s="238" t="e">
        <f ca="1">VLOOKUP(frontti!N38,$B$97:$C$104,2,FALSE)</f>
        <v>#N/A</v>
      </c>
      <c r="G98" s="112">
        <f ca="1">frontti!O38</f>
        <v>43709</v>
      </c>
      <c r="I98" t="e">
        <f>VLOOKUP(frontti!R41,$B$97:$C$104,2,FALSE)</f>
        <v>#N/A</v>
      </c>
      <c r="J98">
        <f>frontti!S41</f>
        <v>41226</v>
      </c>
    </row>
    <row r="99" spans="2:21" x14ac:dyDescent="0.25">
      <c r="B99" t="s">
        <v>169</v>
      </c>
      <c r="C99">
        <v>3</v>
      </c>
      <c r="F99" s="238" t="e">
        <f>VLOOKUP(frontti!N39,$B$97:$C$104,2,FALSE)</f>
        <v>#N/A</v>
      </c>
      <c r="G99" s="112" t="str">
        <f>frontti!O39</f>
        <v/>
      </c>
      <c r="I99" t="e">
        <f>VLOOKUP(frontti!R42,$B$97:$C$104,2,FALSE)</f>
        <v>#N/A</v>
      </c>
      <c r="J99">
        <f>frontti!S42</f>
        <v>43782</v>
      </c>
    </row>
    <row r="100" spans="2:21" x14ac:dyDescent="0.25">
      <c r="B100" t="s">
        <v>170</v>
      </c>
      <c r="C100">
        <v>9</v>
      </c>
      <c r="F100" s="238" t="e">
        <f>VLOOKUP(frontti!N40,$B$97:$C$104,2,FALSE)</f>
        <v>#N/A</v>
      </c>
      <c r="G100" s="112" t="str">
        <f>frontti!O40</f>
        <v/>
      </c>
      <c r="I100" t="e">
        <f>VLOOKUP(frontti!R43,$B$97:$C$104,2,FALSE)</f>
        <v>#N/A</v>
      </c>
      <c r="J100">
        <f>frontti!S43</f>
        <v>44912</v>
      </c>
      <c r="S100" s="289">
        <f>IF(AND(S87&lt;36,T87&lt;=$U$97),S87,"")</f>
        <v>0</v>
      </c>
      <c r="T100" s="290">
        <f>IF(S100&lt;&gt;"",T87,"")</f>
        <v>43344</v>
      </c>
    </row>
    <row r="101" spans="2:21" x14ac:dyDescent="0.25">
      <c r="B101" t="s">
        <v>171</v>
      </c>
      <c r="C101">
        <v>15</v>
      </c>
      <c r="F101" s="238" t="e">
        <f>VLOOKUP(frontti!N41,$B$97:$C$104,2,FALSE)</f>
        <v>#N/A</v>
      </c>
      <c r="G101" s="112" t="str">
        <f>frontti!O41</f>
        <v/>
      </c>
      <c r="I101" t="e">
        <f>VLOOKUP(frontti!R44,$B$97:$C$104,2,FALSE)</f>
        <v>#N/A</v>
      </c>
      <c r="J101">
        <f>frontti!S44</f>
        <v>0</v>
      </c>
      <c r="S101" s="289">
        <f t="shared" ref="S101:S106" ca="1" si="56">IF(AND(S88&lt;36,T88&lt;=$U$97),S88,"")</f>
        <v>3</v>
      </c>
      <c r="T101" s="290">
        <f t="shared" ref="T101:T106" ca="1" si="57">IF(S101&lt;&gt;"",T88,"")</f>
        <v>44440</v>
      </c>
    </row>
    <row r="102" spans="2:21" x14ac:dyDescent="0.25">
      <c r="B102" t="s">
        <v>172</v>
      </c>
      <c r="C102">
        <v>21</v>
      </c>
      <c r="F102" s="238" t="e">
        <f>VLOOKUP(frontti!N42,$B$97:$C$104,2,FALSE)</f>
        <v>#N/A</v>
      </c>
      <c r="G102" s="112" t="str">
        <f>frontti!O42</f>
        <v/>
      </c>
      <c r="I102" t="e">
        <f>VLOOKUP(frontti!R45,$B$97:$C$104,2,FALSE)</f>
        <v>#N/A</v>
      </c>
      <c r="J102">
        <f>frontti!S45</f>
        <v>0</v>
      </c>
      <c r="S102" s="289" t="str">
        <f t="shared" ca="1" si="56"/>
        <v/>
      </c>
      <c r="T102" s="290" t="str">
        <f t="shared" ca="1" si="57"/>
        <v/>
      </c>
    </row>
    <row r="103" spans="2:21" x14ac:dyDescent="0.25">
      <c r="B103" t="s">
        <v>173</v>
      </c>
      <c r="C103">
        <v>28</v>
      </c>
      <c r="F103" s="238" t="e">
        <f>VLOOKUP(frontti!N43,$B$97:$C$104,2,FALSE)</f>
        <v>#N/A</v>
      </c>
      <c r="G103" s="112" t="str">
        <f>frontti!O43</f>
        <v/>
      </c>
      <c r="I103" t="e">
        <f>VLOOKUP(frontti!R46,$B$97:$C$104,2,FALSE)</f>
        <v>#N/A</v>
      </c>
      <c r="J103">
        <f>frontti!S46</f>
        <v>0</v>
      </c>
      <c r="S103" s="289" t="str">
        <f t="shared" ca="1" si="56"/>
        <v/>
      </c>
      <c r="T103" s="290" t="str">
        <f t="shared" ca="1" si="57"/>
        <v/>
      </c>
    </row>
    <row r="104" spans="2:21" x14ac:dyDescent="0.25">
      <c r="B104" t="s">
        <v>174</v>
      </c>
      <c r="C104">
        <v>35</v>
      </c>
      <c r="F104" s="112"/>
      <c r="G104" s="112"/>
      <c r="S104" s="289" t="str">
        <f t="shared" ca="1" si="56"/>
        <v/>
      </c>
      <c r="T104" s="290" t="str">
        <f t="shared" ca="1" si="57"/>
        <v/>
      </c>
    </row>
    <row r="105" spans="2:21" x14ac:dyDescent="0.25">
      <c r="S105" s="289" t="str">
        <f t="shared" ca="1" si="56"/>
        <v/>
      </c>
      <c r="T105" s="290" t="str">
        <f t="shared" ca="1" si="57"/>
        <v/>
      </c>
    </row>
    <row r="106" spans="2:21" x14ac:dyDescent="0.25">
      <c r="S106" s="289" t="str">
        <f t="shared" ca="1" si="56"/>
        <v/>
      </c>
      <c r="T106" s="290" t="str">
        <f t="shared" ca="1" si="57"/>
        <v/>
      </c>
    </row>
    <row r="107" spans="2:21" x14ac:dyDescent="0.25">
      <c r="M107">
        <f>DAY(F11)</f>
        <v>1</v>
      </c>
      <c r="N107">
        <f>MONTH(F11)</f>
        <v>9</v>
      </c>
      <c r="O107" s="238">
        <f>(YEAR(F11))+1</f>
        <v>2019</v>
      </c>
      <c r="Q107" t="s">
        <v>267</v>
      </c>
      <c r="S107" s="294">
        <f>IF(H15="SI",0,"")</f>
        <v>0</v>
      </c>
      <c r="T107" s="287">
        <f>IF(H15="SI",DATE(O107,N107,M107),"")</f>
        <v>43709</v>
      </c>
    </row>
    <row r="110" spans="2:21" x14ac:dyDescent="0.25">
      <c r="F110" t="e">
        <f>IF(TYPE($I$97)&lt;&gt;16,I97,F97)</f>
        <v>#N/A</v>
      </c>
      <c r="G110" s="112">
        <f ca="1">IF(TYPE($I$97)&lt;&gt;16,J97,G97)</f>
        <v>43344</v>
      </c>
      <c r="S110" s="289"/>
      <c r="T110" s="289"/>
    </row>
    <row r="111" spans="2:21" x14ac:dyDescent="0.25">
      <c r="F111" t="e">
        <f t="shared" ref="F111:G111" ca="1" si="58">IF(TYPE($I$97)&lt;&gt;16,I98,F98)</f>
        <v>#N/A</v>
      </c>
      <c r="G111" s="112">
        <f t="shared" ca="1" si="58"/>
        <v>43709</v>
      </c>
      <c r="S111" s="289">
        <f>IF(AND(T100&lt;=T107,S107&lt;&gt;""               ),0,S100)</f>
        <v>0</v>
      </c>
      <c r="T111" s="290">
        <f t="shared" ref="T111:T117" si="59">T100</f>
        <v>43344</v>
      </c>
    </row>
    <row r="112" spans="2:21" x14ac:dyDescent="0.25">
      <c r="F112" t="e">
        <f t="shared" ref="F112:G112" si="60">IF(TYPE($I$97)&lt;&gt;16,I99,F99)</f>
        <v>#N/A</v>
      </c>
      <c r="G112" s="112" t="str">
        <f t="shared" si="60"/>
        <v/>
      </c>
      <c r="S112" s="289">
        <f ca="1">IF(AND(T101&lt;=T107,T107&lt;&gt;""),0,S101)</f>
        <v>3</v>
      </c>
      <c r="T112" s="290">
        <f t="shared" ca="1" si="59"/>
        <v>44440</v>
      </c>
    </row>
    <row r="113" spans="6:20" x14ac:dyDescent="0.25">
      <c r="F113" t="e">
        <f t="shared" ref="F113:G113" si="61">IF(TYPE($I$97)&lt;&gt;16,I100,F100)</f>
        <v>#N/A</v>
      </c>
      <c r="G113" s="112" t="str">
        <f t="shared" si="61"/>
        <v/>
      </c>
      <c r="S113" s="289" t="str">
        <f ca="1">IF(AND( T102&lt;=T107,     T107&lt;&gt;""  ),0,S102)</f>
        <v/>
      </c>
      <c r="T113" s="290" t="str">
        <f t="shared" ca="1" si="59"/>
        <v/>
      </c>
    </row>
    <row r="114" spans="6:20" x14ac:dyDescent="0.25">
      <c r="F114" t="e">
        <f t="shared" ref="F114:G114" si="62">IF(TYPE($I$97)&lt;&gt;16,I101,F101)</f>
        <v>#N/A</v>
      </c>
      <c r="G114" s="112" t="str">
        <f t="shared" si="62"/>
        <v/>
      </c>
      <c r="S114" s="289" t="str">
        <f ca="1">S103</f>
        <v/>
      </c>
      <c r="T114" s="289" t="str">
        <f t="shared" ca="1" si="59"/>
        <v/>
      </c>
    </row>
    <row r="115" spans="6:20" x14ac:dyDescent="0.25">
      <c r="F115" t="e">
        <f t="shared" ref="F115:G115" si="63">IF(TYPE($I$97)&lt;&gt;16,I102,F102)</f>
        <v>#N/A</v>
      </c>
      <c r="G115" s="112" t="str">
        <f t="shared" si="63"/>
        <v/>
      </c>
      <c r="S115" s="289" t="str">
        <f ca="1">S104</f>
        <v/>
      </c>
      <c r="T115" s="289" t="str">
        <f t="shared" ca="1" si="59"/>
        <v/>
      </c>
    </row>
    <row r="116" spans="6:20" x14ac:dyDescent="0.25">
      <c r="F116" t="e">
        <f t="shared" ref="F116:G116" si="64">IF(TYPE($I$97)&lt;&gt;16,I103,F103)</f>
        <v>#N/A</v>
      </c>
      <c r="G116" s="112" t="str">
        <f t="shared" si="64"/>
        <v/>
      </c>
      <c r="S116" s="289" t="str">
        <f ca="1">S105</f>
        <v/>
      </c>
      <c r="T116" s="289" t="str">
        <f t="shared" ca="1" si="59"/>
        <v/>
      </c>
    </row>
    <row r="117" spans="6:20" x14ac:dyDescent="0.25">
      <c r="S117" s="289" t="str">
        <f ca="1">S106</f>
        <v/>
      </c>
      <c r="T117" s="289" t="str">
        <f t="shared" ca="1" si="59"/>
        <v/>
      </c>
    </row>
    <row r="118" spans="6:20" ht="15.75" thickBot="1" x14ac:dyDescent="0.3">
      <c r="S118" s="289">
        <f>IF(S107=0,S100+1,"")</f>
        <v>1</v>
      </c>
      <c r="T118" s="290">
        <f>IF(S107=0,T107,"")</f>
        <v>43709</v>
      </c>
    </row>
    <row r="119" spans="6:20" x14ac:dyDescent="0.25">
      <c r="G119" s="250" t="str">
        <f>IF(TYPE(F110)=16,"",F110)</f>
        <v/>
      </c>
      <c r="H119" s="304" t="str">
        <f>IF(TYPE(F110)&lt;&gt;16,G110,"")</f>
        <v/>
      </c>
    </row>
    <row r="120" spans="6:20" x14ac:dyDescent="0.25">
      <c r="G120" s="253" t="str">
        <f t="shared" ref="G120:G125" ca="1" si="65">IF(TYPE(F111)=16,"",F111)</f>
        <v/>
      </c>
      <c r="H120" s="305" t="str">
        <f t="shared" ref="H120:H124" ca="1" si="66">IF(TYPE(F111)&lt;&gt;16,G111,"")</f>
        <v/>
      </c>
    </row>
    <row r="121" spans="6:20" x14ac:dyDescent="0.25">
      <c r="G121" s="253" t="str">
        <f t="shared" si="65"/>
        <v/>
      </c>
      <c r="H121" s="305" t="str">
        <f t="shared" si="66"/>
        <v/>
      </c>
    </row>
    <row r="122" spans="6:20" x14ac:dyDescent="0.25">
      <c r="G122" s="253" t="str">
        <f t="shared" si="65"/>
        <v/>
      </c>
      <c r="H122" s="305" t="str">
        <f t="shared" si="66"/>
        <v/>
      </c>
    </row>
    <row r="123" spans="6:20" x14ac:dyDescent="0.25">
      <c r="G123" s="253" t="str">
        <f t="shared" si="65"/>
        <v/>
      </c>
      <c r="H123" s="305" t="str">
        <f t="shared" si="66"/>
        <v/>
      </c>
    </row>
    <row r="124" spans="6:20" x14ac:dyDescent="0.25">
      <c r="G124" s="253" t="str">
        <f t="shared" si="65"/>
        <v/>
      </c>
      <c r="H124" s="305" t="str">
        <f t="shared" si="66"/>
        <v/>
      </c>
    </row>
    <row r="125" spans="6:20" x14ac:dyDescent="0.25">
      <c r="G125" s="253" t="str">
        <f t="shared" si="65"/>
        <v/>
      </c>
      <c r="H125" s="305" t="str">
        <f t="shared" ref="H125" si="67">IF(TYPE(F116)&lt;&gt;16,G116,"")</f>
        <v/>
      </c>
      <c r="N125">
        <f ca="1">IF(S125&gt;35,0,1)</f>
        <v>1</v>
      </c>
      <c r="O125">
        <f ca="1">IF(TYPE(N125)=16,0,1)</f>
        <v>1</v>
      </c>
      <c r="Q125">
        <f t="shared" ref="Q125:Q130" ca="1" si="68">IF(O125=0,0,O125*N125)</f>
        <v>1</v>
      </c>
      <c r="R125">
        <v>1</v>
      </c>
      <c r="S125" s="289">
        <f ca="1">SMALL($S$111:$T$118,R125)</f>
        <v>0</v>
      </c>
      <c r="T125" s="290">
        <f ca="1">VLOOKUP(S125,$S$111:$T$118,2,FALSE)</f>
        <v>43344</v>
      </c>
    </row>
    <row r="126" spans="6:20" x14ac:dyDescent="0.25">
      <c r="N126">
        <f t="shared" ref="N126:N133" ca="1" si="69">IF(S126&gt;35,0,1)</f>
        <v>1</v>
      </c>
      <c r="O126">
        <f t="shared" ref="O126:O133" ca="1" si="70">IF(TYPE(N126)=16,0,1)</f>
        <v>1</v>
      </c>
      <c r="Q126">
        <f t="shared" ca="1" si="68"/>
        <v>1</v>
      </c>
      <c r="R126">
        <v>2</v>
      </c>
      <c r="S126" s="289">
        <f t="shared" ref="S126:S133" ca="1" si="71">SMALL($S$111:$T$118,R126)</f>
        <v>1</v>
      </c>
      <c r="T126" s="290">
        <f t="shared" ref="T126:T133" ca="1" si="72">VLOOKUP(S126,$S$111:$T$118,2,FALSE)</f>
        <v>43709</v>
      </c>
    </row>
    <row r="127" spans="6:20" x14ac:dyDescent="0.25">
      <c r="N127">
        <f t="shared" ca="1" si="69"/>
        <v>1</v>
      </c>
      <c r="O127">
        <f t="shared" ca="1" si="70"/>
        <v>1</v>
      </c>
      <c r="Q127">
        <f t="shared" ca="1" si="68"/>
        <v>1</v>
      </c>
      <c r="R127">
        <v>3</v>
      </c>
      <c r="S127" s="289">
        <f t="shared" ca="1" si="71"/>
        <v>3</v>
      </c>
      <c r="T127" s="290">
        <f t="shared" ca="1" si="72"/>
        <v>44440</v>
      </c>
    </row>
    <row r="128" spans="6:20" x14ac:dyDescent="0.25">
      <c r="N128">
        <f t="shared" ca="1" si="69"/>
        <v>0</v>
      </c>
      <c r="O128">
        <f t="shared" ca="1" si="70"/>
        <v>1</v>
      </c>
      <c r="Q128">
        <f t="shared" ca="1" si="68"/>
        <v>0</v>
      </c>
      <c r="R128">
        <v>4</v>
      </c>
      <c r="S128" s="289">
        <f t="shared" ca="1" si="71"/>
        <v>43344</v>
      </c>
      <c r="T128" s="290" t="e">
        <f t="shared" ca="1" si="72"/>
        <v>#N/A</v>
      </c>
    </row>
    <row r="129" spans="14:20" x14ac:dyDescent="0.25">
      <c r="N129">
        <f t="shared" ca="1" si="69"/>
        <v>0</v>
      </c>
      <c r="O129">
        <f t="shared" ca="1" si="70"/>
        <v>1</v>
      </c>
      <c r="Q129">
        <f t="shared" ca="1" si="68"/>
        <v>0</v>
      </c>
      <c r="R129">
        <v>5</v>
      </c>
      <c r="S129" s="289">
        <f t="shared" ca="1" si="71"/>
        <v>43709</v>
      </c>
      <c r="T129" s="290" t="e">
        <f t="shared" ca="1" si="72"/>
        <v>#N/A</v>
      </c>
    </row>
    <row r="130" spans="14:20" x14ac:dyDescent="0.25">
      <c r="N130">
        <f t="shared" ca="1" si="69"/>
        <v>0</v>
      </c>
      <c r="O130">
        <f t="shared" ca="1" si="70"/>
        <v>1</v>
      </c>
      <c r="Q130">
        <f t="shared" ca="1" si="68"/>
        <v>0</v>
      </c>
      <c r="R130">
        <v>6</v>
      </c>
      <c r="S130" s="289">
        <f t="shared" ca="1" si="71"/>
        <v>44440</v>
      </c>
      <c r="T130" s="290" t="e">
        <f t="shared" ca="1" si="72"/>
        <v>#N/A</v>
      </c>
    </row>
    <row r="131" spans="14:20" x14ac:dyDescent="0.25">
      <c r="N131" t="e">
        <f t="shared" ca="1" si="69"/>
        <v>#NUM!</v>
      </c>
      <c r="O131">
        <f t="shared" ca="1" si="70"/>
        <v>0</v>
      </c>
      <c r="Q131">
        <f ca="1">IF(O131=0,0,O131*N131)</f>
        <v>0</v>
      </c>
      <c r="R131">
        <v>7</v>
      </c>
      <c r="S131" s="289" t="e">
        <f t="shared" ca="1" si="71"/>
        <v>#NUM!</v>
      </c>
      <c r="T131" s="290" t="e">
        <f t="shared" ca="1" si="72"/>
        <v>#NUM!</v>
      </c>
    </row>
    <row r="132" spans="14:20" x14ac:dyDescent="0.25">
      <c r="N132" t="e">
        <f t="shared" ca="1" si="69"/>
        <v>#NUM!</v>
      </c>
      <c r="O132">
        <f t="shared" ca="1" si="70"/>
        <v>0</v>
      </c>
      <c r="Q132">
        <f ca="1">IF(O132=0,0,O132*N132)</f>
        <v>0</v>
      </c>
      <c r="R132">
        <v>8</v>
      </c>
      <c r="S132" s="289" t="e">
        <f t="shared" ca="1" si="71"/>
        <v>#NUM!</v>
      </c>
      <c r="T132" s="290" t="e">
        <f t="shared" ca="1" si="72"/>
        <v>#NUM!</v>
      </c>
    </row>
    <row r="133" spans="14:20" x14ac:dyDescent="0.25">
      <c r="N133" t="e">
        <f t="shared" ca="1" si="69"/>
        <v>#NUM!</v>
      </c>
      <c r="O133">
        <f t="shared" ca="1" si="70"/>
        <v>0</v>
      </c>
      <c r="Q133">
        <f ca="1">IF(O133=0,0,O133*N133)</f>
        <v>0</v>
      </c>
      <c r="R133">
        <v>9</v>
      </c>
      <c r="S133" s="289" t="e">
        <f t="shared" ca="1" si="71"/>
        <v>#NUM!</v>
      </c>
      <c r="T133" s="290" t="e">
        <f t="shared" ca="1" si="72"/>
        <v>#NUM!</v>
      </c>
    </row>
    <row r="139" spans="14:20" x14ac:dyDescent="0.25">
      <c r="S139" s="297" t="s">
        <v>269</v>
      </c>
      <c r="T139" s="297" t="s">
        <v>270</v>
      </c>
    </row>
    <row r="140" spans="14:20" x14ac:dyDescent="0.25">
      <c r="S140" s="289">
        <f ca="1">IF(Q125=1,S125,"")</f>
        <v>0</v>
      </c>
      <c r="T140" s="290">
        <f ca="1">IF(Q125=1,T125,"")</f>
        <v>43344</v>
      </c>
    </row>
    <row r="141" spans="14:20" x14ac:dyDescent="0.25">
      <c r="S141" s="289">
        <f t="shared" ref="S141:S147" ca="1" si="73">IF(Q126=1,S126,"")</f>
        <v>1</v>
      </c>
      <c r="T141" s="290">
        <f t="shared" ref="T141:T147" ca="1" si="74">IF(Q126=1,T126,"")</f>
        <v>43709</v>
      </c>
    </row>
    <row r="142" spans="14:20" x14ac:dyDescent="0.25">
      <c r="S142" s="289">
        <f t="shared" ca="1" si="73"/>
        <v>3</v>
      </c>
      <c r="T142" s="290">
        <f t="shared" ca="1" si="74"/>
        <v>44440</v>
      </c>
    </row>
    <row r="143" spans="14:20" x14ac:dyDescent="0.25">
      <c r="S143" s="289" t="str">
        <f t="shared" ca="1" si="73"/>
        <v/>
      </c>
      <c r="T143" s="290" t="str">
        <f t="shared" ca="1" si="74"/>
        <v/>
      </c>
    </row>
    <row r="144" spans="14:20" x14ac:dyDescent="0.25">
      <c r="S144" s="289" t="str">
        <f t="shared" ca="1" si="73"/>
        <v/>
      </c>
      <c r="T144" s="290" t="str">
        <f t="shared" ca="1" si="74"/>
        <v/>
      </c>
    </row>
    <row r="145" spans="16:20" x14ac:dyDescent="0.25">
      <c r="S145" s="289" t="str">
        <f t="shared" ca="1" si="73"/>
        <v/>
      </c>
      <c r="T145" s="290" t="str">
        <f t="shared" ca="1" si="74"/>
        <v/>
      </c>
    </row>
    <row r="146" spans="16:20" x14ac:dyDescent="0.25">
      <c r="S146" s="289" t="str">
        <f t="shared" ca="1" si="73"/>
        <v/>
      </c>
      <c r="T146" s="290" t="str">
        <f t="shared" ca="1" si="74"/>
        <v/>
      </c>
    </row>
    <row r="147" spans="16:20" x14ac:dyDescent="0.25">
      <c r="S147" s="289" t="str">
        <f t="shared" ca="1" si="73"/>
        <v/>
      </c>
      <c r="T147" s="290" t="str">
        <f t="shared" ca="1" si="74"/>
        <v/>
      </c>
    </row>
    <row r="148" spans="16:20" x14ac:dyDescent="0.25">
      <c r="S148" s="289"/>
      <c r="T148" s="290"/>
    </row>
    <row r="152" spans="16:20" x14ac:dyDescent="0.25">
      <c r="P152" s="112">
        <v>40421</v>
      </c>
      <c r="Q152" t="s">
        <v>265</v>
      </c>
      <c r="S152" s="289">
        <f t="shared" ref="S152:S157" ca="1" si="75">IF(AND($H$17="NO",S140&lt;9,T140&gt;$P$152),0,S140)</f>
        <v>0</v>
      </c>
      <c r="T152" s="290">
        <f ca="1">T140</f>
        <v>43344</v>
      </c>
    </row>
    <row r="153" spans="16:20" x14ac:dyDescent="0.25">
      <c r="S153" s="289">
        <f t="shared" ca="1" si="75"/>
        <v>0</v>
      </c>
      <c r="T153" s="290">
        <f t="shared" ref="T153:T160" ca="1" si="76">T141</f>
        <v>43709</v>
      </c>
    </row>
    <row r="154" spans="16:20" x14ac:dyDescent="0.25">
      <c r="S154" s="289">
        <f t="shared" ca="1" si="75"/>
        <v>0</v>
      </c>
      <c r="T154" s="290">
        <f t="shared" ca="1" si="76"/>
        <v>44440</v>
      </c>
    </row>
    <row r="155" spans="16:20" x14ac:dyDescent="0.25">
      <c r="S155" s="289" t="str">
        <f t="shared" ca="1" si="75"/>
        <v/>
      </c>
      <c r="T155" s="290" t="str">
        <f t="shared" ca="1" si="76"/>
        <v/>
      </c>
    </row>
    <row r="156" spans="16:20" x14ac:dyDescent="0.25">
      <c r="S156" s="289" t="str">
        <f t="shared" ca="1" si="75"/>
        <v/>
      </c>
      <c r="T156" s="290" t="str">
        <f t="shared" ca="1" si="76"/>
        <v/>
      </c>
    </row>
    <row r="157" spans="16:20" x14ac:dyDescent="0.25">
      <c r="S157" s="289" t="str">
        <f t="shared" ca="1" si="75"/>
        <v/>
      </c>
      <c r="T157" s="290" t="str">
        <f t="shared" ca="1" si="76"/>
        <v/>
      </c>
    </row>
    <row r="158" spans="16:20" x14ac:dyDescent="0.25">
      <c r="S158" s="289" t="str">
        <f ca="1">IF(AND($H$17="NO",S146=3,T146&gt;$P$152),0,S146)</f>
        <v/>
      </c>
      <c r="T158" s="290" t="str">
        <f t="shared" ca="1" si="76"/>
        <v/>
      </c>
    </row>
    <row r="159" spans="16:20" x14ac:dyDescent="0.25">
      <c r="S159" s="289" t="str">
        <f ca="1">IF(AND($H$17="NO",S147=3,T147&gt;$P$152),0,S147)</f>
        <v/>
      </c>
      <c r="T159" s="290" t="str">
        <f t="shared" ca="1" si="76"/>
        <v/>
      </c>
    </row>
    <row r="160" spans="16:20" x14ac:dyDescent="0.25">
      <c r="S160">
        <f>IF(AND($H$17="NO",S148=3,T148&gt;$P$152),0,S148)</f>
        <v>0</v>
      </c>
      <c r="T160" s="112">
        <f t="shared" si="76"/>
        <v>0</v>
      </c>
    </row>
    <row r="162" spans="6:21" x14ac:dyDescent="0.25">
      <c r="F162">
        <v>0</v>
      </c>
      <c r="G162">
        <v>0</v>
      </c>
    </row>
    <row r="163" spans="6:21" x14ac:dyDescent="0.25">
      <c r="F163">
        <f>F162+1</f>
        <v>1</v>
      </c>
      <c r="G163">
        <v>0</v>
      </c>
    </row>
    <row r="164" spans="6:21" x14ac:dyDescent="0.25">
      <c r="F164">
        <f t="shared" ref="F164:F207" si="77">F163+1</f>
        <v>2</v>
      </c>
      <c r="G164">
        <v>0</v>
      </c>
    </row>
    <row r="165" spans="6:21" x14ac:dyDescent="0.25">
      <c r="F165">
        <f t="shared" si="77"/>
        <v>3</v>
      </c>
      <c r="G165">
        <v>3</v>
      </c>
    </row>
    <row r="166" spans="6:21" x14ac:dyDescent="0.25">
      <c r="F166">
        <f t="shared" si="77"/>
        <v>4</v>
      </c>
      <c r="G166">
        <v>3</v>
      </c>
      <c r="T166" s="295" t="s">
        <v>274</v>
      </c>
      <c r="U166" s="295" t="s">
        <v>275</v>
      </c>
    </row>
    <row r="167" spans="6:21" x14ac:dyDescent="0.25">
      <c r="F167">
        <f t="shared" si="77"/>
        <v>5</v>
      </c>
      <c r="G167">
        <v>3</v>
      </c>
      <c r="S167">
        <v>0</v>
      </c>
      <c r="T167" s="298">
        <f ca="1">VLOOKUP(S152,$F$162:$G$205,2)</f>
        <v>0</v>
      </c>
      <c r="U167" s="296">
        <f ca="1">T152</f>
        <v>43344</v>
      </c>
    </row>
    <row r="168" spans="6:21" x14ac:dyDescent="0.25">
      <c r="F168">
        <f t="shared" si="77"/>
        <v>6</v>
      </c>
      <c r="G168">
        <v>3</v>
      </c>
      <c r="Q168">
        <f t="shared" ref="Q168:Q173" ca="1" si="78">IF(T168=T167,0,1)</f>
        <v>0</v>
      </c>
      <c r="R168">
        <f t="shared" ref="R168:R173" ca="1" si="79">IF(TYPE(Q168)=16,0,Q168)</f>
        <v>0</v>
      </c>
      <c r="S168">
        <v>3</v>
      </c>
      <c r="T168" s="298">
        <f t="shared" ref="T168:T173" ca="1" si="80">VLOOKUP(S153,$F$162:$G$205,2)</f>
        <v>0</v>
      </c>
      <c r="U168" s="296">
        <f t="shared" ref="U168:U173" ca="1" si="81">T153</f>
        <v>43709</v>
      </c>
    </row>
    <row r="169" spans="6:21" x14ac:dyDescent="0.25">
      <c r="F169">
        <f t="shared" si="77"/>
        <v>7</v>
      </c>
      <c r="G169">
        <v>3</v>
      </c>
      <c r="Q169">
        <f t="shared" ca="1" si="78"/>
        <v>0</v>
      </c>
      <c r="R169">
        <f t="shared" ca="1" si="79"/>
        <v>0</v>
      </c>
      <c r="S169">
        <v>9</v>
      </c>
      <c r="T169" s="298">
        <f t="shared" ca="1" si="80"/>
        <v>0</v>
      </c>
      <c r="U169" s="296">
        <f t="shared" ca="1" si="81"/>
        <v>44440</v>
      </c>
    </row>
    <row r="170" spans="6:21" x14ac:dyDescent="0.25">
      <c r="F170">
        <f t="shared" si="77"/>
        <v>8</v>
      </c>
      <c r="G170">
        <v>3</v>
      </c>
      <c r="Q170" t="e">
        <f t="shared" ca="1" si="78"/>
        <v>#N/A</v>
      </c>
      <c r="R170">
        <f t="shared" ca="1" si="79"/>
        <v>0</v>
      </c>
      <c r="S170">
        <v>15</v>
      </c>
      <c r="T170" s="298" t="e">
        <f t="shared" ca="1" si="80"/>
        <v>#N/A</v>
      </c>
      <c r="U170" s="296" t="str">
        <f t="shared" ca="1" si="81"/>
        <v/>
      </c>
    </row>
    <row r="171" spans="6:21" x14ac:dyDescent="0.25">
      <c r="F171">
        <f t="shared" si="77"/>
        <v>9</v>
      </c>
      <c r="G171">
        <v>9</v>
      </c>
      <c r="Q171" t="e">
        <f t="shared" ca="1" si="78"/>
        <v>#N/A</v>
      </c>
      <c r="R171">
        <f t="shared" ca="1" si="79"/>
        <v>0</v>
      </c>
      <c r="S171">
        <v>21</v>
      </c>
      <c r="T171" s="298" t="e">
        <f t="shared" ca="1" si="80"/>
        <v>#N/A</v>
      </c>
      <c r="U171" s="296" t="str">
        <f t="shared" ca="1" si="81"/>
        <v/>
      </c>
    </row>
    <row r="172" spans="6:21" x14ac:dyDescent="0.25">
      <c r="F172">
        <f t="shared" si="77"/>
        <v>10</v>
      </c>
      <c r="G172">
        <v>9</v>
      </c>
      <c r="Q172" t="e">
        <f t="shared" ca="1" si="78"/>
        <v>#N/A</v>
      </c>
      <c r="R172">
        <f t="shared" ca="1" si="79"/>
        <v>0</v>
      </c>
      <c r="S172">
        <v>28</v>
      </c>
      <c r="T172" s="298" t="e">
        <f t="shared" ca="1" si="80"/>
        <v>#N/A</v>
      </c>
      <c r="U172" s="296" t="str">
        <f t="shared" ca="1" si="81"/>
        <v/>
      </c>
    </row>
    <row r="173" spans="6:21" x14ac:dyDescent="0.25">
      <c r="F173">
        <f t="shared" si="77"/>
        <v>11</v>
      </c>
      <c r="G173">
        <v>9</v>
      </c>
      <c r="Q173" t="e">
        <f t="shared" ca="1" si="78"/>
        <v>#N/A</v>
      </c>
      <c r="R173">
        <f t="shared" ca="1" si="79"/>
        <v>0</v>
      </c>
      <c r="S173">
        <v>35</v>
      </c>
      <c r="T173" s="298" t="e">
        <f t="shared" ca="1" si="80"/>
        <v>#N/A</v>
      </c>
      <c r="U173" s="296" t="str">
        <f t="shared" ca="1" si="81"/>
        <v/>
      </c>
    </row>
    <row r="174" spans="6:21" x14ac:dyDescent="0.25">
      <c r="F174">
        <f t="shared" si="77"/>
        <v>12</v>
      </c>
      <c r="G174">
        <v>9</v>
      </c>
    </row>
    <row r="175" spans="6:21" x14ac:dyDescent="0.25">
      <c r="F175">
        <f t="shared" si="77"/>
        <v>13</v>
      </c>
      <c r="G175">
        <v>9</v>
      </c>
    </row>
    <row r="176" spans="6:21" x14ac:dyDescent="0.25">
      <c r="F176">
        <f t="shared" si="77"/>
        <v>14</v>
      </c>
      <c r="G176">
        <v>9</v>
      </c>
    </row>
    <row r="177" spans="6:21" x14ac:dyDescent="0.25">
      <c r="F177">
        <f t="shared" si="77"/>
        <v>15</v>
      </c>
      <c r="G177">
        <v>15</v>
      </c>
    </row>
    <row r="178" spans="6:21" x14ac:dyDescent="0.25">
      <c r="F178">
        <f t="shared" si="77"/>
        <v>16</v>
      </c>
      <c r="G178">
        <v>15</v>
      </c>
      <c r="T178" s="295"/>
      <c r="U178" s="295"/>
    </row>
    <row r="179" spans="6:21" x14ac:dyDescent="0.25">
      <c r="F179">
        <f t="shared" si="77"/>
        <v>17</v>
      </c>
      <c r="G179">
        <v>15</v>
      </c>
      <c r="T179" s="298">
        <f ca="1">T167</f>
        <v>0</v>
      </c>
      <c r="U179" s="296">
        <f ca="1">U167</f>
        <v>43344</v>
      </c>
    </row>
    <row r="180" spans="6:21" x14ac:dyDescent="0.25">
      <c r="F180">
        <f t="shared" si="77"/>
        <v>18</v>
      </c>
      <c r="G180">
        <v>15</v>
      </c>
      <c r="T180" s="295" t="str">
        <f t="shared" ref="T180:T186" ca="1" si="82">IF(R168=0,"",T168)</f>
        <v/>
      </c>
      <c r="U180" s="295" t="str">
        <f ca="1">IF(T180="","",U168)</f>
        <v/>
      </c>
    </row>
    <row r="181" spans="6:21" x14ac:dyDescent="0.25">
      <c r="F181">
        <f t="shared" si="77"/>
        <v>19</v>
      </c>
      <c r="G181">
        <v>15</v>
      </c>
      <c r="T181" s="295" t="str">
        <f t="shared" ca="1" si="82"/>
        <v/>
      </c>
      <c r="U181" s="296" t="str">
        <f t="shared" ref="U181:U186" ca="1" si="83">IF(T181="","",U169)</f>
        <v/>
      </c>
    </row>
    <row r="182" spans="6:21" x14ac:dyDescent="0.25">
      <c r="F182">
        <f t="shared" si="77"/>
        <v>20</v>
      </c>
      <c r="G182">
        <v>15</v>
      </c>
      <c r="T182" s="295" t="str">
        <f t="shared" ca="1" si="82"/>
        <v/>
      </c>
      <c r="U182" s="296" t="str">
        <f t="shared" ca="1" si="83"/>
        <v/>
      </c>
    </row>
    <row r="183" spans="6:21" x14ac:dyDescent="0.25">
      <c r="F183">
        <f t="shared" si="77"/>
        <v>21</v>
      </c>
      <c r="G183">
        <v>21</v>
      </c>
      <c r="T183" s="295" t="str">
        <f t="shared" ca="1" si="82"/>
        <v/>
      </c>
      <c r="U183" s="295" t="str">
        <f t="shared" ca="1" si="83"/>
        <v/>
      </c>
    </row>
    <row r="184" spans="6:21" x14ac:dyDescent="0.25">
      <c r="F184">
        <f t="shared" si="77"/>
        <v>22</v>
      </c>
      <c r="G184">
        <v>21</v>
      </c>
      <c r="T184" s="295" t="str">
        <f t="shared" ca="1" si="82"/>
        <v/>
      </c>
      <c r="U184" s="295" t="str">
        <f t="shared" ca="1" si="83"/>
        <v/>
      </c>
    </row>
    <row r="185" spans="6:21" x14ac:dyDescent="0.25">
      <c r="F185">
        <f t="shared" si="77"/>
        <v>23</v>
      </c>
      <c r="G185">
        <v>21</v>
      </c>
      <c r="T185" s="295" t="str">
        <f t="shared" ca="1" si="82"/>
        <v/>
      </c>
      <c r="U185" s="295" t="str">
        <f t="shared" ca="1" si="83"/>
        <v/>
      </c>
    </row>
    <row r="186" spans="6:21" x14ac:dyDescent="0.25">
      <c r="F186">
        <f t="shared" si="77"/>
        <v>24</v>
      </c>
      <c r="G186">
        <v>21</v>
      </c>
      <c r="T186" s="295" t="str">
        <f t="shared" si="82"/>
        <v/>
      </c>
      <c r="U186" s="295" t="str">
        <f t="shared" si="83"/>
        <v/>
      </c>
    </row>
    <row r="187" spans="6:21" x14ac:dyDescent="0.25">
      <c r="F187">
        <f t="shared" si="77"/>
        <v>25</v>
      </c>
      <c r="G187">
        <v>21</v>
      </c>
    </row>
    <row r="188" spans="6:21" x14ac:dyDescent="0.25">
      <c r="F188">
        <f t="shared" si="77"/>
        <v>26</v>
      </c>
      <c r="G188">
        <v>21</v>
      </c>
      <c r="S188" s="295">
        <v>1</v>
      </c>
      <c r="T188" s="295">
        <f ca="1">SMALL($T$178:$T$186,S188)</f>
        <v>0</v>
      </c>
      <c r="U188" s="296">
        <f ca="1">IF(T188&lt;36,VLOOKUP(T188,$T$178:$U$184,2),"")</f>
        <v>43344</v>
      </c>
    </row>
    <row r="189" spans="6:21" x14ac:dyDescent="0.25">
      <c r="F189">
        <f t="shared" si="77"/>
        <v>27</v>
      </c>
      <c r="G189">
        <v>21</v>
      </c>
      <c r="S189" s="295">
        <v>2</v>
      </c>
      <c r="T189" s="295" t="e">
        <f t="shared" ref="T189:T195" ca="1" si="84">SMALL($T$178:$T$186,S189)</f>
        <v>#NUM!</v>
      </c>
      <c r="U189" s="296" t="e">
        <f t="shared" ref="U189:U195" ca="1" si="85">IF(T189&lt;36,VLOOKUP(T189,$T$178:$U$184,2),"")</f>
        <v>#NUM!</v>
      </c>
    </row>
    <row r="190" spans="6:21" x14ac:dyDescent="0.25">
      <c r="F190">
        <f t="shared" si="77"/>
        <v>28</v>
      </c>
      <c r="G190">
        <v>28</v>
      </c>
      <c r="S190" s="295">
        <v>3</v>
      </c>
      <c r="T190" s="295" t="e">
        <f t="shared" ca="1" si="84"/>
        <v>#NUM!</v>
      </c>
      <c r="U190" s="296" t="e">
        <f t="shared" ca="1" si="85"/>
        <v>#NUM!</v>
      </c>
    </row>
    <row r="191" spans="6:21" x14ac:dyDescent="0.25">
      <c r="F191">
        <f t="shared" si="77"/>
        <v>29</v>
      </c>
      <c r="G191">
        <v>28</v>
      </c>
      <c r="S191" s="295">
        <v>4</v>
      </c>
      <c r="T191" s="295" t="e">
        <f t="shared" ca="1" si="84"/>
        <v>#NUM!</v>
      </c>
      <c r="U191" s="296" t="e">
        <f t="shared" ca="1" si="85"/>
        <v>#NUM!</v>
      </c>
    </row>
    <row r="192" spans="6:21" x14ac:dyDescent="0.25">
      <c r="F192">
        <f t="shared" si="77"/>
        <v>30</v>
      </c>
      <c r="G192">
        <v>28</v>
      </c>
      <c r="S192" s="295">
        <v>5</v>
      </c>
      <c r="T192" s="295" t="e">
        <f t="shared" ca="1" si="84"/>
        <v>#NUM!</v>
      </c>
      <c r="U192" s="296" t="e">
        <f t="shared" ca="1" si="85"/>
        <v>#NUM!</v>
      </c>
    </row>
    <row r="193" spans="6:21" x14ac:dyDescent="0.25">
      <c r="F193">
        <f t="shared" si="77"/>
        <v>31</v>
      </c>
      <c r="G193">
        <v>28</v>
      </c>
      <c r="S193" s="295">
        <v>6</v>
      </c>
      <c r="T193" s="295" t="e">
        <f t="shared" ca="1" si="84"/>
        <v>#NUM!</v>
      </c>
      <c r="U193" s="296" t="e">
        <f t="shared" ca="1" si="85"/>
        <v>#NUM!</v>
      </c>
    </row>
    <row r="194" spans="6:21" x14ac:dyDescent="0.25">
      <c r="F194">
        <f t="shared" si="77"/>
        <v>32</v>
      </c>
      <c r="G194">
        <v>28</v>
      </c>
      <c r="S194" s="299">
        <v>7</v>
      </c>
      <c r="T194" s="295" t="e">
        <f t="shared" ca="1" si="84"/>
        <v>#NUM!</v>
      </c>
      <c r="U194" s="300" t="e">
        <f t="shared" ca="1" si="85"/>
        <v>#NUM!</v>
      </c>
    </row>
    <row r="195" spans="6:21" x14ac:dyDescent="0.25">
      <c r="F195">
        <f t="shared" si="77"/>
        <v>33</v>
      </c>
      <c r="G195">
        <v>28</v>
      </c>
      <c r="S195" s="299">
        <v>8</v>
      </c>
      <c r="T195" s="295" t="e">
        <f t="shared" ca="1" si="84"/>
        <v>#NUM!</v>
      </c>
      <c r="U195" s="300" t="e">
        <f t="shared" ca="1" si="85"/>
        <v>#NUM!</v>
      </c>
    </row>
    <row r="196" spans="6:21" x14ac:dyDescent="0.25">
      <c r="F196">
        <f t="shared" si="77"/>
        <v>34</v>
      </c>
      <c r="G196">
        <v>28</v>
      </c>
    </row>
    <row r="197" spans="6:21" x14ac:dyDescent="0.25">
      <c r="F197">
        <f t="shared" si="77"/>
        <v>35</v>
      </c>
      <c r="G197">
        <v>35</v>
      </c>
    </row>
    <row r="198" spans="6:21" x14ac:dyDescent="0.25">
      <c r="F198">
        <f t="shared" si="77"/>
        <v>36</v>
      </c>
      <c r="G198">
        <v>35</v>
      </c>
    </row>
    <row r="199" spans="6:21" x14ac:dyDescent="0.25">
      <c r="F199">
        <f t="shared" si="77"/>
        <v>37</v>
      </c>
      <c r="G199">
        <v>35</v>
      </c>
      <c r="T199" s="295" t="s">
        <v>277</v>
      </c>
      <c r="U199" s="295"/>
    </row>
    <row r="200" spans="6:21" x14ac:dyDescent="0.25">
      <c r="F200">
        <f t="shared" si="77"/>
        <v>38</v>
      </c>
      <c r="G200">
        <v>35</v>
      </c>
      <c r="T200" s="295">
        <f t="shared" ref="T200:U207" ca="1" si="86">IF(TYPE(T188)&lt;&gt;16,T188,"")</f>
        <v>0</v>
      </c>
      <c r="U200" s="296">
        <f t="shared" ca="1" si="86"/>
        <v>43344</v>
      </c>
    </row>
    <row r="201" spans="6:21" x14ac:dyDescent="0.25">
      <c r="F201">
        <f t="shared" si="77"/>
        <v>39</v>
      </c>
      <c r="G201">
        <v>35</v>
      </c>
      <c r="T201" s="295" t="str">
        <f t="shared" ca="1" si="86"/>
        <v/>
      </c>
      <c r="U201" s="296" t="str">
        <f t="shared" ca="1" si="86"/>
        <v/>
      </c>
    </row>
    <row r="202" spans="6:21" x14ac:dyDescent="0.25">
      <c r="F202">
        <f t="shared" si="77"/>
        <v>40</v>
      </c>
      <c r="G202">
        <v>35</v>
      </c>
      <c r="T202" s="295" t="str">
        <f t="shared" ca="1" si="86"/>
        <v/>
      </c>
      <c r="U202" s="296" t="str">
        <f t="shared" ca="1" si="86"/>
        <v/>
      </c>
    </row>
    <row r="203" spans="6:21" x14ac:dyDescent="0.25">
      <c r="F203">
        <f t="shared" si="77"/>
        <v>41</v>
      </c>
      <c r="G203">
        <v>35</v>
      </c>
      <c r="T203" s="295" t="str">
        <f t="shared" ca="1" si="86"/>
        <v/>
      </c>
      <c r="U203" s="295" t="str">
        <f t="shared" ca="1" si="86"/>
        <v/>
      </c>
    </row>
    <row r="204" spans="6:21" x14ac:dyDescent="0.25">
      <c r="F204">
        <f t="shared" si="77"/>
        <v>42</v>
      </c>
      <c r="G204">
        <v>35</v>
      </c>
      <c r="T204" s="295" t="str">
        <f t="shared" ca="1" si="86"/>
        <v/>
      </c>
      <c r="U204" s="295" t="str">
        <f t="shared" ca="1" si="86"/>
        <v/>
      </c>
    </row>
    <row r="205" spans="6:21" x14ac:dyDescent="0.25">
      <c r="F205">
        <f t="shared" si="77"/>
        <v>43</v>
      </c>
      <c r="G205">
        <v>35</v>
      </c>
      <c r="T205" s="295" t="str">
        <f t="shared" ca="1" si="86"/>
        <v/>
      </c>
      <c r="U205" s="295" t="str">
        <f t="shared" ca="1" si="86"/>
        <v/>
      </c>
    </row>
    <row r="206" spans="6:21" x14ac:dyDescent="0.25">
      <c r="F206">
        <f t="shared" si="77"/>
        <v>44</v>
      </c>
      <c r="T206" s="295" t="str">
        <f t="shared" ca="1" si="86"/>
        <v/>
      </c>
      <c r="U206" s="295" t="str">
        <f t="shared" ca="1" si="86"/>
        <v/>
      </c>
    </row>
    <row r="207" spans="6:21" x14ac:dyDescent="0.25">
      <c r="F207">
        <f t="shared" si="77"/>
        <v>45</v>
      </c>
      <c r="T207" t="str">
        <f t="shared" ca="1" si="86"/>
        <v/>
      </c>
      <c r="U207" t="str">
        <f t="shared" ca="1" si="86"/>
        <v/>
      </c>
    </row>
  </sheetData>
  <dataValidations disablePrompts="1" count="1">
    <dataValidation type="list" allowBlank="1" showInputMessage="1" showErrorMessage="1" sqref="F4" xr:uid="{00000000-0002-0000-1300-000000000000}">
      <formula1>$A$3:$A$11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6"/>
  <dimension ref="A2:LK256"/>
  <sheetViews>
    <sheetView topLeftCell="DN39" zoomScale="90" zoomScaleNormal="90" workbookViewId="0">
      <selection activeCell="DW40" sqref="DW40:DW72"/>
    </sheetView>
  </sheetViews>
  <sheetFormatPr defaultRowHeight="15" x14ac:dyDescent="0.25"/>
  <cols>
    <col min="1" max="1" width="14" customWidth="1"/>
    <col min="2" max="2" width="14.85546875" customWidth="1"/>
    <col min="3" max="3" width="14.28515625" customWidth="1"/>
    <col min="4" max="4" width="10.5703125" bestFit="1" customWidth="1"/>
    <col min="5" max="5" width="12.5703125" customWidth="1"/>
    <col min="6" max="6" width="11.42578125" customWidth="1"/>
    <col min="7" max="7" width="14" customWidth="1"/>
    <col min="8" max="8" width="13.42578125" customWidth="1"/>
    <col min="9" max="9" width="11.7109375" customWidth="1"/>
    <col min="12" max="12" width="6.42578125" customWidth="1"/>
    <col min="13" max="13" width="13.5703125" customWidth="1"/>
    <col min="14" max="14" width="15.140625" customWidth="1"/>
    <col min="15" max="16" width="2.7109375" customWidth="1"/>
    <col min="17" max="17" width="13.42578125" customWidth="1"/>
    <col min="18" max="18" width="14.140625" customWidth="1"/>
    <col min="23" max="23" width="11.5703125" customWidth="1"/>
    <col min="26" max="26" width="5.28515625" customWidth="1"/>
    <col min="27" max="27" width="14.85546875" customWidth="1"/>
    <col min="28" max="28" width="13.7109375" customWidth="1"/>
    <col min="29" max="29" width="7.140625" customWidth="1"/>
    <col min="30" max="30" width="8.28515625" customWidth="1"/>
    <col min="31" max="33" width="1.7109375" customWidth="1"/>
    <col min="34" max="34" width="14.140625" customWidth="1"/>
    <col min="35" max="35" width="13.85546875" customWidth="1"/>
    <col min="37" max="37" width="14.7109375" customWidth="1"/>
    <col min="45" max="45" width="11.140625" customWidth="1"/>
    <col min="46" max="46" width="11.42578125" customWidth="1"/>
    <col min="64" max="64" width="12.28515625" customWidth="1"/>
    <col min="86" max="87" width="10.5703125" bestFit="1" customWidth="1"/>
    <col min="100" max="100" width="12.5703125" customWidth="1"/>
    <col min="102" max="102" width="13.7109375" customWidth="1"/>
    <col min="103" max="103" width="13.5703125" customWidth="1"/>
    <col min="104" max="105" width="12.5703125" customWidth="1"/>
    <col min="106" max="106" width="13.28515625" customWidth="1"/>
    <col min="107" max="107" width="12.7109375" customWidth="1"/>
    <col min="108" max="110" width="16" style="247" customWidth="1"/>
    <col min="111" max="111" width="14.28515625" style="247" customWidth="1"/>
    <col min="112" max="112" width="14" customWidth="1"/>
    <col min="114" max="114" width="13.28515625" customWidth="1"/>
    <col min="120" max="120" width="12.140625" customWidth="1"/>
    <col min="121" max="121" width="10.7109375" customWidth="1"/>
    <col min="124" max="125" width="10.5703125" bestFit="1" customWidth="1"/>
    <col min="126" max="126" width="14.28515625" customWidth="1"/>
    <col min="127" max="127" width="12.140625" customWidth="1"/>
    <col min="130" max="130" width="15.42578125" customWidth="1"/>
    <col min="132" max="132" width="12.85546875" customWidth="1"/>
    <col min="135" max="135" width="11.5703125" bestFit="1" customWidth="1"/>
    <col min="136" max="136" width="12.28515625" customWidth="1"/>
    <col min="140" max="140" width="12" customWidth="1"/>
    <col min="143" max="143" width="11.85546875" customWidth="1"/>
    <col min="144" max="144" width="15.140625" customWidth="1"/>
    <col min="145" max="145" width="15" customWidth="1"/>
    <col min="146" max="146" width="12" customWidth="1"/>
    <col min="147" max="147" width="13.140625" customWidth="1"/>
    <col min="148" max="149" width="13.42578125" customWidth="1"/>
    <col min="151" max="151" width="15.28515625" customWidth="1"/>
    <col min="152" max="152" width="12.42578125" customWidth="1"/>
    <col min="155" max="155" width="10.5703125" bestFit="1" customWidth="1"/>
    <col min="171" max="171" width="10.5703125" bestFit="1" customWidth="1"/>
    <col min="178" max="178" width="17.85546875" customWidth="1"/>
    <col min="187" max="189" width="12.7109375" customWidth="1"/>
    <col min="190" max="190" width="17.7109375" customWidth="1"/>
    <col min="191" max="191" width="13.7109375" customWidth="1"/>
    <col min="192" max="192" width="12.28515625" customWidth="1"/>
    <col min="193" max="193" width="11.28515625" customWidth="1"/>
    <col min="195" max="195" width="11.28515625" customWidth="1"/>
    <col min="196" max="196" width="14" customWidth="1"/>
    <col min="197" max="197" width="31" customWidth="1"/>
    <col min="199" max="199" width="10.28515625" bestFit="1" customWidth="1"/>
    <col min="200" max="200" width="10.5703125" bestFit="1" customWidth="1"/>
    <col min="201" max="201" width="13.7109375" customWidth="1"/>
    <col min="202" max="202" width="11.7109375" customWidth="1"/>
    <col min="203" max="203" width="34.42578125" customWidth="1"/>
    <col min="204" max="204" width="19.28515625" customWidth="1"/>
    <col min="205" max="205" width="45.42578125" customWidth="1"/>
    <col min="206" max="206" width="26.7109375" customWidth="1"/>
    <col min="207" max="207" width="27.7109375" customWidth="1"/>
    <col min="208" max="208" width="38" customWidth="1"/>
    <col min="209" max="209" width="51.7109375" customWidth="1"/>
    <col min="210" max="210" width="61.7109375" customWidth="1"/>
    <col min="211" max="211" width="29.42578125" customWidth="1"/>
    <col min="212" max="212" width="25.140625" customWidth="1"/>
    <col min="213" max="213" width="13.85546875" customWidth="1"/>
    <col min="214" max="214" width="14.7109375" customWidth="1"/>
    <col min="220" max="220" width="10.5703125" bestFit="1" customWidth="1"/>
    <col min="221" max="221" width="72.28515625" customWidth="1"/>
    <col min="223" max="223" width="49.5703125" customWidth="1"/>
    <col min="224" max="224" width="12.5703125" customWidth="1"/>
    <col min="225" max="225" width="29.5703125" customWidth="1"/>
    <col min="226" max="226" width="17.7109375" customWidth="1"/>
    <col min="227" max="227" width="35.42578125" customWidth="1"/>
    <col min="233" max="233" width="11.7109375" bestFit="1" customWidth="1"/>
    <col min="235" max="235" width="13" customWidth="1"/>
    <col min="254" max="254" width="10.5703125" bestFit="1" customWidth="1"/>
    <col min="257" max="257" width="39.7109375" customWidth="1"/>
    <col min="260" max="260" width="77.5703125" customWidth="1"/>
    <col min="265" max="265" width="44.7109375" customWidth="1"/>
    <col min="266" max="266" width="14.85546875" customWidth="1"/>
    <col min="269" max="269" width="54.28515625" customWidth="1"/>
    <col min="278" max="278" width="51" customWidth="1"/>
    <col min="291" max="291" width="10.5703125" bestFit="1" customWidth="1"/>
    <col min="314" max="315" width="10.5703125" bestFit="1" customWidth="1"/>
    <col min="317" max="317" width="10.28515625" bestFit="1" customWidth="1"/>
    <col min="319" max="319" width="10.5703125" bestFit="1" customWidth="1"/>
  </cols>
  <sheetData>
    <row r="2" spans="1:223" x14ac:dyDescent="0.25">
      <c r="A2">
        <f>IF(B2="","",IF(COUNTIF($B$1:B1:B1,B2)=0,MAX($A$1:A1)+1,""))</f>
        <v>1</v>
      </c>
      <c r="B2" s="112">
        <v>40179</v>
      </c>
      <c r="C2" s="112">
        <f>IFERROR(VLOOKUP(COUNTBLANK($E$2:E2),A:B,2,FALSE),"")</f>
        <v>40179</v>
      </c>
      <c r="H2" s="610" t="s">
        <v>284</v>
      </c>
      <c r="I2" s="610"/>
      <c r="J2" s="610"/>
      <c r="K2" s="610"/>
      <c r="L2" s="610"/>
      <c r="M2" s="610"/>
      <c r="N2" s="610"/>
      <c r="EP2" s="114">
        <f>LEN(ER2)</f>
        <v>1</v>
      </c>
      <c r="ER2" s="112">
        <f>frontti!R27</f>
        <v>0</v>
      </c>
      <c r="ES2" s="112">
        <f>frontti!S27</f>
        <v>43344</v>
      </c>
    </row>
    <row r="3" spans="1:223" x14ac:dyDescent="0.25">
      <c r="A3">
        <f>IF(B3="","",IF(COUNTIF($B$1:B2:B2,B3)=0,MAX($A$1:A2)+1,""))</f>
        <v>2</v>
      </c>
      <c r="B3" s="112">
        <v>42491</v>
      </c>
      <c r="C3" s="112">
        <f>IFERROR(VLOOKUP(COUNTBLANK($E$2:E3),A:B,2,FALSE),"")</f>
        <v>42491</v>
      </c>
      <c r="H3" s="610"/>
      <c r="I3" s="610"/>
      <c r="J3" s="610"/>
      <c r="K3" s="610"/>
      <c r="L3" s="610"/>
      <c r="M3" s="610"/>
      <c r="N3" s="610"/>
      <c r="ER3" s="112" t="str">
        <f xml:space="preserve"> IF(  frontti!R28=0,"",frontti!R28)</f>
        <v/>
      </c>
      <c r="ES3" s="112">
        <f>IF(frontti!S28=0,"",frontti!S28)</f>
        <v>43086</v>
      </c>
    </row>
    <row r="4" spans="1:223" x14ac:dyDescent="0.25">
      <c r="A4">
        <f>IF(B4="","",IF(COUNTIF($B$1:B3:B3,B4)=0,MAX($A$1:A3)+1,""))</f>
        <v>3</v>
      </c>
      <c r="B4" s="112">
        <v>45047</v>
      </c>
      <c r="C4" s="112">
        <f>IFERROR(VLOOKUP(COUNTBLANK($E$2:E4),A:B,2,FALSE),"")</f>
        <v>45047</v>
      </c>
      <c r="H4" s="610"/>
      <c r="I4" s="610"/>
      <c r="J4" s="610"/>
      <c r="K4" s="610"/>
      <c r="L4" s="610"/>
      <c r="M4" s="610"/>
      <c r="N4" s="610"/>
      <c r="ER4" s="112" t="str">
        <f xml:space="preserve"> IF(  frontti!R29=0,"",frontti!R29)</f>
        <v/>
      </c>
      <c r="ES4" s="112">
        <f>IF(frontti!S29=0,"",frontti!S29)</f>
        <v>44912</v>
      </c>
    </row>
    <row r="5" spans="1:223" x14ac:dyDescent="0.25">
      <c r="A5" t="str">
        <f>IF(B5="","",IF(COUNTIF($B$1:B4:B4,B5)=0,MAX($A$1:A4)+1,""))</f>
        <v/>
      </c>
      <c r="B5" s="112" t="s">
        <v>134</v>
      </c>
      <c r="C5" s="112">
        <f>IFERROR(VLOOKUP(COUNTBLANK($E$2:E5),A:B,2,FALSE),"")</f>
        <v>40269</v>
      </c>
      <c r="H5" s="610"/>
      <c r="I5" s="610"/>
      <c r="J5" s="610"/>
      <c r="K5" s="610"/>
      <c r="L5" s="610"/>
      <c r="M5" s="610"/>
      <c r="N5" s="610"/>
      <c r="ER5" s="112" t="str">
        <f xml:space="preserve"> IF(  frontti!R30=0,"",frontti!R30)</f>
        <v/>
      </c>
      <c r="ES5" s="112" t="str">
        <f>IF(frontti!S30=0,"",frontti!S30)</f>
        <v/>
      </c>
      <c r="HL5" s="240">
        <v>33117</v>
      </c>
      <c r="HM5" s="272" t="s">
        <v>355</v>
      </c>
    </row>
    <row r="6" spans="1:223" x14ac:dyDescent="0.25">
      <c r="A6" t="str">
        <f>IF(B6="","",IF(COUNTIF($B$1:B5:B5,B6)=0,MAX($A$1:A5)+1,""))</f>
        <v/>
      </c>
      <c r="B6" s="112" t="s">
        <v>134</v>
      </c>
      <c r="C6" s="112">
        <f>IFERROR(VLOOKUP(COUNTBLANK($E$2:E6),A:B,2,FALSE),"")</f>
        <v>40360</v>
      </c>
      <c r="H6" s="610"/>
      <c r="I6" s="610"/>
      <c r="J6" s="610"/>
      <c r="K6" s="610"/>
      <c r="L6" s="610"/>
      <c r="M6" s="610"/>
      <c r="N6" s="610"/>
      <c r="ER6" s="112" t="str">
        <f xml:space="preserve"> IF(  frontti!R31=0,"",frontti!R31)</f>
        <v/>
      </c>
      <c r="ES6" s="112" t="str">
        <f>IF(frontti!S31=0,"",frontti!S31)</f>
        <v/>
      </c>
      <c r="HL6" s="240">
        <v>35309</v>
      </c>
      <c r="HM6" s="272" t="s">
        <v>356</v>
      </c>
    </row>
    <row r="7" spans="1:223" x14ac:dyDescent="0.25">
      <c r="A7" t="str">
        <f>IF(B7="","",IF(COUNTIF($B$1:B6:B6,B7)=0,MAX($A$1:A6)+1,""))</f>
        <v/>
      </c>
      <c r="B7" s="112" t="s">
        <v>134</v>
      </c>
      <c r="C7" s="112">
        <f>IFERROR(VLOOKUP(COUNTBLANK($E$2:E7),A:B,2,FALSE),"")</f>
        <v>40422</v>
      </c>
      <c r="ER7" s="112" t="str">
        <f xml:space="preserve"> IF(  frontti!R32=0,"",frontti!R32)</f>
        <v/>
      </c>
      <c r="ES7" s="112" t="str">
        <f>IF(frontti!S32=0,"",frontti!S32)</f>
        <v/>
      </c>
      <c r="HL7" s="240">
        <v>36708</v>
      </c>
      <c r="HM7" s="272" t="s">
        <v>357</v>
      </c>
    </row>
    <row r="8" spans="1:223" x14ac:dyDescent="0.25">
      <c r="A8" t="str">
        <f>IF(B8="","",IF(COUNTIF($B$1:B7:B7,B8)=0,MAX($A$1:A7)+1,""))</f>
        <v/>
      </c>
      <c r="B8" s="112" t="s">
        <v>134</v>
      </c>
      <c r="C8" s="112">
        <f>IFERROR(VLOOKUP(COUNTBLANK($E$2:E8),A:B,2,FALSE),"")</f>
        <v>40544</v>
      </c>
      <c r="ER8" s="112" t="str">
        <f xml:space="preserve"> IF(  frontti!R33=0,"",frontti!R33)</f>
        <v/>
      </c>
      <c r="ES8" s="112" t="str">
        <f>IF(frontti!S33=0,"",frontti!S33)</f>
        <v/>
      </c>
      <c r="HL8" s="240">
        <v>37257</v>
      </c>
      <c r="HM8" s="272" t="s">
        <v>358</v>
      </c>
    </row>
    <row r="9" spans="1:223" ht="15.75" thickBot="1" x14ac:dyDescent="0.3">
      <c r="A9" t="str">
        <f>IF(B9="","",IF(COUNTIF($B$1:B8:B8,B9)=0,MAX($A$1:A8)+1,""))</f>
        <v/>
      </c>
      <c r="B9" s="112" t="s">
        <v>134</v>
      </c>
      <c r="C9" s="112">
        <f>IFERROR(VLOOKUP(COUNTBLANK($E$2:E9),A:B,2,FALSE),"")</f>
        <v>42370</v>
      </c>
      <c r="EN9" t="s">
        <v>482</v>
      </c>
      <c r="EO9">
        <v>0</v>
      </c>
      <c r="EP9" t="str">
        <f>EN9</f>
        <v>0-8 anni</v>
      </c>
      <c r="HL9" s="240">
        <v>37987</v>
      </c>
      <c r="HM9" s="272" t="s">
        <v>359</v>
      </c>
    </row>
    <row r="10" spans="1:223" ht="15.75" thickBot="1" x14ac:dyDescent="0.3">
      <c r="A10" t="str">
        <f>IF(B10="","",IF(COUNTIF($B$1:B9:B9,B10)=0,MAX($A$1:A9)+1,""))</f>
        <v/>
      </c>
      <c r="B10" s="112" t="s">
        <v>134</v>
      </c>
      <c r="C10" s="112">
        <f>IFERROR(VLOOKUP(COUNTBLANK($E$2:E10),A:B,2,FALSE),"")</f>
        <v>42736</v>
      </c>
      <c r="EN10" t="s">
        <v>168</v>
      </c>
      <c r="EO10">
        <v>0</v>
      </c>
      <c r="EP10" t="str">
        <f t="shared" ref="EP10:EP16" si="0">EN10</f>
        <v>0-2 anni</v>
      </c>
      <c r="ER10" s="408" t="str">
        <f ca="1" xml:space="preserve"> IF($EP$2=1,  frontti!N27,ER2)</f>
        <v>0-2 anni</v>
      </c>
      <c r="ES10" s="304">
        <f ca="1">IF($EP$2=1,frontti!O27,ES2)</f>
        <v>43344</v>
      </c>
      <c r="EU10" t="str">
        <f ca="1">IF(ER10="","",CONCATENATE(DAY(ES10),"/",MONTH(ES10),"/",YEAR(ES10)))</f>
        <v>1/9/2018</v>
      </c>
      <c r="EV10" s="238" t="str">
        <f ca="1">VLOOKUP(ER10,$EN$9:$EP$16,3,FALSE)</f>
        <v>0-2 anni</v>
      </c>
      <c r="EX10">
        <f ca="1">VLOOKUP(ER10,$EN$9:$EO$16,2,FALSE)</f>
        <v>0</v>
      </c>
      <c r="HL10" s="240">
        <v>38718</v>
      </c>
      <c r="HM10" s="272" t="s">
        <v>360</v>
      </c>
    </row>
    <row r="11" spans="1:223" ht="15.75" thickBot="1" x14ac:dyDescent="0.3">
      <c r="A11" t="str">
        <f>IF(B11="","",IF(COUNTIF($B$1:B10:B10,B11)=0,MAX($A$1:A10)+1,""))</f>
        <v/>
      </c>
      <c r="B11" s="112" t="s">
        <v>134</v>
      </c>
      <c r="C11" s="112">
        <f>IFERROR(VLOOKUP(COUNTBLANK($E$2:E11),A:B,2,FALSE),"")</f>
        <v>43160</v>
      </c>
      <c r="J11">
        <f ca="1">MONTH(NOW())</f>
        <v>10</v>
      </c>
      <c r="EN11" t="s">
        <v>169</v>
      </c>
      <c r="EO11">
        <v>3</v>
      </c>
      <c r="EP11" t="str">
        <f t="shared" si="0"/>
        <v>3-8 anni</v>
      </c>
      <c r="ER11" s="408" t="str">
        <f ca="1" xml:space="preserve"> IF($EP$2=1,  frontti!N28,ER3)</f>
        <v/>
      </c>
      <c r="ES11" s="304" t="str">
        <f ca="1">IF($EP$2=1,frontti!O28,ES3)</f>
        <v/>
      </c>
      <c r="EU11" t="str">
        <f t="shared" ref="EU11:EU13" ca="1" si="1">IF(ER11="","",CONCATENATE(DAY(ES11),"/",MONTH(ES11),"/",YEAR(ES11)))</f>
        <v/>
      </c>
      <c r="EV11" s="238" t="e">
        <f t="shared" ref="EV11:EV17" ca="1" si="2">VLOOKUP(ER11,$EN$9:$EP$16,3,FALSE)</f>
        <v>#N/A</v>
      </c>
      <c r="EX11" t="e">
        <f t="shared" ref="EX11:EX17" ca="1" si="3">VLOOKUP(ER11,$EN$9:$EO$16,2,FALSE)</f>
        <v>#N/A</v>
      </c>
      <c r="HL11" s="240">
        <v>39114</v>
      </c>
      <c r="HM11" s="272" t="s">
        <v>361</v>
      </c>
    </row>
    <row r="12" spans="1:223" ht="15.75" thickBot="1" x14ac:dyDescent="0.3">
      <c r="A12" t="str">
        <f>IF(B12="","",IF(COUNTIF($B$1:B11:B11,B12)=0,MAX($A$1:A11)+1,""))</f>
        <v/>
      </c>
      <c r="B12" s="112" t="s">
        <v>134</v>
      </c>
      <c r="C12" s="112">
        <f>IFERROR(VLOOKUP(COUNTBLANK($E$2:E12),A:B,2,FALSE),"")</f>
        <v>43191</v>
      </c>
      <c r="EN12" t="s">
        <v>170</v>
      </c>
      <c r="EO12">
        <v>9</v>
      </c>
      <c r="EP12" t="str">
        <f t="shared" si="0"/>
        <v>9-14 anni</v>
      </c>
      <c r="ER12" s="408" t="str">
        <f ca="1" xml:space="preserve"> IF($EP$2=1,  frontti!N29,ER4)</f>
        <v/>
      </c>
      <c r="ES12" s="304" t="str">
        <f ca="1">IF($EP$2=1,frontti!O29,ES4)</f>
        <v/>
      </c>
      <c r="EU12" t="str">
        <f t="shared" ca="1" si="1"/>
        <v/>
      </c>
      <c r="EV12" s="238" t="e">
        <f t="shared" ca="1" si="2"/>
        <v>#N/A</v>
      </c>
      <c r="EX12" t="e">
        <f t="shared" ca="1" si="3"/>
        <v>#N/A</v>
      </c>
      <c r="HL12" s="240">
        <v>40360</v>
      </c>
      <c r="HM12" s="272" t="s">
        <v>362</v>
      </c>
    </row>
    <row r="13" spans="1:223" ht="15.75" thickBot="1" x14ac:dyDescent="0.3">
      <c r="A13" t="str">
        <f>IF(B13="","",IF(COUNTIF($B$1:B12:B12,B13)=0,MAX($A$1:A12)+1,""))</f>
        <v/>
      </c>
      <c r="B13" s="112" t="s">
        <v>134</v>
      </c>
      <c r="C13" s="112">
        <f>IFERROR(VLOOKUP(COUNTBLANK($E$2:E13),A:B,2,FALSE),"")</f>
        <v>43466</v>
      </c>
      <c r="EN13" t="s">
        <v>171</v>
      </c>
      <c r="EO13">
        <v>15</v>
      </c>
      <c r="EP13" t="str">
        <f t="shared" si="0"/>
        <v>15-20 anni</v>
      </c>
      <c r="ER13" s="408" t="str">
        <f ca="1" xml:space="preserve"> IF($EP$2=1,  frontti!N30,ER5)</f>
        <v/>
      </c>
      <c r="ES13" s="304" t="str">
        <f ca="1">IF($EP$2=1,frontti!O30,ES5)</f>
        <v/>
      </c>
      <c r="EU13" t="str">
        <f t="shared" ca="1" si="1"/>
        <v/>
      </c>
      <c r="EV13" s="238" t="e">
        <f t="shared" ca="1" si="2"/>
        <v>#N/A</v>
      </c>
      <c r="EX13" t="e">
        <f t="shared" ca="1" si="3"/>
        <v>#N/A</v>
      </c>
      <c r="HL13" s="240">
        <v>40422</v>
      </c>
      <c r="HM13" s="272" t="s">
        <v>363</v>
      </c>
    </row>
    <row r="14" spans="1:223" ht="15.75" thickBot="1" x14ac:dyDescent="0.3">
      <c r="A14" t="str">
        <f>IF(B14="","",IF(COUNTIF($B$1:B13:B13,B14)=0,MAX($A$1:A13)+1,""))</f>
        <v/>
      </c>
      <c r="B14" s="112" t="s">
        <v>134</v>
      </c>
      <c r="C14" s="112">
        <f>IFERROR(VLOOKUP(COUNTBLANK($E$2:E14),A:B,2,FALSE),"")</f>
        <v>40210</v>
      </c>
      <c r="EN14" t="s">
        <v>172</v>
      </c>
      <c r="EO14">
        <v>21</v>
      </c>
      <c r="EP14" t="str">
        <f t="shared" si="0"/>
        <v>21-27 anni</v>
      </c>
      <c r="ER14" s="408" t="str">
        <f ca="1" xml:space="preserve"> IF($EP$2=1,  frontti!N31,ER6)</f>
        <v/>
      </c>
      <c r="ES14" s="304" t="str">
        <f ca="1">IF($EP$2=1,frontti!O31,ES6)</f>
        <v/>
      </c>
      <c r="EU14" t="str">
        <f ca="1">IF(ER14="","",CONCATENATE(DAY(ES14),"/",MONTH(ES14),"/",YEAR(ES14)))</f>
        <v/>
      </c>
      <c r="EV14" s="238" t="e">
        <f t="shared" ca="1" si="2"/>
        <v>#N/A</v>
      </c>
      <c r="EX14" t="e">
        <f t="shared" ca="1" si="3"/>
        <v>#N/A</v>
      </c>
      <c r="HL14" s="240">
        <v>43466</v>
      </c>
      <c r="HM14" s="272" t="s">
        <v>364</v>
      </c>
    </row>
    <row r="15" spans="1:223" ht="15.75" thickBot="1" x14ac:dyDescent="0.3">
      <c r="A15" t="str">
        <f>IF(B15="","",IF(COUNTIF($B$1:B14:B14,B15)=0,MAX($A$1:A14)+1,""))</f>
        <v/>
      </c>
      <c r="B15" s="112" t="s">
        <v>134</v>
      </c>
      <c r="C15" t="str">
        <f>IFERROR(VLOOKUP(COUNTBLANK($E$2:E15),A:B,2,FALSE),"")</f>
        <v/>
      </c>
      <c r="EN15" t="s">
        <v>173</v>
      </c>
      <c r="EO15">
        <v>28</v>
      </c>
      <c r="EP15" t="str">
        <f t="shared" si="0"/>
        <v>28-34 anni</v>
      </c>
      <c r="ER15" s="408" t="str">
        <f ca="1" xml:space="preserve"> IF($EP$2=1,  frontti!N32,ER7)</f>
        <v/>
      </c>
      <c r="ES15" s="304" t="str">
        <f ca="1">IF($EP$2=1,frontti!O32,ES7)</f>
        <v/>
      </c>
      <c r="EU15" t="str">
        <f t="shared" ref="EU15:EU16" ca="1" si="4">IF(ER15="","",CONCATENATE(DAY(ES15),"/",MONTH(ES15),"/",YEAR(ES15)))</f>
        <v/>
      </c>
      <c r="EV15" s="238" t="e">
        <f t="shared" ca="1" si="2"/>
        <v>#N/A</v>
      </c>
      <c r="EX15" t="e">
        <f t="shared" ca="1" si="3"/>
        <v>#N/A</v>
      </c>
    </row>
    <row r="16" spans="1:223" ht="15.75" thickBot="1" x14ac:dyDescent="0.3">
      <c r="A16" t="str">
        <f>IF(B16="","",IF(COUNTIF($B$1:B15:B15,B16)=0,MAX($A$1:A15)+1,""))</f>
        <v/>
      </c>
      <c r="B16" s="112" t="s">
        <v>134</v>
      </c>
      <c r="C16" t="str">
        <f>IFERROR(VLOOKUP(COUNTBLANK($E$2:E16),A:B,2,FALSE),"")</f>
        <v/>
      </c>
      <c r="EN16" t="s">
        <v>174</v>
      </c>
      <c r="EO16">
        <v>35</v>
      </c>
      <c r="EP16" t="str">
        <f t="shared" si="0"/>
        <v>35 anni</v>
      </c>
      <c r="ER16" s="408" t="str">
        <f ca="1" xml:space="preserve"> IF($EP$2=1,  frontti!N33,ER8)</f>
        <v/>
      </c>
      <c r="ES16" s="304" t="str">
        <f ca="1">IF($EP$2=1,frontti!O33,ES8)</f>
        <v/>
      </c>
      <c r="EU16" t="str">
        <f t="shared" ca="1" si="4"/>
        <v/>
      </c>
      <c r="EV16" s="238" t="e">
        <f t="shared" ca="1" si="2"/>
        <v>#N/A</v>
      </c>
      <c r="EX16" t="e">
        <f t="shared" ca="1" si="3"/>
        <v>#N/A</v>
      </c>
      <c r="HO16" t="s">
        <v>497</v>
      </c>
    </row>
    <row r="17" spans="1:303" x14ac:dyDescent="0.25">
      <c r="A17" t="str">
        <f>IF(B17="","",IF(COUNTIF($B$1:B16:B16,B17)=0,MAX($A$1:A16)+1,""))</f>
        <v/>
      </c>
      <c r="B17" s="112" t="s">
        <v>134</v>
      </c>
      <c r="C17" t="str">
        <f>IFERROR(VLOOKUP(COUNTBLANK($E$2:E17),A:B,2,FALSE),"")</f>
        <v/>
      </c>
      <c r="ER17" s="408"/>
      <c r="ES17" s="304"/>
      <c r="EV17" s="238" t="e">
        <f t="shared" si="2"/>
        <v>#N/A</v>
      </c>
      <c r="EX17" t="e">
        <f t="shared" si="3"/>
        <v>#N/A</v>
      </c>
    </row>
    <row r="18" spans="1:303" x14ac:dyDescent="0.25">
      <c r="A18" t="str">
        <f>IF(B18="","",IF(COUNTIF($B$1:B17:B17,B18)=0,MAX($A$1:A17)+1,""))</f>
        <v/>
      </c>
      <c r="B18" s="112" t="s">
        <v>134</v>
      </c>
      <c r="C18" t="str">
        <f>IFERROR(VLOOKUP(COUNTBLANK($E$2:E18),A:B,2,FALSE),"")</f>
        <v/>
      </c>
      <c r="ER18" s="112"/>
      <c r="ES18" s="112"/>
      <c r="HO18" t="s">
        <v>203</v>
      </c>
      <c r="HP18" s="112">
        <f>frontti!E27</f>
        <v>0</v>
      </c>
    </row>
    <row r="19" spans="1:303" x14ac:dyDescent="0.25">
      <c r="A19" t="str">
        <f>IF(B19="","",IF(COUNTIF($B$1:B18:B18,B19)=0,MAX($A$1:A18)+1,""))</f>
        <v/>
      </c>
      <c r="B19" s="112" t="s">
        <v>134</v>
      </c>
      <c r="C19" t="str">
        <f>IFERROR(VLOOKUP(COUNTBLANK($E$2:E19),A:B,2,FALSE),"")</f>
        <v/>
      </c>
      <c r="HO19" t="str">
        <f>IF(HP18&gt;0,CONCATENATE(HO16, DAY(HP18),"/",MONTH(HP18),"/",YEAR(HP18)),"")</f>
        <v/>
      </c>
    </row>
    <row r="20" spans="1:303" x14ac:dyDescent="0.25">
      <c r="A20" t="str">
        <f>IF(B20="","",IF(COUNTIF($B$1:B19:B19,B20)=0,MAX($A$1:A19)+1,""))</f>
        <v/>
      </c>
      <c r="B20" s="112" t="s">
        <v>134</v>
      </c>
      <c r="C20" t="str">
        <f>IFERROR(VLOOKUP(COUNTBLANK($E$2:E20),A:B,2,FALSE),"")</f>
        <v/>
      </c>
      <c r="E20" t="s">
        <v>40</v>
      </c>
    </row>
    <row r="21" spans="1:303" x14ac:dyDescent="0.25">
      <c r="A21" t="str">
        <f>IF(B21="","",IF(COUNTIF($B$1:B20:B20,B21)=0,MAX($A$1:A20)+1,""))</f>
        <v/>
      </c>
      <c r="B21" s="112" t="s">
        <v>134</v>
      </c>
      <c r="C21" t="str">
        <f>IFERROR(VLOOKUP(COUNTBLANK($E$2:E21),A:B,2,FALSE),"")</f>
        <v/>
      </c>
      <c r="E21" t="s">
        <v>60</v>
      </c>
    </row>
    <row r="22" spans="1:303" x14ac:dyDescent="0.25">
      <c r="A22" t="str">
        <f>IF(B22="","",IF(COUNTIF($B$1:B21:B21,B22)=0,MAX($A$1:A21)+1,""))</f>
        <v/>
      </c>
      <c r="B22" s="112" t="s">
        <v>134</v>
      </c>
      <c r="C22" t="str">
        <f>IFERROR(VLOOKUP(COUNTBLANK($E$2:E22),A:B,2,FALSE),"")</f>
        <v/>
      </c>
      <c r="E22" t="s">
        <v>63</v>
      </c>
      <c r="HQ22" s="112">
        <v>40422</v>
      </c>
    </row>
    <row r="23" spans="1:303" x14ac:dyDescent="0.25">
      <c r="A23" t="str">
        <f>IF(B23="","",IF(COUNTIF($B$1:B22:B22,B23)=0,MAX($A$1:A22)+1,""))</f>
        <v/>
      </c>
      <c r="B23" s="112" t="s">
        <v>134</v>
      </c>
      <c r="C23" t="str">
        <f>IFERROR(VLOOKUP(COUNTBLANK($E$2:E23),A:B,2,FALSE),"")</f>
        <v/>
      </c>
      <c r="E23" t="s">
        <v>89</v>
      </c>
    </row>
    <row r="24" spans="1:303" x14ac:dyDescent="0.25">
      <c r="A24" t="str">
        <f>IF(B24="","",IF(COUNTIF($B$1:B23:B23,B24)=0,MAX($A$1:A23)+1,""))</f>
        <v/>
      </c>
      <c r="B24" s="112" t="s">
        <v>134</v>
      </c>
      <c r="C24" t="str">
        <f>IFERROR(VLOOKUP(COUNTBLANK($E$2:E24),A:B,2,FALSE),"")</f>
        <v/>
      </c>
      <c r="E24" t="s">
        <v>90</v>
      </c>
    </row>
    <row r="25" spans="1:303" x14ac:dyDescent="0.25">
      <c r="A25" t="str">
        <f>IF(B25="","",IF(COUNTIF($B$1:B24:B24,B25)=0,MAX($A$1:A24)+1,""))</f>
        <v/>
      </c>
      <c r="B25" s="112" t="s">
        <v>134</v>
      </c>
      <c r="C25" t="str">
        <f>IFERROR(VLOOKUP(COUNTBLANK($E$2:E25),A:B,2,FALSE),"")</f>
        <v/>
      </c>
      <c r="E25" t="s">
        <v>92</v>
      </c>
      <c r="HO25">
        <f ca="1">EB40</f>
        <v>43344</v>
      </c>
      <c r="HP25" t="str">
        <f ca="1">EC40</f>
        <v>0-2 anni</v>
      </c>
      <c r="HQ25" t="str">
        <f ca="1">IF(AND(HO25&gt;=HQ22,OR(HP25="3-8 anni",    HP25="0-2 anni")  ),"0-8 anni",HP25)</f>
        <v>0-8 anni</v>
      </c>
    </row>
    <row r="26" spans="1:303" x14ac:dyDescent="0.25">
      <c r="A26" t="str">
        <f>IF(B26="","",IF(COUNTIF($B$1:B25:B25,B26)=0,MAX($A$1:A25)+1,""))</f>
        <v/>
      </c>
      <c r="B26" s="112" t="s">
        <v>134</v>
      </c>
      <c r="C26" t="str">
        <f>IFERROR(VLOOKUP(COUNTBLANK($E$2:E26),A:B,2,FALSE),"")</f>
        <v/>
      </c>
      <c r="E26" t="s">
        <v>91</v>
      </c>
      <c r="HO26" t="str">
        <f t="shared" ref="HO26:HP26" ca="1" si="5">EB41</f>
        <v/>
      </c>
      <c r="HP26" t="str">
        <f t="shared" ca="1" si="5"/>
        <v/>
      </c>
      <c r="HQ26" t="str">
        <f t="shared" ref="HQ26:HQ31" ca="1" si="6">IF(AND(HO26&gt;=HQ23,HP26="3-8 anni"),"0-8 anni",HP26)</f>
        <v/>
      </c>
    </row>
    <row r="27" spans="1:303" x14ac:dyDescent="0.25">
      <c r="A27">
        <f>IF(B27="","",IF(COUNTIF($B$1:B26:B26,B27)=0,MAX($A$1:A26)+1,""))</f>
        <v>4</v>
      </c>
      <c r="B27" s="112">
        <v>40269</v>
      </c>
      <c r="C27" t="str">
        <f>IFERROR(VLOOKUP(COUNTBLANK($E$2:E27),A:B,2,FALSE),"")</f>
        <v/>
      </c>
      <c r="HO27" t="str">
        <f t="shared" ref="HO27:HP27" ca="1" si="7">EB42</f>
        <v/>
      </c>
      <c r="HP27" t="str">
        <f t="shared" ca="1" si="7"/>
        <v/>
      </c>
      <c r="HQ27" t="str">
        <f t="shared" ca="1" si="6"/>
        <v/>
      </c>
    </row>
    <row r="28" spans="1:303" x14ac:dyDescent="0.25">
      <c r="A28">
        <f>IF(B28="","",IF(COUNTIF($B$1:B27:B27,B28)=0,MAX($A$1:A27)+1,""))</f>
        <v>5</v>
      </c>
      <c r="B28" s="112">
        <v>40360</v>
      </c>
      <c r="C28" t="str">
        <f>IFERROR(VLOOKUP(COUNTBLANK($E$2:E28),A:B,2,FALSE),"")</f>
        <v/>
      </c>
      <c r="HO28" t="str">
        <f t="shared" ref="HO28:HP28" ca="1" si="8">EB43</f>
        <v/>
      </c>
      <c r="HP28" t="str">
        <f t="shared" ca="1" si="8"/>
        <v/>
      </c>
      <c r="HQ28" t="str">
        <f t="shared" ca="1" si="6"/>
        <v/>
      </c>
    </row>
    <row r="29" spans="1:303" x14ac:dyDescent="0.25">
      <c r="A29">
        <f>IF(B29="","",IF(COUNTIF($B$1:B28:B28,B29)=0,MAX($A$1:A28)+1,""))</f>
        <v>6</v>
      </c>
      <c r="B29" s="112">
        <v>40422</v>
      </c>
      <c r="C29" t="str">
        <f>IFERROR(VLOOKUP(COUNTBLANK($E$2:E29),A:B,2,FALSE),"")</f>
        <v/>
      </c>
      <c r="E29" s="246" t="str">
        <f>CONCATENATE(ti!F4,"!")</f>
        <v>DocenteLaureatoSuperiore!</v>
      </c>
      <c r="F29" s="246"/>
      <c r="G29" s="246"/>
      <c r="HO29" t="str">
        <f t="shared" ref="HO29:HP29" ca="1" si="9">EB44</f>
        <v/>
      </c>
      <c r="HP29" t="str">
        <f t="shared" ca="1" si="9"/>
        <v/>
      </c>
      <c r="HQ29" t="str">
        <f t="shared" ca="1" si="6"/>
        <v/>
      </c>
    </row>
    <row r="30" spans="1:303" x14ac:dyDescent="0.25">
      <c r="A30">
        <f>IF(B30="","",IF(COUNTIF($B$1:B29:B29,B30)=0,MAX($A$1:A29)+1,""))</f>
        <v>7</v>
      </c>
      <c r="B30" s="112">
        <v>40544</v>
      </c>
      <c r="C30" t="str">
        <f>IFERROR(VLOOKUP(COUNTBLANK($E$2:E30),A:B,2,FALSE),"")</f>
        <v/>
      </c>
      <c r="HO30" t="str">
        <f t="shared" ref="HO30:HP30" ca="1" si="10">EB45</f>
        <v/>
      </c>
      <c r="HP30" t="str">
        <f t="shared" ca="1" si="10"/>
        <v/>
      </c>
      <c r="HQ30" t="str">
        <f t="shared" ca="1" si="6"/>
        <v/>
      </c>
      <c r="KE30" s="611" t="s">
        <v>208</v>
      </c>
      <c r="KF30" s="611"/>
      <c r="KG30" s="611"/>
      <c r="KH30" s="611"/>
      <c r="KI30" s="611"/>
      <c r="KJ30" s="611"/>
      <c r="KK30" s="611"/>
      <c r="KL30" s="611"/>
      <c r="KM30" s="611"/>
      <c r="KN30" s="611"/>
      <c r="KO30" s="611"/>
      <c r="KP30" s="611"/>
      <c r="KQ30" s="611"/>
    </row>
    <row r="31" spans="1:303" ht="18.75" x14ac:dyDescent="0.3">
      <c r="A31">
        <f>IF(B31="","",IF(COUNTIF($B$1:B30:B30,B31)=0,MAX($A$1:A30)+1,""))</f>
        <v>8</v>
      </c>
      <c r="B31" s="112">
        <v>42370</v>
      </c>
      <c r="C31" t="str">
        <f>IFERROR(VLOOKUP(COUNTBLANK($E$2:E31),A:B,2,FALSE),"")</f>
        <v/>
      </c>
      <c r="GG31" s="112">
        <v>40422</v>
      </c>
      <c r="HC31" s="306" t="s">
        <v>295</v>
      </c>
      <c r="HD31" s="306">
        <f>ti!H19</f>
        <v>0</v>
      </c>
      <c r="HE31" s="306" t="s">
        <v>105</v>
      </c>
      <c r="HF31" s="307">
        <f>ti!J19</f>
        <v>0</v>
      </c>
      <c r="HN31" t="s">
        <v>456</v>
      </c>
      <c r="HO31" s="342">
        <f>frontti!I32</f>
        <v>0</v>
      </c>
      <c r="HP31" t="str">
        <f t="shared" ref="HP31" ca="1" si="11">EC46</f>
        <v/>
      </c>
      <c r="HQ31" t="str">
        <f t="shared" ca="1" si="6"/>
        <v/>
      </c>
      <c r="KE31" s="611"/>
      <c r="KF31" s="611"/>
      <c r="KG31" s="611"/>
      <c r="KH31" s="611"/>
      <c r="KI31" s="611"/>
      <c r="KJ31" s="611"/>
      <c r="KK31" s="611"/>
      <c r="KL31" s="611"/>
      <c r="KM31" s="611"/>
      <c r="KN31" s="611"/>
      <c r="KO31" s="611"/>
      <c r="KP31" s="611"/>
      <c r="KQ31" s="611"/>
    </row>
    <row r="32" spans="1:303" x14ac:dyDescent="0.25">
      <c r="A32">
        <f>IF(B32="","",IF(COUNTIF($B$1:B31:B31,B32)=0,MAX($A$1:A31)+1,""))</f>
        <v>9</v>
      </c>
      <c r="B32" s="112">
        <v>42736</v>
      </c>
      <c r="C32" t="str">
        <f>IFERROR(VLOOKUP(COUNTBLANK($E$2:E32),A:B,2,FALSE),"")</f>
        <v/>
      </c>
      <c r="CH32" s="112">
        <f>CH38</f>
        <v>41275</v>
      </c>
      <c r="CI32" s="112">
        <f>F46</f>
        <v>36920</v>
      </c>
      <c r="CK32">
        <f>CI32-CH32</f>
        <v>-4355</v>
      </c>
      <c r="HN32" t="s">
        <v>457</v>
      </c>
      <c r="HO32" s="342">
        <f>frontti!J32</f>
        <v>0</v>
      </c>
      <c r="HP32">
        <f t="shared" ref="HP32" si="12">EC47</f>
        <v>0</v>
      </c>
      <c r="KE32" s="611"/>
      <c r="KF32" s="611"/>
      <c r="KG32" s="611"/>
      <c r="KH32" s="611"/>
      <c r="KI32" s="611"/>
      <c r="KJ32" s="611"/>
      <c r="KK32" s="611"/>
      <c r="KL32" s="611"/>
      <c r="KM32" s="611"/>
      <c r="KN32" s="611"/>
      <c r="KO32" s="611"/>
      <c r="KP32" s="611"/>
      <c r="KQ32" s="611"/>
    </row>
    <row r="33" spans="1:323" ht="15.75" thickBot="1" x14ac:dyDescent="0.3">
      <c r="A33">
        <f>IF(B33="","",IF(COUNTIF($B$1:B32:B32,B33)=0,MAX($A$1:A32)+1,""))</f>
        <v>10</v>
      </c>
      <c r="B33" s="112">
        <v>43160</v>
      </c>
      <c r="C33" t="str">
        <f>IFERROR(VLOOKUP(COUNTBLANK($E$2:E33),A:B,2,FALSE),"")</f>
        <v/>
      </c>
      <c r="E33" t="s">
        <v>202</v>
      </c>
      <c r="G33" s="270">
        <f>ti!G7</f>
        <v>0</v>
      </c>
      <c r="HN33" t="s">
        <v>458</v>
      </c>
      <c r="HO33" s="342">
        <f>frontti!K32</f>
        <v>0</v>
      </c>
      <c r="KE33" s="612"/>
      <c r="KF33" s="612"/>
      <c r="KG33" s="612"/>
      <c r="KH33" s="612"/>
      <c r="KI33" s="612"/>
      <c r="KJ33" s="612"/>
      <c r="KK33" s="612"/>
      <c r="KL33" s="612"/>
      <c r="KM33" s="612"/>
      <c r="KN33" s="612"/>
      <c r="KO33" s="612"/>
      <c r="KP33" s="612"/>
      <c r="KQ33" s="612"/>
    </row>
    <row r="34" spans="1:323" ht="15.75" thickBot="1" x14ac:dyDescent="0.3">
      <c r="A34">
        <f>IF(B34="","",IF(COUNTIF($B$1:B33:B33,B34)=0,MAX($A$1:A33)+1,""))</f>
        <v>11</v>
      </c>
      <c r="B34" s="112">
        <v>43191</v>
      </c>
      <c r="C34" t="str">
        <f>IFERROR(VLOOKUP(COUNTBLANK($E$2:E34),A:B,2,FALSE),"")</f>
        <v/>
      </c>
      <c r="EV34" s="250"/>
      <c r="EW34" s="251"/>
      <c r="EX34" s="251"/>
      <c r="EY34" s="251"/>
      <c r="EZ34" s="251"/>
      <c r="FA34" s="251"/>
      <c r="FB34" s="251" t="s">
        <v>16</v>
      </c>
      <c r="FC34" s="251" t="s">
        <v>17</v>
      </c>
      <c r="FD34" s="251" t="s">
        <v>18</v>
      </c>
      <c r="FE34" s="251" t="s">
        <v>19</v>
      </c>
      <c r="FF34" s="251" t="s">
        <v>20</v>
      </c>
      <c r="FG34" s="251" t="s">
        <v>41</v>
      </c>
      <c r="FH34" s="251"/>
      <c r="FI34" s="251"/>
      <c r="FJ34" s="251"/>
      <c r="FK34" s="251"/>
      <c r="FL34" s="251" t="s">
        <v>434</v>
      </c>
      <c r="FM34" s="251" t="s">
        <v>22</v>
      </c>
      <c r="FN34" s="251" t="s">
        <v>163</v>
      </c>
      <c r="FO34" s="251" t="s">
        <v>164</v>
      </c>
      <c r="FP34" s="251"/>
      <c r="FQ34" s="251"/>
      <c r="FR34" s="252"/>
      <c r="FT34" t="s">
        <v>498</v>
      </c>
      <c r="FU34" t="s">
        <v>281</v>
      </c>
      <c r="FV34" t="s">
        <v>155</v>
      </c>
      <c r="FW34" t="s">
        <v>156</v>
      </c>
      <c r="FX34" t="s">
        <v>157</v>
      </c>
      <c r="FY34" t="s">
        <v>158</v>
      </c>
      <c r="FZ34" t="s">
        <v>292</v>
      </c>
      <c r="GA34" t="s">
        <v>159</v>
      </c>
      <c r="GB34" t="s">
        <v>160</v>
      </c>
      <c r="GC34" t="s">
        <v>161</v>
      </c>
      <c r="GD34" t="s">
        <v>282</v>
      </c>
      <c r="HO34" s="428">
        <f ca="1">GF40</f>
        <v>43344</v>
      </c>
      <c r="KE34" s="250"/>
      <c r="KF34" s="251"/>
      <c r="KG34" s="251"/>
      <c r="KH34" s="251"/>
      <c r="KI34" s="251"/>
      <c r="KJ34" s="251"/>
      <c r="KK34" s="251" t="s">
        <v>16</v>
      </c>
      <c r="KL34" s="251" t="s">
        <v>17</v>
      </c>
      <c r="KM34" s="251" t="s">
        <v>18</v>
      </c>
      <c r="KN34" s="251" t="s">
        <v>19</v>
      </c>
      <c r="KO34" s="251" t="s">
        <v>20</v>
      </c>
      <c r="KP34" s="251" t="s">
        <v>41</v>
      </c>
      <c r="KQ34" s="251"/>
      <c r="KR34" s="251"/>
      <c r="KS34" s="251"/>
      <c r="KT34" s="251"/>
      <c r="KU34" s="251"/>
      <c r="KV34" s="251" t="s">
        <v>22</v>
      </c>
      <c r="KW34" s="251" t="s">
        <v>163</v>
      </c>
      <c r="KX34" s="251" t="s">
        <v>164</v>
      </c>
      <c r="KY34" s="251"/>
      <c r="KZ34" s="251"/>
      <c r="LA34" s="252"/>
    </row>
    <row r="35" spans="1:323" x14ac:dyDescent="0.25">
      <c r="A35">
        <f>IF(B35="","",IF(COUNTIF($B$1:B34:B34,B35)=0,MAX($A$1:A34)+1,""))</f>
        <v>12</v>
      </c>
      <c r="B35" s="112">
        <v>43466</v>
      </c>
      <c r="C35" t="str">
        <f>IFERROR(VLOOKUP(COUNTBLANK($E$2:E35),A:B,2,FALSE),"")</f>
        <v/>
      </c>
      <c r="EV35" s="253"/>
      <c r="FA35" t="s">
        <v>283</v>
      </c>
      <c r="FB35" t="s">
        <v>139</v>
      </c>
      <c r="FC35" t="s">
        <v>140</v>
      </c>
      <c r="FD35" t="s">
        <v>141</v>
      </c>
      <c r="FE35" t="s">
        <v>142</v>
      </c>
      <c r="FF35" t="s">
        <v>143</v>
      </c>
      <c r="FG35" t="s">
        <v>144</v>
      </c>
      <c r="FH35" t="s">
        <v>145</v>
      </c>
      <c r="FI35" t="s">
        <v>147</v>
      </c>
      <c r="FJ35" t="s">
        <v>148</v>
      </c>
      <c r="FK35" t="s">
        <v>149</v>
      </c>
      <c r="FL35" t="s">
        <v>150</v>
      </c>
      <c r="FM35" t="s">
        <v>146</v>
      </c>
      <c r="FR35" s="254"/>
      <c r="GT35" s="250"/>
      <c r="GU35" s="251"/>
      <c r="GV35" s="251"/>
      <c r="GW35" s="251"/>
      <c r="GX35" s="251"/>
      <c r="GY35" s="251"/>
      <c r="GZ35" s="251"/>
      <c r="HA35" s="251"/>
      <c r="HB35" s="251"/>
      <c r="HC35" s="251"/>
      <c r="HD35" s="251"/>
      <c r="HE35" s="252"/>
      <c r="KE35" s="253"/>
      <c r="KJ35" t="s">
        <v>151</v>
      </c>
      <c r="KK35" t="s">
        <v>139</v>
      </c>
      <c r="KL35" t="s">
        <v>140</v>
      </c>
      <c r="KM35" t="s">
        <v>141</v>
      </c>
      <c r="KN35" t="s">
        <v>142</v>
      </c>
      <c r="KO35" t="s">
        <v>143</v>
      </c>
      <c r="KP35" t="s">
        <v>144</v>
      </c>
      <c r="KQ35" t="s">
        <v>145</v>
      </c>
      <c r="KR35" t="s">
        <v>147</v>
      </c>
      <c r="KS35" t="s">
        <v>148</v>
      </c>
      <c r="KT35" t="s">
        <v>149</v>
      </c>
      <c r="KU35" t="s">
        <v>150</v>
      </c>
      <c r="KV35" t="s">
        <v>146</v>
      </c>
      <c r="LA35" s="254"/>
    </row>
    <row r="36" spans="1:323" x14ac:dyDescent="0.25">
      <c r="A36" t="str">
        <f>IF(B36="","",IF(COUNTIF($B$1:B35:B35,B36)=0,MAX($A$1:A35)+1,""))</f>
        <v/>
      </c>
      <c r="B36" s="112" t="s">
        <v>134</v>
      </c>
      <c r="C36" t="str">
        <f>IFERROR(VLOOKUP(COUNTBLANK($E$2:E36),A:B,2,FALSE),"")</f>
        <v/>
      </c>
      <c r="DL36" t="str">
        <f ca="1">CONCATENATE("Foglio1ti!AA",DJ40-6,":AK",DJ40)</f>
        <v>Foglio1ti!AA220:AK226</v>
      </c>
      <c r="EV36" s="253"/>
      <c r="FR36" s="254"/>
      <c r="GE36" s="112">
        <v>45535</v>
      </c>
      <c r="GR36" s="112">
        <v>37622</v>
      </c>
      <c r="GT36" s="253"/>
      <c r="GU36" t="s">
        <v>182</v>
      </c>
      <c r="HE36" s="254"/>
      <c r="KE36" s="253"/>
      <c r="LA36" s="254"/>
    </row>
    <row r="37" spans="1:323" ht="87" customHeight="1" thickBot="1" x14ac:dyDescent="0.3">
      <c r="A37">
        <f>IF(B37="","",IF(COUNTIF($B$1:B36:B36,B37)=0,MAX($A$1:A36)+1,""))</f>
        <v>13</v>
      </c>
      <c r="B37" s="112">
        <v>40210</v>
      </c>
      <c r="C37" t="str">
        <f>IFERROR(VLOOKUP(COUNTBLANK($E$2:E37),A:B,2,FALSE),"")</f>
        <v/>
      </c>
      <c r="CG37" t="s">
        <v>116</v>
      </c>
      <c r="EV37" s="253" t="s">
        <v>197</v>
      </c>
      <c r="EY37" t="s">
        <v>138</v>
      </c>
      <c r="FR37" s="254"/>
      <c r="FT37" t="s">
        <v>136</v>
      </c>
      <c r="FU37" t="s">
        <v>93</v>
      </c>
      <c r="FV37" t="s">
        <v>16</v>
      </c>
      <c r="FW37" t="s">
        <v>17</v>
      </c>
      <c r="FX37" t="s">
        <v>18</v>
      </c>
      <c r="FY37" t="s">
        <v>19</v>
      </c>
      <c r="FZ37" t="s">
        <v>20</v>
      </c>
      <c r="GA37" t="s">
        <v>166</v>
      </c>
      <c r="GB37" t="s">
        <v>162</v>
      </c>
      <c r="GC37" t="s">
        <v>163</v>
      </c>
      <c r="GD37" t="s">
        <v>164</v>
      </c>
      <c r="GE37" t="s">
        <v>371</v>
      </c>
      <c r="GF37" t="s">
        <v>175</v>
      </c>
      <c r="GG37" t="s">
        <v>176</v>
      </c>
      <c r="GH37" s="263" t="s">
        <v>183</v>
      </c>
      <c r="GI37" t="s">
        <v>17</v>
      </c>
      <c r="GJ37" t="s">
        <v>18</v>
      </c>
      <c r="GK37" t="s">
        <v>178</v>
      </c>
      <c r="GL37" t="s">
        <v>179</v>
      </c>
      <c r="GM37" t="s">
        <v>180</v>
      </c>
      <c r="GN37" t="s">
        <v>181</v>
      </c>
      <c r="GO37" t="s">
        <v>294</v>
      </c>
      <c r="GP37" t="s">
        <v>164</v>
      </c>
      <c r="GR37" t="s">
        <v>293</v>
      </c>
      <c r="GS37" t="s">
        <v>185</v>
      </c>
      <c r="GT37" s="253" t="s">
        <v>165</v>
      </c>
      <c r="GU37" t="s">
        <v>175</v>
      </c>
      <c r="GV37" t="s">
        <v>176</v>
      </c>
      <c r="GW37" t="s">
        <v>177</v>
      </c>
      <c r="GX37" t="s">
        <v>17</v>
      </c>
      <c r="GY37" t="s">
        <v>18</v>
      </c>
      <c r="GZ37" t="s">
        <v>178</v>
      </c>
      <c r="HA37" t="s">
        <v>186</v>
      </c>
      <c r="HB37" t="s">
        <v>180</v>
      </c>
      <c r="HC37" t="s">
        <v>181</v>
      </c>
      <c r="HD37" t="s">
        <v>294</v>
      </c>
      <c r="HE37" s="254" t="s">
        <v>164</v>
      </c>
      <c r="HF37" t="s">
        <v>184</v>
      </c>
      <c r="HO37" t="str">
        <f ca="1">CONCATENATE("COME DA SENTENZA  ALLA DATA DEL:",DAY(HO34),"/",MONTH(HO34),"/",YEAR(HO34)," VIENE RICONOSCIUTA LA SEGUENTE ANZIANITA':",HN31,HO31,HN32,HO32,HN33,HO33,     "
 ",HO19)</f>
        <v xml:space="preserve">COME DA SENTENZA  ALLA DATA DEL:1/9/2018 VIENE RICONOSCIUTA LA SEGUENTE ANZIANITA': - Anni:0 - Mesi:0 - Giorni:0
 </v>
      </c>
      <c r="IT37" s="112">
        <f>G33</f>
        <v>0</v>
      </c>
      <c r="IW37" s="263" t="s">
        <v>204</v>
      </c>
      <c r="KE37" s="253" t="s">
        <v>197</v>
      </c>
      <c r="KH37" t="s">
        <v>138</v>
      </c>
      <c r="LA37" s="254"/>
    </row>
    <row r="38" spans="1:323" ht="230.25" thickBot="1" x14ac:dyDescent="0.3">
      <c r="B38" s="112" t="s">
        <v>134</v>
      </c>
      <c r="C38" t="str">
        <f>IFERROR(VLOOKUP(COUNTBLANK($E$2:E38),A:B,2,FALSE),"")</f>
        <v/>
      </c>
      <c r="E38" t="s">
        <v>198</v>
      </c>
      <c r="W38" t="s">
        <v>110</v>
      </c>
      <c r="CG38">
        <v>2013</v>
      </c>
      <c r="CH38" s="112">
        <v>41275</v>
      </c>
      <c r="CI38" s="112">
        <v>41639</v>
      </c>
      <c r="CJ38" t="s">
        <v>117</v>
      </c>
      <c r="CQ38" t="s">
        <v>121</v>
      </c>
      <c r="CR38" t="s">
        <v>120</v>
      </c>
      <c r="DO38" s="615" t="s">
        <v>129</v>
      </c>
      <c r="DP38" s="615"/>
      <c r="DQ38" s="615"/>
      <c r="DT38" s="112">
        <v>45535</v>
      </c>
      <c r="DW38" s="276"/>
      <c r="DX38" s="276"/>
      <c r="DY38" s="276"/>
      <c r="DZ38" s="276"/>
      <c r="EF38" s="250"/>
      <c r="EG38" s="251"/>
      <c r="EH38" s="251"/>
      <c r="EI38" s="251"/>
      <c r="EJ38" s="301" t="s">
        <v>278</v>
      </c>
      <c r="EK38" s="252"/>
      <c r="EM38" s="250"/>
      <c r="EN38" s="251"/>
      <c r="EO38" s="251"/>
      <c r="EP38" s="251"/>
      <c r="EQ38" s="251"/>
      <c r="ER38" s="251"/>
      <c r="ES38" s="251"/>
      <c r="ET38" s="251"/>
      <c r="EU38" s="251"/>
      <c r="EV38" s="260">
        <f>HR39</f>
        <v>44804</v>
      </c>
      <c r="EX38" t="s">
        <v>152</v>
      </c>
      <c r="EY38" t="str">
        <f>CONCATENATE("Foglio1ti!Ab",31,":An",300)</f>
        <v>Foglio1ti!Ab31:An300</v>
      </c>
      <c r="FK38" s="263" t="s">
        <v>435</v>
      </c>
      <c r="FL38" t="str">
        <f>frontti!H25</f>
        <v>SI</v>
      </c>
      <c r="FO38" s="309">
        <v>40422</v>
      </c>
      <c r="FR38" s="254"/>
      <c r="GT38" s="253"/>
      <c r="HE38" s="254"/>
      <c r="HO38" s="263" t="str">
        <f ca="1">CONCATENATE(HO37,"
","Spetta all'interessato la seguente progressione:","
","  data  -  fascia ", "
",   EU10,"   ",ER10,"
",   EU11,"   ",ER11,"
",  EU12,"   ",ER12,"
",  EU13,"   ",ER13,"
",  EU14,"   ",ER14,"
",  EU15,"   ",ER15,"
",   )</f>
        <v xml:space="preserve">COME DA SENTENZA  ALLA DATA DEL:1/9/2018 VIENE RICONOSCIUTA LA SEGUENTE ANZIANITA': - Anni:0 - Mesi:0 - Giorni:0
Spetta all'interessato la seguente progressione:
  data  -  fascia 
1/9/2018   0-2 anni
</v>
      </c>
      <c r="IR38" t="s">
        <v>203</v>
      </c>
      <c r="IT38" s="112" t="str">
        <f>CONCATENATE(DAY(G33),"/",MONTH(G33),"/",YEAR(G33))</f>
        <v>0/1/1900</v>
      </c>
      <c r="IW38" s="263" t="s">
        <v>205</v>
      </c>
      <c r="IX38" t="str">
        <f>IF(IT37&gt;100,CONCATENATE(IW38,IT38),"")</f>
        <v/>
      </c>
      <c r="IZ38" s="264" t="s">
        <v>193</v>
      </c>
      <c r="JE38" t="s">
        <v>194</v>
      </c>
      <c r="JF38" s="112" t="str">
        <f ca="1">IF(DP40=0,"",CONCATENATE(DAY(DP40),"/",MONTH(DP40),"/",YEAR(DP40),"
"))</f>
        <v xml:space="preserve">1/9/2018
</v>
      </c>
      <c r="JI38" s="263" t="str">
        <f ca="1">CONCATENATE(JE38,JF38,JE39,JF39,JE40,JF40,JE41,JF41,JE42,JF42,JE43,JF43,)</f>
        <v xml:space="preserve">considerato che spetta la fascia 0/2 anni in data:1/9/2018
fascia 3/8 anni in data:1/9/2021
fascia 9/14 anni in data:1/9/2027
fascia 15/20 anni in data:1/9/2033
fascia 21/27 anni in data:1/9/2039
fascia 28/34 anni in data:1/9/2046
</v>
      </c>
      <c r="JR38" s="269" t="s">
        <v>201</v>
      </c>
      <c r="KD38" s="251"/>
      <c r="KE38" s="260">
        <f>EV38</f>
        <v>44804</v>
      </c>
      <c r="KG38" t="s">
        <v>152</v>
      </c>
      <c r="KH38" t="str">
        <f>CONCATENATE("Foglio1!Ab",31,":An",300)</f>
        <v>Foglio1!Ab31:An300</v>
      </c>
      <c r="LA38" s="254"/>
      <c r="LG38" s="273">
        <f>G33*1</f>
        <v>0</v>
      </c>
    </row>
    <row r="39" spans="1:323" ht="68.45" customHeight="1" thickBot="1" x14ac:dyDescent="0.3">
      <c r="A39" s="613" t="s">
        <v>213</v>
      </c>
      <c r="B39" s="598"/>
      <c r="C39" t="str">
        <f>IFERROR(VLOOKUP(COUNTBLANK($E$2:E39),A:B,2,FALSE),"")</f>
        <v/>
      </c>
      <c r="E39" s="239" t="s">
        <v>105</v>
      </c>
      <c r="F39" s="239" t="s">
        <v>106</v>
      </c>
      <c r="G39" s="244"/>
      <c r="H39" s="244"/>
      <c r="I39" s="244"/>
      <c r="J39" s="244"/>
      <c r="K39" s="244"/>
      <c r="Q39" t="s">
        <v>107</v>
      </c>
      <c r="R39" t="s">
        <v>115</v>
      </c>
      <c r="S39" t="s">
        <v>108</v>
      </c>
      <c r="T39" t="s">
        <v>109</v>
      </c>
      <c r="U39" t="s">
        <v>107</v>
      </c>
      <c r="W39" t="s">
        <v>108</v>
      </c>
      <c r="X39" t="s">
        <v>109</v>
      </c>
      <c r="Y39" t="s">
        <v>107</v>
      </c>
      <c r="AA39" t="s">
        <v>118</v>
      </c>
      <c r="AH39" t="s">
        <v>105</v>
      </c>
      <c r="AI39" t="s">
        <v>106</v>
      </c>
      <c r="AK39" t="s">
        <v>111</v>
      </c>
      <c r="AL39" t="s">
        <v>112</v>
      </c>
      <c r="AS39" t="s">
        <v>111</v>
      </c>
      <c r="AT39" t="s">
        <v>112</v>
      </c>
      <c r="BA39" t="s">
        <v>111</v>
      </c>
      <c r="BB39" t="s">
        <v>112</v>
      </c>
      <c r="BI39" t="s">
        <v>111</v>
      </c>
      <c r="BJ39" t="s">
        <v>112</v>
      </c>
      <c r="BO39" t="s">
        <v>111</v>
      </c>
      <c r="BP39" t="s">
        <v>112</v>
      </c>
      <c r="CN39" t="s">
        <v>119</v>
      </c>
      <c r="CQ39">
        <v>1095</v>
      </c>
      <c r="CV39" t="s">
        <v>122</v>
      </c>
      <c r="CX39" t="s">
        <v>123</v>
      </c>
      <c r="CY39" t="s">
        <v>124</v>
      </c>
      <c r="CZ39" t="s">
        <v>125</v>
      </c>
      <c r="DA39" t="s">
        <v>126</v>
      </c>
      <c r="DB39" t="s">
        <v>127</v>
      </c>
      <c r="DC39">
        <v>35</v>
      </c>
      <c r="DD39" s="614" t="s">
        <v>137</v>
      </c>
      <c r="DE39" s="614"/>
      <c r="DF39" s="614"/>
      <c r="DG39" s="614"/>
      <c r="DH39" s="614"/>
      <c r="DI39" s="614"/>
      <c r="DJ39" s="614"/>
      <c r="DK39" s="614"/>
      <c r="DL39" s="614"/>
      <c r="DO39" t="s">
        <v>128</v>
      </c>
      <c r="DP39" t="s">
        <v>93</v>
      </c>
      <c r="DW39" s="276" t="s">
        <v>130</v>
      </c>
      <c r="DX39" s="276"/>
      <c r="DY39" s="276"/>
      <c r="DZ39" s="276" t="s">
        <v>131</v>
      </c>
      <c r="EB39" t="s">
        <v>276</v>
      </c>
      <c r="EF39" s="253" t="s">
        <v>132</v>
      </c>
      <c r="EJ39" s="259">
        <f>ti!F11</f>
        <v>43344</v>
      </c>
      <c r="EK39" s="254"/>
      <c r="EM39" s="253" t="s">
        <v>133</v>
      </c>
      <c r="EP39" t="s">
        <v>279</v>
      </c>
      <c r="ER39" s="264"/>
      <c r="EU39" t="s">
        <v>136</v>
      </c>
      <c r="EV39" s="253" t="s">
        <v>93</v>
      </c>
      <c r="EW39" t="s">
        <v>136</v>
      </c>
      <c r="FB39" t="str">
        <f>FB34</f>
        <v>Stipendio
annuo</v>
      </c>
      <c r="FC39" t="str">
        <f>FC34</f>
        <v>Indennità funzione</v>
      </c>
      <c r="FD39" t="str">
        <f t="shared" ref="FD39:FM39" si="13">FD34</f>
        <v>art. 7 L. 438/92</v>
      </c>
      <c r="FE39" t="str">
        <f t="shared" si="13"/>
        <v>I.I.S.</v>
      </c>
      <c r="FF39" t="str">
        <f t="shared" si="13"/>
        <v>Vacanza contr.le</v>
      </c>
      <c r="FG39" t="str">
        <f t="shared" si="13"/>
        <v>13^ da
col.(d) a (f)</v>
      </c>
      <c r="FH39">
        <f t="shared" si="13"/>
        <v>0</v>
      </c>
      <c r="FI39">
        <f t="shared" si="13"/>
        <v>0</v>
      </c>
      <c r="FJ39">
        <f t="shared" si="13"/>
        <v>0</v>
      </c>
      <c r="FK39">
        <f t="shared" si="13"/>
        <v>0</v>
      </c>
      <c r="FL39" t="str">
        <f t="shared" si="13"/>
        <v>ex fascia 3-8 anni</v>
      </c>
      <c r="FM39" t="str">
        <f t="shared" si="13"/>
        <v>Retribuzione Professionale Docenti</v>
      </c>
      <c r="FN39" t="s">
        <v>163</v>
      </c>
      <c r="FO39" t="s">
        <v>164</v>
      </c>
      <c r="FP39" t="s">
        <v>136</v>
      </c>
      <c r="FQ39" t="s">
        <v>136</v>
      </c>
      <c r="FR39" s="254" t="s">
        <v>136</v>
      </c>
      <c r="GT39" s="253"/>
      <c r="HE39" s="254"/>
      <c r="HO39" s="239"/>
      <c r="HQ39" s="263" t="s">
        <v>195</v>
      </c>
      <c r="HR39" s="112">
        <f>MAX(F40:F131)</f>
        <v>44804</v>
      </c>
      <c r="HS39" s="263" t="str">
        <f>CONCATENATE("
",HQ39,DAY(HR39),"/",MONTH(HR39),"/",YEAR(HR39),"
",HQ40)</f>
        <v xml:space="preserve">
GLI EFFETTI DEL PRESENTE DECRETO SONO LIMITATI ALLA DATA DEL:31/8/2022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LO STIPENDIO VA  RAPPORTATO ALLE EFFETTIVE ORE DI SERVIZIO PRESTATE. IL PRESENTE DECRETO SARA’ INVIATO ALLA RAGIONERIA PROVINCIALE  DELLO STATO PER QUANTO DI COMPETENZA .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X39" s="616" t="s">
        <v>190</v>
      </c>
      <c r="HY39" s="617"/>
      <c r="HZ39" s="617"/>
      <c r="IA39" s="617"/>
      <c r="IB39" s="617"/>
      <c r="IC39" s="617"/>
      <c r="ID39" s="617"/>
      <c r="IE39" s="617"/>
      <c r="IF39" s="617"/>
      <c r="IG39" s="618"/>
      <c r="IZ39" s="265"/>
      <c r="JE39" t="str">
        <f ca="1">IF(JF39&lt;&gt;"","fascia 3/8 anni in data:","")</f>
        <v>fascia 3/8 anni in data:</v>
      </c>
      <c r="JF39" s="112" t="str">
        <f ca="1">IF(DP41="","",CONCATENATE(DAY(DP41),"/",MONTH(DP41),"/",YEAR(DP41),"
"))</f>
        <v xml:space="preserve">1/9/2021
</v>
      </c>
      <c r="JR39" s="269" t="s">
        <v>199</v>
      </c>
      <c r="KD39" t="s">
        <v>136</v>
      </c>
      <c r="KE39" s="253" t="s">
        <v>93</v>
      </c>
      <c r="KF39" t="s">
        <v>136</v>
      </c>
      <c r="KK39" t="str">
        <f>KK34</f>
        <v>Stipendio
annuo</v>
      </c>
      <c r="KL39" t="str">
        <f>KL34</f>
        <v>Indennità funzione</v>
      </c>
      <c r="KM39" t="str">
        <f t="shared" ref="KM39:KV39" si="14">KM34</f>
        <v>art. 7 L. 438/92</v>
      </c>
      <c r="KN39" t="str">
        <f t="shared" si="14"/>
        <v>I.I.S.</v>
      </c>
      <c r="KO39" t="str">
        <f t="shared" si="14"/>
        <v>Vacanza contr.le</v>
      </c>
      <c r="KP39" t="str">
        <f t="shared" si="14"/>
        <v>13^ da
col.(d) a (f)</v>
      </c>
      <c r="KQ39">
        <f t="shared" si="14"/>
        <v>0</v>
      </c>
      <c r="KR39">
        <f t="shared" si="14"/>
        <v>0</v>
      </c>
      <c r="KS39">
        <f t="shared" si="14"/>
        <v>0</v>
      </c>
      <c r="KT39">
        <f t="shared" si="14"/>
        <v>0</v>
      </c>
      <c r="KU39">
        <f t="shared" si="14"/>
        <v>0</v>
      </c>
      <c r="KV39" t="str">
        <f t="shared" si="14"/>
        <v>Retribuzione Professionale Docenti</v>
      </c>
      <c r="KW39" t="s">
        <v>163</v>
      </c>
      <c r="KX39" t="s">
        <v>164</v>
      </c>
      <c r="KY39" t="s">
        <v>136</v>
      </c>
      <c r="KZ39" t="s">
        <v>136</v>
      </c>
      <c r="LA39" s="254" t="s">
        <v>136</v>
      </c>
      <c r="LB39" t="s">
        <v>105</v>
      </c>
      <c r="LC39" t="s">
        <v>106</v>
      </c>
      <c r="LD39" s="263" t="s">
        <v>209</v>
      </c>
      <c r="LE39" s="263" t="s">
        <v>210</v>
      </c>
      <c r="LF39" s="263" t="s">
        <v>211</v>
      </c>
      <c r="LG39" s="263" t="s">
        <v>212</v>
      </c>
      <c r="LH39" s="263"/>
      <c r="LI39" s="263"/>
      <c r="LJ39" s="263"/>
      <c r="LK39" s="263"/>
    </row>
    <row r="40" spans="1:323" ht="106.9" customHeight="1" thickBot="1" x14ac:dyDescent="0.3">
      <c r="A40" s="112">
        <f>VLOOKUP(B40-1,$DW$40:$DW$72,1)</f>
        <v>35612</v>
      </c>
      <c r="B40" s="112">
        <f>VLOOKUP(F40,$DW$40:$DW$72,1)</f>
        <v>36100</v>
      </c>
      <c r="C40" t="str">
        <f>IFERROR(VLOOKUP(COUNTBLANK($E$2:E40),A:B,2,FALSE),"")</f>
        <v/>
      </c>
      <c r="E40" s="240">
        <f>Foglio3!F20</f>
        <v>36138</v>
      </c>
      <c r="F40" s="240">
        <f>Foglio3!G20</f>
        <v>36280</v>
      </c>
      <c r="G40" s="244"/>
      <c r="H40" s="245">
        <f>AH40</f>
        <v>36138</v>
      </c>
      <c r="I40" s="245">
        <f t="shared" ref="I40:I103" si="15">AI40</f>
        <v>36280</v>
      </c>
      <c r="J40" s="244"/>
      <c r="K40" s="244"/>
      <c r="M40" s="112">
        <f>EDATE(E40,3)</f>
        <v>36228</v>
      </c>
      <c r="N40" s="112">
        <f>EOMONTH(E40,3)</f>
        <v>36250</v>
      </c>
      <c r="Q40">
        <f t="shared" ref="Q40:Q103" si="16">I40-H40+1</f>
        <v>143</v>
      </c>
      <c r="R40">
        <f>Q40*AG40</f>
        <v>143</v>
      </c>
      <c r="S40">
        <f>INT(R40/365)</f>
        <v>0</v>
      </c>
      <c r="T40">
        <f>INT( (R40-(S40*365))/30)</f>
        <v>4</v>
      </c>
      <c r="U40">
        <f>R40- ((S40*365)+T40*30)</f>
        <v>23</v>
      </c>
      <c r="W40">
        <f>S40</f>
        <v>0</v>
      </c>
      <c r="X40">
        <f>T40</f>
        <v>4</v>
      </c>
      <c r="Y40">
        <f>U40</f>
        <v>23</v>
      </c>
      <c r="AA40" s="112">
        <f>IF(AND(YEAR(E40)=$CG$38,YEAR(F40)&gt;$CG$38),"01/01/2014",E40)</f>
        <v>36138</v>
      </c>
      <c r="AB40" s="112">
        <f>IF(YEAR(F40)=$CG$38,"31/12/12"*1,F40)</f>
        <v>36280</v>
      </c>
      <c r="AG40">
        <f>IF(AI40&lt;AH40,0,1)</f>
        <v>1</v>
      </c>
      <c r="AH40" s="112">
        <f>AA40*1</f>
        <v>36138</v>
      </c>
      <c r="AI40" s="112">
        <f>AB40*1</f>
        <v>36280</v>
      </c>
      <c r="AJ40">
        <f>IF(AH40=0,0,1)</f>
        <v>1</v>
      </c>
      <c r="AN40" t="s">
        <v>113</v>
      </c>
      <c r="BV40" t="s">
        <v>114</v>
      </c>
      <c r="CG40">
        <f>YEAR(E40)</f>
        <v>1998</v>
      </c>
      <c r="CH40">
        <f>YEAR(F40)</f>
        <v>1999</v>
      </c>
      <c r="CJ40">
        <f>IF(AND(CG40=$CG$38,CH40=$CG$38),F40-E40+1,0)</f>
        <v>0</v>
      </c>
      <c r="CK40">
        <f t="shared" ref="CK40:CK45" si="17">IF(AND(CG40&lt;&gt;$CG$38,CH40=$CG$38),F40-$CH$38,0)</f>
        <v>0</v>
      </c>
      <c r="CL40">
        <f>IF(AND(CG40=$CG$38,CH40&lt;&gt;$CG$38),$CI$38-E40+1,0)</f>
        <v>0</v>
      </c>
      <c r="CN40">
        <f>CJ40+CK40+CL40</f>
        <v>0</v>
      </c>
      <c r="CQ40" s="246">
        <f>365*9</f>
        <v>3285</v>
      </c>
      <c r="CS40">
        <f>R40</f>
        <v>143</v>
      </c>
      <c r="CT40" s="246">
        <f xml:space="preserve">  IF(E40&lt;&gt;"",           CS40,0)</f>
        <v>143</v>
      </c>
      <c r="CV40" s="112">
        <f>I40</f>
        <v>36280</v>
      </c>
      <c r="CX40" s="112">
        <f>IF(CT40&gt;=$CQ$39,CV40-(CT40-$CQ$39),100000)</f>
        <v>100000</v>
      </c>
      <c r="CY40" s="270">
        <f>IF(CT40&gt;=$CQ$40,CV40-(CT40-$CQ$40),100000)</f>
        <v>100000</v>
      </c>
      <c r="CZ40" s="112">
        <f>IF(CT40&gt;=$CQ$41,CV40-(CT40-$CQ$41),100000)</f>
        <v>100000</v>
      </c>
      <c r="DA40" s="112">
        <f>IF(CT40&gt;=$CQ$42,CV40-(CT40-$CQ$42),100000)</f>
        <v>100000</v>
      </c>
      <c r="DB40" s="112">
        <f>IF(CT40&gt;=$CQ$43,CV40-(CT40-$CQ$43),100000)</f>
        <v>100000</v>
      </c>
      <c r="DC40" s="112">
        <f>IF(CT40&gt;=$CQ$44,CV40-(CT40-$CQ$44),100000)</f>
        <v>100000</v>
      </c>
      <c r="DE40" s="247">
        <v>0</v>
      </c>
      <c r="DG40" s="249">
        <f ca="1">VLOOKUP(DE40,ti!$A$38:$B$45,2)</f>
        <v>43709</v>
      </c>
      <c r="DH40" s="270">
        <f ca="1">DG40</f>
        <v>43709</v>
      </c>
      <c r="DJ40" s="238">
        <f ca="1">VLOOKUP(DG40,Foglio1!$AB$31:$AN$284,13)</f>
        <v>226</v>
      </c>
      <c r="DL40">
        <f ca="1">VLOOKUP(DE40,INDIRECT($DL$36),6)</f>
        <v>15593.689999999999</v>
      </c>
      <c r="DN40" s="250" t="str">
        <f ca="1">IF(OR(DO40="",DP40&gt;$DT$38    ),"",VLOOKUP(DR40,$DT$40:$DU$46,2))</f>
        <v>0-2 anni</v>
      </c>
      <c r="DO40" s="251">
        <f ca="1">ti!G38</f>
        <v>0</v>
      </c>
      <c r="DP40" s="304">
        <f ca="1">ti!H38</f>
        <v>43344</v>
      </c>
      <c r="DR40">
        <f ca="1">DO40</f>
        <v>0</v>
      </c>
      <c r="DT40">
        <v>0</v>
      </c>
      <c r="DU40" s="112" t="s">
        <v>168</v>
      </c>
      <c r="DV40" s="112"/>
      <c r="DW40" s="277">
        <v>35065</v>
      </c>
      <c r="DX40" s="276"/>
      <c r="DY40" s="276" t="s">
        <v>206</v>
      </c>
      <c r="DZ40" s="277">
        <f>IF(G33&gt;E40,G33,0)</f>
        <v>0</v>
      </c>
      <c r="EB40" s="240">
        <f ca="1">ES10</f>
        <v>43344</v>
      </c>
      <c r="EC40" s="240" t="str">
        <f ca="1">ER10</f>
        <v>0-2 anni</v>
      </c>
      <c r="ED40" t="str">
        <f ca="1">IF(EB40&lt;&gt;"",CONCATENATE(DAY(EB40),"/",MONTH(EB40),"/",YEAR(EB40)),"")</f>
        <v>1/9/2018</v>
      </c>
      <c r="EF40" s="260">
        <f>EJ39</f>
        <v>43344</v>
      </c>
      <c r="EK40" s="254"/>
      <c r="EL40">
        <v>1</v>
      </c>
      <c r="EM40" s="260">
        <f>EJ39</f>
        <v>43344</v>
      </c>
      <c r="EN40" s="112">
        <f>IF(EM40="",100000,EM40)</f>
        <v>43344</v>
      </c>
      <c r="EO40" s="112">
        <f>IF(TYPE(EN40)=16,100000,EN40)</f>
        <v>43344</v>
      </c>
      <c r="EP40" s="112">
        <f>EJ39</f>
        <v>43344</v>
      </c>
      <c r="EQ40" s="273">
        <f>EP40</f>
        <v>43344</v>
      </c>
      <c r="ER40" s="302">
        <f ca="1">SMALL($EQ$40:$EQ$87,EL40)</f>
        <v>43344</v>
      </c>
      <c r="ES40">
        <v>0</v>
      </c>
      <c r="ET40">
        <v>6</v>
      </c>
      <c r="EU40">
        <f t="shared" ref="EU40:EU45" ca="1" si="18" xml:space="preserve">    IF($EP$2  &gt;2,VLOOKUP(ER40,$ES$10:$EX$17,6),                   IF((YEAR(ER40)=2013),DR40,    VLOOKUP(ER40,$DP$40:$DR$46,3)))</f>
        <v>0</v>
      </c>
      <c r="EV40" s="260">
        <f ca="1">IF($EJ$39&lt;=ER40,$ER40,"")</f>
        <v>43344</v>
      </c>
      <c r="EW40" t="str">
        <f ca="1">FR40</f>
        <v>0-2 anni</v>
      </c>
      <c r="EX40">
        <f t="shared" ref="EX40:EX87" ca="1" si="19">VLOOKUP(EU40,$ES$40:$ET$46,2)</f>
        <v>6</v>
      </c>
      <c r="EY40" s="238">
        <f t="shared" ref="EY40:EY87" ca="1" si="20">VLOOKUP(EV40,INDIRECT($EY$38),13)-EX40</f>
        <v>213</v>
      </c>
      <c r="EZ40" t="str">
        <f ca="1">IF(LEN(EW40)&gt;4,EW40,VLOOKUP(EW40,$EO$10:$EP$16,2,FALSE))</f>
        <v>0-2 anni</v>
      </c>
      <c r="FB40">
        <f ca="1">INDIRECT(CONCATENATE($FA$35,FB$35,$EY40))</f>
        <v>15390.94</v>
      </c>
      <c r="FC40">
        <f t="shared" ref="FC40:FF55" ca="1" si="21">INDIRECT(CONCATENATE($FA$35,FC$35,$EY40))</f>
        <v>0</v>
      </c>
      <c r="FD40">
        <f t="shared" ca="1" si="21"/>
        <v>0</v>
      </c>
      <c r="FE40">
        <f ca="1">INDIRECT(CONCATENATE($FA$35,FE$35,$EY40))</f>
        <v>6459.63</v>
      </c>
      <c r="FF40">
        <f t="shared" ca="1" si="21"/>
        <v>0</v>
      </c>
      <c r="FL40">
        <f ca="1">IF($FL$38="SI",INDIRECT(CONCATENATE($FA$35,"AE",$EY40)),"")</f>
        <v>0</v>
      </c>
      <c r="FM40">
        <f t="shared" ref="FM40:FM87" ca="1" si="22">INDIRECT(CONCATENATE($FA$35,FM$35,$EY40))</f>
        <v>2094</v>
      </c>
      <c r="FP40">
        <v>0</v>
      </c>
      <c r="FQ40" t="s">
        <v>174</v>
      </c>
      <c r="FR40" s="254" t="str">
        <f ca="1" xml:space="preserve"> IF($EP$2&gt;2,EU40,            VLOOKUP(EX40,$FP$40:$FQ$46,2))</f>
        <v>0-2 anni</v>
      </c>
      <c r="FS40">
        <v>40</v>
      </c>
      <c r="FT40" t="str">
        <f t="shared" ref="FT40:GD55" ca="1" si="23">IF(INDIRECT(  CONCATENATE(FT$34,$FS40 ))&lt;&gt;"",     CONCATENATE(FT$34,$FS40 ),"")</f>
        <v>ez40</v>
      </c>
      <c r="FU40" t="str">
        <f t="shared" ca="1" si="23"/>
        <v>EV40</v>
      </c>
      <c r="FV40" t="str">
        <f t="shared" ca="1" si="23"/>
        <v>FB40</v>
      </c>
      <c r="FW40" t="str">
        <f t="shared" ca="1" si="23"/>
        <v>FC40</v>
      </c>
      <c r="FX40" t="str">
        <f t="shared" ca="1" si="23"/>
        <v>FD40</v>
      </c>
      <c r="FY40" t="str">
        <f t="shared" ca="1" si="23"/>
        <v>FE40</v>
      </c>
      <c r="FZ40" t="str">
        <f t="shared" ca="1" si="23"/>
        <v>FF40</v>
      </c>
      <c r="GA40" t="str">
        <f t="shared" ca="1" si="23"/>
        <v>FL40</v>
      </c>
      <c r="GB40" t="str">
        <f t="shared" ca="1" si="23"/>
        <v>FM40</v>
      </c>
      <c r="GC40" t="str">
        <f ca="1">IF(AND(GF40&gt;=$GG$31,OR(GG40="0-2 anni",GG40="3-8 anni")),"0-8 anni","")</f>
        <v>0-8 anni</v>
      </c>
      <c r="GD40" t="str">
        <f t="shared" ca="1" si="23"/>
        <v/>
      </c>
      <c r="GE40">
        <v>1</v>
      </c>
      <c r="GF40" s="112">
        <f ca="1" xml:space="preserve">   IF(FU40="","",          INDIRECT(CONCATENATE(FU40)))</f>
        <v>43344</v>
      </c>
      <c r="GG40" s="238" t="str">
        <f ca="1" xml:space="preserve">   IF(FT40="","",          INDIRECT(CONCATENATE(FT40)                                ))</f>
        <v>0-2 anni</v>
      </c>
      <c r="GH40" s="262">
        <f t="shared" ref="GH40:GN40" ca="1" si="24" xml:space="preserve">   IF(FV40="",0,          INDIRECT(CONCATENATE(FV40)))</f>
        <v>15390.94</v>
      </c>
      <c r="GI40" s="262">
        <f t="shared" ca="1" si="24"/>
        <v>0</v>
      </c>
      <c r="GJ40" s="262">
        <f t="shared" ca="1" si="24"/>
        <v>0</v>
      </c>
      <c r="GK40" s="262">
        <f t="shared" ca="1" si="24"/>
        <v>6459.63</v>
      </c>
      <c r="GL40" s="262">
        <f t="shared" ca="1" si="24"/>
        <v>0</v>
      </c>
      <c r="GM40" s="262">
        <f t="shared" ca="1" si="24"/>
        <v>0</v>
      </c>
      <c r="GN40" s="262">
        <f t="shared" ca="1" si="24"/>
        <v>2094</v>
      </c>
      <c r="GO40" s="262">
        <f ca="1">IF($HF$31&lt;=GF40,$HD$31,0)</f>
        <v>0</v>
      </c>
      <c r="GP40" s="262">
        <f ca="1" xml:space="preserve">   IF(GD40="",0,          INDIRECT(CONCATENATE(GD40)))</f>
        <v>0</v>
      </c>
      <c r="GQ40" s="262">
        <f ca="1">GH40+GK40</f>
        <v>21850.57</v>
      </c>
      <c r="GR40" s="262">
        <f ca="1">IF(GF40&gt;=$GR$36,GH40+GK40,"")</f>
        <v>21850.57</v>
      </c>
      <c r="GS40" s="262">
        <f t="shared" ref="GS40:GS84" ca="1" si="25">GH40+GI40+GJ40+GK40+GL40+GM40+GN40+GO40+GP40</f>
        <v>23944.57</v>
      </c>
      <c r="GT40" s="253" t="str">
        <f>IF($GE40&gt;0,CONCATENATE(GE$37," ",GE40,"
",),"")</f>
        <v xml:space="preserve">ARTICOLO 1
</v>
      </c>
      <c r="GU40" t="str">
        <f ca="1">IF($GE40&gt;0,CONCATENATE(GF$37," ",                DAY(  GF40),"/",MONTH(GF40),"/",YEAR(GF40),"  "                                    ),"")</f>
        <v xml:space="preserve">con decorrenza dalla data: 1/9/2018  </v>
      </c>
      <c r="GV40" t="str">
        <f ca="1">IF($GE40&gt;0,    IF(GC40&lt;&gt;"",CONCATENATE(  GG$37," ",GC40,"
"),    CONCATENATE(GG$37," ",GG40,"
")),"")</f>
        <v xml:space="preserve"> Fascia: 0-8 anni
</v>
      </c>
      <c r="GW40" t="str">
        <f ca="1">IF(AND($GE40&gt;0,GR40=""),CONCATENATE(GH$37," ",GH40,"
"),IF(AND($GE40&gt;0,GR40&lt;&gt;""),CONCATENATE(GH$37," ",GR40,"
"),"
"))</f>
        <v xml:space="preserve"> Stipendio annuo lordo euro: 21850,57
</v>
      </c>
      <c r="GX40" t="str">
        <f t="shared" ref="GX40:HE55" ca="1" si="26">IF(GI40&gt;0,CONCATENATE(GI$37," ",GI40,"
"),"")</f>
        <v/>
      </c>
      <c r="GY40" t="str">
        <f t="shared" ca="1" si="26"/>
        <v/>
      </c>
      <c r="GZ40" t="str">
        <f t="shared" ref="GZ40:GZ45" ca="1" si="27">IF(AND(GK40&gt;0,GR40=""                ),CONCATENATE(GK$37," ",GK40,"
"),"")</f>
        <v/>
      </c>
      <c r="HA40" t="str">
        <f t="shared" ca="1" si="26"/>
        <v/>
      </c>
      <c r="HB40" t="str">
        <f t="shared" ca="1" si="26"/>
        <v/>
      </c>
      <c r="HC40" t="str">
        <f t="shared" ca="1" si="26"/>
        <v xml:space="preserve">rpd/cia - annuo lordo euro: 2094
</v>
      </c>
      <c r="HD40" t="str">
        <f ca="1">IF(AND($HF$31&lt;=GF40,     $HF$31&lt;&gt;0                ),CONCATENATE($HD$37," euro:",$HD$31,"
"),"")</f>
        <v/>
      </c>
      <c r="HE40" s="254" t="str">
        <f t="shared" ca="1" si="26"/>
        <v/>
      </c>
      <c r="HF40" s="254" t="str">
        <f ca="1">IF(GS40&gt;0,CONCATENATE(GS$37," ",GS40,"
"),"")</f>
        <v xml:space="preserve">TOTALE ANNUO LORDO EURO 23944,57
</v>
      </c>
      <c r="HL40" t="str">
        <f ca="1">VLOOKUP(GF40,$HL$5:$HM$14,2)</f>
        <v xml:space="preserve"> C.C.N.L. DEL 04/08/2011 -</v>
      </c>
      <c r="HM40" s="263" t="str">
        <f ca="1">CONCATENATE(GT40,GU40,HL40,GV40,GW40,GX40,GY40,GZ40,HA40,HB40,HC40,HD40,HE40,HF40,"
","Altri assegni previsti per legge")</f>
        <v>ARTICOLO 1
con decorrenza dalla data: 1/9/2018   C.C.N.L. DEL 04/08/2011 - Fascia: 0-8 anni
 Stipendio annuo lordo euro: 21850,57
rpd/cia - annuo lordo euro: 2094
TOTALE ANNUO LORDO EURO 23944,57
Altri assegni previsti per legge</v>
      </c>
      <c r="HN40" s="263"/>
      <c r="HO40" s="272" t="str">
        <f t="shared" ref="HO40:HO96" ca="1" si="28">IF(HP40=0,CONCATENATE(HQ40,HR40,HS40),IF($GE40&gt;0,HM40,IF(HP39=0,"",$HS$39)))</f>
        <v>ARTICOLO 1
con decorrenza dalla data: 1/9/2018   C.C.N.L. DEL 04/08/2011 - Fascia: 0-8 anni
 Stipendio annuo lordo euro: 21850,57
rpd/cia - annuo lordo euro: 2094
TOTALE ANNUO LORDO EURO 23944,57
Altri assegni previsti per legge</v>
      </c>
      <c r="HP40">
        <f>$GE40</f>
        <v>1</v>
      </c>
      <c r="HQ40" s="263" t="s">
        <v>196</v>
      </c>
      <c r="HX40" s="253" t="s">
        <v>187</v>
      </c>
      <c r="HY40" s="112" t="str">
        <f>CONCATENATE(DAY(E40),"/",MONTH(E40),"/",YEAR(E40))</f>
        <v>9/12/1998</v>
      </c>
      <c r="HZ40" t="s">
        <v>188</v>
      </c>
      <c r="IA40" s="112" t="str">
        <f>CONCATENATE(DAY(F40),"/",MONTH(F40),"/",YEAR(F40))</f>
        <v>30/4/1999</v>
      </c>
      <c r="IB40" t="s">
        <v>189</v>
      </c>
      <c r="IC40">
        <f>S40</f>
        <v>0</v>
      </c>
      <c r="ID40" t="s">
        <v>192</v>
      </c>
      <c r="IE40">
        <f>T40</f>
        <v>4</v>
      </c>
      <c r="IF40" t="s">
        <v>191</v>
      </c>
      <c r="IG40" s="254">
        <f>U40</f>
        <v>23</v>
      </c>
      <c r="IL40" t="str">
        <f>IF(E40&gt;0,CONCATENATE(HX40,HY40,HZ40,IA40,IB40,IC40,ID40,IE40,IF40,IG40,"
"),"")</f>
        <v xml:space="preserve">DAL: 9/12/1998 - AL:30/4/1999 - ANNI:0 - MESI:4 -GIORNI:23
</v>
      </c>
      <c r="IW40" s="263" t="str">
        <f>CONCATENATE(IL40,IL41,IL42,IL43,IL44,IL45,IL46,IL47,IL48,IL49,IL50,IL51,IL52,IL53,IL54,I545,IL56,IL57,IL58,IL59,)</f>
        <v xml:space="preserve">DAL: 9/12/1998 - AL:30/4/1999 - ANNI:0 - MESI:4 -GIORNI:23
DAL: 1/5/1999 - AL:10/6/1999 - ANNI:0 - MESI:1 -GIORNI:11
DAL: 14/6/1999 - AL:14/6/1999 - ANNI:0 - MESI:0 -GIORNI:1
DAL: 29/9/1999 - AL:30/9/1999 - ANNI:0 - MESI:0 -GIORNI:2
DAL: 1/10/1999 - AL:21/10/1999 - ANNI:0 - MESI:0 -GIORNI:21
DAL: 23/10/1999 - AL:31/8/2000 - ANNI:0 - MESI:10 -GIORNI:14
DAL: 8/9/2000 - AL:29/1/2001 - ANNI:0 - MESI:4 -GIORNI:24
DAL: 30/1/2001 - AL:30/6/2001 - ANNI:0 - MESI:5 -GIORNI:2
DAL: 1/9/2001 - AL:30/6/2002 - ANNI:0 - MESI:10 -GIORNI:3
DAL: 3/10/2001 - AL:5/11/2001 - ANNI:0 - MESI:0 -GIORNI:0
DAL: 3/10/2001 - AL:5/11/2001 - ANNI:0 - MESI:0 -GIORNI:0
DAL: 6/11/2001 - AL:30/6/2002 - ANNI:0 - MESI:0 -GIORNI:0
DAL: 7/11/2001 - AL:26/1/2002 - ANNI:0 - MESI:0 -GIORNI:0
DAL: 28/1/2002 - AL:30/6/2002 - ANNI:0 - MESI:0 -GIORNI:0
DAL: 8/10/2002 - AL:22/10/2002 - ANNI:0 - MESI:0 -GIORNI:15
DAL: 8/1/2003 - AL:11/2/2003 - ANNI:0 - MESI:1 -GIORNI:5
DAL: 23/1/2003 - AL:11/6/2003 - ANNI:0 - MESI:4 -GIORNI:0
DAL: 21/2/2003 - AL:14/6/2003 - ANNI:0 - MESI:0 -GIORNI:3
DAL: 1/9/2003 - AL:30/6/2004 - ANNI:0 - MESI:10 -GIORNI:4
</v>
      </c>
      <c r="IZ40" s="271" t="e">
        <f>CONCATENATE(IW40,IW60,IW80,IW100,IW120,IW140,IW160,IW180,IW200,IX38)</f>
        <v>#VALUE!</v>
      </c>
      <c r="JE40" t="str">
        <f ca="1">IF(JF40&lt;&gt;"","fascia 9/14 anni in data:","")</f>
        <v>fascia 9/14 anni in data:</v>
      </c>
      <c r="JF40" s="112" t="str">
        <f ca="1">IF(DP42="","",CONCATENATE(DAY(DP42),"/",MONTH(DP42),"/",YEAR(DP42),"
"))</f>
        <v xml:space="preserve">1/9/2027
</v>
      </c>
      <c r="JR40" s="269" t="s">
        <v>200</v>
      </c>
      <c r="KD40">
        <v>0</v>
      </c>
      <c r="KE40" s="260">
        <f ca="1">IF($EV$38&gt;JZ40,$EV40,"")</f>
        <v>43344</v>
      </c>
      <c r="KF40" t="str">
        <f>LA40</f>
        <v>0-2 anni</v>
      </c>
      <c r="KG40">
        <f t="shared" ref="KG40:KG87" si="29">VLOOKUP(KD40,$ES$40:$ET$46,2)</f>
        <v>6</v>
      </c>
      <c r="KH40" s="238">
        <f t="shared" ref="KH40:KH87" ca="1" si="30">VLOOKUP(KE40,INDIRECT($EY$38),13)-KG40</f>
        <v>213</v>
      </c>
      <c r="KK40">
        <f ca="1">INDIRECT(CONCATENATE($FA$35,KK$35,$EY40))</f>
        <v>15390.94</v>
      </c>
      <c r="KL40">
        <f t="shared" ref="KL40:KO55" ca="1" si="31">INDIRECT(CONCATENATE($FA$35,KL$35,$EY40))</f>
        <v>0</v>
      </c>
      <c r="KM40">
        <f t="shared" ca="1" si="31"/>
        <v>0</v>
      </c>
      <c r="KN40">
        <f t="shared" ca="1" si="31"/>
        <v>6459.63</v>
      </c>
      <c r="KO40">
        <f t="shared" ca="1" si="31"/>
        <v>0</v>
      </c>
      <c r="KV40">
        <f t="shared" ref="KV40:KV87" ca="1" si="32">INDIRECT(CONCATENATE($FA$35,KV$35,$EY40))</f>
        <v>2094</v>
      </c>
      <c r="KY40">
        <v>0</v>
      </c>
      <c r="KZ40" t="s">
        <v>174</v>
      </c>
      <c r="LA40" s="254" t="str">
        <f>VLOOKUP(KG40,$FP$40:$FQ$46,2)</f>
        <v>0-2 anni</v>
      </c>
      <c r="LB40" s="112">
        <f t="shared" ref="LB40:LB86" si="33">E40</f>
        <v>36138</v>
      </c>
      <c r="LC40" s="112">
        <f t="shared" ref="LC40:LC86" si="34">F40</f>
        <v>36280</v>
      </c>
      <c r="LD40">
        <f ca="1">KK40+KL40+KM40+KN40+KO40+KQ40+KR40+KS40+KT40+KU40+KV40+KW40+KX40</f>
        <v>23944.57</v>
      </c>
      <c r="LE40" s="262">
        <f ca="1">GS40</f>
        <v>23944.57</v>
      </c>
      <c r="LF40">
        <f>R40</f>
        <v>143</v>
      </c>
      <c r="LG40">
        <f ca="1">IF(LC40&lt;$LG$38,"prescritte",ROUND((LE40-LD40)/365*LF40,2))</f>
        <v>0</v>
      </c>
    </row>
    <row r="41" spans="1:323" ht="68.45" customHeight="1" thickBot="1" x14ac:dyDescent="0.3">
      <c r="A41" s="112">
        <f>VLOOKUP(B41-1,$DW$40:$DW$72,1)</f>
        <v>36100</v>
      </c>
      <c r="B41" s="112">
        <f t="shared" ref="B41:B89" si="35">VLOOKUP(F41,$DW$40:$DW$72,1)</f>
        <v>36312</v>
      </c>
      <c r="C41" t="str">
        <f>IFERROR(VLOOKUP(COUNTBLANK($E$2:E41),A:B,2,FALSE),"")</f>
        <v/>
      </c>
      <c r="E41" s="240">
        <f>Foglio3!F21</f>
        <v>36281</v>
      </c>
      <c r="F41" s="240">
        <f>Foglio3!G21</f>
        <v>36321</v>
      </c>
      <c r="G41" s="244"/>
      <c r="H41" s="245">
        <f t="shared" ref="H41:I104" si="36">AH41</f>
        <v>36281</v>
      </c>
      <c r="I41" s="245">
        <f t="shared" si="15"/>
        <v>36321</v>
      </c>
      <c r="J41" s="244"/>
      <c r="K41" s="244"/>
      <c r="Q41">
        <f t="shared" si="16"/>
        <v>41</v>
      </c>
      <c r="R41">
        <f>IF(Q41&lt;0,0,Q41-BV41*AG41)</f>
        <v>41</v>
      </c>
      <c r="S41">
        <f t="shared" ref="S41:S104" si="37">INT(R41/365)</f>
        <v>0</v>
      </c>
      <c r="T41">
        <f>INT( (R41-(S41*365))/30)</f>
        <v>1</v>
      </c>
      <c r="U41">
        <f>R41- ((S41*365)+T41*30)</f>
        <v>11</v>
      </c>
      <c r="W41">
        <f>W40+S41</f>
        <v>0</v>
      </c>
      <c r="X41">
        <f>X40+T41</f>
        <v>5</v>
      </c>
      <c r="Y41">
        <f>U40+U41</f>
        <v>34</v>
      </c>
      <c r="AA41" s="112">
        <f>IF(AND(YEAR(E41)=$CG$38,YEAR(F41)&gt;$CG$38),"01/01/2014",E41)</f>
        <v>36281</v>
      </c>
      <c r="AB41" s="112">
        <f>IF(YEAR(F41)=$CG$38,"31/12/12"*1,F41)</f>
        <v>36321</v>
      </c>
      <c r="AG41">
        <f t="shared" ref="AG41:AG104" si="38">IF(AI41&lt;AH41,0,1)</f>
        <v>1</v>
      </c>
      <c r="AH41" s="112">
        <f t="shared" ref="AH41:AI104" si="39">AA41*1</f>
        <v>36281</v>
      </c>
      <c r="AI41" s="112">
        <f t="shared" si="39"/>
        <v>36321</v>
      </c>
      <c r="AJ41">
        <f t="shared" ref="AJ41:AJ70" si="40">IF(AH41=0,0,1)</f>
        <v>1</v>
      </c>
      <c r="AK41">
        <f>IF(AND(AH41&lt;=AI40,AI41&lt;=AI40),1,0)*AJ41</f>
        <v>0</v>
      </c>
      <c r="AL41">
        <f>IF(AND(AH41&lt;=AI40,AI41&gt;AI40),1,0)*AJ41</f>
        <v>0</v>
      </c>
      <c r="AN41">
        <f>(AI41-AH41+1)*AK41</f>
        <v>0</v>
      </c>
      <c r="AO41">
        <f>(AI40-AH41+1)*AL41</f>
        <v>0</v>
      </c>
      <c r="AP41">
        <f>AN41+AO41</f>
        <v>0</v>
      </c>
      <c r="AV41" t="s">
        <v>113</v>
      </c>
      <c r="BV41">
        <f>MAX(BX41:CB41)</f>
        <v>0</v>
      </c>
      <c r="BX41">
        <f>AP41</f>
        <v>0</v>
      </c>
      <c r="BY41">
        <f>AX41</f>
        <v>0</v>
      </c>
      <c r="BZ41">
        <f>BF41</f>
        <v>0</v>
      </c>
      <c r="CA41">
        <f>BM41</f>
        <v>0</v>
      </c>
      <c r="CB41">
        <f>BT41</f>
        <v>0</v>
      </c>
      <c r="CG41">
        <f t="shared" ref="CG41:CH75" si="41">YEAR(E41)</f>
        <v>1999</v>
      </c>
      <c r="CH41">
        <f t="shared" si="41"/>
        <v>1999</v>
      </c>
      <c r="CJ41">
        <f t="shared" ref="CJ41:CJ75" si="42">IF(AND(CG41=$CG$38,CH41=$CG$38),F41-E41+1,0)</f>
        <v>0</v>
      </c>
      <c r="CK41">
        <f t="shared" si="17"/>
        <v>0</v>
      </c>
      <c r="CL41">
        <f t="shared" ref="CL41:CL75" si="43">IF(AND(CG41=$CG$38,CH41&lt;&gt;$CG$38),$CI$38-E41+1,0)</f>
        <v>0</v>
      </c>
      <c r="CN41">
        <f t="shared" ref="CN41:CN75" si="44">CJ41+CK41+CL41</f>
        <v>0</v>
      </c>
      <c r="CQ41">
        <f>365*15</f>
        <v>5475</v>
      </c>
      <c r="CS41">
        <f t="shared" ref="CS41:CS71" si="45">R41</f>
        <v>41</v>
      </c>
      <c r="CT41" s="246">
        <f xml:space="preserve">  IF(E41&lt;&gt;"",           CS41+CT40,0)</f>
        <v>184</v>
      </c>
      <c r="CV41" s="112">
        <f t="shared" ref="CV41:CV71" si="46">I41</f>
        <v>36321</v>
      </c>
      <c r="CX41" s="112">
        <f t="shared" ref="CX41:CX104" si="47">IF(                    AND( CT41&gt;=$CQ$39,CT40&lt;=$CQ$39   ),CV41-(CT41-$CQ$39),100000)</f>
        <v>100000</v>
      </c>
      <c r="CY41" s="270">
        <f>IF(                    AND( CT41&gt;=$CQ$40,CT40&lt;=$CQ$40   ),CV41-(CT41-$CQ$40),100000)</f>
        <v>100000</v>
      </c>
      <c r="CZ41" s="112">
        <f>IF(                    AND( CT41&gt;=$CQ$41,CT40&lt;=$CQ$41   ),CV41-(CT41-$CQ$41),100000)</f>
        <v>100000</v>
      </c>
      <c r="DA41" s="112">
        <f>IF(                    AND( CT41&gt;=$CQ$42,CT40&lt;=$CQ$42   ),CV41-(CT41-$CQ$42),100000)</f>
        <v>100000</v>
      </c>
      <c r="DB41" s="112">
        <f>IF(                    AND( CT41&gt;=$CQ$43,CT40&lt;=$CQ$43  ),CV41-(CT41-$CQ$43),100000)</f>
        <v>100000</v>
      </c>
      <c r="DC41" s="112">
        <f>IF(                    AND( CT41&gt;=$CQ$43,CT40&lt;=$CQ$43   ),CV41-(CT41-$CQ$43),100000)</f>
        <v>100000</v>
      </c>
      <c r="DE41" s="247">
        <v>3</v>
      </c>
      <c r="DG41" s="249">
        <f ca="1">VLOOKUP(DE41,ti!$A$38:$B$45,2)</f>
        <v>44440</v>
      </c>
      <c r="DH41" s="270">
        <f t="shared" ref="DH41:DH46" ca="1" si="48">IF(AND(DG41=DG40,DG41=$DG$51),"",DG41)</f>
        <v>44440</v>
      </c>
      <c r="DJ41" s="238">
        <f ca="1">VLOOKUP(DG41,Foglio1!$AB$31:$AN$284,13)</f>
        <v>240</v>
      </c>
      <c r="DL41">
        <f t="shared" ref="DL41:DL46" ca="1" si="49">VLOOKUP(DE41,INDIRECT($DL$36),6)</f>
        <v>15593.689999999999</v>
      </c>
      <c r="DN41" s="250" t="str">
        <f t="shared" ref="DN41:DN46" ca="1" si="50">IF(OR(DO41="",DP41&gt;$DT$38    ),"",VLOOKUP(DR41,$DT$40:$DU$46,2))</f>
        <v>3-8 anni</v>
      </c>
      <c r="DO41">
        <f ca="1">ti!G39</f>
        <v>3</v>
      </c>
      <c r="DP41" s="305">
        <f ca="1">ti!H39</f>
        <v>44440</v>
      </c>
      <c r="DQ41">
        <f t="shared" ref="DQ41:DQ45" ca="1" si="51">IF(DG41&lt;100000,DL40,0)</f>
        <v>15593.689999999999</v>
      </c>
      <c r="DR41">
        <f t="shared" ref="DR41:DR46" ca="1" si="52">DO41</f>
        <v>3</v>
      </c>
      <c r="DT41">
        <v>3</v>
      </c>
      <c r="DU41" s="112" t="s">
        <v>169</v>
      </c>
      <c r="DV41" s="112"/>
      <c r="DW41" s="277">
        <v>35370</v>
      </c>
      <c r="DX41" s="276"/>
      <c r="DY41" s="276"/>
      <c r="DZ41" s="277">
        <v>39264</v>
      </c>
      <c r="EB41" s="240" t="str">
        <f t="shared" ref="EB41:EB45" ca="1" si="53">ES11</f>
        <v/>
      </c>
      <c r="EC41" s="240" t="str">
        <f t="shared" ref="EC41:EC45" ca="1" si="54">ER11</f>
        <v/>
      </c>
      <c r="ED41" t="str">
        <f t="shared" ref="ED41:ED47" ca="1" si="55">IF(EB41&lt;&gt;"",CONCATENATE(DAY(EB41),"/",MONTH(EB41),"/",YEAR(EB41)),"")</f>
        <v/>
      </c>
      <c r="EF41" s="260">
        <f ca="1">IF(OR(DP41="", DP41=EF40  ),100000,DP41)</f>
        <v>44440</v>
      </c>
      <c r="EK41" s="254"/>
      <c r="EL41">
        <v>2</v>
      </c>
      <c r="EM41" s="260">
        <f ca="1">IF(SMALL($EF$40:$EF$110,EL41)&gt;=$EJ$39,SMALL($EF$40:$EF$110,EL41),"")</f>
        <v>43344</v>
      </c>
      <c r="EN41" s="112">
        <f t="shared" ref="EN41:EN87" ca="1" si="56">IF(EM41="",100000,EM41)</f>
        <v>43344</v>
      </c>
      <c r="EO41" s="112">
        <f t="shared" ref="EO41:EO87" ca="1" si="57">IF(TYPE(EN41)=16,100000,EN41)</f>
        <v>43344</v>
      </c>
      <c r="EP41" s="112">
        <f ca="1">SMALL($EO$40:$EO$87,EL41)</f>
        <v>43344</v>
      </c>
      <c r="EQ41" s="273">
        <f ca="1">IF(   EP41=EP40,100000,                  SMALL($EO$40:$EO$87,EL41))</f>
        <v>100000</v>
      </c>
      <c r="ER41" s="302">
        <f t="shared" ref="ER41:ER87" ca="1" si="58">SMALL($EQ$40:$EQ$87,EL41)</f>
        <v>43466</v>
      </c>
      <c r="ES41">
        <v>3</v>
      </c>
      <c r="ET41">
        <v>5</v>
      </c>
      <c r="EU41">
        <f t="shared" ca="1" si="18"/>
        <v>0</v>
      </c>
      <c r="EV41" s="260">
        <f ca="1">IF($EJ$39&lt;=ER41,$ER41,"")</f>
        <v>43466</v>
      </c>
      <c r="EW41" t="str">
        <f t="shared" ref="EW41:EW87" ca="1" si="59">FR41</f>
        <v>0-2 anni</v>
      </c>
      <c r="EX41">
        <f t="shared" ca="1" si="19"/>
        <v>6</v>
      </c>
      <c r="EY41" s="238">
        <f t="shared" ca="1" si="20"/>
        <v>220</v>
      </c>
      <c r="EZ41" t="str">
        <f t="shared" ref="EZ41:EZ87" ca="1" si="60">IF(LEN(EW41)&gt;4,EW41,VLOOKUP(EW41,$EO$10:$EP$16,2,FALSE))</f>
        <v>0-2 anni</v>
      </c>
      <c r="FB41">
        <f t="shared" ref="FB41:FB87" ca="1" si="61">INDIRECT(CONCATENATE($FA$35,FB$35,EY41))</f>
        <v>15593.689999999999</v>
      </c>
      <c r="FC41">
        <f t="shared" ca="1" si="21"/>
        <v>0</v>
      </c>
      <c r="FD41">
        <f t="shared" ca="1" si="21"/>
        <v>0</v>
      </c>
      <c r="FE41">
        <f t="shared" ca="1" si="21"/>
        <v>6459.63</v>
      </c>
      <c r="FF41">
        <f t="shared" ca="1" si="21"/>
        <v>0</v>
      </c>
      <c r="FL41">
        <f t="shared" ref="FL41:FL87" ca="1" si="62">IF($FL$38="SI",INDIRECT(CONCATENATE($FA$35,"AE",$EY41)),"")</f>
        <v>0</v>
      </c>
      <c r="FM41">
        <f t="shared" ca="1" si="22"/>
        <v>2094</v>
      </c>
      <c r="FP41">
        <v>1</v>
      </c>
      <c r="FQ41" t="s">
        <v>173</v>
      </c>
      <c r="FR41" s="254" t="str">
        <f ca="1" xml:space="preserve"> IF($EP$2&gt;2,EU41,         VLOOKUP(EX41,$FP$40:$FQ$46,2))</f>
        <v>0-2 anni</v>
      </c>
      <c r="FS41">
        <f>FS40+1</f>
        <v>41</v>
      </c>
      <c r="FT41" t="str">
        <f t="shared" ca="1" si="23"/>
        <v>ez41</v>
      </c>
      <c r="FU41" t="str">
        <f t="shared" ca="1" si="23"/>
        <v>EV41</v>
      </c>
      <c r="FV41" t="str">
        <f t="shared" ca="1" si="23"/>
        <v>FB41</v>
      </c>
      <c r="FW41" t="str">
        <f t="shared" ca="1" si="23"/>
        <v>FC41</v>
      </c>
      <c r="FX41" t="str">
        <f t="shared" ca="1" si="23"/>
        <v>FD41</v>
      </c>
      <c r="FY41" t="str">
        <f t="shared" ca="1" si="23"/>
        <v>FE41</v>
      </c>
      <c r="FZ41" t="str">
        <f t="shared" ca="1" si="23"/>
        <v>FF41</v>
      </c>
      <c r="GA41" t="str">
        <f t="shared" ca="1" si="23"/>
        <v>FL41</v>
      </c>
      <c r="GB41" t="str">
        <f t="shared" ca="1" si="23"/>
        <v>FM41</v>
      </c>
      <c r="GC41" t="str">
        <f t="shared" ref="GC41:GC87" ca="1" si="63">IF(AND(GF41&gt;=$GG$31,OR(GG41="0-2 anni",GG41="3-8 anni")),"0-8 anni","")</f>
        <v>0-8 anni</v>
      </c>
      <c r="GD41" t="str">
        <f t="shared" ca="1" si="23"/>
        <v/>
      </c>
      <c r="GE41">
        <f ca="1">IF(OR(GF41=100000,GF41&gt;=$GE$36),0,GE40+1)</f>
        <v>2</v>
      </c>
      <c r="GF41" s="112">
        <f t="shared" ref="GF41:GF84" ca="1" si="64" xml:space="preserve">   IF(FU41="","",          INDIRECT(CONCATENATE(FU41)))</f>
        <v>43466</v>
      </c>
      <c r="GG41" s="238" t="str">
        <f t="shared" ref="GG41:GG84" ca="1" si="65" xml:space="preserve">   IF(FT41="","",          INDIRECT(CONCATENATE(FT41)))</f>
        <v>0-2 anni</v>
      </c>
      <c r="GH41" s="262">
        <f t="shared" ref="GH41:GH84" ca="1" si="66" xml:space="preserve">   IF(FV41="",0,          INDIRECT(CONCATENATE(FV41)))</f>
        <v>15593.689999999999</v>
      </c>
      <c r="GI41" s="262">
        <f t="shared" ref="GI41:GI84" ca="1" si="67" xml:space="preserve">   IF(FW41="",0,          INDIRECT(CONCATENATE(FW41)))</f>
        <v>0</v>
      </c>
      <c r="GJ41" s="262">
        <f t="shared" ref="GJ41:GJ84" ca="1" si="68" xml:space="preserve">   IF(FX41="",0,          INDIRECT(CONCATENATE(FX41)))</f>
        <v>0</v>
      </c>
      <c r="GK41" s="262">
        <f t="shared" ref="GK41:GK84" ca="1" si="69" xml:space="preserve">   IF(FY41="",0,          INDIRECT(CONCATENATE(FY41)))</f>
        <v>6459.63</v>
      </c>
      <c r="GL41" s="262">
        <f t="shared" ref="GL41:GL84" ca="1" si="70" xml:space="preserve">   IF(FZ41="",0,          INDIRECT(CONCATENATE(FZ41)))</f>
        <v>0</v>
      </c>
      <c r="GM41" s="262">
        <f t="shared" ref="GM41:GM84" ca="1" si="71" xml:space="preserve">   IF(GA41="",0,          INDIRECT(CONCATENATE(GA41)))</f>
        <v>0</v>
      </c>
      <c r="GN41" s="262">
        <f t="shared" ref="GN41:GN84" ca="1" si="72" xml:space="preserve">   IF(GB41="",0,          INDIRECT(CONCATENATE(GB41)))</f>
        <v>2094</v>
      </c>
      <c r="GO41" s="262">
        <f t="shared" ref="GO41:GO84" ca="1" si="73">IF($HF$31&lt;=GF41,$HD$31,0)</f>
        <v>0</v>
      </c>
      <c r="GP41" s="262">
        <f t="shared" ref="GP41:GP84" ca="1" si="74" xml:space="preserve">   IF(GD41="",0,          INDIRECT(CONCATENATE(GD41)))</f>
        <v>0</v>
      </c>
      <c r="GQ41" s="262">
        <f t="shared" ref="GQ41:GQ48" ca="1" si="75">GH41+GK41</f>
        <v>22053.32</v>
      </c>
      <c r="GR41" s="262">
        <f t="shared" ref="GR41:GR87" ca="1" si="76">IF(GF41&gt;=$GR$36,GH41+GK41,"")</f>
        <v>22053.32</v>
      </c>
      <c r="GS41" s="262">
        <f t="shared" ca="1" si="25"/>
        <v>24147.32</v>
      </c>
      <c r="GT41" s="253" t="str">
        <f t="shared" ref="GT41:GT74" ca="1" si="77">IF($GE41&gt;0,CONCATENATE(GE$37," ",GE41,"
",),"")</f>
        <v xml:space="preserve">ARTICOLO 2
</v>
      </c>
      <c r="GU41" t="str">
        <f t="shared" ref="GU41:GU74" ca="1" si="78">IF($GE41&gt;0,CONCATENATE(GF$37," ",                DAY(  GF41),"/",MONTH(GF41),"/",YEAR(GF41),"  "                                    ),"")</f>
        <v xml:space="preserve">con decorrenza dalla data: 1/1/2019  </v>
      </c>
      <c r="GV41" t="str">
        <f t="shared" ref="GV41:GV84" ca="1" si="79">IF($GE41&gt;0,    IF(GC41&lt;&gt;"",CONCATENATE(  GG$37," ",GC41,"
"),    CONCATENATE(GG$37," ",GG41,"
")),"")</f>
        <v xml:space="preserve"> Fascia: 0-8 anni
</v>
      </c>
      <c r="GW41" t="str">
        <f ca="1">IF(AND($GE41&gt;0,GR41=""),CONCATENATE(GH$37," ",GH41,"
"),IF(AND($GE41&gt;0,GR41&lt;&gt;""),CONCATENATE(GH$37," ",GR41,"
"),"
"))</f>
        <v xml:space="preserve"> Stipendio annuo lordo euro: 22053,32
</v>
      </c>
      <c r="GX41" t="str">
        <f t="shared" ca="1" si="26"/>
        <v/>
      </c>
      <c r="GY41" t="str">
        <f t="shared" ca="1" si="26"/>
        <v/>
      </c>
      <c r="GZ41" t="str">
        <f t="shared" ca="1" si="27"/>
        <v/>
      </c>
      <c r="HA41" t="str">
        <f t="shared" ca="1" si="26"/>
        <v/>
      </c>
      <c r="HB41" t="str">
        <f t="shared" ca="1" si="26"/>
        <v/>
      </c>
      <c r="HC41" t="str">
        <f t="shared" ca="1" si="26"/>
        <v xml:space="preserve">rpd/cia - annuo lordo euro: 2094
</v>
      </c>
      <c r="HD41" t="str">
        <f t="shared" ref="HD41:HD84" ca="1" si="80">IF(AND($HF$31&lt;=GF41,     $HF$31&lt;&gt;0                ),CONCATENATE($HD$37," euro:",$HD$31,"
"),"")</f>
        <v/>
      </c>
      <c r="HE41" s="254" t="str">
        <f t="shared" ca="1" si="26"/>
        <v/>
      </c>
      <c r="HF41" s="254" t="str">
        <f t="shared" ref="HF41:HF83" ca="1" si="81">IF(GS41&gt;0,CONCATENATE(GS$37," ",GS41,"
"),"")</f>
        <v xml:space="preserve">TOTALE ANNUO LORDO EURO 24147,32
</v>
      </c>
      <c r="HL41" t="str">
        <f t="shared" ref="HL41:HL82" ca="1" si="82">VLOOKUP(GF41,$HL$5:$HM$14,2)</f>
        <v xml:space="preserve"> C.C.N.L. DEL 06/12/2022 -</v>
      </c>
      <c r="HM41" s="263" t="str">
        <f t="shared" ref="HM41:HM82" ca="1" si="83">CONCATENATE(GT41,GU41,HL41,GV41,GW41,GX41,GY41,GZ41,HA41,HB41,HC41,HD41,HE41,HF41,"
","Altri assegni previsti per legge")</f>
        <v>ARTICOLO 2
con decorrenza dalla data: 1/1/2019   C.C.N.L. DEL 06/12/2022 - Fascia: 0-8 anni
 Stipendio annuo lordo euro: 22053,32
rpd/cia - annuo lordo euro: 2094
TOTALE ANNUO LORDO EURO 24147,32
Altri assegni previsti per legge</v>
      </c>
      <c r="HN41" s="263"/>
      <c r="HO41" s="272" t="str">
        <f t="shared" ca="1" si="28"/>
        <v>ARTICOLO 2
con decorrenza dalla data: 1/1/2019   C.C.N.L. DEL 06/12/2022 - Fascia: 0-8 anni
 Stipendio annuo lordo euro: 22053,32
rpd/cia - annuo lordo euro: 2094
TOTALE ANNUO LORDO EURO 24147,32
Altri assegni previsti per legge</v>
      </c>
      <c r="HP41">
        <f t="shared" ref="HP41:HP96" ca="1" si="84">$GE41</f>
        <v>2</v>
      </c>
      <c r="HQ41" t="str">
        <f t="shared" ref="HQ41:HQ96" ca="1" si="85">IF(AND(HP41=0,HP40&gt;0),$JR$38,"")</f>
        <v/>
      </c>
      <c r="HR41" t="str">
        <f t="shared" ref="HR41:HR57" ca="1" si="86">IF(AND(HP41=0,HP40=0,HP39&gt;0),$JR$39,"")</f>
        <v/>
      </c>
      <c r="HS41" t="str">
        <f t="shared" ref="HS41:HS57" ca="1" si="87">IF(AND(HP41=0,HP40=0,HP39=0,HP38&gt;0),$JR$40,"")</f>
        <v/>
      </c>
      <c r="HX41" s="253" t="s">
        <v>187</v>
      </c>
      <c r="HY41" s="112" t="str">
        <f t="shared" ref="HY41:HY104" si="88">CONCATENATE(DAY(E41),"/",MONTH(E41),"/",YEAR(E41))</f>
        <v>1/5/1999</v>
      </c>
      <c r="HZ41" t="s">
        <v>188</v>
      </c>
      <c r="IA41" s="112" t="str">
        <f t="shared" ref="IA41:IA104" si="89">CONCATENATE(DAY(F41),"/",MONTH(F41),"/",YEAR(F41))</f>
        <v>10/6/1999</v>
      </c>
      <c r="IB41" t="s">
        <v>189</v>
      </c>
      <c r="IC41">
        <f t="shared" ref="IC41:IC104" si="90">S41</f>
        <v>0</v>
      </c>
      <c r="ID41" t="s">
        <v>192</v>
      </c>
      <c r="IE41">
        <f t="shared" ref="IE41:IE104" si="91">T41</f>
        <v>1</v>
      </c>
      <c r="IF41" t="s">
        <v>191</v>
      </c>
      <c r="IG41" s="254">
        <f t="shared" ref="IG41:IG104" si="92">U41</f>
        <v>11</v>
      </c>
      <c r="IL41" t="str">
        <f t="shared" ref="IL41:IL104" si="93">IF(E41&gt;0,CONCATENATE(HX41,HY41,HZ41,IA41,IB41,IC41,ID41,IE41,IF41,IG41,"
"),"")</f>
        <v xml:space="preserve">DAL: 1/5/1999 - AL:10/6/1999 - ANNI:0 - MESI:1 -GIORNI:11
</v>
      </c>
      <c r="JE41" t="str">
        <f ca="1">IF(JF41&lt;&gt;"","fascia 15/20 anni in data:","")</f>
        <v>fascia 15/20 anni in data:</v>
      </c>
      <c r="JF41" s="112" t="str">
        <f ca="1">IF(DP43="","",CONCATENATE(DAY(DP43),"/",MONTH(DP43),"/",YEAR(DP43),"
"))</f>
        <v xml:space="preserve">1/9/2033
</v>
      </c>
      <c r="JR41" s="269"/>
      <c r="KD41">
        <v>0</v>
      </c>
      <c r="KE41" s="260">
        <f t="shared" ref="KE41:KE87" ca="1" si="94">IF($EV$38&gt;JZ41,$EV41,"")</f>
        <v>43466</v>
      </c>
      <c r="KF41" t="str">
        <f t="shared" ref="KF41:KF85" si="95">LA41</f>
        <v>0-2 anni</v>
      </c>
      <c r="KG41">
        <f t="shared" si="29"/>
        <v>6</v>
      </c>
      <c r="KH41" s="238">
        <f t="shared" ca="1" si="30"/>
        <v>220</v>
      </c>
      <c r="KK41">
        <f t="shared" ref="KK41:KK87" ca="1" si="96">INDIRECT(CONCATENATE($FA$35,KK$35,KH41))</f>
        <v>15593.689999999999</v>
      </c>
      <c r="KL41">
        <f t="shared" ca="1" si="31"/>
        <v>0</v>
      </c>
      <c r="KM41">
        <f t="shared" ca="1" si="31"/>
        <v>0</v>
      </c>
      <c r="KN41">
        <f t="shared" ca="1" si="31"/>
        <v>6459.63</v>
      </c>
      <c r="KO41">
        <f t="shared" ca="1" si="31"/>
        <v>0</v>
      </c>
      <c r="KV41">
        <f t="shared" ca="1" si="32"/>
        <v>2094</v>
      </c>
      <c r="KY41">
        <v>1</v>
      </c>
      <c r="KZ41" t="s">
        <v>173</v>
      </c>
      <c r="LA41" s="254" t="str">
        <f t="shared" ref="LA41:LA87" si="97">VLOOKUP(KG41,$FP$40:$FQ$46,2)</f>
        <v>0-2 anni</v>
      </c>
      <c r="LB41" s="112">
        <f t="shared" si="33"/>
        <v>36281</v>
      </c>
      <c r="LC41" s="112">
        <f t="shared" si="34"/>
        <v>36321</v>
      </c>
      <c r="LD41">
        <f t="shared" ref="LD41:LD87" ca="1" si="98">KK41+KL41+KM41+KN41+KO41+KQ41+KR41+KS41+KT41+KU41+KV41+KW41+KX41</f>
        <v>24147.32</v>
      </c>
      <c r="LE41" s="262">
        <f t="shared" ref="LE41:LE87" ca="1" si="99">GS41</f>
        <v>24147.32</v>
      </c>
      <c r="LF41">
        <f t="shared" ref="LF41:LF87" si="100">R41</f>
        <v>41</v>
      </c>
      <c r="LG41">
        <f t="shared" ref="LG41:LG87" ca="1" si="101">IF(LC41&lt;$LG$38,"prescritte",ROUND((LE41-LD41)/365*LF41,2))</f>
        <v>0</v>
      </c>
    </row>
    <row r="42" spans="1:323" ht="117" customHeight="1" thickBot="1" x14ac:dyDescent="0.3">
      <c r="A42" s="112">
        <f>VLOOKUP(B42-1,$DW$40:$DW$72,1)</f>
        <v>36100</v>
      </c>
      <c r="B42" s="112">
        <f t="shared" si="35"/>
        <v>36312</v>
      </c>
      <c r="C42" t="str">
        <f>IFERROR(VLOOKUP(COUNTBLANK($E$2:E42),A:B,2,FALSE),"")</f>
        <v/>
      </c>
      <c r="E42" s="240">
        <f>Foglio3!F22</f>
        <v>36325</v>
      </c>
      <c r="F42" s="240">
        <f>Foglio3!G22</f>
        <v>36325</v>
      </c>
      <c r="G42" s="244"/>
      <c r="H42" s="245">
        <f t="shared" si="36"/>
        <v>36325</v>
      </c>
      <c r="I42" s="245">
        <f t="shared" si="15"/>
        <v>36325</v>
      </c>
      <c r="J42" s="244"/>
      <c r="K42" s="244"/>
      <c r="Q42">
        <f t="shared" si="16"/>
        <v>1</v>
      </c>
      <c r="R42">
        <f>IF(Q42&lt;0,0,Q42-BV42*AG42)</f>
        <v>1</v>
      </c>
      <c r="S42">
        <f t="shared" si="37"/>
        <v>0</v>
      </c>
      <c r="T42">
        <f>INT( (R42-(S42*365))/30)</f>
        <v>0</v>
      </c>
      <c r="U42">
        <f>R42- ((S42*365)+T42*30)</f>
        <v>1</v>
      </c>
      <c r="W42">
        <f>S42+W41</f>
        <v>0</v>
      </c>
      <c r="X42">
        <f>T42+X41</f>
        <v>5</v>
      </c>
      <c r="Y42">
        <f>U42+Y41</f>
        <v>35</v>
      </c>
      <c r="AA42" s="112">
        <f t="shared" ref="AA42:AA105" si="102">IF(AND(YEAR(E42)=$CG$38,YEAR(F42)&gt;$CG$38),"01/01/2014",E42)</f>
        <v>36325</v>
      </c>
      <c r="AB42" s="112">
        <f t="shared" ref="AB42:AB105" si="103">IF(YEAR(F42)=$CG$38,"31/12/12"*1,F42)</f>
        <v>36325</v>
      </c>
      <c r="AG42">
        <f t="shared" si="38"/>
        <v>1</v>
      </c>
      <c r="AH42" s="112">
        <f t="shared" si="39"/>
        <v>36325</v>
      </c>
      <c r="AI42" s="112">
        <f t="shared" si="39"/>
        <v>36325</v>
      </c>
      <c r="AJ42">
        <f t="shared" si="40"/>
        <v>1</v>
      </c>
      <c r="AK42">
        <f t="shared" ref="AK42:AK70" si="104">IF(AND(AH42&lt;=AI41,AI42&lt;=AI41),1,0)*AJ42</f>
        <v>0</v>
      </c>
      <c r="AL42">
        <f>IF(AND(AH42&lt;=AI41,AI42&gt;AI41),1,0)*AJ42</f>
        <v>0</v>
      </c>
      <c r="AN42">
        <f>(AI42-AH42+1)*AK42</f>
        <v>0</v>
      </c>
      <c r="AO42">
        <f>(AI41-AH42+1)*AL42</f>
        <v>0</v>
      </c>
      <c r="AP42">
        <f t="shared" ref="AP42:AP70" si="105">AN42+AO42</f>
        <v>0</v>
      </c>
      <c r="AS42">
        <f>IF(AND(AH42&lt;=AI40,AI42&lt;=AI40),1,0)*AJ42</f>
        <v>0</v>
      </c>
      <c r="AT42">
        <f>IF(AND(AH42&lt;=AI40,AI42&gt;AI40),1,0)*AJ42</f>
        <v>0</v>
      </c>
      <c r="AV42">
        <f>(AI42-AH42+1)*AS42</f>
        <v>0</v>
      </c>
      <c r="AW42">
        <f>(AI40-AH42+1)*AT42</f>
        <v>0</v>
      </c>
      <c r="AX42">
        <f t="shared" ref="AX42:AX71" si="106">AV42+AW42</f>
        <v>0</v>
      </c>
      <c r="BD42" t="s">
        <v>113</v>
      </c>
      <c r="BV42">
        <f t="shared" ref="BV42:BV71" si="107">MAX(BX42:CB42)</f>
        <v>0</v>
      </c>
      <c r="BX42">
        <f t="shared" ref="BX42:BX71" si="108">AP42</f>
        <v>0</v>
      </c>
      <c r="BY42">
        <f t="shared" ref="BY42:BY71" si="109">AX42</f>
        <v>0</v>
      </c>
      <c r="BZ42">
        <f t="shared" ref="BZ42:BZ71" si="110">BF42</f>
        <v>0</v>
      </c>
      <c r="CA42">
        <f t="shared" ref="CA42:CA71" si="111">BM42</f>
        <v>0</v>
      </c>
      <c r="CB42">
        <f t="shared" ref="CB42:CB71" si="112">BT42</f>
        <v>0</v>
      </c>
      <c r="CG42">
        <f t="shared" si="41"/>
        <v>1999</v>
      </c>
      <c r="CH42">
        <f t="shared" si="41"/>
        <v>1999</v>
      </c>
      <c r="CJ42">
        <f t="shared" si="42"/>
        <v>0</v>
      </c>
      <c r="CK42">
        <f t="shared" si="17"/>
        <v>0</v>
      </c>
      <c r="CL42">
        <f t="shared" si="43"/>
        <v>0</v>
      </c>
      <c r="CN42">
        <f t="shared" si="44"/>
        <v>0</v>
      </c>
      <c r="CQ42">
        <f>365*21</f>
        <v>7665</v>
      </c>
      <c r="CS42">
        <f t="shared" si="45"/>
        <v>1</v>
      </c>
      <c r="CT42" s="246">
        <f t="shared" ref="CT42:CT71" si="113" xml:space="preserve">  IF(E42&lt;&gt;"",           CS42+CT41,0)</f>
        <v>185</v>
      </c>
      <c r="CV42" s="112">
        <f t="shared" si="46"/>
        <v>36325</v>
      </c>
      <c r="CX42" s="112">
        <f t="shared" si="47"/>
        <v>100000</v>
      </c>
      <c r="CY42" s="270">
        <f t="shared" ref="CY42:CY105" si="114">IF(                    AND( CT42&gt;=$CQ$40,CT41&lt;=$CQ$40   ),CV42-(CT42-$CQ$40),100000)</f>
        <v>100000</v>
      </c>
      <c r="CZ42" s="112">
        <f t="shared" ref="CZ42:CZ105" si="115">IF(                    AND( CT42&gt;=$CQ$41,CT41&lt;=$CQ$41   ),CV42-(CT42-$CQ$41),100000)</f>
        <v>100000</v>
      </c>
      <c r="DA42" s="112">
        <f t="shared" ref="DA42:DA105" si="116">IF(                    AND( CT42&gt;=$CQ$42,CT41&lt;=$CQ$42   ),CV42-(CT42-$CQ$42),100000)</f>
        <v>100000</v>
      </c>
      <c r="DB42" s="112">
        <f t="shared" ref="DB42:DB105" si="117">IF(                    AND( CT42&gt;=$CQ$43,CT41&lt;=$CQ$43  ),CV42-(CT42-$CQ$43),100000)</f>
        <v>100000</v>
      </c>
      <c r="DC42" s="112">
        <f t="shared" ref="DC42:DC105" si="118">IF(                    AND( CT42&gt;=$CQ$43,CT41&lt;=$CQ$43   ),CV42-(CT42-$CQ$43),100000)</f>
        <v>100000</v>
      </c>
      <c r="DE42" s="247">
        <v>9</v>
      </c>
      <c r="DG42" s="249">
        <f ca="1">VLOOKUP(DE42,ti!$A$38:$B$45,2)</f>
        <v>46631</v>
      </c>
      <c r="DH42" s="270">
        <f t="shared" ca="1" si="48"/>
        <v>46631</v>
      </c>
      <c r="DJ42" s="238">
        <f ca="1">VLOOKUP(DG42,Foglio1!$AB$31:$AN$284,13)</f>
        <v>261</v>
      </c>
      <c r="DL42">
        <f t="shared" ca="1" si="49"/>
        <v>18820.98</v>
      </c>
      <c r="DN42" s="250" t="str">
        <f t="shared" ca="1" si="50"/>
        <v/>
      </c>
      <c r="DO42">
        <f ca="1">ti!G40</f>
        <v>9</v>
      </c>
      <c r="DP42" s="305">
        <f ca="1">ti!H40</f>
        <v>46631</v>
      </c>
      <c r="DQ42">
        <f t="shared" ca="1" si="51"/>
        <v>15593.689999999999</v>
      </c>
      <c r="DR42">
        <f t="shared" ca="1" si="52"/>
        <v>9</v>
      </c>
      <c r="DT42">
        <v>9</v>
      </c>
      <c r="DU42" s="112" t="s">
        <v>170</v>
      </c>
      <c r="DV42" s="112"/>
      <c r="DW42" s="277">
        <v>35612</v>
      </c>
      <c r="DX42" s="276"/>
      <c r="DY42" s="276" t="s">
        <v>216</v>
      </c>
      <c r="DZ42" s="277">
        <f t="shared" ref="DZ42:DZ47" ca="1" si="119">EF41</f>
        <v>44440</v>
      </c>
      <c r="EB42" s="240" t="str">
        <f t="shared" ca="1" si="53"/>
        <v/>
      </c>
      <c r="EC42" s="240" t="str">
        <f t="shared" ca="1" si="54"/>
        <v/>
      </c>
      <c r="ED42" t="str">
        <f t="shared" ca="1" si="55"/>
        <v/>
      </c>
      <c r="EF42" s="260">
        <f t="shared" ref="EF42:EF47" ca="1" si="120">IF(OR(DP42="", DP42=EF41  ),100000,DP42)</f>
        <v>46631</v>
      </c>
      <c r="EK42" s="254"/>
      <c r="EL42">
        <v>3</v>
      </c>
      <c r="EM42" s="260">
        <f t="shared" ref="EM42:EM87" ca="1" si="121">IF(SMALL($EF$40:$EF$110,EL42)&gt;=$EJ$39,SMALL($EF$40:$EF$110,EL42),"")</f>
        <v>43466</v>
      </c>
      <c r="EN42" s="112">
        <f t="shared" ca="1" si="56"/>
        <v>43466</v>
      </c>
      <c r="EO42" s="112">
        <f t="shared" ca="1" si="57"/>
        <v>43466</v>
      </c>
      <c r="EP42" s="112">
        <f t="shared" ref="EP42:EP87" ca="1" si="122">SMALL($EO$40:$EO$87,EL42)</f>
        <v>43466</v>
      </c>
      <c r="EQ42" s="273">
        <f ca="1" xml:space="preserve">   IF(EP42=EP43,100000,        SMALL($EO$40:$EO$87,EL42))</f>
        <v>43466</v>
      </c>
      <c r="ER42" s="302">
        <f t="shared" ca="1" si="58"/>
        <v>43831</v>
      </c>
      <c r="ES42">
        <v>9</v>
      </c>
      <c r="ET42">
        <v>4</v>
      </c>
      <c r="EU42">
        <f t="shared" ca="1" si="18"/>
        <v>0</v>
      </c>
      <c r="EV42" s="260">
        <f t="shared" ref="EV42:EV87" ca="1" si="123">IF($EJ$39&lt;=ER42,$ER42,"")</f>
        <v>43831</v>
      </c>
      <c r="EW42" t="str">
        <f t="shared" ca="1" si="59"/>
        <v>0-2 anni</v>
      </c>
      <c r="EX42">
        <f t="shared" ca="1" si="19"/>
        <v>6</v>
      </c>
      <c r="EY42" s="238">
        <f t="shared" ca="1" si="20"/>
        <v>227</v>
      </c>
      <c r="EZ42" t="str">
        <f t="shared" ca="1" si="60"/>
        <v>0-2 anni</v>
      </c>
      <c r="FB42">
        <f t="shared" ca="1" si="61"/>
        <v>15764.09</v>
      </c>
      <c r="FC42">
        <f t="shared" ca="1" si="21"/>
        <v>0</v>
      </c>
      <c r="FD42">
        <f t="shared" ca="1" si="21"/>
        <v>0</v>
      </c>
      <c r="FE42">
        <f t="shared" ca="1" si="21"/>
        <v>6459.63</v>
      </c>
      <c r="FF42">
        <f t="shared" ca="1" si="21"/>
        <v>0</v>
      </c>
      <c r="FL42">
        <f t="shared" ca="1" si="62"/>
        <v>0</v>
      </c>
      <c r="FM42">
        <f t="shared" ca="1" si="22"/>
        <v>2094</v>
      </c>
      <c r="FP42">
        <v>2</v>
      </c>
      <c r="FQ42" t="s">
        <v>172</v>
      </c>
      <c r="FR42" s="254" t="str">
        <f t="shared" ref="FR42:FR87" ca="1" si="124" xml:space="preserve"> IF($EP$2&gt;2,EU42,         VLOOKUP(EX42,$FP$40:$FQ$46,2))</f>
        <v>0-2 anni</v>
      </c>
      <c r="FS42">
        <f t="shared" ref="FS42:FS87" si="125">FS41+1</f>
        <v>42</v>
      </c>
      <c r="FT42" t="str">
        <f t="shared" ca="1" si="23"/>
        <v>ez42</v>
      </c>
      <c r="FU42" t="str">
        <f t="shared" ca="1" si="23"/>
        <v>EV42</v>
      </c>
      <c r="FV42" t="str">
        <f t="shared" ca="1" si="23"/>
        <v>FB42</v>
      </c>
      <c r="FW42" t="str">
        <f t="shared" ca="1" si="23"/>
        <v>FC42</v>
      </c>
      <c r="FX42" t="str">
        <f t="shared" ca="1" si="23"/>
        <v>FD42</v>
      </c>
      <c r="FY42" t="str">
        <f t="shared" ca="1" si="23"/>
        <v>FE42</v>
      </c>
      <c r="FZ42" t="str">
        <f t="shared" ca="1" si="23"/>
        <v>FF42</v>
      </c>
      <c r="GA42" t="str">
        <f t="shared" ca="1" si="23"/>
        <v>FL42</v>
      </c>
      <c r="GB42" t="str">
        <f t="shared" ca="1" si="23"/>
        <v>FM42</v>
      </c>
      <c r="GC42" t="str">
        <f t="shared" ca="1" si="63"/>
        <v>0-8 anni</v>
      </c>
      <c r="GD42" t="str">
        <f t="shared" ca="1" si="23"/>
        <v/>
      </c>
      <c r="GE42">
        <f t="shared" ref="GE42:GE87" ca="1" si="126">IF(OR(GF42=100000,GF42&gt;=$GE$36),0,GE41+1)</f>
        <v>3</v>
      </c>
      <c r="GF42" s="112">
        <f t="shared" ca="1" si="64"/>
        <v>43831</v>
      </c>
      <c r="GG42" s="238" t="str">
        <f t="shared" ca="1" si="65"/>
        <v>0-2 anni</v>
      </c>
      <c r="GH42" s="262">
        <f t="shared" ca="1" si="66"/>
        <v>15764.09</v>
      </c>
      <c r="GI42" s="262">
        <f t="shared" ca="1" si="67"/>
        <v>0</v>
      </c>
      <c r="GJ42" s="262">
        <f t="shared" ca="1" si="68"/>
        <v>0</v>
      </c>
      <c r="GK42" s="262">
        <f t="shared" ca="1" si="69"/>
        <v>6459.63</v>
      </c>
      <c r="GL42" s="262">
        <f t="shared" ca="1" si="70"/>
        <v>0</v>
      </c>
      <c r="GM42" s="262">
        <f t="shared" ca="1" si="71"/>
        <v>0</v>
      </c>
      <c r="GN42" s="262">
        <f t="shared" ca="1" si="72"/>
        <v>2094</v>
      </c>
      <c r="GO42" s="262">
        <f t="shared" ca="1" si="73"/>
        <v>0</v>
      </c>
      <c r="GP42" s="262">
        <f t="shared" ca="1" si="74"/>
        <v>0</v>
      </c>
      <c r="GQ42" s="262">
        <f t="shared" ca="1" si="75"/>
        <v>22223.72</v>
      </c>
      <c r="GR42" s="262">
        <f t="shared" ca="1" si="76"/>
        <v>22223.72</v>
      </c>
      <c r="GS42" s="262">
        <f t="shared" ca="1" si="25"/>
        <v>24317.72</v>
      </c>
      <c r="GT42" s="253" t="str">
        <f t="shared" ca="1" si="77"/>
        <v xml:space="preserve">ARTICOLO 3
</v>
      </c>
      <c r="GU42" t="str">
        <f t="shared" ca="1" si="78"/>
        <v xml:space="preserve">con decorrenza dalla data: 1/1/2020  </v>
      </c>
      <c r="GV42" t="str">
        <f t="shared" ca="1" si="79"/>
        <v xml:space="preserve"> Fascia: 0-8 anni
</v>
      </c>
      <c r="GW42" t="str">
        <f ca="1">IF(AND($GE42&gt;0,GR42=""),CONCATENATE(GH$37," ",GH42,"
"),IF(AND($GE42&gt;0,GR42&lt;&gt;""),CONCATENATE(GH$37," ",GR42,"
"),"
"))</f>
        <v xml:space="preserve"> Stipendio annuo lordo euro: 22223,72
</v>
      </c>
      <c r="GX42" t="str">
        <f t="shared" ca="1" si="26"/>
        <v/>
      </c>
      <c r="GY42" t="str">
        <f t="shared" ca="1" si="26"/>
        <v/>
      </c>
      <c r="GZ42" t="str">
        <f t="shared" ca="1" si="27"/>
        <v/>
      </c>
      <c r="HA42" t="str">
        <f t="shared" ca="1" si="26"/>
        <v/>
      </c>
      <c r="HB42" t="str">
        <f t="shared" ca="1" si="26"/>
        <v/>
      </c>
      <c r="HC42" t="str">
        <f t="shared" ca="1" si="26"/>
        <v xml:space="preserve">rpd/cia - annuo lordo euro: 2094
</v>
      </c>
      <c r="HD42" t="str">
        <f t="shared" ca="1" si="80"/>
        <v/>
      </c>
      <c r="HE42" s="254" t="str">
        <f t="shared" ca="1" si="26"/>
        <v/>
      </c>
      <c r="HF42" s="254" t="str">
        <f t="shared" ca="1" si="81"/>
        <v xml:space="preserve">TOTALE ANNUO LORDO EURO 24317,72
</v>
      </c>
      <c r="HL42" t="str">
        <f t="shared" ca="1" si="82"/>
        <v xml:space="preserve"> C.C.N.L. DEL 06/12/2022 -</v>
      </c>
      <c r="HM42" s="263" t="str">
        <f t="shared" ca="1" si="83"/>
        <v>ARTICOLO 3
con decorrenza dalla data: 1/1/2020   C.C.N.L. DEL 06/12/2022 - Fascia: 0-8 anni
 Stipendio annuo lordo euro: 22223,72
rpd/cia - annuo lordo euro: 2094
TOTALE ANNUO LORDO EURO 24317,72
Altri assegni previsti per legge</v>
      </c>
      <c r="HN42" s="263"/>
      <c r="HO42" s="272" t="str">
        <f t="shared" ca="1" si="28"/>
        <v>ARTICOLO 3
con decorrenza dalla data: 1/1/2020   C.C.N.L. DEL 06/12/2022 - Fascia: 0-8 anni
 Stipendio annuo lordo euro: 22223,72
rpd/cia - annuo lordo euro: 2094
TOTALE ANNUO LORDO EURO 24317,72
Altri assegni previsti per legge</v>
      </c>
      <c r="HP42">
        <f t="shared" ca="1" si="84"/>
        <v>3</v>
      </c>
      <c r="HQ42" t="str">
        <f t="shared" ca="1" si="85"/>
        <v/>
      </c>
      <c r="HR42" t="str">
        <f t="shared" ca="1" si="86"/>
        <v/>
      </c>
      <c r="HS42" t="str">
        <f t="shared" ca="1" si="87"/>
        <v/>
      </c>
      <c r="HX42" s="253" t="s">
        <v>187</v>
      </c>
      <c r="HY42" s="112" t="str">
        <f t="shared" si="88"/>
        <v>14/6/1999</v>
      </c>
      <c r="HZ42" t="s">
        <v>188</v>
      </c>
      <c r="IA42" s="112" t="str">
        <f t="shared" si="89"/>
        <v>14/6/1999</v>
      </c>
      <c r="IB42" t="s">
        <v>189</v>
      </c>
      <c r="IC42">
        <f t="shared" si="90"/>
        <v>0</v>
      </c>
      <c r="ID42" t="s">
        <v>192</v>
      </c>
      <c r="IE42">
        <f t="shared" si="91"/>
        <v>0</v>
      </c>
      <c r="IF42" t="s">
        <v>191</v>
      </c>
      <c r="IG42" s="254">
        <f t="shared" si="92"/>
        <v>1</v>
      </c>
      <c r="IL42" t="str">
        <f t="shared" si="93"/>
        <v xml:space="preserve">DAL: 14/6/1999 - AL:14/6/1999 - ANNI:0 - MESI:0 -GIORNI:1
</v>
      </c>
      <c r="JE42" t="str">
        <f ca="1">IF(JF42&lt;&gt;"","fascia 21/27 anni in data:","")</f>
        <v>fascia 21/27 anni in data:</v>
      </c>
      <c r="JF42" s="112" t="str">
        <f t="shared" ref="JF42:JF48" ca="1" si="127">IF(DP44="","",CONCATENATE(DAY(DP44),"/",MONTH(DP44),"/",YEAR(DP44),"
"))</f>
        <v xml:space="preserve">1/9/2039
</v>
      </c>
      <c r="JR42" s="269"/>
      <c r="KD42">
        <v>0</v>
      </c>
      <c r="KE42" s="260">
        <f t="shared" ca="1" si="94"/>
        <v>43831</v>
      </c>
      <c r="KF42" t="str">
        <f t="shared" si="95"/>
        <v>0-2 anni</v>
      </c>
      <c r="KG42">
        <f t="shared" si="29"/>
        <v>6</v>
      </c>
      <c r="KH42" s="238">
        <f t="shared" ca="1" si="30"/>
        <v>227</v>
      </c>
      <c r="KK42">
        <f t="shared" ca="1" si="96"/>
        <v>15764.09</v>
      </c>
      <c r="KL42">
        <f t="shared" ca="1" si="31"/>
        <v>0</v>
      </c>
      <c r="KM42">
        <f t="shared" ca="1" si="31"/>
        <v>0</v>
      </c>
      <c r="KN42">
        <f t="shared" ca="1" si="31"/>
        <v>6459.63</v>
      </c>
      <c r="KO42">
        <f t="shared" ca="1" si="31"/>
        <v>0</v>
      </c>
      <c r="KV42">
        <f t="shared" ca="1" si="32"/>
        <v>2094</v>
      </c>
      <c r="KY42">
        <v>2</v>
      </c>
      <c r="KZ42" t="s">
        <v>172</v>
      </c>
      <c r="LA42" s="254" t="str">
        <f t="shared" si="97"/>
        <v>0-2 anni</v>
      </c>
      <c r="LB42" s="112">
        <f t="shared" si="33"/>
        <v>36325</v>
      </c>
      <c r="LC42" s="112">
        <f t="shared" si="34"/>
        <v>36325</v>
      </c>
      <c r="LD42">
        <f t="shared" ca="1" si="98"/>
        <v>24317.72</v>
      </c>
      <c r="LE42" s="262">
        <f t="shared" ca="1" si="99"/>
        <v>24317.72</v>
      </c>
      <c r="LF42">
        <f t="shared" si="100"/>
        <v>1</v>
      </c>
      <c r="LG42">
        <f t="shared" ca="1" si="101"/>
        <v>0</v>
      </c>
    </row>
    <row r="43" spans="1:323" ht="207.6" customHeight="1" thickBot="1" x14ac:dyDescent="0.3">
      <c r="A43" s="112">
        <f>VLOOKUP(B43-1,$DW$40:$DW$72,1)</f>
        <v>36100</v>
      </c>
      <c r="B43" s="112">
        <f t="shared" si="35"/>
        <v>36312</v>
      </c>
      <c r="C43" t="str">
        <f>IFERROR(VLOOKUP(COUNTBLANK($E$2:E43),A:B,2,FALSE),"")</f>
        <v/>
      </c>
      <c r="E43" s="240">
        <f>Foglio3!F23</f>
        <v>36432</v>
      </c>
      <c r="F43" s="240">
        <f>Foglio3!G23</f>
        <v>36433</v>
      </c>
      <c r="G43" s="244"/>
      <c r="H43" s="245">
        <f t="shared" si="36"/>
        <v>36432</v>
      </c>
      <c r="I43" s="245">
        <f t="shared" si="15"/>
        <v>36433</v>
      </c>
      <c r="J43" s="244"/>
      <c r="K43" s="244"/>
      <c r="Q43">
        <f t="shared" si="16"/>
        <v>2</v>
      </c>
      <c r="R43">
        <f>IF(Q43&lt;0,0,Q43-BV43*AG43)</f>
        <v>2</v>
      </c>
      <c r="S43">
        <f t="shared" si="37"/>
        <v>0</v>
      </c>
      <c r="T43">
        <f t="shared" ref="T43:T106" si="128">INT( (R43-(S43*365))/30)</f>
        <v>0</v>
      </c>
      <c r="U43">
        <f t="shared" ref="U43:U106" si="129">R43- ((S43*365)+T43*30)</f>
        <v>2</v>
      </c>
      <c r="W43">
        <f t="shared" ref="W43:Y58" si="130">S43+W42</f>
        <v>0</v>
      </c>
      <c r="X43">
        <f t="shared" si="130"/>
        <v>5</v>
      </c>
      <c r="Y43">
        <f t="shared" si="130"/>
        <v>37</v>
      </c>
      <c r="AA43" s="112">
        <f t="shared" si="102"/>
        <v>36432</v>
      </c>
      <c r="AB43" s="112">
        <f t="shared" si="103"/>
        <v>36433</v>
      </c>
      <c r="AG43">
        <f t="shared" si="38"/>
        <v>1</v>
      </c>
      <c r="AH43" s="112">
        <f t="shared" si="39"/>
        <v>36432</v>
      </c>
      <c r="AI43" s="112">
        <f t="shared" si="39"/>
        <v>36433</v>
      </c>
      <c r="AJ43">
        <f t="shared" si="40"/>
        <v>1</v>
      </c>
      <c r="AK43">
        <f t="shared" si="104"/>
        <v>0</v>
      </c>
      <c r="AL43">
        <f t="shared" ref="AL43:AL70" si="131">IF(AND(AH43&lt;=AI42,AI43&gt;AI42),1,0)*AJ43</f>
        <v>0</v>
      </c>
      <c r="AN43">
        <f t="shared" ref="AN43:AN70" si="132">(AI43-AH43+1)*AK43</f>
        <v>0</v>
      </c>
      <c r="AO43">
        <f t="shared" ref="AO43:AO70" si="133">(AI42-AH43+1)*AL43</f>
        <v>0</v>
      </c>
      <c r="AP43">
        <f t="shared" si="105"/>
        <v>0</v>
      </c>
      <c r="AS43">
        <f>IF(AND(AH43&lt;=AI41,AI43&lt;=AI41),1,0)*AJ43</f>
        <v>0</v>
      </c>
      <c r="AT43">
        <f>IF(AND(AH43&lt;=AI41,AI43&gt;AI41),1,0)*AJ43</f>
        <v>0</v>
      </c>
      <c r="AV43">
        <f>(AI43-AH43+1)*AS43</f>
        <v>0</v>
      </c>
      <c r="AW43">
        <f>(AI41-AH43+1)*AT43</f>
        <v>0</v>
      </c>
      <c r="AX43">
        <f t="shared" si="106"/>
        <v>0</v>
      </c>
      <c r="BA43">
        <f t="shared" ref="BA43:BA49" si="134">IF(AND(AH43&lt;=AI40,AI43&lt;=AI40),1,0)*AJ43</f>
        <v>0</v>
      </c>
      <c r="BB43">
        <f t="shared" ref="BB43:BB49" si="135">IF(AND(AH43&lt;=AI40,AI43&gt;AI40),1,0)*AJ43</f>
        <v>0</v>
      </c>
      <c r="BD43">
        <f>(AI43-AH43+1)*BA43</f>
        <v>0</v>
      </c>
      <c r="BE43">
        <f>(AI40-AH43+1)*BB43</f>
        <v>0</v>
      </c>
      <c r="BF43">
        <f t="shared" ref="BF43:BF71" si="136">BD43+BE43</f>
        <v>0</v>
      </c>
      <c r="BK43" t="s">
        <v>113</v>
      </c>
      <c r="BV43">
        <f t="shared" si="107"/>
        <v>0</v>
      </c>
      <c r="BX43">
        <f t="shared" si="108"/>
        <v>0</v>
      </c>
      <c r="BY43">
        <f t="shared" si="109"/>
        <v>0</v>
      </c>
      <c r="BZ43">
        <f t="shared" si="110"/>
        <v>0</v>
      </c>
      <c r="CA43">
        <f t="shared" si="111"/>
        <v>0</v>
      </c>
      <c r="CB43">
        <f t="shared" si="112"/>
        <v>0</v>
      </c>
      <c r="CG43">
        <f t="shared" si="41"/>
        <v>1999</v>
      </c>
      <c r="CH43">
        <f t="shared" si="41"/>
        <v>1999</v>
      </c>
      <c r="CJ43">
        <f t="shared" si="42"/>
        <v>0</v>
      </c>
      <c r="CK43">
        <f t="shared" si="17"/>
        <v>0</v>
      </c>
      <c r="CL43">
        <f t="shared" si="43"/>
        <v>0</v>
      </c>
      <c r="CN43">
        <f t="shared" si="44"/>
        <v>0</v>
      </c>
      <c r="CQ43">
        <f>365*28</f>
        <v>10220</v>
      </c>
      <c r="CS43">
        <f t="shared" si="45"/>
        <v>2</v>
      </c>
      <c r="CT43" s="246">
        <f t="shared" si="113"/>
        <v>187</v>
      </c>
      <c r="CV43" s="112">
        <f t="shared" si="46"/>
        <v>36433</v>
      </c>
      <c r="CX43" s="112">
        <f t="shared" si="47"/>
        <v>100000</v>
      </c>
      <c r="CY43" s="270">
        <f t="shared" si="114"/>
        <v>100000</v>
      </c>
      <c r="CZ43" s="112">
        <f t="shared" si="115"/>
        <v>100000</v>
      </c>
      <c r="DA43" s="112">
        <f t="shared" si="116"/>
        <v>100000</v>
      </c>
      <c r="DB43" s="112">
        <f t="shared" si="117"/>
        <v>100000</v>
      </c>
      <c r="DC43" s="112">
        <f t="shared" si="118"/>
        <v>100000</v>
      </c>
      <c r="DE43" s="247">
        <v>15</v>
      </c>
      <c r="DG43" s="249">
        <f ca="1">VLOOKUP(DE43,ti!$A$38:$B$45,2)</f>
        <v>48823</v>
      </c>
      <c r="DH43" s="270">
        <f t="shared" ca="1" si="48"/>
        <v>48823</v>
      </c>
      <c r="DJ43" s="238">
        <f ca="1">VLOOKUP(DG43,Foglio1!$AB$31:$AN$284,13)</f>
        <v>261</v>
      </c>
      <c r="DL43">
        <f t="shared" ca="1" si="49"/>
        <v>21272.959999999999</v>
      </c>
      <c r="DN43" s="250" t="str">
        <f t="shared" ca="1" si="50"/>
        <v/>
      </c>
      <c r="DO43">
        <f ca="1">ti!G41</f>
        <v>15</v>
      </c>
      <c r="DP43" s="305">
        <f ca="1">ti!H41</f>
        <v>48823</v>
      </c>
      <c r="DQ43">
        <f t="shared" ca="1" si="51"/>
        <v>18820.98</v>
      </c>
      <c r="DR43">
        <f t="shared" ca="1" si="52"/>
        <v>15</v>
      </c>
      <c r="DT43">
        <v>15</v>
      </c>
      <c r="DU43" s="112" t="s">
        <v>171</v>
      </c>
      <c r="DV43" s="112"/>
      <c r="DW43" s="277">
        <v>36100</v>
      </c>
      <c r="DX43" s="276"/>
      <c r="DY43" s="276" t="s">
        <v>217</v>
      </c>
      <c r="DZ43" s="277">
        <f t="shared" ca="1" si="119"/>
        <v>46631</v>
      </c>
      <c r="EB43" s="240" t="str">
        <f t="shared" ca="1" si="53"/>
        <v/>
      </c>
      <c r="EC43" s="240" t="str">
        <f t="shared" ca="1" si="54"/>
        <v/>
      </c>
      <c r="ED43" t="str">
        <f t="shared" ca="1" si="55"/>
        <v/>
      </c>
      <c r="EF43" s="260">
        <f t="shared" ca="1" si="120"/>
        <v>48823</v>
      </c>
      <c r="EK43" s="254"/>
      <c r="EL43">
        <v>4</v>
      </c>
      <c r="EM43" s="260">
        <f t="shared" ca="1" si="121"/>
        <v>43831</v>
      </c>
      <c r="EN43" s="112">
        <f t="shared" ca="1" si="56"/>
        <v>43831</v>
      </c>
      <c r="EO43" s="112">
        <f t="shared" ca="1" si="57"/>
        <v>43831</v>
      </c>
      <c r="EP43" s="112">
        <f t="shared" ca="1" si="122"/>
        <v>43831</v>
      </c>
      <c r="EQ43" s="273">
        <f t="shared" ref="EQ43:EQ87" ca="1" si="137" xml:space="preserve">   IF(EP43=EP44,100000,        SMALL($EO$40:$EO$87,EL43))</f>
        <v>43831</v>
      </c>
      <c r="ER43" s="302">
        <f t="shared" ca="1" si="58"/>
        <v>44197</v>
      </c>
      <c r="ES43">
        <v>15</v>
      </c>
      <c r="ET43">
        <v>3</v>
      </c>
      <c r="EU43">
        <f t="shared" ca="1" si="18"/>
        <v>0</v>
      </c>
      <c r="EV43" s="260">
        <f t="shared" ca="1" si="123"/>
        <v>44197</v>
      </c>
      <c r="EW43" t="str">
        <f t="shared" ca="1" si="59"/>
        <v>0-2 anni</v>
      </c>
      <c r="EX43">
        <f t="shared" ca="1" si="19"/>
        <v>6</v>
      </c>
      <c r="EY43" s="238">
        <f t="shared" ca="1" si="20"/>
        <v>234</v>
      </c>
      <c r="EZ43" t="str">
        <f t="shared" ca="1" si="60"/>
        <v>0-2 anni</v>
      </c>
      <c r="FB43">
        <f t="shared" ca="1" si="61"/>
        <v>16218.89</v>
      </c>
      <c r="FC43">
        <f t="shared" ca="1" si="21"/>
        <v>0</v>
      </c>
      <c r="FD43">
        <f t="shared" ca="1" si="21"/>
        <v>0</v>
      </c>
      <c r="FE43">
        <f t="shared" ca="1" si="21"/>
        <v>6459.63</v>
      </c>
      <c r="FF43">
        <f t="shared" ca="1" si="21"/>
        <v>0</v>
      </c>
      <c r="FL43">
        <f t="shared" ca="1" si="62"/>
        <v>0</v>
      </c>
      <c r="FM43">
        <f t="shared" ca="1" si="22"/>
        <v>2094</v>
      </c>
      <c r="FP43">
        <v>3</v>
      </c>
      <c r="FQ43" t="s">
        <v>171</v>
      </c>
      <c r="FR43" s="254" t="str">
        <f t="shared" ca="1" si="124"/>
        <v>0-2 anni</v>
      </c>
      <c r="FS43">
        <f t="shared" si="125"/>
        <v>43</v>
      </c>
      <c r="FT43" t="str">
        <f t="shared" ca="1" si="23"/>
        <v>ez43</v>
      </c>
      <c r="FU43" t="str">
        <f t="shared" ca="1" si="23"/>
        <v>EV43</v>
      </c>
      <c r="FV43" t="str">
        <f t="shared" ca="1" si="23"/>
        <v>FB43</v>
      </c>
      <c r="FW43" t="str">
        <f t="shared" ca="1" si="23"/>
        <v>FC43</v>
      </c>
      <c r="FX43" t="str">
        <f t="shared" ca="1" si="23"/>
        <v>FD43</v>
      </c>
      <c r="FY43" t="str">
        <f t="shared" ca="1" si="23"/>
        <v>FE43</v>
      </c>
      <c r="FZ43" t="str">
        <f t="shared" ca="1" si="23"/>
        <v>FF43</v>
      </c>
      <c r="GA43" t="str">
        <f t="shared" ca="1" si="23"/>
        <v>FL43</v>
      </c>
      <c r="GB43" t="str">
        <f t="shared" ca="1" si="23"/>
        <v>FM43</v>
      </c>
      <c r="GC43" t="str">
        <f t="shared" ca="1" si="63"/>
        <v>0-8 anni</v>
      </c>
      <c r="GD43" t="str">
        <f t="shared" ca="1" si="23"/>
        <v/>
      </c>
      <c r="GE43">
        <f t="shared" ca="1" si="126"/>
        <v>4</v>
      </c>
      <c r="GF43" s="112">
        <f t="shared" ca="1" si="64"/>
        <v>44197</v>
      </c>
      <c r="GG43" s="238" t="str">
        <f t="shared" ca="1" si="65"/>
        <v>0-2 anni</v>
      </c>
      <c r="GH43" s="262">
        <f t="shared" ca="1" si="66"/>
        <v>16218.89</v>
      </c>
      <c r="GI43" s="262">
        <f t="shared" ca="1" si="67"/>
        <v>0</v>
      </c>
      <c r="GJ43" s="262">
        <f t="shared" ca="1" si="68"/>
        <v>0</v>
      </c>
      <c r="GK43" s="262">
        <f t="shared" ca="1" si="69"/>
        <v>6459.63</v>
      </c>
      <c r="GL43" s="262">
        <f t="shared" ca="1" si="70"/>
        <v>0</v>
      </c>
      <c r="GM43" s="262">
        <f t="shared" ca="1" si="71"/>
        <v>0</v>
      </c>
      <c r="GN43" s="262">
        <f t="shared" ca="1" si="72"/>
        <v>2094</v>
      </c>
      <c r="GO43" s="262">
        <f t="shared" ca="1" si="73"/>
        <v>0</v>
      </c>
      <c r="GP43" s="262">
        <f t="shared" ca="1" si="74"/>
        <v>0</v>
      </c>
      <c r="GQ43" s="262">
        <f t="shared" ca="1" si="75"/>
        <v>22678.52</v>
      </c>
      <c r="GR43" s="262">
        <f t="shared" ca="1" si="76"/>
        <v>22678.52</v>
      </c>
      <c r="GS43" s="262">
        <f t="shared" ca="1" si="25"/>
        <v>24772.52</v>
      </c>
      <c r="GT43" s="253" t="str">
        <f t="shared" ca="1" si="77"/>
        <v xml:space="preserve">ARTICOLO 4
</v>
      </c>
      <c r="GU43" t="str">
        <f t="shared" ca="1" si="78"/>
        <v xml:space="preserve">con decorrenza dalla data: 1/1/2021  </v>
      </c>
      <c r="GV43" t="str">
        <f t="shared" ca="1" si="79"/>
        <v xml:space="preserve"> Fascia: 0-8 anni
</v>
      </c>
      <c r="GW43" t="str">
        <f t="shared" ref="GW43:GW84" ca="1" si="138">IF(AND($GE43&gt;0,GR43=""),CONCATENATE(GH$37," ",GH43,"
"),IF(AND($GE43&gt;0,GR43&lt;&gt;""),CONCATENATE(GH$37," ",GR43,"
"),"
"))</f>
        <v xml:space="preserve"> Stipendio annuo lordo euro: 22678,52
</v>
      </c>
      <c r="GX43" t="str">
        <f t="shared" ca="1" si="26"/>
        <v/>
      </c>
      <c r="GY43" t="str">
        <f t="shared" ca="1" si="26"/>
        <v/>
      </c>
      <c r="GZ43" t="str">
        <f t="shared" ca="1" si="27"/>
        <v/>
      </c>
      <c r="HA43" t="str">
        <f t="shared" ca="1" si="26"/>
        <v/>
      </c>
      <c r="HB43" t="str">
        <f t="shared" ca="1" si="26"/>
        <v/>
      </c>
      <c r="HC43" t="str">
        <f t="shared" ca="1" si="26"/>
        <v xml:space="preserve">rpd/cia - annuo lordo euro: 2094
</v>
      </c>
      <c r="HD43" t="str">
        <f t="shared" ca="1" si="80"/>
        <v/>
      </c>
      <c r="HE43" s="254" t="str">
        <f t="shared" ca="1" si="26"/>
        <v/>
      </c>
      <c r="HF43" s="254" t="str">
        <f t="shared" ca="1" si="81"/>
        <v xml:space="preserve">TOTALE ANNUO LORDO EURO 24772,52
</v>
      </c>
      <c r="HL43" t="str">
        <f t="shared" ca="1" si="82"/>
        <v xml:space="preserve"> C.C.N.L. DEL 06/12/2022 -</v>
      </c>
      <c r="HM43" s="263" t="str">
        <f t="shared" ca="1" si="83"/>
        <v>ARTICOLO 4
con decorrenza dalla data: 1/1/2021   C.C.N.L. DEL 06/12/2022 - Fascia: 0-8 anni
 Stipendio annuo lordo euro: 22678,52
rpd/cia - annuo lordo euro: 2094
TOTALE ANNUO LORDO EURO 24772,52
Altri assegni previsti per legge</v>
      </c>
      <c r="HN43" s="263"/>
      <c r="HO43" s="272" t="str">
        <f t="shared" ca="1" si="28"/>
        <v>ARTICOLO 4
con decorrenza dalla data: 1/1/2021   C.C.N.L. DEL 06/12/2022 - Fascia: 0-8 anni
 Stipendio annuo lordo euro: 22678,52
rpd/cia - annuo lordo euro: 2094
TOTALE ANNUO LORDO EURO 24772,52
Altri assegni previsti per legge</v>
      </c>
      <c r="HP43">
        <f t="shared" ca="1" si="84"/>
        <v>4</v>
      </c>
      <c r="HQ43" t="str">
        <f t="shared" ca="1" si="85"/>
        <v/>
      </c>
      <c r="HR43" t="str">
        <f t="shared" ca="1" si="86"/>
        <v/>
      </c>
      <c r="HS43" t="str">
        <f t="shared" ca="1" si="87"/>
        <v/>
      </c>
      <c r="HX43" s="253" t="s">
        <v>187</v>
      </c>
      <c r="HY43" s="112" t="str">
        <f t="shared" si="88"/>
        <v>29/9/1999</v>
      </c>
      <c r="HZ43" t="s">
        <v>188</v>
      </c>
      <c r="IA43" s="112" t="str">
        <f t="shared" si="89"/>
        <v>30/9/1999</v>
      </c>
      <c r="IB43" t="s">
        <v>189</v>
      </c>
      <c r="IC43">
        <f t="shared" si="90"/>
        <v>0</v>
      </c>
      <c r="ID43" t="s">
        <v>192</v>
      </c>
      <c r="IE43">
        <f t="shared" si="91"/>
        <v>0</v>
      </c>
      <c r="IF43" t="s">
        <v>191</v>
      </c>
      <c r="IG43" s="254">
        <f t="shared" si="92"/>
        <v>2</v>
      </c>
      <c r="IL43" t="str">
        <f t="shared" si="93"/>
        <v xml:space="preserve">DAL: 29/9/1999 - AL:30/9/1999 - ANNI:0 - MESI:0 -GIORNI:2
</v>
      </c>
      <c r="JE43" t="str">
        <f ca="1">IF(JF43&lt;&gt;"","fascia 28/34 anni in data:","")</f>
        <v>fascia 28/34 anni in data:</v>
      </c>
      <c r="JF43" s="112" t="str">
        <f t="shared" ca="1" si="127"/>
        <v xml:space="preserve">1/9/2046
</v>
      </c>
      <c r="KD43">
        <v>0</v>
      </c>
      <c r="KE43" s="260">
        <f t="shared" ca="1" si="94"/>
        <v>44197</v>
      </c>
      <c r="KF43" t="str">
        <f t="shared" si="95"/>
        <v>0-2 anni</v>
      </c>
      <c r="KG43">
        <f t="shared" si="29"/>
        <v>6</v>
      </c>
      <c r="KH43" s="238">
        <f t="shared" ca="1" si="30"/>
        <v>234</v>
      </c>
      <c r="KK43">
        <f t="shared" ca="1" si="96"/>
        <v>16218.89</v>
      </c>
      <c r="KL43">
        <f t="shared" ca="1" si="31"/>
        <v>0</v>
      </c>
      <c r="KM43">
        <f t="shared" ca="1" si="31"/>
        <v>0</v>
      </c>
      <c r="KN43">
        <f t="shared" ca="1" si="31"/>
        <v>6459.63</v>
      </c>
      <c r="KO43">
        <f t="shared" ca="1" si="31"/>
        <v>0</v>
      </c>
      <c r="KV43">
        <f t="shared" ca="1" si="32"/>
        <v>2094</v>
      </c>
      <c r="KY43">
        <v>3</v>
      </c>
      <c r="KZ43" t="s">
        <v>171</v>
      </c>
      <c r="LA43" s="254" t="str">
        <f t="shared" si="97"/>
        <v>0-2 anni</v>
      </c>
      <c r="LB43" s="112">
        <f t="shared" si="33"/>
        <v>36432</v>
      </c>
      <c r="LC43" s="112">
        <f t="shared" si="34"/>
        <v>36433</v>
      </c>
      <c r="LD43">
        <f t="shared" ca="1" si="98"/>
        <v>24772.52</v>
      </c>
      <c r="LE43" s="262">
        <f t="shared" ca="1" si="99"/>
        <v>24772.52</v>
      </c>
      <c r="LF43">
        <f t="shared" si="100"/>
        <v>2</v>
      </c>
      <c r="LG43">
        <f t="shared" ca="1" si="101"/>
        <v>0</v>
      </c>
    </row>
    <row r="44" spans="1:323" ht="130.15" customHeight="1" thickBot="1" x14ac:dyDescent="0.3">
      <c r="A44" s="112">
        <f t="shared" ref="A44:A87" si="139">VLOOKUP(B44-1,$DW$40:$DW$72,1)</f>
        <v>36100</v>
      </c>
      <c r="B44" s="112">
        <f t="shared" si="35"/>
        <v>36312</v>
      </c>
      <c r="C44" t="str">
        <f>IFERROR(VLOOKUP(COUNTBLANK($E$2:E44),A:B,2,FALSE),"")</f>
        <v/>
      </c>
      <c r="E44" s="240">
        <f>Foglio3!F24</f>
        <v>36434</v>
      </c>
      <c r="F44" s="240">
        <f>Foglio3!G24</f>
        <v>36454</v>
      </c>
      <c r="G44" s="244"/>
      <c r="H44" s="245">
        <f t="shared" si="36"/>
        <v>36434</v>
      </c>
      <c r="I44" s="245">
        <f t="shared" si="15"/>
        <v>36454</v>
      </c>
      <c r="J44" s="244"/>
      <c r="K44" s="244"/>
      <c r="Q44">
        <f t="shared" si="16"/>
        <v>21</v>
      </c>
      <c r="R44">
        <f t="shared" ref="R44:R107" si="140">IF(Q44&lt;0,0,Q44-BV44*AG44)</f>
        <v>21</v>
      </c>
      <c r="S44">
        <f t="shared" si="37"/>
        <v>0</v>
      </c>
      <c r="T44">
        <f t="shared" si="128"/>
        <v>0</v>
      </c>
      <c r="U44">
        <f t="shared" si="129"/>
        <v>21</v>
      </c>
      <c r="W44">
        <f t="shared" si="130"/>
        <v>0</v>
      </c>
      <c r="X44">
        <f t="shared" si="130"/>
        <v>5</v>
      </c>
      <c r="Y44">
        <f t="shared" si="130"/>
        <v>58</v>
      </c>
      <c r="AA44" s="112">
        <f t="shared" si="102"/>
        <v>36434</v>
      </c>
      <c r="AB44" s="112">
        <f t="shared" si="103"/>
        <v>36454</v>
      </c>
      <c r="AG44">
        <f t="shared" si="38"/>
        <v>1</v>
      </c>
      <c r="AH44" s="112">
        <f t="shared" si="39"/>
        <v>36434</v>
      </c>
      <c r="AI44" s="112">
        <f t="shared" si="39"/>
        <v>36454</v>
      </c>
      <c r="AJ44">
        <f t="shared" si="40"/>
        <v>1</v>
      </c>
      <c r="AK44">
        <f t="shared" si="104"/>
        <v>0</v>
      </c>
      <c r="AL44">
        <f t="shared" si="131"/>
        <v>0</v>
      </c>
      <c r="AN44">
        <f t="shared" si="132"/>
        <v>0</v>
      </c>
      <c r="AO44">
        <f t="shared" si="133"/>
        <v>0</v>
      </c>
      <c r="AP44">
        <f t="shared" si="105"/>
        <v>0</v>
      </c>
      <c r="AS44">
        <f t="shared" ref="AS44:AS71" si="141">IF(AND(AH44&lt;=AI42,AI44&lt;=AI42),1,0)*AJ44</f>
        <v>0</v>
      </c>
      <c r="AT44">
        <f t="shared" ref="AT44:AT71" si="142">IF(AND(AH44&lt;=AI42,AI44&gt;AI42),1,0)*AJ44</f>
        <v>0</v>
      </c>
      <c r="AV44">
        <f t="shared" ref="AV44:AV71" si="143">(AI44-AH44+1)*AS44</f>
        <v>0</v>
      </c>
      <c r="AW44">
        <f t="shared" ref="AW44:AW71" si="144">(AI42-AH44+1)*AT44</f>
        <v>0</v>
      </c>
      <c r="AX44">
        <f t="shared" si="106"/>
        <v>0</v>
      </c>
      <c r="BA44">
        <f t="shared" si="134"/>
        <v>0</v>
      </c>
      <c r="BB44">
        <f t="shared" si="135"/>
        <v>0</v>
      </c>
      <c r="BD44">
        <f>(AI44-AH44+1)*BA44</f>
        <v>0</v>
      </c>
      <c r="BE44">
        <f>(AI41-AH44+1)*BB44</f>
        <v>0</v>
      </c>
      <c r="BF44">
        <f t="shared" si="136"/>
        <v>0</v>
      </c>
      <c r="BI44">
        <f>IF(AND(AH44&lt;=AI40,AI44&lt;=AI40),1,0)*AJ44</f>
        <v>0</v>
      </c>
      <c r="BJ44">
        <f>IF(AND(AH44&lt;=AI40,AI44&gt;AI40),1,0)*AJ44</f>
        <v>0</v>
      </c>
      <c r="BK44">
        <f>(AI44-AH44+1)*BI44</f>
        <v>0</v>
      </c>
      <c r="BL44">
        <f>(AI40-AH44+1)*BJ44</f>
        <v>0</v>
      </c>
      <c r="BM44">
        <f t="shared" ref="BM44:BM71" si="145">BK44+BL44</f>
        <v>0</v>
      </c>
      <c r="BR44" t="s">
        <v>113</v>
      </c>
      <c r="BV44">
        <f t="shared" si="107"/>
        <v>0</v>
      </c>
      <c r="BX44">
        <f t="shared" si="108"/>
        <v>0</v>
      </c>
      <c r="BY44">
        <f t="shared" si="109"/>
        <v>0</v>
      </c>
      <c r="BZ44">
        <f t="shared" si="110"/>
        <v>0</v>
      </c>
      <c r="CA44">
        <f t="shared" si="111"/>
        <v>0</v>
      </c>
      <c r="CB44">
        <f t="shared" si="112"/>
        <v>0</v>
      </c>
      <c r="CG44">
        <f t="shared" si="41"/>
        <v>1999</v>
      </c>
      <c r="CH44">
        <f t="shared" si="41"/>
        <v>1999</v>
      </c>
      <c r="CJ44">
        <f t="shared" si="42"/>
        <v>0</v>
      </c>
      <c r="CK44">
        <f t="shared" si="17"/>
        <v>0</v>
      </c>
      <c r="CL44">
        <f t="shared" si="43"/>
        <v>0</v>
      </c>
      <c r="CN44">
        <f t="shared" si="44"/>
        <v>0</v>
      </c>
      <c r="CQ44">
        <f>365*35</f>
        <v>12775</v>
      </c>
      <c r="CS44">
        <f t="shared" si="45"/>
        <v>21</v>
      </c>
      <c r="CT44" s="246">
        <f t="shared" si="113"/>
        <v>208</v>
      </c>
      <c r="CV44" s="112">
        <f t="shared" si="46"/>
        <v>36454</v>
      </c>
      <c r="CX44" s="112">
        <f t="shared" si="47"/>
        <v>100000</v>
      </c>
      <c r="CY44" s="270">
        <f t="shared" si="114"/>
        <v>100000</v>
      </c>
      <c r="CZ44" s="112">
        <f t="shared" si="115"/>
        <v>100000</v>
      </c>
      <c r="DA44" s="112">
        <f t="shared" si="116"/>
        <v>100000</v>
      </c>
      <c r="DB44" s="112">
        <f t="shared" si="117"/>
        <v>100000</v>
      </c>
      <c r="DC44" s="112">
        <f t="shared" si="118"/>
        <v>100000</v>
      </c>
      <c r="DE44" s="247">
        <v>21</v>
      </c>
      <c r="DG44" s="249">
        <f ca="1">VLOOKUP(DE44,ti!$A$38:$B$45,2)</f>
        <v>51014</v>
      </c>
      <c r="DH44" s="270">
        <f t="shared" ca="1" si="48"/>
        <v>51014</v>
      </c>
      <c r="DJ44" s="238">
        <f ca="1">VLOOKUP(DG44,Foglio1!$AB$31:$AN$284,13)</f>
        <v>261</v>
      </c>
      <c r="DL44">
        <f t="shared" ca="1" si="49"/>
        <v>24397.02</v>
      </c>
      <c r="DN44" s="250" t="str">
        <f t="shared" ca="1" si="50"/>
        <v/>
      </c>
      <c r="DO44">
        <f ca="1">ti!G42</f>
        <v>21</v>
      </c>
      <c r="DP44" s="305">
        <f ca="1">ti!H42</f>
        <v>51014</v>
      </c>
      <c r="DQ44">
        <f t="shared" ca="1" si="51"/>
        <v>21272.959999999999</v>
      </c>
      <c r="DR44">
        <f t="shared" ca="1" si="52"/>
        <v>21</v>
      </c>
      <c r="DT44">
        <v>21</v>
      </c>
      <c r="DU44" s="112" t="s">
        <v>172</v>
      </c>
      <c r="DV44" s="112"/>
      <c r="DW44" s="277">
        <v>36312</v>
      </c>
      <c r="DX44" s="276"/>
      <c r="DY44" s="276" t="s">
        <v>218</v>
      </c>
      <c r="DZ44" s="277">
        <f t="shared" ca="1" si="119"/>
        <v>48823</v>
      </c>
      <c r="EB44" s="240" t="str">
        <f t="shared" ca="1" si="53"/>
        <v/>
      </c>
      <c r="EC44" s="240" t="str">
        <f t="shared" ca="1" si="54"/>
        <v/>
      </c>
      <c r="ED44" t="str">
        <f t="shared" ca="1" si="55"/>
        <v/>
      </c>
      <c r="EF44" s="260">
        <f t="shared" ca="1" si="120"/>
        <v>51014</v>
      </c>
      <c r="EK44" s="254"/>
      <c r="EL44">
        <v>5</v>
      </c>
      <c r="EM44" s="260">
        <f t="shared" ca="1" si="121"/>
        <v>44197</v>
      </c>
      <c r="EN44" s="112">
        <f t="shared" ca="1" si="56"/>
        <v>44197</v>
      </c>
      <c r="EO44" s="112">
        <f t="shared" ca="1" si="57"/>
        <v>44197</v>
      </c>
      <c r="EP44" s="112">
        <f t="shared" ca="1" si="122"/>
        <v>44197</v>
      </c>
      <c r="EQ44" s="273">
        <f t="shared" ca="1" si="137"/>
        <v>44197</v>
      </c>
      <c r="ER44" s="302">
        <f t="shared" ca="1" si="58"/>
        <v>44440</v>
      </c>
      <c r="ES44">
        <v>21</v>
      </c>
      <c r="ET44">
        <v>2</v>
      </c>
      <c r="EU44">
        <f t="shared" ca="1" si="18"/>
        <v>3</v>
      </c>
      <c r="EV44" s="260">
        <f t="shared" ca="1" si="123"/>
        <v>44440</v>
      </c>
      <c r="EW44" t="str">
        <f t="shared" ca="1" si="59"/>
        <v>3-8 anni</v>
      </c>
      <c r="EX44">
        <f t="shared" ca="1" si="19"/>
        <v>5</v>
      </c>
      <c r="EY44" s="238">
        <f t="shared" ca="1" si="20"/>
        <v>235</v>
      </c>
      <c r="EZ44" t="str">
        <f t="shared" ca="1" si="60"/>
        <v>3-8 anni</v>
      </c>
      <c r="FB44">
        <f t="shared" ca="1" si="61"/>
        <v>16218.89</v>
      </c>
      <c r="FC44">
        <f t="shared" ca="1" si="21"/>
        <v>0</v>
      </c>
      <c r="FD44">
        <f t="shared" ca="1" si="21"/>
        <v>0</v>
      </c>
      <c r="FE44">
        <f t="shared" ca="1" si="21"/>
        <v>6459.63</v>
      </c>
      <c r="FF44">
        <f t="shared" ca="1" si="21"/>
        <v>0</v>
      </c>
      <c r="FL44">
        <f t="shared" ca="1" si="62"/>
        <v>1188.0999999999999</v>
      </c>
      <c r="FM44">
        <f t="shared" ca="1" si="22"/>
        <v>2094</v>
      </c>
      <c r="FP44">
        <v>4</v>
      </c>
      <c r="FQ44" t="s">
        <v>170</v>
      </c>
      <c r="FR44" s="254" t="str">
        <f t="shared" ca="1" si="124"/>
        <v>3-8 anni</v>
      </c>
      <c r="FS44">
        <f t="shared" si="125"/>
        <v>44</v>
      </c>
      <c r="FT44" t="str">
        <f t="shared" ca="1" si="23"/>
        <v>ez44</v>
      </c>
      <c r="FU44" t="str">
        <f t="shared" ca="1" si="23"/>
        <v>EV44</v>
      </c>
      <c r="FV44" t="str">
        <f t="shared" ca="1" si="23"/>
        <v>FB44</v>
      </c>
      <c r="FW44" t="str">
        <f t="shared" ca="1" si="23"/>
        <v>FC44</v>
      </c>
      <c r="FX44" t="str">
        <f t="shared" ca="1" si="23"/>
        <v>FD44</v>
      </c>
      <c r="FY44" t="str">
        <f t="shared" ca="1" si="23"/>
        <v>FE44</v>
      </c>
      <c r="FZ44" t="str">
        <f t="shared" ca="1" si="23"/>
        <v>FF44</v>
      </c>
      <c r="GA44" t="str">
        <f t="shared" ca="1" si="23"/>
        <v>FL44</v>
      </c>
      <c r="GB44" t="str">
        <f t="shared" ca="1" si="23"/>
        <v>FM44</v>
      </c>
      <c r="GC44" t="str">
        <f t="shared" ca="1" si="63"/>
        <v>0-8 anni</v>
      </c>
      <c r="GD44" t="str">
        <f t="shared" ca="1" si="23"/>
        <v/>
      </c>
      <c r="GE44">
        <f t="shared" ca="1" si="126"/>
        <v>5</v>
      </c>
      <c r="GF44" s="112">
        <f t="shared" ca="1" si="64"/>
        <v>44440</v>
      </c>
      <c r="GG44" s="238" t="str">
        <f t="shared" ca="1" si="65"/>
        <v>3-8 anni</v>
      </c>
      <c r="GH44" s="262">
        <f t="shared" ca="1" si="66"/>
        <v>16218.89</v>
      </c>
      <c r="GI44" s="262">
        <f t="shared" ca="1" si="67"/>
        <v>0</v>
      </c>
      <c r="GJ44" s="262">
        <f t="shared" ca="1" si="68"/>
        <v>0</v>
      </c>
      <c r="GK44" s="262">
        <f t="shared" ca="1" si="69"/>
        <v>6459.63</v>
      </c>
      <c r="GL44" s="262">
        <f t="shared" ca="1" si="70"/>
        <v>0</v>
      </c>
      <c r="GM44" s="262">
        <f t="shared" ca="1" si="71"/>
        <v>1188.0999999999999</v>
      </c>
      <c r="GN44" s="262">
        <f t="shared" ca="1" si="72"/>
        <v>2094</v>
      </c>
      <c r="GO44" s="262">
        <f t="shared" ca="1" si="73"/>
        <v>0</v>
      </c>
      <c r="GP44" s="262">
        <f t="shared" ca="1" si="74"/>
        <v>0</v>
      </c>
      <c r="GQ44" s="262">
        <f t="shared" ca="1" si="75"/>
        <v>22678.52</v>
      </c>
      <c r="GR44" s="262">
        <f t="shared" ca="1" si="76"/>
        <v>22678.52</v>
      </c>
      <c r="GS44" s="262">
        <f t="shared" ca="1" si="25"/>
        <v>25960.62</v>
      </c>
      <c r="GT44" s="253" t="str">
        <f t="shared" ca="1" si="77"/>
        <v xml:space="preserve">ARTICOLO 5
</v>
      </c>
      <c r="GU44" t="str">
        <f t="shared" ca="1" si="78"/>
        <v xml:space="preserve">con decorrenza dalla data: 1/9/2021  </v>
      </c>
      <c r="GV44" t="str">
        <f t="shared" ca="1" si="79"/>
        <v xml:space="preserve"> Fascia: 0-8 anni
</v>
      </c>
      <c r="GW44" t="str">
        <f t="shared" ca="1" si="138"/>
        <v xml:space="preserve"> Stipendio annuo lordo euro: 22678,52
</v>
      </c>
      <c r="GX44" t="str">
        <f t="shared" ca="1" si="26"/>
        <v/>
      </c>
      <c r="GY44" t="str">
        <f t="shared" ca="1" si="26"/>
        <v/>
      </c>
      <c r="GZ44" t="str">
        <f t="shared" ca="1" si="27"/>
        <v/>
      </c>
      <c r="HA44" t="str">
        <f t="shared" ca="1" si="26"/>
        <v/>
      </c>
      <c r="HB44" t="str">
        <f t="shared" ca="1" si="26"/>
        <v xml:space="preserve">assegno ad personam ex fascia 3/8 anni - annuo lordo euro:  1188,1
</v>
      </c>
      <c r="HC44" t="str">
        <f t="shared" ca="1" si="26"/>
        <v xml:space="preserve">rpd/cia - annuo lordo euro: 2094
</v>
      </c>
      <c r="HD44" t="str">
        <f t="shared" ca="1" si="80"/>
        <v/>
      </c>
      <c r="HE44" s="254" t="str">
        <f t="shared" ca="1" si="26"/>
        <v/>
      </c>
      <c r="HF44" s="254" t="str">
        <f t="shared" ca="1" si="81"/>
        <v xml:space="preserve">TOTALE ANNUO LORDO EURO 25960,62
</v>
      </c>
      <c r="HL44" t="str">
        <f t="shared" ca="1" si="82"/>
        <v xml:space="preserve"> C.C.N.L. DEL 06/12/2022 -</v>
      </c>
      <c r="HM44" s="263" t="str">
        <f t="shared" ca="1" si="83"/>
        <v>ARTICOLO 5
con decorrenza dalla data: 1/9/2021   C.C.N.L. DEL 06/12/2022 - Fascia: 0-8 anni
 Stipendio annuo lordo euro: 22678,52
assegno ad personam ex fascia 3/8 anni - annuo lordo euro:  1188,1
rpd/cia - annuo lordo euro: 2094
TOTALE ANNUO LORDO EURO 25960,62
Altri assegni previsti per legge</v>
      </c>
      <c r="HN44" s="263"/>
      <c r="HO44" s="272" t="str">
        <f t="shared" ca="1" si="28"/>
        <v>ARTICOLO 5
con decorrenza dalla data: 1/9/2021   C.C.N.L. DEL 06/12/2022 - Fascia: 0-8 anni
 Stipendio annuo lordo euro: 22678,52
assegno ad personam ex fascia 3/8 anni - annuo lordo euro:  1188,1
rpd/cia - annuo lordo euro: 2094
TOTALE ANNUO LORDO EURO 25960,62
Altri assegni previsti per legge</v>
      </c>
      <c r="HP44">
        <f t="shared" ca="1" si="84"/>
        <v>5</v>
      </c>
      <c r="HQ44" t="str">
        <f t="shared" ca="1" si="85"/>
        <v/>
      </c>
      <c r="HR44" t="str">
        <f t="shared" ca="1" si="86"/>
        <v/>
      </c>
      <c r="HS44" t="str">
        <f t="shared" ca="1" si="87"/>
        <v/>
      </c>
      <c r="HX44" s="253" t="s">
        <v>187</v>
      </c>
      <c r="HY44" s="112" t="str">
        <f t="shared" si="88"/>
        <v>1/10/1999</v>
      </c>
      <c r="HZ44" t="s">
        <v>188</v>
      </c>
      <c r="IA44" s="112" t="str">
        <f t="shared" si="89"/>
        <v>21/10/1999</v>
      </c>
      <c r="IB44" t="s">
        <v>189</v>
      </c>
      <c r="IC44">
        <f t="shared" si="90"/>
        <v>0</v>
      </c>
      <c r="ID44" t="s">
        <v>192</v>
      </c>
      <c r="IE44">
        <f t="shared" si="91"/>
        <v>0</v>
      </c>
      <c r="IF44" t="s">
        <v>191</v>
      </c>
      <c r="IG44" s="254">
        <f t="shared" si="92"/>
        <v>21</v>
      </c>
      <c r="IL44" t="str">
        <f t="shared" si="93"/>
        <v xml:space="preserve">DAL: 1/10/1999 - AL:21/10/1999 - ANNI:0 - MESI:0 -GIORNI:21
</v>
      </c>
      <c r="JE44" t="str">
        <f>IF(JF44&lt;&gt;"","fascia 35 anni in data:","")</f>
        <v/>
      </c>
      <c r="JF44" s="112" t="str">
        <f t="shared" si="127"/>
        <v/>
      </c>
      <c r="KD44">
        <v>0</v>
      </c>
      <c r="KE44" s="260">
        <f t="shared" ca="1" si="94"/>
        <v>44440</v>
      </c>
      <c r="KF44" t="str">
        <f t="shared" si="95"/>
        <v>0-2 anni</v>
      </c>
      <c r="KG44">
        <f t="shared" si="29"/>
        <v>6</v>
      </c>
      <c r="KH44" s="238">
        <f t="shared" ca="1" si="30"/>
        <v>234</v>
      </c>
      <c r="KK44">
        <f t="shared" ca="1" si="96"/>
        <v>16218.89</v>
      </c>
      <c r="KL44">
        <f t="shared" ca="1" si="31"/>
        <v>0</v>
      </c>
      <c r="KM44">
        <f t="shared" ca="1" si="31"/>
        <v>0</v>
      </c>
      <c r="KN44">
        <f t="shared" ca="1" si="31"/>
        <v>6459.63</v>
      </c>
      <c r="KO44">
        <f t="shared" ca="1" si="31"/>
        <v>0</v>
      </c>
      <c r="KV44">
        <f t="shared" ca="1" si="32"/>
        <v>2094</v>
      </c>
      <c r="KY44">
        <v>4</v>
      </c>
      <c r="KZ44" t="s">
        <v>170</v>
      </c>
      <c r="LA44" s="254" t="str">
        <f t="shared" si="97"/>
        <v>0-2 anni</v>
      </c>
      <c r="LB44" s="112">
        <f t="shared" si="33"/>
        <v>36434</v>
      </c>
      <c r="LC44" s="112">
        <f t="shared" si="34"/>
        <v>36454</v>
      </c>
      <c r="LD44">
        <f t="shared" ca="1" si="98"/>
        <v>24772.52</v>
      </c>
      <c r="LE44" s="262">
        <f t="shared" ca="1" si="99"/>
        <v>25960.62</v>
      </c>
      <c r="LF44">
        <f t="shared" si="100"/>
        <v>21</v>
      </c>
      <c r="LG44">
        <f t="shared" ca="1" si="101"/>
        <v>68.36</v>
      </c>
    </row>
    <row r="45" spans="1:323" ht="126.6" customHeight="1" thickBot="1" x14ac:dyDescent="0.3">
      <c r="A45" s="112">
        <f t="shared" si="139"/>
        <v>36312</v>
      </c>
      <c r="B45" s="112">
        <f t="shared" si="35"/>
        <v>36708</v>
      </c>
      <c r="E45" s="240">
        <f>Foglio3!F25</f>
        <v>36456</v>
      </c>
      <c r="F45" s="240">
        <f>Foglio3!G25</f>
        <v>36769</v>
      </c>
      <c r="G45" s="244"/>
      <c r="H45" s="245">
        <f t="shared" si="36"/>
        <v>36456</v>
      </c>
      <c r="I45" s="245">
        <f t="shared" si="15"/>
        <v>36769</v>
      </c>
      <c r="J45" s="244"/>
      <c r="K45" s="244"/>
      <c r="Q45">
        <f t="shared" si="16"/>
        <v>314</v>
      </c>
      <c r="R45">
        <f t="shared" si="140"/>
        <v>314</v>
      </c>
      <c r="S45">
        <f t="shared" si="37"/>
        <v>0</v>
      </c>
      <c r="T45">
        <f t="shared" si="128"/>
        <v>10</v>
      </c>
      <c r="U45">
        <f t="shared" si="129"/>
        <v>14</v>
      </c>
      <c r="W45">
        <f t="shared" si="130"/>
        <v>0</v>
      </c>
      <c r="X45">
        <f t="shared" si="130"/>
        <v>15</v>
      </c>
      <c r="Y45">
        <f t="shared" si="130"/>
        <v>72</v>
      </c>
      <c r="AA45" s="112">
        <f t="shared" si="102"/>
        <v>36456</v>
      </c>
      <c r="AB45" s="112">
        <f t="shared" si="103"/>
        <v>36769</v>
      </c>
      <c r="AG45">
        <f t="shared" si="38"/>
        <v>1</v>
      </c>
      <c r="AH45" s="112">
        <f t="shared" si="39"/>
        <v>36456</v>
      </c>
      <c r="AI45" s="112">
        <f t="shared" si="39"/>
        <v>36769</v>
      </c>
      <c r="AJ45">
        <f t="shared" si="40"/>
        <v>1</v>
      </c>
      <c r="AK45">
        <f t="shared" si="104"/>
        <v>0</v>
      </c>
      <c r="AL45">
        <f t="shared" si="131"/>
        <v>0</v>
      </c>
      <c r="AN45">
        <f t="shared" si="132"/>
        <v>0</v>
      </c>
      <c r="AO45">
        <f t="shared" si="133"/>
        <v>0</v>
      </c>
      <c r="AP45">
        <f t="shared" si="105"/>
        <v>0</v>
      </c>
      <c r="AS45">
        <f t="shared" si="141"/>
        <v>0</v>
      </c>
      <c r="AT45">
        <f t="shared" si="142"/>
        <v>0</v>
      </c>
      <c r="AV45">
        <f t="shared" si="143"/>
        <v>0</v>
      </c>
      <c r="AW45">
        <f t="shared" si="144"/>
        <v>0</v>
      </c>
      <c r="AX45">
        <f t="shared" si="106"/>
        <v>0</v>
      </c>
      <c r="BA45">
        <f t="shared" si="134"/>
        <v>0</v>
      </c>
      <c r="BB45">
        <f t="shared" si="135"/>
        <v>0</v>
      </c>
      <c r="BD45">
        <f t="shared" ref="BD45:BD71" si="146">(AI45-AH45+1)*BA45</f>
        <v>0</v>
      </c>
      <c r="BE45">
        <f t="shared" ref="BE45:BE71" si="147">(AI42-AH45+1)*BB45</f>
        <v>0</v>
      </c>
      <c r="BF45">
        <f t="shared" si="136"/>
        <v>0</v>
      </c>
      <c r="BI45">
        <f t="shared" ref="BI45:BI71" si="148">IF(AND(AH45&lt;=AI41,AI45&lt;=AI41),1,0)*AJ45</f>
        <v>0</v>
      </c>
      <c r="BJ45">
        <f>IF(AND(AH45&lt;=AI41,AI45&gt;AI41),1,0)*AJ45</f>
        <v>0</v>
      </c>
      <c r="BK45">
        <f>(AI45-AH45+1)*BI45</f>
        <v>0</v>
      </c>
      <c r="BL45">
        <f>(AI41-AH45+1)*BJ45</f>
        <v>0</v>
      </c>
      <c r="BM45">
        <f t="shared" si="145"/>
        <v>0</v>
      </c>
      <c r="BO45">
        <f>IF(AND(AH45&lt;=AI40,AI45&lt;=AI40),1,0)*AJ45</f>
        <v>0</v>
      </c>
      <c r="BP45">
        <f>IF(AND(AH45&lt;=AI40,AI45&gt;AI40),1,0)*AJ45</f>
        <v>0</v>
      </c>
      <c r="BR45">
        <f>(AI45-AH45+1)*BO45</f>
        <v>0</v>
      </c>
      <c r="BS45">
        <f>(AI40-AH45+1)*BP45</f>
        <v>0</v>
      </c>
      <c r="BT45">
        <f t="shared" ref="BT45:BT71" si="149">BR45+BS45</f>
        <v>0</v>
      </c>
      <c r="BV45">
        <f t="shared" si="107"/>
        <v>0</v>
      </c>
      <c r="BX45">
        <f t="shared" si="108"/>
        <v>0</v>
      </c>
      <c r="BY45">
        <f t="shared" si="109"/>
        <v>0</v>
      </c>
      <c r="BZ45">
        <f t="shared" si="110"/>
        <v>0</v>
      </c>
      <c r="CA45">
        <f t="shared" si="111"/>
        <v>0</v>
      </c>
      <c r="CB45">
        <f t="shared" si="112"/>
        <v>0</v>
      </c>
      <c r="CG45">
        <f t="shared" si="41"/>
        <v>1999</v>
      </c>
      <c r="CH45">
        <f t="shared" si="41"/>
        <v>2000</v>
      </c>
      <c r="CJ45">
        <f t="shared" si="42"/>
        <v>0</v>
      </c>
      <c r="CK45">
        <f t="shared" si="17"/>
        <v>0</v>
      </c>
      <c r="CL45">
        <f t="shared" si="43"/>
        <v>0</v>
      </c>
      <c r="CN45">
        <f t="shared" si="44"/>
        <v>0</v>
      </c>
      <c r="CS45">
        <f t="shared" si="45"/>
        <v>314</v>
      </c>
      <c r="CT45" s="246">
        <f t="shared" si="113"/>
        <v>522</v>
      </c>
      <c r="CV45" s="112">
        <f t="shared" si="46"/>
        <v>36769</v>
      </c>
      <c r="CX45" s="112">
        <f t="shared" si="47"/>
        <v>100000</v>
      </c>
      <c r="CY45" s="270">
        <f t="shared" si="114"/>
        <v>100000</v>
      </c>
      <c r="CZ45" s="112">
        <f t="shared" si="115"/>
        <v>100000</v>
      </c>
      <c r="DA45" s="112">
        <f t="shared" si="116"/>
        <v>100000</v>
      </c>
      <c r="DB45" s="112">
        <f t="shared" si="117"/>
        <v>100000</v>
      </c>
      <c r="DC45" s="112">
        <f t="shared" si="118"/>
        <v>100000</v>
      </c>
      <c r="DE45" s="247">
        <v>28</v>
      </c>
      <c r="DG45" s="249">
        <f ca="1">VLOOKUP(DE45,ti!$A$38:$B$45,2)</f>
        <v>51014</v>
      </c>
      <c r="DH45" s="270">
        <f t="shared" ca="1" si="48"/>
        <v>51014</v>
      </c>
      <c r="DJ45" s="238">
        <f ca="1">VLOOKUP(DG45,Foglio1!$AB$31:$AN$284,13)</f>
        <v>261</v>
      </c>
      <c r="DL45">
        <f t="shared" ca="1" si="49"/>
        <v>26444.139999999996</v>
      </c>
      <c r="DN45" s="250" t="str">
        <f t="shared" ca="1" si="50"/>
        <v/>
      </c>
      <c r="DO45">
        <f ca="1">ti!G43</f>
        <v>28</v>
      </c>
      <c r="DP45" s="305">
        <f ca="1">ti!H43</f>
        <v>53571</v>
      </c>
      <c r="DQ45">
        <f t="shared" ca="1" si="51"/>
        <v>24397.02</v>
      </c>
      <c r="DR45">
        <f t="shared" ca="1" si="52"/>
        <v>28</v>
      </c>
      <c r="DT45">
        <v>28</v>
      </c>
      <c r="DU45" s="112" t="s">
        <v>173</v>
      </c>
      <c r="DV45" s="112"/>
      <c r="DW45" s="277">
        <v>36708</v>
      </c>
      <c r="DX45" s="276"/>
      <c r="DY45" s="276" t="s">
        <v>219</v>
      </c>
      <c r="DZ45" s="277">
        <f t="shared" ca="1" si="119"/>
        <v>51014</v>
      </c>
      <c r="EB45" s="240" t="str">
        <f t="shared" ca="1" si="53"/>
        <v/>
      </c>
      <c r="EC45" s="240" t="str">
        <f t="shared" ca="1" si="54"/>
        <v/>
      </c>
      <c r="ED45" t="str">
        <f t="shared" ca="1" si="55"/>
        <v/>
      </c>
      <c r="EF45" s="260">
        <f t="shared" ca="1" si="120"/>
        <v>53571</v>
      </c>
      <c r="EK45" s="254"/>
      <c r="EL45">
        <v>6</v>
      </c>
      <c r="EM45" s="260">
        <f t="shared" ca="1" si="121"/>
        <v>44440</v>
      </c>
      <c r="EN45" s="112">
        <f t="shared" ca="1" si="56"/>
        <v>44440</v>
      </c>
      <c r="EO45" s="112">
        <f t="shared" ca="1" si="57"/>
        <v>44440</v>
      </c>
      <c r="EP45" s="112">
        <f t="shared" ca="1" si="122"/>
        <v>44440</v>
      </c>
      <c r="EQ45" s="273">
        <f t="shared" ca="1" si="137"/>
        <v>100000</v>
      </c>
      <c r="ER45" s="302">
        <f t="shared" ca="1" si="58"/>
        <v>44562</v>
      </c>
      <c r="ES45">
        <v>28</v>
      </c>
      <c r="ET45">
        <v>1</v>
      </c>
      <c r="EU45">
        <f t="shared" ca="1" si="18"/>
        <v>3</v>
      </c>
      <c r="EV45" s="260">
        <f t="shared" ca="1" si="123"/>
        <v>44562</v>
      </c>
      <c r="EW45" t="str">
        <f t="shared" ca="1" si="59"/>
        <v>3-8 anni</v>
      </c>
      <c r="EX45">
        <f t="shared" ca="1" si="19"/>
        <v>5</v>
      </c>
      <c r="EY45" s="238">
        <f t="shared" ca="1" si="20"/>
        <v>242</v>
      </c>
      <c r="EZ45" t="str">
        <f t="shared" ca="1" si="60"/>
        <v>3-8 anni</v>
      </c>
      <c r="FB45">
        <f t="shared" ca="1" si="61"/>
        <v>16218.89</v>
      </c>
      <c r="FC45">
        <f t="shared" ca="1" si="21"/>
        <v>0</v>
      </c>
      <c r="FD45">
        <f t="shared" ca="1" si="21"/>
        <v>0</v>
      </c>
      <c r="FE45">
        <f t="shared" ca="1" si="21"/>
        <v>6459.63</v>
      </c>
      <c r="FF45">
        <f t="shared" ca="1" si="21"/>
        <v>0</v>
      </c>
      <c r="FL45">
        <f t="shared" ca="1" si="62"/>
        <v>1188.0999999999999</v>
      </c>
      <c r="FM45">
        <f t="shared" ca="1" si="22"/>
        <v>2214</v>
      </c>
      <c r="FP45">
        <v>5</v>
      </c>
      <c r="FQ45" t="s">
        <v>169</v>
      </c>
      <c r="FR45" s="254" t="str">
        <f t="shared" ca="1" si="124"/>
        <v>3-8 anni</v>
      </c>
      <c r="FS45">
        <f t="shared" si="125"/>
        <v>45</v>
      </c>
      <c r="FT45" t="str">
        <f t="shared" ca="1" si="23"/>
        <v>ez45</v>
      </c>
      <c r="FU45" t="str">
        <f t="shared" ca="1" si="23"/>
        <v>EV45</v>
      </c>
      <c r="FV45" t="str">
        <f t="shared" ca="1" si="23"/>
        <v>FB45</v>
      </c>
      <c r="FW45" t="str">
        <f t="shared" ca="1" si="23"/>
        <v>FC45</v>
      </c>
      <c r="FX45" t="str">
        <f t="shared" ca="1" si="23"/>
        <v>FD45</v>
      </c>
      <c r="FY45" t="str">
        <f t="shared" ca="1" si="23"/>
        <v>FE45</v>
      </c>
      <c r="FZ45" t="str">
        <f t="shared" ca="1" si="23"/>
        <v>FF45</v>
      </c>
      <c r="GA45" t="str">
        <f t="shared" ca="1" si="23"/>
        <v>FL45</v>
      </c>
      <c r="GB45" t="str">
        <f t="shared" ca="1" si="23"/>
        <v>FM45</v>
      </c>
      <c r="GC45" t="str">
        <f t="shared" ca="1" si="63"/>
        <v>0-8 anni</v>
      </c>
      <c r="GD45" t="str">
        <f t="shared" ca="1" si="23"/>
        <v/>
      </c>
      <c r="GE45">
        <f t="shared" ca="1" si="126"/>
        <v>6</v>
      </c>
      <c r="GF45" s="112">
        <f t="shared" ca="1" si="64"/>
        <v>44562</v>
      </c>
      <c r="GG45" s="238" t="str">
        <f t="shared" ca="1" si="65"/>
        <v>3-8 anni</v>
      </c>
      <c r="GH45" s="262">
        <f t="shared" ca="1" si="66"/>
        <v>16218.89</v>
      </c>
      <c r="GI45" s="262">
        <f t="shared" ca="1" si="67"/>
        <v>0</v>
      </c>
      <c r="GJ45" s="262">
        <f t="shared" ca="1" si="68"/>
        <v>0</v>
      </c>
      <c r="GK45" s="262">
        <f t="shared" ca="1" si="69"/>
        <v>6459.63</v>
      </c>
      <c r="GL45" s="262">
        <f t="shared" ca="1" si="70"/>
        <v>0</v>
      </c>
      <c r="GM45" s="262">
        <f t="shared" ca="1" si="71"/>
        <v>1188.0999999999999</v>
      </c>
      <c r="GN45" s="262">
        <f t="shared" ca="1" si="72"/>
        <v>2214</v>
      </c>
      <c r="GO45" s="262">
        <f t="shared" ca="1" si="73"/>
        <v>0</v>
      </c>
      <c r="GP45" s="262">
        <f t="shared" ca="1" si="74"/>
        <v>0</v>
      </c>
      <c r="GQ45" s="262">
        <f t="shared" ca="1" si="75"/>
        <v>22678.52</v>
      </c>
      <c r="GR45" s="262">
        <f t="shared" ca="1" si="76"/>
        <v>22678.52</v>
      </c>
      <c r="GS45" s="262">
        <f t="shared" ca="1" si="25"/>
        <v>26080.62</v>
      </c>
      <c r="GT45" s="253" t="str">
        <f t="shared" ca="1" si="77"/>
        <v xml:space="preserve">ARTICOLO 6
</v>
      </c>
      <c r="GU45" t="str">
        <f t="shared" ca="1" si="78"/>
        <v xml:space="preserve">con decorrenza dalla data: 1/1/2022  </v>
      </c>
      <c r="GV45" t="str">
        <f t="shared" ca="1" si="79"/>
        <v xml:space="preserve"> Fascia: 0-8 anni
</v>
      </c>
      <c r="GW45" t="str">
        <f t="shared" ca="1" si="138"/>
        <v xml:space="preserve"> Stipendio annuo lordo euro: 22678,52
</v>
      </c>
      <c r="GX45" t="str">
        <f t="shared" ca="1" si="26"/>
        <v/>
      </c>
      <c r="GY45" t="str">
        <f t="shared" ca="1" si="26"/>
        <v/>
      </c>
      <c r="GZ45" t="str">
        <f t="shared" ca="1" si="27"/>
        <v/>
      </c>
      <c r="HA45" t="str">
        <f t="shared" ca="1" si="26"/>
        <v/>
      </c>
      <c r="HB45" t="str">
        <f t="shared" ca="1" si="26"/>
        <v xml:space="preserve">assegno ad personam ex fascia 3/8 anni - annuo lordo euro:  1188,1
</v>
      </c>
      <c r="HC45" t="str">
        <f t="shared" ca="1" si="26"/>
        <v xml:space="preserve">rpd/cia - annuo lordo euro: 2214
</v>
      </c>
      <c r="HD45" t="str">
        <f t="shared" ca="1" si="80"/>
        <v/>
      </c>
      <c r="HE45" s="254" t="str">
        <f t="shared" ca="1" si="26"/>
        <v/>
      </c>
      <c r="HF45" s="254" t="str">
        <f t="shared" ca="1" si="81"/>
        <v xml:space="preserve">TOTALE ANNUO LORDO EURO 26080,62
</v>
      </c>
      <c r="HL45" t="str">
        <f t="shared" ca="1" si="82"/>
        <v xml:space="preserve"> C.C.N.L. DEL 06/12/2022 -</v>
      </c>
      <c r="HM45" s="263" t="str">
        <f t="shared" ca="1" si="83"/>
        <v>ARTICOLO 6
con decorrenza dalla data: 1/1/2022   C.C.N.L. DEL 06/12/2022 - Fascia: 0-8 anni
 Stipendio annuo lordo euro: 22678,52
assegno ad personam ex fascia 3/8 anni - annuo lordo euro:  1188,1
rpd/cia - annuo lordo euro: 2214
TOTALE ANNUO LORDO EURO 26080,62
Altri assegni previsti per legge</v>
      </c>
      <c r="HN45" s="263"/>
      <c r="HO45" s="272" t="str">
        <f t="shared" ca="1" si="28"/>
        <v>ARTICOLO 6
con decorrenza dalla data: 1/1/2022   C.C.N.L. DEL 06/12/2022 - Fascia: 0-8 anni
 Stipendio annuo lordo euro: 22678,52
assegno ad personam ex fascia 3/8 anni - annuo lordo euro:  1188,1
rpd/cia - annuo lordo euro: 2214
TOTALE ANNUO LORDO EURO 26080,62
Altri assegni previsti per legge</v>
      </c>
      <c r="HP45">
        <f t="shared" ca="1" si="84"/>
        <v>6</v>
      </c>
      <c r="HQ45" t="str">
        <f t="shared" ca="1" si="85"/>
        <v/>
      </c>
      <c r="HR45" t="str">
        <f t="shared" ca="1" si="86"/>
        <v/>
      </c>
      <c r="HS45" t="str">
        <f t="shared" ca="1" si="87"/>
        <v/>
      </c>
      <c r="HX45" s="253" t="s">
        <v>187</v>
      </c>
      <c r="HY45" s="112" t="str">
        <f t="shared" si="88"/>
        <v>23/10/1999</v>
      </c>
      <c r="HZ45" t="s">
        <v>188</v>
      </c>
      <c r="IA45" s="112" t="str">
        <f t="shared" si="89"/>
        <v>31/8/2000</v>
      </c>
      <c r="IB45" t="s">
        <v>189</v>
      </c>
      <c r="IC45">
        <f t="shared" si="90"/>
        <v>0</v>
      </c>
      <c r="ID45" t="s">
        <v>192</v>
      </c>
      <c r="IE45">
        <f t="shared" si="91"/>
        <v>10</v>
      </c>
      <c r="IF45" t="s">
        <v>191</v>
      </c>
      <c r="IG45" s="254">
        <f t="shared" si="92"/>
        <v>14</v>
      </c>
      <c r="IL45" t="str">
        <f t="shared" si="93"/>
        <v xml:space="preserve">DAL: 23/10/1999 - AL:31/8/2000 - ANNI:0 - MESI:10 -GIORNI:14
</v>
      </c>
      <c r="JE45" t="str">
        <f>IF(JF45&lt;&gt;"","fascia 3/8 anni in data:","")</f>
        <v/>
      </c>
      <c r="JF45" s="112" t="str">
        <f t="shared" si="127"/>
        <v/>
      </c>
      <c r="KD45">
        <v>0</v>
      </c>
      <c r="KE45" s="260">
        <f t="shared" ca="1" si="94"/>
        <v>44562</v>
      </c>
      <c r="KF45" t="str">
        <f t="shared" si="95"/>
        <v>0-2 anni</v>
      </c>
      <c r="KG45">
        <f t="shared" si="29"/>
        <v>6</v>
      </c>
      <c r="KH45" s="238">
        <f t="shared" ca="1" si="30"/>
        <v>241</v>
      </c>
      <c r="KK45">
        <f t="shared" ca="1" si="96"/>
        <v>16218.89</v>
      </c>
      <c r="KL45">
        <f t="shared" ca="1" si="31"/>
        <v>0</v>
      </c>
      <c r="KM45">
        <f t="shared" ca="1" si="31"/>
        <v>0</v>
      </c>
      <c r="KN45">
        <f t="shared" ca="1" si="31"/>
        <v>6459.63</v>
      </c>
      <c r="KO45">
        <f t="shared" ca="1" si="31"/>
        <v>0</v>
      </c>
      <c r="KV45">
        <f t="shared" ca="1" si="32"/>
        <v>2214</v>
      </c>
      <c r="KY45">
        <v>5</v>
      </c>
      <c r="KZ45" t="s">
        <v>169</v>
      </c>
      <c r="LA45" s="254" t="str">
        <f t="shared" si="97"/>
        <v>0-2 anni</v>
      </c>
      <c r="LB45" s="112">
        <f t="shared" si="33"/>
        <v>36456</v>
      </c>
      <c r="LC45" s="112">
        <f t="shared" si="34"/>
        <v>36769</v>
      </c>
      <c r="LD45">
        <f t="shared" ca="1" si="98"/>
        <v>24892.52</v>
      </c>
      <c r="LE45" s="262">
        <f t="shared" ca="1" si="99"/>
        <v>26080.62</v>
      </c>
      <c r="LF45">
        <f t="shared" si="100"/>
        <v>314</v>
      </c>
      <c r="LG45">
        <f t="shared" ca="1" si="101"/>
        <v>1022.09</v>
      </c>
    </row>
    <row r="46" spans="1:323" ht="104.45" customHeight="1" thickBot="1" x14ac:dyDescent="0.3">
      <c r="A46" s="112">
        <f t="shared" si="139"/>
        <v>36770</v>
      </c>
      <c r="B46" s="112">
        <f t="shared" si="35"/>
        <v>36892</v>
      </c>
      <c r="E46" s="240">
        <f>Foglio3!F26</f>
        <v>36777</v>
      </c>
      <c r="F46" s="240">
        <f>Foglio3!G26</f>
        <v>36920</v>
      </c>
      <c r="G46" s="244"/>
      <c r="H46" s="245">
        <f t="shared" si="36"/>
        <v>36777</v>
      </c>
      <c r="I46" s="245">
        <f t="shared" si="15"/>
        <v>36920</v>
      </c>
      <c r="J46" s="244"/>
      <c r="K46" s="244"/>
      <c r="Q46">
        <f t="shared" si="16"/>
        <v>144</v>
      </c>
      <c r="R46">
        <f t="shared" si="140"/>
        <v>144</v>
      </c>
      <c r="S46">
        <f t="shared" si="37"/>
        <v>0</v>
      </c>
      <c r="T46">
        <f t="shared" si="128"/>
        <v>4</v>
      </c>
      <c r="U46">
        <f t="shared" si="129"/>
        <v>24</v>
      </c>
      <c r="W46">
        <f t="shared" si="130"/>
        <v>0</v>
      </c>
      <c r="X46">
        <f t="shared" si="130"/>
        <v>19</v>
      </c>
      <c r="Y46">
        <f t="shared" si="130"/>
        <v>96</v>
      </c>
      <c r="AA46" s="112">
        <f t="shared" si="102"/>
        <v>36777</v>
      </c>
      <c r="AB46" s="112">
        <f t="shared" si="103"/>
        <v>36920</v>
      </c>
      <c r="AG46">
        <f t="shared" si="38"/>
        <v>1</v>
      </c>
      <c r="AH46" s="112">
        <f t="shared" si="39"/>
        <v>36777</v>
      </c>
      <c r="AI46" s="112">
        <f t="shared" si="39"/>
        <v>36920</v>
      </c>
      <c r="AJ46">
        <f t="shared" si="40"/>
        <v>1</v>
      </c>
      <c r="AK46">
        <f t="shared" si="104"/>
        <v>0</v>
      </c>
      <c r="AL46">
        <f t="shared" si="131"/>
        <v>0</v>
      </c>
      <c r="AN46">
        <f t="shared" si="132"/>
        <v>0</v>
      </c>
      <c r="AO46">
        <f t="shared" si="133"/>
        <v>0</v>
      </c>
      <c r="AP46">
        <f t="shared" si="105"/>
        <v>0</v>
      </c>
      <c r="AS46">
        <f t="shared" si="141"/>
        <v>0</v>
      </c>
      <c r="AT46">
        <f t="shared" si="142"/>
        <v>0</v>
      </c>
      <c r="AV46">
        <f t="shared" si="143"/>
        <v>0</v>
      </c>
      <c r="AW46">
        <f t="shared" si="144"/>
        <v>0</v>
      </c>
      <c r="AX46">
        <f t="shared" si="106"/>
        <v>0</v>
      </c>
      <c r="BA46">
        <f t="shared" si="134"/>
        <v>0</v>
      </c>
      <c r="BB46">
        <f t="shared" si="135"/>
        <v>0</v>
      </c>
      <c r="BD46">
        <f t="shared" si="146"/>
        <v>0</v>
      </c>
      <c r="BE46">
        <f t="shared" si="147"/>
        <v>0</v>
      </c>
      <c r="BF46">
        <f t="shared" si="136"/>
        <v>0</v>
      </c>
      <c r="BI46">
        <f t="shared" si="148"/>
        <v>0</v>
      </c>
      <c r="BJ46">
        <f t="shared" ref="BJ46:BJ71" si="150">IF(AND(AH46&lt;=AI42,AI46&gt;AI42),1,0)*AJ46</f>
        <v>0</v>
      </c>
      <c r="BK46">
        <f t="shared" ref="BK46:BK71" si="151">(AI46-AH46+1)*BI46</f>
        <v>0</v>
      </c>
      <c r="BL46">
        <f t="shared" ref="BL46:BL71" si="152">(AI42-AH46+1)*BJ46</f>
        <v>0</v>
      </c>
      <c r="BM46">
        <f t="shared" si="145"/>
        <v>0</v>
      </c>
      <c r="BO46">
        <f t="shared" ref="BO46:BO71" si="153">IF(AND(AH46&lt;=AI41,AI46&lt;=AI41),1,0)*AJ46</f>
        <v>0</v>
      </c>
      <c r="BP46">
        <f t="shared" ref="BP46:BP71" si="154">IF(AND(AH46&lt;=AI41,AI46&gt;AI41),1,0)*AJ46</f>
        <v>0</v>
      </c>
      <c r="BR46">
        <f t="shared" ref="BR46:BR71" si="155">(AI46-AH46+1)*BO46</f>
        <v>0</v>
      </c>
      <c r="BS46">
        <f t="shared" ref="BS46:BS71" si="156">(AI41-AH46+1)*BP46</f>
        <v>0</v>
      </c>
      <c r="BT46">
        <f t="shared" si="149"/>
        <v>0</v>
      </c>
      <c r="BV46">
        <f t="shared" si="107"/>
        <v>0</v>
      </c>
      <c r="BX46">
        <f t="shared" si="108"/>
        <v>0</v>
      </c>
      <c r="BY46">
        <f t="shared" si="109"/>
        <v>0</v>
      </c>
      <c r="BZ46">
        <f t="shared" si="110"/>
        <v>0</v>
      </c>
      <c r="CA46">
        <f t="shared" si="111"/>
        <v>0</v>
      </c>
      <c r="CB46">
        <f t="shared" si="112"/>
        <v>0</v>
      </c>
      <c r="CG46">
        <f t="shared" si="41"/>
        <v>2000</v>
      </c>
      <c r="CH46">
        <f t="shared" si="41"/>
        <v>2001</v>
      </c>
      <c r="CJ46">
        <f t="shared" si="42"/>
        <v>0</v>
      </c>
      <c r="CK46">
        <f>IF(AND(CG46&lt;&gt;$CG$38,CH46=$CG$38),F46-$CH$38,0)</f>
        <v>0</v>
      </c>
      <c r="CL46">
        <f t="shared" si="43"/>
        <v>0</v>
      </c>
      <c r="CN46">
        <f t="shared" si="44"/>
        <v>0</v>
      </c>
      <c r="CS46">
        <f t="shared" si="45"/>
        <v>144</v>
      </c>
      <c r="CT46" s="246">
        <f t="shared" si="113"/>
        <v>666</v>
      </c>
      <c r="CV46" s="112">
        <f t="shared" si="46"/>
        <v>36920</v>
      </c>
      <c r="CX46" s="112">
        <f t="shared" si="47"/>
        <v>100000</v>
      </c>
      <c r="CY46" s="270">
        <f t="shared" si="114"/>
        <v>100000</v>
      </c>
      <c r="CZ46" s="112">
        <f t="shared" si="115"/>
        <v>100000</v>
      </c>
      <c r="DA46" s="112">
        <f t="shared" si="116"/>
        <v>100000</v>
      </c>
      <c r="DB46" s="112">
        <f t="shared" si="117"/>
        <v>100000</v>
      </c>
      <c r="DC46" s="112">
        <f t="shared" si="118"/>
        <v>100000</v>
      </c>
      <c r="DE46" s="247">
        <v>35</v>
      </c>
      <c r="DG46" s="249">
        <f ca="1">VLOOKUP(DE46,ti!$A$38:$B$45,2)</f>
        <v>53571</v>
      </c>
      <c r="DH46" s="270">
        <f t="shared" ca="1" si="48"/>
        <v>53571</v>
      </c>
      <c r="DJ46" s="238">
        <f ca="1">VLOOKUP(DG46,Foglio1!$AB$31:$AN$284,13)</f>
        <v>261</v>
      </c>
      <c r="DL46">
        <f t="shared" ca="1" si="49"/>
        <v>28067.84</v>
      </c>
      <c r="DN46" s="250" t="str">
        <f t="shared" ca="1" si="50"/>
        <v/>
      </c>
      <c r="DO46" s="257">
        <f ca="1">ti!G44</f>
        <v>35</v>
      </c>
      <c r="DP46" s="446" t="str">
        <f>EB46</f>
        <v/>
      </c>
      <c r="DQ46" s="112" t="str">
        <f ca="1">EC46</f>
        <v/>
      </c>
      <c r="DR46">
        <f t="shared" ca="1" si="52"/>
        <v>35</v>
      </c>
      <c r="DT46">
        <v>35</v>
      </c>
      <c r="DU46" s="112" t="s">
        <v>174</v>
      </c>
      <c r="DV46" s="112"/>
      <c r="DW46" s="277">
        <v>36770</v>
      </c>
      <c r="DX46" s="276"/>
      <c r="DY46" s="276" t="s">
        <v>220</v>
      </c>
      <c r="DZ46" s="277">
        <f t="shared" ca="1" si="119"/>
        <v>53571</v>
      </c>
      <c r="EB46" s="240" t="str">
        <f>IF(EE49&gt;0,EE49,"")</f>
        <v/>
      </c>
      <c r="EC46" s="240" t="str">
        <f ca="1">VLOOKUP(EB46,EB40:EC45,2)</f>
        <v/>
      </c>
      <c r="ED46" t="str">
        <f t="shared" si="55"/>
        <v/>
      </c>
      <c r="EE46" s="263" t="s">
        <v>495</v>
      </c>
      <c r="EF46" s="260">
        <f t="shared" ca="1" si="120"/>
        <v>100000</v>
      </c>
      <c r="EK46" s="254"/>
      <c r="EL46">
        <v>7</v>
      </c>
      <c r="EM46" s="260">
        <f t="shared" ca="1" si="121"/>
        <v>44440</v>
      </c>
      <c r="EN46" s="112">
        <f t="shared" ca="1" si="56"/>
        <v>44440</v>
      </c>
      <c r="EO46" s="112">
        <f t="shared" ca="1" si="57"/>
        <v>44440</v>
      </c>
      <c r="EP46" s="112">
        <f t="shared" ca="1" si="122"/>
        <v>44440</v>
      </c>
      <c r="EQ46" s="273">
        <f t="shared" ca="1" si="137"/>
        <v>44440</v>
      </c>
      <c r="ER46" s="302">
        <f t="shared" ca="1" si="58"/>
        <v>44652</v>
      </c>
      <c r="ES46">
        <v>35</v>
      </c>
      <c r="ET46">
        <v>0</v>
      </c>
      <c r="EU46">
        <f ca="1" xml:space="preserve">    IF($EP$2  &gt;2,VLOOKUP(ER46,$ES$10:$EX$17,6),                   IF((YEAR(ER46)=2013),DR46,    VLOOKUP(ER46,$DP$40:$DR$46,3)))</f>
        <v>3</v>
      </c>
      <c r="EV46" s="260">
        <f t="shared" ca="1" si="123"/>
        <v>44652</v>
      </c>
      <c r="EW46" t="str">
        <f t="shared" ca="1" si="59"/>
        <v>3-8 anni</v>
      </c>
      <c r="EX46">
        <f t="shared" ca="1" si="19"/>
        <v>5</v>
      </c>
      <c r="EY46" s="238">
        <f t="shared" ca="1" si="20"/>
        <v>249</v>
      </c>
      <c r="EZ46" t="str">
        <f t="shared" ca="1" si="60"/>
        <v>3-8 anni</v>
      </c>
      <c r="FB46">
        <f t="shared" ca="1" si="61"/>
        <v>16218.89</v>
      </c>
      <c r="FC46">
        <f t="shared" ca="1" si="21"/>
        <v>0</v>
      </c>
      <c r="FD46">
        <f t="shared" ca="1" si="21"/>
        <v>0</v>
      </c>
      <c r="FE46">
        <f t="shared" ca="1" si="21"/>
        <v>6459.63</v>
      </c>
      <c r="FF46">
        <f t="shared" ca="1" si="21"/>
        <v>68.040000000000006</v>
      </c>
      <c r="FL46">
        <f t="shared" ca="1" si="62"/>
        <v>1188.0999999999999</v>
      </c>
      <c r="FM46">
        <f t="shared" ca="1" si="22"/>
        <v>2214</v>
      </c>
      <c r="FP46">
        <v>6</v>
      </c>
      <c r="FQ46" t="s">
        <v>168</v>
      </c>
      <c r="FR46" s="254" t="str">
        <f t="shared" ca="1" si="124"/>
        <v>3-8 anni</v>
      </c>
      <c r="FS46">
        <f t="shared" si="125"/>
        <v>46</v>
      </c>
      <c r="FT46" t="str">
        <f t="shared" ca="1" si="23"/>
        <v>ez46</v>
      </c>
      <c r="FU46" t="str">
        <f t="shared" ca="1" si="23"/>
        <v>EV46</v>
      </c>
      <c r="FV46" t="str">
        <f t="shared" ca="1" si="23"/>
        <v>FB46</v>
      </c>
      <c r="FW46" t="str">
        <f t="shared" ca="1" si="23"/>
        <v>FC46</v>
      </c>
      <c r="FX46" t="str">
        <f t="shared" ca="1" si="23"/>
        <v>FD46</v>
      </c>
      <c r="FY46" t="str">
        <f t="shared" ca="1" si="23"/>
        <v>FE46</v>
      </c>
      <c r="FZ46" t="str">
        <f t="shared" ca="1" si="23"/>
        <v>FF46</v>
      </c>
      <c r="GA46" t="str">
        <f t="shared" ca="1" si="23"/>
        <v>FL46</v>
      </c>
      <c r="GB46" t="str">
        <f t="shared" ca="1" si="23"/>
        <v>FM46</v>
      </c>
      <c r="GC46" t="str">
        <f t="shared" ca="1" si="63"/>
        <v>0-8 anni</v>
      </c>
      <c r="GD46" t="str">
        <f t="shared" ca="1" si="23"/>
        <v/>
      </c>
      <c r="GE46">
        <f t="shared" ca="1" si="126"/>
        <v>7</v>
      </c>
      <c r="GF46" s="112">
        <f t="shared" ca="1" si="64"/>
        <v>44652</v>
      </c>
      <c r="GG46" s="238" t="str">
        <f t="shared" ca="1" si="65"/>
        <v>3-8 anni</v>
      </c>
      <c r="GH46" s="262">
        <f t="shared" ca="1" si="66"/>
        <v>16218.89</v>
      </c>
      <c r="GI46" s="262">
        <f t="shared" ca="1" si="67"/>
        <v>0</v>
      </c>
      <c r="GJ46" s="262">
        <f t="shared" ca="1" si="68"/>
        <v>0</v>
      </c>
      <c r="GK46" s="262">
        <f t="shared" ca="1" si="69"/>
        <v>6459.63</v>
      </c>
      <c r="GL46" s="262">
        <f t="shared" ca="1" si="70"/>
        <v>68.040000000000006</v>
      </c>
      <c r="GM46" s="262">
        <f t="shared" ca="1" si="71"/>
        <v>1188.0999999999999</v>
      </c>
      <c r="GN46" s="262">
        <f t="shared" ca="1" si="72"/>
        <v>2214</v>
      </c>
      <c r="GO46" s="262">
        <f t="shared" ca="1" si="73"/>
        <v>0</v>
      </c>
      <c r="GP46" s="262">
        <f t="shared" ca="1" si="74"/>
        <v>0</v>
      </c>
      <c r="GQ46" s="262">
        <f t="shared" ca="1" si="75"/>
        <v>22678.52</v>
      </c>
      <c r="GR46" s="262">
        <f t="shared" ca="1" si="76"/>
        <v>22678.52</v>
      </c>
      <c r="GS46" s="262">
        <f t="shared" ca="1" si="25"/>
        <v>26148.66</v>
      </c>
      <c r="GT46" s="253" t="str">
        <f t="shared" ca="1" si="77"/>
        <v xml:space="preserve">ARTICOLO 7
</v>
      </c>
      <c r="GU46" t="str">
        <f t="shared" ca="1" si="78"/>
        <v xml:space="preserve">con decorrenza dalla data: 1/4/2022  </v>
      </c>
      <c r="GV46" t="str">
        <f t="shared" ca="1" si="79"/>
        <v xml:space="preserve"> Fascia: 0-8 anni
</v>
      </c>
      <c r="GW46" t="str">
        <f t="shared" ca="1" si="138"/>
        <v xml:space="preserve"> Stipendio annuo lordo euro: 22678,52
</v>
      </c>
      <c r="GX46" t="str">
        <f t="shared" ca="1" si="26"/>
        <v/>
      </c>
      <c r="GY46" t="str">
        <f t="shared" ca="1" si="26"/>
        <v/>
      </c>
      <c r="GZ46" t="str">
        <f t="shared" ref="GZ46:GZ84" ca="1" si="157">IF(AND(GK46&gt;0,GR46=""                ),CONCATENATE(GK$37," ",GK46,"
"),"")</f>
        <v/>
      </c>
      <c r="HA46" t="str">
        <f t="shared" ca="1" si="26"/>
        <v xml:space="preserve">  Indennita di Vacanza contr.le - annuo lordo euro: 68,04
</v>
      </c>
      <c r="HB46" t="str">
        <f t="shared" ca="1" si="26"/>
        <v xml:space="preserve">assegno ad personam ex fascia 3/8 anni - annuo lordo euro:  1188,1
</v>
      </c>
      <c r="HC46" t="str">
        <f t="shared" ca="1" si="26"/>
        <v xml:space="preserve">rpd/cia - annuo lordo euro: 2214
</v>
      </c>
      <c r="HD46" t="str">
        <f t="shared" ca="1" si="80"/>
        <v/>
      </c>
      <c r="HE46" s="254" t="str">
        <f t="shared" ca="1" si="26"/>
        <v/>
      </c>
      <c r="HF46" s="254" t="str">
        <f t="shared" ca="1" si="81"/>
        <v xml:space="preserve">TOTALE ANNUO LORDO EURO 26148,66
</v>
      </c>
      <c r="HL46" t="str">
        <f t="shared" ca="1" si="82"/>
        <v xml:space="preserve"> C.C.N.L. DEL 06/12/2022 -</v>
      </c>
      <c r="HM46" s="263" t="str">
        <f t="shared" ca="1" si="83"/>
        <v>ARTICOLO 7
con decorrenza dalla data: 1/4/2022   C.C.N.L. DEL 06/12/2022 - Fascia: 0-8 anni
 Stipendio annuo lordo euro: 22678,52
  Indennita di Vacanza contr.le - annuo lordo euro: 68,04
assegno ad personam ex fascia 3/8 anni - annuo lordo euro:  1188,1
rpd/cia - annuo lordo euro: 2214
TOTALE ANNUO LORDO EURO 26148,66
Altri assegni previsti per legge</v>
      </c>
      <c r="HN46" s="263"/>
      <c r="HO46" s="272" t="str">
        <f t="shared" ca="1" si="28"/>
        <v>ARTICOLO 7
con decorrenza dalla data: 1/4/2022   C.C.N.L. DEL 06/12/2022 - Fascia: 0-8 anni
 Stipendio annuo lordo euro: 22678,52
  Indennita di Vacanza contr.le - annuo lordo euro: 68,04
assegno ad personam ex fascia 3/8 anni - annuo lordo euro:  1188,1
rpd/cia - annuo lordo euro: 2214
TOTALE ANNUO LORDO EURO 26148,66
Altri assegni previsti per legge</v>
      </c>
      <c r="HP46">
        <f t="shared" ca="1" si="84"/>
        <v>7</v>
      </c>
      <c r="HQ46" t="str">
        <f t="shared" ca="1" si="85"/>
        <v/>
      </c>
      <c r="HR46" t="str">
        <f t="shared" ca="1" si="86"/>
        <v/>
      </c>
      <c r="HS46" t="str">
        <f t="shared" ca="1" si="87"/>
        <v/>
      </c>
      <c r="HX46" s="253" t="s">
        <v>187</v>
      </c>
      <c r="HY46" s="112" t="str">
        <f t="shared" si="88"/>
        <v>8/9/2000</v>
      </c>
      <c r="HZ46" t="s">
        <v>188</v>
      </c>
      <c r="IA46" s="112" t="str">
        <f t="shared" si="89"/>
        <v>29/1/2001</v>
      </c>
      <c r="IB46" t="s">
        <v>189</v>
      </c>
      <c r="IC46">
        <f t="shared" si="90"/>
        <v>0</v>
      </c>
      <c r="ID46" t="s">
        <v>192</v>
      </c>
      <c r="IE46">
        <f t="shared" si="91"/>
        <v>4</v>
      </c>
      <c r="IF46" t="s">
        <v>191</v>
      </c>
      <c r="IG46" s="254">
        <f t="shared" si="92"/>
        <v>24</v>
      </c>
      <c r="IL46" t="str">
        <f t="shared" si="93"/>
        <v xml:space="preserve">DAL: 8/9/2000 - AL:29/1/2001 - ANNI:0 - MESI:4 -GIORNI:24
</v>
      </c>
      <c r="JE46" t="str">
        <f>IF(JF46&lt;&gt;"","fascia 3/8 anni in data:","")</f>
        <v/>
      </c>
      <c r="JF46" s="112" t="str">
        <f t="shared" si="127"/>
        <v/>
      </c>
      <c r="KD46">
        <v>0</v>
      </c>
      <c r="KE46" s="260">
        <f t="shared" ca="1" si="94"/>
        <v>44652</v>
      </c>
      <c r="KF46" t="str">
        <f t="shared" si="95"/>
        <v>0-2 anni</v>
      </c>
      <c r="KG46">
        <f t="shared" si="29"/>
        <v>6</v>
      </c>
      <c r="KH46" s="238">
        <f t="shared" ca="1" si="30"/>
        <v>248</v>
      </c>
      <c r="KK46">
        <f t="shared" ca="1" si="96"/>
        <v>16218.89</v>
      </c>
      <c r="KL46">
        <f t="shared" ca="1" si="31"/>
        <v>0</v>
      </c>
      <c r="KM46">
        <f t="shared" ca="1" si="31"/>
        <v>0</v>
      </c>
      <c r="KN46">
        <f t="shared" ca="1" si="31"/>
        <v>6459.63</v>
      </c>
      <c r="KO46">
        <f t="shared" ca="1" si="31"/>
        <v>68.040000000000006</v>
      </c>
      <c r="KV46">
        <f t="shared" ca="1" si="32"/>
        <v>2214</v>
      </c>
      <c r="KY46">
        <v>6</v>
      </c>
      <c r="KZ46" t="s">
        <v>168</v>
      </c>
      <c r="LA46" s="254" t="str">
        <f t="shared" si="97"/>
        <v>0-2 anni</v>
      </c>
      <c r="LB46" s="112">
        <f t="shared" si="33"/>
        <v>36777</v>
      </c>
      <c r="LC46" s="112">
        <f t="shared" si="34"/>
        <v>36920</v>
      </c>
      <c r="LD46">
        <f t="shared" ca="1" si="98"/>
        <v>24960.560000000001</v>
      </c>
      <c r="LE46" s="262">
        <f t="shared" ca="1" si="99"/>
        <v>26148.66</v>
      </c>
      <c r="LF46">
        <f t="shared" si="100"/>
        <v>144</v>
      </c>
      <c r="LG46">
        <f t="shared" ca="1" si="101"/>
        <v>468.73</v>
      </c>
    </row>
    <row r="47" spans="1:323" ht="94.15" customHeight="1" x14ac:dyDescent="0.25">
      <c r="A47" s="112">
        <f t="shared" si="139"/>
        <v>36770</v>
      </c>
      <c r="B47" s="112">
        <f t="shared" si="35"/>
        <v>36892</v>
      </c>
      <c r="E47" s="240">
        <f>Foglio3!F27</f>
        <v>36921</v>
      </c>
      <c r="F47" s="240">
        <f>Foglio3!G27</f>
        <v>37072</v>
      </c>
      <c r="G47" s="244"/>
      <c r="H47" s="245">
        <f t="shared" si="36"/>
        <v>36921</v>
      </c>
      <c r="I47" s="245">
        <f t="shared" si="15"/>
        <v>37072</v>
      </c>
      <c r="J47" s="244"/>
      <c r="K47" s="244"/>
      <c r="Q47">
        <f t="shared" si="16"/>
        <v>152</v>
      </c>
      <c r="R47">
        <f t="shared" si="140"/>
        <v>152</v>
      </c>
      <c r="S47">
        <f t="shared" si="37"/>
        <v>0</v>
      </c>
      <c r="T47">
        <f t="shared" si="128"/>
        <v>5</v>
      </c>
      <c r="U47">
        <f t="shared" si="129"/>
        <v>2</v>
      </c>
      <c r="W47">
        <f t="shared" si="130"/>
        <v>0</v>
      </c>
      <c r="X47">
        <f t="shared" si="130"/>
        <v>24</v>
      </c>
      <c r="Y47">
        <f t="shared" si="130"/>
        <v>98</v>
      </c>
      <c r="AA47" s="112">
        <f t="shared" si="102"/>
        <v>36921</v>
      </c>
      <c r="AB47" s="112">
        <f t="shared" si="103"/>
        <v>37072</v>
      </c>
      <c r="AG47">
        <f t="shared" si="38"/>
        <v>1</v>
      </c>
      <c r="AH47" s="112">
        <f t="shared" si="39"/>
        <v>36921</v>
      </c>
      <c r="AI47" s="112">
        <f t="shared" si="39"/>
        <v>37072</v>
      </c>
      <c r="AJ47">
        <f t="shared" si="40"/>
        <v>1</v>
      </c>
      <c r="AK47">
        <f t="shared" si="104"/>
        <v>0</v>
      </c>
      <c r="AL47">
        <f t="shared" si="131"/>
        <v>0</v>
      </c>
      <c r="AN47">
        <f t="shared" si="132"/>
        <v>0</v>
      </c>
      <c r="AO47">
        <f t="shared" si="133"/>
        <v>0</v>
      </c>
      <c r="AP47">
        <f t="shared" si="105"/>
        <v>0</v>
      </c>
      <c r="AS47">
        <f t="shared" si="141"/>
        <v>0</v>
      </c>
      <c r="AT47">
        <f t="shared" si="142"/>
        <v>0</v>
      </c>
      <c r="AV47">
        <f t="shared" si="143"/>
        <v>0</v>
      </c>
      <c r="AW47">
        <f t="shared" si="144"/>
        <v>0</v>
      </c>
      <c r="AX47">
        <f t="shared" si="106"/>
        <v>0</v>
      </c>
      <c r="BA47">
        <f t="shared" si="134"/>
        <v>0</v>
      </c>
      <c r="BB47">
        <f t="shared" si="135"/>
        <v>0</v>
      </c>
      <c r="BD47">
        <f t="shared" si="146"/>
        <v>0</v>
      </c>
      <c r="BE47">
        <f t="shared" si="147"/>
        <v>0</v>
      </c>
      <c r="BF47">
        <f t="shared" si="136"/>
        <v>0</v>
      </c>
      <c r="BI47">
        <f t="shared" si="148"/>
        <v>0</v>
      </c>
      <c r="BJ47">
        <f t="shared" si="150"/>
        <v>0</v>
      </c>
      <c r="BK47">
        <f t="shared" si="151"/>
        <v>0</v>
      </c>
      <c r="BL47">
        <f t="shared" si="152"/>
        <v>0</v>
      </c>
      <c r="BM47">
        <f t="shared" si="145"/>
        <v>0</v>
      </c>
      <c r="BO47">
        <f t="shared" si="153"/>
        <v>0</v>
      </c>
      <c r="BP47">
        <f t="shared" si="154"/>
        <v>0</v>
      </c>
      <c r="BR47">
        <f t="shared" si="155"/>
        <v>0</v>
      </c>
      <c r="BS47">
        <f t="shared" si="156"/>
        <v>0</v>
      </c>
      <c r="BT47">
        <f t="shared" si="149"/>
        <v>0</v>
      </c>
      <c r="BV47">
        <f t="shared" si="107"/>
        <v>0</v>
      </c>
      <c r="BX47">
        <f t="shared" si="108"/>
        <v>0</v>
      </c>
      <c r="BY47">
        <f t="shared" si="109"/>
        <v>0</v>
      </c>
      <c r="BZ47">
        <f t="shared" si="110"/>
        <v>0</v>
      </c>
      <c r="CA47">
        <f t="shared" si="111"/>
        <v>0</v>
      </c>
      <c r="CB47">
        <f t="shared" si="112"/>
        <v>0</v>
      </c>
      <c r="CG47">
        <f t="shared" si="41"/>
        <v>2001</v>
      </c>
      <c r="CH47">
        <f t="shared" si="41"/>
        <v>2001</v>
      </c>
      <c r="CJ47">
        <f t="shared" si="42"/>
        <v>0</v>
      </c>
      <c r="CK47">
        <f t="shared" ref="CK47:CK75" si="158">IF(AND(CG47&lt;&gt;$CG$38,CH47=$CG$38),F47-$CH$38,0)</f>
        <v>0</v>
      </c>
      <c r="CL47">
        <f t="shared" si="43"/>
        <v>0</v>
      </c>
      <c r="CN47">
        <f t="shared" si="44"/>
        <v>0</v>
      </c>
      <c r="CS47">
        <f t="shared" si="45"/>
        <v>152</v>
      </c>
      <c r="CT47" s="246">
        <f t="shared" si="113"/>
        <v>818</v>
      </c>
      <c r="CV47" s="112">
        <f t="shared" si="46"/>
        <v>37072</v>
      </c>
      <c r="CX47" s="112">
        <f t="shared" si="47"/>
        <v>100000</v>
      </c>
      <c r="CY47" s="270">
        <f t="shared" si="114"/>
        <v>100000</v>
      </c>
      <c r="CZ47" s="112">
        <f t="shared" si="115"/>
        <v>100000</v>
      </c>
      <c r="DA47" s="112">
        <f t="shared" si="116"/>
        <v>100000</v>
      </c>
      <c r="DB47" s="112">
        <f t="shared" si="117"/>
        <v>100000</v>
      </c>
      <c r="DC47" s="112">
        <f t="shared" si="118"/>
        <v>100000</v>
      </c>
      <c r="DU47" s="112"/>
      <c r="DV47" s="112"/>
      <c r="DW47" s="277">
        <v>36892</v>
      </c>
      <c r="DX47" s="276"/>
      <c r="DY47" s="276" t="s">
        <v>221</v>
      </c>
      <c r="DZ47" s="277">
        <f t="shared" ca="1" si="119"/>
        <v>100000</v>
      </c>
      <c r="EB47" s="240"/>
      <c r="EC47" s="240"/>
      <c r="ED47" t="str">
        <f t="shared" si="55"/>
        <v/>
      </c>
      <c r="EF47" s="260">
        <f t="shared" ca="1" si="120"/>
        <v>100000</v>
      </c>
      <c r="EK47" s="254"/>
      <c r="EL47">
        <v>8</v>
      </c>
      <c r="EM47" s="260">
        <f t="shared" ca="1" si="121"/>
        <v>44562</v>
      </c>
      <c r="EN47" s="112">
        <f t="shared" ca="1" si="56"/>
        <v>44562</v>
      </c>
      <c r="EO47" s="112">
        <f t="shared" ca="1" si="57"/>
        <v>44562</v>
      </c>
      <c r="EP47" s="112">
        <f t="shared" ca="1" si="122"/>
        <v>44562</v>
      </c>
      <c r="EQ47" s="273">
        <f t="shared" ca="1" si="137"/>
        <v>44562</v>
      </c>
      <c r="ER47" s="302">
        <f t="shared" ca="1" si="58"/>
        <v>44743</v>
      </c>
      <c r="EU47">
        <f t="shared" ref="EU47:EU87" ca="1" si="159" xml:space="preserve">    IF($EP$2  &gt;2,VLOOKUP(ER47,$ES$10:$EX$17,6),                   IF((YEAR(ER47)=2013),DR47,    VLOOKUP(ER47,$DP$40:$DR$46,3)))</f>
        <v>3</v>
      </c>
      <c r="EV47" s="260">
        <f t="shared" ca="1" si="123"/>
        <v>44743</v>
      </c>
      <c r="EW47" t="str">
        <f t="shared" ca="1" si="59"/>
        <v>3-8 anni</v>
      </c>
      <c r="EX47">
        <f t="shared" ca="1" si="19"/>
        <v>5</v>
      </c>
      <c r="EY47" s="238">
        <f t="shared" ca="1" si="20"/>
        <v>256</v>
      </c>
      <c r="EZ47" t="str">
        <f t="shared" ca="1" si="60"/>
        <v>3-8 anni</v>
      </c>
      <c r="FB47">
        <f t="shared" ca="1" si="61"/>
        <v>16218.89</v>
      </c>
      <c r="FC47">
        <f t="shared" ca="1" si="21"/>
        <v>0</v>
      </c>
      <c r="FD47">
        <f t="shared" ca="1" si="21"/>
        <v>0</v>
      </c>
      <c r="FE47">
        <f t="shared" ca="1" si="21"/>
        <v>6459.63</v>
      </c>
      <c r="FF47">
        <f t="shared" ca="1" si="21"/>
        <v>113.39</v>
      </c>
      <c r="FL47">
        <f t="shared" ca="1" si="62"/>
        <v>1188.0999999999999</v>
      </c>
      <c r="FM47">
        <f t="shared" ca="1" si="22"/>
        <v>2214</v>
      </c>
      <c r="FR47" s="254" t="str">
        <f t="shared" ca="1" si="124"/>
        <v>3-8 anni</v>
      </c>
      <c r="FS47">
        <f t="shared" si="125"/>
        <v>47</v>
      </c>
      <c r="FT47" t="str">
        <f t="shared" ca="1" si="23"/>
        <v>ez47</v>
      </c>
      <c r="FU47" t="str">
        <f t="shared" ca="1" si="23"/>
        <v>EV47</v>
      </c>
      <c r="FV47" t="str">
        <f t="shared" ca="1" si="23"/>
        <v>FB47</v>
      </c>
      <c r="FW47" t="str">
        <f t="shared" ca="1" si="23"/>
        <v>FC47</v>
      </c>
      <c r="FX47" t="str">
        <f t="shared" ca="1" si="23"/>
        <v>FD47</v>
      </c>
      <c r="FY47" t="str">
        <f t="shared" ca="1" si="23"/>
        <v>FE47</v>
      </c>
      <c r="FZ47" t="str">
        <f t="shared" ca="1" si="23"/>
        <v>FF47</v>
      </c>
      <c r="GA47" t="str">
        <f t="shared" ca="1" si="23"/>
        <v>FL47</v>
      </c>
      <c r="GB47" t="str">
        <f t="shared" ca="1" si="23"/>
        <v>FM47</v>
      </c>
      <c r="GC47" t="str">
        <f t="shared" ca="1" si="63"/>
        <v>0-8 anni</v>
      </c>
      <c r="GD47" t="str">
        <f t="shared" ca="1" si="23"/>
        <v/>
      </c>
      <c r="GE47">
        <f t="shared" ca="1" si="126"/>
        <v>8</v>
      </c>
      <c r="GF47" s="112">
        <f t="shared" ca="1" si="64"/>
        <v>44743</v>
      </c>
      <c r="GG47" s="238" t="str">
        <f t="shared" ca="1" si="65"/>
        <v>3-8 anni</v>
      </c>
      <c r="GH47" s="262">
        <f t="shared" ca="1" si="66"/>
        <v>16218.89</v>
      </c>
      <c r="GI47" s="262">
        <f t="shared" ca="1" si="67"/>
        <v>0</v>
      </c>
      <c r="GJ47" s="262">
        <f t="shared" ca="1" si="68"/>
        <v>0</v>
      </c>
      <c r="GK47" s="262">
        <f t="shared" ca="1" si="69"/>
        <v>6459.63</v>
      </c>
      <c r="GL47" s="262">
        <f t="shared" ca="1" si="70"/>
        <v>113.39</v>
      </c>
      <c r="GM47" s="262">
        <f t="shared" ca="1" si="71"/>
        <v>1188.0999999999999</v>
      </c>
      <c r="GN47" s="262">
        <f t="shared" ca="1" si="72"/>
        <v>2214</v>
      </c>
      <c r="GO47" s="262">
        <f t="shared" ca="1" si="73"/>
        <v>0</v>
      </c>
      <c r="GP47" s="262">
        <f t="shared" ca="1" si="74"/>
        <v>0</v>
      </c>
      <c r="GQ47" s="262">
        <f t="shared" ca="1" si="75"/>
        <v>22678.52</v>
      </c>
      <c r="GR47" s="262">
        <f t="shared" ca="1" si="76"/>
        <v>22678.52</v>
      </c>
      <c r="GS47" s="262">
        <f t="shared" ca="1" si="25"/>
        <v>26194.01</v>
      </c>
      <c r="GT47" s="253" t="str">
        <f t="shared" ca="1" si="77"/>
        <v xml:space="preserve">ARTICOLO 8
</v>
      </c>
      <c r="GU47" t="str">
        <f t="shared" ca="1" si="78"/>
        <v xml:space="preserve">con decorrenza dalla data: 1/7/2022  </v>
      </c>
      <c r="GV47" t="str">
        <f t="shared" ca="1" si="79"/>
        <v xml:space="preserve"> Fascia: 0-8 anni
</v>
      </c>
      <c r="GW47" t="str">
        <f t="shared" ca="1" si="138"/>
        <v xml:space="preserve"> Stipendio annuo lordo euro: 22678,52
</v>
      </c>
      <c r="GX47" t="str">
        <f t="shared" ca="1" si="26"/>
        <v/>
      </c>
      <c r="GY47" t="str">
        <f t="shared" ca="1" si="26"/>
        <v/>
      </c>
      <c r="GZ47" t="str">
        <f t="shared" ca="1" si="157"/>
        <v/>
      </c>
      <c r="HA47" t="str">
        <f t="shared" ca="1" si="26"/>
        <v xml:space="preserve">  Indennita di Vacanza contr.le - annuo lordo euro: 113,39
</v>
      </c>
      <c r="HB47" t="str">
        <f t="shared" ca="1" si="26"/>
        <v xml:space="preserve">assegno ad personam ex fascia 3/8 anni - annuo lordo euro:  1188,1
</v>
      </c>
      <c r="HC47" t="str">
        <f t="shared" ca="1" si="26"/>
        <v xml:space="preserve">rpd/cia - annuo lordo euro: 2214
</v>
      </c>
      <c r="HD47" t="str">
        <f t="shared" ca="1" si="80"/>
        <v/>
      </c>
      <c r="HE47" s="254" t="str">
        <f t="shared" ca="1" si="26"/>
        <v/>
      </c>
      <c r="HF47" s="254" t="str">
        <f t="shared" ca="1" si="81"/>
        <v xml:space="preserve">TOTALE ANNUO LORDO EURO 26194,01
</v>
      </c>
      <c r="HL47" t="str">
        <f t="shared" ca="1" si="82"/>
        <v xml:space="preserve"> C.C.N.L. DEL 06/12/2022 -</v>
      </c>
      <c r="HM47" s="263" t="str">
        <f t="shared" ca="1" si="83"/>
        <v>ARTICOLO 8
con decorrenza dalla data: 1/7/2022   C.C.N.L. DEL 06/12/2022 - Fascia: 0-8 anni
 Stipendio annuo lordo euro: 22678,52
  Indennita di Vacanza contr.le - annuo lordo euro: 113,39
assegno ad personam ex fascia 3/8 anni - annuo lordo euro:  1188,1
rpd/cia - annuo lordo euro: 2214
TOTALE ANNUO LORDO EURO 26194,01
Altri assegni previsti per legge</v>
      </c>
      <c r="HN47" s="263"/>
      <c r="HO47" s="272" t="str">
        <f t="shared" ca="1" si="28"/>
        <v>ARTICOLO 8
con decorrenza dalla data: 1/7/2022   C.C.N.L. DEL 06/12/2022 - Fascia: 0-8 anni
 Stipendio annuo lordo euro: 22678,52
  Indennita di Vacanza contr.le - annuo lordo euro: 113,39
assegno ad personam ex fascia 3/8 anni - annuo lordo euro:  1188,1
rpd/cia - annuo lordo euro: 2214
TOTALE ANNUO LORDO EURO 26194,01
Altri assegni previsti per legge</v>
      </c>
      <c r="HP47">
        <f t="shared" ca="1" si="84"/>
        <v>8</v>
      </c>
      <c r="HQ47" t="str">
        <f t="shared" ca="1" si="85"/>
        <v/>
      </c>
      <c r="HR47" t="str">
        <f t="shared" ca="1" si="86"/>
        <v/>
      </c>
      <c r="HS47" t="str">
        <f t="shared" ca="1" si="87"/>
        <v/>
      </c>
      <c r="HX47" s="253" t="s">
        <v>187</v>
      </c>
      <c r="HY47" s="112" t="str">
        <f t="shared" si="88"/>
        <v>30/1/2001</v>
      </c>
      <c r="HZ47" t="s">
        <v>188</v>
      </c>
      <c r="IA47" s="112" t="str">
        <f t="shared" si="89"/>
        <v>30/6/2001</v>
      </c>
      <c r="IB47" t="s">
        <v>189</v>
      </c>
      <c r="IC47">
        <f t="shared" si="90"/>
        <v>0</v>
      </c>
      <c r="ID47" t="s">
        <v>192</v>
      </c>
      <c r="IE47">
        <f t="shared" si="91"/>
        <v>5</v>
      </c>
      <c r="IF47" t="s">
        <v>191</v>
      </c>
      <c r="IG47" s="254">
        <f t="shared" si="92"/>
        <v>2</v>
      </c>
      <c r="IL47" t="str">
        <f t="shared" si="93"/>
        <v xml:space="preserve">DAL: 30/1/2001 - AL:30/6/2001 - ANNI:0 - MESI:5 -GIORNI:2
</v>
      </c>
      <c r="JF47" s="112" t="str">
        <f t="shared" si="127"/>
        <v/>
      </c>
      <c r="KD47">
        <v>0</v>
      </c>
      <c r="KE47" s="260">
        <f t="shared" ca="1" si="94"/>
        <v>44743</v>
      </c>
      <c r="KF47" t="str">
        <f t="shared" si="95"/>
        <v>0-2 anni</v>
      </c>
      <c r="KG47">
        <f t="shared" si="29"/>
        <v>6</v>
      </c>
      <c r="KH47" s="238">
        <f t="shared" ca="1" si="30"/>
        <v>255</v>
      </c>
      <c r="KK47">
        <f t="shared" ca="1" si="96"/>
        <v>16218.89</v>
      </c>
      <c r="KL47">
        <f t="shared" ca="1" si="31"/>
        <v>0</v>
      </c>
      <c r="KM47">
        <f t="shared" ca="1" si="31"/>
        <v>0</v>
      </c>
      <c r="KN47">
        <f t="shared" ca="1" si="31"/>
        <v>6459.63</v>
      </c>
      <c r="KO47">
        <f t="shared" ca="1" si="31"/>
        <v>113.39</v>
      </c>
      <c r="KV47">
        <f t="shared" ca="1" si="32"/>
        <v>2214</v>
      </c>
      <c r="LA47" s="254" t="str">
        <f t="shared" si="97"/>
        <v>0-2 anni</v>
      </c>
      <c r="LB47" s="112">
        <f t="shared" si="33"/>
        <v>36921</v>
      </c>
      <c r="LC47" s="112">
        <f t="shared" si="34"/>
        <v>37072</v>
      </c>
      <c r="LD47">
        <f t="shared" ca="1" si="98"/>
        <v>25005.91</v>
      </c>
      <c r="LE47" s="262">
        <f t="shared" ca="1" si="99"/>
        <v>26194.01</v>
      </c>
      <c r="LF47">
        <f t="shared" si="100"/>
        <v>152</v>
      </c>
      <c r="LG47">
        <f t="shared" ca="1" si="101"/>
        <v>494.77</v>
      </c>
    </row>
    <row r="48" spans="1:323" ht="157.9" customHeight="1" x14ac:dyDescent="0.25">
      <c r="A48" s="112">
        <f t="shared" si="139"/>
        <v>36892</v>
      </c>
      <c r="B48" s="112">
        <f t="shared" si="35"/>
        <v>37257</v>
      </c>
      <c r="E48" s="240">
        <f>Foglio3!F28</f>
        <v>37135</v>
      </c>
      <c r="F48" s="240">
        <f>Foglio3!G28</f>
        <v>37437</v>
      </c>
      <c r="G48" s="244"/>
      <c r="H48" s="245">
        <f t="shared" si="36"/>
        <v>37135</v>
      </c>
      <c r="I48" s="245">
        <f t="shared" si="15"/>
        <v>37437</v>
      </c>
      <c r="J48" s="244"/>
      <c r="K48" s="244"/>
      <c r="Q48">
        <f t="shared" si="16"/>
        <v>303</v>
      </c>
      <c r="R48">
        <f t="shared" si="140"/>
        <v>303</v>
      </c>
      <c r="S48">
        <f t="shared" si="37"/>
        <v>0</v>
      </c>
      <c r="T48">
        <f t="shared" si="128"/>
        <v>10</v>
      </c>
      <c r="U48">
        <f t="shared" si="129"/>
        <v>3</v>
      </c>
      <c r="W48">
        <f t="shared" si="130"/>
        <v>0</v>
      </c>
      <c r="X48">
        <f t="shared" si="130"/>
        <v>34</v>
      </c>
      <c r="Y48">
        <f t="shared" si="130"/>
        <v>101</v>
      </c>
      <c r="AA48" s="112">
        <f t="shared" si="102"/>
        <v>37135</v>
      </c>
      <c r="AB48" s="112">
        <f t="shared" si="103"/>
        <v>37437</v>
      </c>
      <c r="AG48">
        <f t="shared" si="38"/>
        <v>1</v>
      </c>
      <c r="AH48" s="112">
        <f t="shared" si="39"/>
        <v>37135</v>
      </c>
      <c r="AI48" s="112">
        <f t="shared" si="39"/>
        <v>37437</v>
      </c>
      <c r="AJ48">
        <f t="shared" si="40"/>
        <v>1</v>
      </c>
      <c r="AK48">
        <f t="shared" si="104"/>
        <v>0</v>
      </c>
      <c r="AL48">
        <f t="shared" si="131"/>
        <v>0</v>
      </c>
      <c r="AN48">
        <f t="shared" si="132"/>
        <v>0</v>
      </c>
      <c r="AO48">
        <f t="shared" si="133"/>
        <v>0</v>
      </c>
      <c r="AP48">
        <f t="shared" si="105"/>
        <v>0</v>
      </c>
      <c r="AS48">
        <f t="shared" si="141"/>
        <v>0</v>
      </c>
      <c r="AT48">
        <f t="shared" si="142"/>
        <v>0</v>
      </c>
      <c r="AV48">
        <f t="shared" si="143"/>
        <v>0</v>
      </c>
      <c r="AW48">
        <f t="shared" si="144"/>
        <v>0</v>
      </c>
      <c r="AX48">
        <f t="shared" si="106"/>
        <v>0</v>
      </c>
      <c r="BA48">
        <f t="shared" si="134"/>
        <v>0</v>
      </c>
      <c r="BB48">
        <f t="shared" si="135"/>
        <v>0</v>
      </c>
      <c r="BD48">
        <f t="shared" si="146"/>
        <v>0</v>
      </c>
      <c r="BE48">
        <f t="shared" si="147"/>
        <v>0</v>
      </c>
      <c r="BF48">
        <f t="shared" si="136"/>
        <v>0</v>
      </c>
      <c r="BI48">
        <f t="shared" si="148"/>
        <v>0</v>
      </c>
      <c r="BJ48">
        <f t="shared" si="150"/>
        <v>0</v>
      </c>
      <c r="BK48">
        <f t="shared" si="151"/>
        <v>0</v>
      </c>
      <c r="BL48">
        <f t="shared" si="152"/>
        <v>0</v>
      </c>
      <c r="BM48">
        <f t="shared" si="145"/>
        <v>0</v>
      </c>
      <c r="BO48">
        <f t="shared" si="153"/>
        <v>0</v>
      </c>
      <c r="BP48">
        <f t="shared" si="154"/>
        <v>0</v>
      </c>
      <c r="BR48">
        <f t="shared" si="155"/>
        <v>0</v>
      </c>
      <c r="BS48">
        <f t="shared" si="156"/>
        <v>0</v>
      </c>
      <c r="BT48">
        <f t="shared" si="149"/>
        <v>0</v>
      </c>
      <c r="BV48">
        <f t="shared" si="107"/>
        <v>0</v>
      </c>
      <c r="BX48">
        <f t="shared" si="108"/>
        <v>0</v>
      </c>
      <c r="BY48">
        <f t="shared" si="109"/>
        <v>0</v>
      </c>
      <c r="BZ48">
        <f t="shared" si="110"/>
        <v>0</v>
      </c>
      <c r="CA48">
        <f t="shared" si="111"/>
        <v>0</v>
      </c>
      <c r="CB48">
        <f t="shared" si="112"/>
        <v>0</v>
      </c>
      <c r="CG48">
        <f t="shared" si="41"/>
        <v>2001</v>
      </c>
      <c r="CH48">
        <f t="shared" si="41"/>
        <v>2002</v>
      </c>
      <c r="CJ48">
        <f t="shared" si="42"/>
        <v>0</v>
      </c>
      <c r="CK48">
        <f t="shared" si="158"/>
        <v>0</v>
      </c>
      <c r="CL48">
        <f t="shared" si="43"/>
        <v>0</v>
      </c>
      <c r="CN48">
        <f t="shared" si="44"/>
        <v>0</v>
      </c>
      <c r="CS48">
        <f t="shared" si="45"/>
        <v>303</v>
      </c>
      <c r="CT48" s="246">
        <f t="shared" si="113"/>
        <v>1121</v>
      </c>
      <c r="CV48" s="112">
        <f t="shared" si="46"/>
        <v>37437</v>
      </c>
      <c r="CX48" s="112">
        <f t="shared" si="47"/>
        <v>37411</v>
      </c>
      <c r="CY48" s="270">
        <f t="shared" si="114"/>
        <v>100000</v>
      </c>
      <c r="CZ48" s="112">
        <f t="shared" si="115"/>
        <v>100000</v>
      </c>
      <c r="DA48" s="112">
        <f t="shared" si="116"/>
        <v>100000</v>
      </c>
      <c r="DB48" s="112">
        <f t="shared" si="117"/>
        <v>100000</v>
      </c>
      <c r="DC48" s="112">
        <f t="shared" si="118"/>
        <v>100000</v>
      </c>
      <c r="DU48" s="112"/>
      <c r="DV48" s="112"/>
      <c r="DW48" s="277">
        <v>37257</v>
      </c>
      <c r="DX48" s="276"/>
      <c r="DY48" s="276"/>
      <c r="DZ48" s="276"/>
      <c r="EF48" s="260" t="str">
        <f t="shared" ref="EF48:EF84" si="160">IF(DW42&gt;=$EJ$39,DW42,"")</f>
        <v/>
      </c>
      <c r="EK48" s="254"/>
      <c r="EL48">
        <v>9</v>
      </c>
      <c r="EM48" s="260">
        <f t="shared" ca="1" si="121"/>
        <v>44652</v>
      </c>
      <c r="EN48" s="112">
        <f t="shared" ca="1" si="56"/>
        <v>44652</v>
      </c>
      <c r="EO48" s="112">
        <f t="shared" ca="1" si="57"/>
        <v>44652</v>
      </c>
      <c r="EP48" s="112">
        <f t="shared" ca="1" si="122"/>
        <v>44652</v>
      </c>
      <c r="EQ48" s="273">
        <f t="shared" ca="1" si="137"/>
        <v>44652</v>
      </c>
      <c r="ER48" s="302">
        <f t="shared" ca="1" si="58"/>
        <v>46631</v>
      </c>
      <c r="EU48">
        <f t="shared" ca="1" si="159"/>
        <v>9</v>
      </c>
      <c r="EV48" s="260">
        <f t="shared" ca="1" si="123"/>
        <v>46631</v>
      </c>
      <c r="EW48" t="str">
        <f t="shared" ca="1" si="59"/>
        <v>9-14 anni</v>
      </c>
      <c r="EX48">
        <f t="shared" ca="1" si="19"/>
        <v>4</v>
      </c>
      <c r="EY48" s="238">
        <f t="shared" ca="1" si="20"/>
        <v>257</v>
      </c>
      <c r="EZ48" t="str">
        <f t="shared" ca="1" si="60"/>
        <v>9-14 anni</v>
      </c>
      <c r="FB48">
        <f t="shared" ca="1" si="61"/>
        <v>19536.18</v>
      </c>
      <c r="FC48">
        <f t="shared" ca="1" si="21"/>
        <v>0</v>
      </c>
      <c r="FD48">
        <f t="shared" ca="1" si="21"/>
        <v>0</v>
      </c>
      <c r="FE48">
        <f t="shared" ca="1" si="21"/>
        <v>6459.63</v>
      </c>
      <c r="FF48">
        <f t="shared" ca="1" si="21"/>
        <v>129.97999999999999</v>
      </c>
      <c r="FL48">
        <f t="shared" ca="1" si="62"/>
        <v>0</v>
      </c>
      <c r="FM48">
        <f t="shared" ca="1" si="22"/>
        <v>2214</v>
      </c>
      <c r="FR48" s="254" t="str">
        <f t="shared" ca="1" si="124"/>
        <v>9-14 anni</v>
      </c>
      <c r="FS48">
        <f t="shared" si="125"/>
        <v>48</v>
      </c>
      <c r="FT48" t="str">
        <f t="shared" ca="1" si="23"/>
        <v>ez48</v>
      </c>
      <c r="FU48" t="str">
        <f t="shared" ca="1" si="23"/>
        <v>EV48</v>
      </c>
      <c r="FV48" t="str">
        <f t="shared" ca="1" si="23"/>
        <v>FB48</v>
      </c>
      <c r="FW48" t="str">
        <f t="shared" ca="1" si="23"/>
        <v>FC48</v>
      </c>
      <c r="FX48" t="str">
        <f t="shared" ca="1" si="23"/>
        <v>FD48</v>
      </c>
      <c r="FY48" t="str">
        <f t="shared" ca="1" si="23"/>
        <v>FE48</v>
      </c>
      <c r="FZ48" t="str">
        <f t="shared" ca="1" si="23"/>
        <v>FF48</v>
      </c>
      <c r="GA48" t="str">
        <f t="shared" ca="1" si="23"/>
        <v>FL48</v>
      </c>
      <c r="GB48" t="str">
        <f t="shared" ca="1" si="23"/>
        <v>FM48</v>
      </c>
      <c r="GC48" t="str">
        <f t="shared" ca="1" si="63"/>
        <v/>
      </c>
      <c r="GD48" t="str">
        <f t="shared" ca="1" si="23"/>
        <v/>
      </c>
      <c r="GE48">
        <f t="shared" ca="1" si="126"/>
        <v>0</v>
      </c>
      <c r="GF48" s="112">
        <f t="shared" ca="1" si="64"/>
        <v>46631</v>
      </c>
      <c r="GG48" s="238" t="str">
        <f t="shared" ca="1" si="65"/>
        <v>9-14 anni</v>
      </c>
      <c r="GH48" s="262">
        <f t="shared" ca="1" si="66"/>
        <v>19536.18</v>
      </c>
      <c r="GI48" s="262">
        <f t="shared" ca="1" si="67"/>
        <v>0</v>
      </c>
      <c r="GJ48" s="262">
        <f t="shared" ca="1" si="68"/>
        <v>0</v>
      </c>
      <c r="GK48" s="262">
        <f t="shared" ca="1" si="69"/>
        <v>6459.63</v>
      </c>
      <c r="GL48" s="262">
        <f t="shared" ca="1" si="70"/>
        <v>129.97999999999999</v>
      </c>
      <c r="GM48" s="262">
        <f t="shared" ca="1" si="71"/>
        <v>0</v>
      </c>
      <c r="GN48" s="262">
        <f t="shared" ca="1" si="72"/>
        <v>2214</v>
      </c>
      <c r="GO48" s="262">
        <f t="shared" ca="1" si="73"/>
        <v>0</v>
      </c>
      <c r="GP48" s="262">
        <f t="shared" ca="1" si="74"/>
        <v>0</v>
      </c>
      <c r="GQ48" s="262">
        <f t="shared" ca="1" si="75"/>
        <v>25995.81</v>
      </c>
      <c r="GR48" s="262">
        <f t="shared" ca="1" si="76"/>
        <v>25995.81</v>
      </c>
      <c r="GS48" s="262">
        <f t="shared" ca="1" si="25"/>
        <v>28339.79</v>
      </c>
      <c r="GT48" s="253" t="str">
        <f t="shared" ca="1" si="77"/>
        <v/>
      </c>
      <c r="GU48" t="str">
        <f t="shared" ca="1" si="78"/>
        <v/>
      </c>
      <c r="GV48" t="str">
        <f t="shared" ca="1" si="79"/>
        <v/>
      </c>
      <c r="GW48" t="str">
        <f t="shared" ca="1" si="138"/>
        <v xml:space="preserve">
</v>
      </c>
      <c r="GX48" t="str">
        <f t="shared" ca="1" si="26"/>
        <v/>
      </c>
      <c r="GY48" t="str">
        <f t="shared" ca="1" si="26"/>
        <v/>
      </c>
      <c r="GZ48" t="str">
        <f t="shared" ca="1" si="157"/>
        <v/>
      </c>
      <c r="HA48" t="str">
        <f t="shared" ca="1" si="26"/>
        <v xml:space="preserve">  Indennita di Vacanza contr.le - annuo lordo euro: 129,98
</v>
      </c>
      <c r="HB48" t="str">
        <f t="shared" ca="1" si="26"/>
        <v/>
      </c>
      <c r="HC48" t="str">
        <f t="shared" ca="1" si="26"/>
        <v xml:space="preserve">rpd/cia - annuo lordo euro: 2214
</v>
      </c>
      <c r="HD48" t="str">
        <f t="shared" ca="1" si="80"/>
        <v/>
      </c>
      <c r="HE48" s="254" t="str">
        <f t="shared" ca="1" si="26"/>
        <v/>
      </c>
      <c r="HF48" s="254" t="str">
        <f t="shared" ca="1" si="81"/>
        <v xml:space="preserve">TOTALE ANNUO LORDO EURO 28339,79
</v>
      </c>
      <c r="HL48" t="str">
        <f t="shared" ca="1" si="82"/>
        <v xml:space="preserve"> C.C.N.L. DEL 06/12/2022 -</v>
      </c>
      <c r="HM48" s="263" t="str">
        <f t="shared" ca="1" si="83"/>
        <v xml:space="preserve"> C.C.N.L. DEL 06/12/2022 -
  Indennita di Vacanza contr.le - annuo lordo euro: 129,98
rpd/cia - annuo lordo euro: 2214
TOTALE ANNUO LORDO EURO 28339,79
Altri assegni previsti per legge</v>
      </c>
      <c r="HN48" s="263"/>
      <c r="HO48" s="272" t="str">
        <f t="shared" ca="1" si="28"/>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P48">
        <f t="shared" ca="1" si="84"/>
        <v>0</v>
      </c>
      <c r="HQ48" t="str">
        <f t="shared" ca="1" si="85"/>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R48" t="str">
        <f t="shared" ca="1" si="86"/>
        <v/>
      </c>
      <c r="HS48" t="str">
        <f t="shared" ca="1" si="87"/>
        <v/>
      </c>
      <c r="HX48" s="253" t="s">
        <v>187</v>
      </c>
      <c r="HY48" s="112" t="str">
        <f t="shared" si="88"/>
        <v>1/9/2001</v>
      </c>
      <c r="HZ48" t="s">
        <v>188</v>
      </c>
      <c r="IA48" s="112" t="str">
        <f t="shared" si="89"/>
        <v>30/6/2002</v>
      </c>
      <c r="IB48" t="s">
        <v>189</v>
      </c>
      <c r="IC48">
        <f t="shared" si="90"/>
        <v>0</v>
      </c>
      <c r="ID48" t="s">
        <v>192</v>
      </c>
      <c r="IE48">
        <f t="shared" si="91"/>
        <v>10</v>
      </c>
      <c r="IF48" t="s">
        <v>191</v>
      </c>
      <c r="IG48" s="254">
        <f t="shared" si="92"/>
        <v>3</v>
      </c>
      <c r="IL48" t="str">
        <f t="shared" si="93"/>
        <v xml:space="preserve">DAL: 1/9/2001 - AL:30/6/2002 - ANNI:0 - MESI:10 -GIORNI:3
</v>
      </c>
      <c r="JF48" s="112" t="str">
        <f t="shared" si="127"/>
        <v/>
      </c>
      <c r="KD48">
        <v>0</v>
      </c>
      <c r="KE48" s="260">
        <f t="shared" ca="1" si="94"/>
        <v>46631</v>
      </c>
      <c r="KF48" t="str">
        <f t="shared" si="95"/>
        <v>0-2 anni</v>
      </c>
      <c r="KG48">
        <f t="shared" si="29"/>
        <v>6</v>
      </c>
      <c r="KH48" s="238">
        <f t="shared" ca="1" si="30"/>
        <v>255</v>
      </c>
      <c r="KK48">
        <f t="shared" ca="1" si="96"/>
        <v>16218.89</v>
      </c>
      <c r="KL48">
        <f t="shared" ca="1" si="31"/>
        <v>0</v>
      </c>
      <c r="KM48">
        <f t="shared" ca="1" si="31"/>
        <v>0</v>
      </c>
      <c r="KN48">
        <f t="shared" ca="1" si="31"/>
        <v>6459.63</v>
      </c>
      <c r="KO48">
        <f t="shared" ca="1" si="31"/>
        <v>129.97999999999999</v>
      </c>
      <c r="KV48">
        <f t="shared" ca="1" si="32"/>
        <v>2214</v>
      </c>
      <c r="LA48" s="254" t="str">
        <f t="shared" si="97"/>
        <v>0-2 anni</v>
      </c>
      <c r="LB48" s="112">
        <f t="shared" si="33"/>
        <v>37135</v>
      </c>
      <c r="LC48" s="112">
        <f t="shared" si="34"/>
        <v>37437</v>
      </c>
      <c r="LD48">
        <f t="shared" ca="1" si="98"/>
        <v>25022.5</v>
      </c>
      <c r="LE48" s="262">
        <f t="shared" ca="1" si="99"/>
        <v>28339.79</v>
      </c>
      <c r="LF48">
        <f t="shared" si="100"/>
        <v>303</v>
      </c>
      <c r="LG48">
        <f t="shared" ca="1" si="101"/>
        <v>2753.81</v>
      </c>
    </row>
    <row r="49" spans="1:319" ht="154.9" customHeight="1" x14ac:dyDescent="0.25">
      <c r="A49" s="112">
        <f t="shared" si="139"/>
        <v>36770</v>
      </c>
      <c r="B49" s="112">
        <f t="shared" si="35"/>
        <v>36892</v>
      </c>
      <c r="D49" s="112"/>
      <c r="E49" s="240">
        <f>Foglio3!F29</f>
        <v>37167</v>
      </c>
      <c r="F49" s="240">
        <f>Foglio3!G29</f>
        <v>37200</v>
      </c>
      <c r="G49" s="244"/>
      <c r="H49" s="245">
        <f t="shared" si="36"/>
        <v>37167</v>
      </c>
      <c r="I49" s="245">
        <f t="shared" si="15"/>
        <v>37200</v>
      </c>
      <c r="J49" s="244"/>
      <c r="K49" s="244"/>
      <c r="Q49">
        <f t="shared" si="16"/>
        <v>34</v>
      </c>
      <c r="R49">
        <f t="shared" si="140"/>
        <v>0</v>
      </c>
      <c r="S49">
        <f t="shared" si="37"/>
        <v>0</v>
      </c>
      <c r="T49">
        <f t="shared" si="128"/>
        <v>0</v>
      </c>
      <c r="U49">
        <f t="shared" si="129"/>
        <v>0</v>
      </c>
      <c r="W49">
        <f t="shared" si="130"/>
        <v>0</v>
      </c>
      <c r="X49">
        <f t="shared" si="130"/>
        <v>34</v>
      </c>
      <c r="Y49">
        <f t="shared" si="130"/>
        <v>101</v>
      </c>
      <c r="AA49" s="112">
        <f t="shared" si="102"/>
        <v>37167</v>
      </c>
      <c r="AB49" s="112">
        <f t="shared" si="103"/>
        <v>37200</v>
      </c>
      <c r="AG49">
        <f t="shared" si="38"/>
        <v>1</v>
      </c>
      <c r="AH49" s="112">
        <f t="shared" si="39"/>
        <v>37167</v>
      </c>
      <c r="AI49" s="112">
        <f t="shared" si="39"/>
        <v>37200</v>
      </c>
      <c r="AJ49">
        <f t="shared" si="40"/>
        <v>1</v>
      </c>
      <c r="AK49">
        <f t="shared" si="104"/>
        <v>1</v>
      </c>
      <c r="AL49">
        <f t="shared" si="131"/>
        <v>0</v>
      </c>
      <c r="AN49">
        <f t="shared" si="132"/>
        <v>34</v>
      </c>
      <c r="AO49">
        <f t="shared" si="133"/>
        <v>0</v>
      </c>
      <c r="AP49">
        <f t="shared" si="105"/>
        <v>34</v>
      </c>
      <c r="AS49">
        <f t="shared" si="141"/>
        <v>0</v>
      </c>
      <c r="AT49">
        <f t="shared" si="142"/>
        <v>0</v>
      </c>
      <c r="AV49">
        <f t="shared" si="143"/>
        <v>0</v>
      </c>
      <c r="AW49">
        <f t="shared" si="144"/>
        <v>0</v>
      </c>
      <c r="AX49">
        <f t="shared" si="106"/>
        <v>0</v>
      </c>
      <c r="BA49">
        <f t="shared" si="134"/>
        <v>0</v>
      </c>
      <c r="BB49">
        <f t="shared" si="135"/>
        <v>0</v>
      </c>
      <c r="BD49">
        <f t="shared" si="146"/>
        <v>0</v>
      </c>
      <c r="BE49">
        <f t="shared" si="147"/>
        <v>0</v>
      </c>
      <c r="BF49">
        <f t="shared" si="136"/>
        <v>0</v>
      </c>
      <c r="BI49">
        <f t="shared" si="148"/>
        <v>0</v>
      </c>
      <c r="BJ49">
        <f t="shared" si="150"/>
        <v>0</v>
      </c>
      <c r="BK49">
        <f t="shared" si="151"/>
        <v>0</v>
      </c>
      <c r="BL49">
        <f t="shared" si="152"/>
        <v>0</v>
      </c>
      <c r="BM49">
        <f t="shared" si="145"/>
        <v>0</v>
      </c>
      <c r="BO49">
        <f t="shared" si="153"/>
        <v>0</v>
      </c>
      <c r="BP49">
        <f t="shared" si="154"/>
        <v>0</v>
      </c>
      <c r="BR49">
        <f t="shared" si="155"/>
        <v>0</v>
      </c>
      <c r="BS49">
        <f t="shared" si="156"/>
        <v>0</v>
      </c>
      <c r="BT49">
        <f t="shared" si="149"/>
        <v>0</v>
      </c>
      <c r="BV49">
        <f t="shared" si="107"/>
        <v>34</v>
      </c>
      <c r="BX49">
        <f t="shared" si="108"/>
        <v>34</v>
      </c>
      <c r="BY49">
        <f t="shared" si="109"/>
        <v>0</v>
      </c>
      <c r="BZ49">
        <f t="shared" si="110"/>
        <v>0</v>
      </c>
      <c r="CA49">
        <f t="shared" si="111"/>
        <v>0</v>
      </c>
      <c r="CB49">
        <f t="shared" si="112"/>
        <v>0</v>
      </c>
      <c r="CG49">
        <f t="shared" si="41"/>
        <v>2001</v>
      </c>
      <c r="CH49">
        <f t="shared" si="41"/>
        <v>2001</v>
      </c>
      <c r="CJ49">
        <f t="shared" si="42"/>
        <v>0</v>
      </c>
      <c r="CK49">
        <f t="shared" si="158"/>
        <v>0</v>
      </c>
      <c r="CL49">
        <f t="shared" si="43"/>
        <v>0</v>
      </c>
      <c r="CN49">
        <f t="shared" si="44"/>
        <v>0</v>
      </c>
      <c r="CS49">
        <f t="shared" si="45"/>
        <v>0</v>
      </c>
      <c r="CT49" s="246">
        <f t="shared" si="113"/>
        <v>1121</v>
      </c>
      <c r="CV49" s="112">
        <f t="shared" si="46"/>
        <v>37200</v>
      </c>
      <c r="CX49" s="112">
        <f t="shared" si="47"/>
        <v>100000</v>
      </c>
      <c r="CY49" s="270">
        <f t="shared" si="114"/>
        <v>100000</v>
      </c>
      <c r="CZ49" s="112">
        <f t="shared" si="115"/>
        <v>100000</v>
      </c>
      <c r="DA49" s="112">
        <f t="shared" si="116"/>
        <v>100000</v>
      </c>
      <c r="DB49" s="112">
        <f t="shared" si="117"/>
        <v>100000</v>
      </c>
      <c r="DC49" s="112">
        <f t="shared" si="118"/>
        <v>100000</v>
      </c>
      <c r="DU49" s="112"/>
      <c r="DV49" s="112"/>
      <c r="DW49" s="277">
        <v>37622</v>
      </c>
      <c r="DX49" s="276"/>
      <c r="DY49" s="276"/>
      <c r="DZ49" s="276"/>
      <c r="ED49" t="s">
        <v>203</v>
      </c>
      <c r="EE49" s="112">
        <f>frontti!E27</f>
        <v>0</v>
      </c>
      <c r="EF49" s="260" t="str">
        <f t="shared" si="160"/>
        <v/>
      </c>
      <c r="EK49" s="254"/>
      <c r="EL49">
        <v>10</v>
      </c>
      <c r="EM49" s="260">
        <f t="shared" ca="1" si="121"/>
        <v>44743</v>
      </c>
      <c r="EN49" s="112">
        <f t="shared" ca="1" si="56"/>
        <v>44743</v>
      </c>
      <c r="EO49" s="112">
        <f t="shared" ca="1" si="57"/>
        <v>44743</v>
      </c>
      <c r="EP49" s="112">
        <f t="shared" ca="1" si="122"/>
        <v>44743</v>
      </c>
      <c r="EQ49" s="273">
        <f t="shared" ca="1" si="137"/>
        <v>44743</v>
      </c>
      <c r="ER49" s="302">
        <f t="shared" ca="1" si="58"/>
        <v>48823</v>
      </c>
      <c r="EU49">
        <f t="shared" ca="1" si="159"/>
        <v>15</v>
      </c>
      <c r="EV49" s="260">
        <f t="shared" ca="1" si="123"/>
        <v>48823</v>
      </c>
      <c r="EW49" t="str">
        <f t="shared" ca="1" si="59"/>
        <v>15-20 anni</v>
      </c>
      <c r="EX49">
        <f t="shared" ca="1" si="19"/>
        <v>3</v>
      </c>
      <c r="EY49" s="238">
        <f t="shared" ca="1" si="20"/>
        <v>258</v>
      </c>
      <c r="EZ49" t="str">
        <f t="shared" ca="1" si="60"/>
        <v>15-20 anni</v>
      </c>
      <c r="FB49">
        <f t="shared" ca="1" si="61"/>
        <v>22061.18</v>
      </c>
      <c r="FC49">
        <f ca="1">INDIRECT(CONCATENATE($FA$35,FC$35,$EY49))</f>
        <v>0</v>
      </c>
      <c r="FD49">
        <f t="shared" ca="1" si="21"/>
        <v>0</v>
      </c>
      <c r="FE49">
        <f t="shared" ca="1" si="21"/>
        <v>6459.63</v>
      </c>
      <c r="FF49">
        <f t="shared" ca="1" si="21"/>
        <v>142.6</v>
      </c>
      <c r="FL49">
        <f t="shared" ca="1" si="62"/>
        <v>0</v>
      </c>
      <c r="FM49">
        <f t="shared" ca="1" si="22"/>
        <v>2721.6</v>
      </c>
      <c r="FR49" s="254" t="str">
        <f t="shared" ca="1" si="124"/>
        <v>15-20 anni</v>
      </c>
      <c r="FS49">
        <f t="shared" si="125"/>
        <v>49</v>
      </c>
      <c r="FT49" t="str">
        <f t="shared" ca="1" si="23"/>
        <v>ez49</v>
      </c>
      <c r="FU49" t="str">
        <f t="shared" ca="1" si="23"/>
        <v>EV49</v>
      </c>
      <c r="FV49" t="str">
        <f t="shared" ca="1" si="23"/>
        <v>FB49</v>
      </c>
      <c r="FW49" t="str">
        <f t="shared" ca="1" si="23"/>
        <v>FC49</v>
      </c>
      <c r="FX49" t="str">
        <f t="shared" ca="1" si="23"/>
        <v>FD49</v>
      </c>
      <c r="FY49" t="str">
        <f t="shared" ca="1" si="23"/>
        <v>FE49</v>
      </c>
      <c r="FZ49" t="str">
        <f t="shared" ca="1" si="23"/>
        <v>FF49</v>
      </c>
      <c r="GA49" t="str">
        <f t="shared" ca="1" si="23"/>
        <v>FL49</v>
      </c>
      <c r="GB49" t="str">
        <f t="shared" ca="1" si="23"/>
        <v>FM49</v>
      </c>
      <c r="GC49" t="str">
        <f t="shared" ca="1" si="63"/>
        <v/>
      </c>
      <c r="GD49" t="str">
        <f t="shared" ca="1" si="23"/>
        <v/>
      </c>
      <c r="GE49">
        <f t="shared" ca="1" si="126"/>
        <v>0</v>
      </c>
      <c r="GF49" s="112">
        <f t="shared" ca="1" si="64"/>
        <v>48823</v>
      </c>
      <c r="GG49" s="238" t="str">
        <f t="shared" ca="1" si="65"/>
        <v>15-20 anni</v>
      </c>
      <c r="GH49" s="262">
        <f t="shared" ca="1" si="66"/>
        <v>22061.18</v>
      </c>
      <c r="GI49" s="262">
        <f t="shared" ca="1" si="67"/>
        <v>0</v>
      </c>
      <c r="GJ49" s="262">
        <f t="shared" ca="1" si="68"/>
        <v>0</v>
      </c>
      <c r="GK49" s="262">
        <f t="shared" ca="1" si="69"/>
        <v>6459.63</v>
      </c>
      <c r="GL49" s="262">
        <f t="shared" ca="1" si="70"/>
        <v>142.6</v>
      </c>
      <c r="GM49" s="262">
        <f t="shared" ca="1" si="71"/>
        <v>0</v>
      </c>
      <c r="GN49" s="262">
        <f t="shared" ca="1" si="72"/>
        <v>2721.6</v>
      </c>
      <c r="GO49" s="262">
        <f t="shared" ca="1" si="73"/>
        <v>0</v>
      </c>
      <c r="GP49" s="262">
        <f t="shared" ca="1" si="74"/>
        <v>0</v>
      </c>
      <c r="GR49" s="262">
        <f t="shared" ca="1" si="76"/>
        <v>28520.81</v>
      </c>
      <c r="GS49" s="262">
        <f t="shared" ca="1" si="25"/>
        <v>31385.01</v>
      </c>
      <c r="GT49" s="253" t="str">
        <f t="shared" ca="1" si="77"/>
        <v/>
      </c>
      <c r="GU49" t="str">
        <f t="shared" ca="1" si="78"/>
        <v/>
      </c>
      <c r="GV49" t="str">
        <f t="shared" ca="1" si="79"/>
        <v/>
      </c>
      <c r="GW49" t="str">
        <f t="shared" ca="1" si="138"/>
        <v xml:space="preserve">
</v>
      </c>
      <c r="GX49" t="str">
        <f t="shared" ca="1" si="26"/>
        <v/>
      </c>
      <c r="GY49" t="str">
        <f t="shared" ca="1" si="26"/>
        <v/>
      </c>
      <c r="GZ49" t="str">
        <f t="shared" ca="1" si="157"/>
        <v/>
      </c>
      <c r="HA49" t="str">
        <f t="shared" ca="1" si="26"/>
        <v xml:space="preserve">  Indennita di Vacanza contr.le - annuo lordo euro: 142,6
</v>
      </c>
      <c r="HB49" t="str">
        <f t="shared" ca="1" si="26"/>
        <v/>
      </c>
      <c r="HC49" t="str">
        <f t="shared" ca="1" si="26"/>
        <v xml:space="preserve">rpd/cia - annuo lordo euro: 2721,6
</v>
      </c>
      <c r="HD49" t="str">
        <f t="shared" ca="1" si="80"/>
        <v/>
      </c>
      <c r="HE49" s="254" t="str">
        <f t="shared" ca="1" si="26"/>
        <v/>
      </c>
      <c r="HF49" s="254" t="str">
        <f t="shared" ca="1" si="81"/>
        <v xml:space="preserve">TOTALE ANNUO LORDO EURO 31385,01
</v>
      </c>
      <c r="HL49" t="str">
        <f t="shared" ca="1" si="82"/>
        <v xml:space="preserve"> C.C.N.L. DEL 06/12/2022 -</v>
      </c>
      <c r="HM49" s="263" t="str">
        <f t="shared" ca="1" si="83"/>
        <v xml:space="preserve"> C.C.N.L. DEL 06/12/2022 -
  Indennita di Vacanza contr.le - annuo lordo euro: 142,6
rpd/cia - annuo lordo euro: 2721,6
TOTALE ANNUO LORDO EURO 31385,01
Altri assegni previsti per legge</v>
      </c>
      <c r="HN49" s="263"/>
      <c r="HO49" s="272" t="str">
        <f t="shared" ca="1" si="28"/>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P49">
        <f t="shared" ca="1" si="84"/>
        <v>0</v>
      </c>
      <c r="HQ49" t="str">
        <f t="shared" ca="1" si="85"/>
        <v/>
      </c>
      <c r="HR49" t="str">
        <f t="shared" ca="1" si="86"/>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S49" t="str">
        <f t="shared" ca="1" si="87"/>
        <v/>
      </c>
      <c r="HX49" s="253" t="s">
        <v>187</v>
      </c>
      <c r="HY49" s="112" t="str">
        <f t="shared" si="88"/>
        <v>3/10/2001</v>
      </c>
      <c r="HZ49" t="s">
        <v>188</v>
      </c>
      <c r="IA49" s="112" t="str">
        <f t="shared" si="89"/>
        <v>5/11/2001</v>
      </c>
      <c r="IB49" t="s">
        <v>189</v>
      </c>
      <c r="IC49">
        <f t="shared" si="90"/>
        <v>0</v>
      </c>
      <c r="ID49" t="s">
        <v>192</v>
      </c>
      <c r="IE49">
        <f t="shared" si="91"/>
        <v>0</v>
      </c>
      <c r="IF49" t="s">
        <v>191</v>
      </c>
      <c r="IG49" s="254">
        <f t="shared" si="92"/>
        <v>0</v>
      </c>
      <c r="IL49" t="str">
        <f t="shared" si="93"/>
        <v xml:space="preserve">DAL: 3/10/2001 - AL:5/11/2001 - ANNI:0 - MESI:0 -GIORNI:0
</v>
      </c>
      <c r="JF49" s="112" t="str">
        <f>IF(DP51=0,"",CONCATENATE(DAY(DP51),"/",MONTH(DP51),"/",YEAR(DP51),"
"))</f>
        <v/>
      </c>
      <c r="KD49">
        <v>0</v>
      </c>
      <c r="KE49" s="260">
        <f t="shared" ca="1" si="94"/>
        <v>48823</v>
      </c>
      <c r="KF49" t="str">
        <f t="shared" si="95"/>
        <v>0-2 anni</v>
      </c>
      <c r="KG49">
        <f t="shared" si="29"/>
        <v>6</v>
      </c>
      <c r="KH49" s="238">
        <f t="shared" ca="1" si="30"/>
        <v>255</v>
      </c>
      <c r="KK49">
        <f t="shared" ca="1" si="96"/>
        <v>16218.89</v>
      </c>
      <c r="KL49">
        <f t="shared" ca="1" si="31"/>
        <v>0</v>
      </c>
      <c r="KM49">
        <f t="shared" ca="1" si="31"/>
        <v>0</v>
      </c>
      <c r="KN49">
        <f t="shared" ca="1" si="31"/>
        <v>6459.63</v>
      </c>
      <c r="KO49">
        <f t="shared" ca="1" si="31"/>
        <v>142.6</v>
      </c>
      <c r="KV49">
        <f t="shared" ca="1" si="32"/>
        <v>2721.6</v>
      </c>
      <c r="LA49" s="254" t="str">
        <f t="shared" si="97"/>
        <v>0-2 anni</v>
      </c>
      <c r="LB49" s="112">
        <f t="shared" si="33"/>
        <v>37167</v>
      </c>
      <c r="LC49" s="112">
        <f t="shared" si="34"/>
        <v>37200</v>
      </c>
      <c r="LD49">
        <f t="shared" ca="1" si="98"/>
        <v>25542.719999999998</v>
      </c>
      <c r="LE49" s="262">
        <f t="shared" ca="1" si="99"/>
        <v>31385.01</v>
      </c>
      <c r="LF49">
        <f t="shared" si="100"/>
        <v>0</v>
      </c>
      <c r="LG49">
        <f t="shared" ca="1" si="101"/>
        <v>0</v>
      </c>
    </row>
    <row r="50" spans="1:319" ht="90.6" customHeight="1" x14ac:dyDescent="0.25">
      <c r="A50" s="112">
        <f t="shared" si="139"/>
        <v>36770</v>
      </c>
      <c r="B50" s="112">
        <f t="shared" si="35"/>
        <v>36892</v>
      </c>
      <c r="E50" s="240">
        <f>Foglio3!F30</f>
        <v>37167</v>
      </c>
      <c r="F50" s="240">
        <f>Foglio3!G30</f>
        <v>37200</v>
      </c>
      <c r="G50" s="244"/>
      <c r="H50" s="245">
        <f t="shared" si="36"/>
        <v>37167</v>
      </c>
      <c r="I50" s="245">
        <f t="shared" si="15"/>
        <v>37200</v>
      </c>
      <c r="J50" s="244"/>
      <c r="K50" s="244"/>
      <c r="Q50">
        <f t="shared" si="16"/>
        <v>34</v>
      </c>
      <c r="R50">
        <f t="shared" si="140"/>
        <v>0</v>
      </c>
      <c r="S50">
        <f t="shared" si="37"/>
        <v>0</v>
      </c>
      <c r="T50">
        <f t="shared" si="128"/>
        <v>0</v>
      </c>
      <c r="U50">
        <f t="shared" si="129"/>
        <v>0</v>
      </c>
      <c r="W50">
        <f t="shared" si="130"/>
        <v>0</v>
      </c>
      <c r="X50">
        <f t="shared" si="130"/>
        <v>34</v>
      </c>
      <c r="Y50">
        <f t="shared" si="130"/>
        <v>101</v>
      </c>
      <c r="AA50" s="112">
        <f t="shared" si="102"/>
        <v>37167</v>
      </c>
      <c r="AB50" s="112">
        <f t="shared" si="103"/>
        <v>37200</v>
      </c>
      <c r="AG50">
        <f t="shared" si="38"/>
        <v>1</v>
      </c>
      <c r="AH50" s="112">
        <f t="shared" si="39"/>
        <v>37167</v>
      </c>
      <c r="AI50" s="112">
        <f t="shared" si="39"/>
        <v>37200</v>
      </c>
      <c r="AJ50">
        <f t="shared" si="40"/>
        <v>1</v>
      </c>
      <c r="AK50">
        <f t="shared" si="104"/>
        <v>1</v>
      </c>
      <c r="AL50">
        <f t="shared" si="131"/>
        <v>0</v>
      </c>
      <c r="AN50">
        <f t="shared" si="132"/>
        <v>34</v>
      </c>
      <c r="AO50">
        <f t="shared" si="133"/>
        <v>0</v>
      </c>
      <c r="AP50">
        <f t="shared" si="105"/>
        <v>34</v>
      </c>
      <c r="AS50">
        <f t="shared" si="141"/>
        <v>1</v>
      </c>
      <c r="AT50">
        <f t="shared" si="142"/>
        <v>0</v>
      </c>
      <c r="AV50">
        <f t="shared" si="143"/>
        <v>34</v>
      </c>
      <c r="AW50">
        <f t="shared" si="144"/>
        <v>0</v>
      </c>
      <c r="AX50">
        <f t="shared" si="106"/>
        <v>34</v>
      </c>
      <c r="BA50">
        <f>IF(AND(AH50&lt;=AI47,AI50&lt;=AI47),1,0)*AJ50</f>
        <v>0</v>
      </c>
      <c r="BB50">
        <f>IF(AND(AH50&lt;=AI47,AI50&gt;AI47),1,0)*AJ50</f>
        <v>0</v>
      </c>
      <c r="BD50">
        <f t="shared" si="146"/>
        <v>0</v>
      </c>
      <c r="BE50">
        <f t="shared" si="147"/>
        <v>0</v>
      </c>
      <c r="BF50">
        <f t="shared" si="136"/>
        <v>0</v>
      </c>
      <c r="BI50">
        <f t="shared" si="148"/>
        <v>0</v>
      </c>
      <c r="BJ50">
        <f t="shared" si="150"/>
        <v>0</v>
      </c>
      <c r="BK50">
        <f t="shared" si="151"/>
        <v>0</v>
      </c>
      <c r="BL50">
        <f t="shared" si="152"/>
        <v>0</v>
      </c>
      <c r="BM50">
        <f t="shared" si="145"/>
        <v>0</v>
      </c>
      <c r="BO50">
        <f t="shared" si="153"/>
        <v>0</v>
      </c>
      <c r="BP50">
        <f t="shared" si="154"/>
        <v>0</v>
      </c>
      <c r="BR50">
        <f t="shared" si="155"/>
        <v>0</v>
      </c>
      <c r="BS50">
        <f t="shared" si="156"/>
        <v>0</v>
      </c>
      <c r="BT50">
        <f t="shared" si="149"/>
        <v>0</v>
      </c>
      <c r="BV50">
        <f t="shared" si="107"/>
        <v>34</v>
      </c>
      <c r="BX50">
        <f t="shared" si="108"/>
        <v>34</v>
      </c>
      <c r="BY50">
        <f t="shared" si="109"/>
        <v>34</v>
      </c>
      <c r="BZ50">
        <f t="shared" si="110"/>
        <v>0</v>
      </c>
      <c r="CA50">
        <f t="shared" si="111"/>
        <v>0</v>
      </c>
      <c r="CB50">
        <f t="shared" si="112"/>
        <v>0</v>
      </c>
      <c r="CG50">
        <f t="shared" si="41"/>
        <v>2001</v>
      </c>
      <c r="CH50">
        <f t="shared" si="41"/>
        <v>2001</v>
      </c>
      <c r="CJ50">
        <f t="shared" si="42"/>
        <v>0</v>
      </c>
      <c r="CK50">
        <f t="shared" si="158"/>
        <v>0</v>
      </c>
      <c r="CL50">
        <f t="shared" si="43"/>
        <v>0</v>
      </c>
      <c r="CN50">
        <f t="shared" si="44"/>
        <v>0</v>
      </c>
      <c r="CS50">
        <f t="shared" si="45"/>
        <v>0</v>
      </c>
      <c r="CT50" s="246">
        <f t="shared" si="113"/>
        <v>1121</v>
      </c>
      <c r="CV50" s="112">
        <f t="shared" si="46"/>
        <v>37200</v>
      </c>
      <c r="CX50" s="112">
        <f t="shared" si="47"/>
        <v>100000</v>
      </c>
      <c r="CY50" s="270">
        <f t="shared" si="114"/>
        <v>100000</v>
      </c>
      <c r="CZ50" s="112">
        <f t="shared" si="115"/>
        <v>100000</v>
      </c>
      <c r="DA50" s="112">
        <f t="shared" si="116"/>
        <v>100000</v>
      </c>
      <c r="DB50" s="112">
        <f t="shared" si="117"/>
        <v>100000</v>
      </c>
      <c r="DC50" s="112">
        <f t="shared" si="118"/>
        <v>100000</v>
      </c>
      <c r="DU50" s="112"/>
      <c r="DV50" s="112"/>
      <c r="DW50" s="277">
        <v>37987</v>
      </c>
      <c r="DX50" s="276"/>
      <c r="DY50" s="276"/>
      <c r="DZ50" s="276"/>
      <c r="EF50" s="260" t="str">
        <f t="shared" si="160"/>
        <v/>
      </c>
      <c r="EK50" s="254"/>
      <c r="EL50">
        <f>EL49+1</f>
        <v>11</v>
      </c>
      <c r="EM50" s="260">
        <f t="shared" ca="1" si="121"/>
        <v>46631</v>
      </c>
      <c r="EN50" s="112">
        <f t="shared" ca="1" si="56"/>
        <v>46631</v>
      </c>
      <c r="EO50" s="112">
        <f t="shared" ca="1" si="57"/>
        <v>46631</v>
      </c>
      <c r="EP50" s="112">
        <f t="shared" ca="1" si="122"/>
        <v>46631</v>
      </c>
      <c r="EQ50" s="273">
        <f t="shared" ca="1" si="137"/>
        <v>100000</v>
      </c>
      <c r="ER50" s="302">
        <f t="shared" ca="1" si="58"/>
        <v>51014</v>
      </c>
      <c r="EU50">
        <f t="shared" ca="1" si="159"/>
        <v>21</v>
      </c>
      <c r="EV50" s="260">
        <f t="shared" ca="1" si="123"/>
        <v>51014</v>
      </c>
      <c r="EW50" t="str">
        <f t="shared" ca="1" si="59"/>
        <v>21-27 anni</v>
      </c>
      <c r="EX50">
        <f t="shared" ca="1" si="19"/>
        <v>2</v>
      </c>
      <c r="EY50" s="238">
        <f t="shared" ca="1" si="20"/>
        <v>259</v>
      </c>
      <c r="EZ50" t="str">
        <f t="shared" ca="1" si="60"/>
        <v>21-27 anni</v>
      </c>
      <c r="FB50">
        <f t="shared" ca="1" si="61"/>
        <v>25276.62</v>
      </c>
      <c r="FC50">
        <f t="shared" ca="1" si="21"/>
        <v>0</v>
      </c>
      <c r="FD50">
        <f t="shared" ca="1" si="21"/>
        <v>0</v>
      </c>
      <c r="FE50">
        <f t="shared" ca="1" si="21"/>
        <v>6459.63</v>
      </c>
      <c r="FF50">
        <f t="shared" ca="1" si="21"/>
        <v>158.68</v>
      </c>
      <c r="FL50">
        <f t="shared" ca="1" si="62"/>
        <v>0</v>
      </c>
      <c r="FM50">
        <f t="shared" ca="1" si="22"/>
        <v>2721.6</v>
      </c>
      <c r="FR50" s="254" t="str">
        <f t="shared" ca="1" si="124"/>
        <v>21-27 anni</v>
      </c>
      <c r="FS50">
        <f t="shared" si="125"/>
        <v>50</v>
      </c>
      <c r="FT50" t="str">
        <f t="shared" ca="1" si="23"/>
        <v>ez50</v>
      </c>
      <c r="FU50" t="str">
        <f t="shared" ca="1" si="23"/>
        <v>EV50</v>
      </c>
      <c r="FV50" t="str">
        <f t="shared" ca="1" si="23"/>
        <v>FB50</v>
      </c>
      <c r="FW50" t="str">
        <f t="shared" ca="1" si="23"/>
        <v>FC50</v>
      </c>
      <c r="FX50" t="str">
        <f t="shared" ca="1" si="23"/>
        <v>FD50</v>
      </c>
      <c r="FY50" t="str">
        <f t="shared" ca="1" si="23"/>
        <v>FE50</v>
      </c>
      <c r="FZ50" t="str">
        <f t="shared" ca="1" si="23"/>
        <v>FF50</v>
      </c>
      <c r="GA50" t="str">
        <f t="shared" ca="1" si="23"/>
        <v>FL50</v>
      </c>
      <c r="GB50" t="str">
        <f t="shared" ca="1" si="23"/>
        <v>FM50</v>
      </c>
      <c r="GC50" t="str">
        <f t="shared" ca="1" si="63"/>
        <v/>
      </c>
      <c r="GD50" t="str">
        <f t="shared" ca="1" si="23"/>
        <v/>
      </c>
      <c r="GE50">
        <f t="shared" ca="1" si="126"/>
        <v>0</v>
      </c>
      <c r="GF50" s="112">
        <f t="shared" ca="1" si="64"/>
        <v>51014</v>
      </c>
      <c r="GG50" s="238" t="str">
        <f t="shared" ca="1" si="65"/>
        <v>21-27 anni</v>
      </c>
      <c r="GH50" s="262">
        <f t="shared" ca="1" si="66"/>
        <v>25276.62</v>
      </c>
      <c r="GI50" s="262">
        <f t="shared" ca="1" si="67"/>
        <v>0</v>
      </c>
      <c r="GJ50" s="262">
        <f t="shared" ca="1" si="68"/>
        <v>0</v>
      </c>
      <c r="GK50" s="262">
        <f t="shared" ca="1" si="69"/>
        <v>6459.63</v>
      </c>
      <c r="GL50" s="262">
        <f t="shared" ca="1" si="70"/>
        <v>158.68</v>
      </c>
      <c r="GM50" s="262">
        <f t="shared" ca="1" si="71"/>
        <v>0</v>
      </c>
      <c r="GN50" s="262">
        <f t="shared" ca="1" si="72"/>
        <v>2721.6</v>
      </c>
      <c r="GO50" s="262">
        <f t="shared" ca="1" si="73"/>
        <v>0</v>
      </c>
      <c r="GP50" s="262">
        <f t="shared" ca="1" si="74"/>
        <v>0</v>
      </c>
      <c r="GR50" s="262">
        <f t="shared" ca="1" si="76"/>
        <v>31736.25</v>
      </c>
      <c r="GS50" s="262">
        <f t="shared" ca="1" si="25"/>
        <v>34616.53</v>
      </c>
      <c r="GT50" s="253" t="str">
        <f t="shared" ca="1" si="77"/>
        <v/>
      </c>
      <c r="GU50" t="str">
        <f t="shared" ca="1" si="78"/>
        <v/>
      </c>
      <c r="GV50" t="str">
        <f t="shared" ca="1" si="79"/>
        <v/>
      </c>
      <c r="GW50" t="str">
        <f t="shared" ca="1" si="138"/>
        <v xml:space="preserve">
</v>
      </c>
      <c r="GX50" t="str">
        <f t="shared" ca="1" si="26"/>
        <v/>
      </c>
      <c r="GY50" t="str">
        <f t="shared" ca="1" si="26"/>
        <v/>
      </c>
      <c r="GZ50" t="str">
        <f t="shared" ca="1" si="157"/>
        <v/>
      </c>
      <c r="HA50" t="str">
        <f t="shared" ca="1" si="26"/>
        <v xml:space="preserve">  Indennita di Vacanza contr.le - annuo lordo euro: 158,68
</v>
      </c>
      <c r="HB50" t="str">
        <f t="shared" ca="1" si="26"/>
        <v/>
      </c>
      <c r="HC50" t="str">
        <f t="shared" ca="1" si="26"/>
        <v xml:space="preserve">rpd/cia - annuo lordo euro: 2721,6
</v>
      </c>
      <c r="HD50" t="str">
        <f t="shared" ca="1" si="80"/>
        <v/>
      </c>
      <c r="HE50" s="254" t="str">
        <f t="shared" ca="1" si="26"/>
        <v/>
      </c>
      <c r="HF50" s="254" t="str">
        <f t="shared" ca="1" si="81"/>
        <v xml:space="preserve">TOTALE ANNUO LORDO EURO 34616,53
</v>
      </c>
      <c r="HL50" t="str">
        <f t="shared" ca="1" si="82"/>
        <v xml:space="preserve"> C.C.N.L. DEL 06/12/2022 -</v>
      </c>
      <c r="HM50" s="263" t="str">
        <f t="shared" ca="1" si="83"/>
        <v xml:space="preserve"> C.C.N.L. DEL 06/12/2022 -
  Indennita di Vacanza contr.le - annuo lordo euro: 158,68
rpd/cia - annuo lordo euro: 2721,6
TOTALE ANNUO LORDO EURO 34616,53
Altri assegni previsti per legge</v>
      </c>
      <c r="HN50" s="263"/>
      <c r="HO50" s="272" t="str">
        <f t="shared" ca="1" si="28"/>
        <v xml:space="preserve">
</v>
      </c>
      <c r="HP50">
        <f t="shared" ca="1" si="84"/>
        <v>0</v>
      </c>
      <c r="HQ50" t="str">
        <f t="shared" ca="1" si="85"/>
        <v/>
      </c>
      <c r="HR50" t="str">
        <f t="shared" ca="1" si="86"/>
        <v/>
      </c>
      <c r="HS50" t="str">
        <f t="shared" ca="1" si="87"/>
        <v xml:space="preserve">
</v>
      </c>
      <c r="HX50" s="253" t="s">
        <v>187</v>
      </c>
      <c r="HY50" s="112" t="str">
        <f t="shared" si="88"/>
        <v>3/10/2001</v>
      </c>
      <c r="HZ50" t="s">
        <v>188</v>
      </c>
      <c r="IA50" s="112" t="str">
        <f t="shared" si="89"/>
        <v>5/11/2001</v>
      </c>
      <c r="IB50" t="s">
        <v>189</v>
      </c>
      <c r="IC50">
        <f t="shared" si="90"/>
        <v>0</v>
      </c>
      <c r="ID50" t="s">
        <v>192</v>
      </c>
      <c r="IE50">
        <f t="shared" si="91"/>
        <v>0</v>
      </c>
      <c r="IF50" t="s">
        <v>191</v>
      </c>
      <c r="IG50" s="254">
        <f t="shared" si="92"/>
        <v>0</v>
      </c>
      <c r="IL50" t="str">
        <f t="shared" si="93"/>
        <v xml:space="preserve">DAL: 3/10/2001 - AL:5/11/2001 - ANNI:0 - MESI:0 -GIORNI:0
</v>
      </c>
      <c r="JF50" s="112" t="str">
        <f>IF(DP52=0,"",CONCATENATE(DAY(DP52),"/",MONTH(DP52),"/",YEAR(DP52),"
"))</f>
        <v/>
      </c>
      <c r="KD50">
        <v>0</v>
      </c>
      <c r="KE50" s="260">
        <f t="shared" ca="1" si="94"/>
        <v>51014</v>
      </c>
      <c r="KF50" t="str">
        <f t="shared" si="95"/>
        <v>0-2 anni</v>
      </c>
      <c r="KG50">
        <f t="shared" si="29"/>
        <v>6</v>
      </c>
      <c r="KH50" s="238">
        <f t="shared" ca="1" si="30"/>
        <v>255</v>
      </c>
      <c r="KK50">
        <f t="shared" ca="1" si="96"/>
        <v>16218.89</v>
      </c>
      <c r="KL50">
        <f t="shared" ca="1" si="31"/>
        <v>0</v>
      </c>
      <c r="KM50">
        <f t="shared" ca="1" si="31"/>
        <v>0</v>
      </c>
      <c r="KN50">
        <f t="shared" ca="1" si="31"/>
        <v>6459.63</v>
      </c>
      <c r="KO50">
        <f t="shared" ca="1" si="31"/>
        <v>158.68</v>
      </c>
      <c r="KV50">
        <f t="shared" ca="1" si="32"/>
        <v>2721.6</v>
      </c>
      <c r="LA50" s="254" t="str">
        <f t="shared" si="97"/>
        <v>0-2 anni</v>
      </c>
      <c r="LB50" s="112">
        <f t="shared" si="33"/>
        <v>37167</v>
      </c>
      <c r="LC50" s="112">
        <f t="shared" si="34"/>
        <v>37200</v>
      </c>
      <c r="LD50">
        <f t="shared" ca="1" si="98"/>
        <v>25558.799999999999</v>
      </c>
      <c r="LE50" s="262">
        <f t="shared" ca="1" si="99"/>
        <v>34616.53</v>
      </c>
      <c r="LF50">
        <f t="shared" si="100"/>
        <v>0</v>
      </c>
      <c r="LG50">
        <f t="shared" ca="1" si="101"/>
        <v>0</v>
      </c>
    </row>
    <row r="51" spans="1:319" ht="145.9" customHeight="1" x14ac:dyDescent="0.25">
      <c r="A51" s="112">
        <f t="shared" si="139"/>
        <v>36892</v>
      </c>
      <c r="B51" s="112">
        <f t="shared" si="35"/>
        <v>37257</v>
      </c>
      <c r="E51" s="240">
        <f>Foglio3!F31</f>
        <v>37201</v>
      </c>
      <c r="F51" s="240">
        <f>Foglio3!G31</f>
        <v>37437</v>
      </c>
      <c r="G51" s="244"/>
      <c r="H51" s="245">
        <f t="shared" si="36"/>
        <v>37201</v>
      </c>
      <c r="I51" s="245">
        <f t="shared" si="15"/>
        <v>37437</v>
      </c>
      <c r="J51" s="244"/>
      <c r="K51" s="244"/>
      <c r="Q51">
        <f t="shared" si="16"/>
        <v>237</v>
      </c>
      <c r="R51">
        <f t="shared" si="140"/>
        <v>0</v>
      </c>
      <c r="S51">
        <f t="shared" si="37"/>
        <v>0</v>
      </c>
      <c r="T51">
        <f t="shared" si="128"/>
        <v>0</v>
      </c>
      <c r="U51">
        <f t="shared" si="129"/>
        <v>0</v>
      </c>
      <c r="W51">
        <f t="shared" si="130"/>
        <v>0</v>
      </c>
      <c r="X51">
        <f t="shared" si="130"/>
        <v>34</v>
      </c>
      <c r="Y51">
        <f t="shared" si="130"/>
        <v>101</v>
      </c>
      <c r="AA51" s="112">
        <f t="shared" si="102"/>
        <v>37201</v>
      </c>
      <c r="AB51" s="112">
        <f t="shared" si="103"/>
        <v>37437</v>
      </c>
      <c r="AG51">
        <f t="shared" si="38"/>
        <v>1</v>
      </c>
      <c r="AH51" s="112">
        <f t="shared" si="39"/>
        <v>37201</v>
      </c>
      <c r="AI51" s="112">
        <f t="shared" si="39"/>
        <v>37437</v>
      </c>
      <c r="AJ51">
        <f t="shared" si="40"/>
        <v>1</v>
      </c>
      <c r="AK51">
        <f t="shared" si="104"/>
        <v>0</v>
      </c>
      <c r="AL51">
        <f t="shared" si="131"/>
        <v>0</v>
      </c>
      <c r="AN51">
        <f t="shared" si="132"/>
        <v>0</v>
      </c>
      <c r="AO51">
        <f t="shared" si="133"/>
        <v>0</v>
      </c>
      <c r="AP51">
        <f t="shared" si="105"/>
        <v>0</v>
      </c>
      <c r="AS51">
        <f t="shared" si="141"/>
        <v>0</v>
      </c>
      <c r="AT51">
        <f t="shared" si="142"/>
        <v>0</v>
      </c>
      <c r="AV51">
        <f t="shared" si="143"/>
        <v>0</v>
      </c>
      <c r="AW51">
        <f t="shared" si="144"/>
        <v>0</v>
      </c>
      <c r="AX51">
        <f t="shared" si="106"/>
        <v>0</v>
      </c>
      <c r="BA51">
        <f t="shared" ref="BA51:BA71" si="161">IF(AND(AH51&lt;=AI48,AI51&lt;=AI48),1,0)*AJ51</f>
        <v>1</v>
      </c>
      <c r="BB51">
        <f t="shared" ref="BB51:BB71" si="162">IF(AND(AH51&lt;=AI48,AI51&gt;AI48),1,0)*AJ51</f>
        <v>0</v>
      </c>
      <c r="BD51">
        <f t="shared" si="146"/>
        <v>237</v>
      </c>
      <c r="BE51">
        <f t="shared" si="147"/>
        <v>0</v>
      </c>
      <c r="BF51">
        <f t="shared" si="136"/>
        <v>237</v>
      </c>
      <c r="BI51">
        <f t="shared" si="148"/>
        <v>0</v>
      </c>
      <c r="BJ51">
        <f t="shared" si="150"/>
        <v>0</v>
      </c>
      <c r="BK51">
        <f t="shared" si="151"/>
        <v>0</v>
      </c>
      <c r="BL51">
        <f t="shared" si="152"/>
        <v>0</v>
      </c>
      <c r="BM51">
        <f t="shared" si="145"/>
        <v>0</v>
      </c>
      <c r="BO51">
        <f t="shared" si="153"/>
        <v>0</v>
      </c>
      <c r="BP51">
        <f t="shared" si="154"/>
        <v>0</v>
      </c>
      <c r="BR51">
        <f t="shared" si="155"/>
        <v>0</v>
      </c>
      <c r="BS51">
        <f t="shared" si="156"/>
        <v>0</v>
      </c>
      <c r="BT51">
        <f t="shared" si="149"/>
        <v>0</v>
      </c>
      <c r="BV51">
        <f t="shared" si="107"/>
        <v>237</v>
      </c>
      <c r="BX51">
        <f t="shared" si="108"/>
        <v>0</v>
      </c>
      <c r="BY51">
        <f t="shared" si="109"/>
        <v>0</v>
      </c>
      <c r="BZ51">
        <f t="shared" si="110"/>
        <v>237</v>
      </c>
      <c r="CA51">
        <f t="shared" si="111"/>
        <v>0</v>
      </c>
      <c r="CB51">
        <f t="shared" si="112"/>
        <v>0</v>
      </c>
      <c r="CG51">
        <f t="shared" si="41"/>
        <v>2001</v>
      </c>
      <c r="CH51">
        <f t="shared" si="41"/>
        <v>2002</v>
      </c>
      <c r="CJ51">
        <f t="shared" si="42"/>
        <v>0</v>
      </c>
      <c r="CK51">
        <f t="shared" si="158"/>
        <v>0</v>
      </c>
      <c r="CL51">
        <f t="shared" si="43"/>
        <v>0</v>
      </c>
      <c r="CN51">
        <f t="shared" si="44"/>
        <v>0</v>
      </c>
      <c r="CS51">
        <f t="shared" si="45"/>
        <v>0</v>
      </c>
      <c r="CT51" s="246">
        <f t="shared" si="113"/>
        <v>1121</v>
      </c>
      <c r="CV51" s="112">
        <f t="shared" si="46"/>
        <v>37437</v>
      </c>
      <c r="CX51" s="112">
        <f t="shared" si="47"/>
        <v>100000</v>
      </c>
      <c r="CY51" s="270">
        <f t="shared" si="114"/>
        <v>100000</v>
      </c>
      <c r="CZ51" s="112">
        <f t="shared" si="115"/>
        <v>100000</v>
      </c>
      <c r="DA51" s="112">
        <f t="shared" si="116"/>
        <v>100000</v>
      </c>
      <c r="DB51" s="112">
        <f t="shared" si="117"/>
        <v>100000</v>
      </c>
      <c r="DC51" s="112">
        <f t="shared" si="118"/>
        <v>100000</v>
      </c>
      <c r="DG51" s="248">
        <f ca="1">MAX(DG40:DG46)</f>
        <v>53571</v>
      </c>
      <c r="DU51" s="112"/>
      <c r="DV51" s="112"/>
      <c r="DW51" s="277">
        <v>38384</v>
      </c>
      <c r="DX51" s="276"/>
      <c r="DY51" s="276"/>
      <c r="DZ51" s="276"/>
      <c r="EF51" s="260" t="str">
        <f t="shared" si="160"/>
        <v/>
      </c>
      <c r="EK51" s="254"/>
      <c r="EL51">
        <f t="shared" ref="EL51:EL87" si="163">EL50+1</f>
        <v>12</v>
      </c>
      <c r="EM51" s="260">
        <f t="shared" ca="1" si="121"/>
        <v>46631</v>
      </c>
      <c r="EN51" s="112">
        <f t="shared" ca="1" si="56"/>
        <v>46631</v>
      </c>
      <c r="EO51" s="112">
        <f t="shared" ca="1" si="57"/>
        <v>46631</v>
      </c>
      <c r="EP51" s="112">
        <f t="shared" ca="1" si="122"/>
        <v>46631</v>
      </c>
      <c r="EQ51" s="273">
        <f t="shared" ca="1" si="137"/>
        <v>46631</v>
      </c>
      <c r="ER51" s="302">
        <f t="shared" ca="1" si="58"/>
        <v>53571</v>
      </c>
      <c r="EU51">
        <f t="shared" ca="1" si="159"/>
        <v>28</v>
      </c>
      <c r="EV51" s="260">
        <f t="shared" ca="1" si="123"/>
        <v>53571</v>
      </c>
      <c r="EW51" t="str">
        <f t="shared" ca="1" si="59"/>
        <v>28-34 anni</v>
      </c>
      <c r="EX51">
        <f t="shared" ca="1" si="19"/>
        <v>1</v>
      </c>
      <c r="EY51" s="238">
        <f t="shared" ca="1" si="20"/>
        <v>260</v>
      </c>
      <c r="EZ51" t="str">
        <f t="shared" ca="1" si="60"/>
        <v>28-34 anni</v>
      </c>
      <c r="FB51">
        <f t="shared" ca="1" si="61"/>
        <v>27377.74</v>
      </c>
      <c r="FC51">
        <f t="shared" ca="1" si="21"/>
        <v>0</v>
      </c>
      <c r="FD51">
        <f t="shared" ca="1" si="21"/>
        <v>0</v>
      </c>
      <c r="FE51">
        <f t="shared" ca="1" si="21"/>
        <v>6459.63</v>
      </c>
      <c r="FF51">
        <f t="shared" ca="1" si="21"/>
        <v>169.19</v>
      </c>
      <c r="FL51">
        <f t="shared" ca="1" si="62"/>
        <v>0</v>
      </c>
      <c r="FM51">
        <f t="shared" ca="1" si="22"/>
        <v>3458.4</v>
      </c>
      <c r="FR51" s="254" t="str">
        <f t="shared" ca="1" si="124"/>
        <v>28-34 anni</v>
      </c>
      <c r="FS51">
        <f t="shared" si="125"/>
        <v>51</v>
      </c>
      <c r="FT51" t="str">
        <f t="shared" ca="1" si="23"/>
        <v>ez51</v>
      </c>
      <c r="FU51" t="str">
        <f t="shared" ca="1" si="23"/>
        <v>EV51</v>
      </c>
      <c r="FV51" t="str">
        <f t="shared" ca="1" si="23"/>
        <v>FB51</v>
      </c>
      <c r="FW51" t="str">
        <f t="shared" ca="1" si="23"/>
        <v>FC51</v>
      </c>
      <c r="FX51" t="str">
        <f t="shared" ca="1" si="23"/>
        <v>FD51</v>
      </c>
      <c r="FY51" t="str">
        <f t="shared" ca="1" si="23"/>
        <v>FE51</v>
      </c>
      <c r="FZ51" t="str">
        <f t="shared" ca="1" si="23"/>
        <v>FF51</v>
      </c>
      <c r="GA51" t="str">
        <f t="shared" ca="1" si="23"/>
        <v>FL51</v>
      </c>
      <c r="GB51" t="str">
        <f t="shared" ca="1" si="23"/>
        <v>FM51</v>
      </c>
      <c r="GC51" t="str">
        <f t="shared" ca="1" si="63"/>
        <v/>
      </c>
      <c r="GD51" t="str">
        <f t="shared" ca="1" si="23"/>
        <v/>
      </c>
      <c r="GE51">
        <f t="shared" ca="1" si="126"/>
        <v>0</v>
      </c>
      <c r="GF51" s="112">
        <f t="shared" ca="1" si="64"/>
        <v>53571</v>
      </c>
      <c r="GG51" s="238" t="str">
        <f t="shared" ca="1" si="65"/>
        <v>28-34 anni</v>
      </c>
      <c r="GH51" s="262">
        <f t="shared" ca="1" si="66"/>
        <v>27377.74</v>
      </c>
      <c r="GI51" s="262">
        <f t="shared" ca="1" si="67"/>
        <v>0</v>
      </c>
      <c r="GJ51" s="262">
        <f t="shared" ca="1" si="68"/>
        <v>0</v>
      </c>
      <c r="GK51" s="262">
        <f t="shared" ca="1" si="69"/>
        <v>6459.63</v>
      </c>
      <c r="GL51" s="262">
        <f t="shared" ca="1" si="70"/>
        <v>169.19</v>
      </c>
      <c r="GM51" s="262">
        <f t="shared" ca="1" si="71"/>
        <v>0</v>
      </c>
      <c r="GN51" s="262">
        <f t="shared" ca="1" si="72"/>
        <v>3458.4</v>
      </c>
      <c r="GO51" s="262">
        <f t="shared" ca="1" si="73"/>
        <v>0</v>
      </c>
      <c r="GP51" s="262">
        <f t="shared" ca="1" si="74"/>
        <v>0</v>
      </c>
      <c r="GR51" s="262">
        <f t="shared" ca="1" si="76"/>
        <v>33837.370000000003</v>
      </c>
      <c r="GS51" s="262">
        <f t="shared" ca="1" si="25"/>
        <v>37464.960000000006</v>
      </c>
      <c r="GT51" s="253" t="str">
        <f t="shared" ca="1" si="77"/>
        <v/>
      </c>
      <c r="GU51" t="str">
        <f t="shared" ca="1" si="78"/>
        <v/>
      </c>
      <c r="GV51" t="str">
        <f t="shared" ca="1" si="79"/>
        <v/>
      </c>
      <c r="GW51" t="str">
        <f t="shared" ca="1" si="138"/>
        <v xml:space="preserve">
</v>
      </c>
      <c r="GX51" t="str">
        <f t="shared" ca="1" si="26"/>
        <v/>
      </c>
      <c r="GY51" t="str">
        <f t="shared" ca="1" si="26"/>
        <v/>
      </c>
      <c r="GZ51" t="str">
        <f t="shared" ca="1" si="157"/>
        <v/>
      </c>
      <c r="HA51" t="str">
        <f t="shared" ca="1" si="26"/>
        <v xml:space="preserve">  Indennita di Vacanza contr.le - annuo lordo euro: 169,19
</v>
      </c>
      <c r="HB51" t="str">
        <f t="shared" ca="1" si="26"/>
        <v/>
      </c>
      <c r="HC51" t="str">
        <f t="shared" ca="1" si="26"/>
        <v xml:space="preserve">rpd/cia - annuo lordo euro: 3458,4
</v>
      </c>
      <c r="HD51" t="str">
        <f t="shared" ca="1" si="80"/>
        <v/>
      </c>
      <c r="HE51" s="254" t="str">
        <f t="shared" ca="1" si="26"/>
        <v/>
      </c>
      <c r="HF51" s="254" t="str">
        <f t="shared" ca="1" si="81"/>
        <v xml:space="preserve">TOTALE ANNUO LORDO EURO 37464,96
</v>
      </c>
      <c r="HL51" t="str">
        <f t="shared" ca="1" si="82"/>
        <v xml:space="preserve"> C.C.N.L. DEL 06/12/2022 -</v>
      </c>
      <c r="HM51" s="263" t="str">
        <f t="shared" ca="1" si="83"/>
        <v xml:space="preserve"> C.C.N.L. DEL 06/12/2022 -
  Indennita di Vacanza contr.le - annuo lordo euro: 169,19
rpd/cia - annuo lordo euro: 3458,4
TOTALE ANNUO LORDO EURO 37464,96
Altri assegni previsti per legge</v>
      </c>
      <c r="HN51" s="263"/>
      <c r="HO51" s="272" t="str">
        <f t="shared" ca="1" si="28"/>
        <v/>
      </c>
      <c r="HP51">
        <f t="shared" ca="1" si="84"/>
        <v>0</v>
      </c>
      <c r="HQ51" t="str">
        <f t="shared" ca="1" si="85"/>
        <v/>
      </c>
      <c r="HR51" t="str">
        <f t="shared" ca="1" si="86"/>
        <v/>
      </c>
      <c r="HS51" t="str">
        <f t="shared" ca="1" si="87"/>
        <v/>
      </c>
      <c r="HX51" s="253" t="s">
        <v>187</v>
      </c>
      <c r="HY51" s="112" t="str">
        <f t="shared" si="88"/>
        <v>6/11/2001</v>
      </c>
      <c r="HZ51" t="s">
        <v>188</v>
      </c>
      <c r="IA51" s="112" t="str">
        <f t="shared" si="89"/>
        <v>30/6/2002</v>
      </c>
      <c r="IB51" t="s">
        <v>189</v>
      </c>
      <c r="IC51">
        <f t="shared" si="90"/>
        <v>0</v>
      </c>
      <c r="ID51" t="s">
        <v>192</v>
      </c>
      <c r="IE51">
        <f t="shared" si="91"/>
        <v>0</v>
      </c>
      <c r="IF51" t="s">
        <v>191</v>
      </c>
      <c r="IG51" s="254">
        <f t="shared" si="92"/>
        <v>0</v>
      </c>
      <c r="IL51" t="str">
        <f t="shared" si="93"/>
        <v xml:space="preserve">DAL: 6/11/2001 - AL:30/6/2002 - ANNI:0 - MESI:0 -GIORNI:0
</v>
      </c>
      <c r="JF51" s="112" t="str">
        <f>IF(DP53=0,"",CONCATENATE(DAY(DP53),"/",MONTH(DP53),"/",YEAR(DP53),"
"))</f>
        <v/>
      </c>
      <c r="KD51">
        <v>0</v>
      </c>
      <c r="KE51" s="260">
        <f t="shared" ca="1" si="94"/>
        <v>53571</v>
      </c>
      <c r="KF51" t="str">
        <f t="shared" si="95"/>
        <v>0-2 anni</v>
      </c>
      <c r="KG51">
        <f t="shared" si="29"/>
        <v>6</v>
      </c>
      <c r="KH51" s="238">
        <f t="shared" ca="1" si="30"/>
        <v>255</v>
      </c>
      <c r="KK51">
        <f t="shared" ca="1" si="96"/>
        <v>16218.89</v>
      </c>
      <c r="KL51">
        <f t="shared" ca="1" si="31"/>
        <v>0</v>
      </c>
      <c r="KM51">
        <f t="shared" ca="1" si="31"/>
        <v>0</v>
      </c>
      <c r="KN51">
        <f t="shared" ca="1" si="31"/>
        <v>6459.63</v>
      </c>
      <c r="KO51">
        <f t="shared" ca="1" si="31"/>
        <v>169.19</v>
      </c>
      <c r="KV51">
        <f t="shared" ca="1" si="32"/>
        <v>3458.4</v>
      </c>
      <c r="LA51" s="254" t="str">
        <f t="shared" si="97"/>
        <v>0-2 anni</v>
      </c>
      <c r="LB51" s="112">
        <f t="shared" si="33"/>
        <v>37201</v>
      </c>
      <c r="LC51" s="112">
        <f t="shared" si="34"/>
        <v>37437</v>
      </c>
      <c r="LD51">
        <f t="shared" ca="1" si="98"/>
        <v>26306.11</v>
      </c>
      <c r="LE51" s="262">
        <f t="shared" ca="1" si="99"/>
        <v>37464.960000000006</v>
      </c>
      <c r="LF51">
        <f t="shared" si="100"/>
        <v>0</v>
      </c>
      <c r="LG51">
        <f t="shared" ca="1" si="101"/>
        <v>0</v>
      </c>
    </row>
    <row r="52" spans="1:319" ht="180" customHeight="1" x14ac:dyDescent="0.25">
      <c r="A52" s="112">
        <f t="shared" si="139"/>
        <v>36892</v>
      </c>
      <c r="B52" s="112">
        <f t="shared" si="35"/>
        <v>37257</v>
      </c>
      <c r="E52" s="240">
        <f>Foglio3!F32</f>
        <v>37202</v>
      </c>
      <c r="F52" s="240">
        <f>Foglio3!G32</f>
        <v>37282</v>
      </c>
      <c r="G52" s="244"/>
      <c r="H52" s="245">
        <f t="shared" si="36"/>
        <v>37202</v>
      </c>
      <c r="I52" s="245">
        <f t="shared" si="15"/>
        <v>37282</v>
      </c>
      <c r="J52" s="244"/>
      <c r="K52" s="244"/>
      <c r="Q52">
        <f t="shared" si="16"/>
        <v>81</v>
      </c>
      <c r="R52">
        <f t="shared" si="140"/>
        <v>0</v>
      </c>
      <c r="S52">
        <f t="shared" si="37"/>
        <v>0</v>
      </c>
      <c r="T52">
        <f t="shared" si="128"/>
        <v>0</v>
      </c>
      <c r="U52">
        <f t="shared" si="129"/>
        <v>0</v>
      </c>
      <c r="W52">
        <f t="shared" si="130"/>
        <v>0</v>
      </c>
      <c r="X52">
        <f t="shared" si="130"/>
        <v>34</v>
      </c>
      <c r="Y52">
        <f t="shared" si="130"/>
        <v>101</v>
      </c>
      <c r="AA52" s="112">
        <f t="shared" si="102"/>
        <v>37202</v>
      </c>
      <c r="AB52" s="112">
        <f t="shared" si="103"/>
        <v>37282</v>
      </c>
      <c r="AG52">
        <f t="shared" si="38"/>
        <v>1</v>
      </c>
      <c r="AH52" s="112">
        <f t="shared" si="39"/>
        <v>37202</v>
      </c>
      <c r="AI52" s="112">
        <f t="shared" si="39"/>
        <v>37282</v>
      </c>
      <c r="AJ52">
        <f t="shared" si="40"/>
        <v>1</v>
      </c>
      <c r="AK52">
        <f t="shared" si="104"/>
        <v>1</v>
      </c>
      <c r="AL52">
        <f t="shared" si="131"/>
        <v>0</v>
      </c>
      <c r="AN52">
        <f t="shared" si="132"/>
        <v>81</v>
      </c>
      <c r="AO52">
        <f t="shared" si="133"/>
        <v>0</v>
      </c>
      <c r="AP52">
        <f t="shared" si="105"/>
        <v>81</v>
      </c>
      <c r="AS52">
        <f t="shared" si="141"/>
        <v>0</v>
      </c>
      <c r="AT52">
        <f t="shared" si="142"/>
        <v>0</v>
      </c>
      <c r="AV52">
        <f t="shared" si="143"/>
        <v>0</v>
      </c>
      <c r="AW52">
        <f t="shared" si="144"/>
        <v>0</v>
      </c>
      <c r="AX52">
        <f t="shared" si="106"/>
        <v>0</v>
      </c>
      <c r="BA52">
        <f t="shared" si="161"/>
        <v>0</v>
      </c>
      <c r="BB52">
        <f t="shared" si="162"/>
        <v>0</v>
      </c>
      <c r="BD52">
        <f t="shared" si="146"/>
        <v>0</v>
      </c>
      <c r="BE52">
        <f t="shared" si="147"/>
        <v>0</v>
      </c>
      <c r="BF52">
        <f t="shared" si="136"/>
        <v>0</v>
      </c>
      <c r="BI52">
        <f t="shared" si="148"/>
        <v>1</v>
      </c>
      <c r="BJ52">
        <f t="shared" si="150"/>
        <v>0</v>
      </c>
      <c r="BK52">
        <f t="shared" si="151"/>
        <v>81</v>
      </c>
      <c r="BL52">
        <f t="shared" si="152"/>
        <v>0</v>
      </c>
      <c r="BM52">
        <f t="shared" si="145"/>
        <v>81</v>
      </c>
      <c r="BO52">
        <f t="shared" si="153"/>
        <v>0</v>
      </c>
      <c r="BP52">
        <f t="shared" si="154"/>
        <v>0</v>
      </c>
      <c r="BR52">
        <f t="shared" si="155"/>
        <v>0</v>
      </c>
      <c r="BS52">
        <f t="shared" si="156"/>
        <v>0</v>
      </c>
      <c r="BT52">
        <f t="shared" si="149"/>
        <v>0</v>
      </c>
      <c r="BV52">
        <f t="shared" si="107"/>
        <v>81</v>
      </c>
      <c r="BX52">
        <f t="shared" si="108"/>
        <v>81</v>
      </c>
      <c r="BY52">
        <f t="shared" si="109"/>
        <v>0</v>
      </c>
      <c r="BZ52">
        <f t="shared" si="110"/>
        <v>0</v>
      </c>
      <c r="CA52">
        <f t="shared" si="111"/>
        <v>81</v>
      </c>
      <c r="CB52">
        <f t="shared" si="112"/>
        <v>0</v>
      </c>
      <c r="CG52">
        <f t="shared" si="41"/>
        <v>2001</v>
      </c>
      <c r="CH52">
        <f t="shared" si="41"/>
        <v>2002</v>
      </c>
      <c r="CJ52">
        <f t="shared" si="42"/>
        <v>0</v>
      </c>
      <c r="CK52">
        <f t="shared" si="158"/>
        <v>0</v>
      </c>
      <c r="CL52">
        <f t="shared" si="43"/>
        <v>0</v>
      </c>
      <c r="CN52">
        <f t="shared" si="44"/>
        <v>0</v>
      </c>
      <c r="CS52">
        <f t="shared" si="45"/>
        <v>0</v>
      </c>
      <c r="CT52" s="246">
        <f t="shared" si="113"/>
        <v>1121</v>
      </c>
      <c r="CV52" s="112">
        <f t="shared" si="46"/>
        <v>37282</v>
      </c>
      <c r="CX52" s="112">
        <f t="shared" si="47"/>
        <v>100000</v>
      </c>
      <c r="CY52" s="270">
        <f t="shared" si="114"/>
        <v>100000</v>
      </c>
      <c r="CZ52" s="112">
        <f t="shared" si="115"/>
        <v>100000</v>
      </c>
      <c r="DA52" s="112">
        <f t="shared" si="116"/>
        <v>100000</v>
      </c>
      <c r="DB52" s="112">
        <f t="shared" si="117"/>
        <v>100000</v>
      </c>
      <c r="DC52" s="112">
        <f t="shared" si="118"/>
        <v>100000</v>
      </c>
      <c r="DU52" s="112"/>
      <c r="DV52" s="112"/>
      <c r="DW52" s="277">
        <v>38718</v>
      </c>
      <c r="DX52" s="276"/>
      <c r="DY52" s="276"/>
      <c r="DZ52" s="276"/>
      <c r="EF52" s="260" t="str">
        <f t="shared" si="160"/>
        <v/>
      </c>
      <c r="EK52" s="254"/>
      <c r="EL52">
        <f t="shared" si="163"/>
        <v>13</v>
      </c>
      <c r="EM52" s="260">
        <f t="shared" ca="1" si="121"/>
        <v>48823</v>
      </c>
      <c r="EN52" s="112">
        <f t="shared" ca="1" si="56"/>
        <v>48823</v>
      </c>
      <c r="EO52" s="112">
        <f t="shared" ca="1" si="57"/>
        <v>48823</v>
      </c>
      <c r="EP52" s="112">
        <f t="shared" ca="1" si="122"/>
        <v>48823</v>
      </c>
      <c r="EQ52" s="273">
        <f t="shared" ca="1" si="137"/>
        <v>48823</v>
      </c>
      <c r="ER52" s="302">
        <f t="shared" ca="1" si="58"/>
        <v>100000</v>
      </c>
      <c r="EU52">
        <f t="shared" ca="1" si="159"/>
        <v>28</v>
      </c>
      <c r="EV52" s="260">
        <f t="shared" ca="1" si="123"/>
        <v>100000</v>
      </c>
      <c r="EW52" t="str">
        <f t="shared" ca="1" si="59"/>
        <v>28-34 anni</v>
      </c>
      <c r="EX52">
        <f t="shared" ca="1" si="19"/>
        <v>1</v>
      </c>
      <c r="EY52" s="238">
        <f t="shared" ca="1" si="20"/>
        <v>260</v>
      </c>
      <c r="EZ52" t="str">
        <f t="shared" ca="1" si="60"/>
        <v>28-34 anni</v>
      </c>
      <c r="FB52">
        <f t="shared" ca="1" si="61"/>
        <v>27377.74</v>
      </c>
      <c r="FC52">
        <f t="shared" ca="1" si="21"/>
        <v>0</v>
      </c>
      <c r="FD52">
        <f t="shared" ca="1" si="21"/>
        <v>0</v>
      </c>
      <c r="FE52">
        <f t="shared" ca="1" si="21"/>
        <v>6459.63</v>
      </c>
      <c r="FF52">
        <f t="shared" ca="1" si="21"/>
        <v>169.19</v>
      </c>
      <c r="FL52">
        <f t="shared" ca="1" si="62"/>
        <v>0</v>
      </c>
      <c r="FM52">
        <f t="shared" ca="1" si="22"/>
        <v>3458.4</v>
      </c>
      <c r="FR52" s="254" t="str">
        <f t="shared" ca="1" si="124"/>
        <v>28-34 anni</v>
      </c>
      <c r="FS52">
        <f t="shared" si="125"/>
        <v>52</v>
      </c>
      <c r="FT52" t="str">
        <f t="shared" ca="1" si="23"/>
        <v>ez52</v>
      </c>
      <c r="FU52" t="str">
        <f t="shared" ca="1" si="23"/>
        <v>EV52</v>
      </c>
      <c r="FV52" t="str">
        <f t="shared" ca="1" si="23"/>
        <v>FB52</v>
      </c>
      <c r="FW52" t="str">
        <f t="shared" ca="1" si="23"/>
        <v>FC52</v>
      </c>
      <c r="FX52" t="str">
        <f t="shared" ca="1" si="23"/>
        <v>FD52</v>
      </c>
      <c r="FY52" t="str">
        <f t="shared" ca="1" si="23"/>
        <v>FE52</v>
      </c>
      <c r="FZ52" t="str">
        <f t="shared" ca="1" si="23"/>
        <v>FF52</v>
      </c>
      <c r="GA52" t="str">
        <f t="shared" ca="1" si="23"/>
        <v>FL52</v>
      </c>
      <c r="GB52" t="str">
        <f t="shared" ca="1" si="23"/>
        <v>FM52</v>
      </c>
      <c r="GC52" t="str">
        <f t="shared" ca="1" si="63"/>
        <v/>
      </c>
      <c r="GD52" t="str">
        <f t="shared" ca="1" si="23"/>
        <v/>
      </c>
      <c r="GE52">
        <f t="shared" ca="1" si="126"/>
        <v>0</v>
      </c>
      <c r="GF52" s="112">
        <f t="shared" ca="1" si="64"/>
        <v>100000</v>
      </c>
      <c r="GG52" s="238" t="str">
        <f t="shared" ca="1" si="65"/>
        <v>28-34 anni</v>
      </c>
      <c r="GH52" s="262">
        <f t="shared" ca="1" si="66"/>
        <v>27377.74</v>
      </c>
      <c r="GI52" s="262">
        <f t="shared" ca="1" si="67"/>
        <v>0</v>
      </c>
      <c r="GJ52" s="262">
        <f t="shared" ca="1" si="68"/>
        <v>0</v>
      </c>
      <c r="GK52" s="262">
        <f t="shared" ca="1" si="69"/>
        <v>6459.63</v>
      </c>
      <c r="GL52" s="262">
        <f t="shared" ca="1" si="70"/>
        <v>169.19</v>
      </c>
      <c r="GM52" s="262">
        <f t="shared" ca="1" si="71"/>
        <v>0</v>
      </c>
      <c r="GN52" s="262">
        <f t="shared" ca="1" si="72"/>
        <v>3458.4</v>
      </c>
      <c r="GO52" s="262">
        <f t="shared" ca="1" si="73"/>
        <v>0</v>
      </c>
      <c r="GP52" s="262">
        <f t="shared" ca="1" si="74"/>
        <v>0</v>
      </c>
      <c r="GR52" s="262">
        <f t="shared" ca="1" si="76"/>
        <v>33837.370000000003</v>
      </c>
      <c r="GS52" s="262">
        <f t="shared" ca="1" si="25"/>
        <v>37464.960000000006</v>
      </c>
      <c r="GT52" s="253" t="str">
        <f t="shared" ca="1" si="77"/>
        <v/>
      </c>
      <c r="GU52" t="str">
        <f t="shared" ca="1" si="78"/>
        <v/>
      </c>
      <c r="GV52" t="str">
        <f t="shared" ca="1" si="79"/>
        <v/>
      </c>
      <c r="GW52" t="str">
        <f t="shared" ca="1" si="138"/>
        <v xml:space="preserve">
</v>
      </c>
      <c r="GX52" t="str">
        <f t="shared" ca="1" si="26"/>
        <v/>
      </c>
      <c r="GY52" t="str">
        <f t="shared" ca="1" si="26"/>
        <v/>
      </c>
      <c r="GZ52" t="str">
        <f t="shared" ca="1" si="157"/>
        <v/>
      </c>
      <c r="HA52" t="str">
        <f t="shared" ca="1" si="26"/>
        <v xml:space="preserve">  Indennita di Vacanza contr.le - annuo lordo euro: 169,19
</v>
      </c>
      <c r="HB52" t="str">
        <f t="shared" ca="1" si="26"/>
        <v/>
      </c>
      <c r="HC52" t="str">
        <f t="shared" ca="1" si="26"/>
        <v xml:space="preserve">rpd/cia - annuo lordo euro: 3458,4
</v>
      </c>
      <c r="HD52" t="str">
        <f t="shared" ca="1" si="80"/>
        <v/>
      </c>
      <c r="HE52" s="254" t="str">
        <f t="shared" ca="1" si="26"/>
        <v/>
      </c>
      <c r="HF52" s="254" t="str">
        <f t="shared" ca="1" si="81"/>
        <v xml:space="preserve">TOTALE ANNUO LORDO EURO 37464,96
</v>
      </c>
      <c r="HL52" t="str">
        <f t="shared" ca="1" si="82"/>
        <v xml:space="preserve"> C.C.N.L. DEL 06/12/2022 -</v>
      </c>
      <c r="HM52" s="263" t="str">
        <f t="shared" ca="1" si="83"/>
        <v xml:space="preserve"> C.C.N.L. DEL 06/12/2022 -
  Indennita di Vacanza contr.le - annuo lordo euro: 169,19
rpd/cia - annuo lordo euro: 3458,4
TOTALE ANNUO LORDO EURO 37464,96
Altri assegni previsti per legge</v>
      </c>
      <c r="HN52" s="263"/>
      <c r="HO52" s="272" t="str">
        <f t="shared" ca="1" si="28"/>
        <v/>
      </c>
      <c r="HP52">
        <f t="shared" ca="1" si="84"/>
        <v>0</v>
      </c>
      <c r="HQ52" t="str">
        <f t="shared" ca="1" si="85"/>
        <v/>
      </c>
      <c r="HR52" t="str">
        <f t="shared" ca="1" si="86"/>
        <v/>
      </c>
      <c r="HS52" t="str">
        <f t="shared" ca="1" si="87"/>
        <v/>
      </c>
      <c r="HX52" s="253" t="s">
        <v>187</v>
      </c>
      <c r="HY52" s="112" t="str">
        <f t="shared" si="88"/>
        <v>7/11/2001</v>
      </c>
      <c r="HZ52" t="s">
        <v>188</v>
      </c>
      <c r="IA52" s="112" t="str">
        <f t="shared" si="89"/>
        <v>26/1/2002</v>
      </c>
      <c r="IB52" t="s">
        <v>189</v>
      </c>
      <c r="IC52">
        <f t="shared" si="90"/>
        <v>0</v>
      </c>
      <c r="ID52" t="s">
        <v>192</v>
      </c>
      <c r="IE52">
        <f t="shared" si="91"/>
        <v>0</v>
      </c>
      <c r="IF52" t="s">
        <v>191</v>
      </c>
      <c r="IG52" s="254">
        <f t="shared" si="92"/>
        <v>0</v>
      </c>
      <c r="IL52" t="str">
        <f t="shared" si="93"/>
        <v xml:space="preserve">DAL: 7/11/2001 - AL:26/1/2002 - ANNI:0 - MESI:0 -GIORNI:0
</v>
      </c>
      <c r="JF52" s="112" t="str">
        <f>IF(DP54=0,"",CONCATENATE(DAY(DP54),"/",MONTH(DP54),"/",YEAR(DP54),"
"))</f>
        <v/>
      </c>
      <c r="KD52">
        <v>0</v>
      </c>
      <c r="KE52" s="260">
        <f t="shared" ca="1" si="94"/>
        <v>100000</v>
      </c>
      <c r="KF52" t="str">
        <f t="shared" si="95"/>
        <v>0-2 anni</v>
      </c>
      <c r="KG52">
        <f t="shared" si="29"/>
        <v>6</v>
      </c>
      <c r="KH52" s="238">
        <f t="shared" ca="1" si="30"/>
        <v>255</v>
      </c>
      <c r="KK52">
        <f t="shared" ca="1" si="96"/>
        <v>16218.89</v>
      </c>
      <c r="KL52">
        <f t="shared" ca="1" si="31"/>
        <v>0</v>
      </c>
      <c r="KM52">
        <f t="shared" ca="1" si="31"/>
        <v>0</v>
      </c>
      <c r="KN52">
        <f t="shared" ca="1" si="31"/>
        <v>6459.63</v>
      </c>
      <c r="KO52">
        <f t="shared" ca="1" si="31"/>
        <v>169.19</v>
      </c>
      <c r="KV52">
        <f t="shared" ca="1" si="32"/>
        <v>3458.4</v>
      </c>
      <c r="LA52" s="254" t="str">
        <f t="shared" si="97"/>
        <v>0-2 anni</v>
      </c>
      <c r="LB52" s="112">
        <f t="shared" si="33"/>
        <v>37202</v>
      </c>
      <c r="LC52" s="112">
        <f t="shared" si="34"/>
        <v>37282</v>
      </c>
      <c r="LD52">
        <f t="shared" ca="1" si="98"/>
        <v>26306.11</v>
      </c>
      <c r="LE52" s="262">
        <f t="shared" ca="1" si="99"/>
        <v>37464.960000000006</v>
      </c>
      <c r="LF52">
        <f t="shared" si="100"/>
        <v>0</v>
      </c>
      <c r="LG52">
        <f t="shared" ca="1" si="101"/>
        <v>0</v>
      </c>
    </row>
    <row r="53" spans="1:319" ht="82.15" customHeight="1" x14ac:dyDescent="0.25">
      <c r="A53" s="112">
        <f t="shared" si="139"/>
        <v>36892</v>
      </c>
      <c r="B53" s="112">
        <f t="shared" si="35"/>
        <v>37257</v>
      </c>
      <c r="E53" s="240">
        <f>Foglio3!F33</f>
        <v>37284</v>
      </c>
      <c r="F53" s="240">
        <f>Foglio3!G33</f>
        <v>37437</v>
      </c>
      <c r="G53" s="244"/>
      <c r="H53" s="245">
        <f t="shared" si="36"/>
        <v>37284</v>
      </c>
      <c r="I53" s="245">
        <f t="shared" si="15"/>
        <v>37437</v>
      </c>
      <c r="J53" s="244"/>
      <c r="K53" s="244"/>
      <c r="Q53">
        <f t="shared" si="16"/>
        <v>154</v>
      </c>
      <c r="R53">
        <f t="shared" si="140"/>
        <v>0</v>
      </c>
      <c r="S53">
        <f t="shared" si="37"/>
        <v>0</v>
      </c>
      <c r="T53">
        <f t="shared" si="128"/>
        <v>0</v>
      </c>
      <c r="U53">
        <f t="shared" si="129"/>
        <v>0</v>
      </c>
      <c r="W53">
        <f t="shared" si="130"/>
        <v>0</v>
      </c>
      <c r="X53">
        <f t="shared" si="130"/>
        <v>34</v>
      </c>
      <c r="Y53">
        <f t="shared" si="130"/>
        <v>101</v>
      </c>
      <c r="AA53" s="112">
        <f t="shared" si="102"/>
        <v>37284</v>
      </c>
      <c r="AB53" s="112">
        <f t="shared" si="103"/>
        <v>37437</v>
      </c>
      <c r="AG53">
        <f t="shared" si="38"/>
        <v>1</v>
      </c>
      <c r="AH53" s="112">
        <f t="shared" si="39"/>
        <v>37284</v>
      </c>
      <c r="AI53" s="112">
        <f t="shared" si="39"/>
        <v>37437</v>
      </c>
      <c r="AJ53">
        <f t="shared" si="40"/>
        <v>1</v>
      </c>
      <c r="AK53">
        <f t="shared" si="104"/>
        <v>0</v>
      </c>
      <c r="AL53">
        <f t="shared" si="131"/>
        <v>0</v>
      </c>
      <c r="AN53">
        <f t="shared" si="132"/>
        <v>0</v>
      </c>
      <c r="AO53">
        <f t="shared" si="133"/>
        <v>0</v>
      </c>
      <c r="AP53">
        <f t="shared" si="105"/>
        <v>0</v>
      </c>
      <c r="AS53">
        <f t="shared" si="141"/>
        <v>1</v>
      </c>
      <c r="AT53">
        <f t="shared" si="142"/>
        <v>0</v>
      </c>
      <c r="AV53">
        <f t="shared" si="143"/>
        <v>154</v>
      </c>
      <c r="AW53">
        <f t="shared" si="144"/>
        <v>0</v>
      </c>
      <c r="AX53">
        <f t="shared" si="106"/>
        <v>154</v>
      </c>
      <c r="BA53">
        <f t="shared" si="161"/>
        <v>0</v>
      </c>
      <c r="BB53">
        <f t="shared" si="162"/>
        <v>0</v>
      </c>
      <c r="BD53">
        <f t="shared" si="146"/>
        <v>0</v>
      </c>
      <c r="BE53">
        <f t="shared" si="147"/>
        <v>0</v>
      </c>
      <c r="BF53">
        <f t="shared" si="136"/>
        <v>0</v>
      </c>
      <c r="BI53">
        <f t="shared" si="148"/>
        <v>0</v>
      </c>
      <c r="BJ53">
        <f t="shared" si="150"/>
        <v>0</v>
      </c>
      <c r="BK53">
        <f t="shared" si="151"/>
        <v>0</v>
      </c>
      <c r="BL53">
        <f t="shared" si="152"/>
        <v>0</v>
      </c>
      <c r="BM53">
        <f t="shared" si="145"/>
        <v>0</v>
      </c>
      <c r="BO53">
        <f t="shared" si="153"/>
        <v>1</v>
      </c>
      <c r="BP53">
        <f t="shared" si="154"/>
        <v>0</v>
      </c>
      <c r="BR53">
        <f t="shared" si="155"/>
        <v>154</v>
      </c>
      <c r="BS53">
        <f t="shared" si="156"/>
        <v>0</v>
      </c>
      <c r="BT53">
        <f t="shared" si="149"/>
        <v>154</v>
      </c>
      <c r="BV53">
        <f t="shared" si="107"/>
        <v>154</v>
      </c>
      <c r="BX53">
        <f t="shared" si="108"/>
        <v>0</v>
      </c>
      <c r="BY53">
        <f t="shared" si="109"/>
        <v>154</v>
      </c>
      <c r="BZ53">
        <f t="shared" si="110"/>
        <v>0</v>
      </c>
      <c r="CA53">
        <f t="shared" si="111"/>
        <v>0</v>
      </c>
      <c r="CB53">
        <f t="shared" si="112"/>
        <v>154</v>
      </c>
      <c r="CG53">
        <f t="shared" si="41"/>
        <v>2002</v>
      </c>
      <c r="CH53">
        <f t="shared" si="41"/>
        <v>2002</v>
      </c>
      <c r="CJ53">
        <f t="shared" si="42"/>
        <v>0</v>
      </c>
      <c r="CK53">
        <f t="shared" si="158"/>
        <v>0</v>
      </c>
      <c r="CL53">
        <f t="shared" si="43"/>
        <v>0</v>
      </c>
      <c r="CN53">
        <f t="shared" si="44"/>
        <v>0</v>
      </c>
      <c r="CS53">
        <f t="shared" si="45"/>
        <v>0</v>
      </c>
      <c r="CT53">
        <f t="shared" si="113"/>
        <v>1121</v>
      </c>
      <c r="CV53" s="112">
        <f t="shared" si="46"/>
        <v>37437</v>
      </c>
      <c r="CX53" s="112">
        <f t="shared" si="47"/>
        <v>100000</v>
      </c>
      <c r="CY53" s="270">
        <f t="shared" si="114"/>
        <v>100000</v>
      </c>
      <c r="CZ53" s="112">
        <f t="shared" si="115"/>
        <v>100000</v>
      </c>
      <c r="DA53" s="112">
        <f t="shared" si="116"/>
        <v>100000</v>
      </c>
      <c r="DB53" s="112">
        <f t="shared" si="117"/>
        <v>100000</v>
      </c>
      <c r="DC53" s="112">
        <f t="shared" si="118"/>
        <v>100000</v>
      </c>
      <c r="DU53" s="112"/>
      <c r="DV53" s="112"/>
      <c r="DW53" s="277">
        <v>39083</v>
      </c>
      <c r="DX53" s="276"/>
      <c r="DY53" s="276"/>
      <c r="DZ53" s="276"/>
      <c r="EF53" s="260" t="str">
        <f t="shared" si="160"/>
        <v/>
      </c>
      <c r="EK53" s="254"/>
      <c r="EL53">
        <f t="shared" si="163"/>
        <v>14</v>
      </c>
      <c r="EM53" s="260">
        <f t="shared" ca="1" si="121"/>
        <v>51014</v>
      </c>
      <c r="EN53" s="112">
        <f t="shared" ca="1" si="56"/>
        <v>51014</v>
      </c>
      <c r="EO53" s="112">
        <f t="shared" ca="1" si="57"/>
        <v>51014</v>
      </c>
      <c r="EP53" s="112">
        <f t="shared" ca="1" si="122"/>
        <v>51014</v>
      </c>
      <c r="EQ53" s="273">
        <f t="shared" ca="1" si="137"/>
        <v>51014</v>
      </c>
      <c r="ER53" s="302">
        <f t="shared" ca="1" si="58"/>
        <v>100000</v>
      </c>
      <c r="EU53">
        <f t="shared" ca="1" si="159"/>
        <v>28</v>
      </c>
      <c r="EV53" s="260">
        <f t="shared" ca="1" si="123"/>
        <v>100000</v>
      </c>
      <c r="EW53" t="str">
        <f t="shared" ca="1" si="59"/>
        <v>28-34 anni</v>
      </c>
      <c r="EX53">
        <f t="shared" ca="1" si="19"/>
        <v>1</v>
      </c>
      <c r="EY53" s="238">
        <f t="shared" ca="1" si="20"/>
        <v>260</v>
      </c>
      <c r="EZ53" t="str">
        <f t="shared" ca="1" si="60"/>
        <v>28-34 anni</v>
      </c>
      <c r="FB53">
        <f t="shared" ca="1" si="61"/>
        <v>27377.74</v>
      </c>
      <c r="FC53">
        <f t="shared" ca="1" si="21"/>
        <v>0</v>
      </c>
      <c r="FD53">
        <f t="shared" ca="1" si="21"/>
        <v>0</v>
      </c>
      <c r="FE53">
        <f t="shared" ca="1" si="21"/>
        <v>6459.63</v>
      </c>
      <c r="FF53">
        <f t="shared" ca="1" si="21"/>
        <v>169.19</v>
      </c>
      <c r="FL53">
        <f t="shared" ca="1" si="62"/>
        <v>0</v>
      </c>
      <c r="FM53">
        <f t="shared" ca="1" si="22"/>
        <v>3458.4</v>
      </c>
      <c r="FR53" s="254" t="str">
        <f t="shared" ca="1" si="124"/>
        <v>28-34 anni</v>
      </c>
      <c r="FS53">
        <f t="shared" si="125"/>
        <v>53</v>
      </c>
      <c r="FT53" t="str">
        <f t="shared" ca="1" si="23"/>
        <v>ez53</v>
      </c>
      <c r="FU53" t="str">
        <f t="shared" ca="1" si="23"/>
        <v>EV53</v>
      </c>
      <c r="FV53" t="str">
        <f t="shared" ca="1" si="23"/>
        <v>FB53</v>
      </c>
      <c r="FW53" t="str">
        <f t="shared" ca="1" si="23"/>
        <v>FC53</v>
      </c>
      <c r="FX53" t="str">
        <f t="shared" ca="1" si="23"/>
        <v>FD53</v>
      </c>
      <c r="FY53" t="str">
        <f t="shared" ca="1" si="23"/>
        <v>FE53</v>
      </c>
      <c r="FZ53" t="str">
        <f t="shared" ca="1" si="23"/>
        <v>FF53</v>
      </c>
      <c r="GA53" t="str">
        <f t="shared" ca="1" si="23"/>
        <v>FL53</v>
      </c>
      <c r="GB53" t="str">
        <f t="shared" ca="1" si="23"/>
        <v>FM53</v>
      </c>
      <c r="GC53" t="str">
        <f t="shared" ca="1" si="63"/>
        <v/>
      </c>
      <c r="GD53" t="str">
        <f t="shared" ca="1" si="23"/>
        <v/>
      </c>
      <c r="GE53">
        <f t="shared" ca="1" si="126"/>
        <v>0</v>
      </c>
      <c r="GF53" s="112">
        <f t="shared" ca="1" si="64"/>
        <v>100000</v>
      </c>
      <c r="GG53" s="238" t="str">
        <f t="shared" ca="1" si="65"/>
        <v>28-34 anni</v>
      </c>
      <c r="GH53" s="262">
        <f t="shared" ca="1" si="66"/>
        <v>27377.74</v>
      </c>
      <c r="GI53" s="262">
        <f t="shared" ca="1" si="67"/>
        <v>0</v>
      </c>
      <c r="GJ53" s="262">
        <f t="shared" ca="1" si="68"/>
        <v>0</v>
      </c>
      <c r="GK53" s="262">
        <f t="shared" ca="1" si="69"/>
        <v>6459.63</v>
      </c>
      <c r="GL53" s="262">
        <f t="shared" ca="1" si="70"/>
        <v>169.19</v>
      </c>
      <c r="GM53" s="262">
        <f t="shared" ca="1" si="71"/>
        <v>0</v>
      </c>
      <c r="GN53" s="262">
        <f t="shared" ca="1" si="72"/>
        <v>3458.4</v>
      </c>
      <c r="GO53" s="262">
        <f t="shared" ca="1" si="73"/>
        <v>0</v>
      </c>
      <c r="GP53" s="262">
        <f t="shared" ca="1" si="74"/>
        <v>0</v>
      </c>
      <c r="GR53" s="262">
        <f t="shared" ca="1" si="76"/>
        <v>33837.370000000003</v>
      </c>
      <c r="GS53" s="262">
        <f t="shared" ca="1" si="25"/>
        <v>37464.960000000006</v>
      </c>
      <c r="GT53" s="253" t="str">
        <f t="shared" ca="1" si="77"/>
        <v/>
      </c>
      <c r="GU53" t="str">
        <f t="shared" ca="1" si="78"/>
        <v/>
      </c>
      <c r="GV53" t="str">
        <f t="shared" ca="1" si="79"/>
        <v/>
      </c>
      <c r="GW53" t="str">
        <f t="shared" ca="1" si="138"/>
        <v xml:space="preserve">
</v>
      </c>
      <c r="GX53" t="str">
        <f t="shared" ca="1" si="26"/>
        <v/>
      </c>
      <c r="GY53" t="str">
        <f t="shared" ca="1" si="26"/>
        <v/>
      </c>
      <c r="GZ53" t="str">
        <f t="shared" ca="1" si="157"/>
        <v/>
      </c>
      <c r="HA53" t="str">
        <f t="shared" ca="1" si="26"/>
        <v xml:space="preserve">  Indennita di Vacanza contr.le - annuo lordo euro: 169,19
</v>
      </c>
      <c r="HB53" t="str">
        <f t="shared" ca="1" si="26"/>
        <v/>
      </c>
      <c r="HC53" t="str">
        <f t="shared" ca="1" si="26"/>
        <v xml:space="preserve">rpd/cia - annuo lordo euro: 3458,4
</v>
      </c>
      <c r="HD53" t="str">
        <f t="shared" ca="1" si="80"/>
        <v/>
      </c>
      <c r="HE53" s="254" t="str">
        <f t="shared" ca="1" si="26"/>
        <v/>
      </c>
      <c r="HF53" s="254" t="str">
        <f t="shared" ca="1" si="81"/>
        <v xml:space="preserve">TOTALE ANNUO LORDO EURO 37464,96
</v>
      </c>
      <c r="HL53" t="str">
        <f t="shared" ca="1" si="82"/>
        <v xml:space="preserve"> C.C.N.L. DEL 06/12/2022 -</v>
      </c>
      <c r="HM53" s="263" t="str">
        <f t="shared" ca="1" si="83"/>
        <v xml:space="preserve"> C.C.N.L. DEL 06/12/2022 -
  Indennita di Vacanza contr.le - annuo lordo euro: 169,19
rpd/cia - annuo lordo euro: 3458,4
TOTALE ANNUO LORDO EURO 37464,96
Altri assegni previsti per legge</v>
      </c>
      <c r="HN53" s="263"/>
      <c r="HO53" s="272" t="str">
        <f t="shared" ca="1" si="28"/>
        <v/>
      </c>
      <c r="HP53">
        <f t="shared" ca="1" si="84"/>
        <v>0</v>
      </c>
      <c r="HQ53" t="str">
        <f t="shared" ca="1" si="85"/>
        <v/>
      </c>
      <c r="HR53" t="str">
        <f t="shared" ca="1" si="86"/>
        <v/>
      </c>
      <c r="HS53" t="str">
        <f t="shared" ca="1" si="87"/>
        <v/>
      </c>
      <c r="HX53" s="253" t="s">
        <v>187</v>
      </c>
      <c r="HY53" s="112" t="str">
        <f t="shared" si="88"/>
        <v>28/1/2002</v>
      </c>
      <c r="HZ53" t="s">
        <v>188</v>
      </c>
      <c r="IA53" s="112" t="str">
        <f t="shared" si="89"/>
        <v>30/6/2002</v>
      </c>
      <c r="IB53" t="s">
        <v>189</v>
      </c>
      <c r="IC53">
        <f t="shared" si="90"/>
        <v>0</v>
      </c>
      <c r="ID53" t="s">
        <v>192</v>
      </c>
      <c r="IE53">
        <f t="shared" si="91"/>
        <v>0</v>
      </c>
      <c r="IF53" t="s">
        <v>191</v>
      </c>
      <c r="IG53" s="254">
        <f t="shared" si="92"/>
        <v>0</v>
      </c>
      <c r="IL53" t="str">
        <f t="shared" si="93"/>
        <v xml:space="preserve">DAL: 28/1/2002 - AL:30/6/2002 - ANNI:0 - MESI:0 -GIORNI:0
</v>
      </c>
      <c r="KD53">
        <v>0</v>
      </c>
      <c r="KE53" s="260">
        <f t="shared" ca="1" si="94"/>
        <v>100000</v>
      </c>
      <c r="KF53" t="str">
        <f t="shared" si="95"/>
        <v>0-2 anni</v>
      </c>
      <c r="KG53">
        <f t="shared" si="29"/>
        <v>6</v>
      </c>
      <c r="KH53" s="238">
        <f t="shared" ca="1" si="30"/>
        <v>255</v>
      </c>
      <c r="KK53">
        <f t="shared" ca="1" si="96"/>
        <v>16218.89</v>
      </c>
      <c r="KL53">
        <f t="shared" ca="1" si="31"/>
        <v>0</v>
      </c>
      <c r="KM53">
        <f t="shared" ca="1" si="31"/>
        <v>0</v>
      </c>
      <c r="KN53">
        <f t="shared" ca="1" si="31"/>
        <v>6459.63</v>
      </c>
      <c r="KO53">
        <f t="shared" ca="1" si="31"/>
        <v>169.19</v>
      </c>
      <c r="KV53">
        <f t="shared" ca="1" si="32"/>
        <v>3458.4</v>
      </c>
      <c r="LA53" s="254" t="str">
        <f t="shared" si="97"/>
        <v>0-2 anni</v>
      </c>
      <c r="LB53" s="112">
        <f t="shared" si="33"/>
        <v>37284</v>
      </c>
      <c r="LC53" s="112">
        <f t="shared" si="34"/>
        <v>37437</v>
      </c>
      <c r="LD53">
        <f t="shared" ca="1" si="98"/>
        <v>26306.11</v>
      </c>
      <c r="LE53" s="262">
        <f t="shared" ca="1" si="99"/>
        <v>37464.960000000006</v>
      </c>
      <c r="LF53">
        <f t="shared" si="100"/>
        <v>0</v>
      </c>
      <c r="LG53">
        <f t="shared" ca="1" si="101"/>
        <v>0</v>
      </c>
    </row>
    <row r="54" spans="1:319" ht="138.6" customHeight="1" x14ac:dyDescent="0.25">
      <c r="A54" s="112">
        <f t="shared" si="139"/>
        <v>36892</v>
      </c>
      <c r="B54" s="112">
        <f t="shared" si="35"/>
        <v>37257</v>
      </c>
      <c r="E54" s="240">
        <f>Foglio3!F34</f>
        <v>37537</v>
      </c>
      <c r="F54" s="240">
        <f>Foglio3!G34</f>
        <v>37551</v>
      </c>
      <c r="G54" s="244"/>
      <c r="H54" s="245">
        <f t="shared" si="36"/>
        <v>37537</v>
      </c>
      <c r="I54" s="245">
        <f t="shared" si="15"/>
        <v>37551</v>
      </c>
      <c r="J54" s="244"/>
      <c r="K54" s="244"/>
      <c r="Q54">
        <f t="shared" si="16"/>
        <v>15</v>
      </c>
      <c r="R54">
        <f t="shared" si="140"/>
        <v>15</v>
      </c>
      <c r="S54">
        <f t="shared" si="37"/>
        <v>0</v>
      </c>
      <c r="T54">
        <f t="shared" si="128"/>
        <v>0</v>
      </c>
      <c r="U54">
        <f t="shared" si="129"/>
        <v>15</v>
      </c>
      <c r="W54">
        <f t="shared" si="130"/>
        <v>0</v>
      </c>
      <c r="X54">
        <f t="shared" si="130"/>
        <v>34</v>
      </c>
      <c r="Y54">
        <f t="shared" si="130"/>
        <v>116</v>
      </c>
      <c r="AA54" s="112">
        <f t="shared" si="102"/>
        <v>37537</v>
      </c>
      <c r="AB54" s="112">
        <f t="shared" si="103"/>
        <v>37551</v>
      </c>
      <c r="AG54">
        <f t="shared" si="38"/>
        <v>1</v>
      </c>
      <c r="AH54" s="112">
        <f t="shared" si="39"/>
        <v>37537</v>
      </c>
      <c r="AI54" s="112">
        <f t="shared" si="39"/>
        <v>37551</v>
      </c>
      <c r="AJ54">
        <f t="shared" si="40"/>
        <v>1</v>
      </c>
      <c r="AK54">
        <f t="shared" si="104"/>
        <v>0</v>
      </c>
      <c r="AL54">
        <f t="shared" si="131"/>
        <v>0</v>
      </c>
      <c r="AN54">
        <f t="shared" si="132"/>
        <v>0</v>
      </c>
      <c r="AO54">
        <f t="shared" si="133"/>
        <v>0</v>
      </c>
      <c r="AP54">
        <f t="shared" si="105"/>
        <v>0</v>
      </c>
      <c r="AS54">
        <f t="shared" si="141"/>
        <v>0</v>
      </c>
      <c r="AT54">
        <f t="shared" si="142"/>
        <v>0</v>
      </c>
      <c r="AV54">
        <f t="shared" si="143"/>
        <v>0</v>
      </c>
      <c r="AW54">
        <f t="shared" si="144"/>
        <v>0</v>
      </c>
      <c r="AX54">
        <f t="shared" si="106"/>
        <v>0</v>
      </c>
      <c r="BA54">
        <f t="shared" si="161"/>
        <v>0</v>
      </c>
      <c r="BB54">
        <f t="shared" si="162"/>
        <v>0</v>
      </c>
      <c r="BD54">
        <f t="shared" si="146"/>
        <v>0</v>
      </c>
      <c r="BE54">
        <f t="shared" si="147"/>
        <v>0</v>
      </c>
      <c r="BF54">
        <f t="shared" si="136"/>
        <v>0</v>
      </c>
      <c r="BI54">
        <f t="shared" si="148"/>
        <v>0</v>
      </c>
      <c r="BJ54">
        <f t="shared" si="150"/>
        <v>0</v>
      </c>
      <c r="BK54">
        <f t="shared" si="151"/>
        <v>0</v>
      </c>
      <c r="BL54">
        <f t="shared" si="152"/>
        <v>0</v>
      </c>
      <c r="BM54">
        <f t="shared" si="145"/>
        <v>0</v>
      </c>
      <c r="BO54">
        <f t="shared" si="153"/>
        <v>0</v>
      </c>
      <c r="BP54">
        <f t="shared" si="154"/>
        <v>0</v>
      </c>
      <c r="BR54">
        <f t="shared" si="155"/>
        <v>0</v>
      </c>
      <c r="BS54">
        <f t="shared" si="156"/>
        <v>0</v>
      </c>
      <c r="BT54">
        <f t="shared" si="149"/>
        <v>0</v>
      </c>
      <c r="BV54">
        <f t="shared" si="107"/>
        <v>0</v>
      </c>
      <c r="BX54">
        <f t="shared" si="108"/>
        <v>0</v>
      </c>
      <c r="BY54">
        <f t="shared" si="109"/>
        <v>0</v>
      </c>
      <c r="BZ54">
        <f t="shared" si="110"/>
        <v>0</v>
      </c>
      <c r="CA54">
        <f t="shared" si="111"/>
        <v>0</v>
      </c>
      <c r="CB54">
        <f t="shared" si="112"/>
        <v>0</v>
      </c>
      <c r="CG54">
        <f t="shared" si="41"/>
        <v>2002</v>
      </c>
      <c r="CH54">
        <f t="shared" si="41"/>
        <v>2002</v>
      </c>
      <c r="CJ54">
        <f t="shared" si="42"/>
        <v>0</v>
      </c>
      <c r="CK54">
        <f t="shared" si="158"/>
        <v>0</v>
      </c>
      <c r="CL54">
        <f t="shared" si="43"/>
        <v>0</v>
      </c>
      <c r="CN54">
        <f t="shared" si="44"/>
        <v>0</v>
      </c>
      <c r="CS54">
        <f t="shared" si="45"/>
        <v>15</v>
      </c>
      <c r="CT54">
        <f t="shared" si="113"/>
        <v>1136</v>
      </c>
      <c r="CV54" s="112">
        <f t="shared" si="46"/>
        <v>37551</v>
      </c>
      <c r="CX54" s="112">
        <f t="shared" si="47"/>
        <v>100000</v>
      </c>
      <c r="CY54" s="112">
        <f t="shared" si="114"/>
        <v>100000</v>
      </c>
      <c r="CZ54" s="112">
        <f t="shared" si="115"/>
        <v>100000</v>
      </c>
      <c r="DA54" s="112">
        <f t="shared" si="116"/>
        <v>100000</v>
      </c>
      <c r="DB54" s="112">
        <f t="shared" si="117"/>
        <v>100000</v>
      </c>
      <c r="DC54" s="112">
        <f t="shared" si="118"/>
        <v>100000</v>
      </c>
      <c r="DU54" s="112"/>
      <c r="DV54" s="112"/>
      <c r="DW54" s="277">
        <v>39114</v>
      </c>
      <c r="DX54" s="276"/>
      <c r="DY54" s="276"/>
      <c r="DZ54" s="276"/>
      <c r="EF54" s="260" t="str">
        <f t="shared" si="160"/>
        <v/>
      </c>
      <c r="EK54" s="254"/>
      <c r="EL54">
        <f t="shared" si="163"/>
        <v>15</v>
      </c>
      <c r="EM54" s="260">
        <f t="shared" ca="1" si="121"/>
        <v>53571</v>
      </c>
      <c r="EN54" s="112">
        <f t="shared" ca="1" si="56"/>
        <v>53571</v>
      </c>
      <c r="EO54" s="112">
        <f t="shared" ca="1" si="57"/>
        <v>53571</v>
      </c>
      <c r="EP54" s="112">
        <f t="shared" ca="1" si="122"/>
        <v>53571</v>
      </c>
      <c r="EQ54" s="273">
        <f t="shared" ca="1" si="137"/>
        <v>53571</v>
      </c>
      <c r="ER54" s="302">
        <f t="shared" ca="1" si="58"/>
        <v>100000</v>
      </c>
      <c r="EU54">
        <f t="shared" ca="1" si="159"/>
        <v>28</v>
      </c>
      <c r="EV54" s="260">
        <f t="shared" ca="1" si="123"/>
        <v>100000</v>
      </c>
      <c r="EW54" t="str">
        <f t="shared" ca="1" si="59"/>
        <v>28-34 anni</v>
      </c>
      <c r="EX54">
        <f t="shared" ca="1" si="19"/>
        <v>1</v>
      </c>
      <c r="EY54" s="238">
        <f t="shared" ca="1" si="20"/>
        <v>260</v>
      </c>
      <c r="EZ54" t="str">
        <f t="shared" ca="1" si="60"/>
        <v>28-34 anni</v>
      </c>
      <c r="FB54">
        <f t="shared" ca="1" si="61"/>
        <v>27377.74</v>
      </c>
      <c r="FC54">
        <f t="shared" ca="1" si="21"/>
        <v>0</v>
      </c>
      <c r="FD54">
        <f t="shared" ca="1" si="21"/>
        <v>0</v>
      </c>
      <c r="FE54">
        <f t="shared" ca="1" si="21"/>
        <v>6459.63</v>
      </c>
      <c r="FF54">
        <f t="shared" ca="1" si="21"/>
        <v>169.19</v>
      </c>
      <c r="FL54">
        <f t="shared" ca="1" si="62"/>
        <v>0</v>
      </c>
      <c r="FM54">
        <f t="shared" ca="1" si="22"/>
        <v>3458.4</v>
      </c>
      <c r="FR54" s="254" t="str">
        <f t="shared" ca="1" si="124"/>
        <v>28-34 anni</v>
      </c>
      <c r="FS54">
        <f t="shared" si="125"/>
        <v>54</v>
      </c>
      <c r="FT54" t="str">
        <f t="shared" ca="1" si="23"/>
        <v>ez54</v>
      </c>
      <c r="FU54" t="str">
        <f t="shared" ca="1" si="23"/>
        <v>EV54</v>
      </c>
      <c r="FV54" t="str">
        <f t="shared" ca="1" si="23"/>
        <v>FB54</v>
      </c>
      <c r="FW54" t="str">
        <f t="shared" ca="1" si="23"/>
        <v>FC54</v>
      </c>
      <c r="FX54" t="str">
        <f t="shared" ca="1" si="23"/>
        <v>FD54</v>
      </c>
      <c r="FY54" t="str">
        <f t="shared" ca="1" si="23"/>
        <v>FE54</v>
      </c>
      <c r="FZ54" t="str">
        <f t="shared" ca="1" si="23"/>
        <v>FF54</v>
      </c>
      <c r="GA54" t="str">
        <f t="shared" ca="1" si="23"/>
        <v>FL54</v>
      </c>
      <c r="GB54" t="str">
        <f t="shared" ca="1" si="23"/>
        <v>FM54</v>
      </c>
      <c r="GC54" t="str">
        <f t="shared" ca="1" si="63"/>
        <v/>
      </c>
      <c r="GD54" t="str">
        <f t="shared" ca="1" si="23"/>
        <v/>
      </c>
      <c r="GE54">
        <f t="shared" ca="1" si="126"/>
        <v>0</v>
      </c>
      <c r="GF54" s="112">
        <f t="shared" ca="1" si="64"/>
        <v>100000</v>
      </c>
      <c r="GG54" s="238" t="str">
        <f t="shared" ca="1" si="65"/>
        <v>28-34 anni</v>
      </c>
      <c r="GH54" s="262">
        <f t="shared" ca="1" si="66"/>
        <v>27377.74</v>
      </c>
      <c r="GI54" s="262">
        <f t="shared" ca="1" si="67"/>
        <v>0</v>
      </c>
      <c r="GJ54" s="262">
        <f t="shared" ca="1" si="68"/>
        <v>0</v>
      </c>
      <c r="GK54" s="262">
        <f t="shared" ca="1" si="69"/>
        <v>6459.63</v>
      </c>
      <c r="GL54" s="262">
        <f t="shared" ca="1" si="70"/>
        <v>169.19</v>
      </c>
      <c r="GM54" s="262">
        <f t="shared" ca="1" si="71"/>
        <v>0</v>
      </c>
      <c r="GN54" s="262">
        <f t="shared" ca="1" si="72"/>
        <v>3458.4</v>
      </c>
      <c r="GO54" s="262">
        <f t="shared" ca="1" si="73"/>
        <v>0</v>
      </c>
      <c r="GP54" s="262">
        <f t="shared" ca="1" si="74"/>
        <v>0</v>
      </c>
      <c r="GR54" s="262">
        <f t="shared" ca="1" si="76"/>
        <v>33837.370000000003</v>
      </c>
      <c r="GS54" s="262">
        <f t="shared" ca="1" si="25"/>
        <v>37464.960000000006</v>
      </c>
      <c r="GT54" s="253" t="str">
        <f t="shared" ca="1" si="77"/>
        <v/>
      </c>
      <c r="GU54" t="str">
        <f t="shared" ca="1" si="78"/>
        <v/>
      </c>
      <c r="GV54" t="str">
        <f t="shared" ca="1" si="79"/>
        <v/>
      </c>
      <c r="GW54" t="str">
        <f t="shared" ca="1" si="138"/>
        <v xml:space="preserve">
</v>
      </c>
      <c r="GX54" t="str">
        <f t="shared" ca="1" si="26"/>
        <v/>
      </c>
      <c r="GY54" t="str">
        <f t="shared" ca="1" si="26"/>
        <v/>
      </c>
      <c r="GZ54" t="str">
        <f t="shared" ca="1" si="157"/>
        <v/>
      </c>
      <c r="HA54" t="str">
        <f t="shared" ca="1" si="26"/>
        <v xml:space="preserve">  Indennita di Vacanza contr.le - annuo lordo euro: 169,19
</v>
      </c>
      <c r="HB54" t="str">
        <f t="shared" ca="1" si="26"/>
        <v/>
      </c>
      <c r="HC54" t="str">
        <f t="shared" ca="1" si="26"/>
        <v xml:space="preserve">rpd/cia - annuo lordo euro: 3458,4
</v>
      </c>
      <c r="HD54" t="str">
        <f t="shared" ca="1" si="80"/>
        <v/>
      </c>
      <c r="HE54" s="254" t="str">
        <f t="shared" ca="1" si="26"/>
        <v/>
      </c>
      <c r="HF54" s="254" t="str">
        <f t="shared" ca="1" si="81"/>
        <v xml:space="preserve">TOTALE ANNUO LORDO EURO 37464,96
</v>
      </c>
      <c r="HL54" t="str">
        <f t="shared" ca="1" si="82"/>
        <v xml:space="preserve"> C.C.N.L. DEL 06/12/2022 -</v>
      </c>
      <c r="HM54" s="263" t="str">
        <f t="shared" ca="1" si="83"/>
        <v xml:space="preserve"> C.C.N.L. DEL 06/12/2022 -
  Indennita di Vacanza contr.le - annuo lordo euro: 169,19
rpd/cia - annuo lordo euro: 3458,4
TOTALE ANNUO LORDO EURO 37464,96
Altri assegni previsti per legge</v>
      </c>
      <c r="HN54" s="263"/>
      <c r="HO54" s="272" t="str">
        <f t="shared" ca="1" si="28"/>
        <v/>
      </c>
      <c r="HP54">
        <f t="shared" ca="1" si="84"/>
        <v>0</v>
      </c>
      <c r="HQ54" t="str">
        <f t="shared" ca="1" si="85"/>
        <v/>
      </c>
      <c r="HR54" t="str">
        <f t="shared" ca="1" si="86"/>
        <v/>
      </c>
      <c r="HS54" t="str">
        <f t="shared" ca="1" si="87"/>
        <v/>
      </c>
      <c r="HX54" s="253" t="s">
        <v>187</v>
      </c>
      <c r="HY54" s="112" t="str">
        <f t="shared" si="88"/>
        <v>8/10/2002</v>
      </c>
      <c r="HZ54" t="s">
        <v>188</v>
      </c>
      <c r="IA54" s="112" t="str">
        <f t="shared" si="89"/>
        <v>22/10/2002</v>
      </c>
      <c r="IB54" t="s">
        <v>189</v>
      </c>
      <c r="IC54">
        <f t="shared" si="90"/>
        <v>0</v>
      </c>
      <c r="ID54" t="s">
        <v>192</v>
      </c>
      <c r="IE54">
        <f t="shared" si="91"/>
        <v>0</v>
      </c>
      <c r="IF54" t="s">
        <v>191</v>
      </c>
      <c r="IG54" s="254">
        <f t="shared" si="92"/>
        <v>15</v>
      </c>
      <c r="IL54" t="str">
        <f t="shared" si="93"/>
        <v xml:space="preserve">DAL: 8/10/2002 - AL:22/10/2002 - ANNI:0 - MESI:0 -GIORNI:15
</v>
      </c>
      <c r="KD54">
        <v>0</v>
      </c>
      <c r="KE54" s="260">
        <f t="shared" ca="1" si="94"/>
        <v>100000</v>
      </c>
      <c r="KF54" t="str">
        <f t="shared" si="95"/>
        <v>0-2 anni</v>
      </c>
      <c r="KG54">
        <f t="shared" si="29"/>
        <v>6</v>
      </c>
      <c r="KH54" s="238">
        <f t="shared" ca="1" si="30"/>
        <v>255</v>
      </c>
      <c r="KK54">
        <f t="shared" ca="1" si="96"/>
        <v>16218.89</v>
      </c>
      <c r="KL54">
        <f t="shared" ca="1" si="31"/>
        <v>0</v>
      </c>
      <c r="KM54">
        <f t="shared" ca="1" si="31"/>
        <v>0</v>
      </c>
      <c r="KN54">
        <f t="shared" ca="1" si="31"/>
        <v>6459.63</v>
      </c>
      <c r="KO54">
        <f t="shared" ca="1" si="31"/>
        <v>169.19</v>
      </c>
      <c r="KV54">
        <f t="shared" ca="1" si="32"/>
        <v>3458.4</v>
      </c>
      <c r="LA54" s="254" t="str">
        <f t="shared" si="97"/>
        <v>0-2 anni</v>
      </c>
      <c r="LB54" s="112">
        <f t="shared" si="33"/>
        <v>37537</v>
      </c>
      <c r="LC54" s="112">
        <f t="shared" si="34"/>
        <v>37551</v>
      </c>
      <c r="LD54">
        <f t="shared" ca="1" si="98"/>
        <v>26306.11</v>
      </c>
      <c r="LE54" s="262">
        <f t="shared" ca="1" si="99"/>
        <v>37464.960000000006</v>
      </c>
      <c r="LF54">
        <f t="shared" si="100"/>
        <v>15</v>
      </c>
      <c r="LG54">
        <f t="shared" ca="1" si="101"/>
        <v>458.58</v>
      </c>
    </row>
    <row r="55" spans="1:319" ht="74.45" customHeight="1" x14ac:dyDescent="0.25">
      <c r="A55" s="112">
        <f t="shared" si="139"/>
        <v>36892</v>
      </c>
      <c r="B55" s="112">
        <f t="shared" si="35"/>
        <v>37257</v>
      </c>
      <c r="E55" s="240">
        <f>Foglio3!F35</f>
        <v>37540</v>
      </c>
      <c r="F55" s="240">
        <f>Foglio3!G35</f>
        <v>37574</v>
      </c>
      <c r="G55" s="244"/>
      <c r="H55" s="245">
        <f t="shared" si="36"/>
        <v>37540</v>
      </c>
      <c r="I55" s="245">
        <f t="shared" si="15"/>
        <v>37574</v>
      </c>
      <c r="J55" s="244"/>
      <c r="K55" s="244"/>
      <c r="Q55">
        <f t="shared" si="16"/>
        <v>35</v>
      </c>
      <c r="R55">
        <f t="shared" si="140"/>
        <v>23</v>
      </c>
      <c r="S55">
        <f t="shared" si="37"/>
        <v>0</v>
      </c>
      <c r="T55">
        <f t="shared" si="128"/>
        <v>0</v>
      </c>
      <c r="U55">
        <f t="shared" si="129"/>
        <v>23</v>
      </c>
      <c r="W55">
        <f t="shared" si="130"/>
        <v>0</v>
      </c>
      <c r="X55">
        <f t="shared" si="130"/>
        <v>34</v>
      </c>
      <c r="Y55">
        <f t="shared" si="130"/>
        <v>139</v>
      </c>
      <c r="AA55" s="112">
        <f t="shared" si="102"/>
        <v>37540</v>
      </c>
      <c r="AB55" s="112">
        <f t="shared" si="103"/>
        <v>37574</v>
      </c>
      <c r="AG55">
        <f t="shared" si="38"/>
        <v>1</v>
      </c>
      <c r="AH55" s="112">
        <f t="shared" si="39"/>
        <v>37540</v>
      </c>
      <c r="AI55" s="112">
        <f t="shared" si="39"/>
        <v>37574</v>
      </c>
      <c r="AJ55">
        <f t="shared" si="40"/>
        <v>1</v>
      </c>
      <c r="AK55">
        <f t="shared" si="104"/>
        <v>0</v>
      </c>
      <c r="AL55">
        <f t="shared" si="131"/>
        <v>1</v>
      </c>
      <c r="AN55">
        <f t="shared" si="132"/>
        <v>0</v>
      </c>
      <c r="AO55">
        <f t="shared" si="133"/>
        <v>12</v>
      </c>
      <c r="AP55">
        <f t="shared" si="105"/>
        <v>12</v>
      </c>
      <c r="AS55">
        <f t="shared" si="141"/>
        <v>0</v>
      </c>
      <c r="AT55">
        <f t="shared" si="142"/>
        <v>0</v>
      </c>
      <c r="AV55">
        <f t="shared" si="143"/>
        <v>0</v>
      </c>
      <c r="AW55">
        <f t="shared" si="144"/>
        <v>0</v>
      </c>
      <c r="AX55">
        <f t="shared" si="106"/>
        <v>0</v>
      </c>
      <c r="BA55">
        <f t="shared" si="161"/>
        <v>0</v>
      </c>
      <c r="BB55">
        <f t="shared" si="162"/>
        <v>0</v>
      </c>
      <c r="BD55">
        <f t="shared" si="146"/>
        <v>0</v>
      </c>
      <c r="BE55">
        <f t="shared" si="147"/>
        <v>0</v>
      </c>
      <c r="BF55">
        <f t="shared" si="136"/>
        <v>0</v>
      </c>
      <c r="BI55">
        <f t="shared" si="148"/>
        <v>0</v>
      </c>
      <c r="BJ55">
        <f t="shared" si="150"/>
        <v>0</v>
      </c>
      <c r="BK55">
        <f t="shared" si="151"/>
        <v>0</v>
      </c>
      <c r="BL55">
        <f t="shared" si="152"/>
        <v>0</v>
      </c>
      <c r="BM55">
        <f t="shared" si="145"/>
        <v>0</v>
      </c>
      <c r="BO55">
        <f t="shared" si="153"/>
        <v>0</v>
      </c>
      <c r="BP55">
        <f t="shared" si="154"/>
        <v>0</v>
      </c>
      <c r="BR55">
        <f t="shared" si="155"/>
        <v>0</v>
      </c>
      <c r="BS55">
        <f t="shared" si="156"/>
        <v>0</v>
      </c>
      <c r="BT55">
        <f t="shared" si="149"/>
        <v>0</v>
      </c>
      <c r="BV55">
        <f t="shared" si="107"/>
        <v>12</v>
      </c>
      <c r="BX55">
        <f t="shared" si="108"/>
        <v>12</v>
      </c>
      <c r="BY55">
        <f t="shared" si="109"/>
        <v>0</v>
      </c>
      <c r="BZ55">
        <f t="shared" si="110"/>
        <v>0</v>
      </c>
      <c r="CA55">
        <f t="shared" si="111"/>
        <v>0</v>
      </c>
      <c r="CB55">
        <f t="shared" si="112"/>
        <v>0</v>
      </c>
      <c r="CG55">
        <f t="shared" si="41"/>
        <v>2002</v>
      </c>
      <c r="CH55">
        <f t="shared" si="41"/>
        <v>2002</v>
      </c>
      <c r="CJ55">
        <f t="shared" si="42"/>
        <v>0</v>
      </c>
      <c r="CK55">
        <f t="shared" si="158"/>
        <v>0</v>
      </c>
      <c r="CL55">
        <f t="shared" si="43"/>
        <v>0</v>
      </c>
      <c r="CN55">
        <f t="shared" si="44"/>
        <v>0</v>
      </c>
      <c r="CS55">
        <f t="shared" si="45"/>
        <v>23</v>
      </c>
      <c r="CT55">
        <f t="shared" si="113"/>
        <v>1159</v>
      </c>
      <c r="CV55" s="112">
        <f t="shared" si="46"/>
        <v>37574</v>
      </c>
      <c r="CX55" s="112">
        <f t="shared" si="47"/>
        <v>100000</v>
      </c>
      <c r="CY55" s="112">
        <f t="shared" si="114"/>
        <v>100000</v>
      </c>
      <c r="CZ55" s="112">
        <f t="shared" si="115"/>
        <v>100000</v>
      </c>
      <c r="DA55" s="112">
        <f t="shared" si="116"/>
        <v>100000</v>
      </c>
      <c r="DB55" s="112">
        <f t="shared" si="117"/>
        <v>100000</v>
      </c>
      <c r="DC55" s="112">
        <f t="shared" si="118"/>
        <v>100000</v>
      </c>
      <c r="DU55" s="112"/>
      <c r="DV55" s="112"/>
      <c r="DW55" s="277">
        <v>39447</v>
      </c>
      <c r="DX55" s="276"/>
      <c r="DY55" s="276"/>
      <c r="DZ55" s="276"/>
      <c r="EF55" s="260" t="str">
        <f t="shared" si="160"/>
        <v/>
      </c>
      <c r="EK55" s="254"/>
      <c r="EL55">
        <f t="shared" si="163"/>
        <v>16</v>
      </c>
      <c r="EM55" s="260">
        <f t="shared" ca="1" si="121"/>
        <v>100000</v>
      </c>
      <c r="EN55" s="112">
        <f t="shared" ca="1" si="56"/>
        <v>100000</v>
      </c>
      <c r="EO55" s="112">
        <f t="shared" ca="1" si="57"/>
        <v>100000</v>
      </c>
      <c r="EP55" s="112">
        <f t="shared" ca="1" si="122"/>
        <v>100000</v>
      </c>
      <c r="EQ55" s="273">
        <f t="shared" ca="1" si="137"/>
        <v>100000</v>
      </c>
      <c r="ER55" s="302">
        <f t="shared" ca="1" si="58"/>
        <v>100000</v>
      </c>
      <c r="EU55">
        <f t="shared" ca="1" si="159"/>
        <v>28</v>
      </c>
      <c r="EV55" s="260">
        <f t="shared" ca="1" si="123"/>
        <v>100000</v>
      </c>
      <c r="EW55" t="str">
        <f t="shared" ca="1" si="59"/>
        <v>28-34 anni</v>
      </c>
      <c r="EX55">
        <f t="shared" ca="1" si="19"/>
        <v>1</v>
      </c>
      <c r="EY55" s="238">
        <f t="shared" ca="1" si="20"/>
        <v>260</v>
      </c>
      <c r="EZ55" t="str">
        <f t="shared" ca="1" si="60"/>
        <v>28-34 anni</v>
      </c>
      <c r="FB55">
        <f t="shared" ca="1" si="61"/>
        <v>27377.74</v>
      </c>
      <c r="FC55">
        <f t="shared" ca="1" si="21"/>
        <v>0</v>
      </c>
      <c r="FD55">
        <f t="shared" ca="1" si="21"/>
        <v>0</v>
      </c>
      <c r="FE55">
        <f t="shared" ca="1" si="21"/>
        <v>6459.63</v>
      </c>
      <c r="FF55">
        <f t="shared" ca="1" si="21"/>
        <v>169.19</v>
      </c>
      <c r="FL55">
        <f t="shared" ca="1" si="62"/>
        <v>0</v>
      </c>
      <c r="FM55">
        <f t="shared" ca="1" si="22"/>
        <v>3458.4</v>
      </c>
      <c r="FR55" s="254" t="str">
        <f t="shared" ca="1" si="124"/>
        <v>28-34 anni</v>
      </c>
      <c r="FS55">
        <f t="shared" si="125"/>
        <v>55</v>
      </c>
      <c r="FT55" t="str">
        <f t="shared" ca="1" si="23"/>
        <v>ez55</v>
      </c>
      <c r="FU55" t="str">
        <f t="shared" ca="1" si="23"/>
        <v>EV55</v>
      </c>
      <c r="FV55" t="str">
        <f t="shared" ca="1" si="23"/>
        <v>FB55</v>
      </c>
      <c r="FW55" t="str">
        <f t="shared" ca="1" si="23"/>
        <v>FC55</v>
      </c>
      <c r="FX55" t="str">
        <f t="shared" ca="1" si="23"/>
        <v>FD55</v>
      </c>
      <c r="FY55" t="str">
        <f t="shared" ca="1" si="23"/>
        <v>FE55</v>
      </c>
      <c r="FZ55" t="str">
        <f t="shared" ca="1" si="23"/>
        <v>FF55</v>
      </c>
      <c r="GA55" t="str">
        <f t="shared" ca="1" si="23"/>
        <v>FL55</v>
      </c>
      <c r="GB55" t="str">
        <f t="shared" ca="1" si="23"/>
        <v>FM55</v>
      </c>
      <c r="GC55" t="str">
        <f t="shared" ca="1" si="63"/>
        <v/>
      </c>
      <c r="GD55" t="str">
        <f t="shared" ca="1" si="23"/>
        <v/>
      </c>
      <c r="GE55">
        <f t="shared" ca="1" si="126"/>
        <v>0</v>
      </c>
      <c r="GF55" s="112">
        <f t="shared" ca="1" si="64"/>
        <v>100000</v>
      </c>
      <c r="GG55" s="238" t="str">
        <f t="shared" ca="1" si="65"/>
        <v>28-34 anni</v>
      </c>
      <c r="GH55" s="262">
        <f t="shared" ca="1" si="66"/>
        <v>27377.74</v>
      </c>
      <c r="GI55" s="262">
        <f t="shared" ca="1" si="67"/>
        <v>0</v>
      </c>
      <c r="GJ55" s="262">
        <f t="shared" ca="1" si="68"/>
        <v>0</v>
      </c>
      <c r="GK55" s="262">
        <f t="shared" ca="1" si="69"/>
        <v>6459.63</v>
      </c>
      <c r="GL55" s="262">
        <f t="shared" ca="1" si="70"/>
        <v>169.19</v>
      </c>
      <c r="GM55" s="262">
        <f t="shared" ca="1" si="71"/>
        <v>0</v>
      </c>
      <c r="GN55" s="262">
        <f t="shared" ca="1" si="72"/>
        <v>3458.4</v>
      </c>
      <c r="GO55" s="262">
        <f t="shared" ca="1" si="73"/>
        <v>0</v>
      </c>
      <c r="GP55" s="262">
        <f t="shared" ca="1" si="74"/>
        <v>0</v>
      </c>
      <c r="GR55" s="262">
        <f t="shared" ca="1" si="76"/>
        <v>33837.370000000003</v>
      </c>
      <c r="GS55" s="262">
        <f t="shared" ca="1" si="25"/>
        <v>37464.960000000006</v>
      </c>
      <c r="GT55" s="253" t="str">
        <f t="shared" ca="1" si="77"/>
        <v/>
      </c>
      <c r="GU55" t="str">
        <f t="shared" ca="1" si="78"/>
        <v/>
      </c>
      <c r="GV55" t="str">
        <f t="shared" ca="1" si="79"/>
        <v/>
      </c>
      <c r="GW55" t="str">
        <f t="shared" ca="1" si="138"/>
        <v xml:space="preserve">
</v>
      </c>
      <c r="GX55" t="str">
        <f t="shared" ca="1" si="26"/>
        <v/>
      </c>
      <c r="GY55" t="str">
        <f t="shared" ca="1" si="26"/>
        <v/>
      </c>
      <c r="GZ55" t="str">
        <f t="shared" ca="1" si="157"/>
        <v/>
      </c>
      <c r="HA55" t="str">
        <f t="shared" ca="1" si="26"/>
        <v xml:space="preserve">  Indennita di Vacanza contr.le - annuo lordo euro: 169,19
</v>
      </c>
      <c r="HB55" t="str">
        <f t="shared" ca="1" si="26"/>
        <v/>
      </c>
      <c r="HC55" t="str">
        <f t="shared" ca="1" si="26"/>
        <v xml:space="preserve">rpd/cia - annuo lordo euro: 3458,4
</v>
      </c>
      <c r="HD55" t="str">
        <f t="shared" ca="1" si="80"/>
        <v/>
      </c>
      <c r="HE55" s="254" t="str">
        <f t="shared" ca="1" si="26"/>
        <v/>
      </c>
      <c r="HF55" s="254" t="str">
        <f t="shared" ca="1" si="81"/>
        <v xml:space="preserve">TOTALE ANNUO LORDO EURO 37464,96
</v>
      </c>
      <c r="HL55" t="str">
        <f t="shared" ca="1" si="82"/>
        <v xml:space="preserve"> C.C.N.L. DEL 06/12/2022 -</v>
      </c>
      <c r="HM55" s="263" t="str">
        <f t="shared" ca="1" si="83"/>
        <v xml:space="preserve"> C.C.N.L. DEL 06/12/2022 -
  Indennita di Vacanza contr.le - annuo lordo euro: 169,19
rpd/cia - annuo lordo euro: 3458,4
TOTALE ANNUO LORDO EURO 37464,96
Altri assegni previsti per legge</v>
      </c>
      <c r="HN55" s="263"/>
      <c r="HO55" s="272" t="str">
        <f ca="1">IF(HP55=0,CONCATENATE(HQ55,HR55,HS55),IF($GE55&gt;0,HM55,IF(HP54=0,"",$HS$39)))</f>
        <v/>
      </c>
      <c r="HP55">
        <f t="shared" ca="1" si="84"/>
        <v>0</v>
      </c>
      <c r="HQ55" t="str">
        <f t="shared" ca="1" si="85"/>
        <v/>
      </c>
      <c r="HR55" t="str">
        <f t="shared" ca="1" si="86"/>
        <v/>
      </c>
      <c r="HS55" t="str">
        <f t="shared" ca="1" si="87"/>
        <v/>
      </c>
      <c r="HX55" s="253" t="s">
        <v>187</v>
      </c>
      <c r="HY55" s="112" t="str">
        <f t="shared" si="88"/>
        <v>11/10/2002</v>
      </c>
      <c r="HZ55" t="s">
        <v>188</v>
      </c>
      <c r="IA55" s="112" t="str">
        <f t="shared" si="89"/>
        <v>14/11/2002</v>
      </c>
      <c r="IB55" t="s">
        <v>189</v>
      </c>
      <c r="IC55">
        <f t="shared" si="90"/>
        <v>0</v>
      </c>
      <c r="ID55" t="s">
        <v>192</v>
      </c>
      <c r="IE55">
        <f t="shared" si="91"/>
        <v>0</v>
      </c>
      <c r="IF55" t="s">
        <v>191</v>
      </c>
      <c r="IG55" s="254">
        <f t="shared" si="92"/>
        <v>23</v>
      </c>
      <c r="IL55" t="str">
        <f t="shared" si="93"/>
        <v xml:space="preserve">DAL: 11/10/2002 - AL:14/11/2002 - ANNI:0 - MESI:0 -GIORNI:23
</v>
      </c>
      <c r="KD55">
        <v>0</v>
      </c>
      <c r="KE55" s="260">
        <f t="shared" ca="1" si="94"/>
        <v>100000</v>
      </c>
      <c r="KF55" t="str">
        <f t="shared" si="95"/>
        <v>0-2 anni</v>
      </c>
      <c r="KG55">
        <f t="shared" si="29"/>
        <v>6</v>
      </c>
      <c r="KH55" s="238">
        <f t="shared" ca="1" si="30"/>
        <v>255</v>
      </c>
      <c r="KK55">
        <f t="shared" ca="1" si="96"/>
        <v>16218.89</v>
      </c>
      <c r="KL55">
        <f t="shared" ca="1" si="31"/>
        <v>0</v>
      </c>
      <c r="KM55">
        <f t="shared" ca="1" si="31"/>
        <v>0</v>
      </c>
      <c r="KN55">
        <f t="shared" ca="1" si="31"/>
        <v>6459.63</v>
      </c>
      <c r="KO55">
        <f t="shared" ca="1" si="31"/>
        <v>169.19</v>
      </c>
      <c r="KV55">
        <f t="shared" ca="1" si="32"/>
        <v>3458.4</v>
      </c>
      <c r="LA55" s="254" t="str">
        <f t="shared" si="97"/>
        <v>0-2 anni</v>
      </c>
      <c r="LB55" s="112">
        <f t="shared" si="33"/>
        <v>37540</v>
      </c>
      <c r="LC55" s="112">
        <f t="shared" si="34"/>
        <v>37574</v>
      </c>
      <c r="LD55">
        <f t="shared" ca="1" si="98"/>
        <v>26306.11</v>
      </c>
      <c r="LE55" s="262">
        <f t="shared" ca="1" si="99"/>
        <v>37464.960000000006</v>
      </c>
      <c r="LF55">
        <f t="shared" si="100"/>
        <v>23</v>
      </c>
      <c r="LG55">
        <f t="shared" ca="1" si="101"/>
        <v>703.16</v>
      </c>
    </row>
    <row r="56" spans="1:319" ht="90" x14ac:dyDescent="0.25">
      <c r="A56" s="112">
        <f t="shared" si="139"/>
        <v>37257</v>
      </c>
      <c r="B56" s="112">
        <f t="shared" si="35"/>
        <v>37622</v>
      </c>
      <c r="D56" s="112"/>
      <c r="E56" s="240">
        <f>Foglio3!F36</f>
        <v>37629</v>
      </c>
      <c r="F56" s="240">
        <f>Foglio3!G36</f>
        <v>37663</v>
      </c>
      <c r="G56" s="244"/>
      <c r="H56" s="245">
        <f t="shared" si="36"/>
        <v>37629</v>
      </c>
      <c r="I56" s="245">
        <f t="shared" si="15"/>
        <v>37663</v>
      </c>
      <c r="J56" s="244"/>
      <c r="K56" s="244"/>
      <c r="Q56">
        <f t="shared" si="16"/>
        <v>35</v>
      </c>
      <c r="R56">
        <f t="shared" si="140"/>
        <v>35</v>
      </c>
      <c r="S56">
        <f t="shared" si="37"/>
        <v>0</v>
      </c>
      <c r="T56">
        <f t="shared" si="128"/>
        <v>1</v>
      </c>
      <c r="U56">
        <f t="shared" si="129"/>
        <v>5</v>
      </c>
      <c r="W56">
        <f t="shared" si="130"/>
        <v>0</v>
      </c>
      <c r="X56">
        <f t="shared" si="130"/>
        <v>35</v>
      </c>
      <c r="Y56">
        <f t="shared" si="130"/>
        <v>144</v>
      </c>
      <c r="AA56" s="112">
        <f t="shared" si="102"/>
        <v>37629</v>
      </c>
      <c r="AB56" s="112">
        <f t="shared" si="103"/>
        <v>37663</v>
      </c>
      <c r="AG56">
        <f t="shared" si="38"/>
        <v>1</v>
      </c>
      <c r="AH56" s="112">
        <f t="shared" si="39"/>
        <v>37629</v>
      </c>
      <c r="AI56" s="112">
        <f t="shared" si="39"/>
        <v>37663</v>
      </c>
      <c r="AJ56">
        <f t="shared" si="40"/>
        <v>1</v>
      </c>
      <c r="AK56">
        <f t="shared" si="104"/>
        <v>0</v>
      </c>
      <c r="AL56">
        <f t="shared" si="131"/>
        <v>0</v>
      </c>
      <c r="AN56">
        <f t="shared" si="132"/>
        <v>0</v>
      </c>
      <c r="AO56">
        <f t="shared" si="133"/>
        <v>0</v>
      </c>
      <c r="AP56">
        <f t="shared" si="105"/>
        <v>0</v>
      </c>
      <c r="AS56">
        <f t="shared" si="141"/>
        <v>0</v>
      </c>
      <c r="AT56">
        <f t="shared" si="142"/>
        <v>0</v>
      </c>
      <c r="AV56">
        <f t="shared" si="143"/>
        <v>0</v>
      </c>
      <c r="AW56">
        <f t="shared" si="144"/>
        <v>0</v>
      </c>
      <c r="AX56">
        <f t="shared" si="106"/>
        <v>0</v>
      </c>
      <c r="BA56">
        <f t="shared" si="161"/>
        <v>0</v>
      </c>
      <c r="BB56">
        <f t="shared" si="162"/>
        <v>0</v>
      </c>
      <c r="BD56">
        <f t="shared" si="146"/>
        <v>0</v>
      </c>
      <c r="BE56">
        <f t="shared" si="147"/>
        <v>0</v>
      </c>
      <c r="BF56">
        <f t="shared" si="136"/>
        <v>0</v>
      </c>
      <c r="BI56">
        <f t="shared" si="148"/>
        <v>0</v>
      </c>
      <c r="BJ56">
        <f t="shared" si="150"/>
        <v>0</v>
      </c>
      <c r="BK56">
        <f t="shared" si="151"/>
        <v>0</v>
      </c>
      <c r="BL56">
        <f t="shared" si="152"/>
        <v>0</v>
      </c>
      <c r="BM56">
        <f t="shared" si="145"/>
        <v>0</v>
      </c>
      <c r="BO56">
        <f t="shared" si="153"/>
        <v>0</v>
      </c>
      <c r="BP56">
        <f t="shared" si="154"/>
        <v>0</v>
      </c>
      <c r="BR56">
        <f t="shared" si="155"/>
        <v>0</v>
      </c>
      <c r="BS56">
        <f t="shared" si="156"/>
        <v>0</v>
      </c>
      <c r="BT56">
        <f t="shared" si="149"/>
        <v>0</v>
      </c>
      <c r="BV56">
        <f t="shared" si="107"/>
        <v>0</v>
      </c>
      <c r="BX56">
        <f t="shared" si="108"/>
        <v>0</v>
      </c>
      <c r="BY56">
        <f t="shared" si="109"/>
        <v>0</v>
      </c>
      <c r="BZ56">
        <f t="shared" si="110"/>
        <v>0</v>
      </c>
      <c r="CA56">
        <f t="shared" si="111"/>
        <v>0</v>
      </c>
      <c r="CB56">
        <f t="shared" si="112"/>
        <v>0</v>
      </c>
      <c r="CG56">
        <f t="shared" si="41"/>
        <v>2003</v>
      </c>
      <c r="CH56">
        <f t="shared" si="41"/>
        <v>2003</v>
      </c>
      <c r="CJ56">
        <f t="shared" si="42"/>
        <v>0</v>
      </c>
      <c r="CK56">
        <f t="shared" si="158"/>
        <v>0</v>
      </c>
      <c r="CL56">
        <f t="shared" si="43"/>
        <v>0</v>
      </c>
      <c r="CN56">
        <f t="shared" si="44"/>
        <v>0</v>
      </c>
      <c r="CS56">
        <f t="shared" si="45"/>
        <v>35</v>
      </c>
      <c r="CT56">
        <f t="shared" si="113"/>
        <v>1194</v>
      </c>
      <c r="CV56" s="112">
        <f t="shared" si="46"/>
        <v>37663</v>
      </c>
      <c r="CX56" s="112">
        <f t="shared" si="47"/>
        <v>100000</v>
      </c>
      <c r="CY56" s="112">
        <f t="shared" si="114"/>
        <v>100000</v>
      </c>
      <c r="CZ56" s="112">
        <f t="shared" si="115"/>
        <v>100000</v>
      </c>
      <c r="DA56" s="112">
        <f t="shared" si="116"/>
        <v>100000</v>
      </c>
      <c r="DB56" s="112">
        <f t="shared" si="117"/>
        <v>100000</v>
      </c>
      <c r="DC56" s="112">
        <f t="shared" si="118"/>
        <v>100000</v>
      </c>
      <c r="DU56" s="112"/>
      <c r="DV56" s="112"/>
      <c r="DW56" s="277">
        <v>39539</v>
      </c>
      <c r="DX56" s="276"/>
      <c r="DY56" s="276"/>
      <c r="DZ56" s="276"/>
      <c r="EF56" s="260" t="str">
        <f t="shared" si="160"/>
        <v/>
      </c>
      <c r="EK56" s="254"/>
      <c r="EL56">
        <f t="shared" si="163"/>
        <v>17</v>
      </c>
      <c r="EM56" s="260">
        <f t="shared" ca="1" si="121"/>
        <v>100000</v>
      </c>
      <c r="EN56" s="112">
        <f t="shared" ca="1" si="56"/>
        <v>100000</v>
      </c>
      <c r="EO56" s="112">
        <f t="shared" ca="1" si="57"/>
        <v>100000</v>
      </c>
      <c r="EP56" s="112">
        <f t="shared" ca="1" si="122"/>
        <v>100000</v>
      </c>
      <c r="EQ56" s="273">
        <f t="shared" ca="1" si="137"/>
        <v>100000</v>
      </c>
      <c r="ER56" s="302">
        <f t="shared" ca="1" si="58"/>
        <v>100000</v>
      </c>
      <c r="EU56">
        <f t="shared" ca="1" si="159"/>
        <v>28</v>
      </c>
      <c r="EV56" s="260">
        <f t="shared" ca="1" si="123"/>
        <v>100000</v>
      </c>
      <c r="EW56" t="str">
        <f t="shared" ca="1" si="59"/>
        <v>28-34 anni</v>
      </c>
      <c r="EX56">
        <f t="shared" ca="1" si="19"/>
        <v>1</v>
      </c>
      <c r="EY56" s="238">
        <f t="shared" ca="1" si="20"/>
        <v>260</v>
      </c>
      <c r="EZ56" t="str">
        <f t="shared" ca="1" si="60"/>
        <v>28-34 anni</v>
      </c>
      <c r="FB56">
        <f t="shared" ca="1" si="61"/>
        <v>27377.74</v>
      </c>
      <c r="FC56">
        <f t="shared" ref="FC56:FF87" ca="1" si="164">INDIRECT(CONCATENATE($FA$35,FC$35,$EY56))</f>
        <v>0</v>
      </c>
      <c r="FD56">
        <f t="shared" ca="1" si="164"/>
        <v>0</v>
      </c>
      <c r="FE56">
        <f t="shared" ca="1" si="164"/>
        <v>6459.63</v>
      </c>
      <c r="FF56">
        <f t="shared" ca="1" si="164"/>
        <v>169.19</v>
      </c>
      <c r="FL56">
        <f t="shared" ca="1" si="62"/>
        <v>0</v>
      </c>
      <c r="FM56">
        <f t="shared" ca="1" si="22"/>
        <v>3458.4</v>
      </c>
      <c r="FR56" s="254" t="str">
        <f t="shared" ca="1" si="124"/>
        <v>28-34 anni</v>
      </c>
      <c r="FS56">
        <f t="shared" si="125"/>
        <v>56</v>
      </c>
      <c r="FT56" t="str">
        <f t="shared" ref="FT56:GD79" ca="1" si="165">IF(INDIRECT(  CONCATENATE(FT$34,$FS56 ))&lt;&gt;"",     CONCATENATE(FT$34,$FS56 ),"")</f>
        <v>ez56</v>
      </c>
      <c r="FU56" t="str">
        <f t="shared" ca="1" si="165"/>
        <v>EV56</v>
      </c>
      <c r="FV56" t="str">
        <f t="shared" ca="1" si="165"/>
        <v>FB56</v>
      </c>
      <c r="FW56" t="str">
        <f t="shared" ca="1" si="165"/>
        <v>FC56</v>
      </c>
      <c r="FX56" t="str">
        <f t="shared" ca="1" si="165"/>
        <v>FD56</v>
      </c>
      <c r="FY56" t="str">
        <f t="shared" ca="1" si="165"/>
        <v>FE56</v>
      </c>
      <c r="FZ56" t="str">
        <f t="shared" ca="1" si="165"/>
        <v>FF56</v>
      </c>
      <c r="GA56" t="str">
        <f t="shared" ca="1" si="165"/>
        <v>FL56</v>
      </c>
      <c r="GB56" t="str">
        <f t="shared" ca="1" si="165"/>
        <v>FM56</v>
      </c>
      <c r="GC56" t="str">
        <f t="shared" ca="1" si="63"/>
        <v/>
      </c>
      <c r="GD56" t="str">
        <f t="shared" ca="1" si="165"/>
        <v/>
      </c>
      <c r="GE56">
        <f t="shared" ca="1" si="126"/>
        <v>0</v>
      </c>
      <c r="GF56" s="112">
        <f t="shared" ca="1" si="64"/>
        <v>100000</v>
      </c>
      <c r="GG56" s="238" t="str">
        <f t="shared" ca="1" si="65"/>
        <v>28-34 anni</v>
      </c>
      <c r="GH56" s="262">
        <f t="shared" ca="1" si="66"/>
        <v>27377.74</v>
      </c>
      <c r="GI56" s="262">
        <f t="shared" ca="1" si="67"/>
        <v>0</v>
      </c>
      <c r="GJ56" s="262">
        <f t="shared" ca="1" si="68"/>
        <v>0</v>
      </c>
      <c r="GK56" s="262">
        <f t="shared" ca="1" si="69"/>
        <v>6459.63</v>
      </c>
      <c r="GL56" s="262">
        <f t="shared" ca="1" si="70"/>
        <v>169.19</v>
      </c>
      <c r="GM56" s="262">
        <f t="shared" ca="1" si="71"/>
        <v>0</v>
      </c>
      <c r="GN56" s="262">
        <f t="shared" ca="1" si="72"/>
        <v>3458.4</v>
      </c>
      <c r="GO56" s="262">
        <f t="shared" ca="1" si="73"/>
        <v>0</v>
      </c>
      <c r="GP56" s="262">
        <f t="shared" ca="1" si="74"/>
        <v>0</v>
      </c>
      <c r="GR56" s="262">
        <f t="shared" ca="1" si="76"/>
        <v>33837.370000000003</v>
      </c>
      <c r="GS56" s="262">
        <f t="shared" ca="1" si="25"/>
        <v>37464.960000000006</v>
      </c>
      <c r="GT56" s="253" t="str">
        <f t="shared" ca="1" si="77"/>
        <v/>
      </c>
      <c r="GU56" t="str">
        <f t="shared" ca="1" si="78"/>
        <v/>
      </c>
      <c r="GV56" t="str">
        <f t="shared" ca="1" si="79"/>
        <v/>
      </c>
      <c r="GW56" t="str">
        <f t="shared" ca="1" si="138"/>
        <v xml:space="preserve">
</v>
      </c>
      <c r="GX56" t="str">
        <f t="shared" ref="GX56:HE74" ca="1" si="166">IF(GI56&gt;0,CONCATENATE(GI$37," ",GI56,"
"),"")</f>
        <v/>
      </c>
      <c r="GY56" t="str">
        <f t="shared" ca="1" si="166"/>
        <v/>
      </c>
      <c r="GZ56" t="str">
        <f t="shared" ca="1" si="157"/>
        <v/>
      </c>
      <c r="HA56" t="str">
        <f t="shared" ca="1" si="166"/>
        <v xml:space="preserve">  Indennita di Vacanza contr.le - annuo lordo euro: 169,19
</v>
      </c>
      <c r="HB56" t="str">
        <f t="shared" ca="1" si="166"/>
        <v/>
      </c>
      <c r="HC56" t="str">
        <f t="shared" ca="1" si="166"/>
        <v xml:space="preserve">rpd/cia - annuo lordo euro: 3458,4
</v>
      </c>
      <c r="HD56" t="str">
        <f t="shared" ca="1" si="80"/>
        <v/>
      </c>
      <c r="HE56" s="254" t="str">
        <f t="shared" ca="1" si="166"/>
        <v/>
      </c>
      <c r="HF56" s="254" t="str">
        <f t="shared" ca="1" si="81"/>
        <v xml:space="preserve">TOTALE ANNUO LORDO EURO 37464,96
</v>
      </c>
      <c r="HL56" t="str">
        <f t="shared" ca="1" si="82"/>
        <v xml:space="preserve"> C.C.N.L. DEL 06/12/2022 -</v>
      </c>
      <c r="HM56" s="263" t="str">
        <f t="shared" ca="1" si="83"/>
        <v xml:space="preserve"> C.C.N.L. DEL 06/12/2022 -
  Indennita di Vacanza contr.le - annuo lordo euro: 169,19
rpd/cia - annuo lordo euro: 3458,4
TOTALE ANNUO LORDO EURO 37464,96
Altri assegni previsti per legge</v>
      </c>
      <c r="HN56" s="263"/>
      <c r="HO56" s="272" t="str">
        <f t="shared" ca="1" si="28"/>
        <v/>
      </c>
      <c r="HP56">
        <f t="shared" ca="1" si="84"/>
        <v>0</v>
      </c>
      <c r="HQ56" t="str">
        <f t="shared" ca="1" si="85"/>
        <v/>
      </c>
      <c r="HR56" t="str">
        <f t="shared" ca="1" si="86"/>
        <v/>
      </c>
      <c r="HS56" t="str">
        <f t="shared" ca="1" si="87"/>
        <v/>
      </c>
      <c r="HX56" s="253" t="s">
        <v>187</v>
      </c>
      <c r="HY56" s="112" t="str">
        <f t="shared" si="88"/>
        <v>8/1/2003</v>
      </c>
      <c r="HZ56" t="s">
        <v>188</v>
      </c>
      <c r="IA56" s="112" t="str">
        <f t="shared" si="89"/>
        <v>11/2/2003</v>
      </c>
      <c r="IB56" t="s">
        <v>189</v>
      </c>
      <c r="IC56">
        <f t="shared" si="90"/>
        <v>0</v>
      </c>
      <c r="ID56" t="s">
        <v>192</v>
      </c>
      <c r="IE56">
        <f t="shared" si="91"/>
        <v>1</v>
      </c>
      <c r="IF56" t="s">
        <v>191</v>
      </c>
      <c r="IG56" s="254">
        <f t="shared" si="92"/>
        <v>5</v>
      </c>
      <c r="IL56" t="str">
        <f t="shared" si="93"/>
        <v xml:space="preserve">DAL: 8/1/2003 - AL:11/2/2003 - ANNI:0 - MESI:1 -GIORNI:5
</v>
      </c>
      <c r="KD56">
        <v>0</v>
      </c>
      <c r="KE56" s="260">
        <f t="shared" ca="1" si="94"/>
        <v>100000</v>
      </c>
      <c r="KF56" t="str">
        <f t="shared" si="95"/>
        <v>0-2 anni</v>
      </c>
      <c r="KG56">
        <f t="shared" si="29"/>
        <v>6</v>
      </c>
      <c r="KH56" s="238">
        <f t="shared" ca="1" si="30"/>
        <v>255</v>
      </c>
      <c r="KK56">
        <f t="shared" ca="1" si="96"/>
        <v>16218.89</v>
      </c>
      <c r="KL56">
        <f t="shared" ref="KL56:KO87" ca="1" si="167">INDIRECT(CONCATENATE($FA$35,KL$35,$EY56))</f>
        <v>0</v>
      </c>
      <c r="KM56">
        <f t="shared" ca="1" si="167"/>
        <v>0</v>
      </c>
      <c r="KN56">
        <f t="shared" ca="1" si="167"/>
        <v>6459.63</v>
      </c>
      <c r="KO56">
        <f t="shared" ca="1" si="167"/>
        <v>169.19</v>
      </c>
      <c r="KV56">
        <f t="shared" ca="1" si="32"/>
        <v>3458.4</v>
      </c>
      <c r="LA56" s="254" t="str">
        <f t="shared" si="97"/>
        <v>0-2 anni</v>
      </c>
      <c r="LB56" s="112">
        <f t="shared" si="33"/>
        <v>37629</v>
      </c>
      <c r="LC56" s="112">
        <f t="shared" si="34"/>
        <v>37663</v>
      </c>
      <c r="LD56">
        <f t="shared" ca="1" si="98"/>
        <v>26306.11</v>
      </c>
      <c r="LE56" s="262">
        <f t="shared" ca="1" si="99"/>
        <v>37464.960000000006</v>
      </c>
      <c r="LF56">
        <f t="shared" si="100"/>
        <v>35</v>
      </c>
      <c r="LG56">
        <f t="shared" ca="1" si="101"/>
        <v>1070.03</v>
      </c>
    </row>
    <row r="57" spans="1:319" ht="90" x14ac:dyDescent="0.25">
      <c r="A57" s="112">
        <f t="shared" si="139"/>
        <v>37257</v>
      </c>
      <c r="B57" s="112">
        <f t="shared" si="35"/>
        <v>37622</v>
      </c>
      <c r="E57" s="240">
        <f>Foglio3!F37</f>
        <v>37644</v>
      </c>
      <c r="F57" s="240">
        <f>Foglio3!G37</f>
        <v>37783</v>
      </c>
      <c r="G57" s="244"/>
      <c r="H57" s="245">
        <f t="shared" si="36"/>
        <v>37644</v>
      </c>
      <c r="I57" s="245">
        <f t="shared" si="15"/>
        <v>37783</v>
      </c>
      <c r="J57" s="244"/>
      <c r="K57" s="244"/>
      <c r="Q57">
        <f t="shared" si="16"/>
        <v>140</v>
      </c>
      <c r="R57">
        <f t="shared" si="140"/>
        <v>120</v>
      </c>
      <c r="S57">
        <f t="shared" si="37"/>
        <v>0</v>
      </c>
      <c r="T57">
        <f t="shared" si="128"/>
        <v>4</v>
      </c>
      <c r="U57">
        <f t="shared" si="129"/>
        <v>0</v>
      </c>
      <c r="W57">
        <f t="shared" si="130"/>
        <v>0</v>
      </c>
      <c r="X57">
        <f t="shared" si="130"/>
        <v>39</v>
      </c>
      <c r="Y57">
        <f t="shared" si="130"/>
        <v>144</v>
      </c>
      <c r="AA57" s="112">
        <f t="shared" si="102"/>
        <v>37644</v>
      </c>
      <c r="AB57" s="112">
        <f t="shared" si="103"/>
        <v>37783</v>
      </c>
      <c r="AG57">
        <f t="shared" si="38"/>
        <v>1</v>
      </c>
      <c r="AH57" s="112">
        <f t="shared" si="39"/>
        <v>37644</v>
      </c>
      <c r="AI57" s="112">
        <f t="shared" si="39"/>
        <v>37783</v>
      </c>
      <c r="AJ57">
        <f t="shared" si="40"/>
        <v>1</v>
      </c>
      <c r="AK57">
        <f t="shared" si="104"/>
        <v>0</v>
      </c>
      <c r="AL57">
        <f t="shared" si="131"/>
        <v>1</v>
      </c>
      <c r="AN57">
        <f t="shared" si="132"/>
        <v>0</v>
      </c>
      <c r="AO57">
        <f t="shared" si="133"/>
        <v>20</v>
      </c>
      <c r="AP57">
        <f t="shared" si="105"/>
        <v>20</v>
      </c>
      <c r="AS57">
        <f t="shared" si="141"/>
        <v>0</v>
      </c>
      <c r="AT57">
        <f t="shared" si="142"/>
        <v>0</v>
      </c>
      <c r="AV57">
        <f t="shared" si="143"/>
        <v>0</v>
      </c>
      <c r="AW57">
        <f t="shared" si="144"/>
        <v>0</v>
      </c>
      <c r="AX57">
        <f t="shared" si="106"/>
        <v>0</v>
      </c>
      <c r="BA57">
        <f t="shared" si="161"/>
        <v>0</v>
      </c>
      <c r="BB57">
        <f t="shared" si="162"/>
        <v>0</v>
      </c>
      <c r="BD57">
        <f t="shared" si="146"/>
        <v>0</v>
      </c>
      <c r="BE57">
        <f t="shared" si="147"/>
        <v>0</v>
      </c>
      <c r="BF57">
        <f t="shared" si="136"/>
        <v>0</v>
      </c>
      <c r="BI57">
        <f t="shared" si="148"/>
        <v>0</v>
      </c>
      <c r="BJ57">
        <f t="shared" si="150"/>
        <v>0</v>
      </c>
      <c r="BK57">
        <f t="shared" si="151"/>
        <v>0</v>
      </c>
      <c r="BL57">
        <f t="shared" si="152"/>
        <v>0</v>
      </c>
      <c r="BM57">
        <f t="shared" si="145"/>
        <v>0</v>
      </c>
      <c r="BO57">
        <f t="shared" si="153"/>
        <v>0</v>
      </c>
      <c r="BP57">
        <f t="shared" si="154"/>
        <v>0</v>
      </c>
      <c r="BR57">
        <f t="shared" si="155"/>
        <v>0</v>
      </c>
      <c r="BS57">
        <f t="shared" si="156"/>
        <v>0</v>
      </c>
      <c r="BT57">
        <f t="shared" si="149"/>
        <v>0</v>
      </c>
      <c r="BV57">
        <f t="shared" si="107"/>
        <v>20</v>
      </c>
      <c r="BX57">
        <f t="shared" si="108"/>
        <v>20</v>
      </c>
      <c r="BY57">
        <f t="shared" si="109"/>
        <v>0</v>
      </c>
      <c r="BZ57">
        <f t="shared" si="110"/>
        <v>0</v>
      </c>
      <c r="CA57">
        <f t="shared" si="111"/>
        <v>0</v>
      </c>
      <c r="CB57">
        <f t="shared" si="112"/>
        <v>0</v>
      </c>
      <c r="CG57">
        <f t="shared" si="41"/>
        <v>2003</v>
      </c>
      <c r="CH57">
        <f t="shared" si="41"/>
        <v>2003</v>
      </c>
      <c r="CJ57">
        <f t="shared" si="42"/>
        <v>0</v>
      </c>
      <c r="CK57">
        <f t="shared" si="158"/>
        <v>0</v>
      </c>
      <c r="CL57">
        <f t="shared" si="43"/>
        <v>0</v>
      </c>
      <c r="CN57">
        <f t="shared" si="44"/>
        <v>0</v>
      </c>
      <c r="CS57">
        <f t="shared" si="45"/>
        <v>120</v>
      </c>
      <c r="CT57">
        <f t="shared" si="113"/>
        <v>1314</v>
      </c>
      <c r="CV57" s="112">
        <f t="shared" si="46"/>
        <v>37783</v>
      </c>
      <c r="CX57" s="112">
        <f t="shared" si="47"/>
        <v>100000</v>
      </c>
      <c r="CY57" s="112">
        <f t="shared" si="114"/>
        <v>100000</v>
      </c>
      <c r="CZ57" s="112">
        <f t="shared" si="115"/>
        <v>100000</v>
      </c>
      <c r="DA57" s="112">
        <f t="shared" si="116"/>
        <v>100000</v>
      </c>
      <c r="DB57" s="112">
        <f t="shared" si="117"/>
        <v>100000</v>
      </c>
      <c r="DC57" s="112">
        <f t="shared" si="118"/>
        <v>100000</v>
      </c>
      <c r="DU57" s="112"/>
      <c r="DV57" s="112"/>
      <c r="DW57" s="277">
        <v>39630</v>
      </c>
      <c r="DX57" s="276"/>
      <c r="DY57" s="276"/>
      <c r="DZ57" s="276"/>
      <c r="EF57" s="260" t="str">
        <f t="shared" si="160"/>
        <v/>
      </c>
      <c r="EK57" s="254"/>
      <c r="EL57">
        <f t="shared" si="163"/>
        <v>18</v>
      </c>
      <c r="EM57" s="260" t="e">
        <f t="shared" ca="1" si="121"/>
        <v>#NUM!</v>
      </c>
      <c r="EN57" s="112" t="e">
        <f t="shared" ca="1" si="56"/>
        <v>#NUM!</v>
      </c>
      <c r="EO57" s="112">
        <f t="shared" ca="1" si="57"/>
        <v>100000</v>
      </c>
      <c r="EP57" s="112">
        <f t="shared" ca="1" si="122"/>
        <v>100000</v>
      </c>
      <c r="EQ57" s="273">
        <f t="shared" ca="1" si="137"/>
        <v>100000</v>
      </c>
      <c r="ER57" s="302">
        <f t="shared" ca="1" si="58"/>
        <v>100000</v>
      </c>
      <c r="EU57">
        <f t="shared" ca="1" si="159"/>
        <v>28</v>
      </c>
      <c r="EV57" s="260">
        <f t="shared" ca="1" si="123"/>
        <v>100000</v>
      </c>
      <c r="EW57" t="str">
        <f t="shared" ca="1" si="59"/>
        <v>28-34 anni</v>
      </c>
      <c r="EX57">
        <f t="shared" ca="1" si="19"/>
        <v>1</v>
      </c>
      <c r="EY57" s="238">
        <f t="shared" ca="1" si="20"/>
        <v>260</v>
      </c>
      <c r="EZ57" t="str">
        <f t="shared" ca="1" si="60"/>
        <v>28-34 anni</v>
      </c>
      <c r="FB57">
        <f t="shared" ca="1" si="61"/>
        <v>27377.74</v>
      </c>
      <c r="FC57">
        <f t="shared" ca="1" si="164"/>
        <v>0</v>
      </c>
      <c r="FD57">
        <f t="shared" ca="1" si="164"/>
        <v>0</v>
      </c>
      <c r="FE57">
        <f t="shared" ca="1" si="164"/>
        <v>6459.63</v>
      </c>
      <c r="FF57">
        <f t="shared" ca="1" si="164"/>
        <v>169.19</v>
      </c>
      <c r="FL57">
        <f t="shared" ca="1" si="62"/>
        <v>0</v>
      </c>
      <c r="FM57">
        <f t="shared" ca="1" si="22"/>
        <v>3458.4</v>
      </c>
      <c r="FR57" s="254" t="str">
        <f t="shared" ca="1" si="124"/>
        <v>28-34 anni</v>
      </c>
      <c r="FS57">
        <f t="shared" si="125"/>
        <v>57</v>
      </c>
      <c r="FT57" t="str">
        <f t="shared" ca="1" si="165"/>
        <v>ez57</v>
      </c>
      <c r="FU57" t="str">
        <f t="shared" ca="1" si="165"/>
        <v>EV57</v>
      </c>
      <c r="FV57" t="str">
        <f t="shared" ca="1" si="165"/>
        <v>FB57</v>
      </c>
      <c r="FW57" t="str">
        <f t="shared" ca="1" si="165"/>
        <v>FC57</v>
      </c>
      <c r="FX57" t="str">
        <f t="shared" ca="1" si="165"/>
        <v>FD57</v>
      </c>
      <c r="FY57" t="str">
        <f t="shared" ca="1" si="165"/>
        <v>FE57</v>
      </c>
      <c r="FZ57" t="str">
        <f t="shared" ca="1" si="165"/>
        <v>FF57</v>
      </c>
      <c r="GA57" t="str">
        <f t="shared" ca="1" si="165"/>
        <v>FL57</v>
      </c>
      <c r="GB57" t="str">
        <f t="shared" ca="1" si="165"/>
        <v>FM57</v>
      </c>
      <c r="GC57" t="str">
        <f t="shared" ca="1" si="63"/>
        <v/>
      </c>
      <c r="GD57" t="str">
        <f t="shared" ca="1" si="165"/>
        <v/>
      </c>
      <c r="GE57">
        <f t="shared" ca="1" si="126"/>
        <v>0</v>
      </c>
      <c r="GF57" s="112">
        <f t="shared" ca="1" si="64"/>
        <v>100000</v>
      </c>
      <c r="GG57" s="238" t="str">
        <f t="shared" ca="1" si="65"/>
        <v>28-34 anni</v>
      </c>
      <c r="GH57" s="262">
        <f t="shared" ca="1" si="66"/>
        <v>27377.74</v>
      </c>
      <c r="GI57" s="262">
        <f t="shared" ca="1" si="67"/>
        <v>0</v>
      </c>
      <c r="GJ57" s="262">
        <f t="shared" ca="1" si="68"/>
        <v>0</v>
      </c>
      <c r="GK57" s="262">
        <f t="shared" ca="1" si="69"/>
        <v>6459.63</v>
      </c>
      <c r="GL57" s="262">
        <f t="shared" ca="1" si="70"/>
        <v>169.19</v>
      </c>
      <c r="GM57" s="262">
        <f t="shared" ca="1" si="71"/>
        <v>0</v>
      </c>
      <c r="GN57" s="262">
        <f t="shared" ca="1" si="72"/>
        <v>3458.4</v>
      </c>
      <c r="GO57" s="262">
        <f t="shared" ca="1" si="73"/>
        <v>0</v>
      </c>
      <c r="GP57" s="262">
        <f t="shared" ca="1" si="74"/>
        <v>0</v>
      </c>
      <c r="GR57" s="262">
        <f t="shared" ca="1" si="76"/>
        <v>33837.370000000003</v>
      </c>
      <c r="GS57" s="262">
        <f t="shared" ca="1" si="25"/>
        <v>37464.960000000006</v>
      </c>
      <c r="GT57" s="253" t="str">
        <f t="shared" ca="1" si="77"/>
        <v/>
      </c>
      <c r="GU57" t="str">
        <f t="shared" ca="1" si="78"/>
        <v/>
      </c>
      <c r="GV57" t="str">
        <f t="shared" ca="1" si="79"/>
        <v/>
      </c>
      <c r="GW57" t="str">
        <f t="shared" ca="1" si="138"/>
        <v xml:space="preserve">
</v>
      </c>
      <c r="GX57" t="str">
        <f t="shared" ca="1" si="166"/>
        <v/>
      </c>
      <c r="GY57" t="str">
        <f t="shared" ca="1" si="166"/>
        <v/>
      </c>
      <c r="GZ57" t="str">
        <f t="shared" ca="1" si="157"/>
        <v/>
      </c>
      <c r="HA57" t="str">
        <f t="shared" ca="1" si="166"/>
        <v xml:space="preserve">  Indennita di Vacanza contr.le - annuo lordo euro: 169,19
</v>
      </c>
      <c r="HB57" t="str">
        <f t="shared" ca="1" si="166"/>
        <v/>
      </c>
      <c r="HC57" t="str">
        <f t="shared" ca="1" si="166"/>
        <v xml:space="preserve">rpd/cia - annuo lordo euro: 3458,4
</v>
      </c>
      <c r="HD57" t="str">
        <f t="shared" ca="1" si="80"/>
        <v/>
      </c>
      <c r="HE57" s="254" t="str">
        <f t="shared" ca="1" si="166"/>
        <v/>
      </c>
      <c r="HF57" s="254" t="str">
        <f t="shared" ca="1" si="81"/>
        <v xml:space="preserve">TOTALE ANNUO LORDO EURO 37464,96
</v>
      </c>
      <c r="HL57" t="str">
        <f t="shared" ca="1" si="82"/>
        <v xml:space="preserve"> C.C.N.L. DEL 06/12/2022 -</v>
      </c>
      <c r="HM57" s="263" t="str">
        <f t="shared" ca="1" si="83"/>
        <v xml:space="preserve"> C.C.N.L. DEL 06/12/2022 -
  Indennita di Vacanza contr.le - annuo lordo euro: 169,19
rpd/cia - annuo lordo euro: 3458,4
TOTALE ANNUO LORDO EURO 37464,96
Altri assegni previsti per legge</v>
      </c>
      <c r="HN57" s="263"/>
      <c r="HO57" s="272" t="str">
        <f t="shared" ca="1" si="28"/>
        <v/>
      </c>
      <c r="HP57">
        <f t="shared" ca="1" si="84"/>
        <v>0</v>
      </c>
      <c r="HQ57" t="str">
        <f t="shared" ca="1" si="85"/>
        <v/>
      </c>
      <c r="HR57" t="str">
        <f t="shared" ca="1" si="86"/>
        <v/>
      </c>
      <c r="HS57" t="str">
        <f t="shared" ca="1" si="87"/>
        <v/>
      </c>
      <c r="HX57" s="253" t="s">
        <v>187</v>
      </c>
      <c r="HY57" s="112" t="str">
        <f t="shared" si="88"/>
        <v>23/1/2003</v>
      </c>
      <c r="HZ57" t="s">
        <v>188</v>
      </c>
      <c r="IA57" s="112" t="str">
        <f t="shared" si="89"/>
        <v>11/6/2003</v>
      </c>
      <c r="IB57" t="s">
        <v>189</v>
      </c>
      <c r="IC57">
        <f t="shared" si="90"/>
        <v>0</v>
      </c>
      <c r="ID57" t="s">
        <v>192</v>
      </c>
      <c r="IE57">
        <f t="shared" si="91"/>
        <v>4</v>
      </c>
      <c r="IF57" t="s">
        <v>191</v>
      </c>
      <c r="IG57" s="254">
        <f t="shared" si="92"/>
        <v>0</v>
      </c>
      <c r="IL57" t="str">
        <f t="shared" si="93"/>
        <v xml:space="preserve">DAL: 23/1/2003 - AL:11/6/2003 - ANNI:0 - MESI:4 -GIORNI:0
</v>
      </c>
      <c r="KD57">
        <v>0</v>
      </c>
      <c r="KE57" s="260">
        <f t="shared" ca="1" si="94"/>
        <v>100000</v>
      </c>
      <c r="KF57" t="str">
        <f t="shared" si="95"/>
        <v>0-2 anni</v>
      </c>
      <c r="KG57">
        <f t="shared" si="29"/>
        <v>6</v>
      </c>
      <c r="KH57" s="238">
        <f t="shared" ca="1" si="30"/>
        <v>255</v>
      </c>
      <c r="KK57">
        <f t="shared" ca="1" si="96"/>
        <v>16218.89</v>
      </c>
      <c r="KL57">
        <f t="shared" ca="1" si="167"/>
        <v>0</v>
      </c>
      <c r="KM57">
        <f t="shared" ca="1" si="167"/>
        <v>0</v>
      </c>
      <c r="KN57">
        <f t="shared" ca="1" si="167"/>
        <v>6459.63</v>
      </c>
      <c r="KO57">
        <f t="shared" ca="1" si="167"/>
        <v>169.19</v>
      </c>
      <c r="KV57">
        <f t="shared" ca="1" si="32"/>
        <v>3458.4</v>
      </c>
      <c r="LA57" s="254" t="str">
        <f t="shared" si="97"/>
        <v>0-2 anni</v>
      </c>
      <c r="LB57" s="112">
        <f t="shared" si="33"/>
        <v>37644</v>
      </c>
      <c r="LC57" s="112">
        <f t="shared" si="34"/>
        <v>37783</v>
      </c>
      <c r="LD57">
        <f t="shared" ca="1" si="98"/>
        <v>26306.11</v>
      </c>
      <c r="LE57" s="262">
        <f t="shared" ca="1" si="99"/>
        <v>37464.960000000006</v>
      </c>
      <c r="LF57">
        <f t="shared" si="100"/>
        <v>120</v>
      </c>
      <c r="LG57">
        <f t="shared" ca="1" si="101"/>
        <v>3668.66</v>
      </c>
    </row>
    <row r="58" spans="1:319" ht="90" x14ac:dyDescent="0.25">
      <c r="A58" s="112">
        <f t="shared" si="139"/>
        <v>37257</v>
      </c>
      <c r="B58" s="112">
        <f t="shared" si="35"/>
        <v>37622</v>
      </c>
      <c r="E58" s="240">
        <f>Foglio3!F38</f>
        <v>37673</v>
      </c>
      <c r="F58" s="240">
        <f>Foglio3!G38</f>
        <v>37786</v>
      </c>
      <c r="G58" s="244"/>
      <c r="H58" s="245">
        <f t="shared" si="36"/>
        <v>37673</v>
      </c>
      <c r="I58" s="245">
        <f t="shared" si="15"/>
        <v>37786</v>
      </c>
      <c r="J58" s="244"/>
      <c r="K58" s="244"/>
      <c r="Q58">
        <f t="shared" si="16"/>
        <v>114</v>
      </c>
      <c r="R58">
        <f t="shared" si="140"/>
        <v>3</v>
      </c>
      <c r="S58">
        <f t="shared" si="37"/>
        <v>0</v>
      </c>
      <c r="T58">
        <f t="shared" si="128"/>
        <v>0</v>
      </c>
      <c r="U58">
        <f t="shared" si="129"/>
        <v>3</v>
      </c>
      <c r="W58">
        <f t="shared" si="130"/>
        <v>0</v>
      </c>
      <c r="X58">
        <f t="shared" si="130"/>
        <v>39</v>
      </c>
      <c r="Y58">
        <f t="shared" si="130"/>
        <v>147</v>
      </c>
      <c r="AA58" s="112">
        <f t="shared" si="102"/>
        <v>37673</v>
      </c>
      <c r="AB58" s="112">
        <f t="shared" si="103"/>
        <v>37786</v>
      </c>
      <c r="AG58">
        <f t="shared" si="38"/>
        <v>1</v>
      </c>
      <c r="AH58" s="112">
        <f t="shared" si="39"/>
        <v>37673</v>
      </c>
      <c r="AI58" s="112">
        <f t="shared" si="39"/>
        <v>37786</v>
      </c>
      <c r="AJ58">
        <f t="shared" si="40"/>
        <v>1</v>
      </c>
      <c r="AK58">
        <f t="shared" si="104"/>
        <v>0</v>
      </c>
      <c r="AL58">
        <f t="shared" si="131"/>
        <v>1</v>
      </c>
      <c r="AN58">
        <f t="shared" si="132"/>
        <v>0</v>
      </c>
      <c r="AO58">
        <f t="shared" si="133"/>
        <v>111</v>
      </c>
      <c r="AP58">
        <f t="shared" si="105"/>
        <v>111</v>
      </c>
      <c r="AS58">
        <f t="shared" si="141"/>
        <v>0</v>
      </c>
      <c r="AT58">
        <f t="shared" si="142"/>
        <v>0</v>
      </c>
      <c r="AV58">
        <f t="shared" si="143"/>
        <v>0</v>
      </c>
      <c r="AW58">
        <f t="shared" si="144"/>
        <v>0</v>
      </c>
      <c r="AX58">
        <f t="shared" si="106"/>
        <v>0</v>
      </c>
      <c r="BA58">
        <f t="shared" si="161"/>
        <v>0</v>
      </c>
      <c r="BB58">
        <f t="shared" si="162"/>
        <v>0</v>
      </c>
      <c r="BD58">
        <f t="shared" si="146"/>
        <v>0</v>
      </c>
      <c r="BE58">
        <f t="shared" si="147"/>
        <v>0</v>
      </c>
      <c r="BF58">
        <f t="shared" si="136"/>
        <v>0</v>
      </c>
      <c r="BI58">
        <f t="shared" si="148"/>
        <v>0</v>
      </c>
      <c r="BJ58">
        <f t="shared" si="150"/>
        <v>0</v>
      </c>
      <c r="BK58">
        <f t="shared" si="151"/>
        <v>0</v>
      </c>
      <c r="BL58">
        <f t="shared" si="152"/>
        <v>0</v>
      </c>
      <c r="BM58">
        <f t="shared" si="145"/>
        <v>0</v>
      </c>
      <c r="BO58">
        <f t="shared" si="153"/>
        <v>0</v>
      </c>
      <c r="BP58">
        <f t="shared" si="154"/>
        <v>0</v>
      </c>
      <c r="BR58">
        <f t="shared" si="155"/>
        <v>0</v>
      </c>
      <c r="BS58">
        <f t="shared" si="156"/>
        <v>0</v>
      </c>
      <c r="BT58">
        <f t="shared" si="149"/>
        <v>0</v>
      </c>
      <c r="BV58">
        <f t="shared" si="107"/>
        <v>111</v>
      </c>
      <c r="BX58">
        <f t="shared" si="108"/>
        <v>111</v>
      </c>
      <c r="BY58">
        <f t="shared" si="109"/>
        <v>0</v>
      </c>
      <c r="BZ58">
        <f t="shared" si="110"/>
        <v>0</v>
      </c>
      <c r="CA58">
        <f t="shared" si="111"/>
        <v>0</v>
      </c>
      <c r="CB58">
        <f t="shared" si="112"/>
        <v>0</v>
      </c>
      <c r="CG58">
        <f t="shared" si="41"/>
        <v>2003</v>
      </c>
      <c r="CH58">
        <f t="shared" si="41"/>
        <v>2003</v>
      </c>
      <c r="CJ58">
        <f t="shared" si="42"/>
        <v>0</v>
      </c>
      <c r="CK58">
        <f t="shared" si="158"/>
        <v>0</v>
      </c>
      <c r="CL58">
        <f t="shared" si="43"/>
        <v>0</v>
      </c>
      <c r="CN58">
        <f t="shared" si="44"/>
        <v>0</v>
      </c>
      <c r="CS58">
        <f t="shared" si="45"/>
        <v>3</v>
      </c>
      <c r="CT58">
        <f t="shared" si="113"/>
        <v>1317</v>
      </c>
      <c r="CV58" s="112">
        <f t="shared" si="46"/>
        <v>37786</v>
      </c>
      <c r="CX58" s="112">
        <f t="shared" si="47"/>
        <v>100000</v>
      </c>
      <c r="CY58" s="112">
        <f t="shared" si="114"/>
        <v>100000</v>
      </c>
      <c r="CZ58" s="112">
        <f t="shared" si="115"/>
        <v>100000</v>
      </c>
      <c r="DA58" s="112">
        <f t="shared" si="116"/>
        <v>100000</v>
      </c>
      <c r="DB58" s="112">
        <f t="shared" si="117"/>
        <v>100000</v>
      </c>
      <c r="DC58" s="112">
        <f t="shared" si="118"/>
        <v>100000</v>
      </c>
      <c r="DU58" s="112"/>
      <c r="DV58" s="112"/>
      <c r="DW58" s="277">
        <v>39814</v>
      </c>
      <c r="DX58" s="276"/>
      <c r="DY58" s="276"/>
      <c r="DZ58" s="276"/>
      <c r="EF58" s="260" t="str">
        <f t="shared" si="160"/>
        <v/>
      </c>
      <c r="EK58" s="254"/>
      <c r="EL58">
        <f t="shared" si="163"/>
        <v>19</v>
      </c>
      <c r="EM58" s="260" t="e">
        <f t="shared" ca="1" si="121"/>
        <v>#NUM!</v>
      </c>
      <c r="EN58" s="112" t="e">
        <f t="shared" ca="1" si="56"/>
        <v>#NUM!</v>
      </c>
      <c r="EO58" s="112">
        <f t="shared" ca="1" si="57"/>
        <v>100000</v>
      </c>
      <c r="EP58" s="112">
        <f t="shared" ca="1" si="122"/>
        <v>100000</v>
      </c>
      <c r="EQ58" s="273">
        <f t="shared" ca="1" si="137"/>
        <v>100000</v>
      </c>
      <c r="ER58" s="302">
        <f t="shared" ca="1" si="58"/>
        <v>100000</v>
      </c>
      <c r="EU58">
        <f t="shared" ca="1" si="159"/>
        <v>28</v>
      </c>
      <c r="EV58" s="260">
        <f t="shared" ca="1" si="123"/>
        <v>100000</v>
      </c>
      <c r="EW58" t="str">
        <f t="shared" ca="1" si="59"/>
        <v>28-34 anni</v>
      </c>
      <c r="EX58">
        <f t="shared" ca="1" si="19"/>
        <v>1</v>
      </c>
      <c r="EY58" s="238">
        <f t="shared" ca="1" si="20"/>
        <v>260</v>
      </c>
      <c r="EZ58" t="str">
        <f t="shared" ca="1" si="60"/>
        <v>28-34 anni</v>
      </c>
      <c r="FB58">
        <f t="shared" ca="1" si="61"/>
        <v>27377.74</v>
      </c>
      <c r="FC58">
        <f t="shared" ca="1" si="164"/>
        <v>0</v>
      </c>
      <c r="FD58">
        <f t="shared" ca="1" si="164"/>
        <v>0</v>
      </c>
      <c r="FE58">
        <f t="shared" ca="1" si="164"/>
        <v>6459.63</v>
      </c>
      <c r="FF58">
        <f t="shared" ca="1" si="164"/>
        <v>169.19</v>
      </c>
      <c r="FL58">
        <f t="shared" ca="1" si="62"/>
        <v>0</v>
      </c>
      <c r="FM58">
        <f t="shared" ca="1" si="22"/>
        <v>3458.4</v>
      </c>
      <c r="FR58" s="254" t="str">
        <f t="shared" ca="1" si="124"/>
        <v>28-34 anni</v>
      </c>
      <c r="FS58">
        <f t="shared" si="125"/>
        <v>58</v>
      </c>
      <c r="FT58" t="str">
        <f t="shared" ca="1" si="165"/>
        <v>ez58</v>
      </c>
      <c r="FU58" t="str">
        <f t="shared" ca="1" si="165"/>
        <v>EV58</v>
      </c>
      <c r="FV58" t="str">
        <f t="shared" ca="1" si="165"/>
        <v>FB58</v>
      </c>
      <c r="FW58" t="str">
        <f t="shared" ca="1" si="165"/>
        <v>FC58</v>
      </c>
      <c r="FX58" t="str">
        <f t="shared" ca="1" si="165"/>
        <v>FD58</v>
      </c>
      <c r="FY58" t="str">
        <f t="shared" ca="1" si="165"/>
        <v>FE58</v>
      </c>
      <c r="FZ58" t="str">
        <f t="shared" ca="1" si="165"/>
        <v>FF58</v>
      </c>
      <c r="GA58" t="str">
        <f t="shared" ca="1" si="165"/>
        <v>FL58</v>
      </c>
      <c r="GB58" t="str">
        <f t="shared" ca="1" si="165"/>
        <v>FM58</v>
      </c>
      <c r="GC58" t="str">
        <f t="shared" ca="1" si="63"/>
        <v/>
      </c>
      <c r="GD58" t="str">
        <f t="shared" ca="1" si="165"/>
        <v/>
      </c>
      <c r="GE58">
        <f t="shared" ca="1" si="126"/>
        <v>0</v>
      </c>
      <c r="GF58" s="112">
        <f t="shared" ca="1" si="64"/>
        <v>100000</v>
      </c>
      <c r="GG58" s="238" t="str">
        <f t="shared" ca="1" si="65"/>
        <v>28-34 anni</v>
      </c>
      <c r="GH58" s="262">
        <f t="shared" ca="1" si="66"/>
        <v>27377.74</v>
      </c>
      <c r="GI58" s="262">
        <f t="shared" ca="1" si="67"/>
        <v>0</v>
      </c>
      <c r="GJ58" s="262">
        <f t="shared" ca="1" si="68"/>
        <v>0</v>
      </c>
      <c r="GK58" s="262">
        <f t="shared" ca="1" si="69"/>
        <v>6459.63</v>
      </c>
      <c r="GL58" s="262">
        <f t="shared" ca="1" si="70"/>
        <v>169.19</v>
      </c>
      <c r="GM58" s="262">
        <f t="shared" ca="1" si="71"/>
        <v>0</v>
      </c>
      <c r="GN58" s="262">
        <f t="shared" ca="1" si="72"/>
        <v>3458.4</v>
      </c>
      <c r="GO58" s="262">
        <f t="shared" ca="1" si="73"/>
        <v>0</v>
      </c>
      <c r="GP58" s="262">
        <f t="shared" ca="1" si="74"/>
        <v>0</v>
      </c>
      <c r="GR58" s="262">
        <f t="shared" ca="1" si="76"/>
        <v>33837.370000000003</v>
      </c>
      <c r="GS58" s="262">
        <f t="shared" ca="1" si="25"/>
        <v>37464.960000000006</v>
      </c>
      <c r="GT58" s="253" t="str">
        <f t="shared" ca="1" si="77"/>
        <v/>
      </c>
      <c r="GU58" t="str">
        <f t="shared" ca="1" si="78"/>
        <v/>
      </c>
      <c r="GV58" t="str">
        <f t="shared" ca="1" si="79"/>
        <v/>
      </c>
      <c r="GW58" t="str">
        <f t="shared" ca="1" si="138"/>
        <v xml:space="preserve">
</v>
      </c>
      <c r="GX58" t="str">
        <f t="shared" ca="1" si="166"/>
        <v/>
      </c>
      <c r="GY58" t="str">
        <f t="shared" ca="1" si="166"/>
        <v/>
      </c>
      <c r="GZ58" t="str">
        <f t="shared" ca="1" si="157"/>
        <v/>
      </c>
      <c r="HA58" t="str">
        <f t="shared" ca="1" si="166"/>
        <v xml:space="preserve">  Indennita di Vacanza contr.le - annuo lordo euro: 169,19
</v>
      </c>
      <c r="HB58" t="str">
        <f t="shared" ca="1" si="166"/>
        <v/>
      </c>
      <c r="HC58" t="str">
        <f t="shared" ca="1" si="166"/>
        <v xml:space="preserve">rpd/cia - annuo lordo euro: 3458,4
</v>
      </c>
      <c r="HD58" t="str">
        <f t="shared" ca="1" si="80"/>
        <v/>
      </c>
      <c r="HE58" s="254" t="str">
        <f t="shared" ca="1" si="166"/>
        <v/>
      </c>
      <c r="HF58" s="254" t="str">
        <f t="shared" ca="1" si="81"/>
        <v xml:space="preserve">TOTALE ANNUO LORDO EURO 37464,96
</v>
      </c>
      <c r="HL58" t="str">
        <f t="shared" ca="1" si="82"/>
        <v xml:space="preserve"> C.C.N.L. DEL 06/12/2022 -</v>
      </c>
      <c r="HM58" s="263" t="str">
        <f t="shared" ca="1" si="83"/>
        <v xml:space="preserve"> C.C.N.L. DEL 06/12/2022 -
  Indennita di Vacanza contr.le - annuo lordo euro: 169,19
rpd/cia - annuo lordo euro: 3458,4
TOTALE ANNUO LORDO EURO 37464,96
Altri assegni previsti per legge</v>
      </c>
      <c r="HN58" s="263"/>
      <c r="HO58" s="272" t="str">
        <f t="shared" ca="1" si="28"/>
        <v/>
      </c>
      <c r="HP58">
        <f t="shared" ca="1" si="84"/>
        <v>0</v>
      </c>
      <c r="HQ58" t="str">
        <f ca="1">IF(AND(HP58=0,HP57&gt;0),$JR$38,"")</f>
        <v/>
      </c>
      <c r="HR58" t="str">
        <f ca="1">IF(AND(HP58=0,HP57=0,HP56&gt;0),$JR$39,"")</f>
        <v/>
      </c>
      <c r="HS58" t="str">
        <f ca="1">IF(AND(HP58=0,HP57=0,HP56=0,HP55&gt;0),$JR$40,"")</f>
        <v/>
      </c>
      <c r="HX58" s="253" t="s">
        <v>187</v>
      </c>
      <c r="HY58" s="112" t="str">
        <f t="shared" si="88"/>
        <v>21/2/2003</v>
      </c>
      <c r="HZ58" t="s">
        <v>188</v>
      </c>
      <c r="IA58" s="112" t="str">
        <f t="shared" si="89"/>
        <v>14/6/2003</v>
      </c>
      <c r="IB58" t="s">
        <v>189</v>
      </c>
      <c r="IC58">
        <f t="shared" si="90"/>
        <v>0</v>
      </c>
      <c r="ID58" t="s">
        <v>192</v>
      </c>
      <c r="IE58">
        <f t="shared" si="91"/>
        <v>0</v>
      </c>
      <c r="IF58" t="s">
        <v>191</v>
      </c>
      <c r="IG58" s="254">
        <f t="shared" si="92"/>
        <v>3</v>
      </c>
      <c r="IL58" t="str">
        <f t="shared" si="93"/>
        <v xml:space="preserve">DAL: 21/2/2003 - AL:14/6/2003 - ANNI:0 - MESI:0 -GIORNI:3
</v>
      </c>
      <c r="KD58">
        <v>0</v>
      </c>
      <c r="KE58" s="260">
        <f t="shared" ca="1" si="94"/>
        <v>100000</v>
      </c>
      <c r="KF58" t="str">
        <f t="shared" si="95"/>
        <v>0-2 anni</v>
      </c>
      <c r="KG58">
        <f t="shared" si="29"/>
        <v>6</v>
      </c>
      <c r="KH58" s="238">
        <f t="shared" ca="1" si="30"/>
        <v>255</v>
      </c>
      <c r="KK58">
        <f t="shared" ca="1" si="96"/>
        <v>16218.89</v>
      </c>
      <c r="KL58">
        <f t="shared" ca="1" si="167"/>
        <v>0</v>
      </c>
      <c r="KM58">
        <f t="shared" ca="1" si="167"/>
        <v>0</v>
      </c>
      <c r="KN58">
        <f t="shared" ca="1" si="167"/>
        <v>6459.63</v>
      </c>
      <c r="KO58">
        <f t="shared" ca="1" si="167"/>
        <v>169.19</v>
      </c>
      <c r="KV58">
        <f t="shared" ca="1" si="32"/>
        <v>3458.4</v>
      </c>
      <c r="LA58" s="254" t="str">
        <f t="shared" si="97"/>
        <v>0-2 anni</v>
      </c>
      <c r="LB58" s="112">
        <f t="shared" si="33"/>
        <v>37673</v>
      </c>
      <c r="LC58" s="112">
        <f t="shared" si="34"/>
        <v>37786</v>
      </c>
      <c r="LD58">
        <f t="shared" ca="1" si="98"/>
        <v>26306.11</v>
      </c>
      <c r="LE58" s="262">
        <f t="shared" ca="1" si="99"/>
        <v>37464.960000000006</v>
      </c>
      <c r="LF58">
        <f t="shared" si="100"/>
        <v>3</v>
      </c>
      <c r="LG58">
        <f t="shared" ca="1" si="101"/>
        <v>91.72</v>
      </c>
    </row>
    <row r="59" spans="1:319" ht="90" x14ac:dyDescent="0.25">
      <c r="A59" s="112">
        <f t="shared" si="139"/>
        <v>37622</v>
      </c>
      <c r="B59" s="112">
        <f t="shared" si="35"/>
        <v>37987</v>
      </c>
      <c r="E59" s="240">
        <f>Foglio3!F39</f>
        <v>37865</v>
      </c>
      <c r="F59" s="240">
        <f>Foglio3!G39</f>
        <v>38168</v>
      </c>
      <c r="G59" s="244"/>
      <c r="H59" s="245">
        <f t="shared" si="36"/>
        <v>37865</v>
      </c>
      <c r="I59" s="245">
        <f t="shared" si="15"/>
        <v>38168</v>
      </c>
      <c r="J59" s="244"/>
      <c r="K59" s="244"/>
      <c r="Q59">
        <f t="shared" si="16"/>
        <v>304</v>
      </c>
      <c r="R59">
        <f t="shared" si="140"/>
        <v>304</v>
      </c>
      <c r="S59">
        <f t="shared" si="37"/>
        <v>0</v>
      </c>
      <c r="T59">
        <f t="shared" si="128"/>
        <v>10</v>
      </c>
      <c r="U59">
        <f t="shared" si="129"/>
        <v>4</v>
      </c>
      <c r="W59">
        <f t="shared" ref="W59:Y74" si="168">S59+W58</f>
        <v>0</v>
      </c>
      <c r="X59">
        <f t="shared" si="168"/>
        <v>49</v>
      </c>
      <c r="Y59">
        <f t="shared" si="168"/>
        <v>151</v>
      </c>
      <c r="AA59" s="112">
        <f t="shared" si="102"/>
        <v>37865</v>
      </c>
      <c r="AB59" s="112">
        <f t="shared" si="103"/>
        <v>38168</v>
      </c>
      <c r="AG59">
        <f t="shared" si="38"/>
        <v>1</v>
      </c>
      <c r="AH59" s="112">
        <f t="shared" si="39"/>
        <v>37865</v>
      </c>
      <c r="AI59" s="112">
        <f t="shared" si="39"/>
        <v>38168</v>
      </c>
      <c r="AJ59">
        <f t="shared" si="40"/>
        <v>1</v>
      </c>
      <c r="AK59">
        <f t="shared" si="104"/>
        <v>0</v>
      </c>
      <c r="AL59">
        <f t="shared" si="131"/>
        <v>0</v>
      </c>
      <c r="AN59">
        <f t="shared" si="132"/>
        <v>0</v>
      </c>
      <c r="AO59">
        <f t="shared" si="133"/>
        <v>0</v>
      </c>
      <c r="AP59">
        <f t="shared" si="105"/>
        <v>0</v>
      </c>
      <c r="AS59">
        <f t="shared" si="141"/>
        <v>0</v>
      </c>
      <c r="AT59">
        <f t="shared" si="142"/>
        <v>0</v>
      </c>
      <c r="AV59">
        <f t="shared" si="143"/>
        <v>0</v>
      </c>
      <c r="AW59">
        <f t="shared" si="144"/>
        <v>0</v>
      </c>
      <c r="AX59">
        <f t="shared" si="106"/>
        <v>0</v>
      </c>
      <c r="BA59">
        <f t="shared" si="161"/>
        <v>0</v>
      </c>
      <c r="BB59">
        <f t="shared" si="162"/>
        <v>0</v>
      </c>
      <c r="BD59">
        <f t="shared" si="146"/>
        <v>0</v>
      </c>
      <c r="BE59">
        <f t="shared" si="147"/>
        <v>0</v>
      </c>
      <c r="BF59">
        <f t="shared" si="136"/>
        <v>0</v>
      </c>
      <c r="BI59">
        <f t="shared" si="148"/>
        <v>0</v>
      </c>
      <c r="BJ59">
        <f t="shared" si="150"/>
        <v>0</v>
      </c>
      <c r="BK59">
        <f t="shared" si="151"/>
        <v>0</v>
      </c>
      <c r="BL59">
        <f t="shared" si="152"/>
        <v>0</v>
      </c>
      <c r="BM59">
        <f t="shared" si="145"/>
        <v>0</v>
      </c>
      <c r="BO59">
        <f t="shared" si="153"/>
        <v>0</v>
      </c>
      <c r="BP59">
        <f t="shared" si="154"/>
        <v>0</v>
      </c>
      <c r="BR59">
        <f t="shared" si="155"/>
        <v>0</v>
      </c>
      <c r="BS59">
        <f t="shared" si="156"/>
        <v>0</v>
      </c>
      <c r="BT59">
        <f t="shared" si="149"/>
        <v>0</v>
      </c>
      <c r="BV59">
        <f t="shared" si="107"/>
        <v>0</v>
      </c>
      <c r="BX59">
        <f t="shared" si="108"/>
        <v>0</v>
      </c>
      <c r="BY59">
        <f t="shared" si="109"/>
        <v>0</v>
      </c>
      <c r="BZ59">
        <f t="shared" si="110"/>
        <v>0</v>
      </c>
      <c r="CA59">
        <f t="shared" si="111"/>
        <v>0</v>
      </c>
      <c r="CB59">
        <f t="shared" si="112"/>
        <v>0</v>
      </c>
      <c r="CG59">
        <f t="shared" si="41"/>
        <v>2003</v>
      </c>
      <c r="CH59">
        <f t="shared" si="41"/>
        <v>2004</v>
      </c>
      <c r="CJ59">
        <f t="shared" si="42"/>
        <v>0</v>
      </c>
      <c r="CK59">
        <f t="shared" si="158"/>
        <v>0</v>
      </c>
      <c r="CL59">
        <f t="shared" si="43"/>
        <v>0</v>
      </c>
      <c r="CN59">
        <f t="shared" si="44"/>
        <v>0</v>
      </c>
      <c r="CS59">
        <f t="shared" si="45"/>
        <v>304</v>
      </c>
      <c r="CT59">
        <f t="shared" si="113"/>
        <v>1621</v>
      </c>
      <c r="CV59" s="112">
        <f t="shared" si="46"/>
        <v>38168</v>
      </c>
      <c r="CX59" s="112">
        <f t="shared" si="47"/>
        <v>100000</v>
      </c>
      <c r="CY59" s="112">
        <f t="shared" si="114"/>
        <v>100000</v>
      </c>
      <c r="CZ59" s="112">
        <f t="shared" si="115"/>
        <v>100000</v>
      </c>
      <c r="DA59" s="112">
        <f t="shared" si="116"/>
        <v>100000</v>
      </c>
      <c r="DB59" s="112">
        <f t="shared" si="117"/>
        <v>100000</v>
      </c>
      <c r="DC59" s="112">
        <f t="shared" si="118"/>
        <v>100000</v>
      </c>
      <c r="DU59" s="112"/>
      <c r="DV59" s="112"/>
      <c r="DW59" s="277">
        <v>40269</v>
      </c>
      <c r="DX59" s="276"/>
      <c r="DY59" s="276"/>
      <c r="DZ59" s="276"/>
      <c r="EF59" s="260" t="str">
        <f t="shared" si="160"/>
        <v/>
      </c>
      <c r="EK59" s="254"/>
      <c r="EL59">
        <f t="shared" si="163"/>
        <v>20</v>
      </c>
      <c r="EM59" s="260" t="e">
        <f t="shared" ca="1" si="121"/>
        <v>#NUM!</v>
      </c>
      <c r="EN59" s="112" t="e">
        <f t="shared" ca="1" si="56"/>
        <v>#NUM!</v>
      </c>
      <c r="EO59" s="112">
        <f t="shared" ca="1" si="57"/>
        <v>100000</v>
      </c>
      <c r="EP59" s="112">
        <f t="shared" ca="1" si="122"/>
        <v>100000</v>
      </c>
      <c r="EQ59" s="273">
        <f t="shared" ca="1" si="137"/>
        <v>100000</v>
      </c>
      <c r="ER59" s="302">
        <f t="shared" ca="1" si="58"/>
        <v>100000</v>
      </c>
      <c r="EU59">
        <f t="shared" ca="1" si="159"/>
        <v>28</v>
      </c>
      <c r="EV59" s="260">
        <f t="shared" ca="1" si="123"/>
        <v>100000</v>
      </c>
      <c r="EW59" t="str">
        <f t="shared" ca="1" si="59"/>
        <v>28-34 anni</v>
      </c>
      <c r="EX59">
        <f t="shared" ca="1" si="19"/>
        <v>1</v>
      </c>
      <c r="EY59" s="238">
        <f t="shared" ca="1" si="20"/>
        <v>260</v>
      </c>
      <c r="EZ59" t="str">
        <f t="shared" ca="1" si="60"/>
        <v>28-34 anni</v>
      </c>
      <c r="FB59">
        <f t="shared" ca="1" si="61"/>
        <v>27377.74</v>
      </c>
      <c r="FC59">
        <f t="shared" ca="1" si="164"/>
        <v>0</v>
      </c>
      <c r="FD59">
        <f t="shared" ca="1" si="164"/>
        <v>0</v>
      </c>
      <c r="FE59">
        <f t="shared" ca="1" si="164"/>
        <v>6459.63</v>
      </c>
      <c r="FF59">
        <f t="shared" ca="1" si="164"/>
        <v>169.19</v>
      </c>
      <c r="FL59">
        <f t="shared" ca="1" si="62"/>
        <v>0</v>
      </c>
      <c r="FM59">
        <f t="shared" ca="1" si="22"/>
        <v>3458.4</v>
      </c>
      <c r="FR59" s="254" t="str">
        <f t="shared" ca="1" si="124"/>
        <v>28-34 anni</v>
      </c>
      <c r="FS59">
        <f t="shared" si="125"/>
        <v>59</v>
      </c>
      <c r="FT59" t="str">
        <f t="shared" ca="1" si="165"/>
        <v>ez59</v>
      </c>
      <c r="FU59" t="str">
        <f t="shared" ca="1" si="165"/>
        <v>EV59</v>
      </c>
      <c r="FV59" t="str">
        <f t="shared" ca="1" si="165"/>
        <v>FB59</v>
      </c>
      <c r="FW59" t="str">
        <f t="shared" ca="1" si="165"/>
        <v>FC59</v>
      </c>
      <c r="FX59" t="str">
        <f t="shared" ca="1" si="165"/>
        <v>FD59</v>
      </c>
      <c r="FY59" t="str">
        <f t="shared" ca="1" si="165"/>
        <v>FE59</v>
      </c>
      <c r="FZ59" t="str">
        <f t="shared" ca="1" si="165"/>
        <v>FF59</v>
      </c>
      <c r="GA59" t="str">
        <f t="shared" ca="1" si="165"/>
        <v>FL59</v>
      </c>
      <c r="GB59" t="str">
        <f t="shared" ca="1" si="165"/>
        <v>FM59</v>
      </c>
      <c r="GC59" t="str">
        <f t="shared" ca="1" si="63"/>
        <v/>
      </c>
      <c r="GD59" t="str">
        <f t="shared" ca="1" si="165"/>
        <v/>
      </c>
      <c r="GE59">
        <f t="shared" ca="1" si="126"/>
        <v>0</v>
      </c>
      <c r="GF59" s="112">
        <f t="shared" ca="1" si="64"/>
        <v>100000</v>
      </c>
      <c r="GG59" s="238" t="str">
        <f t="shared" ca="1" si="65"/>
        <v>28-34 anni</v>
      </c>
      <c r="GH59" s="262">
        <f t="shared" ca="1" si="66"/>
        <v>27377.74</v>
      </c>
      <c r="GI59" s="262">
        <f t="shared" ca="1" si="67"/>
        <v>0</v>
      </c>
      <c r="GJ59" s="262">
        <f t="shared" ca="1" si="68"/>
        <v>0</v>
      </c>
      <c r="GK59" s="262">
        <f t="shared" ca="1" si="69"/>
        <v>6459.63</v>
      </c>
      <c r="GL59" s="262">
        <f t="shared" ca="1" si="70"/>
        <v>169.19</v>
      </c>
      <c r="GM59" s="262">
        <f t="shared" ca="1" si="71"/>
        <v>0</v>
      </c>
      <c r="GN59" s="262">
        <f t="shared" ca="1" si="72"/>
        <v>3458.4</v>
      </c>
      <c r="GO59" s="262">
        <f t="shared" ca="1" si="73"/>
        <v>0</v>
      </c>
      <c r="GP59" s="262">
        <f t="shared" ca="1" si="74"/>
        <v>0</v>
      </c>
      <c r="GR59" s="262">
        <f t="shared" ca="1" si="76"/>
        <v>33837.370000000003</v>
      </c>
      <c r="GS59" s="262">
        <f t="shared" ca="1" si="25"/>
        <v>37464.960000000006</v>
      </c>
      <c r="GT59" s="253" t="str">
        <f t="shared" ca="1" si="77"/>
        <v/>
      </c>
      <c r="GU59" t="str">
        <f t="shared" ca="1" si="78"/>
        <v/>
      </c>
      <c r="GV59" t="str">
        <f t="shared" ca="1" si="79"/>
        <v/>
      </c>
      <c r="GW59" t="str">
        <f t="shared" ca="1" si="138"/>
        <v xml:space="preserve">
</v>
      </c>
      <c r="GX59" t="str">
        <f t="shared" ca="1" si="166"/>
        <v/>
      </c>
      <c r="GY59" t="str">
        <f t="shared" ca="1" si="166"/>
        <v/>
      </c>
      <c r="GZ59" t="str">
        <f t="shared" ca="1" si="157"/>
        <v/>
      </c>
      <c r="HA59" t="str">
        <f t="shared" ca="1" si="166"/>
        <v xml:space="preserve">  Indennita di Vacanza contr.le - annuo lordo euro: 169,19
</v>
      </c>
      <c r="HB59" t="str">
        <f t="shared" ca="1" si="166"/>
        <v/>
      </c>
      <c r="HC59" t="str">
        <f t="shared" ca="1" si="166"/>
        <v xml:space="preserve">rpd/cia - annuo lordo euro: 3458,4
</v>
      </c>
      <c r="HD59" t="str">
        <f t="shared" ca="1" si="80"/>
        <v/>
      </c>
      <c r="HE59" s="254" t="str">
        <f t="shared" ca="1" si="166"/>
        <v/>
      </c>
      <c r="HF59" s="254" t="str">
        <f t="shared" ca="1" si="81"/>
        <v xml:space="preserve">TOTALE ANNUO LORDO EURO 37464,96
</v>
      </c>
      <c r="HL59" t="str">
        <f t="shared" ca="1" si="82"/>
        <v xml:space="preserve"> C.C.N.L. DEL 06/12/2022 -</v>
      </c>
      <c r="HM59" s="263" t="str">
        <f t="shared" ca="1" si="83"/>
        <v xml:space="preserve"> C.C.N.L. DEL 06/12/2022 -
  Indennita di Vacanza contr.le - annuo lordo euro: 169,19
rpd/cia - annuo lordo euro: 3458,4
TOTALE ANNUO LORDO EURO 37464,96
Altri assegni previsti per legge</v>
      </c>
      <c r="HN59" s="263"/>
      <c r="HO59" s="272" t="str">
        <f t="shared" ca="1" si="28"/>
        <v/>
      </c>
      <c r="HP59">
        <f t="shared" ca="1" si="84"/>
        <v>0</v>
      </c>
      <c r="HQ59" t="str">
        <f t="shared" ca="1" si="85"/>
        <v/>
      </c>
      <c r="HR59" t="str">
        <f t="shared" ref="HR59:HR96" ca="1" si="169">IF(AND(HP59=0,HP58=0,HP57&gt;0),$JR$39,"")</f>
        <v/>
      </c>
      <c r="HS59" t="str">
        <f t="shared" ref="HS59:HS96" ca="1" si="170">IF(AND(HP59=0,HP58=0,HP57=0,HP56&gt;0),$JR$40,"")</f>
        <v/>
      </c>
      <c r="HX59" s="253" t="s">
        <v>187</v>
      </c>
      <c r="HY59" s="112" t="str">
        <f t="shared" si="88"/>
        <v>1/9/2003</v>
      </c>
      <c r="HZ59" t="s">
        <v>188</v>
      </c>
      <c r="IA59" s="112" t="str">
        <f t="shared" si="89"/>
        <v>30/6/2004</v>
      </c>
      <c r="IB59" t="s">
        <v>189</v>
      </c>
      <c r="IC59">
        <f t="shared" si="90"/>
        <v>0</v>
      </c>
      <c r="ID59" t="s">
        <v>192</v>
      </c>
      <c r="IE59">
        <f t="shared" si="91"/>
        <v>10</v>
      </c>
      <c r="IF59" t="s">
        <v>191</v>
      </c>
      <c r="IG59" s="254">
        <f t="shared" si="92"/>
        <v>4</v>
      </c>
      <c r="IL59" t="str">
        <f t="shared" si="93"/>
        <v xml:space="preserve">DAL: 1/9/2003 - AL:30/6/2004 - ANNI:0 - MESI:10 -GIORNI:4
</v>
      </c>
      <c r="KD59">
        <v>0</v>
      </c>
      <c r="KE59" s="260">
        <f t="shared" ca="1" si="94"/>
        <v>100000</v>
      </c>
      <c r="KF59" t="str">
        <f t="shared" si="95"/>
        <v>0-2 anni</v>
      </c>
      <c r="KG59">
        <f t="shared" si="29"/>
        <v>6</v>
      </c>
      <c r="KH59" s="238">
        <f t="shared" ca="1" si="30"/>
        <v>255</v>
      </c>
      <c r="KK59">
        <f t="shared" ca="1" si="96"/>
        <v>16218.89</v>
      </c>
      <c r="KL59">
        <f t="shared" ca="1" si="167"/>
        <v>0</v>
      </c>
      <c r="KM59">
        <f t="shared" ca="1" si="167"/>
        <v>0</v>
      </c>
      <c r="KN59">
        <f t="shared" ca="1" si="167"/>
        <v>6459.63</v>
      </c>
      <c r="KO59">
        <f t="shared" ca="1" si="167"/>
        <v>169.19</v>
      </c>
      <c r="KV59">
        <f t="shared" ca="1" si="32"/>
        <v>3458.4</v>
      </c>
      <c r="LA59" s="254" t="str">
        <f t="shared" si="97"/>
        <v>0-2 anni</v>
      </c>
      <c r="LB59" s="112">
        <f t="shared" si="33"/>
        <v>37865</v>
      </c>
      <c r="LC59" s="112">
        <f t="shared" si="34"/>
        <v>38168</v>
      </c>
      <c r="LD59">
        <f t="shared" ca="1" si="98"/>
        <v>26306.11</v>
      </c>
      <c r="LE59" s="262">
        <f t="shared" ca="1" si="99"/>
        <v>37464.960000000006</v>
      </c>
      <c r="LF59">
        <f t="shared" si="100"/>
        <v>304</v>
      </c>
      <c r="LG59">
        <f t="shared" ca="1" si="101"/>
        <v>9293.9500000000007</v>
      </c>
    </row>
    <row r="60" spans="1:319" ht="409.5" x14ac:dyDescent="0.25">
      <c r="A60" s="112">
        <f t="shared" si="139"/>
        <v>37987</v>
      </c>
      <c r="B60" s="112">
        <f t="shared" si="35"/>
        <v>38384</v>
      </c>
      <c r="E60" s="240">
        <f>Foglio3!F40</f>
        <v>38231</v>
      </c>
      <c r="F60" s="240">
        <f>Foglio3!G40</f>
        <v>38551</v>
      </c>
      <c r="G60" s="244"/>
      <c r="H60" s="245">
        <f t="shared" si="36"/>
        <v>38231</v>
      </c>
      <c r="I60" s="245">
        <f t="shared" si="15"/>
        <v>38551</v>
      </c>
      <c r="J60" s="244"/>
      <c r="K60" s="244"/>
      <c r="Q60">
        <f t="shared" si="16"/>
        <v>321</v>
      </c>
      <c r="R60">
        <f t="shared" si="140"/>
        <v>321</v>
      </c>
      <c r="S60">
        <f t="shared" si="37"/>
        <v>0</v>
      </c>
      <c r="T60">
        <f t="shared" si="128"/>
        <v>10</v>
      </c>
      <c r="U60">
        <f t="shared" si="129"/>
        <v>21</v>
      </c>
      <c r="W60">
        <f t="shared" si="168"/>
        <v>0</v>
      </c>
      <c r="X60">
        <f t="shared" si="168"/>
        <v>59</v>
      </c>
      <c r="Y60">
        <f t="shared" si="168"/>
        <v>172</v>
      </c>
      <c r="AA60" s="112">
        <f t="shared" si="102"/>
        <v>38231</v>
      </c>
      <c r="AB60" s="112">
        <f t="shared" si="103"/>
        <v>38551</v>
      </c>
      <c r="AG60">
        <f t="shared" si="38"/>
        <v>1</v>
      </c>
      <c r="AH60" s="112">
        <f t="shared" si="39"/>
        <v>38231</v>
      </c>
      <c r="AI60" s="112">
        <f t="shared" si="39"/>
        <v>38551</v>
      </c>
      <c r="AJ60">
        <f t="shared" si="40"/>
        <v>1</v>
      </c>
      <c r="AK60">
        <f t="shared" si="104"/>
        <v>0</v>
      </c>
      <c r="AL60">
        <f t="shared" si="131"/>
        <v>0</v>
      </c>
      <c r="AN60">
        <f t="shared" si="132"/>
        <v>0</v>
      </c>
      <c r="AO60">
        <f t="shared" si="133"/>
        <v>0</v>
      </c>
      <c r="AP60">
        <f t="shared" si="105"/>
        <v>0</v>
      </c>
      <c r="AS60">
        <f t="shared" si="141"/>
        <v>0</v>
      </c>
      <c r="AT60">
        <f t="shared" si="142"/>
        <v>0</v>
      </c>
      <c r="AV60">
        <f t="shared" si="143"/>
        <v>0</v>
      </c>
      <c r="AW60">
        <f t="shared" si="144"/>
        <v>0</v>
      </c>
      <c r="AX60">
        <f t="shared" si="106"/>
        <v>0</v>
      </c>
      <c r="BA60">
        <f t="shared" si="161"/>
        <v>0</v>
      </c>
      <c r="BB60">
        <f t="shared" si="162"/>
        <v>0</v>
      </c>
      <c r="BD60">
        <f t="shared" si="146"/>
        <v>0</v>
      </c>
      <c r="BE60">
        <f t="shared" si="147"/>
        <v>0</v>
      </c>
      <c r="BF60">
        <f t="shared" si="136"/>
        <v>0</v>
      </c>
      <c r="BI60">
        <f t="shared" si="148"/>
        <v>0</v>
      </c>
      <c r="BJ60">
        <f t="shared" si="150"/>
        <v>0</v>
      </c>
      <c r="BK60">
        <f t="shared" si="151"/>
        <v>0</v>
      </c>
      <c r="BL60">
        <f t="shared" si="152"/>
        <v>0</v>
      </c>
      <c r="BM60">
        <f t="shared" si="145"/>
        <v>0</v>
      </c>
      <c r="BO60">
        <f t="shared" si="153"/>
        <v>0</v>
      </c>
      <c r="BP60">
        <f t="shared" si="154"/>
        <v>0</v>
      </c>
      <c r="BR60">
        <f t="shared" si="155"/>
        <v>0</v>
      </c>
      <c r="BS60">
        <f t="shared" si="156"/>
        <v>0</v>
      </c>
      <c r="BT60">
        <f t="shared" si="149"/>
        <v>0</v>
      </c>
      <c r="BV60">
        <f t="shared" si="107"/>
        <v>0</v>
      </c>
      <c r="BX60">
        <f t="shared" si="108"/>
        <v>0</v>
      </c>
      <c r="BY60">
        <f t="shared" si="109"/>
        <v>0</v>
      </c>
      <c r="BZ60">
        <f t="shared" si="110"/>
        <v>0</v>
      </c>
      <c r="CA60">
        <f t="shared" si="111"/>
        <v>0</v>
      </c>
      <c r="CB60">
        <f t="shared" si="112"/>
        <v>0</v>
      </c>
      <c r="CG60">
        <f t="shared" si="41"/>
        <v>2004</v>
      </c>
      <c r="CH60">
        <f t="shared" si="41"/>
        <v>2005</v>
      </c>
      <c r="CJ60">
        <f t="shared" si="42"/>
        <v>0</v>
      </c>
      <c r="CK60">
        <f t="shared" si="158"/>
        <v>0</v>
      </c>
      <c r="CL60">
        <f t="shared" si="43"/>
        <v>0</v>
      </c>
      <c r="CN60">
        <f t="shared" si="44"/>
        <v>0</v>
      </c>
      <c r="CS60">
        <f t="shared" si="45"/>
        <v>321</v>
      </c>
      <c r="CT60">
        <f t="shared" si="113"/>
        <v>1942</v>
      </c>
      <c r="CV60" s="112">
        <f t="shared" si="46"/>
        <v>38551</v>
      </c>
      <c r="CX60" s="112">
        <f t="shared" si="47"/>
        <v>100000</v>
      </c>
      <c r="CY60" s="112">
        <f t="shared" si="114"/>
        <v>100000</v>
      </c>
      <c r="CZ60" s="112">
        <f t="shared" si="115"/>
        <v>100000</v>
      </c>
      <c r="DA60" s="112">
        <f t="shared" si="116"/>
        <v>100000</v>
      </c>
      <c r="DB60" s="112">
        <f t="shared" si="117"/>
        <v>100000</v>
      </c>
      <c r="DC60" s="112">
        <f t="shared" si="118"/>
        <v>100000</v>
      </c>
      <c r="DU60" s="112"/>
      <c r="DV60" s="112"/>
      <c r="DW60" s="277">
        <v>40360</v>
      </c>
      <c r="DX60" s="276"/>
      <c r="DY60" s="276"/>
      <c r="DZ60" s="276"/>
      <c r="EF60" s="260" t="str">
        <f t="shared" si="160"/>
        <v/>
      </c>
      <c r="EK60" s="254"/>
      <c r="EL60">
        <f t="shared" si="163"/>
        <v>21</v>
      </c>
      <c r="EM60" s="260" t="e">
        <f t="shared" ca="1" si="121"/>
        <v>#NUM!</v>
      </c>
      <c r="EN60" s="112" t="e">
        <f t="shared" ca="1" si="56"/>
        <v>#NUM!</v>
      </c>
      <c r="EO60" s="112">
        <f t="shared" ca="1" si="57"/>
        <v>100000</v>
      </c>
      <c r="EP60" s="112">
        <f t="shared" ca="1" si="122"/>
        <v>100000</v>
      </c>
      <c r="EQ60" s="273">
        <f t="shared" ca="1" si="137"/>
        <v>100000</v>
      </c>
      <c r="ER60" s="302">
        <f t="shared" ca="1" si="58"/>
        <v>100000</v>
      </c>
      <c r="EU60">
        <f t="shared" ca="1" si="159"/>
        <v>28</v>
      </c>
      <c r="EV60" s="260">
        <f t="shared" ca="1" si="123"/>
        <v>100000</v>
      </c>
      <c r="EW60" t="str">
        <f t="shared" ca="1" si="59"/>
        <v>28-34 anni</v>
      </c>
      <c r="EX60">
        <f t="shared" ca="1" si="19"/>
        <v>1</v>
      </c>
      <c r="EY60" s="238">
        <f t="shared" ca="1" si="20"/>
        <v>260</v>
      </c>
      <c r="EZ60" t="str">
        <f t="shared" ca="1" si="60"/>
        <v>28-34 anni</v>
      </c>
      <c r="FB60">
        <f t="shared" ca="1" si="61"/>
        <v>27377.74</v>
      </c>
      <c r="FC60">
        <f t="shared" ca="1" si="164"/>
        <v>0</v>
      </c>
      <c r="FD60">
        <f t="shared" ca="1" si="164"/>
        <v>0</v>
      </c>
      <c r="FE60">
        <f t="shared" ca="1" si="164"/>
        <v>6459.63</v>
      </c>
      <c r="FF60">
        <f t="shared" ca="1" si="164"/>
        <v>169.19</v>
      </c>
      <c r="FL60">
        <f t="shared" ca="1" si="62"/>
        <v>0</v>
      </c>
      <c r="FM60">
        <f t="shared" ca="1" si="22"/>
        <v>3458.4</v>
      </c>
      <c r="FR60" s="254" t="str">
        <f t="shared" ca="1" si="124"/>
        <v>28-34 anni</v>
      </c>
      <c r="FS60">
        <f t="shared" si="125"/>
        <v>60</v>
      </c>
      <c r="FT60" t="str">
        <f t="shared" ca="1" si="165"/>
        <v>ez60</v>
      </c>
      <c r="FU60" t="str">
        <f t="shared" ca="1" si="165"/>
        <v>EV60</v>
      </c>
      <c r="FV60" t="str">
        <f t="shared" ca="1" si="165"/>
        <v>FB60</v>
      </c>
      <c r="FW60" t="str">
        <f t="shared" ca="1" si="165"/>
        <v>FC60</v>
      </c>
      <c r="FX60" t="str">
        <f t="shared" ca="1" si="165"/>
        <v>FD60</v>
      </c>
      <c r="FY60" t="str">
        <f t="shared" ca="1" si="165"/>
        <v>FE60</v>
      </c>
      <c r="FZ60" t="str">
        <f t="shared" ca="1" si="165"/>
        <v>FF60</v>
      </c>
      <c r="GA60" t="str">
        <f t="shared" ca="1" si="165"/>
        <v>FL60</v>
      </c>
      <c r="GB60" t="str">
        <f t="shared" ca="1" si="165"/>
        <v>FM60</v>
      </c>
      <c r="GC60" t="str">
        <f t="shared" ca="1" si="63"/>
        <v/>
      </c>
      <c r="GD60" t="str">
        <f t="shared" ca="1" si="165"/>
        <v/>
      </c>
      <c r="GE60">
        <f t="shared" ca="1" si="126"/>
        <v>0</v>
      </c>
      <c r="GF60" s="112">
        <f t="shared" ca="1" si="64"/>
        <v>100000</v>
      </c>
      <c r="GG60" s="238" t="str">
        <f t="shared" ca="1" si="65"/>
        <v>28-34 anni</v>
      </c>
      <c r="GH60" s="262">
        <f t="shared" ca="1" si="66"/>
        <v>27377.74</v>
      </c>
      <c r="GI60" s="262">
        <f t="shared" ca="1" si="67"/>
        <v>0</v>
      </c>
      <c r="GJ60" s="262">
        <f t="shared" ca="1" si="68"/>
        <v>0</v>
      </c>
      <c r="GK60" s="262">
        <f t="shared" ca="1" si="69"/>
        <v>6459.63</v>
      </c>
      <c r="GL60" s="262">
        <f t="shared" ca="1" si="70"/>
        <v>169.19</v>
      </c>
      <c r="GM60" s="262">
        <f t="shared" ca="1" si="71"/>
        <v>0</v>
      </c>
      <c r="GN60" s="262">
        <f t="shared" ca="1" si="72"/>
        <v>3458.4</v>
      </c>
      <c r="GO60" s="262">
        <f t="shared" ca="1" si="73"/>
        <v>0</v>
      </c>
      <c r="GP60" s="262">
        <f t="shared" ca="1" si="74"/>
        <v>0</v>
      </c>
      <c r="GR60" s="262">
        <f t="shared" ca="1" si="76"/>
        <v>33837.370000000003</v>
      </c>
      <c r="GS60" s="262">
        <f t="shared" ca="1" si="25"/>
        <v>37464.960000000006</v>
      </c>
      <c r="GT60" s="253" t="str">
        <f t="shared" ca="1" si="77"/>
        <v/>
      </c>
      <c r="GU60" t="str">
        <f t="shared" ca="1" si="78"/>
        <v/>
      </c>
      <c r="GV60" t="str">
        <f t="shared" ca="1" si="79"/>
        <v/>
      </c>
      <c r="GW60" t="str">
        <f t="shared" ca="1" si="138"/>
        <v xml:space="preserve">
</v>
      </c>
      <c r="GX60" t="str">
        <f t="shared" ca="1" si="166"/>
        <v/>
      </c>
      <c r="GY60" t="str">
        <f t="shared" ca="1" si="166"/>
        <v/>
      </c>
      <c r="GZ60" t="str">
        <f t="shared" ca="1" si="157"/>
        <v/>
      </c>
      <c r="HA60" t="str">
        <f t="shared" ca="1" si="166"/>
        <v xml:space="preserve">  Indennita di Vacanza contr.le - annuo lordo euro: 169,19
</v>
      </c>
      <c r="HB60" t="str">
        <f t="shared" ca="1" si="166"/>
        <v/>
      </c>
      <c r="HC60" t="str">
        <f t="shared" ca="1" si="166"/>
        <v xml:space="preserve">rpd/cia - annuo lordo euro: 3458,4
</v>
      </c>
      <c r="HD60" t="str">
        <f t="shared" ca="1" si="80"/>
        <v/>
      </c>
      <c r="HE60" s="254" t="str">
        <f t="shared" ca="1" si="166"/>
        <v/>
      </c>
      <c r="HF60" s="254" t="str">
        <f t="shared" ca="1" si="81"/>
        <v xml:space="preserve">TOTALE ANNUO LORDO EURO 37464,96
</v>
      </c>
      <c r="HL60" t="str">
        <f t="shared" ca="1" si="82"/>
        <v xml:space="preserve"> C.C.N.L. DEL 06/12/2022 -</v>
      </c>
      <c r="HM60" s="263" t="str">
        <f t="shared" ca="1" si="83"/>
        <v xml:space="preserve"> C.C.N.L. DEL 06/12/2022 -
  Indennita di Vacanza contr.le - annuo lordo euro: 169,19
rpd/cia - annuo lordo euro: 3458,4
TOTALE ANNUO LORDO EURO 37464,96
Altri assegni previsti per legge</v>
      </c>
      <c r="HN60" s="263"/>
      <c r="HO60" s="272" t="str">
        <f t="shared" ca="1" si="28"/>
        <v/>
      </c>
      <c r="HP60">
        <f t="shared" ca="1" si="84"/>
        <v>0</v>
      </c>
      <c r="HQ60" t="str">
        <f t="shared" ca="1" si="85"/>
        <v/>
      </c>
      <c r="HR60" t="str">
        <f t="shared" ca="1" si="169"/>
        <v/>
      </c>
      <c r="HS60" t="str">
        <f t="shared" ca="1" si="170"/>
        <v/>
      </c>
      <c r="HX60" s="253" t="s">
        <v>187</v>
      </c>
      <c r="HY60" s="112" t="str">
        <f t="shared" si="88"/>
        <v>1/9/2004</v>
      </c>
      <c r="HZ60" t="s">
        <v>188</v>
      </c>
      <c r="IA60" s="112" t="str">
        <f t="shared" si="89"/>
        <v>18/7/2005</v>
      </c>
      <c r="IB60" t="s">
        <v>189</v>
      </c>
      <c r="IC60">
        <f t="shared" si="90"/>
        <v>0</v>
      </c>
      <c r="ID60" t="s">
        <v>192</v>
      </c>
      <c r="IE60">
        <f t="shared" si="91"/>
        <v>10</v>
      </c>
      <c r="IF60" t="s">
        <v>191</v>
      </c>
      <c r="IG60" s="254">
        <f t="shared" si="92"/>
        <v>21</v>
      </c>
      <c r="IL60" t="str">
        <f t="shared" si="93"/>
        <v xml:space="preserve">DAL: 1/9/2004 - AL:18/7/2005 - ANNI:0 - MESI:10 -GIORNI:21
</v>
      </c>
      <c r="IW60" s="263" t="str">
        <f>CONCATENATE(IL60,IL61,IL62,IL63,IL64,IL65,IL66,IL67,IL68,IL69,IL70,IL71,IL72,IL73,IL74,I565,IL76,IL77,IL78,IL79,)</f>
        <v xml:space="preserve">DAL: 1/9/2004 - AL:18/7/2005 - ANNI:0 - MESI:10 -GIORNI:21
DAL: 1/9/2005 - AL:21/7/2006 - ANNI:0 - MESI:10 -GIORNI:24
DAL: 1/9/2006 - AL:14/7/2007 - ANNI:0 - MESI:10 -GIORNI:17
DAL: 13/9/2007 - AL:30/6/2008 - ANNI:0 - MESI:9 -GIORNI:22
DAL: 1/9/2008 - AL:30/6/2009 - ANNI:0 - MESI:10 -GIORNI:3
DAL: 7/9/2009 - AL:7/9/2009 - ANNI:0 - MESI:0 -GIORNI:1
DAL: 10/9/2009 - AL:31/8/2010 - ANNI:0 - MESI:11 -GIORNI:26
DAL: 9/9/2010 - AL:15/7/2011 - ANNI:0 - MESI:10 -GIORNI:10
DAL: 10/9/2010 - AL:15/7/2011 - ANNI:0 - MESI:0 -GIORNI:0
DAL: 16/9/2011 - AL:30/6/2012 - ANNI:0 - MESI:9 -GIORNI:19
DAL: 19/9/2012 - AL:16/7/2013 - ANNI:0 - MESI:3 -GIORNI:14
DAL: 26/9/2012 - AL:16/7/2013 - ANNI:0 - MESI:3 -GIORNI:7
DAL: 2/10/2012 - AL:14/10/2012 - ANNI:0 - MESI:0 -GIORNI:13
DAL: 15/10/2012 - AL:26/11/2012 - ANNI:0 - MESI:1 -GIORNI:13
DAL: 27/11/2012 - AL:16/7/2013 - ANNI:0 - MESI:1 -GIORNI:5
DAL: 3/10/2014 - AL:30/6/2015 - ANNI:0 - MESI:9 -GIORNI:1
DAL: 1/9/2015 - AL:31/8/2016 - ANNI:1 - MESI:0 -GIORNI:1
DAL: 1/9/2016 - AL:31/8/2017 - ANNI:1 - MESI:0 -GIORNI:0
DAL: 1/9/2017 - AL:31/8/2018 - ANNI:1 - MESI:0 -GIORNI:0
</v>
      </c>
      <c r="KD60">
        <v>0</v>
      </c>
      <c r="KE60" s="260">
        <f t="shared" ca="1" si="94"/>
        <v>100000</v>
      </c>
      <c r="KF60" t="str">
        <f t="shared" si="95"/>
        <v>0-2 anni</v>
      </c>
      <c r="KG60">
        <f t="shared" si="29"/>
        <v>6</v>
      </c>
      <c r="KH60" s="238">
        <f t="shared" ca="1" si="30"/>
        <v>255</v>
      </c>
      <c r="KK60">
        <f t="shared" ca="1" si="96"/>
        <v>16218.89</v>
      </c>
      <c r="KL60">
        <f t="shared" ca="1" si="167"/>
        <v>0</v>
      </c>
      <c r="KM60">
        <f t="shared" ca="1" si="167"/>
        <v>0</v>
      </c>
      <c r="KN60">
        <f t="shared" ca="1" si="167"/>
        <v>6459.63</v>
      </c>
      <c r="KO60">
        <f t="shared" ca="1" si="167"/>
        <v>169.19</v>
      </c>
      <c r="KV60">
        <f t="shared" ca="1" si="32"/>
        <v>3458.4</v>
      </c>
      <c r="LA60" s="254" t="str">
        <f t="shared" si="97"/>
        <v>0-2 anni</v>
      </c>
      <c r="LB60" s="112">
        <f t="shared" si="33"/>
        <v>38231</v>
      </c>
      <c r="LC60" s="112">
        <f t="shared" si="34"/>
        <v>38551</v>
      </c>
      <c r="LD60">
        <f t="shared" ca="1" si="98"/>
        <v>26306.11</v>
      </c>
      <c r="LE60" s="262">
        <f t="shared" ca="1" si="99"/>
        <v>37464.960000000006</v>
      </c>
      <c r="LF60">
        <f t="shared" si="100"/>
        <v>321</v>
      </c>
      <c r="LG60">
        <f t="shared" ca="1" si="101"/>
        <v>9813.67</v>
      </c>
    </row>
    <row r="61" spans="1:319" ht="90" x14ac:dyDescent="0.25">
      <c r="A61" s="112">
        <f t="shared" si="139"/>
        <v>38384</v>
      </c>
      <c r="B61" s="112">
        <f t="shared" si="35"/>
        <v>38718</v>
      </c>
      <c r="E61" s="240">
        <f>Foglio3!F41</f>
        <v>38596</v>
      </c>
      <c r="F61" s="240">
        <f>Foglio3!G41</f>
        <v>38919</v>
      </c>
      <c r="G61" s="244"/>
      <c r="H61" s="245">
        <f t="shared" si="36"/>
        <v>38596</v>
      </c>
      <c r="I61" s="245">
        <f t="shared" si="15"/>
        <v>38919</v>
      </c>
      <c r="J61" s="244"/>
      <c r="K61" s="244"/>
      <c r="Q61">
        <f t="shared" si="16"/>
        <v>324</v>
      </c>
      <c r="R61">
        <f t="shared" si="140"/>
        <v>324</v>
      </c>
      <c r="S61">
        <f t="shared" si="37"/>
        <v>0</v>
      </c>
      <c r="T61">
        <f t="shared" si="128"/>
        <v>10</v>
      </c>
      <c r="U61">
        <f t="shared" si="129"/>
        <v>24</v>
      </c>
      <c r="W61">
        <f t="shared" si="168"/>
        <v>0</v>
      </c>
      <c r="X61">
        <f t="shared" si="168"/>
        <v>69</v>
      </c>
      <c r="Y61">
        <f t="shared" si="168"/>
        <v>196</v>
      </c>
      <c r="AA61" s="112">
        <f t="shared" si="102"/>
        <v>38596</v>
      </c>
      <c r="AB61" s="112">
        <f t="shared" si="103"/>
        <v>38919</v>
      </c>
      <c r="AG61">
        <f t="shared" si="38"/>
        <v>1</v>
      </c>
      <c r="AH61" s="112">
        <f t="shared" si="39"/>
        <v>38596</v>
      </c>
      <c r="AI61" s="112">
        <f t="shared" si="39"/>
        <v>38919</v>
      </c>
      <c r="AJ61">
        <f t="shared" si="40"/>
        <v>1</v>
      </c>
      <c r="AK61">
        <f t="shared" si="104"/>
        <v>0</v>
      </c>
      <c r="AL61">
        <f t="shared" si="131"/>
        <v>0</v>
      </c>
      <c r="AN61">
        <f t="shared" si="132"/>
        <v>0</v>
      </c>
      <c r="AO61">
        <f t="shared" si="133"/>
        <v>0</v>
      </c>
      <c r="AP61">
        <f t="shared" si="105"/>
        <v>0</v>
      </c>
      <c r="AS61">
        <f t="shared" si="141"/>
        <v>0</v>
      </c>
      <c r="AT61">
        <f t="shared" si="142"/>
        <v>0</v>
      </c>
      <c r="AV61">
        <f t="shared" si="143"/>
        <v>0</v>
      </c>
      <c r="AW61">
        <f t="shared" si="144"/>
        <v>0</v>
      </c>
      <c r="AX61">
        <f t="shared" si="106"/>
        <v>0</v>
      </c>
      <c r="BA61">
        <f t="shared" si="161"/>
        <v>0</v>
      </c>
      <c r="BB61">
        <f t="shared" si="162"/>
        <v>0</v>
      </c>
      <c r="BD61">
        <f t="shared" si="146"/>
        <v>0</v>
      </c>
      <c r="BE61">
        <f t="shared" si="147"/>
        <v>0</v>
      </c>
      <c r="BF61">
        <f t="shared" si="136"/>
        <v>0</v>
      </c>
      <c r="BI61">
        <f t="shared" si="148"/>
        <v>0</v>
      </c>
      <c r="BJ61">
        <f t="shared" si="150"/>
        <v>0</v>
      </c>
      <c r="BK61">
        <f t="shared" si="151"/>
        <v>0</v>
      </c>
      <c r="BL61">
        <f t="shared" si="152"/>
        <v>0</v>
      </c>
      <c r="BM61">
        <f t="shared" si="145"/>
        <v>0</v>
      </c>
      <c r="BO61">
        <f t="shared" si="153"/>
        <v>0</v>
      </c>
      <c r="BP61">
        <f t="shared" si="154"/>
        <v>0</v>
      </c>
      <c r="BR61">
        <f t="shared" si="155"/>
        <v>0</v>
      </c>
      <c r="BS61">
        <f t="shared" si="156"/>
        <v>0</v>
      </c>
      <c r="BT61">
        <f t="shared" si="149"/>
        <v>0</v>
      </c>
      <c r="BV61">
        <f t="shared" si="107"/>
        <v>0</v>
      </c>
      <c r="BX61">
        <f t="shared" si="108"/>
        <v>0</v>
      </c>
      <c r="BY61">
        <f t="shared" si="109"/>
        <v>0</v>
      </c>
      <c r="BZ61">
        <f t="shared" si="110"/>
        <v>0</v>
      </c>
      <c r="CA61">
        <f t="shared" si="111"/>
        <v>0</v>
      </c>
      <c r="CB61">
        <f t="shared" si="112"/>
        <v>0</v>
      </c>
      <c r="CG61">
        <f t="shared" si="41"/>
        <v>2005</v>
      </c>
      <c r="CH61">
        <f t="shared" si="41"/>
        <v>2006</v>
      </c>
      <c r="CJ61">
        <f t="shared" si="42"/>
        <v>0</v>
      </c>
      <c r="CK61">
        <f t="shared" si="158"/>
        <v>0</v>
      </c>
      <c r="CL61">
        <f t="shared" si="43"/>
        <v>0</v>
      </c>
      <c r="CN61">
        <f t="shared" si="44"/>
        <v>0</v>
      </c>
      <c r="CS61">
        <f t="shared" si="45"/>
        <v>324</v>
      </c>
      <c r="CT61">
        <f t="shared" si="113"/>
        <v>2266</v>
      </c>
      <c r="CV61" s="112">
        <f t="shared" si="46"/>
        <v>38919</v>
      </c>
      <c r="CX61" s="112">
        <f t="shared" si="47"/>
        <v>100000</v>
      </c>
      <c r="CY61" s="112">
        <f t="shared" si="114"/>
        <v>100000</v>
      </c>
      <c r="CZ61" s="112">
        <f t="shared" si="115"/>
        <v>100000</v>
      </c>
      <c r="DA61" s="112">
        <f t="shared" si="116"/>
        <v>100000</v>
      </c>
      <c r="DB61" s="112">
        <f t="shared" si="117"/>
        <v>100000</v>
      </c>
      <c r="DC61" s="112">
        <f t="shared" si="118"/>
        <v>100000</v>
      </c>
      <c r="DU61" s="112"/>
      <c r="DV61" s="112"/>
      <c r="DW61" s="277">
        <v>40422</v>
      </c>
      <c r="DX61" s="276"/>
      <c r="DY61" s="276"/>
      <c r="DZ61" s="276"/>
      <c r="EF61" s="260" t="str">
        <f t="shared" si="160"/>
        <v/>
      </c>
      <c r="EK61" s="254"/>
      <c r="EL61">
        <f t="shared" si="163"/>
        <v>22</v>
      </c>
      <c r="EM61" s="260" t="e">
        <f t="shared" ca="1" si="121"/>
        <v>#NUM!</v>
      </c>
      <c r="EN61" s="112" t="e">
        <f t="shared" ca="1" si="56"/>
        <v>#NUM!</v>
      </c>
      <c r="EO61" s="112">
        <f t="shared" ca="1" si="57"/>
        <v>100000</v>
      </c>
      <c r="EP61" s="112">
        <f t="shared" ca="1" si="122"/>
        <v>100000</v>
      </c>
      <c r="EQ61" s="273">
        <f t="shared" ca="1" si="137"/>
        <v>100000</v>
      </c>
      <c r="ER61" s="302">
        <f t="shared" ca="1" si="58"/>
        <v>100000</v>
      </c>
      <c r="EU61">
        <f t="shared" ca="1" si="159"/>
        <v>28</v>
      </c>
      <c r="EV61" s="260">
        <f t="shared" ca="1" si="123"/>
        <v>100000</v>
      </c>
      <c r="EW61" t="str">
        <f t="shared" ca="1" si="59"/>
        <v>28-34 anni</v>
      </c>
      <c r="EX61">
        <f t="shared" ca="1" si="19"/>
        <v>1</v>
      </c>
      <c r="EY61" s="238">
        <f t="shared" ca="1" si="20"/>
        <v>260</v>
      </c>
      <c r="EZ61" t="str">
        <f t="shared" ca="1" si="60"/>
        <v>28-34 anni</v>
      </c>
      <c r="FB61">
        <f t="shared" ca="1" si="61"/>
        <v>27377.74</v>
      </c>
      <c r="FC61">
        <f t="shared" ca="1" si="164"/>
        <v>0</v>
      </c>
      <c r="FD61">
        <f t="shared" ca="1" si="164"/>
        <v>0</v>
      </c>
      <c r="FE61">
        <f t="shared" ca="1" si="164"/>
        <v>6459.63</v>
      </c>
      <c r="FF61">
        <f t="shared" ca="1" si="164"/>
        <v>169.19</v>
      </c>
      <c r="FL61">
        <f t="shared" ca="1" si="62"/>
        <v>0</v>
      </c>
      <c r="FM61">
        <f t="shared" ca="1" si="22"/>
        <v>3458.4</v>
      </c>
      <c r="FR61" s="254" t="str">
        <f t="shared" ca="1" si="124"/>
        <v>28-34 anni</v>
      </c>
      <c r="FS61">
        <f t="shared" si="125"/>
        <v>61</v>
      </c>
      <c r="FT61" t="str">
        <f t="shared" ca="1" si="165"/>
        <v>ez61</v>
      </c>
      <c r="FU61" t="str">
        <f t="shared" ca="1" si="165"/>
        <v>EV61</v>
      </c>
      <c r="FV61" t="str">
        <f t="shared" ca="1" si="165"/>
        <v>FB61</v>
      </c>
      <c r="FW61" t="str">
        <f t="shared" ca="1" si="165"/>
        <v>FC61</v>
      </c>
      <c r="FX61" t="str">
        <f t="shared" ca="1" si="165"/>
        <v>FD61</v>
      </c>
      <c r="FY61" t="str">
        <f t="shared" ca="1" si="165"/>
        <v>FE61</v>
      </c>
      <c r="FZ61" t="str">
        <f t="shared" ca="1" si="165"/>
        <v>FF61</v>
      </c>
      <c r="GA61" t="str">
        <f t="shared" ca="1" si="165"/>
        <v>FL61</v>
      </c>
      <c r="GB61" t="str">
        <f t="shared" ca="1" si="165"/>
        <v>FM61</v>
      </c>
      <c r="GC61" t="str">
        <f t="shared" ca="1" si="63"/>
        <v/>
      </c>
      <c r="GD61" t="str">
        <f t="shared" ca="1" si="165"/>
        <v/>
      </c>
      <c r="GE61">
        <f t="shared" ca="1" si="126"/>
        <v>0</v>
      </c>
      <c r="GF61" s="112">
        <f t="shared" ca="1" si="64"/>
        <v>100000</v>
      </c>
      <c r="GG61" s="238" t="str">
        <f t="shared" ca="1" si="65"/>
        <v>28-34 anni</v>
      </c>
      <c r="GH61" s="262">
        <f t="shared" ca="1" si="66"/>
        <v>27377.74</v>
      </c>
      <c r="GI61" s="262">
        <f t="shared" ca="1" si="67"/>
        <v>0</v>
      </c>
      <c r="GJ61" s="262">
        <f t="shared" ca="1" si="68"/>
        <v>0</v>
      </c>
      <c r="GK61" s="262">
        <f t="shared" ca="1" si="69"/>
        <v>6459.63</v>
      </c>
      <c r="GL61" s="262">
        <f t="shared" ca="1" si="70"/>
        <v>169.19</v>
      </c>
      <c r="GM61" s="262">
        <f t="shared" ca="1" si="71"/>
        <v>0</v>
      </c>
      <c r="GN61" s="262">
        <f t="shared" ca="1" si="72"/>
        <v>3458.4</v>
      </c>
      <c r="GO61" s="262">
        <f t="shared" ca="1" si="73"/>
        <v>0</v>
      </c>
      <c r="GP61" s="262">
        <f t="shared" ca="1" si="74"/>
        <v>0</v>
      </c>
      <c r="GR61" s="262">
        <f t="shared" ca="1" si="76"/>
        <v>33837.370000000003</v>
      </c>
      <c r="GS61" s="262">
        <f t="shared" ca="1" si="25"/>
        <v>37464.960000000006</v>
      </c>
      <c r="GT61" s="253" t="str">
        <f t="shared" ca="1" si="77"/>
        <v/>
      </c>
      <c r="GU61" t="str">
        <f t="shared" ca="1" si="78"/>
        <v/>
      </c>
      <c r="GV61" t="str">
        <f t="shared" ca="1" si="79"/>
        <v/>
      </c>
      <c r="GW61" t="str">
        <f t="shared" ca="1" si="138"/>
        <v xml:space="preserve">
</v>
      </c>
      <c r="GX61" t="str">
        <f t="shared" ca="1" si="166"/>
        <v/>
      </c>
      <c r="GY61" t="str">
        <f t="shared" ca="1" si="166"/>
        <v/>
      </c>
      <c r="GZ61" t="str">
        <f t="shared" ca="1" si="157"/>
        <v/>
      </c>
      <c r="HA61" t="str">
        <f t="shared" ca="1" si="166"/>
        <v xml:space="preserve">  Indennita di Vacanza contr.le - annuo lordo euro: 169,19
</v>
      </c>
      <c r="HB61" t="str">
        <f t="shared" ca="1" si="166"/>
        <v/>
      </c>
      <c r="HC61" t="str">
        <f t="shared" ca="1" si="166"/>
        <v xml:space="preserve">rpd/cia - annuo lordo euro: 3458,4
</v>
      </c>
      <c r="HD61" t="str">
        <f t="shared" ca="1" si="80"/>
        <v/>
      </c>
      <c r="HE61" s="254" t="str">
        <f t="shared" ca="1" si="166"/>
        <v/>
      </c>
      <c r="HF61" s="254" t="str">
        <f t="shared" ca="1" si="81"/>
        <v xml:space="preserve">TOTALE ANNUO LORDO EURO 37464,96
</v>
      </c>
      <c r="HL61" t="str">
        <f t="shared" ca="1" si="82"/>
        <v xml:space="preserve"> C.C.N.L. DEL 06/12/2022 -</v>
      </c>
      <c r="HM61" s="263" t="str">
        <f t="shared" ca="1" si="83"/>
        <v xml:space="preserve"> C.C.N.L. DEL 06/12/2022 -
  Indennita di Vacanza contr.le - annuo lordo euro: 169,19
rpd/cia - annuo lordo euro: 3458,4
TOTALE ANNUO LORDO EURO 37464,96
Altri assegni previsti per legge</v>
      </c>
      <c r="HO61" s="272" t="str">
        <f t="shared" ca="1" si="28"/>
        <v/>
      </c>
      <c r="HP61">
        <f t="shared" ca="1" si="84"/>
        <v>0</v>
      </c>
      <c r="HQ61" t="str">
        <f t="shared" ca="1" si="85"/>
        <v/>
      </c>
      <c r="HR61" t="str">
        <f t="shared" ca="1" si="169"/>
        <v/>
      </c>
      <c r="HS61" t="str">
        <f t="shared" ca="1" si="170"/>
        <v/>
      </c>
      <c r="HX61" s="253" t="s">
        <v>187</v>
      </c>
      <c r="HY61" s="112" t="str">
        <f t="shared" si="88"/>
        <v>1/9/2005</v>
      </c>
      <c r="HZ61" t="s">
        <v>188</v>
      </c>
      <c r="IA61" s="112" t="str">
        <f t="shared" si="89"/>
        <v>21/7/2006</v>
      </c>
      <c r="IB61" t="s">
        <v>189</v>
      </c>
      <c r="IC61">
        <f t="shared" si="90"/>
        <v>0</v>
      </c>
      <c r="ID61" t="s">
        <v>192</v>
      </c>
      <c r="IE61">
        <f t="shared" si="91"/>
        <v>10</v>
      </c>
      <c r="IF61" t="s">
        <v>191</v>
      </c>
      <c r="IG61" s="254">
        <f t="shared" si="92"/>
        <v>24</v>
      </c>
      <c r="IL61" t="str">
        <f t="shared" si="93"/>
        <v xml:space="preserve">DAL: 1/9/2005 - AL:21/7/2006 - ANNI:0 - MESI:10 -GIORNI:24
</v>
      </c>
      <c r="KD61">
        <v>0</v>
      </c>
      <c r="KE61" s="260">
        <f t="shared" ca="1" si="94"/>
        <v>100000</v>
      </c>
      <c r="KF61" t="str">
        <f t="shared" si="95"/>
        <v>0-2 anni</v>
      </c>
      <c r="KG61">
        <f t="shared" si="29"/>
        <v>6</v>
      </c>
      <c r="KH61" s="238">
        <f t="shared" ca="1" si="30"/>
        <v>255</v>
      </c>
      <c r="KK61">
        <f t="shared" ca="1" si="96"/>
        <v>16218.89</v>
      </c>
      <c r="KL61">
        <f t="shared" ca="1" si="167"/>
        <v>0</v>
      </c>
      <c r="KM61">
        <f t="shared" ca="1" si="167"/>
        <v>0</v>
      </c>
      <c r="KN61">
        <f t="shared" ca="1" si="167"/>
        <v>6459.63</v>
      </c>
      <c r="KO61">
        <f t="shared" ca="1" si="167"/>
        <v>169.19</v>
      </c>
      <c r="KV61">
        <f t="shared" ca="1" si="32"/>
        <v>3458.4</v>
      </c>
      <c r="LA61" s="254" t="str">
        <f t="shared" si="97"/>
        <v>0-2 anni</v>
      </c>
      <c r="LB61" s="112">
        <f t="shared" si="33"/>
        <v>38596</v>
      </c>
      <c r="LC61" s="112">
        <f t="shared" si="34"/>
        <v>38919</v>
      </c>
      <c r="LD61">
        <f t="shared" ca="1" si="98"/>
        <v>26306.11</v>
      </c>
      <c r="LE61" s="262">
        <f t="shared" ca="1" si="99"/>
        <v>37464.960000000006</v>
      </c>
      <c r="LF61">
        <f t="shared" si="100"/>
        <v>324</v>
      </c>
      <c r="LG61">
        <f t="shared" ca="1" si="101"/>
        <v>9905.39</v>
      </c>
    </row>
    <row r="62" spans="1:319" ht="90" x14ac:dyDescent="0.25">
      <c r="A62" s="112">
        <f t="shared" si="139"/>
        <v>39083</v>
      </c>
      <c r="B62" s="112">
        <f t="shared" si="35"/>
        <v>39114</v>
      </c>
      <c r="E62" s="240">
        <f>Foglio3!F42</f>
        <v>38961</v>
      </c>
      <c r="F62" s="240">
        <f>Foglio3!G42</f>
        <v>39277</v>
      </c>
      <c r="G62" s="244"/>
      <c r="H62" s="245">
        <f t="shared" si="36"/>
        <v>38961</v>
      </c>
      <c r="I62" s="245">
        <f t="shared" si="15"/>
        <v>39277</v>
      </c>
      <c r="J62" s="244"/>
      <c r="K62" s="244"/>
      <c r="Q62">
        <f t="shared" si="16"/>
        <v>317</v>
      </c>
      <c r="R62">
        <f t="shared" si="140"/>
        <v>317</v>
      </c>
      <c r="S62">
        <f t="shared" si="37"/>
        <v>0</v>
      </c>
      <c r="T62">
        <f t="shared" si="128"/>
        <v>10</v>
      </c>
      <c r="U62">
        <f t="shared" si="129"/>
        <v>17</v>
      </c>
      <c r="W62">
        <f t="shared" si="168"/>
        <v>0</v>
      </c>
      <c r="X62">
        <f t="shared" si="168"/>
        <v>79</v>
      </c>
      <c r="Y62">
        <f t="shared" si="168"/>
        <v>213</v>
      </c>
      <c r="AA62" s="112">
        <f t="shared" si="102"/>
        <v>38961</v>
      </c>
      <c r="AB62" s="112">
        <f t="shared" si="103"/>
        <v>39277</v>
      </c>
      <c r="AG62">
        <f t="shared" si="38"/>
        <v>1</v>
      </c>
      <c r="AH62" s="112">
        <f t="shared" si="39"/>
        <v>38961</v>
      </c>
      <c r="AI62" s="112">
        <f t="shared" si="39"/>
        <v>39277</v>
      </c>
      <c r="AJ62">
        <f t="shared" si="40"/>
        <v>1</v>
      </c>
      <c r="AK62">
        <f t="shared" si="104"/>
        <v>0</v>
      </c>
      <c r="AL62">
        <f t="shared" si="131"/>
        <v>0</v>
      </c>
      <c r="AN62">
        <f t="shared" si="132"/>
        <v>0</v>
      </c>
      <c r="AO62">
        <f t="shared" si="133"/>
        <v>0</v>
      </c>
      <c r="AP62">
        <f t="shared" si="105"/>
        <v>0</v>
      </c>
      <c r="AS62">
        <f t="shared" si="141"/>
        <v>0</v>
      </c>
      <c r="AT62">
        <f t="shared" si="142"/>
        <v>0</v>
      </c>
      <c r="AV62">
        <f t="shared" si="143"/>
        <v>0</v>
      </c>
      <c r="AW62">
        <f t="shared" si="144"/>
        <v>0</v>
      </c>
      <c r="AX62">
        <f t="shared" si="106"/>
        <v>0</v>
      </c>
      <c r="BA62">
        <f t="shared" si="161"/>
        <v>0</v>
      </c>
      <c r="BB62">
        <f t="shared" si="162"/>
        <v>0</v>
      </c>
      <c r="BD62">
        <f t="shared" si="146"/>
        <v>0</v>
      </c>
      <c r="BE62">
        <f t="shared" si="147"/>
        <v>0</v>
      </c>
      <c r="BF62">
        <f t="shared" si="136"/>
        <v>0</v>
      </c>
      <c r="BI62">
        <f t="shared" si="148"/>
        <v>0</v>
      </c>
      <c r="BJ62">
        <f t="shared" si="150"/>
        <v>0</v>
      </c>
      <c r="BK62">
        <f t="shared" si="151"/>
        <v>0</v>
      </c>
      <c r="BL62">
        <f t="shared" si="152"/>
        <v>0</v>
      </c>
      <c r="BM62">
        <f t="shared" si="145"/>
        <v>0</v>
      </c>
      <c r="BO62">
        <f t="shared" si="153"/>
        <v>0</v>
      </c>
      <c r="BP62">
        <f t="shared" si="154"/>
        <v>0</v>
      </c>
      <c r="BR62">
        <f t="shared" si="155"/>
        <v>0</v>
      </c>
      <c r="BS62">
        <f t="shared" si="156"/>
        <v>0</v>
      </c>
      <c r="BT62">
        <f t="shared" si="149"/>
        <v>0</v>
      </c>
      <c r="BV62">
        <f t="shared" si="107"/>
        <v>0</v>
      </c>
      <c r="BX62">
        <f t="shared" si="108"/>
        <v>0</v>
      </c>
      <c r="BY62">
        <f t="shared" si="109"/>
        <v>0</v>
      </c>
      <c r="BZ62">
        <f t="shared" si="110"/>
        <v>0</v>
      </c>
      <c r="CA62">
        <f t="shared" si="111"/>
        <v>0</v>
      </c>
      <c r="CB62">
        <f t="shared" si="112"/>
        <v>0</v>
      </c>
      <c r="CG62">
        <f t="shared" si="41"/>
        <v>2006</v>
      </c>
      <c r="CH62">
        <f t="shared" si="41"/>
        <v>2007</v>
      </c>
      <c r="CJ62">
        <f t="shared" si="42"/>
        <v>0</v>
      </c>
      <c r="CK62">
        <f t="shared" si="158"/>
        <v>0</v>
      </c>
      <c r="CL62">
        <f t="shared" si="43"/>
        <v>0</v>
      </c>
      <c r="CN62">
        <f t="shared" si="44"/>
        <v>0</v>
      </c>
      <c r="CS62">
        <f t="shared" si="45"/>
        <v>317</v>
      </c>
      <c r="CT62">
        <f t="shared" si="113"/>
        <v>2583</v>
      </c>
      <c r="CV62" s="112">
        <f t="shared" si="46"/>
        <v>39277</v>
      </c>
      <c r="CX62" s="112">
        <f t="shared" si="47"/>
        <v>100000</v>
      </c>
      <c r="CY62" s="112">
        <f t="shared" si="114"/>
        <v>100000</v>
      </c>
      <c r="CZ62" s="112">
        <f t="shared" si="115"/>
        <v>100000</v>
      </c>
      <c r="DA62" s="112">
        <f t="shared" si="116"/>
        <v>100000</v>
      </c>
      <c r="DB62" s="112">
        <f t="shared" si="117"/>
        <v>100000</v>
      </c>
      <c r="DC62" s="112">
        <f t="shared" si="118"/>
        <v>100000</v>
      </c>
      <c r="DU62" s="112"/>
      <c r="DV62" s="112"/>
      <c r="DW62" s="277">
        <v>40544</v>
      </c>
      <c r="DX62" s="276"/>
      <c r="DY62" s="276"/>
      <c r="DZ62" s="276"/>
      <c r="EF62" s="260" t="str">
        <f t="shared" si="160"/>
        <v/>
      </c>
      <c r="EK62" s="254"/>
      <c r="EL62">
        <f t="shared" si="163"/>
        <v>23</v>
      </c>
      <c r="EM62" s="260" t="e">
        <f t="shared" ca="1" si="121"/>
        <v>#NUM!</v>
      </c>
      <c r="EN62" s="112" t="e">
        <f t="shared" ca="1" si="56"/>
        <v>#NUM!</v>
      </c>
      <c r="EO62" s="112">
        <f t="shared" ca="1" si="57"/>
        <v>100000</v>
      </c>
      <c r="EP62" s="112">
        <f t="shared" ca="1" si="122"/>
        <v>100000</v>
      </c>
      <c r="EQ62" s="273">
        <f t="shared" ca="1" si="137"/>
        <v>100000</v>
      </c>
      <c r="ER62" s="302">
        <f t="shared" ca="1" si="58"/>
        <v>100000</v>
      </c>
      <c r="EU62">
        <f t="shared" ca="1" si="159"/>
        <v>28</v>
      </c>
      <c r="EV62" s="260">
        <f t="shared" ca="1" si="123"/>
        <v>100000</v>
      </c>
      <c r="EW62" t="str">
        <f t="shared" ca="1" si="59"/>
        <v>28-34 anni</v>
      </c>
      <c r="EX62">
        <f t="shared" ca="1" si="19"/>
        <v>1</v>
      </c>
      <c r="EY62" s="238">
        <f t="shared" ca="1" si="20"/>
        <v>260</v>
      </c>
      <c r="EZ62" t="str">
        <f t="shared" ca="1" si="60"/>
        <v>28-34 anni</v>
      </c>
      <c r="FB62">
        <f t="shared" ca="1" si="61"/>
        <v>27377.74</v>
      </c>
      <c r="FC62">
        <f t="shared" ca="1" si="164"/>
        <v>0</v>
      </c>
      <c r="FD62">
        <f t="shared" ca="1" si="164"/>
        <v>0</v>
      </c>
      <c r="FE62">
        <f t="shared" ca="1" si="164"/>
        <v>6459.63</v>
      </c>
      <c r="FF62">
        <f t="shared" ca="1" si="164"/>
        <v>169.19</v>
      </c>
      <c r="FL62">
        <f t="shared" ca="1" si="62"/>
        <v>0</v>
      </c>
      <c r="FM62">
        <f t="shared" ca="1" si="22"/>
        <v>3458.4</v>
      </c>
      <c r="FR62" s="254" t="str">
        <f t="shared" ca="1" si="124"/>
        <v>28-34 anni</v>
      </c>
      <c r="FS62">
        <f t="shared" si="125"/>
        <v>62</v>
      </c>
      <c r="FT62" t="str">
        <f t="shared" ca="1" si="165"/>
        <v>ez62</v>
      </c>
      <c r="FU62" t="str">
        <f t="shared" ca="1" si="165"/>
        <v>EV62</v>
      </c>
      <c r="FV62" t="str">
        <f t="shared" ca="1" si="165"/>
        <v>FB62</v>
      </c>
      <c r="FW62" t="str">
        <f t="shared" ca="1" si="165"/>
        <v>FC62</v>
      </c>
      <c r="FX62" t="str">
        <f t="shared" ca="1" si="165"/>
        <v>FD62</v>
      </c>
      <c r="FY62" t="str">
        <f t="shared" ca="1" si="165"/>
        <v>FE62</v>
      </c>
      <c r="FZ62" t="str">
        <f t="shared" ca="1" si="165"/>
        <v>FF62</v>
      </c>
      <c r="GA62" t="str">
        <f t="shared" ca="1" si="165"/>
        <v>FL62</v>
      </c>
      <c r="GB62" t="str">
        <f t="shared" ca="1" si="165"/>
        <v>FM62</v>
      </c>
      <c r="GC62" t="str">
        <f t="shared" ca="1" si="63"/>
        <v/>
      </c>
      <c r="GD62" t="str">
        <f t="shared" ca="1" si="165"/>
        <v/>
      </c>
      <c r="GE62">
        <f t="shared" ca="1" si="126"/>
        <v>0</v>
      </c>
      <c r="GF62" s="112">
        <f t="shared" ca="1" si="64"/>
        <v>100000</v>
      </c>
      <c r="GG62" s="238" t="str">
        <f t="shared" ca="1" si="65"/>
        <v>28-34 anni</v>
      </c>
      <c r="GH62" s="262">
        <f t="shared" ca="1" si="66"/>
        <v>27377.74</v>
      </c>
      <c r="GI62" s="262">
        <f t="shared" ca="1" si="67"/>
        <v>0</v>
      </c>
      <c r="GJ62" s="262">
        <f t="shared" ca="1" si="68"/>
        <v>0</v>
      </c>
      <c r="GK62" s="262">
        <f t="shared" ca="1" si="69"/>
        <v>6459.63</v>
      </c>
      <c r="GL62" s="262">
        <f t="shared" ca="1" si="70"/>
        <v>169.19</v>
      </c>
      <c r="GM62" s="262">
        <f t="shared" ca="1" si="71"/>
        <v>0</v>
      </c>
      <c r="GN62" s="262">
        <f t="shared" ca="1" si="72"/>
        <v>3458.4</v>
      </c>
      <c r="GO62" s="262">
        <f t="shared" ca="1" si="73"/>
        <v>0</v>
      </c>
      <c r="GP62" s="262">
        <f t="shared" ca="1" si="74"/>
        <v>0</v>
      </c>
      <c r="GR62" s="262">
        <f t="shared" ca="1" si="76"/>
        <v>33837.370000000003</v>
      </c>
      <c r="GS62" s="262">
        <f t="shared" ca="1" si="25"/>
        <v>37464.960000000006</v>
      </c>
      <c r="GT62" s="253" t="str">
        <f t="shared" ca="1" si="77"/>
        <v/>
      </c>
      <c r="GU62" t="str">
        <f t="shared" ca="1" si="78"/>
        <v/>
      </c>
      <c r="GV62" t="str">
        <f t="shared" ca="1" si="79"/>
        <v/>
      </c>
      <c r="GW62" t="str">
        <f t="shared" ca="1" si="138"/>
        <v xml:space="preserve">
</v>
      </c>
      <c r="GX62" t="str">
        <f t="shared" ca="1" si="166"/>
        <v/>
      </c>
      <c r="GY62" t="str">
        <f t="shared" ca="1" si="166"/>
        <v/>
      </c>
      <c r="GZ62" t="str">
        <f t="shared" ca="1" si="157"/>
        <v/>
      </c>
      <c r="HA62" t="str">
        <f t="shared" ca="1" si="166"/>
        <v xml:space="preserve">  Indennita di Vacanza contr.le - annuo lordo euro: 169,19
</v>
      </c>
      <c r="HB62" t="str">
        <f t="shared" ca="1" si="166"/>
        <v/>
      </c>
      <c r="HC62" t="str">
        <f t="shared" ca="1" si="166"/>
        <v xml:space="preserve">rpd/cia - annuo lordo euro: 3458,4
</v>
      </c>
      <c r="HD62" t="str">
        <f t="shared" ca="1" si="80"/>
        <v/>
      </c>
      <c r="HE62" s="254" t="str">
        <f t="shared" ca="1" si="166"/>
        <v/>
      </c>
      <c r="HF62" s="254" t="str">
        <f t="shared" ca="1" si="81"/>
        <v xml:space="preserve">TOTALE ANNUO LORDO EURO 37464,96
</v>
      </c>
      <c r="HL62" t="str">
        <f t="shared" ca="1" si="82"/>
        <v xml:space="preserve"> C.C.N.L. DEL 06/12/2022 -</v>
      </c>
      <c r="HM62" s="263" t="str">
        <f t="shared" ca="1" si="83"/>
        <v xml:space="preserve"> C.C.N.L. DEL 06/12/2022 -
  Indennita di Vacanza contr.le - annuo lordo euro: 169,19
rpd/cia - annuo lordo euro: 3458,4
TOTALE ANNUO LORDO EURO 37464,96
Altri assegni previsti per legge</v>
      </c>
      <c r="HO62" s="272" t="str">
        <f t="shared" ca="1" si="28"/>
        <v/>
      </c>
      <c r="HP62">
        <f t="shared" ca="1" si="84"/>
        <v>0</v>
      </c>
      <c r="HQ62" t="str">
        <f t="shared" ca="1" si="85"/>
        <v/>
      </c>
      <c r="HR62" t="str">
        <f t="shared" ca="1" si="169"/>
        <v/>
      </c>
      <c r="HS62" t="str">
        <f t="shared" ca="1" si="170"/>
        <v/>
      </c>
      <c r="HX62" s="253" t="s">
        <v>187</v>
      </c>
      <c r="HY62" s="112" t="str">
        <f t="shared" si="88"/>
        <v>1/9/2006</v>
      </c>
      <c r="HZ62" t="s">
        <v>188</v>
      </c>
      <c r="IA62" s="112" t="str">
        <f t="shared" si="89"/>
        <v>14/7/2007</v>
      </c>
      <c r="IB62" t="s">
        <v>189</v>
      </c>
      <c r="IC62">
        <f t="shared" si="90"/>
        <v>0</v>
      </c>
      <c r="ID62" t="s">
        <v>192</v>
      </c>
      <c r="IE62">
        <f t="shared" si="91"/>
        <v>10</v>
      </c>
      <c r="IF62" t="s">
        <v>191</v>
      </c>
      <c r="IG62" s="254">
        <f t="shared" si="92"/>
        <v>17</v>
      </c>
      <c r="IL62" t="str">
        <f t="shared" si="93"/>
        <v xml:space="preserve">DAL: 1/9/2006 - AL:14/7/2007 - ANNI:0 - MESI:10 -GIORNI:17
</v>
      </c>
      <c r="KD62">
        <v>0</v>
      </c>
      <c r="KE62" s="260">
        <f t="shared" ca="1" si="94"/>
        <v>100000</v>
      </c>
      <c r="KF62" t="str">
        <f t="shared" si="95"/>
        <v>0-2 anni</v>
      </c>
      <c r="KG62">
        <f t="shared" si="29"/>
        <v>6</v>
      </c>
      <c r="KH62" s="238">
        <f t="shared" ca="1" si="30"/>
        <v>255</v>
      </c>
      <c r="KK62">
        <f t="shared" ca="1" si="96"/>
        <v>16218.89</v>
      </c>
      <c r="KL62">
        <f t="shared" ca="1" si="167"/>
        <v>0</v>
      </c>
      <c r="KM62">
        <f t="shared" ca="1" si="167"/>
        <v>0</v>
      </c>
      <c r="KN62">
        <f t="shared" ca="1" si="167"/>
        <v>6459.63</v>
      </c>
      <c r="KO62">
        <f t="shared" ca="1" si="167"/>
        <v>169.19</v>
      </c>
      <c r="KV62">
        <f t="shared" ca="1" si="32"/>
        <v>3458.4</v>
      </c>
      <c r="LA62" s="254" t="str">
        <f t="shared" si="97"/>
        <v>0-2 anni</v>
      </c>
      <c r="LB62" s="112">
        <f t="shared" si="33"/>
        <v>38961</v>
      </c>
      <c r="LC62" s="112">
        <f t="shared" si="34"/>
        <v>39277</v>
      </c>
      <c r="LD62">
        <f t="shared" ca="1" si="98"/>
        <v>26306.11</v>
      </c>
      <c r="LE62" s="262">
        <f t="shared" ca="1" si="99"/>
        <v>37464.960000000006</v>
      </c>
      <c r="LF62">
        <f t="shared" si="100"/>
        <v>317</v>
      </c>
      <c r="LG62">
        <f t="shared" ca="1" si="101"/>
        <v>9691.3799999999992</v>
      </c>
    </row>
    <row r="63" spans="1:319" ht="90" x14ac:dyDescent="0.25">
      <c r="A63" s="112">
        <f t="shared" si="139"/>
        <v>39447</v>
      </c>
      <c r="B63" s="112">
        <f t="shared" si="35"/>
        <v>39539</v>
      </c>
      <c r="E63" s="240">
        <f>Foglio3!F43</f>
        <v>39338</v>
      </c>
      <c r="F63" s="240">
        <f>Foglio3!G43</f>
        <v>39629</v>
      </c>
      <c r="G63" s="244"/>
      <c r="H63" s="245">
        <f t="shared" si="36"/>
        <v>39338</v>
      </c>
      <c r="I63" s="245">
        <f t="shared" si="15"/>
        <v>39629</v>
      </c>
      <c r="J63" s="244"/>
      <c r="K63" s="244"/>
      <c r="Q63">
        <f t="shared" si="16"/>
        <v>292</v>
      </c>
      <c r="R63">
        <f t="shared" si="140"/>
        <v>292</v>
      </c>
      <c r="S63">
        <f t="shared" si="37"/>
        <v>0</v>
      </c>
      <c r="T63">
        <f t="shared" si="128"/>
        <v>9</v>
      </c>
      <c r="U63">
        <f t="shared" si="129"/>
        <v>22</v>
      </c>
      <c r="W63">
        <f t="shared" si="168"/>
        <v>0</v>
      </c>
      <c r="X63">
        <f t="shared" si="168"/>
        <v>88</v>
      </c>
      <c r="Y63">
        <f t="shared" si="168"/>
        <v>235</v>
      </c>
      <c r="AA63" s="112">
        <f t="shared" si="102"/>
        <v>39338</v>
      </c>
      <c r="AB63" s="112">
        <f t="shared" si="103"/>
        <v>39629</v>
      </c>
      <c r="AG63">
        <f t="shared" si="38"/>
        <v>1</v>
      </c>
      <c r="AH63" s="112">
        <f t="shared" si="39"/>
        <v>39338</v>
      </c>
      <c r="AI63" s="112">
        <f t="shared" si="39"/>
        <v>39629</v>
      </c>
      <c r="AJ63">
        <f t="shared" si="40"/>
        <v>1</v>
      </c>
      <c r="AK63">
        <f t="shared" si="104"/>
        <v>0</v>
      </c>
      <c r="AL63">
        <f t="shared" si="131"/>
        <v>0</v>
      </c>
      <c r="AN63">
        <f t="shared" si="132"/>
        <v>0</v>
      </c>
      <c r="AO63">
        <f t="shared" si="133"/>
        <v>0</v>
      </c>
      <c r="AP63">
        <f t="shared" si="105"/>
        <v>0</v>
      </c>
      <c r="AS63">
        <f t="shared" si="141"/>
        <v>0</v>
      </c>
      <c r="AT63">
        <f t="shared" si="142"/>
        <v>0</v>
      </c>
      <c r="AV63">
        <f t="shared" si="143"/>
        <v>0</v>
      </c>
      <c r="AW63">
        <f t="shared" si="144"/>
        <v>0</v>
      </c>
      <c r="AX63">
        <f t="shared" si="106"/>
        <v>0</v>
      </c>
      <c r="BA63">
        <f t="shared" si="161"/>
        <v>0</v>
      </c>
      <c r="BB63">
        <f t="shared" si="162"/>
        <v>0</v>
      </c>
      <c r="BD63">
        <f t="shared" si="146"/>
        <v>0</v>
      </c>
      <c r="BE63">
        <f t="shared" si="147"/>
        <v>0</v>
      </c>
      <c r="BF63">
        <f t="shared" si="136"/>
        <v>0</v>
      </c>
      <c r="BI63">
        <f t="shared" si="148"/>
        <v>0</v>
      </c>
      <c r="BJ63">
        <f t="shared" si="150"/>
        <v>0</v>
      </c>
      <c r="BK63">
        <f t="shared" si="151"/>
        <v>0</v>
      </c>
      <c r="BL63">
        <f t="shared" si="152"/>
        <v>0</v>
      </c>
      <c r="BM63">
        <f t="shared" si="145"/>
        <v>0</v>
      </c>
      <c r="BO63">
        <f t="shared" si="153"/>
        <v>0</v>
      </c>
      <c r="BP63">
        <f t="shared" si="154"/>
        <v>0</v>
      </c>
      <c r="BR63">
        <f t="shared" si="155"/>
        <v>0</v>
      </c>
      <c r="BS63">
        <f t="shared" si="156"/>
        <v>0</v>
      </c>
      <c r="BT63">
        <f t="shared" si="149"/>
        <v>0</v>
      </c>
      <c r="BV63">
        <f t="shared" si="107"/>
        <v>0</v>
      </c>
      <c r="BX63">
        <f t="shared" si="108"/>
        <v>0</v>
      </c>
      <c r="BY63">
        <f t="shared" si="109"/>
        <v>0</v>
      </c>
      <c r="BZ63">
        <f t="shared" si="110"/>
        <v>0</v>
      </c>
      <c r="CA63">
        <f t="shared" si="111"/>
        <v>0</v>
      </c>
      <c r="CB63">
        <f t="shared" si="112"/>
        <v>0</v>
      </c>
      <c r="CG63">
        <f t="shared" si="41"/>
        <v>2007</v>
      </c>
      <c r="CH63">
        <f t="shared" si="41"/>
        <v>2008</v>
      </c>
      <c r="CJ63">
        <f t="shared" si="42"/>
        <v>0</v>
      </c>
      <c r="CK63">
        <f t="shared" si="158"/>
        <v>0</v>
      </c>
      <c r="CL63">
        <f t="shared" si="43"/>
        <v>0</v>
      </c>
      <c r="CN63">
        <f t="shared" si="44"/>
        <v>0</v>
      </c>
      <c r="CS63">
        <f t="shared" si="45"/>
        <v>292</v>
      </c>
      <c r="CT63">
        <f t="shared" si="113"/>
        <v>2875</v>
      </c>
      <c r="CV63" s="112">
        <f t="shared" si="46"/>
        <v>39629</v>
      </c>
      <c r="CX63" s="112">
        <f t="shared" si="47"/>
        <v>100000</v>
      </c>
      <c r="CY63" s="112">
        <f t="shared" si="114"/>
        <v>100000</v>
      </c>
      <c r="CZ63" s="112">
        <f t="shared" si="115"/>
        <v>100000</v>
      </c>
      <c r="DA63" s="112">
        <f t="shared" si="116"/>
        <v>100000</v>
      </c>
      <c r="DB63" s="112">
        <f t="shared" si="117"/>
        <v>100000</v>
      </c>
      <c r="DC63" s="112">
        <f t="shared" si="118"/>
        <v>100000</v>
      </c>
      <c r="DU63" s="112"/>
      <c r="DV63" s="112"/>
      <c r="DW63" s="277">
        <v>42370</v>
      </c>
      <c r="DX63" s="276"/>
      <c r="DY63" s="276"/>
      <c r="DZ63" s="276"/>
      <c r="EF63" s="260" t="str">
        <f t="shared" si="160"/>
        <v/>
      </c>
      <c r="EK63" s="254"/>
      <c r="EL63">
        <f t="shared" si="163"/>
        <v>24</v>
      </c>
      <c r="EM63" s="260" t="e">
        <f t="shared" ca="1" si="121"/>
        <v>#NUM!</v>
      </c>
      <c r="EN63" s="112" t="e">
        <f t="shared" ca="1" si="56"/>
        <v>#NUM!</v>
      </c>
      <c r="EO63" s="112">
        <f t="shared" ca="1" si="57"/>
        <v>100000</v>
      </c>
      <c r="EP63" s="112">
        <f t="shared" ca="1" si="122"/>
        <v>100000</v>
      </c>
      <c r="EQ63" s="273">
        <f t="shared" ca="1" si="137"/>
        <v>100000</v>
      </c>
      <c r="ER63" s="302">
        <f t="shared" ca="1" si="58"/>
        <v>100000</v>
      </c>
      <c r="EU63">
        <f t="shared" ca="1" si="159"/>
        <v>28</v>
      </c>
      <c r="EV63" s="260">
        <f t="shared" ca="1" si="123"/>
        <v>100000</v>
      </c>
      <c r="EW63" t="str">
        <f t="shared" ca="1" si="59"/>
        <v>28-34 anni</v>
      </c>
      <c r="EX63">
        <f t="shared" ca="1" si="19"/>
        <v>1</v>
      </c>
      <c r="EY63" s="238">
        <f t="shared" ca="1" si="20"/>
        <v>260</v>
      </c>
      <c r="EZ63" t="str">
        <f t="shared" ca="1" si="60"/>
        <v>28-34 anni</v>
      </c>
      <c r="FB63">
        <f t="shared" ca="1" si="61"/>
        <v>27377.74</v>
      </c>
      <c r="FC63">
        <f t="shared" ca="1" si="164"/>
        <v>0</v>
      </c>
      <c r="FD63">
        <f t="shared" ca="1" si="164"/>
        <v>0</v>
      </c>
      <c r="FE63">
        <f t="shared" ca="1" si="164"/>
        <v>6459.63</v>
      </c>
      <c r="FF63">
        <f t="shared" ca="1" si="164"/>
        <v>169.19</v>
      </c>
      <c r="FL63">
        <f t="shared" ca="1" si="62"/>
        <v>0</v>
      </c>
      <c r="FM63">
        <f t="shared" ca="1" si="22"/>
        <v>3458.4</v>
      </c>
      <c r="FR63" s="254" t="str">
        <f t="shared" ca="1" si="124"/>
        <v>28-34 anni</v>
      </c>
      <c r="FS63">
        <f t="shared" si="125"/>
        <v>63</v>
      </c>
      <c r="FT63" t="str">
        <f t="shared" ca="1" si="165"/>
        <v>ez63</v>
      </c>
      <c r="FU63" t="str">
        <f t="shared" ca="1" si="165"/>
        <v>EV63</v>
      </c>
      <c r="FV63" t="str">
        <f t="shared" ca="1" si="165"/>
        <v>FB63</v>
      </c>
      <c r="FW63" t="str">
        <f t="shared" ca="1" si="165"/>
        <v>FC63</v>
      </c>
      <c r="FX63" t="str">
        <f t="shared" ca="1" si="165"/>
        <v>FD63</v>
      </c>
      <c r="FY63" t="str">
        <f t="shared" ca="1" si="165"/>
        <v>FE63</v>
      </c>
      <c r="FZ63" t="str">
        <f t="shared" ca="1" si="165"/>
        <v>FF63</v>
      </c>
      <c r="GA63" t="str">
        <f t="shared" ca="1" si="165"/>
        <v>FL63</v>
      </c>
      <c r="GB63" t="str">
        <f t="shared" ca="1" si="165"/>
        <v>FM63</v>
      </c>
      <c r="GC63" t="str">
        <f t="shared" ca="1" si="63"/>
        <v/>
      </c>
      <c r="GD63" t="str">
        <f t="shared" ca="1" si="165"/>
        <v/>
      </c>
      <c r="GE63">
        <f t="shared" ca="1" si="126"/>
        <v>0</v>
      </c>
      <c r="GF63" s="112">
        <f t="shared" ca="1" si="64"/>
        <v>100000</v>
      </c>
      <c r="GG63" s="238" t="str">
        <f t="shared" ca="1" si="65"/>
        <v>28-34 anni</v>
      </c>
      <c r="GH63" s="262">
        <f t="shared" ca="1" si="66"/>
        <v>27377.74</v>
      </c>
      <c r="GI63" s="262">
        <f t="shared" ca="1" si="67"/>
        <v>0</v>
      </c>
      <c r="GJ63" s="262">
        <f t="shared" ca="1" si="68"/>
        <v>0</v>
      </c>
      <c r="GK63" s="262">
        <f t="shared" ca="1" si="69"/>
        <v>6459.63</v>
      </c>
      <c r="GL63" s="262">
        <f t="shared" ca="1" si="70"/>
        <v>169.19</v>
      </c>
      <c r="GM63" s="262">
        <f t="shared" ca="1" si="71"/>
        <v>0</v>
      </c>
      <c r="GN63" s="262">
        <f t="shared" ca="1" si="72"/>
        <v>3458.4</v>
      </c>
      <c r="GO63" s="262">
        <f t="shared" ca="1" si="73"/>
        <v>0</v>
      </c>
      <c r="GP63" s="262">
        <f t="shared" ca="1" si="74"/>
        <v>0</v>
      </c>
      <c r="GR63" s="262">
        <f t="shared" ca="1" si="76"/>
        <v>33837.370000000003</v>
      </c>
      <c r="GS63" s="262">
        <f t="shared" ca="1" si="25"/>
        <v>37464.960000000006</v>
      </c>
      <c r="GT63" s="253" t="str">
        <f t="shared" ca="1" si="77"/>
        <v/>
      </c>
      <c r="GU63" t="str">
        <f t="shared" ca="1" si="78"/>
        <v/>
      </c>
      <c r="GV63" t="str">
        <f t="shared" ca="1" si="79"/>
        <v/>
      </c>
      <c r="GW63" t="str">
        <f t="shared" ca="1" si="138"/>
        <v xml:space="preserve">
</v>
      </c>
      <c r="GX63" t="str">
        <f t="shared" ca="1" si="166"/>
        <v/>
      </c>
      <c r="GY63" t="str">
        <f t="shared" ca="1" si="166"/>
        <v/>
      </c>
      <c r="GZ63" t="str">
        <f t="shared" ca="1" si="157"/>
        <v/>
      </c>
      <c r="HA63" t="str">
        <f t="shared" ca="1" si="166"/>
        <v xml:space="preserve">  Indennita di Vacanza contr.le - annuo lordo euro: 169,19
</v>
      </c>
      <c r="HB63" t="str">
        <f t="shared" ca="1" si="166"/>
        <v/>
      </c>
      <c r="HC63" t="str">
        <f t="shared" ca="1" si="166"/>
        <v xml:space="preserve">rpd/cia - annuo lordo euro: 3458,4
</v>
      </c>
      <c r="HD63" t="str">
        <f t="shared" ca="1" si="80"/>
        <v/>
      </c>
      <c r="HE63" s="254" t="str">
        <f t="shared" ca="1" si="166"/>
        <v/>
      </c>
      <c r="HF63" s="254" t="str">
        <f t="shared" ca="1" si="81"/>
        <v xml:space="preserve">TOTALE ANNUO LORDO EURO 37464,96
</v>
      </c>
      <c r="HL63" t="str">
        <f t="shared" ca="1" si="82"/>
        <v xml:space="preserve"> C.C.N.L. DEL 06/12/2022 -</v>
      </c>
      <c r="HM63" s="263" t="str">
        <f t="shared" ca="1" si="83"/>
        <v xml:space="preserve"> C.C.N.L. DEL 06/12/2022 -
  Indennita di Vacanza contr.le - annuo lordo euro: 169,19
rpd/cia - annuo lordo euro: 3458,4
TOTALE ANNUO LORDO EURO 37464,96
Altri assegni previsti per legge</v>
      </c>
      <c r="HO63" s="272" t="str">
        <f t="shared" ca="1" si="28"/>
        <v/>
      </c>
      <c r="HP63">
        <f t="shared" ca="1" si="84"/>
        <v>0</v>
      </c>
      <c r="HQ63" t="str">
        <f t="shared" ca="1" si="85"/>
        <v/>
      </c>
      <c r="HR63" t="str">
        <f t="shared" ca="1" si="169"/>
        <v/>
      </c>
      <c r="HS63" t="str">
        <f t="shared" ca="1" si="170"/>
        <v/>
      </c>
      <c r="HX63" s="253" t="s">
        <v>187</v>
      </c>
      <c r="HY63" s="112" t="str">
        <f t="shared" si="88"/>
        <v>13/9/2007</v>
      </c>
      <c r="HZ63" t="s">
        <v>188</v>
      </c>
      <c r="IA63" s="112" t="str">
        <f t="shared" si="89"/>
        <v>30/6/2008</v>
      </c>
      <c r="IB63" t="s">
        <v>189</v>
      </c>
      <c r="IC63">
        <f t="shared" si="90"/>
        <v>0</v>
      </c>
      <c r="ID63" t="s">
        <v>192</v>
      </c>
      <c r="IE63">
        <f t="shared" si="91"/>
        <v>9</v>
      </c>
      <c r="IF63" t="s">
        <v>191</v>
      </c>
      <c r="IG63" s="254">
        <f t="shared" si="92"/>
        <v>22</v>
      </c>
      <c r="IL63" t="str">
        <f t="shared" si="93"/>
        <v xml:space="preserve">DAL: 13/9/2007 - AL:30/6/2008 - ANNI:0 - MESI:9 -GIORNI:22
</v>
      </c>
      <c r="KD63">
        <v>0</v>
      </c>
      <c r="KE63" s="260">
        <f t="shared" ca="1" si="94"/>
        <v>100000</v>
      </c>
      <c r="KF63" t="str">
        <f t="shared" si="95"/>
        <v>0-2 anni</v>
      </c>
      <c r="KG63">
        <f t="shared" si="29"/>
        <v>6</v>
      </c>
      <c r="KH63" s="238">
        <f t="shared" ca="1" si="30"/>
        <v>255</v>
      </c>
      <c r="KK63">
        <f t="shared" ca="1" si="96"/>
        <v>16218.89</v>
      </c>
      <c r="KL63">
        <f t="shared" ca="1" si="167"/>
        <v>0</v>
      </c>
      <c r="KM63">
        <f t="shared" ca="1" si="167"/>
        <v>0</v>
      </c>
      <c r="KN63">
        <f t="shared" ca="1" si="167"/>
        <v>6459.63</v>
      </c>
      <c r="KO63">
        <f t="shared" ca="1" si="167"/>
        <v>169.19</v>
      </c>
      <c r="KV63">
        <f t="shared" ca="1" si="32"/>
        <v>3458.4</v>
      </c>
      <c r="LA63" s="254" t="str">
        <f t="shared" si="97"/>
        <v>0-2 anni</v>
      </c>
      <c r="LB63" s="112">
        <f t="shared" si="33"/>
        <v>39338</v>
      </c>
      <c r="LC63" s="112">
        <f t="shared" si="34"/>
        <v>39629</v>
      </c>
      <c r="LD63">
        <f t="shared" ca="1" si="98"/>
        <v>26306.11</v>
      </c>
      <c r="LE63" s="262">
        <f t="shared" ca="1" si="99"/>
        <v>37464.960000000006</v>
      </c>
      <c r="LF63">
        <f t="shared" si="100"/>
        <v>292</v>
      </c>
      <c r="LG63">
        <f t="shared" ca="1" si="101"/>
        <v>8927.08</v>
      </c>
    </row>
    <row r="64" spans="1:319" ht="90" x14ac:dyDescent="0.25">
      <c r="A64" s="112">
        <f t="shared" si="139"/>
        <v>39630</v>
      </c>
      <c r="B64" s="112">
        <f t="shared" si="35"/>
        <v>39814</v>
      </c>
      <c r="E64" s="240">
        <f>Foglio3!F44</f>
        <v>39692</v>
      </c>
      <c r="F64" s="240">
        <f>Foglio3!G44</f>
        <v>39994</v>
      </c>
      <c r="G64" s="244"/>
      <c r="H64" s="245">
        <f t="shared" si="36"/>
        <v>39692</v>
      </c>
      <c r="I64" s="245">
        <f t="shared" si="15"/>
        <v>39994</v>
      </c>
      <c r="J64" s="244"/>
      <c r="K64" s="244"/>
      <c r="Q64">
        <f t="shared" si="16"/>
        <v>303</v>
      </c>
      <c r="R64">
        <f t="shared" si="140"/>
        <v>303</v>
      </c>
      <c r="S64">
        <f t="shared" si="37"/>
        <v>0</v>
      </c>
      <c r="T64">
        <f t="shared" si="128"/>
        <v>10</v>
      </c>
      <c r="U64">
        <f t="shared" si="129"/>
        <v>3</v>
      </c>
      <c r="W64">
        <f t="shared" si="168"/>
        <v>0</v>
      </c>
      <c r="X64">
        <f t="shared" si="168"/>
        <v>98</v>
      </c>
      <c r="Y64">
        <f t="shared" si="168"/>
        <v>238</v>
      </c>
      <c r="AA64" s="112">
        <f t="shared" si="102"/>
        <v>39692</v>
      </c>
      <c r="AB64" s="112">
        <f t="shared" si="103"/>
        <v>39994</v>
      </c>
      <c r="AG64">
        <f t="shared" si="38"/>
        <v>1</v>
      </c>
      <c r="AH64" s="112">
        <f t="shared" si="39"/>
        <v>39692</v>
      </c>
      <c r="AI64" s="112">
        <f t="shared" si="39"/>
        <v>39994</v>
      </c>
      <c r="AJ64">
        <f t="shared" si="40"/>
        <v>1</v>
      </c>
      <c r="AK64">
        <f t="shared" si="104"/>
        <v>0</v>
      </c>
      <c r="AL64">
        <f t="shared" si="131"/>
        <v>0</v>
      </c>
      <c r="AN64">
        <f t="shared" si="132"/>
        <v>0</v>
      </c>
      <c r="AO64">
        <f t="shared" si="133"/>
        <v>0</v>
      </c>
      <c r="AP64">
        <f t="shared" si="105"/>
        <v>0</v>
      </c>
      <c r="AS64">
        <f t="shared" si="141"/>
        <v>0</v>
      </c>
      <c r="AT64">
        <f t="shared" si="142"/>
        <v>0</v>
      </c>
      <c r="AV64">
        <f t="shared" si="143"/>
        <v>0</v>
      </c>
      <c r="AW64">
        <f t="shared" si="144"/>
        <v>0</v>
      </c>
      <c r="AX64">
        <f t="shared" si="106"/>
        <v>0</v>
      </c>
      <c r="BA64">
        <f t="shared" si="161"/>
        <v>0</v>
      </c>
      <c r="BB64">
        <f t="shared" si="162"/>
        <v>0</v>
      </c>
      <c r="BD64">
        <f t="shared" si="146"/>
        <v>0</v>
      </c>
      <c r="BE64">
        <f t="shared" si="147"/>
        <v>0</v>
      </c>
      <c r="BF64">
        <f t="shared" si="136"/>
        <v>0</v>
      </c>
      <c r="BI64">
        <f t="shared" si="148"/>
        <v>0</v>
      </c>
      <c r="BJ64">
        <f t="shared" si="150"/>
        <v>0</v>
      </c>
      <c r="BK64">
        <f t="shared" si="151"/>
        <v>0</v>
      </c>
      <c r="BL64">
        <f t="shared" si="152"/>
        <v>0</v>
      </c>
      <c r="BM64">
        <f t="shared" si="145"/>
        <v>0</v>
      </c>
      <c r="BO64">
        <f t="shared" si="153"/>
        <v>0</v>
      </c>
      <c r="BP64">
        <f t="shared" si="154"/>
        <v>0</v>
      </c>
      <c r="BR64">
        <f t="shared" si="155"/>
        <v>0</v>
      </c>
      <c r="BS64">
        <f t="shared" si="156"/>
        <v>0</v>
      </c>
      <c r="BT64">
        <f t="shared" si="149"/>
        <v>0</v>
      </c>
      <c r="BV64">
        <f t="shared" si="107"/>
        <v>0</v>
      </c>
      <c r="BX64">
        <f t="shared" si="108"/>
        <v>0</v>
      </c>
      <c r="BY64">
        <f t="shared" si="109"/>
        <v>0</v>
      </c>
      <c r="BZ64">
        <f t="shared" si="110"/>
        <v>0</v>
      </c>
      <c r="CA64">
        <f t="shared" si="111"/>
        <v>0</v>
      </c>
      <c r="CB64">
        <f t="shared" si="112"/>
        <v>0</v>
      </c>
      <c r="CG64">
        <f t="shared" si="41"/>
        <v>2008</v>
      </c>
      <c r="CH64">
        <f t="shared" si="41"/>
        <v>2009</v>
      </c>
      <c r="CJ64">
        <f t="shared" si="42"/>
        <v>0</v>
      </c>
      <c r="CK64">
        <f t="shared" si="158"/>
        <v>0</v>
      </c>
      <c r="CL64">
        <f t="shared" si="43"/>
        <v>0</v>
      </c>
      <c r="CN64">
        <f t="shared" si="44"/>
        <v>0</v>
      </c>
      <c r="CS64">
        <f t="shared" si="45"/>
        <v>303</v>
      </c>
      <c r="CT64">
        <f t="shared" si="113"/>
        <v>3178</v>
      </c>
      <c r="CV64" s="112">
        <f t="shared" si="46"/>
        <v>39994</v>
      </c>
      <c r="CX64" s="112">
        <f t="shared" si="47"/>
        <v>100000</v>
      </c>
      <c r="CY64" s="112">
        <f t="shared" si="114"/>
        <v>100000</v>
      </c>
      <c r="CZ64" s="112">
        <f t="shared" si="115"/>
        <v>100000</v>
      </c>
      <c r="DA64" s="112">
        <f t="shared" si="116"/>
        <v>100000</v>
      </c>
      <c r="DB64" s="112">
        <f t="shared" si="117"/>
        <v>100000</v>
      </c>
      <c r="DC64" s="112">
        <f t="shared" si="118"/>
        <v>100000</v>
      </c>
      <c r="DU64" s="112"/>
      <c r="DV64" s="112"/>
      <c r="DW64" s="277">
        <v>42736</v>
      </c>
      <c r="DX64" s="276"/>
      <c r="DY64" s="276"/>
      <c r="DZ64" s="276"/>
      <c r="EF64" s="260" t="str">
        <f t="shared" si="160"/>
        <v/>
      </c>
      <c r="EK64" s="254"/>
      <c r="EL64">
        <f t="shared" si="163"/>
        <v>25</v>
      </c>
      <c r="EM64" s="260" t="e">
        <f t="shared" ca="1" si="121"/>
        <v>#NUM!</v>
      </c>
      <c r="EN64" s="112" t="e">
        <f t="shared" ca="1" si="56"/>
        <v>#NUM!</v>
      </c>
      <c r="EO64" s="112">
        <f t="shared" ca="1" si="57"/>
        <v>100000</v>
      </c>
      <c r="EP64" s="112">
        <f t="shared" ca="1" si="122"/>
        <v>100000</v>
      </c>
      <c r="EQ64" s="273">
        <f t="shared" ca="1" si="137"/>
        <v>100000</v>
      </c>
      <c r="ER64" s="302">
        <f t="shared" ca="1" si="58"/>
        <v>100000</v>
      </c>
      <c r="EU64">
        <f t="shared" ca="1" si="159"/>
        <v>28</v>
      </c>
      <c r="EV64" s="260">
        <f t="shared" ca="1" si="123"/>
        <v>100000</v>
      </c>
      <c r="EW64" t="str">
        <f t="shared" ca="1" si="59"/>
        <v>28-34 anni</v>
      </c>
      <c r="EX64">
        <f t="shared" ca="1" si="19"/>
        <v>1</v>
      </c>
      <c r="EY64" s="238">
        <f t="shared" ca="1" si="20"/>
        <v>260</v>
      </c>
      <c r="EZ64" t="str">
        <f t="shared" ca="1" si="60"/>
        <v>28-34 anni</v>
      </c>
      <c r="FB64">
        <f t="shared" ca="1" si="61"/>
        <v>27377.74</v>
      </c>
      <c r="FC64">
        <f t="shared" ca="1" si="164"/>
        <v>0</v>
      </c>
      <c r="FD64">
        <f t="shared" ca="1" si="164"/>
        <v>0</v>
      </c>
      <c r="FE64">
        <f t="shared" ca="1" si="164"/>
        <v>6459.63</v>
      </c>
      <c r="FF64">
        <f t="shared" ca="1" si="164"/>
        <v>169.19</v>
      </c>
      <c r="FL64">
        <f t="shared" ca="1" si="62"/>
        <v>0</v>
      </c>
      <c r="FM64">
        <f t="shared" ca="1" si="22"/>
        <v>3458.4</v>
      </c>
      <c r="FR64" s="254" t="str">
        <f t="shared" ca="1" si="124"/>
        <v>28-34 anni</v>
      </c>
      <c r="FS64">
        <f t="shared" si="125"/>
        <v>64</v>
      </c>
      <c r="FT64" t="str">
        <f t="shared" ca="1" si="165"/>
        <v>ez64</v>
      </c>
      <c r="FU64" t="str">
        <f t="shared" ca="1" si="165"/>
        <v>EV64</v>
      </c>
      <c r="FV64" t="str">
        <f t="shared" ca="1" si="165"/>
        <v>FB64</v>
      </c>
      <c r="FW64" t="str">
        <f t="shared" ca="1" si="165"/>
        <v>FC64</v>
      </c>
      <c r="FX64" t="str">
        <f t="shared" ca="1" si="165"/>
        <v>FD64</v>
      </c>
      <c r="FY64" t="str">
        <f t="shared" ca="1" si="165"/>
        <v>FE64</v>
      </c>
      <c r="FZ64" t="str">
        <f t="shared" ca="1" si="165"/>
        <v>FF64</v>
      </c>
      <c r="GA64" t="str">
        <f t="shared" ca="1" si="165"/>
        <v>FL64</v>
      </c>
      <c r="GB64" t="str">
        <f t="shared" ca="1" si="165"/>
        <v>FM64</v>
      </c>
      <c r="GC64" t="str">
        <f t="shared" ca="1" si="63"/>
        <v/>
      </c>
      <c r="GD64" t="str">
        <f t="shared" ca="1" si="165"/>
        <v/>
      </c>
      <c r="GE64">
        <f t="shared" ca="1" si="126"/>
        <v>0</v>
      </c>
      <c r="GF64" s="112">
        <f t="shared" ca="1" si="64"/>
        <v>100000</v>
      </c>
      <c r="GG64" s="238" t="str">
        <f t="shared" ca="1" si="65"/>
        <v>28-34 anni</v>
      </c>
      <c r="GH64" s="262">
        <f t="shared" ca="1" si="66"/>
        <v>27377.74</v>
      </c>
      <c r="GI64" s="262">
        <f t="shared" ca="1" si="67"/>
        <v>0</v>
      </c>
      <c r="GJ64" s="262">
        <f t="shared" ca="1" si="68"/>
        <v>0</v>
      </c>
      <c r="GK64" s="262">
        <f t="shared" ca="1" si="69"/>
        <v>6459.63</v>
      </c>
      <c r="GL64" s="262">
        <f t="shared" ca="1" si="70"/>
        <v>169.19</v>
      </c>
      <c r="GM64" s="262">
        <f t="shared" ca="1" si="71"/>
        <v>0</v>
      </c>
      <c r="GN64" s="262">
        <f t="shared" ca="1" si="72"/>
        <v>3458.4</v>
      </c>
      <c r="GO64" s="262">
        <f t="shared" ca="1" si="73"/>
        <v>0</v>
      </c>
      <c r="GP64" s="262">
        <f t="shared" ca="1" si="74"/>
        <v>0</v>
      </c>
      <c r="GR64" s="262">
        <f t="shared" ca="1" si="76"/>
        <v>33837.370000000003</v>
      </c>
      <c r="GS64" s="262">
        <f t="shared" ca="1" si="25"/>
        <v>37464.960000000006</v>
      </c>
      <c r="GT64" s="253" t="str">
        <f t="shared" ca="1" si="77"/>
        <v/>
      </c>
      <c r="GU64" t="str">
        <f t="shared" ca="1" si="78"/>
        <v/>
      </c>
      <c r="GV64" t="str">
        <f t="shared" ca="1" si="79"/>
        <v/>
      </c>
      <c r="GW64" t="str">
        <f t="shared" ca="1" si="138"/>
        <v xml:space="preserve">
</v>
      </c>
      <c r="GX64" t="str">
        <f t="shared" ca="1" si="166"/>
        <v/>
      </c>
      <c r="GY64" t="str">
        <f t="shared" ca="1" si="166"/>
        <v/>
      </c>
      <c r="GZ64" t="str">
        <f t="shared" ca="1" si="157"/>
        <v/>
      </c>
      <c r="HA64" t="str">
        <f t="shared" ca="1" si="166"/>
        <v xml:space="preserve">  Indennita di Vacanza contr.le - annuo lordo euro: 169,19
</v>
      </c>
      <c r="HB64" t="str">
        <f t="shared" ca="1" si="166"/>
        <v/>
      </c>
      <c r="HC64" t="str">
        <f t="shared" ca="1" si="166"/>
        <v xml:space="preserve">rpd/cia - annuo lordo euro: 3458,4
</v>
      </c>
      <c r="HD64" t="str">
        <f t="shared" ca="1" si="80"/>
        <v/>
      </c>
      <c r="HE64" s="254" t="str">
        <f t="shared" ca="1" si="166"/>
        <v/>
      </c>
      <c r="HF64" s="254" t="str">
        <f t="shared" ca="1" si="81"/>
        <v xml:space="preserve">TOTALE ANNUO LORDO EURO 37464,96
</v>
      </c>
      <c r="HL64" t="str">
        <f t="shared" ca="1" si="82"/>
        <v xml:space="preserve"> C.C.N.L. DEL 06/12/2022 -</v>
      </c>
      <c r="HM64" s="263" t="str">
        <f t="shared" ca="1" si="83"/>
        <v xml:space="preserve"> C.C.N.L. DEL 06/12/2022 -
  Indennita di Vacanza contr.le - annuo lordo euro: 169,19
rpd/cia - annuo lordo euro: 3458,4
TOTALE ANNUO LORDO EURO 37464,96
Altri assegni previsti per legge</v>
      </c>
      <c r="HO64" s="272" t="str">
        <f t="shared" ca="1" si="28"/>
        <v/>
      </c>
      <c r="HP64">
        <f t="shared" ca="1" si="84"/>
        <v>0</v>
      </c>
      <c r="HQ64" t="str">
        <f t="shared" ca="1" si="85"/>
        <v/>
      </c>
      <c r="HR64" t="str">
        <f t="shared" ca="1" si="169"/>
        <v/>
      </c>
      <c r="HS64" t="str">
        <f t="shared" ca="1" si="170"/>
        <v/>
      </c>
      <c r="HX64" s="253" t="s">
        <v>187</v>
      </c>
      <c r="HY64" s="112" t="str">
        <f t="shared" si="88"/>
        <v>1/9/2008</v>
      </c>
      <c r="HZ64" t="s">
        <v>188</v>
      </c>
      <c r="IA64" s="112" t="str">
        <f t="shared" si="89"/>
        <v>30/6/2009</v>
      </c>
      <c r="IB64" t="s">
        <v>189</v>
      </c>
      <c r="IC64">
        <f t="shared" si="90"/>
        <v>0</v>
      </c>
      <c r="ID64" t="s">
        <v>192</v>
      </c>
      <c r="IE64">
        <f t="shared" si="91"/>
        <v>10</v>
      </c>
      <c r="IF64" t="s">
        <v>191</v>
      </c>
      <c r="IG64" s="254">
        <f t="shared" si="92"/>
        <v>3</v>
      </c>
      <c r="IL64" t="str">
        <f t="shared" si="93"/>
        <v xml:space="preserve">DAL: 1/9/2008 - AL:30/6/2009 - ANNI:0 - MESI:10 -GIORNI:3
</v>
      </c>
      <c r="KD64">
        <v>0</v>
      </c>
      <c r="KE64" s="260">
        <f t="shared" ca="1" si="94"/>
        <v>100000</v>
      </c>
      <c r="KF64" t="str">
        <f t="shared" si="95"/>
        <v>0-2 anni</v>
      </c>
      <c r="KG64">
        <f t="shared" si="29"/>
        <v>6</v>
      </c>
      <c r="KH64" s="238">
        <f t="shared" ca="1" si="30"/>
        <v>255</v>
      </c>
      <c r="KK64">
        <f t="shared" ca="1" si="96"/>
        <v>16218.89</v>
      </c>
      <c r="KL64">
        <f t="shared" ca="1" si="167"/>
        <v>0</v>
      </c>
      <c r="KM64">
        <f t="shared" ca="1" si="167"/>
        <v>0</v>
      </c>
      <c r="KN64">
        <f t="shared" ca="1" si="167"/>
        <v>6459.63</v>
      </c>
      <c r="KO64">
        <f t="shared" ca="1" si="167"/>
        <v>169.19</v>
      </c>
      <c r="KV64">
        <f t="shared" ca="1" si="32"/>
        <v>3458.4</v>
      </c>
      <c r="LA64" s="254" t="str">
        <f t="shared" si="97"/>
        <v>0-2 anni</v>
      </c>
      <c r="LB64" s="112">
        <f t="shared" si="33"/>
        <v>39692</v>
      </c>
      <c r="LC64" s="112">
        <f t="shared" si="34"/>
        <v>39994</v>
      </c>
      <c r="LD64">
        <f t="shared" ca="1" si="98"/>
        <v>26306.11</v>
      </c>
      <c r="LE64" s="262">
        <f t="shared" ca="1" si="99"/>
        <v>37464.960000000006</v>
      </c>
      <c r="LF64">
        <f t="shared" si="100"/>
        <v>303</v>
      </c>
      <c r="LG64">
        <f t="shared" ca="1" si="101"/>
        <v>9263.3700000000008</v>
      </c>
    </row>
    <row r="65" spans="1:319" ht="90" x14ac:dyDescent="0.25">
      <c r="A65" s="112">
        <f t="shared" si="139"/>
        <v>39630</v>
      </c>
      <c r="B65" s="112">
        <f t="shared" si="35"/>
        <v>39814</v>
      </c>
      <c r="E65" s="240">
        <f>Foglio3!F45</f>
        <v>40063</v>
      </c>
      <c r="F65" s="240">
        <f>Foglio3!G45</f>
        <v>40063</v>
      </c>
      <c r="G65" s="244"/>
      <c r="H65" s="245">
        <f t="shared" si="36"/>
        <v>40063</v>
      </c>
      <c r="I65" s="245">
        <f t="shared" si="15"/>
        <v>40063</v>
      </c>
      <c r="J65" s="244"/>
      <c r="K65" s="244"/>
      <c r="Q65">
        <f t="shared" si="16"/>
        <v>1</v>
      </c>
      <c r="R65">
        <f t="shared" si="140"/>
        <v>1</v>
      </c>
      <c r="S65">
        <f t="shared" si="37"/>
        <v>0</v>
      </c>
      <c r="T65">
        <f t="shared" si="128"/>
        <v>0</v>
      </c>
      <c r="U65">
        <f t="shared" si="129"/>
        <v>1</v>
      </c>
      <c r="W65">
        <f t="shared" si="168"/>
        <v>0</v>
      </c>
      <c r="X65">
        <f t="shared" si="168"/>
        <v>98</v>
      </c>
      <c r="Y65">
        <f t="shared" si="168"/>
        <v>239</v>
      </c>
      <c r="AA65" s="112">
        <f t="shared" si="102"/>
        <v>40063</v>
      </c>
      <c r="AB65" s="112">
        <f t="shared" si="103"/>
        <v>40063</v>
      </c>
      <c r="AG65">
        <f t="shared" si="38"/>
        <v>1</v>
      </c>
      <c r="AH65" s="112">
        <f t="shared" si="39"/>
        <v>40063</v>
      </c>
      <c r="AI65" s="112">
        <f t="shared" si="39"/>
        <v>40063</v>
      </c>
      <c r="AJ65">
        <f t="shared" si="40"/>
        <v>1</v>
      </c>
      <c r="AK65">
        <f t="shared" si="104"/>
        <v>0</v>
      </c>
      <c r="AL65">
        <f t="shared" si="131"/>
        <v>0</v>
      </c>
      <c r="AN65">
        <f t="shared" si="132"/>
        <v>0</v>
      </c>
      <c r="AO65">
        <f t="shared" si="133"/>
        <v>0</v>
      </c>
      <c r="AP65">
        <f t="shared" si="105"/>
        <v>0</v>
      </c>
      <c r="AS65">
        <f t="shared" si="141"/>
        <v>0</v>
      </c>
      <c r="AT65">
        <f t="shared" si="142"/>
        <v>0</v>
      </c>
      <c r="AV65">
        <f t="shared" si="143"/>
        <v>0</v>
      </c>
      <c r="AW65">
        <f t="shared" si="144"/>
        <v>0</v>
      </c>
      <c r="AX65">
        <f t="shared" si="106"/>
        <v>0</v>
      </c>
      <c r="BA65">
        <f t="shared" si="161"/>
        <v>0</v>
      </c>
      <c r="BB65">
        <f t="shared" si="162"/>
        <v>0</v>
      </c>
      <c r="BD65">
        <f t="shared" si="146"/>
        <v>0</v>
      </c>
      <c r="BE65">
        <f t="shared" si="147"/>
        <v>0</v>
      </c>
      <c r="BF65">
        <f t="shared" si="136"/>
        <v>0</v>
      </c>
      <c r="BI65">
        <f t="shared" si="148"/>
        <v>0</v>
      </c>
      <c r="BJ65">
        <f t="shared" si="150"/>
        <v>0</v>
      </c>
      <c r="BK65">
        <f t="shared" si="151"/>
        <v>0</v>
      </c>
      <c r="BL65">
        <f t="shared" si="152"/>
        <v>0</v>
      </c>
      <c r="BM65">
        <f t="shared" si="145"/>
        <v>0</v>
      </c>
      <c r="BO65">
        <f t="shared" si="153"/>
        <v>0</v>
      </c>
      <c r="BP65">
        <f t="shared" si="154"/>
        <v>0</v>
      </c>
      <c r="BR65">
        <f t="shared" si="155"/>
        <v>0</v>
      </c>
      <c r="BS65">
        <f t="shared" si="156"/>
        <v>0</v>
      </c>
      <c r="BT65">
        <f t="shared" si="149"/>
        <v>0</v>
      </c>
      <c r="BV65">
        <f t="shared" si="107"/>
        <v>0</v>
      </c>
      <c r="BX65">
        <f t="shared" si="108"/>
        <v>0</v>
      </c>
      <c r="BY65">
        <f t="shared" si="109"/>
        <v>0</v>
      </c>
      <c r="BZ65">
        <f t="shared" si="110"/>
        <v>0</v>
      </c>
      <c r="CA65">
        <f t="shared" si="111"/>
        <v>0</v>
      </c>
      <c r="CB65">
        <f t="shared" si="112"/>
        <v>0</v>
      </c>
      <c r="CG65">
        <f t="shared" si="41"/>
        <v>2009</v>
      </c>
      <c r="CH65">
        <f t="shared" si="41"/>
        <v>2009</v>
      </c>
      <c r="CJ65">
        <f t="shared" si="42"/>
        <v>0</v>
      </c>
      <c r="CK65">
        <f t="shared" si="158"/>
        <v>0</v>
      </c>
      <c r="CL65">
        <f t="shared" si="43"/>
        <v>0</v>
      </c>
      <c r="CN65">
        <f t="shared" si="44"/>
        <v>0</v>
      </c>
      <c r="CS65">
        <f t="shared" si="45"/>
        <v>1</v>
      </c>
      <c r="CT65">
        <f t="shared" si="113"/>
        <v>3179</v>
      </c>
      <c r="CV65" s="112">
        <f t="shared" si="46"/>
        <v>40063</v>
      </c>
      <c r="CX65" s="112">
        <f t="shared" si="47"/>
        <v>100000</v>
      </c>
      <c r="CY65" s="112">
        <f t="shared" si="114"/>
        <v>100000</v>
      </c>
      <c r="CZ65" s="112">
        <f t="shared" si="115"/>
        <v>100000</v>
      </c>
      <c r="DA65" s="112">
        <f t="shared" si="116"/>
        <v>100000</v>
      </c>
      <c r="DB65" s="112">
        <f t="shared" si="117"/>
        <v>100000</v>
      </c>
      <c r="DC65" s="112">
        <f t="shared" si="118"/>
        <v>100000</v>
      </c>
      <c r="DU65" s="112"/>
      <c r="DV65" s="112"/>
      <c r="DW65" s="277">
        <v>43160</v>
      </c>
      <c r="DX65" s="276"/>
      <c r="DY65" s="276"/>
      <c r="DZ65" s="276"/>
      <c r="EF65" s="260" t="str">
        <f t="shared" si="160"/>
        <v/>
      </c>
      <c r="EK65" s="254"/>
      <c r="EL65">
        <f t="shared" si="163"/>
        <v>26</v>
      </c>
      <c r="EM65" s="260" t="e">
        <f t="shared" ca="1" si="121"/>
        <v>#NUM!</v>
      </c>
      <c r="EN65" s="112" t="e">
        <f t="shared" ca="1" si="56"/>
        <v>#NUM!</v>
      </c>
      <c r="EO65" s="112">
        <f t="shared" ca="1" si="57"/>
        <v>100000</v>
      </c>
      <c r="EP65" s="112">
        <f t="shared" ca="1" si="122"/>
        <v>100000</v>
      </c>
      <c r="EQ65" s="273">
        <f t="shared" ca="1" si="137"/>
        <v>100000</v>
      </c>
      <c r="ER65" s="302">
        <f t="shared" ca="1" si="58"/>
        <v>100000</v>
      </c>
      <c r="EU65">
        <f t="shared" ca="1" si="159"/>
        <v>28</v>
      </c>
      <c r="EV65" s="260">
        <f t="shared" ca="1" si="123"/>
        <v>100000</v>
      </c>
      <c r="EW65" t="str">
        <f t="shared" ca="1" si="59"/>
        <v>28-34 anni</v>
      </c>
      <c r="EX65">
        <f t="shared" ca="1" si="19"/>
        <v>1</v>
      </c>
      <c r="EY65" s="238">
        <f t="shared" ca="1" si="20"/>
        <v>260</v>
      </c>
      <c r="EZ65" t="str">
        <f t="shared" ca="1" si="60"/>
        <v>28-34 anni</v>
      </c>
      <c r="FB65">
        <f t="shared" ca="1" si="61"/>
        <v>27377.74</v>
      </c>
      <c r="FC65">
        <f t="shared" ca="1" si="164"/>
        <v>0</v>
      </c>
      <c r="FD65">
        <f t="shared" ca="1" si="164"/>
        <v>0</v>
      </c>
      <c r="FE65">
        <f t="shared" ca="1" si="164"/>
        <v>6459.63</v>
      </c>
      <c r="FF65">
        <f t="shared" ca="1" si="164"/>
        <v>169.19</v>
      </c>
      <c r="FL65">
        <f t="shared" ca="1" si="62"/>
        <v>0</v>
      </c>
      <c r="FM65">
        <f t="shared" ca="1" si="22"/>
        <v>3458.4</v>
      </c>
      <c r="FR65" s="254" t="str">
        <f t="shared" ca="1" si="124"/>
        <v>28-34 anni</v>
      </c>
      <c r="FS65">
        <f t="shared" si="125"/>
        <v>65</v>
      </c>
      <c r="FT65" t="str">
        <f t="shared" ca="1" si="165"/>
        <v>ez65</v>
      </c>
      <c r="FU65" t="str">
        <f t="shared" ca="1" si="165"/>
        <v>EV65</v>
      </c>
      <c r="FV65" t="str">
        <f t="shared" ca="1" si="165"/>
        <v>FB65</v>
      </c>
      <c r="FW65" t="str">
        <f t="shared" ca="1" si="165"/>
        <v>FC65</v>
      </c>
      <c r="FX65" t="str">
        <f t="shared" ca="1" si="165"/>
        <v>FD65</v>
      </c>
      <c r="FY65" t="str">
        <f t="shared" ca="1" si="165"/>
        <v>FE65</v>
      </c>
      <c r="FZ65" t="str">
        <f t="shared" ca="1" si="165"/>
        <v>FF65</v>
      </c>
      <c r="GA65" t="str">
        <f t="shared" ca="1" si="165"/>
        <v>FL65</v>
      </c>
      <c r="GB65" t="str">
        <f t="shared" ca="1" si="165"/>
        <v>FM65</v>
      </c>
      <c r="GC65" t="str">
        <f t="shared" ca="1" si="63"/>
        <v/>
      </c>
      <c r="GD65" t="str">
        <f t="shared" ca="1" si="165"/>
        <v/>
      </c>
      <c r="GE65">
        <f t="shared" ca="1" si="126"/>
        <v>0</v>
      </c>
      <c r="GF65" s="112">
        <f t="shared" ca="1" si="64"/>
        <v>100000</v>
      </c>
      <c r="GG65" s="238" t="str">
        <f t="shared" ca="1" si="65"/>
        <v>28-34 anni</v>
      </c>
      <c r="GH65" s="262">
        <f t="shared" ca="1" si="66"/>
        <v>27377.74</v>
      </c>
      <c r="GI65" s="262">
        <f t="shared" ca="1" si="67"/>
        <v>0</v>
      </c>
      <c r="GJ65" s="262">
        <f t="shared" ca="1" si="68"/>
        <v>0</v>
      </c>
      <c r="GK65" s="262">
        <f t="shared" ca="1" si="69"/>
        <v>6459.63</v>
      </c>
      <c r="GL65" s="262">
        <f t="shared" ca="1" si="70"/>
        <v>169.19</v>
      </c>
      <c r="GM65" s="262">
        <f t="shared" ca="1" si="71"/>
        <v>0</v>
      </c>
      <c r="GN65" s="262">
        <f t="shared" ca="1" si="72"/>
        <v>3458.4</v>
      </c>
      <c r="GO65" s="262">
        <f t="shared" ca="1" si="73"/>
        <v>0</v>
      </c>
      <c r="GP65" s="262">
        <f t="shared" ca="1" si="74"/>
        <v>0</v>
      </c>
      <c r="GR65" s="262">
        <f t="shared" ca="1" si="76"/>
        <v>33837.370000000003</v>
      </c>
      <c r="GS65" s="262">
        <f t="shared" ca="1" si="25"/>
        <v>37464.960000000006</v>
      </c>
      <c r="GT65" s="253" t="str">
        <f t="shared" ca="1" si="77"/>
        <v/>
      </c>
      <c r="GU65" t="str">
        <f t="shared" ca="1" si="78"/>
        <v/>
      </c>
      <c r="GV65" t="str">
        <f t="shared" ca="1" si="79"/>
        <v/>
      </c>
      <c r="GW65" t="str">
        <f t="shared" ca="1" si="138"/>
        <v xml:space="preserve">
</v>
      </c>
      <c r="GX65" t="str">
        <f t="shared" ca="1" si="166"/>
        <v/>
      </c>
      <c r="GY65" t="str">
        <f t="shared" ca="1" si="166"/>
        <v/>
      </c>
      <c r="GZ65" t="str">
        <f t="shared" ca="1" si="157"/>
        <v/>
      </c>
      <c r="HA65" t="str">
        <f t="shared" ca="1" si="166"/>
        <v xml:space="preserve">  Indennita di Vacanza contr.le - annuo lordo euro: 169,19
</v>
      </c>
      <c r="HB65" t="str">
        <f t="shared" ca="1" si="166"/>
        <v/>
      </c>
      <c r="HC65" t="str">
        <f t="shared" ca="1" si="166"/>
        <v xml:space="preserve">rpd/cia - annuo lordo euro: 3458,4
</v>
      </c>
      <c r="HD65" t="str">
        <f t="shared" ca="1" si="80"/>
        <v/>
      </c>
      <c r="HE65" s="254" t="str">
        <f t="shared" ca="1" si="166"/>
        <v/>
      </c>
      <c r="HF65" s="254" t="str">
        <f t="shared" ca="1" si="81"/>
        <v xml:space="preserve">TOTALE ANNUO LORDO EURO 37464,96
</v>
      </c>
      <c r="HL65" t="str">
        <f t="shared" ca="1" si="82"/>
        <v xml:space="preserve"> C.C.N.L. DEL 06/12/2022 -</v>
      </c>
      <c r="HM65" s="263" t="str">
        <f t="shared" ca="1" si="83"/>
        <v xml:space="preserve"> C.C.N.L. DEL 06/12/2022 -
  Indennita di Vacanza contr.le - annuo lordo euro: 169,19
rpd/cia - annuo lordo euro: 3458,4
TOTALE ANNUO LORDO EURO 37464,96
Altri assegni previsti per legge</v>
      </c>
      <c r="HO65" s="272" t="str">
        <f t="shared" ca="1" si="28"/>
        <v/>
      </c>
      <c r="HP65">
        <f t="shared" ca="1" si="84"/>
        <v>0</v>
      </c>
      <c r="HQ65" t="str">
        <f t="shared" ca="1" si="85"/>
        <v/>
      </c>
      <c r="HR65" t="str">
        <f t="shared" ca="1" si="169"/>
        <v/>
      </c>
      <c r="HS65" t="str">
        <f t="shared" ca="1" si="170"/>
        <v/>
      </c>
      <c r="HX65" s="253" t="s">
        <v>187</v>
      </c>
      <c r="HY65" s="112" t="str">
        <f t="shared" si="88"/>
        <v>7/9/2009</v>
      </c>
      <c r="HZ65" t="s">
        <v>188</v>
      </c>
      <c r="IA65" s="112" t="str">
        <f t="shared" si="89"/>
        <v>7/9/2009</v>
      </c>
      <c r="IB65" t="s">
        <v>189</v>
      </c>
      <c r="IC65">
        <f t="shared" si="90"/>
        <v>0</v>
      </c>
      <c r="ID65" t="s">
        <v>192</v>
      </c>
      <c r="IE65">
        <f t="shared" si="91"/>
        <v>0</v>
      </c>
      <c r="IF65" t="s">
        <v>191</v>
      </c>
      <c r="IG65" s="254">
        <f t="shared" si="92"/>
        <v>1</v>
      </c>
      <c r="IL65" t="str">
        <f t="shared" si="93"/>
        <v xml:space="preserve">DAL: 7/9/2009 - AL:7/9/2009 - ANNI:0 - MESI:0 -GIORNI:1
</v>
      </c>
      <c r="KD65">
        <v>0</v>
      </c>
      <c r="KE65" s="260">
        <f t="shared" ca="1" si="94"/>
        <v>100000</v>
      </c>
      <c r="KF65" t="str">
        <f t="shared" si="95"/>
        <v>0-2 anni</v>
      </c>
      <c r="KG65">
        <f t="shared" si="29"/>
        <v>6</v>
      </c>
      <c r="KH65" s="238">
        <f t="shared" ca="1" si="30"/>
        <v>255</v>
      </c>
      <c r="KK65">
        <f t="shared" ca="1" si="96"/>
        <v>16218.89</v>
      </c>
      <c r="KL65">
        <f t="shared" ca="1" si="167"/>
        <v>0</v>
      </c>
      <c r="KM65">
        <f t="shared" ca="1" si="167"/>
        <v>0</v>
      </c>
      <c r="KN65">
        <f t="shared" ca="1" si="167"/>
        <v>6459.63</v>
      </c>
      <c r="KO65">
        <f t="shared" ca="1" si="167"/>
        <v>169.19</v>
      </c>
      <c r="KV65">
        <f t="shared" ca="1" si="32"/>
        <v>3458.4</v>
      </c>
      <c r="LA65" s="254" t="str">
        <f t="shared" si="97"/>
        <v>0-2 anni</v>
      </c>
      <c r="LB65" s="112">
        <f t="shared" si="33"/>
        <v>40063</v>
      </c>
      <c r="LC65" s="112">
        <f t="shared" si="34"/>
        <v>40063</v>
      </c>
      <c r="LD65">
        <f t="shared" ca="1" si="98"/>
        <v>26306.11</v>
      </c>
      <c r="LE65" s="262">
        <f t="shared" ca="1" si="99"/>
        <v>37464.960000000006</v>
      </c>
      <c r="LF65">
        <f t="shared" si="100"/>
        <v>1</v>
      </c>
      <c r="LG65">
        <f t="shared" ca="1" si="101"/>
        <v>30.57</v>
      </c>
    </row>
    <row r="66" spans="1:319" ht="90" x14ac:dyDescent="0.25">
      <c r="A66" s="112">
        <f t="shared" si="139"/>
        <v>40269</v>
      </c>
      <c r="B66" s="112">
        <f t="shared" si="35"/>
        <v>40360</v>
      </c>
      <c r="E66" s="240">
        <f>Foglio3!F46</f>
        <v>40066</v>
      </c>
      <c r="F66" s="240">
        <f>Foglio3!G46</f>
        <v>40421</v>
      </c>
      <c r="G66" s="244"/>
      <c r="H66" s="245">
        <f t="shared" si="36"/>
        <v>40066</v>
      </c>
      <c r="I66" s="245">
        <f t="shared" si="15"/>
        <v>40421</v>
      </c>
      <c r="J66" s="244"/>
      <c r="K66" s="244"/>
      <c r="Q66">
        <f t="shared" si="16"/>
        <v>356</v>
      </c>
      <c r="R66">
        <f t="shared" si="140"/>
        <v>356</v>
      </c>
      <c r="S66">
        <f t="shared" si="37"/>
        <v>0</v>
      </c>
      <c r="T66">
        <f t="shared" si="128"/>
        <v>11</v>
      </c>
      <c r="U66">
        <f t="shared" si="129"/>
        <v>26</v>
      </c>
      <c r="W66">
        <f t="shared" si="168"/>
        <v>0</v>
      </c>
      <c r="X66">
        <f t="shared" si="168"/>
        <v>109</v>
      </c>
      <c r="Y66">
        <f t="shared" si="168"/>
        <v>265</v>
      </c>
      <c r="AA66" s="112">
        <f t="shared" si="102"/>
        <v>40066</v>
      </c>
      <c r="AB66" s="112">
        <f t="shared" si="103"/>
        <v>40421</v>
      </c>
      <c r="AG66">
        <f t="shared" si="38"/>
        <v>1</v>
      </c>
      <c r="AH66" s="112">
        <f t="shared" si="39"/>
        <v>40066</v>
      </c>
      <c r="AI66" s="112">
        <f t="shared" si="39"/>
        <v>40421</v>
      </c>
      <c r="AJ66">
        <f t="shared" si="40"/>
        <v>1</v>
      </c>
      <c r="AK66">
        <f t="shared" si="104"/>
        <v>0</v>
      </c>
      <c r="AL66">
        <f t="shared" si="131"/>
        <v>0</v>
      </c>
      <c r="AN66">
        <f t="shared" si="132"/>
        <v>0</v>
      </c>
      <c r="AO66">
        <f t="shared" si="133"/>
        <v>0</v>
      </c>
      <c r="AP66">
        <f t="shared" si="105"/>
        <v>0</v>
      </c>
      <c r="AS66">
        <f t="shared" si="141"/>
        <v>0</v>
      </c>
      <c r="AT66">
        <f t="shared" si="142"/>
        <v>0</v>
      </c>
      <c r="AV66">
        <f t="shared" si="143"/>
        <v>0</v>
      </c>
      <c r="AW66">
        <f t="shared" si="144"/>
        <v>0</v>
      </c>
      <c r="AX66">
        <f t="shared" si="106"/>
        <v>0</v>
      </c>
      <c r="BA66">
        <f t="shared" si="161"/>
        <v>0</v>
      </c>
      <c r="BB66">
        <f t="shared" si="162"/>
        <v>0</v>
      </c>
      <c r="BD66">
        <f t="shared" si="146"/>
        <v>0</v>
      </c>
      <c r="BE66">
        <f t="shared" si="147"/>
        <v>0</v>
      </c>
      <c r="BF66">
        <f t="shared" si="136"/>
        <v>0</v>
      </c>
      <c r="BI66">
        <f t="shared" si="148"/>
        <v>0</v>
      </c>
      <c r="BJ66">
        <f t="shared" si="150"/>
        <v>0</v>
      </c>
      <c r="BK66">
        <f t="shared" si="151"/>
        <v>0</v>
      </c>
      <c r="BL66">
        <f t="shared" si="152"/>
        <v>0</v>
      </c>
      <c r="BM66">
        <f t="shared" si="145"/>
        <v>0</v>
      </c>
      <c r="BO66">
        <f t="shared" si="153"/>
        <v>0</v>
      </c>
      <c r="BP66">
        <f t="shared" si="154"/>
        <v>0</v>
      </c>
      <c r="BR66">
        <f t="shared" si="155"/>
        <v>0</v>
      </c>
      <c r="BS66">
        <f t="shared" si="156"/>
        <v>0</v>
      </c>
      <c r="BT66">
        <f t="shared" si="149"/>
        <v>0</v>
      </c>
      <c r="BV66">
        <f t="shared" si="107"/>
        <v>0</v>
      </c>
      <c r="BX66">
        <f t="shared" si="108"/>
        <v>0</v>
      </c>
      <c r="BY66">
        <f t="shared" si="109"/>
        <v>0</v>
      </c>
      <c r="BZ66">
        <f t="shared" si="110"/>
        <v>0</v>
      </c>
      <c r="CA66">
        <f t="shared" si="111"/>
        <v>0</v>
      </c>
      <c r="CB66">
        <f t="shared" si="112"/>
        <v>0</v>
      </c>
      <c r="CG66">
        <f t="shared" si="41"/>
        <v>2009</v>
      </c>
      <c r="CH66">
        <f t="shared" si="41"/>
        <v>2010</v>
      </c>
      <c r="CJ66">
        <f t="shared" si="42"/>
        <v>0</v>
      </c>
      <c r="CK66">
        <f t="shared" si="158"/>
        <v>0</v>
      </c>
      <c r="CL66">
        <f t="shared" si="43"/>
        <v>0</v>
      </c>
      <c r="CN66">
        <f t="shared" si="44"/>
        <v>0</v>
      </c>
      <c r="CS66">
        <f t="shared" si="45"/>
        <v>356</v>
      </c>
      <c r="CT66">
        <f t="shared" si="113"/>
        <v>3535</v>
      </c>
      <c r="CV66" s="112">
        <f t="shared" si="46"/>
        <v>40421</v>
      </c>
      <c r="CX66" s="112">
        <f t="shared" si="47"/>
        <v>100000</v>
      </c>
      <c r="CY66" s="112">
        <f t="shared" si="114"/>
        <v>40171</v>
      </c>
      <c r="CZ66" s="112">
        <f t="shared" si="115"/>
        <v>100000</v>
      </c>
      <c r="DA66" s="112">
        <f t="shared" si="116"/>
        <v>100000</v>
      </c>
      <c r="DB66" s="112">
        <f t="shared" si="117"/>
        <v>100000</v>
      </c>
      <c r="DC66" s="112">
        <f t="shared" si="118"/>
        <v>100000</v>
      </c>
      <c r="DU66" s="112"/>
      <c r="DV66" s="112"/>
      <c r="DW66" s="277">
        <v>43191</v>
      </c>
      <c r="DX66" s="276"/>
      <c r="DY66" s="276"/>
      <c r="DZ66" s="276"/>
      <c r="EF66" s="260" t="str">
        <f t="shared" si="160"/>
        <v/>
      </c>
      <c r="EK66" s="254"/>
      <c r="EL66">
        <f t="shared" si="163"/>
        <v>27</v>
      </c>
      <c r="EM66" s="260" t="e">
        <f t="shared" ca="1" si="121"/>
        <v>#NUM!</v>
      </c>
      <c r="EN66" s="112" t="e">
        <f t="shared" ca="1" si="56"/>
        <v>#NUM!</v>
      </c>
      <c r="EO66" s="112">
        <f t="shared" ca="1" si="57"/>
        <v>100000</v>
      </c>
      <c r="EP66" s="112">
        <f t="shared" ca="1" si="122"/>
        <v>100000</v>
      </c>
      <c r="EQ66" s="273">
        <f t="shared" ca="1" si="137"/>
        <v>100000</v>
      </c>
      <c r="ER66" s="302">
        <f t="shared" ca="1" si="58"/>
        <v>100000</v>
      </c>
      <c r="EU66">
        <f t="shared" ca="1" si="159"/>
        <v>28</v>
      </c>
      <c r="EV66" s="260">
        <f t="shared" ca="1" si="123"/>
        <v>100000</v>
      </c>
      <c r="EW66" t="str">
        <f t="shared" ca="1" si="59"/>
        <v>28-34 anni</v>
      </c>
      <c r="EX66">
        <f t="shared" ca="1" si="19"/>
        <v>1</v>
      </c>
      <c r="EY66" s="238">
        <f t="shared" ca="1" si="20"/>
        <v>260</v>
      </c>
      <c r="EZ66" t="str">
        <f t="shared" ca="1" si="60"/>
        <v>28-34 anni</v>
      </c>
      <c r="FB66">
        <f t="shared" ca="1" si="61"/>
        <v>27377.74</v>
      </c>
      <c r="FC66">
        <f t="shared" ca="1" si="164"/>
        <v>0</v>
      </c>
      <c r="FD66">
        <f t="shared" ca="1" si="164"/>
        <v>0</v>
      </c>
      <c r="FE66">
        <f t="shared" ca="1" si="164"/>
        <v>6459.63</v>
      </c>
      <c r="FF66">
        <f t="shared" ca="1" si="164"/>
        <v>169.19</v>
      </c>
      <c r="FL66">
        <f t="shared" ca="1" si="62"/>
        <v>0</v>
      </c>
      <c r="FM66">
        <f t="shared" ca="1" si="22"/>
        <v>3458.4</v>
      </c>
      <c r="FR66" s="254" t="str">
        <f t="shared" ca="1" si="124"/>
        <v>28-34 anni</v>
      </c>
      <c r="FS66">
        <f t="shared" si="125"/>
        <v>66</v>
      </c>
      <c r="FT66" t="str">
        <f t="shared" ca="1" si="165"/>
        <v>ez66</v>
      </c>
      <c r="FU66" t="str">
        <f t="shared" ca="1" si="165"/>
        <v>EV66</v>
      </c>
      <c r="FV66" t="str">
        <f t="shared" ca="1" si="165"/>
        <v>FB66</v>
      </c>
      <c r="FW66" t="str">
        <f t="shared" ca="1" si="165"/>
        <v>FC66</v>
      </c>
      <c r="FX66" t="str">
        <f t="shared" ca="1" si="165"/>
        <v>FD66</v>
      </c>
      <c r="FY66" t="str">
        <f t="shared" ca="1" si="165"/>
        <v>FE66</v>
      </c>
      <c r="FZ66" t="str">
        <f t="shared" ca="1" si="165"/>
        <v>FF66</v>
      </c>
      <c r="GA66" t="str">
        <f t="shared" ca="1" si="165"/>
        <v>FL66</v>
      </c>
      <c r="GB66" t="str">
        <f t="shared" ca="1" si="165"/>
        <v>FM66</v>
      </c>
      <c r="GC66" t="str">
        <f t="shared" ca="1" si="63"/>
        <v/>
      </c>
      <c r="GD66" t="str">
        <f t="shared" ca="1" si="165"/>
        <v/>
      </c>
      <c r="GE66">
        <f t="shared" ca="1" si="126"/>
        <v>0</v>
      </c>
      <c r="GF66" s="112">
        <f t="shared" ca="1" si="64"/>
        <v>100000</v>
      </c>
      <c r="GG66" s="238" t="str">
        <f t="shared" ca="1" si="65"/>
        <v>28-34 anni</v>
      </c>
      <c r="GH66" s="262">
        <f t="shared" ca="1" si="66"/>
        <v>27377.74</v>
      </c>
      <c r="GI66" s="262">
        <f t="shared" ca="1" si="67"/>
        <v>0</v>
      </c>
      <c r="GJ66" s="262">
        <f t="shared" ca="1" si="68"/>
        <v>0</v>
      </c>
      <c r="GK66" s="262">
        <f t="shared" ca="1" si="69"/>
        <v>6459.63</v>
      </c>
      <c r="GL66" s="262">
        <f t="shared" ca="1" si="70"/>
        <v>169.19</v>
      </c>
      <c r="GM66" s="262">
        <f t="shared" ca="1" si="71"/>
        <v>0</v>
      </c>
      <c r="GN66" s="262">
        <f t="shared" ca="1" si="72"/>
        <v>3458.4</v>
      </c>
      <c r="GO66" s="262">
        <f t="shared" ca="1" si="73"/>
        <v>0</v>
      </c>
      <c r="GP66" s="262">
        <f t="shared" ca="1" si="74"/>
        <v>0</v>
      </c>
      <c r="GR66" s="262">
        <f t="shared" ca="1" si="76"/>
        <v>33837.370000000003</v>
      </c>
      <c r="GS66" s="262">
        <f t="shared" ca="1" si="25"/>
        <v>37464.960000000006</v>
      </c>
      <c r="GT66" s="253" t="str">
        <f t="shared" ca="1" si="77"/>
        <v/>
      </c>
      <c r="GU66" t="str">
        <f t="shared" ca="1" si="78"/>
        <v/>
      </c>
      <c r="GV66" t="str">
        <f t="shared" ca="1" si="79"/>
        <v/>
      </c>
      <c r="GW66" t="str">
        <f t="shared" ca="1" si="138"/>
        <v xml:space="preserve">
</v>
      </c>
      <c r="GX66" t="str">
        <f t="shared" ca="1" si="166"/>
        <v/>
      </c>
      <c r="GY66" t="str">
        <f t="shared" ca="1" si="166"/>
        <v/>
      </c>
      <c r="GZ66" t="str">
        <f t="shared" ca="1" si="157"/>
        <v/>
      </c>
      <c r="HA66" t="str">
        <f t="shared" ca="1" si="166"/>
        <v xml:space="preserve">  Indennita di Vacanza contr.le - annuo lordo euro: 169,19
</v>
      </c>
      <c r="HB66" t="str">
        <f t="shared" ca="1" si="166"/>
        <v/>
      </c>
      <c r="HC66" t="str">
        <f t="shared" ca="1" si="166"/>
        <v xml:space="preserve">rpd/cia - annuo lordo euro: 3458,4
</v>
      </c>
      <c r="HD66" t="str">
        <f t="shared" ca="1" si="80"/>
        <v/>
      </c>
      <c r="HE66" s="254" t="str">
        <f t="shared" ca="1" si="166"/>
        <v/>
      </c>
      <c r="HF66" s="254" t="str">
        <f t="shared" ca="1" si="81"/>
        <v xml:space="preserve">TOTALE ANNUO LORDO EURO 37464,96
</v>
      </c>
      <c r="HL66" t="str">
        <f t="shared" ca="1" si="82"/>
        <v xml:space="preserve"> C.C.N.L. DEL 06/12/2022 -</v>
      </c>
      <c r="HM66" s="263" t="str">
        <f t="shared" ca="1" si="83"/>
        <v xml:space="preserve"> C.C.N.L. DEL 06/12/2022 -
  Indennita di Vacanza contr.le - annuo lordo euro: 169,19
rpd/cia - annuo lordo euro: 3458,4
TOTALE ANNUO LORDO EURO 37464,96
Altri assegni previsti per legge</v>
      </c>
      <c r="HO66" s="272" t="str">
        <f t="shared" ca="1" si="28"/>
        <v/>
      </c>
      <c r="HP66">
        <f t="shared" ca="1" si="84"/>
        <v>0</v>
      </c>
      <c r="HQ66" t="str">
        <f t="shared" ca="1" si="85"/>
        <v/>
      </c>
      <c r="HR66" t="str">
        <f t="shared" ca="1" si="169"/>
        <v/>
      </c>
      <c r="HS66" t="str">
        <f t="shared" ca="1" si="170"/>
        <v/>
      </c>
      <c r="HX66" s="253" t="s">
        <v>187</v>
      </c>
      <c r="HY66" s="112" t="str">
        <f t="shared" si="88"/>
        <v>10/9/2009</v>
      </c>
      <c r="HZ66" t="s">
        <v>188</v>
      </c>
      <c r="IA66" s="112" t="str">
        <f t="shared" si="89"/>
        <v>31/8/2010</v>
      </c>
      <c r="IB66" t="s">
        <v>189</v>
      </c>
      <c r="IC66">
        <f t="shared" si="90"/>
        <v>0</v>
      </c>
      <c r="ID66" t="s">
        <v>192</v>
      </c>
      <c r="IE66">
        <f t="shared" si="91"/>
        <v>11</v>
      </c>
      <c r="IF66" t="s">
        <v>191</v>
      </c>
      <c r="IG66" s="254">
        <f t="shared" si="92"/>
        <v>26</v>
      </c>
      <c r="IL66" t="str">
        <f t="shared" si="93"/>
        <v xml:space="preserve">DAL: 10/9/2009 - AL:31/8/2010 - ANNI:0 - MESI:11 -GIORNI:26
</v>
      </c>
      <c r="KD66">
        <v>0</v>
      </c>
      <c r="KE66" s="260">
        <f t="shared" ca="1" si="94"/>
        <v>100000</v>
      </c>
      <c r="KF66" t="str">
        <f t="shared" si="95"/>
        <v>0-2 anni</v>
      </c>
      <c r="KG66">
        <f t="shared" si="29"/>
        <v>6</v>
      </c>
      <c r="KH66" s="238">
        <f t="shared" ca="1" si="30"/>
        <v>255</v>
      </c>
      <c r="KK66">
        <f t="shared" ca="1" si="96"/>
        <v>16218.89</v>
      </c>
      <c r="KL66">
        <f t="shared" ca="1" si="167"/>
        <v>0</v>
      </c>
      <c r="KM66">
        <f t="shared" ca="1" si="167"/>
        <v>0</v>
      </c>
      <c r="KN66">
        <f t="shared" ca="1" si="167"/>
        <v>6459.63</v>
      </c>
      <c r="KO66">
        <f t="shared" ca="1" si="167"/>
        <v>169.19</v>
      </c>
      <c r="KV66">
        <f t="shared" ca="1" si="32"/>
        <v>3458.4</v>
      </c>
      <c r="LA66" s="254" t="str">
        <f t="shared" si="97"/>
        <v>0-2 anni</v>
      </c>
      <c r="LB66" s="112">
        <f t="shared" si="33"/>
        <v>40066</v>
      </c>
      <c r="LC66" s="112">
        <f t="shared" si="34"/>
        <v>40421</v>
      </c>
      <c r="LD66">
        <f t="shared" ca="1" si="98"/>
        <v>26306.11</v>
      </c>
      <c r="LE66" s="262">
        <f t="shared" ca="1" si="99"/>
        <v>37464.960000000006</v>
      </c>
      <c r="LF66">
        <f t="shared" si="100"/>
        <v>356</v>
      </c>
      <c r="LG66">
        <f t="shared" ca="1" si="101"/>
        <v>10883.7</v>
      </c>
    </row>
    <row r="67" spans="1:319" ht="90" x14ac:dyDescent="0.25">
      <c r="A67" s="112">
        <f t="shared" si="139"/>
        <v>40422</v>
      </c>
      <c r="B67" s="112">
        <f t="shared" si="35"/>
        <v>40544</v>
      </c>
      <c r="E67" s="240">
        <f>Foglio3!F47</f>
        <v>40430</v>
      </c>
      <c r="F67" s="240">
        <f>Foglio3!G47</f>
        <v>40739</v>
      </c>
      <c r="G67" s="244"/>
      <c r="H67" s="245">
        <f t="shared" si="36"/>
        <v>40430</v>
      </c>
      <c r="I67" s="245">
        <f t="shared" si="15"/>
        <v>40739</v>
      </c>
      <c r="J67" s="244"/>
      <c r="K67" s="244"/>
      <c r="Q67">
        <f t="shared" si="16"/>
        <v>310</v>
      </c>
      <c r="R67">
        <f t="shared" si="140"/>
        <v>310</v>
      </c>
      <c r="S67">
        <f t="shared" si="37"/>
        <v>0</v>
      </c>
      <c r="T67">
        <f t="shared" si="128"/>
        <v>10</v>
      </c>
      <c r="U67">
        <f t="shared" si="129"/>
        <v>10</v>
      </c>
      <c r="W67">
        <f t="shared" si="168"/>
        <v>0</v>
      </c>
      <c r="X67">
        <f t="shared" si="168"/>
        <v>119</v>
      </c>
      <c r="Y67">
        <f t="shared" si="168"/>
        <v>275</v>
      </c>
      <c r="AA67" s="112">
        <f t="shared" si="102"/>
        <v>40430</v>
      </c>
      <c r="AB67" s="112">
        <f t="shared" si="103"/>
        <v>40739</v>
      </c>
      <c r="AG67">
        <f t="shared" si="38"/>
        <v>1</v>
      </c>
      <c r="AH67" s="112">
        <f t="shared" si="39"/>
        <v>40430</v>
      </c>
      <c r="AI67" s="112">
        <f t="shared" si="39"/>
        <v>40739</v>
      </c>
      <c r="AJ67">
        <f t="shared" si="40"/>
        <v>1</v>
      </c>
      <c r="AK67">
        <f t="shared" si="104"/>
        <v>0</v>
      </c>
      <c r="AL67">
        <f t="shared" si="131"/>
        <v>0</v>
      </c>
      <c r="AN67">
        <f t="shared" si="132"/>
        <v>0</v>
      </c>
      <c r="AO67">
        <f t="shared" si="133"/>
        <v>0</v>
      </c>
      <c r="AP67">
        <f t="shared" si="105"/>
        <v>0</v>
      </c>
      <c r="AS67">
        <f t="shared" si="141"/>
        <v>0</v>
      </c>
      <c r="AT67">
        <f t="shared" si="142"/>
        <v>0</v>
      </c>
      <c r="AV67">
        <f t="shared" si="143"/>
        <v>0</v>
      </c>
      <c r="AW67">
        <f t="shared" si="144"/>
        <v>0</v>
      </c>
      <c r="AX67">
        <f t="shared" si="106"/>
        <v>0</v>
      </c>
      <c r="BA67">
        <f t="shared" si="161"/>
        <v>0</v>
      </c>
      <c r="BB67">
        <f t="shared" si="162"/>
        <v>0</v>
      </c>
      <c r="BD67">
        <f t="shared" si="146"/>
        <v>0</v>
      </c>
      <c r="BE67">
        <f t="shared" si="147"/>
        <v>0</v>
      </c>
      <c r="BF67">
        <f t="shared" si="136"/>
        <v>0</v>
      </c>
      <c r="BI67">
        <f t="shared" si="148"/>
        <v>0</v>
      </c>
      <c r="BJ67">
        <f t="shared" si="150"/>
        <v>0</v>
      </c>
      <c r="BK67">
        <f t="shared" si="151"/>
        <v>0</v>
      </c>
      <c r="BL67">
        <f t="shared" si="152"/>
        <v>0</v>
      </c>
      <c r="BM67">
        <f t="shared" si="145"/>
        <v>0</v>
      </c>
      <c r="BO67">
        <f t="shared" si="153"/>
        <v>0</v>
      </c>
      <c r="BP67">
        <f t="shared" si="154"/>
        <v>0</v>
      </c>
      <c r="BR67">
        <f t="shared" si="155"/>
        <v>0</v>
      </c>
      <c r="BS67">
        <f t="shared" si="156"/>
        <v>0</v>
      </c>
      <c r="BT67">
        <f t="shared" si="149"/>
        <v>0</v>
      </c>
      <c r="BV67">
        <f t="shared" si="107"/>
        <v>0</v>
      </c>
      <c r="BX67">
        <f t="shared" si="108"/>
        <v>0</v>
      </c>
      <c r="BY67">
        <f t="shared" si="109"/>
        <v>0</v>
      </c>
      <c r="BZ67">
        <f t="shared" si="110"/>
        <v>0</v>
      </c>
      <c r="CA67">
        <f t="shared" si="111"/>
        <v>0</v>
      </c>
      <c r="CB67">
        <f t="shared" si="112"/>
        <v>0</v>
      </c>
      <c r="CG67">
        <f t="shared" si="41"/>
        <v>2010</v>
      </c>
      <c r="CH67">
        <f t="shared" si="41"/>
        <v>2011</v>
      </c>
      <c r="CJ67">
        <f t="shared" si="42"/>
        <v>0</v>
      </c>
      <c r="CK67">
        <f t="shared" si="158"/>
        <v>0</v>
      </c>
      <c r="CL67">
        <f t="shared" si="43"/>
        <v>0</v>
      </c>
      <c r="CN67">
        <f t="shared" si="44"/>
        <v>0</v>
      </c>
      <c r="CS67">
        <f t="shared" si="45"/>
        <v>310</v>
      </c>
      <c r="CT67">
        <f t="shared" si="113"/>
        <v>3845</v>
      </c>
      <c r="CV67" s="112">
        <f t="shared" si="46"/>
        <v>40739</v>
      </c>
      <c r="CX67" s="112">
        <f t="shared" si="47"/>
        <v>100000</v>
      </c>
      <c r="CY67" s="112">
        <f t="shared" si="114"/>
        <v>100000</v>
      </c>
      <c r="CZ67" s="112">
        <f t="shared" si="115"/>
        <v>100000</v>
      </c>
      <c r="DA67" s="112">
        <f t="shared" si="116"/>
        <v>100000</v>
      </c>
      <c r="DB67" s="112">
        <f t="shared" si="117"/>
        <v>100000</v>
      </c>
      <c r="DC67" s="112">
        <f t="shared" si="118"/>
        <v>100000</v>
      </c>
      <c r="DU67" s="112"/>
      <c r="DV67" s="112"/>
      <c r="DW67" s="277">
        <v>43466</v>
      </c>
      <c r="DX67" s="276"/>
      <c r="DY67" s="276"/>
      <c r="DZ67" s="276"/>
      <c r="EF67" s="260" t="str">
        <f t="shared" si="160"/>
        <v/>
      </c>
      <c r="EK67" s="254"/>
      <c r="EL67">
        <f t="shared" si="163"/>
        <v>28</v>
      </c>
      <c r="EM67" s="260" t="e">
        <f t="shared" ca="1" si="121"/>
        <v>#NUM!</v>
      </c>
      <c r="EN67" s="112" t="e">
        <f t="shared" ca="1" si="56"/>
        <v>#NUM!</v>
      </c>
      <c r="EO67" s="112">
        <f t="shared" ca="1" si="57"/>
        <v>100000</v>
      </c>
      <c r="EP67" s="112">
        <f t="shared" ca="1" si="122"/>
        <v>100000</v>
      </c>
      <c r="EQ67" s="273">
        <f t="shared" ca="1" si="137"/>
        <v>100000</v>
      </c>
      <c r="ER67" s="302">
        <f t="shared" ca="1" si="58"/>
        <v>100000</v>
      </c>
      <c r="EU67">
        <f t="shared" ca="1" si="159"/>
        <v>28</v>
      </c>
      <c r="EV67" s="260">
        <f t="shared" ca="1" si="123"/>
        <v>100000</v>
      </c>
      <c r="EW67" t="str">
        <f t="shared" ca="1" si="59"/>
        <v>28-34 anni</v>
      </c>
      <c r="EX67">
        <f t="shared" ca="1" si="19"/>
        <v>1</v>
      </c>
      <c r="EY67" s="238">
        <f t="shared" ca="1" si="20"/>
        <v>260</v>
      </c>
      <c r="EZ67" t="str">
        <f t="shared" ca="1" si="60"/>
        <v>28-34 anni</v>
      </c>
      <c r="FB67">
        <f t="shared" ca="1" si="61"/>
        <v>27377.74</v>
      </c>
      <c r="FC67">
        <f t="shared" ca="1" si="164"/>
        <v>0</v>
      </c>
      <c r="FD67">
        <f t="shared" ca="1" si="164"/>
        <v>0</v>
      </c>
      <c r="FE67">
        <f t="shared" ca="1" si="164"/>
        <v>6459.63</v>
      </c>
      <c r="FF67">
        <f t="shared" ca="1" si="164"/>
        <v>169.19</v>
      </c>
      <c r="FL67">
        <f t="shared" ca="1" si="62"/>
        <v>0</v>
      </c>
      <c r="FM67">
        <f t="shared" ca="1" si="22"/>
        <v>3458.4</v>
      </c>
      <c r="FR67" s="254" t="str">
        <f t="shared" ca="1" si="124"/>
        <v>28-34 anni</v>
      </c>
      <c r="FS67">
        <f t="shared" si="125"/>
        <v>67</v>
      </c>
      <c r="FT67" t="str">
        <f t="shared" ca="1" si="165"/>
        <v>ez67</v>
      </c>
      <c r="FU67" t="str">
        <f t="shared" ca="1" si="165"/>
        <v>EV67</v>
      </c>
      <c r="FV67" t="str">
        <f t="shared" ca="1" si="165"/>
        <v>FB67</v>
      </c>
      <c r="FW67" t="str">
        <f t="shared" ca="1" si="165"/>
        <v>FC67</v>
      </c>
      <c r="FX67" t="str">
        <f t="shared" ca="1" si="165"/>
        <v>FD67</v>
      </c>
      <c r="FY67" t="str">
        <f t="shared" ca="1" si="165"/>
        <v>FE67</v>
      </c>
      <c r="FZ67" t="str">
        <f t="shared" ca="1" si="165"/>
        <v>FF67</v>
      </c>
      <c r="GA67" t="str">
        <f t="shared" ca="1" si="165"/>
        <v>FL67</v>
      </c>
      <c r="GB67" t="str">
        <f t="shared" ca="1" si="165"/>
        <v>FM67</v>
      </c>
      <c r="GC67" t="str">
        <f t="shared" ca="1" si="63"/>
        <v/>
      </c>
      <c r="GD67" t="str">
        <f t="shared" ca="1" si="165"/>
        <v/>
      </c>
      <c r="GE67">
        <f t="shared" ca="1" si="126"/>
        <v>0</v>
      </c>
      <c r="GF67" s="112">
        <f t="shared" ca="1" si="64"/>
        <v>100000</v>
      </c>
      <c r="GG67" s="238" t="str">
        <f t="shared" ca="1" si="65"/>
        <v>28-34 anni</v>
      </c>
      <c r="GH67" s="262">
        <f t="shared" ca="1" si="66"/>
        <v>27377.74</v>
      </c>
      <c r="GI67" s="262">
        <f t="shared" ca="1" si="67"/>
        <v>0</v>
      </c>
      <c r="GJ67" s="262">
        <f t="shared" ca="1" si="68"/>
        <v>0</v>
      </c>
      <c r="GK67" s="262">
        <f t="shared" ca="1" si="69"/>
        <v>6459.63</v>
      </c>
      <c r="GL67" s="262">
        <f t="shared" ca="1" si="70"/>
        <v>169.19</v>
      </c>
      <c r="GM67" s="262">
        <f t="shared" ca="1" si="71"/>
        <v>0</v>
      </c>
      <c r="GN67" s="262">
        <f t="shared" ca="1" si="72"/>
        <v>3458.4</v>
      </c>
      <c r="GO67" s="262">
        <f t="shared" ca="1" si="73"/>
        <v>0</v>
      </c>
      <c r="GP67" s="262">
        <f t="shared" ca="1" si="74"/>
        <v>0</v>
      </c>
      <c r="GR67" s="262">
        <f t="shared" ca="1" si="76"/>
        <v>33837.370000000003</v>
      </c>
      <c r="GS67" s="262">
        <f t="shared" ca="1" si="25"/>
        <v>37464.960000000006</v>
      </c>
      <c r="GT67" s="253" t="str">
        <f t="shared" ca="1" si="77"/>
        <v/>
      </c>
      <c r="GU67" t="str">
        <f t="shared" ca="1" si="78"/>
        <v/>
      </c>
      <c r="GV67" t="str">
        <f t="shared" ca="1" si="79"/>
        <v/>
      </c>
      <c r="GW67" t="str">
        <f t="shared" ca="1" si="138"/>
        <v xml:space="preserve">
</v>
      </c>
      <c r="GX67" t="str">
        <f t="shared" ca="1" si="166"/>
        <v/>
      </c>
      <c r="GY67" t="str">
        <f t="shared" ca="1" si="166"/>
        <v/>
      </c>
      <c r="GZ67" t="str">
        <f t="shared" ca="1" si="157"/>
        <v/>
      </c>
      <c r="HA67" t="str">
        <f t="shared" ca="1" si="166"/>
        <v xml:space="preserve">  Indennita di Vacanza contr.le - annuo lordo euro: 169,19
</v>
      </c>
      <c r="HB67" t="str">
        <f t="shared" ca="1" si="166"/>
        <v/>
      </c>
      <c r="HC67" t="str">
        <f t="shared" ca="1" si="166"/>
        <v xml:space="preserve">rpd/cia - annuo lordo euro: 3458,4
</v>
      </c>
      <c r="HD67" t="str">
        <f t="shared" ca="1" si="80"/>
        <v/>
      </c>
      <c r="HE67" s="254" t="str">
        <f t="shared" ca="1" si="166"/>
        <v/>
      </c>
      <c r="HF67" s="254" t="str">
        <f t="shared" ca="1" si="81"/>
        <v xml:space="preserve">TOTALE ANNUO LORDO EURO 37464,96
</v>
      </c>
      <c r="HL67" t="str">
        <f t="shared" ca="1" si="82"/>
        <v xml:space="preserve"> C.C.N.L. DEL 06/12/2022 -</v>
      </c>
      <c r="HM67" s="263" t="str">
        <f t="shared" ca="1" si="83"/>
        <v xml:space="preserve"> C.C.N.L. DEL 06/12/2022 -
  Indennita di Vacanza contr.le - annuo lordo euro: 169,19
rpd/cia - annuo lordo euro: 3458,4
TOTALE ANNUO LORDO EURO 37464,96
Altri assegni previsti per legge</v>
      </c>
      <c r="HO67" s="272" t="str">
        <f t="shared" ca="1" si="28"/>
        <v/>
      </c>
      <c r="HP67">
        <f t="shared" ca="1" si="84"/>
        <v>0</v>
      </c>
      <c r="HQ67" t="str">
        <f t="shared" ca="1" si="85"/>
        <v/>
      </c>
      <c r="HR67" t="str">
        <f t="shared" ca="1" si="169"/>
        <v/>
      </c>
      <c r="HS67" t="str">
        <f t="shared" ca="1" si="170"/>
        <v/>
      </c>
      <c r="HX67" s="253" t="s">
        <v>187</v>
      </c>
      <c r="HY67" s="112" t="str">
        <f t="shared" si="88"/>
        <v>9/9/2010</v>
      </c>
      <c r="HZ67" t="s">
        <v>188</v>
      </c>
      <c r="IA67" s="112" t="str">
        <f t="shared" si="89"/>
        <v>15/7/2011</v>
      </c>
      <c r="IB67" t="s">
        <v>189</v>
      </c>
      <c r="IC67">
        <f t="shared" si="90"/>
        <v>0</v>
      </c>
      <c r="ID67" t="s">
        <v>192</v>
      </c>
      <c r="IE67">
        <f t="shared" si="91"/>
        <v>10</v>
      </c>
      <c r="IF67" t="s">
        <v>191</v>
      </c>
      <c r="IG67" s="254">
        <f t="shared" si="92"/>
        <v>10</v>
      </c>
      <c r="IL67" t="str">
        <f t="shared" si="93"/>
        <v xml:space="preserve">DAL: 9/9/2010 - AL:15/7/2011 - ANNI:0 - MESI:10 -GIORNI:10
</v>
      </c>
      <c r="KD67">
        <v>0</v>
      </c>
      <c r="KE67" s="260">
        <f t="shared" ca="1" si="94"/>
        <v>100000</v>
      </c>
      <c r="KF67" t="str">
        <f t="shared" si="95"/>
        <v>0-2 anni</v>
      </c>
      <c r="KG67">
        <f t="shared" si="29"/>
        <v>6</v>
      </c>
      <c r="KH67" s="238">
        <f t="shared" ca="1" si="30"/>
        <v>255</v>
      </c>
      <c r="KK67">
        <f t="shared" ca="1" si="96"/>
        <v>16218.89</v>
      </c>
      <c r="KL67">
        <f t="shared" ca="1" si="167"/>
        <v>0</v>
      </c>
      <c r="KM67">
        <f t="shared" ca="1" si="167"/>
        <v>0</v>
      </c>
      <c r="KN67">
        <f t="shared" ca="1" si="167"/>
        <v>6459.63</v>
      </c>
      <c r="KO67">
        <f t="shared" ca="1" si="167"/>
        <v>169.19</v>
      </c>
      <c r="KV67">
        <f t="shared" ca="1" si="32"/>
        <v>3458.4</v>
      </c>
      <c r="LA67" s="254" t="str">
        <f t="shared" si="97"/>
        <v>0-2 anni</v>
      </c>
      <c r="LB67" s="112">
        <f t="shared" si="33"/>
        <v>40430</v>
      </c>
      <c r="LC67" s="112">
        <f t="shared" si="34"/>
        <v>40739</v>
      </c>
      <c r="LD67">
        <f t="shared" ca="1" si="98"/>
        <v>26306.11</v>
      </c>
      <c r="LE67" s="262">
        <f t="shared" ca="1" si="99"/>
        <v>37464.960000000006</v>
      </c>
      <c r="LF67">
        <f t="shared" si="100"/>
        <v>310</v>
      </c>
      <c r="LG67">
        <f t="shared" ca="1" si="101"/>
        <v>9477.3799999999992</v>
      </c>
    </row>
    <row r="68" spans="1:319" ht="90" x14ac:dyDescent="0.25">
      <c r="A68" s="112">
        <f t="shared" si="139"/>
        <v>40422</v>
      </c>
      <c r="B68" s="112">
        <f t="shared" si="35"/>
        <v>40544</v>
      </c>
      <c r="E68" s="240">
        <f>Foglio3!F48</f>
        <v>40431</v>
      </c>
      <c r="F68" s="240">
        <f>Foglio3!G48</f>
        <v>40739</v>
      </c>
      <c r="G68" s="244"/>
      <c r="H68" s="245">
        <f t="shared" si="36"/>
        <v>40431</v>
      </c>
      <c r="I68" s="245">
        <f t="shared" si="15"/>
        <v>40739</v>
      </c>
      <c r="J68" s="244"/>
      <c r="K68" s="244"/>
      <c r="Q68">
        <f t="shared" si="16"/>
        <v>309</v>
      </c>
      <c r="R68">
        <f t="shared" si="140"/>
        <v>0</v>
      </c>
      <c r="S68">
        <f t="shared" si="37"/>
        <v>0</v>
      </c>
      <c r="T68">
        <f t="shared" si="128"/>
        <v>0</v>
      </c>
      <c r="U68">
        <f t="shared" si="129"/>
        <v>0</v>
      </c>
      <c r="W68">
        <f t="shared" si="168"/>
        <v>0</v>
      </c>
      <c r="X68">
        <f t="shared" si="168"/>
        <v>119</v>
      </c>
      <c r="Y68">
        <f t="shared" si="168"/>
        <v>275</v>
      </c>
      <c r="AA68" s="112">
        <f t="shared" si="102"/>
        <v>40431</v>
      </c>
      <c r="AB68" s="112">
        <f t="shared" si="103"/>
        <v>40739</v>
      </c>
      <c r="AG68">
        <f t="shared" si="38"/>
        <v>1</v>
      </c>
      <c r="AH68" s="112">
        <f t="shared" si="39"/>
        <v>40431</v>
      </c>
      <c r="AI68" s="112">
        <f t="shared" si="39"/>
        <v>40739</v>
      </c>
      <c r="AJ68">
        <f t="shared" si="40"/>
        <v>1</v>
      </c>
      <c r="AK68">
        <f t="shared" si="104"/>
        <v>1</v>
      </c>
      <c r="AL68">
        <f t="shared" si="131"/>
        <v>0</v>
      </c>
      <c r="AN68">
        <f t="shared" si="132"/>
        <v>309</v>
      </c>
      <c r="AO68">
        <f t="shared" si="133"/>
        <v>0</v>
      </c>
      <c r="AP68">
        <f t="shared" si="105"/>
        <v>309</v>
      </c>
      <c r="AS68">
        <f t="shared" si="141"/>
        <v>0</v>
      </c>
      <c r="AT68">
        <f t="shared" si="142"/>
        <v>0</v>
      </c>
      <c r="AV68">
        <f t="shared" si="143"/>
        <v>0</v>
      </c>
      <c r="AW68">
        <f t="shared" si="144"/>
        <v>0</v>
      </c>
      <c r="AX68">
        <f t="shared" si="106"/>
        <v>0</v>
      </c>
      <c r="BA68">
        <f t="shared" si="161"/>
        <v>0</v>
      </c>
      <c r="BB68">
        <f t="shared" si="162"/>
        <v>0</v>
      </c>
      <c r="BD68">
        <f t="shared" si="146"/>
        <v>0</v>
      </c>
      <c r="BE68">
        <f t="shared" si="147"/>
        <v>0</v>
      </c>
      <c r="BF68">
        <f t="shared" si="136"/>
        <v>0</v>
      </c>
      <c r="BI68">
        <f t="shared" si="148"/>
        <v>0</v>
      </c>
      <c r="BJ68">
        <f t="shared" si="150"/>
        <v>0</v>
      </c>
      <c r="BK68">
        <f t="shared" si="151"/>
        <v>0</v>
      </c>
      <c r="BL68">
        <f t="shared" si="152"/>
        <v>0</v>
      </c>
      <c r="BM68">
        <f t="shared" si="145"/>
        <v>0</v>
      </c>
      <c r="BO68">
        <f t="shared" si="153"/>
        <v>0</v>
      </c>
      <c r="BP68">
        <f t="shared" si="154"/>
        <v>0</v>
      </c>
      <c r="BR68">
        <f t="shared" si="155"/>
        <v>0</v>
      </c>
      <c r="BS68">
        <f t="shared" si="156"/>
        <v>0</v>
      </c>
      <c r="BT68">
        <f t="shared" si="149"/>
        <v>0</v>
      </c>
      <c r="BV68">
        <f t="shared" si="107"/>
        <v>309</v>
      </c>
      <c r="BX68">
        <f t="shared" si="108"/>
        <v>309</v>
      </c>
      <c r="BY68">
        <f t="shared" si="109"/>
        <v>0</v>
      </c>
      <c r="BZ68">
        <f t="shared" si="110"/>
        <v>0</v>
      </c>
      <c r="CA68">
        <f t="shared" si="111"/>
        <v>0</v>
      </c>
      <c r="CB68">
        <f t="shared" si="112"/>
        <v>0</v>
      </c>
      <c r="CG68">
        <f t="shared" si="41"/>
        <v>2010</v>
      </c>
      <c r="CH68">
        <f t="shared" si="41"/>
        <v>2011</v>
      </c>
      <c r="CJ68">
        <f t="shared" si="42"/>
        <v>0</v>
      </c>
      <c r="CK68">
        <f t="shared" si="158"/>
        <v>0</v>
      </c>
      <c r="CL68">
        <f t="shared" si="43"/>
        <v>0</v>
      </c>
      <c r="CN68">
        <f t="shared" si="44"/>
        <v>0</v>
      </c>
      <c r="CS68">
        <f t="shared" si="45"/>
        <v>0</v>
      </c>
      <c r="CT68">
        <f t="shared" si="113"/>
        <v>3845</v>
      </c>
      <c r="CV68" s="112">
        <f t="shared" si="46"/>
        <v>40739</v>
      </c>
      <c r="CX68" s="112">
        <f t="shared" si="47"/>
        <v>100000</v>
      </c>
      <c r="CY68" s="112">
        <f t="shared" si="114"/>
        <v>100000</v>
      </c>
      <c r="CZ68" s="112">
        <f t="shared" si="115"/>
        <v>100000</v>
      </c>
      <c r="DA68" s="112">
        <f t="shared" si="116"/>
        <v>100000</v>
      </c>
      <c r="DB68" s="112">
        <f t="shared" si="117"/>
        <v>100000</v>
      </c>
      <c r="DC68" s="112">
        <f t="shared" si="118"/>
        <v>100000</v>
      </c>
      <c r="DU68" s="112"/>
      <c r="DV68" s="112"/>
      <c r="DW68" s="277">
        <v>43831</v>
      </c>
      <c r="DX68" s="276"/>
      <c r="DY68" s="276"/>
      <c r="DZ68" s="276"/>
      <c r="EF68" s="260" t="str">
        <f t="shared" si="160"/>
        <v/>
      </c>
      <c r="EK68" s="254"/>
      <c r="EL68">
        <f t="shared" si="163"/>
        <v>29</v>
      </c>
      <c r="EM68" s="260" t="e">
        <f t="shared" ca="1" si="121"/>
        <v>#NUM!</v>
      </c>
      <c r="EN68" s="112" t="e">
        <f t="shared" ca="1" si="56"/>
        <v>#NUM!</v>
      </c>
      <c r="EO68" s="112">
        <f t="shared" ca="1" si="57"/>
        <v>100000</v>
      </c>
      <c r="EP68" s="112">
        <f t="shared" ca="1" si="122"/>
        <v>100000</v>
      </c>
      <c r="EQ68" s="273">
        <f t="shared" ca="1" si="137"/>
        <v>100000</v>
      </c>
      <c r="ER68" s="302">
        <f t="shared" ca="1" si="58"/>
        <v>100000</v>
      </c>
      <c r="EU68">
        <f t="shared" ca="1" si="159"/>
        <v>28</v>
      </c>
      <c r="EV68" s="260">
        <f t="shared" ca="1" si="123"/>
        <v>100000</v>
      </c>
      <c r="EW68" t="str">
        <f t="shared" ca="1" si="59"/>
        <v>28-34 anni</v>
      </c>
      <c r="EX68">
        <f t="shared" ca="1" si="19"/>
        <v>1</v>
      </c>
      <c r="EY68" s="238">
        <f t="shared" ca="1" si="20"/>
        <v>260</v>
      </c>
      <c r="EZ68" t="str">
        <f t="shared" ca="1" si="60"/>
        <v>28-34 anni</v>
      </c>
      <c r="FB68">
        <f t="shared" ca="1" si="61"/>
        <v>27377.74</v>
      </c>
      <c r="FC68">
        <f t="shared" ca="1" si="164"/>
        <v>0</v>
      </c>
      <c r="FD68">
        <f t="shared" ca="1" si="164"/>
        <v>0</v>
      </c>
      <c r="FE68">
        <f t="shared" ca="1" si="164"/>
        <v>6459.63</v>
      </c>
      <c r="FF68">
        <f t="shared" ca="1" si="164"/>
        <v>169.19</v>
      </c>
      <c r="FL68">
        <f t="shared" ca="1" si="62"/>
        <v>0</v>
      </c>
      <c r="FM68">
        <f t="shared" ca="1" si="22"/>
        <v>3458.4</v>
      </c>
      <c r="FR68" s="254" t="str">
        <f t="shared" ca="1" si="124"/>
        <v>28-34 anni</v>
      </c>
      <c r="FS68">
        <f t="shared" si="125"/>
        <v>68</v>
      </c>
      <c r="FT68" t="str">
        <f t="shared" ca="1" si="165"/>
        <v>ez68</v>
      </c>
      <c r="FU68" t="str">
        <f t="shared" ca="1" si="165"/>
        <v>EV68</v>
      </c>
      <c r="FV68" t="str">
        <f t="shared" ca="1" si="165"/>
        <v>FB68</v>
      </c>
      <c r="FW68" t="str">
        <f t="shared" ca="1" si="165"/>
        <v>FC68</v>
      </c>
      <c r="FX68" t="str">
        <f t="shared" ca="1" si="165"/>
        <v>FD68</v>
      </c>
      <c r="FY68" t="str">
        <f t="shared" ca="1" si="165"/>
        <v>FE68</v>
      </c>
      <c r="FZ68" t="str">
        <f t="shared" ca="1" si="165"/>
        <v>FF68</v>
      </c>
      <c r="GA68" t="str">
        <f t="shared" ca="1" si="165"/>
        <v>FL68</v>
      </c>
      <c r="GB68" t="str">
        <f t="shared" ca="1" si="165"/>
        <v>FM68</v>
      </c>
      <c r="GC68" t="str">
        <f t="shared" ca="1" si="63"/>
        <v/>
      </c>
      <c r="GD68" t="str">
        <f t="shared" ca="1" si="165"/>
        <v/>
      </c>
      <c r="GE68">
        <f t="shared" ca="1" si="126"/>
        <v>0</v>
      </c>
      <c r="GF68" s="112">
        <f t="shared" ca="1" si="64"/>
        <v>100000</v>
      </c>
      <c r="GG68" s="238" t="str">
        <f t="shared" ca="1" si="65"/>
        <v>28-34 anni</v>
      </c>
      <c r="GH68" s="262">
        <f t="shared" ca="1" si="66"/>
        <v>27377.74</v>
      </c>
      <c r="GI68" s="262">
        <f t="shared" ca="1" si="67"/>
        <v>0</v>
      </c>
      <c r="GJ68" s="262">
        <f t="shared" ca="1" si="68"/>
        <v>0</v>
      </c>
      <c r="GK68" s="262">
        <f t="shared" ca="1" si="69"/>
        <v>6459.63</v>
      </c>
      <c r="GL68" s="262">
        <f t="shared" ca="1" si="70"/>
        <v>169.19</v>
      </c>
      <c r="GM68" s="262">
        <f t="shared" ca="1" si="71"/>
        <v>0</v>
      </c>
      <c r="GN68" s="262">
        <f t="shared" ca="1" si="72"/>
        <v>3458.4</v>
      </c>
      <c r="GO68" s="262">
        <f t="shared" ca="1" si="73"/>
        <v>0</v>
      </c>
      <c r="GP68" s="262">
        <f t="shared" ca="1" si="74"/>
        <v>0</v>
      </c>
      <c r="GR68" s="262">
        <f t="shared" ca="1" si="76"/>
        <v>33837.370000000003</v>
      </c>
      <c r="GS68" s="262">
        <f t="shared" ca="1" si="25"/>
        <v>37464.960000000006</v>
      </c>
      <c r="GT68" s="253" t="str">
        <f t="shared" ca="1" si="77"/>
        <v/>
      </c>
      <c r="GU68" t="str">
        <f t="shared" ca="1" si="78"/>
        <v/>
      </c>
      <c r="GV68" t="str">
        <f t="shared" ca="1" si="79"/>
        <v/>
      </c>
      <c r="GW68" t="str">
        <f t="shared" ca="1" si="138"/>
        <v xml:space="preserve">
</v>
      </c>
      <c r="GX68" t="str">
        <f t="shared" ca="1" si="166"/>
        <v/>
      </c>
      <c r="GY68" t="str">
        <f t="shared" ca="1" si="166"/>
        <v/>
      </c>
      <c r="GZ68" t="str">
        <f t="shared" ca="1" si="157"/>
        <v/>
      </c>
      <c r="HA68" t="str">
        <f t="shared" ca="1" si="166"/>
        <v xml:space="preserve">  Indennita di Vacanza contr.le - annuo lordo euro: 169,19
</v>
      </c>
      <c r="HB68" t="str">
        <f t="shared" ca="1" si="166"/>
        <v/>
      </c>
      <c r="HC68" t="str">
        <f t="shared" ca="1" si="166"/>
        <v xml:space="preserve">rpd/cia - annuo lordo euro: 3458,4
</v>
      </c>
      <c r="HD68" t="str">
        <f t="shared" ca="1" si="80"/>
        <v/>
      </c>
      <c r="HE68" s="254" t="str">
        <f t="shared" ca="1" si="166"/>
        <v/>
      </c>
      <c r="HF68" s="254" t="str">
        <f t="shared" ca="1" si="81"/>
        <v xml:space="preserve">TOTALE ANNUO LORDO EURO 37464,96
</v>
      </c>
      <c r="HL68" t="str">
        <f t="shared" ca="1" si="82"/>
        <v xml:space="preserve"> C.C.N.L. DEL 06/12/2022 -</v>
      </c>
      <c r="HM68" s="263" t="str">
        <f t="shared" ca="1" si="83"/>
        <v xml:space="preserve"> C.C.N.L. DEL 06/12/2022 -
  Indennita di Vacanza contr.le - annuo lordo euro: 169,19
rpd/cia - annuo lordo euro: 3458,4
TOTALE ANNUO LORDO EURO 37464,96
Altri assegni previsti per legge</v>
      </c>
      <c r="HO68" s="272" t="str">
        <f t="shared" ca="1" si="28"/>
        <v/>
      </c>
      <c r="HP68">
        <f t="shared" ca="1" si="84"/>
        <v>0</v>
      </c>
      <c r="HQ68" t="str">
        <f t="shared" ca="1" si="85"/>
        <v/>
      </c>
      <c r="HR68" t="str">
        <f t="shared" ca="1" si="169"/>
        <v/>
      </c>
      <c r="HS68" t="str">
        <f t="shared" ca="1" si="170"/>
        <v/>
      </c>
      <c r="HX68" s="253" t="s">
        <v>187</v>
      </c>
      <c r="HY68" s="112" t="str">
        <f t="shared" si="88"/>
        <v>10/9/2010</v>
      </c>
      <c r="HZ68" t="s">
        <v>188</v>
      </c>
      <c r="IA68" s="112" t="str">
        <f t="shared" si="89"/>
        <v>15/7/2011</v>
      </c>
      <c r="IB68" t="s">
        <v>189</v>
      </c>
      <c r="IC68">
        <f t="shared" si="90"/>
        <v>0</v>
      </c>
      <c r="ID68" t="s">
        <v>192</v>
      </c>
      <c r="IE68">
        <f t="shared" si="91"/>
        <v>0</v>
      </c>
      <c r="IF68" t="s">
        <v>191</v>
      </c>
      <c r="IG68" s="254">
        <f t="shared" si="92"/>
        <v>0</v>
      </c>
      <c r="IL68" t="str">
        <f t="shared" si="93"/>
        <v xml:space="preserve">DAL: 10/9/2010 - AL:15/7/2011 - ANNI:0 - MESI:0 -GIORNI:0
</v>
      </c>
      <c r="KD68">
        <v>0</v>
      </c>
      <c r="KE68" s="260">
        <f t="shared" ca="1" si="94"/>
        <v>100000</v>
      </c>
      <c r="KF68" t="str">
        <f t="shared" si="95"/>
        <v>0-2 anni</v>
      </c>
      <c r="KG68">
        <f t="shared" si="29"/>
        <v>6</v>
      </c>
      <c r="KH68" s="238">
        <f t="shared" ca="1" si="30"/>
        <v>255</v>
      </c>
      <c r="KK68">
        <f t="shared" ca="1" si="96"/>
        <v>16218.89</v>
      </c>
      <c r="KL68">
        <f t="shared" ca="1" si="167"/>
        <v>0</v>
      </c>
      <c r="KM68">
        <f t="shared" ca="1" si="167"/>
        <v>0</v>
      </c>
      <c r="KN68">
        <f t="shared" ca="1" si="167"/>
        <v>6459.63</v>
      </c>
      <c r="KO68">
        <f t="shared" ca="1" si="167"/>
        <v>169.19</v>
      </c>
      <c r="KV68">
        <f t="shared" ca="1" si="32"/>
        <v>3458.4</v>
      </c>
      <c r="LA68" s="254" t="str">
        <f t="shared" si="97"/>
        <v>0-2 anni</v>
      </c>
      <c r="LB68" s="112">
        <f t="shared" si="33"/>
        <v>40431</v>
      </c>
      <c r="LC68" s="112">
        <f t="shared" si="34"/>
        <v>40739</v>
      </c>
      <c r="LD68">
        <f t="shared" ca="1" si="98"/>
        <v>26306.11</v>
      </c>
      <c r="LE68" s="262">
        <f t="shared" ca="1" si="99"/>
        <v>37464.960000000006</v>
      </c>
      <c r="LF68">
        <f t="shared" si="100"/>
        <v>0</v>
      </c>
      <c r="LG68">
        <f t="shared" ca="1" si="101"/>
        <v>0</v>
      </c>
    </row>
    <row r="69" spans="1:319" ht="90" x14ac:dyDescent="0.25">
      <c r="A69" s="112">
        <f t="shared" si="139"/>
        <v>40422</v>
      </c>
      <c r="B69" s="112">
        <f t="shared" si="35"/>
        <v>40544</v>
      </c>
      <c r="E69" s="240">
        <f>Foglio3!F49</f>
        <v>40802</v>
      </c>
      <c r="F69" s="240">
        <f>Foglio3!G49</f>
        <v>41090</v>
      </c>
      <c r="G69" s="244"/>
      <c r="H69" s="245">
        <f t="shared" si="36"/>
        <v>40802</v>
      </c>
      <c r="I69" s="245">
        <f t="shared" si="15"/>
        <v>41090</v>
      </c>
      <c r="J69" s="244"/>
      <c r="K69" s="244"/>
      <c r="Q69">
        <f t="shared" si="16"/>
        <v>289</v>
      </c>
      <c r="R69">
        <f t="shared" si="140"/>
        <v>289</v>
      </c>
      <c r="S69">
        <f t="shared" si="37"/>
        <v>0</v>
      </c>
      <c r="T69">
        <f t="shared" si="128"/>
        <v>9</v>
      </c>
      <c r="U69">
        <f t="shared" si="129"/>
        <v>19</v>
      </c>
      <c r="W69">
        <f t="shared" si="168"/>
        <v>0</v>
      </c>
      <c r="X69">
        <f t="shared" si="168"/>
        <v>128</v>
      </c>
      <c r="Y69">
        <f t="shared" si="168"/>
        <v>294</v>
      </c>
      <c r="AA69" s="112">
        <f t="shared" si="102"/>
        <v>40802</v>
      </c>
      <c r="AB69" s="112">
        <f t="shared" si="103"/>
        <v>41090</v>
      </c>
      <c r="AG69">
        <f t="shared" si="38"/>
        <v>1</v>
      </c>
      <c r="AH69" s="112">
        <f t="shared" si="39"/>
        <v>40802</v>
      </c>
      <c r="AI69" s="112">
        <f t="shared" si="39"/>
        <v>41090</v>
      </c>
      <c r="AJ69">
        <f t="shared" si="40"/>
        <v>1</v>
      </c>
      <c r="AK69">
        <f t="shared" si="104"/>
        <v>0</v>
      </c>
      <c r="AL69">
        <f t="shared" si="131"/>
        <v>0</v>
      </c>
      <c r="AN69">
        <f t="shared" si="132"/>
        <v>0</v>
      </c>
      <c r="AO69">
        <f t="shared" si="133"/>
        <v>0</v>
      </c>
      <c r="AP69">
        <f t="shared" si="105"/>
        <v>0</v>
      </c>
      <c r="AS69">
        <f t="shared" si="141"/>
        <v>0</v>
      </c>
      <c r="AT69">
        <f t="shared" si="142"/>
        <v>0</v>
      </c>
      <c r="AV69">
        <f t="shared" si="143"/>
        <v>0</v>
      </c>
      <c r="AW69">
        <f t="shared" si="144"/>
        <v>0</v>
      </c>
      <c r="AX69">
        <f t="shared" si="106"/>
        <v>0</v>
      </c>
      <c r="BA69">
        <f t="shared" si="161"/>
        <v>0</v>
      </c>
      <c r="BB69">
        <f t="shared" si="162"/>
        <v>0</v>
      </c>
      <c r="BD69">
        <f t="shared" si="146"/>
        <v>0</v>
      </c>
      <c r="BE69">
        <f t="shared" si="147"/>
        <v>0</v>
      </c>
      <c r="BF69">
        <f t="shared" si="136"/>
        <v>0</v>
      </c>
      <c r="BI69">
        <f t="shared" si="148"/>
        <v>0</v>
      </c>
      <c r="BJ69">
        <f t="shared" si="150"/>
        <v>0</v>
      </c>
      <c r="BK69">
        <f t="shared" si="151"/>
        <v>0</v>
      </c>
      <c r="BL69">
        <f t="shared" si="152"/>
        <v>0</v>
      </c>
      <c r="BM69">
        <f t="shared" si="145"/>
        <v>0</v>
      </c>
      <c r="BO69">
        <f t="shared" si="153"/>
        <v>0</v>
      </c>
      <c r="BP69">
        <f t="shared" si="154"/>
        <v>0</v>
      </c>
      <c r="BR69">
        <f t="shared" si="155"/>
        <v>0</v>
      </c>
      <c r="BS69">
        <f t="shared" si="156"/>
        <v>0</v>
      </c>
      <c r="BT69">
        <f t="shared" si="149"/>
        <v>0</v>
      </c>
      <c r="BV69">
        <f t="shared" si="107"/>
        <v>0</v>
      </c>
      <c r="BX69">
        <f t="shared" si="108"/>
        <v>0</v>
      </c>
      <c r="BY69">
        <f t="shared" si="109"/>
        <v>0</v>
      </c>
      <c r="BZ69">
        <f t="shared" si="110"/>
        <v>0</v>
      </c>
      <c r="CA69">
        <f t="shared" si="111"/>
        <v>0</v>
      </c>
      <c r="CB69">
        <f t="shared" si="112"/>
        <v>0</v>
      </c>
      <c r="CG69">
        <f t="shared" si="41"/>
        <v>2011</v>
      </c>
      <c r="CH69">
        <f t="shared" si="41"/>
        <v>2012</v>
      </c>
      <c r="CJ69">
        <f t="shared" si="42"/>
        <v>0</v>
      </c>
      <c r="CK69">
        <f t="shared" si="158"/>
        <v>0</v>
      </c>
      <c r="CL69">
        <f t="shared" si="43"/>
        <v>0</v>
      </c>
      <c r="CN69">
        <f t="shared" si="44"/>
        <v>0</v>
      </c>
      <c r="CS69">
        <f t="shared" si="45"/>
        <v>289</v>
      </c>
      <c r="CT69">
        <f t="shared" si="113"/>
        <v>4134</v>
      </c>
      <c r="CV69" s="112">
        <f t="shared" si="46"/>
        <v>41090</v>
      </c>
      <c r="CX69" s="112">
        <f t="shared" si="47"/>
        <v>100000</v>
      </c>
      <c r="CY69" s="112">
        <f t="shared" si="114"/>
        <v>100000</v>
      </c>
      <c r="CZ69" s="112">
        <f t="shared" si="115"/>
        <v>100000</v>
      </c>
      <c r="DA69" s="112">
        <f t="shared" si="116"/>
        <v>100000</v>
      </c>
      <c r="DB69" s="112">
        <f t="shared" si="117"/>
        <v>100000</v>
      </c>
      <c r="DC69" s="112">
        <f t="shared" si="118"/>
        <v>100000</v>
      </c>
      <c r="DU69" s="112"/>
      <c r="DV69" s="112"/>
      <c r="DW69" s="277">
        <v>44197</v>
      </c>
      <c r="DX69" s="276"/>
      <c r="DY69" s="276"/>
      <c r="DZ69" s="276"/>
      <c r="EF69" s="260" t="str">
        <f t="shared" si="160"/>
        <v/>
      </c>
      <c r="EK69" s="254"/>
      <c r="EL69">
        <f t="shared" si="163"/>
        <v>30</v>
      </c>
      <c r="EM69" s="260" t="e">
        <f t="shared" ca="1" si="121"/>
        <v>#NUM!</v>
      </c>
      <c r="EN69" s="112" t="e">
        <f t="shared" ca="1" si="56"/>
        <v>#NUM!</v>
      </c>
      <c r="EO69" s="112">
        <f t="shared" ca="1" si="57"/>
        <v>100000</v>
      </c>
      <c r="EP69" s="112">
        <f t="shared" ca="1" si="122"/>
        <v>100000</v>
      </c>
      <c r="EQ69" s="273">
        <f t="shared" ca="1" si="137"/>
        <v>100000</v>
      </c>
      <c r="ER69" s="302">
        <f t="shared" ca="1" si="58"/>
        <v>100000</v>
      </c>
      <c r="EU69">
        <f t="shared" ca="1" si="159"/>
        <v>28</v>
      </c>
      <c r="EV69" s="260">
        <f t="shared" ca="1" si="123"/>
        <v>100000</v>
      </c>
      <c r="EW69" t="str">
        <f t="shared" ca="1" si="59"/>
        <v>28-34 anni</v>
      </c>
      <c r="EX69">
        <f t="shared" ca="1" si="19"/>
        <v>1</v>
      </c>
      <c r="EY69" s="238">
        <f t="shared" ca="1" si="20"/>
        <v>260</v>
      </c>
      <c r="EZ69" t="str">
        <f t="shared" ca="1" si="60"/>
        <v>28-34 anni</v>
      </c>
      <c r="FB69">
        <f t="shared" ca="1" si="61"/>
        <v>27377.74</v>
      </c>
      <c r="FC69">
        <f t="shared" ca="1" si="164"/>
        <v>0</v>
      </c>
      <c r="FD69">
        <f t="shared" ca="1" si="164"/>
        <v>0</v>
      </c>
      <c r="FE69">
        <f t="shared" ca="1" si="164"/>
        <v>6459.63</v>
      </c>
      <c r="FF69">
        <f t="shared" ca="1" si="164"/>
        <v>169.19</v>
      </c>
      <c r="FL69">
        <f t="shared" ca="1" si="62"/>
        <v>0</v>
      </c>
      <c r="FM69">
        <f t="shared" ca="1" si="22"/>
        <v>3458.4</v>
      </c>
      <c r="FR69" s="254" t="str">
        <f t="shared" ca="1" si="124"/>
        <v>28-34 anni</v>
      </c>
      <c r="FS69">
        <f t="shared" si="125"/>
        <v>69</v>
      </c>
      <c r="FT69" t="str">
        <f t="shared" ca="1" si="165"/>
        <v>ez69</v>
      </c>
      <c r="FU69" t="str">
        <f t="shared" ca="1" si="165"/>
        <v>EV69</v>
      </c>
      <c r="FV69" t="str">
        <f t="shared" ca="1" si="165"/>
        <v>FB69</v>
      </c>
      <c r="FW69" t="str">
        <f t="shared" ca="1" si="165"/>
        <v>FC69</v>
      </c>
      <c r="FX69" t="str">
        <f t="shared" ca="1" si="165"/>
        <v>FD69</v>
      </c>
      <c r="FY69" t="str">
        <f t="shared" ca="1" si="165"/>
        <v>FE69</v>
      </c>
      <c r="FZ69" t="str">
        <f t="shared" ca="1" si="165"/>
        <v>FF69</v>
      </c>
      <c r="GA69" t="str">
        <f t="shared" ca="1" si="165"/>
        <v>FL69</v>
      </c>
      <c r="GB69" t="str">
        <f t="shared" ca="1" si="165"/>
        <v>FM69</v>
      </c>
      <c r="GC69" t="str">
        <f t="shared" ca="1" si="63"/>
        <v/>
      </c>
      <c r="GD69" t="str">
        <f t="shared" ca="1" si="165"/>
        <v/>
      </c>
      <c r="GE69">
        <f t="shared" ca="1" si="126"/>
        <v>0</v>
      </c>
      <c r="GF69" s="112">
        <f t="shared" ca="1" si="64"/>
        <v>100000</v>
      </c>
      <c r="GG69" s="238" t="str">
        <f t="shared" ca="1" si="65"/>
        <v>28-34 anni</v>
      </c>
      <c r="GH69" s="262">
        <f t="shared" ca="1" si="66"/>
        <v>27377.74</v>
      </c>
      <c r="GI69" s="262">
        <f t="shared" ca="1" si="67"/>
        <v>0</v>
      </c>
      <c r="GJ69" s="262">
        <f t="shared" ca="1" si="68"/>
        <v>0</v>
      </c>
      <c r="GK69" s="262">
        <f t="shared" ca="1" si="69"/>
        <v>6459.63</v>
      </c>
      <c r="GL69" s="262">
        <f t="shared" ca="1" si="70"/>
        <v>169.19</v>
      </c>
      <c r="GM69" s="262">
        <f t="shared" ca="1" si="71"/>
        <v>0</v>
      </c>
      <c r="GN69" s="262">
        <f t="shared" ca="1" si="72"/>
        <v>3458.4</v>
      </c>
      <c r="GO69" s="262">
        <f t="shared" ca="1" si="73"/>
        <v>0</v>
      </c>
      <c r="GP69" s="262">
        <f t="shared" ca="1" si="74"/>
        <v>0</v>
      </c>
      <c r="GR69" s="262">
        <f t="shared" ca="1" si="76"/>
        <v>33837.370000000003</v>
      </c>
      <c r="GS69" s="262">
        <f t="shared" ca="1" si="25"/>
        <v>37464.960000000006</v>
      </c>
      <c r="GT69" s="253" t="str">
        <f t="shared" ca="1" si="77"/>
        <v/>
      </c>
      <c r="GU69" t="str">
        <f t="shared" ca="1" si="78"/>
        <v/>
      </c>
      <c r="GV69" t="str">
        <f t="shared" ca="1" si="79"/>
        <v/>
      </c>
      <c r="GW69" t="str">
        <f t="shared" ca="1" si="138"/>
        <v xml:space="preserve">
</v>
      </c>
      <c r="GX69" t="str">
        <f t="shared" ca="1" si="166"/>
        <v/>
      </c>
      <c r="GY69" t="str">
        <f t="shared" ca="1" si="166"/>
        <v/>
      </c>
      <c r="GZ69" t="str">
        <f t="shared" ca="1" si="157"/>
        <v/>
      </c>
      <c r="HA69" t="str">
        <f t="shared" ca="1" si="166"/>
        <v xml:space="preserve">  Indennita di Vacanza contr.le - annuo lordo euro: 169,19
</v>
      </c>
      <c r="HB69" t="str">
        <f t="shared" ca="1" si="166"/>
        <v/>
      </c>
      <c r="HC69" t="str">
        <f t="shared" ca="1" si="166"/>
        <v xml:space="preserve">rpd/cia - annuo lordo euro: 3458,4
</v>
      </c>
      <c r="HD69" t="str">
        <f t="shared" ca="1" si="80"/>
        <v/>
      </c>
      <c r="HE69" s="254" t="str">
        <f t="shared" ca="1" si="166"/>
        <v/>
      </c>
      <c r="HF69" s="254" t="str">
        <f t="shared" ca="1" si="81"/>
        <v xml:space="preserve">TOTALE ANNUO LORDO EURO 37464,96
</v>
      </c>
      <c r="HL69" t="str">
        <f t="shared" ca="1" si="82"/>
        <v xml:space="preserve"> C.C.N.L. DEL 06/12/2022 -</v>
      </c>
      <c r="HM69" s="263" t="str">
        <f t="shared" ca="1" si="83"/>
        <v xml:space="preserve"> C.C.N.L. DEL 06/12/2022 -
  Indennita di Vacanza contr.le - annuo lordo euro: 169,19
rpd/cia - annuo lordo euro: 3458,4
TOTALE ANNUO LORDO EURO 37464,96
Altri assegni previsti per legge</v>
      </c>
      <c r="HO69" s="272" t="str">
        <f t="shared" ca="1" si="28"/>
        <v/>
      </c>
      <c r="HP69">
        <f t="shared" ca="1" si="84"/>
        <v>0</v>
      </c>
      <c r="HQ69" t="str">
        <f t="shared" ca="1" si="85"/>
        <v/>
      </c>
      <c r="HR69" t="str">
        <f t="shared" ca="1" si="169"/>
        <v/>
      </c>
      <c r="HS69" t="str">
        <f t="shared" ca="1" si="170"/>
        <v/>
      </c>
      <c r="HX69" s="253" t="s">
        <v>187</v>
      </c>
      <c r="HY69" s="112" t="str">
        <f t="shared" si="88"/>
        <v>16/9/2011</v>
      </c>
      <c r="HZ69" t="s">
        <v>188</v>
      </c>
      <c r="IA69" s="112" t="str">
        <f t="shared" si="89"/>
        <v>30/6/2012</v>
      </c>
      <c r="IB69" t="s">
        <v>189</v>
      </c>
      <c r="IC69">
        <f t="shared" si="90"/>
        <v>0</v>
      </c>
      <c r="ID69" t="s">
        <v>192</v>
      </c>
      <c r="IE69">
        <f t="shared" si="91"/>
        <v>9</v>
      </c>
      <c r="IF69" t="s">
        <v>191</v>
      </c>
      <c r="IG69" s="254">
        <f t="shared" si="92"/>
        <v>19</v>
      </c>
      <c r="IL69" t="str">
        <f t="shared" si="93"/>
        <v xml:space="preserve">DAL: 16/9/2011 - AL:30/6/2012 - ANNI:0 - MESI:9 -GIORNI:19
</v>
      </c>
      <c r="KD69">
        <v>0</v>
      </c>
      <c r="KE69" s="260">
        <f t="shared" ca="1" si="94"/>
        <v>100000</v>
      </c>
      <c r="KF69" t="str">
        <f t="shared" si="95"/>
        <v>0-2 anni</v>
      </c>
      <c r="KG69">
        <f t="shared" si="29"/>
        <v>6</v>
      </c>
      <c r="KH69" s="238">
        <f t="shared" ca="1" si="30"/>
        <v>255</v>
      </c>
      <c r="KK69">
        <f t="shared" ca="1" si="96"/>
        <v>16218.89</v>
      </c>
      <c r="KL69">
        <f t="shared" ca="1" si="167"/>
        <v>0</v>
      </c>
      <c r="KM69">
        <f t="shared" ca="1" si="167"/>
        <v>0</v>
      </c>
      <c r="KN69">
        <f t="shared" ca="1" si="167"/>
        <v>6459.63</v>
      </c>
      <c r="KO69">
        <f t="shared" ca="1" si="167"/>
        <v>169.19</v>
      </c>
      <c r="KV69">
        <f t="shared" ca="1" si="32"/>
        <v>3458.4</v>
      </c>
      <c r="LA69" s="254" t="str">
        <f t="shared" si="97"/>
        <v>0-2 anni</v>
      </c>
      <c r="LB69" s="112">
        <f t="shared" si="33"/>
        <v>40802</v>
      </c>
      <c r="LC69" s="112">
        <f t="shared" si="34"/>
        <v>41090</v>
      </c>
      <c r="LD69">
        <f t="shared" ca="1" si="98"/>
        <v>26306.11</v>
      </c>
      <c r="LE69" s="262">
        <f t="shared" ca="1" si="99"/>
        <v>37464.960000000006</v>
      </c>
      <c r="LF69">
        <f t="shared" si="100"/>
        <v>289</v>
      </c>
      <c r="LG69">
        <f t="shared" ca="1" si="101"/>
        <v>8835.36</v>
      </c>
    </row>
    <row r="70" spans="1:319" ht="90" x14ac:dyDescent="0.25">
      <c r="A70" s="112">
        <f t="shared" si="139"/>
        <v>40422</v>
      </c>
      <c r="B70" s="112">
        <f t="shared" si="35"/>
        <v>40544</v>
      </c>
      <c r="E70" s="240">
        <f>Foglio3!F50</f>
        <v>41171</v>
      </c>
      <c r="F70" s="240">
        <f>Foglio3!G50</f>
        <v>41471</v>
      </c>
      <c r="G70" s="244"/>
      <c r="H70" s="245">
        <f t="shared" si="36"/>
        <v>41171</v>
      </c>
      <c r="I70" s="245">
        <f t="shared" si="15"/>
        <v>41274</v>
      </c>
      <c r="J70" s="244"/>
      <c r="K70" s="244"/>
      <c r="Q70">
        <f t="shared" si="16"/>
        <v>104</v>
      </c>
      <c r="R70">
        <f t="shared" si="140"/>
        <v>104</v>
      </c>
      <c r="S70">
        <f t="shared" si="37"/>
        <v>0</v>
      </c>
      <c r="T70">
        <f t="shared" si="128"/>
        <v>3</v>
      </c>
      <c r="U70">
        <f t="shared" si="129"/>
        <v>14</v>
      </c>
      <c r="W70">
        <f t="shared" si="168"/>
        <v>0</v>
      </c>
      <c r="X70">
        <f t="shared" si="168"/>
        <v>131</v>
      </c>
      <c r="Y70">
        <f t="shared" si="168"/>
        <v>308</v>
      </c>
      <c r="AA70" s="112">
        <f t="shared" si="102"/>
        <v>41171</v>
      </c>
      <c r="AB70" s="112">
        <f t="shared" si="103"/>
        <v>41274</v>
      </c>
      <c r="AG70">
        <f t="shared" si="38"/>
        <v>1</v>
      </c>
      <c r="AH70" s="112">
        <f t="shared" si="39"/>
        <v>41171</v>
      </c>
      <c r="AI70" s="112">
        <f t="shared" si="39"/>
        <v>41274</v>
      </c>
      <c r="AJ70">
        <f t="shared" si="40"/>
        <v>1</v>
      </c>
      <c r="AK70">
        <f t="shared" si="104"/>
        <v>0</v>
      </c>
      <c r="AL70">
        <f t="shared" si="131"/>
        <v>0</v>
      </c>
      <c r="AN70">
        <f t="shared" si="132"/>
        <v>0</v>
      </c>
      <c r="AO70">
        <f t="shared" si="133"/>
        <v>0</v>
      </c>
      <c r="AP70">
        <f t="shared" si="105"/>
        <v>0</v>
      </c>
      <c r="AS70">
        <f t="shared" si="141"/>
        <v>0</v>
      </c>
      <c r="AT70">
        <f t="shared" si="142"/>
        <v>0</v>
      </c>
      <c r="AV70">
        <f t="shared" si="143"/>
        <v>0</v>
      </c>
      <c r="AW70">
        <f t="shared" si="144"/>
        <v>0</v>
      </c>
      <c r="AX70">
        <f t="shared" si="106"/>
        <v>0</v>
      </c>
      <c r="BA70">
        <f t="shared" si="161"/>
        <v>0</v>
      </c>
      <c r="BB70">
        <f t="shared" si="162"/>
        <v>0</v>
      </c>
      <c r="BD70">
        <f t="shared" si="146"/>
        <v>0</v>
      </c>
      <c r="BE70">
        <f t="shared" si="147"/>
        <v>0</v>
      </c>
      <c r="BF70">
        <f t="shared" si="136"/>
        <v>0</v>
      </c>
      <c r="BI70">
        <f t="shared" si="148"/>
        <v>0</v>
      </c>
      <c r="BJ70">
        <f t="shared" si="150"/>
        <v>0</v>
      </c>
      <c r="BK70">
        <f t="shared" si="151"/>
        <v>0</v>
      </c>
      <c r="BL70">
        <f t="shared" si="152"/>
        <v>0</v>
      </c>
      <c r="BM70">
        <f t="shared" si="145"/>
        <v>0</v>
      </c>
      <c r="BO70">
        <f t="shared" si="153"/>
        <v>0</v>
      </c>
      <c r="BP70">
        <f t="shared" si="154"/>
        <v>0</v>
      </c>
      <c r="BR70">
        <f t="shared" si="155"/>
        <v>0</v>
      </c>
      <c r="BS70">
        <f t="shared" si="156"/>
        <v>0</v>
      </c>
      <c r="BT70">
        <f t="shared" si="149"/>
        <v>0</v>
      </c>
      <c r="BV70">
        <f t="shared" si="107"/>
        <v>0</v>
      </c>
      <c r="BX70">
        <f t="shared" si="108"/>
        <v>0</v>
      </c>
      <c r="BY70">
        <f t="shared" si="109"/>
        <v>0</v>
      </c>
      <c r="BZ70">
        <f t="shared" si="110"/>
        <v>0</v>
      </c>
      <c r="CA70">
        <f t="shared" si="111"/>
        <v>0</v>
      </c>
      <c r="CB70">
        <f t="shared" si="112"/>
        <v>0</v>
      </c>
      <c r="CG70">
        <f t="shared" si="41"/>
        <v>2012</v>
      </c>
      <c r="CH70">
        <f t="shared" si="41"/>
        <v>2013</v>
      </c>
      <c r="CJ70">
        <f t="shared" si="42"/>
        <v>0</v>
      </c>
      <c r="CK70">
        <f t="shared" si="158"/>
        <v>196</v>
      </c>
      <c r="CL70">
        <f t="shared" si="43"/>
        <v>0</v>
      </c>
      <c r="CN70">
        <f t="shared" si="44"/>
        <v>196</v>
      </c>
      <c r="CS70">
        <f t="shared" si="45"/>
        <v>104</v>
      </c>
      <c r="CT70">
        <f t="shared" si="113"/>
        <v>4238</v>
      </c>
      <c r="CV70" s="112">
        <f t="shared" si="46"/>
        <v>41274</v>
      </c>
      <c r="CX70" s="112">
        <f t="shared" si="47"/>
        <v>100000</v>
      </c>
      <c r="CY70" s="112">
        <f t="shared" si="114"/>
        <v>100000</v>
      </c>
      <c r="CZ70" s="112">
        <f t="shared" si="115"/>
        <v>100000</v>
      </c>
      <c r="DA70" s="112">
        <f t="shared" si="116"/>
        <v>100000</v>
      </c>
      <c r="DB70" s="112">
        <f t="shared" si="117"/>
        <v>100000</v>
      </c>
      <c r="DC70" s="112">
        <f t="shared" si="118"/>
        <v>100000</v>
      </c>
      <c r="DU70" s="112"/>
      <c r="DV70" s="112"/>
      <c r="DW70" s="277">
        <v>44562</v>
      </c>
      <c r="DX70" s="276"/>
      <c r="DY70" s="276"/>
      <c r="DZ70" s="276"/>
      <c r="EF70" s="260" t="str">
        <f t="shared" si="160"/>
        <v/>
      </c>
      <c r="EK70" s="254"/>
      <c r="EL70">
        <f t="shared" si="163"/>
        <v>31</v>
      </c>
      <c r="EM70" s="260" t="e">
        <f t="shared" ca="1" si="121"/>
        <v>#NUM!</v>
      </c>
      <c r="EN70" s="112" t="e">
        <f t="shared" ca="1" si="56"/>
        <v>#NUM!</v>
      </c>
      <c r="EO70" s="112">
        <f t="shared" ca="1" si="57"/>
        <v>100000</v>
      </c>
      <c r="EP70" s="112">
        <f t="shared" ca="1" si="122"/>
        <v>100000</v>
      </c>
      <c r="EQ70" s="273">
        <f t="shared" ca="1" si="137"/>
        <v>100000</v>
      </c>
      <c r="ER70" s="302">
        <f t="shared" ca="1" si="58"/>
        <v>100000</v>
      </c>
      <c r="EU70">
        <f t="shared" ca="1" si="159"/>
        <v>28</v>
      </c>
      <c r="EV70" s="260">
        <f t="shared" ca="1" si="123"/>
        <v>100000</v>
      </c>
      <c r="EW70" t="str">
        <f t="shared" ca="1" si="59"/>
        <v>28-34 anni</v>
      </c>
      <c r="EX70">
        <f t="shared" ca="1" si="19"/>
        <v>1</v>
      </c>
      <c r="EY70" s="238">
        <f t="shared" ca="1" si="20"/>
        <v>260</v>
      </c>
      <c r="EZ70" t="str">
        <f t="shared" ca="1" si="60"/>
        <v>28-34 anni</v>
      </c>
      <c r="FB70">
        <f t="shared" ca="1" si="61"/>
        <v>27377.74</v>
      </c>
      <c r="FC70">
        <f t="shared" ca="1" si="164"/>
        <v>0</v>
      </c>
      <c r="FD70">
        <f t="shared" ca="1" si="164"/>
        <v>0</v>
      </c>
      <c r="FE70">
        <f t="shared" ca="1" si="164"/>
        <v>6459.63</v>
      </c>
      <c r="FF70">
        <f t="shared" ca="1" si="164"/>
        <v>169.19</v>
      </c>
      <c r="FL70">
        <f t="shared" ca="1" si="62"/>
        <v>0</v>
      </c>
      <c r="FM70">
        <f t="shared" ca="1" si="22"/>
        <v>3458.4</v>
      </c>
      <c r="FR70" s="254" t="str">
        <f t="shared" ca="1" si="124"/>
        <v>28-34 anni</v>
      </c>
      <c r="FS70">
        <f t="shared" si="125"/>
        <v>70</v>
      </c>
      <c r="FT70" t="str">
        <f t="shared" ca="1" si="165"/>
        <v>ez70</v>
      </c>
      <c r="FU70" t="str">
        <f t="shared" ca="1" si="165"/>
        <v>EV70</v>
      </c>
      <c r="FV70" t="str">
        <f t="shared" ca="1" si="165"/>
        <v>FB70</v>
      </c>
      <c r="FW70" t="str">
        <f t="shared" ca="1" si="165"/>
        <v>FC70</v>
      </c>
      <c r="FX70" t="str">
        <f t="shared" ca="1" si="165"/>
        <v>FD70</v>
      </c>
      <c r="FY70" t="str">
        <f t="shared" ca="1" si="165"/>
        <v>FE70</v>
      </c>
      <c r="FZ70" t="str">
        <f t="shared" ca="1" si="165"/>
        <v>FF70</v>
      </c>
      <c r="GA70" t="str">
        <f t="shared" ca="1" si="165"/>
        <v>FL70</v>
      </c>
      <c r="GB70" t="str">
        <f t="shared" ca="1" si="165"/>
        <v>FM70</v>
      </c>
      <c r="GC70" t="str">
        <f t="shared" ca="1" si="63"/>
        <v/>
      </c>
      <c r="GD70" t="str">
        <f t="shared" ca="1" si="165"/>
        <v/>
      </c>
      <c r="GE70">
        <f t="shared" ca="1" si="126"/>
        <v>0</v>
      </c>
      <c r="GF70" s="112">
        <f t="shared" ca="1" si="64"/>
        <v>100000</v>
      </c>
      <c r="GG70" s="238" t="str">
        <f t="shared" ca="1" si="65"/>
        <v>28-34 anni</v>
      </c>
      <c r="GH70" s="262">
        <f t="shared" ca="1" si="66"/>
        <v>27377.74</v>
      </c>
      <c r="GI70" s="262">
        <f t="shared" ca="1" si="67"/>
        <v>0</v>
      </c>
      <c r="GJ70" s="262">
        <f t="shared" ca="1" si="68"/>
        <v>0</v>
      </c>
      <c r="GK70" s="262">
        <f t="shared" ca="1" si="69"/>
        <v>6459.63</v>
      </c>
      <c r="GL70" s="262">
        <f t="shared" ca="1" si="70"/>
        <v>169.19</v>
      </c>
      <c r="GM70" s="262">
        <f t="shared" ca="1" si="71"/>
        <v>0</v>
      </c>
      <c r="GN70" s="262">
        <f t="shared" ca="1" si="72"/>
        <v>3458.4</v>
      </c>
      <c r="GO70" s="262">
        <f t="shared" ca="1" si="73"/>
        <v>0</v>
      </c>
      <c r="GP70" s="262">
        <f t="shared" ca="1" si="74"/>
        <v>0</v>
      </c>
      <c r="GR70" s="262">
        <f t="shared" ca="1" si="76"/>
        <v>33837.370000000003</v>
      </c>
      <c r="GS70" s="262">
        <f t="shared" ca="1" si="25"/>
        <v>37464.960000000006</v>
      </c>
      <c r="GT70" s="253" t="str">
        <f t="shared" ca="1" si="77"/>
        <v/>
      </c>
      <c r="GU70" t="str">
        <f t="shared" ca="1" si="78"/>
        <v/>
      </c>
      <c r="GV70" t="str">
        <f t="shared" ca="1" si="79"/>
        <v/>
      </c>
      <c r="GW70" t="str">
        <f t="shared" ca="1" si="138"/>
        <v xml:space="preserve">
</v>
      </c>
      <c r="GX70" t="str">
        <f t="shared" ca="1" si="166"/>
        <v/>
      </c>
      <c r="GY70" t="str">
        <f t="shared" ca="1" si="166"/>
        <v/>
      </c>
      <c r="GZ70" t="str">
        <f t="shared" ca="1" si="157"/>
        <v/>
      </c>
      <c r="HA70" t="str">
        <f t="shared" ca="1" si="166"/>
        <v xml:space="preserve">  Indennita di Vacanza contr.le - annuo lordo euro: 169,19
</v>
      </c>
      <c r="HB70" t="str">
        <f t="shared" ca="1" si="166"/>
        <v/>
      </c>
      <c r="HC70" t="str">
        <f t="shared" ca="1" si="166"/>
        <v xml:space="preserve">rpd/cia - annuo lordo euro: 3458,4
</v>
      </c>
      <c r="HD70" t="str">
        <f t="shared" ca="1" si="80"/>
        <v/>
      </c>
      <c r="HE70" s="254" t="str">
        <f t="shared" ca="1" si="166"/>
        <v/>
      </c>
      <c r="HF70" s="254" t="str">
        <f t="shared" ca="1" si="81"/>
        <v xml:space="preserve">TOTALE ANNUO LORDO EURO 37464,96
</v>
      </c>
      <c r="HL70" t="str">
        <f t="shared" ca="1" si="82"/>
        <v xml:space="preserve"> C.C.N.L. DEL 06/12/2022 -</v>
      </c>
      <c r="HM70" s="263" t="str">
        <f t="shared" ca="1" si="83"/>
        <v xml:space="preserve"> C.C.N.L. DEL 06/12/2022 -
  Indennita di Vacanza contr.le - annuo lordo euro: 169,19
rpd/cia - annuo lordo euro: 3458,4
TOTALE ANNUO LORDO EURO 37464,96
Altri assegni previsti per legge</v>
      </c>
      <c r="HO70" s="272" t="str">
        <f t="shared" ca="1" si="28"/>
        <v/>
      </c>
      <c r="HP70">
        <f t="shared" ca="1" si="84"/>
        <v>0</v>
      </c>
      <c r="HQ70" t="str">
        <f t="shared" ca="1" si="85"/>
        <v/>
      </c>
      <c r="HR70" t="str">
        <f t="shared" ca="1" si="169"/>
        <v/>
      </c>
      <c r="HS70" t="str">
        <f t="shared" ca="1" si="170"/>
        <v/>
      </c>
      <c r="HX70" s="253" t="s">
        <v>187</v>
      </c>
      <c r="HY70" s="112" t="str">
        <f t="shared" si="88"/>
        <v>19/9/2012</v>
      </c>
      <c r="HZ70" t="s">
        <v>188</v>
      </c>
      <c r="IA70" s="112" t="str">
        <f t="shared" si="89"/>
        <v>16/7/2013</v>
      </c>
      <c r="IB70" t="s">
        <v>189</v>
      </c>
      <c r="IC70">
        <f t="shared" si="90"/>
        <v>0</v>
      </c>
      <c r="ID70" t="s">
        <v>192</v>
      </c>
      <c r="IE70">
        <f t="shared" si="91"/>
        <v>3</v>
      </c>
      <c r="IF70" t="s">
        <v>191</v>
      </c>
      <c r="IG70" s="254">
        <f t="shared" si="92"/>
        <v>14</v>
      </c>
      <c r="IL70" t="str">
        <f t="shared" si="93"/>
        <v xml:space="preserve">DAL: 19/9/2012 - AL:16/7/2013 - ANNI:0 - MESI:3 -GIORNI:14
</v>
      </c>
      <c r="KD70">
        <v>0</v>
      </c>
      <c r="KE70" s="260">
        <f t="shared" ca="1" si="94"/>
        <v>100000</v>
      </c>
      <c r="KF70" t="str">
        <f t="shared" si="95"/>
        <v>0-2 anni</v>
      </c>
      <c r="KG70">
        <f t="shared" si="29"/>
        <v>6</v>
      </c>
      <c r="KH70" s="238">
        <f t="shared" ca="1" si="30"/>
        <v>255</v>
      </c>
      <c r="KK70">
        <f t="shared" ca="1" si="96"/>
        <v>16218.89</v>
      </c>
      <c r="KL70">
        <f t="shared" ca="1" si="167"/>
        <v>0</v>
      </c>
      <c r="KM70">
        <f t="shared" ca="1" si="167"/>
        <v>0</v>
      </c>
      <c r="KN70">
        <f t="shared" ca="1" si="167"/>
        <v>6459.63</v>
      </c>
      <c r="KO70">
        <f t="shared" ca="1" si="167"/>
        <v>169.19</v>
      </c>
      <c r="KV70">
        <f t="shared" ca="1" si="32"/>
        <v>3458.4</v>
      </c>
      <c r="LA70" s="254" t="str">
        <f t="shared" si="97"/>
        <v>0-2 anni</v>
      </c>
      <c r="LB70" s="112">
        <f t="shared" si="33"/>
        <v>41171</v>
      </c>
      <c r="LC70" s="112">
        <f t="shared" si="34"/>
        <v>41471</v>
      </c>
      <c r="LD70">
        <f t="shared" ca="1" si="98"/>
        <v>26306.11</v>
      </c>
      <c r="LE70" s="262">
        <f t="shared" ca="1" si="99"/>
        <v>37464.960000000006</v>
      </c>
      <c r="LF70">
        <f t="shared" si="100"/>
        <v>104</v>
      </c>
      <c r="LG70">
        <f t="shared" ca="1" si="101"/>
        <v>3179.51</v>
      </c>
    </row>
    <row r="71" spans="1:319" ht="90" x14ac:dyDescent="0.25">
      <c r="A71" s="112">
        <f t="shared" si="139"/>
        <v>40422</v>
      </c>
      <c r="B71" s="112">
        <f t="shared" si="35"/>
        <v>40544</v>
      </c>
      <c r="E71" s="240">
        <f>Foglio3!F51</f>
        <v>41178</v>
      </c>
      <c r="F71" s="240">
        <f>Foglio3!G51</f>
        <v>41471</v>
      </c>
      <c r="G71" s="244"/>
      <c r="H71" s="245">
        <f t="shared" si="36"/>
        <v>41178</v>
      </c>
      <c r="I71" s="245">
        <f t="shared" si="15"/>
        <v>41274</v>
      </c>
      <c r="J71" s="244"/>
      <c r="K71" s="244"/>
      <c r="Q71">
        <f t="shared" si="16"/>
        <v>97</v>
      </c>
      <c r="R71">
        <f t="shared" si="140"/>
        <v>97</v>
      </c>
      <c r="S71">
        <f t="shared" si="37"/>
        <v>0</v>
      </c>
      <c r="T71">
        <f t="shared" si="128"/>
        <v>3</v>
      </c>
      <c r="U71">
        <f t="shared" si="129"/>
        <v>7</v>
      </c>
      <c r="W71">
        <f t="shared" si="168"/>
        <v>0</v>
      </c>
      <c r="X71">
        <f t="shared" si="168"/>
        <v>134</v>
      </c>
      <c r="Y71">
        <f t="shared" si="168"/>
        <v>315</v>
      </c>
      <c r="AA71" s="112">
        <f t="shared" si="102"/>
        <v>41178</v>
      </c>
      <c r="AB71" s="112">
        <f t="shared" si="103"/>
        <v>41274</v>
      </c>
      <c r="AG71">
        <f t="shared" si="38"/>
        <v>1</v>
      </c>
      <c r="AH71" s="112">
        <f t="shared" si="39"/>
        <v>41178</v>
      </c>
      <c r="AI71" s="112">
        <f t="shared" si="39"/>
        <v>41274</v>
      </c>
      <c r="AS71">
        <f t="shared" si="141"/>
        <v>0</v>
      </c>
      <c r="AT71">
        <f t="shared" si="142"/>
        <v>0</v>
      </c>
      <c r="AV71">
        <f t="shared" si="143"/>
        <v>0</v>
      </c>
      <c r="AW71">
        <f t="shared" si="144"/>
        <v>0</v>
      </c>
      <c r="AX71">
        <f t="shared" si="106"/>
        <v>0</v>
      </c>
      <c r="BA71">
        <f t="shared" si="161"/>
        <v>0</v>
      </c>
      <c r="BB71">
        <f t="shared" si="162"/>
        <v>0</v>
      </c>
      <c r="BD71">
        <f t="shared" si="146"/>
        <v>0</v>
      </c>
      <c r="BE71">
        <f t="shared" si="147"/>
        <v>0</v>
      </c>
      <c r="BF71">
        <f t="shared" si="136"/>
        <v>0</v>
      </c>
      <c r="BI71">
        <f t="shared" si="148"/>
        <v>0</v>
      </c>
      <c r="BJ71">
        <f t="shared" si="150"/>
        <v>0</v>
      </c>
      <c r="BK71">
        <f t="shared" si="151"/>
        <v>0</v>
      </c>
      <c r="BL71">
        <f t="shared" si="152"/>
        <v>0</v>
      </c>
      <c r="BM71">
        <f t="shared" si="145"/>
        <v>0</v>
      </c>
      <c r="BO71">
        <f t="shared" si="153"/>
        <v>0</v>
      </c>
      <c r="BP71">
        <f t="shared" si="154"/>
        <v>0</v>
      </c>
      <c r="BR71">
        <f t="shared" si="155"/>
        <v>0</v>
      </c>
      <c r="BS71">
        <f t="shared" si="156"/>
        <v>0</v>
      </c>
      <c r="BT71">
        <f t="shared" si="149"/>
        <v>0</v>
      </c>
      <c r="BV71">
        <f t="shared" si="107"/>
        <v>0</v>
      </c>
      <c r="BX71">
        <f t="shared" si="108"/>
        <v>0</v>
      </c>
      <c r="BY71">
        <f t="shared" si="109"/>
        <v>0</v>
      </c>
      <c r="BZ71">
        <f t="shared" si="110"/>
        <v>0</v>
      </c>
      <c r="CA71">
        <f t="shared" si="111"/>
        <v>0</v>
      </c>
      <c r="CB71">
        <f t="shared" si="112"/>
        <v>0</v>
      </c>
      <c r="CG71">
        <f t="shared" si="41"/>
        <v>2012</v>
      </c>
      <c r="CH71">
        <f t="shared" si="41"/>
        <v>2013</v>
      </c>
      <c r="CJ71">
        <f t="shared" si="42"/>
        <v>0</v>
      </c>
      <c r="CK71">
        <f t="shared" si="158"/>
        <v>196</v>
      </c>
      <c r="CL71">
        <f t="shared" si="43"/>
        <v>0</v>
      </c>
      <c r="CN71">
        <f t="shared" si="44"/>
        <v>196</v>
      </c>
      <c r="CS71">
        <f t="shared" si="45"/>
        <v>97</v>
      </c>
      <c r="CT71">
        <f t="shared" si="113"/>
        <v>4335</v>
      </c>
      <c r="CV71" s="112">
        <f t="shared" si="46"/>
        <v>41274</v>
      </c>
      <c r="CX71" s="112">
        <f t="shared" si="47"/>
        <v>100000</v>
      </c>
      <c r="CY71" s="112">
        <f t="shared" si="114"/>
        <v>100000</v>
      </c>
      <c r="CZ71" s="112">
        <f t="shared" si="115"/>
        <v>100000</v>
      </c>
      <c r="DA71" s="112">
        <f t="shared" si="116"/>
        <v>100000</v>
      </c>
      <c r="DB71" s="112">
        <f t="shared" si="117"/>
        <v>100000</v>
      </c>
      <c r="DC71" s="112">
        <f t="shared" si="118"/>
        <v>100000</v>
      </c>
      <c r="DU71" s="112"/>
      <c r="DV71" s="112"/>
      <c r="DW71" s="277">
        <v>44652</v>
      </c>
      <c r="DX71" s="276"/>
      <c r="DY71" s="276"/>
      <c r="DZ71" s="276"/>
      <c r="EF71" s="260" t="str">
        <f t="shared" si="160"/>
        <v/>
      </c>
      <c r="EK71" s="254"/>
      <c r="EL71">
        <f t="shared" si="163"/>
        <v>32</v>
      </c>
      <c r="EM71" s="260" t="e">
        <f t="shared" ca="1" si="121"/>
        <v>#NUM!</v>
      </c>
      <c r="EN71" s="112" t="e">
        <f t="shared" ca="1" si="56"/>
        <v>#NUM!</v>
      </c>
      <c r="EO71" s="112">
        <f t="shared" ca="1" si="57"/>
        <v>100000</v>
      </c>
      <c r="EP71" s="112">
        <f t="shared" ca="1" si="122"/>
        <v>100000</v>
      </c>
      <c r="EQ71" s="273">
        <f t="shared" ca="1" si="137"/>
        <v>100000</v>
      </c>
      <c r="ER71" s="302">
        <f t="shared" ca="1" si="58"/>
        <v>100000</v>
      </c>
      <c r="EU71">
        <f t="shared" ca="1" si="159"/>
        <v>28</v>
      </c>
      <c r="EV71" s="260">
        <f t="shared" ca="1" si="123"/>
        <v>100000</v>
      </c>
      <c r="EW71" t="str">
        <f t="shared" ca="1" si="59"/>
        <v>28-34 anni</v>
      </c>
      <c r="EX71">
        <f t="shared" ca="1" si="19"/>
        <v>1</v>
      </c>
      <c r="EY71" s="238">
        <f t="shared" ca="1" si="20"/>
        <v>260</v>
      </c>
      <c r="EZ71" t="str">
        <f t="shared" ca="1" si="60"/>
        <v>28-34 anni</v>
      </c>
      <c r="FB71">
        <f t="shared" ca="1" si="61"/>
        <v>27377.74</v>
      </c>
      <c r="FC71">
        <f t="shared" ca="1" si="164"/>
        <v>0</v>
      </c>
      <c r="FD71">
        <f t="shared" ca="1" si="164"/>
        <v>0</v>
      </c>
      <c r="FE71">
        <f t="shared" ca="1" si="164"/>
        <v>6459.63</v>
      </c>
      <c r="FF71">
        <f t="shared" ca="1" si="164"/>
        <v>169.19</v>
      </c>
      <c r="FL71">
        <f t="shared" ca="1" si="62"/>
        <v>0</v>
      </c>
      <c r="FM71">
        <f t="shared" ca="1" si="22"/>
        <v>3458.4</v>
      </c>
      <c r="FR71" s="254" t="str">
        <f t="shared" ca="1" si="124"/>
        <v>28-34 anni</v>
      </c>
      <c r="FS71">
        <f t="shared" si="125"/>
        <v>71</v>
      </c>
      <c r="FT71" t="str">
        <f t="shared" ca="1" si="165"/>
        <v>ez71</v>
      </c>
      <c r="FU71" t="str">
        <f t="shared" ca="1" si="165"/>
        <v>EV71</v>
      </c>
      <c r="FV71" t="str">
        <f t="shared" ca="1" si="165"/>
        <v>FB71</v>
      </c>
      <c r="FW71" t="str">
        <f t="shared" ca="1" si="165"/>
        <v>FC71</v>
      </c>
      <c r="FX71" t="str">
        <f t="shared" ca="1" si="165"/>
        <v>FD71</v>
      </c>
      <c r="FY71" t="str">
        <f t="shared" ca="1" si="165"/>
        <v>FE71</v>
      </c>
      <c r="FZ71" t="str">
        <f t="shared" ca="1" si="165"/>
        <v>FF71</v>
      </c>
      <c r="GA71" t="str">
        <f t="shared" ca="1" si="165"/>
        <v>FL71</v>
      </c>
      <c r="GB71" t="str">
        <f t="shared" ca="1" si="165"/>
        <v>FM71</v>
      </c>
      <c r="GC71" t="str">
        <f t="shared" ca="1" si="63"/>
        <v/>
      </c>
      <c r="GD71" t="str">
        <f t="shared" ca="1" si="165"/>
        <v/>
      </c>
      <c r="GE71">
        <f t="shared" ca="1" si="126"/>
        <v>0</v>
      </c>
      <c r="GF71" s="112">
        <f t="shared" ca="1" si="64"/>
        <v>100000</v>
      </c>
      <c r="GG71" s="238" t="str">
        <f t="shared" ca="1" si="65"/>
        <v>28-34 anni</v>
      </c>
      <c r="GH71" s="262">
        <f t="shared" ca="1" si="66"/>
        <v>27377.74</v>
      </c>
      <c r="GI71" s="262">
        <f t="shared" ca="1" si="67"/>
        <v>0</v>
      </c>
      <c r="GJ71" s="262">
        <f t="shared" ca="1" si="68"/>
        <v>0</v>
      </c>
      <c r="GK71" s="262">
        <f t="shared" ca="1" si="69"/>
        <v>6459.63</v>
      </c>
      <c r="GL71" s="262">
        <f t="shared" ca="1" si="70"/>
        <v>169.19</v>
      </c>
      <c r="GM71" s="262">
        <f t="shared" ca="1" si="71"/>
        <v>0</v>
      </c>
      <c r="GN71" s="262">
        <f t="shared" ca="1" si="72"/>
        <v>3458.4</v>
      </c>
      <c r="GO71" s="262">
        <f t="shared" ca="1" si="73"/>
        <v>0</v>
      </c>
      <c r="GP71" s="262">
        <f t="shared" ca="1" si="74"/>
        <v>0</v>
      </c>
      <c r="GR71" s="262">
        <f t="shared" ca="1" si="76"/>
        <v>33837.370000000003</v>
      </c>
      <c r="GS71" s="262">
        <f t="shared" ca="1" si="25"/>
        <v>37464.960000000006</v>
      </c>
      <c r="GT71" s="253" t="str">
        <f t="shared" ca="1" si="77"/>
        <v/>
      </c>
      <c r="GU71" t="str">
        <f t="shared" ca="1" si="78"/>
        <v/>
      </c>
      <c r="GV71" t="str">
        <f t="shared" ca="1" si="79"/>
        <v/>
      </c>
      <c r="GW71" t="str">
        <f t="shared" ca="1" si="138"/>
        <v xml:space="preserve">
</v>
      </c>
      <c r="GX71" t="str">
        <f t="shared" ca="1" si="166"/>
        <v/>
      </c>
      <c r="GY71" t="str">
        <f t="shared" ca="1" si="166"/>
        <v/>
      </c>
      <c r="GZ71" t="str">
        <f t="shared" ca="1" si="157"/>
        <v/>
      </c>
      <c r="HA71" t="str">
        <f t="shared" ca="1" si="166"/>
        <v xml:space="preserve">  Indennita di Vacanza contr.le - annuo lordo euro: 169,19
</v>
      </c>
      <c r="HB71" t="str">
        <f t="shared" ca="1" si="166"/>
        <v/>
      </c>
      <c r="HC71" t="str">
        <f t="shared" ca="1" si="166"/>
        <v xml:space="preserve">rpd/cia - annuo lordo euro: 3458,4
</v>
      </c>
      <c r="HD71" t="str">
        <f t="shared" ca="1" si="80"/>
        <v/>
      </c>
      <c r="HE71" s="254" t="str">
        <f t="shared" ca="1" si="166"/>
        <v/>
      </c>
      <c r="HF71" s="254" t="str">
        <f t="shared" ca="1" si="81"/>
        <v xml:space="preserve">TOTALE ANNUO LORDO EURO 37464,96
</v>
      </c>
      <c r="HL71" t="str">
        <f t="shared" ca="1" si="82"/>
        <v xml:space="preserve"> C.C.N.L. DEL 06/12/2022 -</v>
      </c>
      <c r="HM71" s="263" t="str">
        <f t="shared" ca="1" si="83"/>
        <v xml:space="preserve"> C.C.N.L. DEL 06/12/2022 -
  Indennita di Vacanza contr.le - annuo lordo euro: 169,19
rpd/cia - annuo lordo euro: 3458,4
TOTALE ANNUO LORDO EURO 37464,96
Altri assegni previsti per legge</v>
      </c>
      <c r="HO71" s="272" t="str">
        <f t="shared" ca="1" si="28"/>
        <v/>
      </c>
      <c r="HP71">
        <f t="shared" ca="1" si="84"/>
        <v>0</v>
      </c>
      <c r="HQ71" t="str">
        <f t="shared" ca="1" si="85"/>
        <v/>
      </c>
      <c r="HR71" t="str">
        <f t="shared" ca="1" si="169"/>
        <v/>
      </c>
      <c r="HS71" t="str">
        <f t="shared" ca="1" si="170"/>
        <v/>
      </c>
      <c r="HX71" s="253" t="s">
        <v>187</v>
      </c>
      <c r="HY71" s="112" t="str">
        <f t="shared" si="88"/>
        <v>26/9/2012</v>
      </c>
      <c r="HZ71" t="s">
        <v>188</v>
      </c>
      <c r="IA71" s="112" t="str">
        <f t="shared" si="89"/>
        <v>16/7/2013</v>
      </c>
      <c r="IB71" t="s">
        <v>189</v>
      </c>
      <c r="IC71">
        <f t="shared" si="90"/>
        <v>0</v>
      </c>
      <c r="ID71" t="s">
        <v>192</v>
      </c>
      <c r="IE71">
        <f t="shared" si="91"/>
        <v>3</v>
      </c>
      <c r="IF71" t="s">
        <v>191</v>
      </c>
      <c r="IG71" s="254">
        <f t="shared" si="92"/>
        <v>7</v>
      </c>
      <c r="IL71" t="str">
        <f t="shared" si="93"/>
        <v xml:space="preserve">DAL: 26/9/2012 - AL:16/7/2013 - ANNI:0 - MESI:3 -GIORNI:7
</v>
      </c>
      <c r="KD71">
        <v>0</v>
      </c>
      <c r="KE71" s="260">
        <f t="shared" ca="1" si="94"/>
        <v>100000</v>
      </c>
      <c r="KF71" t="str">
        <f t="shared" si="95"/>
        <v>0-2 anni</v>
      </c>
      <c r="KG71">
        <f t="shared" si="29"/>
        <v>6</v>
      </c>
      <c r="KH71" s="238">
        <f t="shared" ca="1" si="30"/>
        <v>255</v>
      </c>
      <c r="KK71">
        <f t="shared" ca="1" si="96"/>
        <v>16218.89</v>
      </c>
      <c r="KL71">
        <f t="shared" ca="1" si="167"/>
        <v>0</v>
      </c>
      <c r="KM71">
        <f t="shared" ca="1" si="167"/>
        <v>0</v>
      </c>
      <c r="KN71">
        <f t="shared" ca="1" si="167"/>
        <v>6459.63</v>
      </c>
      <c r="KO71">
        <f t="shared" ca="1" si="167"/>
        <v>169.19</v>
      </c>
      <c r="KV71">
        <f t="shared" ca="1" si="32"/>
        <v>3458.4</v>
      </c>
      <c r="LA71" s="254" t="str">
        <f t="shared" si="97"/>
        <v>0-2 anni</v>
      </c>
      <c r="LB71" s="112">
        <f t="shared" si="33"/>
        <v>41178</v>
      </c>
      <c r="LC71" s="112">
        <f t="shared" si="34"/>
        <v>41471</v>
      </c>
      <c r="LD71">
        <f t="shared" ca="1" si="98"/>
        <v>26306.11</v>
      </c>
      <c r="LE71" s="262">
        <f t="shared" ca="1" si="99"/>
        <v>37464.960000000006</v>
      </c>
      <c r="LF71">
        <f t="shared" si="100"/>
        <v>97</v>
      </c>
      <c r="LG71">
        <f t="shared" ca="1" si="101"/>
        <v>2965.5</v>
      </c>
    </row>
    <row r="72" spans="1:319" ht="90" x14ac:dyDescent="0.25">
      <c r="A72" s="112">
        <f t="shared" si="139"/>
        <v>40422</v>
      </c>
      <c r="B72" s="112">
        <f t="shared" si="35"/>
        <v>40544</v>
      </c>
      <c r="E72" s="240">
        <f>Foglio3!F52</f>
        <v>41184</v>
      </c>
      <c r="F72" s="240">
        <f>Foglio3!G52</f>
        <v>41196</v>
      </c>
      <c r="G72" s="244"/>
      <c r="H72" s="245">
        <f t="shared" si="36"/>
        <v>41184</v>
      </c>
      <c r="I72" s="245">
        <f t="shared" si="15"/>
        <v>41196</v>
      </c>
      <c r="J72" s="244"/>
      <c r="K72" s="244"/>
      <c r="Q72">
        <f t="shared" si="16"/>
        <v>13</v>
      </c>
      <c r="R72">
        <f t="shared" si="140"/>
        <v>13</v>
      </c>
      <c r="S72">
        <f t="shared" si="37"/>
        <v>0</v>
      </c>
      <c r="T72">
        <f t="shared" si="128"/>
        <v>0</v>
      </c>
      <c r="U72">
        <f t="shared" si="129"/>
        <v>13</v>
      </c>
      <c r="W72">
        <f t="shared" si="168"/>
        <v>0</v>
      </c>
      <c r="X72">
        <f t="shared" si="168"/>
        <v>134</v>
      </c>
      <c r="Y72">
        <f t="shared" si="168"/>
        <v>328</v>
      </c>
      <c r="AA72" s="112">
        <f t="shared" si="102"/>
        <v>41184</v>
      </c>
      <c r="AB72" s="112">
        <f t="shared" si="103"/>
        <v>41196</v>
      </c>
      <c r="AG72">
        <f t="shared" si="38"/>
        <v>1</v>
      </c>
      <c r="AH72" s="112">
        <f t="shared" si="39"/>
        <v>41184</v>
      </c>
      <c r="AI72" s="112">
        <f t="shared" si="39"/>
        <v>41196</v>
      </c>
      <c r="CG72">
        <f t="shared" si="41"/>
        <v>2012</v>
      </c>
      <c r="CH72">
        <f t="shared" si="41"/>
        <v>2012</v>
      </c>
      <c r="CJ72">
        <f t="shared" si="42"/>
        <v>0</v>
      </c>
      <c r="CK72">
        <f t="shared" si="158"/>
        <v>0</v>
      </c>
      <c r="CL72">
        <f t="shared" si="43"/>
        <v>0</v>
      </c>
      <c r="CN72">
        <f t="shared" si="44"/>
        <v>0</v>
      </c>
      <c r="CX72" s="112">
        <f t="shared" si="47"/>
        <v>100000</v>
      </c>
      <c r="CY72" s="112">
        <f t="shared" si="114"/>
        <v>100000</v>
      </c>
      <c r="CZ72" s="112">
        <f t="shared" si="115"/>
        <v>100000</v>
      </c>
      <c r="DA72" s="112">
        <f t="shared" si="116"/>
        <v>100000</v>
      </c>
      <c r="DB72" s="112">
        <f t="shared" si="117"/>
        <v>100000</v>
      </c>
      <c r="DC72" s="112">
        <f t="shared" si="118"/>
        <v>100000</v>
      </c>
      <c r="DU72" s="112"/>
      <c r="DV72" s="112"/>
      <c r="DW72" s="277">
        <v>44743</v>
      </c>
      <c r="DX72" s="276"/>
      <c r="DY72" s="276"/>
      <c r="DZ72" s="276"/>
      <c r="EF72" s="260" t="str">
        <f t="shared" si="160"/>
        <v/>
      </c>
      <c r="EK72" s="254"/>
      <c r="EL72">
        <f t="shared" si="163"/>
        <v>33</v>
      </c>
      <c r="EM72" s="260" t="e">
        <f t="shared" ca="1" si="121"/>
        <v>#NUM!</v>
      </c>
      <c r="EN72" s="112" t="e">
        <f t="shared" ca="1" si="56"/>
        <v>#NUM!</v>
      </c>
      <c r="EO72" s="112">
        <f t="shared" ca="1" si="57"/>
        <v>100000</v>
      </c>
      <c r="EP72" s="112">
        <f t="shared" ca="1" si="122"/>
        <v>100000</v>
      </c>
      <c r="EQ72" s="273">
        <f t="shared" ca="1" si="137"/>
        <v>100000</v>
      </c>
      <c r="ER72" s="302">
        <f t="shared" ca="1" si="58"/>
        <v>100000</v>
      </c>
      <c r="EU72">
        <f t="shared" ca="1" si="159"/>
        <v>28</v>
      </c>
      <c r="EV72" s="260">
        <f t="shared" ca="1" si="123"/>
        <v>100000</v>
      </c>
      <c r="EW72" t="str">
        <f t="shared" ca="1" si="59"/>
        <v>28-34 anni</v>
      </c>
      <c r="EX72">
        <f t="shared" ca="1" si="19"/>
        <v>1</v>
      </c>
      <c r="EY72" s="238">
        <f t="shared" ca="1" si="20"/>
        <v>260</v>
      </c>
      <c r="EZ72" t="str">
        <f t="shared" ca="1" si="60"/>
        <v>28-34 anni</v>
      </c>
      <c r="FB72">
        <f t="shared" ca="1" si="61"/>
        <v>27377.74</v>
      </c>
      <c r="FC72">
        <f t="shared" ca="1" si="164"/>
        <v>0</v>
      </c>
      <c r="FD72">
        <f t="shared" ca="1" si="164"/>
        <v>0</v>
      </c>
      <c r="FE72">
        <f t="shared" ca="1" si="164"/>
        <v>6459.63</v>
      </c>
      <c r="FF72">
        <f t="shared" ca="1" si="164"/>
        <v>169.19</v>
      </c>
      <c r="FL72">
        <f t="shared" ca="1" si="62"/>
        <v>0</v>
      </c>
      <c r="FM72">
        <f t="shared" ca="1" si="22"/>
        <v>3458.4</v>
      </c>
      <c r="FR72" s="254" t="str">
        <f t="shared" ca="1" si="124"/>
        <v>28-34 anni</v>
      </c>
      <c r="FS72">
        <f t="shared" si="125"/>
        <v>72</v>
      </c>
      <c r="FT72" t="str">
        <f t="shared" ca="1" si="165"/>
        <v>ez72</v>
      </c>
      <c r="FU72" t="str">
        <f t="shared" ca="1" si="165"/>
        <v>EV72</v>
      </c>
      <c r="FV72" t="str">
        <f t="shared" ca="1" si="165"/>
        <v>FB72</v>
      </c>
      <c r="FW72" t="str">
        <f t="shared" ca="1" si="165"/>
        <v>FC72</v>
      </c>
      <c r="FX72" t="str">
        <f t="shared" ca="1" si="165"/>
        <v>FD72</v>
      </c>
      <c r="FY72" t="str">
        <f t="shared" ca="1" si="165"/>
        <v>FE72</v>
      </c>
      <c r="FZ72" t="str">
        <f t="shared" ca="1" si="165"/>
        <v>FF72</v>
      </c>
      <c r="GA72" t="str">
        <f t="shared" ca="1" si="165"/>
        <v>FL72</v>
      </c>
      <c r="GB72" t="str">
        <f t="shared" ca="1" si="165"/>
        <v>FM72</v>
      </c>
      <c r="GC72" t="str">
        <f t="shared" ca="1" si="63"/>
        <v/>
      </c>
      <c r="GD72" t="str">
        <f t="shared" ca="1" si="165"/>
        <v/>
      </c>
      <c r="GE72">
        <f t="shared" ca="1" si="126"/>
        <v>0</v>
      </c>
      <c r="GF72" s="112">
        <f t="shared" ca="1" si="64"/>
        <v>100000</v>
      </c>
      <c r="GG72" s="238" t="str">
        <f t="shared" ca="1" si="65"/>
        <v>28-34 anni</v>
      </c>
      <c r="GH72" s="262">
        <f t="shared" ca="1" si="66"/>
        <v>27377.74</v>
      </c>
      <c r="GI72" s="262">
        <f t="shared" ca="1" si="67"/>
        <v>0</v>
      </c>
      <c r="GJ72" s="262">
        <f t="shared" ca="1" si="68"/>
        <v>0</v>
      </c>
      <c r="GK72" s="262">
        <f t="shared" ca="1" si="69"/>
        <v>6459.63</v>
      </c>
      <c r="GL72" s="262">
        <f t="shared" ca="1" si="70"/>
        <v>169.19</v>
      </c>
      <c r="GM72" s="262">
        <f t="shared" ca="1" si="71"/>
        <v>0</v>
      </c>
      <c r="GN72" s="262">
        <f t="shared" ca="1" si="72"/>
        <v>3458.4</v>
      </c>
      <c r="GO72" s="262">
        <f t="shared" ca="1" si="73"/>
        <v>0</v>
      </c>
      <c r="GP72" s="262">
        <f t="shared" ca="1" si="74"/>
        <v>0</v>
      </c>
      <c r="GR72" s="262">
        <f t="shared" ca="1" si="76"/>
        <v>33837.370000000003</v>
      </c>
      <c r="GS72" s="262">
        <f t="shared" ca="1" si="25"/>
        <v>37464.960000000006</v>
      </c>
      <c r="GT72" s="253" t="str">
        <f t="shared" ca="1" si="77"/>
        <v/>
      </c>
      <c r="GU72" t="str">
        <f t="shared" ca="1" si="78"/>
        <v/>
      </c>
      <c r="GV72" t="str">
        <f t="shared" ca="1" si="79"/>
        <v/>
      </c>
      <c r="GW72" t="str">
        <f t="shared" ca="1" si="138"/>
        <v xml:space="preserve">
</v>
      </c>
      <c r="GX72" t="str">
        <f t="shared" ca="1" si="166"/>
        <v/>
      </c>
      <c r="GY72" t="str">
        <f t="shared" ca="1" si="166"/>
        <v/>
      </c>
      <c r="GZ72" t="str">
        <f t="shared" ca="1" si="157"/>
        <v/>
      </c>
      <c r="HA72" t="str">
        <f t="shared" ca="1" si="166"/>
        <v xml:space="preserve">  Indennita di Vacanza contr.le - annuo lordo euro: 169,19
</v>
      </c>
      <c r="HB72" t="str">
        <f t="shared" ca="1" si="166"/>
        <v/>
      </c>
      <c r="HC72" t="str">
        <f t="shared" ca="1" si="166"/>
        <v xml:space="preserve">rpd/cia - annuo lordo euro: 3458,4
</v>
      </c>
      <c r="HD72" t="str">
        <f t="shared" ca="1" si="80"/>
        <v/>
      </c>
      <c r="HE72" s="254" t="str">
        <f t="shared" ca="1" si="166"/>
        <v/>
      </c>
      <c r="HF72" s="254" t="str">
        <f t="shared" ca="1" si="81"/>
        <v xml:space="preserve">TOTALE ANNUO LORDO EURO 37464,96
</v>
      </c>
      <c r="HL72" t="str">
        <f t="shared" ca="1" si="82"/>
        <v xml:space="preserve"> C.C.N.L. DEL 06/12/2022 -</v>
      </c>
      <c r="HM72" s="263" t="str">
        <f t="shared" ca="1" si="83"/>
        <v xml:space="preserve"> C.C.N.L. DEL 06/12/2022 -
  Indennita di Vacanza contr.le - annuo lordo euro: 169,19
rpd/cia - annuo lordo euro: 3458,4
TOTALE ANNUO LORDO EURO 37464,96
Altri assegni previsti per legge</v>
      </c>
      <c r="HO72" s="272" t="str">
        <f t="shared" ca="1" si="28"/>
        <v/>
      </c>
      <c r="HP72">
        <f t="shared" ca="1" si="84"/>
        <v>0</v>
      </c>
      <c r="HQ72" t="str">
        <f t="shared" ca="1" si="85"/>
        <v/>
      </c>
      <c r="HR72" t="str">
        <f t="shared" ca="1" si="169"/>
        <v/>
      </c>
      <c r="HS72" t="str">
        <f t="shared" ca="1" si="170"/>
        <v/>
      </c>
      <c r="HX72" s="253" t="s">
        <v>187</v>
      </c>
      <c r="HY72" s="112" t="str">
        <f t="shared" si="88"/>
        <v>2/10/2012</v>
      </c>
      <c r="HZ72" t="s">
        <v>188</v>
      </c>
      <c r="IA72" s="112" t="str">
        <f t="shared" si="89"/>
        <v>14/10/2012</v>
      </c>
      <c r="IB72" t="s">
        <v>189</v>
      </c>
      <c r="IC72">
        <f t="shared" si="90"/>
        <v>0</v>
      </c>
      <c r="ID72" t="s">
        <v>192</v>
      </c>
      <c r="IE72">
        <f t="shared" si="91"/>
        <v>0</v>
      </c>
      <c r="IF72" t="s">
        <v>191</v>
      </c>
      <c r="IG72" s="254">
        <f t="shared" si="92"/>
        <v>13</v>
      </c>
      <c r="IL72" t="str">
        <f t="shared" si="93"/>
        <v xml:space="preserve">DAL: 2/10/2012 - AL:14/10/2012 - ANNI:0 - MESI:0 -GIORNI:13
</v>
      </c>
      <c r="KD72">
        <v>0</v>
      </c>
      <c r="KE72" s="260">
        <f t="shared" ca="1" si="94"/>
        <v>100000</v>
      </c>
      <c r="KF72" t="str">
        <f t="shared" si="95"/>
        <v>0-2 anni</v>
      </c>
      <c r="KG72">
        <f t="shared" si="29"/>
        <v>6</v>
      </c>
      <c r="KH72" s="238">
        <f t="shared" ca="1" si="30"/>
        <v>255</v>
      </c>
      <c r="KK72">
        <f t="shared" ca="1" si="96"/>
        <v>16218.89</v>
      </c>
      <c r="KL72">
        <f t="shared" ca="1" si="167"/>
        <v>0</v>
      </c>
      <c r="KM72">
        <f t="shared" ca="1" si="167"/>
        <v>0</v>
      </c>
      <c r="KN72">
        <f t="shared" ca="1" si="167"/>
        <v>6459.63</v>
      </c>
      <c r="KO72">
        <f t="shared" ca="1" si="167"/>
        <v>169.19</v>
      </c>
      <c r="KV72">
        <f t="shared" ca="1" si="32"/>
        <v>3458.4</v>
      </c>
      <c r="LA72" s="254" t="str">
        <f t="shared" si="97"/>
        <v>0-2 anni</v>
      </c>
      <c r="LB72" s="112">
        <f t="shared" si="33"/>
        <v>41184</v>
      </c>
      <c r="LC72" s="112">
        <f t="shared" si="34"/>
        <v>41196</v>
      </c>
      <c r="LD72">
        <f t="shared" ca="1" si="98"/>
        <v>26306.11</v>
      </c>
      <c r="LE72" s="262">
        <f t="shared" ca="1" si="99"/>
        <v>37464.960000000006</v>
      </c>
      <c r="LF72">
        <f t="shared" si="100"/>
        <v>13</v>
      </c>
      <c r="LG72">
        <f t="shared" ca="1" si="101"/>
        <v>397.44</v>
      </c>
    </row>
    <row r="73" spans="1:319" ht="90" x14ac:dyDescent="0.25">
      <c r="A73" s="112">
        <f t="shared" si="139"/>
        <v>40422</v>
      </c>
      <c r="B73" s="112">
        <f t="shared" si="35"/>
        <v>40544</v>
      </c>
      <c r="E73" s="240">
        <f>Foglio3!F53</f>
        <v>41197</v>
      </c>
      <c r="F73" s="240">
        <f>Foglio3!G53</f>
        <v>41239</v>
      </c>
      <c r="G73" s="244"/>
      <c r="H73" s="245">
        <f t="shared" si="36"/>
        <v>41197</v>
      </c>
      <c r="I73" s="245">
        <f t="shared" si="15"/>
        <v>41239</v>
      </c>
      <c r="J73" s="244"/>
      <c r="K73" s="244"/>
      <c r="Q73">
        <f t="shared" si="16"/>
        <v>43</v>
      </c>
      <c r="R73">
        <f t="shared" si="140"/>
        <v>43</v>
      </c>
      <c r="S73">
        <f t="shared" si="37"/>
        <v>0</v>
      </c>
      <c r="T73">
        <f t="shared" si="128"/>
        <v>1</v>
      </c>
      <c r="U73">
        <f t="shared" si="129"/>
        <v>13</v>
      </c>
      <c r="W73">
        <f t="shared" si="168"/>
        <v>0</v>
      </c>
      <c r="X73">
        <f t="shared" si="168"/>
        <v>135</v>
      </c>
      <c r="Y73">
        <f t="shared" si="168"/>
        <v>341</v>
      </c>
      <c r="AA73" s="112">
        <f t="shared" si="102"/>
        <v>41197</v>
      </c>
      <c r="AB73" s="112">
        <f t="shared" si="103"/>
        <v>41239</v>
      </c>
      <c r="AG73">
        <f t="shared" si="38"/>
        <v>1</v>
      </c>
      <c r="AH73" s="112">
        <f t="shared" si="39"/>
        <v>41197</v>
      </c>
      <c r="AI73" s="112">
        <f t="shared" si="39"/>
        <v>41239</v>
      </c>
      <c r="CG73">
        <f t="shared" si="41"/>
        <v>2012</v>
      </c>
      <c r="CH73">
        <f t="shared" si="41"/>
        <v>2012</v>
      </c>
      <c r="CJ73">
        <f t="shared" si="42"/>
        <v>0</v>
      </c>
      <c r="CK73">
        <f t="shared" si="158"/>
        <v>0</v>
      </c>
      <c r="CL73">
        <f t="shared" si="43"/>
        <v>0</v>
      </c>
      <c r="CN73">
        <f t="shared" si="44"/>
        <v>0</v>
      </c>
      <c r="CX73" s="112">
        <f t="shared" si="47"/>
        <v>100000</v>
      </c>
      <c r="CY73" s="112">
        <f t="shared" si="114"/>
        <v>100000</v>
      </c>
      <c r="CZ73" s="112">
        <f t="shared" si="115"/>
        <v>100000</v>
      </c>
      <c r="DA73" s="112">
        <f t="shared" si="116"/>
        <v>100000</v>
      </c>
      <c r="DB73" s="112">
        <f t="shared" si="117"/>
        <v>100000</v>
      </c>
      <c r="DC73" s="112">
        <f t="shared" si="118"/>
        <v>100000</v>
      </c>
      <c r="DU73" s="112"/>
      <c r="DV73" s="112"/>
      <c r="DW73" s="276"/>
      <c r="DX73" s="276"/>
      <c r="DY73" s="276"/>
      <c r="DZ73" s="276"/>
      <c r="EF73" s="260">
        <f t="shared" si="160"/>
        <v>43466</v>
      </c>
      <c r="EK73" s="254"/>
      <c r="EL73">
        <f t="shared" si="163"/>
        <v>34</v>
      </c>
      <c r="EM73" s="260" t="e">
        <f t="shared" ca="1" si="121"/>
        <v>#NUM!</v>
      </c>
      <c r="EN73" s="112" t="e">
        <f t="shared" ca="1" si="56"/>
        <v>#NUM!</v>
      </c>
      <c r="EO73" s="112">
        <f t="shared" ca="1" si="57"/>
        <v>100000</v>
      </c>
      <c r="EP73" s="112">
        <f t="shared" ca="1" si="122"/>
        <v>100000</v>
      </c>
      <c r="EQ73" s="273">
        <f t="shared" ca="1" si="137"/>
        <v>100000</v>
      </c>
      <c r="ER73" s="302">
        <f t="shared" ca="1" si="58"/>
        <v>100000</v>
      </c>
      <c r="EU73">
        <f t="shared" ca="1" si="159"/>
        <v>28</v>
      </c>
      <c r="EV73" s="260">
        <f t="shared" ca="1" si="123"/>
        <v>100000</v>
      </c>
      <c r="EW73" t="str">
        <f t="shared" ca="1" si="59"/>
        <v>28-34 anni</v>
      </c>
      <c r="EX73">
        <f t="shared" ca="1" si="19"/>
        <v>1</v>
      </c>
      <c r="EY73" s="238">
        <f t="shared" ca="1" si="20"/>
        <v>260</v>
      </c>
      <c r="EZ73" t="str">
        <f t="shared" ca="1" si="60"/>
        <v>28-34 anni</v>
      </c>
      <c r="FB73">
        <f t="shared" ca="1" si="61"/>
        <v>27377.74</v>
      </c>
      <c r="FC73">
        <f t="shared" ca="1" si="164"/>
        <v>0</v>
      </c>
      <c r="FD73">
        <f t="shared" ca="1" si="164"/>
        <v>0</v>
      </c>
      <c r="FE73">
        <f t="shared" ca="1" si="164"/>
        <v>6459.63</v>
      </c>
      <c r="FF73">
        <f t="shared" ca="1" si="164"/>
        <v>169.19</v>
      </c>
      <c r="FL73">
        <f t="shared" ca="1" si="62"/>
        <v>0</v>
      </c>
      <c r="FM73">
        <f t="shared" ca="1" si="22"/>
        <v>3458.4</v>
      </c>
      <c r="FR73" s="254" t="str">
        <f t="shared" ca="1" si="124"/>
        <v>28-34 anni</v>
      </c>
      <c r="FS73">
        <f t="shared" si="125"/>
        <v>73</v>
      </c>
      <c r="FT73" t="str">
        <f t="shared" ca="1" si="165"/>
        <v>ez73</v>
      </c>
      <c r="FU73" t="str">
        <f t="shared" ca="1" si="165"/>
        <v>EV73</v>
      </c>
      <c r="FV73" t="str">
        <f t="shared" ca="1" si="165"/>
        <v>FB73</v>
      </c>
      <c r="FW73" t="str">
        <f t="shared" ca="1" si="165"/>
        <v>FC73</v>
      </c>
      <c r="FX73" t="str">
        <f t="shared" ca="1" si="165"/>
        <v>FD73</v>
      </c>
      <c r="FY73" t="str">
        <f t="shared" ca="1" si="165"/>
        <v>FE73</v>
      </c>
      <c r="FZ73" t="str">
        <f t="shared" ca="1" si="165"/>
        <v>FF73</v>
      </c>
      <c r="GA73" t="str">
        <f t="shared" ca="1" si="165"/>
        <v>FL73</v>
      </c>
      <c r="GB73" t="str">
        <f t="shared" ca="1" si="165"/>
        <v>FM73</v>
      </c>
      <c r="GC73" t="str">
        <f t="shared" ca="1" si="63"/>
        <v/>
      </c>
      <c r="GD73" t="str">
        <f t="shared" ca="1" si="165"/>
        <v/>
      </c>
      <c r="GE73">
        <f t="shared" ca="1" si="126"/>
        <v>0</v>
      </c>
      <c r="GF73" s="112">
        <f t="shared" ca="1" si="64"/>
        <v>100000</v>
      </c>
      <c r="GG73" s="238" t="str">
        <f t="shared" ca="1" si="65"/>
        <v>28-34 anni</v>
      </c>
      <c r="GH73" s="262">
        <f t="shared" ca="1" si="66"/>
        <v>27377.74</v>
      </c>
      <c r="GI73" s="262">
        <f t="shared" ca="1" si="67"/>
        <v>0</v>
      </c>
      <c r="GJ73" s="262">
        <f t="shared" ca="1" si="68"/>
        <v>0</v>
      </c>
      <c r="GK73" s="262">
        <f t="shared" ca="1" si="69"/>
        <v>6459.63</v>
      </c>
      <c r="GL73" s="262">
        <f t="shared" ca="1" si="70"/>
        <v>169.19</v>
      </c>
      <c r="GM73" s="262">
        <f t="shared" ca="1" si="71"/>
        <v>0</v>
      </c>
      <c r="GN73" s="262">
        <f t="shared" ca="1" si="72"/>
        <v>3458.4</v>
      </c>
      <c r="GO73" s="262">
        <f t="shared" ca="1" si="73"/>
        <v>0</v>
      </c>
      <c r="GP73" s="262">
        <f t="shared" ca="1" si="74"/>
        <v>0</v>
      </c>
      <c r="GR73" s="262">
        <f t="shared" ca="1" si="76"/>
        <v>33837.370000000003</v>
      </c>
      <c r="GS73" s="262">
        <f t="shared" ca="1" si="25"/>
        <v>37464.960000000006</v>
      </c>
      <c r="GT73" s="253" t="str">
        <f t="shared" ca="1" si="77"/>
        <v/>
      </c>
      <c r="GU73" t="str">
        <f t="shared" ca="1" si="78"/>
        <v/>
      </c>
      <c r="GV73" t="str">
        <f t="shared" ca="1" si="79"/>
        <v/>
      </c>
      <c r="GW73" t="str">
        <f t="shared" ca="1" si="138"/>
        <v xml:space="preserve">
</v>
      </c>
      <c r="GX73" t="str">
        <f t="shared" ca="1" si="166"/>
        <v/>
      </c>
      <c r="GY73" t="str">
        <f t="shared" ca="1" si="166"/>
        <v/>
      </c>
      <c r="GZ73" t="str">
        <f t="shared" ca="1" si="157"/>
        <v/>
      </c>
      <c r="HA73" t="str">
        <f t="shared" ca="1" si="166"/>
        <v xml:space="preserve">  Indennita di Vacanza contr.le - annuo lordo euro: 169,19
</v>
      </c>
      <c r="HB73" t="str">
        <f t="shared" ca="1" si="166"/>
        <v/>
      </c>
      <c r="HC73" t="str">
        <f t="shared" ca="1" si="166"/>
        <v xml:space="preserve">rpd/cia - annuo lordo euro: 3458,4
</v>
      </c>
      <c r="HD73" t="str">
        <f t="shared" ca="1" si="80"/>
        <v/>
      </c>
      <c r="HE73" s="254" t="str">
        <f t="shared" ca="1" si="166"/>
        <v/>
      </c>
      <c r="HF73" s="254" t="str">
        <f t="shared" ca="1" si="81"/>
        <v xml:space="preserve">TOTALE ANNUO LORDO EURO 37464,96
</v>
      </c>
      <c r="HL73" t="str">
        <f t="shared" ca="1" si="82"/>
        <v xml:space="preserve"> C.C.N.L. DEL 06/12/2022 -</v>
      </c>
      <c r="HM73" s="263" t="str">
        <f t="shared" ca="1" si="83"/>
        <v xml:space="preserve"> C.C.N.L. DEL 06/12/2022 -
  Indennita di Vacanza contr.le - annuo lordo euro: 169,19
rpd/cia - annuo lordo euro: 3458,4
TOTALE ANNUO LORDO EURO 37464,96
Altri assegni previsti per legge</v>
      </c>
      <c r="HO73" s="272" t="str">
        <f t="shared" ca="1" si="28"/>
        <v/>
      </c>
      <c r="HP73">
        <f t="shared" ca="1" si="84"/>
        <v>0</v>
      </c>
      <c r="HQ73" t="str">
        <f t="shared" ca="1" si="85"/>
        <v/>
      </c>
      <c r="HR73" t="str">
        <f t="shared" ca="1" si="169"/>
        <v/>
      </c>
      <c r="HS73" t="str">
        <f t="shared" ca="1" si="170"/>
        <v/>
      </c>
      <c r="HX73" s="253" t="s">
        <v>187</v>
      </c>
      <c r="HY73" s="112" t="str">
        <f t="shared" si="88"/>
        <v>15/10/2012</v>
      </c>
      <c r="HZ73" t="s">
        <v>188</v>
      </c>
      <c r="IA73" s="112" t="str">
        <f t="shared" si="89"/>
        <v>26/11/2012</v>
      </c>
      <c r="IB73" t="s">
        <v>189</v>
      </c>
      <c r="IC73">
        <f t="shared" si="90"/>
        <v>0</v>
      </c>
      <c r="ID73" t="s">
        <v>192</v>
      </c>
      <c r="IE73">
        <f t="shared" si="91"/>
        <v>1</v>
      </c>
      <c r="IF73" t="s">
        <v>191</v>
      </c>
      <c r="IG73" s="254">
        <f t="shared" si="92"/>
        <v>13</v>
      </c>
      <c r="IL73" t="str">
        <f t="shared" si="93"/>
        <v xml:space="preserve">DAL: 15/10/2012 - AL:26/11/2012 - ANNI:0 - MESI:1 -GIORNI:13
</v>
      </c>
      <c r="KD73">
        <v>0</v>
      </c>
      <c r="KE73" s="260">
        <f t="shared" ca="1" si="94"/>
        <v>100000</v>
      </c>
      <c r="KF73" t="str">
        <f t="shared" si="95"/>
        <v>0-2 anni</v>
      </c>
      <c r="KG73">
        <f t="shared" si="29"/>
        <v>6</v>
      </c>
      <c r="KH73" s="238">
        <f t="shared" ca="1" si="30"/>
        <v>255</v>
      </c>
      <c r="KK73">
        <f t="shared" ca="1" si="96"/>
        <v>16218.89</v>
      </c>
      <c r="KL73">
        <f t="shared" ca="1" si="167"/>
        <v>0</v>
      </c>
      <c r="KM73">
        <f t="shared" ca="1" si="167"/>
        <v>0</v>
      </c>
      <c r="KN73">
        <f t="shared" ca="1" si="167"/>
        <v>6459.63</v>
      </c>
      <c r="KO73">
        <f t="shared" ca="1" si="167"/>
        <v>169.19</v>
      </c>
      <c r="KV73">
        <f t="shared" ca="1" si="32"/>
        <v>3458.4</v>
      </c>
      <c r="LA73" s="254" t="str">
        <f t="shared" si="97"/>
        <v>0-2 anni</v>
      </c>
      <c r="LB73" s="112">
        <f t="shared" si="33"/>
        <v>41197</v>
      </c>
      <c r="LC73" s="112">
        <f t="shared" si="34"/>
        <v>41239</v>
      </c>
      <c r="LD73">
        <f t="shared" ca="1" si="98"/>
        <v>26306.11</v>
      </c>
      <c r="LE73" s="262">
        <f t="shared" ca="1" si="99"/>
        <v>37464.960000000006</v>
      </c>
      <c r="LF73">
        <f t="shared" si="100"/>
        <v>43</v>
      </c>
      <c r="LG73">
        <f t="shared" ca="1" si="101"/>
        <v>1314.6</v>
      </c>
    </row>
    <row r="74" spans="1:319" ht="90" x14ac:dyDescent="0.25">
      <c r="A74" s="112">
        <f t="shared" si="139"/>
        <v>40422</v>
      </c>
      <c r="B74" s="112">
        <f t="shared" si="35"/>
        <v>40544</v>
      </c>
      <c r="E74" s="240">
        <f>Foglio3!F54</f>
        <v>41240</v>
      </c>
      <c r="F74" s="240">
        <f>Foglio3!G54</f>
        <v>41471</v>
      </c>
      <c r="G74" s="244"/>
      <c r="H74" s="245">
        <f t="shared" si="36"/>
        <v>41240</v>
      </c>
      <c r="I74" s="245">
        <f t="shared" si="15"/>
        <v>41274</v>
      </c>
      <c r="J74" s="244"/>
      <c r="K74" s="244"/>
      <c r="Q74">
        <f t="shared" si="16"/>
        <v>35</v>
      </c>
      <c r="R74">
        <f t="shared" si="140"/>
        <v>35</v>
      </c>
      <c r="S74">
        <f t="shared" si="37"/>
        <v>0</v>
      </c>
      <c r="T74">
        <f t="shared" si="128"/>
        <v>1</v>
      </c>
      <c r="U74">
        <f t="shared" si="129"/>
        <v>5</v>
      </c>
      <c r="W74">
        <f t="shared" si="168"/>
        <v>0</v>
      </c>
      <c r="X74">
        <f t="shared" si="168"/>
        <v>136</v>
      </c>
      <c r="Y74">
        <f t="shared" si="168"/>
        <v>346</v>
      </c>
      <c r="AA74" s="112">
        <f t="shared" si="102"/>
        <v>41240</v>
      </c>
      <c r="AB74" s="112">
        <f t="shared" si="103"/>
        <v>41274</v>
      </c>
      <c r="AG74">
        <f t="shared" si="38"/>
        <v>1</v>
      </c>
      <c r="AH74" s="112">
        <f t="shared" si="39"/>
        <v>41240</v>
      </c>
      <c r="AI74" s="112">
        <f t="shared" si="39"/>
        <v>41274</v>
      </c>
      <c r="CG74">
        <f t="shared" si="41"/>
        <v>2012</v>
      </c>
      <c r="CH74">
        <f t="shared" si="41"/>
        <v>2013</v>
      </c>
      <c r="CJ74">
        <f t="shared" si="42"/>
        <v>0</v>
      </c>
      <c r="CK74">
        <f t="shared" si="158"/>
        <v>196</v>
      </c>
      <c r="CL74">
        <f t="shared" si="43"/>
        <v>0</v>
      </c>
      <c r="CN74">
        <f t="shared" si="44"/>
        <v>196</v>
      </c>
      <c r="CX74" s="112">
        <f t="shared" si="47"/>
        <v>100000</v>
      </c>
      <c r="CY74" s="112">
        <f t="shared" si="114"/>
        <v>100000</v>
      </c>
      <c r="CZ74" s="112">
        <f t="shared" si="115"/>
        <v>100000</v>
      </c>
      <c r="DA74" s="112">
        <f t="shared" si="116"/>
        <v>100000</v>
      </c>
      <c r="DB74" s="112">
        <f t="shared" si="117"/>
        <v>100000</v>
      </c>
      <c r="DC74" s="112">
        <f t="shared" si="118"/>
        <v>100000</v>
      </c>
      <c r="DU74" s="112"/>
      <c r="DV74" s="112"/>
      <c r="DW74" s="276"/>
      <c r="DX74" s="276"/>
      <c r="DY74" s="276"/>
      <c r="DZ74" s="276"/>
      <c r="EF74" s="260">
        <f t="shared" si="160"/>
        <v>43831</v>
      </c>
      <c r="EK74" s="254"/>
      <c r="EL74">
        <f t="shared" si="163"/>
        <v>35</v>
      </c>
      <c r="EM74" s="260" t="e">
        <f t="shared" ca="1" si="121"/>
        <v>#NUM!</v>
      </c>
      <c r="EN74" s="112" t="e">
        <f t="shared" ca="1" si="56"/>
        <v>#NUM!</v>
      </c>
      <c r="EO74" s="112">
        <f t="shared" ca="1" si="57"/>
        <v>100000</v>
      </c>
      <c r="EP74" s="112">
        <f t="shared" ca="1" si="122"/>
        <v>100000</v>
      </c>
      <c r="EQ74" s="273">
        <f t="shared" ca="1" si="137"/>
        <v>100000</v>
      </c>
      <c r="ER74" s="302">
        <f t="shared" ca="1" si="58"/>
        <v>100000</v>
      </c>
      <c r="EU74">
        <f t="shared" ca="1" si="159"/>
        <v>28</v>
      </c>
      <c r="EV74" s="260">
        <f t="shared" ca="1" si="123"/>
        <v>100000</v>
      </c>
      <c r="EW74" t="str">
        <f t="shared" ca="1" si="59"/>
        <v>28-34 anni</v>
      </c>
      <c r="EX74">
        <f t="shared" ca="1" si="19"/>
        <v>1</v>
      </c>
      <c r="EY74" s="238">
        <f t="shared" ca="1" si="20"/>
        <v>260</v>
      </c>
      <c r="EZ74" t="str">
        <f t="shared" ca="1" si="60"/>
        <v>28-34 anni</v>
      </c>
      <c r="FB74">
        <f t="shared" ca="1" si="61"/>
        <v>27377.74</v>
      </c>
      <c r="FC74">
        <f t="shared" ca="1" si="164"/>
        <v>0</v>
      </c>
      <c r="FD74">
        <f t="shared" ca="1" si="164"/>
        <v>0</v>
      </c>
      <c r="FE74">
        <f t="shared" ca="1" si="164"/>
        <v>6459.63</v>
      </c>
      <c r="FF74">
        <f t="shared" ca="1" si="164"/>
        <v>169.19</v>
      </c>
      <c r="FL74">
        <f t="shared" ca="1" si="62"/>
        <v>0</v>
      </c>
      <c r="FM74">
        <f t="shared" ca="1" si="22"/>
        <v>3458.4</v>
      </c>
      <c r="FR74" s="254" t="str">
        <f t="shared" ca="1" si="124"/>
        <v>28-34 anni</v>
      </c>
      <c r="FS74">
        <f t="shared" si="125"/>
        <v>74</v>
      </c>
      <c r="FT74" t="str">
        <f t="shared" ca="1" si="165"/>
        <v>ez74</v>
      </c>
      <c r="FU74" t="str">
        <f t="shared" ca="1" si="165"/>
        <v>EV74</v>
      </c>
      <c r="FV74" t="str">
        <f t="shared" ca="1" si="165"/>
        <v>FB74</v>
      </c>
      <c r="FW74" t="str">
        <f t="shared" ca="1" si="165"/>
        <v>FC74</v>
      </c>
      <c r="FX74" t="str">
        <f t="shared" ca="1" si="165"/>
        <v>FD74</v>
      </c>
      <c r="FY74" t="str">
        <f t="shared" ca="1" si="165"/>
        <v>FE74</v>
      </c>
      <c r="FZ74" t="str">
        <f t="shared" ca="1" si="165"/>
        <v>FF74</v>
      </c>
      <c r="GA74" t="str">
        <f t="shared" ca="1" si="165"/>
        <v>FL74</v>
      </c>
      <c r="GB74" t="str">
        <f t="shared" ca="1" si="165"/>
        <v>FM74</v>
      </c>
      <c r="GC74" t="str">
        <f t="shared" ca="1" si="63"/>
        <v/>
      </c>
      <c r="GD74" t="str">
        <f t="shared" ca="1" si="165"/>
        <v/>
      </c>
      <c r="GE74">
        <f t="shared" ca="1" si="126"/>
        <v>0</v>
      </c>
      <c r="GF74" s="112">
        <f t="shared" ca="1" si="64"/>
        <v>100000</v>
      </c>
      <c r="GG74" s="238" t="str">
        <f t="shared" ca="1" si="65"/>
        <v>28-34 anni</v>
      </c>
      <c r="GH74" s="262">
        <f t="shared" ca="1" si="66"/>
        <v>27377.74</v>
      </c>
      <c r="GI74" s="262">
        <f t="shared" ca="1" si="67"/>
        <v>0</v>
      </c>
      <c r="GJ74" s="262">
        <f t="shared" ca="1" si="68"/>
        <v>0</v>
      </c>
      <c r="GK74" s="262">
        <f t="shared" ca="1" si="69"/>
        <v>6459.63</v>
      </c>
      <c r="GL74" s="262">
        <f t="shared" ca="1" si="70"/>
        <v>169.19</v>
      </c>
      <c r="GM74" s="262">
        <f t="shared" ca="1" si="71"/>
        <v>0</v>
      </c>
      <c r="GN74" s="262">
        <f t="shared" ca="1" si="72"/>
        <v>3458.4</v>
      </c>
      <c r="GO74" s="262">
        <f t="shared" ca="1" si="73"/>
        <v>0</v>
      </c>
      <c r="GP74" s="262">
        <f t="shared" ca="1" si="74"/>
        <v>0</v>
      </c>
      <c r="GR74" s="262">
        <f t="shared" ca="1" si="76"/>
        <v>33837.370000000003</v>
      </c>
      <c r="GS74" s="262">
        <f t="shared" ca="1" si="25"/>
        <v>37464.960000000006</v>
      </c>
      <c r="GT74" s="253" t="str">
        <f t="shared" ca="1" si="77"/>
        <v/>
      </c>
      <c r="GU74" t="str">
        <f t="shared" ca="1" si="78"/>
        <v/>
      </c>
      <c r="GV74" t="str">
        <f t="shared" ca="1" si="79"/>
        <v/>
      </c>
      <c r="GW74" t="str">
        <f t="shared" ca="1" si="138"/>
        <v xml:space="preserve">
</v>
      </c>
      <c r="GX74" t="str">
        <f t="shared" ca="1" si="166"/>
        <v/>
      </c>
      <c r="GY74" t="str">
        <f t="shared" ca="1" si="166"/>
        <v/>
      </c>
      <c r="GZ74" t="str">
        <f t="shared" ca="1" si="157"/>
        <v/>
      </c>
      <c r="HA74" t="str">
        <f t="shared" ca="1" si="166"/>
        <v xml:space="preserve">  Indennita di Vacanza contr.le - annuo lordo euro: 169,19
</v>
      </c>
      <c r="HB74" t="str">
        <f t="shared" ca="1" si="166"/>
        <v/>
      </c>
      <c r="HC74" t="str">
        <f t="shared" ca="1" si="166"/>
        <v xml:space="preserve">rpd/cia - annuo lordo euro: 3458,4
</v>
      </c>
      <c r="HD74" t="str">
        <f t="shared" ca="1" si="80"/>
        <v/>
      </c>
      <c r="HE74" s="254" t="str">
        <f t="shared" ca="1" si="166"/>
        <v/>
      </c>
      <c r="HF74" s="254" t="str">
        <f t="shared" ca="1" si="81"/>
        <v xml:space="preserve">TOTALE ANNUO LORDO EURO 37464,96
</v>
      </c>
      <c r="HL74" t="str">
        <f t="shared" ca="1" si="82"/>
        <v xml:space="preserve"> C.C.N.L. DEL 06/12/2022 -</v>
      </c>
      <c r="HM74" s="263" t="str">
        <f t="shared" ca="1" si="83"/>
        <v xml:space="preserve"> C.C.N.L. DEL 06/12/2022 -
  Indennita di Vacanza contr.le - annuo lordo euro: 169,19
rpd/cia - annuo lordo euro: 3458,4
TOTALE ANNUO LORDO EURO 37464,96
Altri assegni previsti per legge</v>
      </c>
      <c r="HO74" s="272" t="str">
        <f t="shared" ca="1" si="28"/>
        <v/>
      </c>
      <c r="HP74">
        <f t="shared" ca="1" si="84"/>
        <v>0</v>
      </c>
      <c r="HQ74" t="str">
        <f t="shared" ca="1" si="85"/>
        <v/>
      </c>
      <c r="HR74" t="str">
        <f t="shared" ca="1" si="169"/>
        <v/>
      </c>
      <c r="HS74" t="str">
        <f t="shared" ca="1" si="170"/>
        <v/>
      </c>
      <c r="HX74" s="253" t="s">
        <v>187</v>
      </c>
      <c r="HY74" s="112" t="str">
        <f t="shared" si="88"/>
        <v>27/11/2012</v>
      </c>
      <c r="HZ74" t="s">
        <v>188</v>
      </c>
      <c r="IA74" s="112" t="str">
        <f t="shared" si="89"/>
        <v>16/7/2013</v>
      </c>
      <c r="IB74" t="s">
        <v>189</v>
      </c>
      <c r="IC74">
        <f t="shared" si="90"/>
        <v>0</v>
      </c>
      <c r="ID74" t="s">
        <v>192</v>
      </c>
      <c r="IE74">
        <f t="shared" si="91"/>
        <v>1</v>
      </c>
      <c r="IF74" t="s">
        <v>191</v>
      </c>
      <c r="IG74" s="254">
        <f t="shared" si="92"/>
        <v>5</v>
      </c>
      <c r="IL74" t="str">
        <f t="shared" si="93"/>
        <v xml:space="preserve">DAL: 27/11/2012 - AL:16/7/2013 - ANNI:0 - MESI:1 -GIORNI:5
</v>
      </c>
      <c r="KD74">
        <v>0</v>
      </c>
      <c r="KE74" s="260">
        <f t="shared" ca="1" si="94"/>
        <v>100000</v>
      </c>
      <c r="KF74" t="str">
        <f t="shared" si="95"/>
        <v>0-2 anni</v>
      </c>
      <c r="KG74">
        <f t="shared" si="29"/>
        <v>6</v>
      </c>
      <c r="KH74" s="238">
        <f t="shared" ca="1" si="30"/>
        <v>255</v>
      </c>
      <c r="KK74">
        <f t="shared" ca="1" si="96"/>
        <v>16218.89</v>
      </c>
      <c r="KL74">
        <f t="shared" ca="1" si="167"/>
        <v>0</v>
      </c>
      <c r="KM74">
        <f t="shared" ca="1" si="167"/>
        <v>0</v>
      </c>
      <c r="KN74">
        <f t="shared" ca="1" si="167"/>
        <v>6459.63</v>
      </c>
      <c r="KO74">
        <f t="shared" ca="1" si="167"/>
        <v>169.19</v>
      </c>
      <c r="KV74">
        <f t="shared" ca="1" si="32"/>
        <v>3458.4</v>
      </c>
      <c r="LA74" s="254" t="str">
        <f t="shared" si="97"/>
        <v>0-2 anni</v>
      </c>
      <c r="LB74" s="112">
        <f t="shared" si="33"/>
        <v>41240</v>
      </c>
      <c r="LC74" s="112">
        <f t="shared" si="34"/>
        <v>41471</v>
      </c>
      <c r="LD74">
        <f t="shared" ca="1" si="98"/>
        <v>26306.11</v>
      </c>
      <c r="LE74" s="262">
        <f t="shared" ca="1" si="99"/>
        <v>37464.960000000006</v>
      </c>
      <c r="LF74">
        <f t="shared" si="100"/>
        <v>35</v>
      </c>
      <c r="LG74">
        <f t="shared" ca="1" si="101"/>
        <v>1070.03</v>
      </c>
    </row>
    <row r="75" spans="1:319" ht="60" x14ac:dyDescent="0.25">
      <c r="A75" s="112">
        <f t="shared" si="139"/>
        <v>40422</v>
      </c>
      <c r="B75" s="112">
        <f t="shared" si="35"/>
        <v>40544</v>
      </c>
      <c r="E75" s="240">
        <f>Foglio3!F55</f>
        <v>41530</v>
      </c>
      <c r="F75" s="240">
        <f>Foglio3!G55</f>
        <v>41882</v>
      </c>
      <c r="G75" s="244"/>
      <c r="H75" s="245">
        <f t="shared" si="36"/>
        <v>41640</v>
      </c>
      <c r="I75" s="245">
        <f t="shared" si="15"/>
        <v>41882</v>
      </c>
      <c r="J75" s="244"/>
      <c r="K75" s="244"/>
      <c r="Q75">
        <f t="shared" si="16"/>
        <v>243</v>
      </c>
      <c r="R75">
        <f t="shared" si="140"/>
        <v>243</v>
      </c>
      <c r="S75">
        <f t="shared" si="37"/>
        <v>0</v>
      </c>
      <c r="T75">
        <f t="shared" si="128"/>
        <v>8</v>
      </c>
      <c r="U75">
        <f t="shared" si="129"/>
        <v>3</v>
      </c>
      <c r="W75">
        <f t="shared" ref="W75:Y90" si="171">S75+W74</f>
        <v>0</v>
      </c>
      <c r="X75">
        <f t="shared" si="171"/>
        <v>144</v>
      </c>
      <c r="Y75">
        <f t="shared" si="171"/>
        <v>349</v>
      </c>
      <c r="AA75" s="112" t="str">
        <f t="shared" si="102"/>
        <v>01/01/2014</v>
      </c>
      <c r="AB75" s="112">
        <f t="shared" si="103"/>
        <v>41882</v>
      </c>
      <c r="AG75">
        <f t="shared" si="38"/>
        <v>1</v>
      </c>
      <c r="AH75" s="112">
        <f t="shared" si="39"/>
        <v>41640</v>
      </c>
      <c r="AI75" s="112">
        <f t="shared" si="39"/>
        <v>41882</v>
      </c>
      <c r="CG75">
        <f t="shared" si="41"/>
        <v>2013</v>
      </c>
      <c r="CH75">
        <f t="shared" si="41"/>
        <v>2014</v>
      </c>
      <c r="CJ75">
        <f t="shared" si="42"/>
        <v>0</v>
      </c>
      <c r="CK75">
        <f t="shared" si="158"/>
        <v>0</v>
      </c>
      <c r="CL75">
        <f t="shared" si="43"/>
        <v>110</v>
      </c>
      <c r="CN75">
        <f t="shared" si="44"/>
        <v>110</v>
      </c>
      <c r="CX75" s="112">
        <f t="shared" si="47"/>
        <v>100000</v>
      </c>
      <c r="CY75" s="112">
        <f t="shared" si="114"/>
        <v>100000</v>
      </c>
      <c r="CZ75" s="112">
        <f t="shared" si="115"/>
        <v>100000</v>
      </c>
      <c r="DA75" s="112">
        <f t="shared" si="116"/>
        <v>100000</v>
      </c>
      <c r="DB75" s="112">
        <f t="shared" si="117"/>
        <v>100000</v>
      </c>
      <c r="DC75" s="112">
        <f t="shared" si="118"/>
        <v>100000</v>
      </c>
      <c r="DU75" s="112"/>
      <c r="DV75" s="112"/>
      <c r="DW75" s="276"/>
      <c r="DX75" s="276"/>
      <c r="DY75" s="276"/>
      <c r="DZ75" s="276"/>
      <c r="EF75" s="260">
        <f t="shared" si="160"/>
        <v>44197</v>
      </c>
      <c r="EK75" s="254"/>
      <c r="EL75">
        <f t="shared" si="163"/>
        <v>36</v>
      </c>
      <c r="EM75" s="260" t="e">
        <f t="shared" ca="1" si="121"/>
        <v>#NUM!</v>
      </c>
      <c r="EN75" s="112" t="e">
        <f t="shared" ca="1" si="56"/>
        <v>#NUM!</v>
      </c>
      <c r="EO75" s="112">
        <f t="shared" ca="1" si="57"/>
        <v>100000</v>
      </c>
      <c r="EP75" s="112">
        <f t="shared" ca="1" si="122"/>
        <v>100000</v>
      </c>
      <c r="EQ75" s="273">
        <f t="shared" ca="1" si="137"/>
        <v>100000</v>
      </c>
      <c r="ER75" s="302">
        <f t="shared" ca="1" si="58"/>
        <v>100000</v>
      </c>
      <c r="EU75">
        <f t="shared" ca="1" si="159"/>
        <v>28</v>
      </c>
      <c r="EV75" s="260">
        <f t="shared" ca="1" si="123"/>
        <v>100000</v>
      </c>
      <c r="EW75" t="str">
        <f t="shared" ca="1" si="59"/>
        <v>28-34 anni</v>
      </c>
      <c r="EX75">
        <f t="shared" ca="1" si="19"/>
        <v>1</v>
      </c>
      <c r="EY75" s="238">
        <f t="shared" ca="1" si="20"/>
        <v>260</v>
      </c>
      <c r="EZ75" t="str">
        <f t="shared" ca="1" si="60"/>
        <v>28-34 anni</v>
      </c>
      <c r="FB75">
        <f t="shared" ca="1" si="61"/>
        <v>27377.74</v>
      </c>
      <c r="FC75">
        <f t="shared" ca="1" si="164"/>
        <v>0</v>
      </c>
      <c r="FD75">
        <f t="shared" ca="1" si="164"/>
        <v>0</v>
      </c>
      <c r="FE75">
        <f t="shared" ca="1" si="164"/>
        <v>6459.63</v>
      </c>
      <c r="FF75">
        <f t="shared" ca="1" si="164"/>
        <v>169.19</v>
      </c>
      <c r="FL75">
        <f t="shared" ca="1" si="62"/>
        <v>0</v>
      </c>
      <c r="FM75">
        <f t="shared" ca="1" si="22"/>
        <v>3458.4</v>
      </c>
      <c r="FR75" s="254" t="str">
        <f t="shared" ca="1" si="124"/>
        <v>28-34 anni</v>
      </c>
      <c r="FS75">
        <f t="shared" si="125"/>
        <v>75</v>
      </c>
      <c r="FT75" t="str">
        <f t="shared" ca="1" si="165"/>
        <v>ez75</v>
      </c>
      <c r="FU75" t="str">
        <f t="shared" ca="1" si="165"/>
        <v>EV75</v>
      </c>
      <c r="FV75" t="str">
        <f t="shared" ca="1" si="165"/>
        <v>FB75</v>
      </c>
      <c r="FW75" t="str">
        <f t="shared" ca="1" si="165"/>
        <v>FC75</v>
      </c>
      <c r="FX75" t="str">
        <f t="shared" ca="1" si="165"/>
        <v>FD75</v>
      </c>
      <c r="FY75" t="str">
        <f t="shared" ca="1" si="165"/>
        <v>FE75</v>
      </c>
      <c r="FZ75" t="str">
        <f t="shared" ca="1" si="165"/>
        <v>FF75</v>
      </c>
      <c r="GA75" t="str">
        <f t="shared" ca="1" si="165"/>
        <v>FL75</v>
      </c>
      <c r="GB75" t="str">
        <f t="shared" ca="1" si="165"/>
        <v>FM75</v>
      </c>
      <c r="GC75" t="str">
        <f t="shared" ca="1" si="63"/>
        <v/>
      </c>
      <c r="GD75" t="str">
        <f t="shared" ca="1" si="165"/>
        <v/>
      </c>
      <c r="GE75">
        <f t="shared" ca="1" si="126"/>
        <v>0</v>
      </c>
      <c r="GF75" s="112">
        <f t="shared" ca="1" si="64"/>
        <v>100000</v>
      </c>
      <c r="GG75" s="238" t="str">
        <f t="shared" ca="1" si="65"/>
        <v>28-34 anni</v>
      </c>
      <c r="GH75" s="262">
        <f t="shared" ca="1" si="66"/>
        <v>27377.74</v>
      </c>
      <c r="GI75" s="262">
        <f t="shared" ca="1" si="67"/>
        <v>0</v>
      </c>
      <c r="GJ75" s="262">
        <f t="shared" ca="1" si="68"/>
        <v>0</v>
      </c>
      <c r="GK75" s="262">
        <f t="shared" ca="1" si="69"/>
        <v>6459.63</v>
      </c>
      <c r="GL75" s="262">
        <f t="shared" ca="1" si="70"/>
        <v>169.19</v>
      </c>
      <c r="GM75" s="262">
        <f t="shared" ca="1" si="71"/>
        <v>0</v>
      </c>
      <c r="GN75" s="262">
        <f t="shared" ca="1" si="72"/>
        <v>3458.4</v>
      </c>
      <c r="GO75" s="262">
        <f t="shared" ca="1" si="73"/>
        <v>0</v>
      </c>
      <c r="GP75" s="262">
        <f t="shared" ca="1" si="74"/>
        <v>0</v>
      </c>
      <c r="GR75" s="262">
        <f t="shared" ca="1" si="76"/>
        <v>33837.370000000003</v>
      </c>
      <c r="GS75" s="262">
        <f t="shared" ca="1" si="25"/>
        <v>37464.960000000006</v>
      </c>
      <c r="GV75" t="str">
        <f t="shared" ca="1" si="79"/>
        <v/>
      </c>
      <c r="GW75" t="str">
        <f t="shared" ca="1" si="138"/>
        <v xml:space="preserve">
</v>
      </c>
      <c r="GZ75" t="str">
        <f t="shared" ca="1" si="157"/>
        <v/>
      </c>
      <c r="HD75" t="str">
        <f t="shared" ca="1" si="80"/>
        <v/>
      </c>
      <c r="HF75" s="254" t="str">
        <f t="shared" ca="1" si="81"/>
        <v xml:space="preserve">TOTALE ANNUO LORDO EURO 37464,96
</v>
      </c>
      <c r="HL75" t="str">
        <f t="shared" ca="1" si="82"/>
        <v xml:space="preserve"> C.C.N.L. DEL 06/12/2022 -</v>
      </c>
      <c r="HM75" s="263" t="str">
        <f t="shared" ca="1" si="83"/>
        <v xml:space="preserve"> C.C.N.L. DEL 06/12/2022 -
TOTALE ANNUO LORDO EURO 37464,96
Altri assegni previsti per legge</v>
      </c>
      <c r="HO75" s="272" t="str">
        <f t="shared" ca="1" si="28"/>
        <v/>
      </c>
      <c r="HP75">
        <f t="shared" ca="1" si="84"/>
        <v>0</v>
      </c>
      <c r="HQ75" t="str">
        <f t="shared" ca="1" si="85"/>
        <v/>
      </c>
      <c r="HR75" t="str">
        <f t="shared" ca="1" si="169"/>
        <v/>
      </c>
      <c r="HS75" t="str">
        <f t="shared" ca="1" si="170"/>
        <v/>
      </c>
      <c r="HX75" s="253" t="s">
        <v>187</v>
      </c>
      <c r="HY75" s="112" t="str">
        <f t="shared" si="88"/>
        <v>13/9/2013</v>
      </c>
      <c r="HZ75" t="s">
        <v>188</v>
      </c>
      <c r="IA75" s="112" t="str">
        <f t="shared" si="89"/>
        <v>31/8/2014</v>
      </c>
      <c r="IB75" t="s">
        <v>189</v>
      </c>
      <c r="IC75">
        <f t="shared" si="90"/>
        <v>0</v>
      </c>
      <c r="ID75" t="s">
        <v>192</v>
      </c>
      <c r="IE75">
        <f t="shared" si="91"/>
        <v>8</v>
      </c>
      <c r="IF75" t="s">
        <v>191</v>
      </c>
      <c r="IG75" s="254">
        <f t="shared" si="92"/>
        <v>3</v>
      </c>
      <c r="IL75" t="str">
        <f t="shared" si="93"/>
        <v xml:space="preserve">DAL: 13/9/2013 - AL:31/8/2014 - ANNI:0 - MESI:8 -GIORNI:3
</v>
      </c>
      <c r="KD75">
        <v>0</v>
      </c>
      <c r="KE75" s="260">
        <f t="shared" ca="1" si="94"/>
        <v>100000</v>
      </c>
      <c r="KF75" t="str">
        <f t="shared" si="95"/>
        <v>0-2 anni</v>
      </c>
      <c r="KG75">
        <f t="shared" si="29"/>
        <v>6</v>
      </c>
      <c r="KH75" s="238">
        <f t="shared" ca="1" si="30"/>
        <v>255</v>
      </c>
      <c r="KK75">
        <f t="shared" ca="1" si="96"/>
        <v>16218.89</v>
      </c>
      <c r="KL75">
        <f t="shared" ca="1" si="167"/>
        <v>0</v>
      </c>
      <c r="KM75">
        <f t="shared" ca="1" si="167"/>
        <v>0</v>
      </c>
      <c r="KN75">
        <f t="shared" ca="1" si="167"/>
        <v>6459.63</v>
      </c>
      <c r="KO75">
        <f t="shared" ca="1" si="167"/>
        <v>169.19</v>
      </c>
      <c r="KV75">
        <f t="shared" ca="1" si="32"/>
        <v>3458.4</v>
      </c>
      <c r="LA75" s="254" t="str">
        <f t="shared" si="97"/>
        <v>0-2 anni</v>
      </c>
      <c r="LB75" s="112">
        <f t="shared" si="33"/>
        <v>41530</v>
      </c>
      <c r="LC75" s="112">
        <f t="shared" si="34"/>
        <v>41882</v>
      </c>
      <c r="LD75">
        <f t="shared" ca="1" si="98"/>
        <v>26306.11</v>
      </c>
      <c r="LE75" s="262">
        <f t="shared" ca="1" si="99"/>
        <v>37464.960000000006</v>
      </c>
      <c r="LF75">
        <f t="shared" si="100"/>
        <v>243</v>
      </c>
      <c r="LG75">
        <f t="shared" ca="1" si="101"/>
        <v>7429.04</v>
      </c>
    </row>
    <row r="76" spans="1:319" ht="60" x14ac:dyDescent="0.25">
      <c r="A76" s="112">
        <f t="shared" si="139"/>
        <v>40422</v>
      </c>
      <c r="B76" s="112">
        <f t="shared" si="35"/>
        <v>40544</v>
      </c>
      <c r="E76" s="240">
        <f>Foglio3!F56</f>
        <v>41915</v>
      </c>
      <c r="F76" s="240">
        <f>Foglio3!G56</f>
        <v>42185</v>
      </c>
      <c r="G76" s="244"/>
      <c r="H76" s="245">
        <f t="shared" si="36"/>
        <v>41915</v>
      </c>
      <c r="I76" s="245">
        <f t="shared" si="15"/>
        <v>42185</v>
      </c>
      <c r="J76" s="244"/>
      <c r="K76" s="244"/>
      <c r="Q76">
        <f t="shared" si="16"/>
        <v>271</v>
      </c>
      <c r="R76">
        <f t="shared" si="140"/>
        <v>271</v>
      </c>
      <c r="S76">
        <f t="shared" si="37"/>
        <v>0</v>
      </c>
      <c r="T76">
        <f t="shared" si="128"/>
        <v>9</v>
      </c>
      <c r="U76">
        <f t="shared" si="129"/>
        <v>1</v>
      </c>
      <c r="W76">
        <f t="shared" si="171"/>
        <v>0</v>
      </c>
      <c r="X76">
        <f t="shared" si="171"/>
        <v>153</v>
      </c>
      <c r="Y76">
        <f t="shared" si="171"/>
        <v>350</v>
      </c>
      <c r="AA76" s="112">
        <f t="shared" si="102"/>
        <v>41915</v>
      </c>
      <c r="AB76" s="112">
        <f t="shared" si="103"/>
        <v>42185</v>
      </c>
      <c r="AG76">
        <f t="shared" si="38"/>
        <v>1</v>
      </c>
      <c r="AH76" s="112">
        <f t="shared" si="39"/>
        <v>41915</v>
      </c>
      <c r="AI76" s="112">
        <f t="shared" si="39"/>
        <v>42185</v>
      </c>
      <c r="CX76" s="112">
        <f t="shared" si="47"/>
        <v>100000</v>
      </c>
      <c r="CY76" s="112">
        <f t="shared" si="114"/>
        <v>100000</v>
      </c>
      <c r="CZ76" s="112">
        <f t="shared" si="115"/>
        <v>100000</v>
      </c>
      <c r="DA76" s="112">
        <f t="shared" si="116"/>
        <v>100000</v>
      </c>
      <c r="DB76" s="112">
        <f t="shared" si="117"/>
        <v>100000</v>
      </c>
      <c r="DC76" s="112">
        <f t="shared" si="118"/>
        <v>100000</v>
      </c>
      <c r="DU76" s="112"/>
      <c r="DV76" s="112"/>
      <c r="DW76" s="276"/>
      <c r="DX76" s="276"/>
      <c r="DY76" s="276"/>
      <c r="DZ76" s="276"/>
      <c r="EF76" s="260">
        <f t="shared" si="160"/>
        <v>44562</v>
      </c>
      <c r="EK76" s="254"/>
      <c r="EL76">
        <f t="shared" si="163"/>
        <v>37</v>
      </c>
      <c r="EM76" s="260" t="e">
        <f t="shared" ca="1" si="121"/>
        <v>#NUM!</v>
      </c>
      <c r="EN76" s="112" t="e">
        <f t="shared" ca="1" si="56"/>
        <v>#NUM!</v>
      </c>
      <c r="EO76" s="112">
        <f t="shared" ca="1" si="57"/>
        <v>100000</v>
      </c>
      <c r="EP76" s="112">
        <f t="shared" ca="1" si="122"/>
        <v>100000</v>
      </c>
      <c r="EQ76" s="273">
        <f t="shared" ca="1" si="137"/>
        <v>100000</v>
      </c>
      <c r="ER76" s="302">
        <f t="shared" ca="1" si="58"/>
        <v>100000</v>
      </c>
      <c r="EU76">
        <f t="shared" ca="1" si="159"/>
        <v>28</v>
      </c>
      <c r="EV76" s="260">
        <f t="shared" ca="1" si="123"/>
        <v>100000</v>
      </c>
      <c r="EW76" t="str">
        <f t="shared" ca="1" si="59"/>
        <v>28-34 anni</v>
      </c>
      <c r="EX76">
        <f t="shared" ca="1" si="19"/>
        <v>1</v>
      </c>
      <c r="EY76" s="238">
        <f t="shared" ca="1" si="20"/>
        <v>260</v>
      </c>
      <c r="EZ76" t="str">
        <f t="shared" ca="1" si="60"/>
        <v>28-34 anni</v>
      </c>
      <c r="FB76">
        <f t="shared" ca="1" si="61"/>
        <v>27377.74</v>
      </c>
      <c r="FC76">
        <f t="shared" ca="1" si="164"/>
        <v>0</v>
      </c>
      <c r="FD76">
        <f t="shared" ca="1" si="164"/>
        <v>0</v>
      </c>
      <c r="FE76">
        <f t="shared" ca="1" si="164"/>
        <v>6459.63</v>
      </c>
      <c r="FF76">
        <f t="shared" ca="1" si="164"/>
        <v>169.19</v>
      </c>
      <c r="FL76">
        <f t="shared" ca="1" si="62"/>
        <v>0</v>
      </c>
      <c r="FM76">
        <f t="shared" ca="1" si="22"/>
        <v>3458.4</v>
      </c>
      <c r="FR76" s="254" t="str">
        <f t="shared" ca="1" si="124"/>
        <v>28-34 anni</v>
      </c>
      <c r="FS76">
        <f t="shared" si="125"/>
        <v>76</v>
      </c>
      <c r="FT76" t="str">
        <f t="shared" ca="1" si="165"/>
        <v>ez76</v>
      </c>
      <c r="FU76" t="str">
        <f t="shared" ca="1" si="165"/>
        <v>EV76</v>
      </c>
      <c r="FV76" t="str">
        <f t="shared" ca="1" si="165"/>
        <v>FB76</v>
      </c>
      <c r="FW76" t="str">
        <f t="shared" ca="1" si="165"/>
        <v>FC76</v>
      </c>
      <c r="FX76" t="str">
        <f t="shared" ca="1" si="165"/>
        <v>FD76</v>
      </c>
      <c r="FY76" t="str">
        <f t="shared" ca="1" si="165"/>
        <v>FE76</v>
      </c>
      <c r="FZ76" t="str">
        <f t="shared" ca="1" si="165"/>
        <v>FF76</v>
      </c>
      <c r="GA76" t="str">
        <f t="shared" ca="1" si="165"/>
        <v>FL76</v>
      </c>
      <c r="GB76" t="str">
        <f t="shared" ca="1" si="165"/>
        <v>FM76</v>
      </c>
      <c r="GC76" t="str">
        <f t="shared" ca="1" si="63"/>
        <v/>
      </c>
      <c r="GD76" t="str">
        <f t="shared" ca="1" si="165"/>
        <v/>
      </c>
      <c r="GE76">
        <f t="shared" ca="1" si="126"/>
        <v>0</v>
      </c>
      <c r="GF76" s="112">
        <f t="shared" ca="1" si="64"/>
        <v>100000</v>
      </c>
      <c r="GG76" s="238" t="str">
        <f t="shared" ca="1" si="65"/>
        <v>28-34 anni</v>
      </c>
      <c r="GH76" s="262">
        <f t="shared" ca="1" si="66"/>
        <v>27377.74</v>
      </c>
      <c r="GI76" s="262">
        <f t="shared" ca="1" si="67"/>
        <v>0</v>
      </c>
      <c r="GJ76" s="262">
        <f t="shared" ca="1" si="68"/>
        <v>0</v>
      </c>
      <c r="GK76" s="262">
        <f t="shared" ca="1" si="69"/>
        <v>6459.63</v>
      </c>
      <c r="GL76" s="262">
        <f t="shared" ca="1" si="70"/>
        <v>169.19</v>
      </c>
      <c r="GM76" s="262">
        <f t="shared" ca="1" si="71"/>
        <v>0</v>
      </c>
      <c r="GN76" s="262">
        <f t="shared" ca="1" si="72"/>
        <v>3458.4</v>
      </c>
      <c r="GO76" s="262">
        <f t="shared" ca="1" si="73"/>
        <v>0</v>
      </c>
      <c r="GP76" s="262">
        <f t="shared" ca="1" si="74"/>
        <v>0</v>
      </c>
      <c r="GR76" s="262">
        <f t="shared" ca="1" si="76"/>
        <v>33837.370000000003</v>
      </c>
      <c r="GS76" s="262">
        <f t="shared" ca="1" si="25"/>
        <v>37464.960000000006</v>
      </c>
      <c r="GV76" t="str">
        <f t="shared" ca="1" si="79"/>
        <v/>
      </c>
      <c r="GW76" t="str">
        <f t="shared" ca="1" si="138"/>
        <v xml:space="preserve">
</v>
      </c>
      <c r="GZ76" t="str">
        <f t="shared" ca="1" si="157"/>
        <v/>
      </c>
      <c r="HD76" t="str">
        <f t="shared" ca="1" si="80"/>
        <v/>
      </c>
      <c r="HF76" s="254" t="str">
        <f t="shared" ca="1" si="81"/>
        <v xml:space="preserve">TOTALE ANNUO LORDO EURO 37464,96
</v>
      </c>
      <c r="HL76" t="str">
        <f t="shared" ca="1" si="82"/>
        <v xml:space="preserve"> C.C.N.L. DEL 06/12/2022 -</v>
      </c>
      <c r="HM76" s="263" t="str">
        <f t="shared" ca="1" si="83"/>
        <v xml:space="preserve"> C.C.N.L. DEL 06/12/2022 -
TOTALE ANNUO LORDO EURO 37464,96
Altri assegni previsti per legge</v>
      </c>
      <c r="HO76" s="272" t="str">
        <f t="shared" ca="1" si="28"/>
        <v/>
      </c>
      <c r="HP76">
        <f t="shared" ca="1" si="84"/>
        <v>0</v>
      </c>
      <c r="HQ76" t="str">
        <f t="shared" ca="1" si="85"/>
        <v/>
      </c>
      <c r="HR76" t="str">
        <f t="shared" ca="1" si="169"/>
        <v/>
      </c>
      <c r="HS76" t="str">
        <f t="shared" ca="1" si="170"/>
        <v/>
      </c>
      <c r="HX76" s="253" t="s">
        <v>187</v>
      </c>
      <c r="HY76" s="112" t="str">
        <f t="shared" si="88"/>
        <v>3/10/2014</v>
      </c>
      <c r="HZ76" t="s">
        <v>188</v>
      </c>
      <c r="IA76" s="112" t="str">
        <f t="shared" si="89"/>
        <v>30/6/2015</v>
      </c>
      <c r="IB76" t="s">
        <v>189</v>
      </c>
      <c r="IC76">
        <f t="shared" si="90"/>
        <v>0</v>
      </c>
      <c r="ID76" t="s">
        <v>192</v>
      </c>
      <c r="IE76">
        <f t="shared" si="91"/>
        <v>9</v>
      </c>
      <c r="IF76" t="s">
        <v>191</v>
      </c>
      <c r="IG76" s="254">
        <f t="shared" si="92"/>
        <v>1</v>
      </c>
      <c r="IL76" t="str">
        <f t="shared" si="93"/>
        <v xml:space="preserve">DAL: 3/10/2014 - AL:30/6/2015 - ANNI:0 - MESI:9 -GIORNI:1
</v>
      </c>
      <c r="KD76">
        <v>0</v>
      </c>
      <c r="KE76" s="260">
        <f t="shared" ca="1" si="94"/>
        <v>100000</v>
      </c>
      <c r="KF76" t="str">
        <f t="shared" si="95"/>
        <v>0-2 anni</v>
      </c>
      <c r="KG76">
        <f t="shared" si="29"/>
        <v>6</v>
      </c>
      <c r="KH76" s="238">
        <f t="shared" ca="1" si="30"/>
        <v>255</v>
      </c>
      <c r="KK76">
        <f t="shared" ca="1" si="96"/>
        <v>16218.89</v>
      </c>
      <c r="KL76">
        <f t="shared" ca="1" si="167"/>
        <v>0</v>
      </c>
      <c r="KM76">
        <f t="shared" ca="1" si="167"/>
        <v>0</v>
      </c>
      <c r="KN76">
        <f t="shared" ca="1" si="167"/>
        <v>6459.63</v>
      </c>
      <c r="KO76">
        <f t="shared" ca="1" si="167"/>
        <v>169.19</v>
      </c>
      <c r="KV76">
        <f t="shared" ca="1" si="32"/>
        <v>3458.4</v>
      </c>
      <c r="LA76" s="254" t="str">
        <f t="shared" si="97"/>
        <v>0-2 anni</v>
      </c>
      <c r="LB76" s="112">
        <f t="shared" si="33"/>
        <v>41915</v>
      </c>
      <c r="LC76" s="112">
        <f t="shared" si="34"/>
        <v>42185</v>
      </c>
      <c r="LD76">
        <f t="shared" ca="1" si="98"/>
        <v>26306.11</v>
      </c>
      <c r="LE76" s="262">
        <f t="shared" ca="1" si="99"/>
        <v>37464.960000000006</v>
      </c>
      <c r="LF76">
        <f t="shared" si="100"/>
        <v>271</v>
      </c>
      <c r="LG76">
        <f t="shared" ca="1" si="101"/>
        <v>8285.06</v>
      </c>
    </row>
    <row r="77" spans="1:319" ht="60" x14ac:dyDescent="0.25">
      <c r="A77" s="112">
        <f t="shared" si="139"/>
        <v>40544</v>
      </c>
      <c r="B77" s="112">
        <f t="shared" si="35"/>
        <v>42370</v>
      </c>
      <c r="E77" s="240">
        <f>Foglio3!F57</f>
        <v>42248</v>
      </c>
      <c r="F77" s="240">
        <f>Foglio3!G57</f>
        <v>42613</v>
      </c>
      <c r="G77" s="244"/>
      <c r="H77" s="245">
        <f t="shared" si="36"/>
        <v>42248</v>
      </c>
      <c r="I77" s="245">
        <f t="shared" si="15"/>
        <v>42613</v>
      </c>
      <c r="J77" s="244"/>
      <c r="K77" s="244"/>
      <c r="Q77">
        <f t="shared" si="16"/>
        <v>366</v>
      </c>
      <c r="R77">
        <f t="shared" si="140"/>
        <v>366</v>
      </c>
      <c r="S77">
        <f t="shared" si="37"/>
        <v>1</v>
      </c>
      <c r="T77">
        <f t="shared" si="128"/>
        <v>0</v>
      </c>
      <c r="U77">
        <f t="shared" si="129"/>
        <v>1</v>
      </c>
      <c r="W77">
        <f t="shared" si="171"/>
        <v>1</v>
      </c>
      <c r="X77">
        <f t="shared" si="171"/>
        <v>153</v>
      </c>
      <c r="Y77">
        <f t="shared" si="171"/>
        <v>351</v>
      </c>
      <c r="AA77" s="112">
        <f t="shared" si="102"/>
        <v>42248</v>
      </c>
      <c r="AB77" s="112">
        <f t="shared" si="103"/>
        <v>42613</v>
      </c>
      <c r="AG77">
        <f t="shared" si="38"/>
        <v>1</v>
      </c>
      <c r="AH77" s="112">
        <f t="shared" si="39"/>
        <v>42248</v>
      </c>
      <c r="AI77" s="112">
        <f t="shared" si="39"/>
        <v>42613</v>
      </c>
      <c r="CX77" s="112">
        <f t="shared" si="47"/>
        <v>100000</v>
      </c>
      <c r="CY77" s="112">
        <f t="shared" si="114"/>
        <v>100000</v>
      </c>
      <c r="CZ77" s="112">
        <f t="shared" si="115"/>
        <v>100000</v>
      </c>
      <c r="DA77" s="112">
        <f t="shared" si="116"/>
        <v>100000</v>
      </c>
      <c r="DB77" s="112">
        <f t="shared" si="117"/>
        <v>100000</v>
      </c>
      <c r="DC77" s="112">
        <f t="shared" si="118"/>
        <v>100000</v>
      </c>
      <c r="DU77" s="112"/>
      <c r="DV77" s="112"/>
      <c r="DW77" s="276"/>
      <c r="DX77" s="276"/>
      <c r="DY77" s="276"/>
      <c r="DZ77" s="276"/>
      <c r="EF77" s="260">
        <f t="shared" si="160"/>
        <v>44652</v>
      </c>
      <c r="EK77" s="254"/>
      <c r="EL77">
        <f t="shared" si="163"/>
        <v>38</v>
      </c>
      <c r="EM77" s="260" t="e">
        <f t="shared" ca="1" si="121"/>
        <v>#NUM!</v>
      </c>
      <c r="EN77" s="112" t="e">
        <f t="shared" ca="1" si="56"/>
        <v>#NUM!</v>
      </c>
      <c r="EO77" s="112">
        <f t="shared" ca="1" si="57"/>
        <v>100000</v>
      </c>
      <c r="EP77" s="112">
        <f t="shared" ca="1" si="122"/>
        <v>100000</v>
      </c>
      <c r="EQ77" s="273">
        <f t="shared" ca="1" si="137"/>
        <v>100000</v>
      </c>
      <c r="ER77" s="302">
        <f t="shared" ca="1" si="58"/>
        <v>100000</v>
      </c>
      <c r="EU77">
        <f t="shared" ca="1" si="159"/>
        <v>28</v>
      </c>
      <c r="EV77" s="260">
        <f t="shared" ca="1" si="123"/>
        <v>100000</v>
      </c>
      <c r="EW77" t="str">
        <f t="shared" ca="1" si="59"/>
        <v>28-34 anni</v>
      </c>
      <c r="EX77">
        <f t="shared" ca="1" si="19"/>
        <v>1</v>
      </c>
      <c r="EY77" s="238">
        <f t="shared" ca="1" si="20"/>
        <v>260</v>
      </c>
      <c r="EZ77" t="str">
        <f t="shared" ca="1" si="60"/>
        <v>28-34 anni</v>
      </c>
      <c r="FB77">
        <f t="shared" ca="1" si="61"/>
        <v>27377.74</v>
      </c>
      <c r="FC77">
        <f t="shared" ca="1" si="164"/>
        <v>0</v>
      </c>
      <c r="FD77">
        <f t="shared" ca="1" si="164"/>
        <v>0</v>
      </c>
      <c r="FE77">
        <f t="shared" ca="1" si="164"/>
        <v>6459.63</v>
      </c>
      <c r="FF77">
        <f t="shared" ca="1" si="164"/>
        <v>169.19</v>
      </c>
      <c r="FL77">
        <f t="shared" ca="1" si="62"/>
        <v>0</v>
      </c>
      <c r="FM77">
        <f t="shared" ca="1" si="22"/>
        <v>3458.4</v>
      </c>
      <c r="FR77" s="254" t="str">
        <f t="shared" ca="1" si="124"/>
        <v>28-34 anni</v>
      </c>
      <c r="FS77">
        <f t="shared" si="125"/>
        <v>77</v>
      </c>
      <c r="FT77" t="str">
        <f t="shared" ca="1" si="165"/>
        <v>ez77</v>
      </c>
      <c r="FU77" t="str">
        <f t="shared" ca="1" si="165"/>
        <v>EV77</v>
      </c>
      <c r="FV77" t="str">
        <f t="shared" ca="1" si="165"/>
        <v>FB77</v>
      </c>
      <c r="FW77" t="str">
        <f t="shared" ca="1" si="165"/>
        <v>FC77</v>
      </c>
      <c r="FX77" t="str">
        <f t="shared" ca="1" si="165"/>
        <v>FD77</v>
      </c>
      <c r="FY77" t="str">
        <f t="shared" ca="1" si="165"/>
        <v>FE77</v>
      </c>
      <c r="FZ77" t="str">
        <f t="shared" ca="1" si="165"/>
        <v>FF77</v>
      </c>
      <c r="GA77" t="str">
        <f t="shared" ca="1" si="165"/>
        <v>FL77</v>
      </c>
      <c r="GB77" t="str">
        <f t="shared" ca="1" si="165"/>
        <v>FM77</v>
      </c>
      <c r="GC77" t="str">
        <f t="shared" ca="1" si="63"/>
        <v/>
      </c>
      <c r="GD77" t="str">
        <f t="shared" ca="1" si="165"/>
        <v/>
      </c>
      <c r="GE77">
        <f t="shared" ca="1" si="126"/>
        <v>0</v>
      </c>
      <c r="GF77" s="112">
        <f t="shared" ca="1" si="64"/>
        <v>100000</v>
      </c>
      <c r="GG77" s="238" t="str">
        <f t="shared" ca="1" si="65"/>
        <v>28-34 anni</v>
      </c>
      <c r="GH77" s="262">
        <f t="shared" ca="1" si="66"/>
        <v>27377.74</v>
      </c>
      <c r="GI77" s="262">
        <f t="shared" ca="1" si="67"/>
        <v>0</v>
      </c>
      <c r="GJ77" s="262">
        <f t="shared" ca="1" si="68"/>
        <v>0</v>
      </c>
      <c r="GK77" s="262">
        <f t="shared" ca="1" si="69"/>
        <v>6459.63</v>
      </c>
      <c r="GL77" s="262">
        <f t="shared" ca="1" si="70"/>
        <v>169.19</v>
      </c>
      <c r="GM77" s="262">
        <f t="shared" ca="1" si="71"/>
        <v>0</v>
      </c>
      <c r="GN77" s="262">
        <f t="shared" ca="1" si="72"/>
        <v>3458.4</v>
      </c>
      <c r="GO77" s="262">
        <f t="shared" ca="1" si="73"/>
        <v>0</v>
      </c>
      <c r="GP77" s="262">
        <f t="shared" ca="1" si="74"/>
        <v>0</v>
      </c>
      <c r="GR77" s="262">
        <f t="shared" ca="1" si="76"/>
        <v>33837.370000000003</v>
      </c>
      <c r="GS77" s="262">
        <f t="shared" ca="1" si="25"/>
        <v>37464.960000000006</v>
      </c>
      <c r="GV77" t="str">
        <f t="shared" ca="1" si="79"/>
        <v/>
      </c>
      <c r="GW77" t="str">
        <f t="shared" ca="1" si="138"/>
        <v xml:space="preserve">
</v>
      </c>
      <c r="GZ77" t="str">
        <f t="shared" ca="1" si="157"/>
        <v/>
      </c>
      <c r="HD77" t="str">
        <f t="shared" ca="1" si="80"/>
        <v/>
      </c>
      <c r="HF77" s="254" t="str">
        <f t="shared" ca="1" si="81"/>
        <v xml:space="preserve">TOTALE ANNUO LORDO EURO 37464,96
</v>
      </c>
      <c r="HL77" t="str">
        <f t="shared" ca="1" si="82"/>
        <v xml:space="preserve"> C.C.N.L. DEL 06/12/2022 -</v>
      </c>
      <c r="HM77" s="263" t="str">
        <f t="shared" ca="1" si="83"/>
        <v xml:space="preserve"> C.C.N.L. DEL 06/12/2022 -
TOTALE ANNUO LORDO EURO 37464,96
Altri assegni previsti per legge</v>
      </c>
      <c r="HO77" s="272" t="str">
        <f t="shared" ca="1" si="28"/>
        <v/>
      </c>
      <c r="HP77">
        <f t="shared" ca="1" si="84"/>
        <v>0</v>
      </c>
      <c r="HQ77" t="str">
        <f t="shared" ca="1" si="85"/>
        <v/>
      </c>
      <c r="HR77" t="str">
        <f t="shared" ca="1" si="169"/>
        <v/>
      </c>
      <c r="HS77" t="str">
        <f t="shared" ca="1" si="170"/>
        <v/>
      </c>
      <c r="HX77" s="253" t="s">
        <v>187</v>
      </c>
      <c r="HY77" s="112" t="str">
        <f t="shared" si="88"/>
        <v>1/9/2015</v>
      </c>
      <c r="HZ77" t="s">
        <v>188</v>
      </c>
      <c r="IA77" s="112" t="str">
        <f t="shared" si="89"/>
        <v>31/8/2016</v>
      </c>
      <c r="IB77" t="s">
        <v>189</v>
      </c>
      <c r="IC77">
        <f t="shared" si="90"/>
        <v>1</v>
      </c>
      <c r="ID77" t="s">
        <v>192</v>
      </c>
      <c r="IE77">
        <f t="shared" si="91"/>
        <v>0</v>
      </c>
      <c r="IF77" t="s">
        <v>191</v>
      </c>
      <c r="IG77" s="254">
        <f t="shared" si="92"/>
        <v>1</v>
      </c>
      <c r="IL77" t="str">
        <f t="shared" si="93"/>
        <v xml:space="preserve">DAL: 1/9/2015 - AL:31/8/2016 - ANNI:1 - MESI:0 -GIORNI:1
</v>
      </c>
      <c r="KD77">
        <v>0</v>
      </c>
      <c r="KE77" s="260">
        <f t="shared" ca="1" si="94"/>
        <v>100000</v>
      </c>
      <c r="KF77" t="str">
        <f t="shared" si="95"/>
        <v>0-2 anni</v>
      </c>
      <c r="KG77">
        <f t="shared" si="29"/>
        <v>6</v>
      </c>
      <c r="KH77" s="238">
        <f t="shared" ca="1" si="30"/>
        <v>255</v>
      </c>
      <c r="KK77">
        <f t="shared" ca="1" si="96"/>
        <v>16218.89</v>
      </c>
      <c r="KL77">
        <f t="shared" ca="1" si="167"/>
        <v>0</v>
      </c>
      <c r="KM77">
        <f t="shared" ca="1" si="167"/>
        <v>0</v>
      </c>
      <c r="KN77">
        <f t="shared" ca="1" si="167"/>
        <v>6459.63</v>
      </c>
      <c r="KO77">
        <f t="shared" ca="1" si="167"/>
        <v>169.19</v>
      </c>
      <c r="KV77">
        <f t="shared" ca="1" si="32"/>
        <v>3458.4</v>
      </c>
      <c r="LA77" s="254" t="str">
        <f t="shared" si="97"/>
        <v>0-2 anni</v>
      </c>
      <c r="LB77" s="112">
        <f t="shared" si="33"/>
        <v>42248</v>
      </c>
      <c r="LC77" s="112">
        <f t="shared" si="34"/>
        <v>42613</v>
      </c>
      <c r="LD77">
        <f t="shared" ca="1" si="98"/>
        <v>26306.11</v>
      </c>
      <c r="LE77" s="262">
        <f t="shared" ca="1" si="99"/>
        <v>37464.960000000006</v>
      </c>
      <c r="LF77">
        <f t="shared" si="100"/>
        <v>366</v>
      </c>
      <c r="LG77">
        <f t="shared" ca="1" si="101"/>
        <v>11189.42</v>
      </c>
    </row>
    <row r="78" spans="1:319" ht="60" x14ac:dyDescent="0.25">
      <c r="A78" s="112">
        <f t="shared" si="139"/>
        <v>42370</v>
      </c>
      <c r="B78" s="112">
        <f t="shared" si="35"/>
        <v>42736</v>
      </c>
      <c r="E78" s="240">
        <f>Foglio3!F58</f>
        <v>42614</v>
      </c>
      <c r="F78" s="240">
        <f>Foglio3!G58</f>
        <v>42978</v>
      </c>
      <c r="G78" s="244"/>
      <c r="H78" s="245">
        <f t="shared" si="36"/>
        <v>42614</v>
      </c>
      <c r="I78" s="245">
        <f t="shared" si="15"/>
        <v>42978</v>
      </c>
      <c r="J78" s="244"/>
      <c r="K78" s="244"/>
      <c r="Q78">
        <f t="shared" si="16"/>
        <v>365</v>
      </c>
      <c r="R78">
        <f t="shared" si="140"/>
        <v>365</v>
      </c>
      <c r="S78">
        <f t="shared" si="37"/>
        <v>1</v>
      </c>
      <c r="T78">
        <f t="shared" si="128"/>
        <v>0</v>
      </c>
      <c r="U78">
        <f t="shared" si="129"/>
        <v>0</v>
      </c>
      <c r="W78">
        <f t="shared" si="171"/>
        <v>2</v>
      </c>
      <c r="X78">
        <f t="shared" si="171"/>
        <v>153</v>
      </c>
      <c r="Y78">
        <f t="shared" si="171"/>
        <v>351</v>
      </c>
      <c r="AA78" s="112">
        <f t="shared" si="102"/>
        <v>42614</v>
      </c>
      <c r="AB78" s="112">
        <f t="shared" si="103"/>
        <v>42978</v>
      </c>
      <c r="AG78">
        <f t="shared" si="38"/>
        <v>1</v>
      </c>
      <c r="AH78" s="112">
        <f t="shared" si="39"/>
        <v>42614</v>
      </c>
      <c r="AI78" s="112">
        <f t="shared" si="39"/>
        <v>42978</v>
      </c>
      <c r="CX78" s="112">
        <f t="shared" si="47"/>
        <v>100000</v>
      </c>
      <c r="CY78" s="112">
        <f t="shared" si="114"/>
        <v>100000</v>
      </c>
      <c r="CZ78" s="112">
        <f t="shared" si="115"/>
        <v>100000</v>
      </c>
      <c r="DA78" s="112">
        <f t="shared" si="116"/>
        <v>100000</v>
      </c>
      <c r="DB78" s="112">
        <f t="shared" si="117"/>
        <v>100000</v>
      </c>
      <c r="DC78" s="112">
        <f t="shared" si="118"/>
        <v>100000</v>
      </c>
      <c r="DU78" s="112"/>
      <c r="DV78" s="112"/>
      <c r="DW78" s="276"/>
      <c r="DX78" s="276"/>
      <c r="DY78" s="276"/>
      <c r="DZ78" s="276"/>
      <c r="EF78" s="260">
        <f t="shared" si="160"/>
        <v>44743</v>
      </c>
      <c r="EK78" s="254"/>
      <c r="EL78">
        <f t="shared" si="163"/>
        <v>39</v>
      </c>
      <c r="EM78" s="260" t="e">
        <f t="shared" ca="1" si="121"/>
        <v>#NUM!</v>
      </c>
      <c r="EN78" s="112" t="e">
        <f t="shared" ca="1" si="56"/>
        <v>#NUM!</v>
      </c>
      <c r="EO78" s="112">
        <f t="shared" ca="1" si="57"/>
        <v>100000</v>
      </c>
      <c r="EP78" s="112">
        <f t="shared" ca="1" si="122"/>
        <v>100000</v>
      </c>
      <c r="EQ78" s="273">
        <f t="shared" ca="1" si="137"/>
        <v>100000</v>
      </c>
      <c r="ER78" s="302">
        <f t="shared" ca="1" si="58"/>
        <v>100000</v>
      </c>
      <c r="EU78">
        <f t="shared" ca="1" si="159"/>
        <v>28</v>
      </c>
      <c r="EV78" s="260">
        <f t="shared" ca="1" si="123"/>
        <v>100000</v>
      </c>
      <c r="EW78" t="str">
        <f t="shared" ca="1" si="59"/>
        <v>28-34 anni</v>
      </c>
      <c r="EX78">
        <f t="shared" ca="1" si="19"/>
        <v>1</v>
      </c>
      <c r="EY78" s="238">
        <f t="shared" ca="1" si="20"/>
        <v>260</v>
      </c>
      <c r="EZ78" t="str">
        <f t="shared" ca="1" si="60"/>
        <v>28-34 anni</v>
      </c>
      <c r="FB78">
        <f t="shared" ca="1" si="61"/>
        <v>27377.74</v>
      </c>
      <c r="FC78">
        <f t="shared" ca="1" si="164"/>
        <v>0</v>
      </c>
      <c r="FD78">
        <f t="shared" ca="1" si="164"/>
        <v>0</v>
      </c>
      <c r="FE78">
        <f t="shared" ca="1" si="164"/>
        <v>6459.63</v>
      </c>
      <c r="FF78">
        <f t="shared" ca="1" si="164"/>
        <v>169.19</v>
      </c>
      <c r="FL78">
        <f t="shared" ca="1" si="62"/>
        <v>0</v>
      </c>
      <c r="FM78">
        <f t="shared" ca="1" si="22"/>
        <v>3458.4</v>
      </c>
      <c r="FR78" s="254" t="str">
        <f t="shared" ca="1" si="124"/>
        <v>28-34 anni</v>
      </c>
      <c r="FS78">
        <f t="shared" si="125"/>
        <v>78</v>
      </c>
      <c r="FT78" t="str">
        <f t="shared" ca="1" si="165"/>
        <v>ez78</v>
      </c>
      <c r="FU78" t="str">
        <f t="shared" ca="1" si="165"/>
        <v>EV78</v>
      </c>
      <c r="FV78" t="str">
        <f t="shared" ca="1" si="165"/>
        <v>FB78</v>
      </c>
      <c r="FW78" t="str">
        <f t="shared" ca="1" si="165"/>
        <v>FC78</v>
      </c>
      <c r="FX78" t="str">
        <f t="shared" ca="1" si="165"/>
        <v>FD78</v>
      </c>
      <c r="FY78" t="str">
        <f t="shared" ca="1" si="165"/>
        <v>FE78</v>
      </c>
      <c r="FZ78" t="str">
        <f t="shared" ca="1" si="165"/>
        <v>FF78</v>
      </c>
      <c r="GA78" t="str">
        <f t="shared" ca="1" si="165"/>
        <v>FL78</v>
      </c>
      <c r="GB78" t="str">
        <f t="shared" ca="1" si="165"/>
        <v>FM78</v>
      </c>
      <c r="GC78" t="str">
        <f t="shared" ca="1" si="63"/>
        <v/>
      </c>
      <c r="GD78" t="str">
        <f t="shared" ca="1" si="165"/>
        <v/>
      </c>
      <c r="GE78">
        <f t="shared" ca="1" si="126"/>
        <v>0</v>
      </c>
      <c r="GF78" s="112">
        <f t="shared" ca="1" si="64"/>
        <v>100000</v>
      </c>
      <c r="GG78" s="238" t="str">
        <f t="shared" ca="1" si="65"/>
        <v>28-34 anni</v>
      </c>
      <c r="GH78" s="262">
        <f t="shared" ca="1" si="66"/>
        <v>27377.74</v>
      </c>
      <c r="GI78" s="262">
        <f t="shared" ca="1" si="67"/>
        <v>0</v>
      </c>
      <c r="GJ78" s="262">
        <f t="shared" ca="1" si="68"/>
        <v>0</v>
      </c>
      <c r="GK78" s="262">
        <f t="shared" ca="1" si="69"/>
        <v>6459.63</v>
      </c>
      <c r="GL78" s="262">
        <f t="shared" ca="1" si="70"/>
        <v>169.19</v>
      </c>
      <c r="GM78" s="262">
        <f t="shared" ca="1" si="71"/>
        <v>0</v>
      </c>
      <c r="GN78" s="262">
        <f t="shared" ca="1" si="72"/>
        <v>3458.4</v>
      </c>
      <c r="GO78" s="262">
        <f t="shared" ca="1" si="73"/>
        <v>0</v>
      </c>
      <c r="GP78" s="262">
        <f t="shared" ca="1" si="74"/>
        <v>0</v>
      </c>
      <c r="GR78" s="262">
        <f t="shared" ca="1" si="76"/>
        <v>33837.370000000003</v>
      </c>
      <c r="GS78" s="262">
        <f t="shared" ca="1" si="25"/>
        <v>37464.960000000006</v>
      </c>
      <c r="GV78" t="str">
        <f t="shared" ca="1" si="79"/>
        <v/>
      </c>
      <c r="GW78" t="str">
        <f t="shared" ca="1" si="138"/>
        <v xml:space="preserve">
</v>
      </c>
      <c r="GZ78" t="str">
        <f t="shared" ca="1" si="157"/>
        <v/>
      </c>
      <c r="HD78" t="str">
        <f t="shared" ca="1" si="80"/>
        <v/>
      </c>
      <c r="HF78" s="254" t="str">
        <f t="shared" ca="1" si="81"/>
        <v xml:space="preserve">TOTALE ANNUO LORDO EURO 37464,96
</v>
      </c>
      <c r="HL78" t="str">
        <f t="shared" ca="1" si="82"/>
        <v xml:space="preserve"> C.C.N.L. DEL 06/12/2022 -</v>
      </c>
      <c r="HM78" s="263" t="str">
        <f t="shared" ca="1" si="83"/>
        <v xml:space="preserve"> C.C.N.L. DEL 06/12/2022 -
TOTALE ANNUO LORDO EURO 37464,96
Altri assegni previsti per legge</v>
      </c>
      <c r="HO78" s="272" t="str">
        <f t="shared" ca="1" si="28"/>
        <v/>
      </c>
      <c r="HP78">
        <f t="shared" ca="1" si="84"/>
        <v>0</v>
      </c>
      <c r="HQ78" t="str">
        <f t="shared" ca="1" si="85"/>
        <v/>
      </c>
      <c r="HR78" t="str">
        <f t="shared" ca="1" si="169"/>
        <v/>
      </c>
      <c r="HS78" t="str">
        <f t="shared" ca="1" si="170"/>
        <v/>
      </c>
      <c r="HX78" s="253" t="s">
        <v>187</v>
      </c>
      <c r="HY78" s="112" t="str">
        <f t="shared" si="88"/>
        <v>1/9/2016</v>
      </c>
      <c r="HZ78" t="s">
        <v>188</v>
      </c>
      <c r="IA78" s="112" t="str">
        <f t="shared" si="89"/>
        <v>31/8/2017</v>
      </c>
      <c r="IB78" t="s">
        <v>189</v>
      </c>
      <c r="IC78">
        <f t="shared" si="90"/>
        <v>1</v>
      </c>
      <c r="ID78" t="s">
        <v>192</v>
      </c>
      <c r="IE78">
        <f t="shared" si="91"/>
        <v>0</v>
      </c>
      <c r="IF78" t="s">
        <v>191</v>
      </c>
      <c r="IG78" s="254">
        <f t="shared" si="92"/>
        <v>0</v>
      </c>
      <c r="IL78" t="str">
        <f t="shared" si="93"/>
        <v xml:space="preserve">DAL: 1/9/2016 - AL:31/8/2017 - ANNI:1 - MESI:0 -GIORNI:0
</v>
      </c>
      <c r="KD78">
        <v>0</v>
      </c>
      <c r="KE78" s="260">
        <f t="shared" ca="1" si="94"/>
        <v>100000</v>
      </c>
      <c r="KF78" t="str">
        <f t="shared" si="95"/>
        <v>0-2 anni</v>
      </c>
      <c r="KG78">
        <f t="shared" si="29"/>
        <v>6</v>
      </c>
      <c r="KH78" s="238">
        <f t="shared" ca="1" si="30"/>
        <v>255</v>
      </c>
      <c r="KK78">
        <f t="shared" ca="1" si="96"/>
        <v>16218.89</v>
      </c>
      <c r="KL78">
        <f t="shared" ca="1" si="167"/>
        <v>0</v>
      </c>
      <c r="KM78">
        <f t="shared" ca="1" si="167"/>
        <v>0</v>
      </c>
      <c r="KN78">
        <f t="shared" ca="1" si="167"/>
        <v>6459.63</v>
      </c>
      <c r="KO78">
        <f t="shared" ca="1" si="167"/>
        <v>169.19</v>
      </c>
      <c r="KV78">
        <f t="shared" ca="1" si="32"/>
        <v>3458.4</v>
      </c>
      <c r="LA78" s="254" t="str">
        <f t="shared" si="97"/>
        <v>0-2 anni</v>
      </c>
      <c r="LB78" s="112">
        <f t="shared" si="33"/>
        <v>42614</v>
      </c>
      <c r="LC78" s="112">
        <f t="shared" si="34"/>
        <v>42978</v>
      </c>
      <c r="LD78">
        <f t="shared" ca="1" si="98"/>
        <v>26306.11</v>
      </c>
      <c r="LE78" s="262">
        <f t="shared" ca="1" si="99"/>
        <v>37464.960000000006</v>
      </c>
      <c r="LF78">
        <f t="shared" si="100"/>
        <v>365</v>
      </c>
      <c r="LG78">
        <f t="shared" ca="1" si="101"/>
        <v>11158.85</v>
      </c>
    </row>
    <row r="79" spans="1:319" ht="60" x14ac:dyDescent="0.25">
      <c r="A79" s="112">
        <f t="shared" si="139"/>
        <v>43160</v>
      </c>
      <c r="B79" s="112">
        <f t="shared" si="35"/>
        <v>43191</v>
      </c>
      <c r="E79" s="240">
        <f>Foglio3!F59</f>
        <v>42979</v>
      </c>
      <c r="F79" s="240">
        <f>Foglio3!G59</f>
        <v>43343</v>
      </c>
      <c r="G79" s="244"/>
      <c r="H79" s="245">
        <f t="shared" si="36"/>
        <v>42979</v>
      </c>
      <c r="I79" s="245">
        <f t="shared" si="15"/>
        <v>43343</v>
      </c>
      <c r="J79" s="244"/>
      <c r="K79" s="244"/>
      <c r="Q79">
        <f t="shared" si="16"/>
        <v>365</v>
      </c>
      <c r="R79">
        <f t="shared" si="140"/>
        <v>365</v>
      </c>
      <c r="S79">
        <f t="shared" si="37"/>
        <v>1</v>
      </c>
      <c r="T79">
        <f t="shared" si="128"/>
        <v>0</v>
      </c>
      <c r="U79">
        <f t="shared" si="129"/>
        <v>0</v>
      </c>
      <c r="W79">
        <f t="shared" si="171"/>
        <v>3</v>
      </c>
      <c r="X79">
        <f t="shared" si="171"/>
        <v>153</v>
      </c>
      <c r="Y79">
        <f t="shared" si="171"/>
        <v>351</v>
      </c>
      <c r="AA79" s="112">
        <f t="shared" si="102"/>
        <v>42979</v>
      </c>
      <c r="AB79" s="112">
        <f t="shared" si="103"/>
        <v>43343</v>
      </c>
      <c r="AG79">
        <f t="shared" si="38"/>
        <v>1</v>
      </c>
      <c r="AH79" s="112">
        <f t="shared" si="39"/>
        <v>42979</v>
      </c>
      <c r="AI79" s="112">
        <f t="shared" si="39"/>
        <v>43343</v>
      </c>
      <c r="CX79" s="112">
        <f t="shared" si="47"/>
        <v>100000</v>
      </c>
      <c r="CY79" s="112">
        <f t="shared" si="114"/>
        <v>100000</v>
      </c>
      <c r="CZ79" s="112">
        <f t="shared" si="115"/>
        <v>100000</v>
      </c>
      <c r="DA79" s="112">
        <f t="shared" si="116"/>
        <v>100000</v>
      </c>
      <c r="DB79" s="112">
        <f t="shared" si="117"/>
        <v>100000</v>
      </c>
      <c r="DC79" s="112">
        <f t="shared" si="118"/>
        <v>100000</v>
      </c>
      <c r="DU79" s="112"/>
      <c r="DV79" s="112"/>
      <c r="DW79" s="276"/>
      <c r="DX79" s="276"/>
      <c r="DY79" s="276"/>
      <c r="DZ79" s="276"/>
      <c r="EF79" s="260" t="str">
        <f>IF(DZ40=0,"",DZ40)</f>
        <v/>
      </c>
      <c r="EK79" s="254"/>
      <c r="EL79">
        <f t="shared" si="163"/>
        <v>40</v>
      </c>
      <c r="EM79" s="260" t="e">
        <f t="shared" ca="1" si="121"/>
        <v>#NUM!</v>
      </c>
      <c r="EN79" s="112" t="e">
        <f t="shared" ca="1" si="56"/>
        <v>#NUM!</v>
      </c>
      <c r="EO79" s="112">
        <f t="shared" ca="1" si="57"/>
        <v>100000</v>
      </c>
      <c r="EP79" s="112">
        <f t="shared" ca="1" si="122"/>
        <v>100000</v>
      </c>
      <c r="EQ79" s="273">
        <f t="shared" ca="1" si="137"/>
        <v>100000</v>
      </c>
      <c r="ER79" s="302">
        <f t="shared" ca="1" si="58"/>
        <v>100000</v>
      </c>
      <c r="EU79">
        <f t="shared" ca="1" si="159"/>
        <v>28</v>
      </c>
      <c r="EV79" s="260">
        <f t="shared" ca="1" si="123"/>
        <v>100000</v>
      </c>
      <c r="EW79" t="str">
        <f t="shared" ca="1" si="59"/>
        <v>28-34 anni</v>
      </c>
      <c r="EX79">
        <f t="shared" ca="1" si="19"/>
        <v>1</v>
      </c>
      <c r="EY79" s="238">
        <f t="shared" ca="1" si="20"/>
        <v>260</v>
      </c>
      <c r="EZ79" t="str">
        <f t="shared" ca="1" si="60"/>
        <v>28-34 anni</v>
      </c>
      <c r="FB79">
        <f t="shared" ca="1" si="61"/>
        <v>27377.74</v>
      </c>
      <c r="FC79">
        <f t="shared" ca="1" si="164"/>
        <v>0</v>
      </c>
      <c r="FD79">
        <f t="shared" ca="1" si="164"/>
        <v>0</v>
      </c>
      <c r="FE79">
        <f t="shared" ca="1" si="164"/>
        <v>6459.63</v>
      </c>
      <c r="FF79">
        <f t="shared" ca="1" si="164"/>
        <v>169.19</v>
      </c>
      <c r="FL79">
        <f t="shared" ca="1" si="62"/>
        <v>0</v>
      </c>
      <c r="FM79">
        <f t="shared" ca="1" si="22"/>
        <v>3458.4</v>
      </c>
      <c r="FR79" s="254" t="str">
        <f t="shared" ca="1" si="124"/>
        <v>28-34 anni</v>
      </c>
      <c r="FS79">
        <f t="shared" si="125"/>
        <v>79</v>
      </c>
      <c r="FT79" t="str">
        <f t="shared" ca="1" si="165"/>
        <v>ez79</v>
      </c>
      <c r="FU79" t="str">
        <f t="shared" ca="1" si="165"/>
        <v>EV79</v>
      </c>
      <c r="FV79" t="str">
        <f t="shared" ref="FU79:GD87" ca="1" si="172">IF(INDIRECT(  CONCATENATE(FV$34,$FS79 ))&lt;&gt;"",     CONCATENATE(FV$34,$FS79 ),"")</f>
        <v>FB79</v>
      </c>
      <c r="FW79" t="str">
        <f t="shared" ca="1" si="172"/>
        <v>FC79</v>
      </c>
      <c r="FX79" t="str">
        <f t="shared" ca="1" si="172"/>
        <v>FD79</v>
      </c>
      <c r="FY79" t="str">
        <f t="shared" ca="1" si="172"/>
        <v>FE79</v>
      </c>
      <c r="FZ79" t="str">
        <f t="shared" ca="1" si="172"/>
        <v>FF79</v>
      </c>
      <c r="GA79" t="str">
        <f t="shared" ca="1" si="172"/>
        <v>FL79</v>
      </c>
      <c r="GB79" t="str">
        <f t="shared" ca="1" si="172"/>
        <v>FM79</v>
      </c>
      <c r="GC79" t="str">
        <f t="shared" ca="1" si="63"/>
        <v/>
      </c>
      <c r="GD79" t="str">
        <f t="shared" ca="1" si="172"/>
        <v/>
      </c>
      <c r="GE79">
        <f t="shared" ca="1" si="126"/>
        <v>0</v>
      </c>
      <c r="GF79" s="112">
        <f t="shared" ca="1" si="64"/>
        <v>100000</v>
      </c>
      <c r="GG79" s="238" t="str">
        <f t="shared" ca="1" si="65"/>
        <v>28-34 anni</v>
      </c>
      <c r="GH79" s="262">
        <f t="shared" ca="1" si="66"/>
        <v>27377.74</v>
      </c>
      <c r="GI79" s="262">
        <f t="shared" ca="1" si="67"/>
        <v>0</v>
      </c>
      <c r="GJ79" s="262">
        <f t="shared" ca="1" si="68"/>
        <v>0</v>
      </c>
      <c r="GK79" s="262">
        <f t="shared" ca="1" si="69"/>
        <v>6459.63</v>
      </c>
      <c r="GL79" s="262">
        <f t="shared" ca="1" si="70"/>
        <v>169.19</v>
      </c>
      <c r="GM79" s="262">
        <f t="shared" ca="1" si="71"/>
        <v>0</v>
      </c>
      <c r="GN79" s="262">
        <f t="shared" ca="1" si="72"/>
        <v>3458.4</v>
      </c>
      <c r="GO79" s="262">
        <f t="shared" ca="1" si="73"/>
        <v>0</v>
      </c>
      <c r="GP79" s="262">
        <f t="shared" ca="1" si="74"/>
        <v>0</v>
      </c>
      <c r="GR79" s="262">
        <f t="shared" ca="1" si="76"/>
        <v>33837.370000000003</v>
      </c>
      <c r="GS79" s="262">
        <f t="shared" ca="1" si="25"/>
        <v>37464.960000000006</v>
      </c>
      <c r="GV79" t="str">
        <f t="shared" ca="1" si="79"/>
        <v/>
      </c>
      <c r="GW79" t="str">
        <f t="shared" ca="1" si="138"/>
        <v xml:space="preserve">
</v>
      </c>
      <c r="GZ79" t="str">
        <f t="shared" ca="1" si="157"/>
        <v/>
      </c>
      <c r="HD79" t="str">
        <f t="shared" ca="1" si="80"/>
        <v/>
      </c>
      <c r="HF79" s="254" t="str">
        <f t="shared" ca="1" si="81"/>
        <v xml:space="preserve">TOTALE ANNUO LORDO EURO 37464,96
</v>
      </c>
      <c r="HL79" t="str">
        <f t="shared" ca="1" si="82"/>
        <v xml:space="preserve"> C.C.N.L. DEL 06/12/2022 -</v>
      </c>
      <c r="HM79" s="263" t="str">
        <f t="shared" ca="1" si="83"/>
        <v xml:space="preserve"> C.C.N.L. DEL 06/12/2022 -
TOTALE ANNUO LORDO EURO 37464,96
Altri assegni previsti per legge</v>
      </c>
      <c r="HO79" s="272" t="str">
        <f t="shared" ca="1" si="28"/>
        <v/>
      </c>
      <c r="HP79">
        <f t="shared" ca="1" si="84"/>
        <v>0</v>
      </c>
      <c r="HQ79" t="str">
        <f t="shared" ca="1" si="85"/>
        <v/>
      </c>
      <c r="HR79" t="str">
        <f t="shared" ca="1" si="169"/>
        <v/>
      </c>
      <c r="HS79" t="str">
        <f t="shared" ca="1" si="170"/>
        <v/>
      </c>
      <c r="HX79" s="253" t="s">
        <v>187</v>
      </c>
      <c r="HY79" s="112" t="str">
        <f t="shared" si="88"/>
        <v>1/9/2017</v>
      </c>
      <c r="HZ79" t="s">
        <v>188</v>
      </c>
      <c r="IA79" s="112" t="str">
        <f t="shared" si="89"/>
        <v>31/8/2018</v>
      </c>
      <c r="IB79" t="s">
        <v>189</v>
      </c>
      <c r="IC79">
        <f t="shared" si="90"/>
        <v>1</v>
      </c>
      <c r="ID79" t="s">
        <v>192</v>
      </c>
      <c r="IE79">
        <f t="shared" si="91"/>
        <v>0</v>
      </c>
      <c r="IF79" t="s">
        <v>191</v>
      </c>
      <c r="IG79" s="254">
        <f t="shared" si="92"/>
        <v>0</v>
      </c>
      <c r="IL79" t="str">
        <f t="shared" si="93"/>
        <v xml:space="preserve">DAL: 1/9/2017 - AL:31/8/2018 - ANNI:1 - MESI:0 -GIORNI:0
</v>
      </c>
      <c r="KD79">
        <v>0</v>
      </c>
      <c r="KE79" s="260">
        <f t="shared" ca="1" si="94"/>
        <v>100000</v>
      </c>
      <c r="KF79" t="str">
        <f t="shared" si="95"/>
        <v>0-2 anni</v>
      </c>
      <c r="KG79">
        <f t="shared" si="29"/>
        <v>6</v>
      </c>
      <c r="KH79" s="238">
        <f t="shared" ca="1" si="30"/>
        <v>255</v>
      </c>
      <c r="KK79">
        <f t="shared" ca="1" si="96"/>
        <v>16218.89</v>
      </c>
      <c r="KL79">
        <f t="shared" ca="1" si="167"/>
        <v>0</v>
      </c>
      <c r="KM79">
        <f t="shared" ca="1" si="167"/>
        <v>0</v>
      </c>
      <c r="KN79">
        <f t="shared" ca="1" si="167"/>
        <v>6459.63</v>
      </c>
      <c r="KO79">
        <f t="shared" ca="1" si="167"/>
        <v>169.19</v>
      </c>
      <c r="KV79">
        <f t="shared" ca="1" si="32"/>
        <v>3458.4</v>
      </c>
      <c r="LA79" s="254" t="str">
        <f t="shared" si="97"/>
        <v>0-2 anni</v>
      </c>
      <c r="LB79" s="112">
        <f t="shared" si="33"/>
        <v>42979</v>
      </c>
      <c r="LC79" s="112">
        <f t="shared" si="34"/>
        <v>43343</v>
      </c>
      <c r="LD79">
        <f t="shared" ca="1" si="98"/>
        <v>26306.11</v>
      </c>
      <c r="LE79" s="262">
        <f t="shared" ca="1" si="99"/>
        <v>37464.960000000006</v>
      </c>
      <c r="LF79">
        <f t="shared" si="100"/>
        <v>365</v>
      </c>
      <c r="LG79">
        <f t="shared" ca="1" si="101"/>
        <v>11158.85</v>
      </c>
    </row>
    <row r="80" spans="1:319" ht="60" x14ac:dyDescent="0.25">
      <c r="A80" s="112">
        <f t="shared" si="139"/>
        <v>43191</v>
      </c>
      <c r="B80" s="112">
        <f t="shared" si="35"/>
        <v>43466</v>
      </c>
      <c r="E80" s="240">
        <f>Foglio3!F60</f>
        <v>43344</v>
      </c>
      <c r="F80" s="240">
        <f>Foglio3!G60</f>
        <v>43708</v>
      </c>
      <c r="G80" s="244"/>
      <c r="H80" s="245">
        <f t="shared" si="36"/>
        <v>43344</v>
      </c>
      <c r="I80" s="245">
        <f t="shared" si="15"/>
        <v>43708</v>
      </c>
      <c r="J80" s="244"/>
      <c r="K80" s="244"/>
      <c r="Q80">
        <f t="shared" si="16"/>
        <v>365</v>
      </c>
      <c r="R80">
        <f t="shared" si="140"/>
        <v>365</v>
      </c>
      <c r="S80">
        <f t="shared" si="37"/>
        <v>1</v>
      </c>
      <c r="T80">
        <f t="shared" si="128"/>
        <v>0</v>
      </c>
      <c r="U80">
        <f t="shared" si="129"/>
        <v>0</v>
      </c>
      <c r="W80">
        <f t="shared" si="171"/>
        <v>4</v>
      </c>
      <c r="X80">
        <f t="shared" si="171"/>
        <v>153</v>
      </c>
      <c r="Y80">
        <f t="shared" si="171"/>
        <v>351</v>
      </c>
      <c r="AA80" s="112">
        <f t="shared" si="102"/>
        <v>43344</v>
      </c>
      <c r="AB80" s="112">
        <f t="shared" si="103"/>
        <v>43708</v>
      </c>
      <c r="AG80">
        <f t="shared" si="38"/>
        <v>1</v>
      </c>
      <c r="AH80" s="112">
        <f t="shared" si="39"/>
        <v>43344</v>
      </c>
      <c r="AI80" s="112">
        <f t="shared" si="39"/>
        <v>43708</v>
      </c>
      <c r="CX80" s="112">
        <f t="shared" si="47"/>
        <v>100000</v>
      </c>
      <c r="CY80" s="112">
        <f t="shared" si="114"/>
        <v>100000</v>
      </c>
      <c r="CZ80" s="112">
        <f t="shared" si="115"/>
        <v>100000</v>
      </c>
      <c r="DA80" s="112">
        <f t="shared" si="116"/>
        <v>100000</v>
      </c>
      <c r="DB80" s="112">
        <f t="shared" si="117"/>
        <v>100000</v>
      </c>
      <c r="DC80" s="112">
        <f t="shared" si="118"/>
        <v>100000</v>
      </c>
      <c r="DU80" s="112"/>
      <c r="DV80" s="112"/>
      <c r="DW80" s="276"/>
      <c r="DX80" s="276"/>
      <c r="DY80" s="276"/>
      <c r="DZ80" s="276"/>
      <c r="EF80" s="260">
        <f>IF(DZ41=0,"",DZ41)</f>
        <v>39264</v>
      </c>
      <c r="EK80" s="254"/>
      <c r="EL80">
        <f t="shared" si="163"/>
        <v>41</v>
      </c>
      <c r="EM80" s="260" t="e">
        <f t="shared" ca="1" si="121"/>
        <v>#NUM!</v>
      </c>
      <c r="EN80" s="112" t="e">
        <f t="shared" ca="1" si="56"/>
        <v>#NUM!</v>
      </c>
      <c r="EO80" s="112">
        <f t="shared" ca="1" si="57"/>
        <v>100000</v>
      </c>
      <c r="EP80" s="112">
        <f t="shared" ca="1" si="122"/>
        <v>100000</v>
      </c>
      <c r="EQ80" s="273">
        <f t="shared" ca="1" si="137"/>
        <v>100000</v>
      </c>
      <c r="ER80" s="302">
        <f t="shared" ca="1" si="58"/>
        <v>100000</v>
      </c>
      <c r="EU80">
        <f t="shared" ca="1" si="159"/>
        <v>28</v>
      </c>
      <c r="EV80" s="260">
        <f t="shared" ca="1" si="123"/>
        <v>100000</v>
      </c>
      <c r="EW80" t="str">
        <f t="shared" ca="1" si="59"/>
        <v>28-34 anni</v>
      </c>
      <c r="EX80">
        <f t="shared" ca="1" si="19"/>
        <v>1</v>
      </c>
      <c r="EY80" s="238">
        <f t="shared" ca="1" si="20"/>
        <v>260</v>
      </c>
      <c r="EZ80" t="str">
        <f t="shared" ca="1" si="60"/>
        <v>28-34 anni</v>
      </c>
      <c r="FB80">
        <f t="shared" ca="1" si="61"/>
        <v>27377.74</v>
      </c>
      <c r="FC80">
        <f t="shared" ca="1" si="164"/>
        <v>0</v>
      </c>
      <c r="FD80">
        <f t="shared" ca="1" si="164"/>
        <v>0</v>
      </c>
      <c r="FE80">
        <f t="shared" ca="1" si="164"/>
        <v>6459.63</v>
      </c>
      <c r="FF80">
        <f t="shared" ca="1" si="164"/>
        <v>169.19</v>
      </c>
      <c r="FL80">
        <f t="shared" ca="1" si="62"/>
        <v>0</v>
      </c>
      <c r="FM80">
        <f t="shared" ca="1" si="22"/>
        <v>3458.4</v>
      </c>
      <c r="FR80" s="254" t="str">
        <f t="shared" ca="1" si="124"/>
        <v>28-34 anni</v>
      </c>
      <c r="FS80">
        <f t="shared" si="125"/>
        <v>80</v>
      </c>
      <c r="FT80" t="str">
        <f t="shared" ref="FT80:FT86" ca="1" si="173">IF(INDIRECT(  CONCATENATE(FT$34,$FS80 ))&lt;&gt;"",     CONCATENATE(FT$34,$FS80 ),"")</f>
        <v>ez80</v>
      </c>
      <c r="FU80" t="str">
        <f t="shared" ca="1" si="172"/>
        <v>EV80</v>
      </c>
      <c r="FV80" t="str">
        <f t="shared" ca="1" si="172"/>
        <v>FB80</v>
      </c>
      <c r="FW80" t="str">
        <f t="shared" ca="1" si="172"/>
        <v>FC80</v>
      </c>
      <c r="FX80" t="str">
        <f t="shared" ca="1" si="172"/>
        <v>FD80</v>
      </c>
      <c r="FY80" t="str">
        <f t="shared" ca="1" si="172"/>
        <v>FE80</v>
      </c>
      <c r="FZ80" t="str">
        <f t="shared" ca="1" si="172"/>
        <v>FF80</v>
      </c>
      <c r="GA80" t="str">
        <f t="shared" ca="1" si="172"/>
        <v>FL80</v>
      </c>
      <c r="GB80" t="str">
        <f t="shared" ca="1" si="172"/>
        <v>FM80</v>
      </c>
      <c r="GC80" t="str">
        <f t="shared" ca="1" si="63"/>
        <v/>
      </c>
      <c r="GD80" t="str">
        <f t="shared" ca="1" si="172"/>
        <v/>
      </c>
      <c r="GE80">
        <f t="shared" ca="1" si="126"/>
        <v>0</v>
      </c>
      <c r="GF80" s="112">
        <f t="shared" ca="1" si="64"/>
        <v>100000</v>
      </c>
      <c r="GG80" s="238" t="str">
        <f t="shared" ca="1" si="65"/>
        <v>28-34 anni</v>
      </c>
      <c r="GH80" s="262">
        <f t="shared" ca="1" si="66"/>
        <v>27377.74</v>
      </c>
      <c r="GI80" s="262">
        <f t="shared" ca="1" si="67"/>
        <v>0</v>
      </c>
      <c r="GJ80" s="262">
        <f t="shared" ca="1" si="68"/>
        <v>0</v>
      </c>
      <c r="GK80" s="262">
        <f t="shared" ca="1" si="69"/>
        <v>6459.63</v>
      </c>
      <c r="GL80" s="262">
        <f t="shared" ca="1" si="70"/>
        <v>169.19</v>
      </c>
      <c r="GM80" s="262">
        <f t="shared" ca="1" si="71"/>
        <v>0</v>
      </c>
      <c r="GN80" s="262">
        <f t="shared" ca="1" si="72"/>
        <v>3458.4</v>
      </c>
      <c r="GO80" s="262">
        <f t="shared" ca="1" si="73"/>
        <v>0</v>
      </c>
      <c r="GP80" s="262">
        <f t="shared" ca="1" si="74"/>
        <v>0</v>
      </c>
      <c r="GR80" s="262">
        <f t="shared" ca="1" si="76"/>
        <v>33837.370000000003</v>
      </c>
      <c r="GS80" s="262">
        <f t="shared" ca="1" si="25"/>
        <v>37464.960000000006</v>
      </c>
      <c r="GV80" t="str">
        <f t="shared" ca="1" si="79"/>
        <v/>
      </c>
      <c r="GW80" t="str">
        <f t="shared" ca="1" si="138"/>
        <v xml:space="preserve">
</v>
      </c>
      <c r="GZ80" t="str">
        <f t="shared" ca="1" si="157"/>
        <v/>
      </c>
      <c r="HD80" t="str">
        <f t="shared" ca="1" si="80"/>
        <v/>
      </c>
      <c r="HF80" s="254" t="str">
        <f t="shared" ca="1" si="81"/>
        <v xml:space="preserve">TOTALE ANNUO LORDO EURO 37464,96
</v>
      </c>
      <c r="HL80" t="str">
        <f t="shared" ca="1" si="82"/>
        <v xml:space="preserve"> C.C.N.L. DEL 06/12/2022 -</v>
      </c>
      <c r="HM80" s="263" t="str">
        <f t="shared" ca="1" si="83"/>
        <v xml:space="preserve"> C.C.N.L. DEL 06/12/2022 -
TOTALE ANNUO LORDO EURO 37464,96
Altri assegni previsti per legge</v>
      </c>
      <c r="HO80" s="272" t="str">
        <f t="shared" ca="1" si="28"/>
        <v/>
      </c>
      <c r="HP80">
        <f t="shared" ca="1" si="84"/>
        <v>0</v>
      </c>
      <c r="HQ80" t="str">
        <f t="shared" ca="1" si="85"/>
        <v/>
      </c>
      <c r="HR80" t="str">
        <f t="shared" ca="1" si="169"/>
        <v/>
      </c>
      <c r="HS80" t="str">
        <f t="shared" ca="1" si="170"/>
        <v/>
      </c>
      <c r="HX80" s="253" t="s">
        <v>187</v>
      </c>
      <c r="HY80" s="112" t="str">
        <f t="shared" si="88"/>
        <v>1/9/2018</v>
      </c>
      <c r="HZ80" t="s">
        <v>188</v>
      </c>
      <c r="IA80" s="112" t="str">
        <f t="shared" si="89"/>
        <v>31/8/2019</v>
      </c>
      <c r="IB80" t="s">
        <v>189</v>
      </c>
      <c r="IC80">
        <f t="shared" si="90"/>
        <v>1</v>
      </c>
      <c r="ID80" t="s">
        <v>192</v>
      </c>
      <c r="IE80">
        <f t="shared" si="91"/>
        <v>0</v>
      </c>
      <c r="IF80" t="s">
        <v>191</v>
      </c>
      <c r="IG80" s="254">
        <f t="shared" si="92"/>
        <v>0</v>
      </c>
      <c r="IL80" t="str">
        <f t="shared" si="93"/>
        <v xml:space="preserve">DAL: 1/9/2018 - AL:31/8/2019 - ANNI:1 - MESI:0 -GIORNI:0
</v>
      </c>
      <c r="IW80" t="e">
        <f>CONCATENATE(IL80,IL81,IL82,IL83,IL84,IL85,IL86,IL87,IL88,IL89,IL90,IL91,IL92,IL93,IL94,I585,IL96,IL97,IL98,IL99,)</f>
        <v>#VALUE!</v>
      </c>
      <c r="KD80">
        <v>0</v>
      </c>
      <c r="KE80" s="260">
        <f t="shared" ca="1" si="94"/>
        <v>100000</v>
      </c>
      <c r="KF80" t="str">
        <f t="shared" si="95"/>
        <v>0-2 anni</v>
      </c>
      <c r="KG80">
        <f t="shared" si="29"/>
        <v>6</v>
      </c>
      <c r="KH80" s="238">
        <f t="shared" ca="1" si="30"/>
        <v>255</v>
      </c>
      <c r="KK80">
        <f t="shared" ca="1" si="96"/>
        <v>16218.89</v>
      </c>
      <c r="KL80">
        <f t="shared" ca="1" si="167"/>
        <v>0</v>
      </c>
      <c r="KM80">
        <f t="shared" ca="1" si="167"/>
        <v>0</v>
      </c>
      <c r="KN80">
        <f t="shared" ca="1" si="167"/>
        <v>6459.63</v>
      </c>
      <c r="KO80">
        <f t="shared" ca="1" si="167"/>
        <v>169.19</v>
      </c>
      <c r="KV80">
        <f t="shared" ca="1" si="32"/>
        <v>3458.4</v>
      </c>
      <c r="LA80" s="254" t="str">
        <f t="shared" si="97"/>
        <v>0-2 anni</v>
      </c>
      <c r="LB80" s="112">
        <f t="shared" si="33"/>
        <v>43344</v>
      </c>
      <c r="LC80" s="112">
        <f t="shared" si="34"/>
        <v>43708</v>
      </c>
      <c r="LD80">
        <f t="shared" ca="1" si="98"/>
        <v>26306.11</v>
      </c>
      <c r="LE80" s="262">
        <f t="shared" ca="1" si="99"/>
        <v>37464.960000000006</v>
      </c>
      <c r="LF80">
        <f t="shared" si="100"/>
        <v>365</v>
      </c>
      <c r="LG80">
        <f t="shared" ca="1" si="101"/>
        <v>11158.85</v>
      </c>
    </row>
    <row r="81" spans="1:319" ht="60" x14ac:dyDescent="0.25">
      <c r="A81" s="112">
        <f t="shared" si="139"/>
        <v>43466</v>
      </c>
      <c r="B81" s="112">
        <f t="shared" si="35"/>
        <v>43831</v>
      </c>
      <c r="E81" s="240">
        <f>Foglio3!F61</f>
        <v>43709</v>
      </c>
      <c r="F81" s="240">
        <f>Foglio3!G61</f>
        <v>44074</v>
      </c>
      <c r="G81" s="244"/>
      <c r="H81" s="245">
        <f t="shared" si="36"/>
        <v>43709</v>
      </c>
      <c r="I81" s="245">
        <f t="shared" si="15"/>
        <v>44074</v>
      </c>
      <c r="J81" s="244"/>
      <c r="K81" s="244"/>
      <c r="Q81">
        <f t="shared" si="16"/>
        <v>366</v>
      </c>
      <c r="R81">
        <f t="shared" si="140"/>
        <v>366</v>
      </c>
      <c r="S81">
        <f t="shared" si="37"/>
        <v>1</v>
      </c>
      <c r="T81">
        <f t="shared" si="128"/>
        <v>0</v>
      </c>
      <c r="U81">
        <f t="shared" si="129"/>
        <v>1</v>
      </c>
      <c r="W81">
        <f t="shared" si="171"/>
        <v>5</v>
      </c>
      <c r="X81">
        <f t="shared" si="171"/>
        <v>153</v>
      </c>
      <c r="Y81">
        <f t="shared" si="171"/>
        <v>352</v>
      </c>
      <c r="AA81" s="112">
        <f t="shared" si="102"/>
        <v>43709</v>
      </c>
      <c r="AB81" s="112">
        <f t="shared" si="103"/>
        <v>44074</v>
      </c>
      <c r="AG81">
        <f t="shared" si="38"/>
        <v>1</v>
      </c>
      <c r="AH81" s="112">
        <f t="shared" si="39"/>
        <v>43709</v>
      </c>
      <c r="AI81" s="112">
        <f t="shared" si="39"/>
        <v>44074</v>
      </c>
      <c r="CX81" s="112">
        <f t="shared" si="47"/>
        <v>100000</v>
      </c>
      <c r="CY81" s="112">
        <f t="shared" si="114"/>
        <v>100000</v>
      </c>
      <c r="CZ81" s="112">
        <f t="shared" si="115"/>
        <v>100000</v>
      </c>
      <c r="DA81" s="112">
        <f t="shared" si="116"/>
        <v>100000</v>
      </c>
      <c r="DB81" s="112">
        <f t="shared" si="117"/>
        <v>100000</v>
      </c>
      <c r="DC81" s="112">
        <f t="shared" si="118"/>
        <v>100000</v>
      </c>
      <c r="DU81" s="112"/>
      <c r="DV81" s="112"/>
      <c r="DW81" s="276"/>
      <c r="DX81" s="276"/>
      <c r="DY81" s="276"/>
      <c r="DZ81" s="276"/>
      <c r="EF81" s="260">
        <f ca="1">IF(DZ42=0,"",DZ42)</f>
        <v>44440</v>
      </c>
      <c r="EK81" s="254"/>
      <c r="EL81">
        <f t="shared" si="163"/>
        <v>42</v>
      </c>
      <c r="EM81" s="260" t="e">
        <f t="shared" ca="1" si="121"/>
        <v>#NUM!</v>
      </c>
      <c r="EN81" s="112" t="e">
        <f t="shared" ca="1" si="56"/>
        <v>#NUM!</v>
      </c>
      <c r="EO81" s="112">
        <f t="shared" ca="1" si="57"/>
        <v>100000</v>
      </c>
      <c r="EP81" s="112">
        <f t="shared" ca="1" si="122"/>
        <v>100000</v>
      </c>
      <c r="EQ81" s="273">
        <f t="shared" ca="1" si="137"/>
        <v>100000</v>
      </c>
      <c r="ER81" s="302">
        <f t="shared" ca="1" si="58"/>
        <v>100000</v>
      </c>
      <c r="EU81">
        <f t="shared" ca="1" si="159"/>
        <v>28</v>
      </c>
      <c r="EV81" s="260">
        <f t="shared" ca="1" si="123"/>
        <v>100000</v>
      </c>
      <c r="EW81" t="str">
        <f t="shared" ca="1" si="59"/>
        <v>28-34 anni</v>
      </c>
      <c r="EX81">
        <f t="shared" ca="1" si="19"/>
        <v>1</v>
      </c>
      <c r="EY81" s="238">
        <f t="shared" ca="1" si="20"/>
        <v>260</v>
      </c>
      <c r="EZ81" t="str">
        <f t="shared" ca="1" si="60"/>
        <v>28-34 anni</v>
      </c>
      <c r="FB81">
        <f t="shared" ca="1" si="61"/>
        <v>27377.74</v>
      </c>
      <c r="FC81">
        <f t="shared" ca="1" si="164"/>
        <v>0</v>
      </c>
      <c r="FD81">
        <f t="shared" ca="1" si="164"/>
        <v>0</v>
      </c>
      <c r="FE81">
        <f t="shared" ca="1" si="164"/>
        <v>6459.63</v>
      </c>
      <c r="FF81">
        <f t="shared" ca="1" si="164"/>
        <v>169.19</v>
      </c>
      <c r="FL81">
        <f t="shared" ca="1" si="62"/>
        <v>0</v>
      </c>
      <c r="FM81">
        <f t="shared" ca="1" si="22"/>
        <v>3458.4</v>
      </c>
      <c r="FR81" s="254" t="str">
        <f t="shared" ca="1" si="124"/>
        <v>28-34 anni</v>
      </c>
      <c r="FS81">
        <f t="shared" si="125"/>
        <v>81</v>
      </c>
      <c r="FT81" t="str">
        <f t="shared" ca="1" si="173"/>
        <v>ez81</v>
      </c>
      <c r="FU81" t="str">
        <f t="shared" ca="1" si="172"/>
        <v>EV81</v>
      </c>
      <c r="FV81" t="str">
        <f t="shared" ca="1" si="172"/>
        <v>FB81</v>
      </c>
      <c r="FW81" t="str">
        <f t="shared" ca="1" si="172"/>
        <v>FC81</v>
      </c>
      <c r="FX81" t="str">
        <f t="shared" ca="1" si="172"/>
        <v>FD81</v>
      </c>
      <c r="FY81" t="str">
        <f t="shared" ca="1" si="172"/>
        <v>FE81</v>
      </c>
      <c r="FZ81" t="str">
        <f t="shared" ca="1" si="172"/>
        <v>FF81</v>
      </c>
      <c r="GA81" t="str">
        <f t="shared" ca="1" si="172"/>
        <v>FL81</v>
      </c>
      <c r="GB81" t="str">
        <f t="shared" ca="1" si="172"/>
        <v>FM81</v>
      </c>
      <c r="GC81" t="str">
        <f t="shared" ca="1" si="63"/>
        <v/>
      </c>
      <c r="GD81" t="str">
        <f t="shared" ca="1" si="172"/>
        <v/>
      </c>
      <c r="GE81">
        <f t="shared" ca="1" si="126"/>
        <v>0</v>
      </c>
      <c r="GF81" s="112">
        <f t="shared" ca="1" si="64"/>
        <v>100000</v>
      </c>
      <c r="GG81" s="238" t="str">
        <f t="shared" ca="1" si="65"/>
        <v>28-34 anni</v>
      </c>
      <c r="GH81" s="262">
        <f t="shared" ca="1" si="66"/>
        <v>27377.74</v>
      </c>
      <c r="GI81" s="262">
        <f t="shared" ca="1" si="67"/>
        <v>0</v>
      </c>
      <c r="GJ81" s="262">
        <f t="shared" ca="1" si="68"/>
        <v>0</v>
      </c>
      <c r="GK81" s="262">
        <f t="shared" ca="1" si="69"/>
        <v>6459.63</v>
      </c>
      <c r="GL81" s="262">
        <f t="shared" ca="1" si="70"/>
        <v>169.19</v>
      </c>
      <c r="GM81" s="262">
        <f t="shared" ca="1" si="71"/>
        <v>0</v>
      </c>
      <c r="GN81" s="262">
        <f t="shared" ca="1" si="72"/>
        <v>3458.4</v>
      </c>
      <c r="GO81" s="262">
        <f t="shared" ca="1" si="73"/>
        <v>0</v>
      </c>
      <c r="GP81" s="262">
        <f t="shared" ca="1" si="74"/>
        <v>0</v>
      </c>
      <c r="GR81" s="262">
        <f t="shared" ca="1" si="76"/>
        <v>33837.370000000003</v>
      </c>
      <c r="GS81" s="262">
        <f t="shared" ca="1" si="25"/>
        <v>37464.960000000006</v>
      </c>
      <c r="GV81" t="str">
        <f t="shared" ca="1" si="79"/>
        <v/>
      </c>
      <c r="GW81" t="str">
        <f t="shared" ca="1" si="138"/>
        <v xml:space="preserve">
</v>
      </c>
      <c r="GZ81" t="str">
        <f t="shared" ca="1" si="157"/>
        <v/>
      </c>
      <c r="HD81" t="str">
        <f t="shared" ca="1" si="80"/>
        <v/>
      </c>
      <c r="HF81" s="254" t="str">
        <f t="shared" ca="1" si="81"/>
        <v xml:space="preserve">TOTALE ANNUO LORDO EURO 37464,96
</v>
      </c>
      <c r="HL81" t="str">
        <f t="shared" ca="1" si="82"/>
        <v xml:space="preserve"> C.C.N.L. DEL 06/12/2022 -</v>
      </c>
      <c r="HM81" s="263" t="str">
        <f t="shared" ca="1" si="83"/>
        <v xml:space="preserve"> C.C.N.L. DEL 06/12/2022 -
TOTALE ANNUO LORDO EURO 37464,96
Altri assegni previsti per legge</v>
      </c>
      <c r="HO81" s="272" t="str">
        <f t="shared" ca="1" si="28"/>
        <v/>
      </c>
      <c r="HP81">
        <f t="shared" ca="1" si="84"/>
        <v>0</v>
      </c>
      <c r="HQ81" t="str">
        <f t="shared" ca="1" si="85"/>
        <v/>
      </c>
      <c r="HR81" t="str">
        <f t="shared" ca="1" si="169"/>
        <v/>
      </c>
      <c r="HS81" t="str">
        <f t="shared" ca="1" si="170"/>
        <v/>
      </c>
      <c r="HX81" s="253" t="s">
        <v>187</v>
      </c>
      <c r="HY81" s="112" t="str">
        <f t="shared" si="88"/>
        <v>1/9/2019</v>
      </c>
      <c r="HZ81" t="s">
        <v>188</v>
      </c>
      <c r="IA81" s="112" t="str">
        <f t="shared" si="89"/>
        <v>31/8/2020</v>
      </c>
      <c r="IB81" t="s">
        <v>189</v>
      </c>
      <c r="IC81">
        <f t="shared" si="90"/>
        <v>1</v>
      </c>
      <c r="ID81" t="s">
        <v>192</v>
      </c>
      <c r="IE81">
        <f t="shared" si="91"/>
        <v>0</v>
      </c>
      <c r="IF81" t="s">
        <v>191</v>
      </c>
      <c r="IG81" s="254">
        <f t="shared" si="92"/>
        <v>1</v>
      </c>
      <c r="IL81" t="str">
        <f t="shared" si="93"/>
        <v xml:space="preserve">DAL: 1/9/2019 - AL:31/8/2020 - ANNI:1 - MESI:0 -GIORNI:1
</v>
      </c>
      <c r="KD81">
        <v>0</v>
      </c>
      <c r="KE81" s="260">
        <f t="shared" ca="1" si="94"/>
        <v>100000</v>
      </c>
      <c r="KF81" t="str">
        <f t="shared" si="95"/>
        <v>0-2 anni</v>
      </c>
      <c r="KG81">
        <f t="shared" si="29"/>
        <v>6</v>
      </c>
      <c r="KH81" s="238">
        <f t="shared" ca="1" si="30"/>
        <v>255</v>
      </c>
      <c r="KK81">
        <f t="shared" ca="1" si="96"/>
        <v>16218.89</v>
      </c>
      <c r="KL81">
        <f t="shared" ca="1" si="167"/>
        <v>0</v>
      </c>
      <c r="KM81">
        <f t="shared" ca="1" si="167"/>
        <v>0</v>
      </c>
      <c r="KN81">
        <f t="shared" ca="1" si="167"/>
        <v>6459.63</v>
      </c>
      <c r="KO81">
        <f t="shared" ca="1" si="167"/>
        <v>169.19</v>
      </c>
      <c r="KV81">
        <f t="shared" ca="1" si="32"/>
        <v>3458.4</v>
      </c>
      <c r="LA81" s="254" t="str">
        <f t="shared" si="97"/>
        <v>0-2 anni</v>
      </c>
      <c r="LB81" s="112">
        <f t="shared" si="33"/>
        <v>43709</v>
      </c>
      <c r="LC81" s="112">
        <f t="shared" si="34"/>
        <v>44074</v>
      </c>
      <c r="LD81">
        <f t="shared" ca="1" si="98"/>
        <v>26306.11</v>
      </c>
      <c r="LE81" s="262">
        <f t="shared" ca="1" si="99"/>
        <v>37464.960000000006</v>
      </c>
      <c r="LF81">
        <f t="shared" si="100"/>
        <v>366</v>
      </c>
      <c r="LG81">
        <f t="shared" ca="1" si="101"/>
        <v>11189.42</v>
      </c>
    </row>
    <row r="82" spans="1:319" ht="60" x14ac:dyDescent="0.25">
      <c r="A82" s="112">
        <f t="shared" si="139"/>
        <v>43831</v>
      </c>
      <c r="B82" s="112">
        <f t="shared" si="35"/>
        <v>44197</v>
      </c>
      <c r="E82" s="240">
        <f>Foglio3!F62</f>
        <v>44075</v>
      </c>
      <c r="F82" s="240">
        <f>Foglio3!G62</f>
        <v>44439</v>
      </c>
      <c r="G82" s="244"/>
      <c r="H82" s="245">
        <f t="shared" si="36"/>
        <v>44075</v>
      </c>
      <c r="I82" s="245">
        <f t="shared" si="15"/>
        <v>44439</v>
      </c>
      <c r="J82" s="244"/>
      <c r="K82" s="244"/>
      <c r="Q82">
        <f t="shared" si="16"/>
        <v>365</v>
      </c>
      <c r="R82">
        <f t="shared" si="140"/>
        <v>365</v>
      </c>
      <c r="S82">
        <f t="shared" si="37"/>
        <v>1</v>
      </c>
      <c r="T82">
        <f t="shared" si="128"/>
        <v>0</v>
      </c>
      <c r="U82">
        <f t="shared" si="129"/>
        <v>0</v>
      </c>
      <c r="W82">
        <f t="shared" si="171"/>
        <v>6</v>
      </c>
      <c r="X82">
        <f t="shared" si="171"/>
        <v>153</v>
      </c>
      <c r="Y82">
        <f t="shared" si="171"/>
        <v>352</v>
      </c>
      <c r="AA82" s="112">
        <f t="shared" si="102"/>
        <v>44075</v>
      </c>
      <c r="AB82" s="112">
        <f t="shared" si="103"/>
        <v>44439</v>
      </c>
      <c r="AG82">
        <f t="shared" si="38"/>
        <v>1</v>
      </c>
      <c r="AH82" s="112">
        <f t="shared" si="39"/>
        <v>44075</v>
      </c>
      <c r="AI82" s="112">
        <f t="shared" si="39"/>
        <v>44439</v>
      </c>
      <c r="CX82" s="112">
        <f t="shared" si="47"/>
        <v>100000</v>
      </c>
      <c r="CY82" s="112">
        <f t="shared" si="114"/>
        <v>100000</v>
      </c>
      <c r="CZ82" s="112">
        <f t="shared" si="115"/>
        <v>100000</v>
      </c>
      <c r="DA82" s="112">
        <f t="shared" si="116"/>
        <v>100000</v>
      </c>
      <c r="DB82" s="112">
        <f t="shared" si="117"/>
        <v>100000</v>
      </c>
      <c r="DC82" s="112">
        <f t="shared" si="118"/>
        <v>100000</v>
      </c>
      <c r="DU82" s="112"/>
      <c r="DV82" s="112"/>
      <c r="DW82" s="276"/>
      <c r="DX82" s="276"/>
      <c r="DY82" s="276"/>
      <c r="DZ82" s="276"/>
      <c r="EF82" s="260">
        <f ca="1">IF(DZ43=0,"",DZ43)</f>
        <v>46631</v>
      </c>
      <c r="EK82" s="254"/>
      <c r="EL82">
        <f t="shared" si="163"/>
        <v>43</v>
      </c>
      <c r="EM82" s="260" t="e">
        <f t="shared" ca="1" si="121"/>
        <v>#NUM!</v>
      </c>
      <c r="EN82" s="112" t="e">
        <f t="shared" ca="1" si="56"/>
        <v>#NUM!</v>
      </c>
      <c r="EO82" s="112">
        <f t="shared" ca="1" si="57"/>
        <v>100000</v>
      </c>
      <c r="EP82" s="112">
        <f t="shared" ca="1" si="122"/>
        <v>100000</v>
      </c>
      <c r="EQ82" s="273">
        <f t="shared" ca="1" si="137"/>
        <v>100000</v>
      </c>
      <c r="ER82" s="302">
        <f t="shared" ca="1" si="58"/>
        <v>100000</v>
      </c>
      <c r="EU82">
        <f t="shared" ca="1" si="159"/>
        <v>28</v>
      </c>
      <c r="EV82" s="260">
        <f t="shared" ca="1" si="123"/>
        <v>100000</v>
      </c>
      <c r="EW82" t="str">
        <f t="shared" ca="1" si="59"/>
        <v>28-34 anni</v>
      </c>
      <c r="EX82">
        <f t="shared" ca="1" si="19"/>
        <v>1</v>
      </c>
      <c r="EY82" s="238">
        <f t="shared" ca="1" si="20"/>
        <v>260</v>
      </c>
      <c r="EZ82" t="str">
        <f t="shared" ca="1" si="60"/>
        <v>28-34 anni</v>
      </c>
      <c r="FB82">
        <f t="shared" ca="1" si="61"/>
        <v>27377.74</v>
      </c>
      <c r="FC82">
        <f t="shared" ca="1" si="164"/>
        <v>0</v>
      </c>
      <c r="FD82">
        <f t="shared" ca="1" si="164"/>
        <v>0</v>
      </c>
      <c r="FE82">
        <f t="shared" ca="1" si="164"/>
        <v>6459.63</v>
      </c>
      <c r="FF82">
        <f t="shared" ca="1" si="164"/>
        <v>169.19</v>
      </c>
      <c r="FL82">
        <f t="shared" ca="1" si="62"/>
        <v>0</v>
      </c>
      <c r="FM82">
        <f t="shared" ca="1" si="22"/>
        <v>3458.4</v>
      </c>
      <c r="FR82" s="254" t="str">
        <f t="shared" ca="1" si="124"/>
        <v>28-34 anni</v>
      </c>
      <c r="FS82">
        <f t="shared" si="125"/>
        <v>82</v>
      </c>
      <c r="FT82" t="str">
        <f t="shared" ca="1" si="173"/>
        <v>ez82</v>
      </c>
      <c r="FU82" t="str">
        <f t="shared" ca="1" si="172"/>
        <v>EV82</v>
      </c>
      <c r="FV82" t="str">
        <f t="shared" ca="1" si="172"/>
        <v>FB82</v>
      </c>
      <c r="FW82" t="str">
        <f t="shared" ca="1" si="172"/>
        <v>FC82</v>
      </c>
      <c r="FX82" t="str">
        <f t="shared" ca="1" si="172"/>
        <v>FD82</v>
      </c>
      <c r="FY82" t="str">
        <f t="shared" ca="1" si="172"/>
        <v>FE82</v>
      </c>
      <c r="FZ82" t="str">
        <f t="shared" ca="1" si="172"/>
        <v>FF82</v>
      </c>
      <c r="GA82" t="str">
        <f t="shared" ca="1" si="172"/>
        <v>FL82</v>
      </c>
      <c r="GB82" t="str">
        <f t="shared" ca="1" si="172"/>
        <v>FM82</v>
      </c>
      <c r="GC82" t="str">
        <f t="shared" ca="1" si="63"/>
        <v/>
      </c>
      <c r="GD82" t="str">
        <f t="shared" ca="1" si="172"/>
        <v/>
      </c>
      <c r="GE82">
        <f t="shared" ca="1" si="126"/>
        <v>0</v>
      </c>
      <c r="GF82" s="112">
        <f t="shared" ca="1" si="64"/>
        <v>100000</v>
      </c>
      <c r="GG82" s="238" t="str">
        <f t="shared" ca="1" si="65"/>
        <v>28-34 anni</v>
      </c>
      <c r="GH82" s="262">
        <f t="shared" ca="1" si="66"/>
        <v>27377.74</v>
      </c>
      <c r="GI82" s="262">
        <f t="shared" ca="1" si="67"/>
        <v>0</v>
      </c>
      <c r="GJ82" s="262">
        <f t="shared" ca="1" si="68"/>
        <v>0</v>
      </c>
      <c r="GK82" s="262">
        <f t="shared" ca="1" si="69"/>
        <v>6459.63</v>
      </c>
      <c r="GL82" s="262">
        <f t="shared" ca="1" si="70"/>
        <v>169.19</v>
      </c>
      <c r="GM82" s="262">
        <f t="shared" ca="1" si="71"/>
        <v>0</v>
      </c>
      <c r="GN82" s="262">
        <f t="shared" ca="1" si="72"/>
        <v>3458.4</v>
      </c>
      <c r="GO82" s="262">
        <f t="shared" ca="1" si="73"/>
        <v>0</v>
      </c>
      <c r="GP82" s="262">
        <f t="shared" ca="1" si="74"/>
        <v>0</v>
      </c>
      <c r="GR82" s="262">
        <f t="shared" ca="1" si="76"/>
        <v>33837.370000000003</v>
      </c>
      <c r="GS82" s="262">
        <f t="shared" ca="1" si="25"/>
        <v>37464.960000000006</v>
      </c>
      <c r="GV82" t="str">
        <f t="shared" ca="1" si="79"/>
        <v/>
      </c>
      <c r="GW82" t="str">
        <f t="shared" ca="1" si="138"/>
        <v xml:space="preserve">
</v>
      </c>
      <c r="GZ82" t="str">
        <f t="shared" ca="1" si="157"/>
        <v/>
      </c>
      <c r="HD82" t="str">
        <f t="shared" ca="1" si="80"/>
        <v/>
      </c>
      <c r="HF82" s="254" t="str">
        <f t="shared" ca="1" si="81"/>
        <v xml:space="preserve">TOTALE ANNUO LORDO EURO 37464,96
</v>
      </c>
      <c r="HL82" t="str">
        <f t="shared" ca="1" si="82"/>
        <v xml:space="preserve"> C.C.N.L. DEL 06/12/2022 -</v>
      </c>
      <c r="HM82" s="263" t="str">
        <f t="shared" ca="1" si="83"/>
        <v xml:space="preserve"> C.C.N.L. DEL 06/12/2022 -
TOTALE ANNUO LORDO EURO 37464,96
Altri assegni previsti per legge</v>
      </c>
      <c r="HO82" s="272" t="str">
        <f t="shared" ca="1" si="28"/>
        <v/>
      </c>
      <c r="HP82">
        <f t="shared" ca="1" si="84"/>
        <v>0</v>
      </c>
      <c r="HQ82" t="str">
        <f t="shared" ca="1" si="85"/>
        <v/>
      </c>
      <c r="HR82" t="str">
        <f t="shared" ca="1" si="169"/>
        <v/>
      </c>
      <c r="HS82" t="str">
        <f t="shared" ca="1" si="170"/>
        <v/>
      </c>
      <c r="HX82" s="253" t="s">
        <v>187</v>
      </c>
      <c r="HY82" s="112" t="str">
        <f t="shared" si="88"/>
        <v>1/9/2020</v>
      </c>
      <c r="HZ82" t="s">
        <v>188</v>
      </c>
      <c r="IA82" s="112" t="str">
        <f t="shared" si="89"/>
        <v>31/8/2021</v>
      </c>
      <c r="IB82" t="s">
        <v>189</v>
      </c>
      <c r="IC82">
        <f t="shared" si="90"/>
        <v>1</v>
      </c>
      <c r="ID82" t="s">
        <v>192</v>
      </c>
      <c r="IE82">
        <f t="shared" si="91"/>
        <v>0</v>
      </c>
      <c r="IF82" t="s">
        <v>191</v>
      </c>
      <c r="IG82" s="254">
        <f t="shared" si="92"/>
        <v>0</v>
      </c>
      <c r="IL82" t="str">
        <f t="shared" si="93"/>
        <v xml:space="preserve">DAL: 1/9/2020 - AL:31/8/2021 - ANNI:1 - MESI:0 -GIORNI:0
</v>
      </c>
      <c r="KD82">
        <v>0</v>
      </c>
      <c r="KE82" s="260">
        <f t="shared" ca="1" si="94"/>
        <v>100000</v>
      </c>
      <c r="KF82" t="str">
        <f t="shared" si="95"/>
        <v>0-2 anni</v>
      </c>
      <c r="KG82">
        <f t="shared" si="29"/>
        <v>6</v>
      </c>
      <c r="KH82" s="238">
        <f t="shared" ca="1" si="30"/>
        <v>255</v>
      </c>
      <c r="KK82">
        <f t="shared" ca="1" si="96"/>
        <v>16218.89</v>
      </c>
      <c r="KL82">
        <f t="shared" ca="1" si="167"/>
        <v>0</v>
      </c>
      <c r="KM82">
        <f t="shared" ca="1" si="167"/>
        <v>0</v>
      </c>
      <c r="KN82">
        <f t="shared" ca="1" si="167"/>
        <v>6459.63</v>
      </c>
      <c r="KO82">
        <f t="shared" ca="1" si="167"/>
        <v>169.19</v>
      </c>
      <c r="KV82">
        <f t="shared" ca="1" si="32"/>
        <v>3458.4</v>
      </c>
      <c r="LA82" s="254" t="str">
        <f t="shared" si="97"/>
        <v>0-2 anni</v>
      </c>
      <c r="LB82" s="112">
        <f t="shared" si="33"/>
        <v>44075</v>
      </c>
      <c r="LC82" s="112">
        <f t="shared" si="34"/>
        <v>44439</v>
      </c>
      <c r="LD82">
        <f t="shared" ca="1" si="98"/>
        <v>26306.11</v>
      </c>
      <c r="LE82" s="262">
        <f t="shared" ca="1" si="99"/>
        <v>37464.960000000006</v>
      </c>
      <c r="LF82">
        <f t="shared" si="100"/>
        <v>365</v>
      </c>
      <c r="LG82">
        <f t="shared" ca="1" si="101"/>
        <v>11158.85</v>
      </c>
    </row>
    <row r="83" spans="1:319" x14ac:dyDescent="0.25">
      <c r="A83" s="112">
        <f t="shared" si="139"/>
        <v>44652</v>
      </c>
      <c r="B83" s="112">
        <f t="shared" si="35"/>
        <v>44743</v>
      </c>
      <c r="E83" s="240">
        <f>Foglio3!F63</f>
        <v>44440</v>
      </c>
      <c r="F83" s="240">
        <f>Foglio3!G63</f>
        <v>44804</v>
      </c>
      <c r="G83" s="244"/>
      <c r="H83" s="245">
        <f t="shared" si="36"/>
        <v>44440</v>
      </c>
      <c r="I83" s="245">
        <f t="shared" si="15"/>
        <v>44804</v>
      </c>
      <c r="J83" s="244"/>
      <c r="K83" s="244"/>
      <c r="Q83">
        <f t="shared" si="16"/>
        <v>365</v>
      </c>
      <c r="R83">
        <f t="shared" si="140"/>
        <v>365</v>
      </c>
      <c r="S83">
        <f t="shared" si="37"/>
        <v>1</v>
      </c>
      <c r="T83">
        <f t="shared" si="128"/>
        <v>0</v>
      </c>
      <c r="U83">
        <f t="shared" si="129"/>
        <v>0</v>
      </c>
      <c r="W83">
        <f t="shared" si="171"/>
        <v>7</v>
      </c>
      <c r="X83">
        <f t="shared" si="171"/>
        <v>153</v>
      </c>
      <c r="Y83">
        <f t="shared" si="171"/>
        <v>352</v>
      </c>
      <c r="AA83" s="112">
        <f t="shared" si="102"/>
        <v>44440</v>
      </c>
      <c r="AB83" s="112">
        <f t="shared" si="103"/>
        <v>44804</v>
      </c>
      <c r="AG83">
        <f t="shared" si="38"/>
        <v>1</v>
      </c>
      <c r="AH83" s="112">
        <f t="shared" si="39"/>
        <v>44440</v>
      </c>
      <c r="AI83" s="112">
        <f t="shared" si="39"/>
        <v>44804</v>
      </c>
      <c r="CX83" s="112">
        <f t="shared" si="47"/>
        <v>100000</v>
      </c>
      <c r="CY83" s="112">
        <f t="shared" si="114"/>
        <v>100000</v>
      </c>
      <c r="CZ83" s="112">
        <f t="shared" si="115"/>
        <v>100000</v>
      </c>
      <c r="DA83" s="112">
        <f t="shared" si="116"/>
        <v>100000</v>
      </c>
      <c r="DB83" s="112">
        <f t="shared" si="117"/>
        <v>100000</v>
      </c>
      <c r="DC83" s="112">
        <f t="shared" si="118"/>
        <v>100000</v>
      </c>
      <c r="DU83" s="112"/>
      <c r="DV83" s="112"/>
      <c r="DW83" s="276"/>
      <c r="DX83" s="276"/>
      <c r="DY83" s="276"/>
      <c r="DZ83" s="276"/>
      <c r="EF83" s="260" t="str">
        <f t="shared" si="160"/>
        <v/>
      </c>
      <c r="EK83" s="254"/>
      <c r="EL83">
        <f t="shared" si="163"/>
        <v>44</v>
      </c>
      <c r="EM83" s="260" t="e">
        <f t="shared" ca="1" si="121"/>
        <v>#NUM!</v>
      </c>
      <c r="EN83" s="112" t="e">
        <f t="shared" ca="1" si="56"/>
        <v>#NUM!</v>
      </c>
      <c r="EO83" s="112">
        <f t="shared" ca="1" si="57"/>
        <v>100000</v>
      </c>
      <c r="EP83" s="112">
        <f t="shared" ca="1" si="122"/>
        <v>100000</v>
      </c>
      <c r="EQ83" s="273">
        <f t="shared" ca="1" si="137"/>
        <v>100000</v>
      </c>
      <c r="ER83" s="302">
        <f t="shared" ca="1" si="58"/>
        <v>100000</v>
      </c>
      <c r="EU83">
        <f t="shared" ca="1" si="159"/>
        <v>28</v>
      </c>
      <c r="EV83" s="260">
        <f t="shared" ca="1" si="123"/>
        <v>100000</v>
      </c>
      <c r="EW83" t="str">
        <f t="shared" ca="1" si="59"/>
        <v>28-34 anni</v>
      </c>
      <c r="EX83">
        <f t="shared" ca="1" si="19"/>
        <v>1</v>
      </c>
      <c r="EY83" s="238">
        <f t="shared" ca="1" si="20"/>
        <v>260</v>
      </c>
      <c r="EZ83" t="str">
        <f t="shared" ca="1" si="60"/>
        <v>28-34 anni</v>
      </c>
      <c r="FB83">
        <f t="shared" ca="1" si="61"/>
        <v>27377.74</v>
      </c>
      <c r="FC83">
        <f t="shared" ca="1" si="164"/>
        <v>0</v>
      </c>
      <c r="FD83">
        <f t="shared" ca="1" si="164"/>
        <v>0</v>
      </c>
      <c r="FE83">
        <f t="shared" ca="1" si="164"/>
        <v>6459.63</v>
      </c>
      <c r="FF83">
        <f t="shared" ca="1" si="164"/>
        <v>169.19</v>
      </c>
      <c r="FL83">
        <f t="shared" ca="1" si="62"/>
        <v>0</v>
      </c>
      <c r="FM83">
        <f t="shared" ca="1" si="22"/>
        <v>3458.4</v>
      </c>
      <c r="FR83" s="254" t="str">
        <f t="shared" ca="1" si="124"/>
        <v>28-34 anni</v>
      </c>
      <c r="FS83">
        <f t="shared" si="125"/>
        <v>83</v>
      </c>
      <c r="FT83" t="str">
        <f t="shared" ca="1" si="173"/>
        <v>ez83</v>
      </c>
      <c r="FU83" t="str">
        <f t="shared" ca="1" si="172"/>
        <v>EV83</v>
      </c>
      <c r="FV83" t="str">
        <f t="shared" ca="1" si="172"/>
        <v>FB83</v>
      </c>
      <c r="FW83" t="str">
        <f t="shared" ca="1" si="172"/>
        <v>FC83</v>
      </c>
      <c r="FX83" t="str">
        <f t="shared" ca="1" si="172"/>
        <v>FD83</v>
      </c>
      <c r="FY83" t="str">
        <f t="shared" ca="1" si="172"/>
        <v>FE83</v>
      </c>
      <c r="FZ83" t="str">
        <f t="shared" ca="1" si="172"/>
        <v>FF83</v>
      </c>
      <c r="GA83" t="str">
        <f t="shared" ca="1" si="172"/>
        <v>FL83</v>
      </c>
      <c r="GB83" t="str">
        <f t="shared" ca="1" si="172"/>
        <v>FM83</v>
      </c>
      <c r="GC83" t="str">
        <f t="shared" ca="1" si="63"/>
        <v/>
      </c>
      <c r="GD83" t="str">
        <f t="shared" ca="1" si="172"/>
        <v/>
      </c>
      <c r="GE83">
        <f t="shared" ca="1" si="126"/>
        <v>0</v>
      </c>
      <c r="GF83" s="112">
        <f t="shared" ca="1" si="64"/>
        <v>100000</v>
      </c>
      <c r="GG83" s="238" t="str">
        <f t="shared" ca="1" si="65"/>
        <v>28-34 anni</v>
      </c>
      <c r="GH83" s="262">
        <f t="shared" ca="1" si="66"/>
        <v>27377.74</v>
      </c>
      <c r="GI83" s="262">
        <f t="shared" ca="1" si="67"/>
        <v>0</v>
      </c>
      <c r="GJ83" s="262">
        <f t="shared" ca="1" si="68"/>
        <v>0</v>
      </c>
      <c r="GK83" s="262">
        <f t="shared" ca="1" si="69"/>
        <v>6459.63</v>
      </c>
      <c r="GL83" s="262">
        <f t="shared" ca="1" si="70"/>
        <v>169.19</v>
      </c>
      <c r="GM83" s="262">
        <f t="shared" ca="1" si="71"/>
        <v>0</v>
      </c>
      <c r="GN83" s="262">
        <f t="shared" ca="1" si="72"/>
        <v>3458.4</v>
      </c>
      <c r="GO83" s="262">
        <f t="shared" ca="1" si="73"/>
        <v>0</v>
      </c>
      <c r="GP83" s="262">
        <f t="shared" ca="1" si="74"/>
        <v>0</v>
      </c>
      <c r="GR83" s="262">
        <f t="shared" ca="1" si="76"/>
        <v>33837.370000000003</v>
      </c>
      <c r="GS83" s="262">
        <f t="shared" ca="1" si="25"/>
        <v>37464.960000000006</v>
      </c>
      <c r="GV83" t="str">
        <f t="shared" ca="1" si="79"/>
        <v/>
      </c>
      <c r="GW83" t="str">
        <f t="shared" ca="1" si="138"/>
        <v xml:space="preserve">
</v>
      </c>
      <c r="GZ83" t="str">
        <f t="shared" ca="1" si="157"/>
        <v/>
      </c>
      <c r="HD83" t="str">
        <f t="shared" ca="1" si="80"/>
        <v/>
      </c>
      <c r="HF83" s="254" t="str">
        <f t="shared" ca="1" si="81"/>
        <v xml:space="preserve">TOTALE ANNUO LORDO EURO 37464,96
</v>
      </c>
      <c r="HO83" s="111" t="str">
        <f t="shared" ca="1" si="28"/>
        <v/>
      </c>
      <c r="HP83">
        <f t="shared" ca="1" si="84"/>
        <v>0</v>
      </c>
      <c r="HQ83" t="str">
        <f t="shared" ca="1" si="85"/>
        <v/>
      </c>
      <c r="HR83" t="str">
        <f t="shared" ca="1" si="169"/>
        <v/>
      </c>
      <c r="HS83" t="str">
        <f t="shared" ca="1" si="170"/>
        <v/>
      </c>
      <c r="HX83" s="253" t="s">
        <v>187</v>
      </c>
      <c r="HY83" s="112" t="str">
        <f t="shared" si="88"/>
        <v>1/9/2021</v>
      </c>
      <c r="HZ83" t="s">
        <v>188</v>
      </c>
      <c r="IA83" s="112" t="str">
        <f t="shared" si="89"/>
        <v>31/8/2022</v>
      </c>
      <c r="IB83" t="s">
        <v>189</v>
      </c>
      <c r="IC83">
        <f t="shared" si="90"/>
        <v>1</v>
      </c>
      <c r="ID83" t="s">
        <v>192</v>
      </c>
      <c r="IE83">
        <f t="shared" si="91"/>
        <v>0</v>
      </c>
      <c r="IF83" t="s">
        <v>191</v>
      </c>
      <c r="IG83" s="254">
        <f t="shared" si="92"/>
        <v>0</v>
      </c>
      <c r="IL83" t="str">
        <f t="shared" si="93"/>
        <v xml:space="preserve">DAL: 1/9/2021 - AL:31/8/2022 - ANNI:1 - MESI:0 -GIORNI:0
</v>
      </c>
      <c r="KD83">
        <v>0</v>
      </c>
      <c r="KE83" s="260">
        <f t="shared" ca="1" si="94"/>
        <v>100000</v>
      </c>
      <c r="KF83" t="str">
        <f t="shared" si="95"/>
        <v>0-2 anni</v>
      </c>
      <c r="KG83">
        <f t="shared" si="29"/>
        <v>6</v>
      </c>
      <c r="KH83" s="238">
        <f t="shared" ca="1" si="30"/>
        <v>255</v>
      </c>
      <c r="KK83">
        <f t="shared" ca="1" si="96"/>
        <v>16218.89</v>
      </c>
      <c r="KL83">
        <f t="shared" ca="1" si="167"/>
        <v>0</v>
      </c>
      <c r="KM83">
        <f t="shared" ca="1" si="167"/>
        <v>0</v>
      </c>
      <c r="KN83">
        <f t="shared" ca="1" si="167"/>
        <v>6459.63</v>
      </c>
      <c r="KO83">
        <f t="shared" ca="1" si="167"/>
        <v>169.19</v>
      </c>
      <c r="KV83">
        <f t="shared" ca="1" si="32"/>
        <v>3458.4</v>
      </c>
      <c r="LA83" s="254" t="str">
        <f t="shared" si="97"/>
        <v>0-2 anni</v>
      </c>
      <c r="LB83" s="112">
        <f t="shared" si="33"/>
        <v>44440</v>
      </c>
      <c r="LC83" s="112">
        <f t="shared" si="34"/>
        <v>44804</v>
      </c>
      <c r="LD83">
        <f t="shared" ca="1" si="98"/>
        <v>26306.11</v>
      </c>
      <c r="LE83" s="262">
        <f t="shared" ca="1" si="99"/>
        <v>37464.960000000006</v>
      </c>
      <c r="LF83">
        <f t="shared" si="100"/>
        <v>365</v>
      </c>
      <c r="LG83">
        <f t="shared" ca="1" si="101"/>
        <v>11158.85</v>
      </c>
    </row>
    <row r="84" spans="1:319" x14ac:dyDescent="0.25">
      <c r="A84" s="112" t="e">
        <f t="shared" si="139"/>
        <v>#N/A</v>
      </c>
      <c r="B84" s="112" t="e">
        <f t="shared" si="35"/>
        <v>#N/A</v>
      </c>
      <c r="E84" s="240" t="str">
        <f>Foglio3!F64</f>
        <v/>
      </c>
      <c r="F84" s="240" t="str">
        <f>Foglio3!G64</f>
        <v/>
      </c>
      <c r="G84" s="244"/>
      <c r="H84" s="245" t="e">
        <f t="shared" si="36"/>
        <v>#VALUE!</v>
      </c>
      <c r="I84" s="245" t="e">
        <f t="shared" si="15"/>
        <v>#VALUE!</v>
      </c>
      <c r="J84" s="244"/>
      <c r="K84" s="244"/>
      <c r="Q84" t="e">
        <f t="shared" si="16"/>
        <v>#VALUE!</v>
      </c>
      <c r="R84" t="e">
        <f t="shared" si="140"/>
        <v>#VALUE!</v>
      </c>
      <c r="S84" t="e">
        <f t="shared" si="37"/>
        <v>#VALUE!</v>
      </c>
      <c r="T84" t="e">
        <f t="shared" si="128"/>
        <v>#VALUE!</v>
      </c>
      <c r="U84" t="e">
        <f t="shared" si="129"/>
        <v>#VALUE!</v>
      </c>
      <c r="W84" t="e">
        <f t="shared" si="171"/>
        <v>#VALUE!</v>
      </c>
      <c r="X84" t="e">
        <f t="shared" si="171"/>
        <v>#VALUE!</v>
      </c>
      <c r="Y84" t="e">
        <f t="shared" si="171"/>
        <v>#VALUE!</v>
      </c>
      <c r="AA84" s="112" t="e">
        <f t="shared" si="102"/>
        <v>#VALUE!</v>
      </c>
      <c r="AB84" s="112" t="e">
        <f t="shared" si="103"/>
        <v>#VALUE!</v>
      </c>
      <c r="AG84" t="e">
        <f t="shared" si="38"/>
        <v>#VALUE!</v>
      </c>
      <c r="AH84" s="112" t="e">
        <f t="shared" si="39"/>
        <v>#VALUE!</v>
      </c>
      <c r="AI84" s="112" t="e">
        <f t="shared" si="39"/>
        <v>#VALUE!</v>
      </c>
      <c r="CX84" s="112">
        <f t="shared" si="47"/>
        <v>100000</v>
      </c>
      <c r="CY84" s="112">
        <f t="shared" si="114"/>
        <v>100000</v>
      </c>
      <c r="CZ84" s="112">
        <f t="shared" si="115"/>
        <v>100000</v>
      </c>
      <c r="DA84" s="112">
        <f t="shared" si="116"/>
        <v>100000</v>
      </c>
      <c r="DB84" s="112">
        <f t="shared" si="117"/>
        <v>100000</v>
      </c>
      <c r="DC84" s="112">
        <f t="shared" si="118"/>
        <v>100000</v>
      </c>
      <c r="DU84" s="112"/>
      <c r="DV84" s="112"/>
      <c r="DW84" s="276"/>
      <c r="DX84" s="276"/>
      <c r="DY84" s="276"/>
      <c r="DZ84" s="276"/>
      <c r="EF84" s="260" t="str">
        <f t="shared" si="160"/>
        <v/>
      </c>
      <c r="EK84" s="254"/>
      <c r="EL84">
        <f t="shared" si="163"/>
        <v>45</v>
      </c>
      <c r="EM84" s="260" t="e">
        <f t="shared" ca="1" si="121"/>
        <v>#NUM!</v>
      </c>
      <c r="EN84" s="112" t="e">
        <f t="shared" ca="1" si="56"/>
        <v>#NUM!</v>
      </c>
      <c r="EO84" s="112">
        <f t="shared" ca="1" si="57"/>
        <v>100000</v>
      </c>
      <c r="EP84" s="112">
        <f t="shared" ca="1" si="122"/>
        <v>100000</v>
      </c>
      <c r="EQ84" s="273">
        <f t="shared" ca="1" si="137"/>
        <v>100000</v>
      </c>
      <c r="ER84" s="302">
        <f t="shared" ca="1" si="58"/>
        <v>100000</v>
      </c>
      <c r="EU84">
        <f t="shared" ca="1" si="159"/>
        <v>28</v>
      </c>
      <c r="EV84" s="260">
        <f t="shared" ca="1" si="123"/>
        <v>100000</v>
      </c>
      <c r="EW84" t="str">
        <f t="shared" ca="1" si="59"/>
        <v>28-34 anni</v>
      </c>
      <c r="EX84">
        <f t="shared" ca="1" si="19"/>
        <v>1</v>
      </c>
      <c r="EY84" s="238">
        <f t="shared" ca="1" si="20"/>
        <v>260</v>
      </c>
      <c r="EZ84" t="str">
        <f t="shared" ca="1" si="60"/>
        <v>28-34 anni</v>
      </c>
      <c r="FB84">
        <f t="shared" ca="1" si="61"/>
        <v>27377.74</v>
      </c>
      <c r="FC84">
        <f t="shared" ca="1" si="164"/>
        <v>0</v>
      </c>
      <c r="FD84">
        <f t="shared" ca="1" si="164"/>
        <v>0</v>
      </c>
      <c r="FE84">
        <f t="shared" ca="1" si="164"/>
        <v>6459.63</v>
      </c>
      <c r="FF84">
        <f t="shared" ca="1" si="164"/>
        <v>169.19</v>
      </c>
      <c r="FL84">
        <f t="shared" ca="1" si="62"/>
        <v>0</v>
      </c>
      <c r="FM84">
        <f t="shared" ca="1" si="22"/>
        <v>3458.4</v>
      </c>
      <c r="FR84" s="254" t="str">
        <f t="shared" ca="1" si="124"/>
        <v>28-34 anni</v>
      </c>
      <c r="FS84">
        <f t="shared" si="125"/>
        <v>84</v>
      </c>
      <c r="FT84" t="str">
        <f t="shared" ca="1" si="173"/>
        <v>ez84</v>
      </c>
      <c r="FU84" t="str">
        <f t="shared" ca="1" si="172"/>
        <v>EV84</v>
      </c>
      <c r="FV84" t="str">
        <f t="shared" ca="1" si="172"/>
        <v>FB84</v>
      </c>
      <c r="FW84" t="str">
        <f t="shared" ca="1" si="172"/>
        <v>FC84</v>
      </c>
      <c r="FX84" t="str">
        <f t="shared" ca="1" si="172"/>
        <v>FD84</v>
      </c>
      <c r="FY84" t="str">
        <f t="shared" ca="1" si="172"/>
        <v>FE84</v>
      </c>
      <c r="FZ84" t="str">
        <f t="shared" ca="1" si="172"/>
        <v>FF84</v>
      </c>
      <c r="GA84" t="str">
        <f t="shared" ca="1" si="172"/>
        <v>FL84</v>
      </c>
      <c r="GB84" t="str">
        <f t="shared" ca="1" si="172"/>
        <v>FM84</v>
      </c>
      <c r="GC84" t="str">
        <f t="shared" ca="1" si="63"/>
        <v/>
      </c>
      <c r="GD84" t="str">
        <f t="shared" ca="1" si="172"/>
        <v/>
      </c>
      <c r="GE84">
        <f t="shared" ca="1" si="126"/>
        <v>0</v>
      </c>
      <c r="GF84" s="112">
        <f t="shared" ca="1" si="64"/>
        <v>100000</v>
      </c>
      <c r="GG84" s="112" t="str">
        <f t="shared" ca="1" si="65"/>
        <v>28-34 anni</v>
      </c>
      <c r="GH84" s="262">
        <f t="shared" ca="1" si="66"/>
        <v>27377.74</v>
      </c>
      <c r="GI84" s="262">
        <f t="shared" ca="1" si="67"/>
        <v>0</v>
      </c>
      <c r="GJ84" s="262">
        <f t="shared" ca="1" si="68"/>
        <v>0</v>
      </c>
      <c r="GK84" s="262">
        <f t="shared" ca="1" si="69"/>
        <v>6459.63</v>
      </c>
      <c r="GL84" s="262">
        <f t="shared" ca="1" si="70"/>
        <v>169.19</v>
      </c>
      <c r="GM84" s="262">
        <f t="shared" ca="1" si="71"/>
        <v>0</v>
      </c>
      <c r="GN84" s="262">
        <f t="shared" ca="1" si="72"/>
        <v>3458.4</v>
      </c>
      <c r="GO84" s="262">
        <f t="shared" ca="1" si="73"/>
        <v>0</v>
      </c>
      <c r="GP84" s="262">
        <f t="shared" ca="1" si="74"/>
        <v>0</v>
      </c>
      <c r="GR84" s="262">
        <f t="shared" ca="1" si="76"/>
        <v>33837.370000000003</v>
      </c>
      <c r="GS84" s="262">
        <f t="shared" ca="1" si="25"/>
        <v>37464.960000000006</v>
      </c>
      <c r="GV84" t="str">
        <f t="shared" ca="1" si="79"/>
        <v/>
      </c>
      <c r="GW84" t="str">
        <f t="shared" ca="1" si="138"/>
        <v xml:space="preserve">
</v>
      </c>
      <c r="GZ84" t="str">
        <f t="shared" ca="1" si="157"/>
        <v/>
      </c>
      <c r="HD84" t="str">
        <f t="shared" ca="1" si="80"/>
        <v/>
      </c>
      <c r="HO84" s="111" t="str">
        <f t="shared" ca="1" si="28"/>
        <v/>
      </c>
      <c r="HP84">
        <f t="shared" ca="1" si="84"/>
        <v>0</v>
      </c>
      <c r="HQ84" t="str">
        <f t="shared" ca="1" si="85"/>
        <v/>
      </c>
      <c r="HR84" t="str">
        <f t="shared" ca="1" si="169"/>
        <v/>
      </c>
      <c r="HS84" t="str">
        <f t="shared" ca="1" si="170"/>
        <v/>
      </c>
      <c r="HX84" s="253" t="s">
        <v>187</v>
      </c>
      <c r="HY84" s="112" t="e">
        <f t="shared" si="88"/>
        <v>#VALUE!</v>
      </c>
      <c r="HZ84" t="s">
        <v>188</v>
      </c>
      <c r="IA84" s="112" t="e">
        <f t="shared" si="89"/>
        <v>#VALUE!</v>
      </c>
      <c r="IB84" t="s">
        <v>189</v>
      </c>
      <c r="IC84" t="e">
        <f t="shared" si="90"/>
        <v>#VALUE!</v>
      </c>
      <c r="ID84" t="s">
        <v>192</v>
      </c>
      <c r="IE84" t="e">
        <f t="shared" si="91"/>
        <v>#VALUE!</v>
      </c>
      <c r="IF84" t="s">
        <v>191</v>
      </c>
      <c r="IG84" s="254" t="e">
        <f t="shared" si="92"/>
        <v>#VALUE!</v>
      </c>
      <c r="IL84" t="e">
        <f t="shared" si="93"/>
        <v>#VALUE!</v>
      </c>
      <c r="KD84">
        <v>0</v>
      </c>
      <c r="KE84" s="260">
        <f t="shared" ca="1" si="94"/>
        <v>100000</v>
      </c>
      <c r="KF84" t="str">
        <f t="shared" si="95"/>
        <v>0-2 anni</v>
      </c>
      <c r="KG84">
        <f t="shared" si="29"/>
        <v>6</v>
      </c>
      <c r="KH84" s="238">
        <f t="shared" ca="1" si="30"/>
        <v>255</v>
      </c>
      <c r="KK84">
        <f t="shared" ca="1" si="96"/>
        <v>16218.89</v>
      </c>
      <c r="KL84">
        <f t="shared" ca="1" si="167"/>
        <v>0</v>
      </c>
      <c r="KM84">
        <f t="shared" ca="1" si="167"/>
        <v>0</v>
      </c>
      <c r="KN84">
        <f t="shared" ca="1" si="167"/>
        <v>6459.63</v>
      </c>
      <c r="KO84">
        <f t="shared" ca="1" si="167"/>
        <v>169.19</v>
      </c>
      <c r="KV84">
        <f t="shared" ca="1" si="32"/>
        <v>3458.4</v>
      </c>
      <c r="LA84" s="254" t="str">
        <f t="shared" si="97"/>
        <v>0-2 anni</v>
      </c>
      <c r="LB84" s="112" t="str">
        <f t="shared" si="33"/>
        <v/>
      </c>
      <c r="LC84" s="112" t="str">
        <f t="shared" si="34"/>
        <v/>
      </c>
      <c r="LD84">
        <f t="shared" ca="1" si="98"/>
        <v>26306.11</v>
      </c>
      <c r="LE84" s="262">
        <f t="shared" ca="1" si="99"/>
        <v>37464.960000000006</v>
      </c>
      <c r="LF84" t="e">
        <f t="shared" si="100"/>
        <v>#VALUE!</v>
      </c>
      <c r="LG84" t="e">
        <f t="shared" ca="1" si="101"/>
        <v>#VALUE!</v>
      </c>
    </row>
    <row r="85" spans="1:319" x14ac:dyDescent="0.25">
      <c r="A85" s="112" t="e">
        <f t="shared" si="139"/>
        <v>#N/A</v>
      </c>
      <c r="B85" s="112" t="e">
        <f t="shared" si="35"/>
        <v>#N/A</v>
      </c>
      <c r="E85" s="240" t="str">
        <f>Foglio3!F65</f>
        <v/>
      </c>
      <c r="F85" s="240" t="str">
        <f>Foglio3!G65</f>
        <v/>
      </c>
      <c r="G85" s="244"/>
      <c r="H85" s="245" t="e">
        <f t="shared" si="36"/>
        <v>#VALUE!</v>
      </c>
      <c r="I85" s="245" t="e">
        <f t="shared" si="15"/>
        <v>#VALUE!</v>
      </c>
      <c r="J85" s="244"/>
      <c r="K85" s="244"/>
      <c r="Q85" t="e">
        <f t="shared" si="16"/>
        <v>#VALUE!</v>
      </c>
      <c r="R85" t="e">
        <f t="shared" si="140"/>
        <v>#VALUE!</v>
      </c>
      <c r="S85" t="e">
        <f t="shared" si="37"/>
        <v>#VALUE!</v>
      </c>
      <c r="T85" t="e">
        <f t="shared" si="128"/>
        <v>#VALUE!</v>
      </c>
      <c r="U85" t="e">
        <f t="shared" si="129"/>
        <v>#VALUE!</v>
      </c>
      <c r="W85" t="e">
        <f t="shared" si="171"/>
        <v>#VALUE!</v>
      </c>
      <c r="X85" t="e">
        <f t="shared" si="171"/>
        <v>#VALUE!</v>
      </c>
      <c r="Y85" t="e">
        <f t="shared" si="171"/>
        <v>#VALUE!</v>
      </c>
      <c r="AA85" s="112" t="e">
        <f t="shared" si="102"/>
        <v>#VALUE!</v>
      </c>
      <c r="AB85" s="112" t="e">
        <f t="shared" si="103"/>
        <v>#VALUE!</v>
      </c>
      <c r="AG85" t="e">
        <f t="shared" si="38"/>
        <v>#VALUE!</v>
      </c>
      <c r="AH85" s="112" t="e">
        <f t="shared" si="39"/>
        <v>#VALUE!</v>
      </c>
      <c r="AI85" s="112" t="e">
        <f t="shared" si="39"/>
        <v>#VALUE!</v>
      </c>
      <c r="CX85" s="112">
        <f t="shared" si="47"/>
        <v>100000</v>
      </c>
      <c r="CY85" s="112">
        <f t="shared" si="114"/>
        <v>100000</v>
      </c>
      <c r="CZ85" s="112">
        <f t="shared" si="115"/>
        <v>100000</v>
      </c>
      <c r="DA85" s="112">
        <f t="shared" si="116"/>
        <v>100000</v>
      </c>
      <c r="DB85" s="112">
        <f t="shared" si="117"/>
        <v>100000</v>
      </c>
      <c r="DC85" s="112">
        <f t="shared" si="118"/>
        <v>100000</v>
      </c>
      <c r="DU85" s="112"/>
      <c r="DV85" s="112"/>
      <c r="DW85" s="276"/>
      <c r="DX85" s="276"/>
      <c r="DY85" s="276"/>
      <c r="DZ85" s="276"/>
      <c r="EF85" s="253"/>
      <c r="EK85" s="254"/>
      <c r="EL85">
        <f t="shared" si="163"/>
        <v>46</v>
      </c>
      <c r="EM85" s="260" t="e">
        <f t="shared" ca="1" si="121"/>
        <v>#NUM!</v>
      </c>
      <c r="EN85" s="112" t="e">
        <f t="shared" ca="1" si="56"/>
        <v>#NUM!</v>
      </c>
      <c r="EO85" s="112">
        <f t="shared" ca="1" si="57"/>
        <v>100000</v>
      </c>
      <c r="EP85" s="112">
        <f t="shared" ca="1" si="122"/>
        <v>100000</v>
      </c>
      <c r="EQ85" s="273">
        <f t="shared" ca="1" si="137"/>
        <v>100000</v>
      </c>
      <c r="ER85" s="302">
        <f t="shared" ca="1" si="58"/>
        <v>100000</v>
      </c>
      <c r="EU85">
        <f t="shared" ca="1" si="159"/>
        <v>28</v>
      </c>
      <c r="EV85" s="260">
        <f t="shared" ca="1" si="123"/>
        <v>100000</v>
      </c>
      <c r="EW85" t="str">
        <f t="shared" ca="1" si="59"/>
        <v>28-34 anni</v>
      </c>
      <c r="EX85">
        <f t="shared" ca="1" si="19"/>
        <v>1</v>
      </c>
      <c r="EY85" s="238">
        <f t="shared" ca="1" si="20"/>
        <v>260</v>
      </c>
      <c r="EZ85" t="str">
        <f t="shared" ca="1" si="60"/>
        <v>28-34 anni</v>
      </c>
      <c r="FB85">
        <f t="shared" ca="1" si="61"/>
        <v>27377.74</v>
      </c>
      <c r="FC85">
        <f t="shared" ca="1" si="164"/>
        <v>0</v>
      </c>
      <c r="FD85">
        <f t="shared" ca="1" si="164"/>
        <v>0</v>
      </c>
      <c r="FE85">
        <f t="shared" ca="1" si="164"/>
        <v>6459.63</v>
      </c>
      <c r="FF85">
        <f t="shared" ca="1" si="164"/>
        <v>169.19</v>
      </c>
      <c r="FL85">
        <f t="shared" ca="1" si="62"/>
        <v>0</v>
      </c>
      <c r="FM85">
        <f t="shared" ca="1" si="22"/>
        <v>3458.4</v>
      </c>
      <c r="FR85" s="254" t="str">
        <f t="shared" ca="1" si="124"/>
        <v>28-34 anni</v>
      </c>
      <c r="FS85">
        <f t="shared" si="125"/>
        <v>85</v>
      </c>
      <c r="FT85" t="str">
        <f t="shared" ca="1" si="173"/>
        <v>ez85</v>
      </c>
      <c r="FU85" t="str">
        <f t="shared" ca="1" si="172"/>
        <v>EV85</v>
      </c>
      <c r="FV85" t="str">
        <f t="shared" ca="1" si="172"/>
        <v>FB85</v>
      </c>
      <c r="FW85" t="str">
        <f t="shared" ca="1" si="172"/>
        <v>FC85</v>
      </c>
      <c r="FX85" t="str">
        <f t="shared" ca="1" si="172"/>
        <v>FD85</v>
      </c>
      <c r="FY85" t="str">
        <f t="shared" ca="1" si="172"/>
        <v>FE85</v>
      </c>
      <c r="FZ85" t="str">
        <f t="shared" ca="1" si="172"/>
        <v>FF85</v>
      </c>
      <c r="GA85" t="str">
        <f t="shared" ca="1" si="172"/>
        <v>FL85</v>
      </c>
      <c r="GB85" t="str">
        <f t="shared" ca="1" si="172"/>
        <v>FM85</v>
      </c>
      <c r="GC85" t="str">
        <f t="shared" si="63"/>
        <v/>
      </c>
      <c r="GD85" t="str">
        <f t="shared" ca="1" si="172"/>
        <v/>
      </c>
      <c r="GE85">
        <f t="shared" ca="1" si="126"/>
        <v>1</v>
      </c>
      <c r="GR85" s="262" t="str">
        <f t="shared" si="76"/>
        <v/>
      </c>
      <c r="HO85" s="111">
        <f t="shared" ca="1" si="28"/>
        <v>0</v>
      </c>
      <c r="HP85">
        <f t="shared" ca="1" si="84"/>
        <v>1</v>
      </c>
      <c r="HQ85" t="str">
        <f t="shared" ca="1" si="85"/>
        <v/>
      </c>
      <c r="HR85" t="str">
        <f t="shared" ca="1" si="169"/>
        <v/>
      </c>
      <c r="HS85" t="str">
        <f t="shared" ca="1" si="170"/>
        <v/>
      </c>
      <c r="HX85" s="253" t="s">
        <v>187</v>
      </c>
      <c r="HY85" s="112" t="e">
        <f t="shared" si="88"/>
        <v>#VALUE!</v>
      </c>
      <c r="HZ85" t="s">
        <v>188</v>
      </c>
      <c r="IA85" s="112" t="e">
        <f t="shared" si="89"/>
        <v>#VALUE!</v>
      </c>
      <c r="IB85" t="s">
        <v>189</v>
      </c>
      <c r="IC85" t="e">
        <f t="shared" si="90"/>
        <v>#VALUE!</v>
      </c>
      <c r="ID85" t="s">
        <v>192</v>
      </c>
      <c r="IE85" t="e">
        <f t="shared" si="91"/>
        <v>#VALUE!</v>
      </c>
      <c r="IF85" t="s">
        <v>191</v>
      </c>
      <c r="IG85" s="254" t="e">
        <f t="shared" si="92"/>
        <v>#VALUE!</v>
      </c>
      <c r="IL85" t="e">
        <f t="shared" si="93"/>
        <v>#VALUE!</v>
      </c>
      <c r="KD85">
        <v>0</v>
      </c>
      <c r="KE85" s="260">
        <f t="shared" ca="1" si="94"/>
        <v>100000</v>
      </c>
      <c r="KF85" t="str">
        <f t="shared" si="95"/>
        <v>0-2 anni</v>
      </c>
      <c r="KG85">
        <f t="shared" si="29"/>
        <v>6</v>
      </c>
      <c r="KH85" s="238">
        <f t="shared" ca="1" si="30"/>
        <v>255</v>
      </c>
      <c r="KK85">
        <f t="shared" ca="1" si="96"/>
        <v>16218.89</v>
      </c>
      <c r="KL85">
        <f t="shared" ca="1" si="167"/>
        <v>0</v>
      </c>
      <c r="KM85">
        <f t="shared" ca="1" si="167"/>
        <v>0</v>
      </c>
      <c r="KN85">
        <f t="shared" ca="1" si="167"/>
        <v>6459.63</v>
      </c>
      <c r="KO85">
        <f t="shared" ca="1" si="167"/>
        <v>169.19</v>
      </c>
      <c r="KV85">
        <f t="shared" ca="1" si="32"/>
        <v>3458.4</v>
      </c>
      <c r="LA85" s="254" t="str">
        <f t="shared" si="97"/>
        <v>0-2 anni</v>
      </c>
      <c r="LB85" s="112" t="str">
        <f t="shared" si="33"/>
        <v/>
      </c>
      <c r="LC85" s="112" t="str">
        <f t="shared" si="34"/>
        <v/>
      </c>
      <c r="LD85">
        <f t="shared" ca="1" si="98"/>
        <v>26306.11</v>
      </c>
      <c r="LE85" s="262">
        <f t="shared" si="99"/>
        <v>0</v>
      </c>
      <c r="LF85" t="e">
        <f t="shared" si="100"/>
        <v>#VALUE!</v>
      </c>
      <c r="LG85" t="e">
        <f t="shared" ca="1" si="101"/>
        <v>#VALUE!</v>
      </c>
    </row>
    <row r="86" spans="1:319" x14ac:dyDescent="0.25">
      <c r="A86" s="112" t="e">
        <f t="shared" si="139"/>
        <v>#N/A</v>
      </c>
      <c r="B86" s="112" t="e">
        <f t="shared" si="35"/>
        <v>#N/A</v>
      </c>
      <c r="E86" s="240" t="str">
        <f>Foglio3!F66</f>
        <v/>
      </c>
      <c r="F86" s="240" t="str">
        <f>Foglio3!G66</f>
        <v/>
      </c>
      <c r="G86" s="244"/>
      <c r="H86" s="245" t="e">
        <f t="shared" si="36"/>
        <v>#VALUE!</v>
      </c>
      <c r="I86" s="245" t="e">
        <f t="shared" si="15"/>
        <v>#VALUE!</v>
      </c>
      <c r="J86" s="244"/>
      <c r="K86" s="244"/>
      <c r="Q86" t="e">
        <f t="shared" si="16"/>
        <v>#VALUE!</v>
      </c>
      <c r="R86" t="e">
        <f t="shared" si="140"/>
        <v>#VALUE!</v>
      </c>
      <c r="S86" t="e">
        <f t="shared" si="37"/>
        <v>#VALUE!</v>
      </c>
      <c r="T86" t="e">
        <f t="shared" si="128"/>
        <v>#VALUE!</v>
      </c>
      <c r="U86" t="e">
        <f t="shared" si="129"/>
        <v>#VALUE!</v>
      </c>
      <c r="W86" t="e">
        <f t="shared" si="171"/>
        <v>#VALUE!</v>
      </c>
      <c r="X86" t="e">
        <f t="shared" si="171"/>
        <v>#VALUE!</v>
      </c>
      <c r="Y86" t="e">
        <f t="shared" si="171"/>
        <v>#VALUE!</v>
      </c>
      <c r="AA86" s="112" t="e">
        <f t="shared" si="102"/>
        <v>#VALUE!</v>
      </c>
      <c r="AB86" s="112" t="e">
        <f t="shared" si="103"/>
        <v>#VALUE!</v>
      </c>
      <c r="AG86" t="e">
        <f t="shared" si="38"/>
        <v>#VALUE!</v>
      </c>
      <c r="AH86" s="112" t="e">
        <f t="shared" si="39"/>
        <v>#VALUE!</v>
      </c>
      <c r="AI86" s="112" t="e">
        <f t="shared" si="39"/>
        <v>#VALUE!</v>
      </c>
      <c r="CX86" s="112">
        <f t="shared" si="47"/>
        <v>100000</v>
      </c>
      <c r="CY86" s="112">
        <f t="shared" si="114"/>
        <v>100000</v>
      </c>
      <c r="CZ86" s="112">
        <f t="shared" si="115"/>
        <v>100000</v>
      </c>
      <c r="DA86" s="112">
        <f t="shared" si="116"/>
        <v>100000</v>
      </c>
      <c r="DB86" s="112">
        <f t="shared" si="117"/>
        <v>100000</v>
      </c>
      <c r="DC86" s="112">
        <f t="shared" si="118"/>
        <v>100000</v>
      </c>
      <c r="DU86" s="112"/>
      <c r="DV86" s="112"/>
      <c r="DW86" s="276"/>
      <c r="DX86" s="276"/>
      <c r="DY86" s="276"/>
      <c r="DZ86" s="276"/>
      <c r="EF86" s="253"/>
      <c r="EK86" s="254"/>
      <c r="EL86">
        <f t="shared" si="163"/>
        <v>47</v>
      </c>
      <c r="EM86" s="260" t="e">
        <f t="shared" ca="1" si="121"/>
        <v>#NUM!</v>
      </c>
      <c r="EN86" s="112" t="e">
        <f t="shared" ca="1" si="56"/>
        <v>#NUM!</v>
      </c>
      <c r="EO86" s="112">
        <f t="shared" ca="1" si="57"/>
        <v>100000</v>
      </c>
      <c r="EP86" s="112">
        <f t="shared" ca="1" si="122"/>
        <v>100000</v>
      </c>
      <c r="EQ86" s="273">
        <f t="shared" ca="1" si="137"/>
        <v>100000</v>
      </c>
      <c r="ER86" s="302">
        <f t="shared" ca="1" si="58"/>
        <v>100000</v>
      </c>
      <c r="EU86">
        <f t="shared" ca="1" si="159"/>
        <v>28</v>
      </c>
      <c r="EV86" s="260">
        <f t="shared" ca="1" si="123"/>
        <v>100000</v>
      </c>
      <c r="EW86" t="str">
        <f t="shared" ca="1" si="59"/>
        <v>28-34 anni</v>
      </c>
      <c r="EX86">
        <f t="shared" ca="1" si="19"/>
        <v>1</v>
      </c>
      <c r="EY86" s="238">
        <f t="shared" ca="1" si="20"/>
        <v>260</v>
      </c>
      <c r="EZ86" t="str">
        <f t="shared" ca="1" si="60"/>
        <v>28-34 anni</v>
      </c>
      <c r="FB86">
        <f t="shared" ca="1" si="61"/>
        <v>27377.74</v>
      </c>
      <c r="FC86">
        <f t="shared" ca="1" si="164"/>
        <v>0</v>
      </c>
      <c r="FD86">
        <f t="shared" ca="1" si="164"/>
        <v>0</v>
      </c>
      <c r="FE86">
        <f t="shared" ca="1" si="164"/>
        <v>6459.63</v>
      </c>
      <c r="FF86">
        <f t="shared" ca="1" si="164"/>
        <v>169.19</v>
      </c>
      <c r="FL86">
        <f t="shared" ca="1" si="62"/>
        <v>0</v>
      </c>
      <c r="FM86">
        <f t="shared" ca="1" si="22"/>
        <v>3458.4</v>
      </c>
      <c r="FR86" s="254" t="str">
        <f t="shared" ca="1" si="124"/>
        <v>28-34 anni</v>
      </c>
      <c r="FS86">
        <f t="shared" si="125"/>
        <v>86</v>
      </c>
      <c r="FT86" t="str">
        <f t="shared" ca="1" si="173"/>
        <v>ez86</v>
      </c>
      <c r="FU86" t="str">
        <f t="shared" ca="1" si="172"/>
        <v>EV86</v>
      </c>
      <c r="FV86" t="str">
        <f t="shared" ca="1" si="172"/>
        <v>FB86</v>
      </c>
      <c r="FW86" t="str">
        <f t="shared" ca="1" si="172"/>
        <v>FC86</v>
      </c>
      <c r="FX86" t="str">
        <f t="shared" ca="1" si="172"/>
        <v>FD86</v>
      </c>
      <c r="FY86" t="str">
        <f t="shared" ca="1" si="172"/>
        <v>FE86</v>
      </c>
      <c r="FZ86" t="str">
        <f t="shared" ca="1" si="172"/>
        <v>FF86</v>
      </c>
      <c r="GA86" t="str">
        <f t="shared" ca="1" si="172"/>
        <v>FL86</v>
      </c>
      <c r="GB86" t="str">
        <f t="shared" ca="1" si="172"/>
        <v>FM86</v>
      </c>
      <c r="GC86" t="str">
        <f t="shared" si="63"/>
        <v/>
      </c>
      <c r="GD86" t="str">
        <f t="shared" ca="1" si="172"/>
        <v/>
      </c>
      <c r="GE86">
        <f t="shared" ca="1" si="126"/>
        <v>2</v>
      </c>
      <c r="GR86" s="262" t="str">
        <f t="shared" si="76"/>
        <v/>
      </c>
      <c r="HO86" s="111">
        <f t="shared" ca="1" si="28"/>
        <v>0</v>
      </c>
      <c r="HP86">
        <f t="shared" ca="1" si="84"/>
        <v>2</v>
      </c>
      <c r="HQ86" t="str">
        <f t="shared" ca="1" si="85"/>
        <v/>
      </c>
      <c r="HR86" t="str">
        <f t="shared" ca="1" si="169"/>
        <v/>
      </c>
      <c r="HS86" t="str">
        <f t="shared" ca="1" si="170"/>
        <v/>
      </c>
      <c r="HX86" s="253" t="s">
        <v>187</v>
      </c>
      <c r="HY86" s="112" t="e">
        <f t="shared" si="88"/>
        <v>#VALUE!</v>
      </c>
      <c r="HZ86" t="s">
        <v>188</v>
      </c>
      <c r="IA86" s="112" t="e">
        <f t="shared" si="89"/>
        <v>#VALUE!</v>
      </c>
      <c r="IB86" t="s">
        <v>189</v>
      </c>
      <c r="IC86" t="e">
        <f t="shared" si="90"/>
        <v>#VALUE!</v>
      </c>
      <c r="ID86" t="s">
        <v>192</v>
      </c>
      <c r="IE86" t="e">
        <f t="shared" si="91"/>
        <v>#VALUE!</v>
      </c>
      <c r="IF86" t="s">
        <v>191</v>
      </c>
      <c r="IG86" s="254" t="e">
        <f t="shared" si="92"/>
        <v>#VALUE!</v>
      </c>
      <c r="IL86" t="e">
        <f t="shared" si="93"/>
        <v>#VALUE!</v>
      </c>
      <c r="KD86">
        <v>0</v>
      </c>
      <c r="KE86" s="260">
        <f t="shared" ca="1" si="94"/>
        <v>100000</v>
      </c>
      <c r="KG86">
        <f t="shared" si="29"/>
        <v>6</v>
      </c>
      <c r="KH86" s="238">
        <f t="shared" ca="1" si="30"/>
        <v>255</v>
      </c>
      <c r="KK86">
        <f t="shared" ca="1" si="96"/>
        <v>16218.89</v>
      </c>
      <c r="KL86">
        <f t="shared" ca="1" si="167"/>
        <v>0</v>
      </c>
      <c r="KM86">
        <f t="shared" ca="1" si="167"/>
        <v>0</v>
      </c>
      <c r="KN86">
        <f t="shared" ca="1" si="167"/>
        <v>6459.63</v>
      </c>
      <c r="KO86">
        <f t="shared" ca="1" si="167"/>
        <v>169.19</v>
      </c>
      <c r="KV86">
        <f t="shared" ca="1" si="32"/>
        <v>3458.4</v>
      </c>
      <c r="LA86" s="254" t="str">
        <f t="shared" si="97"/>
        <v>0-2 anni</v>
      </c>
      <c r="LB86" s="112" t="str">
        <f t="shared" si="33"/>
        <v/>
      </c>
      <c r="LC86" s="112" t="str">
        <f t="shared" si="34"/>
        <v/>
      </c>
      <c r="LD86">
        <f t="shared" ca="1" si="98"/>
        <v>26306.11</v>
      </c>
      <c r="LE86" s="262">
        <f t="shared" si="99"/>
        <v>0</v>
      </c>
      <c r="LF86" t="e">
        <f t="shared" si="100"/>
        <v>#VALUE!</v>
      </c>
      <c r="LG86" t="e">
        <f t="shared" ca="1" si="101"/>
        <v>#VALUE!</v>
      </c>
    </row>
    <row r="87" spans="1:319" ht="15.75" thickBot="1" x14ac:dyDescent="0.3">
      <c r="A87" s="112" t="e">
        <f t="shared" si="139"/>
        <v>#N/A</v>
      </c>
      <c r="B87" s="112" t="e">
        <f t="shared" si="35"/>
        <v>#N/A</v>
      </c>
      <c r="E87" s="240" t="str">
        <f>Foglio3!F67</f>
        <v/>
      </c>
      <c r="F87" s="240" t="str">
        <f>Foglio3!G67</f>
        <v/>
      </c>
      <c r="G87" s="244"/>
      <c r="H87" s="245" t="e">
        <f t="shared" si="36"/>
        <v>#VALUE!</v>
      </c>
      <c r="I87" s="245" t="e">
        <f t="shared" si="15"/>
        <v>#VALUE!</v>
      </c>
      <c r="J87" s="244"/>
      <c r="K87" s="244"/>
      <c r="Q87" t="e">
        <f t="shared" si="16"/>
        <v>#VALUE!</v>
      </c>
      <c r="R87" t="e">
        <f t="shared" si="140"/>
        <v>#VALUE!</v>
      </c>
      <c r="S87" t="e">
        <f t="shared" si="37"/>
        <v>#VALUE!</v>
      </c>
      <c r="T87" t="e">
        <f t="shared" si="128"/>
        <v>#VALUE!</v>
      </c>
      <c r="U87" t="e">
        <f t="shared" si="129"/>
        <v>#VALUE!</v>
      </c>
      <c r="W87" t="e">
        <f t="shared" si="171"/>
        <v>#VALUE!</v>
      </c>
      <c r="X87" t="e">
        <f t="shared" si="171"/>
        <v>#VALUE!</v>
      </c>
      <c r="Y87" t="e">
        <f t="shared" si="171"/>
        <v>#VALUE!</v>
      </c>
      <c r="AA87" s="112" t="e">
        <f t="shared" si="102"/>
        <v>#VALUE!</v>
      </c>
      <c r="AB87" s="112" t="e">
        <f t="shared" si="103"/>
        <v>#VALUE!</v>
      </c>
      <c r="AG87" t="e">
        <f t="shared" si="38"/>
        <v>#VALUE!</v>
      </c>
      <c r="AH87" s="112" t="e">
        <f t="shared" si="39"/>
        <v>#VALUE!</v>
      </c>
      <c r="AI87" s="112" t="e">
        <f t="shared" si="39"/>
        <v>#VALUE!</v>
      </c>
      <c r="CX87" s="112">
        <f t="shared" si="47"/>
        <v>100000</v>
      </c>
      <c r="CY87" s="112">
        <f t="shared" si="114"/>
        <v>100000</v>
      </c>
      <c r="CZ87" s="112">
        <f t="shared" si="115"/>
        <v>100000</v>
      </c>
      <c r="DA87" s="112">
        <f t="shared" si="116"/>
        <v>100000</v>
      </c>
      <c r="DB87" s="112">
        <f t="shared" si="117"/>
        <v>100000</v>
      </c>
      <c r="DC87" s="112">
        <f t="shared" si="118"/>
        <v>100000</v>
      </c>
      <c r="DU87" s="112"/>
      <c r="DV87" s="112"/>
      <c r="DW87" s="276"/>
      <c r="DX87" s="276"/>
      <c r="DY87" s="276"/>
      <c r="DZ87" s="276"/>
      <c r="EF87" s="253"/>
      <c r="EK87" s="254"/>
      <c r="EL87">
        <f t="shared" si="163"/>
        <v>48</v>
      </c>
      <c r="EM87" s="260" t="e">
        <f t="shared" ca="1" si="121"/>
        <v>#NUM!</v>
      </c>
      <c r="EN87" s="112" t="e">
        <f t="shared" ca="1" si="56"/>
        <v>#NUM!</v>
      </c>
      <c r="EO87" s="112">
        <f t="shared" ca="1" si="57"/>
        <v>100000</v>
      </c>
      <c r="EP87" s="112">
        <f t="shared" ca="1" si="122"/>
        <v>100000</v>
      </c>
      <c r="EQ87" s="273">
        <f t="shared" ca="1" si="137"/>
        <v>100000</v>
      </c>
      <c r="ER87" s="303">
        <f t="shared" ca="1" si="58"/>
        <v>100000</v>
      </c>
      <c r="ES87" s="257"/>
      <c r="ET87" s="257"/>
      <c r="EU87">
        <f t="shared" ca="1" si="159"/>
        <v>28</v>
      </c>
      <c r="EV87" s="260">
        <f t="shared" ca="1" si="123"/>
        <v>100000</v>
      </c>
      <c r="EW87" t="str">
        <f t="shared" ca="1" si="59"/>
        <v>28-34 anni</v>
      </c>
      <c r="EX87">
        <f t="shared" ca="1" si="19"/>
        <v>1</v>
      </c>
      <c r="EY87" s="238">
        <f t="shared" ca="1" si="20"/>
        <v>260</v>
      </c>
      <c r="EZ87" t="str">
        <f t="shared" ca="1" si="60"/>
        <v>28-34 anni</v>
      </c>
      <c r="FB87">
        <f t="shared" ca="1" si="61"/>
        <v>27377.74</v>
      </c>
      <c r="FC87">
        <f t="shared" ca="1" si="164"/>
        <v>0</v>
      </c>
      <c r="FD87">
        <f t="shared" ca="1" si="164"/>
        <v>0</v>
      </c>
      <c r="FE87">
        <f t="shared" ca="1" si="164"/>
        <v>6459.63</v>
      </c>
      <c r="FF87">
        <f t="shared" ca="1" si="164"/>
        <v>169.19</v>
      </c>
      <c r="FL87">
        <f t="shared" ca="1" si="62"/>
        <v>0</v>
      </c>
      <c r="FM87">
        <f t="shared" ca="1" si="22"/>
        <v>3458.4</v>
      </c>
      <c r="FR87" s="254" t="str">
        <f t="shared" ca="1" si="124"/>
        <v>28-34 anni</v>
      </c>
      <c r="FS87">
        <f t="shared" si="125"/>
        <v>87</v>
      </c>
      <c r="FU87" t="str">
        <f t="shared" ca="1" si="172"/>
        <v>EV87</v>
      </c>
      <c r="FV87" t="str">
        <f t="shared" ca="1" si="172"/>
        <v>FB87</v>
      </c>
      <c r="FW87" t="str">
        <f t="shared" ca="1" si="172"/>
        <v>FC87</v>
      </c>
      <c r="FX87" t="str">
        <f t="shared" ca="1" si="172"/>
        <v>FD87</v>
      </c>
      <c r="FY87" t="str">
        <f t="shared" ca="1" si="172"/>
        <v>FE87</v>
      </c>
      <c r="FZ87" t="str">
        <f t="shared" ca="1" si="172"/>
        <v>FF87</v>
      </c>
      <c r="GA87" t="str">
        <f t="shared" ca="1" si="172"/>
        <v>FL87</v>
      </c>
      <c r="GB87" t="str">
        <f t="shared" ca="1" si="172"/>
        <v>FM87</v>
      </c>
      <c r="GC87" t="str">
        <f t="shared" si="63"/>
        <v/>
      </c>
      <c r="GD87" t="str">
        <f t="shared" ca="1" si="172"/>
        <v/>
      </c>
      <c r="GE87">
        <f t="shared" ca="1" si="126"/>
        <v>3</v>
      </c>
      <c r="GR87" s="262" t="str">
        <f t="shared" si="76"/>
        <v/>
      </c>
      <c r="HO87" s="111">
        <f t="shared" ca="1" si="28"/>
        <v>0</v>
      </c>
      <c r="HP87">
        <f t="shared" ca="1" si="84"/>
        <v>3</v>
      </c>
      <c r="HQ87" t="str">
        <f t="shared" ca="1" si="85"/>
        <v/>
      </c>
      <c r="HR87" t="str">
        <f t="shared" ca="1" si="169"/>
        <v/>
      </c>
      <c r="HS87" t="str">
        <f t="shared" ca="1" si="170"/>
        <v/>
      </c>
      <c r="HX87" s="253" t="s">
        <v>187</v>
      </c>
      <c r="HY87" s="112" t="e">
        <f t="shared" si="88"/>
        <v>#VALUE!</v>
      </c>
      <c r="HZ87" t="s">
        <v>188</v>
      </c>
      <c r="IA87" s="112" t="e">
        <f t="shared" si="89"/>
        <v>#VALUE!</v>
      </c>
      <c r="IB87" t="s">
        <v>189</v>
      </c>
      <c r="IC87" t="e">
        <f t="shared" si="90"/>
        <v>#VALUE!</v>
      </c>
      <c r="ID87" t="s">
        <v>192</v>
      </c>
      <c r="IE87" t="e">
        <f t="shared" si="91"/>
        <v>#VALUE!</v>
      </c>
      <c r="IF87" t="s">
        <v>191</v>
      </c>
      <c r="IG87" s="254" t="e">
        <f t="shared" si="92"/>
        <v>#VALUE!</v>
      </c>
      <c r="IL87" t="e">
        <f t="shared" si="93"/>
        <v>#VALUE!</v>
      </c>
      <c r="KD87" s="257">
        <v>0</v>
      </c>
      <c r="KE87" s="260">
        <f t="shared" ca="1" si="94"/>
        <v>100000</v>
      </c>
      <c r="KG87">
        <f t="shared" si="29"/>
        <v>6</v>
      </c>
      <c r="KH87" s="238">
        <f t="shared" ca="1" si="30"/>
        <v>255</v>
      </c>
      <c r="KK87">
        <f t="shared" ca="1" si="96"/>
        <v>16218.89</v>
      </c>
      <c r="KL87">
        <f t="shared" ca="1" si="167"/>
        <v>0</v>
      </c>
      <c r="KM87">
        <f t="shared" ca="1" si="167"/>
        <v>0</v>
      </c>
      <c r="KN87">
        <f t="shared" ca="1" si="167"/>
        <v>6459.63</v>
      </c>
      <c r="KO87">
        <f t="shared" ca="1" si="167"/>
        <v>169.19</v>
      </c>
      <c r="KV87">
        <f t="shared" ca="1" si="32"/>
        <v>3458.4</v>
      </c>
      <c r="LA87" s="254" t="str">
        <f t="shared" si="97"/>
        <v>0-2 anni</v>
      </c>
      <c r="LD87">
        <f t="shared" ca="1" si="98"/>
        <v>26306.11</v>
      </c>
      <c r="LE87" s="262">
        <f t="shared" si="99"/>
        <v>0</v>
      </c>
      <c r="LF87" t="e">
        <f t="shared" si="100"/>
        <v>#VALUE!</v>
      </c>
      <c r="LG87" t="e">
        <f t="shared" ca="1" si="101"/>
        <v>#VALUE!</v>
      </c>
    </row>
    <row r="88" spans="1:319" ht="270" x14ac:dyDescent="0.25">
      <c r="B88" s="112" t="e">
        <f t="shared" si="35"/>
        <v>#N/A</v>
      </c>
      <c r="E88" s="240" t="str">
        <f>Foglio3!F68</f>
        <v/>
      </c>
      <c r="F88" s="240" t="str">
        <f>Foglio3!G68</f>
        <v/>
      </c>
      <c r="G88" s="244"/>
      <c r="H88" s="245" t="e">
        <f t="shared" si="36"/>
        <v>#VALUE!</v>
      </c>
      <c r="I88" s="245" t="e">
        <f t="shared" si="15"/>
        <v>#VALUE!</v>
      </c>
      <c r="J88" s="244"/>
      <c r="K88" s="244"/>
      <c r="Q88" t="e">
        <f t="shared" si="16"/>
        <v>#VALUE!</v>
      </c>
      <c r="R88" t="e">
        <f t="shared" si="140"/>
        <v>#VALUE!</v>
      </c>
      <c r="S88" t="e">
        <f t="shared" si="37"/>
        <v>#VALUE!</v>
      </c>
      <c r="T88" t="e">
        <f t="shared" si="128"/>
        <v>#VALUE!</v>
      </c>
      <c r="U88" t="e">
        <f t="shared" si="129"/>
        <v>#VALUE!</v>
      </c>
      <c r="W88" t="e">
        <f t="shared" si="171"/>
        <v>#VALUE!</v>
      </c>
      <c r="X88" t="e">
        <f t="shared" si="171"/>
        <v>#VALUE!</v>
      </c>
      <c r="Y88" t="e">
        <f t="shared" si="171"/>
        <v>#VALUE!</v>
      </c>
      <c r="AA88" s="112" t="e">
        <f t="shared" si="102"/>
        <v>#VALUE!</v>
      </c>
      <c r="AB88" s="112" t="e">
        <f t="shared" si="103"/>
        <v>#VALUE!</v>
      </c>
      <c r="AG88" t="e">
        <f t="shared" si="38"/>
        <v>#VALUE!</v>
      </c>
      <c r="AH88" s="112" t="e">
        <f t="shared" si="39"/>
        <v>#VALUE!</v>
      </c>
      <c r="AI88" s="112" t="e">
        <f t="shared" si="39"/>
        <v>#VALUE!</v>
      </c>
      <c r="CX88" s="112">
        <f t="shared" si="47"/>
        <v>100000</v>
      </c>
      <c r="CY88" s="112">
        <f t="shared" si="114"/>
        <v>100000</v>
      </c>
      <c r="CZ88" s="112">
        <f t="shared" si="115"/>
        <v>100000</v>
      </c>
      <c r="DA88" s="112">
        <f t="shared" si="116"/>
        <v>100000</v>
      </c>
      <c r="DB88" s="112">
        <f t="shared" si="117"/>
        <v>100000</v>
      </c>
      <c r="DC88" s="112">
        <f t="shared" si="118"/>
        <v>100000</v>
      </c>
      <c r="DU88" s="112"/>
      <c r="DV88" s="112"/>
      <c r="DW88" s="276"/>
      <c r="DX88" s="276"/>
      <c r="DY88" s="276"/>
      <c r="DZ88" s="276"/>
      <c r="EF88" s="253"/>
      <c r="EK88" s="254"/>
      <c r="EV88" s="253"/>
      <c r="EX88" s="253"/>
      <c r="EY88" s="238"/>
      <c r="FR88" s="254"/>
      <c r="HO88" s="111" t="str">
        <f t="shared" ca="1" si="28"/>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P88">
        <f t="shared" si="84"/>
        <v>0</v>
      </c>
      <c r="HQ88" t="str">
        <f t="shared" ca="1" si="85"/>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R88" t="str">
        <f t="shared" ca="1" si="169"/>
        <v/>
      </c>
      <c r="HS88" t="str">
        <f t="shared" ca="1" si="170"/>
        <v/>
      </c>
      <c r="HX88" s="253" t="s">
        <v>187</v>
      </c>
      <c r="HY88" s="112" t="e">
        <f t="shared" si="88"/>
        <v>#VALUE!</v>
      </c>
      <c r="HZ88" t="s">
        <v>188</v>
      </c>
      <c r="IA88" s="112" t="e">
        <f t="shared" si="89"/>
        <v>#VALUE!</v>
      </c>
      <c r="IB88" t="s">
        <v>189</v>
      </c>
      <c r="IC88" t="e">
        <f t="shared" si="90"/>
        <v>#VALUE!</v>
      </c>
      <c r="ID88" t="s">
        <v>192</v>
      </c>
      <c r="IE88" t="e">
        <f t="shared" si="91"/>
        <v>#VALUE!</v>
      </c>
      <c r="IF88" t="s">
        <v>191</v>
      </c>
      <c r="IG88" s="254" t="e">
        <f t="shared" si="92"/>
        <v>#VALUE!</v>
      </c>
      <c r="IL88" t="e">
        <f t="shared" si="93"/>
        <v>#VALUE!</v>
      </c>
    </row>
    <row r="89" spans="1:319" ht="180" x14ac:dyDescent="0.25">
      <c r="B89" s="112" t="e">
        <f t="shared" si="35"/>
        <v>#N/A</v>
      </c>
      <c r="E89" s="240" t="str">
        <f>Foglio3!F69</f>
        <v/>
      </c>
      <c r="F89" s="240" t="str">
        <f>Foglio3!G69</f>
        <v/>
      </c>
      <c r="G89" s="244"/>
      <c r="H89" s="245" t="e">
        <f t="shared" si="36"/>
        <v>#VALUE!</v>
      </c>
      <c r="I89" s="245" t="e">
        <f t="shared" si="15"/>
        <v>#VALUE!</v>
      </c>
      <c r="J89" s="244"/>
      <c r="K89" s="244"/>
      <c r="Q89" t="e">
        <f t="shared" si="16"/>
        <v>#VALUE!</v>
      </c>
      <c r="R89" t="e">
        <f t="shared" si="140"/>
        <v>#VALUE!</v>
      </c>
      <c r="S89" t="e">
        <f t="shared" si="37"/>
        <v>#VALUE!</v>
      </c>
      <c r="T89" t="e">
        <f t="shared" si="128"/>
        <v>#VALUE!</v>
      </c>
      <c r="U89" t="e">
        <f t="shared" si="129"/>
        <v>#VALUE!</v>
      </c>
      <c r="W89" t="e">
        <f t="shared" si="171"/>
        <v>#VALUE!</v>
      </c>
      <c r="X89" t="e">
        <f t="shared" si="171"/>
        <v>#VALUE!</v>
      </c>
      <c r="Y89" t="e">
        <f t="shared" si="171"/>
        <v>#VALUE!</v>
      </c>
      <c r="AA89" s="112" t="e">
        <f t="shared" si="102"/>
        <v>#VALUE!</v>
      </c>
      <c r="AB89" s="112" t="e">
        <f t="shared" si="103"/>
        <v>#VALUE!</v>
      </c>
      <c r="AG89" t="e">
        <f t="shared" si="38"/>
        <v>#VALUE!</v>
      </c>
      <c r="AH89" s="112" t="e">
        <f t="shared" si="39"/>
        <v>#VALUE!</v>
      </c>
      <c r="AI89" s="112" t="e">
        <f t="shared" si="39"/>
        <v>#VALUE!</v>
      </c>
      <c r="CX89" s="112">
        <f t="shared" si="47"/>
        <v>100000</v>
      </c>
      <c r="CY89" s="112">
        <f t="shared" si="114"/>
        <v>100000</v>
      </c>
      <c r="CZ89" s="112">
        <f t="shared" si="115"/>
        <v>100000</v>
      </c>
      <c r="DA89" s="112">
        <f t="shared" si="116"/>
        <v>100000</v>
      </c>
      <c r="DB89" s="112">
        <f t="shared" si="117"/>
        <v>100000</v>
      </c>
      <c r="DC89" s="112">
        <f t="shared" si="118"/>
        <v>100000</v>
      </c>
      <c r="DU89" s="112"/>
      <c r="DV89" s="112"/>
      <c r="DW89" s="276"/>
      <c r="DX89" s="276"/>
      <c r="DY89" s="276"/>
      <c r="DZ89" s="276"/>
      <c r="EF89" s="253"/>
      <c r="EK89" s="254"/>
      <c r="EV89" s="253"/>
      <c r="EX89" s="253"/>
      <c r="EY89" s="238"/>
      <c r="FR89" s="254"/>
      <c r="HO89" s="111" t="str">
        <f t="shared" ca="1" si="28"/>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P89">
        <f t="shared" si="84"/>
        <v>0</v>
      </c>
      <c r="HQ89" t="str">
        <f t="shared" si="85"/>
        <v/>
      </c>
      <c r="HR89" t="str">
        <f t="shared" ca="1" si="169"/>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S89" t="str">
        <f t="shared" ca="1" si="170"/>
        <v/>
      </c>
      <c r="HX89" s="253" t="s">
        <v>187</v>
      </c>
      <c r="HY89" s="112" t="e">
        <f t="shared" si="88"/>
        <v>#VALUE!</v>
      </c>
      <c r="HZ89" t="s">
        <v>188</v>
      </c>
      <c r="IA89" s="112" t="e">
        <f t="shared" si="89"/>
        <v>#VALUE!</v>
      </c>
      <c r="IB89" t="s">
        <v>189</v>
      </c>
      <c r="IC89" t="e">
        <f t="shared" si="90"/>
        <v>#VALUE!</v>
      </c>
      <c r="ID89" t="s">
        <v>192</v>
      </c>
      <c r="IE89" t="e">
        <f t="shared" si="91"/>
        <v>#VALUE!</v>
      </c>
      <c r="IF89" t="s">
        <v>191</v>
      </c>
      <c r="IG89" s="254" t="e">
        <f t="shared" si="92"/>
        <v>#VALUE!</v>
      </c>
      <c r="IL89" t="e">
        <f t="shared" si="93"/>
        <v>#VALUE!</v>
      </c>
    </row>
    <row r="90" spans="1:319" ht="45" x14ac:dyDescent="0.25">
      <c r="E90" s="240" t="str">
        <f>Foglio3!F70</f>
        <v/>
      </c>
      <c r="F90" s="240" t="str">
        <f>Foglio3!G70</f>
        <v/>
      </c>
      <c r="G90" s="244"/>
      <c r="H90" s="245" t="e">
        <f t="shared" si="36"/>
        <v>#VALUE!</v>
      </c>
      <c r="I90" s="245" t="e">
        <f t="shared" si="15"/>
        <v>#VALUE!</v>
      </c>
      <c r="J90" s="244"/>
      <c r="K90" s="244"/>
      <c r="Q90" t="e">
        <f t="shared" si="16"/>
        <v>#VALUE!</v>
      </c>
      <c r="R90" t="e">
        <f t="shared" si="140"/>
        <v>#VALUE!</v>
      </c>
      <c r="S90" t="e">
        <f t="shared" si="37"/>
        <v>#VALUE!</v>
      </c>
      <c r="T90" t="e">
        <f t="shared" si="128"/>
        <v>#VALUE!</v>
      </c>
      <c r="U90" t="e">
        <f t="shared" si="129"/>
        <v>#VALUE!</v>
      </c>
      <c r="W90" t="e">
        <f t="shared" si="171"/>
        <v>#VALUE!</v>
      </c>
      <c r="X90" t="e">
        <f t="shared" si="171"/>
        <v>#VALUE!</v>
      </c>
      <c r="Y90" t="e">
        <f t="shared" si="171"/>
        <v>#VALUE!</v>
      </c>
      <c r="AA90" s="112" t="e">
        <f t="shared" si="102"/>
        <v>#VALUE!</v>
      </c>
      <c r="AB90" s="112" t="e">
        <f t="shared" si="103"/>
        <v>#VALUE!</v>
      </c>
      <c r="AG90" t="e">
        <f t="shared" si="38"/>
        <v>#VALUE!</v>
      </c>
      <c r="AH90" s="112" t="e">
        <f t="shared" si="39"/>
        <v>#VALUE!</v>
      </c>
      <c r="AI90" s="112" t="e">
        <f t="shared" si="39"/>
        <v>#VALUE!</v>
      </c>
      <c r="CX90" s="112">
        <f t="shared" si="47"/>
        <v>100000</v>
      </c>
      <c r="CY90" s="112">
        <f t="shared" si="114"/>
        <v>100000</v>
      </c>
      <c r="CZ90" s="112">
        <f t="shared" si="115"/>
        <v>100000</v>
      </c>
      <c r="DA90" s="112">
        <f t="shared" si="116"/>
        <v>100000</v>
      </c>
      <c r="DB90" s="112">
        <f t="shared" si="117"/>
        <v>100000</v>
      </c>
      <c r="DC90" s="112">
        <f t="shared" si="118"/>
        <v>100000</v>
      </c>
      <c r="DU90" s="112"/>
      <c r="DV90" s="112"/>
      <c r="DW90" s="276"/>
      <c r="DX90" s="276"/>
      <c r="DY90" s="276"/>
      <c r="DZ90" s="276"/>
      <c r="EF90" s="253"/>
      <c r="EK90" s="254"/>
      <c r="EV90" s="253"/>
      <c r="EX90" s="253"/>
      <c r="EY90" s="238"/>
      <c r="FR90" s="254"/>
      <c r="HO90" s="111" t="str">
        <f t="shared" ca="1" si="28"/>
        <v xml:space="preserve">
</v>
      </c>
      <c r="HP90">
        <f t="shared" si="84"/>
        <v>0</v>
      </c>
      <c r="HQ90" t="str">
        <f t="shared" si="85"/>
        <v/>
      </c>
      <c r="HR90" t="str">
        <f t="shared" si="169"/>
        <v/>
      </c>
      <c r="HS90" t="str">
        <f t="shared" ca="1" si="170"/>
        <v xml:space="preserve">
</v>
      </c>
      <c r="HX90" s="253" t="s">
        <v>187</v>
      </c>
      <c r="HY90" s="112" t="e">
        <f t="shared" si="88"/>
        <v>#VALUE!</v>
      </c>
      <c r="HZ90" t="s">
        <v>188</v>
      </c>
      <c r="IA90" s="112" t="e">
        <f t="shared" si="89"/>
        <v>#VALUE!</v>
      </c>
      <c r="IB90" t="s">
        <v>189</v>
      </c>
      <c r="IC90" t="e">
        <f t="shared" si="90"/>
        <v>#VALUE!</v>
      </c>
      <c r="ID90" t="s">
        <v>192</v>
      </c>
      <c r="IE90" t="e">
        <f t="shared" si="91"/>
        <v>#VALUE!</v>
      </c>
      <c r="IF90" t="s">
        <v>191</v>
      </c>
      <c r="IG90" s="254" t="e">
        <f t="shared" si="92"/>
        <v>#VALUE!</v>
      </c>
      <c r="IL90" t="e">
        <f t="shared" si="93"/>
        <v>#VALUE!</v>
      </c>
    </row>
    <row r="91" spans="1:319" x14ac:dyDescent="0.25">
      <c r="E91" s="240" t="str">
        <f>Foglio3!F71</f>
        <v/>
      </c>
      <c r="F91" s="240" t="str">
        <f>Foglio3!G71</f>
        <v/>
      </c>
      <c r="G91" s="244"/>
      <c r="H91" s="245" t="e">
        <f t="shared" si="36"/>
        <v>#VALUE!</v>
      </c>
      <c r="I91" s="245" t="e">
        <f t="shared" si="15"/>
        <v>#VALUE!</v>
      </c>
      <c r="J91" s="244"/>
      <c r="K91" s="244"/>
      <c r="Q91" t="e">
        <f t="shared" si="16"/>
        <v>#VALUE!</v>
      </c>
      <c r="R91" t="e">
        <f t="shared" si="140"/>
        <v>#VALUE!</v>
      </c>
      <c r="S91" t="e">
        <f t="shared" si="37"/>
        <v>#VALUE!</v>
      </c>
      <c r="T91" t="e">
        <f t="shared" si="128"/>
        <v>#VALUE!</v>
      </c>
      <c r="U91" t="e">
        <f t="shared" si="129"/>
        <v>#VALUE!</v>
      </c>
      <c r="W91" t="e">
        <f t="shared" ref="W91:Y106" si="174">S91+W90</f>
        <v>#VALUE!</v>
      </c>
      <c r="X91" t="e">
        <f t="shared" si="174"/>
        <v>#VALUE!</v>
      </c>
      <c r="Y91" t="e">
        <f t="shared" si="174"/>
        <v>#VALUE!</v>
      </c>
      <c r="AA91" s="112" t="e">
        <f t="shared" si="102"/>
        <v>#VALUE!</v>
      </c>
      <c r="AB91" s="112" t="e">
        <f t="shared" si="103"/>
        <v>#VALUE!</v>
      </c>
      <c r="AG91" t="e">
        <f t="shared" si="38"/>
        <v>#VALUE!</v>
      </c>
      <c r="AH91" s="112" t="e">
        <f t="shared" si="39"/>
        <v>#VALUE!</v>
      </c>
      <c r="AI91" s="112" t="e">
        <f t="shared" si="39"/>
        <v>#VALUE!</v>
      </c>
      <c r="CX91" s="112">
        <f t="shared" si="47"/>
        <v>100000</v>
      </c>
      <c r="CY91" s="112">
        <f t="shared" si="114"/>
        <v>100000</v>
      </c>
      <c r="CZ91" s="112">
        <f t="shared" si="115"/>
        <v>100000</v>
      </c>
      <c r="DA91" s="112">
        <f t="shared" si="116"/>
        <v>100000</v>
      </c>
      <c r="DB91" s="112">
        <f t="shared" si="117"/>
        <v>100000</v>
      </c>
      <c r="DC91" s="112">
        <f t="shared" si="118"/>
        <v>100000</v>
      </c>
      <c r="DU91" s="112"/>
      <c r="DV91" s="112"/>
      <c r="EF91" s="253"/>
      <c r="EK91" s="254"/>
      <c r="EV91" s="253"/>
      <c r="EX91" s="253"/>
      <c r="EY91" s="238"/>
      <c r="FR91" s="254"/>
      <c r="HO91" s="111" t="str">
        <f t="shared" si="28"/>
        <v/>
      </c>
      <c r="HP91">
        <f t="shared" si="84"/>
        <v>0</v>
      </c>
      <c r="HQ91" t="str">
        <f t="shared" si="85"/>
        <v/>
      </c>
      <c r="HR91" t="str">
        <f t="shared" si="169"/>
        <v/>
      </c>
      <c r="HS91" t="str">
        <f t="shared" si="170"/>
        <v/>
      </c>
      <c r="HX91" s="253" t="s">
        <v>187</v>
      </c>
      <c r="HY91" s="112" t="e">
        <f t="shared" si="88"/>
        <v>#VALUE!</v>
      </c>
      <c r="HZ91" t="s">
        <v>188</v>
      </c>
      <c r="IA91" s="112" t="e">
        <f t="shared" si="89"/>
        <v>#VALUE!</v>
      </c>
      <c r="IB91" t="s">
        <v>189</v>
      </c>
      <c r="IC91" t="e">
        <f t="shared" si="90"/>
        <v>#VALUE!</v>
      </c>
      <c r="ID91" t="s">
        <v>192</v>
      </c>
      <c r="IE91" t="e">
        <f t="shared" si="91"/>
        <v>#VALUE!</v>
      </c>
      <c r="IF91" t="s">
        <v>191</v>
      </c>
      <c r="IG91" s="254" t="e">
        <f t="shared" si="92"/>
        <v>#VALUE!</v>
      </c>
      <c r="IL91" t="e">
        <f t="shared" si="93"/>
        <v>#VALUE!</v>
      </c>
    </row>
    <row r="92" spans="1:319" x14ac:dyDescent="0.25">
      <c r="E92" s="240" t="str">
        <f>Foglio3!F72</f>
        <v/>
      </c>
      <c r="F92" s="240" t="str">
        <f>Foglio3!G72</f>
        <v/>
      </c>
      <c r="G92" s="244"/>
      <c r="H92" s="245" t="e">
        <f t="shared" si="36"/>
        <v>#VALUE!</v>
      </c>
      <c r="I92" s="245" t="e">
        <f t="shared" si="15"/>
        <v>#VALUE!</v>
      </c>
      <c r="J92" s="244"/>
      <c r="K92" s="244"/>
      <c r="Q92" t="e">
        <f t="shared" si="16"/>
        <v>#VALUE!</v>
      </c>
      <c r="R92" t="e">
        <f t="shared" si="140"/>
        <v>#VALUE!</v>
      </c>
      <c r="S92" t="e">
        <f t="shared" si="37"/>
        <v>#VALUE!</v>
      </c>
      <c r="T92" t="e">
        <f t="shared" si="128"/>
        <v>#VALUE!</v>
      </c>
      <c r="U92" t="e">
        <f t="shared" si="129"/>
        <v>#VALUE!</v>
      </c>
      <c r="W92" t="e">
        <f t="shared" si="174"/>
        <v>#VALUE!</v>
      </c>
      <c r="X92" t="e">
        <f t="shared" si="174"/>
        <v>#VALUE!</v>
      </c>
      <c r="Y92" t="e">
        <f t="shared" si="174"/>
        <v>#VALUE!</v>
      </c>
      <c r="AA92" s="112" t="e">
        <f t="shared" si="102"/>
        <v>#VALUE!</v>
      </c>
      <c r="AB92" s="112" t="e">
        <f t="shared" si="103"/>
        <v>#VALUE!</v>
      </c>
      <c r="AG92" t="e">
        <f t="shared" si="38"/>
        <v>#VALUE!</v>
      </c>
      <c r="AH92" s="112" t="e">
        <f t="shared" si="39"/>
        <v>#VALUE!</v>
      </c>
      <c r="AI92" s="112" t="e">
        <f t="shared" si="39"/>
        <v>#VALUE!</v>
      </c>
      <c r="CX92" s="112">
        <f t="shared" si="47"/>
        <v>100000</v>
      </c>
      <c r="CY92" s="112">
        <f t="shared" si="114"/>
        <v>100000</v>
      </c>
      <c r="CZ92" s="112">
        <f t="shared" si="115"/>
        <v>100000</v>
      </c>
      <c r="DA92" s="112">
        <f t="shared" si="116"/>
        <v>100000</v>
      </c>
      <c r="DB92" s="112">
        <f t="shared" si="117"/>
        <v>100000</v>
      </c>
      <c r="DC92" s="112">
        <f t="shared" si="118"/>
        <v>100000</v>
      </c>
      <c r="DU92" s="112"/>
      <c r="DV92" s="112"/>
      <c r="EF92" s="253"/>
      <c r="EK92" s="254"/>
      <c r="EV92" s="253"/>
      <c r="EX92" s="253"/>
      <c r="EY92" s="238"/>
      <c r="FR92" s="254"/>
      <c r="HO92" s="111" t="str">
        <f t="shared" si="28"/>
        <v/>
      </c>
      <c r="HP92">
        <f t="shared" si="84"/>
        <v>0</v>
      </c>
      <c r="HQ92" t="str">
        <f t="shared" si="85"/>
        <v/>
      </c>
      <c r="HR92" t="str">
        <f t="shared" si="169"/>
        <v/>
      </c>
      <c r="HS92" t="str">
        <f t="shared" si="170"/>
        <v/>
      </c>
      <c r="HX92" s="253" t="s">
        <v>187</v>
      </c>
      <c r="HY92" s="112" t="e">
        <f t="shared" si="88"/>
        <v>#VALUE!</v>
      </c>
      <c r="HZ92" t="s">
        <v>188</v>
      </c>
      <c r="IA92" s="112" t="e">
        <f t="shared" si="89"/>
        <v>#VALUE!</v>
      </c>
      <c r="IB92" t="s">
        <v>189</v>
      </c>
      <c r="IC92" t="e">
        <f t="shared" si="90"/>
        <v>#VALUE!</v>
      </c>
      <c r="ID92" t="s">
        <v>192</v>
      </c>
      <c r="IE92" t="e">
        <f t="shared" si="91"/>
        <v>#VALUE!</v>
      </c>
      <c r="IF92" t="s">
        <v>191</v>
      </c>
      <c r="IG92" s="254" t="e">
        <f t="shared" si="92"/>
        <v>#VALUE!</v>
      </c>
      <c r="IL92" t="e">
        <f t="shared" si="93"/>
        <v>#VALUE!</v>
      </c>
    </row>
    <row r="93" spans="1:319" x14ac:dyDescent="0.25">
      <c r="E93" s="240" t="str">
        <f>Foglio3!F73</f>
        <v/>
      </c>
      <c r="F93" s="240" t="str">
        <f>Foglio3!G73</f>
        <v/>
      </c>
      <c r="G93" s="244"/>
      <c r="H93" s="245" t="e">
        <f t="shared" si="36"/>
        <v>#VALUE!</v>
      </c>
      <c r="I93" s="245" t="e">
        <f t="shared" si="15"/>
        <v>#VALUE!</v>
      </c>
      <c r="J93" s="244"/>
      <c r="K93" s="244"/>
      <c r="Q93" t="e">
        <f t="shared" si="16"/>
        <v>#VALUE!</v>
      </c>
      <c r="R93" t="e">
        <f t="shared" si="140"/>
        <v>#VALUE!</v>
      </c>
      <c r="S93" t="e">
        <f t="shared" si="37"/>
        <v>#VALUE!</v>
      </c>
      <c r="T93" t="e">
        <f t="shared" si="128"/>
        <v>#VALUE!</v>
      </c>
      <c r="U93" t="e">
        <f t="shared" si="129"/>
        <v>#VALUE!</v>
      </c>
      <c r="W93" t="e">
        <f t="shared" si="174"/>
        <v>#VALUE!</v>
      </c>
      <c r="X93" t="e">
        <f t="shared" si="174"/>
        <v>#VALUE!</v>
      </c>
      <c r="Y93" t="e">
        <f t="shared" si="174"/>
        <v>#VALUE!</v>
      </c>
      <c r="AA93" s="112" t="e">
        <f t="shared" si="102"/>
        <v>#VALUE!</v>
      </c>
      <c r="AB93" s="112" t="e">
        <f t="shared" si="103"/>
        <v>#VALUE!</v>
      </c>
      <c r="AG93" t="e">
        <f t="shared" si="38"/>
        <v>#VALUE!</v>
      </c>
      <c r="AH93" s="112" t="e">
        <f t="shared" si="39"/>
        <v>#VALUE!</v>
      </c>
      <c r="AI93" s="112" t="e">
        <f t="shared" si="39"/>
        <v>#VALUE!</v>
      </c>
      <c r="CX93" s="112">
        <f t="shared" si="47"/>
        <v>100000</v>
      </c>
      <c r="CY93" s="112">
        <f t="shared" si="114"/>
        <v>100000</v>
      </c>
      <c r="CZ93" s="112">
        <f t="shared" si="115"/>
        <v>100000</v>
      </c>
      <c r="DA93" s="112">
        <f t="shared" si="116"/>
        <v>100000</v>
      </c>
      <c r="DB93" s="112">
        <f t="shared" si="117"/>
        <v>100000</v>
      </c>
      <c r="DC93" s="112">
        <f t="shared" si="118"/>
        <v>100000</v>
      </c>
      <c r="DU93" s="112"/>
      <c r="DV93" s="112"/>
      <c r="EF93" s="253"/>
      <c r="EK93" s="254"/>
      <c r="EV93" s="253"/>
      <c r="EX93" s="253"/>
      <c r="EY93" s="238"/>
      <c r="FR93" s="254"/>
      <c r="HO93" s="263" t="str">
        <f t="shared" si="28"/>
        <v/>
      </c>
      <c r="HP93">
        <f t="shared" si="84"/>
        <v>0</v>
      </c>
      <c r="HQ93" t="str">
        <f t="shared" si="85"/>
        <v/>
      </c>
      <c r="HR93" t="str">
        <f t="shared" si="169"/>
        <v/>
      </c>
      <c r="HS93" t="str">
        <f t="shared" si="170"/>
        <v/>
      </c>
      <c r="HX93" s="253" t="s">
        <v>187</v>
      </c>
      <c r="HY93" s="112" t="e">
        <f t="shared" si="88"/>
        <v>#VALUE!</v>
      </c>
      <c r="HZ93" t="s">
        <v>188</v>
      </c>
      <c r="IA93" s="112" t="e">
        <f t="shared" si="89"/>
        <v>#VALUE!</v>
      </c>
      <c r="IB93" t="s">
        <v>189</v>
      </c>
      <c r="IC93" t="e">
        <f t="shared" si="90"/>
        <v>#VALUE!</v>
      </c>
      <c r="ID93" t="s">
        <v>192</v>
      </c>
      <c r="IE93" t="e">
        <f t="shared" si="91"/>
        <v>#VALUE!</v>
      </c>
      <c r="IF93" t="s">
        <v>191</v>
      </c>
      <c r="IG93" s="254" t="e">
        <f t="shared" si="92"/>
        <v>#VALUE!</v>
      </c>
      <c r="IL93" t="e">
        <f t="shared" si="93"/>
        <v>#VALUE!</v>
      </c>
    </row>
    <row r="94" spans="1:319" x14ac:dyDescent="0.25">
      <c r="E94" s="240" t="str">
        <f>Foglio3!F74</f>
        <v/>
      </c>
      <c r="F94" s="240" t="str">
        <f>Foglio3!G74</f>
        <v/>
      </c>
      <c r="G94" s="244"/>
      <c r="H94" s="245" t="e">
        <f t="shared" si="36"/>
        <v>#VALUE!</v>
      </c>
      <c r="I94" s="245" t="e">
        <f t="shared" si="15"/>
        <v>#VALUE!</v>
      </c>
      <c r="J94" s="244"/>
      <c r="K94" s="244"/>
      <c r="Q94" t="e">
        <f t="shared" si="16"/>
        <v>#VALUE!</v>
      </c>
      <c r="R94" t="e">
        <f t="shared" si="140"/>
        <v>#VALUE!</v>
      </c>
      <c r="S94" t="e">
        <f t="shared" si="37"/>
        <v>#VALUE!</v>
      </c>
      <c r="T94" t="e">
        <f t="shared" si="128"/>
        <v>#VALUE!</v>
      </c>
      <c r="U94" t="e">
        <f t="shared" si="129"/>
        <v>#VALUE!</v>
      </c>
      <c r="W94" t="e">
        <f t="shared" si="174"/>
        <v>#VALUE!</v>
      </c>
      <c r="X94" t="e">
        <f t="shared" si="174"/>
        <v>#VALUE!</v>
      </c>
      <c r="Y94" t="e">
        <f t="shared" si="174"/>
        <v>#VALUE!</v>
      </c>
      <c r="AA94" s="112" t="e">
        <f t="shared" si="102"/>
        <v>#VALUE!</v>
      </c>
      <c r="AB94" s="112" t="e">
        <f t="shared" si="103"/>
        <v>#VALUE!</v>
      </c>
      <c r="AG94" t="e">
        <f t="shared" si="38"/>
        <v>#VALUE!</v>
      </c>
      <c r="AH94" s="112" t="e">
        <f t="shared" si="39"/>
        <v>#VALUE!</v>
      </c>
      <c r="AI94" s="112" t="e">
        <f t="shared" si="39"/>
        <v>#VALUE!</v>
      </c>
      <c r="CX94" s="112">
        <f t="shared" si="47"/>
        <v>100000</v>
      </c>
      <c r="CY94" s="112">
        <f t="shared" si="114"/>
        <v>100000</v>
      </c>
      <c r="CZ94" s="112">
        <f t="shared" si="115"/>
        <v>100000</v>
      </c>
      <c r="DA94" s="112">
        <f t="shared" si="116"/>
        <v>100000</v>
      </c>
      <c r="DB94" s="112">
        <f t="shared" si="117"/>
        <v>100000</v>
      </c>
      <c r="DC94" s="112">
        <f t="shared" si="118"/>
        <v>100000</v>
      </c>
      <c r="DU94" s="112"/>
      <c r="DV94" s="112"/>
      <c r="EF94" s="253"/>
      <c r="EK94" s="254"/>
      <c r="EV94" s="253"/>
      <c r="EX94" s="253"/>
      <c r="EY94" s="238"/>
      <c r="FR94" s="254"/>
      <c r="HO94" s="263" t="str">
        <f t="shared" si="28"/>
        <v/>
      </c>
      <c r="HP94">
        <f t="shared" si="84"/>
        <v>0</v>
      </c>
      <c r="HQ94" t="str">
        <f t="shared" si="85"/>
        <v/>
      </c>
      <c r="HR94" t="str">
        <f t="shared" si="169"/>
        <v/>
      </c>
      <c r="HS94" t="str">
        <f t="shared" si="170"/>
        <v/>
      </c>
      <c r="HX94" s="253" t="s">
        <v>187</v>
      </c>
      <c r="HY94" s="112" t="e">
        <f t="shared" si="88"/>
        <v>#VALUE!</v>
      </c>
      <c r="HZ94" t="s">
        <v>188</v>
      </c>
      <c r="IA94" s="112" t="e">
        <f t="shared" si="89"/>
        <v>#VALUE!</v>
      </c>
      <c r="IB94" t="s">
        <v>189</v>
      </c>
      <c r="IC94" t="e">
        <f t="shared" si="90"/>
        <v>#VALUE!</v>
      </c>
      <c r="ID94" t="s">
        <v>192</v>
      </c>
      <c r="IE94" t="e">
        <f t="shared" si="91"/>
        <v>#VALUE!</v>
      </c>
      <c r="IF94" t="s">
        <v>191</v>
      </c>
      <c r="IG94" s="254" t="e">
        <f t="shared" si="92"/>
        <v>#VALUE!</v>
      </c>
      <c r="IL94" t="e">
        <f t="shared" si="93"/>
        <v>#VALUE!</v>
      </c>
    </row>
    <row r="95" spans="1:319" x14ac:dyDescent="0.25">
      <c r="E95" s="240" t="str">
        <f>Foglio3!F75</f>
        <v/>
      </c>
      <c r="F95" s="240" t="str">
        <f>Foglio3!G75</f>
        <v/>
      </c>
      <c r="G95" s="244"/>
      <c r="H95" s="245" t="e">
        <f t="shared" si="36"/>
        <v>#VALUE!</v>
      </c>
      <c r="I95" s="245" t="e">
        <f t="shared" si="15"/>
        <v>#VALUE!</v>
      </c>
      <c r="J95" s="244"/>
      <c r="K95" s="244"/>
      <c r="Q95" t="e">
        <f t="shared" si="16"/>
        <v>#VALUE!</v>
      </c>
      <c r="R95" t="e">
        <f t="shared" si="140"/>
        <v>#VALUE!</v>
      </c>
      <c r="S95" t="e">
        <f t="shared" si="37"/>
        <v>#VALUE!</v>
      </c>
      <c r="T95" t="e">
        <f t="shared" si="128"/>
        <v>#VALUE!</v>
      </c>
      <c r="U95" t="e">
        <f t="shared" si="129"/>
        <v>#VALUE!</v>
      </c>
      <c r="W95" t="e">
        <f t="shared" si="174"/>
        <v>#VALUE!</v>
      </c>
      <c r="X95" t="e">
        <f t="shared" si="174"/>
        <v>#VALUE!</v>
      </c>
      <c r="Y95" t="e">
        <f t="shared" si="174"/>
        <v>#VALUE!</v>
      </c>
      <c r="AA95" s="112" t="e">
        <f t="shared" si="102"/>
        <v>#VALUE!</v>
      </c>
      <c r="AB95" s="112" t="e">
        <f t="shared" si="103"/>
        <v>#VALUE!</v>
      </c>
      <c r="AG95" t="e">
        <f t="shared" si="38"/>
        <v>#VALUE!</v>
      </c>
      <c r="AH95" s="112" t="e">
        <f t="shared" si="39"/>
        <v>#VALUE!</v>
      </c>
      <c r="AI95" s="112" t="e">
        <f t="shared" si="39"/>
        <v>#VALUE!</v>
      </c>
      <c r="CX95" s="112">
        <f t="shared" si="47"/>
        <v>100000</v>
      </c>
      <c r="CY95" s="112">
        <f t="shared" si="114"/>
        <v>100000</v>
      </c>
      <c r="CZ95" s="112">
        <f t="shared" si="115"/>
        <v>100000</v>
      </c>
      <c r="DA95" s="112">
        <f t="shared" si="116"/>
        <v>100000</v>
      </c>
      <c r="DB95" s="112">
        <f t="shared" si="117"/>
        <v>100000</v>
      </c>
      <c r="DC95" s="112">
        <f t="shared" si="118"/>
        <v>100000</v>
      </c>
      <c r="DU95" s="112"/>
      <c r="DV95" s="112"/>
      <c r="EF95" s="253"/>
      <c r="EK95" s="254"/>
      <c r="EV95" s="253"/>
      <c r="EX95" s="253"/>
      <c r="EY95" s="238"/>
      <c r="FR95" s="254"/>
      <c r="HO95" s="263" t="str">
        <f t="shared" si="28"/>
        <v/>
      </c>
      <c r="HP95">
        <f t="shared" si="84"/>
        <v>0</v>
      </c>
      <c r="HQ95" t="str">
        <f t="shared" si="85"/>
        <v/>
      </c>
      <c r="HR95" t="str">
        <f t="shared" si="169"/>
        <v/>
      </c>
      <c r="HS95" t="str">
        <f t="shared" si="170"/>
        <v/>
      </c>
      <c r="HX95" s="253" t="s">
        <v>187</v>
      </c>
      <c r="HY95" s="112" t="e">
        <f t="shared" si="88"/>
        <v>#VALUE!</v>
      </c>
      <c r="HZ95" t="s">
        <v>188</v>
      </c>
      <c r="IA95" s="112" t="e">
        <f t="shared" si="89"/>
        <v>#VALUE!</v>
      </c>
      <c r="IB95" t="s">
        <v>189</v>
      </c>
      <c r="IC95" t="e">
        <f t="shared" si="90"/>
        <v>#VALUE!</v>
      </c>
      <c r="ID95" t="s">
        <v>192</v>
      </c>
      <c r="IE95" t="e">
        <f t="shared" si="91"/>
        <v>#VALUE!</v>
      </c>
      <c r="IF95" t="s">
        <v>191</v>
      </c>
      <c r="IG95" s="254" t="e">
        <f t="shared" si="92"/>
        <v>#VALUE!</v>
      </c>
      <c r="IL95" t="e">
        <f t="shared" si="93"/>
        <v>#VALUE!</v>
      </c>
    </row>
    <row r="96" spans="1:319" x14ac:dyDescent="0.25">
      <c r="E96" s="240" t="str">
        <f>Foglio3!F76</f>
        <v/>
      </c>
      <c r="F96" s="240" t="str">
        <f>Foglio3!G76</f>
        <v/>
      </c>
      <c r="G96" s="244"/>
      <c r="H96" s="245" t="e">
        <f t="shared" si="36"/>
        <v>#VALUE!</v>
      </c>
      <c r="I96" s="245" t="e">
        <f t="shared" si="15"/>
        <v>#VALUE!</v>
      </c>
      <c r="J96" s="244"/>
      <c r="K96" s="244"/>
      <c r="Q96" t="e">
        <f t="shared" si="16"/>
        <v>#VALUE!</v>
      </c>
      <c r="R96" t="e">
        <f t="shared" si="140"/>
        <v>#VALUE!</v>
      </c>
      <c r="S96" t="e">
        <f t="shared" si="37"/>
        <v>#VALUE!</v>
      </c>
      <c r="T96" t="e">
        <f t="shared" si="128"/>
        <v>#VALUE!</v>
      </c>
      <c r="U96" t="e">
        <f t="shared" si="129"/>
        <v>#VALUE!</v>
      </c>
      <c r="W96" t="e">
        <f t="shared" si="174"/>
        <v>#VALUE!</v>
      </c>
      <c r="X96" t="e">
        <f t="shared" si="174"/>
        <v>#VALUE!</v>
      </c>
      <c r="Y96" t="e">
        <f t="shared" si="174"/>
        <v>#VALUE!</v>
      </c>
      <c r="AA96" s="112" t="e">
        <f t="shared" si="102"/>
        <v>#VALUE!</v>
      </c>
      <c r="AB96" s="112" t="e">
        <f t="shared" si="103"/>
        <v>#VALUE!</v>
      </c>
      <c r="AG96" t="e">
        <f t="shared" si="38"/>
        <v>#VALUE!</v>
      </c>
      <c r="AH96" s="112" t="e">
        <f t="shared" si="39"/>
        <v>#VALUE!</v>
      </c>
      <c r="AI96" s="112" t="e">
        <f t="shared" si="39"/>
        <v>#VALUE!</v>
      </c>
      <c r="CX96" s="112">
        <f t="shared" si="47"/>
        <v>100000</v>
      </c>
      <c r="CY96" s="112">
        <f t="shared" si="114"/>
        <v>100000</v>
      </c>
      <c r="CZ96" s="112">
        <f t="shared" si="115"/>
        <v>100000</v>
      </c>
      <c r="DA96" s="112">
        <f t="shared" si="116"/>
        <v>100000</v>
      </c>
      <c r="DB96" s="112">
        <f t="shared" si="117"/>
        <v>100000</v>
      </c>
      <c r="DC96" s="112">
        <f t="shared" si="118"/>
        <v>100000</v>
      </c>
      <c r="DU96" s="112"/>
      <c r="DV96" s="112"/>
      <c r="EF96" s="253"/>
      <c r="EK96" s="254"/>
      <c r="EV96" s="253"/>
      <c r="EX96" s="253"/>
      <c r="EY96" s="238"/>
      <c r="FR96" s="254"/>
      <c r="HO96" s="263" t="str">
        <f t="shared" si="28"/>
        <v/>
      </c>
      <c r="HP96">
        <f t="shared" si="84"/>
        <v>0</v>
      </c>
      <c r="HQ96" t="str">
        <f t="shared" si="85"/>
        <v/>
      </c>
      <c r="HR96" t="str">
        <f t="shared" si="169"/>
        <v/>
      </c>
      <c r="HS96" t="str">
        <f t="shared" si="170"/>
        <v/>
      </c>
      <c r="HX96" s="253" t="s">
        <v>187</v>
      </c>
      <c r="HY96" s="112" t="e">
        <f t="shared" si="88"/>
        <v>#VALUE!</v>
      </c>
      <c r="HZ96" t="s">
        <v>188</v>
      </c>
      <c r="IA96" s="112" t="e">
        <f t="shared" si="89"/>
        <v>#VALUE!</v>
      </c>
      <c r="IB96" t="s">
        <v>189</v>
      </c>
      <c r="IC96" t="e">
        <f t="shared" si="90"/>
        <v>#VALUE!</v>
      </c>
      <c r="ID96" t="s">
        <v>192</v>
      </c>
      <c r="IE96" t="e">
        <f t="shared" si="91"/>
        <v>#VALUE!</v>
      </c>
      <c r="IF96" t="s">
        <v>191</v>
      </c>
      <c r="IG96" s="254" t="e">
        <f t="shared" si="92"/>
        <v>#VALUE!</v>
      </c>
      <c r="IL96" t="e">
        <f t="shared" si="93"/>
        <v>#VALUE!</v>
      </c>
    </row>
    <row r="97" spans="5:257" x14ac:dyDescent="0.25">
      <c r="E97" s="240" t="str">
        <f>Foglio3!F77</f>
        <v/>
      </c>
      <c r="F97" s="240" t="str">
        <f>Foglio3!G77</f>
        <v/>
      </c>
      <c r="G97" s="244"/>
      <c r="H97" s="245" t="e">
        <f t="shared" si="36"/>
        <v>#VALUE!</v>
      </c>
      <c r="I97" s="245" t="e">
        <f t="shared" si="15"/>
        <v>#VALUE!</v>
      </c>
      <c r="J97" s="244"/>
      <c r="K97" s="244"/>
      <c r="Q97" t="e">
        <f t="shared" si="16"/>
        <v>#VALUE!</v>
      </c>
      <c r="R97" t="e">
        <f t="shared" si="140"/>
        <v>#VALUE!</v>
      </c>
      <c r="S97" t="e">
        <f t="shared" si="37"/>
        <v>#VALUE!</v>
      </c>
      <c r="T97" t="e">
        <f t="shared" si="128"/>
        <v>#VALUE!</v>
      </c>
      <c r="U97" t="e">
        <f t="shared" si="129"/>
        <v>#VALUE!</v>
      </c>
      <c r="W97" t="e">
        <f t="shared" si="174"/>
        <v>#VALUE!</v>
      </c>
      <c r="X97" t="e">
        <f t="shared" si="174"/>
        <v>#VALUE!</v>
      </c>
      <c r="Y97" t="e">
        <f t="shared" si="174"/>
        <v>#VALUE!</v>
      </c>
      <c r="AA97" s="112" t="e">
        <f t="shared" si="102"/>
        <v>#VALUE!</v>
      </c>
      <c r="AB97" s="112" t="e">
        <f t="shared" si="103"/>
        <v>#VALUE!</v>
      </c>
      <c r="AG97" t="e">
        <f t="shared" si="38"/>
        <v>#VALUE!</v>
      </c>
      <c r="AH97" s="112" t="e">
        <f t="shared" si="39"/>
        <v>#VALUE!</v>
      </c>
      <c r="AI97" s="112" t="e">
        <f t="shared" si="39"/>
        <v>#VALUE!</v>
      </c>
      <c r="CX97" s="112">
        <f t="shared" si="47"/>
        <v>100000</v>
      </c>
      <c r="CY97" s="112">
        <f t="shared" si="114"/>
        <v>100000</v>
      </c>
      <c r="CZ97" s="112">
        <f t="shared" si="115"/>
        <v>100000</v>
      </c>
      <c r="DA97" s="112">
        <f t="shared" si="116"/>
        <v>100000</v>
      </c>
      <c r="DB97" s="112">
        <f t="shared" si="117"/>
        <v>100000</v>
      </c>
      <c r="DC97" s="112">
        <f t="shared" si="118"/>
        <v>100000</v>
      </c>
      <c r="DU97" s="112"/>
      <c r="DV97" s="112"/>
      <c r="EF97" s="253"/>
      <c r="EK97" s="254"/>
      <c r="EV97" s="253"/>
      <c r="EX97" s="253"/>
      <c r="EY97" s="238"/>
      <c r="FR97" s="254"/>
      <c r="HO97" s="263" t="str">
        <f>IF($GE97&gt;0,HM97,  IF(HP96=0,"",        $HS$39))</f>
        <v/>
      </c>
      <c r="HX97" s="253" t="s">
        <v>187</v>
      </c>
      <c r="HY97" s="112" t="e">
        <f t="shared" si="88"/>
        <v>#VALUE!</v>
      </c>
      <c r="HZ97" t="s">
        <v>188</v>
      </c>
      <c r="IA97" s="112" t="e">
        <f t="shared" si="89"/>
        <v>#VALUE!</v>
      </c>
      <c r="IB97" t="s">
        <v>189</v>
      </c>
      <c r="IC97" t="e">
        <f t="shared" si="90"/>
        <v>#VALUE!</v>
      </c>
      <c r="ID97" t="s">
        <v>192</v>
      </c>
      <c r="IE97" t="e">
        <f t="shared" si="91"/>
        <v>#VALUE!</v>
      </c>
      <c r="IF97" t="s">
        <v>191</v>
      </c>
      <c r="IG97" s="254" t="e">
        <f t="shared" si="92"/>
        <v>#VALUE!</v>
      </c>
      <c r="IL97" t="e">
        <f t="shared" si="93"/>
        <v>#VALUE!</v>
      </c>
    </row>
    <row r="98" spans="5:257" x14ac:dyDescent="0.25">
      <c r="E98" s="240" t="str">
        <f>Foglio3!F78</f>
        <v/>
      </c>
      <c r="F98" s="240" t="str">
        <f>Foglio3!G78</f>
        <v/>
      </c>
      <c r="G98" s="244"/>
      <c r="H98" s="245" t="e">
        <f t="shared" si="36"/>
        <v>#VALUE!</v>
      </c>
      <c r="I98" s="245" t="e">
        <f t="shared" si="15"/>
        <v>#VALUE!</v>
      </c>
      <c r="J98" s="244"/>
      <c r="K98" s="244"/>
      <c r="Q98" t="e">
        <f t="shared" si="16"/>
        <v>#VALUE!</v>
      </c>
      <c r="R98" t="e">
        <f t="shared" si="140"/>
        <v>#VALUE!</v>
      </c>
      <c r="S98" t="e">
        <f t="shared" si="37"/>
        <v>#VALUE!</v>
      </c>
      <c r="T98" t="e">
        <f t="shared" si="128"/>
        <v>#VALUE!</v>
      </c>
      <c r="U98" t="e">
        <f t="shared" si="129"/>
        <v>#VALUE!</v>
      </c>
      <c r="W98" t="e">
        <f t="shared" si="174"/>
        <v>#VALUE!</v>
      </c>
      <c r="X98" t="e">
        <f t="shared" si="174"/>
        <v>#VALUE!</v>
      </c>
      <c r="Y98" t="e">
        <f t="shared" si="174"/>
        <v>#VALUE!</v>
      </c>
      <c r="AA98" s="112" t="e">
        <f t="shared" si="102"/>
        <v>#VALUE!</v>
      </c>
      <c r="AB98" s="112" t="e">
        <f t="shared" si="103"/>
        <v>#VALUE!</v>
      </c>
      <c r="AG98" t="e">
        <f t="shared" si="38"/>
        <v>#VALUE!</v>
      </c>
      <c r="AH98" s="112" t="e">
        <f t="shared" si="39"/>
        <v>#VALUE!</v>
      </c>
      <c r="AI98" s="112" t="e">
        <f t="shared" si="39"/>
        <v>#VALUE!</v>
      </c>
      <c r="CX98" s="112">
        <f t="shared" si="47"/>
        <v>100000</v>
      </c>
      <c r="CY98" s="112">
        <f t="shared" si="114"/>
        <v>100000</v>
      </c>
      <c r="CZ98" s="112">
        <f t="shared" si="115"/>
        <v>100000</v>
      </c>
      <c r="DA98" s="112">
        <f t="shared" si="116"/>
        <v>100000</v>
      </c>
      <c r="DB98" s="112">
        <f t="shared" si="117"/>
        <v>100000</v>
      </c>
      <c r="DC98" s="112">
        <f t="shared" si="118"/>
        <v>100000</v>
      </c>
      <c r="DU98" s="112"/>
      <c r="DV98" s="112"/>
      <c r="EF98" s="253"/>
      <c r="EK98" s="254"/>
      <c r="EV98" s="253"/>
      <c r="EX98" s="253"/>
      <c r="EY98" s="238"/>
      <c r="FR98" s="254"/>
      <c r="HO98" s="263" t="str">
        <f>IF($GE98&gt;0,HM98,  IF(HP97=0,"",        $HS$39))</f>
        <v/>
      </c>
      <c r="HX98" s="253" t="s">
        <v>187</v>
      </c>
      <c r="HY98" s="112" t="e">
        <f t="shared" si="88"/>
        <v>#VALUE!</v>
      </c>
      <c r="HZ98" t="s">
        <v>188</v>
      </c>
      <c r="IA98" s="112" t="e">
        <f t="shared" si="89"/>
        <v>#VALUE!</v>
      </c>
      <c r="IB98" t="s">
        <v>189</v>
      </c>
      <c r="IC98" t="e">
        <f t="shared" si="90"/>
        <v>#VALUE!</v>
      </c>
      <c r="ID98" t="s">
        <v>192</v>
      </c>
      <c r="IE98" t="e">
        <f t="shared" si="91"/>
        <v>#VALUE!</v>
      </c>
      <c r="IF98" t="s">
        <v>191</v>
      </c>
      <c r="IG98" s="254" t="e">
        <f t="shared" si="92"/>
        <v>#VALUE!</v>
      </c>
      <c r="IL98" t="e">
        <f t="shared" si="93"/>
        <v>#VALUE!</v>
      </c>
    </row>
    <row r="99" spans="5:257" x14ac:dyDescent="0.25">
      <c r="E99" s="240" t="str">
        <f>Foglio3!F79</f>
        <v/>
      </c>
      <c r="F99" s="240" t="str">
        <f>Foglio3!G79</f>
        <v/>
      </c>
      <c r="G99" s="244"/>
      <c r="H99" s="245" t="e">
        <f t="shared" si="36"/>
        <v>#VALUE!</v>
      </c>
      <c r="I99" s="245" t="e">
        <f t="shared" si="15"/>
        <v>#VALUE!</v>
      </c>
      <c r="J99" s="244"/>
      <c r="K99" s="244"/>
      <c r="Q99" t="e">
        <f t="shared" si="16"/>
        <v>#VALUE!</v>
      </c>
      <c r="R99" t="e">
        <f t="shared" si="140"/>
        <v>#VALUE!</v>
      </c>
      <c r="S99" t="e">
        <f t="shared" si="37"/>
        <v>#VALUE!</v>
      </c>
      <c r="T99" t="e">
        <f t="shared" si="128"/>
        <v>#VALUE!</v>
      </c>
      <c r="U99" t="e">
        <f t="shared" si="129"/>
        <v>#VALUE!</v>
      </c>
      <c r="W99" t="e">
        <f t="shared" si="174"/>
        <v>#VALUE!</v>
      </c>
      <c r="X99" t="e">
        <f t="shared" si="174"/>
        <v>#VALUE!</v>
      </c>
      <c r="Y99" t="e">
        <f t="shared" si="174"/>
        <v>#VALUE!</v>
      </c>
      <c r="AA99" s="112" t="e">
        <f t="shared" si="102"/>
        <v>#VALUE!</v>
      </c>
      <c r="AB99" s="112" t="e">
        <f t="shared" si="103"/>
        <v>#VALUE!</v>
      </c>
      <c r="AG99" t="e">
        <f t="shared" si="38"/>
        <v>#VALUE!</v>
      </c>
      <c r="AH99" s="112" t="e">
        <f t="shared" si="39"/>
        <v>#VALUE!</v>
      </c>
      <c r="AI99" s="112" t="e">
        <f t="shared" si="39"/>
        <v>#VALUE!</v>
      </c>
      <c r="CX99" s="112">
        <f t="shared" si="47"/>
        <v>100000</v>
      </c>
      <c r="CY99" s="112">
        <f t="shared" si="114"/>
        <v>100000</v>
      </c>
      <c r="CZ99" s="112">
        <f t="shared" si="115"/>
        <v>100000</v>
      </c>
      <c r="DA99" s="112">
        <f t="shared" si="116"/>
        <v>100000</v>
      </c>
      <c r="DB99" s="112">
        <f t="shared" si="117"/>
        <v>100000</v>
      </c>
      <c r="DC99" s="112">
        <f t="shared" si="118"/>
        <v>100000</v>
      </c>
      <c r="DU99" s="112"/>
      <c r="DV99" s="112"/>
      <c r="EF99" s="253"/>
      <c r="EK99" s="254"/>
      <c r="EV99" s="253"/>
      <c r="EX99" s="253"/>
      <c r="EY99" s="238"/>
      <c r="FR99" s="254"/>
      <c r="HO99" s="263" t="str">
        <f>IF($GE99&gt;0,HM99,  IF(HP98=0,"",        $HS$39))</f>
        <v/>
      </c>
      <c r="HX99" s="253" t="s">
        <v>187</v>
      </c>
      <c r="HY99" s="112" t="e">
        <f t="shared" si="88"/>
        <v>#VALUE!</v>
      </c>
      <c r="HZ99" t="s">
        <v>188</v>
      </c>
      <c r="IA99" s="112" t="e">
        <f t="shared" si="89"/>
        <v>#VALUE!</v>
      </c>
      <c r="IB99" t="s">
        <v>189</v>
      </c>
      <c r="IC99" t="e">
        <f t="shared" si="90"/>
        <v>#VALUE!</v>
      </c>
      <c r="ID99" t="s">
        <v>192</v>
      </c>
      <c r="IE99" t="e">
        <f t="shared" si="91"/>
        <v>#VALUE!</v>
      </c>
      <c r="IF99" t="s">
        <v>191</v>
      </c>
      <c r="IG99" s="254" t="e">
        <f t="shared" si="92"/>
        <v>#VALUE!</v>
      </c>
      <c r="IL99" t="e">
        <f t="shared" si="93"/>
        <v>#VALUE!</v>
      </c>
    </row>
    <row r="100" spans="5:257" x14ac:dyDescent="0.25">
      <c r="E100" s="240" t="str">
        <f>Foglio3!F80</f>
        <v/>
      </c>
      <c r="F100" s="240" t="str">
        <f>Foglio3!G80</f>
        <v/>
      </c>
      <c r="G100" s="244"/>
      <c r="H100" s="245" t="e">
        <f t="shared" si="36"/>
        <v>#VALUE!</v>
      </c>
      <c r="I100" s="245" t="e">
        <f t="shared" si="15"/>
        <v>#VALUE!</v>
      </c>
      <c r="J100" s="244"/>
      <c r="K100" s="244"/>
      <c r="Q100" t="e">
        <f t="shared" si="16"/>
        <v>#VALUE!</v>
      </c>
      <c r="R100" t="e">
        <f t="shared" si="140"/>
        <v>#VALUE!</v>
      </c>
      <c r="S100" t="e">
        <f t="shared" si="37"/>
        <v>#VALUE!</v>
      </c>
      <c r="T100" t="e">
        <f t="shared" si="128"/>
        <v>#VALUE!</v>
      </c>
      <c r="U100" t="e">
        <f t="shared" si="129"/>
        <v>#VALUE!</v>
      </c>
      <c r="W100" t="e">
        <f t="shared" si="174"/>
        <v>#VALUE!</v>
      </c>
      <c r="X100" t="e">
        <f t="shared" si="174"/>
        <v>#VALUE!</v>
      </c>
      <c r="Y100" t="e">
        <f t="shared" si="174"/>
        <v>#VALUE!</v>
      </c>
      <c r="AA100" s="112" t="e">
        <f t="shared" si="102"/>
        <v>#VALUE!</v>
      </c>
      <c r="AB100" s="112" t="e">
        <f t="shared" si="103"/>
        <v>#VALUE!</v>
      </c>
      <c r="AG100" t="e">
        <f t="shared" si="38"/>
        <v>#VALUE!</v>
      </c>
      <c r="AH100" s="112" t="e">
        <f t="shared" si="39"/>
        <v>#VALUE!</v>
      </c>
      <c r="AI100" s="112" t="e">
        <f t="shared" si="39"/>
        <v>#VALUE!</v>
      </c>
      <c r="CX100" s="112">
        <f t="shared" si="47"/>
        <v>100000</v>
      </c>
      <c r="CY100" s="112">
        <f t="shared" si="114"/>
        <v>100000</v>
      </c>
      <c r="CZ100" s="112">
        <f t="shared" si="115"/>
        <v>100000</v>
      </c>
      <c r="DA100" s="112">
        <f t="shared" si="116"/>
        <v>100000</v>
      </c>
      <c r="DB100" s="112">
        <f t="shared" si="117"/>
        <v>100000</v>
      </c>
      <c r="DC100" s="112">
        <f t="shared" si="118"/>
        <v>100000</v>
      </c>
      <c r="DU100" s="112"/>
      <c r="DV100" s="112"/>
      <c r="EF100" s="253"/>
      <c r="EK100" s="254"/>
      <c r="EV100" s="253"/>
      <c r="EX100" s="253"/>
      <c r="EY100" s="238"/>
      <c r="FR100" s="254"/>
      <c r="HO100" s="263" t="str">
        <f>IF($GE100&gt;0,HM100,  IF(HP99=0,"",        $HS$39))</f>
        <v/>
      </c>
      <c r="HX100" s="253" t="s">
        <v>187</v>
      </c>
      <c r="HY100" s="112" t="e">
        <f t="shared" si="88"/>
        <v>#VALUE!</v>
      </c>
      <c r="HZ100" t="s">
        <v>188</v>
      </c>
      <c r="IA100" s="112" t="e">
        <f t="shared" si="89"/>
        <v>#VALUE!</v>
      </c>
      <c r="IB100" t="s">
        <v>189</v>
      </c>
      <c r="IC100" t="e">
        <f t="shared" si="90"/>
        <v>#VALUE!</v>
      </c>
      <c r="ID100" t="s">
        <v>192</v>
      </c>
      <c r="IE100" t="e">
        <f t="shared" si="91"/>
        <v>#VALUE!</v>
      </c>
      <c r="IF100" t="s">
        <v>191</v>
      </c>
      <c r="IG100" s="254" t="e">
        <f t="shared" si="92"/>
        <v>#VALUE!</v>
      </c>
      <c r="IL100" t="e">
        <f t="shared" si="93"/>
        <v>#VALUE!</v>
      </c>
      <c r="IW100" t="e">
        <f>CONCATENATE(IL100,IL101,IL102,IL103,IL104,IL105,IL106,IL107,IL108,IL109,IL110,IL111,IL112,IL113,IL114,I605,IL116,IL117,IL118,IL119,)</f>
        <v>#VALUE!</v>
      </c>
    </row>
    <row r="101" spans="5:257" x14ac:dyDescent="0.25">
      <c r="E101" s="240" t="str">
        <f>Foglio3!F81</f>
        <v/>
      </c>
      <c r="F101" s="240" t="str">
        <f>Foglio3!G81</f>
        <v/>
      </c>
      <c r="G101" s="244"/>
      <c r="H101" s="245" t="e">
        <f t="shared" si="36"/>
        <v>#VALUE!</v>
      </c>
      <c r="I101" s="245" t="e">
        <f t="shared" si="15"/>
        <v>#VALUE!</v>
      </c>
      <c r="J101" s="244"/>
      <c r="K101" s="244"/>
      <c r="Q101" t="e">
        <f t="shared" si="16"/>
        <v>#VALUE!</v>
      </c>
      <c r="R101" t="e">
        <f t="shared" si="140"/>
        <v>#VALUE!</v>
      </c>
      <c r="S101" t="e">
        <f t="shared" si="37"/>
        <v>#VALUE!</v>
      </c>
      <c r="T101" t="e">
        <f t="shared" si="128"/>
        <v>#VALUE!</v>
      </c>
      <c r="U101" t="e">
        <f t="shared" si="129"/>
        <v>#VALUE!</v>
      </c>
      <c r="W101" t="e">
        <f t="shared" si="174"/>
        <v>#VALUE!</v>
      </c>
      <c r="X101" t="e">
        <f t="shared" si="174"/>
        <v>#VALUE!</v>
      </c>
      <c r="Y101" t="e">
        <f t="shared" si="174"/>
        <v>#VALUE!</v>
      </c>
      <c r="AA101" s="112" t="e">
        <f t="shared" si="102"/>
        <v>#VALUE!</v>
      </c>
      <c r="AB101" s="112" t="e">
        <f t="shared" si="103"/>
        <v>#VALUE!</v>
      </c>
      <c r="AG101" t="e">
        <f t="shared" si="38"/>
        <v>#VALUE!</v>
      </c>
      <c r="AH101" s="112" t="e">
        <f t="shared" si="39"/>
        <v>#VALUE!</v>
      </c>
      <c r="AI101" s="112" t="e">
        <f t="shared" si="39"/>
        <v>#VALUE!</v>
      </c>
      <c r="CX101" s="112">
        <f t="shared" si="47"/>
        <v>100000</v>
      </c>
      <c r="CY101" s="112">
        <f t="shared" si="114"/>
        <v>100000</v>
      </c>
      <c r="CZ101" s="112">
        <f t="shared" si="115"/>
        <v>100000</v>
      </c>
      <c r="DA101" s="112">
        <f t="shared" si="116"/>
        <v>100000</v>
      </c>
      <c r="DB101" s="112">
        <f t="shared" si="117"/>
        <v>100000</v>
      </c>
      <c r="DC101" s="112">
        <f t="shared" si="118"/>
        <v>100000</v>
      </c>
      <c r="DU101" s="112"/>
      <c r="DV101" s="112"/>
      <c r="EF101" s="253"/>
      <c r="EK101" s="254"/>
      <c r="EV101" s="253"/>
      <c r="EX101" s="253"/>
      <c r="EY101" s="238"/>
      <c r="FR101" s="254"/>
      <c r="HO101" s="263" t="str">
        <f>IF($GE101&gt;0,HM101,  IF(HP100=0,"",        $HS$39))</f>
        <v/>
      </c>
      <c r="HX101" s="253" t="s">
        <v>187</v>
      </c>
      <c r="HY101" s="112" t="e">
        <f t="shared" si="88"/>
        <v>#VALUE!</v>
      </c>
      <c r="HZ101" t="s">
        <v>188</v>
      </c>
      <c r="IA101" s="112" t="e">
        <f t="shared" si="89"/>
        <v>#VALUE!</v>
      </c>
      <c r="IB101" t="s">
        <v>189</v>
      </c>
      <c r="IC101" t="e">
        <f t="shared" si="90"/>
        <v>#VALUE!</v>
      </c>
      <c r="ID101" t="s">
        <v>192</v>
      </c>
      <c r="IE101" t="e">
        <f t="shared" si="91"/>
        <v>#VALUE!</v>
      </c>
      <c r="IF101" t="s">
        <v>191</v>
      </c>
      <c r="IG101" s="254" t="e">
        <f t="shared" si="92"/>
        <v>#VALUE!</v>
      </c>
      <c r="IL101" t="e">
        <f t="shared" si="93"/>
        <v>#VALUE!</v>
      </c>
    </row>
    <row r="102" spans="5:257" x14ac:dyDescent="0.25">
      <c r="E102" s="240" t="str">
        <f>Foglio3!F82</f>
        <v/>
      </c>
      <c r="F102" s="240" t="str">
        <f>Foglio3!G82</f>
        <v/>
      </c>
      <c r="G102" s="244"/>
      <c r="H102" s="245" t="e">
        <f t="shared" si="36"/>
        <v>#VALUE!</v>
      </c>
      <c r="I102" s="245" t="e">
        <f t="shared" si="15"/>
        <v>#VALUE!</v>
      </c>
      <c r="J102" s="244"/>
      <c r="K102" s="244"/>
      <c r="Q102" t="e">
        <f t="shared" si="16"/>
        <v>#VALUE!</v>
      </c>
      <c r="R102" t="e">
        <f t="shared" si="140"/>
        <v>#VALUE!</v>
      </c>
      <c r="S102" t="e">
        <f t="shared" si="37"/>
        <v>#VALUE!</v>
      </c>
      <c r="T102" t="e">
        <f t="shared" si="128"/>
        <v>#VALUE!</v>
      </c>
      <c r="U102" t="e">
        <f t="shared" si="129"/>
        <v>#VALUE!</v>
      </c>
      <c r="W102" t="e">
        <f t="shared" si="174"/>
        <v>#VALUE!</v>
      </c>
      <c r="X102" t="e">
        <f t="shared" si="174"/>
        <v>#VALUE!</v>
      </c>
      <c r="Y102" t="e">
        <f t="shared" si="174"/>
        <v>#VALUE!</v>
      </c>
      <c r="AA102" s="112" t="e">
        <f t="shared" si="102"/>
        <v>#VALUE!</v>
      </c>
      <c r="AB102" s="112" t="e">
        <f t="shared" si="103"/>
        <v>#VALUE!</v>
      </c>
      <c r="AG102" t="e">
        <f t="shared" si="38"/>
        <v>#VALUE!</v>
      </c>
      <c r="AH102" s="112" t="e">
        <f t="shared" si="39"/>
        <v>#VALUE!</v>
      </c>
      <c r="AI102" s="112" t="e">
        <f t="shared" si="39"/>
        <v>#VALUE!</v>
      </c>
      <c r="CX102" s="112">
        <f t="shared" si="47"/>
        <v>100000</v>
      </c>
      <c r="CY102" s="112">
        <f t="shared" si="114"/>
        <v>100000</v>
      </c>
      <c r="CZ102" s="112">
        <f t="shared" si="115"/>
        <v>100000</v>
      </c>
      <c r="DA102" s="112">
        <f t="shared" si="116"/>
        <v>100000</v>
      </c>
      <c r="DB102" s="112">
        <f t="shared" si="117"/>
        <v>100000</v>
      </c>
      <c r="DC102" s="112">
        <f t="shared" si="118"/>
        <v>100000</v>
      </c>
      <c r="DU102" s="112"/>
      <c r="DV102" s="112"/>
      <c r="EF102" s="253"/>
      <c r="EK102" s="254"/>
      <c r="EV102" s="253"/>
      <c r="EX102" s="253"/>
      <c r="EY102" s="238"/>
      <c r="FR102" s="254"/>
      <c r="HX102" s="253" t="s">
        <v>187</v>
      </c>
      <c r="HY102" s="112" t="e">
        <f t="shared" si="88"/>
        <v>#VALUE!</v>
      </c>
      <c r="HZ102" t="s">
        <v>188</v>
      </c>
      <c r="IA102" s="112" t="e">
        <f t="shared" si="89"/>
        <v>#VALUE!</v>
      </c>
      <c r="IB102" t="s">
        <v>189</v>
      </c>
      <c r="IC102" t="e">
        <f t="shared" si="90"/>
        <v>#VALUE!</v>
      </c>
      <c r="ID102" t="s">
        <v>192</v>
      </c>
      <c r="IE102" t="e">
        <f t="shared" si="91"/>
        <v>#VALUE!</v>
      </c>
      <c r="IF102" t="s">
        <v>191</v>
      </c>
      <c r="IG102" s="254" t="e">
        <f t="shared" si="92"/>
        <v>#VALUE!</v>
      </c>
      <c r="IL102" t="e">
        <f t="shared" si="93"/>
        <v>#VALUE!</v>
      </c>
    </row>
    <row r="103" spans="5:257" x14ac:dyDescent="0.25">
      <c r="E103" s="240" t="str">
        <f>Foglio3!F83</f>
        <v/>
      </c>
      <c r="F103" s="240" t="str">
        <f>Foglio3!G83</f>
        <v/>
      </c>
      <c r="G103" s="244"/>
      <c r="H103" s="245" t="e">
        <f t="shared" si="36"/>
        <v>#VALUE!</v>
      </c>
      <c r="I103" s="245" t="e">
        <f t="shared" si="15"/>
        <v>#VALUE!</v>
      </c>
      <c r="J103" s="244"/>
      <c r="K103" s="244"/>
      <c r="Q103" t="e">
        <f t="shared" si="16"/>
        <v>#VALUE!</v>
      </c>
      <c r="R103" t="e">
        <f t="shared" si="140"/>
        <v>#VALUE!</v>
      </c>
      <c r="S103" t="e">
        <f t="shared" si="37"/>
        <v>#VALUE!</v>
      </c>
      <c r="T103" t="e">
        <f t="shared" si="128"/>
        <v>#VALUE!</v>
      </c>
      <c r="U103" t="e">
        <f t="shared" si="129"/>
        <v>#VALUE!</v>
      </c>
      <c r="W103" t="e">
        <f t="shared" si="174"/>
        <v>#VALUE!</v>
      </c>
      <c r="X103" t="e">
        <f t="shared" si="174"/>
        <v>#VALUE!</v>
      </c>
      <c r="Y103" t="e">
        <f t="shared" si="174"/>
        <v>#VALUE!</v>
      </c>
      <c r="AA103" s="112" t="e">
        <f t="shared" si="102"/>
        <v>#VALUE!</v>
      </c>
      <c r="AB103" s="112" t="e">
        <f t="shared" si="103"/>
        <v>#VALUE!</v>
      </c>
      <c r="AG103" t="e">
        <f t="shared" si="38"/>
        <v>#VALUE!</v>
      </c>
      <c r="AH103" s="112" t="e">
        <f t="shared" si="39"/>
        <v>#VALUE!</v>
      </c>
      <c r="AI103" s="112" t="e">
        <f t="shared" si="39"/>
        <v>#VALUE!</v>
      </c>
      <c r="CX103" s="112">
        <f t="shared" si="47"/>
        <v>100000</v>
      </c>
      <c r="CY103" s="112">
        <f t="shared" si="114"/>
        <v>100000</v>
      </c>
      <c r="CZ103" s="112">
        <f t="shared" si="115"/>
        <v>100000</v>
      </c>
      <c r="DA103" s="112">
        <f t="shared" si="116"/>
        <v>100000</v>
      </c>
      <c r="DB103" s="112">
        <f t="shared" si="117"/>
        <v>100000</v>
      </c>
      <c r="DC103" s="112">
        <f t="shared" si="118"/>
        <v>100000</v>
      </c>
      <c r="DU103" s="112"/>
      <c r="DV103" s="112"/>
      <c r="EF103" s="253"/>
      <c r="EK103" s="254"/>
      <c r="EV103" s="253"/>
      <c r="EX103" s="253"/>
      <c r="EY103" s="238"/>
      <c r="FR103" s="254"/>
      <c r="HX103" s="253" t="s">
        <v>187</v>
      </c>
      <c r="HY103" s="112" t="e">
        <f t="shared" si="88"/>
        <v>#VALUE!</v>
      </c>
      <c r="HZ103" t="s">
        <v>188</v>
      </c>
      <c r="IA103" s="112" t="e">
        <f t="shared" si="89"/>
        <v>#VALUE!</v>
      </c>
      <c r="IB103" t="s">
        <v>189</v>
      </c>
      <c r="IC103" t="e">
        <f t="shared" si="90"/>
        <v>#VALUE!</v>
      </c>
      <c r="ID103" t="s">
        <v>192</v>
      </c>
      <c r="IE103" t="e">
        <f t="shared" si="91"/>
        <v>#VALUE!</v>
      </c>
      <c r="IF103" t="s">
        <v>191</v>
      </c>
      <c r="IG103" s="254" t="e">
        <f t="shared" si="92"/>
        <v>#VALUE!</v>
      </c>
      <c r="IL103" t="e">
        <f t="shared" si="93"/>
        <v>#VALUE!</v>
      </c>
    </row>
    <row r="104" spans="5:257" x14ac:dyDescent="0.25">
      <c r="E104" s="240" t="str">
        <f>Foglio3!F84</f>
        <v/>
      </c>
      <c r="F104" s="240" t="str">
        <f>Foglio3!G84</f>
        <v/>
      </c>
      <c r="G104" s="244"/>
      <c r="H104" s="245" t="e">
        <f t="shared" si="36"/>
        <v>#VALUE!</v>
      </c>
      <c r="I104" s="245" t="e">
        <f t="shared" si="36"/>
        <v>#VALUE!</v>
      </c>
      <c r="J104" s="244"/>
      <c r="K104" s="244"/>
      <c r="Q104" t="e">
        <f t="shared" ref="Q104:Q131" si="175">I104-H104+1</f>
        <v>#VALUE!</v>
      </c>
      <c r="R104" t="e">
        <f t="shared" si="140"/>
        <v>#VALUE!</v>
      </c>
      <c r="S104" t="e">
        <f t="shared" si="37"/>
        <v>#VALUE!</v>
      </c>
      <c r="T104" t="e">
        <f t="shared" si="128"/>
        <v>#VALUE!</v>
      </c>
      <c r="U104" t="e">
        <f t="shared" si="129"/>
        <v>#VALUE!</v>
      </c>
      <c r="W104" t="e">
        <f t="shared" si="174"/>
        <v>#VALUE!</v>
      </c>
      <c r="X104" t="e">
        <f t="shared" si="174"/>
        <v>#VALUE!</v>
      </c>
      <c r="Y104" t="e">
        <f t="shared" si="174"/>
        <v>#VALUE!</v>
      </c>
      <c r="AA104" s="112" t="e">
        <f t="shared" si="102"/>
        <v>#VALUE!</v>
      </c>
      <c r="AB104" s="112" t="e">
        <f t="shared" si="103"/>
        <v>#VALUE!</v>
      </c>
      <c r="AG104" t="e">
        <f t="shared" si="38"/>
        <v>#VALUE!</v>
      </c>
      <c r="AH104" s="112" t="e">
        <f t="shared" si="39"/>
        <v>#VALUE!</v>
      </c>
      <c r="AI104" s="112" t="e">
        <f t="shared" si="39"/>
        <v>#VALUE!</v>
      </c>
      <c r="CX104" s="112">
        <f t="shared" si="47"/>
        <v>100000</v>
      </c>
      <c r="CY104" s="112">
        <f t="shared" si="114"/>
        <v>100000</v>
      </c>
      <c r="CZ104" s="112">
        <f t="shared" si="115"/>
        <v>100000</v>
      </c>
      <c r="DA104" s="112">
        <f t="shared" si="116"/>
        <v>100000</v>
      </c>
      <c r="DB104" s="112">
        <f t="shared" si="117"/>
        <v>100000</v>
      </c>
      <c r="DC104" s="112">
        <f t="shared" si="118"/>
        <v>100000</v>
      </c>
      <c r="DU104" s="112"/>
      <c r="DV104" s="112"/>
      <c r="EF104" s="253"/>
      <c r="EK104" s="254"/>
      <c r="EV104" s="253"/>
      <c r="EX104" s="253"/>
      <c r="EY104" s="238"/>
      <c r="FR104" s="254"/>
      <c r="HX104" s="253" t="s">
        <v>187</v>
      </c>
      <c r="HY104" s="112" t="e">
        <f t="shared" si="88"/>
        <v>#VALUE!</v>
      </c>
      <c r="HZ104" t="s">
        <v>188</v>
      </c>
      <c r="IA104" s="112" t="e">
        <f t="shared" si="89"/>
        <v>#VALUE!</v>
      </c>
      <c r="IB104" t="s">
        <v>189</v>
      </c>
      <c r="IC104" t="e">
        <f t="shared" si="90"/>
        <v>#VALUE!</v>
      </c>
      <c r="ID104" t="s">
        <v>192</v>
      </c>
      <c r="IE104" t="e">
        <f t="shared" si="91"/>
        <v>#VALUE!</v>
      </c>
      <c r="IF104" t="s">
        <v>191</v>
      </c>
      <c r="IG104" s="254" t="e">
        <f t="shared" si="92"/>
        <v>#VALUE!</v>
      </c>
      <c r="IL104" t="e">
        <f t="shared" si="93"/>
        <v>#VALUE!</v>
      </c>
    </row>
    <row r="105" spans="5:257" x14ac:dyDescent="0.25">
      <c r="E105" s="240" t="str">
        <f>Foglio3!F85</f>
        <v/>
      </c>
      <c r="F105" s="240" t="str">
        <f>Foglio3!G85</f>
        <v/>
      </c>
      <c r="G105" s="244"/>
      <c r="H105" s="245" t="e">
        <f t="shared" ref="H105:I131" si="176">AH105</f>
        <v>#VALUE!</v>
      </c>
      <c r="I105" s="245" t="e">
        <f t="shared" si="176"/>
        <v>#VALUE!</v>
      </c>
      <c r="J105" s="244"/>
      <c r="K105" s="244"/>
      <c r="Q105" t="e">
        <f t="shared" si="175"/>
        <v>#VALUE!</v>
      </c>
      <c r="R105" t="e">
        <f t="shared" si="140"/>
        <v>#VALUE!</v>
      </c>
      <c r="S105" t="e">
        <f t="shared" ref="S105:S131" si="177">INT(R105/365)</f>
        <v>#VALUE!</v>
      </c>
      <c r="T105" t="e">
        <f t="shared" si="128"/>
        <v>#VALUE!</v>
      </c>
      <c r="U105" t="e">
        <f t="shared" si="129"/>
        <v>#VALUE!</v>
      </c>
      <c r="W105" t="e">
        <f t="shared" si="174"/>
        <v>#VALUE!</v>
      </c>
      <c r="X105" t="e">
        <f t="shared" si="174"/>
        <v>#VALUE!</v>
      </c>
      <c r="Y105" t="e">
        <f t="shared" si="174"/>
        <v>#VALUE!</v>
      </c>
      <c r="AA105" s="112" t="e">
        <f t="shared" si="102"/>
        <v>#VALUE!</v>
      </c>
      <c r="AB105" s="112" t="e">
        <f t="shared" si="103"/>
        <v>#VALUE!</v>
      </c>
      <c r="AG105" t="e">
        <f t="shared" ref="AG105:AG119" si="178">IF(AI105&lt;AH105,0,1)</f>
        <v>#VALUE!</v>
      </c>
      <c r="AH105" s="112" t="e">
        <f t="shared" ref="AH105:AI119" si="179">AA105*1</f>
        <v>#VALUE!</v>
      </c>
      <c r="AI105" s="112" t="e">
        <f t="shared" si="179"/>
        <v>#VALUE!</v>
      </c>
      <c r="CX105" s="112">
        <f t="shared" ref="CX105:CX113" si="180">IF(                    AND( CT105&gt;=$CQ$39,CT104&lt;=$CQ$39   ),CV105-(CT105-$CQ$39),100000)</f>
        <v>100000</v>
      </c>
      <c r="CY105" s="112">
        <f t="shared" si="114"/>
        <v>100000</v>
      </c>
      <c r="CZ105" s="112">
        <f t="shared" si="115"/>
        <v>100000</v>
      </c>
      <c r="DA105" s="112">
        <f t="shared" si="116"/>
        <v>100000</v>
      </c>
      <c r="DB105" s="112">
        <f t="shared" si="117"/>
        <v>100000</v>
      </c>
      <c r="DC105" s="112">
        <f t="shared" si="118"/>
        <v>100000</v>
      </c>
      <c r="DU105" s="112"/>
      <c r="DV105" s="112"/>
      <c r="EF105" s="253"/>
      <c r="EK105" s="254"/>
      <c r="EV105" s="253"/>
      <c r="EX105" s="253"/>
      <c r="EY105" s="238"/>
      <c r="FR105" s="254"/>
      <c r="HX105" s="253" t="s">
        <v>187</v>
      </c>
      <c r="HY105" s="112" t="e">
        <f t="shared" ref="HY105:HY168" si="181">CONCATENATE(DAY(E105),"/",MONTH(E105),"/",YEAR(E105))</f>
        <v>#VALUE!</v>
      </c>
      <c r="HZ105" t="s">
        <v>188</v>
      </c>
      <c r="IA105" s="112" t="e">
        <f t="shared" ref="IA105:IA168" si="182">CONCATENATE(DAY(F105),"/",MONTH(F105),"/",YEAR(F105))</f>
        <v>#VALUE!</v>
      </c>
      <c r="IB105" t="s">
        <v>189</v>
      </c>
      <c r="IC105" t="e">
        <f t="shared" ref="IC105:IC168" si="183">S105</f>
        <v>#VALUE!</v>
      </c>
      <c r="ID105" t="s">
        <v>192</v>
      </c>
      <c r="IE105" t="e">
        <f t="shared" ref="IE105:IE168" si="184">T105</f>
        <v>#VALUE!</v>
      </c>
      <c r="IF105" t="s">
        <v>191</v>
      </c>
      <c r="IG105" s="254" t="e">
        <f t="shared" ref="IG105:IG168" si="185">U105</f>
        <v>#VALUE!</v>
      </c>
      <c r="IL105" t="e">
        <f t="shared" ref="IL105:IL168" si="186">IF(E105&gt;0,CONCATENATE(HX105,HY105,HZ105,IA105,IB105,IC105,ID105,IE105,IF105,IG105,"
"),"")</f>
        <v>#VALUE!</v>
      </c>
    </row>
    <row r="106" spans="5:257" x14ac:dyDescent="0.25">
      <c r="E106" s="240" t="str">
        <f>Foglio3!F86</f>
        <v/>
      </c>
      <c r="F106" s="240" t="str">
        <f>Foglio3!G86</f>
        <v/>
      </c>
      <c r="G106" s="244"/>
      <c r="H106" s="245" t="e">
        <f t="shared" si="176"/>
        <v>#VALUE!</v>
      </c>
      <c r="I106" s="245" t="e">
        <f t="shared" si="176"/>
        <v>#VALUE!</v>
      </c>
      <c r="J106" s="244"/>
      <c r="K106" s="244"/>
      <c r="Q106" t="e">
        <f t="shared" si="175"/>
        <v>#VALUE!</v>
      </c>
      <c r="R106" t="e">
        <f t="shared" si="140"/>
        <v>#VALUE!</v>
      </c>
      <c r="S106" t="e">
        <f t="shared" si="177"/>
        <v>#VALUE!</v>
      </c>
      <c r="T106" t="e">
        <f t="shared" si="128"/>
        <v>#VALUE!</v>
      </c>
      <c r="U106" t="e">
        <f t="shared" si="129"/>
        <v>#VALUE!</v>
      </c>
      <c r="W106" t="e">
        <f t="shared" si="174"/>
        <v>#VALUE!</v>
      </c>
      <c r="X106" t="e">
        <f t="shared" si="174"/>
        <v>#VALUE!</v>
      </c>
      <c r="Y106" t="e">
        <f t="shared" si="174"/>
        <v>#VALUE!</v>
      </c>
      <c r="AA106" s="112" t="e">
        <f t="shared" ref="AA106:AA119" si="187">IF(AND(YEAR(E106)=$CG$38,YEAR(F106)&gt;$CG$38),"01/01/2014",E106)</f>
        <v>#VALUE!</v>
      </c>
      <c r="AB106" s="112" t="e">
        <f t="shared" ref="AB106:AB119" si="188">IF(YEAR(F106)=$CG$38,"31/12/12"*1,F106)</f>
        <v>#VALUE!</v>
      </c>
      <c r="AG106" t="e">
        <f t="shared" si="178"/>
        <v>#VALUE!</v>
      </c>
      <c r="AH106" s="112" t="e">
        <f t="shared" si="179"/>
        <v>#VALUE!</v>
      </c>
      <c r="AI106" s="112" t="e">
        <f t="shared" si="179"/>
        <v>#VALUE!</v>
      </c>
      <c r="CX106" s="112">
        <f t="shared" si="180"/>
        <v>100000</v>
      </c>
      <c r="CY106" s="112">
        <f t="shared" ref="CY106:CY117" si="189">IF(                    AND( CT106&gt;=$CQ$40,CT105&lt;=$CQ$40   ),CV106-(CT106-$CQ$40),100000)</f>
        <v>100000</v>
      </c>
      <c r="CZ106" s="112">
        <f t="shared" ref="CZ106:CZ117" si="190">IF(                    AND( CT106&gt;=$CQ$41,CT105&lt;=$CQ$41   ),CV106-(CT106-$CQ$41),100000)</f>
        <v>100000</v>
      </c>
      <c r="DA106" s="112">
        <f t="shared" ref="DA106:DA117" si="191">IF(                    AND( CT106&gt;=$CQ$42,CT105&lt;=$CQ$42   ),CV106-(CT106-$CQ$42),100000)</f>
        <v>100000</v>
      </c>
      <c r="DB106" s="112">
        <f t="shared" ref="DB106:DB117" si="192">IF(                    AND( CT106&gt;=$CQ$43,CT105&lt;=$CQ$43  ),CV106-(CT106-$CQ$43),100000)</f>
        <v>100000</v>
      </c>
      <c r="DC106" s="112">
        <f t="shared" ref="DC106:DC117" si="193">IF(                    AND( CT106&gt;=$CQ$43,CT105&lt;=$CQ$43   ),CV106-(CT106-$CQ$43),100000)</f>
        <v>100000</v>
      </c>
      <c r="DU106" s="112"/>
      <c r="DV106" s="112"/>
      <c r="EF106" s="253"/>
      <c r="EK106" s="254"/>
      <c r="EV106" s="253"/>
      <c r="EX106" s="253"/>
      <c r="EY106" s="238"/>
      <c r="FR106" s="254"/>
      <c r="HX106" s="253" t="s">
        <v>187</v>
      </c>
      <c r="HY106" s="112" t="e">
        <f t="shared" si="181"/>
        <v>#VALUE!</v>
      </c>
      <c r="HZ106" t="s">
        <v>188</v>
      </c>
      <c r="IA106" s="112" t="e">
        <f t="shared" si="182"/>
        <v>#VALUE!</v>
      </c>
      <c r="IB106" t="s">
        <v>189</v>
      </c>
      <c r="IC106" t="e">
        <f t="shared" si="183"/>
        <v>#VALUE!</v>
      </c>
      <c r="ID106" t="s">
        <v>192</v>
      </c>
      <c r="IE106" t="e">
        <f t="shared" si="184"/>
        <v>#VALUE!</v>
      </c>
      <c r="IF106" t="s">
        <v>191</v>
      </c>
      <c r="IG106" s="254" t="e">
        <f t="shared" si="185"/>
        <v>#VALUE!</v>
      </c>
      <c r="IL106" t="e">
        <f t="shared" si="186"/>
        <v>#VALUE!</v>
      </c>
    </row>
    <row r="107" spans="5:257" x14ac:dyDescent="0.25">
      <c r="E107" s="240" t="str">
        <f>Foglio3!F87</f>
        <v/>
      </c>
      <c r="F107" s="240" t="str">
        <f>Foglio3!G87</f>
        <v/>
      </c>
      <c r="G107" s="244"/>
      <c r="H107" s="245" t="e">
        <f t="shared" si="176"/>
        <v>#VALUE!</v>
      </c>
      <c r="I107" s="245" t="e">
        <f t="shared" si="176"/>
        <v>#VALUE!</v>
      </c>
      <c r="J107" s="244"/>
      <c r="K107" s="244"/>
      <c r="Q107" t="e">
        <f t="shared" si="175"/>
        <v>#VALUE!</v>
      </c>
      <c r="R107" t="e">
        <f t="shared" si="140"/>
        <v>#VALUE!</v>
      </c>
      <c r="S107" t="e">
        <f t="shared" si="177"/>
        <v>#VALUE!</v>
      </c>
      <c r="T107" t="e">
        <f t="shared" ref="T107:T131" si="194">INT( (R107-(S107*365))/30)</f>
        <v>#VALUE!</v>
      </c>
      <c r="U107" t="e">
        <f t="shared" ref="U107:U131" si="195">R107- ((S107*365)+T107*30)</f>
        <v>#VALUE!</v>
      </c>
      <c r="W107" t="e">
        <f t="shared" ref="W107:Y122" si="196">S107+W106</f>
        <v>#VALUE!</v>
      </c>
      <c r="X107" t="e">
        <f t="shared" si="196"/>
        <v>#VALUE!</v>
      </c>
      <c r="Y107" t="e">
        <f t="shared" si="196"/>
        <v>#VALUE!</v>
      </c>
      <c r="AA107" s="112" t="e">
        <f t="shared" si="187"/>
        <v>#VALUE!</v>
      </c>
      <c r="AB107" s="112" t="e">
        <f t="shared" si="188"/>
        <v>#VALUE!</v>
      </c>
      <c r="AG107" t="e">
        <f t="shared" si="178"/>
        <v>#VALUE!</v>
      </c>
      <c r="AH107" s="112" t="e">
        <f t="shared" si="179"/>
        <v>#VALUE!</v>
      </c>
      <c r="AI107" s="112" t="e">
        <f t="shared" si="179"/>
        <v>#VALUE!</v>
      </c>
      <c r="CX107" s="112">
        <f t="shared" si="180"/>
        <v>100000</v>
      </c>
      <c r="CY107" s="112">
        <f t="shared" si="189"/>
        <v>100000</v>
      </c>
      <c r="CZ107" s="112">
        <f t="shared" si="190"/>
        <v>100000</v>
      </c>
      <c r="DA107" s="112">
        <f t="shared" si="191"/>
        <v>100000</v>
      </c>
      <c r="DB107" s="112">
        <f t="shared" si="192"/>
        <v>100000</v>
      </c>
      <c r="DC107" s="112">
        <f t="shared" si="193"/>
        <v>100000</v>
      </c>
      <c r="DU107" s="112"/>
      <c r="DV107" s="112"/>
      <c r="EF107" s="253"/>
      <c r="EK107" s="254"/>
      <c r="EV107" s="253"/>
      <c r="EX107" s="253"/>
      <c r="EY107" s="238"/>
      <c r="FR107" s="254"/>
      <c r="HX107" s="253" t="s">
        <v>187</v>
      </c>
      <c r="HY107" s="112" t="e">
        <f t="shared" si="181"/>
        <v>#VALUE!</v>
      </c>
      <c r="HZ107" t="s">
        <v>188</v>
      </c>
      <c r="IA107" s="112" t="e">
        <f t="shared" si="182"/>
        <v>#VALUE!</v>
      </c>
      <c r="IB107" t="s">
        <v>189</v>
      </c>
      <c r="IC107" t="e">
        <f t="shared" si="183"/>
        <v>#VALUE!</v>
      </c>
      <c r="ID107" t="s">
        <v>192</v>
      </c>
      <c r="IE107" t="e">
        <f t="shared" si="184"/>
        <v>#VALUE!</v>
      </c>
      <c r="IF107" t="s">
        <v>191</v>
      </c>
      <c r="IG107" s="254" t="e">
        <f t="shared" si="185"/>
        <v>#VALUE!</v>
      </c>
      <c r="IL107" t="e">
        <f t="shared" si="186"/>
        <v>#VALUE!</v>
      </c>
    </row>
    <row r="108" spans="5:257" x14ac:dyDescent="0.25">
      <c r="E108" s="240" t="str">
        <f>Foglio3!F88</f>
        <v/>
      </c>
      <c r="F108" s="240" t="str">
        <f>Foglio3!G88</f>
        <v/>
      </c>
      <c r="G108" s="244"/>
      <c r="H108" s="245" t="e">
        <f t="shared" si="176"/>
        <v>#VALUE!</v>
      </c>
      <c r="I108" s="245" t="e">
        <f t="shared" si="176"/>
        <v>#VALUE!</v>
      </c>
      <c r="J108" s="244"/>
      <c r="K108" s="244"/>
      <c r="Q108" t="e">
        <f t="shared" si="175"/>
        <v>#VALUE!</v>
      </c>
      <c r="R108" t="e">
        <f t="shared" ref="R108:R131" si="197">IF(Q108&lt;0,0,Q108-BV108*AG108)</f>
        <v>#VALUE!</v>
      </c>
      <c r="S108" t="e">
        <f t="shared" si="177"/>
        <v>#VALUE!</v>
      </c>
      <c r="T108" t="e">
        <f t="shared" si="194"/>
        <v>#VALUE!</v>
      </c>
      <c r="U108" t="e">
        <f t="shared" si="195"/>
        <v>#VALUE!</v>
      </c>
      <c r="W108" t="e">
        <f t="shared" si="196"/>
        <v>#VALUE!</v>
      </c>
      <c r="X108" t="e">
        <f t="shared" si="196"/>
        <v>#VALUE!</v>
      </c>
      <c r="Y108" t="e">
        <f t="shared" si="196"/>
        <v>#VALUE!</v>
      </c>
      <c r="AA108" s="112" t="e">
        <f t="shared" si="187"/>
        <v>#VALUE!</v>
      </c>
      <c r="AB108" s="112" t="e">
        <f t="shared" si="188"/>
        <v>#VALUE!</v>
      </c>
      <c r="AG108" t="e">
        <f t="shared" si="178"/>
        <v>#VALUE!</v>
      </c>
      <c r="AH108" s="112" t="e">
        <f t="shared" si="179"/>
        <v>#VALUE!</v>
      </c>
      <c r="AI108" s="112" t="e">
        <f t="shared" si="179"/>
        <v>#VALUE!</v>
      </c>
      <c r="CX108" s="112">
        <f t="shared" si="180"/>
        <v>100000</v>
      </c>
      <c r="CY108" s="112">
        <f t="shared" si="189"/>
        <v>100000</v>
      </c>
      <c r="CZ108" s="112">
        <f t="shared" si="190"/>
        <v>100000</v>
      </c>
      <c r="DA108" s="112">
        <f t="shared" si="191"/>
        <v>100000</v>
      </c>
      <c r="DB108" s="112">
        <f t="shared" si="192"/>
        <v>100000</v>
      </c>
      <c r="DC108" s="112">
        <f t="shared" si="193"/>
        <v>100000</v>
      </c>
      <c r="DU108" s="112"/>
      <c r="DV108" s="112"/>
      <c r="EF108" s="253"/>
      <c r="EK108" s="254"/>
      <c r="EV108" s="253"/>
      <c r="EX108" s="253"/>
      <c r="EY108" s="238"/>
      <c r="FR108" s="254"/>
      <c r="HX108" s="253" t="s">
        <v>187</v>
      </c>
      <c r="HY108" s="112" t="e">
        <f t="shared" si="181"/>
        <v>#VALUE!</v>
      </c>
      <c r="HZ108" t="s">
        <v>188</v>
      </c>
      <c r="IA108" s="112" t="e">
        <f t="shared" si="182"/>
        <v>#VALUE!</v>
      </c>
      <c r="IB108" t="s">
        <v>189</v>
      </c>
      <c r="IC108" t="e">
        <f t="shared" si="183"/>
        <v>#VALUE!</v>
      </c>
      <c r="ID108" t="s">
        <v>192</v>
      </c>
      <c r="IE108" t="e">
        <f t="shared" si="184"/>
        <v>#VALUE!</v>
      </c>
      <c r="IF108" t="s">
        <v>191</v>
      </c>
      <c r="IG108" s="254" t="e">
        <f t="shared" si="185"/>
        <v>#VALUE!</v>
      </c>
      <c r="IL108" t="e">
        <f t="shared" si="186"/>
        <v>#VALUE!</v>
      </c>
    </row>
    <row r="109" spans="5:257" x14ac:dyDescent="0.25">
      <c r="E109" s="240" t="str">
        <f>Foglio3!F89</f>
        <v/>
      </c>
      <c r="F109" s="240" t="str">
        <f>Foglio3!G89</f>
        <v/>
      </c>
      <c r="G109" s="244"/>
      <c r="H109" s="245" t="e">
        <f t="shared" si="176"/>
        <v>#VALUE!</v>
      </c>
      <c r="I109" s="245" t="e">
        <f t="shared" si="176"/>
        <v>#VALUE!</v>
      </c>
      <c r="J109" s="244"/>
      <c r="K109" s="244"/>
      <c r="Q109" t="e">
        <f t="shared" si="175"/>
        <v>#VALUE!</v>
      </c>
      <c r="R109" t="e">
        <f t="shared" si="197"/>
        <v>#VALUE!</v>
      </c>
      <c r="S109" t="e">
        <f t="shared" si="177"/>
        <v>#VALUE!</v>
      </c>
      <c r="T109" t="e">
        <f t="shared" si="194"/>
        <v>#VALUE!</v>
      </c>
      <c r="U109" t="e">
        <f t="shared" si="195"/>
        <v>#VALUE!</v>
      </c>
      <c r="W109" t="e">
        <f t="shared" si="196"/>
        <v>#VALUE!</v>
      </c>
      <c r="X109" t="e">
        <f t="shared" si="196"/>
        <v>#VALUE!</v>
      </c>
      <c r="Y109" t="e">
        <f t="shared" si="196"/>
        <v>#VALUE!</v>
      </c>
      <c r="AA109" s="112" t="e">
        <f t="shared" si="187"/>
        <v>#VALUE!</v>
      </c>
      <c r="AB109" s="112" t="e">
        <f t="shared" si="188"/>
        <v>#VALUE!</v>
      </c>
      <c r="AG109" t="e">
        <f t="shared" si="178"/>
        <v>#VALUE!</v>
      </c>
      <c r="AH109" s="112" t="e">
        <f t="shared" si="179"/>
        <v>#VALUE!</v>
      </c>
      <c r="AI109" s="112" t="e">
        <f t="shared" si="179"/>
        <v>#VALUE!</v>
      </c>
      <c r="CX109" s="112">
        <f t="shared" si="180"/>
        <v>100000</v>
      </c>
      <c r="CY109" s="112">
        <f t="shared" si="189"/>
        <v>100000</v>
      </c>
      <c r="CZ109" s="112">
        <f t="shared" si="190"/>
        <v>100000</v>
      </c>
      <c r="DA109" s="112">
        <f t="shared" si="191"/>
        <v>100000</v>
      </c>
      <c r="DB109" s="112">
        <f t="shared" si="192"/>
        <v>100000</v>
      </c>
      <c r="DC109" s="112">
        <f t="shared" si="193"/>
        <v>100000</v>
      </c>
      <c r="DU109" s="112"/>
      <c r="DV109" s="112"/>
      <c r="EF109" s="253"/>
      <c r="EK109" s="254"/>
      <c r="EV109" s="253"/>
      <c r="EX109" s="253"/>
      <c r="EY109" s="238"/>
      <c r="FR109" s="254"/>
      <c r="HX109" s="253" t="s">
        <v>187</v>
      </c>
      <c r="HY109" s="112" t="e">
        <f t="shared" si="181"/>
        <v>#VALUE!</v>
      </c>
      <c r="HZ109" t="s">
        <v>188</v>
      </c>
      <c r="IA109" s="112" t="e">
        <f t="shared" si="182"/>
        <v>#VALUE!</v>
      </c>
      <c r="IB109" t="s">
        <v>189</v>
      </c>
      <c r="IC109" t="e">
        <f t="shared" si="183"/>
        <v>#VALUE!</v>
      </c>
      <c r="ID109" t="s">
        <v>192</v>
      </c>
      <c r="IE109" t="e">
        <f t="shared" si="184"/>
        <v>#VALUE!</v>
      </c>
      <c r="IF109" t="s">
        <v>191</v>
      </c>
      <c r="IG109" s="254" t="e">
        <f t="shared" si="185"/>
        <v>#VALUE!</v>
      </c>
      <c r="IL109" t="e">
        <f t="shared" si="186"/>
        <v>#VALUE!</v>
      </c>
    </row>
    <row r="110" spans="5:257" ht="15.75" thickBot="1" x14ac:dyDescent="0.3">
      <c r="E110" s="240" t="str">
        <f>Foglio3!F90</f>
        <v/>
      </c>
      <c r="F110" s="240" t="str">
        <f>Foglio3!G90</f>
        <v/>
      </c>
      <c r="G110" s="244"/>
      <c r="H110" s="245" t="e">
        <f t="shared" si="176"/>
        <v>#VALUE!</v>
      </c>
      <c r="I110" s="245" t="e">
        <f t="shared" si="176"/>
        <v>#VALUE!</v>
      </c>
      <c r="J110" s="244"/>
      <c r="K110" s="244"/>
      <c r="Q110" t="e">
        <f t="shared" si="175"/>
        <v>#VALUE!</v>
      </c>
      <c r="R110" t="e">
        <f t="shared" si="197"/>
        <v>#VALUE!</v>
      </c>
      <c r="S110" t="e">
        <f t="shared" si="177"/>
        <v>#VALUE!</v>
      </c>
      <c r="T110" t="e">
        <f t="shared" si="194"/>
        <v>#VALUE!</v>
      </c>
      <c r="U110" t="e">
        <f t="shared" si="195"/>
        <v>#VALUE!</v>
      </c>
      <c r="W110" t="e">
        <f t="shared" si="196"/>
        <v>#VALUE!</v>
      </c>
      <c r="X110" t="e">
        <f t="shared" si="196"/>
        <v>#VALUE!</v>
      </c>
      <c r="Y110" t="e">
        <f t="shared" si="196"/>
        <v>#VALUE!</v>
      </c>
      <c r="AA110" s="112" t="e">
        <f t="shared" si="187"/>
        <v>#VALUE!</v>
      </c>
      <c r="AB110" s="112" t="e">
        <f t="shared" si="188"/>
        <v>#VALUE!</v>
      </c>
      <c r="AG110" t="e">
        <f t="shared" si="178"/>
        <v>#VALUE!</v>
      </c>
      <c r="AH110" s="112" t="e">
        <f t="shared" si="179"/>
        <v>#VALUE!</v>
      </c>
      <c r="AI110" s="112" t="e">
        <f t="shared" si="179"/>
        <v>#VALUE!</v>
      </c>
      <c r="CX110" s="112">
        <f t="shared" si="180"/>
        <v>100000</v>
      </c>
      <c r="CY110" s="112">
        <f t="shared" si="189"/>
        <v>100000</v>
      </c>
      <c r="CZ110" s="112">
        <f t="shared" si="190"/>
        <v>100000</v>
      </c>
      <c r="DA110" s="112">
        <f t="shared" si="191"/>
        <v>100000</v>
      </c>
      <c r="DB110" s="112">
        <f t="shared" si="192"/>
        <v>100000</v>
      </c>
      <c r="DC110" s="112">
        <f t="shared" si="193"/>
        <v>100000</v>
      </c>
      <c r="DU110" s="112"/>
      <c r="DV110" s="112"/>
      <c r="EF110" s="255"/>
      <c r="EG110" s="257"/>
      <c r="EH110" s="257"/>
      <c r="EI110" s="257"/>
      <c r="EJ110" s="257"/>
      <c r="EK110" s="258"/>
      <c r="EV110" s="253"/>
      <c r="EX110" s="253"/>
      <c r="EY110" s="238"/>
      <c r="FR110" s="254"/>
      <c r="HX110" s="253" t="s">
        <v>187</v>
      </c>
      <c r="HY110" s="112" t="e">
        <f t="shared" si="181"/>
        <v>#VALUE!</v>
      </c>
      <c r="HZ110" t="s">
        <v>188</v>
      </c>
      <c r="IA110" s="112" t="e">
        <f t="shared" si="182"/>
        <v>#VALUE!</v>
      </c>
      <c r="IB110" t="s">
        <v>189</v>
      </c>
      <c r="IC110" t="e">
        <f t="shared" si="183"/>
        <v>#VALUE!</v>
      </c>
      <c r="ID110" t="s">
        <v>192</v>
      </c>
      <c r="IE110" t="e">
        <f t="shared" si="184"/>
        <v>#VALUE!</v>
      </c>
      <c r="IF110" t="s">
        <v>191</v>
      </c>
      <c r="IG110" s="254" t="e">
        <f t="shared" si="185"/>
        <v>#VALUE!</v>
      </c>
      <c r="IL110" t="e">
        <f t="shared" si="186"/>
        <v>#VALUE!</v>
      </c>
    </row>
    <row r="111" spans="5:257" x14ac:dyDescent="0.25">
      <c r="E111" s="240" t="str">
        <f>Foglio3!F91</f>
        <v/>
      </c>
      <c r="F111" s="240" t="str">
        <f>Foglio3!G91</f>
        <v/>
      </c>
      <c r="G111" s="244"/>
      <c r="H111" s="245" t="e">
        <f t="shared" si="176"/>
        <v>#VALUE!</v>
      </c>
      <c r="I111" s="245" t="e">
        <f t="shared" si="176"/>
        <v>#VALUE!</v>
      </c>
      <c r="J111" s="244"/>
      <c r="K111" s="244"/>
      <c r="Q111" t="e">
        <f t="shared" si="175"/>
        <v>#VALUE!</v>
      </c>
      <c r="R111" t="e">
        <f t="shared" si="197"/>
        <v>#VALUE!</v>
      </c>
      <c r="S111" t="e">
        <f t="shared" si="177"/>
        <v>#VALUE!</v>
      </c>
      <c r="T111" t="e">
        <f t="shared" si="194"/>
        <v>#VALUE!</v>
      </c>
      <c r="U111" t="e">
        <f t="shared" si="195"/>
        <v>#VALUE!</v>
      </c>
      <c r="W111" t="e">
        <f t="shared" si="196"/>
        <v>#VALUE!</v>
      </c>
      <c r="X111" t="e">
        <f t="shared" si="196"/>
        <v>#VALUE!</v>
      </c>
      <c r="Y111" t="e">
        <f t="shared" si="196"/>
        <v>#VALUE!</v>
      </c>
      <c r="AA111" s="112" t="e">
        <f t="shared" si="187"/>
        <v>#VALUE!</v>
      </c>
      <c r="AB111" s="112" t="e">
        <f t="shared" si="188"/>
        <v>#VALUE!</v>
      </c>
      <c r="AG111" t="e">
        <f t="shared" si="178"/>
        <v>#VALUE!</v>
      </c>
      <c r="AH111" s="112" t="e">
        <f t="shared" si="179"/>
        <v>#VALUE!</v>
      </c>
      <c r="AI111" s="112" t="e">
        <f t="shared" si="179"/>
        <v>#VALUE!</v>
      </c>
      <c r="CX111" s="112">
        <f t="shared" si="180"/>
        <v>100000</v>
      </c>
      <c r="CY111" s="112">
        <f t="shared" si="189"/>
        <v>100000</v>
      </c>
      <c r="CZ111" s="112">
        <f t="shared" si="190"/>
        <v>100000</v>
      </c>
      <c r="DA111" s="112">
        <f t="shared" si="191"/>
        <v>100000</v>
      </c>
      <c r="DB111" s="112">
        <f t="shared" si="192"/>
        <v>100000</v>
      </c>
      <c r="DC111" s="112">
        <f t="shared" si="193"/>
        <v>100000</v>
      </c>
      <c r="DU111" s="112"/>
      <c r="DV111" s="112"/>
      <c r="EV111" s="253"/>
      <c r="EX111" s="253"/>
      <c r="EY111" s="238"/>
      <c r="FR111" s="254"/>
      <c r="HX111" s="253" t="s">
        <v>187</v>
      </c>
      <c r="HY111" s="112" t="e">
        <f t="shared" si="181"/>
        <v>#VALUE!</v>
      </c>
      <c r="HZ111" t="s">
        <v>188</v>
      </c>
      <c r="IA111" s="112" t="e">
        <f t="shared" si="182"/>
        <v>#VALUE!</v>
      </c>
      <c r="IB111" t="s">
        <v>189</v>
      </c>
      <c r="IC111" t="e">
        <f t="shared" si="183"/>
        <v>#VALUE!</v>
      </c>
      <c r="ID111" t="s">
        <v>192</v>
      </c>
      <c r="IE111" t="e">
        <f t="shared" si="184"/>
        <v>#VALUE!</v>
      </c>
      <c r="IF111" t="s">
        <v>191</v>
      </c>
      <c r="IG111" s="254" t="e">
        <f t="shared" si="185"/>
        <v>#VALUE!</v>
      </c>
      <c r="IL111" t="e">
        <f t="shared" si="186"/>
        <v>#VALUE!</v>
      </c>
    </row>
    <row r="112" spans="5:257" x14ac:dyDescent="0.25">
      <c r="E112" s="240" t="str">
        <f>Foglio3!F92</f>
        <v/>
      </c>
      <c r="F112" s="240" t="str">
        <f>Foglio3!G92</f>
        <v/>
      </c>
      <c r="G112" s="244"/>
      <c r="H112" s="245" t="e">
        <f t="shared" si="176"/>
        <v>#VALUE!</v>
      </c>
      <c r="I112" s="245" t="e">
        <f t="shared" si="176"/>
        <v>#VALUE!</v>
      </c>
      <c r="J112" s="244"/>
      <c r="K112" s="244"/>
      <c r="Q112" t="e">
        <f t="shared" si="175"/>
        <v>#VALUE!</v>
      </c>
      <c r="R112" t="e">
        <f t="shared" si="197"/>
        <v>#VALUE!</v>
      </c>
      <c r="S112" t="e">
        <f t="shared" si="177"/>
        <v>#VALUE!</v>
      </c>
      <c r="T112" t="e">
        <f t="shared" si="194"/>
        <v>#VALUE!</v>
      </c>
      <c r="U112" t="e">
        <f t="shared" si="195"/>
        <v>#VALUE!</v>
      </c>
      <c r="W112" t="e">
        <f t="shared" si="196"/>
        <v>#VALUE!</v>
      </c>
      <c r="X112" t="e">
        <f t="shared" si="196"/>
        <v>#VALUE!</v>
      </c>
      <c r="Y112" t="e">
        <f t="shared" si="196"/>
        <v>#VALUE!</v>
      </c>
      <c r="AA112" s="112" t="e">
        <f t="shared" si="187"/>
        <v>#VALUE!</v>
      </c>
      <c r="AB112" s="112" t="e">
        <f t="shared" si="188"/>
        <v>#VALUE!</v>
      </c>
      <c r="AG112" t="e">
        <f t="shared" si="178"/>
        <v>#VALUE!</v>
      </c>
      <c r="AH112" s="112" t="e">
        <f t="shared" si="179"/>
        <v>#VALUE!</v>
      </c>
      <c r="AI112" s="112" t="e">
        <f t="shared" si="179"/>
        <v>#VALUE!</v>
      </c>
      <c r="CX112" s="112">
        <f t="shared" si="180"/>
        <v>100000</v>
      </c>
      <c r="CY112" s="112">
        <f t="shared" si="189"/>
        <v>100000</v>
      </c>
      <c r="CZ112" s="112">
        <f t="shared" si="190"/>
        <v>100000</v>
      </c>
      <c r="DA112" s="112">
        <f t="shared" si="191"/>
        <v>100000</v>
      </c>
      <c r="DB112" s="112">
        <f t="shared" si="192"/>
        <v>100000</v>
      </c>
      <c r="DC112" s="112">
        <f t="shared" si="193"/>
        <v>100000</v>
      </c>
      <c r="DU112" s="112"/>
      <c r="DV112" s="112"/>
      <c r="EV112" s="253"/>
      <c r="EX112" s="253"/>
      <c r="EY112" s="238"/>
      <c r="FR112" s="254"/>
      <c r="HX112" s="253" t="s">
        <v>187</v>
      </c>
      <c r="HY112" s="112" t="e">
        <f t="shared" si="181"/>
        <v>#VALUE!</v>
      </c>
      <c r="HZ112" t="s">
        <v>188</v>
      </c>
      <c r="IA112" s="112" t="e">
        <f t="shared" si="182"/>
        <v>#VALUE!</v>
      </c>
      <c r="IB112" t="s">
        <v>189</v>
      </c>
      <c r="IC112" t="e">
        <f t="shared" si="183"/>
        <v>#VALUE!</v>
      </c>
      <c r="ID112" t="s">
        <v>192</v>
      </c>
      <c r="IE112" t="e">
        <f t="shared" si="184"/>
        <v>#VALUE!</v>
      </c>
      <c r="IF112" t="s">
        <v>191</v>
      </c>
      <c r="IG112" s="254" t="e">
        <f t="shared" si="185"/>
        <v>#VALUE!</v>
      </c>
      <c r="IL112" t="e">
        <f t="shared" si="186"/>
        <v>#VALUE!</v>
      </c>
    </row>
    <row r="113" spans="5:257" x14ac:dyDescent="0.25">
      <c r="E113" s="240" t="str">
        <f>Foglio3!F93</f>
        <v/>
      </c>
      <c r="F113" s="240" t="str">
        <f>Foglio3!G93</f>
        <v/>
      </c>
      <c r="G113" s="244"/>
      <c r="H113" s="245" t="e">
        <f t="shared" si="176"/>
        <v>#VALUE!</v>
      </c>
      <c r="I113" s="245" t="e">
        <f t="shared" si="176"/>
        <v>#VALUE!</v>
      </c>
      <c r="J113" s="244"/>
      <c r="K113" s="244"/>
      <c r="Q113" t="e">
        <f t="shared" si="175"/>
        <v>#VALUE!</v>
      </c>
      <c r="R113" t="e">
        <f t="shared" si="197"/>
        <v>#VALUE!</v>
      </c>
      <c r="S113" t="e">
        <f t="shared" si="177"/>
        <v>#VALUE!</v>
      </c>
      <c r="T113" t="e">
        <f t="shared" si="194"/>
        <v>#VALUE!</v>
      </c>
      <c r="U113" t="e">
        <f t="shared" si="195"/>
        <v>#VALUE!</v>
      </c>
      <c r="W113" t="e">
        <f t="shared" si="196"/>
        <v>#VALUE!</v>
      </c>
      <c r="X113" t="e">
        <f t="shared" si="196"/>
        <v>#VALUE!</v>
      </c>
      <c r="Y113" t="e">
        <f t="shared" si="196"/>
        <v>#VALUE!</v>
      </c>
      <c r="AA113" s="112" t="e">
        <f t="shared" si="187"/>
        <v>#VALUE!</v>
      </c>
      <c r="AB113" s="112" t="e">
        <f t="shared" si="188"/>
        <v>#VALUE!</v>
      </c>
      <c r="AG113" t="e">
        <f t="shared" si="178"/>
        <v>#VALUE!</v>
      </c>
      <c r="AH113" s="112" t="e">
        <f t="shared" si="179"/>
        <v>#VALUE!</v>
      </c>
      <c r="AI113" s="112" t="e">
        <f t="shared" si="179"/>
        <v>#VALUE!</v>
      </c>
      <c r="CX113" s="112">
        <f t="shared" si="180"/>
        <v>100000</v>
      </c>
      <c r="CY113" s="112">
        <f t="shared" si="189"/>
        <v>100000</v>
      </c>
      <c r="CZ113" s="112">
        <f t="shared" si="190"/>
        <v>100000</v>
      </c>
      <c r="DA113" s="112">
        <f t="shared" si="191"/>
        <v>100000</v>
      </c>
      <c r="DB113" s="112">
        <f t="shared" si="192"/>
        <v>100000</v>
      </c>
      <c r="DC113" s="112">
        <f t="shared" si="193"/>
        <v>100000</v>
      </c>
      <c r="DU113" s="112"/>
      <c r="DV113" s="112"/>
      <c r="EV113" s="253"/>
      <c r="EX113" s="253"/>
      <c r="EY113" s="238"/>
      <c r="FR113" s="254"/>
      <c r="HX113" s="253" t="s">
        <v>187</v>
      </c>
      <c r="HY113" s="112" t="e">
        <f t="shared" si="181"/>
        <v>#VALUE!</v>
      </c>
      <c r="HZ113" t="s">
        <v>188</v>
      </c>
      <c r="IA113" s="112" t="e">
        <f t="shared" si="182"/>
        <v>#VALUE!</v>
      </c>
      <c r="IB113" t="s">
        <v>189</v>
      </c>
      <c r="IC113" t="e">
        <f t="shared" si="183"/>
        <v>#VALUE!</v>
      </c>
      <c r="ID113" t="s">
        <v>192</v>
      </c>
      <c r="IE113" t="e">
        <f t="shared" si="184"/>
        <v>#VALUE!</v>
      </c>
      <c r="IF113" t="s">
        <v>191</v>
      </c>
      <c r="IG113" s="254" t="e">
        <f t="shared" si="185"/>
        <v>#VALUE!</v>
      </c>
      <c r="IL113" t="e">
        <f t="shared" si="186"/>
        <v>#VALUE!</v>
      </c>
    </row>
    <row r="114" spans="5:257" x14ac:dyDescent="0.25">
      <c r="E114" s="240" t="str">
        <f>Foglio3!F94</f>
        <v/>
      </c>
      <c r="F114" s="240" t="str">
        <f>Foglio3!G94</f>
        <v/>
      </c>
      <c r="G114" s="244"/>
      <c r="H114" s="245" t="e">
        <f t="shared" si="176"/>
        <v>#VALUE!</v>
      </c>
      <c r="I114" s="245" t="e">
        <f t="shared" si="176"/>
        <v>#VALUE!</v>
      </c>
      <c r="J114" s="244"/>
      <c r="K114" s="244"/>
      <c r="Q114" t="e">
        <f t="shared" si="175"/>
        <v>#VALUE!</v>
      </c>
      <c r="R114" t="e">
        <f t="shared" si="197"/>
        <v>#VALUE!</v>
      </c>
      <c r="S114" t="e">
        <f t="shared" si="177"/>
        <v>#VALUE!</v>
      </c>
      <c r="T114" t="e">
        <f t="shared" si="194"/>
        <v>#VALUE!</v>
      </c>
      <c r="U114" t="e">
        <f t="shared" si="195"/>
        <v>#VALUE!</v>
      </c>
      <c r="W114" t="e">
        <f t="shared" si="196"/>
        <v>#VALUE!</v>
      </c>
      <c r="X114" t="e">
        <f t="shared" si="196"/>
        <v>#VALUE!</v>
      </c>
      <c r="Y114" t="e">
        <f t="shared" si="196"/>
        <v>#VALUE!</v>
      </c>
      <c r="AA114" s="112" t="e">
        <f t="shared" si="187"/>
        <v>#VALUE!</v>
      </c>
      <c r="AB114" s="112" t="e">
        <f t="shared" si="188"/>
        <v>#VALUE!</v>
      </c>
      <c r="AG114" t="e">
        <f t="shared" si="178"/>
        <v>#VALUE!</v>
      </c>
      <c r="AH114" s="112" t="e">
        <f t="shared" si="179"/>
        <v>#VALUE!</v>
      </c>
      <c r="AI114" s="112" t="e">
        <f t="shared" si="179"/>
        <v>#VALUE!</v>
      </c>
      <c r="CX114" s="112">
        <f>IF(                    AND( CT114&gt;=$CQ$39,CT113&lt;=$CQ$39   ),CV114-(CT114-$CQ$39),100000)</f>
        <v>100000</v>
      </c>
      <c r="CY114" s="112">
        <f t="shared" si="189"/>
        <v>100000</v>
      </c>
      <c r="CZ114" s="112">
        <f t="shared" si="190"/>
        <v>100000</v>
      </c>
      <c r="DA114" s="112">
        <f t="shared" si="191"/>
        <v>100000</v>
      </c>
      <c r="DB114" s="112">
        <f t="shared" si="192"/>
        <v>100000</v>
      </c>
      <c r="DC114" s="112">
        <f t="shared" si="193"/>
        <v>100000</v>
      </c>
      <c r="DU114" s="112"/>
      <c r="DV114" s="112"/>
      <c r="EV114" s="253"/>
      <c r="EX114" s="253"/>
      <c r="EY114" s="238"/>
      <c r="FR114" s="254"/>
      <c r="HX114" s="253" t="s">
        <v>187</v>
      </c>
      <c r="HY114" s="112" t="e">
        <f t="shared" si="181"/>
        <v>#VALUE!</v>
      </c>
      <c r="HZ114" t="s">
        <v>188</v>
      </c>
      <c r="IA114" s="112" t="e">
        <f t="shared" si="182"/>
        <v>#VALUE!</v>
      </c>
      <c r="IB114" t="s">
        <v>189</v>
      </c>
      <c r="IC114" t="e">
        <f t="shared" si="183"/>
        <v>#VALUE!</v>
      </c>
      <c r="ID114" t="s">
        <v>192</v>
      </c>
      <c r="IE114" t="e">
        <f t="shared" si="184"/>
        <v>#VALUE!</v>
      </c>
      <c r="IF114" t="s">
        <v>191</v>
      </c>
      <c r="IG114" s="254" t="e">
        <f t="shared" si="185"/>
        <v>#VALUE!</v>
      </c>
      <c r="IL114" t="e">
        <f t="shared" si="186"/>
        <v>#VALUE!</v>
      </c>
    </row>
    <row r="115" spans="5:257" x14ac:dyDescent="0.25">
      <c r="E115" s="240" t="str">
        <f>Foglio3!F95</f>
        <v/>
      </c>
      <c r="F115" s="240" t="str">
        <f>Foglio3!G95</f>
        <v/>
      </c>
      <c r="G115" s="244"/>
      <c r="H115" s="245" t="e">
        <f t="shared" si="176"/>
        <v>#VALUE!</v>
      </c>
      <c r="I115" s="245" t="e">
        <f t="shared" si="176"/>
        <v>#VALUE!</v>
      </c>
      <c r="J115" s="244"/>
      <c r="K115" s="244"/>
      <c r="Q115" t="e">
        <f t="shared" si="175"/>
        <v>#VALUE!</v>
      </c>
      <c r="R115" t="e">
        <f t="shared" si="197"/>
        <v>#VALUE!</v>
      </c>
      <c r="S115" t="e">
        <f t="shared" si="177"/>
        <v>#VALUE!</v>
      </c>
      <c r="T115" t="e">
        <f t="shared" si="194"/>
        <v>#VALUE!</v>
      </c>
      <c r="U115" t="e">
        <f t="shared" si="195"/>
        <v>#VALUE!</v>
      </c>
      <c r="W115" t="e">
        <f t="shared" si="196"/>
        <v>#VALUE!</v>
      </c>
      <c r="X115" t="e">
        <f t="shared" si="196"/>
        <v>#VALUE!</v>
      </c>
      <c r="Y115" t="e">
        <f t="shared" si="196"/>
        <v>#VALUE!</v>
      </c>
      <c r="AA115" s="112" t="e">
        <f t="shared" si="187"/>
        <v>#VALUE!</v>
      </c>
      <c r="AB115" s="112" t="e">
        <f t="shared" si="188"/>
        <v>#VALUE!</v>
      </c>
      <c r="AG115" t="e">
        <f t="shared" si="178"/>
        <v>#VALUE!</v>
      </c>
      <c r="AH115" s="112" t="e">
        <f t="shared" si="179"/>
        <v>#VALUE!</v>
      </c>
      <c r="AI115" s="112" t="e">
        <f t="shared" si="179"/>
        <v>#VALUE!</v>
      </c>
      <c r="CX115" s="112">
        <f>IF(                    AND( CT115&gt;=$CQ$39,CT114&lt;=$CQ$39   ),CV115-(CT115-$CQ$39),100000)</f>
        <v>100000</v>
      </c>
      <c r="CY115" s="112">
        <f t="shared" si="189"/>
        <v>100000</v>
      </c>
      <c r="CZ115" s="112">
        <f t="shared" si="190"/>
        <v>100000</v>
      </c>
      <c r="DA115" s="112">
        <f t="shared" si="191"/>
        <v>100000</v>
      </c>
      <c r="DB115" s="112">
        <f t="shared" si="192"/>
        <v>100000</v>
      </c>
      <c r="DC115" s="112">
        <f t="shared" si="193"/>
        <v>100000</v>
      </c>
      <c r="DU115" s="112"/>
      <c r="DV115" s="112"/>
      <c r="EV115" s="253"/>
      <c r="EX115" s="253"/>
      <c r="EY115" s="238"/>
      <c r="FR115" s="254"/>
      <c r="HX115" s="253" t="s">
        <v>187</v>
      </c>
      <c r="HY115" s="112" t="e">
        <f t="shared" si="181"/>
        <v>#VALUE!</v>
      </c>
      <c r="HZ115" t="s">
        <v>188</v>
      </c>
      <c r="IA115" s="112" t="e">
        <f t="shared" si="182"/>
        <v>#VALUE!</v>
      </c>
      <c r="IB115" t="s">
        <v>189</v>
      </c>
      <c r="IC115" t="e">
        <f t="shared" si="183"/>
        <v>#VALUE!</v>
      </c>
      <c r="ID115" t="s">
        <v>192</v>
      </c>
      <c r="IE115" t="e">
        <f t="shared" si="184"/>
        <v>#VALUE!</v>
      </c>
      <c r="IF115" t="s">
        <v>191</v>
      </c>
      <c r="IG115" s="254" t="e">
        <f t="shared" si="185"/>
        <v>#VALUE!</v>
      </c>
      <c r="IL115" t="e">
        <f t="shared" si="186"/>
        <v>#VALUE!</v>
      </c>
    </row>
    <row r="116" spans="5:257" x14ac:dyDescent="0.25">
      <c r="E116" s="240" t="str">
        <f>Foglio3!F96</f>
        <v/>
      </c>
      <c r="F116" s="240" t="str">
        <f>Foglio3!G96</f>
        <v/>
      </c>
      <c r="G116" s="244"/>
      <c r="H116" s="245" t="e">
        <f t="shared" si="176"/>
        <v>#VALUE!</v>
      </c>
      <c r="I116" s="245" t="e">
        <f t="shared" si="176"/>
        <v>#VALUE!</v>
      </c>
      <c r="J116" s="244"/>
      <c r="K116" s="244"/>
      <c r="Q116" t="e">
        <f t="shared" si="175"/>
        <v>#VALUE!</v>
      </c>
      <c r="R116" t="e">
        <f t="shared" si="197"/>
        <v>#VALUE!</v>
      </c>
      <c r="S116" t="e">
        <f t="shared" si="177"/>
        <v>#VALUE!</v>
      </c>
      <c r="T116" t="e">
        <f t="shared" si="194"/>
        <v>#VALUE!</v>
      </c>
      <c r="U116" t="e">
        <f t="shared" si="195"/>
        <v>#VALUE!</v>
      </c>
      <c r="W116" t="e">
        <f t="shared" si="196"/>
        <v>#VALUE!</v>
      </c>
      <c r="X116" t="e">
        <f t="shared" si="196"/>
        <v>#VALUE!</v>
      </c>
      <c r="Y116" t="e">
        <f t="shared" si="196"/>
        <v>#VALUE!</v>
      </c>
      <c r="AA116" s="112" t="e">
        <f t="shared" si="187"/>
        <v>#VALUE!</v>
      </c>
      <c r="AB116" s="112" t="e">
        <f t="shared" si="188"/>
        <v>#VALUE!</v>
      </c>
      <c r="AG116" t="e">
        <f t="shared" si="178"/>
        <v>#VALUE!</v>
      </c>
      <c r="AH116" s="112" t="e">
        <f t="shared" si="179"/>
        <v>#VALUE!</v>
      </c>
      <c r="AI116" s="112" t="e">
        <f t="shared" si="179"/>
        <v>#VALUE!</v>
      </c>
      <c r="CX116" s="112">
        <f>IF(                    AND( CT116&gt;=$CQ$39,CT115&lt;=$CQ$39   ),CV116-(CT116-$CQ$39),100000)</f>
        <v>100000</v>
      </c>
      <c r="CY116" s="112">
        <f t="shared" si="189"/>
        <v>100000</v>
      </c>
      <c r="CZ116" s="112">
        <f t="shared" si="190"/>
        <v>100000</v>
      </c>
      <c r="DA116" s="112">
        <f t="shared" si="191"/>
        <v>100000</v>
      </c>
      <c r="DB116" s="112">
        <f t="shared" si="192"/>
        <v>100000</v>
      </c>
      <c r="DC116" s="112">
        <f t="shared" si="193"/>
        <v>100000</v>
      </c>
      <c r="DU116" s="112"/>
      <c r="DV116" s="112"/>
      <c r="EV116" s="253"/>
      <c r="EX116" s="253"/>
      <c r="EY116" s="238"/>
      <c r="FR116" s="254"/>
      <c r="HX116" s="253" t="s">
        <v>187</v>
      </c>
      <c r="HY116" s="112" t="e">
        <f t="shared" si="181"/>
        <v>#VALUE!</v>
      </c>
      <c r="HZ116" t="s">
        <v>188</v>
      </c>
      <c r="IA116" s="112" t="e">
        <f t="shared" si="182"/>
        <v>#VALUE!</v>
      </c>
      <c r="IB116" t="s">
        <v>189</v>
      </c>
      <c r="IC116" t="e">
        <f t="shared" si="183"/>
        <v>#VALUE!</v>
      </c>
      <c r="ID116" t="s">
        <v>192</v>
      </c>
      <c r="IE116" t="e">
        <f t="shared" si="184"/>
        <v>#VALUE!</v>
      </c>
      <c r="IF116" t="s">
        <v>191</v>
      </c>
      <c r="IG116" s="254" t="e">
        <f t="shared" si="185"/>
        <v>#VALUE!</v>
      </c>
      <c r="IL116" t="e">
        <f t="shared" si="186"/>
        <v>#VALUE!</v>
      </c>
    </row>
    <row r="117" spans="5:257" x14ac:dyDescent="0.25">
      <c r="E117" s="240" t="str">
        <f>Foglio3!F97</f>
        <v/>
      </c>
      <c r="F117" s="240" t="str">
        <f>Foglio3!G97</f>
        <v/>
      </c>
      <c r="G117" s="244"/>
      <c r="H117" s="245" t="e">
        <f t="shared" si="176"/>
        <v>#VALUE!</v>
      </c>
      <c r="I117" s="245" t="e">
        <f t="shared" si="176"/>
        <v>#VALUE!</v>
      </c>
      <c r="J117" s="244"/>
      <c r="K117" s="244"/>
      <c r="Q117" t="e">
        <f t="shared" si="175"/>
        <v>#VALUE!</v>
      </c>
      <c r="R117" t="e">
        <f t="shared" si="197"/>
        <v>#VALUE!</v>
      </c>
      <c r="S117" t="e">
        <f t="shared" si="177"/>
        <v>#VALUE!</v>
      </c>
      <c r="T117" t="e">
        <f t="shared" si="194"/>
        <v>#VALUE!</v>
      </c>
      <c r="U117" t="e">
        <f t="shared" si="195"/>
        <v>#VALUE!</v>
      </c>
      <c r="W117" t="e">
        <f t="shared" si="196"/>
        <v>#VALUE!</v>
      </c>
      <c r="X117" t="e">
        <f t="shared" si="196"/>
        <v>#VALUE!</v>
      </c>
      <c r="Y117" t="e">
        <f t="shared" si="196"/>
        <v>#VALUE!</v>
      </c>
      <c r="AA117" s="112" t="e">
        <f t="shared" si="187"/>
        <v>#VALUE!</v>
      </c>
      <c r="AB117" s="112" t="e">
        <f t="shared" si="188"/>
        <v>#VALUE!</v>
      </c>
      <c r="AG117" t="e">
        <f t="shared" si="178"/>
        <v>#VALUE!</v>
      </c>
      <c r="AH117" s="112" t="e">
        <f t="shared" si="179"/>
        <v>#VALUE!</v>
      </c>
      <c r="AI117" s="112" t="e">
        <f t="shared" si="179"/>
        <v>#VALUE!</v>
      </c>
      <c r="CX117" s="112">
        <f>IF(                    AND( CT117&gt;=$CQ$39,CT116&lt;=$CQ$39   ),CV117-(CT117-$CQ$39),100000)</f>
        <v>100000</v>
      </c>
      <c r="CY117" s="112">
        <f t="shared" si="189"/>
        <v>100000</v>
      </c>
      <c r="CZ117" s="112">
        <f t="shared" si="190"/>
        <v>100000</v>
      </c>
      <c r="DA117" s="112">
        <f t="shared" si="191"/>
        <v>100000</v>
      </c>
      <c r="DB117" s="112">
        <f t="shared" si="192"/>
        <v>100000</v>
      </c>
      <c r="DC117" s="112">
        <f t="shared" si="193"/>
        <v>100000</v>
      </c>
      <c r="DU117" s="112"/>
      <c r="DV117" s="112"/>
      <c r="EV117" s="253"/>
      <c r="EX117" s="253"/>
      <c r="EY117" s="238"/>
      <c r="FR117" s="254"/>
      <c r="HX117" s="253" t="s">
        <v>187</v>
      </c>
      <c r="HY117" s="112" t="e">
        <f t="shared" si="181"/>
        <v>#VALUE!</v>
      </c>
      <c r="HZ117" t="s">
        <v>188</v>
      </c>
      <c r="IA117" s="112" t="e">
        <f t="shared" si="182"/>
        <v>#VALUE!</v>
      </c>
      <c r="IB117" t="s">
        <v>189</v>
      </c>
      <c r="IC117" t="e">
        <f t="shared" si="183"/>
        <v>#VALUE!</v>
      </c>
      <c r="ID117" t="s">
        <v>192</v>
      </c>
      <c r="IE117" t="e">
        <f t="shared" si="184"/>
        <v>#VALUE!</v>
      </c>
      <c r="IF117" t="s">
        <v>191</v>
      </c>
      <c r="IG117" s="254" t="e">
        <f t="shared" si="185"/>
        <v>#VALUE!</v>
      </c>
      <c r="IL117" t="e">
        <f t="shared" si="186"/>
        <v>#VALUE!</v>
      </c>
    </row>
    <row r="118" spans="5:257" ht="15.75" thickBot="1" x14ac:dyDescent="0.3">
      <c r="E118" s="240" t="str">
        <f>Foglio3!F98</f>
        <v/>
      </c>
      <c r="F118" s="240" t="str">
        <f>Foglio3!G98</f>
        <v/>
      </c>
      <c r="G118" s="244"/>
      <c r="H118" s="245" t="e">
        <f t="shared" si="176"/>
        <v>#VALUE!</v>
      </c>
      <c r="I118" s="245" t="e">
        <f t="shared" si="176"/>
        <v>#VALUE!</v>
      </c>
      <c r="J118" s="244"/>
      <c r="K118" s="244"/>
      <c r="Q118" t="e">
        <f t="shared" si="175"/>
        <v>#VALUE!</v>
      </c>
      <c r="R118" t="e">
        <f t="shared" si="197"/>
        <v>#VALUE!</v>
      </c>
      <c r="S118" t="e">
        <f t="shared" si="177"/>
        <v>#VALUE!</v>
      </c>
      <c r="T118" t="e">
        <f t="shared" si="194"/>
        <v>#VALUE!</v>
      </c>
      <c r="U118" t="e">
        <f t="shared" si="195"/>
        <v>#VALUE!</v>
      </c>
      <c r="W118" t="e">
        <f t="shared" si="196"/>
        <v>#VALUE!</v>
      </c>
      <c r="X118" t="e">
        <f t="shared" si="196"/>
        <v>#VALUE!</v>
      </c>
      <c r="Y118" t="e">
        <f t="shared" si="196"/>
        <v>#VALUE!</v>
      </c>
      <c r="AA118" s="112" t="e">
        <f t="shared" si="187"/>
        <v>#VALUE!</v>
      </c>
      <c r="AB118" s="112" t="e">
        <f t="shared" si="188"/>
        <v>#VALUE!</v>
      </c>
      <c r="AG118" t="e">
        <f t="shared" si="178"/>
        <v>#VALUE!</v>
      </c>
      <c r="AH118" s="112" t="e">
        <f t="shared" si="179"/>
        <v>#VALUE!</v>
      </c>
      <c r="AI118" s="112" t="e">
        <f t="shared" si="179"/>
        <v>#VALUE!</v>
      </c>
      <c r="DU118" s="112"/>
      <c r="DV118" s="112"/>
      <c r="EV118" s="255"/>
      <c r="EW118" s="257"/>
      <c r="EX118" s="255"/>
      <c r="EY118" s="256"/>
      <c r="EZ118" s="257"/>
      <c r="FA118" s="257"/>
      <c r="FB118" s="257"/>
      <c r="FC118" s="257"/>
      <c r="FD118" s="257"/>
      <c r="FE118" s="257"/>
      <c r="FF118" s="257"/>
      <c r="FG118" s="257"/>
      <c r="FH118" s="257"/>
      <c r="FI118" s="257"/>
      <c r="FJ118" s="257"/>
      <c r="FK118" s="257"/>
      <c r="FL118" s="257"/>
      <c r="FM118" s="257"/>
      <c r="FN118" s="257"/>
      <c r="FO118" s="257"/>
      <c r="FP118" s="257"/>
      <c r="FQ118" s="257"/>
      <c r="FR118" s="258"/>
      <c r="HX118" s="253" t="s">
        <v>187</v>
      </c>
      <c r="HY118" s="112" t="e">
        <f t="shared" si="181"/>
        <v>#VALUE!</v>
      </c>
      <c r="HZ118" t="s">
        <v>188</v>
      </c>
      <c r="IA118" s="112" t="e">
        <f t="shared" si="182"/>
        <v>#VALUE!</v>
      </c>
      <c r="IB118" t="s">
        <v>189</v>
      </c>
      <c r="IC118" t="e">
        <f t="shared" si="183"/>
        <v>#VALUE!</v>
      </c>
      <c r="ID118" t="s">
        <v>192</v>
      </c>
      <c r="IE118" t="e">
        <f t="shared" si="184"/>
        <v>#VALUE!</v>
      </c>
      <c r="IF118" t="s">
        <v>191</v>
      </c>
      <c r="IG118" s="254" t="e">
        <f t="shared" si="185"/>
        <v>#VALUE!</v>
      </c>
      <c r="IL118" t="e">
        <f t="shared" si="186"/>
        <v>#VALUE!</v>
      </c>
    </row>
    <row r="119" spans="5:257" x14ac:dyDescent="0.25">
      <c r="E119" s="240" t="str">
        <f>Foglio3!F99</f>
        <v/>
      </c>
      <c r="F119" s="240" t="str">
        <f>Foglio3!G99</f>
        <v/>
      </c>
      <c r="G119" s="244"/>
      <c r="H119" s="245" t="e">
        <f t="shared" si="176"/>
        <v>#VALUE!</v>
      </c>
      <c r="I119" s="245" t="e">
        <f t="shared" si="176"/>
        <v>#VALUE!</v>
      </c>
      <c r="J119" s="244"/>
      <c r="K119" s="244"/>
      <c r="Q119" t="e">
        <f t="shared" si="175"/>
        <v>#VALUE!</v>
      </c>
      <c r="R119" t="e">
        <f t="shared" si="197"/>
        <v>#VALUE!</v>
      </c>
      <c r="S119" t="e">
        <f t="shared" si="177"/>
        <v>#VALUE!</v>
      </c>
      <c r="T119" t="e">
        <f t="shared" si="194"/>
        <v>#VALUE!</v>
      </c>
      <c r="U119" t="e">
        <f t="shared" si="195"/>
        <v>#VALUE!</v>
      </c>
      <c r="W119" t="e">
        <f t="shared" si="196"/>
        <v>#VALUE!</v>
      </c>
      <c r="X119" t="e">
        <f t="shared" si="196"/>
        <v>#VALUE!</v>
      </c>
      <c r="Y119" t="e">
        <f t="shared" si="196"/>
        <v>#VALUE!</v>
      </c>
      <c r="AA119" s="112" t="e">
        <f t="shared" si="187"/>
        <v>#VALUE!</v>
      </c>
      <c r="AB119" s="112" t="e">
        <f t="shared" si="188"/>
        <v>#VALUE!</v>
      </c>
      <c r="AG119" t="e">
        <f t="shared" si="178"/>
        <v>#VALUE!</v>
      </c>
      <c r="AH119" s="112" t="e">
        <f t="shared" si="179"/>
        <v>#VALUE!</v>
      </c>
      <c r="AI119" s="112" t="e">
        <f t="shared" si="179"/>
        <v>#VALUE!</v>
      </c>
      <c r="DU119" s="112"/>
      <c r="DV119" s="112"/>
      <c r="EY119" s="238"/>
      <c r="HX119" s="253" t="s">
        <v>187</v>
      </c>
      <c r="HY119" s="112" t="e">
        <f t="shared" si="181"/>
        <v>#VALUE!</v>
      </c>
      <c r="HZ119" t="s">
        <v>188</v>
      </c>
      <c r="IA119" s="112" t="e">
        <f t="shared" si="182"/>
        <v>#VALUE!</v>
      </c>
      <c r="IB119" t="s">
        <v>189</v>
      </c>
      <c r="IC119" t="e">
        <f t="shared" si="183"/>
        <v>#VALUE!</v>
      </c>
      <c r="ID119" t="s">
        <v>192</v>
      </c>
      <c r="IE119" t="e">
        <f t="shared" si="184"/>
        <v>#VALUE!</v>
      </c>
      <c r="IF119" t="s">
        <v>191</v>
      </c>
      <c r="IG119" s="254" t="e">
        <f t="shared" si="185"/>
        <v>#VALUE!</v>
      </c>
      <c r="IL119" t="e">
        <f t="shared" si="186"/>
        <v>#VALUE!</v>
      </c>
    </row>
    <row r="120" spans="5:257" x14ac:dyDescent="0.25">
      <c r="E120" s="240" t="str">
        <f>Foglio3!F100</f>
        <v/>
      </c>
      <c r="F120" s="240" t="str">
        <f>Foglio3!G100</f>
        <v/>
      </c>
      <c r="G120" s="244"/>
      <c r="H120" s="245">
        <f t="shared" si="176"/>
        <v>0</v>
      </c>
      <c r="I120" s="245">
        <f t="shared" si="176"/>
        <v>0</v>
      </c>
      <c r="J120" s="244"/>
      <c r="K120" s="244"/>
      <c r="Q120">
        <f t="shared" si="175"/>
        <v>1</v>
      </c>
      <c r="R120">
        <f t="shared" si="197"/>
        <v>1</v>
      </c>
      <c r="S120">
        <f t="shared" si="177"/>
        <v>0</v>
      </c>
      <c r="T120">
        <f t="shared" si="194"/>
        <v>0</v>
      </c>
      <c r="U120">
        <f t="shared" si="195"/>
        <v>1</v>
      </c>
      <c r="W120" t="e">
        <f t="shared" si="196"/>
        <v>#VALUE!</v>
      </c>
      <c r="X120" t="e">
        <f t="shared" si="196"/>
        <v>#VALUE!</v>
      </c>
      <c r="Y120" t="e">
        <f t="shared" si="196"/>
        <v>#VALUE!</v>
      </c>
      <c r="DU120" s="112"/>
      <c r="DV120" s="112"/>
      <c r="EY120" s="238"/>
      <c r="HX120" s="253" t="s">
        <v>187</v>
      </c>
      <c r="HY120" s="112" t="e">
        <f t="shared" si="181"/>
        <v>#VALUE!</v>
      </c>
      <c r="HZ120" t="s">
        <v>188</v>
      </c>
      <c r="IA120" s="112" t="e">
        <f t="shared" si="182"/>
        <v>#VALUE!</v>
      </c>
      <c r="IB120" t="s">
        <v>189</v>
      </c>
      <c r="IC120">
        <f t="shared" si="183"/>
        <v>0</v>
      </c>
      <c r="ID120" t="s">
        <v>192</v>
      </c>
      <c r="IE120">
        <f t="shared" si="184"/>
        <v>0</v>
      </c>
      <c r="IF120" t="s">
        <v>191</v>
      </c>
      <c r="IG120" s="254">
        <f t="shared" si="185"/>
        <v>1</v>
      </c>
      <c r="IL120" t="e">
        <f t="shared" si="186"/>
        <v>#VALUE!</v>
      </c>
      <c r="IW120" t="e">
        <f>CONCATENATE(IL120,IL121,IL122,IL123,IL124,IL125,IL126,IL127,IL128,IL129,IL130,IL131,IL132,IL133,IL134,I625,IL136,IL137,IL138,IL139,)</f>
        <v>#VALUE!</v>
      </c>
    </row>
    <row r="121" spans="5:257" x14ac:dyDescent="0.25">
      <c r="E121" s="240" t="str">
        <f>Foglio3!F101</f>
        <v/>
      </c>
      <c r="F121" s="240" t="str">
        <f>Foglio3!G101</f>
        <v/>
      </c>
      <c r="G121" s="244"/>
      <c r="H121" s="245">
        <f t="shared" si="176"/>
        <v>0</v>
      </c>
      <c r="I121" s="245">
        <f t="shared" si="176"/>
        <v>0</v>
      </c>
      <c r="J121" s="244"/>
      <c r="K121" s="244"/>
      <c r="Q121">
        <f t="shared" si="175"/>
        <v>1</v>
      </c>
      <c r="R121">
        <f t="shared" si="197"/>
        <v>1</v>
      </c>
      <c r="S121">
        <f t="shared" si="177"/>
        <v>0</v>
      </c>
      <c r="T121">
        <f t="shared" si="194"/>
        <v>0</v>
      </c>
      <c r="U121">
        <f t="shared" si="195"/>
        <v>1</v>
      </c>
      <c r="W121" t="e">
        <f t="shared" si="196"/>
        <v>#VALUE!</v>
      </c>
      <c r="X121" t="e">
        <f t="shared" si="196"/>
        <v>#VALUE!</v>
      </c>
      <c r="Y121" t="e">
        <f t="shared" si="196"/>
        <v>#VALUE!</v>
      </c>
      <c r="DU121" s="112"/>
      <c r="DV121" s="112"/>
      <c r="EY121" s="238"/>
      <c r="HX121" s="253" t="s">
        <v>187</v>
      </c>
      <c r="HY121" s="112" t="e">
        <f t="shared" si="181"/>
        <v>#VALUE!</v>
      </c>
      <c r="HZ121" t="s">
        <v>188</v>
      </c>
      <c r="IA121" s="112" t="e">
        <f t="shared" si="182"/>
        <v>#VALUE!</v>
      </c>
      <c r="IB121" t="s">
        <v>189</v>
      </c>
      <c r="IC121">
        <f t="shared" si="183"/>
        <v>0</v>
      </c>
      <c r="ID121" t="s">
        <v>192</v>
      </c>
      <c r="IE121">
        <f t="shared" si="184"/>
        <v>0</v>
      </c>
      <c r="IF121" t="s">
        <v>191</v>
      </c>
      <c r="IG121" s="254">
        <f t="shared" si="185"/>
        <v>1</v>
      </c>
      <c r="IL121" t="e">
        <f t="shared" si="186"/>
        <v>#VALUE!</v>
      </c>
    </row>
    <row r="122" spans="5:257" x14ac:dyDescent="0.25">
      <c r="E122" s="240" t="str">
        <f>Foglio3!F102</f>
        <v/>
      </c>
      <c r="F122" s="240" t="str">
        <f>Foglio3!G102</f>
        <v/>
      </c>
      <c r="G122" s="244"/>
      <c r="H122" s="245">
        <f t="shared" si="176"/>
        <v>0</v>
      </c>
      <c r="I122" s="245">
        <f t="shared" si="176"/>
        <v>0</v>
      </c>
      <c r="J122" s="244"/>
      <c r="K122" s="244"/>
      <c r="Q122">
        <f t="shared" si="175"/>
        <v>1</v>
      </c>
      <c r="R122">
        <f t="shared" si="197"/>
        <v>1</v>
      </c>
      <c r="S122">
        <f t="shared" si="177"/>
        <v>0</v>
      </c>
      <c r="T122">
        <f t="shared" si="194"/>
        <v>0</v>
      </c>
      <c r="U122">
        <f t="shared" si="195"/>
        <v>1</v>
      </c>
      <c r="W122" t="e">
        <f t="shared" si="196"/>
        <v>#VALUE!</v>
      </c>
      <c r="X122" t="e">
        <f t="shared" si="196"/>
        <v>#VALUE!</v>
      </c>
      <c r="Y122" t="e">
        <f t="shared" si="196"/>
        <v>#VALUE!</v>
      </c>
      <c r="DU122" s="112"/>
      <c r="DV122" s="112"/>
      <c r="EY122" s="238"/>
      <c r="HX122" s="253" t="s">
        <v>187</v>
      </c>
      <c r="HY122" s="112" t="e">
        <f t="shared" si="181"/>
        <v>#VALUE!</v>
      </c>
      <c r="HZ122" t="s">
        <v>188</v>
      </c>
      <c r="IA122" s="112" t="e">
        <f t="shared" si="182"/>
        <v>#VALUE!</v>
      </c>
      <c r="IB122" t="s">
        <v>189</v>
      </c>
      <c r="IC122">
        <f t="shared" si="183"/>
        <v>0</v>
      </c>
      <c r="ID122" t="s">
        <v>192</v>
      </c>
      <c r="IE122">
        <f t="shared" si="184"/>
        <v>0</v>
      </c>
      <c r="IF122" t="s">
        <v>191</v>
      </c>
      <c r="IG122" s="254">
        <f t="shared" si="185"/>
        <v>1</v>
      </c>
      <c r="IL122" t="e">
        <f t="shared" si="186"/>
        <v>#VALUE!</v>
      </c>
    </row>
    <row r="123" spans="5:257" x14ac:dyDescent="0.25">
      <c r="E123" s="240" t="str">
        <f>Foglio3!F103</f>
        <v/>
      </c>
      <c r="F123" s="240" t="str">
        <f>Foglio3!G103</f>
        <v/>
      </c>
      <c r="G123" s="244"/>
      <c r="H123" s="245">
        <f t="shared" si="176"/>
        <v>0</v>
      </c>
      <c r="I123" s="245">
        <f t="shared" si="176"/>
        <v>0</v>
      </c>
      <c r="J123" s="244"/>
      <c r="K123" s="244"/>
      <c r="Q123">
        <f t="shared" si="175"/>
        <v>1</v>
      </c>
      <c r="R123">
        <f t="shared" si="197"/>
        <v>1</v>
      </c>
      <c r="S123">
        <f t="shared" si="177"/>
        <v>0</v>
      </c>
      <c r="T123">
        <f t="shared" si="194"/>
        <v>0</v>
      </c>
      <c r="U123">
        <f t="shared" si="195"/>
        <v>1</v>
      </c>
      <c r="W123" t="e">
        <f t="shared" ref="W123:Y131" si="198">S123+W122</f>
        <v>#VALUE!</v>
      </c>
      <c r="X123" t="e">
        <f t="shared" si="198"/>
        <v>#VALUE!</v>
      </c>
      <c r="Y123" t="e">
        <f t="shared" si="198"/>
        <v>#VALUE!</v>
      </c>
      <c r="DU123" s="112"/>
      <c r="DV123" s="112"/>
      <c r="EY123" s="238"/>
      <c r="HX123" s="253" t="s">
        <v>187</v>
      </c>
      <c r="HY123" s="112" t="e">
        <f t="shared" si="181"/>
        <v>#VALUE!</v>
      </c>
      <c r="HZ123" t="s">
        <v>188</v>
      </c>
      <c r="IA123" s="112" t="e">
        <f t="shared" si="182"/>
        <v>#VALUE!</v>
      </c>
      <c r="IB123" t="s">
        <v>189</v>
      </c>
      <c r="IC123">
        <f t="shared" si="183"/>
        <v>0</v>
      </c>
      <c r="ID123" t="s">
        <v>192</v>
      </c>
      <c r="IE123">
        <f t="shared" si="184"/>
        <v>0</v>
      </c>
      <c r="IF123" t="s">
        <v>191</v>
      </c>
      <c r="IG123" s="254">
        <f t="shared" si="185"/>
        <v>1</v>
      </c>
      <c r="IL123" t="e">
        <f t="shared" si="186"/>
        <v>#VALUE!</v>
      </c>
    </row>
    <row r="124" spans="5:257" x14ac:dyDescent="0.25">
      <c r="E124" s="240" t="str">
        <f>Foglio3!F104</f>
        <v/>
      </c>
      <c r="F124" s="240" t="str">
        <f>Foglio3!G104</f>
        <v/>
      </c>
      <c r="G124" s="244"/>
      <c r="H124" s="245">
        <f t="shared" si="176"/>
        <v>0</v>
      </c>
      <c r="I124" s="245">
        <f t="shared" si="176"/>
        <v>0</v>
      </c>
      <c r="J124" s="244"/>
      <c r="K124" s="244"/>
      <c r="Q124">
        <f t="shared" si="175"/>
        <v>1</v>
      </c>
      <c r="R124">
        <f t="shared" si="197"/>
        <v>1</v>
      </c>
      <c r="S124">
        <f t="shared" si="177"/>
        <v>0</v>
      </c>
      <c r="T124">
        <f t="shared" si="194"/>
        <v>0</v>
      </c>
      <c r="U124">
        <f t="shared" si="195"/>
        <v>1</v>
      </c>
      <c r="W124" t="e">
        <f t="shared" si="198"/>
        <v>#VALUE!</v>
      </c>
      <c r="X124" t="e">
        <f t="shared" si="198"/>
        <v>#VALUE!</v>
      </c>
      <c r="Y124" t="e">
        <f t="shared" si="198"/>
        <v>#VALUE!</v>
      </c>
      <c r="DU124" s="112"/>
      <c r="DV124" s="112"/>
      <c r="EY124" s="238"/>
      <c r="HX124" s="253" t="s">
        <v>187</v>
      </c>
      <c r="HY124" s="112" t="e">
        <f t="shared" si="181"/>
        <v>#VALUE!</v>
      </c>
      <c r="HZ124" t="s">
        <v>188</v>
      </c>
      <c r="IA124" s="112" t="e">
        <f t="shared" si="182"/>
        <v>#VALUE!</v>
      </c>
      <c r="IB124" t="s">
        <v>189</v>
      </c>
      <c r="IC124">
        <f t="shared" si="183"/>
        <v>0</v>
      </c>
      <c r="ID124" t="s">
        <v>192</v>
      </c>
      <c r="IE124">
        <f t="shared" si="184"/>
        <v>0</v>
      </c>
      <c r="IF124" t="s">
        <v>191</v>
      </c>
      <c r="IG124" s="254">
        <f t="shared" si="185"/>
        <v>1</v>
      </c>
      <c r="IL124" t="e">
        <f t="shared" si="186"/>
        <v>#VALUE!</v>
      </c>
    </row>
    <row r="125" spans="5:257" x14ac:dyDescent="0.25">
      <c r="E125" s="240" t="str">
        <f>Foglio3!F105</f>
        <v/>
      </c>
      <c r="F125" s="240" t="str">
        <f>Foglio3!G105</f>
        <v/>
      </c>
      <c r="G125" s="244"/>
      <c r="H125" s="245">
        <f t="shared" si="176"/>
        <v>0</v>
      </c>
      <c r="I125" s="245">
        <f t="shared" si="176"/>
        <v>0</v>
      </c>
      <c r="J125" s="244"/>
      <c r="K125" s="244"/>
      <c r="Q125">
        <f t="shared" si="175"/>
        <v>1</v>
      </c>
      <c r="R125">
        <f t="shared" si="197"/>
        <v>1</v>
      </c>
      <c r="S125">
        <f t="shared" si="177"/>
        <v>0</v>
      </c>
      <c r="T125">
        <f t="shared" si="194"/>
        <v>0</v>
      </c>
      <c r="U125">
        <f t="shared" si="195"/>
        <v>1</v>
      </c>
      <c r="W125" t="e">
        <f t="shared" si="198"/>
        <v>#VALUE!</v>
      </c>
      <c r="X125" t="e">
        <f t="shared" si="198"/>
        <v>#VALUE!</v>
      </c>
      <c r="Y125" t="e">
        <f t="shared" si="198"/>
        <v>#VALUE!</v>
      </c>
      <c r="DU125" s="112"/>
      <c r="DV125" s="112"/>
      <c r="EY125" s="238"/>
      <c r="HX125" s="253" t="s">
        <v>187</v>
      </c>
      <c r="HY125" s="112" t="e">
        <f t="shared" si="181"/>
        <v>#VALUE!</v>
      </c>
      <c r="HZ125" t="s">
        <v>188</v>
      </c>
      <c r="IA125" s="112" t="e">
        <f t="shared" si="182"/>
        <v>#VALUE!</v>
      </c>
      <c r="IB125" t="s">
        <v>189</v>
      </c>
      <c r="IC125">
        <f t="shared" si="183"/>
        <v>0</v>
      </c>
      <c r="ID125" t="s">
        <v>192</v>
      </c>
      <c r="IE125">
        <f t="shared" si="184"/>
        <v>0</v>
      </c>
      <c r="IF125" t="s">
        <v>191</v>
      </c>
      <c r="IG125" s="254">
        <f t="shared" si="185"/>
        <v>1</v>
      </c>
      <c r="IL125" t="e">
        <f t="shared" si="186"/>
        <v>#VALUE!</v>
      </c>
    </row>
    <row r="126" spans="5:257" x14ac:dyDescent="0.25">
      <c r="E126" s="240" t="str">
        <f>Foglio3!F106</f>
        <v/>
      </c>
      <c r="F126" s="240" t="str">
        <f>Foglio3!G106</f>
        <v/>
      </c>
      <c r="G126" s="244"/>
      <c r="H126" s="245">
        <f t="shared" si="176"/>
        <v>0</v>
      </c>
      <c r="I126" s="245">
        <f t="shared" si="176"/>
        <v>0</v>
      </c>
      <c r="J126" s="244"/>
      <c r="K126" s="244"/>
      <c r="Q126">
        <f t="shared" si="175"/>
        <v>1</v>
      </c>
      <c r="R126">
        <f t="shared" si="197"/>
        <v>1</v>
      </c>
      <c r="S126">
        <f t="shared" si="177"/>
        <v>0</v>
      </c>
      <c r="T126">
        <f t="shared" si="194"/>
        <v>0</v>
      </c>
      <c r="U126">
        <f t="shared" si="195"/>
        <v>1</v>
      </c>
      <c r="W126" t="e">
        <f t="shared" si="198"/>
        <v>#VALUE!</v>
      </c>
      <c r="X126" t="e">
        <f t="shared" si="198"/>
        <v>#VALUE!</v>
      </c>
      <c r="Y126" t="e">
        <f t="shared" si="198"/>
        <v>#VALUE!</v>
      </c>
      <c r="DU126" s="112"/>
      <c r="DV126" s="112"/>
      <c r="EY126" s="238"/>
      <c r="HX126" s="253" t="s">
        <v>187</v>
      </c>
      <c r="HY126" s="112" t="e">
        <f t="shared" si="181"/>
        <v>#VALUE!</v>
      </c>
      <c r="HZ126" t="s">
        <v>188</v>
      </c>
      <c r="IA126" s="112" t="e">
        <f t="shared" si="182"/>
        <v>#VALUE!</v>
      </c>
      <c r="IB126" t="s">
        <v>189</v>
      </c>
      <c r="IC126">
        <f t="shared" si="183"/>
        <v>0</v>
      </c>
      <c r="ID126" t="s">
        <v>192</v>
      </c>
      <c r="IE126">
        <f t="shared" si="184"/>
        <v>0</v>
      </c>
      <c r="IF126" t="s">
        <v>191</v>
      </c>
      <c r="IG126" s="254">
        <f t="shared" si="185"/>
        <v>1</v>
      </c>
      <c r="IL126" t="e">
        <f t="shared" si="186"/>
        <v>#VALUE!</v>
      </c>
    </row>
    <row r="127" spans="5:257" x14ac:dyDescent="0.25">
      <c r="E127" s="240" t="str">
        <f>Foglio3!F107</f>
        <v/>
      </c>
      <c r="F127" s="240" t="str">
        <f>Foglio3!G107</f>
        <v/>
      </c>
      <c r="G127" s="244"/>
      <c r="H127" s="245">
        <f t="shared" si="176"/>
        <v>0</v>
      </c>
      <c r="I127" s="245">
        <f t="shared" si="176"/>
        <v>0</v>
      </c>
      <c r="J127" s="244"/>
      <c r="K127" s="244"/>
      <c r="Q127">
        <f t="shared" si="175"/>
        <v>1</v>
      </c>
      <c r="R127">
        <f t="shared" si="197"/>
        <v>1</v>
      </c>
      <c r="S127">
        <f t="shared" si="177"/>
        <v>0</v>
      </c>
      <c r="T127">
        <f t="shared" si="194"/>
        <v>0</v>
      </c>
      <c r="U127">
        <f t="shared" si="195"/>
        <v>1</v>
      </c>
      <c r="W127" t="e">
        <f t="shared" si="198"/>
        <v>#VALUE!</v>
      </c>
      <c r="X127" t="e">
        <f t="shared" si="198"/>
        <v>#VALUE!</v>
      </c>
      <c r="Y127" t="e">
        <f t="shared" si="198"/>
        <v>#VALUE!</v>
      </c>
      <c r="DU127" s="112"/>
      <c r="DV127" s="112"/>
      <c r="EY127" s="238"/>
      <c r="HX127" s="253" t="s">
        <v>187</v>
      </c>
      <c r="HY127" s="112" t="e">
        <f t="shared" si="181"/>
        <v>#VALUE!</v>
      </c>
      <c r="HZ127" t="s">
        <v>188</v>
      </c>
      <c r="IA127" s="112" t="e">
        <f t="shared" si="182"/>
        <v>#VALUE!</v>
      </c>
      <c r="IB127" t="s">
        <v>189</v>
      </c>
      <c r="IC127">
        <f t="shared" si="183"/>
        <v>0</v>
      </c>
      <c r="ID127" t="s">
        <v>192</v>
      </c>
      <c r="IE127">
        <f t="shared" si="184"/>
        <v>0</v>
      </c>
      <c r="IF127" t="s">
        <v>191</v>
      </c>
      <c r="IG127" s="254">
        <f t="shared" si="185"/>
        <v>1</v>
      </c>
      <c r="IL127" t="e">
        <f t="shared" si="186"/>
        <v>#VALUE!</v>
      </c>
    </row>
    <row r="128" spans="5:257" x14ac:dyDescent="0.25">
      <c r="E128" s="240" t="str">
        <f>Foglio3!F108</f>
        <v/>
      </c>
      <c r="F128" s="240" t="str">
        <f>Foglio3!G108</f>
        <v/>
      </c>
      <c r="G128" s="244"/>
      <c r="H128" s="245">
        <f t="shared" si="176"/>
        <v>0</v>
      </c>
      <c r="I128" s="245">
        <f t="shared" si="176"/>
        <v>0</v>
      </c>
      <c r="J128" s="244"/>
      <c r="K128" s="244"/>
      <c r="Q128">
        <f t="shared" si="175"/>
        <v>1</v>
      </c>
      <c r="R128">
        <f t="shared" si="197"/>
        <v>1</v>
      </c>
      <c r="S128">
        <f t="shared" si="177"/>
        <v>0</v>
      </c>
      <c r="T128">
        <f t="shared" si="194"/>
        <v>0</v>
      </c>
      <c r="U128">
        <f t="shared" si="195"/>
        <v>1</v>
      </c>
      <c r="W128" t="e">
        <f t="shared" si="198"/>
        <v>#VALUE!</v>
      </c>
      <c r="X128" t="e">
        <f t="shared" si="198"/>
        <v>#VALUE!</v>
      </c>
      <c r="Y128" t="e">
        <f t="shared" si="198"/>
        <v>#VALUE!</v>
      </c>
      <c r="DU128" s="112"/>
      <c r="DV128" s="112"/>
      <c r="EY128" s="238"/>
      <c r="HX128" s="253" t="s">
        <v>187</v>
      </c>
      <c r="HY128" s="112" t="e">
        <f t="shared" si="181"/>
        <v>#VALUE!</v>
      </c>
      <c r="HZ128" t="s">
        <v>188</v>
      </c>
      <c r="IA128" s="112" t="e">
        <f t="shared" si="182"/>
        <v>#VALUE!</v>
      </c>
      <c r="IB128" t="s">
        <v>189</v>
      </c>
      <c r="IC128">
        <f t="shared" si="183"/>
        <v>0</v>
      </c>
      <c r="ID128" t="s">
        <v>192</v>
      </c>
      <c r="IE128">
        <f t="shared" si="184"/>
        <v>0</v>
      </c>
      <c r="IF128" t="s">
        <v>191</v>
      </c>
      <c r="IG128" s="254">
        <f t="shared" si="185"/>
        <v>1</v>
      </c>
      <c r="IL128" t="e">
        <f t="shared" si="186"/>
        <v>#VALUE!</v>
      </c>
    </row>
    <row r="129" spans="5:257" x14ac:dyDescent="0.25">
      <c r="E129" s="240" t="str">
        <f>Foglio3!F109</f>
        <v/>
      </c>
      <c r="F129" s="240" t="str">
        <f>Foglio3!G109</f>
        <v/>
      </c>
      <c r="G129" s="244"/>
      <c r="H129" s="245">
        <f t="shared" si="176"/>
        <v>0</v>
      </c>
      <c r="I129" s="245">
        <f t="shared" si="176"/>
        <v>0</v>
      </c>
      <c r="J129" s="244"/>
      <c r="K129" s="244"/>
      <c r="Q129">
        <f t="shared" si="175"/>
        <v>1</v>
      </c>
      <c r="R129">
        <f t="shared" si="197"/>
        <v>1</v>
      </c>
      <c r="S129">
        <f t="shared" si="177"/>
        <v>0</v>
      </c>
      <c r="T129">
        <f t="shared" si="194"/>
        <v>0</v>
      </c>
      <c r="U129">
        <f t="shared" si="195"/>
        <v>1</v>
      </c>
      <c r="W129" t="e">
        <f t="shared" si="198"/>
        <v>#VALUE!</v>
      </c>
      <c r="X129" t="e">
        <f t="shared" si="198"/>
        <v>#VALUE!</v>
      </c>
      <c r="Y129" t="e">
        <f t="shared" si="198"/>
        <v>#VALUE!</v>
      </c>
      <c r="DU129" s="112"/>
      <c r="DV129" s="112"/>
      <c r="EY129" s="238"/>
      <c r="HX129" s="253" t="s">
        <v>187</v>
      </c>
      <c r="HY129" s="112" t="e">
        <f t="shared" si="181"/>
        <v>#VALUE!</v>
      </c>
      <c r="HZ129" t="s">
        <v>188</v>
      </c>
      <c r="IA129" s="112" t="e">
        <f t="shared" si="182"/>
        <v>#VALUE!</v>
      </c>
      <c r="IB129" t="s">
        <v>189</v>
      </c>
      <c r="IC129">
        <f t="shared" si="183"/>
        <v>0</v>
      </c>
      <c r="ID129" t="s">
        <v>192</v>
      </c>
      <c r="IE129">
        <f t="shared" si="184"/>
        <v>0</v>
      </c>
      <c r="IF129" t="s">
        <v>191</v>
      </c>
      <c r="IG129" s="254">
        <f t="shared" si="185"/>
        <v>1</v>
      </c>
      <c r="IL129" t="e">
        <f t="shared" si="186"/>
        <v>#VALUE!</v>
      </c>
    </row>
    <row r="130" spans="5:257" x14ac:dyDescent="0.25">
      <c r="E130" s="240" t="str">
        <f>Foglio3!F110</f>
        <v/>
      </c>
      <c r="F130" s="240" t="str">
        <f>Foglio3!G110</f>
        <v/>
      </c>
      <c r="G130" s="244"/>
      <c r="H130" s="245">
        <f t="shared" si="176"/>
        <v>0</v>
      </c>
      <c r="I130" s="245">
        <f t="shared" si="176"/>
        <v>0</v>
      </c>
      <c r="J130" s="244"/>
      <c r="K130" s="244"/>
      <c r="Q130">
        <f t="shared" si="175"/>
        <v>1</v>
      </c>
      <c r="R130">
        <f t="shared" si="197"/>
        <v>1</v>
      </c>
      <c r="S130">
        <f t="shared" si="177"/>
        <v>0</v>
      </c>
      <c r="T130">
        <f t="shared" si="194"/>
        <v>0</v>
      </c>
      <c r="U130">
        <f t="shared" si="195"/>
        <v>1</v>
      </c>
      <c r="W130" t="e">
        <f t="shared" si="198"/>
        <v>#VALUE!</v>
      </c>
      <c r="X130" t="e">
        <f t="shared" si="198"/>
        <v>#VALUE!</v>
      </c>
      <c r="Y130" t="e">
        <f t="shared" si="198"/>
        <v>#VALUE!</v>
      </c>
      <c r="DU130" s="112"/>
      <c r="DV130" s="112"/>
      <c r="EY130" s="238"/>
      <c r="HX130" s="253" t="s">
        <v>187</v>
      </c>
      <c r="HY130" s="112" t="e">
        <f t="shared" si="181"/>
        <v>#VALUE!</v>
      </c>
      <c r="HZ130" t="s">
        <v>188</v>
      </c>
      <c r="IA130" s="112" t="e">
        <f t="shared" si="182"/>
        <v>#VALUE!</v>
      </c>
      <c r="IB130" t="s">
        <v>189</v>
      </c>
      <c r="IC130">
        <f t="shared" si="183"/>
        <v>0</v>
      </c>
      <c r="ID130" t="s">
        <v>192</v>
      </c>
      <c r="IE130">
        <f t="shared" si="184"/>
        <v>0</v>
      </c>
      <c r="IF130" t="s">
        <v>191</v>
      </c>
      <c r="IG130" s="254">
        <f t="shared" si="185"/>
        <v>1</v>
      </c>
      <c r="IL130" t="e">
        <f t="shared" si="186"/>
        <v>#VALUE!</v>
      </c>
    </row>
    <row r="131" spans="5:257" x14ac:dyDescent="0.25">
      <c r="E131" s="240" t="str">
        <f>Foglio3!F111</f>
        <v/>
      </c>
      <c r="F131" s="240" t="str">
        <f>Foglio3!G111</f>
        <v/>
      </c>
      <c r="G131" s="244"/>
      <c r="H131" s="245">
        <f t="shared" si="176"/>
        <v>0</v>
      </c>
      <c r="I131" s="245">
        <f t="shared" si="176"/>
        <v>0</v>
      </c>
      <c r="J131" s="244"/>
      <c r="K131" s="244"/>
      <c r="Q131">
        <f t="shared" si="175"/>
        <v>1</v>
      </c>
      <c r="R131">
        <f t="shared" si="197"/>
        <v>1</v>
      </c>
      <c r="S131">
        <f t="shared" si="177"/>
        <v>0</v>
      </c>
      <c r="T131">
        <f t="shared" si="194"/>
        <v>0</v>
      </c>
      <c r="U131">
        <f t="shared" si="195"/>
        <v>1</v>
      </c>
      <c r="W131" t="e">
        <f t="shared" si="198"/>
        <v>#VALUE!</v>
      </c>
      <c r="X131" t="e">
        <f t="shared" si="198"/>
        <v>#VALUE!</v>
      </c>
      <c r="Y131" t="e">
        <f t="shared" si="198"/>
        <v>#VALUE!</v>
      </c>
      <c r="DU131" s="112"/>
      <c r="DV131" s="112"/>
      <c r="EY131" s="238"/>
      <c r="HX131" s="253" t="s">
        <v>187</v>
      </c>
      <c r="HY131" s="112" t="e">
        <f t="shared" si="181"/>
        <v>#VALUE!</v>
      </c>
      <c r="HZ131" t="s">
        <v>188</v>
      </c>
      <c r="IA131" s="112" t="e">
        <f t="shared" si="182"/>
        <v>#VALUE!</v>
      </c>
      <c r="IB131" t="s">
        <v>189</v>
      </c>
      <c r="IC131">
        <f t="shared" si="183"/>
        <v>0</v>
      </c>
      <c r="ID131" t="s">
        <v>192</v>
      </c>
      <c r="IE131">
        <f t="shared" si="184"/>
        <v>0</v>
      </c>
      <c r="IF131" t="s">
        <v>191</v>
      </c>
      <c r="IG131" s="254">
        <f t="shared" si="185"/>
        <v>1</v>
      </c>
      <c r="IL131" t="e">
        <f t="shared" si="186"/>
        <v>#VALUE!</v>
      </c>
    </row>
    <row r="132" spans="5:257" x14ac:dyDescent="0.25">
      <c r="E132" s="240" t="str">
        <f>Foglio3!F112</f>
        <v/>
      </c>
      <c r="F132" s="240" t="str">
        <f>Foglio3!G112</f>
        <v/>
      </c>
      <c r="DU132" s="112"/>
      <c r="DV132" s="112"/>
      <c r="EY132" s="238"/>
      <c r="HX132" s="253" t="s">
        <v>187</v>
      </c>
      <c r="HY132" s="112" t="e">
        <f t="shared" si="181"/>
        <v>#VALUE!</v>
      </c>
      <c r="HZ132" t="s">
        <v>188</v>
      </c>
      <c r="IA132" s="112" t="e">
        <f t="shared" si="182"/>
        <v>#VALUE!</v>
      </c>
      <c r="IB132" t="s">
        <v>189</v>
      </c>
      <c r="IC132">
        <f t="shared" si="183"/>
        <v>0</v>
      </c>
      <c r="ID132" t="s">
        <v>192</v>
      </c>
      <c r="IE132">
        <f t="shared" si="184"/>
        <v>0</v>
      </c>
      <c r="IF132" t="s">
        <v>191</v>
      </c>
      <c r="IG132" s="254">
        <f t="shared" si="185"/>
        <v>0</v>
      </c>
      <c r="IL132" t="e">
        <f t="shared" si="186"/>
        <v>#VALUE!</v>
      </c>
    </row>
    <row r="133" spans="5:257" x14ac:dyDescent="0.25">
      <c r="E133" s="240" t="str">
        <f>Foglio3!F113</f>
        <v/>
      </c>
      <c r="F133" s="240" t="str">
        <f>Foglio3!G113</f>
        <v/>
      </c>
      <c r="DU133" s="112"/>
      <c r="DV133" s="112"/>
      <c r="EY133" s="238"/>
      <c r="HX133" s="253" t="s">
        <v>187</v>
      </c>
      <c r="HY133" s="112" t="e">
        <f t="shared" si="181"/>
        <v>#VALUE!</v>
      </c>
      <c r="HZ133" t="s">
        <v>188</v>
      </c>
      <c r="IA133" s="112" t="e">
        <f t="shared" si="182"/>
        <v>#VALUE!</v>
      </c>
      <c r="IB133" t="s">
        <v>189</v>
      </c>
      <c r="IC133">
        <f t="shared" si="183"/>
        <v>0</v>
      </c>
      <c r="ID133" t="s">
        <v>192</v>
      </c>
      <c r="IE133">
        <f t="shared" si="184"/>
        <v>0</v>
      </c>
      <c r="IF133" t="s">
        <v>191</v>
      </c>
      <c r="IG133" s="254">
        <f t="shared" si="185"/>
        <v>0</v>
      </c>
      <c r="IL133" t="e">
        <f t="shared" si="186"/>
        <v>#VALUE!</v>
      </c>
    </row>
    <row r="134" spans="5:257" x14ac:dyDescent="0.25">
      <c r="E134" s="240" t="str">
        <f>Foglio3!F114</f>
        <v/>
      </c>
      <c r="F134" s="240" t="str">
        <f>Foglio3!G114</f>
        <v/>
      </c>
      <c r="DU134" s="112"/>
      <c r="DV134" s="112"/>
      <c r="EY134" s="238"/>
      <c r="HX134" s="253" t="s">
        <v>187</v>
      </c>
      <c r="HY134" s="112" t="e">
        <f t="shared" si="181"/>
        <v>#VALUE!</v>
      </c>
      <c r="HZ134" t="s">
        <v>188</v>
      </c>
      <c r="IA134" s="112" t="e">
        <f t="shared" si="182"/>
        <v>#VALUE!</v>
      </c>
      <c r="IB134" t="s">
        <v>189</v>
      </c>
      <c r="IC134">
        <f t="shared" si="183"/>
        <v>0</v>
      </c>
      <c r="ID134" t="s">
        <v>192</v>
      </c>
      <c r="IE134">
        <f t="shared" si="184"/>
        <v>0</v>
      </c>
      <c r="IF134" t="s">
        <v>191</v>
      </c>
      <c r="IG134" s="254">
        <f t="shared" si="185"/>
        <v>0</v>
      </c>
      <c r="IL134" t="e">
        <f t="shared" si="186"/>
        <v>#VALUE!</v>
      </c>
    </row>
    <row r="135" spans="5:257" x14ac:dyDescent="0.25">
      <c r="E135" s="240" t="str">
        <f>Foglio3!F115</f>
        <v/>
      </c>
      <c r="F135" s="240" t="str">
        <f>Foglio3!G115</f>
        <v/>
      </c>
      <c r="DU135" s="112"/>
      <c r="DV135" s="112"/>
      <c r="EY135" s="238"/>
      <c r="HX135" s="253" t="s">
        <v>187</v>
      </c>
      <c r="HY135" s="112" t="e">
        <f t="shared" si="181"/>
        <v>#VALUE!</v>
      </c>
      <c r="HZ135" t="s">
        <v>188</v>
      </c>
      <c r="IA135" s="112" t="e">
        <f t="shared" si="182"/>
        <v>#VALUE!</v>
      </c>
      <c r="IB135" t="s">
        <v>189</v>
      </c>
      <c r="IC135">
        <f t="shared" si="183"/>
        <v>0</v>
      </c>
      <c r="ID135" t="s">
        <v>192</v>
      </c>
      <c r="IE135">
        <f t="shared" si="184"/>
        <v>0</v>
      </c>
      <c r="IF135" t="s">
        <v>191</v>
      </c>
      <c r="IG135" s="254">
        <f t="shared" si="185"/>
        <v>0</v>
      </c>
      <c r="IL135" t="e">
        <f t="shared" si="186"/>
        <v>#VALUE!</v>
      </c>
    </row>
    <row r="136" spans="5:257" x14ac:dyDescent="0.25">
      <c r="E136" s="240" t="str">
        <f>Foglio3!F116</f>
        <v/>
      </c>
      <c r="F136" s="240" t="str">
        <f>Foglio3!G116</f>
        <v/>
      </c>
      <c r="DU136" s="112"/>
      <c r="DV136" s="112"/>
      <c r="EY136" s="238"/>
      <c r="HX136" s="253" t="s">
        <v>187</v>
      </c>
      <c r="HY136" s="112" t="e">
        <f t="shared" si="181"/>
        <v>#VALUE!</v>
      </c>
      <c r="HZ136" t="s">
        <v>188</v>
      </c>
      <c r="IA136" s="112" t="e">
        <f t="shared" si="182"/>
        <v>#VALUE!</v>
      </c>
      <c r="IB136" t="s">
        <v>189</v>
      </c>
      <c r="IC136">
        <f t="shared" si="183"/>
        <v>0</v>
      </c>
      <c r="ID136" t="s">
        <v>192</v>
      </c>
      <c r="IE136">
        <f t="shared" si="184"/>
        <v>0</v>
      </c>
      <c r="IF136" t="s">
        <v>191</v>
      </c>
      <c r="IG136" s="254">
        <f t="shared" si="185"/>
        <v>0</v>
      </c>
      <c r="IL136" t="e">
        <f t="shared" si="186"/>
        <v>#VALUE!</v>
      </c>
    </row>
    <row r="137" spans="5:257" x14ac:dyDescent="0.25">
      <c r="E137" s="240" t="str">
        <f>Foglio3!F117</f>
        <v/>
      </c>
      <c r="F137" s="240" t="str">
        <f>Foglio3!G117</f>
        <v/>
      </c>
      <c r="DU137" s="112"/>
      <c r="DV137" s="112"/>
      <c r="EY137" s="238"/>
      <c r="HX137" s="253" t="s">
        <v>187</v>
      </c>
      <c r="HY137" s="112" t="e">
        <f t="shared" si="181"/>
        <v>#VALUE!</v>
      </c>
      <c r="HZ137" t="s">
        <v>188</v>
      </c>
      <c r="IA137" s="112" t="e">
        <f t="shared" si="182"/>
        <v>#VALUE!</v>
      </c>
      <c r="IB137" t="s">
        <v>189</v>
      </c>
      <c r="IC137">
        <f t="shared" si="183"/>
        <v>0</v>
      </c>
      <c r="ID137" t="s">
        <v>192</v>
      </c>
      <c r="IE137">
        <f t="shared" si="184"/>
        <v>0</v>
      </c>
      <c r="IF137" t="s">
        <v>191</v>
      </c>
      <c r="IG137" s="254">
        <f t="shared" si="185"/>
        <v>0</v>
      </c>
      <c r="IL137" t="e">
        <f t="shared" si="186"/>
        <v>#VALUE!</v>
      </c>
    </row>
    <row r="138" spans="5:257" x14ac:dyDescent="0.25">
      <c r="E138" s="240" t="str">
        <f>Foglio3!F118</f>
        <v/>
      </c>
      <c r="F138" s="240" t="str">
        <f>Foglio3!G118</f>
        <v/>
      </c>
      <c r="DU138" s="112"/>
      <c r="DV138" s="112"/>
      <c r="EY138" s="238"/>
      <c r="HX138" s="253" t="s">
        <v>187</v>
      </c>
      <c r="HY138" s="112" t="e">
        <f t="shared" si="181"/>
        <v>#VALUE!</v>
      </c>
      <c r="HZ138" t="s">
        <v>188</v>
      </c>
      <c r="IA138" s="112" t="e">
        <f t="shared" si="182"/>
        <v>#VALUE!</v>
      </c>
      <c r="IB138" t="s">
        <v>189</v>
      </c>
      <c r="IC138">
        <f t="shared" si="183"/>
        <v>0</v>
      </c>
      <c r="ID138" t="s">
        <v>192</v>
      </c>
      <c r="IE138">
        <f t="shared" si="184"/>
        <v>0</v>
      </c>
      <c r="IF138" t="s">
        <v>191</v>
      </c>
      <c r="IG138" s="254">
        <f t="shared" si="185"/>
        <v>0</v>
      </c>
      <c r="IL138" t="e">
        <f t="shared" si="186"/>
        <v>#VALUE!</v>
      </c>
    </row>
    <row r="139" spans="5:257" x14ac:dyDescent="0.25">
      <c r="E139" s="240" t="str">
        <f>Foglio3!F119</f>
        <v/>
      </c>
      <c r="F139" s="240" t="str">
        <f>Foglio3!G119</f>
        <v/>
      </c>
      <c r="DU139" s="112"/>
      <c r="DV139" s="112"/>
      <c r="EY139" s="238"/>
      <c r="HX139" s="253" t="s">
        <v>187</v>
      </c>
      <c r="HY139" s="112" t="e">
        <f t="shared" si="181"/>
        <v>#VALUE!</v>
      </c>
      <c r="HZ139" t="s">
        <v>188</v>
      </c>
      <c r="IA139" s="112" t="e">
        <f t="shared" si="182"/>
        <v>#VALUE!</v>
      </c>
      <c r="IB139" t="s">
        <v>189</v>
      </c>
      <c r="IC139">
        <f t="shared" si="183"/>
        <v>0</v>
      </c>
      <c r="ID139" t="s">
        <v>192</v>
      </c>
      <c r="IE139">
        <f t="shared" si="184"/>
        <v>0</v>
      </c>
      <c r="IF139" t="s">
        <v>191</v>
      </c>
      <c r="IG139" s="254">
        <f t="shared" si="185"/>
        <v>0</v>
      </c>
      <c r="IL139" t="e">
        <f t="shared" si="186"/>
        <v>#VALUE!</v>
      </c>
    </row>
    <row r="140" spans="5:257" x14ac:dyDescent="0.25">
      <c r="E140" s="240" t="str">
        <f>Foglio3!F120</f>
        <v/>
      </c>
      <c r="F140" s="240" t="str">
        <f>Foglio3!G120</f>
        <v/>
      </c>
      <c r="DU140" s="112"/>
      <c r="DV140" s="112"/>
      <c r="EY140" s="238"/>
      <c r="HX140" s="253" t="s">
        <v>187</v>
      </c>
      <c r="HY140" s="112" t="e">
        <f t="shared" si="181"/>
        <v>#VALUE!</v>
      </c>
      <c r="HZ140" t="s">
        <v>188</v>
      </c>
      <c r="IA140" s="112" t="e">
        <f t="shared" si="182"/>
        <v>#VALUE!</v>
      </c>
      <c r="IB140" t="s">
        <v>189</v>
      </c>
      <c r="IC140">
        <f t="shared" si="183"/>
        <v>0</v>
      </c>
      <c r="ID140" t="s">
        <v>192</v>
      </c>
      <c r="IE140">
        <f t="shared" si="184"/>
        <v>0</v>
      </c>
      <c r="IF140" t="s">
        <v>191</v>
      </c>
      <c r="IG140" s="254">
        <f t="shared" si="185"/>
        <v>0</v>
      </c>
      <c r="IL140" t="e">
        <f t="shared" si="186"/>
        <v>#VALUE!</v>
      </c>
      <c r="IW140" t="e">
        <f>CONCATENATE(IL140,IL141,IL142,IL143,IL144,IL145,IL146,IL147,IL148,IL149,IL150,IL151,IL152,IL153,IL154,I645,IL156,IL157,IL158,IL159,)</f>
        <v>#VALUE!</v>
      </c>
    </row>
    <row r="141" spans="5:257" x14ac:dyDescent="0.25">
      <c r="E141" s="240" t="str">
        <f>Foglio3!F121</f>
        <v/>
      </c>
      <c r="F141" s="240" t="str">
        <f>Foglio3!G121</f>
        <v/>
      </c>
      <c r="DU141" s="112"/>
      <c r="DV141" s="112"/>
      <c r="EY141" s="238"/>
      <c r="HX141" s="253" t="s">
        <v>187</v>
      </c>
      <c r="HY141" s="112" t="e">
        <f t="shared" si="181"/>
        <v>#VALUE!</v>
      </c>
      <c r="HZ141" t="s">
        <v>188</v>
      </c>
      <c r="IA141" s="112" t="e">
        <f t="shared" si="182"/>
        <v>#VALUE!</v>
      </c>
      <c r="IB141" t="s">
        <v>189</v>
      </c>
      <c r="IC141">
        <f t="shared" si="183"/>
        <v>0</v>
      </c>
      <c r="ID141" t="s">
        <v>192</v>
      </c>
      <c r="IE141">
        <f t="shared" si="184"/>
        <v>0</v>
      </c>
      <c r="IF141" t="s">
        <v>191</v>
      </c>
      <c r="IG141" s="254">
        <f t="shared" si="185"/>
        <v>0</v>
      </c>
      <c r="IL141" t="e">
        <f t="shared" si="186"/>
        <v>#VALUE!</v>
      </c>
    </row>
    <row r="142" spans="5:257" x14ac:dyDescent="0.25">
      <c r="E142" s="240" t="str">
        <f>Foglio3!F122</f>
        <v/>
      </c>
      <c r="F142" s="240" t="str">
        <f>Foglio3!G122</f>
        <v/>
      </c>
      <c r="DU142" s="112"/>
      <c r="DV142" s="112"/>
      <c r="EY142" s="238"/>
      <c r="HX142" s="253" t="s">
        <v>187</v>
      </c>
      <c r="HY142" s="112" t="e">
        <f t="shared" si="181"/>
        <v>#VALUE!</v>
      </c>
      <c r="HZ142" t="s">
        <v>188</v>
      </c>
      <c r="IA142" s="112" t="e">
        <f t="shared" si="182"/>
        <v>#VALUE!</v>
      </c>
      <c r="IB142" t="s">
        <v>189</v>
      </c>
      <c r="IC142">
        <f t="shared" si="183"/>
        <v>0</v>
      </c>
      <c r="ID142" t="s">
        <v>192</v>
      </c>
      <c r="IE142">
        <f t="shared" si="184"/>
        <v>0</v>
      </c>
      <c r="IF142" t="s">
        <v>191</v>
      </c>
      <c r="IG142" s="254">
        <f t="shared" si="185"/>
        <v>0</v>
      </c>
      <c r="IL142" t="e">
        <f t="shared" si="186"/>
        <v>#VALUE!</v>
      </c>
    </row>
    <row r="143" spans="5:257" x14ac:dyDescent="0.25">
      <c r="E143" s="240" t="str">
        <f>Foglio3!F123</f>
        <v/>
      </c>
      <c r="F143" s="240" t="str">
        <f>Foglio3!G123</f>
        <v/>
      </c>
      <c r="DU143" s="112"/>
      <c r="DV143" s="112"/>
      <c r="EY143" s="238"/>
      <c r="HX143" s="253" t="s">
        <v>187</v>
      </c>
      <c r="HY143" s="112" t="e">
        <f t="shared" si="181"/>
        <v>#VALUE!</v>
      </c>
      <c r="HZ143" t="s">
        <v>188</v>
      </c>
      <c r="IA143" s="112" t="e">
        <f t="shared" si="182"/>
        <v>#VALUE!</v>
      </c>
      <c r="IB143" t="s">
        <v>189</v>
      </c>
      <c r="IC143">
        <f t="shared" si="183"/>
        <v>0</v>
      </c>
      <c r="ID143" t="s">
        <v>192</v>
      </c>
      <c r="IE143">
        <f t="shared" si="184"/>
        <v>0</v>
      </c>
      <c r="IF143" t="s">
        <v>191</v>
      </c>
      <c r="IG143" s="254">
        <f t="shared" si="185"/>
        <v>0</v>
      </c>
      <c r="IL143" t="e">
        <f t="shared" si="186"/>
        <v>#VALUE!</v>
      </c>
    </row>
    <row r="144" spans="5:257" x14ac:dyDescent="0.25">
      <c r="E144" s="240" t="str">
        <f>Foglio3!F124</f>
        <v/>
      </c>
      <c r="F144" s="240" t="str">
        <f>Foglio3!G124</f>
        <v/>
      </c>
      <c r="DU144" s="112"/>
      <c r="DV144" s="112"/>
      <c r="EY144" s="238"/>
      <c r="HX144" s="253" t="s">
        <v>187</v>
      </c>
      <c r="HY144" s="112" t="e">
        <f t="shared" si="181"/>
        <v>#VALUE!</v>
      </c>
      <c r="HZ144" t="s">
        <v>188</v>
      </c>
      <c r="IA144" s="112" t="e">
        <f t="shared" si="182"/>
        <v>#VALUE!</v>
      </c>
      <c r="IB144" t="s">
        <v>189</v>
      </c>
      <c r="IC144">
        <f t="shared" si="183"/>
        <v>0</v>
      </c>
      <c r="ID144" t="s">
        <v>192</v>
      </c>
      <c r="IE144">
        <f t="shared" si="184"/>
        <v>0</v>
      </c>
      <c r="IF144" t="s">
        <v>191</v>
      </c>
      <c r="IG144" s="254">
        <f t="shared" si="185"/>
        <v>0</v>
      </c>
      <c r="IL144" t="e">
        <f t="shared" si="186"/>
        <v>#VALUE!</v>
      </c>
    </row>
    <row r="145" spans="5:257" x14ac:dyDescent="0.25">
      <c r="E145" s="240" t="str">
        <f>Foglio3!F125</f>
        <v/>
      </c>
      <c r="F145" s="240" t="str">
        <f>Foglio3!G125</f>
        <v/>
      </c>
      <c r="DU145" s="112"/>
      <c r="DV145" s="112"/>
      <c r="EY145" s="238"/>
      <c r="HX145" s="253" t="s">
        <v>187</v>
      </c>
      <c r="HY145" s="112" t="e">
        <f t="shared" si="181"/>
        <v>#VALUE!</v>
      </c>
      <c r="HZ145" t="s">
        <v>188</v>
      </c>
      <c r="IA145" s="112" t="e">
        <f t="shared" si="182"/>
        <v>#VALUE!</v>
      </c>
      <c r="IB145" t="s">
        <v>189</v>
      </c>
      <c r="IC145">
        <f t="shared" si="183"/>
        <v>0</v>
      </c>
      <c r="ID145" t="s">
        <v>192</v>
      </c>
      <c r="IE145">
        <f t="shared" si="184"/>
        <v>0</v>
      </c>
      <c r="IF145" t="s">
        <v>191</v>
      </c>
      <c r="IG145" s="254">
        <f t="shared" si="185"/>
        <v>0</v>
      </c>
      <c r="IL145" t="e">
        <f t="shared" si="186"/>
        <v>#VALUE!</v>
      </c>
    </row>
    <row r="146" spans="5:257" x14ac:dyDescent="0.25">
      <c r="E146" s="240" t="str">
        <f>Foglio3!F126</f>
        <v/>
      </c>
      <c r="F146" s="240" t="str">
        <f>Foglio3!G126</f>
        <v/>
      </c>
      <c r="DU146" s="112"/>
      <c r="DV146" s="112"/>
      <c r="EY146" s="238"/>
      <c r="HX146" s="253" t="s">
        <v>187</v>
      </c>
      <c r="HY146" s="112" t="e">
        <f t="shared" si="181"/>
        <v>#VALUE!</v>
      </c>
      <c r="HZ146" t="s">
        <v>188</v>
      </c>
      <c r="IA146" s="112" t="e">
        <f t="shared" si="182"/>
        <v>#VALUE!</v>
      </c>
      <c r="IB146" t="s">
        <v>189</v>
      </c>
      <c r="IC146">
        <f t="shared" si="183"/>
        <v>0</v>
      </c>
      <c r="ID146" t="s">
        <v>192</v>
      </c>
      <c r="IE146">
        <f t="shared" si="184"/>
        <v>0</v>
      </c>
      <c r="IF146" t="s">
        <v>191</v>
      </c>
      <c r="IG146" s="254">
        <f t="shared" si="185"/>
        <v>0</v>
      </c>
      <c r="IL146" t="e">
        <f t="shared" si="186"/>
        <v>#VALUE!</v>
      </c>
    </row>
    <row r="147" spans="5:257" x14ac:dyDescent="0.25">
      <c r="E147" s="240" t="str">
        <f>Foglio3!F127</f>
        <v/>
      </c>
      <c r="F147" s="240" t="str">
        <f>Foglio3!G127</f>
        <v/>
      </c>
      <c r="DU147" s="112"/>
      <c r="DV147" s="112"/>
      <c r="EY147" s="238"/>
      <c r="HX147" s="253" t="s">
        <v>187</v>
      </c>
      <c r="HY147" s="112" t="e">
        <f t="shared" si="181"/>
        <v>#VALUE!</v>
      </c>
      <c r="HZ147" t="s">
        <v>188</v>
      </c>
      <c r="IA147" s="112" t="e">
        <f t="shared" si="182"/>
        <v>#VALUE!</v>
      </c>
      <c r="IB147" t="s">
        <v>189</v>
      </c>
      <c r="IC147">
        <f t="shared" si="183"/>
        <v>0</v>
      </c>
      <c r="ID147" t="s">
        <v>192</v>
      </c>
      <c r="IE147">
        <f t="shared" si="184"/>
        <v>0</v>
      </c>
      <c r="IF147" t="s">
        <v>191</v>
      </c>
      <c r="IG147" s="254">
        <f t="shared" si="185"/>
        <v>0</v>
      </c>
      <c r="IL147" t="e">
        <f t="shared" si="186"/>
        <v>#VALUE!</v>
      </c>
    </row>
    <row r="148" spans="5:257" x14ac:dyDescent="0.25">
      <c r="E148" s="240" t="str">
        <f>Foglio3!F128</f>
        <v/>
      </c>
      <c r="F148" s="240" t="str">
        <f>Foglio3!G128</f>
        <v/>
      </c>
      <c r="DU148" s="112"/>
      <c r="DV148" s="112"/>
      <c r="EY148" s="238"/>
      <c r="HX148" s="253" t="s">
        <v>187</v>
      </c>
      <c r="HY148" s="112" t="e">
        <f t="shared" si="181"/>
        <v>#VALUE!</v>
      </c>
      <c r="HZ148" t="s">
        <v>188</v>
      </c>
      <c r="IA148" s="112" t="e">
        <f t="shared" si="182"/>
        <v>#VALUE!</v>
      </c>
      <c r="IB148" t="s">
        <v>189</v>
      </c>
      <c r="IC148">
        <f t="shared" si="183"/>
        <v>0</v>
      </c>
      <c r="ID148" t="s">
        <v>192</v>
      </c>
      <c r="IE148">
        <f t="shared" si="184"/>
        <v>0</v>
      </c>
      <c r="IF148" t="s">
        <v>191</v>
      </c>
      <c r="IG148" s="254">
        <f t="shared" si="185"/>
        <v>0</v>
      </c>
      <c r="IL148" t="e">
        <f t="shared" si="186"/>
        <v>#VALUE!</v>
      </c>
    </row>
    <row r="149" spans="5:257" x14ac:dyDescent="0.25">
      <c r="E149" s="240" t="str">
        <f>Foglio3!F129</f>
        <v/>
      </c>
      <c r="F149" s="240" t="str">
        <f>Foglio3!G129</f>
        <v/>
      </c>
      <c r="DU149" s="112"/>
      <c r="DV149" s="112"/>
      <c r="EY149" s="238"/>
      <c r="HX149" s="253" t="s">
        <v>187</v>
      </c>
      <c r="HY149" s="112" t="e">
        <f t="shared" si="181"/>
        <v>#VALUE!</v>
      </c>
      <c r="HZ149" t="s">
        <v>188</v>
      </c>
      <c r="IA149" s="112" t="e">
        <f t="shared" si="182"/>
        <v>#VALUE!</v>
      </c>
      <c r="IB149" t="s">
        <v>189</v>
      </c>
      <c r="IC149">
        <f t="shared" si="183"/>
        <v>0</v>
      </c>
      <c r="ID149" t="s">
        <v>192</v>
      </c>
      <c r="IE149">
        <f t="shared" si="184"/>
        <v>0</v>
      </c>
      <c r="IF149" t="s">
        <v>191</v>
      </c>
      <c r="IG149" s="254">
        <f t="shared" si="185"/>
        <v>0</v>
      </c>
      <c r="IL149" t="e">
        <f t="shared" si="186"/>
        <v>#VALUE!</v>
      </c>
    </row>
    <row r="150" spans="5:257" x14ac:dyDescent="0.25">
      <c r="E150" s="240" t="str">
        <f>Foglio3!F130</f>
        <v/>
      </c>
      <c r="F150" s="240" t="str">
        <f>Foglio3!G130</f>
        <v/>
      </c>
      <c r="DU150" s="112"/>
      <c r="DV150" s="112"/>
      <c r="EY150" s="238"/>
      <c r="HX150" s="253" t="s">
        <v>187</v>
      </c>
      <c r="HY150" s="112" t="e">
        <f t="shared" si="181"/>
        <v>#VALUE!</v>
      </c>
      <c r="HZ150" t="s">
        <v>188</v>
      </c>
      <c r="IA150" s="112" t="e">
        <f t="shared" si="182"/>
        <v>#VALUE!</v>
      </c>
      <c r="IB150" t="s">
        <v>189</v>
      </c>
      <c r="IC150">
        <f t="shared" si="183"/>
        <v>0</v>
      </c>
      <c r="ID150" t="s">
        <v>192</v>
      </c>
      <c r="IE150">
        <f t="shared" si="184"/>
        <v>0</v>
      </c>
      <c r="IF150" t="s">
        <v>191</v>
      </c>
      <c r="IG150" s="254">
        <f t="shared" si="185"/>
        <v>0</v>
      </c>
      <c r="IL150" t="e">
        <f t="shared" si="186"/>
        <v>#VALUE!</v>
      </c>
    </row>
    <row r="151" spans="5:257" x14ac:dyDescent="0.25">
      <c r="E151" s="240" t="str">
        <f>Foglio3!F131</f>
        <v/>
      </c>
      <c r="F151" s="240" t="str">
        <f>Foglio3!G131</f>
        <v/>
      </c>
      <c r="DU151" s="112"/>
      <c r="DV151" s="112"/>
      <c r="EY151" s="238"/>
      <c r="HX151" s="253" t="s">
        <v>187</v>
      </c>
      <c r="HY151" s="112" t="e">
        <f t="shared" si="181"/>
        <v>#VALUE!</v>
      </c>
      <c r="HZ151" t="s">
        <v>188</v>
      </c>
      <c r="IA151" s="112" t="e">
        <f t="shared" si="182"/>
        <v>#VALUE!</v>
      </c>
      <c r="IB151" t="s">
        <v>189</v>
      </c>
      <c r="IC151">
        <f t="shared" si="183"/>
        <v>0</v>
      </c>
      <c r="ID151" t="s">
        <v>192</v>
      </c>
      <c r="IE151">
        <f t="shared" si="184"/>
        <v>0</v>
      </c>
      <c r="IF151" t="s">
        <v>191</v>
      </c>
      <c r="IG151" s="254">
        <f t="shared" si="185"/>
        <v>0</v>
      </c>
      <c r="IL151" t="e">
        <f t="shared" si="186"/>
        <v>#VALUE!</v>
      </c>
    </row>
    <row r="152" spans="5:257" x14ac:dyDescent="0.25">
      <c r="E152" s="240" t="str">
        <f>Foglio3!F132</f>
        <v/>
      </c>
      <c r="F152" s="240" t="str">
        <f>Foglio3!G132</f>
        <v/>
      </c>
      <c r="DU152" s="112"/>
      <c r="DV152" s="112"/>
      <c r="EY152" s="238"/>
      <c r="HX152" s="253" t="s">
        <v>187</v>
      </c>
      <c r="HY152" s="112" t="e">
        <f t="shared" si="181"/>
        <v>#VALUE!</v>
      </c>
      <c r="HZ152" t="s">
        <v>188</v>
      </c>
      <c r="IA152" s="112" t="e">
        <f t="shared" si="182"/>
        <v>#VALUE!</v>
      </c>
      <c r="IB152" t="s">
        <v>189</v>
      </c>
      <c r="IC152">
        <f t="shared" si="183"/>
        <v>0</v>
      </c>
      <c r="ID152" t="s">
        <v>192</v>
      </c>
      <c r="IE152">
        <f t="shared" si="184"/>
        <v>0</v>
      </c>
      <c r="IF152" t="s">
        <v>191</v>
      </c>
      <c r="IG152" s="254">
        <f t="shared" si="185"/>
        <v>0</v>
      </c>
      <c r="IL152" t="e">
        <f t="shared" si="186"/>
        <v>#VALUE!</v>
      </c>
    </row>
    <row r="153" spans="5:257" x14ac:dyDescent="0.25">
      <c r="E153" s="240" t="str">
        <f>Foglio3!F133</f>
        <v/>
      </c>
      <c r="F153" s="240" t="str">
        <f>Foglio3!G133</f>
        <v/>
      </c>
      <c r="DU153" s="112"/>
      <c r="DV153" s="112"/>
      <c r="EY153" s="238"/>
      <c r="HX153" s="253" t="s">
        <v>187</v>
      </c>
      <c r="HY153" s="112" t="e">
        <f t="shared" si="181"/>
        <v>#VALUE!</v>
      </c>
      <c r="HZ153" t="s">
        <v>188</v>
      </c>
      <c r="IA153" s="112" t="e">
        <f t="shared" si="182"/>
        <v>#VALUE!</v>
      </c>
      <c r="IB153" t="s">
        <v>189</v>
      </c>
      <c r="IC153">
        <f t="shared" si="183"/>
        <v>0</v>
      </c>
      <c r="ID153" t="s">
        <v>192</v>
      </c>
      <c r="IE153">
        <f t="shared" si="184"/>
        <v>0</v>
      </c>
      <c r="IF153" t="s">
        <v>191</v>
      </c>
      <c r="IG153" s="254">
        <f t="shared" si="185"/>
        <v>0</v>
      </c>
      <c r="IL153" t="e">
        <f t="shared" si="186"/>
        <v>#VALUE!</v>
      </c>
    </row>
    <row r="154" spans="5:257" x14ac:dyDescent="0.25">
      <c r="E154" s="240" t="str">
        <f>Foglio3!F134</f>
        <v/>
      </c>
      <c r="F154" s="240" t="str">
        <f>Foglio3!G134</f>
        <v/>
      </c>
      <c r="DU154" s="112"/>
      <c r="DV154" s="112"/>
      <c r="EY154" s="238"/>
      <c r="HX154" s="253" t="s">
        <v>187</v>
      </c>
      <c r="HY154" s="112" t="e">
        <f t="shared" si="181"/>
        <v>#VALUE!</v>
      </c>
      <c r="HZ154" t="s">
        <v>188</v>
      </c>
      <c r="IA154" s="112" t="e">
        <f t="shared" si="182"/>
        <v>#VALUE!</v>
      </c>
      <c r="IB154" t="s">
        <v>189</v>
      </c>
      <c r="IC154">
        <f t="shared" si="183"/>
        <v>0</v>
      </c>
      <c r="ID154" t="s">
        <v>192</v>
      </c>
      <c r="IE154">
        <f t="shared" si="184"/>
        <v>0</v>
      </c>
      <c r="IF154" t="s">
        <v>191</v>
      </c>
      <c r="IG154" s="254">
        <f t="shared" si="185"/>
        <v>0</v>
      </c>
      <c r="IL154" t="e">
        <f t="shared" si="186"/>
        <v>#VALUE!</v>
      </c>
    </row>
    <row r="155" spans="5:257" x14ac:dyDescent="0.25">
      <c r="E155" s="240" t="str">
        <f>Foglio3!F135</f>
        <v/>
      </c>
      <c r="F155" s="240" t="str">
        <f>Foglio3!G135</f>
        <v/>
      </c>
      <c r="DU155" s="112"/>
      <c r="DV155" s="112"/>
      <c r="EY155" s="238"/>
      <c r="HX155" s="253" t="s">
        <v>187</v>
      </c>
      <c r="HY155" s="112" t="e">
        <f t="shared" si="181"/>
        <v>#VALUE!</v>
      </c>
      <c r="HZ155" t="s">
        <v>188</v>
      </c>
      <c r="IA155" s="112" t="e">
        <f t="shared" si="182"/>
        <v>#VALUE!</v>
      </c>
      <c r="IB155" t="s">
        <v>189</v>
      </c>
      <c r="IC155">
        <f t="shared" si="183"/>
        <v>0</v>
      </c>
      <c r="ID155" t="s">
        <v>192</v>
      </c>
      <c r="IE155">
        <f t="shared" si="184"/>
        <v>0</v>
      </c>
      <c r="IF155" t="s">
        <v>191</v>
      </c>
      <c r="IG155" s="254">
        <f t="shared" si="185"/>
        <v>0</v>
      </c>
      <c r="IL155" t="e">
        <f t="shared" si="186"/>
        <v>#VALUE!</v>
      </c>
    </row>
    <row r="156" spans="5:257" x14ac:dyDescent="0.25">
      <c r="E156" s="240" t="str">
        <f>Foglio3!F136</f>
        <v/>
      </c>
      <c r="F156" s="240" t="str">
        <f>Foglio3!G136</f>
        <v/>
      </c>
      <c r="DU156" s="112"/>
      <c r="DV156" s="112"/>
      <c r="EY156" s="238"/>
      <c r="HX156" s="253" t="s">
        <v>187</v>
      </c>
      <c r="HY156" s="112" t="e">
        <f t="shared" si="181"/>
        <v>#VALUE!</v>
      </c>
      <c r="HZ156" t="s">
        <v>188</v>
      </c>
      <c r="IA156" s="112" t="e">
        <f t="shared" si="182"/>
        <v>#VALUE!</v>
      </c>
      <c r="IB156" t="s">
        <v>189</v>
      </c>
      <c r="IC156">
        <f t="shared" si="183"/>
        <v>0</v>
      </c>
      <c r="ID156" t="s">
        <v>192</v>
      </c>
      <c r="IE156">
        <f t="shared" si="184"/>
        <v>0</v>
      </c>
      <c r="IF156" t="s">
        <v>191</v>
      </c>
      <c r="IG156" s="254">
        <f t="shared" si="185"/>
        <v>0</v>
      </c>
      <c r="IL156" t="e">
        <f t="shared" si="186"/>
        <v>#VALUE!</v>
      </c>
    </row>
    <row r="157" spans="5:257" x14ac:dyDescent="0.25">
      <c r="E157" s="240" t="str">
        <f>Foglio3!F137</f>
        <v/>
      </c>
      <c r="F157" s="240" t="str">
        <f>Foglio3!G137</f>
        <v/>
      </c>
      <c r="DU157" s="112"/>
      <c r="DV157" s="112"/>
      <c r="EY157" s="238"/>
      <c r="HX157" s="253" t="s">
        <v>187</v>
      </c>
      <c r="HY157" s="112" t="e">
        <f t="shared" si="181"/>
        <v>#VALUE!</v>
      </c>
      <c r="HZ157" t="s">
        <v>188</v>
      </c>
      <c r="IA157" s="112" t="e">
        <f t="shared" si="182"/>
        <v>#VALUE!</v>
      </c>
      <c r="IB157" t="s">
        <v>189</v>
      </c>
      <c r="IC157">
        <f t="shared" si="183"/>
        <v>0</v>
      </c>
      <c r="ID157" t="s">
        <v>192</v>
      </c>
      <c r="IE157">
        <f t="shared" si="184"/>
        <v>0</v>
      </c>
      <c r="IF157" t="s">
        <v>191</v>
      </c>
      <c r="IG157" s="254">
        <f t="shared" si="185"/>
        <v>0</v>
      </c>
      <c r="IL157" t="e">
        <f t="shared" si="186"/>
        <v>#VALUE!</v>
      </c>
    </row>
    <row r="158" spans="5:257" x14ac:dyDescent="0.25">
      <c r="E158" s="240" t="str">
        <f>Foglio3!F138</f>
        <v/>
      </c>
      <c r="F158" s="240" t="str">
        <f>Foglio3!G138</f>
        <v/>
      </c>
      <c r="DU158" s="112"/>
      <c r="DV158" s="112"/>
      <c r="EY158" s="238"/>
      <c r="HX158" s="253" t="s">
        <v>187</v>
      </c>
      <c r="HY158" s="112" t="e">
        <f t="shared" si="181"/>
        <v>#VALUE!</v>
      </c>
      <c r="HZ158" t="s">
        <v>188</v>
      </c>
      <c r="IA158" s="112" t="e">
        <f t="shared" si="182"/>
        <v>#VALUE!</v>
      </c>
      <c r="IB158" t="s">
        <v>189</v>
      </c>
      <c r="IC158">
        <f t="shared" si="183"/>
        <v>0</v>
      </c>
      <c r="ID158" t="s">
        <v>192</v>
      </c>
      <c r="IE158">
        <f t="shared" si="184"/>
        <v>0</v>
      </c>
      <c r="IF158" t="s">
        <v>191</v>
      </c>
      <c r="IG158" s="254">
        <f t="shared" si="185"/>
        <v>0</v>
      </c>
      <c r="IL158" t="e">
        <f t="shared" si="186"/>
        <v>#VALUE!</v>
      </c>
    </row>
    <row r="159" spans="5:257" x14ac:dyDescent="0.25">
      <c r="E159" s="240" t="str">
        <f>Foglio3!F139</f>
        <v/>
      </c>
      <c r="F159" s="240" t="str">
        <f>Foglio3!G139</f>
        <v/>
      </c>
      <c r="DU159" s="112"/>
      <c r="DV159" s="112"/>
      <c r="EY159" s="238"/>
      <c r="HX159" s="253" t="s">
        <v>187</v>
      </c>
      <c r="HY159" s="112" t="e">
        <f t="shared" si="181"/>
        <v>#VALUE!</v>
      </c>
      <c r="HZ159" t="s">
        <v>188</v>
      </c>
      <c r="IA159" s="112" t="e">
        <f t="shared" si="182"/>
        <v>#VALUE!</v>
      </c>
      <c r="IB159" t="s">
        <v>189</v>
      </c>
      <c r="IC159">
        <f t="shared" si="183"/>
        <v>0</v>
      </c>
      <c r="ID159" t="s">
        <v>192</v>
      </c>
      <c r="IE159">
        <f t="shared" si="184"/>
        <v>0</v>
      </c>
      <c r="IF159" t="s">
        <v>191</v>
      </c>
      <c r="IG159" s="254">
        <f t="shared" si="185"/>
        <v>0</v>
      </c>
      <c r="IL159" t="e">
        <f t="shared" si="186"/>
        <v>#VALUE!</v>
      </c>
    </row>
    <row r="160" spans="5:257" x14ac:dyDescent="0.25">
      <c r="E160" s="240" t="str">
        <f>Foglio3!F140</f>
        <v/>
      </c>
      <c r="F160" s="240" t="str">
        <f>Foglio3!G140</f>
        <v/>
      </c>
      <c r="DU160" s="112"/>
      <c r="DV160" s="112"/>
      <c r="EY160" s="238"/>
      <c r="HX160" s="253" t="s">
        <v>187</v>
      </c>
      <c r="HY160" s="112" t="e">
        <f t="shared" si="181"/>
        <v>#VALUE!</v>
      </c>
      <c r="HZ160" t="s">
        <v>188</v>
      </c>
      <c r="IA160" s="112" t="e">
        <f t="shared" si="182"/>
        <v>#VALUE!</v>
      </c>
      <c r="IB160" t="s">
        <v>189</v>
      </c>
      <c r="IC160">
        <f t="shared" si="183"/>
        <v>0</v>
      </c>
      <c r="ID160" t="s">
        <v>192</v>
      </c>
      <c r="IE160">
        <f t="shared" si="184"/>
        <v>0</v>
      </c>
      <c r="IF160" t="s">
        <v>191</v>
      </c>
      <c r="IG160" s="254">
        <f t="shared" si="185"/>
        <v>0</v>
      </c>
      <c r="IL160" t="e">
        <f t="shared" si="186"/>
        <v>#VALUE!</v>
      </c>
      <c r="IW160" t="e">
        <f>CONCATENATE(IL160,IL161,IL162,IL163,IL164,IL165,IL166,IL167,IL168,IL169,IL170,IL171,IL172,IL173,IL174,I665,IL176,IL177,IL178,IL179,)</f>
        <v>#VALUE!</v>
      </c>
    </row>
    <row r="161" spans="5:246" x14ac:dyDescent="0.25">
      <c r="E161" s="240" t="str">
        <f>Foglio3!F141</f>
        <v/>
      </c>
      <c r="F161" s="240" t="str">
        <f>Foglio3!G141</f>
        <v/>
      </c>
      <c r="DU161" s="112"/>
      <c r="DV161" s="112"/>
      <c r="EY161" s="238"/>
      <c r="HX161" s="253" t="s">
        <v>187</v>
      </c>
      <c r="HY161" s="112" t="e">
        <f t="shared" si="181"/>
        <v>#VALUE!</v>
      </c>
      <c r="HZ161" t="s">
        <v>188</v>
      </c>
      <c r="IA161" s="112" t="e">
        <f t="shared" si="182"/>
        <v>#VALUE!</v>
      </c>
      <c r="IB161" t="s">
        <v>189</v>
      </c>
      <c r="IC161">
        <f t="shared" si="183"/>
        <v>0</v>
      </c>
      <c r="ID161" t="s">
        <v>192</v>
      </c>
      <c r="IE161">
        <f t="shared" si="184"/>
        <v>0</v>
      </c>
      <c r="IF161" t="s">
        <v>191</v>
      </c>
      <c r="IG161" s="254">
        <f t="shared" si="185"/>
        <v>0</v>
      </c>
      <c r="IL161" t="e">
        <f t="shared" si="186"/>
        <v>#VALUE!</v>
      </c>
    </row>
    <row r="162" spans="5:246" x14ac:dyDescent="0.25">
      <c r="E162" s="240" t="str">
        <f>Foglio3!F142</f>
        <v/>
      </c>
      <c r="F162" s="240" t="str">
        <f>Foglio3!G142</f>
        <v/>
      </c>
      <c r="DU162" s="112"/>
      <c r="DV162" s="112"/>
      <c r="EY162" s="238"/>
      <c r="HX162" s="253" t="s">
        <v>187</v>
      </c>
      <c r="HY162" s="112" t="e">
        <f t="shared" si="181"/>
        <v>#VALUE!</v>
      </c>
      <c r="HZ162" t="s">
        <v>188</v>
      </c>
      <c r="IA162" s="112" t="e">
        <f t="shared" si="182"/>
        <v>#VALUE!</v>
      </c>
      <c r="IB162" t="s">
        <v>189</v>
      </c>
      <c r="IC162">
        <f t="shared" si="183"/>
        <v>0</v>
      </c>
      <c r="ID162" t="s">
        <v>192</v>
      </c>
      <c r="IE162">
        <f t="shared" si="184"/>
        <v>0</v>
      </c>
      <c r="IF162" t="s">
        <v>191</v>
      </c>
      <c r="IG162" s="254">
        <f t="shared" si="185"/>
        <v>0</v>
      </c>
      <c r="IL162" t="e">
        <f t="shared" si="186"/>
        <v>#VALUE!</v>
      </c>
    </row>
    <row r="163" spans="5:246" x14ac:dyDescent="0.25">
      <c r="E163" s="240" t="str">
        <f>Foglio3!F143</f>
        <v/>
      </c>
      <c r="F163" s="240" t="str">
        <f>Foglio3!G143</f>
        <v/>
      </c>
      <c r="DU163" s="112"/>
      <c r="DV163" s="112"/>
      <c r="EY163" s="238"/>
      <c r="HX163" s="253" t="s">
        <v>187</v>
      </c>
      <c r="HY163" s="112" t="e">
        <f t="shared" si="181"/>
        <v>#VALUE!</v>
      </c>
      <c r="HZ163" t="s">
        <v>188</v>
      </c>
      <c r="IA163" s="112" t="e">
        <f t="shared" si="182"/>
        <v>#VALUE!</v>
      </c>
      <c r="IB163" t="s">
        <v>189</v>
      </c>
      <c r="IC163">
        <f t="shared" si="183"/>
        <v>0</v>
      </c>
      <c r="ID163" t="s">
        <v>192</v>
      </c>
      <c r="IE163">
        <f t="shared" si="184"/>
        <v>0</v>
      </c>
      <c r="IF163" t="s">
        <v>191</v>
      </c>
      <c r="IG163" s="254">
        <f t="shared" si="185"/>
        <v>0</v>
      </c>
      <c r="IL163" t="e">
        <f t="shared" si="186"/>
        <v>#VALUE!</v>
      </c>
    </row>
    <row r="164" spans="5:246" x14ac:dyDescent="0.25">
      <c r="E164" s="240" t="str">
        <f>Foglio3!F144</f>
        <v/>
      </c>
      <c r="F164" s="240" t="str">
        <f>Foglio3!G144</f>
        <v/>
      </c>
      <c r="DU164" s="112"/>
      <c r="DV164" s="112"/>
      <c r="EY164" s="238"/>
      <c r="HX164" s="253" t="s">
        <v>187</v>
      </c>
      <c r="HY164" s="112" t="e">
        <f t="shared" si="181"/>
        <v>#VALUE!</v>
      </c>
      <c r="HZ164" t="s">
        <v>188</v>
      </c>
      <c r="IA164" s="112" t="e">
        <f t="shared" si="182"/>
        <v>#VALUE!</v>
      </c>
      <c r="IB164" t="s">
        <v>189</v>
      </c>
      <c r="IC164">
        <f t="shared" si="183"/>
        <v>0</v>
      </c>
      <c r="ID164" t="s">
        <v>192</v>
      </c>
      <c r="IE164">
        <f t="shared" si="184"/>
        <v>0</v>
      </c>
      <c r="IF164" t="s">
        <v>191</v>
      </c>
      <c r="IG164" s="254">
        <f t="shared" si="185"/>
        <v>0</v>
      </c>
      <c r="IL164" t="e">
        <f t="shared" si="186"/>
        <v>#VALUE!</v>
      </c>
    </row>
    <row r="165" spans="5:246" x14ac:dyDescent="0.25">
      <c r="E165" s="240" t="str">
        <f>Foglio3!F145</f>
        <v/>
      </c>
      <c r="F165" s="240" t="str">
        <f>Foglio3!G145</f>
        <v/>
      </c>
      <c r="DU165" s="112"/>
      <c r="DV165" s="112"/>
      <c r="EY165" s="238"/>
      <c r="HX165" s="253" t="s">
        <v>187</v>
      </c>
      <c r="HY165" s="112" t="e">
        <f t="shared" si="181"/>
        <v>#VALUE!</v>
      </c>
      <c r="HZ165" t="s">
        <v>188</v>
      </c>
      <c r="IA165" s="112" t="e">
        <f t="shared" si="182"/>
        <v>#VALUE!</v>
      </c>
      <c r="IB165" t="s">
        <v>189</v>
      </c>
      <c r="IC165">
        <f t="shared" si="183"/>
        <v>0</v>
      </c>
      <c r="ID165" t="s">
        <v>192</v>
      </c>
      <c r="IE165">
        <f t="shared" si="184"/>
        <v>0</v>
      </c>
      <c r="IF165" t="s">
        <v>191</v>
      </c>
      <c r="IG165" s="254">
        <f t="shared" si="185"/>
        <v>0</v>
      </c>
      <c r="IL165" t="e">
        <f t="shared" si="186"/>
        <v>#VALUE!</v>
      </c>
    </row>
    <row r="166" spans="5:246" x14ac:dyDescent="0.25">
      <c r="E166" s="240" t="str">
        <f>Foglio3!F146</f>
        <v/>
      </c>
      <c r="F166" s="240" t="str">
        <f>Foglio3!G146</f>
        <v/>
      </c>
      <c r="DU166" s="112"/>
      <c r="DV166" s="112"/>
      <c r="EY166" s="238"/>
      <c r="HX166" s="253" t="s">
        <v>187</v>
      </c>
      <c r="HY166" s="112" t="e">
        <f t="shared" si="181"/>
        <v>#VALUE!</v>
      </c>
      <c r="HZ166" t="s">
        <v>188</v>
      </c>
      <c r="IA166" s="112" t="e">
        <f t="shared" si="182"/>
        <v>#VALUE!</v>
      </c>
      <c r="IB166" t="s">
        <v>189</v>
      </c>
      <c r="IC166">
        <f t="shared" si="183"/>
        <v>0</v>
      </c>
      <c r="ID166" t="s">
        <v>192</v>
      </c>
      <c r="IE166">
        <f t="shared" si="184"/>
        <v>0</v>
      </c>
      <c r="IF166" t="s">
        <v>191</v>
      </c>
      <c r="IG166" s="254">
        <f t="shared" si="185"/>
        <v>0</v>
      </c>
      <c r="IL166" t="e">
        <f t="shared" si="186"/>
        <v>#VALUE!</v>
      </c>
    </row>
    <row r="167" spans="5:246" x14ac:dyDescent="0.25">
      <c r="E167" s="240">
        <f>Foglio3!F147</f>
        <v>0</v>
      </c>
      <c r="F167" s="240">
        <f>Foglio3!G147</f>
        <v>0</v>
      </c>
      <c r="DU167" s="112"/>
      <c r="DV167" s="112"/>
      <c r="EY167" s="238"/>
      <c r="HX167" s="253" t="s">
        <v>187</v>
      </c>
      <c r="HY167" s="112" t="str">
        <f t="shared" si="181"/>
        <v>0/1/1900</v>
      </c>
      <c r="HZ167" t="s">
        <v>188</v>
      </c>
      <c r="IA167" s="112" t="str">
        <f t="shared" si="182"/>
        <v>0/1/1900</v>
      </c>
      <c r="IB167" t="s">
        <v>189</v>
      </c>
      <c r="IC167">
        <f t="shared" si="183"/>
        <v>0</v>
      </c>
      <c r="ID167" t="s">
        <v>192</v>
      </c>
      <c r="IE167">
        <f t="shared" si="184"/>
        <v>0</v>
      </c>
      <c r="IF167" t="s">
        <v>191</v>
      </c>
      <c r="IG167" s="254">
        <f t="shared" si="185"/>
        <v>0</v>
      </c>
      <c r="IL167" t="str">
        <f t="shared" si="186"/>
        <v/>
      </c>
    </row>
    <row r="168" spans="5:246" x14ac:dyDescent="0.25">
      <c r="E168" s="240">
        <f>Foglio3!F148</f>
        <v>0</v>
      </c>
      <c r="F168" s="240">
        <f>Foglio3!G148</f>
        <v>0</v>
      </c>
      <c r="DU168" s="112"/>
      <c r="DV168" s="112"/>
      <c r="EY168" s="238"/>
      <c r="HX168" s="253" t="s">
        <v>187</v>
      </c>
      <c r="HY168" s="112" t="str">
        <f t="shared" si="181"/>
        <v>0/1/1900</v>
      </c>
      <c r="HZ168" t="s">
        <v>188</v>
      </c>
      <c r="IA168" s="112" t="str">
        <f t="shared" si="182"/>
        <v>0/1/1900</v>
      </c>
      <c r="IB168" t="s">
        <v>189</v>
      </c>
      <c r="IC168">
        <f t="shared" si="183"/>
        <v>0</v>
      </c>
      <c r="ID168" t="s">
        <v>192</v>
      </c>
      <c r="IE168">
        <f t="shared" si="184"/>
        <v>0</v>
      </c>
      <c r="IF168" t="s">
        <v>191</v>
      </c>
      <c r="IG168" s="254">
        <f t="shared" si="185"/>
        <v>0</v>
      </c>
      <c r="IL168" t="str">
        <f t="shared" si="186"/>
        <v/>
      </c>
    </row>
    <row r="169" spans="5:246" x14ac:dyDescent="0.25">
      <c r="E169" s="240">
        <f>Foglio3!F149</f>
        <v>0</v>
      </c>
      <c r="F169" s="240">
        <f>Foglio3!G149</f>
        <v>0</v>
      </c>
      <c r="DU169" s="112"/>
      <c r="DV169" s="112"/>
      <c r="EY169" s="238"/>
      <c r="HX169" s="253" t="s">
        <v>187</v>
      </c>
      <c r="HY169" s="112" t="str">
        <f t="shared" ref="HY169:HY178" si="199">CONCATENATE(DAY(E169),"/",MONTH(E169),"/",YEAR(E169))</f>
        <v>0/1/1900</v>
      </c>
      <c r="HZ169" t="s">
        <v>188</v>
      </c>
      <c r="IA169" s="112" t="str">
        <f t="shared" ref="IA169:IA178" si="200">CONCATENATE(DAY(F169),"/",MONTH(F169),"/",YEAR(F169))</f>
        <v>0/1/1900</v>
      </c>
      <c r="IB169" t="s">
        <v>189</v>
      </c>
      <c r="IC169">
        <f t="shared" ref="IC169:IC178" si="201">S169</f>
        <v>0</v>
      </c>
      <c r="ID169" t="s">
        <v>192</v>
      </c>
      <c r="IE169">
        <f t="shared" ref="IE169:IE178" si="202">T169</f>
        <v>0</v>
      </c>
      <c r="IF169" t="s">
        <v>191</v>
      </c>
      <c r="IG169" s="254">
        <f t="shared" ref="IG169:IG178" si="203">U169</f>
        <v>0</v>
      </c>
      <c r="IL169" t="str">
        <f t="shared" ref="IL169:IL179" si="204">IF(E169&gt;0,CONCATENATE(HX169,HY169,HZ169,IA169,IB169,IC169,ID169,IE169,IF169,IG169,"
"),"")</f>
        <v/>
      </c>
    </row>
    <row r="170" spans="5:246" x14ac:dyDescent="0.25">
      <c r="E170" s="240">
        <f>Foglio3!F150</f>
        <v>0</v>
      </c>
      <c r="F170" s="240">
        <f>Foglio3!G150</f>
        <v>0</v>
      </c>
      <c r="DU170" s="112"/>
      <c r="DV170" s="112"/>
      <c r="EY170" s="238"/>
      <c r="HX170" s="253" t="s">
        <v>187</v>
      </c>
      <c r="HY170" s="112" t="str">
        <f t="shared" si="199"/>
        <v>0/1/1900</v>
      </c>
      <c r="HZ170" t="s">
        <v>188</v>
      </c>
      <c r="IA170" s="112" t="str">
        <f t="shared" si="200"/>
        <v>0/1/1900</v>
      </c>
      <c r="IB170" t="s">
        <v>189</v>
      </c>
      <c r="IC170">
        <f t="shared" si="201"/>
        <v>0</v>
      </c>
      <c r="ID170" t="s">
        <v>192</v>
      </c>
      <c r="IE170">
        <f t="shared" si="202"/>
        <v>0</v>
      </c>
      <c r="IF170" t="s">
        <v>191</v>
      </c>
      <c r="IG170" s="254">
        <f t="shared" si="203"/>
        <v>0</v>
      </c>
      <c r="IL170" t="str">
        <f t="shared" si="204"/>
        <v/>
      </c>
    </row>
    <row r="171" spans="5:246" x14ac:dyDescent="0.25">
      <c r="E171" s="240">
        <f>Foglio3!F151</f>
        <v>0</v>
      </c>
      <c r="F171" s="240">
        <f>Foglio3!G151</f>
        <v>0</v>
      </c>
      <c r="DU171" s="112"/>
      <c r="DV171" s="112"/>
      <c r="EY171" s="238"/>
      <c r="HX171" s="253" t="s">
        <v>187</v>
      </c>
      <c r="HY171" s="112" t="str">
        <f t="shared" si="199"/>
        <v>0/1/1900</v>
      </c>
      <c r="HZ171" t="s">
        <v>188</v>
      </c>
      <c r="IA171" s="112" t="str">
        <f t="shared" si="200"/>
        <v>0/1/1900</v>
      </c>
      <c r="IB171" t="s">
        <v>189</v>
      </c>
      <c r="IC171">
        <f t="shared" si="201"/>
        <v>0</v>
      </c>
      <c r="ID171" t="s">
        <v>192</v>
      </c>
      <c r="IE171">
        <f t="shared" si="202"/>
        <v>0</v>
      </c>
      <c r="IF171" t="s">
        <v>191</v>
      </c>
      <c r="IG171" s="254">
        <f t="shared" si="203"/>
        <v>0</v>
      </c>
      <c r="IL171" t="str">
        <f t="shared" si="204"/>
        <v/>
      </c>
    </row>
    <row r="172" spans="5:246" x14ac:dyDescent="0.25">
      <c r="E172" s="240">
        <f>Foglio3!F152</f>
        <v>0</v>
      </c>
      <c r="F172" s="240">
        <f>Foglio3!G152</f>
        <v>0</v>
      </c>
      <c r="DU172" s="112"/>
      <c r="DV172" s="112"/>
      <c r="EY172" s="238"/>
      <c r="HX172" s="253" t="s">
        <v>187</v>
      </c>
      <c r="HY172" s="112" t="str">
        <f t="shared" si="199"/>
        <v>0/1/1900</v>
      </c>
      <c r="HZ172" t="s">
        <v>188</v>
      </c>
      <c r="IA172" s="112" t="str">
        <f t="shared" si="200"/>
        <v>0/1/1900</v>
      </c>
      <c r="IB172" t="s">
        <v>189</v>
      </c>
      <c r="IC172">
        <f t="shared" si="201"/>
        <v>0</v>
      </c>
      <c r="ID172" t="s">
        <v>192</v>
      </c>
      <c r="IE172">
        <f t="shared" si="202"/>
        <v>0</v>
      </c>
      <c r="IF172" t="s">
        <v>191</v>
      </c>
      <c r="IG172" s="254">
        <f t="shared" si="203"/>
        <v>0</v>
      </c>
      <c r="IL172" t="str">
        <f t="shared" si="204"/>
        <v/>
      </c>
    </row>
    <row r="173" spans="5:246" x14ac:dyDescent="0.25">
      <c r="E173" s="240">
        <f>Foglio3!F153</f>
        <v>0</v>
      </c>
      <c r="F173" s="240">
        <f>Foglio3!G153</f>
        <v>0</v>
      </c>
      <c r="DU173" s="112"/>
      <c r="DV173" s="112"/>
      <c r="EY173" s="238"/>
      <c r="HX173" s="253" t="s">
        <v>187</v>
      </c>
      <c r="HY173" s="112" t="str">
        <f t="shared" si="199"/>
        <v>0/1/1900</v>
      </c>
      <c r="HZ173" t="s">
        <v>188</v>
      </c>
      <c r="IA173" s="112" t="str">
        <f t="shared" si="200"/>
        <v>0/1/1900</v>
      </c>
      <c r="IB173" t="s">
        <v>189</v>
      </c>
      <c r="IC173">
        <f t="shared" si="201"/>
        <v>0</v>
      </c>
      <c r="ID173" t="s">
        <v>192</v>
      </c>
      <c r="IE173">
        <f t="shared" si="202"/>
        <v>0</v>
      </c>
      <c r="IF173" t="s">
        <v>191</v>
      </c>
      <c r="IG173" s="254">
        <f t="shared" si="203"/>
        <v>0</v>
      </c>
      <c r="IL173" t="str">
        <f t="shared" si="204"/>
        <v/>
      </c>
    </row>
    <row r="174" spans="5:246" x14ac:dyDescent="0.25">
      <c r="E174" s="240">
        <f>Foglio3!F154</f>
        <v>0</v>
      </c>
      <c r="F174" s="240">
        <f>Foglio3!G154</f>
        <v>0</v>
      </c>
      <c r="DU174" s="112"/>
      <c r="DV174" s="112"/>
      <c r="EY174" s="238"/>
      <c r="HX174" s="253" t="s">
        <v>187</v>
      </c>
      <c r="HY174" s="112" t="str">
        <f t="shared" si="199"/>
        <v>0/1/1900</v>
      </c>
      <c r="HZ174" t="s">
        <v>188</v>
      </c>
      <c r="IA174" s="112" t="str">
        <f t="shared" si="200"/>
        <v>0/1/1900</v>
      </c>
      <c r="IB174" t="s">
        <v>189</v>
      </c>
      <c r="IC174">
        <f t="shared" si="201"/>
        <v>0</v>
      </c>
      <c r="ID174" t="s">
        <v>192</v>
      </c>
      <c r="IE174">
        <f t="shared" si="202"/>
        <v>0</v>
      </c>
      <c r="IF174" t="s">
        <v>191</v>
      </c>
      <c r="IG174" s="254">
        <f t="shared" si="203"/>
        <v>0</v>
      </c>
      <c r="IL174" t="str">
        <f t="shared" si="204"/>
        <v/>
      </c>
    </row>
    <row r="175" spans="5:246" x14ac:dyDescent="0.25">
      <c r="E175" s="240">
        <f>Foglio3!F155</f>
        <v>0</v>
      </c>
      <c r="F175" s="240">
        <f>Foglio3!G155</f>
        <v>0</v>
      </c>
      <c r="DU175" s="112"/>
      <c r="DV175" s="112"/>
      <c r="EY175" s="238"/>
      <c r="HX175" s="253" t="s">
        <v>187</v>
      </c>
      <c r="HY175" s="112" t="str">
        <f t="shared" si="199"/>
        <v>0/1/1900</v>
      </c>
      <c r="HZ175" t="s">
        <v>188</v>
      </c>
      <c r="IA175" s="112" t="str">
        <f t="shared" si="200"/>
        <v>0/1/1900</v>
      </c>
      <c r="IB175" t="s">
        <v>189</v>
      </c>
      <c r="IC175">
        <f t="shared" si="201"/>
        <v>0</v>
      </c>
      <c r="ID175" t="s">
        <v>192</v>
      </c>
      <c r="IE175">
        <f t="shared" si="202"/>
        <v>0</v>
      </c>
      <c r="IF175" t="s">
        <v>191</v>
      </c>
      <c r="IG175" s="254">
        <f t="shared" si="203"/>
        <v>0</v>
      </c>
      <c r="IL175" t="str">
        <f t="shared" si="204"/>
        <v/>
      </c>
    </row>
    <row r="176" spans="5:246" x14ac:dyDescent="0.25">
      <c r="E176" s="240">
        <f>Foglio3!F156</f>
        <v>0</v>
      </c>
      <c r="F176" s="240">
        <f>Foglio3!G156</f>
        <v>0</v>
      </c>
      <c r="DU176" s="112"/>
      <c r="DV176" s="112"/>
      <c r="EY176" s="238"/>
      <c r="HX176" s="253" t="s">
        <v>187</v>
      </c>
      <c r="HY176" s="112" t="str">
        <f t="shared" si="199"/>
        <v>0/1/1900</v>
      </c>
      <c r="HZ176" t="s">
        <v>188</v>
      </c>
      <c r="IA176" s="112" t="str">
        <f t="shared" si="200"/>
        <v>0/1/1900</v>
      </c>
      <c r="IB176" t="s">
        <v>189</v>
      </c>
      <c r="IC176">
        <f t="shared" si="201"/>
        <v>0</v>
      </c>
      <c r="ID176" t="s">
        <v>192</v>
      </c>
      <c r="IE176">
        <f t="shared" si="202"/>
        <v>0</v>
      </c>
      <c r="IF176" t="s">
        <v>191</v>
      </c>
      <c r="IG176" s="254">
        <f t="shared" si="203"/>
        <v>0</v>
      </c>
      <c r="IL176" t="str">
        <f t="shared" si="204"/>
        <v/>
      </c>
    </row>
    <row r="177" spans="5:257" x14ac:dyDescent="0.25">
      <c r="E177" s="240">
        <f>Foglio3!F157</f>
        <v>0</v>
      </c>
      <c r="F177" s="240">
        <f>Foglio3!G157</f>
        <v>0</v>
      </c>
      <c r="DU177" s="112"/>
      <c r="DV177" s="112"/>
      <c r="EY177" s="238"/>
      <c r="HX177" s="253" t="s">
        <v>187</v>
      </c>
      <c r="HY177" s="112" t="str">
        <f t="shared" si="199"/>
        <v>0/1/1900</v>
      </c>
      <c r="HZ177" t="s">
        <v>188</v>
      </c>
      <c r="IA177" s="112" t="str">
        <f t="shared" si="200"/>
        <v>0/1/1900</v>
      </c>
      <c r="IB177" t="s">
        <v>189</v>
      </c>
      <c r="IC177">
        <f t="shared" si="201"/>
        <v>0</v>
      </c>
      <c r="ID177" t="s">
        <v>192</v>
      </c>
      <c r="IE177">
        <f t="shared" si="202"/>
        <v>0</v>
      </c>
      <c r="IF177" t="s">
        <v>191</v>
      </c>
      <c r="IG177" s="254">
        <f t="shared" si="203"/>
        <v>0</v>
      </c>
      <c r="IL177" t="str">
        <f t="shared" si="204"/>
        <v/>
      </c>
    </row>
    <row r="178" spans="5:257" x14ac:dyDescent="0.25">
      <c r="E178" s="240">
        <f>Foglio3!F158</f>
        <v>0</v>
      </c>
      <c r="F178" s="240">
        <f>Foglio3!G158</f>
        <v>0</v>
      </c>
      <c r="DU178" s="112"/>
      <c r="DV178" s="112"/>
      <c r="EY178" s="238"/>
      <c r="HX178" s="253" t="s">
        <v>187</v>
      </c>
      <c r="HY178" s="112" t="str">
        <f t="shared" si="199"/>
        <v>0/1/1900</v>
      </c>
      <c r="HZ178" t="s">
        <v>188</v>
      </c>
      <c r="IA178" s="112" t="str">
        <f t="shared" si="200"/>
        <v>0/1/1900</v>
      </c>
      <c r="IB178" t="s">
        <v>189</v>
      </c>
      <c r="IC178">
        <f t="shared" si="201"/>
        <v>0</v>
      </c>
      <c r="ID178" t="s">
        <v>192</v>
      </c>
      <c r="IE178">
        <f t="shared" si="202"/>
        <v>0</v>
      </c>
      <c r="IF178" t="s">
        <v>191</v>
      </c>
      <c r="IG178" s="254">
        <f t="shared" si="203"/>
        <v>0</v>
      </c>
      <c r="IL178" t="str">
        <f t="shared" si="204"/>
        <v/>
      </c>
    </row>
    <row r="179" spans="5:257" x14ac:dyDescent="0.25">
      <c r="E179" s="240">
        <f>Foglio3!F159</f>
        <v>0</v>
      </c>
      <c r="F179" s="240">
        <f>Foglio3!G159</f>
        <v>0</v>
      </c>
      <c r="DU179" s="112"/>
      <c r="DV179" s="112"/>
      <c r="EY179" s="238"/>
      <c r="IL179" t="str">
        <f t="shared" si="204"/>
        <v/>
      </c>
    </row>
    <row r="180" spans="5:257" x14ac:dyDescent="0.25">
      <c r="E180" s="240">
        <f>Foglio3!F160</f>
        <v>0</v>
      </c>
      <c r="F180" s="240">
        <f>Foglio3!G160</f>
        <v>0</v>
      </c>
      <c r="DU180" s="112"/>
      <c r="DV180" s="112"/>
      <c r="EY180" s="238"/>
      <c r="IW180" t="str">
        <f>CONCATENATE(IL180,IL181,IL182,IL183,IL184,IL185,IL186,IL187,IL188,IL189,IL190,IL191,IL192,IL193,IL194,I685,IL196,IL197,IL198,IL199,)</f>
        <v/>
      </c>
    </row>
    <row r="181" spans="5:257" x14ac:dyDescent="0.25">
      <c r="E181" s="240">
        <f>Foglio3!F161</f>
        <v>0</v>
      </c>
      <c r="F181" s="240">
        <f>Foglio3!G161</f>
        <v>0</v>
      </c>
      <c r="DU181" s="112"/>
      <c r="DV181" s="112"/>
      <c r="EY181" s="238"/>
    </row>
    <row r="182" spans="5:257" x14ac:dyDescent="0.25">
      <c r="E182" s="240">
        <f>Foglio3!F162</f>
        <v>0</v>
      </c>
      <c r="F182" s="240">
        <f>Foglio3!G162</f>
        <v>0</v>
      </c>
      <c r="DU182" s="112"/>
      <c r="DV182" s="112"/>
      <c r="EY182" s="238"/>
    </row>
    <row r="183" spans="5:257" x14ac:dyDescent="0.25">
      <c r="E183" s="240">
        <f>Foglio3!F163</f>
        <v>36280</v>
      </c>
      <c r="F183" s="240">
        <f>Foglio3!I163</f>
        <v>0</v>
      </c>
      <c r="DU183" s="112"/>
      <c r="DV183" s="112"/>
      <c r="EY183" s="238"/>
    </row>
    <row r="184" spans="5:257" x14ac:dyDescent="0.25">
      <c r="E184" s="240">
        <f>Foglio3!F164</f>
        <v>36321</v>
      </c>
      <c r="F184" s="240">
        <f>Foglio3!I164</f>
        <v>0</v>
      </c>
      <c r="DU184" s="112"/>
      <c r="DV184" s="112"/>
      <c r="EY184" s="238"/>
    </row>
    <row r="185" spans="5:257" x14ac:dyDescent="0.25">
      <c r="E185" s="240">
        <f>Foglio3!F165</f>
        <v>36325</v>
      </c>
      <c r="F185" s="240">
        <f>Foglio3!I165</f>
        <v>0</v>
      </c>
      <c r="DU185" s="112"/>
      <c r="DV185" s="112"/>
      <c r="EY185" s="238"/>
    </row>
    <row r="186" spans="5:257" x14ac:dyDescent="0.25">
      <c r="E186" s="240">
        <f>Foglio3!F166</f>
        <v>36433</v>
      </c>
      <c r="F186" s="240">
        <f>Foglio3!I166</f>
        <v>0</v>
      </c>
      <c r="DU186" s="112"/>
      <c r="DV186" s="112"/>
      <c r="EY186" s="238"/>
    </row>
    <row r="187" spans="5:257" x14ac:dyDescent="0.25">
      <c r="E187" s="240">
        <f>Foglio3!F167</f>
        <v>36454</v>
      </c>
      <c r="F187" s="240">
        <f>Foglio3!I167</f>
        <v>0</v>
      </c>
      <c r="DU187" s="112"/>
      <c r="DV187" s="112"/>
      <c r="EY187" s="238"/>
    </row>
    <row r="188" spans="5:257" x14ac:dyDescent="0.25">
      <c r="E188" s="240">
        <f>Foglio3!F168</f>
        <v>36769</v>
      </c>
      <c r="F188" s="240">
        <f>Foglio3!I168</f>
        <v>0</v>
      </c>
      <c r="DU188" s="112"/>
      <c r="DV188" s="112"/>
      <c r="EY188" s="238"/>
    </row>
    <row r="189" spans="5:257" x14ac:dyDescent="0.25">
      <c r="E189" s="240">
        <f>Foglio3!F169</f>
        <v>36920</v>
      </c>
      <c r="F189" s="240">
        <f>Foglio3!I169</f>
        <v>0</v>
      </c>
      <c r="DU189" s="112"/>
      <c r="DV189" s="112"/>
      <c r="EY189" s="238"/>
    </row>
    <row r="190" spans="5:257" x14ac:dyDescent="0.25">
      <c r="E190" s="240">
        <f>Foglio3!F170</f>
        <v>37072</v>
      </c>
      <c r="F190" s="240">
        <f>Foglio3!I170</f>
        <v>0</v>
      </c>
      <c r="DU190" s="112"/>
      <c r="DV190" s="112"/>
      <c r="EY190" s="238"/>
    </row>
    <row r="191" spans="5:257" x14ac:dyDescent="0.25">
      <c r="E191" s="240">
        <f>Foglio3!F171</f>
        <v>37437</v>
      </c>
      <c r="F191" s="240">
        <f>Foglio3!I171</f>
        <v>0</v>
      </c>
      <c r="DU191" s="112"/>
      <c r="DV191" s="112"/>
      <c r="EY191" s="238"/>
    </row>
    <row r="192" spans="5:257" x14ac:dyDescent="0.25">
      <c r="E192" s="240">
        <f>Foglio3!F172</f>
        <v>37200</v>
      </c>
      <c r="F192" s="240">
        <f>Foglio3!I172</f>
        <v>0</v>
      </c>
      <c r="DU192" s="112"/>
      <c r="DV192" s="112"/>
      <c r="EY192" s="238"/>
    </row>
    <row r="193" spans="5:257" x14ac:dyDescent="0.25">
      <c r="E193" s="240">
        <f>Foglio3!F173</f>
        <v>37200</v>
      </c>
      <c r="F193" s="240">
        <f>Foglio3!I173</f>
        <v>0</v>
      </c>
      <c r="DU193" s="112"/>
      <c r="DV193" s="112"/>
      <c r="EY193" s="238"/>
    </row>
    <row r="194" spans="5:257" x14ac:dyDescent="0.25">
      <c r="E194" s="240">
        <f>Foglio3!F174</f>
        <v>37437</v>
      </c>
      <c r="F194" s="240">
        <f>Foglio3!I174</f>
        <v>0</v>
      </c>
      <c r="DU194" s="112"/>
      <c r="DV194" s="112"/>
      <c r="EY194" s="238"/>
    </row>
    <row r="195" spans="5:257" x14ac:dyDescent="0.25">
      <c r="E195" s="240">
        <f>Foglio3!F175</f>
        <v>37282</v>
      </c>
      <c r="F195" s="240">
        <f>Foglio3!I175</f>
        <v>0</v>
      </c>
      <c r="DU195" s="112"/>
      <c r="DV195" s="112"/>
      <c r="EY195" s="238"/>
    </row>
    <row r="196" spans="5:257" x14ac:dyDescent="0.25">
      <c r="E196" s="240">
        <f>Foglio3!F176</f>
        <v>37437</v>
      </c>
      <c r="F196" s="240">
        <f>Foglio3!I176</f>
        <v>0</v>
      </c>
      <c r="DU196" s="112"/>
      <c r="DV196" s="112"/>
      <c r="EY196" s="238"/>
    </row>
    <row r="197" spans="5:257" x14ac:dyDescent="0.25">
      <c r="E197" s="240">
        <f>Foglio3!F177</f>
        <v>37551</v>
      </c>
      <c r="F197" s="240">
        <f>Foglio3!I177</f>
        <v>0</v>
      </c>
      <c r="DU197" s="112"/>
      <c r="DV197" s="112"/>
      <c r="EY197" s="238"/>
    </row>
    <row r="198" spans="5:257" x14ac:dyDescent="0.25">
      <c r="E198" s="240">
        <f>Foglio3!F178</f>
        <v>37574</v>
      </c>
      <c r="F198" s="240">
        <f>Foglio3!I178</f>
        <v>0</v>
      </c>
      <c r="DU198" s="112"/>
      <c r="DV198" s="112"/>
      <c r="EY198" s="238"/>
    </row>
    <row r="199" spans="5:257" x14ac:dyDescent="0.25">
      <c r="E199" s="240">
        <f>Foglio3!F179</f>
        <v>37663</v>
      </c>
      <c r="F199" s="240">
        <f>Foglio3!I179</f>
        <v>0</v>
      </c>
      <c r="DU199" s="112"/>
      <c r="DV199" s="112"/>
      <c r="EY199" s="238"/>
    </row>
    <row r="200" spans="5:257" x14ac:dyDescent="0.25">
      <c r="E200" s="240">
        <f>Foglio3!F180</f>
        <v>37783</v>
      </c>
      <c r="F200" s="240">
        <f>Foglio3!I180</f>
        <v>0</v>
      </c>
      <c r="DU200" s="112"/>
      <c r="DV200" s="112"/>
      <c r="EY200" s="238"/>
      <c r="IW200" t="str">
        <f>CONCATENATE(IL200,IL201,IL202,IL203,IL204,IL205,IL206,IL207,IL208,IL209,IL210,IL211,IL212,IL213,IL214,I705,IL216,IL217,IL218,IL219,)</f>
        <v/>
      </c>
    </row>
    <row r="201" spans="5:257" x14ac:dyDescent="0.25">
      <c r="E201" s="240">
        <f>Foglio3!F181</f>
        <v>37786</v>
      </c>
      <c r="F201" s="240">
        <f>Foglio3!I181</f>
        <v>0</v>
      </c>
      <c r="DU201" s="112"/>
      <c r="DV201" s="112"/>
      <c r="EY201" s="238"/>
    </row>
    <row r="202" spans="5:257" x14ac:dyDescent="0.25">
      <c r="E202" s="240">
        <f>Foglio3!F182</f>
        <v>38168</v>
      </c>
      <c r="F202" s="240">
        <f>Foglio3!I182</f>
        <v>0</v>
      </c>
      <c r="DU202" s="112"/>
      <c r="DV202" s="112"/>
      <c r="EY202" s="238"/>
    </row>
    <row r="203" spans="5:257" x14ac:dyDescent="0.25">
      <c r="E203" s="240">
        <f>Foglio3!F183</f>
        <v>38551</v>
      </c>
      <c r="F203" s="240">
        <f>Foglio3!I183</f>
        <v>0</v>
      </c>
      <c r="DU203" s="112"/>
      <c r="DV203" s="112"/>
      <c r="EY203" s="238"/>
    </row>
    <row r="204" spans="5:257" x14ac:dyDescent="0.25">
      <c r="E204" s="240">
        <f>Foglio3!F184</f>
        <v>38919</v>
      </c>
      <c r="F204" s="240">
        <f>Foglio3!I184</f>
        <v>0</v>
      </c>
      <c r="DU204" s="112"/>
      <c r="DV204" s="112"/>
      <c r="EY204" s="238"/>
    </row>
    <row r="205" spans="5:257" x14ac:dyDescent="0.25">
      <c r="E205" s="240">
        <f>Foglio3!F185</f>
        <v>39277</v>
      </c>
      <c r="F205" s="240">
        <f>Foglio3!I185</f>
        <v>0</v>
      </c>
      <c r="DU205" s="112"/>
      <c r="DV205" s="112"/>
      <c r="EY205" s="238"/>
    </row>
    <row r="206" spans="5:257" x14ac:dyDescent="0.25">
      <c r="E206" s="240">
        <f>Foglio3!F186</f>
        <v>39629</v>
      </c>
      <c r="F206" s="240">
        <f>Foglio3!I186</f>
        <v>0</v>
      </c>
      <c r="DU206" s="112"/>
      <c r="DV206" s="112"/>
      <c r="EY206" s="238"/>
    </row>
    <row r="207" spans="5:257" x14ac:dyDescent="0.25">
      <c r="E207" s="240">
        <f>Foglio3!F187</f>
        <v>39994</v>
      </c>
      <c r="F207" s="240">
        <f>Foglio3!I187</f>
        <v>0</v>
      </c>
      <c r="DU207" s="112"/>
      <c r="DV207" s="112"/>
      <c r="EY207" s="238"/>
    </row>
    <row r="208" spans="5:257" x14ac:dyDescent="0.25">
      <c r="E208" s="240">
        <f>Foglio3!F188</f>
        <v>40063</v>
      </c>
      <c r="F208" s="240">
        <f>Foglio3!I188</f>
        <v>0</v>
      </c>
      <c r="DU208" s="112"/>
      <c r="DV208" s="112"/>
      <c r="EY208" s="238"/>
    </row>
    <row r="209" spans="5:155" x14ac:dyDescent="0.25">
      <c r="E209" s="240">
        <f>Foglio3!F189</f>
        <v>40421</v>
      </c>
      <c r="F209" s="240">
        <f>Foglio3!I189</f>
        <v>0</v>
      </c>
      <c r="DU209" s="112"/>
      <c r="DV209" s="112"/>
      <c r="EY209" s="238"/>
    </row>
    <row r="210" spans="5:155" x14ac:dyDescent="0.25">
      <c r="E210" s="240">
        <f>Foglio3!F190</f>
        <v>40739</v>
      </c>
      <c r="F210" s="240">
        <f>Foglio3!I190</f>
        <v>0</v>
      </c>
      <c r="DU210" s="112"/>
      <c r="DV210" s="112"/>
      <c r="EY210" s="238"/>
    </row>
    <row r="211" spans="5:155" x14ac:dyDescent="0.25">
      <c r="E211" s="240">
        <f>Foglio3!F191</f>
        <v>40739</v>
      </c>
      <c r="F211" s="240">
        <f>Foglio3!I191</f>
        <v>0</v>
      </c>
      <c r="DU211" s="112"/>
      <c r="DV211" s="112"/>
      <c r="EY211" s="238"/>
    </row>
    <row r="212" spans="5:155" x14ac:dyDescent="0.25">
      <c r="E212" s="240">
        <f>Foglio3!F192</f>
        <v>41090</v>
      </c>
      <c r="F212" s="240">
        <f>Foglio3!I192</f>
        <v>0</v>
      </c>
      <c r="DU212" s="112"/>
      <c r="DV212" s="112"/>
      <c r="EY212" s="238"/>
    </row>
    <row r="213" spans="5:155" x14ac:dyDescent="0.25">
      <c r="E213" s="240">
        <f>Foglio3!F193</f>
        <v>41471</v>
      </c>
      <c r="F213" s="240">
        <f>Foglio3!I193</f>
        <v>0</v>
      </c>
      <c r="DU213" s="112"/>
      <c r="DV213" s="112"/>
      <c r="EY213" s="238"/>
    </row>
    <row r="214" spans="5:155" x14ac:dyDescent="0.25">
      <c r="E214" s="240">
        <f>Foglio3!F194</f>
        <v>41471</v>
      </c>
      <c r="F214" s="240">
        <f>Foglio3!I194</f>
        <v>0</v>
      </c>
      <c r="DU214" s="112"/>
      <c r="DV214" s="112"/>
      <c r="EY214" s="238"/>
    </row>
    <row r="215" spans="5:155" x14ac:dyDescent="0.25">
      <c r="E215" s="240">
        <f>Foglio3!F195</f>
        <v>41196</v>
      </c>
      <c r="F215" s="240">
        <f>Foglio3!I195</f>
        <v>0</v>
      </c>
      <c r="DU215" s="112"/>
      <c r="DV215" s="112"/>
      <c r="EY215" s="238"/>
    </row>
    <row r="216" spans="5:155" x14ac:dyDescent="0.25">
      <c r="E216" s="240">
        <f>Foglio3!F196</f>
        <v>41239</v>
      </c>
      <c r="F216" s="240">
        <f>Foglio3!I196</f>
        <v>0</v>
      </c>
      <c r="DU216" s="112"/>
      <c r="DV216" s="112"/>
      <c r="EY216" s="238"/>
    </row>
    <row r="217" spans="5:155" x14ac:dyDescent="0.25">
      <c r="E217" s="240">
        <f>Foglio3!F197</f>
        <v>41471</v>
      </c>
      <c r="F217" s="240">
        <f>Foglio3!I197</f>
        <v>0</v>
      </c>
      <c r="DU217" s="112"/>
      <c r="DV217" s="112"/>
      <c r="EY217" s="238"/>
    </row>
    <row r="218" spans="5:155" x14ac:dyDescent="0.25">
      <c r="E218" s="240">
        <f>Foglio3!F198</f>
        <v>41882</v>
      </c>
      <c r="F218" s="240">
        <f>Foglio3!I198</f>
        <v>0</v>
      </c>
      <c r="DU218" s="112"/>
      <c r="DV218" s="112"/>
      <c r="EY218" s="238"/>
    </row>
    <row r="219" spans="5:155" x14ac:dyDescent="0.25">
      <c r="E219" s="240">
        <f>Foglio3!F199</f>
        <v>42185</v>
      </c>
      <c r="F219" s="240">
        <f>Foglio3!I199</f>
        <v>0</v>
      </c>
      <c r="DU219" s="112"/>
      <c r="DV219" s="112"/>
      <c r="EY219" s="238"/>
    </row>
    <row r="220" spans="5:155" x14ac:dyDescent="0.25">
      <c r="E220" s="240">
        <f>Foglio3!F200</f>
        <v>42613</v>
      </c>
      <c r="F220" s="240">
        <f>Foglio3!I200</f>
        <v>0</v>
      </c>
      <c r="DU220" s="112"/>
      <c r="DV220" s="112"/>
      <c r="EY220" s="238"/>
    </row>
    <row r="221" spans="5:155" x14ac:dyDescent="0.25">
      <c r="E221" s="240">
        <f>Foglio3!F201</f>
        <v>42978</v>
      </c>
      <c r="F221" s="240">
        <f>Foglio3!I201</f>
        <v>0</v>
      </c>
      <c r="DU221" s="112"/>
      <c r="DV221" s="112"/>
      <c r="EY221" s="238"/>
    </row>
    <row r="222" spans="5:155" x14ac:dyDescent="0.25">
      <c r="E222" s="240">
        <f>Foglio3!F202</f>
        <v>43343</v>
      </c>
      <c r="F222" s="240">
        <f>Foglio3!I202</f>
        <v>0</v>
      </c>
      <c r="DU222" s="112"/>
      <c r="DV222" s="112"/>
      <c r="EY222" s="238"/>
    </row>
    <row r="223" spans="5:155" x14ac:dyDescent="0.25">
      <c r="E223" s="240">
        <f>Foglio3!F203</f>
        <v>43708</v>
      </c>
      <c r="F223" s="240">
        <f>Foglio3!I203</f>
        <v>0</v>
      </c>
      <c r="DU223" s="112"/>
      <c r="DV223" s="112"/>
      <c r="EY223" s="238"/>
    </row>
    <row r="224" spans="5:155" x14ac:dyDescent="0.25">
      <c r="E224" s="240">
        <f>Foglio3!F204</f>
        <v>44074</v>
      </c>
      <c r="F224" s="240">
        <f>Foglio3!I204</f>
        <v>0</v>
      </c>
      <c r="DU224" s="112"/>
      <c r="DV224" s="112"/>
      <c r="EY224" s="238"/>
    </row>
    <row r="225" spans="5:155" x14ac:dyDescent="0.25">
      <c r="E225" s="240">
        <f>Foglio3!F205</f>
        <v>44439</v>
      </c>
      <c r="F225" s="240">
        <f>Foglio3!I205</f>
        <v>0</v>
      </c>
      <c r="DU225" s="112"/>
      <c r="DV225" s="112"/>
      <c r="EY225" s="238"/>
    </row>
    <row r="226" spans="5:155" x14ac:dyDescent="0.25">
      <c r="E226" s="240">
        <f>Foglio3!F206</f>
        <v>44804</v>
      </c>
      <c r="F226" s="240">
        <f>Foglio3!I206</f>
        <v>0</v>
      </c>
      <c r="DU226" s="112"/>
      <c r="DV226" s="112"/>
      <c r="EY226" s="238"/>
    </row>
    <row r="227" spans="5:155" x14ac:dyDescent="0.25">
      <c r="E227" s="240" t="str">
        <f>Foglio3!F207</f>
        <v/>
      </c>
      <c r="F227" s="240">
        <f>Foglio3!I207</f>
        <v>0</v>
      </c>
      <c r="DU227" s="112"/>
      <c r="DV227" s="112"/>
    </row>
    <row r="228" spans="5:155" x14ac:dyDescent="0.25">
      <c r="E228" s="240" t="str">
        <f>Foglio3!F208</f>
        <v/>
      </c>
      <c r="F228" s="240">
        <f>Foglio3!I208</f>
        <v>0</v>
      </c>
      <c r="DU228" s="112"/>
      <c r="DV228" s="112"/>
    </row>
    <row r="229" spans="5:155" x14ac:dyDescent="0.25">
      <c r="E229" s="240" t="str">
        <f>Foglio3!F209</f>
        <v/>
      </c>
      <c r="F229" s="240">
        <f>Foglio3!I209</f>
        <v>0</v>
      </c>
      <c r="DU229" s="112"/>
      <c r="DV229" s="112"/>
    </row>
    <row r="230" spans="5:155" x14ac:dyDescent="0.25">
      <c r="E230" s="240" t="str">
        <f>Foglio3!F210</f>
        <v/>
      </c>
      <c r="F230" s="240">
        <f>Foglio3!I210</f>
        <v>0</v>
      </c>
      <c r="DU230" s="112"/>
      <c r="DV230" s="112"/>
    </row>
    <row r="231" spans="5:155" x14ac:dyDescent="0.25">
      <c r="E231" s="240" t="str">
        <f>Foglio3!F211</f>
        <v/>
      </c>
      <c r="F231" s="240">
        <f>Foglio3!I211</f>
        <v>0</v>
      </c>
      <c r="DU231" s="112"/>
      <c r="DV231" s="112"/>
    </row>
    <row r="232" spans="5:155" x14ac:dyDescent="0.25">
      <c r="E232" s="240" t="str">
        <f>Foglio3!F212</f>
        <v/>
      </c>
      <c r="F232" s="240">
        <f>Foglio3!I212</f>
        <v>0</v>
      </c>
      <c r="DU232" s="112"/>
      <c r="DV232" s="112"/>
    </row>
    <row r="233" spans="5:155" x14ac:dyDescent="0.25">
      <c r="E233" s="240" t="str">
        <f>Foglio3!F213</f>
        <v/>
      </c>
      <c r="F233" s="240">
        <f>Foglio3!I213</f>
        <v>0</v>
      </c>
      <c r="DU233" s="112"/>
      <c r="DV233" s="112"/>
    </row>
    <row r="234" spans="5:155" x14ac:dyDescent="0.25">
      <c r="E234" s="240" t="str">
        <f>Foglio3!F214</f>
        <v/>
      </c>
      <c r="F234" s="240">
        <f>Foglio3!I214</f>
        <v>0</v>
      </c>
      <c r="DU234" s="112"/>
      <c r="DV234" s="112"/>
    </row>
    <row r="235" spans="5:155" x14ac:dyDescent="0.25">
      <c r="E235" s="240" t="str">
        <f>Foglio3!F215</f>
        <v/>
      </c>
      <c r="F235" s="240">
        <f>Foglio3!I215</f>
        <v>0</v>
      </c>
      <c r="DU235" s="112"/>
      <c r="DV235" s="112"/>
    </row>
    <row r="236" spans="5:155" x14ac:dyDescent="0.25">
      <c r="E236" s="240" t="str">
        <f>Foglio3!F216</f>
        <v/>
      </c>
      <c r="F236" s="240">
        <f>Foglio3!I216</f>
        <v>0</v>
      </c>
      <c r="DU236" s="112"/>
      <c r="DV236" s="112"/>
    </row>
    <row r="237" spans="5:155" x14ac:dyDescent="0.25">
      <c r="E237" s="240" t="str">
        <f>Foglio3!F217</f>
        <v/>
      </c>
      <c r="F237" s="240">
        <f>Foglio3!I217</f>
        <v>0</v>
      </c>
      <c r="DU237" s="112"/>
      <c r="DV237" s="112"/>
    </row>
    <row r="238" spans="5:155" x14ac:dyDescent="0.25">
      <c r="DU238" s="112"/>
      <c r="DV238" s="112"/>
    </row>
    <row r="239" spans="5:155" x14ac:dyDescent="0.25">
      <c r="DU239" s="112"/>
      <c r="DV239" s="112"/>
    </row>
    <row r="240" spans="5:155" x14ac:dyDescent="0.25">
      <c r="DU240" s="112"/>
      <c r="DV240" s="112"/>
    </row>
    <row r="241" spans="125:126" x14ac:dyDescent="0.25">
      <c r="DU241" s="112"/>
      <c r="DV241" s="112"/>
    </row>
    <row r="242" spans="125:126" x14ac:dyDescent="0.25">
      <c r="DU242" s="112"/>
      <c r="DV242" s="112"/>
    </row>
    <row r="243" spans="125:126" x14ac:dyDescent="0.25">
      <c r="DU243" s="112"/>
      <c r="DV243" s="112"/>
    </row>
    <row r="244" spans="125:126" x14ac:dyDescent="0.25">
      <c r="DU244" s="112"/>
      <c r="DV244" s="112"/>
    </row>
    <row r="245" spans="125:126" x14ac:dyDescent="0.25">
      <c r="DU245" s="112"/>
      <c r="DV245" s="112"/>
    </row>
    <row r="246" spans="125:126" x14ac:dyDescent="0.25">
      <c r="DU246" s="112"/>
      <c r="DV246" s="112"/>
    </row>
    <row r="247" spans="125:126" x14ac:dyDescent="0.25">
      <c r="DU247" s="112"/>
      <c r="DV247" s="112"/>
    </row>
    <row r="248" spans="125:126" x14ac:dyDescent="0.25">
      <c r="DU248" s="112"/>
      <c r="DV248" s="112"/>
    </row>
    <row r="249" spans="125:126" x14ac:dyDescent="0.25">
      <c r="DU249" s="112"/>
      <c r="DV249" s="112"/>
    </row>
    <row r="250" spans="125:126" x14ac:dyDescent="0.25">
      <c r="DU250" s="112"/>
      <c r="DV250" s="112"/>
    </row>
    <row r="251" spans="125:126" x14ac:dyDescent="0.25">
      <c r="DU251" s="112"/>
      <c r="DV251" s="112"/>
    </row>
    <row r="252" spans="125:126" x14ac:dyDescent="0.25">
      <c r="DU252" s="112"/>
      <c r="DV252" s="112"/>
    </row>
    <row r="253" spans="125:126" x14ac:dyDescent="0.25">
      <c r="DU253" s="112"/>
      <c r="DV253" s="112"/>
    </row>
    <row r="254" spans="125:126" x14ac:dyDescent="0.25">
      <c r="DU254" s="112"/>
      <c r="DV254" s="112"/>
    </row>
    <row r="255" spans="125:126" x14ac:dyDescent="0.25">
      <c r="DU255" s="112"/>
      <c r="DV255" s="112"/>
    </row>
    <row r="256" spans="125:126" x14ac:dyDescent="0.25">
      <c r="DU256" s="112"/>
      <c r="DV256" s="112"/>
    </row>
  </sheetData>
  <mergeCells count="6">
    <mergeCell ref="H2:N6"/>
    <mergeCell ref="KE30:KQ33"/>
    <mergeCell ref="DO38:DQ38"/>
    <mergeCell ref="A39:B39"/>
    <mergeCell ref="DD39:DL39"/>
    <mergeCell ref="HX39:IG39"/>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NL256"/>
  <sheetViews>
    <sheetView topLeftCell="N40" zoomScaleNormal="100" workbookViewId="0">
      <selection activeCell="EJ39" sqref="EJ39"/>
    </sheetView>
  </sheetViews>
  <sheetFormatPr defaultRowHeight="15" x14ac:dyDescent="0.25"/>
  <cols>
    <col min="1" max="1" width="14" customWidth="1"/>
    <col min="2" max="2" width="14.85546875" customWidth="1"/>
    <col min="3" max="3" width="14.28515625" customWidth="1"/>
    <col min="4" max="4" width="10.5703125" bestFit="1" customWidth="1"/>
    <col min="5" max="5" width="12.5703125" customWidth="1"/>
    <col min="6" max="6" width="11.42578125" customWidth="1"/>
    <col min="7" max="7" width="14" customWidth="1"/>
    <col min="8" max="8" width="13.42578125" customWidth="1"/>
    <col min="9" max="9" width="11.7109375" customWidth="1"/>
    <col min="12" max="12" width="6.42578125" customWidth="1"/>
    <col min="13" max="13" width="13.5703125" customWidth="1"/>
    <col min="14" max="14" width="15.140625" customWidth="1"/>
    <col min="15" max="16" width="2.7109375" customWidth="1"/>
    <col min="17" max="17" width="7.7109375" customWidth="1"/>
    <col min="18" max="18" width="14.140625" customWidth="1"/>
    <col min="23" max="23" width="11.5703125" customWidth="1"/>
    <col min="26" max="26" width="5.28515625" customWidth="1"/>
    <col min="27" max="27" width="14.85546875" customWidth="1"/>
    <col min="28" max="28" width="13.7109375" customWidth="1"/>
    <col min="29" max="29" width="7.140625" customWidth="1"/>
    <col min="30" max="30" width="8.28515625" customWidth="1"/>
    <col min="31" max="31" width="7.28515625" customWidth="1"/>
    <col min="32" max="32" width="10" customWidth="1"/>
    <col min="33" max="33" width="9.5703125" customWidth="1"/>
    <col min="34" max="34" width="14.140625" customWidth="1"/>
    <col min="35" max="35" width="13.85546875" customWidth="1"/>
    <col min="37" max="37" width="14.7109375" customWidth="1"/>
    <col min="45" max="45" width="11.140625" customWidth="1"/>
    <col min="46" max="46" width="11.42578125" customWidth="1"/>
    <col min="64" max="64" width="12.28515625" customWidth="1"/>
    <col min="86" max="87" width="10.5703125" bestFit="1" customWidth="1"/>
    <col min="100" max="100" width="12.5703125" customWidth="1"/>
    <col min="102" max="102" width="13.7109375" customWidth="1"/>
    <col min="103" max="103" width="13.5703125" customWidth="1"/>
    <col min="104" max="105" width="12.5703125" customWidth="1"/>
    <col min="106" max="106" width="13.28515625" customWidth="1"/>
    <col min="107" max="107" width="12.7109375" customWidth="1"/>
    <col min="108" max="110" width="16" style="247" customWidth="1"/>
    <col min="111" max="111" width="14.28515625" style="247" customWidth="1"/>
    <col min="112" max="112" width="10.5703125" bestFit="1" customWidth="1"/>
    <col min="114" max="114" width="13.28515625" customWidth="1"/>
    <col min="120" max="120" width="12.140625" customWidth="1"/>
    <col min="121" max="121" width="10.7109375" customWidth="1"/>
    <col min="125" max="125" width="10.5703125" bestFit="1" customWidth="1"/>
    <col min="126" max="126" width="14.28515625" customWidth="1"/>
    <col min="127" max="127" width="15.42578125" customWidth="1"/>
    <col min="130" max="130" width="15.42578125" customWidth="1"/>
    <col min="132" max="132" width="10.5703125" bestFit="1" customWidth="1"/>
    <col min="136" max="136" width="12.28515625" customWidth="1"/>
    <col min="140" max="140" width="12" customWidth="1"/>
    <col min="143" max="143" width="11.85546875" customWidth="1"/>
    <col min="144" max="145" width="10.5703125" bestFit="1" customWidth="1"/>
    <col min="146" max="146" width="12" customWidth="1"/>
    <col min="147" max="147" width="10.7109375" bestFit="1" customWidth="1"/>
    <col min="148" max="148" width="10.5703125" customWidth="1"/>
    <col min="149" max="149" width="10.5703125" bestFit="1" customWidth="1"/>
    <col min="152" max="152" width="12.42578125" customWidth="1"/>
    <col min="155" max="155" width="10.5703125" bestFit="1" customWidth="1"/>
    <col min="171" max="171" width="10.5703125" bestFit="1" customWidth="1"/>
    <col min="178" max="178" width="17.85546875" customWidth="1"/>
    <col min="187" max="189" width="12.7109375" customWidth="1"/>
    <col min="190" max="190" width="17.7109375" customWidth="1"/>
    <col min="191" max="191" width="13.7109375" customWidth="1"/>
    <col min="192" max="192" width="12.28515625" customWidth="1"/>
    <col min="193" max="193" width="11.28515625" customWidth="1"/>
    <col min="195" max="195" width="11.28515625" customWidth="1"/>
    <col min="196" max="196" width="14" customWidth="1"/>
    <col min="197" max="197" width="31" customWidth="1"/>
    <col min="199" max="199" width="10.28515625" bestFit="1" customWidth="1"/>
    <col min="200" max="200" width="10.5703125" bestFit="1" customWidth="1"/>
    <col min="201" max="201" width="13.7109375" customWidth="1"/>
    <col min="202" max="202" width="11.7109375" customWidth="1"/>
    <col min="203" max="203" width="34.42578125" customWidth="1"/>
    <col min="204" max="204" width="19.28515625" customWidth="1"/>
    <col min="205" max="205" width="45.42578125" customWidth="1"/>
    <col min="206" max="206" width="26.7109375" customWidth="1"/>
    <col min="207" max="207" width="27.7109375" customWidth="1"/>
    <col min="208" max="208" width="38" customWidth="1"/>
    <col min="209" max="209" width="51.7109375" customWidth="1"/>
    <col min="210" max="210" width="61.7109375" customWidth="1"/>
    <col min="211" max="211" width="29.42578125" customWidth="1"/>
    <col min="212" max="212" width="25.140625" customWidth="1"/>
    <col min="213" max="213" width="13.85546875" customWidth="1"/>
    <col min="214" max="214" width="14.7109375" customWidth="1"/>
    <col min="221" max="221" width="72.28515625" customWidth="1"/>
    <col min="223" max="223" width="49.5703125" customWidth="1"/>
    <col min="225" max="225" width="29.5703125" customWidth="1"/>
    <col min="226" max="226" width="17.7109375" customWidth="1"/>
    <col min="227" max="227" width="35.42578125" customWidth="1"/>
    <col min="233" max="233" width="11.7109375" bestFit="1" customWidth="1"/>
    <col min="235" max="235" width="13" customWidth="1"/>
    <col min="254" max="254" width="10.5703125" bestFit="1" customWidth="1"/>
    <col min="257" max="257" width="39.7109375" customWidth="1"/>
    <col min="260" max="260" width="77.5703125" customWidth="1"/>
    <col min="265" max="265" width="44.7109375" customWidth="1"/>
    <col min="266" max="266" width="14.85546875" customWidth="1"/>
    <col min="269" max="269" width="54.28515625" customWidth="1"/>
    <col min="278" max="278" width="51" customWidth="1"/>
    <col min="291" max="291" width="10.5703125" bestFit="1" customWidth="1"/>
    <col min="314" max="315" width="10.5703125" bestFit="1" customWidth="1"/>
    <col min="317" max="317" width="17.7109375" customWidth="1"/>
    <col min="319" max="319" width="10.5703125" bestFit="1" customWidth="1"/>
    <col min="324" max="325" width="10.5703125" bestFit="1" customWidth="1"/>
    <col min="326" max="326" width="14.28515625" customWidth="1"/>
    <col min="328" max="328" width="12.5703125" customWidth="1"/>
    <col min="332" max="332" width="10.5703125" bestFit="1" customWidth="1"/>
    <col min="335" max="335" width="10.5703125" bestFit="1" customWidth="1"/>
    <col min="338" max="338" width="10.5703125" bestFit="1" customWidth="1"/>
    <col min="340" max="340" width="10.5703125" bestFit="1" customWidth="1"/>
    <col min="341" max="341" width="18.5703125" customWidth="1"/>
    <col min="342" max="342" width="10.28515625" customWidth="1"/>
    <col min="343" max="343" width="13.42578125" customWidth="1"/>
    <col min="344" max="344" width="12.5703125" customWidth="1"/>
    <col min="345" max="345" width="11.5703125" customWidth="1"/>
    <col min="346" max="346" width="12.7109375" customWidth="1"/>
    <col min="349" max="349" width="12.85546875" customWidth="1"/>
    <col min="351" max="351" width="10.7109375" customWidth="1"/>
    <col min="356" max="356" width="10.5703125" bestFit="1" customWidth="1"/>
    <col min="359" max="359" width="10.5703125" bestFit="1" customWidth="1"/>
    <col min="360" max="360" width="10.85546875" customWidth="1"/>
    <col min="373" max="373" width="32.85546875" customWidth="1"/>
    <col min="375" max="375" width="64.140625" customWidth="1"/>
    <col min="376" max="376" width="50.7109375" customWidth="1"/>
  </cols>
  <sheetData>
    <row r="2" spans="1:352" x14ac:dyDescent="0.25">
      <c r="A2">
        <f>IF(B2="","",IF(COUNTIF($B$1:B1:B1,B2)=0,MAX($A$1:A1)+1,""))</f>
        <v>1</v>
      </c>
      <c r="B2" s="112">
        <v>40179</v>
      </c>
      <c r="C2" s="112">
        <f>IFERROR(VLOOKUP(COUNTBLANK($E$2:E2),A:B,2,FALSE),"")</f>
        <v>40179</v>
      </c>
      <c r="H2" s="610" t="s">
        <v>284</v>
      </c>
      <c r="I2" s="610"/>
      <c r="J2" s="610"/>
      <c r="K2" s="610"/>
      <c r="L2" s="610"/>
      <c r="M2" s="610"/>
      <c r="N2" s="610"/>
      <c r="EP2">
        <f>LEN(ER2)</f>
        <v>1</v>
      </c>
      <c r="ER2">
        <f>frontti!R40</f>
        <v>0</v>
      </c>
      <c r="ES2" s="112">
        <f>frontti!S40</f>
        <v>43344</v>
      </c>
    </row>
    <row r="3" spans="1:352" x14ac:dyDescent="0.25">
      <c r="A3">
        <f>IF(B3="","",IF(COUNTIF($B$1:B2:B2,B3)=0,MAX($A$1:A2)+1,""))</f>
        <v>2</v>
      </c>
      <c r="B3" s="112">
        <v>42491</v>
      </c>
      <c r="C3" s="112">
        <f>IFERROR(VLOOKUP(COUNTBLANK($E$2:E3),A:B,2,FALSE),"")</f>
        <v>42491</v>
      </c>
      <c r="H3" s="610"/>
      <c r="I3" s="610"/>
      <c r="J3" s="610"/>
      <c r="K3" s="610"/>
      <c r="L3" s="610"/>
      <c r="M3" s="610"/>
      <c r="N3" s="610"/>
      <c r="ER3" t="str">
        <f xml:space="preserve"> IF(  frontti!R41=0,"",frontti!R41)</f>
        <v/>
      </c>
      <c r="ES3" s="112">
        <f>IF(frontti!S41=0,"",frontti!S41)</f>
        <v>41226</v>
      </c>
    </row>
    <row r="4" spans="1:352" x14ac:dyDescent="0.25">
      <c r="A4">
        <f>IF(B4="","",IF(COUNTIF($B$1:B3:B3,B4)=0,MAX($A$1:A3)+1,""))</f>
        <v>3</v>
      </c>
      <c r="B4" s="112">
        <v>45047</v>
      </c>
      <c r="C4" s="112">
        <f>IFERROR(VLOOKUP(COUNTBLANK($E$2:E4),A:B,2,FALSE),"")</f>
        <v>45047</v>
      </c>
      <c r="H4" s="610"/>
      <c r="I4" s="610"/>
      <c r="J4" s="610"/>
      <c r="K4" s="610"/>
      <c r="L4" s="610"/>
      <c r="M4" s="610"/>
      <c r="N4" s="610"/>
      <c r="ER4" t="str">
        <f xml:space="preserve"> IF(  frontti!R42=0,"",frontti!R42)</f>
        <v/>
      </c>
      <c r="ES4" s="112">
        <f>IF(frontti!S42=0,"",frontti!S42)</f>
        <v>43782</v>
      </c>
    </row>
    <row r="5" spans="1:352" x14ac:dyDescent="0.25">
      <c r="A5" t="str">
        <f>IF(B5="","",IF(COUNTIF($B$1:B4:B4,B5)=0,MAX($A$1:A4)+1,""))</f>
        <v/>
      </c>
      <c r="B5" s="112" t="s">
        <v>134</v>
      </c>
      <c r="C5" s="112">
        <f>IFERROR(VLOOKUP(COUNTBLANK($E$2:E5),A:B,2,FALSE),"")</f>
        <v>40269</v>
      </c>
      <c r="H5" s="610"/>
      <c r="I5" s="610"/>
      <c r="J5" s="610"/>
      <c r="K5" s="610"/>
      <c r="L5" s="610"/>
      <c r="M5" s="610"/>
      <c r="N5" s="610"/>
      <c r="ER5" t="str">
        <f xml:space="preserve"> IF(  frontti!R43=0,"",frontti!R43)</f>
        <v/>
      </c>
      <c r="ES5" s="112">
        <f>IF(frontti!S43=0,"",frontti!S43)</f>
        <v>44912</v>
      </c>
      <c r="MI5">
        <f>frontti!R27</f>
        <v>0</v>
      </c>
    </row>
    <row r="6" spans="1:352" x14ac:dyDescent="0.25">
      <c r="A6" t="str">
        <f>IF(B6="","",IF(COUNTIF($B$1:B5:B5,B6)=0,MAX($A$1:A5)+1,""))</f>
        <v/>
      </c>
      <c r="B6" s="112" t="s">
        <v>134</v>
      </c>
      <c r="C6" s="112">
        <f>IFERROR(VLOOKUP(COUNTBLANK($E$2:E6),A:B,2,FALSE),"")</f>
        <v>40360</v>
      </c>
      <c r="H6" s="610"/>
      <c r="I6" s="610"/>
      <c r="J6" s="610"/>
      <c r="K6" s="610"/>
      <c r="L6" s="610"/>
      <c r="M6" s="610"/>
      <c r="N6" s="610"/>
      <c r="ER6" t="str">
        <f xml:space="preserve"> IF(  frontti!R44=0,"",frontti!R44)</f>
        <v/>
      </c>
      <c r="ES6" s="112" t="str">
        <f>IF(frontti!S44=0,"",frontti!S44)</f>
        <v/>
      </c>
      <c r="MI6">
        <f>LEN(MI5)</f>
        <v>1</v>
      </c>
    </row>
    <row r="7" spans="1:352" x14ac:dyDescent="0.25">
      <c r="A7" t="str">
        <f>IF(B7="","",IF(COUNTIF($B$1:B6:B6,B7)=0,MAX($A$1:A6)+1,""))</f>
        <v/>
      </c>
      <c r="B7" s="112" t="s">
        <v>134</v>
      </c>
      <c r="C7" s="112">
        <f>IFERROR(VLOOKUP(COUNTBLANK($E$2:E7),A:B,2,FALSE),"")</f>
        <v>40422</v>
      </c>
      <c r="ER7" t="str">
        <f xml:space="preserve"> IF(  frontti!R45=0,"",frontti!R45)</f>
        <v/>
      </c>
      <c r="ES7" s="112" t="str">
        <f>IF(frontti!S45=0,"",frontti!S45)</f>
        <v/>
      </c>
      <c r="MK7" t="s">
        <v>168</v>
      </c>
      <c r="ML7">
        <v>0</v>
      </c>
      <c r="MM7" t="s">
        <v>168</v>
      </c>
      <c r="MN7">
        <f>IF($MI$6 = 1,ML7,MM7)</f>
        <v>0</v>
      </c>
    </row>
    <row r="8" spans="1:352" x14ac:dyDescent="0.25">
      <c r="A8" t="str">
        <f>IF(B8="","",IF(COUNTIF($B$1:B7:B7,B8)=0,MAX($A$1:A7)+1,""))</f>
        <v/>
      </c>
      <c r="B8" s="112" t="s">
        <v>134</v>
      </c>
      <c r="C8" s="112">
        <f>IFERROR(VLOOKUP(COUNTBLANK($E$2:E8),A:B,2,FALSE),"")</f>
        <v>40544</v>
      </c>
      <c r="ER8" t="str">
        <f xml:space="preserve"> IF(  frontti!R46=0,"",frontti!R46)</f>
        <v/>
      </c>
      <c r="ES8" s="112" t="str">
        <f>IF(frontti!S46=0,"",frontti!S46)</f>
        <v/>
      </c>
      <c r="MK8" t="s">
        <v>169</v>
      </c>
      <c r="ML8">
        <v>3</v>
      </c>
      <c r="MM8" t="s">
        <v>169</v>
      </c>
      <c r="MN8">
        <f t="shared" ref="MN8:MN13" si="0">IF($MI$6 = 1,ML8,MM8)</f>
        <v>3</v>
      </c>
    </row>
    <row r="9" spans="1:352" ht="15.75" thickBot="1" x14ac:dyDescent="0.3">
      <c r="A9" t="str">
        <f>IF(B9="","",IF(COUNTIF($B$1:B8:B8,B9)=0,MAX($A$1:A8)+1,""))</f>
        <v/>
      </c>
      <c r="B9" s="112" t="s">
        <v>134</v>
      </c>
      <c r="C9" s="112">
        <f>IFERROR(VLOOKUP(COUNTBLANK($E$2:E9),A:B,2,FALSE),"")</f>
        <v>42370</v>
      </c>
      <c r="MK9" t="s">
        <v>170</v>
      </c>
      <c r="ML9">
        <v>9</v>
      </c>
      <c r="MM9" t="s">
        <v>170</v>
      </c>
      <c r="MN9">
        <f t="shared" si="0"/>
        <v>9</v>
      </c>
    </row>
    <row r="10" spans="1:352" x14ac:dyDescent="0.25">
      <c r="A10" t="str">
        <f>IF(B10="","",IF(COUNTIF($B$1:B9:B9,B10)=0,MAX($A$1:A9)+1,""))</f>
        <v/>
      </c>
      <c r="B10" s="112" t="s">
        <v>134</v>
      </c>
      <c r="C10" s="112">
        <f>IFERROR(VLOOKUP(COUNTBLANK($E$2:E10),A:B,2,FALSE),"")</f>
        <v>42736</v>
      </c>
      <c r="ER10" s="250" t="str">
        <f ca="1" xml:space="preserve"> IF($EP$2=1,  frontti!N27,ER2)</f>
        <v>0-2 anni</v>
      </c>
      <c r="ES10" s="304">
        <f ca="1">IF($EP$2=1,frontti!O27,ES2)</f>
        <v>43344</v>
      </c>
      <c r="EU10" t="str">
        <f ca="1">IF(ER10="","",CONCATENATE(DAY(ES10),"/",MONTH(ES10),"/",YEAR(ES10)))</f>
        <v>1/9/2018</v>
      </c>
      <c r="MK10" t="s">
        <v>171</v>
      </c>
      <c r="ML10">
        <v>15</v>
      </c>
      <c r="MM10" t="s">
        <v>171</v>
      </c>
      <c r="MN10">
        <f t="shared" si="0"/>
        <v>15</v>
      </c>
    </row>
    <row r="11" spans="1:352" x14ac:dyDescent="0.25">
      <c r="A11" t="str">
        <f>IF(B11="","",IF(COUNTIF($B$1:B10:B10,B11)=0,MAX($A$1:A10)+1,""))</f>
        <v/>
      </c>
      <c r="B11" s="112" t="s">
        <v>134</v>
      </c>
      <c r="C11" s="112">
        <f>IFERROR(VLOOKUP(COUNTBLANK($E$2:E11),A:B,2,FALSE),"")</f>
        <v>43160</v>
      </c>
      <c r="ER11" s="253" t="str">
        <f ca="1" xml:space="preserve"> IF($EP$2=1,  frontti!N28,ER3)</f>
        <v/>
      </c>
      <c r="ES11" s="305" t="str">
        <f ca="1">IF($EP$2=1,frontti!O28,ES3)</f>
        <v/>
      </c>
      <c r="EU11" t="str">
        <f t="shared" ref="EU11:EU15" ca="1" si="1">IF(ER11="","",CONCATENATE(DAY(ES11),"/",MONTH(ES11),"/",YEAR(ES11)))</f>
        <v/>
      </c>
      <c r="MK11" t="s">
        <v>172</v>
      </c>
      <c r="ML11">
        <v>21</v>
      </c>
      <c r="MM11" t="s">
        <v>172</v>
      </c>
      <c r="MN11">
        <f t="shared" si="0"/>
        <v>21</v>
      </c>
    </row>
    <row r="12" spans="1:352" x14ac:dyDescent="0.25">
      <c r="A12" t="str">
        <f>IF(B12="","",IF(COUNTIF($B$1:B11:B11,B12)=0,MAX($A$1:A11)+1,""))</f>
        <v/>
      </c>
      <c r="B12" s="112" t="s">
        <v>134</v>
      </c>
      <c r="C12" s="112">
        <f>IFERROR(VLOOKUP(COUNTBLANK($E$2:E12),A:B,2,FALSE),"")</f>
        <v>43191</v>
      </c>
      <c r="ER12" s="253" t="str">
        <f ca="1" xml:space="preserve"> IF($EP$2=1,  frontti!N29,ER4)</f>
        <v/>
      </c>
      <c r="ES12" s="305" t="str">
        <f ca="1">IF($EP$2=1,frontti!O29,ES4)</f>
        <v/>
      </c>
      <c r="EU12" t="str">
        <f t="shared" ca="1" si="1"/>
        <v/>
      </c>
      <c r="MK12" t="s">
        <v>173</v>
      </c>
      <c r="ML12">
        <v>28</v>
      </c>
      <c r="MM12" t="s">
        <v>173</v>
      </c>
      <c r="MN12">
        <f t="shared" si="0"/>
        <v>28</v>
      </c>
    </row>
    <row r="13" spans="1:352" x14ac:dyDescent="0.25">
      <c r="A13" t="str">
        <f>IF(B13="","",IF(COUNTIF($B$1:B12:B12,B13)=0,MAX($A$1:A12)+1,""))</f>
        <v/>
      </c>
      <c r="B13" s="112" t="s">
        <v>134</v>
      </c>
      <c r="C13" s="112">
        <f>IFERROR(VLOOKUP(COUNTBLANK($E$2:E13),A:B,2,FALSE),"")</f>
        <v>43466</v>
      </c>
      <c r="ER13" s="253" t="str">
        <f ca="1" xml:space="preserve"> IF($EP$2=1,  frontti!N30,ER5)</f>
        <v/>
      </c>
      <c r="ES13" s="305" t="str">
        <f ca="1">IF($EP$2=1,frontti!O30,ES5)</f>
        <v/>
      </c>
      <c r="EU13" t="str">
        <f t="shared" ca="1" si="1"/>
        <v/>
      </c>
      <c r="MK13" t="s">
        <v>174</v>
      </c>
      <c r="ML13">
        <v>35</v>
      </c>
      <c r="MM13" t="s">
        <v>174</v>
      </c>
      <c r="MN13">
        <f t="shared" si="0"/>
        <v>35</v>
      </c>
    </row>
    <row r="14" spans="1:352" x14ac:dyDescent="0.25">
      <c r="A14" t="str">
        <f>IF(B14="","",IF(COUNTIF($B$1:B13:B13,B14)=0,MAX($A$1:A13)+1,""))</f>
        <v/>
      </c>
      <c r="B14" s="112" t="s">
        <v>134</v>
      </c>
      <c r="C14" s="112">
        <f>IFERROR(VLOOKUP(COUNTBLANK($E$2:E14),A:B,2,FALSE),"")</f>
        <v>40210</v>
      </c>
      <c r="ER14" s="253" t="str">
        <f ca="1" xml:space="preserve"> IF($EP$2=1,  frontti!N31,ER6)</f>
        <v/>
      </c>
      <c r="ES14" s="305" t="str">
        <f ca="1">IF($EP$2=1,frontti!O31,ES6)</f>
        <v/>
      </c>
      <c r="EU14" t="str">
        <f t="shared" ca="1" si="1"/>
        <v/>
      </c>
      <c r="GF14" s="112" t="str">
        <f>frontti!N37</f>
        <v/>
      </c>
      <c r="GG14" s="112">
        <f ca="1">frontti!O37</f>
        <v>43344</v>
      </c>
      <c r="GI14">
        <f>frontti!R40</f>
        <v>0</v>
      </c>
      <c r="GJ14" s="112">
        <f>frontti!S40</f>
        <v>43344</v>
      </c>
    </row>
    <row r="15" spans="1:352" x14ac:dyDescent="0.25">
      <c r="A15" t="str">
        <f>IF(B15="","",IF(COUNTIF($B$1:B14:B14,B15)=0,MAX($A$1:A14)+1,""))</f>
        <v/>
      </c>
      <c r="B15" s="112" t="s">
        <v>134</v>
      </c>
      <c r="C15" t="str">
        <f>IFERROR(VLOOKUP(COUNTBLANK($E$2:E15),A:B,2,FALSE),"")</f>
        <v/>
      </c>
      <c r="ER15" s="253" t="str">
        <f ca="1" xml:space="preserve"> IF($EP$2=1,  frontti!N32,ER7)</f>
        <v/>
      </c>
      <c r="ES15" s="305" t="str">
        <f ca="1">IF($EP$2=1,frontti!O32,ES7)</f>
        <v/>
      </c>
      <c r="EU15" t="str">
        <f t="shared" ca="1" si="1"/>
        <v/>
      </c>
      <c r="GF15" s="112" t="str">
        <f ca="1">frontti!N38</f>
        <v/>
      </c>
      <c r="GG15" s="112">
        <f ca="1">frontti!O38</f>
        <v>43709</v>
      </c>
      <c r="GI15">
        <f>frontti!R41</f>
        <v>0</v>
      </c>
      <c r="GJ15" s="112">
        <f>frontti!S41</f>
        <v>41226</v>
      </c>
    </row>
    <row r="16" spans="1:352" x14ac:dyDescent="0.25">
      <c r="A16" t="str">
        <f>IF(B16="","",IF(COUNTIF($B$1:B15:B15,B16)=0,MAX($A$1:A15)+1,""))</f>
        <v/>
      </c>
      <c r="B16" s="112" t="s">
        <v>134</v>
      </c>
      <c r="C16" t="str">
        <f>IFERROR(VLOOKUP(COUNTBLANK($E$2:E16),A:B,2,FALSE),"")</f>
        <v/>
      </c>
      <c r="ER16" s="253" t="str">
        <f ca="1" xml:space="preserve"> IF($EP$2=1,  frontti!N33,ER8)</f>
        <v/>
      </c>
      <c r="ES16" s="305" t="str">
        <f ca="1">IF($EP$2=1,frontti!O33,ES8)</f>
        <v/>
      </c>
      <c r="GF16" s="112" t="str">
        <f>frontti!N39</f>
        <v/>
      </c>
      <c r="GG16" s="112" t="str">
        <f>frontti!O39</f>
        <v/>
      </c>
      <c r="GI16">
        <f>frontti!R42</f>
        <v>0</v>
      </c>
      <c r="GJ16" s="112">
        <f>frontti!S42</f>
        <v>43782</v>
      </c>
    </row>
    <row r="17" spans="1:303" ht="15.75" thickBot="1" x14ac:dyDescent="0.3">
      <c r="A17" t="str">
        <f>IF(B17="","",IF(COUNTIF($B$1:B16:B16,B17)=0,MAX($A$1:A16)+1,""))</f>
        <v/>
      </c>
      <c r="B17" s="112" t="s">
        <v>134</v>
      </c>
      <c r="C17" t="str">
        <f>IFERROR(VLOOKUP(COUNTBLANK($E$2:E17),A:B,2,FALSE),"")</f>
        <v/>
      </c>
      <c r="ER17" s="255"/>
      <c r="ES17" s="258"/>
      <c r="GF17" s="112" t="str">
        <f>frontti!N40</f>
        <v/>
      </c>
      <c r="GG17" s="112" t="str">
        <f>frontti!O40</f>
        <v/>
      </c>
      <c r="GI17">
        <f>frontti!R43</f>
        <v>0</v>
      </c>
      <c r="GJ17" s="112">
        <f>frontti!S43</f>
        <v>44912</v>
      </c>
    </row>
    <row r="18" spans="1:303" x14ac:dyDescent="0.25">
      <c r="A18" t="str">
        <f>IF(B18="","",IF(COUNTIF($B$1:B17:B17,B18)=0,MAX($A$1:A17)+1,""))</f>
        <v/>
      </c>
      <c r="B18" s="112" t="s">
        <v>134</v>
      </c>
      <c r="C18" t="str">
        <f>IFERROR(VLOOKUP(COUNTBLANK($E$2:E18),A:B,2,FALSE),"")</f>
        <v/>
      </c>
      <c r="GF18" s="112" t="str">
        <f>frontti!N41</f>
        <v/>
      </c>
      <c r="GG18" s="112" t="str">
        <f>frontti!O41</f>
        <v/>
      </c>
      <c r="GI18">
        <f>frontti!R44</f>
        <v>0</v>
      </c>
      <c r="GJ18" s="112">
        <f>frontti!S44</f>
        <v>0</v>
      </c>
    </row>
    <row r="19" spans="1:303" x14ac:dyDescent="0.25">
      <c r="A19" t="str">
        <f>IF(B19="","",IF(COUNTIF($B$1:B18:B18,B19)=0,MAX($A$1:A18)+1,""))</f>
        <v/>
      </c>
      <c r="B19" s="112" t="s">
        <v>134</v>
      </c>
      <c r="C19" t="str">
        <f>IFERROR(VLOOKUP(COUNTBLANK($E$2:E19),A:B,2,FALSE),"")</f>
        <v/>
      </c>
      <c r="GF19" s="112" t="str">
        <f>frontti!N42</f>
        <v/>
      </c>
      <c r="GG19" s="112" t="str">
        <f>frontti!O42</f>
        <v/>
      </c>
      <c r="GI19">
        <f>frontti!R45</f>
        <v>0</v>
      </c>
      <c r="GJ19" s="112">
        <f>frontti!S45</f>
        <v>0</v>
      </c>
    </row>
    <row r="20" spans="1:303" x14ac:dyDescent="0.25">
      <c r="A20" t="str">
        <f>IF(B20="","",IF(COUNTIF($B$1:B19:B19,B20)=0,MAX($A$1:A19)+1,""))</f>
        <v/>
      </c>
      <c r="B20" s="112" t="s">
        <v>134</v>
      </c>
      <c r="C20" t="str">
        <f>IFERROR(VLOOKUP(COUNTBLANK($E$2:E20),A:B,2,FALSE),"")</f>
        <v/>
      </c>
      <c r="E20" t="s">
        <v>40</v>
      </c>
      <c r="GF20" s="112" t="str">
        <f>frontti!N43</f>
        <v/>
      </c>
      <c r="GG20" s="112" t="str">
        <f>frontti!O43</f>
        <v/>
      </c>
      <c r="GI20">
        <f>frontti!R46</f>
        <v>0</v>
      </c>
      <c r="GJ20" s="112">
        <f>frontti!S46</f>
        <v>0</v>
      </c>
    </row>
    <row r="21" spans="1:303" x14ac:dyDescent="0.25">
      <c r="A21" t="str">
        <f>IF(B21="","",IF(COUNTIF($B$1:B20:B20,B21)=0,MAX($A$1:A20)+1,""))</f>
        <v/>
      </c>
      <c r="B21" s="112" t="s">
        <v>134</v>
      </c>
      <c r="C21" t="str">
        <f>IFERROR(VLOOKUP(COUNTBLANK($E$2:E21),A:B,2,FALSE),"")</f>
        <v/>
      </c>
      <c r="E21" t="s">
        <v>60</v>
      </c>
      <c r="GI21">
        <f>frontti!R47</f>
        <v>0</v>
      </c>
      <c r="GJ21" s="112">
        <f>frontti!S47</f>
        <v>0</v>
      </c>
    </row>
    <row r="22" spans="1:303" x14ac:dyDescent="0.25">
      <c r="A22" t="str">
        <f>IF(B22="","",IF(COUNTIF($B$1:B21:B21,B22)=0,MAX($A$1:A21)+1,""))</f>
        <v/>
      </c>
      <c r="B22" s="112" t="s">
        <v>134</v>
      </c>
      <c r="C22" t="str">
        <f>IFERROR(VLOOKUP(COUNTBLANK($E$2:E22),A:B,2,FALSE),"")</f>
        <v/>
      </c>
      <c r="E22" t="s">
        <v>63</v>
      </c>
    </row>
    <row r="23" spans="1:303" x14ac:dyDescent="0.25">
      <c r="A23" t="str">
        <f>IF(B23="","",IF(COUNTIF($B$1:B22:B22,B23)=0,MAX($A$1:A22)+1,""))</f>
        <v/>
      </c>
      <c r="B23" s="112" t="s">
        <v>134</v>
      </c>
      <c r="C23" t="str">
        <f>IFERROR(VLOOKUP(COUNTBLANK($E$2:E23),A:B,2,FALSE),"")</f>
        <v/>
      </c>
      <c r="E23" t="s">
        <v>89</v>
      </c>
    </row>
    <row r="24" spans="1:303" x14ac:dyDescent="0.25">
      <c r="A24" t="str">
        <f>IF(B24="","",IF(COUNTIF($B$1:B23:B23,B24)=0,MAX($A$1:A23)+1,""))</f>
        <v/>
      </c>
      <c r="B24" s="112" t="s">
        <v>134</v>
      </c>
      <c r="C24" t="str">
        <f>IFERROR(VLOOKUP(COUNTBLANK($E$2:E24),A:B,2,FALSE),"")</f>
        <v/>
      </c>
      <c r="E24" t="s">
        <v>90</v>
      </c>
    </row>
    <row r="25" spans="1:303" x14ac:dyDescent="0.25">
      <c r="A25" t="str">
        <f>IF(B25="","",IF(COUNTIF($B$1:B24:B24,B25)=0,MAX($A$1:A24)+1,""))</f>
        <v/>
      </c>
      <c r="B25" s="112" t="s">
        <v>134</v>
      </c>
      <c r="C25" t="str">
        <f>IFERROR(VLOOKUP(COUNTBLANK($E$2:E25),A:B,2,FALSE),"")</f>
        <v/>
      </c>
      <c r="E25" t="s">
        <v>92</v>
      </c>
    </row>
    <row r="26" spans="1:303" x14ac:dyDescent="0.25">
      <c r="A26" t="str">
        <f>IF(B26="","",IF(COUNTIF($B$1:B25:B25,B26)=0,MAX($A$1:A25)+1,""))</f>
        <v/>
      </c>
      <c r="B26" s="112" t="s">
        <v>134</v>
      </c>
      <c r="C26" t="str">
        <f>IFERROR(VLOOKUP(COUNTBLANK($E$2:E26),A:B,2,FALSE),"")</f>
        <v/>
      </c>
      <c r="E26" t="s">
        <v>91</v>
      </c>
    </row>
    <row r="27" spans="1:303" x14ac:dyDescent="0.25">
      <c r="A27">
        <f>IF(B27="","",IF(COUNTIF($B$1:B26:B26,B27)=0,MAX($A$1:A26)+1,""))</f>
        <v>4</v>
      </c>
      <c r="B27" s="112">
        <v>40269</v>
      </c>
      <c r="C27" t="str">
        <f>IFERROR(VLOOKUP(COUNTBLANK($E$2:E27),A:B,2,FALSE),"")</f>
        <v/>
      </c>
    </row>
    <row r="28" spans="1:303" x14ac:dyDescent="0.25">
      <c r="A28">
        <f>IF(B28="","",IF(COUNTIF($B$1:B27:B27,B28)=0,MAX($A$1:A27)+1,""))</f>
        <v>5</v>
      </c>
      <c r="B28" s="112">
        <v>40360</v>
      </c>
      <c r="C28" t="str">
        <f>IFERROR(VLOOKUP(COUNTBLANK($E$2:E28),A:B,2,FALSE),"")</f>
        <v/>
      </c>
    </row>
    <row r="29" spans="1:303" x14ac:dyDescent="0.25">
      <c r="A29">
        <f>IF(B29="","",IF(COUNTIF($B$1:B28:B28,B29)=0,MAX($A$1:A28)+1,""))</f>
        <v>6</v>
      </c>
      <c r="B29" s="112">
        <v>40422</v>
      </c>
      <c r="C29" t="str">
        <f>IFERROR(VLOOKUP(COUNTBLANK($E$2:E29),A:B,2,FALSE),"")</f>
        <v/>
      </c>
      <c r="E29" s="246" t="str">
        <f>CONCATENATE(tiGiuEc1!F4,"!")</f>
        <v>DocenteLaureatoSuperiore!</v>
      </c>
      <c r="F29" s="246"/>
      <c r="G29" s="246"/>
    </row>
    <row r="30" spans="1:303" x14ac:dyDescent="0.25">
      <c r="A30">
        <f>IF(B30="","",IF(COUNTIF($B$1:B29:B29,B30)=0,MAX($A$1:A29)+1,""))</f>
        <v>7</v>
      </c>
      <c r="B30" s="112">
        <v>40544</v>
      </c>
      <c r="C30" t="str">
        <f>IFERROR(VLOOKUP(COUNTBLANK($E$2:E30),A:B,2,FALSE),"")</f>
        <v/>
      </c>
      <c r="KE30" s="611" t="s">
        <v>208</v>
      </c>
      <c r="KF30" s="611"/>
      <c r="KG30" s="611"/>
      <c r="KH30" s="611"/>
      <c r="KI30" s="611"/>
      <c r="KJ30" s="611"/>
      <c r="KK30" s="611"/>
      <c r="KL30" s="611"/>
      <c r="KM30" s="611"/>
      <c r="KN30" s="611"/>
      <c r="KO30" s="611"/>
      <c r="KP30" s="611"/>
      <c r="KQ30" s="611"/>
    </row>
    <row r="31" spans="1:303" ht="18.75" x14ac:dyDescent="0.3">
      <c r="A31">
        <f>IF(B31="","",IF(COUNTIF($B$1:B30:B30,B31)=0,MAX($A$1:A30)+1,""))</f>
        <v>8</v>
      </c>
      <c r="B31" s="112">
        <v>42370</v>
      </c>
      <c r="C31" t="str">
        <f>IFERROR(VLOOKUP(COUNTBLANK($E$2:E31),A:B,2,FALSE),"")</f>
        <v/>
      </c>
      <c r="HC31" s="306" t="s">
        <v>295</v>
      </c>
      <c r="HD31" s="306">
        <f>tiGiuEc1!H19</f>
        <v>0</v>
      </c>
      <c r="HE31" s="306" t="s">
        <v>105</v>
      </c>
      <c r="HF31" s="307">
        <f>tiGiuEc1!J19</f>
        <v>0</v>
      </c>
      <c r="KE31" s="611"/>
      <c r="KF31" s="611"/>
      <c r="KG31" s="611"/>
      <c r="KH31" s="611"/>
      <c r="KI31" s="611"/>
      <c r="KJ31" s="611"/>
      <c r="KK31" s="611"/>
      <c r="KL31" s="611"/>
      <c r="KM31" s="611"/>
      <c r="KN31" s="611"/>
      <c r="KO31" s="611"/>
      <c r="KP31" s="611"/>
      <c r="KQ31" s="611"/>
    </row>
    <row r="32" spans="1:303" x14ac:dyDescent="0.25">
      <c r="A32">
        <f>IF(B32="","",IF(COUNTIF($B$1:B31:B31,B32)=0,MAX($A$1:A31)+1,""))</f>
        <v>9</v>
      </c>
      <c r="B32" s="112">
        <v>42736</v>
      </c>
      <c r="C32" t="str">
        <f>IFERROR(VLOOKUP(COUNTBLANK($E$2:E32),A:B,2,FALSE),"")</f>
        <v/>
      </c>
      <c r="CH32" s="112">
        <f>CH38</f>
        <v>41275</v>
      </c>
      <c r="CI32" s="112">
        <f>F46</f>
        <v>36920</v>
      </c>
      <c r="CK32">
        <f>CI32-CH32</f>
        <v>-4355</v>
      </c>
      <c r="KE32" s="611"/>
      <c r="KF32" s="611"/>
      <c r="KG32" s="611"/>
      <c r="KH32" s="611"/>
      <c r="KI32" s="611"/>
      <c r="KJ32" s="611"/>
      <c r="KK32" s="611"/>
      <c r="KL32" s="611"/>
      <c r="KM32" s="611"/>
      <c r="KN32" s="611"/>
      <c r="KO32" s="611"/>
      <c r="KP32" s="611"/>
      <c r="KQ32" s="611"/>
    </row>
    <row r="33" spans="1:376" ht="15.75" thickBot="1" x14ac:dyDescent="0.3">
      <c r="A33">
        <f>IF(B33="","",IF(COUNTIF($B$1:B32:B32,B33)=0,MAX($A$1:A32)+1,""))</f>
        <v>10</v>
      </c>
      <c r="B33" s="112">
        <v>43160</v>
      </c>
      <c r="C33" t="str">
        <f>IFERROR(VLOOKUP(COUNTBLANK($E$2:E33),A:B,2,FALSE),"")</f>
        <v/>
      </c>
      <c r="E33" t="s">
        <v>202</v>
      </c>
      <c r="G33" s="270">
        <f>ti!G7</f>
        <v>0</v>
      </c>
      <c r="KE33" s="612"/>
      <c r="KF33" s="612"/>
      <c r="KG33" s="612"/>
      <c r="KH33" s="612"/>
      <c r="KI33" s="612"/>
      <c r="KJ33" s="612"/>
      <c r="KK33" s="612"/>
      <c r="KL33" s="612"/>
      <c r="KM33" s="612"/>
      <c r="KN33" s="612"/>
      <c r="KO33" s="612"/>
      <c r="KP33" s="612"/>
      <c r="KQ33" s="612"/>
    </row>
    <row r="34" spans="1:376" ht="15.75" thickBot="1" x14ac:dyDescent="0.3">
      <c r="A34">
        <f>IF(B34="","",IF(COUNTIF($B$1:B33:B33,B34)=0,MAX($A$1:A33)+1,""))</f>
        <v>11</v>
      </c>
      <c r="B34" s="112">
        <v>43191</v>
      </c>
      <c r="C34" t="str">
        <f>IFERROR(VLOOKUP(COUNTBLANK($E$2:E34),A:B,2,FALSE),"")</f>
        <v/>
      </c>
      <c r="EV34" s="250"/>
      <c r="EW34" s="251"/>
      <c r="EX34" s="251"/>
      <c r="EY34" s="251"/>
      <c r="EZ34" s="251"/>
      <c r="FA34" s="251"/>
      <c r="FB34" s="251" t="s">
        <v>16</v>
      </c>
      <c r="FC34" s="251" t="s">
        <v>17</v>
      </c>
      <c r="FD34" s="251" t="s">
        <v>18</v>
      </c>
      <c r="FE34" s="251" t="s">
        <v>19</v>
      </c>
      <c r="FF34" s="251" t="s">
        <v>20</v>
      </c>
      <c r="FG34" s="251" t="s">
        <v>41</v>
      </c>
      <c r="FH34" s="251"/>
      <c r="FI34" s="251"/>
      <c r="FJ34" s="251"/>
      <c r="FK34" s="251"/>
      <c r="FL34" s="251"/>
      <c r="FM34" s="251" t="s">
        <v>22</v>
      </c>
      <c r="FN34" s="251" t="s">
        <v>163</v>
      </c>
      <c r="FO34" s="251" t="s">
        <v>164</v>
      </c>
      <c r="FP34" s="251"/>
      <c r="FQ34" s="251"/>
      <c r="FR34" s="252"/>
      <c r="FT34" t="s">
        <v>280</v>
      </c>
      <c r="FU34" t="s">
        <v>281</v>
      </c>
      <c r="FV34" t="s">
        <v>155</v>
      </c>
      <c r="FW34" t="s">
        <v>156</v>
      </c>
      <c r="FX34" t="s">
        <v>157</v>
      </c>
      <c r="FY34" t="s">
        <v>158</v>
      </c>
      <c r="FZ34" t="s">
        <v>292</v>
      </c>
      <c r="GA34" t="s">
        <v>159</v>
      </c>
      <c r="GB34" t="s">
        <v>160</v>
      </c>
      <c r="GC34" t="s">
        <v>161</v>
      </c>
      <c r="GD34" t="s">
        <v>282</v>
      </c>
      <c r="KE34" s="250"/>
      <c r="KF34" s="251"/>
      <c r="KG34" s="251"/>
      <c r="KH34" s="251"/>
      <c r="KI34" s="251"/>
      <c r="KJ34" s="251"/>
      <c r="KK34" s="251" t="s">
        <v>16</v>
      </c>
      <c r="KL34" s="251" t="s">
        <v>17</v>
      </c>
      <c r="KM34" s="251" t="s">
        <v>18</v>
      </c>
      <c r="KN34" s="251" t="s">
        <v>19</v>
      </c>
      <c r="KO34" s="251" t="s">
        <v>20</v>
      </c>
      <c r="KP34" s="251" t="s">
        <v>41</v>
      </c>
      <c r="KQ34" s="251"/>
      <c r="KR34" s="251"/>
      <c r="KS34" s="251"/>
      <c r="KT34" s="251"/>
      <c r="KU34" s="251"/>
      <c r="KV34" s="251" t="s">
        <v>22</v>
      </c>
      <c r="KW34" s="251" t="s">
        <v>163</v>
      </c>
      <c r="KX34" s="251" t="s">
        <v>164</v>
      </c>
      <c r="KY34" s="251"/>
      <c r="KZ34" s="251"/>
      <c r="LA34" s="252"/>
    </row>
    <row r="35" spans="1:376" x14ac:dyDescent="0.25">
      <c r="A35">
        <f>IF(B35="","",IF(COUNTIF($B$1:B34:B34,B35)=0,MAX($A$1:A34)+1,""))</f>
        <v>12</v>
      </c>
      <c r="B35" s="112">
        <v>43466</v>
      </c>
      <c r="C35" t="str">
        <f>IFERROR(VLOOKUP(COUNTBLANK($E$2:E35),A:B,2,FALSE),"")</f>
        <v/>
      </c>
      <c r="EV35" s="253"/>
      <c r="FA35" t="s">
        <v>345</v>
      </c>
      <c r="FB35" t="s">
        <v>139</v>
      </c>
      <c r="FC35" t="s">
        <v>140</v>
      </c>
      <c r="FD35" t="s">
        <v>141</v>
      </c>
      <c r="FE35" t="s">
        <v>142</v>
      </c>
      <c r="FF35" t="s">
        <v>143</v>
      </c>
      <c r="FG35" t="s">
        <v>144</v>
      </c>
      <c r="FH35" t="s">
        <v>145</v>
      </c>
      <c r="FI35" t="s">
        <v>147</v>
      </c>
      <c r="FJ35" t="s">
        <v>148</v>
      </c>
      <c r="FK35" t="s">
        <v>149</v>
      </c>
      <c r="FL35" t="s">
        <v>150</v>
      </c>
      <c r="FM35" t="s">
        <v>146</v>
      </c>
      <c r="FR35" s="254"/>
      <c r="GT35" s="250"/>
      <c r="GU35" s="251"/>
      <c r="GV35" s="251"/>
      <c r="GW35" s="251"/>
      <c r="GX35" s="251"/>
      <c r="GY35" s="251"/>
      <c r="GZ35" s="251"/>
      <c r="HA35" s="251"/>
      <c r="HB35" s="251"/>
      <c r="HC35" s="251"/>
      <c r="HD35" s="251"/>
      <c r="HE35" s="252"/>
      <c r="KE35" s="253"/>
      <c r="KJ35" t="s">
        <v>151</v>
      </c>
      <c r="KK35" t="s">
        <v>139</v>
      </c>
      <c r="KL35" t="s">
        <v>140</v>
      </c>
      <c r="KM35" t="s">
        <v>141</v>
      </c>
      <c r="KN35" t="s">
        <v>142</v>
      </c>
      <c r="KO35" t="s">
        <v>143</v>
      </c>
      <c r="KP35" t="s">
        <v>144</v>
      </c>
      <c r="KQ35" t="s">
        <v>145</v>
      </c>
      <c r="KR35" t="s">
        <v>147</v>
      </c>
      <c r="KS35" t="s">
        <v>148</v>
      </c>
      <c r="KT35" t="s">
        <v>149</v>
      </c>
      <c r="KU35" t="s">
        <v>150</v>
      </c>
      <c r="KV35" t="s">
        <v>146</v>
      </c>
      <c r="LA35" s="254"/>
    </row>
    <row r="36" spans="1:376" ht="15.75" thickBot="1" x14ac:dyDescent="0.3">
      <c r="A36" t="str">
        <f>IF(B36="","",IF(COUNTIF($B$1:B35:B35,B36)=0,MAX($A$1:A35)+1,""))</f>
        <v/>
      </c>
      <c r="B36" s="112" t="s">
        <v>134</v>
      </c>
      <c r="C36" t="str">
        <f>IFERROR(VLOOKUP(COUNTBLANK($E$2:E36),A:B,2,FALSE),"")</f>
        <v/>
      </c>
      <c r="DL36" t="e">
        <f ca="1">CONCATENATE("tiGiuEc1!AA",DJ40-6,":AK",DJ40)</f>
        <v>#N/A</v>
      </c>
      <c r="EV36" s="253"/>
      <c r="FR36" s="254"/>
      <c r="GR36" s="112">
        <v>37622</v>
      </c>
      <c r="GT36" s="253"/>
      <c r="GU36" t="s">
        <v>182</v>
      </c>
      <c r="HE36" s="254"/>
      <c r="KE36" s="253"/>
      <c r="LA36" s="254"/>
      <c r="MF36" s="345" t="s">
        <v>203</v>
      </c>
      <c r="MG36" s="345"/>
      <c r="MH36" s="405">
        <f>frontti!E27</f>
        <v>0</v>
      </c>
      <c r="MM36" t="e">
        <f ca="1">MM37</f>
        <v>#N/A</v>
      </c>
      <c r="MN36" t="e">
        <f ca="1">ROUND(MM37/12,2)</f>
        <v>#N/A</v>
      </c>
      <c r="MO36" t="e">
        <f ca="1">MM36+MN36</f>
        <v>#N/A</v>
      </c>
      <c r="MU36" s="112">
        <v>40422</v>
      </c>
    </row>
    <row r="37" spans="1:376" ht="87" customHeight="1" thickBot="1" x14ac:dyDescent="0.5">
      <c r="A37">
        <f>IF(B37="","",IF(COUNTIF($B$1:B36:B36,B37)=0,MAX($A$1:A36)+1,""))</f>
        <v>13</v>
      </c>
      <c r="B37" s="112">
        <v>40210</v>
      </c>
      <c r="C37" t="str">
        <f>IFERROR(VLOOKUP(COUNTBLANK($E$2:E37),A:B,2,FALSE),"")</f>
        <v/>
      </c>
      <c r="CG37" t="s">
        <v>116</v>
      </c>
      <c r="EV37" s="253" t="s">
        <v>197</v>
      </c>
      <c r="EY37" t="s">
        <v>138</v>
      </c>
      <c r="FR37" s="254"/>
      <c r="FT37" t="s">
        <v>136</v>
      </c>
      <c r="FU37" t="s">
        <v>93</v>
      </c>
      <c r="FV37" t="s">
        <v>16</v>
      </c>
      <c r="FW37" t="s">
        <v>17</v>
      </c>
      <c r="FX37" t="s">
        <v>18</v>
      </c>
      <c r="FY37" t="s">
        <v>19</v>
      </c>
      <c r="FZ37" t="s">
        <v>20</v>
      </c>
      <c r="GA37" t="s">
        <v>166</v>
      </c>
      <c r="GB37" t="s">
        <v>162</v>
      </c>
      <c r="GC37" t="s">
        <v>163</v>
      </c>
      <c r="GD37" t="s">
        <v>164</v>
      </c>
      <c r="GE37" t="s">
        <v>165</v>
      </c>
      <c r="GF37" t="s">
        <v>175</v>
      </c>
      <c r="GG37" t="s">
        <v>176</v>
      </c>
      <c r="GH37" s="263" t="s">
        <v>183</v>
      </c>
      <c r="GI37" t="s">
        <v>17</v>
      </c>
      <c r="GJ37" t="s">
        <v>18</v>
      </c>
      <c r="GK37" t="s">
        <v>178</v>
      </c>
      <c r="GL37" t="s">
        <v>179</v>
      </c>
      <c r="GM37" t="s">
        <v>180</v>
      </c>
      <c r="GN37" t="s">
        <v>181</v>
      </c>
      <c r="GO37" t="s">
        <v>294</v>
      </c>
      <c r="GP37" t="s">
        <v>164</v>
      </c>
      <c r="GR37" t="s">
        <v>293</v>
      </c>
      <c r="GS37" t="s">
        <v>185</v>
      </c>
      <c r="GT37" s="253" t="s">
        <v>165</v>
      </c>
      <c r="GU37" t="s">
        <v>175</v>
      </c>
      <c r="GV37" t="s">
        <v>176</v>
      </c>
      <c r="GW37" t="s">
        <v>177</v>
      </c>
      <c r="GX37" t="s">
        <v>17</v>
      </c>
      <c r="GY37" t="s">
        <v>18</v>
      </c>
      <c r="GZ37" t="s">
        <v>178</v>
      </c>
      <c r="HA37" t="s">
        <v>186</v>
      </c>
      <c r="HB37" t="s">
        <v>180</v>
      </c>
      <c r="HC37" t="s">
        <v>181</v>
      </c>
      <c r="HD37" t="s">
        <v>294</v>
      </c>
      <c r="HE37" s="254" t="s">
        <v>164</v>
      </c>
      <c r="HF37" t="s">
        <v>184</v>
      </c>
      <c r="IT37" s="112">
        <f>G33</f>
        <v>0</v>
      </c>
      <c r="IW37" s="263" t="s">
        <v>204</v>
      </c>
      <c r="KE37" s="253" t="s">
        <v>197</v>
      </c>
      <c r="KH37" t="s">
        <v>138</v>
      </c>
      <c r="LA37" s="254"/>
      <c r="LK37" s="320"/>
      <c r="LL37" s="320"/>
      <c r="LM37" s="334" t="s">
        <v>346</v>
      </c>
      <c r="LN37" s="320"/>
      <c r="LO37" s="320"/>
      <c r="LP37" s="320"/>
      <c r="LQ37" s="320"/>
      <c r="LR37" s="320"/>
      <c r="LS37" s="320"/>
      <c r="LT37" s="320"/>
      <c r="LU37" s="320"/>
      <c r="LV37" s="320"/>
      <c r="LW37" s="320"/>
      <c r="LX37" s="320"/>
      <c r="LY37" s="320"/>
      <c r="LZ37" s="320"/>
      <c r="MA37" s="320"/>
      <c r="MB37" s="320"/>
      <c r="MC37" s="320"/>
      <c r="MD37" s="320"/>
      <c r="ME37" s="670" t="s">
        <v>425</v>
      </c>
      <c r="MF37" s="669"/>
      <c r="MG37" s="669"/>
      <c r="MH37" s="669"/>
      <c r="MI37" s="320"/>
      <c r="MJ37" s="320" t="s">
        <v>426</v>
      </c>
      <c r="MK37" s="320"/>
      <c r="ML37" s="320"/>
      <c r="MM37" s="668" t="e">
        <f ca="1">SUM(MM39:MM101)</f>
        <v>#N/A</v>
      </c>
      <c r="MN37" s="669"/>
      <c r="MO37" s="320"/>
      <c r="MP37" s="250"/>
      <c r="MQ37" s="251"/>
      <c r="MR37" s="251" t="s">
        <v>345</v>
      </c>
      <c r="MS37" s="251" t="s">
        <v>416</v>
      </c>
      <c r="MT37" s="251" t="s">
        <v>417</v>
      </c>
      <c r="MU37" s="251"/>
      <c r="MV37" s="251" t="s">
        <v>420</v>
      </c>
      <c r="MW37" s="251" t="str">
        <f>CONCATENATE(MR37,MV37)</f>
        <v>Foglio1ti!BG</v>
      </c>
      <c r="MX37" s="251"/>
      <c r="MY37" s="252"/>
      <c r="NK37" s="269" t="s">
        <v>200</v>
      </c>
      <c r="NL37" s="340" t="s">
        <v>206</v>
      </c>
    </row>
    <row r="38" spans="1:376" ht="230.25" thickBot="1" x14ac:dyDescent="0.35">
      <c r="B38" s="112" t="s">
        <v>134</v>
      </c>
      <c r="C38" t="str">
        <f>IFERROR(VLOOKUP(COUNTBLANK($E$2:E38),A:B,2,FALSE),"")</f>
        <v/>
      </c>
      <c r="E38" t="s">
        <v>198</v>
      </c>
      <c r="W38" t="s">
        <v>110</v>
      </c>
      <c r="CG38">
        <v>2013</v>
      </c>
      <c r="CH38" s="112">
        <v>41275</v>
      </c>
      <c r="CI38" s="112">
        <v>41639</v>
      </c>
      <c r="CJ38" t="s">
        <v>117</v>
      </c>
      <c r="CQ38" t="s">
        <v>121</v>
      </c>
      <c r="CR38" t="s">
        <v>120</v>
      </c>
      <c r="DO38" s="615" t="s">
        <v>129</v>
      </c>
      <c r="DP38" s="615"/>
      <c r="DQ38" s="615"/>
      <c r="DW38" s="276"/>
      <c r="DX38" s="276"/>
      <c r="DY38" s="276"/>
      <c r="DZ38" s="276"/>
      <c r="EF38" s="250"/>
      <c r="EG38" s="251"/>
      <c r="EH38" s="251"/>
      <c r="EI38" s="251"/>
      <c r="EJ38" s="301" t="s">
        <v>278</v>
      </c>
      <c r="EK38" s="252"/>
      <c r="EM38" s="250"/>
      <c r="EN38" s="251"/>
      <c r="EO38" s="251"/>
      <c r="EP38" s="251"/>
      <c r="EQ38" s="251"/>
      <c r="ER38" s="251"/>
      <c r="ES38" s="251"/>
      <c r="ET38" s="251"/>
      <c r="EU38" s="251"/>
      <c r="EV38" s="260">
        <f>HR39</f>
        <v>44804</v>
      </c>
      <c r="EX38" t="s">
        <v>152</v>
      </c>
      <c r="EY38" t="str">
        <f>CONCATENATE("Foglio1ti!Ab",31,":An",300)</f>
        <v>Foglio1ti!Ab31:An300</v>
      </c>
      <c r="FO38" s="309">
        <v>40422</v>
      </c>
      <c r="FR38" s="254"/>
      <c r="GT38" s="253"/>
      <c r="HE38" s="254"/>
      <c r="HO38" s="263" t="str">
        <f ca="1">CONCATENATE("Spetta all'interessato la seguente progressione:","
","  data  -  fascia ", "
",   EU10,"   ",ER10,"
",   EU11,"   ",ER11,"
",  EU12,"   ",ER12,"
",  EU13,"   ",ER13,"
",  EU14,"   ",ER14,"
",  EU15,"   ",ER15,"
",   )</f>
        <v xml:space="preserve">Spetta all'interessato la seguente progressione:
  data  -  fascia 
1/9/2018   0-2 anni
</v>
      </c>
      <c r="IR38" t="s">
        <v>203</v>
      </c>
      <c r="IT38" s="112" t="str">
        <f>CONCATENATE(DAY(G33),"/",MONTH(G33),"/",YEAR(G33))</f>
        <v>0/1/1900</v>
      </c>
      <c r="IW38" s="263" t="s">
        <v>205</v>
      </c>
      <c r="IX38" t="str">
        <f>IF(IT37&gt;100,CONCATENATE(IW38,IT38),"")</f>
        <v/>
      </c>
      <c r="IZ38" s="264" t="s">
        <v>193</v>
      </c>
      <c r="JE38" t="s">
        <v>194</v>
      </c>
      <c r="JF38" s="112" t="e">
        <f>IF(DP40=0,"",CONCATENATE(DAY(DP40),"/",MONTH(DP40),"/",YEAR(DP40),"
"))</f>
        <v>#VALUE!</v>
      </c>
      <c r="JI38" s="263" t="e">
        <f ca="1">CONCATENATE(JE38,JF38,JE39,JF39,JE40,JF40,JE41,JF41,JE42,JF42,JE43,JF43,)</f>
        <v>#VALUE!</v>
      </c>
      <c r="JR38" s="269" t="s">
        <v>201</v>
      </c>
      <c r="KD38" s="251"/>
      <c r="KE38" s="260">
        <f>EV38</f>
        <v>44804</v>
      </c>
      <c r="KG38" t="s">
        <v>152</v>
      </c>
      <c r="KH38" t="str">
        <f>CONCATENATE("Foglio1!Ab",31,":An",300)</f>
        <v>Foglio1!Ab31:An300</v>
      </c>
      <c r="LA38" s="254"/>
      <c r="LG38" s="273">
        <f>G33*1</f>
        <v>0</v>
      </c>
      <c r="LK38" s="320"/>
      <c r="LL38" s="319" t="s">
        <v>348</v>
      </c>
      <c r="LM38" s="320"/>
      <c r="LN38" s="320"/>
      <c r="LO38" s="320"/>
      <c r="LP38" s="320"/>
      <c r="LQ38" s="320"/>
      <c r="LR38" s="320"/>
      <c r="LS38" s="320"/>
      <c r="LT38" s="320"/>
      <c r="LU38" s="320"/>
      <c r="LV38" s="320"/>
      <c r="LW38" s="320"/>
      <c r="LX38" s="320"/>
      <c r="LY38" s="320"/>
      <c r="LZ38" s="320"/>
      <c r="MA38" s="320"/>
      <c r="MB38" s="320"/>
      <c r="MC38" s="335">
        <v>40422</v>
      </c>
      <c r="MD38" s="320"/>
      <c r="ME38" s="337" t="s">
        <v>352</v>
      </c>
      <c r="MF38" s="337" t="s">
        <v>145</v>
      </c>
      <c r="MG38" s="337" t="s">
        <v>353</v>
      </c>
      <c r="MH38" s="337" t="s">
        <v>347</v>
      </c>
      <c r="MI38" s="337"/>
      <c r="MJ38" s="337" t="s">
        <v>353</v>
      </c>
      <c r="MK38" s="337"/>
      <c r="ML38" s="337"/>
      <c r="MM38" s="337" t="s">
        <v>212</v>
      </c>
      <c r="MN38" s="337"/>
      <c r="MO38" s="319"/>
      <c r="MP38" s="437" t="s">
        <v>496</v>
      </c>
      <c r="MS38" t="s">
        <v>427</v>
      </c>
      <c r="MV38" t="s">
        <v>428</v>
      </c>
      <c r="MW38" t="s">
        <v>429</v>
      </c>
      <c r="MX38" t="s">
        <v>430</v>
      </c>
      <c r="MY38" s="254"/>
      <c r="NI38" t="e">
        <f ca="1">ROUND(MM37+(MM37/12),2)</f>
        <v>#N/A</v>
      </c>
      <c r="NK38" s="313"/>
      <c r="NL38" s="341">
        <f>frontti!E27</f>
        <v>0</v>
      </c>
    </row>
    <row r="39" spans="1:376" ht="107.45" customHeight="1" thickBot="1" x14ac:dyDescent="0.3">
      <c r="A39" s="613" t="s">
        <v>213</v>
      </c>
      <c r="B39" s="598"/>
      <c r="C39" t="str">
        <f>IFERROR(VLOOKUP(COUNTBLANK($E$2:E39),A:B,2,FALSE),"")</f>
        <v/>
      </c>
      <c r="E39" s="239" t="s">
        <v>105</v>
      </c>
      <c r="F39" s="239" t="s">
        <v>106</v>
      </c>
      <c r="G39" s="244"/>
      <c r="H39" s="244"/>
      <c r="I39" s="244"/>
      <c r="J39" s="244"/>
      <c r="K39" s="244"/>
      <c r="Q39" t="s">
        <v>107</v>
      </c>
      <c r="R39" t="s">
        <v>115</v>
      </c>
      <c r="S39" t="s">
        <v>108</v>
      </c>
      <c r="T39" t="s">
        <v>109</v>
      </c>
      <c r="U39" t="s">
        <v>107</v>
      </c>
      <c r="W39" t="s">
        <v>108</v>
      </c>
      <c r="X39" t="s">
        <v>109</v>
      </c>
      <c r="Y39" t="s">
        <v>107</v>
      </c>
      <c r="AA39" t="s">
        <v>118</v>
      </c>
      <c r="AH39" t="s">
        <v>105</v>
      </c>
      <c r="AI39" t="s">
        <v>106</v>
      </c>
      <c r="AK39" t="s">
        <v>111</v>
      </c>
      <c r="AL39" t="s">
        <v>112</v>
      </c>
      <c r="AS39" t="s">
        <v>111</v>
      </c>
      <c r="AT39" t="s">
        <v>112</v>
      </c>
      <c r="BA39" t="s">
        <v>111</v>
      </c>
      <c r="BB39" t="s">
        <v>112</v>
      </c>
      <c r="BI39" t="s">
        <v>111</v>
      </c>
      <c r="BJ39" t="s">
        <v>112</v>
      </c>
      <c r="BO39" t="s">
        <v>111</v>
      </c>
      <c r="BP39" t="s">
        <v>112</v>
      </c>
      <c r="CN39" t="s">
        <v>119</v>
      </c>
      <c r="CQ39">
        <v>1095</v>
      </c>
      <c r="CV39" t="s">
        <v>122</v>
      </c>
      <c r="CX39" t="s">
        <v>123</v>
      </c>
      <c r="CY39" t="s">
        <v>124</v>
      </c>
      <c r="CZ39" t="s">
        <v>125</v>
      </c>
      <c r="DA39" t="s">
        <v>126</v>
      </c>
      <c r="DB39" t="s">
        <v>127</v>
      </c>
      <c r="DC39">
        <v>35</v>
      </c>
      <c r="DD39" s="614" t="s">
        <v>137</v>
      </c>
      <c r="DE39" s="614"/>
      <c r="DF39" s="614"/>
      <c r="DG39" s="614"/>
      <c r="DH39" s="614"/>
      <c r="DI39" s="614"/>
      <c r="DJ39" s="614"/>
      <c r="DK39" s="614"/>
      <c r="DL39" s="614"/>
      <c r="DO39" t="s">
        <v>128</v>
      </c>
      <c r="DP39" t="s">
        <v>93</v>
      </c>
      <c r="DW39" s="276" t="s">
        <v>130</v>
      </c>
      <c r="DX39" s="276"/>
      <c r="DY39" s="276"/>
      <c r="DZ39" s="276" t="s">
        <v>131</v>
      </c>
      <c r="EB39" t="s">
        <v>276</v>
      </c>
      <c r="EF39" s="253" t="s">
        <v>132</v>
      </c>
      <c r="EJ39" s="259">
        <f>tiGiuEc1!F11</f>
        <v>43344</v>
      </c>
      <c r="EK39" s="254"/>
      <c r="EM39" s="253" t="s">
        <v>133</v>
      </c>
      <c r="EP39" t="s">
        <v>279</v>
      </c>
      <c r="ER39" s="264"/>
      <c r="EU39" t="s">
        <v>136</v>
      </c>
      <c r="EV39" s="253" t="s">
        <v>93</v>
      </c>
      <c r="EW39" t="s">
        <v>136</v>
      </c>
      <c r="FB39" t="str">
        <f>FB34</f>
        <v>Stipendio
annuo</v>
      </c>
      <c r="FC39" t="str">
        <f>FC34</f>
        <v>Indennità funzione</v>
      </c>
      <c r="FD39" t="str">
        <f t="shared" ref="FD39:FM39" si="2">FD34</f>
        <v>art. 7 L. 438/92</v>
      </c>
      <c r="FE39" t="str">
        <f t="shared" si="2"/>
        <v>I.I.S.</v>
      </c>
      <c r="FF39" t="str">
        <f t="shared" si="2"/>
        <v>Vacanza contr.le</v>
      </c>
      <c r="FG39" t="str">
        <f t="shared" si="2"/>
        <v>13^ da
col.(d) a (f)</v>
      </c>
      <c r="FH39">
        <f t="shared" si="2"/>
        <v>0</v>
      </c>
      <c r="FI39">
        <f t="shared" si="2"/>
        <v>0</v>
      </c>
      <c r="FJ39">
        <f t="shared" si="2"/>
        <v>0</v>
      </c>
      <c r="FK39">
        <f t="shared" si="2"/>
        <v>0</v>
      </c>
      <c r="FL39">
        <f t="shared" si="2"/>
        <v>0</v>
      </c>
      <c r="FM39" t="str">
        <f t="shared" si="2"/>
        <v>Retribuzione Professionale Docenti</v>
      </c>
      <c r="FN39" t="s">
        <v>163</v>
      </c>
      <c r="FO39" t="s">
        <v>164</v>
      </c>
      <c r="FP39" t="s">
        <v>136</v>
      </c>
      <c r="FQ39" t="s">
        <v>136</v>
      </c>
      <c r="FR39" s="254" t="s">
        <v>136</v>
      </c>
      <c r="GT39" s="253"/>
      <c r="HE39" s="254"/>
      <c r="HO39" s="239"/>
      <c r="HQ39" s="263" t="s">
        <v>195</v>
      </c>
      <c r="HR39" s="112">
        <f>MAX(F40:F131)</f>
        <v>44804</v>
      </c>
      <c r="HS39" s="263" t="str">
        <f>CONCATENATE("
",HQ39,DAY(HR39),"/",MONTH(HR39),"/",YEAR(HR39),"
",HQ40)</f>
        <v xml:space="preserve">
GLI EFFETTI DEL PRESENTE DECRETO SONO LIMITATI ALLA DATA DEL:31/8/2022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LO STIPENDIO VA  RAPPORTATO ALLE EFFETTIVE ORE DI SERVIZIO PRESTATE. IL PRESENTE DECRETO SARA’ INVIATO ALLA RAGIONERIA PROVINCIALE  DELLO STATO PER QUANTO DI COMPETENZA .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X39" s="616" t="s">
        <v>190</v>
      </c>
      <c r="HY39" s="617"/>
      <c r="HZ39" s="617"/>
      <c r="IA39" s="617"/>
      <c r="IB39" s="617"/>
      <c r="IC39" s="617"/>
      <c r="ID39" s="617"/>
      <c r="IE39" s="617"/>
      <c r="IF39" s="617"/>
      <c r="IG39" s="618"/>
      <c r="IZ39" s="265"/>
      <c r="JE39" t="str">
        <f ca="1">IF(JF39&lt;&gt;"","fascia 3/8 anni in data:","")</f>
        <v/>
      </c>
      <c r="JF39" s="112" t="str">
        <f ca="1">IF(DP41="","",CONCATENATE(DAY(DP41),"/",MONTH(DP41),"/",YEAR(DP41),"
"))</f>
        <v/>
      </c>
      <c r="JR39" s="269" t="s">
        <v>199</v>
      </c>
      <c r="KD39" t="s">
        <v>136</v>
      </c>
      <c r="KE39" s="253" t="s">
        <v>93</v>
      </c>
      <c r="KF39" t="s">
        <v>136</v>
      </c>
      <c r="KK39" t="str">
        <f>KK34</f>
        <v>Stipendio
annuo</v>
      </c>
      <c r="KL39" t="str">
        <f>KL34</f>
        <v>Indennità funzione</v>
      </c>
      <c r="KM39" t="str">
        <f t="shared" ref="KM39:KV39" si="3">KM34</f>
        <v>art. 7 L. 438/92</v>
      </c>
      <c r="KN39" t="str">
        <f t="shared" si="3"/>
        <v>I.I.S.</v>
      </c>
      <c r="KO39" t="str">
        <f t="shared" si="3"/>
        <v>Vacanza contr.le</v>
      </c>
      <c r="KP39" t="str">
        <f t="shared" si="3"/>
        <v>13^ da
col.(d) a (f)</v>
      </c>
      <c r="KQ39">
        <f t="shared" si="3"/>
        <v>0</v>
      </c>
      <c r="KR39">
        <f t="shared" si="3"/>
        <v>0</v>
      </c>
      <c r="KS39">
        <f t="shared" si="3"/>
        <v>0</v>
      </c>
      <c r="KT39">
        <f t="shared" si="3"/>
        <v>0</v>
      </c>
      <c r="KU39">
        <f t="shared" si="3"/>
        <v>0</v>
      </c>
      <c r="KV39" t="str">
        <f t="shared" si="3"/>
        <v>Retribuzione Professionale Docenti</v>
      </c>
      <c r="KW39" t="s">
        <v>163</v>
      </c>
      <c r="KX39" t="s">
        <v>164</v>
      </c>
      <c r="KY39" t="s">
        <v>136</v>
      </c>
      <c r="KZ39" t="s">
        <v>136</v>
      </c>
      <c r="LA39" s="254" t="s">
        <v>136</v>
      </c>
      <c r="LB39" t="s">
        <v>105</v>
      </c>
      <c r="LC39" t="s">
        <v>106</v>
      </c>
      <c r="LD39" s="263" t="s">
        <v>209</v>
      </c>
      <c r="LE39" s="263" t="s">
        <v>210</v>
      </c>
      <c r="LF39" s="263" t="s">
        <v>211</v>
      </c>
      <c r="LG39" s="263" t="s">
        <v>212</v>
      </c>
      <c r="LH39" s="263"/>
      <c r="LI39" s="263"/>
      <c r="LJ39" s="263"/>
      <c r="LK39" s="319" t="s">
        <v>351</v>
      </c>
      <c r="LL39" s="335">
        <f ca="1">Foglio7ti!GF40</f>
        <v>43344</v>
      </c>
      <c r="LM39" s="336">
        <f ca="1">IF(LL39&lt;10000,100000,LL39)</f>
        <v>43344</v>
      </c>
      <c r="LN39" s="319"/>
      <c r="LO39" s="319">
        <v>1</v>
      </c>
      <c r="LP39" s="336">
        <f ca="1">SMALL($LM$39:$LM$161,LO39)</f>
        <v>43344</v>
      </c>
      <c r="LQ39" s="319"/>
      <c r="LR39" s="319"/>
      <c r="LS39" s="319">
        <f>LO39</f>
        <v>1</v>
      </c>
      <c r="LT39" s="336">
        <f ca="1">IF(LP39=LP40,100000,LP39)</f>
        <v>100000</v>
      </c>
      <c r="LU39" s="319"/>
      <c r="LV39" s="319"/>
      <c r="LW39" s="336">
        <f ca="1">SMALL($LT$39:$LT$161,LS39)</f>
        <v>43344</v>
      </c>
      <c r="LX39" s="319"/>
      <c r="LY39" s="319"/>
      <c r="LZ39" s="336">
        <f ca="1">IF(LW39=LW40,100000,LW39)</f>
        <v>43344</v>
      </c>
      <c r="MA39" s="319"/>
      <c r="MB39" s="319"/>
      <c r="MC39" s="308">
        <f t="shared" ref="MC39:MC67" ca="1" si="4">IF(SMALL($LZ$39:$LZ$161,LS39)&gt;$MB$68,100000,SMALL($LZ$39:$LZ$161,LS39))</f>
        <v>43344</v>
      </c>
      <c r="MD39" s="319"/>
      <c r="ME39" s="338">
        <f ca="1">IF(MC39=100000,"",MC39)</f>
        <v>43344</v>
      </c>
      <c r="MF39" s="338">
        <f ca="1">IF(ME39&lt;&gt;"",ME40-1,"")</f>
        <v>43465</v>
      </c>
      <c r="MG39" s="337" t="e">
        <f t="shared" ref="MG39:MG77" ca="1" si="5">IF(MF39="","",MS39)</f>
        <v>#N/A</v>
      </c>
      <c r="MH39" s="338" t="e">
        <f ca="1">IF(ME39&lt;&gt;"",VLOOKUP(ME39,$GF$40:$GG$92,2),"")</f>
        <v>#N/A</v>
      </c>
      <c r="MI39" s="337" t="e">
        <f ca="1">IF(AND(ME39&gt;=MC38,MH39="3-8 anni"),"0-8 anni",MH39)</f>
        <v>#N/A</v>
      </c>
      <c r="MJ39" s="337">
        <f t="shared" ref="MJ39:MJ77" ca="1" si="6">IF(ME39="","",MV39)</f>
        <v>23944.57</v>
      </c>
      <c r="MK39" s="337">
        <f ca="1">IF(TYPE(VLOOKUP(ML39,$ML$6:$MN$13,3))=16,VLOOKUP(ML39,$MK$6:$ML$13,2),VLOOKUP(ML39,$ML$6:$MN$13,3))</f>
        <v>0</v>
      </c>
      <c r="ML39" s="337" t="str">
        <f ca="1">IF(ME39&lt;&gt;"",VLOOKUP(ME39,Foglio7ti!$GF$40:$GG$92,2),"")</f>
        <v>0-2 anni</v>
      </c>
      <c r="MM39" s="282" t="e">
        <f ca="1">IF(ME39&lt;&gt;"",                ROUND(      (MJ39-MG39)/365*(MF39-ME39+1),2)*MO39,"")</f>
        <v>#N/A</v>
      </c>
      <c r="MN39" s="282"/>
      <c r="MO39" s="320">
        <f>IF($MH$36=0,1,IF($MH$36&gt;ME39,0,1))</f>
        <v>1</v>
      </c>
      <c r="MP39" s="253" t="str">
        <f ca="1">IF(LEN(MK39)&gt;3,MK39,ML39)</f>
        <v>0-2 anni</v>
      </c>
      <c r="MQ39" t="e">
        <f t="shared" ref="MQ39:MQ44" ca="1" si="7">VLOOKUP(MH39,$MY$39:$MZ$45,2,FALSE)</f>
        <v>#N/A</v>
      </c>
      <c r="MR39" s="238" t="e">
        <f ca="1">VLOOKUP(ME39,Foglio1ti!AB31:AZ331,13)-MQ39</f>
        <v>#N/A</v>
      </c>
      <c r="MS39" t="e">
        <f ca="1">INDIRECT(CONCATENATE($MW$37,MR39))+MW39</f>
        <v>#N/A</v>
      </c>
      <c r="MT39">
        <f ca="1">VLOOKUP(MP39,$MY$39:$MZ$45,2,FALSE)</f>
        <v>6</v>
      </c>
      <c r="MU39" s="238">
        <f ca="1">VLOOKUP(ME39,Foglio1ti!AB31:AZ331,13)-MT39</f>
        <v>213</v>
      </c>
      <c r="MV39">
        <f ca="1">INDIRECT(CONCATENATE($MW$37,MU39))+MX39</f>
        <v>23944.57</v>
      </c>
      <c r="MW39" t="e">
        <f ca="1">IF(AND($ME$39&lt;$MU$36,MH39="3-8 anni"),INDIRECT(CONCATENATE($MR$37,"BI",MR39)),0)</f>
        <v>#N/A</v>
      </c>
      <c r="MX39">
        <f ca="1">IF(AND(frontti!$H$25="SI",ML39="3-8 anni"),INDIRECT(CONCATENATE($MR$37,"BI",MU39)),0)</f>
        <v>0</v>
      </c>
      <c r="MY39" s="254" t="s">
        <v>168</v>
      </c>
      <c r="MZ39">
        <v>6</v>
      </c>
      <c r="NK39" s="313" t="s">
        <v>319</v>
      </c>
      <c r="NL39" s="263" t="str">
        <f>IF(NL38&lt;&gt;0,CONCATENATE(" NEI LIMITI DELLA PRESCRIZIONE QUINQUENNALE, CONSIDERANDO PRESCRITTE LE SOMMA MATURATE PRIMA DEL:",  DAY(NL38),"/",MONTH(NL38),"/",YEAR(NL38)),"")</f>
        <v/>
      </c>
    </row>
    <row r="40" spans="1:376" ht="178.9" customHeight="1" thickBot="1" x14ac:dyDescent="0.3">
      <c r="A40" s="112">
        <f>VLOOKUP(B40-1,$DW$40:$DW$72,1)</f>
        <v>35612</v>
      </c>
      <c r="B40" s="112">
        <f>VLOOKUP(F40,$DW$40:$DW$72,1)</f>
        <v>36100</v>
      </c>
      <c r="C40" t="str">
        <f>IFERROR(VLOOKUP(COUNTBLANK($E$2:E40),A:B,2,FALSE),"")</f>
        <v/>
      </c>
      <c r="E40" s="240">
        <f>Foglio3!F20</f>
        <v>36138</v>
      </c>
      <c r="F40" s="240">
        <f>Foglio3!G20</f>
        <v>36280</v>
      </c>
      <c r="G40" s="244"/>
      <c r="H40" s="245">
        <f>AH40</f>
        <v>36138</v>
      </c>
      <c r="I40" s="245">
        <f t="shared" ref="I40:I103" si="8">AI40</f>
        <v>36280</v>
      </c>
      <c r="J40" s="244"/>
      <c r="K40" s="244"/>
      <c r="M40" s="112">
        <f>EDATE(E40,3)</f>
        <v>36228</v>
      </c>
      <c r="N40" s="112">
        <f>EOMONTH(E40,3)</f>
        <v>36250</v>
      </c>
      <c r="Q40">
        <f t="shared" ref="Q40:Q103" si="9">I40-H40+1</f>
        <v>143</v>
      </c>
      <c r="R40">
        <f>Q40*AG40</f>
        <v>143</v>
      </c>
      <c r="S40">
        <f>INT(R40/365)</f>
        <v>0</v>
      </c>
      <c r="T40">
        <f>INT( (R40-(S40*365))/30)</f>
        <v>4</v>
      </c>
      <c r="U40">
        <f>R40- ((S40*365)+T40*30)</f>
        <v>23</v>
      </c>
      <c r="W40">
        <f>S40</f>
        <v>0</v>
      </c>
      <c r="X40">
        <f>T40</f>
        <v>4</v>
      </c>
      <c r="Y40">
        <f>U40</f>
        <v>23</v>
      </c>
      <c r="AA40" s="112">
        <f>IF(AND(YEAR(E40)=$CG$38,YEAR(F40)&gt;$CG$38),"01/01/2014",E40)</f>
        <v>36138</v>
      </c>
      <c r="AB40" s="112">
        <f>IF(YEAR(F40)=$CG$38,"31/12/12"*1,F40)</f>
        <v>36280</v>
      </c>
      <c r="AG40">
        <f>IF(AI40&lt;AH40,0,1)</f>
        <v>1</v>
      </c>
      <c r="AH40" s="112">
        <f>AA40*1</f>
        <v>36138</v>
      </c>
      <c r="AI40" s="112">
        <f>AB40*1</f>
        <v>36280</v>
      </c>
      <c r="AJ40">
        <f>IF(AH40=0,0,1)</f>
        <v>1</v>
      </c>
      <c r="AN40" t="s">
        <v>113</v>
      </c>
      <c r="BV40" t="s">
        <v>114</v>
      </c>
      <c r="CG40">
        <f>YEAR(E40)</f>
        <v>1998</v>
      </c>
      <c r="CH40">
        <f>YEAR(F40)</f>
        <v>1999</v>
      </c>
      <c r="CJ40">
        <f>IF(AND(CG40=$CG$38,CH40=$CG$38),F40-E40+1,0)</f>
        <v>0</v>
      </c>
      <c r="CK40">
        <f t="shared" ref="CK40:CK45" si="10">IF(AND(CG40&lt;&gt;$CG$38,CH40=$CG$38),F40-$CH$38,0)</f>
        <v>0</v>
      </c>
      <c r="CL40">
        <f>IF(AND(CG40=$CG$38,CH40&lt;&gt;$CG$38),$CI$38-E40+1,0)</f>
        <v>0</v>
      </c>
      <c r="CN40">
        <f>CJ40+CK40+CL40</f>
        <v>0</v>
      </c>
      <c r="CQ40" s="246">
        <f>365*9</f>
        <v>3285</v>
      </c>
      <c r="CS40">
        <f>R40</f>
        <v>143</v>
      </c>
      <c r="CT40" s="246">
        <f xml:space="preserve">  IF(E40&lt;&gt;"",           CS40,0)</f>
        <v>143</v>
      </c>
      <c r="CV40" s="112">
        <f>I40</f>
        <v>36280</v>
      </c>
      <c r="CX40" s="112">
        <f>IF(CT40&gt;=$CQ$39,CV40-(CT40-$CQ$39),100000)</f>
        <v>100000</v>
      </c>
      <c r="CY40" s="270">
        <f>IF(CT40&gt;=$CQ$40,CV40-(CT40-$CQ$40),100000)</f>
        <v>100000</v>
      </c>
      <c r="CZ40" s="112">
        <f>IF(CT40&gt;=$CQ$41,CV40-(CT40-$CQ$41),100000)</f>
        <v>100000</v>
      </c>
      <c r="DA40" s="112">
        <f>IF(CT40&gt;=$CQ$42,CV40-(CT40-$CQ$42),100000)</f>
        <v>100000</v>
      </c>
      <c r="DB40" s="112">
        <f>IF(CT40&gt;=$CQ$43,CV40-(CT40-$CQ$43),100000)</f>
        <v>100000</v>
      </c>
      <c r="DC40" s="112">
        <f>IF(CT40&gt;=$CQ$44,CV40-(CT40-$CQ$44),100000)</f>
        <v>100000</v>
      </c>
      <c r="DE40" s="247">
        <v>0</v>
      </c>
      <c r="DG40" s="249" t="e">
        <f ca="1">VLOOKUP(DE40,tiGiuEc1!$G$38:$H$44,2)</f>
        <v>#N/A</v>
      </c>
      <c r="DH40" s="270" t="e">
        <f ca="1">DG40</f>
        <v>#N/A</v>
      </c>
      <c r="DJ40" s="238" t="e">
        <f ca="1">VLOOKUP(DG40,Foglio1!$AB$31:$AN$284,13)</f>
        <v>#N/A</v>
      </c>
      <c r="DL40" t="e">
        <f ca="1">VLOOKUP(DE40,INDIRECT($DL$36),6)</f>
        <v>#N/A</v>
      </c>
      <c r="DN40" s="250" t="str">
        <f t="shared" ref="DN40:DN46" si="11">IF(DO40="","",VLOOKUP(DR40,$DT$40:$DU$46,2))</f>
        <v/>
      </c>
      <c r="DO40" s="333" t="str">
        <f>tiGiuEc1!G38</f>
        <v/>
      </c>
      <c r="DP40" s="305" t="str">
        <f>IF(TYPE(tiGiuEc1!H38)=16,"",tiGiuEc1!H38)</f>
        <v/>
      </c>
      <c r="DR40" t="str">
        <f>DO40</f>
        <v/>
      </c>
      <c r="DT40">
        <v>0</v>
      </c>
      <c r="DU40" s="112" t="s">
        <v>168</v>
      </c>
      <c r="DV40" s="112"/>
      <c r="DW40" s="277">
        <v>35065</v>
      </c>
      <c r="DX40" s="276"/>
      <c r="DY40" s="276" t="s">
        <v>206</v>
      </c>
      <c r="DZ40" s="277">
        <f>IF(G33&gt;E40,G33,0)</f>
        <v>0</v>
      </c>
      <c r="EB40" s="240">
        <f ca="1">ES10</f>
        <v>43344</v>
      </c>
      <c r="EC40" s="239" t="str">
        <f ca="1">ER10</f>
        <v>0-2 anni</v>
      </c>
      <c r="EF40" s="260">
        <f>EJ39</f>
        <v>43344</v>
      </c>
      <c r="EK40" s="254"/>
      <c r="EL40">
        <v>1</v>
      </c>
      <c r="EM40" s="260">
        <f>EJ39</f>
        <v>43344</v>
      </c>
      <c r="EN40" s="112">
        <f>IF(EM40="",100000,EM40)</f>
        <v>43344</v>
      </c>
      <c r="EO40" s="112">
        <f>IF(TYPE(EN40)=16,100000,EN40)</f>
        <v>43344</v>
      </c>
      <c r="EP40" s="112">
        <f>EJ39</f>
        <v>43344</v>
      </c>
      <c r="EQ40" s="273">
        <f>EP40</f>
        <v>43344</v>
      </c>
      <c r="ER40" s="302">
        <f ca="1">SMALL($EQ$40:$EQ$87,EL40)</f>
        <v>43344</v>
      </c>
      <c r="ES40">
        <v>0</v>
      </c>
      <c r="ET40">
        <v>6</v>
      </c>
      <c r="EU40" t="e">
        <f ca="1">VLOOKUP(ER40,$DP$40:$DR$46,3)</f>
        <v>#N/A</v>
      </c>
      <c r="EV40" s="260">
        <f ca="1">IF($EJ$39&lt;=ER40,$ER40,"")</f>
        <v>43344</v>
      </c>
      <c r="EW40" t="e">
        <f ca="1">FR40</f>
        <v>#N/A</v>
      </c>
      <c r="EX40" t="e">
        <f t="shared" ref="EX40:EX87" ca="1" si="12">VLOOKUP(EU40,$ES$40:$ET$46,2)</f>
        <v>#N/A</v>
      </c>
      <c r="EY40" s="238" t="e">
        <f t="shared" ref="EY40:EY87" ca="1" si="13">VLOOKUP(EV40,INDIRECT($EY$38),13)-EX40</f>
        <v>#N/A</v>
      </c>
      <c r="FB40" t="e">
        <f ca="1">INDIRECT(CONCATENATE($FA$35,FB$35,$EY40))</f>
        <v>#N/A</v>
      </c>
      <c r="FC40" t="e">
        <f t="shared" ref="FC40:FF55" ca="1" si="14">INDIRECT(CONCATENATE($FA$35,FC$35,$EY40))</f>
        <v>#N/A</v>
      </c>
      <c r="FD40" t="e">
        <f t="shared" ca="1" si="14"/>
        <v>#N/A</v>
      </c>
      <c r="FE40" t="e">
        <f t="shared" ca="1" si="14"/>
        <v>#N/A</v>
      </c>
      <c r="FF40" t="e">
        <f t="shared" ca="1" si="14"/>
        <v>#N/A</v>
      </c>
      <c r="FM40" t="e">
        <f t="shared" ref="FM40:FM87" ca="1" si="15">INDIRECT(CONCATENATE($FA$35,FM$35,$EY40))</f>
        <v>#N/A</v>
      </c>
      <c r="FP40">
        <v>0</v>
      </c>
      <c r="FQ40" t="s">
        <v>174</v>
      </c>
      <c r="FR40" s="254" t="e">
        <f ca="1">VLOOKUP(EX40,$FP$40:$FQ$46,2)</f>
        <v>#N/A</v>
      </c>
      <c r="FS40">
        <v>40</v>
      </c>
      <c r="FT40" t="e">
        <f t="shared" ref="FT40:GD55" ca="1" si="16">IF(INDIRECT(  CONCATENATE(FT$34,$FS40 ))&lt;&gt;"",     CONCATENATE(FT$34,$FS40 ),"")</f>
        <v>#N/A</v>
      </c>
      <c r="FU40" t="str">
        <f t="shared" ca="1" si="16"/>
        <v>EV40</v>
      </c>
      <c r="FV40" t="e">
        <f t="shared" ca="1" si="16"/>
        <v>#N/A</v>
      </c>
      <c r="FW40" t="e">
        <f t="shared" ca="1" si="16"/>
        <v>#N/A</v>
      </c>
      <c r="FX40" t="e">
        <f t="shared" ca="1" si="16"/>
        <v>#N/A</v>
      </c>
      <c r="FY40" t="e">
        <f t="shared" ca="1" si="16"/>
        <v>#N/A</v>
      </c>
      <c r="FZ40" t="e">
        <f t="shared" ca="1" si="16"/>
        <v>#N/A</v>
      </c>
      <c r="GA40" t="str">
        <f t="shared" ca="1" si="16"/>
        <v/>
      </c>
      <c r="GB40" t="e">
        <f t="shared" ca="1" si="16"/>
        <v>#N/A</v>
      </c>
      <c r="GC40" t="str">
        <f t="shared" ca="1" si="16"/>
        <v/>
      </c>
      <c r="GD40" t="str">
        <f t="shared" ca="1" si="16"/>
        <v/>
      </c>
      <c r="GE40">
        <v>1</v>
      </c>
      <c r="GF40" s="112">
        <f ca="1" xml:space="preserve">   IF(FU40="","",          INDIRECT(CONCATENATE(FU40)))</f>
        <v>43344</v>
      </c>
      <c r="GG40" s="112" t="e">
        <f ca="1" xml:space="preserve">   IF(FT40="","",          INDIRECT(CONCATENATE(FT40)))</f>
        <v>#N/A</v>
      </c>
      <c r="GH40" s="262" t="e">
        <f t="shared" ref="GH40:GN55" ca="1" si="17" xml:space="preserve">   IF(FV40="",0,          INDIRECT(CONCATENATE(FV40)))</f>
        <v>#N/A</v>
      </c>
      <c r="GI40" s="262" t="e">
        <f t="shared" ca="1" si="17"/>
        <v>#N/A</v>
      </c>
      <c r="GJ40" s="262" t="e">
        <f t="shared" ca="1" si="17"/>
        <v>#N/A</v>
      </c>
      <c r="GK40" s="262" t="e">
        <f t="shared" ca="1" si="17"/>
        <v>#N/A</v>
      </c>
      <c r="GL40" s="262" t="e">
        <f t="shared" ca="1" si="17"/>
        <v>#N/A</v>
      </c>
      <c r="GM40" s="262">
        <f t="shared" ca="1" si="17"/>
        <v>0</v>
      </c>
      <c r="GN40" s="262" t="e">
        <f t="shared" ca="1" si="17"/>
        <v>#N/A</v>
      </c>
      <c r="GO40" s="262">
        <f ca="1">IF($HF$31&lt;=GF40,$HD$31,0)</f>
        <v>0</v>
      </c>
      <c r="GP40" s="262">
        <f ca="1" xml:space="preserve">   IF(GD40="",0,          INDIRECT(CONCATENATE(GD40)))</f>
        <v>0</v>
      </c>
      <c r="GQ40" s="262" t="e">
        <f ca="1">GH40+GK40</f>
        <v>#N/A</v>
      </c>
      <c r="GR40" s="262" t="e">
        <f ca="1">IF(GF40&gt;=$GR$36,GH40+GK40,"")</f>
        <v>#N/A</v>
      </c>
      <c r="GS40" s="262" t="e">
        <f t="shared" ref="GS40:GS84" ca="1" si="18">GH40+GI40+GJ40+GK40+GL40+GM40+GN40+GO40+GP40</f>
        <v>#N/A</v>
      </c>
      <c r="GT40" s="253" t="str">
        <f>IF($GE40&gt;0,CONCATENATE(GE$37," ",GE40,"
",),"")</f>
        <v xml:space="preserve">articolo 1
</v>
      </c>
      <c r="GU40" t="str">
        <f ca="1">IF($GE40&gt;0,CONCATENATE(GF$37," ",                DAY(  GF40),"/",MONTH(GF40),"/",YEAR(GF40),"  "                                    ),"")</f>
        <v xml:space="preserve">con decorrenza dalla data: 1/9/2018  </v>
      </c>
      <c r="GV40" t="e">
        <f ca="1">IF($GE40&gt;0,CONCATENATE(GG$37," ",GG40,"
"),"")</f>
        <v>#N/A</v>
      </c>
      <c r="GW40" t="e">
        <f ca="1">IF(AND($GE40&gt;0,GR40=""),CONCATENATE(GH$37," ",GH40,"
"),IF(AND($GE40&gt;0,GR40&lt;&gt;""),CONCATENATE(GH$37," ",GR40,"
"),"
"))</f>
        <v>#N/A</v>
      </c>
      <c r="GX40" t="e">
        <f t="shared" ref="GX40:HE55" ca="1" si="19">IF(GI40&gt;0,CONCATENATE(GI$37," ",GI40,"
"),"")</f>
        <v>#N/A</v>
      </c>
      <c r="GY40" t="e">
        <f t="shared" ca="1" si="19"/>
        <v>#N/A</v>
      </c>
      <c r="GZ40" t="e">
        <f t="shared" ref="GZ40:GZ84" ca="1" si="20">IF(AND(GK40&gt;0,GR40=""                ),CONCATENATE(GK$37," ",GK40,"
"),"")</f>
        <v>#N/A</v>
      </c>
      <c r="HA40" t="e">
        <f t="shared" ca="1" si="19"/>
        <v>#N/A</v>
      </c>
      <c r="HB40" t="str">
        <f t="shared" ca="1" si="19"/>
        <v/>
      </c>
      <c r="HC40" t="e">
        <f t="shared" ca="1" si="19"/>
        <v>#N/A</v>
      </c>
      <c r="HD40" t="str">
        <f ca="1">IF(AND($HF$31&lt;=GF40,     $HF$31&lt;&gt;0                ),CONCATENATE($HD$37," euro:",$HD$31,"
"),"")</f>
        <v/>
      </c>
      <c r="HE40" s="254" t="str">
        <f t="shared" ca="1" si="19"/>
        <v/>
      </c>
      <c r="HF40" s="254" t="e">
        <f ca="1">IF(GS40&gt;0,CONCATENATE(GS$37," ",GS40,"
"),"")</f>
        <v>#N/A</v>
      </c>
      <c r="HM40" s="263" t="e">
        <f ca="1">CONCATENATE(GT40,GU40,GV40,GW40,GX40,GY40,GZ40,HA40,HB40,HC40,HD40,HE40,HF40)</f>
        <v>#N/A</v>
      </c>
      <c r="HN40" s="263"/>
      <c r="HO40" s="272" t="e">
        <f t="shared" ref="HO40:HO96" ca="1" si="21">IF(HP40=0,CONCATENATE(HQ40,HR40,HS40),IF($GE40&gt;0,HM40,IF(HP39=0,"",$HS$39)))</f>
        <v>#N/A</v>
      </c>
      <c r="HP40">
        <f>$GE40</f>
        <v>1</v>
      </c>
      <c r="HQ40" s="263" t="s">
        <v>196</v>
      </c>
      <c r="HX40" s="253" t="s">
        <v>187</v>
      </c>
      <c r="HY40" s="112" t="str">
        <f>CONCATENATE(DAY(E40),"/",MONTH(E40),"/",YEAR(E40))</f>
        <v>9/12/1998</v>
      </c>
      <c r="HZ40" t="s">
        <v>188</v>
      </c>
      <c r="IA40" s="112" t="str">
        <f>CONCATENATE(DAY(F40),"/",MONTH(F40),"/",YEAR(F40))</f>
        <v>30/4/1999</v>
      </c>
      <c r="IB40" t="s">
        <v>189</v>
      </c>
      <c r="IC40">
        <f>S40</f>
        <v>0</v>
      </c>
      <c r="ID40" t="s">
        <v>192</v>
      </c>
      <c r="IE40">
        <f>T40</f>
        <v>4</v>
      </c>
      <c r="IF40" t="s">
        <v>191</v>
      </c>
      <c r="IG40" s="254">
        <f>U40</f>
        <v>23</v>
      </c>
      <c r="IL40" t="str">
        <f>IF(E40&gt;0,CONCATENATE(HX40,HY40,HZ40,IA40,IB40,IC40,ID40,IE40,IF40,IG40,"
"),"")</f>
        <v xml:space="preserve">DAL: 9/12/1998 - AL:30/4/1999 - ANNI:0 - MESI:4 -GIORNI:23
</v>
      </c>
      <c r="IW40" s="263" t="str">
        <f>CONCATENATE(IL40,IL41,IL42,IL43,IL44,IL45,IL46,IL47,IL48,IL49,IL50,IL51,IL52,IL53,IL54,I545,IL56,IL57,IL58,IL59,)</f>
        <v xml:space="preserve">DAL: 9/12/1998 - AL:30/4/1999 - ANNI:0 - MESI:4 -GIORNI:23
DAL: 1/5/1999 - AL:10/6/1999 - ANNI:0 - MESI:1 -GIORNI:11
DAL: 14/6/1999 - AL:14/6/1999 - ANNI:0 - MESI:0 -GIORNI:1
DAL: 29/9/1999 - AL:30/9/1999 - ANNI:0 - MESI:0 -GIORNI:2
DAL: 1/10/1999 - AL:21/10/1999 - ANNI:0 - MESI:0 -GIORNI:21
DAL: 23/10/1999 - AL:31/8/2000 - ANNI:0 - MESI:10 -GIORNI:14
DAL: 8/9/2000 - AL:29/1/2001 - ANNI:0 - MESI:4 -GIORNI:24
DAL: 30/1/2001 - AL:30/6/2001 - ANNI:0 - MESI:5 -GIORNI:2
DAL: 1/9/2001 - AL:30/6/2002 - ANNI:0 - MESI:10 -GIORNI:3
DAL: 3/10/2001 - AL:5/11/2001 - ANNI:0 - MESI:0 -GIORNI:0
DAL: 3/10/2001 - AL:5/11/2001 - ANNI:0 - MESI:0 -GIORNI:0
DAL: 6/11/2001 - AL:30/6/2002 - ANNI:0 - MESI:0 -GIORNI:0
DAL: 7/11/2001 - AL:26/1/2002 - ANNI:0 - MESI:0 -GIORNI:0
DAL: 28/1/2002 - AL:30/6/2002 - ANNI:0 - MESI:0 -GIORNI:0
DAL: 8/10/2002 - AL:22/10/2002 - ANNI:0 - MESI:0 -GIORNI:15
DAL: 8/1/2003 - AL:11/2/2003 - ANNI:0 - MESI:1 -GIORNI:5
DAL: 23/1/2003 - AL:11/6/2003 - ANNI:0 - MESI:4 -GIORNI:0
DAL: 21/2/2003 - AL:14/6/2003 - ANNI:0 - MESI:0 -GIORNI:3
DAL: 1/9/2003 - AL:30/6/2004 - ANNI:0 - MESI:10 -GIORNI:4
</v>
      </c>
      <c r="IZ40" s="271" t="e">
        <f>CONCATENATE(IW40,IW60,IW80,IW100,IW120,IW140,IW160,IW180,IW200,IX38)</f>
        <v>#VALUE!</v>
      </c>
      <c r="JE40" t="str">
        <f>IF(JF40&lt;&gt;"","fascia 9/14 anni in data:","")</f>
        <v/>
      </c>
      <c r="JF40" s="112" t="str">
        <f>IF(DP42="","",CONCATENATE(DAY(DP42),"/",MONTH(DP42),"/",YEAR(DP42),"
"))</f>
        <v/>
      </c>
      <c r="JR40" s="269" t="s">
        <v>200</v>
      </c>
      <c r="KD40">
        <v>0</v>
      </c>
      <c r="KE40" s="260">
        <f ca="1">IF($EV$38&gt;JZ40,$EV40,"")</f>
        <v>43344</v>
      </c>
      <c r="KF40" t="str">
        <f>LA40</f>
        <v>0-2 anni</v>
      </c>
      <c r="KG40">
        <f t="shared" ref="KG40:KG87" si="22">VLOOKUP(KD40,$ES$40:$ET$46,2)</f>
        <v>6</v>
      </c>
      <c r="KH40" s="238">
        <f t="shared" ref="KH40:KH87" ca="1" si="23">VLOOKUP(KE40,INDIRECT($EY$38),13)-KG40</f>
        <v>213</v>
      </c>
      <c r="KK40" t="e">
        <f ca="1">INDIRECT(CONCATENATE($FA$35,KK$35,$EY40))</f>
        <v>#N/A</v>
      </c>
      <c r="KL40" t="e">
        <f t="shared" ref="KL40:KO55" ca="1" si="24">INDIRECT(CONCATENATE($FA$35,KL$35,$EY40))</f>
        <v>#N/A</v>
      </c>
      <c r="KM40" t="e">
        <f t="shared" ca="1" si="24"/>
        <v>#N/A</v>
      </c>
      <c r="KN40" t="e">
        <f t="shared" ca="1" si="24"/>
        <v>#N/A</v>
      </c>
      <c r="KO40" t="e">
        <f t="shared" ca="1" si="24"/>
        <v>#N/A</v>
      </c>
      <c r="KV40" t="e">
        <f t="shared" ref="KV40:KV87" ca="1" si="25">INDIRECT(CONCATENATE($FA$35,KV$35,$EY40))</f>
        <v>#N/A</v>
      </c>
      <c r="KY40">
        <v>0</v>
      </c>
      <c r="KZ40" t="s">
        <v>174</v>
      </c>
      <c r="LA40" s="254" t="str">
        <f>VLOOKUP(KG40,$FP$40:$FQ$46,2)</f>
        <v>0-2 anni</v>
      </c>
      <c r="LB40" s="112">
        <f t="shared" ref="LB40:LC86" si="26">E40</f>
        <v>36138</v>
      </c>
      <c r="LC40" s="112">
        <f t="shared" si="26"/>
        <v>36280</v>
      </c>
      <c r="LD40" t="e">
        <f ca="1">KK40+KL40+KM40+KN40+KO40+KQ40+KR40+KS40+KT40+KU40+KV40+KW40+KX40</f>
        <v>#N/A</v>
      </c>
      <c r="LE40" s="262" t="e">
        <f ca="1">GS40</f>
        <v>#N/A</v>
      </c>
      <c r="LF40">
        <f>R40</f>
        <v>143</v>
      </c>
      <c r="LG40" t="e">
        <f ca="1">IF(LC40&lt;$LG$38,"prescritte",ROUND((LE40-LD40)/365*LF40,2))</f>
        <v>#N/A</v>
      </c>
      <c r="LK40" s="320"/>
      <c r="LL40" s="335">
        <f ca="1">Foglio7ti!GF41</f>
        <v>43466</v>
      </c>
      <c r="LM40" s="336">
        <f t="shared" ref="LM40:LM103" ca="1" si="27">IF(LL40&lt;10000,100000,LL40)</f>
        <v>43466</v>
      </c>
      <c r="LN40" s="335"/>
      <c r="LO40" s="320">
        <f>LO39+1</f>
        <v>2</v>
      </c>
      <c r="LP40" s="336">
        <f t="shared" ref="LP40:LP103" ca="1" si="28">SMALL($LM$39:$LM$161,LO40)</f>
        <v>43344</v>
      </c>
      <c r="LQ40" s="335"/>
      <c r="LR40" s="320"/>
      <c r="LS40" s="319">
        <f t="shared" ref="LS40:LS103" si="29">LO40</f>
        <v>2</v>
      </c>
      <c r="LT40" s="336">
        <f t="shared" ref="LT40:LT103" ca="1" si="30">IF(LP40=LP41,100000,LP40)</f>
        <v>43344</v>
      </c>
      <c r="LU40" s="320"/>
      <c r="LV40" s="320"/>
      <c r="LW40" s="336">
        <f t="shared" ref="LW40:LW103" ca="1" si="31">SMALL($LT$39:$LT$161,LS40)</f>
        <v>43466</v>
      </c>
      <c r="LX40" s="320"/>
      <c r="LY40" s="320"/>
      <c r="LZ40" s="336">
        <f t="shared" ref="LZ40:LZ103" ca="1" si="32">IF(LW40=LW41,100000,LW40)</f>
        <v>43466</v>
      </c>
      <c r="MA40" s="320"/>
      <c r="MB40" s="320"/>
      <c r="MC40" s="308">
        <f t="shared" ca="1" si="4"/>
        <v>43466</v>
      </c>
      <c r="ME40" s="338">
        <f t="shared" ref="ME40:ME77" ca="1" si="33">IF(MC40=100000,"",MC40)</f>
        <v>43466</v>
      </c>
      <c r="MF40" s="338">
        <f t="shared" ref="MF40" ca="1" si="34">IF(ME40&lt;&gt;"",ME41-1,"")</f>
        <v>43830</v>
      </c>
      <c r="MG40" s="337" t="e">
        <f t="shared" ca="1" si="5"/>
        <v>#N/A</v>
      </c>
      <c r="MH40" s="338" t="e">
        <f t="shared" ref="MH40:MH101" ca="1" si="35">IF(ME40&lt;&gt;"",VLOOKUP(ME40,$GF$40:$GG$92,2),"")</f>
        <v>#N/A</v>
      </c>
      <c r="MI40" s="337" t="e">
        <f t="shared" ref="MI40:MI101" ca="1" si="36">IF(AND(ME40&gt;=MC39,MH40="3-8 anni"),"0-8 anni",MH40)</f>
        <v>#N/A</v>
      </c>
      <c r="MJ40" s="337">
        <f t="shared" ca="1" si="6"/>
        <v>24147.32</v>
      </c>
      <c r="MK40" s="337">
        <f t="shared" ref="MK40:MK53" ca="1" si="37" xml:space="preserve">  IF(ME40="","",                  IF(TYPE(VLOOKUP(ML40,$ML$6:$MN$13,3))=16,VLOOKUP(ML40,$MK$6:$ML$13,2),VLOOKUP(ML40,$ML$6:$MN$13,3)))</f>
        <v>0</v>
      </c>
      <c r="ML40" s="337" t="str">
        <f ca="1">IF(ME40&lt;&gt;"",VLOOKUP(ME40,Foglio7ti!$GF$40:$GG$92,2),"")</f>
        <v>0-2 anni</v>
      </c>
      <c r="MM40" s="282" t="e">
        <f t="shared" ref="MM40:MM101" ca="1" si="38">IF(ME40&lt;&gt;"",                ROUND(      (MJ40-MG40)/365*(MF40-ME40+1),2)*MO40,"")</f>
        <v>#N/A</v>
      </c>
      <c r="MN40" s="282"/>
      <c r="MO40" s="320">
        <f>IF($MH$36=0,1,IF($MH$36&gt;ME40,0,1))</f>
        <v>1</v>
      </c>
      <c r="MP40" s="253" t="str">
        <f t="shared" ref="MP40:MP101" ca="1" si="39">IF(LEN(MK40)&gt;3,MK40,ML40)</f>
        <v>0-2 anni</v>
      </c>
      <c r="MQ40" t="e">
        <f t="shared" ca="1" si="7"/>
        <v>#N/A</v>
      </c>
      <c r="MR40" s="238" t="e">
        <f ca="1">VLOOKUP(ME40,Foglio1ti!AB32:AZ332,13)-MQ40</f>
        <v>#N/A</v>
      </c>
      <c r="MS40" t="e">
        <f t="shared" ref="MS40:MS101" ca="1" si="40">INDIRECT(CONCATENATE($MW$37,MR40))+MW40</f>
        <v>#N/A</v>
      </c>
      <c r="MT40">
        <f t="shared" ref="MT40:MT101" ca="1" si="41">VLOOKUP(MP40,$MY$39:$MZ$45,2,FALSE)</f>
        <v>6</v>
      </c>
      <c r="MU40" s="238">
        <f ca="1">VLOOKUP(ME40,Foglio1ti!AB32:AZ332,13)-MT40</f>
        <v>220</v>
      </c>
      <c r="MV40">
        <f t="shared" ref="MV40:MV101" ca="1" si="42">INDIRECT(CONCATENATE($MW$37,MU40))+MX40</f>
        <v>24147.32</v>
      </c>
      <c r="MW40" t="e">
        <f t="shared" ref="MW40:MW41" ca="1" si="43">IF(AND($ME$39&lt;$MU$36,MH40="3-8 anni"),INDIRECT(CONCATENATE($MR$37,"BI",MR40)),0)</f>
        <v>#N/A</v>
      </c>
      <c r="MX40">
        <f ca="1">IF(AND(frontti!$H$25="SI",ML40="3-8 anni"),INDIRECT(CONCATENATE($MR$37,"BI",MU40)),0)</f>
        <v>0</v>
      </c>
      <c r="MY40" s="254" t="s">
        <v>169</v>
      </c>
      <c r="MZ40">
        <v>5</v>
      </c>
      <c r="NI40" s="263" t="s">
        <v>431</v>
      </c>
      <c r="NK40" s="310" t="e">
        <f ca="1">CONCATENATE(NI40," ",NI41, "PER DIFFERENZE RETRIBUTIVE MATURATE",NL39," - E DI CUI SI ALLEGA PROSPETTO CONTEGGIO." )</f>
        <v>#N/A</v>
      </c>
    </row>
    <row r="41" spans="1:376" ht="68.45" customHeight="1" x14ac:dyDescent="0.25">
      <c r="A41" s="112">
        <f>VLOOKUP(B41-1,$DW$40:$DW$72,1)</f>
        <v>36100</v>
      </c>
      <c r="B41" s="112">
        <f t="shared" ref="B41:B89" si="44">VLOOKUP(F41,$DW$40:$DW$72,1)</f>
        <v>36312</v>
      </c>
      <c r="C41" t="str">
        <f>IFERROR(VLOOKUP(COUNTBLANK($E$2:E41),A:B,2,FALSE),"")</f>
        <v/>
      </c>
      <c r="E41" s="240">
        <f>Foglio3!F21</f>
        <v>36281</v>
      </c>
      <c r="F41" s="240">
        <f>Foglio3!G21</f>
        <v>36321</v>
      </c>
      <c r="G41" s="244"/>
      <c r="H41" s="245">
        <f t="shared" ref="H41:I104" si="45">AH41</f>
        <v>36281</v>
      </c>
      <c r="I41" s="245">
        <f t="shared" si="8"/>
        <v>36321</v>
      </c>
      <c r="J41" s="244"/>
      <c r="K41" s="244"/>
      <c r="Q41">
        <f t="shared" si="9"/>
        <v>41</v>
      </c>
      <c r="R41">
        <f>IF(Q41&lt;0,0,Q41-BV41*AG41)</f>
        <v>41</v>
      </c>
      <c r="S41">
        <f t="shared" ref="S41:S104" si="46">INT(R41/365)</f>
        <v>0</v>
      </c>
      <c r="T41">
        <f>INT( (R41-(S41*365))/30)</f>
        <v>1</v>
      </c>
      <c r="U41">
        <f>R41- ((S41*365)+T41*30)</f>
        <v>11</v>
      </c>
      <c r="W41">
        <f>W40+S41</f>
        <v>0</v>
      </c>
      <c r="X41">
        <f>X40+T41</f>
        <v>5</v>
      </c>
      <c r="Y41">
        <f>U40+U41</f>
        <v>34</v>
      </c>
      <c r="AA41" s="112">
        <f>IF(AND(YEAR(E41)=$CG$38,YEAR(F41)&gt;$CG$38),"01/01/2014",E41)</f>
        <v>36281</v>
      </c>
      <c r="AB41" s="112">
        <f>IF(YEAR(F41)=$CG$38,"31/12/12"*1,F41)</f>
        <v>36321</v>
      </c>
      <c r="AG41">
        <f t="shared" ref="AG41:AG104" si="47">IF(AI41&lt;AH41,0,1)</f>
        <v>1</v>
      </c>
      <c r="AH41" s="112">
        <f t="shared" ref="AH41:AI104" si="48">AA41*1</f>
        <v>36281</v>
      </c>
      <c r="AI41" s="112">
        <f t="shared" si="48"/>
        <v>36321</v>
      </c>
      <c r="AJ41">
        <f t="shared" ref="AJ41:AJ70" si="49">IF(AH41=0,0,1)</f>
        <v>1</v>
      </c>
      <c r="AK41">
        <f>IF(AND(AH41&lt;=AI40,AI41&lt;=AI40),1,0)*AJ41</f>
        <v>0</v>
      </c>
      <c r="AL41">
        <f>IF(AND(AH41&lt;=AI40,AI41&gt;AI40),1,0)*AJ41</f>
        <v>0</v>
      </c>
      <c r="AN41">
        <f>(AI41-AH41+1)*AK41</f>
        <v>0</v>
      </c>
      <c r="AO41">
        <f>(AI40-AH41+1)*AL41</f>
        <v>0</v>
      </c>
      <c r="AP41">
        <f>AN41+AO41</f>
        <v>0</v>
      </c>
      <c r="AV41" t="s">
        <v>113</v>
      </c>
      <c r="BV41">
        <f>MAX(BX41:CB41)</f>
        <v>0</v>
      </c>
      <c r="BX41">
        <f>AP41</f>
        <v>0</v>
      </c>
      <c r="BY41">
        <f>AX41</f>
        <v>0</v>
      </c>
      <c r="BZ41">
        <f>BF41</f>
        <v>0</v>
      </c>
      <c r="CA41">
        <f>BM41</f>
        <v>0</v>
      </c>
      <c r="CB41">
        <f>BT41</f>
        <v>0</v>
      </c>
      <c r="CG41">
        <f t="shared" ref="CG41:CH75" si="50">YEAR(E41)</f>
        <v>1999</v>
      </c>
      <c r="CH41">
        <f t="shared" si="50"/>
        <v>1999</v>
      </c>
      <c r="CJ41">
        <f t="shared" ref="CJ41:CJ75" si="51">IF(AND(CG41=$CG$38,CH41=$CG$38),F41-E41+1,0)</f>
        <v>0</v>
      </c>
      <c r="CK41">
        <f t="shared" si="10"/>
        <v>0</v>
      </c>
      <c r="CL41">
        <f t="shared" ref="CL41:CL75" si="52">IF(AND(CG41=$CG$38,CH41&lt;&gt;$CG$38),$CI$38-E41+1,0)</f>
        <v>0</v>
      </c>
      <c r="CN41">
        <f t="shared" ref="CN41:CN75" si="53">CJ41+CK41+CL41</f>
        <v>0</v>
      </c>
      <c r="CQ41">
        <f>365*15</f>
        <v>5475</v>
      </c>
      <c r="CS41">
        <f t="shared" ref="CS41:CS71" si="54">R41</f>
        <v>41</v>
      </c>
      <c r="CT41" s="246">
        <f xml:space="preserve">  IF(E41&lt;&gt;"",           CS41+CT40,0)</f>
        <v>184</v>
      </c>
      <c r="CV41" s="112">
        <f t="shared" ref="CV41:CV71" si="55">I41</f>
        <v>36321</v>
      </c>
      <c r="CX41" s="112">
        <f t="shared" ref="CX41:CX104" si="56">IF(                    AND( CT41&gt;=$CQ$39,CT40&lt;=$CQ$39   ),CV41-(CT41-$CQ$39),100000)</f>
        <v>100000</v>
      </c>
      <c r="CY41" s="270">
        <f>IF(                    AND( CT41&gt;=$CQ$40,CT40&lt;=$CQ$40   ),CV41-(CT41-$CQ$40),100000)</f>
        <v>100000</v>
      </c>
      <c r="CZ41" s="112">
        <f>IF(                    AND( CT41&gt;=$CQ$41,CT40&lt;=$CQ$41   ),CV41-(CT41-$CQ$41),100000)</f>
        <v>100000</v>
      </c>
      <c r="DA41" s="112">
        <f>IF(                    AND( CT41&gt;=$CQ$42,CT40&lt;=$CQ$42   ),CV41-(CT41-$CQ$42),100000)</f>
        <v>100000</v>
      </c>
      <c r="DB41" s="112">
        <f>IF(                    AND( CT41&gt;=$CQ$43,CT40&lt;=$CQ$43  ),CV41-(CT41-$CQ$43),100000)</f>
        <v>100000</v>
      </c>
      <c r="DC41" s="112">
        <f>IF(                    AND( CT41&gt;=$CQ$43,CT40&lt;=$CQ$43   ),CV41-(CT41-$CQ$43),100000)</f>
        <v>100000</v>
      </c>
      <c r="DE41" s="247">
        <v>3</v>
      </c>
      <c r="DG41" s="249" t="e">
        <f ca="1">VLOOKUP(DE41,tiGiuEc1!$G$38:$H$44,2)</f>
        <v>#N/A</v>
      </c>
      <c r="DH41" s="270" t="e">
        <f t="shared" ref="DH41:DH46" ca="1" si="57">IF(AND(DG41=DG40,DG41=$DG$51),"",DG41)</f>
        <v>#N/A</v>
      </c>
      <c r="DJ41" s="238" t="e">
        <f ca="1">VLOOKUP(DG41,Foglio1!$AB$31:$AN$284,13)</f>
        <v>#N/A</v>
      </c>
      <c r="DL41" t="e">
        <f t="shared" ref="DL41:DL46" ca="1" si="58">VLOOKUP(DE41,INDIRECT($DL$36),6)</f>
        <v>#N/A</v>
      </c>
      <c r="DN41" s="253" t="str">
        <f t="shared" ca="1" si="11"/>
        <v/>
      </c>
      <c r="DO41" s="238" t="str">
        <f ca="1">tiGiuEc1!G39</f>
        <v/>
      </c>
      <c r="DP41" s="305" t="str">
        <f ca="1">IF(TYPE(tiGiuEc1!H39)=16,"",tiGiuEc1!H39)</f>
        <v/>
      </c>
      <c r="DQ41" t="e">
        <f t="shared" ref="DQ41:DQ46" ca="1" si="59">IF(DG41&lt;100000,DL40,0)</f>
        <v>#N/A</v>
      </c>
      <c r="DR41" t="str">
        <f t="shared" ref="DR41:DR46" ca="1" si="60">DO41</f>
        <v/>
      </c>
      <c r="DT41">
        <v>3</v>
      </c>
      <c r="DU41" s="112" t="s">
        <v>169</v>
      </c>
      <c r="DV41" s="112"/>
      <c r="DW41" s="277">
        <v>35370</v>
      </c>
      <c r="DX41" s="276"/>
      <c r="DY41" s="276"/>
      <c r="DZ41" s="277">
        <v>39264</v>
      </c>
      <c r="EB41" s="240" t="str">
        <f t="shared" ref="EB41:EB47" ca="1" si="61">ES11</f>
        <v/>
      </c>
      <c r="EC41" s="239" t="str">
        <f t="shared" ref="EC41:EC47" ca="1" si="62">ER11</f>
        <v/>
      </c>
      <c r="EF41" s="260">
        <f ca="1">IF(OR(DP41="", DP41=EF40  ),100000,DP41)</f>
        <v>100000</v>
      </c>
      <c r="EK41" s="254"/>
      <c r="EL41">
        <v>2</v>
      </c>
      <c r="EM41" s="260">
        <f ca="1">IF(SMALL($EF$40:$EF$110,EL41)&gt;=$EJ$39,SMALL($EF$40:$EF$110,EL41),"")</f>
        <v>43344</v>
      </c>
      <c r="EN41" s="112">
        <f t="shared" ref="EN41:EN87" ca="1" si="63">IF(EM41="",100000,EM41)</f>
        <v>43344</v>
      </c>
      <c r="EO41" s="112">
        <f t="shared" ref="EO41:EO87" ca="1" si="64">IF(TYPE(EN41)=16,100000,EN41)</f>
        <v>43344</v>
      </c>
      <c r="EP41" s="112">
        <f ca="1">SMALL($EO$40:$EO$87,EL41)</f>
        <v>43344</v>
      </c>
      <c r="EQ41" s="273">
        <f ca="1">IF(   EP41=EP40,100000,                  SMALL($EO$40:$EO$87,EL41))</f>
        <v>100000</v>
      </c>
      <c r="ER41" s="302">
        <f t="shared" ref="ER41:ER87" ca="1" si="65">SMALL($EQ$40:$EQ$87,EL41)</f>
        <v>43466</v>
      </c>
      <c r="ES41">
        <v>3</v>
      </c>
      <c r="ET41">
        <v>5</v>
      </c>
      <c r="EU41" t="e">
        <f t="shared" ref="EU41:EU87" ca="1" si="66">VLOOKUP(ER41,$DP$40:$DR$46,3)</f>
        <v>#N/A</v>
      </c>
      <c r="EV41" s="260">
        <f ca="1">IF($EJ$39&lt;=ER41,$ER41,"")</f>
        <v>43466</v>
      </c>
      <c r="EW41" t="e">
        <f t="shared" ref="EW41:EW87" ca="1" si="67">FR41</f>
        <v>#N/A</v>
      </c>
      <c r="EX41" t="e">
        <f t="shared" ca="1" si="12"/>
        <v>#N/A</v>
      </c>
      <c r="EY41" s="238" t="e">
        <f t="shared" ca="1" si="13"/>
        <v>#N/A</v>
      </c>
      <c r="FB41" t="e">
        <f t="shared" ref="FB41:FB87" ca="1" si="68">INDIRECT(CONCATENATE($FA$35,FB$35,EY41))</f>
        <v>#N/A</v>
      </c>
      <c r="FC41" t="e">
        <f t="shared" ca="1" si="14"/>
        <v>#N/A</v>
      </c>
      <c r="FD41" t="e">
        <f t="shared" ca="1" si="14"/>
        <v>#N/A</v>
      </c>
      <c r="FE41" t="e">
        <f t="shared" ca="1" si="14"/>
        <v>#N/A</v>
      </c>
      <c r="FF41" t="e">
        <f t="shared" ca="1" si="14"/>
        <v>#N/A</v>
      </c>
      <c r="FM41" t="e">
        <f t="shared" ca="1" si="15"/>
        <v>#N/A</v>
      </c>
      <c r="FP41">
        <v>1</v>
      </c>
      <c r="FQ41" t="s">
        <v>173</v>
      </c>
      <c r="FR41" s="254" t="e">
        <f t="shared" ref="FR41:FR87" ca="1" si="69">VLOOKUP(EX41,$FP$40:$FQ$46,2)</f>
        <v>#N/A</v>
      </c>
      <c r="FS41">
        <f>FS40+1</f>
        <v>41</v>
      </c>
      <c r="FT41" t="e">
        <f t="shared" ca="1" si="16"/>
        <v>#N/A</v>
      </c>
      <c r="FU41" t="str">
        <f t="shared" ca="1" si="16"/>
        <v>EV41</v>
      </c>
      <c r="FV41" t="e">
        <f t="shared" ca="1" si="16"/>
        <v>#N/A</v>
      </c>
      <c r="FW41" t="e">
        <f t="shared" ca="1" si="16"/>
        <v>#N/A</v>
      </c>
      <c r="FX41" t="e">
        <f t="shared" ca="1" si="16"/>
        <v>#N/A</v>
      </c>
      <c r="FY41" t="e">
        <f t="shared" ca="1" si="16"/>
        <v>#N/A</v>
      </c>
      <c r="FZ41" t="e">
        <f t="shared" ca="1" si="16"/>
        <v>#N/A</v>
      </c>
      <c r="GA41" t="str">
        <f t="shared" ca="1" si="16"/>
        <v/>
      </c>
      <c r="GB41" t="e">
        <f t="shared" ca="1" si="16"/>
        <v>#N/A</v>
      </c>
      <c r="GC41" t="str">
        <f t="shared" ca="1" si="16"/>
        <v/>
      </c>
      <c r="GD41" t="str">
        <f t="shared" ca="1" si="16"/>
        <v/>
      </c>
      <c r="GE41">
        <f ca="1">IF(GF41=100000,0,GE40+1)</f>
        <v>2</v>
      </c>
      <c r="GF41" s="112">
        <f t="shared" ref="GF41:GF84" ca="1" si="70" xml:space="preserve">   IF(FU41="","",          INDIRECT(CONCATENATE(FU41)))</f>
        <v>43466</v>
      </c>
      <c r="GG41" s="112" t="e">
        <f t="shared" ref="GG41:GG84" ca="1" si="71" xml:space="preserve">   IF(FT41="","",          INDIRECT(CONCATENATE(FT41)))</f>
        <v>#N/A</v>
      </c>
      <c r="GH41" s="262" t="e">
        <f t="shared" ca="1" si="17"/>
        <v>#N/A</v>
      </c>
      <c r="GI41" s="262" t="e">
        <f t="shared" ca="1" si="17"/>
        <v>#N/A</v>
      </c>
      <c r="GJ41" s="262" t="e">
        <f t="shared" ca="1" si="17"/>
        <v>#N/A</v>
      </c>
      <c r="GK41" s="262" t="e">
        <f t="shared" ca="1" si="17"/>
        <v>#N/A</v>
      </c>
      <c r="GL41" s="262" t="e">
        <f t="shared" ca="1" si="17"/>
        <v>#N/A</v>
      </c>
      <c r="GM41" s="262">
        <f t="shared" ca="1" si="17"/>
        <v>0</v>
      </c>
      <c r="GN41" s="262" t="e">
        <f t="shared" ca="1" si="17"/>
        <v>#N/A</v>
      </c>
      <c r="GO41" s="262">
        <f t="shared" ref="GO41:GO84" ca="1" si="72">IF($HF$31&lt;=GF41,$HD$31,0)</f>
        <v>0</v>
      </c>
      <c r="GP41" s="262">
        <f t="shared" ref="GP41:GP84" ca="1" si="73" xml:space="preserve">   IF(GD41="",0,          INDIRECT(CONCATENATE(GD41)))</f>
        <v>0</v>
      </c>
      <c r="GQ41" s="262" t="e">
        <f t="shared" ref="GQ41:GQ48" ca="1" si="74">GH41+GK41</f>
        <v>#N/A</v>
      </c>
      <c r="GR41" s="262" t="e">
        <f t="shared" ref="GR41:GR87" ca="1" si="75">IF(GF41&gt;=$GR$36,GH41+GK41,"")</f>
        <v>#N/A</v>
      </c>
      <c r="GS41" s="262" t="e">
        <f t="shared" ca="1" si="18"/>
        <v>#N/A</v>
      </c>
      <c r="GT41" s="253" t="str">
        <f t="shared" ref="GT41:GT74" ca="1" si="76">IF($GE41&gt;0,CONCATENATE(GE$37," ",GE41,"
",),"")</f>
        <v xml:space="preserve">articolo 2
</v>
      </c>
      <c r="GU41" t="str">
        <f t="shared" ref="GU41:GU74" ca="1" si="77">IF($GE41&gt;0,CONCATENATE(GF$37," ",                DAY(  GF41),"/",MONTH(GF41),"/",YEAR(GF41),"  "                                    ),"")</f>
        <v xml:space="preserve">con decorrenza dalla data: 1/1/2019  </v>
      </c>
      <c r="GV41" t="e">
        <f t="shared" ref="GV41:GV74" ca="1" si="78">IF($GE41&gt;0,CONCATENATE(GG$37," ",GG41,"
"),"")</f>
        <v>#N/A</v>
      </c>
      <c r="GW41" t="e">
        <f ca="1">IF(AND($GE41&gt;0,GR41=""),CONCATENATE(GH$37," ",GH41,"
"),IF(AND($GE41&gt;0,GR41&lt;&gt;""),CONCATENATE(GH$37," ",GR41,"
"),"
"))</f>
        <v>#N/A</v>
      </c>
      <c r="GX41" t="e">
        <f t="shared" ca="1" si="19"/>
        <v>#N/A</v>
      </c>
      <c r="GY41" t="e">
        <f t="shared" ca="1" si="19"/>
        <v>#N/A</v>
      </c>
      <c r="GZ41" t="e">
        <f t="shared" ca="1" si="20"/>
        <v>#N/A</v>
      </c>
      <c r="HA41" t="e">
        <f t="shared" ca="1" si="19"/>
        <v>#N/A</v>
      </c>
      <c r="HB41" t="str">
        <f t="shared" ca="1" si="19"/>
        <v/>
      </c>
      <c r="HC41" t="e">
        <f t="shared" ca="1" si="19"/>
        <v>#N/A</v>
      </c>
      <c r="HD41" t="str">
        <f t="shared" ref="HD41:HD84" ca="1" si="79">IF(AND($HF$31&lt;=GF41,     $HF$31&lt;&gt;0                ),CONCATENATE($HD$37," euro:",$HD$31,"
"),"")</f>
        <v/>
      </c>
      <c r="HE41" s="254" t="str">
        <f t="shared" ca="1" si="19"/>
        <v/>
      </c>
      <c r="HF41" s="254" t="e">
        <f t="shared" ref="HF41:HF83" ca="1" si="80">IF(GS41&gt;0,CONCATENATE(GS$37," ",GS41,"
"),"")</f>
        <v>#N/A</v>
      </c>
      <c r="HM41" s="263" t="e">
        <f t="shared" ref="HM41:HM82" ca="1" si="81">CONCATENATE(GT41,GU41,GV41,GW41,GX41,GY41,GZ41,HA41,HB41,HC41,HD41,HE41,HF41)</f>
        <v>#N/A</v>
      </c>
      <c r="HN41" s="263"/>
      <c r="HO41" s="272" t="e">
        <f t="shared" ca="1" si="21"/>
        <v>#N/A</v>
      </c>
      <c r="HP41">
        <f t="shared" ref="HP41:HP96" ca="1" si="82">$GE41</f>
        <v>2</v>
      </c>
      <c r="HQ41" t="str">
        <f t="shared" ref="HQ41:HQ96" ca="1" si="83">IF(AND(HP41=0,HP40&gt;0),$JR$38,"")</f>
        <v/>
      </c>
      <c r="HR41" t="str">
        <f t="shared" ref="HR41:HR57" ca="1" si="84">IF(AND(HP41=0,HP40=0,HP39&gt;0),$JR$39,"")</f>
        <v/>
      </c>
      <c r="HS41" t="str">
        <f t="shared" ref="HS41:HS57" ca="1" si="85">IF(AND(HP41=0,HP40=0,HP39=0,HP38&gt;0),$JR$40,"")</f>
        <v/>
      </c>
      <c r="HX41" s="253" t="s">
        <v>187</v>
      </c>
      <c r="HY41" s="112" t="str">
        <f t="shared" ref="HY41:HY104" si="86">CONCATENATE(DAY(E41),"/",MONTH(E41),"/",YEAR(E41))</f>
        <v>1/5/1999</v>
      </c>
      <c r="HZ41" t="s">
        <v>188</v>
      </c>
      <c r="IA41" s="112" t="str">
        <f t="shared" ref="IA41:IA104" si="87">CONCATENATE(DAY(F41),"/",MONTH(F41),"/",YEAR(F41))</f>
        <v>10/6/1999</v>
      </c>
      <c r="IB41" t="s">
        <v>189</v>
      </c>
      <c r="IC41">
        <f t="shared" ref="IC41:IC104" si="88">S41</f>
        <v>0</v>
      </c>
      <c r="ID41" t="s">
        <v>192</v>
      </c>
      <c r="IE41">
        <f t="shared" ref="IE41:IE104" si="89">T41</f>
        <v>1</v>
      </c>
      <c r="IF41" t="s">
        <v>191</v>
      </c>
      <c r="IG41" s="254">
        <f t="shared" ref="IG41:IG104" si="90">U41</f>
        <v>11</v>
      </c>
      <c r="IL41" t="str">
        <f t="shared" ref="IL41:IL104" si="91">IF(E41&gt;0,CONCATENATE(HX41,HY41,HZ41,IA41,IB41,IC41,ID41,IE41,IF41,IG41,"
"),"")</f>
        <v xml:space="preserve">DAL: 1/5/1999 - AL:10/6/1999 - ANNI:0 - MESI:1 -GIORNI:11
</v>
      </c>
      <c r="JE41" t="str">
        <f>IF(JF41&lt;&gt;"","fascia 15/20 anni in data:","")</f>
        <v/>
      </c>
      <c r="JF41" s="112" t="str">
        <f>IF(DP43="","",CONCATENATE(DAY(DP43),"/",MONTH(DP43),"/",YEAR(DP43),"
"))</f>
        <v/>
      </c>
      <c r="JR41" s="269"/>
      <c r="KD41">
        <v>0</v>
      </c>
      <c r="KE41" s="260">
        <f t="shared" ref="KE41:KE87" ca="1" si="92">IF($EV$38&gt;JZ41,$EV41,"")</f>
        <v>43466</v>
      </c>
      <c r="KF41" t="str">
        <f t="shared" ref="KF41:KF85" si="93">LA41</f>
        <v>0-2 anni</v>
      </c>
      <c r="KG41">
        <f t="shared" si="22"/>
        <v>6</v>
      </c>
      <c r="KH41" s="238">
        <f t="shared" ca="1" si="23"/>
        <v>220</v>
      </c>
      <c r="KK41">
        <f t="shared" ref="KK41:KK87" ca="1" si="94">INDIRECT(CONCATENATE($FA$35,KK$35,KH41))</f>
        <v>15593.689999999999</v>
      </c>
      <c r="KL41" t="e">
        <f t="shared" ca="1" si="24"/>
        <v>#N/A</v>
      </c>
      <c r="KM41" t="e">
        <f t="shared" ca="1" si="24"/>
        <v>#N/A</v>
      </c>
      <c r="KN41" t="e">
        <f t="shared" ca="1" si="24"/>
        <v>#N/A</v>
      </c>
      <c r="KO41" t="e">
        <f t="shared" ca="1" si="24"/>
        <v>#N/A</v>
      </c>
      <c r="KV41" t="e">
        <f t="shared" ca="1" si="25"/>
        <v>#N/A</v>
      </c>
      <c r="KY41">
        <v>1</v>
      </c>
      <c r="KZ41" t="s">
        <v>173</v>
      </c>
      <c r="LA41" s="254" t="str">
        <f t="shared" ref="LA41:LA87" si="95">VLOOKUP(KG41,$FP$40:$FQ$46,2)</f>
        <v>0-2 anni</v>
      </c>
      <c r="LB41" s="112">
        <f t="shared" si="26"/>
        <v>36281</v>
      </c>
      <c r="LC41" s="112">
        <f t="shared" si="26"/>
        <v>36321</v>
      </c>
      <c r="LD41" t="e">
        <f t="shared" ref="LD41:LD87" ca="1" si="96">KK41+KL41+KM41+KN41+KO41+KQ41+KR41+KS41+KT41+KU41+KV41+KW41+KX41</f>
        <v>#N/A</v>
      </c>
      <c r="LE41" s="262" t="e">
        <f t="shared" ref="LE41:LE87" ca="1" si="97">GS41</f>
        <v>#N/A</v>
      </c>
      <c r="LF41">
        <f t="shared" ref="LF41:LF87" si="98">R41</f>
        <v>41</v>
      </c>
      <c r="LG41" t="e">
        <f t="shared" ref="LG41:LG87" ca="1" si="99">IF(LC41&lt;$LG$38,"prescritte",ROUND((LE41-LD41)/365*LF41,2))</f>
        <v>#N/A</v>
      </c>
      <c r="LK41" s="320"/>
      <c r="LL41" s="335">
        <f ca="1">Foglio7ti!GF42</f>
        <v>43831</v>
      </c>
      <c r="LM41" s="336">
        <f t="shared" ca="1" si="27"/>
        <v>43831</v>
      </c>
      <c r="LN41" s="335"/>
      <c r="LO41" s="320">
        <f t="shared" ref="LO41:LO104" si="100">LO40+1</f>
        <v>3</v>
      </c>
      <c r="LP41" s="336">
        <f t="shared" ca="1" si="28"/>
        <v>43466</v>
      </c>
      <c r="LQ41" s="335"/>
      <c r="LR41" s="320"/>
      <c r="LS41" s="319">
        <f t="shared" si="29"/>
        <v>3</v>
      </c>
      <c r="LT41" s="336">
        <f t="shared" ca="1" si="30"/>
        <v>100000</v>
      </c>
      <c r="LU41" s="320"/>
      <c r="LV41" s="320"/>
      <c r="LW41" s="336">
        <f t="shared" ca="1" si="31"/>
        <v>43831</v>
      </c>
      <c r="LX41" s="320"/>
      <c r="LY41" s="320"/>
      <c r="LZ41" s="336">
        <f t="shared" ca="1" si="32"/>
        <v>43831</v>
      </c>
      <c r="MA41" s="320"/>
      <c r="MB41" s="320"/>
      <c r="MC41" s="308">
        <f t="shared" ca="1" si="4"/>
        <v>43831</v>
      </c>
      <c r="MD41">
        <f t="shared" ref="MD41:MD75" ca="1" si="101">IF(ME41&lt;&gt;"",ME42-1,"")</f>
        <v>44196</v>
      </c>
      <c r="ME41" s="338">
        <f t="shared" ca="1" si="33"/>
        <v>43831</v>
      </c>
      <c r="MF41" s="338">
        <f t="shared" ref="MF41:MF75" ca="1" si="102">IF(TYPE(MD41)=16,ME41,MD41)</f>
        <v>44196</v>
      </c>
      <c r="MG41" s="337" t="e">
        <f t="shared" ca="1" si="5"/>
        <v>#N/A</v>
      </c>
      <c r="MH41" s="338" t="e">
        <f t="shared" ca="1" si="35"/>
        <v>#N/A</v>
      </c>
      <c r="MI41" s="337" t="e">
        <f t="shared" ca="1" si="36"/>
        <v>#N/A</v>
      </c>
      <c r="MJ41" s="337">
        <f t="shared" ca="1" si="6"/>
        <v>24317.72</v>
      </c>
      <c r="MK41" s="337">
        <f t="shared" ca="1" si="37"/>
        <v>0</v>
      </c>
      <c r="ML41" s="337" t="str">
        <f ca="1">IF(ME41&lt;&gt;"",VLOOKUP(ME41,Foglio7ti!$GF$40:$GG$92,2),"")</f>
        <v>0-2 anni</v>
      </c>
      <c r="MM41" s="282" t="e">
        <f t="shared" ca="1" si="38"/>
        <v>#N/A</v>
      </c>
      <c r="MN41" s="282"/>
      <c r="MO41" s="320">
        <f>IF($MH$36=0,1,IF($MH$36&gt;ME41,0,1))</f>
        <v>1</v>
      </c>
      <c r="MP41" s="253" t="str">
        <f t="shared" ca="1" si="39"/>
        <v>0-2 anni</v>
      </c>
      <c r="MQ41" t="e">
        <f t="shared" ca="1" si="7"/>
        <v>#N/A</v>
      </c>
      <c r="MR41" s="238" t="e">
        <f ca="1">VLOOKUP(ME41,Foglio1ti!AB33:AZ333,13)-MQ41</f>
        <v>#N/A</v>
      </c>
      <c r="MS41" t="e">
        <f t="shared" ca="1" si="40"/>
        <v>#N/A</v>
      </c>
      <c r="MT41">
        <f t="shared" ca="1" si="41"/>
        <v>6</v>
      </c>
      <c r="MU41" s="238">
        <f ca="1">VLOOKUP(ME41,Foglio1ti!AB33:AZ333,13)-MT41</f>
        <v>227</v>
      </c>
      <c r="MV41">
        <f t="shared" ca="1" si="42"/>
        <v>24317.72</v>
      </c>
      <c r="MW41" t="e">
        <f t="shared" ca="1" si="43"/>
        <v>#N/A</v>
      </c>
      <c r="MX41">
        <f ca="1">IF(AND(frontti!$H$25="SI",ML41="3-8 anni"),INDIRECT(CONCATENATE($MR$37,"BI",MU41)),0)</f>
        <v>0</v>
      </c>
      <c r="MY41" s="254" t="s">
        <v>170</v>
      </c>
      <c r="MZ41">
        <v>4</v>
      </c>
      <c r="NI41" t="e">
        <f ca="1">CONCATENATE("la liquidazione della somme di euro:",NI38," (comprensive di 13.ma)
")</f>
        <v>#N/A</v>
      </c>
      <c r="NK41" s="246"/>
      <c r="NL41" s="310"/>
    </row>
    <row r="42" spans="1:376" ht="117" customHeight="1" x14ac:dyDescent="0.25">
      <c r="A42" s="112">
        <f>VLOOKUP(B42-1,$DW$40:$DW$72,1)</f>
        <v>36100</v>
      </c>
      <c r="B42" s="112">
        <f t="shared" si="44"/>
        <v>36312</v>
      </c>
      <c r="C42" t="str">
        <f>IFERROR(VLOOKUP(COUNTBLANK($E$2:E42),A:B,2,FALSE),"")</f>
        <v/>
      </c>
      <c r="E42" s="240">
        <f>Foglio3!F22</f>
        <v>36325</v>
      </c>
      <c r="F42" s="240">
        <f>Foglio3!G22</f>
        <v>36325</v>
      </c>
      <c r="G42" s="244"/>
      <c r="H42" s="245">
        <f t="shared" si="45"/>
        <v>36325</v>
      </c>
      <c r="I42" s="245">
        <f t="shared" si="8"/>
        <v>36325</v>
      </c>
      <c r="J42" s="244"/>
      <c r="K42" s="244"/>
      <c r="Q42">
        <f t="shared" si="9"/>
        <v>1</v>
      </c>
      <c r="R42">
        <f>IF(Q42&lt;0,0,Q42-BV42*AG42)</f>
        <v>1</v>
      </c>
      <c r="S42">
        <f t="shared" si="46"/>
        <v>0</v>
      </c>
      <c r="T42">
        <f>INT( (R42-(S42*365))/30)</f>
        <v>0</v>
      </c>
      <c r="U42">
        <f>R42- ((S42*365)+T42*30)</f>
        <v>1</v>
      </c>
      <c r="W42">
        <f>S42+W41</f>
        <v>0</v>
      </c>
      <c r="X42">
        <f>T42+X41</f>
        <v>5</v>
      </c>
      <c r="Y42">
        <f>U42+Y41</f>
        <v>35</v>
      </c>
      <c r="AA42" s="112">
        <f t="shared" ref="AA42:AA105" si="103">IF(AND(YEAR(E42)=$CG$38,YEAR(F42)&gt;$CG$38),"01/01/2014",E42)</f>
        <v>36325</v>
      </c>
      <c r="AB42" s="112">
        <f t="shared" ref="AB42:AB105" si="104">IF(YEAR(F42)=$CG$38,"31/12/12"*1,F42)</f>
        <v>36325</v>
      </c>
      <c r="AG42">
        <f t="shared" si="47"/>
        <v>1</v>
      </c>
      <c r="AH42" s="112">
        <f t="shared" si="48"/>
        <v>36325</v>
      </c>
      <c r="AI42" s="112">
        <f t="shared" si="48"/>
        <v>36325</v>
      </c>
      <c r="AJ42">
        <f t="shared" si="49"/>
        <v>1</v>
      </c>
      <c r="AK42">
        <f t="shared" ref="AK42:AK70" si="105">IF(AND(AH42&lt;=AI41,AI42&lt;=AI41),1,0)*AJ42</f>
        <v>0</v>
      </c>
      <c r="AL42">
        <f>IF(AND(AH42&lt;=AI41,AI42&gt;AI41),1,0)*AJ42</f>
        <v>0</v>
      </c>
      <c r="AN42">
        <f>(AI42-AH42+1)*AK42</f>
        <v>0</v>
      </c>
      <c r="AO42">
        <f>(AI41-AH42+1)*AL42</f>
        <v>0</v>
      </c>
      <c r="AP42">
        <f t="shared" ref="AP42:AP70" si="106">AN42+AO42</f>
        <v>0</v>
      </c>
      <c r="AS42">
        <f>IF(AND(AH42&lt;=AI40,AI42&lt;=AI40),1,0)*AJ42</f>
        <v>0</v>
      </c>
      <c r="AT42">
        <f>IF(AND(AH42&lt;=AI40,AI42&gt;AI40),1,0)*AJ42</f>
        <v>0</v>
      </c>
      <c r="AV42">
        <f>(AI42-AH42+1)*AS42</f>
        <v>0</v>
      </c>
      <c r="AW42">
        <f>(AI40-AH42+1)*AT42</f>
        <v>0</v>
      </c>
      <c r="AX42">
        <f t="shared" ref="AX42:AX71" si="107">AV42+AW42</f>
        <v>0</v>
      </c>
      <c r="BD42" t="s">
        <v>113</v>
      </c>
      <c r="BV42">
        <f t="shared" ref="BV42:BV71" si="108">MAX(BX42:CB42)</f>
        <v>0</v>
      </c>
      <c r="BX42">
        <f t="shared" ref="BX42:BX71" si="109">AP42</f>
        <v>0</v>
      </c>
      <c r="BY42">
        <f t="shared" ref="BY42:BY71" si="110">AX42</f>
        <v>0</v>
      </c>
      <c r="BZ42">
        <f t="shared" ref="BZ42:BZ71" si="111">BF42</f>
        <v>0</v>
      </c>
      <c r="CA42">
        <f t="shared" ref="CA42:CA71" si="112">BM42</f>
        <v>0</v>
      </c>
      <c r="CB42">
        <f t="shared" ref="CB42:CB71" si="113">BT42</f>
        <v>0</v>
      </c>
      <c r="CG42">
        <f t="shared" si="50"/>
        <v>1999</v>
      </c>
      <c r="CH42">
        <f t="shared" si="50"/>
        <v>1999</v>
      </c>
      <c r="CJ42">
        <f t="shared" si="51"/>
        <v>0</v>
      </c>
      <c r="CK42">
        <f t="shared" si="10"/>
        <v>0</v>
      </c>
      <c r="CL42">
        <f t="shared" si="52"/>
        <v>0</v>
      </c>
      <c r="CN42">
        <f t="shared" si="53"/>
        <v>0</v>
      </c>
      <c r="CQ42">
        <f>365*21</f>
        <v>7665</v>
      </c>
      <c r="CS42">
        <f t="shared" si="54"/>
        <v>1</v>
      </c>
      <c r="CT42" s="246">
        <f t="shared" ref="CT42:CT71" si="114" xml:space="preserve">  IF(E42&lt;&gt;"",           CS42+CT41,0)</f>
        <v>185</v>
      </c>
      <c r="CV42" s="112">
        <f t="shared" si="55"/>
        <v>36325</v>
      </c>
      <c r="CX42" s="112">
        <f t="shared" si="56"/>
        <v>100000</v>
      </c>
      <c r="CY42" s="270">
        <f t="shared" ref="CY42:CY105" si="115">IF(                    AND( CT42&gt;=$CQ$40,CT41&lt;=$CQ$40   ),CV42-(CT42-$CQ$40),100000)</f>
        <v>100000</v>
      </c>
      <c r="CZ42" s="112">
        <f t="shared" ref="CZ42:CZ105" si="116">IF(                    AND( CT42&gt;=$CQ$41,CT41&lt;=$CQ$41   ),CV42-(CT42-$CQ$41),100000)</f>
        <v>100000</v>
      </c>
      <c r="DA42" s="112">
        <f t="shared" ref="DA42:DA105" si="117">IF(                    AND( CT42&gt;=$CQ$42,CT41&lt;=$CQ$42   ),CV42-(CT42-$CQ$42),100000)</f>
        <v>100000</v>
      </c>
      <c r="DB42" s="112">
        <f t="shared" ref="DB42:DB105" si="118">IF(                    AND( CT42&gt;=$CQ$43,CT41&lt;=$CQ$43  ),CV42-(CT42-$CQ$43),100000)</f>
        <v>100000</v>
      </c>
      <c r="DC42" s="112">
        <f t="shared" ref="DC42:DC105" si="119">IF(                    AND( CT42&gt;=$CQ$43,CT41&lt;=$CQ$43   ),CV42-(CT42-$CQ$43),100000)</f>
        <v>100000</v>
      </c>
      <c r="DE42" s="247">
        <v>9</v>
      </c>
      <c r="DG42" s="249" t="e">
        <f ca="1">VLOOKUP(DE42,tiGiuEc1!$G$38:$H$44,2)</f>
        <v>#N/A</v>
      </c>
      <c r="DH42" s="270" t="e">
        <f t="shared" ca="1" si="57"/>
        <v>#N/A</v>
      </c>
      <c r="DJ42" s="238" t="e">
        <f ca="1">VLOOKUP(DG42,Foglio1!$AB$31:$AN$284,13)</f>
        <v>#N/A</v>
      </c>
      <c r="DL42" t="e">
        <f t="shared" ca="1" si="58"/>
        <v>#N/A</v>
      </c>
      <c r="DN42" s="253" t="str">
        <f t="shared" si="11"/>
        <v/>
      </c>
      <c r="DO42" s="238" t="str">
        <f>tiGiuEc1!G40</f>
        <v/>
      </c>
      <c r="DP42" s="305" t="str">
        <f>IF(TYPE(tiGiuEc1!H40)=16,"",tiGiuEc1!H40)</f>
        <v/>
      </c>
      <c r="DQ42" t="e">
        <f t="shared" ca="1" si="59"/>
        <v>#N/A</v>
      </c>
      <c r="DR42" t="str">
        <f t="shared" si="60"/>
        <v/>
      </c>
      <c r="DT42">
        <v>9</v>
      </c>
      <c r="DU42" s="112" t="s">
        <v>170</v>
      </c>
      <c r="DV42" s="112"/>
      <c r="DW42" s="277">
        <v>35612</v>
      </c>
      <c r="DX42" s="276"/>
      <c r="DY42" s="276" t="s">
        <v>216</v>
      </c>
      <c r="DZ42" s="277">
        <f t="shared" ref="DZ42:DZ47" ca="1" si="120">EF41</f>
        <v>100000</v>
      </c>
      <c r="EB42" s="240" t="str">
        <f t="shared" ca="1" si="61"/>
        <v/>
      </c>
      <c r="EC42" s="239" t="str">
        <f t="shared" ca="1" si="62"/>
        <v/>
      </c>
      <c r="EF42" s="260">
        <f t="shared" ref="EF42:EF47" ca="1" si="121">IF(OR(DP42="", DP42=EF41  ),100000,DP42)</f>
        <v>100000</v>
      </c>
      <c r="EK42" s="254"/>
      <c r="EL42">
        <v>3</v>
      </c>
      <c r="EM42" s="260">
        <f t="shared" ref="EM42:EM87" ca="1" si="122">IF(SMALL($EF$40:$EF$110,EL42)&gt;=$EJ$39,SMALL($EF$40:$EF$110,EL42),"")</f>
        <v>43466</v>
      </c>
      <c r="EN42" s="112">
        <f t="shared" ca="1" si="63"/>
        <v>43466</v>
      </c>
      <c r="EO42" s="112">
        <f t="shared" ca="1" si="64"/>
        <v>43466</v>
      </c>
      <c r="EP42" s="112">
        <f t="shared" ref="EP42:EP87" ca="1" si="123">SMALL($EO$40:$EO$87,EL42)</f>
        <v>43466</v>
      </c>
      <c r="EQ42" s="273">
        <f ca="1" xml:space="preserve">   IF(EP42=EP43,100000,        SMALL($EO$40:$EO$87,EL42))</f>
        <v>43466</v>
      </c>
      <c r="ER42" s="302">
        <f t="shared" ca="1" si="65"/>
        <v>43831</v>
      </c>
      <c r="ES42">
        <v>9</v>
      </c>
      <c r="ET42">
        <v>4</v>
      </c>
      <c r="EU42" t="e">
        <f t="shared" ca="1" si="66"/>
        <v>#N/A</v>
      </c>
      <c r="EV42" s="260">
        <f t="shared" ref="EV42:EV87" ca="1" si="124">IF($EJ$39&lt;=ER42,$ER42,"")</f>
        <v>43831</v>
      </c>
      <c r="EW42" t="e">
        <f t="shared" ca="1" si="67"/>
        <v>#N/A</v>
      </c>
      <c r="EX42" t="e">
        <f t="shared" ca="1" si="12"/>
        <v>#N/A</v>
      </c>
      <c r="EY42" s="238" t="e">
        <f t="shared" ca="1" si="13"/>
        <v>#N/A</v>
      </c>
      <c r="FB42" t="e">
        <f t="shared" ca="1" si="68"/>
        <v>#N/A</v>
      </c>
      <c r="FC42" t="e">
        <f t="shared" ca="1" si="14"/>
        <v>#N/A</v>
      </c>
      <c r="FD42" t="e">
        <f t="shared" ca="1" si="14"/>
        <v>#N/A</v>
      </c>
      <c r="FE42" t="e">
        <f t="shared" ca="1" si="14"/>
        <v>#N/A</v>
      </c>
      <c r="FF42" t="e">
        <f t="shared" ca="1" si="14"/>
        <v>#N/A</v>
      </c>
      <c r="FM42" t="e">
        <f t="shared" ca="1" si="15"/>
        <v>#N/A</v>
      </c>
      <c r="FP42">
        <v>2</v>
      </c>
      <c r="FQ42" t="s">
        <v>172</v>
      </c>
      <c r="FR42" s="254" t="e">
        <f t="shared" ca="1" si="69"/>
        <v>#N/A</v>
      </c>
      <c r="FS42">
        <f t="shared" ref="FS42:FS87" si="125">FS41+1</f>
        <v>42</v>
      </c>
      <c r="FT42" t="e">
        <f t="shared" ca="1" si="16"/>
        <v>#N/A</v>
      </c>
      <c r="FU42" t="str">
        <f t="shared" ca="1" si="16"/>
        <v>EV42</v>
      </c>
      <c r="FV42" t="e">
        <f t="shared" ca="1" si="16"/>
        <v>#N/A</v>
      </c>
      <c r="FW42" t="e">
        <f t="shared" ca="1" si="16"/>
        <v>#N/A</v>
      </c>
      <c r="FX42" t="e">
        <f t="shared" ca="1" si="16"/>
        <v>#N/A</v>
      </c>
      <c r="FY42" t="e">
        <f t="shared" ca="1" si="16"/>
        <v>#N/A</v>
      </c>
      <c r="FZ42" t="e">
        <f t="shared" ca="1" si="16"/>
        <v>#N/A</v>
      </c>
      <c r="GA42" t="str">
        <f t="shared" ca="1" si="16"/>
        <v/>
      </c>
      <c r="GB42" t="e">
        <f t="shared" ca="1" si="16"/>
        <v>#N/A</v>
      </c>
      <c r="GC42" t="str">
        <f t="shared" ca="1" si="16"/>
        <v/>
      </c>
      <c r="GD42" t="str">
        <f t="shared" ca="1" si="16"/>
        <v/>
      </c>
      <c r="GE42">
        <f t="shared" ref="GE42:GE84" ca="1" si="126">IF(GF42=100000,0,GE41+1)</f>
        <v>3</v>
      </c>
      <c r="GF42" s="112">
        <f t="shared" ca="1" si="70"/>
        <v>43831</v>
      </c>
      <c r="GG42" s="112" t="e">
        <f t="shared" ca="1" si="71"/>
        <v>#N/A</v>
      </c>
      <c r="GH42" s="262" t="e">
        <f t="shared" ca="1" si="17"/>
        <v>#N/A</v>
      </c>
      <c r="GI42" s="262" t="e">
        <f t="shared" ca="1" si="17"/>
        <v>#N/A</v>
      </c>
      <c r="GJ42" s="262" t="e">
        <f t="shared" ca="1" si="17"/>
        <v>#N/A</v>
      </c>
      <c r="GK42" s="262" t="e">
        <f t="shared" ca="1" si="17"/>
        <v>#N/A</v>
      </c>
      <c r="GL42" s="262" t="e">
        <f t="shared" ca="1" si="17"/>
        <v>#N/A</v>
      </c>
      <c r="GM42" s="262">
        <f t="shared" ca="1" si="17"/>
        <v>0</v>
      </c>
      <c r="GN42" s="262" t="e">
        <f t="shared" ca="1" si="17"/>
        <v>#N/A</v>
      </c>
      <c r="GO42" s="262">
        <f t="shared" ca="1" si="72"/>
        <v>0</v>
      </c>
      <c r="GP42" s="262">
        <f t="shared" ca="1" si="73"/>
        <v>0</v>
      </c>
      <c r="GQ42" s="262" t="e">
        <f t="shared" ca="1" si="74"/>
        <v>#N/A</v>
      </c>
      <c r="GR42" s="262" t="e">
        <f t="shared" ca="1" si="75"/>
        <v>#N/A</v>
      </c>
      <c r="GS42" s="262" t="e">
        <f t="shared" ca="1" si="18"/>
        <v>#N/A</v>
      </c>
      <c r="GT42" s="253" t="str">
        <f t="shared" ca="1" si="76"/>
        <v xml:space="preserve">articolo 3
</v>
      </c>
      <c r="GU42" t="str">
        <f t="shared" ca="1" si="77"/>
        <v xml:space="preserve">con decorrenza dalla data: 1/1/2020  </v>
      </c>
      <c r="GV42" t="e">
        <f t="shared" ca="1" si="78"/>
        <v>#N/A</v>
      </c>
      <c r="GW42" t="e">
        <f ca="1">IF(AND($GE42&gt;0,GR42=""),CONCATENATE(GH$37," ",GH42,"
"),IF(AND($GE42&gt;0,GR42&lt;&gt;""),CONCATENATE(GH$37," ",GR42,"
"),"
"))</f>
        <v>#N/A</v>
      </c>
      <c r="GX42" t="e">
        <f t="shared" ca="1" si="19"/>
        <v>#N/A</v>
      </c>
      <c r="GY42" t="e">
        <f t="shared" ca="1" si="19"/>
        <v>#N/A</v>
      </c>
      <c r="GZ42" t="e">
        <f t="shared" ca="1" si="20"/>
        <v>#N/A</v>
      </c>
      <c r="HA42" t="e">
        <f t="shared" ca="1" si="19"/>
        <v>#N/A</v>
      </c>
      <c r="HB42" t="str">
        <f t="shared" ca="1" si="19"/>
        <v/>
      </c>
      <c r="HC42" t="e">
        <f t="shared" ca="1" si="19"/>
        <v>#N/A</v>
      </c>
      <c r="HD42" t="str">
        <f t="shared" ca="1" si="79"/>
        <v/>
      </c>
      <c r="HE42" s="254" t="str">
        <f t="shared" ca="1" si="19"/>
        <v/>
      </c>
      <c r="HF42" s="254" t="e">
        <f t="shared" ca="1" si="80"/>
        <v>#N/A</v>
      </c>
      <c r="HM42" s="263" t="e">
        <f t="shared" ca="1" si="81"/>
        <v>#N/A</v>
      </c>
      <c r="HN42" s="263"/>
      <c r="HO42" s="272" t="e">
        <f t="shared" ca="1" si="21"/>
        <v>#N/A</v>
      </c>
      <c r="HP42">
        <f t="shared" ca="1" si="82"/>
        <v>3</v>
      </c>
      <c r="HQ42" t="str">
        <f t="shared" ca="1" si="83"/>
        <v/>
      </c>
      <c r="HR42" t="str">
        <f t="shared" ca="1" si="84"/>
        <v/>
      </c>
      <c r="HS42" t="str">
        <f t="shared" ca="1" si="85"/>
        <v/>
      </c>
      <c r="HX42" s="253" t="s">
        <v>187</v>
      </c>
      <c r="HY42" s="112" t="str">
        <f t="shared" si="86"/>
        <v>14/6/1999</v>
      </c>
      <c r="HZ42" t="s">
        <v>188</v>
      </c>
      <c r="IA42" s="112" t="str">
        <f t="shared" si="87"/>
        <v>14/6/1999</v>
      </c>
      <c r="IB42" t="s">
        <v>189</v>
      </c>
      <c r="IC42">
        <f t="shared" si="88"/>
        <v>0</v>
      </c>
      <c r="ID42" t="s">
        <v>192</v>
      </c>
      <c r="IE42">
        <f t="shared" si="89"/>
        <v>0</v>
      </c>
      <c r="IF42" t="s">
        <v>191</v>
      </c>
      <c r="IG42" s="254">
        <f t="shared" si="90"/>
        <v>1</v>
      </c>
      <c r="IL42" t="str">
        <f t="shared" si="91"/>
        <v xml:space="preserve">DAL: 14/6/1999 - AL:14/6/1999 - ANNI:0 - MESI:0 -GIORNI:1
</v>
      </c>
      <c r="JE42" t="str">
        <f>IF(JF42&lt;&gt;"","fascia 21/27 anni in data:","")</f>
        <v/>
      </c>
      <c r="JF42" s="112" t="str">
        <f t="shared" ref="JF42:JF48" si="127">IF(DP44="","",CONCATENATE(DAY(DP44),"/",MONTH(DP44),"/",YEAR(DP44),"
"))</f>
        <v/>
      </c>
      <c r="JR42" s="269"/>
      <c r="KD42">
        <v>0</v>
      </c>
      <c r="KE42" s="260">
        <f t="shared" ca="1" si="92"/>
        <v>43831</v>
      </c>
      <c r="KF42" t="str">
        <f t="shared" si="93"/>
        <v>0-2 anni</v>
      </c>
      <c r="KG42">
        <f t="shared" si="22"/>
        <v>6</v>
      </c>
      <c r="KH42" s="238">
        <f t="shared" ca="1" si="23"/>
        <v>227</v>
      </c>
      <c r="KK42">
        <f t="shared" ca="1" si="94"/>
        <v>15764.09</v>
      </c>
      <c r="KL42" t="e">
        <f t="shared" ca="1" si="24"/>
        <v>#N/A</v>
      </c>
      <c r="KM42" t="e">
        <f t="shared" ca="1" si="24"/>
        <v>#N/A</v>
      </c>
      <c r="KN42" t="e">
        <f t="shared" ca="1" si="24"/>
        <v>#N/A</v>
      </c>
      <c r="KO42" t="e">
        <f t="shared" ca="1" si="24"/>
        <v>#N/A</v>
      </c>
      <c r="KV42" t="e">
        <f t="shared" ca="1" si="25"/>
        <v>#N/A</v>
      </c>
      <c r="KY42">
        <v>2</v>
      </c>
      <c r="KZ42" t="s">
        <v>172</v>
      </c>
      <c r="LA42" s="254" t="str">
        <f t="shared" si="95"/>
        <v>0-2 anni</v>
      </c>
      <c r="LB42" s="112">
        <f t="shared" si="26"/>
        <v>36325</v>
      </c>
      <c r="LC42" s="112">
        <f t="shared" si="26"/>
        <v>36325</v>
      </c>
      <c r="LD42" t="e">
        <f t="shared" ca="1" si="96"/>
        <v>#N/A</v>
      </c>
      <c r="LE42" s="262" t="e">
        <f t="shared" ca="1" si="97"/>
        <v>#N/A</v>
      </c>
      <c r="LF42">
        <f t="shared" si="98"/>
        <v>1</v>
      </c>
      <c r="LG42" t="e">
        <f t="shared" ca="1" si="99"/>
        <v>#N/A</v>
      </c>
      <c r="LK42" s="320"/>
      <c r="LL42" s="335">
        <f ca="1">Foglio7ti!GF43</f>
        <v>44197</v>
      </c>
      <c r="LM42" s="336">
        <f t="shared" ca="1" si="27"/>
        <v>44197</v>
      </c>
      <c r="LN42" s="335"/>
      <c r="LO42" s="320">
        <f t="shared" si="100"/>
        <v>4</v>
      </c>
      <c r="LP42" s="336">
        <f t="shared" ca="1" si="28"/>
        <v>43466</v>
      </c>
      <c r="LQ42" s="335"/>
      <c r="LR42" s="320"/>
      <c r="LS42" s="319">
        <f t="shared" si="29"/>
        <v>4</v>
      </c>
      <c r="LT42" s="336">
        <f t="shared" ca="1" si="30"/>
        <v>43466</v>
      </c>
      <c r="LU42" s="320"/>
      <c r="LV42" s="320"/>
      <c r="LW42" s="336">
        <f t="shared" ca="1" si="31"/>
        <v>44197</v>
      </c>
      <c r="LX42" s="320"/>
      <c r="LY42" s="320"/>
      <c r="LZ42" s="336">
        <f t="shared" ca="1" si="32"/>
        <v>44197</v>
      </c>
      <c r="MA42" s="320"/>
      <c r="MB42" s="320"/>
      <c r="MC42" s="308">
        <f t="shared" ca="1" si="4"/>
        <v>44197</v>
      </c>
      <c r="MD42">
        <f t="shared" ca="1" si="101"/>
        <v>44439</v>
      </c>
      <c r="ME42" s="338">
        <f t="shared" ca="1" si="33"/>
        <v>44197</v>
      </c>
      <c r="MF42" s="338">
        <f t="shared" ca="1" si="102"/>
        <v>44439</v>
      </c>
      <c r="MG42" s="337" t="e">
        <f t="shared" ca="1" si="5"/>
        <v>#N/A</v>
      </c>
      <c r="MH42" s="338" t="e">
        <f t="shared" ca="1" si="35"/>
        <v>#N/A</v>
      </c>
      <c r="MI42" s="337" t="e">
        <f t="shared" ca="1" si="36"/>
        <v>#N/A</v>
      </c>
      <c r="MJ42" s="337">
        <f t="shared" ca="1" si="6"/>
        <v>24772.52</v>
      </c>
      <c r="MK42" s="337">
        <f t="shared" ca="1" si="37"/>
        <v>0</v>
      </c>
      <c r="ML42" s="337" t="str">
        <f ca="1">IF(ME42&lt;&gt;"",VLOOKUP(ME42,Foglio7ti!$GF$40:$GG$92,2),"")</f>
        <v>0-2 anni</v>
      </c>
      <c r="MM42" s="282" t="e">
        <f t="shared" ca="1" si="38"/>
        <v>#N/A</v>
      </c>
      <c r="MN42" s="282"/>
      <c r="MO42" s="320">
        <f t="shared" ref="MO42:MO101" si="128">IF($MH$36=0,1,IF($MH$36&gt;ME42,0,1))</f>
        <v>1</v>
      </c>
      <c r="MP42" s="253" t="str">
        <f t="shared" ca="1" si="39"/>
        <v>0-2 anni</v>
      </c>
      <c r="MQ42" t="e">
        <f t="shared" ca="1" si="7"/>
        <v>#N/A</v>
      </c>
      <c r="MR42" s="238" t="e">
        <f ca="1">VLOOKUP(ME42,Foglio1ti!AB34:AZ334,13)-MQ42</f>
        <v>#N/A</v>
      </c>
      <c r="MS42" t="e">
        <f t="shared" ca="1" si="40"/>
        <v>#N/A</v>
      </c>
      <c r="MT42">
        <f t="shared" ca="1" si="41"/>
        <v>6</v>
      </c>
      <c r="MU42" s="238">
        <f ca="1">VLOOKUP(ME42,Foglio1ti!AB34:AZ334,13)-MT42</f>
        <v>234</v>
      </c>
      <c r="MV42">
        <f t="shared" ca="1" si="42"/>
        <v>24772.52</v>
      </c>
      <c r="MW42" t="e">
        <f ca="1">IF(AND($ME$39&lt;$MU$36,MH42="3-8 anni"),INDIRECT(CONCATENATE($MR$37,"BI",MR42)),0)</f>
        <v>#N/A</v>
      </c>
      <c r="MX42">
        <f ca="1">IF(AND(frontti!$H$25="SI",ML42="3-8 anni"),INDIRECT(CONCATENATE($MR$37,"BI",MU42)),0)</f>
        <v>0</v>
      </c>
      <c r="MY42" s="254" t="s">
        <v>171</v>
      </c>
      <c r="MZ42">
        <v>3</v>
      </c>
      <c r="NK42" s="310" t="str">
        <f>CONCATENATE(
,NE57,
,NI57)</f>
        <v/>
      </c>
    </row>
    <row r="43" spans="1:376" ht="207.6" customHeight="1" x14ac:dyDescent="0.25">
      <c r="A43" s="112">
        <f>VLOOKUP(B43-1,$DW$40:$DW$72,1)</f>
        <v>36100</v>
      </c>
      <c r="B43" s="112">
        <f t="shared" si="44"/>
        <v>36312</v>
      </c>
      <c r="C43" t="str">
        <f>IFERROR(VLOOKUP(COUNTBLANK($E$2:E43),A:B,2,FALSE),"")</f>
        <v/>
      </c>
      <c r="E43" s="240">
        <f>Foglio3!F23</f>
        <v>36432</v>
      </c>
      <c r="F43" s="240">
        <f>Foglio3!G23</f>
        <v>36433</v>
      </c>
      <c r="G43" s="244"/>
      <c r="H43" s="245">
        <f t="shared" si="45"/>
        <v>36432</v>
      </c>
      <c r="I43" s="245">
        <f t="shared" si="8"/>
        <v>36433</v>
      </c>
      <c r="J43" s="244"/>
      <c r="K43" s="244"/>
      <c r="Q43">
        <f t="shared" si="9"/>
        <v>2</v>
      </c>
      <c r="R43">
        <f>IF(Q43&lt;0,0,Q43-BV43*AG43)</f>
        <v>2</v>
      </c>
      <c r="S43">
        <f t="shared" si="46"/>
        <v>0</v>
      </c>
      <c r="T43">
        <f t="shared" ref="T43:T106" si="129">INT( (R43-(S43*365))/30)</f>
        <v>0</v>
      </c>
      <c r="U43">
        <f t="shared" ref="U43:U106" si="130">R43- ((S43*365)+T43*30)</f>
        <v>2</v>
      </c>
      <c r="W43">
        <f t="shared" ref="W43:Y58" si="131">S43+W42</f>
        <v>0</v>
      </c>
      <c r="X43">
        <f t="shared" si="131"/>
        <v>5</v>
      </c>
      <c r="Y43">
        <f t="shared" si="131"/>
        <v>37</v>
      </c>
      <c r="AA43" s="112">
        <f t="shared" si="103"/>
        <v>36432</v>
      </c>
      <c r="AB43" s="112">
        <f t="shared" si="104"/>
        <v>36433</v>
      </c>
      <c r="AG43">
        <f t="shared" si="47"/>
        <v>1</v>
      </c>
      <c r="AH43" s="112">
        <f t="shared" si="48"/>
        <v>36432</v>
      </c>
      <c r="AI43" s="112">
        <f t="shared" si="48"/>
        <v>36433</v>
      </c>
      <c r="AJ43">
        <f t="shared" si="49"/>
        <v>1</v>
      </c>
      <c r="AK43">
        <f t="shared" si="105"/>
        <v>0</v>
      </c>
      <c r="AL43">
        <f t="shared" ref="AL43:AL70" si="132">IF(AND(AH43&lt;=AI42,AI43&gt;AI42),1,0)*AJ43</f>
        <v>0</v>
      </c>
      <c r="AN43">
        <f t="shared" ref="AN43:AN70" si="133">(AI43-AH43+1)*AK43</f>
        <v>0</v>
      </c>
      <c r="AO43">
        <f t="shared" ref="AO43:AO70" si="134">(AI42-AH43+1)*AL43</f>
        <v>0</v>
      </c>
      <c r="AP43">
        <f t="shared" si="106"/>
        <v>0</v>
      </c>
      <c r="AS43">
        <f>IF(AND(AH43&lt;=AI41,AI43&lt;=AI41),1,0)*AJ43</f>
        <v>0</v>
      </c>
      <c r="AT43">
        <f>IF(AND(AH43&lt;=AI41,AI43&gt;AI41),1,0)*AJ43</f>
        <v>0</v>
      </c>
      <c r="AV43">
        <f>(AI43-AH43+1)*AS43</f>
        <v>0</v>
      </c>
      <c r="AW43">
        <f>(AI41-AH43+1)*AT43</f>
        <v>0</v>
      </c>
      <c r="AX43">
        <f t="shared" si="107"/>
        <v>0</v>
      </c>
      <c r="BA43">
        <f t="shared" ref="BA43:BA49" si="135">IF(AND(AH43&lt;=AI40,AI43&lt;=AI40),1,0)*AJ43</f>
        <v>0</v>
      </c>
      <c r="BB43">
        <f t="shared" ref="BB43:BB49" si="136">IF(AND(AH43&lt;=AI40,AI43&gt;AI40),1,0)*AJ43</f>
        <v>0</v>
      </c>
      <c r="BD43">
        <f>(AI43-AH43+1)*BA43</f>
        <v>0</v>
      </c>
      <c r="BE43">
        <f>(AI40-AH43+1)*BB43</f>
        <v>0</v>
      </c>
      <c r="BF43">
        <f t="shared" ref="BF43:BF71" si="137">BD43+BE43</f>
        <v>0</v>
      </c>
      <c r="BK43" t="s">
        <v>113</v>
      </c>
      <c r="BV43">
        <f t="shared" si="108"/>
        <v>0</v>
      </c>
      <c r="BX43">
        <f t="shared" si="109"/>
        <v>0</v>
      </c>
      <c r="BY43">
        <f t="shared" si="110"/>
        <v>0</v>
      </c>
      <c r="BZ43">
        <f t="shared" si="111"/>
        <v>0</v>
      </c>
      <c r="CA43">
        <f t="shared" si="112"/>
        <v>0</v>
      </c>
      <c r="CB43">
        <f t="shared" si="113"/>
        <v>0</v>
      </c>
      <c r="CG43">
        <f t="shared" si="50"/>
        <v>1999</v>
      </c>
      <c r="CH43">
        <f t="shared" si="50"/>
        <v>1999</v>
      </c>
      <c r="CJ43">
        <f t="shared" si="51"/>
        <v>0</v>
      </c>
      <c r="CK43">
        <f t="shared" si="10"/>
        <v>0</v>
      </c>
      <c r="CL43">
        <f t="shared" si="52"/>
        <v>0</v>
      </c>
      <c r="CN43">
        <f t="shared" si="53"/>
        <v>0</v>
      </c>
      <c r="CQ43">
        <f>365*28</f>
        <v>10220</v>
      </c>
      <c r="CS43">
        <f t="shared" si="54"/>
        <v>2</v>
      </c>
      <c r="CT43" s="246">
        <f t="shared" si="114"/>
        <v>187</v>
      </c>
      <c r="CV43" s="112">
        <f t="shared" si="55"/>
        <v>36433</v>
      </c>
      <c r="CX43" s="112">
        <f t="shared" si="56"/>
        <v>100000</v>
      </c>
      <c r="CY43" s="270">
        <f t="shared" si="115"/>
        <v>100000</v>
      </c>
      <c r="CZ43" s="112">
        <f t="shared" si="116"/>
        <v>100000</v>
      </c>
      <c r="DA43" s="112">
        <f t="shared" si="117"/>
        <v>100000</v>
      </c>
      <c r="DB43" s="112">
        <f t="shared" si="118"/>
        <v>100000</v>
      </c>
      <c r="DC43" s="112">
        <f t="shared" si="119"/>
        <v>100000</v>
      </c>
      <c r="DE43" s="247">
        <v>15</v>
      </c>
      <c r="DG43" s="249" t="e">
        <f ca="1">VLOOKUP(DE43,tiGiuEc1!$G$38:$H$44,2)</f>
        <v>#N/A</v>
      </c>
      <c r="DH43" s="270" t="e">
        <f t="shared" ca="1" si="57"/>
        <v>#N/A</v>
      </c>
      <c r="DJ43" s="238" t="e">
        <f ca="1">VLOOKUP(DG43,Foglio1!$AB$31:$AN$284,13)</f>
        <v>#N/A</v>
      </c>
      <c r="DL43" t="e">
        <f t="shared" ca="1" si="58"/>
        <v>#N/A</v>
      </c>
      <c r="DN43" s="253" t="str">
        <f t="shared" si="11"/>
        <v/>
      </c>
      <c r="DO43" s="238" t="str">
        <f>tiGiuEc1!G41</f>
        <v/>
      </c>
      <c r="DP43" s="305" t="str">
        <f>IF(TYPE(tiGiuEc1!H41)=16,"",tiGiuEc1!H41)</f>
        <v/>
      </c>
      <c r="DQ43" t="e">
        <f t="shared" ca="1" si="59"/>
        <v>#N/A</v>
      </c>
      <c r="DR43" t="str">
        <f t="shared" si="60"/>
        <v/>
      </c>
      <c r="DT43">
        <v>15</v>
      </c>
      <c r="DU43" s="112" t="s">
        <v>171</v>
      </c>
      <c r="DV43" s="112"/>
      <c r="DW43" s="277">
        <v>36100</v>
      </c>
      <c r="DX43" s="276"/>
      <c r="DY43" s="276" t="s">
        <v>217</v>
      </c>
      <c r="DZ43" s="277">
        <f t="shared" ca="1" si="120"/>
        <v>100000</v>
      </c>
      <c r="EB43" s="240" t="str">
        <f t="shared" ca="1" si="61"/>
        <v/>
      </c>
      <c r="EC43" s="239" t="str">
        <f t="shared" ca="1" si="62"/>
        <v/>
      </c>
      <c r="EF43" s="260">
        <f t="shared" ca="1" si="121"/>
        <v>100000</v>
      </c>
      <c r="EK43" s="254"/>
      <c r="EL43">
        <v>4</v>
      </c>
      <c r="EM43" s="260">
        <f t="shared" ca="1" si="122"/>
        <v>43831</v>
      </c>
      <c r="EN43" s="112">
        <f t="shared" ca="1" si="63"/>
        <v>43831</v>
      </c>
      <c r="EO43" s="112">
        <f t="shared" ca="1" si="64"/>
        <v>43831</v>
      </c>
      <c r="EP43" s="112">
        <f t="shared" ca="1" si="123"/>
        <v>43831</v>
      </c>
      <c r="EQ43" s="273">
        <f t="shared" ref="EQ43:EQ87" ca="1" si="138" xml:space="preserve">   IF(EP43=EP44,100000,        SMALL($EO$40:$EO$87,EL43))</f>
        <v>43831</v>
      </c>
      <c r="ER43" s="302">
        <f t="shared" ca="1" si="65"/>
        <v>44197</v>
      </c>
      <c r="ES43">
        <v>15</v>
      </c>
      <c r="ET43">
        <v>3</v>
      </c>
      <c r="EU43" t="e">
        <f t="shared" ca="1" si="66"/>
        <v>#N/A</v>
      </c>
      <c r="EV43" s="260">
        <f t="shared" ca="1" si="124"/>
        <v>44197</v>
      </c>
      <c r="EW43" t="e">
        <f t="shared" ca="1" si="67"/>
        <v>#N/A</v>
      </c>
      <c r="EX43" t="e">
        <f t="shared" ca="1" si="12"/>
        <v>#N/A</v>
      </c>
      <c r="EY43" s="238" t="e">
        <f t="shared" ca="1" si="13"/>
        <v>#N/A</v>
      </c>
      <c r="FB43" t="e">
        <f t="shared" ca="1" si="68"/>
        <v>#N/A</v>
      </c>
      <c r="FC43" t="e">
        <f t="shared" ca="1" si="14"/>
        <v>#N/A</v>
      </c>
      <c r="FD43" t="e">
        <f t="shared" ca="1" si="14"/>
        <v>#N/A</v>
      </c>
      <c r="FE43" t="e">
        <f t="shared" ca="1" si="14"/>
        <v>#N/A</v>
      </c>
      <c r="FF43" t="e">
        <f t="shared" ca="1" si="14"/>
        <v>#N/A</v>
      </c>
      <c r="FM43" t="e">
        <f t="shared" ca="1" si="15"/>
        <v>#N/A</v>
      </c>
      <c r="FP43">
        <v>3</v>
      </c>
      <c r="FQ43" t="s">
        <v>171</v>
      </c>
      <c r="FR43" s="254" t="e">
        <f t="shared" ca="1" si="69"/>
        <v>#N/A</v>
      </c>
      <c r="FS43">
        <f t="shared" si="125"/>
        <v>43</v>
      </c>
      <c r="FT43" t="e">
        <f t="shared" ca="1" si="16"/>
        <v>#N/A</v>
      </c>
      <c r="FU43" t="str">
        <f t="shared" ca="1" si="16"/>
        <v>EV43</v>
      </c>
      <c r="FV43" t="e">
        <f t="shared" ca="1" si="16"/>
        <v>#N/A</v>
      </c>
      <c r="FW43" t="e">
        <f t="shared" ca="1" si="16"/>
        <v>#N/A</v>
      </c>
      <c r="FX43" t="e">
        <f t="shared" ca="1" si="16"/>
        <v>#N/A</v>
      </c>
      <c r="FY43" t="e">
        <f t="shared" ca="1" si="16"/>
        <v>#N/A</v>
      </c>
      <c r="FZ43" t="e">
        <f t="shared" ca="1" si="16"/>
        <v>#N/A</v>
      </c>
      <c r="GA43" t="str">
        <f t="shared" ca="1" si="16"/>
        <v/>
      </c>
      <c r="GB43" t="e">
        <f t="shared" ca="1" si="16"/>
        <v>#N/A</v>
      </c>
      <c r="GC43" t="str">
        <f t="shared" ca="1" si="16"/>
        <v/>
      </c>
      <c r="GD43" t="str">
        <f t="shared" ca="1" si="16"/>
        <v/>
      </c>
      <c r="GE43">
        <f t="shared" ca="1" si="126"/>
        <v>4</v>
      </c>
      <c r="GF43" s="112">
        <f t="shared" ca="1" si="70"/>
        <v>44197</v>
      </c>
      <c r="GG43" s="112" t="e">
        <f t="shared" ca="1" si="71"/>
        <v>#N/A</v>
      </c>
      <c r="GH43" s="262" t="e">
        <f t="shared" ca="1" si="17"/>
        <v>#N/A</v>
      </c>
      <c r="GI43" s="262" t="e">
        <f t="shared" ca="1" si="17"/>
        <v>#N/A</v>
      </c>
      <c r="GJ43" s="262" t="e">
        <f t="shared" ca="1" si="17"/>
        <v>#N/A</v>
      </c>
      <c r="GK43" s="262" t="e">
        <f t="shared" ca="1" si="17"/>
        <v>#N/A</v>
      </c>
      <c r="GL43" s="262" t="e">
        <f t="shared" ca="1" si="17"/>
        <v>#N/A</v>
      </c>
      <c r="GM43" s="262">
        <f t="shared" ca="1" si="17"/>
        <v>0</v>
      </c>
      <c r="GN43" s="262" t="e">
        <f t="shared" ca="1" si="17"/>
        <v>#N/A</v>
      </c>
      <c r="GO43" s="262">
        <f t="shared" ca="1" si="72"/>
        <v>0</v>
      </c>
      <c r="GP43" s="262">
        <f t="shared" ca="1" si="73"/>
        <v>0</v>
      </c>
      <c r="GQ43" s="262" t="e">
        <f t="shared" ca="1" si="74"/>
        <v>#N/A</v>
      </c>
      <c r="GR43" s="262" t="e">
        <f t="shared" ca="1" si="75"/>
        <v>#N/A</v>
      </c>
      <c r="GS43" s="262" t="e">
        <f t="shared" ca="1" si="18"/>
        <v>#N/A</v>
      </c>
      <c r="GT43" s="253" t="str">
        <f t="shared" ca="1" si="76"/>
        <v xml:space="preserve">articolo 4
</v>
      </c>
      <c r="GU43" t="str">
        <f t="shared" ca="1" si="77"/>
        <v xml:space="preserve">con decorrenza dalla data: 1/1/2021  </v>
      </c>
      <c r="GV43" t="e">
        <f t="shared" ca="1" si="78"/>
        <v>#N/A</v>
      </c>
      <c r="GW43" t="e">
        <f t="shared" ref="GW43:GW84" ca="1" si="139">IF(AND($GE43&gt;0,GR43=""),CONCATENATE(GH$37," ",GH43,"
"),IF(AND($GE43&gt;0,GR43&lt;&gt;""),CONCATENATE(GH$37," ",GR43,"
"),"
"))</f>
        <v>#N/A</v>
      </c>
      <c r="GX43" t="e">
        <f t="shared" ca="1" si="19"/>
        <v>#N/A</v>
      </c>
      <c r="GY43" t="e">
        <f t="shared" ca="1" si="19"/>
        <v>#N/A</v>
      </c>
      <c r="GZ43" t="e">
        <f t="shared" ca="1" si="20"/>
        <v>#N/A</v>
      </c>
      <c r="HA43" t="e">
        <f t="shared" ca="1" si="19"/>
        <v>#N/A</v>
      </c>
      <c r="HB43" t="str">
        <f t="shared" ca="1" si="19"/>
        <v/>
      </c>
      <c r="HC43" t="e">
        <f t="shared" ca="1" si="19"/>
        <v>#N/A</v>
      </c>
      <c r="HD43" t="str">
        <f t="shared" ca="1" si="79"/>
        <v/>
      </c>
      <c r="HE43" s="254" t="str">
        <f t="shared" ca="1" si="19"/>
        <v/>
      </c>
      <c r="HF43" s="254" t="e">
        <f t="shared" ca="1" si="80"/>
        <v>#N/A</v>
      </c>
      <c r="HM43" s="263" t="e">
        <f t="shared" ca="1" si="81"/>
        <v>#N/A</v>
      </c>
      <c r="HN43" s="263"/>
      <c r="HO43" s="272" t="e">
        <f t="shared" ca="1" si="21"/>
        <v>#N/A</v>
      </c>
      <c r="HP43">
        <f t="shared" ca="1" si="82"/>
        <v>4</v>
      </c>
      <c r="HQ43" t="str">
        <f t="shared" ca="1" si="83"/>
        <v/>
      </c>
      <c r="HR43" t="str">
        <f t="shared" ca="1" si="84"/>
        <v/>
      </c>
      <c r="HS43" t="str">
        <f t="shared" ca="1" si="85"/>
        <v/>
      </c>
      <c r="HX43" s="253" t="s">
        <v>187</v>
      </c>
      <c r="HY43" s="112" t="str">
        <f t="shared" si="86"/>
        <v>29/9/1999</v>
      </c>
      <c r="HZ43" t="s">
        <v>188</v>
      </c>
      <c r="IA43" s="112" t="str">
        <f t="shared" si="87"/>
        <v>30/9/1999</v>
      </c>
      <c r="IB43" t="s">
        <v>189</v>
      </c>
      <c r="IC43">
        <f t="shared" si="88"/>
        <v>0</v>
      </c>
      <c r="ID43" t="s">
        <v>192</v>
      </c>
      <c r="IE43">
        <f t="shared" si="89"/>
        <v>0</v>
      </c>
      <c r="IF43" t="s">
        <v>191</v>
      </c>
      <c r="IG43" s="254">
        <f t="shared" si="90"/>
        <v>2</v>
      </c>
      <c r="IL43" t="str">
        <f t="shared" si="91"/>
        <v xml:space="preserve">DAL: 29/9/1999 - AL:30/9/1999 - ANNI:0 - MESI:0 -GIORNI:2
</v>
      </c>
      <c r="JE43" t="str">
        <f>IF(JF43&lt;&gt;"","fascia 28/34 anni in data:","")</f>
        <v/>
      </c>
      <c r="JF43" s="112" t="str">
        <f t="shared" si="127"/>
        <v/>
      </c>
      <c r="KD43">
        <v>0</v>
      </c>
      <c r="KE43" s="260">
        <f t="shared" ca="1" si="92"/>
        <v>44197</v>
      </c>
      <c r="KF43" t="str">
        <f t="shared" si="93"/>
        <v>0-2 anni</v>
      </c>
      <c r="KG43">
        <f t="shared" si="22"/>
        <v>6</v>
      </c>
      <c r="KH43" s="238">
        <f t="shared" ca="1" si="23"/>
        <v>234</v>
      </c>
      <c r="KK43">
        <f t="shared" ca="1" si="94"/>
        <v>16218.89</v>
      </c>
      <c r="KL43" t="e">
        <f t="shared" ca="1" si="24"/>
        <v>#N/A</v>
      </c>
      <c r="KM43" t="e">
        <f t="shared" ca="1" si="24"/>
        <v>#N/A</v>
      </c>
      <c r="KN43" t="e">
        <f t="shared" ca="1" si="24"/>
        <v>#N/A</v>
      </c>
      <c r="KO43" t="e">
        <f t="shared" ca="1" si="24"/>
        <v>#N/A</v>
      </c>
      <c r="KV43" t="e">
        <f t="shared" ca="1" si="25"/>
        <v>#N/A</v>
      </c>
      <c r="KY43">
        <v>3</v>
      </c>
      <c r="KZ43" t="s">
        <v>171</v>
      </c>
      <c r="LA43" s="254" t="str">
        <f t="shared" si="95"/>
        <v>0-2 anni</v>
      </c>
      <c r="LB43" s="112">
        <f t="shared" si="26"/>
        <v>36432</v>
      </c>
      <c r="LC43" s="112">
        <f t="shared" si="26"/>
        <v>36433</v>
      </c>
      <c r="LD43" t="e">
        <f t="shared" ca="1" si="96"/>
        <v>#N/A</v>
      </c>
      <c r="LE43" s="262" t="e">
        <f t="shared" ca="1" si="97"/>
        <v>#N/A</v>
      </c>
      <c r="LF43">
        <f t="shared" si="98"/>
        <v>2</v>
      </c>
      <c r="LG43" t="e">
        <f t="shared" ca="1" si="99"/>
        <v>#N/A</v>
      </c>
      <c r="LK43" s="320"/>
      <c r="LL43" s="335">
        <f ca="1">Foglio7ti!GF44</f>
        <v>44440</v>
      </c>
      <c r="LM43" s="336">
        <f t="shared" ca="1" si="27"/>
        <v>44440</v>
      </c>
      <c r="LN43" s="335"/>
      <c r="LO43" s="320">
        <f t="shared" si="100"/>
        <v>5</v>
      </c>
      <c r="LP43" s="336">
        <f t="shared" ca="1" si="28"/>
        <v>43831</v>
      </c>
      <c r="LQ43" s="335"/>
      <c r="LR43" s="320"/>
      <c r="LS43" s="319">
        <f t="shared" si="29"/>
        <v>5</v>
      </c>
      <c r="LT43" s="336">
        <f t="shared" ca="1" si="30"/>
        <v>100000</v>
      </c>
      <c r="LU43" s="320"/>
      <c r="LV43" s="320"/>
      <c r="LW43" s="336">
        <f t="shared" ca="1" si="31"/>
        <v>44440</v>
      </c>
      <c r="LX43" s="320"/>
      <c r="LY43" s="320"/>
      <c r="LZ43" s="336">
        <f t="shared" ca="1" si="32"/>
        <v>44440</v>
      </c>
      <c r="MA43" s="320"/>
      <c r="MB43" s="320"/>
      <c r="MC43" s="308">
        <f t="shared" ca="1" si="4"/>
        <v>44440</v>
      </c>
      <c r="MD43">
        <f t="shared" ca="1" si="101"/>
        <v>44561</v>
      </c>
      <c r="ME43" s="338">
        <f t="shared" ca="1" si="33"/>
        <v>44440</v>
      </c>
      <c r="MF43" s="338">
        <f t="shared" ca="1" si="102"/>
        <v>44561</v>
      </c>
      <c r="MG43" s="337" t="e">
        <f t="shared" ca="1" si="5"/>
        <v>#N/A</v>
      </c>
      <c r="MH43" s="338" t="e">
        <f t="shared" ca="1" si="35"/>
        <v>#N/A</v>
      </c>
      <c r="MI43" s="337" t="e">
        <f t="shared" ca="1" si="36"/>
        <v>#N/A</v>
      </c>
      <c r="MJ43" s="337">
        <f t="shared" ca="1" si="6"/>
        <v>25960.62</v>
      </c>
      <c r="MK43" s="337">
        <f t="shared" ca="1" si="37"/>
        <v>3</v>
      </c>
      <c r="ML43" s="337" t="str">
        <f ca="1">IF(ME43&lt;&gt;"",VLOOKUP(ME43,Foglio7ti!$GF$40:$GG$92,2),"")</f>
        <v>3-8 anni</v>
      </c>
      <c r="MM43" s="282" t="e">
        <f t="shared" ca="1" si="38"/>
        <v>#N/A</v>
      </c>
      <c r="MN43" s="282"/>
      <c r="MO43" s="320">
        <f t="shared" si="128"/>
        <v>1</v>
      </c>
      <c r="MP43" s="253" t="str">
        <f t="shared" ca="1" si="39"/>
        <v>3-8 anni</v>
      </c>
      <c r="MQ43" t="e">
        <f t="shared" ca="1" si="7"/>
        <v>#N/A</v>
      </c>
      <c r="MR43" s="238" t="e">
        <f ca="1">VLOOKUP(ME43,Foglio1ti!AB35:AZ335,13)-MQ43</f>
        <v>#N/A</v>
      </c>
      <c r="MS43" t="e">
        <f t="shared" ca="1" si="40"/>
        <v>#N/A</v>
      </c>
      <c r="MT43">
        <f t="shared" ca="1" si="41"/>
        <v>5</v>
      </c>
      <c r="MU43" s="238">
        <f ca="1">VLOOKUP(ME43,Foglio1ti!AB35:AZ335,13)-MT43</f>
        <v>235</v>
      </c>
      <c r="MV43">
        <f t="shared" ca="1" si="42"/>
        <v>25960.62</v>
      </c>
      <c r="MW43" t="e">
        <f t="shared" ref="MW43:MW101" ca="1" si="140">IF(AND($ME$39&lt;$MU$36,MH43="3-8 anni"),INDIRECT(CONCATENATE($MR$37,"BI",MR43)),0)</f>
        <v>#N/A</v>
      </c>
      <c r="MX43">
        <f ca="1">IF(AND(frontti!$H$25="SI",ML43="3-8 anni"),INDIRECT(CONCATENATE($MR$37,"BI",MU43)),0)</f>
        <v>1188.0999999999999</v>
      </c>
      <c r="MY43" s="254" t="s">
        <v>172</v>
      </c>
      <c r="MZ43">
        <v>2</v>
      </c>
    </row>
    <row r="44" spans="1:376" ht="130.15" customHeight="1" x14ac:dyDescent="0.25">
      <c r="A44" s="112">
        <f t="shared" ref="A44:A87" si="141">VLOOKUP(B44-1,$DW$40:$DW$72,1)</f>
        <v>36100</v>
      </c>
      <c r="B44" s="112">
        <f t="shared" si="44"/>
        <v>36312</v>
      </c>
      <c r="C44" t="str">
        <f>IFERROR(VLOOKUP(COUNTBLANK($E$2:E44),A:B,2,FALSE),"")</f>
        <v/>
      </c>
      <c r="E44" s="240">
        <f>Foglio3!F24</f>
        <v>36434</v>
      </c>
      <c r="F44" s="240">
        <f>Foglio3!G24</f>
        <v>36454</v>
      </c>
      <c r="G44" s="244"/>
      <c r="H44" s="245">
        <f t="shared" si="45"/>
        <v>36434</v>
      </c>
      <c r="I44" s="245">
        <f t="shared" si="8"/>
        <v>36454</v>
      </c>
      <c r="J44" s="244"/>
      <c r="K44" s="244"/>
      <c r="Q44">
        <f t="shared" si="9"/>
        <v>21</v>
      </c>
      <c r="R44">
        <f t="shared" ref="R44:R107" si="142">IF(Q44&lt;0,0,Q44-BV44*AG44)</f>
        <v>21</v>
      </c>
      <c r="S44">
        <f t="shared" si="46"/>
        <v>0</v>
      </c>
      <c r="T44">
        <f t="shared" si="129"/>
        <v>0</v>
      </c>
      <c r="U44">
        <f t="shared" si="130"/>
        <v>21</v>
      </c>
      <c r="W44">
        <f t="shared" si="131"/>
        <v>0</v>
      </c>
      <c r="X44">
        <f t="shared" si="131"/>
        <v>5</v>
      </c>
      <c r="Y44">
        <f t="shared" si="131"/>
        <v>58</v>
      </c>
      <c r="AA44" s="112">
        <f t="shared" si="103"/>
        <v>36434</v>
      </c>
      <c r="AB44" s="112">
        <f t="shared" si="104"/>
        <v>36454</v>
      </c>
      <c r="AG44">
        <f t="shared" si="47"/>
        <v>1</v>
      </c>
      <c r="AH44" s="112">
        <f t="shared" si="48"/>
        <v>36434</v>
      </c>
      <c r="AI44" s="112">
        <f t="shared" si="48"/>
        <v>36454</v>
      </c>
      <c r="AJ44">
        <f t="shared" si="49"/>
        <v>1</v>
      </c>
      <c r="AK44">
        <f t="shared" si="105"/>
        <v>0</v>
      </c>
      <c r="AL44">
        <f t="shared" si="132"/>
        <v>0</v>
      </c>
      <c r="AN44">
        <f t="shared" si="133"/>
        <v>0</v>
      </c>
      <c r="AO44">
        <f t="shared" si="134"/>
        <v>0</v>
      </c>
      <c r="AP44">
        <f t="shared" si="106"/>
        <v>0</v>
      </c>
      <c r="AS44">
        <f t="shared" ref="AS44:AS71" si="143">IF(AND(AH44&lt;=AI42,AI44&lt;=AI42),1,0)*AJ44</f>
        <v>0</v>
      </c>
      <c r="AT44">
        <f t="shared" ref="AT44:AT71" si="144">IF(AND(AH44&lt;=AI42,AI44&gt;AI42),1,0)*AJ44</f>
        <v>0</v>
      </c>
      <c r="AV44">
        <f t="shared" ref="AV44:AV71" si="145">(AI44-AH44+1)*AS44</f>
        <v>0</v>
      </c>
      <c r="AW44">
        <f t="shared" ref="AW44:AW71" si="146">(AI42-AH44+1)*AT44</f>
        <v>0</v>
      </c>
      <c r="AX44">
        <f t="shared" si="107"/>
        <v>0</v>
      </c>
      <c r="BA44">
        <f t="shared" si="135"/>
        <v>0</v>
      </c>
      <c r="BB44">
        <f t="shared" si="136"/>
        <v>0</v>
      </c>
      <c r="BD44">
        <f>(AI44-AH44+1)*BA44</f>
        <v>0</v>
      </c>
      <c r="BE44">
        <f>(AI41-AH44+1)*BB44</f>
        <v>0</v>
      </c>
      <c r="BF44">
        <f t="shared" si="137"/>
        <v>0</v>
      </c>
      <c r="BI44">
        <f>IF(AND(AH44&lt;=AI40,AI44&lt;=AI40),1,0)*AJ44</f>
        <v>0</v>
      </c>
      <c r="BJ44">
        <f>IF(AND(AH44&lt;=AI40,AI44&gt;AI40),1,0)*AJ44</f>
        <v>0</v>
      </c>
      <c r="BK44">
        <f>(AI44-AH44+1)*BI44</f>
        <v>0</v>
      </c>
      <c r="BL44">
        <f>(AI40-AH44+1)*BJ44</f>
        <v>0</v>
      </c>
      <c r="BM44">
        <f t="shared" ref="BM44:BM71" si="147">BK44+BL44</f>
        <v>0</v>
      </c>
      <c r="BR44" t="s">
        <v>113</v>
      </c>
      <c r="BV44">
        <f t="shared" si="108"/>
        <v>0</v>
      </c>
      <c r="BX44">
        <f t="shared" si="109"/>
        <v>0</v>
      </c>
      <c r="BY44">
        <f t="shared" si="110"/>
        <v>0</v>
      </c>
      <c r="BZ44">
        <f t="shared" si="111"/>
        <v>0</v>
      </c>
      <c r="CA44">
        <f t="shared" si="112"/>
        <v>0</v>
      </c>
      <c r="CB44">
        <f t="shared" si="113"/>
        <v>0</v>
      </c>
      <c r="CG44">
        <f t="shared" si="50"/>
        <v>1999</v>
      </c>
      <c r="CH44">
        <f t="shared" si="50"/>
        <v>1999</v>
      </c>
      <c r="CJ44">
        <f t="shared" si="51"/>
        <v>0</v>
      </c>
      <c r="CK44">
        <f t="shared" si="10"/>
        <v>0</v>
      </c>
      <c r="CL44">
        <f t="shared" si="52"/>
        <v>0</v>
      </c>
      <c r="CN44">
        <f t="shared" si="53"/>
        <v>0</v>
      </c>
      <c r="CQ44">
        <f>365*35</f>
        <v>12775</v>
      </c>
      <c r="CS44">
        <f t="shared" si="54"/>
        <v>21</v>
      </c>
      <c r="CT44" s="246">
        <f t="shared" si="114"/>
        <v>208</v>
      </c>
      <c r="CV44" s="112">
        <f t="shared" si="55"/>
        <v>36454</v>
      </c>
      <c r="CX44" s="112">
        <f t="shared" si="56"/>
        <v>100000</v>
      </c>
      <c r="CY44" s="270">
        <f t="shared" si="115"/>
        <v>100000</v>
      </c>
      <c r="CZ44" s="112">
        <f t="shared" si="116"/>
        <v>100000</v>
      </c>
      <c r="DA44" s="112">
        <f t="shared" si="117"/>
        <v>100000</v>
      </c>
      <c r="DB44" s="112">
        <f t="shared" si="118"/>
        <v>100000</v>
      </c>
      <c r="DC44" s="112">
        <f t="shared" si="119"/>
        <v>100000</v>
      </c>
      <c r="DE44" s="247">
        <v>21</v>
      </c>
      <c r="DG44" s="249" t="e">
        <f ca="1">VLOOKUP(DE44,tiGiuEc1!$G$38:$H$44,2)</f>
        <v>#N/A</v>
      </c>
      <c r="DH44" s="270" t="e">
        <f t="shared" ca="1" si="57"/>
        <v>#N/A</v>
      </c>
      <c r="DJ44" s="238" t="e">
        <f ca="1">VLOOKUP(DG44,Foglio1!$AB$31:$AN$284,13)</f>
        <v>#N/A</v>
      </c>
      <c r="DL44" t="e">
        <f t="shared" ca="1" si="58"/>
        <v>#N/A</v>
      </c>
      <c r="DN44" s="253" t="str">
        <f t="shared" si="11"/>
        <v/>
      </c>
      <c r="DO44" s="238" t="str">
        <f>tiGiuEc1!G42</f>
        <v/>
      </c>
      <c r="DP44" s="305" t="str">
        <f>IF(TYPE(tiGiuEc1!H42)=16,"",tiGiuEc1!H42)</f>
        <v/>
      </c>
      <c r="DQ44" t="e">
        <f t="shared" ca="1" si="59"/>
        <v>#N/A</v>
      </c>
      <c r="DR44" t="str">
        <f t="shared" si="60"/>
        <v/>
      </c>
      <c r="DT44">
        <v>21</v>
      </c>
      <c r="DU44" s="112" t="s">
        <v>172</v>
      </c>
      <c r="DV44" s="112"/>
      <c r="DW44" s="277">
        <v>36312</v>
      </c>
      <c r="DX44" s="276"/>
      <c r="DY44" s="276" t="s">
        <v>218</v>
      </c>
      <c r="DZ44" s="277">
        <f t="shared" ca="1" si="120"/>
        <v>100000</v>
      </c>
      <c r="EB44" s="240" t="str">
        <f t="shared" ca="1" si="61"/>
        <v/>
      </c>
      <c r="EC44" s="239" t="str">
        <f t="shared" ca="1" si="62"/>
        <v/>
      </c>
      <c r="EF44" s="260">
        <f ca="1">IF(OR(DP44="", DP44=EF43  ),100000,DP44)</f>
        <v>100000</v>
      </c>
      <c r="EK44" s="254"/>
      <c r="EL44">
        <v>5</v>
      </c>
      <c r="EM44" s="260">
        <f t="shared" ca="1" si="122"/>
        <v>44197</v>
      </c>
      <c r="EN44" s="112">
        <f t="shared" ca="1" si="63"/>
        <v>44197</v>
      </c>
      <c r="EO44" s="112">
        <f t="shared" ca="1" si="64"/>
        <v>44197</v>
      </c>
      <c r="EP44" s="112">
        <f t="shared" ca="1" si="123"/>
        <v>44197</v>
      </c>
      <c r="EQ44" s="273">
        <f t="shared" ca="1" si="138"/>
        <v>44197</v>
      </c>
      <c r="ER44" s="302">
        <f t="shared" ca="1" si="65"/>
        <v>44562</v>
      </c>
      <c r="ES44">
        <v>21</v>
      </c>
      <c r="ET44">
        <v>2</v>
      </c>
      <c r="EU44" t="e">
        <f ca="1">VLOOKUP(ER44,$DP$40:$DR$46,3)</f>
        <v>#N/A</v>
      </c>
      <c r="EV44" s="260">
        <f t="shared" ca="1" si="124"/>
        <v>44562</v>
      </c>
      <c r="EW44" t="e">
        <f t="shared" ca="1" si="67"/>
        <v>#N/A</v>
      </c>
      <c r="EX44" t="e">
        <f t="shared" ca="1" si="12"/>
        <v>#N/A</v>
      </c>
      <c r="EY44" s="238" t="e">
        <f t="shared" ca="1" si="13"/>
        <v>#N/A</v>
      </c>
      <c r="FB44" t="e">
        <f t="shared" ca="1" si="68"/>
        <v>#N/A</v>
      </c>
      <c r="FC44" t="e">
        <f t="shared" ca="1" si="14"/>
        <v>#N/A</v>
      </c>
      <c r="FD44" t="e">
        <f t="shared" ca="1" si="14"/>
        <v>#N/A</v>
      </c>
      <c r="FE44" t="e">
        <f t="shared" ca="1" si="14"/>
        <v>#N/A</v>
      </c>
      <c r="FF44" t="e">
        <f t="shared" ca="1" si="14"/>
        <v>#N/A</v>
      </c>
      <c r="FM44" t="e">
        <f t="shared" ca="1" si="15"/>
        <v>#N/A</v>
      </c>
      <c r="FP44">
        <v>4</v>
      </c>
      <c r="FQ44" t="s">
        <v>170</v>
      </c>
      <c r="FR44" s="254" t="e">
        <f t="shared" ca="1" si="69"/>
        <v>#N/A</v>
      </c>
      <c r="FS44">
        <f t="shared" si="125"/>
        <v>44</v>
      </c>
      <c r="FT44" t="e">
        <f t="shared" ca="1" si="16"/>
        <v>#N/A</v>
      </c>
      <c r="FU44" t="str">
        <f t="shared" ca="1" si="16"/>
        <v>EV44</v>
      </c>
      <c r="FV44" t="e">
        <f t="shared" ca="1" si="16"/>
        <v>#N/A</v>
      </c>
      <c r="FW44" t="e">
        <f t="shared" ca="1" si="16"/>
        <v>#N/A</v>
      </c>
      <c r="FX44" t="e">
        <f t="shared" ca="1" si="16"/>
        <v>#N/A</v>
      </c>
      <c r="FY44" t="e">
        <f t="shared" ca="1" si="16"/>
        <v>#N/A</v>
      </c>
      <c r="FZ44" t="e">
        <f t="shared" ca="1" si="16"/>
        <v>#N/A</v>
      </c>
      <c r="GA44" t="str">
        <f t="shared" ca="1" si="16"/>
        <v/>
      </c>
      <c r="GB44" t="e">
        <f t="shared" ca="1" si="16"/>
        <v>#N/A</v>
      </c>
      <c r="GC44" t="str">
        <f t="shared" ca="1" si="16"/>
        <v/>
      </c>
      <c r="GD44" t="str">
        <f t="shared" ca="1" si="16"/>
        <v/>
      </c>
      <c r="GE44">
        <f t="shared" ca="1" si="126"/>
        <v>5</v>
      </c>
      <c r="GF44" s="112">
        <f t="shared" ca="1" si="70"/>
        <v>44562</v>
      </c>
      <c r="GG44" s="112" t="e">
        <f t="shared" ca="1" si="71"/>
        <v>#N/A</v>
      </c>
      <c r="GH44" s="262" t="e">
        <f t="shared" ca="1" si="17"/>
        <v>#N/A</v>
      </c>
      <c r="GI44" s="262" t="e">
        <f t="shared" ca="1" si="17"/>
        <v>#N/A</v>
      </c>
      <c r="GJ44" s="262" t="e">
        <f t="shared" ca="1" si="17"/>
        <v>#N/A</v>
      </c>
      <c r="GK44" s="262" t="e">
        <f t="shared" ca="1" si="17"/>
        <v>#N/A</v>
      </c>
      <c r="GL44" s="262" t="e">
        <f t="shared" ca="1" si="17"/>
        <v>#N/A</v>
      </c>
      <c r="GM44" s="262">
        <f t="shared" ca="1" si="17"/>
        <v>0</v>
      </c>
      <c r="GN44" s="262" t="e">
        <f t="shared" ca="1" si="17"/>
        <v>#N/A</v>
      </c>
      <c r="GO44" s="262">
        <f t="shared" ca="1" si="72"/>
        <v>0</v>
      </c>
      <c r="GP44" s="262">
        <f t="shared" ca="1" si="73"/>
        <v>0</v>
      </c>
      <c r="GQ44" s="262" t="e">
        <f t="shared" ca="1" si="74"/>
        <v>#N/A</v>
      </c>
      <c r="GR44" s="262" t="e">
        <f t="shared" ca="1" si="75"/>
        <v>#N/A</v>
      </c>
      <c r="GS44" s="262" t="e">
        <f t="shared" ca="1" si="18"/>
        <v>#N/A</v>
      </c>
      <c r="GT44" s="253" t="str">
        <f t="shared" ca="1" si="76"/>
        <v xml:space="preserve">articolo 5
</v>
      </c>
      <c r="GU44" t="str">
        <f t="shared" ca="1" si="77"/>
        <v xml:space="preserve">con decorrenza dalla data: 1/1/2022  </v>
      </c>
      <c r="GV44" t="e">
        <f t="shared" ca="1" si="78"/>
        <v>#N/A</v>
      </c>
      <c r="GW44" t="e">
        <f t="shared" ca="1" si="139"/>
        <v>#N/A</v>
      </c>
      <c r="GX44" t="e">
        <f t="shared" ca="1" si="19"/>
        <v>#N/A</v>
      </c>
      <c r="GY44" t="e">
        <f t="shared" ca="1" si="19"/>
        <v>#N/A</v>
      </c>
      <c r="GZ44" t="e">
        <f t="shared" ca="1" si="20"/>
        <v>#N/A</v>
      </c>
      <c r="HA44" t="e">
        <f t="shared" ca="1" si="19"/>
        <v>#N/A</v>
      </c>
      <c r="HB44" t="str">
        <f t="shared" ca="1" si="19"/>
        <v/>
      </c>
      <c r="HC44" t="e">
        <f t="shared" ca="1" si="19"/>
        <v>#N/A</v>
      </c>
      <c r="HD44" t="str">
        <f t="shared" ca="1" si="79"/>
        <v/>
      </c>
      <c r="HE44" s="254" t="str">
        <f t="shared" ca="1" si="19"/>
        <v/>
      </c>
      <c r="HF44" s="254" t="e">
        <f t="shared" ca="1" si="80"/>
        <v>#N/A</v>
      </c>
      <c r="HM44" s="263" t="e">
        <f t="shared" ca="1" si="81"/>
        <v>#N/A</v>
      </c>
      <c r="HN44" s="263"/>
      <c r="HO44" s="272" t="e">
        <f t="shared" ca="1" si="21"/>
        <v>#N/A</v>
      </c>
      <c r="HP44">
        <f t="shared" ca="1" si="82"/>
        <v>5</v>
      </c>
      <c r="HQ44" t="str">
        <f t="shared" ca="1" si="83"/>
        <v/>
      </c>
      <c r="HR44" t="str">
        <f t="shared" ca="1" si="84"/>
        <v/>
      </c>
      <c r="HS44" t="str">
        <f t="shared" ca="1" si="85"/>
        <v/>
      </c>
      <c r="HX44" s="253" t="s">
        <v>187</v>
      </c>
      <c r="HY44" s="112" t="str">
        <f t="shared" si="86"/>
        <v>1/10/1999</v>
      </c>
      <c r="HZ44" t="s">
        <v>188</v>
      </c>
      <c r="IA44" s="112" t="str">
        <f t="shared" si="87"/>
        <v>21/10/1999</v>
      </c>
      <c r="IB44" t="s">
        <v>189</v>
      </c>
      <c r="IC44">
        <f t="shared" si="88"/>
        <v>0</v>
      </c>
      <c r="ID44" t="s">
        <v>192</v>
      </c>
      <c r="IE44">
        <f t="shared" si="89"/>
        <v>0</v>
      </c>
      <c r="IF44" t="s">
        <v>191</v>
      </c>
      <c r="IG44" s="254">
        <f t="shared" si="90"/>
        <v>21</v>
      </c>
      <c r="IL44" t="str">
        <f t="shared" si="91"/>
        <v xml:space="preserve">DAL: 1/10/1999 - AL:21/10/1999 - ANNI:0 - MESI:0 -GIORNI:21
</v>
      </c>
      <c r="JE44" t="str">
        <f>IF(JF44&lt;&gt;"","fascia 35 anni in data:","")</f>
        <v/>
      </c>
      <c r="JF44" s="112" t="str">
        <f t="shared" si="127"/>
        <v/>
      </c>
      <c r="KD44">
        <v>0</v>
      </c>
      <c r="KE44" s="260">
        <f t="shared" ca="1" si="92"/>
        <v>44562</v>
      </c>
      <c r="KF44" t="str">
        <f t="shared" si="93"/>
        <v>0-2 anni</v>
      </c>
      <c r="KG44">
        <f t="shared" si="22"/>
        <v>6</v>
      </c>
      <c r="KH44" s="238">
        <f t="shared" ca="1" si="23"/>
        <v>241</v>
      </c>
      <c r="KK44">
        <f t="shared" ca="1" si="94"/>
        <v>16218.89</v>
      </c>
      <c r="KL44" t="e">
        <f t="shared" ca="1" si="24"/>
        <v>#N/A</v>
      </c>
      <c r="KM44" t="e">
        <f t="shared" ca="1" si="24"/>
        <v>#N/A</v>
      </c>
      <c r="KN44" t="e">
        <f t="shared" ca="1" si="24"/>
        <v>#N/A</v>
      </c>
      <c r="KO44" t="e">
        <f t="shared" ca="1" si="24"/>
        <v>#N/A</v>
      </c>
      <c r="KV44" t="e">
        <f t="shared" ca="1" si="25"/>
        <v>#N/A</v>
      </c>
      <c r="KY44">
        <v>4</v>
      </c>
      <c r="KZ44" t="s">
        <v>170</v>
      </c>
      <c r="LA44" s="254" t="str">
        <f t="shared" si="95"/>
        <v>0-2 anni</v>
      </c>
      <c r="LB44" s="112">
        <f t="shared" si="26"/>
        <v>36434</v>
      </c>
      <c r="LC44" s="112">
        <f t="shared" si="26"/>
        <v>36454</v>
      </c>
      <c r="LD44" t="e">
        <f t="shared" ca="1" si="96"/>
        <v>#N/A</v>
      </c>
      <c r="LE44" s="262" t="e">
        <f t="shared" ca="1" si="97"/>
        <v>#N/A</v>
      </c>
      <c r="LF44">
        <f t="shared" si="98"/>
        <v>21</v>
      </c>
      <c r="LG44" t="e">
        <f t="shared" ca="1" si="99"/>
        <v>#N/A</v>
      </c>
      <c r="LK44" s="320"/>
      <c r="LL44" s="335">
        <f ca="1">Foglio7ti!GF45</f>
        <v>44562</v>
      </c>
      <c r="LM44" s="336">
        <f t="shared" ca="1" si="27"/>
        <v>44562</v>
      </c>
      <c r="LN44" s="335"/>
      <c r="LO44" s="320">
        <f t="shared" si="100"/>
        <v>6</v>
      </c>
      <c r="LP44" s="336">
        <f t="shared" ca="1" si="28"/>
        <v>43831</v>
      </c>
      <c r="LQ44" s="335"/>
      <c r="LR44" s="320"/>
      <c r="LS44" s="319">
        <f t="shared" si="29"/>
        <v>6</v>
      </c>
      <c r="LT44" s="336">
        <f t="shared" ca="1" si="30"/>
        <v>43831</v>
      </c>
      <c r="LU44" s="320"/>
      <c r="LV44" s="320"/>
      <c r="LW44" s="336">
        <f t="shared" ca="1" si="31"/>
        <v>44562</v>
      </c>
      <c r="LX44" s="320"/>
      <c r="LY44" s="320"/>
      <c r="LZ44" s="336">
        <f t="shared" ca="1" si="32"/>
        <v>44562</v>
      </c>
      <c r="MA44" s="320"/>
      <c r="MB44" s="320"/>
      <c r="MC44" s="308">
        <f t="shared" ca="1" si="4"/>
        <v>44562</v>
      </c>
      <c r="MD44">
        <f t="shared" ca="1" si="101"/>
        <v>44651</v>
      </c>
      <c r="ME44" s="338">
        <f t="shared" ca="1" si="33"/>
        <v>44562</v>
      </c>
      <c r="MF44" s="338">
        <f t="shared" ca="1" si="102"/>
        <v>44651</v>
      </c>
      <c r="MG44" s="337" t="e">
        <f t="shared" ca="1" si="5"/>
        <v>#N/A</v>
      </c>
      <c r="MH44" s="338" t="e">
        <f t="shared" ca="1" si="35"/>
        <v>#N/A</v>
      </c>
      <c r="MI44" s="337" t="e">
        <f t="shared" ca="1" si="36"/>
        <v>#N/A</v>
      </c>
      <c r="MJ44" s="337">
        <f t="shared" ca="1" si="6"/>
        <v>26080.62</v>
      </c>
      <c r="MK44" s="337">
        <f t="shared" ca="1" si="37"/>
        <v>3</v>
      </c>
      <c r="ML44" s="337" t="str">
        <f ca="1">IF(ME44&lt;&gt;"",VLOOKUP(ME44,Foglio7ti!$GF$40:$GG$92,2),"")</f>
        <v>3-8 anni</v>
      </c>
      <c r="MM44" s="282" t="e">
        <f t="shared" ca="1" si="38"/>
        <v>#N/A</v>
      </c>
      <c r="MN44" s="282"/>
      <c r="MO44" s="320">
        <f t="shared" si="128"/>
        <v>1</v>
      </c>
      <c r="MP44" s="253" t="str">
        <f t="shared" ca="1" si="39"/>
        <v>3-8 anni</v>
      </c>
      <c r="MQ44" t="e">
        <f t="shared" ca="1" si="7"/>
        <v>#N/A</v>
      </c>
      <c r="MR44" s="238" t="e">
        <f ca="1">VLOOKUP(ME44,Foglio1ti!AB36:AZ336,13)-MQ44</f>
        <v>#N/A</v>
      </c>
      <c r="MS44" t="e">
        <f t="shared" ca="1" si="40"/>
        <v>#N/A</v>
      </c>
      <c r="MT44">
        <f t="shared" ca="1" si="41"/>
        <v>5</v>
      </c>
      <c r="MU44" s="238">
        <f ca="1">VLOOKUP(ME44,Foglio1ti!AB36:AZ336,13)-MT44</f>
        <v>242</v>
      </c>
      <c r="MV44">
        <f t="shared" ca="1" si="42"/>
        <v>26080.62</v>
      </c>
      <c r="MW44" t="e">
        <f t="shared" ca="1" si="140"/>
        <v>#N/A</v>
      </c>
      <c r="MX44">
        <f ca="1">IF(AND(frontti!$H$25="SI",ML44="3-8 anni"),INDIRECT(CONCATENATE($MR$37,"BI",MU44)),0)</f>
        <v>1188.0999999999999</v>
      </c>
      <c r="MY44" s="254" t="s">
        <v>173</v>
      </c>
      <c r="MZ44">
        <v>1</v>
      </c>
    </row>
    <row r="45" spans="1:376" ht="126.6" customHeight="1" x14ac:dyDescent="0.25">
      <c r="A45" s="112">
        <f t="shared" si="141"/>
        <v>36312</v>
      </c>
      <c r="B45" s="112">
        <f t="shared" si="44"/>
        <v>36708</v>
      </c>
      <c r="E45" s="240">
        <f>Foglio3!F25</f>
        <v>36456</v>
      </c>
      <c r="F45" s="240">
        <f>Foglio3!G25</f>
        <v>36769</v>
      </c>
      <c r="G45" s="244"/>
      <c r="H45" s="245">
        <f t="shared" si="45"/>
        <v>36456</v>
      </c>
      <c r="I45" s="245">
        <f t="shared" si="8"/>
        <v>36769</v>
      </c>
      <c r="J45" s="244"/>
      <c r="K45" s="244"/>
      <c r="Q45">
        <f t="shared" si="9"/>
        <v>314</v>
      </c>
      <c r="R45">
        <f t="shared" si="142"/>
        <v>314</v>
      </c>
      <c r="S45">
        <f t="shared" si="46"/>
        <v>0</v>
      </c>
      <c r="T45">
        <f t="shared" si="129"/>
        <v>10</v>
      </c>
      <c r="U45">
        <f t="shared" si="130"/>
        <v>14</v>
      </c>
      <c r="W45">
        <f t="shared" si="131"/>
        <v>0</v>
      </c>
      <c r="X45">
        <f t="shared" si="131"/>
        <v>15</v>
      </c>
      <c r="Y45">
        <f t="shared" si="131"/>
        <v>72</v>
      </c>
      <c r="AA45" s="112">
        <f t="shared" si="103"/>
        <v>36456</v>
      </c>
      <c r="AB45" s="112">
        <f t="shared" si="104"/>
        <v>36769</v>
      </c>
      <c r="AG45">
        <f t="shared" si="47"/>
        <v>1</v>
      </c>
      <c r="AH45" s="112">
        <f t="shared" si="48"/>
        <v>36456</v>
      </c>
      <c r="AI45" s="112">
        <f t="shared" si="48"/>
        <v>36769</v>
      </c>
      <c r="AJ45">
        <f t="shared" si="49"/>
        <v>1</v>
      </c>
      <c r="AK45">
        <f t="shared" si="105"/>
        <v>0</v>
      </c>
      <c r="AL45">
        <f t="shared" si="132"/>
        <v>0</v>
      </c>
      <c r="AN45">
        <f t="shared" si="133"/>
        <v>0</v>
      </c>
      <c r="AO45">
        <f t="shared" si="134"/>
        <v>0</v>
      </c>
      <c r="AP45">
        <f t="shared" si="106"/>
        <v>0</v>
      </c>
      <c r="AS45">
        <f t="shared" si="143"/>
        <v>0</v>
      </c>
      <c r="AT45">
        <f t="shared" si="144"/>
        <v>0</v>
      </c>
      <c r="AV45">
        <f t="shared" si="145"/>
        <v>0</v>
      </c>
      <c r="AW45">
        <f t="shared" si="146"/>
        <v>0</v>
      </c>
      <c r="AX45">
        <f t="shared" si="107"/>
        <v>0</v>
      </c>
      <c r="BA45">
        <f t="shared" si="135"/>
        <v>0</v>
      </c>
      <c r="BB45">
        <f t="shared" si="136"/>
        <v>0</v>
      </c>
      <c r="BD45">
        <f t="shared" ref="BD45:BD71" si="148">(AI45-AH45+1)*BA45</f>
        <v>0</v>
      </c>
      <c r="BE45">
        <f t="shared" ref="BE45:BE71" si="149">(AI42-AH45+1)*BB45</f>
        <v>0</v>
      </c>
      <c r="BF45">
        <f t="shared" si="137"/>
        <v>0</v>
      </c>
      <c r="BI45">
        <f t="shared" ref="BI45:BI71" si="150">IF(AND(AH45&lt;=AI41,AI45&lt;=AI41),1,0)*AJ45</f>
        <v>0</v>
      </c>
      <c r="BJ45">
        <f>IF(AND(AH45&lt;=AI41,AI45&gt;AI41),1,0)*AJ45</f>
        <v>0</v>
      </c>
      <c r="BK45">
        <f>(AI45-AH45+1)*BI45</f>
        <v>0</v>
      </c>
      <c r="BL45">
        <f>(AI41-AH45+1)*BJ45</f>
        <v>0</v>
      </c>
      <c r="BM45">
        <f t="shared" si="147"/>
        <v>0</v>
      </c>
      <c r="BO45">
        <f>IF(AND(AH45&lt;=AI40,AI45&lt;=AI40),1,0)*AJ45</f>
        <v>0</v>
      </c>
      <c r="BP45">
        <f>IF(AND(AH45&lt;=AI40,AI45&gt;AI40),1,0)*AJ45</f>
        <v>0</v>
      </c>
      <c r="BR45">
        <f>(AI45-AH45+1)*BO45</f>
        <v>0</v>
      </c>
      <c r="BS45">
        <f>(AI40-AH45+1)*BP45</f>
        <v>0</v>
      </c>
      <c r="BT45">
        <f t="shared" ref="BT45:BT71" si="151">BR45+BS45</f>
        <v>0</v>
      </c>
      <c r="BV45">
        <f t="shared" si="108"/>
        <v>0</v>
      </c>
      <c r="BX45">
        <f t="shared" si="109"/>
        <v>0</v>
      </c>
      <c r="BY45">
        <f t="shared" si="110"/>
        <v>0</v>
      </c>
      <c r="BZ45">
        <f t="shared" si="111"/>
        <v>0</v>
      </c>
      <c r="CA45">
        <f t="shared" si="112"/>
        <v>0</v>
      </c>
      <c r="CB45">
        <f t="shared" si="113"/>
        <v>0</v>
      </c>
      <c r="CG45">
        <f t="shared" si="50"/>
        <v>1999</v>
      </c>
      <c r="CH45">
        <f t="shared" si="50"/>
        <v>2000</v>
      </c>
      <c r="CJ45">
        <f t="shared" si="51"/>
        <v>0</v>
      </c>
      <c r="CK45">
        <f t="shared" si="10"/>
        <v>0</v>
      </c>
      <c r="CL45">
        <f t="shared" si="52"/>
        <v>0</v>
      </c>
      <c r="CN45">
        <f t="shared" si="53"/>
        <v>0</v>
      </c>
      <c r="CS45">
        <f t="shared" si="54"/>
        <v>314</v>
      </c>
      <c r="CT45" s="246">
        <f t="shared" si="114"/>
        <v>522</v>
      </c>
      <c r="CV45" s="112">
        <f t="shared" si="55"/>
        <v>36769</v>
      </c>
      <c r="CX45" s="112">
        <f t="shared" si="56"/>
        <v>100000</v>
      </c>
      <c r="CY45" s="270">
        <f t="shared" si="115"/>
        <v>100000</v>
      </c>
      <c r="CZ45" s="112">
        <f t="shared" si="116"/>
        <v>100000</v>
      </c>
      <c r="DA45" s="112">
        <f t="shared" si="117"/>
        <v>100000</v>
      </c>
      <c r="DB45" s="112">
        <f t="shared" si="118"/>
        <v>100000</v>
      </c>
      <c r="DC45" s="112">
        <f t="shared" si="119"/>
        <v>100000</v>
      </c>
      <c r="DE45" s="247">
        <v>28</v>
      </c>
      <c r="DG45" s="249" t="e">
        <f ca="1">VLOOKUP(DE45,tiGiuEc1!$G$38:$H$44,2)</f>
        <v>#N/A</v>
      </c>
      <c r="DH45" s="270" t="e">
        <f t="shared" ca="1" si="57"/>
        <v>#N/A</v>
      </c>
      <c r="DJ45" s="238" t="e">
        <f ca="1">VLOOKUP(DG45,Foglio1!$AB$31:$AN$284,13)</f>
        <v>#N/A</v>
      </c>
      <c r="DL45" t="e">
        <f t="shared" ca="1" si="58"/>
        <v>#N/A</v>
      </c>
      <c r="DN45" s="253" t="str">
        <f t="shared" si="11"/>
        <v/>
      </c>
      <c r="DO45" s="238" t="str">
        <f>tiGiuEc1!G43</f>
        <v/>
      </c>
      <c r="DP45" s="305" t="str">
        <f>IF(TYPE(tiGiuEc1!H43)=16,"",tiGiuEc1!H43)</f>
        <v/>
      </c>
      <c r="DQ45" t="e">
        <f t="shared" ca="1" si="59"/>
        <v>#N/A</v>
      </c>
      <c r="DR45" t="str">
        <f t="shared" si="60"/>
        <v/>
      </c>
      <c r="DT45">
        <v>28</v>
      </c>
      <c r="DU45" s="112" t="s">
        <v>173</v>
      </c>
      <c r="DV45" s="112"/>
      <c r="DW45" s="277">
        <v>36708</v>
      </c>
      <c r="DX45" s="276"/>
      <c r="DY45" s="276" t="s">
        <v>219</v>
      </c>
      <c r="DZ45" s="277">
        <f t="shared" ca="1" si="120"/>
        <v>100000</v>
      </c>
      <c r="EB45" s="240" t="str">
        <f t="shared" ca="1" si="61"/>
        <v/>
      </c>
      <c r="EC45" s="239" t="str">
        <f t="shared" ca="1" si="62"/>
        <v/>
      </c>
      <c r="EF45" s="260">
        <f t="shared" ca="1" si="121"/>
        <v>100000</v>
      </c>
      <c r="EK45" s="254"/>
      <c r="EL45">
        <v>6</v>
      </c>
      <c r="EM45" s="260">
        <f t="shared" ca="1" si="122"/>
        <v>44562</v>
      </c>
      <c r="EN45" s="112">
        <f t="shared" ca="1" si="63"/>
        <v>44562</v>
      </c>
      <c r="EO45" s="112">
        <f t="shared" ca="1" si="64"/>
        <v>44562</v>
      </c>
      <c r="EP45" s="112">
        <f t="shared" ca="1" si="123"/>
        <v>44562</v>
      </c>
      <c r="EQ45" s="273">
        <f t="shared" ca="1" si="138"/>
        <v>44562</v>
      </c>
      <c r="ER45" s="302">
        <f t="shared" ca="1" si="65"/>
        <v>44652</v>
      </c>
      <c r="ES45">
        <v>28</v>
      </c>
      <c r="ET45">
        <v>1</v>
      </c>
      <c r="EU45" t="e">
        <f t="shared" ca="1" si="66"/>
        <v>#N/A</v>
      </c>
      <c r="EV45" s="260">
        <f t="shared" ca="1" si="124"/>
        <v>44652</v>
      </c>
      <c r="EW45" t="e">
        <f t="shared" ca="1" si="67"/>
        <v>#N/A</v>
      </c>
      <c r="EX45" t="e">
        <f t="shared" ca="1" si="12"/>
        <v>#N/A</v>
      </c>
      <c r="EY45" s="238" t="e">
        <f t="shared" ca="1" si="13"/>
        <v>#N/A</v>
      </c>
      <c r="FB45" t="e">
        <f t="shared" ca="1" si="68"/>
        <v>#N/A</v>
      </c>
      <c r="FC45" t="e">
        <f t="shared" ca="1" si="14"/>
        <v>#N/A</v>
      </c>
      <c r="FD45" t="e">
        <f t="shared" ca="1" si="14"/>
        <v>#N/A</v>
      </c>
      <c r="FE45" t="e">
        <f t="shared" ca="1" si="14"/>
        <v>#N/A</v>
      </c>
      <c r="FF45" t="e">
        <f t="shared" ca="1" si="14"/>
        <v>#N/A</v>
      </c>
      <c r="FM45" t="e">
        <f t="shared" ca="1" si="15"/>
        <v>#N/A</v>
      </c>
      <c r="FP45">
        <v>5</v>
      </c>
      <c r="FQ45" t="s">
        <v>169</v>
      </c>
      <c r="FR45" s="254" t="e">
        <f t="shared" ca="1" si="69"/>
        <v>#N/A</v>
      </c>
      <c r="FS45">
        <f t="shared" si="125"/>
        <v>45</v>
      </c>
      <c r="FT45" t="e">
        <f t="shared" ca="1" si="16"/>
        <v>#N/A</v>
      </c>
      <c r="FU45" t="str">
        <f t="shared" ca="1" si="16"/>
        <v>EV45</v>
      </c>
      <c r="FV45" t="e">
        <f t="shared" ca="1" si="16"/>
        <v>#N/A</v>
      </c>
      <c r="FW45" t="e">
        <f t="shared" ca="1" si="16"/>
        <v>#N/A</v>
      </c>
      <c r="FX45" t="e">
        <f t="shared" ca="1" si="16"/>
        <v>#N/A</v>
      </c>
      <c r="FY45" t="e">
        <f t="shared" ca="1" si="16"/>
        <v>#N/A</v>
      </c>
      <c r="FZ45" t="e">
        <f t="shared" ca="1" si="16"/>
        <v>#N/A</v>
      </c>
      <c r="GA45" t="str">
        <f t="shared" ca="1" si="16"/>
        <v/>
      </c>
      <c r="GB45" t="e">
        <f t="shared" ca="1" si="16"/>
        <v>#N/A</v>
      </c>
      <c r="GC45" t="str">
        <f t="shared" ca="1" si="16"/>
        <v/>
      </c>
      <c r="GD45" t="str">
        <f t="shared" ca="1" si="16"/>
        <v/>
      </c>
      <c r="GE45">
        <f t="shared" ca="1" si="126"/>
        <v>6</v>
      </c>
      <c r="GF45" s="112">
        <f t="shared" ca="1" si="70"/>
        <v>44652</v>
      </c>
      <c r="GG45" s="112" t="e">
        <f t="shared" ca="1" si="71"/>
        <v>#N/A</v>
      </c>
      <c r="GH45" s="262" t="e">
        <f t="shared" ca="1" si="17"/>
        <v>#N/A</v>
      </c>
      <c r="GI45" s="262" t="e">
        <f t="shared" ca="1" si="17"/>
        <v>#N/A</v>
      </c>
      <c r="GJ45" s="262" t="e">
        <f t="shared" ca="1" si="17"/>
        <v>#N/A</v>
      </c>
      <c r="GK45" s="262" t="e">
        <f t="shared" ca="1" si="17"/>
        <v>#N/A</v>
      </c>
      <c r="GL45" s="262" t="e">
        <f t="shared" ca="1" si="17"/>
        <v>#N/A</v>
      </c>
      <c r="GM45" s="262">
        <f t="shared" ca="1" si="17"/>
        <v>0</v>
      </c>
      <c r="GN45" s="262" t="e">
        <f t="shared" ca="1" si="17"/>
        <v>#N/A</v>
      </c>
      <c r="GO45" s="262">
        <f t="shared" ca="1" si="72"/>
        <v>0</v>
      </c>
      <c r="GP45" s="262">
        <f t="shared" ca="1" si="73"/>
        <v>0</v>
      </c>
      <c r="GQ45" s="262" t="e">
        <f t="shared" ca="1" si="74"/>
        <v>#N/A</v>
      </c>
      <c r="GR45" s="262" t="e">
        <f t="shared" ca="1" si="75"/>
        <v>#N/A</v>
      </c>
      <c r="GS45" s="262" t="e">
        <f t="shared" ca="1" si="18"/>
        <v>#N/A</v>
      </c>
      <c r="GT45" s="253" t="str">
        <f t="shared" ca="1" si="76"/>
        <v xml:space="preserve">articolo 6
</v>
      </c>
      <c r="GU45" t="str">
        <f t="shared" ca="1" si="77"/>
        <v xml:space="preserve">con decorrenza dalla data: 1/4/2022  </v>
      </c>
      <c r="GV45" t="e">
        <f t="shared" ca="1" si="78"/>
        <v>#N/A</v>
      </c>
      <c r="GW45" t="e">
        <f t="shared" ca="1" si="139"/>
        <v>#N/A</v>
      </c>
      <c r="GX45" t="e">
        <f t="shared" ca="1" si="19"/>
        <v>#N/A</v>
      </c>
      <c r="GY45" t="e">
        <f t="shared" ca="1" si="19"/>
        <v>#N/A</v>
      </c>
      <c r="GZ45" t="e">
        <f t="shared" ca="1" si="20"/>
        <v>#N/A</v>
      </c>
      <c r="HA45" t="e">
        <f t="shared" ca="1" si="19"/>
        <v>#N/A</v>
      </c>
      <c r="HB45" t="str">
        <f t="shared" ca="1" si="19"/>
        <v/>
      </c>
      <c r="HC45" t="e">
        <f t="shared" ca="1" si="19"/>
        <v>#N/A</v>
      </c>
      <c r="HD45" t="str">
        <f t="shared" ca="1" si="79"/>
        <v/>
      </c>
      <c r="HE45" s="254" t="str">
        <f t="shared" ca="1" si="19"/>
        <v/>
      </c>
      <c r="HF45" s="254" t="e">
        <f t="shared" ca="1" si="80"/>
        <v>#N/A</v>
      </c>
      <c r="HM45" s="263" t="e">
        <f t="shared" ca="1" si="81"/>
        <v>#N/A</v>
      </c>
      <c r="HN45" s="263"/>
      <c r="HO45" s="272" t="e">
        <f t="shared" ca="1" si="21"/>
        <v>#N/A</v>
      </c>
      <c r="HP45">
        <f t="shared" ca="1" si="82"/>
        <v>6</v>
      </c>
      <c r="HQ45" t="str">
        <f t="shared" ca="1" si="83"/>
        <v/>
      </c>
      <c r="HR45" t="str">
        <f t="shared" ca="1" si="84"/>
        <v/>
      </c>
      <c r="HS45" t="str">
        <f t="shared" ca="1" si="85"/>
        <v/>
      </c>
      <c r="HX45" s="253" t="s">
        <v>187</v>
      </c>
      <c r="HY45" s="112" t="str">
        <f t="shared" si="86"/>
        <v>23/10/1999</v>
      </c>
      <c r="HZ45" t="s">
        <v>188</v>
      </c>
      <c r="IA45" s="112" t="str">
        <f t="shared" si="87"/>
        <v>31/8/2000</v>
      </c>
      <c r="IB45" t="s">
        <v>189</v>
      </c>
      <c r="IC45">
        <f t="shared" si="88"/>
        <v>0</v>
      </c>
      <c r="ID45" t="s">
        <v>192</v>
      </c>
      <c r="IE45">
        <f t="shared" si="89"/>
        <v>10</v>
      </c>
      <c r="IF45" t="s">
        <v>191</v>
      </c>
      <c r="IG45" s="254">
        <f t="shared" si="90"/>
        <v>14</v>
      </c>
      <c r="IL45" t="str">
        <f t="shared" si="91"/>
        <v xml:space="preserve">DAL: 23/10/1999 - AL:31/8/2000 - ANNI:0 - MESI:10 -GIORNI:14
</v>
      </c>
      <c r="JE45" t="str">
        <f>IF(JF45&lt;&gt;"","fascia 3/8 anni in data:","")</f>
        <v/>
      </c>
      <c r="JF45" s="112" t="str">
        <f t="shared" si="127"/>
        <v/>
      </c>
      <c r="KD45">
        <v>0</v>
      </c>
      <c r="KE45" s="260">
        <f t="shared" ca="1" si="92"/>
        <v>44652</v>
      </c>
      <c r="KF45" t="str">
        <f t="shared" si="93"/>
        <v>0-2 anni</v>
      </c>
      <c r="KG45">
        <f t="shared" si="22"/>
        <v>6</v>
      </c>
      <c r="KH45" s="238">
        <f t="shared" ca="1" si="23"/>
        <v>248</v>
      </c>
      <c r="KK45">
        <f t="shared" ca="1" si="94"/>
        <v>16218.89</v>
      </c>
      <c r="KL45" t="e">
        <f t="shared" ca="1" si="24"/>
        <v>#N/A</v>
      </c>
      <c r="KM45" t="e">
        <f t="shared" ca="1" si="24"/>
        <v>#N/A</v>
      </c>
      <c r="KN45" t="e">
        <f t="shared" ca="1" si="24"/>
        <v>#N/A</v>
      </c>
      <c r="KO45" t="e">
        <f t="shared" ca="1" si="24"/>
        <v>#N/A</v>
      </c>
      <c r="KV45" t="e">
        <f t="shared" ca="1" si="25"/>
        <v>#N/A</v>
      </c>
      <c r="KY45">
        <v>5</v>
      </c>
      <c r="KZ45" t="s">
        <v>169</v>
      </c>
      <c r="LA45" s="254" t="str">
        <f t="shared" si="95"/>
        <v>0-2 anni</v>
      </c>
      <c r="LB45" s="112">
        <f t="shared" si="26"/>
        <v>36456</v>
      </c>
      <c r="LC45" s="112">
        <f t="shared" si="26"/>
        <v>36769</v>
      </c>
      <c r="LD45" t="e">
        <f t="shared" ca="1" si="96"/>
        <v>#N/A</v>
      </c>
      <c r="LE45" s="262" t="e">
        <f t="shared" ca="1" si="97"/>
        <v>#N/A</v>
      </c>
      <c r="LF45">
        <f t="shared" si="98"/>
        <v>314</v>
      </c>
      <c r="LG45" t="e">
        <f t="shared" ca="1" si="99"/>
        <v>#N/A</v>
      </c>
      <c r="LK45" s="320"/>
      <c r="LL45" s="335">
        <f ca="1">Foglio7ti!GF46</f>
        <v>44652</v>
      </c>
      <c r="LM45" s="336">
        <f t="shared" ca="1" si="27"/>
        <v>44652</v>
      </c>
      <c r="LN45" s="335"/>
      <c r="LO45" s="320">
        <f t="shared" si="100"/>
        <v>7</v>
      </c>
      <c r="LP45" s="336">
        <f t="shared" ca="1" si="28"/>
        <v>44197</v>
      </c>
      <c r="LQ45" s="335"/>
      <c r="LR45" s="320"/>
      <c r="LS45" s="319">
        <f t="shared" si="29"/>
        <v>7</v>
      </c>
      <c r="LT45" s="336">
        <f t="shared" ca="1" si="30"/>
        <v>100000</v>
      </c>
      <c r="LU45" s="320"/>
      <c r="LV45" s="320"/>
      <c r="LW45" s="336">
        <f t="shared" ca="1" si="31"/>
        <v>44652</v>
      </c>
      <c r="LX45" s="320"/>
      <c r="LY45" s="320"/>
      <c r="LZ45" s="336">
        <f t="shared" ca="1" si="32"/>
        <v>44652</v>
      </c>
      <c r="MA45" s="320"/>
      <c r="MB45" s="320"/>
      <c r="MC45" s="308">
        <f t="shared" ca="1" si="4"/>
        <v>44652</v>
      </c>
      <c r="MD45">
        <f t="shared" ca="1" si="101"/>
        <v>44742</v>
      </c>
      <c r="ME45" s="338">
        <f t="shared" ca="1" si="33"/>
        <v>44652</v>
      </c>
      <c r="MF45" s="338">
        <f t="shared" ca="1" si="102"/>
        <v>44742</v>
      </c>
      <c r="MG45" s="337" t="e">
        <f t="shared" ca="1" si="5"/>
        <v>#N/A</v>
      </c>
      <c r="MH45" s="338" t="e">
        <f t="shared" ca="1" si="35"/>
        <v>#N/A</v>
      </c>
      <c r="MI45" s="337" t="e">
        <f t="shared" ca="1" si="36"/>
        <v>#N/A</v>
      </c>
      <c r="MJ45" s="337">
        <f t="shared" ca="1" si="6"/>
        <v>26148.66</v>
      </c>
      <c r="MK45" s="337">
        <f t="shared" ca="1" si="37"/>
        <v>3</v>
      </c>
      <c r="ML45" s="337" t="str">
        <f ca="1">IF(ME45&lt;&gt;"",VLOOKUP(ME45,Foglio7ti!$GF$40:$GG$92,2),"")</f>
        <v>3-8 anni</v>
      </c>
      <c r="MM45" s="282" t="e">
        <f t="shared" ca="1" si="38"/>
        <v>#N/A</v>
      </c>
      <c r="MN45" s="282"/>
      <c r="MO45" s="320">
        <f t="shared" si="128"/>
        <v>1</v>
      </c>
      <c r="MP45" s="253" t="str">
        <f t="shared" ca="1" si="39"/>
        <v>3-8 anni</v>
      </c>
      <c r="MQ45" t="e">
        <f t="shared" ref="MQ45" ca="1" si="152">VLOOKUP(MH45,$MY$39:$MZ$45,2,FALSE)</f>
        <v>#N/A</v>
      </c>
      <c r="MR45" s="238" t="e">
        <f ca="1">VLOOKUP(ME45,Foglio1ti!AB37:AZ337,13)-MQ45</f>
        <v>#N/A</v>
      </c>
      <c r="MS45" t="e">
        <f t="shared" ca="1" si="40"/>
        <v>#N/A</v>
      </c>
      <c r="MT45">
        <f t="shared" ca="1" si="41"/>
        <v>5</v>
      </c>
      <c r="MU45" s="238">
        <f ca="1">VLOOKUP(ME45,Foglio1ti!AB37:AZ337,13)-MT45</f>
        <v>249</v>
      </c>
      <c r="MV45">
        <f t="shared" ca="1" si="42"/>
        <v>26148.66</v>
      </c>
      <c r="MW45" t="e">
        <f t="shared" ca="1" si="140"/>
        <v>#N/A</v>
      </c>
      <c r="MX45">
        <f ca="1">IF(AND(frontti!$H$25="SI",ML45="3-8 anni"),INDIRECT(CONCATENATE($MR$37,"BI",MU45)),0)</f>
        <v>1188.0999999999999</v>
      </c>
      <c r="MY45" s="254" t="s">
        <v>174</v>
      </c>
      <c r="MZ45">
        <v>0</v>
      </c>
    </row>
    <row r="46" spans="1:376" ht="104.45" customHeight="1" thickBot="1" x14ac:dyDescent="0.3">
      <c r="A46" s="112">
        <f t="shared" si="141"/>
        <v>36770</v>
      </c>
      <c r="B46" s="112">
        <f t="shared" si="44"/>
        <v>36892</v>
      </c>
      <c r="E46" s="240">
        <f>Foglio3!F26</f>
        <v>36777</v>
      </c>
      <c r="F46" s="240">
        <f>Foglio3!G26</f>
        <v>36920</v>
      </c>
      <c r="G46" s="244"/>
      <c r="H46" s="245">
        <f t="shared" si="45"/>
        <v>36777</v>
      </c>
      <c r="I46" s="245">
        <f t="shared" si="8"/>
        <v>36920</v>
      </c>
      <c r="J46" s="244"/>
      <c r="K46" s="244"/>
      <c r="Q46">
        <f t="shared" si="9"/>
        <v>144</v>
      </c>
      <c r="R46">
        <f t="shared" si="142"/>
        <v>144</v>
      </c>
      <c r="S46">
        <f t="shared" si="46"/>
        <v>0</v>
      </c>
      <c r="T46">
        <f t="shared" si="129"/>
        <v>4</v>
      </c>
      <c r="U46">
        <f t="shared" si="130"/>
        <v>24</v>
      </c>
      <c r="W46">
        <f t="shared" si="131"/>
        <v>0</v>
      </c>
      <c r="X46">
        <f t="shared" si="131"/>
        <v>19</v>
      </c>
      <c r="Y46">
        <f t="shared" si="131"/>
        <v>96</v>
      </c>
      <c r="AA46" s="112">
        <f t="shared" si="103"/>
        <v>36777</v>
      </c>
      <c r="AB46" s="112">
        <f t="shared" si="104"/>
        <v>36920</v>
      </c>
      <c r="AG46">
        <f t="shared" si="47"/>
        <v>1</v>
      </c>
      <c r="AH46" s="112">
        <f t="shared" si="48"/>
        <v>36777</v>
      </c>
      <c r="AI46" s="112">
        <f t="shared" si="48"/>
        <v>36920</v>
      </c>
      <c r="AJ46">
        <f t="shared" si="49"/>
        <v>1</v>
      </c>
      <c r="AK46">
        <f t="shared" si="105"/>
        <v>0</v>
      </c>
      <c r="AL46">
        <f t="shared" si="132"/>
        <v>0</v>
      </c>
      <c r="AN46">
        <f t="shared" si="133"/>
        <v>0</v>
      </c>
      <c r="AO46">
        <f t="shared" si="134"/>
        <v>0</v>
      </c>
      <c r="AP46">
        <f t="shared" si="106"/>
        <v>0</v>
      </c>
      <c r="AS46">
        <f t="shared" si="143"/>
        <v>0</v>
      </c>
      <c r="AT46">
        <f t="shared" si="144"/>
        <v>0</v>
      </c>
      <c r="AV46">
        <f t="shared" si="145"/>
        <v>0</v>
      </c>
      <c r="AW46">
        <f t="shared" si="146"/>
        <v>0</v>
      </c>
      <c r="AX46">
        <f t="shared" si="107"/>
        <v>0</v>
      </c>
      <c r="BA46">
        <f t="shared" si="135"/>
        <v>0</v>
      </c>
      <c r="BB46">
        <f t="shared" si="136"/>
        <v>0</v>
      </c>
      <c r="BD46">
        <f t="shared" si="148"/>
        <v>0</v>
      </c>
      <c r="BE46">
        <f t="shared" si="149"/>
        <v>0</v>
      </c>
      <c r="BF46">
        <f t="shared" si="137"/>
        <v>0</v>
      </c>
      <c r="BI46">
        <f t="shared" si="150"/>
        <v>0</v>
      </c>
      <c r="BJ46">
        <f t="shared" ref="BJ46:BJ71" si="153">IF(AND(AH46&lt;=AI42,AI46&gt;AI42),1,0)*AJ46</f>
        <v>0</v>
      </c>
      <c r="BK46">
        <f t="shared" ref="BK46:BK71" si="154">(AI46-AH46+1)*BI46</f>
        <v>0</v>
      </c>
      <c r="BL46">
        <f t="shared" ref="BL46:BL71" si="155">(AI42-AH46+1)*BJ46</f>
        <v>0</v>
      </c>
      <c r="BM46">
        <f t="shared" si="147"/>
        <v>0</v>
      </c>
      <c r="BO46">
        <f t="shared" ref="BO46:BO71" si="156">IF(AND(AH46&lt;=AI41,AI46&lt;=AI41),1,0)*AJ46</f>
        <v>0</v>
      </c>
      <c r="BP46">
        <f t="shared" ref="BP46:BP71" si="157">IF(AND(AH46&lt;=AI41,AI46&gt;AI41),1,0)*AJ46</f>
        <v>0</v>
      </c>
      <c r="BR46">
        <f t="shared" ref="BR46:BR71" si="158">(AI46-AH46+1)*BO46</f>
        <v>0</v>
      </c>
      <c r="BS46">
        <f t="shared" ref="BS46:BS71" si="159">(AI41-AH46+1)*BP46</f>
        <v>0</v>
      </c>
      <c r="BT46">
        <f t="shared" si="151"/>
        <v>0</v>
      </c>
      <c r="BV46">
        <f t="shared" si="108"/>
        <v>0</v>
      </c>
      <c r="BX46">
        <f t="shared" si="109"/>
        <v>0</v>
      </c>
      <c r="BY46">
        <f t="shared" si="110"/>
        <v>0</v>
      </c>
      <c r="BZ46">
        <f t="shared" si="111"/>
        <v>0</v>
      </c>
      <c r="CA46">
        <f t="shared" si="112"/>
        <v>0</v>
      </c>
      <c r="CB46">
        <f t="shared" si="113"/>
        <v>0</v>
      </c>
      <c r="CG46">
        <f t="shared" si="50"/>
        <v>2000</v>
      </c>
      <c r="CH46">
        <f t="shared" si="50"/>
        <v>2001</v>
      </c>
      <c r="CJ46">
        <f t="shared" si="51"/>
        <v>0</v>
      </c>
      <c r="CK46">
        <f>IF(AND(CG46&lt;&gt;$CG$38,CH46=$CG$38),F46-$CH$38,0)</f>
        <v>0</v>
      </c>
      <c r="CL46">
        <f t="shared" si="52"/>
        <v>0</v>
      </c>
      <c r="CN46">
        <f t="shared" si="53"/>
        <v>0</v>
      </c>
      <c r="CS46">
        <f t="shared" si="54"/>
        <v>144</v>
      </c>
      <c r="CT46" s="246">
        <f t="shared" si="114"/>
        <v>666</v>
      </c>
      <c r="CV46" s="112">
        <f t="shared" si="55"/>
        <v>36920</v>
      </c>
      <c r="CX46" s="112">
        <f t="shared" si="56"/>
        <v>100000</v>
      </c>
      <c r="CY46" s="270">
        <f t="shared" si="115"/>
        <v>100000</v>
      </c>
      <c r="CZ46" s="112">
        <f t="shared" si="116"/>
        <v>100000</v>
      </c>
      <c r="DA46" s="112">
        <f t="shared" si="117"/>
        <v>100000</v>
      </c>
      <c r="DB46" s="112">
        <f t="shared" si="118"/>
        <v>100000</v>
      </c>
      <c r="DC46" s="112">
        <f t="shared" si="119"/>
        <v>100000</v>
      </c>
      <c r="DE46" s="247">
        <v>35</v>
      </c>
      <c r="DG46" s="249" t="e">
        <f ca="1">VLOOKUP(DE46,tiGiuEc1!$G$38:$H$44,2)</f>
        <v>#N/A</v>
      </c>
      <c r="DH46" s="270" t="e">
        <f t="shared" ca="1" si="57"/>
        <v>#N/A</v>
      </c>
      <c r="DJ46" s="238" t="e">
        <f ca="1">VLOOKUP(DG46,Foglio1!$AB$31:$AN$284,13)</f>
        <v>#N/A</v>
      </c>
      <c r="DL46" t="e">
        <f t="shared" ca="1" si="58"/>
        <v>#N/A</v>
      </c>
      <c r="DN46" s="255" t="str">
        <f t="shared" si="11"/>
        <v/>
      </c>
      <c r="DO46" s="256" t="str">
        <f>tiGiuEc1!G44</f>
        <v/>
      </c>
      <c r="DP46" s="305" t="str">
        <f>IF(TYPE(tiGiuEc1!H44)=16,"",tiGiuEc1!H44)</f>
        <v/>
      </c>
      <c r="DQ46" t="e">
        <f t="shared" ca="1" si="59"/>
        <v>#N/A</v>
      </c>
      <c r="DR46" t="str">
        <f t="shared" si="60"/>
        <v/>
      </c>
      <c r="DT46">
        <v>35</v>
      </c>
      <c r="DU46" s="112" t="s">
        <v>174</v>
      </c>
      <c r="DV46" s="112"/>
      <c r="DW46" s="277">
        <v>36770</v>
      </c>
      <c r="DX46" s="276"/>
      <c r="DY46" s="276" t="s">
        <v>220</v>
      </c>
      <c r="DZ46" s="277">
        <f t="shared" ca="1" si="120"/>
        <v>100000</v>
      </c>
      <c r="EB46" s="240" t="str">
        <f t="shared" ca="1" si="61"/>
        <v/>
      </c>
      <c r="EC46" s="239" t="str">
        <f t="shared" ca="1" si="62"/>
        <v/>
      </c>
      <c r="EF46" s="260">
        <f t="shared" ca="1" si="121"/>
        <v>100000</v>
      </c>
      <c r="EK46" s="254"/>
      <c r="EL46">
        <v>7</v>
      </c>
      <c r="EM46" s="260">
        <f t="shared" ca="1" si="122"/>
        <v>44652</v>
      </c>
      <c r="EN46" s="112">
        <f t="shared" ca="1" si="63"/>
        <v>44652</v>
      </c>
      <c r="EO46" s="112">
        <f t="shared" ca="1" si="64"/>
        <v>44652</v>
      </c>
      <c r="EP46" s="112">
        <f t="shared" ca="1" si="123"/>
        <v>44652</v>
      </c>
      <c r="EQ46" s="273">
        <f t="shared" ca="1" si="138"/>
        <v>44652</v>
      </c>
      <c r="ER46" s="302">
        <f t="shared" ca="1" si="65"/>
        <v>44743</v>
      </c>
      <c r="ES46">
        <v>35</v>
      </c>
      <c r="ET46">
        <v>0</v>
      </c>
      <c r="EU46" t="e">
        <f t="shared" ca="1" si="66"/>
        <v>#N/A</v>
      </c>
      <c r="EV46" s="260">
        <f t="shared" ca="1" si="124"/>
        <v>44743</v>
      </c>
      <c r="EW46" t="e">
        <f t="shared" ca="1" si="67"/>
        <v>#N/A</v>
      </c>
      <c r="EX46" t="e">
        <f t="shared" ca="1" si="12"/>
        <v>#N/A</v>
      </c>
      <c r="EY46" s="238" t="e">
        <f t="shared" ca="1" si="13"/>
        <v>#N/A</v>
      </c>
      <c r="FB46" t="e">
        <f t="shared" ca="1" si="68"/>
        <v>#N/A</v>
      </c>
      <c r="FC46" t="e">
        <f t="shared" ca="1" si="14"/>
        <v>#N/A</v>
      </c>
      <c r="FD46" t="e">
        <f t="shared" ca="1" si="14"/>
        <v>#N/A</v>
      </c>
      <c r="FE46" t="e">
        <f t="shared" ca="1" si="14"/>
        <v>#N/A</v>
      </c>
      <c r="FF46" t="e">
        <f t="shared" ca="1" si="14"/>
        <v>#N/A</v>
      </c>
      <c r="FM46" t="e">
        <f t="shared" ca="1" si="15"/>
        <v>#N/A</v>
      </c>
      <c r="FP46">
        <v>6</v>
      </c>
      <c r="FQ46" t="s">
        <v>168</v>
      </c>
      <c r="FR46" s="254" t="e">
        <f t="shared" ca="1" si="69"/>
        <v>#N/A</v>
      </c>
      <c r="FS46">
        <f t="shared" si="125"/>
        <v>46</v>
      </c>
      <c r="FT46" t="e">
        <f t="shared" ca="1" si="16"/>
        <v>#N/A</v>
      </c>
      <c r="FU46" t="str">
        <f t="shared" ca="1" si="16"/>
        <v>EV46</v>
      </c>
      <c r="FV46" t="e">
        <f t="shared" ca="1" si="16"/>
        <v>#N/A</v>
      </c>
      <c r="FW46" t="e">
        <f t="shared" ca="1" si="16"/>
        <v>#N/A</v>
      </c>
      <c r="FX46" t="e">
        <f t="shared" ca="1" si="16"/>
        <v>#N/A</v>
      </c>
      <c r="FY46" t="e">
        <f t="shared" ca="1" si="16"/>
        <v>#N/A</v>
      </c>
      <c r="FZ46" t="e">
        <f t="shared" ca="1" si="16"/>
        <v>#N/A</v>
      </c>
      <c r="GA46" t="str">
        <f t="shared" ca="1" si="16"/>
        <v/>
      </c>
      <c r="GB46" t="e">
        <f t="shared" ca="1" si="16"/>
        <v>#N/A</v>
      </c>
      <c r="GC46" t="str">
        <f t="shared" ca="1" si="16"/>
        <v/>
      </c>
      <c r="GD46" t="str">
        <f t="shared" ca="1" si="16"/>
        <v/>
      </c>
      <c r="GE46">
        <f t="shared" ca="1" si="126"/>
        <v>7</v>
      </c>
      <c r="GF46" s="112">
        <f t="shared" ca="1" si="70"/>
        <v>44743</v>
      </c>
      <c r="GG46" s="112" t="e">
        <f t="shared" ca="1" si="71"/>
        <v>#N/A</v>
      </c>
      <c r="GH46" s="262" t="e">
        <f t="shared" ca="1" si="17"/>
        <v>#N/A</v>
      </c>
      <c r="GI46" s="262" t="e">
        <f t="shared" ca="1" si="17"/>
        <v>#N/A</v>
      </c>
      <c r="GJ46" s="262" t="e">
        <f t="shared" ca="1" si="17"/>
        <v>#N/A</v>
      </c>
      <c r="GK46" s="262" t="e">
        <f t="shared" ca="1" si="17"/>
        <v>#N/A</v>
      </c>
      <c r="GL46" s="262" t="e">
        <f t="shared" ca="1" si="17"/>
        <v>#N/A</v>
      </c>
      <c r="GM46" s="262">
        <f t="shared" ca="1" si="17"/>
        <v>0</v>
      </c>
      <c r="GN46" s="262" t="e">
        <f t="shared" ca="1" si="17"/>
        <v>#N/A</v>
      </c>
      <c r="GO46" s="262">
        <f t="shared" ca="1" si="72"/>
        <v>0</v>
      </c>
      <c r="GP46" s="262">
        <f t="shared" ca="1" si="73"/>
        <v>0</v>
      </c>
      <c r="GQ46" s="262" t="e">
        <f t="shared" ca="1" si="74"/>
        <v>#N/A</v>
      </c>
      <c r="GR46" s="262" t="e">
        <f t="shared" ca="1" si="75"/>
        <v>#N/A</v>
      </c>
      <c r="GS46" s="262" t="e">
        <f t="shared" ca="1" si="18"/>
        <v>#N/A</v>
      </c>
      <c r="GT46" s="253" t="str">
        <f t="shared" ca="1" si="76"/>
        <v xml:space="preserve">articolo 7
</v>
      </c>
      <c r="GU46" t="str">
        <f t="shared" ca="1" si="77"/>
        <v xml:space="preserve">con decorrenza dalla data: 1/7/2022  </v>
      </c>
      <c r="GV46" t="e">
        <f t="shared" ca="1" si="78"/>
        <v>#N/A</v>
      </c>
      <c r="GW46" t="e">
        <f t="shared" ca="1" si="139"/>
        <v>#N/A</v>
      </c>
      <c r="GX46" t="e">
        <f t="shared" ca="1" si="19"/>
        <v>#N/A</v>
      </c>
      <c r="GY46" t="e">
        <f t="shared" ca="1" si="19"/>
        <v>#N/A</v>
      </c>
      <c r="GZ46" t="e">
        <f t="shared" ca="1" si="20"/>
        <v>#N/A</v>
      </c>
      <c r="HA46" t="e">
        <f t="shared" ca="1" si="19"/>
        <v>#N/A</v>
      </c>
      <c r="HB46" t="str">
        <f t="shared" ca="1" si="19"/>
        <v/>
      </c>
      <c r="HC46" t="e">
        <f t="shared" ca="1" si="19"/>
        <v>#N/A</v>
      </c>
      <c r="HD46" t="str">
        <f t="shared" ca="1" si="79"/>
        <v/>
      </c>
      <c r="HE46" s="254" t="str">
        <f t="shared" ca="1" si="19"/>
        <v/>
      </c>
      <c r="HF46" s="254" t="e">
        <f t="shared" ca="1" si="80"/>
        <v>#N/A</v>
      </c>
      <c r="HM46" s="263" t="e">
        <f t="shared" ca="1" si="81"/>
        <v>#N/A</v>
      </c>
      <c r="HN46" s="263"/>
      <c r="HO46" s="272" t="e">
        <f t="shared" ca="1" si="21"/>
        <v>#N/A</v>
      </c>
      <c r="HP46">
        <f t="shared" ca="1" si="82"/>
        <v>7</v>
      </c>
      <c r="HQ46" t="str">
        <f t="shared" ca="1" si="83"/>
        <v/>
      </c>
      <c r="HR46" t="str">
        <f t="shared" ca="1" si="84"/>
        <v/>
      </c>
      <c r="HS46" t="str">
        <f t="shared" ca="1" si="85"/>
        <v/>
      </c>
      <c r="HX46" s="253" t="s">
        <v>187</v>
      </c>
      <c r="HY46" s="112" t="str">
        <f t="shared" si="86"/>
        <v>8/9/2000</v>
      </c>
      <c r="HZ46" t="s">
        <v>188</v>
      </c>
      <c r="IA46" s="112" t="str">
        <f t="shared" si="87"/>
        <v>29/1/2001</v>
      </c>
      <c r="IB46" t="s">
        <v>189</v>
      </c>
      <c r="IC46">
        <f t="shared" si="88"/>
        <v>0</v>
      </c>
      <c r="ID46" t="s">
        <v>192</v>
      </c>
      <c r="IE46">
        <f t="shared" si="89"/>
        <v>4</v>
      </c>
      <c r="IF46" t="s">
        <v>191</v>
      </c>
      <c r="IG46" s="254">
        <f t="shared" si="90"/>
        <v>24</v>
      </c>
      <c r="IL46" t="str">
        <f t="shared" si="91"/>
        <v xml:space="preserve">DAL: 8/9/2000 - AL:29/1/2001 - ANNI:0 - MESI:4 -GIORNI:24
</v>
      </c>
      <c r="JE46" t="str">
        <f>IF(JF46&lt;&gt;"","fascia 3/8 anni in data:","")</f>
        <v/>
      </c>
      <c r="JF46" s="112" t="str">
        <f t="shared" si="127"/>
        <v/>
      </c>
      <c r="KD46">
        <v>0</v>
      </c>
      <c r="KE46" s="260">
        <f t="shared" ca="1" si="92"/>
        <v>44743</v>
      </c>
      <c r="KF46" t="str">
        <f t="shared" si="93"/>
        <v>0-2 anni</v>
      </c>
      <c r="KG46">
        <f t="shared" si="22"/>
        <v>6</v>
      </c>
      <c r="KH46" s="238">
        <f t="shared" ca="1" si="23"/>
        <v>255</v>
      </c>
      <c r="KK46">
        <f t="shared" ca="1" si="94"/>
        <v>16218.89</v>
      </c>
      <c r="KL46" t="e">
        <f t="shared" ca="1" si="24"/>
        <v>#N/A</v>
      </c>
      <c r="KM46" t="e">
        <f t="shared" ca="1" si="24"/>
        <v>#N/A</v>
      </c>
      <c r="KN46" t="e">
        <f t="shared" ca="1" si="24"/>
        <v>#N/A</v>
      </c>
      <c r="KO46" t="e">
        <f t="shared" ca="1" si="24"/>
        <v>#N/A</v>
      </c>
      <c r="KV46" t="e">
        <f t="shared" ca="1" si="25"/>
        <v>#N/A</v>
      </c>
      <c r="KY46">
        <v>6</v>
      </c>
      <c r="KZ46" t="s">
        <v>168</v>
      </c>
      <c r="LA46" s="254" t="str">
        <f t="shared" si="95"/>
        <v>0-2 anni</v>
      </c>
      <c r="LB46" s="112">
        <f t="shared" si="26"/>
        <v>36777</v>
      </c>
      <c r="LC46" s="112">
        <f t="shared" si="26"/>
        <v>36920</v>
      </c>
      <c r="LD46" t="e">
        <f t="shared" ca="1" si="96"/>
        <v>#N/A</v>
      </c>
      <c r="LE46" s="262" t="e">
        <f t="shared" ca="1" si="97"/>
        <v>#N/A</v>
      </c>
      <c r="LF46">
        <f t="shared" si="98"/>
        <v>144</v>
      </c>
      <c r="LG46" t="e">
        <f t="shared" ca="1" si="99"/>
        <v>#N/A</v>
      </c>
      <c r="LK46" s="320"/>
      <c r="LL46" s="335">
        <f ca="1">Foglio7ti!GF47</f>
        <v>44743</v>
      </c>
      <c r="LM46" s="336">
        <f t="shared" ca="1" si="27"/>
        <v>44743</v>
      </c>
      <c r="LN46" s="335"/>
      <c r="LO46" s="320">
        <f t="shared" si="100"/>
        <v>8</v>
      </c>
      <c r="LP46" s="336">
        <f t="shared" ca="1" si="28"/>
        <v>44197</v>
      </c>
      <c r="LQ46" s="335"/>
      <c r="LR46" s="320"/>
      <c r="LS46" s="319">
        <f t="shared" si="29"/>
        <v>8</v>
      </c>
      <c r="LT46" s="336">
        <f t="shared" ca="1" si="30"/>
        <v>44197</v>
      </c>
      <c r="LU46" s="320"/>
      <c r="LV46" s="320"/>
      <c r="LW46" s="336">
        <f t="shared" ca="1" si="31"/>
        <v>44743</v>
      </c>
      <c r="LX46" s="320"/>
      <c r="LY46" s="320"/>
      <c r="LZ46" s="336">
        <f t="shared" ca="1" si="32"/>
        <v>44743</v>
      </c>
      <c r="MA46" s="320"/>
      <c r="MB46" s="320"/>
      <c r="MC46" s="308">
        <f t="shared" ca="1" si="4"/>
        <v>44743</v>
      </c>
      <c r="MD46">
        <f t="shared" ca="1" si="101"/>
        <v>44925</v>
      </c>
      <c r="ME46" s="338">
        <f t="shared" ca="1" si="33"/>
        <v>44743</v>
      </c>
      <c r="MF46" s="338">
        <f t="shared" ca="1" si="102"/>
        <v>44925</v>
      </c>
      <c r="MG46" s="337" t="e">
        <f t="shared" ca="1" si="5"/>
        <v>#N/A</v>
      </c>
      <c r="MH46" s="338" t="e">
        <f t="shared" ca="1" si="35"/>
        <v>#N/A</v>
      </c>
      <c r="MI46" s="337" t="e">
        <f t="shared" ca="1" si="36"/>
        <v>#N/A</v>
      </c>
      <c r="MJ46" s="337">
        <f t="shared" ca="1" si="6"/>
        <v>26194.01</v>
      </c>
      <c r="MK46" s="337">
        <f t="shared" ca="1" si="37"/>
        <v>3</v>
      </c>
      <c r="ML46" s="337" t="str">
        <f ca="1">IF(ME46&lt;&gt;"",VLOOKUP(ME46,Foglio7ti!$GF$40:$GG$92,2),"")</f>
        <v>3-8 anni</v>
      </c>
      <c r="MM46" s="282" t="e">
        <f t="shared" ca="1" si="38"/>
        <v>#N/A</v>
      </c>
      <c r="MN46" s="282"/>
      <c r="MO46" s="320">
        <f t="shared" si="128"/>
        <v>1</v>
      </c>
      <c r="MP46" s="253" t="str">
        <f t="shared" ca="1" si="39"/>
        <v>3-8 anni</v>
      </c>
      <c r="MQ46" t="e">
        <f t="shared" ref="MQ46:MQ101" ca="1" si="160">VLOOKUP(MH46,$MY$39:$MZ$45,2,FALSE)</f>
        <v>#N/A</v>
      </c>
      <c r="MR46" s="238" t="e">
        <f ca="1">VLOOKUP(ME46,Foglio1ti!AB38:AZ338,13)-MQ46</f>
        <v>#N/A</v>
      </c>
      <c r="MS46" t="e">
        <f t="shared" ca="1" si="40"/>
        <v>#N/A</v>
      </c>
      <c r="MT46">
        <f t="shared" ca="1" si="41"/>
        <v>5</v>
      </c>
      <c r="MU46" s="238">
        <f ca="1">VLOOKUP(ME46,Foglio1ti!AB38:AZ338,13)-MT46</f>
        <v>256</v>
      </c>
      <c r="MV46">
        <f t="shared" ca="1" si="42"/>
        <v>26194.01</v>
      </c>
      <c r="MW46" t="e">
        <f t="shared" ca="1" si="140"/>
        <v>#N/A</v>
      </c>
      <c r="MX46">
        <f ca="1">IF(AND(frontti!$H$25="SI",ML46="3-8 anni"),INDIRECT(CONCATENATE($MR$37,"BI",MU46)),0)</f>
        <v>1188.0999999999999</v>
      </c>
      <c r="MY46" s="254"/>
    </row>
    <row r="47" spans="1:376" ht="94.15" customHeight="1" x14ac:dyDescent="0.25">
      <c r="A47" s="112">
        <f t="shared" si="141"/>
        <v>36770</v>
      </c>
      <c r="B47" s="112">
        <f t="shared" si="44"/>
        <v>36892</v>
      </c>
      <c r="E47" s="240">
        <f>Foglio3!F27</f>
        <v>36921</v>
      </c>
      <c r="F47" s="240">
        <f>Foglio3!G27</f>
        <v>37072</v>
      </c>
      <c r="G47" s="244"/>
      <c r="H47" s="245">
        <f t="shared" si="45"/>
        <v>36921</v>
      </c>
      <c r="I47" s="245">
        <f t="shared" si="8"/>
        <v>37072</v>
      </c>
      <c r="J47" s="244"/>
      <c r="K47" s="244"/>
      <c r="Q47">
        <f t="shared" si="9"/>
        <v>152</v>
      </c>
      <c r="R47">
        <f t="shared" si="142"/>
        <v>152</v>
      </c>
      <c r="S47">
        <f t="shared" si="46"/>
        <v>0</v>
      </c>
      <c r="T47">
        <f t="shared" si="129"/>
        <v>5</v>
      </c>
      <c r="U47">
        <f t="shared" si="130"/>
        <v>2</v>
      </c>
      <c r="W47">
        <f t="shared" si="131"/>
        <v>0</v>
      </c>
      <c r="X47">
        <f t="shared" si="131"/>
        <v>24</v>
      </c>
      <c r="Y47">
        <f t="shared" si="131"/>
        <v>98</v>
      </c>
      <c r="AA47" s="112">
        <f t="shared" si="103"/>
        <v>36921</v>
      </c>
      <c r="AB47" s="112">
        <f t="shared" si="104"/>
        <v>37072</v>
      </c>
      <c r="AG47">
        <f t="shared" si="47"/>
        <v>1</v>
      </c>
      <c r="AH47" s="112">
        <f t="shared" si="48"/>
        <v>36921</v>
      </c>
      <c r="AI47" s="112">
        <f t="shared" si="48"/>
        <v>37072</v>
      </c>
      <c r="AJ47">
        <f t="shared" si="49"/>
        <v>1</v>
      </c>
      <c r="AK47">
        <f t="shared" si="105"/>
        <v>0</v>
      </c>
      <c r="AL47">
        <f t="shared" si="132"/>
        <v>0</v>
      </c>
      <c r="AN47">
        <f t="shared" si="133"/>
        <v>0</v>
      </c>
      <c r="AO47">
        <f t="shared" si="134"/>
        <v>0</v>
      </c>
      <c r="AP47">
        <f t="shared" si="106"/>
        <v>0</v>
      </c>
      <c r="AS47">
        <f t="shared" si="143"/>
        <v>0</v>
      </c>
      <c r="AT47">
        <f t="shared" si="144"/>
        <v>0</v>
      </c>
      <c r="AV47">
        <f t="shared" si="145"/>
        <v>0</v>
      </c>
      <c r="AW47">
        <f t="shared" si="146"/>
        <v>0</v>
      </c>
      <c r="AX47">
        <f t="shared" si="107"/>
        <v>0</v>
      </c>
      <c r="BA47">
        <f t="shared" si="135"/>
        <v>0</v>
      </c>
      <c r="BB47">
        <f t="shared" si="136"/>
        <v>0</v>
      </c>
      <c r="BD47">
        <f t="shared" si="148"/>
        <v>0</v>
      </c>
      <c r="BE47">
        <f t="shared" si="149"/>
        <v>0</v>
      </c>
      <c r="BF47">
        <f t="shared" si="137"/>
        <v>0</v>
      </c>
      <c r="BI47">
        <f t="shared" si="150"/>
        <v>0</v>
      </c>
      <c r="BJ47">
        <f t="shared" si="153"/>
        <v>0</v>
      </c>
      <c r="BK47">
        <f t="shared" si="154"/>
        <v>0</v>
      </c>
      <c r="BL47">
        <f t="shared" si="155"/>
        <v>0</v>
      </c>
      <c r="BM47">
        <f t="shared" si="147"/>
        <v>0</v>
      </c>
      <c r="BO47">
        <f t="shared" si="156"/>
        <v>0</v>
      </c>
      <c r="BP47">
        <f t="shared" si="157"/>
        <v>0</v>
      </c>
      <c r="BR47">
        <f t="shared" si="158"/>
        <v>0</v>
      </c>
      <c r="BS47">
        <f t="shared" si="159"/>
        <v>0</v>
      </c>
      <c r="BT47">
        <f t="shared" si="151"/>
        <v>0</v>
      </c>
      <c r="BV47">
        <f t="shared" si="108"/>
        <v>0</v>
      </c>
      <c r="BX47">
        <f t="shared" si="109"/>
        <v>0</v>
      </c>
      <c r="BY47">
        <f t="shared" si="110"/>
        <v>0</v>
      </c>
      <c r="BZ47">
        <f t="shared" si="111"/>
        <v>0</v>
      </c>
      <c r="CA47">
        <f t="shared" si="112"/>
        <v>0</v>
      </c>
      <c r="CB47">
        <f t="shared" si="113"/>
        <v>0</v>
      </c>
      <c r="CG47">
        <f t="shared" si="50"/>
        <v>2001</v>
      </c>
      <c r="CH47">
        <f t="shared" si="50"/>
        <v>2001</v>
      </c>
      <c r="CJ47">
        <f t="shared" si="51"/>
        <v>0</v>
      </c>
      <c r="CK47">
        <f t="shared" ref="CK47:CK75" si="161">IF(AND(CG47&lt;&gt;$CG$38,CH47=$CG$38),F47-$CH$38,0)</f>
        <v>0</v>
      </c>
      <c r="CL47">
        <f t="shared" si="52"/>
        <v>0</v>
      </c>
      <c r="CN47">
        <f t="shared" si="53"/>
        <v>0</v>
      </c>
      <c r="CS47">
        <f t="shared" si="54"/>
        <v>152</v>
      </c>
      <c r="CT47" s="246">
        <f t="shared" si="114"/>
        <v>818</v>
      </c>
      <c r="CV47" s="112">
        <f t="shared" si="55"/>
        <v>37072</v>
      </c>
      <c r="CX47" s="112">
        <f t="shared" si="56"/>
        <v>100000</v>
      </c>
      <c r="CY47" s="270">
        <f t="shared" si="115"/>
        <v>100000</v>
      </c>
      <c r="CZ47" s="112">
        <f t="shared" si="116"/>
        <v>100000</v>
      </c>
      <c r="DA47" s="112">
        <f t="shared" si="117"/>
        <v>100000</v>
      </c>
      <c r="DB47" s="112">
        <f t="shared" si="118"/>
        <v>100000</v>
      </c>
      <c r="DC47" s="112">
        <f t="shared" si="119"/>
        <v>100000</v>
      </c>
      <c r="DU47" s="112"/>
      <c r="DV47" s="112"/>
      <c r="DW47" s="277">
        <v>36892</v>
      </c>
      <c r="DX47" s="276"/>
      <c r="DY47" s="276" t="s">
        <v>221</v>
      </c>
      <c r="DZ47" s="277">
        <f t="shared" ca="1" si="120"/>
        <v>100000</v>
      </c>
      <c r="EB47" s="240">
        <f t="shared" si="61"/>
        <v>0</v>
      </c>
      <c r="EC47" s="239">
        <f t="shared" si="62"/>
        <v>0</v>
      </c>
      <c r="EF47" s="260">
        <f t="shared" ca="1" si="121"/>
        <v>100000</v>
      </c>
      <c r="EK47" s="254"/>
      <c r="EL47">
        <v>8</v>
      </c>
      <c r="EM47" s="260">
        <f t="shared" ca="1" si="122"/>
        <v>44743</v>
      </c>
      <c r="EN47" s="112">
        <f t="shared" ca="1" si="63"/>
        <v>44743</v>
      </c>
      <c r="EO47" s="112">
        <f t="shared" ca="1" si="64"/>
        <v>44743</v>
      </c>
      <c r="EP47" s="112">
        <f t="shared" ca="1" si="123"/>
        <v>44743</v>
      </c>
      <c r="EQ47" s="273">
        <f t="shared" ca="1" si="138"/>
        <v>44743</v>
      </c>
      <c r="ER47" s="302">
        <f t="shared" ca="1" si="65"/>
        <v>44926</v>
      </c>
      <c r="EU47" t="e">
        <f t="shared" ca="1" si="66"/>
        <v>#N/A</v>
      </c>
      <c r="EV47" s="260">
        <f t="shared" ca="1" si="124"/>
        <v>44926</v>
      </c>
      <c r="EW47" t="e">
        <f t="shared" ca="1" si="67"/>
        <v>#N/A</v>
      </c>
      <c r="EX47" t="e">
        <f t="shared" ca="1" si="12"/>
        <v>#N/A</v>
      </c>
      <c r="EY47" s="238" t="e">
        <f t="shared" ca="1" si="13"/>
        <v>#N/A</v>
      </c>
      <c r="FB47" t="e">
        <f t="shared" ca="1" si="68"/>
        <v>#N/A</v>
      </c>
      <c r="FC47" t="e">
        <f t="shared" ca="1" si="14"/>
        <v>#N/A</v>
      </c>
      <c r="FD47" t="e">
        <f t="shared" ca="1" si="14"/>
        <v>#N/A</v>
      </c>
      <c r="FE47" t="e">
        <f t="shared" ca="1" si="14"/>
        <v>#N/A</v>
      </c>
      <c r="FF47" t="e">
        <f t="shared" ca="1" si="14"/>
        <v>#N/A</v>
      </c>
      <c r="FM47" t="e">
        <f t="shared" ca="1" si="15"/>
        <v>#N/A</v>
      </c>
      <c r="FR47" s="254" t="e">
        <f t="shared" ca="1" si="69"/>
        <v>#N/A</v>
      </c>
      <c r="FS47">
        <f t="shared" si="125"/>
        <v>47</v>
      </c>
      <c r="FT47" t="e">
        <f t="shared" ca="1" si="16"/>
        <v>#N/A</v>
      </c>
      <c r="FU47" t="str">
        <f t="shared" ca="1" si="16"/>
        <v>EV47</v>
      </c>
      <c r="FV47" t="e">
        <f t="shared" ca="1" si="16"/>
        <v>#N/A</v>
      </c>
      <c r="FW47" t="e">
        <f t="shared" ca="1" si="16"/>
        <v>#N/A</v>
      </c>
      <c r="FX47" t="e">
        <f t="shared" ca="1" si="16"/>
        <v>#N/A</v>
      </c>
      <c r="FY47" t="e">
        <f t="shared" ca="1" si="16"/>
        <v>#N/A</v>
      </c>
      <c r="FZ47" t="e">
        <f t="shared" ca="1" si="16"/>
        <v>#N/A</v>
      </c>
      <c r="GA47" t="str">
        <f t="shared" ca="1" si="16"/>
        <v/>
      </c>
      <c r="GB47" t="e">
        <f t="shared" ca="1" si="16"/>
        <v>#N/A</v>
      </c>
      <c r="GC47" t="str">
        <f t="shared" ca="1" si="16"/>
        <v/>
      </c>
      <c r="GD47" t="str">
        <f t="shared" ca="1" si="16"/>
        <v/>
      </c>
      <c r="GE47">
        <f t="shared" ca="1" si="126"/>
        <v>8</v>
      </c>
      <c r="GF47" s="112">
        <f t="shared" ca="1" si="70"/>
        <v>44926</v>
      </c>
      <c r="GG47" s="112" t="e">
        <f t="shared" ca="1" si="71"/>
        <v>#N/A</v>
      </c>
      <c r="GH47" s="262" t="e">
        <f t="shared" ca="1" si="17"/>
        <v>#N/A</v>
      </c>
      <c r="GI47" s="262" t="e">
        <f t="shared" ca="1" si="17"/>
        <v>#N/A</v>
      </c>
      <c r="GJ47" s="262" t="e">
        <f t="shared" ca="1" si="17"/>
        <v>#N/A</v>
      </c>
      <c r="GK47" s="262" t="e">
        <f t="shared" ca="1" si="17"/>
        <v>#N/A</v>
      </c>
      <c r="GL47" s="262" t="e">
        <f t="shared" ca="1" si="17"/>
        <v>#N/A</v>
      </c>
      <c r="GM47" s="262">
        <f t="shared" ca="1" si="17"/>
        <v>0</v>
      </c>
      <c r="GN47" s="262" t="e">
        <f t="shared" ca="1" si="17"/>
        <v>#N/A</v>
      </c>
      <c r="GO47" s="262">
        <f t="shared" ca="1" si="72"/>
        <v>0</v>
      </c>
      <c r="GP47" s="262">
        <f t="shared" ca="1" si="73"/>
        <v>0</v>
      </c>
      <c r="GQ47" s="262" t="e">
        <f t="shared" ca="1" si="74"/>
        <v>#N/A</v>
      </c>
      <c r="GR47" s="262" t="e">
        <f t="shared" ca="1" si="75"/>
        <v>#N/A</v>
      </c>
      <c r="GS47" s="262" t="e">
        <f t="shared" ca="1" si="18"/>
        <v>#N/A</v>
      </c>
      <c r="GT47" s="253" t="str">
        <f t="shared" ca="1" si="76"/>
        <v xml:space="preserve">articolo 8
</v>
      </c>
      <c r="GU47" t="str">
        <f t="shared" ca="1" si="77"/>
        <v xml:space="preserve">con decorrenza dalla data: 31/12/2022  </v>
      </c>
      <c r="GV47" t="e">
        <f t="shared" ca="1" si="78"/>
        <v>#N/A</v>
      </c>
      <c r="GW47" t="e">
        <f t="shared" ca="1" si="139"/>
        <v>#N/A</v>
      </c>
      <c r="GX47" t="e">
        <f t="shared" ca="1" si="19"/>
        <v>#N/A</v>
      </c>
      <c r="GY47" t="e">
        <f t="shared" ca="1" si="19"/>
        <v>#N/A</v>
      </c>
      <c r="GZ47" t="e">
        <f t="shared" ca="1" si="20"/>
        <v>#N/A</v>
      </c>
      <c r="HA47" t="e">
        <f t="shared" ca="1" si="19"/>
        <v>#N/A</v>
      </c>
      <c r="HB47" t="str">
        <f t="shared" ca="1" si="19"/>
        <v/>
      </c>
      <c r="HC47" t="e">
        <f t="shared" ca="1" si="19"/>
        <v>#N/A</v>
      </c>
      <c r="HD47" t="str">
        <f t="shared" ca="1" si="79"/>
        <v/>
      </c>
      <c r="HE47" s="254" t="str">
        <f t="shared" ca="1" si="19"/>
        <v/>
      </c>
      <c r="HF47" s="254" t="e">
        <f t="shared" ca="1" si="80"/>
        <v>#N/A</v>
      </c>
      <c r="HM47" s="263" t="e">
        <f t="shared" ca="1" si="81"/>
        <v>#N/A</v>
      </c>
      <c r="HN47" s="263"/>
      <c r="HO47" s="272" t="e">
        <f t="shared" ca="1" si="21"/>
        <v>#N/A</v>
      </c>
      <c r="HP47">
        <f t="shared" ca="1" si="82"/>
        <v>8</v>
      </c>
      <c r="HQ47" t="str">
        <f t="shared" ca="1" si="83"/>
        <v/>
      </c>
      <c r="HR47" t="str">
        <f t="shared" ca="1" si="84"/>
        <v/>
      </c>
      <c r="HS47" t="str">
        <f t="shared" ca="1" si="85"/>
        <v/>
      </c>
      <c r="HX47" s="253" t="s">
        <v>187</v>
      </c>
      <c r="HY47" s="112" t="str">
        <f t="shared" si="86"/>
        <v>30/1/2001</v>
      </c>
      <c r="HZ47" t="s">
        <v>188</v>
      </c>
      <c r="IA47" s="112" t="str">
        <f t="shared" si="87"/>
        <v>30/6/2001</v>
      </c>
      <c r="IB47" t="s">
        <v>189</v>
      </c>
      <c r="IC47">
        <f t="shared" si="88"/>
        <v>0</v>
      </c>
      <c r="ID47" t="s">
        <v>192</v>
      </c>
      <c r="IE47">
        <f t="shared" si="89"/>
        <v>5</v>
      </c>
      <c r="IF47" t="s">
        <v>191</v>
      </c>
      <c r="IG47" s="254">
        <f t="shared" si="90"/>
        <v>2</v>
      </c>
      <c r="IL47" t="str">
        <f t="shared" si="91"/>
        <v xml:space="preserve">DAL: 30/1/2001 - AL:30/6/2001 - ANNI:0 - MESI:5 -GIORNI:2
</v>
      </c>
      <c r="JF47" s="112" t="str">
        <f t="shared" si="127"/>
        <v/>
      </c>
      <c r="KD47">
        <v>0</v>
      </c>
      <c r="KE47" s="260">
        <f t="shared" ca="1" si="92"/>
        <v>44926</v>
      </c>
      <c r="KF47" t="str">
        <f t="shared" si="93"/>
        <v>0-2 anni</v>
      </c>
      <c r="KG47">
        <f t="shared" si="22"/>
        <v>6</v>
      </c>
      <c r="KH47" s="238">
        <f t="shared" ca="1" si="23"/>
        <v>255</v>
      </c>
      <c r="KK47">
        <f t="shared" ca="1" si="94"/>
        <v>16218.89</v>
      </c>
      <c r="KL47" t="e">
        <f t="shared" ca="1" si="24"/>
        <v>#N/A</v>
      </c>
      <c r="KM47" t="e">
        <f t="shared" ca="1" si="24"/>
        <v>#N/A</v>
      </c>
      <c r="KN47" t="e">
        <f t="shared" ca="1" si="24"/>
        <v>#N/A</v>
      </c>
      <c r="KO47" t="e">
        <f t="shared" ca="1" si="24"/>
        <v>#N/A</v>
      </c>
      <c r="KV47" t="e">
        <f t="shared" ca="1" si="25"/>
        <v>#N/A</v>
      </c>
      <c r="LA47" s="254" t="str">
        <f t="shared" si="95"/>
        <v>0-2 anni</v>
      </c>
      <c r="LB47" s="112">
        <f t="shared" si="26"/>
        <v>36921</v>
      </c>
      <c r="LC47" s="112">
        <f t="shared" si="26"/>
        <v>37072</v>
      </c>
      <c r="LD47" t="e">
        <f t="shared" ca="1" si="96"/>
        <v>#N/A</v>
      </c>
      <c r="LE47" s="262" t="e">
        <f t="shared" ca="1" si="97"/>
        <v>#N/A</v>
      </c>
      <c r="LF47">
        <f t="shared" si="98"/>
        <v>152</v>
      </c>
      <c r="LG47" t="e">
        <f t="shared" ca="1" si="99"/>
        <v>#N/A</v>
      </c>
      <c r="LK47" s="320"/>
      <c r="LL47" s="335">
        <f ca="1">Foglio7ti!GF48</f>
        <v>46631</v>
      </c>
      <c r="LM47" s="336">
        <f t="shared" ca="1" si="27"/>
        <v>46631</v>
      </c>
      <c r="LN47" s="335"/>
      <c r="LO47" s="320">
        <f t="shared" si="100"/>
        <v>9</v>
      </c>
      <c r="LP47" s="336">
        <f t="shared" ca="1" si="28"/>
        <v>44440</v>
      </c>
      <c r="LQ47" s="335"/>
      <c r="LR47" s="320"/>
      <c r="LS47" s="319">
        <f t="shared" si="29"/>
        <v>9</v>
      </c>
      <c r="LT47" s="336">
        <f t="shared" ca="1" si="30"/>
        <v>44440</v>
      </c>
      <c r="LU47" s="320"/>
      <c r="LV47" s="320"/>
      <c r="LW47" s="336">
        <f t="shared" ca="1" si="31"/>
        <v>44926</v>
      </c>
      <c r="LX47" s="320"/>
      <c r="LY47" s="320"/>
      <c r="LZ47" s="336">
        <f t="shared" ca="1" si="32"/>
        <v>44926</v>
      </c>
      <c r="MA47" s="320"/>
      <c r="MB47" s="320"/>
      <c r="MC47" s="308">
        <f t="shared" ca="1" si="4"/>
        <v>44926</v>
      </c>
      <c r="MD47" t="e">
        <f t="shared" ca="1" si="101"/>
        <v>#VALUE!</v>
      </c>
      <c r="ME47" s="338">
        <f t="shared" ca="1" si="33"/>
        <v>44926</v>
      </c>
      <c r="MF47" s="338">
        <f t="shared" ca="1" si="102"/>
        <v>44926</v>
      </c>
      <c r="MG47" s="337" t="e">
        <f t="shared" ca="1" si="5"/>
        <v>#N/A</v>
      </c>
      <c r="MH47" s="338" t="e">
        <f t="shared" ca="1" si="35"/>
        <v>#N/A</v>
      </c>
      <c r="MI47" s="337" t="e">
        <f t="shared" ca="1" si="36"/>
        <v>#N/A</v>
      </c>
      <c r="MJ47" s="337">
        <f t="shared" ca="1" si="6"/>
        <v>26194.01</v>
      </c>
      <c r="MK47" s="337">
        <f t="shared" ca="1" si="37"/>
        <v>3</v>
      </c>
      <c r="ML47" s="337" t="str">
        <f ca="1">IF(ME47&lt;&gt;"",VLOOKUP(ME47,Foglio7ti!$GF$40:$GG$92,2),"")</f>
        <v>3-8 anni</v>
      </c>
      <c r="MM47" s="282" t="e">
        <f t="shared" ca="1" si="38"/>
        <v>#N/A</v>
      </c>
      <c r="MN47" s="282"/>
      <c r="MO47" s="320">
        <f t="shared" si="128"/>
        <v>1</v>
      </c>
      <c r="MP47" s="253" t="str">
        <f t="shared" ca="1" si="39"/>
        <v>3-8 anni</v>
      </c>
      <c r="MQ47" t="e">
        <f t="shared" ca="1" si="160"/>
        <v>#N/A</v>
      </c>
      <c r="MR47" s="238" t="e">
        <f ca="1">VLOOKUP(ME47,Foglio1ti!AB39:AZ339,13)-MQ47</f>
        <v>#N/A</v>
      </c>
      <c r="MS47" t="e">
        <f t="shared" ca="1" si="40"/>
        <v>#N/A</v>
      </c>
      <c r="MT47">
        <f t="shared" ca="1" si="41"/>
        <v>5</v>
      </c>
      <c r="MU47" s="238">
        <f ca="1">VLOOKUP(ME47,Foglio1ti!AB39:AZ339,13)-MT47</f>
        <v>256</v>
      </c>
      <c r="MV47">
        <f t="shared" ca="1" si="42"/>
        <v>26194.01</v>
      </c>
      <c r="MW47" t="e">
        <f t="shared" ca="1" si="140"/>
        <v>#N/A</v>
      </c>
      <c r="MX47">
        <f ca="1">IF(AND(frontti!$H$25="SI",ML47="3-8 anni"),INDIRECT(CONCATENATE($MR$37,"BI",MU47)),0)</f>
        <v>1188.0999999999999</v>
      </c>
      <c r="MY47" s="254"/>
    </row>
    <row r="48" spans="1:376" ht="157.9" customHeight="1" x14ac:dyDescent="0.25">
      <c r="A48" s="112">
        <f t="shared" si="141"/>
        <v>36892</v>
      </c>
      <c r="B48" s="112">
        <f t="shared" si="44"/>
        <v>37257</v>
      </c>
      <c r="E48" s="240">
        <f>Foglio3!F28</f>
        <v>37135</v>
      </c>
      <c r="F48" s="240">
        <f>Foglio3!G28</f>
        <v>37437</v>
      </c>
      <c r="G48" s="244"/>
      <c r="H48" s="245">
        <f t="shared" si="45"/>
        <v>37135</v>
      </c>
      <c r="I48" s="245">
        <f t="shared" si="8"/>
        <v>37437</v>
      </c>
      <c r="J48" s="244"/>
      <c r="K48" s="244"/>
      <c r="Q48">
        <f t="shared" si="9"/>
        <v>303</v>
      </c>
      <c r="R48">
        <f t="shared" si="142"/>
        <v>303</v>
      </c>
      <c r="S48">
        <f t="shared" si="46"/>
        <v>0</v>
      </c>
      <c r="T48">
        <f t="shared" si="129"/>
        <v>10</v>
      </c>
      <c r="U48">
        <f t="shared" si="130"/>
        <v>3</v>
      </c>
      <c r="W48">
        <f t="shared" si="131"/>
        <v>0</v>
      </c>
      <c r="X48">
        <f t="shared" si="131"/>
        <v>34</v>
      </c>
      <c r="Y48">
        <f t="shared" si="131"/>
        <v>101</v>
      </c>
      <c r="AA48" s="112">
        <f t="shared" si="103"/>
        <v>37135</v>
      </c>
      <c r="AB48" s="112">
        <f t="shared" si="104"/>
        <v>37437</v>
      </c>
      <c r="AG48">
        <f t="shared" si="47"/>
        <v>1</v>
      </c>
      <c r="AH48" s="112">
        <f t="shared" si="48"/>
        <v>37135</v>
      </c>
      <c r="AI48" s="112">
        <f t="shared" si="48"/>
        <v>37437</v>
      </c>
      <c r="AJ48">
        <f t="shared" si="49"/>
        <v>1</v>
      </c>
      <c r="AK48">
        <f t="shared" si="105"/>
        <v>0</v>
      </c>
      <c r="AL48">
        <f t="shared" si="132"/>
        <v>0</v>
      </c>
      <c r="AN48">
        <f t="shared" si="133"/>
        <v>0</v>
      </c>
      <c r="AO48">
        <f t="shared" si="134"/>
        <v>0</v>
      </c>
      <c r="AP48">
        <f t="shared" si="106"/>
        <v>0</v>
      </c>
      <c r="AS48">
        <f t="shared" si="143"/>
        <v>0</v>
      </c>
      <c r="AT48">
        <f t="shared" si="144"/>
        <v>0</v>
      </c>
      <c r="AV48">
        <f t="shared" si="145"/>
        <v>0</v>
      </c>
      <c r="AW48">
        <f t="shared" si="146"/>
        <v>0</v>
      </c>
      <c r="AX48">
        <f t="shared" si="107"/>
        <v>0</v>
      </c>
      <c r="BA48">
        <f t="shared" si="135"/>
        <v>0</v>
      </c>
      <c r="BB48">
        <f t="shared" si="136"/>
        <v>0</v>
      </c>
      <c r="BD48">
        <f t="shared" si="148"/>
        <v>0</v>
      </c>
      <c r="BE48">
        <f t="shared" si="149"/>
        <v>0</v>
      </c>
      <c r="BF48">
        <f t="shared" si="137"/>
        <v>0</v>
      </c>
      <c r="BI48">
        <f t="shared" si="150"/>
        <v>0</v>
      </c>
      <c r="BJ48">
        <f t="shared" si="153"/>
        <v>0</v>
      </c>
      <c r="BK48">
        <f t="shared" si="154"/>
        <v>0</v>
      </c>
      <c r="BL48">
        <f t="shared" si="155"/>
        <v>0</v>
      </c>
      <c r="BM48">
        <f t="shared" si="147"/>
        <v>0</v>
      </c>
      <c r="BO48">
        <f t="shared" si="156"/>
        <v>0</v>
      </c>
      <c r="BP48">
        <f t="shared" si="157"/>
        <v>0</v>
      </c>
      <c r="BR48">
        <f t="shared" si="158"/>
        <v>0</v>
      </c>
      <c r="BS48">
        <f t="shared" si="159"/>
        <v>0</v>
      </c>
      <c r="BT48">
        <f t="shared" si="151"/>
        <v>0</v>
      </c>
      <c r="BV48">
        <f t="shared" si="108"/>
        <v>0</v>
      </c>
      <c r="BX48">
        <f t="shared" si="109"/>
        <v>0</v>
      </c>
      <c r="BY48">
        <f t="shared" si="110"/>
        <v>0</v>
      </c>
      <c r="BZ48">
        <f t="shared" si="111"/>
        <v>0</v>
      </c>
      <c r="CA48">
        <f t="shared" si="112"/>
        <v>0</v>
      </c>
      <c r="CB48">
        <f t="shared" si="113"/>
        <v>0</v>
      </c>
      <c r="CG48">
        <f t="shared" si="50"/>
        <v>2001</v>
      </c>
      <c r="CH48">
        <f t="shared" si="50"/>
        <v>2002</v>
      </c>
      <c r="CJ48">
        <f t="shared" si="51"/>
        <v>0</v>
      </c>
      <c r="CK48">
        <f t="shared" si="161"/>
        <v>0</v>
      </c>
      <c r="CL48">
        <f t="shared" si="52"/>
        <v>0</v>
      </c>
      <c r="CN48">
        <f t="shared" si="53"/>
        <v>0</v>
      </c>
      <c r="CS48">
        <f t="shared" si="54"/>
        <v>303</v>
      </c>
      <c r="CT48" s="246">
        <f t="shared" si="114"/>
        <v>1121</v>
      </c>
      <c r="CV48" s="112">
        <f t="shared" si="55"/>
        <v>37437</v>
      </c>
      <c r="CX48" s="112">
        <f t="shared" si="56"/>
        <v>37411</v>
      </c>
      <c r="CY48" s="270">
        <f t="shared" si="115"/>
        <v>100000</v>
      </c>
      <c r="CZ48" s="112">
        <f t="shared" si="116"/>
        <v>100000</v>
      </c>
      <c r="DA48" s="112">
        <f t="shared" si="117"/>
        <v>100000</v>
      </c>
      <c r="DB48" s="112">
        <f t="shared" si="118"/>
        <v>100000</v>
      </c>
      <c r="DC48" s="112">
        <f t="shared" si="119"/>
        <v>100000</v>
      </c>
      <c r="DU48" s="112"/>
      <c r="DV48" s="112"/>
      <c r="DW48" s="277">
        <v>37257</v>
      </c>
      <c r="DX48" s="276"/>
      <c r="DY48" s="276"/>
      <c r="DZ48" s="276"/>
      <c r="EF48" s="260" t="str">
        <f t="shared" ref="EF48:EF78" si="162">IF(DW42&gt;=$EJ$39,DW42,"")</f>
        <v/>
      </c>
      <c r="EK48" s="254"/>
      <c r="EL48">
        <v>9</v>
      </c>
      <c r="EM48" s="260">
        <f t="shared" ca="1" si="122"/>
        <v>44926</v>
      </c>
      <c r="EN48" s="112">
        <f t="shared" ca="1" si="63"/>
        <v>44926</v>
      </c>
      <c r="EO48" s="112">
        <f t="shared" ca="1" si="64"/>
        <v>44926</v>
      </c>
      <c r="EP48" s="112">
        <f t="shared" ca="1" si="123"/>
        <v>44926</v>
      </c>
      <c r="EQ48" s="273">
        <f t="shared" ca="1" si="138"/>
        <v>44926</v>
      </c>
      <c r="ER48" s="302">
        <f t="shared" ca="1" si="65"/>
        <v>100000</v>
      </c>
      <c r="EU48" t="e">
        <f t="shared" ca="1" si="66"/>
        <v>#N/A</v>
      </c>
      <c r="EV48" s="260">
        <f t="shared" ca="1" si="124"/>
        <v>100000</v>
      </c>
      <c r="EW48" t="e">
        <f t="shared" ca="1" si="67"/>
        <v>#N/A</v>
      </c>
      <c r="EX48" t="e">
        <f t="shared" ca="1" si="12"/>
        <v>#N/A</v>
      </c>
      <c r="EY48" s="238" t="e">
        <f t="shared" ca="1" si="13"/>
        <v>#N/A</v>
      </c>
      <c r="FB48" t="e">
        <f t="shared" ca="1" si="68"/>
        <v>#N/A</v>
      </c>
      <c r="FC48" t="e">
        <f t="shared" ca="1" si="14"/>
        <v>#N/A</v>
      </c>
      <c r="FD48" t="e">
        <f t="shared" ca="1" si="14"/>
        <v>#N/A</v>
      </c>
      <c r="FE48" t="e">
        <f t="shared" ca="1" si="14"/>
        <v>#N/A</v>
      </c>
      <c r="FF48" t="e">
        <f t="shared" ca="1" si="14"/>
        <v>#N/A</v>
      </c>
      <c r="FM48" t="e">
        <f t="shared" ca="1" si="15"/>
        <v>#N/A</v>
      </c>
      <c r="FR48" s="254" t="e">
        <f t="shared" ca="1" si="69"/>
        <v>#N/A</v>
      </c>
      <c r="FS48">
        <f t="shared" si="125"/>
        <v>48</v>
      </c>
      <c r="FT48" t="e">
        <f t="shared" ca="1" si="16"/>
        <v>#N/A</v>
      </c>
      <c r="FU48" t="str">
        <f t="shared" ca="1" si="16"/>
        <v>EV48</v>
      </c>
      <c r="FV48" t="e">
        <f t="shared" ca="1" si="16"/>
        <v>#N/A</v>
      </c>
      <c r="FW48" t="e">
        <f t="shared" ca="1" si="16"/>
        <v>#N/A</v>
      </c>
      <c r="FX48" t="e">
        <f t="shared" ca="1" si="16"/>
        <v>#N/A</v>
      </c>
      <c r="FY48" t="e">
        <f t="shared" ca="1" si="16"/>
        <v>#N/A</v>
      </c>
      <c r="FZ48" t="e">
        <f t="shared" ca="1" si="16"/>
        <v>#N/A</v>
      </c>
      <c r="GA48" t="str">
        <f t="shared" ca="1" si="16"/>
        <v/>
      </c>
      <c r="GB48" t="e">
        <f t="shared" ca="1" si="16"/>
        <v>#N/A</v>
      </c>
      <c r="GC48" t="str">
        <f t="shared" ca="1" si="16"/>
        <v/>
      </c>
      <c r="GD48" t="str">
        <f t="shared" ca="1" si="16"/>
        <v/>
      </c>
      <c r="GE48">
        <f t="shared" ca="1" si="126"/>
        <v>0</v>
      </c>
      <c r="GF48" s="112">
        <f t="shared" ca="1" si="70"/>
        <v>100000</v>
      </c>
      <c r="GG48" s="112" t="e">
        <f t="shared" ca="1" si="71"/>
        <v>#N/A</v>
      </c>
      <c r="GH48" s="262" t="e">
        <f t="shared" ca="1" si="17"/>
        <v>#N/A</v>
      </c>
      <c r="GI48" s="262" t="e">
        <f t="shared" ca="1" si="17"/>
        <v>#N/A</v>
      </c>
      <c r="GJ48" s="262" t="e">
        <f t="shared" ca="1" si="17"/>
        <v>#N/A</v>
      </c>
      <c r="GK48" s="262" t="e">
        <f t="shared" ca="1" si="17"/>
        <v>#N/A</v>
      </c>
      <c r="GL48" s="262" t="e">
        <f t="shared" ca="1" si="17"/>
        <v>#N/A</v>
      </c>
      <c r="GM48" s="262">
        <f t="shared" ca="1" si="17"/>
        <v>0</v>
      </c>
      <c r="GN48" s="262" t="e">
        <f t="shared" ca="1" si="17"/>
        <v>#N/A</v>
      </c>
      <c r="GO48" s="262">
        <f t="shared" ca="1" si="72"/>
        <v>0</v>
      </c>
      <c r="GP48" s="262">
        <f t="shared" ca="1" si="73"/>
        <v>0</v>
      </c>
      <c r="GQ48" s="262" t="e">
        <f t="shared" ca="1" si="74"/>
        <v>#N/A</v>
      </c>
      <c r="GR48" s="262" t="e">
        <f t="shared" ca="1" si="75"/>
        <v>#N/A</v>
      </c>
      <c r="GS48" s="262" t="e">
        <f t="shared" ca="1" si="18"/>
        <v>#N/A</v>
      </c>
      <c r="GT48" s="253" t="str">
        <f t="shared" ca="1" si="76"/>
        <v/>
      </c>
      <c r="GU48" t="str">
        <f t="shared" ca="1" si="77"/>
        <v/>
      </c>
      <c r="GV48" t="str">
        <f t="shared" ca="1" si="78"/>
        <v/>
      </c>
      <c r="GW48" t="e">
        <f t="shared" ca="1" si="139"/>
        <v>#N/A</v>
      </c>
      <c r="GX48" t="e">
        <f t="shared" ca="1" si="19"/>
        <v>#N/A</v>
      </c>
      <c r="GY48" t="e">
        <f t="shared" ca="1" si="19"/>
        <v>#N/A</v>
      </c>
      <c r="GZ48" t="e">
        <f t="shared" ca="1" si="20"/>
        <v>#N/A</v>
      </c>
      <c r="HA48" t="e">
        <f t="shared" ca="1" si="19"/>
        <v>#N/A</v>
      </c>
      <c r="HB48" t="str">
        <f t="shared" ca="1" si="19"/>
        <v/>
      </c>
      <c r="HC48" t="e">
        <f t="shared" ca="1" si="19"/>
        <v>#N/A</v>
      </c>
      <c r="HD48" t="str">
        <f t="shared" ca="1" si="79"/>
        <v/>
      </c>
      <c r="HE48" s="254" t="str">
        <f t="shared" ca="1" si="19"/>
        <v/>
      </c>
      <c r="HF48" s="254" t="e">
        <f t="shared" ca="1" si="80"/>
        <v>#N/A</v>
      </c>
      <c r="HM48" s="263" t="e">
        <f t="shared" ca="1" si="81"/>
        <v>#N/A</v>
      </c>
      <c r="HN48" s="263"/>
      <c r="HO48" s="272" t="str">
        <f t="shared" ca="1" si="21"/>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P48">
        <f t="shared" ca="1" si="82"/>
        <v>0</v>
      </c>
      <c r="HQ48" t="str">
        <f t="shared" ca="1" si="83"/>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R48" t="str">
        <f t="shared" ca="1" si="84"/>
        <v/>
      </c>
      <c r="HS48" t="str">
        <f t="shared" ca="1" si="85"/>
        <v/>
      </c>
      <c r="HX48" s="253" t="s">
        <v>187</v>
      </c>
      <c r="HY48" s="112" t="str">
        <f t="shared" si="86"/>
        <v>1/9/2001</v>
      </c>
      <c r="HZ48" t="s">
        <v>188</v>
      </c>
      <c r="IA48" s="112" t="str">
        <f t="shared" si="87"/>
        <v>30/6/2002</v>
      </c>
      <c r="IB48" t="s">
        <v>189</v>
      </c>
      <c r="IC48">
        <f t="shared" si="88"/>
        <v>0</v>
      </c>
      <c r="ID48" t="s">
        <v>192</v>
      </c>
      <c r="IE48">
        <f t="shared" si="89"/>
        <v>10</v>
      </c>
      <c r="IF48" t="s">
        <v>191</v>
      </c>
      <c r="IG48" s="254">
        <f t="shared" si="90"/>
        <v>3</v>
      </c>
      <c r="IL48" t="str">
        <f t="shared" si="91"/>
        <v xml:space="preserve">DAL: 1/9/2001 - AL:30/6/2002 - ANNI:0 - MESI:10 -GIORNI:3
</v>
      </c>
      <c r="JF48" s="112" t="str">
        <f t="shared" si="127"/>
        <v/>
      </c>
      <c r="KD48">
        <v>0</v>
      </c>
      <c r="KE48" s="260">
        <f t="shared" ca="1" si="92"/>
        <v>100000</v>
      </c>
      <c r="KF48" t="str">
        <f t="shared" si="93"/>
        <v>0-2 anni</v>
      </c>
      <c r="KG48">
        <f t="shared" si="22"/>
        <v>6</v>
      </c>
      <c r="KH48" s="238">
        <f t="shared" ca="1" si="23"/>
        <v>255</v>
      </c>
      <c r="KK48">
        <f t="shared" ca="1" si="94"/>
        <v>16218.89</v>
      </c>
      <c r="KL48" t="e">
        <f t="shared" ca="1" si="24"/>
        <v>#N/A</v>
      </c>
      <c r="KM48" t="e">
        <f t="shared" ca="1" si="24"/>
        <v>#N/A</v>
      </c>
      <c r="KN48" t="e">
        <f t="shared" ca="1" si="24"/>
        <v>#N/A</v>
      </c>
      <c r="KO48" t="e">
        <f t="shared" ca="1" si="24"/>
        <v>#N/A</v>
      </c>
      <c r="KV48" t="e">
        <f t="shared" ca="1" si="25"/>
        <v>#N/A</v>
      </c>
      <c r="LA48" s="254" t="str">
        <f t="shared" si="95"/>
        <v>0-2 anni</v>
      </c>
      <c r="LB48" s="112">
        <f t="shared" si="26"/>
        <v>37135</v>
      </c>
      <c r="LC48" s="112">
        <f t="shared" si="26"/>
        <v>37437</v>
      </c>
      <c r="LD48" t="e">
        <f t="shared" ca="1" si="96"/>
        <v>#N/A</v>
      </c>
      <c r="LE48" s="262" t="e">
        <f t="shared" ca="1" si="97"/>
        <v>#N/A</v>
      </c>
      <c r="LF48">
        <f t="shared" si="98"/>
        <v>303</v>
      </c>
      <c r="LG48" t="e">
        <f t="shared" ca="1" si="99"/>
        <v>#N/A</v>
      </c>
      <c r="LK48" s="320"/>
      <c r="LL48" s="335">
        <f ca="1">Foglio7ti!GF49</f>
        <v>48823</v>
      </c>
      <c r="LM48" s="336">
        <f t="shared" ca="1" si="27"/>
        <v>48823</v>
      </c>
      <c r="LN48" s="335"/>
      <c r="LO48" s="320">
        <f t="shared" si="100"/>
        <v>10</v>
      </c>
      <c r="LP48" s="336">
        <f t="shared" ca="1" si="28"/>
        <v>44562</v>
      </c>
      <c r="LQ48" s="335"/>
      <c r="LR48" s="320"/>
      <c r="LS48" s="319">
        <f t="shared" si="29"/>
        <v>10</v>
      </c>
      <c r="LT48" s="336">
        <f t="shared" ca="1" si="30"/>
        <v>100000</v>
      </c>
      <c r="LU48" s="320"/>
      <c r="LV48" s="320"/>
      <c r="LW48" s="336">
        <f t="shared" ca="1" si="31"/>
        <v>46631</v>
      </c>
      <c r="LX48" s="320"/>
      <c r="LY48" s="320"/>
      <c r="LZ48" s="336">
        <f t="shared" ca="1" si="32"/>
        <v>46631</v>
      </c>
      <c r="MA48" s="320"/>
      <c r="MB48" s="320"/>
      <c r="MC48" s="308">
        <f t="shared" ca="1" si="4"/>
        <v>100000</v>
      </c>
      <c r="MD48" t="str">
        <f t="shared" ca="1" si="101"/>
        <v/>
      </c>
      <c r="ME48" s="338" t="str">
        <f t="shared" ca="1" si="33"/>
        <v/>
      </c>
      <c r="MF48" s="338" t="str">
        <f t="shared" ca="1" si="102"/>
        <v/>
      </c>
      <c r="MG48" s="337" t="str">
        <f t="shared" ca="1" si="5"/>
        <v/>
      </c>
      <c r="MH48" s="338" t="str">
        <f t="shared" ca="1" si="35"/>
        <v/>
      </c>
      <c r="MI48" s="337" t="str">
        <f t="shared" ca="1" si="36"/>
        <v/>
      </c>
      <c r="MJ48" s="337" t="str">
        <f t="shared" ca="1" si="6"/>
        <v/>
      </c>
      <c r="MK48" s="337" t="str">
        <f t="shared" ca="1" si="37"/>
        <v/>
      </c>
      <c r="ML48" s="337" t="str">
        <f ca="1">IF(ME48&lt;&gt;"",VLOOKUP(ME48,Foglio7ti!$GF$40:$GG$92,2),"")</f>
        <v/>
      </c>
      <c r="MM48" s="282" t="str">
        <f t="shared" ca="1" si="38"/>
        <v/>
      </c>
      <c r="MN48" s="282"/>
      <c r="MO48" s="320">
        <f t="shared" si="128"/>
        <v>1</v>
      </c>
      <c r="MP48" s="253" t="str">
        <f t="shared" ca="1" si="39"/>
        <v/>
      </c>
      <c r="MQ48" t="e">
        <f t="shared" ca="1" si="160"/>
        <v>#N/A</v>
      </c>
      <c r="MR48" s="238" t="e">
        <f ca="1">VLOOKUP(ME48,Foglio1ti!AB40:AZ340,13)-MQ48</f>
        <v>#N/A</v>
      </c>
      <c r="MS48" t="e">
        <f t="shared" ca="1" si="40"/>
        <v>#N/A</v>
      </c>
      <c r="MT48" t="e">
        <f t="shared" ca="1" si="41"/>
        <v>#N/A</v>
      </c>
      <c r="MU48" s="238" t="e">
        <f ca="1">VLOOKUP(ME48,Foglio1ti!AB40:AZ340,13)-MT48</f>
        <v>#N/A</v>
      </c>
      <c r="MV48" t="e">
        <f t="shared" ca="1" si="42"/>
        <v>#N/A</v>
      </c>
      <c r="MW48">
        <f t="shared" ca="1" si="140"/>
        <v>0</v>
      </c>
      <c r="MX48">
        <f ca="1">IF(AND(frontti!$H$25="SI",ML48="3-8 anni"),INDIRECT(CONCATENATE($MR$37,"BI",MU48)),0)</f>
        <v>0</v>
      </c>
      <c r="MY48" s="254"/>
    </row>
    <row r="49" spans="1:363" ht="154.9" customHeight="1" x14ac:dyDescent="0.25">
      <c r="A49" s="112">
        <f t="shared" si="141"/>
        <v>36770</v>
      </c>
      <c r="B49" s="112">
        <f t="shared" si="44"/>
        <v>36892</v>
      </c>
      <c r="D49" s="112"/>
      <c r="E49" s="240">
        <f>Foglio3!F29</f>
        <v>37167</v>
      </c>
      <c r="F49" s="240">
        <f>Foglio3!G29</f>
        <v>37200</v>
      </c>
      <c r="G49" s="244"/>
      <c r="H49" s="245">
        <f t="shared" si="45"/>
        <v>37167</v>
      </c>
      <c r="I49" s="245">
        <f t="shared" si="8"/>
        <v>37200</v>
      </c>
      <c r="J49" s="244"/>
      <c r="K49" s="244"/>
      <c r="Q49">
        <f t="shared" si="9"/>
        <v>34</v>
      </c>
      <c r="R49">
        <f t="shared" si="142"/>
        <v>0</v>
      </c>
      <c r="S49">
        <f t="shared" si="46"/>
        <v>0</v>
      </c>
      <c r="T49">
        <f t="shared" si="129"/>
        <v>0</v>
      </c>
      <c r="U49">
        <f t="shared" si="130"/>
        <v>0</v>
      </c>
      <c r="W49">
        <f t="shared" si="131"/>
        <v>0</v>
      </c>
      <c r="X49">
        <f t="shared" si="131"/>
        <v>34</v>
      </c>
      <c r="Y49">
        <f t="shared" si="131"/>
        <v>101</v>
      </c>
      <c r="AA49" s="112">
        <f t="shared" si="103"/>
        <v>37167</v>
      </c>
      <c r="AB49" s="112">
        <f t="shared" si="104"/>
        <v>37200</v>
      </c>
      <c r="AG49">
        <f t="shared" si="47"/>
        <v>1</v>
      </c>
      <c r="AH49" s="112">
        <f t="shared" si="48"/>
        <v>37167</v>
      </c>
      <c r="AI49" s="112">
        <f t="shared" si="48"/>
        <v>37200</v>
      </c>
      <c r="AJ49">
        <f t="shared" si="49"/>
        <v>1</v>
      </c>
      <c r="AK49">
        <f t="shared" si="105"/>
        <v>1</v>
      </c>
      <c r="AL49">
        <f t="shared" si="132"/>
        <v>0</v>
      </c>
      <c r="AN49">
        <f t="shared" si="133"/>
        <v>34</v>
      </c>
      <c r="AO49">
        <f t="shared" si="134"/>
        <v>0</v>
      </c>
      <c r="AP49">
        <f t="shared" si="106"/>
        <v>34</v>
      </c>
      <c r="AS49">
        <f t="shared" si="143"/>
        <v>0</v>
      </c>
      <c r="AT49">
        <f t="shared" si="144"/>
        <v>0</v>
      </c>
      <c r="AV49">
        <f t="shared" si="145"/>
        <v>0</v>
      </c>
      <c r="AW49">
        <f t="shared" si="146"/>
        <v>0</v>
      </c>
      <c r="AX49">
        <f t="shared" si="107"/>
        <v>0</v>
      </c>
      <c r="BA49">
        <f t="shared" si="135"/>
        <v>0</v>
      </c>
      <c r="BB49">
        <f t="shared" si="136"/>
        <v>0</v>
      </c>
      <c r="BD49">
        <f t="shared" si="148"/>
        <v>0</v>
      </c>
      <c r="BE49">
        <f t="shared" si="149"/>
        <v>0</v>
      </c>
      <c r="BF49">
        <f t="shared" si="137"/>
        <v>0</v>
      </c>
      <c r="BI49">
        <f t="shared" si="150"/>
        <v>0</v>
      </c>
      <c r="BJ49">
        <f t="shared" si="153"/>
        <v>0</v>
      </c>
      <c r="BK49">
        <f t="shared" si="154"/>
        <v>0</v>
      </c>
      <c r="BL49">
        <f t="shared" si="155"/>
        <v>0</v>
      </c>
      <c r="BM49">
        <f t="shared" si="147"/>
        <v>0</v>
      </c>
      <c r="BO49">
        <f t="shared" si="156"/>
        <v>0</v>
      </c>
      <c r="BP49">
        <f t="shared" si="157"/>
        <v>0</v>
      </c>
      <c r="BR49">
        <f t="shared" si="158"/>
        <v>0</v>
      </c>
      <c r="BS49">
        <f t="shared" si="159"/>
        <v>0</v>
      </c>
      <c r="BT49">
        <f t="shared" si="151"/>
        <v>0</v>
      </c>
      <c r="BV49">
        <f t="shared" si="108"/>
        <v>34</v>
      </c>
      <c r="BX49">
        <f t="shared" si="109"/>
        <v>34</v>
      </c>
      <c r="BY49">
        <f t="shared" si="110"/>
        <v>0</v>
      </c>
      <c r="BZ49">
        <f t="shared" si="111"/>
        <v>0</v>
      </c>
      <c r="CA49">
        <f t="shared" si="112"/>
        <v>0</v>
      </c>
      <c r="CB49">
        <f t="shared" si="113"/>
        <v>0</v>
      </c>
      <c r="CG49">
        <f t="shared" si="50"/>
        <v>2001</v>
      </c>
      <c r="CH49">
        <f t="shared" si="50"/>
        <v>2001</v>
      </c>
      <c r="CJ49">
        <f t="shared" si="51"/>
        <v>0</v>
      </c>
      <c r="CK49">
        <f t="shared" si="161"/>
        <v>0</v>
      </c>
      <c r="CL49">
        <f t="shared" si="52"/>
        <v>0</v>
      </c>
      <c r="CN49">
        <f t="shared" si="53"/>
        <v>0</v>
      </c>
      <c r="CS49">
        <f t="shared" si="54"/>
        <v>0</v>
      </c>
      <c r="CT49" s="246">
        <f t="shared" si="114"/>
        <v>1121</v>
      </c>
      <c r="CV49" s="112">
        <f t="shared" si="55"/>
        <v>37200</v>
      </c>
      <c r="CX49" s="112">
        <f t="shared" si="56"/>
        <v>100000</v>
      </c>
      <c r="CY49" s="270">
        <f t="shared" si="115"/>
        <v>100000</v>
      </c>
      <c r="CZ49" s="112">
        <f t="shared" si="116"/>
        <v>100000</v>
      </c>
      <c r="DA49" s="112">
        <f t="shared" si="117"/>
        <v>100000</v>
      </c>
      <c r="DB49" s="112">
        <f t="shared" si="118"/>
        <v>100000</v>
      </c>
      <c r="DC49" s="112">
        <f t="shared" si="119"/>
        <v>100000</v>
      </c>
      <c r="DU49" s="112"/>
      <c r="DV49" s="112"/>
      <c r="DW49" s="277">
        <v>37622</v>
      </c>
      <c r="DX49" s="276"/>
      <c r="DY49" s="276"/>
      <c r="DZ49" s="276"/>
      <c r="EF49" s="260" t="str">
        <f t="shared" si="162"/>
        <v/>
      </c>
      <c r="EK49" s="254"/>
      <c r="EL49">
        <v>10</v>
      </c>
      <c r="EM49" s="260">
        <f t="shared" ca="1" si="122"/>
        <v>100000</v>
      </c>
      <c r="EN49" s="112">
        <f t="shared" ca="1" si="63"/>
        <v>100000</v>
      </c>
      <c r="EO49" s="112">
        <f t="shared" ca="1" si="64"/>
        <v>100000</v>
      </c>
      <c r="EP49" s="112">
        <f t="shared" ca="1" si="123"/>
        <v>100000</v>
      </c>
      <c r="EQ49" s="273">
        <f t="shared" ca="1" si="138"/>
        <v>100000</v>
      </c>
      <c r="ER49" s="302">
        <f t="shared" ca="1" si="65"/>
        <v>100000</v>
      </c>
      <c r="EU49" t="e">
        <f t="shared" ca="1" si="66"/>
        <v>#N/A</v>
      </c>
      <c r="EV49" s="260">
        <f t="shared" ca="1" si="124"/>
        <v>100000</v>
      </c>
      <c r="EW49" t="e">
        <f t="shared" ca="1" si="67"/>
        <v>#N/A</v>
      </c>
      <c r="EX49" t="e">
        <f t="shared" ca="1" si="12"/>
        <v>#N/A</v>
      </c>
      <c r="EY49" s="238" t="e">
        <f t="shared" ca="1" si="13"/>
        <v>#N/A</v>
      </c>
      <c r="FB49" t="e">
        <f t="shared" ca="1" si="68"/>
        <v>#N/A</v>
      </c>
      <c r="FC49" t="e">
        <f ca="1">INDIRECT(CONCATENATE($FA$35,FC$35,$EY49))</f>
        <v>#N/A</v>
      </c>
      <c r="FD49" t="e">
        <f t="shared" ca="1" si="14"/>
        <v>#N/A</v>
      </c>
      <c r="FE49" t="e">
        <f t="shared" ca="1" si="14"/>
        <v>#N/A</v>
      </c>
      <c r="FF49" t="e">
        <f t="shared" ca="1" si="14"/>
        <v>#N/A</v>
      </c>
      <c r="FM49" t="e">
        <f t="shared" ca="1" si="15"/>
        <v>#N/A</v>
      </c>
      <c r="FR49" s="254" t="e">
        <f t="shared" ca="1" si="69"/>
        <v>#N/A</v>
      </c>
      <c r="FS49">
        <f t="shared" si="125"/>
        <v>49</v>
      </c>
      <c r="FT49" t="e">
        <f t="shared" ca="1" si="16"/>
        <v>#N/A</v>
      </c>
      <c r="FU49" t="str">
        <f t="shared" ca="1" si="16"/>
        <v>EV49</v>
      </c>
      <c r="FV49" t="e">
        <f t="shared" ca="1" si="16"/>
        <v>#N/A</v>
      </c>
      <c r="FW49" t="e">
        <f t="shared" ca="1" si="16"/>
        <v>#N/A</v>
      </c>
      <c r="FX49" t="e">
        <f t="shared" ca="1" si="16"/>
        <v>#N/A</v>
      </c>
      <c r="FY49" t="e">
        <f t="shared" ca="1" si="16"/>
        <v>#N/A</v>
      </c>
      <c r="FZ49" t="e">
        <f t="shared" ca="1" si="16"/>
        <v>#N/A</v>
      </c>
      <c r="GA49" t="str">
        <f t="shared" ca="1" si="16"/>
        <v/>
      </c>
      <c r="GB49" t="e">
        <f t="shared" ca="1" si="16"/>
        <v>#N/A</v>
      </c>
      <c r="GC49" t="str">
        <f t="shared" ca="1" si="16"/>
        <v/>
      </c>
      <c r="GD49" t="str">
        <f t="shared" ca="1" si="16"/>
        <v/>
      </c>
      <c r="GE49">
        <f t="shared" ca="1" si="126"/>
        <v>0</v>
      </c>
      <c r="GF49" s="112">
        <f t="shared" ca="1" si="70"/>
        <v>100000</v>
      </c>
      <c r="GG49" s="112" t="e">
        <f t="shared" ca="1" si="71"/>
        <v>#N/A</v>
      </c>
      <c r="GH49" s="262" t="e">
        <f t="shared" ca="1" si="17"/>
        <v>#N/A</v>
      </c>
      <c r="GI49" s="262" t="e">
        <f t="shared" ca="1" si="17"/>
        <v>#N/A</v>
      </c>
      <c r="GJ49" s="262" t="e">
        <f t="shared" ca="1" si="17"/>
        <v>#N/A</v>
      </c>
      <c r="GK49" s="262" t="e">
        <f t="shared" ca="1" si="17"/>
        <v>#N/A</v>
      </c>
      <c r="GL49" s="262" t="e">
        <f t="shared" ca="1" si="17"/>
        <v>#N/A</v>
      </c>
      <c r="GM49" s="262">
        <f t="shared" ca="1" si="17"/>
        <v>0</v>
      </c>
      <c r="GN49" s="262" t="e">
        <f t="shared" ca="1" si="17"/>
        <v>#N/A</v>
      </c>
      <c r="GO49" s="262">
        <f t="shared" ca="1" si="72"/>
        <v>0</v>
      </c>
      <c r="GP49" s="262">
        <f t="shared" ca="1" si="73"/>
        <v>0</v>
      </c>
      <c r="GR49" s="262" t="e">
        <f t="shared" ca="1" si="75"/>
        <v>#N/A</v>
      </c>
      <c r="GS49" s="262" t="e">
        <f t="shared" ca="1" si="18"/>
        <v>#N/A</v>
      </c>
      <c r="GT49" s="253" t="str">
        <f t="shared" ca="1" si="76"/>
        <v/>
      </c>
      <c r="GU49" t="str">
        <f t="shared" ca="1" si="77"/>
        <v/>
      </c>
      <c r="GV49" t="str">
        <f t="shared" ca="1" si="78"/>
        <v/>
      </c>
      <c r="GW49" t="e">
        <f t="shared" ca="1" si="139"/>
        <v>#N/A</v>
      </c>
      <c r="GX49" t="e">
        <f t="shared" ca="1" si="19"/>
        <v>#N/A</v>
      </c>
      <c r="GY49" t="e">
        <f t="shared" ca="1" si="19"/>
        <v>#N/A</v>
      </c>
      <c r="GZ49" t="e">
        <f t="shared" ca="1" si="20"/>
        <v>#N/A</v>
      </c>
      <c r="HA49" t="e">
        <f t="shared" ca="1" si="19"/>
        <v>#N/A</v>
      </c>
      <c r="HB49" t="str">
        <f t="shared" ca="1" si="19"/>
        <v/>
      </c>
      <c r="HC49" t="e">
        <f t="shared" ca="1" si="19"/>
        <v>#N/A</v>
      </c>
      <c r="HD49" t="str">
        <f t="shared" ca="1" si="79"/>
        <v/>
      </c>
      <c r="HE49" s="254" t="str">
        <f t="shared" ca="1" si="19"/>
        <v/>
      </c>
      <c r="HF49" s="254" t="e">
        <f t="shared" ca="1" si="80"/>
        <v>#N/A</v>
      </c>
      <c r="HM49" s="263" t="e">
        <f t="shared" ca="1" si="81"/>
        <v>#N/A</v>
      </c>
      <c r="HN49" s="263"/>
      <c r="HO49" s="272" t="str">
        <f t="shared" ca="1" si="21"/>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P49">
        <f t="shared" ca="1" si="82"/>
        <v>0</v>
      </c>
      <c r="HQ49" t="str">
        <f t="shared" ca="1" si="83"/>
        <v/>
      </c>
      <c r="HR49" t="str">
        <f t="shared" ca="1" si="84"/>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S49" t="str">
        <f t="shared" ca="1" si="85"/>
        <v/>
      </c>
      <c r="HX49" s="253" t="s">
        <v>187</v>
      </c>
      <c r="HY49" s="112" t="str">
        <f t="shared" si="86"/>
        <v>3/10/2001</v>
      </c>
      <c r="HZ49" t="s">
        <v>188</v>
      </c>
      <c r="IA49" s="112" t="str">
        <f t="shared" si="87"/>
        <v>5/11/2001</v>
      </c>
      <c r="IB49" t="s">
        <v>189</v>
      </c>
      <c r="IC49">
        <f t="shared" si="88"/>
        <v>0</v>
      </c>
      <c r="ID49" t="s">
        <v>192</v>
      </c>
      <c r="IE49">
        <f t="shared" si="89"/>
        <v>0</v>
      </c>
      <c r="IF49" t="s">
        <v>191</v>
      </c>
      <c r="IG49" s="254">
        <f t="shared" si="90"/>
        <v>0</v>
      </c>
      <c r="IL49" t="str">
        <f t="shared" si="91"/>
        <v xml:space="preserve">DAL: 3/10/2001 - AL:5/11/2001 - ANNI:0 - MESI:0 -GIORNI:0
</v>
      </c>
      <c r="JF49" s="112" t="str">
        <f>IF(DP51=0,"",CONCATENATE(DAY(DP51),"/",MONTH(DP51),"/",YEAR(DP51),"
"))</f>
        <v/>
      </c>
      <c r="KD49">
        <v>0</v>
      </c>
      <c r="KE49" s="260">
        <f t="shared" ca="1" si="92"/>
        <v>100000</v>
      </c>
      <c r="KF49" t="str">
        <f t="shared" si="93"/>
        <v>0-2 anni</v>
      </c>
      <c r="KG49">
        <f t="shared" si="22"/>
        <v>6</v>
      </c>
      <c r="KH49" s="238">
        <f t="shared" ca="1" si="23"/>
        <v>255</v>
      </c>
      <c r="KK49">
        <f t="shared" ca="1" si="94"/>
        <v>16218.89</v>
      </c>
      <c r="KL49" t="e">
        <f t="shared" ca="1" si="24"/>
        <v>#N/A</v>
      </c>
      <c r="KM49" t="e">
        <f t="shared" ca="1" si="24"/>
        <v>#N/A</v>
      </c>
      <c r="KN49" t="e">
        <f t="shared" ca="1" si="24"/>
        <v>#N/A</v>
      </c>
      <c r="KO49" t="e">
        <f t="shared" ca="1" si="24"/>
        <v>#N/A</v>
      </c>
      <c r="KV49" t="e">
        <f t="shared" ca="1" si="25"/>
        <v>#N/A</v>
      </c>
      <c r="LA49" s="254" t="str">
        <f t="shared" si="95"/>
        <v>0-2 anni</v>
      </c>
      <c r="LB49" s="112">
        <f t="shared" si="26"/>
        <v>37167</v>
      </c>
      <c r="LC49" s="112">
        <f t="shared" si="26"/>
        <v>37200</v>
      </c>
      <c r="LD49" t="e">
        <f t="shared" ca="1" si="96"/>
        <v>#N/A</v>
      </c>
      <c r="LE49" s="262" t="e">
        <f t="shared" ca="1" si="97"/>
        <v>#N/A</v>
      </c>
      <c r="LF49">
        <f t="shared" si="98"/>
        <v>0</v>
      </c>
      <c r="LG49" t="e">
        <f t="shared" ca="1" si="99"/>
        <v>#N/A</v>
      </c>
      <c r="LK49" s="320"/>
      <c r="LL49" s="335">
        <f ca="1">Foglio7ti!GF50</f>
        <v>51014</v>
      </c>
      <c r="LM49" s="336">
        <f t="shared" ca="1" si="27"/>
        <v>51014</v>
      </c>
      <c r="LN49" s="335"/>
      <c r="LO49" s="320">
        <f t="shared" si="100"/>
        <v>11</v>
      </c>
      <c r="LP49" s="336">
        <f t="shared" ca="1" si="28"/>
        <v>44562</v>
      </c>
      <c r="LQ49" s="335"/>
      <c r="LR49" s="320"/>
      <c r="LS49" s="319">
        <f t="shared" si="29"/>
        <v>11</v>
      </c>
      <c r="LT49" s="336">
        <f t="shared" ca="1" si="30"/>
        <v>44562</v>
      </c>
      <c r="LU49" s="320"/>
      <c r="LV49" s="320"/>
      <c r="LW49" s="336">
        <f t="shared" ca="1" si="31"/>
        <v>48823</v>
      </c>
      <c r="LX49" s="320"/>
      <c r="LY49" s="320"/>
      <c r="LZ49" s="336">
        <f t="shared" ca="1" si="32"/>
        <v>48823</v>
      </c>
      <c r="MA49" s="320"/>
      <c r="MB49" s="320"/>
      <c r="MC49" s="308">
        <f t="shared" ca="1" si="4"/>
        <v>100000</v>
      </c>
      <c r="MD49" t="str">
        <f t="shared" ca="1" si="101"/>
        <v/>
      </c>
      <c r="ME49" s="338" t="str">
        <f t="shared" ca="1" si="33"/>
        <v/>
      </c>
      <c r="MF49" s="338" t="str">
        <f t="shared" ca="1" si="102"/>
        <v/>
      </c>
      <c r="MG49" s="337" t="str">
        <f t="shared" ca="1" si="5"/>
        <v/>
      </c>
      <c r="MH49" s="338" t="str">
        <f t="shared" ca="1" si="35"/>
        <v/>
      </c>
      <c r="MI49" s="337" t="str">
        <f t="shared" ca="1" si="36"/>
        <v/>
      </c>
      <c r="MJ49" s="337" t="str">
        <f t="shared" ca="1" si="6"/>
        <v/>
      </c>
      <c r="MK49" s="337" t="str">
        <f t="shared" ca="1" si="37"/>
        <v/>
      </c>
      <c r="ML49" s="337" t="str">
        <f ca="1">IF(ME49&lt;&gt;"",VLOOKUP(ME49,Foglio7ti!$GF$40:$GG$92,2),"")</f>
        <v/>
      </c>
      <c r="MM49" s="282" t="str">
        <f t="shared" ca="1" si="38"/>
        <v/>
      </c>
      <c r="MN49" s="282"/>
      <c r="MO49" s="320">
        <f t="shared" si="128"/>
        <v>1</v>
      </c>
      <c r="MP49" s="253" t="str">
        <f t="shared" ca="1" si="39"/>
        <v/>
      </c>
      <c r="MQ49" t="e">
        <f t="shared" ca="1" si="160"/>
        <v>#N/A</v>
      </c>
      <c r="MR49" s="238" t="e">
        <f ca="1">VLOOKUP(ME49,Foglio1ti!AB41:AZ341,13)-MQ49</f>
        <v>#N/A</v>
      </c>
      <c r="MS49" t="e">
        <f t="shared" ca="1" si="40"/>
        <v>#N/A</v>
      </c>
      <c r="MT49" t="e">
        <f t="shared" ca="1" si="41"/>
        <v>#N/A</v>
      </c>
      <c r="MU49" s="238" t="e">
        <f ca="1">VLOOKUP(ME49,Foglio1ti!AB41:AZ341,13)-MT49</f>
        <v>#N/A</v>
      </c>
      <c r="MV49" t="e">
        <f t="shared" ca="1" si="42"/>
        <v>#N/A</v>
      </c>
      <c r="MW49">
        <f t="shared" ca="1" si="140"/>
        <v>0</v>
      </c>
      <c r="MX49">
        <f ca="1">IF(AND(frontti!$H$25="SI",ML49="3-8 anni"),INDIRECT(CONCATENATE($MR$37,"BI",MU49)),0)</f>
        <v>0</v>
      </c>
      <c r="MY49" s="254"/>
    </row>
    <row r="50" spans="1:363" ht="90.6" customHeight="1" x14ac:dyDescent="0.25">
      <c r="A50" s="112">
        <f t="shared" si="141"/>
        <v>36770</v>
      </c>
      <c r="B50" s="112">
        <f t="shared" si="44"/>
        <v>36892</v>
      </c>
      <c r="E50" s="240">
        <f>Foglio3!F30</f>
        <v>37167</v>
      </c>
      <c r="F50" s="240">
        <f>Foglio3!G30</f>
        <v>37200</v>
      </c>
      <c r="G50" s="244"/>
      <c r="H50" s="245">
        <f t="shared" si="45"/>
        <v>37167</v>
      </c>
      <c r="I50" s="245">
        <f t="shared" si="8"/>
        <v>37200</v>
      </c>
      <c r="J50" s="244"/>
      <c r="K50" s="244"/>
      <c r="Q50">
        <f t="shared" si="9"/>
        <v>34</v>
      </c>
      <c r="R50">
        <f t="shared" si="142"/>
        <v>0</v>
      </c>
      <c r="S50">
        <f t="shared" si="46"/>
        <v>0</v>
      </c>
      <c r="T50">
        <f t="shared" si="129"/>
        <v>0</v>
      </c>
      <c r="U50">
        <f t="shared" si="130"/>
        <v>0</v>
      </c>
      <c r="W50">
        <f t="shared" si="131"/>
        <v>0</v>
      </c>
      <c r="X50">
        <f t="shared" si="131"/>
        <v>34</v>
      </c>
      <c r="Y50">
        <f t="shared" si="131"/>
        <v>101</v>
      </c>
      <c r="AA50" s="112">
        <f t="shared" si="103"/>
        <v>37167</v>
      </c>
      <c r="AB50" s="112">
        <f t="shared" si="104"/>
        <v>37200</v>
      </c>
      <c r="AG50">
        <f t="shared" si="47"/>
        <v>1</v>
      </c>
      <c r="AH50" s="112">
        <f t="shared" si="48"/>
        <v>37167</v>
      </c>
      <c r="AI50" s="112">
        <f t="shared" si="48"/>
        <v>37200</v>
      </c>
      <c r="AJ50">
        <f t="shared" si="49"/>
        <v>1</v>
      </c>
      <c r="AK50">
        <f t="shared" si="105"/>
        <v>1</v>
      </c>
      <c r="AL50">
        <f t="shared" si="132"/>
        <v>0</v>
      </c>
      <c r="AN50">
        <f t="shared" si="133"/>
        <v>34</v>
      </c>
      <c r="AO50">
        <f t="shared" si="134"/>
        <v>0</v>
      </c>
      <c r="AP50">
        <f t="shared" si="106"/>
        <v>34</v>
      </c>
      <c r="AS50">
        <f t="shared" si="143"/>
        <v>1</v>
      </c>
      <c r="AT50">
        <f t="shared" si="144"/>
        <v>0</v>
      </c>
      <c r="AV50">
        <f t="shared" si="145"/>
        <v>34</v>
      </c>
      <c r="AW50">
        <f t="shared" si="146"/>
        <v>0</v>
      </c>
      <c r="AX50">
        <f t="shared" si="107"/>
        <v>34</v>
      </c>
      <c r="BA50">
        <f>IF(AND(AH50&lt;=AI47,AI50&lt;=AI47),1,0)*AJ50</f>
        <v>0</v>
      </c>
      <c r="BB50">
        <f>IF(AND(AH50&lt;=AI47,AI50&gt;AI47),1,0)*AJ50</f>
        <v>0</v>
      </c>
      <c r="BD50">
        <f t="shared" si="148"/>
        <v>0</v>
      </c>
      <c r="BE50">
        <f t="shared" si="149"/>
        <v>0</v>
      </c>
      <c r="BF50">
        <f t="shared" si="137"/>
        <v>0</v>
      </c>
      <c r="BI50">
        <f t="shared" si="150"/>
        <v>0</v>
      </c>
      <c r="BJ50">
        <f t="shared" si="153"/>
        <v>0</v>
      </c>
      <c r="BK50">
        <f t="shared" si="154"/>
        <v>0</v>
      </c>
      <c r="BL50">
        <f t="shared" si="155"/>
        <v>0</v>
      </c>
      <c r="BM50">
        <f t="shared" si="147"/>
        <v>0</v>
      </c>
      <c r="BO50">
        <f t="shared" si="156"/>
        <v>0</v>
      </c>
      <c r="BP50">
        <f t="shared" si="157"/>
        <v>0</v>
      </c>
      <c r="BR50">
        <f t="shared" si="158"/>
        <v>0</v>
      </c>
      <c r="BS50">
        <f t="shared" si="159"/>
        <v>0</v>
      </c>
      <c r="BT50">
        <f t="shared" si="151"/>
        <v>0</v>
      </c>
      <c r="BV50">
        <f t="shared" si="108"/>
        <v>34</v>
      </c>
      <c r="BX50">
        <f t="shared" si="109"/>
        <v>34</v>
      </c>
      <c r="BY50">
        <f t="shared" si="110"/>
        <v>34</v>
      </c>
      <c r="BZ50">
        <f t="shared" si="111"/>
        <v>0</v>
      </c>
      <c r="CA50">
        <f t="shared" si="112"/>
        <v>0</v>
      </c>
      <c r="CB50">
        <f t="shared" si="113"/>
        <v>0</v>
      </c>
      <c r="CG50">
        <f t="shared" si="50"/>
        <v>2001</v>
      </c>
      <c r="CH50">
        <f t="shared" si="50"/>
        <v>2001</v>
      </c>
      <c r="CJ50">
        <f t="shared" si="51"/>
        <v>0</v>
      </c>
      <c r="CK50">
        <f t="shared" si="161"/>
        <v>0</v>
      </c>
      <c r="CL50">
        <f t="shared" si="52"/>
        <v>0</v>
      </c>
      <c r="CN50">
        <f t="shared" si="53"/>
        <v>0</v>
      </c>
      <c r="CS50">
        <f t="shared" si="54"/>
        <v>0</v>
      </c>
      <c r="CT50" s="246">
        <f t="shared" si="114"/>
        <v>1121</v>
      </c>
      <c r="CV50" s="112">
        <f t="shared" si="55"/>
        <v>37200</v>
      </c>
      <c r="CX50" s="112">
        <f t="shared" si="56"/>
        <v>100000</v>
      </c>
      <c r="CY50" s="270">
        <f t="shared" si="115"/>
        <v>100000</v>
      </c>
      <c r="CZ50" s="112">
        <f t="shared" si="116"/>
        <v>100000</v>
      </c>
      <c r="DA50" s="112">
        <f t="shared" si="117"/>
        <v>100000</v>
      </c>
      <c r="DB50" s="112">
        <f t="shared" si="118"/>
        <v>100000</v>
      </c>
      <c r="DC50" s="112">
        <f t="shared" si="119"/>
        <v>100000</v>
      </c>
      <c r="DU50" s="112"/>
      <c r="DV50" s="112"/>
      <c r="DW50" s="277">
        <v>37987</v>
      </c>
      <c r="DX50" s="276"/>
      <c r="DY50" s="276"/>
      <c r="DZ50" s="276"/>
      <c r="EF50" s="260" t="str">
        <f t="shared" si="162"/>
        <v/>
      </c>
      <c r="EK50" s="254"/>
      <c r="EL50">
        <f>EL49+1</f>
        <v>11</v>
      </c>
      <c r="EM50" s="260">
        <f t="shared" ca="1" si="122"/>
        <v>100000</v>
      </c>
      <c r="EN50" s="112">
        <f t="shared" ca="1" si="63"/>
        <v>100000</v>
      </c>
      <c r="EO50" s="112">
        <f t="shared" ca="1" si="64"/>
        <v>100000</v>
      </c>
      <c r="EP50" s="112">
        <f t="shared" ca="1" si="123"/>
        <v>100000</v>
      </c>
      <c r="EQ50" s="273">
        <f t="shared" ca="1" si="138"/>
        <v>100000</v>
      </c>
      <c r="ER50" s="302">
        <f t="shared" ca="1" si="65"/>
        <v>100000</v>
      </c>
      <c r="EU50" t="e">
        <f t="shared" ca="1" si="66"/>
        <v>#N/A</v>
      </c>
      <c r="EV50" s="260">
        <f t="shared" ca="1" si="124"/>
        <v>100000</v>
      </c>
      <c r="EW50" t="e">
        <f t="shared" ca="1" si="67"/>
        <v>#N/A</v>
      </c>
      <c r="EX50" t="e">
        <f t="shared" ca="1" si="12"/>
        <v>#N/A</v>
      </c>
      <c r="EY50" s="238" t="e">
        <f t="shared" ca="1" si="13"/>
        <v>#N/A</v>
      </c>
      <c r="FB50" t="e">
        <f t="shared" ca="1" si="68"/>
        <v>#N/A</v>
      </c>
      <c r="FC50" t="e">
        <f t="shared" ca="1" si="14"/>
        <v>#N/A</v>
      </c>
      <c r="FD50" t="e">
        <f t="shared" ca="1" si="14"/>
        <v>#N/A</v>
      </c>
      <c r="FE50" t="e">
        <f t="shared" ca="1" si="14"/>
        <v>#N/A</v>
      </c>
      <c r="FF50" t="e">
        <f t="shared" ca="1" si="14"/>
        <v>#N/A</v>
      </c>
      <c r="FM50" t="e">
        <f t="shared" ca="1" si="15"/>
        <v>#N/A</v>
      </c>
      <c r="FR50" s="254" t="e">
        <f t="shared" ca="1" si="69"/>
        <v>#N/A</v>
      </c>
      <c r="FS50">
        <f t="shared" si="125"/>
        <v>50</v>
      </c>
      <c r="FT50" t="e">
        <f t="shared" ca="1" si="16"/>
        <v>#N/A</v>
      </c>
      <c r="FU50" t="str">
        <f t="shared" ca="1" si="16"/>
        <v>EV50</v>
      </c>
      <c r="FV50" t="e">
        <f t="shared" ca="1" si="16"/>
        <v>#N/A</v>
      </c>
      <c r="FW50" t="e">
        <f t="shared" ca="1" si="16"/>
        <v>#N/A</v>
      </c>
      <c r="FX50" t="e">
        <f t="shared" ca="1" si="16"/>
        <v>#N/A</v>
      </c>
      <c r="FY50" t="e">
        <f t="shared" ca="1" si="16"/>
        <v>#N/A</v>
      </c>
      <c r="FZ50" t="e">
        <f t="shared" ca="1" si="16"/>
        <v>#N/A</v>
      </c>
      <c r="GA50" t="str">
        <f t="shared" ca="1" si="16"/>
        <v/>
      </c>
      <c r="GB50" t="e">
        <f t="shared" ca="1" si="16"/>
        <v>#N/A</v>
      </c>
      <c r="GC50" t="str">
        <f t="shared" ca="1" si="16"/>
        <v/>
      </c>
      <c r="GD50" t="str">
        <f t="shared" ca="1" si="16"/>
        <v/>
      </c>
      <c r="GE50">
        <f t="shared" ca="1" si="126"/>
        <v>0</v>
      </c>
      <c r="GF50" s="112">
        <f t="shared" ca="1" si="70"/>
        <v>100000</v>
      </c>
      <c r="GG50" s="112" t="e">
        <f t="shared" ca="1" si="71"/>
        <v>#N/A</v>
      </c>
      <c r="GH50" s="262" t="e">
        <f t="shared" ca="1" si="17"/>
        <v>#N/A</v>
      </c>
      <c r="GI50" s="262" t="e">
        <f t="shared" ca="1" si="17"/>
        <v>#N/A</v>
      </c>
      <c r="GJ50" s="262" t="e">
        <f t="shared" ca="1" si="17"/>
        <v>#N/A</v>
      </c>
      <c r="GK50" s="262" t="e">
        <f t="shared" ca="1" si="17"/>
        <v>#N/A</v>
      </c>
      <c r="GL50" s="262" t="e">
        <f t="shared" ca="1" si="17"/>
        <v>#N/A</v>
      </c>
      <c r="GM50" s="262">
        <f t="shared" ca="1" si="17"/>
        <v>0</v>
      </c>
      <c r="GN50" s="262" t="e">
        <f t="shared" ca="1" si="17"/>
        <v>#N/A</v>
      </c>
      <c r="GO50" s="262">
        <f t="shared" ca="1" si="72"/>
        <v>0</v>
      </c>
      <c r="GP50" s="262">
        <f t="shared" ca="1" si="73"/>
        <v>0</v>
      </c>
      <c r="GR50" s="262" t="e">
        <f t="shared" ca="1" si="75"/>
        <v>#N/A</v>
      </c>
      <c r="GS50" s="262" t="e">
        <f t="shared" ca="1" si="18"/>
        <v>#N/A</v>
      </c>
      <c r="GT50" s="253" t="str">
        <f t="shared" ca="1" si="76"/>
        <v/>
      </c>
      <c r="GU50" t="str">
        <f t="shared" ca="1" si="77"/>
        <v/>
      </c>
      <c r="GV50" t="str">
        <f t="shared" ca="1" si="78"/>
        <v/>
      </c>
      <c r="GW50" t="e">
        <f t="shared" ca="1" si="139"/>
        <v>#N/A</v>
      </c>
      <c r="GX50" t="e">
        <f t="shared" ca="1" si="19"/>
        <v>#N/A</v>
      </c>
      <c r="GY50" t="e">
        <f t="shared" ca="1" si="19"/>
        <v>#N/A</v>
      </c>
      <c r="GZ50" t="e">
        <f t="shared" ca="1" si="20"/>
        <v>#N/A</v>
      </c>
      <c r="HA50" t="e">
        <f t="shared" ca="1" si="19"/>
        <v>#N/A</v>
      </c>
      <c r="HB50" t="str">
        <f t="shared" ca="1" si="19"/>
        <v/>
      </c>
      <c r="HC50" t="e">
        <f t="shared" ca="1" si="19"/>
        <v>#N/A</v>
      </c>
      <c r="HD50" t="str">
        <f t="shared" ca="1" si="79"/>
        <v/>
      </c>
      <c r="HE50" s="254" t="str">
        <f t="shared" ca="1" si="19"/>
        <v/>
      </c>
      <c r="HF50" s="254" t="e">
        <f t="shared" ca="1" si="80"/>
        <v>#N/A</v>
      </c>
      <c r="HM50" s="263" t="e">
        <f t="shared" ca="1" si="81"/>
        <v>#N/A</v>
      </c>
      <c r="HN50" s="263"/>
      <c r="HO50" s="272" t="str">
        <f t="shared" ca="1" si="21"/>
        <v xml:space="preserve">
</v>
      </c>
      <c r="HP50">
        <f t="shared" ca="1" si="82"/>
        <v>0</v>
      </c>
      <c r="HQ50" t="str">
        <f t="shared" ca="1" si="83"/>
        <v/>
      </c>
      <c r="HR50" t="str">
        <f t="shared" ca="1" si="84"/>
        <v/>
      </c>
      <c r="HS50" t="str">
        <f t="shared" ca="1" si="85"/>
        <v xml:space="preserve">
</v>
      </c>
      <c r="HX50" s="253" t="s">
        <v>187</v>
      </c>
      <c r="HY50" s="112" t="str">
        <f t="shared" si="86"/>
        <v>3/10/2001</v>
      </c>
      <c r="HZ50" t="s">
        <v>188</v>
      </c>
      <c r="IA50" s="112" t="str">
        <f t="shared" si="87"/>
        <v>5/11/2001</v>
      </c>
      <c r="IB50" t="s">
        <v>189</v>
      </c>
      <c r="IC50">
        <f t="shared" si="88"/>
        <v>0</v>
      </c>
      <c r="ID50" t="s">
        <v>192</v>
      </c>
      <c r="IE50">
        <f t="shared" si="89"/>
        <v>0</v>
      </c>
      <c r="IF50" t="s">
        <v>191</v>
      </c>
      <c r="IG50" s="254">
        <f t="shared" si="90"/>
        <v>0</v>
      </c>
      <c r="IL50" t="str">
        <f t="shared" si="91"/>
        <v xml:space="preserve">DAL: 3/10/2001 - AL:5/11/2001 - ANNI:0 - MESI:0 -GIORNI:0
</v>
      </c>
      <c r="JF50" s="112" t="str">
        <f>IF(DP52=0,"",CONCATENATE(DAY(DP52),"/",MONTH(DP52),"/",YEAR(DP52),"
"))</f>
        <v/>
      </c>
      <c r="KD50">
        <v>0</v>
      </c>
      <c r="KE50" s="260">
        <f t="shared" ca="1" si="92"/>
        <v>100000</v>
      </c>
      <c r="KF50" t="str">
        <f t="shared" si="93"/>
        <v>0-2 anni</v>
      </c>
      <c r="KG50">
        <f t="shared" si="22"/>
        <v>6</v>
      </c>
      <c r="KH50" s="238">
        <f t="shared" ca="1" si="23"/>
        <v>255</v>
      </c>
      <c r="KK50">
        <f t="shared" ca="1" si="94"/>
        <v>16218.89</v>
      </c>
      <c r="KL50" t="e">
        <f t="shared" ca="1" si="24"/>
        <v>#N/A</v>
      </c>
      <c r="KM50" t="e">
        <f t="shared" ca="1" si="24"/>
        <v>#N/A</v>
      </c>
      <c r="KN50" t="e">
        <f t="shared" ca="1" si="24"/>
        <v>#N/A</v>
      </c>
      <c r="KO50" t="e">
        <f t="shared" ca="1" si="24"/>
        <v>#N/A</v>
      </c>
      <c r="KV50" t="e">
        <f t="shared" ca="1" si="25"/>
        <v>#N/A</v>
      </c>
      <c r="LA50" s="254" t="str">
        <f t="shared" si="95"/>
        <v>0-2 anni</v>
      </c>
      <c r="LB50" s="112">
        <f t="shared" si="26"/>
        <v>37167</v>
      </c>
      <c r="LC50" s="112">
        <f t="shared" si="26"/>
        <v>37200</v>
      </c>
      <c r="LD50" t="e">
        <f t="shared" ca="1" si="96"/>
        <v>#N/A</v>
      </c>
      <c r="LE50" s="262" t="e">
        <f t="shared" ca="1" si="97"/>
        <v>#N/A</v>
      </c>
      <c r="LF50">
        <f t="shared" si="98"/>
        <v>0</v>
      </c>
      <c r="LG50" t="e">
        <f t="shared" ca="1" si="99"/>
        <v>#N/A</v>
      </c>
      <c r="LK50" s="320"/>
      <c r="LL50" s="335">
        <f ca="1">Foglio7ti!GF51</f>
        <v>53571</v>
      </c>
      <c r="LM50" s="336">
        <f t="shared" ca="1" si="27"/>
        <v>53571</v>
      </c>
      <c r="LN50" s="335"/>
      <c r="LO50" s="320">
        <f t="shared" si="100"/>
        <v>12</v>
      </c>
      <c r="LP50" s="336">
        <f t="shared" ca="1" si="28"/>
        <v>44652</v>
      </c>
      <c r="LQ50" s="335"/>
      <c r="LR50" s="320"/>
      <c r="LS50" s="319">
        <f t="shared" si="29"/>
        <v>12</v>
      </c>
      <c r="LT50" s="336">
        <f t="shared" ca="1" si="30"/>
        <v>100000</v>
      </c>
      <c r="LU50" s="320"/>
      <c r="LV50" s="320"/>
      <c r="LW50" s="336">
        <f t="shared" ca="1" si="31"/>
        <v>51014</v>
      </c>
      <c r="LX50" s="320"/>
      <c r="LY50" s="320"/>
      <c r="LZ50" s="336">
        <f t="shared" ca="1" si="32"/>
        <v>51014</v>
      </c>
      <c r="MA50" s="320"/>
      <c r="MB50" s="320"/>
      <c r="MC50" s="308">
        <f t="shared" ca="1" si="4"/>
        <v>100000</v>
      </c>
      <c r="MD50" t="str">
        <f t="shared" ca="1" si="101"/>
        <v/>
      </c>
      <c r="ME50" s="338" t="str">
        <f t="shared" ca="1" si="33"/>
        <v/>
      </c>
      <c r="MF50" s="338" t="str">
        <f t="shared" ca="1" si="102"/>
        <v/>
      </c>
      <c r="MG50" s="337" t="str">
        <f t="shared" ca="1" si="5"/>
        <v/>
      </c>
      <c r="MH50" s="338" t="str">
        <f t="shared" ca="1" si="35"/>
        <v/>
      </c>
      <c r="MI50" s="337" t="str">
        <f t="shared" ca="1" si="36"/>
        <v/>
      </c>
      <c r="MJ50" s="337" t="str">
        <f t="shared" ca="1" si="6"/>
        <v/>
      </c>
      <c r="MK50" s="337" t="str">
        <f t="shared" ca="1" si="37"/>
        <v/>
      </c>
      <c r="ML50" s="337" t="str">
        <f ca="1">IF(ME50&lt;&gt;"",VLOOKUP(ME50,Foglio7ti!$GF$40:$GG$92,2),"")</f>
        <v/>
      </c>
      <c r="MM50" s="282" t="str">
        <f t="shared" ca="1" si="38"/>
        <v/>
      </c>
      <c r="MN50" s="282"/>
      <c r="MO50" s="320">
        <f t="shared" si="128"/>
        <v>1</v>
      </c>
      <c r="MP50" s="253" t="str">
        <f t="shared" ca="1" si="39"/>
        <v/>
      </c>
      <c r="MQ50" t="e">
        <f t="shared" ca="1" si="160"/>
        <v>#N/A</v>
      </c>
      <c r="MR50" s="238" t="e">
        <f ca="1">VLOOKUP(ME50,Foglio1ti!AB42:AZ342,13)-MQ50</f>
        <v>#N/A</v>
      </c>
      <c r="MS50" t="e">
        <f t="shared" ca="1" si="40"/>
        <v>#N/A</v>
      </c>
      <c r="MT50" t="e">
        <f t="shared" ca="1" si="41"/>
        <v>#N/A</v>
      </c>
      <c r="MU50" s="238" t="e">
        <f ca="1">VLOOKUP(ME50,Foglio1ti!AB42:AZ342,13)-MT50</f>
        <v>#N/A</v>
      </c>
      <c r="MV50" t="e">
        <f t="shared" ca="1" si="42"/>
        <v>#N/A</v>
      </c>
      <c r="MW50">
        <f t="shared" ca="1" si="140"/>
        <v>0</v>
      </c>
      <c r="MX50">
        <f ca="1">IF(AND(frontti!$H$25="SI",ML50="3-8 anni"),INDIRECT(CONCATENATE($MR$37,"BI",MU50)),0)</f>
        <v>0</v>
      </c>
      <c r="MY50" s="254"/>
    </row>
    <row r="51" spans="1:363" ht="145.9" customHeight="1" x14ac:dyDescent="0.25">
      <c r="A51" s="112">
        <f t="shared" si="141"/>
        <v>36892</v>
      </c>
      <c r="B51" s="112">
        <f t="shared" si="44"/>
        <v>37257</v>
      </c>
      <c r="E51" s="240">
        <f>Foglio3!F31</f>
        <v>37201</v>
      </c>
      <c r="F51" s="240">
        <f>Foglio3!G31</f>
        <v>37437</v>
      </c>
      <c r="G51" s="244"/>
      <c r="H51" s="245">
        <f t="shared" si="45"/>
        <v>37201</v>
      </c>
      <c r="I51" s="245">
        <f t="shared" si="8"/>
        <v>37437</v>
      </c>
      <c r="J51" s="244"/>
      <c r="K51" s="244"/>
      <c r="Q51">
        <f t="shared" si="9"/>
        <v>237</v>
      </c>
      <c r="R51">
        <f t="shared" si="142"/>
        <v>0</v>
      </c>
      <c r="S51">
        <f t="shared" si="46"/>
        <v>0</v>
      </c>
      <c r="T51">
        <f t="shared" si="129"/>
        <v>0</v>
      </c>
      <c r="U51">
        <f t="shared" si="130"/>
        <v>0</v>
      </c>
      <c r="W51">
        <f t="shared" si="131"/>
        <v>0</v>
      </c>
      <c r="X51">
        <f t="shared" si="131"/>
        <v>34</v>
      </c>
      <c r="Y51">
        <f t="shared" si="131"/>
        <v>101</v>
      </c>
      <c r="AA51" s="112">
        <f t="shared" si="103"/>
        <v>37201</v>
      </c>
      <c r="AB51" s="112">
        <f t="shared" si="104"/>
        <v>37437</v>
      </c>
      <c r="AG51">
        <f t="shared" si="47"/>
        <v>1</v>
      </c>
      <c r="AH51" s="112">
        <f t="shared" si="48"/>
        <v>37201</v>
      </c>
      <c r="AI51" s="112">
        <f t="shared" si="48"/>
        <v>37437</v>
      </c>
      <c r="AJ51">
        <f t="shared" si="49"/>
        <v>1</v>
      </c>
      <c r="AK51">
        <f t="shared" si="105"/>
        <v>0</v>
      </c>
      <c r="AL51">
        <f t="shared" si="132"/>
        <v>0</v>
      </c>
      <c r="AN51">
        <f t="shared" si="133"/>
        <v>0</v>
      </c>
      <c r="AO51">
        <f t="shared" si="134"/>
        <v>0</v>
      </c>
      <c r="AP51">
        <f t="shared" si="106"/>
        <v>0</v>
      </c>
      <c r="AS51">
        <f t="shared" si="143"/>
        <v>0</v>
      </c>
      <c r="AT51">
        <f t="shared" si="144"/>
        <v>0</v>
      </c>
      <c r="AV51">
        <f t="shared" si="145"/>
        <v>0</v>
      </c>
      <c r="AW51">
        <f t="shared" si="146"/>
        <v>0</v>
      </c>
      <c r="AX51">
        <f t="shared" si="107"/>
        <v>0</v>
      </c>
      <c r="BA51">
        <f t="shared" ref="BA51:BA71" si="163">IF(AND(AH51&lt;=AI48,AI51&lt;=AI48),1,0)*AJ51</f>
        <v>1</v>
      </c>
      <c r="BB51">
        <f t="shared" ref="BB51:BB71" si="164">IF(AND(AH51&lt;=AI48,AI51&gt;AI48),1,0)*AJ51</f>
        <v>0</v>
      </c>
      <c r="BD51">
        <f t="shared" si="148"/>
        <v>237</v>
      </c>
      <c r="BE51">
        <f t="shared" si="149"/>
        <v>0</v>
      </c>
      <c r="BF51">
        <f t="shared" si="137"/>
        <v>237</v>
      </c>
      <c r="BI51">
        <f t="shared" si="150"/>
        <v>0</v>
      </c>
      <c r="BJ51">
        <f t="shared" si="153"/>
        <v>0</v>
      </c>
      <c r="BK51">
        <f t="shared" si="154"/>
        <v>0</v>
      </c>
      <c r="BL51">
        <f t="shared" si="155"/>
        <v>0</v>
      </c>
      <c r="BM51">
        <f t="shared" si="147"/>
        <v>0</v>
      </c>
      <c r="BO51">
        <f t="shared" si="156"/>
        <v>0</v>
      </c>
      <c r="BP51">
        <f t="shared" si="157"/>
        <v>0</v>
      </c>
      <c r="BR51">
        <f t="shared" si="158"/>
        <v>0</v>
      </c>
      <c r="BS51">
        <f t="shared" si="159"/>
        <v>0</v>
      </c>
      <c r="BT51">
        <f t="shared" si="151"/>
        <v>0</v>
      </c>
      <c r="BV51">
        <f t="shared" si="108"/>
        <v>237</v>
      </c>
      <c r="BX51">
        <f t="shared" si="109"/>
        <v>0</v>
      </c>
      <c r="BY51">
        <f t="shared" si="110"/>
        <v>0</v>
      </c>
      <c r="BZ51">
        <f t="shared" si="111"/>
        <v>237</v>
      </c>
      <c r="CA51">
        <f t="shared" si="112"/>
        <v>0</v>
      </c>
      <c r="CB51">
        <f t="shared" si="113"/>
        <v>0</v>
      </c>
      <c r="CG51">
        <f t="shared" si="50"/>
        <v>2001</v>
      </c>
      <c r="CH51">
        <f t="shared" si="50"/>
        <v>2002</v>
      </c>
      <c r="CJ51">
        <f t="shared" si="51"/>
        <v>0</v>
      </c>
      <c r="CK51">
        <f t="shared" si="161"/>
        <v>0</v>
      </c>
      <c r="CL51">
        <f t="shared" si="52"/>
        <v>0</v>
      </c>
      <c r="CN51">
        <f t="shared" si="53"/>
        <v>0</v>
      </c>
      <c r="CS51">
        <f t="shared" si="54"/>
        <v>0</v>
      </c>
      <c r="CT51" s="246">
        <f t="shared" si="114"/>
        <v>1121</v>
      </c>
      <c r="CV51" s="112">
        <f t="shared" si="55"/>
        <v>37437</v>
      </c>
      <c r="CX51" s="112">
        <f t="shared" si="56"/>
        <v>100000</v>
      </c>
      <c r="CY51" s="270">
        <f t="shared" si="115"/>
        <v>100000</v>
      </c>
      <c r="CZ51" s="112">
        <f t="shared" si="116"/>
        <v>100000</v>
      </c>
      <c r="DA51" s="112">
        <f t="shared" si="117"/>
        <v>100000</v>
      </c>
      <c r="DB51" s="112">
        <f t="shared" si="118"/>
        <v>100000</v>
      </c>
      <c r="DC51" s="112">
        <f t="shared" si="119"/>
        <v>100000</v>
      </c>
      <c r="DG51" s="248" t="e">
        <f ca="1">MAX(DG40:DG46)</f>
        <v>#N/A</v>
      </c>
      <c r="DU51" s="112"/>
      <c r="DV51" s="112"/>
      <c r="DW51" s="277">
        <v>38384</v>
      </c>
      <c r="DX51" s="276"/>
      <c r="DY51" s="276"/>
      <c r="DZ51" s="276"/>
      <c r="EF51" s="260" t="str">
        <f t="shared" si="162"/>
        <v/>
      </c>
      <c r="EK51" s="254"/>
      <c r="EL51">
        <f t="shared" ref="EL51:EL87" si="165">EL50+1</f>
        <v>12</v>
      </c>
      <c r="EM51" s="260">
        <f t="shared" ca="1" si="122"/>
        <v>100000</v>
      </c>
      <c r="EN51" s="112">
        <f t="shared" ca="1" si="63"/>
        <v>100000</v>
      </c>
      <c r="EO51" s="112">
        <f t="shared" ca="1" si="64"/>
        <v>100000</v>
      </c>
      <c r="EP51" s="112">
        <f t="shared" ca="1" si="123"/>
        <v>100000</v>
      </c>
      <c r="EQ51" s="273">
        <f t="shared" ca="1" si="138"/>
        <v>100000</v>
      </c>
      <c r="ER51" s="302">
        <f t="shared" ca="1" si="65"/>
        <v>100000</v>
      </c>
      <c r="EU51" t="e">
        <f t="shared" ca="1" si="66"/>
        <v>#N/A</v>
      </c>
      <c r="EV51" s="260">
        <f t="shared" ca="1" si="124"/>
        <v>100000</v>
      </c>
      <c r="EW51" t="e">
        <f t="shared" ca="1" si="67"/>
        <v>#N/A</v>
      </c>
      <c r="EX51" t="e">
        <f t="shared" ca="1" si="12"/>
        <v>#N/A</v>
      </c>
      <c r="EY51" s="238" t="e">
        <f t="shared" ca="1" si="13"/>
        <v>#N/A</v>
      </c>
      <c r="FB51" t="e">
        <f t="shared" ca="1" si="68"/>
        <v>#N/A</v>
      </c>
      <c r="FC51" t="e">
        <f t="shared" ca="1" si="14"/>
        <v>#N/A</v>
      </c>
      <c r="FD51" t="e">
        <f t="shared" ca="1" si="14"/>
        <v>#N/A</v>
      </c>
      <c r="FE51" t="e">
        <f t="shared" ca="1" si="14"/>
        <v>#N/A</v>
      </c>
      <c r="FF51" t="e">
        <f t="shared" ca="1" si="14"/>
        <v>#N/A</v>
      </c>
      <c r="FM51" t="e">
        <f t="shared" ca="1" si="15"/>
        <v>#N/A</v>
      </c>
      <c r="FR51" s="254" t="e">
        <f t="shared" ca="1" si="69"/>
        <v>#N/A</v>
      </c>
      <c r="FS51">
        <f t="shared" si="125"/>
        <v>51</v>
      </c>
      <c r="FT51" t="e">
        <f t="shared" ca="1" si="16"/>
        <v>#N/A</v>
      </c>
      <c r="FU51" t="str">
        <f t="shared" ca="1" si="16"/>
        <v>EV51</v>
      </c>
      <c r="FV51" t="e">
        <f t="shared" ca="1" si="16"/>
        <v>#N/A</v>
      </c>
      <c r="FW51" t="e">
        <f t="shared" ca="1" si="16"/>
        <v>#N/A</v>
      </c>
      <c r="FX51" t="e">
        <f t="shared" ca="1" si="16"/>
        <v>#N/A</v>
      </c>
      <c r="FY51" t="e">
        <f t="shared" ca="1" si="16"/>
        <v>#N/A</v>
      </c>
      <c r="FZ51" t="e">
        <f t="shared" ca="1" si="16"/>
        <v>#N/A</v>
      </c>
      <c r="GA51" t="str">
        <f t="shared" ca="1" si="16"/>
        <v/>
      </c>
      <c r="GB51" t="e">
        <f t="shared" ca="1" si="16"/>
        <v>#N/A</v>
      </c>
      <c r="GC51" t="str">
        <f t="shared" ca="1" si="16"/>
        <v/>
      </c>
      <c r="GD51" t="str">
        <f t="shared" ca="1" si="16"/>
        <v/>
      </c>
      <c r="GE51">
        <f t="shared" ca="1" si="126"/>
        <v>0</v>
      </c>
      <c r="GF51" s="112">
        <f t="shared" ca="1" si="70"/>
        <v>100000</v>
      </c>
      <c r="GG51" s="112" t="e">
        <f t="shared" ca="1" si="71"/>
        <v>#N/A</v>
      </c>
      <c r="GH51" s="262" t="e">
        <f t="shared" ca="1" si="17"/>
        <v>#N/A</v>
      </c>
      <c r="GI51" s="262" t="e">
        <f t="shared" ca="1" si="17"/>
        <v>#N/A</v>
      </c>
      <c r="GJ51" s="262" t="e">
        <f t="shared" ca="1" si="17"/>
        <v>#N/A</v>
      </c>
      <c r="GK51" s="262" t="e">
        <f t="shared" ca="1" si="17"/>
        <v>#N/A</v>
      </c>
      <c r="GL51" s="262" t="e">
        <f t="shared" ca="1" si="17"/>
        <v>#N/A</v>
      </c>
      <c r="GM51" s="262">
        <f t="shared" ca="1" si="17"/>
        <v>0</v>
      </c>
      <c r="GN51" s="262" t="e">
        <f t="shared" ca="1" si="17"/>
        <v>#N/A</v>
      </c>
      <c r="GO51" s="262">
        <f t="shared" ca="1" si="72"/>
        <v>0</v>
      </c>
      <c r="GP51" s="262">
        <f t="shared" ca="1" si="73"/>
        <v>0</v>
      </c>
      <c r="GR51" s="262" t="e">
        <f t="shared" ca="1" si="75"/>
        <v>#N/A</v>
      </c>
      <c r="GS51" s="262" t="e">
        <f t="shared" ca="1" si="18"/>
        <v>#N/A</v>
      </c>
      <c r="GT51" s="253" t="str">
        <f t="shared" ca="1" si="76"/>
        <v/>
      </c>
      <c r="GU51" t="str">
        <f t="shared" ca="1" si="77"/>
        <v/>
      </c>
      <c r="GV51" t="str">
        <f t="shared" ca="1" si="78"/>
        <v/>
      </c>
      <c r="GW51" t="e">
        <f t="shared" ca="1" si="139"/>
        <v>#N/A</v>
      </c>
      <c r="GX51" t="e">
        <f t="shared" ca="1" si="19"/>
        <v>#N/A</v>
      </c>
      <c r="GY51" t="e">
        <f t="shared" ca="1" si="19"/>
        <v>#N/A</v>
      </c>
      <c r="GZ51" t="e">
        <f t="shared" ca="1" si="20"/>
        <v>#N/A</v>
      </c>
      <c r="HA51" t="e">
        <f t="shared" ca="1" si="19"/>
        <v>#N/A</v>
      </c>
      <c r="HB51" t="str">
        <f t="shared" ca="1" si="19"/>
        <v/>
      </c>
      <c r="HC51" t="e">
        <f t="shared" ca="1" si="19"/>
        <v>#N/A</v>
      </c>
      <c r="HD51" t="str">
        <f t="shared" ca="1" si="79"/>
        <v/>
      </c>
      <c r="HE51" s="254" t="str">
        <f t="shared" ca="1" si="19"/>
        <v/>
      </c>
      <c r="HF51" s="254" t="e">
        <f t="shared" ca="1" si="80"/>
        <v>#N/A</v>
      </c>
      <c r="HM51" s="263" t="e">
        <f t="shared" ca="1" si="81"/>
        <v>#N/A</v>
      </c>
      <c r="HN51" s="263"/>
      <c r="HO51" s="272" t="str">
        <f t="shared" ca="1" si="21"/>
        <v/>
      </c>
      <c r="HP51">
        <f t="shared" ca="1" si="82"/>
        <v>0</v>
      </c>
      <c r="HQ51" t="str">
        <f t="shared" ca="1" si="83"/>
        <v/>
      </c>
      <c r="HR51" t="str">
        <f t="shared" ca="1" si="84"/>
        <v/>
      </c>
      <c r="HS51" t="str">
        <f t="shared" ca="1" si="85"/>
        <v/>
      </c>
      <c r="HX51" s="253" t="s">
        <v>187</v>
      </c>
      <c r="HY51" s="112" t="str">
        <f t="shared" si="86"/>
        <v>6/11/2001</v>
      </c>
      <c r="HZ51" t="s">
        <v>188</v>
      </c>
      <c r="IA51" s="112" t="str">
        <f t="shared" si="87"/>
        <v>30/6/2002</v>
      </c>
      <c r="IB51" t="s">
        <v>189</v>
      </c>
      <c r="IC51">
        <f t="shared" si="88"/>
        <v>0</v>
      </c>
      <c r="ID51" t="s">
        <v>192</v>
      </c>
      <c r="IE51">
        <f t="shared" si="89"/>
        <v>0</v>
      </c>
      <c r="IF51" t="s">
        <v>191</v>
      </c>
      <c r="IG51" s="254">
        <f t="shared" si="90"/>
        <v>0</v>
      </c>
      <c r="IL51" t="str">
        <f t="shared" si="91"/>
        <v xml:space="preserve">DAL: 6/11/2001 - AL:30/6/2002 - ANNI:0 - MESI:0 -GIORNI:0
</v>
      </c>
      <c r="JF51" s="112" t="str">
        <f>IF(DP53=0,"",CONCATENATE(DAY(DP53),"/",MONTH(DP53),"/",YEAR(DP53),"
"))</f>
        <v/>
      </c>
      <c r="KD51">
        <v>0</v>
      </c>
      <c r="KE51" s="260">
        <f t="shared" ca="1" si="92"/>
        <v>100000</v>
      </c>
      <c r="KF51" t="str">
        <f t="shared" si="93"/>
        <v>0-2 anni</v>
      </c>
      <c r="KG51">
        <f t="shared" si="22"/>
        <v>6</v>
      </c>
      <c r="KH51" s="238">
        <f t="shared" ca="1" si="23"/>
        <v>255</v>
      </c>
      <c r="KK51">
        <f t="shared" ca="1" si="94"/>
        <v>16218.89</v>
      </c>
      <c r="KL51" t="e">
        <f t="shared" ca="1" si="24"/>
        <v>#N/A</v>
      </c>
      <c r="KM51" t="e">
        <f t="shared" ca="1" si="24"/>
        <v>#N/A</v>
      </c>
      <c r="KN51" t="e">
        <f t="shared" ca="1" si="24"/>
        <v>#N/A</v>
      </c>
      <c r="KO51" t="e">
        <f t="shared" ca="1" si="24"/>
        <v>#N/A</v>
      </c>
      <c r="KV51" t="e">
        <f t="shared" ca="1" si="25"/>
        <v>#N/A</v>
      </c>
      <c r="LA51" s="254" t="str">
        <f t="shared" si="95"/>
        <v>0-2 anni</v>
      </c>
      <c r="LB51" s="112">
        <f t="shared" si="26"/>
        <v>37201</v>
      </c>
      <c r="LC51" s="112">
        <f t="shared" si="26"/>
        <v>37437</v>
      </c>
      <c r="LD51" t="e">
        <f t="shared" ca="1" si="96"/>
        <v>#N/A</v>
      </c>
      <c r="LE51" s="262" t="e">
        <f t="shared" ca="1" si="97"/>
        <v>#N/A</v>
      </c>
      <c r="LF51">
        <f t="shared" si="98"/>
        <v>0</v>
      </c>
      <c r="LG51" t="e">
        <f t="shared" ca="1" si="99"/>
        <v>#N/A</v>
      </c>
      <c r="LK51" s="320"/>
      <c r="LL51" s="335">
        <f ca="1">Foglio7ti!GF52</f>
        <v>100000</v>
      </c>
      <c r="LM51" s="336">
        <f t="shared" ca="1" si="27"/>
        <v>100000</v>
      </c>
      <c r="LN51" s="335"/>
      <c r="LO51" s="320">
        <f t="shared" si="100"/>
        <v>13</v>
      </c>
      <c r="LP51" s="336">
        <f t="shared" ca="1" si="28"/>
        <v>44652</v>
      </c>
      <c r="LQ51" s="335"/>
      <c r="LR51" s="320"/>
      <c r="LS51" s="319">
        <f t="shared" si="29"/>
        <v>13</v>
      </c>
      <c r="LT51" s="336">
        <f t="shared" ca="1" si="30"/>
        <v>44652</v>
      </c>
      <c r="LU51" s="320"/>
      <c r="LV51" s="320"/>
      <c r="LW51" s="336">
        <f t="shared" ca="1" si="31"/>
        <v>53571</v>
      </c>
      <c r="LX51" s="320"/>
      <c r="LY51" s="320"/>
      <c r="LZ51" s="336">
        <f t="shared" ca="1" si="32"/>
        <v>53571</v>
      </c>
      <c r="MA51" s="320"/>
      <c r="MB51" s="320"/>
      <c r="MC51" s="308">
        <f t="shared" ca="1" si="4"/>
        <v>100000</v>
      </c>
      <c r="MD51" t="str">
        <f t="shared" ca="1" si="101"/>
        <v/>
      </c>
      <c r="ME51" s="338" t="str">
        <f t="shared" ca="1" si="33"/>
        <v/>
      </c>
      <c r="MF51" s="338" t="str">
        <f t="shared" ca="1" si="102"/>
        <v/>
      </c>
      <c r="MG51" s="337" t="str">
        <f t="shared" ca="1" si="5"/>
        <v/>
      </c>
      <c r="MH51" s="338" t="str">
        <f t="shared" ca="1" si="35"/>
        <v/>
      </c>
      <c r="MI51" s="337" t="str">
        <f t="shared" ca="1" si="36"/>
        <v/>
      </c>
      <c r="MJ51" s="337" t="str">
        <f t="shared" ca="1" si="6"/>
        <v/>
      </c>
      <c r="MK51" s="337" t="str">
        <f t="shared" ca="1" si="37"/>
        <v/>
      </c>
      <c r="ML51" s="337" t="str">
        <f ca="1">IF(ME51&lt;&gt;"",VLOOKUP(ME51,Foglio7ti!$GF$40:$GG$92,2),"")</f>
        <v/>
      </c>
      <c r="MM51" s="282" t="str">
        <f t="shared" ca="1" si="38"/>
        <v/>
      </c>
      <c r="MN51" s="282"/>
      <c r="MO51" s="320">
        <f t="shared" si="128"/>
        <v>1</v>
      </c>
      <c r="MP51" s="253" t="str">
        <f t="shared" ca="1" si="39"/>
        <v/>
      </c>
      <c r="MQ51" t="e">
        <f t="shared" ca="1" si="160"/>
        <v>#N/A</v>
      </c>
      <c r="MR51" s="238" t="e">
        <f ca="1">VLOOKUP(ME51,Foglio1ti!AB43:AZ343,13)-MQ51</f>
        <v>#N/A</v>
      </c>
      <c r="MS51" t="e">
        <f t="shared" ca="1" si="40"/>
        <v>#N/A</v>
      </c>
      <c r="MT51" t="e">
        <f t="shared" ca="1" si="41"/>
        <v>#N/A</v>
      </c>
      <c r="MU51" s="238" t="e">
        <f ca="1">VLOOKUP(ME51,Foglio1ti!AB43:AZ343,13)-MT51</f>
        <v>#N/A</v>
      </c>
      <c r="MV51" t="e">
        <f t="shared" ca="1" si="42"/>
        <v>#N/A</v>
      </c>
      <c r="MW51">
        <f t="shared" ca="1" si="140"/>
        <v>0</v>
      </c>
      <c r="MX51">
        <f ca="1">IF(AND(frontti!$H$25="SI",ML51="3-8 anni"),INDIRECT(CONCATENATE($MR$37,"BI",MU51)),0)</f>
        <v>0</v>
      </c>
      <c r="MY51" s="254"/>
    </row>
    <row r="52" spans="1:363" ht="180" customHeight="1" x14ac:dyDescent="0.25">
      <c r="A52" s="112">
        <f t="shared" si="141"/>
        <v>36892</v>
      </c>
      <c r="B52" s="112">
        <f t="shared" si="44"/>
        <v>37257</v>
      </c>
      <c r="E52" s="240">
        <f>Foglio3!F32</f>
        <v>37202</v>
      </c>
      <c r="F52" s="240">
        <f>Foglio3!G32</f>
        <v>37282</v>
      </c>
      <c r="G52" s="244"/>
      <c r="H52" s="245">
        <f t="shared" si="45"/>
        <v>37202</v>
      </c>
      <c r="I52" s="245">
        <f t="shared" si="8"/>
        <v>37282</v>
      </c>
      <c r="J52" s="244"/>
      <c r="K52" s="244"/>
      <c r="Q52">
        <f t="shared" si="9"/>
        <v>81</v>
      </c>
      <c r="R52">
        <f t="shared" si="142"/>
        <v>0</v>
      </c>
      <c r="S52">
        <f t="shared" si="46"/>
        <v>0</v>
      </c>
      <c r="T52">
        <f t="shared" si="129"/>
        <v>0</v>
      </c>
      <c r="U52">
        <f t="shared" si="130"/>
        <v>0</v>
      </c>
      <c r="W52">
        <f t="shared" si="131"/>
        <v>0</v>
      </c>
      <c r="X52">
        <f t="shared" si="131"/>
        <v>34</v>
      </c>
      <c r="Y52">
        <f t="shared" si="131"/>
        <v>101</v>
      </c>
      <c r="AA52" s="112">
        <f t="shared" si="103"/>
        <v>37202</v>
      </c>
      <c r="AB52" s="112">
        <f t="shared" si="104"/>
        <v>37282</v>
      </c>
      <c r="AG52">
        <f t="shared" si="47"/>
        <v>1</v>
      </c>
      <c r="AH52" s="112">
        <f t="shared" si="48"/>
        <v>37202</v>
      </c>
      <c r="AI52" s="112">
        <f t="shared" si="48"/>
        <v>37282</v>
      </c>
      <c r="AJ52">
        <f t="shared" si="49"/>
        <v>1</v>
      </c>
      <c r="AK52">
        <f t="shared" si="105"/>
        <v>1</v>
      </c>
      <c r="AL52">
        <f t="shared" si="132"/>
        <v>0</v>
      </c>
      <c r="AN52">
        <f t="shared" si="133"/>
        <v>81</v>
      </c>
      <c r="AO52">
        <f t="shared" si="134"/>
        <v>0</v>
      </c>
      <c r="AP52">
        <f t="shared" si="106"/>
        <v>81</v>
      </c>
      <c r="AS52">
        <f t="shared" si="143"/>
        <v>0</v>
      </c>
      <c r="AT52">
        <f t="shared" si="144"/>
        <v>0</v>
      </c>
      <c r="AV52">
        <f t="shared" si="145"/>
        <v>0</v>
      </c>
      <c r="AW52">
        <f t="shared" si="146"/>
        <v>0</v>
      </c>
      <c r="AX52">
        <f t="shared" si="107"/>
        <v>0</v>
      </c>
      <c r="BA52">
        <f t="shared" si="163"/>
        <v>0</v>
      </c>
      <c r="BB52">
        <f t="shared" si="164"/>
        <v>0</v>
      </c>
      <c r="BD52">
        <f t="shared" si="148"/>
        <v>0</v>
      </c>
      <c r="BE52">
        <f t="shared" si="149"/>
        <v>0</v>
      </c>
      <c r="BF52">
        <f t="shared" si="137"/>
        <v>0</v>
      </c>
      <c r="BI52">
        <f t="shared" si="150"/>
        <v>1</v>
      </c>
      <c r="BJ52">
        <f t="shared" si="153"/>
        <v>0</v>
      </c>
      <c r="BK52">
        <f t="shared" si="154"/>
        <v>81</v>
      </c>
      <c r="BL52">
        <f t="shared" si="155"/>
        <v>0</v>
      </c>
      <c r="BM52">
        <f t="shared" si="147"/>
        <v>81</v>
      </c>
      <c r="BO52">
        <f t="shared" si="156"/>
        <v>0</v>
      </c>
      <c r="BP52">
        <f t="shared" si="157"/>
        <v>0</v>
      </c>
      <c r="BR52">
        <f t="shared" si="158"/>
        <v>0</v>
      </c>
      <c r="BS52">
        <f t="shared" si="159"/>
        <v>0</v>
      </c>
      <c r="BT52">
        <f t="shared" si="151"/>
        <v>0</v>
      </c>
      <c r="BV52">
        <f t="shared" si="108"/>
        <v>81</v>
      </c>
      <c r="BX52">
        <f t="shared" si="109"/>
        <v>81</v>
      </c>
      <c r="BY52">
        <f t="shared" si="110"/>
        <v>0</v>
      </c>
      <c r="BZ52">
        <f t="shared" si="111"/>
        <v>0</v>
      </c>
      <c r="CA52">
        <f t="shared" si="112"/>
        <v>81</v>
      </c>
      <c r="CB52">
        <f t="shared" si="113"/>
        <v>0</v>
      </c>
      <c r="CG52">
        <f t="shared" si="50"/>
        <v>2001</v>
      </c>
      <c r="CH52">
        <f t="shared" si="50"/>
        <v>2002</v>
      </c>
      <c r="CJ52">
        <f t="shared" si="51"/>
        <v>0</v>
      </c>
      <c r="CK52">
        <f t="shared" si="161"/>
        <v>0</v>
      </c>
      <c r="CL52">
        <f t="shared" si="52"/>
        <v>0</v>
      </c>
      <c r="CN52">
        <f t="shared" si="53"/>
        <v>0</v>
      </c>
      <c r="CS52">
        <f t="shared" si="54"/>
        <v>0</v>
      </c>
      <c r="CT52" s="246">
        <f t="shared" si="114"/>
        <v>1121</v>
      </c>
      <c r="CV52" s="112">
        <f t="shared" si="55"/>
        <v>37282</v>
      </c>
      <c r="CX52" s="112">
        <f t="shared" si="56"/>
        <v>100000</v>
      </c>
      <c r="CY52" s="270">
        <f t="shared" si="115"/>
        <v>100000</v>
      </c>
      <c r="CZ52" s="112">
        <f t="shared" si="116"/>
        <v>100000</v>
      </c>
      <c r="DA52" s="112">
        <f t="shared" si="117"/>
        <v>100000</v>
      </c>
      <c r="DB52" s="112">
        <f t="shared" si="118"/>
        <v>100000</v>
      </c>
      <c r="DC52" s="112">
        <f t="shared" si="119"/>
        <v>100000</v>
      </c>
      <c r="DU52" s="112"/>
      <c r="DV52" s="112"/>
      <c r="DW52" s="277">
        <v>38718</v>
      </c>
      <c r="DX52" s="276"/>
      <c r="DY52" s="276"/>
      <c r="DZ52" s="276"/>
      <c r="EF52" s="260" t="str">
        <f t="shared" si="162"/>
        <v/>
      </c>
      <c r="EK52" s="254"/>
      <c r="EL52">
        <f t="shared" si="165"/>
        <v>13</v>
      </c>
      <c r="EM52" s="260">
        <f t="shared" ca="1" si="122"/>
        <v>100000</v>
      </c>
      <c r="EN52" s="112">
        <f t="shared" ca="1" si="63"/>
        <v>100000</v>
      </c>
      <c r="EO52" s="112">
        <f t="shared" ca="1" si="64"/>
        <v>100000</v>
      </c>
      <c r="EP52" s="112">
        <f t="shared" ca="1" si="123"/>
        <v>100000</v>
      </c>
      <c r="EQ52" s="273">
        <f t="shared" ca="1" si="138"/>
        <v>100000</v>
      </c>
      <c r="ER52" s="302">
        <f t="shared" ca="1" si="65"/>
        <v>100000</v>
      </c>
      <c r="EU52" t="e">
        <f t="shared" ca="1" si="66"/>
        <v>#N/A</v>
      </c>
      <c r="EV52" s="260">
        <f t="shared" ca="1" si="124"/>
        <v>100000</v>
      </c>
      <c r="EW52" t="e">
        <f t="shared" ca="1" si="67"/>
        <v>#N/A</v>
      </c>
      <c r="EX52" t="e">
        <f t="shared" ca="1" si="12"/>
        <v>#N/A</v>
      </c>
      <c r="EY52" s="238" t="e">
        <f t="shared" ca="1" si="13"/>
        <v>#N/A</v>
      </c>
      <c r="FB52" t="e">
        <f t="shared" ca="1" si="68"/>
        <v>#N/A</v>
      </c>
      <c r="FC52" t="e">
        <f t="shared" ca="1" si="14"/>
        <v>#N/A</v>
      </c>
      <c r="FD52" t="e">
        <f t="shared" ca="1" si="14"/>
        <v>#N/A</v>
      </c>
      <c r="FE52" t="e">
        <f t="shared" ca="1" si="14"/>
        <v>#N/A</v>
      </c>
      <c r="FF52" t="e">
        <f t="shared" ca="1" si="14"/>
        <v>#N/A</v>
      </c>
      <c r="FM52" t="e">
        <f t="shared" ca="1" si="15"/>
        <v>#N/A</v>
      </c>
      <c r="FR52" s="254" t="e">
        <f t="shared" ca="1" si="69"/>
        <v>#N/A</v>
      </c>
      <c r="FS52">
        <f t="shared" si="125"/>
        <v>52</v>
      </c>
      <c r="FT52" t="e">
        <f t="shared" ca="1" si="16"/>
        <v>#N/A</v>
      </c>
      <c r="FU52" t="str">
        <f t="shared" ca="1" si="16"/>
        <v>EV52</v>
      </c>
      <c r="FV52" t="e">
        <f t="shared" ca="1" si="16"/>
        <v>#N/A</v>
      </c>
      <c r="FW52" t="e">
        <f t="shared" ca="1" si="16"/>
        <v>#N/A</v>
      </c>
      <c r="FX52" t="e">
        <f t="shared" ca="1" si="16"/>
        <v>#N/A</v>
      </c>
      <c r="FY52" t="e">
        <f t="shared" ca="1" si="16"/>
        <v>#N/A</v>
      </c>
      <c r="FZ52" t="e">
        <f t="shared" ca="1" si="16"/>
        <v>#N/A</v>
      </c>
      <c r="GA52" t="str">
        <f t="shared" ca="1" si="16"/>
        <v/>
      </c>
      <c r="GB52" t="e">
        <f t="shared" ca="1" si="16"/>
        <v>#N/A</v>
      </c>
      <c r="GC52" t="str">
        <f t="shared" ca="1" si="16"/>
        <v/>
      </c>
      <c r="GD52" t="str">
        <f t="shared" ca="1" si="16"/>
        <v/>
      </c>
      <c r="GE52">
        <f t="shared" ca="1" si="126"/>
        <v>0</v>
      </c>
      <c r="GF52" s="112">
        <f t="shared" ca="1" si="70"/>
        <v>100000</v>
      </c>
      <c r="GG52" s="112" t="e">
        <f t="shared" ca="1" si="71"/>
        <v>#N/A</v>
      </c>
      <c r="GH52" s="262" t="e">
        <f t="shared" ca="1" si="17"/>
        <v>#N/A</v>
      </c>
      <c r="GI52" s="262" t="e">
        <f t="shared" ca="1" si="17"/>
        <v>#N/A</v>
      </c>
      <c r="GJ52" s="262" t="e">
        <f t="shared" ca="1" si="17"/>
        <v>#N/A</v>
      </c>
      <c r="GK52" s="262" t="e">
        <f t="shared" ca="1" si="17"/>
        <v>#N/A</v>
      </c>
      <c r="GL52" s="262" t="e">
        <f t="shared" ca="1" si="17"/>
        <v>#N/A</v>
      </c>
      <c r="GM52" s="262">
        <f t="shared" ca="1" si="17"/>
        <v>0</v>
      </c>
      <c r="GN52" s="262" t="e">
        <f t="shared" ca="1" si="17"/>
        <v>#N/A</v>
      </c>
      <c r="GO52" s="262">
        <f t="shared" ca="1" si="72"/>
        <v>0</v>
      </c>
      <c r="GP52" s="262">
        <f t="shared" ca="1" si="73"/>
        <v>0</v>
      </c>
      <c r="GR52" s="262" t="e">
        <f t="shared" ca="1" si="75"/>
        <v>#N/A</v>
      </c>
      <c r="GS52" s="262" t="e">
        <f t="shared" ca="1" si="18"/>
        <v>#N/A</v>
      </c>
      <c r="GT52" s="253" t="str">
        <f t="shared" ca="1" si="76"/>
        <v/>
      </c>
      <c r="GU52" t="str">
        <f t="shared" ca="1" si="77"/>
        <v/>
      </c>
      <c r="GV52" t="str">
        <f t="shared" ca="1" si="78"/>
        <v/>
      </c>
      <c r="GW52" t="e">
        <f t="shared" ca="1" si="139"/>
        <v>#N/A</v>
      </c>
      <c r="GX52" t="e">
        <f t="shared" ca="1" si="19"/>
        <v>#N/A</v>
      </c>
      <c r="GY52" t="e">
        <f t="shared" ca="1" si="19"/>
        <v>#N/A</v>
      </c>
      <c r="GZ52" t="e">
        <f t="shared" ca="1" si="20"/>
        <v>#N/A</v>
      </c>
      <c r="HA52" t="e">
        <f t="shared" ca="1" si="19"/>
        <v>#N/A</v>
      </c>
      <c r="HB52" t="str">
        <f t="shared" ca="1" si="19"/>
        <v/>
      </c>
      <c r="HC52" t="e">
        <f t="shared" ca="1" si="19"/>
        <v>#N/A</v>
      </c>
      <c r="HD52" t="str">
        <f t="shared" ca="1" si="79"/>
        <v/>
      </c>
      <c r="HE52" s="254" t="str">
        <f t="shared" ca="1" si="19"/>
        <v/>
      </c>
      <c r="HF52" s="254" t="e">
        <f t="shared" ca="1" si="80"/>
        <v>#N/A</v>
      </c>
      <c r="HM52" s="263" t="e">
        <f t="shared" ca="1" si="81"/>
        <v>#N/A</v>
      </c>
      <c r="HN52" s="263"/>
      <c r="HO52" s="272" t="str">
        <f t="shared" ca="1" si="21"/>
        <v/>
      </c>
      <c r="HP52">
        <f t="shared" ca="1" si="82"/>
        <v>0</v>
      </c>
      <c r="HQ52" t="str">
        <f t="shared" ca="1" si="83"/>
        <v/>
      </c>
      <c r="HR52" t="str">
        <f t="shared" ca="1" si="84"/>
        <v/>
      </c>
      <c r="HS52" t="str">
        <f t="shared" ca="1" si="85"/>
        <v/>
      </c>
      <c r="HX52" s="253" t="s">
        <v>187</v>
      </c>
      <c r="HY52" s="112" t="str">
        <f t="shared" si="86"/>
        <v>7/11/2001</v>
      </c>
      <c r="HZ52" t="s">
        <v>188</v>
      </c>
      <c r="IA52" s="112" t="str">
        <f t="shared" si="87"/>
        <v>26/1/2002</v>
      </c>
      <c r="IB52" t="s">
        <v>189</v>
      </c>
      <c r="IC52">
        <f t="shared" si="88"/>
        <v>0</v>
      </c>
      <c r="ID52" t="s">
        <v>192</v>
      </c>
      <c r="IE52">
        <f t="shared" si="89"/>
        <v>0</v>
      </c>
      <c r="IF52" t="s">
        <v>191</v>
      </c>
      <c r="IG52" s="254">
        <f t="shared" si="90"/>
        <v>0</v>
      </c>
      <c r="IL52" t="str">
        <f t="shared" si="91"/>
        <v xml:space="preserve">DAL: 7/11/2001 - AL:26/1/2002 - ANNI:0 - MESI:0 -GIORNI:0
</v>
      </c>
      <c r="JF52" s="112" t="str">
        <f>IF(DP54=0,"",CONCATENATE(DAY(DP54),"/",MONTH(DP54),"/",YEAR(DP54),"
"))</f>
        <v/>
      </c>
      <c r="KD52">
        <v>0</v>
      </c>
      <c r="KE52" s="260">
        <f t="shared" ca="1" si="92"/>
        <v>100000</v>
      </c>
      <c r="KF52" t="str">
        <f t="shared" si="93"/>
        <v>0-2 anni</v>
      </c>
      <c r="KG52">
        <f t="shared" si="22"/>
        <v>6</v>
      </c>
      <c r="KH52" s="238">
        <f t="shared" ca="1" si="23"/>
        <v>255</v>
      </c>
      <c r="KK52">
        <f t="shared" ca="1" si="94"/>
        <v>16218.89</v>
      </c>
      <c r="KL52" t="e">
        <f t="shared" ca="1" si="24"/>
        <v>#N/A</v>
      </c>
      <c r="KM52" t="e">
        <f t="shared" ca="1" si="24"/>
        <v>#N/A</v>
      </c>
      <c r="KN52" t="e">
        <f t="shared" ca="1" si="24"/>
        <v>#N/A</v>
      </c>
      <c r="KO52" t="e">
        <f t="shared" ca="1" si="24"/>
        <v>#N/A</v>
      </c>
      <c r="KV52" t="e">
        <f t="shared" ca="1" si="25"/>
        <v>#N/A</v>
      </c>
      <c r="LA52" s="254" t="str">
        <f t="shared" si="95"/>
        <v>0-2 anni</v>
      </c>
      <c r="LB52" s="112">
        <f t="shared" si="26"/>
        <v>37202</v>
      </c>
      <c r="LC52" s="112">
        <f t="shared" si="26"/>
        <v>37282</v>
      </c>
      <c r="LD52" t="e">
        <f t="shared" ca="1" si="96"/>
        <v>#N/A</v>
      </c>
      <c r="LE52" s="262" t="e">
        <f t="shared" ca="1" si="97"/>
        <v>#N/A</v>
      </c>
      <c r="LF52">
        <f t="shared" si="98"/>
        <v>0</v>
      </c>
      <c r="LG52" t="e">
        <f t="shared" ca="1" si="99"/>
        <v>#N/A</v>
      </c>
      <c r="LK52" s="320"/>
      <c r="LL52" s="335">
        <f ca="1">Foglio7ti!GF53</f>
        <v>100000</v>
      </c>
      <c r="LM52" s="336">
        <f t="shared" ca="1" si="27"/>
        <v>100000</v>
      </c>
      <c r="LN52" s="335"/>
      <c r="LO52" s="320">
        <f t="shared" si="100"/>
        <v>14</v>
      </c>
      <c r="LP52" s="336">
        <f t="shared" ca="1" si="28"/>
        <v>44743</v>
      </c>
      <c r="LQ52" s="335"/>
      <c r="LR52" s="320"/>
      <c r="LS52" s="319">
        <f t="shared" si="29"/>
        <v>14</v>
      </c>
      <c r="LT52" s="336">
        <f t="shared" ca="1" si="30"/>
        <v>100000</v>
      </c>
      <c r="LU52" s="320"/>
      <c r="LV52" s="320"/>
      <c r="LW52" s="336">
        <f t="shared" ca="1" si="31"/>
        <v>100000</v>
      </c>
      <c r="LX52" s="320"/>
      <c r="LY52" s="320"/>
      <c r="LZ52" s="336">
        <f t="shared" ca="1" si="32"/>
        <v>100000</v>
      </c>
      <c r="MA52" s="320"/>
      <c r="MB52" s="320"/>
      <c r="MC52" s="308">
        <f t="shared" ca="1" si="4"/>
        <v>100000</v>
      </c>
      <c r="MD52" t="str">
        <f t="shared" ca="1" si="101"/>
        <v/>
      </c>
      <c r="ME52" s="338" t="str">
        <f t="shared" ca="1" si="33"/>
        <v/>
      </c>
      <c r="MF52" s="338" t="str">
        <f t="shared" ca="1" si="102"/>
        <v/>
      </c>
      <c r="MG52" s="337" t="str">
        <f t="shared" ca="1" si="5"/>
        <v/>
      </c>
      <c r="MH52" s="338" t="str">
        <f t="shared" ca="1" si="35"/>
        <v/>
      </c>
      <c r="MI52" s="337" t="str">
        <f t="shared" ca="1" si="36"/>
        <v/>
      </c>
      <c r="MJ52" s="337" t="str">
        <f t="shared" ca="1" si="6"/>
        <v/>
      </c>
      <c r="MK52" s="337" t="str">
        <f t="shared" ca="1" si="37"/>
        <v/>
      </c>
      <c r="ML52" s="337" t="str">
        <f ca="1">IF(ME52&lt;&gt;"",VLOOKUP(ME52,Foglio7ti!$GF$40:$GG$92,2),"")</f>
        <v/>
      </c>
      <c r="MM52" s="282" t="str">
        <f t="shared" ca="1" si="38"/>
        <v/>
      </c>
      <c r="MN52" s="282"/>
      <c r="MO52" s="320">
        <f t="shared" si="128"/>
        <v>1</v>
      </c>
      <c r="MP52" s="253" t="str">
        <f t="shared" ca="1" si="39"/>
        <v/>
      </c>
      <c r="MQ52" t="e">
        <f t="shared" ca="1" si="160"/>
        <v>#N/A</v>
      </c>
      <c r="MR52" s="238" t="e">
        <f ca="1">VLOOKUP(ME52,Foglio1ti!AB44:AZ344,13)-MQ52</f>
        <v>#N/A</v>
      </c>
      <c r="MS52" t="e">
        <f t="shared" ca="1" si="40"/>
        <v>#N/A</v>
      </c>
      <c r="MT52" t="e">
        <f t="shared" ca="1" si="41"/>
        <v>#N/A</v>
      </c>
      <c r="MU52" s="238" t="e">
        <f ca="1">VLOOKUP(ME52,Foglio1ti!AB44:AZ344,13)-MT52</f>
        <v>#N/A</v>
      </c>
      <c r="MV52" t="e">
        <f t="shared" ca="1" si="42"/>
        <v>#N/A</v>
      </c>
      <c r="MW52">
        <f t="shared" ca="1" si="140"/>
        <v>0</v>
      </c>
      <c r="MX52">
        <f ca="1">IF(AND(frontti!$H$25="SI",ML52="3-8 anni"),INDIRECT(CONCATENATE($MR$37,"BI",MU52)),0)</f>
        <v>0</v>
      </c>
      <c r="MY52" s="254"/>
    </row>
    <row r="53" spans="1:363" ht="82.15" customHeight="1" x14ac:dyDescent="0.25">
      <c r="A53" s="112">
        <f t="shared" si="141"/>
        <v>36892</v>
      </c>
      <c r="B53" s="112">
        <f t="shared" si="44"/>
        <v>37257</v>
      </c>
      <c r="E53" s="240">
        <f>Foglio3!F33</f>
        <v>37284</v>
      </c>
      <c r="F53" s="240">
        <f>Foglio3!G33</f>
        <v>37437</v>
      </c>
      <c r="G53" s="244"/>
      <c r="H53" s="245">
        <f t="shared" si="45"/>
        <v>37284</v>
      </c>
      <c r="I53" s="245">
        <f t="shared" si="8"/>
        <v>37437</v>
      </c>
      <c r="J53" s="244"/>
      <c r="K53" s="244"/>
      <c r="Q53">
        <f t="shared" si="9"/>
        <v>154</v>
      </c>
      <c r="R53">
        <f t="shared" si="142"/>
        <v>0</v>
      </c>
      <c r="S53">
        <f t="shared" si="46"/>
        <v>0</v>
      </c>
      <c r="T53">
        <f t="shared" si="129"/>
        <v>0</v>
      </c>
      <c r="U53">
        <f t="shared" si="130"/>
        <v>0</v>
      </c>
      <c r="W53">
        <f t="shared" si="131"/>
        <v>0</v>
      </c>
      <c r="X53">
        <f t="shared" si="131"/>
        <v>34</v>
      </c>
      <c r="Y53">
        <f t="shared" si="131"/>
        <v>101</v>
      </c>
      <c r="AA53" s="112">
        <f t="shared" si="103"/>
        <v>37284</v>
      </c>
      <c r="AB53" s="112">
        <f t="shared" si="104"/>
        <v>37437</v>
      </c>
      <c r="AG53">
        <f t="shared" si="47"/>
        <v>1</v>
      </c>
      <c r="AH53" s="112">
        <f t="shared" si="48"/>
        <v>37284</v>
      </c>
      <c r="AI53" s="112">
        <f t="shared" si="48"/>
        <v>37437</v>
      </c>
      <c r="AJ53">
        <f t="shared" si="49"/>
        <v>1</v>
      </c>
      <c r="AK53">
        <f t="shared" si="105"/>
        <v>0</v>
      </c>
      <c r="AL53">
        <f t="shared" si="132"/>
        <v>0</v>
      </c>
      <c r="AN53">
        <f t="shared" si="133"/>
        <v>0</v>
      </c>
      <c r="AO53">
        <f t="shared" si="134"/>
        <v>0</v>
      </c>
      <c r="AP53">
        <f t="shared" si="106"/>
        <v>0</v>
      </c>
      <c r="AS53">
        <f t="shared" si="143"/>
        <v>1</v>
      </c>
      <c r="AT53">
        <f t="shared" si="144"/>
        <v>0</v>
      </c>
      <c r="AV53">
        <f t="shared" si="145"/>
        <v>154</v>
      </c>
      <c r="AW53">
        <f t="shared" si="146"/>
        <v>0</v>
      </c>
      <c r="AX53">
        <f t="shared" si="107"/>
        <v>154</v>
      </c>
      <c r="BA53">
        <f t="shared" si="163"/>
        <v>0</v>
      </c>
      <c r="BB53">
        <f t="shared" si="164"/>
        <v>0</v>
      </c>
      <c r="BD53">
        <f t="shared" si="148"/>
        <v>0</v>
      </c>
      <c r="BE53">
        <f t="shared" si="149"/>
        <v>0</v>
      </c>
      <c r="BF53">
        <f t="shared" si="137"/>
        <v>0</v>
      </c>
      <c r="BI53">
        <f t="shared" si="150"/>
        <v>0</v>
      </c>
      <c r="BJ53">
        <f t="shared" si="153"/>
        <v>0</v>
      </c>
      <c r="BK53">
        <f t="shared" si="154"/>
        <v>0</v>
      </c>
      <c r="BL53">
        <f t="shared" si="155"/>
        <v>0</v>
      </c>
      <c r="BM53">
        <f t="shared" si="147"/>
        <v>0</v>
      </c>
      <c r="BO53">
        <f t="shared" si="156"/>
        <v>1</v>
      </c>
      <c r="BP53">
        <f t="shared" si="157"/>
        <v>0</v>
      </c>
      <c r="BR53">
        <f t="shared" si="158"/>
        <v>154</v>
      </c>
      <c r="BS53">
        <f t="shared" si="159"/>
        <v>0</v>
      </c>
      <c r="BT53">
        <f t="shared" si="151"/>
        <v>154</v>
      </c>
      <c r="BV53">
        <f t="shared" si="108"/>
        <v>154</v>
      </c>
      <c r="BX53">
        <f t="shared" si="109"/>
        <v>0</v>
      </c>
      <c r="BY53">
        <f t="shared" si="110"/>
        <v>154</v>
      </c>
      <c r="BZ53">
        <f t="shared" si="111"/>
        <v>0</v>
      </c>
      <c r="CA53">
        <f t="shared" si="112"/>
        <v>0</v>
      </c>
      <c r="CB53">
        <f t="shared" si="113"/>
        <v>154</v>
      </c>
      <c r="CG53">
        <f t="shared" si="50"/>
        <v>2002</v>
      </c>
      <c r="CH53">
        <f t="shared" si="50"/>
        <v>2002</v>
      </c>
      <c r="CJ53">
        <f t="shared" si="51"/>
        <v>0</v>
      </c>
      <c r="CK53">
        <f t="shared" si="161"/>
        <v>0</v>
      </c>
      <c r="CL53">
        <f t="shared" si="52"/>
        <v>0</v>
      </c>
      <c r="CN53">
        <f t="shared" si="53"/>
        <v>0</v>
      </c>
      <c r="CS53">
        <f t="shared" si="54"/>
        <v>0</v>
      </c>
      <c r="CT53">
        <f t="shared" si="114"/>
        <v>1121</v>
      </c>
      <c r="CV53" s="112">
        <f t="shared" si="55"/>
        <v>37437</v>
      </c>
      <c r="CX53" s="112">
        <f t="shared" si="56"/>
        <v>100000</v>
      </c>
      <c r="CY53" s="270">
        <f t="shared" si="115"/>
        <v>100000</v>
      </c>
      <c r="CZ53" s="112">
        <f t="shared" si="116"/>
        <v>100000</v>
      </c>
      <c r="DA53" s="112">
        <f t="shared" si="117"/>
        <v>100000</v>
      </c>
      <c r="DB53" s="112">
        <f t="shared" si="118"/>
        <v>100000</v>
      </c>
      <c r="DC53" s="112">
        <f t="shared" si="119"/>
        <v>100000</v>
      </c>
      <c r="DU53" s="112"/>
      <c r="DV53" s="112"/>
      <c r="DW53" s="277">
        <v>39083</v>
      </c>
      <c r="DX53" s="276"/>
      <c r="DY53" s="276"/>
      <c r="DZ53" s="276"/>
      <c r="EF53" s="260" t="str">
        <f t="shared" si="162"/>
        <v/>
      </c>
      <c r="EK53" s="254"/>
      <c r="EL53">
        <f t="shared" si="165"/>
        <v>14</v>
      </c>
      <c r="EM53" s="260">
        <f t="shared" ca="1" si="122"/>
        <v>100000</v>
      </c>
      <c r="EN53" s="112">
        <f t="shared" ca="1" si="63"/>
        <v>100000</v>
      </c>
      <c r="EO53" s="112">
        <f t="shared" ca="1" si="64"/>
        <v>100000</v>
      </c>
      <c r="EP53" s="112">
        <f t="shared" ca="1" si="123"/>
        <v>100000</v>
      </c>
      <c r="EQ53" s="273">
        <f t="shared" ca="1" si="138"/>
        <v>100000</v>
      </c>
      <c r="ER53" s="302">
        <f t="shared" ca="1" si="65"/>
        <v>100000</v>
      </c>
      <c r="EU53" t="e">
        <f t="shared" ca="1" si="66"/>
        <v>#N/A</v>
      </c>
      <c r="EV53" s="260">
        <f t="shared" ca="1" si="124"/>
        <v>100000</v>
      </c>
      <c r="EW53" t="e">
        <f t="shared" ca="1" si="67"/>
        <v>#N/A</v>
      </c>
      <c r="EX53" t="e">
        <f t="shared" ca="1" si="12"/>
        <v>#N/A</v>
      </c>
      <c r="EY53" s="238" t="e">
        <f t="shared" ca="1" si="13"/>
        <v>#N/A</v>
      </c>
      <c r="FB53" t="e">
        <f t="shared" ca="1" si="68"/>
        <v>#N/A</v>
      </c>
      <c r="FC53" t="e">
        <f t="shared" ca="1" si="14"/>
        <v>#N/A</v>
      </c>
      <c r="FD53" t="e">
        <f t="shared" ca="1" si="14"/>
        <v>#N/A</v>
      </c>
      <c r="FE53" t="e">
        <f t="shared" ca="1" si="14"/>
        <v>#N/A</v>
      </c>
      <c r="FF53" t="e">
        <f t="shared" ca="1" si="14"/>
        <v>#N/A</v>
      </c>
      <c r="FM53" t="e">
        <f t="shared" ca="1" si="15"/>
        <v>#N/A</v>
      </c>
      <c r="FR53" s="254" t="e">
        <f t="shared" ca="1" si="69"/>
        <v>#N/A</v>
      </c>
      <c r="FS53">
        <f t="shared" si="125"/>
        <v>53</v>
      </c>
      <c r="FT53" t="e">
        <f t="shared" ca="1" si="16"/>
        <v>#N/A</v>
      </c>
      <c r="FU53" t="str">
        <f t="shared" ca="1" si="16"/>
        <v>EV53</v>
      </c>
      <c r="FV53" t="e">
        <f t="shared" ca="1" si="16"/>
        <v>#N/A</v>
      </c>
      <c r="FW53" t="e">
        <f t="shared" ca="1" si="16"/>
        <v>#N/A</v>
      </c>
      <c r="FX53" t="e">
        <f t="shared" ca="1" si="16"/>
        <v>#N/A</v>
      </c>
      <c r="FY53" t="e">
        <f t="shared" ca="1" si="16"/>
        <v>#N/A</v>
      </c>
      <c r="FZ53" t="e">
        <f t="shared" ca="1" si="16"/>
        <v>#N/A</v>
      </c>
      <c r="GA53" t="str">
        <f t="shared" ca="1" si="16"/>
        <v/>
      </c>
      <c r="GB53" t="e">
        <f t="shared" ca="1" si="16"/>
        <v>#N/A</v>
      </c>
      <c r="GC53" t="str">
        <f t="shared" ca="1" si="16"/>
        <v/>
      </c>
      <c r="GD53" t="str">
        <f t="shared" ca="1" si="16"/>
        <v/>
      </c>
      <c r="GE53">
        <f t="shared" ca="1" si="126"/>
        <v>0</v>
      </c>
      <c r="GF53" s="112">
        <f t="shared" ca="1" si="70"/>
        <v>100000</v>
      </c>
      <c r="GG53" s="112" t="e">
        <f t="shared" ca="1" si="71"/>
        <v>#N/A</v>
      </c>
      <c r="GH53" s="262" t="e">
        <f t="shared" ca="1" si="17"/>
        <v>#N/A</v>
      </c>
      <c r="GI53" s="262" t="e">
        <f t="shared" ca="1" si="17"/>
        <v>#N/A</v>
      </c>
      <c r="GJ53" s="262" t="e">
        <f t="shared" ca="1" si="17"/>
        <v>#N/A</v>
      </c>
      <c r="GK53" s="262" t="e">
        <f t="shared" ca="1" si="17"/>
        <v>#N/A</v>
      </c>
      <c r="GL53" s="262" t="e">
        <f t="shared" ca="1" si="17"/>
        <v>#N/A</v>
      </c>
      <c r="GM53" s="262">
        <f t="shared" ca="1" si="17"/>
        <v>0</v>
      </c>
      <c r="GN53" s="262" t="e">
        <f t="shared" ca="1" si="17"/>
        <v>#N/A</v>
      </c>
      <c r="GO53" s="262">
        <f t="shared" ca="1" si="72"/>
        <v>0</v>
      </c>
      <c r="GP53" s="262">
        <f t="shared" ca="1" si="73"/>
        <v>0</v>
      </c>
      <c r="GR53" s="262" t="e">
        <f t="shared" ca="1" si="75"/>
        <v>#N/A</v>
      </c>
      <c r="GS53" s="262" t="e">
        <f t="shared" ca="1" si="18"/>
        <v>#N/A</v>
      </c>
      <c r="GT53" s="253" t="str">
        <f t="shared" ca="1" si="76"/>
        <v/>
      </c>
      <c r="GU53" t="str">
        <f t="shared" ca="1" si="77"/>
        <v/>
      </c>
      <c r="GV53" t="str">
        <f t="shared" ca="1" si="78"/>
        <v/>
      </c>
      <c r="GW53" t="e">
        <f t="shared" ca="1" si="139"/>
        <v>#N/A</v>
      </c>
      <c r="GX53" t="e">
        <f t="shared" ca="1" si="19"/>
        <v>#N/A</v>
      </c>
      <c r="GY53" t="e">
        <f t="shared" ca="1" si="19"/>
        <v>#N/A</v>
      </c>
      <c r="GZ53" t="e">
        <f t="shared" ca="1" si="20"/>
        <v>#N/A</v>
      </c>
      <c r="HA53" t="e">
        <f t="shared" ca="1" si="19"/>
        <v>#N/A</v>
      </c>
      <c r="HB53" t="str">
        <f t="shared" ca="1" si="19"/>
        <v/>
      </c>
      <c r="HC53" t="e">
        <f t="shared" ca="1" si="19"/>
        <v>#N/A</v>
      </c>
      <c r="HD53" t="str">
        <f t="shared" ca="1" si="79"/>
        <v/>
      </c>
      <c r="HE53" s="254" t="str">
        <f t="shared" ca="1" si="19"/>
        <v/>
      </c>
      <c r="HF53" s="254" t="e">
        <f t="shared" ca="1" si="80"/>
        <v>#N/A</v>
      </c>
      <c r="HM53" s="263" t="e">
        <f t="shared" ca="1" si="81"/>
        <v>#N/A</v>
      </c>
      <c r="HN53" s="263"/>
      <c r="HO53" s="272" t="str">
        <f t="shared" ca="1" si="21"/>
        <v/>
      </c>
      <c r="HP53">
        <f t="shared" ca="1" si="82"/>
        <v>0</v>
      </c>
      <c r="HQ53" t="str">
        <f t="shared" ca="1" si="83"/>
        <v/>
      </c>
      <c r="HR53" t="str">
        <f t="shared" ca="1" si="84"/>
        <v/>
      </c>
      <c r="HS53" t="str">
        <f t="shared" ca="1" si="85"/>
        <v/>
      </c>
      <c r="HX53" s="253" t="s">
        <v>187</v>
      </c>
      <c r="HY53" s="112" t="str">
        <f t="shared" si="86"/>
        <v>28/1/2002</v>
      </c>
      <c r="HZ53" t="s">
        <v>188</v>
      </c>
      <c r="IA53" s="112" t="str">
        <f t="shared" si="87"/>
        <v>30/6/2002</v>
      </c>
      <c r="IB53" t="s">
        <v>189</v>
      </c>
      <c r="IC53">
        <f t="shared" si="88"/>
        <v>0</v>
      </c>
      <c r="ID53" t="s">
        <v>192</v>
      </c>
      <c r="IE53">
        <f t="shared" si="89"/>
        <v>0</v>
      </c>
      <c r="IF53" t="s">
        <v>191</v>
      </c>
      <c r="IG53" s="254">
        <f t="shared" si="90"/>
        <v>0</v>
      </c>
      <c r="IL53" t="str">
        <f t="shared" si="91"/>
        <v xml:space="preserve">DAL: 28/1/2002 - AL:30/6/2002 - ANNI:0 - MESI:0 -GIORNI:0
</v>
      </c>
      <c r="KD53">
        <v>0</v>
      </c>
      <c r="KE53" s="260">
        <f t="shared" ca="1" si="92"/>
        <v>100000</v>
      </c>
      <c r="KF53" t="str">
        <f t="shared" si="93"/>
        <v>0-2 anni</v>
      </c>
      <c r="KG53">
        <f t="shared" si="22"/>
        <v>6</v>
      </c>
      <c r="KH53" s="238">
        <f t="shared" ca="1" si="23"/>
        <v>255</v>
      </c>
      <c r="KK53">
        <f t="shared" ca="1" si="94"/>
        <v>16218.89</v>
      </c>
      <c r="KL53" t="e">
        <f t="shared" ca="1" si="24"/>
        <v>#N/A</v>
      </c>
      <c r="KM53" t="e">
        <f t="shared" ca="1" si="24"/>
        <v>#N/A</v>
      </c>
      <c r="KN53" t="e">
        <f t="shared" ca="1" si="24"/>
        <v>#N/A</v>
      </c>
      <c r="KO53" t="e">
        <f t="shared" ca="1" si="24"/>
        <v>#N/A</v>
      </c>
      <c r="KV53" t="e">
        <f t="shared" ca="1" si="25"/>
        <v>#N/A</v>
      </c>
      <c r="LA53" s="254" t="str">
        <f t="shared" si="95"/>
        <v>0-2 anni</v>
      </c>
      <c r="LB53" s="112">
        <f t="shared" si="26"/>
        <v>37284</v>
      </c>
      <c r="LC53" s="112">
        <f t="shared" si="26"/>
        <v>37437</v>
      </c>
      <c r="LD53" t="e">
        <f t="shared" ca="1" si="96"/>
        <v>#N/A</v>
      </c>
      <c r="LE53" s="262" t="e">
        <f t="shared" ca="1" si="97"/>
        <v>#N/A</v>
      </c>
      <c r="LF53">
        <f t="shared" si="98"/>
        <v>0</v>
      </c>
      <c r="LG53" t="e">
        <f t="shared" ca="1" si="99"/>
        <v>#N/A</v>
      </c>
      <c r="LK53" s="320"/>
      <c r="LL53" s="335">
        <f ca="1">Foglio7ti!GF54</f>
        <v>100000</v>
      </c>
      <c r="LM53" s="336">
        <f t="shared" ca="1" si="27"/>
        <v>100000</v>
      </c>
      <c r="LN53" s="335"/>
      <c r="LO53" s="320">
        <f t="shared" si="100"/>
        <v>15</v>
      </c>
      <c r="LP53" s="336">
        <f t="shared" ca="1" si="28"/>
        <v>44743</v>
      </c>
      <c r="LQ53" s="335"/>
      <c r="LR53" s="320"/>
      <c r="LS53" s="319">
        <f t="shared" si="29"/>
        <v>15</v>
      </c>
      <c r="LT53" s="336">
        <f t="shared" ca="1" si="30"/>
        <v>44743</v>
      </c>
      <c r="LU53" s="320"/>
      <c r="LV53" s="320"/>
      <c r="LW53" s="336">
        <f t="shared" ca="1" si="31"/>
        <v>100000</v>
      </c>
      <c r="LX53" s="320"/>
      <c r="LY53" s="320"/>
      <c r="LZ53" s="336">
        <f t="shared" ca="1" si="32"/>
        <v>100000</v>
      </c>
      <c r="MA53" s="320"/>
      <c r="MB53" s="320"/>
      <c r="MC53" s="308">
        <f t="shared" ca="1" si="4"/>
        <v>100000</v>
      </c>
      <c r="MD53" t="str">
        <f t="shared" ca="1" si="101"/>
        <v/>
      </c>
      <c r="ME53" s="338" t="str">
        <f t="shared" ca="1" si="33"/>
        <v/>
      </c>
      <c r="MF53" s="338" t="str">
        <f t="shared" ca="1" si="102"/>
        <v/>
      </c>
      <c r="MG53" s="337" t="str">
        <f t="shared" ca="1" si="5"/>
        <v/>
      </c>
      <c r="MH53" s="338" t="str">
        <f t="shared" ca="1" si="35"/>
        <v/>
      </c>
      <c r="MI53" s="337" t="str">
        <f t="shared" ca="1" si="36"/>
        <v/>
      </c>
      <c r="MJ53" s="337" t="str">
        <f t="shared" ca="1" si="6"/>
        <v/>
      </c>
      <c r="MK53" s="337" t="str">
        <f t="shared" ca="1" si="37"/>
        <v/>
      </c>
      <c r="ML53" s="337" t="str">
        <f ca="1">IF(ME53&lt;&gt;"",VLOOKUP(ME53,Foglio7ti!$GF$40:$GG$92,2),"")</f>
        <v/>
      </c>
      <c r="MM53" s="282" t="str">
        <f t="shared" ca="1" si="38"/>
        <v/>
      </c>
      <c r="MN53" s="282"/>
      <c r="MO53" s="320">
        <f t="shared" si="128"/>
        <v>1</v>
      </c>
      <c r="MP53" s="253" t="str">
        <f t="shared" ca="1" si="39"/>
        <v/>
      </c>
      <c r="MQ53" t="e">
        <f t="shared" ca="1" si="160"/>
        <v>#N/A</v>
      </c>
      <c r="MR53" s="238" t="e">
        <f ca="1">VLOOKUP(ME53,Foglio1ti!AB45:AZ345,13)-MQ53</f>
        <v>#N/A</v>
      </c>
      <c r="MS53" t="e">
        <f t="shared" ca="1" si="40"/>
        <v>#N/A</v>
      </c>
      <c r="MT53" t="e">
        <f t="shared" ca="1" si="41"/>
        <v>#N/A</v>
      </c>
      <c r="MU53" s="238" t="e">
        <f ca="1">VLOOKUP(ME53,Foglio1ti!AB45:AZ345,13)-MT53</f>
        <v>#N/A</v>
      </c>
      <c r="MV53" t="e">
        <f t="shared" ca="1" si="42"/>
        <v>#N/A</v>
      </c>
      <c r="MW53">
        <f t="shared" ca="1" si="140"/>
        <v>0</v>
      </c>
      <c r="MX53">
        <f ca="1">IF(AND(frontti!$H$25="SI",ML53="3-8 anni"),INDIRECT(CONCATENATE($MR$37,"BI",MU53)),0)</f>
        <v>0</v>
      </c>
      <c r="MY53" s="254"/>
    </row>
    <row r="54" spans="1:363" ht="138.6" customHeight="1" x14ac:dyDescent="0.25">
      <c r="A54" s="112">
        <f t="shared" si="141"/>
        <v>36892</v>
      </c>
      <c r="B54" s="112">
        <f t="shared" si="44"/>
        <v>37257</v>
      </c>
      <c r="E54" s="240">
        <f>Foglio3!F34</f>
        <v>37537</v>
      </c>
      <c r="F54" s="240">
        <f>Foglio3!G34</f>
        <v>37551</v>
      </c>
      <c r="G54" s="244"/>
      <c r="H54" s="245">
        <f t="shared" si="45"/>
        <v>37537</v>
      </c>
      <c r="I54" s="245">
        <f t="shared" si="8"/>
        <v>37551</v>
      </c>
      <c r="J54" s="244"/>
      <c r="K54" s="244"/>
      <c r="Q54">
        <f t="shared" si="9"/>
        <v>15</v>
      </c>
      <c r="R54">
        <f t="shared" si="142"/>
        <v>15</v>
      </c>
      <c r="S54">
        <f t="shared" si="46"/>
        <v>0</v>
      </c>
      <c r="T54">
        <f t="shared" si="129"/>
        <v>0</v>
      </c>
      <c r="U54">
        <f t="shared" si="130"/>
        <v>15</v>
      </c>
      <c r="W54">
        <f t="shared" si="131"/>
        <v>0</v>
      </c>
      <c r="X54">
        <f t="shared" si="131"/>
        <v>34</v>
      </c>
      <c r="Y54">
        <f t="shared" si="131"/>
        <v>116</v>
      </c>
      <c r="AA54" s="112">
        <f t="shared" si="103"/>
        <v>37537</v>
      </c>
      <c r="AB54" s="112">
        <f t="shared" si="104"/>
        <v>37551</v>
      </c>
      <c r="AG54">
        <f t="shared" si="47"/>
        <v>1</v>
      </c>
      <c r="AH54" s="112">
        <f t="shared" si="48"/>
        <v>37537</v>
      </c>
      <c r="AI54" s="112">
        <f t="shared" si="48"/>
        <v>37551</v>
      </c>
      <c r="AJ54">
        <f t="shared" si="49"/>
        <v>1</v>
      </c>
      <c r="AK54">
        <f t="shared" si="105"/>
        <v>0</v>
      </c>
      <c r="AL54">
        <f t="shared" si="132"/>
        <v>0</v>
      </c>
      <c r="AN54">
        <f t="shared" si="133"/>
        <v>0</v>
      </c>
      <c r="AO54">
        <f t="shared" si="134"/>
        <v>0</v>
      </c>
      <c r="AP54">
        <f t="shared" si="106"/>
        <v>0</v>
      </c>
      <c r="AS54">
        <f t="shared" si="143"/>
        <v>0</v>
      </c>
      <c r="AT54">
        <f t="shared" si="144"/>
        <v>0</v>
      </c>
      <c r="AV54">
        <f t="shared" si="145"/>
        <v>0</v>
      </c>
      <c r="AW54">
        <f t="shared" si="146"/>
        <v>0</v>
      </c>
      <c r="AX54">
        <f t="shared" si="107"/>
        <v>0</v>
      </c>
      <c r="BA54">
        <f t="shared" si="163"/>
        <v>0</v>
      </c>
      <c r="BB54">
        <f t="shared" si="164"/>
        <v>0</v>
      </c>
      <c r="BD54">
        <f t="shared" si="148"/>
        <v>0</v>
      </c>
      <c r="BE54">
        <f t="shared" si="149"/>
        <v>0</v>
      </c>
      <c r="BF54">
        <f t="shared" si="137"/>
        <v>0</v>
      </c>
      <c r="BI54">
        <f t="shared" si="150"/>
        <v>0</v>
      </c>
      <c r="BJ54">
        <f t="shared" si="153"/>
        <v>0</v>
      </c>
      <c r="BK54">
        <f t="shared" si="154"/>
        <v>0</v>
      </c>
      <c r="BL54">
        <f t="shared" si="155"/>
        <v>0</v>
      </c>
      <c r="BM54">
        <f t="shared" si="147"/>
        <v>0</v>
      </c>
      <c r="BO54">
        <f t="shared" si="156"/>
        <v>0</v>
      </c>
      <c r="BP54">
        <f t="shared" si="157"/>
        <v>0</v>
      </c>
      <c r="BR54">
        <f t="shared" si="158"/>
        <v>0</v>
      </c>
      <c r="BS54">
        <f t="shared" si="159"/>
        <v>0</v>
      </c>
      <c r="BT54">
        <f t="shared" si="151"/>
        <v>0</v>
      </c>
      <c r="BV54">
        <f t="shared" si="108"/>
        <v>0</v>
      </c>
      <c r="BX54">
        <f t="shared" si="109"/>
        <v>0</v>
      </c>
      <c r="BY54">
        <f t="shared" si="110"/>
        <v>0</v>
      </c>
      <c r="BZ54">
        <f t="shared" si="111"/>
        <v>0</v>
      </c>
      <c r="CA54">
        <f t="shared" si="112"/>
        <v>0</v>
      </c>
      <c r="CB54">
        <f t="shared" si="113"/>
        <v>0</v>
      </c>
      <c r="CG54">
        <f t="shared" si="50"/>
        <v>2002</v>
      </c>
      <c r="CH54">
        <f t="shared" si="50"/>
        <v>2002</v>
      </c>
      <c r="CJ54">
        <f t="shared" si="51"/>
        <v>0</v>
      </c>
      <c r="CK54">
        <f t="shared" si="161"/>
        <v>0</v>
      </c>
      <c r="CL54">
        <f t="shared" si="52"/>
        <v>0</v>
      </c>
      <c r="CN54">
        <f t="shared" si="53"/>
        <v>0</v>
      </c>
      <c r="CS54">
        <f t="shared" si="54"/>
        <v>15</v>
      </c>
      <c r="CT54">
        <f t="shared" si="114"/>
        <v>1136</v>
      </c>
      <c r="CV54" s="112">
        <f t="shared" si="55"/>
        <v>37551</v>
      </c>
      <c r="CX54" s="112">
        <f t="shared" si="56"/>
        <v>100000</v>
      </c>
      <c r="CY54" s="112">
        <f t="shared" si="115"/>
        <v>100000</v>
      </c>
      <c r="CZ54" s="112">
        <f t="shared" si="116"/>
        <v>100000</v>
      </c>
      <c r="DA54" s="112">
        <f t="shared" si="117"/>
        <v>100000</v>
      </c>
      <c r="DB54" s="112">
        <f t="shared" si="118"/>
        <v>100000</v>
      </c>
      <c r="DC54" s="112">
        <f t="shared" si="119"/>
        <v>100000</v>
      </c>
      <c r="DU54" s="112"/>
      <c r="DV54" s="112"/>
      <c r="DW54" s="277">
        <v>39114</v>
      </c>
      <c r="DX54" s="276"/>
      <c r="DY54" s="276"/>
      <c r="DZ54" s="276"/>
      <c r="EF54" s="260" t="str">
        <f t="shared" si="162"/>
        <v/>
      </c>
      <c r="EK54" s="254"/>
      <c r="EL54">
        <f t="shared" si="165"/>
        <v>15</v>
      </c>
      <c r="EM54" s="260">
        <f t="shared" ca="1" si="122"/>
        <v>100000</v>
      </c>
      <c r="EN54" s="112">
        <f t="shared" ca="1" si="63"/>
        <v>100000</v>
      </c>
      <c r="EO54" s="112">
        <f t="shared" ca="1" si="64"/>
        <v>100000</v>
      </c>
      <c r="EP54" s="112">
        <f t="shared" ca="1" si="123"/>
        <v>100000</v>
      </c>
      <c r="EQ54" s="273">
        <f t="shared" ca="1" si="138"/>
        <v>100000</v>
      </c>
      <c r="ER54" s="302">
        <f t="shared" ca="1" si="65"/>
        <v>100000</v>
      </c>
      <c r="EU54" t="e">
        <f t="shared" ca="1" si="66"/>
        <v>#N/A</v>
      </c>
      <c r="EV54" s="260">
        <f t="shared" ca="1" si="124"/>
        <v>100000</v>
      </c>
      <c r="EW54" t="e">
        <f t="shared" ca="1" si="67"/>
        <v>#N/A</v>
      </c>
      <c r="EX54" t="e">
        <f t="shared" ca="1" si="12"/>
        <v>#N/A</v>
      </c>
      <c r="EY54" s="238" t="e">
        <f t="shared" ca="1" si="13"/>
        <v>#N/A</v>
      </c>
      <c r="FB54" t="e">
        <f t="shared" ca="1" si="68"/>
        <v>#N/A</v>
      </c>
      <c r="FC54" t="e">
        <f t="shared" ca="1" si="14"/>
        <v>#N/A</v>
      </c>
      <c r="FD54" t="e">
        <f t="shared" ca="1" si="14"/>
        <v>#N/A</v>
      </c>
      <c r="FE54" t="e">
        <f t="shared" ca="1" si="14"/>
        <v>#N/A</v>
      </c>
      <c r="FF54" t="e">
        <f t="shared" ca="1" si="14"/>
        <v>#N/A</v>
      </c>
      <c r="FM54" t="e">
        <f t="shared" ca="1" si="15"/>
        <v>#N/A</v>
      </c>
      <c r="FR54" s="254" t="e">
        <f t="shared" ca="1" si="69"/>
        <v>#N/A</v>
      </c>
      <c r="FS54">
        <f t="shared" si="125"/>
        <v>54</v>
      </c>
      <c r="FT54" t="e">
        <f t="shared" ca="1" si="16"/>
        <v>#N/A</v>
      </c>
      <c r="FU54" t="str">
        <f t="shared" ca="1" si="16"/>
        <v>EV54</v>
      </c>
      <c r="FV54" t="e">
        <f t="shared" ca="1" si="16"/>
        <v>#N/A</v>
      </c>
      <c r="FW54" t="e">
        <f t="shared" ca="1" si="16"/>
        <v>#N/A</v>
      </c>
      <c r="FX54" t="e">
        <f t="shared" ca="1" si="16"/>
        <v>#N/A</v>
      </c>
      <c r="FY54" t="e">
        <f t="shared" ca="1" si="16"/>
        <v>#N/A</v>
      </c>
      <c r="FZ54" t="e">
        <f t="shared" ca="1" si="16"/>
        <v>#N/A</v>
      </c>
      <c r="GA54" t="str">
        <f t="shared" ca="1" si="16"/>
        <v/>
      </c>
      <c r="GB54" t="e">
        <f t="shared" ca="1" si="16"/>
        <v>#N/A</v>
      </c>
      <c r="GC54" t="str">
        <f t="shared" ca="1" si="16"/>
        <v/>
      </c>
      <c r="GD54" t="str">
        <f t="shared" ca="1" si="16"/>
        <v/>
      </c>
      <c r="GE54">
        <f t="shared" ca="1" si="126"/>
        <v>0</v>
      </c>
      <c r="GF54" s="112">
        <f t="shared" ca="1" si="70"/>
        <v>100000</v>
      </c>
      <c r="GG54" s="112" t="e">
        <f t="shared" ca="1" si="71"/>
        <v>#N/A</v>
      </c>
      <c r="GH54" s="262" t="e">
        <f t="shared" ca="1" si="17"/>
        <v>#N/A</v>
      </c>
      <c r="GI54" s="262" t="e">
        <f t="shared" ca="1" si="17"/>
        <v>#N/A</v>
      </c>
      <c r="GJ54" s="262" t="e">
        <f t="shared" ca="1" si="17"/>
        <v>#N/A</v>
      </c>
      <c r="GK54" s="262" t="e">
        <f t="shared" ca="1" si="17"/>
        <v>#N/A</v>
      </c>
      <c r="GL54" s="262" t="e">
        <f t="shared" ca="1" si="17"/>
        <v>#N/A</v>
      </c>
      <c r="GM54" s="262">
        <f t="shared" ca="1" si="17"/>
        <v>0</v>
      </c>
      <c r="GN54" s="262" t="e">
        <f t="shared" ca="1" si="17"/>
        <v>#N/A</v>
      </c>
      <c r="GO54" s="262">
        <f t="shared" ca="1" si="72"/>
        <v>0</v>
      </c>
      <c r="GP54" s="262">
        <f t="shared" ca="1" si="73"/>
        <v>0</v>
      </c>
      <c r="GR54" s="262" t="e">
        <f t="shared" ca="1" si="75"/>
        <v>#N/A</v>
      </c>
      <c r="GS54" s="262" t="e">
        <f t="shared" ca="1" si="18"/>
        <v>#N/A</v>
      </c>
      <c r="GT54" s="253" t="str">
        <f t="shared" ca="1" si="76"/>
        <v/>
      </c>
      <c r="GU54" t="str">
        <f t="shared" ca="1" si="77"/>
        <v/>
      </c>
      <c r="GV54" t="str">
        <f t="shared" ca="1" si="78"/>
        <v/>
      </c>
      <c r="GW54" t="e">
        <f t="shared" ca="1" si="139"/>
        <v>#N/A</v>
      </c>
      <c r="GX54" t="e">
        <f t="shared" ca="1" si="19"/>
        <v>#N/A</v>
      </c>
      <c r="GY54" t="e">
        <f t="shared" ca="1" si="19"/>
        <v>#N/A</v>
      </c>
      <c r="GZ54" t="e">
        <f t="shared" ca="1" si="20"/>
        <v>#N/A</v>
      </c>
      <c r="HA54" t="e">
        <f t="shared" ca="1" si="19"/>
        <v>#N/A</v>
      </c>
      <c r="HB54" t="str">
        <f t="shared" ca="1" si="19"/>
        <v/>
      </c>
      <c r="HC54" t="e">
        <f t="shared" ca="1" si="19"/>
        <v>#N/A</v>
      </c>
      <c r="HD54" t="str">
        <f t="shared" ca="1" si="79"/>
        <v/>
      </c>
      <c r="HE54" s="254" t="str">
        <f t="shared" ca="1" si="19"/>
        <v/>
      </c>
      <c r="HF54" s="254" t="e">
        <f t="shared" ca="1" si="80"/>
        <v>#N/A</v>
      </c>
      <c r="HM54" s="263" t="e">
        <f t="shared" ca="1" si="81"/>
        <v>#N/A</v>
      </c>
      <c r="HN54" s="263"/>
      <c r="HO54" s="272" t="str">
        <f t="shared" ca="1" si="21"/>
        <v/>
      </c>
      <c r="HP54">
        <f t="shared" ca="1" si="82"/>
        <v>0</v>
      </c>
      <c r="HQ54" t="str">
        <f t="shared" ca="1" si="83"/>
        <v/>
      </c>
      <c r="HR54" t="str">
        <f t="shared" ca="1" si="84"/>
        <v/>
      </c>
      <c r="HS54" t="str">
        <f t="shared" ca="1" si="85"/>
        <v/>
      </c>
      <c r="HX54" s="253" t="s">
        <v>187</v>
      </c>
      <c r="HY54" s="112" t="str">
        <f t="shared" si="86"/>
        <v>8/10/2002</v>
      </c>
      <c r="HZ54" t="s">
        <v>188</v>
      </c>
      <c r="IA54" s="112" t="str">
        <f t="shared" si="87"/>
        <v>22/10/2002</v>
      </c>
      <c r="IB54" t="s">
        <v>189</v>
      </c>
      <c r="IC54">
        <f t="shared" si="88"/>
        <v>0</v>
      </c>
      <c r="ID54" t="s">
        <v>192</v>
      </c>
      <c r="IE54">
        <f t="shared" si="89"/>
        <v>0</v>
      </c>
      <c r="IF54" t="s">
        <v>191</v>
      </c>
      <c r="IG54" s="254">
        <f t="shared" si="90"/>
        <v>15</v>
      </c>
      <c r="IL54" t="str">
        <f t="shared" si="91"/>
        <v xml:space="preserve">DAL: 8/10/2002 - AL:22/10/2002 - ANNI:0 - MESI:0 -GIORNI:15
</v>
      </c>
      <c r="KD54">
        <v>0</v>
      </c>
      <c r="KE54" s="260">
        <f t="shared" ca="1" si="92"/>
        <v>100000</v>
      </c>
      <c r="KF54" t="str">
        <f t="shared" si="93"/>
        <v>0-2 anni</v>
      </c>
      <c r="KG54">
        <f t="shared" si="22"/>
        <v>6</v>
      </c>
      <c r="KH54" s="238">
        <f t="shared" ca="1" si="23"/>
        <v>255</v>
      </c>
      <c r="KK54">
        <f t="shared" ca="1" si="94"/>
        <v>16218.89</v>
      </c>
      <c r="KL54" t="e">
        <f t="shared" ca="1" si="24"/>
        <v>#N/A</v>
      </c>
      <c r="KM54" t="e">
        <f t="shared" ca="1" si="24"/>
        <v>#N/A</v>
      </c>
      <c r="KN54" t="e">
        <f t="shared" ca="1" si="24"/>
        <v>#N/A</v>
      </c>
      <c r="KO54" t="e">
        <f t="shared" ca="1" si="24"/>
        <v>#N/A</v>
      </c>
      <c r="KV54" t="e">
        <f t="shared" ca="1" si="25"/>
        <v>#N/A</v>
      </c>
      <c r="LA54" s="254" t="str">
        <f t="shared" si="95"/>
        <v>0-2 anni</v>
      </c>
      <c r="LB54" s="112">
        <f t="shared" si="26"/>
        <v>37537</v>
      </c>
      <c r="LC54" s="112">
        <f t="shared" si="26"/>
        <v>37551</v>
      </c>
      <c r="LD54" t="e">
        <f t="shared" ca="1" si="96"/>
        <v>#N/A</v>
      </c>
      <c r="LE54" s="262" t="e">
        <f t="shared" ca="1" si="97"/>
        <v>#N/A</v>
      </c>
      <c r="LF54">
        <f t="shared" si="98"/>
        <v>15</v>
      </c>
      <c r="LG54" t="e">
        <f t="shared" ca="1" si="99"/>
        <v>#N/A</v>
      </c>
      <c r="LK54" s="320"/>
      <c r="LL54" s="335">
        <f ca="1">Foglio7ti!GF55</f>
        <v>100000</v>
      </c>
      <c r="LM54" s="336">
        <f t="shared" ca="1" si="27"/>
        <v>100000</v>
      </c>
      <c r="LN54" s="335"/>
      <c r="LO54" s="320">
        <f t="shared" si="100"/>
        <v>16</v>
      </c>
      <c r="LP54" s="336">
        <f t="shared" ca="1" si="28"/>
        <v>44926</v>
      </c>
      <c r="LQ54" s="335"/>
      <c r="LR54" s="320"/>
      <c r="LS54" s="319">
        <f t="shared" si="29"/>
        <v>16</v>
      </c>
      <c r="LT54" s="336">
        <f t="shared" ca="1" si="30"/>
        <v>44926</v>
      </c>
      <c r="LU54" s="320"/>
      <c r="LV54" s="320"/>
      <c r="LW54" s="336">
        <f t="shared" ca="1" si="31"/>
        <v>100000</v>
      </c>
      <c r="LX54" s="320"/>
      <c r="LY54" s="320"/>
      <c r="LZ54" s="336">
        <f t="shared" ca="1" si="32"/>
        <v>100000</v>
      </c>
      <c r="MA54" s="320"/>
      <c r="MB54" s="320"/>
      <c r="MC54" s="308">
        <f t="shared" ca="1" si="4"/>
        <v>100000</v>
      </c>
      <c r="MD54" t="str">
        <f t="shared" ca="1" si="101"/>
        <v/>
      </c>
      <c r="ME54" s="338" t="str">
        <f t="shared" ca="1" si="33"/>
        <v/>
      </c>
      <c r="MF54" s="338" t="str">
        <f t="shared" ca="1" si="102"/>
        <v/>
      </c>
      <c r="MG54" s="337" t="str">
        <f t="shared" ca="1" si="5"/>
        <v/>
      </c>
      <c r="MH54" s="338" t="str">
        <f t="shared" ca="1" si="35"/>
        <v/>
      </c>
      <c r="MI54" s="337" t="str">
        <f t="shared" ca="1" si="36"/>
        <v/>
      </c>
      <c r="MJ54" s="337" t="str">
        <f t="shared" ca="1" si="6"/>
        <v/>
      </c>
      <c r="MK54" s="337" t="str">
        <f ca="1" xml:space="preserve">  IF(ME54="","",                  IF(TYPE(VLOOKUP(ML54,$ML$6:$MN$13,3))=16,VLOOKUP(ML54,$MK$6:$ML$13,2),VLOOKUP(ML54,$ML$6:$MN$13,3)))</f>
        <v/>
      </c>
      <c r="ML54" s="337" t="str">
        <f ca="1">IF(ME54&lt;&gt;"",VLOOKUP(ME54,Foglio7ti!$GF$40:$GG$92,2),"")</f>
        <v/>
      </c>
      <c r="MM54" s="282" t="str">
        <f t="shared" ca="1" si="38"/>
        <v/>
      </c>
      <c r="MN54" s="282"/>
      <c r="MO54" s="320">
        <f t="shared" si="128"/>
        <v>1</v>
      </c>
      <c r="MP54" s="253" t="str">
        <f t="shared" ca="1" si="39"/>
        <v/>
      </c>
      <c r="MQ54" t="e">
        <f t="shared" ca="1" si="160"/>
        <v>#N/A</v>
      </c>
      <c r="MR54" s="238" t="e">
        <f ca="1">VLOOKUP(ME54,Foglio1ti!AB46:AZ346,13)-MQ54</f>
        <v>#N/A</v>
      </c>
      <c r="MS54" t="e">
        <f t="shared" ca="1" si="40"/>
        <v>#N/A</v>
      </c>
      <c r="MT54" t="e">
        <f t="shared" ca="1" si="41"/>
        <v>#N/A</v>
      </c>
      <c r="MU54" s="238" t="e">
        <f ca="1">VLOOKUP(ME54,Foglio1ti!AB46:AZ346,13)-MT54</f>
        <v>#N/A</v>
      </c>
      <c r="MV54" t="e">
        <f t="shared" ca="1" si="42"/>
        <v>#N/A</v>
      </c>
      <c r="MW54">
        <f t="shared" ca="1" si="140"/>
        <v>0</v>
      </c>
      <c r="MX54">
        <f ca="1">IF(AND(frontti!$H$25="SI",ML54="3-8 anni"),INDIRECT(CONCATENATE($MR$37,"BI",MU54)),0)</f>
        <v>0</v>
      </c>
      <c r="MY54" s="254"/>
    </row>
    <row r="55" spans="1:363" ht="74.45" customHeight="1" x14ac:dyDescent="0.25">
      <c r="A55" s="112">
        <f t="shared" si="141"/>
        <v>36892</v>
      </c>
      <c r="B55" s="112">
        <f t="shared" si="44"/>
        <v>37257</v>
      </c>
      <c r="E55" s="240">
        <f>Foglio3!F35</f>
        <v>37540</v>
      </c>
      <c r="F55" s="240">
        <f>Foglio3!G35</f>
        <v>37574</v>
      </c>
      <c r="G55" s="244"/>
      <c r="H55" s="245">
        <f t="shared" si="45"/>
        <v>37540</v>
      </c>
      <c r="I55" s="245">
        <f t="shared" si="8"/>
        <v>37574</v>
      </c>
      <c r="J55" s="244"/>
      <c r="K55" s="244"/>
      <c r="Q55">
        <f t="shared" si="9"/>
        <v>35</v>
      </c>
      <c r="R55">
        <f t="shared" si="142"/>
        <v>23</v>
      </c>
      <c r="S55">
        <f t="shared" si="46"/>
        <v>0</v>
      </c>
      <c r="T55">
        <f t="shared" si="129"/>
        <v>0</v>
      </c>
      <c r="U55">
        <f t="shared" si="130"/>
        <v>23</v>
      </c>
      <c r="W55">
        <f t="shared" si="131"/>
        <v>0</v>
      </c>
      <c r="X55">
        <f t="shared" si="131"/>
        <v>34</v>
      </c>
      <c r="Y55">
        <f t="shared" si="131"/>
        <v>139</v>
      </c>
      <c r="AA55" s="112">
        <f t="shared" si="103"/>
        <v>37540</v>
      </c>
      <c r="AB55" s="112">
        <f t="shared" si="104"/>
        <v>37574</v>
      </c>
      <c r="AG55">
        <f t="shared" si="47"/>
        <v>1</v>
      </c>
      <c r="AH55" s="112">
        <f t="shared" si="48"/>
        <v>37540</v>
      </c>
      <c r="AI55" s="112">
        <f t="shared" si="48"/>
        <v>37574</v>
      </c>
      <c r="AJ55">
        <f t="shared" si="49"/>
        <v>1</v>
      </c>
      <c r="AK55">
        <f t="shared" si="105"/>
        <v>0</v>
      </c>
      <c r="AL55">
        <f t="shared" si="132"/>
        <v>1</v>
      </c>
      <c r="AN55">
        <f t="shared" si="133"/>
        <v>0</v>
      </c>
      <c r="AO55">
        <f t="shared" si="134"/>
        <v>12</v>
      </c>
      <c r="AP55">
        <f t="shared" si="106"/>
        <v>12</v>
      </c>
      <c r="AS55">
        <f t="shared" si="143"/>
        <v>0</v>
      </c>
      <c r="AT55">
        <f t="shared" si="144"/>
        <v>0</v>
      </c>
      <c r="AV55">
        <f t="shared" si="145"/>
        <v>0</v>
      </c>
      <c r="AW55">
        <f t="shared" si="146"/>
        <v>0</v>
      </c>
      <c r="AX55">
        <f t="shared" si="107"/>
        <v>0</v>
      </c>
      <c r="BA55">
        <f t="shared" si="163"/>
        <v>0</v>
      </c>
      <c r="BB55">
        <f t="shared" si="164"/>
        <v>0</v>
      </c>
      <c r="BD55">
        <f t="shared" si="148"/>
        <v>0</v>
      </c>
      <c r="BE55">
        <f t="shared" si="149"/>
        <v>0</v>
      </c>
      <c r="BF55">
        <f t="shared" si="137"/>
        <v>0</v>
      </c>
      <c r="BI55">
        <f t="shared" si="150"/>
        <v>0</v>
      </c>
      <c r="BJ55">
        <f t="shared" si="153"/>
        <v>0</v>
      </c>
      <c r="BK55">
        <f t="shared" si="154"/>
        <v>0</v>
      </c>
      <c r="BL55">
        <f t="shared" si="155"/>
        <v>0</v>
      </c>
      <c r="BM55">
        <f t="shared" si="147"/>
        <v>0</v>
      </c>
      <c r="BO55">
        <f t="shared" si="156"/>
        <v>0</v>
      </c>
      <c r="BP55">
        <f t="shared" si="157"/>
        <v>0</v>
      </c>
      <c r="BR55">
        <f t="shared" si="158"/>
        <v>0</v>
      </c>
      <c r="BS55">
        <f t="shared" si="159"/>
        <v>0</v>
      </c>
      <c r="BT55">
        <f t="shared" si="151"/>
        <v>0</v>
      </c>
      <c r="BV55">
        <f t="shared" si="108"/>
        <v>12</v>
      </c>
      <c r="BX55">
        <f t="shared" si="109"/>
        <v>12</v>
      </c>
      <c r="BY55">
        <f t="shared" si="110"/>
        <v>0</v>
      </c>
      <c r="BZ55">
        <f t="shared" si="111"/>
        <v>0</v>
      </c>
      <c r="CA55">
        <f t="shared" si="112"/>
        <v>0</v>
      </c>
      <c r="CB55">
        <f t="shared" si="113"/>
        <v>0</v>
      </c>
      <c r="CG55">
        <f t="shared" si="50"/>
        <v>2002</v>
      </c>
      <c r="CH55">
        <f t="shared" si="50"/>
        <v>2002</v>
      </c>
      <c r="CJ55">
        <f t="shared" si="51"/>
        <v>0</v>
      </c>
      <c r="CK55">
        <f t="shared" si="161"/>
        <v>0</v>
      </c>
      <c r="CL55">
        <f t="shared" si="52"/>
        <v>0</v>
      </c>
      <c r="CN55">
        <f t="shared" si="53"/>
        <v>0</v>
      </c>
      <c r="CS55">
        <f t="shared" si="54"/>
        <v>23</v>
      </c>
      <c r="CT55">
        <f t="shared" si="114"/>
        <v>1159</v>
      </c>
      <c r="CV55" s="112">
        <f t="shared" si="55"/>
        <v>37574</v>
      </c>
      <c r="CX55" s="112">
        <f t="shared" si="56"/>
        <v>100000</v>
      </c>
      <c r="CY55" s="112">
        <f t="shared" si="115"/>
        <v>100000</v>
      </c>
      <c r="CZ55" s="112">
        <f t="shared" si="116"/>
        <v>100000</v>
      </c>
      <c r="DA55" s="112">
        <f t="shared" si="117"/>
        <v>100000</v>
      </c>
      <c r="DB55" s="112">
        <f t="shared" si="118"/>
        <v>100000</v>
      </c>
      <c r="DC55" s="112">
        <f t="shared" si="119"/>
        <v>100000</v>
      </c>
      <c r="DU55" s="112"/>
      <c r="DV55" s="112"/>
      <c r="DW55" s="277">
        <v>39447</v>
      </c>
      <c r="DX55" s="276"/>
      <c r="DY55" s="276"/>
      <c r="DZ55" s="276"/>
      <c r="EF55" s="260" t="str">
        <f t="shared" si="162"/>
        <v/>
      </c>
      <c r="EK55" s="254"/>
      <c r="EL55">
        <f t="shared" si="165"/>
        <v>16</v>
      </c>
      <c r="EM55" s="260">
        <f t="shared" ca="1" si="122"/>
        <v>100000</v>
      </c>
      <c r="EN55" s="112">
        <f t="shared" ca="1" si="63"/>
        <v>100000</v>
      </c>
      <c r="EO55" s="112">
        <f t="shared" ca="1" si="64"/>
        <v>100000</v>
      </c>
      <c r="EP55" s="112">
        <f t="shared" ca="1" si="123"/>
        <v>100000</v>
      </c>
      <c r="EQ55" s="273">
        <f t="shared" ca="1" si="138"/>
        <v>100000</v>
      </c>
      <c r="ER55" s="302">
        <f t="shared" ca="1" si="65"/>
        <v>100000</v>
      </c>
      <c r="EU55" t="e">
        <f t="shared" ca="1" si="66"/>
        <v>#N/A</v>
      </c>
      <c r="EV55" s="260">
        <f t="shared" ca="1" si="124"/>
        <v>100000</v>
      </c>
      <c r="EW55" t="e">
        <f t="shared" ca="1" si="67"/>
        <v>#N/A</v>
      </c>
      <c r="EX55" t="e">
        <f t="shared" ca="1" si="12"/>
        <v>#N/A</v>
      </c>
      <c r="EY55" s="238" t="e">
        <f t="shared" ca="1" si="13"/>
        <v>#N/A</v>
      </c>
      <c r="FB55" t="e">
        <f t="shared" ca="1" si="68"/>
        <v>#N/A</v>
      </c>
      <c r="FC55" t="e">
        <f t="shared" ca="1" si="14"/>
        <v>#N/A</v>
      </c>
      <c r="FD55" t="e">
        <f t="shared" ca="1" si="14"/>
        <v>#N/A</v>
      </c>
      <c r="FE55" t="e">
        <f t="shared" ca="1" si="14"/>
        <v>#N/A</v>
      </c>
      <c r="FF55" t="e">
        <f t="shared" ca="1" si="14"/>
        <v>#N/A</v>
      </c>
      <c r="FM55" t="e">
        <f t="shared" ca="1" si="15"/>
        <v>#N/A</v>
      </c>
      <c r="FR55" s="254" t="e">
        <f t="shared" ca="1" si="69"/>
        <v>#N/A</v>
      </c>
      <c r="FS55">
        <f t="shared" si="125"/>
        <v>55</v>
      </c>
      <c r="FT55" t="e">
        <f t="shared" ca="1" si="16"/>
        <v>#N/A</v>
      </c>
      <c r="FU55" t="str">
        <f t="shared" ca="1" si="16"/>
        <v>EV55</v>
      </c>
      <c r="FV55" t="e">
        <f t="shared" ca="1" si="16"/>
        <v>#N/A</v>
      </c>
      <c r="FW55" t="e">
        <f t="shared" ca="1" si="16"/>
        <v>#N/A</v>
      </c>
      <c r="FX55" t="e">
        <f t="shared" ca="1" si="16"/>
        <v>#N/A</v>
      </c>
      <c r="FY55" t="e">
        <f t="shared" ca="1" si="16"/>
        <v>#N/A</v>
      </c>
      <c r="FZ55" t="e">
        <f t="shared" ca="1" si="16"/>
        <v>#N/A</v>
      </c>
      <c r="GA55" t="str">
        <f t="shared" ca="1" si="16"/>
        <v/>
      </c>
      <c r="GB55" t="e">
        <f t="shared" ca="1" si="16"/>
        <v>#N/A</v>
      </c>
      <c r="GC55" t="str">
        <f t="shared" ca="1" si="16"/>
        <v/>
      </c>
      <c r="GD55" t="str">
        <f t="shared" ca="1" si="16"/>
        <v/>
      </c>
      <c r="GE55">
        <f t="shared" ca="1" si="126"/>
        <v>0</v>
      </c>
      <c r="GF55" s="112">
        <f t="shared" ca="1" si="70"/>
        <v>100000</v>
      </c>
      <c r="GG55" s="112" t="e">
        <f t="shared" ca="1" si="71"/>
        <v>#N/A</v>
      </c>
      <c r="GH55" s="262" t="e">
        <f t="shared" ca="1" si="17"/>
        <v>#N/A</v>
      </c>
      <c r="GI55" s="262" t="e">
        <f t="shared" ca="1" si="17"/>
        <v>#N/A</v>
      </c>
      <c r="GJ55" s="262" t="e">
        <f t="shared" ca="1" si="17"/>
        <v>#N/A</v>
      </c>
      <c r="GK55" s="262" t="e">
        <f t="shared" ca="1" si="17"/>
        <v>#N/A</v>
      </c>
      <c r="GL55" s="262" t="e">
        <f t="shared" ca="1" si="17"/>
        <v>#N/A</v>
      </c>
      <c r="GM55" s="262">
        <f t="shared" ca="1" si="17"/>
        <v>0</v>
      </c>
      <c r="GN55" s="262" t="e">
        <f t="shared" ca="1" si="17"/>
        <v>#N/A</v>
      </c>
      <c r="GO55" s="262">
        <f t="shared" ca="1" si="72"/>
        <v>0</v>
      </c>
      <c r="GP55" s="262">
        <f t="shared" ca="1" si="73"/>
        <v>0</v>
      </c>
      <c r="GR55" s="262" t="e">
        <f t="shared" ca="1" si="75"/>
        <v>#N/A</v>
      </c>
      <c r="GS55" s="262" t="e">
        <f t="shared" ca="1" si="18"/>
        <v>#N/A</v>
      </c>
      <c r="GT55" s="253" t="str">
        <f t="shared" ca="1" si="76"/>
        <v/>
      </c>
      <c r="GU55" t="str">
        <f t="shared" ca="1" si="77"/>
        <v/>
      </c>
      <c r="GV55" t="str">
        <f t="shared" ca="1" si="78"/>
        <v/>
      </c>
      <c r="GW55" t="e">
        <f t="shared" ca="1" si="139"/>
        <v>#N/A</v>
      </c>
      <c r="GX55" t="e">
        <f t="shared" ca="1" si="19"/>
        <v>#N/A</v>
      </c>
      <c r="GY55" t="e">
        <f t="shared" ca="1" si="19"/>
        <v>#N/A</v>
      </c>
      <c r="GZ55" t="e">
        <f t="shared" ca="1" si="20"/>
        <v>#N/A</v>
      </c>
      <c r="HA55" t="e">
        <f t="shared" ca="1" si="19"/>
        <v>#N/A</v>
      </c>
      <c r="HB55" t="str">
        <f t="shared" ca="1" si="19"/>
        <v/>
      </c>
      <c r="HC55" t="e">
        <f t="shared" ca="1" si="19"/>
        <v>#N/A</v>
      </c>
      <c r="HD55" t="str">
        <f t="shared" ca="1" si="79"/>
        <v/>
      </c>
      <c r="HE55" s="254" t="str">
        <f t="shared" ca="1" si="19"/>
        <v/>
      </c>
      <c r="HF55" s="254" t="e">
        <f t="shared" ca="1" si="80"/>
        <v>#N/A</v>
      </c>
      <c r="HM55" s="263" t="e">
        <f t="shared" ca="1" si="81"/>
        <v>#N/A</v>
      </c>
      <c r="HN55" s="263"/>
      <c r="HO55" s="272" t="str">
        <f ca="1">IF(HP55=0,CONCATENATE(HQ55,HR55,HS55),IF($GE55&gt;0,HM55,IF(HP54=0,"",$HS$39)))</f>
        <v/>
      </c>
      <c r="HP55">
        <f t="shared" ca="1" si="82"/>
        <v>0</v>
      </c>
      <c r="HQ55" t="str">
        <f t="shared" ca="1" si="83"/>
        <v/>
      </c>
      <c r="HR55" t="str">
        <f t="shared" ca="1" si="84"/>
        <v/>
      </c>
      <c r="HS55" t="str">
        <f t="shared" ca="1" si="85"/>
        <v/>
      </c>
      <c r="HX55" s="253" t="s">
        <v>187</v>
      </c>
      <c r="HY55" s="112" t="str">
        <f t="shared" si="86"/>
        <v>11/10/2002</v>
      </c>
      <c r="HZ55" t="s">
        <v>188</v>
      </c>
      <c r="IA55" s="112" t="str">
        <f t="shared" si="87"/>
        <v>14/11/2002</v>
      </c>
      <c r="IB55" t="s">
        <v>189</v>
      </c>
      <c r="IC55">
        <f t="shared" si="88"/>
        <v>0</v>
      </c>
      <c r="ID55" t="s">
        <v>192</v>
      </c>
      <c r="IE55">
        <f t="shared" si="89"/>
        <v>0</v>
      </c>
      <c r="IF55" t="s">
        <v>191</v>
      </c>
      <c r="IG55" s="254">
        <f t="shared" si="90"/>
        <v>23</v>
      </c>
      <c r="IL55" t="str">
        <f t="shared" si="91"/>
        <v xml:space="preserve">DAL: 11/10/2002 - AL:14/11/2002 - ANNI:0 - MESI:0 -GIORNI:23
</v>
      </c>
      <c r="KD55">
        <v>0</v>
      </c>
      <c r="KE55" s="260">
        <f t="shared" ca="1" si="92"/>
        <v>100000</v>
      </c>
      <c r="KF55" t="str">
        <f t="shared" si="93"/>
        <v>0-2 anni</v>
      </c>
      <c r="KG55">
        <f t="shared" si="22"/>
        <v>6</v>
      </c>
      <c r="KH55" s="238">
        <f t="shared" ca="1" si="23"/>
        <v>255</v>
      </c>
      <c r="KK55">
        <f t="shared" ca="1" si="94"/>
        <v>16218.89</v>
      </c>
      <c r="KL55" t="e">
        <f t="shared" ca="1" si="24"/>
        <v>#N/A</v>
      </c>
      <c r="KM55" t="e">
        <f t="shared" ca="1" si="24"/>
        <v>#N/A</v>
      </c>
      <c r="KN55" t="e">
        <f t="shared" ca="1" si="24"/>
        <v>#N/A</v>
      </c>
      <c r="KO55" t="e">
        <f t="shared" ca="1" si="24"/>
        <v>#N/A</v>
      </c>
      <c r="KV55" t="e">
        <f t="shared" ca="1" si="25"/>
        <v>#N/A</v>
      </c>
      <c r="LA55" s="254" t="str">
        <f t="shared" si="95"/>
        <v>0-2 anni</v>
      </c>
      <c r="LB55" s="112">
        <f t="shared" si="26"/>
        <v>37540</v>
      </c>
      <c r="LC55" s="112">
        <f t="shared" si="26"/>
        <v>37574</v>
      </c>
      <c r="LD55" t="e">
        <f t="shared" ca="1" si="96"/>
        <v>#N/A</v>
      </c>
      <c r="LE55" s="262" t="e">
        <f t="shared" ca="1" si="97"/>
        <v>#N/A</v>
      </c>
      <c r="LF55">
        <f t="shared" si="98"/>
        <v>23</v>
      </c>
      <c r="LG55" t="e">
        <f t="shared" ca="1" si="99"/>
        <v>#N/A</v>
      </c>
      <c r="LK55" s="320"/>
      <c r="LL55" s="335">
        <f ca="1">Foglio7ti!GF56</f>
        <v>100000</v>
      </c>
      <c r="LM55" s="336">
        <f t="shared" ca="1" si="27"/>
        <v>100000</v>
      </c>
      <c r="LN55" s="335"/>
      <c r="LO55" s="320">
        <f t="shared" si="100"/>
        <v>17</v>
      </c>
      <c r="LP55" s="336">
        <f t="shared" ca="1" si="28"/>
        <v>46631</v>
      </c>
      <c r="LQ55" s="335"/>
      <c r="LR55" s="320"/>
      <c r="LS55" s="319">
        <f t="shared" si="29"/>
        <v>17</v>
      </c>
      <c r="LT55" s="336">
        <f t="shared" ca="1" si="30"/>
        <v>46631</v>
      </c>
      <c r="LU55" s="320"/>
      <c r="LV55" s="320"/>
      <c r="LW55" s="336">
        <f t="shared" ca="1" si="31"/>
        <v>100000</v>
      </c>
      <c r="LX55" s="320"/>
      <c r="LY55" s="320"/>
      <c r="LZ55" s="336">
        <f t="shared" ca="1" si="32"/>
        <v>100000</v>
      </c>
      <c r="MA55" s="320"/>
      <c r="MB55" s="320"/>
      <c r="MC55" s="308">
        <f t="shared" ca="1" si="4"/>
        <v>100000</v>
      </c>
      <c r="MD55" t="str">
        <f t="shared" ca="1" si="101"/>
        <v/>
      </c>
      <c r="ME55" s="338" t="str">
        <f t="shared" ca="1" si="33"/>
        <v/>
      </c>
      <c r="MF55" s="338" t="str">
        <f t="shared" ca="1" si="102"/>
        <v/>
      </c>
      <c r="MG55" s="337" t="str">
        <f t="shared" ca="1" si="5"/>
        <v/>
      </c>
      <c r="MH55" s="338" t="str">
        <f t="shared" ca="1" si="35"/>
        <v/>
      </c>
      <c r="MI55" s="337" t="str">
        <f t="shared" ca="1" si="36"/>
        <v/>
      </c>
      <c r="MJ55" s="337" t="str">
        <f t="shared" ca="1" si="6"/>
        <v/>
      </c>
      <c r="MK55" s="337" t="str">
        <f t="shared" ref="MK55:MK101" ca="1" si="166" xml:space="preserve">  IF(ME55="","",                  IF(TYPE(VLOOKUP(ML55,$ML$6:$MN$13,3))=16,VLOOKUP(ML55,$MK$6:$ML$13,2),VLOOKUP(ML55,$ML$6:$MN$13,3)))</f>
        <v/>
      </c>
      <c r="ML55" s="337" t="str">
        <f ca="1">IF(ME55&lt;&gt;"",VLOOKUP(ME55,Foglio7ti!$GF$40:$GG$92,2),"")</f>
        <v/>
      </c>
      <c r="MM55" s="282" t="str">
        <f t="shared" ca="1" si="38"/>
        <v/>
      </c>
      <c r="MN55" s="282"/>
      <c r="MO55" s="320">
        <f t="shared" si="128"/>
        <v>1</v>
      </c>
      <c r="MP55" s="253" t="str">
        <f t="shared" ca="1" si="39"/>
        <v/>
      </c>
      <c r="MQ55" t="e">
        <f t="shared" ca="1" si="160"/>
        <v>#N/A</v>
      </c>
      <c r="MR55" s="238" t="e">
        <f ca="1">VLOOKUP(ME55,Foglio1ti!AB47:AZ347,13)-MQ55</f>
        <v>#N/A</v>
      </c>
      <c r="MS55" t="e">
        <f t="shared" ca="1" si="40"/>
        <v>#N/A</v>
      </c>
      <c r="MT55" t="e">
        <f t="shared" ca="1" si="41"/>
        <v>#N/A</v>
      </c>
      <c r="MU55" s="238" t="e">
        <f ca="1">VLOOKUP(ME55,Foglio1ti!AB47:AZ347,13)-MT55</f>
        <v>#N/A</v>
      </c>
      <c r="MV55" t="e">
        <f t="shared" ca="1" si="42"/>
        <v>#N/A</v>
      </c>
      <c r="MW55">
        <f t="shared" ca="1" si="140"/>
        <v>0</v>
      </c>
      <c r="MX55">
        <f ca="1">IF(AND(frontti!$H$25="SI",ML55="3-8 anni"),INDIRECT(CONCATENATE($MR$37,"BI",MU55)),0)</f>
        <v>0</v>
      </c>
      <c r="MY55" s="254"/>
    </row>
    <row r="56" spans="1:363" x14ac:dyDescent="0.25">
      <c r="A56" s="112">
        <f t="shared" si="141"/>
        <v>37257</v>
      </c>
      <c r="B56" s="112">
        <f t="shared" si="44"/>
        <v>37622</v>
      </c>
      <c r="D56" s="112"/>
      <c r="E56" s="240">
        <f>Foglio3!F36</f>
        <v>37629</v>
      </c>
      <c r="F56" s="240">
        <f>Foglio3!G36</f>
        <v>37663</v>
      </c>
      <c r="G56" s="244"/>
      <c r="H56" s="245">
        <f t="shared" si="45"/>
        <v>37629</v>
      </c>
      <c r="I56" s="245">
        <f t="shared" si="8"/>
        <v>37663</v>
      </c>
      <c r="J56" s="244"/>
      <c r="K56" s="244"/>
      <c r="Q56">
        <f t="shared" si="9"/>
        <v>35</v>
      </c>
      <c r="R56">
        <f t="shared" si="142"/>
        <v>35</v>
      </c>
      <c r="S56">
        <f t="shared" si="46"/>
        <v>0</v>
      </c>
      <c r="T56">
        <f t="shared" si="129"/>
        <v>1</v>
      </c>
      <c r="U56">
        <f t="shared" si="130"/>
        <v>5</v>
      </c>
      <c r="W56">
        <f t="shared" si="131"/>
        <v>0</v>
      </c>
      <c r="X56">
        <f t="shared" si="131"/>
        <v>35</v>
      </c>
      <c r="Y56">
        <f t="shared" si="131"/>
        <v>144</v>
      </c>
      <c r="AA56" s="112">
        <f t="shared" si="103"/>
        <v>37629</v>
      </c>
      <c r="AB56" s="112">
        <f t="shared" si="104"/>
        <v>37663</v>
      </c>
      <c r="AG56">
        <f t="shared" si="47"/>
        <v>1</v>
      </c>
      <c r="AH56" s="112">
        <f t="shared" si="48"/>
        <v>37629</v>
      </c>
      <c r="AI56" s="112">
        <f t="shared" si="48"/>
        <v>37663</v>
      </c>
      <c r="AJ56">
        <f t="shared" si="49"/>
        <v>1</v>
      </c>
      <c r="AK56">
        <f t="shared" si="105"/>
        <v>0</v>
      </c>
      <c r="AL56">
        <f t="shared" si="132"/>
        <v>0</v>
      </c>
      <c r="AN56">
        <f t="shared" si="133"/>
        <v>0</v>
      </c>
      <c r="AO56">
        <f t="shared" si="134"/>
        <v>0</v>
      </c>
      <c r="AP56">
        <f t="shared" si="106"/>
        <v>0</v>
      </c>
      <c r="AS56">
        <f t="shared" si="143"/>
        <v>0</v>
      </c>
      <c r="AT56">
        <f t="shared" si="144"/>
        <v>0</v>
      </c>
      <c r="AV56">
        <f t="shared" si="145"/>
        <v>0</v>
      </c>
      <c r="AW56">
        <f t="shared" si="146"/>
        <v>0</v>
      </c>
      <c r="AX56">
        <f t="shared" si="107"/>
        <v>0</v>
      </c>
      <c r="BA56">
        <f t="shared" si="163"/>
        <v>0</v>
      </c>
      <c r="BB56">
        <f t="shared" si="164"/>
        <v>0</v>
      </c>
      <c r="BD56">
        <f t="shared" si="148"/>
        <v>0</v>
      </c>
      <c r="BE56">
        <f t="shared" si="149"/>
        <v>0</v>
      </c>
      <c r="BF56">
        <f t="shared" si="137"/>
        <v>0</v>
      </c>
      <c r="BI56">
        <f t="shared" si="150"/>
        <v>0</v>
      </c>
      <c r="BJ56">
        <f t="shared" si="153"/>
        <v>0</v>
      </c>
      <c r="BK56">
        <f t="shared" si="154"/>
        <v>0</v>
      </c>
      <c r="BL56">
        <f t="shared" si="155"/>
        <v>0</v>
      </c>
      <c r="BM56">
        <f t="shared" si="147"/>
        <v>0</v>
      </c>
      <c r="BO56">
        <f t="shared" si="156"/>
        <v>0</v>
      </c>
      <c r="BP56">
        <f t="shared" si="157"/>
        <v>0</v>
      </c>
      <c r="BR56">
        <f t="shared" si="158"/>
        <v>0</v>
      </c>
      <c r="BS56">
        <f t="shared" si="159"/>
        <v>0</v>
      </c>
      <c r="BT56">
        <f t="shared" si="151"/>
        <v>0</v>
      </c>
      <c r="BV56">
        <f t="shared" si="108"/>
        <v>0</v>
      </c>
      <c r="BX56">
        <f t="shared" si="109"/>
        <v>0</v>
      </c>
      <c r="BY56">
        <f t="shared" si="110"/>
        <v>0</v>
      </c>
      <c r="BZ56">
        <f t="shared" si="111"/>
        <v>0</v>
      </c>
      <c r="CA56">
        <f t="shared" si="112"/>
        <v>0</v>
      </c>
      <c r="CB56">
        <f t="shared" si="113"/>
        <v>0</v>
      </c>
      <c r="CG56">
        <f t="shared" si="50"/>
        <v>2003</v>
      </c>
      <c r="CH56">
        <f t="shared" si="50"/>
        <v>2003</v>
      </c>
      <c r="CJ56">
        <f t="shared" si="51"/>
        <v>0</v>
      </c>
      <c r="CK56">
        <f t="shared" si="161"/>
        <v>0</v>
      </c>
      <c r="CL56">
        <f t="shared" si="52"/>
        <v>0</v>
      </c>
      <c r="CN56">
        <f t="shared" si="53"/>
        <v>0</v>
      </c>
      <c r="CS56">
        <f t="shared" si="54"/>
        <v>35</v>
      </c>
      <c r="CT56">
        <f t="shared" si="114"/>
        <v>1194</v>
      </c>
      <c r="CV56" s="112">
        <f t="shared" si="55"/>
        <v>37663</v>
      </c>
      <c r="CX56" s="112">
        <f t="shared" si="56"/>
        <v>100000</v>
      </c>
      <c r="CY56" s="112">
        <f t="shared" si="115"/>
        <v>100000</v>
      </c>
      <c r="CZ56" s="112">
        <f t="shared" si="116"/>
        <v>100000</v>
      </c>
      <c r="DA56" s="112">
        <f t="shared" si="117"/>
        <v>100000</v>
      </c>
      <c r="DB56" s="112">
        <f t="shared" si="118"/>
        <v>100000</v>
      </c>
      <c r="DC56" s="112">
        <f t="shared" si="119"/>
        <v>100000</v>
      </c>
      <c r="DU56" s="112"/>
      <c r="DV56" s="112"/>
      <c r="DW56" s="277">
        <v>39539</v>
      </c>
      <c r="DX56" s="276"/>
      <c r="DY56" s="276"/>
      <c r="DZ56" s="276"/>
      <c r="EF56" s="260" t="str">
        <f t="shared" si="162"/>
        <v/>
      </c>
      <c r="EK56" s="254"/>
      <c r="EL56">
        <f t="shared" si="165"/>
        <v>17</v>
      </c>
      <c r="EM56" s="260">
        <f t="shared" ca="1" si="122"/>
        <v>100000</v>
      </c>
      <c r="EN56" s="112">
        <f t="shared" ca="1" si="63"/>
        <v>100000</v>
      </c>
      <c r="EO56" s="112">
        <f t="shared" ca="1" si="64"/>
        <v>100000</v>
      </c>
      <c r="EP56" s="112">
        <f t="shared" ca="1" si="123"/>
        <v>100000</v>
      </c>
      <c r="EQ56" s="273">
        <f t="shared" ca="1" si="138"/>
        <v>100000</v>
      </c>
      <c r="ER56" s="302">
        <f t="shared" ca="1" si="65"/>
        <v>100000</v>
      </c>
      <c r="EU56" t="e">
        <f t="shared" ca="1" si="66"/>
        <v>#N/A</v>
      </c>
      <c r="EV56" s="260">
        <f t="shared" ca="1" si="124"/>
        <v>100000</v>
      </c>
      <c r="EW56" t="e">
        <f t="shared" ca="1" si="67"/>
        <v>#N/A</v>
      </c>
      <c r="EX56" t="e">
        <f t="shared" ca="1" si="12"/>
        <v>#N/A</v>
      </c>
      <c r="EY56" s="238" t="e">
        <f t="shared" ca="1" si="13"/>
        <v>#N/A</v>
      </c>
      <c r="FB56" t="e">
        <f t="shared" ca="1" si="68"/>
        <v>#N/A</v>
      </c>
      <c r="FC56" t="e">
        <f t="shared" ref="FC56:FF87" ca="1" si="167">INDIRECT(CONCATENATE($FA$35,FC$35,$EY56))</f>
        <v>#N/A</v>
      </c>
      <c r="FD56" t="e">
        <f t="shared" ca="1" si="167"/>
        <v>#N/A</v>
      </c>
      <c r="FE56" t="e">
        <f t="shared" ca="1" si="167"/>
        <v>#N/A</v>
      </c>
      <c r="FF56" t="e">
        <f t="shared" ca="1" si="167"/>
        <v>#N/A</v>
      </c>
      <c r="FM56" t="e">
        <f t="shared" ca="1" si="15"/>
        <v>#N/A</v>
      </c>
      <c r="FR56" s="254" t="e">
        <f t="shared" ca="1" si="69"/>
        <v>#N/A</v>
      </c>
      <c r="FS56">
        <f t="shared" si="125"/>
        <v>56</v>
      </c>
      <c r="FT56" t="e">
        <f t="shared" ref="FT56:GD79" ca="1" si="168">IF(INDIRECT(  CONCATENATE(FT$34,$FS56 ))&lt;&gt;"",     CONCATENATE(FT$34,$FS56 ),"")</f>
        <v>#N/A</v>
      </c>
      <c r="FU56" t="str">
        <f t="shared" ca="1" si="168"/>
        <v>EV56</v>
      </c>
      <c r="FV56" t="e">
        <f t="shared" ca="1" si="168"/>
        <v>#N/A</v>
      </c>
      <c r="FW56" t="e">
        <f t="shared" ca="1" si="168"/>
        <v>#N/A</v>
      </c>
      <c r="FX56" t="e">
        <f t="shared" ca="1" si="168"/>
        <v>#N/A</v>
      </c>
      <c r="FY56" t="e">
        <f t="shared" ca="1" si="168"/>
        <v>#N/A</v>
      </c>
      <c r="FZ56" t="e">
        <f t="shared" ca="1" si="168"/>
        <v>#N/A</v>
      </c>
      <c r="GA56" t="str">
        <f t="shared" ca="1" si="168"/>
        <v/>
      </c>
      <c r="GB56" t="e">
        <f t="shared" ca="1" si="168"/>
        <v>#N/A</v>
      </c>
      <c r="GC56" t="str">
        <f t="shared" ca="1" si="168"/>
        <v/>
      </c>
      <c r="GD56" t="str">
        <f t="shared" ca="1" si="168"/>
        <v/>
      </c>
      <c r="GE56">
        <f t="shared" ca="1" si="126"/>
        <v>0</v>
      </c>
      <c r="GF56" s="112">
        <f t="shared" ca="1" si="70"/>
        <v>100000</v>
      </c>
      <c r="GG56" s="112" t="e">
        <f t="shared" ca="1" si="71"/>
        <v>#N/A</v>
      </c>
      <c r="GH56" s="262" t="e">
        <f t="shared" ref="GH56:GN84" ca="1" si="169" xml:space="preserve">   IF(FV56="",0,          INDIRECT(CONCATENATE(FV56)))</f>
        <v>#N/A</v>
      </c>
      <c r="GI56" s="262" t="e">
        <f t="shared" ca="1" si="169"/>
        <v>#N/A</v>
      </c>
      <c r="GJ56" s="262" t="e">
        <f t="shared" ca="1" si="169"/>
        <v>#N/A</v>
      </c>
      <c r="GK56" s="262" t="e">
        <f t="shared" ca="1" si="169"/>
        <v>#N/A</v>
      </c>
      <c r="GL56" s="262" t="e">
        <f t="shared" ca="1" si="169"/>
        <v>#N/A</v>
      </c>
      <c r="GM56" s="262">
        <f t="shared" ca="1" si="169"/>
        <v>0</v>
      </c>
      <c r="GN56" s="262" t="e">
        <f t="shared" ca="1" si="169"/>
        <v>#N/A</v>
      </c>
      <c r="GO56" s="262">
        <f t="shared" ca="1" si="72"/>
        <v>0</v>
      </c>
      <c r="GP56" s="262">
        <f t="shared" ca="1" si="73"/>
        <v>0</v>
      </c>
      <c r="GR56" s="262" t="e">
        <f t="shared" ca="1" si="75"/>
        <v>#N/A</v>
      </c>
      <c r="GS56" s="262" t="e">
        <f t="shared" ca="1" si="18"/>
        <v>#N/A</v>
      </c>
      <c r="GT56" s="253" t="str">
        <f t="shared" ca="1" si="76"/>
        <v/>
      </c>
      <c r="GU56" t="str">
        <f t="shared" ca="1" si="77"/>
        <v/>
      </c>
      <c r="GV56" t="str">
        <f t="shared" ca="1" si="78"/>
        <v/>
      </c>
      <c r="GW56" t="e">
        <f t="shared" ca="1" si="139"/>
        <v>#N/A</v>
      </c>
      <c r="GX56" t="e">
        <f t="shared" ref="GX56:HE74" ca="1" si="170">IF(GI56&gt;0,CONCATENATE(GI$37," ",GI56,"
"),"")</f>
        <v>#N/A</v>
      </c>
      <c r="GY56" t="e">
        <f t="shared" ca="1" si="170"/>
        <v>#N/A</v>
      </c>
      <c r="GZ56" t="e">
        <f t="shared" ca="1" si="20"/>
        <v>#N/A</v>
      </c>
      <c r="HA56" t="e">
        <f t="shared" ca="1" si="170"/>
        <v>#N/A</v>
      </c>
      <c r="HB56" t="str">
        <f t="shared" ca="1" si="170"/>
        <v/>
      </c>
      <c r="HC56" t="e">
        <f t="shared" ca="1" si="170"/>
        <v>#N/A</v>
      </c>
      <c r="HD56" t="str">
        <f t="shared" ca="1" si="79"/>
        <v/>
      </c>
      <c r="HE56" s="254" t="str">
        <f t="shared" ca="1" si="170"/>
        <v/>
      </c>
      <c r="HF56" s="254" t="e">
        <f t="shared" ca="1" si="80"/>
        <v>#N/A</v>
      </c>
      <c r="HM56" s="263" t="e">
        <f t="shared" ca="1" si="81"/>
        <v>#N/A</v>
      </c>
      <c r="HN56" s="263"/>
      <c r="HO56" s="272" t="str">
        <f t="shared" ca="1" si="21"/>
        <v/>
      </c>
      <c r="HP56">
        <f t="shared" ca="1" si="82"/>
        <v>0</v>
      </c>
      <c r="HQ56" t="str">
        <f t="shared" ca="1" si="83"/>
        <v/>
      </c>
      <c r="HR56" t="str">
        <f t="shared" ca="1" si="84"/>
        <v/>
      </c>
      <c r="HS56" t="str">
        <f t="shared" ca="1" si="85"/>
        <v/>
      </c>
      <c r="HX56" s="253" t="s">
        <v>187</v>
      </c>
      <c r="HY56" s="112" t="str">
        <f t="shared" si="86"/>
        <v>8/1/2003</v>
      </c>
      <c r="HZ56" t="s">
        <v>188</v>
      </c>
      <c r="IA56" s="112" t="str">
        <f t="shared" si="87"/>
        <v>11/2/2003</v>
      </c>
      <c r="IB56" t="s">
        <v>189</v>
      </c>
      <c r="IC56">
        <f t="shared" si="88"/>
        <v>0</v>
      </c>
      <c r="ID56" t="s">
        <v>192</v>
      </c>
      <c r="IE56">
        <f t="shared" si="89"/>
        <v>1</v>
      </c>
      <c r="IF56" t="s">
        <v>191</v>
      </c>
      <c r="IG56" s="254">
        <f t="shared" si="90"/>
        <v>5</v>
      </c>
      <c r="IL56" t="str">
        <f t="shared" si="91"/>
        <v xml:space="preserve">DAL: 8/1/2003 - AL:11/2/2003 - ANNI:0 - MESI:1 -GIORNI:5
</v>
      </c>
      <c r="KD56">
        <v>0</v>
      </c>
      <c r="KE56" s="260">
        <f t="shared" ca="1" si="92"/>
        <v>100000</v>
      </c>
      <c r="KF56" t="str">
        <f t="shared" si="93"/>
        <v>0-2 anni</v>
      </c>
      <c r="KG56">
        <f t="shared" si="22"/>
        <v>6</v>
      </c>
      <c r="KH56" s="238">
        <f t="shared" ca="1" si="23"/>
        <v>255</v>
      </c>
      <c r="KK56">
        <f t="shared" ca="1" si="94"/>
        <v>16218.89</v>
      </c>
      <c r="KL56" t="e">
        <f t="shared" ref="KL56:KO87" ca="1" si="171">INDIRECT(CONCATENATE($FA$35,KL$35,$EY56))</f>
        <v>#N/A</v>
      </c>
      <c r="KM56" t="e">
        <f t="shared" ca="1" si="171"/>
        <v>#N/A</v>
      </c>
      <c r="KN56" t="e">
        <f t="shared" ca="1" si="171"/>
        <v>#N/A</v>
      </c>
      <c r="KO56" t="e">
        <f t="shared" ca="1" si="171"/>
        <v>#N/A</v>
      </c>
      <c r="KV56" t="e">
        <f t="shared" ca="1" si="25"/>
        <v>#N/A</v>
      </c>
      <c r="LA56" s="254" t="str">
        <f t="shared" si="95"/>
        <v>0-2 anni</v>
      </c>
      <c r="LB56" s="112">
        <f t="shared" si="26"/>
        <v>37629</v>
      </c>
      <c r="LC56" s="112">
        <f t="shared" si="26"/>
        <v>37663</v>
      </c>
      <c r="LD56" t="e">
        <f t="shared" ca="1" si="96"/>
        <v>#N/A</v>
      </c>
      <c r="LE56" s="262" t="e">
        <f t="shared" ca="1" si="97"/>
        <v>#N/A</v>
      </c>
      <c r="LF56">
        <f t="shared" si="98"/>
        <v>35</v>
      </c>
      <c r="LG56" t="e">
        <f t="shared" ca="1" si="99"/>
        <v>#N/A</v>
      </c>
      <c r="LK56" s="320"/>
      <c r="LL56" s="335">
        <f ca="1">Foglio7ti!GF57</f>
        <v>100000</v>
      </c>
      <c r="LM56" s="336">
        <f t="shared" ca="1" si="27"/>
        <v>100000</v>
      </c>
      <c r="LN56" s="335"/>
      <c r="LO56" s="320">
        <f t="shared" si="100"/>
        <v>18</v>
      </c>
      <c r="LP56" s="336">
        <f t="shared" ca="1" si="28"/>
        <v>48823</v>
      </c>
      <c r="LQ56" s="335"/>
      <c r="LR56" s="320"/>
      <c r="LS56" s="319">
        <f t="shared" si="29"/>
        <v>18</v>
      </c>
      <c r="LT56" s="336">
        <f t="shared" ca="1" si="30"/>
        <v>48823</v>
      </c>
      <c r="LU56" s="320"/>
      <c r="LV56" s="320"/>
      <c r="LW56" s="336">
        <f t="shared" ca="1" si="31"/>
        <v>100000</v>
      </c>
      <c r="LX56" s="320"/>
      <c r="LY56" s="320"/>
      <c r="LZ56" s="336">
        <f t="shared" ca="1" si="32"/>
        <v>100000</v>
      </c>
      <c r="MA56" s="320"/>
      <c r="MB56" s="320"/>
      <c r="MC56" s="308">
        <f t="shared" ca="1" si="4"/>
        <v>100000</v>
      </c>
      <c r="MD56" t="str">
        <f t="shared" ca="1" si="101"/>
        <v/>
      </c>
      <c r="ME56" s="338" t="str">
        <f t="shared" ca="1" si="33"/>
        <v/>
      </c>
      <c r="MF56" s="338" t="str">
        <f t="shared" ca="1" si="102"/>
        <v/>
      </c>
      <c r="MG56" s="337" t="str">
        <f t="shared" ca="1" si="5"/>
        <v/>
      </c>
      <c r="MH56" s="338" t="str">
        <f t="shared" ca="1" si="35"/>
        <v/>
      </c>
      <c r="MI56" s="337" t="str">
        <f t="shared" ca="1" si="36"/>
        <v/>
      </c>
      <c r="MJ56" s="337" t="str">
        <f t="shared" ca="1" si="6"/>
        <v/>
      </c>
      <c r="MK56" s="337" t="str">
        <f t="shared" ca="1" si="166"/>
        <v/>
      </c>
      <c r="ML56" s="337" t="str">
        <f ca="1">IF(ME56&lt;&gt;"",VLOOKUP(ME56,Foglio7ti!$GF$40:$GG$92,2),"")</f>
        <v/>
      </c>
      <c r="MM56" s="282" t="str">
        <f t="shared" ca="1" si="38"/>
        <v/>
      </c>
      <c r="MN56" s="282"/>
      <c r="MO56" s="320">
        <f t="shared" si="128"/>
        <v>1</v>
      </c>
      <c r="MP56" s="253" t="str">
        <f t="shared" ca="1" si="39"/>
        <v/>
      </c>
      <c r="MQ56" t="e">
        <f t="shared" ca="1" si="160"/>
        <v>#N/A</v>
      </c>
      <c r="MR56" s="238" t="e">
        <f ca="1">VLOOKUP(ME56,Foglio1ti!AB48:AZ348,13)-MQ56</f>
        <v>#N/A</v>
      </c>
      <c r="MS56" t="e">
        <f t="shared" ca="1" si="40"/>
        <v>#N/A</v>
      </c>
      <c r="MT56" t="e">
        <f t="shared" ca="1" si="41"/>
        <v>#N/A</v>
      </c>
      <c r="MU56" s="238" t="e">
        <f ca="1">VLOOKUP(ME56,Foglio1ti!AB48:AZ348,13)-MT56</f>
        <v>#N/A</v>
      </c>
      <c r="MV56" t="e">
        <f t="shared" ca="1" si="42"/>
        <v>#N/A</v>
      </c>
      <c r="MW56">
        <f t="shared" ca="1" si="140"/>
        <v>0</v>
      </c>
      <c r="MX56">
        <f ca="1">IF(AND(frontti!$H$25="SI",ML56="3-8 anni"),INDIRECT(CONCATENATE($MR$37,"BI",MU56)),0)</f>
        <v>0</v>
      </c>
      <c r="MY56" s="254"/>
    </row>
    <row r="57" spans="1:363" x14ac:dyDescent="0.25">
      <c r="A57" s="112">
        <f t="shared" si="141"/>
        <v>37257</v>
      </c>
      <c r="B57" s="112">
        <f t="shared" si="44"/>
        <v>37622</v>
      </c>
      <c r="E57" s="240">
        <f>Foglio3!F37</f>
        <v>37644</v>
      </c>
      <c r="F57" s="240">
        <f>Foglio3!G37</f>
        <v>37783</v>
      </c>
      <c r="G57" s="244"/>
      <c r="H57" s="245">
        <f t="shared" si="45"/>
        <v>37644</v>
      </c>
      <c r="I57" s="245">
        <f t="shared" si="8"/>
        <v>37783</v>
      </c>
      <c r="J57" s="244"/>
      <c r="K57" s="244"/>
      <c r="Q57">
        <f t="shared" si="9"/>
        <v>140</v>
      </c>
      <c r="R57">
        <f t="shared" si="142"/>
        <v>120</v>
      </c>
      <c r="S57">
        <f t="shared" si="46"/>
        <v>0</v>
      </c>
      <c r="T57">
        <f t="shared" si="129"/>
        <v>4</v>
      </c>
      <c r="U57">
        <f t="shared" si="130"/>
        <v>0</v>
      </c>
      <c r="W57">
        <f t="shared" si="131"/>
        <v>0</v>
      </c>
      <c r="X57">
        <f t="shared" si="131"/>
        <v>39</v>
      </c>
      <c r="Y57">
        <f t="shared" si="131"/>
        <v>144</v>
      </c>
      <c r="AA57" s="112">
        <f t="shared" si="103"/>
        <v>37644</v>
      </c>
      <c r="AB57" s="112">
        <f t="shared" si="104"/>
        <v>37783</v>
      </c>
      <c r="AG57">
        <f t="shared" si="47"/>
        <v>1</v>
      </c>
      <c r="AH57" s="112">
        <f t="shared" si="48"/>
        <v>37644</v>
      </c>
      <c r="AI57" s="112">
        <f t="shared" si="48"/>
        <v>37783</v>
      </c>
      <c r="AJ57">
        <f t="shared" si="49"/>
        <v>1</v>
      </c>
      <c r="AK57">
        <f t="shared" si="105"/>
        <v>0</v>
      </c>
      <c r="AL57">
        <f t="shared" si="132"/>
        <v>1</v>
      </c>
      <c r="AN57">
        <f t="shared" si="133"/>
        <v>0</v>
      </c>
      <c r="AO57">
        <f t="shared" si="134"/>
        <v>20</v>
      </c>
      <c r="AP57">
        <f t="shared" si="106"/>
        <v>20</v>
      </c>
      <c r="AS57">
        <f t="shared" si="143"/>
        <v>0</v>
      </c>
      <c r="AT57">
        <f t="shared" si="144"/>
        <v>0</v>
      </c>
      <c r="AV57">
        <f t="shared" si="145"/>
        <v>0</v>
      </c>
      <c r="AW57">
        <f t="shared" si="146"/>
        <v>0</v>
      </c>
      <c r="AX57">
        <f t="shared" si="107"/>
        <v>0</v>
      </c>
      <c r="BA57">
        <f t="shared" si="163"/>
        <v>0</v>
      </c>
      <c r="BB57">
        <f t="shared" si="164"/>
        <v>0</v>
      </c>
      <c r="BD57">
        <f t="shared" si="148"/>
        <v>0</v>
      </c>
      <c r="BE57">
        <f t="shared" si="149"/>
        <v>0</v>
      </c>
      <c r="BF57">
        <f t="shared" si="137"/>
        <v>0</v>
      </c>
      <c r="BI57">
        <f t="shared" si="150"/>
        <v>0</v>
      </c>
      <c r="BJ57">
        <f t="shared" si="153"/>
        <v>0</v>
      </c>
      <c r="BK57">
        <f t="shared" si="154"/>
        <v>0</v>
      </c>
      <c r="BL57">
        <f t="shared" si="155"/>
        <v>0</v>
      </c>
      <c r="BM57">
        <f t="shared" si="147"/>
        <v>0</v>
      </c>
      <c r="BO57">
        <f t="shared" si="156"/>
        <v>0</v>
      </c>
      <c r="BP57">
        <f t="shared" si="157"/>
        <v>0</v>
      </c>
      <c r="BR57">
        <f t="shared" si="158"/>
        <v>0</v>
      </c>
      <c r="BS57">
        <f t="shared" si="159"/>
        <v>0</v>
      </c>
      <c r="BT57">
        <f t="shared" si="151"/>
        <v>0</v>
      </c>
      <c r="BV57">
        <f t="shared" si="108"/>
        <v>20</v>
      </c>
      <c r="BX57">
        <f t="shared" si="109"/>
        <v>20</v>
      </c>
      <c r="BY57">
        <f t="shared" si="110"/>
        <v>0</v>
      </c>
      <c r="BZ57">
        <f t="shared" si="111"/>
        <v>0</v>
      </c>
      <c r="CA57">
        <f t="shared" si="112"/>
        <v>0</v>
      </c>
      <c r="CB57">
        <f t="shared" si="113"/>
        <v>0</v>
      </c>
      <c r="CG57">
        <f t="shared" si="50"/>
        <v>2003</v>
      </c>
      <c r="CH57">
        <f t="shared" si="50"/>
        <v>2003</v>
      </c>
      <c r="CJ57">
        <f t="shared" si="51"/>
        <v>0</v>
      </c>
      <c r="CK57">
        <f t="shared" si="161"/>
        <v>0</v>
      </c>
      <c r="CL57">
        <f t="shared" si="52"/>
        <v>0</v>
      </c>
      <c r="CN57">
        <f t="shared" si="53"/>
        <v>0</v>
      </c>
      <c r="CS57">
        <f t="shared" si="54"/>
        <v>120</v>
      </c>
      <c r="CT57">
        <f t="shared" si="114"/>
        <v>1314</v>
      </c>
      <c r="CV57" s="112">
        <f t="shared" si="55"/>
        <v>37783</v>
      </c>
      <c r="CX57" s="112">
        <f t="shared" si="56"/>
        <v>100000</v>
      </c>
      <c r="CY57" s="112">
        <f t="shared" si="115"/>
        <v>100000</v>
      </c>
      <c r="CZ57" s="112">
        <f t="shared" si="116"/>
        <v>100000</v>
      </c>
      <c r="DA57" s="112">
        <f t="shared" si="117"/>
        <v>100000</v>
      </c>
      <c r="DB57" s="112">
        <f t="shared" si="118"/>
        <v>100000</v>
      </c>
      <c r="DC57" s="112">
        <f t="shared" si="119"/>
        <v>100000</v>
      </c>
      <c r="DU57" s="112"/>
      <c r="DV57" s="112"/>
      <c r="DW57" s="277">
        <v>39630</v>
      </c>
      <c r="DX57" s="276"/>
      <c r="DY57" s="276"/>
      <c r="DZ57" s="276"/>
      <c r="EF57" s="260" t="str">
        <f t="shared" si="162"/>
        <v/>
      </c>
      <c r="EK57" s="254"/>
      <c r="EL57">
        <f t="shared" si="165"/>
        <v>18</v>
      </c>
      <c r="EM57" s="260">
        <f t="shared" ca="1" si="122"/>
        <v>100000</v>
      </c>
      <c r="EN57" s="112">
        <f t="shared" ca="1" si="63"/>
        <v>100000</v>
      </c>
      <c r="EO57" s="112">
        <f t="shared" ca="1" si="64"/>
        <v>100000</v>
      </c>
      <c r="EP57" s="112">
        <f t="shared" ca="1" si="123"/>
        <v>100000</v>
      </c>
      <c r="EQ57" s="273">
        <f t="shared" ca="1" si="138"/>
        <v>100000</v>
      </c>
      <c r="ER57" s="302">
        <f t="shared" ca="1" si="65"/>
        <v>100000</v>
      </c>
      <c r="EU57" t="e">
        <f t="shared" ca="1" si="66"/>
        <v>#N/A</v>
      </c>
      <c r="EV57" s="260">
        <f t="shared" ca="1" si="124"/>
        <v>100000</v>
      </c>
      <c r="EW57" t="e">
        <f t="shared" ca="1" si="67"/>
        <v>#N/A</v>
      </c>
      <c r="EX57" t="e">
        <f t="shared" ca="1" si="12"/>
        <v>#N/A</v>
      </c>
      <c r="EY57" s="238" t="e">
        <f t="shared" ca="1" si="13"/>
        <v>#N/A</v>
      </c>
      <c r="FB57" t="e">
        <f t="shared" ca="1" si="68"/>
        <v>#N/A</v>
      </c>
      <c r="FC57" t="e">
        <f t="shared" ca="1" si="167"/>
        <v>#N/A</v>
      </c>
      <c r="FD57" t="e">
        <f t="shared" ca="1" si="167"/>
        <v>#N/A</v>
      </c>
      <c r="FE57" t="e">
        <f t="shared" ca="1" si="167"/>
        <v>#N/A</v>
      </c>
      <c r="FF57" t="e">
        <f t="shared" ca="1" si="167"/>
        <v>#N/A</v>
      </c>
      <c r="FM57" t="e">
        <f t="shared" ca="1" si="15"/>
        <v>#N/A</v>
      </c>
      <c r="FR57" s="254" t="e">
        <f t="shared" ca="1" si="69"/>
        <v>#N/A</v>
      </c>
      <c r="FS57">
        <f t="shared" si="125"/>
        <v>57</v>
      </c>
      <c r="FT57" t="e">
        <f t="shared" ca="1" si="168"/>
        <v>#N/A</v>
      </c>
      <c r="FU57" t="str">
        <f t="shared" ca="1" si="168"/>
        <v>EV57</v>
      </c>
      <c r="FV57" t="e">
        <f t="shared" ca="1" si="168"/>
        <v>#N/A</v>
      </c>
      <c r="FW57" t="e">
        <f t="shared" ca="1" si="168"/>
        <v>#N/A</v>
      </c>
      <c r="FX57" t="e">
        <f t="shared" ca="1" si="168"/>
        <v>#N/A</v>
      </c>
      <c r="FY57" t="e">
        <f t="shared" ca="1" si="168"/>
        <v>#N/A</v>
      </c>
      <c r="FZ57" t="e">
        <f t="shared" ca="1" si="168"/>
        <v>#N/A</v>
      </c>
      <c r="GA57" t="str">
        <f t="shared" ca="1" si="168"/>
        <v/>
      </c>
      <c r="GB57" t="e">
        <f t="shared" ca="1" si="168"/>
        <v>#N/A</v>
      </c>
      <c r="GC57" t="str">
        <f t="shared" ca="1" si="168"/>
        <v/>
      </c>
      <c r="GD57" t="str">
        <f t="shared" ca="1" si="168"/>
        <v/>
      </c>
      <c r="GE57">
        <f t="shared" ca="1" si="126"/>
        <v>0</v>
      </c>
      <c r="GF57" s="112">
        <f t="shared" ca="1" si="70"/>
        <v>100000</v>
      </c>
      <c r="GG57" s="112" t="e">
        <f t="shared" ca="1" si="71"/>
        <v>#N/A</v>
      </c>
      <c r="GH57" s="262" t="e">
        <f t="shared" ca="1" si="169"/>
        <v>#N/A</v>
      </c>
      <c r="GI57" s="262" t="e">
        <f t="shared" ca="1" si="169"/>
        <v>#N/A</v>
      </c>
      <c r="GJ57" s="262" t="e">
        <f t="shared" ca="1" si="169"/>
        <v>#N/A</v>
      </c>
      <c r="GK57" s="262" t="e">
        <f t="shared" ca="1" si="169"/>
        <v>#N/A</v>
      </c>
      <c r="GL57" s="262" t="e">
        <f t="shared" ca="1" si="169"/>
        <v>#N/A</v>
      </c>
      <c r="GM57" s="262">
        <f t="shared" ca="1" si="169"/>
        <v>0</v>
      </c>
      <c r="GN57" s="262" t="e">
        <f t="shared" ca="1" si="169"/>
        <v>#N/A</v>
      </c>
      <c r="GO57" s="262">
        <f t="shared" ca="1" si="72"/>
        <v>0</v>
      </c>
      <c r="GP57" s="262">
        <f t="shared" ca="1" si="73"/>
        <v>0</v>
      </c>
      <c r="GR57" s="262" t="e">
        <f t="shared" ca="1" si="75"/>
        <v>#N/A</v>
      </c>
      <c r="GS57" s="262" t="e">
        <f t="shared" ca="1" si="18"/>
        <v>#N/A</v>
      </c>
      <c r="GT57" s="253" t="str">
        <f t="shared" ca="1" si="76"/>
        <v/>
      </c>
      <c r="GU57" t="str">
        <f t="shared" ca="1" si="77"/>
        <v/>
      </c>
      <c r="GV57" t="str">
        <f t="shared" ca="1" si="78"/>
        <v/>
      </c>
      <c r="GW57" t="e">
        <f t="shared" ca="1" si="139"/>
        <v>#N/A</v>
      </c>
      <c r="GX57" t="e">
        <f t="shared" ca="1" si="170"/>
        <v>#N/A</v>
      </c>
      <c r="GY57" t="e">
        <f t="shared" ca="1" si="170"/>
        <v>#N/A</v>
      </c>
      <c r="GZ57" t="e">
        <f t="shared" ca="1" si="20"/>
        <v>#N/A</v>
      </c>
      <c r="HA57" t="e">
        <f t="shared" ca="1" si="170"/>
        <v>#N/A</v>
      </c>
      <c r="HB57" t="str">
        <f t="shared" ca="1" si="170"/>
        <v/>
      </c>
      <c r="HC57" t="e">
        <f t="shared" ca="1" si="170"/>
        <v>#N/A</v>
      </c>
      <c r="HD57" t="str">
        <f t="shared" ca="1" si="79"/>
        <v/>
      </c>
      <c r="HE57" s="254" t="str">
        <f t="shared" ca="1" si="170"/>
        <v/>
      </c>
      <c r="HF57" s="254" t="e">
        <f t="shared" ca="1" si="80"/>
        <v>#N/A</v>
      </c>
      <c r="HM57" s="263" t="e">
        <f t="shared" ca="1" si="81"/>
        <v>#N/A</v>
      </c>
      <c r="HN57" s="263"/>
      <c r="HO57" s="272" t="str">
        <f t="shared" ca="1" si="21"/>
        <v/>
      </c>
      <c r="HP57">
        <f t="shared" ca="1" si="82"/>
        <v>0</v>
      </c>
      <c r="HQ57" t="str">
        <f t="shared" ca="1" si="83"/>
        <v/>
      </c>
      <c r="HR57" t="str">
        <f t="shared" ca="1" si="84"/>
        <v/>
      </c>
      <c r="HS57" t="str">
        <f t="shared" ca="1" si="85"/>
        <v/>
      </c>
      <c r="HX57" s="253" t="s">
        <v>187</v>
      </c>
      <c r="HY57" s="112" t="str">
        <f t="shared" si="86"/>
        <v>23/1/2003</v>
      </c>
      <c r="HZ57" t="s">
        <v>188</v>
      </c>
      <c r="IA57" s="112" t="str">
        <f t="shared" si="87"/>
        <v>11/6/2003</v>
      </c>
      <c r="IB57" t="s">
        <v>189</v>
      </c>
      <c r="IC57">
        <f t="shared" si="88"/>
        <v>0</v>
      </c>
      <c r="ID57" t="s">
        <v>192</v>
      </c>
      <c r="IE57">
        <f t="shared" si="89"/>
        <v>4</v>
      </c>
      <c r="IF57" t="s">
        <v>191</v>
      </c>
      <c r="IG57" s="254">
        <f t="shared" si="90"/>
        <v>0</v>
      </c>
      <c r="IL57" t="str">
        <f t="shared" si="91"/>
        <v xml:space="preserve">DAL: 23/1/2003 - AL:11/6/2003 - ANNI:0 - MESI:4 -GIORNI:0
</v>
      </c>
      <c r="KD57">
        <v>0</v>
      </c>
      <c r="KE57" s="260">
        <f t="shared" ca="1" si="92"/>
        <v>100000</v>
      </c>
      <c r="KF57" t="str">
        <f t="shared" si="93"/>
        <v>0-2 anni</v>
      </c>
      <c r="KG57">
        <f t="shared" si="22"/>
        <v>6</v>
      </c>
      <c r="KH57" s="238">
        <f t="shared" ca="1" si="23"/>
        <v>255</v>
      </c>
      <c r="KK57">
        <f t="shared" ca="1" si="94"/>
        <v>16218.89</v>
      </c>
      <c r="KL57" t="e">
        <f t="shared" ca="1" si="171"/>
        <v>#N/A</v>
      </c>
      <c r="KM57" t="e">
        <f t="shared" ca="1" si="171"/>
        <v>#N/A</v>
      </c>
      <c r="KN57" t="e">
        <f t="shared" ca="1" si="171"/>
        <v>#N/A</v>
      </c>
      <c r="KO57" t="e">
        <f t="shared" ca="1" si="171"/>
        <v>#N/A</v>
      </c>
      <c r="KV57" t="e">
        <f t="shared" ca="1" si="25"/>
        <v>#N/A</v>
      </c>
      <c r="LA57" s="254" t="str">
        <f t="shared" si="95"/>
        <v>0-2 anni</v>
      </c>
      <c r="LB57" s="112">
        <f t="shared" si="26"/>
        <v>37644</v>
      </c>
      <c r="LC57" s="112">
        <f t="shared" si="26"/>
        <v>37783</v>
      </c>
      <c r="LD57" t="e">
        <f t="shared" ca="1" si="96"/>
        <v>#N/A</v>
      </c>
      <c r="LE57" s="262" t="e">
        <f t="shared" ca="1" si="97"/>
        <v>#N/A</v>
      </c>
      <c r="LF57">
        <f t="shared" si="98"/>
        <v>120</v>
      </c>
      <c r="LG57" t="e">
        <f t="shared" ca="1" si="99"/>
        <v>#N/A</v>
      </c>
      <c r="LK57" s="320"/>
      <c r="LL57" s="335">
        <f ca="1">Foglio7ti!GF58</f>
        <v>100000</v>
      </c>
      <c r="LM57" s="336">
        <f t="shared" ca="1" si="27"/>
        <v>100000</v>
      </c>
      <c r="LN57" s="335"/>
      <c r="LO57" s="320">
        <f t="shared" si="100"/>
        <v>19</v>
      </c>
      <c r="LP57" s="336">
        <f t="shared" ca="1" si="28"/>
        <v>51014</v>
      </c>
      <c r="LQ57" s="335"/>
      <c r="LR57" s="320"/>
      <c r="LS57" s="319">
        <f t="shared" si="29"/>
        <v>19</v>
      </c>
      <c r="LT57" s="336">
        <f t="shared" ca="1" si="30"/>
        <v>51014</v>
      </c>
      <c r="LU57" s="320"/>
      <c r="LV57" s="320"/>
      <c r="LW57" s="336">
        <f t="shared" ca="1" si="31"/>
        <v>100000</v>
      </c>
      <c r="LX57" s="320"/>
      <c r="LY57" s="320"/>
      <c r="LZ57" s="336">
        <f t="shared" ca="1" si="32"/>
        <v>100000</v>
      </c>
      <c r="MA57" s="320"/>
      <c r="MB57" s="320"/>
      <c r="MC57" s="308">
        <f t="shared" ca="1" si="4"/>
        <v>100000</v>
      </c>
      <c r="MD57" t="str">
        <f t="shared" ca="1" si="101"/>
        <v/>
      </c>
      <c r="ME57" s="338" t="str">
        <f t="shared" ca="1" si="33"/>
        <v/>
      </c>
      <c r="MF57" s="338" t="str">
        <f t="shared" ca="1" si="102"/>
        <v/>
      </c>
      <c r="MG57" s="337" t="str">
        <f t="shared" ca="1" si="5"/>
        <v/>
      </c>
      <c r="MH57" s="338" t="str">
        <f t="shared" ca="1" si="35"/>
        <v/>
      </c>
      <c r="MI57" s="337" t="str">
        <f t="shared" ca="1" si="36"/>
        <v/>
      </c>
      <c r="MJ57" s="337" t="str">
        <f t="shared" ca="1" si="6"/>
        <v/>
      </c>
      <c r="MK57" s="337" t="str">
        <f t="shared" ca="1" si="166"/>
        <v/>
      </c>
      <c r="ML57" s="337" t="str">
        <f ca="1">IF(ME57&lt;&gt;"",VLOOKUP(ME57,Foglio7ti!$GF$40:$GG$92,2),"")</f>
        <v/>
      </c>
      <c r="MM57" s="282" t="str">
        <f t="shared" ca="1" si="38"/>
        <v/>
      </c>
      <c r="MN57" s="282"/>
      <c r="MO57" s="320">
        <f t="shared" si="128"/>
        <v>1</v>
      </c>
      <c r="MP57" s="253" t="str">
        <f t="shared" ca="1" si="39"/>
        <v/>
      </c>
      <c r="MQ57" t="e">
        <f t="shared" ca="1" si="160"/>
        <v>#N/A</v>
      </c>
      <c r="MR57" s="238" t="e">
        <f ca="1">VLOOKUP(ME57,Foglio1ti!AB49:AZ349,13)-MQ57</f>
        <v>#N/A</v>
      </c>
      <c r="MS57" t="e">
        <f t="shared" ca="1" si="40"/>
        <v>#N/A</v>
      </c>
      <c r="MT57" t="e">
        <f t="shared" ca="1" si="41"/>
        <v>#N/A</v>
      </c>
      <c r="MU57" s="238" t="e">
        <f ca="1">VLOOKUP(ME57,Foglio1ti!AB49:AZ349,13)-MT57</f>
        <v>#N/A</v>
      </c>
      <c r="MV57" t="e">
        <f t="shared" ca="1" si="42"/>
        <v>#N/A</v>
      </c>
      <c r="MW57">
        <f t="shared" ca="1" si="140"/>
        <v>0</v>
      </c>
      <c r="MX57">
        <f ca="1">IF(AND(frontti!$H$25="SI",ML57="3-8 anni"),INDIRECT(CONCATENATE($MR$37,"BI",MU57)),0)</f>
        <v>0</v>
      </c>
      <c r="MY57" s="254"/>
    </row>
    <row r="58" spans="1:363" x14ac:dyDescent="0.25">
      <c r="A58" s="112">
        <f t="shared" si="141"/>
        <v>37257</v>
      </c>
      <c r="B58" s="112">
        <f t="shared" si="44"/>
        <v>37622</v>
      </c>
      <c r="E58" s="240">
        <f>Foglio3!F38</f>
        <v>37673</v>
      </c>
      <c r="F58" s="240">
        <f>Foglio3!G38</f>
        <v>37786</v>
      </c>
      <c r="G58" s="244"/>
      <c r="H58" s="245">
        <f t="shared" si="45"/>
        <v>37673</v>
      </c>
      <c r="I58" s="245">
        <f t="shared" si="8"/>
        <v>37786</v>
      </c>
      <c r="J58" s="244"/>
      <c r="K58" s="244"/>
      <c r="Q58">
        <f t="shared" si="9"/>
        <v>114</v>
      </c>
      <c r="R58">
        <f t="shared" si="142"/>
        <v>3</v>
      </c>
      <c r="S58">
        <f t="shared" si="46"/>
        <v>0</v>
      </c>
      <c r="T58">
        <f t="shared" si="129"/>
        <v>0</v>
      </c>
      <c r="U58">
        <f t="shared" si="130"/>
        <v>3</v>
      </c>
      <c r="W58">
        <f t="shared" si="131"/>
        <v>0</v>
      </c>
      <c r="X58">
        <f t="shared" si="131"/>
        <v>39</v>
      </c>
      <c r="Y58">
        <f t="shared" si="131"/>
        <v>147</v>
      </c>
      <c r="AA58" s="112">
        <f t="shared" si="103"/>
        <v>37673</v>
      </c>
      <c r="AB58" s="112">
        <f t="shared" si="104"/>
        <v>37786</v>
      </c>
      <c r="AG58">
        <f t="shared" si="47"/>
        <v>1</v>
      </c>
      <c r="AH58" s="112">
        <f t="shared" si="48"/>
        <v>37673</v>
      </c>
      <c r="AI58" s="112">
        <f t="shared" si="48"/>
        <v>37786</v>
      </c>
      <c r="AJ58">
        <f t="shared" si="49"/>
        <v>1</v>
      </c>
      <c r="AK58">
        <f t="shared" si="105"/>
        <v>0</v>
      </c>
      <c r="AL58">
        <f t="shared" si="132"/>
        <v>1</v>
      </c>
      <c r="AN58">
        <f t="shared" si="133"/>
        <v>0</v>
      </c>
      <c r="AO58">
        <f t="shared" si="134"/>
        <v>111</v>
      </c>
      <c r="AP58">
        <f t="shared" si="106"/>
        <v>111</v>
      </c>
      <c r="AS58">
        <f t="shared" si="143"/>
        <v>0</v>
      </c>
      <c r="AT58">
        <f t="shared" si="144"/>
        <v>0</v>
      </c>
      <c r="AV58">
        <f t="shared" si="145"/>
        <v>0</v>
      </c>
      <c r="AW58">
        <f t="shared" si="146"/>
        <v>0</v>
      </c>
      <c r="AX58">
        <f t="shared" si="107"/>
        <v>0</v>
      </c>
      <c r="BA58">
        <f t="shared" si="163"/>
        <v>0</v>
      </c>
      <c r="BB58">
        <f t="shared" si="164"/>
        <v>0</v>
      </c>
      <c r="BD58">
        <f t="shared" si="148"/>
        <v>0</v>
      </c>
      <c r="BE58">
        <f t="shared" si="149"/>
        <v>0</v>
      </c>
      <c r="BF58">
        <f t="shared" si="137"/>
        <v>0</v>
      </c>
      <c r="BI58">
        <f t="shared" si="150"/>
        <v>0</v>
      </c>
      <c r="BJ58">
        <f t="shared" si="153"/>
        <v>0</v>
      </c>
      <c r="BK58">
        <f t="shared" si="154"/>
        <v>0</v>
      </c>
      <c r="BL58">
        <f t="shared" si="155"/>
        <v>0</v>
      </c>
      <c r="BM58">
        <f t="shared" si="147"/>
        <v>0</v>
      </c>
      <c r="BO58">
        <f t="shared" si="156"/>
        <v>0</v>
      </c>
      <c r="BP58">
        <f t="shared" si="157"/>
        <v>0</v>
      </c>
      <c r="BR58">
        <f t="shared" si="158"/>
        <v>0</v>
      </c>
      <c r="BS58">
        <f t="shared" si="159"/>
        <v>0</v>
      </c>
      <c r="BT58">
        <f t="shared" si="151"/>
        <v>0</v>
      </c>
      <c r="BV58">
        <f t="shared" si="108"/>
        <v>111</v>
      </c>
      <c r="BX58">
        <f t="shared" si="109"/>
        <v>111</v>
      </c>
      <c r="BY58">
        <f t="shared" si="110"/>
        <v>0</v>
      </c>
      <c r="BZ58">
        <f t="shared" si="111"/>
        <v>0</v>
      </c>
      <c r="CA58">
        <f t="shared" si="112"/>
        <v>0</v>
      </c>
      <c r="CB58">
        <f t="shared" si="113"/>
        <v>0</v>
      </c>
      <c r="CG58">
        <f t="shared" si="50"/>
        <v>2003</v>
      </c>
      <c r="CH58">
        <f t="shared" si="50"/>
        <v>2003</v>
      </c>
      <c r="CJ58">
        <f t="shared" si="51"/>
        <v>0</v>
      </c>
      <c r="CK58">
        <f t="shared" si="161"/>
        <v>0</v>
      </c>
      <c r="CL58">
        <f t="shared" si="52"/>
        <v>0</v>
      </c>
      <c r="CN58">
        <f t="shared" si="53"/>
        <v>0</v>
      </c>
      <c r="CS58">
        <f t="shared" si="54"/>
        <v>3</v>
      </c>
      <c r="CT58">
        <f t="shared" si="114"/>
        <v>1317</v>
      </c>
      <c r="CV58" s="112">
        <f t="shared" si="55"/>
        <v>37786</v>
      </c>
      <c r="CX58" s="112">
        <f t="shared" si="56"/>
        <v>100000</v>
      </c>
      <c r="CY58" s="112">
        <f t="shared" si="115"/>
        <v>100000</v>
      </c>
      <c r="CZ58" s="112">
        <f t="shared" si="116"/>
        <v>100000</v>
      </c>
      <c r="DA58" s="112">
        <f t="shared" si="117"/>
        <v>100000</v>
      </c>
      <c r="DB58" s="112">
        <f t="shared" si="118"/>
        <v>100000</v>
      </c>
      <c r="DC58" s="112">
        <f t="shared" si="119"/>
        <v>100000</v>
      </c>
      <c r="DU58" s="112"/>
      <c r="DV58" s="112"/>
      <c r="DW58" s="277">
        <v>39814</v>
      </c>
      <c r="DX58" s="276"/>
      <c r="DY58" s="276"/>
      <c r="DZ58" s="276"/>
      <c r="EF58" s="260" t="str">
        <f t="shared" si="162"/>
        <v/>
      </c>
      <c r="EK58" s="254"/>
      <c r="EL58">
        <f t="shared" si="165"/>
        <v>19</v>
      </c>
      <c r="EM58" s="260" t="e">
        <f t="shared" ca="1" si="122"/>
        <v>#NUM!</v>
      </c>
      <c r="EN58" s="112" t="e">
        <f t="shared" ca="1" si="63"/>
        <v>#NUM!</v>
      </c>
      <c r="EO58" s="112">
        <f t="shared" ca="1" si="64"/>
        <v>100000</v>
      </c>
      <c r="EP58" s="112">
        <f t="shared" ca="1" si="123"/>
        <v>100000</v>
      </c>
      <c r="EQ58" s="273">
        <f t="shared" ca="1" si="138"/>
        <v>100000</v>
      </c>
      <c r="ER58" s="302">
        <f t="shared" ca="1" si="65"/>
        <v>100000</v>
      </c>
      <c r="EU58" t="e">
        <f t="shared" ca="1" si="66"/>
        <v>#N/A</v>
      </c>
      <c r="EV58" s="260">
        <f t="shared" ca="1" si="124"/>
        <v>100000</v>
      </c>
      <c r="EW58" t="e">
        <f t="shared" ca="1" si="67"/>
        <v>#N/A</v>
      </c>
      <c r="EX58" t="e">
        <f t="shared" ca="1" si="12"/>
        <v>#N/A</v>
      </c>
      <c r="EY58" s="238" t="e">
        <f t="shared" ca="1" si="13"/>
        <v>#N/A</v>
      </c>
      <c r="FB58" t="e">
        <f t="shared" ca="1" si="68"/>
        <v>#N/A</v>
      </c>
      <c r="FC58" t="e">
        <f t="shared" ca="1" si="167"/>
        <v>#N/A</v>
      </c>
      <c r="FD58" t="e">
        <f t="shared" ca="1" si="167"/>
        <v>#N/A</v>
      </c>
      <c r="FE58" t="e">
        <f t="shared" ca="1" si="167"/>
        <v>#N/A</v>
      </c>
      <c r="FF58" t="e">
        <f t="shared" ca="1" si="167"/>
        <v>#N/A</v>
      </c>
      <c r="FM58" t="e">
        <f t="shared" ca="1" si="15"/>
        <v>#N/A</v>
      </c>
      <c r="FR58" s="254" t="e">
        <f t="shared" ca="1" si="69"/>
        <v>#N/A</v>
      </c>
      <c r="FS58">
        <f t="shared" si="125"/>
        <v>58</v>
      </c>
      <c r="FT58" t="e">
        <f t="shared" ca="1" si="168"/>
        <v>#N/A</v>
      </c>
      <c r="FU58" t="str">
        <f t="shared" ca="1" si="168"/>
        <v>EV58</v>
      </c>
      <c r="FV58" t="e">
        <f t="shared" ca="1" si="168"/>
        <v>#N/A</v>
      </c>
      <c r="FW58" t="e">
        <f t="shared" ca="1" si="168"/>
        <v>#N/A</v>
      </c>
      <c r="FX58" t="e">
        <f t="shared" ca="1" si="168"/>
        <v>#N/A</v>
      </c>
      <c r="FY58" t="e">
        <f t="shared" ca="1" si="168"/>
        <v>#N/A</v>
      </c>
      <c r="FZ58" t="e">
        <f t="shared" ca="1" si="168"/>
        <v>#N/A</v>
      </c>
      <c r="GA58" t="str">
        <f t="shared" ca="1" si="168"/>
        <v/>
      </c>
      <c r="GB58" t="e">
        <f t="shared" ca="1" si="168"/>
        <v>#N/A</v>
      </c>
      <c r="GC58" t="str">
        <f t="shared" ca="1" si="168"/>
        <v/>
      </c>
      <c r="GD58" t="str">
        <f t="shared" ca="1" si="168"/>
        <v/>
      </c>
      <c r="GE58">
        <f t="shared" ca="1" si="126"/>
        <v>0</v>
      </c>
      <c r="GF58" s="112">
        <f t="shared" ca="1" si="70"/>
        <v>100000</v>
      </c>
      <c r="GG58" s="112" t="e">
        <f t="shared" ca="1" si="71"/>
        <v>#N/A</v>
      </c>
      <c r="GH58" s="262" t="e">
        <f t="shared" ca="1" si="169"/>
        <v>#N/A</v>
      </c>
      <c r="GI58" s="262" t="e">
        <f t="shared" ca="1" si="169"/>
        <v>#N/A</v>
      </c>
      <c r="GJ58" s="262" t="e">
        <f t="shared" ca="1" si="169"/>
        <v>#N/A</v>
      </c>
      <c r="GK58" s="262" t="e">
        <f t="shared" ca="1" si="169"/>
        <v>#N/A</v>
      </c>
      <c r="GL58" s="262" t="e">
        <f t="shared" ca="1" si="169"/>
        <v>#N/A</v>
      </c>
      <c r="GM58" s="262">
        <f t="shared" ca="1" si="169"/>
        <v>0</v>
      </c>
      <c r="GN58" s="262" t="e">
        <f t="shared" ca="1" si="169"/>
        <v>#N/A</v>
      </c>
      <c r="GO58" s="262">
        <f t="shared" ca="1" si="72"/>
        <v>0</v>
      </c>
      <c r="GP58" s="262">
        <f t="shared" ca="1" si="73"/>
        <v>0</v>
      </c>
      <c r="GR58" s="262" t="e">
        <f t="shared" ca="1" si="75"/>
        <v>#N/A</v>
      </c>
      <c r="GS58" s="262" t="e">
        <f t="shared" ca="1" si="18"/>
        <v>#N/A</v>
      </c>
      <c r="GT58" s="253" t="str">
        <f t="shared" ca="1" si="76"/>
        <v/>
      </c>
      <c r="GU58" t="str">
        <f t="shared" ca="1" si="77"/>
        <v/>
      </c>
      <c r="GV58" t="str">
        <f t="shared" ca="1" si="78"/>
        <v/>
      </c>
      <c r="GW58" t="e">
        <f t="shared" ca="1" si="139"/>
        <v>#N/A</v>
      </c>
      <c r="GX58" t="e">
        <f t="shared" ca="1" si="170"/>
        <v>#N/A</v>
      </c>
      <c r="GY58" t="e">
        <f t="shared" ca="1" si="170"/>
        <v>#N/A</v>
      </c>
      <c r="GZ58" t="e">
        <f t="shared" ca="1" si="20"/>
        <v>#N/A</v>
      </c>
      <c r="HA58" t="e">
        <f t="shared" ca="1" si="170"/>
        <v>#N/A</v>
      </c>
      <c r="HB58" t="str">
        <f t="shared" ca="1" si="170"/>
        <v/>
      </c>
      <c r="HC58" t="e">
        <f t="shared" ca="1" si="170"/>
        <v>#N/A</v>
      </c>
      <c r="HD58" t="str">
        <f t="shared" ca="1" si="79"/>
        <v/>
      </c>
      <c r="HE58" s="254" t="str">
        <f t="shared" ca="1" si="170"/>
        <v/>
      </c>
      <c r="HF58" s="254" t="e">
        <f t="shared" ca="1" si="80"/>
        <v>#N/A</v>
      </c>
      <c r="HM58" s="263" t="e">
        <f t="shared" ca="1" si="81"/>
        <v>#N/A</v>
      </c>
      <c r="HN58" s="263"/>
      <c r="HO58" s="272" t="str">
        <f t="shared" ca="1" si="21"/>
        <v/>
      </c>
      <c r="HP58">
        <f t="shared" ca="1" si="82"/>
        <v>0</v>
      </c>
      <c r="HQ58" t="str">
        <f ca="1">IF(AND(HP58=0,HP57&gt;0),$JR$38,"")</f>
        <v/>
      </c>
      <c r="HR58" t="str">
        <f ca="1">IF(AND(HP58=0,HP57=0,HP56&gt;0),$JR$39,"")</f>
        <v/>
      </c>
      <c r="HS58" t="str">
        <f ca="1">IF(AND(HP58=0,HP57=0,HP56=0,HP55&gt;0),$JR$40,"")</f>
        <v/>
      </c>
      <c r="HX58" s="253" t="s">
        <v>187</v>
      </c>
      <c r="HY58" s="112" t="str">
        <f t="shared" si="86"/>
        <v>21/2/2003</v>
      </c>
      <c r="HZ58" t="s">
        <v>188</v>
      </c>
      <c r="IA58" s="112" t="str">
        <f t="shared" si="87"/>
        <v>14/6/2003</v>
      </c>
      <c r="IB58" t="s">
        <v>189</v>
      </c>
      <c r="IC58">
        <f t="shared" si="88"/>
        <v>0</v>
      </c>
      <c r="ID58" t="s">
        <v>192</v>
      </c>
      <c r="IE58">
        <f t="shared" si="89"/>
        <v>0</v>
      </c>
      <c r="IF58" t="s">
        <v>191</v>
      </c>
      <c r="IG58" s="254">
        <f t="shared" si="90"/>
        <v>3</v>
      </c>
      <c r="IL58" t="str">
        <f t="shared" si="91"/>
        <v xml:space="preserve">DAL: 21/2/2003 - AL:14/6/2003 - ANNI:0 - MESI:0 -GIORNI:3
</v>
      </c>
      <c r="KD58">
        <v>0</v>
      </c>
      <c r="KE58" s="260">
        <f t="shared" ca="1" si="92"/>
        <v>100000</v>
      </c>
      <c r="KF58" t="str">
        <f t="shared" si="93"/>
        <v>0-2 anni</v>
      </c>
      <c r="KG58">
        <f t="shared" si="22"/>
        <v>6</v>
      </c>
      <c r="KH58" s="238">
        <f t="shared" ca="1" si="23"/>
        <v>255</v>
      </c>
      <c r="KK58">
        <f t="shared" ca="1" si="94"/>
        <v>16218.89</v>
      </c>
      <c r="KL58" t="e">
        <f t="shared" ca="1" si="171"/>
        <v>#N/A</v>
      </c>
      <c r="KM58" t="e">
        <f t="shared" ca="1" si="171"/>
        <v>#N/A</v>
      </c>
      <c r="KN58" t="e">
        <f t="shared" ca="1" si="171"/>
        <v>#N/A</v>
      </c>
      <c r="KO58" t="e">
        <f t="shared" ca="1" si="171"/>
        <v>#N/A</v>
      </c>
      <c r="KV58" t="e">
        <f t="shared" ca="1" si="25"/>
        <v>#N/A</v>
      </c>
      <c r="LA58" s="254" t="str">
        <f t="shared" si="95"/>
        <v>0-2 anni</v>
      </c>
      <c r="LB58" s="112">
        <f t="shared" si="26"/>
        <v>37673</v>
      </c>
      <c r="LC58" s="112">
        <f t="shared" si="26"/>
        <v>37786</v>
      </c>
      <c r="LD58" t="e">
        <f t="shared" ca="1" si="96"/>
        <v>#N/A</v>
      </c>
      <c r="LE58" s="262" t="e">
        <f t="shared" ca="1" si="97"/>
        <v>#N/A</v>
      </c>
      <c r="LF58">
        <f t="shared" si="98"/>
        <v>3</v>
      </c>
      <c r="LG58" t="e">
        <f t="shared" ca="1" si="99"/>
        <v>#N/A</v>
      </c>
      <c r="LK58" s="320"/>
      <c r="LL58" s="335">
        <f ca="1">Foglio7ti!GF59</f>
        <v>100000</v>
      </c>
      <c r="LM58" s="336">
        <f t="shared" ca="1" si="27"/>
        <v>100000</v>
      </c>
      <c r="LN58" s="335"/>
      <c r="LO58" s="320">
        <f t="shared" si="100"/>
        <v>20</v>
      </c>
      <c r="LP58" s="336">
        <f t="shared" ca="1" si="28"/>
        <v>53571</v>
      </c>
      <c r="LQ58" s="335"/>
      <c r="LR58" s="320"/>
      <c r="LS58" s="319">
        <f t="shared" si="29"/>
        <v>20</v>
      </c>
      <c r="LT58" s="336">
        <f t="shared" ca="1" si="30"/>
        <v>53571</v>
      </c>
      <c r="LU58" s="320"/>
      <c r="LV58" s="320"/>
      <c r="LW58" s="336">
        <f t="shared" ca="1" si="31"/>
        <v>100000</v>
      </c>
      <c r="LX58" s="320"/>
      <c r="LY58" s="320"/>
      <c r="LZ58" s="336">
        <f t="shared" ca="1" si="32"/>
        <v>100000</v>
      </c>
      <c r="MA58" s="320"/>
      <c r="MB58" s="320"/>
      <c r="MC58" s="308">
        <f t="shared" ca="1" si="4"/>
        <v>100000</v>
      </c>
      <c r="MD58" t="str">
        <f t="shared" ca="1" si="101"/>
        <v/>
      </c>
      <c r="ME58" s="338" t="str">
        <f t="shared" ca="1" si="33"/>
        <v/>
      </c>
      <c r="MF58" s="338" t="str">
        <f t="shared" ca="1" si="102"/>
        <v/>
      </c>
      <c r="MG58" s="337" t="str">
        <f t="shared" ca="1" si="5"/>
        <v/>
      </c>
      <c r="MH58" s="338" t="str">
        <f t="shared" ca="1" si="35"/>
        <v/>
      </c>
      <c r="MI58" s="337" t="str">
        <f t="shared" ca="1" si="36"/>
        <v/>
      </c>
      <c r="MJ58" s="337" t="str">
        <f t="shared" ca="1" si="6"/>
        <v/>
      </c>
      <c r="MK58" s="337" t="str">
        <f t="shared" ca="1" si="166"/>
        <v/>
      </c>
      <c r="ML58" s="337" t="str">
        <f ca="1">IF(ME58&lt;&gt;"",VLOOKUP(ME58,Foglio7ti!$GF$40:$GG$92,2),"")</f>
        <v/>
      </c>
      <c r="MM58" s="282" t="str">
        <f t="shared" ca="1" si="38"/>
        <v/>
      </c>
      <c r="MN58" s="282"/>
      <c r="MO58" s="320">
        <f t="shared" si="128"/>
        <v>1</v>
      </c>
      <c r="MP58" s="253" t="str">
        <f t="shared" ca="1" si="39"/>
        <v/>
      </c>
      <c r="MQ58" t="e">
        <f t="shared" ca="1" si="160"/>
        <v>#N/A</v>
      </c>
      <c r="MR58" s="238" t="e">
        <f ca="1">VLOOKUP(ME58,Foglio1ti!AB50:AZ350,13)-MQ58</f>
        <v>#N/A</v>
      </c>
      <c r="MS58" t="e">
        <f t="shared" ca="1" si="40"/>
        <v>#N/A</v>
      </c>
      <c r="MT58" t="e">
        <f t="shared" ca="1" si="41"/>
        <v>#N/A</v>
      </c>
      <c r="MU58" s="238" t="e">
        <f ca="1">VLOOKUP(ME58,Foglio1ti!AB50:AZ350,13)-MT58</f>
        <v>#N/A</v>
      </c>
      <c r="MV58" t="e">
        <f t="shared" ca="1" si="42"/>
        <v>#N/A</v>
      </c>
      <c r="MW58">
        <f t="shared" ca="1" si="140"/>
        <v>0</v>
      </c>
      <c r="MX58">
        <f ca="1">IF(AND(frontti!$H$25="SI",ML58="3-8 anni"),INDIRECT(CONCATENATE($MR$37,"BI",MU58)),0)</f>
        <v>0</v>
      </c>
      <c r="MY58" s="254"/>
    </row>
    <row r="59" spans="1:363" x14ac:dyDescent="0.25">
      <c r="A59" s="112">
        <f t="shared" si="141"/>
        <v>37622</v>
      </c>
      <c r="B59" s="112">
        <f t="shared" si="44"/>
        <v>37987</v>
      </c>
      <c r="E59" s="240">
        <f>Foglio3!F39</f>
        <v>37865</v>
      </c>
      <c r="F59" s="240">
        <f>Foglio3!G39</f>
        <v>38168</v>
      </c>
      <c r="G59" s="244"/>
      <c r="H59" s="245">
        <f t="shared" si="45"/>
        <v>37865</v>
      </c>
      <c r="I59" s="245">
        <f t="shared" si="8"/>
        <v>38168</v>
      </c>
      <c r="J59" s="244"/>
      <c r="K59" s="244"/>
      <c r="Q59">
        <f t="shared" si="9"/>
        <v>304</v>
      </c>
      <c r="R59">
        <f t="shared" si="142"/>
        <v>304</v>
      </c>
      <c r="S59">
        <f t="shared" si="46"/>
        <v>0</v>
      </c>
      <c r="T59">
        <f t="shared" si="129"/>
        <v>10</v>
      </c>
      <c r="U59">
        <f t="shared" si="130"/>
        <v>4</v>
      </c>
      <c r="W59">
        <f t="shared" ref="W59:Y74" si="172">S59+W58</f>
        <v>0</v>
      </c>
      <c r="X59">
        <f t="shared" si="172"/>
        <v>49</v>
      </c>
      <c r="Y59">
        <f t="shared" si="172"/>
        <v>151</v>
      </c>
      <c r="AA59" s="112">
        <f t="shared" si="103"/>
        <v>37865</v>
      </c>
      <c r="AB59" s="112">
        <f t="shared" si="104"/>
        <v>38168</v>
      </c>
      <c r="AG59">
        <f t="shared" si="47"/>
        <v>1</v>
      </c>
      <c r="AH59" s="112">
        <f t="shared" si="48"/>
        <v>37865</v>
      </c>
      <c r="AI59" s="112">
        <f t="shared" si="48"/>
        <v>38168</v>
      </c>
      <c r="AJ59">
        <f t="shared" si="49"/>
        <v>1</v>
      </c>
      <c r="AK59">
        <f t="shared" si="105"/>
        <v>0</v>
      </c>
      <c r="AL59">
        <f t="shared" si="132"/>
        <v>0</v>
      </c>
      <c r="AN59">
        <f t="shared" si="133"/>
        <v>0</v>
      </c>
      <c r="AO59">
        <f t="shared" si="134"/>
        <v>0</v>
      </c>
      <c r="AP59">
        <f t="shared" si="106"/>
        <v>0</v>
      </c>
      <c r="AS59">
        <f t="shared" si="143"/>
        <v>0</v>
      </c>
      <c r="AT59">
        <f t="shared" si="144"/>
        <v>0</v>
      </c>
      <c r="AV59">
        <f t="shared" si="145"/>
        <v>0</v>
      </c>
      <c r="AW59">
        <f t="shared" si="146"/>
        <v>0</v>
      </c>
      <c r="AX59">
        <f t="shared" si="107"/>
        <v>0</v>
      </c>
      <c r="BA59">
        <f t="shared" si="163"/>
        <v>0</v>
      </c>
      <c r="BB59">
        <f t="shared" si="164"/>
        <v>0</v>
      </c>
      <c r="BD59">
        <f t="shared" si="148"/>
        <v>0</v>
      </c>
      <c r="BE59">
        <f t="shared" si="149"/>
        <v>0</v>
      </c>
      <c r="BF59">
        <f t="shared" si="137"/>
        <v>0</v>
      </c>
      <c r="BI59">
        <f t="shared" si="150"/>
        <v>0</v>
      </c>
      <c r="BJ59">
        <f t="shared" si="153"/>
        <v>0</v>
      </c>
      <c r="BK59">
        <f t="shared" si="154"/>
        <v>0</v>
      </c>
      <c r="BL59">
        <f t="shared" si="155"/>
        <v>0</v>
      </c>
      <c r="BM59">
        <f t="shared" si="147"/>
        <v>0</v>
      </c>
      <c r="BO59">
        <f t="shared" si="156"/>
        <v>0</v>
      </c>
      <c r="BP59">
        <f t="shared" si="157"/>
        <v>0</v>
      </c>
      <c r="BR59">
        <f t="shared" si="158"/>
        <v>0</v>
      </c>
      <c r="BS59">
        <f t="shared" si="159"/>
        <v>0</v>
      </c>
      <c r="BT59">
        <f t="shared" si="151"/>
        <v>0</v>
      </c>
      <c r="BV59">
        <f t="shared" si="108"/>
        <v>0</v>
      </c>
      <c r="BX59">
        <f t="shared" si="109"/>
        <v>0</v>
      </c>
      <c r="BY59">
        <f t="shared" si="110"/>
        <v>0</v>
      </c>
      <c r="BZ59">
        <f t="shared" si="111"/>
        <v>0</v>
      </c>
      <c r="CA59">
        <f t="shared" si="112"/>
        <v>0</v>
      </c>
      <c r="CB59">
        <f t="shared" si="113"/>
        <v>0</v>
      </c>
      <c r="CG59">
        <f t="shared" si="50"/>
        <v>2003</v>
      </c>
      <c r="CH59">
        <f t="shared" si="50"/>
        <v>2004</v>
      </c>
      <c r="CJ59">
        <f t="shared" si="51"/>
        <v>0</v>
      </c>
      <c r="CK59">
        <f t="shared" si="161"/>
        <v>0</v>
      </c>
      <c r="CL59">
        <f t="shared" si="52"/>
        <v>0</v>
      </c>
      <c r="CN59">
        <f t="shared" si="53"/>
        <v>0</v>
      </c>
      <c r="CS59">
        <f t="shared" si="54"/>
        <v>304</v>
      </c>
      <c r="CT59">
        <f t="shared" si="114"/>
        <v>1621</v>
      </c>
      <c r="CV59" s="112">
        <f t="shared" si="55"/>
        <v>38168</v>
      </c>
      <c r="CX59" s="112">
        <f t="shared" si="56"/>
        <v>100000</v>
      </c>
      <c r="CY59" s="112">
        <f t="shared" si="115"/>
        <v>100000</v>
      </c>
      <c r="CZ59" s="112">
        <f t="shared" si="116"/>
        <v>100000</v>
      </c>
      <c r="DA59" s="112">
        <f t="shared" si="117"/>
        <v>100000</v>
      </c>
      <c r="DB59" s="112">
        <f t="shared" si="118"/>
        <v>100000</v>
      </c>
      <c r="DC59" s="112">
        <f t="shared" si="119"/>
        <v>100000</v>
      </c>
      <c r="DU59" s="112"/>
      <c r="DV59" s="112"/>
      <c r="DW59" s="277">
        <v>40269</v>
      </c>
      <c r="DX59" s="276"/>
      <c r="DY59" s="276"/>
      <c r="DZ59" s="276"/>
      <c r="EF59" s="260" t="str">
        <f t="shared" si="162"/>
        <v/>
      </c>
      <c r="EK59" s="254"/>
      <c r="EL59">
        <f t="shared" si="165"/>
        <v>20</v>
      </c>
      <c r="EM59" s="260" t="e">
        <f t="shared" ca="1" si="122"/>
        <v>#NUM!</v>
      </c>
      <c r="EN59" s="112" t="e">
        <f t="shared" ca="1" si="63"/>
        <v>#NUM!</v>
      </c>
      <c r="EO59" s="112">
        <f t="shared" ca="1" si="64"/>
        <v>100000</v>
      </c>
      <c r="EP59" s="112">
        <f t="shared" ca="1" si="123"/>
        <v>100000</v>
      </c>
      <c r="EQ59" s="273">
        <f t="shared" ca="1" si="138"/>
        <v>100000</v>
      </c>
      <c r="ER59" s="302">
        <f t="shared" ca="1" si="65"/>
        <v>100000</v>
      </c>
      <c r="EU59" t="e">
        <f t="shared" ca="1" si="66"/>
        <v>#N/A</v>
      </c>
      <c r="EV59" s="260">
        <f t="shared" ca="1" si="124"/>
        <v>100000</v>
      </c>
      <c r="EW59" t="e">
        <f t="shared" ca="1" si="67"/>
        <v>#N/A</v>
      </c>
      <c r="EX59" t="e">
        <f t="shared" ca="1" si="12"/>
        <v>#N/A</v>
      </c>
      <c r="EY59" s="238" t="e">
        <f t="shared" ca="1" si="13"/>
        <v>#N/A</v>
      </c>
      <c r="FB59" t="e">
        <f t="shared" ca="1" si="68"/>
        <v>#N/A</v>
      </c>
      <c r="FC59" t="e">
        <f t="shared" ca="1" si="167"/>
        <v>#N/A</v>
      </c>
      <c r="FD59" t="e">
        <f t="shared" ca="1" si="167"/>
        <v>#N/A</v>
      </c>
      <c r="FE59" t="e">
        <f t="shared" ca="1" si="167"/>
        <v>#N/A</v>
      </c>
      <c r="FF59" t="e">
        <f t="shared" ca="1" si="167"/>
        <v>#N/A</v>
      </c>
      <c r="FM59" t="e">
        <f t="shared" ca="1" si="15"/>
        <v>#N/A</v>
      </c>
      <c r="FR59" s="254" t="e">
        <f t="shared" ca="1" si="69"/>
        <v>#N/A</v>
      </c>
      <c r="FS59">
        <f t="shared" si="125"/>
        <v>59</v>
      </c>
      <c r="FT59" t="e">
        <f t="shared" ca="1" si="168"/>
        <v>#N/A</v>
      </c>
      <c r="FU59" t="str">
        <f t="shared" ca="1" si="168"/>
        <v>EV59</v>
      </c>
      <c r="FV59" t="e">
        <f t="shared" ca="1" si="168"/>
        <v>#N/A</v>
      </c>
      <c r="FW59" t="e">
        <f t="shared" ca="1" si="168"/>
        <v>#N/A</v>
      </c>
      <c r="FX59" t="e">
        <f t="shared" ca="1" si="168"/>
        <v>#N/A</v>
      </c>
      <c r="FY59" t="e">
        <f t="shared" ca="1" si="168"/>
        <v>#N/A</v>
      </c>
      <c r="FZ59" t="e">
        <f t="shared" ca="1" si="168"/>
        <v>#N/A</v>
      </c>
      <c r="GA59" t="str">
        <f t="shared" ca="1" si="168"/>
        <v/>
      </c>
      <c r="GB59" t="e">
        <f t="shared" ca="1" si="168"/>
        <v>#N/A</v>
      </c>
      <c r="GC59" t="str">
        <f t="shared" ca="1" si="168"/>
        <v/>
      </c>
      <c r="GD59" t="str">
        <f t="shared" ca="1" si="168"/>
        <v/>
      </c>
      <c r="GE59">
        <f t="shared" ca="1" si="126"/>
        <v>0</v>
      </c>
      <c r="GF59" s="112">
        <f t="shared" ca="1" si="70"/>
        <v>100000</v>
      </c>
      <c r="GG59" s="112" t="e">
        <f t="shared" ca="1" si="71"/>
        <v>#N/A</v>
      </c>
      <c r="GH59" s="262" t="e">
        <f t="shared" ca="1" si="169"/>
        <v>#N/A</v>
      </c>
      <c r="GI59" s="262" t="e">
        <f t="shared" ca="1" si="169"/>
        <v>#N/A</v>
      </c>
      <c r="GJ59" s="262" t="e">
        <f t="shared" ca="1" si="169"/>
        <v>#N/A</v>
      </c>
      <c r="GK59" s="262" t="e">
        <f t="shared" ca="1" si="169"/>
        <v>#N/A</v>
      </c>
      <c r="GL59" s="262" t="e">
        <f t="shared" ca="1" si="169"/>
        <v>#N/A</v>
      </c>
      <c r="GM59" s="262">
        <f t="shared" ca="1" si="169"/>
        <v>0</v>
      </c>
      <c r="GN59" s="262" t="e">
        <f t="shared" ca="1" si="169"/>
        <v>#N/A</v>
      </c>
      <c r="GO59" s="262">
        <f t="shared" ca="1" si="72"/>
        <v>0</v>
      </c>
      <c r="GP59" s="262">
        <f t="shared" ca="1" si="73"/>
        <v>0</v>
      </c>
      <c r="GR59" s="262" t="e">
        <f t="shared" ca="1" si="75"/>
        <v>#N/A</v>
      </c>
      <c r="GS59" s="262" t="e">
        <f t="shared" ca="1" si="18"/>
        <v>#N/A</v>
      </c>
      <c r="GT59" s="253" t="str">
        <f t="shared" ca="1" si="76"/>
        <v/>
      </c>
      <c r="GU59" t="str">
        <f t="shared" ca="1" si="77"/>
        <v/>
      </c>
      <c r="GV59" t="str">
        <f t="shared" ca="1" si="78"/>
        <v/>
      </c>
      <c r="GW59" t="e">
        <f t="shared" ca="1" si="139"/>
        <v>#N/A</v>
      </c>
      <c r="GX59" t="e">
        <f t="shared" ca="1" si="170"/>
        <v>#N/A</v>
      </c>
      <c r="GY59" t="e">
        <f t="shared" ca="1" si="170"/>
        <v>#N/A</v>
      </c>
      <c r="GZ59" t="e">
        <f t="shared" ca="1" si="20"/>
        <v>#N/A</v>
      </c>
      <c r="HA59" t="e">
        <f t="shared" ca="1" si="170"/>
        <v>#N/A</v>
      </c>
      <c r="HB59" t="str">
        <f t="shared" ca="1" si="170"/>
        <v/>
      </c>
      <c r="HC59" t="e">
        <f t="shared" ca="1" si="170"/>
        <v>#N/A</v>
      </c>
      <c r="HD59" t="str">
        <f t="shared" ca="1" si="79"/>
        <v/>
      </c>
      <c r="HE59" s="254" t="str">
        <f t="shared" ca="1" si="170"/>
        <v/>
      </c>
      <c r="HF59" s="254" t="e">
        <f t="shared" ca="1" si="80"/>
        <v>#N/A</v>
      </c>
      <c r="HM59" s="263" t="e">
        <f t="shared" ca="1" si="81"/>
        <v>#N/A</v>
      </c>
      <c r="HN59" s="263"/>
      <c r="HO59" s="272" t="str">
        <f t="shared" ca="1" si="21"/>
        <v/>
      </c>
      <c r="HP59">
        <f t="shared" ca="1" si="82"/>
        <v>0</v>
      </c>
      <c r="HQ59" t="str">
        <f t="shared" ca="1" si="83"/>
        <v/>
      </c>
      <c r="HR59" t="str">
        <f t="shared" ref="HR59:HR96" ca="1" si="173">IF(AND(HP59=0,HP58=0,HP57&gt;0),$JR$39,"")</f>
        <v/>
      </c>
      <c r="HS59" t="str">
        <f t="shared" ref="HS59:HS96" ca="1" si="174">IF(AND(HP59=0,HP58=0,HP57=0,HP56&gt;0),$JR$40,"")</f>
        <v/>
      </c>
      <c r="HX59" s="253" t="s">
        <v>187</v>
      </c>
      <c r="HY59" s="112" t="str">
        <f t="shared" si="86"/>
        <v>1/9/2003</v>
      </c>
      <c r="HZ59" t="s">
        <v>188</v>
      </c>
      <c r="IA59" s="112" t="str">
        <f t="shared" si="87"/>
        <v>30/6/2004</v>
      </c>
      <c r="IB59" t="s">
        <v>189</v>
      </c>
      <c r="IC59">
        <f t="shared" si="88"/>
        <v>0</v>
      </c>
      <c r="ID59" t="s">
        <v>192</v>
      </c>
      <c r="IE59">
        <f t="shared" si="89"/>
        <v>10</v>
      </c>
      <c r="IF59" t="s">
        <v>191</v>
      </c>
      <c r="IG59" s="254">
        <f t="shared" si="90"/>
        <v>4</v>
      </c>
      <c r="IL59" t="str">
        <f t="shared" si="91"/>
        <v xml:space="preserve">DAL: 1/9/2003 - AL:30/6/2004 - ANNI:0 - MESI:10 -GIORNI:4
</v>
      </c>
      <c r="KD59">
        <v>0</v>
      </c>
      <c r="KE59" s="260">
        <f t="shared" ca="1" si="92"/>
        <v>100000</v>
      </c>
      <c r="KF59" t="str">
        <f t="shared" si="93"/>
        <v>0-2 anni</v>
      </c>
      <c r="KG59">
        <f t="shared" si="22"/>
        <v>6</v>
      </c>
      <c r="KH59" s="238">
        <f t="shared" ca="1" si="23"/>
        <v>255</v>
      </c>
      <c r="KK59">
        <f t="shared" ca="1" si="94"/>
        <v>16218.89</v>
      </c>
      <c r="KL59" t="e">
        <f t="shared" ca="1" si="171"/>
        <v>#N/A</v>
      </c>
      <c r="KM59" t="e">
        <f t="shared" ca="1" si="171"/>
        <v>#N/A</v>
      </c>
      <c r="KN59" t="e">
        <f t="shared" ca="1" si="171"/>
        <v>#N/A</v>
      </c>
      <c r="KO59" t="e">
        <f t="shared" ca="1" si="171"/>
        <v>#N/A</v>
      </c>
      <c r="KV59" t="e">
        <f t="shared" ca="1" si="25"/>
        <v>#N/A</v>
      </c>
      <c r="LA59" s="254" t="str">
        <f t="shared" si="95"/>
        <v>0-2 anni</v>
      </c>
      <c r="LB59" s="112">
        <f t="shared" si="26"/>
        <v>37865</v>
      </c>
      <c r="LC59" s="112">
        <f t="shared" si="26"/>
        <v>38168</v>
      </c>
      <c r="LD59" t="e">
        <f t="shared" ca="1" si="96"/>
        <v>#N/A</v>
      </c>
      <c r="LE59" s="262" t="e">
        <f t="shared" ca="1" si="97"/>
        <v>#N/A</v>
      </c>
      <c r="LF59">
        <f t="shared" si="98"/>
        <v>304</v>
      </c>
      <c r="LG59" t="e">
        <f t="shared" ca="1" si="99"/>
        <v>#N/A</v>
      </c>
      <c r="LK59" s="320"/>
      <c r="LL59" s="335">
        <f ca="1">Foglio7ti!GF60</f>
        <v>100000</v>
      </c>
      <c r="LM59" s="336">
        <f t="shared" ca="1" si="27"/>
        <v>100000</v>
      </c>
      <c r="LN59" s="335"/>
      <c r="LO59" s="320">
        <f t="shared" si="100"/>
        <v>21</v>
      </c>
      <c r="LP59" s="336">
        <f t="shared" ca="1" si="28"/>
        <v>100000</v>
      </c>
      <c r="LQ59" s="335"/>
      <c r="LR59" s="320"/>
      <c r="LS59" s="319">
        <f t="shared" si="29"/>
        <v>21</v>
      </c>
      <c r="LT59" s="336">
        <f t="shared" ca="1" si="30"/>
        <v>100000</v>
      </c>
      <c r="LU59" s="320"/>
      <c r="LV59" s="320"/>
      <c r="LW59" s="336">
        <f t="shared" ca="1" si="31"/>
        <v>100000</v>
      </c>
      <c r="LX59" s="320"/>
      <c r="LY59" s="320"/>
      <c r="LZ59" s="336">
        <f t="shared" ca="1" si="32"/>
        <v>100000</v>
      </c>
      <c r="MA59" s="320"/>
      <c r="MB59" s="320"/>
      <c r="MC59" s="308">
        <f t="shared" ca="1" si="4"/>
        <v>100000</v>
      </c>
      <c r="MD59" t="str">
        <f t="shared" ca="1" si="101"/>
        <v/>
      </c>
      <c r="ME59" s="338" t="str">
        <f t="shared" ca="1" si="33"/>
        <v/>
      </c>
      <c r="MF59" s="338" t="str">
        <f t="shared" ca="1" si="102"/>
        <v/>
      </c>
      <c r="MG59" s="337" t="str">
        <f t="shared" ca="1" si="5"/>
        <v/>
      </c>
      <c r="MH59" s="338" t="str">
        <f t="shared" ca="1" si="35"/>
        <v/>
      </c>
      <c r="MI59" s="337" t="str">
        <f t="shared" ca="1" si="36"/>
        <v/>
      </c>
      <c r="MJ59" s="337" t="str">
        <f t="shared" ca="1" si="6"/>
        <v/>
      </c>
      <c r="MK59" s="337" t="str">
        <f t="shared" ca="1" si="166"/>
        <v/>
      </c>
      <c r="ML59" s="337" t="str">
        <f ca="1">IF(ME59&lt;&gt;"",VLOOKUP(ME59,Foglio7ti!$GF$40:$GG$92,2),"")</f>
        <v/>
      </c>
      <c r="MM59" s="282" t="str">
        <f t="shared" ca="1" si="38"/>
        <v/>
      </c>
      <c r="MN59" s="282"/>
      <c r="MO59" s="320">
        <f t="shared" si="128"/>
        <v>1</v>
      </c>
      <c r="MP59" s="253" t="str">
        <f t="shared" ca="1" si="39"/>
        <v/>
      </c>
      <c r="MQ59" t="e">
        <f t="shared" ca="1" si="160"/>
        <v>#N/A</v>
      </c>
      <c r="MR59" s="238" t="e">
        <f ca="1">VLOOKUP(ME59,Foglio1ti!AB51:AZ351,13)-MQ59</f>
        <v>#N/A</v>
      </c>
      <c r="MS59" t="e">
        <f t="shared" ca="1" si="40"/>
        <v>#N/A</v>
      </c>
      <c r="MT59" t="e">
        <f t="shared" ca="1" si="41"/>
        <v>#N/A</v>
      </c>
      <c r="MU59" s="238" t="e">
        <f ca="1">VLOOKUP(ME59,Foglio1ti!AB51:AZ351,13)-MT59</f>
        <v>#N/A</v>
      </c>
      <c r="MV59" t="e">
        <f t="shared" ca="1" si="42"/>
        <v>#N/A</v>
      </c>
      <c r="MW59">
        <f t="shared" ca="1" si="140"/>
        <v>0</v>
      </c>
      <c r="MX59">
        <f ca="1">IF(AND(frontti!$H$25="SI",ML59="3-8 anni"),INDIRECT(CONCATENATE($MR$37,"BI",MU59)),0)</f>
        <v>0</v>
      </c>
      <c r="MY59" s="254"/>
    </row>
    <row r="60" spans="1:363" ht="409.5" x14ac:dyDescent="0.25">
      <c r="A60" s="112">
        <f t="shared" si="141"/>
        <v>37987</v>
      </c>
      <c r="B60" s="112">
        <f t="shared" si="44"/>
        <v>38384</v>
      </c>
      <c r="E60" s="240">
        <f>Foglio3!F40</f>
        <v>38231</v>
      </c>
      <c r="F60" s="240">
        <f>Foglio3!G40</f>
        <v>38551</v>
      </c>
      <c r="G60" s="244"/>
      <c r="H60" s="245">
        <f t="shared" si="45"/>
        <v>38231</v>
      </c>
      <c r="I60" s="245">
        <f t="shared" si="8"/>
        <v>38551</v>
      </c>
      <c r="J60" s="244"/>
      <c r="K60" s="244"/>
      <c r="Q60">
        <f t="shared" si="9"/>
        <v>321</v>
      </c>
      <c r="R60">
        <f t="shared" si="142"/>
        <v>321</v>
      </c>
      <c r="S60">
        <f t="shared" si="46"/>
        <v>0</v>
      </c>
      <c r="T60">
        <f t="shared" si="129"/>
        <v>10</v>
      </c>
      <c r="U60">
        <f t="shared" si="130"/>
        <v>21</v>
      </c>
      <c r="W60">
        <f t="shared" si="172"/>
        <v>0</v>
      </c>
      <c r="X60">
        <f t="shared" si="172"/>
        <v>59</v>
      </c>
      <c r="Y60">
        <f t="shared" si="172"/>
        <v>172</v>
      </c>
      <c r="AA60" s="112">
        <f t="shared" si="103"/>
        <v>38231</v>
      </c>
      <c r="AB60" s="112">
        <f t="shared" si="104"/>
        <v>38551</v>
      </c>
      <c r="AG60">
        <f t="shared" si="47"/>
        <v>1</v>
      </c>
      <c r="AH60" s="112">
        <f t="shared" si="48"/>
        <v>38231</v>
      </c>
      <c r="AI60" s="112">
        <f t="shared" si="48"/>
        <v>38551</v>
      </c>
      <c r="AJ60">
        <f t="shared" si="49"/>
        <v>1</v>
      </c>
      <c r="AK60">
        <f t="shared" si="105"/>
        <v>0</v>
      </c>
      <c r="AL60">
        <f t="shared" si="132"/>
        <v>0</v>
      </c>
      <c r="AN60">
        <f t="shared" si="133"/>
        <v>0</v>
      </c>
      <c r="AO60">
        <f t="shared" si="134"/>
        <v>0</v>
      </c>
      <c r="AP60">
        <f t="shared" si="106"/>
        <v>0</v>
      </c>
      <c r="AS60">
        <f t="shared" si="143"/>
        <v>0</v>
      </c>
      <c r="AT60">
        <f t="shared" si="144"/>
        <v>0</v>
      </c>
      <c r="AV60">
        <f t="shared" si="145"/>
        <v>0</v>
      </c>
      <c r="AW60">
        <f t="shared" si="146"/>
        <v>0</v>
      </c>
      <c r="AX60">
        <f t="shared" si="107"/>
        <v>0</v>
      </c>
      <c r="BA60">
        <f t="shared" si="163"/>
        <v>0</v>
      </c>
      <c r="BB60">
        <f t="shared" si="164"/>
        <v>0</v>
      </c>
      <c r="BD60">
        <f t="shared" si="148"/>
        <v>0</v>
      </c>
      <c r="BE60">
        <f t="shared" si="149"/>
        <v>0</v>
      </c>
      <c r="BF60">
        <f t="shared" si="137"/>
        <v>0</v>
      </c>
      <c r="BI60">
        <f t="shared" si="150"/>
        <v>0</v>
      </c>
      <c r="BJ60">
        <f t="shared" si="153"/>
        <v>0</v>
      </c>
      <c r="BK60">
        <f t="shared" si="154"/>
        <v>0</v>
      </c>
      <c r="BL60">
        <f t="shared" si="155"/>
        <v>0</v>
      </c>
      <c r="BM60">
        <f t="shared" si="147"/>
        <v>0</v>
      </c>
      <c r="BO60">
        <f t="shared" si="156"/>
        <v>0</v>
      </c>
      <c r="BP60">
        <f t="shared" si="157"/>
        <v>0</v>
      </c>
      <c r="BR60">
        <f t="shared" si="158"/>
        <v>0</v>
      </c>
      <c r="BS60">
        <f t="shared" si="159"/>
        <v>0</v>
      </c>
      <c r="BT60">
        <f t="shared" si="151"/>
        <v>0</v>
      </c>
      <c r="BV60">
        <f t="shared" si="108"/>
        <v>0</v>
      </c>
      <c r="BX60">
        <f t="shared" si="109"/>
        <v>0</v>
      </c>
      <c r="BY60">
        <f t="shared" si="110"/>
        <v>0</v>
      </c>
      <c r="BZ60">
        <f t="shared" si="111"/>
        <v>0</v>
      </c>
      <c r="CA60">
        <f t="shared" si="112"/>
        <v>0</v>
      </c>
      <c r="CB60">
        <f t="shared" si="113"/>
        <v>0</v>
      </c>
      <c r="CG60">
        <f t="shared" si="50"/>
        <v>2004</v>
      </c>
      <c r="CH60">
        <f t="shared" si="50"/>
        <v>2005</v>
      </c>
      <c r="CJ60">
        <f t="shared" si="51"/>
        <v>0</v>
      </c>
      <c r="CK60">
        <f t="shared" si="161"/>
        <v>0</v>
      </c>
      <c r="CL60">
        <f t="shared" si="52"/>
        <v>0</v>
      </c>
      <c r="CN60">
        <f t="shared" si="53"/>
        <v>0</v>
      </c>
      <c r="CS60">
        <f t="shared" si="54"/>
        <v>321</v>
      </c>
      <c r="CT60">
        <f t="shared" si="114"/>
        <v>1942</v>
      </c>
      <c r="CV60" s="112">
        <f t="shared" si="55"/>
        <v>38551</v>
      </c>
      <c r="CX60" s="112">
        <f t="shared" si="56"/>
        <v>100000</v>
      </c>
      <c r="CY60" s="112">
        <f t="shared" si="115"/>
        <v>100000</v>
      </c>
      <c r="CZ60" s="112">
        <f t="shared" si="116"/>
        <v>100000</v>
      </c>
      <c r="DA60" s="112">
        <f t="shared" si="117"/>
        <v>100000</v>
      </c>
      <c r="DB60" s="112">
        <f t="shared" si="118"/>
        <v>100000</v>
      </c>
      <c r="DC60" s="112">
        <f t="shared" si="119"/>
        <v>100000</v>
      </c>
      <c r="DU60" s="112"/>
      <c r="DV60" s="112"/>
      <c r="DW60" s="277">
        <v>40360</v>
      </c>
      <c r="DX60" s="276"/>
      <c r="DY60" s="276"/>
      <c r="DZ60" s="276"/>
      <c r="EF60" s="260" t="str">
        <f t="shared" si="162"/>
        <v/>
      </c>
      <c r="EK60" s="254"/>
      <c r="EL60">
        <f t="shared" si="165"/>
        <v>21</v>
      </c>
      <c r="EM60" s="260" t="e">
        <f t="shared" ca="1" si="122"/>
        <v>#NUM!</v>
      </c>
      <c r="EN60" s="112" t="e">
        <f t="shared" ca="1" si="63"/>
        <v>#NUM!</v>
      </c>
      <c r="EO60" s="112">
        <f t="shared" ca="1" si="64"/>
        <v>100000</v>
      </c>
      <c r="EP60" s="112">
        <f t="shared" ca="1" si="123"/>
        <v>100000</v>
      </c>
      <c r="EQ60" s="273">
        <f t="shared" ca="1" si="138"/>
        <v>100000</v>
      </c>
      <c r="ER60" s="302">
        <f t="shared" ca="1" si="65"/>
        <v>100000</v>
      </c>
      <c r="EU60" t="e">
        <f t="shared" ca="1" si="66"/>
        <v>#N/A</v>
      </c>
      <c r="EV60" s="260">
        <f t="shared" ca="1" si="124"/>
        <v>100000</v>
      </c>
      <c r="EW60" t="e">
        <f t="shared" ca="1" si="67"/>
        <v>#N/A</v>
      </c>
      <c r="EX60" t="e">
        <f t="shared" ca="1" si="12"/>
        <v>#N/A</v>
      </c>
      <c r="EY60" s="238" t="e">
        <f t="shared" ca="1" si="13"/>
        <v>#N/A</v>
      </c>
      <c r="FB60" t="e">
        <f t="shared" ca="1" si="68"/>
        <v>#N/A</v>
      </c>
      <c r="FC60" t="e">
        <f t="shared" ca="1" si="167"/>
        <v>#N/A</v>
      </c>
      <c r="FD60" t="e">
        <f t="shared" ca="1" si="167"/>
        <v>#N/A</v>
      </c>
      <c r="FE60" t="e">
        <f t="shared" ca="1" si="167"/>
        <v>#N/A</v>
      </c>
      <c r="FF60" t="e">
        <f t="shared" ca="1" si="167"/>
        <v>#N/A</v>
      </c>
      <c r="FM60" t="e">
        <f t="shared" ca="1" si="15"/>
        <v>#N/A</v>
      </c>
      <c r="FR60" s="254" t="e">
        <f t="shared" ca="1" si="69"/>
        <v>#N/A</v>
      </c>
      <c r="FS60">
        <f t="shared" si="125"/>
        <v>60</v>
      </c>
      <c r="FT60" t="e">
        <f t="shared" ca="1" si="168"/>
        <v>#N/A</v>
      </c>
      <c r="FU60" t="str">
        <f t="shared" ca="1" si="168"/>
        <v>EV60</v>
      </c>
      <c r="FV60" t="e">
        <f t="shared" ca="1" si="168"/>
        <v>#N/A</v>
      </c>
      <c r="FW60" t="e">
        <f t="shared" ca="1" si="168"/>
        <v>#N/A</v>
      </c>
      <c r="FX60" t="e">
        <f t="shared" ca="1" si="168"/>
        <v>#N/A</v>
      </c>
      <c r="FY60" t="e">
        <f t="shared" ca="1" si="168"/>
        <v>#N/A</v>
      </c>
      <c r="FZ60" t="e">
        <f t="shared" ca="1" si="168"/>
        <v>#N/A</v>
      </c>
      <c r="GA60" t="str">
        <f t="shared" ca="1" si="168"/>
        <v/>
      </c>
      <c r="GB60" t="e">
        <f t="shared" ca="1" si="168"/>
        <v>#N/A</v>
      </c>
      <c r="GC60" t="str">
        <f t="shared" ca="1" si="168"/>
        <v/>
      </c>
      <c r="GD60" t="str">
        <f t="shared" ca="1" si="168"/>
        <v/>
      </c>
      <c r="GE60">
        <f t="shared" ca="1" si="126"/>
        <v>0</v>
      </c>
      <c r="GF60" s="112">
        <f t="shared" ca="1" si="70"/>
        <v>100000</v>
      </c>
      <c r="GG60" s="112" t="e">
        <f t="shared" ca="1" si="71"/>
        <v>#N/A</v>
      </c>
      <c r="GH60" s="262" t="e">
        <f t="shared" ca="1" si="169"/>
        <v>#N/A</v>
      </c>
      <c r="GI60" s="262" t="e">
        <f t="shared" ca="1" si="169"/>
        <v>#N/A</v>
      </c>
      <c r="GJ60" s="262" t="e">
        <f t="shared" ca="1" si="169"/>
        <v>#N/A</v>
      </c>
      <c r="GK60" s="262" t="e">
        <f t="shared" ca="1" si="169"/>
        <v>#N/A</v>
      </c>
      <c r="GL60" s="262" t="e">
        <f t="shared" ca="1" si="169"/>
        <v>#N/A</v>
      </c>
      <c r="GM60" s="262">
        <f t="shared" ca="1" si="169"/>
        <v>0</v>
      </c>
      <c r="GN60" s="262" t="e">
        <f t="shared" ca="1" si="169"/>
        <v>#N/A</v>
      </c>
      <c r="GO60" s="262">
        <f t="shared" ca="1" si="72"/>
        <v>0</v>
      </c>
      <c r="GP60" s="262">
        <f t="shared" ca="1" si="73"/>
        <v>0</v>
      </c>
      <c r="GR60" s="262" t="e">
        <f t="shared" ca="1" si="75"/>
        <v>#N/A</v>
      </c>
      <c r="GS60" s="262" t="e">
        <f t="shared" ca="1" si="18"/>
        <v>#N/A</v>
      </c>
      <c r="GT60" s="253" t="str">
        <f t="shared" ca="1" si="76"/>
        <v/>
      </c>
      <c r="GU60" t="str">
        <f t="shared" ca="1" si="77"/>
        <v/>
      </c>
      <c r="GV60" t="str">
        <f t="shared" ca="1" si="78"/>
        <v/>
      </c>
      <c r="GW60" t="e">
        <f t="shared" ca="1" si="139"/>
        <v>#N/A</v>
      </c>
      <c r="GX60" t="e">
        <f t="shared" ca="1" si="170"/>
        <v>#N/A</v>
      </c>
      <c r="GY60" t="e">
        <f t="shared" ca="1" si="170"/>
        <v>#N/A</v>
      </c>
      <c r="GZ60" t="e">
        <f t="shared" ca="1" si="20"/>
        <v>#N/A</v>
      </c>
      <c r="HA60" t="e">
        <f t="shared" ca="1" si="170"/>
        <v>#N/A</v>
      </c>
      <c r="HB60" t="str">
        <f t="shared" ca="1" si="170"/>
        <v/>
      </c>
      <c r="HC60" t="e">
        <f t="shared" ca="1" si="170"/>
        <v>#N/A</v>
      </c>
      <c r="HD60" t="str">
        <f t="shared" ca="1" si="79"/>
        <v/>
      </c>
      <c r="HE60" s="254" t="str">
        <f t="shared" ca="1" si="170"/>
        <v/>
      </c>
      <c r="HF60" s="254" t="e">
        <f t="shared" ca="1" si="80"/>
        <v>#N/A</v>
      </c>
      <c r="HM60" s="263" t="e">
        <f t="shared" ca="1" si="81"/>
        <v>#N/A</v>
      </c>
      <c r="HN60" s="263"/>
      <c r="HO60" s="272" t="str">
        <f t="shared" ca="1" si="21"/>
        <v/>
      </c>
      <c r="HP60">
        <f t="shared" ca="1" si="82"/>
        <v>0</v>
      </c>
      <c r="HQ60" t="str">
        <f t="shared" ca="1" si="83"/>
        <v/>
      </c>
      <c r="HR60" t="str">
        <f t="shared" ca="1" si="173"/>
        <v/>
      </c>
      <c r="HS60" t="str">
        <f t="shared" ca="1" si="174"/>
        <v/>
      </c>
      <c r="HX60" s="253" t="s">
        <v>187</v>
      </c>
      <c r="HY60" s="112" t="str">
        <f t="shared" si="86"/>
        <v>1/9/2004</v>
      </c>
      <c r="HZ60" t="s">
        <v>188</v>
      </c>
      <c r="IA60" s="112" t="str">
        <f t="shared" si="87"/>
        <v>18/7/2005</v>
      </c>
      <c r="IB60" t="s">
        <v>189</v>
      </c>
      <c r="IC60">
        <f t="shared" si="88"/>
        <v>0</v>
      </c>
      <c r="ID60" t="s">
        <v>192</v>
      </c>
      <c r="IE60">
        <f t="shared" si="89"/>
        <v>10</v>
      </c>
      <c r="IF60" t="s">
        <v>191</v>
      </c>
      <c r="IG60" s="254">
        <f t="shared" si="90"/>
        <v>21</v>
      </c>
      <c r="IL60" t="str">
        <f t="shared" si="91"/>
        <v xml:space="preserve">DAL: 1/9/2004 - AL:18/7/2005 - ANNI:0 - MESI:10 -GIORNI:21
</v>
      </c>
      <c r="IW60" s="263" t="str">
        <f>CONCATENATE(IL60,IL61,IL62,IL63,IL64,IL65,IL66,IL67,IL68,IL69,IL70,IL71,IL72,IL73,IL74,I565,IL76,IL77,IL78,IL79,)</f>
        <v xml:space="preserve">DAL: 1/9/2004 - AL:18/7/2005 - ANNI:0 - MESI:10 -GIORNI:21
DAL: 1/9/2005 - AL:21/7/2006 - ANNI:0 - MESI:10 -GIORNI:24
DAL: 1/9/2006 - AL:14/7/2007 - ANNI:0 - MESI:10 -GIORNI:17
DAL: 13/9/2007 - AL:30/6/2008 - ANNI:0 - MESI:9 -GIORNI:22
DAL: 1/9/2008 - AL:30/6/2009 - ANNI:0 - MESI:10 -GIORNI:3
DAL: 7/9/2009 - AL:7/9/2009 - ANNI:0 - MESI:0 -GIORNI:1
DAL: 10/9/2009 - AL:31/8/2010 - ANNI:0 - MESI:11 -GIORNI:26
DAL: 9/9/2010 - AL:15/7/2011 - ANNI:0 - MESI:10 -GIORNI:10
DAL: 10/9/2010 - AL:15/7/2011 - ANNI:0 - MESI:0 -GIORNI:0
DAL: 16/9/2011 - AL:30/6/2012 - ANNI:0 - MESI:9 -GIORNI:19
DAL: 19/9/2012 - AL:16/7/2013 - ANNI:0 - MESI:3 -GIORNI:14
DAL: 26/9/2012 - AL:16/7/2013 - ANNI:0 - MESI:3 -GIORNI:7
DAL: 2/10/2012 - AL:14/10/2012 - ANNI:0 - MESI:0 -GIORNI:13
DAL: 15/10/2012 - AL:26/11/2012 - ANNI:0 - MESI:1 -GIORNI:13
DAL: 27/11/2012 - AL:16/7/2013 - ANNI:0 - MESI:1 -GIORNI:5
DAL: 3/10/2014 - AL:30/6/2015 - ANNI:0 - MESI:9 -GIORNI:1
DAL: 1/9/2015 - AL:31/8/2016 - ANNI:1 - MESI:0 -GIORNI:1
DAL: 1/9/2016 - AL:31/8/2017 - ANNI:1 - MESI:0 -GIORNI:0
DAL: 1/9/2017 - AL:31/8/2018 - ANNI:1 - MESI:0 -GIORNI:0
</v>
      </c>
      <c r="KD60">
        <v>0</v>
      </c>
      <c r="KE60" s="260">
        <f t="shared" ca="1" si="92"/>
        <v>100000</v>
      </c>
      <c r="KF60" t="str">
        <f t="shared" si="93"/>
        <v>0-2 anni</v>
      </c>
      <c r="KG60">
        <f t="shared" si="22"/>
        <v>6</v>
      </c>
      <c r="KH60" s="238">
        <f t="shared" ca="1" si="23"/>
        <v>255</v>
      </c>
      <c r="KK60">
        <f t="shared" ca="1" si="94"/>
        <v>16218.89</v>
      </c>
      <c r="KL60" t="e">
        <f t="shared" ca="1" si="171"/>
        <v>#N/A</v>
      </c>
      <c r="KM60" t="e">
        <f t="shared" ca="1" si="171"/>
        <v>#N/A</v>
      </c>
      <c r="KN60" t="e">
        <f t="shared" ca="1" si="171"/>
        <v>#N/A</v>
      </c>
      <c r="KO60" t="e">
        <f t="shared" ca="1" si="171"/>
        <v>#N/A</v>
      </c>
      <c r="KV60" t="e">
        <f t="shared" ca="1" si="25"/>
        <v>#N/A</v>
      </c>
      <c r="LA60" s="254" t="str">
        <f t="shared" si="95"/>
        <v>0-2 anni</v>
      </c>
      <c r="LB60" s="112">
        <f t="shared" si="26"/>
        <v>38231</v>
      </c>
      <c r="LC60" s="112">
        <f t="shared" si="26"/>
        <v>38551</v>
      </c>
      <c r="LD60" t="e">
        <f t="shared" ca="1" si="96"/>
        <v>#N/A</v>
      </c>
      <c r="LE60" s="262" t="e">
        <f t="shared" ca="1" si="97"/>
        <v>#N/A</v>
      </c>
      <c r="LF60">
        <f t="shared" si="98"/>
        <v>321</v>
      </c>
      <c r="LG60" t="e">
        <f t="shared" ca="1" si="99"/>
        <v>#N/A</v>
      </c>
      <c r="LK60" s="320"/>
      <c r="LL60" s="335">
        <f ca="1">Foglio7ti!GF61</f>
        <v>100000</v>
      </c>
      <c r="LM60" s="336">
        <f t="shared" ca="1" si="27"/>
        <v>100000</v>
      </c>
      <c r="LN60" s="335"/>
      <c r="LO60" s="320">
        <f t="shared" si="100"/>
        <v>22</v>
      </c>
      <c r="LP60" s="336">
        <f t="shared" ca="1" si="28"/>
        <v>100000</v>
      </c>
      <c r="LQ60" s="335"/>
      <c r="LR60" s="320"/>
      <c r="LS60" s="319">
        <f t="shared" si="29"/>
        <v>22</v>
      </c>
      <c r="LT60" s="336">
        <f t="shared" ca="1" si="30"/>
        <v>100000</v>
      </c>
      <c r="LU60" s="320"/>
      <c r="LV60" s="320"/>
      <c r="LW60" s="336">
        <f t="shared" ca="1" si="31"/>
        <v>100000</v>
      </c>
      <c r="LX60" s="320"/>
      <c r="LY60" s="320"/>
      <c r="LZ60" s="336">
        <f t="shared" ca="1" si="32"/>
        <v>100000</v>
      </c>
      <c r="MA60" s="320"/>
      <c r="MB60" s="320"/>
      <c r="MC60" s="308">
        <f t="shared" ca="1" si="4"/>
        <v>100000</v>
      </c>
      <c r="MD60" t="str">
        <f t="shared" ca="1" si="101"/>
        <v/>
      </c>
      <c r="ME60" s="338" t="str">
        <f t="shared" ca="1" si="33"/>
        <v/>
      </c>
      <c r="MF60" s="338" t="str">
        <f t="shared" ca="1" si="102"/>
        <v/>
      </c>
      <c r="MG60" s="337" t="str">
        <f t="shared" ca="1" si="5"/>
        <v/>
      </c>
      <c r="MH60" s="338" t="str">
        <f t="shared" ca="1" si="35"/>
        <v/>
      </c>
      <c r="MI60" s="337" t="str">
        <f t="shared" ca="1" si="36"/>
        <v/>
      </c>
      <c r="MJ60" s="337" t="str">
        <f t="shared" ca="1" si="6"/>
        <v/>
      </c>
      <c r="MK60" s="337" t="str">
        <f t="shared" ca="1" si="166"/>
        <v/>
      </c>
      <c r="ML60" s="337" t="str">
        <f ca="1">IF(ME60&lt;&gt;"",VLOOKUP(ME60,Foglio7ti!$GF$40:$GG$92,2),"")</f>
        <v/>
      </c>
      <c r="MM60" s="282" t="str">
        <f t="shared" ca="1" si="38"/>
        <v/>
      </c>
      <c r="MN60" s="282"/>
      <c r="MO60" s="320">
        <f t="shared" si="128"/>
        <v>1</v>
      </c>
      <c r="MP60" s="253" t="str">
        <f t="shared" ca="1" si="39"/>
        <v/>
      </c>
      <c r="MQ60" t="e">
        <f t="shared" ca="1" si="160"/>
        <v>#N/A</v>
      </c>
      <c r="MR60" s="238" t="e">
        <f ca="1">VLOOKUP(ME60,Foglio1ti!AB52:AZ352,13)-MQ60</f>
        <v>#N/A</v>
      </c>
      <c r="MS60" t="e">
        <f t="shared" ca="1" si="40"/>
        <v>#N/A</v>
      </c>
      <c r="MT60" t="e">
        <f t="shared" ca="1" si="41"/>
        <v>#N/A</v>
      </c>
      <c r="MU60" s="238" t="e">
        <f ca="1">VLOOKUP(ME60,Foglio1ti!AB52:AZ352,13)-MT60</f>
        <v>#N/A</v>
      </c>
      <c r="MV60" t="e">
        <f t="shared" ca="1" si="42"/>
        <v>#N/A</v>
      </c>
      <c r="MW60">
        <f t="shared" ca="1" si="140"/>
        <v>0</v>
      </c>
      <c r="MX60">
        <f ca="1">IF(AND(frontti!$H$25="SI",ML60="3-8 anni"),INDIRECT(CONCATENATE($MR$37,"BI",MU60)),0)</f>
        <v>0</v>
      </c>
      <c r="MY60" s="254"/>
    </row>
    <row r="61" spans="1:363" x14ac:dyDescent="0.25">
      <c r="A61" s="112">
        <f t="shared" si="141"/>
        <v>38384</v>
      </c>
      <c r="B61" s="112">
        <f t="shared" si="44"/>
        <v>38718</v>
      </c>
      <c r="E61" s="240">
        <f>Foglio3!F41</f>
        <v>38596</v>
      </c>
      <c r="F61" s="240">
        <f>Foglio3!G41</f>
        <v>38919</v>
      </c>
      <c r="G61" s="244"/>
      <c r="H61" s="245">
        <f t="shared" si="45"/>
        <v>38596</v>
      </c>
      <c r="I61" s="245">
        <f t="shared" si="8"/>
        <v>38919</v>
      </c>
      <c r="J61" s="244"/>
      <c r="K61" s="244"/>
      <c r="Q61">
        <f t="shared" si="9"/>
        <v>324</v>
      </c>
      <c r="R61">
        <f t="shared" si="142"/>
        <v>324</v>
      </c>
      <c r="S61">
        <f t="shared" si="46"/>
        <v>0</v>
      </c>
      <c r="T61">
        <f t="shared" si="129"/>
        <v>10</v>
      </c>
      <c r="U61">
        <f t="shared" si="130"/>
        <v>24</v>
      </c>
      <c r="W61">
        <f t="shared" si="172"/>
        <v>0</v>
      </c>
      <c r="X61">
        <f t="shared" si="172"/>
        <v>69</v>
      </c>
      <c r="Y61">
        <f t="shared" si="172"/>
        <v>196</v>
      </c>
      <c r="AA61" s="112">
        <f t="shared" si="103"/>
        <v>38596</v>
      </c>
      <c r="AB61" s="112">
        <f t="shared" si="104"/>
        <v>38919</v>
      </c>
      <c r="AG61">
        <f t="shared" si="47"/>
        <v>1</v>
      </c>
      <c r="AH61" s="112">
        <f t="shared" si="48"/>
        <v>38596</v>
      </c>
      <c r="AI61" s="112">
        <f t="shared" si="48"/>
        <v>38919</v>
      </c>
      <c r="AJ61">
        <f t="shared" si="49"/>
        <v>1</v>
      </c>
      <c r="AK61">
        <f t="shared" si="105"/>
        <v>0</v>
      </c>
      <c r="AL61">
        <f t="shared" si="132"/>
        <v>0</v>
      </c>
      <c r="AN61">
        <f t="shared" si="133"/>
        <v>0</v>
      </c>
      <c r="AO61">
        <f t="shared" si="134"/>
        <v>0</v>
      </c>
      <c r="AP61">
        <f t="shared" si="106"/>
        <v>0</v>
      </c>
      <c r="AS61">
        <f t="shared" si="143"/>
        <v>0</v>
      </c>
      <c r="AT61">
        <f t="shared" si="144"/>
        <v>0</v>
      </c>
      <c r="AV61">
        <f t="shared" si="145"/>
        <v>0</v>
      </c>
      <c r="AW61">
        <f t="shared" si="146"/>
        <v>0</v>
      </c>
      <c r="AX61">
        <f t="shared" si="107"/>
        <v>0</v>
      </c>
      <c r="BA61">
        <f t="shared" si="163"/>
        <v>0</v>
      </c>
      <c r="BB61">
        <f t="shared" si="164"/>
        <v>0</v>
      </c>
      <c r="BD61">
        <f t="shared" si="148"/>
        <v>0</v>
      </c>
      <c r="BE61">
        <f t="shared" si="149"/>
        <v>0</v>
      </c>
      <c r="BF61">
        <f t="shared" si="137"/>
        <v>0</v>
      </c>
      <c r="BI61">
        <f t="shared" si="150"/>
        <v>0</v>
      </c>
      <c r="BJ61">
        <f t="shared" si="153"/>
        <v>0</v>
      </c>
      <c r="BK61">
        <f t="shared" si="154"/>
        <v>0</v>
      </c>
      <c r="BL61">
        <f t="shared" si="155"/>
        <v>0</v>
      </c>
      <c r="BM61">
        <f t="shared" si="147"/>
        <v>0</v>
      </c>
      <c r="BO61">
        <f t="shared" si="156"/>
        <v>0</v>
      </c>
      <c r="BP61">
        <f t="shared" si="157"/>
        <v>0</v>
      </c>
      <c r="BR61">
        <f t="shared" si="158"/>
        <v>0</v>
      </c>
      <c r="BS61">
        <f t="shared" si="159"/>
        <v>0</v>
      </c>
      <c r="BT61">
        <f t="shared" si="151"/>
        <v>0</v>
      </c>
      <c r="BV61">
        <f t="shared" si="108"/>
        <v>0</v>
      </c>
      <c r="BX61">
        <f t="shared" si="109"/>
        <v>0</v>
      </c>
      <c r="BY61">
        <f t="shared" si="110"/>
        <v>0</v>
      </c>
      <c r="BZ61">
        <f t="shared" si="111"/>
        <v>0</v>
      </c>
      <c r="CA61">
        <f t="shared" si="112"/>
        <v>0</v>
      </c>
      <c r="CB61">
        <f t="shared" si="113"/>
        <v>0</v>
      </c>
      <c r="CG61">
        <f t="shared" si="50"/>
        <v>2005</v>
      </c>
      <c r="CH61">
        <f t="shared" si="50"/>
        <v>2006</v>
      </c>
      <c r="CJ61">
        <f t="shared" si="51"/>
        <v>0</v>
      </c>
      <c r="CK61">
        <f t="shared" si="161"/>
        <v>0</v>
      </c>
      <c r="CL61">
        <f t="shared" si="52"/>
        <v>0</v>
      </c>
      <c r="CN61">
        <f t="shared" si="53"/>
        <v>0</v>
      </c>
      <c r="CS61">
        <f t="shared" si="54"/>
        <v>324</v>
      </c>
      <c r="CT61">
        <f t="shared" si="114"/>
        <v>2266</v>
      </c>
      <c r="CV61" s="112">
        <f t="shared" si="55"/>
        <v>38919</v>
      </c>
      <c r="CX61" s="112">
        <f t="shared" si="56"/>
        <v>100000</v>
      </c>
      <c r="CY61" s="112">
        <f t="shared" si="115"/>
        <v>100000</v>
      </c>
      <c r="CZ61" s="112">
        <f t="shared" si="116"/>
        <v>100000</v>
      </c>
      <c r="DA61" s="112">
        <f t="shared" si="117"/>
        <v>100000</v>
      </c>
      <c r="DB61" s="112">
        <f t="shared" si="118"/>
        <v>100000</v>
      </c>
      <c r="DC61" s="112">
        <f t="shared" si="119"/>
        <v>100000</v>
      </c>
      <c r="DU61" s="112"/>
      <c r="DV61" s="112"/>
      <c r="DW61" s="277">
        <v>40422</v>
      </c>
      <c r="DX61" s="276"/>
      <c r="DY61" s="276"/>
      <c r="DZ61" s="276"/>
      <c r="EF61" s="260" t="str">
        <f t="shared" si="162"/>
        <v/>
      </c>
      <c r="EK61" s="254"/>
      <c r="EL61">
        <f t="shared" si="165"/>
        <v>22</v>
      </c>
      <c r="EM61" s="260" t="e">
        <f t="shared" ca="1" si="122"/>
        <v>#NUM!</v>
      </c>
      <c r="EN61" s="112" t="e">
        <f t="shared" ca="1" si="63"/>
        <v>#NUM!</v>
      </c>
      <c r="EO61" s="112">
        <f t="shared" ca="1" si="64"/>
        <v>100000</v>
      </c>
      <c r="EP61" s="112">
        <f t="shared" ca="1" si="123"/>
        <v>100000</v>
      </c>
      <c r="EQ61" s="273">
        <f t="shared" ca="1" si="138"/>
        <v>100000</v>
      </c>
      <c r="ER61" s="302">
        <f t="shared" ca="1" si="65"/>
        <v>100000</v>
      </c>
      <c r="EU61" t="e">
        <f t="shared" ca="1" si="66"/>
        <v>#N/A</v>
      </c>
      <c r="EV61" s="260">
        <f t="shared" ca="1" si="124"/>
        <v>100000</v>
      </c>
      <c r="EW61" t="e">
        <f t="shared" ca="1" si="67"/>
        <v>#N/A</v>
      </c>
      <c r="EX61" t="e">
        <f t="shared" ca="1" si="12"/>
        <v>#N/A</v>
      </c>
      <c r="EY61" s="238" t="e">
        <f t="shared" ca="1" si="13"/>
        <v>#N/A</v>
      </c>
      <c r="FB61" t="e">
        <f t="shared" ca="1" si="68"/>
        <v>#N/A</v>
      </c>
      <c r="FC61" t="e">
        <f t="shared" ca="1" si="167"/>
        <v>#N/A</v>
      </c>
      <c r="FD61" t="e">
        <f t="shared" ca="1" si="167"/>
        <v>#N/A</v>
      </c>
      <c r="FE61" t="e">
        <f t="shared" ca="1" si="167"/>
        <v>#N/A</v>
      </c>
      <c r="FF61" t="e">
        <f t="shared" ca="1" si="167"/>
        <v>#N/A</v>
      </c>
      <c r="FM61" t="e">
        <f t="shared" ca="1" si="15"/>
        <v>#N/A</v>
      </c>
      <c r="FR61" s="254" t="e">
        <f t="shared" ca="1" si="69"/>
        <v>#N/A</v>
      </c>
      <c r="FS61">
        <f t="shared" si="125"/>
        <v>61</v>
      </c>
      <c r="FT61" t="e">
        <f t="shared" ca="1" si="168"/>
        <v>#N/A</v>
      </c>
      <c r="FU61" t="str">
        <f t="shared" ca="1" si="168"/>
        <v>EV61</v>
      </c>
      <c r="FV61" t="e">
        <f t="shared" ca="1" si="168"/>
        <v>#N/A</v>
      </c>
      <c r="FW61" t="e">
        <f t="shared" ca="1" si="168"/>
        <v>#N/A</v>
      </c>
      <c r="FX61" t="e">
        <f t="shared" ca="1" si="168"/>
        <v>#N/A</v>
      </c>
      <c r="FY61" t="e">
        <f t="shared" ca="1" si="168"/>
        <v>#N/A</v>
      </c>
      <c r="FZ61" t="e">
        <f t="shared" ca="1" si="168"/>
        <v>#N/A</v>
      </c>
      <c r="GA61" t="str">
        <f t="shared" ca="1" si="168"/>
        <v/>
      </c>
      <c r="GB61" t="e">
        <f t="shared" ca="1" si="168"/>
        <v>#N/A</v>
      </c>
      <c r="GC61" t="str">
        <f t="shared" ca="1" si="168"/>
        <v/>
      </c>
      <c r="GD61" t="str">
        <f t="shared" ca="1" si="168"/>
        <v/>
      </c>
      <c r="GE61">
        <f t="shared" ca="1" si="126"/>
        <v>0</v>
      </c>
      <c r="GF61" s="112">
        <f t="shared" ca="1" si="70"/>
        <v>100000</v>
      </c>
      <c r="GG61" s="112" t="e">
        <f t="shared" ca="1" si="71"/>
        <v>#N/A</v>
      </c>
      <c r="GH61" s="262" t="e">
        <f t="shared" ca="1" si="169"/>
        <v>#N/A</v>
      </c>
      <c r="GI61" s="262" t="e">
        <f t="shared" ca="1" si="169"/>
        <v>#N/A</v>
      </c>
      <c r="GJ61" s="262" t="e">
        <f t="shared" ca="1" si="169"/>
        <v>#N/A</v>
      </c>
      <c r="GK61" s="262" t="e">
        <f t="shared" ca="1" si="169"/>
        <v>#N/A</v>
      </c>
      <c r="GL61" s="262" t="e">
        <f t="shared" ca="1" si="169"/>
        <v>#N/A</v>
      </c>
      <c r="GM61" s="262">
        <f t="shared" ca="1" si="169"/>
        <v>0</v>
      </c>
      <c r="GN61" s="262" t="e">
        <f t="shared" ca="1" si="169"/>
        <v>#N/A</v>
      </c>
      <c r="GO61" s="262">
        <f t="shared" ca="1" si="72"/>
        <v>0</v>
      </c>
      <c r="GP61" s="262">
        <f t="shared" ca="1" si="73"/>
        <v>0</v>
      </c>
      <c r="GR61" s="262" t="e">
        <f t="shared" ca="1" si="75"/>
        <v>#N/A</v>
      </c>
      <c r="GS61" s="262" t="e">
        <f t="shared" ca="1" si="18"/>
        <v>#N/A</v>
      </c>
      <c r="GT61" s="253" t="str">
        <f t="shared" ca="1" si="76"/>
        <v/>
      </c>
      <c r="GU61" t="str">
        <f t="shared" ca="1" si="77"/>
        <v/>
      </c>
      <c r="GV61" t="str">
        <f t="shared" ca="1" si="78"/>
        <v/>
      </c>
      <c r="GW61" t="e">
        <f t="shared" ca="1" si="139"/>
        <v>#N/A</v>
      </c>
      <c r="GX61" t="e">
        <f t="shared" ca="1" si="170"/>
        <v>#N/A</v>
      </c>
      <c r="GY61" t="e">
        <f t="shared" ca="1" si="170"/>
        <v>#N/A</v>
      </c>
      <c r="GZ61" t="e">
        <f t="shared" ca="1" si="20"/>
        <v>#N/A</v>
      </c>
      <c r="HA61" t="e">
        <f t="shared" ca="1" si="170"/>
        <v>#N/A</v>
      </c>
      <c r="HB61" t="str">
        <f t="shared" ca="1" si="170"/>
        <v/>
      </c>
      <c r="HC61" t="e">
        <f t="shared" ca="1" si="170"/>
        <v>#N/A</v>
      </c>
      <c r="HD61" t="str">
        <f t="shared" ca="1" si="79"/>
        <v/>
      </c>
      <c r="HE61" s="254" t="str">
        <f t="shared" ca="1" si="170"/>
        <v/>
      </c>
      <c r="HF61" s="254" t="e">
        <f t="shared" ca="1" si="80"/>
        <v>#N/A</v>
      </c>
      <c r="HM61" s="263" t="e">
        <f t="shared" ca="1" si="81"/>
        <v>#N/A</v>
      </c>
      <c r="HO61" s="272" t="str">
        <f t="shared" ca="1" si="21"/>
        <v/>
      </c>
      <c r="HP61">
        <f t="shared" ca="1" si="82"/>
        <v>0</v>
      </c>
      <c r="HQ61" t="str">
        <f t="shared" ca="1" si="83"/>
        <v/>
      </c>
      <c r="HR61" t="str">
        <f t="shared" ca="1" si="173"/>
        <v/>
      </c>
      <c r="HS61" t="str">
        <f t="shared" ca="1" si="174"/>
        <v/>
      </c>
      <c r="HX61" s="253" t="s">
        <v>187</v>
      </c>
      <c r="HY61" s="112" t="str">
        <f t="shared" si="86"/>
        <v>1/9/2005</v>
      </c>
      <c r="HZ61" t="s">
        <v>188</v>
      </c>
      <c r="IA61" s="112" t="str">
        <f t="shared" si="87"/>
        <v>21/7/2006</v>
      </c>
      <c r="IB61" t="s">
        <v>189</v>
      </c>
      <c r="IC61">
        <f t="shared" si="88"/>
        <v>0</v>
      </c>
      <c r="ID61" t="s">
        <v>192</v>
      </c>
      <c r="IE61">
        <f t="shared" si="89"/>
        <v>10</v>
      </c>
      <c r="IF61" t="s">
        <v>191</v>
      </c>
      <c r="IG61" s="254">
        <f t="shared" si="90"/>
        <v>24</v>
      </c>
      <c r="IL61" t="str">
        <f t="shared" si="91"/>
        <v xml:space="preserve">DAL: 1/9/2005 - AL:21/7/2006 - ANNI:0 - MESI:10 -GIORNI:24
</v>
      </c>
      <c r="KD61">
        <v>0</v>
      </c>
      <c r="KE61" s="260">
        <f t="shared" ca="1" si="92"/>
        <v>100000</v>
      </c>
      <c r="KF61" t="str">
        <f t="shared" si="93"/>
        <v>0-2 anni</v>
      </c>
      <c r="KG61">
        <f t="shared" si="22"/>
        <v>6</v>
      </c>
      <c r="KH61" s="238">
        <f t="shared" ca="1" si="23"/>
        <v>255</v>
      </c>
      <c r="KK61">
        <f t="shared" ca="1" si="94"/>
        <v>16218.89</v>
      </c>
      <c r="KL61" t="e">
        <f t="shared" ca="1" si="171"/>
        <v>#N/A</v>
      </c>
      <c r="KM61" t="e">
        <f t="shared" ca="1" si="171"/>
        <v>#N/A</v>
      </c>
      <c r="KN61" t="e">
        <f t="shared" ca="1" si="171"/>
        <v>#N/A</v>
      </c>
      <c r="KO61" t="e">
        <f t="shared" ca="1" si="171"/>
        <v>#N/A</v>
      </c>
      <c r="KV61" t="e">
        <f t="shared" ca="1" si="25"/>
        <v>#N/A</v>
      </c>
      <c r="LA61" s="254" t="str">
        <f t="shared" si="95"/>
        <v>0-2 anni</v>
      </c>
      <c r="LB61" s="112">
        <f t="shared" si="26"/>
        <v>38596</v>
      </c>
      <c r="LC61" s="112">
        <f t="shared" si="26"/>
        <v>38919</v>
      </c>
      <c r="LD61" t="e">
        <f t="shared" ca="1" si="96"/>
        <v>#N/A</v>
      </c>
      <c r="LE61" s="262" t="e">
        <f t="shared" ca="1" si="97"/>
        <v>#N/A</v>
      </c>
      <c r="LF61">
        <f t="shared" si="98"/>
        <v>324</v>
      </c>
      <c r="LG61" t="e">
        <f t="shared" ca="1" si="99"/>
        <v>#N/A</v>
      </c>
      <c r="LK61" s="320"/>
      <c r="LL61" s="335">
        <f ca="1">Foglio7ti!GF62</f>
        <v>100000</v>
      </c>
      <c r="LM61" s="336">
        <f t="shared" ca="1" si="27"/>
        <v>100000</v>
      </c>
      <c r="LN61" s="335"/>
      <c r="LO61" s="320">
        <f t="shared" si="100"/>
        <v>23</v>
      </c>
      <c r="LP61" s="336">
        <f t="shared" ca="1" si="28"/>
        <v>100000</v>
      </c>
      <c r="LQ61" s="335"/>
      <c r="LR61" s="320"/>
      <c r="LS61" s="319">
        <f t="shared" si="29"/>
        <v>23</v>
      </c>
      <c r="LT61" s="336">
        <f t="shared" ca="1" si="30"/>
        <v>100000</v>
      </c>
      <c r="LU61" s="320"/>
      <c r="LV61" s="320"/>
      <c r="LW61" s="336">
        <f t="shared" ca="1" si="31"/>
        <v>100000</v>
      </c>
      <c r="LX61" s="320"/>
      <c r="LY61" s="320"/>
      <c r="LZ61" s="336">
        <f t="shared" ca="1" si="32"/>
        <v>100000</v>
      </c>
      <c r="MA61" s="320"/>
      <c r="MB61" s="320"/>
      <c r="MC61" s="308">
        <f t="shared" ca="1" si="4"/>
        <v>100000</v>
      </c>
      <c r="MD61" t="str">
        <f t="shared" ca="1" si="101"/>
        <v/>
      </c>
      <c r="ME61" s="338" t="str">
        <f t="shared" ca="1" si="33"/>
        <v/>
      </c>
      <c r="MF61" s="338" t="str">
        <f t="shared" ca="1" si="102"/>
        <v/>
      </c>
      <c r="MG61" s="337" t="str">
        <f t="shared" ca="1" si="5"/>
        <v/>
      </c>
      <c r="MH61" s="338" t="str">
        <f t="shared" ca="1" si="35"/>
        <v/>
      </c>
      <c r="MI61" s="337" t="str">
        <f t="shared" ca="1" si="36"/>
        <v/>
      </c>
      <c r="MJ61" s="337" t="str">
        <f t="shared" ca="1" si="6"/>
        <v/>
      </c>
      <c r="MK61" s="337" t="str">
        <f t="shared" ca="1" si="166"/>
        <v/>
      </c>
      <c r="ML61" s="337" t="str">
        <f ca="1">IF(ME61&lt;&gt;"",VLOOKUP(ME61,Foglio7ti!$GF$40:$GG$92,2),"")</f>
        <v/>
      </c>
      <c r="MM61" s="282" t="str">
        <f t="shared" ca="1" si="38"/>
        <v/>
      </c>
      <c r="MN61" s="282"/>
      <c r="MO61" s="320">
        <f t="shared" si="128"/>
        <v>1</v>
      </c>
      <c r="MP61" s="253" t="str">
        <f t="shared" ca="1" si="39"/>
        <v/>
      </c>
      <c r="MQ61" t="e">
        <f t="shared" ca="1" si="160"/>
        <v>#N/A</v>
      </c>
      <c r="MR61" s="238" t="e">
        <f ca="1">VLOOKUP(ME61,Foglio1ti!AB53:AZ353,13)-MQ61</f>
        <v>#N/A</v>
      </c>
      <c r="MS61" t="e">
        <f t="shared" ca="1" si="40"/>
        <v>#N/A</v>
      </c>
      <c r="MT61" t="e">
        <f t="shared" ca="1" si="41"/>
        <v>#N/A</v>
      </c>
      <c r="MU61" s="238" t="e">
        <f ca="1">VLOOKUP(ME61,Foglio1ti!AB53:AZ353,13)-MT61</f>
        <v>#N/A</v>
      </c>
      <c r="MV61" t="e">
        <f t="shared" ca="1" si="42"/>
        <v>#N/A</v>
      </c>
      <c r="MW61">
        <f t="shared" ca="1" si="140"/>
        <v>0</v>
      </c>
      <c r="MX61">
        <f ca="1">IF(AND(frontti!$H$25="SI",ML61="3-8 anni"),INDIRECT(CONCATENATE($MR$37,"BI",MU61)),0)</f>
        <v>0</v>
      </c>
      <c r="MY61" s="254"/>
    </row>
    <row r="62" spans="1:363" x14ac:dyDescent="0.25">
      <c r="A62" s="112">
        <f t="shared" si="141"/>
        <v>39083</v>
      </c>
      <c r="B62" s="112">
        <f t="shared" si="44"/>
        <v>39114</v>
      </c>
      <c r="E62" s="240">
        <f>Foglio3!F42</f>
        <v>38961</v>
      </c>
      <c r="F62" s="240">
        <f>Foglio3!G42</f>
        <v>39277</v>
      </c>
      <c r="G62" s="244"/>
      <c r="H62" s="245">
        <f t="shared" si="45"/>
        <v>38961</v>
      </c>
      <c r="I62" s="245">
        <f t="shared" si="8"/>
        <v>39277</v>
      </c>
      <c r="J62" s="244"/>
      <c r="K62" s="244"/>
      <c r="Q62">
        <f t="shared" si="9"/>
        <v>317</v>
      </c>
      <c r="R62">
        <f t="shared" si="142"/>
        <v>317</v>
      </c>
      <c r="S62">
        <f t="shared" si="46"/>
        <v>0</v>
      </c>
      <c r="T62">
        <f t="shared" si="129"/>
        <v>10</v>
      </c>
      <c r="U62">
        <f t="shared" si="130"/>
        <v>17</v>
      </c>
      <c r="W62">
        <f t="shared" si="172"/>
        <v>0</v>
      </c>
      <c r="X62">
        <f t="shared" si="172"/>
        <v>79</v>
      </c>
      <c r="Y62">
        <f t="shared" si="172"/>
        <v>213</v>
      </c>
      <c r="AA62" s="112">
        <f t="shared" si="103"/>
        <v>38961</v>
      </c>
      <c r="AB62" s="112">
        <f t="shared" si="104"/>
        <v>39277</v>
      </c>
      <c r="AG62">
        <f t="shared" si="47"/>
        <v>1</v>
      </c>
      <c r="AH62" s="112">
        <f t="shared" si="48"/>
        <v>38961</v>
      </c>
      <c r="AI62" s="112">
        <f t="shared" si="48"/>
        <v>39277</v>
      </c>
      <c r="AJ62">
        <f t="shared" si="49"/>
        <v>1</v>
      </c>
      <c r="AK62">
        <f t="shared" si="105"/>
        <v>0</v>
      </c>
      <c r="AL62">
        <f t="shared" si="132"/>
        <v>0</v>
      </c>
      <c r="AN62">
        <f t="shared" si="133"/>
        <v>0</v>
      </c>
      <c r="AO62">
        <f t="shared" si="134"/>
        <v>0</v>
      </c>
      <c r="AP62">
        <f t="shared" si="106"/>
        <v>0</v>
      </c>
      <c r="AS62">
        <f t="shared" si="143"/>
        <v>0</v>
      </c>
      <c r="AT62">
        <f t="shared" si="144"/>
        <v>0</v>
      </c>
      <c r="AV62">
        <f t="shared" si="145"/>
        <v>0</v>
      </c>
      <c r="AW62">
        <f t="shared" si="146"/>
        <v>0</v>
      </c>
      <c r="AX62">
        <f t="shared" si="107"/>
        <v>0</v>
      </c>
      <c r="BA62">
        <f t="shared" si="163"/>
        <v>0</v>
      </c>
      <c r="BB62">
        <f t="shared" si="164"/>
        <v>0</v>
      </c>
      <c r="BD62">
        <f t="shared" si="148"/>
        <v>0</v>
      </c>
      <c r="BE62">
        <f t="shared" si="149"/>
        <v>0</v>
      </c>
      <c r="BF62">
        <f t="shared" si="137"/>
        <v>0</v>
      </c>
      <c r="BI62">
        <f t="shared" si="150"/>
        <v>0</v>
      </c>
      <c r="BJ62">
        <f t="shared" si="153"/>
        <v>0</v>
      </c>
      <c r="BK62">
        <f t="shared" si="154"/>
        <v>0</v>
      </c>
      <c r="BL62">
        <f t="shared" si="155"/>
        <v>0</v>
      </c>
      <c r="BM62">
        <f t="shared" si="147"/>
        <v>0</v>
      </c>
      <c r="BO62">
        <f t="shared" si="156"/>
        <v>0</v>
      </c>
      <c r="BP62">
        <f t="shared" si="157"/>
        <v>0</v>
      </c>
      <c r="BR62">
        <f t="shared" si="158"/>
        <v>0</v>
      </c>
      <c r="BS62">
        <f t="shared" si="159"/>
        <v>0</v>
      </c>
      <c r="BT62">
        <f t="shared" si="151"/>
        <v>0</v>
      </c>
      <c r="BV62">
        <f t="shared" si="108"/>
        <v>0</v>
      </c>
      <c r="BX62">
        <f t="shared" si="109"/>
        <v>0</v>
      </c>
      <c r="BY62">
        <f t="shared" si="110"/>
        <v>0</v>
      </c>
      <c r="BZ62">
        <f t="shared" si="111"/>
        <v>0</v>
      </c>
      <c r="CA62">
        <f t="shared" si="112"/>
        <v>0</v>
      </c>
      <c r="CB62">
        <f t="shared" si="113"/>
        <v>0</v>
      </c>
      <c r="CG62">
        <f t="shared" si="50"/>
        <v>2006</v>
      </c>
      <c r="CH62">
        <f t="shared" si="50"/>
        <v>2007</v>
      </c>
      <c r="CJ62">
        <f t="shared" si="51"/>
        <v>0</v>
      </c>
      <c r="CK62">
        <f t="shared" si="161"/>
        <v>0</v>
      </c>
      <c r="CL62">
        <f t="shared" si="52"/>
        <v>0</v>
      </c>
      <c r="CN62">
        <f t="shared" si="53"/>
        <v>0</v>
      </c>
      <c r="CS62">
        <f t="shared" si="54"/>
        <v>317</v>
      </c>
      <c r="CT62">
        <f t="shared" si="114"/>
        <v>2583</v>
      </c>
      <c r="CV62" s="112">
        <f t="shared" si="55"/>
        <v>39277</v>
      </c>
      <c r="CX62" s="112">
        <f t="shared" si="56"/>
        <v>100000</v>
      </c>
      <c r="CY62" s="112">
        <f t="shared" si="115"/>
        <v>100000</v>
      </c>
      <c r="CZ62" s="112">
        <f t="shared" si="116"/>
        <v>100000</v>
      </c>
      <c r="DA62" s="112">
        <f t="shared" si="117"/>
        <v>100000</v>
      </c>
      <c r="DB62" s="112">
        <f t="shared" si="118"/>
        <v>100000</v>
      </c>
      <c r="DC62" s="112">
        <f t="shared" si="119"/>
        <v>100000</v>
      </c>
      <c r="DU62" s="112"/>
      <c r="DV62" s="112"/>
      <c r="DW62" s="277">
        <v>40544</v>
      </c>
      <c r="DX62" s="276"/>
      <c r="DY62" s="276"/>
      <c r="DZ62" s="276"/>
      <c r="EF62" s="260" t="str">
        <f t="shared" si="162"/>
        <v/>
      </c>
      <c r="EK62" s="254"/>
      <c r="EL62">
        <f t="shared" si="165"/>
        <v>23</v>
      </c>
      <c r="EM62" s="260" t="e">
        <f t="shared" ca="1" si="122"/>
        <v>#NUM!</v>
      </c>
      <c r="EN62" s="112" t="e">
        <f t="shared" ca="1" si="63"/>
        <v>#NUM!</v>
      </c>
      <c r="EO62" s="112">
        <f t="shared" ca="1" si="64"/>
        <v>100000</v>
      </c>
      <c r="EP62" s="112">
        <f t="shared" ca="1" si="123"/>
        <v>100000</v>
      </c>
      <c r="EQ62" s="273">
        <f t="shared" ca="1" si="138"/>
        <v>100000</v>
      </c>
      <c r="ER62" s="302">
        <f t="shared" ca="1" si="65"/>
        <v>100000</v>
      </c>
      <c r="EU62" t="e">
        <f t="shared" ca="1" si="66"/>
        <v>#N/A</v>
      </c>
      <c r="EV62" s="260">
        <f t="shared" ca="1" si="124"/>
        <v>100000</v>
      </c>
      <c r="EW62" t="e">
        <f t="shared" ca="1" si="67"/>
        <v>#N/A</v>
      </c>
      <c r="EX62" t="e">
        <f t="shared" ca="1" si="12"/>
        <v>#N/A</v>
      </c>
      <c r="EY62" s="238" t="e">
        <f t="shared" ca="1" si="13"/>
        <v>#N/A</v>
      </c>
      <c r="FB62" t="e">
        <f t="shared" ca="1" si="68"/>
        <v>#N/A</v>
      </c>
      <c r="FC62" t="e">
        <f t="shared" ca="1" si="167"/>
        <v>#N/A</v>
      </c>
      <c r="FD62" t="e">
        <f t="shared" ca="1" si="167"/>
        <v>#N/A</v>
      </c>
      <c r="FE62" t="e">
        <f t="shared" ca="1" si="167"/>
        <v>#N/A</v>
      </c>
      <c r="FF62" t="e">
        <f t="shared" ca="1" si="167"/>
        <v>#N/A</v>
      </c>
      <c r="FM62" t="e">
        <f t="shared" ca="1" si="15"/>
        <v>#N/A</v>
      </c>
      <c r="FR62" s="254" t="e">
        <f t="shared" ca="1" si="69"/>
        <v>#N/A</v>
      </c>
      <c r="FS62">
        <f t="shared" si="125"/>
        <v>62</v>
      </c>
      <c r="FT62" t="e">
        <f t="shared" ca="1" si="168"/>
        <v>#N/A</v>
      </c>
      <c r="FU62" t="str">
        <f t="shared" ca="1" si="168"/>
        <v>EV62</v>
      </c>
      <c r="FV62" t="e">
        <f t="shared" ca="1" si="168"/>
        <v>#N/A</v>
      </c>
      <c r="FW62" t="e">
        <f t="shared" ca="1" si="168"/>
        <v>#N/A</v>
      </c>
      <c r="FX62" t="e">
        <f t="shared" ca="1" si="168"/>
        <v>#N/A</v>
      </c>
      <c r="FY62" t="e">
        <f t="shared" ca="1" si="168"/>
        <v>#N/A</v>
      </c>
      <c r="FZ62" t="e">
        <f t="shared" ca="1" si="168"/>
        <v>#N/A</v>
      </c>
      <c r="GA62" t="str">
        <f t="shared" ca="1" si="168"/>
        <v/>
      </c>
      <c r="GB62" t="e">
        <f t="shared" ca="1" si="168"/>
        <v>#N/A</v>
      </c>
      <c r="GC62" t="str">
        <f t="shared" ca="1" si="168"/>
        <v/>
      </c>
      <c r="GD62" t="str">
        <f t="shared" ca="1" si="168"/>
        <v/>
      </c>
      <c r="GE62">
        <f t="shared" ca="1" si="126"/>
        <v>0</v>
      </c>
      <c r="GF62" s="112">
        <f t="shared" ca="1" si="70"/>
        <v>100000</v>
      </c>
      <c r="GG62" s="112" t="e">
        <f t="shared" ca="1" si="71"/>
        <v>#N/A</v>
      </c>
      <c r="GH62" s="262" t="e">
        <f t="shared" ca="1" si="169"/>
        <v>#N/A</v>
      </c>
      <c r="GI62" s="262" t="e">
        <f t="shared" ca="1" si="169"/>
        <v>#N/A</v>
      </c>
      <c r="GJ62" s="262" t="e">
        <f t="shared" ca="1" si="169"/>
        <v>#N/A</v>
      </c>
      <c r="GK62" s="262" t="e">
        <f t="shared" ca="1" si="169"/>
        <v>#N/A</v>
      </c>
      <c r="GL62" s="262" t="e">
        <f t="shared" ca="1" si="169"/>
        <v>#N/A</v>
      </c>
      <c r="GM62" s="262">
        <f t="shared" ca="1" si="169"/>
        <v>0</v>
      </c>
      <c r="GN62" s="262" t="e">
        <f t="shared" ca="1" si="169"/>
        <v>#N/A</v>
      </c>
      <c r="GO62" s="262">
        <f t="shared" ca="1" si="72"/>
        <v>0</v>
      </c>
      <c r="GP62" s="262">
        <f t="shared" ca="1" si="73"/>
        <v>0</v>
      </c>
      <c r="GR62" s="262" t="e">
        <f t="shared" ca="1" si="75"/>
        <v>#N/A</v>
      </c>
      <c r="GS62" s="262" t="e">
        <f t="shared" ca="1" si="18"/>
        <v>#N/A</v>
      </c>
      <c r="GT62" s="253" t="str">
        <f t="shared" ca="1" si="76"/>
        <v/>
      </c>
      <c r="GU62" t="str">
        <f t="shared" ca="1" si="77"/>
        <v/>
      </c>
      <c r="GV62" t="str">
        <f t="shared" ca="1" si="78"/>
        <v/>
      </c>
      <c r="GW62" t="e">
        <f t="shared" ca="1" si="139"/>
        <v>#N/A</v>
      </c>
      <c r="GX62" t="e">
        <f t="shared" ca="1" si="170"/>
        <v>#N/A</v>
      </c>
      <c r="GY62" t="e">
        <f t="shared" ca="1" si="170"/>
        <v>#N/A</v>
      </c>
      <c r="GZ62" t="e">
        <f t="shared" ca="1" si="20"/>
        <v>#N/A</v>
      </c>
      <c r="HA62" t="e">
        <f t="shared" ca="1" si="170"/>
        <v>#N/A</v>
      </c>
      <c r="HB62" t="str">
        <f t="shared" ca="1" si="170"/>
        <v/>
      </c>
      <c r="HC62" t="e">
        <f t="shared" ca="1" si="170"/>
        <v>#N/A</v>
      </c>
      <c r="HD62" t="str">
        <f t="shared" ca="1" si="79"/>
        <v/>
      </c>
      <c r="HE62" s="254" t="str">
        <f t="shared" ca="1" si="170"/>
        <v/>
      </c>
      <c r="HF62" s="254" t="e">
        <f t="shared" ca="1" si="80"/>
        <v>#N/A</v>
      </c>
      <c r="HM62" s="263" t="e">
        <f t="shared" ca="1" si="81"/>
        <v>#N/A</v>
      </c>
      <c r="HO62" s="272" t="str">
        <f t="shared" ca="1" si="21"/>
        <v/>
      </c>
      <c r="HP62">
        <f t="shared" ca="1" si="82"/>
        <v>0</v>
      </c>
      <c r="HQ62" t="str">
        <f t="shared" ca="1" si="83"/>
        <v/>
      </c>
      <c r="HR62" t="str">
        <f t="shared" ca="1" si="173"/>
        <v/>
      </c>
      <c r="HS62" t="str">
        <f t="shared" ca="1" si="174"/>
        <v/>
      </c>
      <c r="HX62" s="253" t="s">
        <v>187</v>
      </c>
      <c r="HY62" s="112" t="str">
        <f t="shared" si="86"/>
        <v>1/9/2006</v>
      </c>
      <c r="HZ62" t="s">
        <v>188</v>
      </c>
      <c r="IA62" s="112" t="str">
        <f t="shared" si="87"/>
        <v>14/7/2007</v>
      </c>
      <c r="IB62" t="s">
        <v>189</v>
      </c>
      <c r="IC62">
        <f t="shared" si="88"/>
        <v>0</v>
      </c>
      <c r="ID62" t="s">
        <v>192</v>
      </c>
      <c r="IE62">
        <f t="shared" si="89"/>
        <v>10</v>
      </c>
      <c r="IF62" t="s">
        <v>191</v>
      </c>
      <c r="IG62" s="254">
        <f t="shared" si="90"/>
        <v>17</v>
      </c>
      <c r="IL62" t="str">
        <f t="shared" si="91"/>
        <v xml:space="preserve">DAL: 1/9/2006 - AL:14/7/2007 - ANNI:0 - MESI:10 -GIORNI:17
</v>
      </c>
      <c r="KD62">
        <v>0</v>
      </c>
      <c r="KE62" s="260">
        <f t="shared" ca="1" si="92"/>
        <v>100000</v>
      </c>
      <c r="KF62" t="str">
        <f t="shared" si="93"/>
        <v>0-2 anni</v>
      </c>
      <c r="KG62">
        <f t="shared" si="22"/>
        <v>6</v>
      </c>
      <c r="KH62" s="238">
        <f t="shared" ca="1" si="23"/>
        <v>255</v>
      </c>
      <c r="KK62">
        <f t="shared" ca="1" si="94"/>
        <v>16218.89</v>
      </c>
      <c r="KL62" t="e">
        <f t="shared" ca="1" si="171"/>
        <v>#N/A</v>
      </c>
      <c r="KM62" t="e">
        <f t="shared" ca="1" si="171"/>
        <v>#N/A</v>
      </c>
      <c r="KN62" t="e">
        <f t="shared" ca="1" si="171"/>
        <v>#N/A</v>
      </c>
      <c r="KO62" t="e">
        <f t="shared" ca="1" si="171"/>
        <v>#N/A</v>
      </c>
      <c r="KV62" t="e">
        <f t="shared" ca="1" si="25"/>
        <v>#N/A</v>
      </c>
      <c r="LA62" s="254" t="str">
        <f t="shared" si="95"/>
        <v>0-2 anni</v>
      </c>
      <c r="LB62" s="112">
        <f t="shared" si="26"/>
        <v>38961</v>
      </c>
      <c r="LC62" s="112">
        <f t="shared" si="26"/>
        <v>39277</v>
      </c>
      <c r="LD62" t="e">
        <f t="shared" ca="1" si="96"/>
        <v>#N/A</v>
      </c>
      <c r="LE62" s="262" t="e">
        <f t="shared" ca="1" si="97"/>
        <v>#N/A</v>
      </c>
      <c r="LF62">
        <f t="shared" si="98"/>
        <v>317</v>
      </c>
      <c r="LG62" t="e">
        <f t="shared" ca="1" si="99"/>
        <v>#N/A</v>
      </c>
      <c r="LK62" s="320"/>
      <c r="LL62" s="335">
        <f ca="1">Foglio7ti!GF63</f>
        <v>100000</v>
      </c>
      <c r="LM62" s="336">
        <f t="shared" ca="1" si="27"/>
        <v>100000</v>
      </c>
      <c r="LN62" s="335"/>
      <c r="LO62" s="320">
        <f t="shared" si="100"/>
        <v>24</v>
      </c>
      <c r="LP62" s="336">
        <f t="shared" ca="1" si="28"/>
        <v>100000</v>
      </c>
      <c r="LQ62" s="335"/>
      <c r="LR62" s="320"/>
      <c r="LS62" s="319">
        <f t="shared" si="29"/>
        <v>24</v>
      </c>
      <c r="LT62" s="336">
        <f t="shared" ca="1" si="30"/>
        <v>100000</v>
      </c>
      <c r="LU62" s="320"/>
      <c r="LV62" s="320"/>
      <c r="LW62" s="336">
        <f t="shared" ca="1" si="31"/>
        <v>100000</v>
      </c>
      <c r="LX62" s="320"/>
      <c r="LY62" s="320"/>
      <c r="LZ62" s="336">
        <f t="shared" ca="1" si="32"/>
        <v>100000</v>
      </c>
      <c r="MA62" s="320"/>
      <c r="MB62" s="320"/>
      <c r="MC62" s="308">
        <f t="shared" ca="1" si="4"/>
        <v>100000</v>
      </c>
      <c r="MD62" t="str">
        <f t="shared" ca="1" si="101"/>
        <v/>
      </c>
      <c r="ME62" s="338" t="str">
        <f t="shared" ca="1" si="33"/>
        <v/>
      </c>
      <c r="MF62" s="338" t="str">
        <f t="shared" ca="1" si="102"/>
        <v/>
      </c>
      <c r="MG62" s="337" t="str">
        <f t="shared" ca="1" si="5"/>
        <v/>
      </c>
      <c r="MH62" s="338" t="str">
        <f t="shared" ca="1" si="35"/>
        <v/>
      </c>
      <c r="MI62" s="337" t="str">
        <f t="shared" ca="1" si="36"/>
        <v/>
      </c>
      <c r="MJ62" s="337" t="str">
        <f t="shared" ca="1" si="6"/>
        <v/>
      </c>
      <c r="MK62" s="337" t="str">
        <f t="shared" ca="1" si="166"/>
        <v/>
      </c>
      <c r="ML62" s="337" t="str">
        <f ca="1">IF(ME62&lt;&gt;"",VLOOKUP(ME62,Foglio7ti!$GF$40:$GG$92,2),"")</f>
        <v/>
      </c>
      <c r="MM62" s="282" t="str">
        <f t="shared" ca="1" si="38"/>
        <v/>
      </c>
      <c r="MN62" s="282"/>
      <c r="MO62" s="320">
        <f t="shared" si="128"/>
        <v>1</v>
      </c>
      <c r="MP62" s="253" t="str">
        <f t="shared" ca="1" si="39"/>
        <v/>
      </c>
      <c r="MQ62" t="e">
        <f t="shared" ca="1" si="160"/>
        <v>#N/A</v>
      </c>
      <c r="MR62" s="238" t="e">
        <f ca="1">VLOOKUP(ME62,Foglio1ti!AB54:AZ354,13)-MQ62</f>
        <v>#N/A</v>
      </c>
      <c r="MS62" t="e">
        <f t="shared" ca="1" si="40"/>
        <v>#N/A</v>
      </c>
      <c r="MT62" t="e">
        <f t="shared" ca="1" si="41"/>
        <v>#N/A</v>
      </c>
      <c r="MU62" s="238" t="e">
        <f ca="1">VLOOKUP(ME62,Foglio1ti!AB54:AZ354,13)-MT62</f>
        <v>#N/A</v>
      </c>
      <c r="MV62" t="e">
        <f t="shared" ca="1" si="42"/>
        <v>#N/A</v>
      </c>
      <c r="MW62">
        <f t="shared" ca="1" si="140"/>
        <v>0</v>
      </c>
      <c r="MX62">
        <f ca="1">IF(AND(frontti!$H$25="SI",ML62="3-8 anni"),INDIRECT(CONCATENATE($MR$37,"BI",MU62)),0)</f>
        <v>0</v>
      </c>
      <c r="MY62" s="254"/>
    </row>
    <row r="63" spans="1:363" x14ac:dyDescent="0.25">
      <c r="A63" s="112">
        <f t="shared" si="141"/>
        <v>39447</v>
      </c>
      <c r="B63" s="112">
        <f t="shared" si="44"/>
        <v>39539</v>
      </c>
      <c r="E63" s="240">
        <f>Foglio3!F43</f>
        <v>39338</v>
      </c>
      <c r="F63" s="240">
        <f>Foglio3!G43</f>
        <v>39629</v>
      </c>
      <c r="G63" s="244"/>
      <c r="H63" s="245">
        <f t="shared" si="45"/>
        <v>39338</v>
      </c>
      <c r="I63" s="245">
        <f t="shared" si="8"/>
        <v>39629</v>
      </c>
      <c r="J63" s="244"/>
      <c r="K63" s="244"/>
      <c r="Q63">
        <f t="shared" si="9"/>
        <v>292</v>
      </c>
      <c r="R63">
        <f t="shared" si="142"/>
        <v>292</v>
      </c>
      <c r="S63">
        <f t="shared" si="46"/>
        <v>0</v>
      </c>
      <c r="T63">
        <f t="shared" si="129"/>
        <v>9</v>
      </c>
      <c r="U63">
        <f t="shared" si="130"/>
        <v>22</v>
      </c>
      <c r="W63">
        <f t="shared" si="172"/>
        <v>0</v>
      </c>
      <c r="X63">
        <f t="shared" si="172"/>
        <v>88</v>
      </c>
      <c r="Y63">
        <f t="shared" si="172"/>
        <v>235</v>
      </c>
      <c r="AA63" s="112">
        <f t="shared" si="103"/>
        <v>39338</v>
      </c>
      <c r="AB63" s="112">
        <f t="shared" si="104"/>
        <v>39629</v>
      </c>
      <c r="AG63">
        <f t="shared" si="47"/>
        <v>1</v>
      </c>
      <c r="AH63" s="112">
        <f t="shared" si="48"/>
        <v>39338</v>
      </c>
      <c r="AI63" s="112">
        <f t="shared" si="48"/>
        <v>39629</v>
      </c>
      <c r="AJ63">
        <f t="shared" si="49"/>
        <v>1</v>
      </c>
      <c r="AK63">
        <f t="shared" si="105"/>
        <v>0</v>
      </c>
      <c r="AL63">
        <f t="shared" si="132"/>
        <v>0</v>
      </c>
      <c r="AN63">
        <f t="shared" si="133"/>
        <v>0</v>
      </c>
      <c r="AO63">
        <f t="shared" si="134"/>
        <v>0</v>
      </c>
      <c r="AP63">
        <f t="shared" si="106"/>
        <v>0</v>
      </c>
      <c r="AS63">
        <f t="shared" si="143"/>
        <v>0</v>
      </c>
      <c r="AT63">
        <f t="shared" si="144"/>
        <v>0</v>
      </c>
      <c r="AV63">
        <f t="shared" si="145"/>
        <v>0</v>
      </c>
      <c r="AW63">
        <f t="shared" si="146"/>
        <v>0</v>
      </c>
      <c r="AX63">
        <f t="shared" si="107"/>
        <v>0</v>
      </c>
      <c r="BA63">
        <f t="shared" si="163"/>
        <v>0</v>
      </c>
      <c r="BB63">
        <f t="shared" si="164"/>
        <v>0</v>
      </c>
      <c r="BD63">
        <f t="shared" si="148"/>
        <v>0</v>
      </c>
      <c r="BE63">
        <f t="shared" si="149"/>
        <v>0</v>
      </c>
      <c r="BF63">
        <f t="shared" si="137"/>
        <v>0</v>
      </c>
      <c r="BI63">
        <f t="shared" si="150"/>
        <v>0</v>
      </c>
      <c r="BJ63">
        <f t="shared" si="153"/>
        <v>0</v>
      </c>
      <c r="BK63">
        <f t="shared" si="154"/>
        <v>0</v>
      </c>
      <c r="BL63">
        <f t="shared" si="155"/>
        <v>0</v>
      </c>
      <c r="BM63">
        <f t="shared" si="147"/>
        <v>0</v>
      </c>
      <c r="BO63">
        <f t="shared" si="156"/>
        <v>0</v>
      </c>
      <c r="BP63">
        <f t="shared" si="157"/>
        <v>0</v>
      </c>
      <c r="BR63">
        <f t="shared" si="158"/>
        <v>0</v>
      </c>
      <c r="BS63">
        <f t="shared" si="159"/>
        <v>0</v>
      </c>
      <c r="BT63">
        <f t="shared" si="151"/>
        <v>0</v>
      </c>
      <c r="BV63">
        <f t="shared" si="108"/>
        <v>0</v>
      </c>
      <c r="BX63">
        <f t="shared" si="109"/>
        <v>0</v>
      </c>
      <c r="BY63">
        <f t="shared" si="110"/>
        <v>0</v>
      </c>
      <c r="BZ63">
        <f t="shared" si="111"/>
        <v>0</v>
      </c>
      <c r="CA63">
        <f t="shared" si="112"/>
        <v>0</v>
      </c>
      <c r="CB63">
        <f t="shared" si="113"/>
        <v>0</v>
      </c>
      <c r="CG63">
        <f t="shared" si="50"/>
        <v>2007</v>
      </c>
      <c r="CH63">
        <f t="shared" si="50"/>
        <v>2008</v>
      </c>
      <c r="CJ63">
        <f t="shared" si="51"/>
        <v>0</v>
      </c>
      <c r="CK63">
        <f t="shared" si="161"/>
        <v>0</v>
      </c>
      <c r="CL63">
        <f t="shared" si="52"/>
        <v>0</v>
      </c>
      <c r="CN63">
        <f t="shared" si="53"/>
        <v>0</v>
      </c>
      <c r="CS63">
        <f t="shared" si="54"/>
        <v>292</v>
      </c>
      <c r="CT63">
        <f t="shared" si="114"/>
        <v>2875</v>
      </c>
      <c r="CV63" s="112">
        <f t="shared" si="55"/>
        <v>39629</v>
      </c>
      <c r="CX63" s="112">
        <f t="shared" si="56"/>
        <v>100000</v>
      </c>
      <c r="CY63" s="112">
        <f t="shared" si="115"/>
        <v>100000</v>
      </c>
      <c r="CZ63" s="112">
        <f t="shared" si="116"/>
        <v>100000</v>
      </c>
      <c r="DA63" s="112">
        <f t="shared" si="117"/>
        <v>100000</v>
      </c>
      <c r="DB63" s="112">
        <f t="shared" si="118"/>
        <v>100000</v>
      </c>
      <c r="DC63" s="112">
        <f t="shared" si="119"/>
        <v>100000</v>
      </c>
      <c r="DU63" s="112"/>
      <c r="DV63" s="112"/>
      <c r="DW63" s="277">
        <v>42370</v>
      </c>
      <c r="DX63" s="276"/>
      <c r="DY63" s="276"/>
      <c r="DZ63" s="276"/>
      <c r="EF63" s="260" t="str">
        <f t="shared" si="162"/>
        <v/>
      </c>
      <c r="EK63" s="254"/>
      <c r="EL63">
        <f t="shared" si="165"/>
        <v>24</v>
      </c>
      <c r="EM63" s="260" t="e">
        <f t="shared" ca="1" si="122"/>
        <v>#NUM!</v>
      </c>
      <c r="EN63" s="112" t="e">
        <f t="shared" ca="1" si="63"/>
        <v>#NUM!</v>
      </c>
      <c r="EO63" s="112">
        <f t="shared" ca="1" si="64"/>
        <v>100000</v>
      </c>
      <c r="EP63" s="112">
        <f t="shared" ca="1" si="123"/>
        <v>100000</v>
      </c>
      <c r="EQ63" s="273">
        <f t="shared" ca="1" si="138"/>
        <v>100000</v>
      </c>
      <c r="ER63" s="302">
        <f t="shared" ca="1" si="65"/>
        <v>100000</v>
      </c>
      <c r="EU63" t="e">
        <f t="shared" ca="1" si="66"/>
        <v>#N/A</v>
      </c>
      <c r="EV63" s="260">
        <f t="shared" ca="1" si="124"/>
        <v>100000</v>
      </c>
      <c r="EW63" t="e">
        <f t="shared" ca="1" si="67"/>
        <v>#N/A</v>
      </c>
      <c r="EX63" t="e">
        <f t="shared" ca="1" si="12"/>
        <v>#N/A</v>
      </c>
      <c r="EY63" s="238" t="e">
        <f t="shared" ca="1" si="13"/>
        <v>#N/A</v>
      </c>
      <c r="FB63" t="e">
        <f t="shared" ca="1" si="68"/>
        <v>#N/A</v>
      </c>
      <c r="FC63" t="e">
        <f t="shared" ca="1" si="167"/>
        <v>#N/A</v>
      </c>
      <c r="FD63" t="e">
        <f t="shared" ca="1" si="167"/>
        <v>#N/A</v>
      </c>
      <c r="FE63" t="e">
        <f t="shared" ca="1" si="167"/>
        <v>#N/A</v>
      </c>
      <c r="FF63" t="e">
        <f t="shared" ca="1" si="167"/>
        <v>#N/A</v>
      </c>
      <c r="FM63" t="e">
        <f t="shared" ca="1" si="15"/>
        <v>#N/A</v>
      </c>
      <c r="FR63" s="254" t="e">
        <f t="shared" ca="1" si="69"/>
        <v>#N/A</v>
      </c>
      <c r="FS63">
        <f t="shared" si="125"/>
        <v>63</v>
      </c>
      <c r="FT63" t="e">
        <f t="shared" ca="1" si="168"/>
        <v>#N/A</v>
      </c>
      <c r="FU63" t="str">
        <f t="shared" ca="1" si="168"/>
        <v>EV63</v>
      </c>
      <c r="FV63" t="e">
        <f t="shared" ca="1" si="168"/>
        <v>#N/A</v>
      </c>
      <c r="FW63" t="e">
        <f t="shared" ca="1" si="168"/>
        <v>#N/A</v>
      </c>
      <c r="FX63" t="e">
        <f t="shared" ca="1" si="168"/>
        <v>#N/A</v>
      </c>
      <c r="FY63" t="e">
        <f t="shared" ca="1" si="168"/>
        <v>#N/A</v>
      </c>
      <c r="FZ63" t="e">
        <f t="shared" ca="1" si="168"/>
        <v>#N/A</v>
      </c>
      <c r="GA63" t="str">
        <f t="shared" ca="1" si="168"/>
        <v/>
      </c>
      <c r="GB63" t="e">
        <f t="shared" ca="1" si="168"/>
        <v>#N/A</v>
      </c>
      <c r="GC63" t="str">
        <f t="shared" ca="1" si="168"/>
        <v/>
      </c>
      <c r="GD63" t="str">
        <f t="shared" ca="1" si="168"/>
        <v/>
      </c>
      <c r="GE63">
        <f t="shared" ca="1" si="126"/>
        <v>0</v>
      </c>
      <c r="GF63" s="112">
        <f t="shared" ca="1" si="70"/>
        <v>100000</v>
      </c>
      <c r="GG63" s="112" t="e">
        <f t="shared" ca="1" si="71"/>
        <v>#N/A</v>
      </c>
      <c r="GH63" s="262" t="e">
        <f t="shared" ca="1" si="169"/>
        <v>#N/A</v>
      </c>
      <c r="GI63" s="262" t="e">
        <f t="shared" ca="1" si="169"/>
        <v>#N/A</v>
      </c>
      <c r="GJ63" s="262" t="e">
        <f t="shared" ca="1" si="169"/>
        <v>#N/A</v>
      </c>
      <c r="GK63" s="262" t="e">
        <f t="shared" ca="1" si="169"/>
        <v>#N/A</v>
      </c>
      <c r="GL63" s="262" t="e">
        <f t="shared" ca="1" si="169"/>
        <v>#N/A</v>
      </c>
      <c r="GM63" s="262">
        <f t="shared" ca="1" si="169"/>
        <v>0</v>
      </c>
      <c r="GN63" s="262" t="e">
        <f t="shared" ca="1" si="169"/>
        <v>#N/A</v>
      </c>
      <c r="GO63" s="262">
        <f t="shared" ca="1" si="72"/>
        <v>0</v>
      </c>
      <c r="GP63" s="262">
        <f t="shared" ca="1" si="73"/>
        <v>0</v>
      </c>
      <c r="GR63" s="262" t="e">
        <f t="shared" ca="1" si="75"/>
        <v>#N/A</v>
      </c>
      <c r="GS63" s="262" t="e">
        <f t="shared" ca="1" si="18"/>
        <v>#N/A</v>
      </c>
      <c r="GT63" s="253" t="str">
        <f t="shared" ca="1" si="76"/>
        <v/>
      </c>
      <c r="GU63" t="str">
        <f t="shared" ca="1" si="77"/>
        <v/>
      </c>
      <c r="GV63" t="str">
        <f t="shared" ca="1" si="78"/>
        <v/>
      </c>
      <c r="GW63" t="e">
        <f t="shared" ca="1" si="139"/>
        <v>#N/A</v>
      </c>
      <c r="GX63" t="e">
        <f t="shared" ca="1" si="170"/>
        <v>#N/A</v>
      </c>
      <c r="GY63" t="e">
        <f t="shared" ca="1" si="170"/>
        <v>#N/A</v>
      </c>
      <c r="GZ63" t="e">
        <f t="shared" ca="1" si="20"/>
        <v>#N/A</v>
      </c>
      <c r="HA63" t="e">
        <f t="shared" ca="1" si="170"/>
        <v>#N/A</v>
      </c>
      <c r="HB63" t="str">
        <f t="shared" ca="1" si="170"/>
        <v/>
      </c>
      <c r="HC63" t="e">
        <f t="shared" ca="1" si="170"/>
        <v>#N/A</v>
      </c>
      <c r="HD63" t="str">
        <f t="shared" ca="1" si="79"/>
        <v/>
      </c>
      <c r="HE63" s="254" t="str">
        <f t="shared" ca="1" si="170"/>
        <v/>
      </c>
      <c r="HF63" s="254" t="e">
        <f t="shared" ca="1" si="80"/>
        <v>#N/A</v>
      </c>
      <c r="HM63" s="263" t="e">
        <f t="shared" ca="1" si="81"/>
        <v>#N/A</v>
      </c>
      <c r="HO63" s="272" t="str">
        <f t="shared" ca="1" si="21"/>
        <v/>
      </c>
      <c r="HP63">
        <f t="shared" ca="1" si="82"/>
        <v>0</v>
      </c>
      <c r="HQ63" t="str">
        <f t="shared" ca="1" si="83"/>
        <v/>
      </c>
      <c r="HR63" t="str">
        <f t="shared" ca="1" si="173"/>
        <v/>
      </c>
      <c r="HS63" t="str">
        <f t="shared" ca="1" si="174"/>
        <v/>
      </c>
      <c r="HX63" s="253" t="s">
        <v>187</v>
      </c>
      <c r="HY63" s="112" t="str">
        <f t="shared" si="86"/>
        <v>13/9/2007</v>
      </c>
      <c r="HZ63" t="s">
        <v>188</v>
      </c>
      <c r="IA63" s="112" t="str">
        <f t="shared" si="87"/>
        <v>30/6/2008</v>
      </c>
      <c r="IB63" t="s">
        <v>189</v>
      </c>
      <c r="IC63">
        <f t="shared" si="88"/>
        <v>0</v>
      </c>
      <c r="ID63" t="s">
        <v>192</v>
      </c>
      <c r="IE63">
        <f t="shared" si="89"/>
        <v>9</v>
      </c>
      <c r="IF63" t="s">
        <v>191</v>
      </c>
      <c r="IG63" s="254">
        <f t="shared" si="90"/>
        <v>22</v>
      </c>
      <c r="IL63" t="str">
        <f t="shared" si="91"/>
        <v xml:space="preserve">DAL: 13/9/2007 - AL:30/6/2008 - ANNI:0 - MESI:9 -GIORNI:22
</v>
      </c>
      <c r="KD63">
        <v>0</v>
      </c>
      <c r="KE63" s="260">
        <f t="shared" ca="1" si="92"/>
        <v>100000</v>
      </c>
      <c r="KF63" t="str">
        <f t="shared" si="93"/>
        <v>0-2 anni</v>
      </c>
      <c r="KG63">
        <f t="shared" si="22"/>
        <v>6</v>
      </c>
      <c r="KH63" s="238">
        <f t="shared" ca="1" si="23"/>
        <v>255</v>
      </c>
      <c r="KK63">
        <f t="shared" ca="1" si="94"/>
        <v>16218.89</v>
      </c>
      <c r="KL63" t="e">
        <f t="shared" ca="1" si="171"/>
        <v>#N/A</v>
      </c>
      <c r="KM63" t="e">
        <f t="shared" ca="1" si="171"/>
        <v>#N/A</v>
      </c>
      <c r="KN63" t="e">
        <f t="shared" ca="1" si="171"/>
        <v>#N/A</v>
      </c>
      <c r="KO63" t="e">
        <f t="shared" ca="1" si="171"/>
        <v>#N/A</v>
      </c>
      <c r="KV63" t="e">
        <f t="shared" ca="1" si="25"/>
        <v>#N/A</v>
      </c>
      <c r="LA63" s="254" t="str">
        <f t="shared" si="95"/>
        <v>0-2 anni</v>
      </c>
      <c r="LB63" s="112">
        <f t="shared" si="26"/>
        <v>39338</v>
      </c>
      <c r="LC63" s="112">
        <f t="shared" si="26"/>
        <v>39629</v>
      </c>
      <c r="LD63" t="e">
        <f t="shared" ca="1" si="96"/>
        <v>#N/A</v>
      </c>
      <c r="LE63" s="262" t="e">
        <f t="shared" ca="1" si="97"/>
        <v>#N/A</v>
      </c>
      <c r="LF63">
        <f t="shared" si="98"/>
        <v>292</v>
      </c>
      <c r="LG63" t="e">
        <f t="shared" ca="1" si="99"/>
        <v>#N/A</v>
      </c>
      <c r="LL63" s="112">
        <f ca="1">Foglio7ti!GF64</f>
        <v>100000</v>
      </c>
      <c r="LM63" s="308">
        <f t="shared" ca="1" si="27"/>
        <v>100000</v>
      </c>
      <c r="LN63" s="112"/>
      <c r="LO63">
        <f t="shared" si="100"/>
        <v>25</v>
      </c>
      <c r="LP63" s="308">
        <f t="shared" ca="1" si="28"/>
        <v>100000</v>
      </c>
      <c r="LQ63" s="112"/>
      <c r="LS63" s="263">
        <f t="shared" si="29"/>
        <v>25</v>
      </c>
      <c r="LT63" s="308">
        <f t="shared" ca="1" si="30"/>
        <v>100000</v>
      </c>
      <c r="LW63" s="308">
        <f t="shared" ca="1" si="31"/>
        <v>100000</v>
      </c>
      <c r="LZ63" s="308">
        <f t="shared" ca="1" si="32"/>
        <v>100000</v>
      </c>
      <c r="MC63" s="308">
        <f t="shared" ca="1" si="4"/>
        <v>100000</v>
      </c>
      <c r="MD63" t="str">
        <f t="shared" ca="1" si="101"/>
        <v/>
      </c>
      <c r="ME63" s="338" t="str">
        <f t="shared" ca="1" si="33"/>
        <v/>
      </c>
      <c r="MF63" s="338" t="str">
        <f t="shared" ca="1" si="102"/>
        <v/>
      </c>
      <c r="MG63" s="337" t="str">
        <f t="shared" ca="1" si="5"/>
        <v/>
      </c>
      <c r="MH63" s="338" t="str">
        <f t="shared" ca="1" si="35"/>
        <v/>
      </c>
      <c r="MI63" s="337" t="str">
        <f t="shared" ca="1" si="36"/>
        <v/>
      </c>
      <c r="MJ63" s="337" t="str">
        <f t="shared" ca="1" si="6"/>
        <v/>
      </c>
      <c r="MK63" s="337" t="str">
        <f t="shared" ca="1" si="166"/>
        <v/>
      </c>
      <c r="ML63" s="337" t="str">
        <f ca="1">IF(ME63&lt;&gt;"",VLOOKUP(ME63,Foglio7ti!$GF$40:$GG$92,2),"")</f>
        <v/>
      </c>
      <c r="MM63" s="282" t="str">
        <f t="shared" ca="1" si="38"/>
        <v/>
      </c>
      <c r="MN63" s="282"/>
      <c r="MO63" s="320">
        <f t="shared" si="128"/>
        <v>1</v>
      </c>
      <c r="MP63" s="253" t="str">
        <f t="shared" ca="1" si="39"/>
        <v/>
      </c>
      <c r="MQ63" t="e">
        <f t="shared" ca="1" si="160"/>
        <v>#N/A</v>
      </c>
      <c r="MR63" s="238" t="e">
        <f ca="1">VLOOKUP(ME63,Foglio1ti!AB55:AZ355,13)-MQ63</f>
        <v>#N/A</v>
      </c>
      <c r="MS63" t="e">
        <f t="shared" ca="1" si="40"/>
        <v>#N/A</v>
      </c>
      <c r="MT63" t="e">
        <f t="shared" ca="1" si="41"/>
        <v>#N/A</v>
      </c>
      <c r="MU63" s="238" t="e">
        <f ca="1">VLOOKUP(ME63,Foglio1ti!AB55:AZ355,13)-MT63</f>
        <v>#N/A</v>
      </c>
      <c r="MV63" t="e">
        <f t="shared" ca="1" si="42"/>
        <v>#N/A</v>
      </c>
      <c r="MW63">
        <f t="shared" ca="1" si="140"/>
        <v>0</v>
      </c>
      <c r="MX63">
        <f ca="1">IF(AND(frontti!$H$25="SI",ML63="3-8 anni"),INDIRECT(CONCATENATE($MR$37,"BI",MU63)),0)</f>
        <v>0</v>
      </c>
      <c r="MY63" s="254"/>
    </row>
    <row r="64" spans="1:363" x14ac:dyDescent="0.25">
      <c r="A64" s="112">
        <f t="shared" si="141"/>
        <v>39630</v>
      </c>
      <c r="B64" s="112">
        <f t="shared" si="44"/>
        <v>39814</v>
      </c>
      <c r="E64" s="240">
        <f>Foglio3!F44</f>
        <v>39692</v>
      </c>
      <c r="F64" s="240">
        <f>Foglio3!G44</f>
        <v>39994</v>
      </c>
      <c r="G64" s="244"/>
      <c r="H64" s="245">
        <f t="shared" si="45"/>
        <v>39692</v>
      </c>
      <c r="I64" s="245">
        <f t="shared" si="8"/>
        <v>39994</v>
      </c>
      <c r="J64" s="244"/>
      <c r="K64" s="244"/>
      <c r="Q64">
        <f t="shared" si="9"/>
        <v>303</v>
      </c>
      <c r="R64">
        <f t="shared" si="142"/>
        <v>303</v>
      </c>
      <c r="S64">
        <f t="shared" si="46"/>
        <v>0</v>
      </c>
      <c r="T64">
        <f t="shared" si="129"/>
        <v>10</v>
      </c>
      <c r="U64">
        <f t="shared" si="130"/>
        <v>3</v>
      </c>
      <c r="W64">
        <f t="shared" si="172"/>
        <v>0</v>
      </c>
      <c r="X64">
        <f t="shared" si="172"/>
        <v>98</v>
      </c>
      <c r="Y64">
        <f t="shared" si="172"/>
        <v>238</v>
      </c>
      <c r="AA64" s="112">
        <f t="shared" si="103"/>
        <v>39692</v>
      </c>
      <c r="AB64" s="112">
        <f t="shared" si="104"/>
        <v>39994</v>
      </c>
      <c r="AG64">
        <f t="shared" si="47"/>
        <v>1</v>
      </c>
      <c r="AH64" s="112">
        <f t="shared" si="48"/>
        <v>39692</v>
      </c>
      <c r="AI64" s="112">
        <f t="shared" si="48"/>
        <v>39994</v>
      </c>
      <c r="AJ64">
        <f t="shared" si="49"/>
        <v>1</v>
      </c>
      <c r="AK64">
        <f t="shared" si="105"/>
        <v>0</v>
      </c>
      <c r="AL64">
        <f t="shared" si="132"/>
        <v>0</v>
      </c>
      <c r="AN64">
        <f t="shared" si="133"/>
        <v>0</v>
      </c>
      <c r="AO64">
        <f t="shared" si="134"/>
        <v>0</v>
      </c>
      <c r="AP64">
        <f t="shared" si="106"/>
        <v>0</v>
      </c>
      <c r="AS64">
        <f t="shared" si="143"/>
        <v>0</v>
      </c>
      <c r="AT64">
        <f t="shared" si="144"/>
        <v>0</v>
      </c>
      <c r="AV64">
        <f t="shared" si="145"/>
        <v>0</v>
      </c>
      <c r="AW64">
        <f t="shared" si="146"/>
        <v>0</v>
      </c>
      <c r="AX64">
        <f t="shared" si="107"/>
        <v>0</v>
      </c>
      <c r="BA64">
        <f t="shared" si="163"/>
        <v>0</v>
      </c>
      <c r="BB64">
        <f t="shared" si="164"/>
        <v>0</v>
      </c>
      <c r="BD64">
        <f t="shared" si="148"/>
        <v>0</v>
      </c>
      <c r="BE64">
        <f t="shared" si="149"/>
        <v>0</v>
      </c>
      <c r="BF64">
        <f t="shared" si="137"/>
        <v>0</v>
      </c>
      <c r="BI64">
        <f t="shared" si="150"/>
        <v>0</v>
      </c>
      <c r="BJ64">
        <f t="shared" si="153"/>
        <v>0</v>
      </c>
      <c r="BK64">
        <f t="shared" si="154"/>
        <v>0</v>
      </c>
      <c r="BL64">
        <f t="shared" si="155"/>
        <v>0</v>
      </c>
      <c r="BM64">
        <f t="shared" si="147"/>
        <v>0</v>
      </c>
      <c r="BO64">
        <f t="shared" si="156"/>
        <v>0</v>
      </c>
      <c r="BP64">
        <f t="shared" si="157"/>
        <v>0</v>
      </c>
      <c r="BR64">
        <f t="shared" si="158"/>
        <v>0</v>
      </c>
      <c r="BS64">
        <f t="shared" si="159"/>
        <v>0</v>
      </c>
      <c r="BT64">
        <f t="shared" si="151"/>
        <v>0</v>
      </c>
      <c r="BV64">
        <f t="shared" si="108"/>
        <v>0</v>
      </c>
      <c r="BX64">
        <f t="shared" si="109"/>
        <v>0</v>
      </c>
      <c r="BY64">
        <f t="shared" si="110"/>
        <v>0</v>
      </c>
      <c r="BZ64">
        <f t="shared" si="111"/>
        <v>0</v>
      </c>
      <c r="CA64">
        <f t="shared" si="112"/>
        <v>0</v>
      </c>
      <c r="CB64">
        <f t="shared" si="113"/>
        <v>0</v>
      </c>
      <c r="CG64">
        <f t="shared" si="50"/>
        <v>2008</v>
      </c>
      <c r="CH64">
        <f t="shared" si="50"/>
        <v>2009</v>
      </c>
      <c r="CJ64">
        <f t="shared" si="51"/>
        <v>0</v>
      </c>
      <c r="CK64">
        <f t="shared" si="161"/>
        <v>0</v>
      </c>
      <c r="CL64">
        <f t="shared" si="52"/>
        <v>0</v>
      </c>
      <c r="CN64">
        <f t="shared" si="53"/>
        <v>0</v>
      </c>
      <c r="CS64">
        <f t="shared" si="54"/>
        <v>303</v>
      </c>
      <c r="CT64">
        <f t="shared" si="114"/>
        <v>3178</v>
      </c>
      <c r="CV64" s="112">
        <f t="shared" si="55"/>
        <v>39994</v>
      </c>
      <c r="CX64" s="112">
        <f t="shared" si="56"/>
        <v>100000</v>
      </c>
      <c r="CY64" s="112">
        <f t="shared" si="115"/>
        <v>100000</v>
      </c>
      <c r="CZ64" s="112">
        <f t="shared" si="116"/>
        <v>100000</v>
      </c>
      <c r="DA64" s="112">
        <f t="shared" si="117"/>
        <v>100000</v>
      </c>
      <c r="DB64" s="112">
        <f t="shared" si="118"/>
        <v>100000</v>
      </c>
      <c r="DC64" s="112">
        <f t="shared" si="119"/>
        <v>100000</v>
      </c>
      <c r="DU64" s="112"/>
      <c r="DV64" s="112"/>
      <c r="DW64" s="277">
        <v>42736</v>
      </c>
      <c r="DX64" s="276"/>
      <c r="DY64" s="276"/>
      <c r="DZ64" s="276"/>
      <c r="EF64" s="260" t="str">
        <f t="shared" si="162"/>
        <v/>
      </c>
      <c r="EK64" s="254"/>
      <c r="EL64">
        <f t="shared" si="165"/>
        <v>25</v>
      </c>
      <c r="EM64" s="260" t="e">
        <f t="shared" ca="1" si="122"/>
        <v>#NUM!</v>
      </c>
      <c r="EN64" s="112" t="e">
        <f t="shared" ca="1" si="63"/>
        <v>#NUM!</v>
      </c>
      <c r="EO64" s="112">
        <f t="shared" ca="1" si="64"/>
        <v>100000</v>
      </c>
      <c r="EP64" s="112">
        <f t="shared" ca="1" si="123"/>
        <v>100000</v>
      </c>
      <c r="EQ64" s="273">
        <f t="shared" ca="1" si="138"/>
        <v>100000</v>
      </c>
      <c r="ER64" s="302">
        <f t="shared" ca="1" si="65"/>
        <v>100000</v>
      </c>
      <c r="EU64" t="e">
        <f t="shared" ca="1" si="66"/>
        <v>#N/A</v>
      </c>
      <c r="EV64" s="260">
        <f t="shared" ca="1" si="124"/>
        <v>100000</v>
      </c>
      <c r="EW64" t="e">
        <f t="shared" ca="1" si="67"/>
        <v>#N/A</v>
      </c>
      <c r="EX64" t="e">
        <f t="shared" ca="1" si="12"/>
        <v>#N/A</v>
      </c>
      <c r="EY64" s="238" t="e">
        <f t="shared" ca="1" si="13"/>
        <v>#N/A</v>
      </c>
      <c r="FB64" t="e">
        <f t="shared" ca="1" si="68"/>
        <v>#N/A</v>
      </c>
      <c r="FC64" t="e">
        <f t="shared" ca="1" si="167"/>
        <v>#N/A</v>
      </c>
      <c r="FD64" t="e">
        <f t="shared" ca="1" si="167"/>
        <v>#N/A</v>
      </c>
      <c r="FE64" t="e">
        <f t="shared" ca="1" si="167"/>
        <v>#N/A</v>
      </c>
      <c r="FF64" t="e">
        <f t="shared" ca="1" si="167"/>
        <v>#N/A</v>
      </c>
      <c r="FM64" t="e">
        <f t="shared" ca="1" si="15"/>
        <v>#N/A</v>
      </c>
      <c r="FR64" s="254" t="e">
        <f t="shared" ca="1" si="69"/>
        <v>#N/A</v>
      </c>
      <c r="FS64">
        <f t="shared" si="125"/>
        <v>64</v>
      </c>
      <c r="FT64" t="e">
        <f t="shared" ca="1" si="168"/>
        <v>#N/A</v>
      </c>
      <c r="FU64" t="str">
        <f t="shared" ca="1" si="168"/>
        <v>EV64</v>
      </c>
      <c r="FV64" t="e">
        <f t="shared" ca="1" si="168"/>
        <v>#N/A</v>
      </c>
      <c r="FW64" t="e">
        <f t="shared" ca="1" si="168"/>
        <v>#N/A</v>
      </c>
      <c r="FX64" t="e">
        <f t="shared" ca="1" si="168"/>
        <v>#N/A</v>
      </c>
      <c r="FY64" t="e">
        <f t="shared" ca="1" si="168"/>
        <v>#N/A</v>
      </c>
      <c r="FZ64" t="e">
        <f t="shared" ca="1" si="168"/>
        <v>#N/A</v>
      </c>
      <c r="GA64" t="str">
        <f t="shared" ca="1" si="168"/>
        <v/>
      </c>
      <c r="GB64" t="e">
        <f t="shared" ca="1" si="168"/>
        <v>#N/A</v>
      </c>
      <c r="GC64" t="str">
        <f t="shared" ca="1" si="168"/>
        <v/>
      </c>
      <c r="GD64" t="str">
        <f t="shared" ca="1" si="168"/>
        <v/>
      </c>
      <c r="GE64">
        <f t="shared" ca="1" si="126"/>
        <v>0</v>
      </c>
      <c r="GF64" s="112">
        <f t="shared" ca="1" si="70"/>
        <v>100000</v>
      </c>
      <c r="GG64" s="112" t="e">
        <f t="shared" ca="1" si="71"/>
        <v>#N/A</v>
      </c>
      <c r="GH64" s="262" t="e">
        <f t="shared" ca="1" si="169"/>
        <v>#N/A</v>
      </c>
      <c r="GI64" s="262" t="e">
        <f t="shared" ca="1" si="169"/>
        <v>#N/A</v>
      </c>
      <c r="GJ64" s="262" t="e">
        <f t="shared" ca="1" si="169"/>
        <v>#N/A</v>
      </c>
      <c r="GK64" s="262" t="e">
        <f t="shared" ca="1" si="169"/>
        <v>#N/A</v>
      </c>
      <c r="GL64" s="262" t="e">
        <f t="shared" ca="1" si="169"/>
        <v>#N/A</v>
      </c>
      <c r="GM64" s="262">
        <f t="shared" ca="1" si="169"/>
        <v>0</v>
      </c>
      <c r="GN64" s="262" t="e">
        <f t="shared" ca="1" si="169"/>
        <v>#N/A</v>
      </c>
      <c r="GO64" s="262">
        <f t="shared" ca="1" si="72"/>
        <v>0</v>
      </c>
      <c r="GP64" s="262">
        <f t="shared" ca="1" si="73"/>
        <v>0</v>
      </c>
      <c r="GR64" s="262" t="e">
        <f t="shared" ca="1" si="75"/>
        <v>#N/A</v>
      </c>
      <c r="GS64" s="262" t="e">
        <f t="shared" ca="1" si="18"/>
        <v>#N/A</v>
      </c>
      <c r="GT64" s="253" t="str">
        <f t="shared" ca="1" si="76"/>
        <v/>
      </c>
      <c r="GU64" t="str">
        <f t="shared" ca="1" si="77"/>
        <v/>
      </c>
      <c r="GV64" t="str">
        <f t="shared" ca="1" si="78"/>
        <v/>
      </c>
      <c r="GW64" t="e">
        <f t="shared" ca="1" si="139"/>
        <v>#N/A</v>
      </c>
      <c r="GX64" t="e">
        <f t="shared" ca="1" si="170"/>
        <v>#N/A</v>
      </c>
      <c r="GY64" t="e">
        <f t="shared" ca="1" si="170"/>
        <v>#N/A</v>
      </c>
      <c r="GZ64" t="e">
        <f t="shared" ca="1" si="20"/>
        <v>#N/A</v>
      </c>
      <c r="HA64" t="e">
        <f t="shared" ca="1" si="170"/>
        <v>#N/A</v>
      </c>
      <c r="HB64" t="str">
        <f t="shared" ca="1" si="170"/>
        <v/>
      </c>
      <c r="HC64" t="e">
        <f t="shared" ca="1" si="170"/>
        <v>#N/A</v>
      </c>
      <c r="HD64" t="str">
        <f t="shared" ca="1" si="79"/>
        <v/>
      </c>
      <c r="HE64" s="254" t="str">
        <f t="shared" ca="1" si="170"/>
        <v/>
      </c>
      <c r="HF64" s="254" t="e">
        <f t="shared" ca="1" si="80"/>
        <v>#N/A</v>
      </c>
      <c r="HM64" s="263" t="e">
        <f t="shared" ca="1" si="81"/>
        <v>#N/A</v>
      </c>
      <c r="HO64" s="272" t="str">
        <f t="shared" ca="1" si="21"/>
        <v/>
      </c>
      <c r="HP64">
        <f t="shared" ca="1" si="82"/>
        <v>0</v>
      </c>
      <c r="HQ64" t="str">
        <f t="shared" ca="1" si="83"/>
        <v/>
      </c>
      <c r="HR64" t="str">
        <f t="shared" ca="1" si="173"/>
        <v/>
      </c>
      <c r="HS64" t="str">
        <f t="shared" ca="1" si="174"/>
        <v/>
      </c>
      <c r="HX64" s="253" t="s">
        <v>187</v>
      </c>
      <c r="HY64" s="112" t="str">
        <f t="shared" si="86"/>
        <v>1/9/2008</v>
      </c>
      <c r="HZ64" t="s">
        <v>188</v>
      </c>
      <c r="IA64" s="112" t="str">
        <f t="shared" si="87"/>
        <v>30/6/2009</v>
      </c>
      <c r="IB64" t="s">
        <v>189</v>
      </c>
      <c r="IC64">
        <f t="shared" si="88"/>
        <v>0</v>
      </c>
      <c r="ID64" t="s">
        <v>192</v>
      </c>
      <c r="IE64">
        <f t="shared" si="89"/>
        <v>10</v>
      </c>
      <c r="IF64" t="s">
        <v>191</v>
      </c>
      <c r="IG64" s="254">
        <f t="shared" si="90"/>
        <v>3</v>
      </c>
      <c r="IL64" t="str">
        <f t="shared" si="91"/>
        <v xml:space="preserve">DAL: 1/9/2008 - AL:30/6/2009 - ANNI:0 - MESI:10 -GIORNI:3
</v>
      </c>
      <c r="KD64">
        <v>0</v>
      </c>
      <c r="KE64" s="260">
        <f t="shared" ca="1" si="92"/>
        <v>100000</v>
      </c>
      <c r="KF64" t="str">
        <f t="shared" si="93"/>
        <v>0-2 anni</v>
      </c>
      <c r="KG64">
        <f t="shared" si="22"/>
        <v>6</v>
      </c>
      <c r="KH64" s="238">
        <f t="shared" ca="1" si="23"/>
        <v>255</v>
      </c>
      <c r="KK64">
        <f t="shared" ca="1" si="94"/>
        <v>16218.89</v>
      </c>
      <c r="KL64" t="e">
        <f t="shared" ca="1" si="171"/>
        <v>#N/A</v>
      </c>
      <c r="KM64" t="e">
        <f t="shared" ca="1" si="171"/>
        <v>#N/A</v>
      </c>
      <c r="KN64" t="e">
        <f t="shared" ca="1" si="171"/>
        <v>#N/A</v>
      </c>
      <c r="KO64" t="e">
        <f t="shared" ca="1" si="171"/>
        <v>#N/A</v>
      </c>
      <c r="KV64" t="e">
        <f t="shared" ca="1" si="25"/>
        <v>#N/A</v>
      </c>
      <c r="LA64" s="254" t="str">
        <f t="shared" si="95"/>
        <v>0-2 anni</v>
      </c>
      <c r="LB64" s="112">
        <f t="shared" si="26"/>
        <v>39692</v>
      </c>
      <c r="LC64" s="112">
        <f t="shared" si="26"/>
        <v>39994</v>
      </c>
      <c r="LD64" t="e">
        <f t="shared" ca="1" si="96"/>
        <v>#N/A</v>
      </c>
      <c r="LE64" s="262" t="e">
        <f t="shared" ca="1" si="97"/>
        <v>#N/A</v>
      </c>
      <c r="LF64">
        <f t="shared" si="98"/>
        <v>303</v>
      </c>
      <c r="LG64" t="e">
        <f t="shared" ca="1" si="99"/>
        <v>#N/A</v>
      </c>
      <c r="LL64" s="112">
        <f ca="1">Foglio7ti!GF65</f>
        <v>100000</v>
      </c>
      <c r="LM64" s="308">
        <f t="shared" ca="1" si="27"/>
        <v>100000</v>
      </c>
      <c r="LN64" s="112"/>
      <c r="LO64">
        <f t="shared" si="100"/>
        <v>26</v>
      </c>
      <c r="LP64" s="308">
        <f t="shared" ca="1" si="28"/>
        <v>100000</v>
      </c>
      <c r="LQ64" s="112"/>
      <c r="LS64" s="263">
        <f t="shared" si="29"/>
        <v>26</v>
      </c>
      <c r="LT64" s="308">
        <f t="shared" ca="1" si="30"/>
        <v>100000</v>
      </c>
      <c r="LW64" s="308">
        <f t="shared" ca="1" si="31"/>
        <v>100000</v>
      </c>
      <c r="LZ64" s="308">
        <f t="shared" ca="1" si="32"/>
        <v>100000</v>
      </c>
      <c r="MC64" s="308">
        <f t="shared" ca="1" si="4"/>
        <v>100000</v>
      </c>
      <c r="MD64" t="str">
        <f t="shared" ca="1" si="101"/>
        <v/>
      </c>
      <c r="ME64" s="338" t="str">
        <f t="shared" ca="1" si="33"/>
        <v/>
      </c>
      <c r="MF64" s="338" t="str">
        <f t="shared" ca="1" si="102"/>
        <v/>
      </c>
      <c r="MG64" s="337" t="str">
        <f t="shared" ca="1" si="5"/>
        <v/>
      </c>
      <c r="MH64" s="338" t="str">
        <f t="shared" ca="1" si="35"/>
        <v/>
      </c>
      <c r="MI64" s="337" t="str">
        <f t="shared" ca="1" si="36"/>
        <v/>
      </c>
      <c r="MJ64" s="337" t="str">
        <f t="shared" ca="1" si="6"/>
        <v/>
      </c>
      <c r="MK64" s="337" t="str">
        <f t="shared" ca="1" si="166"/>
        <v/>
      </c>
      <c r="ML64" s="337" t="str">
        <f ca="1">IF(ME64&lt;&gt;"",VLOOKUP(ME64,Foglio7ti!$GF$40:$GG$92,2),"")</f>
        <v/>
      </c>
      <c r="MM64" s="282" t="str">
        <f t="shared" ca="1" si="38"/>
        <v/>
      </c>
      <c r="MN64" s="282"/>
      <c r="MO64" s="320">
        <f t="shared" si="128"/>
        <v>1</v>
      </c>
      <c r="MP64" s="253" t="str">
        <f t="shared" ca="1" si="39"/>
        <v/>
      </c>
      <c r="MQ64" t="e">
        <f t="shared" ca="1" si="160"/>
        <v>#N/A</v>
      </c>
      <c r="MR64" s="238" t="e">
        <f ca="1">VLOOKUP(ME64,Foglio1ti!AB56:AZ356,13)-MQ64</f>
        <v>#N/A</v>
      </c>
      <c r="MS64" t="e">
        <f t="shared" ca="1" si="40"/>
        <v>#N/A</v>
      </c>
      <c r="MT64" t="e">
        <f t="shared" ca="1" si="41"/>
        <v>#N/A</v>
      </c>
      <c r="MU64" s="238" t="e">
        <f ca="1">VLOOKUP(ME64,Foglio1ti!AB56:AZ356,13)-MT64</f>
        <v>#N/A</v>
      </c>
      <c r="MV64" t="e">
        <f t="shared" ca="1" si="42"/>
        <v>#N/A</v>
      </c>
      <c r="MW64">
        <f t="shared" ca="1" si="140"/>
        <v>0</v>
      </c>
      <c r="MX64">
        <f ca="1">IF(AND(frontti!$H$25="SI",ML64="3-8 anni"),INDIRECT(CONCATENATE($MR$37,"BI",MU64)),0)</f>
        <v>0</v>
      </c>
      <c r="MY64" s="254"/>
    </row>
    <row r="65" spans="1:363" x14ac:dyDescent="0.25">
      <c r="A65" s="112">
        <f t="shared" si="141"/>
        <v>39630</v>
      </c>
      <c r="B65" s="112">
        <f t="shared" si="44"/>
        <v>39814</v>
      </c>
      <c r="E65" s="240">
        <f>Foglio3!F45</f>
        <v>40063</v>
      </c>
      <c r="F65" s="240">
        <f>Foglio3!G45</f>
        <v>40063</v>
      </c>
      <c r="G65" s="244"/>
      <c r="H65" s="245">
        <f t="shared" si="45"/>
        <v>40063</v>
      </c>
      <c r="I65" s="245">
        <f t="shared" si="8"/>
        <v>40063</v>
      </c>
      <c r="J65" s="244"/>
      <c r="K65" s="244"/>
      <c r="Q65">
        <f t="shared" si="9"/>
        <v>1</v>
      </c>
      <c r="R65">
        <f t="shared" si="142"/>
        <v>1</v>
      </c>
      <c r="S65">
        <f t="shared" si="46"/>
        <v>0</v>
      </c>
      <c r="T65">
        <f t="shared" si="129"/>
        <v>0</v>
      </c>
      <c r="U65">
        <f t="shared" si="130"/>
        <v>1</v>
      </c>
      <c r="W65">
        <f t="shared" si="172"/>
        <v>0</v>
      </c>
      <c r="X65">
        <f t="shared" si="172"/>
        <v>98</v>
      </c>
      <c r="Y65">
        <f t="shared" si="172"/>
        <v>239</v>
      </c>
      <c r="AA65" s="112">
        <f t="shared" si="103"/>
        <v>40063</v>
      </c>
      <c r="AB65" s="112">
        <f t="shared" si="104"/>
        <v>40063</v>
      </c>
      <c r="AG65">
        <f t="shared" si="47"/>
        <v>1</v>
      </c>
      <c r="AH65" s="112">
        <f t="shared" si="48"/>
        <v>40063</v>
      </c>
      <c r="AI65" s="112">
        <f t="shared" si="48"/>
        <v>40063</v>
      </c>
      <c r="AJ65">
        <f t="shared" si="49"/>
        <v>1</v>
      </c>
      <c r="AK65">
        <f t="shared" si="105"/>
        <v>0</v>
      </c>
      <c r="AL65">
        <f t="shared" si="132"/>
        <v>0</v>
      </c>
      <c r="AN65">
        <f t="shared" si="133"/>
        <v>0</v>
      </c>
      <c r="AO65">
        <f t="shared" si="134"/>
        <v>0</v>
      </c>
      <c r="AP65">
        <f t="shared" si="106"/>
        <v>0</v>
      </c>
      <c r="AS65">
        <f t="shared" si="143"/>
        <v>0</v>
      </c>
      <c r="AT65">
        <f t="shared" si="144"/>
        <v>0</v>
      </c>
      <c r="AV65">
        <f t="shared" si="145"/>
        <v>0</v>
      </c>
      <c r="AW65">
        <f t="shared" si="146"/>
        <v>0</v>
      </c>
      <c r="AX65">
        <f t="shared" si="107"/>
        <v>0</v>
      </c>
      <c r="BA65">
        <f t="shared" si="163"/>
        <v>0</v>
      </c>
      <c r="BB65">
        <f t="shared" si="164"/>
        <v>0</v>
      </c>
      <c r="BD65">
        <f t="shared" si="148"/>
        <v>0</v>
      </c>
      <c r="BE65">
        <f t="shared" si="149"/>
        <v>0</v>
      </c>
      <c r="BF65">
        <f t="shared" si="137"/>
        <v>0</v>
      </c>
      <c r="BI65">
        <f t="shared" si="150"/>
        <v>0</v>
      </c>
      <c r="BJ65">
        <f t="shared" si="153"/>
        <v>0</v>
      </c>
      <c r="BK65">
        <f t="shared" si="154"/>
        <v>0</v>
      </c>
      <c r="BL65">
        <f t="shared" si="155"/>
        <v>0</v>
      </c>
      <c r="BM65">
        <f t="shared" si="147"/>
        <v>0</v>
      </c>
      <c r="BO65">
        <f t="shared" si="156"/>
        <v>0</v>
      </c>
      <c r="BP65">
        <f t="shared" si="157"/>
        <v>0</v>
      </c>
      <c r="BR65">
        <f t="shared" si="158"/>
        <v>0</v>
      </c>
      <c r="BS65">
        <f t="shared" si="159"/>
        <v>0</v>
      </c>
      <c r="BT65">
        <f t="shared" si="151"/>
        <v>0</v>
      </c>
      <c r="BV65">
        <f t="shared" si="108"/>
        <v>0</v>
      </c>
      <c r="BX65">
        <f t="shared" si="109"/>
        <v>0</v>
      </c>
      <c r="BY65">
        <f t="shared" si="110"/>
        <v>0</v>
      </c>
      <c r="BZ65">
        <f t="shared" si="111"/>
        <v>0</v>
      </c>
      <c r="CA65">
        <f t="shared" si="112"/>
        <v>0</v>
      </c>
      <c r="CB65">
        <f t="shared" si="113"/>
        <v>0</v>
      </c>
      <c r="CG65">
        <f t="shared" si="50"/>
        <v>2009</v>
      </c>
      <c r="CH65">
        <f t="shared" si="50"/>
        <v>2009</v>
      </c>
      <c r="CJ65">
        <f t="shared" si="51"/>
        <v>0</v>
      </c>
      <c r="CK65">
        <f t="shared" si="161"/>
        <v>0</v>
      </c>
      <c r="CL65">
        <f t="shared" si="52"/>
        <v>0</v>
      </c>
      <c r="CN65">
        <f t="shared" si="53"/>
        <v>0</v>
      </c>
      <c r="CS65">
        <f t="shared" si="54"/>
        <v>1</v>
      </c>
      <c r="CT65">
        <f t="shared" si="114"/>
        <v>3179</v>
      </c>
      <c r="CV65" s="112">
        <f t="shared" si="55"/>
        <v>40063</v>
      </c>
      <c r="CX65" s="112">
        <f t="shared" si="56"/>
        <v>100000</v>
      </c>
      <c r="CY65" s="112">
        <f t="shared" si="115"/>
        <v>100000</v>
      </c>
      <c r="CZ65" s="112">
        <f t="shared" si="116"/>
        <v>100000</v>
      </c>
      <c r="DA65" s="112">
        <f t="shared" si="117"/>
        <v>100000</v>
      </c>
      <c r="DB65" s="112">
        <f t="shared" si="118"/>
        <v>100000</v>
      </c>
      <c r="DC65" s="112">
        <f t="shared" si="119"/>
        <v>100000</v>
      </c>
      <c r="DU65" s="112"/>
      <c r="DV65" s="112"/>
      <c r="DW65" s="277">
        <v>43160</v>
      </c>
      <c r="DX65" s="276"/>
      <c r="DY65" s="276"/>
      <c r="DZ65" s="276"/>
      <c r="EF65" s="260" t="str">
        <f t="shared" si="162"/>
        <v/>
      </c>
      <c r="EK65" s="254"/>
      <c r="EL65">
        <f t="shared" si="165"/>
        <v>26</v>
      </c>
      <c r="EM65" s="260" t="e">
        <f t="shared" ca="1" si="122"/>
        <v>#NUM!</v>
      </c>
      <c r="EN65" s="112" t="e">
        <f t="shared" ca="1" si="63"/>
        <v>#NUM!</v>
      </c>
      <c r="EO65" s="112">
        <f t="shared" ca="1" si="64"/>
        <v>100000</v>
      </c>
      <c r="EP65" s="112">
        <f t="shared" ca="1" si="123"/>
        <v>100000</v>
      </c>
      <c r="EQ65" s="273">
        <f t="shared" ca="1" si="138"/>
        <v>100000</v>
      </c>
      <c r="ER65" s="302">
        <f t="shared" ca="1" si="65"/>
        <v>100000</v>
      </c>
      <c r="EU65" t="e">
        <f t="shared" ca="1" si="66"/>
        <v>#N/A</v>
      </c>
      <c r="EV65" s="260">
        <f t="shared" ca="1" si="124"/>
        <v>100000</v>
      </c>
      <c r="EW65" t="e">
        <f t="shared" ca="1" si="67"/>
        <v>#N/A</v>
      </c>
      <c r="EX65" t="e">
        <f t="shared" ca="1" si="12"/>
        <v>#N/A</v>
      </c>
      <c r="EY65" s="238" t="e">
        <f t="shared" ca="1" si="13"/>
        <v>#N/A</v>
      </c>
      <c r="FB65" t="e">
        <f t="shared" ca="1" si="68"/>
        <v>#N/A</v>
      </c>
      <c r="FC65" t="e">
        <f t="shared" ca="1" si="167"/>
        <v>#N/A</v>
      </c>
      <c r="FD65" t="e">
        <f t="shared" ca="1" si="167"/>
        <v>#N/A</v>
      </c>
      <c r="FE65" t="e">
        <f t="shared" ca="1" si="167"/>
        <v>#N/A</v>
      </c>
      <c r="FF65" t="e">
        <f t="shared" ca="1" si="167"/>
        <v>#N/A</v>
      </c>
      <c r="FM65" t="e">
        <f t="shared" ca="1" si="15"/>
        <v>#N/A</v>
      </c>
      <c r="FR65" s="254" t="e">
        <f t="shared" ca="1" si="69"/>
        <v>#N/A</v>
      </c>
      <c r="FS65">
        <f t="shared" si="125"/>
        <v>65</v>
      </c>
      <c r="FT65" t="e">
        <f t="shared" ca="1" si="168"/>
        <v>#N/A</v>
      </c>
      <c r="FU65" t="str">
        <f t="shared" ca="1" si="168"/>
        <v>EV65</v>
      </c>
      <c r="FV65" t="e">
        <f t="shared" ca="1" si="168"/>
        <v>#N/A</v>
      </c>
      <c r="FW65" t="e">
        <f t="shared" ca="1" si="168"/>
        <v>#N/A</v>
      </c>
      <c r="FX65" t="e">
        <f t="shared" ca="1" si="168"/>
        <v>#N/A</v>
      </c>
      <c r="FY65" t="e">
        <f t="shared" ca="1" si="168"/>
        <v>#N/A</v>
      </c>
      <c r="FZ65" t="e">
        <f t="shared" ca="1" si="168"/>
        <v>#N/A</v>
      </c>
      <c r="GA65" t="str">
        <f t="shared" ca="1" si="168"/>
        <v/>
      </c>
      <c r="GB65" t="e">
        <f t="shared" ca="1" si="168"/>
        <v>#N/A</v>
      </c>
      <c r="GC65" t="str">
        <f t="shared" ca="1" si="168"/>
        <v/>
      </c>
      <c r="GD65" t="str">
        <f t="shared" ca="1" si="168"/>
        <v/>
      </c>
      <c r="GE65">
        <f t="shared" ca="1" si="126"/>
        <v>0</v>
      </c>
      <c r="GF65" s="112">
        <f t="shared" ca="1" si="70"/>
        <v>100000</v>
      </c>
      <c r="GG65" s="112" t="e">
        <f t="shared" ca="1" si="71"/>
        <v>#N/A</v>
      </c>
      <c r="GH65" s="262" t="e">
        <f t="shared" ca="1" si="169"/>
        <v>#N/A</v>
      </c>
      <c r="GI65" s="262" t="e">
        <f t="shared" ca="1" si="169"/>
        <v>#N/A</v>
      </c>
      <c r="GJ65" s="262" t="e">
        <f t="shared" ca="1" si="169"/>
        <v>#N/A</v>
      </c>
      <c r="GK65" s="262" t="e">
        <f t="shared" ca="1" si="169"/>
        <v>#N/A</v>
      </c>
      <c r="GL65" s="262" t="e">
        <f t="shared" ca="1" si="169"/>
        <v>#N/A</v>
      </c>
      <c r="GM65" s="262">
        <f t="shared" ca="1" si="169"/>
        <v>0</v>
      </c>
      <c r="GN65" s="262" t="e">
        <f t="shared" ca="1" si="169"/>
        <v>#N/A</v>
      </c>
      <c r="GO65" s="262">
        <f t="shared" ca="1" si="72"/>
        <v>0</v>
      </c>
      <c r="GP65" s="262">
        <f t="shared" ca="1" si="73"/>
        <v>0</v>
      </c>
      <c r="GR65" s="262" t="e">
        <f t="shared" ca="1" si="75"/>
        <v>#N/A</v>
      </c>
      <c r="GS65" s="262" t="e">
        <f t="shared" ca="1" si="18"/>
        <v>#N/A</v>
      </c>
      <c r="GT65" s="253" t="str">
        <f t="shared" ca="1" si="76"/>
        <v/>
      </c>
      <c r="GU65" t="str">
        <f t="shared" ca="1" si="77"/>
        <v/>
      </c>
      <c r="GV65" t="str">
        <f t="shared" ca="1" si="78"/>
        <v/>
      </c>
      <c r="GW65" t="e">
        <f t="shared" ca="1" si="139"/>
        <v>#N/A</v>
      </c>
      <c r="GX65" t="e">
        <f t="shared" ca="1" si="170"/>
        <v>#N/A</v>
      </c>
      <c r="GY65" t="e">
        <f t="shared" ca="1" si="170"/>
        <v>#N/A</v>
      </c>
      <c r="GZ65" t="e">
        <f t="shared" ca="1" si="20"/>
        <v>#N/A</v>
      </c>
      <c r="HA65" t="e">
        <f t="shared" ca="1" si="170"/>
        <v>#N/A</v>
      </c>
      <c r="HB65" t="str">
        <f t="shared" ca="1" si="170"/>
        <v/>
      </c>
      <c r="HC65" t="e">
        <f t="shared" ca="1" si="170"/>
        <v>#N/A</v>
      </c>
      <c r="HD65" t="str">
        <f t="shared" ca="1" si="79"/>
        <v/>
      </c>
      <c r="HE65" s="254" t="str">
        <f t="shared" ca="1" si="170"/>
        <v/>
      </c>
      <c r="HF65" s="254" t="e">
        <f t="shared" ca="1" si="80"/>
        <v>#N/A</v>
      </c>
      <c r="HM65" s="263" t="e">
        <f t="shared" ca="1" si="81"/>
        <v>#N/A</v>
      </c>
      <c r="HO65" s="272" t="str">
        <f t="shared" ca="1" si="21"/>
        <v/>
      </c>
      <c r="HP65">
        <f t="shared" ca="1" si="82"/>
        <v>0</v>
      </c>
      <c r="HQ65" t="str">
        <f t="shared" ca="1" si="83"/>
        <v/>
      </c>
      <c r="HR65" t="str">
        <f t="shared" ca="1" si="173"/>
        <v/>
      </c>
      <c r="HS65" t="str">
        <f t="shared" ca="1" si="174"/>
        <v/>
      </c>
      <c r="HX65" s="253" t="s">
        <v>187</v>
      </c>
      <c r="HY65" s="112" t="str">
        <f t="shared" si="86"/>
        <v>7/9/2009</v>
      </c>
      <c r="HZ65" t="s">
        <v>188</v>
      </c>
      <c r="IA65" s="112" t="str">
        <f t="shared" si="87"/>
        <v>7/9/2009</v>
      </c>
      <c r="IB65" t="s">
        <v>189</v>
      </c>
      <c r="IC65">
        <f t="shared" si="88"/>
        <v>0</v>
      </c>
      <c r="ID65" t="s">
        <v>192</v>
      </c>
      <c r="IE65">
        <f t="shared" si="89"/>
        <v>0</v>
      </c>
      <c r="IF65" t="s">
        <v>191</v>
      </c>
      <c r="IG65" s="254">
        <f t="shared" si="90"/>
        <v>1</v>
      </c>
      <c r="IL65" t="str">
        <f t="shared" si="91"/>
        <v xml:space="preserve">DAL: 7/9/2009 - AL:7/9/2009 - ANNI:0 - MESI:0 -GIORNI:1
</v>
      </c>
      <c r="KD65">
        <v>0</v>
      </c>
      <c r="KE65" s="260">
        <f t="shared" ca="1" si="92"/>
        <v>100000</v>
      </c>
      <c r="KF65" t="str">
        <f t="shared" si="93"/>
        <v>0-2 anni</v>
      </c>
      <c r="KG65">
        <f t="shared" si="22"/>
        <v>6</v>
      </c>
      <c r="KH65" s="238">
        <f t="shared" ca="1" si="23"/>
        <v>255</v>
      </c>
      <c r="KK65">
        <f t="shared" ca="1" si="94"/>
        <v>16218.89</v>
      </c>
      <c r="KL65" t="e">
        <f t="shared" ca="1" si="171"/>
        <v>#N/A</v>
      </c>
      <c r="KM65" t="e">
        <f t="shared" ca="1" si="171"/>
        <v>#N/A</v>
      </c>
      <c r="KN65" t="e">
        <f t="shared" ca="1" si="171"/>
        <v>#N/A</v>
      </c>
      <c r="KO65" t="e">
        <f t="shared" ca="1" si="171"/>
        <v>#N/A</v>
      </c>
      <c r="KV65" t="e">
        <f t="shared" ca="1" si="25"/>
        <v>#N/A</v>
      </c>
      <c r="LA65" s="254" t="str">
        <f t="shared" si="95"/>
        <v>0-2 anni</v>
      </c>
      <c r="LB65" s="112">
        <f t="shared" si="26"/>
        <v>40063</v>
      </c>
      <c r="LC65" s="112">
        <f t="shared" si="26"/>
        <v>40063</v>
      </c>
      <c r="LD65" t="e">
        <f t="shared" ca="1" si="96"/>
        <v>#N/A</v>
      </c>
      <c r="LE65" s="262" t="e">
        <f t="shared" ca="1" si="97"/>
        <v>#N/A</v>
      </c>
      <c r="LF65">
        <f t="shared" si="98"/>
        <v>1</v>
      </c>
      <c r="LG65" t="e">
        <f t="shared" ca="1" si="99"/>
        <v>#N/A</v>
      </c>
      <c r="LL65" s="112">
        <f ca="1">Foglio7ti!GF66</f>
        <v>100000</v>
      </c>
      <c r="LM65" s="308">
        <f t="shared" ca="1" si="27"/>
        <v>100000</v>
      </c>
      <c r="LN65" s="112"/>
      <c r="LO65">
        <f t="shared" si="100"/>
        <v>27</v>
      </c>
      <c r="LP65" s="308">
        <f t="shared" ca="1" si="28"/>
        <v>100000</v>
      </c>
      <c r="LQ65" s="112"/>
      <c r="LS65" s="263">
        <f t="shared" si="29"/>
        <v>27</v>
      </c>
      <c r="LT65" s="308">
        <f t="shared" ca="1" si="30"/>
        <v>100000</v>
      </c>
      <c r="LW65" s="308">
        <f t="shared" ca="1" si="31"/>
        <v>100000</v>
      </c>
      <c r="LZ65" s="308">
        <f t="shared" ca="1" si="32"/>
        <v>100000</v>
      </c>
      <c r="MC65" s="308">
        <f t="shared" ca="1" si="4"/>
        <v>100000</v>
      </c>
      <c r="MD65" t="str">
        <f t="shared" ca="1" si="101"/>
        <v/>
      </c>
      <c r="ME65" s="338" t="str">
        <f t="shared" ca="1" si="33"/>
        <v/>
      </c>
      <c r="MF65" s="338" t="str">
        <f t="shared" ca="1" si="102"/>
        <v/>
      </c>
      <c r="MG65" s="337" t="str">
        <f t="shared" ca="1" si="5"/>
        <v/>
      </c>
      <c r="MH65" s="338" t="str">
        <f t="shared" ca="1" si="35"/>
        <v/>
      </c>
      <c r="MI65" s="337" t="str">
        <f t="shared" ca="1" si="36"/>
        <v/>
      </c>
      <c r="MJ65" s="337" t="str">
        <f t="shared" ca="1" si="6"/>
        <v/>
      </c>
      <c r="MK65" s="337" t="str">
        <f t="shared" ca="1" si="166"/>
        <v/>
      </c>
      <c r="ML65" s="337" t="str">
        <f ca="1">IF(ME65&lt;&gt;"",VLOOKUP(ME65,Foglio7ti!$GF$40:$GG$92,2),"")</f>
        <v/>
      </c>
      <c r="MM65" s="282" t="str">
        <f t="shared" ca="1" si="38"/>
        <v/>
      </c>
      <c r="MN65" s="282"/>
      <c r="MO65" s="320">
        <f t="shared" si="128"/>
        <v>1</v>
      </c>
      <c r="MP65" s="253" t="str">
        <f t="shared" ca="1" si="39"/>
        <v/>
      </c>
      <c r="MQ65" t="e">
        <f t="shared" ca="1" si="160"/>
        <v>#N/A</v>
      </c>
      <c r="MR65" s="238" t="e">
        <f ca="1">VLOOKUP(ME65,Foglio1ti!AB57:AZ357,13)-MQ65</f>
        <v>#N/A</v>
      </c>
      <c r="MS65" t="e">
        <f t="shared" ca="1" si="40"/>
        <v>#N/A</v>
      </c>
      <c r="MT65" t="e">
        <f t="shared" ca="1" si="41"/>
        <v>#N/A</v>
      </c>
      <c r="MU65" s="238" t="e">
        <f ca="1">VLOOKUP(ME65,Foglio1ti!AB57:AZ357,13)-MT65</f>
        <v>#N/A</v>
      </c>
      <c r="MV65" t="e">
        <f t="shared" ca="1" si="42"/>
        <v>#N/A</v>
      </c>
      <c r="MW65">
        <f t="shared" ca="1" si="140"/>
        <v>0</v>
      </c>
      <c r="MX65">
        <f ca="1">IF(AND(frontti!$H$25="SI",ML65="3-8 anni"),INDIRECT(CONCATENATE($MR$37,"BI",MU65)),0)</f>
        <v>0</v>
      </c>
      <c r="MY65" s="254"/>
    </row>
    <row r="66" spans="1:363" x14ac:dyDescent="0.25">
      <c r="A66" s="112">
        <f t="shared" si="141"/>
        <v>40269</v>
      </c>
      <c r="B66" s="112">
        <f t="shared" si="44"/>
        <v>40360</v>
      </c>
      <c r="E66" s="240">
        <f>Foglio3!F46</f>
        <v>40066</v>
      </c>
      <c r="F66" s="240">
        <f>Foglio3!G46</f>
        <v>40421</v>
      </c>
      <c r="G66" s="244"/>
      <c r="H66" s="245">
        <f t="shared" si="45"/>
        <v>40066</v>
      </c>
      <c r="I66" s="245">
        <f t="shared" si="8"/>
        <v>40421</v>
      </c>
      <c r="J66" s="244"/>
      <c r="K66" s="244"/>
      <c r="Q66">
        <f t="shared" si="9"/>
        <v>356</v>
      </c>
      <c r="R66">
        <f t="shared" si="142"/>
        <v>356</v>
      </c>
      <c r="S66">
        <f t="shared" si="46"/>
        <v>0</v>
      </c>
      <c r="T66">
        <f t="shared" si="129"/>
        <v>11</v>
      </c>
      <c r="U66">
        <f t="shared" si="130"/>
        <v>26</v>
      </c>
      <c r="W66">
        <f t="shared" si="172"/>
        <v>0</v>
      </c>
      <c r="X66">
        <f t="shared" si="172"/>
        <v>109</v>
      </c>
      <c r="Y66">
        <f t="shared" si="172"/>
        <v>265</v>
      </c>
      <c r="AA66" s="112">
        <f t="shared" si="103"/>
        <v>40066</v>
      </c>
      <c r="AB66" s="112">
        <f t="shared" si="104"/>
        <v>40421</v>
      </c>
      <c r="AG66">
        <f t="shared" si="47"/>
        <v>1</v>
      </c>
      <c r="AH66" s="112">
        <f t="shared" si="48"/>
        <v>40066</v>
      </c>
      <c r="AI66" s="112">
        <f t="shared" si="48"/>
        <v>40421</v>
      </c>
      <c r="AJ66">
        <f t="shared" si="49"/>
        <v>1</v>
      </c>
      <c r="AK66">
        <f t="shared" si="105"/>
        <v>0</v>
      </c>
      <c r="AL66">
        <f t="shared" si="132"/>
        <v>0</v>
      </c>
      <c r="AN66">
        <f t="shared" si="133"/>
        <v>0</v>
      </c>
      <c r="AO66">
        <f t="shared" si="134"/>
        <v>0</v>
      </c>
      <c r="AP66">
        <f t="shared" si="106"/>
        <v>0</v>
      </c>
      <c r="AS66">
        <f t="shared" si="143"/>
        <v>0</v>
      </c>
      <c r="AT66">
        <f t="shared" si="144"/>
        <v>0</v>
      </c>
      <c r="AV66">
        <f t="shared" si="145"/>
        <v>0</v>
      </c>
      <c r="AW66">
        <f t="shared" si="146"/>
        <v>0</v>
      </c>
      <c r="AX66">
        <f t="shared" si="107"/>
        <v>0</v>
      </c>
      <c r="BA66">
        <f t="shared" si="163"/>
        <v>0</v>
      </c>
      <c r="BB66">
        <f t="shared" si="164"/>
        <v>0</v>
      </c>
      <c r="BD66">
        <f t="shared" si="148"/>
        <v>0</v>
      </c>
      <c r="BE66">
        <f t="shared" si="149"/>
        <v>0</v>
      </c>
      <c r="BF66">
        <f t="shared" si="137"/>
        <v>0</v>
      </c>
      <c r="BI66">
        <f t="shared" si="150"/>
        <v>0</v>
      </c>
      <c r="BJ66">
        <f t="shared" si="153"/>
        <v>0</v>
      </c>
      <c r="BK66">
        <f t="shared" si="154"/>
        <v>0</v>
      </c>
      <c r="BL66">
        <f t="shared" si="155"/>
        <v>0</v>
      </c>
      <c r="BM66">
        <f t="shared" si="147"/>
        <v>0</v>
      </c>
      <c r="BO66">
        <f t="shared" si="156"/>
        <v>0</v>
      </c>
      <c r="BP66">
        <f t="shared" si="157"/>
        <v>0</v>
      </c>
      <c r="BR66">
        <f t="shared" si="158"/>
        <v>0</v>
      </c>
      <c r="BS66">
        <f t="shared" si="159"/>
        <v>0</v>
      </c>
      <c r="BT66">
        <f t="shared" si="151"/>
        <v>0</v>
      </c>
      <c r="BV66">
        <f t="shared" si="108"/>
        <v>0</v>
      </c>
      <c r="BX66">
        <f t="shared" si="109"/>
        <v>0</v>
      </c>
      <c r="BY66">
        <f t="shared" si="110"/>
        <v>0</v>
      </c>
      <c r="BZ66">
        <f t="shared" si="111"/>
        <v>0</v>
      </c>
      <c r="CA66">
        <f t="shared" si="112"/>
        <v>0</v>
      </c>
      <c r="CB66">
        <f t="shared" si="113"/>
        <v>0</v>
      </c>
      <c r="CG66">
        <f t="shared" si="50"/>
        <v>2009</v>
      </c>
      <c r="CH66">
        <f t="shared" si="50"/>
        <v>2010</v>
      </c>
      <c r="CJ66">
        <f t="shared" si="51"/>
        <v>0</v>
      </c>
      <c r="CK66">
        <f t="shared" si="161"/>
        <v>0</v>
      </c>
      <c r="CL66">
        <f t="shared" si="52"/>
        <v>0</v>
      </c>
      <c r="CN66">
        <f t="shared" si="53"/>
        <v>0</v>
      </c>
      <c r="CS66">
        <f t="shared" si="54"/>
        <v>356</v>
      </c>
      <c r="CT66">
        <f t="shared" si="114"/>
        <v>3535</v>
      </c>
      <c r="CV66" s="112">
        <f t="shared" si="55"/>
        <v>40421</v>
      </c>
      <c r="CX66" s="112">
        <f t="shared" si="56"/>
        <v>100000</v>
      </c>
      <c r="CY66" s="112">
        <f t="shared" si="115"/>
        <v>40171</v>
      </c>
      <c r="CZ66" s="112">
        <f t="shared" si="116"/>
        <v>100000</v>
      </c>
      <c r="DA66" s="112">
        <f t="shared" si="117"/>
        <v>100000</v>
      </c>
      <c r="DB66" s="112">
        <f t="shared" si="118"/>
        <v>100000</v>
      </c>
      <c r="DC66" s="112">
        <f t="shared" si="119"/>
        <v>100000</v>
      </c>
      <c r="DU66" s="112"/>
      <c r="DV66" s="112"/>
      <c r="DW66" s="277">
        <v>43191</v>
      </c>
      <c r="DX66" s="276"/>
      <c r="DY66" s="276"/>
      <c r="DZ66" s="276"/>
      <c r="EF66" s="260" t="str">
        <f t="shared" si="162"/>
        <v/>
      </c>
      <c r="EK66" s="254"/>
      <c r="EL66">
        <f t="shared" si="165"/>
        <v>27</v>
      </c>
      <c r="EM66" s="260" t="e">
        <f t="shared" ca="1" si="122"/>
        <v>#NUM!</v>
      </c>
      <c r="EN66" s="112" t="e">
        <f t="shared" ca="1" si="63"/>
        <v>#NUM!</v>
      </c>
      <c r="EO66" s="112">
        <f t="shared" ca="1" si="64"/>
        <v>100000</v>
      </c>
      <c r="EP66" s="112">
        <f t="shared" ca="1" si="123"/>
        <v>100000</v>
      </c>
      <c r="EQ66" s="273">
        <f t="shared" ca="1" si="138"/>
        <v>100000</v>
      </c>
      <c r="ER66" s="302">
        <f t="shared" ca="1" si="65"/>
        <v>100000</v>
      </c>
      <c r="EU66" t="e">
        <f t="shared" ca="1" si="66"/>
        <v>#N/A</v>
      </c>
      <c r="EV66" s="260">
        <f t="shared" ca="1" si="124"/>
        <v>100000</v>
      </c>
      <c r="EW66" t="e">
        <f t="shared" ca="1" si="67"/>
        <v>#N/A</v>
      </c>
      <c r="EX66" t="e">
        <f t="shared" ca="1" si="12"/>
        <v>#N/A</v>
      </c>
      <c r="EY66" s="238" t="e">
        <f t="shared" ca="1" si="13"/>
        <v>#N/A</v>
      </c>
      <c r="FB66" t="e">
        <f t="shared" ca="1" si="68"/>
        <v>#N/A</v>
      </c>
      <c r="FC66" t="e">
        <f t="shared" ca="1" si="167"/>
        <v>#N/A</v>
      </c>
      <c r="FD66" t="e">
        <f t="shared" ca="1" si="167"/>
        <v>#N/A</v>
      </c>
      <c r="FE66" t="e">
        <f t="shared" ca="1" si="167"/>
        <v>#N/A</v>
      </c>
      <c r="FF66" t="e">
        <f t="shared" ca="1" si="167"/>
        <v>#N/A</v>
      </c>
      <c r="FM66" t="e">
        <f t="shared" ca="1" si="15"/>
        <v>#N/A</v>
      </c>
      <c r="FR66" s="254" t="e">
        <f t="shared" ca="1" si="69"/>
        <v>#N/A</v>
      </c>
      <c r="FS66">
        <f t="shared" si="125"/>
        <v>66</v>
      </c>
      <c r="FT66" t="e">
        <f t="shared" ca="1" si="168"/>
        <v>#N/A</v>
      </c>
      <c r="FU66" t="str">
        <f t="shared" ca="1" si="168"/>
        <v>EV66</v>
      </c>
      <c r="FV66" t="e">
        <f t="shared" ca="1" si="168"/>
        <v>#N/A</v>
      </c>
      <c r="FW66" t="e">
        <f t="shared" ca="1" si="168"/>
        <v>#N/A</v>
      </c>
      <c r="FX66" t="e">
        <f t="shared" ca="1" si="168"/>
        <v>#N/A</v>
      </c>
      <c r="FY66" t="e">
        <f t="shared" ca="1" si="168"/>
        <v>#N/A</v>
      </c>
      <c r="FZ66" t="e">
        <f t="shared" ca="1" si="168"/>
        <v>#N/A</v>
      </c>
      <c r="GA66" t="str">
        <f t="shared" ca="1" si="168"/>
        <v/>
      </c>
      <c r="GB66" t="e">
        <f t="shared" ca="1" si="168"/>
        <v>#N/A</v>
      </c>
      <c r="GC66" t="str">
        <f t="shared" ca="1" si="168"/>
        <v/>
      </c>
      <c r="GD66" t="str">
        <f t="shared" ca="1" si="168"/>
        <v/>
      </c>
      <c r="GE66">
        <f t="shared" ca="1" si="126"/>
        <v>0</v>
      </c>
      <c r="GF66" s="112">
        <f t="shared" ca="1" si="70"/>
        <v>100000</v>
      </c>
      <c r="GG66" s="112" t="e">
        <f t="shared" ca="1" si="71"/>
        <v>#N/A</v>
      </c>
      <c r="GH66" s="262" t="e">
        <f t="shared" ca="1" si="169"/>
        <v>#N/A</v>
      </c>
      <c r="GI66" s="262" t="e">
        <f t="shared" ca="1" si="169"/>
        <v>#N/A</v>
      </c>
      <c r="GJ66" s="262" t="e">
        <f t="shared" ca="1" si="169"/>
        <v>#N/A</v>
      </c>
      <c r="GK66" s="262" t="e">
        <f t="shared" ca="1" si="169"/>
        <v>#N/A</v>
      </c>
      <c r="GL66" s="262" t="e">
        <f t="shared" ca="1" si="169"/>
        <v>#N/A</v>
      </c>
      <c r="GM66" s="262">
        <f t="shared" ca="1" si="169"/>
        <v>0</v>
      </c>
      <c r="GN66" s="262" t="e">
        <f t="shared" ca="1" si="169"/>
        <v>#N/A</v>
      </c>
      <c r="GO66" s="262">
        <f t="shared" ca="1" si="72"/>
        <v>0</v>
      </c>
      <c r="GP66" s="262">
        <f t="shared" ca="1" si="73"/>
        <v>0</v>
      </c>
      <c r="GR66" s="262" t="e">
        <f t="shared" ca="1" si="75"/>
        <v>#N/A</v>
      </c>
      <c r="GS66" s="262" t="e">
        <f t="shared" ca="1" si="18"/>
        <v>#N/A</v>
      </c>
      <c r="GT66" s="253" t="str">
        <f t="shared" ca="1" si="76"/>
        <v/>
      </c>
      <c r="GU66" t="str">
        <f t="shared" ca="1" si="77"/>
        <v/>
      </c>
      <c r="GV66" t="str">
        <f t="shared" ca="1" si="78"/>
        <v/>
      </c>
      <c r="GW66" t="e">
        <f t="shared" ca="1" si="139"/>
        <v>#N/A</v>
      </c>
      <c r="GX66" t="e">
        <f t="shared" ca="1" si="170"/>
        <v>#N/A</v>
      </c>
      <c r="GY66" t="e">
        <f t="shared" ca="1" si="170"/>
        <v>#N/A</v>
      </c>
      <c r="GZ66" t="e">
        <f t="shared" ca="1" si="20"/>
        <v>#N/A</v>
      </c>
      <c r="HA66" t="e">
        <f t="shared" ca="1" si="170"/>
        <v>#N/A</v>
      </c>
      <c r="HB66" t="str">
        <f t="shared" ca="1" si="170"/>
        <v/>
      </c>
      <c r="HC66" t="e">
        <f t="shared" ca="1" si="170"/>
        <v>#N/A</v>
      </c>
      <c r="HD66" t="str">
        <f t="shared" ca="1" si="79"/>
        <v/>
      </c>
      <c r="HE66" s="254" t="str">
        <f t="shared" ca="1" si="170"/>
        <v/>
      </c>
      <c r="HF66" s="254" t="e">
        <f t="shared" ca="1" si="80"/>
        <v>#N/A</v>
      </c>
      <c r="HM66" s="263" t="e">
        <f t="shared" ca="1" si="81"/>
        <v>#N/A</v>
      </c>
      <c r="HO66" s="272" t="str">
        <f t="shared" ca="1" si="21"/>
        <v/>
      </c>
      <c r="HP66">
        <f t="shared" ca="1" si="82"/>
        <v>0</v>
      </c>
      <c r="HQ66" t="str">
        <f t="shared" ca="1" si="83"/>
        <v/>
      </c>
      <c r="HR66" t="str">
        <f t="shared" ca="1" si="173"/>
        <v/>
      </c>
      <c r="HS66" t="str">
        <f t="shared" ca="1" si="174"/>
        <v/>
      </c>
      <c r="HX66" s="253" t="s">
        <v>187</v>
      </c>
      <c r="HY66" s="112" t="str">
        <f t="shared" si="86"/>
        <v>10/9/2009</v>
      </c>
      <c r="HZ66" t="s">
        <v>188</v>
      </c>
      <c r="IA66" s="112" t="str">
        <f t="shared" si="87"/>
        <v>31/8/2010</v>
      </c>
      <c r="IB66" t="s">
        <v>189</v>
      </c>
      <c r="IC66">
        <f t="shared" si="88"/>
        <v>0</v>
      </c>
      <c r="ID66" t="s">
        <v>192</v>
      </c>
      <c r="IE66">
        <f t="shared" si="89"/>
        <v>11</v>
      </c>
      <c r="IF66" t="s">
        <v>191</v>
      </c>
      <c r="IG66" s="254">
        <f t="shared" si="90"/>
        <v>26</v>
      </c>
      <c r="IL66" t="str">
        <f t="shared" si="91"/>
        <v xml:space="preserve">DAL: 10/9/2009 - AL:31/8/2010 - ANNI:0 - MESI:11 -GIORNI:26
</v>
      </c>
      <c r="KD66">
        <v>0</v>
      </c>
      <c r="KE66" s="260">
        <f t="shared" ca="1" si="92"/>
        <v>100000</v>
      </c>
      <c r="KF66" t="str">
        <f t="shared" si="93"/>
        <v>0-2 anni</v>
      </c>
      <c r="KG66">
        <f t="shared" si="22"/>
        <v>6</v>
      </c>
      <c r="KH66" s="238">
        <f t="shared" ca="1" si="23"/>
        <v>255</v>
      </c>
      <c r="KK66">
        <f t="shared" ca="1" si="94"/>
        <v>16218.89</v>
      </c>
      <c r="KL66" t="e">
        <f t="shared" ca="1" si="171"/>
        <v>#N/A</v>
      </c>
      <c r="KM66" t="e">
        <f t="shared" ca="1" si="171"/>
        <v>#N/A</v>
      </c>
      <c r="KN66" t="e">
        <f t="shared" ca="1" si="171"/>
        <v>#N/A</v>
      </c>
      <c r="KO66" t="e">
        <f t="shared" ca="1" si="171"/>
        <v>#N/A</v>
      </c>
      <c r="KV66" t="e">
        <f t="shared" ca="1" si="25"/>
        <v>#N/A</v>
      </c>
      <c r="LA66" s="254" t="str">
        <f t="shared" si="95"/>
        <v>0-2 anni</v>
      </c>
      <c r="LB66" s="112">
        <f t="shared" si="26"/>
        <v>40066</v>
      </c>
      <c r="LC66" s="112">
        <f t="shared" si="26"/>
        <v>40421</v>
      </c>
      <c r="LD66" t="e">
        <f t="shared" ca="1" si="96"/>
        <v>#N/A</v>
      </c>
      <c r="LE66" s="262" t="e">
        <f t="shared" ca="1" si="97"/>
        <v>#N/A</v>
      </c>
      <c r="LF66">
        <f t="shared" si="98"/>
        <v>356</v>
      </c>
      <c r="LG66" t="e">
        <f t="shared" ca="1" si="99"/>
        <v>#N/A</v>
      </c>
      <c r="LL66" s="112">
        <f ca="1">Foglio7ti!GF67</f>
        <v>100000</v>
      </c>
      <c r="LM66" s="308">
        <f t="shared" ca="1" si="27"/>
        <v>100000</v>
      </c>
      <c r="LN66" s="112"/>
      <c r="LO66">
        <f t="shared" si="100"/>
        <v>28</v>
      </c>
      <c r="LP66" s="308">
        <f t="shared" ca="1" si="28"/>
        <v>100000</v>
      </c>
      <c r="LQ66" s="112"/>
      <c r="LS66" s="263">
        <f t="shared" si="29"/>
        <v>28</v>
      </c>
      <c r="LT66" s="308">
        <f t="shared" ca="1" si="30"/>
        <v>100000</v>
      </c>
      <c r="LW66" s="308">
        <f t="shared" ca="1" si="31"/>
        <v>100000</v>
      </c>
      <c r="LZ66" s="308">
        <f t="shared" ca="1" si="32"/>
        <v>100000</v>
      </c>
      <c r="MC66" s="308">
        <f t="shared" ca="1" si="4"/>
        <v>100000</v>
      </c>
      <c r="MD66" t="str">
        <f t="shared" ca="1" si="101"/>
        <v/>
      </c>
      <c r="ME66" s="338" t="str">
        <f t="shared" ca="1" si="33"/>
        <v/>
      </c>
      <c r="MF66" s="338" t="str">
        <f t="shared" ca="1" si="102"/>
        <v/>
      </c>
      <c r="MG66" s="337" t="str">
        <f t="shared" ca="1" si="5"/>
        <v/>
      </c>
      <c r="MH66" s="338" t="str">
        <f t="shared" ca="1" si="35"/>
        <v/>
      </c>
      <c r="MI66" s="337" t="str">
        <f t="shared" ca="1" si="36"/>
        <v/>
      </c>
      <c r="MJ66" s="337" t="str">
        <f t="shared" ca="1" si="6"/>
        <v/>
      </c>
      <c r="MK66" s="337" t="str">
        <f t="shared" ca="1" si="166"/>
        <v/>
      </c>
      <c r="ML66" s="337" t="str">
        <f ca="1">IF(ME66&lt;&gt;"",VLOOKUP(ME66,Foglio7ti!$GF$40:$GG$92,2),"")</f>
        <v/>
      </c>
      <c r="MM66" s="282" t="str">
        <f t="shared" ca="1" si="38"/>
        <v/>
      </c>
      <c r="MN66" s="282"/>
      <c r="MO66" s="320">
        <f t="shared" si="128"/>
        <v>1</v>
      </c>
      <c r="MP66" s="253" t="str">
        <f t="shared" ca="1" si="39"/>
        <v/>
      </c>
      <c r="MQ66" t="e">
        <f t="shared" ca="1" si="160"/>
        <v>#N/A</v>
      </c>
      <c r="MR66" s="238" t="e">
        <f ca="1">VLOOKUP(ME66,Foglio1ti!AB58:AZ358,13)-MQ66</f>
        <v>#N/A</v>
      </c>
      <c r="MS66" t="e">
        <f t="shared" ca="1" si="40"/>
        <v>#N/A</v>
      </c>
      <c r="MT66" t="e">
        <f t="shared" ca="1" si="41"/>
        <v>#N/A</v>
      </c>
      <c r="MU66" s="238" t="e">
        <f ca="1">VLOOKUP(ME66,Foglio1ti!AB58:AZ358,13)-MT66</f>
        <v>#N/A</v>
      </c>
      <c r="MV66" t="e">
        <f t="shared" ca="1" si="42"/>
        <v>#N/A</v>
      </c>
      <c r="MW66">
        <f t="shared" ca="1" si="140"/>
        <v>0</v>
      </c>
      <c r="MX66">
        <f ca="1">IF(AND(frontti!$H$25="SI",ML66="3-8 anni"),INDIRECT(CONCATENATE($MR$37,"BI",MU66)),0)</f>
        <v>0</v>
      </c>
      <c r="MY66" s="254"/>
    </row>
    <row r="67" spans="1:363" x14ac:dyDescent="0.25">
      <c r="A67" s="112">
        <f t="shared" si="141"/>
        <v>40422</v>
      </c>
      <c r="B67" s="112">
        <f t="shared" si="44"/>
        <v>40544</v>
      </c>
      <c r="E67" s="240">
        <f>Foglio3!F47</f>
        <v>40430</v>
      </c>
      <c r="F67" s="240">
        <f>Foglio3!G47</f>
        <v>40739</v>
      </c>
      <c r="G67" s="244"/>
      <c r="H67" s="245">
        <f t="shared" si="45"/>
        <v>40430</v>
      </c>
      <c r="I67" s="245">
        <f t="shared" si="8"/>
        <v>40739</v>
      </c>
      <c r="J67" s="244"/>
      <c r="K67" s="244"/>
      <c r="Q67">
        <f t="shared" si="9"/>
        <v>310</v>
      </c>
      <c r="R67">
        <f t="shared" si="142"/>
        <v>310</v>
      </c>
      <c r="S67">
        <f t="shared" si="46"/>
        <v>0</v>
      </c>
      <c r="T67">
        <f t="shared" si="129"/>
        <v>10</v>
      </c>
      <c r="U67">
        <f t="shared" si="130"/>
        <v>10</v>
      </c>
      <c r="W67">
        <f t="shared" si="172"/>
        <v>0</v>
      </c>
      <c r="X67">
        <f t="shared" si="172"/>
        <v>119</v>
      </c>
      <c r="Y67">
        <f t="shared" si="172"/>
        <v>275</v>
      </c>
      <c r="AA67" s="112">
        <f t="shared" si="103"/>
        <v>40430</v>
      </c>
      <c r="AB67" s="112">
        <f t="shared" si="104"/>
        <v>40739</v>
      </c>
      <c r="AG67">
        <f t="shared" si="47"/>
        <v>1</v>
      </c>
      <c r="AH67" s="112">
        <f t="shared" si="48"/>
        <v>40430</v>
      </c>
      <c r="AI67" s="112">
        <f t="shared" si="48"/>
        <v>40739</v>
      </c>
      <c r="AJ67">
        <f t="shared" si="49"/>
        <v>1</v>
      </c>
      <c r="AK67">
        <f t="shared" si="105"/>
        <v>0</v>
      </c>
      <c r="AL67">
        <f t="shared" si="132"/>
        <v>0</v>
      </c>
      <c r="AN67">
        <f t="shared" si="133"/>
        <v>0</v>
      </c>
      <c r="AO67">
        <f t="shared" si="134"/>
        <v>0</v>
      </c>
      <c r="AP67">
        <f t="shared" si="106"/>
        <v>0</v>
      </c>
      <c r="AS67">
        <f t="shared" si="143"/>
        <v>0</v>
      </c>
      <c r="AT67">
        <f t="shared" si="144"/>
        <v>0</v>
      </c>
      <c r="AV67">
        <f t="shared" si="145"/>
        <v>0</v>
      </c>
      <c r="AW67">
        <f t="shared" si="146"/>
        <v>0</v>
      </c>
      <c r="AX67">
        <f t="shared" si="107"/>
        <v>0</v>
      </c>
      <c r="BA67">
        <f t="shared" si="163"/>
        <v>0</v>
      </c>
      <c r="BB67">
        <f t="shared" si="164"/>
        <v>0</v>
      </c>
      <c r="BD67">
        <f t="shared" si="148"/>
        <v>0</v>
      </c>
      <c r="BE67">
        <f t="shared" si="149"/>
        <v>0</v>
      </c>
      <c r="BF67">
        <f t="shared" si="137"/>
        <v>0</v>
      </c>
      <c r="BI67">
        <f t="shared" si="150"/>
        <v>0</v>
      </c>
      <c r="BJ67">
        <f t="shared" si="153"/>
        <v>0</v>
      </c>
      <c r="BK67">
        <f t="shared" si="154"/>
        <v>0</v>
      </c>
      <c r="BL67">
        <f t="shared" si="155"/>
        <v>0</v>
      </c>
      <c r="BM67">
        <f t="shared" si="147"/>
        <v>0</v>
      </c>
      <c r="BO67">
        <f t="shared" si="156"/>
        <v>0</v>
      </c>
      <c r="BP67">
        <f t="shared" si="157"/>
        <v>0</v>
      </c>
      <c r="BR67">
        <f t="shared" si="158"/>
        <v>0</v>
      </c>
      <c r="BS67">
        <f t="shared" si="159"/>
        <v>0</v>
      </c>
      <c r="BT67">
        <f t="shared" si="151"/>
        <v>0</v>
      </c>
      <c r="BV67">
        <f t="shared" si="108"/>
        <v>0</v>
      </c>
      <c r="BX67">
        <f t="shared" si="109"/>
        <v>0</v>
      </c>
      <c r="BY67">
        <f t="shared" si="110"/>
        <v>0</v>
      </c>
      <c r="BZ67">
        <f t="shared" si="111"/>
        <v>0</v>
      </c>
      <c r="CA67">
        <f t="shared" si="112"/>
        <v>0</v>
      </c>
      <c r="CB67">
        <f t="shared" si="113"/>
        <v>0</v>
      </c>
      <c r="CG67">
        <f t="shared" si="50"/>
        <v>2010</v>
      </c>
      <c r="CH67">
        <f t="shared" si="50"/>
        <v>2011</v>
      </c>
      <c r="CJ67">
        <f t="shared" si="51"/>
        <v>0</v>
      </c>
      <c r="CK67">
        <f t="shared" si="161"/>
        <v>0</v>
      </c>
      <c r="CL67">
        <f t="shared" si="52"/>
        <v>0</v>
      </c>
      <c r="CN67">
        <f t="shared" si="53"/>
        <v>0</v>
      </c>
      <c r="CS67">
        <f t="shared" si="54"/>
        <v>310</v>
      </c>
      <c r="CT67">
        <f t="shared" si="114"/>
        <v>3845</v>
      </c>
      <c r="CV67" s="112">
        <f t="shared" si="55"/>
        <v>40739</v>
      </c>
      <c r="CX67" s="112">
        <f t="shared" si="56"/>
        <v>100000</v>
      </c>
      <c r="CY67" s="112">
        <f t="shared" si="115"/>
        <v>100000</v>
      </c>
      <c r="CZ67" s="112">
        <f t="shared" si="116"/>
        <v>100000</v>
      </c>
      <c r="DA67" s="112">
        <f t="shared" si="117"/>
        <v>100000</v>
      </c>
      <c r="DB67" s="112">
        <f t="shared" si="118"/>
        <v>100000</v>
      </c>
      <c r="DC67" s="112">
        <f t="shared" si="119"/>
        <v>100000</v>
      </c>
      <c r="DU67" s="112"/>
      <c r="DV67" s="112"/>
      <c r="DW67" s="277">
        <v>43466</v>
      </c>
      <c r="DX67" s="276"/>
      <c r="DY67" s="276"/>
      <c r="DZ67" s="276"/>
      <c r="EF67" s="260" t="str">
        <f t="shared" si="162"/>
        <v/>
      </c>
      <c r="EK67" s="254"/>
      <c r="EL67">
        <f t="shared" si="165"/>
        <v>28</v>
      </c>
      <c r="EM67" s="260" t="e">
        <f t="shared" ca="1" si="122"/>
        <v>#NUM!</v>
      </c>
      <c r="EN67" s="112" t="e">
        <f t="shared" ca="1" si="63"/>
        <v>#NUM!</v>
      </c>
      <c r="EO67" s="112">
        <f t="shared" ca="1" si="64"/>
        <v>100000</v>
      </c>
      <c r="EP67" s="112">
        <f t="shared" ca="1" si="123"/>
        <v>100000</v>
      </c>
      <c r="EQ67" s="273">
        <f t="shared" ca="1" si="138"/>
        <v>100000</v>
      </c>
      <c r="ER67" s="302">
        <f t="shared" ca="1" si="65"/>
        <v>100000</v>
      </c>
      <c r="EU67" t="e">
        <f t="shared" ca="1" si="66"/>
        <v>#N/A</v>
      </c>
      <c r="EV67" s="260">
        <f t="shared" ca="1" si="124"/>
        <v>100000</v>
      </c>
      <c r="EW67" t="e">
        <f t="shared" ca="1" si="67"/>
        <v>#N/A</v>
      </c>
      <c r="EX67" t="e">
        <f t="shared" ca="1" si="12"/>
        <v>#N/A</v>
      </c>
      <c r="EY67" s="238" t="e">
        <f t="shared" ca="1" si="13"/>
        <v>#N/A</v>
      </c>
      <c r="FB67" t="e">
        <f t="shared" ca="1" si="68"/>
        <v>#N/A</v>
      </c>
      <c r="FC67" t="e">
        <f t="shared" ca="1" si="167"/>
        <v>#N/A</v>
      </c>
      <c r="FD67" t="e">
        <f t="shared" ca="1" si="167"/>
        <v>#N/A</v>
      </c>
      <c r="FE67" t="e">
        <f t="shared" ca="1" si="167"/>
        <v>#N/A</v>
      </c>
      <c r="FF67" t="e">
        <f t="shared" ca="1" si="167"/>
        <v>#N/A</v>
      </c>
      <c r="FM67" t="e">
        <f t="shared" ca="1" si="15"/>
        <v>#N/A</v>
      </c>
      <c r="FR67" s="254" t="e">
        <f t="shared" ca="1" si="69"/>
        <v>#N/A</v>
      </c>
      <c r="FS67">
        <f t="shared" si="125"/>
        <v>67</v>
      </c>
      <c r="FT67" t="e">
        <f t="shared" ca="1" si="168"/>
        <v>#N/A</v>
      </c>
      <c r="FU67" t="str">
        <f t="shared" ca="1" si="168"/>
        <v>EV67</v>
      </c>
      <c r="FV67" t="e">
        <f t="shared" ca="1" si="168"/>
        <v>#N/A</v>
      </c>
      <c r="FW67" t="e">
        <f t="shared" ca="1" si="168"/>
        <v>#N/A</v>
      </c>
      <c r="FX67" t="e">
        <f t="shared" ca="1" si="168"/>
        <v>#N/A</v>
      </c>
      <c r="FY67" t="e">
        <f t="shared" ca="1" si="168"/>
        <v>#N/A</v>
      </c>
      <c r="FZ67" t="e">
        <f t="shared" ca="1" si="168"/>
        <v>#N/A</v>
      </c>
      <c r="GA67" t="str">
        <f t="shared" ca="1" si="168"/>
        <v/>
      </c>
      <c r="GB67" t="e">
        <f t="shared" ca="1" si="168"/>
        <v>#N/A</v>
      </c>
      <c r="GC67" t="str">
        <f t="shared" ca="1" si="168"/>
        <v/>
      </c>
      <c r="GD67" t="str">
        <f t="shared" ca="1" si="168"/>
        <v/>
      </c>
      <c r="GE67">
        <f t="shared" ca="1" si="126"/>
        <v>0</v>
      </c>
      <c r="GF67" s="112">
        <f t="shared" ca="1" si="70"/>
        <v>100000</v>
      </c>
      <c r="GG67" s="112" t="e">
        <f t="shared" ca="1" si="71"/>
        <v>#N/A</v>
      </c>
      <c r="GH67" s="262" t="e">
        <f t="shared" ca="1" si="169"/>
        <v>#N/A</v>
      </c>
      <c r="GI67" s="262" t="e">
        <f t="shared" ca="1" si="169"/>
        <v>#N/A</v>
      </c>
      <c r="GJ67" s="262" t="e">
        <f t="shared" ca="1" si="169"/>
        <v>#N/A</v>
      </c>
      <c r="GK67" s="262" t="e">
        <f t="shared" ca="1" si="169"/>
        <v>#N/A</v>
      </c>
      <c r="GL67" s="262" t="e">
        <f t="shared" ca="1" si="169"/>
        <v>#N/A</v>
      </c>
      <c r="GM67" s="262">
        <f t="shared" ca="1" si="169"/>
        <v>0</v>
      </c>
      <c r="GN67" s="262" t="e">
        <f t="shared" ca="1" si="169"/>
        <v>#N/A</v>
      </c>
      <c r="GO67" s="262">
        <f t="shared" ca="1" si="72"/>
        <v>0</v>
      </c>
      <c r="GP67" s="262">
        <f t="shared" ca="1" si="73"/>
        <v>0</v>
      </c>
      <c r="GR67" s="262" t="e">
        <f t="shared" ca="1" si="75"/>
        <v>#N/A</v>
      </c>
      <c r="GS67" s="262" t="e">
        <f t="shared" ca="1" si="18"/>
        <v>#N/A</v>
      </c>
      <c r="GT67" s="253" t="str">
        <f t="shared" ca="1" si="76"/>
        <v/>
      </c>
      <c r="GU67" t="str">
        <f t="shared" ca="1" si="77"/>
        <v/>
      </c>
      <c r="GV67" t="str">
        <f t="shared" ca="1" si="78"/>
        <v/>
      </c>
      <c r="GW67" t="e">
        <f t="shared" ca="1" si="139"/>
        <v>#N/A</v>
      </c>
      <c r="GX67" t="e">
        <f t="shared" ca="1" si="170"/>
        <v>#N/A</v>
      </c>
      <c r="GY67" t="e">
        <f t="shared" ca="1" si="170"/>
        <v>#N/A</v>
      </c>
      <c r="GZ67" t="e">
        <f t="shared" ca="1" si="20"/>
        <v>#N/A</v>
      </c>
      <c r="HA67" t="e">
        <f t="shared" ca="1" si="170"/>
        <v>#N/A</v>
      </c>
      <c r="HB67" t="str">
        <f t="shared" ca="1" si="170"/>
        <v/>
      </c>
      <c r="HC67" t="e">
        <f t="shared" ca="1" si="170"/>
        <v>#N/A</v>
      </c>
      <c r="HD67" t="str">
        <f t="shared" ca="1" si="79"/>
        <v/>
      </c>
      <c r="HE67" s="254" t="str">
        <f t="shared" ca="1" si="170"/>
        <v/>
      </c>
      <c r="HF67" s="254" t="e">
        <f t="shared" ca="1" si="80"/>
        <v>#N/A</v>
      </c>
      <c r="HM67" s="263" t="e">
        <f t="shared" ca="1" si="81"/>
        <v>#N/A</v>
      </c>
      <c r="HO67" s="272" t="str">
        <f t="shared" ca="1" si="21"/>
        <v/>
      </c>
      <c r="HP67">
        <f t="shared" ca="1" si="82"/>
        <v>0</v>
      </c>
      <c r="HQ67" t="str">
        <f t="shared" ca="1" si="83"/>
        <v/>
      </c>
      <c r="HR67" t="str">
        <f t="shared" ca="1" si="173"/>
        <v/>
      </c>
      <c r="HS67" t="str">
        <f t="shared" ca="1" si="174"/>
        <v/>
      </c>
      <c r="HX67" s="253" t="s">
        <v>187</v>
      </c>
      <c r="HY67" s="112" t="str">
        <f t="shared" si="86"/>
        <v>9/9/2010</v>
      </c>
      <c r="HZ67" t="s">
        <v>188</v>
      </c>
      <c r="IA67" s="112" t="str">
        <f t="shared" si="87"/>
        <v>15/7/2011</v>
      </c>
      <c r="IB67" t="s">
        <v>189</v>
      </c>
      <c r="IC67">
        <f t="shared" si="88"/>
        <v>0</v>
      </c>
      <c r="ID67" t="s">
        <v>192</v>
      </c>
      <c r="IE67">
        <f t="shared" si="89"/>
        <v>10</v>
      </c>
      <c r="IF67" t="s">
        <v>191</v>
      </c>
      <c r="IG67" s="254">
        <f t="shared" si="90"/>
        <v>10</v>
      </c>
      <c r="IL67" t="str">
        <f t="shared" si="91"/>
        <v xml:space="preserve">DAL: 9/9/2010 - AL:15/7/2011 - ANNI:0 - MESI:10 -GIORNI:10
</v>
      </c>
      <c r="KD67">
        <v>0</v>
      </c>
      <c r="KE67" s="260">
        <f t="shared" ca="1" si="92"/>
        <v>100000</v>
      </c>
      <c r="KF67" t="str">
        <f t="shared" si="93"/>
        <v>0-2 anni</v>
      </c>
      <c r="KG67">
        <f t="shared" si="22"/>
        <v>6</v>
      </c>
      <c r="KH67" s="238">
        <f t="shared" ca="1" si="23"/>
        <v>255</v>
      </c>
      <c r="KK67">
        <f t="shared" ca="1" si="94"/>
        <v>16218.89</v>
      </c>
      <c r="KL67" t="e">
        <f t="shared" ca="1" si="171"/>
        <v>#N/A</v>
      </c>
      <c r="KM67" t="e">
        <f t="shared" ca="1" si="171"/>
        <v>#N/A</v>
      </c>
      <c r="KN67" t="e">
        <f t="shared" ca="1" si="171"/>
        <v>#N/A</v>
      </c>
      <c r="KO67" t="e">
        <f t="shared" ca="1" si="171"/>
        <v>#N/A</v>
      </c>
      <c r="KV67" t="e">
        <f t="shared" ca="1" si="25"/>
        <v>#N/A</v>
      </c>
      <c r="LA67" s="254" t="str">
        <f t="shared" si="95"/>
        <v>0-2 anni</v>
      </c>
      <c r="LB67" s="112">
        <f t="shared" si="26"/>
        <v>40430</v>
      </c>
      <c r="LC67" s="112">
        <f t="shared" si="26"/>
        <v>40739</v>
      </c>
      <c r="LD67" t="e">
        <f t="shared" ca="1" si="96"/>
        <v>#N/A</v>
      </c>
      <c r="LE67" s="262" t="e">
        <f t="shared" ca="1" si="97"/>
        <v>#N/A</v>
      </c>
      <c r="LF67">
        <f t="shared" si="98"/>
        <v>310</v>
      </c>
      <c r="LG67" t="e">
        <f t="shared" ca="1" si="99"/>
        <v>#N/A</v>
      </c>
      <c r="LL67" s="112">
        <f ca="1">Foglio7ti!GF68</f>
        <v>100000</v>
      </c>
      <c r="LM67" s="308">
        <f t="shared" ca="1" si="27"/>
        <v>100000</v>
      </c>
      <c r="LN67" s="112"/>
      <c r="LO67">
        <f t="shared" si="100"/>
        <v>29</v>
      </c>
      <c r="LP67" s="308">
        <f t="shared" ca="1" si="28"/>
        <v>100000</v>
      </c>
      <c r="LQ67" s="112"/>
      <c r="LS67" s="263">
        <f t="shared" si="29"/>
        <v>29</v>
      </c>
      <c r="LT67" s="308">
        <f t="shared" ca="1" si="30"/>
        <v>100000</v>
      </c>
      <c r="LW67" s="308">
        <f t="shared" ca="1" si="31"/>
        <v>100000</v>
      </c>
      <c r="LZ67" s="308">
        <f t="shared" ca="1" si="32"/>
        <v>100000</v>
      </c>
      <c r="MC67" s="308">
        <f t="shared" ca="1" si="4"/>
        <v>100000</v>
      </c>
      <c r="MD67" t="str">
        <f t="shared" ca="1" si="101"/>
        <v/>
      </c>
      <c r="ME67" s="338" t="str">
        <f t="shared" ca="1" si="33"/>
        <v/>
      </c>
      <c r="MF67" s="338" t="str">
        <f t="shared" ca="1" si="102"/>
        <v/>
      </c>
      <c r="MG67" s="337" t="str">
        <f t="shared" ca="1" si="5"/>
        <v/>
      </c>
      <c r="MH67" s="338" t="str">
        <f t="shared" ca="1" si="35"/>
        <v/>
      </c>
      <c r="MI67" s="337" t="str">
        <f t="shared" ca="1" si="36"/>
        <v/>
      </c>
      <c r="MJ67" s="337" t="str">
        <f t="shared" ca="1" si="6"/>
        <v/>
      </c>
      <c r="MK67" s="337" t="str">
        <f t="shared" ca="1" si="166"/>
        <v/>
      </c>
      <c r="ML67" s="337" t="str">
        <f ca="1">IF(ME67&lt;&gt;"",VLOOKUP(ME67,Foglio7ti!$GF$40:$GG$92,2),"")</f>
        <v/>
      </c>
      <c r="MM67" s="282" t="str">
        <f t="shared" ca="1" si="38"/>
        <v/>
      </c>
      <c r="MN67" s="282"/>
      <c r="MO67" s="320">
        <f t="shared" si="128"/>
        <v>1</v>
      </c>
      <c r="MP67" s="253" t="str">
        <f t="shared" ca="1" si="39"/>
        <v/>
      </c>
      <c r="MQ67" t="e">
        <f t="shared" ca="1" si="160"/>
        <v>#N/A</v>
      </c>
      <c r="MR67" s="238" t="e">
        <f ca="1">VLOOKUP(ME67,Foglio1ti!AB59:AZ359,13)-MQ67</f>
        <v>#N/A</v>
      </c>
      <c r="MS67" t="e">
        <f t="shared" ca="1" si="40"/>
        <v>#N/A</v>
      </c>
      <c r="MT67" t="e">
        <f t="shared" ca="1" si="41"/>
        <v>#N/A</v>
      </c>
      <c r="MU67" s="238" t="e">
        <f ca="1">VLOOKUP(ME67,Foglio1ti!AB59:AZ359,13)-MT67</f>
        <v>#N/A</v>
      </c>
      <c r="MV67" t="e">
        <f t="shared" ca="1" si="42"/>
        <v>#N/A</v>
      </c>
      <c r="MW67">
        <f t="shared" ca="1" si="140"/>
        <v>0</v>
      </c>
      <c r="MX67">
        <f ca="1">IF(AND(frontti!$H$25="SI",ML67="3-8 anni"),INDIRECT(CONCATENATE($MR$37,"BI",MU67)),0)</f>
        <v>0</v>
      </c>
      <c r="MY67" s="254"/>
    </row>
    <row r="68" spans="1:363" x14ac:dyDescent="0.25">
      <c r="A68" s="112">
        <f t="shared" si="141"/>
        <v>40422</v>
      </c>
      <c r="B68" s="112">
        <f t="shared" si="44"/>
        <v>40544</v>
      </c>
      <c r="E68" s="240">
        <f>Foglio3!F48</f>
        <v>40431</v>
      </c>
      <c r="F68" s="240">
        <f>Foglio3!G48</f>
        <v>40739</v>
      </c>
      <c r="G68" s="244"/>
      <c r="H68" s="245">
        <f t="shared" si="45"/>
        <v>40431</v>
      </c>
      <c r="I68" s="245">
        <f t="shared" si="8"/>
        <v>40739</v>
      </c>
      <c r="J68" s="244"/>
      <c r="K68" s="244"/>
      <c r="Q68">
        <f t="shared" si="9"/>
        <v>309</v>
      </c>
      <c r="R68">
        <f t="shared" si="142"/>
        <v>0</v>
      </c>
      <c r="S68">
        <f t="shared" si="46"/>
        <v>0</v>
      </c>
      <c r="T68">
        <f t="shared" si="129"/>
        <v>0</v>
      </c>
      <c r="U68">
        <f t="shared" si="130"/>
        <v>0</v>
      </c>
      <c r="W68">
        <f t="shared" si="172"/>
        <v>0</v>
      </c>
      <c r="X68">
        <f t="shared" si="172"/>
        <v>119</v>
      </c>
      <c r="Y68">
        <f t="shared" si="172"/>
        <v>275</v>
      </c>
      <c r="AA68" s="112">
        <f t="shared" si="103"/>
        <v>40431</v>
      </c>
      <c r="AB68" s="112">
        <f t="shared" si="104"/>
        <v>40739</v>
      </c>
      <c r="AG68">
        <f t="shared" si="47"/>
        <v>1</v>
      </c>
      <c r="AH68" s="112">
        <f t="shared" si="48"/>
        <v>40431</v>
      </c>
      <c r="AI68" s="112">
        <f t="shared" si="48"/>
        <v>40739</v>
      </c>
      <c r="AJ68">
        <f t="shared" si="49"/>
        <v>1</v>
      </c>
      <c r="AK68">
        <f t="shared" si="105"/>
        <v>1</v>
      </c>
      <c r="AL68">
        <f t="shared" si="132"/>
        <v>0</v>
      </c>
      <c r="AN68">
        <f t="shared" si="133"/>
        <v>309</v>
      </c>
      <c r="AO68">
        <f t="shared" si="134"/>
        <v>0</v>
      </c>
      <c r="AP68">
        <f t="shared" si="106"/>
        <v>309</v>
      </c>
      <c r="AS68">
        <f t="shared" si="143"/>
        <v>0</v>
      </c>
      <c r="AT68">
        <f t="shared" si="144"/>
        <v>0</v>
      </c>
      <c r="AV68">
        <f t="shared" si="145"/>
        <v>0</v>
      </c>
      <c r="AW68">
        <f t="shared" si="146"/>
        <v>0</v>
      </c>
      <c r="AX68">
        <f t="shared" si="107"/>
        <v>0</v>
      </c>
      <c r="BA68">
        <f t="shared" si="163"/>
        <v>0</v>
      </c>
      <c r="BB68">
        <f t="shared" si="164"/>
        <v>0</v>
      </c>
      <c r="BD68">
        <f t="shared" si="148"/>
        <v>0</v>
      </c>
      <c r="BE68">
        <f t="shared" si="149"/>
        <v>0</v>
      </c>
      <c r="BF68">
        <f t="shared" si="137"/>
        <v>0</v>
      </c>
      <c r="BI68">
        <f t="shared" si="150"/>
        <v>0</v>
      </c>
      <c r="BJ68">
        <f t="shared" si="153"/>
        <v>0</v>
      </c>
      <c r="BK68">
        <f t="shared" si="154"/>
        <v>0</v>
      </c>
      <c r="BL68">
        <f t="shared" si="155"/>
        <v>0</v>
      </c>
      <c r="BM68">
        <f t="shared" si="147"/>
        <v>0</v>
      </c>
      <c r="BO68">
        <f t="shared" si="156"/>
        <v>0</v>
      </c>
      <c r="BP68">
        <f t="shared" si="157"/>
        <v>0</v>
      </c>
      <c r="BR68">
        <f t="shared" si="158"/>
        <v>0</v>
      </c>
      <c r="BS68">
        <f t="shared" si="159"/>
        <v>0</v>
      </c>
      <c r="BT68">
        <f t="shared" si="151"/>
        <v>0</v>
      </c>
      <c r="BV68">
        <f t="shared" si="108"/>
        <v>309</v>
      </c>
      <c r="BX68">
        <f t="shared" si="109"/>
        <v>309</v>
      </c>
      <c r="BY68">
        <f t="shared" si="110"/>
        <v>0</v>
      </c>
      <c r="BZ68">
        <f t="shared" si="111"/>
        <v>0</v>
      </c>
      <c r="CA68">
        <f t="shared" si="112"/>
        <v>0</v>
      </c>
      <c r="CB68">
        <f t="shared" si="113"/>
        <v>0</v>
      </c>
      <c r="CG68">
        <f t="shared" si="50"/>
        <v>2010</v>
      </c>
      <c r="CH68">
        <f t="shared" si="50"/>
        <v>2011</v>
      </c>
      <c r="CJ68">
        <f t="shared" si="51"/>
        <v>0</v>
      </c>
      <c r="CK68">
        <f t="shared" si="161"/>
        <v>0</v>
      </c>
      <c r="CL68">
        <f t="shared" si="52"/>
        <v>0</v>
      </c>
      <c r="CN68">
        <f t="shared" si="53"/>
        <v>0</v>
      </c>
      <c r="CS68">
        <f t="shared" si="54"/>
        <v>0</v>
      </c>
      <c r="CT68">
        <f t="shared" si="114"/>
        <v>3845</v>
      </c>
      <c r="CV68" s="112">
        <f t="shared" si="55"/>
        <v>40739</v>
      </c>
      <c r="CX68" s="112">
        <f t="shared" si="56"/>
        <v>100000</v>
      </c>
      <c r="CY68" s="112">
        <f t="shared" si="115"/>
        <v>100000</v>
      </c>
      <c r="CZ68" s="112">
        <f t="shared" si="116"/>
        <v>100000</v>
      </c>
      <c r="DA68" s="112">
        <f t="shared" si="117"/>
        <v>100000</v>
      </c>
      <c r="DB68" s="112">
        <f t="shared" si="118"/>
        <v>100000</v>
      </c>
      <c r="DC68" s="112">
        <f t="shared" si="119"/>
        <v>100000</v>
      </c>
      <c r="DU68" s="112"/>
      <c r="DV68" s="112"/>
      <c r="DW68" s="277">
        <v>43831</v>
      </c>
      <c r="DX68" s="276"/>
      <c r="DY68" s="276"/>
      <c r="DZ68" s="276"/>
      <c r="EF68" s="260" t="str">
        <f t="shared" si="162"/>
        <v/>
      </c>
      <c r="EK68" s="254"/>
      <c r="EL68">
        <f t="shared" si="165"/>
        <v>29</v>
      </c>
      <c r="EM68" s="260" t="e">
        <f t="shared" ca="1" si="122"/>
        <v>#NUM!</v>
      </c>
      <c r="EN68" s="112" t="e">
        <f t="shared" ca="1" si="63"/>
        <v>#NUM!</v>
      </c>
      <c r="EO68" s="112">
        <f t="shared" ca="1" si="64"/>
        <v>100000</v>
      </c>
      <c r="EP68" s="112">
        <f t="shared" ca="1" si="123"/>
        <v>100000</v>
      </c>
      <c r="EQ68" s="273">
        <f t="shared" ca="1" si="138"/>
        <v>100000</v>
      </c>
      <c r="ER68" s="302">
        <f t="shared" ca="1" si="65"/>
        <v>100000</v>
      </c>
      <c r="EU68" t="e">
        <f t="shared" ca="1" si="66"/>
        <v>#N/A</v>
      </c>
      <c r="EV68" s="260">
        <f t="shared" ca="1" si="124"/>
        <v>100000</v>
      </c>
      <c r="EW68" t="e">
        <f t="shared" ca="1" si="67"/>
        <v>#N/A</v>
      </c>
      <c r="EX68" t="e">
        <f t="shared" ca="1" si="12"/>
        <v>#N/A</v>
      </c>
      <c r="EY68" s="238" t="e">
        <f t="shared" ca="1" si="13"/>
        <v>#N/A</v>
      </c>
      <c r="FB68" t="e">
        <f t="shared" ca="1" si="68"/>
        <v>#N/A</v>
      </c>
      <c r="FC68" t="e">
        <f t="shared" ca="1" si="167"/>
        <v>#N/A</v>
      </c>
      <c r="FD68" t="e">
        <f t="shared" ca="1" si="167"/>
        <v>#N/A</v>
      </c>
      <c r="FE68" t="e">
        <f t="shared" ca="1" si="167"/>
        <v>#N/A</v>
      </c>
      <c r="FF68" t="e">
        <f t="shared" ca="1" si="167"/>
        <v>#N/A</v>
      </c>
      <c r="FM68" t="e">
        <f t="shared" ca="1" si="15"/>
        <v>#N/A</v>
      </c>
      <c r="FR68" s="254" t="e">
        <f t="shared" ca="1" si="69"/>
        <v>#N/A</v>
      </c>
      <c r="FS68">
        <f t="shared" si="125"/>
        <v>68</v>
      </c>
      <c r="FT68" t="e">
        <f t="shared" ca="1" si="168"/>
        <v>#N/A</v>
      </c>
      <c r="FU68" t="str">
        <f t="shared" ca="1" si="168"/>
        <v>EV68</v>
      </c>
      <c r="FV68" t="e">
        <f t="shared" ca="1" si="168"/>
        <v>#N/A</v>
      </c>
      <c r="FW68" t="e">
        <f t="shared" ca="1" si="168"/>
        <v>#N/A</v>
      </c>
      <c r="FX68" t="e">
        <f t="shared" ca="1" si="168"/>
        <v>#N/A</v>
      </c>
      <c r="FY68" t="e">
        <f t="shared" ca="1" si="168"/>
        <v>#N/A</v>
      </c>
      <c r="FZ68" t="e">
        <f t="shared" ca="1" si="168"/>
        <v>#N/A</v>
      </c>
      <c r="GA68" t="str">
        <f t="shared" ca="1" si="168"/>
        <v/>
      </c>
      <c r="GB68" t="e">
        <f t="shared" ca="1" si="168"/>
        <v>#N/A</v>
      </c>
      <c r="GC68" t="str">
        <f t="shared" ca="1" si="168"/>
        <v/>
      </c>
      <c r="GD68" t="str">
        <f t="shared" ca="1" si="168"/>
        <v/>
      </c>
      <c r="GE68">
        <f t="shared" ca="1" si="126"/>
        <v>0</v>
      </c>
      <c r="GF68" s="112">
        <f t="shared" ca="1" si="70"/>
        <v>100000</v>
      </c>
      <c r="GG68" s="112" t="e">
        <f t="shared" ca="1" si="71"/>
        <v>#N/A</v>
      </c>
      <c r="GH68" s="262" t="e">
        <f t="shared" ca="1" si="169"/>
        <v>#N/A</v>
      </c>
      <c r="GI68" s="262" t="e">
        <f t="shared" ca="1" si="169"/>
        <v>#N/A</v>
      </c>
      <c r="GJ68" s="262" t="e">
        <f t="shared" ca="1" si="169"/>
        <v>#N/A</v>
      </c>
      <c r="GK68" s="262" t="e">
        <f t="shared" ca="1" si="169"/>
        <v>#N/A</v>
      </c>
      <c r="GL68" s="262" t="e">
        <f t="shared" ca="1" si="169"/>
        <v>#N/A</v>
      </c>
      <c r="GM68" s="262">
        <f t="shared" ca="1" si="169"/>
        <v>0</v>
      </c>
      <c r="GN68" s="262" t="e">
        <f t="shared" ca="1" si="169"/>
        <v>#N/A</v>
      </c>
      <c r="GO68" s="262">
        <f t="shared" ca="1" si="72"/>
        <v>0</v>
      </c>
      <c r="GP68" s="262">
        <f t="shared" ca="1" si="73"/>
        <v>0</v>
      </c>
      <c r="GR68" s="262" t="e">
        <f t="shared" ca="1" si="75"/>
        <v>#N/A</v>
      </c>
      <c r="GS68" s="262" t="e">
        <f t="shared" ca="1" si="18"/>
        <v>#N/A</v>
      </c>
      <c r="GT68" s="253" t="str">
        <f t="shared" ca="1" si="76"/>
        <v/>
      </c>
      <c r="GU68" t="str">
        <f t="shared" ca="1" si="77"/>
        <v/>
      </c>
      <c r="GV68" t="str">
        <f t="shared" ca="1" si="78"/>
        <v/>
      </c>
      <c r="GW68" t="e">
        <f t="shared" ca="1" si="139"/>
        <v>#N/A</v>
      </c>
      <c r="GX68" t="e">
        <f t="shared" ca="1" si="170"/>
        <v>#N/A</v>
      </c>
      <c r="GY68" t="e">
        <f t="shared" ca="1" si="170"/>
        <v>#N/A</v>
      </c>
      <c r="GZ68" t="e">
        <f t="shared" ca="1" si="20"/>
        <v>#N/A</v>
      </c>
      <c r="HA68" t="e">
        <f t="shared" ca="1" si="170"/>
        <v>#N/A</v>
      </c>
      <c r="HB68" t="str">
        <f t="shared" ca="1" si="170"/>
        <v/>
      </c>
      <c r="HC68" t="e">
        <f t="shared" ca="1" si="170"/>
        <v>#N/A</v>
      </c>
      <c r="HD68" t="str">
        <f t="shared" ca="1" si="79"/>
        <v/>
      </c>
      <c r="HE68" s="254" t="str">
        <f t="shared" ca="1" si="170"/>
        <v/>
      </c>
      <c r="HF68" s="254" t="e">
        <f t="shared" ca="1" si="80"/>
        <v>#N/A</v>
      </c>
      <c r="HM68" s="263" t="e">
        <f t="shared" ca="1" si="81"/>
        <v>#N/A</v>
      </c>
      <c r="HO68" s="272" t="str">
        <f t="shared" ca="1" si="21"/>
        <v/>
      </c>
      <c r="HP68">
        <f t="shared" ca="1" si="82"/>
        <v>0</v>
      </c>
      <c r="HQ68" t="str">
        <f t="shared" ca="1" si="83"/>
        <v/>
      </c>
      <c r="HR68" t="str">
        <f t="shared" ca="1" si="173"/>
        <v/>
      </c>
      <c r="HS68" t="str">
        <f t="shared" ca="1" si="174"/>
        <v/>
      </c>
      <c r="HX68" s="253" t="s">
        <v>187</v>
      </c>
      <c r="HY68" s="112" t="str">
        <f t="shared" si="86"/>
        <v>10/9/2010</v>
      </c>
      <c r="HZ68" t="s">
        <v>188</v>
      </c>
      <c r="IA68" s="112" t="str">
        <f t="shared" si="87"/>
        <v>15/7/2011</v>
      </c>
      <c r="IB68" t="s">
        <v>189</v>
      </c>
      <c r="IC68">
        <f t="shared" si="88"/>
        <v>0</v>
      </c>
      <c r="ID68" t="s">
        <v>192</v>
      </c>
      <c r="IE68">
        <f t="shared" si="89"/>
        <v>0</v>
      </c>
      <c r="IF68" t="s">
        <v>191</v>
      </c>
      <c r="IG68" s="254">
        <f t="shared" si="90"/>
        <v>0</v>
      </c>
      <c r="IL68" t="str">
        <f t="shared" si="91"/>
        <v xml:space="preserve">DAL: 10/9/2010 - AL:15/7/2011 - ANNI:0 - MESI:0 -GIORNI:0
</v>
      </c>
      <c r="KD68">
        <v>0</v>
      </c>
      <c r="KE68" s="260">
        <f t="shared" ca="1" si="92"/>
        <v>100000</v>
      </c>
      <c r="KF68" t="str">
        <f t="shared" si="93"/>
        <v>0-2 anni</v>
      </c>
      <c r="KG68">
        <f t="shared" si="22"/>
        <v>6</v>
      </c>
      <c r="KH68" s="238">
        <f t="shared" ca="1" si="23"/>
        <v>255</v>
      </c>
      <c r="KK68">
        <f t="shared" ca="1" si="94"/>
        <v>16218.89</v>
      </c>
      <c r="KL68" t="e">
        <f t="shared" ca="1" si="171"/>
        <v>#N/A</v>
      </c>
      <c r="KM68" t="e">
        <f t="shared" ca="1" si="171"/>
        <v>#N/A</v>
      </c>
      <c r="KN68" t="e">
        <f t="shared" ca="1" si="171"/>
        <v>#N/A</v>
      </c>
      <c r="KO68" t="e">
        <f t="shared" ca="1" si="171"/>
        <v>#N/A</v>
      </c>
      <c r="KV68" t="e">
        <f t="shared" ca="1" si="25"/>
        <v>#N/A</v>
      </c>
      <c r="LA68" s="254" t="str">
        <f t="shared" si="95"/>
        <v>0-2 anni</v>
      </c>
      <c r="LB68" s="112">
        <f t="shared" si="26"/>
        <v>40431</v>
      </c>
      <c r="LC68" s="112">
        <f t="shared" si="26"/>
        <v>40739</v>
      </c>
      <c r="LD68" t="e">
        <f t="shared" ca="1" si="96"/>
        <v>#N/A</v>
      </c>
      <c r="LE68" s="262" t="e">
        <f t="shared" ca="1" si="97"/>
        <v>#N/A</v>
      </c>
      <c r="LF68">
        <f t="shared" si="98"/>
        <v>0</v>
      </c>
      <c r="LG68" t="e">
        <f t="shared" ca="1" si="99"/>
        <v>#N/A</v>
      </c>
      <c r="LL68" s="112">
        <f ca="1">Foglio7ti!GF69</f>
        <v>100000</v>
      </c>
      <c r="LM68" s="308">
        <f t="shared" ca="1" si="27"/>
        <v>100000</v>
      </c>
      <c r="LN68" s="112"/>
      <c r="LO68">
        <f t="shared" si="100"/>
        <v>30</v>
      </c>
      <c r="LP68" s="308">
        <f t="shared" ca="1" si="28"/>
        <v>100000</v>
      </c>
      <c r="LQ68" s="112"/>
      <c r="LS68" s="263">
        <f t="shared" si="29"/>
        <v>30</v>
      </c>
      <c r="LT68" s="308">
        <f t="shared" ca="1" si="30"/>
        <v>100000</v>
      </c>
      <c r="LW68" s="308">
        <f t="shared" ca="1" si="31"/>
        <v>100000</v>
      </c>
      <c r="LZ68" s="308">
        <f t="shared" ca="1" si="32"/>
        <v>100000</v>
      </c>
      <c r="MB68" s="112">
        <v>45657</v>
      </c>
      <c r="MC68" s="308">
        <f ca="1">IF(SMALL($LZ$39:$LZ$161,LS68)&gt;$MB$68,100000,SMALL($LZ$39:$LZ$161,LS68))</f>
        <v>100000</v>
      </c>
      <c r="MD68" t="str">
        <f t="shared" ca="1" si="101"/>
        <v/>
      </c>
      <c r="ME68" s="338" t="str">
        <f t="shared" ca="1" si="33"/>
        <v/>
      </c>
      <c r="MF68" s="338" t="str">
        <f t="shared" ca="1" si="102"/>
        <v/>
      </c>
      <c r="MG68" s="337" t="str">
        <f t="shared" ca="1" si="5"/>
        <v/>
      </c>
      <c r="MH68" s="338" t="str">
        <f t="shared" ca="1" si="35"/>
        <v/>
      </c>
      <c r="MI68" s="337" t="str">
        <f t="shared" ca="1" si="36"/>
        <v/>
      </c>
      <c r="MJ68" s="337" t="str">
        <f t="shared" ca="1" si="6"/>
        <v/>
      </c>
      <c r="MK68" s="337" t="str">
        <f t="shared" ca="1" si="166"/>
        <v/>
      </c>
      <c r="ML68" s="337" t="str">
        <f ca="1">IF(ME68&lt;&gt;"",VLOOKUP(ME68,Foglio7ti!$GF$40:$GG$92,2),"")</f>
        <v/>
      </c>
      <c r="MM68" s="282" t="str">
        <f t="shared" ca="1" si="38"/>
        <v/>
      </c>
      <c r="MN68" s="282"/>
      <c r="MO68" s="320">
        <f t="shared" si="128"/>
        <v>1</v>
      </c>
      <c r="MP68" s="253" t="str">
        <f t="shared" ca="1" si="39"/>
        <v/>
      </c>
      <c r="MQ68" t="e">
        <f t="shared" ca="1" si="160"/>
        <v>#N/A</v>
      </c>
      <c r="MR68" s="238" t="e">
        <f ca="1">VLOOKUP(ME68,Foglio1ti!AB60:AZ360,13)-MQ68</f>
        <v>#N/A</v>
      </c>
      <c r="MS68" t="e">
        <f t="shared" ca="1" si="40"/>
        <v>#N/A</v>
      </c>
      <c r="MT68" t="e">
        <f t="shared" ca="1" si="41"/>
        <v>#N/A</v>
      </c>
      <c r="MU68" s="238" t="e">
        <f ca="1">VLOOKUP(ME68,Foglio1ti!AB60:AZ360,13)-MT68</f>
        <v>#N/A</v>
      </c>
      <c r="MV68" t="e">
        <f t="shared" ca="1" si="42"/>
        <v>#N/A</v>
      </c>
      <c r="MW68">
        <f t="shared" ca="1" si="140"/>
        <v>0</v>
      </c>
      <c r="MX68">
        <f ca="1">IF(AND(frontti!$H$25="SI",ML68="3-8 anni"),INDIRECT(CONCATENATE($MR$37,"BI",MU68)),0)</f>
        <v>0</v>
      </c>
      <c r="MY68" s="254"/>
    </row>
    <row r="69" spans="1:363" x14ac:dyDescent="0.25">
      <c r="A69" s="112">
        <f t="shared" si="141"/>
        <v>40422</v>
      </c>
      <c r="B69" s="112">
        <f t="shared" si="44"/>
        <v>40544</v>
      </c>
      <c r="E69" s="240">
        <f>Foglio3!F49</f>
        <v>40802</v>
      </c>
      <c r="F69" s="240">
        <f>Foglio3!G49</f>
        <v>41090</v>
      </c>
      <c r="G69" s="244"/>
      <c r="H69" s="245">
        <f t="shared" si="45"/>
        <v>40802</v>
      </c>
      <c r="I69" s="245">
        <f t="shared" si="8"/>
        <v>41090</v>
      </c>
      <c r="J69" s="244"/>
      <c r="K69" s="244"/>
      <c r="Q69">
        <f t="shared" si="9"/>
        <v>289</v>
      </c>
      <c r="R69">
        <f t="shared" si="142"/>
        <v>289</v>
      </c>
      <c r="S69">
        <f t="shared" si="46"/>
        <v>0</v>
      </c>
      <c r="T69">
        <f t="shared" si="129"/>
        <v>9</v>
      </c>
      <c r="U69">
        <f t="shared" si="130"/>
        <v>19</v>
      </c>
      <c r="W69">
        <f t="shared" si="172"/>
        <v>0</v>
      </c>
      <c r="X69">
        <f t="shared" si="172"/>
        <v>128</v>
      </c>
      <c r="Y69">
        <f t="shared" si="172"/>
        <v>294</v>
      </c>
      <c r="AA69" s="112">
        <f t="shared" si="103"/>
        <v>40802</v>
      </c>
      <c r="AB69" s="112">
        <f t="shared" si="104"/>
        <v>41090</v>
      </c>
      <c r="AG69">
        <f t="shared" si="47"/>
        <v>1</v>
      </c>
      <c r="AH69" s="112">
        <f t="shared" si="48"/>
        <v>40802</v>
      </c>
      <c r="AI69" s="112">
        <f t="shared" si="48"/>
        <v>41090</v>
      </c>
      <c r="AJ69">
        <f t="shared" si="49"/>
        <v>1</v>
      </c>
      <c r="AK69">
        <f t="shared" si="105"/>
        <v>0</v>
      </c>
      <c r="AL69">
        <f t="shared" si="132"/>
        <v>0</v>
      </c>
      <c r="AN69">
        <f t="shared" si="133"/>
        <v>0</v>
      </c>
      <c r="AO69">
        <f t="shared" si="134"/>
        <v>0</v>
      </c>
      <c r="AP69">
        <f t="shared" si="106"/>
        <v>0</v>
      </c>
      <c r="AS69">
        <f t="shared" si="143"/>
        <v>0</v>
      </c>
      <c r="AT69">
        <f t="shared" si="144"/>
        <v>0</v>
      </c>
      <c r="AV69">
        <f t="shared" si="145"/>
        <v>0</v>
      </c>
      <c r="AW69">
        <f t="shared" si="146"/>
        <v>0</v>
      </c>
      <c r="AX69">
        <f t="shared" si="107"/>
        <v>0</v>
      </c>
      <c r="BA69">
        <f t="shared" si="163"/>
        <v>0</v>
      </c>
      <c r="BB69">
        <f t="shared" si="164"/>
        <v>0</v>
      </c>
      <c r="BD69">
        <f t="shared" si="148"/>
        <v>0</v>
      </c>
      <c r="BE69">
        <f t="shared" si="149"/>
        <v>0</v>
      </c>
      <c r="BF69">
        <f t="shared" si="137"/>
        <v>0</v>
      </c>
      <c r="BI69">
        <f t="shared" si="150"/>
        <v>0</v>
      </c>
      <c r="BJ69">
        <f t="shared" si="153"/>
        <v>0</v>
      </c>
      <c r="BK69">
        <f t="shared" si="154"/>
        <v>0</v>
      </c>
      <c r="BL69">
        <f t="shared" si="155"/>
        <v>0</v>
      </c>
      <c r="BM69">
        <f t="shared" si="147"/>
        <v>0</v>
      </c>
      <c r="BO69">
        <f t="shared" si="156"/>
        <v>0</v>
      </c>
      <c r="BP69">
        <f t="shared" si="157"/>
        <v>0</v>
      </c>
      <c r="BR69">
        <f t="shared" si="158"/>
        <v>0</v>
      </c>
      <c r="BS69">
        <f t="shared" si="159"/>
        <v>0</v>
      </c>
      <c r="BT69">
        <f t="shared" si="151"/>
        <v>0</v>
      </c>
      <c r="BV69">
        <f t="shared" si="108"/>
        <v>0</v>
      </c>
      <c r="BX69">
        <f t="shared" si="109"/>
        <v>0</v>
      </c>
      <c r="BY69">
        <f t="shared" si="110"/>
        <v>0</v>
      </c>
      <c r="BZ69">
        <f t="shared" si="111"/>
        <v>0</v>
      </c>
      <c r="CA69">
        <f t="shared" si="112"/>
        <v>0</v>
      </c>
      <c r="CB69">
        <f t="shared" si="113"/>
        <v>0</v>
      </c>
      <c r="CG69">
        <f t="shared" si="50"/>
        <v>2011</v>
      </c>
      <c r="CH69">
        <f t="shared" si="50"/>
        <v>2012</v>
      </c>
      <c r="CJ69">
        <f t="shared" si="51"/>
        <v>0</v>
      </c>
      <c r="CK69">
        <f t="shared" si="161"/>
        <v>0</v>
      </c>
      <c r="CL69">
        <f t="shared" si="52"/>
        <v>0</v>
      </c>
      <c r="CN69">
        <f t="shared" si="53"/>
        <v>0</v>
      </c>
      <c r="CS69">
        <f t="shared" si="54"/>
        <v>289</v>
      </c>
      <c r="CT69">
        <f t="shared" si="114"/>
        <v>4134</v>
      </c>
      <c r="CV69" s="112">
        <f t="shared" si="55"/>
        <v>41090</v>
      </c>
      <c r="CX69" s="112">
        <f t="shared" si="56"/>
        <v>100000</v>
      </c>
      <c r="CY69" s="112">
        <f t="shared" si="115"/>
        <v>100000</v>
      </c>
      <c r="CZ69" s="112">
        <f t="shared" si="116"/>
        <v>100000</v>
      </c>
      <c r="DA69" s="112">
        <f t="shared" si="117"/>
        <v>100000</v>
      </c>
      <c r="DB69" s="112">
        <f t="shared" si="118"/>
        <v>100000</v>
      </c>
      <c r="DC69" s="112">
        <f t="shared" si="119"/>
        <v>100000</v>
      </c>
      <c r="DU69" s="112"/>
      <c r="DV69" s="112"/>
      <c r="DW69" s="277">
        <v>44197</v>
      </c>
      <c r="DX69" s="276"/>
      <c r="DY69" s="276"/>
      <c r="DZ69" s="276"/>
      <c r="EF69" s="260" t="str">
        <f t="shared" si="162"/>
        <v/>
      </c>
      <c r="EK69" s="254"/>
      <c r="EL69">
        <f t="shared" si="165"/>
        <v>30</v>
      </c>
      <c r="EM69" s="260" t="e">
        <f t="shared" ca="1" si="122"/>
        <v>#NUM!</v>
      </c>
      <c r="EN69" s="112" t="e">
        <f t="shared" ca="1" si="63"/>
        <v>#NUM!</v>
      </c>
      <c r="EO69" s="112">
        <f t="shared" ca="1" si="64"/>
        <v>100000</v>
      </c>
      <c r="EP69" s="112">
        <f t="shared" ca="1" si="123"/>
        <v>100000</v>
      </c>
      <c r="EQ69" s="273">
        <f t="shared" ca="1" si="138"/>
        <v>100000</v>
      </c>
      <c r="ER69" s="302">
        <f t="shared" ca="1" si="65"/>
        <v>100000</v>
      </c>
      <c r="EU69" t="e">
        <f t="shared" ca="1" si="66"/>
        <v>#N/A</v>
      </c>
      <c r="EV69" s="260">
        <f t="shared" ca="1" si="124"/>
        <v>100000</v>
      </c>
      <c r="EW69" t="e">
        <f t="shared" ca="1" si="67"/>
        <v>#N/A</v>
      </c>
      <c r="EX69" t="e">
        <f t="shared" ca="1" si="12"/>
        <v>#N/A</v>
      </c>
      <c r="EY69" s="238" t="e">
        <f t="shared" ca="1" si="13"/>
        <v>#N/A</v>
      </c>
      <c r="FB69" t="e">
        <f t="shared" ca="1" si="68"/>
        <v>#N/A</v>
      </c>
      <c r="FC69" t="e">
        <f t="shared" ca="1" si="167"/>
        <v>#N/A</v>
      </c>
      <c r="FD69" t="e">
        <f t="shared" ca="1" si="167"/>
        <v>#N/A</v>
      </c>
      <c r="FE69" t="e">
        <f t="shared" ca="1" si="167"/>
        <v>#N/A</v>
      </c>
      <c r="FF69" t="e">
        <f t="shared" ca="1" si="167"/>
        <v>#N/A</v>
      </c>
      <c r="FM69" t="e">
        <f t="shared" ca="1" si="15"/>
        <v>#N/A</v>
      </c>
      <c r="FR69" s="254" t="e">
        <f t="shared" ca="1" si="69"/>
        <v>#N/A</v>
      </c>
      <c r="FS69">
        <f t="shared" si="125"/>
        <v>69</v>
      </c>
      <c r="FT69" t="e">
        <f t="shared" ca="1" si="168"/>
        <v>#N/A</v>
      </c>
      <c r="FU69" t="str">
        <f t="shared" ca="1" si="168"/>
        <v>EV69</v>
      </c>
      <c r="FV69" t="e">
        <f t="shared" ca="1" si="168"/>
        <v>#N/A</v>
      </c>
      <c r="FW69" t="e">
        <f t="shared" ca="1" si="168"/>
        <v>#N/A</v>
      </c>
      <c r="FX69" t="e">
        <f t="shared" ca="1" si="168"/>
        <v>#N/A</v>
      </c>
      <c r="FY69" t="e">
        <f t="shared" ca="1" si="168"/>
        <v>#N/A</v>
      </c>
      <c r="FZ69" t="e">
        <f t="shared" ca="1" si="168"/>
        <v>#N/A</v>
      </c>
      <c r="GA69" t="str">
        <f t="shared" ca="1" si="168"/>
        <v/>
      </c>
      <c r="GB69" t="e">
        <f t="shared" ca="1" si="168"/>
        <v>#N/A</v>
      </c>
      <c r="GC69" t="str">
        <f t="shared" ca="1" si="168"/>
        <v/>
      </c>
      <c r="GD69" t="str">
        <f t="shared" ca="1" si="168"/>
        <v/>
      </c>
      <c r="GE69">
        <f t="shared" ca="1" si="126"/>
        <v>0</v>
      </c>
      <c r="GF69" s="112">
        <f t="shared" ca="1" si="70"/>
        <v>100000</v>
      </c>
      <c r="GG69" s="112" t="e">
        <f t="shared" ca="1" si="71"/>
        <v>#N/A</v>
      </c>
      <c r="GH69" s="262" t="e">
        <f t="shared" ca="1" si="169"/>
        <v>#N/A</v>
      </c>
      <c r="GI69" s="262" t="e">
        <f t="shared" ca="1" si="169"/>
        <v>#N/A</v>
      </c>
      <c r="GJ69" s="262" t="e">
        <f t="shared" ca="1" si="169"/>
        <v>#N/A</v>
      </c>
      <c r="GK69" s="262" t="e">
        <f t="shared" ca="1" si="169"/>
        <v>#N/A</v>
      </c>
      <c r="GL69" s="262" t="e">
        <f t="shared" ca="1" si="169"/>
        <v>#N/A</v>
      </c>
      <c r="GM69" s="262">
        <f t="shared" ca="1" si="169"/>
        <v>0</v>
      </c>
      <c r="GN69" s="262" t="e">
        <f t="shared" ca="1" si="169"/>
        <v>#N/A</v>
      </c>
      <c r="GO69" s="262">
        <f t="shared" ca="1" si="72"/>
        <v>0</v>
      </c>
      <c r="GP69" s="262">
        <f t="shared" ca="1" si="73"/>
        <v>0</v>
      </c>
      <c r="GR69" s="262" t="e">
        <f t="shared" ca="1" si="75"/>
        <v>#N/A</v>
      </c>
      <c r="GS69" s="262" t="e">
        <f t="shared" ca="1" si="18"/>
        <v>#N/A</v>
      </c>
      <c r="GT69" s="253" t="str">
        <f t="shared" ca="1" si="76"/>
        <v/>
      </c>
      <c r="GU69" t="str">
        <f t="shared" ca="1" si="77"/>
        <v/>
      </c>
      <c r="GV69" t="str">
        <f t="shared" ca="1" si="78"/>
        <v/>
      </c>
      <c r="GW69" t="e">
        <f t="shared" ca="1" si="139"/>
        <v>#N/A</v>
      </c>
      <c r="GX69" t="e">
        <f t="shared" ca="1" si="170"/>
        <v>#N/A</v>
      </c>
      <c r="GY69" t="e">
        <f t="shared" ca="1" si="170"/>
        <v>#N/A</v>
      </c>
      <c r="GZ69" t="e">
        <f t="shared" ca="1" si="20"/>
        <v>#N/A</v>
      </c>
      <c r="HA69" t="e">
        <f t="shared" ca="1" si="170"/>
        <v>#N/A</v>
      </c>
      <c r="HB69" t="str">
        <f t="shared" ca="1" si="170"/>
        <v/>
      </c>
      <c r="HC69" t="e">
        <f t="shared" ca="1" si="170"/>
        <v>#N/A</v>
      </c>
      <c r="HD69" t="str">
        <f t="shared" ca="1" si="79"/>
        <v/>
      </c>
      <c r="HE69" s="254" t="str">
        <f t="shared" ca="1" si="170"/>
        <v/>
      </c>
      <c r="HF69" s="254" t="e">
        <f t="shared" ca="1" si="80"/>
        <v>#N/A</v>
      </c>
      <c r="HM69" s="263" t="e">
        <f t="shared" ca="1" si="81"/>
        <v>#N/A</v>
      </c>
      <c r="HO69" s="272" t="str">
        <f t="shared" ca="1" si="21"/>
        <v/>
      </c>
      <c r="HP69">
        <f t="shared" ca="1" si="82"/>
        <v>0</v>
      </c>
      <c r="HQ69" t="str">
        <f t="shared" ca="1" si="83"/>
        <v/>
      </c>
      <c r="HR69" t="str">
        <f t="shared" ca="1" si="173"/>
        <v/>
      </c>
      <c r="HS69" t="str">
        <f t="shared" ca="1" si="174"/>
        <v/>
      </c>
      <c r="HX69" s="253" t="s">
        <v>187</v>
      </c>
      <c r="HY69" s="112" t="str">
        <f t="shared" si="86"/>
        <v>16/9/2011</v>
      </c>
      <c r="HZ69" t="s">
        <v>188</v>
      </c>
      <c r="IA69" s="112" t="str">
        <f t="shared" si="87"/>
        <v>30/6/2012</v>
      </c>
      <c r="IB69" t="s">
        <v>189</v>
      </c>
      <c r="IC69">
        <f t="shared" si="88"/>
        <v>0</v>
      </c>
      <c r="ID69" t="s">
        <v>192</v>
      </c>
      <c r="IE69">
        <f t="shared" si="89"/>
        <v>9</v>
      </c>
      <c r="IF69" t="s">
        <v>191</v>
      </c>
      <c r="IG69" s="254">
        <f t="shared" si="90"/>
        <v>19</v>
      </c>
      <c r="IL69" t="str">
        <f t="shared" si="91"/>
        <v xml:space="preserve">DAL: 16/9/2011 - AL:30/6/2012 - ANNI:0 - MESI:9 -GIORNI:19
</v>
      </c>
      <c r="KD69">
        <v>0</v>
      </c>
      <c r="KE69" s="260">
        <f t="shared" ca="1" si="92"/>
        <v>100000</v>
      </c>
      <c r="KF69" t="str">
        <f t="shared" si="93"/>
        <v>0-2 anni</v>
      </c>
      <c r="KG69">
        <f t="shared" si="22"/>
        <v>6</v>
      </c>
      <c r="KH69" s="238">
        <f t="shared" ca="1" si="23"/>
        <v>255</v>
      </c>
      <c r="KK69">
        <f t="shared" ca="1" si="94"/>
        <v>16218.89</v>
      </c>
      <c r="KL69" t="e">
        <f t="shared" ca="1" si="171"/>
        <v>#N/A</v>
      </c>
      <c r="KM69" t="e">
        <f t="shared" ca="1" si="171"/>
        <v>#N/A</v>
      </c>
      <c r="KN69" t="e">
        <f t="shared" ca="1" si="171"/>
        <v>#N/A</v>
      </c>
      <c r="KO69" t="e">
        <f t="shared" ca="1" si="171"/>
        <v>#N/A</v>
      </c>
      <c r="KV69" t="e">
        <f t="shared" ca="1" si="25"/>
        <v>#N/A</v>
      </c>
      <c r="LA69" s="254" t="str">
        <f t="shared" si="95"/>
        <v>0-2 anni</v>
      </c>
      <c r="LB69" s="112">
        <f t="shared" si="26"/>
        <v>40802</v>
      </c>
      <c r="LC69" s="112">
        <f t="shared" si="26"/>
        <v>41090</v>
      </c>
      <c r="LD69" t="e">
        <f t="shared" ca="1" si="96"/>
        <v>#N/A</v>
      </c>
      <c r="LE69" s="262" t="e">
        <f t="shared" ca="1" si="97"/>
        <v>#N/A</v>
      </c>
      <c r="LF69">
        <f t="shared" si="98"/>
        <v>289</v>
      </c>
      <c r="LG69" t="e">
        <f t="shared" ca="1" si="99"/>
        <v>#N/A</v>
      </c>
      <c r="LL69" s="112">
        <f ca="1">Foglio7ti!GF70</f>
        <v>100000</v>
      </c>
      <c r="LM69" s="308">
        <f t="shared" ca="1" si="27"/>
        <v>100000</v>
      </c>
      <c r="LN69" s="112"/>
      <c r="LO69">
        <f t="shared" si="100"/>
        <v>31</v>
      </c>
      <c r="LP69" s="308">
        <f t="shared" ca="1" si="28"/>
        <v>100000</v>
      </c>
      <c r="LQ69" s="112"/>
      <c r="LS69" s="263">
        <f t="shared" si="29"/>
        <v>31</v>
      </c>
      <c r="LT69" s="308">
        <f t="shared" ca="1" si="30"/>
        <v>100000</v>
      </c>
      <c r="LW69" s="308">
        <f t="shared" ca="1" si="31"/>
        <v>100000</v>
      </c>
      <c r="LZ69" s="308">
        <f t="shared" ca="1" si="32"/>
        <v>100000</v>
      </c>
      <c r="MC69" s="308">
        <f t="shared" ref="MC69:MC101" ca="1" si="175">IF(SMALL($LZ$39:$LZ$161,LS69)&gt;$MB$68,100000,SMALL($LZ$39:$LZ$161,LS69))</f>
        <v>100000</v>
      </c>
      <c r="MD69" t="str">
        <f t="shared" ca="1" si="101"/>
        <v/>
      </c>
      <c r="ME69" s="338" t="str">
        <f t="shared" ca="1" si="33"/>
        <v/>
      </c>
      <c r="MF69" s="338" t="str">
        <f t="shared" ca="1" si="102"/>
        <v/>
      </c>
      <c r="MG69" s="337" t="str">
        <f t="shared" ca="1" si="5"/>
        <v/>
      </c>
      <c r="MH69" s="338" t="str">
        <f t="shared" ca="1" si="35"/>
        <v/>
      </c>
      <c r="MI69" s="337" t="str">
        <f t="shared" ca="1" si="36"/>
        <v/>
      </c>
      <c r="MJ69" s="337" t="str">
        <f t="shared" ca="1" si="6"/>
        <v/>
      </c>
      <c r="MK69" s="337" t="str">
        <f t="shared" ca="1" si="166"/>
        <v/>
      </c>
      <c r="ML69" s="337" t="str">
        <f ca="1">IF(ME69&lt;&gt;"",VLOOKUP(ME69,Foglio7ti!$GF$40:$GG$92,2),"")</f>
        <v/>
      </c>
      <c r="MM69" s="282" t="str">
        <f t="shared" ca="1" si="38"/>
        <v/>
      </c>
      <c r="MN69" s="282"/>
      <c r="MO69" s="320">
        <f t="shared" si="128"/>
        <v>1</v>
      </c>
      <c r="MP69" s="253" t="str">
        <f t="shared" ca="1" si="39"/>
        <v/>
      </c>
      <c r="MQ69" t="e">
        <f t="shared" ca="1" si="160"/>
        <v>#N/A</v>
      </c>
      <c r="MR69" s="238" t="e">
        <f ca="1">VLOOKUP(ME69,Foglio1ti!AB61:AZ361,13)-MQ69</f>
        <v>#N/A</v>
      </c>
      <c r="MS69" t="e">
        <f t="shared" ca="1" si="40"/>
        <v>#N/A</v>
      </c>
      <c r="MT69" t="e">
        <f t="shared" ca="1" si="41"/>
        <v>#N/A</v>
      </c>
      <c r="MU69" s="238" t="e">
        <f ca="1">VLOOKUP(ME69,Foglio1ti!AB61:AZ361,13)-MT69</f>
        <v>#N/A</v>
      </c>
      <c r="MV69" t="e">
        <f t="shared" ca="1" si="42"/>
        <v>#N/A</v>
      </c>
      <c r="MW69">
        <f t="shared" ca="1" si="140"/>
        <v>0</v>
      </c>
      <c r="MX69">
        <f ca="1">IF(AND(frontti!$H$25="SI",ML69="3-8 anni"),INDIRECT(CONCATENATE($MR$37,"BI",MU69)),0)</f>
        <v>0</v>
      </c>
      <c r="MY69" s="254"/>
    </row>
    <row r="70" spans="1:363" x14ac:dyDescent="0.25">
      <c r="A70" s="112">
        <f t="shared" si="141"/>
        <v>40422</v>
      </c>
      <c r="B70" s="112">
        <f t="shared" si="44"/>
        <v>40544</v>
      </c>
      <c r="E70" s="240">
        <f>Foglio3!F50</f>
        <v>41171</v>
      </c>
      <c r="F70" s="240">
        <f>Foglio3!G50</f>
        <v>41471</v>
      </c>
      <c r="G70" s="244"/>
      <c r="H70" s="245">
        <f t="shared" si="45"/>
        <v>41171</v>
      </c>
      <c r="I70" s="245">
        <f t="shared" si="8"/>
        <v>41274</v>
      </c>
      <c r="J70" s="244"/>
      <c r="K70" s="244"/>
      <c r="Q70">
        <f t="shared" si="9"/>
        <v>104</v>
      </c>
      <c r="R70">
        <f t="shared" si="142"/>
        <v>104</v>
      </c>
      <c r="S70">
        <f t="shared" si="46"/>
        <v>0</v>
      </c>
      <c r="T70">
        <f t="shared" si="129"/>
        <v>3</v>
      </c>
      <c r="U70">
        <f t="shared" si="130"/>
        <v>14</v>
      </c>
      <c r="W70">
        <f t="shared" si="172"/>
        <v>0</v>
      </c>
      <c r="X70">
        <f t="shared" si="172"/>
        <v>131</v>
      </c>
      <c r="Y70">
        <f t="shared" si="172"/>
        <v>308</v>
      </c>
      <c r="AA70" s="112">
        <f t="shared" si="103"/>
        <v>41171</v>
      </c>
      <c r="AB70" s="112">
        <f t="shared" si="104"/>
        <v>41274</v>
      </c>
      <c r="AG70">
        <f t="shared" si="47"/>
        <v>1</v>
      </c>
      <c r="AH70" s="112">
        <f t="shared" si="48"/>
        <v>41171</v>
      </c>
      <c r="AI70" s="112">
        <f t="shared" si="48"/>
        <v>41274</v>
      </c>
      <c r="AJ70">
        <f t="shared" si="49"/>
        <v>1</v>
      </c>
      <c r="AK70">
        <f t="shared" si="105"/>
        <v>0</v>
      </c>
      <c r="AL70">
        <f t="shared" si="132"/>
        <v>0</v>
      </c>
      <c r="AN70">
        <f t="shared" si="133"/>
        <v>0</v>
      </c>
      <c r="AO70">
        <f t="shared" si="134"/>
        <v>0</v>
      </c>
      <c r="AP70">
        <f t="shared" si="106"/>
        <v>0</v>
      </c>
      <c r="AS70">
        <f t="shared" si="143"/>
        <v>0</v>
      </c>
      <c r="AT70">
        <f t="shared" si="144"/>
        <v>0</v>
      </c>
      <c r="AV70">
        <f t="shared" si="145"/>
        <v>0</v>
      </c>
      <c r="AW70">
        <f t="shared" si="146"/>
        <v>0</v>
      </c>
      <c r="AX70">
        <f t="shared" si="107"/>
        <v>0</v>
      </c>
      <c r="BA70">
        <f t="shared" si="163"/>
        <v>0</v>
      </c>
      <c r="BB70">
        <f t="shared" si="164"/>
        <v>0</v>
      </c>
      <c r="BD70">
        <f t="shared" si="148"/>
        <v>0</v>
      </c>
      <c r="BE70">
        <f t="shared" si="149"/>
        <v>0</v>
      </c>
      <c r="BF70">
        <f t="shared" si="137"/>
        <v>0</v>
      </c>
      <c r="BI70">
        <f t="shared" si="150"/>
        <v>0</v>
      </c>
      <c r="BJ70">
        <f t="shared" si="153"/>
        <v>0</v>
      </c>
      <c r="BK70">
        <f t="shared" si="154"/>
        <v>0</v>
      </c>
      <c r="BL70">
        <f t="shared" si="155"/>
        <v>0</v>
      </c>
      <c r="BM70">
        <f t="shared" si="147"/>
        <v>0</v>
      </c>
      <c r="BO70">
        <f t="shared" si="156"/>
        <v>0</v>
      </c>
      <c r="BP70">
        <f t="shared" si="157"/>
        <v>0</v>
      </c>
      <c r="BR70">
        <f t="shared" si="158"/>
        <v>0</v>
      </c>
      <c r="BS70">
        <f t="shared" si="159"/>
        <v>0</v>
      </c>
      <c r="BT70">
        <f t="shared" si="151"/>
        <v>0</v>
      </c>
      <c r="BV70">
        <f t="shared" si="108"/>
        <v>0</v>
      </c>
      <c r="BX70">
        <f t="shared" si="109"/>
        <v>0</v>
      </c>
      <c r="BY70">
        <f t="shared" si="110"/>
        <v>0</v>
      </c>
      <c r="BZ70">
        <f t="shared" si="111"/>
        <v>0</v>
      </c>
      <c r="CA70">
        <f t="shared" si="112"/>
        <v>0</v>
      </c>
      <c r="CB70">
        <f t="shared" si="113"/>
        <v>0</v>
      </c>
      <c r="CG70">
        <f t="shared" si="50"/>
        <v>2012</v>
      </c>
      <c r="CH70">
        <f t="shared" si="50"/>
        <v>2013</v>
      </c>
      <c r="CJ70">
        <f t="shared" si="51"/>
        <v>0</v>
      </c>
      <c r="CK70">
        <f t="shared" si="161"/>
        <v>196</v>
      </c>
      <c r="CL70">
        <f t="shared" si="52"/>
        <v>0</v>
      </c>
      <c r="CN70">
        <f t="shared" si="53"/>
        <v>196</v>
      </c>
      <c r="CS70">
        <f t="shared" si="54"/>
        <v>104</v>
      </c>
      <c r="CT70">
        <f t="shared" si="114"/>
        <v>4238</v>
      </c>
      <c r="CV70" s="112">
        <f t="shared" si="55"/>
        <v>41274</v>
      </c>
      <c r="CX70" s="112">
        <f t="shared" si="56"/>
        <v>100000</v>
      </c>
      <c r="CY70" s="112">
        <f t="shared" si="115"/>
        <v>100000</v>
      </c>
      <c r="CZ70" s="112">
        <f t="shared" si="116"/>
        <v>100000</v>
      </c>
      <c r="DA70" s="112">
        <f t="shared" si="117"/>
        <v>100000</v>
      </c>
      <c r="DB70" s="112">
        <f t="shared" si="118"/>
        <v>100000</v>
      </c>
      <c r="DC70" s="112">
        <f t="shared" si="119"/>
        <v>100000</v>
      </c>
      <c r="DU70" s="112"/>
      <c r="DV70" s="112"/>
      <c r="DW70" s="277">
        <v>44562</v>
      </c>
      <c r="DX70" s="276"/>
      <c r="DY70" s="276"/>
      <c r="DZ70" s="276"/>
      <c r="EF70" s="260" t="str">
        <f t="shared" si="162"/>
        <v/>
      </c>
      <c r="EK70" s="254"/>
      <c r="EL70">
        <f t="shared" si="165"/>
        <v>31</v>
      </c>
      <c r="EM70" s="260" t="e">
        <f t="shared" ca="1" si="122"/>
        <v>#NUM!</v>
      </c>
      <c r="EN70" s="112" t="e">
        <f t="shared" ca="1" si="63"/>
        <v>#NUM!</v>
      </c>
      <c r="EO70" s="112">
        <f t="shared" ca="1" si="64"/>
        <v>100000</v>
      </c>
      <c r="EP70" s="112">
        <f t="shared" ca="1" si="123"/>
        <v>100000</v>
      </c>
      <c r="EQ70" s="273">
        <f t="shared" ca="1" si="138"/>
        <v>100000</v>
      </c>
      <c r="ER70" s="302">
        <f t="shared" ca="1" si="65"/>
        <v>100000</v>
      </c>
      <c r="EU70" t="e">
        <f t="shared" ca="1" si="66"/>
        <v>#N/A</v>
      </c>
      <c r="EV70" s="260">
        <f t="shared" ca="1" si="124"/>
        <v>100000</v>
      </c>
      <c r="EW70" t="e">
        <f t="shared" ca="1" si="67"/>
        <v>#N/A</v>
      </c>
      <c r="EX70" t="e">
        <f t="shared" ca="1" si="12"/>
        <v>#N/A</v>
      </c>
      <c r="EY70" s="238" t="e">
        <f t="shared" ca="1" si="13"/>
        <v>#N/A</v>
      </c>
      <c r="FB70" t="e">
        <f t="shared" ca="1" si="68"/>
        <v>#N/A</v>
      </c>
      <c r="FC70" t="e">
        <f t="shared" ca="1" si="167"/>
        <v>#N/A</v>
      </c>
      <c r="FD70" t="e">
        <f t="shared" ca="1" si="167"/>
        <v>#N/A</v>
      </c>
      <c r="FE70" t="e">
        <f t="shared" ca="1" si="167"/>
        <v>#N/A</v>
      </c>
      <c r="FF70" t="e">
        <f t="shared" ca="1" si="167"/>
        <v>#N/A</v>
      </c>
      <c r="FM70" t="e">
        <f t="shared" ca="1" si="15"/>
        <v>#N/A</v>
      </c>
      <c r="FR70" s="254" t="e">
        <f t="shared" ca="1" si="69"/>
        <v>#N/A</v>
      </c>
      <c r="FS70">
        <f t="shared" si="125"/>
        <v>70</v>
      </c>
      <c r="FT70" t="e">
        <f t="shared" ca="1" si="168"/>
        <v>#N/A</v>
      </c>
      <c r="FU70" t="str">
        <f t="shared" ca="1" si="168"/>
        <v>EV70</v>
      </c>
      <c r="FV70" t="e">
        <f t="shared" ca="1" si="168"/>
        <v>#N/A</v>
      </c>
      <c r="FW70" t="e">
        <f t="shared" ca="1" si="168"/>
        <v>#N/A</v>
      </c>
      <c r="FX70" t="e">
        <f t="shared" ca="1" si="168"/>
        <v>#N/A</v>
      </c>
      <c r="FY70" t="e">
        <f t="shared" ca="1" si="168"/>
        <v>#N/A</v>
      </c>
      <c r="FZ70" t="e">
        <f t="shared" ca="1" si="168"/>
        <v>#N/A</v>
      </c>
      <c r="GA70" t="str">
        <f t="shared" ca="1" si="168"/>
        <v/>
      </c>
      <c r="GB70" t="e">
        <f t="shared" ca="1" si="168"/>
        <v>#N/A</v>
      </c>
      <c r="GC70" t="str">
        <f t="shared" ca="1" si="168"/>
        <v/>
      </c>
      <c r="GD70" t="str">
        <f t="shared" ca="1" si="168"/>
        <v/>
      </c>
      <c r="GE70">
        <f t="shared" ca="1" si="126"/>
        <v>0</v>
      </c>
      <c r="GF70" s="112">
        <f t="shared" ca="1" si="70"/>
        <v>100000</v>
      </c>
      <c r="GG70" s="112" t="e">
        <f t="shared" ca="1" si="71"/>
        <v>#N/A</v>
      </c>
      <c r="GH70" s="262" t="e">
        <f t="shared" ca="1" si="169"/>
        <v>#N/A</v>
      </c>
      <c r="GI70" s="262" t="e">
        <f t="shared" ca="1" si="169"/>
        <v>#N/A</v>
      </c>
      <c r="GJ70" s="262" t="e">
        <f t="shared" ca="1" si="169"/>
        <v>#N/A</v>
      </c>
      <c r="GK70" s="262" t="e">
        <f t="shared" ca="1" si="169"/>
        <v>#N/A</v>
      </c>
      <c r="GL70" s="262" t="e">
        <f t="shared" ca="1" si="169"/>
        <v>#N/A</v>
      </c>
      <c r="GM70" s="262">
        <f t="shared" ca="1" si="169"/>
        <v>0</v>
      </c>
      <c r="GN70" s="262" t="e">
        <f t="shared" ca="1" si="169"/>
        <v>#N/A</v>
      </c>
      <c r="GO70" s="262">
        <f t="shared" ca="1" si="72"/>
        <v>0</v>
      </c>
      <c r="GP70" s="262">
        <f t="shared" ca="1" si="73"/>
        <v>0</v>
      </c>
      <c r="GR70" s="262" t="e">
        <f t="shared" ca="1" si="75"/>
        <v>#N/A</v>
      </c>
      <c r="GS70" s="262" t="e">
        <f t="shared" ca="1" si="18"/>
        <v>#N/A</v>
      </c>
      <c r="GT70" s="253" t="str">
        <f t="shared" ca="1" si="76"/>
        <v/>
      </c>
      <c r="GU70" t="str">
        <f t="shared" ca="1" si="77"/>
        <v/>
      </c>
      <c r="GV70" t="str">
        <f t="shared" ca="1" si="78"/>
        <v/>
      </c>
      <c r="GW70" t="e">
        <f t="shared" ca="1" si="139"/>
        <v>#N/A</v>
      </c>
      <c r="GX70" t="e">
        <f t="shared" ca="1" si="170"/>
        <v>#N/A</v>
      </c>
      <c r="GY70" t="e">
        <f t="shared" ca="1" si="170"/>
        <v>#N/A</v>
      </c>
      <c r="GZ70" t="e">
        <f t="shared" ca="1" si="20"/>
        <v>#N/A</v>
      </c>
      <c r="HA70" t="e">
        <f t="shared" ca="1" si="170"/>
        <v>#N/A</v>
      </c>
      <c r="HB70" t="str">
        <f t="shared" ca="1" si="170"/>
        <v/>
      </c>
      <c r="HC70" t="e">
        <f t="shared" ca="1" si="170"/>
        <v>#N/A</v>
      </c>
      <c r="HD70" t="str">
        <f t="shared" ca="1" si="79"/>
        <v/>
      </c>
      <c r="HE70" s="254" t="str">
        <f t="shared" ca="1" si="170"/>
        <v/>
      </c>
      <c r="HF70" s="254" t="e">
        <f t="shared" ca="1" si="80"/>
        <v>#N/A</v>
      </c>
      <c r="HM70" s="263" t="e">
        <f t="shared" ca="1" si="81"/>
        <v>#N/A</v>
      </c>
      <c r="HO70" s="272" t="str">
        <f t="shared" ca="1" si="21"/>
        <v/>
      </c>
      <c r="HP70">
        <f t="shared" ca="1" si="82"/>
        <v>0</v>
      </c>
      <c r="HQ70" t="str">
        <f t="shared" ca="1" si="83"/>
        <v/>
      </c>
      <c r="HR70" t="str">
        <f t="shared" ca="1" si="173"/>
        <v/>
      </c>
      <c r="HS70" t="str">
        <f t="shared" ca="1" si="174"/>
        <v/>
      </c>
      <c r="HX70" s="253" t="s">
        <v>187</v>
      </c>
      <c r="HY70" s="112" t="str">
        <f t="shared" si="86"/>
        <v>19/9/2012</v>
      </c>
      <c r="HZ70" t="s">
        <v>188</v>
      </c>
      <c r="IA70" s="112" t="str">
        <f t="shared" si="87"/>
        <v>16/7/2013</v>
      </c>
      <c r="IB70" t="s">
        <v>189</v>
      </c>
      <c r="IC70">
        <f t="shared" si="88"/>
        <v>0</v>
      </c>
      <c r="ID70" t="s">
        <v>192</v>
      </c>
      <c r="IE70">
        <f t="shared" si="89"/>
        <v>3</v>
      </c>
      <c r="IF70" t="s">
        <v>191</v>
      </c>
      <c r="IG70" s="254">
        <f t="shared" si="90"/>
        <v>14</v>
      </c>
      <c r="IL70" t="str">
        <f t="shared" si="91"/>
        <v xml:space="preserve">DAL: 19/9/2012 - AL:16/7/2013 - ANNI:0 - MESI:3 -GIORNI:14
</v>
      </c>
      <c r="KD70">
        <v>0</v>
      </c>
      <c r="KE70" s="260">
        <f t="shared" ca="1" si="92"/>
        <v>100000</v>
      </c>
      <c r="KF70" t="str">
        <f t="shared" si="93"/>
        <v>0-2 anni</v>
      </c>
      <c r="KG70">
        <f t="shared" si="22"/>
        <v>6</v>
      </c>
      <c r="KH70" s="238">
        <f t="shared" ca="1" si="23"/>
        <v>255</v>
      </c>
      <c r="KK70">
        <f t="shared" ca="1" si="94"/>
        <v>16218.89</v>
      </c>
      <c r="KL70" t="e">
        <f t="shared" ca="1" si="171"/>
        <v>#N/A</v>
      </c>
      <c r="KM70" t="e">
        <f t="shared" ca="1" si="171"/>
        <v>#N/A</v>
      </c>
      <c r="KN70" t="e">
        <f t="shared" ca="1" si="171"/>
        <v>#N/A</v>
      </c>
      <c r="KO70" t="e">
        <f t="shared" ca="1" si="171"/>
        <v>#N/A</v>
      </c>
      <c r="KV70" t="e">
        <f t="shared" ca="1" si="25"/>
        <v>#N/A</v>
      </c>
      <c r="LA70" s="254" t="str">
        <f t="shared" si="95"/>
        <v>0-2 anni</v>
      </c>
      <c r="LB70" s="112">
        <f t="shared" si="26"/>
        <v>41171</v>
      </c>
      <c r="LC70" s="112">
        <f t="shared" si="26"/>
        <v>41471</v>
      </c>
      <c r="LD70" t="e">
        <f t="shared" ca="1" si="96"/>
        <v>#N/A</v>
      </c>
      <c r="LE70" s="262" t="e">
        <f t="shared" ca="1" si="97"/>
        <v>#N/A</v>
      </c>
      <c r="LF70">
        <f t="shared" si="98"/>
        <v>104</v>
      </c>
      <c r="LG70" t="e">
        <f t="shared" ca="1" si="99"/>
        <v>#N/A</v>
      </c>
      <c r="LL70" s="112">
        <f ca="1">Foglio7ti!GF71</f>
        <v>100000</v>
      </c>
      <c r="LM70" s="308">
        <f t="shared" ca="1" si="27"/>
        <v>100000</v>
      </c>
      <c r="LN70" s="112"/>
      <c r="LO70">
        <f t="shared" si="100"/>
        <v>32</v>
      </c>
      <c r="LP70" s="308">
        <f t="shared" ca="1" si="28"/>
        <v>100000</v>
      </c>
      <c r="LQ70" s="112"/>
      <c r="LS70" s="263">
        <f t="shared" si="29"/>
        <v>32</v>
      </c>
      <c r="LT70" s="308">
        <f t="shared" ca="1" si="30"/>
        <v>100000</v>
      </c>
      <c r="LW70" s="308">
        <f t="shared" ca="1" si="31"/>
        <v>100000</v>
      </c>
      <c r="LZ70" s="308">
        <f t="shared" ca="1" si="32"/>
        <v>100000</v>
      </c>
      <c r="MC70" s="308">
        <f t="shared" ca="1" si="175"/>
        <v>100000</v>
      </c>
      <c r="MD70" t="str">
        <f t="shared" ca="1" si="101"/>
        <v/>
      </c>
      <c r="ME70" s="338" t="str">
        <f t="shared" ca="1" si="33"/>
        <v/>
      </c>
      <c r="MF70" s="338" t="str">
        <f t="shared" ca="1" si="102"/>
        <v/>
      </c>
      <c r="MG70" s="337" t="str">
        <f t="shared" ca="1" si="5"/>
        <v/>
      </c>
      <c r="MH70" s="338" t="str">
        <f t="shared" ca="1" si="35"/>
        <v/>
      </c>
      <c r="MI70" s="337" t="str">
        <f t="shared" ca="1" si="36"/>
        <v/>
      </c>
      <c r="MJ70" s="337" t="str">
        <f t="shared" ca="1" si="6"/>
        <v/>
      </c>
      <c r="MK70" s="337" t="str">
        <f t="shared" ca="1" si="166"/>
        <v/>
      </c>
      <c r="ML70" s="337" t="str">
        <f ca="1">IF(ME70&lt;&gt;"",VLOOKUP(ME70,Foglio7ti!$GF$40:$GG$92,2),"")</f>
        <v/>
      </c>
      <c r="MM70" s="282" t="str">
        <f t="shared" ca="1" si="38"/>
        <v/>
      </c>
      <c r="MN70" s="282"/>
      <c r="MO70" s="320">
        <f t="shared" si="128"/>
        <v>1</v>
      </c>
      <c r="MP70" s="253" t="str">
        <f t="shared" ca="1" si="39"/>
        <v/>
      </c>
      <c r="MQ70" t="e">
        <f t="shared" ca="1" si="160"/>
        <v>#N/A</v>
      </c>
      <c r="MR70" s="238" t="e">
        <f ca="1">VLOOKUP(ME70,Foglio1ti!AB62:AZ362,13)-MQ70</f>
        <v>#N/A</v>
      </c>
      <c r="MS70" t="e">
        <f t="shared" ca="1" si="40"/>
        <v>#N/A</v>
      </c>
      <c r="MT70" t="e">
        <f t="shared" ca="1" si="41"/>
        <v>#N/A</v>
      </c>
      <c r="MU70" s="238" t="e">
        <f ca="1">VLOOKUP(ME70,Foglio1ti!AB62:AZ362,13)-MT70</f>
        <v>#N/A</v>
      </c>
      <c r="MV70" t="e">
        <f t="shared" ca="1" si="42"/>
        <v>#N/A</v>
      </c>
      <c r="MW70">
        <f t="shared" ca="1" si="140"/>
        <v>0</v>
      </c>
      <c r="MX70">
        <f ca="1">IF(AND(frontti!$H$25="SI",ML70="3-8 anni"),INDIRECT(CONCATENATE($MR$37,"BI",MU70)),0)</f>
        <v>0</v>
      </c>
      <c r="MY70" s="254"/>
    </row>
    <row r="71" spans="1:363" x14ac:dyDescent="0.25">
      <c r="A71" s="112">
        <f t="shared" si="141"/>
        <v>40422</v>
      </c>
      <c r="B71" s="112">
        <f t="shared" si="44"/>
        <v>40544</v>
      </c>
      <c r="E71" s="240">
        <f>Foglio3!F51</f>
        <v>41178</v>
      </c>
      <c r="F71" s="240">
        <f>Foglio3!G51</f>
        <v>41471</v>
      </c>
      <c r="G71" s="244"/>
      <c r="H71" s="245">
        <f t="shared" si="45"/>
        <v>41178</v>
      </c>
      <c r="I71" s="245">
        <f t="shared" si="8"/>
        <v>41274</v>
      </c>
      <c r="J71" s="244"/>
      <c r="K71" s="244"/>
      <c r="Q71">
        <f t="shared" si="9"/>
        <v>97</v>
      </c>
      <c r="R71">
        <f t="shared" si="142"/>
        <v>97</v>
      </c>
      <c r="S71">
        <f t="shared" si="46"/>
        <v>0</v>
      </c>
      <c r="T71">
        <f t="shared" si="129"/>
        <v>3</v>
      </c>
      <c r="U71">
        <f t="shared" si="130"/>
        <v>7</v>
      </c>
      <c r="W71">
        <f t="shared" si="172"/>
        <v>0</v>
      </c>
      <c r="X71">
        <f t="shared" si="172"/>
        <v>134</v>
      </c>
      <c r="Y71">
        <f t="shared" si="172"/>
        <v>315</v>
      </c>
      <c r="AA71" s="112">
        <f t="shared" si="103"/>
        <v>41178</v>
      </c>
      <c r="AB71" s="112">
        <f t="shared" si="104"/>
        <v>41274</v>
      </c>
      <c r="AG71">
        <f t="shared" si="47"/>
        <v>1</v>
      </c>
      <c r="AH71" s="112">
        <f t="shared" si="48"/>
        <v>41178</v>
      </c>
      <c r="AI71" s="112">
        <f t="shared" si="48"/>
        <v>41274</v>
      </c>
      <c r="AS71">
        <f t="shared" si="143"/>
        <v>0</v>
      </c>
      <c r="AT71">
        <f t="shared" si="144"/>
        <v>0</v>
      </c>
      <c r="AV71">
        <f t="shared" si="145"/>
        <v>0</v>
      </c>
      <c r="AW71">
        <f t="shared" si="146"/>
        <v>0</v>
      </c>
      <c r="AX71">
        <f t="shared" si="107"/>
        <v>0</v>
      </c>
      <c r="BA71">
        <f t="shared" si="163"/>
        <v>0</v>
      </c>
      <c r="BB71">
        <f t="shared" si="164"/>
        <v>0</v>
      </c>
      <c r="BD71">
        <f t="shared" si="148"/>
        <v>0</v>
      </c>
      <c r="BE71">
        <f t="shared" si="149"/>
        <v>0</v>
      </c>
      <c r="BF71">
        <f t="shared" si="137"/>
        <v>0</v>
      </c>
      <c r="BI71">
        <f t="shared" si="150"/>
        <v>0</v>
      </c>
      <c r="BJ71">
        <f t="shared" si="153"/>
        <v>0</v>
      </c>
      <c r="BK71">
        <f t="shared" si="154"/>
        <v>0</v>
      </c>
      <c r="BL71">
        <f t="shared" si="155"/>
        <v>0</v>
      </c>
      <c r="BM71">
        <f t="shared" si="147"/>
        <v>0</v>
      </c>
      <c r="BO71">
        <f t="shared" si="156"/>
        <v>0</v>
      </c>
      <c r="BP71">
        <f t="shared" si="157"/>
        <v>0</v>
      </c>
      <c r="BR71">
        <f t="shared" si="158"/>
        <v>0</v>
      </c>
      <c r="BS71">
        <f t="shared" si="159"/>
        <v>0</v>
      </c>
      <c r="BT71">
        <f t="shared" si="151"/>
        <v>0</v>
      </c>
      <c r="BV71">
        <f t="shared" si="108"/>
        <v>0</v>
      </c>
      <c r="BX71">
        <f t="shared" si="109"/>
        <v>0</v>
      </c>
      <c r="BY71">
        <f t="shared" si="110"/>
        <v>0</v>
      </c>
      <c r="BZ71">
        <f t="shared" si="111"/>
        <v>0</v>
      </c>
      <c r="CA71">
        <f t="shared" si="112"/>
        <v>0</v>
      </c>
      <c r="CB71">
        <f t="shared" si="113"/>
        <v>0</v>
      </c>
      <c r="CG71">
        <f t="shared" si="50"/>
        <v>2012</v>
      </c>
      <c r="CH71">
        <f t="shared" si="50"/>
        <v>2013</v>
      </c>
      <c r="CJ71">
        <f t="shared" si="51"/>
        <v>0</v>
      </c>
      <c r="CK71">
        <f t="shared" si="161"/>
        <v>196</v>
      </c>
      <c r="CL71">
        <f t="shared" si="52"/>
        <v>0</v>
      </c>
      <c r="CN71">
        <f t="shared" si="53"/>
        <v>196</v>
      </c>
      <c r="CS71">
        <f t="shared" si="54"/>
        <v>97</v>
      </c>
      <c r="CT71">
        <f t="shared" si="114"/>
        <v>4335</v>
      </c>
      <c r="CV71" s="112">
        <f t="shared" si="55"/>
        <v>41274</v>
      </c>
      <c r="CX71" s="112">
        <f t="shared" si="56"/>
        <v>100000</v>
      </c>
      <c r="CY71" s="112">
        <f t="shared" si="115"/>
        <v>100000</v>
      </c>
      <c r="CZ71" s="112">
        <f t="shared" si="116"/>
        <v>100000</v>
      </c>
      <c r="DA71" s="112">
        <f t="shared" si="117"/>
        <v>100000</v>
      </c>
      <c r="DB71" s="112">
        <f t="shared" si="118"/>
        <v>100000</v>
      </c>
      <c r="DC71" s="112">
        <f t="shared" si="119"/>
        <v>100000</v>
      </c>
      <c r="DU71" s="112"/>
      <c r="DV71" s="112"/>
      <c r="DW71" s="277">
        <v>44652</v>
      </c>
      <c r="DX71" s="276"/>
      <c r="DY71" s="276"/>
      <c r="DZ71" s="276"/>
      <c r="EF71" s="260" t="str">
        <f t="shared" si="162"/>
        <v/>
      </c>
      <c r="EK71" s="254"/>
      <c r="EL71">
        <f t="shared" si="165"/>
        <v>32</v>
      </c>
      <c r="EM71" s="260" t="e">
        <f t="shared" ca="1" si="122"/>
        <v>#NUM!</v>
      </c>
      <c r="EN71" s="112" t="e">
        <f t="shared" ca="1" si="63"/>
        <v>#NUM!</v>
      </c>
      <c r="EO71" s="112">
        <f t="shared" ca="1" si="64"/>
        <v>100000</v>
      </c>
      <c r="EP71" s="112">
        <f t="shared" ca="1" si="123"/>
        <v>100000</v>
      </c>
      <c r="EQ71" s="273">
        <f t="shared" ca="1" si="138"/>
        <v>100000</v>
      </c>
      <c r="ER71" s="302">
        <f t="shared" ca="1" si="65"/>
        <v>100000</v>
      </c>
      <c r="EU71" t="e">
        <f t="shared" ca="1" si="66"/>
        <v>#N/A</v>
      </c>
      <c r="EV71" s="260">
        <f t="shared" ca="1" si="124"/>
        <v>100000</v>
      </c>
      <c r="EW71" t="e">
        <f t="shared" ca="1" si="67"/>
        <v>#N/A</v>
      </c>
      <c r="EX71" t="e">
        <f t="shared" ca="1" si="12"/>
        <v>#N/A</v>
      </c>
      <c r="EY71" s="238" t="e">
        <f t="shared" ca="1" si="13"/>
        <v>#N/A</v>
      </c>
      <c r="FB71" t="e">
        <f t="shared" ca="1" si="68"/>
        <v>#N/A</v>
      </c>
      <c r="FC71" t="e">
        <f t="shared" ca="1" si="167"/>
        <v>#N/A</v>
      </c>
      <c r="FD71" t="e">
        <f t="shared" ca="1" si="167"/>
        <v>#N/A</v>
      </c>
      <c r="FE71" t="e">
        <f t="shared" ca="1" si="167"/>
        <v>#N/A</v>
      </c>
      <c r="FF71" t="e">
        <f t="shared" ca="1" si="167"/>
        <v>#N/A</v>
      </c>
      <c r="FM71" t="e">
        <f t="shared" ca="1" si="15"/>
        <v>#N/A</v>
      </c>
      <c r="FR71" s="254" t="e">
        <f t="shared" ca="1" si="69"/>
        <v>#N/A</v>
      </c>
      <c r="FS71">
        <f t="shared" si="125"/>
        <v>71</v>
      </c>
      <c r="FT71" t="e">
        <f t="shared" ca="1" si="168"/>
        <v>#N/A</v>
      </c>
      <c r="FU71" t="str">
        <f t="shared" ca="1" si="168"/>
        <v>EV71</v>
      </c>
      <c r="FV71" t="e">
        <f t="shared" ca="1" si="168"/>
        <v>#N/A</v>
      </c>
      <c r="FW71" t="e">
        <f t="shared" ca="1" si="168"/>
        <v>#N/A</v>
      </c>
      <c r="FX71" t="e">
        <f t="shared" ca="1" si="168"/>
        <v>#N/A</v>
      </c>
      <c r="FY71" t="e">
        <f t="shared" ca="1" si="168"/>
        <v>#N/A</v>
      </c>
      <c r="FZ71" t="e">
        <f t="shared" ca="1" si="168"/>
        <v>#N/A</v>
      </c>
      <c r="GA71" t="str">
        <f t="shared" ca="1" si="168"/>
        <v/>
      </c>
      <c r="GB71" t="e">
        <f t="shared" ca="1" si="168"/>
        <v>#N/A</v>
      </c>
      <c r="GC71" t="str">
        <f t="shared" ca="1" si="168"/>
        <v/>
      </c>
      <c r="GD71" t="str">
        <f t="shared" ca="1" si="168"/>
        <v/>
      </c>
      <c r="GE71">
        <f t="shared" ca="1" si="126"/>
        <v>0</v>
      </c>
      <c r="GF71" s="112">
        <f t="shared" ca="1" si="70"/>
        <v>100000</v>
      </c>
      <c r="GG71" s="112" t="e">
        <f t="shared" ca="1" si="71"/>
        <v>#N/A</v>
      </c>
      <c r="GH71" s="262" t="e">
        <f t="shared" ca="1" si="169"/>
        <v>#N/A</v>
      </c>
      <c r="GI71" s="262" t="e">
        <f t="shared" ca="1" si="169"/>
        <v>#N/A</v>
      </c>
      <c r="GJ71" s="262" t="e">
        <f t="shared" ca="1" si="169"/>
        <v>#N/A</v>
      </c>
      <c r="GK71" s="262" t="e">
        <f t="shared" ca="1" si="169"/>
        <v>#N/A</v>
      </c>
      <c r="GL71" s="262" t="e">
        <f t="shared" ca="1" si="169"/>
        <v>#N/A</v>
      </c>
      <c r="GM71" s="262">
        <f t="shared" ca="1" si="169"/>
        <v>0</v>
      </c>
      <c r="GN71" s="262" t="e">
        <f t="shared" ca="1" si="169"/>
        <v>#N/A</v>
      </c>
      <c r="GO71" s="262">
        <f t="shared" ca="1" si="72"/>
        <v>0</v>
      </c>
      <c r="GP71" s="262">
        <f t="shared" ca="1" si="73"/>
        <v>0</v>
      </c>
      <c r="GR71" s="262" t="e">
        <f t="shared" ca="1" si="75"/>
        <v>#N/A</v>
      </c>
      <c r="GS71" s="262" t="e">
        <f t="shared" ca="1" si="18"/>
        <v>#N/A</v>
      </c>
      <c r="GT71" s="253" t="str">
        <f t="shared" ca="1" si="76"/>
        <v/>
      </c>
      <c r="GU71" t="str">
        <f t="shared" ca="1" si="77"/>
        <v/>
      </c>
      <c r="GV71" t="str">
        <f t="shared" ca="1" si="78"/>
        <v/>
      </c>
      <c r="GW71" t="e">
        <f t="shared" ca="1" si="139"/>
        <v>#N/A</v>
      </c>
      <c r="GX71" t="e">
        <f t="shared" ca="1" si="170"/>
        <v>#N/A</v>
      </c>
      <c r="GY71" t="e">
        <f t="shared" ca="1" si="170"/>
        <v>#N/A</v>
      </c>
      <c r="GZ71" t="e">
        <f t="shared" ca="1" si="20"/>
        <v>#N/A</v>
      </c>
      <c r="HA71" t="e">
        <f t="shared" ca="1" si="170"/>
        <v>#N/A</v>
      </c>
      <c r="HB71" t="str">
        <f t="shared" ca="1" si="170"/>
        <v/>
      </c>
      <c r="HC71" t="e">
        <f t="shared" ca="1" si="170"/>
        <v>#N/A</v>
      </c>
      <c r="HD71" t="str">
        <f t="shared" ca="1" si="79"/>
        <v/>
      </c>
      <c r="HE71" s="254" t="str">
        <f t="shared" ca="1" si="170"/>
        <v/>
      </c>
      <c r="HF71" s="254" t="e">
        <f t="shared" ca="1" si="80"/>
        <v>#N/A</v>
      </c>
      <c r="HM71" s="263" t="e">
        <f t="shared" ca="1" si="81"/>
        <v>#N/A</v>
      </c>
      <c r="HO71" s="272" t="str">
        <f t="shared" ca="1" si="21"/>
        <v/>
      </c>
      <c r="HP71">
        <f t="shared" ca="1" si="82"/>
        <v>0</v>
      </c>
      <c r="HQ71" t="str">
        <f t="shared" ca="1" si="83"/>
        <v/>
      </c>
      <c r="HR71" t="str">
        <f t="shared" ca="1" si="173"/>
        <v/>
      </c>
      <c r="HS71" t="str">
        <f t="shared" ca="1" si="174"/>
        <v/>
      </c>
      <c r="HX71" s="253" t="s">
        <v>187</v>
      </c>
      <c r="HY71" s="112" t="str">
        <f t="shared" si="86"/>
        <v>26/9/2012</v>
      </c>
      <c r="HZ71" t="s">
        <v>188</v>
      </c>
      <c r="IA71" s="112" t="str">
        <f t="shared" si="87"/>
        <v>16/7/2013</v>
      </c>
      <c r="IB71" t="s">
        <v>189</v>
      </c>
      <c r="IC71">
        <f t="shared" si="88"/>
        <v>0</v>
      </c>
      <c r="ID71" t="s">
        <v>192</v>
      </c>
      <c r="IE71">
        <f t="shared" si="89"/>
        <v>3</v>
      </c>
      <c r="IF71" t="s">
        <v>191</v>
      </c>
      <c r="IG71" s="254">
        <f t="shared" si="90"/>
        <v>7</v>
      </c>
      <c r="IL71" t="str">
        <f t="shared" si="91"/>
        <v xml:space="preserve">DAL: 26/9/2012 - AL:16/7/2013 - ANNI:0 - MESI:3 -GIORNI:7
</v>
      </c>
      <c r="KD71">
        <v>0</v>
      </c>
      <c r="KE71" s="260">
        <f t="shared" ca="1" si="92"/>
        <v>100000</v>
      </c>
      <c r="KF71" t="str">
        <f t="shared" si="93"/>
        <v>0-2 anni</v>
      </c>
      <c r="KG71">
        <f t="shared" si="22"/>
        <v>6</v>
      </c>
      <c r="KH71" s="238">
        <f t="shared" ca="1" si="23"/>
        <v>255</v>
      </c>
      <c r="KK71">
        <f t="shared" ca="1" si="94"/>
        <v>16218.89</v>
      </c>
      <c r="KL71" t="e">
        <f t="shared" ca="1" si="171"/>
        <v>#N/A</v>
      </c>
      <c r="KM71" t="e">
        <f t="shared" ca="1" si="171"/>
        <v>#N/A</v>
      </c>
      <c r="KN71" t="e">
        <f t="shared" ca="1" si="171"/>
        <v>#N/A</v>
      </c>
      <c r="KO71" t="e">
        <f t="shared" ca="1" si="171"/>
        <v>#N/A</v>
      </c>
      <c r="KV71" t="e">
        <f t="shared" ca="1" si="25"/>
        <v>#N/A</v>
      </c>
      <c r="LA71" s="254" t="str">
        <f t="shared" si="95"/>
        <v>0-2 anni</v>
      </c>
      <c r="LB71" s="112">
        <f t="shared" si="26"/>
        <v>41178</v>
      </c>
      <c r="LC71" s="112">
        <f t="shared" si="26"/>
        <v>41471</v>
      </c>
      <c r="LD71" t="e">
        <f t="shared" ca="1" si="96"/>
        <v>#N/A</v>
      </c>
      <c r="LE71" s="262" t="e">
        <f t="shared" ca="1" si="97"/>
        <v>#N/A</v>
      </c>
      <c r="LF71">
        <f t="shared" si="98"/>
        <v>97</v>
      </c>
      <c r="LG71" t="e">
        <f t="shared" ca="1" si="99"/>
        <v>#N/A</v>
      </c>
      <c r="LL71" s="112">
        <f ca="1">Foglio7ti!GF72</f>
        <v>100000</v>
      </c>
      <c r="LM71" s="308">
        <f t="shared" ca="1" si="27"/>
        <v>100000</v>
      </c>
      <c r="LN71" s="112"/>
      <c r="LO71">
        <f t="shared" si="100"/>
        <v>33</v>
      </c>
      <c r="LP71" s="308">
        <f t="shared" ca="1" si="28"/>
        <v>100000</v>
      </c>
      <c r="LQ71" s="112"/>
      <c r="LS71" s="263">
        <f t="shared" si="29"/>
        <v>33</v>
      </c>
      <c r="LT71" s="308">
        <f t="shared" ca="1" si="30"/>
        <v>100000</v>
      </c>
      <c r="LW71" s="308">
        <f t="shared" ca="1" si="31"/>
        <v>100000</v>
      </c>
      <c r="LZ71" s="308">
        <f t="shared" ca="1" si="32"/>
        <v>100000</v>
      </c>
      <c r="MC71" s="308">
        <f t="shared" ca="1" si="175"/>
        <v>100000</v>
      </c>
      <c r="MD71" t="str">
        <f t="shared" ca="1" si="101"/>
        <v/>
      </c>
      <c r="ME71" s="338" t="str">
        <f t="shared" ca="1" si="33"/>
        <v/>
      </c>
      <c r="MF71" s="338" t="str">
        <f t="shared" ca="1" si="102"/>
        <v/>
      </c>
      <c r="MG71" s="337" t="str">
        <f t="shared" ca="1" si="5"/>
        <v/>
      </c>
      <c r="MH71" s="338" t="str">
        <f t="shared" ca="1" si="35"/>
        <v/>
      </c>
      <c r="MI71" s="337" t="str">
        <f t="shared" ca="1" si="36"/>
        <v/>
      </c>
      <c r="MJ71" s="337" t="str">
        <f t="shared" ca="1" si="6"/>
        <v/>
      </c>
      <c r="MK71" s="337" t="str">
        <f t="shared" ca="1" si="166"/>
        <v/>
      </c>
      <c r="ML71" s="337" t="str">
        <f ca="1">IF(ME71&lt;&gt;"",VLOOKUP(ME71,Foglio7ti!$GF$40:$GG$92,2),"")</f>
        <v/>
      </c>
      <c r="MM71" s="282" t="str">
        <f t="shared" ca="1" si="38"/>
        <v/>
      </c>
      <c r="MN71" s="282"/>
      <c r="MO71" s="320">
        <f t="shared" si="128"/>
        <v>1</v>
      </c>
      <c r="MP71" s="253" t="str">
        <f t="shared" ca="1" si="39"/>
        <v/>
      </c>
      <c r="MQ71" t="e">
        <f t="shared" ca="1" si="160"/>
        <v>#N/A</v>
      </c>
      <c r="MR71" s="238" t="e">
        <f ca="1">VLOOKUP(ME71,Foglio1ti!AB63:AZ363,13)-MQ71</f>
        <v>#N/A</v>
      </c>
      <c r="MS71" t="e">
        <f t="shared" ca="1" si="40"/>
        <v>#N/A</v>
      </c>
      <c r="MT71" t="e">
        <f t="shared" ca="1" si="41"/>
        <v>#N/A</v>
      </c>
      <c r="MU71" s="238" t="e">
        <f ca="1">VLOOKUP(ME71,Foglio1ti!AB63:AZ363,13)-MT71</f>
        <v>#N/A</v>
      </c>
      <c r="MV71" t="e">
        <f t="shared" ca="1" si="42"/>
        <v>#N/A</v>
      </c>
      <c r="MW71">
        <f t="shared" ca="1" si="140"/>
        <v>0</v>
      </c>
      <c r="MX71">
        <f ca="1">IF(AND(frontti!$H$25="SI",ML71="3-8 anni"),INDIRECT(CONCATENATE($MR$37,"BI",MU71)),0)</f>
        <v>0</v>
      </c>
      <c r="MY71" s="254"/>
    </row>
    <row r="72" spans="1:363" x14ac:dyDescent="0.25">
      <c r="A72" s="112">
        <f t="shared" si="141"/>
        <v>40422</v>
      </c>
      <c r="B72" s="112">
        <f t="shared" si="44"/>
        <v>40544</v>
      </c>
      <c r="E72" s="240">
        <f>Foglio3!F52</f>
        <v>41184</v>
      </c>
      <c r="F72" s="240">
        <f>Foglio3!G52</f>
        <v>41196</v>
      </c>
      <c r="G72" s="244"/>
      <c r="H72" s="245">
        <f t="shared" si="45"/>
        <v>41184</v>
      </c>
      <c r="I72" s="245">
        <f t="shared" si="8"/>
        <v>41196</v>
      </c>
      <c r="J72" s="244"/>
      <c r="K72" s="244"/>
      <c r="Q72">
        <f t="shared" si="9"/>
        <v>13</v>
      </c>
      <c r="R72">
        <f t="shared" si="142"/>
        <v>13</v>
      </c>
      <c r="S72">
        <f t="shared" si="46"/>
        <v>0</v>
      </c>
      <c r="T72">
        <f t="shared" si="129"/>
        <v>0</v>
      </c>
      <c r="U72">
        <f t="shared" si="130"/>
        <v>13</v>
      </c>
      <c r="W72">
        <f t="shared" si="172"/>
        <v>0</v>
      </c>
      <c r="X72">
        <f t="shared" si="172"/>
        <v>134</v>
      </c>
      <c r="Y72">
        <f t="shared" si="172"/>
        <v>328</v>
      </c>
      <c r="AA72" s="112">
        <f t="shared" si="103"/>
        <v>41184</v>
      </c>
      <c r="AB72" s="112">
        <f t="shared" si="104"/>
        <v>41196</v>
      </c>
      <c r="AG72">
        <f t="shared" si="47"/>
        <v>1</v>
      </c>
      <c r="AH72" s="112">
        <f t="shared" si="48"/>
        <v>41184</v>
      </c>
      <c r="AI72" s="112">
        <f t="shared" si="48"/>
        <v>41196</v>
      </c>
      <c r="CG72">
        <f t="shared" si="50"/>
        <v>2012</v>
      </c>
      <c r="CH72">
        <f t="shared" si="50"/>
        <v>2012</v>
      </c>
      <c r="CJ72">
        <f t="shared" si="51"/>
        <v>0</v>
      </c>
      <c r="CK72">
        <f t="shared" si="161"/>
        <v>0</v>
      </c>
      <c r="CL72">
        <f t="shared" si="52"/>
        <v>0</v>
      </c>
      <c r="CN72">
        <f t="shared" si="53"/>
        <v>0</v>
      </c>
      <c r="CX72" s="112">
        <f t="shared" si="56"/>
        <v>100000</v>
      </c>
      <c r="CY72" s="112">
        <f t="shared" si="115"/>
        <v>100000</v>
      </c>
      <c r="CZ72" s="112">
        <f t="shared" si="116"/>
        <v>100000</v>
      </c>
      <c r="DA72" s="112">
        <f t="shared" si="117"/>
        <v>100000</v>
      </c>
      <c r="DB72" s="112">
        <f t="shared" si="118"/>
        <v>100000</v>
      </c>
      <c r="DC72" s="112">
        <f t="shared" si="119"/>
        <v>100000</v>
      </c>
      <c r="DU72" s="112"/>
      <c r="DV72" s="112"/>
      <c r="DW72" s="277">
        <v>44743</v>
      </c>
      <c r="DX72" s="276"/>
      <c r="DY72" s="276"/>
      <c r="DZ72" s="276"/>
      <c r="EF72" s="260" t="str">
        <f t="shared" si="162"/>
        <v/>
      </c>
      <c r="EK72" s="254"/>
      <c r="EL72">
        <f t="shared" si="165"/>
        <v>33</v>
      </c>
      <c r="EM72" s="260" t="e">
        <f t="shared" ca="1" si="122"/>
        <v>#NUM!</v>
      </c>
      <c r="EN72" s="112" t="e">
        <f t="shared" ca="1" si="63"/>
        <v>#NUM!</v>
      </c>
      <c r="EO72" s="112">
        <f t="shared" ca="1" si="64"/>
        <v>100000</v>
      </c>
      <c r="EP72" s="112">
        <f t="shared" ca="1" si="123"/>
        <v>100000</v>
      </c>
      <c r="EQ72" s="273">
        <f t="shared" ca="1" si="138"/>
        <v>100000</v>
      </c>
      <c r="ER72" s="302">
        <f t="shared" ca="1" si="65"/>
        <v>100000</v>
      </c>
      <c r="EU72" t="e">
        <f t="shared" ca="1" si="66"/>
        <v>#N/A</v>
      </c>
      <c r="EV72" s="260">
        <f t="shared" ca="1" si="124"/>
        <v>100000</v>
      </c>
      <c r="EW72" t="e">
        <f t="shared" ca="1" si="67"/>
        <v>#N/A</v>
      </c>
      <c r="EX72" t="e">
        <f t="shared" ca="1" si="12"/>
        <v>#N/A</v>
      </c>
      <c r="EY72" s="238" t="e">
        <f t="shared" ca="1" si="13"/>
        <v>#N/A</v>
      </c>
      <c r="FB72" t="e">
        <f t="shared" ca="1" si="68"/>
        <v>#N/A</v>
      </c>
      <c r="FC72" t="e">
        <f t="shared" ca="1" si="167"/>
        <v>#N/A</v>
      </c>
      <c r="FD72" t="e">
        <f t="shared" ca="1" si="167"/>
        <v>#N/A</v>
      </c>
      <c r="FE72" t="e">
        <f t="shared" ca="1" si="167"/>
        <v>#N/A</v>
      </c>
      <c r="FF72" t="e">
        <f t="shared" ca="1" si="167"/>
        <v>#N/A</v>
      </c>
      <c r="FM72" t="e">
        <f t="shared" ca="1" si="15"/>
        <v>#N/A</v>
      </c>
      <c r="FR72" s="254" t="e">
        <f t="shared" ca="1" si="69"/>
        <v>#N/A</v>
      </c>
      <c r="FS72">
        <f t="shared" si="125"/>
        <v>72</v>
      </c>
      <c r="FT72" t="e">
        <f t="shared" ca="1" si="168"/>
        <v>#N/A</v>
      </c>
      <c r="FU72" t="str">
        <f t="shared" ca="1" si="168"/>
        <v>EV72</v>
      </c>
      <c r="FV72" t="e">
        <f t="shared" ca="1" si="168"/>
        <v>#N/A</v>
      </c>
      <c r="FW72" t="e">
        <f t="shared" ca="1" si="168"/>
        <v>#N/A</v>
      </c>
      <c r="FX72" t="e">
        <f t="shared" ca="1" si="168"/>
        <v>#N/A</v>
      </c>
      <c r="FY72" t="e">
        <f t="shared" ca="1" si="168"/>
        <v>#N/A</v>
      </c>
      <c r="FZ72" t="e">
        <f t="shared" ca="1" si="168"/>
        <v>#N/A</v>
      </c>
      <c r="GA72" t="str">
        <f t="shared" ca="1" si="168"/>
        <v/>
      </c>
      <c r="GB72" t="e">
        <f t="shared" ca="1" si="168"/>
        <v>#N/A</v>
      </c>
      <c r="GC72" t="str">
        <f t="shared" ca="1" si="168"/>
        <v/>
      </c>
      <c r="GD72" t="str">
        <f t="shared" ca="1" si="168"/>
        <v/>
      </c>
      <c r="GE72">
        <f t="shared" ca="1" si="126"/>
        <v>0</v>
      </c>
      <c r="GF72" s="112">
        <f t="shared" ca="1" si="70"/>
        <v>100000</v>
      </c>
      <c r="GG72" s="112" t="e">
        <f t="shared" ca="1" si="71"/>
        <v>#N/A</v>
      </c>
      <c r="GH72" s="262" t="e">
        <f t="shared" ca="1" si="169"/>
        <v>#N/A</v>
      </c>
      <c r="GI72" s="262" t="e">
        <f t="shared" ca="1" si="169"/>
        <v>#N/A</v>
      </c>
      <c r="GJ72" s="262" t="e">
        <f t="shared" ca="1" si="169"/>
        <v>#N/A</v>
      </c>
      <c r="GK72" s="262" t="e">
        <f t="shared" ca="1" si="169"/>
        <v>#N/A</v>
      </c>
      <c r="GL72" s="262" t="e">
        <f t="shared" ca="1" si="169"/>
        <v>#N/A</v>
      </c>
      <c r="GM72" s="262">
        <f t="shared" ca="1" si="169"/>
        <v>0</v>
      </c>
      <c r="GN72" s="262" t="e">
        <f t="shared" ca="1" si="169"/>
        <v>#N/A</v>
      </c>
      <c r="GO72" s="262">
        <f t="shared" ca="1" si="72"/>
        <v>0</v>
      </c>
      <c r="GP72" s="262">
        <f t="shared" ca="1" si="73"/>
        <v>0</v>
      </c>
      <c r="GR72" s="262" t="e">
        <f t="shared" ca="1" si="75"/>
        <v>#N/A</v>
      </c>
      <c r="GS72" s="262" t="e">
        <f t="shared" ca="1" si="18"/>
        <v>#N/A</v>
      </c>
      <c r="GT72" s="253" t="str">
        <f t="shared" ca="1" si="76"/>
        <v/>
      </c>
      <c r="GU72" t="str">
        <f t="shared" ca="1" si="77"/>
        <v/>
      </c>
      <c r="GV72" t="str">
        <f t="shared" ca="1" si="78"/>
        <v/>
      </c>
      <c r="GW72" t="e">
        <f t="shared" ca="1" si="139"/>
        <v>#N/A</v>
      </c>
      <c r="GX72" t="e">
        <f t="shared" ca="1" si="170"/>
        <v>#N/A</v>
      </c>
      <c r="GY72" t="e">
        <f t="shared" ca="1" si="170"/>
        <v>#N/A</v>
      </c>
      <c r="GZ72" t="e">
        <f t="shared" ca="1" si="20"/>
        <v>#N/A</v>
      </c>
      <c r="HA72" t="e">
        <f t="shared" ca="1" si="170"/>
        <v>#N/A</v>
      </c>
      <c r="HB72" t="str">
        <f t="shared" ca="1" si="170"/>
        <v/>
      </c>
      <c r="HC72" t="e">
        <f t="shared" ca="1" si="170"/>
        <v>#N/A</v>
      </c>
      <c r="HD72" t="str">
        <f t="shared" ca="1" si="79"/>
        <v/>
      </c>
      <c r="HE72" s="254" t="str">
        <f t="shared" ca="1" si="170"/>
        <v/>
      </c>
      <c r="HF72" s="254" t="e">
        <f t="shared" ca="1" si="80"/>
        <v>#N/A</v>
      </c>
      <c r="HM72" s="263" t="e">
        <f t="shared" ca="1" si="81"/>
        <v>#N/A</v>
      </c>
      <c r="HO72" s="272" t="str">
        <f t="shared" ca="1" si="21"/>
        <v/>
      </c>
      <c r="HP72">
        <f t="shared" ca="1" si="82"/>
        <v>0</v>
      </c>
      <c r="HQ72" t="str">
        <f t="shared" ca="1" si="83"/>
        <v/>
      </c>
      <c r="HR72" t="str">
        <f t="shared" ca="1" si="173"/>
        <v/>
      </c>
      <c r="HS72" t="str">
        <f t="shared" ca="1" si="174"/>
        <v/>
      </c>
      <c r="HX72" s="253" t="s">
        <v>187</v>
      </c>
      <c r="HY72" s="112" t="str">
        <f t="shared" si="86"/>
        <v>2/10/2012</v>
      </c>
      <c r="HZ72" t="s">
        <v>188</v>
      </c>
      <c r="IA72" s="112" t="str">
        <f t="shared" si="87"/>
        <v>14/10/2012</v>
      </c>
      <c r="IB72" t="s">
        <v>189</v>
      </c>
      <c r="IC72">
        <f t="shared" si="88"/>
        <v>0</v>
      </c>
      <c r="ID72" t="s">
        <v>192</v>
      </c>
      <c r="IE72">
        <f t="shared" si="89"/>
        <v>0</v>
      </c>
      <c r="IF72" t="s">
        <v>191</v>
      </c>
      <c r="IG72" s="254">
        <f t="shared" si="90"/>
        <v>13</v>
      </c>
      <c r="IL72" t="str">
        <f t="shared" si="91"/>
        <v xml:space="preserve">DAL: 2/10/2012 - AL:14/10/2012 - ANNI:0 - MESI:0 -GIORNI:13
</v>
      </c>
      <c r="KD72">
        <v>0</v>
      </c>
      <c r="KE72" s="260">
        <f t="shared" ca="1" si="92"/>
        <v>100000</v>
      </c>
      <c r="KF72" t="str">
        <f t="shared" si="93"/>
        <v>0-2 anni</v>
      </c>
      <c r="KG72">
        <f t="shared" si="22"/>
        <v>6</v>
      </c>
      <c r="KH72" s="238">
        <f t="shared" ca="1" si="23"/>
        <v>255</v>
      </c>
      <c r="KK72">
        <f t="shared" ca="1" si="94"/>
        <v>16218.89</v>
      </c>
      <c r="KL72" t="e">
        <f t="shared" ca="1" si="171"/>
        <v>#N/A</v>
      </c>
      <c r="KM72" t="e">
        <f t="shared" ca="1" si="171"/>
        <v>#N/A</v>
      </c>
      <c r="KN72" t="e">
        <f t="shared" ca="1" si="171"/>
        <v>#N/A</v>
      </c>
      <c r="KO72" t="e">
        <f t="shared" ca="1" si="171"/>
        <v>#N/A</v>
      </c>
      <c r="KV72" t="e">
        <f t="shared" ca="1" si="25"/>
        <v>#N/A</v>
      </c>
      <c r="LA72" s="254" t="str">
        <f t="shared" si="95"/>
        <v>0-2 anni</v>
      </c>
      <c r="LB72" s="112">
        <f t="shared" si="26"/>
        <v>41184</v>
      </c>
      <c r="LC72" s="112">
        <f t="shared" si="26"/>
        <v>41196</v>
      </c>
      <c r="LD72" t="e">
        <f t="shared" ca="1" si="96"/>
        <v>#N/A</v>
      </c>
      <c r="LE72" s="262" t="e">
        <f t="shared" ca="1" si="97"/>
        <v>#N/A</v>
      </c>
      <c r="LF72">
        <f t="shared" si="98"/>
        <v>13</v>
      </c>
      <c r="LG72" t="e">
        <f t="shared" ca="1" si="99"/>
        <v>#N/A</v>
      </c>
      <c r="LL72" s="112">
        <f ca="1">Foglio7ti!GF73</f>
        <v>100000</v>
      </c>
      <c r="LM72" s="308">
        <f t="shared" ca="1" si="27"/>
        <v>100000</v>
      </c>
      <c r="LN72" s="112"/>
      <c r="LO72">
        <f t="shared" si="100"/>
        <v>34</v>
      </c>
      <c r="LP72" s="308">
        <f t="shared" ca="1" si="28"/>
        <v>100000</v>
      </c>
      <c r="LQ72" s="112"/>
      <c r="LS72" s="263">
        <f t="shared" si="29"/>
        <v>34</v>
      </c>
      <c r="LT72" s="308">
        <f t="shared" ca="1" si="30"/>
        <v>100000</v>
      </c>
      <c r="LW72" s="308">
        <f t="shared" ca="1" si="31"/>
        <v>100000</v>
      </c>
      <c r="LZ72" s="308">
        <f t="shared" ca="1" si="32"/>
        <v>100000</v>
      </c>
      <c r="MC72" s="308">
        <f t="shared" ca="1" si="175"/>
        <v>100000</v>
      </c>
      <c r="MD72" t="str">
        <f t="shared" ca="1" si="101"/>
        <v/>
      </c>
      <c r="ME72" s="338" t="str">
        <f t="shared" ca="1" si="33"/>
        <v/>
      </c>
      <c r="MF72" s="338" t="str">
        <f t="shared" ca="1" si="102"/>
        <v/>
      </c>
      <c r="MG72" s="337" t="str">
        <f t="shared" ca="1" si="5"/>
        <v/>
      </c>
      <c r="MH72" s="338" t="str">
        <f t="shared" ca="1" si="35"/>
        <v/>
      </c>
      <c r="MI72" s="337" t="str">
        <f t="shared" ca="1" si="36"/>
        <v/>
      </c>
      <c r="MJ72" s="337" t="str">
        <f t="shared" ca="1" si="6"/>
        <v/>
      </c>
      <c r="MK72" s="337" t="str">
        <f t="shared" ca="1" si="166"/>
        <v/>
      </c>
      <c r="ML72" s="337" t="str">
        <f ca="1">IF(ME72&lt;&gt;"",VLOOKUP(ME72,Foglio7ti!$GF$40:$GG$92,2),"")</f>
        <v/>
      </c>
      <c r="MM72" s="282" t="str">
        <f t="shared" ca="1" si="38"/>
        <v/>
      </c>
      <c r="MN72" s="282"/>
      <c r="MO72" s="320">
        <f t="shared" si="128"/>
        <v>1</v>
      </c>
      <c r="MP72" s="253" t="str">
        <f t="shared" ca="1" si="39"/>
        <v/>
      </c>
      <c r="MQ72" t="e">
        <f t="shared" ca="1" si="160"/>
        <v>#N/A</v>
      </c>
      <c r="MR72" s="238" t="e">
        <f ca="1">VLOOKUP(ME72,Foglio1ti!AB64:AZ364,13)-MQ72</f>
        <v>#N/A</v>
      </c>
      <c r="MS72" t="e">
        <f t="shared" ca="1" si="40"/>
        <v>#N/A</v>
      </c>
      <c r="MT72" t="e">
        <f t="shared" ca="1" si="41"/>
        <v>#N/A</v>
      </c>
      <c r="MU72" s="238" t="e">
        <f ca="1">VLOOKUP(ME72,Foglio1ti!AB64:AZ364,13)-MT72</f>
        <v>#N/A</v>
      </c>
      <c r="MV72" t="e">
        <f t="shared" ca="1" si="42"/>
        <v>#N/A</v>
      </c>
      <c r="MW72">
        <f t="shared" ca="1" si="140"/>
        <v>0</v>
      </c>
      <c r="MX72">
        <f ca="1">IF(AND(frontti!$H$25="SI",ML72="3-8 anni"),INDIRECT(CONCATENATE($MR$37,"BI",MU72)),0)</f>
        <v>0</v>
      </c>
      <c r="MY72" s="254"/>
    </row>
    <row r="73" spans="1:363" x14ac:dyDescent="0.25">
      <c r="A73" s="112">
        <f t="shared" si="141"/>
        <v>40422</v>
      </c>
      <c r="B73" s="112">
        <f t="shared" si="44"/>
        <v>40544</v>
      </c>
      <c r="E73" s="240">
        <f>Foglio3!F53</f>
        <v>41197</v>
      </c>
      <c r="F73" s="240">
        <f>Foglio3!G53</f>
        <v>41239</v>
      </c>
      <c r="G73" s="244"/>
      <c r="H73" s="245">
        <f t="shared" si="45"/>
        <v>41197</v>
      </c>
      <c r="I73" s="245">
        <f t="shared" si="8"/>
        <v>41239</v>
      </c>
      <c r="J73" s="244"/>
      <c r="K73" s="244"/>
      <c r="Q73">
        <f t="shared" si="9"/>
        <v>43</v>
      </c>
      <c r="R73">
        <f t="shared" si="142"/>
        <v>43</v>
      </c>
      <c r="S73">
        <f t="shared" si="46"/>
        <v>0</v>
      </c>
      <c r="T73">
        <f t="shared" si="129"/>
        <v>1</v>
      </c>
      <c r="U73">
        <f t="shared" si="130"/>
        <v>13</v>
      </c>
      <c r="W73">
        <f t="shared" si="172"/>
        <v>0</v>
      </c>
      <c r="X73">
        <f t="shared" si="172"/>
        <v>135</v>
      </c>
      <c r="Y73">
        <f t="shared" si="172"/>
        <v>341</v>
      </c>
      <c r="AA73" s="112">
        <f t="shared" si="103"/>
        <v>41197</v>
      </c>
      <c r="AB73" s="112">
        <f t="shared" si="104"/>
        <v>41239</v>
      </c>
      <c r="AG73">
        <f t="shared" si="47"/>
        <v>1</v>
      </c>
      <c r="AH73" s="112">
        <f t="shared" si="48"/>
        <v>41197</v>
      </c>
      <c r="AI73" s="112">
        <f t="shared" si="48"/>
        <v>41239</v>
      </c>
      <c r="CG73">
        <f t="shared" si="50"/>
        <v>2012</v>
      </c>
      <c r="CH73">
        <f t="shared" si="50"/>
        <v>2012</v>
      </c>
      <c r="CJ73">
        <f t="shared" si="51"/>
        <v>0</v>
      </c>
      <c r="CK73">
        <f t="shared" si="161"/>
        <v>0</v>
      </c>
      <c r="CL73">
        <f t="shared" si="52"/>
        <v>0</v>
      </c>
      <c r="CN73">
        <f t="shared" si="53"/>
        <v>0</v>
      </c>
      <c r="CX73" s="112">
        <f t="shared" si="56"/>
        <v>100000</v>
      </c>
      <c r="CY73" s="112">
        <f t="shared" si="115"/>
        <v>100000</v>
      </c>
      <c r="CZ73" s="112">
        <f t="shared" si="116"/>
        <v>100000</v>
      </c>
      <c r="DA73" s="112">
        <f t="shared" si="117"/>
        <v>100000</v>
      </c>
      <c r="DB73" s="112">
        <f t="shared" si="118"/>
        <v>100000</v>
      </c>
      <c r="DC73" s="112">
        <f t="shared" si="119"/>
        <v>100000</v>
      </c>
      <c r="DU73" s="112"/>
      <c r="DV73" s="112"/>
      <c r="DW73" s="277">
        <v>44926</v>
      </c>
      <c r="DX73" s="276"/>
      <c r="DY73" s="276"/>
      <c r="DZ73" s="276"/>
      <c r="EF73" s="260">
        <f t="shared" si="162"/>
        <v>43466</v>
      </c>
      <c r="EK73" s="254"/>
      <c r="EL73">
        <f t="shared" si="165"/>
        <v>34</v>
      </c>
      <c r="EM73" s="260" t="e">
        <f t="shared" ca="1" si="122"/>
        <v>#NUM!</v>
      </c>
      <c r="EN73" s="112" t="e">
        <f t="shared" ca="1" si="63"/>
        <v>#NUM!</v>
      </c>
      <c r="EO73" s="112">
        <f t="shared" ca="1" si="64"/>
        <v>100000</v>
      </c>
      <c r="EP73" s="112">
        <f t="shared" ca="1" si="123"/>
        <v>100000</v>
      </c>
      <c r="EQ73" s="273">
        <f t="shared" ca="1" si="138"/>
        <v>100000</v>
      </c>
      <c r="ER73" s="302">
        <f t="shared" ca="1" si="65"/>
        <v>100000</v>
      </c>
      <c r="EU73" t="e">
        <f t="shared" ca="1" si="66"/>
        <v>#N/A</v>
      </c>
      <c r="EV73" s="260">
        <f t="shared" ca="1" si="124"/>
        <v>100000</v>
      </c>
      <c r="EW73" t="e">
        <f t="shared" ca="1" si="67"/>
        <v>#N/A</v>
      </c>
      <c r="EX73" t="e">
        <f t="shared" ca="1" si="12"/>
        <v>#N/A</v>
      </c>
      <c r="EY73" s="238" t="e">
        <f t="shared" ca="1" si="13"/>
        <v>#N/A</v>
      </c>
      <c r="FB73" t="e">
        <f t="shared" ca="1" si="68"/>
        <v>#N/A</v>
      </c>
      <c r="FC73" t="e">
        <f t="shared" ca="1" si="167"/>
        <v>#N/A</v>
      </c>
      <c r="FD73" t="e">
        <f t="shared" ca="1" si="167"/>
        <v>#N/A</v>
      </c>
      <c r="FE73" t="e">
        <f t="shared" ca="1" si="167"/>
        <v>#N/A</v>
      </c>
      <c r="FF73" t="e">
        <f t="shared" ca="1" si="167"/>
        <v>#N/A</v>
      </c>
      <c r="FM73" t="e">
        <f t="shared" ca="1" si="15"/>
        <v>#N/A</v>
      </c>
      <c r="FR73" s="254" t="e">
        <f t="shared" ca="1" si="69"/>
        <v>#N/A</v>
      </c>
      <c r="FS73">
        <f t="shared" si="125"/>
        <v>73</v>
      </c>
      <c r="FT73" t="e">
        <f t="shared" ca="1" si="168"/>
        <v>#N/A</v>
      </c>
      <c r="FU73" t="str">
        <f t="shared" ca="1" si="168"/>
        <v>EV73</v>
      </c>
      <c r="FV73" t="e">
        <f t="shared" ca="1" si="168"/>
        <v>#N/A</v>
      </c>
      <c r="FW73" t="e">
        <f t="shared" ca="1" si="168"/>
        <v>#N/A</v>
      </c>
      <c r="FX73" t="e">
        <f t="shared" ca="1" si="168"/>
        <v>#N/A</v>
      </c>
      <c r="FY73" t="e">
        <f t="shared" ca="1" si="168"/>
        <v>#N/A</v>
      </c>
      <c r="FZ73" t="e">
        <f t="shared" ca="1" si="168"/>
        <v>#N/A</v>
      </c>
      <c r="GA73" t="str">
        <f t="shared" ca="1" si="168"/>
        <v/>
      </c>
      <c r="GB73" t="e">
        <f t="shared" ca="1" si="168"/>
        <v>#N/A</v>
      </c>
      <c r="GC73" t="str">
        <f t="shared" ca="1" si="168"/>
        <v/>
      </c>
      <c r="GD73" t="str">
        <f t="shared" ca="1" si="168"/>
        <v/>
      </c>
      <c r="GE73">
        <f t="shared" ca="1" si="126"/>
        <v>0</v>
      </c>
      <c r="GF73" s="112">
        <f t="shared" ca="1" si="70"/>
        <v>100000</v>
      </c>
      <c r="GG73" s="112" t="e">
        <f t="shared" ca="1" si="71"/>
        <v>#N/A</v>
      </c>
      <c r="GH73" s="262" t="e">
        <f t="shared" ca="1" si="169"/>
        <v>#N/A</v>
      </c>
      <c r="GI73" s="262" t="e">
        <f t="shared" ca="1" si="169"/>
        <v>#N/A</v>
      </c>
      <c r="GJ73" s="262" t="e">
        <f t="shared" ca="1" si="169"/>
        <v>#N/A</v>
      </c>
      <c r="GK73" s="262" t="e">
        <f t="shared" ca="1" si="169"/>
        <v>#N/A</v>
      </c>
      <c r="GL73" s="262" t="e">
        <f t="shared" ca="1" si="169"/>
        <v>#N/A</v>
      </c>
      <c r="GM73" s="262">
        <f t="shared" ca="1" si="169"/>
        <v>0</v>
      </c>
      <c r="GN73" s="262" t="e">
        <f t="shared" ca="1" si="169"/>
        <v>#N/A</v>
      </c>
      <c r="GO73" s="262">
        <f t="shared" ca="1" si="72"/>
        <v>0</v>
      </c>
      <c r="GP73" s="262">
        <f t="shared" ca="1" si="73"/>
        <v>0</v>
      </c>
      <c r="GR73" s="262" t="e">
        <f t="shared" ca="1" si="75"/>
        <v>#N/A</v>
      </c>
      <c r="GS73" s="262" t="e">
        <f t="shared" ca="1" si="18"/>
        <v>#N/A</v>
      </c>
      <c r="GT73" s="253" t="str">
        <f t="shared" ca="1" si="76"/>
        <v/>
      </c>
      <c r="GU73" t="str">
        <f t="shared" ca="1" si="77"/>
        <v/>
      </c>
      <c r="GV73" t="str">
        <f t="shared" ca="1" si="78"/>
        <v/>
      </c>
      <c r="GW73" t="e">
        <f t="shared" ca="1" si="139"/>
        <v>#N/A</v>
      </c>
      <c r="GX73" t="e">
        <f t="shared" ca="1" si="170"/>
        <v>#N/A</v>
      </c>
      <c r="GY73" t="e">
        <f t="shared" ca="1" si="170"/>
        <v>#N/A</v>
      </c>
      <c r="GZ73" t="e">
        <f t="shared" ca="1" si="20"/>
        <v>#N/A</v>
      </c>
      <c r="HA73" t="e">
        <f t="shared" ca="1" si="170"/>
        <v>#N/A</v>
      </c>
      <c r="HB73" t="str">
        <f t="shared" ca="1" si="170"/>
        <v/>
      </c>
      <c r="HC73" t="e">
        <f t="shared" ca="1" si="170"/>
        <v>#N/A</v>
      </c>
      <c r="HD73" t="str">
        <f t="shared" ca="1" si="79"/>
        <v/>
      </c>
      <c r="HE73" s="254" t="str">
        <f t="shared" ca="1" si="170"/>
        <v/>
      </c>
      <c r="HF73" s="254" t="e">
        <f t="shared" ca="1" si="80"/>
        <v>#N/A</v>
      </c>
      <c r="HM73" s="263" t="e">
        <f t="shared" ca="1" si="81"/>
        <v>#N/A</v>
      </c>
      <c r="HO73" s="272" t="str">
        <f t="shared" ca="1" si="21"/>
        <v/>
      </c>
      <c r="HP73">
        <f t="shared" ca="1" si="82"/>
        <v>0</v>
      </c>
      <c r="HQ73" t="str">
        <f t="shared" ca="1" si="83"/>
        <v/>
      </c>
      <c r="HR73" t="str">
        <f t="shared" ca="1" si="173"/>
        <v/>
      </c>
      <c r="HS73" t="str">
        <f t="shared" ca="1" si="174"/>
        <v/>
      </c>
      <c r="HX73" s="253" t="s">
        <v>187</v>
      </c>
      <c r="HY73" s="112" t="str">
        <f t="shared" si="86"/>
        <v>15/10/2012</v>
      </c>
      <c r="HZ73" t="s">
        <v>188</v>
      </c>
      <c r="IA73" s="112" t="str">
        <f t="shared" si="87"/>
        <v>26/11/2012</v>
      </c>
      <c r="IB73" t="s">
        <v>189</v>
      </c>
      <c r="IC73">
        <f t="shared" si="88"/>
        <v>0</v>
      </c>
      <c r="ID73" t="s">
        <v>192</v>
      </c>
      <c r="IE73">
        <f t="shared" si="89"/>
        <v>1</v>
      </c>
      <c r="IF73" t="s">
        <v>191</v>
      </c>
      <c r="IG73" s="254">
        <f t="shared" si="90"/>
        <v>13</v>
      </c>
      <c r="IL73" t="str">
        <f t="shared" si="91"/>
        <v xml:space="preserve">DAL: 15/10/2012 - AL:26/11/2012 - ANNI:0 - MESI:1 -GIORNI:13
</v>
      </c>
      <c r="KD73">
        <v>0</v>
      </c>
      <c r="KE73" s="260">
        <f t="shared" ca="1" si="92"/>
        <v>100000</v>
      </c>
      <c r="KF73" t="str">
        <f t="shared" si="93"/>
        <v>0-2 anni</v>
      </c>
      <c r="KG73">
        <f t="shared" si="22"/>
        <v>6</v>
      </c>
      <c r="KH73" s="238">
        <f t="shared" ca="1" si="23"/>
        <v>255</v>
      </c>
      <c r="KK73">
        <f t="shared" ca="1" si="94"/>
        <v>16218.89</v>
      </c>
      <c r="KL73" t="e">
        <f t="shared" ca="1" si="171"/>
        <v>#N/A</v>
      </c>
      <c r="KM73" t="e">
        <f t="shared" ca="1" si="171"/>
        <v>#N/A</v>
      </c>
      <c r="KN73" t="e">
        <f t="shared" ca="1" si="171"/>
        <v>#N/A</v>
      </c>
      <c r="KO73" t="e">
        <f t="shared" ca="1" si="171"/>
        <v>#N/A</v>
      </c>
      <c r="KV73" t="e">
        <f t="shared" ca="1" si="25"/>
        <v>#N/A</v>
      </c>
      <c r="LA73" s="254" t="str">
        <f t="shared" si="95"/>
        <v>0-2 anni</v>
      </c>
      <c r="LB73" s="112">
        <f t="shared" si="26"/>
        <v>41197</v>
      </c>
      <c r="LC73" s="112">
        <f t="shared" si="26"/>
        <v>41239</v>
      </c>
      <c r="LD73" t="e">
        <f t="shared" ca="1" si="96"/>
        <v>#N/A</v>
      </c>
      <c r="LE73" s="262" t="e">
        <f t="shared" ca="1" si="97"/>
        <v>#N/A</v>
      </c>
      <c r="LF73">
        <f t="shared" si="98"/>
        <v>43</v>
      </c>
      <c r="LG73" t="e">
        <f t="shared" ca="1" si="99"/>
        <v>#N/A</v>
      </c>
      <c r="LL73" s="112">
        <f ca="1">Foglio7ti!GF74</f>
        <v>100000</v>
      </c>
      <c r="LM73" s="308">
        <f t="shared" ca="1" si="27"/>
        <v>100000</v>
      </c>
      <c r="LN73" s="112"/>
      <c r="LO73">
        <f t="shared" si="100"/>
        <v>35</v>
      </c>
      <c r="LP73" s="308">
        <f t="shared" ca="1" si="28"/>
        <v>100000</v>
      </c>
      <c r="LQ73" s="112"/>
      <c r="LS73" s="263">
        <f t="shared" si="29"/>
        <v>35</v>
      </c>
      <c r="LT73" s="308">
        <f t="shared" ca="1" si="30"/>
        <v>100000</v>
      </c>
      <c r="LW73" s="308">
        <f t="shared" ca="1" si="31"/>
        <v>100000</v>
      </c>
      <c r="LZ73" s="308">
        <f t="shared" ca="1" si="32"/>
        <v>100000</v>
      </c>
      <c r="MC73" s="308">
        <f t="shared" ca="1" si="175"/>
        <v>100000</v>
      </c>
      <c r="MD73" t="str">
        <f t="shared" ca="1" si="101"/>
        <v/>
      </c>
      <c r="ME73" s="338" t="str">
        <f t="shared" ca="1" si="33"/>
        <v/>
      </c>
      <c r="MF73" s="338" t="str">
        <f t="shared" ca="1" si="102"/>
        <v/>
      </c>
      <c r="MG73" s="337" t="str">
        <f t="shared" ca="1" si="5"/>
        <v/>
      </c>
      <c r="MH73" s="338" t="str">
        <f t="shared" ca="1" si="35"/>
        <v/>
      </c>
      <c r="MI73" s="337" t="str">
        <f t="shared" ca="1" si="36"/>
        <v/>
      </c>
      <c r="MJ73" s="337" t="str">
        <f t="shared" ca="1" si="6"/>
        <v/>
      </c>
      <c r="MK73" s="337" t="str">
        <f t="shared" ca="1" si="166"/>
        <v/>
      </c>
      <c r="ML73" s="337" t="str">
        <f ca="1">IF(ME73&lt;&gt;"",VLOOKUP(ME73,Foglio7ti!$GF$40:$GG$92,2),"")</f>
        <v/>
      </c>
      <c r="MM73" s="282" t="str">
        <f t="shared" ca="1" si="38"/>
        <v/>
      </c>
      <c r="MN73" s="282"/>
      <c r="MO73" s="320">
        <f t="shared" si="128"/>
        <v>1</v>
      </c>
      <c r="MP73" s="253" t="str">
        <f t="shared" ca="1" si="39"/>
        <v/>
      </c>
      <c r="MQ73" t="e">
        <f t="shared" ca="1" si="160"/>
        <v>#N/A</v>
      </c>
      <c r="MR73" s="238" t="e">
        <f ca="1">VLOOKUP(ME73,Foglio1ti!AB65:AZ365,13)-MQ73</f>
        <v>#N/A</v>
      </c>
      <c r="MS73" t="e">
        <f t="shared" ca="1" si="40"/>
        <v>#N/A</v>
      </c>
      <c r="MT73" t="e">
        <f t="shared" ca="1" si="41"/>
        <v>#N/A</v>
      </c>
      <c r="MU73" s="238" t="e">
        <f ca="1">VLOOKUP(ME73,Foglio1ti!AB65:AZ365,13)-MT73</f>
        <v>#N/A</v>
      </c>
      <c r="MV73" t="e">
        <f t="shared" ca="1" si="42"/>
        <v>#N/A</v>
      </c>
      <c r="MW73">
        <f t="shared" ca="1" si="140"/>
        <v>0</v>
      </c>
      <c r="MX73">
        <f ca="1">IF(AND(frontti!$H$25="SI",ML73="3-8 anni"),INDIRECT(CONCATENATE($MR$37,"BI",MU73)),0)</f>
        <v>0</v>
      </c>
      <c r="MY73" s="254"/>
    </row>
    <row r="74" spans="1:363" x14ac:dyDescent="0.25">
      <c r="A74" s="112">
        <f t="shared" si="141"/>
        <v>40422</v>
      </c>
      <c r="B74" s="112">
        <f t="shared" si="44"/>
        <v>40544</v>
      </c>
      <c r="E74" s="240">
        <f>Foglio3!F54</f>
        <v>41240</v>
      </c>
      <c r="F74" s="240">
        <f>Foglio3!G54</f>
        <v>41471</v>
      </c>
      <c r="G74" s="244"/>
      <c r="H74" s="245">
        <f t="shared" si="45"/>
        <v>41240</v>
      </c>
      <c r="I74" s="245">
        <f t="shared" si="8"/>
        <v>41274</v>
      </c>
      <c r="J74" s="244"/>
      <c r="K74" s="244"/>
      <c r="Q74">
        <f t="shared" si="9"/>
        <v>35</v>
      </c>
      <c r="R74">
        <f t="shared" si="142"/>
        <v>35</v>
      </c>
      <c r="S74">
        <f t="shared" si="46"/>
        <v>0</v>
      </c>
      <c r="T74">
        <f t="shared" si="129"/>
        <v>1</v>
      </c>
      <c r="U74">
        <f t="shared" si="130"/>
        <v>5</v>
      </c>
      <c r="W74">
        <f t="shared" si="172"/>
        <v>0</v>
      </c>
      <c r="X74">
        <f t="shared" si="172"/>
        <v>136</v>
      </c>
      <c r="Y74">
        <f t="shared" si="172"/>
        <v>346</v>
      </c>
      <c r="AA74" s="112">
        <f t="shared" si="103"/>
        <v>41240</v>
      </c>
      <c r="AB74" s="112">
        <f t="shared" si="104"/>
        <v>41274</v>
      </c>
      <c r="AG74">
        <f t="shared" si="47"/>
        <v>1</v>
      </c>
      <c r="AH74" s="112">
        <f t="shared" si="48"/>
        <v>41240</v>
      </c>
      <c r="AI74" s="112">
        <f t="shared" si="48"/>
        <v>41274</v>
      </c>
      <c r="CG74">
        <f t="shared" si="50"/>
        <v>2012</v>
      </c>
      <c r="CH74">
        <f t="shared" si="50"/>
        <v>2013</v>
      </c>
      <c r="CJ74">
        <f t="shared" si="51"/>
        <v>0</v>
      </c>
      <c r="CK74">
        <f t="shared" si="161"/>
        <v>196</v>
      </c>
      <c r="CL74">
        <f t="shared" si="52"/>
        <v>0</v>
      </c>
      <c r="CN74">
        <f t="shared" si="53"/>
        <v>196</v>
      </c>
      <c r="CX74" s="112">
        <f t="shared" si="56"/>
        <v>100000</v>
      </c>
      <c r="CY74" s="112">
        <f t="shared" si="115"/>
        <v>100000</v>
      </c>
      <c r="CZ74" s="112">
        <f t="shared" si="116"/>
        <v>100000</v>
      </c>
      <c r="DA74" s="112">
        <f t="shared" si="117"/>
        <v>100000</v>
      </c>
      <c r="DB74" s="112">
        <f t="shared" si="118"/>
        <v>100000</v>
      </c>
      <c r="DC74" s="112">
        <f t="shared" si="119"/>
        <v>100000</v>
      </c>
      <c r="DU74" s="112"/>
      <c r="DV74" s="112"/>
      <c r="DW74" s="276"/>
      <c r="DX74" s="276"/>
      <c r="DY74" s="276"/>
      <c r="DZ74" s="276"/>
      <c r="EF74" s="260">
        <f t="shared" si="162"/>
        <v>43831</v>
      </c>
      <c r="EK74" s="254"/>
      <c r="EL74">
        <f t="shared" si="165"/>
        <v>35</v>
      </c>
      <c r="EM74" s="260" t="e">
        <f t="shared" ca="1" si="122"/>
        <v>#NUM!</v>
      </c>
      <c r="EN74" s="112" t="e">
        <f t="shared" ca="1" si="63"/>
        <v>#NUM!</v>
      </c>
      <c r="EO74" s="112">
        <f t="shared" ca="1" si="64"/>
        <v>100000</v>
      </c>
      <c r="EP74" s="112">
        <f t="shared" ca="1" si="123"/>
        <v>100000</v>
      </c>
      <c r="EQ74" s="273">
        <f t="shared" ca="1" si="138"/>
        <v>100000</v>
      </c>
      <c r="ER74" s="302">
        <f t="shared" ca="1" si="65"/>
        <v>100000</v>
      </c>
      <c r="EU74" t="e">
        <f t="shared" ca="1" si="66"/>
        <v>#N/A</v>
      </c>
      <c r="EV74" s="260">
        <f t="shared" ca="1" si="124"/>
        <v>100000</v>
      </c>
      <c r="EW74" t="e">
        <f t="shared" ca="1" si="67"/>
        <v>#N/A</v>
      </c>
      <c r="EX74" t="e">
        <f t="shared" ca="1" si="12"/>
        <v>#N/A</v>
      </c>
      <c r="EY74" s="238" t="e">
        <f t="shared" ca="1" si="13"/>
        <v>#N/A</v>
      </c>
      <c r="FB74" t="e">
        <f t="shared" ca="1" si="68"/>
        <v>#N/A</v>
      </c>
      <c r="FC74" t="e">
        <f t="shared" ca="1" si="167"/>
        <v>#N/A</v>
      </c>
      <c r="FD74" t="e">
        <f t="shared" ca="1" si="167"/>
        <v>#N/A</v>
      </c>
      <c r="FE74" t="e">
        <f t="shared" ca="1" si="167"/>
        <v>#N/A</v>
      </c>
      <c r="FF74" t="e">
        <f t="shared" ca="1" si="167"/>
        <v>#N/A</v>
      </c>
      <c r="FM74" t="e">
        <f t="shared" ca="1" si="15"/>
        <v>#N/A</v>
      </c>
      <c r="FR74" s="254" t="e">
        <f t="shared" ca="1" si="69"/>
        <v>#N/A</v>
      </c>
      <c r="FS74">
        <f t="shared" si="125"/>
        <v>74</v>
      </c>
      <c r="FT74" t="e">
        <f t="shared" ca="1" si="168"/>
        <v>#N/A</v>
      </c>
      <c r="FU74" t="str">
        <f t="shared" ca="1" si="168"/>
        <v>EV74</v>
      </c>
      <c r="FV74" t="e">
        <f t="shared" ca="1" si="168"/>
        <v>#N/A</v>
      </c>
      <c r="FW74" t="e">
        <f t="shared" ca="1" si="168"/>
        <v>#N/A</v>
      </c>
      <c r="FX74" t="e">
        <f t="shared" ca="1" si="168"/>
        <v>#N/A</v>
      </c>
      <c r="FY74" t="e">
        <f t="shared" ca="1" si="168"/>
        <v>#N/A</v>
      </c>
      <c r="FZ74" t="e">
        <f t="shared" ca="1" si="168"/>
        <v>#N/A</v>
      </c>
      <c r="GA74" t="str">
        <f t="shared" ca="1" si="168"/>
        <v/>
      </c>
      <c r="GB74" t="e">
        <f t="shared" ca="1" si="168"/>
        <v>#N/A</v>
      </c>
      <c r="GC74" t="str">
        <f t="shared" ca="1" si="168"/>
        <v/>
      </c>
      <c r="GD74" t="str">
        <f t="shared" ca="1" si="168"/>
        <v/>
      </c>
      <c r="GE74">
        <f t="shared" ca="1" si="126"/>
        <v>0</v>
      </c>
      <c r="GF74" s="112">
        <f t="shared" ca="1" si="70"/>
        <v>100000</v>
      </c>
      <c r="GG74" s="112" t="e">
        <f t="shared" ca="1" si="71"/>
        <v>#N/A</v>
      </c>
      <c r="GH74" s="262" t="e">
        <f t="shared" ca="1" si="169"/>
        <v>#N/A</v>
      </c>
      <c r="GI74" s="262" t="e">
        <f t="shared" ca="1" si="169"/>
        <v>#N/A</v>
      </c>
      <c r="GJ74" s="262" t="e">
        <f t="shared" ca="1" si="169"/>
        <v>#N/A</v>
      </c>
      <c r="GK74" s="262" t="e">
        <f t="shared" ca="1" si="169"/>
        <v>#N/A</v>
      </c>
      <c r="GL74" s="262" t="e">
        <f t="shared" ca="1" si="169"/>
        <v>#N/A</v>
      </c>
      <c r="GM74" s="262">
        <f t="shared" ca="1" si="169"/>
        <v>0</v>
      </c>
      <c r="GN74" s="262" t="e">
        <f t="shared" ca="1" si="169"/>
        <v>#N/A</v>
      </c>
      <c r="GO74" s="262">
        <f t="shared" ca="1" si="72"/>
        <v>0</v>
      </c>
      <c r="GP74" s="262">
        <f t="shared" ca="1" si="73"/>
        <v>0</v>
      </c>
      <c r="GR74" s="262" t="e">
        <f t="shared" ca="1" si="75"/>
        <v>#N/A</v>
      </c>
      <c r="GS74" s="262" t="e">
        <f t="shared" ca="1" si="18"/>
        <v>#N/A</v>
      </c>
      <c r="GT74" s="253" t="str">
        <f t="shared" ca="1" si="76"/>
        <v/>
      </c>
      <c r="GU74" t="str">
        <f t="shared" ca="1" si="77"/>
        <v/>
      </c>
      <c r="GV74" t="str">
        <f t="shared" ca="1" si="78"/>
        <v/>
      </c>
      <c r="GW74" t="e">
        <f t="shared" ca="1" si="139"/>
        <v>#N/A</v>
      </c>
      <c r="GX74" t="e">
        <f t="shared" ca="1" si="170"/>
        <v>#N/A</v>
      </c>
      <c r="GY74" t="e">
        <f t="shared" ca="1" si="170"/>
        <v>#N/A</v>
      </c>
      <c r="GZ74" t="e">
        <f t="shared" ca="1" si="20"/>
        <v>#N/A</v>
      </c>
      <c r="HA74" t="e">
        <f t="shared" ca="1" si="170"/>
        <v>#N/A</v>
      </c>
      <c r="HB74" t="str">
        <f t="shared" ca="1" si="170"/>
        <v/>
      </c>
      <c r="HC74" t="e">
        <f t="shared" ca="1" si="170"/>
        <v>#N/A</v>
      </c>
      <c r="HD74" t="str">
        <f t="shared" ca="1" si="79"/>
        <v/>
      </c>
      <c r="HE74" s="254" t="str">
        <f t="shared" ca="1" si="170"/>
        <v/>
      </c>
      <c r="HF74" s="254" t="e">
        <f t="shared" ca="1" si="80"/>
        <v>#N/A</v>
      </c>
      <c r="HM74" s="263" t="e">
        <f t="shared" ca="1" si="81"/>
        <v>#N/A</v>
      </c>
      <c r="HO74" s="272" t="str">
        <f t="shared" ca="1" si="21"/>
        <v/>
      </c>
      <c r="HP74">
        <f t="shared" ca="1" si="82"/>
        <v>0</v>
      </c>
      <c r="HQ74" t="str">
        <f t="shared" ca="1" si="83"/>
        <v/>
      </c>
      <c r="HR74" t="str">
        <f t="shared" ca="1" si="173"/>
        <v/>
      </c>
      <c r="HS74" t="str">
        <f t="shared" ca="1" si="174"/>
        <v/>
      </c>
      <c r="HX74" s="253" t="s">
        <v>187</v>
      </c>
      <c r="HY74" s="112" t="str">
        <f t="shared" si="86"/>
        <v>27/11/2012</v>
      </c>
      <c r="HZ74" t="s">
        <v>188</v>
      </c>
      <c r="IA74" s="112" t="str">
        <f t="shared" si="87"/>
        <v>16/7/2013</v>
      </c>
      <c r="IB74" t="s">
        <v>189</v>
      </c>
      <c r="IC74">
        <f t="shared" si="88"/>
        <v>0</v>
      </c>
      <c r="ID74" t="s">
        <v>192</v>
      </c>
      <c r="IE74">
        <f t="shared" si="89"/>
        <v>1</v>
      </c>
      <c r="IF74" t="s">
        <v>191</v>
      </c>
      <c r="IG74" s="254">
        <f t="shared" si="90"/>
        <v>5</v>
      </c>
      <c r="IL74" t="str">
        <f t="shared" si="91"/>
        <v xml:space="preserve">DAL: 27/11/2012 - AL:16/7/2013 - ANNI:0 - MESI:1 -GIORNI:5
</v>
      </c>
      <c r="KD74">
        <v>0</v>
      </c>
      <c r="KE74" s="260">
        <f t="shared" ca="1" si="92"/>
        <v>100000</v>
      </c>
      <c r="KF74" t="str">
        <f t="shared" si="93"/>
        <v>0-2 anni</v>
      </c>
      <c r="KG74">
        <f t="shared" si="22"/>
        <v>6</v>
      </c>
      <c r="KH74" s="238">
        <f t="shared" ca="1" si="23"/>
        <v>255</v>
      </c>
      <c r="KK74">
        <f t="shared" ca="1" si="94"/>
        <v>16218.89</v>
      </c>
      <c r="KL74" t="e">
        <f t="shared" ca="1" si="171"/>
        <v>#N/A</v>
      </c>
      <c r="KM74" t="e">
        <f t="shared" ca="1" si="171"/>
        <v>#N/A</v>
      </c>
      <c r="KN74" t="e">
        <f t="shared" ca="1" si="171"/>
        <v>#N/A</v>
      </c>
      <c r="KO74" t="e">
        <f t="shared" ca="1" si="171"/>
        <v>#N/A</v>
      </c>
      <c r="KV74" t="e">
        <f t="shared" ca="1" si="25"/>
        <v>#N/A</v>
      </c>
      <c r="LA74" s="254" t="str">
        <f t="shared" si="95"/>
        <v>0-2 anni</v>
      </c>
      <c r="LB74" s="112">
        <f t="shared" si="26"/>
        <v>41240</v>
      </c>
      <c r="LC74" s="112">
        <f t="shared" si="26"/>
        <v>41471</v>
      </c>
      <c r="LD74" t="e">
        <f t="shared" ca="1" si="96"/>
        <v>#N/A</v>
      </c>
      <c r="LE74" s="262" t="e">
        <f t="shared" ca="1" si="97"/>
        <v>#N/A</v>
      </c>
      <c r="LF74">
        <f t="shared" si="98"/>
        <v>35</v>
      </c>
      <c r="LG74" t="e">
        <f t="shared" ca="1" si="99"/>
        <v>#N/A</v>
      </c>
      <c r="LL74" s="112">
        <f ca="1">Foglio7ti!GF75</f>
        <v>100000</v>
      </c>
      <c r="LM74" s="308">
        <f t="shared" ca="1" si="27"/>
        <v>100000</v>
      </c>
      <c r="LN74" s="112"/>
      <c r="LO74">
        <f t="shared" si="100"/>
        <v>36</v>
      </c>
      <c r="LP74" s="308">
        <f t="shared" ca="1" si="28"/>
        <v>100000</v>
      </c>
      <c r="LQ74" s="112"/>
      <c r="LS74" s="263">
        <f t="shared" si="29"/>
        <v>36</v>
      </c>
      <c r="LT74" s="308">
        <f t="shared" ca="1" si="30"/>
        <v>100000</v>
      </c>
      <c r="LW74" s="308">
        <f t="shared" ca="1" si="31"/>
        <v>100000</v>
      </c>
      <c r="LZ74" s="308">
        <f t="shared" ca="1" si="32"/>
        <v>100000</v>
      </c>
      <c r="MC74" s="308">
        <f t="shared" ca="1" si="175"/>
        <v>100000</v>
      </c>
      <c r="MD74" t="str">
        <f t="shared" ca="1" si="101"/>
        <v/>
      </c>
      <c r="ME74" s="338" t="str">
        <f t="shared" ca="1" si="33"/>
        <v/>
      </c>
      <c r="MF74" s="338" t="str">
        <f t="shared" ca="1" si="102"/>
        <v/>
      </c>
      <c r="MG74" s="337" t="str">
        <f t="shared" ca="1" si="5"/>
        <v/>
      </c>
      <c r="MH74" s="338" t="str">
        <f t="shared" ca="1" si="35"/>
        <v/>
      </c>
      <c r="MI74" s="337" t="str">
        <f t="shared" ca="1" si="36"/>
        <v/>
      </c>
      <c r="MJ74" s="337" t="str">
        <f t="shared" ca="1" si="6"/>
        <v/>
      </c>
      <c r="MK74" s="337" t="str">
        <f t="shared" ca="1" si="166"/>
        <v/>
      </c>
      <c r="ML74" s="337" t="str">
        <f ca="1">IF(ME74&lt;&gt;"",VLOOKUP(ME74,Foglio7ti!$GF$40:$GG$92,2),"")</f>
        <v/>
      </c>
      <c r="MM74" s="282" t="str">
        <f t="shared" ca="1" si="38"/>
        <v/>
      </c>
      <c r="MN74" s="282"/>
      <c r="MO74" s="320">
        <f t="shared" si="128"/>
        <v>1</v>
      </c>
      <c r="MP74" s="253" t="str">
        <f t="shared" ca="1" si="39"/>
        <v/>
      </c>
      <c r="MQ74" t="e">
        <f t="shared" ca="1" si="160"/>
        <v>#N/A</v>
      </c>
      <c r="MR74" s="238" t="e">
        <f ca="1">VLOOKUP(ME74,Foglio1ti!AB66:AZ366,13)-MQ74</f>
        <v>#N/A</v>
      </c>
      <c r="MS74" t="e">
        <f t="shared" ca="1" si="40"/>
        <v>#N/A</v>
      </c>
      <c r="MT74" t="e">
        <f t="shared" ca="1" si="41"/>
        <v>#N/A</v>
      </c>
      <c r="MU74" s="238" t="e">
        <f ca="1">VLOOKUP(ME74,Foglio1ti!AB66:AZ366,13)-MT74</f>
        <v>#N/A</v>
      </c>
      <c r="MV74" t="e">
        <f t="shared" ca="1" si="42"/>
        <v>#N/A</v>
      </c>
      <c r="MW74">
        <f t="shared" ca="1" si="140"/>
        <v>0</v>
      </c>
      <c r="MX74">
        <f ca="1">IF(AND(frontti!$H$25="SI",ML74="3-8 anni"),INDIRECT(CONCATENATE($MR$37,"BI",MU74)),0)</f>
        <v>0</v>
      </c>
      <c r="MY74" s="254"/>
    </row>
    <row r="75" spans="1:363" x14ac:dyDescent="0.25">
      <c r="A75" s="112">
        <f t="shared" si="141"/>
        <v>40422</v>
      </c>
      <c r="B75" s="112">
        <f t="shared" si="44"/>
        <v>40544</v>
      </c>
      <c r="E75" s="240">
        <f>Foglio3!F55</f>
        <v>41530</v>
      </c>
      <c r="F75" s="240">
        <f>Foglio3!G55</f>
        <v>41882</v>
      </c>
      <c r="G75" s="244"/>
      <c r="H75" s="245">
        <f t="shared" si="45"/>
        <v>41640</v>
      </c>
      <c r="I75" s="245">
        <f t="shared" si="8"/>
        <v>41882</v>
      </c>
      <c r="J75" s="244"/>
      <c r="K75" s="244"/>
      <c r="Q75">
        <f t="shared" si="9"/>
        <v>243</v>
      </c>
      <c r="R75">
        <f t="shared" si="142"/>
        <v>243</v>
      </c>
      <c r="S75">
        <f t="shared" si="46"/>
        <v>0</v>
      </c>
      <c r="T75">
        <f t="shared" si="129"/>
        <v>8</v>
      </c>
      <c r="U75">
        <f t="shared" si="130"/>
        <v>3</v>
      </c>
      <c r="W75">
        <f t="shared" ref="W75:Y90" si="176">S75+W74</f>
        <v>0</v>
      </c>
      <c r="X75">
        <f t="shared" si="176"/>
        <v>144</v>
      </c>
      <c r="Y75">
        <f t="shared" si="176"/>
        <v>349</v>
      </c>
      <c r="AA75" s="112" t="str">
        <f t="shared" si="103"/>
        <v>01/01/2014</v>
      </c>
      <c r="AB75" s="112">
        <f t="shared" si="104"/>
        <v>41882</v>
      </c>
      <c r="AG75">
        <f t="shared" si="47"/>
        <v>1</v>
      </c>
      <c r="AH75" s="112">
        <f t="shared" si="48"/>
        <v>41640</v>
      </c>
      <c r="AI75" s="112">
        <f t="shared" si="48"/>
        <v>41882</v>
      </c>
      <c r="CG75">
        <f t="shared" si="50"/>
        <v>2013</v>
      </c>
      <c r="CH75">
        <f t="shared" si="50"/>
        <v>2014</v>
      </c>
      <c r="CJ75">
        <f t="shared" si="51"/>
        <v>0</v>
      </c>
      <c r="CK75">
        <f t="shared" si="161"/>
        <v>0</v>
      </c>
      <c r="CL75">
        <f t="shared" si="52"/>
        <v>110</v>
      </c>
      <c r="CN75">
        <f t="shared" si="53"/>
        <v>110</v>
      </c>
      <c r="CX75" s="112">
        <f t="shared" si="56"/>
        <v>100000</v>
      </c>
      <c r="CY75" s="112">
        <f t="shared" si="115"/>
        <v>100000</v>
      </c>
      <c r="CZ75" s="112">
        <f t="shared" si="116"/>
        <v>100000</v>
      </c>
      <c r="DA75" s="112">
        <f t="shared" si="117"/>
        <v>100000</v>
      </c>
      <c r="DB75" s="112">
        <f t="shared" si="118"/>
        <v>100000</v>
      </c>
      <c r="DC75" s="112">
        <f t="shared" si="119"/>
        <v>100000</v>
      </c>
      <c r="DU75" s="112"/>
      <c r="DV75" s="112"/>
      <c r="DW75" s="276"/>
      <c r="DX75" s="276"/>
      <c r="DY75" s="276"/>
      <c r="DZ75" s="276"/>
      <c r="EF75" s="260">
        <f t="shared" si="162"/>
        <v>44197</v>
      </c>
      <c r="EK75" s="254"/>
      <c r="EL75">
        <f t="shared" si="165"/>
        <v>36</v>
      </c>
      <c r="EM75" s="260" t="e">
        <f t="shared" ca="1" si="122"/>
        <v>#NUM!</v>
      </c>
      <c r="EN75" s="112" t="e">
        <f t="shared" ca="1" si="63"/>
        <v>#NUM!</v>
      </c>
      <c r="EO75" s="112">
        <f t="shared" ca="1" si="64"/>
        <v>100000</v>
      </c>
      <c r="EP75" s="112">
        <f t="shared" ca="1" si="123"/>
        <v>100000</v>
      </c>
      <c r="EQ75" s="273">
        <f t="shared" ca="1" si="138"/>
        <v>100000</v>
      </c>
      <c r="ER75" s="302">
        <f t="shared" ca="1" si="65"/>
        <v>100000</v>
      </c>
      <c r="EU75" t="e">
        <f t="shared" ca="1" si="66"/>
        <v>#N/A</v>
      </c>
      <c r="EV75" s="260">
        <f t="shared" ca="1" si="124"/>
        <v>100000</v>
      </c>
      <c r="EW75" t="e">
        <f t="shared" ca="1" si="67"/>
        <v>#N/A</v>
      </c>
      <c r="EX75" t="e">
        <f t="shared" ca="1" si="12"/>
        <v>#N/A</v>
      </c>
      <c r="EY75" s="238" t="e">
        <f t="shared" ca="1" si="13"/>
        <v>#N/A</v>
      </c>
      <c r="FB75" t="e">
        <f t="shared" ca="1" si="68"/>
        <v>#N/A</v>
      </c>
      <c r="FC75" t="e">
        <f t="shared" ca="1" si="167"/>
        <v>#N/A</v>
      </c>
      <c r="FD75" t="e">
        <f t="shared" ca="1" si="167"/>
        <v>#N/A</v>
      </c>
      <c r="FE75" t="e">
        <f t="shared" ca="1" si="167"/>
        <v>#N/A</v>
      </c>
      <c r="FF75" t="e">
        <f t="shared" ca="1" si="167"/>
        <v>#N/A</v>
      </c>
      <c r="FM75" t="e">
        <f t="shared" ca="1" si="15"/>
        <v>#N/A</v>
      </c>
      <c r="FR75" s="254" t="e">
        <f t="shared" ca="1" si="69"/>
        <v>#N/A</v>
      </c>
      <c r="FS75">
        <f t="shared" si="125"/>
        <v>75</v>
      </c>
      <c r="FT75" t="e">
        <f t="shared" ca="1" si="168"/>
        <v>#N/A</v>
      </c>
      <c r="FU75" t="str">
        <f t="shared" ca="1" si="168"/>
        <v>EV75</v>
      </c>
      <c r="FV75" t="e">
        <f t="shared" ca="1" si="168"/>
        <v>#N/A</v>
      </c>
      <c r="FW75" t="e">
        <f t="shared" ca="1" si="168"/>
        <v>#N/A</v>
      </c>
      <c r="FX75" t="e">
        <f t="shared" ca="1" si="168"/>
        <v>#N/A</v>
      </c>
      <c r="FY75" t="e">
        <f t="shared" ca="1" si="168"/>
        <v>#N/A</v>
      </c>
      <c r="FZ75" t="e">
        <f t="shared" ca="1" si="168"/>
        <v>#N/A</v>
      </c>
      <c r="GA75" t="str">
        <f t="shared" ca="1" si="168"/>
        <v/>
      </c>
      <c r="GB75" t="e">
        <f t="shared" ca="1" si="168"/>
        <v>#N/A</v>
      </c>
      <c r="GC75" t="str">
        <f t="shared" ca="1" si="168"/>
        <v/>
      </c>
      <c r="GD75" t="str">
        <f t="shared" ca="1" si="168"/>
        <v/>
      </c>
      <c r="GE75">
        <f t="shared" ca="1" si="126"/>
        <v>0</v>
      </c>
      <c r="GF75" s="112">
        <f t="shared" ca="1" si="70"/>
        <v>100000</v>
      </c>
      <c r="GG75" s="112" t="e">
        <f t="shared" ca="1" si="71"/>
        <v>#N/A</v>
      </c>
      <c r="GH75" s="262" t="e">
        <f t="shared" ca="1" si="169"/>
        <v>#N/A</v>
      </c>
      <c r="GI75" s="262" t="e">
        <f t="shared" ca="1" si="169"/>
        <v>#N/A</v>
      </c>
      <c r="GJ75" s="262" t="e">
        <f t="shared" ca="1" si="169"/>
        <v>#N/A</v>
      </c>
      <c r="GK75" s="262" t="e">
        <f t="shared" ca="1" si="169"/>
        <v>#N/A</v>
      </c>
      <c r="GL75" s="262" t="e">
        <f t="shared" ca="1" si="169"/>
        <v>#N/A</v>
      </c>
      <c r="GM75" s="262">
        <f t="shared" ca="1" si="169"/>
        <v>0</v>
      </c>
      <c r="GN75" s="262" t="e">
        <f t="shared" ca="1" si="169"/>
        <v>#N/A</v>
      </c>
      <c r="GO75" s="262">
        <f t="shared" ca="1" si="72"/>
        <v>0</v>
      </c>
      <c r="GP75" s="262">
        <f t="shared" ca="1" si="73"/>
        <v>0</v>
      </c>
      <c r="GR75" s="262" t="e">
        <f t="shared" ca="1" si="75"/>
        <v>#N/A</v>
      </c>
      <c r="GS75" s="262" t="e">
        <f t="shared" ca="1" si="18"/>
        <v>#N/A</v>
      </c>
      <c r="GW75" t="e">
        <f t="shared" ca="1" si="139"/>
        <v>#N/A</v>
      </c>
      <c r="GZ75" t="e">
        <f t="shared" ca="1" si="20"/>
        <v>#N/A</v>
      </c>
      <c r="HD75" t="str">
        <f t="shared" ca="1" si="79"/>
        <v/>
      </c>
      <c r="HF75" s="254" t="e">
        <f t="shared" ca="1" si="80"/>
        <v>#N/A</v>
      </c>
      <c r="HM75" s="263" t="e">
        <f t="shared" ca="1" si="81"/>
        <v>#N/A</v>
      </c>
      <c r="HO75" s="272" t="str">
        <f t="shared" ca="1" si="21"/>
        <v/>
      </c>
      <c r="HP75">
        <f t="shared" ca="1" si="82"/>
        <v>0</v>
      </c>
      <c r="HQ75" t="str">
        <f t="shared" ca="1" si="83"/>
        <v/>
      </c>
      <c r="HR75" t="str">
        <f t="shared" ca="1" si="173"/>
        <v/>
      </c>
      <c r="HS75" t="str">
        <f t="shared" ca="1" si="174"/>
        <v/>
      </c>
      <c r="HX75" s="253" t="s">
        <v>187</v>
      </c>
      <c r="HY75" s="112" t="str">
        <f t="shared" si="86"/>
        <v>13/9/2013</v>
      </c>
      <c r="HZ75" t="s">
        <v>188</v>
      </c>
      <c r="IA75" s="112" t="str">
        <f t="shared" si="87"/>
        <v>31/8/2014</v>
      </c>
      <c r="IB75" t="s">
        <v>189</v>
      </c>
      <c r="IC75">
        <f t="shared" si="88"/>
        <v>0</v>
      </c>
      <c r="ID75" t="s">
        <v>192</v>
      </c>
      <c r="IE75">
        <f t="shared" si="89"/>
        <v>8</v>
      </c>
      <c r="IF75" t="s">
        <v>191</v>
      </c>
      <c r="IG75" s="254">
        <f t="shared" si="90"/>
        <v>3</v>
      </c>
      <c r="IL75" t="str">
        <f t="shared" si="91"/>
        <v xml:space="preserve">DAL: 13/9/2013 - AL:31/8/2014 - ANNI:0 - MESI:8 -GIORNI:3
</v>
      </c>
      <c r="KD75">
        <v>0</v>
      </c>
      <c r="KE75" s="260">
        <f t="shared" ca="1" si="92"/>
        <v>100000</v>
      </c>
      <c r="KF75" t="str">
        <f t="shared" si="93"/>
        <v>0-2 anni</v>
      </c>
      <c r="KG75">
        <f t="shared" si="22"/>
        <v>6</v>
      </c>
      <c r="KH75" s="238">
        <f t="shared" ca="1" si="23"/>
        <v>255</v>
      </c>
      <c r="KK75">
        <f t="shared" ca="1" si="94"/>
        <v>16218.89</v>
      </c>
      <c r="KL75" t="e">
        <f t="shared" ca="1" si="171"/>
        <v>#N/A</v>
      </c>
      <c r="KM75" t="e">
        <f t="shared" ca="1" si="171"/>
        <v>#N/A</v>
      </c>
      <c r="KN75" t="e">
        <f t="shared" ca="1" si="171"/>
        <v>#N/A</v>
      </c>
      <c r="KO75" t="e">
        <f t="shared" ca="1" si="171"/>
        <v>#N/A</v>
      </c>
      <c r="KV75" t="e">
        <f t="shared" ca="1" si="25"/>
        <v>#N/A</v>
      </c>
      <c r="LA75" s="254" t="str">
        <f t="shared" si="95"/>
        <v>0-2 anni</v>
      </c>
      <c r="LB75" s="112">
        <f t="shared" si="26"/>
        <v>41530</v>
      </c>
      <c r="LC75" s="112">
        <f t="shared" si="26"/>
        <v>41882</v>
      </c>
      <c r="LD75" t="e">
        <f t="shared" ca="1" si="96"/>
        <v>#N/A</v>
      </c>
      <c r="LE75" s="262" t="e">
        <f t="shared" ca="1" si="97"/>
        <v>#N/A</v>
      </c>
      <c r="LF75">
        <f t="shared" si="98"/>
        <v>243</v>
      </c>
      <c r="LG75" t="e">
        <f t="shared" ca="1" si="99"/>
        <v>#N/A</v>
      </c>
      <c r="LL75" s="112">
        <f ca="1">Foglio7ti!GF76</f>
        <v>100000</v>
      </c>
      <c r="LM75" s="308">
        <f t="shared" ca="1" si="27"/>
        <v>100000</v>
      </c>
      <c r="LN75" s="112"/>
      <c r="LO75">
        <f t="shared" si="100"/>
        <v>37</v>
      </c>
      <c r="LP75" s="308">
        <f t="shared" ca="1" si="28"/>
        <v>100000</v>
      </c>
      <c r="LQ75" s="112"/>
      <c r="LS75" s="263">
        <f t="shared" si="29"/>
        <v>37</v>
      </c>
      <c r="LT75" s="308">
        <f t="shared" ca="1" si="30"/>
        <v>100000</v>
      </c>
      <c r="LW75" s="308">
        <f t="shared" ca="1" si="31"/>
        <v>100000</v>
      </c>
      <c r="LZ75" s="308">
        <f t="shared" ca="1" si="32"/>
        <v>100000</v>
      </c>
      <c r="MC75" s="308">
        <f t="shared" ca="1" si="175"/>
        <v>100000</v>
      </c>
      <c r="MD75" t="str">
        <f t="shared" ca="1" si="101"/>
        <v/>
      </c>
      <c r="ME75" s="338" t="str">
        <f t="shared" ca="1" si="33"/>
        <v/>
      </c>
      <c r="MF75" s="338" t="str">
        <f t="shared" ca="1" si="102"/>
        <v/>
      </c>
      <c r="MG75" s="337" t="str">
        <f t="shared" ca="1" si="5"/>
        <v/>
      </c>
      <c r="MH75" s="338" t="str">
        <f t="shared" ca="1" si="35"/>
        <v/>
      </c>
      <c r="MI75" s="337" t="str">
        <f t="shared" ca="1" si="36"/>
        <v/>
      </c>
      <c r="MJ75" s="337" t="str">
        <f t="shared" ca="1" si="6"/>
        <v/>
      </c>
      <c r="MK75" s="337" t="str">
        <f t="shared" ca="1" si="166"/>
        <v/>
      </c>
      <c r="ML75" s="337" t="str">
        <f ca="1">IF(ME75&lt;&gt;"",VLOOKUP(ME75,Foglio7ti!$GF$40:$GG$92,2),"")</f>
        <v/>
      </c>
      <c r="MM75" s="282" t="str">
        <f t="shared" ca="1" si="38"/>
        <v/>
      </c>
      <c r="MN75" s="282"/>
      <c r="MO75" s="320">
        <f t="shared" si="128"/>
        <v>1</v>
      </c>
      <c r="MP75" s="253" t="str">
        <f t="shared" ca="1" si="39"/>
        <v/>
      </c>
      <c r="MQ75" t="e">
        <f t="shared" ca="1" si="160"/>
        <v>#N/A</v>
      </c>
      <c r="MR75" s="238" t="e">
        <f ca="1">VLOOKUP(ME75,Foglio1ti!AB67:AZ367,13)-MQ75</f>
        <v>#N/A</v>
      </c>
      <c r="MS75" t="e">
        <f t="shared" ca="1" si="40"/>
        <v>#N/A</v>
      </c>
      <c r="MT75" t="e">
        <f t="shared" ca="1" si="41"/>
        <v>#N/A</v>
      </c>
      <c r="MU75" s="238" t="e">
        <f ca="1">VLOOKUP(ME75,Foglio1ti!AB67:AZ367,13)-MT75</f>
        <v>#N/A</v>
      </c>
      <c r="MV75" t="e">
        <f t="shared" ca="1" si="42"/>
        <v>#N/A</v>
      </c>
      <c r="MW75">
        <f t="shared" ca="1" si="140"/>
        <v>0</v>
      </c>
      <c r="MX75">
        <f ca="1">IF(AND(frontti!$H$25="SI",ML75="3-8 anni"),INDIRECT(CONCATENATE($MR$37,"BI",MU75)),0)</f>
        <v>0</v>
      </c>
      <c r="MY75" s="254"/>
    </row>
    <row r="76" spans="1:363" x14ac:dyDescent="0.25">
      <c r="A76" s="112">
        <f t="shared" si="141"/>
        <v>40422</v>
      </c>
      <c r="B76" s="112">
        <f t="shared" si="44"/>
        <v>40544</v>
      </c>
      <c r="E76" s="240">
        <f>Foglio3!F56</f>
        <v>41915</v>
      </c>
      <c r="F76" s="240">
        <f>Foglio3!G56</f>
        <v>42185</v>
      </c>
      <c r="G76" s="244"/>
      <c r="H76" s="245">
        <f t="shared" si="45"/>
        <v>41915</v>
      </c>
      <c r="I76" s="245">
        <f t="shared" si="8"/>
        <v>42185</v>
      </c>
      <c r="J76" s="244"/>
      <c r="K76" s="244"/>
      <c r="Q76">
        <f t="shared" si="9"/>
        <v>271</v>
      </c>
      <c r="R76">
        <f t="shared" si="142"/>
        <v>271</v>
      </c>
      <c r="S76">
        <f t="shared" si="46"/>
        <v>0</v>
      </c>
      <c r="T76">
        <f t="shared" si="129"/>
        <v>9</v>
      </c>
      <c r="U76">
        <f t="shared" si="130"/>
        <v>1</v>
      </c>
      <c r="W76">
        <f t="shared" si="176"/>
        <v>0</v>
      </c>
      <c r="X76">
        <f t="shared" si="176"/>
        <v>153</v>
      </c>
      <c r="Y76">
        <f t="shared" si="176"/>
        <v>350</v>
      </c>
      <c r="AA76" s="112">
        <f t="shared" si="103"/>
        <v>41915</v>
      </c>
      <c r="AB76" s="112">
        <f t="shared" si="104"/>
        <v>42185</v>
      </c>
      <c r="AG76">
        <f t="shared" si="47"/>
        <v>1</v>
      </c>
      <c r="AH76" s="112">
        <f t="shared" si="48"/>
        <v>41915</v>
      </c>
      <c r="AI76" s="112">
        <f t="shared" si="48"/>
        <v>42185</v>
      </c>
      <c r="CX76" s="112">
        <f t="shared" si="56"/>
        <v>100000</v>
      </c>
      <c r="CY76" s="112">
        <f t="shared" si="115"/>
        <v>100000</v>
      </c>
      <c r="CZ76" s="112">
        <f t="shared" si="116"/>
        <v>100000</v>
      </c>
      <c r="DA76" s="112">
        <f t="shared" si="117"/>
        <v>100000</v>
      </c>
      <c r="DB76" s="112">
        <f t="shared" si="118"/>
        <v>100000</v>
      </c>
      <c r="DC76" s="112">
        <f t="shared" si="119"/>
        <v>100000</v>
      </c>
      <c r="DU76" s="112"/>
      <c r="DV76" s="112"/>
      <c r="DW76" s="276"/>
      <c r="DX76" s="276"/>
      <c r="DY76" s="276"/>
      <c r="DZ76" s="276"/>
      <c r="EF76" s="260">
        <f t="shared" si="162"/>
        <v>44562</v>
      </c>
      <c r="EK76" s="254"/>
      <c r="EL76">
        <f t="shared" si="165"/>
        <v>37</v>
      </c>
      <c r="EM76" s="260" t="e">
        <f t="shared" ca="1" si="122"/>
        <v>#NUM!</v>
      </c>
      <c r="EN76" s="112" t="e">
        <f t="shared" ca="1" si="63"/>
        <v>#NUM!</v>
      </c>
      <c r="EO76" s="112">
        <f t="shared" ca="1" si="64"/>
        <v>100000</v>
      </c>
      <c r="EP76" s="112">
        <f t="shared" ca="1" si="123"/>
        <v>100000</v>
      </c>
      <c r="EQ76" s="273">
        <f t="shared" ca="1" si="138"/>
        <v>100000</v>
      </c>
      <c r="ER76" s="302">
        <f t="shared" ca="1" si="65"/>
        <v>100000</v>
      </c>
      <c r="EU76" t="e">
        <f t="shared" ca="1" si="66"/>
        <v>#N/A</v>
      </c>
      <c r="EV76" s="260">
        <f t="shared" ca="1" si="124"/>
        <v>100000</v>
      </c>
      <c r="EW76" t="e">
        <f t="shared" ca="1" si="67"/>
        <v>#N/A</v>
      </c>
      <c r="EX76" t="e">
        <f t="shared" ca="1" si="12"/>
        <v>#N/A</v>
      </c>
      <c r="EY76" s="238" t="e">
        <f t="shared" ca="1" si="13"/>
        <v>#N/A</v>
      </c>
      <c r="FB76" t="e">
        <f t="shared" ca="1" si="68"/>
        <v>#N/A</v>
      </c>
      <c r="FC76" t="e">
        <f t="shared" ca="1" si="167"/>
        <v>#N/A</v>
      </c>
      <c r="FD76" t="e">
        <f t="shared" ca="1" si="167"/>
        <v>#N/A</v>
      </c>
      <c r="FE76" t="e">
        <f t="shared" ca="1" si="167"/>
        <v>#N/A</v>
      </c>
      <c r="FF76" t="e">
        <f t="shared" ca="1" si="167"/>
        <v>#N/A</v>
      </c>
      <c r="FM76" t="e">
        <f t="shared" ca="1" si="15"/>
        <v>#N/A</v>
      </c>
      <c r="FR76" s="254" t="e">
        <f t="shared" ca="1" si="69"/>
        <v>#N/A</v>
      </c>
      <c r="FS76">
        <f t="shared" si="125"/>
        <v>76</v>
      </c>
      <c r="FT76" t="e">
        <f t="shared" ca="1" si="168"/>
        <v>#N/A</v>
      </c>
      <c r="FU76" t="str">
        <f t="shared" ca="1" si="168"/>
        <v>EV76</v>
      </c>
      <c r="FV76" t="e">
        <f t="shared" ca="1" si="168"/>
        <v>#N/A</v>
      </c>
      <c r="FW76" t="e">
        <f t="shared" ca="1" si="168"/>
        <v>#N/A</v>
      </c>
      <c r="FX76" t="e">
        <f t="shared" ca="1" si="168"/>
        <v>#N/A</v>
      </c>
      <c r="FY76" t="e">
        <f t="shared" ca="1" si="168"/>
        <v>#N/A</v>
      </c>
      <c r="FZ76" t="e">
        <f t="shared" ca="1" si="168"/>
        <v>#N/A</v>
      </c>
      <c r="GA76" t="str">
        <f t="shared" ca="1" si="168"/>
        <v/>
      </c>
      <c r="GB76" t="e">
        <f t="shared" ca="1" si="168"/>
        <v>#N/A</v>
      </c>
      <c r="GC76" t="str">
        <f t="shared" ca="1" si="168"/>
        <v/>
      </c>
      <c r="GD76" t="str">
        <f t="shared" ca="1" si="168"/>
        <v/>
      </c>
      <c r="GE76">
        <f t="shared" ca="1" si="126"/>
        <v>0</v>
      </c>
      <c r="GF76" s="112">
        <f t="shared" ca="1" si="70"/>
        <v>100000</v>
      </c>
      <c r="GG76" s="112" t="e">
        <f t="shared" ca="1" si="71"/>
        <v>#N/A</v>
      </c>
      <c r="GH76" s="262" t="e">
        <f t="shared" ca="1" si="169"/>
        <v>#N/A</v>
      </c>
      <c r="GI76" s="262" t="e">
        <f t="shared" ca="1" si="169"/>
        <v>#N/A</v>
      </c>
      <c r="GJ76" s="262" t="e">
        <f t="shared" ca="1" si="169"/>
        <v>#N/A</v>
      </c>
      <c r="GK76" s="262" t="e">
        <f t="shared" ca="1" si="169"/>
        <v>#N/A</v>
      </c>
      <c r="GL76" s="262" t="e">
        <f t="shared" ca="1" si="169"/>
        <v>#N/A</v>
      </c>
      <c r="GM76" s="262">
        <f t="shared" ca="1" si="169"/>
        <v>0</v>
      </c>
      <c r="GN76" s="262" t="e">
        <f t="shared" ca="1" si="169"/>
        <v>#N/A</v>
      </c>
      <c r="GO76" s="262">
        <f t="shared" ca="1" si="72"/>
        <v>0</v>
      </c>
      <c r="GP76" s="262">
        <f t="shared" ca="1" si="73"/>
        <v>0</v>
      </c>
      <c r="GR76" s="262" t="e">
        <f t="shared" ca="1" si="75"/>
        <v>#N/A</v>
      </c>
      <c r="GS76" s="262" t="e">
        <f t="shared" ca="1" si="18"/>
        <v>#N/A</v>
      </c>
      <c r="GW76" t="e">
        <f t="shared" ca="1" si="139"/>
        <v>#N/A</v>
      </c>
      <c r="GZ76" t="e">
        <f t="shared" ca="1" si="20"/>
        <v>#N/A</v>
      </c>
      <c r="HD76" t="str">
        <f t="shared" ca="1" si="79"/>
        <v/>
      </c>
      <c r="HF76" s="254" t="e">
        <f t="shared" ca="1" si="80"/>
        <v>#N/A</v>
      </c>
      <c r="HM76" s="263" t="e">
        <f t="shared" ca="1" si="81"/>
        <v>#N/A</v>
      </c>
      <c r="HO76" s="272" t="str">
        <f t="shared" ca="1" si="21"/>
        <v/>
      </c>
      <c r="HP76">
        <f t="shared" ca="1" si="82"/>
        <v>0</v>
      </c>
      <c r="HQ76" t="str">
        <f t="shared" ca="1" si="83"/>
        <v/>
      </c>
      <c r="HR76" t="str">
        <f t="shared" ca="1" si="173"/>
        <v/>
      </c>
      <c r="HS76" t="str">
        <f t="shared" ca="1" si="174"/>
        <v/>
      </c>
      <c r="HX76" s="253" t="s">
        <v>187</v>
      </c>
      <c r="HY76" s="112" t="str">
        <f t="shared" si="86"/>
        <v>3/10/2014</v>
      </c>
      <c r="HZ76" t="s">
        <v>188</v>
      </c>
      <c r="IA76" s="112" t="str">
        <f t="shared" si="87"/>
        <v>30/6/2015</v>
      </c>
      <c r="IB76" t="s">
        <v>189</v>
      </c>
      <c r="IC76">
        <f t="shared" si="88"/>
        <v>0</v>
      </c>
      <c r="ID76" t="s">
        <v>192</v>
      </c>
      <c r="IE76">
        <f t="shared" si="89"/>
        <v>9</v>
      </c>
      <c r="IF76" t="s">
        <v>191</v>
      </c>
      <c r="IG76" s="254">
        <f t="shared" si="90"/>
        <v>1</v>
      </c>
      <c r="IL76" t="str">
        <f t="shared" si="91"/>
        <v xml:space="preserve">DAL: 3/10/2014 - AL:30/6/2015 - ANNI:0 - MESI:9 -GIORNI:1
</v>
      </c>
      <c r="KD76">
        <v>0</v>
      </c>
      <c r="KE76" s="260">
        <f t="shared" ca="1" si="92"/>
        <v>100000</v>
      </c>
      <c r="KF76" t="str">
        <f t="shared" si="93"/>
        <v>0-2 anni</v>
      </c>
      <c r="KG76">
        <f t="shared" si="22"/>
        <v>6</v>
      </c>
      <c r="KH76" s="238">
        <f t="shared" ca="1" si="23"/>
        <v>255</v>
      </c>
      <c r="KK76">
        <f t="shared" ca="1" si="94"/>
        <v>16218.89</v>
      </c>
      <c r="KL76" t="e">
        <f t="shared" ca="1" si="171"/>
        <v>#N/A</v>
      </c>
      <c r="KM76" t="e">
        <f t="shared" ca="1" si="171"/>
        <v>#N/A</v>
      </c>
      <c r="KN76" t="e">
        <f t="shared" ca="1" si="171"/>
        <v>#N/A</v>
      </c>
      <c r="KO76" t="e">
        <f t="shared" ca="1" si="171"/>
        <v>#N/A</v>
      </c>
      <c r="KV76" t="e">
        <f t="shared" ca="1" si="25"/>
        <v>#N/A</v>
      </c>
      <c r="LA76" s="254" t="str">
        <f t="shared" si="95"/>
        <v>0-2 anni</v>
      </c>
      <c r="LB76" s="112">
        <f t="shared" si="26"/>
        <v>41915</v>
      </c>
      <c r="LC76" s="112">
        <f t="shared" si="26"/>
        <v>42185</v>
      </c>
      <c r="LD76" t="e">
        <f t="shared" ca="1" si="96"/>
        <v>#N/A</v>
      </c>
      <c r="LE76" s="262" t="e">
        <f t="shared" ca="1" si="97"/>
        <v>#N/A</v>
      </c>
      <c r="LF76">
        <f t="shared" si="98"/>
        <v>271</v>
      </c>
      <c r="LG76" t="e">
        <f t="shared" ca="1" si="99"/>
        <v>#N/A</v>
      </c>
      <c r="LL76" s="112">
        <f ca="1">Foglio7ti!GF77</f>
        <v>100000</v>
      </c>
      <c r="LM76" s="308">
        <f t="shared" ca="1" si="27"/>
        <v>100000</v>
      </c>
      <c r="LN76" s="112"/>
      <c r="LO76">
        <f t="shared" si="100"/>
        <v>38</v>
      </c>
      <c r="LP76" s="308">
        <f t="shared" ca="1" si="28"/>
        <v>100000</v>
      </c>
      <c r="LQ76" s="112"/>
      <c r="LS76" s="263">
        <f t="shared" si="29"/>
        <v>38</v>
      </c>
      <c r="LT76" s="308">
        <f t="shared" ca="1" si="30"/>
        <v>100000</v>
      </c>
      <c r="LW76" s="308">
        <f t="shared" ca="1" si="31"/>
        <v>100000</v>
      </c>
      <c r="LZ76" s="308">
        <f t="shared" ca="1" si="32"/>
        <v>100000</v>
      </c>
      <c r="MC76" s="308">
        <f t="shared" ca="1" si="175"/>
        <v>100000</v>
      </c>
      <c r="MD76" t="str">
        <f ca="1">IF(ME76&lt;&gt;"",ME77-1,"")</f>
        <v/>
      </c>
      <c r="ME76" s="338" t="str">
        <f t="shared" ca="1" si="33"/>
        <v/>
      </c>
      <c r="MF76" s="338" t="str">
        <f ca="1">IF(TYPE(MD76)=16,ME76,MD76)</f>
        <v/>
      </c>
      <c r="MG76" s="337" t="str">
        <f t="shared" ca="1" si="5"/>
        <v/>
      </c>
      <c r="MH76" s="338" t="str">
        <f t="shared" ca="1" si="35"/>
        <v/>
      </c>
      <c r="MI76" s="337" t="str">
        <f t="shared" ca="1" si="36"/>
        <v/>
      </c>
      <c r="MJ76" s="337" t="str">
        <f t="shared" ca="1" si="6"/>
        <v/>
      </c>
      <c r="MK76" s="337" t="str">
        <f t="shared" ca="1" si="166"/>
        <v/>
      </c>
      <c r="ML76" s="337" t="str">
        <f ca="1">IF(ME76&lt;&gt;"",VLOOKUP(ME76,Foglio7ti!$GF$40:$GG$92,2),"")</f>
        <v/>
      </c>
      <c r="MM76" s="282" t="str">
        <f t="shared" ca="1" si="38"/>
        <v/>
      </c>
      <c r="MN76" s="282"/>
      <c r="MO76" s="320">
        <f t="shared" si="128"/>
        <v>1</v>
      </c>
      <c r="MP76" s="253" t="str">
        <f t="shared" ca="1" si="39"/>
        <v/>
      </c>
      <c r="MQ76" t="e">
        <f t="shared" ca="1" si="160"/>
        <v>#N/A</v>
      </c>
      <c r="MR76" s="238" t="e">
        <f ca="1">VLOOKUP(ME76,Foglio1ti!AB68:AZ368,13)-MQ76</f>
        <v>#N/A</v>
      </c>
      <c r="MS76" t="e">
        <f t="shared" ca="1" si="40"/>
        <v>#N/A</v>
      </c>
      <c r="MT76" t="e">
        <f t="shared" ca="1" si="41"/>
        <v>#N/A</v>
      </c>
      <c r="MU76" s="238" t="e">
        <f ca="1">VLOOKUP(ME76,Foglio1ti!AB68:AZ368,13)-MT76</f>
        <v>#N/A</v>
      </c>
      <c r="MV76" t="e">
        <f t="shared" ca="1" si="42"/>
        <v>#N/A</v>
      </c>
      <c r="MW76">
        <f t="shared" ca="1" si="140"/>
        <v>0</v>
      </c>
      <c r="MX76">
        <f ca="1">IF(AND(frontti!$H$25="SI",ML76="3-8 anni"),INDIRECT(CONCATENATE($MR$37,"BI",MU76)),0)</f>
        <v>0</v>
      </c>
      <c r="MY76" s="254"/>
    </row>
    <row r="77" spans="1:363" x14ac:dyDescent="0.25">
      <c r="A77" s="112">
        <f t="shared" si="141"/>
        <v>40544</v>
      </c>
      <c r="B77" s="112">
        <f t="shared" si="44"/>
        <v>42370</v>
      </c>
      <c r="E77" s="240">
        <f>Foglio3!F57</f>
        <v>42248</v>
      </c>
      <c r="F77" s="240">
        <f>Foglio3!G57</f>
        <v>42613</v>
      </c>
      <c r="G77" s="244"/>
      <c r="H77" s="245">
        <f t="shared" si="45"/>
        <v>42248</v>
      </c>
      <c r="I77" s="245">
        <f t="shared" si="8"/>
        <v>42613</v>
      </c>
      <c r="J77" s="244"/>
      <c r="K77" s="244"/>
      <c r="Q77">
        <f t="shared" si="9"/>
        <v>366</v>
      </c>
      <c r="R77">
        <f t="shared" si="142"/>
        <v>366</v>
      </c>
      <c r="S77">
        <f t="shared" si="46"/>
        <v>1</v>
      </c>
      <c r="T77">
        <f t="shared" si="129"/>
        <v>0</v>
      </c>
      <c r="U77">
        <f t="shared" si="130"/>
        <v>1</v>
      </c>
      <c r="W77">
        <f t="shared" si="176"/>
        <v>1</v>
      </c>
      <c r="X77">
        <f t="shared" si="176"/>
        <v>153</v>
      </c>
      <c r="Y77">
        <f t="shared" si="176"/>
        <v>351</v>
      </c>
      <c r="AA77" s="112">
        <f t="shared" si="103"/>
        <v>42248</v>
      </c>
      <c r="AB77" s="112">
        <f t="shared" si="104"/>
        <v>42613</v>
      </c>
      <c r="AG77">
        <f t="shared" si="47"/>
        <v>1</v>
      </c>
      <c r="AH77" s="112">
        <f t="shared" si="48"/>
        <v>42248</v>
      </c>
      <c r="AI77" s="112">
        <f t="shared" si="48"/>
        <v>42613</v>
      </c>
      <c r="CX77" s="112">
        <f t="shared" si="56"/>
        <v>100000</v>
      </c>
      <c r="CY77" s="112">
        <f t="shared" si="115"/>
        <v>100000</v>
      </c>
      <c r="CZ77" s="112">
        <f t="shared" si="116"/>
        <v>100000</v>
      </c>
      <c r="DA77" s="112">
        <f t="shared" si="117"/>
        <v>100000</v>
      </c>
      <c r="DB77" s="112">
        <f t="shared" si="118"/>
        <v>100000</v>
      </c>
      <c r="DC77" s="112">
        <f t="shared" si="119"/>
        <v>100000</v>
      </c>
      <c r="DU77" s="112"/>
      <c r="DV77" s="112"/>
      <c r="DW77" s="276"/>
      <c r="DX77" s="276"/>
      <c r="DY77" s="276"/>
      <c r="DZ77" s="276"/>
      <c r="EF77" s="260">
        <f t="shared" si="162"/>
        <v>44652</v>
      </c>
      <c r="EK77" s="254"/>
      <c r="EL77">
        <f t="shared" si="165"/>
        <v>38</v>
      </c>
      <c r="EM77" s="260" t="e">
        <f t="shared" ca="1" si="122"/>
        <v>#NUM!</v>
      </c>
      <c r="EN77" s="112" t="e">
        <f t="shared" ca="1" si="63"/>
        <v>#NUM!</v>
      </c>
      <c r="EO77" s="112">
        <f t="shared" ca="1" si="64"/>
        <v>100000</v>
      </c>
      <c r="EP77" s="112">
        <f t="shared" ca="1" si="123"/>
        <v>100000</v>
      </c>
      <c r="EQ77" s="273">
        <f t="shared" ca="1" si="138"/>
        <v>100000</v>
      </c>
      <c r="ER77" s="302">
        <f t="shared" ca="1" si="65"/>
        <v>100000</v>
      </c>
      <c r="EU77" t="e">
        <f t="shared" ca="1" si="66"/>
        <v>#N/A</v>
      </c>
      <c r="EV77" s="260">
        <f t="shared" ca="1" si="124"/>
        <v>100000</v>
      </c>
      <c r="EW77" t="e">
        <f t="shared" ca="1" si="67"/>
        <v>#N/A</v>
      </c>
      <c r="EX77" t="e">
        <f t="shared" ca="1" si="12"/>
        <v>#N/A</v>
      </c>
      <c r="EY77" s="238" t="e">
        <f t="shared" ca="1" si="13"/>
        <v>#N/A</v>
      </c>
      <c r="FB77" t="e">
        <f t="shared" ca="1" si="68"/>
        <v>#N/A</v>
      </c>
      <c r="FC77" t="e">
        <f t="shared" ca="1" si="167"/>
        <v>#N/A</v>
      </c>
      <c r="FD77" t="e">
        <f t="shared" ca="1" si="167"/>
        <v>#N/A</v>
      </c>
      <c r="FE77" t="e">
        <f t="shared" ca="1" si="167"/>
        <v>#N/A</v>
      </c>
      <c r="FF77" t="e">
        <f t="shared" ca="1" si="167"/>
        <v>#N/A</v>
      </c>
      <c r="FM77" t="e">
        <f t="shared" ca="1" si="15"/>
        <v>#N/A</v>
      </c>
      <c r="FR77" s="254" t="e">
        <f t="shared" ca="1" si="69"/>
        <v>#N/A</v>
      </c>
      <c r="FS77">
        <f t="shared" si="125"/>
        <v>77</v>
      </c>
      <c r="FT77" t="e">
        <f t="shared" ca="1" si="168"/>
        <v>#N/A</v>
      </c>
      <c r="FU77" t="str">
        <f t="shared" ca="1" si="168"/>
        <v>EV77</v>
      </c>
      <c r="FV77" t="e">
        <f t="shared" ca="1" si="168"/>
        <v>#N/A</v>
      </c>
      <c r="FW77" t="e">
        <f t="shared" ca="1" si="168"/>
        <v>#N/A</v>
      </c>
      <c r="FX77" t="e">
        <f t="shared" ca="1" si="168"/>
        <v>#N/A</v>
      </c>
      <c r="FY77" t="e">
        <f t="shared" ca="1" si="168"/>
        <v>#N/A</v>
      </c>
      <c r="FZ77" t="e">
        <f t="shared" ca="1" si="168"/>
        <v>#N/A</v>
      </c>
      <c r="GA77" t="str">
        <f t="shared" ca="1" si="168"/>
        <v/>
      </c>
      <c r="GB77" t="e">
        <f t="shared" ca="1" si="168"/>
        <v>#N/A</v>
      </c>
      <c r="GC77" t="str">
        <f t="shared" ca="1" si="168"/>
        <v/>
      </c>
      <c r="GD77" t="str">
        <f t="shared" ca="1" si="168"/>
        <v/>
      </c>
      <c r="GE77">
        <f t="shared" ca="1" si="126"/>
        <v>0</v>
      </c>
      <c r="GF77" s="112">
        <f t="shared" ca="1" si="70"/>
        <v>100000</v>
      </c>
      <c r="GG77" s="112" t="e">
        <f t="shared" ca="1" si="71"/>
        <v>#N/A</v>
      </c>
      <c r="GH77" s="262" t="e">
        <f t="shared" ca="1" si="169"/>
        <v>#N/A</v>
      </c>
      <c r="GI77" s="262" t="e">
        <f t="shared" ca="1" si="169"/>
        <v>#N/A</v>
      </c>
      <c r="GJ77" s="262" t="e">
        <f t="shared" ca="1" si="169"/>
        <v>#N/A</v>
      </c>
      <c r="GK77" s="262" t="e">
        <f t="shared" ca="1" si="169"/>
        <v>#N/A</v>
      </c>
      <c r="GL77" s="262" t="e">
        <f t="shared" ca="1" si="169"/>
        <v>#N/A</v>
      </c>
      <c r="GM77" s="262">
        <f t="shared" ca="1" si="169"/>
        <v>0</v>
      </c>
      <c r="GN77" s="262" t="e">
        <f t="shared" ca="1" si="169"/>
        <v>#N/A</v>
      </c>
      <c r="GO77" s="262">
        <f t="shared" ca="1" si="72"/>
        <v>0</v>
      </c>
      <c r="GP77" s="262">
        <f t="shared" ca="1" si="73"/>
        <v>0</v>
      </c>
      <c r="GR77" s="262" t="e">
        <f t="shared" ca="1" si="75"/>
        <v>#N/A</v>
      </c>
      <c r="GS77" s="262" t="e">
        <f t="shared" ca="1" si="18"/>
        <v>#N/A</v>
      </c>
      <c r="GW77" t="e">
        <f t="shared" ca="1" si="139"/>
        <v>#N/A</v>
      </c>
      <c r="GZ77" t="e">
        <f t="shared" ca="1" si="20"/>
        <v>#N/A</v>
      </c>
      <c r="HD77" t="str">
        <f t="shared" ca="1" si="79"/>
        <v/>
      </c>
      <c r="HF77" s="254" t="e">
        <f t="shared" ca="1" si="80"/>
        <v>#N/A</v>
      </c>
      <c r="HM77" s="263" t="e">
        <f t="shared" ca="1" si="81"/>
        <v>#N/A</v>
      </c>
      <c r="HO77" s="272" t="str">
        <f t="shared" ca="1" si="21"/>
        <v/>
      </c>
      <c r="HP77">
        <f t="shared" ca="1" si="82"/>
        <v>0</v>
      </c>
      <c r="HQ77" t="str">
        <f t="shared" ca="1" si="83"/>
        <v/>
      </c>
      <c r="HR77" t="str">
        <f t="shared" ca="1" si="173"/>
        <v/>
      </c>
      <c r="HS77" t="str">
        <f t="shared" ca="1" si="174"/>
        <v/>
      </c>
      <c r="HX77" s="253" t="s">
        <v>187</v>
      </c>
      <c r="HY77" s="112" t="str">
        <f t="shared" si="86"/>
        <v>1/9/2015</v>
      </c>
      <c r="HZ77" t="s">
        <v>188</v>
      </c>
      <c r="IA77" s="112" t="str">
        <f t="shared" si="87"/>
        <v>31/8/2016</v>
      </c>
      <c r="IB77" t="s">
        <v>189</v>
      </c>
      <c r="IC77">
        <f t="shared" si="88"/>
        <v>1</v>
      </c>
      <c r="ID77" t="s">
        <v>192</v>
      </c>
      <c r="IE77">
        <f t="shared" si="89"/>
        <v>0</v>
      </c>
      <c r="IF77" t="s">
        <v>191</v>
      </c>
      <c r="IG77" s="254">
        <f t="shared" si="90"/>
        <v>1</v>
      </c>
      <c r="IL77" t="str">
        <f t="shared" si="91"/>
        <v xml:space="preserve">DAL: 1/9/2015 - AL:31/8/2016 - ANNI:1 - MESI:0 -GIORNI:1
</v>
      </c>
      <c r="KD77">
        <v>0</v>
      </c>
      <c r="KE77" s="260">
        <f t="shared" ca="1" si="92"/>
        <v>100000</v>
      </c>
      <c r="KF77" t="str">
        <f t="shared" si="93"/>
        <v>0-2 anni</v>
      </c>
      <c r="KG77">
        <f t="shared" si="22"/>
        <v>6</v>
      </c>
      <c r="KH77" s="238">
        <f t="shared" ca="1" si="23"/>
        <v>255</v>
      </c>
      <c r="KK77">
        <f t="shared" ca="1" si="94"/>
        <v>16218.89</v>
      </c>
      <c r="KL77" t="e">
        <f t="shared" ca="1" si="171"/>
        <v>#N/A</v>
      </c>
      <c r="KM77" t="e">
        <f t="shared" ca="1" si="171"/>
        <v>#N/A</v>
      </c>
      <c r="KN77" t="e">
        <f t="shared" ca="1" si="171"/>
        <v>#N/A</v>
      </c>
      <c r="KO77" t="e">
        <f t="shared" ca="1" si="171"/>
        <v>#N/A</v>
      </c>
      <c r="KV77" t="e">
        <f t="shared" ca="1" si="25"/>
        <v>#N/A</v>
      </c>
      <c r="LA77" s="254" t="str">
        <f t="shared" si="95"/>
        <v>0-2 anni</v>
      </c>
      <c r="LB77" s="112">
        <f t="shared" si="26"/>
        <v>42248</v>
      </c>
      <c r="LC77" s="112">
        <f t="shared" si="26"/>
        <v>42613</v>
      </c>
      <c r="LD77" t="e">
        <f t="shared" ca="1" si="96"/>
        <v>#N/A</v>
      </c>
      <c r="LE77" s="262" t="e">
        <f t="shared" ca="1" si="97"/>
        <v>#N/A</v>
      </c>
      <c r="LF77">
        <f t="shared" si="98"/>
        <v>366</v>
      </c>
      <c r="LG77" t="e">
        <f t="shared" ca="1" si="99"/>
        <v>#N/A</v>
      </c>
      <c r="LL77" s="112">
        <f ca="1">Foglio7ti!GF78</f>
        <v>100000</v>
      </c>
      <c r="LM77" s="308">
        <f t="shared" ca="1" si="27"/>
        <v>100000</v>
      </c>
      <c r="LN77" s="112"/>
      <c r="LO77">
        <f t="shared" si="100"/>
        <v>39</v>
      </c>
      <c r="LP77" s="308">
        <f t="shared" ca="1" si="28"/>
        <v>100000</v>
      </c>
      <c r="LQ77" s="112"/>
      <c r="LS77" s="263">
        <f t="shared" si="29"/>
        <v>39</v>
      </c>
      <c r="LT77" s="308">
        <f t="shared" ca="1" si="30"/>
        <v>100000</v>
      </c>
      <c r="LW77" s="308">
        <f t="shared" ca="1" si="31"/>
        <v>100000</v>
      </c>
      <c r="LZ77" s="308">
        <f t="shared" ca="1" si="32"/>
        <v>100000</v>
      </c>
      <c r="MC77" s="308">
        <f t="shared" ca="1" si="175"/>
        <v>100000</v>
      </c>
      <c r="MD77" t="str">
        <f t="shared" ref="MD77:MD101" ca="1" si="177">IF(ME77&lt;&gt;"",ME78-1,"")</f>
        <v/>
      </c>
      <c r="ME77" s="338" t="str">
        <f t="shared" ca="1" si="33"/>
        <v/>
      </c>
      <c r="MF77" s="338" t="str">
        <f t="shared" ref="MF77" ca="1" si="178">IF(TYPE(MD77)=16,ME77,MD77)</f>
        <v/>
      </c>
      <c r="MG77" s="337" t="str">
        <f t="shared" ca="1" si="5"/>
        <v/>
      </c>
      <c r="MH77" s="338" t="str">
        <f t="shared" ca="1" si="35"/>
        <v/>
      </c>
      <c r="MI77" s="337" t="str">
        <f t="shared" ca="1" si="36"/>
        <v/>
      </c>
      <c r="MJ77" s="337" t="str">
        <f t="shared" ca="1" si="6"/>
        <v/>
      </c>
      <c r="MK77" s="337" t="str">
        <f t="shared" ca="1" si="166"/>
        <v/>
      </c>
      <c r="ML77" s="337" t="str">
        <f ca="1">IF(ME77&lt;&gt;"",VLOOKUP(ME77,Foglio7ti!$GF$40:$GG$92,2),"")</f>
        <v/>
      </c>
      <c r="MM77" s="282" t="str">
        <f t="shared" ca="1" si="38"/>
        <v/>
      </c>
      <c r="MN77" s="282"/>
      <c r="MO77" s="320">
        <f t="shared" si="128"/>
        <v>1</v>
      </c>
      <c r="MP77" s="253" t="str">
        <f t="shared" ca="1" si="39"/>
        <v/>
      </c>
      <c r="MQ77" t="e">
        <f t="shared" ca="1" si="160"/>
        <v>#N/A</v>
      </c>
      <c r="MR77" s="238" t="e">
        <f ca="1">VLOOKUP(ME77,Foglio1ti!AB69:AZ369,13)-MQ77</f>
        <v>#N/A</v>
      </c>
      <c r="MS77" t="e">
        <f t="shared" ca="1" si="40"/>
        <v>#N/A</v>
      </c>
      <c r="MT77" t="e">
        <f t="shared" ca="1" si="41"/>
        <v>#N/A</v>
      </c>
      <c r="MU77" s="238" t="e">
        <f ca="1">VLOOKUP(ME77,Foglio1ti!AB69:AZ369,13)-MT77</f>
        <v>#N/A</v>
      </c>
      <c r="MV77" t="e">
        <f t="shared" ca="1" si="42"/>
        <v>#N/A</v>
      </c>
      <c r="MW77">
        <f t="shared" ca="1" si="140"/>
        <v>0</v>
      </c>
      <c r="MX77">
        <f ca="1">IF(AND(frontti!$H$25="SI",ML77="3-8 anni"),INDIRECT(CONCATENATE($MR$37,"BI",MU77)),0)</f>
        <v>0</v>
      </c>
      <c r="MY77" s="254"/>
    </row>
    <row r="78" spans="1:363" x14ac:dyDescent="0.25">
      <c r="A78" s="112">
        <f t="shared" si="141"/>
        <v>42370</v>
      </c>
      <c r="B78" s="112">
        <f t="shared" si="44"/>
        <v>42736</v>
      </c>
      <c r="E78" s="240">
        <f>Foglio3!F58</f>
        <v>42614</v>
      </c>
      <c r="F78" s="240">
        <f>Foglio3!G58</f>
        <v>42978</v>
      </c>
      <c r="G78" s="244"/>
      <c r="H78" s="245">
        <f t="shared" si="45"/>
        <v>42614</v>
      </c>
      <c r="I78" s="245">
        <f t="shared" si="8"/>
        <v>42978</v>
      </c>
      <c r="J78" s="244"/>
      <c r="K78" s="244"/>
      <c r="Q78">
        <f t="shared" si="9"/>
        <v>365</v>
      </c>
      <c r="R78">
        <f t="shared" si="142"/>
        <v>365</v>
      </c>
      <c r="S78">
        <f t="shared" si="46"/>
        <v>1</v>
      </c>
      <c r="T78">
        <f t="shared" si="129"/>
        <v>0</v>
      </c>
      <c r="U78">
        <f t="shared" si="130"/>
        <v>0</v>
      </c>
      <c r="W78">
        <f t="shared" si="176"/>
        <v>2</v>
      </c>
      <c r="X78">
        <f t="shared" si="176"/>
        <v>153</v>
      </c>
      <c r="Y78">
        <f t="shared" si="176"/>
        <v>351</v>
      </c>
      <c r="AA78" s="112">
        <f t="shared" si="103"/>
        <v>42614</v>
      </c>
      <c r="AB78" s="112">
        <f t="shared" si="104"/>
        <v>42978</v>
      </c>
      <c r="AG78">
        <f t="shared" si="47"/>
        <v>1</v>
      </c>
      <c r="AH78" s="112">
        <f t="shared" si="48"/>
        <v>42614</v>
      </c>
      <c r="AI78" s="112">
        <f t="shared" si="48"/>
        <v>42978</v>
      </c>
      <c r="CX78" s="112">
        <f t="shared" si="56"/>
        <v>100000</v>
      </c>
      <c r="CY78" s="112">
        <f t="shared" si="115"/>
        <v>100000</v>
      </c>
      <c r="CZ78" s="112">
        <f t="shared" si="116"/>
        <v>100000</v>
      </c>
      <c r="DA78" s="112">
        <f t="shared" si="117"/>
        <v>100000</v>
      </c>
      <c r="DB78" s="112">
        <f t="shared" si="118"/>
        <v>100000</v>
      </c>
      <c r="DC78" s="112">
        <f t="shared" si="119"/>
        <v>100000</v>
      </c>
      <c r="DU78" s="112"/>
      <c r="DV78" s="112"/>
      <c r="DW78" s="276"/>
      <c r="DX78" s="276"/>
      <c r="DY78" s="276"/>
      <c r="DZ78" s="276"/>
      <c r="EF78" s="260">
        <f t="shared" si="162"/>
        <v>44743</v>
      </c>
      <c r="EK78" s="254"/>
      <c r="EL78">
        <f t="shared" si="165"/>
        <v>39</v>
      </c>
      <c r="EM78" s="260" t="e">
        <f t="shared" ca="1" si="122"/>
        <v>#NUM!</v>
      </c>
      <c r="EN78" s="112" t="e">
        <f t="shared" ca="1" si="63"/>
        <v>#NUM!</v>
      </c>
      <c r="EO78" s="112">
        <f t="shared" ca="1" si="64"/>
        <v>100000</v>
      </c>
      <c r="EP78" s="112">
        <f t="shared" ca="1" si="123"/>
        <v>100000</v>
      </c>
      <c r="EQ78" s="273">
        <f t="shared" ca="1" si="138"/>
        <v>100000</v>
      </c>
      <c r="ER78" s="302">
        <f t="shared" ca="1" si="65"/>
        <v>100000</v>
      </c>
      <c r="EU78" t="e">
        <f t="shared" ca="1" si="66"/>
        <v>#N/A</v>
      </c>
      <c r="EV78" s="260">
        <f t="shared" ca="1" si="124"/>
        <v>100000</v>
      </c>
      <c r="EW78" t="e">
        <f t="shared" ca="1" si="67"/>
        <v>#N/A</v>
      </c>
      <c r="EX78" t="e">
        <f t="shared" ca="1" si="12"/>
        <v>#N/A</v>
      </c>
      <c r="EY78" s="238" t="e">
        <f t="shared" ca="1" si="13"/>
        <v>#N/A</v>
      </c>
      <c r="FB78" t="e">
        <f t="shared" ca="1" si="68"/>
        <v>#N/A</v>
      </c>
      <c r="FC78" t="e">
        <f t="shared" ca="1" si="167"/>
        <v>#N/A</v>
      </c>
      <c r="FD78" t="e">
        <f t="shared" ca="1" si="167"/>
        <v>#N/A</v>
      </c>
      <c r="FE78" t="e">
        <f t="shared" ca="1" si="167"/>
        <v>#N/A</v>
      </c>
      <c r="FF78" t="e">
        <f t="shared" ca="1" si="167"/>
        <v>#N/A</v>
      </c>
      <c r="FM78" t="e">
        <f t="shared" ca="1" si="15"/>
        <v>#N/A</v>
      </c>
      <c r="FR78" s="254" t="e">
        <f t="shared" ca="1" si="69"/>
        <v>#N/A</v>
      </c>
      <c r="FS78">
        <f t="shared" si="125"/>
        <v>78</v>
      </c>
      <c r="FT78" t="e">
        <f t="shared" ca="1" si="168"/>
        <v>#N/A</v>
      </c>
      <c r="FU78" t="str">
        <f t="shared" ca="1" si="168"/>
        <v>EV78</v>
      </c>
      <c r="FV78" t="e">
        <f t="shared" ca="1" si="168"/>
        <v>#N/A</v>
      </c>
      <c r="FW78" t="e">
        <f t="shared" ca="1" si="168"/>
        <v>#N/A</v>
      </c>
      <c r="FX78" t="e">
        <f t="shared" ca="1" si="168"/>
        <v>#N/A</v>
      </c>
      <c r="FY78" t="e">
        <f t="shared" ca="1" si="168"/>
        <v>#N/A</v>
      </c>
      <c r="FZ78" t="e">
        <f t="shared" ca="1" si="168"/>
        <v>#N/A</v>
      </c>
      <c r="GA78" t="str">
        <f t="shared" ca="1" si="168"/>
        <v/>
      </c>
      <c r="GB78" t="e">
        <f t="shared" ca="1" si="168"/>
        <v>#N/A</v>
      </c>
      <c r="GC78" t="str">
        <f t="shared" ca="1" si="168"/>
        <v/>
      </c>
      <c r="GD78" t="str">
        <f t="shared" ca="1" si="168"/>
        <v/>
      </c>
      <c r="GE78">
        <f t="shared" ca="1" si="126"/>
        <v>0</v>
      </c>
      <c r="GF78" s="112">
        <f t="shared" ca="1" si="70"/>
        <v>100000</v>
      </c>
      <c r="GG78" s="112" t="e">
        <f t="shared" ca="1" si="71"/>
        <v>#N/A</v>
      </c>
      <c r="GH78" s="262" t="e">
        <f t="shared" ca="1" si="169"/>
        <v>#N/A</v>
      </c>
      <c r="GI78" s="262" t="e">
        <f t="shared" ca="1" si="169"/>
        <v>#N/A</v>
      </c>
      <c r="GJ78" s="262" t="e">
        <f t="shared" ca="1" si="169"/>
        <v>#N/A</v>
      </c>
      <c r="GK78" s="262" t="e">
        <f t="shared" ca="1" si="169"/>
        <v>#N/A</v>
      </c>
      <c r="GL78" s="262" t="e">
        <f t="shared" ca="1" si="169"/>
        <v>#N/A</v>
      </c>
      <c r="GM78" s="262">
        <f t="shared" ca="1" si="169"/>
        <v>0</v>
      </c>
      <c r="GN78" s="262" t="e">
        <f t="shared" ca="1" si="169"/>
        <v>#N/A</v>
      </c>
      <c r="GO78" s="262">
        <f t="shared" ca="1" si="72"/>
        <v>0</v>
      </c>
      <c r="GP78" s="262">
        <f t="shared" ca="1" si="73"/>
        <v>0</v>
      </c>
      <c r="GR78" s="262" t="e">
        <f t="shared" ca="1" si="75"/>
        <v>#N/A</v>
      </c>
      <c r="GS78" s="262" t="e">
        <f t="shared" ca="1" si="18"/>
        <v>#N/A</v>
      </c>
      <c r="GW78" t="e">
        <f t="shared" ca="1" si="139"/>
        <v>#N/A</v>
      </c>
      <c r="GZ78" t="e">
        <f t="shared" ca="1" si="20"/>
        <v>#N/A</v>
      </c>
      <c r="HD78" t="str">
        <f t="shared" ca="1" si="79"/>
        <v/>
      </c>
      <c r="HF78" s="254" t="e">
        <f t="shared" ca="1" si="80"/>
        <v>#N/A</v>
      </c>
      <c r="HM78" s="263" t="e">
        <f t="shared" ca="1" si="81"/>
        <v>#N/A</v>
      </c>
      <c r="HO78" s="272" t="str">
        <f t="shared" ca="1" si="21"/>
        <v/>
      </c>
      <c r="HP78">
        <f t="shared" ca="1" si="82"/>
        <v>0</v>
      </c>
      <c r="HQ78" t="str">
        <f t="shared" ca="1" si="83"/>
        <v/>
      </c>
      <c r="HR78" t="str">
        <f t="shared" ca="1" si="173"/>
        <v/>
      </c>
      <c r="HS78" t="str">
        <f t="shared" ca="1" si="174"/>
        <v/>
      </c>
      <c r="HX78" s="253" t="s">
        <v>187</v>
      </c>
      <c r="HY78" s="112" t="str">
        <f t="shared" si="86"/>
        <v>1/9/2016</v>
      </c>
      <c r="HZ78" t="s">
        <v>188</v>
      </c>
      <c r="IA78" s="112" t="str">
        <f t="shared" si="87"/>
        <v>31/8/2017</v>
      </c>
      <c r="IB78" t="s">
        <v>189</v>
      </c>
      <c r="IC78">
        <f t="shared" si="88"/>
        <v>1</v>
      </c>
      <c r="ID78" t="s">
        <v>192</v>
      </c>
      <c r="IE78">
        <f t="shared" si="89"/>
        <v>0</v>
      </c>
      <c r="IF78" t="s">
        <v>191</v>
      </c>
      <c r="IG78" s="254">
        <f t="shared" si="90"/>
        <v>0</v>
      </c>
      <c r="IL78" t="str">
        <f t="shared" si="91"/>
        <v xml:space="preserve">DAL: 1/9/2016 - AL:31/8/2017 - ANNI:1 - MESI:0 -GIORNI:0
</v>
      </c>
      <c r="KD78">
        <v>0</v>
      </c>
      <c r="KE78" s="260">
        <f t="shared" ca="1" si="92"/>
        <v>100000</v>
      </c>
      <c r="KF78" t="str">
        <f t="shared" si="93"/>
        <v>0-2 anni</v>
      </c>
      <c r="KG78">
        <f t="shared" si="22"/>
        <v>6</v>
      </c>
      <c r="KH78" s="238">
        <f t="shared" ca="1" si="23"/>
        <v>255</v>
      </c>
      <c r="KK78">
        <f t="shared" ca="1" si="94"/>
        <v>16218.89</v>
      </c>
      <c r="KL78" t="e">
        <f t="shared" ca="1" si="171"/>
        <v>#N/A</v>
      </c>
      <c r="KM78" t="e">
        <f t="shared" ca="1" si="171"/>
        <v>#N/A</v>
      </c>
      <c r="KN78" t="e">
        <f t="shared" ca="1" si="171"/>
        <v>#N/A</v>
      </c>
      <c r="KO78" t="e">
        <f t="shared" ca="1" si="171"/>
        <v>#N/A</v>
      </c>
      <c r="KV78" t="e">
        <f t="shared" ca="1" si="25"/>
        <v>#N/A</v>
      </c>
      <c r="LA78" s="254" t="str">
        <f t="shared" si="95"/>
        <v>0-2 anni</v>
      </c>
      <c r="LB78" s="112">
        <f t="shared" si="26"/>
        <v>42614</v>
      </c>
      <c r="LC78" s="112">
        <f t="shared" si="26"/>
        <v>42978</v>
      </c>
      <c r="LD78" t="e">
        <f t="shared" ca="1" si="96"/>
        <v>#N/A</v>
      </c>
      <c r="LE78" s="262" t="e">
        <f t="shared" ca="1" si="97"/>
        <v>#N/A</v>
      </c>
      <c r="LF78">
        <f t="shared" si="98"/>
        <v>365</v>
      </c>
      <c r="LG78" t="e">
        <f t="shared" ca="1" si="99"/>
        <v>#N/A</v>
      </c>
      <c r="LL78" s="112">
        <f ca="1">Foglio7ti!GF79</f>
        <v>100000</v>
      </c>
      <c r="LM78" s="308">
        <f t="shared" ca="1" si="27"/>
        <v>100000</v>
      </c>
      <c r="LN78" s="112"/>
      <c r="LO78">
        <f t="shared" si="100"/>
        <v>40</v>
      </c>
      <c r="LP78" s="308">
        <f t="shared" ca="1" si="28"/>
        <v>100000</v>
      </c>
      <c r="LQ78" s="112"/>
      <c r="LS78" s="263">
        <f t="shared" si="29"/>
        <v>40</v>
      </c>
      <c r="LT78" s="308">
        <f t="shared" ca="1" si="30"/>
        <v>100000</v>
      </c>
      <c r="LW78" s="308">
        <f t="shared" ca="1" si="31"/>
        <v>100000</v>
      </c>
      <c r="LZ78" s="308">
        <f t="shared" ca="1" si="32"/>
        <v>100000</v>
      </c>
      <c r="MC78" s="308">
        <f t="shared" ca="1" si="175"/>
        <v>100000</v>
      </c>
      <c r="MD78" t="str">
        <f t="shared" ca="1" si="177"/>
        <v/>
      </c>
      <c r="ME78" s="338" t="str">
        <f t="shared" ref="ME78:ME101" ca="1" si="179">IF(MC78=100000,"",MC78)</f>
        <v/>
      </c>
      <c r="MF78" s="338" t="str">
        <f t="shared" ref="MF78:MF101" ca="1" si="180">IF(TYPE(MD78)=16,ME78,MD78)</f>
        <v/>
      </c>
      <c r="MG78" s="337" t="str">
        <f t="shared" ref="MG78:MG101" ca="1" si="181">IF(MF78="","",MS78)</f>
        <v/>
      </c>
      <c r="MH78" s="338" t="str">
        <f t="shared" ca="1" si="35"/>
        <v/>
      </c>
      <c r="MI78" s="337" t="str">
        <f t="shared" ca="1" si="36"/>
        <v/>
      </c>
      <c r="MJ78" s="337" t="str">
        <f t="shared" ref="MJ78:MJ101" ca="1" si="182">IF(ME78="","",MV78)</f>
        <v/>
      </c>
      <c r="MK78" s="337" t="str">
        <f t="shared" ca="1" si="166"/>
        <v/>
      </c>
      <c r="ML78" s="337" t="str">
        <f ca="1">IF(ME78&lt;&gt;"",VLOOKUP(ME78,Foglio7ti!$GF$40:$GG$92,2),"")</f>
        <v/>
      </c>
      <c r="MM78" s="282" t="str">
        <f t="shared" ca="1" si="38"/>
        <v/>
      </c>
      <c r="MN78" s="282"/>
      <c r="MO78" s="320">
        <f t="shared" si="128"/>
        <v>1</v>
      </c>
      <c r="MP78" s="253" t="str">
        <f t="shared" ca="1" si="39"/>
        <v/>
      </c>
      <c r="MQ78" t="e">
        <f t="shared" ca="1" si="160"/>
        <v>#N/A</v>
      </c>
      <c r="MR78" s="238" t="e">
        <f ca="1">VLOOKUP(ME78,Foglio1ti!AB70:AZ370,13)-MQ78</f>
        <v>#N/A</v>
      </c>
      <c r="MS78" t="e">
        <f t="shared" ca="1" si="40"/>
        <v>#N/A</v>
      </c>
      <c r="MT78" t="e">
        <f t="shared" ca="1" si="41"/>
        <v>#N/A</v>
      </c>
      <c r="MU78" s="238" t="e">
        <f ca="1">VLOOKUP(ME78,Foglio1ti!AB70:AZ370,13)-MT78</f>
        <v>#N/A</v>
      </c>
      <c r="MV78" t="e">
        <f t="shared" ca="1" si="42"/>
        <v>#N/A</v>
      </c>
      <c r="MW78">
        <f t="shared" ca="1" si="140"/>
        <v>0</v>
      </c>
      <c r="MX78">
        <f ca="1">IF(AND(frontti!$H$25="SI",ML78="3-8 anni"),INDIRECT(CONCATENATE($MR$37,"BI",MU78)),0)</f>
        <v>0</v>
      </c>
      <c r="MY78" s="254"/>
    </row>
    <row r="79" spans="1:363" x14ac:dyDescent="0.25">
      <c r="A79" s="112">
        <f t="shared" si="141"/>
        <v>43160</v>
      </c>
      <c r="B79" s="112">
        <f t="shared" si="44"/>
        <v>43191</v>
      </c>
      <c r="E79" s="240">
        <f>Foglio3!F59</f>
        <v>42979</v>
      </c>
      <c r="F79" s="240">
        <f>Foglio3!G59</f>
        <v>43343</v>
      </c>
      <c r="G79" s="244"/>
      <c r="H79" s="245">
        <f t="shared" si="45"/>
        <v>42979</v>
      </c>
      <c r="I79" s="245">
        <f t="shared" si="8"/>
        <v>43343</v>
      </c>
      <c r="J79" s="244"/>
      <c r="K79" s="244"/>
      <c r="Q79">
        <f t="shared" si="9"/>
        <v>365</v>
      </c>
      <c r="R79">
        <f t="shared" si="142"/>
        <v>365</v>
      </c>
      <c r="S79">
        <f t="shared" si="46"/>
        <v>1</v>
      </c>
      <c r="T79">
        <f t="shared" si="129"/>
        <v>0</v>
      </c>
      <c r="U79">
        <f t="shared" si="130"/>
        <v>0</v>
      </c>
      <c r="W79">
        <f t="shared" si="176"/>
        <v>3</v>
      </c>
      <c r="X79">
        <f t="shared" si="176"/>
        <v>153</v>
      </c>
      <c r="Y79">
        <f t="shared" si="176"/>
        <v>351</v>
      </c>
      <c r="AA79" s="112">
        <f t="shared" si="103"/>
        <v>42979</v>
      </c>
      <c r="AB79" s="112">
        <f t="shared" si="104"/>
        <v>43343</v>
      </c>
      <c r="AG79">
        <f t="shared" si="47"/>
        <v>1</v>
      </c>
      <c r="AH79" s="112">
        <f t="shared" si="48"/>
        <v>42979</v>
      </c>
      <c r="AI79" s="112">
        <f t="shared" si="48"/>
        <v>43343</v>
      </c>
      <c r="CX79" s="112">
        <f t="shared" si="56"/>
        <v>100000</v>
      </c>
      <c r="CY79" s="112">
        <f t="shared" si="115"/>
        <v>100000</v>
      </c>
      <c r="CZ79" s="112">
        <f t="shared" si="116"/>
        <v>100000</v>
      </c>
      <c r="DA79" s="112">
        <f t="shared" si="117"/>
        <v>100000</v>
      </c>
      <c r="DB79" s="112">
        <f t="shared" si="118"/>
        <v>100000</v>
      </c>
      <c r="DC79" s="112">
        <f t="shared" si="119"/>
        <v>100000</v>
      </c>
      <c r="DU79" s="112"/>
      <c r="DV79" s="112"/>
      <c r="DW79" s="276"/>
      <c r="DX79" s="276"/>
      <c r="DY79" s="276"/>
      <c r="DZ79" s="276"/>
      <c r="EF79" s="260" t="str">
        <f>IF(DZ40=0,"",DZ40)</f>
        <v/>
      </c>
      <c r="EK79" s="254"/>
      <c r="EL79">
        <f t="shared" si="165"/>
        <v>40</v>
      </c>
      <c r="EM79" s="260" t="e">
        <f t="shared" ca="1" si="122"/>
        <v>#NUM!</v>
      </c>
      <c r="EN79" s="112" t="e">
        <f t="shared" ca="1" si="63"/>
        <v>#NUM!</v>
      </c>
      <c r="EO79" s="112">
        <f t="shared" ca="1" si="64"/>
        <v>100000</v>
      </c>
      <c r="EP79" s="112">
        <f t="shared" ca="1" si="123"/>
        <v>100000</v>
      </c>
      <c r="EQ79" s="273">
        <f t="shared" ca="1" si="138"/>
        <v>100000</v>
      </c>
      <c r="ER79" s="302">
        <f t="shared" ca="1" si="65"/>
        <v>100000</v>
      </c>
      <c r="EU79" t="e">
        <f t="shared" ca="1" si="66"/>
        <v>#N/A</v>
      </c>
      <c r="EV79" s="260">
        <f t="shared" ca="1" si="124"/>
        <v>100000</v>
      </c>
      <c r="EW79" t="e">
        <f t="shared" ca="1" si="67"/>
        <v>#N/A</v>
      </c>
      <c r="EX79" t="e">
        <f t="shared" ca="1" si="12"/>
        <v>#N/A</v>
      </c>
      <c r="EY79" s="238" t="e">
        <f t="shared" ca="1" si="13"/>
        <v>#N/A</v>
      </c>
      <c r="FB79" t="e">
        <f t="shared" ca="1" si="68"/>
        <v>#N/A</v>
      </c>
      <c r="FC79" t="e">
        <f t="shared" ca="1" si="167"/>
        <v>#N/A</v>
      </c>
      <c r="FD79" t="e">
        <f t="shared" ca="1" si="167"/>
        <v>#N/A</v>
      </c>
      <c r="FE79" t="e">
        <f t="shared" ca="1" si="167"/>
        <v>#N/A</v>
      </c>
      <c r="FF79" t="e">
        <f t="shared" ca="1" si="167"/>
        <v>#N/A</v>
      </c>
      <c r="FM79" t="e">
        <f t="shared" ca="1" si="15"/>
        <v>#N/A</v>
      </c>
      <c r="FR79" s="254" t="e">
        <f t="shared" ca="1" si="69"/>
        <v>#N/A</v>
      </c>
      <c r="FS79">
        <f t="shared" si="125"/>
        <v>79</v>
      </c>
      <c r="FT79" t="e">
        <f t="shared" ca="1" si="168"/>
        <v>#N/A</v>
      </c>
      <c r="FU79" t="str">
        <f t="shared" ca="1" si="168"/>
        <v>EV79</v>
      </c>
      <c r="FV79" t="e">
        <f t="shared" ref="FU79:GD87" ca="1" si="183">IF(INDIRECT(  CONCATENATE(FV$34,$FS79 ))&lt;&gt;"",     CONCATENATE(FV$34,$FS79 ),"")</f>
        <v>#N/A</v>
      </c>
      <c r="FW79" t="e">
        <f t="shared" ca="1" si="183"/>
        <v>#N/A</v>
      </c>
      <c r="FX79" t="e">
        <f t="shared" ca="1" si="183"/>
        <v>#N/A</v>
      </c>
      <c r="FY79" t="e">
        <f t="shared" ca="1" si="183"/>
        <v>#N/A</v>
      </c>
      <c r="FZ79" t="e">
        <f t="shared" ca="1" si="183"/>
        <v>#N/A</v>
      </c>
      <c r="GA79" t="str">
        <f t="shared" ca="1" si="183"/>
        <v/>
      </c>
      <c r="GB79" t="e">
        <f t="shared" ca="1" si="183"/>
        <v>#N/A</v>
      </c>
      <c r="GC79" t="str">
        <f t="shared" ca="1" si="183"/>
        <v/>
      </c>
      <c r="GD79" t="str">
        <f t="shared" ca="1" si="183"/>
        <v/>
      </c>
      <c r="GE79">
        <f t="shared" ca="1" si="126"/>
        <v>0</v>
      </c>
      <c r="GF79" s="112">
        <f t="shared" ca="1" si="70"/>
        <v>100000</v>
      </c>
      <c r="GG79" s="112" t="e">
        <f t="shared" ca="1" si="71"/>
        <v>#N/A</v>
      </c>
      <c r="GH79" s="262" t="e">
        <f t="shared" ca="1" si="169"/>
        <v>#N/A</v>
      </c>
      <c r="GI79" s="262" t="e">
        <f t="shared" ca="1" si="169"/>
        <v>#N/A</v>
      </c>
      <c r="GJ79" s="262" t="e">
        <f t="shared" ca="1" si="169"/>
        <v>#N/A</v>
      </c>
      <c r="GK79" s="262" t="e">
        <f t="shared" ca="1" si="169"/>
        <v>#N/A</v>
      </c>
      <c r="GL79" s="262" t="e">
        <f t="shared" ca="1" si="169"/>
        <v>#N/A</v>
      </c>
      <c r="GM79" s="262">
        <f t="shared" ca="1" si="169"/>
        <v>0</v>
      </c>
      <c r="GN79" s="262" t="e">
        <f t="shared" ca="1" si="169"/>
        <v>#N/A</v>
      </c>
      <c r="GO79" s="262">
        <f t="shared" ca="1" si="72"/>
        <v>0</v>
      </c>
      <c r="GP79" s="262">
        <f t="shared" ca="1" si="73"/>
        <v>0</v>
      </c>
      <c r="GR79" s="262" t="e">
        <f t="shared" ca="1" si="75"/>
        <v>#N/A</v>
      </c>
      <c r="GS79" s="262" t="e">
        <f t="shared" ca="1" si="18"/>
        <v>#N/A</v>
      </c>
      <c r="GW79" t="e">
        <f t="shared" ca="1" si="139"/>
        <v>#N/A</v>
      </c>
      <c r="GZ79" t="e">
        <f t="shared" ca="1" si="20"/>
        <v>#N/A</v>
      </c>
      <c r="HD79" t="str">
        <f t="shared" ca="1" si="79"/>
        <v/>
      </c>
      <c r="HF79" s="254" t="e">
        <f t="shared" ca="1" si="80"/>
        <v>#N/A</v>
      </c>
      <c r="HM79" s="263" t="e">
        <f t="shared" ca="1" si="81"/>
        <v>#N/A</v>
      </c>
      <c r="HO79" s="272" t="str">
        <f t="shared" ca="1" si="21"/>
        <v/>
      </c>
      <c r="HP79">
        <f t="shared" ca="1" si="82"/>
        <v>0</v>
      </c>
      <c r="HQ79" t="str">
        <f t="shared" ca="1" si="83"/>
        <v/>
      </c>
      <c r="HR79" t="str">
        <f t="shared" ca="1" si="173"/>
        <v/>
      </c>
      <c r="HS79" t="str">
        <f t="shared" ca="1" si="174"/>
        <v/>
      </c>
      <c r="HX79" s="253" t="s">
        <v>187</v>
      </c>
      <c r="HY79" s="112" t="str">
        <f t="shared" si="86"/>
        <v>1/9/2017</v>
      </c>
      <c r="HZ79" t="s">
        <v>188</v>
      </c>
      <c r="IA79" s="112" t="str">
        <f t="shared" si="87"/>
        <v>31/8/2018</v>
      </c>
      <c r="IB79" t="s">
        <v>189</v>
      </c>
      <c r="IC79">
        <f t="shared" si="88"/>
        <v>1</v>
      </c>
      <c r="ID79" t="s">
        <v>192</v>
      </c>
      <c r="IE79">
        <f t="shared" si="89"/>
        <v>0</v>
      </c>
      <c r="IF79" t="s">
        <v>191</v>
      </c>
      <c r="IG79" s="254">
        <f t="shared" si="90"/>
        <v>0</v>
      </c>
      <c r="IL79" t="str">
        <f t="shared" si="91"/>
        <v xml:space="preserve">DAL: 1/9/2017 - AL:31/8/2018 - ANNI:1 - MESI:0 -GIORNI:0
</v>
      </c>
      <c r="KD79">
        <v>0</v>
      </c>
      <c r="KE79" s="260">
        <f t="shared" ca="1" si="92"/>
        <v>100000</v>
      </c>
      <c r="KF79" t="str">
        <f t="shared" si="93"/>
        <v>0-2 anni</v>
      </c>
      <c r="KG79">
        <f t="shared" si="22"/>
        <v>6</v>
      </c>
      <c r="KH79" s="238">
        <f t="shared" ca="1" si="23"/>
        <v>255</v>
      </c>
      <c r="KK79">
        <f t="shared" ca="1" si="94"/>
        <v>16218.89</v>
      </c>
      <c r="KL79" t="e">
        <f t="shared" ca="1" si="171"/>
        <v>#N/A</v>
      </c>
      <c r="KM79" t="e">
        <f t="shared" ca="1" si="171"/>
        <v>#N/A</v>
      </c>
      <c r="KN79" t="e">
        <f t="shared" ca="1" si="171"/>
        <v>#N/A</v>
      </c>
      <c r="KO79" t="e">
        <f t="shared" ca="1" si="171"/>
        <v>#N/A</v>
      </c>
      <c r="KV79" t="e">
        <f t="shared" ca="1" si="25"/>
        <v>#N/A</v>
      </c>
      <c r="LA79" s="254" t="str">
        <f t="shared" si="95"/>
        <v>0-2 anni</v>
      </c>
      <c r="LB79" s="112">
        <f t="shared" si="26"/>
        <v>42979</v>
      </c>
      <c r="LC79" s="112">
        <f t="shared" si="26"/>
        <v>43343</v>
      </c>
      <c r="LD79" t="e">
        <f t="shared" ca="1" si="96"/>
        <v>#N/A</v>
      </c>
      <c r="LE79" s="262" t="e">
        <f t="shared" ca="1" si="97"/>
        <v>#N/A</v>
      </c>
      <c r="LF79">
        <f t="shared" si="98"/>
        <v>365</v>
      </c>
      <c r="LG79" t="e">
        <f t="shared" ca="1" si="99"/>
        <v>#N/A</v>
      </c>
      <c r="LL79" s="112">
        <f ca="1">Foglio7ti!GF80</f>
        <v>100000</v>
      </c>
      <c r="LM79" s="308">
        <f t="shared" ca="1" si="27"/>
        <v>100000</v>
      </c>
      <c r="LN79" s="112"/>
      <c r="LO79">
        <f t="shared" si="100"/>
        <v>41</v>
      </c>
      <c r="LP79" s="308">
        <f t="shared" ca="1" si="28"/>
        <v>100000</v>
      </c>
      <c r="LQ79" s="112"/>
      <c r="LS79" s="263">
        <f t="shared" si="29"/>
        <v>41</v>
      </c>
      <c r="LT79" s="308">
        <f t="shared" ca="1" si="30"/>
        <v>100000</v>
      </c>
      <c r="LW79" s="308">
        <f t="shared" ca="1" si="31"/>
        <v>100000</v>
      </c>
      <c r="LZ79" s="308">
        <f t="shared" ca="1" si="32"/>
        <v>100000</v>
      </c>
      <c r="MC79" s="308">
        <f t="shared" ca="1" si="175"/>
        <v>100000</v>
      </c>
      <c r="MD79" t="str">
        <f t="shared" ca="1" si="177"/>
        <v/>
      </c>
      <c r="ME79" s="338" t="str">
        <f t="shared" ca="1" si="179"/>
        <v/>
      </c>
      <c r="MF79" s="338" t="str">
        <f t="shared" ca="1" si="180"/>
        <v/>
      </c>
      <c r="MG79" s="337" t="str">
        <f t="shared" ca="1" si="181"/>
        <v/>
      </c>
      <c r="MH79" s="338" t="str">
        <f t="shared" ca="1" si="35"/>
        <v/>
      </c>
      <c r="MI79" s="337" t="str">
        <f t="shared" ca="1" si="36"/>
        <v/>
      </c>
      <c r="MJ79" s="337" t="str">
        <f t="shared" ca="1" si="182"/>
        <v/>
      </c>
      <c r="MK79" s="337" t="str">
        <f t="shared" ca="1" si="166"/>
        <v/>
      </c>
      <c r="ML79" s="337" t="str">
        <f ca="1">IF(ME79&lt;&gt;"",VLOOKUP(ME79,Foglio7ti!$GF$40:$GG$92,2),"")</f>
        <v/>
      </c>
      <c r="MM79" s="282" t="str">
        <f t="shared" ca="1" si="38"/>
        <v/>
      </c>
      <c r="MN79" s="282"/>
      <c r="MO79" s="320">
        <f t="shared" si="128"/>
        <v>1</v>
      </c>
      <c r="MP79" s="253" t="str">
        <f t="shared" ca="1" si="39"/>
        <v/>
      </c>
      <c r="MQ79" t="e">
        <f t="shared" ca="1" si="160"/>
        <v>#N/A</v>
      </c>
      <c r="MR79" s="238" t="e">
        <f ca="1">VLOOKUP(ME79,Foglio1ti!AB71:AZ371,13)-MQ79</f>
        <v>#N/A</v>
      </c>
      <c r="MS79" t="e">
        <f t="shared" ca="1" si="40"/>
        <v>#N/A</v>
      </c>
      <c r="MT79" t="e">
        <f t="shared" ca="1" si="41"/>
        <v>#N/A</v>
      </c>
      <c r="MU79" s="238" t="e">
        <f ca="1">VLOOKUP(ME79,Foglio1ti!AB71:AZ371,13)-MT79</f>
        <v>#N/A</v>
      </c>
      <c r="MV79" t="e">
        <f t="shared" ca="1" si="42"/>
        <v>#N/A</v>
      </c>
      <c r="MW79">
        <f t="shared" ca="1" si="140"/>
        <v>0</v>
      </c>
      <c r="MX79">
        <f ca="1">IF(AND(frontti!$H$25="SI",ML79="3-8 anni"),INDIRECT(CONCATENATE($MR$37,"BI",MU79)),0)</f>
        <v>0</v>
      </c>
      <c r="MY79" s="254"/>
    </row>
    <row r="80" spans="1:363" x14ac:dyDescent="0.25">
      <c r="A80" s="112">
        <f t="shared" si="141"/>
        <v>43191</v>
      </c>
      <c r="B80" s="112">
        <f t="shared" si="44"/>
        <v>43466</v>
      </c>
      <c r="E80" s="240">
        <f>Foglio3!F60</f>
        <v>43344</v>
      </c>
      <c r="F80" s="240">
        <f>Foglio3!G60</f>
        <v>43708</v>
      </c>
      <c r="G80" s="244"/>
      <c r="H80" s="245">
        <f t="shared" si="45"/>
        <v>43344</v>
      </c>
      <c r="I80" s="245">
        <f t="shared" si="8"/>
        <v>43708</v>
      </c>
      <c r="J80" s="244"/>
      <c r="K80" s="244"/>
      <c r="Q80">
        <f t="shared" si="9"/>
        <v>365</v>
      </c>
      <c r="R80">
        <f t="shared" si="142"/>
        <v>365</v>
      </c>
      <c r="S80">
        <f t="shared" si="46"/>
        <v>1</v>
      </c>
      <c r="T80">
        <f t="shared" si="129"/>
        <v>0</v>
      </c>
      <c r="U80">
        <f t="shared" si="130"/>
        <v>0</v>
      </c>
      <c r="W80">
        <f t="shared" si="176"/>
        <v>4</v>
      </c>
      <c r="X80">
        <f t="shared" si="176"/>
        <v>153</v>
      </c>
      <c r="Y80">
        <f t="shared" si="176"/>
        <v>351</v>
      </c>
      <c r="AA80" s="112">
        <f t="shared" si="103"/>
        <v>43344</v>
      </c>
      <c r="AB80" s="112">
        <f t="shared" si="104"/>
        <v>43708</v>
      </c>
      <c r="AG80">
        <f t="shared" si="47"/>
        <v>1</v>
      </c>
      <c r="AH80" s="112">
        <f t="shared" si="48"/>
        <v>43344</v>
      </c>
      <c r="AI80" s="112">
        <f t="shared" si="48"/>
        <v>43708</v>
      </c>
      <c r="CX80" s="112">
        <f t="shared" si="56"/>
        <v>100000</v>
      </c>
      <c r="CY80" s="112">
        <f t="shared" si="115"/>
        <v>100000</v>
      </c>
      <c r="CZ80" s="112">
        <f t="shared" si="116"/>
        <v>100000</v>
      </c>
      <c r="DA80" s="112">
        <f t="shared" si="117"/>
        <v>100000</v>
      </c>
      <c r="DB80" s="112">
        <f t="shared" si="118"/>
        <v>100000</v>
      </c>
      <c r="DC80" s="112">
        <f t="shared" si="119"/>
        <v>100000</v>
      </c>
      <c r="DU80" s="112"/>
      <c r="DV80" s="112"/>
      <c r="DW80" s="276"/>
      <c r="DX80" s="276"/>
      <c r="DY80" s="276"/>
      <c r="DZ80" s="276"/>
      <c r="EF80" s="260">
        <f>IF(DZ41=0,"",DZ41)</f>
        <v>39264</v>
      </c>
      <c r="EK80" s="254"/>
      <c r="EL80">
        <f t="shared" si="165"/>
        <v>41</v>
      </c>
      <c r="EM80" s="260" t="e">
        <f t="shared" ca="1" si="122"/>
        <v>#NUM!</v>
      </c>
      <c r="EN80" s="112" t="e">
        <f t="shared" ca="1" si="63"/>
        <v>#NUM!</v>
      </c>
      <c r="EO80" s="112">
        <f t="shared" ca="1" si="64"/>
        <v>100000</v>
      </c>
      <c r="EP80" s="112">
        <f t="shared" ca="1" si="123"/>
        <v>100000</v>
      </c>
      <c r="EQ80" s="273">
        <f t="shared" ca="1" si="138"/>
        <v>100000</v>
      </c>
      <c r="ER80" s="302">
        <f t="shared" ca="1" si="65"/>
        <v>100000</v>
      </c>
      <c r="EU80" t="e">
        <f t="shared" ca="1" si="66"/>
        <v>#N/A</v>
      </c>
      <c r="EV80" s="260">
        <f t="shared" ca="1" si="124"/>
        <v>100000</v>
      </c>
      <c r="EW80" t="e">
        <f t="shared" ca="1" si="67"/>
        <v>#N/A</v>
      </c>
      <c r="EX80" t="e">
        <f t="shared" ca="1" si="12"/>
        <v>#N/A</v>
      </c>
      <c r="EY80" s="238" t="e">
        <f t="shared" ca="1" si="13"/>
        <v>#N/A</v>
      </c>
      <c r="FB80" t="e">
        <f t="shared" ca="1" si="68"/>
        <v>#N/A</v>
      </c>
      <c r="FC80" t="e">
        <f t="shared" ca="1" si="167"/>
        <v>#N/A</v>
      </c>
      <c r="FD80" t="e">
        <f t="shared" ca="1" si="167"/>
        <v>#N/A</v>
      </c>
      <c r="FE80" t="e">
        <f t="shared" ca="1" si="167"/>
        <v>#N/A</v>
      </c>
      <c r="FF80" t="e">
        <f t="shared" ca="1" si="167"/>
        <v>#N/A</v>
      </c>
      <c r="FM80" t="e">
        <f t="shared" ca="1" si="15"/>
        <v>#N/A</v>
      </c>
      <c r="FR80" s="254" t="e">
        <f t="shared" ca="1" si="69"/>
        <v>#N/A</v>
      </c>
      <c r="FS80">
        <f t="shared" si="125"/>
        <v>80</v>
      </c>
      <c r="FT80" t="e">
        <f t="shared" ref="FT80:FT86" ca="1" si="184">IF(INDIRECT(  CONCATENATE(FT$34,$FS80 ))&lt;&gt;"",     CONCATENATE(FT$34,$FS80 ),"")</f>
        <v>#N/A</v>
      </c>
      <c r="FU80" t="str">
        <f t="shared" ca="1" si="183"/>
        <v>EV80</v>
      </c>
      <c r="FV80" t="e">
        <f t="shared" ca="1" si="183"/>
        <v>#N/A</v>
      </c>
      <c r="FW80" t="e">
        <f t="shared" ca="1" si="183"/>
        <v>#N/A</v>
      </c>
      <c r="FX80" t="e">
        <f t="shared" ca="1" si="183"/>
        <v>#N/A</v>
      </c>
      <c r="FY80" t="e">
        <f t="shared" ca="1" si="183"/>
        <v>#N/A</v>
      </c>
      <c r="FZ80" t="e">
        <f t="shared" ca="1" si="183"/>
        <v>#N/A</v>
      </c>
      <c r="GA80" t="str">
        <f t="shared" ca="1" si="183"/>
        <v/>
      </c>
      <c r="GB80" t="e">
        <f t="shared" ca="1" si="183"/>
        <v>#N/A</v>
      </c>
      <c r="GC80" t="str">
        <f t="shared" ca="1" si="183"/>
        <v/>
      </c>
      <c r="GD80" t="str">
        <f t="shared" ca="1" si="183"/>
        <v/>
      </c>
      <c r="GE80">
        <f t="shared" ca="1" si="126"/>
        <v>0</v>
      </c>
      <c r="GF80" s="112">
        <f t="shared" ca="1" si="70"/>
        <v>100000</v>
      </c>
      <c r="GG80" s="112" t="e">
        <f t="shared" ca="1" si="71"/>
        <v>#N/A</v>
      </c>
      <c r="GH80" s="262" t="e">
        <f t="shared" ca="1" si="169"/>
        <v>#N/A</v>
      </c>
      <c r="GI80" s="262" t="e">
        <f t="shared" ca="1" si="169"/>
        <v>#N/A</v>
      </c>
      <c r="GJ80" s="262" t="e">
        <f t="shared" ca="1" si="169"/>
        <v>#N/A</v>
      </c>
      <c r="GK80" s="262" t="e">
        <f t="shared" ca="1" si="169"/>
        <v>#N/A</v>
      </c>
      <c r="GL80" s="262" t="e">
        <f t="shared" ca="1" si="169"/>
        <v>#N/A</v>
      </c>
      <c r="GM80" s="262">
        <f t="shared" ca="1" si="169"/>
        <v>0</v>
      </c>
      <c r="GN80" s="262" t="e">
        <f t="shared" ca="1" si="169"/>
        <v>#N/A</v>
      </c>
      <c r="GO80" s="262">
        <f t="shared" ca="1" si="72"/>
        <v>0</v>
      </c>
      <c r="GP80" s="262">
        <f t="shared" ca="1" si="73"/>
        <v>0</v>
      </c>
      <c r="GR80" s="262" t="e">
        <f t="shared" ca="1" si="75"/>
        <v>#N/A</v>
      </c>
      <c r="GS80" s="262" t="e">
        <f t="shared" ca="1" si="18"/>
        <v>#N/A</v>
      </c>
      <c r="GW80" t="e">
        <f t="shared" ca="1" si="139"/>
        <v>#N/A</v>
      </c>
      <c r="GZ80" t="e">
        <f t="shared" ca="1" si="20"/>
        <v>#N/A</v>
      </c>
      <c r="HD80" t="str">
        <f t="shared" ca="1" si="79"/>
        <v/>
      </c>
      <c r="HF80" s="254" t="e">
        <f t="shared" ca="1" si="80"/>
        <v>#N/A</v>
      </c>
      <c r="HM80" s="263" t="e">
        <f t="shared" ca="1" si="81"/>
        <v>#N/A</v>
      </c>
      <c r="HO80" s="272" t="str">
        <f t="shared" ca="1" si="21"/>
        <v/>
      </c>
      <c r="HP80">
        <f t="shared" ca="1" si="82"/>
        <v>0</v>
      </c>
      <c r="HQ80" t="str">
        <f t="shared" ca="1" si="83"/>
        <v/>
      </c>
      <c r="HR80" t="str">
        <f t="shared" ca="1" si="173"/>
        <v/>
      </c>
      <c r="HS80" t="str">
        <f t="shared" ca="1" si="174"/>
        <v/>
      </c>
      <c r="HX80" s="253" t="s">
        <v>187</v>
      </c>
      <c r="HY80" s="112" t="str">
        <f t="shared" si="86"/>
        <v>1/9/2018</v>
      </c>
      <c r="HZ80" t="s">
        <v>188</v>
      </c>
      <c r="IA80" s="112" t="str">
        <f t="shared" si="87"/>
        <v>31/8/2019</v>
      </c>
      <c r="IB80" t="s">
        <v>189</v>
      </c>
      <c r="IC80">
        <f t="shared" si="88"/>
        <v>1</v>
      </c>
      <c r="ID80" t="s">
        <v>192</v>
      </c>
      <c r="IE80">
        <f t="shared" si="89"/>
        <v>0</v>
      </c>
      <c r="IF80" t="s">
        <v>191</v>
      </c>
      <c r="IG80" s="254">
        <f t="shared" si="90"/>
        <v>0</v>
      </c>
      <c r="IL80" t="str">
        <f t="shared" si="91"/>
        <v xml:space="preserve">DAL: 1/9/2018 - AL:31/8/2019 - ANNI:1 - MESI:0 -GIORNI:0
</v>
      </c>
      <c r="IW80" t="e">
        <f>CONCATENATE(IL80,IL81,IL82,IL83,IL84,IL85,IL86,IL87,IL88,IL89,IL90,IL91,IL92,IL93,IL94,I585,IL96,IL97,IL98,IL99,)</f>
        <v>#VALUE!</v>
      </c>
      <c r="KD80">
        <v>0</v>
      </c>
      <c r="KE80" s="260">
        <f t="shared" ca="1" si="92"/>
        <v>100000</v>
      </c>
      <c r="KF80" t="str">
        <f t="shared" si="93"/>
        <v>0-2 anni</v>
      </c>
      <c r="KG80">
        <f t="shared" si="22"/>
        <v>6</v>
      </c>
      <c r="KH80" s="238">
        <f t="shared" ca="1" si="23"/>
        <v>255</v>
      </c>
      <c r="KK80">
        <f t="shared" ca="1" si="94"/>
        <v>16218.89</v>
      </c>
      <c r="KL80" t="e">
        <f t="shared" ca="1" si="171"/>
        <v>#N/A</v>
      </c>
      <c r="KM80" t="e">
        <f t="shared" ca="1" si="171"/>
        <v>#N/A</v>
      </c>
      <c r="KN80" t="e">
        <f t="shared" ca="1" si="171"/>
        <v>#N/A</v>
      </c>
      <c r="KO80" t="e">
        <f t="shared" ca="1" si="171"/>
        <v>#N/A</v>
      </c>
      <c r="KV80" t="e">
        <f t="shared" ca="1" si="25"/>
        <v>#N/A</v>
      </c>
      <c r="LA80" s="254" t="str">
        <f t="shared" si="95"/>
        <v>0-2 anni</v>
      </c>
      <c r="LB80" s="112">
        <f t="shared" si="26"/>
        <v>43344</v>
      </c>
      <c r="LC80" s="112">
        <f t="shared" si="26"/>
        <v>43708</v>
      </c>
      <c r="LD80" t="e">
        <f t="shared" ca="1" si="96"/>
        <v>#N/A</v>
      </c>
      <c r="LE80" s="262" t="e">
        <f t="shared" ca="1" si="97"/>
        <v>#N/A</v>
      </c>
      <c r="LF80">
        <f t="shared" si="98"/>
        <v>365</v>
      </c>
      <c r="LG80" t="e">
        <f t="shared" ca="1" si="99"/>
        <v>#N/A</v>
      </c>
      <c r="LL80" s="112">
        <f ca="1">Foglio7ti!GF81</f>
        <v>100000</v>
      </c>
      <c r="LM80" s="308">
        <f t="shared" ca="1" si="27"/>
        <v>100000</v>
      </c>
      <c r="LN80" s="112"/>
      <c r="LO80">
        <f t="shared" si="100"/>
        <v>42</v>
      </c>
      <c r="LP80" s="308">
        <f t="shared" ca="1" si="28"/>
        <v>100000</v>
      </c>
      <c r="LQ80" s="112"/>
      <c r="LS80" s="263">
        <f t="shared" si="29"/>
        <v>42</v>
      </c>
      <c r="LT80" s="308">
        <f t="shared" ca="1" si="30"/>
        <v>100000</v>
      </c>
      <c r="LW80" s="308">
        <f t="shared" ca="1" si="31"/>
        <v>100000</v>
      </c>
      <c r="LZ80" s="308">
        <f t="shared" ca="1" si="32"/>
        <v>100000</v>
      </c>
      <c r="MC80" s="308">
        <f t="shared" ca="1" si="175"/>
        <v>100000</v>
      </c>
      <c r="MD80" t="str">
        <f t="shared" ca="1" si="177"/>
        <v/>
      </c>
      <c r="ME80" s="338" t="str">
        <f t="shared" ca="1" si="179"/>
        <v/>
      </c>
      <c r="MF80" s="338" t="str">
        <f t="shared" ca="1" si="180"/>
        <v/>
      </c>
      <c r="MG80" s="337" t="str">
        <f t="shared" ca="1" si="181"/>
        <v/>
      </c>
      <c r="MH80" s="338" t="str">
        <f t="shared" ca="1" si="35"/>
        <v/>
      </c>
      <c r="MI80" s="337" t="str">
        <f t="shared" ca="1" si="36"/>
        <v/>
      </c>
      <c r="MJ80" s="337" t="str">
        <f t="shared" ca="1" si="182"/>
        <v/>
      </c>
      <c r="MK80" s="337" t="str">
        <f t="shared" ca="1" si="166"/>
        <v/>
      </c>
      <c r="ML80" s="337" t="str">
        <f ca="1">IF(ME80&lt;&gt;"",VLOOKUP(ME80,Foglio7ti!$GF$40:$GG$92,2),"")</f>
        <v/>
      </c>
      <c r="MM80" s="282" t="str">
        <f t="shared" ca="1" si="38"/>
        <v/>
      </c>
      <c r="MN80" s="282"/>
      <c r="MO80" s="320">
        <f t="shared" si="128"/>
        <v>1</v>
      </c>
      <c r="MP80" s="253" t="str">
        <f t="shared" ca="1" si="39"/>
        <v/>
      </c>
      <c r="MQ80" t="e">
        <f t="shared" ca="1" si="160"/>
        <v>#N/A</v>
      </c>
      <c r="MR80" s="238" t="e">
        <f ca="1">VLOOKUP(ME80,Foglio1ti!AB72:AZ372,13)-MQ80</f>
        <v>#N/A</v>
      </c>
      <c r="MS80" t="e">
        <f t="shared" ca="1" si="40"/>
        <v>#N/A</v>
      </c>
      <c r="MT80" t="e">
        <f t="shared" ca="1" si="41"/>
        <v>#N/A</v>
      </c>
      <c r="MU80" s="238" t="e">
        <f ca="1">VLOOKUP(ME80,Foglio1ti!AB72:AZ372,13)-MT80</f>
        <v>#N/A</v>
      </c>
      <c r="MV80" t="e">
        <f t="shared" ca="1" si="42"/>
        <v>#N/A</v>
      </c>
      <c r="MW80">
        <f t="shared" ca="1" si="140"/>
        <v>0</v>
      </c>
      <c r="MX80">
        <f ca="1">IF(AND(frontti!$H$25="SI",ML80="3-8 anni"),INDIRECT(CONCATENATE($MR$37,"BI",MU80)),0)</f>
        <v>0</v>
      </c>
      <c r="MY80" s="254"/>
    </row>
    <row r="81" spans="1:363" x14ac:dyDescent="0.25">
      <c r="A81" s="112">
        <f t="shared" si="141"/>
        <v>43466</v>
      </c>
      <c r="B81" s="112">
        <f t="shared" si="44"/>
        <v>43831</v>
      </c>
      <c r="E81" s="240">
        <f>Foglio3!F61</f>
        <v>43709</v>
      </c>
      <c r="F81" s="240">
        <f>Foglio3!G61</f>
        <v>44074</v>
      </c>
      <c r="G81" s="244"/>
      <c r="H81" s="245">
        <f t="shared" si="45"/>
        <v>43709</v>
      </c>
      <c r="I81" s="245">
        <f t="shared" si="8"/>
        <v>44074</v>
      </c>
      <c r="J81" s="244"/>
      <c r="K81" s="244"/>
      <c r="Q81">
        <f t="shared" si="9"/>
        <v>366</v>
      </c>
      <c r="R81">
        <f t="shared" si="142"/>
        <v>366</v>
      </c>
      <c r="S81">
        <f t="shared" si="46"/>
        <v>1</v>
      </c>
      <c r="T81">
        <f t="shared" si="129"/>
        <v>0</v>
      </c>
      <c r="U81">
        <f t="shared" si="130"/>
        <v>1</v>
      </c>
      <c r="W81">
        <f t="shared" si="176"/>
        <v>5</v>
      </c>
      <c r="X81">
        <f t="shared" si="176"/>
        <v>153</v>
      </c>
      <c r="Y81">
        <f t="shared" si="176"/>
        <v>352</v>
      </c>
      <c r="AA81" s="112">
        <f t="shared" si="103"/>
        <v>43709</v>
      </c>
      <c r="AB81" s="112">
        <f t="shared" si="104"/>
        <v>44074</v>
      </c>
      <c r="AG81">
        <f t="shared" si="47"/>
        <v>1</v>
      </c>
      <c r="AH81" s="112">
        <f t="shared" si="48"/>
        <v>43709</v>
      </c>
      <c r="AI81" s="112">
        <f t="shared" si="48"/>
        <v>44074</v>
      </c>
      <c r="CX81" s="112">
        <f t="shared" si="56"/>
        <v>100000</v>
      </c>
      <c r="CY81" s="112">
        <f t="shared" si="115"/>
        <v>100000</v>
      </c>
      <c r="CZ81" s="112">
        <f t="shared" si="116"/>
        <v>100000</v>
      </c>
      <c r="DA81" s="112">
        <f t="shared" si="117"/>
        <v>100000</v>
      </c>
      <c r="DB81" s="112">
        <f t="shared" si="118"/>
        <v>100000</v>
      </c>
      <c r="DC81" s="112">
        <f t="shared" si="119"/>
        <v>100000</v>
      </c>
      <c r="DU81" s="112"/>
      <c r="DV81" s="112"/>
      <c r="DW81" s="276"/>
      <c r="DX81" s="276"/>
      <c r="DY81" s="276"/>
      <c r="DZ81" s="276"/>
      <c r="EF81" s="260">
        <f ca="1">IF(DZ42=0,"",DZ42)</f>
        <v>100000</v>
      </c>
      <c r="EK81" s="254"/>
      <c r="EL81">
        <f t="shared" si="165"/>
        <v>42</v>
      </c>
      <c r="EM81" s="260" t="e">
        <f t="shared" ca="1" si="122"/>
        <v>#NUM!</v>
      </c>
      <c r="EN81" s="112" t="e">
        <f t="shared" ca="1" si="63"/>
        <v>#NUM!</v>
      </c>
      <c r="EO81" s="112">
        <f t="shared" ca="1" si="64"/>
        <v>100000</v>
      </c>
      <c r="EP81" s="112">
        <f t="shared" ca="1" si="123"/>
        <v>100000</v>
      </c>
      <c r="EQ81" s="273">
        <f t="shared" ca="1" si="138"/>
        <v>100000</v>
      </c>
      <c r="ER81" s="302">
        <f t="shared" ca="1" si="65"/>
        <v>100000</v>
      </c>
      <c r="EU81" t="e">
        <f t="shared" ca="1" si="66"/>
        <v>#N/A</v>
      </c>
      <c r="EV81" s="260">
        <f t="shared" ca="1" si="124"/>
        <v>100000</v>
      </c>
      <c r="EW81" t="e">
        <f t="shared" ca="1" si="67"/>
        <v>#N/A</v>
      </c>
      <c r="EX81" t="e">
        <f t="shared" ca="1" si="12"/>
        <v>#N/A</v>
      </c>
      <c r="EY81" s="238" t="e">
        <f t="shared" ca="1" si="13"/>
        <v>#N/A</v>
      </c>
      <c r="FB81" t="e">
        <f t="shared" ca="1" si="68"/>
        <v>#N/A</v>
      </c>
      <c r="FC81" t="e">
        <f t="shared" ca="1" si="167"/>
        <v>#N/A</v>
      </c>
      <c r="FD81" t="e">
        <f t="shared" ca="1" si="167"/>
        <v>#N/A</v>
      </c>
      <c r="FE81" t="e">
        <f t="shared" ca="1" si="167"/>
        <v>#N/A</v>
      </c>
      <c r="FF81" t="e">
        <f t="shared" ca="1" si="167"/>
        <v>#N/A</v>
      </c>
      <c r="FM81" t="e">
        <f t="shared" ca="1" si="15"/>
        <v>#N/A</v>
      </c>
      <c r="FR81" s="254" t="e">
        <f t="shared" ca="1" si="69"/>
        <v>#N/A</v>
      </c>
      <c r="FS81">
        <f t="shared" si="125"/>
        <v>81</v>
      </c>
      <c r="FT81" t="e">
        <f t="shared" ca="1" si="184"/>
        <v>#N/A</v>
      </c>
      <c r="FU81" t="str">
        <f t="shared" ca="1" si="183"/>
        <v>EV81</v>
      </c>
      <c r="FV81" t="e">
        <f t="shared" ca="1" si="183"/>
        <v>#N/A</v>
      </c>
      <c r="FW81" t="e">
        <f t="shared" ca="1" si="183"/>
        <v>#N/A</v>
      </c>
      <c r="FX81" t="e">
        <f t="shared" ca="1" si="183"/>
        <v>#N/A</v>
      </c>
      <c r="FY81" t="e">
        <f t="shared" ca="1" si="183"/>
        <v>#N/A</v>
      </c>
      <c r="FZ81" t="e">
        <f t="shared" ca="1" si="183"/>
        <v>#N/A</v>
      </c>
      <c r="GA81" t="str">
        <f t="shared" ca="1" si="183"/>
        <v/>
      </c>
      <c r="GB81" t="e">
        <f t="shared" ca="1" si="183"/>
        <v>#N/A</v>
      </c>
      <c r="GC81" t="str">
        <f t="shared" ca="1" si="183"/>
        <v/>
      </c>
      <c r="GD81" t="str">
        <f t="shared" ca="1" si="183"/>
        <v/>
      </c>
      <c r="GE81">
        <f t="shared" ca="1" si="126"/>
        <v>0</v>
      </c>
      <c r="GF81" s="112">
        <f t="shared" ca="1" si="70"/>
        <v>100000</v>
      </c>
      <c r="GG81" s="112" t="e">
        <f t="shared" ca="1" si="71"/>
        <v>#N/A</v>
      </c>
      <c r="GH81" s="262" t="e">
        <f t="shared" ca="1" si="169"/>
        <v>#N/A</v>
      </c>
      <c r="GI81" s="262" t="e">
        <f t="shared" ca="1" si="169"/>
        <v>#N/A</v>
      </c>
      <c r="GJ81" s="262" t="e">
        <f t="shared" ca="1" si="169"/>
        <v>#N/A</v>
      </c>
      <c r="GK81" s="262" t="e">
        <f t="shared" ca="1" si="169"/>
        <v>#N/A</v>
      </c>
      <c r="GL81" s="262" t="e">
        <f t="shared" ca="1" si="169"/>
        <v>#N/A</v>
      </c>
      <c r="GM81" s="262">
        <f t="shared" ca="1" si="169"/>
        <v>0</v>
      </c>
      <c r="GN81" s="262" t="e">
        <f t="shared" ca="1" si="169"/>
        <v>#N/A</v>
      </c>
      <c r="GO81" s="262">
        <f t="shared" ca="1" si="72"/>
        <v>0</v>
      </c>
      <c r="GP81" s="262">
        <f t="shared" ca="1" si="73"/>
        <v>0</v>
      </c>
      <c r="GR81" s="262" t="e">
        <f t="shared" ca="1" si="75"/>
        <v>#N/A</v>
      </c>
      <c r="GS81" s="262" t="e">
        <f t="shared" ca="1" si="18"/>
        <v>#N/A</v>
      </c>
      <c r="GW81" t="e">
        <f t="shared" ca="1" si="139"/>
        <v>#N/A</v>
      </c>
      <c r="GZ81" t="e">
        <f t="shared" ca="1" si="20"/>
        <v>#N/A</v>
      </c>
      <c r="HD81" t="str">
        <f t="shared" ca="1" si="79"/>
        <v/>
      </c>
      <c r="HF81" s="254" t="e">
        <f t="shared" ca="1" si="80"/>
        <v>#N/A</v>
      </c>
      <c r="HM81" s="263" t="e">
        <f t="shared" ca="1" si="81"/>
        <v>#N/A</v>
      </c>
      <c r="HO81" s="272" t="str">
        <f t="shared" ca="1" si="21"/>
        <v/>
      </c>
      <c r="HP81">
        <f t="shared" ca="1" si="82"/>
        <v>0</v>
      </c>
      <c r="HQ81" t="str">
        <f t="shared" ca="1" si="83"/>
        <v/>
      </c>
      <c r="HR81" t="str">
        <f t="shared" ca="1" si="173"/>
        <v/>
      </c>
      <c r="HS81" t="str">
        <f t="shared" ca="1" si="174"/>
        <v/>
      </c>
      <c r="HX81" s="253" t="s">
        <v>187</v>
      </c>
      <c r="HY81" s="112" t="str">
        <f t="shared" si="86"/>
        <v>1/9/2019</v>
      </c>
      <c r="HZ81" t="s">
        <v>188</v>
      </c>
      <c r="IA81" s="112" t="str">
        <f t="shared" si="87"/>
        <v>31/8/2020</v>
      </c>
      <c r="IB81" t="s">
        <v>189</v>
      </c>
      <c r="IC81">
        <f t="shared" si="88"/>
        <v>1</v>
      </c>
      <c r="ID81" t="s">
        <v>192</v>
      </c>
      <c r="IE81">
        <f t="shared" si="89"/>
        <v>0</v>
      </c>
      <c r="IF81" t="s">
        <v>191</v>
      </c>
      <c r="IG81" s="254">
        <f t="shared" si="90"/>
        <v>1</v>
      </c>
      <c r="IL81" t="str">
        <f t="shared" si="91"/>
        <v xml:space="preserve">DAL: 1/9/2019 - AL:31/8/2020 - ANNI:1 - MESI:0 -GIORNI:1
</v>
      </c>
      <c r="KD81">
        <v>0</v>
      </c>
      <c r="KE81" s="260">
        <f t="shared" ca="1" si="92"/>
        <v>100000</v>
      </c>
      <c r="KF81" t="str">
        <f t="shared" si="93"/>
        <v>0-2 anni</v>
      </c>
      <c r="KG81">
        <f t="shared" si="22"/>
        <v>6</v>
      </c>
      <c r="KH81" s="238">
        <f t="shared" ca="1" si="23"/>
        <v>255</v>
      </c>
      <c r="KK81">
        <f t="shared" ca="1" si="94"/>
        <v>16218.89</v>
      </c>
      <c r="KL81" t="e">
        <f t="shared" ca="1" si="171"/>
        <v>#N/A</v>
      </c>
      <c r="KM81" t="e">
        <f t="shared" ca="1" si="171"/>
        <v>#N/A</v>
      </c>
      <c r="KN81" t="e">
        <f t="shared" ca="1" si="171"/>
        <v>#N/A</v>
      </c>
      <c r="KO81" t="e">
        <f t="shared" ca="1" si="171"/>
        <v>#N/A</v>
      </c>
      <c r="KV81" t="e">
        <f t="shared" ca="1" si="25"/>
        <v>#N/A</v>
      </c>
      <c r="LA81" s="254" t="str">
        <f t="shared" si="95"/>
        <v>0-2 anni</v>
      </c>
      <c r="LB81" s="112">
        <f t="shared" si="26"/>
        <v>43709</v>
      </c>
      <c r="LC81" s="112">
        <f t="shared" si="26"/>
        <v>44074</v>
      </c>
      <c r="LD81" t="e">
        <f t="shared" ca="1" si="96"/>
        <v>#N/A</v>
      </c>
      <c r="LE81" s="262" t="e">
        <f t="shared" ca="1" si="97"/>
        <v>#N/A</v>
      </c>
      <c r="LF81">
        <f t="shared" si="98"/>
        <v>366</v>
      </c>
      <c r="LG81" t="e">
        <f t="shared" ca="1" si="99"/>
        <v>#N/A</v>
      </c>
      <c r="LL81" s="112">
        <f ca="1">Foglio7ti!GF82</f>
        <v>100000</v>
      </c>
      <c r="LM81" s="308">
        <f t="shared" ca="1" si="27"/>
        <v>100000</v>
      </c>
      <c r="LN81" s="112"/>
      <c r="LO81">
        <f t="shared" si="100"/>
        <v>43</v>
      </c>
      <c r="LP81" s="308">
        <f t="shared" ca="1" si="28"/>
        <v>100000</v>
      </c>
      <c r="LQ81" s="112"/>
      <c r="LS81" s="263">
        <f t="shared" si="29"/>
        <v>43</v>
      </c>
      <c r="LT81" s="308">
        <f t="shared" ca="1" si="30"/>
        <v>100000</v>
      </c>
      <c r="LW81" s="308">
        <f t="shared" ca="1" si="31"/>
        <v>100000</v>
      </c>
      <c r="LZ81" s="308">
        <f t="shared" ca="1" si="32"/>
        <v>100000</v>
      </c>
      <c r="MC81" s="308">
        <f t="shared" ca="1" si="175"/>
        <v>100000</v>
      </c>
      <c r="MD81" t="str">
        <f t="shared" ca="1" si="177"/>
        <v/>
      </c>
      <c r="ME81" s="338" t="str">
        <f t="shared" ca="1" si="179"/>
        <v/>
      </c>
      <c r="MF81" s="338" t="str">
        <f t="shared" ca="1" si="180"/>
        <v/>
      </c>
      <c r="MG81" s="337" t="str">
        <f t="shared" ca="1" si="181"/>
        <v/>
      </c>
      <c r="MH81" s="338" t="str">
        <f t="shared" ca="1" si="35"/>
        <v/>
      </c>
      <c r="MI81" s="337" t="str">
        <f t="shared" ca="1" si="36"/>
        <v/>
      </c>
      <c r="MJ81" s="337" t="str">
        <f t="shared" ca="1" si="182"/>
        <v/>
      </c>
      <c r="MK81" s="337" t="str">
        <f t="shared" ca="1" si="166"/>
        <v/>
      </c>
      <c r="ML81" s="337" t="str">
        <f ca="1">IF(ME81&lt;&gt;"",VLOOKUP(ME81,Foglio7ti!$GF$40:$GG$92,2),"")</f>
        <v/>
      </c>
      <c r="MM81" s="282" t="str">
        <f t="shared" ca="1" si="38"/>
        <v/>
      </c>
      <c r="MN81" s="282"/>
      <c r="MO81" s="320">
        <f t="shared" si="128"/>
        <v>1</v>
      </c>
      <c r="MP81" s="253" t="str">
        <f t="shared" ca="1" si="39"/>
        <v/>
      </c>
      <c r="MQ81" t="e">
        <f t="shared" ca="1" si="160"/>
        <v>#N/A</v>
      </c>
      <c r="MR81" s="238" t="e">
        <f ca="1">VLOOKUP(ME81,Foglio1ti!AB73:AZ373,13)-MQ81</f>
        <v>#N/A</v>
      </c>
      <c r="MS81" t="e">
        <f t="shared" ca="1" si="40"/>
        <v>#N/A</v>
      </c>
      <c r="MT81" t="e">
        <f t="shared" ca="1" si="41"/>
        <v>#N/A</v>
      </c>
      <c r="MU81" s="238" t="e">
        <f ca="1">VLOOKUP(ME81,Foglio1ti!AB73:AZ373,13)-MT81</f>
        <v>#N/A</v>
      </c>
      <c r="MV81" t="e">
        <f t="shared" ca="1" si="42"/>
        <v>#N/A</v>
      </c>
      <c r="MW81">
        <f t="shared" ca="1" si="140"/>
        <v>0</v>
      </c>
      <c r="MX81">
        <f ca="1">IF(AND(frontti!$H$25="SI",ML81="3-8 anni"),INDIRECT(CONCATENATE($MR$37,"BI",MU81)),0)</f>
        <v>0</v>
      </c>
      <c r="MY81" s="254"/>
    </row>
    <row r="82" spans="1:363" x14ac:dyDescent="0.25">
      <c r="A82" s="112">
        <f t="shared" si="141"/>
        <v>43831</v>
      </c>
      <c r="B82" s="112">
        <f t="shared" si="44"/>
        <v>44197</v>
      </c>
      <c r="E82" s="240">
        <f>Foglio3!F62</f>
        <v>44075</v>
      </c>
      <c r="F82" s="240">
        <f>Foglio3!G62</f>
        <v>44439</v>
      </c>
      <c r="G82" s="244"/>
      <c r="H82" s="245">
        <f t="shared" si="45"/>
        <v>44075</v>
      </c>
      <c r="I82" s="245">
        <f t="shared" si="8"/>
        <v>44439</v>
      </c>
      <c r="J82" s="244"/>
      <c r="K82" s="244"/>
      <c r="Q82">
        <f t="shared" si="9"/>
        <v>365</v>
      </c>
      <c r="R82">
        <f t="shared" si="142"/>
        <v>365</v>
      </c>
      <c r="S82">
        <f t="shared" si="46"/>
        <v>1</v>
      </c>
      <c r="T82">
        <f t="shared" si="129"/>
        <v>0</v>
      </c>
      <c r="U82">
        <f t="shared" si="130"/>
        <v>0</v>
      </c>
      <c r="W82">
        <f t="shared" si="176"/>
        <v>6</v>
      </c>
      <c r="X82">
        <f t="shared" si="176"/>
        <v>153</v>
      </c>
      <c r="Y82">
        <f t="shared" si="176"/>
        <v>352</v>
      </c>
      <c r="AA82" s="112">
        <f t="shared" si="103"/>
        <v>44075</v>
      </c>
      <c r="AB82" s="112">
        <f t="shared" si="104"/>
        <v>44439</v>
      </c>
      <c r="AG82">
        <f t="shared" si="47"/>
        <v>1</v>
      </c>
      <c r="AH82" s="112">
        <f t="shared" si="48"/>
        <v>44075</v>
      </c>
      <c r="AI82" s="112">
        <f t="shared" si="48"/>
        <v>44439</v>
      </c>
      <c r="CX82" s="112">
        <f t="shared" si="56"/>
        <v>100000</v>
      </c>
      <c r="CY82" s="112">
        <f t="shared" si="115"/>
        <v>100000</v>
      </c>
      <c r="CZ82" s="112">
        <f t="shared" si="116"/>
        <v>100000</v>
      </c>
      <c r="DA82" s="112">
        <f t="shared" si="117"/>
        <v>100000</v>
      </c>
      <c r="DB82" s="112">
        <f t="shared" si="118"/>
        <v>100000</v>
      </c>
      <c r="DC82" s="112">
        <f t="shared" si="119"/>
        <v>100000</v>
      </c>
      <c r="DU82" s="112"/>
      <c r="DV82" s="112"/>
      <c r="DW82" s="276"/>
      <c r="DX82" s="276"/>
      <c r="DY82" s="276"/>
      <c r="DZ82" s="276"/>
      <c r="EF82" s="260">
        <f ca="1">IF(DZ43=0,"",DZ43)</f>
        <v>100000</v>
      </c>
      <c r="EK82" s="254"/>
      <c r="EL82">
        <f t="shared" si="165"/>
        <v>43</v>
      </c>
      <c r="EM82" s="260" t="e">
        <f t="shared" ca="1" si="122"/>
        <v>#NUM!</v>
      </c>
      <c r="EN82" s="112" t="e">
        <f t="shared" ca="1" si="63"/>
        <v>#NUM!</v>
      </c>
      <c r="EO82" s="112">
        <f t="shared" ca="1" si="64"/>
        <v>100000</v>
      </c>
      <c r="EP82" s="112">
        <f t="shared" ca="1" si="123"/>
        <v>100000</v>
      </c>
      <c r="EQ82" s="273">
        <f t="shared" ca="1" si="138"/>
        <v>100000</v>
      </c>
      <c r="ER82" s="302">
        <f t="shared" ca="1" si="65"/>
        <v>100000</v>
      </c>
      <c r="EU82" t="e">
        <f t="shared" ca="1" si="66"/>
        <v>#N/A</v>
      </c>
      <c r="EV82" s="260">
        <f t="shared" ca="1" si="124"/>
        <v>100000</v>
      </c>
      <c r="EW82" t="e">
        <f t="shared" ca="1" si="67"/>
        <v>#N/A</v>
      </c>
      <c r="EX82" t="e">
        <f t="shared" ca="1" si="12"/>
        <v>#N/A</v>
      </c>
      <c r="EY82" s="238" t="e">
        <f t="shared" ca="1" si="13"/>
        <v>#N/A</v>
      </c>
      <c r="FB82" t="e">
        <f t="shared" ca="1" si="68"/>
        <v>#N/A</v>
      </c>
      <c r="FC82" t="e">
        <f t="shared" ca="1" si="167"/>
        <v>#N/A</v>
      </c>
      <c r="FD82" t="e">
        <f t="shared" ca="1" si="167"/>
        <v>#N/A</v>
      </c>
      <c r="FE82" t="e">
        <f t="shared" ca="1" si="167"/>
        <v>#N/A</v>
      </c>
      <c r="FF82" t="e">
        <f t="shared" ca="1" si="167"/>
        <v>#N/A</v>
      </c>
      <c r="FM82" t="e">
        <f t="shared" ca="1" si="15"/>
        <v>#N/A</v>
      </c>
      <c r="FR82" s="254" t="e">
        <f t="shared" ca="1" si="69"/>
        <v>#N/A</v>
      </c>
      <c r="FS82">
        <f t="shared" si="125"/>
        <v>82</v>
      </c>
      <c r="FT82" t="e">
        <f t="shared" ca="1" si="184"/>
        <v>#N/A</v>
      </c>
      <c r="FU82" t="str">
        <f t="shared" ca="1" si="183"/>
        <v>EV82</v>
      </c>
      <c r="FV82" t="e">
        <f t="shared" ca="1" si="183"/>
        <v>#N/A</v>
      </c>
      <c r="FW82" t="e">
        <f t="shared" ca="1" si="183"/>
        <v>#N/A</v>
      </c>
      <c r="FX82" t="e">
        <f t="shared" ca="1" si="183"/>
        <v>#N/A</v>
      </c>
      <c r="FY82" t="e">
        <f t="shared" ca="1" si="183"/>
        <v>#N/A</v>
      </c>
      <c r="FZ82" t="e">
        <f t="shared" ca="1" si="183"/>
        <v>#N/A</v>
      </c>
      <c r="GA82" t="str">
        <f t="shared" ca="1" si="183"/>
        <v/>
      </c>
      <c r="GB82" t="e">
        <f t="shared" ca="1" si="183"/>
        <v>#N/A</v>
      </c>
      <c r="GC82" t="str">
        <f t="shared" ca="1" si="183"/>
        <v/>
      </c>
      <c r="GD82" t="str">
        <f t="shared" ca="1" si="183"/>
        <v/>
      </c>
      <c r="GE82">
        <f t="shared" ca="1" si="126"/>
        <v>0</v>
      </c>
      <c r="GF82" s="112">
        <f t="shared" ca="1" si="70"/>
        <v>100000</v>
      </c>
      <c r="GG82" s="112" t="e">
        <f t="shared" ca="1" si="71"/>
        <v>#N/A</v>
      </c>
      <c r="GH82" s="262" t="e">
        <f t="shared" ca="1" si="169"/>
        <v>#N/A</v>
      </c>
      <c r="GI82" s="262" t="e">
        <f t="shared" ca="1" si="169"/>
        <v>#N/A</v>
      </c>
      <c r="GJ82" s="262" t="e">
        <f t="shared" ca="1" si="169"/>
        <v>#N/A</v>
      </c>
      <c r="GK82" s="262" t="e">
        <f t="shared" ca="1" si="169"/>
        <v>#N/A</v>
      </c>
      <c r="GL82" s="262" t="e">
        <f t="shared" ca="1" si="169"/>
        <v>#N/A</v>
      </c>
      <c r="GM82" s="262">
        <f t="shared" ca="1" si="169"/>
        <v>0</v>
      </c>
      <c r="GN82" s="262" t="e">
        <f t="shared" ca="1" si="169"/>
        <v>#N/A</v>
      </c>
      <c r="GO82" s="262">
        <f t="shared" ca="1" si="72"/>
        <v>0</v>
      </c>
      <c r="GP82" s="262">
        <f t="shared" ca="1" si="73"/>
        <v>0</v>
      </c>
      <c r="GR82" s="262" t="e">
        <f t="shared" ca="1" si="75"/>
        <v>#N/A</v>
      </c>
      <c r="GS82" s="262" t="e">
        <f t="shared" ca="1" si="18"/>
        <v>#N/A</v>
      </c>
      <c r="GW82" t="e">
        <f t="shared" ca="1" si="139"/>
        <v>#N/A</v>
      </c>
      <c r="GZ82" t="e">
        <f t="shared" ca="1" si="20"/>
        <v>#N/A</v>
      </c>
      <c r="HD82" t="str">
        <f t="shared" ca="1" si="79"/>
        <v/>
      </c>
      <c r="HF82" s="254" t="e">
        <f t="shared" ca="1" si="80"/>
        <v>#N/A</v>
      </c>
      <c r="HM82" s="263" t="e">
        <f t="shared" ca="1" si="81"/>
        <v>#N/A</v>
      </c>
      <c r="HO82" s="272" t="str">
        <f t="shared" ca="1" si="21"/>
        <v/>
      </c>
      <c r="HP82">
        <f t="shared" ca="1" si="82"/>
        <v>0</v>
      </c>
      <c r="HQ82" t="str">
        <f t="shared" ca="1" si="83"/>
        <v/>
      </c>
      <c r="HR82" t="str">
        <f t="shared" ca="1" si="173"/>
        <v/>
      </c>
      <c r="HS82" t="str">
        <f t="shared" ca="1" si="174"/>
        <v/>
      </c>
      <c r="HX82" s="253" t="s">
        <v>187</v>
      </c>
      <c r="HY82" s="112" t="str">
        <f t="shared" si="86"/>
        <v>1/9/2020</v>
      </c>
      <c r="HZ82" t="s">
        <v>188</v>
      </c>
      <c r="IA82" s="112" t="str">
        <f t="shared" si="87"/>
        <v>31/8/2021</v>
      </c>
      <c r="IB82" t="s">
        <v>189</v>
      </c>
      <c r="IC82">
        <f t="shared" si="88"/>
        <v>1</v>
      </c>
      <c r="ID82" t="s">
        <v>192</v>
      </c>
      <c r="IE82">
        <f t="shared" si="89"/>
        <v>0</v>
      </c>
      <c r="IF82" t="s">
        <v>191</v>
      </c>
      <c r="IG82" s="254">
        <f t="shared" si="90"/>
        <v>0</v>
      </c>
      <c r="IL82" t="str">
        <f t="shared" si="91"/>
        <v xml:space="preserve">DAL: 1/9/2020 - AL:31/8/2021 - ANNI:1 - MESI:0 -GIORNI:0
</v>
      </c>
      <c r="KD82">
        <v>0</v>
      </c>
      <c r="KE82" s="260">
        <f t="shared" ca="1" si="92"/>
        <v>100000</v>
      </c>
      <c r="KF82" t="str">
        <f t="shared" si="93"/>
        <v>0-2 anni</v>
      </c>
      <c r="KG82">
        <f t="shared" si="22"/>
        <v>6</v>
      </c>
      <c r="KH82" s="238">
        <f t="shared" ca="1" si="23"/>
        <v>255</v>
      </c>
      <c r="KK82">
        <f t="shared" ca="1" si="94"/>
        <v>16218.89</v>
      </c>
      <c r="KL82" t="e">
        <f t="shared" ca="1" si="171"/>
        <v>#N/A</v>
      </c>
      <c r="KM82" t="e">
        <f t="shared" ca="1" si="171"/>
        <v>#N/A</v>
      </c>
      <c r="KN82" t="e">
        <f t="shared" ca="1" si="171"/>
        <v>#N/A</v>
      </c>
      <c r="KO82" t="e">
        <f t="shared" ca="1" si="171"/>
        <v>#N/A</v>
      </c>
      <c r="KV82" t="e">
        <f t="shared" ca="1" si="25"/>
        <v>#N/A</v>
      </c>
      <c r="LA82" s="254" t="str">
        <f t="shared" si="95"/>
        <v>0-2 anni</v>
      </c>
      <c r="LB82" s="112">
        <f t="shared" si="26"/>
        <v>44075</v>
      </c>
      <c r="LC82" s="112">
        <f t="shared" si="26"/>
        <v>44439</v>
      </c>
      <c r="LD82" t="e">
        <f t="shared" ca="1" si="96"/>
        <v>#N/A</v>
      </c>
      <c r="LE82" s="262" t="e">
        <f t="shared" ca="1" si="97"/>
        <v>#N/A</v>
      </c>
      <c r="LF82">
        <f t="shared" si="98"/>
        <v>365</v>
      </c>
      <c r="LG82" t="e">
        <f t="shared" ca="1" si="99"/>
        <v>#N/A</v>
      </c>
      <c r="LL82" s="112">
        <f ca="1">Foglio7ti!GF83</f>
        <v>100000</v>
      </c>
      <c r="LM82" s="308">
        <f t="shared" ca="1" si="27"/>
        <v>100000</v>
      </c>
      <c r="LN82" s="112"/>
      <c r="LO82">
        <f t="shared" si="100"/>
        <v>44</v>
      </c>
      <c r="LP82" s="308">
        <f t="shared" ca="1" si="28"/>
        <v>100000</v>
      </c>
      <c r="LQ82" s="112"/>
      <c r="LS82" s="263">
        <f t="shared" si="29"/>
        <v>44</v>
      </c>
      <c r="LT82" s="308">
        <f t="shared" ca="1" si="30"/>
        <v>100000</v>
      </c>
      <c r="LW82" s="308">
        <f t="shared" ca="1" si="31"/>
        <v>100000</v>
      </c>
      <c r="LZ82" s="308">
        <f t="shared" ca="1" si="32"/>
        <v>100000</v>
      </c>
      <c r="MC82" s="308">
        <f t="shared" ca="1" si="175"/>
        <v>100000</v>
      </c>
      <c r="MD82" t="str">
        <f t="shared" ca="1" si="177"/>
        <v/>
      </c>
      <c r="ME82" s="338" t="str">
        <f t="shared" ca="1" si="179"/>
        <v/>
      </c>
      <c r="MF82" s="338" t="str">
        <f t="shared" ca="1" si="180"/>
        <v/>
      </c>
      <c r="MG82" s="337" t="str">
        <f t="shared" ca="1" si="181"/>
        <v/>
      </c>
      <c r="MH82" s="338" t="str">
        <f t="shared" ca="1" si="35"/>
        <v/>
      </c>
      <c r="MI82" s="337" t="str">
        <f t="shared" ca="1" si="36"/>
        <v/>
      </c>
      <c r="MJ82" s="337" t="str">
        <f t="shared" ca="1" si="182"/>
        <v/>
      </c>
      <c r="MK82" s="337" t="str">
        <f t="shared" ca="1" si="166"/>
        <v/>
      </c>
      <c r="ML82" s="337" t="str">
        <f ca="1">IF(ME82&lt;&gt;"",VLOOKUP(ME82,Foglio7ti!$GF$40:$GG$92,2),"")</f>
        <v/>
      </c>
      <c r="MM82" s="282" t="str">
        <f t="shared" ca="1" si="38"/>
        <v/>
      </c>
      <c r="MN82" s="282"/>
      <c r="MO82" s="320">
        <f t="shared" si="128"/>
        <v>1</v>
      </c>
      <c r="MP82" s="253" t="str">
        <f t="shared" ca="1" si="39"/>
        <v/>
      </c>
      <c r="MQ82" t="e">
        <f t="shared" ca="1" si="160"/>
        <v>#N/A</v>
      </c>
      <c r="MR82" s="238" t="e">
        <f ca="1">VLOOKUP(ME82,Foglio1ti!AB74:AZ374,13)-MQ82</f>
        <v>#N/A</v>
      </c>
      <c r="MS82" t="e">
        <f t="shared" ca="1" si="40"/>
        <v>#N/A</v>
      </c>
      <c r="MT82" t="e">
        <f t="shared" ca="1" si="41"/>
        <v>#N/A</v>
      </c>
      <c r="MU82" s="238" t="e">
        <f ca="1">VLOOKUP(ME82,Foglio1ti!AB74:AZ374,13)-MT82</f>
        <v>#N/A</v>
      </c>
      <c r="MV82" t="e">
        <f t="shared" ca="1" si="42"/>
        <v>#N/A</v>
      </c>
      <c r="MW82">
        <f t="shared" ca="1" si="140"/>
        <v>0</v>
      </c>
      <c r="MX82">
        <f ca="1">IF(AND(frontti!$H$25="SI",ML82="3-8 anni"),INDIRECT(CONCATENATE($MR$37,"BI",MU82)),0)</f>
        <v>0</v>
      </c>
      <c r="MY82" s="254"/>
    </row>
    <row r="83" spans="1:363" x14ac:dyDescent="0.25">
      <c r="A83" s="112">
        <f t="shared" si="141"/>
        <v>44652</v>
      </c>
      <c r="B83" s="112">
        <f t="shared" si="44"/>
        <v>44743</v>
      </c>
      <c r="E83" s="240">
        <f>Foglio3!F63</f>
        <v>44440</v>
      </c>
      <c r="F83" s="240">
        <f>Foglio3!G63</f>
        <v>44804</v>
      </c>
      <c r="G83" s="244"/>
      <c r="H83" s="245">
        <f t="shared" si="45"/>
        <v>44440</v>
      </c>
      <c r="I83" s="245">
        <f t="shared" si="8"/>
        <v>44804</v>
      </c>
      <c r="J83" s="244"/>
      <c r="K83" s="244"/>
      <c r="Q83">
        <f t="shared" si="9"/>
        <v>365</v>
      </c>
      <c r="R83">
        <f t="shared" si="142"/>
        <v>365</v>
      </c>
      <c r="S83">
        <f t="shared" si="46"/>
        <v>1</v>
      </c>
      <c r="T83">
        <f t="shared" si="129"/>
        <v>0</v>
      </c>
      <c r="U83">
        <f t="shared" si="130"/>
        <v>0</v>
      </c>
      <c r="W83">
        <f t="shared" si="176"/>
        <v>7</v>
      </c>
      <c r="X83">
        <f t="shared" si="176"/>
        <v>153</v>
      </c>
      <c r="Y83">
        <f t="shared" si="176"/>
        <v>352</v>
      </c>
      <c r="AA83" s="112">
        <f t="shared" si="103"/>
        <v>44440</v>
      </c>
      <c r="AB83" s="112">
        <f t="shared" si="104"/>
        <v>44804</v>
      </c>
      <c r="AG83">
        <f t="shared" si="47"/>
        <v>1</v>
      </c>
      <c r="AH83" s="112">
        <f t="shared" si="48"/>
        <v>44440</v>
      </c>
      <c r="AI83" s="112">
        <f t="shared" si="48"/>
        <v>44804</v>
      </c>
      <c r="CX83" s="112">
        <f t="shared" si="56"/>
        <v>100000</v>
      </c>
      <c r="CY83" s="112">
        <f t="shared" si="115"/>
        <v>100000</v>
      </c>
      <c r="CZ83" s="112">
        <f t="shared" si="116"/>
        <v>100000</v>
      </c>
      <c r="DA83" s="112">
        <f t="shared" si="117"/>
        <v>100000</v>
      </c>
      <c r="DB83" s="112">
        <f t="shared" si="118"/>
        <v>100000</v>
      </c>
      <c r="DC83" s="112">
        <f t="shared" si="119"/>
        <v>100000</v>
      </c>
      <c r="DU83" s="112"/>
      <c r="DV83" s="112"/>
      <c r="DW83" s="276"/>
      <c r="DX83" s="276"/>
      <c r="DY83" s="276"/>
      <c r="DZ83" s="276"/>
      <c r="EF83" s="260">
        <f>IF(DW73&gt;=$EJ$39,DW73,"")</f>
        <v>44926</v>
      </c>
      <c r="EK83" s="254"/>
      <c r="EL83">
        <f t="shared" si="165"/>
        <v>44</v>
      </c>
      <c r="EM83" s="260" t="e">
        <f t="shared" ca="1" si="122"/>
        <v>#NUM!</v>
      </c>
      <c r="EN83" s="112" t="e">
        <f t="shared" ca="1" si="63"/>
        <v>#NUM!</v>
      </c>
      <c r="EO83" s="112">
        <f t="shared" ca="1" si="64"/>
        <v>100000</v>
      </c>
      <c r="EP83" s="112">
        <f t="shared" ca="1" si="123"/>
        <v>100000</v>
      </c>
      <c r="EQ83" s="273">
        <f t="shared" ca="1" si="138"/>
        <v>100000</v>
      </c>
      <c r="ER83" s="302">
        <f t="shared" ca="1" si="65"/>
        <v>100000</v>
      </c>
      <c r="EU83" t="e">
        <f t="shared" ca="1" si="66"/>
        <v>#N/A</v>
      </c>
      <c r="EV83" s="260">
        <f t="shared" ca="1" si="124"/>
        <v>100000</v>
      </c>
      <c r="EW83" t="e">
        <f t="shared" ca="1" si="67"/>
        <v>#N/A</v>
      </c>
      <c r="EX83" t="e">
        <f t="shared" ca="1" si="12"/>
        <v>#N/A</v>
      </c>
      <c r="EY83" s="238" t="e">
        <f t="shared" ca="1" si="13"/>
        <v>#N/A</v>
      </c>
      <c r="FB83" t="e">
        <f t="shared" ca="1" si="68"/>
        <v>#N/A</v>
      </c>
      <c r="FC83" t="e">
        <f t="shared" ca="1" si="167"/>
        <v>#N/A</v>
      </c>
      <c r="FD83" t="e">
        <f t="shared" ca="1" si="167"/>
        <v>#N/A</v>
      </c>
      <c r="FE83" t="e">
        <f t="shared" ca="1" si="167"/>
        <v>#N/A</v>
      </c>
      <c r="FF83" t="e">
        <f t="shared" ca="1" si="167"/>
        <v>#N/A</v>
      </c>
      <c r="FM83" t="e">
        <f t="shared" ca="1" si="15"/>
        <v>#N/A</v>
      </c>
      <c r="FR83" s="254" t="e">
        <f t="shared" ca="1" si="69"/>
        <v>#N/A</v>
      </c>
      <c r="FS83">
        <f t="shared" si="125"/>
        <v>83</v>
      </c>
      <c r="FT83" t="e">
        <f t="shared" ca="1" si="184"/>
        <v>#N/A</v>
      </c>
      <c r="FU83" t="str">
        <f t="shared" ca="1" si="183"/>
        <v>EV83</v>
      </c>
      <c r="FV83" t="e">
        <f t="shared" ca="1" si="183"/>
        <v>#N/A</v>
      </c>
      <c r="FW83" t="e">
        <f t="shared" ca="1" si="183"/>
        <v>#N/A</v>
      </c>
      <c r="FX83" t="e">
        <f t="shared" ca="1" si="183"/>
        <v>#N/A</v>
      </c>
      <c r="FY83" t="e">
        <f t="shared" ca="1" si="183"/>
        <v>#N/A</v>
      </c>
      <c r="FZ83" t="e">
        <f t="shared" ca="1" si="183"/>
        <v>#N/A</v>
      </c>
      <c r="GA83" t="str">
        <f t="shared" ca="1" si="183"/>
        <v/>
      </c>
      <c r="GB83" t="e">
        <f t="shared" ca="1" si="183"/>
        <v>#N/A</v>
      </c>
      <c r="GC83" t="str">
        <f t="shared" ca="1" si="183"/>
        <v/>
      </c>
      <c r="GD83" t="str">
        <f t="shared" ca="1" si="183"/>
        <v/>
      </c>
      <c r="GE83">
        <f t="shared" ca="1" si="126"/>
        <v>0</v>
      </c>
      <c r="GF83" s="112">
        <f t="shared" ca="1" si="70"/>
        <v>100000</v>
      </c>
      <c r="GG83" s="112" t="e">
        <f t="shared" ca="1" si="71"/>
        <v>#N/A</v>
      </c>
      <c r="GH83" s="262" t="e">
        <f t="shared" ca="1" si="169"/>
        <v>#N/A</v>
      </c>
      <c r="GI83" s="262" t="e">
        <f t="shared" ca="1" si="169"/>
        <v>#N/A</v>
      </c>
      <c r="GJ83" s="262" t="e">
        <f t="shared" ca="1" si="169"/>
        <v>#N/A</v>
      </c>
      <c r="GK83" s="262" t="e">
        <f t="shared" ca="1" si="169"/>
        <v>#N/A</v>
      </c>
      <c r="GL83" s="262" t="e">
        <f t="shared" ca="1" si="169"/>
        <v>#N/A</v>
      </c>
      <c r="GM83" s="262">
        <f t="shared" ca="1" si="169"/>
        <v>0</v>
      </c>
      <c r="GN83" s="262" t="e">
        <f t="shared" ca="1" si="169"/>
        <v>#N/A</v>
      </c>
      <c r="GO83" s="262">
        <f t="shared" ca="1" si="72"/>
        <v>0</v>
      </c>
      <c r="GP83" s="262">
        <f t="shared" ca="1" si="73"/>
        <v>0</v>
      </c>
      <c r="GR83" s="262" t="e">
        <f t="shared" ca="1" si="75"/>
        <v>#N/A</v>
      </c>
      <c r="GS83" s="262" t="e">
        <f t="shared" ca="1" si="18"/>
        <v>#N/A</v>
      </c>
      <c r="GW83" t="e">
        <f t="shared" ca="1" si="139"/>
        <v>#N/A</v>
      </c>
      <c r="GZ83" t="e">
        <f t="shared" ca="1" si="20"/>
        <v>#N/A</v>
      </c>
      <c r="HD83" t="str">
        <f t="shared" ca="1" si="79"/>
        <v/>
      </c>
      <c r="HF83" s="254" t="e">
        <f t="shared" ca="1" si="80"/>
        <v>#N/A</v>
      </c>
      <c r="HO83" s="111" t="str">
        <f t="shared" ca="1" si="21"/>
        <v/>
      </c>
      <c r="HP83">
        <f t="shared" ca="1" si="82"/>
        <v>0</v>
      </c>
      <c r="HQ83" t="str">
        <f t="shared" ca="1" si="83"/>
        <v/>
      </c>
      <c r="HR83" t="str">
        <f t="shared" ca="1" si="173"/>
        <v/>
      </c>
      <c r="HS83" t="str">
        <f t="shared" ca="1" si="174"/>
        <v/>
      </c>
      <c r="HX83" s="253" t="s">
        <v>187</v>
      </c>
      <c r="HY83" s="112" t="str">
        <f t="shared" si="86"/>
        <v>1/9/2021</v>
      </c>
      <c r="HZ83" t="s">
        <v>188</v>
      </c>
      <c r="IA83" s="112" t="str">
        <f t="shared" si="87"/>
        <v>31/8/2022</v>
      </c>
      <c r="IB83" t="s">
        <v>189</v>
      </c>
      <c r="IC83">
        <f t="shared" si="88"/>
        <v>1</v>
      </c>
      <c r="ID83" t="s">
        <v>192</v>
      </c>
      <c r="IE83">
        <f t="shared" si="89"/>
        <v>0</v>
      </c>
      <c r="IF83" t="s">
        <v>191</v>
      </c>
      <c r="IG83" s="254">
        <f t="shared" si="90"/>
        <v>0</v>
      </c>
      <c r="IL83" t="str">
        <f t="shared" si="91"/>
        <v xml:space="preserve">DAL: 1/9/2021 - AL:31/8/2022 - ANNI:1 - MESI:0 -GIORNI:0
</v>
      </c>
      <c r="KD83">
        <v>0</v>
      </c>
      <c r="KE83" s="260">
        <f t="shared" ca="1" si="92"/>
        <v>100000</v>
      </c>
      <c r="KF83" t="str">
        <f t="shared" si="93"/>
        <v>0-2 anni</v>
      </c>
      <c r="KG83">
        <f t="shared" si="22"/>
        <v>6</v>
      </c>
      <c r="KH83" s="238">
        <f t="shared" ca="1" si="23"/>
        <v>255</v>
      </c>
      <c r="KK83">
        <f t="shared" ca="1" si="94"/>
        <v>16218.89</v>
      </c>
      <c r="KL83" t="e">
        <f t="shared" ca="1" si="171"/>
        <v>#N/A</v>
      </c>
      <c r="KM83" t="e">
        <f t="shared" ca="1" si="171"/>
        <v>#N/A</v>
      </c>
      <c r="KN83" t="e">
        <f t="shared" ca="1" si="171"/>
        <v>#N/A</v>
      </c>
      <c r="KO83" t="e">
        <f t="shared" ca="1" si="171"/>
        <v>#N/A</v>
      </c>
      <c r="KV83" t="e">
        <f t="shared" ca="1" si="25"/>
        <v>#N/A</v>
      </c>
      <c r="LA83" s="254" t="str">
        <f t="shared" si="95"/>
        <v>0-2 anni</v>
      </c>
      <c r="LB83" s="112">
        <f t="shared" si="26"/>
        <v>44440</v>
      </c>
      <c r="LC83" s="112">
        <f t="shared" si="26"/>
        <v>44804</v>
      </c>
      <c r="LD83" t="e">
        <f t="shared" ca="1" si="96"/>
        <v>#N/A</v>
      </c>
      <c r="LE83" s="262" t="e">
        <f t="shared" ca="1" si="97"/>
        <v>#N/A</v>
      </c>
      <c r="LF83">
        <f t="shared" si="98"/>
        <v>365</v>
      </c>
      <c r="LG83" t="e">
        <f t="shared" ca="1" si="99"/>
        <v>#N/A</v>
      </c>
      <c r="LL83" s="112">
        <f ca="1">Foglio7ti!GF84</f>
        <v>100000</v>
      </c>
      <c r="LM83" s="308">
        <f t="shared" ca="1" si="27"/>
        <v>100000</v>
      </c>
      <c r="LN83" s="112"/>
      <c r="LO83">
        <f t="shared" si="100"/>
        <v>45</v>
      </c>
      <c r="LP83" s="308">
        <f t="shared" ca="1" si="28"/>
        <v>100000</v>
      </c>
      <c r="LQ83" s="112"/>
      <c r="LS83" s="263">
        <f t="shared" si="29"/>
        <v>45</v>
      </c>
      <c r="LT83" s="308">
        <f t="shared" ca="1" si="30"/>
        <v>100000</v>
      </c>
      <c r="LW83" s="308">
        <f t="shared" ca="1" si="31"/>
        <v>100000</v>
      </c>
      <c r="LZ83" s="308">
        <f t="shared" ca="1" si="32"/>
        <v>100000</v>
      </c>
      <c r="MC83" s="308">
        <f t="shared" ca="1" si="175"/>
        <v>100000</v>
      </c>
      <c r="MD83" t="str">
        <f t="shared" ca="1" si="177"/>
        <v/>
      </c>
      <c r="ME83" s="338" t="str">
        <f t="shared" ca="1" si="179"/>
        <v/>
      </c>
      <c r="MF83" s="338" t="str">
        <f t="shared" ca="1" si="180"/>
        <v/>
      </c>
      <c r="MG83" s="337" t="str">
        <f t="shared" ca="1" si="181"/>
        <v/>
      </c>
      <c r="MH83" s="338" t="str">
        <f t="shared" ca="1" si="35"/>
        <v/>
      </c>
      <c r="MI83" s="337" t="str">
        <f t="shared" ca="1" si="36"/>
        <v/>
      </c>
      <c r="MJ83" s="337" t="str">
        <f t="shared" ca="1" si="182"/>
        <v/>
      </c>
      <c r="MK83" s="337" t="str">
        <f t="shared" ca="1" si="166"/>
        <v/>
      </c>
      <c r="ML83" s="337" t="str">
        <f ca="1">IF(ME83&lt;&gt;"",VLOOKUP(ME83,Foglio7ti!$GF$40:$GG$92,2),"")</f>
        <v/>
      </c>
      <c r="MM83" s="282" t="str">
        <f t="shared" ca="1" si="38"/>
        <v/>
      </c>
      <c r="MN83" s="282"/>
      <c r="MO83" s="320">
        <f t="shared" si="128"/>
        <v>1</v>
      </c>
      <c r="MP83" s="253" t="str">
        <f t="shared" ca="1" si="39"/>
        <v/>
      </c>
      <c r="MQ83" t="e">
        <f t="shared" ca="1" si="160"/>
        <v>#N/A</v>
      </c>
      <c r="MR83" s="238" t="e">
        <f ca="1">VLOOKUP(ME83,Foglio1ti!AB75:AZ375,13)-MQ83</f>
        <v>#N/A</v>
      </c>
      <c r="MS83" t="e">
        <f t="shared" ca="1" si="40"/>
        <v>#N/A</v>
      </c>
      <c r="MT83" t="e">
        <f t="shared" ca="1" si="41"/>
        <v>#N/A</v>
      </c>
      <c r="MU83" s="238" t="e">
        <f ca="1">VLOOKUP(ME83,Foglio1ti!AB75:AZ375,13)-MT83</f>
        <v>#N/A</v>
      </c>
      <c r="MV83" t="e">
        <f t="shared" ca="1" si="42"/>
        <v>#N/A</v>
      </c>
      <c r="MW83">
        <f t="shared" ca="1" si="140"/>
        <v>0</v>
      </c>
      <c r="MX83">
        <f ca="1">IF(AND(frontti!$H$25="SI",ML83="3-8 anni"),INDIRECT(CONCATENATE($MR$37,"BI",MU83)),0)</f>
        <v>0</v>
      </c>
      <c r="MY83" s="254"/>
    </row>
    <row r="84" spans="1:363" x14ac:dyDescent="0.25">
      <c r="A84" s="112" t="e">
        <f t="shared" si="141"/>
        <v>#N/A</v>
      </c>
      <c r="B84" s="112" t="e">
        <f t="shared" si="44"/>
        <v>#N/A</v>
      </c>
      <c r="E84" s="240" t="str">
        <f>Foglio3!F64</f>
        <v/>
      </c>
      <c r="F84" s="240" t="str">
        <f>Foglio3!G64</f>
        <v/>
      </c>
      <c r="G84" s="244"/>
      <c r="H84" s="245" t="e">
        <f t="shared" si="45"/>
        <v>#VALUE!</v>
      </c>
      <c r="I84" s="245" t="e">
        <f t="shared" si="8"/>
        <v>#VALUE!</v>
      </c>
      <c r="J84" s="244"/>
      <c r="K84" s="244"/>
      <c r="Q84" t="e">
        <f t="shared" si="9"/>
        <v>#VALUE!</v>
      </c>
      <c r="R84" t="e">
        <f t="shared" si="142"/>
        <v>#VALUE!</v>
      </c>
      <c r="S84" t="e">
        <f t="shared" si="46"/>
        <v>#VALUE!</v>
      </c>
      <c r="T84" t="e">
        <f t="shared" si="129"/>
        <v>#VALUE!</v>
      </c>
      <c r="U84" t="e">
        <f t="shared" si="130"/>
        <v>#VALUE!</v>
      </c>
      <c r="W84" t="e">
        <f t="shared" si="176"/>
        <v>#VALUE!</v>
      </c>
      <c r="X84" t="e">
        <f t="shared" si="176"/>
        <v>#VALUE!</v>
      </c>
      <c r="Y84" t="e">
        <f t="shared" si="176"/>
        <v>#VALUE!</v>
      </c>
      <c r="AA84" s="112" t="e">
        <f t="shared" si="103"/>
        <v>#VALUE!</v>
      </c>
      <c r="AB84" s="112" t="e">
        <f t="shared" si="104"/>
        <v>#VALUE!</v>
      </c>
      <c r="AG84" t="e">
        <f t="shared" si="47"/>
        <v>#VALUE!</v>
      </c>
      <c r="AH84" s="112" t="e">
        <f t="shared" si="48"/>
        <v>#VALUE!</v>
      </c>
      <c r="AI84" s="112" t="e">
        <f t="shared" si="48"/>
        <v>#VALUE!</v>
      </c>
      <c r="CX84" s="112">
        <f t="shared" si="56"/>
        <v>100000</v>
      </c>
      <c r="CY84" s="112">
        <f t="shared" si="115"/>
        <v>100000</v>
      </c>
      <c r="CZ84" s="112">
        <f t="shared" si="116"/>
        <v>100000</v>
      </c>
      <c r="DA84" s="112">
        <f t="shared" si="117"/>
        <v>100000</v>
      </c>
      <c r="DB84" s="112">
        <f t="shared" si="118"/>
        <v>100000</v>
      </c>
      <c r="DC84" s="112">
        <f t="shared" si="119"/>
        <v>100000</v>
      </c>
      <c r="DU84" s="112"/>
      <c r="DV84" s="112"/>
      <c r="DW84" s="276"/>
      <c r="DX84" s="276"/>
      <c r="DY84" s="276"/>
      <c r="DZ84" s="276"/>
      <c r="EF84" s="260" t="str">
        <f>IF(DW74&gt;=$EJ$39,DW74,"")</f>
        <v/>
      </c>
      <c r="EK84" s="254"/>
      <c r="EL84">
        <f t="shared" si="165"/>
        <v>45</v>
      </c>
      <c r="EM84" s="260" t="e">
        <f t="shared" ca="1" si="122"/>
        <v>#NUM!</v>
      </c>
      <c r="EN84" s="112" t="e">
        <f t="shared" ca="1" si="63"/>
        <v>#NUM!</v>
      </c>
      <c r="EO84" s="112">
        <f t="shared" ca="1" si="64"/>
        <v>100000</v>
      </c>
      <c r="EP84" s="112">
        <f t="shared" ca="1" si="123"/>
        <v>100000</v>
      </c>
      <c r="EQ84" s="273">
        <f t="shared" ca="1" si="138"/>
        <v>100000</v>
      </c>
      <c r="ER84" s="302">
        <f t="shared" ca="1" si="65"/>
        <v>100000</v>
      </c>
      <c r="EU84" t="e">
        <f t="shared" ca="1" si="66"/>
        <v>#N/A</v>
      </c>
      <c r="EV84" s="260">
        <f t="shared" ca="1" si="124"/>
        <v>100000</v>
      </c>
      <c r="EW84" t="e">
        <f t="shared" ca="1" si="67"/>
        <v>#N/A</v>
      </c>
      <c r="EX84" t="e">
        <f t="shared" ca="1" si="12"/>
        <v>#N/A</v>
      </c>
      <c r="EY84" s="238" t="e">
        <f t="shared" ca="1" si="13"/>
        <v>#N/A</v>
      </c>
      <c r="FB84" t="e">
        <f t="shared" ca="1" si="68"/>
        <v>#N/A</v>
      </c>
      <c r="FC84" t="e">
        <f t="shared" ca="1" si="167"/>
        <v>#N/A</v>
      </c>
      <c r="FD84" t="e">
        <f t="shared" ca="1" si="167"/>
        <v>#N/A</v>
      </c>
      <c r="FE84" t="e">
        <f t="shared" ca="1" si="167"/>
        <v>#N/A</v>
      </c>
      <c r="FF84" t="e">
        <f t="shared" ca="1" si="167"/>
        <v>#N/A</v>
      </c>
      <c r="FM84" t="e">
        <f t="shared" ca="1" si="15"/>
        <v>#N/A</v>
      </c>
      <c r="FR84" s="254" t="e">
        <f t="shared" ca="1" si="69"/>
        <v>#N/A</v>
      </c>
      <c r="FS84">
        <f t="shared" si="125"/>
        <v>84</v>
      </c>
      <c r="FT84" t="e">
        <f t="shared" ca="1" si="184"/>
        <v>#N/A</v>
      </c>
      <c r="FU84" t="str">
        <f t="shared" ca="1" si="183"/>
        <v>EV84</v>
      </c>
      <c r="FV84" t="e">
        <f t="shared" ca="1" si="183"/>
        <v>#N/A</v>
      </c>
      <c r="FW84" t="e">
        <f t="shared" ca="1" si="183"/>
        <v>#N/A</v>
      </c>
      <c r="FX84" t="e">
        <f t="shared" ca="1" si="183"/>
        <v>#N/A</v>
      </c>
      <c r="FY84" t="e">
        <f t="shared" ca="1" si="183"/>
        <v>#N/A</v>
      </c>
      <c r="FZ84" t="e">
        <f t="shared" ca="1" si="183"/>
        <v>#N/A</v>
      </c>
      <c r="GA84" t="str">
        <f t="shared" ca="1" si="183"/>
        <v/>
      </c>
      <c r="GB84" t="e">
        <f t="shared" ca="1" si="183"/>
        <v>#N/A</v>
      </c>
      <c r="GC84" t="str">
        <f t="shared" ca="1" si="183"/>
        <v/>
      </c>
      <c r="GD84" t="str">
        <f t="shared" ca="1" si="183"/>
        <v/>
      </c>
      <c r="GE84">
        <f t="shared" ca="1" si="126"/>
        <v>0</v>
      </c>
      <c r="GF84" s="112">
        <f t="shared" ca="1" si="70"/>
        <v>100000</v>
      </c>
      <c r="GG84" s="112" t="e">
        <f t="shared" ca="1" si="71"/>
        <v>#N/A</v>
      </c>
      <c r="GH84" s="262" t="e">
        <f t="shared" ca="1" si="169"/>
        <v>#N/A</v>
      </c>
      <c r="GI84" s="262" t="e">
        <f t="shared" ca="1" si="169"/>
        <v>#N/A</v>
      </c>
      <c r="GJ84" s="262" t="e">
        <f t="shared" ca="1" si="169"/>
        <v>#N/A</v>
      </c>
      <c r="GK84" s="262" t="e">
        <f t="shared" ca="1" si="169"/>
        <v>#N/A</v>
      </c>
      <c r="GL84" s="262" t="e">
        <f t="shared" ca="1" si="169"/>
        <v>#N/A</v>
      </c>
      <c r="GM84" s="262">
        <f t="shared" ca="1" si="169"/>
        <v>0</v>
      </c>
      <c r="GN84" s="262" t="e">
        <f t="shared" ca="1" si="169"/>
        <v>#N/A</v>
      </c>
      <c r="GO84" s="262">
        <f t="shared" ca="1" si="72"/>
        <v>0</v>
      </c>
      <c r="GP84" s="262">
        <f t="shared" ca="1" si="73"/>
        <v>0</v>
      </c>
      <c r="GR84" s="262" t="e">
        <f t="shared" ca="1" si="75"/>
        <v>#N/A</v>
      </c>
      <c r="GS84" s="262" t="e">
        <f t="shared" ca="1" si="18"/>
        <v>#N/A</v>
      </c>
      <c r="GW84" t="e">
        <f t="shared" ca="1" si="139"/>
        <v>#N/A</v>
      </c>
      <c r="GZ84" t="e">
        <f t="shared" ca="1" si="20"/>
        <v>#N/A</v>
      </c>
      <c r="HD84" t="str">
        <f t="shared" ca="1" si="79"/>
        <v/>
      </c>
      <c r="HO84" s="111" t="str">
        <f t="shared" ca="1" si="21"/>
        <v/>
      </c>
      <c r="HP84">
        <f t="shared" ca="1" si="82"/>
        <v>0</v>
      </c>
      <c r="HQ84" t="str">
        <f t="shared" ca="1" si="83"/>
        <v/>
      </c>
      <c r="HR84" t="str">
        <f t="shared" ca="1" si="173"/>
        <v/>
      </c>
      <c r="HS84" t="str">
        <f t="shared" ca="1" si="174"/>
        <v/>
      </c>
      <c r="HX84" s="253" t="s">
        <v>187</v>
      </c>
      <c r="HY84" s="112" t="e">
        <f t="shared" si="86"/>
        <v>#VALUE!</v>
      </c>
      <c r="HZ84" t="s">
        <v>188</v>
      </c>
      <c r="IA84" s="112" t="e">
        <f t="shared" si="87"/>
        <v>#VALUE!</v>
      </c>
      <c r="IB84" t="s">
        <v>189</v>
      </c>
      <c r="IC84" t="e">
        <f t="shared" si="88"/>
        <v>#VALUE!</v>
      </c>
      <c r="ID84" t="s">
        <v>192</v>
      </c>
      <c r="IE84" t="e">
        <f t="shared" si="89"/>
        <v>#VALUE!</v>
      </c>
      <c r="IF84" t="s">
        <v>191</v>
      </c>
      <c r="IG84" s="254" t="e">
        <f t="shared" si="90"/>
        <v>#VALUE!</v>
      </c>
      <c r="IL84" t="e">
        <f t="shared" si="91"/>
        <v>#VALUE!</v>
      </c>
      <c r="KD84">
        <v>0</v>
      </c>
      <c r="KE84" s="260">
        <f t="shared" ca="1" si="92"/>
        <v>100000</v>
      </c>
      <c r="KF84" t="str">
        <f t="shared" si="93"/>
        <v>0-2 anni</v>
      </c>
      <c r="KG84">
        <f t="shared" si="22"/>
        <v>6</v>
      </c>
      <c r="KH84" s="238">
        <f t="shared" ca="1" si="23"/>
        <v>255</v>
      </c>
      <c r="KK84">
        <f t="shared" ca="1" si="94"/>
        <v>16218.89</v>
      </c>
      <c r="KL84" t="e">
        <f t="shared" ca="1" si="171"/>
        <v>#N/A</v>
      </c>
      <c r="KM84" t="e">
        <f t="shared" ca="1" si="171"/>
        <v>#N/A</v>
      </c>
      <c r="KN84" t="e">
        <f t="shared" ca="1" si="171"/>
        <v>#N/A</v>
      </c>
      <c r="KO84" t="e">
        <f t="shared" ca="1" si="171"/>
        <v>#N/A</v>
      </c>
      <c r="KV84" t="e">
        <f t="shared" ca="1" si="25"/>
        <v>#N/A</v>
      </c>
      <c r="LA84" s="254" t="str">
        <f t="shared" si="95"/>
        <v>0-2 anni</v>
      </c>
      <c r="LB84" s="112" t="str">
        <f t="shared" si="26"/>
        <v/>
      </c>
      <c r="LC84" s="112" t="str">
        <f t="shared" si="26"/>
        <v/>
      </c>
      <c r="LD84" t="e">
        <f t="shared" ca="1" si="96"/>
        <v>#N/A</v>
      </c>
      <c r="LE84" s="262" t="e">
        <f t="shared" ca="1" si="97"/>
        <v>#N/A</v>
      </c>
      <c r="LF84" t="e">
        <f t="shared" si="98"/>
        <v>#VALUE!</v>
      </c>
      <c r="LG84" t="e">
        <f t="shared" ca="1" si="99"/>
        <v>#N/A</v>
      </c>
      <c r="LL84" s="112">
        <f>Foglio7ti!GF85</f>
        <v>0</v>
      </c>
      <c r="LM84" s="308">
        <f t="shared" si="27"/>
        <v>100000</v>
      </c>
      <c r="LN84" s="112"/>
      <c r="LO84">
        <f t="shared" si="100"/>
        <v>46</v>
      </c>
      <c r="LP84" s="308">
        <f t="shared" ca="1" si="28"/>
        <v>100000</v>
      </c>
      <c r="LQ84" s="112"/>
      <c r="LS84" s="263">
        <f t="shared" si="29"/>
        <v>46</v>
      </c>
      <c r="LT84" s="308">
        <f t="shared" ca="1" si="30"/>
        <v>100000</v>
      </c>
      <c r="LW84" s="308">
        <f t="shared" ca="1" si="31"/>
        <v>100000</v>
      </c>
      <c r="LZ84" s="308">
        <f t="shared" ca="1" si="32"/>
        <v>100000</v>
      </c>
      <c r="MC84" s="308">
        <f t="shared" ca="1" si="175"/>
        <v>100000</v>
      </c>
      <c r="MD84" t="str">
        <f t="shared" ca="1" si="177"/>
        <v/>
      </c>
      <c r="ME84" s="338" t="str">
        <f t="shared" ca="1" si="179"/>
        <v/>
      </c>
      <c r="MF84" s="338" t="str">
        <f t="shared" ca="1" si="180"/>
        <v/>
      </c>
      <c r="MG84" s="337" t="str">
        <f t="shared" ca="1" si="181"/>
        <v/>
      </c>
      <c r="MH84" s="338" t="str">
        <f t="shared" ca="1" si="35"/>
        <v/>
      </c>
      <c r="MI84" s="337" t="str">
        <f t="shared" ca="1" si="36"/>
        <v/>
      </c>
      <c r="MJ84" s="337" t="str">
        <f t="shared" ca="1" si="182"/>
        <v/>
      </c>
      <c r="MK84" s="337" t="str">
        <f t="shared" ca="1" si="166"/>
        <v/>
      </c>
      <c r="ML84" s="337" t="str">
        <f ca="1">IF(ME84&lt;&gt;"",VLOOKUP(ME84,Foglio7ti!$GF$40:$GG$92,2),"")</f>
        <v/>
      </c>
      <c r="MM84" s="282" t="str">
        <f t="shared" ca="1" si="38"/>
        <v/>
      </c>
      <c r="MN84" s="282"/>
      <c r="MO84" s="320">
        <f t="shared" si="128"/>
        <v>1</v>
      </c>
      <c r="MP84" s="253" t="str">
        <f t="shared" ca="1" si="39"/>
        <v/>
      </c>
      <c r="MQ84" t="e">
        <f t="shared" ca="1" si="160"/>
        <v>#N/A</v>
      </c>
      <c r="MR84" s="238" t="e">
        <f ca="1">VLOOKUP(ME84,Foglio1ti!AB76:AZ376,13)-MQ84</f>
        <v>#N/A</v>
      </c>
      <c r="MS84" t="e">
        <f t="shared" ca="1" si="40"/>
        <v>#N/A</v>
      </c>
      <c r="MT84" t="e">
        <f t="shared" ca="1" si="41"/>
        <v>#N/A</v>
      </c>
      <c r="MU84" s="238" t="e">
        <f ca="1">VLOOKUP(ME84,Foglio1ti!AB76:AZ376,13)-MT84</f>
        <v>#N/A</v>
      </c>
      <c r="MV84" t="e">
        <f t="shared" ca="1" si="42"/>
        <v>#N/A</v>
      </c>
      <c r="MW84">
        <f t="shared" ca="1" si="140"/>
        <v>0</v>
      </c>
      <c r="MX84">
        <f ca="1">IF(AND(frontti!$H$25="SI",ML84="3-8 anni"),INDIRECT(CONCATENATE($MR$37,"BI",MU84)),0)</f>
        <v>0</v>
      </c>
      <c r="MY84" s="254"/>
    </row>
    <row r="85" spans="1:363" x14ac:dyDescent="0.25">
      <c r="A85" s="112" t="e">
        <f t="shared" si="141"/>
        <v>#N/A</v>
      </c>
      <c r="B85" s="112" t="e">
        <f t="shared" si="44"/>
        <v>#N/A</v>
      </c>
      <c r="E85" s="240" t="str">
        <f>Foglio3!F65</f>
        <v/>
      </c>
      <c r="F85" s="240" t="str">
        <f>Foglio3!G65</f>
        <v/>
      </c>
      <c r="G85" s="244"/>
      <c r="H85" s="245" t="e">
        <f t="shared" si="45"/>
        <v>#VALUE!</v>
      </c>
      <c r="I85" s="245" t="e">
        <f t="shared" si="8"/>
        <v>#VALUE!</v>
      </c>
      <c r="J85" s="244"/>
      <c r="K85" s="244"/>
      <c r="Q85" t="e">
        <f t="shared" si="9"/>
        <v>#VALUE!</v>
      </c>
      <c r="R85" t="e">
        <f t="shared" si="142"/>
        <v>#VALUE!</v>
      </c>
      <c r="S85" t="e">
        <f t="shared" si="46"/>
        <v>#VALUE!</v>
      </c>
      <c r="T85" t="e">
        <f t="shared" si="129"/>
        <v>#VALUE!</v>
      </c>
      <c r="U85" t="e">
        <f t="shared" si="130"/>
        <v>#VALUE!</v>
      </c>
      <c r="W85" t="e">
        <f t="shared" si="176"/>
        <v>#VALUE!</v>
      </c>
      <c r="X85" t="e">
        <f t="shared" si="176"/>
        <v>#VALUE!</v>
      </c>
      <c r="Y85" t="e">
        <f t="shared" si="176"/>
        <v>#VALUE!</v>
      </c>
      <c r="AA85" s="112" t="e">
        <f t="shared" si="103"/>
        <v>#VALUE!</v>
      </c>
      <c r="AB85" s="112" t="e">
        <f t="shared" si="104"/>
        <v>#VALUE!</v>
      </c>
      <c r="AG85" t="e">
        <f t="shared" si="47"/>
        <v>#VALUE!</v>
      </c>
      <c r="AH85" s="112" t="e">
        <f t="shared" si="48"/>
        <v>#VALUE!</v>
      </c>
      <c r="AI85" s="112" t="e">
        <f t="shared" si="48"/>
        <v>#VALUE!</v>
      </c>
      <c r="CX85" s="112">
        <f t="shared" si="56"/>
        <v>100000</v>
      </c>
      <c r="CY85" s="112">
        <f t="shared" si="115"/>
        <v>100000</v>
      </c>
      <c r="CZ85" s="112">
        <f t="shared" si="116"/>
        <v>100000</v>
      </c>
      <c r="DA85" s="112">
        <f t="shared" si="117"/>
        <v>100000</v>
      </c>
      <c r="DB85" s="112">
        <f t="shared" si="118"/>
        <v>100000</v>
      </c>
      <c r="DC85" s="112">
        <f t="shared" si="119"/>
        <v>100000</v>
      </c>
      <c r="DU85" s="112"/>
      <c r="DV85" s="112"/>
      <c r="DW85" s="276"/>
      <c r="DX85" s="276"/>
      <c r="DY85" s="276"/>
      <c r="DZ85" s="276"/>
      <c r="EF85" s="253"/>
      <c r="EK85" s="254"/>
      <c r="EL85">
        <f t="shared" si="165"/>
        <v>46</v>
      </c>
      <c r="EM85" s="260" t="e">
        <f t="shared" ca="1" si="122"/>
        <v>#NUM!</v>
      </c>
      <c r="EN85" s="112" t="e">
        <f t="shared" ca="1" si="63"/>
        <v>#NUM!</v>
      </c>
      <c r="EO85" s="112">
        <f t="shared" ca="1" si="64"/>
        <v>100000</v>
      </c>
      <c r="EP85" s="112">
        <f t="shared" ca="1" si="123"/>
        <v>100000</v>
      </c>
      <c r="EQ85" s="273">
        <f t="shared" ca="1" si="138"/>
        <v>100000</v>
      </c>
      <c r="ER85" s="302">
        <f t="shared" ca="1" si="65"/>
        <v>100000</v>
      </c>
      <c r="EU85" t="e">
        <f t="shared" ca="1" si="66"/>
        <v>#N/A</v>
      </c>
      <c r="EV85" s="260">
        <f t="shared" ca="1" si="124"/>
        <v>100000</v>
      </c>
      <c r="EW85" t="e">
        <f t="shared" ca="1" si="67"/>
        <v>#N/A</v>
      </c>
      <c r="EX85" t="e">
        <f t="shared" ca="1" si="12"/>
        <v>#N/A</v>
      </c>
      <c r="EY85" s="238" t="e">
        <f t="shared" ca="1" si="13"/>
        <v>#N/A</v>
      </c>
      <c r="FB85" t="e">
        <f t="shared" ca="1" si="68"/>
        <v>#N/A</v>
      </c>
      <c r="FC85" t="e">
        <f t="shared" ca="1" si="167"/>
        <v>#N/A</v>
      </c>
      <c r="FD85" t="e">
        <f t="shared" ca="1" si="167"/>
        <v>#N/A</v>
      </c>
      <c r="FE85" t="e">
        <f t="shared" ca="1" si="167"/>
        <v>#N/A</v>
      </c>
      <c r="FF85" t="e">
        <f t="shared" ca="1" si="167"/>
        <v>#N/A</v>
      </c>
      <c r="FM85" t="e">
        <f t="shared" ca="1" si="15"/>
        <v>#N/A</v>
      </c>
      <c r="FR85" s="254" t="e">
        <f t="shared" ca="1" si="69"/>
        <v>#N/A</v>
      </c>
      <c r="FS85">
        <f t="shared" si="125"/>
        <v>85</v>
      </c>
      <c r="FT85" t="e">
        <f t="shared" ca="1" si="184"/>
        <v>#N/A</v>
      </c>
      <c r="FU85" t="str">
        <f t="shared" ca="1" si="183"/>
        <v>EV85</v>
      </c>
      <c r="FV85" t="e">
        <f t="shared" ca="1" si="183"/>
        <v>#N/A</v>
      </c>
      <c r="FW85" t="e">
        <f t="shared" ca="1" si="183"/>
        <v>#N/A</v>
      </c>
      <c r="FX85" t="e">
        <f t="shared" ca="1" si="183"/>
        <v>#N/A</v>
      </c>
      <c r="FY85" t="e">
        <f t="shared" ca="1" si="183"/>
        <v>#N/A</v>
      </c>
      <c r="FZ85" t="e">
        <f t="shared" ca="1" si="183"/>
        <v>#N/A</v>
      </c>
      <c r="GA85" t="str">
        <f t="shared" ca="1" si="183"/>
        <v/>
      </c>
      <c r="GB85" t="e">
        <f t="shared" ca="1" si="183"/>
        <v>#N/A</v>
      </c>
      <c r="GC85" t="str">
        <f t="shared" ca="1" si="183"/>
        <v/>
      </c>
      <c r="GD85" t="str">
        <f t="shared" ca="1" si="183"/>
        <v/>
      </c>
      <c r="GR85" s="262" t="str">
        <f t="shared" si="75"/>
        <v/>
      </c>
      <c r="HO85" s="111" t="str">
        <f t="shared" ca="1" si="21"/>
        <v/>
      </c>
      <c r="HP85">
        <f t="shared" si="82"/>
        <v>0</v>
      </c>
      <c r="HQ85" t="str">
        <f t="shared" ca="1" si="83"/>
        <v/>
      </c>
      <c r="HR85" t="str">
        <f t="shared" ca="1" si="173"/>
        <v/>
      </c>
      <c r="HS85" t="str">
        <f t="shared" ca="1" si="174"/>
        <v/>
      </c>
      <c r="HX85" s="253" t="s">
        <v>187</v>
      </c>
      <c r="HY85" s="112" t="e">
        <f t="shared" si="86"/>
        <v>#VALUE!</v>
      </c>
      <c r="HZ85" t="s">
        <v>188</v>
      </c>
      <c r="IA85" s="112" t="e">
        <f t="shared" si="87"/>
        <v>#VALUE!</v>
      </c>
      <c r="IB85" t="s">
        <v>189</v>
      </c>
      <c r="IC85" t="e">
        <f t="shared" si="88"/>
        <v>#VALUE!</v>
      </c>
      <c r="ID85" t="s">
        <v>192</v>
      </c>
      <c r="IE85" t="e">
        <f t="shared" si="89"/>
        <v>#VALUE!</v>
      </c>
      <c r="IF85" t="s">
        <v>191</v>
      </c>
      <c r="IG85" s="254" t="e">
        <f t="shared" si="90"/>
        <v>#VALUE!</v>
      </c>
      <c r="IL85" t="e">
        <f t="shared" si="91"/>
        <v>#VALUE!</v>
      </c>
      <c r="KD85">
        <v>0</v>
      </c>
      <c r="KE85" s="260">
        <f t="shared" ca="1" si="92"/>
        <v>100000</v>
      </c>
      <c r="KF85" t="str">
        <f t="shared" si="93"/>
        <v>0-2 anni</v>
      </c>
      <c r="KG85">
        <f t="shared" si="22"/>
        <v>6</v>
      </c>
      <c r="KH85" s="238">
        <f t="shared" ca="1" si="23"/>
        <v>255</v>
      </c>
      <c r="KK85">
        <f t="shared" ca="1" si="94"/>
        <v>16218.89</v>
      </c>
      <c r="KL85" t="e">
        <f t="shared" ca="1" si="171"/>
        <v>#N/A</v>
      </c>
      <c r="KM85" t="e">
        <f t="shared" ca="1" si="171"/>
        <v>#N/A</v>
      </c>
      <c r="KN85" t="e">
        <f t="shared" ca="1" si="171"/>
        <v>#N/A</v>
      </c>
      <c r="KO85" t="e">
        <f t="shared" ca="1" si="171"/>
        <v>#N/A</v>
      </c>
      <c r="KV85" t="e">
        <f t="shared" ca="1" si="25"/>
        <v>#N/A</v>
      </c>
      <c r="LA85" s="254" t="str">
        <f t="shared" si="95"/>
        <v>0-2 anni</v>
      </c>
      <c r="LB85" s="112" t="str">
        <f t="shared" si="26"/>
        <v/>
      </c>
      <c r="LC85" s="112" t="str">
        <f t="shared" si="26"/>
        <v/>
      </c>
      <c r="LD85" t="e">
        <f t="shared" ca="1" si="96"/>
        <v>#N/A</v>
      </c>
      <c r="LE85" s="262">
        <f t="shared" si="97"/>
        <v>0</v>
      </c>
      <c r="LF85" t="e">
        <f t="shared" si="98"/>
        <v>#VALUE!</v>
      </c>
      <c r="LG85" t="e">
        <f t="shared" ca="1" si="99"/>
        <v>#N/A</v>
      </c>
      <c r="LL85" s="112">
        <f>Foglio7ti!GF86</f>
        <v>0</v>
      </c>
      <c r="LM85" s="308">
        <f t="shared" si="27"/>
        <v>100000</v>
      </c>
      <c r="LN85" s="112"/>
      <c r="LO85">
        <f t="shared" si="100"/>
        <v>47</v>
      </c>
      <c r="LP85" s="308">
        <f t="shared" ca="1" si="28"/>
        <v>100000</v>
      </c>
      <c r="LQ85" s="112"/>
      <c r="LS85" s="263">
        <f t="shared" si="29"/>
        <v>47</v>
      </c>
      <c r="LT85" s="308">
        <f t="shared" ca="1" si="30"/>
        <v>100000</v>
      </c>
      <c r="LW85" s="308">
        <f t="shared" ca="1" si="31"/>
        <v>100000</v>
      </c>
      <c r="LZ85" s="308">
        <f t="shared" ca="1" si="32"/>
        <v>100000</v>
      </c>
      <c r="MC85" s="308">
        <f t="shared" ca="1" si="175"/>
        <v>100000</v>
      </c>
      <c r="MD85" t="str">
        <f t="shared" ca="1" si="177"/>
        <v/>
      </c>
      <c r="ME85" s="338" t="str">
        <f t="shared" ca="1" si="179"/>
        <v/>
      </c>
      <c r="MF85" s="338" t="str">
        <f t="shared" ca="1" si="180"/>
        <v/>
      </c>
      <c r="MG85" s="337" t="str">
        <f t="shared" ca="1" si="181"/>
        <v/>
      </c>
      <c r="MH85" s="338" t="str">
        <f t="shared" ca="1" si="35"/>
        <v/>
      </c>
      <c r="MI85" s="337" t="str">
        <f t="shared" ca="1" si="36"/>
        <v/>
      </c>
      <c r="MJ85" s="337" t="str">
        <f t="shared" ca="1" si="182"/>
        <v/>
      </c>
      <c r="MK85" s="337" t="str">
        <f t="shared" ca="1" si="166"/>
        <v/>
      </c>
      <c r="ML85" s="337" t="str">
        <f ca="1">IF(ME85&lt;&gt;"",VLOOKUP(ME85,Foglio7ti!$GF$40:$GG$92,2),"")</f>
        <v/>
      </c>
      <c r="MM85" s="282" t="str">
        <f t="shared" ca="1" si="38"/>
        <v/>
      </c>
      <c r="MN85" s="282"/>
      <c r="MO85" s="320">
        <f t="shared" si="128"/>
        <v>1</v>
      </c>
      <c r="MP85" s="253" t="str">
        <f t="shared" ca="1" si="39"/>
        <v/>
      </c>
      <c r="MQ85" t="e">
        <f t="shared" ca="1" si="160"/>
        <v>#N/A</v>
      </c>
      <c r="MR85" s="238" t="e">
        <f ca="1">VLOOKUP(ME85,Foglio1ti!AB77:AZ377,13)-MQ85</f>
        <v>#N/A</v>
      </c>
      <c r="MS85" t="e">
        <f t="shared" ca="1" si="40"/>
        <v>#N/A</v>
      </c>
      <c r="MT85" t="e">
        <f t="shared" ca="1" si="41"/>
        <v>#N/A</v>
      </c>
      <c r="MU85" s="238" t="e">
        <f ca="1">VLOOKUP(ME85,Foglio1ti!AB77:AZ377,13)-MT85</f>
        <v>#N/A</v>
      </c>
      <c r="MV85" t="e">
        <f t="shared" ca="1" si="42"/>
        <v>#N/A</v>
      </c>
      <c r="MW85">
        <f t="shared" ca="1" si="140"/>
        <v>0</v>
      </c>
      <c r="MX85">
        <f ca="1">IF(AND(frontti!$H$25="SI",ML85="3-8 anni"),INDIRECT(CONCATENATE($MR$37,"BI",MU85)),0)</f>
        <v>0</v>
      </c>
      <c r="MY85" s="254"/>
    </row>
    <row r="86" spans="1:363" x14ac:dyDescent="0.25">
      <c r="A86" s="112" t="e">
        <f t="shared" si="141"/>
        <v>#N/A</v>
      </c>
      <c r="B86" s="112" t="e">
        <f t="shared" si="44"/>
        <v>#N/A</v>
      </c>
      <c r="E86" s="240" t="str">
        <f>Foglio3!F66</f>
        <v/>
      </c>
      <c r="F86" s="240" t="str">
        <f>Foglio3!G66</f>
        <v/>
      </c>
      <c r="G86" s="244"/>
      <c r="H86" s="245" t="e">
        <f t="shared" si="45"/>
        <v>#VALUE!</v>
      </c>
      <c r="I86" s="245" t="e">
        <f t="shared" si="8"/>
        <v>#VALUE!</v>
      </c>
      <c r="J86" s="244"/>
      <c r="K86" s="244"/>
      <c r="Q86" t="e">
        <f t="shared" si="9"/>
        <v>#VALUE!</v>
      </c>
      <c r="R86" t="e">
        <f t="shared" si="142"/>
        <v>#VALUE!</v>
      </c>
      <c r="S86" t="e">
        <f t="shared" si="46"/>
        <v>#VALUE!</v>
      </c>
      <c r="T86" t="e">
        <f t="shared" si="129"/>
        <v>#VALUE!</v>
      </c>
      <c r="U86" t="e">
        <f t="shared" si="130"/>
        <v>#VALUE!</v>
      </c>
      <c r="W86" t="e">
        <f t="shared" si="176"/>
        <v>#VALUE!</v>
      </c>
      <c r="X86" t="e">
        <f t="shared" si="176"/>
        <v>#VALUE!</v>
      </c>
      <c r="Y86" t="e">
        <f t="shared" si="176"/>
        <v>#VALUE!</v>
      </c>
      <c r="AA86" s="112" t="e">
        <f t="shared" si="103"/>
        <v>#VALUE!</v>
      </c>
      <c r="AB86" s="112" t="e">
        <f t="shared" si="104"/>
        <v>#VALUE!</v>
      </c>
      <c r="AG86" t="e">
        <f t="shared" si="47"/>
        <v>#VALUE!</v>
      </c>
      <c r="AH86" s="112" t="e">
        <f t="shared" si="48"/>
        <v>#VALUE!</v>
      </c>
      <c r="AI86" s="112" t="e">
        <f t="shared" si="48"/>
        <v>#VALUE!</v>
      </c>
      <c r="CX86" s="112">
        <f t="shared" si="56"/>
        <v>100000</v>
      </c>
      <c r="CY86" s="112">
        <f t="shared" si="115"/>
        <v>100000</v>
      </c>
      <c r="CZ86" s="112">
        <f t="shared" si="116"/>
        <v>100000</v>
      </c>
      <c r="DA86" s="112">
        <f t="shared" si="117"/>
        <v>100000</v>
      </c>
      <c r="DB86" s="112">
        <f t="shared" si="118"/>
        <v>100000</v>
      </c>
      <c r="DC86" s="112">
        <f t="shared" si="119"/>
        <v>100000</v>
      </c>
      <c r="DU86" s="112"/>
      <c r="DV86" s="112"/>
      <c r="DW86" s="276"/>
      <c r="DX86" s="276"/>
      <c r="DY86" s="276"/>
      <c r="DZ86" s="276"/>
      <c r="EF86" s="253"/>
      <c r="EK86" s="254"/>
      <c r="EL86">
        <f t="shared" si="165"/>
        <v>47</v>
      </c>
      <c r="EM86" s="260" t="e">
        <f t="shared" ca="1" si="122"/>
        <v>#NUM!</v>
      </c>
      <c r="EN86" s="112" t="e">
        <f t="shared" ca="1" si="63"/>
        <v>#NUM!</v>
      </c>
      <c r="EO86" s="112">
        <f t="shared" ca="1" si="64"/>
        <v>100000</v>
      </c>
      <c r="EP86" s="112">
        <f t="shared" ca="1" si="123"/>
        <v>100000</v>
      </c>
      <c r="EQ86" s="273">
        <f t="shared" ca="1" si="138"/>
        <v>100000</v>
      </c>
      <c r="ER86" s="302">
        <f t="shared" ca="1" si="65"/>
        <v>100000</v>
      </c>
      <c r="EU86" t="e">
        <f t="shared" ca="1" si="66"/>
        <v>#N/A</v>
      </c>
      <c r="EV86" s="260">
        <f t="shared" ca="1" si="124"/>
        <v>100000</v>
      </c>
      <c r="EW86" t="e">
        <f t="shared" ca="1" si="67"/>
        <v>#N/A</v>
      </c>
      <c r="EX86" t="e">
        <f t="shared" ca="1" si="12"/>
        <v>#N/A</v>
      </c>
      <c r="EY86" s="238" t="e">
        <f t="shared" ca="1" si="13"/>
        <v>#N/A</v>
      </c>
      <c r="FB86" t="e">
        <f t="shared" ca="1" si="68"/>
        <v>#N/A</v>
      </c>
      <c r="FC86" t="e">
        <f t="shared" ca="1" si="167"/>
        <v>#N/A</v>
      </c>
      <c r="FD86" t="e">
        <f t="shared" ca="1" si="167"/>
        <v>#N/A</v>
      </c>
      <c r="FE86" t="e">
        <f t="shared" ca="1" si="167"/>
        <v>#N/A</v>
      </c>
      <c r="FF86" t="e">
        <f t="shared" ca="1" si="167"/>
        <v>#N/A</v>
      </c>
      <c r="FM86" t="e">
        <f t="shared" ca="1" si="15"/>
        <v>#N/A</v>
      </c>
      <c r="FR86" s="254" t="e">
        <f t="shared" ca="1" si="69"/>
        <v>#N/A</v>
      </c>
      <c r="FS86">
        <f t="shared" si="125"/>
        <v>86</v>
      </c>
      <c r="FT86" t="e">
        <f t="shared" ca="1" si="184"/>
        <v>#N/A</v>
      </c>
      <c r="FU86" t="str">
        <f t="shared" ca="1" si="183"/>
        <v>EV86</v>
      </c>
      <c r="FV86" t="e">
        <f t="shared" ca="1" si="183"/>
        <v>#N/A</v>
      </c>
      <c r="FW86" t="e">
        <f t="shared" ca="1" si="183"/>
        <v>#N/A</v>
      </c>
      <c r="FX86" t="e">
        <f t="shared" ca="1" si="183"/>
        <v>#N/A</v>
      </c>
      <c r="FY86" t="e">
        <f t="shared" ca="1" si="183"/>
        <v>#N/A</v>
      </c>
      <c r="FZ86" t="e">
        <f t="shared" ca="1" si="183"/>
        <v>#N/A</v>
      </c>
      <c r="GA86" t="str">
        <f t="shared" ca="1" si="183"/>
        <v/>
      </c>
      <c r="GB86" t="e">
        <f t="shared" ca="1" si="183"/>
        <v>#N/A</v>
      </c>
      <c r="GC86" t="str">
        <f t="shared" ca="1" si="183"/>
        <v/>
      </c>
      <c r="GD86" t="str">
        <f t="shared" ca="1" si="183"/>
        <v/>
      </c>
      <c r="GR86" s="262" t="str">
        <f t="shared" si="75"/>
        <v/>
      </c>
      <c r="HO86" s="111" t="str">
        <f t="shared" ca="1" si="21"/>
        <v/>
      </c>
      <c r="HP86">
        <f t="shared" si="82"/>
        <v>0</v>
      </c>
      <c r="HQ86" t="str">
        <f t="shared" si="83"/>
        <v/>
      </c>
      <c r="HR86" t="str">
        <f t="shared" ca="1" si="173"/>
        <v/>
      </c>
      <c r="HS86" t="str">
        <f t="shared" ca="1" si="174"/>
        <v/>
      </c>
      <c r="HX86" s="253" t="s">
        <v>187</v>
      </c>
      <c r="HY86" s="112" t="e">
        <f t="shared" si="86"/>
        <v>#VALUE!</v>
      </c>
      <c r="HZ86" t="s">
        <v>188</v>
      </c>
      <c r="IA86" s="112" t="e">
        <f t="shared" si="87"/>
        <v>#VALUE!</v>
      </c>
      <c r="IB86" t="s">
        <v>189</v>
      </c>
      <c r="IC86" t="e">
        <f t="shared" si="88"/>
        <v>#VALUE!</v>
      </c>
      <c r="ID86" t="s">
        <v>192</v>
      </c>
      <c r="IE86" t="e">
        <f t="shared" si="89"/>
        <v>#VALUE!</v>
      </c>
      <c r="IF86" t="s">
        <v>191</v>
      </c>
      <c r="IG86" s="254" t="e">
        <f t="shared" si="90"/>
        <v>#VALUE!</v>
      </c>
      <c r="IL86" t="e">
        <f t="shared" si="91"/>
        <v>#VALUE!</v>
      </c>
      <c r="KD86">
        <v>0</v>
      </c>
      <c r="KE86" s="260">
        <f t="shared" ca="1" si="92"/>
        <v>100000</v>
      </c>
      <c r="KG86">
        <f t="shared" si="22"/>
        <v>6</v>
      </c>
      <c r="KH86" s="238">
        <f t="shared" ca="1" si="23"/>
        <v>255</v>
      </c>
      <c r="KK86">
        <f t="shared" ca="1" si="94"/>
        <v>16218.89</v>
      </c>
      <c r="KL86" t="e">
        <f t="shared" ca="1" si="171"/>
        <v>#N/A</v>
      </c>
      <c r="KM86" t="e">
        <f t="shared" ca="1" si="171"/>
        <v>#N/A</v>
      </c>
      <c r="KN86" t="e">
        <f t="shared" ca="1" si="171"/>
        <v>#N/A</v>
      </c>
      <c r="KO86" t="e">
        <f t="shared" ca="1" si="171"/>
        <v>#N/A</v>
      </c>
      <c r="KV86" t="e">
        <f t="shared" ca="1" si="25"/>
        <v>#N/A</v>
      </c>
      <c r="LA86" s="254" t="str">
        <f t="shared" si="95"/>
        <v>0-2 anni</v>
      </c>
      <c r="LB86" s="112" t="str">
        <f t="shared" si="26"/>
        <v/>
      </c>
      <c r="LC86" s="112" t="str">
        <f t="shared" si="26"/>
        <v/>
      </c>
      <c r="LD86" t="e">
        <f t="shared" ca="1" si="96"/>
        <v>#N/A</v>
      </c>
      <c r="LE86" s="262">
        <f t="shared" si="97"/>
        <v>0</v>
      </c>
      <c r="LF86" t="e">
        <f t="shared" si="98"/>
        <v>#VALUE!</v>
      </c>
      <c r="LG86" t="e">
        <f t="shared" ca="1" si="99"/>
        <v>#N/A</v>
      </c>
      <c r="LL86" s="112">
        <f>Foglio7ti!GF87</f>
        <v>0</v>
      </c>
      <c r="LM86" s="308">
        <f t="shared" si="27"/>
        <v>100000</v>
      </c>
      <c r="LN86" s="112"/>
      <c r="LO86">
        <f t="shared" si="100"/>
        <v>48</v>
      </c>
      <c r="LP86" s="308">
        <f t="shared" ca="1" si="28"/>
        <v>100000</v>
      </c>
      <c r="LQ86" s="112"/>
      <c r="LS86" s="263">
        <f t="shared" si="29"/>
        <v>48</v>
      </c>
      <c r="LT86" s="308">
        <f t="shared" ca="1" si="30"/>
        <v>100000</v>
      </c>
      <c r="LW86" s="308">
        <f t="shared" ca="1" si="31"/>
        <v>100000</v>
      </c>
      <c r="LZ86" s="308">
        <f t="shared" ca="1" si="32"/>
        <v>100000</v>
      </c>
      <c r="MC86" s="308">
        <f t="shared" ca="1" si="175"/>
        <v>100000</v>
      </c>
      <c r="MD86" t="str">
        <f t="shared" ca="1" si="177"/>
        <v/>
      </c>
      <c r="ME86" s="338" t="str">
        <f t="shared" ca="1" si="179"/>
        <v/>
      </c>
      <c r="MF86" s="338" t="str">
        <f t="shared" ca="1" si="180"/>
        <v/>
      </c>
      <c r="MG86" s="337" t="str">
        <f t="shared" ca="1" si="181"/>
        <v/>
      </c>
      <c r="MH86" s="338" t="str">
        <f t="shared" ca="1" si="35"/>
        <v/>
      </c>
      <c r="MI86" s="337" t="str">
        <f t="shared" ca="1" si="36"/>
        <v/>
      </c>
      <c r="MJ86" s="337" t="str">
        <f t="shared" ca="1" si="182"/>
        <v/>
      </c>
      <c r="MK86" s="337" t="str">
        <f t="shared" ca="1" si="166"/>
        <v/>
      </c>
      <c r="ML86" s="337" t="str">
        <f ca="1">IF(ME86&lt;&gt;"",VLOOKUP(ME86,Foglio7ti!$GF$40:$GG$92,2),"")</f>
        <v/>
      </c>
      <c r="MM86" s="282" t="str">
        <f t="shared" ca="1" si="38"/>
        <v/>
      </c>
      <c r="MN86" s="282"/>
      <c r="MO86" s="320">
        <f t="shared" si="128"/>
        <v>1</v>
      </c>
      <c r="MP86" s="253" t="str">
        <f t="shared" ca="1" si="39"/>
        <v/>
      </c>
      <c r="MQ86" t="e">
        <f t="shared" ca="1" si="160"/>
        <v>#N/A</v>
      </c>
      <c r="MR86" s="238" t="e">
        <f ca="1">VLOOKUP(ME86,Foglio1ti!AB78:AZ378,13)-MQ86</f>
        <v>#N/A</v>
      </c>
      <c r="MS86" t="e">
        <f t="shared" ca="1" si="40"/>
        <v>#N/A</v>
      </c>
      <c r="MT86" t="e">
        <f t="shared" ca="1" si="41"/>
        <v>#N/A</v>
      </c>
      <c r="MU86" s="238" t="e">
        <f ca="1">VLOOKUP(ME86,Foglio1ti!AB78:AZ378,13)-MT86</f>
        <v>#N/A</v>
      </c>
      <c r="MV86" t="e">
        <f t="shared" ca="1" si="42"/>
        <v>#N/A</v>
      </c>
      <c r="MW86">
        <f t="shared" ca="1" si="140"/>
        <v>0</v>
      </c>
      <c r="MX86">
        <f ca="1">IF(AND(frontti!$H$25="SI",ML86="3-8 anni"),INDIRECT(CONCATENATE($MR$37,"BI",MU86)),0)</f>
        <v>0</v>
      </c>
      <c r="MY86" s="254"/>
    </row>
    <row r="87" spans="1:363" ht="15.75" thickBot="1" x14ac:dyDescent="0.3">
      <c r="A87" s="112" t="e">
        <f t="shared" si="141"/>
        <v>#N/A</v>
      </c>
      <c r="B87" s="112" t="e">
        <f t="shared" si="44"/>
        <v>#N/A</v>
      </c>
      <c r="E87" s="240" t="str">
        <f>Foglio3!F67</f>
        <v/>
      </c>
      <c r="F87" s="240" t="str">
        <f>Foglio3!G67</f>
        <v/>
      </c>
      <c r="G87" s="244"/>
      <c r="H87" s="245" t="e">
        <f t="shared" si="45"/>
        <v>#VALUE!</v>
      </c>
      <c r="I87" s="245" t="e">
        <f t="shared" si="8"/>
        <v>#VALUE!</v>
      </c>
      <c r="J87" s="244"/>
      <c r="K87" s="244"/>
      <c r="Q87" t="e">
        <f t="shared" si="9"/>
        <v>#VALUE!</v>
      </c>
      <c r="R87" t="e">
        <f t="shared" si="142"/>
        <v>#VALUE!</v>
      </c>
      <c r="S87" t="e">
        <f t="shared" si="46"/>
        <v>#VALUE!</v>
      </c>
      <c r="T87" t="e">
        <f t="shared" si="129"/>
        <v>#VALUE!</v>
      </c>
      <c r="U87" t="e">
        <f t="shared" si="130"/>
        <v>#VALUE!</v>
      </c>
      <c r="W87" t="e">
        <f t="shared" si="176"/>
        <v>#VALUE!</v>
      </c>
      <c r="X87" t="e">
        <f t="shared" si="176"/>
        <v>#VALUE!</v>
      </c>
      <c r="Y87" t="e">
        <f t="shared" si="176"/>
        <v>#VALUE!</v>
      </c>
      <c r="AA87" s="112" t="e">
        <f t="shared" si="103"/>
        <v>#VALUE!</v>
      </c>
      <c r="AB87" s="112" t="e">
        <f t="shared" si="104"/>
        <v>#VALUE!</v>
      </c>
      <c r="AG87" t="e">
        <f t="shared" si="47"/>
        <v>#VALUE!</v>
      </c>
      <c r="AH87" s="112" t="e">
        <f t="shared" si="48"/>
        <v>#VALUE!</v>
      </c>
      <c r="AI87" s="112" t="e">
        <f t="shared" si="48"/>
        <v>#VALUE!</v>
      </c>
      <c r="CX87" s="112">
        <f t="shared" si="56"/>
        <v>100000</v>
      </c>
      <c r="CY87" s="112">
        <f t="shared" si="115"/>
        <v>100000</v>
      </c>
      <c r="CZ87" s="112">
        <f t="shared" si="116"/>
        <v>100000</v>
      </c>
      <c r="DA87" s="112">
        <f t="shared" si="117"/>
        <v>100000</v>
      </c>
      <c r="DB87" s="112">
        <f t="shared" si="118"/>
        <v>100000</v>
      </c>
      <c r="DC87" s="112">
        <f t="shared" si="119"/>
        <v>100000</v>
      </c>
      <c r="DU87" s="112"/>
      <c r="DV87" s="112"/>
      <c r="DW87" s="276"/>
      <c r="DX87" s="276"/>
      <c r="DY87" s="276"/>
      <c r="DZ87" s="276"/>
      <c r="EF87" s="253"/>
      <c r="EK87" s="254"/>
      <c r="EL87">
        <f t="shared" si="165"/>
        <v>48</v>
      </c>
      <c r="EM87" s="260" t="e">
        <f t="shared" ca="1" si="122"/>
        <v>#NUM!</v>
      </c>
      <c r="EN87" s="112" t="e">
        <f t="shared" ca="1" si="63"/>
        <v>#NUM!</v>
      </c>
      <c r="EO87" s="112">
        <f t="shared" ca="1" si="64"/>
        <v>100000</v>
      </c>
      <c r="EP87" s="112">
        <f t="shared" ca="1" si="123"/>
        <v>100000</v>
      </c>
      <c r="EQ87" s="273">
        <f t="shared" ca="1" si="138"/>
        <v>100000</v>
      </c>
      <c r="ER87" s="303">
        <f t="shared" ca="1" si="65"/>
        <v>100000</v>
      </c>
      <c r="ES87" s="257"/>
      <c r="ET87" s="257"/>
      <c r="EU87" t="e">
        <f t="shared" ca="1" si="66"/>
        <v>#N/A</v>
      </c>
      <c r="EV87" s="260">
        <f t="shared" ca="1" si="124"/>
        <v>100000</v>
      </c>
      <c r="EW87" t="e">
        <f t="shared" ca="1" si="67"/>
        <v>#N/A</v>
      </c>
      <c r="EX87" t="e">
        <f t="shared" ca="1" si="12"/>
        <v>#N/A</v>
      </c>
      <c r="EY87" s="238" t="e">
        <f t="shared" ca="1" si="13"/>
        <v>#N/A</v>
      </c>
      <c r="FB87" t="e">
        <f t="shared" ca="1" si="68"/>
        <v>#N/A</v>
      </c>
      <c r="FC87" t="e">
        <f t="shared" ca="1" si="167"/>
        <v>#N/A</v>
      </c>
      <c r="FD87" t="e">
        <f t="shared" ca="1" si="167"/>
        <v>#N/A</v>
      </c>
      <c r="FE87" t="e">
        <f t="shared" ca="1" si="167"/>
        <v>#N/A</v>
      </c>
      <c r="FF87" t="e">
        <f t="shared" ca="1" si="167"/>
        <v>#N/A</v>
      </c>
      <c r="FM87" t="e">
        <f t="shared" ca="1" si="15"/>
        <v>#N/A</v>
      </c>
      <c r="FR87" s="254" t="e">
        <f t="shared" ca="1" si="69"/>
        <v>#N/A</v>
      </c>
      <c r="FS87">
        <f t="shared" si="125"/>
        <v>87</v>
      </c>
      <c r="FU87" t="str">
        <f t="shared" ca="1" si="183"/>
        <v>EV87</v>
      </c>
      <c r="FV87" t="e">
        <f t="shared" ca="1" si="183"/>
        <v>#N/A</v>
      </c>
      <c r="FW87" t="e">
        <f t="shared" ca="1" si="183"/>
        <v>#N/A</v>
      </c>
      <c r="FX87" t="e">
        <f t="shared" ca="1" si="183"/>
        <v>#N/A</v>
      </c>
      <c r="FY87" t="e">
        <f t="shared" ca="1" si="183"/>
        <v>#N/A</v>
      </c>
      <c r="FZ87" t="e">
        <f t="shared" ca="1" si="183"/>
        <v>#N/A</v>
      </c>
      <c r="GA87" t="str">
        <f t="shared" ca="1" si="183"/>
        <v/>
      </c>
      <c r="GB87" t="e">
        <f t="shared" ca="1" si="183"/>
        <v>#N/A</v>
      </c>
      <c r="GC87" t="str">
        <f t="shared" ca="1" si="183"/>
        <v/>
      </c>
      <c r="GD87" t="str">
        <f t="shared" ca="1" si="183"/>
        <v/>
      </c>
      <c r="GR87" s="262" t="str">
        <f t="shared" si="75"/>
        <v/>
      </c>
      <c r="HO87" s="111" t="str">
        <f t="shared" ca="1" si="21"/>
        <v/>
      </c>
      <c r="HP87">
        <f t="shared" si="82"/>
        <v>0</v>
      </c>
      <c r="HQ87" t="str">
        <f t="shared" si="83"/>
        <v/>
      </c>
      <c r="HR87" t="str">
        <f t="shared" si="173"/>
        <v/>
      </c>
      <c r="HS87" t="str">
        <f t="shared" ca="1" si="174"/>
        <v/>
      </c>
      <c r="HX87" s="253" t="s">
        <v>187</v>
      </c>
      <c r="HY87" s="112" t="e">
        <f t="shared" si="86"/>
        <v>#VALUE!</v>
      </c>
      <c r="HZ87" t="s">
        <v>188</v>
      </c>
      <c r="IA87" s="112" t="e">
        <f t="shared" si="87"/>
        <v>#VALUE!</v>
      </c>
      <c r="IB87" t="s">
        <v>189</v>
      </c>
      <c r="IC87" t="e">
        <f t="shared" si="88"/>
        <v>#VALUE!</v>
      </c>
      <c r="ID87" t="s">
        <v>192</v>
      </c>
      <c r="IE87" t="e">
        <f t="shared" si="89"/>
        <v>#VALUE!</v>
      </c>
      <c r="IF87" t="s">
        <v>191</v>
      </c>
      <c r="IG87" s="254" t="e">
        <f t="shared" si="90"/>
        <v>#VALUE!</v>
      </c>
      <c r="IL87" t="e">
        <f t="shared" si="91"/>
        <v>#VALUE!</v>
      </c>
      <c r="KD87" s="257">
        <v>0</v>
      </c>
      <c r="KE87" s="260">
        <f t="shared" ca="1" si="92"/>
        <v>100000</v>
      </c>
      <c r="KG87">
        <f t="shared" si="22"/>
        <v>6</v>
      </c>
      <c r="KH87" s="238">
        <f t="shared" ca="1" si="23"/>
        <v>255</v>
      </c>
      <c r="KK87">
        <f t="shared" ca="1" si="94"/>
        <v>16218.89</v>
      </c>
      <c r="KL87" t="e">
        <f t="shared" ca="1" si="171"/>
        <v>#N/A</v>
      </c>
      <c r="KM87" t="e">
        <f t="shared" ca="1" si="171"/>
        <v>#N/A</v>
      </c>
      <c r="KN87" t="e">
        <f t="shared" ca="1" si="171"/>
        <v>#N/A</v>
      </c>
      <c r="KO87" t="e">
        <f t="shared" ca="1" si="171"/>
        <v>#N/A</v>
      </c>
      <c r="KV87" t="e">
        <f t="shared" ca="1" si="25"/>
        <v>#N/A</v>
      </c>
      <c r="LA87" s="254" t="str">
        <f t="shared" si="95"/>
        <v>0-2 anni</v>
      </c>
      <c r="LD87" t="e">
        <f t="shared" ca="1" si="96"/>
        <v>#N/A</v>
      </c>
      <c r="LE87" s="262">
        <f t="shared" si="97"/>
        <v>0</v>
      </c>
      <c r="LF87" t="e">
        <f t="shared" si="98"/>
        <v>#VALUE!</v>
      </c>
      <c r="LG87" t="e">
        <f t="shared" ca="1" si="99"/>
        <v>#N/A</v>
      </c>
      <c r="LL87" s="112">
        <f>Foglio7ti!GF88</f>
        <v>0</v>
      </c>
      <c r="LM87" s="308">
        <f t="shared" si="27"/>
        <v>100000</v>
      </c>
      <c r="LN87" s="112"/>
      <c r="LO87">
        <f t="shared" si="100"/>
        <v>49</v>
      </c>
      <c r="LP87" s="308">
        <f t="shared" ca="1" si="28"/>
        <v>100000</v>
      </c>
      <c r="LQ87" s="112"/>
      <c r="LS87" s="263">
        <f t="shared" si="29"/>
        <v>49</v>
      </c>
      <c r="LT87" s="308">
        <f t="shared" ca="1" si="30"/>
        <v>100000</v>
      </c>
      <c r="LW87" s="308">
        <f t="shared" ca="1" si="31"/>
        <v>100000</v>
      </c>
      <c r="LZ87" s="308">
        <f t="shared" ca="1" si="32"/>
        <v>100000</v>
      </c>
      <c r="MC87" s="308">
        <f t="shared" ca="1" si="175"/>
        <v>100000</v>
      </c>
      <c r="MD87" t="str">
        <f t="shared" ca="1" si="177"/>
        <v/>
      </c>
      <c r="ME87" s="338" t="str">
        <f t="shared" ca="1" si="179"/>
        <v/>
      </c>
      <c r="MF87" s="338" t="str">
        <f t="shared" ca="1" si="180"/>
        <v/>
      </c>
      <c r="MG87" s="337" t="str">
        <f t="shared" ca="1" si="181"/>
        <v/>
      </c>
      <c r="MH87" s="338" t="str">
        <f t="shared" ca="1" si="35"/>
        <v/>
      </c>
      <c r="MI87" s="337" t="str">
        <f t="shared" ca="1" si="36"/>
        <v/>
      </c>
      <c r="MJ87" s="337" t="str">
        <f t="shared" ca="1" si="182"/>
        <v/>
      </c>
      <c r="MK87" s="337" t="str">
        <f t="shared" ca="1" si="166"/>
        <v/>
      </c>
      <c r="ML87" s="337" t="str">
        <f ca="1">IF(ME87&lt;&gt;"",VLOOKUP(ME87,Foglio7ti!$GF$40:$GG$92,2),"")</f>
        <v/>
      </c>
      <c r="MM87" s="282" t="str">
        <f t="shared" ca="1" si="38"/>
        <v/>
      </c>
      <c r="MN87" s="282"/>
      <c r="MO87" s="320">
        <f t="shared" si="128"/>
        <v>1</v>
      </c>
      <c r="MP87" s="253" t="str">
        <f t="shared" ca="1" si="39"/>
        <v/>
      </c>
      <c r="MQ87" t="e">
        <f t="shared" ca="1" si="160"/>
        <v>#N/A</v>
      </c>
      <c r="MR87" s="238" t="e">
        <f ca="1">VLOOKUP(ME87,Foglio1ti!AB79:AZ379,13)-MQ87</f>
        <v>#N/A</v>
      </c>
      <c r="MS87" t="e">
        <f t="shared" ca="1" si="40"/>
        <v>#N/A</v>
      </c>
      <c r="MT87" t="e">
        <f t="shared" ca="1" si="41"/>
        <v>#N/A</v>
      </c>
      <c r="MU87" s="238" t="e">
        <f ca="1">VLOOKUP(ME87,Foglio1ti!AB79:AZ379,13)-MT87</f>
        <v>#N/A</v>
      </c>
      <c r="MV87" t="e">
        <f t="shared" ca="1" si="42"/>
        <v>#N/A</v>
      </c>
      <c r="MW87">
        <f t="shared" ca="1" si="140"/>
        <v>0</v>
      </c>
      <c r="MX87">
        <f ca="1">IF(AND(frontti!$H$25="SI",ML87="3-8 anni"),INDIRECT(CONCATENATE($MR$37,"BI",MU87)),0)</f>
        <v>0</v>
      </c>
      <c r="MY87" s="254"/>
    </row>
    <row r="88" spans="1:363" x14ac:dyDescent="0.25">
      <c r="B88" s="112" t="e">
        <f t="shared" si="44"/>
        <v>#N/A</v>
      </c>
      <c r="E88" s="240" t="str">
        <f>Foglio3!F68</f>
        <v/>
      </c>
      <c r="F88" s="240" t="str">
        <f>Foglio3!G68</f>
        <v/>
      </c>
      <c r="G88" s="244"/>
      <c r="H88" s="245" t="e">
        <f t="shared" si="45"/>
        <v>#VALUE!</v>
      </c>
      <c r="I88" s="245" t="e">
        <f t="shared" si="8"/>
        <v>#VALUE!</v>
      </c>
      <c r="J88" s="244"/>
      <c r="K88" s="244"/>
      <c r="Q88" t="e">
        <f t="shared" si="9"/>
        <v>#VALUE!</v>
      </c>
      <c r="R88" t="e">
        <f t="shared" si="142"/>
        <v>#VALUE!</v>
      </c>
      <c r="S88" t="e">
        <f t="shared" si="46"/>
        <v>#VALUE!</v>
      </c>
      <c r="T88" t="e">
        <f t="shared" si="129"/>
        <v>#VALUE!</v>
      </c>
      <c r="U88" t="e">
        <f t="shared" si="130"/>
        <v>#VALUE!</v>
      </c>
      <c r="W88" t="e">
        <f t="shared" si="176"/>
        <v>#VALUE!</v>
      </c>
      <c r="X88" t="e">
        <f t="shared" si="176"/>
        <v>#VALUE!</v>
      </c>
      <c r="Y88" t="e">
        <f t="shared" si="176"/>
        <v>#VALUE!</v>
      </c>
      <c r="AA88" s="112" t="e">
        <f t="shared" si="103"/>
        <v>#VALUE!</v>
      </c>
      <c r="AB88" s="112" t="e">
        <f t="shared" si="104"/>
        <v>#VALUE!</v>
      </c>
      <c r="AG88" t="e">
        <f t="shared" si="47"/>
        <v>#VALUE!</v>
      </c>
      <c r="AH88" s="112" t="e">
        <f t="shared" si="48"/>
        <v>#VALUE!</v>
      </c>
      <c r="AI88" s="112" t="e">
        <f t="shared" si="48"/>
        <v>#VALUE!</v>
      </c>
      <c r="CX88" s="112">
        <f t="shared" si="56"/>
        <v>100000</v>
      </c>
      <c r="CY88" s="112">
        <f t="shared" si="115"/>
        <v>100000</v>
      </c>
      <c r="CZ88" s="112">
        <f t="shared" si="116"/>
        <v>100000</v>
      </c>
      <c r="DA88" s="112">
        <f t="shared" si="117"/>
        <v>100000</v>
      </c>
      <c r="DB88" s="112">
        <f t="shared" si="118"/>
        <v>100000</v>
      </c>
      <c r="DC88" s="112">
        <f t="shared" si="119"/>
        <v>100000</v>
      </c>
      <c r="DU88" s="112"/>
      <c r="DV88" s="112"/>
      <c r="DW88" s="276"/>
      <c r="DX88" s="276"/>
      <c r="DY88" s="276"/>
      <c r="DZ88" s="276"/>
      <c r="EF88" s="253"/>
      <c r="EK88" s="254"/>
      <c r="EV88" s="253"/>
      <c r="EX88" s="253"/>
      <c r="EY88" s="238"/>
      <c r="FR88" s="254"/>
      <c r="HO88" s="111" t="str">
        <f t="shared" si="21"/>
        <v/>
      </c>
      <c r="HP88">
        <f t="shared" si="82"/>
        <v>0</v>
      </c>
      <c r="HQ88" t="str">
        <f t="shared" si="83"/>
        <v/>
      </c>
      <c r="HR88" t="str">
        <f t="shared" si="173"/>
        <v/>
      </c>
      <c r="HS88" t="str">
        <f t="shared" si="174"/>
        <v/>
      </c>
      <c r="HX88" s="253" t="s">
        <v>187</v>
      </c>
      <c r="HY88" s="112" t="e">
        <f t="shared" si="86"/>
        <v>#VALUE!</v>
      </c>
      <c r="HZ88" t="s">
        <v>188</v>
      </c>
      <c r="IA88" s="112" t="e">
        <f t="shared" si="87"/>
        <v>#VALUE!</v>
      </c>
      <c r="IB88" t="s">
        <v>189</v>
      </c>
      <c r="IC88" t="e">
        <f t="shared" si="88"/>
        <v>#VALUE!</v>
      </c>
      <c r="ID88" t="s">
        <v>192</v>
      </c>
      <c r="IE88" t="e">
        <f t="shared" si="89"/>
        <v>#VALUE!</v>
      </c>
      <c r="IF88" t="s">
        <v>191</v>
      </c>
      <c r="IG88" s="254" t="e">
        <f t="shared" si="90"/>
        <v>#VALUE!</v>
      </c>
      <c r="IL88" t="e">
        <f t="shared" si="91"/>
        <v>#VALUE!</v>
      </c>
      <c r="LL88" s="112">
        <f>Foglio7ti!GF89</f>
        <v>0</v>
      </c>
      <c r="LM88" s="308">
        <f t="shared" si="27"/>
        <v>100000</v>
      </c>
      <c r="LN88" s="112"/>
      <c r="LO88">
        <f t="shared" si="100"/>
        <v>50</v>
      </c>
      <c r="LP88" s="308">
        <f t="shared" ca="1" si="28"/>
        <v>100000</v>
      </c>
      <c r="LQ88" s="112"/>
      <c r="LS88" s="263">
        <f t="shared" si="29"/>
        <v>50</v>
      </c>
      <c r="LT88" s="308">
        <f t="shared" ca="1" si="30"/>
        <v>100000</v>
      </c>
      <c r="LW88" s="308">
        <f t="shared" ca="1" si="31"/>
        <v>100000</v>
      </c>
      <c r="LZ88" s="308">
        <f t="shared" ca="1" si="32"/>
        <v>100000</v>
      </c>
      <c r="MC88" s="308">
        <f t="shared" ca="1" si="175"/>
        <v>100000</v>
      </c>
      <c r="MD88" t="str">
        <f t="shared" ca="1" si="177"/>
        <v/>
      </c>
      <c r="ME88" s="338" t="str">
        <f t="shared" ca="1" si="179"/>
        <v/>
      </c>
      <c r="MF88" s="338" t="str">
        <f t="shared" ca="1" si="180"/>
        <v/>
      </c>
      <c r="MG88" s="337" t="str">
        <f t="shared" ca="1" si="181"/>
        <v/>
      </c>
      <c r="MH88" s="338" t="str">
        <f t="shared" ca="1" si="35"/>
        <v/>
      </c>
      <c r="MI88" s="337" t="str">
        <f t="shared" ca="1" si="36"/>
        <v/>
      </c>
      <c r="MJ88" s="337" t="str">
        <f t="shared" ca="1" si="182"/>
        <v/>
      </c>
      <c r="MK88" s="337" t="str">
        <f t="shared" ca="1" si="166"/>
        <v/>
      </c>
      <c r="ML88" s="337" t="str">
        <f ca="1">IF(ME88&lt;&gt;"",VLOOKUP(ME88,Foglio7ti!$GF$40:$GG$92,2),"")</f>
        <v/>
      </c>
      <c r="MM88" s="282" t="str">
        <f t="shared" ca="1" si="38"/>
        <v/>
      </c>
      <c r="MN88" s="282"/>
      <c r="MO88" s="320">
        <f t="shared" si="128"/>
        <v>1</v>
      </c>
      <c r="MP88" s="253" t="str">
        <f t="shared" ca="1" si="39"/>
        <v/>
      </c>
      <c r="MQ88" t="e">
        <f t="shared" ca="1" si="160"/>
        <v>#N/A</v>
      </c>
      <c r="MR88" s="238" t="e">
        <f ca="1">VLOOKUP(ME88,Foglio1ti!AB80:AZ380,13)-MQ88</f>
        <v>#N/A</v>
      </c>
      <c r="MS88" t="e">
        <f t="shared" ca="1" si="40"/>
        <v>#N/A</v>
      </c>
      <c r="MT88" t="e">
        <f t="shared" ca="1" si="41"/>
        <v>#N/A</v>
      </c>
      <c r="MU88" s="238" t="e">
        <f ca="1">VLOOKUP(ME88,Foglio1ti!AB80:AZ380,13)-MT88</f>
        <v>#N/A</v>
      </c>
      <c r="MV88" t="e">
        <f t="shared" ca="1" si="42"/>
        <v>#N/A</v>
      </c>
      <c r="MW88">
        <f t="shared" ca="1" si="140"/>
        <v>0</v>
      </c>
      <c r="MX88">
        <f ca="1">IF(AND(frontti!$H$25="SI",ML88="3-8 anni"),INDIRECT(CONCATENATE($MR$37,"BI",MU88)),0)</f>
        <v>0</v>
      </c>
      <c r="MY88" s="254"/>
    </row>
    <row r="89" spans="1:363" x14ac:dyDescent="0.25">
      <c r="B89" s="112" t="e">
        <f t="shared" si="44"/>
        <v>#N/A</v>
      </c>
      <c r="E89" s="240" t="str">
        <f>Foglio3!F69</f>
        <v/>
      </c>
      <c r="F89" s="240" t="str">
        <f>Foglio3!G69</f>
        <v/>
      </c>
      <c r="G89" s="244"/>
      <c r="H89" s="245" t="e">
        <f t="shared" si="45"/>
        <v>#VALUE!</v>
      </c>
      <c r="I89" s="245" t="e">
        <f t="shared" si="8"/>
        <v>#VALUE!</v>
      </c>
      <c r="J89" s="244"/>
      <c r="K89" s="244"/>
      <c r="Q89" t="e">
        <f t="shared" si="9"/>
        <v>#VALUE!</v>
      </c>
      <c r="R89" t="e">
        <f t="shared" si="142"/>
        <v>#VALUE!</v>
      </c>
      <c r="S89" t="e">
        <f t="shared" si="46"/>
        <v>#VALUE!</v>
      </c>
      <c r="T89" t="e">
        <f t="shared" si="129"/>
        <v>#VALUE!</v>
      </c>
      <c r="U89" t="e">
        <f t="shared" si="130"/>
        <v>#VALUE!</v>
      </c>
      <c r="W89" t="e">
        <f t="shared" si="176"/>
        <v>#VALUE!</v>
      </c>
      <c r="X89" t="e">
        <f t="shared" si="176"/>
        <v>#VALUE!</v>
      </c>
      <c r="Y89" t="e">
        <f t="shared" si="176"/>
        <v>#VALUE!</v>
      </c>
      <c r="AA89" s="112" t="e">
        <f t="shared" si="103"/>
        <v>#VALUE!</v>
      </c>
      <c r="AB89" s="112" t="e">
        <f t="shared" si="104"/>
        <v>#VALUE!</v>
      </c>
      <c r="AG89" t="e">
        <f t="shared" si="47"/>
        <v>#VALUE!</v>
      </c>
      <c r="AH89" s="112" t="e">
        <f t="shared" si="48"/>
        <v>#VALUE!</v>
      </c>
      <c r="AI89" s="112" t="e">
        <f t="shared" si="48"/>
        <v>#VALUE!</v>
      </c>
      <c r="CX89" s="112">
        <f t="shared" si="56"/>
        <v>100000</v>
      </c>
      <c r="CY89" s="112">
        <f t="shared" si="115"/>
        <v>100000</v>
      </c>
      <c r="CZ89" s="112">
        <f t="shared" si="116"/>
        <v>100000</v>
      </c>
      <c r="DA89" s="112">
        <f t="shared" si="117"/>
        <v>100000</v>
      </c>
      <c r="DB89" s="112">
        <f t="shared" si="118"/>
        <v>100000</v>
      </c>
      <c r="DC89" s="112">
        <f t="shared" si="119"/>
        <v>100000</v>
      </c>
      <c r="DU89" s="112"/>
      <c r="DV89" s="112"/>
      <c r="DW89" s="276"/>
      <c r="DX89" s="276"/>
      <c r="DY89" s="276"/>
      <c r="DZ89" s="276"/>
      <c r="EF89" s="253"/>
      <c r="EK89" s="254"/>
      <c r="EV89" s="253"/>
      <c r="EX89" s="253"/>
      <c r="EY89" s="238"/>
      <c r="FR89" s="254"/>
      <c r="HO89" s="111" t="str">
        <f t="shared" si="21"/>
        <v/>
      </c>
      <c r="HP89">
        <f t="shared" si="82"/>
        <v>0</v>
      </c>
      <c r="HQ89" t="str">
        <f t="shared" si="83"/>
        <v/>
      </c>
      <c r="HR89" t="str">
        <f t="shared" si="173"/>
        <v/>
      </c>
      <c r="HS89" t="str">
        <f t="shared" si="174"/>
        <v/>
      </c>
      <c r="HX89" s="253" t="s">
        <v>187</v>
      </c>
      <c r="HY89" s="112" t="e">
        <f t="shared" si="86"/>
        <v>#VALUE!</v>
      </c>
      <c r="HZ89" t="s">
        <v>188</v>
      </c>
      <c r="IA89" s="112" t="e">
        <f t="shared" si="87"/>
        <v>#VALUE!</v>
      </c>
      <c r="IB89" t="s">
        <v>189</v>
      </c>
      <c r="IC89" t="e">
        <f t="shared" si="88"/>
        <v>#VALUE!</v>
      </c>
      <c r="ID89" t="s">
        <v>192</v>
      </c>
      <c r="IE89" t="e">
        <f t="shared" si="89"/>
        <v>#VALUE!</v>
      </c>
      <c r="IF89" t="s">
        <v>191</v>
      </c>
      <c r="IG89" s="254" t="e">
        <f t="shared" si="90"/>
        <v>#VALUE!</v>
      </c>
      <c r="IL89" t="e">
        <f t="shared" si="91"/>
        <v>#VALUE!</v>
      </c>
      <c r="LL89" s="112">
        <f>Foglio7ti!GF90</f>
        <v>0</v>
      </c>
      <c r="LM89" s="308">
        <f t="shared" si="27"/>
        <v>100000</v>
      </c>
      <c r="LN89" s="112"/>
      <c r="LO89">
        <f t="shared" si="100"/>
        <v>51</v>
      </c>
      <c r="LP89" s="308">
        <f t="shared" ca="1" si="28"/>
        <v>100000</v>
      </c>
      <c r="LQ89" s="112"/>
      <c r="LS89" s="263">
        <f t="shared" si="29"/>
        <v>51</v>
      </c>
      <c r="LT89" s="308">
        <f t="shared" ca="1" si="30"/>
        <v>100000</v>
      </c>
      <c r="LW89" s="308">
        <f t="shared" ca="1" si="31"/>
        <v>100000</v>
      </c>
      <c r="LZ89" s="308">
        <f t="shared" ca="1" si="32"/>
        <v>100000</v>
      </c>
      <c r="MC89" s="308">
        <f t="shared" ca="1" si="175"/>
        <v>100000</v>
      </c>
      <c r="MD89" t="str">
        <f t="shared" ca="1" si="177"/>
        <v/>
      </c>
      <c r="ME89" s="338" t="str">
        <f t="shared" ca="1" si="179"/>
        <v/>
      </c>
      <c r="MF89" s="338" t="str">
        <f t="shared" ca="1" si="180"/>
        <v/>
      </c>
      <c r="MG89" s="337" t="str">
        <f t="shared" ca="1" si="181"/>
        <v/>
      </c>
      <c r="MH89" s="338" t="str">
        <f t="shared" ca="1" si="35"/>
        <v/>
      </c>
      <c r="MI89" s="337" t="str">
        <f t="shared" ca="1" si="36"/>
        <v/>
      </c>
      <c r="MJ89" s="337" t="str">
        <f t="shared" ca="1" si="182"/>
        <v/>
      </c>
      <c r="MK89" s="337" t="str">
        <f t="shared" ca="1" si="166"/>
        <v/>
      </c>
      <c r="ML89" s="337" t="str">
        <f ca="1">IF(ME89&lt;&gt;"",VLOOKUP(ME89,Foglio7ti!$GF$40:$GG$92,2),"")</f>
        <v/>
      </c>
      <c r="MM89" s="282" t="str">
        <f t="shared" ca="1" si="38"/>
        <v/>
      </c>
      <c r="MN89" s="282"/>
      <c r="MO89" s="320">
        <f t="shared" si="128"/>
        <v>1</v>
      </c>
      <c r="MP89" s="253" t="str">
        <f t="shared" ca="1" si="39"/>
        <v/>
      </c>
      <c r="MQ89" t="e">
        <f t="shared" ca="1" si="160"/>
        <v>#N/A</v>
      </c>
      <c r="MR89" s="238" t="e">
        <f ca="1">VLOOKUP(ME89,Foglio1ti!AB81:AZ381,13)-MQ89</f>
        <v>#N/A</v>
      </c>
      <c r="MS89" t="e">
        <f t="shared" ca="1" si="40"/>
        <v>#N/A</v>
      </c>
      <c r="MT89" t="e">
        <f t="shared" ca="1" si="41"/>
        <v>#N/A</v>
      </c>
      <c r="MU89" s="238" t="e">
        <f ca="1">VLOOKUP(ME89,Foglio1ti!AB81:AZ381,13)-MT89</f>
        <v>#N/A</v>
      </c>
      <c r="MV89" t="e">
        <f t="shared" ca="1" si="42"/>
        <v>#N/A</v>
      </c>
      <c r="MW89">
        <f t="shared" ca="1" si="140"/>
        <v>0</v>
      </c>
      <c r="MX89">
        <f ca="1">IF(AND(frontti!$H$25="SI",ML89="3-8 anni"),INDIRECT(CONCATENATE($MR$37,"BI",MU89)),0)</f>
        <v>0</v>
      </c>
      <c r="MY89" s="254"/>
    </row>
    <row r="90" spans="1:363" x14ac:dyDescent="0.25">
      <c r="E90" s="240" t="str">
        <f>Foglio3!F70</f>
        <v/>
      </c>
      <c r="F90" s="240" t="str">
        <f>Foglio3!G70</f>
        <v/>
      </c>
      <c r="G90" s="244"/>
      <c r="H90" s="245" t="e">
        <f t="shared" si="45"/>
        <v>#VALUE!</v>
      </c>
      <c r="I90" s="245" t="e">
        <f t="shared" si="8"/>
        <v>#VALUE!</v>
      </c>
      <c r="J90" s="244"/>
      <c r="K90" s="244"/>
      <c r="Q90" t="e">
        <f t="shared" si="9"/>
        <v>#VALUE!</v>
      </c>
      <c r="R90" t="e">
        <f t="shared" si="142"/>
        <v>#VALUE!</v>
      </c>
      <c r="S90" t="e">
        <f t="shared" si="46"/>
        <v>#VALUE!</v>
      </c>
      <c r="T90" t="e">
        <f t="shared" si="129"/>
        <v>#VALUE!</v>
      </c>
      <c r="U90" t="e">
        <f t="shared" si="130"/>
        <v>#VALUE!</v>
      </c>
      <c r="W90" t="e">
        <f t="shared" si="176"/>
        <v>#VALUE!</v>
      </c>
      <c r="X90" t="e">
        <f t="shared" si="176"/>
        <v>#VALUE!</v>
      </c>
      <c r="Y90" t="e">
        <f t="shared" si="176"/>
        <v>#VALUE!</v>
      </c>
      <c r="AA90" s="112" t="e">
        <f t="shared" si="103"/>
        <v>#VALUE!</v>
      </c>
      <c r="AB90" s="112" t="e">
        <f t="shared" si="104"/>
        <v>#VALUE!</v>
      </c>
      <c r="AG90" t="e">
        <f t="shared" si="47"/>
        <v>#VALUE!</v>
      </c>
      <c r="AH90" s="112" t="e">
        <f t="shared" si="48"/>
        <v>#VALUE!</v>
      </c>
      <c r="AI90" s="112" t="e">
        <f t="shared" si="48"/>
        <v>#VALUE!</v>
      </c>
      <c r="CX90" s="112">
        <f t="shared" si="56"/>
        <v>100000</v>
      </c>
      <c r="CY90" s="112">
        <f t="shared" si="115"/>
        <v>100000</v>
      </c>
      <c r="CZ90" s="112">
        <f t="shared" si="116"/>
        <v>100000</v>
      </c>
      <c r="DA90" s="112">
        <f t="shared" si="117"/>
        <v>100000</v>
      </c>
      <c r="DB90" s="112">
        <f t="shared" si="118"/>
        <v>100000</v>
      </c>
      <c r="DC90" s="112">
        <f t="shared" si="119"/>
        <v>100000</v>
      </c>
      <c r="DU90" s="112"/>
      <c r="DV90" s="112"/>
      <c r="DW90" s="276"/>
      <c r="DX90" s="276"/>
      <c r="DY90" s="276"/>
      <c r="DZ90" s="276"/>
      <c r="EF90" s="253"/>
      <c r="EK90" s="254"/>
      <c r="EV90" s="253"/>
      <c r="EX90" s="253"/>
      <c r="EY90" s="238"/>
      <c r="FR90" s="254"/>
      <c r="HO90" s="111" t="str">
        <f t="shared" si="21"/>
        <v/>
      </c>
      <c r="HP90">
        <f t="shared" si="82"/>
        <v>0</v>
      </c>
      <c r="HQ90" t="str">
        <f t="shared" si="83"/>
        <v/>
      </c>
      <c r="HR90" t="str">
        <f t="shared" si="173"/>
        <v/>
      </c>
      <c r="HS90" t="str">
        <f t="shared" si="174"/>
        <v/>
      </c>
      <c r="HX90" s="253" t="s">
        <v>187</v>
      </c>
      <c r="HY90" s="112" t="e">
        <f t="shared" si="86"/>
        <v>#VALUE!</v>
      </c>
      <c r="HZ90" t="s">
        <v>188</v>
      </c>
      <c r="IA90" s="112" t="e">
        <f t="shared" si="87"/>
        <v>#VALUE!</v>
      </c>
      <c r="IB90" t="s">
        <v>189</v>
      </c>
      <c r="IC90" t="e">
        <f t="shared" si="88"/>
        <v>#VALUE!</v>
      </c>
      <c r="ID90" t="s">
        <v>192</v>
      </c>
      <c r="IE90" t="e">
        <f t="shared" si="89"/>
        <v>#VALUE!</v>
      </c>
      <c r="IF90" t="s">
        <v>191</v>
      </c>
      <c r="IG90" s="254" t="e">
        <f t="shared" si="90"/>
        <v>#VALUE!</v>
      </c>
      <c r="IL90" t="e">
        <f t="shared" si="91"/>
        <v>#VALUE!</v>
      </c>
      <c r="LL90" s="112">
        <f>Foglio7ti!GF91</f>
        <v>0</v>
      </c>
      <c r="LM90" s="308">
        <f t="shared" si="27"/>
        <v>100000</v>
      </c>
      <c r="LN90" s="112"/>
      <c r="LO90">
        <f t="shared" si="100"/>
        <v>52</v>
      </c>
      <c r="LP90" s="308">
        <f t="shared" ca="1" si="28"/>
        <v>100000</v>
      </c>
      <c r="LQ90" s="112"/>
      <c r="LS90" s="263">
        <f t="shared" si="29"/>
        <v>52</v>
      </c>
      <c r="LT90" s="308">
        <f t="shared" ca="1" si="30"/>
        <v>100000</v>
      </c>
      <c r="LW90" s="308">
        <f t="shared" ca="1" si="31"/>
        <v>100000</v>
      </c>
      <c r="LZ90" s="308">
        <f t="shared" ca="1" si="32"/>
        <v>100000</v>
      </c>
      <c r="MC90" s="308">
        <f t="shared" ca="1" si="175"/>
        <v>100000</v>
      </c>
      <c r="MD90" t="str">
        <f t="shared" ca="1" si="177"/>
        <v/>
      </c>
      <c r="ME90" s="338" t="str">
        <f t="shared" ca="1" si="179"/>
        <v/>
      </c>
      <c r="MF90" s="338" t="str">
        <f t="shared" ca="1" si="180"/>
        <v/>
      </c>
      <c r="MG90" s="337" t="str">
        <f t="shared" ca="1" si="181"/>
        <v/>
      </c>
      <c r="MH90" s="338" t="str">
        <f t="shared" ca="1" si="35"/>
        <v/>
      </c>
      <c r="MI90" s="337" t="str">
        <f t="shared" ca="1" si="36"/>
        <v/>
      </c>
      <c r="MJ90" s="337" t="str">
        <f t="shared" ca="1" si="182"/>
        <v/>
      </c>
      <c r="MK90" s="337" t="str">
        <f t="shared" ca="1" si="166"/>
        <v/>
      </c>
      <c r="ML90" s="337" t="str">
        <f ca="1">IF(ME90&lt;&gt;"",VLOOKUP(ME90,Foglio7ti!$GF$40:$GG$92,2),"")</f>
        <v/>
      </c>
      <c r="MM90" s="282" t="str">
        <f t="shared" ca="1" si="38"/>
        <v/>
      </c>
      <c r="MN90" s="282"/>
      <c r="MO90" s="320">
        <f t="shared" si="128"/>
        <v>1</v>
      </c>
      <c r="MP90" s="253" t="str">
        <f t="shared" ca="1" si="39"/>
        <v/>
      </c>
      <c r="MQ90" t="e">
        <f t="shared" ca="1" si="160"/>
        <v>#N/A</v>
      </c>
      <c r="MR90" s="238" t="e">
        <f ca="1">VLOOKUP(ME90,Foglio1ti!AB82:AZ382,13)-MQ90</f>
        <v>#N/A</v>
      </c>
      <c r="MS90" t="e">
        <f t="shared" ca="1" si="40"/>
        <v>#N/A</v>
      </c>
      <c r="MT90" t="e">
        <f t="shared" ca="1" si="41"/>
        <v>#N/A</v>
      </c>
      <c r="MU90" s="238" t="e">
        <f ca="1">VLOOKUP(ME90,Foglio1ti!AB82:AZ382,13)-MT90</f>
        <v>#N/A</v>
      </c>
      <c r="MV90" t="e">
        <f t="shared" ca="1" si="42"/>
        <v>#N/A</v>
      </c>
      <c r="MW90">
        <f t="shared" ca="1" si="140"/>
        <v>0</v>
      </c>
      <c r="MX90">
        <f ca="1">IF(AND(frontti!$H$25="SI",ML90="3-8 anni"),INDIRECT(CONCATENATE($MR$37,"BI",MU90)),0)</f>
        <v>0</v>
      </c>
      <c r="MY90" s="254"/>
    </row>
    <row r="91" spans="1:363" x14ac:dyDescent="0.25">
      <c r="E91" s="240" t="str">
        <f>Foglio3!F71</f>
        <v/>
      </c>
      <c r="F91" s="240" t="str">
        <f>Foglio3!G71</f>
        <v/>
      </c>
      <c r="G91" s="244"/>
      <c r="H91" s="245" t="e">
        <f t="shared" si="45"/>
        <v>#VALUE!</v>
      </c>
      <c r="I91" s="245" t="e">
        <f t="shared" si="8"/>
        <v>#VALUE!</v>
      </c>
      <c r="J91" s="244"/>
      <c r="K91" s="244"/>
      <c r="Q91" t="e">
        <f t="shared" si="9"/>
        <v>#VALUE!</v>
      </c>
      <c r="R91" t="e">
        <f t="shared" si="142"/>
        <v>#VALUE!</v>
      </c>
      <c r="S91" t="e">
        <f t="shared" si="46"/>
        <v>#VALUE!</v>
      </c>
      <c r="T91" t="e">
        <f t="shared" si="129"/>
        <v>#VALUE!</v>
      </c>
      <c r="U91" t="e">
        <f t="shared" si="130"/>
        <v>#VALUE!</v>
      </c>
      <c r="W91" t="e">
        <f t="shared" ref="W91:Y106" si="185">S91+W90</f>
        <v>#VALUE!</v>
      </c>
      <c r="X91" t="e">
        <f t="shared" si="185"/>
        <v>#VALUE!</v>
      </c>
      <c r="Y91" t="e">
        <f t="shared" si="185"/>
        <v>#VALUE!</v>
      </c>
      <c r="AA91" s="112" t="e">
        <f t="shared" si="103"/>
        <v>#VALUE!</v>
      </c>
      <c r="AB91" s="112" t="e">
        <f t="shared" si="104"/>
        <v>#VALUE!</v>
      </c>
      <c r="AG91" t="e">
        <f t="shared" si="47"/>
        <v>#VALUE!</v>
      </c>
      <c r="AH91" s="112" t="e">
        <f t="shared" si="48"/>
        <v>#VALUE!</v>
      </c>
      <c r="AI91" s="112" t="e">
        <f t="shared" si="48"/>
        <v>#VALUE!</v>
      </c>
      <c r="CX91" s="112">
        <f t="shared" si="56"/>
        <v>100000</v>
      </c>
      <c r="CY91" s="112">
        <f t="shared" si="115"/>
        <v>100000</v>
      </c>
      <c r="CZ91" s="112">
        <f t="shared" si="116"/>
        <v>100000</v>
      </c>
      <c r="DA91" s="112">
        <f t="shared" si="117"/>
        <v>100000</v>
      </c>
      <c r="DB91" s="112">
        <f t="shared" si="118"/>
        <v>100000</v>
      </c>
      <c r="DC91" s="112">
        <f t="shared" si="119"/>
        <v>100000</v>
      </c>
      <c r="DU91" s="112"/>
      <c r="DV91" s="112"/>
      <c r="EF91" s="253"/>
      <c r="EK91" s="254"/>
      <c r="EV91" s="253"/>
      <c r="EX91" s="253"/>
      <c r="EY91" s="238"/>
      <c r="FR91" s="254"/>
      <c r="HO91" s="111" t="str">
        <f t="shared" si="21"/>
        <v/>
      </c>
      <c r="HP91">
        <f t="shared" si="82"/>
        <v>0</v>
      </c>
      <c r="HQ91" t="str">
        <f t="shared" si="83"/>
        <v/>
      </c>
      <c r="HR91" t="str">
        <f t="shared" si="173"/>
        <v/>
      </c>
      <c r="HS91" t="str">
        <f t="shared" si="174"/>
        <v/>
      </c>
      <c r="HX91" s="253" t="s">
        <v>187</v>
      </c>
      <c r="HY91" s="112" t="e">
        <f t="shared" si="86"/>
        <v>#VALUE!</v>
      </c>
      <c r="HZ91" t="s">
        <v>188</v>
      </c>
      <c r="IA91" s="112" t="e">
        <f t="shared" si="87"/>
        <v>#VALUE!</v>
      </c>
      <c r="IB91" t="s">
        <v>189</v>
      </c>
      <c r="IC91" t="e">
        <f t="shared" si="88"/>
        <v>#VALUE!</v>
      </c>
      <c r="ID91" t="s">
        <v>192</v>
      </c>
      <c r="IE91" t="e">
        <f t="shared" si="89"/>
        <v>#VALUE!</v>
      </c>
      <c r="IF91" t="s">
        <v>191</v>
      </c>
      <c r="IG91" s="254" t="e">
        <f t="shared" si="90"/>
        <v>#VALUE!</v>
      </c>
      <c r="IL91" t="e">
        <f t="shared" si="91"/>
        <v>#VALUE!</v>
      </c>
      <c r="LL91" s="112">
        <f>Foglio7ti!GF92</f>
        <v>0</v>
      </c>
      <c r="LM91" s="308">
        <f t="shared" si="27"/>
        <v>100000</v>
      </c>
      <c r="LN91" s="112"/>
      <c r="LO91">
        <f t="shared" si="100"/>
        <v>53</v>
      </c>
      <c r="LP91" s="308">
        <f t="shared" ca="1" si="28"/>
        <v>100000</v>
      </c>
      <c r="LQ91" s="112"/>
      <c r="LS91" s="263">
        <f t="shared" si="29"/>
        <v>53</v>
      </c>
      <c r="LT91" s="308">
        <f t="shared" ca="1" si="30"/>
        <v>100000</v>
      </c>
      <c r="LW91" s="308">
        <f t="shared" ca="1" si="31"/>
        <v>100000</v>
      </c>
      <c r="LZ91" s="308">
        <f t="shared" ca="1" si="32"/>
        <v>100000</v>
      </c>
      <c r="MC91" s="308">
        <f t="shared" ca="1" si="175"/>
        <v>100000</v>
      </c>
      <c r="MD91" t="str">
        <f t="shared" ca="1" si="177"/>
        <v/>
      </c>
      <c r="ME91" s="338" t="str">
        <f t="shared" ca="1" si="179"/>
        <v/>
      </c>
      <c r="MF91" s="338" t="str">
        <f t="shared" ca="1" si="180"/>
        <v/>
      </c>
      <c r="MG91" s="337" t="str">
        <f t="shared" ca="1" si="181"/>
        <v/>
      </c>
      <c r="MH91" s="338" t="str">
        <f t="shared" ca="1" si="35"/>
        <v/>
      </c>
      <c r="MI91" s="337" t="str">
        <f t="shared" ca="1" si="36"/>
        <v/>
      </c>
      <c r="MJ91" s="337" t="str">
        <f t="shared" ca="1" si="182"/>
        <v/>
      </c>
      <c r="MK91" s="337" t="str">
        <f t="shared" ca="1" si="166"/>
        <v/>
      </c>
      <c r="ML91" s="337" t="str">
        <f ca="1">IF(ME91&lt;&gt;"",VLOOKUP(ME91,Foglio7ti!$GF$40:$GG$92,2),"")</f>
        <v/>
      </c>
      <c r="MM91" s="282" t="str">
        <f t="shared" ca="1" si="38"/>
        <v/>
      </c>
      <c r="MN91" s="282"/>
      <c r="MO91" s="320">
        <f t="shared" si="128"/>
        <v>1</v>
      </c>
      <c r="MP91" s="253" t="str">
        <f t="shared" ca="1" si="39"/>
        <v/>
      </c>
      <c r="MQ91" t="e">
        <f t="shared" ca="1" si="160"/>
        <v>#N/A</v>
      </c>
      <c r="MR91" s="238" t="e">
        <f ca="1">VLOOKUP(ME91,Foglio1ti!AB83:AZ383,13)-MQ91</f>
        <v>#N/A</v>
      </c>
      <c r="MS91" t="e">
        <f t="shared" ca="1" si="40"/>
        <v>#N/A</v>
      </c>
      <c r="MT91" t="e">
        <f t="shared" ca="1" si="41"/>
        <v>#N/A</v>
      </c>
      <c r="MU91" s="238" t="e">
        <f ca="1">VLOOKUP(ME91,Foglio1ti!AB83:AZ383,13)-MT91</f>
        <v>#N/A</v>
      </c>
      <c r="MV91" t="e">
        <f t="shared" ca="1" si="42"/>
        <v>#N/A</v>
      </c>
      <c r="MW91">
        <f t="shared" ca="1" si="140"/>
        <v>0</v>
      </c>
      <c r="MX91">
        <f ca="1">IF(AND(frontti!$H$25="SI",ML91="3-8 anni"),INDIRECT(CONCATENATE($MR$37,"BI",MU91)),0)</f>
        <v>0</v>
      </c>
      <c r="MY91" s="254"/>
    </row>
    <row r="92" spans="1:363" x14ac:dyDescent="0.25">
      <c r="E92" s="240" t="str">
        <f>Foglio3!F72</f>
        <v/>
      </c>
      <c r="F92" s="240" t="str">
        <f>Foglio3!G72</f>
        <v/>
      </c>
      <c r="G92" s="244"/>
      <c r="H92" s="245" t="e">
        <f t="shared" si="45"/>
        <v>#VALUE!</v>
      </c>
      <c r="I92" s="245" t="e">
        <f t="shared" si="8"/>
        <v>#VALUE!</v>
      </c>
      <c r="J92" s="244"/>
      <c r="K92" s="244"/>
      <c r="Q92" t="e">
        <f t="shared" si="9"/>
        <v>#VALUE!</v>
      </c>
      <c r="R92" t="e">
        <f t="shared" si="142"/>
        <v>#VALUE!</v>
      </c>
      <c r="S92" t="e">
        <f t="shared" si="46"/>
        <v>#VALUE!</v>
      </c>
      <c r="T92" t="e">
        <f t="shared" si="129"/>
        <v>#VALUE!</v>
      </c>
      <c r="U92" t="e">
        <f t="shared" si="130"/>
        <v>#VALUE!</v>
      </c>
      <c r="W92" t="e">
        <f t="shared" si="185"/>
        <v>#VALUE!</v>
      </c>
      <c r="X92" t="e">
        <f t="shared" si="185"/>
        <v>#VALUE!</v>
      </c>
      <c r="Y92" t="e">
        <f t="shared" si="185"/>
        <v>#VALUE!</v>
      </c>
      <c r="AA92" s="112" t="e">
        <f t="shared" si="103"/>
        <v>#VALUE!</v>
      </c>
      <c r="AB92" s="112" t="e">
        <f t="shared" si="104"/>
        <v>#VALUE!</v>
      </c>
      <c r="AG92" t="e">
        <f t="shared" si="47"/>
        <v>#VALUE!</v>
      </c>
      <c r="AH92" s="112" t="e">
        <f t="shared" si="48"/>
        <v>#VALUE!</v>
      </c>
      <c r="AI92" s="112" t="e">
        <f t="shared" si="48"/>
        <v>#VALUE!</v>
      </c>
      <c r="CX92" s="112">
        <f t="shared" si="56"/>
        <v>100000</v>
      </c>
      <c r="CY92" s="112">
        <f t="shared" si="115"/>
        <v>100000</v>
      </c>
      <c r="CZ92" s="112">
        <f t="shared" si="116"/>
        <v>100000</v>
      </c>
      <c r="DA92" s="112">
        <f t="shared" si="117"/>
        <v>100000</v>
      </c>
      <c r="DB92" s="112">
        <f t="shared" si="118"/>
        <v>100000</v>
      </c>
      <c r="DC92" s="112">
        <f t="shared" si="119"/>
        <v>100000</v>
      </c>
      <c r="DU92" s="112"/>
      <c r="DV92" s="112"/>
      <c r="EF92" s="253"/>
      <c r="EK92" s="254"/>
      <c r="EV92" s="253"/>
      <c r="EX92" s="253"/>
      <c r="EY92" s="238"/>
      <c r="FR92" s="254"/>
      <c r="HO92" s="111" t="str">
        <f t="shared" si="21"/>
        <v/>
      </c>
      <c r="HP92">
        <f t="shared" si="82"/>
        <v>0</v>
      </c>
      <c r="HQ92" t="str">
        <f t="shared" si="83"/>
        <v/>
      </c>
      <c r="HR92" t="str">
        <f t="shared" si="173"/>
        <v/>
      </c>
      <c r="HS92" t="str">
        <f t="shared" si="174"/>
        <v/>
      </c>
      <c r="HX92" s="253" t="s">
        <v>187</v>
      </c>
      <c r="HY92" s="112" t="e">
        <f t="shared" si="86"/>
        <v>#VALUE!</v>
      </c>
      <c r="HZ92" t="s">
        <v>188</v>
      </c>
      <c r="IA92" s="112" t="e">
        <f t="shared" si="87"/>
        <v>#VALUE!</v>
      </c>
      <c r="IB92" t="s">
        <v>189</v>
      </c>
      <c r="IC92" t="e">
        <f t="shared" si="88"/>
        <v>#VALUE!</v>
      </c>
      <c r="ID92" t="s">
        <v>192</v>
      </c>
      <c r="IE92" t="e">
        <f t="shared" si="89"/>
        <v>#VALUE!</v>
      </c>
      <c r="IF92" t="s">
        <v>191</v>
      </c>
      <c r="IG92" s="254" t="e">
        <f t="shared" si="90"/>
        <v>#VALUE!</v>
      </c>
      <c r="IL92" t="e">
        <f t="shared" si="91"/>
        <v>#VALUE!</v>
      </c>
      <c r="LL92" s="112">
        <f>Foglio7ti!GF93</f>
        <v>0</v>
      </c>
      <c r="LM92" s="308">
        <f t="shared" si="27"/>
        <v>100000</v>
      </c>
      <c r="LN92" s="112"/>
      <c r="LO92">
        <f t="shared" si="100"/>
        <v>54</v>
      </c>
      <c r="LP92" s="308">
        <f t="shared" ca="1" si="28"/>
        <v>100000</v>
      </c>
      <c r="LQ92" s="112"/>
      <c r="LS92" s="263">
        <f t="shared" si="29"/>
        <v>54</v>
      </c>
      <c r="LT92" s="308">
        <f t="shared" ca="1" si="30"/>
        <v>100000</v>
      </c>
      <c r="LW92" s="308">
        <f t="shared" ca="1" si="31"/>
        <v>100000</v>
      </c>
      <c r="LZ92" s="308">
        <f t="shared" ca="1" si="32"/>
        <v>100000</v>
      </c>
      <c r="MC92" s="308">
        <f t="shared" ca="1" si="175"/>
        <v>100000</v>
      </c>
      <c r="MD92" t="str">
        <f t="shared" ca="1" si="177"/>
        <v/>
      </c>
      <c r="ME92" s="338" t="str">
        <f t="shared" ca="1" si="179"/>
        <v/>
      </c>
      <c r="MF92" s="338" t="str">
        <f t="shared" ca="1" si="180"/>
        <v/>
      </c>
      <c r="MG92" s="337" t="str">
        <f t="shared" ca="1" si="181"/>
        <v/>
      </c>
      <c r="MH92" s="338" t="str">
        <f t="shared" ca="1" si="35"/>
        <v/>
      </c>
      <c r="MI92" s="337" t="str">
        <f t="shared" ca="1" si="36"/>
        <v/>
      </c>
      <c r="MJ92" s="337" t="str">
        <f t="shared" ca="1" si="182"/>
        <v/>
      </c>
      <c r="MK92" s="337" t="str">
        <f t="shared" ca="1" si="166"/>
        <v/>
      </c>
      <c r="ML92" s="337" t="str">
        <f ca="1">IF(ME92&lt;&gt;"",VLOOKUP(ME92,Foglio7ti!$GF$40:$GG$92,2),"")</f>
        <v/>
      </c>
      <c r="MM92" s="282" t="str">
        <f t="shared" ca="1" si="38"/>
        <v/>
      </c>
      <c r="MN92" s="282"/>
      <c r="MO92" s="320">
        <f t="shared" si="128"/>
        <v>1</v>
      </c>
      <c r="MP92" s="253" t="str">
        <f t="shared" ca="1" si="39"/>
        <v/>
      </c>
      <c r="MQ92" t="e">
        <f t="shared" ca="1" si="160"/>
        <v>#N/A</v>
      </c>
      <c r="MR92" s="238" t="e">
        <f ca="1">VLOOKUP(ME92,Foglio1ti!AB84:AZ384,13)-MQ92</f>
        <v>#N/A</v>
      </c>
      <c r="MS92" t="e">
        <f t="shared" ca="1" si="40"/>
        <v>#N/A</v>
      </c>
      <c r="MT92" t="e">
        <f t="shared" ca="1" si="41"/>
        <v>#N/A</v>
      </c>
      <c r="MU92" s="238" t="e">
        <f ca="1">VLOOKUP(ME92,Foglio1ti!AB84:AZ384,13)-MT92</f>
        <v>#N/A</v>
      </c>
      <c r="MV92" t="e">
        <f t="shared" ca="1" si="42"/>
        <v>#N/A</v>
      </c>
      <c r="MW92">
        <f t="shared" ca="1" si="140"/>
        <v>0</v>
      </c>
      <c r="MX92">
        <f ca="1">IF(AND(frontti!$H$25="SI",ML92="3-8 anni"),INDIRECT(CONCATENATE($MR$37,"BI",MU92)),0)</f>
        <v>0</v>
      </c>
      <c r="MY92" s="254"/>
    </row>
    <row r="93" spans="1:363" x14ac:dyDescent="0.25">
      <c r="E93" s="240" t="str">
        <f>Foglio3!F73</f>
        <v/>
      </c>
      <c r="F93" s="240" t="str">
        <f>Foglio3!G73</f>
        <v/>
      </c>
      <c r="G93" s="244"/>
      <c r="H93" s="245" t="e">
        <f t="shared" si="45"/>
        <v>#VALUE!</v>
      </c>
      <c r="I93" s="245" t="e">
        <f t="shared" si="8"/>
        <v>#VALUE!</v>
      </c>
      <c r="J93" s="244"/>
      <c r="K93" s="244"/>
      <c r="Q93" t="e">
        <f t="shared" si="9"/>
        <v>#VALUE!</v>
      </c>
      <c r="R93" t="e">
        <f t="shared" si="142"/>
        <v>#VALUE!</v>
      </c>
      <c r="S93" t="e">
        <f t="shared" si="46"/>
        <v>#VALUE!</v>
      </c>
      <c r="T93" t="e">
        <f t="shared" si="129"/>
        <v>#VALUE!</v>
      </c>
      <c r="U93" t="e">
        <f t="shared" si="130"/>
        <v>#VALUE!</v>
      </c>
      <c r="W93" t="e">
        <f t="shared" si="185"/>
        <v>#VALUE!</v>
      </c>
      <c r="X93" t="e">
        <f t="shared" si="185"/>
        <v>#VALUE!</v>
      </c>
      <c r="Y93" t="e">
        <f t="shared" si="185"/>
        <v>#VALUE!</v>
      </c>
      <c r="AA93" s="112" t="e">
        <f t="shared" si="103"/>
        <v>#VALUE!</v>
      </c>
      <c r="AB93" s="112" t="e">
        <f t="shared" si="104"/>
        <v>#VALUE!</v>
      </c>
      <c r="AG93" t="e">
        <f t="shared" si="47"/>
        <v>#VALUE!</v>
      </c>
      <c r="AH93" s="112" t="e">
        <f t="shared" si="48"/>
        <v>#VALUE!</v>
      </c>
      <c r="AI93" s="112" t="e">
        <f t="shared" si="48"/>
        <v>#VALUE!</v>
      </c>
      <c r="CX93" s="112">
        <f t="shared" si="56"/>
        <v>100000</v>
      </c>
      <c r="CY93" s="112">
        <f t="shared" si="115"/>
        <v>100000</v>
      </c>
      <c r="CZ93" s="112">
        <f t="shared" si="116"/>
        <v>100000</v>
      </c>
      <c r="DA93" s="112">
        <f t="shared" si="117"/>
        <v>100000</v>
      </c>
      <c r="DB93" s="112">
        <f t="shared" si="118"/>
        <v>100000</v>
      </c>
      <c r="DC93" s="112">
        <f t="shared" si="119"/>
        <v>100000</v>
      </c>
      <c r="DU93" s="112"/>
      <c r="DV93" s="112"/>
      <c r="EF93" s="253"/>
      <c r="EK93" s="254"/>
      <c r="EV93" s="253"/>
      <c r="EX93" s="253"/>
      <c r="EY93" s="238"/>
      <c r="FR93" s="254"/>
      <c r="HO93" s="263" t="str">
        <f t="shared" si="21"/>
        <v/>
      </c>
      <c r="HP93">
        <f t="shared" si="82"/>
        <v>0</v>
      </c>
      <c r="HQ93" t="str">
        <f t="shared" si="83"/>
        <v/>
      </c>
      <c r="HR93" t="str">
        <f t="shared" si="173"/>
        <v/>
      </c>
      <c r="HS93" t="str">
        <f t="shared" si="174"/>
        <v/>
      </c>
      <c r="HX93" s="253" t="s">
        <v>187</v>
      </c>
      <c r="HY93" s="112" t="e">
        <f t="shared" si="86"/>
        <v>#VALUE!</v>
      </c>
      <c r="HZ93" t="s">
        <v>188</v>
      </c>
      <c r="IA93" s="112" t="e">
        <f t="shared" si="87"/>
        <v>#VALUE!</v>
      </c>
      <c r="IB93" t="s">
        <v>189</v>
      </c>
      <c r="IC93" t="e">
        <f t="shared" si="88"/>
        <v>#VALUE!</v>
      </c>
      <c r="ID93" t="s">
        <v>192</v>
      </c>
      <c r="IE93" t="e">
        <f t="shared" si="89"/>
        <v>#VALUE!</v>
      </c>
      <c r="IF93" t="s">
        <v>191</v>
      </c>
      <c r="IG93" s="254" t="e">
        <f t="shared" si="90"/>
        <v>#VALUE!</v>
      </c>
      <c r="IL93" t="e">
        <f t="shared" si="91"/>
        <v>#VALUE!</v>
      </c>
      <c r="LL93" s="112">
        <f>Foglio7ti!GF94</f>
        <v>0</v>
      </c>
      <c r="LM93" s="308">
        <f t="shared" si="27"/>
        <v>100000</v>
      </c>
      <c r="LN93" s="112"/>
      <c r="LO93">
        <f t="shared" si="100"/>
        <v>55</v>
      </c>
      <c r="LP93" s="308">
        <f t="shared" ca="1" si="28"/>
        <v>100000</v>
      </c>
      <c r="LQ93" s="112"/>
      <c r="LS93" s="263">
        <f t="shared" si="29"/>
        <v>55</v>
      </c>
      <c r="LT93" s="308">
        <f t="shared" ca="1" si="30"/>
        <v>100000</v>
      </c>
      <c r="LW93" s="308">
        <f t="shared" ca="1" si="31"/>
        <v>100000</v>
      </c>
      <c r="LZ93" s="308">
        <f t="shared" ca="1" si="32"/>
        <v>100000</v>
      </c>
      <c r="MC93" s="308">
        <f t="shared" ca="1" si="175"/>
        <v>100000</v>
      </c>
      <c r="MD93" t="str">
        <f t="shared" ca="1" si="177"/>
        <v/>
      </c>
      <c r="ME93" s="338" t="str">
        <f t="shared" ca="1" si="179"/>
        <v/>
      </c>
      <c r="MF93" s="338" t="str">
        <f t="shared" ca="1" si="180"/>
        <v/>
      </c>
      <c r="MG93" s="337" t="str">
        <f t="shared" ca="1" si="181"/>
        <v/>
      </c>
      <c r="MH93" s="338" t="str">
        <f t="shared" ca="1" si="35"/>
        <v/>
      </c>
      <c r="MI93" s="337" t="str">
        <f t="shared" ca="1" si="36"/>
        <v/>
      </c>
      <c r="MJ93" s="337" t="str">
        <f t="shared" ca="1" si="182"/>
        <v/>
      </c>
      <c r="MK93" s="337" t="str">
        <f t="shared" ca="1" si="166"/>
        <v/>
      </c>
      <c r="ML93" s="337" t="str">
        <f ca="1">IF(ME93&lt;&gt;"",VLOOKUP(ME93,Foglio7ti!$GF$40:$GG$92,2),"")</f>
        <v/>
      </c>
      <c r="MM93" s="282" t="str">
        <f t="shared" ca="1" si="38"/>
        <v/>
      </c>
      <c r="MN93" s="282"/>
      <c r="MO93" s="320">
        <f t="shared" si="128"/>
        <v>1</v>
      </c>
      <c r="MP93" s="253" t="str">
        <f t="shared" ca="1" si="39"/>
        <v/>
      </c>
      <c r="MQ93" t="e">
        <f t="shared" ca="1" si="160"/>
        <v>#N/A</v>
      </c>
      <c r="MR93" s="238" t="e">
        <f ca="1">VLOOKUP(ME93,Foglio1ti!AB85:AZ385,13)-MQ93</f>
        <v>#N/A</v>
      </c>
      <c r="MS93" t="e">
        <f t="shared" ca="1" si="40"/>
        <v>#N/A</v>
      </c>
      <c r="MT93" t="e">
        <f t="shared" ca="1" si="41"/>
        <v>#N/A</v>
      </c>
      <c r="MU93" s="238" t="e">
        <f ca="1">VLOOKUP(ME93,Foglio1ti!AB85:AZ385,13)-MT93</f>
        <v>#N/A</v>
      </c>
      <c r="MV93" t="e">
        <f t="shared" ca="1" si="42"/>
        <v>#N/A</v>
      </c>
      <c r="MW93">
        <f t="shared" ca="1" si="140"/>
        <v>0</v>
      </c>
      <c r="MX93">
        <f ca="1">IF(AND(frontti!$H$25="SI",ML93="3-8 anni"),INDIRECT(CONCATENATE($MR$37,"BI",MU93)),0)</f>
        <v>0</v>
      </c>
      <c r="MY93" s="254"/>
    </row>
    <row r="94" spans="1:363" x14ac:dyDescent="0.25">
      <c r="E94" s="240" t="str">
        <f>Foglio3!F74</f>
        <v/>
      </c>
      <c r="F94" s="240" t="str">
        <f>Foglio3!G74</f>
        <v/>
      </c>
      <c r="G94" s="244"/>
      <c r="H94" s="245" t="e">
        <f t="shared" si="45"/>
        <v>#VALUE!</v>
      </c>
      <c r="I94" s="245" t="e">
        <f t="shared" si="8"/>
        <v>#VALUE!</v>
      </c>
      <c r="J94" s="244"/>
      <c r="K94" s="244"/>
      <c r="Q94" t="e">
        <f t="shared" si="9"/>
        <v>#VALUE!</v>
      </c>
      <c r="R94" t="e">
        <f t="shared" si="142"/>
        <v>#VALUE!</v>
      </c>
      <c r="S94" t="e">
        <f t="shared" si="46"/>
        <v>#VALUE!</v>
      </c>
      <c r="T94" t="e">
        <f t="shared" si="129"/>
        <v>#VALUE!</v>
      </c>
      <c r="U94" t="e">
        <f t="shared" si="130"/>
        <v>#VALUE!</v>
      </c>
      <c r="W94" t="e">
        <f t="shared" si="185"/>
        <v>#VALUE!</v>
      </c>
      <c r="X94" t="e">
        <f t="shared" si="185"/>
        <v>#VALUE!</v>
      </c>
      <c r="Y94" t="e">
        <f t="shared" si="185"/>
        <v>#VALUE!</v>
      </c>
      <c r="AA94" s="112" t="e">
        <f t="shared" si="103"/>
        <v>#VALUE!</v>
      </c>
      <c r="AB94" s="112" t="e">
        <f t="shared" si="104"/>
        <v>#VALUE!</v>
      </c>
      <c r="AG94" t="e">
        <f t="shared" si="47"/>
        <v>#VALUE!</v>
      </c>
      <c r="AH94" s="112" t="e">
        <f t="shared" si="48"/>
        <v>#VALUE!</v>
      </c>
      <c r="AI94" s="112" t="e">
        <f t="shared" si="48"/>
        <v>#VALUE!</v>
      </c>
      <c r="CX94" s="112">
        <f t="shared" si="56"/>
        <v>100000</v>
      </c>
      <c r="CY94" s="112">
        <f t="shared" si="115"/>
        <v>100000</v>
      </c>
      <c r="CZ94" s="112">
        <f t="shared" si="116"/>
        <v>100000</v>
      </c>
      <c r="DA94" s="112">
        <f t="shared" si="117"/>
        <v>100000</v>
      </c>
      <c r="DB94" s="112">
        <f t="shared" si="118"/>
        <v>100000</v>
      </c>
      <c r="DC94" s="112">
        <f t="shared" si="119"/>
        <v>100000</v>
      </c>
      <c r="DU94" s="112"/>
      <c r="DV94" s="112"/>
      <c r="EF94" s="253"/>
      <c r="EK94" s="254"/>
      <c r="EV94" s="253"/>
      <c r="EX94" s="253"/>
      <c r="EY94" s="238"/>
      <c r="FR94" s="254"/>
      <c r="HO94" s="263" t="str">
        <f t="shared" si="21"/>
        <v/>
      </c>
      <c r="HP94">
        <f t="shared" si="82"/>
        <v>0</v>
      </c>
      <c r="HQ94" t="str">
        <f t="shared" si="83"/>
        <v/>
      </c>
      <c r="HR94" t="str">
        <f t="shared" si="173"/>
        <v/>
      </c>
      <c r="HS94" t="str">
        <f t="shared" si="174"/>
        <v/>
      </c>
      <c r="HX94" s="253" t="s">
        <v>187</v>
      </c>
      <c r="HY94" s="112" t="e">
        <f t="shared" si="86"/>
        <v>#VALUE!</v>
      </c>
      <c r="HZ94" t="s">
        <v>188</v>
      </c>
      <c r="IA94" s="112" t="e">
        <f t="shared" si="87"/>
        <v>#VALUE!</v>
      </c>
      <c r="IB94" t="s">
        <v>189</v>
      </c>
      <c r="IC94" t="e">
        <f t="shared" si="88"/>
        <v>#VALUE!</v>
      </c>
      <c r="ID94" t="s">
        <v>192</v>
      </c>
      <c r="IE94" t="e">
        <f t="shared" si="89"/>
        <v>#VALUE!</v>
      </c>
      <c r="IF94" t="s">
        <v>191</v>
      </c>
      <c r="IG94" s="254" t="e">
        <f t="shared" si="90"/>
        <v>#VALUE!</v>
      </c>
      <c r="IL94" t="e">
        <f t="shared" si="91"/>
        <v>#VALUE!</v>
      </c>
      <c r="LL94" s="112">
        <f>Foglio7ti!GF95</f>
        <v>0</v>
      </c>
      <c r="LM94" s="308">
        <f t="shared" si="27"/>
        <v>100000</v>
      </c>
      <c r="LN94" s="112"/>
      <c r="LO94">
        <f t="shared" si="100"/>
        <v>56</v>
      </c>
      <c r="LP94" s="308">
        <f t="shared" ca="1" si="28"/>
        <v>100000</v>
      </c>
      <c r="LQ94" s="112"/>
      <c r="LS94" s="263">
        <f t="shared" si="29"/>
        <v>56</v>
      </c>
      <c r="LT94" s="308">
        <f t="shared" ca="1" si="30"/>
        <v>100000</v>
      </c>
      <c r="LW94" s="308">
        <f t="shared" ca="1" si="31"/>
        <v>100000</v>
      </c>
      <c r="LZ94" s="308">
        <f t="shared" ca="1" si="32"/>
        <v>100000</v>
      </c>
      <c r="MC94" s="308">
        <f t="shared" ca="1" si="175"/>
        <v>100000</v>
      </c>
      <c r="MD94" t="str">
        <f t="shared" ca="1" si="177"/>
        <v/>
      </c>
      <c r="ME94" s="338" t="str">
        <f t="shared" ca="1" si="179"/>
        <v/>
      </c>
      <c r="MF94" s="338" t="str">
        <f t="shared" ca="1" si="180"/>
        <v/>
      </c>
      <c r="MG94" s="337" t="str">
        <f t="shared" ca="1" si="181"/>
        <v/>
      </c>
      <c r="MH94" s="338" t="str">
        <f t="shared" ca="1" si="35"/>
        <v/>
      </c>
      <c r="MI94" s="337" t="str">
        <f t="shared" ca="1" si="36"/>
        <v/>
      </c>
      <c r="MJ94" s="337" t="str">
        <f t="shared" ca="1" si="182"/>
        <v/>
      </c>
      <c r="MK94" s="337" t="str">
        <f t="shared" ca="1" si="166"/>
        <v/>
      </c>
      <c r="ML94" s="337" t="str">
        <f ca="1">IF(ME94&lt;&gt;"",VLOOKUP(ME94,Foglio7ti!$GF$40:$GG$92,2),"")</f>
        <v/>
      </c>
      <c r="MM94" s="282" t="str">
        <f t="shared" ca="1" si="38"/>
        <v/>
      </c>
      <c r="MN94" s="282"/>
      <c r="MO94" s="320">
        <f t="shared" si="128"/>
        <v>1</v>
      </c>
      <c r="MP94" s="253" t="str">
        <f t="shared" ca="1" si="39"/>
        <v/>
      </c>
      <c r="MQ94" t="e">
        <f t="shared" ca="1" si="160"/>
        <v>#N/A</v>
      </c>
      <c r="MR94" s="238" t="e">
        <f ca="1">VLOOKUP(ME94,Foglio1ti!AB86:AZ386,13)-MQ94</f>
        <v>#N/A</v>
      </c>
      <c r="MS94" t="e">
        <f t="shared" ca="1" si="40"/>
        <v>#N/A</v>
      </c>
      <c r="MT94" t="e">
        <f t="shared" ca="1" si="41"/>
        <v>#N/A</v>
      </c>
      <c r="MU94" s="238" t="e">
        <f ca="1">VLOOKUP(ME94,Foglio1ti!AB86:AZ386,13)-MT94</f>
        <v>#N/A</v>
      </c>
      <c r="MV94" t="e">
        <f t="shared" ca="1" si="42"/>
        <v>#N/A</v>
      </c>
      <c r="MW94">
        <f t="shared" ca="1" si="140"/>
        <v>0</v>
      </c>
      <c r="MX94">
        <f ca="1">IF(AND(frontti!$H$25="SI",ML94="3-8 anni"),INDIRECT(CONCATENATE($MR$37,"BI",MU94)),0)</f>
        <v>0</v>
      </c>
      <c r="MY94" s="254"/>
    </row>
    <row r="95" spans="1:363" x14ac:dyDescent="0.25">
      <c r="E95" s="240" t="str">
        <f>Foglio3!F75</f>
        <v/>
      </c>
      <c r="F95" s="240" t="str">
        <f>Foglio3!G75</f>
        <v/>
      </c>
      <c r="G95" s="244"/>
      <c r="H95" s="245" t="e">
        <f t="shared" si="45"/>
        <v>#VALUE!</v>
      </c>
      <c r="I95" s="245" t="e">
        <f t="shared" si="8"/>
        <v>#VALUE!</v>
      </c>
      <c r="J95" s="244"/>
      <c r="K95" s="244"/>
      <c r="Q95" t="e">
        <f t="shared" si="9"/>
        <v>#VALUE!</v>
      </c>
      <c r="R95" t="e">
        <f t="shared" si="142"/>
        <v>#VALUE!</v>
      </c>
      <c r="S95" t="e">
        <f t="shared" si="46"/>
        <v>#VALUE!</v>
      </c>
      <c r="T95" t="e">
        <f t="shared" si="129"/>
        <v>#VALUE!</v>
      </c>
      <c r="U95" t="e">
        <f t="shared" si="130"/>
        <v>#VALUE!</v>
      </c>
      <c r="W95" t="e">
        <f t="shared" si="185"/>
        <v>#VALUE!</v>
      </c>
      <c r="X95" t="e">
        <f t="shared" si="185"/>
        <v>#VALUE!</v>
      </c>
      <c r="Y95" t="e">
        <f t="shared" si="185"/>
        <v>#VALUE!</v>
      </c>
      <c r="AA95" s="112" t="e">
        <f t="shared" si="103"/>
        <v>#VALUE!</v>
      </c>
      <c r="AB95" s="112" t="e">
        <f t="shared" si="104"/>
        <v>#VALUE!</v>
      </c>
      <c r="AG95" t="e">
        <f t="shared" si="47"/>
        <v>#VALUE!</v>
      </c>
      <c r="AH95" s="112" t="e">
        <f t="shared" si="48"/>
        <v>#VALUE!</v>
      </c>
      <c r="AI95" s="112" t="e">
        <f t="shared" si="48"/>
        <v>#VALUE!</v>
      </c>
      <c r="CX95" s="112">
        <f t="shared" si="56"/>
        <v>100000</v>
      </c>
      <c r="CY95" s="112">
        <f t="shared" si="115"/>
        <v>100000</v>
      </c>
      <c r="CZ95" s="112">
        <f t="shared" si="116"/>
        <v>100000</v>
      </c>
      <c r="DA95" s="112">
        <f t="shared" si="117"/>
        <v>100000</v>
      </c>
      <c r="DB95" s="112">
        <f t="shared" si="118"/>
        <v>100000</v>
      </c>
      <c r="DC95" s="112">
        <f t="shared" si="119"/>
        <v>100000</v>
      </c>
      <c r="DU95" s="112"/>
      <c r="DV95" s="112"/>
      <c r="EF95" s="253"/>
      <c r="EK95" s="254"/>
      <c r="EV95" s="253"/>
      <c r="EX95" s="253"/>
      <c r="EY95" s="238"/>
      <c r="FR95" s="254"/>
      <c r="HO95" s="263" t="str">
        <f t="shared" si="21"/>
        <v/>
      </c>
      <c r="HP95">
        <f t="shared" si="82"/>
        <v>0</v>
      </c>
      <c r="HQ95" t="str">
        <f t="shared" si="83"/>
        <v/>
      </c>
      <c r="HR95" t="str">
        <f t="shared" si="173"/>
        <v/>
      </c>
      <c r="HS95" t="str">
        <f t="shared" si="174"/>
        <v/>
      </c>
      <c r="HX95" s="253" t="s">
        <v>187</v>
      </c>
      <c r="HY95" s="112" t="e">
        <f t="shared" si="86"/>
        <v>#VALUE!</v>
      </c>
      <c r="HZ95" t="s">
        <v>188</v>
      </c>
      <c r="IA95" s="112" t="e">
        <f t="shared" si="87"/>
        <v>#VALUE!</v>
      </c>
      <c r="IB95" t="s">
        <v>189</v>
      </c>
      <c r="IC95" t="e">
        <f t="shared" si="88"/>
        <v>#VALUE!</v>
      </c>
      <c r="ID95" t="s">
        <v>192</v>
      </c>
      <c r="IE95" t="e">
        <f t="shared" si="89"/>
        <v>#VALUE!</v>
      </c>
      <c r="IF95" t="s">
        <v>191</v>
      </c>
      <c r="IG95" s="254" t="e">
        <f t="shared" si="90"/>
        <v>#VALUE!</v>
      </c>
      <c r="IL95" t="e">
        <f t="shared" si="91"/>
        <v>#VALUE!</v>
      </c>
      <c r="LL95" s="112">
        <f>Foglio7ti!GF96</f>
        <v>0</v>
      </c>
      <c r="LM95" s="308">
        <f t="shared" si="27"/>
        <v>100000</v>
      </c>
      <c r="LN95" s="112"/>
      <c r="LO95">
        <f t="shared" si="100"/>
        <v>57</v>
      </c>
      <c r="LP95" s="308">
        <f t="shared" ca="1" si="28"/>
        <v>100000</v>
      </c>
      <c r="LQ95" s="112"/>
      <c r="LS95" s="263">
        <f t="shared" si="29"/>
        <v>57</v>
      </c>
      <c r="LT95" s="308">
        <f t="shared" ca="1" si="30"/>
        <v>100000</v>
      </c>
      <c r="LW95" s="308">
        <f t="shared" ca="1" si="31"/>
        <v>100000</v>
      </c>
      <c r="LZ95" s="308">
        <f t="shared" ca="1" si="32"/>
        <v>100000</v>
      </c>
      <c r="MC95" s="308">
        <f t="shared" ca="1" si="175"/>
        <v>100000</v>
      </c>
      <c r="MD95" t="str">
        <f t="shared" ca="1" si="177"/>
        <v/>
      </c>
      <c r="ME95" s="338" t="str">
        <f t="shared" ca="1" si="179"/>
        <v/>
      </c>
      <c r="MF95" s="338" t="str">
        <f t="shared" ca="1" si="180"/>
        <v/>
      </c>
      <c r="MG95" s="337" t="str">
        <f t="shared" ca="1" si="181"/>
        <v/>
      </c>
      <c r="MH95" s="338" t="str">
        <f t="shared" ca="1" si="35"/>
        <v/>
      </c>
      <c r="MI95" s="337" t="str">
        <f t="shared" ca="1" si="36"/>
        <v/>
      </c>
      <c r="MJ95" s="337" t="str">
        <f t="shared" ca="1" si="182"/>
        <v/>
      </c>
      <c r="MK95" s="337" t="str">
        <f t="shared" ca="1" si="166"/>
        <v/>
      </c>
      <c r="ML95" s="337" t="str">
        <f ca="1">IF(ME95&lt;&gt;"",VLOOKUP(ME95,Foglio7ti!$GF$40:$GG$92,2),"")</f>
        <v/>
      </c>
      <c r="MM95" s="282" t="str">
        <f t="shared" ca="1" si="38"/>
        <v/>
      </c>
      <c r="MN95" s="282"/>
      <c r="MO95" s="320">
        <f t="shared" si="128"/>
        <v>1</v>
      </c>
      <c r="MP95" s="253" t="str">
        <f t="shared" ca="1" si="39"/>
        <v/>
      </c>
      <c r="MQ95" t="e">
        <f t="shared" ca="1" si="160"/>
        <v>#N/A</v>
      </c>
      <c r="MR95" s="238" t="e">
        <f ca="1">VLOOKUP(ME95,Foglio1ti!AB87:AZ387,13)-MQ95</f>
        <v>#N/A</v>
      </c>
      <c r="MS95" t="e">
        <f t="shared" ca="1" si="40"/>
        <v>#N/A</v>
      </c>
      <c r="MT95" t="e">
        <f t="shared" ca="1" si="41"/>
        <v>#N/A</v>
      </c>
      <c r="MU95" s="238" t="e">
        <f ca="1">VLOOKUP(ME95,Foglio1ti!AB87:AZ387,13)-MT95</f>
        <v>#N/A</v>
      </c>
      <c r="MV95" t="e">
        <f t="shared" ca="1" si="42"/>
        <v>#N/A</v>
      </c>
      <c r="MW95">
        <f t="shared" ca="1" si="140"/>
        <v>0</v>
      </c>
      <c r="MX95">
        <f ca="1">IF(AND(frontti!$H$25="SI",ML95="3-8 anni"),INDIRECT(CONCATENATE($MR$37,"BI",MU95)),0)</f>
        <v>0</v>
      </c>
      <c r="MY95" s="254"/>
    </row>
    <row r="96" spans="1:363" x14ac:dyDescent="0.25">
      <c r="E96" s="240" t="str">
        <f>Foglio3!F76</f>
        <v/>
      </c>
      <c r="F96" s="240" t="str">
        <f>Foglio3!G76</f>
        <v/>
      </c>
      <c r="G96" s="244"/>
      <c r="H96" s="245" t="e">
        <f t="shared" si="45"/>
        <v>#VALUE!</v>
      </c>
      <c r="I96" s="245" t="e">
        <f t="shared" si="8"/>
        <v>#VALUE!</v>
      </c>
      <c r="J96" s="244"/>
      <c r="K96" s="244"/>
      <c r="Q96" t="e">
        <f t="shared" si="9"/>
        <v>#VALUE!</v>
      </c>
      <c r="R96" t="e">
        <f t="shared" si="142"/>
        <v>#VALUE!</v>
      </c>
      <c r="S96" t="e">
        <f t="shared" si="46"/>
        <v>#VALUE!</v>
      </c>
      <c r="T96" t="e">
        <f t="shared" si="129"/>
        <v>#VALUE!</v>
      </c>
      <c r="U96" t="e">
        <f t="shared" si="130"/>
        <v>#VALUE!</v>
      </c>
      <c r="W96" t="e">
        <f t="shared" si="185"/>
        <v>#VALUE!</v>
      </c>
      <c r="X96" t="e">
        <f t="shared" si="185"/>
        <v>#VALUE!</v>
      </c>
      <c r="Y96" t="e">
        <f t="shared" si="185"/>
        <v>#VALUE!</v>
      </c>
      <c r="AA96" s="112" t="e">
        <f t="shared" si="103"/>
        <v>#VALUE!</v>
      </c>
      <c r="AB96" s="112" t="e">
        <f t="shared" si="104"/>
        <v>#VALUE!</v>
      </c>
      <c r="AG96" t="e">
        <f t="shared" si="47"/>
        <v>#VALUE!</v>
      </c>
      <c r="AH96" s="112" t="e">
        <f t="shared" si="48"/>
        <v>#VALUE!</v>
      </c>
      <c r="AI96" s="112" t="e">
        <f t="shared" si="48"/>
        <v>#VALUE!</v>
      </c>
      <c r="CX96" s="112">
        <f t="shared" si="56"/>
        <v>100000</v>
      </c>
      <c r="CY96" s="112">
        <f t="shared" si="115"/>
        <v>100000</v>
      </c>
      <c r="CZ96" s="112">
        <f t="shared" si="116"/>
        <v>100000</v>
      </c>
      <c r="DA96" s="112">
        <f t="shared" si="117"/>
        <v>100000</v>
      </c>
      <c r="DB96" s="112">
        <f t="shared" si="118"/>
        <v>100000</v>
      </c>
      <c r="DC96" s="112">
        <f t="shared" si="119"/>
        <v>100000</v>
      </c>
      <c r="DU96" s="112"/>
      <c r="DV96" s="112"/>
      <c r="EF96" s="253"/>
      <c r="EK96" s="254"/>
      <c r="EV96" s="253"/>
      <c r="EX96" s="253"/>
      <c r="EY96" s="238"/>
      <c r="FR96" s="254"/>
      <c r="HO96" s="263" t="str">
        <f t="shared" si="21"/>
        <v/>
      </c>
      <c r="HP96">
        <f t="shared" si="82"/>
        <v>0</v>
      </c>
      <c r="HQ96" t="str">
        <f t="shared" si="83"/>
        <v/>
      </c>
      <c r="HR96" t="str">
        <f t="shared" si="173"/>
        <v/>
      </c>
      <c r="HS96" t="str">
        <f t="shared" si="174"/>
        <v/>
      </c>
      <c r="HX96" s="253" t="s">
        <v>187</v>
      </c>
      <c r="HY96" s="112" t="e">
        <f t="shared" si="86"/>
        <v>#VALUE!</v>
      </c>
      <c r="HZ96" t="s">
        <v>188</v>
      </c>
      <c r="IA96" s="112" t="e">
        <f t="shared" si="87"/>
        <v>#VALUE!</v>
      </c>
      <c r="IB96" t="s">
        <v>189</v>
      </c>
      <c r="IC96" t="e">
        <f t="shared" si="88"/>
        <v>#VALUE!</v>
      </c>
      <c r="ID96" t="s">
        <v>192</v>
      </c>
      <c r="IE96" t="e">
        <f t="shared" si="89"/>
        <v>#VALUE!</v>
      </c>
      <c r="IF96" t="s">
        <v>191</v>
      </c>
      <c r="IG96" s="254" t="e">
        <f t="shared" si="90"/>
        <v>#VALUE!</v>
      </c>
      <c r="IL96" t="e">
        <f t="shared" si="91"/>
        <v>#VALUE!</v>
      </c>
      <c r="LK96" t="s">
        <v>349</v>
      </c>
      <c r="LL96" s="112">
        <f>Foglio7ti!GF97</f>
        <v>0</v>
      </c>
      <c r="LM96" s="308">
        <f t="shared" si="27"/>
        <v>100000</v>
      </c>
      <c r="LN96" s="112"/>
      <c r="LO96">
        <f t="shared" si="100"/>
        <v>58</v>
      </c>
      <c r="LP96" s="308">
        <f t="shared" ca="1" si="28"/>
        <v>100000</v>
      </c>
      <c r="LQ96" s="112"/>
      <c r="LS96" s="263">
        <f t="shared" si="29"/>
        <v>58</v>
      </c>
      <c r="LT96" s="308">
        <f t="shared" ca="1" si="30"/>
        <v>100000</v>
      </c>
      <c r="LW96" s="308">
        <f t="shared" ca="1" si="31"/>
        <v>100000</v>
      </c>
      <c r="LZ96" s="308">
        <f t="shared" ca="1" si="32"/>
        <v>100000</v>
      </c>
      <c r="MC96" s="308">
        <f t="shared" ca="1" si="175"/>
        <v>100000</v>
      </c>
      <c r="MD96" t="str">
        <f t="shared" ca="1" si="177"/>
        <v/>
      </c>
      <c r="ME96" s="338" t="str">
        <f t="shared" ca="1" si="179"/>
        <v/>
      </c>
      <c r="MF96" s="338" t="str">
        <f t="shared" ca="1" si="180"/>
        <v/>
      </c>
      <c r="MG96" s="337" t="str">
        <f t="shared" ca="1" si="181"/>
        <v/>
      </c>
      <c r="MH96" s="338" t="str">
        <f t="shared" ca="1" si="35"/>
        <v/>
      </c>
      <c r="MI96" s="337" t="str">
        <f t="shared" ca="1" si="36"/>
        <v/>
      </c>
      <c r="MJ96" s="337" t="str">
        <f t="shared" ca="1" si="182"/>
        <v/>
      </c>
      <c r="MK96" s="337" t="str">
        <f t="shared" ca="1" si="166"/>
        <v/>
      </c>
      <c r="ML96" s="337" t="str">
        <f ca="1">IF(ME96&lt;&gt;"",VLOOKUP(ME96,Foglio7ti!$GF$40:$GG$92,2),"")</f>
        <v/>
      </c>
      <c r="MM96" s="282" t="str">
        <f t="shared" ca="1" si="38"/>
        <v/>
      </c>
      <c r="MN96" s="282"/>
      <c r="MO96" s="320">
        <f t="shared" si="128"/>
        <v>1</v>
      </c>
      <c r="MP96" s="253" t="str">
        <f t="shared" ca="1" si="39"/>
        <v/>
      </c>
      <c r="MQ96" t="e">
        <f t="shared" ca="1" si="160"/>
        <v>#N/A</v>
      </c>
      <c r="MR96" s="238" t="e">
        <f ca="1">VLOOKUP(ME96,Foglio1ti!AB88:AZ388,13)-MQ96</f>
        <v>#N/A</v>
      </c>
      <c r="MS96" t="e">
        <f t="shared" ca="1" si="40"/>
        <v>#N/A</v>
      </c>
      <c r="MT96" t="e">
        <f t="shared" ca="1" si="41"/>
        <v>#N/A</v>
      </c>
      <c r="MU96" s="238" t="e">
        <f ca="1">VLOOKUP(ME96,Foglio1ti!AB88:AZ388,13)-MT96</f>
        <v>#N/A</v>
      </c>
      <c r="MV96" t="e">
        <f t="shared" ca="1" si="42"/>
        <v>#N/A</v>
      </c>
      <c r="MW96">
        <f t="shared" ca="1" si="140"/>
        <v>0</v>
      </c>
      <c r="MX96">
        <f ca="1">IF(AND(frontti!$H$25="SI",ML96="3-8 anni"),INDIRECT(CONCATENATE($MR$37,"BI",MU96)),0)</f>
        <v>0</v>
      </c>
      <c r="MY96" s="254"/>
    </row>
    <row r="97" spans="5:363" x14ac:dyDescent="0.25">
      <c r="E97" s="240" t="str">
        <f>Foglio3!F77</f>
        <v/>
      </c>
      <c r="F97" s="240" t="str">
        <f>Foglio3!G77</f>
        <v/>
      </c>
      <c r="G97" s="244"/>
      <c r="H97" s="245" t="e">
        <f t="shared" si="45"/>
        <v>#VALUE!</v>
      </c>
      <c r="I97" s="245" t="e">
        <f t="shared" si="8"/>
        <v>#VALUE!</v>
      </c>
      <c r="J97" s="244"/>
      <c r="K97" s="244"/>
      <c r="Q97" t="e">
        <f t="shared" si="9"/>
        <v>#VALUE!</v>
      </c>
      <c r="R97" t="e">
        <f t="shared" si="142"/>
        <v>#VALUE!</v>
      </c>
      <c r="S97" t="e">
        <f t="shared" si="46"/>
        <v>#VALUE!</v>
      </c>
      <c r="T97" t="e">
        <f t="shared" si="129"/>
        <v>#VALUE!</v>
      </c>
      <c r="U97" t="e">
        <f t="shared" si="130"/>
        <v>#VALUE!</v>
      </c>
      <c r="W97" t="e">
        <f t="shared" si="185"/>
        <v>#VALUE!</v>
      </c>
      <c r="X97" t="e">
        <f t="shared" si="185"/>
        <v>#VALUE!</v>
      </c>
      <c r="Y97" t="e">
        <f t="shared" si="185"/>
        <v>#VALUE!</v>
      </c>
      <c r="AA97" s="112" t="e">
        <f t="shared" si="103"/>
        <v>#VALUE!</v>
      </c>
      <c r="AB97" s="112" t="e">
        <f t="shared" si="104"/>
        <v>#VALUE!</v>
      </c>
      <c r="AG97" t="e">
        <f t="shared" si="47"/>
        <v>#VALUE!</v>
      </c>
      <c r="AH97" s="112" t="e">
        <f t="shared" si="48"/>
        <v>#VALUE!</v>
      </c>
      <c r="AI97" s="112" t="e">
        <f t="shared" si="48"/>
        <v>#VALUE!</v>
      </c>
      <c r="CX97" s="112">
        <f t="shared" si="56"/>
        <v>100000</v>
      </c>
      <c r="CY97" s="112">
        <f t="shared" si="115"/>
        <v>100000</v>
      </c>
      <c r="CZ97" s="112">
        <f t="shared" si="116"/>
        <v>100000</v>
      </c>
      <c r="DA97" s="112">
        <f t="shared" si="117"/>
        <v>100000</v>
      </c>
      <c r="DB97" s="112">
        <f t="shared" si="118"/>
        <v>100000</v>
      </c>
      <c r="DC97" s="112">
        <f t="shared" si="119"/>
        <v>100000</v>
      </c>
      <c r="DU97" s="112"/>
      <c r="DV97" s="112"/>
      <c r="EF97" s="253"/>
      <c r="EK97" s="254"/>
      <c r="EV97" s="253"/>
      <c r="EX97" s="253"/>
      <c r="EY97" s="238"/>
      <c r="FR97" s="254"/>
      <c r="HO97" s="263" t="str">
        <f>IF($GE97&gt;0,HM97,  IF(HP96=0,"",        $HS$39))</f>
        <v/>
      </c>
      <c r="HX97" s="253" t="s">
        <v>187</v>
      </c>
      <c r="HY97" s="112" t="e">
        <f t="shared" si="86"/>
        <v>#VALUE!</v>
      </c>
      <c r="HZ97" t="s">
        <v>188</v>
      </c>
      <c r="IA97" s="112" t="e">
        <f t="shared" si="87"/>
        <v>#VALUE!</v>
      </c>
      <c r="IB97" t="s">
        <v>189</v>
      </c>
      <c r="IC97" t="e">
        <f t="shared" si="88"/>
        <v>#VALUE!</v>
      </c>
      <c r="ID97" t="s">
        <v>192</v>
      </c>
      <c r="IE97" t="e">
        <f t="shared" si="89"/>
        <v>#VALUE!</v>
      </c>
      <c r="IF97" t="s">
        <v>191</v>
      </c>
      <c r="IG97" s="254" t="e">
        <f t="shared" si="90"/>
        <v>#VALUE!</v>
      </c>
      <c r="IL97" t="e">
        <f t="shared" si="91"/>
        <v>#VALUE!</v>
      </c>
      <c r="LK97" t="s">
        <v>350</v>
      </c>
      <c r="LL97" s="112">
        <f ca="1">Foglio7tiGiuEc1!GF40</f>
        <v>43344</v>
      </c>
      <c r="LM97" s="308">
        <f t="shared" ca="1" si="27"/>
        <v>43344</v>
      </c>
      <c r="LO97">
        <f t="shared" si="100"/>
        <v>59</v>
      </c>
      <c r="LP97" s="308">
        <f t="shared" ca="1" si="28"/>
        <v>100000</v>
      </c>
      <c r="LS97" s="263">
        <f t="shared" si="29"/>
        <v>59</v>
      </c>
      <c r="LT97" s="308">
        <f t="shared" ca="1" si="30"/>
        <v>100000</v>
      </c>
      <c r="LW97" s="308">
        <f t="shared" ca="1" si="31"/>
        <v>100000</v>
      </c>
      <c r="LZ97" s="308">
        <f t="shared" ca="1" si="32"/>
        <v>100000</v>
      </c>
      <c r="MC97" s="308">
        <f t="shared" ca="1" si="175"/>
        <v>100000</v>
      </c>
      <c r="MD97" t="str">
        <f t="shared" ca="1" si="177"/>
        <v/>
      </c>
      <c r="ME97" s="338" t="str">
        <f t="shared" ca="1" si="179"/>
        <v/>
      </c>
      <c r="MF97" s="338" t="str">
        <f t="shared" ca="1" si="180"/>
        <v/>
      </c>
      <c r="MG97" s="337" t="str">
        <f t="shared" ca="1" si="181"/>
        <v/>
      </c>
      <c r="MH97" s="338" t="str">
        <f t="shared" ca="1" si="35"/>
        <v/>
      </c>
      <c r="MI97" s="337" t="str">
        <f t="shared" ca="1" si="36"/>
        <v/>
      </c>
      <c r="MJ97" s="337" t="str">
        <f t="shared" ca="1" si="182"/>
        <v/>
      </c>
      <c r="MK97" s="337" t="str">
        <f t="shared" ca="1" si="166"/>
        <v/>
      </c>
      <c r="ML97" s="337" t="str">
        <f ca="1">IF(ME97&lt;&gt;"",VLOOKUP(ME97,Foglio7ti!$GF$40:$GG$92,2),"")</f>
        <v/>
      </c>
      <c r="MM97" s="282" t="str">
        <f t="shared" ca="1" si="38"/>
        <v/>
      </c>
      <c r="MN97" s="282"/>
      <c r="MO97" s="320">
        <f t="shared" si="128"/>
        <v>1</v>
      </c>
      <c r="MP97" s="253" t="str">
        <f t="shared" ca="1" si="39"/>
        <v/>
      </c>
      <c r="MQ97" t="e">
        <f t="shared" ca="1" si="160"/>
        <v>#N/A</v>
      </c>
      <c r="MR97" s="238" t="e">
        <f ca="1">VLOOKUP(ME97,Foglio1ti!AB89:AZ389,13)-MQ97</f>
        <v>#N/A</v>
      </c>
      <c r="MS97" t="e">
        <f t="shared" ca="1" si="40"/>
        <v>#N/A</v>
      </c>
      <c r="MT97" t="e">
        <f t="shared" ca="1" si="41"/>
        <v>#N/A</v>
      </c>
      <c r="MU97" s="238" t="e">
        <f ca="1">VLOOKUP(ME97,Foglio1ti!AB89:AZ389,13)-MT97</f>
        <v>#N/A</v>
      </c>
      <c r="MV97" t="e">
        <f t="shared" ca="1" si="42"/>
        <v>#N/A</v>
      </c>
      <c r="MW97">
        <f t="shared" ca="1" si="140"/>
        <v>0</v>
      </c>
      <c r="MX97">
        <f ca="1">IF(AND(frontti!$H$25="SI",ML97="3-8 anni"),INDIRECT(CONCATENATE($MR$37,"BI",MU97)),0)</f>
        <v>0</v>
      </c>
      <c r="MY97" s="254"/>
    </row>
    <row r="98" spans="5:363" x14ac:dyDescent="0.25">
      <c r="E98" s="240" t="str">
        <f>Foglio3!F78</f>
        <v/>
      </c>
      <c r="F98" s="240" t="str">
        <f>Foglio3!G78</f>
        <v/>
      </c>
      <c r="G98" s="244"/>
      <c r="H98" s="245" t="e">
        <f t="shared" si="45"/>
        <v>#VALUE!</v>
      </c>
      <c r="I98" s="245" t="e">
        <f t="shared" si="8"/>
        <v>#VALUE!</v>
      </c>
      <c r="J98" s="244"/>
      <c r="K98" s="244"/>
      <c r="Q98" t="e">
        <f t="shared" si="9"/>
        <v>#VALUE!</v>
      </c>
      <c r="R98" t="e">
        <f t="shared" si="142"/>
        <v>#VALUE!</v>
      </c>
      <c r="S98" t="e">
        <f t="shared" si="46"/>
        <v>#VALUE!</v>
      </c>
      <c r="T98" t="e">
        <f t="shared" si="129"/>
        <v>#VALUE!</v>
      </c>
      <c r="U98" t="e">
        <f t="shared" si="130"/>
        <v>#VALUE!</v>
      </c>
      <c r="W98" t="e">
        <f t="shared" si="185"/>
        <v>#VALUE!</v>
      </c>
      <c r="X98" t="e">
        <f t="shared" si="185"/>
        <v>#VALUE!</v>
      </c>
      <c r="Y98" t="e">
        <f t="shared" si="185"/>
        <v>#VALUE!</v>
      </c>
      <c r="AA98" s="112" t="e">
        <f t="shared" si="103"/>
        <v>#VALUE!</v>
      </c>
      <c r="AB98" s="112" t="e">
        <f t="shared" si="104"/>
        <v>#VALUE!</v>
      </c>
      <c r="AG98" t="e">
        <f t="shared" si="47"/>
        <v>#VALUE!</v>
      </c>
      <c r="AH98" s="112" t="e">
        <f t="shared" si="48"/>
        <v>#VALUE!</v>
      </c>
      <c r="AI98" s="112" t="e">
        <f t="shared" si="48"/>
        <v>#VALUE!</v>
      </c>
      <c r="CX98" s="112">
        <f t="shared" si="56"/>
        <v>100000</v>
      </c>
      <c r="CY98" s="112">
        <f t="shared" si="115"/>
        <v>100000</v>
      </c>
      <c r="CZ98" s="112">
        <f t="shared" si="116"/>
        <v>100000</v>
      </c>
      <c r="DA98" s="112">
        <f t="shared" si="117"/>
        <v>100000</v>
      </c>
      <c r="DB98" s="112">
        <f t="shared" si="118"/>
        <v>100000</v>
      </c>
      <c r="DC98" s="112">
        <f t="shared" si="119"/>
        <v>100000</v>
      </c>
      <c r="DU98" s="112"/>
      <c r="DV98" s="112"/>
      <c r="EF98" s="253"/>
      <c r="EK98" s="254"/>
      <c r="EV98" s="253"/>
      <c r="EX98" s="253"/>
      <c r="EY98" s="238"/>
      <c r="FR98" s="254"/>
      <c r="HO98" s="263" t="str">
        <f>IF($GE98&gt;0,HM98,  IF(HP97=0,"",        $HS$39))</f>
        <v/>
      </c>
      <c r="HX98" s="253" t="s">
        <v>187</v>
      </c>
      <c r="HY98" s="112" t="e">
        <f t="shared" si="86"/>
        <v>#VALUE!</v>
      </c>
      <c r="HZ98" t="s">
        <v>188</v>
      </c>
      <c r="IA98" s="112" t="e">
        <f t="shared" si="87"/>
        <v>#VALUE!</v>
      </c>
      <c r="IB98" t="s">
        <v>189</v>
      </c>
      <c r="IC98" t="e">
        <f t="shared" si="88"/>
        <v>#VALUE!</v>
      </c>
      <c r="ID98" t="s">
        <v>192</v>
      </c>
      <c r="IE98" t="e">
        <f t="shared" si="89"/>
        <v>#VALUE!</v>
      </c>
      <c r="IF98" t="s">
        <v>191</v>
      </c>
      <c r="IG98" s="254" t="e">
        <f t="shared" si="90"/>
        <v>#VALUE!</v>
      </c>
      <c r="IL98" t="e">
        <f t="shared" si="91"/>
        <v>#VALUE!</v>
      </c>
      <c r="LL98" s="112">
        <f ca="1">Foglio7tiGiuEc1!GF41</f>
        <v>43466</v>
      </c>
      <c r="LM98" s="308">
        <f t="shared" ca="1" si="27"/>
        <v>43466</v>
      </c>
      <c r="LO98">
        <f t="shared" si="100"/>
        <v>60</v>
      </c>
      <c r="LP98" s="308">
        <f t="shared" ca="1" si="28"/>
        <v>100000</v>
      </c>
      <c r="LS98" s="263">
        <f t="shared" si="29"/>
        <v>60</v>
      </c>
      <c r="LT98" s="308">
        <f t="shared" ca="1" si="30"/>
        <v>100000</v>
      </c>
      <c r="LW98" s="308">
        <f t="shared" ca="1" si="31"/>
        <v>100000</v>
      </c>
      <c r="LZ98" s="308">
        <f t="shared" ca="1" si="32"/>
        <v>100000</v>
      </c>
      <c r="MC98" s="308">
        <f t="shared" ca="1" si="175"/>
        <v>100000</v>
      </c>
      <c r="MD98" t="str">
        <f t="shared" ca="1" si="177"/>
        <v/>
      </c>
      <c r="ME98" s="338" t="str">
        <f t="shared" ca="1" si="179"/>
        <v/>
      </c>
      <c r="MF98" s="338" t="str">
        <f t="shared" ca="1" si="180"/>
        <v/>
      </c>
      <c r="MG98" s="337" t="str">
        <f t="shared" ca="1" si="181"/>
        <v/>
      </c>
      <c r="MH98" s="338" t="str">
        <f t="shared" ca="1" si="35"/>
        <v/>
      </c>
      <c r="MI98" s="337" t="str">
        <f t="shared" ca="1" si="36"/>
        <v/>
      </c>
      <c r="MJ98" s="337" t="str">
        <f t="shared" ca="1" si="182"/>
        <v/>
      </c>
      <c r="MK98" s="337" t="str">
        <f t="shared" ca="1" si="166"/>
        <v/>
      </c>
      <c r="ML98" s="337" t="str">
        <f ca="1">IF(ME98&lt;&gt;"",VLOOKUP(ME98,Foglio7ti!$GF$40:$GG$92,2),"")</f>
        <v/>
      </c>
      <c r="MM98" s="282" t="str">
        <f t="shared" ca="1" si="38"/>
        <v/>
      </c>
      <c r="MN98" s="282"/>
      <c r="MO98" s="320">
        <f t="shared" si="128"/>
        <v>1</v>
      </c>
      <c r="MP98" s="253" t="str">
        <f t="shared" ca="1" si="39"/>
        <v/>
      </c>
      <c r="MQ98" t="e">
        <f t="shared" ca="1" si="160"/>
        <v>#N/A</v>
      </c>
      <c r="MR98" s="238" t="e">
        <f ca="1">VLOOKUP(ME98,Foglio1ti!AB90:AZ390,13)-MQ98</f>
        <v>#N/A</v>
      </c>
      <c r="MS98" t="e">
        <f t="shared" ca="1" si="40"/>
        <v>#N/A</v>
      </c>
      <c r="MT98" t="e">
        <f t="shared" ca="1" si="41"/>
        <v>#N/A</v>
      </c>
      <c r="MU98" s="238" t="e">
        <f ca="1">VLOOKUP(ME98,Foglio1ti!AB90:AZ390,13)-MT98</f>
        <v>#N/A</v>
      </c>
      <c r="MV98" t="e">
        <f t="shared" ca="1" si="42"/>
        <v>#N/A</v>
      </c>
      <c r="MW98">
        <f t="shared" ca="1" si="140"/>
        <v>0</v>
      </c>
      <c r="MX98">
        <f ca="1">IF(AND(frontti!$H$25="SI",ML98="3-8 anni"),INDIRECT(CONCATENATE($MR$37,"BI",MU98)),0)</f>
        <v>0</v>
      </c>
      <c r="MY98" s="254"/>
    </row>
    <row r="99" spans="5:363" x14ac:dyDescent="0.25">
      <c r="E99" s="240" t="str">
        <f>Foglio3!F79</f>
        <v/>
      </c>
      <c r="F99" s="240" t="str">
        <f>Foglio3!G79</f>
        <v/>
      </c>
      <c r="G99" s="244"/>
      <c r="H99" s="245" t="e">
        <f t="shared" si="45"/>
        <v>#VALUE!</v>
      </c>
      <c r="I99" s="245" t="e">
        <f t="shared" si="8"/>
        <v>#VALUE!</v>
      </c>
      <c r="J99" s="244"/>
      <c r="K99" s="244"/>
      <c r="Q99" t="e">
        <f t="shared" si="9"/>
        <v>#VALUE!</v>
      </c>
      <c r="R99" t="e">
        <f t="shared" si="142"/>
        <v>#VALUE!</v>
      </c>
      <c r="S99" t="e">
        <f t="shared" si="46"/>
        <v>#VALUE!</v>
      </c>
      <c r="T99" t="e">
        <f t="shared" si="129"/>
        <v>#VALUE!</v>
      </c>
      <c r="U99" t="e">
        <f t="shared" si="130"/>
        <v>#VALUE!</v>
      </c>
      <c r="W99" t="e">
        <f t="shared" si="185"/>
        <v>#VALUE!</v>
      </c>
      <c r="X99" t="e">
        <f t="shared" si="185"/>
        <v>#VALUE!</v>
      </c>
      <c r="Y99" t="e">
        <f t="shared" si="185"/>
        <v>#VALUE!</v>
      </c>
      <c r="AA99" s="112" t="e">
        <f t="shared" si="103"/>
        <v>#VALUE!</v>
      </c>
      <c r="AB99" s="112" t="e">
        <f t="shared" si="104"/>
        <v>#VALUE!</v>
      </c>
      <c r="AG99" t="e">
        <f t="shared" si="47"/>
        <v>#VALUE!</v>
      </c>
      <c r="AH99" s="112" t="e">
        <f t="shared" si="48"/>
        <v>#VALUE!</v>
      </c>
      <c r="AI99" s="112" t="e">
        <f t="shared" si="48"/>
        <v>#VALUE!</v>
      </c>
      <c r="CX99" s="112">
        <f t="shared" si="56"/>
        <v>100000</v>
      </c>
      <c r="CY99" s="112">
        <f t="shared" si="115"/>
        <v>100000</v>
      </c>
      <c r="CZ99" s="112">
        <f t="shared" si="116"/>
        <v>100000</v>
      </c>
      <c r="DA99" s="112">
        <f t="shared" si="117"/>
        <v>100000</v>
      </c>
      <c r="DB99" s="112">
        <f t="shared" si="118"/>
        <v>100000</v>
      </c>
      <c r="DC99" s="112">
        <f t="shared" si="119"/>
        <v>100000</v>
      </c>
      <c r="DU99" s="112"/>
      <c r="DV99" s="112"/>
      <c r="EF99" s="253"/>
      <c r="EK99" s="254"/>
      <c r="EV99" s="253"/>
      <c r="EX99" s="253"/>
      <c r="EY99" s="238"/>
      <c r="FR99" s="254"/>
      <c r="HO99" s="263" t="str">
        <f>IF($GE99&gt;0,HM99,  IF(HP98=0,"",        $HS$39))</f>
        <v/>
      </c>
      <c r="HX99" s="253" t="s">
        <v>187</v>
      </c>
      <c r="HY99" s="112" t="e">
        <f t="shared" si="86"/>
        <v>#VALUE!</v>
      </c>
      <c r="HZ99" t="s">
        <v>188</v>
      </c>
      <c r="IA99" s="112" t="e">
        <f t="shared" si="87"/>
        <v>#VALUE!</v>
      </c>
      <c r="IB99" t="s">
        <v>189</v>
      </c>
      <c r="IC99" t="e">
        <f t="shared" si="88"/>
        <v>#VALUE!</v>
      </c>
      <c r="ID99" t="s">
        <v>192</v>
      </c>
      <c r="IE99" t="e">
        <f t="shared" si="89"/>
        <v>#VALUE!</v>
      </c>
      <c r="IF99" t="s">
        <v>191</v>
      </c>
      <c r="IG99" s="254" t="e">
        <f t="shared" si="90"/>
        <v>#VALUE!</v>
      </c>
      <c r="IL99" t="e">
        <f t="shared" si="91"/>
        <v>#VALUE!</v>
      </c>
      <c r="LL99" s="112">
        <f ca="1">Foglio7tiGiuEc1!GF42</f>
        <v>43831</v>
      </c>
      <c r="LM99" s="308">
        <f t="shared" ca="1" si="27"/>
        <v>43831</v>
      </c>
      <c r="LO99">
        <f t="shared" si="100"/>
        <v>61</v>
      </c>
      <c r="LP99" s="308">
        <f t="shared" ca="1" si="28"/>
        <v>100000</v>
      </c>
      <c r="LS99" s="263">
        <f t="shared" si="29"/>
        <v>61</v>
      </c>
      <c r="LT99" s="308">
        <f t="shared" ca="1" si="30"/>
        <v>100000</v>
      </c>
      <c r="LW99" s="308">
        <f t="shared" ca="1" si="31"/>
        <v>100000</v>
      </c>
      <c r="LZ99" s="308">
        <f t="shared" ca="1" si="32"/>
        <v>100000</v>
      </c>
      <c r="MC99" s="308">
        <f t="shared" ca="1" si="175"/>
        <v>100000</v>
      </c>
      <c r="MD99" t="str">
        <f t="shared" ca="1" si="177"/>
        <v/>
      </c>
      <c r="ME99" s="338" t="str">
        <f t="shared" ca="1" si="179"/>
        <v/>
      </c>
      <c r="MF99" s="338" t="str">
        <f t="shared" ca="1" si="180"/>
        <v/>
      </c>
      <c r="MG99" s="337" t="str">
        <f t="shared" ca="1" si="181"/>
        <v/>
      </c>
      <c r="MH99" s="338" t="str">
        <f t="shared" ca="1" si="35"/>
        <v/>
      </c>
      <c r="MI99" s="337" t="str">
        <f t="shared" ca="1" si="36"/>
        <v/>
      </c>
      <c r="MJ99" s="337" t="str">
        <f t="shared" ca="1" si="182"/>
        <v/>
      </c>
      <c r="MK99" s="337" t="str">
        <f t="shared" ca="1" si="166"/>
        <v/>
      </c>
      <c r="ML99" s="337" t="str">
        <f ca="1">IF(ME99&lt;&gt;"",VLOOKUP(ME99,Foglio7ti!$GF$40:$GG$92,2),"")</f>
        <v/>
      </c>
      <c r="MM99" s="282" t="str">
        <f t="shared" ca="1" si="38"/>
        <v/>
      </c>
      <c r="MN99" s="282"/>
      <c r="MO99" s="320">
        <f t="shared" si="128"/>
        <v>1</v>
      </c>
      <c r="MP99" s="253" t="str">
        <f t="shared" ca="1" si="39"/>
        <v/>
      </c>
      <c r="MQ99" t="e">
        <f t="shared" ca="1" si="160"/>
        <v>#N/A</v>
      </c>
      <c r="MR99" s="238" t="e">
        <f ca="1">VLOOKUP(ME99,Foglio1ti!AB91:AZ391,13)-MQ99</f>
        <v>#N/A</v>
      </c>
      <c r="MS99" t="e">
        <f t="shared" ca="1" si="40"/>
        <v>#N/A</v>
      </c>
      <c r="MT99" t="e">
        <f t="shared" ca="1" si="41"/>
        <v>#N/A</v>
      </c>
      <c r="MU99" s="238" t="e">
        <f ca="1">VLOOKUP(ME99,Foglio1ti!AB91:AZ391,13)-MT99</f>
        <v>#N/A</v>
      </c>
      <c r="MV99" t="e">
        <f t="shared" ca="1" si="42"/>
        <v>#N/A</v>
      </c>
      <c r="MW99">
        <f t="shared" ca="1" si="140"/>
        <v>0</v>
      </c>
      <c r="MX99">
        <f ca="1">IF(AND(frontti!$H$25="SI",ML99="3-8 anni"),INDIRECT(CONCATENATE($MR$37,"BI",MU99)),0)</f>
        <v>0</v>
      </c>
      <c r="MY99" s="254"/>
    </row>
    <row r="100" spans="5:363" x14ac:dyDescent="0.25">
      <c r="E100" s="240" t="str">
        <f>Foglio3!F80</f>
        <v/>
      </c>
      <c r="F100" s="240" t="str">
        <f>Foglio3!G80</f>
        <v/>
      </c>
      <c r="G100" s="244"/>
      <c r="H100" s="245" t="e">
        <f t="shared" si="45"/>
        <v>#VALUE!</v>
      </c>
      <c r="I100" s="245" t="e">
        <f t="shared" si="8"/>
        <v>#VALUE!</v>
      </c>
      <c r="J100" s="244"/>
      <c r="K100" s="244"/>
      <c r="Q100" t="e">
        <f t="shared" si="9"/>
        <v>#VALUE!</v>
      </c>
      <c r="R100" t="e">
        <f t="shared" si="142"/>
        <v>#VALUE!</v>
      </c>
      <c r="S100" t="e">
        <f t="shared" si="46"/>
        <v>#VALUE!</v>
      </c>
      <c r="T100" t="e">
        <f t="shared" si="129"/>
        <v>#VALUE!</v>
      </c>
      <c r="U100" t="e">
        <f t="shared" si="130"/>
        <v>#VALUE!</v>
      </c>
      <c r="W100" t="e">
        <f t="shared" si="185"/>
        <v>#VALUE!</v>
      </c>
      <c r="X100" t="e">
        <f t="shared" si="185"/>
        <v>#VALUE!</v>
      </c>
      <c r="Y100" t="e">
        <f t="shared" si="185"/>
        <v>#VALUE!</v>
      </c>
      <c r="AA100" s="112" t="e">
        <f t="shared" si="103"/>
        <v>#VALUE!</v>
      </c>
      <c r="AB100" s="112" t="e">
        <f t="shared" si="104"/>
        <v>#VALUE!</v>
      </c>
      <c r="AG100" t="e">
        <f t="shared" si="47"/>
        <v>#VALUE!</v>
      </c>
      <c r="AH100" s="112" t="e">
        <f t="shared" si="48"/>
        <v>#VALUE!</v>
      </c>
      <c r="AI100" s="112" t="e">
        <f t="shared" si="48"/>
        <v>#VALUE!</v>
      </c>
      <c r="CX100" s="112">
        <f t="shared" si="56"/>
        <v>100000</v>
      </c>
      <c r="CY100" s="112">
        <f t="shared" si="115"/>
        <v>100000</v>
      </c>
      <c r="CZ100" s="112">
        <f t="shared" si="116"/>
        <v>100000</v>
      </c>
      <c r="DA100" s="112">
        <f t="shared" si="117"/>
        <v>100000</v>
      </c>
      <c r="DB100" s="112">
        <f t="shared" si="118"/>
        <v>100000</v>
      </c>
      <c r="DC100" s="112">
        <f t="shared" si="119"/>
        <v>100000</v>
      </c>
      <c r="DU100" s="112"/>
      <c r="DV100" s="112"/>
      <c r="EF100" s="253"/>
      <c r="EK100" s="254"/>
      <c r="EV100" s="253"/>
      <c r="EX100" s="253"/>
      <c r="EY100" s="238"/>
      <c r="FR100" s="254"/>
      <c r="HO100" s="263" t="str">
        <f>IF($GE100&gt;0,HM100,  IF(HP99=0,"",        $HS$39))</f>
        <v/>
      </c>
      <c r="HX100" s="253" t="s">
        <v>187</v>
      </c>
      <c r="HY100" s="112" t="e">
        <f t="shared" si="86"/>
        <v>#VALUE!</v>
      </c>
      <c r="HZ100" t="s">
        <v>188</v>
      </c>
      <c r="IA100" s="112" t="e">
        <f t="shared" si="87"/>
        <v>#VALUE!</v>
      </c>
      <c r="IB100" t="s">
        <v>189</v>
      </c>
      <c r="IC100" t="e">
        <f t="shared" si="88"/>
        <v>#VALUE!</v>
      </c>
      <c r="ID100" t="s">
        <v>192</v>
      </c>
      <c r="IE100" t="e">
        <f t="shared" si="89"/>
        <v>#VALUE!</v>
      </c>
      <c r="IF100" t="s">
        <v>191</v>
      </c>
      <c r="IG100" s="254" t="e">
        <f t="shared" si="90"/>
        <v>#VALUE!</v>
      </c>
      <c r="IL100" t="e">
        <f t="shared" si="91"/>
        <v>#VALUE!</v>
      </c>
      <c r="IW100" t="e">
        <f>CONCATENATE(IL100,IL101,IL102,IL103,IL104,IL105,IL106,IL107,IL108,IL109,IL110,IL111,IL112,IL113,IL114,I605,IL116,IL117,IL118,IL119,)</f>
        <v>#VALUE!</v>
      </c>
      <c r="LL100" s="112">
        <f ca="1">Foglio7tiGiuEc1!GF43</f>
        <v>44197</v>
      </c>
      <c r="LM100" s="308">
        <f t="shared" ca="1" si="27"/>
        <v>44197</v>
      </c>
      <c r="LO100">
        <f t="shared" si="100"/>
        <v>62</v>
      </c>
      <c r="LP100" s="308">
        <f t="shared" ca="1" si="28"/>
        <v>100000</v>
      </c>
      <c r="LS100" s="263">
        <f t="shared" si="29"/>
        <v>62</v>
      </c>
      <c r="LT100" s="308">
        <f t="shared" ca="1" si="30"/>
        <v>100000</v>
      </c>
      <c r="LW100" s="308">
        <f t="shared" ca="1" si="31"/>
        <v>100000</v>
      </c>
      <c r="LZ100" s="308">
        <f t="shared" ca="1" si="32"/>
        <v>100000</v>
      </c>
      <c r="MC100" s="308">
        <f t="shared" ca="1" si="175"/>
        <v>100000</v>
      </c>
      <c r="MD100" t="str">
        <f t="shared" ca="1" si="177"/>
        <v/>
      </c>
      <c r="ME100" s="338" t="str">
        <f t="shared" ca="1" si="179"/>
        <v/>
      </c>
      <c r="MF100" s="338" t="str">
        <f t="shared" ca="1" si="180"/>
        <v/>
      </c>
      <c r="MG100" s="337" t="str">
        <f t="shared" ca="1" si="181"/>
        <v/>
      </c>
      <c r="MH100" s="338" t="str">
        <f t="shared" ca="1" si="35"/>
        <v/>
      </c>
      <c r="MI100" s="337" t="str">
        <f t="shared" ca="1" si="36"/>
        <v/>
      </c>
      <c r="MJ100" s="337" t="str">
        <f t="shared" ca="1" si="182"/>
        <v/>
      </c>
      <c r="MK100" s="337" t="str">
        <f t="shared" ca="1" si="166"/>
        <v/>
      </c>
      <c r="ML100" s="337" t="str">
        <f ca="1">IF(ME100&lt;&gt;"",VLOOKUP(ME100,Foglio7ti!$GF$40:$GG$92,2),"")</f>
        <v/>
      </c>
      <c r="MM100" s="282" t="str">
        <f t="shared" ca="1" si="38"/>
        <v/>
      </c>
      <c r="MN100" s="282"/>
      <c r="MO100" s="320">
        <f t="shared" si="128"/>
        <v>1</v>
      </c>
      <c r="MP100" s="253" t="str">
        <f t="shared" ca="1" si="39"/>
        <v/>
      </c>
      <c r="MQ100" t="e">
        <f t="shared" ca="1" si="160"/>
        <v>#N/A</v>
      </c>
      <c r="MR100" s="238" t="e">
        <f ca="1">VLOOKUP(ME100,Foglio1ti!AB92:AZ392,13)-MQ100</f>
        <v>#N/A</v>
      </c>
      <c r="MS100" t="e">
        <f t="shared" ca="1" si="40"/>
        <v>#N/A</v>
      </c>
      <c r="MT100" t="e">
        <f t="shared" ca="1" si="41"/>
        <v>#N/A</v>
      </c>
      <c r="MU100" s="238" t="e">
        <f ca="1">VLOOKUP(ME100,Foglio1ti!AB92:AZ392,13)-MT100</f>
        <v>#N/A</v>
      </c>
      <c r="MV100" t="e">
        <f t="shared" ca="1" si="42"/>
        <v>#N/A</v>
      </c>
      <c r="MW100">
        <f t="shared" ca="1" si="140"/>
        <v>0</v>
      </c>
      <c r="MX100">
        <f ca="1">IF(AND(frontti!$H$25="SI",ML100="3-8 anni"),INDIRECT(CONCATENATE($MR$37,"BI",MU100)),0)</f>
        <v>0</v>
      </c>
      <c r="MY100" s="254"/>
    </row>
    <row r="101" spans="5:363" ht="15.75" thickBot="1" x14ac:dyDescent="0.3">
      <c r="E101" s="240" t="str">
        <f>Foglio3!F81</f>
        <v/>
      </c>
      <c r="F101" s="240" t="str">
        <f>Foglio3!G81</f>
        <v/>
      </c>
      <c r="G101" s="244"/>
      <c r="H101" s="245" t="e">
        <f t="shared" si="45"/>
        <v>#VALUE!</v>
      </c>
      <c r="I101" s="245" t="e">
        <f t="shared" si="8"/>
        <v>#VALUE!</v>
      </c>
      <c r="J101" s="244"/>
      <c r="K101" s="244"/>
      <c r="Q101" t="e">
        <f t="shared" si="9"/>
        <v>#VALUE!</v>
      </c>
      <c r="R101" t="e">
        <f t="shared" si="142"/>
        <v>#VALUE!</v>
      </c>
      <c r="S101" t="e">
        <f t="shared" si="46"/>
        <v>#VALUE!</v>
      </c>
      <c r="T101" t="e">
        <f t="shared" si="129"/>
        <v>#VALUE!</v>
      </c>
      <c r="U101" t="e">
        <f t="shared" si="130"/>
        <v>#VALUE!</v>
      </c>
      <c r="W101" t="e">
        <f t="shared" si="185"/>
        <v>#VALUE!</v>
      </c>
      <c r="X101" t="e">
        <f t="shared" si="185"/>
        <v>#VALUE!</v>
      </c>
      <c r="Y101" t="e">
        <f t="shared" si="185"/>
        <v>#VALUE!</v>
      </c>
      <c r="AA101" s="112" t="e">
        <f t="shared" si="103"/>
        <v>#VALUE!</v>
      </c>
      <c r="AB101" s="112" t="e">
        <f t="shared" si="104"/>
        <v>#VALUE!</v>
      </c>
      <c r="AG101" t="e">
        <f t="shared" si="47"/>
        <v>#VALUE!</v>
      </c>
      <c r="AH101" s="112" t="e">
        <f t="shared" si="48"/>
        <v>#VALUE!</v>
      </c>
      <c r="AI101" s="112" t="e">
        <f t="shared" si="48"/>
        <v>#VALUE!</v>
      </c>
      <c r="CX101" s="112">
        <f t="shared" si="56"/>
        <v>100000</v>
      </c>
      <c r="CY101" s="112">
        <f t="shared" si="115"/>
        <v>100000</v>
      </c>
      <c r="CZ101" s="112">
        <f t="shared" si="116"/>
        <v>100000</v>
      </c>
      <c r="DA101" s="112">
        <f t="shared" si="117"/>
        <v>100000</v>
      </c>
      <c r="DB101" s="112">
        <f t="shared" si="118"/>
        <v>100000</v>
      </c>
      <c r="DC101" s="112">
        <f t="shared" si="119"/>
        <v>100000</v>
      </c>
      <c r="DU101" s="112"/>
      <c r="DV101" s="112"/>
      <c r="EF101" s="253"/>
      <c r="EK101" s="254"/>
      <c r="EV101" s="253"/>
      <c r="EX101" s="253"/>
      <c r="EY101" s="238"/>
      <c r="FR101" s="254"/>
      <c r="HO101" s="263" t="str">
        <f>IF($GE101&gt;0,HM101,  IF(HP100=0,"",        $HS$39))</f>
        <v/>
      </c>
      <c r="HX101" s="253" t="s">
        <v>187</v>
      </c>
      <c r="HY101" s="112" t="e">
        <f t="shared" si="86"/>
        <v>#VALUE!</v>
      </c>
      <c r="HZ101" t="s">
        <v>188</v>
      </c>
      <c r="IA101" s="112" t="e">
        <f t="shared" si="87"/>
        <v>#VALUE!</v>
      </c>
      <c r="IB101" t="s">
        <v>189</v>
      </c>
      <c r="IC101" t="e">
        <f t="shared" si="88"/>
        <v>#VALUE!</v>
      </c>
      <c r="ID101" t="s">
        <v>192</v>
      </c>
      <c r="IE101" t="e">
        <f t="shared" si="89"/>
        <v>#VALUE!</v>
      </c>
      <c r="IF101" t="s">
        <v>191</v>
      </c>
      <c r="IG101" s="254" t="e">
        <f t="shared" si="90"/>
        <v>#VALUE!</v>
      </c>
      <c r="IL101" t="e">
        <f t="shared" si="91"/>
        <v>#VALUE!</v>
      </c>
      <c r="LL101" s="112">
        <f ca="1">Foglio7tiGiuEc1!GF44</f>
        <v>44562</v>
      </c>
      <c r="LM101" s="308">
        <f t="shared" ca="1" si="27"/>
        <v>44562</v>
      </c>
      <c r="LO101">
        <f t="shared" si="100"/>
        <v>63</v>
      </c>
      <c r="LP101" s="308">
        <f t="shared" ca="1" si="28"/>
        <v>100000</v>
      </c>
      <c r="LS101" s="263">
        <f t="shared" si="29"/>
        <v>63</v>
      </c>
      <c r="LT101" s="308">
        <f t="shared" ca="1" si="30"/>
        <v>100000</v>
      </c>
      <c r="LW101" s="308">
        <f t="shared" ca="1" si="31"/>
        <v>100000</v>
      </c>
      <c r="LZ101" s="308">
        <f t="shared" ca="1" si="32"/>
        <v>100000</v>
      </c>
      <c r="MC101" s="308">
        <f t="shared" ca="1" si="175"/>
        <v>100000</v>
      </c>
      <c r="MD101" t="str">
        <f t="shared" ca="1" si="177"/>
        <v/>
      </c>
      <c r="ME101" s="338" t="str">
        <f t="shared" ca="1" si="179"/>
        <v/>
      </c>
      <c r="MF101" s="338" t="str">
        <f t="shared" ca="1" si="180"/>
        <v/>
      </c>
      <c r="MG101" s="337" t="str">
        <f t="shared" ca="1" si="181"/>
        <v/>
      </c>
      <c r="MH101" s="338" t="str">
        <f t="shared" ca="1" si="35"/>
        <v/>
      </c>
      <c r="MI101" s="337" t="str">
        <f t="shared" ca="1" si="36"/>
        <v/>
      </c>
      <c r="MJ101" s="337" t="str">
        <f t="shared" ca="1" si="182"/>
        <v/>
      </c>
      <c r="MK101" s="337" t="str">
        <f t="shared" ca="1" si="166"/>
        <v/>
      </c>
      <c r="ML101" s="337" t="str">
        <f ca="1">IF(ME101&lt;&gt;"",VLOOKUP(ME101,Foglio7ti!$GF$40:$GG$92,2),"")</f>
        <v/>
      </c>
      <c r="MM101" s="282" t="str">
        <f t="shared" ca="1" si="38"/>
        <v/>
      </c>
      <c r="MN101" s="282"/>
      <c r="MO101" s="320">
        <f t="shared" si="128"/>
        <v>1</v>
      </c>
      <c r="MP101" s="253" t="str">
        <f t="shared" ca="1" si="39"/>
        <v/>
      </c>
      <c r="MQ101" t="e">
        <f t="shared" ca="1" si="160"/>
        <v>#N/A</v>
      </c>
      <c r="MR101" s="238" t="e">
        <f ca="1">VLOOKUP(ME101,Foglio1ti!AB93:AZ393,13)-MQ101</f>
        <v>#N/A</v>
      </c>
      <c r="MS101" t="e">
        <f t="shared" ca="1" si="40"/>
        <v>#N/A</v>
      </c>
      <c r="MT101" t="e">
        <f t="shared" ca="1" si="41"/>
        <v>#N/A</v>
      </c>
      <c r="MU101" s="238" t="e">
        <f ca="1">VLOOKUP(ME101,Foglio1ti!AB93:AZ393,13)-MT101</f>
        <v>#N/A</v>
      </c>
      <c r="MV101" t="e">
        <f t="shared" ca="1" si="42"/>
        <v>#N/A</v>
      </c>
      <c r="MW101">
        <f t="shared" ca="1" si="140"/>
        <v>0</v>
      </c>
      <c r="MX101">
        <f ca="1">IF(AND(frontti!$H$25="SI",ML101="3-8 anni"),INDIRECT(CONCATENATE($MR$37,"BI",MU101)),0)</f>
        <v>0</v>
      </c>
      <c r="MY101" s="258"/>
    </row>
    <row r="102" spans="5:363" x14ac:dyDescent="0.25">
      <c r="E102" s="240" t="str">
        <f>Foglio3!F82</f>
        <v/>
      </c>
      <c r="F102" s="240" t="str">
        <f>Foglio3!G82</f>
        <v/>
      </c>
      <c r="G102" s="244"/>
      <c r="H102" s="245" t="e">
        <f t="shared" si="45"/>
        <v>#VALUE!</v>
      </c>
      <c r="I102" s="245" t="e">
        <f t="shared" si="8"/>
        <v>#VALUE!</v>
      </c>
      <c r="J102" s="244"/>
      <c r="K102" s="244"/>
      <c r="Q102" t="e">
        <f t="shared" si="9"/>
        <v>#VALUE!</v>
      </c>
      <c r="R102" t="e">
        <f t="shared" si="142"/>
        <v>#VALUE!</v>
      </c>
      <c r="S102" t="e">
        <f t="shared" si="46"/>
        <v>#VALUE!</v>
      </c>
      <c r="T102" t="e">
        <f t="shared" si="129"/>
        <v>#VALUE!</v>
      </c>
      <c r="U102" t="e">
        <f t="shared" si="130"/>
        <v>#VALUE!</v>
      </c>
      <c r="W102" t="e">
        <f t="shared" si="185"/>
        <v>#VALUE!</v>
      </c>
      <c r="X102" t="e">
        <f t="shared" si="185"/>
        <v>#VALUE!</v>
      </c>
      <c r="Y102" t="e">
        <f t="shared" si="185"/>
        <v>#VALUE!</v>
      </c>
      <c r="AA102" s="112" t="e">
        <f t="shared" si="103"/>
        <v>#VALUE!</v>
      </c>
      <c r="AB102" s="112" t="e">
        <f t="shared" si="104"/>
        <v>#VALUE!</v>
      </c>
      <c r="AG102" t="e">
        <f t="shared" si="47"/>
        <v>#VALUE!</v>
      </c>
      <c r="AH102" s="112" t="e">
        <f t="shared" si="48"/>
        <v>#VALUE!</v>
      </c>
      <c r="AI102" s="112" t="e">
        <f t="shared" si="48"/>
        <v>#VALUE!</v>
      </c>
      <c r="CX102" s="112">
        <f t="shared" si="56"/>
        <v>100000</v>
      </c>
      <c r="CY102" s="112">
        <f t="shared" si="115"/>
        <v>100000</v>
      </c>
      <c r="CZ102" s="112">
        <f t="shared" si="116"/>
        <v>100000</v>
      </c>
      <c r="DA102" s="112">
        <f t="shared" si="117"/>
        <v>100000</v>
      </c>
      <c r="DB102" s="112">
        <f t="shared" si="118"/>
        <v>100000</v>
      </c>
      <c r="DC102" s="112">
        <f t="shared" si="119"/>
        <v>100000</v>
      </c>
      <c r="DU102" s="112"/>
      <c r="DV102" s="112"/>
      <c r="EF102" s="253"/>
      <c r="EK102" s="254"/>
      <c r="EV102" s="253"/>
      <c r="EX102" s="253"/>
      <c r="EY102" s="238"/>
      <c r="FR102" s="254"/>
      <c r="HX102" s="253" t="s">
        <v>187</v>
      </c>
      <c r="HY102" s="112" t="e">
        <f t="shared" si="86"/>
        <v>#VALUE!</v>
      </c>
      <c r="HZ102" t="s">
        <v>188</v>
      </c>
      <c r="IA102" s="112" t="e">
        <f t="shared" si="87"/>
        <v>#VALUE!</v>
      </c>
      <c r="IB102" t="s">
        <v>189</v>
      </c>
      <c r="IC102" t="e">
        <f t="shared" si="88"/>
        <v>#VALUE!</v>
      </c>
      <c r="ID102" t="s">
        <v>192</v>
      </c>
      <c r="IE102" t="e">
        <f t="shared" si="89"/>
        <v>#VALUE!</v>
      </c>
      <c r="IF102" t="s">
        <v>191</v>
      </c>
      <c r="IG102" s="254" t="e">
        <f t="shared" si="90"/>
        <v>#VALUE!</v>
      </c>
      <c r="IL102" t="e">
        <f t="shared" si="91"/>
        <v>#VALUE!</v>
      </c>
      <c r="LL102" s="112">
        <f ca="1">Foglio7tiGiuEc1!GF45</f>
        <v>44652</v>
      </c>
      <c r="LM102" s="308">
        <f t="shared" ca="1" si="27"/>
        <v>44652</v>
      </c>
      <c r="LO102">
        <f t="shared" si="100"/>
        <v>64</v>
      </c>
      <c r="LP102" s="308">
        <f t="shared" ca="1" si="28"/>
        <v>100000</v>
      </c>
      <c r="LS102" s="263">
        <f t="shared" si="29"/>
        <v>64</v>
      </c>
      <c r="LT102" s="308">
        <f t="shared" ca="1" si="30"/>
        <v>100000</v>
      </c>
      <c r="LW102" s="308">
        <f t="shared" ca="1" si="31"/>
        <v>100000</v>
      </c>
      <c r="LZ102" s="308">
        <f t="shared" ca="1" si="32"/>
        <v>100000</v>
      </c>
      <c r="MC102" s="308">
        <f t="shared" ref="MC102:MC103" ca="1" si="186">SMALL($LZ$39:$LZ$161,LS102)</f>
        <v>100000</v>
      </c>
      <c r="ME102" s="308" t="str">
        <f t="shared" ref="ME102:ME103" ca="1" si="187">IF(MC102=100000,"",MC102)</f>
        <v/>
      </c>
      <c r="MF102" s="308" t="str">
        <f t="shared" ref="MF102:MF103" ca="1" si="188">IF(ME102&lt;&gt;"",ME102-1,"")</f>
        <v/>
      </c>
      <c r="MG102" s="263" t="str">
        <f ca="1">IF(ME102&lt;&gt;"",VLOOKUP(ME102,Foglio7ti!$GF$40:$GS$84,14),"")</f>
        <v/>
      </c>
    </row>
    <row r="103" spans="5:363" x14ac:dyDescent="0.25">
      <c r="E103" s="240" t="str">
        <f>Foglio3!F83</f>
        <v/>
      </c>
      <c r="F103" s="240" t="str">
        <f>Foglio3!G83</f>
        <v/>
      </c>
      <c r="G103" s="244"/>
      <c r="H103" s="245" t="e">
        <f t="shared" si="45"/>
        <v>#VALUE!</v>
      </c>
      <c r="I103" s="245" t="e">
        <f t="shared" si="8"/>
        <v>#VALUE!</v>
      </c>
      <c r="J103" s="244"/>
      <c r="K103" s="244"/>
      <c r="Q103" t="e">
        <f t="shared" si="9"/>
        <v>#VALUE!</v>
      </c>
      <c r="R103" t="e">
        <f t="shared" si="142"/>
        <v>#VALUE!</v>
      </c>
      <c r="S103" t="e">
        <f t="shared" si="46"/>
        <v>#VALUE!</v>
      </c>
      <c r="T103" t="e">
        <f t="shared" si="129"/>
        <v>#VALUE!</v>
      </c>
      <c r="U103" t="e">
        <f t="shared" si="130"/>
        <v>#VALUE!</v>
      </c>
      <c r="W103" t="e">
        <f t="shared" si="185"/>
        <v>#VALUE!</v>
      </c>
      <c r="X103" t="e">
        <f t="shared" si="185"/>
        <v>#VALUE!</v>
      </c>
      <c r="Y103" t="e">
        <f t="shared" si="185"/>
        <v>#VALUE!</v>
      </c>
      <c r="AA103" s="112" t="e">
        <f t="shared" si="103"/>
        <v>#VALUE!</v>
      </c>
      <c r="AB103" s="112" t="e">
        <f t="shared" si="104"/>
        <v>#VALUE!</v>
      </c>
      <c r="AG103" t="e">
        <f t="shared" si="47"/>
        <v>#VALUE!</v>
      </c>
      <c r="AH103" s="112" t="e">
        <f t="shared" si="48"/>
        <v>#VALUE!</v>
      </c>
      <c r="AI103" s="112" t="e">
        <f t="shared" si="48"/>
        <v>#VALUE!</v>
      </c>
      <c r="CX103" s="112">
        <f t="shared" si="56"/>
        <v>100000</v>
      </c>
      <c r="CY103" s="112">
        <f t="shared" si="115"/>
        <v>100000</v>
      </c>
      <c r="CZ103" s="112">
        <f t="shared" si="116"/>
        <v>100000</v>
      </c>
      <c r="DA103" s="112">
        <f t="shared" si="117"/>
        <v>100000</v>
      </c>
      <c r="DB103" s="112">
        <f t="shared" si="118"/>
        <v>100000</v>
      </c>
      <c r="DC103" s="112">
        <f t="shared" si="119"/>
        <v>100000</v>
      </c>
      <c r="DU103" s="112"/>
      <c r="DV103" s="112"/>
      <c r="EF103" s="253"/>
      <c r="EK103" s="254"/>
      <c r="EV103" s="253"/>
      <c r="EX103" s="253"/>
      <c r="EY103" s="238"/>
      <c r="FR103" s="254"/>
      <c r="HX103" s="253" t="s">
        <v>187</v>
      </c>
      <c r="HY103" s="112" t="e">
        <f t="shared" si="86"/>
        <v>#VALUE!</v>
      </c>
      <c r="HZ103" t="s">
        <v>188</v>
      </c>
      <c r="IA103" s="112" t="e">
        <f t="shared" si="87"/>
        <v>#VALUE!</v>
      </c>
      <c r="IB103" t="s">
        <v>189</v>
      </c>
      <c r="IC103" t="e">
        <f t="shared" si="88"/>
        <v>#VALUE!</v>
      </c>
      <c r="ID103" t="s">
        <v>192</v>
      </c>
      <c r="IE103" t="e">
        <f t="shared" si="89"/>
        <v>#VALUE!</v>
      </c>
      <c r="IF103" t="s">
        <v>191</v>
      </c>
      <c r="IG103" s="254" t="e">
        <f t="shared" si="90"/>
        <v>#VALUE!</v>
      </c>
      <c r="IL103" t="e">
        <f t="shared" si="91"/>
        <v>#VALUE!</v>
      </c>
      <c r="LL103" s="112">
        <f ca="1">Foglio7tiGiuEc1!GF46</f>
        <v>44743</v>
      </c>
      <c r="LM103" s="308">
        <f t="shared" ca="1" si="27"/>
        <v>44743</v>
      </c>
      <c r="LO103">
        <f t="shared" si="100"/>
        <v>65</v>
      </c>
      <c r="LP103" s="308">
        <f t="shared" ca="1" si="28"/>
        <v>100000</v>
      </c>
      <c r="LS103" s="263">
        <f t="shared" si="29"/>
        <v>65</v>
      </c>
      <c r="LT103" s="308">
        <f t="shared" ca="1" si="30"/>
        <v>100000</v>
      </c>
      <c r="LW103" s="308">
        <f t="shared" ca="1" si="31"/>
        <v>100000</v>
      </c>
      <c r="LZ103" s="308">
        <f t="shared" ca="1" si="32"/>
        <v>100000</v>
      </c>
      <c r="MC103" s="308">
        <f t="shared" ca="1" si="186"/>
        <v>100000</v>
      </c>
      <c r="ME103" s="308" t="str">
        <f t="shared" ca="1" si="187"/>
        <v/>
      </c>
      <c r="MF103" s="308" t="str">
        <f t="shared" ca="1" si="188"/>
        <v/>
      </c>
      <c r="MG103" s="263" t="str">
        <f ca="1">IF(ME103&lt;&gt;"",VLOOKUP(ME103,Foglio7ti!$GF$40:$GS$84,14),"")</f>
        <v/>
      </c>
    </row>
    <row r="104" spans="5:363" x14ac:dyDescent="0.25">
      <c r="E104" s="240" t="str">
        <f>Foglio3!F84</f>
        <v/>
      </c>
      <c r="F104" s="240" t="str">
        <f>Foglio3!G84</f>
        <v/>
      </c>
      <c r="G104" s="244"/>
      <c r="H104" s="245" t="e">
        <f t="shared" si="45"/>
        <v>#VALUE!</v>
      </c>
      <c r="I104" s="245" t="e">
        <f t="shared" si="45"/>
        <v>#VALUE!</v>
      </c>
      <c r="J104" s="244"/>
      <c r="K104" s="244"/>
      <c r="Q104" t="e">
        <f t="shared" ref="Q104:Q131" si="189">I104-H104+1</f>
        <v>#VALUE!</v>
      </c>
      <c r="R104" t="e">
        <f t="shared" si="142"/>
        <v>#VALUE!</v>
      </c>
      <c r="S104" t="e">
        <f t="shared" si="46"/>
        <v>#VALUE!</v>
      </c>
      <c r="T104" t="e">
        <f t="shared" si="129"/>
        <v>#VALUE!</v>
      </c>
      <c r="U104" t="e">
        <f t="shared" si="130"/>
        <v>#VALUE!</v>
      </c>
      <c r="W104" t="e">
        <f t="shared" si="185"/>
        <v>#VALUE!</v>
      </c>
      <c r="X104" t="e">
        <f t="shared" si="185"/>
        <v>#VALUE!</v>
      </c>
      <c r="Y104" t="e">
        <f t="shared" si="185"/>
        <v>#VALUE!</v>
      </c>
      <c r="AA104" s="112" t="e">
        <f t="shared" si="103"/>
        <v>#VALUE!</v>
      </c>
      <c r="AB104" s="112" t="e">
        <f t="shared" si="104"/>
        <v>#VALUE!</v>
      </c>
      <c r="AG104" t="e">
        <f t="shared" si="47"/>
        <v>#VALUE!</v>
      </c>
      <c r="AH104" s="112" t="e">
        <f t="shared" si="48"/>
        <v>#VALUE!</v>
      </c>
      <c r="AI104" s="112" t="e">
        <f t="shared" si="48"/>
        <v>#VALUE!</v>
      </c>
      <c r="CX104" s="112">
        <f t="shared" si="56"/>
        <v>100000</v>
      </c>
      <c r="CY104" s="112">
        <f t="shared" si="115"/>
        <v>100000</v>
      </c>
      <c r="CZ104" s="112">
        <f t="shared" si="116"/>
        <v>100000</v>
      </c>
      <c r="DA104" s="112">
        <f t="shared" si="117"/>
        <v>100000</v>
      </c>
      <c r="DB104" s="112">
        <f t="shared" si="118"/>
        <v>100000</v>
      </c>
      <c r="DC104" s="112">
        <f t="shared" si="119"/>
        <v>100000</v>
      </c>
      <c r="DU104" s="112"/>
      <c r="DV104" s="112"/>
      <c r="EF104" s="253"/>
      <c r="EK104" s="254"/>
      <c r="EV104" s="253"/>
      <c r="EX104" s="253"/>
      <c r="EY104" s="238"/>
      <c r="FR104" s="254"/>
      <c r="HX104" s="253" t="s">
        <v>187</v>
      </c>
      <c r="HY104" s="112" t="e">
        <f t="shared" si="86"/>
        <v>#VALUE!</v>
      </c>
      <c r="HZ104" t="s">
        <v>188</v>
      </c>
      <c r="IA104" s="112" t="e">
        <f t="shared" si="87"/>
        <v>#VALUE!</v>
      </c>
      <c r="IB104" t="s">
        <v>189</v>
      </c>
      <c r="IC104" t="e">
        <f t="shared" si="88"/>
        <v>#VALUE!</v>
      </c>
      <c r="ID104" t="s">
        <v>192</v>
      </c>
      <c r="IE104" t="e">
        <f t="shared" si="89"/>
        <v>#VALUE!</v>
      </c>
      <c r="IF104" t="s">
        <v>191</v>
      </c>
      <c r="IG104" s="254" t="e">
        <f t="shared" si="90"/>
        <v>#VALUE!</v>
      </c>
      <c r="IL104" t="e">
        <f t="shared" si="91"/>
        <v>#VALUE!</v>
      </c>
      <c r="LL104" s="112">
        <f ca="1">Foglio7tiGiuEc1!GF47</f>
        <v>44926</v>
      </c>
      <c r="LM104" s="308">
        <f t="shared" ref="LM104:LM161" ca="1" si="190">IF(LL104&lt;10000,100000,LL104)</f>
        <v>44926</v>
      </c>
      <c r="LO104">
        <f t="shared" si="100"/>
        <v>66</v>
      </c>
      <c r="LP104" s="308">
        <f t="shared" ref="LP104:LP161" ca="1" si="191">SMALL($LM$39:$LM$161,LO104)</f>
        <v>100000</v>
      </c>
      <c r="LS104" s="263">
        <f t="shared" ref="LS104:LS161" si="192">LO104</f>
        <v>66</v>
      </c>
      <c r="LT104" s="308">
        <f t="shared" ref="LT104:LT161" ca="1" si="193">IF(LP104=LP105,100000,LP104)</f>
        <v>100000</v>
      </c>
      <c r="LW104" s="308">
        <f t="shared" ref="LW104:LW161" ca="1" si="194">SMALL($LT$39:$LT$161,LS104)</f>
        <v>100000</v>
      </c>
      <c r="LZ104" s="308">
        <f t="shared" ref="LZ104:LZ161" ca="1" si="195">IF(LW104=LW105,100000,LW104)</f>
        <v>100000</v>
      </c>
      <c r="MC104" s="308">
        <f t="shared" ref="MC104:MC161" ca="1" si="196">SMALL($LZ$39:$LZ$161,LS104)</f>
        <v>100000</v>
      </c>
      <c r="ME104" s="308" t="str">
        <f t="shared" ref="ME104:ME161" ca="1" si="197">IF(MC104=100000,"",MC104)</f>
        <v/>
      </c>
      <c r="MF104" s="308" t="str">
        <f t="shared" ref="MF104:MF161" ca="1" si="198">IF(ME104&lt;&gt;"",ME104-1,"")</f>
        <v/>
      </c>
      <c r="MG104" s="263" t="str">
        <f ca="1">IF(ME104&lt;&gt;"",VLOOKUP(ME104,Foglio7ti!$GF$40:$GS$84,14),"")</f>
        <v/>
      </c>
    </row>
    <row r="105" spans="5:363" x14ac:dyDescent="0.25">
      <c r="E105" s="240" t="str">
        <f>Foglio3!F85</f>
        <v/>
      </c>
      <c r="F105" s="240" t="str">
        <f>Foglio3!G85</f>
        <v/>
      </c>
      <c r="G105" s="244"/>
      <c r="H105" s="245" t="e">
        <f t="shared" ref="H105:I131" si="199">AH105</f>
        <v>#VALUE!</v>
      </c>
      <c r="I105" s="245" t="e">
        <f t="shared" si="199"/>
        <v>#VALUE!</v>
      </c>
      <c r="J105" s="244"/>
      <c r="K105" s="244"/>
      <c r="Q105" t="e">
        <f t="shared" si="189"/>
        <v>#VALUE!</v>
      </c>
      <c r="R105" t="e">
        <f t="shared" si="142"/>
        <v>#VALUE!</v>
      </c>
      <c r="S105" t="e">
        <f t="shared" ref="S105:S131" si="200">INT(R105/365)</f>
        <v>#VALUE!</v>
      </c>
      <c r="T105" t="e">
        <f t="shared" si="129"/>
        <v>#VALUE!</v>
      </c>
      <c r="U105" t="e">
        <f t="shared" si="130"/>
        <v>#VALUE!</v>
      </c>
      <c r="W105" t="e">
        <f t="shared" si="185"/>
        <v>#VALUE!</v>
      </c>
      <c r="X105" t="e">
        <f t="shared" si="185"/>
        <v>#VALUE!</v>
      </c>
      <c r="Y105" t="e">
        <f t="shared" si="185"/>
        <v>#VALUE!</v>
      </c>
      <c r="AA105" s="112" t="e">
        <f t="shared" si="103"/>
        <v>#VALUE!</v>
      </c>
      <c r="AB105" s="112" t="e">
        <f t="shared" si="104"/>
        <v>#VALUE!</v>
      </c>
      <c r="AG105" t="e">
        <f t="shared" ref="AG105:AG119" si="201">IF(AI105&lt;AH105,0,1)</f>
        <v>#VALUE!</v>
      </c>
      <c r="AH105" s="112" t="e">
        <f t="shared" ref="AH105:AI119" si="202">AA105*1</f>
        <v>#VALUE!</v>
      </c>
      <c r="AI105" s="112" t="e">
        <f t="shared" si="202"/>
        <v>#VALUE!</v>
      </c>
      <c r="CX105" s="112">
        <f t="shared" ref="CX105:CX113" si="203">IF(                    AND( CT105&gt;=$CQ$39,CT104&lt;=$CQ$39   ),CV105-(CT105-$CQ$39),100000)</f>
        <v>100000</v>
      </c>
      <c r="CY105" s="112">
        <f t="shared" si="115"/>
        <v>100000</v>
      </c>
      <c r="CZ105" s="112">
        <f t="shared" si="116"/>
        <v>100000</v>
      </c>
      <c r="DA105" s="112">
        <f t="shared" si="117"/>
        <v>100000</v>
      </c>
      <c r="DB105" s="112">
        <f t="shared" si="118"/>
        <v>100000</v>
      </c>
      <c r="DC105" s="112">
        <f t="shared" si="119"/>
        <v>100000</v>
      </c>
      <c r="DU105" s="112"/>
      <c r="DV105" s="112"/>
      <c r="EF105" s="253"/>
      <c r="EK105" s="254"/>
      <c r="EV105" s="253"/>
      <c r="EX105" s="253"/>
      <c r="EY105" s="238"/>
      <c r="FR105" s="254"/>
      <c r="HX105" s="253" t="s">
        <v>187</v>
      </c>
      <c r="HY105" s="112" t="e">
        <f t="shared" ref="HY105:HY168" si="204">CONCATENATE(DAY(E105),"/",MONTH(E105),"/",YEAR(E105))</f>
        <v>#VALUE!</v>
      </c>
      <c r="HZ105" t="s">
        <v>188</v>
      </c>
      <c r="IA105" s="112" t="e">
        <f t="shared" ref="IA105:IA168" si="205">CONCATENATE(DAY(F105),"/",MONTH(F105),"/",YEAR(F105))</f>
        <v>#VALUE!</v>
      </c>
      <c r="IB105" t="s">
        <v>189</v>
      </c>
      <c r="IC105" t="e">
        <f t="shared" ref="IC105:IC168" si="206">S105</f>
        <v>#VALUE!</v>
      </c>
      <c r="ID105" t="s">
        <v>192</v>
      </c>
      <c r="IE105" t="e">
        <f t="shared" ref="IE105:IE168" si="207">T105</f>
        <v>#VALUE!</v>
      </c>
      <c r="IF105" t="s">
        <v>191</v>
      </c>
      <c r="IG105" s="254" t="e">
        <f t="shared" ref="IG105:IG168" si="208">U105</f>
        <v>#VALUE!</v>
      </c>
      <c r="IL105" t="e">
        <f t="shared" ref="IL105:IL168" si="209">IF(E105&gt;0,CONCATENATE(HX105,HY105,HZ105,IA105,IB105,IC105,ID105,IE105,IF105,IG105,"
"),"")</f>
        <v>#VALUE!</v>
      </c>
      <c r="LL105" s="112">
        <f ca="1">Foglio7tiGiuEc1!GF48</f>
        <v>100000</v>
      </c>
      <c r="LM105" s="308">
        <f t="shared" ca="1" si="190"/>
        <v>100000</v>
      </c>
      <c r="LO105">
        <f t="shared" ref="LO105:LO161" si="210">LO104+1</f>
        <v>67</v>
      </c>
      <c r="LP105" s="308">
        <f t="shared" ca="1" si="191"/>
        <v>100000</v>
      </c>
      <c r="LS105" s="263">
        <f t="shared" si="192"/>
        <v>67</v>
      </c>
      <c r="LT105" s="308">
        <f t="shared" ca="1" si="193"/>
        <v>100000</v>
      </c>
      <c r="LW105" s="308">
        <f t="shared" ca="1" si="194"/>
        <v>100000</v>
      </c>
      <c r="LZ105" s="308">
        <f t="shared" ca="1" si="195"/>
        <v>100000</v>
      </c>
      <c r="MC105" s="308">
        <f t="shared" ca="1" si="196"/>
        <v>100000</v>
      </c>
      <c r="ME105" s="308" t="str">
        <f t="shared" ca="1" si="197"/>
        <v/>
      </c>
      <c r="MF105" s="308" t="str">
        <f t="shared" ca="1" si="198"/>
        <v/>
      </c>
      <c r="MG105" s="263" t="str">
        <f ca="1">IF(ME105&lt;&gt;"",VLOOKUP(ME105,Foglio7ti!$GF$40:$GS$84,14),"")</f>
        <v/>
      </c>
    </row>
    <row r="106" spans="5:363" x14ac:dyDescent="0.25">
      <c r="E106" s="240" t="str">
        <f>Foglio3!F86</f>
        <v/>
      </c>
      <c r="F106" s="240" t="str">
        <f>Foglio3!G86</f>
        <v/>
      </c>
      <c r="G106" s="244"/>
      <c r="H106" s="245" t="e">
        <f t="shared" si="199"/>
        <v>#VALUE!</v>
      </c>
      <c r="I106" s="245" t="e">
        <f t="shared" si="199"/>
        <v>#VALUE!</v>
      </c>
      <c r="J106" s="244"/>
      <c r="K106" s="244"/>
      <c r="Q106" t="e">
        <f t="shared" si="189"/>
        <v>#VALUE!</v>
      </c>
      <c r="R106" t="e">
        <f t="shared" si="142"/>
        <v>#VALUE!</v>
      </c>
      <c r="S106" t="e">
        <f t="shared" si="200"/>
        <v>#VALUE!</v>
      </c>
      <c r="T106" t="e">
        <f t="shared" si="129"/>
        <v>#VALUE!</v>
      </c>
      <c r="U106" t="e">
        <f t="shared" si="130"/>
        <v>#VALUE!</v>
      </c>
      <c r="W106" t="e">
        <f t="shared" si="185"/>
        <v>#VALUE!</v>
      </c>
      <c r="X106" t="e">
        <f t="shared" si="185"/>
        <v>#VALUE!</v>
      </c>
      <c r="Y106" t="e">
        <f t="shared" si="185"/>
        <v>#VALUE!</v>
      </c>
      <c r="AA106" s="112" t="e">
        <f t="shared" ref="AA106:AA119" si="211">IF(AND(YEAR(E106)=$CG$38,YEAR(F106)&gt;$CG$38),"01/01/2014",E106)</f>
        <v>#VALUE!</v>
      </c>
      <c r="AB106" s="112" t="e">
        <f t="shared" ref="AB106:AB119" si="212">IF(YEAR(F106)=$CG$38,"31/12/12"*1,F106)</f>
        <v>#VALUE!</v>
      </c>
      <c r="AG106" t="e">
        <f t="shared" si="201"/>
        <v>#VALUE!</v>
      </c>
      <c r="AH106" s="112" t="e">
        <f t="shared" si="202"/>
        <v>#VALUE!</v>
      </c>
      <c r="AI106" s="112" t="e">
        <f t="shared" si="202"/>
        <v>#VALUE!</v>
      </c>
      <c r="CX106" s="112">
        <f t="shared" si="203"/>
        <v>100000</v>
      </c>
      <c r="CY106" s="112">
        <f t="shared" ref="CY106:CY117" si="213">IF(                    AND( CT106&gt;=$CQ$40,CT105&lt;=$CQ$40   ),CV106-(CT106-$CQ$40),100000)</f>
        <v>100000</v>
      </c>
      <c r="CZ106" s="112">
        <f t="shared" ref="CZ106:CZ117" si="214">IF(                    AND( CT106&gt;=$CQ$41,CT105&lt;=$CQ$41   ),CV106-(CT106-$CQ$41),100000)</f>
        <v>100000</v>
      </c>
      <c r="DA106" s="112">
        <f t="shared" ref="DA106:DA117" si="215">IF(                    AND( CT106&gt;=$CQ$42,CT105&lt;=$CQ$42   ),CV106-(CT106-$CQ$42),100000)</f>
        <v>100000</v>
      </c>
      <c r="DB106" s="112">
        <f t="shared" ref="DB106:DB117" si="216">IF(                    AND( CT106&gt;=$CQ$43,CT105&lt;=$CQ$43  ),CV106-(CT106-$CQ$43),100000)</f>
        <v>100000</v>
      </c>
      <c r="DC106" s="112">
        <f t="shared" ref="DC106:DC117" si="217">IF(                    AND( CT106&gt;=$CQ$43,CT105&lt;=$CQ$43   ),CV106-(CT106-$CQ$43),100000)</f>
        <v>100000</v>
      </c>
      <c r="DU106" s="112"/>
      <c r="DV106" s="112"/>
      <c r="EF106" s="253"/>
      <c r="EK106" s="254"/>
      <c r="EV106" s="253"/>
      <c r="EX106" s="253"/>
      <c r="EY106" s="238"/>
      <c r="FR106" s="254"/>
      <c r="HX106" s="253" t="s">
        <v>187</v>
      </c>
      <c r="HY106" s="112" t="e">
        <f t="shared" si="204"/>
        <v>#VALUE!</v>
      </c>
      <c r="HZ106" t="s">
        <v>188</v>
      </c>
      <c r="IA106" s="112" t="e">
        <f t="shared" si="205"/>
        <v>#VALUE!</v>
      </c>
      <c r="IB106" t="s">
        <v>189</v>
      </c>
      <c r="IC106" t="e">
        <f t="shared" si="206"/>
        <v>#VALUE!</v>
      </c>
      <c r="ID106" t="s">
        <v>192</v>
      </c>
      <c r="IE106" t="e">
        <f t="shared" si="207"/>
        <v>#VALUE!</v>
      </c>
      <c r="IF106" t="s">
        <v>191</v>
      </c>
      <c r="IG106" s="254" t="e">
        <f t="shared" si="208"/>
        <v>#VALUE!</v>
      </c>
      <c r="IL106" t="e">
        <f t="shared" si="209"/>
        <v>#VALUE!</v>
      </c>
      <c r="LL106" s="112">
        <f ca="1">Foglio7tiGiuEc1!GF49</f>
        <v>100000</v>
      </c>
      <c r="LM106" s="308">
        <f t="shared" ca="1" si="190"/>
        <v>100000</v>
      </c>
      <c r="LO106">
        <f t="shared" si="210"/>
        <v>68</v>
      </c>
      <c r="LP106" s="308">
        <f t="shared" ca="1" si="191"/>
        <v>100000</v>
      </c>
      <c r="LS106" s="263">
        <f t="shared" si="192"/>
        <v>68</v>
      </c>
      <c r="LT106" s="308">
        <f t="shared" ca="1" si="193"/>
        <v>100000</v>
      </c>
      <c r="LW106" s="308">
        <f t="shared" ca="1" si="194"/>
        <v>100000</v>
      </c>
      <c r="LZ106" s="308">
        <f t="shared" ca="1" si="195"/>
        <v>100000</v>
      </c>
      <c r="MC106" s="308">
        <f t="shared" ca="1" si="196"/>
        <v>100000</v>
      </c>
      <c r="ME106" s="308" t="str">
        <f t="shared" ca="1" si="197"/>
        <v/>
      </c>
      <c r="MF106" s="308" t="str">
        <f t="shared" ca="1" si="198"/>
        <v/>
      </c>
      <c r="MG106" s="263" t="str">
        <f ca="1">IF(ME106&lt;&gt;"",VLOOKUP(ME106,Foglio7ti!$GF$40:$GS$84,14),"")</f>
        <v/>
      </c>
    </row>
    <row r="107" spans="5:363" x14ac:dyDescent="0.25">
      <c r="E107" s="240" t="str">
        <f>Foglio3!F87</f>
        <v/>
      </c>
      <c r="F107" s="240" t="str">
        <f>Foglio3!G87</f>
        <v/>
      </c>
      <c r="G107" s="244"/>
      <c r="H107" s="245" t="e">
        <f t="shared" si="199"/>
        <v>#VALUE!</v>
      </c>
      <c r="I107" s="245" t="e">
        <f t="shared" si="199"/>
        <v>#VALUE!</v>
      </c>
      <c r="J107" s="244"/>
      <c r="K107" s="244"/>
      <c r="Q107" t="e">
        <f t="shared" si="189"/>
        <v>#VALUE!</v>
      </c>
      <c r="R107" t="e">
        <f t="shared" si="142"/>
        <v>#VALUE!</v>
      </c>
      <c r="S107" t="e">
        <f t="shared" si="200"/>
        <v>#VALUE!</v>
      </c>
      <c r="T107" t="e">
        <f t="shared" ref="T107:T131" si="218">INT( (R107-(S107*365))/30)</f>
        <v>#VALUE!</v>
      </c>
      <c r="U107" t="e">
        <f t="shared" ref="U107:U131" si="219">R107- ((S107*365)+T107*30)</f>
        <v>#VALUE!</v>
      </c>
      <c r="W107" t="e">
        <f t="shared" ref="W107:Y122" si="220">S107+W106</f>
        <v>#VALUE!</v>
      </c>
      <c r="X107" t="e">
        <f t="shared" si="220"/>
        <v>#VALUE!</v>
      </c>
      <c r="Y107" t="e">
        <f t="shared" si="220"/>
        <v>#VALUE!</v>
      </c>
      <c r="AA107" s="112" t="e">
        <f t="shared" si="211"/>
        <v>#VALUE!</v>
      </c>
      <c r="AB107" s="112" t="e">
        <f t="shared" si="212"/>
        <v>#VALUE!</v>
      </c>
      <c r="AG107" t="e">
        <f t="shared" si="201"/>
        <v>#VALUE!</v>
      </c>
      <c r="AH107" s="112" t="e">
        <f t="shared" si="202"/>
        <v>#VALUE!</v>
      </c>
      <c r="AI107" s="112" t="e">
        <f t="shared" si="202"/>
        <v>#VALUE!</v>
      </c>
      <c r="CX107" s="112">
        <f t="shared" si="203"/>
        <v>100000</v>
      </c>
      <c r="CY107" s="112">
        <f t="shared" si="213"/>
        <v>100000</v>
      </c>
      <c r="CZ107" s="112">
        <f t="shared" si="214"/>
        <v>100000</v>
      </c>
      <c r="DA107" s="112">
        <f t="shared" si="215"/>
        <v>100000</v>
      </c>
      <c r="DB107" s="112">
        <f t="shared" si="216"/>
        <v>100000</v>
      </c>
      <c r="DC107" s="112">
        <f t="shared" si="217"/>
        <v>100000</v>
      </c>
      <c r="DU107" s="112"/>
      <c r="DV107" s="112"/>
      <c r="EF107" s="253"/>
      <c r="EK107" s="254"/>
      <c r="EV107" s="253"/>
      <c r="EX107" s="253"/>
      <c r="EY107" s="238"/>
      <c r="FR107" s="254"/>
      <c r="HX107" s="253" t="s">
        <v>187</v>
      </c>
      <c r="HY107" s="112" t="e">
        <f t="shared" si="204"/>
        <v>#VALUE!</v>
      </c>
      <c r="HZ107" t="s">
        <v>188</v>
      </c>
      <c r="IA107" s="112" t="e">
        <f t="shared" si="205"/>
        <v>#VALUE!</v>
      </c>
      <c r="IB107" t="s">
        <v>189</v>
      </c>
      <c r="IC107" t="e">
        <f t="shared" si="206"/>
        <v>#VALUE!</v>
      </c>
      <c r="ID107" t="s">
        <v>192</v>
      </c>
      <c r="IE107" t="e">
        <f t="shared" si="207"/>
        <v>#VALUE!</v>
      </c>
      <c r="IF107" t="s">
        <v>191</v>
      </c>
      <c r="IG107" s="254" t="e">
        <f t="shared" si="208"/>
        <v>#VALUE!</v>
      </c>
      <c r="IL107" t="e">
        <f t="shared" si="209"/>
        <v>#VALUE!</v>
      </c>
      <c r="LL107" s="112">
        <f ca="1">Foglio7tiGiuEc1!GF50</f>
        <v>100000</v>
      </c>
      <c r="LM107" s="308">
        <f t="shared" ca="1" si="190"/>
        <v>100000</v>
      </c>
      <c r="LO107">
        <f t="shared" si="210"/>
        <v>69</v>
      </c>
      <c r="LP107" s="308">
        <f t="shared" ca="1" si="191"/>
        <v>100000</v>
      </c>
      <c r="LS107" s="263">
        <f t="shared" si="192"/>
        <v>69</v>
      </c>
      <c r="LT107" s="308">
        <f t="shared" ca="1" si="193"/>
        <v>100000</v>
      </c>
      <c r="LW107" s="308">
        <f t="shared" ca="1" si="194"/>
        <v>100000</v>
      </c>
      <c r="LZ107" s="308">
        <f t="shared" ca="1" si="195"/>
        <v>100000</v>
      </c>
      <c r="MC107" s="308">
        <f t="shared" ca="1" si="196"/>
        <v>100000</v>
      </c>
      <c r="ME107" s="308" t="str">
        <f t="shared" ca="1" si="197"/>
        <v/>
      </c>
      <c r="MF107" s="308" t="str">
        <f t="shared" ca="1" si="198"/>
        <v/>
      </c>
      <c r="MG107" s="263" t="str">
        <f ca="1">IF(ME107&lt;&gt;"",VLOOKUP(ME107,Foglio7ti!$GF$40:$GS$84,14),"")</f>
        <v/>
      </c>
    </row>
    <row r="108" spans="5:363" x14ac:dyDescent="0.25">
      <c r="E108" s="240" t="str">
        <f>Foglio3!F88</f>
        <v/>
      </c>
      <c r="F108" s="240" t="str">
        <f>Foglio3!G88</f>
        <v/>
      </c>
      <c r="G108" s="244"/>
      <c r="H108" s="245" t="e">
        <f t="shared" si="199"/>
        <v>#VALUE!</v>
      </c>
      <c r="I108" s="245" t="e">
        <f t="shared" si="199"/>
        <v>#VALUE!</v>
      </c>
      <c r="J108" s="244"/>
      <c r="K108" s="244"/>
      <c r="Q108" t="e">
        <f t="shared" si="189"/>
        <v>#VALUE!</v>
      </c>
      <c r="R108" t="e">
        <f t="shared" ref="R108:R131" si="221">IF(Q108&lt;0,0,Q108-BV108*AG108)</f>
        <v>#VALUE!</v>
      </c>
      <c r="S108" t="e">
        <f t="shared" si="200"/>
        <v>#VALUE!</v>
      </c>
      <c r="T108" t="e">
        <f t="shared" si="218"/>
        <v>#VALUE!</v>
      </c>
      <c r="U108" t="e">
        <f t="shared" si="219"/>
        <v>#VALUE!</v>
      </c>
      <c r="W108" t="e">
        <f t="shared" si="220"/>
        <v>#VALUE!</v>
      </c>
      <c r="X108" t="e">
        <f t="shared" si="220"/>
        <v>#VALUE!</v>
      </c>
      <c r="Y108" t="e">
        <f t="shared" si="220"/>
        <v>#VALUE!</v>
      </c>
      <c r="AA108" s="112" t="e">
        <f t="shared" si="211"/>
        <v>#VALUE!</v>
      </c>
      <c r="AB108" s="112" t="e">
        <f t="shared" si="212"/>
        <v>#VALUE!</v>
      </c>
      <c r="AG108" t="e">
        <f t="shared" si="201"/>
        <v>#VALUE!</v>
      </c>
      <c r="AH108" s="112" t="e">
        <f t="shared" si="202"/>
        <v>#VALUE!</v>
      </c>
      <c r="AI108" s="112" t="e">
        <f t="shared" si="202"/>
        <v>#VALUE!</v>
      </c>
      <c r="CX108" s="112">
        <f t="shared" si="203"/>
        <v>100000</v>
      </c>
      <c r="CY108" s="112">
        <f t="shared" si="213"/>
        <v>100000</v>
      </c>
      <c r="CZ108" s="112">
        <f t="shared" si="214"/>
        <v>100000</v>
      </c>
      <c r="DA108" s="112">
        <f t="shared" si="215"/>
        <v>100000</v>
      </c>
      <c r="DB108" s="112">
        <f t="shared" si="216"/>
        <v>100000</v>
      </c>
      <c r="DC108" s="112">
        <f t="shared" si="217"/>
        <v>100000</v>
      </c>
      <c r="DU108" s="112"/>
      <c r="DV108" s="112"/>
      <c r="EF108" s="253"/>
      <c r="EK108" s="254"/>
      <c r="EV108" s="253"/>
      <c r="EX108" s="253"/>
      <c r="EY108" s="238"/>
      <c r="FR108" s="254"/>
      <c r="HX108" s="253" t="s">
        <v>187</v>
      </c>
      <c r="HY108" s="112" t="e">
        <f t="shared" si="204"/>
        <v>#VALUE!</v>
      </c>
      <c r="HZ108" t="s">
        <v>188</v>
      </c>
      <c r="IA108" s="112" t="e">
        <f t="shared" si="205"/>
        <v>#VALUE!</v>
      </c>
      <c r="IB108" t="s">
        <v>189</v>
      </c>
      <c r="IC108" t="e">
        <f t="shared" si="206"/>
        <v>#VALUE!</v>
      </c>
      <c r="ID108" t="s">
        <v>192</v>
      </c>
      <c r="IE108" t="e">
        <f t="shared" si="207"/>
        <v>#VALUE!</v>
      </c>
      <c r="IF108" t="s">
        <v>191</v>
      </c>
      <c r="IG108" s="254" t="e">
        <f t="shared" si="208"/>
        <v>#VALUE!</v>
      </c>
      <c r="IL108" t="e">
        <f t="shared" si="209"/>
        <v>#VALUE!</v>
      </c>
      <c r="LL108" s="112">
        <f ca="1">Foglio7tiGiuEc1!GF51</f>
        <v>100000</v>
      </c>
      <c r="LM108" s="308">
        <f t="shared" ca="1" si="190"/>
        <v>100000</v>
      </c>
      <c r="LO108">
        <f t="shared" si="210"/>
        <v>70</v>
      </c>
      <c r="LP108" s="308">
        <f t="shared" ca="1" si="191"/>
        <v>100000</v>
      </c>
      <c r="LS108" s="263">
        <f t="shared" si="192"/>
        <v>70</v>
      </c>
      <c r="LT108" s="308">
        <f t="shared" ca="1" si="193"/>
        <v>100000</v>
      </c>
      <c r="LW108" s="308">
        <f t="shared" ca="1" si="194"/>
        <v>100000</v>
      </c>
      <c r="LZ108" s="308">
        <f t="shared" ca="1" si="195"/>
        <v>100000</v>
      </c>
      <c r="MC108" s="308">
        <f t="shared" ca="1" si="196"/>
        <v>100000</v>
      </c>
      <c r="ME108" s="308" t="str">
        <f t="shared" ca="1" si="197"/>
        <v/>
      </c>
      <c r="MF108" s="308" t="str">
        <f t="shared" ca="1" si="198"/>
        <v/>
      </c>
      <c r="MG108" s="263" t="str">
        <f ca="1">IF(ME108&lt;&gt;"",VLOOKUP(ME108,Foglio7ti!$GF$40:$GS$84,14),"")</f>
        <v/>
      </c>
    </row>
    <row r="109" spans="5:363" x14ac:dyDescent="0.25">
      <c r="E109" s="240" t="str">
        <f>Foglio3!F89</f>
        <v/>
      </c>
      <c r="F109" s="240" t="str">
        <f>Foglio3!G89</f>
        <v/>
      </c>
      <c r="G109" s="244"/>
      <c r="H109" s="245" t="e">
        <f t="shared" si="199"/>
        <v>#VALUE!</v>
      </c>
      <c r="I109" s="245" t="e">
        <f t="shared" si="199"/>
        <v>#VALUE!</v>
      </c>
      <c r="J109" s="244"/>
      <c r="K109" s="244"/>
      <c r="Q109" t="e">
        <f t="shared" si="189"/>
        <v>#VALUE!</v>
      </c>
      <c r="R109" t="e">
        <f t="shared" si="221"/>
        <v>#VALUE!</v>
      </c>
      <c r="S109" t="e">
        <f t="shared" si="200"/>
        <v>#VALUE!</v>
      </c>
      <c r="T109" t="e">
        <f t="shared" si="218"/>
        <v>#VALUE!</v>
      </c>
      <c r="U109" t="e">
        <f t="shared" si="219"/>
        <v>#VALUE!</v>
      </c>
      <c r="W109" t="e">
        <f t="shared" si="220"/>
        <v>#VALUE!</v>
      </c>
      <c r="X109" t="e">
        <f t="shared" si="220"/>
        <v>#VALUE!</v>
      </c>
      <c r="Y109" t="e">
        <f t="shared" si="220"/>
        <v>#VALUE!</v>
      </c>
      <c r="AA109" s="112" t="e">
        <f t="shared" si="211"/>
        <v>#VALUE!</v>
      </c>
      <c r="AB109" s="112" t="e">
        <f t="shared" si="212"/>
        <v>#VALUE!</v>
      </c>
      <c r="AG109" t="e">
        <f t="shared" si="201"/>
        <v>#VALUE!</v>
      </c>
      <c r="AH109" s="112" t="e">
        <f t="shared" si="202"/>
        <v>#VALUE!</v>
      </c>
      <c r="AI109" s="112" t="e">
        <f t="shared" si="202"/>
        <v>#VALUE!</v>
      </c>
      <c r="CX109" s="112">
        <f t="shared" si="203"/>
        <v>100000</v>
      </c>
      <c r="CY109" s="112">
        <f t="shared" si="213"/>
        <v>100000</v>
      </c>
      <c r="CZ109" s="112">
        <f t="shared" si="214"/>
        <v>100000</v>
      </c>
      <c r="DA109" s="112">
        <f t="shared" si="215"/>
        <v>100000</v>
      </c>
      <c r="DB109" s="112">
        <f t="shared" si="216"/>
        <v>100000</v>
      </c>
      <c r="DC109" s="112">
        <f t="shared" si="217"/>
        <v>100000</v>
      </c>
      <c r="DU109" s="112"/>
      <c r="DV109" s="112"/>
      <c r="EF109" s="253"/>
      <c r="EK109" s="254"/>
      <c r="EV109" s="253"/>
      <c r="EX109" s="253"/>
      <c r="EY109" s="238"/>
      <c r="FR109" s="254"/>
      <c r="HX109" s="253" t="s">
        <v>187</v>
      </c>
      <c r="HY109" s="112" t="e">
        <f t="shared" si="204"/>
        <v>#VALUE!</v>
      </c>
      <c r="HZ109" t="s">
        <v>188</v>
      </c>
      <c r="IA109" s="112" t="e">
        <f t="shared" si="205"/>
        <v>#VALUE!</v>
      </c>
      <c r="IB109" t="s">
        <v>189</v>
      </c>
      <c r="IC109" t="e">
        <f t="shared" si="206"/>
        <v>#VALUE!</v>
      </c>
      <c r="ID109" t="s">
        <v>192</v>
      </c>
      <c r="IE109" t="e">
        <f t="shared" si="207"/>
        <v>#VALUE!</v>
      </c>
      <c r="IF109" t="s">
        <v>191</v>
      </c>
      <c r="IG109" s="254" t="e">
        <f t="shared" si="208"/>
        <v>#VALUE!</v>
      </c>
      <c r="IL109" t="e">
        <f t="shared" si="209"/>
        <v>#VALUE!</v>
      </c>
      <c r="LL109" s="112">
        <f ca="1">Foglio7tiGiuEc1!GF52</f>
        <v>100000</v>
      </c>
      <c r="LM109" s="308">
        <f t="shared" ca="1" si="190"/>
        <v>100000</v>
      </c>
      <c r="LO109">
        <f t="shared" si="210"/>
        <v>71</v>
      </c>
      <c r="LP109" s="308">
        <f t="shared" ca="1" si="191"/>
        <v>100000</v>
      </c>
      <c r="LS109" s="263">
        <f t="shared" si="192"/>
        <v>71</v>
      </c>
      <c r="LT109" s="308">
        <f t="shared" ca="1" si="193"/>
        <v>100000</v>
      </c>
      <c r="LW109" s="308">
        <f t="shared" ca="1" si="194"/>
        <v>100000</v>
      </c>
      <c r="LZ109" s="308">
        <f t="shared" ca="1" si="195"/>
        <v>100000</v>
      </c>
      <c r="MC109" s="308">
        <f t="shared" ca="1" si="196"/>
        <v>100000</v>
      </c>
      <c r="ME109" s="308" t="str">
        <f t="shared" ca="1" si="197"/>
        <v/>
      </c>
      <c r="MF109" s="308" t="str">
        <f t="shared" ca="1" si="198"/>
        <v/>
      </c>
      <c r="MG109" s="263" t="str">
        <f ca="1">IF(ME109&lt;&gt;"",VLOOKUP(ME109,Foglio7ti!$GF$40:$GS$84,14),"")</f>
        <v/>
      </c>
    </row>
    <row r="110" spans="5:363" ht="15.75" thickBot="1" x14ac:dyDescent="0.3">
      <c r="E110" s="240" t="str">
        <f>Foglio3!F90</f>
        <v/>
      </c>
      <c r="F110" s="240" t="str">
        <f>Foglio3!G90</f>
        <v/>
      </c>
      <c r="G110" s="244"/>
      <c r="H110" s="245" t="e">
        <f t="shared" si="199"/>
        <v>#VALUE!</v>
      </c>
      <c r="I110" s="245" t="e">
        <f t="shared" si="199"/>
        <v>#VALUE!</v>
      </c>
      <c r="J110" s="244"/>
      <c r="K110" s="244"/>
      <c r="Q110" t="e">
        <f t="shared" si="189"/>
        <v>#VALUE!</v>
      </c>
      <c r="R110" t="e">
        <f t="shared" si="221"/>
        <v>#VALUE!</v>
      </c>
      <c r="S110" t="e">
        <f t="shared" si="200"/>
        <v>#VALUE!</v>
      </c>
      <c r="T110" t="e">
        <f t="shared" si="218"/>
        <v>#VALUE!</v>
      </c>
      <c r="U110" t="e">
        <f t="shared" si="219"/>
        <v>#VALUE!</v>
      </c>
      <c r="W110" t="e">
        <f t="shared" si="220"/>
        <v>#VALUE!</v>
      </c>
      <c r="X110" t="e">
        <f t="shared" si="220"/>
        <v>#VALUE!</v>
      </c>
      <c r="Y110" t="e">
        <f t="shared" si="220"/>
        <v>#VALUE!</v>
      </c>
      <c r="AA110" s="112" t="e">
        <f t="shared" si="211"/>
        <v>#VALUE!</v>
      </c>
      <c r="AB110" s="112" t="e">
        <f t="shared" si="212"/>
        <v>#VALUE!</v>
      </c>
      <c r="AG110" t="e">
        <f t="shared" si="201"/>
        <v>#VALUE!</v>
      </c>
      <c r="AH110" s="112" t="e">
        <f t="shared" si="202"/>
        <v>#VALUE!</v>
      </c>
      <c r="AI110" s="112" t="e">
        <f t="shared" si="202"/>
        <v>#VALUE!</v>
      </c>
      <c r="CX110" s="112">
        <f t="shared" si="203"/>
        <v>100000</v>
      </c>
      <c r="CY110" s="112">
        <f t="shared" si="213"/>
        <v>100000</v>
      </c>
      <c r="CZ110" s="112">
        <f t="shared" si="214"/>
        <v>100000</v>
      </c>
      <c r="DA110" s="112">
        <f t="shared" si="215"/>
        <v>100000</v>
      </c>
      <c r="DB110" s="112">
        <f t="shared" si="216"/>
        <v>100000</v>
      </c>
      <c r="DC110" s="112">
        <f t="shared" si="217"/>
        <v>100000</v>
      </c>
      <c r="DU110" s="112"/>
      <c r="DV110" s="112"/>
      <c r="EF110" s="255"/>
      <c r="EG110" s="257"/>
      <c r="EH110" s="257"/>
      <c r="EI110" s="257"/>
      <c r="EJ110" s="257"/>
      <c r="EK110" s="258"/>
      <c r="EV110" s="253"/>
      <c r="EX110" s="253"/>
      <c r="EY110" s="238"/>
      <c r="FR110" s="254"/>
      <c r="HX110" s="253" t="s">
        <v>187</v>
      </c>
      <c r="HY110" s="112" t="e">
        <f t="shared" si="204"/>
        <v>#VALUE!</v>
      </c>
      <c r="HZ110" t="s">
        <v>188</v>
      </c>
      <c r="IA110" s="112" t="e">
        <f t="shared" si="205"/>
        <v>#VALUE!</v>
      </c>
      <c r="IB110" t="s">
        <v>189</v>
      </c>
      <c r="IC110" t="e">
        <f t="shared" si="206"/>
        <v>#VALUE!</v>
      </c>
      <c r="ID110" t="s">
        <v>192</v>
      </c>
      <c r="IE110" t="e">
        <f t="shared" si="207"/>
        <v>#VALUE!</v>
      </c>
      <c r="IF110" t="s">
        <v>191</v>
      </c>
      <c r="IG110" s="254" t="e">
        <f t="shared" si="208"/>
        <v>#VALUE!</v>
      </c>
      <c r="IL110" t="e">
        <f t="shared" si="209"/>
        <v>#VALUE!</v>
      </c>
      <c r="LL110" s="112">
        <f ca="1">Foglio7tiGiuEc1!GF53</f>
        <v>100000</v>
      </c>
      <c r="LM110" s="308">
        <f t="shared" ca="1" si="190"/>
        <v>100000</v>
      </c>
      <c r="LO110">
        <f t="shared" si="210"/>
        <v>72</v>
      </c>
      <c r="LP110" s="308">
        <f t="shared" ca="1" si="191"/>
        <v>100000</v>
      </c>
      <c r="LS110" s="263">
        <f t="shared" si="192"/>
        <v>72</v>
      </c>
      <c r="LT110" s="308">
        <f t="shared" ca="1" si="193"/>
        <v>100000</v>
      </c>
      <c r="LW110" s="308">
        <f t="shared" ca="1" si="194"/>
        <v>100000</v>
      </c>
      <c r="LZ110" s="308">
        <f t="shared" ca="1" si="195"/>
        <v>100000</v>
      </c>
      <c r="MC110" s="308">
        <f t="shared" ca="1" si="196"/>
        <v>100000</v>
      </c>
      <c r="ME110" s="308" t="str">
        <f t="shared" ca="1" si="197"/>
        <v/>
      </c>
      <c r="MF110" s="308" t="str">
        <f t="shared" ca="1" si="198"/>
        <v/>
      </c>
      <c r="MG110" s="263" t="str">
        <f ca="1">IF(ME110&lt;&gt;"",VLOOKUP(ME110,Foglio7ti!$GF$40:$GS$84,14),"")</f>
        <v/>
      </c>
    </row>
    <row r="111" spans="5:363" x14ac:dyDescent="0.25">
      <c r="E111" s="240" t="str">
        <f>Foglio3!F91</f>
        <v/>
      </c>
      <c r="F111" s="240" t="str">
        <f>Foglio3!G91</f>
        <v/>
      </c>
      <c r="G111" s="244"/>
      <c r="H111" s="245" t="e">
        <f t="shared" si="199"/>
        <v>#VALUE!</v>
      </c>
      <c r="I111" s="245" t="e">
        <f t="shared" si="199"/>
        <v>#VALUE!</v>
      </c>
      <c r="J111" s="244"/>
      <c r="K111" s="244"/>
      <c r="Q111" t="e">
        <f t="shared" si="189"/>
        <v>#VALUE!</v>
      </c>
      <c r="R111" t="e">
        <f t="shared" si="221"/>
        <v>#VALUE!</v>
      </c>
      <c r="S111" t="e">
        <f t="shared" si="200"/>
        <v>#VALUE!</v>
      </c>
      <c r="T111" t="e">
        <f t="shared" si="218"/>
        <v>#VALUE!</v>
      </c>
      <c r="U111" t="e">
        <f t="shared" si="219"/>
        <v>#VALUE!</v>
      </c>
      <c r="W111" t="e">
        <f t="shared" si="220"/>
        <v>#VALUE!</v>
      </c>
      <c r="X111" t="e">
        <f t="shared" si="220"/>
        <v>#VALUE!</v>
      </c>
      <c r="Y111" t="e">
        <f t="shared" si="220"/>
        <v>#VALUE!</v>
      </c>
      <c r="AA111" s="112" t="e">
        <f t="shared" si="211"/>
        <v>#VALUE!</v>
      </c>
      <c r="AB111" s="112" t="e">
        <f t="shared" si="212"/>
        <v>#VALUE!</v>
      </c>
      <c r="AG111" t="e">
        <f t="shared" si="201"/>
        <v>#VALUE!</v>
      </c>
      <c r="AH111" s="112" t="e">
        <f t="shared" si="202"/>
        <v>#VALUE!</v>
      </c>
      <c r="AI111" s="112" t="e">
        <f t="shared" si="202"/>
        <v>#VALUE!</v>
      </c>
      <c r="CX111" s="112">
        <f t="shared" si="203"/>
        <v>100000</v>
      </c>
      <c r="CY111" s="112">
        <f t="shared" si="213"/>
        <v>100000</v>
      </c>
      <c r="CZ111" s="112">
        <f t="shared" si="214"/>
        <v>100000</v>
      </c>
      <c r="DA111" s="112">
        <f t="shared" si="215"/>
        <v>100000</v>
      </c>
      <c r="DB111" s="112">
        <f t="shared" si="216"/>
        <v>100000</v>
      </c>
      <c r="DC111" s="112">
        <f t="shared" si="217"/>
        <v>100000</v>
      </c>
      <c r="DU111" s="112"/>
      <c r="DV111" s="112"/>
      <c r="EV111" s="253"/>
      <c r="EX111" s="253"/>
      <c r="EY111" s="238"/>
      <c r="FR111" s="254"/>
      <c r="HX111" s="253" t="s">
        <v>187</v>
      </c>
      <c r="HY111" s="112" t="e">
        <f t="shared" si="204"/>
        <v>#VALUE!</v>
      </c>
      <c r="HZ111" t="s">
        <v>188</v>
      </c>
      <c r="IA111" s="112" t="e">
        <f t="shared" si="205"/>
        <v>#VALUE!</v>
      </c>
      <c r="IB111" t="s">
        <v>189</v>
      </c>
      <c r="IC111" t="e">
        <f t="shared" si="206"/>
        <v>#VALUE!</v>
      </c>
      <c r="ID111" t="s">
        <v>192</v>
      </c>
      <c r="IE111" t="e">
        <f t="shared" si="207"/>
        <v>#VALUE!</v>
      </c>
      <c r="IF111" t="s">
        <v>191</v>
      </c>
      <c r="IG111" s="254" t="e">
        <f t="shared" si="208"/>
        <v>#VALUE!</v>
      </c>
      <c r="IL111" t="e">
        <f t="shared" si="209"/>
        <v>#VALUE!</v>
      </c>
      <c r="LL111" s="112">
        <f ca="1">Foglio7tiGiuEc1!GF54</f>
        <v>100000</v>
      </c>
      <c r="LM111" s="308">
        <f t="shared" ca="1" si="190"/>
        <v>100000</v>
      </c>
      <c r="LO111">
        <f t="shared" si="210"/>
        <v>73</v>
      </c>
      <c r="LP111" s="308">
        <f t="shared" ca="1" si="191"/>
        <v>100000</v>
      </c>
      <c r="LS111" s="263">
        <f t="shared" si="192"/>
        <v>73</v>
      </c>
      <c r="LT111" s="308">
        <f t="shared" ca="1" si="193"/>
        <v>100000</v>
      </c>
      <c r="LW111" s="308">
        <f t="shared" ca="1" si="194"/>
        <v>100000</v>
      </c>
      <c r="LZ111" s="308">
        <f t="shared" ca="1" si="195"/>
        <v>100000</v>
      </c>
      <c r="MC111" s="308">
        <f t="shared" ca="1" si="196"/>
        <v>100000</v>
      </c>
      <c r="ME111" s="308" t="str">
        <f t="shared" ca="1" si="197"/>
        <v/>
      </c>
      <c r="MF111" s="308" t="str">
        <f t="shared" ca="1" si="198"/>
        <v/>
      </c>
      <c r="MG111" s="263" t="str">
        <f ca="1">IF(ME111&lt;&gt;"",VLOOKUP(ME111,Foglio7ti!$GF$40:$GS$84,14),"")</f>
        <v/>
      </c>
    </row>
    <row r="112" spans="5:363" x14ac:dyDescent="0.25">
      <c r="E112" s="240" t="str">
        <f>Foglio3!F92</f>
        <v/>
      </c>
      <c r="F112" s="240" t="str">
        <f>Foglio3!G92</f>
        <v/>
      </c>
      <c r="G112" s="244"/>
      <c r="H112" s="245" t="e">
        <f t="shared" si="199"/>
        <v>#VALUE!</v>
      </c>
      <c r="I112" s="245" t="e">
        <f t="shared" si="199"/>
        <v>#VALUE!</v>
      </c>
      <c r="J112" s="244"/>
      <c r="K112" s="244"/>
      <c r="Q112" t="e">
        <f t="shared" si="189"/>
        <v>#VALUE!</v>
      </c>
      <c r="R112" t="e">
        <f t="shared" si="221"/>
        <v>#VALUE!</v>
      </c>
      <c r="S112" t="e">
        <f t="shared" si="200"/>
        <v>#VALUE!</v>
      </c>
      <c r="T112" t="e">
        <f t="shared" si="218"/>
        <v>#VALUE!</v>
      </c>
      <c r="U112" t="e">
        <f t="shared" si="219"/>
        <v>#VALUE!</v>
      </c>
      <c r="W112" t="e">
        <f t="shared" si="220"/>
        <v>#VALUE!</v>
      </c>
      <c r="X112" t="e">
        <f t="shared" si="220"/>
        <v>#VALUE!</v>
      </c>
      <c r="Y112" t="e">
        <f t="shared" si="220"/>
        <v>#VALUE!</v>
      </c>
      <c r="AA112" s="112" t="e">
        <f t="shared" si="211"/>
        <v>#VALUE!</v>
      </c>
      <c r="AB112" s="112" t="e">
        <f t="shared" si="212"/>
        <v>#VALUE!</v>
      </c>
      <c r="AG112" t="e">
        <f t="shared" si="201"/>
        <v>#VALUE!</v>
      </c>
      <c r="AH112" s="112" t="e">
        <f t="shared" si="202"/>
        <v>#VALUE!</v>
      </c>
      <c r="AI112" s="112" t="e">
        <f t="shared" si="202"/>
        <v>#VALUE!</v>
      </c>
      <c r="CX112" s="112">
        <f t="shared" si="203"/>
        <v>100000</v>
      </c>
      <c r="CY112" s="112">
        <f t="shared" si="213"/>
        <v>100000</v>
      </c>
      <c r="CZ112" s="112">
        <f t="shared" si="214"/>
        <v>100000</v>
      </c>
      <c r="DA112" s="112">
        <f t="shared" si="215"/>
        <v>100000</v>
      </c>
      <c r="DB112" s="112">
        <f t="shared" si="216"/>
        <v>100000</v>
      </c>
      <c r="DC112" s="112">
        <f t="shared" si="217"/>
        <v>100000</v>
      </c>
      <c r="DU112" s="112"/>
      <c r="DV112" s="112"/>
      <c r="EV112" s="253"/>
      <c r="EX112" s="253"/>
      <c r="EY112" s="238"/>
      <c r="FR112" s="254"/>
      <c r="HX112" s="253" t="s">
        <v>187</v>
      </c>
      <c r="HY112" s="112" t="e">
        <f t="shared" si="204"/>
        <v>#VALUE!</v>
      </c>
      <c r="HZ112" t="s">
        <v>188</v>
      </c>
      <c r="IA112" s="112" t="e">
        <f t="shared" si="205"/>
        <v>#VALUE!</v>
      </c>
      <c r="IB112" t="s">
        <v>189</v>
      </c>
      <c r="IC112" t="e">
        <f t="shared" si="206"/>
        <v>#VALUE!</v>
      </c>
      <c r="ID112" t="s">
        <v>192</v>
      </c>
      <c r="IE112" t="e">
        <f t="shared" si="207"/>
        <v>#VALUE!</v>
      </c>
      <c r="IF112" t="s">
        <v>191</v>
      </c>
      <c r="IG112" s="254" t="e">
        <f t="shared" si="208"/>
        <v>#VALUE!</v>
      </c>
      <c r="IL112" t="e">
        <f t="shared" si="209"/>
        <v>#VALUE!</v>
      </c>
      <c r="LL112" s="112">
        <f ca="1">Foglio7tiGiuEc1!GF55</f>
        <v>100000</v>
      </c>
      <c r="LM112" s="308">
        <f t="shared" ca="1" si="190"/>
        <v>100000</v>
      </c>
      <c r="LO112">
        <f t="shared" si="210"/>
        <v>74</v>
      </c>
      <c r="LP112" s="308">
        <f t="shared" ca="1" si="191"/>
        <v>100000</v>
      </c>
      <c r="LS112" s="263">
        <f t="shared" si="192"/>
        <v>74</v>
      </c>
      <c r="LT112" s="308">
        <f t="shared" ca="1" si="193"/>
        <v>100000</v>
      </c>
      <c r="LW112" s="308">
        <f t="shared" ca="1" si="194"/>
        <v>100000</v>
      </c>
      <c r="LZ112" s="308">
        <f t="shared" ca="1" si="195"/>
        <v>100000</v>
      </c>
      <c r="MC112" s="308">
        <f t="shared" ca="1" si="196"/>
        <v>100000</v>
      </c>
      <c r="ME112" s="308" t="str">
        <f t="shared" ca="1" si="197"/>
        <v/>
      </c>
      <c r="MF112" s="308" t="str">
        <f t="shared" ca="1" si="198"/>
        <v/>
      </c>
      <c r="MG112" s="263" t="str">
        <f ca="1">IF(ME112&lt;&gt;"",VLOOKUP(ME112,Foglio7ti!$GF$40:$GS$84,14),"")</f>
        <v/>
      </c>
    </row>
    <row r="113" spans="5:345" x14ac:dyDescent="0.25">
      <c r="E113" s="240" t="str">
        <f>Foglio3!F93</f>
        <v/>
      </c>
      <c r="F113" s="240" t="str">
        <f>Foglio3!G93</f>
        <v/>
      </c>
      <c r="G113" s="244"/>
      <c r="H113" s="245" t="e">
        <f t="shared" si="199"/>
        <v>#VALUE!</v>
      </c>
      <c r="I113" s="245" t="e">
        <f t="shared" si="199"/>
        <v>#VALUE!</v>
      </c>
      <c r="J113" s="244"/>
      <c r="K113" s="244"/>
      <c r="Q113" t="e">
        <f t="shared" si="189"/>
        <v>#VALUE!</v>
      </c>
      <c r="R113" t="e">
        <f t="shared" si="221"/>
        <v>#VALUE!</v>
      </c>
      <c r="S113" t="e">
        <f t="shared" si="200"/>
        <v>#VALUE!</v>
      </c>
      <c r="T113" t="e">
        <f t="shared" si="218"/>
        <v>#VALUE!</v>
      </c>
      <c r="U113" t="e">
        <f t="shared" si="219"/>
        <v>#VALUE!</v>
      </c>
      <c r="W113" t="e">
        <f t="shared" si="220"/>
        <v>#VALUE!</v>
      </c>
      <c r="X113" t="e">
        <f t="shared" si="220"/>
        <v>#VALUE!</v>
      </c>
      <c r="Y113" t="e">
        <f t="shared" si="220"/>
        <v>#VALUE!</v>
      </c>
      <c r="AA113" s="112" t="e">
        <f t="shared" si="211"/>
        <v>#VALUE!</v>
      </c>
      <c r="AB113" s="112" t="e">
        <f t="shared" si="212"/>
        <v>#VALUE!</v>
      </c>
      <c r="AG113" t="e">
        <f t="shared" si="201"/>
        <v>#VALUE!</v>
      </c>
      <c r="AH113" s="112" t="e">
        <f t="shared" si="202"/>
        <v>#VALUE!</v>
      </c>
      <c r="AI113" s="112" t="e">
        <f t="shared" si="202"/>
        <v>#VALUE!</v>
      </c>
      <c r="CX113" s="112">
        <f t="shared" si="203"/>
        <v>100000</v>
      </c>
      <c r="CY113" s="112">
        <f t="shared" si="213"/>
        <v>100000</v>
      </c>
      <c r="CZ113" s="112">
        <f t="shared" si="214"/>
        <v>100000</v>
      </c>
      <c r="DA113" s="112">
        <f t="shared" si="215"/>
        <v>100000</v>
      </c>
      <c r="DB113" s="112">
        <f t="shared" si="216"/>
        <v>100000</v>
      </c>
      <c r="DC113" s="112">
        <f t="shared" si="217"/>
        <v>100000</v>
      </c>
      <c r="DU113" s="112"/>
      <c r="DV113" s="112"/>
      <c r="EV113" s="253"/>
      <c r="EX113" s="253"/>
      <c r="EY113" s="238"/>
      <c r="FR113" s="254"/>
      <c r="HX113" s="253" t="s">
        <v>187</v>
      </c>
      <c r="HY113" s="112" t="e">
        <f t="shared" si="204"/>
        <v>#VALUE!</v>
      </c>
      <c r="HZ113" t="s">
        <v>188</v>
      </c>
      <c r="IA113" s="112" t="e">
        <f t="shared" si="205"/>
        <v>#VALUE!</v>
      </c>
      <c r="IB113" t="s">
        <v>189</v>
      </c>
      <c r="IC113" t="e">
        <f t="shared" si="206"/>
        <v>#VALUE!</v>
      </c>
      <c r="ID113" t="s">
        <v>192</v>
      </c>
      <c r="IE113" t="e">
        <f t="shared" si="207"/>
        <v>#VALUE!</v>
      </c>
      <c r="IF113" t="s">
        <v>191</v>
      </c>
      <c r="IG113" s="254" t="e">
        <f t="shared" si="208"/>
        <v>#VALUE!</v>
      </c>
      <c r="IL113" t="e">
        <f t="shared" si="209"/>
        <v>#VALUE!</v>
      </c>
      <c r="LL113" s="112">
        <f ca="1">Foglio7tiGiuEc1!GF56</f>
        <v>100000</v>
      </c>
      <c r="LM113" s="308">
        <f t="shared" ca="1" si="190"/>
        <v>100000</v>
      </c>
      <c r="LO113">
        <f t="shared" si="210"/>
        <v>75</v>
      </c>
      <c r="LP113" s="308">
        <f t="shared" ca="1" si="191"/>
        <v>100000</v>
      </c>
      <c r="LS113" s="263">
        <f t="shared" si="192"/>
        <v>75</v>
      </c>
      <c r="LT113" s="308">
        <f t="shared" ca="1" si="193"/>
        <v>100000</v>
      </c>
      <c r="LW113" s="308">
        <f t="shared" ca="1" si="194"/>
        <v>100000</v>
      </c>
      <c r="LZ113" s="308">
        <f t="shared" ca="1" si="195"/>
        <v>100000</v>
      </c>
      <c r="MC113" s="308">
        <f t="shared" ca="1" si="196"/>
        <v>100000</v>
      </c>
      <c r="ME113" s="308" t="str">
        <f t="shared" ca="1" si="197"/>
        <v/>
      </c>
      <c r="MF113" s="308" t="str">
        <f t="shared" ca="1" si="198"/>
        <v/>
      </c>
      <c r="MG113" s="263" t="str">
        <f ca="1">IF(ME113&lt;&gt;"",VLOOKUP(ME113,Foglio7ti!$GF$40:$GS$84,14),"")</f>
        <v/>
      </c>
    </row>
    <row r="114" spans="5:345" x14ac:dyDescent="0.25">
      <c r="E114" s="240" t="str">
        <f>Foglio3!F94</f>
        <v/>
      </c>
      <c r="F114" s="240" t="str">
        <f>Foglio3!G94</f>
        <v/>
      </c>
      <c r="G114" s="244"/>
      <c r="H114" s="245" t="e">
        <f t="shared" si="199"/>
        <v>#VALUE!</v>
      </c>
      <c r="I114" s="245" t="e">
        <f t="shared" si="199"/>
        <v>#VALUE!</v>
      </c>
      <c r="J114" s="244"/>
      <c r="K114" s="244"/>
      <c r="Q114" t="e">
        <f t="shared" si="189"/>
        <v>#VALUE!</v>
      </c>
      <c r="R114" t="e">
        <f t="shared" si="221"/>
        <v>#VALUE!</v>
      </c>
      <c r="S114" t="e">
        <f t="shared" si="200"/>
        <v>#VALUE!</v>
      </c>
      <c r="T114" t="e">
        <f t="shared" si="218"/>
        <v>#VALUE!</v>
      </c>
      <c r="U114" t="e">
        <f t="shared" si="219"/>
        <v>#VALUE!</v>
      </c>
      <c r="W114" t="e">
        <f t="shared" si="220"/>
        <v>#VALUE!</v>
      </c>
      <c r="X114" t="e">
        <f t="shared" si="220"/>
        <v>#VALUE!</v>
      </c>
      <c r="Y114" t="e">
        <f t="shared" si="220"/>
        <v>#VALUE!</v>
      </c>
      <c r="AA114" s="112" t="e">
        <f t="shared" si="211"/>
        <v>#VALUE!</v>
      </c>
      <c r="AB114" s="112" t="e">
        <f t="shared" si="212"/>
        <v>#VALUE!</v>
      </c>
      <c r="AG114" t="e">
        <f t="shared" si="201"/>
        <v>#VALUE!</v>
      </c>
      <c r="AH114" s="112" t="e">
        <f t="shared" si="202"/>
        <v>#VALUE!</v>
      </c>
      <c r="AI114" s="112" t="e">
        <f t="shared" si="202"/>
        <v>#VALUE!</v>
      </c>
      <c r="CX114" s="112">
        <f>IF(                    AND( CT114&gt;=$CQ$39,CT113&lt;=$CQ$39   ),CV114-(CT114-$CQ$39),100000)</f>
        <v>100000</v>
      </c>
      <c r="CY114" s="112">
        <f t="shared" si="213"/>
        <v>100000</v>
      </c>
      <c r="CZ114" s="112">
        <f t="shared" si="214"/>
        <v>100000</v>
      </c>
      <c r="DA114" s="112">
        <f t="shared" si="215"/>
        <v>100000</v>
      </c>
      <c r="DB114" s="112">
        <f t="shared" si="216"/>
        <v>100000</v>
      </c>
      <c r="DC114" s="112">
        <f t="shared" si="217"/>
        <v>100000</v>
      </c>
      <c r="DU114" s="112"/>
      <c r="DV114" s="112"/>
      <c r="EV114" s="253"/>
      <c r="EX114" s="253"/>
      <c r="EY114" s="238"/>
      <c r="FR114" s="254"/>
      <c r="HX114" s="253" t="s">
        <v>187</v>
      </c>
      <c r="HY114" s="112" t="e">
        <f t="shared" si="204"/>
        <v>#VALUE!</v>
      </c>
      <c r="HZ114" t="s">
        <v>188</v>
      </c>
      <c r="IA114" s="112" t="e">
        <f t="shared" si="205"/>
        <v>#VALUE!</v>
      </c>
      <c r="IB114" t="s">
        <v>189</v>
      </c>
      <c r="IC114" t="e">
        <f t="shared" si="206"/>
        <v>#VALUE!</v>
      </c>
      <c r="ID114" t="s">
        <v>192</v>
      </c>
      <c r="IE114" t="e">
        <f t="shared" si="207"/>
        <v>#VALUE!</v>
      </c>
      <c r="IF114" t="s">
        <v>191</v>
      </c>
      <c r="IG114" s="254" t="e">
        <f t="shared" si="208"/>
        <v>#VALUE!</v>
      </c>
      <c r="IL114" t="e">
        <f t="shared" si="209"/>
        <v>#VALUE!</v>
      </c>
      <c r="LL114" s="112">
        <f ca="1">Foglio7tiGiuEc1!GF57</f>
        <v>100000</v>
      </c>
      <c r="LM114" s="308">
        <f t="shared" ca="1" si="190"/>
        <v>100000</v>
      </c>
      <c r="LO114">
        <f t="shared" si="210"/>
        <v>76</v>
      </c>
      <c r="LP114" s="308">
        <f t="shared" ca="1" si="191"/>
        <v>100000</v>
      </c>
      <c r="LS114" s="263">
        <f t="shared" si="192"/>
        <v>76</v>
      </c>
      <c r="LT114" s="308">
        <f t="shared" ca="1" si="193"/>
        <v>100000</v>
      </c>
      <c r="LW114" s="308">
        <f t="shared" ca="1" si="194"/>
        <v>100000</v>
      </c>
      <c r="LZ114" s="308">
        <f t="shared" ca="1" si="195"/>
        <v>100000</v>
      </c>
      <c r="MC114" s="308">
        <f t="shared" ca="1" si="196"/>
        <v>100000</v>
      </c>
      <c r="ME114" s="308" t="str">
        <f t="shared" ca="1" si="197"/>
        <v/>
      </c>
      <c r="MF114" s="308" t="str">
        <f t="shared" ca="1" si="198"/>
        <v/>
      </c>
      <c r="MG114" s="263" t="str">
        <f ca="1">IF(ME114&lt;&gt;"",VLOOKUP(ME114,Foglio7ti!$GF$40:$GS$84,14),"")</f>
        <v/>
      </c>
    </row>
    <row r="115" spans="5:345" x14ac:dyDescent="0.25">
      <c r="E115" s="240" t="str">
        <f>Foglio3!F95</f>
        <v/>
      </c>
      <c r="F115" s="240" t="str">
        <f>Foglio3!G95</f>
        <v/>
      </c>
      <c r="G115" s="244"/>
      <c r="H115" s="245" t="e">
        <f t="shared" si="199"/>
        <v>#VALUE!</v>
      </c>
      <c r="I115" s="245" t="e">
        <f t="shared" si="199"/>
        <v>#VALUE!</v>
      </c>
      <c r="J115" s="244"/>
      <c r="K115" s="244"/>
      <c r="Q115" t="e">
        <f t="shared" si="189"/>
        <v>#VALUE!</v>
      </c>
      <c r="R115" t="e">
        <f t="shared" si="221"/>
        <v>#VALUE!</v>
      </c>
      <c r="S115" t="e">
        <f t="shared" si="200"/>
        <v>#VALUE!</v>
      </c>
      <c r="T115" t="e">
        <f t="shared" si="218"/>
        <v>#VALUE!</v>
      </c>
      <c r="U115" t="e">
        <f t="shared" si="219"/>
        <v>#VALUE!</v>
      </c>
      <c r="W115" t="e">
        <f t="shared" si="220"/>
        <v>#VALUE!</v>
      </c>
      <c r="X115" t="e">
        <f t="shared" si="220"/>
        <v>#VALUE!</v>
      </c>
      <c r="Y115" t="e">
        <f t="shared" si="220"/>
        <v>#VALUE!</v>
      </c>
      <c r="AA115" s="112" t="e">
        <f t="shared" si="211"/>
        <v>#VALUE!</v>
      </c>
      <c r="AB115" s="112" t="e">
        <f t="shared" si="212"/>
        <v>#VALUE!</v>
      </c>
      <c r="AG115" t="e">
        <f t="shared" si="201"/>
        <v>#VALUE!</v>
      </c>
      <c r="AH115" s="112" t="e">
        <f t="shared" si="202"/>
        <v>#VALUE!</v>
      </c>
      <c r="AI115" s="112" t="e">
        <f t="shared" si="202"/>
        <v>#VALUE!</v>
      </c>
      <c r="CX115" s="112">
        <f>IF(                    AND( CT115&gt;=$CQ$39,CT114&lt;=$CQ$39   ),CV115-(CT115-$CQ$39),100000)</f>
        <v>100000</v>
      </c>
      <c r="CY115" s="112">
        <f t="shared" si="213"/>
        <v>100000</v>
      </c>
      <c r="CZ115" s="112">
        <f t="shared" si="214"/>
        <v>100000</v>
      </c>
      <c r="DA115" s="112">
        <f t="shared" si="215"/>
        <v>100000</v>
      </c>
      <c r="DB115" s="112">
        <f t="shared" si="216"/>
        <v>100000</v>
      </c>
      <c r="DC115" s="112">
        <f t="shared" si="217"/>
        <v>100000</v>
      </c>
      <c r="DU115" s="112"/>
      <c r="DV115" s="112"/>
      <c r="EV115" s="253"/>
      <c r="EX115" s="253"/>
      <c r="EY115" s="238"/>
      <c r="FR115" s="254"/>
      <c r="HX115" s="253" t="s">
        <v>187</v>
      </c>
      <c r="HY115" s="112" t="e">
        <f t="shared" si="204"/>
        <v>#VALUE!</v>
      </c>
      <c r="HZ115" t="s">
        <v>188</v>
      </c>
      <c r="IA115" s="112" t="e">
        <f t="shared" si="205"/>
        <v>#VALUE!</v>
      </c>
      <c r="IB115" t="s">
        <v>189</v>
      </c>
      <c r="IC115" t="e">
        <f t="shared" si="206"/>
        <v>#VALUE!</v>
      </c>
      <c r="ID115" t="s">
        <v>192</v>
      </c>
      <c r="IE115" t="e">
        <f t="shared" si="207"/>
        <v>#VALUE!</v>
      </c>
      <c r="IF115" t="s">
        <v>191</v>
      </c>
      <c r="IG115" s="254" t="e">
        <f t="shared" si="208"/>
        <v>#VALUE!</v>
      </c>
      <c r="IL115" t="e">
        <f t="shared" si="209"/>
        <v>#VALUE!</v>
      </c>
      <c r="LL115" s="112">
        <f ca="1">Foglio7tiGiuEc1!GF58</f>
        <v>100000</v>
      </c>
      <c r="LM115" s="308">
        <f t="shared" ca="1" si="190"/>
        <v>100000</v>
      </c>
      <c r="LO115">
        <f t="shared" si="210"/>
        <v>77</v>
      </c>
      <c r="LP115" s="308">
        <f t="shared" ca="1" si="191"/>
        <v>100000</v>
      </c>
      <c r="LS115" s="263">
        <f t="shared" si="192"/>
        <v>77</v>
      </c>
      <c r="LT115" s="308">
        <f t="shared" ca="1" si="193"/>
        <v>100000</v>
      </c>
      <c r="LW115" s="308">
        <f t="shared" ca="1" si="194"/>
        <v>100000</v>
      </c>
      <c r="LZ115" s="308">
        <f t="shared" ca="1" si="195"/>
        <v>100000</v>
      </c>
      <c r="MC115" s="308">
        <f t="shared" ca="1" si="196"/>
        <v>100000</v>
      </c>
      <c r="ME115" s="308" t="str">
        <f t="shared" ca="1" si="197"/>
        <v/>
      </c>
      <c r="MF115" s="308" t="str">
        <f t="shared" ca="1" si="198"/>
        <v/>
      </c>
      <c r="MG115" s="263" t="str">
        <f ca="1">IF(ME115&lt;&gt;"",VLOOKUP(ME115,Foglio7ti!$GF$40:$GS$84,14),"")</f>
        <v/>
      </c>
    </row>
    <row r="116" spans="5:345" x14ac:dyDescent="0.25">
      <c r="E116" s="240" t="str">
        <f>Foglio3!F96</f>
        <v/>
      </c>
      <c r="F116" s="240" t="str">
        <f>Foglio3!G96</f>
        <v/>
      </c>
      <c r="G116" s="244"/>
      <c r="H116" s="245" t="e">
        <f t="shared" si="199"/>
        <v>#VALUE!</v>
      </c>
      <c r="I116" s="245" t="e">
        <f t="shared" si="199"/>
        <v>#VALUE!</v>
      </c>
      <c r="J116" s="244"/>
      <c r="K116" s="244"/>
      <c r="Q116" t="e">
        <f t="shared" si="189"/>
        <v>#VALUE!</v>
      </c>
      <c r="R116" t="e">
        <f t="shared" si="221"/>
        <v>#VALUE!</v>
      </c>
      <c r="S116" t="e">
        <f t="shared" si="200"/>
        <v>#VALUE!</v>
      </c>
      <c r="T116" t="e">
        <f t="shared" si="218"/>
        <v>#VALUE!</v>
      </c>
      <c r="U116" t="e">
        <f t="shared" si="219"/>
        <v>#VALUE!</v>
      </c>
      <c r="W116" t="e">
        <f t="shared" si="220"/>
        <v>#VALUE!</v>
      </c>
      <c r="X116" t="e">
        <f t="shared" si="220"/>
        <v>#VALUE!</v>
      </c>
      <c r="Y116" t="e">
        <f t="shared" si="220"/>
        <v>#VALUE!</v>
      </c>
      <c r="AA116" s="112" t="e">
        <f t="shared" si="211"/>
        <v>#VALUE!</v>
      </c>
      <c r="AB116" s="112" t="e">
        <f t="shared" si="212"/>
        <v>#VALUE!</v>
      </c>
      <c r="AG116" t="e">
        <f t="shared" si="201"/>
        <v>#VALUE!</v>
      </c>
      <c r="AH116" s="112" t="e">
        <f t="shared" si="202"/>
        <v>#VALUE!</v>
      </c>
      <c r="AI116" s="112" t="e">
        <f t="shared" si="202"/>
        <v>#VALUE!</v>
      </c>
      <c r="CX116" s="112">
        <f>IF(                    AND( CT116&gt;=$CQ$39,CT115&lt;=$CQ$39   ),CV116-(CT116-$CQ$39),100000)</f>
        <v>100000</v>
      </c>
      <c r="CY116" s="112">
        <f t="shared" si="213"/>
        <v>100000</v>
      </c>
      <c r="CZ116" s="112">
        <f t="shared" si="214"/>
        <v>100000</v>
      </c>
      <c r="DA116" s="112">
        <f t="shared" si="215"/>
        <v>100000</v>
      </c>
      <c r="DB116" s="112">
        <f t="shared" si="216"/>
        <v>100000</v>
      </c>
      <c r="DC116" s="112">
        <f t="shared" si="217"/>
        <v>100000</v>
      </c>
      <c r="DU116" s="112"/>
      <c r="DV116" s="112"/>
      <c r="EV116" s="253"/>
      <c r="EX116" s="253"/>
      <c r="EY116" s="238"/>
      <c r="FR116" s="254"/>
      <c r="HX116" s="253" t="s">
        <v>187</v>
      </c>
      <c r="HY116" s="112" t="e">
        <f t="shared" si="204"/>
        <v>#VALUE!</v>
      </c>
      <c r="HZ116" t="s">
        <v>188</v>
      </c>
      <c r="IA116" s="112" t="e">
        <f t="shared" si="205"/>
        <v>#VALUE!</v>
      </c>
      <c r="IB116" t="s">
        <v>189</v>
      </c>
      <c r="IC116" t="e">
        <f t="shared" si="206"/>
        <v>#VALUE!</v>
      </c>
      <c r="ID116" t="s">
        <v>192</v>
      </c>
      <c r="IE116" t="e">
        <f t="shared" si="207"/>
        <v>#VALUE!</v>
      </c>
      <c r="IF116" t="s">
        <v>191</v>
      </c>
      <c r="IG116" s="254" t="e">
        <f t="shared" si="208"/>
        <v>#VALUE!</v>
      </c>
      <c r="IL116" t="e">
        <f t="shared" si="209"/>
        <v>#VALUE!</v>
      </c>
      <c r="LL116" s="112">
        <f ca="1">Foglio7tiGiuEc1!GF59</f>
        <v>100000</v>
      </c>
      <c r="LM116" s="308">
        <f t="shared" ca="1" si="190"/>
        <v>100000</v>
      </c>
      <c r="LO116">
        <f t="shared" si="210"/>
        <v>78</v>
      </c>
      <c r="LP116" s="308">
        <f t="shared" ca="1" si="191"/>
        <v>100000</v>
      </c>
      <c r="LS116" s="263">
        <f t="shared" si="192"/>
        <v>78</v>
      </c>
      <c r="LT116" s="308">
        <f t="shared" ca="1" si="193"/>
        <v>100000</v>
      </c>
      <c r="LW116" s="308">
        <f t="shared" ca="1" si="194"/>
        <v>100000</v>
      </c>
      <c r="LZ116" s="308">
        <f t="shared" ca="1" si="195"/>
        <v>100000</v>
      </c>
      <c r="MC116" s="308">
        <f t="shared" ca="1" si="196"/>
        <v>100000</v>
      </c>
      <c r="ME116" s="308" t="str">
        <f t="shared" ca="1" si="197"/>
        <v/>
      </c>
      <c r="MF116" s="308" t="str">
        <f t="shared" ca="1" si="198"/>
        <v/>
      </c>
      <c r="MG116" s="263" t="str">
        <f ca="1">IF(ME116&lt;&gt;"",VLOOKUP(ME116,Foglio7ti!$GF$40:$GS$84,14),"")</f>
        <v/>
      </c>
    </row>
    <row r="117" spans="5:345" x14ac:dyDescent="0.25">
      <c r="E117" s="240" t="str">
        <f>Foglio3!F97</f>
        <v/>
      </c>
      <c r="F117" s="240" t="str">
        <f>Foglio3!G97</f>
        <v/>
      </c>
      <c r="G117" s="244"/>
      <c r="H117" s="245" t="e">
        <f t="shared" si="199"/>
        <v>#VALUE!</v>
      </c>
      <c r="I117" s="245" t="e">
        <f t="shared" si="199"/>
        <v>#VALUE!</v>
      </c>
      <c r="J117" s="244"/>
      <c r="K117" s="244"/>
      <c r="Q117" t="e">
        <f t="shared" si="189"/>
        <v>#VALUE!</v>
      </c>
      <c r="R117" t="e">
        <f t="shared" si="221"/>
        <v>#VALUE!</v>
      </c>
      <c r="S117" t="e">
        <f t="shared" si="200"/>
        <v>#VALUE!</v>
      </c>
      <c r="T117" t="e">
        <f t="shared" si="218"/>
        <v>#VALUE!</v>
      </c>
      <c r="U117" t="e">
        <f t="shared" si="219"/>
        <v>#VALUE!</v>
      </c>
      <c r="W117" t="e">
        <f t="shared" si="220"/>
        <v>#VALUE!</v>
      </c>
      <c r="X117" t="e">
        <f t="shared" si="220"/>
        <v>#VALUE!</v>
      </c>
      <c r="Y117" t="e">
        <f t="shared" si="220"/>
        <v>#VALUE!</v>
      </c>
      <c r="AA117" s="112" t="e">
        <f t="shared" si="211"/>
        <v>#VALUE!</v>
      </c>
      <c r="AB117" s="112" t="e">
        <f t="shared" si="212"/>
        <v>#VALUE!</v>
      </c>
      <c r="AG117" t="e">
        <f t="shared" si="201"/>
        <v>#VALUE!</v>
      </c>
      <c r="AH117" s="112" t="e">
        <f t="shared" si="202"/>
        <v>#VALUE!</v>
      </c>
      <c r="AI117" s="112" t="e">
        <f t="shared" si="202"/>
        <v>#VALUE!</v>
      </c>
      <c r="CX117" s="112">
        <f>IF(                    AND( CT117&gt;=$CQ$39,CT116&lt;=$CQ$39   ),CV117-(CT117-$CQ$39),100000)</f>
        <v>100000</v>
      </c>
      <c r="CY117" s="112">
        <f t="shared" si="213"/>
        <v>100000</v>
      </c>
      <c r="CZ117" s="112">
        <f t="shared" si="214"/>
        <v>100000</v>
      </c>
      <c r="DA117" s="112">
        <f t="shared" si="215"/>
        <v>100000</v>
      </c>
      <c r="DB117" s="112">
        <f t="shared" si="216"/>
        <v>100000</v>
      </c>
      <c r="DC117" s="112">
        <f t="shared" si="217"/>
        <v>100000</v>
      </c>
      <c r="DU117" s="112"/>
      <c r="DV117" s="112"/>
      <c r="EV117" s="253"/>
      <c r="EX117" s="253"/>
      <c r="EY117" s="238"/>
      <c r="FR117" s="254"/>
      <c r="HX117" s="253" t="s">
        <v>187</v>
      </c>
      <c r="HY117" s="112" t="e">
        <f t="shared" si="204"/>
        <v>#VALUE!</v>
      </c>
      <c r="HZ117" t="s">
        <v>188</v>
      </c>
      <c r="IA117" s="112" t="e">
        <f t="shared" si="205"/>
        <v>#VALUE!</v>
      </c>
      <c r="IB117" t="s">
        <v>189</v>
      </c>
      <c r="IC117" t="e">
        <f t="shared" si="206"/>
        <v>#VALUE!</v>
      </c>
      <c r="ID117" t="s">
        <v>192</v>
      </c>
      <c r="IE117" t="e">
        <f t="shared" si="207"/>
        <v>#VALUE!</v>
      </c>
      <c r="IF117" t="s">
        <v>191</v>
      </c>
      <c r="IG117" s="254" t="e">
        <f t="shared" si="208"/>
        <v>#VALUE!</v>
      </c>
      <c r="IL117" t="e">
        <f t="shared" si="209"/>
        <v>#VALUE!</v>
      </c>
      <c r="LL117" s="112">
        <f ca="1">Foglio7tiGiuEc1!GF60</f>
        <v>100000</v>
      </c>
      <c r="LM117" s="308">
        <f t="shared" ca="1" si="190"/>
        <v>100000</v>
      </c>
      <c r="LO117">
        <f t="shared" si="210"/>
        <v>79</v>
      </c>
      <c r="LP117" s="308">
        <f t="shared" ca="1" si="191"/>
        <v>100000</v>
      </c>
      <c r="LS117" s="263">
        <f t="shared" si="192"/>
        <v>79</v>
      </c>
      <c r="LT117" s="308">
        <f t="shared" ca="1" si="193"/>
        <v>100000</v>
      </c>
      <c r="LW117" s="308">
        <f t="shared" ca="1" si="194"/>
        <v>100000</v>
      </c>
      <c r="LZ117" s="308">
        <f t="shared" ca="1" si="195"/>
        <v>100000</v>
      </c>
      <c r="MC117" s="308">
        <f t="shared" ca="1" si="196"/>
        <v>100000</v>
      </c>
      <c r="ME117" s="308" t="str">
        <f t="shared" ca="1" si="197"/>
        <v/>
      </c>
      <c r="MF117" s="308" t="str">
        <f t="shared" ca="1" si="198"/>
        <v/>
      </c>
      <c r="MG117" s="263" t="str">
        <f ca="1">IF(ME117&lt;&gt;"",VLOOKUP(ME117,Foglio7ti!$GF$40:$GS$84,14),"")</f>
        <v/>
      </c>
    </row>
    <row r="118" spans="5:345" ht="15.75" thickBot="1" x14ac:dyDescent="0.3">
      <c r="E118" s="240" t="str">
        <f>Foglio3!F98</f>
        <v/>
      </c>
      <c r="F118" s="240" t="str">
        <f>Foglio3!G98</f>
        <v/>
      </c>
      <c r="G118" s="244"/>
      <c r="H118" s="245" t="e">
        <f t="shared" si="199"/>
        <v>#VALUE!</v>
      </c>
      <c r="I118" s="245" t="e">
        <f t="shared" si="199"/>
        <v>#VALUE!</v>
      </c>
      <c r="J118" s="244"/>
      <c r="K118" s="244"/>
      <c r="Q118" t="e">
        <f t="shared" si="189"/>
        <v>#VALUE!</v>
      </c>
      <c r="R118" t="e">
        <f t="shared" si="221"/>
        <v>#VALUE!</v>
      </c>
      <c r="S118" t="e">
        <f t="shared" si="200"/>
        <v>#VALUE!</v>
      </c>
      <c r="T118" t="e">
        <f t="shared" si="218"/>
        <v>#VALUE!</v>
      </c>
      <c r="U118" t="e">
        <f t="shared" si="219"/>
        <v>#VALUE!</v>
      </c>
      <c r="W118" t="e">
        <f t="shared" si="220"/>
        <v>#VALUE!</v>
      </c>
      <c r="X118" t="e">
        <f t="shared" si="220"/>
        <v>#VALUE!</v>
      </c>
      <c r="Y118" t="e">
        <f t="shared" si="220"/>
        <v>#VALUE!</v>
      </c>
      <c r="AA118" s="112" t="e">
        <f t="shared" si="211"/>
        <v>#VALUE!</v>
      </c>
      <c r="AB118" s="112" t="e">
        <f t="shared" si="212"/>
        <v>#VALUE!</v>
      </c>
      <c r="AG118" t="e">
        <f t="shared" si="201"/>
        <v>#VALUE!</v>
      </c>
      <c r="AH118" s="112" t="e">
        <f t="shared" si="202"/>
        <v>#VALUE!</v>
      </c>
      <c r="AI118" s="112" t="e">
        <f t="shared" si="202"/>
        <v>#VALUE!</v>
      </c>
      <c r="DU118" s="112"/>
      <c r="DV118" s="112"/>
      <c r="EV118" s="255"/>
      <c r="EW118" s="257"/>
      <c r="EX118" s="255"/>
      <c r="EY118" s="256"/>
      <c r="EZ118" s="257"/>
      <c r="FA118" s="257"/>
      <c r="FB118" s="257"/>
      <c r="FC118" s="257"/>
      <c r="FD118" s="257"/>
      <c r="FE118" s="257"/>
      <c r="FF118" s="257"/>
      <c r="FG118" s="257"/>
      <c r="FH118" s="257"/>
      <c r="FI118" s="257"/>
      <c r="FJ118" s="257"/>
      <c r="FK118" s="257"/>
      <c r="FL118" s="257"/>
      <c r="FM118" s="257"/>
      <c r="FN118" s="257"/>
      <c r="FO118" s="257"/>
      <c r="FP118" s="257"/>
      <c r="FQ118" s="257"/>
      <c r="FR118" s="258"/>
      <c r="HX118" s="253" t="s">
        <v>187</v>
      </c>
      <c r="HY118" s="112" t="e">
        <f t="shared" si="204"/>
        <v>#VALUE!</v>
      </c>
      <c r="HZ118" t="s">
        <v>188</v>
      </c>
      <c r="IA118" s="112" t="e">
        <f t="shared" si="205"/>
        <v>#VALUE!</v>
      </c>
      <c r="IB118" t="s">
        <v>189</v>
      </c>
      <c r="IC118" t="e">
        <f t="shared" si="206"/>
        <v>#VALUE!</v>
      </c>
      <c r="ID118" t="s">
        <v>192</v>
      </c>
      <c r="IE118" t="e">
        <f t="shared" si="207"/>
        <v>#VALUE!</v>
      </c>
      <c r="IF118" t="s">
        <v>191</v>
      </c>
      <c r="IG118" s="254" t="e">
        <f t="shared" si="208"/>
        <v>#VALUE!</v>
      </c>
      <c r="IL118" t="e">
        <f t="shared" si="209"/>
        <v>#VALUE!</v>
      </c>
      <c r="LL118" s="112">
        <f ca="1">Foglio7tiGiuEc1!GF61</f>
        <v>100000</v>
      </c>
      <c r="LM118" s="308">
        <f t="shared" ca="1" si="190"/>
        <v>100000</v>
      </c>
      <c r="LO118">
        <f t="shared" si="210"/>
        <v>80</v>
      </c>
      <c r="LP118" s="308">
        <f t="shared" ca="1" si="191"/>
        <v>100000</v>
      </c>
      <c r="LS118" s="263">
        <f t="shared" si="192"/>
        <v>80</v>
      </c>
      <c r="LT118" s="308">
        <f t="shared" ca="1" si="193"/>
        <v>100000</v>
      </c>
      <c r="LW118" s="308">
        <f t="shared" ca="1" si="194"/>
        <v>100000</v>
      </c>
      <c r="LZ118" s="308">
        <f t="shared" ca="1" si="195"/>
        <v>100000</v>
      </c>
      <c r="MC118" s="308">
        <f t="shared" ca="1" si="196"/>
        <v>100000</v>
      </c>
      <c r="ME118" s="308" t="str">
        <f t="shared" ca="1" si="197"/>
        <v/>
      </c>
      <c r="MF118" s="308" t="str">
        <f t="shared" ca="1" si="198"/>
        <v/>
      </c>
      <c r="MG118" s="263" t="str">
        <f ca="1">IF(ME118&lt;&gt;"",VLOOKUP(ME118,Foglio7ti!$GF$40:$GS$84,14),"")</f>
        <v/>
      </c>
    </row>
    <row r="119" spans="5:345" x14ac:dyDescent="0.25">
      <c r="E119" s="240" t="str">
        <f>Foglio3!F99</f>
        <v/>
      </c>
      <c r="F119" s="240" t="str">
        <f>Foglio3!G99</f>
        <v/>
      </c>
      <c r="G119" s="244"/>
      <c r="H119" s="245" t="e">
        <f t="shared" si="199"/>
        <v>#VALUE!</v>
      </c>
      <c r="I119" s="245" t="e">
        <f t="shared" si="199"/>
        <v>#VALUE!</v>
      </c>
      <c r="J119" s="244"/>
      <c r="K119" s="244"/>
      <c r="Q119" t="e">
        <f t="shared" si="189"/>
        <v>#VALUE!</v>
      </c>
      <c r="R119" t="e">
        <f t="shared" si="221"/>
        <v>#VALUE!</v>
      </c>
      <c r="S119" t="e">
        <f t="shared" si="200"/>
        <v>#VALUE!</v>
      </c>
      <c r="T119" t="e">
        <f t="shared" si="218"/>
        <v>#VALUE!</v>
      </c>
      <c r="U119" t="e">
        <f t="shared" si="219"/>
        <v>#VALUE!</v>
      </c>
      <c r="W119" t="e">
        <f t="shared" si="220"/>
        <v>#VALUE!</v>
      </c>
      <c r="X119" t="e">
        <f t="shared" si="220"/>
        <v>#VALUE!</v>
      </c>
      <c r="Y119" t="e">
        <f t="shared" si="220"/>
        <v>#VALUE!</v>
      </c>
      <c r="AA119" s="112" t="e">
        <f t="shared" si="211"/>
        <v>#VALUE!</v>
      </c>
      <c r="AB119" s="112" t="e">
        <f t="shared" si="212"/>
        <v>#VALUE!</v>
      </c>
      <c r="AG119" t="e">
        <f t="shared" si="201"/>
        <v>#VALUE!</v>
      </c>
      <c r="AH119" s="112" t="e">
        <f t="shared" si="202"/>
        <v>#VALUE!</v>
      </c>
      <c r="AI119" s="112" t="e">
        <f t="shared" si="202"/>
        <v>#VALUE!</v>
      </c>
      <c r="DU119" s="112"/>
      <c r="DV119" s="112"/>
      <c r="EY119" s="238"/>
      <c r="HX119" s="253" t="s">
        <v>187</v>
      </c>
      <c r="HY119" s="112" t="e">
        <f t="shared" si="204"/>
        <v>#VALUE!</v>
      </c>
      <c r="HZ119" t="s">
        <v>188</v>
      </c>
      <c r="IA119" s="112" t="e">
        <f t="shared" si="205"/>
        <v>#VALUE!</v>
      </c>
      <c r="IB119" t="s">
        <v>189</v>
      </c>
      <c r="IC119" t="e">
        <f t="shared" si="206"/>
        <v>#VALUE!</v>
      </c>
      <c r="ID119" t="s">
        <v>192</v>
      </c>
      <c r="IE119" t="e">
        <f t="shared" si="207"/>
        <v>#VALUE!</v>
      </c>
      <c r="IF119" t="s">
        <v>191</v>
      </c>
      <c r="IG119" s="254" t="e">
        <f t="shared" si="208"/>
        <v>#VALUE!</v>
      </c>
      <c r="IL119" t="e">
        <f t="shared" si="209"/>
        <v>#VALUE!</v>
      </c>
      <c r="LL119" s="112">
        <f ca="1">Foglio7tiGiuEc1!GF62</f>
        <v>100000</v>
      </c>
      <c r="LM119" s="308">
        <f t="shared" ca="1" si="190"/>
        <v>100000</v>
      </c>
      <c r="LO119">
        <f t="shared" si="210"/>
        <v>81</v>
      </c>
      <c r="LP119" s="308">
        <f t="shared" ca="1" si="191"/>
        <v>100000</v>
      </c>
      <c r="LS119" s="263">
        <f t="shared" si="192"/>
        <v>81</v>
      </c>
      <c r="LT119" s="308">
        <f t="shared" ca="1" si="193"/>
        <v>100000</v>
      </c>
      <c r="LW119" s="308">
        <f t="shared" ca="1" si="194"/>
        <v>100000</v>
      </c>
      <c r="LZ119" s="308">
        <f t="shared" ca="1" si="195"/>
        <v>100000</v>
      </c>
      <c r="MC119" s="308">
        <f t="shared" ca="1" si="196"/>
        <v>100000</v>
      </c>
      <c r="ME119" s="308" t="str">
        <f t="shared" ca="1" si="197"/>
        <v/>
      </c>
      <c r="MF119" s="308" t="str">
        <f t="shared" ca="1" si="198"/>
        <v/>
      </c>
      <c r="MG119" s="263" t="str">
        <f ca="1">IF(ME119&lt;&gt;"",VLOOKUP(ME119,Foglio7ti!$GF$40:$GS$84,14),"")</f>
        <v/>
      </c>
    </row>
    <row r="120" spans="5:345" x14ac:dyDescent="0.25">
      <c r="E120" s="240" t="str">
        <f>Foglio3!F100</f>
        <v/>
      </c>
      <c r="F120" s="240" t="str">
        <f>Foglio3!G100</f>
        <v/>
      </c>
      <c r="G120" s="244"/>
      <c r="H120" s="245">
        <f t="shared" si="199"/>
        <v>0</v>
      </c>
      <c r="I120" s="245">
        <f t="shared" si="199"/>
        <v>0</v>
      </c>
      <c r="J120" s="244"/>
      <c r="K120" s="244"/>
      <c r="Q120">
        <f t="shared" si="189"/>
        <v>1</v>
      </c>
      <c r="R120">
        <f t="shared" si="221"/>
        <v>1</v>
      </c>
      <c r="S120">
        <f t="shared" si="200"/>
        <v>0</v>
      </c>
      <c r="T120">
        <f t="shared" si="218"/>
        <v>0</v>
      </c>
      <c r="U120">
        <f t="shared" si="219"/>
        <v>1</v>
      </c>
      <c r="W120" t="e">
        <f t="shared" si="220"/>
        <v>#VALUE!</v>
      </c>
      <c r="X120" t="e">
        <f t="shared" si="220"/>
        <v>#VALUE!</v>
      </c>
      <c r="Y120" t="e">
        <f t="shared" si="220"/>
        <v>#VALUE!</v>
      </c>
      <c r="DU120" s="112"/>
      <c r="DV120" s="112"/>
      <c r="EY120" s="238"/>
      <c r="HX120" s="253" t="s">
        <v>187</v>
      </c>
      <c r="HY120" s="112" t="e">
        <f t="shared" si="204"/>
        <v>#VALUE!</v>
      </c>
      <c r="HZ120" t="s">
        <v>188</v>
      </c>
      <c r="IA120" s="112" t="e">
        <f t="shared" si="205"/>
        <v>#VALUE!</v>
      </c>
      <c r="IB120" t="s">
        <v>189</v>
      </c>
      <c r="IC120">
        <f t="shared" si="206"/>
        <v>0</v>
      </c>
      <c r="ID120" t="s">
        <v>192</v>
      </c>
      <c r="IE120">
        <f t="shared" si="207"/>
        <v>0</v>
      </c>
      <c r="IF120" t="s">
        <v>191</v>
      </c>
      <c r="IG120" s="254">
        <f t="shared" si="208"/>
        <v>1</v>
      </c>
      <c r="IL120" t="e">
        <f t="shared" si="209"/>
        <v>#VALUE!</v>
      </c>
      <c r="IW120" t="e">
        <f>CONCATENATE(IL120,IL121,IL122,IL123,IL124,IL125,IL126,IL127,IL128,IL129,IL130,IL131,IL132,IL133,IL134,I625,IL136,IL137,IL138,IL139,)</f>
        <v>#VALUE!</v>
      </c>
      <c r="LL120" s="112">
        <f ca="1">Foglio7tiGiuEc1!GF63</f>
        <v>100000</v>
      </c>
      <c r="LM120" s="308">
        <f t="shared" ca="1" si="190"/>
        <v>100000</v>
      </c>
      <c r="LO120">
        <f t="shared" si="210"/>
        <v>82</v>
      </c>
      <c r="LP120" s="308">
        <f t="shared" ca="1" si="191"/>
        <v>100000</v>
      </c>
      <c r="LS120" s="263">
        <f t="shared" si="192"/>
        <v>82</v>
      </c>
      <c r="LT120" s="308">
        <f t="shared" ca="1" si="193"/>
        <v>100000</v>
      </c>
      <c r="LW120" s="308">
        <f t="shared" ca="1" si="194"/>
        <v>100000</v>
      </c>
      <c r="LZ120" s="308">
        <f t="shared" ca="1" si="195"/>
        <v>100000</v>
      </c>
      <c r="MC120" s="308">
        <f t="shared" ca="1" si="196"/>
        <v>100000</v>
      </c>
      <c r="ME120" s="308" t="str">
        <f t="shared" ca="1" si="197"/>
        <v/>
      </c>
      <c r="MF120" s="308" t="str">
        <f t="shared" ca="1" si="198"/>
        <v/>
      </c>
      <c r="MG120" s="263" t="str">
        <f ca="1">IF(ME120&lt;&gt;"",VLOOKUP(ME120,Foglio7ti!$GF$40:$GS$84,14),"")</f>
        <v/>
      </c>
    </row>
    <row r="121" spans="5:345" x14ac:dyDescent="0.25">
      <c r="E121" s="240" t="str">
        <f>Foglio3!F101</f>
        <v/>
      </c>
      <c r="F121" s="240" t="str">
        <f>Foglio3!G101</f>
        <v/>
      </c>
      <c r="G121" s="244"/>
      <c r="H121" s="245">
        <f t="shared" si="199"/>
        <v>0</v>
      </c>
      <c r="I121" s="245">
        <f t="shared" si="199"/>
        <v>0</v>
      </c>
      <c r="J121" s="244"/>
      <c r="K121" s="244"/>
      <c r="Q121">
        <f t="shared" si="189"/>
        <v>1</v>
      </c>
      <c r="R121">
        <f t="shared" si="221"/>
        <v>1</v>
      </c>
      <c r="S121">
        <f t="shared" si="200"/>
        <v>0</v>
      </c>
      <c r="T121">
        <f t="shared" si="218"/>
        <v>0</v>
      </c>
      <c r="U121">
        <f t="shared" si="219"/>
        <v>1</v>
      </c>
      <c r="W121" t="e">
        <f t="shared" si="220"/>
        <v>#VALUE!</v>
      </c>
      <c r="X121" t="e">
        <f t="shared" si="220"/>
        <v>#VALUE!</v>
      </c>
      <c r="Y121" t="e">
        <f t="shared" si="220"/>
        <v>#VALUE!</v>
      </c>
      <c r="DU121" s="112"/>
      <c r="DV121" s="112"/>
      <c r="EY121" s="238"/>
      <c r="HX121" s="253" t="s">
        <v>187</v>
      </c>
      <c r="HY121" s="112" t="e">
        <f t="shared" si="204"/>
        <v>#VALUE!</v>
      </c>
      <c r="HZ121" t="s">
        <v>188</v>
      </c>
      <c r="IA121" s="112" t="e">
        <f t="shared" si="205"/>
        <v>#VALUE!</v>
      </c>
      <c r="IB121" t="s">
        <v>189</v>
      </c>
      <c r="IC121">
        <f t="shared" si="206"/>
        <v>0</v>
      </c>
      <c r="ID121" t="s">
        <v>192</v>
      </c>
      <c r="IE121">
        <f t="shared" si="207"/>
        <v>0</v>
      </c>
      <c r="IF121" t="s">
        <v>191</v>
      </c>
      <c r="IG121" s="254">
        <f t="shared" si="208"/>
        <v>1</v>
      </c>
      <c r="IL121" t="e">
        <f t="shared" si="209"/>
        <v>#VALUE!</v>
      </c>
      <c r="LL121" s="112">
        <f ca="1">Foglio7tiGiuEc1!GF64</f>
        <v>100000</v>
      </c>
      <c r="LM121" s="308">
        <f t="shared" ca="1" si="190"/>
        <v>100000</v>
      </c>
      <c r="LO121">
        <f t="shared" si="210"/>
        <v>83</v>
      </c>
      <c r="LP121" s="308">
        <f t="shared" ca="1" si="191"/>
        <v>100000</v>
      </c>
      <c r="LS121" s="263">
        <f t="shared" si="192"/>
        <v>83</v>
      </c>
      <c r="LT121" s="308">
        <f t="shared" ca="1" si="193"/>
        <v>100000</v>
      </c>
      <c r="LW121" s="308">
        <f t="shared" ca="1" si="194"/>
        <v>100000</v>
      </c>
      <c r="LZ121" s="308">
        <f t="shared" ca="1" si="195"/>
        <v>100000</v>
      </c>
      <c r="MC121" s="308">
        <f t="shared" ca="1" si="196"/>
        <v>100000</v>
      </c>
      <c r="ME121" s="308" t="str">
        <f t="shared" ca="1" si="197"/>
        <v/>
      </c>
      <c r="MF121" s="308" t="str">
        <f t="shared" ca="1" si="198"/>
        <v/>
      </c>
      <c r="MG121" s="263" t="str">
        <f ca="1">IF(ME121&lt;&gt;"",VLOOKUP(ME121,Foglio7ti!$GF$40:$GS$84,14),"")</f>
        <v/>
      </c>
    </row>
    <row r="122" spans="5:345" x14ac:dyDescent="0.25">
      <c r="E122" s="240" t="str">
        <f>Foglio3!F102</f>
        <v/>
      </c>
      <c r="F122" s="240" t="str">
        <f>Foglio3!G102</f>
        <v/>
      </c>
      <c r="G122" s="244"/>
      <c r="H122" s="245">
        <f t="shared" si="199"/>
        <v>0</v>
      </c>
      <c r="I122" s="245">
        <f t="shared" si="199"/>
        <v>0</v>
      </c>
      <c r="J122" s="244"/>
      <c r="K122" s="244"/>
      <c r="Q122">
        <f t="shared" si="189"/>
        <v>1</v>
      </c>
      <c r="R122">
        <f t="shared" si="221"/>
        <v>1</v>
      </c>
      <c r="S122">
        <f t="shared" si="200"/>
        <v>0</v>
      </c>
      <c r="T122">
        <f t="shared" si="218"/>
        <v>0</v>
      </c>
      <c r="U122">
        <f t="shared" si="219"/>
        <v>1</v>
      </c>
      <c r="W122" t="e">
        <f t="shared" si="220"/>
        <v>#VALUE!</v>
      </c>
      <c r="X122" t="e">
        <f t="shared" si="220"/>
        <v>#VALUE!</v>
      </c>
      <c r="Y122" t="e">
        <f t="shared" si="220"/>
        <v>#VALUE!</v>
      </c>
      <c r="DU122" s="112"/>
      <c r="DV122" s="112"/>
      <c r="EY122" s="238"/>
      <c r="HX122" s="253" t="s">
        <v>187</v>
      </c>
      <c r="HY122" s="112" t="e">
        <f t="shared" si="204"/>
        <v>#VALUE!</v>
      </c>
      <c r="HZ122" t="s">
        <v>188</v>
      </c>
      <c r="IA122" s="112" t="e">
        <f t="shared" si="205"/>
        <v>#VALUE!</v>
      </c>
      <c r="IB122" t="s">
        <v>189</v>
      </c>
      <c r="IC122">
        <f t="shared" si="206"/>
        <v>0</v>
      </c>
      <c r="ID122" t="s">
        <v>192</v>
      </c>
      <c r="IE122">
        <f t="shared" si="207"/>
        <v>0</v>
      </c>
      <c r="IF122" t="s">
        <v>191</v>
      </c>
      <c r="IG122" s="254">
        <f t="shared" si="208"/>
        <v>1</v>
      </c>
      <c r="IL122" t="e">
        <f t="shared" si="209"/>
        <v>#VALUE!</v>
      </c>
      <c r="LL122" s="112">
        <f ca="1">Foglio7tiGiuEc1!GF65</f>
        <v>100000</v>
      </c>
      <c r="LM122" s="308">
        <f t="shared" ca="1" si="190"/>
        <v>100000</v>
      </c>
      <c r="LO122">
        <f t="shared" si="210"/>
        <v>84</v>
      </c>
      <c r="LP122" s="308">
        <f t="shared" ca="1" si="191"/>
        <v>100000</v>
      </c>
      <c r="LS122" s="263">
        <f t="shared" si="192"/>
        <v>84</v>
      </c>
      <c r="LT122" s="308">
        <f t="shared" ca="1" si="193"/>
        <v>100000</v>
      </c>
      <c r="LW122" s="308">
        <f t="shared" ca="1" si="194"/>
        <v>100000</v>
      </c>
      <c r="LZ122" s="308">
        <f t="shared" ca="1" si="195"/>
        <v>100000</v>
      </c>
      <c r="MC122" s="308">
        <f t="shared" ca="1" si="196"/>
        <v>100000</v>
      </c>
      <c r="ME122" s="308" t="str">
        <f t="shared" ca="1" si="197"/>
        <v/>
      </c>
      <c r="MF122" s="308" t="str">
        <f t="shared" ca="1" si="198"/>
        <v/>
      </c>
      <c r="MG122" s="263" t="str">
        <f ca="1">IF(ME122&lt;&gt;"",VLOOKUP(ME122,Foglio7ti!$GF$40:$GS$84,14),"")</f>
        <v/>
      </c>
    </row>
    <row r="123" spans="5:345" x14ac:dyDescent="0.25">
      <c r="E123" s="240" t="str">
        <f>Foglio3!F103</f>
        <v/>
      </c>
      <c r="F123" s="240" t="str">
        <f>Foglio3!G103</f>
        <v/>
      </c>
      <c r="G123" s="244"/>
      <c r="H123" s="245">
        <f t="shared" si="199"/>
        <v>0</v>
      </c>
      <c r="I123" s="245">
        <f t="shared" si="199"/>
        <v>0</v>
      </c>
      <c r="J123" s="244"/>
      <c r="K123" s="244"/>
      <c r="Q123">
        <f t="shared" si="189"/>
        <v>1</v>
      </c>
      <c r="R123">
        <f t="shared" si="221"/>
        <v>1</v>
      </c>
      <c r="S123">
        <f t="shared" si="200"/>
        <v>0</v>
      </c>
      <c r="T123">
        <f t="shared" si="218"/>
        <v>0</v>
      </c>
      <c r="U123">
        <f t="shared" si="219"/>
        <v>1</v>
      </c>
      <c r="W123" t="e">
        <f t="shared" ref="W123:Y131" si="222">S123+W122</f>
        <v>#VALUE!</v>
      </c>
      <c r="X123" t="e">
        <f t="shared" si="222"/>
        <v>#VALUE!</v>
      </c>
      <c r="Y123" t="e">
        <f t="shared" si="222"/>
        <v>#VALUE!</v>
      </c>
      <c r="DU123" s="112"/>
      <c r="DV123" s="112"/>
      <c r="EY123" s="238"/>
      <c r="HX123" s="253" t="s">
        <v>187</v>
      </c>
      <c r="HY123" s="112" t="e">
        <f t="shared" si="204"/>
        <v>#VALUE!</v>
      </c>
      <c r="HZ123" t="s">
        <v>188</v>
      </c>
      <c r="IA123" s="112" t="e">
        <f t="shared" si="205"/>
        <v>#VALUE!</v>
      </c>
      <c r="IB123" t="s">
        <v>189</v>
      </c>
      <c r="IC123">
        <f t="shared" si="206"/>
        <v>0</v>
      </c>
      <c r="ID123" t="s">
        <v>192</v>
      </c>
      <c r="IE123">
        <f t="shared" si="207"/>
        <v>0</v>
      </c>
      <c r="IF123" t="s">
        <v>191</v>
      </c>
      <c r="IG123" s="254">
        <f t="shared" si="208"/>
        <v>1</v>
      </c>
      <c r="IL123" t="e">
        <f t="shared" si="209"/>
        <v>#VALUE!</v>
      </c>
      <c r="LL123" s="112">
        <f ca="1">Foglio7tiGiuEc1!GF66</f>
        <v>100000</v>
      </c>
      <c r="LM123" s="308">
        <f t="shared" ca="1" si="190"/>
        <v>100000</v>
      </c>
      <c r="LO123">
        <f t="shared" si="210"/>
        <v>85</v>
      </c>
      <c r="LP123" s="308">
        <f t="shared" ca="1" si="191"/>
        <v>100000</v>
      </c>
      <c r="LS123" s="263">
        <f t="shared" si="192"/>
        <v>85</v>
      </c>
      <c r="LT123" s="308">
        <f t="shared" ca="1" si="193"/>
        <v>100000</v>
      </c>
      <c r="LW123" s="308">
        <f t="shared" ca="1" si="194"/>
        <v>100000</v>
      </c>
      <c r="LZ123" s="308">
        <f t="shared" ca="1" si="195"/>
        <v>100000</v>
      </c>
      <c r="MC123" s="308">
        <f t="shared" ca="1" si="196"/>
        <v>100000</v>
      </c>
      <c r="ME123" s="308" t="str">
        <f t="shared" ca="1" si="197"/>
        <v/>
      </c>
      <c r="MF123" s="308" t="str">
        <f t="shared" ca="1" si="198"/>
        <v/>
      </c>
      <c r="MG123" s="263" t="str">
        <f ca="1">IF(ME123&lt;&gt;"",VLOOKUP(ME123,Foglio7ti!$GF$40:$GS$84,14),"")</f>
        <v/>
      </c>
    </row>
    <row r="124" spans="5:345" x14ac:dyDescent="0.25">
      <c r="E124" s="240" t="str">
        <f>Foglio3!F104</f>
        <v/>
      </c>
      <c r="F124" s="240" t="str">
        <f>Foglio3!G104</f>
        <v/>
      </c>
      <c r="G124" s="244"/>
      <c r="H124" s="245">
        <f t="shared" si="199"/>
        <v>0</v>
      </c>
      <c r="I124" s="245">
        <f t="shared" si="199"/>
        <v>0</v>
      </c>
      <c r="J124" s="244"/>
      <c r="K124" s="244"/>
      <c r="Q124">
        <f t="shared" si="189"/>
        <v>1</v>
      </c>
      <c r="R124">
        <f t="shared" si="221"/>
        <v>1</v>
      </c>
      <c r="S124">
        <f t="shared" si="200"/>
        <v>0</v>
      </c>
      <c r="T124">
        <f t="shared" si="218"/>
        <v>0</v>
      </c>
      <c r="U124">
        <f t="shared" si="219"/>
        <v>1</v>
      </c>
      <c r="W124" t="e">
        <f t="shared" si="222"/>
        <v>#VALUE!</v>
      </c>
      <c r="X124" t="e">
        <f t="shared" si="222"/>
        <v>#VALUE!</v>
      </c>
      <c r="Y124" t="e">
        <f t="shared" si="222"/>
        <v>#VALUE!</v>
      </c>
      <c r="DU124" s="112"/>
      <c r="DV124" s="112"/>
      <c r="EY124" s="238"/>
      <c r="HX124" s="253" t="s">
        <v>187</v>
      </c>
      <c r="HY124" s="112" t="e">
        <f t="shared" si="204"/>
        <v>#VALUE!</v>
      </c>
      <c r="HZ124" t="s">
        <v>188</v>
      </c>
      <c r="IA124" s="112" t="e">
        <f t="shared" si="205"/>
        <v>#VALUE!</v>
      </c>
      <c r="IB124" t="s">
        <v>189</v>
      </c>
      <c r="IC124">
        <f t="shared" si="206"/>
        <v>0</v>
      </c>
      <c r="ID124" t="s">
        <v>192</v>
      </c>
      <c r="IE124">
        <f t="shared" si="207"/>
        <v>0</v>
      </c>
      <c r="IF124" t="s">
        <v>191</v>
      </c>
      <c r="IG124" s="254">
        <f t="shared" si="208"/>
        <v>1</v>
      </c>
      <c r="IL124" t="e">
        <f t="shared" si="209"/>
        <v>#VALUE!</v>
      </c>
      <c r="LL124" s="112">
        <f ca="1">Foglio7tiGiuEc1!GF67</f>
        <v>100000</v>
      </c>
      <c r="LM124" s="308">
        <f t="shared" ca="1" si="190"/>
        <v>100000</v>
      </c>
      <c r="LO124">
        <f t="shared" si="210"/>
        <v>86</v>
      </c>
      <c r="LP124" s="308">
        <f t="shared" ca="1" si="191"/>
        <v>100000</v>
      </c>
      <c r="LS124" s="263">
        <f t="shared" si="192"/>
        <v>86</v>
      </c>
      <c r="LT124" s="308">
        <f t="shared" ca="1" si="193"/>
        <v>100000</v>
      </c>
      <c r="LW124" s="308">
        <f t="shared" ca="1" si="194"/>
        <v>100000</v>
      </c>
      <c r="LZ124" s="308">
        <f t="shared" ca="1" si="195"/>
        <v>100000</v>
      </c>
      <c r="MC124" s="308">
        <f t="shared" ca="1" si="196"/>
        <v>100000</v>
      </c>
      <c r="ME124" s="308" t="str">
        <f t="shared" ca="1" si="197"/>
        <v/>
      </c>
      <c r="MF124" s="308" t="str">
        <f t="shared" ca="1" si="198"/>
        <v/>
      </c>
      <c r="MG124" s="263" t="str">
        <f ca="1">IF(ME124&lt;&gt;"",VLOOKUP(ME124,Foglio7ti!$GF$40:$GS$84,14),"")</f>
        <v/>
      </c>
    </row>
    <row r="125" spans="5:345" x14ac:dyDescent="0.25">
      <c r="E125" s="240" t="str">
        <f>Foglio3!F105</f>
        <v/>
      </c>
      <c r="F125" s="240" t="str">
        <f>Foglio3!G105</f>
        <v/>
      </c>
      <c r="G125" s="244"/>
      <c r="H125" s="245">
        <f t="shared" si="199"/>
        <v>0</v>
      </c>
      <c r="I125" s="245">
        <f t="shared" si="199"/>
        <v>0</v>
      </c>
      <c r="J125" s="244"/>
      <c r="K125" s="244"/>
      <c r="Q125">
        <f t="shared" si="189"/>
        <v>1</v>
      </c>
      <c r="R125">
        <f t="shared" si="221"/>
        <v>1</v>
      </c>
      <c r="S125">
        <f t="shared" si="200"/>
        <v>0</v>
      </c>
      <c r="T125">
        <f t="shared" si="218"/>
        <v>0</v>
      </c>
      <c r="U125">
        <f t="shared" si="219"/>
        <v>1</v>
      </c>
      <c r="W125" t="e">
        <f t="shared" si="222"/>
        <v>#VALUE!</v>
      </c>
      <c r="X125" t="e">
        <f t="shared" si="222"/>
        <v>#VALUE!</v>
      </c>
      <c r="Y125" t="e">
        <f t="shared" si="222"/>
        <v>#VALUE!</v>
      </c>
      <c r="DU125" s="112"/>
      <c r="DV125" s="112"/>
      <c r="EY125" s="238"/>
      <c r="HX125" s="253" t="s">
        <v>187</v>
      </c>
      <c r="HY125" s="112" t="e">
        <f t="shared" si="204"/>
        <v>#VALUE!</v>
      </c>
      <c r="HZ125" t="s">
        <v>188</v>
      </c>
      <c r="IA125" s="112" t="e">
        <f t="shared" si="205"/>
        <v>#VALUE!</v>
      </c>
      <c r="IB125" t="s">
        <v>189</v>
      </c>
      <c r="IC125">
        <f t="shared" si="206"/>
        <v>0</v>
      </c>
      <c r="ID125" t="s">
        <v>192</v>
      </c>
      <c r="IE125">
        <f t="shared" si="207"/>
        <v>0</v>
      </c>
      <c r="IF125" t="s">
        <v>191</v>
      </c>
      <c r="IG125" s="254">
        <f t="shared" si="208"/>
        <v>1</v>
      </c>
      <c r="IL125" t="e">
        <f t="shared" si="209"/>
        <v>#VALUE!</v>
      </c>
      <c r="LL125" s="112">
        <f ca="1">Foglio7tiGiuEc1!GF68</f>
        <v>100000</v>
      </c>
      <c r="LM125" s="308">
        <f t="shared" ca="1" si="190"/>
        <v>100000</v>
      </c>
      <c r="LO125">
        <f t="shared" si="210"/>
        <v>87</v>
      </c>
      <c r="LP125" s="308">
        <f t="shared" ca="1" si="191"/>
        <v>100000</v>
      </c>
      <c r="LS125" s="263">
        <f t="shared" si="192"/>
        <v>87</v>
      </c>
      <c r="LT125" s="308">
        <f t="shared" ca="1" si="193"/>
        <v>100000</v>
      </c>
      <c r="LW125" s="308">
        <f t="shared" ca="1" si="194"/>
        <v>100000</v>
      </c>
      <c r="LZ125" s="308">
        <f t="shared" ca="1" si="195"/>
        <v>100000</v>
      </c>
      <c r="MC125" s="308">
        <f t="shared" ca="1" si="196"/>
        <v>100000</v>
      </c>
      <c r="ME125" s="308" t="str">
        <f t="shared" ca="1" si="197"/>
        <v/>
      </c>
      <c r="MF125" s="308" t="str">
        <f t="shared" ca="1" si="198"/>
        <v/>
      </c>
      <c r="MG125" s="263" t="str">
        <f ca="1">IF(ME125&lt;&gt;"",VLOOKUP(ME125,Foglio7ti!$GF$40:$GS$84,14),"")</f>
        <v/>
      </c>
    </row>
    <row r="126" spans="5:345" x14ac:dyDescent="0.25">
      <c r="E126" s="240" t="str">
        <f>Foglio3!F106</f>
        <v/>
      </c>
      <c r="F126" s="240" t="str">
        <f>Foglio3!G106</f>
        <v/>
      </c>
      <c r="G126" s="244"/>
      <c r="H126" s="245">
        <f t="shared" si="199"/>
        <v>0</v>
      </c>
      <c r="I126" s="245">
        <f t="shared" si="199"/>
        <v>0</v>
      </c>
      <c r="J126" s="244"/>
      <c r="K126" s="244"/>
      <c r="Q126">
        <f t="shared" si="189"/>
        <v>1</v>
      </c>
      <c r="R126">
        <f t="shared" si="221"/>
        <v>1</v>
      </c>
      <c r="S126">
        <f t="shared" si="200"/>
        <v>0</v>
      </c>
      <c r="T126">
        <f t="shared" si="218"/>
        <v>0</v>
      </c>
      <c r="U126">
        <f t="shared" si="219"/>
        <v>1</v>
      </c>
      <c r="W126" t="e">
        <f t="shared" si="222"/>
        <v>#VALUE!</v>
      </c>
      <c r="X126" t="e">
        <f t="shared" si="222"/>
        <v>#VALUE!</v>
      </c>
      <c r="Y126" t="e">
        <f t="shared" si="222"/>
        <v>#VALUE!</v>
      </c>
      <c r="DU126" s="112"/>
      <c r="DV126" s="112"/>
      <c r="EY126" s="238"/>
      <c r="HX126" s="253" t="s">
        <v>187</v>
      </c>
      <c r="HY126" s="112" t="e">
        <f t="shared" si="204"/>
        <v>#VALUE!</v>
      </c>
      <c r="HZ126" t="s">
        <v>188</v>
      </c>
      <c r="IA126" s="112" t="e">
        <f t="shared" si="205"/>
        <v>#VALUE!</v>
      </c>
      <c r="IB126" t="s">
        <v>189</v>
      </c>
      <c r="IC126">
        <f t="shared" si="206"/>
        <v>0</v>
      </c>
      <c r="ID126" t="s">
        <v>192</v>
      </c>
      <c r="IE126">
        <f t="shared" si="207"/>
        <v>0</v>
      </c>
      <c r="IF126" t="s">
        <v>191</v>
      </c>
      <c r="IG126" s="254">
        <f t="shared" si="208"/>
        <v>1</v>
      </c>
      <c r="IL126" t="e">
        <f t="shared" si="209"/>
        <v>#VALUE!</v>
      </c>
      <c r="LL126" s="112">
        <f ca="1">Foglio7tiGiuEc1!GF69</f>
        <v>100000</v>
      </c>
      <c r="LM126" s="308">
        <f t="shared" ca="1" si="190"/>
        <v>100000</v>
      </c>
      <c r="LO126">
        <f t="shared" si="210"/>
        <v>88</v>
      </c>
      <c r="LP126" s="308">
        <f t="shared" ca="1" si="191"/>
        <v>100000</v>
      </c>
      <c r="LS126" s="263">
        <f t="shared" si="192"/>
        <v>88</v>
      </c>
      <c r="LT126" s="308">
        <f t="shared" ca="1" si="193"/>
        <v>100000</v>
      </c>
      <c r="LW126" s="308">
        <f t="shared" ca="1" si="194"/>
        <v>100000</v>
      </c>
      <c r="LZ126" s="308">
        <f t="shared" ca="1" si="195"/>
        <v>100000</v>
      </c>
      <c r="MC126" s="308">
        <f t="shared" ca="1" si="196"/>
        <v>100000</v>
      </c>
      <c r="ME126" s="308" t="str">
        <f t="shared" ca="1" si="197"/>
        <v/>
      </c>
      <c r="MF126" s="308" t="str">
        <f t="shared" ca="1" si="198"/>
        <v/>
      </c>
      <c r="MG126" s="263" t="str">
        <f ca="1">IF(ME126&lt;&gt;"",VLOOKUP(ME126,Foglio7ti!$GF$40:$GS$84,14),"")</f>
        <v/>
      </c>
    </row>
    <row r="127" spans="5:345" x14ac:dyDescent="0.25">
      <c r="E127" s="240" t="str">
        <f>Foglio3!F107</f>
        <v/>
      </c>
      <c r="F127" s="240" t="str">
        <f>Foglio3!G107</f>
        <v/>
      </c>
      <c r="G127" s="244"/>
      <c r="H127" s="245">
        <f t="shared" si="199"/>
        <v>0</v>
      </c>
      <c r="I127" s="245">
        <f t="shared" si="199"/>
        <v>0</v>
      </c>
      <c r="J127" s="244"/>
      <c r="K127" s="244"/>
      <c r="Q127">
        <f t="shared" si="189"/>
        <v>1</v>
      </c>
      <c r="R127">
        <f t="shared" si="221"/>
        <v>1</v>
      </c>
      <c r="S127">
        <f t="shared" si="200"/>
        <v>0</v>
      </c>
      <c r="T127">
        <f t="shared" si="218"/>
        <v>0</v>
      </c>
      <c r="U127">
        <f t="shared" si="219"/>
        <v>1</v>
      </c>
      <c r="W127" t="e">
        <f t="shared" si="222"/>
        <v>#VALUE!</v>
      </c>
      <c r="X127" t="e">
        <f t="shared" si="222"/>
        <v>#VALUE!</v>
      </c>
      <c r="Y127" t="e">
        <f t="shared" si="222"/>
        <v>#VALUE!</v>
      </c>
      <c r="DU127" s="112"/>
      <c r="DV127" s="112"/>
      <c r="EY127" s="238"/>
      <c r="HX127" s="253" t="s">
        <v>187</v>
      </c>
      <c r="HY127" s="112" t="e">
        <f t="shared" si="204"/>
        <v>#VALUE!</v>
      </c>
      <c r="HZ127" t="s">
        <v>188</v>
      </c>
      <c r="IA127" s="112" t="e">
        <f t="shared" si="205"/>
        <v>#VALUE!</v>
      </c>
      <c r="IB127" t="s">
        <v>189</v>
      </c>
      <c r="IC127">
        <f t="shared" si="206"/>
        <v>0</v>
      </c>
      <c r="ID127" t="s">
        <v>192</v>
      </c>
      <c r="IE127">
        <f t="shared" si="207"/>
        <v>0</v>
      </c>
      <c r="IF127" t="s">
        <v>191</v>
      </c>
      <c r="IG127" s="254">
        <f t="shared" si="208"/>
        <v>1</v>
      </c>
      <c r="IL127" t="e">
        <f t="shared" si="209"/>
        <v>#VALUE!</v>
      </c>
      <c r="LL127" s="112">
        <f ca="1">Foglio7tiGiuEc1!GF70</f>
        <v>100000</v>
      </c>
      <c r="LM127" s="308">
        <f t="shared" ca="1" si="190"/>
        <v>100000</v>
      </c>
      <c r="LO127">
        <f t="shared" si="210"/>
        <v>89</v>
      </c>
      <c r="LP127" s="308">
        <f t="shared" ca="1" si="191"/>
        <v>100000</v>
      </c>
      <c r="LS127" s="263">
        <f t="shared" si="192"/>
        <v>89</v>
      </c>
      <c r="LT127" s="308">
        <f t="shared" ca="1" si="193"/>
        <v>100000</v>
      </c>
      <c r="LW127" s="308">
        <f t="shared" ca="1" si="194"/>
        <v>100000</v>
      </c>
      <c r="LZ127" s="308">
        <f t="shared" ca="1" si="195"/>
        <v>100000</v>
      </c>
      <c r="MC127" s="308">
        <f t="shared" ca="1" si="196"/>
        <v>100000</v>
      </c>
      <c r="ME127" s="308" t="str">
        <f t="shared" ca="1" si="197"/>
        <v/>
      </c>
      <c r="MF127" s="308" t="str">
        <f t="shared" ca="1" si="198"/>
        <v/>
      </c>
      <c r="MG127" s="263" t="str">
        <f ca="1">IF(ME127&lt;&gt;"",VLOOKUP(ME127,Foglio7ti!$GF$40:$GS$84,14),"")</f>
        <v/>
      </c>
    </row>
    <row r="128" spans="5:345" x14ac:dyDescent="0.25">
      <c r="E128" s="240" t="str">
        <f>Foglio3!F108</f>
        <v/>
      </c>
      <c r="F128" s="240" t="str">
        <f>Foglio3!G108</f>
        <v/>
      </c>
      <c r="G128" s="244"/>
      <c r="H128" s="245">
        <f t="shared" si="199"/>
        <v>0</v>
      </c>
      <c r="I128" s="245">
        <f t="shared" si="199"/>
        <v>0</v>
      </c>
      <c r="J128" s="244"/>
      <c r="K128" s="244"/>
      <c r="Q128">
        <f t="shared" si="189"/>
        <v>1</v>
      </c>
      <c r="R128">
        <f t="shared" si="221"/>
        <v>1</v>
      </c>
      <c r="S128">
        <f t="shared" si="200"/>
        <v>0</v>
      </c>
      <c r="T128">
        <f t="shared" si="218"/>
        <v>0</v>
      </c>
      <c r="U128">
        <f t="shared" si="219"/>
        <v>1</v>
      </c>
      <c r="W128" t="e">
        <f t="shared" si="222"/>
        <v>#VALUE!</v>
      </c>
      <c r="X128" t="e">
        <f t="shared" si="222"/>
        <v>#VALUE!</v>
      </c>
      <c r="Y128" t="e">
        <f t="shared" si="222"/>
        <v>#VALUE!</v>
      </c>
      <c r="DU128" s="112"/>
      <c r="DV128" s="112"/>
      <c r="EY128" s="238"/>
      <c r="HX128" s="253" t="s">
        <v>187</v>
      </c>
      <c r="HY128" s="112" t="e">
        <f t="shared" si="204"/>
        <v>#VALUE!</v>
      </c>
      <c r="HZ128" t="s">
        <v>188</v>
      </c>
      <c r="IA128" s="112" t="e">
        <f t="shared" si="205"/>
        <v>#VALUE!</v>
      </c>
      <c r="IB128" t="s">
        <v>189</v>
      </c>
      <c r="IC128">
        <f t="shared" si="206"/>
        <v>0</v>
      </c>
      <c r="ID128" t="s">
        <v>192</v>
      </c>
      <c r="IE128">
        <f t="shared" si="207"/>
        <v>0</v>
      </c>
      <c r="IF128" t="s">
        <v>191</v>
      </c>
      <c r="IG128" s="254">
        <f t="shared" si="208"/>
        <v>1</v>
      </c>
      <c r="IL128" t="e">
        <f t="shared" si="209"/>
        <v>#VALUE!</v>
      </c>
      <c r="LL128" s="112">
        <f ca="1">Foglio7tiGiuEc1!GF71</f>
        <v>100000</v>
      </c>
      <c r="LM128" s="308">
        <f t="shared" ca="1" si="190"/>
        <v>100000</v>
      </c>
      <c r="LO128">
        <f t="shared" si="210"/>
        <v>90</v>
      </c>
      <c r="LP128" s="308">
        <f t="shared" ca="1" si="191"/>
        <v>100000</v>
      </c>
      <c r="LS128" s="263">
        <f t="shared" si="192"/>
        <v>90</v>
      </c>
      <c r="LT128" s="308">
        <f t="shared" ca="1" si="193"/>
        <v>100000</v>
      </c>
      <c r="LW128" s="308">
        <f t="shared" ca="1" si="194"/>
        <v>100000</v>
      </c>
      <c r="LZ128" s="308">
        <f t="shared" ca="1" si="195"/>
        <v>100000</v>
      </c>
      <c r="MC128" s="308">
        <f t="shared" ca="1" si="196"/>
        <v>100000</v>
      </c>
      <c r="ME128" s="308" t="str">
        <f t="shared" ca="1" si="197"/>
        <v/>
      </c>
      <c r="MF128" s="308" t="str">
        <f t="shared" ca="1" si="198"/>
        <v/>
      </c>
      <c r="MG128" s="263" t="str">
        <f ca="1">IF(ME128&lt;&gt;"",VLOOKUP(ME128,Foglio7ti!$GF$40:$GS$84,14),"")</f>
        <v/>
      </c>
    </row>
    <row r="129" spans="5:345" x14ac:dyDescent="0.25">
      <c r="E129" s="240" t="str">
        <f>Foglio3!F109</f>
        <v/>
      </c>
      <c r="F129" s="240" t="str">
        <f>Foglio3!G109</f>
        <v/>
      </c>
      <c r="G129" s="244"/>
      <c r="H129" s="245">
        <f t="shared" si="199"/>
        <v>0</v>
      </c>
      <c r="I129" s="245">
        <f t="shared" si="199"/>
        <v>0</v>
      </c>
      <c r="J129" s="244"/>
      <c r="K129" s="244"/>
      <c r="Q129">
        <f t="shared" si="189"/>
        <v>1</v>
      </c>
      <c r="R129">
        <f t="shared" si="221"/>
        <v>1</v>
      </c>
      <c r="S129">
        <f t="shared" si="200"/>
        <v>0</v>
      </c>
      <c r="T129">
        <f t="shared" si="218"/>
        <v>0</v>
      </c>
      <c r="U129">
        <f t="shared" si="219"/>
        <v>1</v>
      </c>
      <c r="W129" t="e">
        <f t="shared" si="222"/>
        <v>#VALUE!</v>
      </c>
      <c r="X129" t="e">
        <f t="shared" si="222"/>
        <v>#VALUE!</v>
      </c>
      <c r="Y129" t="e">
        <f t="shared" si="222"/>
        <v>#VALUE!</v>
      </c>
      <c r="DU129" s="112"/>
      <c r="DV129" s="112"/>
      <c r="EY129" s="238"/>
      <c r="HX129" s="253" t="s">
        <v>187</v>
      </c>
      <c r="HY129" s="112" t="e">
        <f t="shared" si="204"/>
        <v>#VALUE!</v>
      </c>
      <c r="HZ129" t="s">
        <v>188</v>
      </c>
      <c r="IA129" s="112" t="e">
        <f t="shared" si="205"/>
        <v>#VALUE!</v>
      </c>
      <c r="IB129" t="s">
        <v>189</v>
      </c>
      <c r="IC129">
        <f t="shared" si="206"/>
        <v>0</v>
      </c>
      <c r="ID129" t="s">
        <v>192</v>
      </c>
      <c r="IE129">
        <f t="shared" si="207"/>
        <v>0</v>
      </c>
      <c r="IF129" t="s">
        <v>191</v>
      </c>
      <c r="IG129" s="254">
        <f t="shared" si="208"/>
        <v>1</v>
      </c>
      <c r="IL129" t="e">
        <f t="shared" si="209"/>
        <v>#VALUE!</v>
      </c>
      <c r="LL129" s="112">
        <f ca="1">Foglio7tiGiuEc1!GF72</f>
        <v>100000</v>
      </c>
      <c r="LM129" s="308">
        <f t="shared" ca="1" si="190"/>
        <v>100000</v>
      </c>
      <c r="LO129">
        <f t="shared" si="210"/>
        <v>91</v>
      </c>
      <c r="LP129" s="308">
        <f t="shared" ca="1" si="191"/>
        <v>100000</v>
      </c>
      <c r="LS129" s="263">
        <f t="shared" si="192"/>
        <v>91</v>
      </c>
      <c r="LT129" s="308">
        <f t="shared" ca="1" si="193"/>
        <v>100000</v>
      </c>
      <c r="LW129" s="308">
        <f t="shared" ca="1" si="194"/>
        <v>100000</v>
      </c>
      <c r="LZ129" s="308">
        <f t="shared" ca="1" si="195"/>
        <v>100000</v>
      </c>
      <c r="MC129" s="308">
        <f t="shared" ca="1" si="196"/>
        <v>100000</v>
      </c>
      <c r="ME129" s="308" t="str">
        <f t="shared" ca="1" si="197"/>
        <v/>
      </c>
      <c r="MF129" s="308" t="str">
        <f t="shared" ca="1" si="198"/>
        <v/>
      </c>
      <c r="MG129" s="263" t="str">
        <f ca="1">IF(ME129&lt;&gt;"",VLOOKUP(ME129,Foglio7ti!$GF$40:$GS$84,14),"")</f>
        <v/>
      </c>
    </row>
    <row r="130" spans="5:345" x14ac:dyDescent="0.25">
      <c r="E130" s="240" t="str">
        <f>Foglio3!F110</f>
        <v/>
      </c>
      <c r="F130" s="240" t="str">
        <f>Foglio3!G110</f>
        <v/>
      </c>
      <c r="G130" s="244"/>
      <c r="H130" s="245">
        <f t="shared" si="199"/>
        <v>0</v>
      </c>
      <c r="I130" s="245">
        <f t="shared" si="199"/>
        <v>0</v>
      </c>
      <c r="J130" s="244"/>
      <c r="K130" s="244"/>
      <c r="Q130">
        <f t="shared" si="189"/>
        <v>1</v>
      </c>
      <c r="R130">
        <f t="shared" si="221"/>
        <v>1</v>
      </c>
      <c r="S130">
        <f t="shared" si="200"/>
        <v>0</v>
      </c>
      <c r="T130">
        <f t="shared" si="218"/>
        <v>0</v>
      </c>
      <c r="U130">
        <f t="shared" si="219"/>
        <v>1</v>
      </c>
      <c r="W130" t="e">
        <f t="shared" si="222"/>
        <v>#VALUE!</v>
      </c>
      <c r="X130" t="e">
        <f t="shared" si="222"/>
        <v>#VALUE!</v>
      </c>
      <c r="Y130" t="e">
        <f t="shared" si="222"/>
        <v>#VALUE!</v>
      </c>
      <c r="DU130" s="112"/>
      <c r="DV130" s="112"/>
      <c r="EY130" s="238"/>
      <c r="HX130" s="253" t="s">
        <v>187</v>
      </c>
      <c r="HY130" s="112" t="e">
        <f t="shared" si="204"/>
        <v>#VALUE!</v>
      </c>
      <c r="HZ130" t="s">
        <v>188</v>
      </c>
      <c r="IA130" s="112" t="e">
        <f t="shared" si="205"/>
        <v>#VALUE!</v>
      </c>
      <c r="IB130" t="s">
        <v>189</v>
      </c>
      <c r="IC130">
        <f t="shared" si="206"/>
        <v>0</v>
      </c>
      <c r="ID130" t="s">
        <v>192</v>
      </c>
      <c r="IE130">
        <f t="shared" si="207"/>
        <v>0</v>
      </c>
      <c r="IF130" t="s">
        <v>191</v>
      </c>
      <c r="IG130" s="254">
        <f t="shared" si="208"/>
        <v>1</v>
      </c>
      <c r="IL130" t="e">
        <f t="shared" si="209"/>
        <v>#VALUE!</v>
      </c>
      <c r="LL130" s="112">
        <f ca="1">Foglio7tiGiuEc1!GF73</f>
        <v>100000</v>
      </c>
      <c r="LM130" s="308">
        <f t="shared" ca="1" si="190"/>
        <v>100000</v>
      </c>
      <c r="LO130">
        <f t="shared" si="210"/>
        <v>92</v>
      </c>
      <c r="LP130" s="308">
        <f t="shared" ca="1" si="191"/>
        <v>100000</v>
      </c>
      <c r="LS130" s="263">
        <f t="shared" si="192"/>
        <v>92</v>
      </c>
      <c r="LT130" s="308">
        <f t="shared" ca="1" si="193"/>
        <v>100000</v>
      </c>
      <c r="LW130" s="308">
        <f t="shared" ca="1" si="194"/>
        <v>100000</v>
      </c>
      <c r="LZ130" s="308">
        <f t="shared" ca="1" si="195"/>
        <v>100000</v>
      </c>
      <c r="MC130" s="308">
        <f t="shared" ca="1" si="196"/>
        <v>100000</v>
      </c>
      <c r="ME130" s="308" t="str">
        <f t="shared" ca="1" si="197"/>
        <v/>
      </c>
      <c r="MF130" s="308" t="str">
        <f t="shared" ca="1" si="198"/>
        <v/>
      </c>
      <c r="MG130" s="263" t="str">
        <f ca="1">IF(ME130&lt;&gt;"",VLOOKUP(ME130,Foglio7ti!$GF$40:$GS$84,14),"")</f>
        <v/>
      </c>
    </row>
    <row r="131" spans="5:345" x14ac:dyDescent="0.25">
      <c r="E131" s="240" t="str">
        <f>Foglio3!F111</f>
        <v/>
      </c>
      <c r="F131" s="240" t="str">
        <f>Foglio3!G111</f>
        <v/>
      </c>
      <c r="G131" s="244"/>
      <c r="H131" s="245">
        <f t="shared" si="199"/>
        <v>0</v>
      </c>
      <c r="I131" s="245">
        <f t="shared" si="199"/>
        <v>0</v>
      </c>
      <c r="J131" s="244"/>
      <c r="K131" s="244"/>
      <c r="Q131">
        <f t="shared" si="189"/>
        <v>1</v>
      </c>
      <c r="R131">
        <f t="shared" si="221"/>
        <v>1</v>
      </c>
      <c r="S131">
        <f t="shared" si="200"/>
        <v>0</v>
      </c>
      <c r="T131">
        <f t="shared" si="218"/>
        <v>0</v>
      </c>
      <c r="U131">
        <f t="shared" si="219"/>
        <v>1</v>
      </c>
      <c r="W131" t="e">
        <f t="shared" si="222"/>
        <v>#VALUE!</v>
      </c>
      <c r="X131" t="e">
        <f t="shared" si="222"/>
        <v>#VALUE!</v>
      </c>
      <c r="Y131" t="e">
        <f t="shared" si="222"/>
        <v>#VALUE!</v>
      </c>
      <c r="DU131" s="112"/>
      <c r="DV131" s="112"/>
      <c r="EY131" s="238"/>
      <c r="HX131" s="253" t="s">
        <v>187</v>
      </c>
      <c r="HY131" s="112" t="e">
        <f t="shared" si="204"/>
        <v>#VALUE!</v>
      </c>
      <c r="HZ131" t="s">
        <v>188</v>
      </c>
      <c r="IA131" s="112" t="e">
        <f t="shared" si="205"/>
        <v>#VALUE!</v>
      </c>
      <c r="IB131" t="s">
        <v>189</v>
      </c>
      <c r="IC131">
        <f t="shared" si="206"/>
        <v>0</v>
      </c>
      <c r="ID131" t="s">
        <v>192</v>
      </c>
      <c r="IE131">
        <f t="shared" si="207"/>
        <v>0</v>
      </c>
      <c r="IF131" t="s">
        <v>191</v>
      </c>
      <c r="IG131" s="254">
        <f t="shared" si="208"/>
        <v>1</v>
      </c>
      <c r="IL131" t="e">
        <f t="shared" si="209"/>
        <v>#VALUE!</v>
      </c>
      <c r="LL131" s="112">
        <f ca="1">Foglio7tiGiuEc1!GF74</f>
        <v>100000</v>
      </c>
      <c r="LM131" s="308">
        <f t="shared" ca="1" si="190"/>
        <v>100000</v>
      </c>
      <c r="LO131">
        <f t="shared" si="210"/>
        <v>93</v>
      </c>
      <c r="LP131" s="308">
        <f t="shared" ca="1" si="191"/>
        <v>100000</v>
      </c>
      <c r="LS131" s="263">
        <f t="shared" si="192"/>
        <v>93</v>
      </c>
      <c r="LT131" s="308">
        <f t="shared" ca="1" si="193"/>
        <v>100000</v>
      </c>
      <c r="LW131" s="308">
        <f t="shared" ca="1" si="194"/>
        <v>100000</v>
      </c>
      <c r="LZ131" s="308">
        <f t="shared" ca="1" si="195"/>
        <v>100000</v>
      </c>
      <c r="MC131" s="308">
        <f t="shared" ca="1" si="196"/>
        <v>100000</v>
      </c>
      <c r="ME131" s="308" t="str">
        <f t="shared" ca="1" si="197"/>
        <v/>
      </c>
      <c r="MF131" s="308" t="str">
        <f t="shared" ca="1" si="198"/>
        <v/>
      </c>
      <c r="MG131" s="263" t="str">
        <f ca="1">IF(ME131&lt;&gt;"",VLOOKUP(ME131,Foglio7ti!$GF$40:$GS$84,14),"")</f>
        <v/>
      </c>
    </row>
    <row r="132" spans="5:345" x14ac:dyDescent="0.25">
      <c r="E132" s="240" t="str">
        <f>Foglio3!F112</f>
        <v/>
      </c>
      <c r="F132" s="240" t="str">
        <f>Foglio3!G112</f>
        <v/>
      </c>
      <c r="DU132" s="112"/>
      <c r="DV132" s="112"/>
      <c r="EY132" s="238"/>
      <c r="HX132" s="253" t="s">
        <v>187</v>
      </c>
      <c r="HY132" s="112" t="e">
        <f t="shared" si="204"/>
        <v>#VALUE!</v>
      </c>
      <c r="HZ132" t="s">
        <v>188</v>
      </c>
      <c r="IA132" s="112" t="e">
        <f t="shared" si="205"/>
        <v>#VALUE!</v>
      </c>
      <c r="IB132" t="s">
        <v>189</v>
      </c>
      <c r="IC132">
        <f t="shared" si="206"/>
        <v>0</v>
      </c>
      <c r="ID132" t="s">
        <v>192</v>
      </c>
      <c r="IE132">
        <f t="shared" si="207"/>
        <v>0</v>
      </c>
      <c r="IF132" t="s">
        <v>191</v>
      </c>
      <c r="IG132" s="254">
        <f t="shared" si="208"/>
        <v>0</v>
      </c>
      <c r="IL132" t="e">
        <f t="shared" si="209"/>
        <v>#VALUE!</v>
      </c>
      <c r="LL132" s="112">
        <f ca="1">Foglio7tiGiuEc1!GF75</f>
        <v>100000</v>
      </c>
      <c r="LM132" s="308">
        <f t="shared" ca="1" si="190"/>
        <v>100000</v>
      </c>
      <c r="LO132">
        <f t="shared" si="210"/>
        <v>94</v>
      </c>
      <c r="LP132" s="308">
        <f t="shared" ca="1" si="191"/>
        <v>100000</v>
      </c>
      <c r="LS132" s="263">
        <f t="shared" si="192"/>
        <v>94</v>
      </c>
      <c r="LT132" s="308">
        <f t="shared" ca="1" si="193"/>
        <v>100000</v>
      </c>
      <c r="LW132" s="308">
        <f t="shared" ca="1" si="194"/>
        <v>100000</v>
      </c>
      <c r="LZ132" s="308">
        <f t="shared" ca="1" si="195"/>
        <v>100000</v>
      </c>
      <c r="MC132" s="308">
        <f t="shared" ca="1" si="196"/>
        <v>100000</v>
      </c>
      <c r="ME132" s="308" t="str">
        <f t="shared" ca="1" si="197"/>
        <v/>
      </c>
      <c r="MF132" s="308" t="str">
        <f t="shared" ca="1" si="198"/>
        <v/>
      </c>
      <c r="MG132" s="263" t="str">
        <f ca="1">IF(ME132&lt;&gt;"",VLOOKUP(ME132,Foglio7ti!$GF$40:$GS$84,14),"")</f>
        <v/>
      </c>
    </row>
    <row r="133" spans="5:345" x14ac:dyDescent="0.25">
      <c r="E133" s="240" t="str">
        <f>Foglio3!F113</f>
        <v/>
      </c>
      <c r="F133" s="240" t="str">
        <f>Foglio3!G113</f>
        <v/>
      </c>
      <c r="DU133" s="112"/>
      <c r="DV133" s="112"/>
      <c r="EY133" s="238"/>
      <c r="HX133" s="253" t="s">
        <v>187</v>
      </c>
      <c r="HY133" s="112" t="e">
        <f t="shared" si="204"/>
        <v>#VALUE!</v>
      </c>
      <c r="HZ133" t="s">
        <v>188</v>
      </c>
      <c r="IA133" s="112" t="e">
        <f t="shared" si="205"/>
        <v>#VALUE!</v>
      </c>
      <c r="IB133" t="s">
        <v>189</v>
      </c>
      <c r="IC133">
        <f t="shared" si="206"/>
        <v>0</v>
      </c>
      <c r="ID133" t="s">
        <v>192</v>
      </c>
      <c r="IE133">
        <f t="shared" si="207"/>
        <v>0</v>
      </c>
      <c r="IF133" t="s">
        <v>191</v>
      </c>
      <c r="IG133" s="254">
        <f t="shared" si="208"/>
        <v>0</v>
      </c>
      <c r="IL133" t="e">
        <f t="shared" si="209"/>
        <v>#VALUE!</v>
      </c>
      <c r="LL133" s="112">
        <f ca="1">Foglio7tiGiuEc1!GF76</f>
        <v>100000</v>
      </c>
      <c r="LM133" s="308">
        <f t="shared" ca="1" si="190"/>
        <v>100000</v>
      </c>
      <c r="LO133">
        <f t="shared" si="210"/>
        <v>95</v>
      </c>
      <c r="LP133" s="308">
        <f t="shared" ca="1" si="191"/>
        <v>100000</v>
      </c>
      <c r="LS133" s="263">
        <f t="shared" si="192"/>
        <v>95</v>
      </c>
      <c r="LT133" s="308">
        <f t="shared" ca="1" si="193"/>
        <v>100000</v>
      </c>
      <c r="LW133" s="308">
        <f t="shared" ca="1" si="194"/>
        <v>100000</v>
      </c>
      <c r="LZ133" s="308">
        <f t="shared" ca="1" si="195"/>
        <v>100000</v>
      </c>
      <c r="MC133" s="308">
        <f t="shared" ca="1" si="196"/>
        <v>100000</v>
      </c>
      <c r="ME133" s="308" t="str">
        <f t="shared" ca="1" si="197"/>
        <v/>
      </c>
      <c r="MF133" s="308" t="str">
        <f t="shared" ca="1" si="198"/>
        <v/>
      </c>
      <c r="MG133" s="263" t="str">
        <f ca="1">IF(ME133&lt;&gt;"",VLOOKUP(ME133,Foglio7ti!$GF$40:$GS$84,14),"")</f>
        <v/>
      </c>
    </row>
    <row r="134" spans="5:345" x14ac:dyDescent="0.25">
      <c r="E134" s="240" t="str">
        <f>Foglio3!F114</f>
        <v/>
      </c>
      <c r="F134" s="240" t="str">
        <f>Foglio3!G114</f>
        <v/>
      </c>
      <c r="DU134" s="112"/>
      <c r="DV134" s="112"/>
      <c r="EY134" s="238"/>
      <c r="HX134" s="253" t="s">
        <v>187</v>
      </c>
      <c r="HY134" s="112" t="e">
        <f t="shared" si="204"/>
        <v>#VALUE!</v>
      </c>
      <c r="HZ134" t="s">
        <v>188</v>
      </c>
      <c r="IA134" s="112" t="e">
        <f t="shared" si="205"/>
        <v>#VALUE!</v>
      </c>
      <c r="IB134" t="s">
        <v>189</v>
      </c>
      <c r="IC134">
        <f t="shared" si="206"/>
        <v>0</v>
      </c>
      <c r="ID134" t="s">
        <v>192</v>
      </c>
      <c r="IE134">
        <f t="shared" si="207"/>
        <v>0</v>
      </c>
      <c r="IF134" t="s">
        <v>191</v>
      </c>
      <c r="IG134" s="254">
        <f t="shared" si="208"/>
        <v>0</v>
      </c>
      <c r="IL134" t="e">
        <f t="shared" si="209"/>
        <v>#VALUE!</v>
      </c>
      <c r="LL134" s="112">
        <f ca="1">Foglio7tiGiuEc1!GF77</f>
        <v>100000</v>
      </c>
      <c r="LM134" s="308">
        <f t="shared" ca="1" si="190"/>
        <v>100000</v>
      </c>
      <c r="LO134">
        <f t="shared" si="210"/>
        <v>96</v>
      </c>
      <c r="LP134" s="308">
        <f t="shared" ca="1" si="191"/>
        <v>100000</v>
      </c>
      <c r="LS134" s="263">
        <f t="shared" si="192"/>
        <v>96</v>
      </c>
      <c r="LT134" s="308">
        <f t="shared" ca="1" si="193"/>
        <v>100000</v>
      </c>
      <c r="LW134" s="308">
        <f t="shared" ca="1" si="194"/>
        <v>100000</v>
      </c>
      <c r="LZ134" s="308">
        <f t="shared" ca="1" si="195"/>
        <v>100000</v>
      </c>
      <c r="MC134" s="308">
        <f t="shared" ca="1" si="196"/>
        <v>100000</v>
      </c>
      <c r="ME134" s="308" t="str">
        <f t="shared" ca="1" si="197"/>
        <v/>
      </c>
      <c r="MF134" s="308" t="str">
        <f t="shared" ca="1" si="198"/>
        <v/>
      </c>
      <c r="MG134" s="263" t="str">
        <f ca="1">IF(ME134&lt;&gt;"",VLOOKUP(ME134,Foglio7ti!$GF$40:$GS$84,14),"")</f>
        <v/>
      </c>
    </row>
    <row r="135" spans="5:345" x14ac:dyDescent="0.25">
      <c r="E135" s="240" t="str">
        <f>Foglio3!F115</f>
        <v/>
      </c>
      <c r="F135" s="240" t="str">
        <f>Foglio3!G115</f>
        <v/>
      </c>
      <c r="DU135" s="112"/>
      <c r="DV135" s="112"/>
      <c r="EY135" s="238"/>
      <c r="HX135" s="253" t="s">
        <v>187</v>
      </c>
      <c r="HY135" s="112" t="e">
        <f t="shared" si="204"/>
        <v>#VALUE!</v>
      </c>
      <c r="HZ135" t="s">
        <v>188</v>
      </c>
      <c r="IA135" s="112" t="e">
        <f t="shared" si="205"/>
        <v>#VALUE!</v>
      </c>
      <c r="IB135" t="s">
        <v>189</v>
      </c>
      <c r="IC135">
        <f t="shared" si="206"/>
        <v>0</v>
      </c>
      <c r="ID135" t="s">
        <v>192</v>
      </c>
      <c r="IE135">
        <f t="shared" si="207"/>
        <v>0</v>
      </c>
      <c r="IF135" t="s">
        <v>191</v>
      </c>
      <c r="IG135" s="254">
        <f t="shared" si="208"/>
        <v>0</v>
      </c>
      <c r="IL135" t="e">
        <f t="shared" si="209"/>
        <v>#VALUE!</v>
      </c>
      <c r="LL135" s="112">
        <f ca="1">Foglio7tiGiuEc1!GF78</f>
        <v>100000</v>
      </c>
      <c r="LM135" s="308">
        <f t="shared" ca="1" si="190"/>
        <v>100000</v>
      </c>
      <c r="LO135">
        <f t="shared" si="210"/>
        <v>97</v>
      </c>
      <c r="LP135" s="308">
        <f t="shared" ca="1" si="191"/>
        <v>100000</v>
      </c>
      <c r="LS135" s="263">
        <f t="shared" si="192"/>
        <v>97</v>
      </c>
      <c r="LT135" s="308">
        <f t="shared" ca="1" si="193"/>
        <v>100000</v>
      </c>
      <c r="LW135" s="308">
        <f t="shared" ca="1" si="194"/>
        <v>100000</v>
      </c>
      <c r="LZ135" s="308">
        <f t="shared" ca="1" si="195"/>
        <v>100000</v>
      </c>
      <c r="MC135" s="308">
        <f t="shared" ca="1" si="196"/>
        <v>100000</v>
      </c>
      <c r="ME135" s="308" t="str">
        <f t="shared" ca="1" si="197"/>
        <v/>
      </c>
      <c r="MF135" s="308" t="str">
        <f t="shared" ca="1" si="198"/>
        <v/>
      </c>
      <c r="MG135" s="263" t="str">
        <f ca="1">IF(ME135&lt;&gt;"",VLOOKUP(ME135,Foglio7ti!$GF$40:$GS$84,14),"")</f>
        <v/>
      </c>
    </row>
    <row r="136" spans="5:345" x14ac:dyDescent="0.25">
      <c r="E136" s="240" t="str">
        <f>Foglio3!F116</f>
        <v/>
      </c>
      <c r="F136" s="240" t="str">
        <f>Foglio3!G116</f>
        <v/>
      </c>
      <c r="DU136" s="112"/>
      <c r="DV136" s="112"/>
      <c r="EY136" s="238"/>
      <c r="HX136" s="253" t="s">
        <v>187</v>
      </c>
      <c r="HY136" s="112" t="e">
        <f t="shared" si="204"/>
        <v>#VALUE!</v>
      </c>
      <c r="HZ136" t="s">
        <v>188</v>
      </c>
      <c r="IA136" s="112" t="e">
        <f t="shared" si="205"/>
        <v>#VALUE!</v>
      </c>
      <c r="IB136" t="s">
        <v>189</v>
      </c>
      <c r="IC136">
        <f t="shared" si="206"/>
        <v>0</v>
      </c>
      <c r="ID136" t="s">
        <v>192</v>
      </c>
      <c r="IE136">
        <f t="shared" si="207"/>
        <v>0</v>
      </c>
      <c r="IF136" t="s">
        <v>191</v>
      </c>
      <c r="IG136" s="254">
        <f t="shared" si="208"/>
        <v>0</v>
      </c>
      <c r="IL136" t="e">
        <f t="shared" si="209"/>
        <v>#VALUE!</v>
      </c>
      <c r="LL136" s="112">
        <f ca="1">Foglio7tiGiuEc1!GF79</f>
        <v>100000</v>
      </c>
      <c r="LM136" s="308">
        <f t="shared" ca="1" si="190"/>
        <v>100000</v>
      </c>
      <c r="LO136">
        <f t="shared" si="210"/>
        <v>98</v>
      </c>
      <c r="LP136" s="308">
        <f t="shared" ca="1" si="191"/>
        <v>100000</v>
      </c>
      <c r="LS136" s="263">
        <f t="shared" si="192"/>
        <v>98</v>
      </c>
      <c r="LT136" s="308">
        <f t="shared" ca="1" si="193"/>
        <v>100000</v>
      </c>
      <c r="LW136" s="308">
        <f t="shared" ca="1" si="194"/>
        <v>100000</v>
      </c>
      <c r="LZ136" s="308">
        <f t="shared" ca="1" si="195"/>
        <v>100000</v>
      </c>
      <c r="MC136" s="308">
        <f t="shared" ca="1" si="196"/>
        <v>100000</v>
      </c>
      <c r="ME136" s="308" t="str">
        <f t="shared" ca="1" si="197"/>
        <v/>
      </c>
      <c r="MF136" s="308" t="str">
        <f t="shared" ca="1" si="198"/>
        <v/>
      </c>
      <c r="MG136" s="263" t="str">
        <f ca="1">IF(ME136&lt;&gt;"",VLOOKUP(ME136,Foglio7ti!$GF$40:$GS$84,14),"")</f>
        <v/>
      </c>
    </row>
    <row r="137" spans="5:345" x14ac:dyDescent="0.25">
      <c r="E137" s="240" t="str">
        <f>Foglio3!F117</f>
        <v/>
      </c>
      <c r="F137" s="240" t="str">
        <f>Foglio3!G117</f>
        <v/>
      </c>
      <c r="DU137" s="112"/>
      <c r="DV137" s="112"/>
      <c r="EY137" s="238"/>
      <c r="HX137" s="253" t="s">
        <v>187</v>
      </c>
      <c r="HY137" s="112" t="e">
        <f t="shared" si="204"/>
        <v>#VALUE!</v>
      </c>
      <c r="HZ137" t="s">
        <v>188</v>
      </c>
      <c r="IA137" s="112" t="e">
        <f t="shared" si="205"/>
        <v>#VALUE!</v>
      </c>
      <c r="IB137" t="s">
        <v>189</v>
      </c>
      <c r="IC137">
        <f t="shared" si="206"/>
        <v>0</v>
      </c>
      <c r="ID137" t="s">
        <v>192</v>
      </c>
      <c r="IE137">
        <f t="shared" si="207"/>
        <v>0</v>
      </c>
      <c r="IF137" t="s">
        <v>191</v>
      </c>
      <c r="IG137" s="254">
        <f t="shared" si="208"/>
        <v>0</v>
      </c>
      <c r="IL137" t="e">
        <f t="shared" si="209"/>
        <v>#VALUE!</v>
      </c>
      <c r="LL137" s="112">
        <f ca="1">Foglio7tiGiuEc1!GF80</f>
        <v>100000</v>
      </c>
      <c r="LM137" s="308">
        <f t="shared" ca="1" si="190"/>
        <v>100000</v>
      </c>
      <c r="LO137">
        <f t="shared" si="210"/>
        <v>99</v>
      </c>
      <c r="LP137" s="308">
        <f t="shared" ca="1" si="191"/>
        <v>100000</v>
      </c>
      <c r="LS137" s="263">
        <f t="shared" si="192"/>
        <v>99</v>
      </c>
      <c r="LT137" s="308">
        <f t="shared" ca="1" si="193"/>
        <v>100000</v>
      </c>
      <c r="LW137" s="308">
        <f t="shared" ca="1" si="194"/>
        <v>100000</v>
      </c>
      <c r="LZ137" s="308">
        <f t="shared" ca="1" si="195"/>
        <v>100000</v>
      </c>
      <c r="MC137" s="308">
        <f t="shared" ca="1" si="196"/>
        <v>100000</v>
      </c>
      <c r="ME137" s="308" t="str">
        <f t="shared" ca="1" si="197"/>
        <v/>
      </c>
      <c r="MF137" s="308" t="str">
        <f t="shared" ca="1" si="198"/>
        <v/>
      </c>
      <c r="MG137" s="263" t="str">
        <f ca="1">IF(ME137&lt;&gt;"",VLOOKUP(ME137,Foglio7ti!$GF$40:$GS$84,14),"")</f>
        <v/>
      </c>
    </row>
    <row r="138" spans="5:345" x14ac:dyDescent="0.25">
      <c r="E138" s="240" t="str">
        <f>Foglio3!F118</f>
        <v/>
      </c>
      <c r="F138" s="240" t="str">
        <f>Foglio3!G118</f>
        <v/>
      </c>
      <c r="DU138" s="112"/>
      <c r="DV138" s="112"/>
      <c r="EY138" s="238"/>
      <c r="HX138" s="253" t="s">
        <v>187</v>
      </c>
      <c r="HY138" s="112" t="e">
        <f t="shared" si="204"/>
        <v>#VALUE!</v>
      </c>
      <c r="HZ138" t="s">
        <v>188</v>
      </c>
      <c r="IA138" s="112" t="e">
        <f t="shared" si="205"/>
        <v>#VALUE!</v>
      </c>
      <c r="IB138" t="s">
        <v>189</v>
      </c>
      <c r="IC138">
        <f t="shared" si="206"/>
        <v>0</v>
      </c>
      <c r="ID138" t="s">
        <v>192</v>
      </c>
      <c r="IE138">
        <f t="shared" si="207"/>
        <v>0</v>
      </c>
      <c r="IF138" t="s">
        <v>191</v>
      </c>
      <c r="IG138" s="254">
        <f t="shared" si="208"/>
        <v>0</v>
      </c>
      <c r="IL138" t="e">
        <f t="shared" si="209"/>
        <v>#VALUE!</v>
      </c>
      <c r="LL138" s="112">
        <f ca="1">Foglio7tiGiuEc1!GF81</f>
        <v>100000</v>
      </c>
      <c r="LM138" s="308">
        <f t="shared" ca="1" si="190"/>
        <v>100000</v>
      </c>
      <c r="LO138">
        <f t="shared" si="210"/>
        <v>100</v>
      </c>
      <c r="LP138" s="308">
        <f t="shared" ca="1" si="191"/>
        <v>100000</v>
      </c>
      <c r="LS138" s="263">
        <f t="shared" si="192"/>
        <v>100</v>
      </c>
      <c r="LT138" s="308">
        <f t="shared" ca="1" si="193"/>
        <v>100000</v>
      </c>
      <c r="LW138" s="308">
        <f t="shared" ca="1" si="194"/>
        <v>100000</v>
      </c>
      <c r="LZ138" s="308">
        <f t="shared" ca="1" si="195"/>
        <v>100000</v>
      </c>
      <c r="MC138" s="308">
        <f t="shared" ca="1" si="196"/>
        <v>100000</v>
      </c>
      <c r="ME138" s="308" t="str">
        <f t="shared" ca="1" si="197"/>
        <v/>
      </c>
      <c r="MF138" s="308" t="str">
        <f t="shared" ca="1" si="198"/>
        <v/>
      </c>
      <c r="MG138" s="263" t="str">
        <f ca="1">IF(ME138&lt;&gt;"",VLOOKUP(ME138,Foglio7ti!$GF$40:$GS$84,14),"")</f>
        <v/>
      </c>
    </row>
    <row r="139" spans="5:345" x14ac:dyDescent="0.25">
      <c r="E139" s="240" t="str">
        <f>Foglio3!F119</f>
        <v/>
      </c>
      <c r="F139" s="240" t="str">
        <f>Foglio3!G119</f>
        <v/>
      </c>
      <c r="DU139" s="112"/>
      <c r="DV139" s="112"/>
      <c r="EY139" s="238"/>
      <c r="HX139" s="253" t="s">
        <v>187</v>
      </c>
      <c r="HY139" s="112" t="e">
        <f t="shared" si="204"/>
        <v>#VALUE!</v>
      </c>
      <c r="HZ139" t="s">
        <v>188</v>
      </c>
      <c r="IA139" s="112" t="e">
        <f t="shared" si="205"/>
        <v>#VALUE!</v>
      </c>
      <c r="IB139" t="s">
        <v>189</v>
      </c>
      <c r="IC139">
        <f t="shared" si="206"/>
        <v>0</v>
      </c>
      <c r="ID139" t="s">
        <v>192</v>
      </c>
      <c r="IE139">
        <f t="shared" si="207"/>
        <v>0</v>
      </c>
      <c r="IF139" t="s">
        <v>191</v>
      </c>
      <c r="IG139" s="254">
        <f t="shared" si="208"/>
        <v>0</v>
      </c>
      <c r="IL139" t="e">
        <f t="shared" si="209"/>
        <v>#VALUE!</v>
      </c>
      <c r="LL139" s="112">
        <f ca="1">Foglio7tiGiuEc1!GF82</f>
        <v>100000</v>
      </c>
      <c r="LM139" s="308">
        <f t="shared" ca="1" si="190"/>
        <v>100000</v>
      </c>
      <c r="LO139">
        <f t="shared" si="210"/>
        <v>101</v>
      </c>
      <c r="LP139" s="308">
        <f t="shared" ca="1" si="191"/>
        <v>100000</v>
      </c>
      <c r="LS139" s="263">
        <f t="shared" si="192"/>
        <v>101</v>
      </c>
      <c r="LT139" s="308">
        <f t="shared" ca="1" si="193"/>
        <v>100000</v>
      </c>
      <c r="LW139" s="308">
        <f t="shared" ca="1" si="194"/>
        <v>100000</v>
      </c>
      <c r="LZ139" s="308">
        <f t="shared" ca="1" si="195"/>
        <v>100000</v>
      </c>
      <c r="MC139" s="308">
        <f t="shared" ca="1" si="196"/>
        <v>100000</v>
      </c>
      <c r="ME139" s="308" t="str">
        <f t="shared" ca="1" si="197"/>
        <v/>
      </c>
      <c r="MF139" s="308" t="str">
        <f t="shared" ca="1" si="198"/>
        <v/>
      </c>
      <c r="MG139" s="263" t="str">
        <f ca="1">IF(ME139&lt;&gt;"",VLOOKUP(ME139,Foglio7ti!$GF$40:$GS$84,14),"")</f>
        <v/>
      </c>
    </row>
    <row r="140" spans="5:345" x14ac:dyDescent="0.25">
      <c r="E140" s="240" t="str">
        <f>Foglio3!F120</f>
        <v/>
      </c>
      <c r="F140" s="240" t="str">
        <f>Foglio3!G120</f>
        <v/>
      </c>
      <c r="DU140" s="112"/>
      <c r="DV140" s="112"/>
      <c r="EY140" s="238"/>
      <c r="HX140" s="253" t="s">
        <v>187</v>
      </c>
      <c r="HY140" s="112" t="e">
        <f t="shared" si="204"/>
        <v>#VALUE!</v>
      </c>
      <c r="HZ140" t="s">
        <v>188</v>
      </c>
      <c r="IA140" s="112" t="e">
        <f t="shared" si="205"/>
        <v>#VALUE!</v>
      </c>
      <c r="IB140" t="s">
        <v>189</v>
      </c>
      <c r="IC140">
        <f t="shared" si="206"/>
        <v>0</v>
      </c>
      <c r="ID140" t="s">
        <v>192</v>
      </c>
      <c r="IE140">
        <f t="shared" si="207"/>
        <v>0</v>
      </c>
      <c r="IF140" t="s">
        <v>191</v>
      </c>
      <c r="IG140" s="254">
        <f t="shared" si="208"/>
        <v>0</v>
      </c>
      <c r="IL140" t="e">
        <f t="shared" si="209"/>
        <v>#VALUE!</v>
      </c>
      <c r="IW140" t="e">
        <f>CONCATENATE(IL140,IL141,IL142,IL143,IL144,IL145,IL146,IL147,IL148,IL149,IL150,IL151,IL152,IL153,IL154,I645,IL156,IL157,IL158,IL159,)</f>
        <v>#VALUE!</v>
      </c>
      <c r="LL140" s="112">
        <f ca="1">Foglio7tiGiuEc1!GF83</f>
        <v>100000</v>
      </c>
      <c r="LM140" s="308">
        <f t="shared" ca="1" si="190"/>
        <v>100000</v>
      </c>
      <c r="LO140">
        <f t="shared" si="210"/>
        <v>102</v>
      </c>
      <c r="LP140" s="308">
        <f t="shared" ca="1" si="191"/>
        <v>100000</v>
      </c>
      <c r="LS140" s="263">
        <f t="shared" si="192"/>
        <v>102</v>
      </c>
      <c r="LT140" s="308">
        <f t="shared" ca="1" si="193"/>
        <v>100000</v>
      </c>
      <c r="LW140" s="308">
        <f t="shared" ca="1" si="194"/>
        <v>100000</v>
      </c>
      <c r="LZ140" s="308">
        <f t="shared" ca="1" si="195"/>
        <v>100000</v>
      </c>
      <c r="MC140" s="308">
        <f t="shared" ca="1" si="196"/>
        <v>100000</v>
      </c>
      <c r="ME140" s="308" t="str">
        <f t="shared" ca="1" si="197"/>
        <v/>
      </c>
      <c r="MF140" s="308" t="str">
        <f t="shared" ca="1" si="198"/>
        <v/>
      </c>
      <c r="MG140" s="263" t="str">
        <f ca="1">IF(ME140&lt;&gt;"",VLOOKUP(ME140,Foglio7ti!$GF$40:$GS$84,14),"")</f>
        <v/>
      </c>
    </row>
    <row r="141" spans="5:345" x14ac:dyDescent="0.25">
      <c r="E141" s="240" t="str">
        <f>Foglio3!F121</f>
        <v/>
      </c>
      <c r="F141" s="240" t="str">
        <f>Foglio3!G121</f>
        <v/>
      </c>
      <c r="DU141" s="112"/>
      <c r="DV141" s="112"/>
      <c r="EY141" s="238"/>
      <c r="HX141" s="253" t="s">
        <v>187</v>
      </c>
      <c r="HY141" s="112" t="e">
        <f t="shared" si="204"/>
        <v>#VALUE!</v>
      </c>
      <c r="HZ141" t="s">
        <v>188</v>
      </c>
      <c r="IA141" s="112" t="e">
        <f t="shared" si="205"/>
        <v>#VALUE!</v>
      </c>
      <c r="IB141" t="s">
        <v>189</v>
      </c>
      <c r="IC141">
        <f t="shared" si="206"/>
        <v>0</v>
      </c>
      <c r="ID141" t="s">
        <v>192</v>
      </c>
      <c r="IE141">
        <f t="shared" si="207"/>
        <v>0</v>
      </c>
      <c r="IF141" t="s">
        <v>191</v>
      </c>
      <c r="IG141" s="254">
        <f t="shared" si="208"/>
        <v>0</v>
      </c>
      <c r="IL141" t="e">
        <f t="shared" si="209"/>
        <v>#VALUE!</v>
      </c>
      <c r="LL141" s="112">
        <f ca="1">Foglio7tiGiuEc1!GF84</f>
        <v>100000</v>
      </c>
      <c r="LM141" s="308">
        <f t="shared" ca="1" si="190"/>
        <v>100000</v>
      </c>
      <c r="LO141">
        <f t="shared" si="210"/>
        <v>103</v>
      </c>
      <c r="LP141" s="308">
        <f t="shared" ca="1" si="191"/>
        <v>100000</v>
      </c>
      <c r="LS141" s="263">
        <f t="shared" si="192"/>
        <v>103</v>
      </c>
      <c r="LT141" s="308">
        <f t="shared" ca="1" si="193"/>
        <v>100000</v>
      </c>
      <c r="LW141" s="308">
        <f t="shared" ca="1" si="194"/>
        <v>100000</v>
      </c>
      <c r="LZ141" s="308">
        <f t="shared" ca="1" si="195"/>
        <v>100000</v>
      </c>
      <c r="MC141" s="308">
        <f t="shared" ca="1" si="196"/>
        <v>100000</v>
      </c>
      <c r="ME141" s="308" t="str">
        <f t="shared" ca="1" si="197"/>
        <v/>
      </c>
      <c r="MF141" s="308" t="str">
        <f t="shared" ca="1" si="198"/>
        <v/>
      </c>
      <c r="MG141" s="263" t="str">
        <f ca="1">IF(ME141&lt;&gt;"",VLOOKUP(ME141,Foglio7ti!$GF$40:$GS$84,14),"")</f>
        <v/>
      </c>
    </row>
    <row r="142" spans="5:345" x14ac:dyDescent="0.25">
      <c r="E142" s="240" t="str">
        <f>Foglio3!F122</f>
        <v/>
      </c>
      <c r="F142" s="240" t="str">
        <f>Foglio3!G122</f>
        <v/>
      </c>
      <c r="DU142" s="112"/>
      <c r="DV142" s="112"/>
      <c r="EY142" s="238"/>
      <c r="HX142" s="253" t="s">
        <v>187</v>
      </c>
      <c r="HY142" s="112" t="e">
        <f t="shared" si="204"/>
        <v>#VALUE!</v>
      </c>
      <c r="HZ142" t="s">
        <v>188</v>
      </c>
      <c r="IA142" s="112" t="e">
        <f t="shared" si="205"/>
        <v>#VALUE!</v>
      </c>
      <c r="IB142" t="s">
        <v>189</v>
      </c>
      <c r="IC142">
        <f t="shared" si="206"/>
        <v>0</v>
      </c>
      <c r="ID142" t="s">
        <v>192</v>
      </c>
      <c r="IE142">
        <f t="shared" si="207"/>
        <v>0</v>
      </c>
      <c r="IF142" t="s">
        <v>191</v>
      </c>
      <c r="IG142" s="254">
        <f t="shared" si="208"/>
        <v>0</v>
      </c>
      <c r="IL142" t="e">
        <f t="shared" si="209"/>
        <v>#VALUE!</v>
      </c>
      <c r="LL142" s="112">
        <f>Foglio7tiGiuEc1!GF85</f>
        <v>0</v>
      </c>
      <c r="LM142" s="308">
        <f t="shared" si="190"/>
        <v>100000</v>
      </c>
      <c r="LO142">
        <f t="shared" si="210"/>
        <v>104</v>
      </c>
      <c r="LP142" s="308">
        <f t="shared" ca="1" si="191"/>
        <v>100000</v>
      </c>
      <c r="LS142" s="263">
        <f t="shared" si="192"/>
        <v>104</v>
      </c>
      <c r="LT142" s="308">
        <f t="shared" ca="1" si="193"/>
        <v>100000</v>
      </c>
      <c r="LW142" s="308">
        <f t="shared" ca="1" si="194"/>
        <v>100000</v>
      </c>
      <c r="LZ142" s="308">
        <f t="shared" ca="1" si="195"/>
        <v>100000</v>
      </c>
      <c r="MC142" s="308">
        <f t="shared" ca="1" si="196"/>
        <v>100000</v>
      </c>
      <c r="ME142" s="308" t="str">
        <f t="shared" ca="1" si="197"/>
        <v/>
      </c>
      <c r="MF142" s="308" t="str">
        <f t="shared" ca="1" si="198"/>
        <v/>
      </c>
      <c r="MG142" s="263" t="str">
        <f ca="1">IF(ME142&lt;&gt;"",VLOOKUP(ME142,Foglio7ti!$GF$40:$GS$84,14),"")</f>
        <v/>
      </c>
    </row>
    <row r="143" spans="5:345" x14ac:dyDescent="0.25">
      <c r="E143" s="240" t="str">
        <f>Foglio3!F123</f>
        <v/>
      </c>
      <c r="F143" s="240" t="str">
        <f>Foglio3!G123</f>
        <v/>
      </c>
      <c r="DU143" s="112"/>
      <c r="DV143" s="112"/>
      <c r="EY143" s="238"/>
      <c r="HX143" s="253" t="s">
        <v>187</v>
      </c>
      <c r="HY143" s="112" t="e">
        <f t="shared" si="204"/>
        <v>#VALUE!</v>
      </c>
      <c r="HZ143" t="s">
        <v>188</v>
      </c>
      <c r="IA143" s="112" t="e">
        <f t="shared" si="205"/>
        <v>#VALUE!</v>
      </c>
      <c r="IB143" t="s">
        <v>189</v>
      </c>
      <c r="IC143">
        <f t="shared" si="206"/>
        <v>0</v>
      </c>
      <c r="ID143" t="s">
        <v>192</v>
      </c>
      <c r="IE143">
        <f t="shared" si="207"/>
        <v>0</v>
      </c>
      <c r="IF143" t="s">
        <v>191</v>
      </c>
      <c r="IG143" s="254">
        <f t="shared" si="208"/>
        <v>0</v>
      </c>
      <c r="IL143" t="e">
        <f t="shared" si="209"/>
        <v>#VALUE!</v>
      </c>
      <c r="LL143" s="112">
        <f>Foglio7tiGiuEc1!GF86</f>
        <v>0</v>
      </c>
      <c r="LM143" s="308">
        <f t="shared" si="190"/>
        <v>100000</v>
      </c>
      <c r="LO143">
        <f t="shared" si="210"/>
        <v>105</v>
      </c>
      <c r="LP143" s="308">
        <f t="shared" ca="1" si="191"/>
        <v>100000</v>
      </c>
      <c r="LS143" s="263">
        <f t="shared" si="192"/>
        <v>105</v>
      </c>
      <c r="LT143" s="308">
        <f t="shared" ca="1" si="193"/>
        <v>100000</v>
      </c>
      <c r="LW143" s="308">
        <f t="shared" ca="1" si="194"/>
        <v>100000</v>
      </c>
      <c r="LZ143" s="308">
        <f t="shared" ca="1" si="195"/>
        <v>100000</v>
      </c>
      <c r="MC143" s="308">
        <f t="shared" ca="1" si="196"/>
        <v>100000</v>
      </c>
      <c r="ME143" s="308" t="str">
        <f t="shared" ca="1" si="197"/>
        <v/>
      </c>
      <c r="MF143" s="308" t="str">
        <f t="shared" ca="1" si="198"/>
        <v/>
      </c>
      <c r="MG143" s="263" t="str">
        <f ca="1">IF(ME143&lt;&gt;"",VLOOKUP(ME143,Foglio7ti!$GF$40:$GS$84,14),"")</f>
        <v/>
      </c>
    </row>
    <row r="144" spans="5:345" x14ac:dyDescent="0.25">
      <c r="E144" s="240" t="str">
        <f>Foglio3!F124</f>
        <v/>
      </c>
      <c r="F144" s="240" t="str">
        <f>Foglio3!G124</f>
        <v/>
      </c>
      <c r="DU144" s="112"/>
      <c r="DV144" s="112"/>
      <c r="EY144" s="238"/>
      <c r="HX144" s="253" t="s">
        <v>187</v>
      </c>
      <c r="HY144" s="112" t="e">
        <f t="shared" si="204"/>
        <v>#VALUE!</v>
      </c>
      <c r="HZ144" t="s">
        <v>188</v>
      </c>
      <c r="IA144" s="112" t="e">
        <f t="shared" si="205"/>
        <v>#VALUE!</v>
      </c>
      <c r="IB144" t="s">
        <v>189</v>
      </c>
      <c r="IC144">
        <f t="shared" si="206"/>
        <v>0</v>
      </c>
      <c r="ID144" t="s">
        <v>192</v>
      </c>
      <c r="IE144">
        <f t="shared" si="207"/>
        <v>0</v>
      </c>
      <c r="IF144" t="s">
        <v>191</v>
      </c>
      <c r="IG144" s="254">
        <f t="shared" si="208"/>
        <v>0</v>
      </c>
      <c r="IL144" t="e">
        <f t="shared" si="209"/>
        <v>#VALUE!</v>
      </c>
      <c r="LL144" s="112">
        <f>Foglio7tiGiuEc1!GF87</f>
        <v>0</v>
      </c>
      <c r="LM144" s="308">
        <f t="shared" si="190"/>
        <v>100000</v>
      </c>
      <c r="LO144">
        <f t="shared" si="210"/>
        <v>106</v>
      </c>
      <c r="LP144" s="308">
        <f t="shared" ca="1" si="191"/>
        <v>100000</v>
      </c>
      <c r="LS144" s="263">
        <f t="shared" si="192"/>
        <v>106</v>
      </c>
      <c r="LT144" s="308">
        <f t="shared" ca="1" si="193"/>
        <v>100000</v>
      </c>
      <c r="LW144" s="308">
        <f t="shared" ca="1" si="194"/>
        <v>100000</v>
      </c>
      <c r="LZ144" s="308">
        <f t="shared" ca="1" si="195"/>
        <v>100000</v>
      </c>
      <c r="MC144" s="308">
        <f t="shared" ca="1" si="196"/>
        <v>100000</v>
      </c>
      <c r="ME144" s="308" t="str">
        <f t="shared" ca="1" si="197"/>
        <v/>
      </c>
      <c r="MF144" s="308" t="str">
        <f t="shared" ca="1" si="198"/>
        <v/>
      </c>
      <c r="MG144" s="263" t="str">
        <f ca="1">IF(ME144&lt;&gt;"",VLOOKUP(ME144,Foglio7ti!$GF$40:$GS$84,14),"")</f>
        <v/>
      </c>
    </row>
    <row r="145" spans="5:345" x14ac:dyDescent="0.25">
      <c r="E145" s="240" t="str">
        <f>Foglio3!F125</f>
        <v/>
      </c>
      <c r="F145" s="240" t="str">
        <f>Foglio3!G125</f>
        <v/>
      </c>
      <c r="DU145" s="112"/>
      <c r="DV145" s="112"/>
      <c r="EY145" s="238"/>
      <c r="HX145" s="253" t="s">
        <v>187</v>
      </c>
      <c r="HY145" s="112" t="e">
        <f t="shared" si="204"/>
        <v>#VALUE!</v>
      </c>
      <c r="HZ145" t="s">
        <v>188</v>
      </c>
      <c r="IA145" s="112" t="e">
        <f t="shared" si="205"/>
        <v>#VALUE!</v>
      </c>
      <c r="IB145" t="s">
        <v>189</v>
      </c>
      <c r="IC145">
        <f t="shared" si="206"/>
        <v>0</v>
      </c>
      <c r="ID145" t="s">
        <v>192</v>
      </c>
      <c r="IE145">
        <f t="shared" si="207"/>
        <v>0</v>
      </c>
      <c r="IF145" t="s">
        <v>191</v>
      </c>
      <c r="IG145" s="254">
        <f t="shared" si="208"/>
        <v>0</v>
      </c>
      <c r="IL145" t="e">
        <f t="shared" si="209"/>
        <v>#VALUE!</v>
      </c>
      <c r="LL145" s="112">
        <f>Foglio7tiGiuEc1!GF88</f>
        <v>0</v>
      </c>
      <c r="LM145" s="308">
        <f t="shared" si="190"/>
        <v>100000</v>
      </c>
      <c r="LO145">
        <f t="shared" si="210"/>
        <v>107</v>
      </c>
      <c r="LP145" s="308">
        <f t="shared" ca="1" si="191"/>
        <v>100000</v>
      </c>
      <c r="LS145" s="263">
        <f t="shared" si="192"/>
        <v>107</v>
      </c>
      <c r="LT145" s="308">
        <f t="shared" ca="1" si="193"/>
        <v>100000</v>
      </c>
      <c r="LW145" s="308">
        <f t="shared" ca="1" si="194"/>
        <v>100000</v>
      </c>
      <c r="LZ145" s="308">
        <f t="shared" ca="1" si="195"/>
        <v>100000</v>
      </c>
      <c r="MC145" s="308">
        <f t="shared" ca="1" si="196"/>
        <v>100000</v>
      </c>
      <c r="ME145" s="308" t="str">
        <f t="shared" ca="1" si="197"/>
        <v/>
      </c>
      <c r="MF145" s="308" t="str">
        <f t="shared" ca="1" si="198"/>
        <v/>
      </c>
      <c r="MG145" s="263" t="str">
        <f ca="1">IF(ME145&lt;&gt;"",VLOOKUP(ME145,Foglio7ti!$GF$40:$GS$84,14),"")</f>
        <v/>
      </c>
    </row>
    <row r="146" spans="5:345" x14ac:dyDescent="0.25">
      <c r="E146" s="240" t="str">
        <f>Foglio3!F126</f>
        <v/>
      </c>
      <c r="F146" s="240" t="str">
        <f>Foglio3!G126</f>
        <v/>
      </c>
      <c r="DU146" s="112"/>
      <c r="DV146" s="112"/>
      <c r="EY146" s="238"/>
      <c r="HX146" s="253" t="s">
        <v>187</v>
      </c>
      <c r="HY146" s="112" t="e">
        <f t="shared" si="204"/>
        <v>#VALUE!</v>
      </c>
      <c r="HZ146" t="s">
        <v>188</v>
      </c>
      <c r="IA146" s="112" t="e">
        <f t="shared" si="205"/>
        <v>#VALUE!</v>
      </c>
      <c r="IB146" t="s">
        <v>189</v>
      </c>
      <c r="IC146">
        <f t="shared" si="206"/>
        <v>0</v>
      </c>
      <c r="ID146" t="s">
        <v>192</v>
      </c>
      <c r="IE146">
        <f t="shared" si="207"/>
        <v>0</v>
      </c>
      <c r="IF146" t="s">
        <v>191</v>
      </c>
      <c r="IG146" s="254">
        <f t="shared" si="208"/>
        <v>0</v>
      </c>
      <c r="IL146" t="e">
        <f t="shared" si="209"/>
        <v>#VALUE!</v>
      </c>
      <c r="LL146" s="112">
        <f>Foglio7tiGiuEc1!GF89</f>
        <v>0</v>
      </c>
      <c r="LM146" s="308">
        <f t="shared" si="190"/>
        <v>100000</v>
      </c>
      <c r="LO146">
        <f t="shared" si="210"/>
        <v>108</v>
      </c>
      <c r="LP146" s="308">
        <f t="shared" ca="1" si="191"/>
        <v>100000</v>
      </c>
      <c r="LS146" s="263">
        <f t="shared" si="192"/>
        <v>108</v>
      </c>
      <c r="LT146" s="308">
        <f t="shared" ca="1" si="193"/>
        <v>100000</v>
      </c>
      <c r="LW146" s="308">
        <f t="shared" ca="1" si="194"/>
        <v>100000</v>
      </c>
      <c r="LZ146" s="308">
        <f t="shared" ca="1" si="195"/>
        <v>100000</v>
      </c>
      <c r="MC146" s="308">
        <f t="shared" ca="1" si="196"/>
        <v>100000</v>
      </c>
      <c r="ME146" s="308" t="str">
        <f t="shared" ca="1" si="197"/>
        <v/>
      </c>
      <c r="MF146" s="308" t="str">
        <f t="shared" ca="1" si="198"/>
        <v/>
      </c>
      <c r="MG146" s="263" t="str">
        <f ca="1">IF(ME146&lt;&gt;"",VLOOKUP(ME146,Foglio7ti!$GF$40:$GS$84,14),"")</f>
        <v/>
      </c>
    </row>
    <row r="147" spans="5:345" x14ac:dyDescent="0.25">
      <c r="E147" s="240" t="str">
        <f>Foglio3!F127</f>
        <v/>
      </c>
      <c r="F147" s="240" t="str">
        <f>Foglio3!G127</f>
        <v/>
      </c>
      <c r="DU147" s="112"/>
      <c r="DV147" s="112"/>
      <c r="EY147" s="238"/>
      <c r="HX147" s="253" t="s">
        <v>187</v>
      </c>
      <c r="HY147" s="112" t="e">
        <f t="shared" si="204"/>
        <v>#VALUE!</v>
      </c>
      <c r="HZ147" t="s">
        <v>188</v>
      </c>
      <c r="IA147" s="112" t="e">
        <f t="shared" si="205"/>
        <v>#VALUE!</v>
      </c>
      <c r="IB147" t="s">
        <v>189</v>
      </c>
      <c r="IC147">
        <f t="shared" si="206"/>
        <v>0</v>
      </c>
      <c r="ID147" t="s">
        <v>192</v>
      </c>
      <c r="IE147">
        <f t="shared" si="207"/>
        <v>0</v>
      </c>
      <c r="IF147" t="s">
        <v>191</v>
      </c>
      <c r="IG147" s="254">
        <f t="shared" si="208"/>
        <v>0</v>
      </c>
      <c r="IL147" t="e">
        <f t="shared" si="209"/>
        <v>#VALUE!</v>
      </c>
      <c r="LL147" s="112">
        <f>Foglio7tiGiuEc1!GF90</f>
        <v>0</v>
      </c>
      <c r="LM147" s="308">
        <f t="shared" si="190"/>
        <v>100000</v>
      </c>
      <c r="LO147">
        <f t="shared" si="210"/>
        <v>109</v>
      </c>
      <c r="LP147" s="308">
        <f t="shared" ca="1" si="191"/>
        <v>100000</v>
      </c>
      <c r="LS147" s="263">
        <f t="shared" si="192"/>
        <v>109</v>
      </c>
      <c r="LT147" s="308">
        <f t="shared" ca="1" si="193"/>
        <v>100000</v>
      </c>
      <c r="LW147" s="308">
        <f t="shared" ca="1" si="194"/>
        <v>100000</v>
      </c>
      <c r="LZ147" s="308">
        <f t="shared" ca="1" si="195"/>
        <v>100000</v>
      </c>
      <c r="MC147" s="308">
        <f t="shared" ca="1" si="196"/>
        <v>100000</v>
      </c>
      <c r="ME147" s="308" t="str">
        <f t="shared" ca="1" si="197"/>
        <v/>
      </c>
      <c r="MF147" s="308" t="str">
        <f t="shared" ca="1" si="198"/>
        <v/>
      </c>
      <c r="MG147" s="263" t="str">
        <f ca="1">IF(ME147&lt;&gt;"",VLOOKUP(ME147,Foglio7ti!$GF$40:$GS$84,14),"")</f>
        <v/>
      </c>
    </row>
    <row r="148" spans="5:345" x14ac:dyDescent="0.25">
      <c r="E148" s="240" t="str">
        <f>Foglio3!F128</f>
        <v/>
      </c>
      <c r="F148" s="240" t="str">
        <f>Foglio3!G128</f>
        <v/>
      </c>
      <c r="DU148" s="112"/>
      <c r="DV148" s="112"/>
      <c r="EY148" s="238"/>
      <c r="HX148" s="253" t="s">
        <v>187</v>
      </c>
      <c r="HY148" s="112" t="e">
        <f t="shared" si="204"/>
        <v>#VALUE!</v>
      </c>
      <c r="HZ148" t="s">
        <v>188</v>
      </c>
      <c r="IA148" s="112" t="e">
        <f t="shared" si="205"/>
        <v>#VALUE!</v>
      </c>
      <c r="IB148" t="s">
        <v>189</v>
      </c>
      <c r="IC148">
        <f t="shared" si="206"/>
        <v>0</v>
      </c>
      <c r="ID148" t="s">
        <v>192</v>
      </c>
      <c r="IE148">
        <f t="shared" si="207"/>
        <v>0</v>
      </c>
      <c r="IF148" t="s">
        <v>191</v>
      </c>
      <c r="IG148" s="254">
        <f t="shared" si="208"/>
        <v>0</v>
      </c>
      <c r="IL148" t="e">
        <f t="shared" si="209"/>
        <v>#VALUE!</v>
      </c>
      <c r="LL148" s="112">
        <f>Foglio7tiGiuEc1!GF91</f>
        <v>0</v>
      </c>
      <c r="LM148" s="308">
        <f t="shared" si="190"/>
        <v>100000</v>
      </c>
      <c r="LO148">
        <f t="shared" si="210"/>
        <v>110</v>
      </c>
      <c r="LP148" s="308">
        <f t="shared" ca="1" si="191"/>
        <v>100000</v>
      </c>
      <c r="LS148" s="263">
        <f t="shared" si="192"/>
        <v>110</v>
      </c>
      <c r="LT148" s="308">
        <f t="shared" ca="1" si="193"/>
        <v>100000</v>
      </c>
      <c r="LW148" s="308">
        <f t="shared" ca="1" si="194"/>
        <v>100000</v>
      </c>
      <c r="LZ148" s="308">
        <f t="shared" ca="1" si="195"/>
        <v>100000</v>
      </c>
      <c r="MC148" s="308">
        <f t="shared" ca="1" si="196"/>
        <v>100000</v>
      </c>
      <c r="ME148" s="308" t="str">
        <f t="shared" ca="1" si="197"/>
        <v/>
      </c>
      <c r="MF148" s="308" t="str">
        <f t="shared" ca="1" si="198"/>
        <v/>
      </c>
      <c r="MG148" s="263" t="str">
        <f ca="1">IF(ME148&lt;&gt;"",VLOOKUP(ME148,Foglio7ti!$GF$40:$GS$84,14),"")</f>
        <v/>
      </c>
    </row>
    <row r="149" spans="5:345" x14ac:dyDescent="0.25">
      <c r="E149" s="240" t="str">
        <f>Foglio3!F129</f>
        <v/>
      </c>
      <c r="F149" s="240" t="str">
        <f>Foglio3!G129</f>
        <v/>
      </c>
      <c r="DU149" s="112"/>
      <c r="DV149" s="112"/>
      <c r="EY149" s="238"/>
      <c r="HX149" s="253" t="s">
        <v>187</v>
      </c>
      <c r="HY149" s="112" t="e">
        <f t="shared" si="204"/>
        <v>#VALUE!</v>
      </c>
      <c r="HZ149" t="s">
        <v>188</v>
      </c>
      <c r="IA149" s="112" t="e">
        <f t="shared" si="205"/>
        <v>#VALUE!</v>
      </c>
      <c r="IB149" t="s">
        <v>189</v>
      </c>
      <c r="IC149">
        <f t="shared" si="206"/>
        <v>0</v>
      </c>
      <c r="ID149" t="s">
        <v>192</v>
      </c>
      <c r="IE149">
        <f t="shared" si="207"/>
        <v>0</v>
      </c>
      <c r="IF149" t="s">
        <v>191</v>
      </c>
      <c r="IG149" s="254">
        <f t="shared" si="208"/>
        <v>0</v>
      </c>
      <c r="IL149" t="e">
        <f t="shared" si="209"/>
        <v>#VALUE!</v>
      </c>
      <c r="LL149" s="112">
        <f>Foglio7tiGiuEc1!GF92</f>
        <v>0</v>
      </c>
      <c r="LM149" s="308">
        <f t="shared" si="190"/>
        <v>100000</v>
      </c>
      <c r="LO149">
        <f t="shared" si="210"/>
        <v>111</v>
      </c>
      <c r="LP149" s="308">
        <f t="shared" ca="1" si="191"/>
        <v>100000</v>
      </c>
      <c r="LS149" s="263">
        <f t="shared" si="192"/>
        <v>111</v>
      </c>
      <c r="LT149" s="308">
        <f t="shared" ca="1" si="193"/>
        <v>100000</v>
      </c>
      <c r="LW149" s="308">
        <f t="shared" ca="1" si="194"/>
        <v>100000</v>
      </c>
      <c r="LZ149" s="308">
        <f t="shared" ca="1" si="195"/>
        <v>100000</v>
      </c>
      <c r="MC149" s="308">
        <f t="shared" ca="1" si="196"/>
        <v>100000</v>
      </c>
      <c r="ME149" s="308" t="str">
        <f t="shared" ca="1" si="197"/>
        <v/>
      </c>
      <c r="MF149" s="308" t="str">
        <f t="shared" ca="1" si="198"/>
        <v/>
      </c>
      <c r="MG149" s="263" t="str">
        <f ca="1">IF(ME149&lt;&gt;"",VLOOKUP(ME149,Foglio7ti!$GF$40:$GS$84,14),"")</f>
        <v/>
      </c>
    </row>
    <row r="150" spans="5:345" x14ac:dyDescent="0.25">
      <c r="E150" s="240" t="str">
        <f>Foglio3!F130</f>
        <v/>
      </c>
      <c r="F150" s="240" t="str">
        <f>Foglio3!G130</f>
        <v/>
      </c>
      <c r="DU150" s="112"/>
      <c r="DV150" s="112"/>
      <c r="EY150" s="238"/>
      <c r="HX150" s="253" t="s">
        <v>187</v>
      </c>
      <c r="HY150" s="112" t="e">
        <f t="shared" si="204"/>
        <v>#VALUE!</v>
      </c>
      <c r="HZ150" t="s">
        <v>188</v>
      </c>
      <c r="IA150" s="112" t="e">
        <f t="shared" si="205"/>
        <v>#VALUE!</v>
      </c>
      <c r="IB150" t="s">
        <v>189</v>
      </c>
      <c r="IC150">
        <f t="shared" si="206"/>
        <v>0</v>
      </c>
      <c r="ID150" t="s">
        <v>192</v>
      </c>
      <c r="IE150">
        <f t="shared" si="207"/>
        <v>0</v>
      </c>
      <c r="IF150" t="s">
        <v>191</v>
      </c>
      <c r="IG150" s="254">
        <f t="shared" si="208"/>
        <v>0</v>
      </c>
      <c r="IL150" t="e">
        <f t="shared" si="209"/>
        <v>#VALUE!</v>
      </c>
      <c r="LL150" s="112">
        <f>Foglio7tiGiuEc1!GF93</f>
        <v>0</v>
      </c>
      <c r="LM150" s="308">
        <f t="shared" si="190"/>
        <v>100000</v>
      </c>
      <c r="LO150">
        <f t="shared" si="210"/>
        <v>112</v>
      </c>
      <c r="LP150" s="308">
        <f t="shared" ca="1" si="191"/>
        <v>100000</v>
      </c>
      <c r="LS150" s="263">
        <f t="shared" si="192"/>
        <v>112</v>
      </c>
      <c r="LT150" s="308">
        <f t="shared" ca="1" si="193"/>
        <v>100000</v>
      </c>
      <c r="LW150" s="308">
        <f t="shared" ca="1" si="194"/>
        <v>100000</v>
      </c>
      <c r="LZ150" s="308">
        <f t="shared" ca="1" si="195"/>
        <v>100000</v>
      </c>
      <c r="MC150" s="308">
        <f t="shared" ca="1" si="196"/>
        <v>100000</v>
      </c>
      <c r="ME150" s="308" t="str">
        <f t="shared" ca="1" si="197"/>
        <v/>
      </c>
      <c r="MF150" s="308" t="str">
        <f t="shared" ca="1" si="198"/>
        <v/>
      </c>
      <c r="MG150" s="263" t="str">
        <f ca="1">IF(ME150&lt;&gt;"",VLOOKUP(ME150,Foglio7ti!$GF$40:$GS$84,14),"")</f>
        <v/>
      </c>
    </row>
    <row r="151" spans="5:345" x14ac:dyDescent="0.25">
      <c r="E151" s="240" t="str">
        <f>Foglio3!F131</f>
        <v/>
      </c>
      <c r="F151" s="240" t="str">
        <f>Foglio3!G131</f>
        <v/>
      </c>
      <c r="DU151" s="112"/>
      <c r="DV151" s="112"/>
      <c r="EY151" s="238"/>
      <c r="HX151" s="253" t="s">
        <v>187</v>
      </c>
      <c r="HY151" s="112" t="e">
        <f t="shared" si="204"/>
        <v>#VALUE!</v>
      </c>
      <c r="HZ151" t="s">
        <v>188</v>
      </c>
      <c r="IA151" s="112" t="e">
        <f t="shared" si="205"/>
        <v>#VALUE!</v>
      </c>
      <c r="IB151" t="s">
        <v>189</v>
      </c>
      <c r="IC151">
        <f t="shared" si="206"/>
        <v>0</v>
      </c>
      <c r="ID151" t="s">
        <v>192</v>
      </c>
      <c r="IE151">
        <f t="shared" si="207"/>
        <v>0</v>
      </c>
      <c r="IF151" t="s">
        <v>191</v>
      </c>
      <c r="IG151" s="254">
        <f t="shared" si="208"/>
        <v>0</v>
      </c>
      <c r="IL151" t="e">
        <f t="shared" si="209"/>
        <v>#VALUE!</v>
      </c>
      <c r="LL151" s="112">
        <f>Foglio7tiGiuEc1!GF94</f>
        <v>0</v>
      </c>
      <c r="LM151" s="308">
        <f t="shared" si="190"/>
        <v>100000</v>
      </c>
      <c r="LO151">
        <f t="shared" si="210"/>
        <v>113</v>
      </c>
      <c r="LP151" s="308">
        <f t="shared" ca="1" si="191"/>
        <v>100000</v>
      </c>
      <c r="LS151" s="263">
        <f t="shared" si="192"/>
        <v>113</v>
      </c>
      <c r="LT151" s="308">
        <f t="shared" ca="1" si="193"/>
        <v>100000</v>
      </c>
      <c r="LW151" s="308">
        <f t="shared" ca="1" si="194"/>
        <v>100000</v>
      </c>
      <c r="LZ151" s="308">
        <f t="shared" ca="1" si="195"/>
        <v>100000</v>
      </c>
      <c r="MC151" s="308">
        <f t="shared" ca="1" si="196"/>
        <v>100000</v>
      </c>
      <c r="ME151" s="308" t="str">
        <f t="shared" ca="1" si="197"/>
        <v/>
      </c>
      <c r="MF151" s="308" t="str">
        <f t="shared" ca="1" si="198"/>
        <v/>
      </c>
      <c r="MG151" s="263" t="str">
        <f ca="1">IF(ME151&lt;&gt;"",VLOOKUP(ME151,Foglio7ti!$GF$40:$GS$84,14),"")</f>
        <v/>
      </c>
    </row>
    <row r="152" spans="5:345" x14ac:dyDescent="0.25">
      <c r="E152" s="240" t="str">
        <f>Foglio3!F132</f>
        <v/>
      </c>
      <c r="F152" s="240" t="str">
        <f>Foglio3!G132</f>
        <v/>
      </c>
      <c r="DU152" s="112"/>
      <c r="DV152" s="112"/>
      <c r="EY152" s="238"/>
      <c r="HX152" s="253" t="s">
        <v>187</v>
      </c>
      <c r="HY152" s="112" t="e">
        <f t="shared" si="204"/>
        <v>#VALUE!</v>
      </c>
      <c r="HZ152" t="s">
        <v>188</v>
      </c>
      <c r="IA152" s="112" t="e">
        <f t="shared" si="205"/>
        <v>#VALUE!</v>
      </c>
      <c r="IB152" t="s">
        <v>189</v>
      </c>
      <c r="IC152">
        <f t="shared" si="206"/>
        <v>0</v>
      </c>
      <c r="ID152" t="s">
        <v>192</v>
      </c>
      <c r="IE152">
        <f t="shared" si="207"/>
        <v>0</v>
      </c>
      <c r="IF152" t="s">
        <v>191</v>
      </c>
      <c r="IG152" s="254">
        <f t="shared" si="208"/>
        <v>0</v>
      </c>
      <c r="IL152" t="e">
        <f t="shared" si="209"/>
        <v>#VALUE!</v>
      </c>
      <c r="LL152" s="112">
        <f>Foglio7tiGiuEc1!GF95</f>
        <v>0</v>
      </c>
      <c r="LM152" s="308">
        <f t="shared" si="190"/>
        <v>100000</v>
      </c>
      <c r="LO152">
        <f t="shared" si="210"/>
        <v>114</v>
      </c>
      <c r="LP152" s="308">
        <f t="shared" ca="1" si="191"/>
        <v>100000</v>
      </c>
      <c r="LS152" s="263">
        <f t="shared" si="192"/>
        <v>114</v>
      </c>
      <c r="LT152" s="308">
        <f t="shared" ca="1" si="193"/>
        <v>100000</v>
      </c>
      <c r="LW152" s="308">
        <f t="shared" ca="1" si="194"/>
        <v>100000</v>
      </c>
      <c r="LZ152" s="308">
        <f t="shared" ca="1" si="195"/>
        <v>100000</v>
      </c>
      <c r="MC152" s="308">
        <f t="shared" ca="1" si="196"/>
        <v>100000</v>
      </c>
      <c r="ME152" s="308" t="str">
        <f t="shared" ca="1" si="197"/>
        <v/>
      </c>
      <c r="MF152" s="308" t="str">
        <f t="shared" ca="1" si="198"/>
        <v/>
      </c>
      <c r="MG152" s="263" t="str">
        <f ca="1">IF(ME152&lt;&gt;"",VLOOKUP(ME152,Foglio7ti!$GF$40:$GS$84,14),"")</f>
        <v/>
      </c>
    </row>
    <row r="153" spans="5:345" x14ac:dyDescent="0.25">
      <c r="E153" s="240" t="str">
        <f>Foglio3!F133</f>
        <v/>
      </c>
      <c r="F153" s="240" t="str">
        <f>Foglio3!G133</f>
        <v/>
      </c>
      <c r="DU153" s="112"/>
      <c r="DV153" s="112"/>
      <c r="EY153" s="238"/>
      <c r="HX153" s="253" t="s">
        <v>187</v>
      </c>
      <c r="HY153" s="112" t="e">
        <f t="shared" si="204"/>
        <v>#VALUE!</v>
      </c>
      <c r="HZ153" t="s">
        <v>188</v>
      </c>
      <c r="IA153" s="112" t="e">
        <f t="shared" si="205"/>
        <v>#VALUE!</v>
      </c>
      <c r="IB153" t="s">
        <v>189</v>
      </c>
      <c r="IC153">
        <f t="shared" si="206"/>
        <v>0</v>
      </c>
      <c r="ID153" t="s">
        <v>192</v>
      </c>
      <c r="IE153">
        <f t="shared" si="207"/>
        <v>0</v>
      </c>
      <c r="IF153" t="s">
        <v>191</v>
      </c>
      <c r="IG153" s="254">
        <f t="shared" si="208"/>
        <v>0</v>
      </c>
      <c r="IL153" t="e">
        <f t="shared" si="209"/>
        <v>#VALUE!</v>
      </c>
      <c r="LL153" s="112">
        <f>Foglio7tiGiuEc1!GF96</f>
        <v>0</v>
      </c>
      <c r="LM153" s="308">
        <f t="shared" si="190"/>
        <v>100000</v>
      </c>
      <c r="LO153">
        <f t="shared" si="210"/>
        <v>115</v>
      </c>
      <c r="LP153" s="308">
        <f t="shared" ca="1" si="191"/>
        <v>100000</v>
      </c>
      <c r="LS153" s="263">
        <f t="shared" si="192"/>
        <v>115</v>
      </c>
      <c r="LT153" s="308">
        <f t="shared" ca="1" si="193"/>
        <v>100000</v>
      </c>
      <c r="LW153" s="308">
        <f t="shared" ca="1" si="194"/>
        <v>100000</v>
      </c>
      <c r="LZ153" s="308">
        <f t="shared" ca="1" si="195"/>
        <v>100000</v>
      </c>
      <c r="MC153" s="308">
        <f t="shared" ca="1" si="196"/>
        <v>100000</v>
      </c>
      <c r="ME153" s="308" t="str">
        <f t="shared" ca="1" si="197"/>
        <v/>
      </c>
      <c r="MF153" s="308" t="str">
        <f t="shared" ca="1" si="198"/>
        <v/>
      </c>
      <c r="MG153" s="263" t="str">
        <f ca="1">IF(ME153&lt;&gt;"",VLOOKUP(ME153,Foglio7ti!$GF$40:$GS$84,14),"")</f>
        <v/>
      </c>
    </row>
    <row r="154" spans="5:345" x14ac:dyDescent="0.25">
      <c r="E154" s="240" t="str">
        <f>Foglio3!F134</f>
        <v/>
      </c>
      <c r="F154" s="240" t="str">
        <f>Foglio3!G134</f>
        <v/>
      </c>
      <c r="DU154" s="112"/>
      <c r="DV154" s="112"/>
      <c r="EY154" s="238"/>
      <c r="HX154" s="253" t="s">
        <v>187</v>
      </c>
      <c r="HY154" s="112" t="e">
        <f t="shared" si="204"/>
        <v>#VALUE!</v>
      </c>
      <c r="HZ154" t="s">
        <v>188</v>
      </c>
      <c r="IA154" s="112" t="e">
        <f t="shared" si="205"/>
        <v>#VALUE!</v>
      </c>
      <c r="IB154" t="s">
        <v>189</v>
      </c>
      <c r="IC154">
        <f t="shared" si="206"/>
        <v>0</v>
      </c>
      <c r="ID154" t="s">
        <v>192</v>
      </c>
      <c r="IE154">
        <f t="shared" si="207"/>
        <v>0</v>
      </c>
      <c r="IF154" t="s">
        <v>191</v>
      </c>
      <c r="IG154" s="254">
        <f t="shared" si="208"/>
        <v>0</v>
      </c>
      <c r="IL154" t="e">
        <f t="shared" si="209"/>
        <v>#VALUE!</v>
      </c>
      <c r="LL154" s="112">
        <f>Foglio7tiGiuEc1!GF97</f>
        <v>0</v>
      </c>
      <c r="LM154" s="308">
        <f t="shared" si="190"/>
        <v>100000</v>
      </c>
      <c r="LO154">
        <f t="shared" si="210"/>
        <v>116</v>
      </c>
      <c r="LP154" s="308">
        <f t="shared" ca="1" si="191"/>
        <v>100000</v>
      </c>
      <c r="LS154" s="263">
        <f t="shared" si="192"/>
        <v>116</v>
      </c>
      <c r="LT154" s="308">
        <f t="shared" ca="1" si="193"/>
        <v>100000</v>
      </c>
      <c r="LW154" s="308">
        <f t="shared" ca="1" si="194"/>
        <v>100000</v>
      </c>
      <c r="LZ154" s="308">
        <f t="shared" ca="1" si="195"/>
        <v>100000</v>
      </c>
      <c r="MC154" s="308">
        <f t="shared" ca="1" si="196"/>
        <v>100000</v>
      </c>
      <c r="ME154" s="308" t="str">
        <f t="shared" ca="1" si="197"/>
        <v/>
      </c>
      <c r="MF154" s="308" t="str">
        <f t="shared" ca="1" si="198"/>
        <v/>
      </c>
      <c r="MG154" s="263" t="str">
        <f ca="1">IF(ME154&lt;&gt;"",VLOOKUP(ME154,Foglio7ti!$GF$40:$GS$84,14),"")</f>
        <v/>
      </c>
    </row>
    <row r="155" spans="5:345" x14ac:dyDescent="0.25">
      <c r="E155" s="240" t="str">
        <f>Foglio3!F135</f>
        <v/>
      </c>
      <c r="F155" s="240" t="str">
        <f>Foglio3!G135</f>
        <v/>
      </c>
      <c r="DU155" s="112"/>
      <c r="DV155" s="112"/>
      <c r="EY155" s="238"/>
      <c r="HX155" s="253" t="s">
        <v>187</v>
      </c>
      <c r="HY155" s="112" t="e">
        <f t="shared" si="204"/>
        <v>#VALUE!</v>
      </c>
      <c r="HZ155" t="s">
        <v>188</v>
      </c>
      <c r="IA155" s="112" t="e">
        <f t="shared" si="205"/>
        <v>#VALUE!</v>
      </c>
      <c r="IB155" t="s">
        <v>189</v>
      </c>
      <c r="IC155">
        <f t="shared" si="206"/>
        <v>0</v>
      </c>
      <c r="ID155" t="s">
        <v>192</v>
      </c>
      <c r="IE155">
        <f t="shared" si="207"/>
        <v>0</v>
      </c>
      <c r="IF155" t="s">
        <v>191</v>
      </c>
      <c r="IG155" s="254">
        <f t="shared" si="208"/>
        <v>0</v>
      </c>
      <c r="IL155" t="e">
        <f t="shared" si="209"/>
        <v>#VALUE!</v>
      </c>
      <c r="LL155" s="112">
        <f>Foglio7tiGiuEc1!GF98</f>
        <v>0</v>
      </c>
      <c r="LM155" s="308">
        <f t="shared" si="190"/>
        <v>100000</v>
      </c>
      <c r="LO155">
        <f t="shared" si="210"/>
        <v>117</v>
      </c>
      <c r="LP155" s="308">
        <f t="shared" ca="1" si="191"/>
        <v>100000</v>
      </c>
      <c r="LS155" s="263">
        <f t="shared" si="192"/>
        <v>117</v>
      </c>
      <c r="LT155" s="308">
        <f t="shared" ca="1" si="193"/>
        <v>100000</v>
      </c>
      <c r="LW155" s="308">
        <f t="shared" ca="1" si="194"/>
        <v>100000</v>
      </c>
      <c r="LZ155" s="308">
        <f t="shared" ca="1" si="195"/>
        <v>100000</v>
      </c>
      <c r="MC155" s="308">
        <f t="shared" ca="1" si="196"/>
        <v>100000</v>
      </c>
      <c r="ME155" s="308" t="str">
        <f t="shared" ca="1" si="197"/>
        <v/>
      </c>
      <c r="MF155" s="308" t="str">
        <f t="shared" ca="1" si="198"/>
        <v/>
      </c>
      <c r="MG155" s="263" t="str">
        <f ca="1">IF(ME155&lt;&gt;"",VLOOKUP(ME155,Foglio7ti!$GF$40:$GS$84,14),"")</f>
        <v/>
      </c>
    </row>
    <row r="156" spans="5:345" x14ac:dyDescent="0.25">
      <c r="E156" s="240" t="str">
        <f>Foglio3!F136</f>
        <v/>
      </c>
      <c r="F156" s="240" t="str">
        <f>Foglio3!G136</f>
        <v/>
      </c>
      <c r="DU156" s="112"/>
      <c r="DV156" s="112"/>
      <c r="EY156" s="238"/>
      <c r="HX156" s="253" t="s">
        <v>187</v>
      </c>
      <c r="HY156" s="112" t="e">
        <f t="shared" si="204"/>
        <v>#VALUE!</v>
      </c>
      <c r="HZ156" t="s">
        <v>188</v>
      </c>
      <c r="IA156" s="112" t="e">
        <f t="shared" si="205"/>
        <v>#VALUE!</v>
      </c>
      <c r="IB156" t="s">
        <v>189</v>
      </c>
      <c r="IC156">
        <f t="shared" si="206"/>
        <v>0</v>
      </c>
      <c r="ID156" t="s">
        <v>192</v>
      </c>
      <c r="IE156">
        <f t="shared" si="207"/>
        <v>0</v>
      </c>
      <c r="IF156" t="s">
        <v>191</v>
      </c>
      <c r="IG156" s="254">
        <f t="shared" si="208"/>
        <v>0</v>
      </c>
      <c r="IL156" t="e">
        <f t="shared" si="209"/>
        <v>#VALUE!</v>
      </c>
      <c r="LL156" s="112">
        <f>Foglio7tiGiuEc1!GF99</f>
        <v>0</v>
      </c>
      <c r="LM156" s="308">
        <f t="shared" si="190"/>
        <v>100000</v>
      </c>
      <c r="LO156">
        <f t="shared" si="210"/>
        <v>118</v>
      </c>
      <c r="LP156" s="308">
        <f t="shared" ca="1" si="191"/>
        <v>100000</v>
      </c>
      <c r="LS156" s="263">
        <f t="shared" si="192"/>
        <v>118</v>
      </c>
      <c r="LT156" s="308">
        <f t="shared" ca="1" si="193"/>
        <v>100000</v>
      </c>
      <c r="LW156" s="308">
        <f t="shared" ca="1" si="194"/>
        <v>100000</v>
      </c>
      <c r="LZ156" s="308">
        <f t="shared" ca="1" si="195"/>
        <v>100000</v>
      </c>
      <c r="MC156" s="308">
        <f t="shared" ca="1" si="196"/>
        <v>100000</v>
      </c>
      <c r="ME156" s="308" t="str">
        <f t="shared" ca="1" si="197"/>
        <v/>
      </c>
      <c r="MF156" s="308" t="str">
        <f t="shared" ca="1" si="198"/>
        <v/>
      </c>
      <c r="MG156" s="263" t="str">
        <f ca="1">IF(ME156&lt;&gt;"",VLOOKUP(ME156,Foglio7ti!$GF$40:$GS$84,14),"")</f>
        <v/>
      </c>
    </row>
    <row r="157" spans="5:345" x14ac:dyDescent="0.25">
      <c r="E157" s="240" t="str">
        <f>Foglio3!F137</f>
        <v/>
      </c>
      <c r="F157" s="240" t="str">
        <f>Foglio3!G137</f>
        <v/>
      </c>
      <c r="DU157" s="112"/>
      <c r="DV157" s="112"/>
      <c r="EY157" s="238"/>
      <c r="HX157" s="253" t="s">
        <v>187</v>
      </c>
      <c r="HY157" s="112" t="e">
        <f t="shared" si="204"/>
        <v>#VALUE!</v>
      </c>
      <c r="HZ157" t="s">
        <v>188</v>
      </c>
      <c r="IA157" s="112" t="e">
        <f t="shared" si="205"/>
        <v>#VALUE!</v>
      </c>
      <c r="IB157" t="s">
        <v>189</v>
      </c>
      <c r="IC157">
        <f t="shared" si="206"/>
        <v>0</v>
      </c>
      <c r="ID157" t="s">
        <v>192</v>
      </c>
      <c r="IE157">
        <f t="shared" si="207"/>
        <v>0</v>
      </c>
      <c r="IF157" t="s">
        <v>191</v>
      </c>
      <c r="IG157" s="254">
        <f t="shared" si="208"/>
        <v>0</v>
      </c>
      <c r="IL157" t="e">
        <f t="shared" si="209"/>
        <v>#VALUE!</v>
      </c>
      <c r="LL157" s="112">
        <f>Foglio7tiGiuEc1!GF100</f>
        <v>0</v>
      </c>
      <c r="LM157" s="308">
        <f t="shared" si="190"/>
        <v>100000</v>
      </c>
      <c r="LO157">
        <f t="shared" si="210"/>
        <v>119</v>
      </c>
      <c r="LP157" s="308">
        <f t="shared" ca="1" si="191"/>
        <v>100000</v>
      </c>
      <c r="LS157" s="263">
        <f t="shared" si="192"/>
        <v>119</v>
      </c>
      <c r="LT157" s="308">
        <f t="shared" ca="1" si="193"/>
        <v>100000</v>
      </c>
      <c r="LW157" s="308">
        <f t="shared" ca="1" si="194"/>
        <v>100000</v>
      </c>
      <c r="LZ157" s="308">
        <f t="shared" ca="1" si="195"/>
        <v>100000</v>
      </c>
      <c r="MC157" s="308">
        <f t="shared" ca="1" si="196"/>
        <v>100000</v>
      </c>
      <c r="ME157" s="308" t="str">
        <f t="shared" ca="1" si="197"/>
        <v/>
      </c>
      <c r="MF157" s="308" t="str">
        <f t="shared" ca="1" si="198"/>
        <v/>
      </c>
      <c r="MG157" s="263" t="str">
        <f ca="1">IF(ME157&lt;&gt;"",VLOOKUP(ME157,Foglio7ti!$GF$40:$GS$84,14),"")</f>
        <v/>
      </c>
    </row>
    <row r="158" spans="5:345" x14ac:dyDescent="0.25">
      <c r="E158" s="240" t="str">
        <f>Foglio3!F138</f>
        <v/>
      </c>
      <c r="F158" s="240" t="str">
        <f>Foglio3!G138</f>
        <v/>
      </c>
      <c r="DU158" s="112"/>
      <c r="DV158" s="112"/>
      <c r="EY158" s="238"/>
      <c r="HX158" s="253" t="s">
        <v>187</v>
      </c>
      <c r="HY158" s="112" t="e">
        <f t="shared" si="204"/>
        <v>#VALUE!</v>
      </c>
      <c r="HZ158" t="s">
        <v>188</v>
      </c>
      <c r="IA158" s="112" t="e">
        <f t="shared" si="205"/>
        <v>#VALUE!</v>
      </c>
      <c r="IB158" t="s">
        <v>189</v>
      </c>
      <c r="IC158">
        <f t="shared" si="206"/>
        <v>0</v>
      </c>
      <c r="ID158" t="s">
        <v>192</v>
      </c>
      <c r="IE158">
        <f t="shared" si="207"/>
        <v>0</v>
      </c>
      <c r="IF158" t="s">
        <v>191</v>
      </c>
      <c r="IG158" s="254">
        <f t="shared" si="208"/>
        <v>0</v>
      </c>
      <c r="IL158" t="e">
        <f t="shared" si="209"/>
        <v>#VALUE!</v>
      </c>
      <c r="LL158" s="112">
        <f>Foglio7tiGiuEc1!GF101</f>
        <v>0</v>
      </c>
      <c r="LM158" s="308">
        <f t="shared" si="190"/>
        <v>100000</v>
      </c>
      <c r="LO158">
        <f t="shared" si="210"/>
        <v>120</v>
      </c>
      <c r="LP158" s="308">
        <f t="shared" ca="1" si="191"/>
        <v>100000</v>
      </c>
      <c r="LS158" s="263">
        <f t="shared" si="192"/>
        <v>120</v>
      </c>
      <c r="LT158" s="308">
        <f t="shared" ca="1" si="193"/>
        <v>100000</v>
      </c>
      <c r="LW158" s="308">
        <f t="shared" ca="1" si="194"/>
        <v>100000</v>
      </c>
      <c r="LZ158" s="308">
        <f t="shared" ca="1" si="195"/>
        <v>100000</v>
      </c>
      <c r="MC158" s="308">
        <f t="shared" ca="1" si="196"/>
        <v>100000</v>
      </c>
      <c r="ME158" s="308" t="str">
        <f t="shared" ca="1" si="197"/>
        <v/>
      </c>
      <c r="MF158" s="308" t="str">
        <f t="shared" ca="1" si="198"/>
        <v/>
      </c>
      <c r="MG158" s="263" t="str">
        <f ca="1">IF(ME158&lt;&gt;"",VLOOKUP(ME158,Foglio7ti!$GF$40:$GS$84,14),"")</f>
        <v/>
      </c>
    </row>
    <row r="159" spans="5:345" x14ac:dyDescent="0.25">
      <c r="E159" s="240" t="str">
        <f>Foglio3!F139</f>
        <v/>
      </c>
      <c r="F159" s="240" t="str">
        <f>Foglio3!G139</f>
        <v/>
      </c>
      <c r="DU159" s="112"/>
      <c r="DV159" s="112"/>
      <c r="EY159" s="238"/>
      <c r="HX159" s="253" t="s">
        <v>187</v>
      </c>
      <c r="HY159" s="112" t="e">
        <f t="shared" si="204"/>
        <v>#VALUE!</v>
      </c>
      <c r="HZ159" t="s">
        <v>188</v>
      </c>
      <c r="IA159" s="112" t="e">
        <f t="shared" si="205"/>
        <v>#VALUE!</v>
      </c>
      <c r="IB159" t="s">
        <v>189</v>
      </c>
      <c r="IC159">
        <f t="shared" si="206"/>
        <v>0</v>
      </c>
      <c r="ID159" t="s">
        <v>192</v>
      </c>
      <c r="IE159">
        <f t="shared" si="207"/>
        <v>0</v>
      </c>
      <c r="IF159" t="s">
        <v>191</v>
      </c>
      <c r="IG159" s="254">
        <f t="shared" si="208"/>
        <v>0</v>
      </c>
      <c r="IL159" t="e">
        <f t="shared" si="209"/>
        <v>#VALUE!</v>
      </c>
      <c r="LL159" s="112">
        <f>Foglio7tiGiuEc1!GF102</f>
        <v>0</v>
      </c>
      <c r="LM159" s="308">
        <f t="shared" si="190"/>
        <v>100000</v>
      </c>
      <c r="LO159">
        <f t="shared" si="210"/>
        <v>121</v>
      </c>
      <c r="LP159" s="308">
        <f t="shared" ca="1" si="191"/>
        <v>100000</v>
      </c>
      <c r="LS159" s="263">
        <f t="shared" si="192"/>
        <v>121</v>
      </c>
      <c r="LT159" s="308">
        <f t="shared" ca="1" si="193"/>
        <v>100000</v>
      </c>
      <c r="LW159" s="308">
        <f t="shared" ca="1" si="194"/>
        <v>100000</v>
      </c>
      <c r="LZ159" s="308">
        <f t="shared" ca="1" si="195"/>
        <v>100000</v>
      </c>
      <c r="MC159" s="308">
        <f t="shared" ca="1" si="196"/>
        <v>100000</v>
      </c>
      <c r="ME159" s="308" t="str">
        <f t="shared" ca="1" si="197"/>
        <v/>
      </c>
      <c r="MF159" s="308" t="str">
        <f t="shared" ca="1" si="198"/>
        <v/>
      </c>
    </row>
    <row r="160" spans="5:345" x14ac:dyDescent="0.25">
      <c r="E160" s="240" t="str">
        <f>Foglio3!F140</f>
        <v/>
      </c>
      <c r="F160" s="240" t="str">
        <f>Foglio3!G140</f>
        <v/>
      </c>
      <c r="DU160" s="112"/>
      <c r="DV160" s="112"/>
      <c r="EY160" s="238"/>
      <c r="HX160" s="253" t="s">
        <v>187</v>
      </c>
      <c r="HY160" s="112" t="e">
        <f t="shared" si="204"/>
        <v>#VALUE!</v>
      </c>
      <c r="HZ160" t="s">
        <v>188</v>
      </c>
      <c r="IA160" s="112" t="e">
        <f t="shared" si="205"/>
        <v>#VALUE!</v>
      </c>
      <c r="IB160" t="s">
        <v>189</v>
      </c>
      <c r="IC160">
        <f t="shared" si="206"/>
        <v>0</v>
      </c>
      <c r="ID160" t="s">
        <v>192</v>
      </c>
      <c r="IE160">
        <f t="shared" si="207"/>
        <v>0</v>
      </c>
      <c r="IF160" t="s">
        <v>191</v>
      </c>
      <c r="IG160" s="254">
        <f t="shared" si="208"/>
        <v>0</v>
      </c>
      <c r="IL160" t="e">
        <f t="shared" si="209"/>
        <v>#VALUE!</v>
      </c>
      <c r="IW160" t="e">
        <f>CONCATENATE(IL160,IL161,IL162,IL163,IL164,IL165,IL166,IL167,IL168,IL169,IL170,IL171,IL172,IL173,IL174,I665,IL176,IL177,IL178,IL179,)</f>
        <v>#VALUE!</v>
      </c>
      <c r="LL160" s="112">
        <f>Foglio7tiGiuEc1!GF103</f>
        <v>0</v>
      </c>
      <c r="LM160" s="308">
        <f t="shared" si="190"/>
        <v>100000</v>
      </c>
      <c r="LO160">
        <f t="shared" si="210"/>
        <v>122</v>
      </c>
      <c r="LP160" s="308">
        <f t="shared" ca="1" si="191"/>
        <v>100000</v>
      </c>
      <c r="LS160" s="263">
        <f t="shared" si="192"/>
        <v>122</v>
      </c>
      <c r="LT160" s="308">
        <f t="shared" ca="1" si="193"/>
        <v>100000</v>
      </c>
      <c r="LW160" s="308">
        <f t="shared" ca="1" si="194"/>
        <v>100000</v>
      </c>
      <c r="LZ160" s="308">
        <f t="shared" ca="1" si="195"/>
        <v>100000</v>
      </c>
      <c r="MC160" s="308">
        <f t="shared" ca="1" si="196"/>
        <v>100000</v>
      </c>
      <c r="ME160" s="308" t="str">
        <f t="shared" ca="1" si="197"/>
        <v/>
      </c>
      <c r="MF160" s="308" t="str">
        <f t="shared" ca="1" si="198"/>
        <v/>
      </c>
    </row>
    <row r="161" spans="5:344" x14ac:dyDescent="0.25">
      <c r="E161" s="240" t="str">
        <f>Foglio3!F141</f>
        <v/>
      </c>
      <c r="F161" s="240" t="str">
        <f>Foglio3!G141</f>
        <v/>
      </c>
      <c r="DU161" s="112"/>
      <c r="DV161" s="112"/>
      <c r="EY161" s="238"/>
      <c r="HX161" s="253" t="s">
        <v>187</v>
      </c>
      <c r="HY161" s="112" t="e">
        <f t="shared" si="204"/>
        <v>#VALUE!</v>
      </c>
      <c r="HZ161" t="s">
        <v>188</v>
      </c>
      <c r="IA161" s="112" t="e">
        <f t="shared" si="205"/>
        <v>#VALUE!</v>
      </c>
      <c r="IB161" t="s">
        <v>189</v>
      </c>
      <c r="IC161">
        <f t="shared" si="206"/>
        <v>0</v>
      </c>
      <c r="ID161" t="s">
        <v>192</v>
      </c>
      <c r="IE161">
        <f t="shared" si="207"/>
        <v>0</v>
      </c>
      <c r="IF161" t="s">
        <v>191</v>
      </c>
      <c r="IG161" s="254">
        <f t="shared" si="208"/>
        <v>0</v>
      </c>
      <c r="IL161" t="e">
        <f t="shared" si="209"/>
        <v>#VALUE!</v>
      </c>
      <c r="LL161" s="112">
        <f>Foglio7tiGiuEc1!GF104</f>
        <v>0</v>
      </c>
      <c r="LM161" s="308">
        <f t="shared" si="190"/>
        <v>100000</v>
      </c>
      <c r="LO161">
        <f t="shared" si="210"/>
        <v>123</v>
      </c>
      <c r="LP161" s="308">
        <f t="shared" ca="1" si="191"/>
        <v>100000</v>
      </c>
      <c r="LS161" s="263">
        <f t="shared" si="192"/>
        <v>123</v>
      </c>
      <c r="LT161" s="308">
        <f t="shared" ca="1" si="193"/>
        <v>100000</v>
      </c>
      <c r="LW161" s="308">
        <f t="shared" ca="1" si="194"/>
        <v>100000</v>
      </c>
      <c r="LZ161" s="308">
        <f t="shared" ca="1" si="195"/>
        <v>100000</v>
      </c>
      <c r="MC161" s="308">
        <f t="shared" ca="1" si="196"/>
        <v>100000</v>
      </c>
      <c r="ME161" s="308" t="str">
        <f t="shared" ca="1" si="197"/>
        <v/>
      </c>
      <c r="MF161" s="308" t="str">
        <f t="shared" ca="1" si="198"/>
        <v/>
      </c>
    </row>
    <row r="162" spans="5:344" x14ac:dyDescent="0.25">
      <c r="E162" s="240" t="str">
        <f>Foglio3!F142</f>
        <v/>
      </c>
      <c r="F162" s="240" t="str">
        <f>Foglio3!G142</f>
        <v/>
      </c>
      <c r="DU162" s="112"/>
      <c r="DV162" s="112"/>
      <c r="EY162" s="238"/>
      <c r="HX162" s="253" t="s">
        <v>187</v>
      </c>
      <c r="HY162" s="112" t="e">
        <f t="shared" si="204"/>
        <v>#VALUE!</v>
      </c>
      <c r="HZ162" t="s">
        <v>188</v>
      </c>
      <c r="IA162" s="112" t="e">
        <f t="shared" si="205"/>
        <v>#VALUE!</v>
      </c>
      <c r="IB162" t="s">
        <v>189</v>
      </c>
      <c r="IC162">
        <f t="shared" si="206"/>
        <v>0</v>
      </c>
      <c r="ID162" t="s">
        <v>192</v>
      </c>
      <c r="IE162">
        <f t="shared" si="207"/>
        <v>0</v>
      </c>
      <c r="IF162" t="s">
        <v>191</v>
      </c>
      <c r="IG162" s="254">
        <f t="shared" si="208"/>
        <v>0</v>
      </c>
      <c r="IL162" t="e">
        <f t="shared" si="209"/>
        <v>#VALUE!</v>
      </c>
    </row>
    <row r="163" spans="5:344" x14ac:dyDescent="0.25">
      <c r="E163" s="240" t="str">
        <f>Foglio3!F143</f>
        <v/>
      </c>
      <c r="F163" s="240" t="str">
        <f>Foglio3!G143</f>
        <v/>
      </c>
      <c r="DU163" s="112"/>
      <c r="DV163" s="112"/>
      <c r="EY163" s="238"/>
      <c r="HX163" s="253" t="s">
        <v>187</v>
      </c>
      <c r="HY163" s="112" t="e">
        <f t="shared" si="204"/>
        <v>#VALUE!</v>
      </c>
      <c r="HZ163" t="s">
        <v>188</v>
      </c>
      <c r="IA163" s="112" t="e">
        <f t="shared" si="205"/>
        <v>#VALUE!</v>
      </c>
      <c r="IB163" t="s">
        <v>189</v>
      </c>
      <c r="IC163">
        <f t="shared" si="206"/>
        <v>0</v>
      </c>
      <c r="ID163" t="s">
        <v>192</v>
      </c>
      <c r="IE163">
        <f t="shared" si="207"/>
        <v>0</v>
      </c>
      <c r="IF163" t="s">
        <v>191</v>
      </c>
      <c r="IG163" s="254">
        <f t="shared" si="208"/>
        <v>0</v>
      </c>
      <c r="IL163" t="e">
        <f t="shared" si="209"/>
        <v>#VALUE!</v>
      </c>
    </row>
    <row r="164" spans="5:344" x14ac:dyDescent="0.25">
      <c r="E164" s="240" t="str">
        <f>Foglio3!F144</f>
        <v/>
      </c>
      <c r="F164" s="240" t="str">
        <f>Foglio3!G144</f>
        <v/>
      </c>
      <c r="DU164" s="112"/>
      <c r="DV164" s="112"/>
      <c r="EY164" s="238"/>
      <c r="HX164" s="253" t="s">
        <v>187</v>
      </c>
      <c r="HY164" s="112" t="e">
        <f t="shared" si="204"/>
        <v>#VALUE!</v>
      </c>
      <c r="HZ164" t="s">
        <v>188</v>
      </c>
      <c r="IA164" s="112" t="e">
        <f t="shared" si="205"/>
        <v>#VALUE!</v>
      </c>
      <c r="IB164" t="s">
        <v>189</v>
      </c>
      <c r="IC164">
        <f t="shared" si="206"/>
        <v>0</v>
      </c>
      <c r="ID164" t="s">
        <v>192</v>
      </c>
      <c r="IE164">
        <f t="shared" si="207"/>
        <v>0</v>
      </c>
      <c r="IF164" t="s">
        <v>191</v>
      </c>
      <c r="IG164" s="254">
        <f t="shared" si="208"/>
        <v>0</v>
      </c>
      <c r="IL164" t="e">
        <f t="shared" si="209"/>
        <v>#VALUE!</v>
      </c>
    </row>
    <row r="165" spans="5:344" x14ac:dyDescent="0.25">
      <c r="E165" s="240" t="str">
        <f>Foglio3!F145</f>
        <v/>
      </c>
      <c r="F165" s="240" t="str">
        <f>Foglio3!G145</f>
        <v/>
      </c>
      <c r="DU165" s="112"/>
      <c r="DV165" s="112"/>
      <c r="EY165" s="238"/>
      <c r="HX165" s="253" t="s">
        <v>187</v>
      </c>
      <c r="HY165" s="112" t="e">
        <f t="shared" si="204"/>
        <v>#VALUE!</v>
      </c>
      <c r="HZ165" t="s">
        <v>188</v>
      </c>
      <c r="IA165" s="112" t="e">
        <f t="shared" si="205"/>
        <v>#VALUE!</v>
      </c>
      <c r="IB165" t="s">
        <v>189</v>
      </c>
      <c r="IC165">
        <f t="shared" si="206"/>
        <v>0</v>
      </c>
      <c r="ID165" t="s">
        <v>192</v>
      </c>
      <c r="IE165">
        <f t="shared" si="207"/>
        <v>0</v>
      </c>
      <c r="IF165" t="s">
        <v>191</v>
      </c>
      <c r="IG165" s="254">
        <f t="shared" si="208"/>
        <v>0</v>
      </c>
      <c r="IL165" t="e">
        <f t="shared" si="209"/>
        <v>#VALUE!</v>
      </c>
    </row>
    <row r="166" spans="5:344" x14ac:dyDescent="0.25">
      <c r="E166" s="240" t="str">
        <f>Foglio3!F146</f>
        <v/>
      </c>
      <c r="F166" s="240" t="str">
        <f>Foglio3!G146</f>
        <v/>
      </c>
      <c r="DU166" s="112"/>
      <c r="DV166" s="112"/>
      <c r="EY166" s="238"/>
      <c r="HX166" s="253" t="s">
        <v>187</v>
      </c>
      <c r="HY166" s="112" t="e">
        <f t="shared" si="204"/>
        <v>#VALUE!</v>
      </c>
      <c r="HZ166" t="s">
        <v>188</v>
      </c>
      <c r="IA166" s="112" t="e">
        <f t="shared" si="205"/>
        <v>#VALUE!</v>
      </c>
      <c r="IB166" t="s">
        <v>189</v>
      </c>
      <c r="IC166">
        <f t="shared" si="206"/>
        <v>0</v>
      </c>
      <c r="ID166" t="s">
        <v>192</v>
      </c>
      <c r="IE166">
        <f t="shared" si="207"/>
        <v>0</v>
      </c>
      <c r="IF166" t="s">
        <v>191</v>
      </c>
      <c r="IG166" s="254">
        <f t="shared" si="208"/>
        <v>0</v>
      </c>
      <c r="IL166" t="e">
        <f t="shared" si="209"/>
        <v>#VALUE!</v>
      </c>
    </row>
    <row r="167" spans="5:344" x14ac:dyDescent="0.25">
      <c r="E167" s="240">
        <f>Foglio3!F147</f>
        <v>0</v>
      </c>
      <c r="F167" s="240">
        <f>Foglio3!G147</f>
        <v>0</v>
      </c>
      <c r="DU167" s="112"/>
      <c r="DV167" s="112"/>
      <c r="EY167" s="238"/>
      <c r="HX167" s="253" t="s">
        <v>187</v>
      </c>
      <c r="HY167" s="112" t="str">
        <f t="shared" si="204"/>
        <v>0/1/1900</v>
      </c>
      <c r="HZ167" t="s">
        <v>188</v>
      </c>
      <c r="IA167" s="112" t="str">
        <f t="shared" si="205"/>
        <v>0/1/1900</v>
      </c>
      <c r="IB167" t="s">
        <v>189</v>
      </c>
      <c r="IC167">
        <f t="shared" si="206"/>
        <v>0</v>
      </c>
      <c r="ID167" t="s">
        <v>192</v>
      </c>
      <c r="IE167">
        <f t="shared" si="207"/>
        <v>0</v>
      </c>
      <c r="IF167" t="s">
        <v>191</v>
      </c>
      <c r="IG167" s="254">
        <f t="shared" si="208"/>
        <v>0</v>
      </c>
      <c r="IL167" t="str">
        <f t="shared" si="209"/>
        <v/>
      </c>
    </row>
    <row r="168" spans="5:344" x14ac:dyDescent="0.25">
      <c r="E168" s="240">
        <f>Foglio3!F148</f>
        <v>0</v>
      </c>
      <c r="F168" s="240">
        <f>Foglio3!G148</f>
        <v>0</v>
      </c>
      <c r="DU168" s="112"/>
      <c r="DV168" s="112"/>
      <c r="EY168" s="238"/>
      <c r="HX168" s="253" t="s">
        <v>187</v>
      </c>
      <c r="HY168" s="112" t="str">
        <f t="shared" si="204"/>
        <v>0/1/1900</v>
      </c>
      <c r="HZ168" t="s">
        <v>188</v>
      </c>
      <c r="IA168" s="112" t="str">
        <f t="shared" si="205"/>
        <v>0/1/1900</v>
      </c>
      <c r="IB168" t="s">
        <v>189</v>
      </c>
      <c r="IC168">
        <f t="shared" si="206"/>
        <v>0</v>
      </c>
      <c r="ID168" t="s">
        <v>192</v>
      </c>
      <c r="IE168">
        <f t="shared" si="207"/>
        <v>0</v>
      </c>
      <c r="IF168" t="s">
        <v>191</v>
      </c>
      <c r="IG168" s="254">
        <f t="shared" si="208"/>
        <v>0</v>
      </c>
      <c r="IL168" t="str">
        <f t="shared" si="209"/>
        <v/>
      </c>
    </row>
    <row r="169" spans="5:344" x14ac:dyDescent="0.25">
      <c r="E169" s="240">
        <f>Foglio3!F149</f>
        <v>0</v>
      </c>
      <c r="F169" s="240">
        <f>Foglio3!G149</f>
        <v>0</v>
      </c>
      <c r="DU169" s="112"/>
      <c r="DV169" s="112"/>
      <c r="EY169" s="238"/>
      <c r="HX169" s="253" t="s">
        <v>187</v>
      </c>
      <c r="HY169" s="112" t="str">
        <f t="shared" ref="HY169:HY178" si="223">CONCATENATE(DAY(E169),"/",MONTH(E169),"/",YEAR(E169))</f>
        <v>0/1/1900</v>
      </c>
      <c r="HZ169" t="s">
        <v>188</v>
      </c>
      <c r="IA169" s="112" t="str">
        <f t="shared" ref="IA169:IA178" si="224">CONCATENATE(DAY(F169),"/",MONTH(F169),"/",YEAR(F169))</f>
        <v>0/1/1900</v>
      </c>
      <c r="IB169" t="s">
        <v>189</v>
      </c>
      <c r="IC169">
        <f t="shared" ref="IC169:IC178" si="225">S169</f>
        <v>0</v>
      </c>
      <c r="ID169" t="s">
        <v>192</v>
      </c>
      <c r="IE169">
        <f t="shared" ref="IE169:IE178" si="226">T169</f>
        <v>0</v>
      </c>
      <c r="IF169" t="s">
        <v>191</v>
      </c>
      <c r="IG169" s="254">
        <f t="shared" ref="IG169:IG178" si="227">U169</f>
        <v>0</v>
      </c>
      <c r="IL169" t="str">
        <f t="shared" ref="IL169:IL179" si="228">IF(E169&gt;0,CONCATENATE(HX169,HY169,HZ169,IA169,IB169,IC169,ID169,IE169,IF169,IG169,"
"),"")</f>
        <v/>
      </c>
    </row>
    <row r="170" spans="5:344" x14ac:dyDescent="0.25">
      <c r="E170" s="240">
        <f>Foglio3!F150</f>
        <v>0</v>
      </c>
      <c r="F170" s="240">
        <f>Foglio3!G150</f>
        <v>0</v>
      </c>
      <c r="DU170" s="112"/>
      <c r="DV170" s="112"/>
      <c r="EY170" s="238"/>
      <c r="HX170" s="253" t="s">
        <v>187</v>
      </c>
      <c r="HY170" s="112" t="str">
        <f t="shared" si="223"/>
        <v>0/1/1900</v>
      </c>
      <c r="HZ170" t="s">
        <v>188</v>
      </c>
      <c r="IA170" s="112" t="str">
        <f t="shared" si="224"/>
        <v>0/1/1900</v>
      </c>
      <c r="IB170" t="s">
        <v>189</v>
      </c>
      <c r="IC170">
        <f t="shared" si="225"/>
        <v>0</v>
      </c>
      <c r="ID170" t="s">
        <v>192</v>
      </c>
      <c r="IE170">
        <f t="shared" si="226"/>
        <v>0</v>
      </c>
      <c r="IF170" t="s">
        <v>191</v>
      </c>
      <c r="IG170" s="254">
        <f t="shared" si="227"/>
        <v>0</v>
      </c>
      <c r="IL170" t="str">
        <f t="shared" si="228"/>
        <v/>
      </c>
    </row>
    <row r="171" spans="5:344" x14ac:dyDescent="0.25">
      <c r="E171" s="240">
        <f>Foglio3!F151</f>
        <v>0</v>
      </c>
      <c r="F171" s="240">
        <f>Foglio3!G151</f>
        <v>0</v>
      </c>
      <c r="DU171" s="112"/>
      <c r="DV171" s="112"/>
      <c r="EY171" s="238"/>
      <c r="HX171" s="253" t="s">
        <v>187</v>
      </c>
      <c r="HY171" s="112" t="str">
        <f t="shared" si="223"/>
        <v>0/1/1900</v>
      </c>
      <c r="HZ171" t="s">
        <v>188</v>
      </c>
      <c r="IA171" s="112" t="str">
        <f t="shared" si="224"/>
        <v>0/1/1900</v>
      </c>
      <c r="IB171" t="s">
        <v>189</v>
      </c>
      <c r="IC171">
        <f t="shared" si="225"/>
        <v>0</v>
      </c>
      <c r="ID171" t="s">
        <v>192</v>
      </c>
      <c r="IE171">
        <f t="shared" si="226"/>
        <v>0</v>
      </c>
      <c r="IF171" t="s">
        <v>191</v>
      </c>
      <c r="IG171" s="254">
        <f t="shared" si="227"/>
        <v>0</v>
      </c>
      <c r="IL171" t="str">
        <f t="shared" si="228"/>
        <v/>
      </c>
    </row>
    <row r="172" spans="5:344" x14ac:dyDescent="0.25">
      <c r="E172" s="240">
        <f>Foglio3!F152</f>
        <v>0</v>
      </c>
      <c r="F172" s="240">
        <f>Foglio3!G152</f>
        <v>0</v>
      </c>
      <c r="DU172" s="112"/>
      <c r="DV172" s="112"/>
      <c r="EY172" s="238"/>
      <c r="HX172" s="253" t="s">
        <v>187</v>
      </c>
      <c r="HY172" s="112" t="str">
        <f t="shared" si="223"/>
        <v>0/1/1900</v>
      </c>
      <c r="HZ172" t="s">
        <v>188</v>
      </c>
      <c r="IA172" s="112" t="str">
        <f t="shared" si="224"/>
        <v>0/1/1900</v>
      </c>
      <c r="IB172" t="s">
        <v>189</v>
      </c>
      <c r="IC172">
        <f t="shared" si="225"/>
        <v>0</v>
      </c>
      <c r="ID172" t="s">
        <v>192</v>
      </c>
      <c r="IE172">
        <f t="shared" si="226"/>
        <v>0</v>
      </c>
      <c r="IF172" t="s">
        <v>191</v>
      </c>
      <c r="IG172" s="254">
        <f t="shared" si="227"/>
        <v>0</v>
      </c>
      <c r="IL172" t="str">
        <f t="shared" si="228"/>
        <v/>
      </c>
    </row>
    <row r="173" spans="5:344" x14ac:dyDescent="0.25">
      <c r="E173" s="240">
        <f>Foglio3!F153</f>
        <v>0</v>
      </c>
      <c r="F173" s="240">
        <f>Foglio3!G153</f>
        <v>0</v>
      </c>
      <c r="DU173" s="112"/>
      <c r="DV173" s="112"/>
      <c r="EY173" s="238"/>
      <c r="HX173" s="253" t="s">
        <v>187</v>
      </c>
      <c r="HY173" s="112" t="str">
        <f t="shared" si="223"/>
        <v>0/1/1900</v>
      </c>
      <c r="HZ173" t="s">
        <v>188</v>
      </c>
      <c r="IA173" s="112" t="str">
        <f t="shared" si="224"/>
        <v>0/1/1900</v>
      </c>
      <c r="IB173" t="s">
        <v>189</v>
      </c>
      <c r="IC173">
        <f t="shared" si="225"/>
        <v>0</v>
      </c>
      <c r="ID173" t="s">
        <v>192</v>
      </c>
      <c r="IE173">
        <f t="shared" si="226"/>
        <v>0</v>
      </c>
      <c r="IF173" t="s">
        <v>191</v>
      </c>
      <c r="IG173" s="254">
        <f t="shared" si="227"/>
        <v>0</v>
      </c>
      <c r="IL173" t="str">
        <f t="shared" si="228"/>
        <v/>
      </c>
    </row>
    <row r="174" spans="5:344" x14ac:dyDescent="0.25">
      <c r="E174" s="240">
        <f>Foglio3!F154</f>
        <v>0</v>
      </c>
      <c r="F174" s="240">
        <f>Foglio3!G154</f>
        <v>0</v>
      </c>
      <c r="DU174" s="112"/>
      <c r="DV174" s="112"/>
      <c r="EY174" s="238"/>
      <c r="HX174" s="253" t="s">
        <v>187</v>
      </c>
      <c r="HY174" s="112" t="str">
        <f t="shared" si="223"/>
        <v>0/1/1900</v>
      </c>
      <c r="HZ174" t="s">
        <v>188</v>
      </c>
      <c r="IA174" s="112" t="str">
        <f t="shared" si="224"/>
        <v>0/1/1900</v>
      </c>
      <c r="IB174" t="s">
        <v>189</v>
      </c>
      <c r="IC174">
        <f t="shared" si="225"/>
        <v>0</v>
      </c>
      <c r="ID174" t="s">
        <v>192</v>
      </c>
      <c r="IE174">
        <f t="shared" si="226"/>
        <v>0</v>
      </c>
      <c r="IF174" t="s">
        <v>191</v>
      </c>
      <c r="IG174" s="254">
        <f t="shared" si="227"/>
        <v>0</v>
      </c>
      <c r="IL174" t="str">
        <f t="shared" si="228"/>
        <v/>
      </c>
    </row>
    <row r="175" spans="5:344" x14ac:dyDescent="0.25">
      <c r="E175" s="240">
        <f>Foglio3!F155</f>
        <v>0</v>
      </c>
      <c r="F175" s="240">
        <f>Foglio3!G155</f>
        <v>0</v>
      </c>
      <c r="DU175" s="112"/>
      <c r="DV175" s="112"/>
      <c r="EY175" s="238"/>
      <c r="HX175" s="253" t="s">
        <v>187</v>
      </c>
      <c r="HY175" s="112" t="str">
        <f t="shared" si="223"/>
        <v>0/1/1900</v>
      </c>
      <c r="HZ175" t="s">
        <v>188</v>
      </c>
      <c r="IA175" s="112" t="str">
        <f t="shared" si="224"/>
        <v>0/1/1900</v>
      </c>
      <c r="IB175" t="s">
        <v>189</v>
      </c>
      <c r="IC175">
        <f t="shared" si="225"/>
        <v>0</v>
      </c>
      <c r="ID175" t="s">
        <v>192</v>
      </c>
      <c r="IE175">
        <f t="shared" si="226"/>
        <v>0</v>
      </c>
      <c r="IF175" t="s">
        <v>191</v>
      </c>
      <c r="IG175" s="254">
        <f t="shared" si="227"/>
        <v>0</v>
      </c>
      <c r="IL175" t="str">
        <f t="shared" si="228"/>
        <v/>
      </c>
    </row>
    <row r="176" spans="5:344" x14ac:dyDescent="0.25">
      <c r="E176" s="240">
        <f>Foglio3!F156</f>
        <v>0</v>
      </c>
      <c r="F176" s="240">
        <f>Foglio3!G156</f>
        <v>0</v>
      </c>
      <c r="DU176" s="112"/>
      <c r="DV176" s="112"/>
      <c r="EY176" s="238"/>
      <c r="HX176" s="253" t="s">
        <v>187</v>
      </c>
      <c r="HY176" s="112" t="str">
        <f t="shared" si="223"/>
        <v>0/1/1900</v>
      </c>
      <c r="HZ176" t="s">
        <v>188</v>
      </c>
      <c r="IA176" s="112" t="str">
        <f t="shared" si="224"/>
        <v>0/1/1900</v>
      </c>
      <c r="IB176" t="s">
        <v>189</v>
      </c>
      <c r="IC176">
        <f t="shared" si="225"/>
        <v>0</v>
      </c>
      <c r="ID176" t="s">
        <v>192</v>
      </c>
      <c r="IE176">
        <f t="shared" si="226"/>
        <v>0</v>
      </c>
      <c r="IF176" t="s">
        <v>191</v>
      </c>
      <c r="IG176" s="254">
        <f t="shared" si="227"/>
        <v>0</v>
      </c>
      <c r="IL176" t="str">
        <f t="shared" si="228"/>
        <v/>
      </c>
    </row>
    <row r="177" spans="5:257" x14ac:dyDescent="0.25">
      <c r="E177" s="240">
        <f>Foglio3!F157</f>
        <v>0</v>
      </c>
      <c r="F177" s="240">
        <f>Foglio3!G157</f>
        <v>0</v>
      </c>
      <c r="DU177" s="112"/>
      <c r="DV177" s="112"/>
      <c r="EY177" s="238"/>
      <c r="HX177" s="253" t="s">
        <v>187</v>
      </c>
      <c r="HY177" s="112" t="str">
        <f t="shared" si="223"/>
        <v>0/1/1900</v>
      </c>
      <c r="HZ177" t="s">
        <v>188</v>
      </c>
      <c r="IA177" s="112" t="str">
        <f t="shared" si="224"/>
        <v>0/1/1900</v>
      </c>
      <c r="IB177" t="s">
        <v>189</v>
      </c>
      <c r="IC177">
        <f t="shared" si="225"/>
        <v>0</v>
      </c>
      <c r="ID177" t="s">
        <v>192</v>
      </c>
      <c r="IE177">
        <f t="shared" si="226"/>
        <v>0</v>
      </c>
      <c r="IF177" t="s">
        <v>191</v>
      </c>
      <c r="IG177" s="254">
        <f t="shared" si="227"/>
        <v>0</v>
      </c>
      <c r="IL177" t="str">
        <f t="shared" si="228"/>
        <v/>
      </c>
    </row>
    <row r="178" spans="5:257" x14ac:dyDescent="0.25">
      <c r="E178" s="240">
        <f>Foglio3!F158</f>
        <v>0</v>
      </c>
      <c r="F178" s="240">
        <f>Foglio3!G158</f>
        <v>0</v>
      </c>
      <c r="DU178" s="112"/>
      <c r="DV178" s="112"/>
      <c r="EY178" s="238"/>
      <c r="HX178" s="253" t="s">
        <v>187</v>
      </c>
      <c r="HY178" s="112" t="str">
        <f t="shared" si="223"/>
        <v>0/1/1900</v>
      </c>
      <c r="HZ178" t="s">
        <v>188</v>
      </c>
      <c r="IA178" s="112" t="str">
        <f t="shared" si="224"/>
        <v>0/1/1900</v>
      </c>
      <c r="IB178" t="s">
        <v>189</v>
      </c>
      <c r="IC178">
        <f t="shared" si="225"/>
        <v>0</v>
      </c>
      <c r="ID178" t="s">
        <v>192</v>
      </c>
      <c r="IE178">
        <f t="shared" si="226"/>
        <v>0</v>
      </c>
      <c r="IF178" t="s">
        <v>191</v>
      </c>
      <c r="IG178" s="254">
        <f t="shared" si="227"/>
        <v>0</v>
      </c>
      <c r="IL178" t="str">
        <f t="shared" si="228"/>
        <v/>
      </c>
    </row>
    <row r="179" spans="5:257" x14ac:dyDescent="0.25">
      <c r="E179" s="240">
        <f>Foglio3!F159</f>
        <v>0</v>
      </c>
      <c r="F179" s="240">
        <f>Foglio3!G159</f>
        <v>0</v>
      </c>
      <c r="DU179" s="112"/>
      <c r="DV179" s="112"/>
      <c r="EY179" s="238"/>
      <c r="IL179" t="str">
        <f t="shared" si="228"/>
        <v/>
      </c>
    </row>
    <row r="180" spans="5:257" x14ac:dyDescent="0.25">
      <c r="E180" s="240">
        <f>Foglio3!F160</f>
        <v>0</v>
      </c>
      <c r="F180" s="240">
        <f>Foglio3!G160</f>
        <v>0</v>
      </c>
      <c r="DU180" s="112"/>
      <c r="DV180" s="112"/>
      <c r="EY180" s="238"/>
      <c r="IW180" t="str">
        <f>CONCATENATE(IL180,IL181,IL182,IL183,IL184,IL185,IL186,IL187,IL188,IL189,IL190,IL191,IL192,IL193,IL194,I685,IL196,IL197,IL198,IL199,)</f>
        <v/>
      </c>
    </row>
    <row r="181" spans="5:257" x14ac:dyDescent="0.25">
      <c r="E181" s="240">
        <f>Foglio3!F161</f>
        <v>0</v>
      </c>
      <c r="F181" s="240">
        <f>Foglio3!G161</f>
        <v>0</v>
      </c>
      <c r="DU181" s="112"/>
      <c r="DV181" s="112"/>
      <c r="EY181" s="238"/>
    </row>
    <row r="182" spans="5:257" x14ac:dyDescent="0.25">
      <c r="E182" s="240">
        <f>Foglio3!F162</f>
        <v>0</v>
      </c>
      <c r="F182" s="240">
        <f>Foglio3!G162</f>
        <v>0</v>
      </c>
      <c r="DU182" s="112"/>
      <c r="DV182" s="112"/>
      <c r="EY182" s="238"/>
    </row>
    <row r="183" spans="5:257" x14ac:dyDescent="0.25">
      <c r="E183" s="240">
        <f>Foglio3!F163</f>
        <v>36280</v>
      </c>
      <c r="F183" s="240">
        <f>Foglio3!I163</f>
        <v>0</v>
      </c>
      <c r="DU183" s="112"/>
      <c r="DV183" s="112"/>
      <c r="EY183" s="238"/>
    </row>
    <row r="184" spans="5:257" x14ac:dyDescent="0.25">
      <c r="E184" s="240">
        <f>Foglio3!F164</f>
        <v>36321</v>
      </c>
      <c r="F184" s="240">
        <f>Foglio3!I164</f>
        <v>0</v>
      </c>
      <c r="DU184" s="112"/>
      <c r="DV184" s="112"/>
      <c r="EY184" s="238"/>
    </row>
    <row r="185" spans="5:257" x14ac:dyDescent="0.25">
      <c r="E185" s="240">
        <f>Foglio3!F165</f>
        <v>36325</v>
      </c>
      <c r="F185" s="240">
        <f>Foglio3!I165</f>
        <v>0</v>
      </c>
      <c r="DU185" s="112"/>
      <c r="DV185" s="112"/>
      <c r="EY185" s="238"/>
    </row>
    <row r="186" spans="5:257" x14ac:dyDescent="0.25">
      <c r="E186" s="240">
        <f>Foglio3!F166</f>
        <v>36433</v>
      </c>
      <c r="F186" s="240">
        <f>Foglio3!I166</f>
        <v>0</v>
      </c>
      <c r="DU186" s="112"/>
      <c r="DV186" s="112"/>
      <c r="EY186" s="238"/>
    </row>
    <row r="187" spans="5:257" x14ac:dyDescent="0.25">
      <c r="E187" s="240">
        <f>Foglio3!F167</f>
        <v>36454</v>
      </c>
      <c r="F187" s="240">
        <f>Foglio3!I167</f>
        <v>0</v>
      </c>
      <c r="DU187" s="112"/>
      <c r="DV187" s="112"/>
      <c r="EY187" s="238"/>
    </row>
    <row r="188" spans="5:257" x14ac:dyDescent="0.25">
      <c r="E188" s="240">
        <f>Foglio3!F168</f>
        <v>36769</v>
      </c>
      <c r="F188" s="240">
        <f>Foglio3!I168</f>
        <v>0</v>
      </c>
      <c r="DU188" s="112"/>
      <c r="DV188" s="112"/>
      <c r="EY188" s="238"/>
    </row>
    <row r="189" spans="5:257" x14ac:dyDescent="0.25">
      <c r="E189" s="240">
        <f>Foglio3!F169</f>
        <v>36920</v>
      </c>
      <c r="F189" s="240">
        <f>Foglio3!I169</f>
        <v>0</v>
      </c>
      <c r="DU189" s="112"/>
      <c r="DV189" s="112"/>
      <c r="EY189" s="238"/>
    </row>
    <row r="190" spans="5:257" x14ac:dyDescent="0.25">
      <c r="E190" s="240">
        <f>Foglio3!F170</f>
        <v>37072</v>
      </c>
      <c r="F190" s="240">
        <f>Foglio3!I170</f>
        <v>0</v>
      </c>
      <c r="DU190" s="112"/>
      <c r="DV190" s="112"/>
      <c r="EY190" s="238"/>
    </row>
    <row r="191" spans="5:257" x14ac:dyDescent="0.25">
      <c r="E191" s="240">
        <f>Foglio3!F171</f>
        <v>37437</v>
      </c>
      <c r="F191" s="240">
        <f>Foglio3!I171</f>
        <v>0</v>
      </c>
      <c r="DU191" s="112"/>
      <c r="DV191" s="112"/>
      <c r="EY191" s="238"/>
    </row>
    <row r="192" spans="5:257" x14ac:dyDescent="0.25">
      <c r="E192" s="240">
        <f>Foglio3!F172</f>
        <v>37200</v>
      </c>
      <c r="F192" s="240">
        <f>Foglio3!I172</f>
        <v>0</v>
      </c>
      <c r="DU192" s="112"/>
      <c r="DV192" s="112"/>
      <c r="EY192" s="238"/>
    </row>
    <row r="193" spans="5:257" x14ac:dyDescent="0.25">
      <c r="E193" s="240">
        <f>Foglio3!F173</f>
        <v>37200</v>
      </c>
      <c r="F193" s="240">
        <f>Foglio3!I173</f>
        <v>0</v>
      </c>
      <c r="DU193" s="112"/>
      <c r="DV193" s="112"/>
      <c r="EY193" s="238"/>
    </row>
    <row r="194" spans="5:257" x14ac:dyDescent="0.25">
      <c r="E194" s="240">
        <f>Foglio3!F174</f>
        <v>37437</v>
      </c>
      <c r="F194" s="240">
        <f>Foglio3!I174</f>
        <v>0</v>
      </c>
      <c r="DU194" s="112"/>
      <c r="DV194" s="112"/>
      <c r="EY194" s="238"/>
    </row>
    <row r="195" spans="5:257" x14ac:dyDescent="0.25">
      <c r="E195" s="240">
        <f>Foglio3!F175</f>
        <v>37282</v>
      </c>
      <c r="F195" s="240">
        <f>Foglio3!I175</f>
        <v>0</v>
      </c>
      <c r="DU195" s="112"/>
      <c r="DV195" s="112"/>
      <c r="EY195" s="238"/>
    </row>
    <row r="196" spans="5:257" x14ac:dyDescent="0.25">
      <c r="E196" s="240">
        <f>Foglio3!F176</f>
        <v>37437</v>
      </c>
      <c r="F196" s="240">
        <f>Foglio3!I176</f>
        <v>0</v>
      </c>
      <c r="DU196" s="112"/>
      <c r="DV196" s="112"/>
      <c r="EY196" s="238"/>
    </row>
    <row r="197" spans="5:257" x14ac:dyDescent="0.25">
      <c r="E197" s="240">
        <f>Foglio3!F177</f>
        <v>37551</v>
      </c>
      <c r="F197" s="240">
        <f>Foglio3!I177</f>
        <v>0</v>
      </c>
      <c r="DU197" s="112"/>
      <c r="DV197" s="112"/>
      <c r="EY197" s="238"/>
    </row>
    <row r="198" spans="5:257" x14ac:dyDescent="0.25">
      <c r="E198" s="240">
        <f>Foglio3!F178</f>
        <v>37574</v>
      </c>
      <c r="F198" s="240">
        <f>Foglio3!I178</f>
        <v>0</v>
      </c>
      <c r="DU198" s="112"/>
      <c r="DV198" s="112"/>
      <c r="EY198" s="238"/>
    </row>
    <row r="199" spans="5:257" x14ac:dyDescent="0.25">
      <c r="E199" s="240">
        <f>Foglio3!F179</f>
        <v>37663</v>
      </c>
      <c r="F199" s="240">
        <f>Foglio3!I179</f>
        <v>0</v>
      </c>
      <c r="DU199" s="112"/>
      <c r="DV199" s="112"/>
      <c r="EY199" s="238"/>
    </row>
    <row r="200" spans="5:257" x14ac:dyDescent="0.25">
      <c r="E200" s="240">
        <f>Foglio3!F180</f>
        <v>37783</v>
      </c>
      <c r="F200" s="240">
        <f>Foglio3!I180</f>
        <v>0</v>
      </c>
      <c r="DU200" s="112"/>
      <c r="DV200" s="112"/>
      <c r="EY200" s="238"/>
      <c r="IW200" t="str">
        <f>CONCATENATE(IL200,IL201,IL202,IL203,IL204,IL205,IL206,IL207,IL208,IL209,IL210,IL211,IL212,IL213,IL214,I705,IL216,IL217,IL218,IL219,)</f>
        <v/>
      </c>
    </row>
    <row r="201" spans="5:257" x14ac:dyDescent="0.25">
      <c r="E201" s="240">
        <f>Foglio3!F181</f>
        <v>37786</v>
      </c>
      <c r="F201" s="240">
        <f>Foglio3!I181</f>
        <v>0</v>
      </c>
      <c r="DU201" s="112"/>
      <c r="DV201" s="112"/>
      <c r="EY201" s="238"/>
    </row>
    <row r="202" spans="5:257" x14ac:dyDescent="0.25">
      <c r="E202" s="240">
        <f>Foglio3!F182</f>
        <v>38168</v>
      </c>
      <c r="F202" s="240">
        <f>Foglio3!I182</f>
        <v>0</v>
      </c>
      <c r="DU202" s="112"/>
      <c r="DV202" s="112"/>
      <c r="EY202" s="238"/>
    </row>
    <row r="203" spans="5:257" x14ac:dyDescent="0.25">
      <c r="E203" s="240">
        <f>Foglio3!F183</f>
        <v>38551</v>
      </c>
      <c r="F203" s="240">
        <f>Foglio3!I183</f>
        <v>0</v>
      </c>
      <c r="DU203" s="112"/>
      <c r="DV203" s="112"/>
      <c r="EY203" s="238"/>
    </row>
    <row r="204" spans="5:257" x14ac:dyDescent="0.25">
      <c r="E204" s="240">
        <f>Foglio3!F184</f>
        <v>38919</v>
      </c>
      <c r="F204" s="240">
        <f>Foglio3!I184</f>
        <v>0</v>
      </c>
      <c r="DU204" s="112"/>
      <c r="DV204" s="112"/>
      <c r="EY204" s="238"/>
    </row>
    <row r="205" spans="5:257" x14ac:dyDescent="0.25">
      <c r="E205" s="240">
        <f>Foglio3!F185</f>
        <v>39277</v>
      </c>
      <c r="F205" s="240">
        <f>Foglio3!I185</f>
        <v>0</v>
      </c>
      <c r="DU205" s="112"/>
      <c r="DV205" s="112"/>
      <c r="EY205" s="238"/>
    </row>
    <row r="206" spans="5:257" x14ac:dyDescent="0.25">
      <c r="E206" s="240">
        <f>Foglio3!F186</f>
        <v>39629</v>
      </c>
      <c r="F206" s="240">
        <f>Foglio3!I186</f>
        <v>0</v>
      </c>
      <c r="DU206" s="112"/>
      <c r="DV206" s="112"/>
      <c r="EY206" s="238"/>
    </row>
    <row r="207" spans="5:257" x14ac:dyDescent="0.25">
      <c r="E207" s="240">
        <f>Foglio3!F187</f>
        <v>39994</v>
      </c>
      <c r="F207" s="240">
        <f>Foglio3!I187</f>
        <v>0</v>
      </c>
      <c r="DU207" s="112"/>
      <c r="DV207" s="112"/>
      <c r="EY207" s="238"/>
    </row>
    <row r="208" spans="5:257" x14ac:dyDescent="0.25">
      <c r="E208" s="240">
        <f>Foglio3!F188</f>
        <v>40063</v>
      </c>
      <c r="F208" s="240">
        <f>Foglio3!I188</f>
        <v>0</v>
      </c>
      <c r="DU208" s="112"/>
      <c r="DV208" s="112"/>
      <c r="EY208" s="238"/>
    </row>
    <row r="209" spans="5:155" x14ac:dyDescent="0.25">
      <c r="E209" s="240">
        <f>Foglio3!F189</f>
        <v>40421</v>
      </c>
      <c r="F209" s="240">
        <f>Foglio3!I189</f>
        <v>0</v>
      </c>
      <c r="DU209" s="112"/>
      <c r="DV209" s="112"/>
      <c r="EY209" s="238"/>
    </row>
    <row r="210" spans="5:155" x14ac:dyDescent="0.25">
      <c r="E210" s="240">
        <f>Foglio3!F190</f>
        <v>40739</v>
      </c>
      <c r="F210" s="240">
        <f>Foglio3!I190</f>
        <v>0</v>
      </c>
      <c r="DU210" s="112"/>
      <c r="DV210" s="112"/>
      <c r="EY210" s="238"/>
    </row>
    <row r="211" spans="5:155" x14ac:dyDescent="0.25">
      <c r="E211" s="240">
        <f>Foglio3!F191</f>
        <v>40739</v>
      </c>
      <c r="F211" s="240">
        <f>Foglio3!I191</f>
        <v>0</v>
      </c>
      <c r="DU211" s="112"/>
      <c r="DV211" s="112"/>
      <c r="EY211" s="238"/>
    </row>
    <row r="212" spans="5:155" x14ac:dyDescent="0.25">
      <c r="E212" s="240">
        <f>Foglio3!F192</f>
        <v>41090</v>
      </c>
      <c r="F212" s="240">
        <f>Foglio3!I192</f>
        <v>0</v>
      </c>
      <c r="DU212" s="112"/>
      <c r="DV212" s="112"/>
      <c r="EY212" s="238"/>
    </row>
    <row r="213" spans="5:155" x14ac:dyDescent="0.25">
      <c r="E213" s="240">
        <f>Foglio3!F193</f>
        <v>41471</v>
      </c>
      <c r="F213" s="240">
        <f>Foglio3!I193</f>
        <v>0</v>
      </c>
      <c r="DU213" s="112"/>
      <c r="DV213" s="112"/>
      <c r="EY213" s="238"/>
    </row>
    <row r="214" spans="5:155" x14ac:dyDescent="0.25">
      <c r="E214" s="240">
        <f>Foglio3!F194</f>
        <v>41471</v>
      </c>
      <c r="F214" s="240">
        <f>Foglio3!I194</f>
        <v>0</v>
      </c>
      <c r="DU214" s="112"/>
      <c r="DV214" s="112"/>
      <c r="EY214" s="238"/>
    </row>
    <row r="215" spans="5:155" x14ac:dyDescent="0.25">
      <c r="E215" s="240">
        <f>Foglio3!F195</f>
        <v>41196</v>
      </c>
      <c r="F215" s="240">
        <f>Foglio3!I195</f>
        <v>0</v>
      </c>
      <c r="DU215" s="112"/>
      <c r="DV215" s="112"/>
      <c r="EY215" s="238"/>
    </row>
    <row r="216" spans="5:155" x14ac:dyDescent="0.25">
      <c r="E216" s="240">
        <f>Foglio3!F196</f>
        <v>41239</v>
      </c>
      <c r="F216" s="240">
        <f>Foglio3!I196</f>
        <v>0</v>
      </c>
      <c r="DU216" s="112"/>
      <c r="DV216" s="112"/>
      <c r="EY216" s="238"/>
    </row>
    <row r="217" spans="5:155" x14ac:dyDescent="0.25">
      <c r="E217" s="240">
        <f>Foglio3!F197</f>
        <v>41471</v>
      </c>
      <c r="F217" s="240">
        <f>Foglio3!I197</f>
        <v>0</v>
      </c>
      <c r="DU217" s="112"/>
      <c r="DV217" s="112"/>
      <c r="EY217" s="238"/>
    </row>
    <row r="218" spans="5:155" x14ac:dyDescent="0.25">
      <c r="E218" s="240">
        <f>Foglio3!F198</f>
        <v>41882</v>
      </c>
      <c r="F218" s="240">
        <f>Foglio3!I198</f>
        <v>0</v>
      </c>
      <c r="DU218" s="112"/>
      <c r="DV218" s="112"/>
      <c r="EY218" s="238"/>
    </row>
    <row r="219" spans="5:155" x14ac:dyDescent="0.25">
      <c r="E219" s="240">
        <f>Foglio3!F199</f>
        <v>42185</v>
      </c>
      <c r="F219" s="240">
        <f>Foglio3!I199</f>
        <v>0</v>
      </c>
      <c r="DU219" s="112"/>
      <c r="DV219" s="112"/>
      <c r="EY219" s="238"/>
    </row>
    <row r="220" spans="5:155" x14ac:dyDescent="0.25">
      <c r="E220" s="240">
        <f>Foglio3!F200</f>
        <v>42613</v>
      </c>
      <c r="F220" s="240">
        <f>Foglio3!I200</f>
        <v>0</v>
      </c>
      <c r="DU220" s="112"/>
      <c r="DV220" s="112"/>
      <c r="EY220" s="238"/>
    </row>
    <row r="221" spans="5:155" x14ac:dyDescent="0.25">
      <c r="E221" s="240">
        <f>Foglio3!F201</f>
        <v>42978</v>
      </c>
      <c r="F221" s="240">
        <f>Foglio3!I201</f>
        <v>0</v>
      </c>
      <c r="DU221" s="112"/>
      <c r="DV221" s="112"/>
      <c r="EY221" s="238"/>
    </row>
    <row r="222" spans="5:155" x14ac:dyDescent="0.25">
      <c r="E222" s="240">
        <f>Foglio3!F202</f>
        <v>43343</v>
      </c>
      <c r="F222" s="240">
        <f>Foglio3!I202</f>
        <v>0</v>
      </c>
      <c r="DU222" s="112"/>
      <c r="DV222" s="112"/>
      <c r="EY222" s="238"/>
    </row>
    <row r="223" spans="5:155" x14ac:dyDescent="0.25">
      <c r="E223" s="240">
        <f>Foglio3!F203</f>
        <v>43708</v>
      </c>
      <c r="F223" s="240">
        <f>Foglio3!I203</f>
        <v>0</v>
      </c>
      <c r="DU223" s="112"/>
      <c r="DV223" s="112"/>
      <c r="EY223" s="238"/>
    </row>
    <row r="224" spans="5:155" x14ac:dyDescent="0.25">
      <c r="E224" s="240">
        <f>Foglio3!F204</f>
        <v>44074</v>
      </c>
      <c r="F224" s="240">
        <f>Foglio3!I204</f>
        <v>0</v>
      </c>
      <c r="DU224" s="112"/>
      <c r="DV224" s="112"/>
      <c r="EY224" s="238"/>
    </row>
    <row r="225" spans="5:155" x14ac:dyDescent="0.25">
      <c r="E225" s="240">
        <f>Foglio3!F205</f>
        <v>44439</v>
      </c>
      <c r="F225" s="240">
        <f>Foglio3!I205</f>
        <v>0</v>
      </c>
      <c r="DU225" s="112"/>
      <c r="DV225" s="112"/>
      <c r="EY225" s="238"/>
    </row>
    <row r="226" spans="5:155" x14ac:dyDescent="0.25">
      <c r="E226" s="240">
        <f>Foglio3!F206</f>
        <v>44804</v>
      </c>
      <c r="F226" s="240">
        <f>Foglio3!I206</f>
        <v>0</v>
      </c>
      <c r="DU226" s="112"/>
      <c r="DV226" s="112"/>
      <c r="EY226" s="238"/>
    </row>
    <row r="227" spans="5:155" x14ac:dyDescent="0.25">
      <c r="E227" s="240" t="str">
        <f>Foglio3!F207</f>
        <v/>
      </c>
      <c r="F227" s="240">
        <f>Foglio3!I207</f>
        <v>0</v>
      </c>
      <c r="DU227" s="112"/>
      <c r="DV227" s="112"/>
    </row>
    <row r="228" spans="5:155" x14ac:dyDescent="0.25">
      <c r="E228" s="240" t="str">
        <f>Foglio3!F208</f>
        <v/>
      </c>
      <c r="F228" s="240">
        <f>Foglio3!I208</f>
        <v>0</v>
      </c>
      <c r="DU228" s="112"/>
      <c r="DV228" s="112"/>
    </row>
    <row r="229" spans="5:155" x14ac:dyDescent="0.25">
      <c r="E229" s="240" t="str">
        <f>Foglio3!F209</f>
        <v/>
      </c>
      <c r="F229" s="240">
        <f>Foglio3!I209</f>
        <v>0</v>
      </c>
      <c r="DU229" s="112"/>
      <c r="DV229" s="112"/>
    </row>
    <row r="230" spans="5:155" x14ac:dyDescent="0.25">
      <c r="E230" s="240" t="str">
        <f>Foglio3!F210</f>
        <v/>
      </c>
      <c r="F230" s="240">
        <f>Foglio3!I210</f>
        <v>0</v>
      </c>
      <c r="DU230" s="112"/>
      <c r="DV230" s="112"/>
    </row>
    <row r="231" spans="5:155" x14ac:dyDescent="0.25">
      <c r="E231" s="240" t="str">
        <f>Foglio3!F211</f>
        <v/>
      </c>
      <c r="F231" s="240">
        <f>Foglio3!I211</f>
        <v>0</v>
      </c>
      <c r="DU231" s="112"/>
      <c r="DV231" s="112"/>
    </row>
    <row r="232" spans="5:155" x14ac:dyDescent="0.25">
      <c r="E232" s="240" t="str">
        <f>Foglio3!F212</f>
        <v/>
      </c>
      <c r="F232" s="240">
        <f>Foglio3!I212</f>
        <v>0</v>
      </c>
      <c r="DU232" s="112"/>
      <c r="DV232" s="112"/>
    </row>
    <row r="233" spans="5:155" x14ac:dyDescent="0.25">
      <c r="E233" s="240" t="str">
        <f>Foglio3!F213</f>
        <v/>
      </c>
      <c r="F233" s="240">
        <f>Foglio3!I213</f>
        <v>0</v>
      </c>
      <c r="DU233" s="112"/>
      <c r="DV233" s="112"/>
    </row>
    <row r="234" spans="5:155" x14ac:dyDescent="0.25">
      <c r="E234" s="240" t="str">
        <f>Foglio3!F214</f>
        <v/>
      </c>
      <c r="F234" s="240">
        <f>Foglio3!I214</f>
        <v>0</v>
      </c>
      <c r="DU234" s="112"/>
      <c r="DV234" s="112"/>
    </row>
    <row r="235" spans="5:155" x14ac:dyDescent="0.25">
      <c r="E235" s="240" t="str">
        <f>Foglio3!F215</f>
        <v/>
      </c>
      <c r="F235" s="240">
        <f>Foglio3!I215</f>
        <v>0</v>
      </c>
      <c r="DU235" s="112"/>
      <c r="DV235" s="112"/>
    </row>
    <row r="236" spans="5:155" x14ac:dyDescent="0.25">
      <c r="E236" s="240" t="str">
        <f>Foglio3!F216</f>
        <v/>
      </c>
      <c r="F236" s="240">
        <f>Foglio3!I216</f>
        <v>0</v>
      </c>
      <c r="DU236" s="112"/>
      <c r="DV236" s="112"/>
    </row>
    <row r="237" spans="5:155" x14ac:dyDescent="0.25">
      <c r="E237" s="240" t="str">
        <f>Foglio3!F217</f>
        <v/>
      </c>
      <c r="F237" s="240">
        <f>Foglio3!I217</f>
        <v>0</v>
      </c>
      <c r="DU237" s="112"/>
      <c r="DV237" s="112"/>
    </row>
    <row r="238" spans="5:155" x14ac:dyDescent="0.25">
      <c r="DU238" s="112"/>
      <c r="DV238" s="112"/>
    </row>
    <row r="239" spans="5:155" x14ac:dyDescent="0.25">
      <c r="DU239" s="112"/>
      <c r="DV239" s="112"/>
    </row>
    <row r="240" spans="5:155" x14ac:dyDescent="0.25">
      <c r="DU240" s="112"/>
      <c r="DV240" s="112"/>
    </row>
    <row r="241" spans="125:126" x14ac:dyDescent="0.25">
      <c r="DU241" s="112"/>
      <c r="DV241" s="112"/>
    </row>
    <row r="242" spans="125:126" x14ac:dyDescent="0.25">
      <c r="DU242" s="112"/>
      <c r="DV242" s="112"/>
    </row>
    <row r="243" spans="125:126" x14ac:dyDescent="0.25">
      <c r="DU243" s="112"/>
      <c r="DV243" s="112"/>
    </row>
    <row r="244" spans="125:126" x14ac:dyDescent="0.25">
      <c r="DU244" s="112"/>
      <c r="DV244" s="112"/>
    </row>
    <row r="245" spans="125:126" x14ac:dyDescent="0.25">
      <c r="DU245" s="112"/>
      <c r="DV245" s="112"/>
    </row>
    <row r="246" spans="125:126" x14ac:dyDescent="0.25">
      <c r="DU246" s="112"/>
      <c r="DV246" s="112"/>
    </row>
    <row r="247" spans="125:126" x14ac:dyDescent="0.25">
      <c r="DU247" s="112"/>
      <c r="DV247" s="112"/>
    </row>
    <row r="248" spans="125:126" x14ac:dyDescent="0.25">
      <c r="DU248" s="112"/>
      <c r="DV248" s="112"/>
    </row>
    <row r="249" spans="125:126" x14ac:dyDescent="0.25">
      <c r="DU249" s="112"/>
      <c r="DV249" s="112"/>
    </row>
    <row r="250" spans="125:126" x14ac:dyDescent="0.25">
      <c r="DU250" s="112"/>
      <c r="DV250" s="112"/>
    </row>
    <row r="251" spans="125:126" x14ac:dyDescent="0.25">
      <c r="DU251" s="112"/>
      <c r="DV251" s="112"/>
    </row>
    <row r="252" spans="125:126" x14ac:dyDescent="0.25">
      <c r="DU252" s="112"/>
      <c r="DV252" s="112"/>
    </row>
    <row r="253" spans="125:126" x14ac:dyDescent="0.25">
      <c r="DU253" s="112"/>
      <c r="DV253" s="112"/>
    </row>
    <row r="254" spans="125:126" x14ac:dyDescent="0.25">
      <c r="DU254" s="112"/>
      <c r="DV254" s="112"/>
    </row>
    <row r="255" spans="125:126" x14ac:dyDescent="0.25">
      <c r="DU255" s="112"/>
      <c r="DV255" s="112"/>
    </row>
    <row r="256" spans="125:126" x14ac:dyDescent="0.25">
      <c r="DU256" s="112"/>
      <c r="DV256" s="112"/>
    </row>
  </sheetData>
  <mergeCells count="8">
    <mergeCell ref="MM37:MN37"/>
    <mergeCell ref="ME37:MH37"/>
    <mergeCell ref="H2:N6"/>
    <mergeCell ref="KE30:KQ33"/>
    <mergeCell ref="DO38:DQ38"/>
    <mergeCell ref="A39:B39"/>
    <mergeCell ref="DD39:DL39"/>
    <mergeCell ref="HX39:IG3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R60"/>
  <sheetViews>
    <sheetView showRowColHeaders="0" topLeftCell="A7" zoomScaleNormal="100" workbookViewId="0">
      <selection activeCell="N24" sqref="N24:R27"/>
    </sheetView>
  </sheetViews>
  <sheetFormatPr defaultColWidth="8.85546875" defaultRowHeight="15" x14ac:dyDescent="0.25"/>
  <cols>
    <col min="1" max="1" width="3.42578125" style="246" customWidth="1"/>
    <col min="2" max="2" width="11.7109375" style="246" customWidth="1"/>
    <col min="3" max="3" width="12.140625" style="246" customWidth="1"/>
    <col min="4" max="4" width="10.140625" style="246" customWidth="1"/>
    <col min="5" max="5" width="10.42578125" style="246" customWidth="1"/>
    <col min="6" max="6" width="3.28515625" style="246" customWidth="1"/>
    <col min="7" max="7" width="10.7109375" style="246" customWidth="1"/>
    <col min="8" max="8" width="12.85546875" style="246" customWidth="1"/>
    <col min="9" max="9" width="14.42578125" style="246" customWidth="1"/>
    <col min="10" max="10" width="0.28515625" style="246" customWidth="1"/>
    <col min="11" max="11" width="8.85546875" style="246" hidden="1" customWidth="1"/>
    <col min="12" max="16384" width="8.85546875" style="246"/>
  </cols>
  <sheetData>
    <row r="1" spans="2:11" ht="234.6" customHeight="1" x14ac:dyDescent="0.25">
      <c r="B1" s="626" t="str">
        <f>Foglio7tiGiuEc1!NK39</f>
        <v xml:space="preserve">
Secondo provvedimento
DECRETO DI LIQUIDAZIONE SOMME SPETTANTI
                                                                                    INTESTAZIONE
Decreto n              - Prot.                    Data:
Il Dirigente Scolastico
Vista la Sentenza n:              del Tribunale di:  
                                        DECRETA    </v>
      </c>
      <c r="C1" s="598"/>
      <c r="D1" s="598"/>
      <c r="E1" s="598"/>
      <c r="F1" s="598"/>
      <c r="G1" s="598"/>
      <c r="H1" s="598"/>
      <c r="I1" s="598"/>
      <c r="J1" s="315"/>
      <c r="K1" s="315"/>
    </row>
    <row r="2" spans="2:11" ht="117" customHeight="1" x14ac:dyDescent="0.25">
      <c r="B2" s="626" t="e">
        <f ca="1">Foglio7tiGiuEc1!NK40</f>
        <v>#N/A</v>
      </c>
      <c r="C2" s="598"/>
      <c r="D2" s="598"/>
      <c r="E2" s="598"/>
      <c r="F2" s="598"/>
      <c r="G2" s="598"/>
      <c r="H2" s="598"/>
      <c r="I2" s="598"/>
      <c r="J2" s="315"/>
      <c r="K2" s="315"/>
    </row>
    <row r="3" spans="2:11" x14ac:dyDescent="0.25">
      <c r="B3" s="315"/>
      <c r="C3" s="315"/>
      <c r="D3" s="315"/>
      <c r="E3" s="315"/>
      <c r="F3" s="315"/>
      <c r="G3" s="315"/>
      <c r="H3" s="315"/>
      <c r="I3" s="315"/>
      <c r="J3" s="315"/>
      <c r="K3" s="315"/>
    </row>
    <row r="4" spans="2:11" x14ac:dyDescent="0.25">
      <c r="B4" s="315" t="s">
        <v>433</v>
      </c>
      <c r="C4" s="315"/>
      <c r="D4" s="315"/>
      <c r="E4" s="315"/>
      <c r="F4" s="315"/>
      <c r="G4" s="315"/>
      <c r="H4" s="315"/>
      <c r="I4" s="315"/>
      <c r="J4" s="315"/>
      <c r="K4" s="315"/>
    </row>
    <row r="5" spans="2:11" x14ac:dyDescent="0.25">
      <c r="B5" s="315"/>
      <c r="C5" s="315"/>
      <c r="D5" s="315"/>
      <c r="E5" s="315"/>
      <c r="F5" s="315"/>
      <c r="G5" s="315"/>
      <c r="H5" s="315"/>
      <c r="I5" s="315"/>
      <c r="J5" s="315"/>
      <c r="K5" s="315"/>
    </row>
    <row r="6" spans="2:11" x14ac:dyDescent="0.25">
      <c r="B6" s="315"/>
      <c r="C6" s="315"/>
      <c r="D6" s="315"/>
      <c r="E6" s="315"/>
      <c r="F6" s="315"/>
      <c r="G6" s="315" t="s">
        <v>432</v>
      </c>
      <c r="H6" s="315"/>
      <c r="I6" s="315"/>
      <c r="J6" s="315"/>
      <c r="K6" s="315"/>
    </row>
    <row r="7" spans="2:11" x14ac:dyDescent="0.25">
      <c r="B7" s="315"/>
      <c r="C7" s="315"/>
      <c r="D7" s="315"/>
      <c r="E7" s="315"/>
      <c r="F7" s="315"/>
      <c r="G7" s="315"/>
      <c r="H7" s="315"/>
      <c r="I7" s="315"/>
      <c r="J7" s="315"/>
      <c r="K7" s="315"/>
    </row>
    <row r="8" spans="2:11" x14ac:dyDescent="0.25">
      <c r="B8" s="315"/>
      <c r="C8" s="315"/>
      <c r="D8" s="315"/>
      <c r="E8" s="315"/>
      <c r="F8" s="315"/>
      <c r="G8" s="315"/>
      <c r="H8" s="315"/>
      <c r="I8" s="315"/>
      <c r="J8" s="315"/>
      <c r="K8" s="315"/>
    </row>
    <row r="9" spans="2:11" x14ac:dyDescent="0.25">
      <c r="B9" s="315"/>
      <c r="C9" s="315"/>
      <c r="D9" s="315"/>
      <c r="E9" s="315"/>
      <c r="F9" s="315"/>
      <c r="G9" s="315"/>
      <c r="H9" s="315"/>
      <c r="I9" s="315"/>
      <c r="J9" s="315"/>
      <c r="K9" s="315"/>
    </row>
    <row r="10" spans="2:11" ht="69" customHeight="1" x14ac:dyDescent="0.25">
      <c r="B10" s="339" t="s">
        <v>354</v>
      </c>
      <c r="C10" s="339" t="s">
        <v>106</v>
      </c>
      <c r="D10" s="339" t="s">
        <v>422</v>
      </c>
      <c r="E10" s="339" t="s">
        <v>424</v>
      </c>
      <c r="F10" s="339"/>
      <c r="G10" s="339" t="s">
        <v>421</v>
      </c>
      <c r="H10" s="339" t="s">
        <v>423</v>
      </c>
      <c r="I10" s="339" t="s">
        <v>212</v>
      </c>
      <c r="J10" s="339"/>
      <c r="K10" s="339"/>
    </row>
    <row r="11" spans="2:11" x14ac:dyDescent="0.25">
      <c r="B11" s="242">
        <f ca="1">Foglio7tiGiuEc1!ME39</f>
        <v>43344</v>
      </c>
      <c r="C11" s="242">
        <f ca="1">Foglio7tiGiuEc1!MF39</f>
        <v>43465</v>
      </c>
      <c r="D11" s="241" t="e">
        <f ca="1">Foglio7tiGiuEc1!MG39</f>
        <v>#N/A</v>
      </c>
      <c r="E11" s="242" t="e">
        <f ca="1">Foglio7tiGiuEc1!MI39</f>
        <v>#N/A</v>
      </c>
      <c r="F11" s="241"/>
      <c r="G11" s="241">
        <f ca="1">Foglio7tiGiuEc1!MJ39</f>
        <v>23944.57</v>
      </c>
      <c r="H11" s="241" t="str">
        <f ca="1">Foglio7tiGiuEc1!MP39</f>
        <v>0-2 anni</v>
      </c>
      <c r="I11" s="241" t="e">
        <f ca="1">Foglio7tiGiuEc1!MM39</f>
        <v>#N/A</v>
      </c>
      <c r="J11" s="241"/>
      <c r="K11" s="241"/>
    </row>
    <row r="12" spans="2:11" x14ac:dyDescent="0.25">
      <c r="B12" s="242">
        <f ca="1">Foglio7tiGiuEc1!ME40</f>
        <v>43466</v>
      </c>
      <c r="C12" s="242">
        <f ca="1">Foglio7tiGiuEc1!MF40</f>
        <v>43830</v>
      </c>
      <c r="D12" s="241" t="e">
        <f ca="1">Foglio7tiGiuEc1!MG40</f>
        <v>#N/A</v>
      </c>
      <c r="E12" s="242" t="e">
        <f ca="1">Foglio7tiGiuEc1!MI40</f>
        <v>#N/A</v>
      </c>
      <c r="F12" s="241"/>
      <c r="G12" s="241">
        <f ca="1">Foglio7tiGiuEc1!MJ40</f>
        <v>24147.32</v>
      </c>
      <c r="H12" s="241" t="str">
        <f ca="1">Foglio7tiGiuEc1!MP40</f>
        <v>0-2 anni</v>
      </c>
      <c r="I12" s="241" t="e">
        <f ca="1">Foglio7tiGiuEc1!MM40</f>
        <v>#N/A</v>
      </c>
      <c r="J12" s="241"/>
      <c r="K12" s="241"/>
    </row>
    <row r="13" spans="2:11" x14ac:dyDescent="0.25">
      <c r="B13" s="242">
        <f ca="1">Foglio7tiGiuEc1!ME41</f>
        <v>43831</v>
      </c>
      <c r="C13" s="242">
        <f ca="1">Foglio7tiGiuEc1!MF41</f>
        <v>44196</v>
      </c>
      <c r="D13" s="241" t="e">
        <f ca="1">Foglio7tiGiuEc1!MG41</f>
        <v>#N/A</v>
      </c>
      <c r="E13" s="242" t="e">
        <f ca="1">Foglio7tiGiuEc1!MI41</f>
        <v>#N/A</v>
      </c>
      <c r="F13" s="241"/>
      <c r="G13" s="241">
        <f ca="1">Foglio7tiGiuEc1!MJ41</f>
        <v>24317.72</v>
      </c>
      <c r="H13" s="241" t="str">
        <f ca="1">Foglio7tiGiuEc1!MP41</f>
        <v>0-2 anni</v>
      </c>
      <c r="I13" s="241" t="e">
        <f ca="1">Foglio7tiGiuEc1!MM41</f>
        <v>#N/A</v>
      </c>
      <c r="J13" s="241"/>
      <c r="K13" s="241"/>
    </row>
    <row r="14" spans="2:11" x14ac:dyDescent="0.25">
      <c r="B14" s="242">
        <f ca="1">Foglio7tiGiuEc1!ME42</f>
        <v>44197</v>
      </c>
      <c r="C14" s="242">
        <f ca="1">Foglio7tiGiuEc1!MF42</f>
        <v>44439</v>
      </c>
      <c r="D14" s="241" t="e">
        <f ca="1">Foglio7tiGiuEc1!MG42</f>
        <v>#N/A</v>
      </c>
      <c r="E14" s="242" t="e">
        <f ca="1">Foglio7tiGiuEc1!MI42</f>
        <v>#N/A</v>
      </c>
      <c r="F14" s="241"/>
      <c r="G14" s="241">
        <f ca="1">Foglio7tiGiuEc1!MJ42</f>
        <v>24772.52</v>
      </c>
      <c r="H14" s="241" t="str">
        <f ca="1">Foglio7tiGiuEc1!MP42</f>
        <v>0-2 anni</v>
      </c>
      <c r="I14" s="241" t="e">
        <f ca="1">Foglio7tiGiuEc1!MM42</f>
        <v>#N/A</v>
      </c>
      <c r="J14" s="241"/>
      <c r="K14" s="241"/>
    </row>
    <row r="15" spans="2:11" x14ac:dyDescent="0.25">
      <c r="B15" s="242">
        <f ca="1">Foglio7tiGiuEc1!ME43</f>
        <v>44440</v>
      </c>
      <c r="C15" s="242">
        <f ca="1">Foglio7tiGiuEc1!MF43</f>
        <v>44561</v>
      </c>
      <c r="D15" s="241" t="e">
        <f ca="1">Foglio7tiGiuEc1!MG43</f>
        <v>#N/A</v>
      </c>
      <c r="E15" s="242" t="e">
        <f ca="1">Foglio7tiGiuEc1!MI43</f>
        <v>#N/A</v>
      </c>
      <c r="F15" s="241"/>
      <c r="G15" s="241">
        <f ca="1">Foglio7tiGiuEc1!MJ43</f>
        <v>25960.62</v>
      </c>
      <c r="H15" s="241" t="str">
        <f ca="1">Foglio7tiGiuEc1!MP43</f>
        <v>3-8 anni</v>
      </c>
      <c r="I15" s="241" t="e">
        <f ca="1">Foglio7tiGiuEc1!MM43</f>
        <v>#N/A</v>
      </c>
      <c r="J15" s="241"/>
      <c r="K15" s="241"/>
    </row>
    <row r="16" spans="2:11" x14ac:dyDescent="0.25">
      <c r="B16" s="242">
        <f ca="1">Foglio7tiGiuEc1!ME44</f>
        <v>44562</v>
      </c>
      <c r="C16" s="242">
        <f ca="1">Foglio7tiGiuEc1!MF44</f>
        <v>44651</v>
      </c>
      <c r="D16" s="241" t="e">
        <f ca="1">Foglio7tiGiuEc1!MG44</f>
        <v>#N/A</v>
      </c>
      <c r="E16" s="242" t="e">
        <f ca="1">Foglio7tiGiuEc1!MI44</f>
        <v>#N/A</v>
      </c>
      <c r="F16" s="241"/>
      <c r="G16" s="241">
        <f ca="1">Foglio7tiGiuEc1!MJ44</f>
        <v>26080.62</v>
      </c>
      <c r="H16" s="241" t="str">
        <f ca="1">Foglio7tiGiuEc1!MP44</f>
        <v>3-8 anni</v>
      </c>
      <c r="I16" s="241" t="e">
        <f ca="1">Foglio7tiGiuEc1!MM44</f>
        <v>#N/A</v>
      </c>
      <c r="J16" s="241"/>
      <c r="K16" s="241"/>
    </row>
    <row r="17" spans="2:18" x14ac:dyDescent="0.25">
      <c r="B17" s="242">
        <f ca="1">Foglio7tiGiuEc1!ME45</f>
        <v>44652</v>
      </c>
      <c r="C17" s="242">
        <f ca="1">Foglio7tiGiuEc1!MF45</f>
        <v>44742</v>
      </c>
      <c r="D17" s="241" t="e">
        <f ca="1">Foglio7tiGiuEc1!MG45</f>
        <v>#N/A</v>
      </c>
      <c r="E17" s="242" t="e">
        <f ca="1">Foglio7tiGiuEc1!MI45</f>
        <v>#N/A</v>
      </c>
      <c r="F17" s="241"/>
      <c r="G17" s="241">
        <f ca="1">Foglio7tiGiuEc1!MJ45</f>
        <v>26148.66</v>
      </c>
      <c r="H17" s="241" t="str">
        <f ca="1">Foglio7tiGiuEc1!MP45</f>
        <v>3-8 anni</v>
      </c>
      <c r="I17" s="241" t="e">
        <f ca="1">Foglio7tiGiuEc1!MM45</f>
        <v>#N/A</v>
      </c>
      <c r="J17" s="241"/>
      <c r="K17" s="241"/>
    </row>
    <row r="18" spans="2:18" x14ac:dyDescent="0.25">
      <c r="B18" s="242">
        <f ca="1">Foglio7tiGiuEc1!ME46</f>
        <v>44743</v>
      </c>
      <c r="C18" s="242">
        <f ca="1">Foglio7tiGiuEc1!MF46</f>
        <v>44925</v>
      </c>
      <c r="D18" s="241" t="e">
        <f ca="1">Foglio7tiGiuEc1!MG46</f>
        <v>#N/A</v>
      </c>
      <c r="E18" s="242" t="e">
        <f ca="1">Foglio7tiGiuEc1!MI46</f>
        <v>#N/A</v>
      </c>
      <c r="F18" s="241"/>
      <c r="G18" s="241">
        <f ca="1">Foglio7tiGiuEc1!MJ46</f>
        <v>26194.01</v>
      </c>
      <c r="H18" s="241" t="str">
        <f ca="1">Foglio7tiGiuEc1!MP46</f>
        <v>3-8 anni</v>
      </c>
      <c r="I18" s="241" t="e">
        <f ca="1">Foglio7tiGiuEc1!MM46</f>
        <v>#N/A</v>
      </c>
      <c r="J18" s="241"/>
      <c r="K18" s="241"/>
    </row>
    <row r="19" spans="2:18" x14ac:dyDescent="0.25">
      <c r="B19" s="242">
        <f ca="1">Foglio7tiGiuEc1!ME47</f>
        <v>44926</v>
      </c>
      <c r="C19" s="242">
        <f ca="1">Foglio7tiGiuEc1!MF47</f>
        <v>44926</v>
      </c>
      <c r="D19" s="241" t="e">
        <f ca="1">Foglio7tiGiuEc1!MG47</f>
        <v>#N/A</v>
      </c>
      <c r="E19" s="242" t="e">
        <f ca="1">Foglio7tiGiuEc1!MI47</f>
        <v>#N/A</v>
      </c>
      <c r="F19" s="241"/>
      <c r="G19" s="241">
        <f ca="1">Foglio7tiGiuEc1!MJ47</f>
        <v>26194.01</v>
      </c>
      <c r="H19" s="241" t="str">
        <f ca="1">Foglio7tiGiuEc1!MP47</f>
        <v>3-8 anni</v>
      </c>
      <c r="I19" s="241" t="e">
        <f ca="1">Foglio7tiGiuEc1!MM47</f>
        <v>#N/A</v>
      </c>
      <c r="J19" s="241"/>
      <c r="K19" s="241"/>
    </row>
    <row r="20" spans="2:18" x14ac:dyDescent="0.25">
      <c r="B20" s="242" t="str">
        <f ca="1">Foglio7tiGiuEc1!ME48</f>
        <v/>
      </c>
      <c r="C20" s="242" t="str">
        <f ca="1">Foglio7tiGiuEc1!MF48</f>
        <v/>
      </c>
      <c r="D20" s="241" t="str">
        <f ca="1">Foglio7tiGiuEc1!MG48</f>
        <v/>
      </c>
      <c r="E20" s="242" t="str">
        <f ca="1">Foglio7tiGiuEc1!MI48</f>
        <v/>
      </c>
      <c r="F20" s="241"/>
      <c r="G20" s="241" t="str">
        <f ca="1">Foglio7tiGiuEc1!MJ48</f>
        <v/>
      </c>
      <c r="H20" s="241" t="str">
        <f ca="1">Foglio7tiGiuEc1!MP48</f>
        <v/>
      </c>
      <c r="I20" s="241" t="str">
        <f ca="1">Foglio7tiGiuEc1!MM48</f>
        <v/>
      </c>
      <c r="J20" s="241"/>
      <c r="K20" s="241"/>
    </row>
    <row r="21" spans="2:18" x14ac:dyDescent="0.25">
      <c r="B21" s="242" t="str">
        <f ca="1">Foglio7tiGiuEc1!ME49</f>
        <v/>
      </c>
      <c r="C21" s="242" t="str">
        <f ca="1">Foglio7tiGiuEc1!MF49</f>
        <v/>
      </c>
      <c r="D21" s="241" t="str">
        <f ca="1">Foglio7tiGiuEc1!MG49</f>
        <v/>
      </c>
      <c r="E21" s="242" t="str">
        <f ca="1">Foglio7tiGiuEc1!MI49</f>
        <v/>
      </c>
      <c r="F21" s="241"/>
      <c r="G21" s="241" t="str">
        <f ca="1">Foglio7tiGiuEc1!MJ49</f>
        <v/>
      </c>
      <c r="H21" s="241" t="str">
        <f ca="1">Foglio7tiGiuEc1!MP49</f>
        <v/>
      </c>
      <c r="I21" s="241" t="str">
        <f ca="1">Foglio7tiGiuEc1!MM49</f>
        <v/>
      </c>
      <c r="J21" s="241"/>
      <c r="K21" s="241"/>
    </row>
    <row r="22" spans="2:18" x14ac:dyDescent="0.25">
      <c r="B22" s="242" t="str">
        <f ca="1">Foglio7tiGiuEc1!ME50</f>
        <v/>
      </c>
      <c r="C22" s="242" t="str">
        <f ca="1">Foglio7tiGiuEc1!MF50</f>
        <v/>
      </c>
      <c r="D22" s="241" t="str">
        <f ca="1">Foglio7tiGiuEc1!MG50</f>
        <v/>
      </c>
      <c r="E22" s="242" t="str">
        <f ca="1">Foglio7tiGiuEc1!MI50</f>
        <v/>
      </c>
      <c r="F22" s="241"/>
      <c r="G22" s="241" t="str">
        <f ca="1">Foglio7tiGiuEc1!MJ50</f>
        <v/>
      </c>
      <c r="H22" s="241" t="str">
        <f ca="1">Foglio7tiGiuEc1!MP50</f>
        <v/>
      </c>
      <c r="I22" s="241" t="str">
        <f ca="1">Foglio7tiGiuEc1!MM50</f>
        <v/>
      </c>
      <c r="J22" s="241"/>
      <c r="K22" s="241"/>
    </row>
    <row r="23" spans="2:18" ht="15.75" thickBot="1" x14ac:dyDescent="0.3">
      <c r="B23" s="242" t="str">
        <f ca="1">Foglio7tiGiuEc1!ME51</f>
        <v/>
      </c>
      <c r="C23" s="242" t="str">
        <f ca="1">Foglio7tiGiuEc1!MF51</f>
        <v/>
      </c>
      <c r="D23" s="241" t="str">
        <f ca="1">Foglio7tiGiuEc1!MG51</f>
        <v/>
      </c>
      <c r="E23" s="242" t="str">
        <f ca="1">Foglio7tiGiuEc1!MI51</f>
        <v/>
      </c>
      <c r="F23" s="241"/>
      <c r="G23" s="241" t="str">
        <f ca="1">Foglio7tiGiuEc1!MJ51</f>
        <v/>
      </c>
      <c r="H23" s="241" t="str">
        <f ca="1">Foglio7tiGiuEc1!MP51</f>
        <v/>
      </c>
      <c r="I23" s="241" t="str">
        <f ca="1">Foglio7tiGiuEc1!MM51</f>
        <v/>
      </c>
      <c r="J23" s="241"/>
      <c r="K23" s="241"/>
    </row>
    <row r="24" spans="2:18" x14ac:dyDescent="0.25">
      <c r="B24" s="242" t="str">
        <f ca="1">Foglio7tiGiuEc1!ME52</f>
        <v/>
      </c>
      <c r="C24" s="242" t="str">
        <f ca="1">Foglio7tiGiuEc1!MF52</f>
        <v/>
      </c>
      <c r="D24" s="241" t="str">
        <f ca="1">Foglio7tiGiuEc1!MG52</f>
        <v/>
      </c>
      <c r="E24" s="242" t="str">
        <f ca="1">Foglio7tiGiuEc1!MI52</f>
        <v/>
      </c>
      <c r="F24" s="241"/>
      <c r="G24" s="241" t="str">
        <f ca="1">Foglio7tiGiuEc1!MJ52</f>
        <v/>
      </c>
      <c r="H24" s="241" t="str">
        <f ca="1">Foglio7tiGiuEc1!MP52</f>
        <v/>
      </c>
      <c r="I24" s="241" t="str">
        <f ca="1">Foglio7tiGiuEc1!MM52</f>
        <v/>
      </c>
      <c r="J24" s="241"/>
      <c r="K24" s="241"/>
      <c r="N24" s="671" t="s">
        <v>395</v>
      </c>
      <c r="O24" s="672"/>
      <c r="P24" s="672"/>
      <c r="Q24" s="672"/>
      <c r="R24" s="673"/>
    </row>
    <row r="25" spans="2:18" x14ac:dyDescent="0.25">
      <c r="B25" s="242" t="str">
        <f ca="1">Foglio7tiGiuEc1!ME53</f>
        <v/>
      </c>
      <c r="C25" s="242" t="str">
        <f ca="1">Foglio7tiGiuEc1!MF53</f>
        <v/>
      </c>
      <c r="D25" s="241" t="str">
        <f ca="1">Foglio7tiGiuEc1!MG53</f>
        <v/>
      </c>
      <c r="E25" s="242" t="str">
        <f ca="1">Foglio7tiGiuEc1!MI53</f>
        <v/>
      </c>
      <c r="F25" s="241"/>
      <c r="G25" s="241" t="str">
        <f ca="1">Foglio7tiGiuEc1!MJ53</f>
        <v/>
      </c>
      <c r="H25" s="241" t="str">
        <f ca="1">Foglio7tiGiuEc1!MP53</f>
        <v/>
      </c>
      <c r="I25" s="241" t="str">
        <f ca="1">Foglio7tiGiuEc1!MM53</f>
        <v/>
      </c>
      <c r="J25" s="241"/>
      <c r="K25" s="241"/>
      <c r="N25" s="674"/>
      <c r="O25" s="675"/>
      <c r="P25" s="675"/>
      <c r="Q25" s="675"/>
      <c r="R25" s="676"/>
    </row>
    <row r="26" spans="2:18" x14ac:dyDescent="0.25">
      <c r="B26" s="242" t="str">
        <f ca="1">Foglio7tiGiuEc1!ME54</f>
        <v/>
      </c>
      <c r="C26" s="242" t="str">
        <f ca="1">Foglio7tiGiuEc1!MF54</f>
        <v/>
      </c>
      <c r="D26" s="241" t="str">
        <f ca="1">Foglio7tiGiuEc1!MG54</f>
        <v/>
      </c>
      <c r="E26" s="242" t="str">
        <f ca="1">Foglio7tiGiuEc1!MI54</f>
        <v/>
      </c>
      <c r="F26" s="241"/>
      <c r="G26" s="241" t="str">
        <f ca="1">Foglio7tiGiuEc1!MJ54</f>
        <v/>
      </c>
      <c r="H26" s="241" t="str">
        <f ca="1">Foglio7tiGiuEc1!MP54</f>
        <v/>
      </c>
      <c r="I26" s="241" t="str">
        <f ca="1">Foglio7tiGiuEc1!MM54</f>
        <v/>
      </c>
      <c r="J26" s="241"/>
      <c r="K26" s="241"/>
      <c r="N26" s="674"/>
      <c r="O26" s="675"/>
      <c r="P26" s="675"/>
      <c r="Q26" s="675"/>
      <c r="R26" s="676"/>
    </row>
    <row r="27" spans="2:18" ht="15.75" thickBot="1" x14ac:dyDescent="0.3">
      <c r="B27" s="242" t="str">
        <f ca="1">Foglio7tiGiuEc1!ME55</f>
        <v/>
      </c>
      <c r="C27" s="242" t="str">
        <f ca="1">Foglio7tiGiuEc1!MF55</f>
        <v/>
      </c>
      <c r="D27" s="241" t="str">
        <f ca="1">Foglio7tiGiuEc1!MG55</f>
        <v/>
      </c>
      <c r="E27" s="242" t="str">
        <f ca="1">Foglio7tiGiuEc1!MI55</f>
        <v/>
      </c>
      <c r="F27" s="241"/>
      <c r="G27" s="241" t="str">
        <f ca="1">Foglio7tiGiuEc1!MJ55</f>
        <v/>
      </c>
      <c r="H27" s="241" t="str">
        <f ca="1">Foglio7tiGiuEc1!MP55</f>
        <v/>
      </c>
      <c r="I27" s="241" t="str">
        <f ca="1">Foglio7tiGiuEc1!MM55</f>
        <v/>
      </c>
      <c r="J27" s="241"/>
      <c r="K27" s="241"/>
      <c r="N27" s="677"/>
      <c r="O27" s="678"/>
      <c r="P27" s="678"/>
      <c r="Q27" s="678"/>
      <c r="R27" s="679"/>
    </row>
    <row r="28" spans="2:18" x14ac:dyDescent="0.25">
      <c r="B28" s="242" t="str">
        <f ca="1">Foglio7tiGiuEc1!ME56</f>
        <v/>
      </c>
      <c r="C28" s="242" t="str">
        <f ca="1">Foglio7tiGiuEc1!MF56</f>
        <v/>
      </c>
      <c r="D28" s="241" t="str">
        <f ca="1">Foglio7tiGiuEc1!MG56</f>
        <v/>
      </c>
      <c r="E28" s="242" t="str">
        <f ca="1">Foglio7tiGiuEc1!MI56</f>
        <v/>
      </c>
      <c r="F28" s="241"/>
      <c r="G28" s="241" t="str">
        <f ca="1">Foglio7tiGiuEc1!MJ56</f>
        <v/>
      </c>
      <c r="H28" s="241" t="str">
        <f ca="1">Foglio7tiGiuEc1!MP56</f>
        <v/>
      </c>
      <c r="I28" s="241" t="str">
        <f ca="1">Foglio7tiGiuEc1!MM56</f>
        <v/>
      </c>
      <c r="J28" s="241"/>
      <c r="K28" s="241"/>
    </row>
    <row r="29" spans="2:18" x14ac:dyDescent="0.25">
      <c r="B29" s="242" t="str">
        <f ca="1">Foglio7tiGiuEc1!ME57</f>
        <v/>
      </c>
      <c r="C29" s="242" t="str">
        <f ca="1">Foglio7tiGiuEc1!MF57</f>
        <v/>
      </c>
      <c r="D29" s="241" t="str">
        <f ca="1">Foglio7tiGiuEc1!MG57</f>
        <v/>
      </c>
      <c r="E29" s="242" t="str">
        <f ca="1">Foglio7tiGiuEc1!MI57</f>
        <v/>
      </c>
      <c r="F29" s="241"/>
      <c r="G29" s="241" t="str">
        <f ca="1">Foglio7tiGiuEc1!MJ57</f>
        <v/>
      </c>
      <c r="H29" s="241" t="str">
        <f ca="1">Foglio7tiGiuEc1!MP57</f>
        <v/>
      </c>
      <c r="I29" s="241" t="str">
        <f ca="1">Foglio7tiGiuEc1!MM57</f>
        <v/>
      </c>
      <c r="J29" s="241"/>
      <c r="K29" s="241"/>
    </row>
    <row r="30" spans="2:18" x14ac:dyDescent="0.25">
      <c r="B30" s="242" t="str">
        <f ca="1">Foglio7tiGiuEc1!ME58</f>
        <v/>
      </c>
      <c r="C30" s="242" t="str">
        <f ca="1">Foglio7tiGiuEc1!MF58</f>
        <v/>
      </c>
      <c r="D30" s="241" t="str">
        <f ca="1">Foglio7tiGiuEc1!MG58</f>
        <v/>
      </c>
      <c r="E30" s="242" t="str">
        <f ca="1">Foglio7tiGiuEc1!MI58</f>
        <v/>
      </c>
      <c r="F30" s="241"/>
      <c r="G30" s="241" t="str">
        <f ca="1">Foglio7tiGiuEc1!MJ58</f>
        <v/>
      </c>
      <c r="H30" s="241" t="str">
        <f ca="1">Foglio7tiGiuEc1!MP58</f>
        <v/>
      </c>
      <c r="I30" s="241" t="str">
        <f ca="1">Foglio7tiGiuEc1!MM58</f>
        <v/>
      </c>
      <c r="J30" s="241"/>
      <c r="K30" s="241"/>
    </row>
    <row r="31" spans="2:18" x14ac:dyDescent="0.25">
      <c r="B31" s="242" t="str">
        <f ca="1">Foglio7tiGiuEc1!ME59</f>
        <v/>
      </c>
      <c r="C31" s="242" t="str">
        <f ca="1">Foglio7tiGiuEc1!MF59</f>
        <v/>
      </c>
      <c r="D31" s="241" t="str">
        <f ca="1">Foglio7tiGiuEc1!MG59</f>
        <v/>
      </c>
      <c r="E31" s="242" t="str">
        <f ca="1">Foglio7tiGiuEc1!MI59</f>
        <v/>
      </c>
      <c r="F31" s="241"/>
      <c r="G31" s="241" t="str">
        <f ca="1">Foglio7tiGiuEc1!MJ59</f>
        <v/>
      </c>
      <c r="H31" s="241" t="str">
        <f ca="1">Foglio7tiGiuEc1!MP59</f>
        <v/>
      </c>
      <c r="I31" s="241" t="str">
        <f ca="1">Foglio7tiGiuEc1!MM59</f>
        <v/>
      </c>
      <c r="J31" s="241"/>
      <c r="K31" s="241"/>
    </row>
    <row r="32" spans="2:18" x14ac:dyDescent="0.25">
      <c r="B32" s="242" t="str">
        <f ca="1">Foglio7tiGiuEc1!ME60</f>
        <v/>
      </c>
      <c r="C32" s="242" t="str">
        <f ca="1">Foglio7tiGiuEc1!MF60</f>
        <v/>
      </c>
      <c r="D32" s="241" t="str">
        <f ca="1">Foglio7tiGiuEc1!MG60</f>
        <v/>
      </c>
      <c r="E32" s="242" t="str">
        <f ca="1">Foglio7tiGiuEc1!MI60</f>
        <v/>
      </c>
      <c r="F32" s="241"/>
      <c r="G32" s="241" t="str">
        <f ca="1">Foglio7tiGiuEc1!MJ60</f>
        <v/>
      </c>
      <c r="H32" s="241" t="str">
        <f ca="1">Foglio7tiGiuEc1!MP60</f>
        <v/>
      </c>
      <c r="I32" s="241" t="str">
        <f ca="1">Foglio7tiGiuEc1!MM60</f>
        <v/>
      </c>
      <c r="J32" s="241"/>
      <c r="K32" s="241"/>
    </row>
    <row r="33" spans="2:11" x14ac:dyDescent="0.25">
      <c r="B33" s="242" t="str">
        <f ca="1">Foglio7tiGiuEc1!ME61</f>
        <v/>
      </c>
      <c r="C33" s="242" t="str">
        <f ca="1">Foglio7tiGiuEc1!MF61</f>
        <v/>
      </c>
      <c r="D33" s="241" t="str">
        <f ca="1">Foglio7tiGiuEc1!MG61</f>
        <v/>
      </c>
      <c r="E33" s="242" t="str">
        <f ca="1">Foglio7tiGiuEc1!MI61</f>
        <v/>
      </c>
      <c r="F33" s="241"/>
      <c r="G33" s="241" t="str">
        <f ca="1">Foglio7tiGiuEc1!MJ61</f>
        <v/>
      </c>
      <c r="H33" s="241" t="str">
        <f ca="1">Foglio7tiGiuEc1!MP61</f>
        <v/>
      </c>
      <c r="I33" s="241" t="str">
        <f ca="1">Foglio7tiGiuEc1!MM61</f>
        <v/>
      </c>
      <c r="J33" s="241"/>
      <c r="K33" s="241"/>
    </row>
    <row r="34" spans="2:11" x14ac:dyDescent="0.25">
      <c r="B34" s="242" t="str">
        <f ca="1">Foglio7tiGiuEc1!ME62</f>
        <v/>
      </c>
      <c r="C34" s="242" t="str">
        <f ca="1">Foglio7tiGiuEc1!MF62</f>
        <v/>
      </c>
      <c r="D34" s="241" t="str">
        <f ca="1">Foglio7tiGiuEc1!MG62</f>
        <v/>
      </c>
      <c r="E34" s="242" t="str">
        <f ca="1">Foglio7tiGiuEc1!MI62</f>
        <v/>
      </c>
      <c r="F34" s="241"/>
      <c r="G34" s="241" t="str">
        <f ca="1">Foglio7tiGiuEc1!MJ62</f>
        <v/>
      </c>
      <c r="H34" s="241" t="str">
        <f ca="1">Foglio7tiGiuEc1!MP62</f>
        <v/>
      </c>
      <c r="I34" s="241" t="str">
        <f ca="1">Foglio7tiGiuEc1!MM62</f>
        <v/>
      </c>
      <c r="J34" s="241"/>
      <c r="K34" s="241"/>
    </row>
    <row r="35" spans="2:11" x14ac:dyDescent="0.25">
      <c r="B35" s="242" t="str">
        <f ca="1">Foglio7tiGiuEc1!ME63</f>
        <v/>
      </c>
      <c r="C35" s="242" t="str">
        <f ca="1">Foglio7tiGiuEc1!MF63</f>
        <v/>
      </c>
      <c r="D35" s="241" t="str">
        <f ca="1">Foglio7tiGiuEc1!MG63</f>
        <v/>
      </c>
      <c r="E35" s="242" t="str">
        <f ca="1">Foglio7tiGiuEc1!MI63</f>
        <v/>
      </c>
      <c r="F35" s="241"/>
      <c r="G35" s="241" t="str">
        <f ca="1">Foglio7tiGiuEc1!MJ63</f>
        <v/>
      </c>
      <c r="H35" s="241" t="str">
        <f ca="1">Foglio7tiGiuEc1!MP63</f>
        <v/>
      </c>
      <c r="I35" s="241" t="str">
        <f ca="1">Foglio7tiGiuEc1!MM63</f>
        <v/>
      </c>
      <c r="J35" s="241"/>
      <c r="K35" s="241"/>
    </row>
    <row r="36" spans="2:11" x14ac:dyDescent="0.25">
      <c r="B36" s="242" t="str">
        <f ca="1">Foglio7tiGiuEc1!ME64</f>
        <v/>
      </c>
      <c r="C36" s="242" t="str">
        <f ca="1">Foglio7tiGiuEc1!MF64</f>
        <v/>
      </c>
      <c r="D36" s="241" t="str">
        <f ca="1">Foglio7tiGiuEc1!MG64</f>
        <v/>
      </c>
      <c r="E36" s="242" t="str">
        <f ca="1">Foglio7tiGiuEc1!MI64</f>
        <v/>
      </c>
      <c r="F36" s="241"/>
      <c r="G36" s="241" t="str">
        <f ca="1">Foglio7tiGiuEc1!MJ64</f>
        <v/>
      </c>
      <c r="H36" s="241" t="str">
        <f ca="1">Foglio7tiGiuEc1!MP64</f>
        <v/>
      </c>
      <c r="I36" s="241" t="str">
        <f ca="1">Foglio7tiGiuEc1!MM64</f>
        <v/>
      </c>
      <c r="J36" s="241"/>
      <c r="K36" s="241"/>
    </row>
    <row r="37" spans="2:11" x14ac:dyDescent="0.25">
      <c r="B37" s="242" t="str">
        <f ca="1">Foglio7tiGiuEc1!ME65</f>
        <v/>
      </c>
      <c r="C37" s="242" t="str">
        <f ca="1">Foglio7tiGiuEc1!MF65</f>
        <v/>
      </c>
      <c r="D37" s="241" t="str">
        <f ca="1">Foglio7tiGiuEc1!MG65</f>
        <v/>
      </c>
      <c r="E37" s="242" t="str">
        <f ca="1">Foglio7tiGiuEc1!MI65</f>
        <v/>
      </c>
      <c r="F37" s="241"/>
      <c r="G37" s="241" t="str">
        <f ca="1">Foglio7tiGiuEc1!MJ65</f>
        <v/>
      </c>
      <c r="H37" s="241" t="str">
        <f ca="1">Foglio7tiGiuEc1!MP65</f>
        <v/>
      </c>
      <c r="I37" s="241" t="str">
        <f ca="1">Foglio7tiGiuEc1!MM65</f>
        <v/>
      </c>
      <c r="J37" s="241"/>
      <c r="K37" s="241"/>
    </row>
    <row r="38" spans="2:11" x14ac:dyDescent="0.25">
      <c r="B38" s="242" t="str">
        <f ca="1">Foglio7tiGiuEc1!ME66</f>
        <v/>
      </c>
      <c r="C38" s="242" t="str">
        <f ca="1">Foglio7tiGiuEc1!MF66</f>
        <v/>
      </c>
      <c r="D38" s="241" t="str">
        <f ca="1">Foglio7tiGiuEc1!MG66</f>
        <v/>
      </c>
      <c r="E38" s="242" t="str">
        <f ca="1">Foglio7tiGiuEc1!MI66</f>
        <v/>
      </c>
      <c r="F38" s="241"/>
      <c r="G38" s="241" t="str">
        <f ca="1">Foglio7tiGiuEc1!MJ66</f>
        <v/>
      </c>
      <c r="H38" s="241" t="str">
        <f ca="1">Foglio7tiGiuEc1!MP66</f>
        <v/>
      </c>
      <c r="I38" s="241" t="str">
        <f ca="1">Foglio7tiGiuEc1!MM66</f>
        <v/>
      </c>
      <c r="J38" s="241"/>
      <c r="K38" s="241"/>
    </row>
    <row r="39" spans="2:11" x14ac:dyDescent="0.25">
      <c r="B39" s="242" t="str">
        <f ca="1">Foglio7tiGiuEc1!ME67</f>
        <v/>
      </c>
      <c r="C39" s="242" t="str">
        <f ca="1">Foglio7tiGiuEc1!MF67</f>
        <v/>
      </c>
      <c r="D39" s="241" t="str">
        <f ca="1">Foglio7tiGiuEc1!MG67</f>
        <v/>
      </c>
      <c r="E39" s="242" t="str">
        <f ca="1">Foglio7tiGiuEc1!MI67</f>
        <v/>
      </c>
      <c r="F39" s="241"/>
      <c r="G39" s="241" t="str">
        <f ca="1">Foglio7tiGiuEc1!MJ67</f>
        <v/>
      </c>
      <c r="H39" s="241" t="str">
        <f ca="1">Foglio7tiGiuEc1!MP67</f>
        <v/>
      </c>
      <c r="I39" s="241" t="str">
        <f ca="1">Foglio7tiGiuEc1!MM67</f>
        <v/>
      </c>
      <c r="J39" s="241"/>
      <c r="K39" s="241"/>
    </row>
    <row r="40" spans="2:11" x14ac:dyDescent="0.25">
      <c r="B40" s="242" t="str">
        <f ca="1">Foglio7tiGiuEc1!ME68</f>
        <v/>
      </c>
      <c r="C40" s="242" t="str">
        <f ca="1">Foglio7tiGiuEc1!MF68</f>
        <v/>
      </c>
      <c r="D40" s="241" t="str">
        <f ca="1">Foglio7tiGiuEc1!MG68</f>
        <v/>
      </c>
      <c r="E40" s="242" t="str">
        <f ca="1">Foglio7tiGiuEc1!MI68</f>
        <v/>
      </c>
      <c r="F40" s="241"/>
      <c r="G40" s="241" t="str">
        <f ca="1">Foglio7tiGiuEc1!MJ68</f>
        <v/>
      </c>
      <c r="H40" s="241" t="str">
        <f ca="1">Foglio7tiGiuEc1!MP68</f>
        <v/>
      </c>
      <c r="I40" s="241" t="str">
        <f ca="1">Foglio7tiGiuEc1!MM68</f>
        <v/>
      </c>
      <c r="J40" s="241"/>
      <c r="K40" s="241"/>
    </row>
    <row r="41" spans="2:11" x14ac:dyDescent="0.25">
      <c r="B41" s="242" t="str">
        <f ca="1">Foglio7tiGiuEc1!ME69</f>
        <v/>
      </c>
      <c r="C41" s="242" t="str">
        <f ca="1">Foglio7tiGiuEc1!MF69</f>
        <v/>
      </c>
      <c r="D41" s="241" t="str">
        <f ca="1">Foglio7tiGiuEc1!MG69</f>
        <v/>
      </c>
      <c r="E41" s="242" t="str">
        <f ca="1">Foglio7tiGiuEc1!MI69</f>
        <v/>
      </c>
      <c r="F41" s="241"/>
      <c r="G41" s="241" t="str">
        <f ca="1">Foglio7tiGiuEc1!MJ69</f>
        <v/>
      </c>
      <c r="H41" s="241" t="str">
        <f ca="1">Foglio7tiGiuEc1!MP69</f>
        <v/>
      </c>
      <c r="I41" s="241" t="str">
        <f ca="1">Foglio7tiGiuEc1!MM69</f>
        <v/>
      </c>
      <c r="J41" s="241"/>
      <c r="K41" s="241"/>
    </row>
    <row r="42" spans="2:11" x14ac:dyDescent="0.25">
      <c r="B42" s="242" t="str">
        <f ca="1">Foglio7tiGiuEc1!ME70</f>
        <v/>
      </c>
      <c r="C42" s="242" t="str">
        <f ca="1">Foglio7tiGiuEc1!MF70</f>
        <v/>
      </c>
      <c r="D42" s="241" t="str">
        <f ca="1">Foglio7tiGiuEc1!MG70</f>
        <v/>
      </c>
      <c r="E42" s="242" t="str">
        <f ca="1">Foglio7tiGiuEc1!MI70</f>
        <v/>
      </c>
      <c r="F42" s="241"/>
      <c r="G42" s="241" t="str">
        <f ca="1">Foglio7tiGiuEc1!MJ70</f>
        <v/>
      </c>
      <c r="H42" s="241" t="str">
        <f ca="1">Foglio7tiGiuEc1!MP70</f>
        <v/>
      </c>
      <c r="I42" s="241" t="str">
        <f ca="1">Foglio7tiGiuEc1!MM70</f>
        <v/>
      </c>
      <c r="J42" s="241"/>
      <c r="K42" s="241"/>
    </row>
    <row r="43" spans="2:11" x14ac:dyDescent="0.25">
      <c r="B43" s="242" t="str">
        <f ca="1">Foglio7tiGiuEc1!ME71</f>
        <v/>
      </c>
      <c r="C43" s="242" t="str">
        <f ca="1">Foglio7tiGiuEc1!MF71</f>
        <v/>
      </c>
      <c r="D43" s="241" t="str">
        <f ca="1">Foglio7tiGiuEc1!MG71</f>
        <v/>
      </c>
      <c r="E43" s="242" t="str">
        <f ca="1">Foglio7tiGiuEc1!MI71</f>
        <v/>
      </c>
      <c r="F43" s="241"/>
      <c r="G43" s="241" t="str">
        <f ca="1">Foglio7tiGiuEc1!MJ71</f>
        <v/>
      </c>
      <c r="H43" s="241" t="str">
        <f ca="1">Foglio7tiGiuEc1!MP71</f>
        <v/>
      </c>
      <c r="I43" s="241" t="str">
        <f ca="1">Foglio7tiGiuEc1!MM71</f>
        <v/>
      </c>
      <c r="J43" s="241"/>
      <c r="K43" s="241"/>
    </row>
    <row r="44" spans="2:11" x14ac:dyDescent="0.25">
      <c r="B44" s="242" t="str">
        <f ca="1">Foglio7tiGiuEc1!ME72</f>
        <v/>
      </c>
      <c r="C44" s="242" t="str">
        <f ca="1">Foglio7tiGiuEc1!MF72</f>
        <v/>
      </c>
      <c r="D44" s="241" t="str">
        <f ca="1">Foglio7tiGiuEc1!MG72</f>
        <v/>
      </c>
      <c r="E44" s="242" t="str">
        <f ca="1">Foglio7tiGiuEc1!MI72</f>
        <v/>
      </c>
      <c r="F44" s="241"/>
      <c r="G44" s="241" t="str">
        <f ca="1">Foglio7tiGiuEc1!MJ72</f>
        <v/>
      </c>
      <c r="H44" s="241" t="str">
        <f ca="1">Foglio7tiGiuEc1!MP72</f>
        <v/>
      </c>
      <c r="I44" s="241" t="str">
        <f ca="1">Foglio7tiGiuEc1!MM72</f>
        <v/>
      </c>
      <c r="J44" s="241"/>
      <c r="K44" s="241"/>
    </row>
    <row r="45" spans="2:11" x14ac:dyDescent="0.25">
      <c r="B45" s="242" t="str">
        <f ca="1">Foglio7tiGiuEc1!ME73</f>
        <v/>
      </c>
      <c r="C45" s="242" t="str">
        <f ca="1">Foglio7tiGiuEc1!MF73</f>
        <v/>
      </c>
      <c r="D45" s="241" t="str">
        <f ca="1">Foglio7tiGiuEc1!MG73</f>
        <v/>
      </c>
      <c r="E45" s="242" t="str">
        <f ca="1">Foglio7tiGiuEc1!MI73</f>
        <v/>
      </c>
      <c r="F45" s="241"/>
      <c r="G45" s="241" t="str">
        <f ca="1">Foglio7tiGiuEc1!MJ73</f>
        <v/>
      </c>
      <c r="H45" s="241" t="str">
        <f ca="1">Foglio7tiGiuEc1!MP73</f>
        <v/>
      </c>
      <c r="I45" s="241" t="str">
        <f ca="1">Foglio7tiGiuEc1!MM73</f>
        <v/>
      </c>
      <c r="J45" s="241"/>
      <c r="K45" s="241"/>
    </row>
    <row r="46" spans="2:11" x14ac:dyDescent="0.25">
      <c r="B46" s="242" t="str">
        <f ca="1">Foglio7tiGiuEc1!ME74</f>
        <v/>
      </c>
      <c r="C46" s="242" t="str">
        <f ca="1">Foglio7tiGiuEc1!MF74</f>
        <v/>
      </c>
      <c r="D46" s="241" t="str">
        <f ca="1">Foglio7tiGiuEc1!MG74</f>
        <v/>
      </c>
      <c r="E46" s="242" t="str">
        <f ca="1">Foglio7tiGiuEc1!MI74</f>
        <v/>
      </c>
      <c r="F46" s="241"/>
      <c r="G46" s="241" t="str">
        <f ca="1">Foglio7tiGiuEc1!MJ74</f>
        <v/>
      </c>
      <c r="H46" s="241" t="str">
        <f ca="1">Foglio7tiGiuEc1!MP74</f>
        <v/>
      </c>
      <c r="I46" s="241" t="str">
        <f ca="1">Foglio7tiGiuEc1!MM74</f>
        <v/>
      </c>
      <c r="J46" s="241"/>
      <c r="K46" s="241"/>
    </row>
    <row r="47" spans="2:11" x14ac:dyDescent="0.25">
      <c r="B47" s="242" t="str">
        <f ca="1">Foglio7tiGiuEc1!ME75</f>
        <v/>
      </c>
      <c r="C47" s="242" t="str">
        <f ca="1">Foglio7tiGiuEc1!MF75</f>
        <v/>
      </c>
      <c r="D47" s="241" t="str">
        <f ca="1">Foglio7tiGiuEc1!MG75</f>
        <v/>
      </c>
      <c r="E47" s="242" t="str">
        <f ca="1">Foglio7tiGiuEc1!MI75</f>
        <v/>
      </c>
      <c r="F47" s="241"/>
      <c r="G47" s="241" t="str">
        <f ca="1">Foglio7tiGiuEc1!MJ75</f>
        <v/>
      </c>
      <c r="H47" s="241" t="str">
        <f ca="1">Foglio7tiGiuEc1!MP75</f>
        <v/>
      </c>
      <c r="I47" s="241" t="str">
        <f ca="1">Foglio7tiGiuEc1!MM75</f>
        <v/>
      </c>
      <c r="J47" s="241"/>
      <c r="K47" s="241"/>
    </row>
    <row r="48" spans="2:11" x14ac:dyDescent="0.25">
      <c r="B48" s="242" t="str">
        <f ca="1">Foglio7tiGiuEc1!ME76</f>
        <v/>
      </c>
      <c r="C48" s="242" t="str">
        <f ca="1">Foglio7tiGiuEc1!MF76</f>
        <v/>
      </c>
      <c r="D48" s="241" t="str">
        <f ca="1">Foglio7tiGiuEc1!MG76</f>
        <v/>
      </c>
      <c r="E48" s="242" t="str">
        <f ca="1">Foglio7tiGiuEc1!MI76</f>
        <v/>
      </c>
      <c r="F48" s="241"/>
      <c r="G48" s="241" t="str">
        <f ca="1">Foglio7tiGiuEc1!MJ76</f>
        <v/>
      </c>
      <c r="H48" s="241" t="str">
        <f ca="1">Foglio7tiGiuEc1!MP76</f>
        <v/>
      </c>
      <c r="I48" s="241" t="str">
        <f ca="1">Foglio7tiGiuEc1!MM76</f>
        <v/>
      </c>
      <c r="J48" s="241"/>
      <c r="K48" s="241"/>
    </row>
    <row r="49" spans="2:11" x14ac:dyDescent="0.25">
      <c r="B49" s="242" t="str">
        <f ca="1">Foglio7tiGiuEc1!ME77</f>
        <v/>
      </c>
      <c r="C49" s="242" t="str">
        <f ca="1">Foglio7tiGiuEc1!MF77</f>
        <v/>
      </c>
      <c r="D49" s="241" t="str">
        <f ca="1">Foglio7tiGiuEc1!MG77</f>
        <v/>
      </c>
      <c r="E49" s="242" t="str">
        <f ca="1">Foglio7tiGiuEc1!MI77</f>
        <v/>
      </c>
      <c r="F49" s="241"/>
      <c r="G49" s="241" t="str">
        <f ca="1">Foglio7tiGiuEc1!MJ77</f>
        <v/>
      </c>
      <c r="H49" s="241" t="str">
        <f ca="1">Foglio7tiGiuEc1!MP77</f>
        <v/>
      </c>
      <c r="I49" s="241" t="str">
        <f ca="1">Foglio7tiGiuEc1!MM77</f>
        <v/>
      </c>
      <c r="J49" s="241"/>
      <c r="K49" s="241"/>
    </row>
    <row r="50" spans="2:11" x14ac:dyDescent="0.25">
      <c r="B50" s="242" t="str">
        <f ca="1">Foglio7tiGiuEc1!ME78</f>
        <v/>
      </c>
      <c r="C50" s="242" t="str">
        <f ca="1">Foglio7tiGiuEc1!MF78</f>
        <v/>
      </c>
      <c r="D50" s="241" t="str">
        <f ca="1">Foglio7tiGiuEc1!MG78</f>
        <v/>
      </c>
      <c r="E50" s="242" t="str">
        <f ca="1">Foglio7tiGiuEc1!MI78</f>
        <v/>
      </c>
      <c r="F50" s="241"/>
      <c r="G50" s="241" t="str">
        <f ca="1">Foglio7tiGiuEc1!MJ78</f>
        <v/>
      </c>
      <c r="H50" s="241" t="str">
        <f ca="1">Foglio7tiGiuEc1!MP78</f>
        <v/>
      </c>
      <c r="I50" s="241" t="str">
        <f ca="1">Foglio7tiGiuEc1!MM78</f>
        <v/>
      </c>
      <c r="J50" s="241"/>
      <c r="K50" s="241"/>
    </row>
    <row r="51" spans="2:11" x14ac:dyDescent="0.25">
      <c r="B51" s="242" t="str">
        <f ca="1">Foglio7tiGiuEc1!ME79</f>
        <v/>
      </c>
      <c r="C51" s="242" t="str">
        <f ca="1">Foglio7tiGiuEc1!MF79</f>
        <v/>
      </c>
      <c r="D51" s="241" t="str">
        <f ca="1">Foglio7tiGiuEc1!MG79</f>
        <v/>
      </c>
      <c r="E51" s="242" t="str">
        <f ca="1">Foglio7tiGiuEc1!MI79</f>
        <v/>
      </c>
      <c r="F51" s="241"/>
      <c r="G51" s="241" t="str">
        <f ca="1">Foglio7tiGiuEc1!MJ79</f>
        <v/>
      </c>
      <c r="H51" s="241" t="str">
        <f ca="1">Foglio7tiGiuEc1!MP79</f>
        <v/>
      </c>
      <c r="I51" s="241" t="str">
        <f ca="1">Foglio7tiGiuEc1!MM79</f>
        <v/>
      </c>
      <c r="J51" s="241"/>
      <c r="K51" s="241"/>
    </row>
    <row r="52" spans="2:11" x14ac:dyDescent="0.25">
      <c r="B52" s="242" t="str">
        <f ca="1">Foglio7tiGiuEc1!ME80</f>
        <v/>
      </c>
      <c r="C52" s="242" t="str">
        <f ca="1">Foglio7tiGiuEc1!MF80</f>
        <v/>
      </c>
      <c r="D52" s="241" t="str">
        <f ca="1">Foglio7tiGiuEc1!MG80</f>
        <v/>
      </c>
      <c r="E52" s="242" t="str">
        <f ca="1">Foglio7tiGiuEc1!MI80</f>
        <v/>
      </c>
      <c r="F52" s="241"/>
      <c r="G52" s="241" t="str">
        <f ca="1">Foglio7tiGiuEc1!MJ80</f>
        <v/>
      </c>
      <c r="H52" s="241" t="str">
        <f ca="1">Foglio7tiGiuEc1!MP80</f>
        <v/>
      </c>
      <c r="I52" s="241" t="str">
        <f ca="1">Foglio7tiGiuEc1!MM80</f>
        <v/>
      </c>
      <c r="J52" s="241"/>
      <c r="K52" s="241"/>
    </row>
    <row r="53" spans="2:11" x14ac:dyDescent="0.25">
      <c r="B53" s="242" t="str">
        <f ca="1">Foglio7tiGiuEc1!ME81</f>
        <v/>
      </c>
      <c r="C53" s="242" t="str">
        <f ca="1">Foglio7tiGiuEc1!MF81</f>
        <v/>
      </c>
      <c r="D53" s="241" t="str">
        <f ca="1">Foglio7tiGiuEc1!MG81</f>
        <v/>
      </c>
      <c r="E53" s="242" t="str">
        <f ca="1">Foglio7tiGiuEc1!MI81</f>
        <v/>
      </c>
      <c r="F53" s="241"/>
      <c r="G53" s="241" t="str">
        <f ca="1">Foglio7tiGiuEc1!MJ81</f>
        <v/>
      </c>
      <c r="H53" s="241" t="str">
        <f ca="1">Foglio7tiGiuEc1!MP81</f>
        <v/>
      </c>
      <c r="I53" s="241" t="str">
        <f ca="1">Foglio7tiGiuEc1!MM81</f>
        <v/>
      </c>
      <c r="J53" s="241"/>
      <c r="K53" s="241"/>
    </row>
    <row r="54" spans="2:11" x14ac:dyDescent="0.25">
      <c r="B54" s="242" t="str">
        <f ca="1">Foglio7tiGiuEc1!ME82</f>
        <v/>
      </c>
      <c r="C54" s="242" t="str">
        <f ca="1">Foglio7tiGiuEc1!MF82</f>
        <v/>
      </c>
      <c r="D54" s="241" t="str">
        <f ca="1">Foglio7tiGiuEc1!MG82</f>
        <v/>
      </c>
      <c r="E54" s="242" t="str">
        <f ca="1">Foglio7tiGiuEc1!MI82</f>
        <v/>
      </c>
      <c r="F54" s="241"/>
      <c r="G54" s="241" t="str">
        <f ca="1">Foglio7tiGiuEc1!MJ82</f>
        <v/>
      </c>
      <c r="H54" s="241" t="str">
        <f ca="1">Foglio7tiGiuEc1!MP82</f>
        <v/>
      </c>
      <c r="I54" s="241" t="str">
        <f ca="1">Foglio7tiGiuEc1!MM82</f>
        <v/>
      </c>
      <c r="J54" s="241"/>
      <c r="K54" s="241"/>
    </row>
    <row r="55" spans="2:11" x14ac:dyDescent="0.25">
      <c r="B55" s="242" t="str">
        <f ca="1">Foglio7tiGiuEc1!ME83</f>
        <v/>
      </c>
      <c r="C55" s="242" t="str">
        <f ca="1">Foglio7tiGiuEc1!MF83</f>
        <v/>
      </c>
      <c r="D55" s="241" t="str">
        <f ca="1">Foglio7tiGiuEc1!MG83</f>
        <v/>
      </c>
      <c r="E55" s="242" t="str">
        <f ca="1">Foglio7tiGiuEc1!MI83</f>
        <v/>
      </c>
      <c r="F55" s="241"/>
      <c r="G55" s="241" t="str">
        <f ca="1">Foglio7tiGiuEc1!MJ83</f>
        <v/>
      </c>
      <c r="H55" s="241" t="str">
        <f ca="1">Foglio7tiGiuEc1!MP83</f>
        <v/>
      </c>
      <c r="I55" s="241" t="str">
        <f ca="1">Foglio7tiGiuEc1!MM83</f>
        <v/>
      </c>
      <c r="J55" s="241"/>
      <c r="K55" s="241"/>
    </row>
    <row r="56" spans="2:11" x14ac:dyDescent="0.25">
      <c r="B56" s="315"/>
      <c r="C56" s="315"/>
      <c r="D56" s="315"/>
      <c r="E56" s="315"/>
      <c r="F56" s="315"/>
      <c r="G56" s="315"/>
      <c r="H56" s="315" t="s">
        <v>436</v>
      </c>
      <c r="I56" s="315" t="e">
        <f ca="1">SUM(I11:I55)</f>
        <v>#N/A</v>
      </c>
      <c r="J56" s="315"/>
      <c r="K56" s="315"/>
    </row>
    <row r="57" spans="2:11" x14ac:dyDescent="0.25">
      <c r="B57" s="315"/>
      <c r="C57" s="315"/>
      <c r="D57" s="315"/>
      <c r="E57" s="315"/>
      <c r="F57" s="315"/>
      <c r="G57" s="315"/>
      <c r="H57" s="315" t="s">
        <v>437</v>
      </c>
      <c r="I57" s="315" t="e">
        <f ca="1">ROUND(I56/12,2)</f>
        <v>#N/A</v>
      </c>
      <c r="J57" s="315"/>
      <c r="K57" s="315"/>
    </row>
    <row r="58" spans="2:11" x14ac:dyDescent="0.25">
      <c r="B58" s="315"/>
      <c r="C58" s="315"/>
      <c r="D58" s="315"/>
      <c r="E58" s="315"/>
      <c r="F58" s="315"/>
      <c r="G58" s="315"/>
      <c r="H58" s="315" t="s">
        <v>438</v>
      </c>
      <c r="I58" s="315" t="e">
        <f ca="1">I56+I57</f>
        <v>#N/A</v>
      </c>
      <c r="J58" s="315"/>
      <c r="K58" s="315"/>
    </row>
    <row r="59" spans="2:11" x14ac:dyDescent="0.25">
      <c r="B59" s="315"/>
      <c r="C59" s="315"/>
      <c r="D59" s="315"/>
      <c r="E59" s="315"/>
      <c r="F59" s="315"/>
      <c r="G59" s="315"/>
      <c r="H59" s="315"/>
      <c r="I59" s="315"/>
      <c r="J59" s="315"/>
      <c r="K59" s="315"/>
    </row>
    <row r="60" spans="2:11" x14ac:dyDescent="0.25">
      <c r="B60" s="315"/>
      <c r="C60" s="315"/>
      <c r="D60" s="315"/>
      <c r="E60" s="315"/>
      <c r="F60" s="315"/>
      <c r="G60" s="315"/>
      <c r="H60" s="315"/>
      <c r="I60" s="315"/>
      <c r="J60" s="315"/>
      <c r="K60" s="315"/>
    </row>
  </sheetData>
  <sheetProtection sheet="1" objects="1" scenarios="1"/>
  <mergeCells count="3">
    <mergeCell ref="N24:R27"/>
    <mergeCell ref="B1:I1"/>
    <mergeCell ref="B2:I2"/>
  </mergeCells>
  <hyperlinks>
    <hyperlink ref="N24:R27" location="decretoti!A1" display="TORNA" xr:uid="{00000000-0004-0000-16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AE47"/>
  <sheetViews>
    <sheetView topLeftCell="C25" zoomScaleNormal="100" workbookViewId="0">
      <selection activeCell="N37" sqref="N37"/>
    </sheetView>
  </sheetViews>
  <sheetFormatPr defaultColWidth="8.85546875" defaultRowHeight="15" x14ac:dyDescent="0.25"/>
  <cols>
    <col min="1" max="2" width="8.85546875" style="349"/>
    <col min="3" max="3" width="10.5703125" style="349" bestFit="1" customWidth="1"/>
    <col min="4" max="6" width="8.85546875" style="349"/>
    <col min="7" max="7" width="10.7109375" style="349" customWidth="1"/>
    <col min="8" max="8" width="10.28515625" style="349" customWidth="1"/>
    <col min="9" max="9" width="10.42578125" style="349" customWidth="1"/>
    <col min="10" max="13" width="8.85546875" style="349"/>
    <col min="14" max="14" width="10.5703125" style="349" bestFit="1" customWidth="1"/>
    <col min="15" max="15" width="10.7109375" style="349" customWidth="1"/>
    <col min="16" max="16" width="8.85546875" style="349" customWidth="1"/>
    <col min="17" max="17" width="15.7109375" style="349" customWidth="1"/>
    <col min="18" max="18" width="11.140625" style="349" customWidth="1"/>
    <col min="19" max="19" width="12.7109375" style="349" customWidth="1"/>
    <col min="20" max="20" width="8.85546875" style="349" customWidth="1"/>
    <col min="21" max="21" width="10.5703125" style="349" customWidth="1"/>
    <col min="22" max="27" width="8.85546875" style="349" customWidth="1"/>
    <col min="28" max="16384" width="8.85546875" style="349"/>
  </cols>
  <sheetData>
    <row r="3" spans="3:31" ht="15.75" thickBot="1" x14ac:dyDescent="0.3"/>
    <row r="4" spans="3:31" x14ac:dyDescent="0.25">
      <c r="O4" s="362" t="s">
        <v>488</v>
      </c>
      <c r="P4" s="443"/>
      <c r="Q4" s="443"/>
      <c r="R4" s="443"/>
      <c r="S4" s="443"/>
      <c r="T4" s="443"/>
      <c r="U4" s="443"/>
      <c r="V4" s="443"/>
      <c r="W4" s="443"/>
      <c r="X4" s="443"/>
      <c r="Y4" s="443"/>
      <c r="Z4" s="443"/>
      <c r="AA4" s="443"/>
      <c r="AB4" s="443"/>
      <c r="AC4" s="443"/>
      <c r="AD4" s="443"/>
      <c r="AE4" s="444"/>
    </row>
    <row r="5" spans="3:31" ht="16.5" thickBot="1" x14ac:dyDescent="0.3">
      <c r="O5" s="628" t="s">
        <v>489</v>
      </c>
      <c r="P5" s="629"/>
      <c r="Q5" s="629"/>
      <c r="R5" s="629"/>
      <c r="S5" s="629"/>
      <c r="T5" s="629"/>
      <c r="U5" s="630"/>
      <c r="V5" s="630"/>
      <c r="W5" s="630"/>
      <c r="X5" s="630"/>
      <c r="Y5" s="630"/>
      <c r="Z5" s="630"/>
      <c r="AA5" s="630"/>
      <c r="AB5" s="630"/>
      <c r="AC5" s="630"/>
      <c r="AD5" s="630"/>
      <c r="AE5" s="445"/>
    </row>
    <row r="9" spans="3:31" ht="15.75" thickBot="1" x14ac:dyDescent="0.3"/>
    <row r="10" spans="3:31" x14ac:dyDescent="0.25">
      <c r="J10" s="638" t="s">
        <v>441</v>
      </c>
      <c r="K10" s="639"/>
      <c r="L10" s="639"/>
      <c r="M10" s="639"/>
      <c r="N10" s="639"/>
      <c r="O10" s="640"/>
    </row>
    <row r="11" spans="3:31" ht="15.75" thickBot="1" x14ac:dyDescent="0.3">
      <c r="J11" s="641"/>
      <c r="K11" s="642"/>
      <c r="L11" s="642"/>
      <c r="M11" s="642"/>
      <c r="N11" s="642"/>
      <c r="O11" s="643"/>
      <c r="Q11" s="413"/>
    </row>
    <row r="13" spans="3:31" x14ac:dyDescent="0.25">
      <c r="V13" s="349" t="s">
        <v>168</v>
      </c>
      <c r="W13" s="349">
        <v>0</v>
      </c>
    </row>
    <row r="14" spans="3:31" x14ac:dyDescent="0.25">
      <c r="V14" s="349" t="s">
        <v>169</v>
      </c>
      <c r="W14" s="349">
        <v>3</v>
      </c>
    </row>
    <row r="15" spans="3:31" x14ac:dyDescent="0.25">
      <c r="V15" s="349" t="s">
        <v>170</v>
      </c>
      <c r="W15" s="349">
        <v>9</v>
      </c>
    </row>
    <row r="16" spans="3:31" ht="18.75" x14ac:dyDescent="0.3">
      <c r="C16" s="406" t="s">
        <v>439</v>
      </c>
      <c r="V16" s="349" t="s">
        <v>171</v>
      </c>
      <c r="W16" s="349">
        <v>15</v>
      </c>
    </row>
    <row r="17" spans="3:23" ht="48" customHeight="1" x14ac:dyDescent="0.25">
      <c r="C17" s="637" t="s">
        <v>440</v>
      </c>
      <c r="D17" s="598"/>
      <c r="E17" s="598"/>
      <c r="F17" s="598"/>
      <c r="G17" s="598"/>
      <c r="H17" s="598"/>
      <c r="I17" s="598"/>
      <c r="V17" s="349" t="s">
        <v>172</v>
      </c>
      <c r="W17" s="349">
        <v>21</v>
      </c>
    </row>
    <row r="18" spans="3:23" x14ac:dyDescent="0.25">
      <c r="V18" s="349" t="s">
        <v>173</v>
      </c>
      <c r="W18" s="349">
        <v>28</v>
      </c>
    </row>
    <row r="19" spans="3:23" ht="15.75" thickBot="1" x14ac:dyDescent="0.3">
      <c r="V19" s="349" t="s">
        <v>174</v>
      </c>
      <c r="W19" s="349">
        <v>34</v>
      </c>
    </row>
    <row r="20" spans="3:23" ht="15.75" thickBot="1" x14ac:dyDescent="0.3">
      <c r="C20" s="649" t="s">
        <v>397</v>
      </c>
      <c r="D20" s="655"/>
      <c r="E20" s="657" t="str">
        <f>religione!B22</f>
        <v>DocentePrimaria</v>
      </c>
      <c r="F20" s="658"/>
      <c r="G20" s="658"/>
      <c r="J20" s="649" t="s">
        <v>403</v>
      </c>
      <c r="K20" s="650"/>
      <c r="L20" s="397" t="s">
        <v>390</v>
      </c>
      <c r="N20" s="396" t="s">
        <v>390</v>
      </c>
    </row>
    <row r="21" spans="3:23" x14ac:dyDescent="0.25">
      <c r="N21" s="396" t="s">
        <v>268</v>
      </c>
    </row>
    <row r="22" spans="3:23" ht="15.75" thickBot="1" x14ac:dyDescent="0.3"/>
    <row r="23" spans="3:23" ht="53.45" customHeight="1" thickBot="1" x14ac:dyDescent="0.3">
      <c r="C23" s="651" t="s">
        <v>404</v>
      </c>
      <c r="D23" s="652"/>
      <c r="E23" s="652"/>
      <c r="F23" s="652"/>
      <c r="G23" s="653"/>
      <c r="H23" s="397" t="s">
        <v>390</v>
      </c>
      <c r="I23" s="419" t="s">
        <v>455</v>
      </c>
      <c r="Q23" s="631" t="s">
        <v>479</v>
      </c>
      <c r="R23" s="632"/>
      <c r="S23" s="632"/>
      <c r="T23" s="633"/>
    </row>
    <row r="24" spans="3:23" ht="15.75" thickBot="1" x14ac:dyDescent="0.3">
      <c r="Q24" s="634"/>
      <c r="R24" s="635"/>
      <c r="S24" s="635"/>
      <c r="T24" s="636"/>
    </row>
    <row r="25" spans="3:23" x14ac:dyDescent="0.25">
      <c r="C25" s="654" t="s">
        <v>405</v>
      </c>
      <c r="D25" s="617"/>
      <c r="E25" s="617"/>
      <c r="F25" s="617"/>
      <c r="G25" s="617"/>
      <c r="H25" s="427" t="s">
        <v>390</v>
      </c>
      <c r="I25" s="420" t="s">
        <v>455</v>
      </c>
      <c r="J25" s="390"/>
      <c r="K25" s="390"/>
      <c r="L25" s="390"/>
      <c r="M25" s="390"/>
      <c r="N25" s="421" t="s">
        <v>453</v>
      </c>
      <c r="O25" s="422"/>
      <c r="Q25" s="395"/>
      <c r="R25" s="349" t="s">
        <v>454</v>
      </c>
      <c r="T25" s="394"/>
    </row>
    <row r="26" spans="3:23" x14ac:dyDescent="0.25">
      <c r="C26" s="395"/>
      <c r="N26" s="423" t="s">
        <v>269</v>
      </c>
      <c r="O26" s="424" t="s">
        <v>272</v>
      </c>
      <c r="Q26" s="395"/>
      <c r="R26" s="349" t="s">
        <v>269</v>
      </c>
      <c r="S26" s="349" t="s">
        <v>272</v>
      </c>
      <c r="T26" s="441"/>
      <c r="U26" s="442"/>
    </row>
    <row r="27" spans="3:23" x14ac:dyDescent="0.25">
      <c r="C27" s="656" t="s">
        <v>383</v>
      </c>
      <c r="D27" s="615"/>
      <c r="E27" s="659"/>
      <c r="F27" s="660"/>
      <c r="G27" s="419" t="s">
        <v>455</v>
      </c>
      <c r="N27" s="426" t="str">
        <f ca="1">foglio2bis!AL139</f>
        <v>0-2 anni</v>
      </c>
      <c r="O27" s="425">
        <f ca="1">foglio2bis!AM139</f>
        <v>45536</v>
      </c>
      <c r="Q27" s="395"/>
      <c r="R27" s="434"/>
      <c r="S27" s="433">
        <f>F29</f>
        <v>45536</v>
      </c>
      <c r="T27" s="418" t="e">
        <f>VLOOKUP(R27,$V$13:$W$19,2)</f>
        <v>#N/A</v>
      </c>
      <c r="U27" s="416"/>
      <c r="V27" s="416"/>
    </row>
    <row r="28" spans="3:23" x14ac:dyDescent="0.25">
      <c r="C28" s="395"/>
      <c r="N28" s="426" t="str">
        <f ca="1">IF( OR(foglio2bis!AL140=100000,O28=""),"",foglio2bis!AL140)</f>
        <v>9-14 anni</v>
      </c>
      <c r="O28" s="425">
        <f ca="1">IF(OR(foglio2bis!AM140=100000,  foglio2bis!AM140&gt;$C$47                 ),"",foglio2bis!AM140)</f>
        <v>45901</v>
      </c>
      <c r="Q28" s="395"/>
      <c r="R28" s="434"/>
      <c r="S28" s="435"/>
      <c r="T28" s="418" t="str">
        <f>IF(R28="","",VLOOKUP(R28,$V$13:$W$20,2))</f>
        <v/>
      </c>
      <c r="U28" s="417" t="str">
        <f>IF(S28=0,"",S28)</f>
        <v/>
      </c>
      <c r="V28" s="416"/>
    </row>
    <row r="29" spans="3:23" x14ac:dyDescent="0.25">
      <c r="C29" s="656" t="s">
        <v>399</v>
      </c>
      <c r="D29" s="615"/>
      <c r="E29" s="615"/>
      <c r="F29" s="659">
        <f>religione!J34*1</f>
        <v>45536</v>
      </c>
      <c r="G29" s="660"/>
      <c r="H29" s="419" t="s">
        <v>455</v>
      </c>
      <c r="N29" s="426" t="str">
        <f ca="1">IF( OR(foglio2bis!AL141=100000,O29=""),"",foglio2bis!AL141)</f>
        <v/>
      </c>
      <c r="O29" s="425" t="str">
        <f ca="1">IF(OR(foglio2bis!AM141=100000,  foglio2bis!AM141&gt;$C$47                 ),"",foglio2bis!AM141)</f>
        <v/>
      </c>
      <c r="Q29" s="395"/>
      <c r="R29" s="434"/>
      <c r="S29" s="435"/>
      <c r="T29" s="418" t="str">
        <f t="shared" ref="T29:T33" si="0">IF(R29="","",VLOOKUP(R29,$V$13:$W$20,2))</f>
        <v/>
      </c>
      <c r="U29" s="417" t="str">
        <f t="shared" ref="U29:U33" si="1">IF(S29=0,"",S29)</f>
        <v/>
      </c>
      <c r="V29" s="416"/>
    </row>
    <row r="30" spans="3:23" x14ac:dyDescent="0.25">
      <c r="C30" s="395"/>
      <c r="N30" s="426" t="str">
        <f ca="1">IF( OR(foglio2bis!AL142=100000,O30=""),"",foglio2bis!AL142)</f>
        <v/>
      </c>
      <c r="O30" s="425" t="str">
        <f ca="1">IF(OR(foglio2bis!AM142=100000,  foglio2bis!AM142&gt;$C$47                 ),"",foglio2bis!AM142)</f>
        <v/>
      </c>
      <c r="Q30" s="395"/>
      <c r="R30" s="434"/>
      <c r="S30" s="435"/>
      <c r="T30" s="418" t="str">
        <f t="shared" si="0"/>
        <v/>
      </c>
      <c r="U30" s="417" t="str">
        <f t="shared" si="1"/>
        <v/>
      </c>
      <c r="V30" s="416"/>
    </row>
    <row r="31" spans="3:23" x14ac:dyDescent="0.25">
      <c r="C31" s="395"/>
      <c r="I31" s="414" t="s">
        <v>56</v>
      </c>
      <c r="J31" s="414" t="s">
        <v>94</v>
      </c>
      <c r="K31" s="414" t="s">
        <v>95</v>
      </c>
      <c r="N31" s="426" t="str">
        <f ca="1">IF( OR(foglio2bis!AL143=100000,O31=""),"",foglio2bis!AL143)</f>
        <v/>
      </c>
      <c r="O31" s="425" t="str">
        <f ca="1">IF(OR(foglio2bis!AM143=100000,  foglio2bis!AM143&gt;$C$47                 ),"",foglio2bis!AM143)</f>
        <v/>
      </c>
      <c r="Q31" s="395"/>
      <c r="R31" s="434"/>
      <c r="S31" s="435"/>
      <c r="T31" s="418" t="str">
        <f t="shared" si="0"/>
        <v/>
      </c>
      <c r="U31" s="417" t="str">
        <f t="shared" si="1"/>
        <v/>
      </c>
      <c r="V31" s="416"/>
    </row>
    <row r="32" spans="3:23" x14ac:dyDescent="0.25">
      <c r="C32" s="647" t="s">
        <v>398</v>
      </c>
      <c r="D32" s="648"/>
      <c r="E32" s="648"/>
      <c r="F32" s="648"/>
      <c r="G32" s="648"/>
      <c r="H32" s="648"/>
      <c r="I32" s="398">
        <v>10</v>
      </c>
      <c r="J32" s="398">
        <v>0</v>
      </c>
      <c r="K32" s="398">
        <v>0</v>
      </c>
      <c r="L32" s="419" t="s">
        <v>455</v>
      </c>
      <c r="N32" s="426" t="str">
        <f ca="1">IF( OR(foglio2bis!AL144=100000,O32=""),"",foglio2bis!AL144)</f>
        <v/>
      </c>
      <c r="O32" s="425" t="str">
        <f ca="1">IF(OR(foglio2bis!AM144=100000,  foglio2bis!AM144&gt;$C$47                 ),"",foglio2bis!AM144)</f>
        <v/>
      </c>
      <c r="Q32" s="395"/>
      <c r="R32" s="434"/>
      <c r="S32" s="435"/>
      <c r="T32" s="418" t="str">
        <f t="shared" si="0"/>
        <v/>
      </c>
      <c r="U32" s="417" t="str">
        <f t="shared" si="1"/>
        <v/>
      </c>
      <c r="V32" s="416"/>
    </row>
    <row r="33" spans="1:22" ht="15.75" thickBot="1" x14ac:dyDescent="0.3">
      <c r="C33" s="391"/>
      <c r="D33" s="392"/>
      <c r="E33" s="392"/>
      <c r="F33" s="392"/>
      <c r="G33" s="392"/>
      <c r="H33" s="392"/>
      <c r="I33" s="392"/>
      <c r="J33" s="392"/>
      <c r="K33" s="392"/>
      <c r="L33" s="392"/>
      <c r="M33" s="392"/>
      <c r="N33" s="426" t="str">
        <f ca="1">IF( OR(foglio2bis!AL145=100000,O33=""),"",foglio2bis!AL145)</f>
        <v/>
      </c>
      <c r="O33" s="425" t="str">
        <f ca="1">IF(OR(foglio2bis!AM145=100000,  foglio2bis!AM145&gt;$C$47                 ),"",foglio2bis!AM145)</f>
        <v/>
      </c>
      <c r="Q33" s="395"/>
      <c r="R33" s="434"/>
      <c r="S33" s="435"/>
      <c r="T33" s="418" t="str">
        <f t="shared" si="0"/>
        <v/>
      </c>
      <c r="U33" s="417" t="str">
        <f t="shared" si="1"/>
        <v/>
      </c>
      <c r="V33" s="416"/>
    </row>
    <row r="34" spans="1:22" ht="84.6" customHeight="1" thickBot="1" x14ac:dyDescent="0.3">
      <c r="Q34" s="391"/>
      <c r="R34" s="392"/>
      <c r="S34" s="392"/>
      <c r="T34" s="393"/>
    </row>
    <row r="35" spans="1:22" x14ac:dyDescent="0.25">
      <c r="A35" s="389"/>
      <c r="C35" s="389"/>
      <c r="D35" s="390"/>
      <c r="E35" s="390"/>
      <c r="F35" s="390"/>
      <c r="G35" s="390"/>
      <c r="H35" s="390"/>
      <c r="I35" s="390"/>
      <c r="J35" s="390"/>
      <c r="K35" s="390"/>
      <c r="L35" s="390"/>
      <c r="M35" s="390"/>
      <c r="N35" s="421" t="s">
        <v>453</v>
      </c>
      <c r="O35" s="422"/>
      <c r="Q35" s="631" t="s">
        <v>480</v>
      </c>
      <c r="R35" s="595"/>
      <c r="S35" s="595"/>
      <c r="T35" s="596"/>
    </row>
    <row r="36" spans="1:22" ht="14.45" customHeight="1" x14ac:dyDescent="0.25">
      <c r="A36" s="395"/>
      <c r="C36" s="647" t="s">
        <v>400</v>
      </c>
      <c r="D36" s="648"/>
      <c r="E36" s="648"/>
      <c r="F36" s="648"/>
      <c r="G36" s="648"/>
      <c r="H36" s="648"/>
      <c r="I36" s="648"/>
      <c r="N36" s="423" t="s">
        <v>269</v>
      </c>
      <c r="O36" s="424" t="s">
        <v>272</v>
      </c>
      <c r="Q36" s="597"/>
      <c r="R36" s="598"/>
      <c r="S36" s="598"/>
      <c r="T36" s="599"/>
    </row>
    <row r="37" spans="1:22" x14ac:dyDescent="0.25">
      <c r="A37" s="395"/>
      <c r="C37" s="395"/>
      <c r="G37" s="414" t="s">
        <v>56</v>
      </c>
      <c r="H37" s="414" t="s">
        <v>94</v>
      </c>
      <c r="I37" s="414" t="s">
        <v>95</v>
      </c>
      <c r="N37" s="415" t="str">
        <f ca="1">foglio2bis!G139</f>
        <v>0-8 anni</v>
      </c>
      <c r="O37" s="415">
        <f ca="1">foglio2bis!H139</f>
        <v>45536</v>
      </c>
      <c r="Q37" s="597"/>
      <c r="R37" s="598"/>
      <c r="S37" s="598"/>
      <c r="T37" s="599"/>
    </row>
    <row r="38" spans="1:22" x14ac:dyDescent="0.25">
      <c r="A38" s="395"/>
      <c r="C38" s="395" t="s">
        <v>401</v>
      </c>
      <c r="G38" s="399">
        <f>religione!K56</f>
        <v>4</v>
      </c>
      <c r="H38" s="399">
        <f>religione!L56</f>
        <v>8</v>
      </c>
      <c r="I38" s="399">
        <f>religione!M56</f>
        <v>0</v>
      </c>
      <c r="J38" s="419" t="s">
        <v>455</v>
      </c>
      <c r="N38" s="415" t="str">
        <f ca="1">IF(O38="","",foglio2bis!G140)</f>
        <v/>
      </c>
      <c r="O38" s="415" t="str">
        <f ca="1">IF(foglio2bis!H140&gt;fronttibis!$C$47,"",foglio2bis!H140)</f>
        <v/>
      </c>
      <c r="Q38" s="395"/>
      <c r="R38" s="349" t="s">
        <v>454</v>
      </c>
      <c r="T38" s="394"/>
    </row>
    <row r="39" spans="1:22" x14ac:dyDescent="0.25">
      <c r="A39" s="395"/>
      <c r="C39" s="395" t="s">
        <v>402</v>
      </c>
      <c r="G39" s="399">
        <f>religione!K57</f>
        <v>0</v>
      </c>
      <c r="H39" s="399">
        <f>religione!L57</f>
        <v>4</v>
      </c>
      <c r="I39" s="399">
        <f>religione!M57</f>
        <v>0</v>
      </c>
      <c r="N39" s="415" t="str">
        <f ca="1">IF(O39="","",foglio2bis!G141)</f>
        <v/>
      </c>
      <c r="O39" s="415" t="str">
        <f ca="1">IF(foglio2bis!H141&gt;fronttibis!$C$47,"",foglio2bis!H141)</f>
        <v/>
      </c>
      <c r="Q39" s="395"/>
      <c r="R39" s="349" t="s">
        <v>269</v>
      </c>
      <c r="S39" s="349" t="s">
        <v>272</v>
      </c>
      <c r="T39" s="441"/>
      <c r="U39" s="442"/>
    </row>
    <row r="40" spans="1:22" ht="12" customHeight="1" thickBot="1" x14ac:dyDescent="0.3">
      <c r="A40" s="391"/>
      <c r="C40" s="395"/>
      <c r="N40" s="415" t="str">
        <f ca="1">IF(O40="","",foglio2bis!G142)</f>
        <v/>
      </c>
      <c r="O40" s="415" t="str">
        <f ca="1">IF(foglio2bis!H142&gt;fronttibis!$C$47,"",foglio2bis!H142)</f>
        <v/>
      </c>
      <c r="Q40" s="395"/>
      <c r="R40" s="434"/>
      <c r="S40" s="433">
        <f>F29</f>
        <v>45536</v>
      </c>
      <c r="T40" s="418" t="e">
        <f>VLOOKUP(R40,$V$13:$W$19,2)</f>
        <v>#N/A</v>
      </c>
      <c r="U40" s="442"/>
    </row>
    <row r="41" spans="1:22" x14ac:dyDescent="0.25">
      <c r="C41" s="395"/>
      <c r="N41" s="415" t="str">
        <f ca="1">IF(O41="","",foglio2bis!G143)</f>
        <v/>
      </c>
      <c r="O41" s="415" t="str">
        <f ca="1">IF(foglio2bis!H143&gt;fronttibis!$C$47,"",foglio2bis!H143)</f>
        <v/>
      </c>
      <c r="Q41" s="395"/>
      <c r="R41" s="434"/>
      <c r="S41" s="435"/>
      <c r="T41" s="418" t="str">
        <f t="shared" ref="T41:T46" si="2">IF(R41="","",VLOOKUP(R41,$V$13:$W$20,2))</f>
        <v/>
      </c>
      <c r="U41" s="417" t="str">
        <f t="shared" ref="U41:U46" si="3">IF(S41=0,"",S41)</f>
        <v/>
      </c>
    </row>
    <row r="42" spans="1:22" x14ac:dyDescent="0.25">
      <c r="C42" s="395"/>
      <c r="N42" s="415" t="str">
        <f ca="1">IF(O42="","",foglio2bis!G144)</f>
        <v/>
      </c>
      <c r="O42" s="415" t="str">
        <f ca="1">IF(foglio2bis!H144&gt;fronttibis!$C$47,"",foglio2bis!H144)</f>
        <v/>
      </c>
      <c r="Q42" s="395"/>
      <c r="R42" s="434"/>
      <c r="S42" s="435"/>
      <c r="T42" s="418" t="str">
        <f t="shared" si="2"/>
        <v/>
      </c>
      <c r="U42" s="417" t="str">
        <f t="shared" si="3"/>
        <v/>
      </c>
    </row>
    <row r="43" spans="1:22" x14ac:dyDescent="0.25">
      <c r="C43" s="395"/>
      <c r="F43" s="644" t="s">
        <v>394</v>
      </c>
      <c r="G43" s="645"/>
      <c r="H43" s="645"/>
      <c r="N43" s="415" t="str">
        <f ca="1">IF(O43="","",foglio2bis!G145)</f>
        <v/>
      </c>
      <c r="O43" s="415" t="str">
        <f ca="1">IF(foglio2bis!H145&gt;fronttibis!$C$47,"",foglio2bis!H145)</f>
        <v/>
      </c>
      <c r="Q43" s="395"/>
      <c r="R43" s="434"/>
      <c r="S43" s="435"/>
      <c r="T43" s="418" t="str">
        <f t="shared" si="2"/>
        <v/>
      </c>
      <c r="U43" s="417" t="str">
        <f t="shared" si="3"/>
        <v/>
      </c>
    </row>
    <row r="44" spans="1:22" x14ac:dyDescent="0.25">
      <c r="C44" s="395"/>
      <c r="F44" s="645"/>
      <c r="G44" s="645"/>
      <c r="H44" s="645"/>
      <c r="O44" s="394"/>
      <c r="Q44" s="395"/>
      <c r="R44" s="434"/>
      <c r="S44" s="435"/>
      <c r="T44" s="418" t="str">
        <f t="shared" si="2"/>
        <v/>
      </c>
      <c r="U44" s="417" t="str">
        <f t="shared" si="3"/>
        <v/>
      </c>
    </row>
    <row r="45" spans="1:22" ht="15.75" thickBot="1" x14ac:dyDescent="0.3">
      <c r="C45" s="391"/>
      <c r="D45" s="392"/>
      <c r="E45" s="392"/>
      <c r="F45" s="646"/>
      <c r="G45" s="646"/>
      <c r="H45" s="646"/>
      <c r="I45" s="392"/>
      <c r="J45" s="392"/>
      <c r="K45" s="392"/>
      <c r="L45" s="392"/>
      <c r="M45" s="392"/>
      <c r="N45" s="392"/>
      <c r="O45" s="393"/>
      <c r="Q45" s="395"/>
      <c r="R45" s="434"/>
      <c r="S45" s="435"/>
      <c r="T45" s="418" t="str">
        <f t="shared" si="2"/>
        <v/>
      </c>
      <c r="U45" s="417" t="str">
        <f t="shared" si="3"/>
        <v/>
      </c>
    </row>
    <row r="46" spans="1:22" x14ac:dyDescent="0.25">
      <c r="Q46" s="395"/>
      <c r="R46" s="434"/>
      <c r="S46" s="435"/>
      <c r="T46" s="418" t="str">
        <f t="shared" si="2"/>
        <v/>
      </c>
      <c r="U46" s="417" t="str">
        <f t="shared" si="3"/>
        <v/>
      </c>
    </row>
    <row r="47" spans="1:22" ht="15.75" thickBot="1" x14ac:dyDescent="0.3">
      <c r="C47" s="436">
        <v>45901</v>
      </c>
      <c r="H47" s="349" t="s">
        <v>65</v>
      </c>
      <c r="Q47" s="391"/>
      <c r="R47" s="392"/>
      <c r="S47" s="392"/>
      <c r="T47" s="393"/>
    </row>
  </sheetData>
  <mergeCells count="17">
    <mergeCell ref="O5:AD5"/>
    <mergeCell ref="J10:O11"/>
    <mergeCell ref="C17:I17"/>
    <mergeCell ref="C20:D20"/>
    <mergeCell ref="E20:G20"/>
    <mergeCell ref="J20:K20"/>
    <mergeCell ref="C32:H32"/>
    <mergeCell ref="Q35:T37"/>
    <mergeCell ref="C36:I36"/>
    <mergeCell ref="F43:H45"/>
    <mergeCell ref="C23:G23"/>
    <mergeCell ref="Q23:T24"/>
    <mergeCell ref="C25:G25"/>
    <mergeCell ref="C27:D27"/>
    <mergeCell ref="E27:F27"/>
    <mergeCell ref="C29:E29"/>
    <mergeCell ref="F29:G29"/>
  </mergeCells>
  <dataValidations count="2">
    <dataValidation type="list" allowBlank="1" showInputMessage="1" showErrorMessage="1" sqref="R27:R33 R40:R46" xr:uid="{00000000-0002-0000-1700-000000000000}">
      <formula1>$V$13:$V$19</formula1>
    </dataValidation>
    <dataValidation type="list" allowBlank="1" showInputMessage="1" showErrorMessage="1" sqref="L20 H23 H25" xr:uid="{00000000-0002-0000-1700-000001000000}">
      <formula1>$N$20:$N$21</formula1>
    </dataValidation>
  </dataValidations>
  <hyperlinks>
    <hyperlink ref="F43:H45" location="decretoti!A1" display="VAI AL DECRETO" xr:uid="{00000000-0004-0000-1700-000000000000}"/>
    <hyperlink ref="J10:O11" location="fronttd!A1" display="Vai al calcolo delle differenze spettanti per i periodi pre ruolo" xr:uid="{00000000-0004-0000-1700-000001000000}"/>
    <hyperlink ref="O5" r:id="rId1" xr:uid="{00000000-0004-0000-1700-000002000000}"/>
  </hyperlink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ti!$A$3:$A$11</xm:f>
          </x14:formula1>
          <xm:sqref>E20:G20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AE103"/>
  <sheetViews>
    <sheetView showRowColHeaders="0" tabSelected="1" topLeftCell="G1" workbookViewId="0">
      <selection activeCell="Y14" sqref="Y14"/>
    </sheetView>
  </sheetViews>
  <sheetFormatPr defaultColWidth="9.140625" defaultRowHeight="15" x14ac:dyDescent="0.25"/>
  <cols>
    <col min="1" max="6" width="0" style="449" hidden="1" customWidth="1"/>
    <col min="7" max="17" width="9.140625" style="449"/>
    <col min="18" max="22" width="0" style="449" hidden="1" customWidth="1"/>
    <col min="23" max="16384" width="9.140625" style="449"/>
  </cols>
  <sheetData>
    <row r="2" spans="2:31" ht="23.25" x14ac:dyDescent="0.35">
      <c r="N2" s="687" t="s">
        <v>672</v>
      </c>
      <c r="O2" s="687"/>
      <c r="P2" s="687"/>
      <c r="Q2" s="687"/>
      <c r="R2" s="687"/>
      <c r="S2" s="687"/>
      <c r="T2" s="687"/>
      <c r="U2" s="687"/>
      <c r="V2" s="687"/>
      <c r="W2" s="687"/>
      <c r="X2" s="687"/>
      <c r="Y2" s="687"/>
      <c r="Z2" s="687"/>
      <c r="AA2" s="687"/>
      <c r="AB2" s="687"/>
      <c r="AC2" s="687"/>
      <c r="AD2" s="687"/>
      <c r="AE2" s="687"/>
    </row>
    <row r="5" spans="2:31" x14ac:dyDescent="0.25">
      <c r="H5" s="627" t="s">
        <v>683</v>
      </c>
      <c r="I5" s="627"/>
      <c r="J5" s="627"/>
      <c r="K5" s="627"/>
      <c r="L5" s="627"/>
      <c r="M5" s="627"/>
      <c r="N5" s="627"/>
      <c r="O5" s="627"/>
      <c r="P5" s="627"/>
      <c r="Q5" s="627"/>
    </row>
    <row r="6" spans="2:31" x14ac:dyDescent="0.25">
      <c r="H6" s="627"/>
      <c r="I6" s="627"/>
      <c r="J6" s="627"/>
      <c r="K6" s="627"/>
      <c r="L6" s="627"/>
      <c r="M6" s="627"/>
      <c r="N6" s="627"/>
      <c r="O6" s="627"/>
      <c r="P6" s="627"/>
      <c r="Q6" s="627"/>
    </row>
    <row r="7" spans="2:31" x14ac:dyDescent="0.25">
      <c r="H7" s="627"/>
      <c r="I7" s="627"/>
      <c r="J7" s="627"/>
      <c r="K7" s="627"/>
      <c r="L7" s="627"/>
      <c r="M7" s="627"/>
      <c r="N7" s="627"/>
      <c r="O7" s="627"/>
      <c r="P7" s="627"/>
      <c r="Q7" s="627"/>
    </row>
    <row r="8" spans="2:31" x14ac:dyDescent="0.25">
      <c r="H8" s="627"/>
      <c r="I8" s="627"/>
      <c r="J8" s="627"/>
      <c r="K8" s="627"/>
      <c r="L8" s="627"/>
      <c r="M8" s="627"/>
      <c r="N8" s="627"/>
      <c r="O8" s="627"/>
      <c r="P8" s="627"/>
      <c r="Q8" s="627"/>
    </row>
    <row r="9" spans="2:31" x14ac:dyDescent="0.25">
      <c r="H9" s="627"/>
      <c r="I9" s="627"/>
      <c r="J9" s="627"/>
      <c r="K9" s="627"/>
      <c r="L9" s="627"/>
      <c r="M9" s="627"/>
      <c r="N9" s="627"/>
      <c r="O9" s="627"/>
      <c r="P9" s="627"/>
      <c r="Q9" s="627"/>
    </row>
    <row r="10" spans="2:31" x14ac:dyDescent="0.25">
      <c r="H10" s="627"/>
      <c r="I10" s="627"/>
      <c r="J10" s="627"/>
      <c r="K10" s="627"/>
      <c r="L10" s="627"/>
      <c r="M10" s="627"/>
      <c r="N10" s="627"/>
      <c r="O10" s="627"/>
      <c r="P10" s="627"/>
      <c r="Q10" s="627"/>
    </row>
    <row r="11" spans="2:31" ht="155.25" customHeight="1" x14ac:dyDescent="0.25">
      <c r="E11" s="449" t="s">
        <v>531</v>
      </c>
      <c r="H11" s="627"/>
      <c r="I11" s="627"/>
      <c r="J11" s="627"/>
      <c r="K11" s="627"/>
      <c r="L11" s="627"/>
      <c r="M11" s="627"/>
      <c r="N11" s="627"/>
      <c r="O11" s="627"/>
      <c r="P11" s="627"/>
      <c r="Q11" s="627"/>
    </row>
    <row r="12" spans="2:31" ht="15.75" thickBot="1" x14ac:dyDescent="0.3">
      <c r="B12" s="449" t="str">
        <f>CONCATENATE(B15,"/",B15+1)</f>
        <v>2024/2025</v>
      </c>
    </row>
    <row r="13" spans="2:31" x14ac:dyDescent="0.25">
      <c r="B13" s="449" t="str">
        <f>RIGHT(J29,4)</f>
        <v>2023</v>
      </c>
      <c r="H13" s="726" t="s">
        <v>697</v>
      </c>
      <c r="I13" s="462"/>
      <c r="J13" s="462"/>
      <c r="K13" s="462"/>
      <c r="L13" s="462"/>
      <c r="M13" s="462"/>
      <c r="N13" s="462"/>
      <c r="O13" s="462"/>
      <c r="P13" s="462"/>
      <c r="Q13" s="723"/>
    </row>
    <row r="14" spans="2:31" x14ac:dyDescent="0.25">
      <c r="B14" s="449" t="str">
        <f>CONCATENATE(B13,"/",B13+1)</f>
        <v>2023/2024</v>
      </c>
      <c r="H14" s="727" t="s">
        <v>698</v>
      </c>
      <c r="I14" s="728"/>
      <c r="J14" s="728"/>
      <c r="K14" s="731"/>
      <c r="L14" s="731"/>
      <c r="M14" s="731"/>
      <c r="N14" s="731"/>
      <c r="O14" s="731"/>
      <c r="P14" s="731"/>
      <c r="Q14" s="724"/>
    </row>
    <row r="15" spans="2:31" x14ac:dyDescent="0.25">
      <c r="B15" s="449" t="str">
        <f>RIGHT(J34,4)</f>
        <v>2024</v>
      </c>
      <c r="H15" s="727" t="s">
        <v>700</v>
      </c>
      <c r="I15" s="728"/>
      <c r="J15" s="728"/>
      <c r="K15" s="731"/>
      <c r="L15" s="731"/>
      <c r="M15" s="731"/>
      <c r="N15" s="731"/>
      <c r="O15" s="731"/>
      <c r="P15" s="731"/>
      <c r="Q15" s="724"/>
    </row>
    <row r="16" spans="2:31" ht="15.75" thickBot="1" x14ac:dyDescent="0.3">
      <c r="B16" s="449" t="str">
        <f>CONCATENATE(B15-1,"/",B15)</f>
        <v>2023/2024</v>
      </c>
      <c r="H16" s="729" t="s">
        <v>699</v>
      </c>
      <c r="I16" s="730"/>
      <c r="J16" s="730"/>
      <c r="K16" s="731"/>
      <c r="L16" s="731"/>
      <c r="M16" s="731"/>
      <c r="N16" s="731"/>
      <c r="O16" s="731"/>
      <c r="P16" s="731"/>
      <c r="Q16" s="725"/>
    </row>
    <row r="17" spans="1:21" ht="57.75" customHeight="1" thickBot="1" x14ac:dyDescent="0.3">
      <c r="J17" s="449" t="s">
        <v>532</v>
      </c>
    </row>
    <row r="18" spans="1:21" ht="15.75" thickBot="1" x14ac:dyDescent="0.3">
      <c r="B18" s="450" t="s">
        <v>533</v>
      </c>
      <c r="C18" s="450" t="s">
        <v>288</v>
      </c>
      <c r="G18" s="694"/>
      <c r="H18" s="694"/>
      <c r="I18" s="694"/>
      <c r="J18" s="688" t="s">
        <v>533</v>
      </c>
      <c r="K18" s="699"/>
      <c r="L18" s="699"/>
      <c r="M18" s="699"/>
      <c r="N18" s="700"/>
      <c r="O18" s="701"/>
    </row>
    <row r="19" spans="1:21" x14ac:dyDescent="0.25">
      <c r="B19" s="450" t="s">
        <v>534</v>
      </c>
      <c r="C19" s="450" t="s">
        <v>535</v>
      </c>
    </row>
    <row r="21" spans="1:21" x14ac:dyDescent="0.25">
      <c r="J21" s="696" t="s">
        <v>667</v>
      </c>
      <c r="K21" s="697"/>
      <c r="L21" s="697"/>
      <c r="M21" s="697"/>
      <c r="N21" s="697"/>
      <c r="O21" s="697"/>
      <c r="P21" s="697"/>
    </row>
    <row r="22" spans="1:21" x14ac:dyDescent="0.25">
      <c r="B22" s="449" t="str">
        <f>VLOOKUP(J18,B18:C19,2)</f>
        <v>DocentePrimaria</v>
      </c>
    </row>
    <row r="23" spans="1:21" x14ac:dyDescent="0.25">
      <c r="J23" s="698" t="s">
        <v>668</v>
      </c>
      <c r="K23" s="648"/>
      <c r="L23" s="648"/>
      <c r="M23" s="648"/>
      <c r="N23" s="648"/>
      <c r="O23" s="648"/>
      <c r="P23" s="648"/>
      <c r="Q23" s="648"/>
    </row>
    <row r="24" spans="1:21" x14ac:dyDescent="0.25">
      <c r="J24" s="449" t="s">
        <v>544</v>
      </c>
    </row>
    <row r="25" spans="1:21" x14ac:dyDescent="0.25">
      <c r="A25" s="449">
        <v>1996</v>
      </c>
      <c r="B25" s="449">
        <v>1997</v>
      </c>
      <c r="C25" s="449" t="str">
        <f>CONCATENATE(A25,"/",B25)</f>
        <v>1996/1997</v>
      </c>
      <c r="D25" s="449" t="str">
        <f>CONCATENATE("1","/9/",A25)</f>
        <v>1/9/1996</v>
      </c>
    </row>
    <row r="26" spans="1:21" ht="21" x14ac:dyDescent="0.35">
      <c r="A26" s="449">
        <f>A25+1</f>
        <v>1997</v>
      </c>
      <c r="B26" s="449">
        <f>B25+1</f>
        <v>1998</v>
      </c>
      <c r="C26" s="449" t="str">
        <f t="shared" ref="C26:C69" si="0">CONCATENATE(A26,"/",B26)</f>
        <v>1997/1998</v>
      </c>
      <c r="D26" s="449" t="str">
        <f t="shared" ref="D26:D53" si="1">CONCATENATE("1","/9/",A26)</f>
        <v>1/9/1997</v>
      </c>
      <c r="I26" s="449">
        <v>1</v>
      </c>
      <c r="J26" s="695" t="s">
        <v>624</v>
      </c>
      <c r="K26" s="695"/>
      <c r="L26" s="695"/>
      <c r="M26" s="458" t="s">
        <v>455</v>
      </c>
      <c r="R26" s="449">
        <f>IF(J26="2012/2013",4,12)</f>
        <v>12</v>
      </c>
      <c r="S26" s="449">
        <f>IF(J26="2013/2014",8,12)</f>
        <v>12</v>
      </c>
      <c r="T26" s="449">
        <f>MIN(R26:S26)</f>
        <v>12</v>
      </c>
    </row>
    <row r="27" spans="1:21" x14ac:dyDescent="0.25">
      <c r="A27" s="449">
        <f t="shared" ref="A27:A69" si="2">A26+1</f>
        <v>1998</v>
      </c>
      <c r="B27" s="449">
        <f t="shared" ref="B27:B69" si="3">B26+1</f>
        <v>1999</v>
      </c>
      <c r="C27" s="449" t="str">
        <f t="shared" si="0"/>
        <v>1998/1999</v>
      </c>
      <c r="D27" s="449" t="str">
        <f t="shared" si="1"/>
        <v>1/9/1998</v>
      </c>
      <c r="I27" s="449">
        <v>2</v>
      </c>
      <c r="J27" s="695" t="s">
        <v>626</v>
      </c>
      <c r="K27" s="695"/>
      <c r="L27" s="695"/>
      <c r="R27" s="449">
        <f t="shared" ref="R27:R29" si="4">IF(J27="2012/2013",4,12)</f>
        <v>12</v>
      </c>
      <c r="S27" s="449">
        <f t="shared" ref="S27:S29" si="5">IF(J27="2013/2014",8,12)</f>
        <v>12</v>
      </c>
      <c r="T27" s="449">
        <f t="shared" ref="T27:T29" si="6">MIN(R27:S27)</f>
        <v>12</v>
      </c>
    </row>
    <row r="28" spans="1:21" x14ac:dyDescent="0.25">
      <c r="A28" s="449">
        <f t="shared" si="2"/>
        <v>1999</v>
      </c>
      <c r="B28" s="449">
        <f t="shared" si="3"/>
        <v>2000</v>
      </c>
      <c r="C28" s="449" t="str">
        <f t="shared" si="0"/>
        <v>1999/2000</v>
      </c>
      <c r="D28" s="449" t="str">
        <f t="shared" si="1"/>
        <v>1/9/1999</v>
      </c>
      <c r="I28" s="449">
        <v>3</v>
      </c>
      <c r="J28" s="695" t="s">
        <v>628</v>
      </c>
      <c r="K28" s="695"/>
      <c r="L28" s="695"/>
      <c r="R28" s="449">
        <f t="shared" si="4"/>
        <v>12</v>
      </c>
      <c r="S28" s="449">
        <f t="shared" si="5"/>
        <v>12</v>
      </c>
      <c r="T28" s="449">
        <f t="shared" si="6"/>
        <v>12</v>
      </c>
    </row>
    <row r="29" spans="1:21" x14ac:dyDescent="0.25">
      <c r="A29" s="449">
        <f t="shared" si="2"/>
        <v>2000</v>
      </c>
      <c r="B29" s="449">
        <f t="shared" si="3"/>
        <v>2001</v>
      </c>
      <c r="C29" s="449" t="str">
        <f t="shared" si="0"/>
        <v>2000/2001</v>
      </c>
      <c r="D29" s="449" t="str">
        <f t="shared" si="1"/>
        <v>1/9/2000</v>
      </c>
      <c r="I29" s="449">
        <v>4</v>
      </c>
      <c r="J29" s="695" t="s">
        <v>630</v>
      </c>
      <c r="K29" s="695"/>
      <c r="L29" s="695"/>
      <c r="R29" s="449">
        <f t="shared" si="4"/>
        <v>12</v>
      </c>
      <c r="S29" s="449">
        <f t="shared" si="5"/>
        <v>12</v>
      </c>
      <c r="T29" s="449">
        <f t="shared" si="6"/>
        <v>12</v>
      </c>
    </row>
    <row r="30" spans="1:21" x14ac:dyDescent="0.25">
      <c r="A30" s="449">
        <f t="shared" si="2"/>
        <v>2001</v>
      </c>
      <c r="B30" s="449">
        <f t="shared" si="3"/>
        <v>2002</v>
      </c>
      <c r="C30" s="449" t="str">
        <f t="shared" si="0"/>
        <v>2001/2002</v>
      </c>
      <c r="D30" s="449" t="str">
        <f t="shared" si="1"/>
        <v>1/9/2001</v>
      </c>
      <c r="T30" s="449">
        <f>SUM(T26:T29)</f>
        <v>48</v>
      </c>
      <c r="U30" s="449" t="s">
        <v>550</v>
      </c>
    </row>
    <row r="31" spans="1:21" x14ac:dyDescent="0.25">
      <c r="A31" s="449">
        <f t="shared" si="2"/>
        <v>2002</v>
      </c>
      <c r="B31" s="449">
        <f t="shared" si="3"/>
        <v>2003</v>
      </c>
      <c r="C31" s="449" t="str">
        <f t="shared" si="0"/>
        <v>2002/2003</v>
      </c>
      <c r="D31" s="449" t="str">
        <f t="shared" si="1"/>
        <v>1/9/2002</v>
      </c>
    </row>
    <row r="32" spans="1:21" x14ac:dyDescent="0.25">
      <c r="A32" s="449">
        <f t="shared" si="2"/>
        <v>2003</v>
      </c>
      <c r="B32" s="449">
        <f t="shared" si="3"/>
        <v>2004</v>
      </c>
      <c r="C32" s="449" t="str">
        <f t="shared" si="0"/>
        <v>2003/2004</v>
      </c>
      <c r="D32" s="449" t="str">
        <f t="shared" si="1"/>
        <v>1/9/2003</v>
      </c>
      <c r="J32" s="449" t="s">
        <v>540</v>
      </c>
    </row>
    <row r="33" spans="1:17" ht="15.75" thickBot="1" x14ac:dyDescent="0.3">
      <c r="A33" s="449">
        <f t="shared" si="2"/>
        <v>2004</v>
      </c>
      <c r="B33" s="449">
        <f t="shared" si="3"/>
        <v>2005</v>
      </c>
      <c r="C33" s="449" t="str">
        <f t="shared" si="0"/>
        <v>2004/2005</v>
      </c>
      <c r="D33" s="449" t="str">
        <f t="shared" si="1"/>
        <v>1/9/2004</v>
      </c>
    </row>
    <row r="34" spans="1:17" ht="19.5" thickBot="1" x14ac:dyDescent="0.35">
      <c r="A34" s="449">
        <f t="shared" si="2"/>
        <v>2005</v>
      </c>
      <c r="B34" s="449">
        <f t="shared" si="3"/>
        <v>2006</v>
      </c>
      <c r="C34" s="449" t="str">
        <f t="shared" si="0"/>
        <v>2005/2006</v>
      </c>
      <c r="D34" s="449" t="str">
        <f t="shared" si="1"/>
        <v>1/9/2005</v>
      </c>
      <c r="I34" s="449" t="s">
        <v>542</v>
      </c>
      <c r="J34" s="688" t="s">
        <v>635</v>
      </c>
      <c r="K34" s="689"/>
      <c r="L34" s="456" t="s">
        <v>455</v>
      </c>
    </row>
    <row r="35" spans="1:17" x14ac:dyDescent="0.25">
      <c r="A35" s="449">
        <f t="shared" si="2"/>
        <v>2006</v>
      </c>
      <c r="B35" s="449">
        <f t="shared" si="3"/>
        <v>2007</v>
      </c>
      <c r="C35" s="449" t="str">
        <f t="shared" si="0"/>
        <v>2006/2007</v>
      </c>
      <c r="D35" s="449" t="str">
        <f t="shared" si="1"/>
        <v>1/9/2006</v>
      </c>
    </row>
    <row r="36" spans="1:17" x14ac:dyDescent="0.25">
      <c r="A36" s="449">
        <f t="shared" si="2"/>
        <v>2007</v>
      </c>
      <c r="B36" s="449">
        <f t="shared" si="3"/>
        <v>2008</v>
      </c>
      <c r="C36" s="449" t="str">
        <f t="shared" si="0"/>
        <v>2007/2008</v>
      </c>
      <c r="D36" s="449" t="str">
        <f t="shared" si="1"/>
        <v>1/9/2007</v>
      </c>
    </row>
    <row r="37" spans="1:17" x14ac:dyDescent="0.25">
      <c r="A37" s="449">
        <f t="shared" si="2"/>
        <v>2008</v>
      </c>
      <c r="B37" s="449">
        <f t="shared" si="3"/>
        <v>2009</v>
      </c>
      <c r="C37" s="449" t="str">
        <f t="shared" si="0"/>
        <v>2008/2009</v>
      </c>
      <c r="D37" s="449" t="str">
        <f t="shared" si="1"/>
        <v>1/9/2008</v>
      </c>
      <c r="G37" s="315"/>
      <c r="H37" s="315"/>
      <c r="I37" s="626" t="s">
        <v>682</v>
      </c>
      <c r="J37" s="626"/>
      <c r="K37" s="626"/>
      <c r="L37" s="626"/>
      <c r="M37" s="626"/>
      <c r="N37" s="626"/>
      <c r="O37" s="626"/>
      <c r="P37" s="626"/>
      <c r="Q37" s="626"/>
    </row>
    <row r="38" spans="1:17" x14ac:dyDescent="0.25">
      <c r="A38" s="449">
        <f t="shared" si="2"/>
        <v>2009</v>
      </c>
      <c r="B38" s="449">
        <f t="shared" si="3"/>
        <v>2010</v>
      </c>
      <c r="C38" s="449" t="str">
        <f t="shared" si="0"/>
        <v>2009/2010</v>
      </c>
      <c r="D38" s="449" t="str">
        <f t="shared" si="1"/>
        <v>1/9/2009</v>
      </c>
      <c r="G38" s="315"/>
      <c r="H38" s="315"/>
      <c r="I38" s="626"/>
      <c r="J38" s="626"/>
      <c r="K38" s="626"/>
      <c r="L38" s="626"/>
      <c r="M38" s="626"/>
      <c r="N38" s="626"/>
      <c r="O38" s="626"/>
      <c r="P38" s="626"/>
      <c r="Q38" s="626"/>
    </row>
    <row r="39" spans="1:17" x14ac:dyDescent="0.25">
      <c r="A39" s="449">
        <f t="shared" si="2"/>
        <v>2010</v>
      </c>
      <c r="B39" s="449">
        <f t="shared" si="3"/>
        <v>2011</v>
      </c>
      <c r="C39" s="449" t="str">
        <f t="shared" si="0"/>
        <v>2010/2011</v>
      </c>
      <c r="D39" s="449" t="str">
        <f t="shared" si="1"/>
        <v>1/9/2010</v>
      </c>
      <c r="G39" s="315"/>
      <c r="H39" s="315"/>
      <c r="I39" s="626"/>
      <c r="J39" s="626"/>
      <c r="K39" s="626"/>
      <c r="L39" s="626"/>
      <c r="M39" s="626"/>
      <c r="N39" s="626"/>
      <c r="O39" s="626"/>
      <c r="P39" s="626"/>
      <c r="Q39" s="626"/>
    </row>
    <row r="40" spans="1:17" x14ac:dyDescent="0.25">
      <c r="A40" s="449">
        <f t="shared" si="2"/>
        <v>2011</v>
      </c>
      <c r="B40" s="449">
        <f t="shared" si="3"/>
        <v>2012</v>
      </c>
      <c r="C40" s="449" t="str">
        <f t="shared" si="0"/>
        <v>2011/2012</v>
      </c>
      <c r="D40" s="449" t="str">
        <f t="shared" si="1"/>
        <v>1/9/2011</v>
      </c>
      <c r="G40" s="315"/>
      <c r="H40" s="315"/>
      <c r="I40" s="626"/>
      <c r="J40" s="626"/>
      <c r="K40" s="626"/>
      <c r="L40" s="626"/>
      <c r="M40" s="626"/>
      <c r="N40" s="626"/>
      <c r="O40" s="626"/>
      <c r="P40" s="626"/>
      <c r="Q40" s="626"/>
    </row>
    <row r="41" spans="1:17" ht="15.75" thickBot="1" x14ac:dyDescent="0.3">
      <c r="A41" s="449">
        <f t="shared" si="2"/>
        <v>2012</v>
      </c>
      <c r="B41" s="449">
        <f t="shared" si="3"/>
        <v>2013</v>
      </c>
      <c r="C41" s="449" t="str">
        <f t="shared" si="0"/>
        <v>2012/2013</v>
      </c>
      <c r="D41" s="449" t="str">
        <f t="shared" si="1"/>
        <v>1/9/2012</v>
      </c>
      <c r="G41" s="315"/>
      <c r="H41" s="315"/>
      <c r="I41" s="626"/>
      <c r="J41" s="626"/>
      <c r="K41" s="626"/>
      <c r="L41" s="626"/>
      <c r="M41" s="626"/>
      <c r="N41" s="626"/>
      <c r="O41" s="626"/>
      <c r="P41" s="626"/>
      <c r="Q41" s="626"/>
    </row>
    <row r="42" spans="1:17" x14ac:dyDescent="0.25">
      <c r="A42" s="449">
        <f t="shared" si="2"/>
        <v>2013</v>
      </c>
      <c r="B42" s="449">
        <f t="shared" si="3"/>
        <v>2014</v>
      </c>
      <c r="C42" s="449" t="str">
        <f t="shared" si="0"/>
        <v>2013/2014</v>
      </c>
      <c r="D42" s="449" t="str">
        <f t="shared" si="1"/>
        <v>1/9/2013</v>
      </c>
      <c r="G42" s="315"/>
      <c r="H42" s="690" t="s">
        <v>545</v>
      </c>
      <c r="I42" s="691"/>
      <c r="J42" s="692"/>
      <c r="K42" s="451"/>
      <c r="L42" s="452"/>
      <c r="M42" s="315"/>
      <c r="N42" s="315"/>
      <c r="O42" s="315"/>
      <c r="P42" s="315"/>
      <c r="Q42" s="315"/>
    </row>
    <row r="43" spans="1:17" ht="15.75" thickBot="1" x14ac:dyDescent="0.3">
      <c r="A43" s="449">
        <f t="shared" si="2"/>
        <v>2014</v>
      </c>
      <c r="B43" s="449">
        <f t="shared" si="3"/>
        <v>2015</v>
      </c>
      <c r="C43" s="449" t="str">
        <f t="shared" si="0"/>
        <v>2014/2015</v>
      </c>
      <c r="D43" s="449" t="str">
        <f t="shared" si="1"/>
        <v>1/9/2014</v>
      </c>
      <c r="G43" s="315"/>
      <c r="H43" s="693"/>
      <c r="I43" s="626"/>
      <c r="J43" s="626"/>
      <c r="K43" s="469" t="s">
        <v>56</v>
      </c>
      <c r="L43" s="470" t="s">
        <v>94</v>
      </c>
      <c r="M43" s="315"/>
      <c r="N43" s="315"/>
      <c r="O43" s="315"/>
      <c r="P43" s="315"/>
      <c r="Q43" s="315"/>
    </row>
    <row r="44" spans="1:17" ht="19.5" thickBot="1" x14ac:dyDescent="0.35">
      <c r="A44" s="449">
        <f t="shared" si="2"/>
        <v>2015</v>
      </c>
      <c r="B44" s="449">
        <f t="shared" si="3"/>
        <v>2016</v>
      </c>
      <c r="C44" s="449" t="str">
        <f t="shared" si="0"/>
        <v>2015/2016</v>
      </c>
      <c r="D44" s="449" t="str">
        <f t="shared" si="1"/>
        <v>1/9/2015</v>
      </c>
      <c r="G44" s="315"/>
      <c r="H44" s="693"/>
      <c r="I44" s="626"/>
      <c r="J44" s="626"/>
      <c r="K44" s="499">
        <v>1</v>
      </c>
      <c r="L44" s="499">
        <v>0</v>
      </c>
      <c r="M44" s="456" t="s">
        <v>455</v>
      </c>
      <c r="N44" s="315"/>
      <c r="O44" s="315"/>
      <c r="P44" s="315"/>
      <c r="Q44" s="315"/>
    </row>
    <row r="45" spans="1:17" ht="15.75" thickBot="1" x14ac:dyDescent="0.3">
      <c r="A45" s="449">
        <f t="shared" si="2"/>
        <v>2016</v>
      </c>
      <c r="B45" s="449">
        <f t="shared" si="3"/>
        <v>2017</v>
      </c>
      <c r="C45" s="449" t="str">
        <f t="shared" si="0"/>
        <v>2016/2017</v>
      </c>
      <c r="D45" s="449" t="str">
        <f t="shared" si="1"/>
        <v>1/9/2016</v>
      </c>
      <c r="G45" s="315"/>
      <c r="H45" s="453"/>
      <c r="I45" s="454"/>
      <c r="J45" s="454"/>
      <c r="K45" s="454"/>
      <c r="L45" s="455"/>
      <c r="M45" s="315"/>
      <c r="N45" s="315"/>
      <c r="O45" s="315"/>
      <c r="P45" s="315"/>
      <c r="Q45" s="315"/>
    </row>
    <row r="46" spans="1:17" x14ac:dyDescent="0.25">
      <c r="A46" s="449">
        <f t="shared" si="2"/>
        <v>2017</v>
      </c>
      <c r="B46" s="449">
        <f t="shared" si="3"/>
        <v>2018</v>
      </c>
      <c r="C46" s="449" t="str">
        <f t="shared" si="0"/>
        <v>2017/2018</v>
      </c>
      <c r="D46" s="449" t="str">
        <f t="shared" si="1"/>
        <v>1/9/2017</v>
      </c>
      <c r="G46" s="315"/>
      <c r="H46" s="315"/>
      <c r="I46" s="315"/>
      <c r="J46" s="315"/>
      <c r="K46" s="315"/>
      <c r="L46" s="315"/>
      <c r="M46" s="315"/>
      <c r="N46" s="315"/>
      <c r="O46" s="315"/>
      <c r="P46" s="315"/>
      <c r="Q46" s="315"/>
    </row>
    <row r="47" spans="1:17" x14ac:dyDescent="0.25">
      <c r="A47" s="449">
        <f t="shared" si="2"/>
        <v>2018</v>
      </c>
      <c r="B47" s="449">
        <f t="shared" si="3"/>
        <v>2019</v>
      </c>
      <c r="C47" s="449" t="str">
        <f t="shared" si="0"/>
        <v>2018/2019</v>
      </c>
      <c r="D47" s="449" t="str">
        <f t="shared" si="1"/>
        <v>1/9/2018</v>
      </c>
    </row>
    <row r="48" spans="1:17" x14ac:dyDescent="0.25">
      <c r="A48" s="449">
        <f t="shared" si="2"/>
        <v>2019</v>
      </c>
      <c r="B48" s="449">
        <f t="shared" si="3"/>
        <v>2020</v>
      </c>
      <c r="C48" s="449" t="str">
        <f t="shared" si="0"/>
        <v>2019/2020</v>
      </c>
      <c r="D48" s="449" t="str">
        <f t="shared" si="1"/>
        <v>1/9/2019</v>
      </c>
    </row>
    <row r="49" spans="1:13" x14ac:dyDescent="0.25">
      <c r="A49" s="449">
        <f t="shared" si="2"/>
        <v>2020</v>
      </c>
      <c r="B49" s="449">
        <f t="shared" si="3"/>
        <v>2021</v>
      </c>
      <c r="C49" s="449" t="str">
        <f t="shared" si="0"/>
        <v>2020/2021</v>
      </c>
      <c r="D49" s="449" t="str">
        <f t="shared" si="1"/>
        <v>1/9/2020</v>
      </c>
    </row>
    <row r="50" spans="1:13" x14ac:dyDescent="0.25">
      <c r="A50" s="449">
        <f t="shared" si="2"/>
        <v>2021</v>
      </c>
      <c r="B50" s="449">
        <f t="shared" si="3"/>
        <v>2022</v>
      </c>
      <c r="C50" s="449" t="str">
        <f t="shared" si="0"/>
        <v>2021/2022</v>
      </c>
      <c r="D50" s="449" t="str">
        <f t="shared" si="1"/>
        <v>1/9/2021</v>
      </c>
      <c r="G50" s="449" t="s">
        <v>546</v>
      </c>
    </row>
    <row r="51" spans="1:13" x14ac:dyDescent="0.25">
      <c r="A51" s="449">
        <f t="shared" si="2"/>
        <v>2022</v>
      </c>
      <c r="B51" s="449">
        <f t="shared" si="3"/>
        <v>2023</v>
      </c>
      <c r="C51" s="449" t="str">
        <f t="shared" si="0"/>
        <v>2022/2023</v>
      </c>
      <c r="D51" s="449" t="str">
        <f t="shared" si="1"/>
        <v>1/9/2022</v>
      </c>
      <c r="G51" s="459" t="str">
        <f>J18</f>
        <v>Insegnante Religione Primaria</v>
      </c>
      <c r="H51" s="459"/>
      <c r="I51" s="459"/>
      <c r="J51" s="459"/>
      <c r="K51" s="459"/>
      <c r="L51" s="459"/>
      <c r="M51" s="459"/>
    </row>
    <row r="52" spans="1:13" x14ac:dyDescent="0.25">
      <c r="A52" s="449">
        <f t="shared" si="2"/>
        <v>2023</v>
      </c>
      <c r="B52" s="449">
        <f t="shared" si="3"/>
        <v>2024</v>
      </c>
      <c r="C52" s="449" t="str">
        <f t="shared" si="0"/>
        <v>2023/2024</v>
      </c>
      <c r="D52" s="449" t="str">
        <f t="shared" si="1"/>
        <v>1/9/2023</v>
      </c>
      <c r="G52" s="680" t="s">
        <v>547</v>
      </c>
      <c r="H52" s="680"/>
      <c r="I52" s="680"/>
      <c r="J52" s="680"/>
      <c r="K52" s="680"/>
      <c r="L52" s="680"/>
      <c r="M52" s="457">
        <f>4+K44</f>
        <v>5</v>
      </c>
    </row>
    <row r="53" spans="1:13" x14ac:dyDescent="0.25">
      <c r="A53" s="449">
        <f t="shared" si="2"/>
        <v>2024</v>
      </c>
      <c r="B53" s="449">
        <f t="shared" si="3"/>
        <v>2025</v>
      </c>
      <c r="C53" s="449" t="str">
        <f t="shared" si="0"/>
        <v>2024/2025</v>
      </c>
      <c r="D53" s="449" t="str">
        <f t="shared" si="1"/>
        <v>1/9/2024</v>
      </c>
      <c r="G53" s="680" t="s">
        <v>548</v>
      </c>
      <c r="H53" s="681"/>
      <c r="I53" s="681"/>
      <c r="J53" s="681"/>
      <c r="K53" s="681"/>
      <c r="L53" s="681"/>
      <c r="M53" s="457" t="str">
        <f>J34</f>
        <v>1/9/2024</v>
      </c>
    </row>
    <row r="54" spans="1:13" ht="15.75" thickBot="1" x14ac:dyDescent="0.3">
      <c r="A54" s="449">
        <f t="shared" si="2"/>
        <v>2025</v>
      </c>
      <c r="B54" s="449">
        <f t="shared" si="3"/>
        <v>2026</v>
      </c>
      <c r="C54" s="449" t="str">
        <f t="shared" si="0"/>
        <v>2025/2026</v>
      </c>
    </row>
    <row r="55" spans="1:13" x14ac:dyDescent="0.25">
      <c r="A55" s="449">
        <f t="shared" si="2"/>
        <v>2026</v>
      </c>
      <c r="B55" s="449">
        <f t="shared" si="3"/>
        <v>2027</v>
      </c>
      <c r="C55" s="449" t="str">
        <f t="shared" si="0"/>
        <v>2026/2027</v>
      </c>
      <c r="G55" s="461"/>
      <c r="H55" s="462"/>
      <c r="I55" s="462"/>
      <c r="J55" s="462"/>
      <c r="K55" s="463" t="s">
        <v>56</v>
      </c>
      <c r="L55" s="463" t="s">
        <v>94</v>
      </c>
      <c r="M55" s="372" t="s">
        <v>95</v>
      </c>
    </row>
    <row r="56" spans="1:13" x14ac:dyDescent="0.25">
      <c r="A56" s="449">
        <f t="shared" si="2"/>
        <v>2027</v>
      </c>
      <c r="B56" s="449">
        <f t="shared" si="3"/>
        <v>2028</v>
      </c>
      <c r="C56" s="449" t="str">
        <f t="shared" si="0"/>
        <v>2027/2028</v>
      </c>
      <c r="G56" s="682" t="s">
        <v>552</v>
      </c>
      <c r="H56" s="683"/>
      <c r="I56" s="683"/>
      <c r="J56" s="683"/>
      <c r="K56" s="241">
        <f>IF(D73&lt;49,C101,C93)</f>
        <v>4</v>
      </c>
      <c r="L56" s="241">
        <f>IF(D73&lt;49,C102,D93)</f>
        <v>8</v>
      </c>
      <c r="M56" s="464">
        <f>IF(D73&lt;49,C103,E93)</f>
        <v>0</v>
      </c>
    </row>
    <row r="57" spans="1:13" ht="15.75" thickBot="1" x14ac:dyDescent="0.3">
      <c r="A57" s="449">
        <f t="shared" si="2"/>
        <v>2028</v>
      </c>
      <c r="B57" s="449">
        <f t="shared" si="3"/>
        <v>2029</v>
      </c>
      <c r="C57" s="449" t="str">
        <f t="shared" si="0"/>
        <v>2028/2029</v>
      </c>
      <c r="G57" s="684" t="s">
        <v>553</v>
      </c>
      <c r="H57" s="685"/>
      <c r="I57" s="685"/>
      <c r="J57" s="685"/>
      <c r="K57" s="465">
        <f>IF(D73&lt;49,0,C95)</f>
        <v>0</v>
      </c>
      <c r="L57" s="465">
        <f>IF(D73&lt;49,0,D95)</f>
        <v>4</v>
      </c>
      <c r="M57" s="466">
        <f>IF(D73&lt;49,0,E95)</f>
        <v>0</v>
      </c>
    </row>
    <row r="58" spans="1:13" x14ac:dyDescent="0.25">
      <c r="A58" s="449">
        <f t="shared" si="2"/>
        <v>2029</v>
      </c>
      <c r="B58" s="449">
        <f t="shared" si="3"/>
        <v>2030</v>
      </c>
      <c r="C58" s="449" t="str">
        <f t="shared" si="0"/>
        <v>2029/2030</v>
      </c>
    </row>
    <row r="59" spans="1:13" x14ac:dyDescent="0.25">
      <c r="A59" s="449">
        <f t="shared" si="2"/>
        <v>2030</v>
      </c>
      <c r="B59" s="449">
        <f t="shared" si="3"/>
        <v>2031</v>
      </c>
      <c r="C59" s="449" t="str">
        <f t="shared" si="0"/>
        <v>2030/2031</v>
      </c>
    </row>
    <row r="60" spans="1:13" x14ac:dyDescent="0.25">
      <c r="A60" s="449">
        <f t="shared" si="2"/>
        <v>2031</v>
      </c>
      <c r="B60" s="449">
        <f t="shared" si="3"/>
        <v>2032</v>
      </c>
      <c r="C60" s="449" t="str">
        <f t="shared" si="0"/>
        <v>2031/2032</v>
      </c>
    </row>
    <row r="61" spans="1:13" x14ac:dyDescent="0.25">
      <c r="A61" s="449">
        <f t="shared" si="2"/>
        <v>2032</v>
      </c>
      <c r="B61" s="449">
        <f t="shared" si="3"/>
        <v>2033</v>
      </c>
      <c r="C61" s="449" t="str">
        <f t="shared" si="0"/>
        <v>2032/2033</v>
      </c>
    </row>
    <row r="62" spans="1:13" x14ac:dyDescent="0.25">
      <c r="A62" s="449">
        <f t="shared" si="2"/>
        <v>2033</v>
      </c>
      <c r="B62" s="449">
        <f t="shared" si="3"/>
        <v>2034</v>
      </c>
      <c r="C62" s="449" t="str">
        <f t="shared" si="0"/>
        <v>2033/2034</v>
      </c>
    </row>
    <row r="63" spans="1:13" x14ac:dyDescent="0.25">
      <c r="A63" s="449">
        <f t="shared" si="2"/>
        <v>2034</v>
      </c>
      <c r="B63" s="449">
        <f t="shared" si="3"/>
        <v>2035</v>
      </c>
      <c r="C63" s="449" t="str">
        <f t="shared" si="0"/>
        <v>2034/2035</v>
      </c>
      <c r="H63" s="686" t="s">
        <v>589</v>
      </c>
      <c r="I63" s="686"/>
      <c r="J63" s="686"/>
      <c r="K63" s="686"/>
    </row>
    <row r="64" spans="1:13" x14ac:dyDescent="0.25">
      <c r="A64" s="449">
        <f t="shared" si="2"/>
        <v>2035</v>
      </c>
      <c r="B64" s="449">
        <f t="shared" si="3"/>
        <v>2036</v>
      </c>
      <c r="C64" s="449" t="str">
        <f t="shared" si="0"/>
        <v>2035/2036</v>
      </c>
      <c r="H64" s="686"/>
      <c r="I64" s="686"/>
      <c r="J64" s="686"/>
      <c r="K64" s="686"/>
    </row>
    <row r="65" spans="1:11" x14ac:dyDescent="0.25">
      <c r="A65" s="449">
        <f t="shared" si="2"/>
        <v>2036</v>
      </c>
      <c r="B65" s="449">
        <f t="shared" si="3"/>
        <v>2037</v>
      </c>
      <c r="C65" s="449" t="str">
        <f t="shared" si="0"/>
        <v>2036/2037</v>
      </c>
      <c r="H65" s="686"/>
      <c r="I65" s="686"/>
      <c r="J65" s="686"/>
      <c r="K65" s="686"/>
    </row>
    <row r="66" spans="1:11" x14ac:dyDescent="0.25">
      <c r="A66" s="449">
        <f t="shared" si="2"/>
        <v>2037</v>
      </c>
      <c r="B66" s="449">
        <f t="shared" si="3"/>
        <v>2038</v>
      </c>
      <c r="C66" s="449" t="str">
        <f t="shared" si="0"/>
        <v>2037/2038</v>
      </c>
    </row>
    <row r="67" spans="1:11" x14ac:dyDescent="0.25">
      <c r="A67" s="449">
        <f t="shared" si="2"/>
        <v>2038</v>
      </c>
      <c r="B67" s="449">
        <f t="shared" si="3"/>
        <v>2039</v>
      </c>
      <c r="C67" s="449" t="str">
        <f t="shared" si="0"/>
        <v>2038/2039</v>
      </c>
    </row>
    <row r="68" spans="1:11" x14ac:dyDescent="0.25">
      <c r="A68" s="449">
        <f t="shared" si="2"/>
        <v>2039</v>
      </c>
      <c r="B68" s="449">
        <f t="shared" si="3"/>
        <v>2040</v>
      </c>
      <c r="C68" s="449" t="str">
        <f t="shared" si="0"/>
        <v>2039/2040</v>
      </c>
    </row>
    <row r="69" spans="1:11" x14ac:dyDescent="0.25">
      <c r="A69" s="449">
        <f t="shared" si="2"/>
        <v>2040</v>
      </c>
      <c r="B69" s="449">
        <f t="shared" si="3"/>
        <v>2041</v>
      </c>
      <c r="C69" s="449" t="str">
        <f t="shared" si="0"/>
        <v>2040/2041</v>
      </c>
    </row>
    <row r="72" spans="1:11" x14ac:dyDescent="0.25">
      <c r="C72" s="449" t="s">
        <v>560</v>
      </c>
      <c r="D72" s="449">
        <f>4+K44</f>
        <v>5</v>
      </c>
    </row>
    <row r="73" spans="1:11" x14ac:dyDescent="0.25">
      <c r="C73" s="449" t="s">
        <v>551</v>
      </c>
      <c r="D73" s="449">
        <f>K44*12+T30+L44</f>
        <v>60</v>
      </c>
    </row>
    <row r="74" spans="1:11" x14ac:dyDescent="0.25">
      <c r="C74" s="449" t="s">
        <v>561</v>
      </c>
      <c r="D74" s="449">
        <f>D73*30</f>
        <v>1800</v>
      </c>
    </row>
    <row r="76" spans="1:11" x14ac:dyDescent="0.25">
      <c r="B76" s="449" t="s">
        <v>562</v>
      </c>
      <c r="C76" s="449">
        <f>360*4</f>
        <v>1440</v>
      </c>
    </row>
    <row r="77" spans="1:11" x14ac:dyDescent="0.25">
      <c r="B77" s="449">
        <f>D74-C76</f>
        <v>360</v>
      </c>
      <c r="C77" s="449" t="s">
        <v>563</v>
      </c>
    </row>
    <row r="79" spans="1:11" x14ac:dyDescent="0.25">
      <c r="B79" s="449" t="s">
        <v>564</v>
      </c>
      <c r="C79" s="449">
        <f>B77*2/3</f>
        <v>240</v>
      </c>
    </row>
    <row r="80" spans="1:11" x14ac:dyDescent="0.25">
      <c r="B80" s="449" t="s">
        <v>565</v>
      </c>
      <c r="C80" s="449">
        <f>B77-C79</f>
        <v>120</v>
      </c>
    </row>
    <row r="81" spans="2:6" x14ac:dyDescent="0.25">
      <c r="E81" s="467"/>
    </row>
    <row r="82" spans="2:6" x14ac:dyDescent="0.25">
      <c r="B82" s="449" t="s">
        <v>566</v>
      </c>
      <c r="C82" s="449">
        <f>C76+C79</f>
        <v>1680</v>
      </c>
    </row>
    <row r="83" spans="2:6" x14ac:dyDescent="0.25">
      <c r="B83" s="449" t="s">
        <v>567</v>
      </c>
      <c r="C83" s="449">
        <f>C82/360</f>
        <v>4.666666666666667</v>
      </c>
      <c r="D83" s="449">
        <f>INT(C83)</f>
        <v>4</v>
      </c>
    </row>
    <row r="84" spans="2:6" x14ac:dyDescent="0.25">
      <c r="B84" s="449" t="s">
        <v>568</v>
      </c>
      <c r="C84" s="449">
        <f>(C82-(D83*360))/30</f>
        <v>8</v>
      </c>
      <c r="D84" s="449">
        <f>INT(C84)</f>
        <v>8</v>
      </c>
    </row>
    <row r="85" spans="2:6" x14ac:dyDescent="0.25">
      <c r="B85" s="449">
        <f>D83*360</f>
        <v>1440</v>
      </c>
    </row>
    <row r="86" spans="2:6" x14ac:dyDescent="0.25">
      <c r="B86" s="449">
        <f>D84*30</f>
        <v>240</v>
      </c>
    </row>
    <row r="87" spans="2:6" x14ac:dyDescent="0.25">
      <c r="B87" s="449" t="s">
        <v>95</v>
      </c>
      <c r="C87" s="449">
        <f>C82-B85-B86</f>
        <v>0</v>
      </c>
      <c r="D87" s="449">
        <f>C87</f>
        <v>0</v>
      </c>
    </row>
    <row r="88" spans="2:6" x14ac:dyDescent="0.25">
      <c r="B88" s="468" t="s">
        <v>569</v>
      </c>
      <c r="C88" s="468">
        <f>INT(C80/360)</f>
        <v>0</v>
      </c>
      <c r="D88" s="468"/>
    </row>
    <row r="89" spans="2:6" x14ac:dyDescent="0.25">
      <c r="B89" s="468" t="s">
        <v>570</v>
      </c>
      <c r="C89" s="468">
        <f>INT((C80-(C88*360))/30)</f>
        <v>4</v>
      </c>
      <c r="D89" s="468"/>
    </row>
    <row r="90" spans="2:6" x14ac:dyDescent="0.25">
      <c r="B90" s="468" t="s">
        <v>571</v>
      </c>
      <c r="C90" s="468">
        <f>C80-   (C88*360+C89*30)</f>
        <v>0</v>
      </c>
      <c r="D90" s="468"/>
    </row>
    <row r="91" spans="2:6" x14ac:dyDescent="0.25">
      <c r="B91" s="468"/>
      <c r="C91" s="468"/>
      <c r="D91" s="468"/>
    </row>
    <row r="93" spans="2:6" x14ac:dyDescent="0.25">
      <c r="B93" s="460" t="s">
        <v>555</v>
      </c>
      <c r="C93" s="460">
        <f>D83</f>
        <v>4</v>
      </c>
      <c r="D93" s="460">
        <f>D84</f>
        <v>8</v>
      </c>
      <c r="E93" s="460">
        <f>D87</f>
        <v>0</v>
      </c>
      <c r="F93" s="460"/>
    </row>
    <row r="94" spans="2:6" x14ac:dyDescent="0.25">
      <c r="B94" s="460"/>
      <c r="C94" s="460"/>
      <c r="D94" s="460"/>
      <c r="E94" s="460"/>
      <c r="F94" s="460"/>
    </row>
    <row r="95" spans="2:6" x14ac:dyDescent="0.25">
      <c r="B95" s="460" t="s">
        <v>556</v>
      </c>
      <c r="C95" s="460">
        <f>C88</f>
        <v>0</v>
      </c>
      <c r="D95" s="460">
        <f>C89</f>
        <v>4</v>
      </c>
      <c r="E95" s="460">
        <f>C90</f>
        <v>0</v>
      </c>
      <c r="F95" s="460"/>
    </row>
    <row r="97" spans="2:5" x14ac:dyDescent="0.25">
      <c r="B97" s="468">
        <f>IF(D73&lt;=48,D73/12,0)</f>
        <v>0</v>
      </c>
      <c r="C97" s="468"/>
      <c r="D97" s="468"/>
      <c r="E97" s="468"/>
    </row>
    <row r="98" spans="2:5" x14ac:dyDescent="0.25">
      <c r="B98" s="468" t="s">
        <v>108</v>
      </c>
      <c r="C98" s="468"/>
      <c r="D98" s="468"/>
      <c r="E98" s="468"/>
    </row>
    <row r="99" spans="2:5" x14ac:dyDescent="0.25">
      <c r="B99" s="468">
        <f>INT(B97)</f>
        <v>0</v>
      </c>
      <c r="C99" s="468"/>
      <c r="D99" s="468"/>
      <c r="E99" s="468"/>
    </row>
    <row r="101" spans="2:5" x14ac:dyDescent="0.25">
      <c r="B101" s="449">
        <f>D74/360</f>
        <v>5</v>
      </c>
      <c r="C101" s="449">
        <f>INT(B101)</f>
        <v>5</v>
      </c>
    </row>
    <row r="102" spans="2:5" x14ac:dyDescent="0.25">
      <c r="B102" s="449">
        <f>INT(D74-C101*360)/30</f>
        <v>0</v>
      </c>
      <c r="C102" s="449">
        <f>INT(B102)</f>
        <v>0</v>
      </c>
    </row>
    <row r="103" spans="2:5" x14ac:dyDescent="0.25">
      <c r="B103" s="449">
        <f>D74-(C101*360+C102*30)</f>
        <v>0</v>
      </c>
      <c r="C103" s="449">
        <f>B103</f>
        <v>0</v>
      </c>
    </row>
  </sheetData>
  <sheetProtection sheet="1" objects="1" scenarios="1"/>
  <mergeCells count="24">
    <mergeCell ref="K14:P14"/>
    <mergeCell ref="K15:P15"/>
    <mergeCell ref="K16:P16"/>
    <mergeCell ref="N2:AE2"/>
    <mergeCell ref="J34:K34"/>
    <mergeCell ref="H5:Q11"/>
    <mergeCell ref="I37:Q41"/>
    <mergeCell ref="H42:J44"/>
    <mergeCell ref="G18:I18"/>
    <mergeCell ref="J26:L26"/>
    <mergeCell ref="J27:L27"/>
    <mergeCell ref="J28:L28"/>
    <mergeCell ref="J29:L29"/>
    <mergeCell ref="J21:P21"/>
    <mergeCell ref="J23:Q23"/>
    <mergeCell ref="J18:O18"/>
    <mergeCell ref="H14:J14"/>
    <mergeCell ref="H15:J15"/>
    <mergeCell ref="H16:J16"/>
    <mergeCell ref="G52:L52"/>
    <mergeCell ref="G53:L53"/>
    <mergeCell ref="G56:J56"/>
    <mergeCell ref="G57:J57"/>
    <mergeCell ref="H63:K65"/>
  </mergeCells>
  <dataValidations count="4">
    <dataValidation type="list" allowBlank="1" showInputMessage="1" showErrorMessage="1" sqref="J18:M18" xr:uid="{00000000-0002-0000-1800-000000000000}">
      <formula1>$B$17:$B$20</formula1>
    </dataValidation>
    <dataValidation type="list" allowBlank="1" showInputMessage="1" showErrorMessage="1" sqref="J26:L29" xr:uid="{00000000-0002-0000-1800-000001000000}">
      <formula1>$C$25:$C$52</formula1>
    </dataValidation>
    <dataValidation type="list" allowBlank="1" showInputMessage="1" showErrorMessage="1" sqref="J34:K34" xr:uid="{00000000-0002-0000-1800-000002000000}">
      <formula1>$D$25:$D$53</formula1>
    </dataValidation>
    <dataValidation type="list" allowBlank="1" showInputMessage="1" showErrorMessage="1" sqref="J31" xr:uid="{00000000-0002-0000-1800-000003000000}">
      <formula1>$D$28:$D$31</formula1>
    </dataValidation>
  </dataValidations>
  <hyperlinks>
    <hyperlink ref="H63:K65" location="decretotibis!A1" display="VEDI IL DECRETO" xr:uid="{00000000-0004-0000-1800-000000000000}"/>
    <hyperlink ref="J21:P21" location="aumentibiennali!A1" display="se si desidera effettuare solo gli aumenti biennali - clicca qui" xr:uid="{00000000-0004-0000-1800-000001000000}"/>
    <hyperlink ref="N2:AE2" location="istruzionireligione!A1" display="VEDI ISTRUZIONI PER RICOSTRUZIONI E AUMENTI BIENNALI" xr:uid="{00000000-0004-0000-1800-000002000000}"/>
  </hyperlink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E3:BX84"/>
  <sheetViews>
    <sheetView showRowColHeaders="0" topLeftCell="J1" workbookViewId="0">
      <selection activeCell="S8" sqref="S8:V8"/>
    </sheetView>
  </sheetViews>
  <sheetFormatPr defaultColWidth="9.140625" defaultRowHeight="15" x14ac:dyDescent="0.25"/>
  <cols>
    <col min="1" max="9" width="0" style="471" hidden="1" customWidth="1"/>
    <col min="10" max="10" width="9.140625" style="471"/>
    <col min="11" max="11" width="11" style="471" customWidth="1"/>
    <col min="12" max="12" width="10.7109375" style="471" bestFit="1" customWidth="1"/>
    <col min="13" max="14" width="9.140625" style="471"/>
    <col min="15" max="15" width="9.28515625" style="471" bestFit="1" customWidth="1"/>
    <col min="16" max="16" width="10.42578125" style="471" customWidth="1"/>
    <col min="17" max="17" width="9.28515625" style="471" bestFit="1" customWidth="1"/>
    <col min="18" max="18" width="9.140625" style="471"/>
    <col min="19" max="20" width="9.28515625" style="471" bestFit="1" customWidth="1"/>
    <col min="21" max="21" width="9.140625" style="471"/>
    <col min="22" max="22" width="12.42578125" style="480" customWidth="1"/>
    <col min="23" max="23" width="10.85546875" style="501" bestFit="1" customWidth="1"/>
    <col min="24" max="26" width="10.85546875" style="500" bestFit="1" customWidth="1"/>
    <col min="27" max="27" width="12" style="500" customWidth="1"/>
    <col min="28" max="28" width="11.140625" style="500" customWidth="1"/>
    <col min="29" max="29" width="10.85546875" style="500" bestFit="1" customWidth="1"/>
    <col min="30" max="30" width="10.7109375" style="500" customWidth="1"/>
    <col min="31" max="31" width="10.85546875" style="500" bestFit="1" customWidth="1"/>
    <col min="32" max="32" width="11" style="500" customWidth="1"/>
    <col min="33" max="33" width="10.85546875" style="500" bestFit="1" customWidth="1"/>
    <col min="34" max="36" width="10.42578125" style="500" bestFit="1" customWidth="1"/>
    <col min="37" max="37" width="11.28515625" style="500" customWidth="1"/>
    <col min="38" max="38" width="10.5703125" style="500" customWidth="1"/>
    <col min="39" max="40" width="10.42578125" style="500" bestFit="1" customWidth="1"/>
    <col min="41" max="41" width="11.5703125" style="500" customWidth="1"/>
    <col min="42" max="42" width="10.7109375" style="500" bestFit="1" customWidth="1"/>
    <col min="43" max="44" width="9.140625" style="500"/>
    <col min="45" max="47" width="9.28515625" style="500" bestFit="1" customWidth="1"/>
    <col min="48" max="48" width="9.140625" style="504"/>
    <col min="49" max="49" width="10.85546875" style="505" bestFit="1" customWidth="1"/>
    <col min="50" max="51" width="9.140625" style="505"/>
    <col min="52" max="52" width="9.28515625" style="505" bestFit="1" customWidth="1"/>
    <col min="53" max="53" width="11.7109375" style="505" customWidth="1"/>
    <col min="54" max="55" width="9.140625" style="505"/>
    <col min="56" max="56" width="12.28515625" style="505" customWidth="1"/>
    <col min="57" max="57" width="11.42578125" style="505" customWidth="1"/>
    <col min="58" max="59" width="9.140625" style="505"/>
    <col min="60" max="60" width="9.28515625" style="505" bestFit="1" customWidth="1"/>
    <col min="61" max="62" width="9.140625" style="505"/>
    <col min="63" max="63" width="9.28515625" style="505" bestFit="1" customWidth="1"/>
    <col min="64" max="64" width="12.42578125" style="505" customWidth="1"/>
    <col min="65" max="65" width="9.140625" style="505"/>
    <col min="66" max="66" width="9.7109375" style="505" bestFit="1" customWidth="1"/>
    <col min="67" max="67" width="11.140625" style="505" customWidth="1"/>
    <col min="68" max="68" width="12.28515625" style="505" customWidth="1"/>
    <col min="69" max="76" width="9.140625" style="505"/>
    <col min="77" max="16384" width="9.140625" style="471"/>
  </cols>
  <sheetData>
    <row r="3" spans="5:49" ht="21" x14ac:dyDescent="0.35">
      <c r="Q3" s="702" t="s">
        <v>672</v>
      </c>
      <c r="R3" s="702"/>
      <c r="S3" s="702"/>
      <c r="T3" s="702"/>
      <c r="U3" s="702"/>
      <c r="V3" s="702"/>
      <c r="W3" s="702"/>
      <c r="X3" s="702"/>
      <c r="Y3" s="702"/>
    </row>
    <row r="4" spans="5:49" ht="15.75" thickBot="1" x14ac:dyDescent="0.3"/>
    <row r="5" spans="5:49" x14ac:dyDescent="0.25">
      <c r="K5" s="492" t="s">
        <v>669</v>
      </c>
      <c r="L5" s="451"/>
      <c r="M5" s="451"/>
      <c r="N5" s="451"/>
      <c r="O5" s="451"/>
      <c r="P5" s="451"/>
      <c r="Q5" s="451"/>
      <c r="R5" s="451"/>
      <c r="S5" s="451"/>
      <c r="T5" s="451"/>
      <c r="U5" s="451"/>
      <c r="V5" s="493"/>
      <c r="W5" s="503"/>
    </row>
    <row r="6" spans="5:49" ht="72.75" customHeight="1" thickBot="1" x14ac:dyDescent="0.3">
      <c r="K6" s="707" t="s">
        <v>685</v>
      </c>
      <c r="L6" s="708"/>
      <c r="M6" s="708"/>
      <c r="N6" s="708"/>
      <c r="O6" s="708"/>
      <c r="P6" s="708"/>
      <c r="Q6" s="708"/>
      <c r="R6" s="708"/>
      <c r="S6" s="708"/>
      <c r="T6" s="708"/>
      <c r="U6" s="708"/>
      <c r="V6" s="708"/>
      <c r="W6" s="709"/>
    </row>
    <row r="8" spans="5:49" x14ac:dyDescent="0.25">
      <c r="K8" s="471" t="s">
        <v>663</v>
      </c>
      <c r="L8" s="495"/>
      <c r="M8" s="496" t="s">
        <v>664</v>
      </c>
      <c r="N8" s="496"/>
      <c r="O8" s="496"/>
      <c r="P8" s="496"/>
      <c r="Q8" s="496"/>
      <c r="R8" s="495"/>
      <c r="S8" s="713" t="s">
        <v>671</v>
      </c>
      <c r="T8" s="714"/>
      <c r="U8" s="714"/>
      <c r="V8" s="714"/>
    </row>
    <row r="9" spans="5:49" ht="21" x14ac:dyDescent="0.35">
      <c r="K9" s="473" t="str">
        <f>religione!G51</f>
        <v>Insegnante Religione Primaria</v>
      </c>
    </row>
    <row r="10" spans="5:49" hidden="1" x14ac:dyDescent="0.25">
      <c r="K10" s="241" t="str">
        <f>religione!G52</f>
        <v xml:space="preserve">n. anni prima della decorrenza della ricostruzione: </v>
      </c>
      <c r="L10" s="241"/>
      <c r="M10" s="241"/>
      <c r="N10" s="241"/>
      <c r="O10" s="241"/>
      <c r="P10" s="472">
        <f>religione!M52</f>
        <v>5</v>
      </c>
    </row>
    <row r="11" spans="5:49" hidden="1" x14ac:dyDescent="0.25">
      <c r="K11" s="703" t="str">
        <f>religione!G53</f>
        <v>data di decorrenza della ricostruzione:</v>
      </c>
      <c r="L11" s="704"/>
      <c r="M11" s="704"/>
      <c r="N11" s="704"/>
      <c r="O11" s="705"/>
      <c r="P11" s="472" t="str">
        <f>religione!M53</f>
        <v>1/9/2024</v>
      </c>
    </row>
    <row r="12" spans="5:49" hidden="1" x14ac:dyDescent="0.25"/>
    <row r="13" spans="5:49" hidden="1" x14ac:dyDescent="0.25">
      <c r="E13" s="471">
        <v>1996</v>
      </c>
      <c r="F13" s="471">
        <v>1997</v>
      </c>
      <c r="G13" s="471" t="s">
        <v>537</v>
      </c>
      <c r="H13" s="471" t="s">
        <v>590</v>
      </c>
    </row>
    <row r="14" spans="5:49" hidden="1" x14ac:dyDescent="0.25">
      <c r="E14" s="471">
        <v>1997</v>
      </c>
      <c r="F14" s="471">
        <v>1998</v>
      </c>
      <c r="G14" s="471" t="s">
        <v>591</v>
      </c>
      <c r="H14" s="471" t="s">
        <v>592</v>
      </c>
    </row>
    <row r="15" spans="5:49" hidden="1" x14ac:dyDescent="0.25">
      <c r="E15" s="471">
        <v>1998</v>
      </c>
      <c r="F15" s="471">
        <v>1999</v>
      </c>
      <c r="G15" s="471" t="s">
        <v>593</v>
      </c>
      <c r="H15" s="471" t="s">
        <v>594</v>
      </c>
      <c r="K15" s="423"/>
      <c r="L15" s="423"/>
      <c r="AW15" s="505">
        <f>MAX(T25:T41)</f>
        <v>1996</v>
      </c>
    </row>
    <row r="16" spans="5:49" hidden="1" x14ac:dyDescent="0.25">
      <c r="E16" s="471">
        <v>1999</v>
      </c>
      <c r="F16" s="471">
        <v>2000</v>
      </c>
      <c r="G16" s="471" t="s">
        <v>595</v>
      </c>
      <c r="H16" s="471" t="s">
        <v>596</v>
      </c>
      <c r="K16" s="423" t="s">
        <v>636</v>
      </c>
      <c r="L16" s="423"/>
      <c r="AW16" s="506">
        <f>DATE(AW15,8,31)</f>
        <v>35308</v>
      </c>
    </row>
    <row r="17" spans="5:76" hidden="1" x14ac:dyDescent="0.25">
      <c r="E17" s="471">
        <v>2000</v>
      </c>
      <c r="F17" s="471">
        <v>2001</v>
      </c>
      <c r="G17" s="471" t="s">
        <v>597</v>
      </c>
      <c r="H17" s="471" t="s">
        <v>541</v>
      </c>
      <c r="K17" s="241" t="str">
        <f>religione!J26</f>
        <v>2019/2020</v>
      </c>
    </row>
    <row r="18" spans="5:76" hidden="1" x14ac:dyDescent="0.25">
      <c r="E18" s="471">
        <v>2001</v>
      </c>
      <c r="F18" s="471">
        <v>2002</v>
      </c>
      <c r="G18" s="471" t="s">
        <v>598</v>
      </c>
      <c r="H18" s="471" t="s">
        <v>599</v>
      </c>
      <c r="K18" s="241" t="str">
        <f>religione!J27</f>
        <v>2020/2021</v>
      </c>
    </row>
    <row r="19" spans="5:76" hidden="1" x14ac:dyDescent="0.25">
      <c r="E19" s="471">
        <v>2002</v>
      </c>
      <c r="F19" s="471">
        <v>2003</v>
      </c>
      <c r="G19" s="471" t="s">
        <v>600</v>
      </c>
      <c r="H19" s="471" t="s">
        <v>601</v>
      </c>
      <c r="K19" s="241" t="str">
        <f>religione!J28</f>
        <v>2021/2022</v>
      </c>
    </row>
    <row r="20" spans="5:76" hidden="1" x14ac:dyDescent="0.25">
      <c r="E20" s="471">
        <v>2003</v>
      </c>
      <c r="F20" s="471">
        <v>2004</v>
      </c>
      <c r="G20" s="471" t="s">
        <v>602</v>
      </c>
      <c r="H20" s="471" t="s">
        <v>603</v>
      </c>
      <c r="K20" s="241" t="str">
        <f>religione!J29</f>
        <v>2022/2023</v>
      </c>
    </row>
    <row r="21" spans="5:76" hidden="1" x14ac:dyDescent="0.25">
      <c r="E21" s="471">
        <v>2004</v>
      </c>
      <c r="F21" s="471">
        <v>2005</v>
      </c>
      <c r="G21" s="471" t="s">
        <v>604</v>
      </c>
      <c r="H21" s="471" t="s">
        <v>605</v>
      </c>
    </row>
    <row r="22" spans="5:76" hidden="1" x14ac:dyDescent="0.25">
      <c r="E22" s="471">
        <v>2005</v>
      </c>
      <c r="F22" s="471">
        <v>2006</v>
      </c>
      <c r="G22" s="471" t="s">
        <v>606</v>
      </c>
      <c r="H22" s="471" t="s">
        <v>607</v>
      </c>
      <c r="Z22" s="500" t="s">
        <v>637</v>
      </c>
      <c r="AA22" s="502">
        <f>IF(YEAR(Z23)=2013,DATE(2014,1,1),Z23)</f>
        <v>0</v>
      </c>
      <c r="AO22" s="500" t="s">
        <v>638</v>
      </c>
      <c r="AP22" s="502">
        <f>IF(YEAR(AO23)=2013,DATE(2014,1,1),AO23)</f>
        <v>0</v>
      </c>
      <c r="BD22" s="505" t="s">
        <v>639</v>
      </c>
      <c r="BE22" s="506">
        <f>IF(YEAR(BD23)=2013,DATE(2014,1,1),BD23)</f>
        <v>0</v>
      </c>
      <c r="BO22" s="505" t="s">
        <v>640</v>
      </c>
      <c r="BP22" s="506">
        <f>IF(YEAR(BO23)=2013,DATE(2014,1,1),BO23)</f>
        <v>0</v>
      </c>
    </row>
    <row r="23" spans="5:76" x14ac:dyDescent="0.25">
      <c r="E23" s="471">
        <v>2006</v>
      </c>
      <c r="F23" s="471">
        <v>2007</v>
      </c>
      <c r="G23" s="471" t="s">
        <v>536</v>
      </c>
      <c r="H23" s="471" t="s">
        <v>608</v>
      </c>
      <c r="K23" s="706" t="s">
        <v>641</v>
      </c>
      <c r="L23" s="706"/>
      <c r="M23" s="706"/>
      <c r="N23" s="706"/>
      <c r="O23" s="511"/>
      <c r="P23" s="511"/>
      <c r="Q23" s="511"/>
      <c r="R23" s="511"/>
      <c r="S23" s="511"/>
      <c r="T23" s="511"/>
      <c r="U23" s="511"/>
      <c r="V23" s="512"/>
      <c r="W23" s="512"/>
      <c r="X23" s="513"/>
      <c r="Y23" s="513"/>
      <c r="Z23" s="513">
        <f>IF(MAX(Z25:Z41)&gt;$AW$16,"",MAX(Z25:Z41))</f>
        <v>0</v>
      </c>
      <c r="AA23" s="513"/>
      <c r="AB23" s="513"/>
      <c r="AC23" s="513"/>
      <c r="AD23" s="513"/>
      <c r="AE23" s="513"/>
      <c r="AF23" s="513"/>
      <c r="AG23" s="513"/>
      <c r="AH23" s="513"/>
      <c r="AI23" s="513"/>
      <c r="AJ23" s="513"/>
      <c r="AK23" s="513"/>
      <c r="AL23" s="513"/>
      <c r="AM23" s="513"/>
      <c r="AN23" s="513"/>
      <c r="AO23" s="513">
        <f>IF(MAX(AO25:AO41)&gt;$AW$16,"",MAX(AO25:AO41))</f>
        <v>0</v>
      </c>
      <c r="AP23" s="513"/>
      <c r="AQ23" s="513"/>
      <c r="AR23" s="513"/>
      <c r="AS23" s="513"/>
      <c r="AT23" s="513"/>
      <c r="AU23" s="513"/>
      <c r="AV23" s="514"/>
      <c r="AW23" s="514"/>
      <c r="AX23" s="514"/>
      <c r="AY23" s="514"/>
      <c r="AZ23" s="507"/>
      <c r="BA23" s="507"/>
      <c r="BB23" s="507"/>
      <c r="BC23" s="507"/>
      <c r="BD23" s="507">
        <f>IF(MAX(BD25:BD41)&gt;$AW$16,"",MAX(BD25:BD41))</f>
        <v>0</v>
      </c>
      <c r="BE23" s="507"/>
      <c r="BF23" s="507"/>
      <c r="BG23" s="507"/>
      <c r="BH23" s="507"/>
      <c r="BI23" s="507"/>
      <c r="BJ23" s="507"/>
      <c r="BK23" s="507"/>
      <c r="BL23" s="507"/>
      <c r="BM23" s="508"/>
      <c r="BN23" s="508"/>
      <c r="BO23" s="509">
        <f>IF(MAX(BO25:BO41)&gt;$AW$16,"",MAX(BO25:BO41))</f>
        <v>0</v>
      </c>
      <c r="BP23" s="508"/>
      <c r="BQ23" s="508"/>
      <c r="BR23" s="508"/>
      <c r="BS23" s="508"/>
      <c r="BT23" s="508"/>
      <c r="BU23" s="508"/>
      <c r="BV23" s="508"/>
      <c r="BW23" s="508"/>
      <c r="BX23" s="508"/>
    </row>
    <row r="24" spans="5:76" ht="58.5" customHeight="1" x14ac:dyDescent="0.25">
      <c r="E24" s="471">
        <v>2007</v>
      </c>
      <c r="F24" s="471">
        <v>2008</v>
      </c>
      <c r="G24" s="471" t="s">
        <v>558</v>
      </c>
      <c r="H24" s="471" t="s">
        <v>609</v>
      </c>
      <c r="K24" s="706"/>
      <c r="L24" s="706"/>
      <c r="M24" s="706"/>
      <c r="N24" s="706"/>
      <c r="O24" s="511"/>
      <c r="P24" s="511"/>
      <c r="Q24" s="511"/>
      <c r="R24" s="511"/>
      <c r="S24" s="511"/>
      <c r="T24" s="511"/>
      <c r="U24" s="511"/>
      <c r="V24" s="515" t="s">
        <v>647</v>
      </c>
      <c r="W24" s="515" t="s">
        <v>647</v>
      </c>
      <c r="X24" s="515" t="s">
        <v>648</v>
      </c>
      <c r="Y24" s="515" t="s">
        <v>648</v>
      </c>
      <c r="Z24" s="515" t="s">
        <v>649</v>
      </c>
      <c r="AA24" s="515" t="s">
        <v>649</v>
      </c>
      <c r="AB24" s="515" t="s">
        <v>650</v>
      </c>
      <c r="AC24" s="513" t="s">
        <v>650</v>
      </c>
      <c r="AD24" s="513" t="s">
        <v>655</v>
      </c>
      <c r="AE24" s="513" t="s">
        <v>655</v>
      </c>
      <c r="AF24" s="513" t="s">
        <v>692</v>
      </c>
      <c r="AG24" s="513" t="s">
        <v>692</v>
      </c>
      <c r="AH24" s="513" t="s">
        <v>693</v>
      </c>
      <c r="AI24" s="513" t="s">
        <v>693</v>
      </c>
      <c r="AJ24" s="513" t="s">
        <v>694</v>
      </c>
      <c r="AK24" s="513" t="s">
        <v>694</v>
      </c>
      <c r="AL24" s="513" t="s">
        <v>695</v>
      </c>
      <c r="AM24" s="513" t="s">
        <v>695</v>
      </c>
      <c r="AN24" s="513" t="s">
        <v>696</v>
      </c>
      <c r="AO24" s="513" t="s">
        <v>696</v>
      </c>
      <c r="AP24" s="513"/>
      <c r="AQ24" s="513"/>
      <c r="AR24" s="513"/>
      <c r="AS24" s="513"/>
      <c r="AT24" s="513"/>
      <c r="AU24" s="513"/>
      <c r="AV24" s="514"/>
      <c r="AW24" s="514"/>
      <c r="AX24" s="514"/>
      <c r="AY24" s="514"/>
      <c r="AZ24" s="507"/>
      <c r="BA24" s="507"/>
      <c r="BB24" s="507"/>
      <c r="BC24" s="507"/>
      <c r="BD24" s="507"/>
      <c r="BE24" s="507"/>
      <c r="BF24" s="507"/>
      <c r="BG24" s="507"/>
      <c r="BH24" s="507"/>
      <c r="BI24" s="507"/>
      <c r="BJ24" s="507"/>
      <c r="BK24" s="507"/>
      <c r="BL24" s="507"/>
      <c r="BM24" s="508"/>
      <c r="BN24" s="508"/>
      <c r="BO24" s="508"/>
      <c r="BP24" s="508"/>
      <c r="BQ24" s="508"/>
      <c r="BR24" s="508"/>
      <c r="BS24" s="508"/>
      <c r="BT24" s="508"/>
      <c r="BU24" s="508"/>
      <c r="BV24" s="508"/>
      <c r="BW24" s="508"/>
      <c r="BX24" s="508"/>
    </row>
    <row r="25" spans="5:76" x14ac:dyDescent="0.25">
      <c r="E25" s="471">
        <v>2008</v>
      </c>
      <c r="F25" s="471">
        <v>2009</v>
      </c>
      <c r="G25" s="471" t="s">
        <v>554</v>
      </c>
      <c r="H25" s="471" t="s">
        <v>610</v>
      </c>
      <c r="K25" s="494" t="s">
        <v>537</v>
      </c>
      <c r="O25" s="511">
        <f>IF(K25="2012/2013",4,12)</f>
        <v>12</v>
      </c>
      <c r="P25" s="511">
        <f>IF(K25="2013/2014",8,12)</f>
        <v>12</v>
      </c>
      <c r="Q25" s="511">
        <f t="shared" ref="Q25:Q30" si="0">MIN(O25:P25)</f>
        <v>12</v>
      </c>
      <c r="R25" s="511"/>
      <c r="S25" s="511">
        <f>IF(K25="","",Q25+S24)</f>
        <v>12</v>
      </c>
      <c r="T25" s="511">
        <f>IF(K25="","",LEFT(K25,4)*1)</f>
        <v>1996</v>
      </c>
      <c r="U25" s="511"/>
      <c r="V25" s="515" t="str">
        <f t="shared" ref="V25:V30" si="1">IF(S25=24,DATE(T26,9,1),"")</f>
        <v/>
      </c>
      <c r="W25" s="515" t="str">
        <f>IF(T25="","",IF(S25&gt;24,DATE(T25+1,9-(S25-24),1),""))</f>
        <v/>
      </c>
      <c r="X25" s="515" t="str">
        <f>IF(S25=48,DATE(T26,9,1),"")</f>
        <v/>
      </c>
      <c r="Y25" s="515" t="str">
        <f xml:space="preserve">  IF(T25="","",     IF(S25&gt;48,DATE(T25+1,9-(S25-48),1),""))</f>
        <v/>
      </c>
      <c r="Z25" s="515" t="str">
        <f>IF(S25=72,DATE(T26,9,1),"")</f>
        <v/>
      </c>
      <c r="AA25" s="515" t="str">
        <f>IF(T25="","",IF(S25&gt;72,DATE(T25+1,9-(S25-72),1),""))</f>
        <v/>
      </c>
      <c r="AB25" s="516" t="str">
        <f>IF(S25=96,DATE(T26,9,1),"")</f>
        <v/>
      </c>
      <c r="AC25" s="513" t="str">
        <f>IF(T25="","",IF(S25&gt;96,DATE(T25+1,9-(S25-96),1),""))</f>
        <v/>
      </c>
      <c r="AD25" s="511" t="str">
        <f>IF(S25=120,DATE(T26,9,1),"")</f>
        <v/>
      </c>
      <c r="AE25" s="511" t="str">
        <f>IF(T25="","",IF(S25&gt;120,DATE(T25+1,9-(S25-120),1),""))</f>
        <v/>
      </c>
      <c r="AF25" s="513" t="str">
        <f>IF(S25=144,DATE(T26,9,1),"")</f>
        <v/>
      </c>
      <c r="AG25" s="513" t="str">
        <f>IF(T25="","",IF(S25&gt;144,DATE(T25+1,9-(S25-144),1),""))</f>
        <v/>
      </c>
      <c r="AH25" s="513" t="str">
        <f>IF(S25=168,DATE(T26,9,1),"")</f>
        <v/>
      </c>
      <c r="AI25" s="513" t="str">
        <f>IF(T25="","",IF(S25&gt;168,DATE(T25+1,9-(S25-168),1),""))</f>
        <v/>
      </c>
      <c r="AJ25" s="513" t="str">
        <f>IF(S25=192,DATE(T26,9,1),"")</f>
        <v/>
      </c>
      <c r="AK25" s="513" t="str">
        <f>IF(T25="","",IF(S25&gt;1216,DATE(T25+1,9-(S25-216),1),""))</f>
        <v/>
      </c>
      <c r="AL25" s="513" t="str">
        <f>IF(S25=216,DATE(T26,9,1),"")</f>
        <v/>
      </c>
      <c r="AM25" s="513" t="str">
        <f>IF(T25="","",IF(S25&gt;216,DATE(T25+1,9-(S25-216),1),""))</f>
        <v/>
      </c>
      <c r="AN25" s="513" t="str">
        <f>IF(S25=240,DATE(T26,9,1),"")</f>
        <v/>
      </c>
      <c r="AO25" s="513" t="str">
        <f>IF(T25="","",IF(S25&gt;240,DATE(T25+1,9-(S25-240),1),""))</f>
        <v/>
      </c>
      <c r="AP25" s="511"/>
      <c r="AQ25" s="511"/>
      <c r="AR25" s="511"/>
      <c r="AS25" s="511"/>
      <c r="AT25" s="511"/>
      <c r="AU25" s="511"/>
      <c r="AV25" s="517"/>
      <c r="AW25" s="517"/>
      <c r="AX25" s="517"/>
      <c r="AY25" s="517"/>
      <c r="AZ25" s="510"/>
      <c r="BA25" s="509"/>
      <c r="BB25" s="508"/>
      <c r="BC25" s="508"/>
      <c r="BD25" s="509"/>
      <c r="BE25" s="508"/>
      <c r="BF25" s="508"/>
      <c r="BG25" s="508"/>
      <c r="BH25" s="508"/>
      <c r="BI25" s="508"/>
      <c r="BJ25" s="508"/>
      <c r="BK25" s="510"/>
      <c r="BL25" s="509"/>
      <c r="BM25" s="508"/>
      <c r="BN25" s="508"/>
      <c r="BO25" s="509"/>
      <c r="BP25" s="508"/>
      <c r="BQ25" s="508"/>
      <c r="BR25" s="508"/>
      <c r="BS25" s="508"/>
      <c r="BT25" s="508"/>
      <c r="BU25" s="508"/>
      <c r="BV25" s="508"/>
      <c r="BW25" s="508"/>
      <c r="BX25" s="508"/>
    </row>
    <row r="26" spans="5:76" x14ac:dyDescent="0.25">
      <c r="E26" s="471">
        <v>2009</v>
      </c>
      <c r="F26" s="471">
        <v>2010</v>
      </c>
      <c r="G26" s="471" t="s">
        <v>559</v>
      </c>
      <c r="H26" s="471" t="s">
        <v>576</v>
      </c>
      <c r="K26" s="494"/>
      <c r="O26" s="511">
        <f t="shared" ref="O26:O30" si="2">IF(K26="2012/2013",4,12)</f>
        <v>12</v>
      </c>
      <c r="P26" s="511">
        <f t="shared" ref="P26:P30" si="3">IF(K26="2013/2014",8,12)</f>
        <v>12</v>
      </c>
      <c r="Q26" s="511">
        <f t="shared" si="0"/>
        <v>12</v>
      </c>
      <c r="R26" s="511"/>
      <c r="S26" s="511" t="str">
        <f t="shared" ref="S26:S27" si="4">IF(K26="","",Q26+S25)</f>
        <v/>
      </c>
      <c r="T26" s="511" t="str">
        <f t="shared" ref="T26:T41" si="5">IF(K26="","",LEFT(K26,4)*1)</f>
        <v/>
      </c>
      <c r="U26" s="511"/>
      <c r="V26" s="515" t="str">
        <f t="shared" si="1"/>
        <v/>
      </c>
      <c r="W26" s="515" t="str">
        <f>IF(T26="","",IF(S26&gt;24,DATE(T26+1,9-(S26-24),1),""))</f>
        <v/>
      </c>
      <c r="X26" s="515" t="str">
        <f t="shared" ref="X26:X40" si="6">IF(S26=48,DATE(T27,9,1),"")</f>
        <v/>
      </c>
      <c r="Y26" s="515" t="str">
        <f t="shared" ref="Y26:Y40" si="7" xml:space="preserve">  IF(T26="","",     IF(S26&gt;48,DATE(T26+1,9-(S26-48),1),""))</f>
        <v/>
      </c>
      <c r="Z26" s="515" t="str">
        <f t="shared" ref="Z26:Z40" si="8">IF(S26=72,DATE(T27,9,1),"")</f>
        <v/>
      </c>
      <c r="AA26" s="515" t="str">
        <f t="shared" ref="AA26:AA41" si="9">IF(T26="","",IF(S26&gt;72,DATE(T26+1,9-(S26-72),1),""))</f>
        <v/>
      </c>
      <c r="AB26" s="516" t="str">
        <f t="shared" ref="AB26:AB40" si="10">IF(S26=96,DATE(T27,9,1),"")</f>
        <v/>
      </c>
      <c r="AC26" s="513" t="str">
        <f t="shared" ref="AC26:AC41" si="11">IF(T26="","",IF(S26&gt;96,DATE(T26+1,9-(S26-96),1),""))</f>
        <v/>
      </c>
      <c r="AD26" s="511" t="str">
        <f t="shared" ref="AD26:AD40" si="12">IF(S26=120,DATE(T27,9,1),"")</f>
        <v/>
      </c>
      <c r="AE26" s="511" t="str">
        <f t="shared" ref="AE26:AE41" si="13">IF(T26="","",IF(S26&gt;120,DATE(T26+1,9-(S26-120),1),""))</f>
        <v/>
      </c>
      <c r="AF26" s="513" t="str">
        <f t="shared" ref="AF26:AF48" si="14">IF(S26=144,DATE(T27,9,1),"")</f>
        <v/>
      </c>
      <c r="AG26" s="513" t="str">
        <f t="shared" ref="AG26:AG48" si="15">IF(T26="","",IF(S26&gt;144,DATE(T26+1,9-(S26-144),1),""))</f>
        <v/>
      </c>
      <c r="AH26" s="513" t="str">
        <f t="shared" ref="AH26:AH48" si="16">IF(S26=168,DATE(T27,9,1),"")</f>
        <v/>
      </c>
      <c r="AI26" s="513" t="str">
        <f t="shared" ref="AI26:AI48" si="17">IF(T26="","",IF(S26&gt;168,DATE(T26+1,9-(S26-168),1),""))</f>
        <v/>
      </c>
      <c r="AJ26" s="513" t="str">
        <f t="shared" ref="AJ26:AJ48" si="18">IF(S26=192,DATE(T27,9,1),"")</f>
        <v/>
      </c>
      <c r="AK26" s="513" t="str">
        <f t="shared" ref="AK26:AK28" si="19">IF(T26="","",IF(S26&gt;1216,DATE(T26+1,9-(S26-216),1),""))</f>
        <v/>
      </c>
      <c r="AL26" s="513" t="str">
        <f t="shared" ref="AL26:AL48" si="20">IF(S26=216,DATE(T27,9,1),"")</f>
        <v/>
      </c>
      <c r="AM26" s="513" t="str">
        <f t="shared" ref="AM26:AM48" si="21">IF(T26="","",IF(S26&gt;216,DATE(T26+1,9-(S26-216),1),""))</f>
        <v/>
      </c>
      <c r="AN26" s="513" t="str">
        <f t="shared" ref="AN26:AN48" si="22">IF(S26=240,DATE(T27,9,1),"")</f>
        <v/>
      </c>
      <c r="AO26" s="513" t="str">
        <f t="shared" ref="AO26:AO48" si="23">IF(T26="","",IF(S26&gt;240,DATE(T26+1,9-(S26-240),1),""))</f>
        <v/>
      </c>
      <c r="AP26" s="511"/>
      <c r="AQ26" s="511"/>
      <c r="AR26" s="511"/>
      <c r="AS26" s="511"/>
      <c r="AT26" s="511"/>
      <c r="AU26" s="511"/>
      <c r="AV26" s="517"/>
      <c r="AW26" s="517"/>
      <c r="AX26" s="517"/>
      <c r="AY26" s="517"/>
      <c r="AZ26" s="510"/>
      <c r="BA26" s="509"/>
      <c r="BB26" s="508"/>
      <c r="BC26" s="508"/>
      <c r="BD26" s="509"/>
      <c r="BE26" s="508"/>
      <c r="BF26" s="508"/>
      <c r="BG26" s="508"/>
      <c r="BH26" s="508"/>
      <c r="BI26" s="508"/>
      <c r="BJ26" s="508"/>
      <c r="BK26" s="510"/>
      <c r="BL26" s="509"/>
      <c r="BM26" s="508"/>
      <c r="BN26" s="508"/>
      <c r="BO26" s="509"/>
      <c r="BP26" s="508"/>
      <c r="BQ26" s="508"/>
      <c r="BR26" s="508"/>
      <c r="BS26" s="508"/>
      <c r="BT26" s="508"/>
      <c r="BU26" s="508"/>
      <c r="BV26" s="508"/>
      <c r="BW26" s="508"/>
      <c r="BX26" s="508"/>
    </row>
    <row r="27" spans="5:76" x14ac:dyDescent="0.25">
      <c r="E27" s="471">
        <v>2010</v>
      </c>
      <c r="F27" s="471">
        <v>2011</v>
      </c>
      <c r="G27" s="471" t="s">
        <v>538</v>
      </c>
      <c r="H27" s="471" t="s">
        <v>611</v>
      </c>
      <c r="K27" s="494"/>
      <c r="O27" s="511">
        <f t="shared" si="2"/>
        <v>12</v>
      </c>
      <c r="P27" s="511">
        <f t="shared" si="3"/>
        <v>12</v>
      </c>
      <c r="Q27" s="511">
        <f t="shared" si="0"/>
        <v>12</v>
      </c>
      <c r="R27" s="511"/>
      <c r="S27" s="511" t="str">
        <f t="shared" si="4"/>
        <v/>
      </c>
      <c r="T27" s="511" t="str">
        <f t="shared" si="5"/>
        <v/>
      </c>
      <c r="U27" s="511"/>
      <c r="V27" s="515" t="str">
        <f t="shared" si="1"/>
        <v/>
      </c>
      <c r="W27" s="515" t="str">
        <f>IF(T27="","",IF(S27&gt;24,DATE(T27+1,9-(S27-24),1),""))</f>
        <v/>
      </c>
      <c r="X27" s="515" t="str">
        <f t="shared" si="6"/>
        <v/>
      </c>
      <c r="Y27" s="515" t="str">
        <f t="shared" si="7"/>
        <v/>
      </c>
      <c r="Z27" s="515" t="str">
        <f t="shared" si="8"/>
        <v/>
      </c>
      <c r="AA27" s="515" t="str">
        <f t="shared" si="9"/>
        <v/>
      </c>
      <c r="AB27" s="516" t="str">
        <f t="shared" si="10"/>
        <v/>
      </c>
      <c r="AC27" s="513" t="str">
        <f t="shared" si="11"/>
        <v/>
      </c>
      <c r="AD27" s="511" t="str">
        <f t="shared" si="12"/>
        <v/>
      </c>
      <c r="AE27" s="511" t="str">
        <f t="shared" si="13"/>
        <v/>
      </c>
      <c r="AF27" s="513" t="str">
        <f t="shared" si="14"/>
        <v/>
      </c>
      <c r="AG27" s="513" t="str">
        <f t="shared" si="15"/>
        <v/>
      </c>
      <c r="AH27" s="513" t="str">
        <f t="shared" si="16"/>
        <v/>
      </c>
      <c r="AI27" s="513" t="str">
        <f t="shared" si="17"/>
        <v/>
      </c>
      <c r="AJ27" s="513" t="str">
        <f t="shared" si="18"/>
        <v/>
      </c>
      <c r="AK27" s="513" t="str">
        <f t="shared" si="19"/>
        <v/>
      </c>
      <c r="AL27" s="513" t="str">
        <f t="shared" si="20"/>
        <v/>
      </c>
      <c r="AM27" s="513" t="str">
        <f t="shared" si="21"/>
        <v/>
      </c>
      <c r="AN27" s="513" t="str">
        <f t="shared" si="22"/>
        <v/>
      </c>
      <c r="AO27" s="513" t="str">
        <f t="shared" si="23"/>
        <v/>
      </c>
      <c r="AP27" s="511"/>
      <c r="AQ27" s="511"/>
      <c r="AR27" s="511"/>
      <c r="AS27" s="511"/>
      <c r="AT27" s="511"/>
      <c r="AU27" s="511"/>
      <c r="AV27" s="517"/>
      <c r="AW27" s="517"/>
      <c r="AX27" s="517"/>
      <c r="AY27" s="517"/>
      <c r="AZ27" s="510"/>
      <c r="BA27" s="509"/>
      <c r="BB27" s="508"/>
      <c r="BC27" s="508"/>
      <c r="BD27" s="509"/>
      <c r="BE27" s="508"/>
      <c r="BF27" s="508"/>
      <c r="BG27" s="508"/>
      <c r="BH27" s="508"/>
      <c r="BI27" s="508"/>
      <c r="BJ27" s="508"/>
      <c r="BK27" s="510"/>
      <c r="BL27" s="509"/>
      <c r="BM27" s="508"/>
      <c r="BN27" s="508"/>
      <c r="BO27" s="509"/>
      <c r="BP27" s="508"/>
      <c r="BQ27" s="508"/>
      <c r="BR27" s="508"/>
      <c r="BS27" s="508"/>
      <c r="BT27" s="508"/>
      <c r="BU27" s="508"/>
      <c r="BV27" s="508"/>
      <c r="BW27" s="508"/>
      <c r="BX27" s="508"/>
    </row>
    <row r="28" spans="5:76" x14ac:dyDescent="0.25">
      <c r="E28" s="471">
        <v>2011</v>
      </c>
      <c r="F28" s="471">
        <v>2012</v>
      </c>
      <c r="G28" s="471" t="s">
        <v>557</v>
      </c>
      <c r="H28" s="471" t="s">
        <v>612</v>
      </c>
      <c r="K28" s="494"/>
      <c r="O28" s="511">
        <f t="shared" si="2"/>
        <v>12</v>
      </c>
      <c r="P28" s="511">
        <f t="shared" si="3"/>
        <v>12</v>
      </c>
      <c r="Q28" s="511">
        <f t="shared" si="0"/>
        <v>12</v>
      </c>
      <c r="R28" s="511"/>
      <c r="S28" s="511" t="str">
        <f t="shared" ref="S28" si="24">IF(K28="","",Q28+S27)</f>
        <v/>
      </c>
      <c r="T28" s="511" t="str">
        <f t="shared" si="5"/>
        <v/>
      </c>
      <c r="U28" s="511"/>
      <c r="V28" s="515" t="str">
        <f t="shared" si="1"/>
        <v/>
      </c>
      <c r="W28" s="515" t="str">
        <f>IF(T28="","",IF(S28&gt;24,DATE(T28+1,9-(S28-24),1),""))</f>
        <v/>
      </c>
      <c r="X28" s="515" t="str">
        <f t="shared" si="6"/>
        <v/>
      </c>
      <c r="Y28" s="515" t="str">
        <f t="shared" si="7"/>
        <v/>
      </c>
      <c r="Z28" s="515" t="str">
        <f t="shared" si="8"/>
        <v/>
      </c>
      <c r="AA28" s="515" t="str">
        <f t="shared" si="9"/>
        <v/>
      </c>
      <c r="AB28" s="516" t="str">
        <f t="shared" si="10"/>
        <v/>
      </c>
      <c r="AC28" s="513" t="str">
        <f t="shared" si="11"/>
        <v/>
      </c>
      <c r="AD28" s="511" t="str">
        <f t="shared" si="12"/>
        <v/>
      </c>
      <c r="AE28" s="511" t="str">
        <f t="shared" si="13"/>
        <v/>
      </c>
      <c r="AF28" s="513" t="str">
        <f t="shared" si="14"/>
        <v/>
      </c>
      <c r="AG28" s="513" t="str">
        <f t="shared" si="15"/>
        <v/>
      </c>
      <c r="AH28" s="513" t="str">
        <f t="shared" si="16"/>
        <v/>
      </c>
      <c r="AI28" s="513" t="str">
        <f t="shared" si="17"/>
        <v/>
      </c>
      <c r="AJ28" s="513" t="str">
        <f t="shared" si="18"/>
        <v/>
      </c>
      <c r="AK28" s="513" t="str">
        <f t="shared" si="19"/>
        <v/>
      </c>
      <c r="AL28" s="513" t="str">
        <f t="shared" si="20"/>
        <v/>
      </c>
      <c r="AM28" s="513" t="str">
        <f t="shared" si="21"/>
        <v/>
      </c>
      <c r="AN28" s="513" t="str">
        <f t="shared" si="22"/>
        <v/>
      </c>
      <c r="AO28" s="513" t="str">
        <f t="shared" si="23"/>
        <v/>
      </c>
      <c r="AP28" s="511"/>
      <c r="AQ28" s="511"/>
      <c r="AR28" s="511"/>
      <c r="AS28" s="511"/>
      <c r="AT28" s="511"/>
      <c r="AU28" s="511"/>
      <c r="AV28" s="517"/>
      <c r="AW28" s="517"/>
      <c r="AX28" s="517"/>
      <c r="AY28" s="517"/>
      <c r="AZ28" s="510"/>
      <c r="BA28" s="509"/>
      <c r="BB28" s="508"/>
      <c r="BC28" s="508"/>
      <c r="BD28" s="509"/>
      <c r="BE28" s="508"/>
      <c r="BF28" s="508"/>
      <c r="BG28" s="508"/>
      <c r="BH28" s="508"/>
      <c r="BI28" s="508"/>
      <c r="BJ28" s="508"/>
      <c r="BK28" s="510"/>
      <c r="BL28" s="509"/>
      <c r="BM28" s="508"/>
      <c r="BN28" s="508"/>
      <c r="BO28" s="509"/>
      <c r="BP28" s="508"/>
      <c r="BQ28" s="508"/>
      <c r="BR28" s="508"/>
      <c r="BS28" s="508"/>
      <c r="BT28" s="508"/>
      <c r="BU28" s="508"/>
      <c r="BV28" s="508"/>
      <c r="BW28" s="508"/>
      <c r="BX28" s="508"/>
    </row>
    <row r="29" spans="5:76" x14ac:dyDescent="0.25">
      <c r="E29" s="471">
        <v>2012</v>
      </c>
      <c r="F29" s="471">
        <v>2013</v>
      </c>
      <c r="G29" s="471" t="s">
        <v>539</v>
      </c>
      <c r="H29" s="471" t="s">
        <v>613</v>
      </c>
      <c r="K29" s="494"/>
      <c r="O29" s="511">
        <f t="shared" si="2"/>
        <v>12</v>
      </c>
      <c r="P29" s="511">
        <f t="shared" si="3"/>
        <v>12</v>
      </c>
      <c r="Q29" s="511">
        <f t="shared" si="0"/>
        <v>12</v>
      </c>
      <c r="R29" s="511"/>
      <c r="S29" s="511" t="str">
        <f t="shared" ref="S29:S41" si="25">IF(K29="","",Q29+S28)</f>
        <v/>
      </c>
      <c r="T29" s="511" t="str">
        <f t="shared" si="5"/>
        <v/>
      </c>
      <c r="U29" s="511"/>
      <c r="V29" s="515" t="str">
        <f t="shared" si="1"/>
        <v/>
      </c>
      <c r="W29" s="515" t="str">
        <f>IF(T29="","",IF(S29&gt;24,DATE(T29+1,9-(S29-24),1),""))</f>
        <v/>
      </c>
      <c r="X29" s="515" t="str">
        <f t="shared" si="6"/>
        <v/>
      </c>
      <c r="Y29" s="515" t="str">
        <f t="shared" si="7"/>
        <v/>
      </c>
      <c r="Z29" s="515" t="str">
        <f t="shared" si="8"/>
        <v/>
      </c>
      <c r="AA29" s="515" t="str">
        <f t="shared" si="9"/>
        <v/>
      </c>
      <c r="AB29" s="516" t="str">
        <f t="shared" si="10"/>
        <v/>
      </c>
      <c r="AC29" s="513" t="str">
        <f t="shared" si="11"/>
        <v/>
      </c>
      <c r="AD29" s="511" t="str">
        <f t="shared" si="12"/>
        <v/>
      </c>
      <c r="AE29" s="511" t="str">
        <f t="shared" si="13"/>
        <v/>
      </c>
      <c r="AF29" s="513" t="str">
        <f t="shared" si="14"/>
        <v/>
      </c>
      <c r="AG29" s="513" t="str">
        <f t="shared" si="15"/>
        <v/>
      </c>
      <c r="AH29" s="513" t="str">
        <f t="shared" si="16"/>
        <v/>
      </c>
      <c r="AI29" s="513" t="str">
        <f t="shared" si="17"/>
        <v/>
      </c>
      <c r="AJ29" s="513" t="str">
        <f t="shared" si="18"/>
        <v/>
      </c>
      <c r="AK29" s="513" t="str">
        <f t="shared" ref="AK29:AK40" si="26">IF(T29="","",IF(S29&gt;192,DATE(T29+1,9-(S29-192),1),""))</f>
        <v/>
      </c>
      <c r="AL29" s="513" t="str">
        <f t="shared" si="20"/>
        <v/>
      </c>
      <c r="AM29" s="513" t="str">
        <f t="shared" si="21"/>
        <v/>
      </c>
      <c r="AN29" s="513" t="str">
        <f t="shared" si="22"/>
        <v/>
      </c>
      <c r="AO29" s="513" t="str">
        <f t="shared" si="23"/>
        <v/>
      </c>
      <c r="AP29" s="511"/>
      <c r="AQ29" s="511"/>
      <c r="AR29" s="511"/>
      <c r="AS29" s="511"/>
      <c r="AT29" s="511"/>
      <c r="AU29" s="511"/>
      <c r="AV29" s="517"/>
      <c r="AW29" s="517"/>
      <c r="AX29" s="517"/>
      <c r="AY29" s="517"/>
      <c r="AZ29" s="510"/>
      <c r="BA29" s="509"/>
      <c r="BB29" s="508"/>
      <c r="BC29" s="508"/>
      <c r="BD29" s="509"/>
      <c r="BE29" s="508"/>
      <c r="BF29" s="508"/>
      <c r="BG29" s="508"/>
      <c r="BH29" s="508"/>
      <c r="BI29" s="508"/>
      <c r="BJ29" s="508"/>
      <c r="BK29" s="510"/>
      <c r="BL29" s="509"/>
      <c r="BM29" s="508"/>
      <c r="BN29" s="508"/>
      <c r="BO29" s="509"/>
      <c r="BP29" s="508"/>
      <c r="BQ29" s="508"/>
      <c r="BR29" s="508"/>
      <c r="BS29" s="508"/>
      <c r="BT29" s="508"/>
      <c r="BU29" s="508"/>
      <c r="BV29" s="508"/>
      <c r="BW29" s="508"/>
      <c r="BX29" s="508"/>
    </row>
    <row r="30" spans="5:76" x14ac:dyDescent="0.25">
      <c r="E30" s="471">
        <v>2013</v>
      </c>
      <c r="F30" s="471">
        <v>2014</v>
      </c>
      <c r="G30" s="471" t="s">
        <v>549</v>
      </c>
      <c r="H30" s="471" t="s">
        <v>543</v>
      </c>
      <c r="K30" s="494"/>
      <c r="O30" s="511">
        <f t="shared" si="2"/>
        <v>12</v>
      </c>
      <c r="P30" s="511">
        <f t="shared" si="3"/>
        <v>12</v>
      </c>
      <c r="Q30" s="511">
        <f t="shared" si="0"/>
        <v>12</v>
      </c>
      <c r="R30" s="511"/>
      <c r="S30" s="511" t="str">
        <f t="shared" si="25"/>
        <v/>
      </c>
      <c r="T30" s="511" t="str">
        <f t="shared" si="5"/>
        <v/>
      </c>
      <c r="U30" s="511"/>
      <c r="V30" s="515" t="str">
        <f t="shared" si="1"/>
        <v/>
      </c>
      <c r="W30" s="515" t="str">
        <f t="shared" ref="W30:W33" si="27">IF(T30="","",IF(S30&gt;36,DATE(T30+1,9-(S30-36),1),""))</f>
        <v/>
      </c>
      <c r="X30" s="515" t="str">
        <f t="shared" si="6"/>
        <v/>
      </c>
      <c r="Y30" s="515" t="str">
        <f t="shared" si="7"/>
        <v/>
      </c>
      <c r="Z30" s="515" t="str">
        <f t="shared" si="8"/>
        <v/>
      </c>
      <c r="AA30" s="515" t="str">
        <f t="shared" si="9"/>
        <v/>
      </c>
      <c r="AB30" s="516" t="str">
        <f t="shared" si="10"/>
        <v/>
      </c>
      <c r="AC30" s="513" t="str">
        <f t="shared" si="11"/>
        <v/>
      </c>
      <c r="AD30" s="511" t="str">
        <f t="shared" si="12"/>
        <v/>
      </c>
      <c r="AE30" s="511" t="str">
        <f t="shared" si="13"/>
        <v/>
      </c>
      <c r="AF30" s="513" t="str">
        <f t="shared" si="14"/>
        <v/>
      </c>
      <c r="AG30" s="513" t="str">
        <f t="shared" si="15"/>
        <v/>
      </c>
      <c r="AH30" s="513" t="str">
        <f t="shared" si="16"/>
        <v/>
      </c>
      <c r="AI30" s="513" t="str">
        <f t="shared" si="17"/>
        <v/>
      </c>
      <c r="AJ30" s="513" t="str">
        <f t="shared" si="18"/>
        <v/>
      </c>
      <c r="AK30" s="513" t="str">
        <f t="shared" si="26"/>
        <v/>
      </c>
      <c r="AL30" s="513" t="str">
        <f t="shared" si="20"/>
        <v/>
      </c>
      <c r="AM30" s="513" t="str">
        <f t="shared" si="21"/>
        <v/>
      </c>
      <c r="AN30" s="513" t="str">
        <f t="shared" si="22"/>
        <v/>
      </c>
      <c r="AO30" s="513" t="str">
        <f t="shared" si="23"/>
        <v/>
      </c>
      <c r="AP30" s="511"/>
      <c r="AQ30" s="511"/>
      <c r="AR30" s="511"/>
      <c r="AS30" s="511"/>
      <c r="AT30" s="511"/>
      <c r="AU30" s="511"/>
      <c r="AV30" s="517"/>
      <c r="AW30" s="517"/>
      <c r="AX30" s="517"/>
      <c r="AY30" s="517"/>
      <c r="AZ30" s="510"/>
      <c r="BA30" s="509"/>
      <c r="BB30" s="508"/>
      <c r="BC30" s="508"/>
      <c r="BD30" s="509"/>
      <c r="BE30" s="508"/>
      <c r="BF30" s="508"/>
      <c r="BG30" s="508"/>
      <c r="BH30" s="508"/>
      <c r="BI30" s="508"/>
      <c r="BJ30" s="508"/>
      <c r="BK30" s="510"/>
      <c r="BL30" s="509"/>
      <c r="BM30" s="508"/>
      <c r="BN30" s="508"/>
      <c r="BO30" s="509"/>
      <c r="BP30" s="508"/>
      <c r="BQ30" s="508"/>
      <c r="BR30" s="508"/>
      <c r="BS30" s="508"/>
      <c r="BT30" s="508"/>
      <c r="BU30" s="508"/>
      <c r="BV30" s="508"/>
      <c r="BW30" s="508"/>
      <c r="BX30" s="508"/>
    </row>
    <row r="31" spans="5:76" x14ac:dyDescent="0.25">
      <c r="E31" s="471">
        <v>2014</v>
      </c>
      <c r="F31" s="471">
        <v>2015</v>
      </c>
      <c r="G31" s="471" t="s">
        <v>614</v>
      </c>
      <c r="H31" s="471" t="s">
        <v>615</v>
      </c>
      <c r="K31" s="494"/>
      <c r="O31" s="511">
        <f t="shared" ref="O31" si="28">IF(K31="2012/2013",4,12)</f>
        <v>12</v>
      </c>
      <c r="P31" s="511">
        <f>IF(K31="2013/2014",8,12)</f>
        <v>12</v>
      </c>
      <c r="Q31" s="511">
        <f t="shared" ref="Q31" si="29">MIN(O31:P31)</f>
        <v>12</v>
      </c>
      <c r="R31" s="511"/>
      <c r="S31" s="511" t="str">
        <f t="shared" si="25"/>
        <v/>
      </c>
      <c r="T31" s="511" t="str">
        <f t="shared" si="5"/>
        <v/>
      </c>
      <c r="U31" s="511"/>
      <c r="V31" s="515" t="str">
        <f t="shared" ref="V31:V33" si="30">IF(S31=36,DATE(T32,9,1),"")</f>
        <v/>
      </c>
      <c r="W31" s="515" t="str">
        <f t="shared" si="27"/>
        <v/>
      </c>
      <c r="X31" s="515" t="str">
        <f t="shared" si="6"/>
        <v/>
      </c>
      <c r="Y31" s="515" t="str">
        <f t="shared" si="7"/>
        <v/>
      </c>
      <c r="Z31" s="515" t="str">
        <f t="shared" si="8"/>
        <v/>
      </c>
      <c r="AA31" s="515" t="str">
        <f t="shared" si="9"/>
        <v/>
      </c>
      <c r="AB31" s="516" t="str">
        <f t="shared" si="10"/>
        <v/>
      </c>
      <c r="AC31" s="513" t="str">
        <f t="shared" si="11"/>
        <v/>
      </c>
      <c r="AD31" s="511" t="str">
        <f t="shared" si="12"/>
        <v/>
      </c>
      <c r="AE31" s="511" t="str">
        <f t="shared" si="13"/>
        <v/>
      </c>
      <c r="AF31" s="513" t="str">
        <f t="shared" si="14"/>
        <v/>
      </c>
      <c r="AG31" s="513" t="str">
        <f t="shared" si="15"/>
        <v/>
      </c>
      <c r="AH31" s="513" t="str">
        <f t="shared" si="16"/>
        <v/>
      </c>
      <c r="AI31" s="513" t="str">
        <f t="shared" si="17"/>
        <v/>
      </c>
      <c r="AJ31" s="513" t="str">
        <f t="shared" si="18"/>
        <v/>
      </c>
      <c r="AK31" s="513" t="str">
        <f t="shared" si="26"/>
        <v/>
      </c>
      <c r="AL31" s="513" t="str">
        <f t="shared" si="20"/>
        <v/>
      </c>
      <c r="AM31" s="513" t="str">
        <f t="shared" si="21"/>
        <v/>
      </c>
      <c r="AN31" s="513" t="str">
        <f t="shared" si="22"/>
        <v/>
      </c>
      <c r="AO31" s="513" t="str">
        <f t="shared" si="23"/>
        <v/>
      </c>
      <c r="AP31" s="511"/>
      <c r="AQ31" s="511"/>
      <c r="AR31" s="511"/>
      <c r="AS31" s="511"/>
      <c r="AT31" s="511"/>
      <c r="AU31" s="511"/>
      <c r="AV31" s="517"/>
      <c r="AW31" s="517"/>
      <c r="AX31" s="517"/>
      <c r="AY31" s="517"/>
      <c r="AZ31" s="510"/>
      <c r="BA31" s="509"/>
      <c r="BB31" s="508"/>
      <c r="BC31" s="508"/>
      <c r="BD31" s="509"/>
      <c r="BE31" s="508"/>
      <c r="BF31" s="508"/>
      <c r="BG31" s="508"/>
      <c r="BH31" s="508"/>
      <c r="BI31" s="508"/>
      <c r="BJ31" s="508"/>
      <c r="BK31" s="510"/>
      <c r="BL31" s="509"/>
      <c r="BM31" s="508"/>
      <c r="BN31" s="508"/>
      <c r="BO31" s="509"/>
      <c r="BP31" s="508"/>
      <c r="BQ31" s="508"/>
      <c r="BR31" s="508"/>
      <c r="BS31" s="508"/>
      <c r="BT31" s="508"/>
      <c r="BU31" s="508"/>
      <c r="BV31" s="508"/>
      <c r="BW31" s="508"/>
      <c r="BX31" s="508"/>
    </row>
    <row r="32" spans="5:76" x14ac:dyDescent="0.25">
      <c r="E32" s="471">
        <v>2015</v>
      </c>
      <c r="F32" s="471">
        <v>2016</v>
      </c>
      <c r="G32" s="471" t="s">
        <v>616</v>
      </c>
      <c r="H32" s="471" t="s">
        <v>617</v>
      </c>
      <c r="K32" s="494"/>
      <c r="O32" s="511">
        <f t="shared" ref="O32:O41" si="31">IF(K32="2012/2013",4,12)</f>
        <v>12</v>
      </c>
      <c r="P32" s="511">
        <f t="shared" ref="P32:P41" si="32">IF(K32="2013/2014",8,12)</f>
        <v>12</v>
      </c>
      <c r="Q32" s="511">
        <f t="shared" ref="Q32:Q41" si="33">MIN(O32:P32)</f>
        <v>12</v>
      </c>
      <c r="R32" s="511"/>
      <c r="S32" s="511" t="str">
        <f t="shared" si="25"/>
        <v/>
      </c>
      <c r="T32" s="511" t="str">
        <f t="shared" si="5"/>
        <v/>
      </c>
      <c r="U32" s="511"/>
      <c r="V32" s="515" t="str">
        <f t="shared" si="30"/>
        <v/>
      </c>
      <c r="W32" s="515" t="str">
        <f t="shared" si="27"/>
        <v/>
      </c>
      <c r="X32" s="515" t="str">
        <f t="shared" si="6"/>
        <v/>
      </c>
      <c r="Y32" s="515" t="str">
        <f t="shared" si="7"/>
        <v/>
      </c>
      <c r="Z32" s="515" t="str">
        <f t="shared" si="8"/>
        <v/>
      </c>
      <c r="AA32" s="515" t="str">
        <f t="shared" si="9"/>
        <v/>
      </c>
      <c r="AB32" s="516" t="str">
        <f t="shared" si="10"/>
        <v/>
      </c>
      <c r="AC32" s="513" t="str">
        <f t="shared" si="11"/>
        <v/>
      </c>
      <c r="AD32" s="511" t="str">
        <f t="shared" si="12"/>
        <v/>
      </c>
      <c r="AE32" s="511" t="str">
        <f t="shared" si="13"/>
        <v/>
      </c>
      <c r="AF32" s="513" t="str">
        <f t="shared" si="14"/>
        <v/>
      </c>
      <c r="AG32" s="513" t="str">
        <f t="shared" si="15"/>
        <v/>
      </c>
      <c r="AH32" s="513" t="str">
        <f t="shared" si="16"/>
        <v/>
      </c>
      <c r="AI32" s="513" t="str">
        <f t="shared" si="17"/>
        <v/>
      </c>
      <c r="AJ32" s="513" t="str">
        <f t="shared" si="18"/>
        <v/>
      </c>
      <c r="AK32" s="513" t="str">
        <f t="shared" si="26"/>
        <v/>
      </c>
      <c r="AL32" s="513" t="str">
        <f t="shared" si="20"/>
        <v/>
      </c>
      <c r="AM32" s="513" t="str">
        <f t="shared" si="21"/>
        <v/>
      </c>
      <c r="AN32" s="513" t="str">
        <f t="shared" si="22"/>
        <v/>
      </c>
      <c r="AO32" s="513" t="str">
        <f t="shared" si="23"/>
        <v/>
      </c>
      <c r="AP32" s="511"/>
      <c r="AQ32" s="511"/>
      <c r="AR32" s="511"/>
      <c r="AS32" s="511"/>
      <c r="AT32" s="511"/>
      <c r="AU32" s="511"/>
      <c r="AV32" s="517"/>
      <c r="AW32" s="517"/>
      <c r="AX32" s="517"/>
      <c r="AY32" s="517"/>
      <c r="AZ32" s="510"/>
      <c r="BA32" s="509"/>
      <c r="BB32" s="508"/>
      <c r="BC32" s="508"/>
      <c r="BD32" s="509"/>
      <c r="BE32" s="508"/>
      <c r="BF32" s="508"/>
      <c r="BG32" s="508"/>
      <c r="BH32" s="508"/>
      <c r="BI32" s="508"/>
      <c r="BJ32" s="508"/>
      <c r="BK32" s="510"/>
      <c r="BL32" s="509"/>
      <c r="BM32" s="508"/>
      <c r="BN32" s="508"/>
      <c r="BO32" s="509"/>
      <c r="BP32" s="508"/>
      <c r="BQ32" s="508"/>
      <c r="BR32" s="508"/>
      <c r="BS32" s="508"/>
      <c r="BT32" s="508"/>
      <c r="BU32" s="508"/>
      <c r="BV32" s="508"/>
      <c r="BW32" s="508"/>
      <c r="BX32" s="508"/>
    </row>
    <row r="33" spans="5:76" x14ac:dyDescent="0.25">
      <c r="E33" s="471">
        <v>2016</v>
      </c>
      <c r="F33" s="471">
        <v>2017</v>
      </c>
      <c r="G33" s="471" t="s">
        <v>618</v>
      </c>
      <c r="H33" s="471" t="s">
        <v>619</v>
      </c>
      <c r="K33" s="494"/>
      <c r="O33" s="511">
        <f t="shared" si="31"/>
        <v>12</v>
      </c>
      <c r="P33" s="511">
        <f t="shared" si="32"/>
        <v>12</v>
      </c>
      <c r="Q33" s="511">
        <f t="shared" si="33"/>
        <v>12</v>
      </c>
      <c r="R33" s="511"/>
      <c r="S33" s="511" t="str">
        <f t="shared" si="25"/>
        <v/>
      </c>
      <c r="T33" s="511" t="str">
        <f t="shared" si="5"/>
        <v/>
      </c>
      <c r="U33" s="511"/>
      <c r="V33" s="515" t="str">
        <f t="shared" si="30"/>
        <v/>
      </c>
      <c r="W33" s="515" t="str">
        <f t="shared" si="27"/>
        <v/>
      </c>
      <c r="X33" s="515" t="str">
        <f t="shared" si="6"/>
        <v/>
      </c>
      <c r="Y33" s="515" t="str">
        <f t="shared" si="7"/>
        <v/>
      </c>
      <c r="Z33" s="515" t="str">
        <f t="shared" si="8"/>
        <v/>
      </c>
      <c r="AA33" s="515" t="str">
        <f t="shared" si="9"/>
        <v/>
      </c>
      <c r="AB33" s="516" t="str">
        <f t="shared" si="10"/>
        <v/>
      </c>
      <c r="AC33" s="513" t="str">
        <f t="shared" si="11"/>
        <v/>
      </c>
      <c r="AD33" s="511" t="str">
        <f t="shared" si="12"/>
        <v/>
      </c>
      <c r="AE33" s="511" t="str">
        <f t="shared" si="13"/>
        <v/>
      </c>
      <c r="AF33" s="513" t="str">
        <f t="shared" si="14"/>
        <v/>
      </c>
      <c r="AG33" s="513" t="str">
        <f t="shared" si="15"/>
        <v/>
      </c>
      <c r="AH33" s="513" t="str">
        <f t="shared" si="16"/>
        <v/>
      </c>
      <c r="AI33" s="513" t="str">
        <f t="shared" si="17"/>
        <v/>
      </c>
      <c r="AJ33" s="513" t="str">
        <f t="shared" si="18"/>
        <v/>
      </c>
      <c r="AK33" s="513" t="str">
        <f t="shared" si="26"/>
        <v/>
      </c>
      <c r="AL33" s="513" t="str">
        <f t="shared" si="20"/>
        <v/>
      </c>
      <c r="AM33" s="513" t="str">
        <f t="shared" si="21"/>
        <v/>
      </c>
      <c r="AN33" s="513" t="str">
        <f t="shared" si="22"/>
        <v/>
      </c>
      <c r="AO33" s="513" t="str">
        <f t="shared" si="23"/>
        <v/>
      </c>
      <c r="AP33" s="511"/>
      <c r="AQ33" s="511"/>
      <c r="AR33" s="511"/>
      <c r="AS33" s="511"/>
      <c r="AT33" s="511"/>
      <c r="AU33" s="511"/>
      <c r="AV33" s="517"/>
      <c r="AW33" s="517"/>
      <c r="AX33" s="517"/>
      <c r="AY33" s="517"/>
      <c r="AZ33" s="510"/>
      <c r="BA33" s="509"/>
      <c r="BB33" s="508"/>
      <c r="BC33" s="508"/>
      <c r="BD33" s="509"/>
      <c r="BE33" s="508"/>
      <c r="BF33" s="508"/>
      <c r="BG33" s="508"/>
      <c r="BH33" s="508"/>
      <c r="BI33" s="508"/>
      <c r="BJ33" s="508"/>
      <c r="BK33" s="510"/>
      <c r="BL33" s="509"/>
      <c r="BM33" s="508"/>
      <c r="BN33" s="508"/>
      <c r="BO33" s="509"/>
      <c r="BP33" s="508"/>
      <c r="BQ33" s="508"/>
      <c r="BR33" s="508"/>
      <c r="BS33" s="508"/>
      <c r="BT33" s="508"/>
      <c r="BU33" s="508"/>
      <c r="BV33" s="508"/>
      <c r="BW33" s="508"/>
      <c r="BX33" s="508"/>
    </row>
    <row r="34" spans="5:76" x14ac:dyDescent="0.25">
      <c r="E34" s="471">
        <v>2017</v>
      </c>
      <c r="F34" s="471">
        <v>2018</v>
      </c>
      <c r="G34" s="471" t="s">
        <v>620</v>
      </c>
      <c r="H34" s="471" t="s">
        <v>621</v>
      </c>
      <c r="K34" s="494"/>
      <c r="O34" s="511">
        <f t="shared" si="31"/>
        <v>12</v>
      </c>
      <c r="P34" s="511">
        <f t="shared" si="32"/>
        <v>12</v>
      </c>
      <c r="Q34" s="511">
        <f t="shared" si="33"/>
        <v>12</v>
      </c>
      <c r="R34" s="511"/>
      <c r="S34" s="511" t="str">
        <f t="shared" si="25"/>
        <v/>
      </c>
      <c r="T34" s="511" t="str">
        <f t="shared" si="5"/>
        <v/>
      </c>
      <c r="U34" s="511"/>
      <c r="V34" s="515" t="str">
        <f t="shared" ref="V34" si="34">IF(S34=36,DATE(T35,9,1),"")</f>
        <v/>
      </c>
      <c r="W34" s="515" t="str">
        <f>IF(T34="","",IF(S34&gt;36,DATE(T34+1,9-(S34-36),1),""))</f>
        <v/>
      </c>
      <c r="X34" s="515" t="str">
        <f t="shared" si="6"/>
        <v/>
      </c>
      <c r="Y34" s="515" t="str">
        <f t="shared" si="7"/>
        <v/>
      </c>
      <c r="Z34" s="515" t="str">
        <f t="shared" si="8"/>
        <v/>
      </c>
      <c r="AA34" s="515" t="str">
        <f t="shared" si="9"/>
        <v/>
      </c>
      <c r="AB34" s="516" t="str">
        <f t="shared" si="10"/>
        <v/>
      </c>
      <c r="AC34" s="513" t="str">
        <f t="shared" si="11"/>
        <v/>
      </c>
      <c r="AD34" s="513" t="str">
        <f t="shared" si="12"/>
        <v/>
      </c>
      <c r="AE34" s="513" t="str">
        <f t="shared" si="13"/>
        <v/>
      </c>
      <c r="AF34" s="513" t="str">
        <f t="shared" si="14"/>
        <v/>
      </c>
      <c r="AG34" s="513" t="str">
        <f t="shared" si="15"/>
        <v/>
      </c>
      <c r="AH34" s="513" t="str">
        <f t="shared" si="16"/>
        <v/>
      </c>
      <c r="AI34" s="513" t="str">
        <f t="shared" si="17"/>
        <v/>
      </c>
      <c r="AJ34" s="513" t="str">
        <f t="shared" si="18"/>
        <v/>
      </c>
      <c r="AK34" s="513" t="str">
        <f t="shared" si="26"/>
        <v/>
      </c>
      <c r="AL34" s="513" t="str">
        <f t="shared" si="20"/>
        <v/>
      </c>
      <c r="AM34" s="513" t="str">
        <f t="shared" si="21"/>
        <v/>
      </c>
      <c r="AN34" s="513" t="str">
        <f t="shared" si="22"/>
        <v/>
      </c>
      <c r="AO34" s="513" t="str">
        <f t="shared" si="23"/>
        <v/>
      </c>
      <c r="AP34" s="513"/>
      <c r="AQ34" s="513"/>
      <c r="AR34" s="511"/>
      <c r="AS34" s="511"/>
      <c r="AT34" s="511"/>
      <c r="AU34" s="511"/>
      <c r="AV34" s="517"/>
      <c r="AW34" s="517"/>
      <c r="AX34" s="517"/>
      <c r="AY34" s="517"/>
      <c r="AZ34" s="510"/>
      <c r="BA34" s="509"/>
      <c r="BB34" s="508"/>
      <c r="BC34" s="508"/>
      <c r="BD34" s="509"/>
      <c r="BE34" s="508"/>
      <c r="BF34" s="508"/>
      <c r="BG34" s="508"/>
      <c r="BH34" s="508"/>
      <c r="BI34" s="508"/>
      <c r="BJ34" s="508"/>
      <c r="BK34" s="510"/>
      <c r="BL34" s="509"/>
      <c r="BM34" s="508"/>
      <c r="BN34" s="508"/>
      <c r="BO34" s="509"/>
      <c r="BP34" s="508"/>
      <c r="BQ34" s="508"/>
      <c r="BR34" s="508"/>
      <c r="BS34" s="508"/>
      <c r="BT34" s="508"/>
      <c r="BU34" s="508"/>
      <c r="BV34" s="508"/>
      <c r="BW34" s="508"/>
      <c r="BX34" s="508"/>
    </row>
    <row r="35" spans="5:76" x14ac:dyDescent="0.25">
      <c r="E35" s="471">
        <v>2018</v>
      </c>
      <c r="F35" s="471">
        <v>2019</v>
      </c>
      <c r="G35" s="471" t="s">
        <v>622</v>
      </c>
      <c r="H35" s="471" t="s">
        <v>623</v>
      </c>
      <c r="K35" s="494"/>
      <c r="O35" s="511">
        <f t="shared" si="31"/>
        <v>12</v>
      </c>
      <c r="P35" s="511">
        <f t="shared" si="32"/>
        <v>12</v>
      </c>
      <c r="Q35" s="511">
        <f t="shared" si="33"/>
        <v>12</v>
      </c>
      <c r="R35" s="511"/>
      <c r="S35" s="511" t="str">
        <f t="shared" si="25"/>
        <v/>
      </c>
      <c r="T35" s="511" t="str">
        <f t="shared" si="5"/>
        <v/>
      </c>
      <c r="U35" s="511"/>
      <c r="V35" s="515" t="str">
        <f t="shared" ref="V35:V40" si="35">IF(S35=36,DATE(T36,9,1),"")</f>
        <v/>
      </c>
      <c r="W35" s="515" t="str">
        <f t="shared" ref="W35:W41" si="36">IF(T35="","",IF(S35&gt;36,DATE(T35+1,9-(S35-36),1),""))</f>
        <v/>
      </c>
      <c r="X35" s="515" t="str">
        <f t="shared" si="6"/>
        <v/>
      </c>
      <c r="Y35" s="515" t="str">
        <f t="shared" si="7"/>
        <v/>
      </c>
      <c r="Z35" s="515" t="str">
        <f t="shared" si="8"/>
        <v/>
      </c>
      <c r="AA35" s="515" t="str">
        <f t="shared" si="9"/>
        <v/>
      </c>
      <c r="AB35" s="516" t="str">
        <f t="shared" si="10"/>
        <v/>
      </c>
      <c r="AC35" s="513" t="str">
        <f t="shared" si="11"/>
        <v/>
      </c>
      <c r="AD35" s="513" t="str">
        <f t="shared" si="12"/>
        <v/>
      </c>
      <c r="AE35" s="513" t="str">
        <f t="shared" si="13"/>
        <v/>
      </c>
      <c r="AF35" s="513" t="str">
        <f t="shared" si="14"/>
        <v/>
      </c>
      <c r="AG35" s="513" t="str">
        <f t="shared" si="15"/>
        <v/>
      </c>
      <c r="AH35" s="513" t="str">
        <f t="shared" si="16"/>
        <v/>
      </c>
      <c r="AI35" s="513" t="str">
        <f t="shared" si="17"/>
        <v/>
      </c>
      <c r="AJ35" s="513" t="str">
        <f t="shared" si="18"/>
        <v/>
      </c>
      <c r="AK35" s="513" t="str">
        <f t="shared" si="26"/>
        <v/>
      </c>
      <c r="AL35" s="513" t="str">
        <f t="shared" si="20"/>
        <v/>
      </c>
      <c r="AM35" s="513" t="str">
        <f t="shared" si="21"/>
        <v/>
      </c>
      <c r="AN35" s="513" t="str">
        <f t="shared" si="22"/>
        <v/>
      </c>
      <c r="AO35" s="513" t="str">
        <f t="shared" si="23"/>
        <v/>
      </c>
      <c r="AP35" s="513"/>
      <c r="AQ35" s="513"/>
      <c r="AR35" s="511"/>
      <c r="AS35" s="511"/>
      <c r="AT35" s="511"/>
      <c r="AU35" s="511"/>
      <c r="AV35" s="517"/>
      <c r="AW35" s="517"/>
      <c r="AX35" s="517"/>
      <c r="AY35" s="517"/>
      <c r="AZ35" s="510"/>
      <c r="BA35" s="509"/>
      <c r="BB35" s="508"/>
      <c r="BC35" s="508"/>
      <c r="BD35" s="509"/>
      <c r="BE35" s="508"/>
      <c r="BF35" s="508"/>
      <c r="BG35" s="508"/>
      <c r="BH35" s="508"/>
      <c r="BI35" s="508"/>
      <c r="BJ35" s="508"/>
      <c r="BK35" s="510"/>
      <c r="BL35" s="509"/>
      <c r="BM35" s="508"/>
      <c r="BN35" s="508"/>
      <c r="BO35" s="509"/>
      <c r="BP35" s="508"/>
      <c r="BQ35" s="508"/>
      <c r="BR35" s="508"/>
      <c r="BS35" s="508"/>
      <c r="BT35" s="508"/>
      <c r="BU35" s="508"/>
      <c r="BV35" s="508"/>
      <c r="BW35" s="508"/>
      <c r="BX35" s="508"/>
    </row>
    <row r="36" spans="5:76" x14ac:dyDescent="0.25">
      <c r="E36" s="471">
        <v>2019</v>
      </c>
      <c r="F36" s="471">
        <v>2020</v>
      </c>
      <c r="G36" s="471" t="s">
        <v>624</v>
      </c>
      <c r="H36" s="471" t="s">
        <v>625</v>
      </c>
      <c r="K36" s="494"/>
      <c r="L36" s="710" t="s">
        <v>670</v>
      </c>
      <c r="M36" s="711"/>
      <c r="N36" s="711"/>
      <c r="O36" s="511">
        <f t="shared" si="31"/>
        <v>12</v>
      </c>
      <c r="P36" s="511">
        <f t="shared" si="32"/>
        <v>12</v>
      </c>
      <c r="Q36" s="511">
        <f t="shared" si="33"/>
        <v>12</v>
      </c>
      <c r="R36" s="511"/>
      <c r="S36" s="511" t="str">
        <f t="shared" si="25"/>
        <v/>
      </c>
      <c r="T36" s="511" t="str">
        <f t="shared" si="5"/>
        <v/>
      </c>
      <c r="U36" s="511"/>
      <c r="V36" s="515" t="str">
        <f t="shared" si="35"/>
        <v/>
      </c>
      <c r="W36" s="515" t="str">
        <f t="shared" si="36"/>
        <v/>
      </c>
      <c r="X36" s="515" t="str">
        <f t="shared" si="6"/>
        <v/>
      </c>
      <c r="Y36" s="515" t="str">
        <f t="shared" si="7"/>
        <v/>
      </c>
      <c r="Z36" s="515" t="str">
        <f t="shared" si="8"/>
        <v/>
      </c>
      <c r="AA36" s="515" t="str">
        <f t="shared" si="9"/>
        <v/>
      </c>
      <c r="AB36" s="516" t="str">
        <f t="shared" si="10"/>
        <v/>
      </c>
      <c r="AC36" s="513" t="str">
        <f t="shared" si="11"/>
        <v/>
      </c>
      <c r="AD36" s="513" t="str">
        <f t="shared" si="12"/>
        <v/>
      </c>
      <c r="AE36" s="513" t="str">
        <f t="shared" si="13"/>
        <v/>
      </c>
      <c r="AF36" s="513" t="str">
        <f t="shared" si="14"/>
        <v/>
      </c>
      <c r="AG36" s="513" t="str">
        <f t="shared" si="15"/>
        <v/>
      </c>
      <c r="AH36" s="513" t="str">
        <f t="shared" si="16"/>
        <v/>
      </c>
      <c r="AI36" s="513" t="str">
        <f t="shared" si="17"/>
        <v/>
      </c>
      <c r="AJ36" s="513" t="str">
        <f t="shared" si="18"/>
        <v/>
      </c>
      <c r="AK36" s="513" t="str">
        <f t="shared" si="26"/>
        <v/>
      </c>
      <c r="AL36" s="513" t="str">
        <f t="shared" si="20"/>
        <v/>
      </c>
      <c r="AM36" s="513" t="str">
        <f t="shared" si="21"/>
        <v/>
      </c>
      <c r="AN36" s="513" t="str">
        <f t="shared" si="22"/>
        <v/>
      </c>
      <c r="AO36" s="513" t="str">
        <f t="shared" si="23"/>
        <v/>
      </c>
      <c r="AP36" s="513"/>
      <c r="AQ36" s="513"/>
      <c r="AR36" s="511"/>
      <c r="AS36" s="511"/>
      <c r="AT36" s="511"/>
      <c r="AU36" s="511"/>
      <c r="AV36" s="517"/>
      <c r="AW36" s="517"/>
      <c r="AX36" s="517"/>
      <c r="AY36" s="517"/>
      <c r="AZ36" s="510"/>
      <c r="BA36" s="509"/>
      <c r="BB36" s="508"/>
      <c r="BC36" s="508"/>
      <c r="BD36" s="509"/>
      <c r="BE36" s="508"/>
      <c r="BF36" s="508"/>
      <c r="BG36" s="508"/>
      <c r="BH36" s="508"/>
      <c r="BI36" s="508"/>
      <c r="BJ36" s="508"/>
      <c r="BK36" s="510"/>
      <c r="BL36" s="509"/>
      <c r="BM36" s="508"/>
      <c r="BN36" s="508"/>
      <c r="BO36" s="509"/>
      <c r="BP36" s="508"/>
      <c r="BQ36" s="508"/>
      <c r="BR36" s="508"/>
      <c r="BS36" s="508"/>
      <c r="BT36" s="508"/>
      <c r="BU36" s="508"/>
      <c r="BV36" s="508"/>
      <c r="BW36" s="508"/>
      <c r="BX36" s="508"/>
    </row>
    <row r="37" spans="5:76" x14ac:dyDescent="0.25">
      <c r="E37" s="471">
        <v>2020</v>
      </c>
      <c r="F37" s="471">
        <v>2021</v>
      </c>
      <c r="G37" s="471" t="s">
        <v>626</v>
      </c>
      <c r="H37" s="471" t="s">
        <v>627</v>
      </c>
      <c r="K37" s="494"/>
      <c r="L37" s="712"/>
      <c r="M37" s="711"/>
      <c r="N37" s="711"/>
      <c r="O37" s="511">
        <f t="shared" si="31"/>
        <v>12</v>
      </c>
      <c r="P37" s="511">
        <f t="shared" si="32"/>
        <v>12</v>
      </c>
      <c r="Q37" s="511">
        <f t="shared" si="33"/>
        <v>12</v>
      </c>
      <c r="R37" s="511"/>
      <c r="S37" s="511" t="str">
        <f t="shared" si="25"/>
        <v/>
      </c>
      <c r="T37" s="511" t="str">
        <f t="shared" si="5"/>
        <v/>
      </c>
      <c r="U37" s="511"/>
      <c r="V37" s="515" t="str">
        <f t="shared" si="35"/>
        <v/>
      </c>
      <c r="W37" s="515" t="str">
        <f t="shared" si="36"/>
        <v/>
      </c>
      <c r="X37" s="515" t="str">
        <f t="shared" si="6"/>
        <v/>
      </c>
      <c r="Y37" s="515" t="str">
        <f t="shared" si="7"/>
        <v/>
      </c>
      <c r="Z37" s="515" t="str">
        <f t="shared" si="8"/>
        <v/>
      </c>
      <c r="AA37" s="515" t="str">
        <f t="shared" si="9"/>
        <v/>
      </c>
      <c r="AB37" s="516" t="str">
        <f t="shared" si="10"/>
        <v/>
      </c>
      <c r="AC37" s="513" t="str">
        <f t="shared" si="11"/>
        <v/>
      </c>
      <c r="AD37" s="513" t="str">
        <f t="shared" si="12"/>
        <v/>
      </c>
      <c r="AE37" s="513" t="str">
        <f t="shared" si="13"/>
        <v/>
      </c>
      <c r="AF37" s="513" t="str">
        <f t="shared" si="14"/>
        <v/>
      </c>
      <c r="AG37" s="513" t="str">
        <f t="shared" si="15"/>
        <v/>
      </c>
      <c r="AH37" s="513" t="str">
        <f t="shared" si="16"/>
        <v/>
      </c>
      <c r="AI37" s="513" t="str">
        <f t="shared" si="17"/>
        <v/>
      </c>
      <c r="AJ37" s="513" t="str">
        <f t="shared" si="18"/>
        <v/>
      </c>
      <c r="AK37" s="513" t="str">
        <f t="shared" si="26"/>
        <v/>
      </c>
      <c r="AL37" s="513" t="str">
        <f t="shared" si="20"/>
        <v/>
      </c>
      <c r="AM37" s="513" t="str">
        <f t="shared" si="21"/>
        <v/>
      </c>
      <c r="AN37" s="513" t="str">
        <f t="shared" si="22"/>
        <v/>
      </c>
      <c r="AO37" s="513" t="str">
        <f t="shared" si="23"/>
        <v/>
      </c>
      <c r="AP37" s="513"/>
      <c r="AQ37" s="513"/>
      <c r="AR37" s="511"/>
      <c r="AS37" s="511"/>
      <c r="AT37" s="511"/>
      <c r="AU37" s="511"/>
      <c r="AV37" s="517"/>
      <c r="AW37" s="517"/>
      <c r="AX37" s="517"/>
      <c r="AY37" s="517"/>
      <c r="AZ37" s="510"/>
      <c r="BA37" s="509"/>
      <c r="BB37" s="508"/>
      <c r="BC37" s="508"/>
      <c r="BD37" s="509"/>
      <c r="BE37" s="508"/>
      <c r="BF37" s="508"/>
      <c r="BG37" s="508"/>
      <c r="BH37" s="508"/>
      <c r="BI37" s="508"/>
      <c r="BJ37" s="508"/>
      <c r="BK37" s="510"/>
      <c r="BL37" s="509"/>
      <c r="BM37" s="508"/>
      <c r="BN37" s="508"/>
      <c r="BO37" s="509"/>
      <c r="BP37" s="508"/>
      <c r="BQ37" s="508"/>
      <c r="BR37" s="508"/>
      <c r="BS37" s="508"/>
      <c r="BT37" s="508"/>
      <c r="BU37" s="508"/>
      <c r="BV37" s="508"/>
      <c r="BW37" s="508"/>
      <c r="BX37" s="508"/>
    </row>
    <row r="38" spans="5:76" x14ac:dyDescent="0.25">
      <c r="E38" s="471">
        <v>2021</v>
      </c>
      <c r="F38" s="471">
        <v>2022</v>
      </c>
      <c r="G38" s="471" t="s">
        <v>628</v>
      </c>
      <c r="H38" s="471" t="s">
        <v>629</v>
      </c>
      <c r="K38" s="494"/>
      <c r="L38" s="712"/>
      <c r="M38" s="711"/>
      <c r="N38" s="711"/>
      <c r="O38" s="511">
        <f t="shared" si="31"/>
        <v>12</v>
      </c>
      <c r="P38" s="511">
        <f t="shared" si="32"/>
        <v>12</v>
      </c>
      <c r="Q38" s="511">
        <f t="shared" si="33"/>
        <v>12</v>
      </c>
      <c r="R38" s="511"/>
      <c r="S38" s="511" t="str">
        <f t="shared" si="25"/>
        <v/>
      </c>
      <c r="T38" s="511" t="str">
        <f t="shared" si="5"/>
        <v/>
      </c>
      <c r="U38" s="511"/>
      <c r="V38" s="515" t="str">
        <f t="shared" si="35"/>
        <v/>
      </c>
      <c r="W38" s="515" t="str">
        <f t="shared" si="36"/>
        <v/>
      </c>
      <c r="X38" s="515" t="str">
        <f t="shared" si="6"/>
        <v/>
      </c>
      <c r="Y38" s="515" t="str">
        <f t="shared" si="7"/>
        <v/>
      </c>
      <c r="Z38" s="515" t="str">
        <f t="shared" si="8"/>
        <v/>
      </c>
      <c r="AA38" s="515" t="str">
        <f t="shared" si="9"/>
        <v/>
      </c>
      <c r="AB38" s="516" t="str">
        <f t="shared" si="10"/>
        <v/>
      </c>
      <c r="AC38" s="513" t="str">
        <f t="shared" si="11"/>
        <v/>
      </c>
      <c r="AD38" s="513" t="str">
        <f t="shared" si="12"/>
        <v/>
      </c>
      <c r="AE38" s="513" t="str">
        <f t="shared" si="13"/>
        <v/>
      </c>
      <c r="AF38" s="513" t="str">
        <f t="shared" si="14"/>
        <v/>
      </c>
      <c r="AG38" s="513" t="str">
        <f t="shared" si="15"/>
        <v/>
      </c>
      <c r="AH38" s="513" t="str">
        <f t="shared" si="16"/>
        <v/>
      </c>
      <c r="AI38" s="513" t="str">
        <f t="shared" si="17"/>
        <v/>
      </c>
      <c r="AJ38" s="513" t="str">
        <f t="shared" si="18"/>
        <v/>
      </c>
      <c r="AK38" s="513" t="str">
        <f t="shared" si="26"/>
        <v/>
      </c>
      <c r="AL38" s="513" t="str">
        <f t="shared" si="20"/>
        <v/>
      </c>
      <c r="AM38" s="513" t="str">
        <f t="shared" si="21"/>
        <v/>
      </c>
      <c r="AN38" s="513" t="str">
        <f t="shared" si="22"/>
        <v/>
      </c>
      <c r="AO38" s="513" t="str">
        <f t="shared" si="23"/>
        <v/>
      </c>
      <c r="AP38" s="513"/>
      <c r="AQ38" s="513"/>
      <c r="AR38" s="511"/>
      <c r="AS38" s="511"/>
      <c r="AT38" s="511"/>
      <c r="AU38" s="511"/>
      <c r="AV38" s="517"/>
      <c r="AW38" s="517"/>
      <c r="AX38" s="517"/>
      <c r="AY38" s="517"/>
      <c r="AZ38" s="510"/>
      <c r="BA38" s="509"/>
      <c r="BB38" s="508"/>
      <c r="BC38" s="508"/>
      <c r="BD38" s="509"/>
      <c r="BE38" s="508"/>
      <c r="BF38" s="508"/>
      <c r="BG38" s="508"/>
      <c r="BH38" s="508"/>
      <c r="BI38" s="508"/>
      <c r="BJ38" s="508"/>
      <c r="BK38" s="510"/>
      <c r="BL38" s="509"/>
      <c r="BM38" s="508"/>
      <c r="BN38" s="508"/>
      <c r="BO38" s="509"/>
      <c r="BP38" s="508"/>
      <c r="BQ38" s="508"/>
      <c r="BR38" s="508"/>
      <c r="BS38" s="508"/>
      <c r="BT38" s="508"/>
      <c r="BU38" s="508"/>
      <c r="BV38" s="508"/>
      <c r="BW38" s="508"/>
      <c r="BX38" s="508"/>
    </row>
    <row r="39" spans="5:76" x14ac:dyDescent="0.25">
      <c r="E39" s="471">
        <v>2022</v>
      </c>
      <c r="F39" s="471">
        <v>2023</v>
      </c>
      <c r="G39" s="471" t="s">
        <v>630</v>
      </c>
      <c r="H39" s="471" t="s">
        <v>631</v>
      </c>
      <c r="K39" s="494"/>
      <c r="O39" s="511">
        <f t="shared" si="31"/>
        <v>12</v>
      </c>
      <c r="P39" s="511">
        <f t="shared" si="32"/>
        <v>12</v>
      </c>
      <c r="Q39" s="511">
        <f t="shared" si="33"/>
        <v>12</v>
      </c>
      <c r="R39" s="511"/>
      <c r="S39" s="511" t="str">
        <f t="shared" si="25"/>
        <v/>
      </c>
      <c r="T39" s="511" t="str">
        <f t="shared" si="5"/>
        <v/>
      </c>
      <c r="U39" s="511"/>
      <c r="V39" s="515" t="str">
        <f t="shared" si="35"/>
        <v/>
      </c>
      <c r="W39" s="515" t="str">
        <f t="shared" si="36"/>
        <v/>
      </c>
      <c r="X39" s="515" t="str">
        <f t="shared" si="6"/>
        <v/>
      </c>
      <c r="Y39" s="515" t="str">
        <f t="shared" si="7"/>
        <v/>
      </c>
      <c r="Z39" s="515" t="str">
        <f t="shared" si="8"/>
        <v/>
      </c>
      <c r="AA39" s="515" t="str">
        <f t="shared" si="9"/>
        <v/>
      </c>
      <c r="AB39" s="516" t="str">
        <f t="shared" si="10"/>
        <v/>
      </c>
      <c r="AC39" s="513" t="str">
        <f t="shared" si="11"/>
        <v/>
      </c>
      <c r="AD39" s="513" t="str">
        <f t="shared" si="12"/>
        <v/>
      </c>
      <c r="AE39" s="513" t="str">
        <f t="shared" si="13"/>
        <v/>
      </c>
      <c r="AF39" s="513" t="str">
        <f t="shared" si="14"/>
        <v/>
      </c>
      <c r="AG39" s="513" t="str">
        <f t="shared" si="15"/>
        <v/>
      </c>
      <c r="AH39" s="513" t="str">
        <f t="shared" si="16"/>
        <v/>
      </c>
      <c r="AI39" s="513" t="str">
        <f t="shared" si="17"/>
        <v/>
      </c>
      <c r="AJ39" s="513" t="str">
        <f t="shared" si="18"/>
        <v/>
      </c>
      <c r="AK39" s="513" t="str">
        <f t="shared" si="26"/>
        <v/>
      </c>
      <c r="AL39" s="513" t="str">
        <f t="shared" si="20"/>
        <v/>
      </c>
      <c r="AM39" s="513" t="str">
        <f t="shared" si="21"/>
        <v/>
      </c>
      <c r="AN39" s="513" t="str">
        <f t="shared" si="22"/>
        <v/>
      </c>
      <c r="AO39" s="513" t="str">
        <f t="shared" si="23"/>
        <v/>
      </c>
      <c r="AP39" s="513"/>
      <c r="AQ39" s="513"/>
      <c r="AR39" s="511"/>
      <c r="AS39" s="511"/>
      <c r="AT39" s="511"/>
      <c r="AU39" s="511"/>
      <c r="AV39" s="517"/>
      <c r="AW39" s="517"/>
      <c r="AX39" s="517"/>
      <c r="AY39" s="517"/>
      <c r="AZ39" s="510"/>
      <c r="BA39" s="509"/>
      <c r="BB39" s="508"/>
      <c r="BC39" s="508"/>
      <c r="BD39" s="509"/>
      <c r="BE39" s="508"/>
      <c r="BF39" s="508"/>
      <c r="BG39" s="508"/>
      <c r="BH39" s="508"/>
      <c r="BI39" s="508"/>
      <c r="BJ39" s="508"/>
      <c r="BK39" s="510"/>
      <c r="BL39" s="509"/>
      <c r="BM39" s="508"/>
      <c r="BN39" s="508"/>
      <c r="BO39" s="509"/>
      <c r="BP39" s="508"/>
      <c r="BQ39" s="508"/>
      <c r="BR39" s="508"/>
      <c r="BS39" s="508"/>
      <c r="BT39" s="508"/>
      <c r="BU39" s="508"/>
      <c r="BV39" s="508"/>
      <c r="BW39" s="508"/>
      <c r="BX39" s="508"/>
    </row>
    <row r="40" spans="5:76" x14ac:dyDescent="0.25">
      <c r="E40" s="471">
        <v>2023</v>
      </c>
      <c r="F40" s="471">
        <v>2024</v>
      </c>
      <c r="G40" s="471" t="s">
        <v>632</v>
      </c>
      <c r="H40" s="471" t="s">
        <v>633</v>
      </c>
      <c r="K40" s="494"/>
      <c r="O40" s="511">
        <f t="shared" si="31"/>
        <v>12</v>
      </c>
      <c r="P40" s="511">
        <f t="shared" si="32"/>
        <v>12</v>
      </c>
      <c r="Q40" s="511">
        <f t="shared" si="33"/>
        <v>12</v>
      </c>
      <c r="R40" s="511"/>
      <c r="S40" s="511" t="str">
        <f t="shared" si="25"/>
        <v/>
      </c>
      <c r="T40" s="511" t="str">
        <f t="shared" si="5"/>
        <v/>
      </c>
      <c r="U40" s="511"/>
      <c r="V40" s="515" t="str">
        <f t="shared" si="35"/>
        <v/>
      </c>
      <c r="W40" s="515" t="str">
        <f t="shared" si="36"/>
        <v/>
      </c>
      <c r="X40" s="515" t="str">
        <f t="shared" si="6"/>
        <v/>
      </c>
      <c r="Y40" s="515" t="str">
        <f t="shared" si="7"/>
        <v/>
      </c>
      <c r="Z40" s="515" t="str">
        <f t="shared" si="8"/>
        <v/>
      </c>
      <c r="AA40" s="515" t="str">
        <f t="shared" si="9"/>
        <v/>
      </c>
      <c r="AB40" s="516" t="str">
        <f t="shared" si="10"/>
        <v/>
      </c>
      <c r="AC40" s="513" t="str">
        <f t="shared" si="11"/>
        <v/>
      </c>
      <c r="AD40" s="513" t="str">
        <f t="shared" si="12"/>
        <v/>
      </c>
      <c r="AE40" s="513" t="str">
        <f t="shared" si="13"/>
        <v/>
      </c>
      <c r="AF40" s="513" t="str">
        <f t="shared" si="14"/>
        <v/>
      </c>
      <c r="AG40" s="513" t="str">
        <f t="shared" si="15"/>
        <v/>
      </c>
      <c r="AH40" s="513" t="str">
        <f t="shared" si="16"/>
        <v/>
      </c>
      <c r="AI40" s="513" t="str">
        <f t="shared" si="17"/>
        <v/>
      </c>
      <c r="AJ40" s="513" t="str">
        <f t="shared" si="18"/>
        <v/>
      </c>
      <c r="AK40" s="513" t="str">
        <f t="shared" si="26"/>
        <v/>
      </c>
      <c r="AL40" s="513" t="str">
        <f t="shared" si="20"/>
        <v/>
      </c>
      <c r="AM40" s="513" t="str">
        <f t="shared" si="21"/>
        <v/>
      </c>
      <c r="AN40" s="513" t="str">
        <f t="shared" si="22"/>
        <v/>
      </c>
      <c r="AO40" s="513" t="str">
        <f t="shared" si="23"/>
        <v/>
      </c>
      <c r="AP40" s="513"/>
      <c r="AQ40" s="513"/>
      <c r="AR40" s="511"/>
      <c r="AS40" s="511"/>
      <c r="AT40" s="511"/>
      <c r="AU40" s="511"/>
      <c r="AV40" s="517"/>
      <c r="AW40" s="517"/>
      <c r="AX40" s="517"/>
      <c r="AY40" s="517"/>
      <c r="AZ40" s="510"/>
      <c r="BA40" s="509"/>
      <c r="BB40" s="508"/>
      <c r="BC40" s="508"/>
      <c r="BD40" s="509"/>
      <c r="BE40" s="508"/>
      <c r="BF40" s="508"/>
      <c r="BG40" s="508"/>
      <c r="BH40" s="508"/>
      <c r="BI40" s="508"/>
      <c r="BJ40" s="508"/>
      <c r="BK40" s="510"/>
      <c r="BL40" s="509"/>
      <c r="BM40" s="508"/>
      <c r="BN40" s="508"/>
      <c r="BO40" s="509"/>
      <c r="BP40" s="508"/>
      <c r="BQ40" s="508"/>
      <c r="BR40" s="508"/>
      <c r="BS40" s="508"/>
      <c r="BT40" s="508"/>
      <c r="BU40" s="508"/>
      <c r="BV40" s="508"/>
      <c r="BW40" s="508"/>
      <c r="BX40" s="508"/>
    </row>
    <row r="41" spans="5:76" x14ac:dyDescent="0.25">
      <c r="E41" s="471">
        <v>2024</v>
      </c>
      <c r="F41" s="471">
        <v>2025</v>
      </c>
      <c r="G41" s="471" t="s">
        <v>634</v>
      </c>
      <c r="H41" s="471" t="s">
        <v>635</v>
      </c>
      <c r="K41" s="494"/>
      <c r="O41" s="511">
        <f t="shared" si="31"/>
        <v>12</v>
      </c>
      <c r="P41" s="511">
        <f t="shared" si="32"/>
        <v>12</v>
      </c>
      <c r="Q41" s="511">
        <f t="shared" si="33"/>
        <v>12</v>
      </c>
      <c r="R41" s="511"/>
      <c r="S41" s="511" t="str">
        <f t="shared" si="25"/>
        <v/>
      </c>
      <c r="T41" s="511" t="str">
        <f t="shared" si="5"/>
        <v/>
      </c>
      <c r="U41" s="511"/>
      <c r="V41" s="515" t="str">
        <f>IF(S41=36,DATE(T49,9,1),"")</f>
        <v/>
      </c>
      <c r="W41" s="515" t="str">
        <f t="shared" si="36"/>
        <v/>
      </c>
      <c r="X41" s="515" t="str">
        <f>IF(S41=60,DATE(T49,9,1),"")</f>
        <v/>
      </c>
      <c r="Y41" s="515" t="str">
        <f t="shared" ref="Y41" si="37" xml:space="preserve">  IF(T41="","",     IF(S41&gt;60,DATE(T41+1,9-(S41-60),1),""))</f>
        <v/>
      </c>
      <c r="Z41" s="515" t="str">
        <f>IF(S41=72,DATE(T49,9,1),"")</f>
        <v/>
      </c>
      <c r="AA41" s="515" t="str">
        <f t="shared" si="9"/>
        <v/>
      </c>
      <c r="AB41" s="516" t="str">
        <f>IF(S41=96,DATE(T49,9,1),"")</f>
        <v/>
      </c>
      <c r="AC41" s="513" t="str">
        <f t="shared" si="11"/>
        <v/>
      </c>
      <c r="AD41" s="513" t="str">
        <f>IF(S41=120,DATE(T49,9,1),"")</f>
        <v/>
      </c>
      <c r="AE41" s="513" t="str">
        <f t="shared" si="13"/>
        <v/>
      </c>
      <c r="AF41" s="513" t="str">
        <f t="shared" si="14"/>
        <v/>
      </c>
      <c r="AG41" s="513" t="str">
        <f t="shared" si="15"/>
        <v/>
      </c>
      <c r="AH41" s="513" t="str">
        <f t="shared" si="16"/>
        <v/>
      </c>
      <c r="AI41" s="513" t="str">
        <f t="shared" si="17"/>
        <v/>
      </c>
      <c r="AJ41" s="513" t="str">
        <f t="shared" si="18"/>
        <v/>
      </c>
      <c r="AK41" s="513" t="str">
        <f>IF(T41="","",IF(S41&gt;192,DATE(T41+1,9-(S41-192),1),""))</f>
        <v/>
      </c>
      <c r="AL41" s="513" t="str">
        <f t="shared" si="20"/>
        <v/>
      </c>
      <c r="AM41" s="513" t="str">
        <f t="shared" si="21"/>
        <v/>
      </c>
      <c r="AN41" s="513" t="str">
        <f t="shared" si="22"/>
        <v/>
      </c>
      <c r="AO41" s="513" t="str">
        <f t="shared" si="23"/>
        <v/>
      </c>
      <c r="AP41" s="513"/>
      <c r="AQ41" s="513"/>
      <c r="AR41" s="511"/>
      <c r="AS41" s="511"/>
      <c r="AT41" s="511"/>
      <c r="AU41" s="511"/>
      <c r="AV41" s="517"/>
      <c r="AW41" s="517"/>
      <c r="AX41" s="517"/>
      <c r="AY41" s="517"/>
      <c r="AZ41" s="510"/>
      <c r="BA41" s="509"/>
      <c r="BB41" s="508"/>
      <c r="BC41" s="508"/>
      <c r="BD41" s="509"/>
      <c r="BE41" s="508"/>
      <c r="BF41" s="508"/>
      <c r="BG41" s="508"/>
      <c r="BH41" s="508"/>
      <c r="BI41" s="508"/>
      <c r="BJ41" s="508"/>
      <c r="BK41" s="510"/>
      <c r="BL41" s="509"/>
      <c r="BM41" s="508"/>
      <c r="BN41" s="508"/>
      <c r="BO41" s="509"/>
      <c r="BP41" s="508"/>
      <c r="BQ41" s="508"/>
      <c r="BR41" s="508"/>
      <c r="BS41" s="508"/>
      <c r="BT41" s="508"/>
      <c r="BU41" s="508"/>
      <c r="BV41" s="508"/>
      <c r="BW41" s="508"/>
      <c r="BX41" s="508"/>
    </row>
    <row r="42" spans="5:76" x14ac:dyDescent="0.25">
      <c r="K42" s="494"/>
      <c r="O42" s="511">
        <f t="shared" ref="O42:O48" si="38">IF(K42="2012/2013",4,12)</f>
        <v>12</v>
      </c>
      <c r="P42" s="511">
        <f t="shared" ref="P42:P48" si="39">IF(K42="2013/2014",8,12)</f>
        <v>12</v>
      </c>
      <c r="Q42" s="511">
        <f t="shared" ref="Q42:Q48" si="40">MIN(O42:P42)</f>
        <v>12</v>
      </c>
      <c r="R42" s="511"/>
      <c r="S42" s="511" t="str">
        <f t="shared" ref="S42:S48" si="41">IF(K42="","",Q42+S41)</f>
        <v/>
      </c>
      <c r="T42" s="511" t="str">
        <f t="shared" ref="T42:T48" si="42">IF(K42="","",LEFT(K42,4)*1)</f>
        <v/>
      </c>
      <c r="U42" s="511"/>
      <c r="V42" s="515" t="str">
        <f t="shared" ref="V42:V48" si="43">IF(S42=36,DATE(T50,9,1),"")</f>
        <v/>
      </c>
      <c r="W42" s="515" t="str">
        <f t="shared" ref="W42:W48" si="44">IF(T42="","",IF(S42&gt;36,DATE(T42+1,9-(S42-36),1),""))</f>
        <v/>
      </c>
      <c r="X42" s="515" t="str">
        <f t="shared" ref="X42:X48" si="45">IF(S42=60,DATE(T50,9,1),"")</f>
        <v/>
      </c>
      <c r="Y42" s="515" t="str">
        <f t="shared" ref="Y42:Y48" si="46" xml:space="preserve">  IF(T42="","",     IF(S42&gt;60,DATE(T42+1,9-(S42-60),1),""))</f>
        <v/>
      </c>
      <c r="Z42" s="515" t="str">
        <f t="shared" ref="Z42:Z48" si="47">IF(S42=72,DATE(T50,9,1),"")</f>
        <v/>
      </c>
      <c r="AA42" s="515" t="str">
        <f t="shared" ref="AA42:AA48" si="48">IF(T42="","",IF(S42&gt;72,DATE(T42+1,9-(S42-72),1),""))</f>
        <v/>
      </c>
      <c r="AB42" s="516" t="str">
        <f t="shared" ref="AB42:AB48" si="49">IF(S42=96,DATE(T50,9,1),"")</f>
        <v/>
      </c>
      <c r="AC42" s="513" t="str">
        <f t="shared" ref="AC42:AC48" si="50">IF(T42="","",IF(S42&gt;96,DATE(T42+1,9-(S42-96),1),""))</f>
        <v/>
      </c>
      <c r="AD42" s="513" t="str">
        <f t="shared" ref="AD42:AD48" si="51">IF(S42=120,DATE(T50,9,1),"")</f>
        <v/>
      </c>
      <c r="AE42" s="513" t="str">
        <f t="shared" ref="AE42:AE48" si="52">IF(T42="","",IF(S42&gt;120,DATE(T42+1,9-(S42-120),1),""))</f>
        <v/>
      </c>
      <c r="AF42" s="513" t="str">
        <f t="shared" si="14"/>
        <v/>
      </c>
      <c r="AG42" s="513" t="str">
        <f t="shared" si="15"/>
        <v/>
      </c>
      <c r="AH42" s="513" t="str">
        <f t="shared" si="16"/>
        <v/>
      </c>
      <c r="AI42" s="513" t="str">
        <f t="shared" si="17"/>
        <v/>
      </c>
      <c r="AJ42" s="513" t="str">
        <f t="shared" si="18"/>
        <v/>
      </c>
      <c r="AK42" s="513" t="str">
        <f t="shared" ref="AK42:AK48" si="53">IF(T42="","",IF(S42&gt;192,DATE(T42+1,9-(S42-192),1),""))</f>
        <v/>
      </c>
      <c r="AL42" s="513" t="str">
        <f t="shared" si="20"/>
        <v/>
      </c>
      <c r="AM42" s="513" t="str">
        <f t="shared" si="21"/>
        <v/>
      </c>
      <c r="AN42" s="513" t="str">
        <f t="shared" si="22"/>
        <v/>
      </c>
      <c r="AO42" s="513" t="str">
        <f t="shared" si="23"/>
        <v/>
      </c>
      <c r="AP42" s="513"/>
      <c r="AQ42" s="513"/>
      <c r="AR42" s="511"/>
      <c r="AS42" s="511"/>
      <c r="AT42" s="511"/>
      <c r="AU42" s="511"/>
      <c r="AV42" s="517"/>
      <c r="AW42" s="517"/>
      <c r="AX42" s="517"/>
      <c r="AY42" s="517"/>
      <c r="AZ42" s="510"/>
      <c r="BA42" s="509"/>
      <c r="BB42" s="508"/>
      <c r="BC42" s="508"/>
      <c r="BD42" s="509"/>
      <c r="BE42" s="508"/>
      <c r="BF42" s="508"/>
      <c r="BG42" s="508"/>
      <c r="BH42" s="508"/>
      <c r="BI42" s="508"/>
      <c r="BJ42" s="508"/>
      <c r="BK42" s="510"/>
      <c r="BL42" s="509"/>
      <c r="BM42" s="508"/>
      <c r="BN42" s="508"/>
      <c r="BO42" s="509"/>
      <c r="BP42" s="508"/>
      <c r="BQ42" s="508"/>
      <c r="BR42" s="508"/>
      <c r="BS42" s="508"/>
      <c r="BT42" s="508"/>
      <c r="BU42" s="508"/>
      <c r="BV42" s="508"/>
      <c r="BW42" s="508"/>
      <c r="BX42" s="508"/>
    </row>
    <row r="43" spans="5:76" x14ac:dyDescent="0.25">
      <c r="K43" s="494"/>
      <c r="O43" s="511">
        <f t="shared" si="38"/>
        <v>12</v>
      </c>
      <c r="P43" s="511">
        <f t="shared" si="39"/>
        <v>12</v>
      </c>
      <c r="Q43" s="511">
        <f t="shared" si="40"/>
        <v>12</v>
      </c>
      <c r="R43" s="511"/>
      <c r="S43" s="511" t="str">
        <f t="shared" si="41"/>
        <v/>
      </c>
      <c r="T43" s="511" t="str">
        <f t="shared" si="42"/>
        <v/>
      </c>
      <c r="U43" s="511"/>
      <c r="V43" s="515" t="str">
        <f t="shared" si="43"/>
        <v/>
      </c>
      <c r="W43" s="515" t="str">
        <f t="shared" si="44"/>
        <v/>
      </c>
      <c r="X43" s="515" t="str">
        <f t="shared" si="45"/>
        <v/>
      </c>
      <c r="Y43" s="515" t="str">
        <f t="shared" si="46"/>
        <v/>
      </c>
      <c r="Z43" s="515" t="str">
        <f t="shared" si="47"/>
        <v/>
      </c>
      <c r="AA43" s="515" t="str">
        <f t="shared" si="48"/>
        <v/>
      </c>
      <c r="AB43" s="516" t="str">
        <f t="shared" si="49"/>
        <v/>
      </c>
      <c r="AC43" s="513" t="str">
        <f t="shared" si="50"/>
        <v/>
      </c>
      <c r="AD43" s="513" t="str">
        <f t="shared" si="51"/>
        <v/>
      </c>
      <c r="AE43" s="513" t="str">
        <f t="shared" si="52"/>
        <v/>
      </c>
      <c r="AF43" s="513" t="str">
        <f t="shared" si="14"/>
        <v/>
      </c>
      <c r="AG43" s="513" t="str">
        <f t="shared" si="15"/>
        <v/>
      </c>
      <c r="AH43" s="513" t="str">
        <f t="shared" si="16"/>
        <v/>
      </c>
      <c r="AI43" s="513" t="str">
        <f t="shared" si="17"/>
        <v/>
      </c>
      <c r="AJ43" s="513" t="str">
        <f t="shared" si="18"/>
        <v/>
      </c>
      <c r="AK43" s="513" t="str">
        <f t="shared" si="53"/>
        <v/>
      </c>
      <c r="AL43" s="513" t="str">
        <f t="shared" si="20"/>
        <v/>
      </c>
      <c r="AM43" s="513" t="str">
        <f t="shared" si="21"/>
        <v/>
      </c>
      <c r="AN43" s="513" t="str">
        <f t="shared" si="22"/>
        <v/>
      </c>
      <c r="AO43" s="513" t="str">
        <f t="shared" si="23"/>
        <v/>
      </c>
      <c r="AP43" s="513"/>
      <c r="AQ43" s="513"/>
      <c r="AR43" s="511"/>
      <c r="AS43" s="511"/>
      <c r="AT43" s="511"/>
      <c r="AU43" s="511"/>
      <c r="AV43" s="517"/>
      <c r="AW43" s="517"/>
      <c r="AX43" s="517"/>
      <c r="AY43" s="517"/>
      <c r="AZ43" s="510"/>
      <c r="BA43" s="509"/>
      <c r="BB43" s="508"/>
      <c r="BC43" s="508"/>
      <c r="BD43" s="509"/>
      <c r="BE43" s="508"/>
      <c r="BF43" s="508"/>
      <c r="BG43" s="508"/>
      <c r="BH43" s="508"/>
      <c r="BI43" s="508"/>
      <c r="BJ43" s="508"/>
      <c r="BK43" s="510"/>
      <c r="BL43" s="509"/>
      <c r="BM43" s="508"/>
      <c r="BN43" s="508"/>
      <c r="BO43" s="509"/>
      <c r="BP43" s="508"/>
      <c r="BQ43" s="508"/>
      <c r="BR43" s="508"/>
      <c r="BS43" s="508"/>
      <c r="BT43" s="508"/>
      <c r="BU43" s="508"/>
      <c r="BV43" s="508"/>
      <c r="BW43" s="508"/>
      <c r="BX43" s="508"/>
    </row>
    <row r="44" spans="5:76" x14ac:dyDescent="0.25">
      <c r="K44" s="494"/>
      <c r="O44" s="511">
        <f t="shared" si="38"/>
        <v>12</v>
      </c>
      <c r="P44" s="511">
        <f t="shared" si="39"/>
        <v>12</v>
      </c>
      <c r="Q44" s="511">
        <f t="shared" si="40"/>
        <v>12</v>
      </c>
      <c r="R44" s="511"/>
      <c r="S44" s="511" t="str">
        <f t="shared" si="41"/>
        <v/>
      </c>
      <c r="T44" s="511" t="str">
        <f t="shared" si="42"/>
        <v/>
      </c>
      <c r="U44" s="511"/>
      <c r="V44" s="515" t="str">
        <f t="shared" si="43"/>
        <v/>
      </c>
      <c r="W44" s="515" t="str">
        <f t="shared" si="44"/>
        <v/>
      </c>
      <c r="X44" s="515" t="str">
        <f t="shared" si="45"/>
        <v/>
      </c>
      <c r="Y44" s="515" t="str">
        <f t="shared" si="46"/>
        <v/>
      </c>
      <c r="Z44" s="515" t="str">
        <f t="shared" si="47"/>
        <v/>
      </c>
      <c r="AA44" s="515" t="str">
        <f t="shared" si="48"/>
        <v/>
      </c>
      <c r="AB44" s="516" t="str">
        <f t="shared" si="49"/>
        <v/>
      </c>
      <c r="AC44" s="513" t="str">
        <f t="shared" si="50"/>
        <v/>
      </c>
      <c r="AD44" s="513" t="str">
        <f t="shared" si="51"/>
        <v/>
      </c>
      <c r="AE44" s="513" t="str">
        <f t="shared" si="52"/>
        <v/>
      </c>
      <c r="AF44" s="513" t="str">
        <f t="shared" si="14"/>
        <v/>
      </c>
      <c r="AG44" s="513" t="str">
        <f t="shared" si="15"/>
        <v/>
      </c>
      <c r="AH44" s="513" t="str">
        <f t="shared" si="16"/>
        <v/>
      </c>
      <c r="AI44" s="513" t="str">
        <f t="shared" si="17"/>
        <v/>
      </c>
      <c r="AJ44" s="513" t="str">
        <f t="shared" si="18"/>
        <v/>
      </c>
      <c r="AK44" s="513" t="str">
        <f t="shared" si="53"/>
        <v/>
      </c>
      <c r="AL44" s="513" t="str">
        <f t="shared" si="20"/>
        <v/>
      </c>
      <c r="AM44" s="513" t="str">
        <f t="shared" si="21"/>
        <v/>
      </c>
      <c r="AN44" s="513" t="str">
        <f t="shared" si="22"/>
        <v/>
      </c>
      <c r="AO44" s="513" t="str">
        <f t="shared" si="23"/>
        <v/>
      </c>
      <c r="AP44" s="513"/>
      <c r="AQ44" s="513"/>
      <c r="AR44" s="511"/>
      <c r="AS44" s="511"/>
      <c r="AT44" s="511"/>
      <c r="AU44" s="511"/>
      <c r="AV44" s="517"/>
      <c r="AW44" s="517"/>
      <c r="AX44" s="517"/>
      <c r="AY44" s="517"/>
      <c r="AZ44" s="510"/>
      <c r="BA44" s="509"/>
      <c r="BB44" s="508"/>
      <c r="BC44" s="508"/>
      <c r="BD44" s="509"/>
      <c r="BE44" s="508"/>
      <c r="BF44" s="508"/>
      <c r="BG44" s="508"/>
      <c r="BH44" s="508"/>
      <c r="BI44" s="508"/>
      <c r="BJ44" s="508"/>
      <c r="BK44" s="510"/>
      <c r="BL44" s="509"/>
      <c r="BM44" s="508"/>
      <c r="BN44" s="508"/>
      <c r="BO44" s="509"/>
      <c r="BP44" s="508"/>
      <c r="BQ44" s="508"/>
      <c r="BR44" s="508"/>
      <c r="BS44" s="508"/>
      <c r="BT44" s="508"/>
      <c r="BU44" s="508"/>
      <c r="BV44" s="508"/>
      <c r="BW44" s="508"/>
      <c r="BX44" s="508"/>
    </row>
    <row r="45" spans="5:76" x14ac:dyDescent="0.25">
      <c r="K45" s="494"/>
      <c r="O45" s="511">
        <f t="shared" si="38"/>
        <v>12</v>
      </c>
      <c r="P45" s="511">
        <f t="shared" si="39"/>
        <v>12</v>
      </c>
      <c r="Q45" s="511">
        <f t="shared" si="40"/>
        <v>12</v>
      </c>
      <c r="R45" s="511"/>
      <c r="S45" s="511" t="str">
        <f t="shared" si="41"/>
        <v/>
      </c>
      <c r="T45" s="511" t="str">
        <f t="shared" si="42"/>
        <v/>
      </c>
      <c r="U45" s="511"/>
      <c r="V45" s="515" t="str">
        <f t="shared" si="43"/>
        <v/>
      </c>
      <c r="W45" s="515" t="str">
        <f t="shared" si="44"/>
        <v/>
      </c>
      <c r="X45" s="515" t="str">
        <f t="shared" si="45"/>
        <v/>
      </c>
      <c r="Y45" s="515" t="str">
        <f t="shared" si="46"/>
        <v/>
      </c>
      <c r="Z45" s="515" t="str">
        <f t="shared" si="47"/>
        <v/>
      </c>
      <c r="AA45" s="515" t="str">
        <f t="shared" si="48"/>
        <v/>
      </c>
      <c r="AB45" s="516" t="str">
        <f t="shared" si="49"/>
        <v/>
      </c>
      <c r="AC45" s="513" t="str">
        <f t="shared" si="50"/>
        <v/>
      </c>
      <c r="AD45" s="513" t="str">
        <f t="shared" si="51"/>
        <v/>
      </c>
      <c r="AE45" s="513" t="str">
        <f t="shared" si="52"/>
        <v/>
      </c>
      <c r="AF45" s="513" t="str">
        <f t="shared" si="14"/>
        <v/>
      </c>
      <c r="AG45" s="513" t="str">
        <f t="shared" si="15"/>
        <v/>
      </c>
      <c r="AH45" s="513" t="str">
        <f t="shared" si="16"/>
        <v/>
      </c>
      <c r="AI45" s="513" t="str">
        <f t="shared" si="17"/>
        <v/>
      </c>
      <c r="AJ45" s="513" t="str">
        <f t="shared" si="18"/>
        <v/>
      </c>
      <c r="AK45" s="513" t="str">
        <f t="shared" si="53"/>
        <v/>
      </c>
      <c r="AL45" s="513" t="str">
        <f t="shared" si="20"/>
        <v/>
      </c>
      <c r="AM45" s="513" t="str">
        <f t="shared" si="21"/>
        <v/>
      </c>
      <c r="AN45" s="513" t="str">
        <f t="shared" si="22"/>
        <v/>
      </c>
      <c r="AO45" s="513" t="str">
        <f t="shared" si="23"/>
        <v/>
      </c>
      <c r="AP45" s="513"/>
      <c r="AQ45" s="513"/>
      <c r="AR45" s="511"/>
      <c r="AS45" s="511"/>
      <c r="AT45" s="511"/>
      <c r="AU45" s="511"/>
      <c r="AV45" s="517"/>
      <c r="AW45" s="517"/>
      <c r="AX45" s="517"/>
      <c r="AY45" s="517"/>
      <c r="AZ45" s="510"/>
      <c r="BA45" s="509"/>
      <c r="BB45" s="508"/>
      <c r="BC45" s="508"/>
      <c r="BD45" s="509"/>
      <c r="BE45" s="508"/>
      <c r="BF45" s="508"/>
      <c r="BG45" s="508"/>
      <c r="BH45" s="508"/>
      <c r="BI45" s="508"/>
      <c r="BJ45" s="508"/>
      <c r="BK45" s="510"/>
      <c r="BL45" s="509"/>
      <c r="BM45" s="508"/>
      <c r="BN45" s="508"/>
      <c r="BO45" s="509"/>
      <c r="BP45" s="508"/>
      <c r="BQ45" s="508"/>
      <c r="BR45" s="508"/>
      <c r="BS45" s="508"/>
      <c r="BT45" s="508"/>
      <c r="BU45" s="508"/>
      <c r="BV45" s="508"/>
      <c r="BW45" s="508"/>
      <c r="BX45" s="508"/>
    </row>
    <row r="46" spans="5:76" x14ac:dyDescent="0.25">
      <c r="K46" s="494"/>
      <c r="O46" s="511">
        <f t="shared" si="38"/>
        <v>12</v>
      </c>
      <c r="P46" s="511">
        <f t="shared" si="39"/>
        <v>12</v>
      </c>
      <c r="Q46" s="511">
        <f t="shared" si="40"/>
        <v>12</v>
      </c>
      <c r="R46" s="511"/>
      <c r="S46" s="511" t="str">
        <f t="shared" si="41"/>
        <v/>
      </c>
      <c r="T46" s="511" t="str">
        <f t="shared" si="42"/>
        <v/>
      </c>
      <c r="U46" s="511"/>
      <c r="V46" s="515" t="str">
        <f t="shared" si="43"/>
        <v/>
      </c>
      <c r="W46" s="515" t="str">
        <f t="shared" si="44"/>
        <v/>
      </c>
      <c r="X46" s="515" t="str">
        <f t="shared" si="45"/>
        <v/>
      </c>
      <c r="Y46" s="515" t="str">
        <f t="shared" si="46"/>
        <v/>
      </c>
      <c r="Z46" s="515" t="str">
        <f t="shared" si="47"/>
        <v/>
      </c>
      <c r="AA46" s="515" t="str">
        <f t="shared" si="48"/>
        <v/>
      </c>
      <c r="AB46" s="516" t="str">
        <f t="shared" si="49"/>
        <v/>
      </c>
      <c r="AC46" s="513" t="str">
        <f t="shared" si="50"/>
        <v/>
      </c>
      <c r="AD46" s="513" t="str">
        <f t="shared" si="51"/>
        <v/>
      </c>
      <c r="AE46" s="513" t="str">
        <f t="shared" si="52"/>
        <v/>
      </c>
      <c r="AF46" s="513" t="str">
        <f t="shared" si="14"/>
        <v/>
      </c>
      <c r="AG46" s="513" t="str">
        <f t="shared" si="15"/>
        <v/>
      </c>
      <c r="AH46" s="513" t="str">
        <f t="shared" si="16"/>
        <v/>
      </c>
      <c r="AI46" s="513" t="str">
        <f t="shared" si="17"/>
        <v/>
      </c>
      <c r="AJ46" s="513" t="str">
        <f t="shared" si="18"/>
        <v/>
      </c>
      <c r="AK46" s="513" t="str">
        <f t="shared" si="53"/>
        <v/>
      </c>
      <c r="AL46" s="513" t="str">
        <f t="shared" si="20"/>
        <v/>
      </c>
      <c r="AM46" s="513" t="str">
        <f t="shared" si="21"/>
        <v/>
      </c>
      <c r="AN46" s="513" t="str">
        <f t="shared" si="22"/>
        <v/>
      </c>
      <c r="AO46" s="513" t="str">
        <f t="shared" si="23"/>
        <v/>
      </c>
      <c r="AP46" s="513"/>
      <c r="AQ46" s="513"/>
      <c r="AR46" s="511"/>
      <c r="AS46" s="511"/>
      <c r="AT46" s="511"/>
      <c r="AU46" s="511"/>
      <c r="AV46" s="517"/>
      <c r="AW46" s="517"/>
      <c r="AX46" s="517"/>
      <c r="AY46" s="517"/>
      <c r="AZ46" s="510"/>
      <c r="BA46" s="509"/>
      <c r="BB46" s="508"/>
      <c r="BC46" s="508"/>
      <c r="BD46" s="509"/>
      <c r="BE46" s="508"/>
      <c r="BF46" s="508"/>
      <c r="BG46" s="508"/>
      <c r="BH46" s="508"/>
      <c r="BI46" s="508"/>
      <c r="BJ46" s="508"/>
      <c r="BK46" s="510"/>
      <c r="BL46" s="509"/>
      <c r="BM46" s="508"/>
      <c r="BN46" s="508"/>
      <c r="BO46" s="509"/>
      <c r="BP46" s="508"/>
      <c r="BQ46" s="508"/>
      <c r="BR46" s="508"/>
      <c r="BS46" s="508"/>
      <c r="BT46" s="508"/>
      <c r="BU46" s="508"/>
      <c r="BV46" s="508"/>
      <c r="BW46" s="508"/>
      <c r="BX46" s="508"/>
    </row>
    <row r="47" spans="5:76" x14ac:dyDescent="0.25">
      <c r="K47" s="494"/>
      <c r="O47" s="511">
        <f t="shared" si="38"/>
        <v>12</v>
      </c>
      <c r="P47" s="511">
        <f t="shared" si="39"/>
        <v>12</v>
      </c>
      <c r="Q47" s="511">
        <f t="shared" si="40"/>
        <v>12</v>
      </c>
      <c r="R47" s="511"/>
      <c r="S47" s="511" t="str">
        <f t="shared" si="41"/>
        <v/>
      </c>
      <c r="T47" s="511" t="str">
        <f t="shared" si="42"/>
        <v/>
      </c>
      <c r="U47" s="511"/>
      <c r="V47" s="515" t="str">
        <f t="shared" si="43"/>
        <v/>
      </c>
      <c r="W47" s="515" t="str">
        <f t="shared" si="44"/>
        <v/>
      </c>
      <c r="X47" s="515" t="str">
        <f t="shared" si="45"/>
        <v/>
      </c>
      <c r="Y47" s="515" t="str">
        <f t="shared" si="46"/>
        <v/>
      </c>
      <c r="Z47" s="515" t="str">
        <f t="shared" si="47"/>
        <v/>
      </c>
      <c r="AA47" s="515" t="str">
        <f t="shared" si="48"/>
        <v/>
      </c>
      <c r="AB47" s="516" t="str">
        <f t="shared" si="49"/>
        <v/>
      </c>
      <c r="AC47" s="513" t="str">
        <f t="shared" si="50"/>
        <v/>
      </c>
      <c r="AD47" s="513" t="str">
        <f t="shared" si="51"/>
        <v/>
      </c>
      <c r="AE47" s="513" t="str">
        <f t="shared" si="52"/>
        <v/>
      </c>
      <c r="AF47" s="513" t="str">
        <f t="shared" si="14"/>
        <v/>
      </c>
      <c r="AG47" s="513" t="str">
        <f t="shared" si="15"/>
        <v/>
      </c>
      <c r="AH47" s="513" t="str">
        <f t="shared" si="16"/>
        <v/>
      </c>
      <c r="AI47" s="513" t="str">
        <f t="shared" si="17"/>
        <v/>
      </c>
      <c r="AJ47" s="513" t="str">
        <f t="shared" si="18"/>
        <v/>
      </c>
      <c r="AK47" s="513" t="str">
        <f t="shared" si="53"/>
        <v/>
      </c>
      <c r="AL47" s="513" t="str">
        <f t="shared" si="20"/>
        <v/>
      </c>
      <c r="AM47" s="513" t="str">
        <f t="shared" si="21"/>
        <v/>
      </c>
      <c r="AN47" s="513" t="str">
        <f t="shared" si="22"/>
        <v/>
      </c>
      <c r="AO47" s="513" t="str">
        <f t="shared" si="23"/>
        <v/>
      </c>
      <c r="AP47" s="513"/>
      <c r="AQ47" s="513"/>
      <c r="AR47" s="511"/>
      <c r="AS47" s="511"/>
      <c r="AT47" s="511"/>
      <c r="AU47" s="511"/>
      <c r="AV47" s="517"/>
      <c r="AW47" s="517"/>
      <c r="AX47" s="517"/>
      <c r="AY47" s="517"/>
      <c r="AZ47" s="510"/>
      <c r="BA47" s="509"/>
      <c r="BB47" s="508"/>
      <c r="BC47" s="508"/>
      <c r="BD47" s="509"/>
      <c r="BE47" s="508"/>
      <c r="BF47" s="508"/>
      <c r="BG47" s="508"/>
      <c r="BH47" s="508"/>
      <c r="BI47" s="508"/>
      <c r="BJ47" s="508"/>
      <c r="BK47" s="510"/>
      <c r="BL47" s="509"/>
      <c r="BM47" s="508"/>
      <c r="BN47" s="508"/>
      <c r="BO47" s="509"/>
      <c r="BP47" s="508"/>
      <c r="BQ47" s="508"/>
      <c r="BR47" s="508"/>
      <c r="BS47" s="508"/>
      <c r="BT47" s="508"/>
      <c r="BU47" s="508"/>
      <c r="BV47" s="508"/>
      <c r="BW47" s="508"/>
      <c r="BX47" s="508"/>
    </row>
    <row r="48" spans="5:76" x14ac:dyDescent="0.25">
      <c r="K48" s="494"/>
      <c r="O48" s="511">
        <f t="shared" si="38"/>
        <v>12</v>
      </c>
      <c r="P48" s="511">
        <f t="shared" si="39"/>
        <v>12</v>
      </c>
      <c r="Q48" s="511">
        <f t="shared" si="40"/>
        <v>12</v>
      </c>
      <c r="R48" s="511"/>
      <c r="S48" s="511" t="str">
        <f t="shared" si="41"/>
        <v/>
      </c>
      <c r="T48" s="511" t="str">
        <f t="shared" si="42"/>
        <v/>
      </c>
      <c r="U48" s="511"/>
      <c r="V48" s="515" t="str">
        <f t="shared" si="43"/>
        <v/>
      </c>
      <c r="W48" s="515" t="str">
        <f t="shared" si="44"/>
        <v/>
      </c>
      <c r="X48" s="515" t="str">
        <f t="shared" si="45"/>
        <v/>
      </c>
      <c r="Y48" s="515" t="str">
        <f t="shared" si="46"/>
        <v/>
      </c>
      <c r="Z48" s="515" t="str">
        <f t="shared" si="47"/>
        <v/>
      </c>
      <c r="AA48" s="515" t="str">
        <f t="shared" si="48"/>
        <v/>
      </c>
      <c r="AB48" s="516" t="str">
        <f t="shared" si="49"/>
        <v/>
      </c>
      <c r="AC48" s="513" t="str">
        <f t="shared" si="50"/>
        <v/>
      </c>
      <c r="AD48" s="513" t="str">
        <f t="shared" si="51"/>
        <v/>
      </c>
      <c r="AE48" s="513" t="str">
        <f t="shared" si="52"/>
        <v/>
      </c>
      <c r="AF48" s="513" t="str">
        <f t="shared" si="14"/>
        <v/>
      </c>
      <c r="AG48" s="513" t="str">
        <f t="shared" si="15"/>
        <v/>
      </c>
      <c r="AH48" s="513" t="str">
        <f t="shared" si="16"/>
        <v/>
      </c>
      <c r="AI48" s="513" t="str">
        <f t="shared" si="17"/>
        <v/>
      </c>
      <c r="AJ48" s="513" t="str">
        <f t="shared" si="18"/>
        <v/>
      </c>
      <c r="AK48" s="513" t="str">
        <f t="shared" si="53"/>
        <v/>
      </c>
      <c r="AL48" s="513" t="str">
        <f t="shared" si="20"/>
        <v/>
      </c>
      <c r="AM48" s="513" t="str">
        <f t="shared" si="21"/>
        <v/>
      </c>
      <c r="AN48" s="513" t="str">
        <f t="shared" si="22"/>
        <v/>
      </c>
      <c r="AO48" s="513" t="str">
        <f t="shared" si="23"/>
        <v/>
      </c>
      <c r="AP48" s="513"/>
      <c r="AQ48" s="513"/>
      <c r="AR48" s="511"/>
      <c r="AS48" s="511"/>
      <c r="AT48" s="511"/>
      <c r="AU48" s="511"/>
      <c r="AV48" s="517"/>
      <c r="AW48" s="517"/>
      <c r="AX48" s="517"/>
      <c r="AY48" s="517"/>
      <c r="AZ48" s="510"/>
      <c r="BA48" s="509"/>
      <c r="BB48" s="508"/>
      <c r="BC48" s="508"/>
      <c r="BD48" s="509"/>
      <c r="BE48" s="508"/>
      <c r="BF48" s="508"/>
      <c r="BG48" s="508"/>
      <c r="BH48" s="508"/>
      <c r="BI48" s="508"/>
      <c r="BJ48" s="508"/>
      <c r="BK48" s="510"/>
      <c r="BL48" s="509"/>
      <c r="BM48" s="508"/>
      <c r="BN48" s="508"/>
      <c r="BO48" s="509"/>
      <c r="BP48" s="508"/>
      <c r="BQ48" s="508"/>
      <c r="BR48" s="508"/>
      <c r="BS48" s="508"/>
      <c r="BT48" s="508"/>
      <c r="BU48" s="508"/>
      <c r="BV48" s="508"/>
      <c r="BW48" s="508"/>
      <c r="BX48" s="508"/>
    </row>
    <row r="49" spans="10:76" x14ac:dyDescent="0.25">
      <c r="O49" s="511"/>
      <c r="P49" s="511"/>
      <c r="Q49" s="511"/>
      <c r="R49" s="511"/>
      <c r="S49" s="511"/>
      <c r="T49" s="511"/>
      <c r="U49" s="511"/>
      <c r="V49" s="515"/>
      <c r="W49" s="516"/>
      <c r="X49" s="516"/>
      <c r="Y49" s="516"/>
      <c r="Z49" s="515"/>
      <c r="AA49" s="516"/>
      <c r="AB49" s="516"/>
      <c r="AC49" s="511"/>
      <c r="AD49" s="513" t="str">
        <f t="shared" ref="AD49:AD51" si="54">IF(S49=132,DATE(T50,9,1),"")</f>
        <v/>
      </c>
      <c r="AE49" s="513" t="str">
        <f t="shared" ref="AE49:AE51" si="55">IF(T49="","",IF(S49&gt;132,DATE(T49+1,9-(S49-132),1),""))</f>
        <v/>
      </c>
      <c r="AF49" s="511"/>
      <c r="AG49" s="511"/>
      <c r="AH49" s="511"/>
      <c r="AI49" s="511"/>
      <c r="AJ49" s="511"/>
      <c r="AK49" s="518"/>
      <c r="AL49" s="513"/>
      <c r="AM49" s="511"/>
      <c r="AN49" s="511"/>
      <c r="AO49" s="513"/>
      <c r="AP49" s="511"/>
      <c r="AQ49" s="511"/>
      <c r="AR49" s="511"/>
      <c r="AS49" s="511"/>
      <c r="AT49" s="511"/>
      <c r="AU49" s="511"/>
      <c r="AV49" s="517"/>
      <c r="AW49" s="517"/>
      <c r="AX49" s="517"/>
      <c r="AY49" s="517"/>
      <c r="AZ49" s="510"/>
      <c r="BA49" s="509"/>
      <c r="BB49" s="508"/>
      <c r="BC49" s="508"/>
      <c r="BD49" s="508"/>
      <c r="BE49" s="508"/>
      <c r="BF49" s="508"/>
      <c r="BG49" s="508"/>
      <c r="BH49" s="508"/>
      <c r="BI49" s="508"/>
      <c r="BJ49" s="508"/>
      <c r="BK49" s="510"/>
      <c r="BL49" s="509"/>
      <c r="BM49" s="508"/>
      <c r="BN49" s="508"/>
      <c r="BO49" s="509"/>
      <c r="BP49" s="508"/>
      <c r="BQ49" s="508"/>
      <c r="BR49" s="508"/>
      <c r="BS49" s="508"/>
      <c r="BT49" s="508"/>
      <c r="BU49" s="508"/>
      <c r="BV49" s="508"/>
      <c r="BW49" s="508"/>
      <c r="BX49" s="508"/>
    </row>
    <row r="50" spans="10:76" ht="15.75" thickBot="1" x14ac:dyDescent="0.3">
      <c r="O50" s="511"/>
      <c r="P50" s="511"/>
      <c r="Q50" s="511"/>
      <c r="R50" s="511"/>
      <c r="S50" s="511"/>
      <c r="T50" s="511"/>
      <c r="U50" s="511"/>
      <c r="V50" s="515"/>
      <c r="W50" s="515"/>
      <c r="X50" s="515"/>
      <c r="Y50" s="515"/>
      <c r="Z50" s="515"/>
      <c r="AA50" s="515"/>
      <c r="AB50" s="515"/>
      <c r="AC50" s="515"/>
      <c r="AD50" s="513" t="str">
        <f t="shared" si="54"/>
        <v/>
      </c>
      <c r="AE50" s="513" t="str">
        <f t="shared" si="55"/>
        <v/>
      </c>
      <c r="AF50" s="511"/>
      <c r="AG50" s="511"/>
      <c r="AH50" s="511"/>
      <c r="AI50" s="511"/>
      <c r="AJ50" s="511"/>
      <c r="AK50" s="518"/>
      <c r="AL50" s="513"/>
      <c r="AM50" s="511"/>
      <c r="AN50" s="511"/>
      <c r="AO50" s="513"/>
      <c r="AP50" s="511"/>
      <c r="AQ50" s="511"/>
      <c r="AR50" s="511"/>
      <c r="AS50" s="511"/>
      <c r="AT50" s="511"/>
      <c r="AU50" s="511"/>
      <c r="AV50" s="517"/>
      <c r="AW50" s="517"/>
      <c r="AX50" s="517"/>
      <c r="AY50" s="517"/>
      <c r="AZ50" s="510"/>
      <c r="BA50" s="509"/>
      <c r="BB50" s="508"/>
      <c r="BC50" s="508"/>
      <c r="BD50" s="508"/>
      <c r="BE50" s="508"/>
      <c r="BF50" s="508"/>
      <c r="BG50" s="508"/>
      <c r="BH50" s="508"/>
      <c r="BI50" s="508"/>
      <c r="BJ50" s="508"/>
      <c r="BK50" s="510"/>
      <c r="BL50" s="509"/>
      <c r="BM50" s="508"/>
      <c r="BN50" s="508"/>
      <c r="BO50" s="509"/>
      <c r="BP50" s="508"/>
      <c r="BQ50" s="508"/>
      <c r="BR50" s="508"/>
      <c r="BS50" s="508"/>
      <c r="BT50" s="508"/>
      <c r="BU50" s="508"/>
      <c r="BV50" s="508"/>
      <c r="BW50" s="508"/>
      <c r="BX50" s="508"/>
    </row>
    <row r="51" spans="10:76" x14ac:dyDescent="0.25">
      <c r="J51" s="481" t="s">
        <v>684</v>
      </c>
      <c r="K51" s="482"/>
      <c r="L51" s="482"/>
      <c r="M51" s="483"/>
      <c r="O51" s="511"/>
      <c r="P51" s="511"/>
      <c r="Q51" s="511"/>
      <c r="R51" s="511"/>
      <c r="S51" s="511"/>
      <c r="T51" s="511"/>
      <c r="U51" s="511"/>
      <c r="V51" s="519"/>
      <c r="W51" s="519"/>
      <c r="X51" s="511"/>
      <c r="Y51" s="511"/>
      <c r="Z51" s="511"/>
      <c r="AA51" s="511"/>
      <c r="AB51" s="511"/>
      <c r="AC51" s="511"/>
      <c r="AD51" s="513" t="str">
        <f t="shared" si="54"/>
        <v/>
      </c>
      <c r="AE51" s="513" t="str">
        <f t="shared" si="55"/>
        <v/>
      </c>
      <c r="AF51" s="511"/>
      <c r="AG51" s="511"/>
      <c r="AH51" s="511"/>
      <c r="AI51" s="511"/>
      <c r="AJ51" s="511"/>
      <c r="AK51" s="518"/>
      <c r="AL51" s="513"/>
      <c r="AM51" s="511"/>
      <c r="AN51" s="511"/>
      <c r="AO51" s="513"/>
      <c r="AP51" s="511"/>
      <c r="AQ51" s="511"/>
      <c r="AR51" s="511"/>
      <c r="AS51" s="511"/>
      <c r="AT51" s="511"/>
      <c r="AU51" s="511"/>
      <c r="AV51" s="517"/>
      <c r="AW51" s="517"/>
      <c r="AX51" s="517"/>
      <c r="AY51" s="517"/>
      <c r="AZ51" s="510"/>
      <c r="BA51" s="509"/>
      <c r="BB51" s="508"/>
      <c r="BC51" s="508"/>
      <c r="BD51" s="508"/>
      <c r="BE51" s="508"/>
      <c r="BF51" s="508"/>
      <c r="BG51" s="508"/>
      <c r="BH51" s="508"/>
      <c r="BI51" s="508"/>
      <c r="BJ51" s="508"/>
      <c r="BK51" s="510"/>
      <c r="BL51" s="509"/>
      <c r="BM51" s="508"/>
      <c r="BN51" s="508"/>
      <c r="BO51" s="509"/>
      <c r="BP51" s="508"/>
      <c r="BQ51" s="508"/>
      <c r="BR51" s="508"/>
      <c r="BS51" s="508"/>
      <c r="BT51" s="508"/>
      <c r="BU51" s="508"/>
      <c r="BV51" s="508"/>
      <c r="BW51" s="508"/>
      <c r="BX51" s="508"/>
    </row>
    <row r="52" spans="10:76" x14ac:dyDescent="0.25">
      <c r="J52" s="484"/>
      <c r="K52" s="282" t="s">
        <v>651</v>
      </c>
      <c r="L52" s="284" t="str">
        <f>IF(TYPE(V56)=16,"",IF(V56=0,"",V56))</f>
        <v/>
      </c>
      <c r="M52" s="485"/>
      <c r="O52" s="511"/>
      <c r="P52" s="511"/>
      <c r="Q52" s="511"/>
      <c r="R52" s="511"/>
      <c r="S52" s="511"/>
      <c r="T52" s="511"/>
      <c r="U52" s="511"/>
      <c r="V52" s="512">
        <f t="shared" ref="V52:AE52" si="56">MIN(V25:V51)</f>
        <v>0</v>
      </c>
      <c r="W52" s="512">
        <f t="shared" si="56"/>
        <v>0</v>
      </c>
      <c r="X52" s="512">
        <f t="shared" si="56"/>
        <v>0</v>
      </c>
      <c r="Y52" s="512">
        <f t="shared" si="56"/>
        <v>0</v>
      </c>
      <c r="Z52" s="512">
        <f t="shared" si="56"/>
        <v>0</v>
      </c>
      <c r="AA52" s="512">
        <f t="shared" si="56"/>
        <v>0</v>
      </c>
      <c r="AB52" s="512">
        <f t="shared" si="56"/>
        <v>0</v>
      </c>
      <c r="AC52" s="512">
        <f t="shared" si="56"/>
        <v>0</v>
      </c>
      <c r="AD52" s="512">
        <f t="shared" si="56"/>
        <v>0</v>
      </c>
      <c r="AE52" s="512">
        <f t="shared" si="56"/>
        <v>0</v>
      </c>
      <c r="AF52" s="512">
        <f t="shared" ref="AF52:AO52" si="57">MIN(AF25:AF51)</f>
        <v>0</v>
      </c>
      <c r="AG52" s="512">
        <f t="shared" si="57"/>
        <v>0</v>
      </c>
      <c r="AH52" s="512">
        <f t="shared" si="57"/>
        <v>0</v>
      </c>
      <c r="AI52" s="512">
        <f t="shared" si="57"/>
        <v>0</v>
      </c>
      <c r="AJ52" s="512">
        <f t="shared" si="57"/>
        <v>0</v>
      </c>
      <c r="AK52" s="512">
        <f t="shared" si="57"/>
        <v>0</v>
      </c>
      <c r="AL52" s="512">
        <f t="shared" si="57"/>
        <v>0</v>
      </c>
      <c r="AM52" s="512">
        <f t="shared" si="57"/>
        <v>0</v>
      </c>
      <c r="AN52" s="512">
        <f t="shared" si="57"/>
        <v>0</v>
      </c>
      <c r="AO52" s="512">
        <f t="shared" si="57"/>
        <v>0</v>
      </c>
      <c r="AP52" s="511"/>
      <c r="AQ52" s="511"/>
      <c r="AR52" s="511"/>
      <c r="AS52" s="511"/>
      <c r="AT52" s="511"/>
      <c r="AU52" s="511"/>
      <c r="AV52" s="517"/>
      <c r="AW52" s="517"/>
      <c r="AX52" s="517"/>
      <c r="AY52" s="517"/>
      <c r="AZ52" s="510"/>
      <c r="BA52" s="509"/>
      <c r="BB52" s="508"/>
      <c r="BC52" s="508"/>
      <c r="BD52" s="508"/>
      <c r="BE52" s="508"/>
      <c r="BF52" s="508"/>
      <c r="BG52" s="508"/>
      <c r="BH52" s="508"/>
      <c r="BI52" s="508"/>
      <c r="BJ52" s="508"/>
      <c r="BK52" s="510"/>
      <c r="BL52" s="509"/>
      <c r="BM52" s="508"/>
      <c r="BN52" s="508"/>
      <c r="BO52" s="509"/>
      <c r="BP52" s="508"/>
      <c r="BQ52" s="508"/>
      <c r="BR52" s="508"/>
      <c r="BS52" s="508"/>
      <c r="BT52" s="508"/>
      <c r="BU52" s="508"/>
      <c r="BV52" s="508"/>
      <c r="BW52" s="508"/>
      <c r="BX52" s="508"/>
    </row>
    <row r="53" spans="10:76" x14ac:dyDescent="0.25">
      <c r="J53" s="484"/>
      <c r="K53" s="282" t="s">
        <v>652</v>
      </c>
      <c r="L53" s="284" t="str">
        <f>IF(TYPE(X56)=16,"",IF(X56=0,"",X56))</f>
        <v/>
      </c>
      <c r="M53" s="485"/>
      <c r="O53" s="511"/>
      <c r="P53" s="511"/>
      <c r="Q53" s="511"/>
      <c r="R53" s="511"/>
      <c r="S53" s="511"/>
      <c r="T53" s="511"/>
      <c r="U53" s="511"/>
      <c r="V53" s="519"/>
      <c r="W53" s="519"/>
      <c r="X53" s="511"/>
      <c r="Y53" s="511"/>
      <c r="Z53" s="511"/>
      <c r="AA53" s="511"/>
      <c r="AB53" s="511"/>
      <c r="AC53" s="511"/>
      <c r="AD53" s="511">
        <f t="shared" ref="AD53:AD54" si="58">IF(K53="2012/2013",4,12)</f>
        <v>12</v>
      </c>
      <c r="AE53" s="511">
        <f t="shared" ref="AE53:AE54" si="59">IF(K53="2013/2014",8,12)</f>
        <v>12</v>
      </c>
      <c r="AF53" s="511">
        <f t="shared" ref="AF53:AF54" si="60">MIN(AD53:AE53)</f>
        <v>12</v>
      </c>
      <c r="AG53" s="511"/>
      <c r="AH53" s="511">
        <f t="shared" ref="AH53:AH54" si="61">IF(K53="","",Q53+S52)</f>
        <v>0</v>
      </c>
      <c r="AI53" s="511" t="str">
        <f t="shared" ref="AI53:AI54" si="62">RIGHT(K53,4)</f>
        <v>A.B.</v>
      </c>
      <c r="AJ53" s="511"/>
      <c r="AK53" s="518">
        <f t="shared" ref="AK53:AK54" si="63">IF(AH53="","",AH53-60)</f>
        <v>-60</v>
      </c>
      <c r="AL53" s="513" t="e">
        <f>IF(AK53="","",DATE(AI53,9-AK53,AK313))</f>
        <v>#VALUE!</v>
      </c>
      <c r="AM53" s="511"/>
      <c r="AN53" s="511" t="e">
        <f t="shared" ref="AN53:AN54" si="64">IF(AL53="","",DAY(AL53))</f>
        <v>#VALUE!</v>
      </c>
      <c r="AO53" s="513" t="e">
        <f t="shared" ref="AO53:AO54" si="65">IF(AN53=31,AL53+1,IF(AN53=30,AL53+1,IF(AN53=2,AL53-1,AL53)))</f>
        <v>#VALUE!</v>
      </c>
      <c r="AP53" s="511"/>
      <c r="AQ53" s="511"/>
      <c r="AR53" s="511"/>
      <c r="AS53" s="511">
        <f t="shared" ref="AS53:AS66" si="66">IF(K53="2012/2013",4,12)</f>
        <v>12</v>
      </c>
      <c r="AT53" s="511">
        <f t="shared" ref="AT53:AT66" si="67">IF(K53="2013/2014",8,12)</f>
        <v>12</v>
      </c>
      <c r="AU53" s="511">
        <f t="shared" ref="AU53:AU66" si="68">MIN(AS53:AT53)</f>
        <v>12</v>
      </c>
      <c r="AV53" s="517"/>
      <c r="AW53" s="517">
        <f t="shared" ref="AW53:AW66" si="69">IF(K53="","",AU53+AW52)</f>
        <v>12</v>
      </c>
      <c r="AX53" s="517" t="str">
        <f t="shared" ref="AX53:AX66" si="70">RIGHT(K53,4)</f>
        <v>A.B.</v>
      </c>
      <c r="AY53" s="517"/>
      <c r="AZ53" s="510">
        <f t="shared" ref="AZ53:AZ66" si="71">IF(AW53="","",AW53-84)</f>
        <v>-72</v>
      </c>
      <c r="BA53" s="509" t="e">
        <f>IF(AZ53="","",DATE(AX53,9-AZ53,AZ313))</f>
        <v>#VALUE!</v>
      </c>
      <c r="BB53" s="508"/>
      <c r="BC53" s="508"/>
      <c r="BD53" s="508"/>
      <c r="BE53" s="508"/>
      <c r="BF53" s="508"/>
      <c r="BG53" s="508"/>
      <c r="BH53" s="508">
        <f t="shared" ref="BH53:BH65" si="72">IF(K53="","",AU53+AW52)</f>
        <v>12</v>
      </c>
      <c r="BI53" s="508" t="str">
        <f t="shared" ref="BI53:BI65" si="73">RIGHT(K53,4)</f>
        <v>A.B.</v>
      </c>
      <c r="BJ53" s="508"/>
      <c r="BK53" s="510">
        <f t="shared" ref="BK53:BK65" si="74">IF(BH53="","",BH53-108)</f>
        <v>-96</v>
      </c>
      <c r="BL53" s="509" t="e">
        <f>IF(BK53="","",DATE(BI53,9-BK53,BK313))</f>
        <v>#VALUE!</v>
      </c>
      <c r="BM53" s="508"/>
      <c r="BN53" s="508" t="e">
        <f t="shared" ref="BN53:BN65" si="75">IF(BL53="","",DAY(BL53))</f>
        <v>#VALUE!</v>
      </c>
      <c r="BO53" s="509" t="e">
        <f t="shared" ref="BO53:BO65" si="76">IF(BN53=31,BL53+1,IF(BN53=30,BL53+1,IF(BN53=2,BL53-1,BL53)))</f>
        <v>#VALUE!</v>
      </c>
      <c r="BP53" s="508"/>
      <c r="BQ53" s="508"/>
      <c r="BR53" s="508"/>
      <c r="BS53" s="508"/>
      <c r="BT53" s="508"/>
      <c r="BU53" s="508"/>
      <c r="BV53" s="508"/>
      <c r="BW53" s="508"/>
      <c r="BX53" s="508"/>
    </row>
    <row r="54" spans="10:76" x14ac:dyDescent="0.25">
      <c r="J54" s="484"/>
      <c r="K54" s="282" t="s">
        <v>653</v>
      </c>
      <c r="L54" s="284" t="str">
        <f>IF(TYPE(Z56)=16,"",IF(Z56=0,"",Z56))</f>
        <v/>
      </c>
      <c r="M54" s="485"/>
      <c r="O54" s="511"/>
      <c r="P54" s="511"/>
      <c r="Q54" s="511"/>
      <c r="R54" s="511"/>
      <c r="S54" s="511"/>
      <c r="T54" s="511"/>
      <c r="U54" s="511"/>
      <c r="V54" s="519"/>
      <c r="W54" s="519"/>
      <c r="X54" s="511"/>
      <c r="Y54" s="511"/>
      <c r="Z54" s="511"/>
      <c r="AA54" s="511"/>
      <c r="AB54" s="511"/>
      <c r="AC54" s="511"/>
      <c r="AD54" s="511">
        <f t="shared" si="58"/>
        <v>12</v>
      </c>
      <c r="AE54" s="511">
        <f t="shared" si="59"/>
        <v>12</v>
      </c>
      <c r="AF54" s="511">
        <f t="shared" si="60"/>
        <v>12</v>
      </c>
      <c r="AG54" s="511"/>
      <c r="AH54" s="511">
        <f t="shared" si="61"/>
        <v>0</v>
      </c>
      <c r="AI54" s="511" t="str">
        <f t="shared" si="62"/>
        <v>A.B.</v>
      </c>
      <c r="AJ54" s="511"/>
      <c r="AK54" s="518">
        <f t="shared" si="63"/>
        <v>-60</v>
      </c>
      <c r="AL54" s="513" t="e">
        <f>IF(AK54="","",DATE(AI54,9-AK54,AK314))</f>
        <v>#VALUE!</v>
      </c>
      <c r="AM54" s="511"/>
      <c r="AN54" s="511" t="e">
        <f t="shared" si="64"/>
        <v>#VALUE!</v>
      </c>
      <c r="AO54" s="513" t="e">
        <f t="shared" si="65"/>
        <v>#VALUE!</v>
      </c>
      <c r="AP54" s="511"/>
      <c r="AQ54" s="511"/>
      <c r="AR54" s="511"/>
      <c r="AS54" s="511">
        <f t="shared" si="66"/>
        <v>12</v>
      </c>
      <c r="AT54" s="511">
        <f t="shared" si="67"/>
        <v>12</v>
      </c>
      <c r="AU54" s="511">
        <f t="shared" si="68"/>
        <v>12</v>
      </c>
      <c r="AV54" s="517"/>
      <c r="AW54" s="517">
        <f t="shared" si="69"/>
        <v>24</v>
      </c>
      <c r="AX54" s="517" t="str">
        <f t="shared" si="70"/>
        <v>A.B.</v>
      </c>
      <c r="AY54" s="517"/>
      <c r="AZ54" s="510">
        <f t="shared" si="71"/>
        <v>-60</v>
      </c>
      <c r="BA54" s="509" t="e">
        <f>IF(AZ54="","",DATE(AX54,9-AZ54,AZ314))</f>
        <v>#VALUE!</v>
      </c>
      <c r="BB54" s="508"/>
      <c r="BC54" s="508"/>
      <c r="BD54" s="508"/>
      <c r="BE54" s="508"/>
      <c r="BF54" s="508"/>
      <c r="BG54" s="508"/>
      <c r="BH54" s="508">
        <f t="shared" si="72"/>
        <v>24</v>
      </c>
      <c r="BI54" s="508" t="str">
        <f t="shared" si="73"/>
        <v>A.B.</v>
      </c>
      <c r="BJ54" s="508"/>
      <c r="BK54" s="510">
        <f t="shared" si="74"/>
        <v>-84</v>
      </c>
      <c r="BL54" s="509" t="e">
        <f>IF(BK54="","",DATE(BI54,9-BK54,BK314))</f>
        <v>#VALUE!</v>
      </c>
      <c r="BM54" s="508"/>
      <c r="BN54" s="508" t="e">
        <f t="shared" si="75"/>
        <v>#VALUE!</v>
      </c>
      <c r="BO54" s="509" t="e">
        <f t="shared" si="76"/>
        <v>#VALUE!</v>
      </c>
      <c r="BP54" s="508"/>
      <c r="BQ54" s="508"/>
      <c r="BR54" s="508"/>
      <c r="BS54" s="508"/>
      <c r="BT54" s="508"/>
      <c r="BU54" s="508"/>
      <c r="BV54" s="508"/>
      <c r="BW54" s="508"/>
      <c r="BX54" s="508"/>
    </row>
    <row r="55" spans="10:76" x14ac:dyDescent="0.25">
      <c r="J55" s="484"/>
      <c r="K55" s="282" t="s">
        <v>654</v>
      </c>
      <c r="L55" s="284" t="str">
        <f>IF(TYPE(AB56)=16,"",IF(AB56=0,"",AB56))</f>
        <v/>
      </c>
      <c r="M55" s="485"/>
      <c r="O55" s="511"/>
      <c r="P55" s="511"/>
      <c r="Q55" s="511"/>
      <c r="R55" s="511"/>
      <c r="S55" s="511"/>
      <c r="T55" s="511"/>
      <c r="U55" s="511"/>
      <c r="V55" s="519"/>
      <c r="W55" s="519"/>
      <c r="X55" s="511"/>
      <c r="Y55" s="511"/>
      <c r="Z55" s="511"/>
      <c r="AA55" s="511"/>
      <c r="AB55" s="511"/>
      <c r="AC55" s="511"/>
      <c r="AD55" s="511"/>
      <c r="AE55" s="511"/>
      <c r="AF55" s="511"/>
      <c r="AG55" s="511"/>
      <c r="AH55" s="511"/>
      <c r="AI55" s="511"/>
      <c r="AJ55" s="511"/>
      <c r="AK55" s="511"/>
      <c r="AL55" s="511"/>
      <c r="AM55" s="511"/>
      <c r="AN55" s="511"/>
      <c r="AO55" s="511"/>
      <c r="AP55" s="511"/>
      <c r="AQ55" s="511"/>
      <c r="AR55" s="511"/>
      <c r="AS55" s="511">
        <f t="shared" si="66"/>
        <v>12</v>
      </c>
      <c r="AT55" s="511">
        <f t="shared" si="67"/>
        <v>12</v>
      </c>
      <c r="AU55" s="511">
        <f t="shared" si="68"/>
        <v>12</v>
      </c>
      <c r="AV55" s="517"/>
      <c r="AW55" s="517">
        <f t="shared" si="69"/>
        <v>36</v>
      </c>
      <c r="AX55" s="517" t="str">
        <f t="shared" si="70"/>
        <v>A.B.</v>
      </c>
      <c r="AY55" s="517"/>
      <c r="AZ55" s="510">
        <f t="shared" si="71"/>
        <v>-48</v>
      </c>
      <c r="BA55" s="509" t="e">
        <f>IF(AZ55="","",DATE(AX55,9-AZ55,AZ315))</f>
        <v>#VALUE!</v>
      </c>
      <c r="BB55" s="508"/>
      <c r="BC55" s="508"/>
      <c r="BD55" s="508"/>
      <c r="BE55" s="508"/>
      <c r="BF55" s="508"/>
      <c r="BG55" s="508"/>
      <c r="BH55" s="508">
        <f t="shared" si="72"/>
        <v>36</v>
      </c>
      <c r="BI55" s="508" t="str">
        <f t="shared" si="73"/>
        <v>A.B.</v>
      </c>
      <c r="BJ55" s="508"/>
      <c r="BK55" s="510">
        <f t="shared" si="74"/>
        <v>-72</v>
      </c>
      <c r="BL55" s="509" t="e">
        <f>IF(BK55="","",DATE(BI55,9-BK55,BK315))</f>
        <v>#VALUE!</v>
      </c>
      <c r="BM55" s="508"/>
      <c r="BN55" s="508" t="e">
        <f t="shared" si="75"/>
        <v>#VALUE!</v>
      </c>
      <c r="BO55" s="509" t="e">
        <f t="shared" si="76"/>
        <v>#VALUE!</v>
      </c>
      <c r="BP55" s="508"/>
      <c r="BQ55" s="508"/>
      <c r="BR55" s="508"/>
      <c r="BS55" s="508"/>
      <c r="BT55" s="508"/>
      <c r="BU55" s="508"/>
      <c r="BV55" s="508"/>
      <c r="BW55" s="508"/>
      <c r="BX55" s="508"/>
    </row>
    <row r="56" spans="10:76" x14ac:dyDescent="0.25">
      <c r="J56" s="484"/>
      <c r="K56" s="282" t="s">
        <v>656</v>
      </c>
      <c r="L56" s="284" t="str">
        <f>IF(TYPE(AD56)=16,"",IF(AD56=0,"",AD56))</f>
        <v/>
      </c>
      <c r="M56" s="485"/>
      <c r="O56" s="511"/>
      <c r="P56" s="511"/>
      <c r="Q56" s="511"/>
      <c r="R56" s="511"/>
      <c r="S56" s="511"/>
      <c r="T56" s="511"/>
      <c r="U56" s="511"/>
      <c r="V56" s="512">
        <f>IF(V52&gt;0,V52,W52)</f>
        <v>0</v>
      </c>
      <c r="W56" s="519"/>
      <c r="X56" s="512">
        <f>IF(X52&gt;0,X52,Y52)</f>
        <v>0</v>
      </c>
      <c r="Y56" s="519"/>
      <c r="Z56" s="512">
        <f>IF(Z52&gt;0,Z52,AA52)</f>
        <v>0</v>
      </c>
      <c r="AA56" s="519"/>
      <c r="AB56" s="512">
        <f>IF(AB52&gt;0,AB52,AC52)</f>
        <v>0</v>
      </c>
      <c r="AC56" s="519"/>
      <c r="AD56" s="512">
        <f>IF(AD52&gt;0,AD52,AE52)</f>
        <v>0</v>
      </c>
      <c r="AE56" s="519"/>
      <c r="AF56" s="512">
        <f>IF(AF52&gt;0,AF52,AG52)</f>
        <v>0</v>
      </c>
      <c r="AG56" s="519"/>
      <c r="AH56" s="512">
        <f t="shared" ref="AH56" si="77">IF(AH52&gt;0,AH52,AI52)</f>
        <v>0</v>
      </c>
      <c r="AI56" s="519"/>
      <c r="AJ56" s="512">
        <f t="shared" ref="AJ56" si="78">IF(AJ52&gt;0,AJ52,AK52)</f>
        <v>0</v>
      </c>
      <c r="AK56" s="519"/>
      <c r="AL56" s="512">
        <f t="shared" ref="AL56" si="79">IF(AL52&gt;0,AL52,AM52)</f>
        <v>0</v>
      </c>
      <c r="AM56" s="511"/>
      <c r="AN56" s="511"/>
      <c r="AO56" s="511"/>
      <c r="AP56" s="511"/>
      <c r="AQ56" s="511"/>
      <c r="AR56" s="511"/>
      <c r="AS56" s="511">
        <f t="shared" si="66"/>
        <v>12</v>
      </c>
      <c r="AT56" s="511">
        <f t="shared" si="67"/>
        <v>12</v>
      </c>
      <c r="AU56" s="511">
        <f t="shared" si="68"/>
        <v>12</v>
      </c>
      <c r="AV56" s="517"/>
      <c r="AW56" s="517">
        <f t="shared" si="69"/>
        <v>48</v>
      </c>
      <c r="AX56" s="517" t="str">
        <f t="shared" si="70"/>
        <v>A.B.</v>
      </c>
      <c r="AY56" s="517"/>
      <c r="AZ56" s="510">
        <f t="shared" si="71"/>
        <v>-36</v>
      </c>
      <c r="BA56" s="509" t="e">
        <f>IF(AZ56="","",DATE(AX56,9-AZ56,AZ316))</f>
        <v>#VALUE!</v>
      </c>
      <c r="BB56" s="508"/>
      <c r="BC56" s="508"/>
      <c r="BD56" s="508"/>
      <c r="BE56" s="508"/>
      <c r="BF56" s="508"/>
      <c r="BG56" s="508"/>
      <c r="BH56" s="508">
        <f t="shared" si="72"/>
        <v>48</v>
      </c>
      <c r="BI56" s="508" t="str">
        <f t="shared" si="73"/>
        <v>A.B.</v>
      </c>
      <c r="BJ56" s="508"/>
      <c r="BK56" s="510">
        <f t="shared" si="74"/>
        <v>-60</v>
      </c>
      <c r="BL56" s="509" t="e">
        <f>IF(BK56="","",DATE(BI56,9-BK56,BK316))</f>
        <v>#VALUE!</v>
      </c>
      <c r="BM56" s="508"/>
      <c r="BN56" s="508" t="e">
        <f t="shared" si="75"/>
        <v>#VALUE!</v>
      </c>
      <c r="BO56" s="509" t="e">
        <f t="shared" si="76"/>
        <v>#VALUE!</v>
      </c>
      <c r="BP56" s="508"/>
      <c r="BQ56" s="508"/>
      <c r="BR56" s="508"/>
      <c r="BS56" s="508"/>
      <c r="BT56" s="508"/>
      <c r="BU56" s="508"/>
      <c r="BV56" s="508"/>
      <c r="BW56" s="508"/>
      <c r="BX56" s="508"/>
    </row>
    <row r="57" spans="10:76" x14ac:dyDescent="0.25">
      <c r="J57" s="484"/>
      <c r="K57" s="282" t="s">
        <v>687</v>
      </c>
      <c r="L57" s="284" t="str">
        <f>IF(TYPE(AF56)=16,"",IF(AF56=0,"",AF56))</f>
        <v/>
      </c>
      <c r="M57" s="485"/>
      <c r="O57" s="511"/>
      <c r="P57" s="511"/>
      <c r="Q57" s="511"/>
      <c r="R57" s="511"/>
      <c r="S57" s="511"/>
      <c r="T57" s="511"/>
      <c r="U57" s="511"/>
      <c r="V57" s="512"/>
      <c r="W57" s="519"/>
      <c r="X57" s="512"/>
      <c r="Y57" s="519"/>
      <c r="Z57" s="512"/>
      <c r="AA57" s="519"/>
      <c r="AB57" s="512"/>
      <c r="AC57" s="519"/>
      <c r="AD57" s="512"/>
      <c r="AE57" s="519"/>
      <c r="AF57" s="511"/>
      <c r="AG57" s="511"/>
      <c r="AH57" s="511"/>
      <c r="AI57" s="511"/>
      <c r="AJ57" s="511"/>
      <c r="AK57" s="511"/>
      <c r="AL57" s="511"/>
      <c r="AM57" s="511"/>
      <c r="AN57" s="511"/>
      <c r="AO57" s="511"/>
      <c r="AP57" s="511"/>
      <c r="AQ57" s="511"/>
      <c r="AR57" s="511"/>
      <c r="AS57" s="511"/>
      <c r="AT57" s="511"/>
      <c r="AU57" s="511"/>
      <c r="AV57" s="517"/>
      <c r="AW57" s="517"/>
      <c r="AX57" s="517"/>
      <c r="AY57" s="517"/>
      <c r="AZ57" s="510"/>
      <c r="BA57" s="509"/>
      <c r="BB57" s="508"/>
      <c r="BC57" s="508"/>
      <c r="BD57" s="508"/>
      <c r="BE57" s="508"/>
      <c r="BF57" s="508"/>
      <c r="BG57" s="508"/>
      <c r="BH57" s="508"/>
      <c r="BI57" s="508"/>
      <c r="BJ57" s="508"/>
      <c r="BK57" s="510"/>
      <c r="BL57" s="509"/>
      <c r="BM57" s="508"/>
      <c r="BN57" s="508"/>
      <c r="BO57" s="509"/>
      <c r="BP57" s="508"/>
      <c r="BQ57" s="508"/>
      <c r="BR57" s="508"/>
      <c r="BS57" s="508"/>
      <c r="BT57" s="508"/>
      <c r="BU57" s="508"/>
      <c r="BV57" s="508"/>
      <c r="BW57" s="508"/>
      <c r="BX57" s="508"/>
    </row>
    <row r="58" spans="10:76" x14ac:dyDescent="0.25">
      <c r="J58" s="484"/>
      <c r="K58" s="282" t="s">
        <v>688</v>
      </c>
      <c r="L58" s="284" t="str">
        <f>IF(TYPE(AH56)=16,"",IF(AH56=0,"",AH56))</f>
        <v/>
      </c>
      <c r="M58" s="485"/>
      <c r="O58" s="511"/>
      <c r="P58" s="511"/>
      <c r="Q58" s="511"/>
      <c r="R58" s="511"/>
      <c r="S58" s="511"/>
      <c r="T58" s="511"/>
      <c r="U58" s="511"/>
      <c r="V58" s="512"/>
      <c r="W58" s="519"/>
      <c r="X58" s="512"/>
      <c r="Y58" s="519"/>
      <c r="Z58" s="512"/>
      <c r="AA58" s="519"/>
      <c r="AB58" s="512"/>
      <c r="AC58" s="519"/>
      <c r="AD58" s="512"/>
      <c r="AE58" s="519"/>
      <c r="AF58" s="511"/>
      <c r="AG58" s="511"/>
      <c r="AH58" s="511"/>
      <c r="AI58" s="511"/>
      <c r="AJ58" s="511"/>
      <c r="AK58" s="511"/>
      <c r="AL58" s="511"/>
      <c r="AM58" s="511"/>
      <c r="AN58" s="511"/>
      <c r="AO58" s="511"/>
      <c r="AP58" s="511"/>
      <c r="AQ58" s="511"/>
      <c r="AR58" s="511"/>
      <c r="AS58" s="511"/>
      <c r="AT58" s="511"/>
      <c r="AU58" s="511"/>
      <c r="AV58" s="517"/>
      <c r="AW58" s="517"/>
      <c r="AX58" s="517"/>
      <c r="AY58" s="517"/>
      <c r="AZ58" s="510"/>
      <c r="BA58" s="509"/>
      <c r="BB58" s="508"/>
      <c r="BC58" s="508"/>
      <c r="BD58" s="508"/>
      <c r="BE58" s="508"/>
      <c r="BF58" s="508"/>
      <c r="BG58" s="508"/>
      <c r="BH58" s="508"/>
      <c r="BI58" s="508"/>
      <c r="BJ58" s="508"/>
      <c r="BK58" s="510"/>
      <c r="BL58" s="509"/>
      <c r="BM58" s="508"/>
      <c r="BN58" s="508"/>
      <c r="BO58" s="509"/>
      <c r="BP58" s="508"/>
      <c r="BQ58" s="508"/>
      <c r="BR58" s="508"/>
      <c r="BS58" s="508"/>
      <c r="BT58" s="508"/>
      <c r="BU58" s="508"/>
      <c r="BV58" s="508"/>
      <c r="BW58" s="508"/>
      <c r="BX58" s="508"/>
    </row>
    <row r="59" spans="10:76" x14ac:dyDescent="0.25">
      <c r="J59" s="484"/>
      <c r="K59" s="282" t="s">
        <v>689</v>
      </c>
      <c r="L59" s="284" t="str">
        <f>IF(TYPE(AJ56)=16,"",IF(AJ56=0,"",AJ56))</f>
        <v/>
      </c>
      <c r="M59" s="485"/>
      <c r="O59" s="511"/>
      <c r="P59" s="511"/>
      <c r="Q59" s="511"/>
      <c r="R59" s="511"/>
      <c r="S59" s="511"/>
      <c r="T59" s="511"/>
      <c r="U59" s="511"/>
      <c r="V59" s="512"/>
      <c r="W59" s="519"/>
      <c r="X59" s="512"/>
      <c r="Y59" s="519"/>
      <c r="Z59" s="512"/>
      <c r="AA59" s="519"/>
      <c r="AB59" s="512"/>
      <c r="AC59" s="519"/>
      <c r="AD59" s="512"/>
      <c r="AE59" s="519"/>
      <c r="AF59" s="511"/>
      <c r="AG59" s="511"/>
      <c r="AH59" s="511"/>
      <c r="AI59" s="511"/>
      <c r="AJ59" s="511"/>
      <c r="AK59" s="511"/>
      <c r="AL59" s="511"/>
      <c r="AM59" s="511"/>
      <c r="AN59" s="511"/>
      <c r="AO59" s="511"/>
      <c r="AP59" s="511"/>
      <c r="AQ59" s="511"/>
      <c r="AR59" s="511"/>
      <c r="AS59" s="511"/>
      <c r="AT59" s="511"/>
      <c r="AU59" s="511"/>
      <c r="AV59" s="517"/>
      <c r="AW59" s="517"/>
      <c r="AX59" s="517"/>
      <c r="AY59" s="517"/>
      <c r="AZ59" s="510"/>
      <c r="BA59" s="509"/>
      <c r="BB59" s="508"/>
      <c r="BC59" s="508"/>
      <c r="BD59" s="508"/>
      <c r="BE59" s="508"/>
      <c r="BF59" s="508"/>
      <c r="BG59" s="508"/>
      <c r="BH59" s="508"/>
      <c r="BI59" s="508"/>
      <c r="BJ59" s="508"/>
      <c r="BK59" s="510"/>
      <c r="BL59" s="509"/>
      <c r="BM59" s="508"/>
      <c r="BN59" s="508"/>
      <c r="BO59" s="509"/>
      <c r="BP59" s="508"/>
      <c r="BQ59" s="508"/>
      <c r="BR59" s="508"/>
      <c r="BS59" s="508"/>
      <c r="BT59" s="508"/>
      <c r="BU59" s="508"/>
      <c r="BV59" s="508"/>
      <c r="BW59" s="508"/>
      <c r="BX59" s="508"/>
    </row>
    <row r="60" spans="10:76" x14ac:dyDescent="0.25">
      <c r="J60" s="484"/>
      <c r="K60" s="282" t="s">
        <v>690</v>
      </c>
      <c r="L60" s="284" t="str">
        <f>IF(TYPE(AL56)=16,"",IF(AL56=0,"",AL56))</f>
        <v/>
      </c>
      <c r="M60" s="485"/>
      <c r="O60" s="511"/>
      <c r="P60" s="511"/>
      <c r="Q60" s="511"/>
      <c r="R60" s="511"/>
      <c r="S60" s="511"/>
      <c r="T60" s="511"/>
      <c r="U60" s="511"/>
      <c r="V60" s="512"/>
      <c r="W60" s="519"/>
      <c r="X60" s="512"/>
      <c r="Y60" s="519"/>
      <c r="Z60" s="512"/>
      <c r="AA60" s="519"/>
      <c r="AB60" s="512"/>
      <c r="AC60" s="519"/>
      <c r="AD60" s="512"/>
      <c r="AE60" s="519"/>
      <c r="AF60" s="511"/>
      <c r="AG60" s="511"/>
      <c r="AH60" s="511"/>
      <c r="AI60" s="511"/>
      <c r="AJ60" s="511"/>
      <c r="AK60" s="511"/>
      <c r="AL60" s="511"/>
      <c r="AM60" s="511"/>
      <c r="AN60" s="511"/>
      <c r="AO60" s="511"/>
      <c r="AP60" s="511"/>
      <c r="AQ60" s="511"/>
      <c r="AR60" s="511"/>
      <c r="AS60" s="511"/>
      <c r="AT60" s="511"/>
      <c r="AU60" s="511"/>
      <c r="AV60" s="517"/>
      <c r="AW60" s="517"/>
      <c r="AX60" s="517"/>
      <c r="AY60" s="517"/>
      <c r="AZ60" s="510"/>
      <c r="BA60" s="509"/>
      <c r="BB60" s="508"/>
      <c r="BC60" s="508"/>
      <c r="BD60" s="508"/>
      <c r="BE60" s="508"/>
      <c r="BF60" s="508"/>
      <c r="BG60" s="508"/>
      <c r="BH60" s="508"/>
      <c r="BI60" s="508"/>
      <c r="BJ60" s="508"/>
      <c r="BK60" s="510"/>
      <c r="BL60" s="509"/>
      <c r="BM60" s="508"/>
      <c r="BN60" s="508"/>
      <c r="BO60" s="509"/>
      <c r="BP60" s="508"/>
      <c r="BQ60" s="508"/>
      <c r="BR60" s="508"/>
      <c r="BS60" s="508"/>
      <c r="BT60" s="508"/>
      <c r="BU60" s="508"/>
      <c r="BV60" s="508"/>
      <c r="BW60" s="508"/>
      <c r="BX60" s="508"/>
    </row>
    <row r="61" spans="10:76" x14ac:dyDescent="0.25">
      <c r="J61" s="484"/>
      <c r="K61" s="282" t="s">
        <v>691</v>
      </c>
      <c r="L61" s="284" t="str">
        <f>IF(TYPE(AN56)=16,"",IF(AN56=0,"",AN56))</f>
        <v/>
      </c>
      <c r="M61" s="485"/>
      <c r="O61" s="511"/>
      <c r="P61" s="511"/>
      <c r="Q61" s="511"/>
      <c r="R61" s="511"/>
      <c r="S61" s="511"/>
      <c r="T61" s="511"/>
      <c r="U61" s="511"/>
      <c r="V61" s="512"/>
      <c r="W61" s="519"/>
      <c r="X61" s="512"/>
      <c r="Y61" s="519"/>
      <c r="Z61" s="512"/>
      <c r="AA61" s="519"/>
      <c r="AB61" s="512"/>
      <c r="AC61" s="519"/>
      <c r="AD61" s="512"/>
      <c r="AE61" s="519"/>
      <c r="AF61" s="511"/>
      <c r="AG61" s="511"/>
      <c r="AH61" s="511"/>
      <c r="AI61" s="511"/>
      <c r="AJ61" s="511"/>
      <c r="AK61" s="511"/>
      <c r="AL61" s="511"/>
      <c r="AM61" s="511"/>
      <c r="AN61" s="511"/>
      <c r="AO61" s="511"/>
      <c r="AP61" s="511"/>
      <c r="AQ61" s="511"/>
      <c r="AR61" s="511"/>
      <c r="AS61" s="511"/>
      <c r="AT61" s="511"/>
      <c r="AU61" s="511"/>
      <c r="AV61" s="517"/>
      <c r="AW61" s="517"/>
      <c r="AX61" s="517"/>
      <c r="AY61" s="517"/>
      <c r="AZ61" s="510"/>
      <c r="BA61" s="509"/>
      <c r="BB61" s="508"/>
      <c r="BC61" s="508"/>
      <c r="BD61" s="508"/>
      <c r="BE61" s="508"/>
      <c r="BF61" s="508"/>
      <c r="BG61" s="508"/>
      <c r="BH61" s="508"/>
      <c r="BI61" s="508"/>
      <c r="BJ61" s="508"/>
      <c r="BK61" s="510"/>
      <c r="BL61" s="509"/>
      <c r="BM61" s="508"/>
      <c r="BN61" s="508"/>
      <c r="BO61" s="509"/>
      <c r="BP61" s="508"/>
      <c r="BQ61" s="508"/>
      <c r="BR61" s="508"/>
      <c r="BS61" s="508"/>
      <c r="BT61" s="508"/>
      <c r="BU61" s="508"/>
      <c r="BV61" s="508"/>
      <c r="BW61" s="508"/>
      <c r="BX61" s="508"/>
    </row>
    <row r="62" spans="10:76" x14ac:dyDescent="0.25">
      <c r="J62" s="484"/>
      <c r="K62" s="282"/>
      <c r="L62" s="284"/>
      <c r="M62" s="485"/>
      <c r="O62" s="511"/>
      <c r="P62" s="511"/>
      <c r="Q62" s="511"/>
      <c r="R62" s="511"/>
      <c r="S62" s="511"/>
      <c r="T62" s="511"/>
      <c r="U62" s="511"/>
      <c r="V62" s="512"/>
      <c r="W62" s="519"/>
      <c r="X62" s="512"/>
      <c r="Y62" s="519"/>
      <c r="Z62" s="512"/>
      <c r="AA62" s="519"/>
      <c r="AB62" s="512"/>
      <c r="AC62" s="519"/>
      <c r="AD62" s="512"/>
      <c r="AE62" s="519"/>
      <c r="AF62" s="511"/>
      <c r="AG62" s="511"/>
      <c r="AH62" s="511"/>
      <c r="AI62" s="511"/>
      <c r="AJ62" s="511"/>
      <c r="AK62" s="511"/>
      <c r="AL62" s="511"/>
      <c r="AM62" s="511"/>
      <c r="AN62" s="511"/>
      <c r="AO62" s="511"/>
      <c r="AP62" s="511"/>
      <c r="AQ62" s="511"/>
      <c r="AR62" s="511"/>
      <c r="AS62" s="511"/>
      <c r="AT62" s="511"/>
      <c r="AU62" s="511"/>
      <c r="AV62" s="517"/>
      <c r="AW62" s="517"/>
      <c r="AX62" s="517"/>
      <c r="AY62" s="517"/>
      <c r="AZ62" s="510"/>
      <c r="BA62" s="509"/>
      <c r="BB62" s="508"/>
      <c r="BC62" s="508"/>
      <c r="BD62" s="508"/>
      <c r="BE62" s="508"/>
      <c r="BF62" s="508"/>
      <c r="BG62" s="508"/>
      <c r="BH62" s="508"/>
      <c r="BI62" s="508"/>
      <c r="BJ62" s="508"/>
      <c r="BK62" s="510"/>
      <c r="BL62" s="509"/>
      <c r="BM62" s="508"/>
      <c r="BN62" s="508"/>
      <c r="BO62" s="509"/>
      <c r="BP62" s="508"/>
      <c r="BQ62" s="508"/>
      <c r="BR62" s="508"/>
      <c r="BS62" s="508"/>
      <c r="BT62" s="508"/>
      <c r="BU62" s="508"/>
      <c r="BV62" s="508"/>
      <c r="BW62" s="508"/>
      <c r="BX62" s="508"/>
    </row>
    <row r="63" spans="10:76" x14ac:dyDescent="0.25">
      <c r="J63" s="484"/>
      <c r="K63" s="320"/>
      <c r="L63" s="335"/>
      <c r="M63" s="485"/>
      <c r="O63" s="511"/>
      <c r="P63" s="511"/>
      <c r="Q63" s="511"/>
      <c r="R63" s="511"/>
      <c r="S63" s="511"/>
      <c r="T63" s="511"/>
      <c r="U63" s="511"/>
      <c r="V63" s="512"/>
      <c r="W63" s="519"/>
      <c r="X63" s="512"/>
      <c r="Y63" s="519"/>
      <c r="Z63" s="512"/>
      <c r="AA63" s="519"/>
      <c r="AB63" s="512"/>
      <c r="AC63" s="519"/>
      <c r="AD63" s="512"/>
      <c r="AE63" s="519"/>
      <c r="AF63" s="511"/>
      <c r="AG63" s="511"/>
      <c r="AH63" s="511"/>
      <c r="AI63" s="511"/>
      <c r="AJ63" s="511"/>
      <c r="AK63" s="511"/>
      <c r="AL63" s="511"/>
      <c r="AM63" s="511"/>
      <c r="AN63" s="511"/>
      <c r="AO63" s="511"/>
      <c r="AP63" s="511"/>
      <c r="AQ63" s="511"/>
      <c r="AR63" s="511"/>
      <c r="AS63" s="511"/>
      <c r="AT63" s="511"/>
      <c r="AU63" s="511"/>
      <c r="AV63" s="517"/>
      <c r="AW63" s="517"/>
      <c r="AX63" s="517"/>
      <c r="AY63" s="517"/>
      <c r="AZ63" s="510"/>
      <c r="BA63" s="509"/>
      <c r="BB63" s="508"/>
      <c r="BC63" s="508"/>
      <c r="BD63" s="508"/>
      <c r="BE63" s="508"/>
      <c r="BF63" s="508"/>
      <c r="BG63" s="508"/>
      <c r="BH63" s="508"/>
      <c r="BI63" s="508"/>
      <c r="BJ63" s="508"/>
      <c r="BK63" s="510"/>
      <c r="BL63" s="509"/>
      <c r="BM63" s="508"/>
      <c r="BN63" s="508"/>
      <c r="BO63" s="509"/>
      <c r="BP63" s="508"/>
      <c r="BQ63" s="508"/>
      <c r="BR63" s="508"/>
      <c r="BS63" s="508"/>
      <c r="BT63" s="508"/>
      <c r="BU63" s="508"/>
      <c r="BV63" s="508"/>
      <c r="BW63" s="508"/>
      <c r="BX63" s="508"/>
    </row>
    <row r="64" spans="10:76" ht="15.75" thickBot="1" x14ac:dyDescent="0.3">
      <c r="J64" s="486"/>
      <c r="K64" s="487"/>
      <c r="L64" s="487"/>
      <c r="M64" s="488"/>
      <c r="O64" s="511"/>
      <c r="P64" s="511"/>
      <c r="Q64" s="511"/>
      <c r="R64" s="511"/>
      <c r="S64" s="511"/>
      <c r="T64" s="511"/>
      <c r="U64" s="511"/>
      <c r="V64" s="519"/>
      <c r="W64" s="519"/>
      <c r="X64" s="511"/>
      <c r="Y64" s="511"/>
      <c r="Z64" s="511"/>
      <c r="AA64" s="511"/>
      <c r="AB64" s="511"/>
      <c r="AC64" s="511"/>
      <c r="AD64" s="511"/>
      <c r="AE64" s="511"/>
      <c r="AF64" s="511"/>
      <c r="AG64" s="511"/>
      <c r="AH64" s="511"/>
      <c r="AI64" s="511"/>
      <c r="AJ64" s="511"/>
      <c r="AK64" s="511"/>
      <c r="AL64" s="511"/>
      <c r="AM64" s="511"/>
      <c r="AN64" s="511"/>
      <c r="AO64" s="511"/>
      <c r="AP64" s="511"/>
      <c r="AQ64" s="511"/>
      <c r="AR64" s="511"/>
      <c r="AS64" s="511">
        <f t="shared" si="66"/>
        <v>12</v>
      </c>
      <c r="AT64" s="511">
        <f t="shared" si="67"/>
        <v>12</v>
      </c>
      <c r="AU64" s="511">
        <f t="shared" si="68"/>
        <v>12</v>
      </c>
      <c r="AV64" s="517"/>
      <c r="AW64" s="517" t="str">
        <f>IF(K64="","",AU64+AW56)</f>
        <v/>
      </c>
      <c r="AX64" s="517" t="str">
        <f t="shared" si="70"/>
        <v/>
      </c>
      <c r="AY64" s="517"/>
      <c r="AZ64" s="510" t="str">
        <f t="shared" si="71"/>
        <v/>
      </c>
      <c r="BA64" s="509" t="str">
        <f t="shared" ref="BA64:BA66" si="80">IF(AZ64="","",DATE(AX64,9-AZ64,AZ317))</f>
        <v/>
      </c>
      <c r="BB64" s="508"/>
      <c r="BC64" s="508"/>
      <c r="BD64" s="508"/>
      <c r="BE64" s="508"/>
      <c r="BF64" s="508"/>
      <c r="BG64" s="508"/>
      <c r="BH64" s="508" t="str">
        <f>IF(K64="","",AU64+AW56)</f>
        <v/>
      </c>
      <c r="BI64" s="508" t="str">
        <f t="shared" si="73"/>
        <v/>
      </c>
      <c r="BJ64" s="508"/>
      <c r="BK64" s="510" t="str">
        <f t="shared" si="74"/>
        <v/>
      </c>
      <c r="BL64" s="509" t="str">
        <f t="shared" ref="BL64:BL65" si="81">IF(BK64="","",DATE(BI64,9-BK64,BK317))</f>
        <v/>
      </c>
      <c r="BM64" s="508"/>
      <c r="BN64" s="508" t="str">
        <f t="shared" si="75"/>
        <v/>
      </c>
      <c r="BO64" s="509" t="str">
        <f t="shared" si="76"/>
        <v/>
      </c>
      <c r="BP64" s="508"/>
      <c r="BQ64" s="508"/>
      <c r="BR64" s="508"/>
      <c r="BS64" s="508"/>
      <c r="BT64" s="508"/>
      <c r="BU64" s="508"/>
      <c r="BV64" s="508"/>
      <c r="BW64" s="508"/>
      <c r="BX64" s="508"/>
    </row>
    <row r="65" spans="15:76" x14ac:dyDescent="0.25">
      <c r="O65" s="511"/>
      <c r="P65" s="511"/>
      <c r="Q65" s="511"/>
      <c r="R65" s="511"/>
      <c r="S65" s="511"/>
      <c r="T65" s="511"/>
      <c r="U65" s="511"/>
      <c r="V65" s="519"/>
      <c r="W65" s="519"/>
      <c r="X65" s="511"/>
      <c r="Y65" s="511"/>
      <c r="Z65" s="511"/>
      <c r="AA65" s="511"/>
      <c r="AB65" s="511"/>
      <c r="AC65" s="511"/>
      <c r="AD65" s="511"/>
      <c r="AE65" s="511"/>
      <c r="AF65" s="511"/>
      <c r="AG65" s="511"/>
      <c r="AH65" s="511"/>
      <c r="AI65" s="511"/>
      <c r="AJ65" s="511"/>
      <c r="AK65" s="511"/>
      <c r="AL65" s="511"/>
      <c r="AM65" s="511"/>
      <c r="AN65" s="511"/>
      <c r="AO65" s="511"/>
      <c r="AP65" s="511"/>
      <c r="AQ65" s="511"/>
      <c r="AR65" s="511"/>
      <c r="AS65" s="511">
        <f t="shared" si="66"/>
        <v>12</v>
      </c>
      <c r="AT65" s="511">
        <f t="shared" si="67"/>
        <v>12</v>
      </c>
      <c r="AU65" s="511">
        <f t="shared" si="68"/>
        <v>12</v>
      </c>
      <c r="AV65" s="517"/>
      <c r="AW65" s="517" t="str">
        <f t="shared" si="69"/>
        <v/>
      </c>
      <c r="AX65" s="517" t="str">
        <f t="shared" si="70"/>
        <v/>
      </c>
      <c r="AY65" s="517"/>
      <c r="AZ65" s="510" t="str">
        <f t="shared" si="71"/>
        <v/>
      </c>
      <c r="BA65" s="509" t="str">
        <f t="shared" si="80"/>
        <v/>
      </c>
      <c r="BB65" s="508"/>
      <c r="BC65" s="508"/>
      <c r="BD65" s="508"/>
      <c r="BE65" s="508"/>
      <c r="BF65" s="508"/>
      <c r="BG65" s="508"/>
      <c r="BH65" s="508" t="str">
        <f t="shared" si="72"/>
        <v/>
      </c>
      <c r="BI65" s="508" t="str">
        <f t="shared" si="73"/>
        <v/>
      </c>
      <c r="BJ65" s="508"/>
      <c r="BK65" s="510" t="str">
        <f t="shared" si="74"/>
        <v/>
      </c>
      <c r="BL65" s="509" t="str">
        <f t="shared" si="81"/>
        <v/>
      </c>
      <c r="BM65" s="508"/>
      <c r="BN65" s="508" t="str">
        <f t="shared" si="75"/>
        <v/>
      </c>
      <c r="BO65" s="509" t="str">
        <f t="shared" si="76"/>
        <v/>
      </c>
      <c r="BP65" s="508"/>
      <c r="BQ65" s="508"/>
      <c r="BR65" s="508"/>
      <c r="BS65" s="508"/>
      <c r="BT65" s="508"/>
      <c r="BU65" s="508"/>
      <c r="BV65" s="508"/>
      <c r="BW65" s="508"/>
      <c r="BX65" s="508"/>
    </row>
    <row r="66" spans="15:76" x14ac:dyDescent="0.25">
      <c r="O66" s="511"/>
      <c r="P66" s="511"/>
      <c r="Q66" s="511"/>
      <c r="R66" s="511"/>
      <c r="S66" s="511"/>
      <c r="T66" s="511"/>
      <c r="U66" s="511"/>
      <c r="V66" s="519"/>
      <c r="W66" s="519"/>
      <c r="X66" s="511"/>
      <c r="Y66" s="511"/>
      <c r="Z66" s="511"/>
      <c r="AA66" s="511"/>
      <c r="AB66" s="511"/>
      <c r="AC66" s="511"/>
      <c r="AD66" s="511"/>
      <c r="AE66" s="511"/>
      <c r="AF66" s="511"/>
      <c r="AG66" s="511"/>
      <c r="AH66" s="511"/>
      <c r="AI66" s="511"/>
      <c r="AJ66" s="511"/>
      <c r="AK66" s="511"/>
      <c r="AL66" s="511"/>
      <c r="AM66" s="511"/>
      <c r="AN66" s="511"/>
      <c r="AO66" s="511"/>
      <c r="AP66" s="511"/>
      <c r="AQ66" s="511"/>
      <c r="AR66" s="511"/>
      <c r="AS66" s="511">
        <f t="shared" si="66"/>
        <v>12</v>
      </c>
      <c r="AT66" s="511">
        <f t="shared" si="67"/>
        <v>12</v>
      </c>
      <c r="AU66" s="511">
        <f t="shared" si="68"/>
        <v>12</v>
      </c>
      <c r="AV66" s="517"/>
      <c r="AW66" s="517" t="str">
        <f t="shared" si="69"/>
        <v/>
      </c>
      <c r="AX66" s="517" t="str">
        <f t="shared" si="70"/>
        <v/>
      </c>
      <c r="AY66" s="517"/>
      <c r="AZ66" s="510" t="str">
        <f t="shared" si="71"/>
        <v/>
      </c>
      <c r="BA66" s="509" t="str">
        <f t="shared" si="80"/>
        <v/>
      </c>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row>
    <row r="67" spans="15:76" x14ac:dyDescent="0.25">
      <c r="O67" s="511"/>
      <c r="P67" s="511"/>
      <c r="Q67" s="511"/>
      <c r="R67" s="511"/>
      <c r="S67" s="511"/>
      <c r="T67" s="511"/>
      <c r="U67" s="511"/>
      <c r="V67" s="519"/>
      <c r="W67" s="519"/>
      <c r="X67" s="511"/>
      <c r="Y67" s="511"/>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7"/>
      <c r="AW67" s="517"/>
      <c r="AX67" s="517"/>
      <c r="AY67" s="517"/>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row>
    <row r="68" spans="15:76" x14ac:dyDescent="0.25">
      <c r="O68" s="511"/>
      <c r="P68" s="511"/>
      <c r="Q68" s="511"/>
      <c r="R68" s="511"/>
      <c r="S68" s="511"/>
      <c r="T68" s="511"/>
      <c r="U68" s="511"/>
      <c r="V68" s="519"/>
      <c r="W68" s="519"/>
      <c r="X68" s="511"/>
      <c r="Y68" s="511"/>
      <c r="Z68" s="511"/>
      <c r="AA68" s="511"/>
      <c r="AB68" s="511"/>
      <c r="AC68" s="511"/>
      <c r="AD68" s="511"/>
      <c r="AE68" s="511"/>
      <c r="AF68" s="511"/>
      <c r="AG68" s="511"/>
      <c r="AH68" s="511"/>
      <c r="AI68" s="511"/>
      <c r="AJ68" s="511"/>
      <c r="AK68" s="511"/>
      <c r="AL68" s="511"/>
      <c r="AM68" s="511"/>
      <c r="AN68" s="511"/>
      <c r="AO68" s="511"/>
      <c r="AP68" s="511"/>
      <c r="AQ68" s="511"/>
      <c r="AR68" s="511"/>
      <c r="AS68" s="511"/>
      <c r="AT68" s="511"/>
      <c r="AU68" s="511"/>
      <c r="AV68" s="517"/>
      <c r="AW68" s="517"/>
      <c r="AX68" s="517"/>
      <c r="AY68" s="517"/>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row>
    <row r="69" spans="15:76" x14ac:dyDescent="0.25">
      <c r="O69" s="511"/>
      <c r="P69" s="511"/>
      <c r="Q69" s="511"/>
      <c r="R69" s="511"/>
      <c r="S69" s="511"/>
      <c r="T69" s="511"/>
      <c r="U69" s="511"/>
      <c r="V69" s="519"/>
      <c r="W69" s="519"/>
      <c r="X69" s="511"/>
      <c r="Y69" s="511"/>
      <c r="Z69" s="511"/>
      <c r="AA69" s="511"/>
      <c r="AB69" s="511"/>
      <c r="AC69" s="511"/>
      <c r="AD69" s="511"/>
      <c r="AE69" s="511"/>
      <c r="AF69" s="511"/>
      <c r="AG69" s="511"/>
      <c r="AH69" s="511"/>
      <c r="AI69" s="511"/>
      <c r="AJ69" s="511"/>
      <c r="AK69" s="511"/>
      <c r="AL69" s="511"/>
      <c r="AM69" s="511"/>
      <c r="AN69" s="511"/>
      <c r="AO69" s="511"/>
      <c r="AP69" s="511"/>
      <c r="AQ69" s="511"/>
      <c r="AR69" s="511"/>
      <c r="AS69" s="511"/>
      <c r="AT69" s="511"/>
      <c r="AU69" s="511"/>
      <c r="AV69" s="517"/>
      <c r="AW69" s="517"/>
      <c r="AX69" s="517"/>
      <c r="AY69" s="517"/>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row>
    <row r="70" spans="15:76" x14ac:dyDescent="0.25">
      <c r="O70" s="511"/>
      <c r="P70" s="511"/>
      <c r="Q70" s="511"/>
      <c r="R70" s="511"/>
      <c r="S70" s="511"/>
      <c r="T70" s="511"/>
      <c r="U70" s="511"/>
      <c r="V70" s="519"/>
      <c r="W70" s="519"/>
      <c r="X70" s="511"/>
      <c r="Y70" s="511"/>
      <c r="Z70" s="511"/>
      <c r="AA70" s="511"/>
      <c r="AB70" s="511"/>
      <c r="AC70" s="511"/>
      <c r="AD70" s="511"/>
      <c r="AE70" s="511"/>
      <c r="AF70" s="511"/>
      <c r="AG70" s="511"/>
      <c r="AH70" s="511"/>
      <c r="AI70" s="511"/>
      <c r="AJ70" s="511"/>
      <c r="AK70" s="511"/>
      <c r="AL70" s="511"/>
      <c r="AM70" s="511"/>
      <c r="AN70" s="511"/>
      <c r="AO70" s="511"/>
      <c r="AP70" s="511"/>
      <c r="AQ70" s="511"/>
      <c r="AR70" s="511"/>
      <c r="AS70" s="511"/>
      <c r="AT70" s="511"/>
      <c r="AU70" s="511"/>
      <c r="AV70" s="517"/>
      <c r="AW70" s="517"/>
      <c r="AX70" s="517"/>
      <c r="AY70" s="517"/>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row>
    <row r="71" spans="15:76" x14ac:dyDescent="0.25">
      <c r="O71" s="511"/>
      <c r="P71" s="511"/>
      <c r="Q71" s="511"/>
      <c r="R71" s="511"/>
      <c r="S71" s="511"/>
      <c r="T71" s="511"/>
      <c r="U71" s="511"/>
      <c r="V71" s="519"/>
      <c r="W71" s="519"/>
      <c r="X71" s="511"/>
      <c r="Y71" s="511"/>
      <c r="Z71" s="511"/>
      <c r="AA71" s="511"/>
      <c r="AB71" s="511"/>
      <c r="AC71" s="511"/>
      <c r="AD71" s="511"/>
      <c r="AE71" s="511"/>
      <c r="AF71" s="511"/>
      <c r="AG71" s="511"/>
      <c r="AH71" s="511"/>
      <c r="AI71" s="511"/>
      <c r="AJ71" s="511"/>
      <c r="AK71" s="511"/>
      <c r="AL71" s="511"/>
      <c r="AM71" s="511"/>
      <c r="AN71" s="511"/>
      <c r="AO71" s="511"/>
      <c r="AP71" s="511"/>
      <c r="AQ71" s="511"/>
      <c r="AR71" s="511"/>
      <c r="AS71" s="511"/>
      <c r="AT71" s="511"/>
      <c r="AU71" s="511"/>
      <c r="AV71" s="517"/>
      <c r="AW71" s="517"/>
      <c r="AX71" s="517"/>
      <c r="AY71" s="517"/>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row>
    <row r="72" spans="15:76" x14ac:dyDescent="0.25">
      <c r="O72" s="511"/>
      <c r="P72" s="511"/>
      <c r="Q72" s="511"/>
      <c r="R72" s="511"/>
      <c r="S72" s="511"/>
      <c r="T72" s="511"/>
      <c r="U72" s="511"/>
      <c r="V72" s="519"/>
      <c r="W72" s="519"/>
      <c r="X72" s="511"/>
      <c r="Y72" s="511"/>
      <c r="Z72" s="511"/>
      <c r="AA72" s="511"/>
      <c r="AB72" s="511"/>
      <c r="AC72" s="511"/>
      <c r="AD72" s="511"/>
      <c r="AE72" s="511"/>
      <c r="AF72" s="511"/>
      <c r="AG72" s="511"/>
      <c r="AH72" s="511"/>
      <c r="AI72" s="511"/>
      <c r="AJ72" s="511"/>
      <c r="AK72" s="511"/>
      <c r="AL72" s="511"/>
      <c r="AM72" s="511"/>
      <c r="AN72" s="511"/>
      <c r="AO72" s="511"/>
      <c r="AP72" s="511"/>
      <c r="AQ72" s="511"/>
      <c r="AR72" s="511"/>
      <c r="AS72" s="511"/>
      <c r="AT72" s="511"/>
      <c r="AU72" s="511"/>
      <c r="AV72" s="517"/>
      <c r="AW72" s="517"/>
      <c r="AX72" s="517"/>
      <c r="AY72" s="517"/>
      <c r="AZ72" s="508"/>
      <c r="BA72" s="508"/>
      <c r="BB72" s="508"/>
      <c r="BC72" s="508"/>
      <c r="BD72" s="508"/>
      <c r="BE72" s="508"/>
      <c r="BF72" s="508"/>
      <c r="BG72" s="508"/>
      <c r="BH72" s="508"/>
      <c r="BI72" s="508"/>
      <c r="BJ72" s="508"/>
      <c r="BK72" s="508"/>
      <c r="BL72" s="508"/>
      <c r="BM72" s="508"/>
      <c r="BN72" s="508"/>
      <c r="BO72" s="508"/>
      <c r="BP72" s="508"/>
      <c r="BQ72" s="508"/>
      <c r="BR72" s="508"/>
      <c r="BS72" s="508"/>
      <c r="BT72" s="508"/>
      <c r="BU72" s="508"/>
      <c r="BV72" s="508"/>
      <c r="BW72" s="508"/>
      <c r="BX72" s="508"/>
    </row>
    <row r="73" spans="15:76" x14ac:dyDescent="0.25">
      <c r="O73" s="511"/>
      <c r="P73" s="511"/>
      <c r="Q73" s="511"/>
      <c r="R73" s="511"/>
      <c r="S73" s="511"/>
      <c r="T73" s="511"/>
      <c r="U73" s="511"/>
      <c r="V73" s="519"/>
      <c r="W73" s="519"/>
      <c r="X73" s="511"/>
      <c r="Y73" s="511"/>
      <c r="Z73" s="511"/>
      <c r="AA73" s="511"/>
      <c r="AB73" s="511"/>
      <c r="AC73" s="511"/>
      <c r="AD73" s="511"/>
      <c r="AE73" s="511"/>
      <c r="AF73" s="511"/>
      <c r="AG73" s="511"/>
      <c r="AH73" s="511"/>
      <c r="AI73" s="511"/>
      <c r="AJ73" s="511"/>
      <c r="AK73" s="511"/>
      <c r="AL73" s="511"/>
      <c r="AM73" s="511"/>
      <c r="AN73" s="511"/>
      <c r="AO73" s="511"/>
      <c r="AP73" s="511"/>
      <c r="AQ73" s="511"/>
      <c r="AR73" s="511"/>
      <c r="AS73" s="511"/>
      <c r="AT73" s="511"/>
      <c r="AU73" s="511"/>
      <c r="AV73" s="517"/>
      <c r="AW73" s="517"/>
      <c r="AX73" s="517"/>
      <c r="AY73" s="517"/>
      <c r="AZ73" s="508"/>
      <c r="BA73" s="508"/>
      <c r="BB73" s="508"/>
      <c r="BC73" s="508"/>
      <c r="BD73" s="508"/>
      <c r="BE73" s="508"/>
      <c r="BF73" s="508"/>
      <c r="BG73" s="508"/>
      <c r="BH73" s="508"/>
      <c r="BI73" s="508"/>
      <c r="BJ73" s="508"/>
      <c r="BK73" s="508"/>
      <c r="BL73" s="508"/>
      <c r="BM73" s="508"/>
      <c r="BN73" s="508"/>
      <c r="BO73" s="508"/>
      <c r="BP73" s="508"/>
      <c r="BQ73" s="508"/>
      <c r="BR73" s="508"/>
      <c r="BS73" s="508"/>
      <c r="BT73" s="508"/>
      <c r="BU73" s="508"/>
      <c r="BV73" s="508"/>
      <c r="BW73" s="508"/>
      <c r="BX73" s="508"/>
    </row>
    <row r="74" spans="15:76" x14ac:dyDescent="0.25">
      <c r="O74" s="511"/>
      <c r="P74" s="511"/>
      <c r="Q74" s="511"/>
      <c r="R74" s="511"/>
      <c r="S74" s="511"/>
      <c r="T74" s="511"/>
      <c r="U74" s="511"/>
      <c r="V74" s="519"/>
      <c r="W74" s="519"/>
      <c r="X74" s="511"/>
      <c r="Y74" s="511"/>
      <c r="Z74" s="511"/>
      <c r="AA74" s="511"/>
      <c r="AB74" s="511"/>
      <c r="AC74" s="511"/>
      <c r="AD74" s="511"/>
      <c r="AE74" s="511"/>
      <c r="AF74" s="511"/>
      <c r="AG74" s="511"/>
      <c r="AH74" s="511"/>
      <c r="AI74" s="511"/>
      <c r="AJ74" s="511"/>
      <c r="AK74" s="511"/>
      <c r="AL74" s="511"/>
      <c r="AM74" s="511"/>
      <c r="AN74" s="511"/>
      <c r="AO74" s="511"/>
      <c r="AP74" s="511"/>
      <c r="AQ74" s="511"/>
      <c r="AR74" s="511"/>
      <c r="AS74" s="511"/>
      <c r="AT74" s="511"/>
      <c r="AU74" s="511"/>
      <c r="AV74" s="517"/>
      <c r="AW74" s="517"/>
      <c r="AX74" s="517"/>
      <c r="AY74" s="517"/>
      <c r="AZ74" s="508"/>
      <c r="BA74" s="508"/>
      <c r="BB74" s="508"/>
      <c r="BC74" s="508"/>
      <c r="BD74" s="508"/>
      <c r="BE74" s="508"/>
      <c r="BF74" s="508"/>
      <c r="BG74" s="508"/>
      <c r="BH74" s="508"/>
      <c r="BI74" s="508"/>
      <c r="BJ74" s="508"/>
      <c r="BK74" s="508"/>
      <c r="BL74" s="508"/>
      <c r="BM74" s="508"/>
      <c r="BN74" s="508"/>
      <c r="BO74" s="508"/>
      <c r="BP74" s="508"/>
      <c r="BQ74" s="508"/>
      <c r="BR74" s="508"/>
      <c r="BS74" s="508"/>
      <c r="BT74" s="508"/>
      <c r="BU74" s="508"/>
      <c r="BV74" s="508"/>
      <c r="BW74" s="508"/>
      <c r="BX74" s="508"/>
    </row>
    <row r="75" spans="15:76" x14ac:dyDescent="0.25">
      <c r="O75" s="511"/>
      <c r="P75" s="511"/>
      <c r="Q75" s="511"/>
      <c r="R75" s="511"/>
      <c r="S75" s="511"/>
      <c r="T75" s="511"/>
      <c r="U75" s="511"/>
      <c r="V75" s="519"/>
      <c r="W75" s="519"/>
      <c r="X75" s="511"/>
      <c r="Y75" s="511"/>
      <c r="Z75" s="511"/>
      <c r="AA75" s="511"/>
      <c r="AB75" s="511"/>
      <c r="AC75" s="511"/>
      <c r="AD75" s="511"/>
      <c r="AE75" s="511"/>
      <c r="AF75" s="511"/>
      <c r="AG75" s="511"/>
      <c r="AH75" s="511"/>
      <c r="AI75" s="511"/>
      <c r="AJ75" s="511"/>
      <c r="AK75" s="511"/>
      <c r="AL75" s="511"/>
      <c r="AM75" s="511"/>
      <c r="AN75" s="511"/>
      <c r="AO75" s="511"/>
      <c r="AP75" s="511"/>
      <c r="AQ75" s="511"/>
      <c r="AR75" s="511"/>
      <c r="AS75" s="511"/>
      <c r="AT75" s="511"/>
      <c r="AU75" s="511"/>
      <c r="AV75" s="517"/>
      <c r="AW75" s="517"/>
      <c r="AX75" s="517"/>
      <c r="AY75" s="517"/>
      <c r="AZ75" s="508"/>
      <c r="BA75" s="508"/>
      <c r="BB75" s="508"/>
      <c r="BC75" s="508"/>
      <c r="BD75" s="508"/>
      <c r="BE75" s="508"/>
      <c r="BF75" s="508"/>
      <c r="BG75" s="508"/>
      <c r="BH75" s="508"/>
      <c r="BI75" s="508"/>
      <c r="BJ75" s="508"/>
      <c r="BK75" s="508"/>
      <c r="BL75" s="508"/>
      <c r="BM75" s="508"/>
      <c r="BN75" s="508"/>
      <c r="BO75" s="508"/>
      <c r="BP75" s="508"/>
      <c r="BQ75" s="508"/>
      <c r="BR75" s="508"/>
      <c r="BS75" s="508"/>
      <c r="BT75" s="508"/>
      <c r="BU75" s="508"/>
      <c r="BV75" s="508"/>
      <c r="BW75" s="508"/>
      <c r="BX75" s="508"/>
    </row>
    <row r="76" spans="15:76" x14ac:dyDescent="0.25">
      <c r="O76" s="511"/>
      <c r="P76" s="511"/>
      <c r="Q76" s="511"/>
      <c r="R76" s="511"/>
      <c r="S76" s="511"/>
      <c r="T76" s="511"/>
      <c r="U76" s="511"/>
      <c r="V76" s="519"/>
      <c r="W76" s="519"/>
      <c r="X76" s="511"/>
      <c r="Y76" s="511"/>
      <c r="Z76" s="511"/>
      <c r="AA76" s="511"/>
      <c r="AB76" s="511"/>
      <c r="AC76" s="511"/>
      <c r="AD76" s="511"/>
      <c r="AE76" s="511"/>
      <c r="AF76" s="511"/>
      <c r="AG76" s="511"/>
      <c r="AH76" s="511"/>
      <c r="AI76" s="511"/>
      <c r="AJ76" s="511"/>
      <c r="AK76" s="511"/>
      <c r="AL76" s="511"/>
      <c r="AM76" s="511"/>
      <c r="AN76" s="511"/>
      <c r="AO76" s="511"/>
      <c r="AP76" s="511"/>
      <c r="AQ76" s="511"/>
      <c r="AR76" s="511"/>
      <c r="AS76" s="511"/>
      <c r="AT76" s="511"/>
      <c r="AU76" s="511"/>
      <c r="AV76" s="517"/>
      <c r="AW76" s="517"/>
      <c r="AX76" s="517"/>
      <c r="AY76" s="517"/>
      <c r="AZ76" s="508"/>
      <c r="BA76" s="508"/>
      <c r="BB76" s="508"/>
      <c r="BC76" s="508"/>
      <c r="BD76" s="508"/>
      <c r="BE76" s="508"/>
      <c r="BF76" s="508"/>
      <c r="BG76" s="508"/>
      <c r="BH76" s="508"/>
      <c r="BI76" s="508"/>
      <c r="BJ76" s="508"/>
      <c r="BK76" s="508"/>
      <c r="BL76" s="508"/>
      <c r="BM76" s="508"/>
      <c r="BN76" s="508"/>
      <c r="BO76" s="508"/>
      <c r="BP76" s="508"/>
      <c r="BQ76" s="508"/>
      <c r="BR76" s="508"/>
      <c r="BS76" s="508"/>
      <c r="BT76" s="508"/>
      <c r="BU76" s="508"/>
      <c r="BV76" s="508"/>
      <c r="BW76" s="508"/>
      <c r="BX76" s="508"/>
    </row>
    <row r="77" spans="15:76" x14ac:dyDescent="0.25">
      <c r="O77" s="511"/>
      <c r="P77" s="511"/>
      <c r="Q77" s="511"/>
      <c r="R77" s="511"/>
      <c r="S77" s="511"/>
      <c r="T77" s="511"/>
      <c r="U77" s="511"/>
      <c r="V77" s="519"/>
      <c r="W77" s="519"/>
      <c r="X77" s="511"/>
      <c r="Y77" s="511"/>
      <c r="Z77" s="511"/>
      <c r="AA77" s="511"/>
      <c r="AB77" s="511"/>
      <c r="AC77" s="511"/>
      <c r="AD77" s="511"/>
      <c r="AE77" s="511"/>
      <c r="AF77" s="511"/>
      <c r="AG77" s="511"/>
      <c r="AH77" s="511"/>
      <c r="AI77" s="511"/>
      <c r="AJ77" s="511"/>
      <c r="AK77" s="511"/>
      <c r="AL77" s="511"/>
      <c r="AM77" s="511"/>
      <c r="AN77" s="511"/>
      <c r="AO77" s="511"/>
      <c r="AP77" s="511"/>
      <c r="AQ77" s="511"/>
      <c r="AR77" s="511"/>
      <c r="AS77" s="511"/>
      <c r="AT77" s="511"/>
      <c r="AU77" s="511"/>
      <c r="AV77" s="517"/>
      <c r="AW77" s="517"/>
      <c r="AX77" s="517"/>
      <c r="AY77" s="517"/>
      <c r="AZ77" s="508"/>
      <c r="BA77" s="508"/>
      <c r="BB77" s="508"/>
      <c r="BC77" s="508"/>
      <c r="BD77" s="508"/>
      <c r="BE77" s="508"/>
      <c r="BF77" s="508"/>
      <c r="BG77" s="508"/>
      <c r="BH77" s="508"/>
      <c r="BI77" s="508"/>
      <c r="BJ77" s="508"/>
      <c r="BK77" s="508"/>
      <c r="BL77" s="508"/>
      <c r="BM77" s="508"/>
      <c r="BN77" s="508"/>
      <c r="BO77" s="508"/>
      <c r="BP77" s="508"/>
      <c r="BQ77" s="508"/>
      <c r="BR77" s="508"/>
      <c r="BS77" s="508"/>
      <c r="BT77" s="508"/>
      <c r="BU77" s="508"/>
      <c r="BV77" s="508"/>
      <c r="BW77" s="508"/>
      <c r="BX77" s="508"/>
    </row>
    <row r="78" spans="15:76" x14ac:dyDescent="0.25">
      <c r="O78" s="511"/>
      <c r="P78" s="511"/>
      <c r="Q78" s="511"/>
      <c r="R78" s="511"/>
      <c r="S78" s="511"/>
      <c r="T78" s="511"/>
      <c r="U78" s="511"/>
      <c r="V78" s="519"/>
      <c r="W78" s="519"/>
      <c r="X78" s="511"/>
      <c r="Y78" s="511"/>
      <c r="Z78" s="511"/>
      <c r="AA78" s="511"/>
      <c r="AB78" s="511"/>
      <c r="AC78" s="511"/>
      <c r="AD78" s="511"/>
      <c r="AE78" s="511"/>
      <c r="AF78" s="511"/>
      <c r="AG78" s="511"/>
      <c r="AH78" s="511"/>
      <c r="AI78" s="511"/>
      <c r="AJ78" s="511"/>
      <c r="AK78" s="511"/>
      <c r="AL78" s="511"/>
      <c r="AM78" s="511"/>
      <c r="AN78" s="511"/>
      <c r="AO78" s="511"/>
      <c r="AP78" s="511"/>
      <c r="AQ78" s="511"/>
      <c r="AR78" s="511"/>
      <c r="AS78" s="511"/>
      <c r="AT78" s="511"/>
      <c r="AU78" s="511"/>
      <c r="AV78" s="517"/>
      <c r="AW78" s="517"/>
      <c r="AX78" s="517"/>
      <c r="AY78" s="517"/>
      <c r="AZ78" s="508"/>
      <c r="BA78" s="508"/>
      <c r="BB78" s="508"/>
      <c r="BC78" s="508"/>
      <c r="BD78" s="508"/>
      <c r="BE78" s="508"/>
      <c r="BF78" s="508"/>
      <c r="BG78" s="508"/>
      <c r="BH78" s="508"/>
      <c r="BI78" s="508"/>
      <c r="BJ78" s="508"/>
      <c r="BK78" s="508"/>
      <c r="BL78" s="508"/>
      <c r="BM78" s="508"/>
      <c r="BN78" s="508"/>
      <c r="BO78" s="508"/>
      <c r="BP78" s="508"/>
      <c r="BQ78" s="508"/>
      <c r="BR78" s="508"/>
      <c r="BS78" s="508"/>
      <c r="BT78" s="508"/>
      <c r="BU78" s="508"/>
      <c r="BV78" s="508"/>
      <c r="BW78" s="508"/>
      <c r="BX78" s="508"/>
    </row>
    <row r="79" spans="15:76" x14ac:dyDescent="0.25">
      <c r="O79" s="511"/>
      <c r="P79" s="511"/>
      <c r="Q79" s="511"/>
      <c r="R79" s="511"/>
      <c r="S79" s="511"/>
      <c r="T79" s="511"/>
      <c r="U79" s="511"/>
      <c r="V79" s="519"/>
      <c r="W79" s="519"/>
      <c r="X79" s="511"/>
      <c r="Y79" s="511"/>
      <c r="Z79" s="511"/>
      <c r="AA79" s="511"/>
      <c r="AB79" s="511"/>
      <c r="AC79" s="511"/>
      <c r="AD79" s="511"/>
      <c r="AE79" s="511"/>
      <c r="AF79" s="511"/>
      <c r="AG79" s="511"/>
      <c r="AH79" s="511"/>
      <c r="AI79" s="511"/>
      <c r="AJ79" s="511"/>
      <c r="AK79" s="511"/>
      <c r="AL79" s="511"/>
      <c r="AM79" s="511"/>
      <c r="AN79" s="511"/>
      <c r="AO79" s="511"/>
      <c r="AP79" s="511"/>
      <c r="AQ79" s="511"/>
      <c r="AR79" s="511"/>
      <c r="AS79" s="511"/>
      <c r="AT79" s="511"/>
      <c r="AU79" s="511"/>
      <c r="AV79" s="517"/>
      <c r="AW79" s="517"/>
      <c r="AX79" s="517"/>
      <c r="AY79" s="517"/>
      <c r="AZ79" s="508"/>
      <c r="BA79" s="508"/>
      <c r="BB79" s="508"/>
      <c r="BC79" s="508"/>
      <c r="BD79" s="508"/>
      <c r="BE79" s="508"/>
      <c r="BF79" s="508"/>
      <c r="BG79" s="508"/>
      <c r="BH79" s="508"/>
      <c r="BI79" s="508"/>
      <c r="BJ79" s="508"/>
      <c r="BK79" s="508"/>
      <c r="BL79" s="508"/>
      <c r="BM79" s="508"/>
      <c r="BN79" s="508"/>
      <c r="BO79" s="508"/>
      <c r="BP79" s="508"/>
      <c r="BQ79" s="508"/>
      <c r="BR79" s="508"/>
      <c r="BS79" s="508"/>
      <c r="BT79" s="508"/>
      <c r="BU79" s="508"/>
      <c r="BV79" s="508"/>
      <c r="BW79" s="508"/>
      <c r="BX79" s="508"/>
    </row>
    <row r="80" spans="15:76" x14ac:dyDescent="0.25">
      <c r="O80" s="511"/>
      <c r="P80" s="511"/>
      <c r="Q80" s="511"/>
      <c r="R80" s="511"/>
      <c r="S80" s="511"/>
      <c r="T80" s="511"/>
      <c r="U80" s="511"/>
      <c r="V80" s="519"/>
      <c r="W80" s="519"/>
      <c r="X80" s="511"/>
      <c r="Y80" s="511"/>
      <c r="Z80" s="511"/>
      <c r="AA80" s="511"/>
      <c r="AB80" s="511"/>
      <c r="AC80" s="511"/>
      <c r="AD80" s="511"/>
      <c r="AE80" s="511"/>
      <c r="AF80" s="511"/>
      <c r="AG80" s="511"/>
      <c r="AH80" s="511"/>
      <c r="AI80" s="511"/>
      <c r="AJ80" s="511"/>
      <c r="AK80" s="511"/>
      <c r="AL80" s="511"/>
      <c r="AM80" s="511"/>
      <c r="AN80" s="511"/>
      <c r="AO80" s="511"/>
      <c r="AP80" s="511"/>
      <c r="AQ80" s="511"/>
      <c r="AR80" s="511"/>
      <c r="AS80" s="511"/>
      <c r="AT80" s="511"/>
      <c r="AU80" s="511"/>
      <c r="AV80" s="517"/>
      <c r="AW80" s="517"/>
      <c r="AX80" s="517"/>
      <c r="AY80" s="517"/>
      <c r="AZ80" s="508"/>
      <c r="BA80" s="508"/>
      <c r="BB80" s="508"/>
      <c r="BC80" s="508"/>
      <c r="BD80" s="508"/>
      <c r="BE80" s="508"/>
      <c r="BF80" s="508"/>
      <c r="BG80" s="508"/>
      <c r="BH80" s="508"/>
      <c r="BI80" s="508"/>
      <c r="BJ80" s="508"/>
      <c r="BK80" s="508"/>
      <c r="BL80" s="508"/>
      <c r="BM80" s="508"/>
      <c r="BN80" s="508"/>
      <c r="BO80" s="508"/>
      <c r="BP80" s="508"/>
      <c r="BQ80" s="508"/>
      <c r="BR80" s="508"/>
      <c r="BS80" s="508"/>
      <c r="BT80" s="508"/>
      <c r="BU80" s="508"/>
      <c r="BV80" s="508"/>
      <c r="BW80" s="508"/>
      <c r="BX80" s="508"/>
    </row>
    <row r="81" spans="15:76" x14ac:dyDescent="0.25">
      <c r="O81" s="511"/>
      <c r="P81" s="511"/>
      <c r="Q81" s="511"/>
      <c r="R81" s="511"/>
      <c r="S81" s="511"/>
      <c r="T81" s="511"/>
      <c r="U81" s="511"/>
      <c r="V81" s="519"/>
      <c r="W81" s="519"/>
      <c r="X81" s="511"/>
      <c r="Y81" s="511"/>
      <c r="Z81" s="511"/>
      <c r="AA81" s="511"/>
      <c r="AB81" s="511"/>
      <c r="AC81" s="511"/>
      <c r="AD81" s="511"/>
      <c r="AE81" s="511"/>
      <c r="AF81" s="511"/>
      <c r="AG81" s="511"/>
      <c r="AH81" s="511"/>
      <c r="AI81" s="511"/>
      <c r="AJ81" s="511"/>
      <c r="AK81" s="511"/>
      <c r="AL81" s="511"/>
      <c r="AM81" s="511"/>
      <c r="AN81" s="511"/>
      <c r="AO81" s="511"/>
      <c r="AP81" s="511"/>
      <c r="AQ81" s="511"/>
      <c r="AR81" s="511"/>
      <c r="AS81" s="511"/>
      <c r="AT81" s="511"/>
      <c r="AU81" s="511"/>
      <c r="AV81" s="517"/>
      <c r="AW81" s="517"/>
      <c r="AX81" s="517"/>
      <c r="AY81" s="517"/>
      <c r="AZ81" s="508"/>
      <c r="BA81" s="508"/>
      <c r="BB81" s="508"/>
      <c r="BC81" s="508"/>
      <c r="BD81" s="508"/>
      <c r="BE81" s="508"/>
      <c r="BF81" s="508"/>
      <c r="BG81" s="508"/>
      <c r="BH81" s="508"/>
      <c r="BI81" s="508"/>
      <c r="BJ81" s="508"/>
      <c r="BK81" s="508"/>
      <c r="BL81" s="508"/>
      <c r="BM81" s="508"/>
      <c r="BN81" s="508"/>
      <c r="BO81" s="508"/>
      <c r="BP81" s="508"/>
      <c r="BQ81" s="508"/>
      <c r="BR81" s="508"/>
      <c r="BS81" s="508"/>
      <c r="BT81" s="508"/>
      <c r="BU81" s="508"/>
      <c r="BV81" s="508"/>
      <c r="BW81" s="508"/>
      <c r="BX81" s="508"/>
    </row>
    <row r="82" spans="15:76" x14ac:dyDescent="0.25">
      <c r="O82" s="511"/>
      <c r="P82" s="511"/>
      <c r="Q82" s="511"/>
      <c r="R82" s="511"/>
      <c r="S82" s="511"/>
      <c r="T82" s="511"/>
      <c r="U82" s="511"/>
      <c r="V82" s="519"/>
      <c r="W82" s="519"/>
      <c r="X82" s="511"/>
      <c r="Y82" s="511"/>
      <c r="Z82" s="511"/>
      <c r="AA82" s="511"/>
      <c r="AB82" s="511"/>
      <c r="AC82" s="511"/>
      <c r="AD82" s="511"/>
      <c r="AE82" s="511"/>
      <c r="AF82" s="511"/>
      <c r="AG82" s="511"/>
      <c r="AH82" s="511"/>
      <c r="AI82" s="511"/>
      <c r="AJ82" s="511"/>
      <c r="AK82" s="511"/>
      <c r="AL82" s="511"/>
      <c r="AM82" s="511"/>
      <c r="AN82" s="511"/>
      <c r="AO82" s="511"/>
      <c r="AP82" s="511"/>
      <c r="AQ82" s="511"/>
      <c r="AR82" s="511"/>
      <c r="AS82" s="511"/>
      <c r="AT82" s="511"/>
      <c r="AU82" s="511"/>
      <c r="AV82" s="517"/>
      <c r="AW82" s="517"/>
      <c r="AX82" s="517"/>
      <c r="AY82" s="517"/>
      <c r="AZ82" s="508"/>
      <c r="BA82" s="508"/>
      <c r="BB82" s="508"/>
      <c r="BC82" s="508"/>
      <c r="BD82" s="508"/>
      <c r="BE82" s="508"/>
      <c r="BF82" s="508"/>
      <c r="BG82" s="508"/>
      <c r="BH82" s="508"/>
      <c r="BI82" s="508"/>
      <c r="BJ82" s="508"/>
      <c r="BK82" s="508"/>
      <c r="BL82" s="508"/>
      <c r="BM82" s="508"/>
      <c r="BN82" s="508"/>
      <c r="BO82" s="508"/>
      <c r="BP82" s="508"/>
      <c r="BQ82" s="508"/>
      <c r="BR82" s="508"/>
      <c r="BS82" s="508"/>
      <c r="BT82" s="508"/>
      <c r="BU82" s="508"/>
      <c r="BV82" s="508"/>
      <c r="BW82" s="508"/>
      <c r="BX82" s="508"/>
    </row>
    <row r="83" spans="15:76" x14ac:dyDescent="0.25">
      <c r="O83" s="511"/>
      <c r="P83" s="511"/>
      <c r="Q83" s="511"/>
      <c r="R83" s="511"/>
      <c r="S83" s="511"/>
      <c r="T83" s="511"/>
      <c r="U83" s="511"/>
      <c r="V83" s="519"/>
      <c r="W83" s="519"/>
      <c r="X83" s="511"/>
      <c r="Y83" s="511"/>
      <c r="Z83" s="511"/>
      <c r="AA83" s="511"/>
      <c r="AB83" s="511"/>
      <c r="AC83" s="511"/>
      <c r="AD83" s="511"/>
      <c r="AE83" s="511"/>
      <c r="AF83" s="511"/>
      <c r="AG83" s="511"/>
      <c r="AH83" s="511"/>
      <c r="AI83" s="511"/>
      <c r="AJ83" s="511"/>
      <c r="AK83" s="511"/>
      <c r="AL83" s="511"/>
      <c r="AM83" s="511"/>
      <c r="AN83" s="511"/>
      <c r="AO83" s="511"/>
      <c r="AP83" s="511"/>
      <c r="AQ83" s="511"/>
      <c r="AR83" s="511"/>
      <c r="AS83" s="511"/>
      <c r="AT83" s="511"/>
      <c r="AU83" s="511"/>
      <c r="AV83" s="517"/>
      <c r="AW83" s="517"/>
      <c r="AX83" s="517"/>
      <c r="AY83" s="517"/>
      <c r="AZ83" s="508"/>
      <c r="BA83" s="508"/>
      <c r="BB83" s="508"/>
      <c r="BC83" s="508"/>
      <c r="BD83" s="508"/>
      <c r="BE83" s="508"/>
      <c r="BF83" s="508"/>
      <c r="BG83" s="508"/>
      <c r="BH83" s="508"/>
      <c r="BI83" s="508"/>
      <c r="BJ83" s="508"/>
      <c r="BK83" s="508"/>
      <c r="BL83" s="508"/>
      <c r="BM83" s="508"/>
      <c r="BN83" s="508"/>
      <c r="BO83" s="508"/>
      <c r="BP83" s="508"/>
      <c r="BQ83" s="508"/>
      <c r="BR83" s="508"/>
      <c r="BS83" s="508"/>
      <c r="BT83" s="508"/>
      <c r="BU83" s="508"/>
      <c r="BV83" s="508"/>
      <c r="BW83" s="508"/>
      <c r="BX83" s="508"/>
    </row>
    <row r="84" spans="15:76" x14ac:dyDescent="0.25">
      <c r="O84" s="511"/>
      <c r="P84" s="511"/>
      <c r="Q84" s="511"/>
      <c r="R84" s="511"/>
      <c r="S84" s="511"/>
      <c r="T84" s="511"/>
      <c r="U84" s="511"/>
      <c r="V84" s="519"/>
      <c r="W84" s="519"/>
      <c r="X84" s="511"/>
      <c r="Y84" s="511"/>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1"/>
      <c r="AV84" s="517"/>
      <c r="AW84" s="517"/>
      <c r="AX84" s="517"/>
      <c r="AY84" s="517"/>
      <c r="AZ84" s="508"/>
      <c r="BA84" s="508"/>
      <c r="BB84" s="508"/>
      <c r="BC84" s="508"/>
      <c r="BD84" s="508"/>
      <c r="BE84" s="508"/>
      <c r="BF84" s="508"/>
      <c r="BG84" s="508"/>
      <c r="BH84" s="508"/>
      <c r="BI84" s="508"/>
      <c r="BJ84" s="508"/>
      <c r="BK84" s="508"/>
      <c r="BL84" s="508"/>
      <c r="BM84" s="508"/>
      <c r="BN84" s="508"/>
      <c r="BO84" s="508"/>
      <c r="BP84" s="508"/>
      <c r="BQ84" s="508"/>
      <c r="BR84" s="508"/>
      <c r="BS84" s="508"/>
      <c r="BT84" s="508"/>
      <c r="BU84" s="508"/>
      <c r="BV84" s="508"/>
      <c r="BW84" s="508"/>
      <c r="BX84" s="508"/>
    </row>
  </sheetData>
  <sheetProtection sheet="1" objects="1" scenarios="1"/>
  <mergeCells count="6">
    <mergeCell ref="Q3:Y3"/>
    <mergeCell ref="K11:O11"/>
    <mergeCell ref="K23:N24"/>
    <mergeCell ref="K6:W6"/>
    <mergeCell ref="L36:N38"/>
    <mergeCell ref="S8:V8"/>
  </mergeCells>
  <dataValidations count="1">
    <dataValidation type="list" allowBlank="1" showInputMessage="1" showErrorMessage="1" sqref="K25:K48" xr:uid="{00000000-0002-0000-1900-000000000000}">
      <formula1>$G$13:$G$41</formula1>
    </dataValidation>
  </dataValidations>
  <hyperlinks>
    <hyperlink ref="M8:Q8" location="religione!A1" display="(per cambiare qualifica torna al foglio principale)" xr:uid="{00000000-0004-0000-1900-000000000000}"/>
    <hyperlink ref="L36:N38" location="'decreto ab'!A1" display="VEDI IL DECRETO DI ATTRIBUZIONE AUMENTI BIENNALI" xr:uid="{00000000-0004-0000-1900-000001000000}"/>
    <hyperlink ref="S8:V8" location="religione!A1" display="TORNA AL FOGLIO PRINCIPALE" xr:uid="{00000000-0004-0000-1900-000002000000}"/>
    <hyperlink ref="Q3:Y3" location="istruzionireligione!A1" display="VEDI ISTRUZIONI PER RICOSTRUZIONI E AUMENTI BIENNALI" xr:uid="{00000000-0004-0000-1900-000003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8:BG154"/>
  <sheetViews>
    <sheetView topLeftCell="A106" zoomScale="90" zoomScaleNormal="90" workbookViewId="0">
      <selection activeCell="H87" sqref="H87"/>
    </sheetView>
  </sheetViews>
  <sheetFormatPr defaultRowHeight="15" x14ac:dyDescent="0.25"/>
  <cols>
    <col min="4" max="4" width="12.85546875" customWidth="1"/>
    <col min="6" max="6" width="17.85546875" customWidth="1"/>
    <col min="8" max="8" width="12" customWidth="1"/>
    <col min="10" max="11" width="11.7109375" bestFit="1" customWidth="1"/>
    <col min="14" max="14" width="11.7109375" bestFit="1" customWidth="1"/>
    <col min="15" max="15" width="13.28515625" customWidth="1"/>
    <col min="16" max="16" width="11.7109375" bestFit="1" customWidth="1"/>
    <col min="18" max="18" width="11.7109375" bestFit="1" customWidth="1"/>
    <col min="20" max="20" width="11.5703125" bestFit="1" customWidth="1"/>
    <col min="24" max="24" width="11.5703125" bestFit="1" customWidth="1"/>
    <col min="32" max="32" width="11.5703125" bestFit="1" customWidth="1"/>
    <col min="35" max="35" width="14" customWidth="1"/>
    <col min="37" max="37" width="9.7109375" bestFit="1" customWidth="1"/>
    <col min="39" max="39" width="15.7109375" customWidth="1"/>
    <col min="41" max="41" width="11.7109375" bestFit="1" customWidth="1"/>
    <col min="42" max="42" width="12.7109375" customWidth="1"/>
    <col min="43" max="43" width="11.5703125" bestFit="1" customWidth="1"/>
    <col min="44" max="44" width="11.7109375" bestFit="1" customWidth="1"/>
    <col min="45" max="45" width="11.5703125" bestFit="1" customWidth="1"/>
    <col min="46" max="46" width="13.28515625" customWidth="1"/>
    <col min="47" max="47" width="16" customWidth="1"/>
    <col min="49" max="49" width="12.85546875" customWidth="1"/>
    <col min="51" max="51" width="11.5703125" bestFit="1" customWidth="1"/>
    <col min="57" max="57" width="14.28515625" customWidth="1"/>
  </cols>
  <sheetData>
    <row r="8" spans="2:42" x14ac:dyDescent="0.25">
      <c r="D8" s="112">
        <v>40422</v>
      </c>
      <c r="AI8" s="112">
        <v>40422</v>
      </c>
    </row>
    <row r="9" spans="2:42" x14ac:dyDescent="0.25">
      <c r="G9" t="s">
        <v>93</v>
      </c>
      <c r="H9" s="270">
        <f>fronttibis!F29</f>
        <v>45536</v>
      </c>
      <c r="AL9" t="s">
        <v>93</v>
      </c>
      <c r="AM9" s="270">
        <f>fronttibis!F29</f>
        <v>45536</v>
      </c>
    </row>
    <row r="10" spans="2:42" x14ac:dyDescent="0.25">
      <c r="B10">
        <v>0</v>
      </c>
      <c r="C10">
        <v>0</v>
      </c>
      <c r="D10">
        <f>IF($H$9&gt;=$D$8,C10,B10)</f>
        <v>0</v>
      </c>
      <c r="H10" s="112">
        <f>IF(YEAR(H9)=D33,DATE(D33+1,1,1),H9)</f>
        <v>45536</v>
      </c>
      <c r="AG10">
        <v>0</v>
      </c>
      <c r="AH10">
        <v>0</v>
      </c>
      <c r="AI10">
        <f>IF($H$9&gt;=$D$8,AH10,AG10)</f>
        <v>0</v>
      </c>
      <c r="AM10" s="112">
        <f>IF(YEAR(AM9)=AI33,DATE(AI33+1,1,1),AM9)</f>
        <v>45536</v>
      </c>
    </row>
    <row r="11" spans="2:42" x14ac:dyDescent="0.25">
      <c r="B11">
        <v>3</v>
      </c>
      <c r="C11">
        <v>9</v>
      </c>
      <c r="D11">
        <f t="shared" ref="D11:D15" si="0">IF($H$9&gt;=$D$8,C11,B11)</f>
        <v>9</v>
      </c>
      <c r="AG11">
        <v>3</v>
      </c>
      <c r="AH11">
        <v>9</v>
      </c>
      <c r="AI11">
        <f t="shared" ref="AI11:AI15" si="1">IF($H$9&gt;=$D$8,AH11,AG11)</f>
        <v>9</v>
      </c>
    </row>
    <row r="12" spans="2:42" x14ac:dyDescent="0.25">
      <c r="B12">
        <v>9</v>
      </c>
      <c r="C12">
        <v>15</v>
      </c>
      <c r="D12">
        <f t="shared" si="0"/>
        <v>15</v>
      </c>
      <c r="I12" t="s">
        <v>108</v>
      </c>
      <c r="J12" t="s">
        <v>109</v>
      </c>
      <c r="K12" t="s">
        <v>107</v>
      </c>
      <c r="AG12">
        <v>9</v>
      </c>
      <c r="AH12">
        <v>15</v>
      </c>
      <c r="AI12">
        <f t="shared" si="1"/>
        <v>15</v>
      </c>
      <c r="AN12" t="s">
        <v>108</v>
      </c>
      <c r="AO12" t="s">
        <v>109</v>
      </c>
      <c r="AP12" t="s">
        <v>107</v>
      </c>
    </row>
    <row r="13" spans="2:42" x14ac:dyDescent="0.25">
      <c r="B13">
        <v>15</v>
      </c>
      <c r="C13">
        <v>21</v>
      </c>
      <c r="D13">
        <f t="shared" si="0"/>
        <v>21</v>
      </c>
      <c r="H13" t="s">
        <v>342</v>
      </c>
      <c r="I13" s="246">
        <f>fronttibis!G38</f>
        <v>4</v>
      </c>
      <c r="J13" s="246">
        <f>fronttibis!H38</f>
        <v>8</v>
      </c>
      <c r="K13" s="246">
        <f>fronttibis!I38</f>
        <v>0</v>
      </c>
      <c r="AG13">
        <v>15</v>
      </c>
      <c r="AH13">
        <v>21</v>
      </c>
      <c r="AI13">
        <f t="shared" si="1"/>
        <v>21</v>
      </c>
      <c r="AM13" t="s">
        <v>342</v>
      </c>
      <c r="AN13" s="246">
        <f>fronttibis!I32</f>
        <v>10</v>
      </c>
      <c r="AO13" s="246">
        <f>fronttibis!J32</f>
        <v>0</v>
      </c>
      <c r="AP13" s="246">
        <f>fronttibis!K32</f>
        <v>0</v>
      </c>
    </row>
    <row r="14" spans="2:42" x14ac:dyDescent="0.25">
      <c r="B14">
        <v>21</v>
      </c>
      <c r="C14">
        <v>28</v>
      </c>
      <c r="D14">
        <f t="shared" si="0"/>
        <v>28</v>
      </c>
      <c r="H14" t="s">
        <v>459</v>
      </c>
      <c r="I14" s="246">
        <f>fronttibis!G39</f>
        <v>0</v>
      </c>
      <c r="J14" s="246">
        <f>fronttibis!H39</f>
        <v>4</v>
      </c>
      <c r="K14" s="246">
        <f>fronttibis!I39</f>
        <v>0</v>
      </c>
      <c r="AG14">
        <v>21</v>
      </c>
      <c r="AH14">
        <v>28</v>
      </c>
      <c r="AI14">
        <f t="shared" si="1"/>
        <v>28</v>
      </c>
      <c r="AM14" t="s">
        <v>459</v>
      </c>
      <c r="AN14" s="246">
        <f>fronttibis!AL39</f>
        <v>0</v>
      </c>
      <c r="AO14" s="246">
        <f>fronttibis!AM39</f>
        <v>0</v>
      </c>
      <c r="AP14" s="246">
        <f>fronttibis!AN39</f>
        <v>0</v>
      </c>
    </row>
    <row r="15" spans="2:42" x14ac:dyDescent="0.25">
      <c r="B15">
        <v>28</v>
      </c>
      <c r="C15">
        <v>34</v>
      </c>
      <c r="D15">
        <f t="shared" si="0"/>
        <v>34</v>
      </c>
      <c r="I15" t="s">
        <v>65</v>
      </c>
      <c r="AG15">
        <v>28</v>
      </c>
      <c r="AH15">
        <v>34</v>
      </c>
      <c r="AI15">
        <f t="shared" si="1"/>
        <v>34</v>
      </c>
      <c r="AN15" t="s">
        <v>65</v>
      </c>
    </row>
    <row r="16" spans="2:42" x14ac:dyDescent="0.25">
      <c r="B16">
        <v>34</v>
      </c>
      <c r="D16" t="str">
        <f>IF($H$9&gt;=$D$8,"",B16)</f>
        <v/>
      </c>
      <c r="AG16">
        <v>34</v>
      </c>
      <c r="AI16" t="str">
        <f>IF($H$9&gt;=$D$8,"",AG16)</f>
        <v/>
      </c>
    </row>
    <row r="18" spans="2:55" x14ac:dyDescent="0.25">
      <c r="G18" t="s">
        <v>329</v>
      </c>
      <c r="H18" s="246">
        <f>tiGiuEc1!K11</f>
        <v>16</v>
      </c>
      <c r="AL18" t="s">
        <v>329</v>
      </c>
      <c r="AM18" s="246">
        <f>tiGiuEc1!K11</f>
        <v>16</v>
      </c>
    </row>
    <row r="19" spans="2:55" ht="15.75" thickBot="1" x14ac:dyDescent="0.3"/>
    <row r="20" spans="2:55" x14ac:dyDescent="0.25">
      <c r="F20" s="429" t="s">
        <v>464</v>
      </c>
      <c r="G20" s="430"/>
      <c r="H20" s="430"/>
      <c r="I20" s="431"/>
      <c r="AK20" s="429" t="s">
        <v>464</v>
      </c>
      <c r="AL20" s="430"/>
      <c r="AM20" s="430"/>
      <c r="AN20" s="431"/>
    </row>
    <row r="21" spans="2:55" x14ac:dyDescent="0.25">
      <c r="F21" s="253"/>
      <c r="I21" s="254"/>
      <c r="L21" t="s">
        <v>460</v>
      </c>
      <c r="M21" t="s">
        <v>461</v>
      </c>
      <c r="N21" t="s">
        <v>462</v>
      </c>
      <c r="AK21" s="253"/>
      <c r="AN21" s="254"/>
      <c r="AQ21" t="s">
        <v>460</v>
      </c>
      <c r="AR21" t="s">
        <v>461</v>
      </c>
      <c r="AS21" t="s">
        <v>462</v>
      </c>
    </row>
    <row r="22" spans="2:55" x14ac:dyDescent="0.25">
      <c r="B22">
        <f t="shared" ref="B22:B27" si="2">D10</f>
        <v>0</v>
      </c>
      <c r="C22">
        <f t="shared" ref="C22:C27" si="3">D11</f>
        <v>9</v>
      </c>
      <c r="F22" s="253"/>
      <c r="G22">
        <f>VLOOKUP(I13,$D$10:$D$16,1)</f>
        <v>0</v>
      </c>
      <c r="H22" s="112">
        <f>H10</f>
        <v>45536</v>
      </c>
      <c r="I22" s="254"/>
      <c r="R22">
        <v>0</v>
      </c>
      <c r="S22">
        <v>0</v>
      </c>
      <c r="T22">
        <v>0</v>
      </c>
      <c r="U22">
        <v>0</v>
      </c>
      <c r="X22">
        <v>22</v>
      </c>
      <c r="AG22">
        <f t="shared" ref="AG22:AG27" si="4">AI10</f>
        <v>0</v>
      </c>
      <c r="AH22">
        <f t="shared" ref="AH22:AH27" si="5">AI11</f>
        <v>9</v>
      </c>
      <c r="AK22" s="253"/>
      <c r="AL22">
        <f>VLOOKUP(AN13,$D$10:$D$16,1)</f>
        <v>9</v>
      </c>
      <c r="AM22" s="112">
        <f>AM10</f>
        <v>45536</v>
      </c>
      <c r="AN22" s="254"/>
      <c r="AW22">
        <v>0</v>
      </c>
      <c r="AX22">
        <v>0</v>
      </c>
      <c r="AY22">
        <v>0</v>
      </c>
      <c r="AZ22">
        <v>0</v>
      </c>
      <c r="BC22">
        <v>22</v>
      </c>
    </row>
    <row r="23" spans="2:55" x14ac:dyDescent="0.25">
      <c r="B23">
        <f t="shared" si="2"/>
        <v>9</v>
      </c>
      <c r="C23">
        <f t="shared" si="3"/>
        <v>15</v>
      </c>
      <c r="F23" s="253">
        <f>IF(AND(YEAR(H23)&gt;=$D$33,YEAR(H22)&lt;$D$33),1,0)</f>
        <v>0</v>
      </c>
      <c r="G23">
        <f>VLOOKUP(G22,$B$22:$C$27,2)</f>
        <v>9</v>
      </c>
      <c r="H23" s="112">
        <f>O23+1</f>
        <v>47119</v>
      </c>
      <c r="I23" s="254"/>
      <c r="L23">
        <f>S23-I13</f>
        <v>4</v>
      </c>
      <c r="M23">
        <f>T23-J13</f>
        <v>3</v>
      </c>
      <c r="N23">
        <f>U23-K13</f>
        <v>30</v>
      </c>
      <c r="O23" s="112">
        <f>DATE(YEAR(H22)+L23,MONTH(H22)+M23,DAY(H22)+N23)</f>
        <v>47118</v>
      </c>
      <c r="R23">
        <f>G23</f>
        <v>9</v>
      </c>
      <c r="S23">
        <f>R23-1</f>
        <v>8</v>
      </c>
      <c r="T23">
        <v>11</v>
      </c>
      <c r="U23">
        <v>30</v>
      </c>
      <c r="X23">
        <v>23</v>
      </c>
      <c r="AG23">
        <f t="shared" si="4"/>
        <v>9</v>
      </c>
      <c r="AH23">
        <f t="shared" si="5"/>
        <v>15</v>
      </c>
      <c r="AK23" s="253">
        <f>IF(AND(YEAR(AM23)&gt;=$AI$33,YEAR(AM22)&lt;$AI$33),1,0)</f>
        <v>0</v>
      </c>
      <c r="AL23">
        <f>VLOOKUP(AL22,$B$22:$C$27,2)</f>
        <v>15</v>
      </c>
      <c r="AM23" s="112">
        <f>AT23+1</f>
        <v>47362</v>
      </c>
      <c r="AN23" s="254"/>
      <c r="AQ23">
        <f>AX23-AN13</f>
        <v>4</v>
      </c>
      <c r="AR23">
        <f>AY23-AO13</f>
        <v>11</v>
      </c>
      <c r="AS23">
        <f>AZ23-AP13</f>
        <v>30</v>
      </c>
      <c r="AT23" s="112">
        <f>DATE(YEAR(AM22)+AQ23,MONTH(AM22)+AR23,DAY(AM22)+AS23)</f>
        <v>47361</v>
      </c>
      <c r="AW23">
        <f>AL23</f>
        <v>15</v>
      </c>
      <c r="AX23">
        <f>AW23-1</f>
        <v>14</v>
      </c>
      <c r="AY23">
        <v>11</v>
      </c>
      <c r="AZ23">
        <v>30</v>
      </c>
      <c r="BC23">
        <v>23</v>
      </c>
    </row>
    <row r="24" spans="2:55" x14ac:dyDescent="0.25">
      <c r="B24">
        <f t="shared" si="2"/>
        <v>15</v>
      </c>
      <c r="C24">
        <f t="shared" si="3"/>
        <v>21</v>
      </c>
      <c r="F24" s="253">
        <f>IF(AND(YEAR(H24)&gt;=$D$33,YEAR(H22)&lt;$D$33),1,0)</f>
        <v>0</v>
      </c>
      <c r="G24">
        <f t="shared" ref="G24:G28" si="6">VLOOKUP(G23,$B$22:$C$27,2)</f>
        <v>15</v>
      </c>
      <c r="H24" s="112">
        <f t="shared" ref="H24:H28" si="7">O24+1</f>
        <v>49310</v>
      </c>
      <c r="I24" s="254"/>
      <c r="L24">
        <f>S24-$I$13</f>
        <v>10</v>
      </c>
      <c r="M24">
        <f>T24-$J$13</f>
        <v>3</v>
      </c>
      <c r="N24">
        <f>U24-$K$13</f>
        <v>30</v>
      </c>
      <c r="O24" s="112">
        <f>DATE(YEAR($H$22)+L24,MONTH($H$22)+M24,DAY($H$22)+N24)</f>
        <v>49309</v>
      </c>
      <c r="R24">
        <f t="shared" ref="R24:R29" si="8">G24</f>
        <v>15</v>
      </c>
      <c r="S24">
        <f t="shared" ref="S24:S29" si="9">R24-1</f>
        <v>14</v>
      </c>
      <c r="T24">
        <v>11</v>
      </c>
      <c r="U24">
        <v>30</v>
      </c>
      <c r="X24">
        <v>24</v>
      </c>
      <c r="AG24">
        <f t="shared" si="4"/>
        <v>15</v>
      </c>
      <c r="AH24">
        <f t="shared" si="5"/>
        <v>21</v>
      </c>
      <c r="AK24" s="253">
        <f>IF(AND(YEAR(AM24)&gt;=$AI$33,YEAR(AM22)&lt;$AI$33),1,0)</f>
        <v>0</v>
      </c>
      <c r="AL24">
        <f t="shared" ref="AL24:AL28" si="10">VLOOKUP(AL23,$B$22:$C$27,2)</f>
        <v>21</v>
      </c>
      <c r="AM24" s="112">
        <f t="shared" ref="AM24:AM28" si="11">AT24+1</f>
        <v>49553</v>
      </c>
      <c r="AN24" s="254"/>
      <c r="AQ24">
        <f>AX24-$AN$13</f>
        <v>10</v>
      </c>
      <c r="AR24">
        <f>AY24-$AO$13</f>
        <v>11</v>
      </c>
      <c r="AS24">
        <f>AZ24-$AP$13</f>
        <v>30</v>
      </c>
      <c r="AT24" s="112">
        <f>DATE(YEAR($AM$22)+AQ24,MONTH($AM$22)+AR24,DAY($AM$22)+AS24)</f>
        <v>49552</v>
      </c>
      <c r="AW24">
        <f t="shared" ref="AW24:AW29" si="12">AL24</f>
        <v>21</v>
      </c>
      <c r="AX24">
        <f t="shared" ref="AX24:AX29" si="13">AW24-1</f>
        <v>20</v>
      </c>
      <c r="AY24">
        <v>11</v>
      </c>
      <c r="AZ24">
        <v>30</v>
      </c>
      <c r="BC24">
        <v>24</v>
      </c>
    </row>
    <row r="25" spans="2:55" x14ac:dyDescent="0.25">
      <c r="B25">
        <f t="shared" si="2"/>
        <v>21</v>
      </c>
      <c r="C25">
        <f t="shared" si="3"/>
        <v>28</v>
      </c>
      <c r="F25" s="253">
        <f>IF(AND(YEAR(H25)&gt;=$D$33,YEAR(H22)&lt;$D$33),1,0)</f>
        <v>0</v>
      </c>
      <c r="G25">
        <f t="shared" si="6"/>
        <v>21</v>
      </c>
      <c r="H25" s="112">
        <f t="shared" si="7"/>
        <v>51502</v>
      </c>
      <c r="I25" s="254"/>
      <c r="L25">
        <f t="shared" ref="L25:L28" si="14">S25-$I$13</f>
        <v>16</v>
      </c>
      <c r="M25">
        <f t="shared" ref="M25:M28" si="15">T25-$J$13</f>
        <v>3</v>
      </c>
      <c r="N25">
        <f t="shared" ref="N25:N28" si="16">U25-$K$13</f>
        <v>30</v>
      </c>
      <c r="O25" s="112">
        <f t="shared" ref="O25:O28" si="17">DATE(YEAR($H$22)+L25,MONTH($H$22)+M25,DAY($H$22)+N25)</f>
        <v>51501</v>
      </c>
      <c r="R25">
        <f t="shared" si="8"/>
        <v>21</v>
      </c>
      <c r="S25">
        <f t="shared" si="9"/>
        <v>20</v>
      </c>
      <c r="T25">
        <v>11</v>
      </c>
      <c r="U25">
        <v>30</v>
      </c>
      <c r="X25">
        <v>25</v>
      </c>
      <c r="AG25">
        <f t="shared" si="4"/>
        <v>21</v>
      </c>
      <c r="AH25">
        <f t="shared" si="5"/>
        <v>28</v>
      </c>
      <c r="AK25" s="253">
        <f>IF(AND(YEAR(AM25)&gt;=$AI$33,YEAR(AM22)&lt;$AI$33),1,0)</f>
        <v>0</v>
      </c>
      <c r="AL25">
        <f t="shared" si="10"/>
        <v>28</v>
      </c>
      <c r="AM25" s="112">
        <f t="shared" si="11"/>
        <v>52110</v>
      </c>
      <c r="AN25" s="254"/>
      <c r="AQ25">
        <f>AX25-$AN$13</f>
        <v>17</v>
      </c>
      <c r="AR25">
        <f>AY25-$AO$13</f>
        <v>11</v>
      </c>
      <c r="AS25">
        <f>AZ25-$AP$13</f>
        <v>30</v>
      </c>
      <c r="AT25" s="112">
        <f>DATE(YEAR($AM$22)+AQ25,MONTH($AM$22)+AR25,DAY($AM$22)+AS25)</f>
        <v>52109</v>
      </c>
      <c r="AW25">
        <f t="shared" si="12"/>
        <v>28</v>
      </c>
      <c r="AX25">
        <f t="shared" si="13"/>
        <v>27</v>
      </c>
      <c r="AY25">
        <v>11</v>
      </c>
      <c r="AZ25">
        <v>30</v>
      </c>
      <c r="BC25">
        <v>25</v>
      </c>
    </row>
    <row r="26" spans="2:55" x14ac:dyDescent="0.25">
      <c r="B26">
        <f t="shared" si="2"/>
        <v>28</v>
      </c>
      <c r="C26">
        <f t="shared" si="3"/>
        <v>34</v>
      </c>
      <c r="F26" s="253">
        <f>IF(AND(YEAR(H26)&gt;=$D$33,YEAR(H22)&lt;$D$33),1,0)</f>
        <v>0</v>
      </c>
      <c r="G26">
        <f t="shared" si="6"/>
        <v>28</v>
      </c>
      <c r="H26" s="112">
        <f t="shared" si="7"/>
        <v>54058</v>
      </c>
      <c r="I26" s="254"/>
      <c r="L26">
        <f t="shared" si="14"/>
        <v>23</v>
      </c>
      <c r="M26">
        <f t="shared" si="15"/>
        <v>3</v>
      </c>
      <c r="N26">
        <f t="shared" si="16"/>
        <v>30</v>
      </c>
      <c r="O26" s="112">
        <f t="shared" si="17"/>
        <v>54057</v>
      </c>
      <c r="R26">
        <f t="shared" si="8"/>
        <v>28</v>
      </c>
      <c r="S26">
        <f t="shared" si="9"/>
        <v>27</v>
      </c>
      <c r="T26">
        <v>11</v>
      </c>
      <c r="U26">
        <v>30</v>
      </c>
      <c r="X26">
        <v>26</v>
      </c>
      <c r="AG26">
        <f t="shared" si="4"/>
        <v>28</v>
      </c>
      <c r="AH26">
        <f t="shared" si="5"/>
        <v>34</v>
      </c>
      <c r="AK26" s="253">
        <f>IF(AND(YEAR(AM26)&gt;=$AI$33,YEAR(AM22)&lt;$AI$33),1,0)</f>
        <v>0</v>
      </c>
      <c r="AL26">
        <f t="shared" si="10"/>
        <v>34</v>
      </c>
      <c r="AM26" s="112">
        <f t="shared" si="11"/>
        <v>54302</v>
      </c>
      <c r="AN26" s="254"/>
      <c r="AQ26">
        <f>AX26-$AN$13</f>
        <v>23</v>
      </c>
      <c r="AR26">
        <f>AY26-$AO$13</f>
        <v>11</v>
      </c>
      <c r="AS26">
        <f>AZ26-$AP$13</f>
        <v>30</v>
      </c>
      <c r="AT26" s="112">
        <f>DATE(YEAR($AM$22)+AQ26,MONTH($AM$22)+AR26,DAY($AM$22)+AS26)</f>
        <v>54301</v>
      </c>
      <c r="AW26">
        <f t="shared" si="12"/>
        <v>34</v>
      </c>
      <c r="AX26">
        <f t="shared" si="13"/>
        <v>33</v>
      </c>
      <c r="AY26">
        <v>11</v>
      </c>
      <c r="AZ26">
        <v>30</v>
      </c>
      <c r="BC26">
        <v>26</v>
      </c>
    </row>
    <row r="27" spans="2:55" x14ac:dyDescent="0.25">
      <c r="B27">
        <f t="shared" si="2"/>
        <v>34</v>
      </c>
      <c r="C27" t="str">
        <f t="shared" si="3"/>
        <v/>
      </c>
      <c r="F27" s="253">
        <f>IF(AND(YEAR(H27)&gt;=$D$33,YEAR(H22)&lt;$D$33),1,0)</f>
        <v>0</v>
      </c>
      <c r="G27">
        <f t="shared" si="6"/>
        <v>34</v>
      </c>
      <c r="H27" s="112">
        <f t="shared" si="7"/>
        <v>56250</v>
      </c>
      <c r="I27" s="254"/>
      <c r="L27">
        <f t="shared" si="14"/>
        <v>29</v>
      </c>
      <c r="M27">
        <f t="shared" si="15"/>
        <v>3</v>
      </c>
      <c r="N27">
        <f t="shared" si="16"/>
        <v>30</v>
      </c>
      <c r="O27" s="112">
        <f t="shared" si="17"/>
        <v>56249</v>
      </c>
      <c r="R27">
        <f t="shared" si="8"/>
        <v>34</v>
      </c>
      <c r="S27">
        <f t="shared" si="9"/>
        <v>33</v>
      </c>
      <c r="T27">
        <v>11</v>
      </c>
      <c r="U27">
        <v>30</v>
      </c>
      <c r="X27">
        <v>27</v>
      </c>
      <c r="AG27">
        <f t="shared" si="4"/>
        <v>34</v>
      </c>
      <c r="AH27" t="str">
        <f t="shared" si="5"/>
        <v/>
      </c>
      <c r="AK27" s="253" t="e">
        <f>IF(AND(YEAR(AM27)&gt;=$AI$33,YEAR(AM22)&lt;$AI$33),1,0)</f>
        <v>#VALUE!</v>
      </c>
      <c r="AL27" t="str">
        <f t="shared" si="10"/>
        <v/>
      </c>
      <c r="AM27" s="112" t="e">
        <f t="shared" si="11"/>
        <v>#VALUE!</v>
      </c>
      <c r="AN27" s="254"/>
      <c r="AQ27" t="e">
        <f>AX27-$AN$13</f>
        <v>#VALUE!</v>
      </c>
      <c r="AR27">
        <f>AY27-$AO$13</f>
        <v>11</v>
      </c>
      <c r="AS27">
        <f>AZ27-$AP$13</f>
        <v>30</v>
      </c>
      <c r="AT27" s="112" t="e">
        <f>DATE(YEAR($AM$22)+AQ27,MONTH($AM$22)+AR27,DAY($AM$22)+AS27)</f>
        <v>#VALUE!</v>
      </c>
      <c r="AW27" t="str">
        <f t="shared" si="12"/>
        <v/>
      </c>
      <c r="AX27" t="e">
        <f t="shared" si="13"/>
        <v>#VALUE!</v>
      </c>
      <c r="AY27">
        <v>11</v>
      </c>
      <c r="AZ27">
        <v>30</v>
      </c>
      <c r="BC27">
        <v>27</v>
      </c>
    </row>
    <row r="28" spans="2:55" x14ac:dyDescent="0.25">
      <c r="F28" s="253" t="e">
        <f>IF(AND(YEAR(H28)&gt;=$D$33,YEAR(H22)&lt;$D$33),1,0)</f>
        <v>#VALUE!</v>
      </c>
      <c r="G28" t="str">
        <f t="shared" si="6"/>
        <v/>
      </c>
      <c r="H28" s="112" t="e">
        <f t="shared" si="7"/>
        <v>#VALUE!</v>
      </c>
      <c r="I28" s="254"/>
      <c r="L28" t="e">
        <f t="shared" si="14"/>
        <v>#VALUE!</v>
      </c>
      <c r="M28">
        <f t="shared" si="15"/>
        <v>3</v>
      </c>
      <c r="N28">
        <f t="shared" si="16"/>
        <v>30</v>
      </c>
      <c r="O28" s="112" t="e">
        <f t="shared" si="17"/>
        <v>#VALUE!</v>
      </c>
      <c r="R28" t="str">
        <f t="shared" si="8"/>
        <v/>
      </c>
      <c r="S28" t="e">
        <f t="shared" si="9"/>
        <v>#VALUE!</v>
      </c>
      <c r="T28">
        <v>11</v>
      </c>
      <c r="U28">
        <v>30</v>
      </c>
      <c r="X28">
        <v>28</v>
      </c>
      <c r="AK28" s="253" t="e">
        <f>IF(AND(YEAR(AM28)&gt;=$AI$33,YEAR(AM22)&lt;$AI$33),1,0)</f>
        <v>#N/A</v>
      </c>
      <c r="AL28" t="e">
        <f t="shared" si="10"/>
        <v>#N/A</v>
      </c>
      <c r="AM28" s="112" t="e">
        <f t="shared" si="11"/>
        <v>#N/A</v>
      </c>
      <c r="AN28" s="254"/>
      <c r="AQ28" t="e">
        <f>AX28-$AN$13</f>
        <v>#N/A</v>
      </c>
      <c r="AR28">
        <f>AY28-$AO$13</f>
        <v>11</v>
      </c>
      <c r="AS28">
        <f>AZ28-$AP$13</f>
        <v>30</v>
      </c>
      <c r="AT28" s="112" t="e">
        <f>DATE(YEAR($AM$22)+AQ28,MONTH($AM$22)+AR28,DAY($AM$22)+AS28)</f>
        <v>#N/A</v>
      </c>
      <c r="AW28" t="e">
        <f t="shared" si="12"/>
        <v>#N/A</v>
      </c>
      <c r="AX28" t="e">
        <f t="shared" si="13"/>
        <v>#N/A</v>
      </c>
      <c r="AY28">
        <v>11</v>
      </c>
      <c r="AZ28">
        <v>30</v>
      </c>
      <c r="BC28">
        <v>28</v>
      </c>
    </row>
    <row r="29" spans="2:55" x14ac:dyDescent="0.25">
      <c r="F29" s="253"/>
      <c r="I29" s="254"/>
      <c r="R29">
        <f t="shared" si="8"/>
        <v>0</v>
      </c>
      <c r="S29">
        <f t="shared" si="9"/>
        <v>-1</v>
      </c>
      <c r="T29">
        <v>11</v>
      </c>
      <c r="U29">
        <v>30</v>
      </c>
      <c r="X29">
        <v>29</v>
      </c>
      <c r="AK29" s="253"/>
      <c r="AN29" s="254"/>
      <c r="AW29">
        <f t="shared" si="12"/>
        <v>0</v>
      </c>
      <c r="AX29">
        <f t="shared" si="13"/>
        <v>-1</v>
      </c>
      <c r="AY29">
        <v>11</v>
      </c>
      <c r="AZ29">
        <v>30</v>
      </c>
      <c r="BC29">
        <v>29</v>
      </c>
    </row>
    <row r="30" spans="2:55" ht="15.75" thickBot="1" x14ac:dyDescent="0.3">
      <c r="F30" s="255"/>
      <c r="G30" s="257"/>
      <c r="H30" s="257"/>
      <c r="I30" s="258"/>
      <c r="X30">
        <v>30</v>
      </c>
      <c r="AK30" s="255"/>
      <c r="AL30" s="257"/>
      <c r="AM30" s="257"/>
      <c r="AN30" s="258"/>
      <c r="BC30">
        <v>30</v>
      </c>
    </row>
    <row r="31" spans="2:55" x14ac:dyDescent="0.25">
      <c r="F31" s="250" t="s">
        <v>463</v>
      </c>
      <c r="G31" s="251"/>
      <c r="H31" s="251"/>
      <c r="I31" s="252"/>
      <c r="AK31" s="250" t="s">
        <v>463</v>
      </c>
      <c r="AL31" s="251"/>
      <c r="AM31" s="251"/>
      <c r="AN31" s="252"/>
    </row>
    <row r="32" spans="2:55" x14ac:dyDescent="0.25">
      <c r="F32" s="253"/>
      <c r="I32" s="254"/>
      <c r="AK32" s="253"/>
      <c r="AN32" s="254"/>
    </row>
    <row r="33" spans="4:47" x14ac:dyDescent="0.25">
      <c r="D33">
        <f>IF(E33="SI",2013,2050)</f>
        <v>2013</v>
      </c>
      <c r="E33" t="s">
        <v>390</v>
      </c>
      <c r="F33" s="253">
        <v>1</v>
      </c>
      <c r="G33">
        <f>G22</f>
        <v>0</v>
      </c>
      <c r="H33" s="112">
        <f>IF(YEAR(H22)=D33,DATE(2014,1,1),H22)</f>
        <v>45536</v>
      </c>
      <c r="I33" s="254"/>
      <c r="AI33">
        <f>IF(AJ33="SI",2013,2050)</f>
        <v>2013</v>
      </c>
      <c r="AJ33" t="str">
        <f>fronttibis!L20</f>
        <v>SI</v>
      </c>
      <c r="AK33" s="253">
        <v>1</v>
      </c>
      <c r="AL33">
        <f>AL22</f>
        <v>9</v>
      </c>
      <c r="AM33" s="112">
        <f>IF(YEAR(AM22)=AI33,DATE(2014,1,1),AM22)</f>
        <v>45536</v>
      </c>
      <c r="AN33" s="254"/>
    </row>
    <row r="34" spans="4:47" x14ac:dyDescent="0.25">
      <c r="E34" t="s">
        <v>65</v>
      </c>
      <c r="F34" s="253">
        <f>IF(TYPE(F23)=16,0,F23)</f>
        <v>0</v>
      </c>
      <c r="G34">
        <f>G23</f>
        <v>9</v>
      </c>
      <c r="H34" s="112">
        <f>DATE(YEAR(H23)+F23,MONTH(H23),DAY(H23))</f>
        <v>47119</v>
      </c>
      <c r="I34" s="254"/>
      <c r="AJ34" t="s">
        <v>65</v>
      </c>
      <c r="AK34" s="253">
        <f>IF(TYPE(AK23)=16,0,AK23)</f>
        <v>0</v>
      </c>
      <c r="AL34">
        <f>AL23</f>
        <v>15</v>
      </c>
      <c r="AM34" s="112">
        <f>DATE(YEAR(AM23)+AK23,MONTH(AM23),DAY(AM23))</f>
        <v>47362</v>
      </c>
      <c r="AN34" s="254"/>
    </row>
    <row r="35" spans="4:47" x14ac:dyDescent="0.25">
      <c r="F35" s="253">
        <f t="shared" ref="F35:F39" si="18">IF(TYPE(F24)=16,0,F24)</f>
        <v>0</v>
      </c>
      <c r="G35">
        <f t="shared" ref="G35:G39" si="19">G24</f>
        <v>15</v>
      </c>
      <c r="H35" s="112">
        <f t="shared" ref="H35:H39" si="20">DATE(YEAR(H24)+F24,MONTH(H24),DAY(H24))</f>
        <v>49310</v>
      </c>
      <c r="I35" s="254"/>
      <c r="P35" s="112">
        <v>40422</v>
      </c>
      <c r="Q35">
        <v>9</v>
      </c>
      <c r="AK35" s="253">
        <f t="shared" ref="AK35:AK39" si="21">IF(TYPE(AK24)=16,0,AK24)</f>
        <v>0</v>
      </c>
      <c r="AL35">
        <f t="shared" ref="AL35:AL39" si="22">AL24</f>
        <v>21</v>
      </c>
      <c r="AM35" s="112">
        <f t="shared" ref="AM35:AM39" si="23">DATE(YEAR(AM24)+AK24,MONTH(AM24),DAY(AM24))</f>
        <v>49553</v>
      </c>
      <c r="AN35" s="254"/>
      <c r="AU35" s="112"/>
    </row>
    <row r="36" spans="4:47" x14ac:dyDescent="0.25">
      <c r="F36" s="253">
        <f t="shared" si="18"/>
        <v>0</v>
      </c>
      <c r="G36">
        <f t="shared" si="19"/>
        <v>21</v>
      </c>
      <c r="H36" s="112">
        <f t="shared" si="20"/>
        <v>51502</v>
      </c>
      <c r="I36" s="254"/>
      <c r="P36" s="112">
        <v>40787</v>
      </c>
      <c r="Q36">
        <v>10</v>
      </c>
      <c r="AK36" s="253">
        <f t="shared" si="21"/>
        <v>0</v>
      </c>
      <c r="AL36">
        <f t="shared" si="22"/>
        <v>28</v>
      </c>
      <c r="AM36" s="112">
        <f t="shared" si="23"/>
        <v>52110</v>
      </c>
      <c r="AN36" s="254"/>
      <c r="AU36" s="112"/>
    </row>
    <row r="37" spans="4:47" x14ac:dyDescent="0.25">
      <c r="F37" s="253">
        <f t="shared" si="18"/>
        <v>0</v>
      </c>
      <c r="G37">
        <f>IF(G26="","",G26)</f>
        <v>28</v>
      </c>
      <c r="H37" s="112">
        <f t="shared" si="20"/>
        <v>54058</v>
      </c>
      <c r="I37" s="254"/>
      <c r="P37" s="112">
        <v>41153</v>
      </c>
      <c r="Q37">
        <v>11</v>
      </c>
      <c r="AK37" s="253">
        <f t="shared" si="21"/>
        <v>0</v>
      </c>
      <c r="AL37">
        <f>IF(AL26="","",AL26)</f>
        <v>34</v>
      </c>
      <c r="AM37" s="112">
        <f t="shared" si="23"/>
        <v>54302</v>
      </c>
      <c r="AN37" s="254"/>
      <c r="AU37" s="112"/>
    </row>
    <row r="38" spans="4:47" x14ac:dyDescent="0.25">
      <c r="F38" s="253">
        <f t="shared" si="18"/>
        <v>0</v>
      </c>
      <c r="G38">
        <f t="shared" si="19"/>
        <v>34</v>
      </c>
      <c r="H38" s="112">
        <f t="shared" si="20"/>
        <v>56250</v>
      </c>
      <c r="I38" s="254"/>
      <c r="P38" s="112">
        <v>41518</v>
      </c>
      <c r="Q38">
        <v>11</v>
      </c>
      <c r="AK38" s="253">
        <f t="shared" si="21"/>
        <v>0</v>
      </c>
      <c r="AL38" t="str">
        <f t="shared" si="22"/>
        <v/>
      </c>
      <c r="AM38" s="112" t="e">
        <f t="shared" si="23"/>
        <v>#VALUE!</v>
      </c>
      <c r="AN38" s="254"/>
      <c r="AU38" s="112"/>
    </row>
    <row r="39" spans="4:47" x14ac:dyDescent="0.25">
      <c r="F39" s="253">
        <f t="shared" si="18"/>
        <v>0</v>
      </c>
      <c r="G39" t="str">
        <f t="shared" si="19"/>
        <v/>
      </c>
      <c r="H39" s="112" t="e">
        <f t="shared" si="20"/>
        <v>#VALUE!</v>
      </c>
      <c r="I39" s="254"/>
      <c r="P39" s="112">
        <v>41883</v>
      </c>
      <c r="Q39">
        <v>12</v>
      </c>
      <c r="AK39" s="253">
        <f t="shared" si="21"/>
        <v>0</v>
      </c>
      <c r="AL39" t="e">
        <f t="shared" si="22"/>
        <v>#N/A</v>
      </c>
      <c r="AM39" s="112" t="e">
        <f t="shared" si="23"/>
        <v>#N/A</v>
      </c>
      <c r="AN39" s="254"/>
      <c r="AU39" s="112"/>
    </row>
    <row r="40" spans="4:47" ht="15.75" thickBot="1" x14ac:dyDescent="0.3">
      <c r="F40" s="255"/>
      <c r="G40" s="257"/>
      <c r="H40" s="257"/>
      <c r="I40" s="258"/>
      <c r="P40" s="112">
        <v>42979</v>
      </c>
      <c r="Q40">
        <v>15</v>
      </c>
      <c r="AK40" s="255"/>
      <c r="AL40" s="257"/>
      <c r="AM40" s="257"/>
      <c r="AN40" s="258"/>
      <c r="AU40" s="112"/>
    </row>
    <row r="41" spans="4:47" ht="15.75" thickBot="1" x14ac:dyDescent="0.3">
      <c r="F41" s="250" t="s">
        <v>465</v>
      </c>
      <c r="G41" s="251">
        <f>G33</f>
        <v>0</v>
      </c>
      <c r="H41" s="326">
        <f t="shared" ref="H41" si="24">H33</f>
        <v>45536</v>
      </c>
      <c r="I41" s="252"/>
      <c r="P41" s="112">
        <v>43344</v>
      </c>
      <c r="Q41">
        <v>18</v>
      </c>
      <c r="AK41" s="250" t="s">
        <v>465</v>
      </c>
      <c r="AL41" s="251">
        <f>AL33</f>
        <v>9</v>
      </c>
      <c r="AM41" s="326">
        <f t="shared" ref="AM41" si="25">AM33</f>
        <v>45536</v>
      </c>
      <c r="AN41" s="252"/>
      <c r="AU41" s="112"/>
    </row>
    <row r="42" spans="4:47" ht="15.75" thickBot="1" x14ac:dyDescent="0.3">
      <c r="F42" s="253"/>
      <c r="G42" s="251">
        <f t="shared" ref="G42:G46" si="26">IF(H42="","",G34)</f>
        <v>9</v>
      </c>
      <c r="H42" s="326">
        <f t="shared" ref="H42:H46" si="27">IF(TYPE(H34)=16,"",H34)</f>
        <v>47119</v>
      </c>
      <c r="I42" s="254"/>
      <c r="N42" s="112"/>
      <c r="P42" s="112">
        <v>44440</v>
      </c>
      <c r="Q42">
        <v>21</v>
      </c>
      <c r="AK42" s="253"/>
      <c r="AL42" s="251">
        <f t="shared" ref="AL42:AL46" si="28">IF(AM42="","",AL34)</f>
        <v>15</v>
      </c>
      <c r="AM42" s="326">
        <f t="shared" ref="AM42:AM46" si="29">IF(TYPE(AM34)=16,"",AM34)</f>
        <v>47362</v>
      </c>
      <c r="AN42" s="254"/>
      <c r="AS42" s="112"/>
      <c r="AU42" s="112"/>
    </row>
    <row r="43" spans="4:47" ht="15.75" thickBot="1" x14ac:dyDescent="0.3">
      <c r="F43" s="253"/>
      <c r="G43" s="251">
        <f t="shared" si="26"/>
        <v>15</v>
      </c>
      <c r="H43" s="326">
        <f t="shared" si="27"/>
        <v>49310</v>
      </c>
      <c r="I43" s="254"/>
      <c r="N43" s="112"/>
      <c r="P43" s="112">
        <v>41883</v>
      </c>
      <c r="Q43" t="s">
        <v>65</v>
      </c>
      <c r="AK43" s="253"/>
      <c r="AL43" s="251">
        <f t="shared" si="28"/>
        <v>21</v>
      </c>
      <c r="AM43" s="326">
        <f t="shared" si="29"/>
        <v>49553</v>
      </c>
      <c r="AN43" s="254"/>
      <c r="AS43" s="112"/>
      <c r="AU43" s="112"/>
    </row>
    <row r="44" spans="4:47" ht="15.75" thickBot="1" x14ac:dyDescent="0.3">
      <c r="F44" s="253"/>
      <c r="G44" s="251">
        <f t="shared" si="26"/>
        <v>21</v>
      </c>
      <c r="H44" s="326">
        <f t="shared" si="27"/>
        <v>51502</v>
      </c>
      <c r="I44" s="254"/>
      <c r="N44" s="112"/>
      <c r="P44" s="112">
        <v>44075</v>
      </c>
      <c r="Q44">
        <v>21</v>
      </c>
      <c r="AK44" s="253"/>
      <c r="AL44" s="251">
        <f t="shared" si="28"/>
        <v>28</v>
      </c>
      <c r="AM44" s="326">
        <f t="shared" si="29"/>
        <v>52110</v>
      </c>
      <c r="AN44" s="254"/>
      <c r="AP44" t="s">
        <v>486</v>
      </c>
      <c r="AQ44" t="str">
        <f>LEFT(fronttibis!E20,3)</f>
        <v>Doc</v>
      </c>
      <c r="AR44">
        <f>IF(AQ44&lt;&gt;"Doc",1,0)</f>
        <v>0</v>
      </c>
      <c r="AS44" s="112"/>
      <c r="AU44" s="112"/>
    </row>
    <row r="45" spans="4:47" ht="15.75" thickBot="1" x14ac:dyDescent="0.3">
      <c r="F45" s="253"/>
      <c r="G45" s="251">
        <f t="shared" si="26"/>
        <v>28</v>
      </c>
      <c r="H45" s="326">
        <f t="shared" si="27"/>
        <v>54058</v>
      </c>
      <c r="I45" s="254"/>
      <c r="N45" s="112"/>
      <c r="P45" s="112">
        <v>44440</v>
      </c>
      <c r="AK45" s="253"/>
      <c r="AL45" s="251">
        <f t="shared" si="28"/>
        <v>34</v>
      </c>
      <c r="AM45" s="326">
        <f t="shared" si="29"/>
        <v>54302</v>
      </c>
      <c r="AN45" s="254"/>
      <c r="AP45" s="237" t="s">
        <v>490</v>
      </c>
      <c r="AQ45" t="str">
        <f>fronttibis!H25</f>
        <v>SI</v>
      </c>
      <c r="AR45">
        <f>IF(AQ45="SI",1,0)</f>
        <v>1</v>
      </c>
      <c r="AS45" s="112"/>
      <c r="AU45" s="112"/>
    </row>
    <row r="46" spans="4:47" ht="15.75" thickBot="1" x14ac:dyDescent="0.3">
      <c r="F46" s="253"/>
      <c r="G46" s="251">
        <f t="shared" si="26"/>
        <v>34</v>
      </c>
      <c r="H46" s="326">
        <f t="shared" si="27"/>
        <v>56250</v>
      </c>
      <c r="I46" s="254"/>
      <c r="N46" s="112"/>
      <c r="AK46" s="253"/>
      <c r="AL46" s="251" t="str">
        <f t="shared" si="28"/>
        <v/>
      </c>
      <c r="AM46" s="326" t="str">
        <f t="shared" si="29"/>
        <v/>
      </c>
      <c r="AN46" s="254"/>
      <c r="AP46" t="s">
        <v>93</v>
      </c>
      <c r="AQ46" s="112">
        <f>fronttibis!F29</f>
        <v>45536</v>
      </c>
      <c r="AR46">
        <f>IF(YEAR(AQ46)&gt;2009,1,0)</f>
        <v>1</v>
      </c>
      <c r="AS46" s="112"/>
    </row>
    <row r="47" spans="4:47" x14ac:dyDescent="0.25">
      <c r="F47" s="253"/>
      <c r="G47" s="251" t="str">
        <f>IF(H47="","",G39)</f>
        <v/>
      </c>
      <c r="H47" s="326" t="str">
        <f>IF(TYPE(H39)=16,"",H39)</f>
        <v/>
      </c>
      <c r="I47" s="254"/>
      <c r="AK47" s="253"/>
      <c r="AL47" s="251" t="str">
        <f>IF(AM47="","",AL39)</f>
        <v/>
      </c>
      <c r="AM47" s="326" t="str">
        <f>IF(TYPE(AM39)=16,"",AM39)</f>
        <v/>
      </c>
      <c r="AN47" s="254"/>
      <c r="AP47" t="s">
        <v>491</v>
      </c>
      <c r="AQ47">
        <f>fronttibis!I32</f>
        <v>10</v>
      </c>
      <c r="AR47">
        <f>IF(AQ47&lt;2,1,0)</f>
        <v>0</v>
      </c>
    </row>
    <row r="48" spans="4:47" x14ac:dyDescent="0.25">
      <c r="F48" s="253"/>
      <c r="G48" t="str">
        <f t="shared" ref="G48:G50" si="30">IF(F40=1,G40,"")</f>
        <v/>
      </c>
      <c r="H48" s="112" t="str">
        <f t="shared" ref="H48:H50" si="31">IF(F40=1,H40,"")</f>
        <v/>
      </c>
      <c r="I48" s="254"/>
      <c r="AK48" s="253"/>
      <c r="AL48" t="str">
        <f t="shared" ref="AL48:AL50" si="32">IF(AK40=1,AL40,"")</f>
        <v/>
      </c>
      <c r="AM48" s="112" t="str">
        <f t="shared" ref="AM48:AM50" si="33">IF(AK40=1,AM40,"")</f>
        <v/>
      </c>
      <c r="AN48" s="254"/>
    </row>
    <row r="49" spans="4:46" x14ac:dyDescent="0.25">
      <c r="F49" s="253"/>
      <c r="G49" t="str">
        <f t="shared" si="30"/>
        <v/>
      </c>
      <c r="H49" s="112" t="str">
        <f t="shared" si="31"/>
        <v/>
      </c>
      <c r="I49" s="254"/>
      <c r="AK49" s="253"/>
      <c r="AL49" t="str">
        <f t="shared" si="32"/>
        <v/>
      </c>
      <c r="AM49" s="112" t="str">
        <f t="shared" si="33"/>
        <v/>
      </c>
      <c r="AN49" s="254"/>
      <c r="AR49">
        <f>SUM(AR44:AR47)</f>
        <v>2</v>
      </c>
    </row>
    <row r="50" spans="4:46" ht="15.75" thickBot="1" x14ac:dyDescent="0.3">
      <c r="F50" s="255"/>
      <c r="G50" s="257" t="str">
        <f t="shared" si="30"/>
        <v/>
      </c>
      <c r="H50" s="324" t="str">
        <f t="shared" si="31"/>
        <v/>
      </c>
      <c r="I50" s="258"/>
      <c r="AK50" s="255"/>
      <c r="AL50" s="257" t="str">
        <f t="shared" si="32"/>
        <v/>
      </c>
      <c r="AM50" s="324" t="str">
        <f t="shared" si="33"/>
        <v/>
      </c>
      <c r="AN50" s="258"/>
    </row>
    <row r="51" spans="4:46" x14ac:dyDescent="0.25">
      <c r="F51" s="250" t="s">
        <v>466</v>
      </c>
      <c r="G51" s="251">
        <v>0</v>
      </c>
      <c r="H51" s="326">
        <f>H41</f>
        <v>45536</v>
      </c>
      <c r="I51" s="252"/>
      <c r="AK51" s="250" t="s">
        <v>466</v>
      </c>
      <c r="AL51" s="251">
        <v>0</v>
      </c>
      <c r="AM51" s="326">
        <f>AM41</f>
        <v>45536</v>
      </c>
      <c r="AN51" s="252"/>
    </row>
    <row r="52" spans="4:46" x14ac:dyDescent="0.25">
      <c r="F52" s="253"/>
      <c r="G52">
        <f>I13+1</f>
        <v>5</v>
      </c>
      <c r="H52" s="112">
        <f>DATE(YEAR(H51)+1,MONTH(H51),DAY(H51))</f>
        <v>45901</v>
      </c>
      <c r="I52" s="254"/>
      <c r="AK52" s="253"/>
      <c r="AL52">
        <f>AN13+1</f>
        <v>11</v>
      </c>
      <c r="AM52" s="112">
        <f>DATE(YEAR(AM51)+1,MONTH(AM51),DAY(AM51))</f>
        <v>45901</v>
      </c>
      <c r="AN52" s="254"/>
    </row>
    <row r="53" spans="4:46" x14ac:dyDescent="0.25">
      <c r="F53" s="253"/>
      <c r="G53">
        <f>G42</f>
        <v>9</v>
      </c>
      <c r="H53" s="112">
        <f t="shared" ref="H53:H57" si="34">H42</f>
        <v>47119</v>
      </c>
      <c r="I53" s="254"/>
      <c r="AK53" s="253"/>
      <c r="AL53">
        <f>AL42</f>
        <v>15</v>
      </c>
      <c r="AM53" s="112">
        <f t="shared" ref="AM53:AM57" si="35">AM42</f>
        <v>47362</v>
      </c>
      <c r="AN53" s="254"/>
    </row>
    <row r="54" spans="4:46" x14ac:dyDescent="0.25">
      <c r="F54" s="253"/>
      <c r="G54">
        <f t="shared" ref="G54:G57" si="36">G43</f>
        <v>15</v>
      </c>
      <c r="H54" s="112">
        <f t="shared" si="34"/>
        <v>49310</v>
      </c>
      <c r="I54" s="254"/>
      <c r="AK54" s="253"/>
      <c r="AL54">
        <f t="shared" ref="AL54:AL57" si="37">AL43</f>
        <v>21</v>
      </c>
      <c r="AM54" s="112">
        <f t="shared" si="35"/>
        <v>49553</v>
      </c>
      <c r="AN54" s="254"/>
    </row>
    <row r="55" spans="4:46" x14ac:dyDescent="0.25">
      <c r="F55" s="253"/>
      <c r="G55">
        <f t="shared" si="36"/>
        <v>21</v>
      </c>
      <c r="H55" s="112">
        <f t="shared" si="34"/>
        <v>51502</v>
      </c>
      <c r="I55" s="254"/>
      <c r="AK55" s="253"/>
      <c r="AL55">
        <f t="shared" si="37"/>
        <v>28</v>
      </c>
      <c r="AM55" s="112">
        <f t="shared" si="35"/>
        <v>52110</v>
      </c>
      <c r="AN55" s="254"/>
    </row>
    <row r="56" spans="4:46" x14ac:dyDescent="0.25">
      <c r="F56" s="253"/>
      <c r="G56">
        <f t="shared" si="36"/>
        <v>28</v>
      </c>
      <c r="H56" s="112">
        <f t="shared" si="34"/>
        <v>54058</v>
      </c>
      <c r="I56" s="254"/>
      <c r="AK56" s="253"/>
      <c r="AL56">
        <f t="shared" si="37"/>
        <v>34</v>
      </c>
      <c r="AM56" s="112">
        <f t="shared" si="35"/>
        <v>54302</v>
      </c>
      <c r="AN56" s="254"/>
    </row>
    <row r="57" spans="4:46" x14ac:dyDescent="0.25">
      <c r="F57" s="253"/>
      <c r="G57">
        <f t="shared" si="36"/>
        <v>34</v>
      </c>
      <c r="H57" s="112">
        <f t="shared" si="34"/>
        <v>56250</v>
      </c>
      <c r="I57" s="254"/>
      <c r="AK57" s="253"/>
      <c r="AL57" t="str">
        <f t="shared" si="37"/>
        <v/>
      </c>
      <c r="AM57" s="112" t="str">
        <f t="shared" si="35"/>
        <v/>
      </c>
      <c r="AN57" s="254"/>
    </row>
    <row r="58" spans="4:46" ht="15.75" thickBot="1" x14ac:dyDescent="0.3">
      <c r="F58" s="255"/>
      <c r="G58" s="257"/>
      <c r="H58" s="324"/>
      <c r="I58" s="258"/>
      <c r="AK58" s="255"/>
      <c r="AL58" s="257"/>
      <c r="AM58" s="324"/>
      <c r="AN58" s="258"/>
      <c r="AS58" s="112" t="str">
        <f>IF(AR49=4,DATE(YEAR(AM61)-6-AQ47,MONTH(AM61),DAY(AM61)),"")</f>
        <v/>
      </c>
      <c r="AT58" s="112" t="e">
        <f>IF(AND(YEAR(AS58)=2013,fronttibis!L20="SI"),DATE(YEAR(Foglio2!AS58)+1,MONTH(Foglio2!AS58),DAY(Foglio2!AS58)),Foglio2!AS58)</f>
        <v>#VALUE!</v>
      </c>
    </row>
    <row r="59" spans="4:46" ht="15.75" thickBot="1" x14ac:dyDescent="0.3">
      <c r="D59">
        <v>0</v>
      </c>
      <c r="F59" s="250" t="s">
        <v>466</v>
      </c>
      <c r="G59" s="251">
        <f>VLOOKUP(G51,$D$59:$D$65,1)</f>
        <v>0</v>
      </c>
      <c r="H59" s="326">
        <f>H51</f>
        <v>45536</v>
      </c>
      <c r="I59" s="252"/>
      <c r="J59">
        <f>G59</f>
        <v>0</v>
      </c>
      <c r="AI59">
        <v>0</v>
      </c>
      <c r="AK59" s="250" t="s">
        <v>466</v>
      </c>
      <c r="AL59" s="251">
        <f>VLOOKUP(AL51,$AI$59:$AI$65,1)</f>
        <v>0</v>
      </c>
      <c r="AM59" s="326">
        <f>AM51</f>
        <v>45536</v>
      </c>
      <c r="AN59" s="252"/>
      <c r="AR59" t="str">
        <f>IF(AR49=4,3,"")</f>
        <v/>
      </c>
      <c r="AS59" s="112" t="str">
        <f>IF(AR49=4,AT58,"")</f>
        <v/>
      </c>
    </row>
    <row r="60" spans="4:46" ht="15.75" thickBot="1" x14ac:dyDescent="0.3">
      <c r="D60">
        <v>3</v>
      </c>
      <c r="F60" s="253"/>
      <c r="G60">
        <f t="shared" ref="G60:G65" si="38">VLOOKUP(G52,$D$59:$D$65,1)</f>
        <v>3</v>
      </c>
      <c r="H60" s="112">
        <f t="shared" ref="H60:H65" si="39">H52</f>
        <v>45901</v>
      </c>
      <c r="I60" s="254"/>
      <c r="J60">
        <f t="shared" ref="J60:J65" si="40">G60</f>
        <v>3</v>
      </c>
      <c r="AI60">
        <v>3</v>
      </c>
      <c r="AK60" s="253"/>
      <c r="AL60" s="251">
        <f xml:space="preserve">   IF(AR49=4,AR59,            VLOOKUP(AL52,$AI$59:$AI$65,1))</f>
        <v>9</v>
      </c>
      <c r="AM60" s="112">
        <f>IF(AR49=4,AS59,AM52)</f>
        <v>45901</v>
      </c>
      <c r="AN60" s="254"/>
    </row>
    <row r="61" spans="4:46" ht="15.75" thickBot="1" x14ac:dyDescent="0.3">
      <c r="D61">
        <v>9</v>
      </c>
      <c r="F61" s="253"/>
      <c r="G61">
        <f t="shared" si="38"/>
        <v>9</v>
      </c>
      <c r="H61" s="112">
        <f t="shared" si="39"/>
        <v>47119</v>
      </c>
      <c r="I61" s="254"/>
      <c r="J61">
        <f t="shared" si="40"/>
        <v>9</v>
      </c>
      <c r="AI61">
        <v>9</v>
      </c>
      <c r="AK61" s="253"/>
      <c r="AL61" s="251">
        <f t="shared" ref="AL61:AL65" si="41">VLOOKUP(AL53,$AI$59:$AI$65,1)</f>
        <v>15</v>
      </c>
      <c r="AM61" s="112">
        <f t="shared" ref="AM61:AM65" si="42">AM53</f>
        <v>47362</v>
      </c>
      <c r="AN61" s="254"/>
    </row>
    <row r="62" spans="4:46" ht="15.75" thickBot="1" x14ac:dyDescent="0.3">
      <c r="D62">
        <v>15</v>
      </c>
      <c r="F62" s="253"/>
      <c r="G62">
        <f t="shared" si="38"/>
        <v>15</v>
      </c>
      <c r="H62" s="112">
        <f t="shared" si="39"/>
        <v>49310</v>
      </c>
      <c r="I62" s="254"/>
      <c r="J62">
        <f t="shared" si="40"/>
        <v>15</v>
      </c>
      <c r="AI62">
        <v>15</v>
      </c>
      <c r="AK62" s="253"/>
      <c r="AL62" s="251">
        <f t="shared" si="41"/>
        <v>21</v>
      </c>
      <c r="AM62" s="112">
        <f t="shared" si="42"/>
        <v>49553</v>
      </c>
      <c r="AN62" s="254"/>
    </row>
    <row r="63" spans="4:46" ht="15.75" thickBot="1" x14ac:dyDescent="0.3">
      <c r="D63">
        <v>21</v>
      </c>
      <c r="F63" s="253"/>
      <c r="G63">
        <f t="shared" si="38"/>
        <v>21</v>
      </c>
      <c r="H63" s="112">
        <f t="shared" si="39"/>
        <v>51502</v>
      </c>
      <c r="I63" s="254"/>
      <c r="J63">
        <f t="shared" si="40"/>
        <v>21</v>
      </c>
      <c r="AI63">
        <v>21</v>
      </c>
      <c r="AK63" s="253"/>
      <c r="AL63" s="251">
        <f t="shared" si="41"/>
        <v>28</v>
      </c>
      <c r="AM63" s="112">
        <f t="shared" si="42"/>
        <v>52110</v>
      </c>
      <c r="AN63" s="254"/>
    </row>
    <row r="64" spans="4:46" ht="15.75" thickBot="1" x14ac:dyDescent="0.3">
      <c r="D64">
        <v>28</v>
      </c>
      <c r="F64" s="253"/>
      <c r="G64">
        <f t="shared" si="38"/>
        <v>28</v>
      </c>
      <c r="H64" s="112">
        <f t="shared" si="39"/>
        <v>54058</v>
      </c>
      <c r="I64" s="254"/>
      <c r="J64">
        <f t="shared" si="40"/>
        <v>28</v>
      </c>
      <c r="AI64">
        <v>28</v>
      </c>
      <c r="AK64" s="253"/>
      <c r="AL64" s="251">
        <f t="shared" si="41"/>
        <v>28</v>
      </c>
      <c r="AM64" s="112">
        <f t="shared" si="42"/>
        <v>54302</v>
      </c>
      <c r="AN64" s="254"/>
    </row>
    <row r="65" spans="4:52" x14ac:dyDescent="0.25">
      <c r="D65">
        <v>34</v>
      </c>
      <c r="F65" s="253"/>
      <c r="G65">
        <f t="shared" si="38"/>
        <v>34</v>
      </c>
      <c r="H65" s="112">
        <f t="shared" si="39"/>
        <v>56250</v>
      </c>
      <c r="I65" s="254"/>
      <c r="J65">
        <f t="shared" si="40"/>
        <v>34</v>
      </c>
      <c r="AI65">
        <v>35</v>
      </c>
      <c r="AK65" s="253"/>
      <c r="AL65" s="251" t="e">
        <f t="shared" si="41"/>
        <v>#N/A</v>
      </c>
      <c r="AM65" s="112" t="str">
        <f t="shared" si="42"/>
        <v/>
      </c>
      <c r="AN65" s="254"/>
    </row>
    <row r="66" spans="4:52" ht="15.75" thickBot="1" x14ac:dyDescent="0.3">
      <c r="F66" s="255"/>
      <c r="G66" s="257"/>
      <c r="H66" s="257"/>
      <c r="I66" s="258"/>
      <c r="AK66" s="255"/>
      <c r="AL66" s="257"/>
      <c r="AM66" s="257"/>
      <c r="AN66" s="258"/>
    </row>
    <row r="68" spans="4:52" x14ac:dyDescent="0.25">
      <c r="R68" s="112"/>
      <c r="AW68" s="112"/>
    </row>
    <row r="70" spans="4:52" x14ac:dyDescent="0.25">
      <c r="G70">
        <v>15</v>
      </c>
      <c r="H70" s="112">
        <f>VLOOKUP(G70,G59:H65,2)</f>
        <v>49310</v>
      </c>
      <c r="R70" s="112"/>
      <c r="AL70">
        <v>15</v>
      </c>
      <c r="AM70" s="112">
        <f>VLOOKUP(AL70,AL59:AM65,2)</f>
        <v>47362</v>
      </c>
      <c r="AW70" s="112"/>
    </row>
    <row r="72" spans="4:52" x14ac:dyDescent="0.25">
      <c r="J72" t="s">
        <v>329</v>
      </c>
      <c r="K72" t="s">
        <v>467</v>
      </c>
      <c r="L72" t="s">
        <v>468</v>
      </c>
      <c r="M72" t="s">
        <v>469</v>
      </c>
      <c r="P72" s="238"/>
      <c r="AO72" t="s">
        <v>329</v>
      </c>
      <c r="AP72" t="s">
        <v>467</v>
      </c>
      <c r="AQ72" t="s">
        <v>468</v>
      </c>
      <c r="AR72" t="s">
        <v>469</v>
      </c>
      <c r="AU72" s="238"/>
    </row>
    <row r="73" spans="4:52" x14ac:dyDescent="0.25">
      <c r="F73">
        <v>0</v>
      </c>
      <c r="G73">
        <v>21</v>
      </c>
      <c r="H73" s="112">
        <f>VLOOKUP(G73,G59:H65,2)</f>
        <v>51502</v>
      </c>
      <c r="K73">
        <f>I14</f>
        <v>0</v>
      </c>
      <c r="L73">
        <f>J14</f>
        <v>4</v>
      </c>
      <c r="M73">
        <v>0</v>
      </c>
      <c r="P73" s="238"/>
      <c r="Q73" s="432" t="s">
        <v>471</v>
      </c>
      <c r="AK73">
        <v>0</v>
      </c>
      <c r="AL73">
        <v>21</v>
      </c>
      <c r="AM73" s="112">
        <f>VLOOKUP(AL73,AL59:AM65,2)</f>
        <v>49553</v>
      </c>
      <c r="AP73">
        <f>AN14</f>
        <v>0</v>
      </c>
      <c r="AQ73">
        <f>AO14</f>
        <v>0</v>
      </c>
      <c r="AR73">
        <v>0</v>
      </c>
      <c r="AU73" s="238"/>
      <c r="AV73" s="432" t="s">
        <v>471</v>
      </c>
    </row>
    <row r="74" spans="4:52" x14ac:dyDescent="0.25">
      <c r="H74" s="112"/>
      <c r="K74">
        <v>0</v>
      </c>
      <c r="L74">
        <f>K73*12+L73</f>
        <v>4</v>
      </c>
      <c r="M74">
        <f>K14</f>
        <v>0</v>
      </c>
      <c r="Q74">
        <f>VLOOKUP(21,R22:X30,7,FALSE)</f>
        <v>25</v>
      </c>
      <c r="R74" s="112">
        <f ca="1">INDIRECT(CONCATENATE("o",Q74))</f>
        <v>51501</v>
      </c>
      <c r="S74" t="s">
        <v>470</v>
      </c>
      <c r="T74">
        <f>I14*12+J14</f>
        <v>4</v>
      </c>
      <c r="U74" t="s">
        <v>94</v>
      </c>
      <c r="AM74" s="112"/>
      <c r="AP74">
        <v>0</v>
      </c>
      <c r="AQ74">
        <f>AP73*12+AQ73</f>
        <v>0</v>
      </c>
      <c r="AR74">
        <f>AP14</f>
        <v>0</v>
      </c>
      <c r="AV74">
        <f>VLOOKUP(21,AW22:BC30,7,FALSE)</f>
        <v>24</v>
      </c>
      <c r="AW74" s="112">
        <f ca="1">INDIRECT(CONCATENATE("AT",AV74))</f>
        <v>49552</v>
      </c>
      <c r="AX74" t="s">
        <v>470</v>
      </c>
      <c r="AY74">
        <f>AN14*12+AO14</f>
        <v>0</v>
      </c>
      <c r="AZ74" t="s">
        <v>94</v>
      </c>
    </row>
    <row r="75" spans="4:52" x14ac:dyDescent="0.25">
      <c r="G75">
        <v>21</v>
      </c>
      <c r="H75" s="112">
        <f>DATE(YEAR(H73)+F73,MONTH(H73)-L74,DAY(H73)-M74)+1</f>
        <v>51381</v>
      </c>
      <c r="AL75">
        <v>21</v>
      </c>
      <c r="AM75" s="112">
        <f>DATE(YEAR(AM73)+AK73,MONTH(AM73)-AQ74,DAY(AM73)-AR74)+1</f>
        <v>49554</v>
      </c>
    </row>
    <row r="76" spans="4:52" x14ac:dyDescent="0.25">
      <c r="E76">
        <f>IF(AND(YEAR(H73)&gt;D33,YEAR(H75)&lt;D33),-1,0)</f>
        <v>0</v>
      </c>
      <c r="H76" s="112"/>
      <c r="Q76" t="s">
        <v>472</v>
      </c>
      <c r="R76" s="112">
        <f ca="1">DATE(YEAR(R74),MONTH(R74)-T74,DAY(R74))</f>
        <v>51379</v>
      </c>
      <c r="S76" t="str">
        <f ca="1">IF(YEAR(R76)&lt;D33,"esatto","non esatto")</f>
        <v>non esatto</v>
      </c>
      <c r="AJ76">
        <f>IF(AND(YEAR(AM73)&gt;AI33,YEAR(AM75)&lt;AI33),-1,0)</f>
        <v>0</v>
      </c>
      <c r="AM76" s="112"/>
      <c r="AV76" t="s">
        <v>472</v>
      </c>
      <c r="AW76" s="112">
        <f ca="1">DATE(YEAR(AW74),MONTH(AW74)-AY74,DAY(AW74))</f>
        <v>49552</v>
      </c>
      <c r="AX76" t="str">
        <f ca="1">IF(YEAR(AW76)&lt;AI33,"esatto","non esatto")</f>
        <v>non esatto</v>
      </c>
    </row>
    <row r="77" spans="4:52" x14ac:dyDescent="0.25">
      <c r="G77">
        <f>G75</f>
        <v>21</v>
      </c>
      <c r="H77" s="112">
        <f ca="1">IF(    S76="esatto",DATE(YEAR(R76),MONTH(H75),DAY(H75)),     H75)</f>
        <v>51381</v>
      </c>
      <c r="AL77">
        <f>AL75</f>
        <v>21</v>
      </c>
      <c r="AM77" s="112">
        <f ca="1">IF(    AX76="esatto",DATE(YEAR(AW76),MONTH(AM75),DAY(AM75)),     AM75)</f>
        <v>49554</v>
      </c>
    </row>
    <row r="78" spans="4:52" x14ac:dyDescent="0.25">
      <c r="H78" t="s">
        <v>65</v>
      </c>
      <c r="AM78" t="s">
        <v>65</v>
      </c>
    </row>
    <row r="79" spans="4:52" x14ac:dyDescent="0.25">
      <c r="E79">
        <f ca="1">IF(AND(   YEAR(H77)&lt;D33,YEAR(H77)+7&gt;D33),1,0)</f>
        <v>0</v>
      </c>
      <c r="G79">
        <v>28</v>
      </c>
      <c r="H79" s="112">
        <f ca="1">DATE(YEAR(H77)+7+E79,MONTH(H77),DAY(H77))</f>
        <v>53937</v>
      </c>
      <c r="AJ79">
        <f ca="1">IF(AND(   YEAR(AM77)&lt;AI33,YEAR(AM77)+7&gt;AI33),1,0)</f>
        <v>0</v>
      </c>
      <c r="AL79">
        <v>28</v>
      </c>
      <c r="AM79" s="112">
        <f ca="1">DATE(YEAR(AM77)+7+AJ79,MONTH(AM77),DAY(AM77))</f>
        <v>52111</v>
      </c>
    </row>
    <row r="80" spans="4:52" x14ac:dyDescent="0.25">
      <c r="D80" s="112">
        <f>H9</f>
        <v>45536</v>
      </c>
      <c r="Q80" t="s">
        <v>473</v>
      </c>
      <c r="AI80" s="112">
        <f>AM9</f>
        <v>45536</v>
      </c>
      <c r="AV80" t="s">
        <v>473</v>
      </c>
    </row>
    <row r="81" spans="4:44" x14ac:dyDescent="0.25">
      <c r="D81" t="s">
        <v>475</v>
      </c>
      <c r="AI81" t="s">
        <v>475</v>
      </c>
      <c r="AP81" t="str">
        <f>fronttibis!H25</f>
        <v>SI</v>
      </c>
      <c r="AR81" s="112">
        <v>40422</v>
      </c>
    </row>
    <row r="82" spans="4:44" x14ac:dyDescent="0.25">
      <c r="D82" t="s">
        <v>476</v>
      </c>
      <c r="K82" s="113" t="s">
        <v>478</v>
      </c>
      <c r="AI82" t="s">
        <v>476</v>
      </c>
      <c r="AP82" s="113" t="s">
        <v>478</v>
      </c>
    </row>
    <row r="83" spans="4:44" x14ac:dyDescent="0.25">
      <c r="D83" t="s">
        <v>477</v>
      </c>
      <c r="G83">
        <f>IF(LEFT(D85,3)="Doc",G59,G41)</f>
        <v>0</v>
      </c>
      <c r="H83" s="112">
        <f>IF(LEFT(D85,3)="Doc",H59,H41)</f>
        <v>45536</v>
      </c>
      <c r="K83" s="112">
        <v>40422</v>
      </c>
      <c r="AI83" t="s">
        <v>477</v>
      </c>
      <c r="AL83">
        <f>IF(LEFT(AI85,3)="Doc",AL59,AL41)</f>
        <v>0</v>
      </c>
      <c r="AM83" s="112">
        <f>IF(LEFT(AI85,3)="Doc",AM59,AM41)</f>
        <v>45536</v>
      </c>
      <c r="AP83" s="112">
        <f>IF(AP81="SI",100000,AR81)</f>
        <v>100000</v>
      </c>
    </row>
    <row r="84" spans="4:44" x14ac:dyDescent="0.25">
      <c r="G84">
        <f>IF(AND(D80&gt;=K83,G60&lt;9            ),0,G60)</f>
        <v>0</v>
      </c>
      <c r="H84" s="112">
        <f>H60</f>
        <v>45901</v>
      </c>
      <c r="AL84">
        <f>IF(AND(AI80&gt;=AP83,AL60&lt;9                       ),0,AL60)</f>
        <v>9</v>
      </c>
      <c r="AM84" s="112">
        <f>AM60</f>
        <v>45901</v>
      </c>
    </row>
    <row r="85" spans="4:44" x14ac:dyDescent="0.25">
      <c r="G85">
        <f>IF(OR(G61=G88,G61=G89,G61=G90,G61=G91),100000,G61)</f>
        <v>9</v>
      </c>
      <c r="H85" s="112">
        <f xml:space="preserve">  IF(G85=100000,100000,H61)</f>
        <v>47119</v>
      </c>
      <c r="AH85" t="str">
        <f>AH129</f>
        <v>SI</v>
      </c>
      <c r="AI85" t="str">
        <f>IF(AH85="NO","","Doc")</f>
        <v>Doc</v>
      </c>
      <c r="AL85">
        <f>IF(OR(AL61=AL88,AL61=AL89,AL61=AL90,AL61=AL91),100000,AL61)</f>
        <v>100000</v>
      </c>
      <c r="AM85" s="112">
        <f xml:space="preserve">  IF(AL85=100000,100000,AM61)</f>
        <v>100000</v>
      </c>
    </row>
    <row r="86" spans="4:44" x14ac:dyDescent="0.25">
      <c r="D86" t="s">
        <v>474</v>
      </c>
      <c r="G86">
        <f>IF(OR(G62=G88,G62=G89,G62=G90,G62=G91),100000,G62)</f>
        <v>100000</v>
      </c>
      <c r="H86" s="112">
        <f>IF(G86=100000,100000,H62)</f>
        <v>100000</v>
      </c>
      <c r="AI86" t="s">
        <v>474</v>
      </c>
      <c r="AL86">
        <f>IF(OR(AL62=AL88,AL62=AL89,AL62=AL90,AL62=AL91),100000,AL62)</f>
        <v>100000</v>
      </c>
      <c r="AM86" s="112">
        <f>IF(AL86=100000,100000,AM62)</f>
        <v>100000</v>
      </c>
    </row>
    <row r="87" spans="4:44" x14ac:dyDescent="0.25">
      <c r="G87">
        <f>IF(OR(G63=G88,G63=G89,G63=G90),100000,G63)</f>
        <v>100000</v>
      </c>
      <c r="H87" s="112">
        <f>IF(G87=100000,100000,H63)</f>
        <v>100000</v>
      </c>
      <c r="AL87">
        <f>IF(OR(AL63=AL88,AL63=AL89,AL63=AL90),100000,AL63)</f>
        <v>100000</v>
      </c>
      <c r="AM87" s="112">
        <f>IF(AL87=100000,100000,AM63)</f>
        <v>100000</v>
      </c>
    </row>
    <row r="88" spans="4:44" x14ac:dyDescent="0.25">
      <c r="G88">
        <f>G70</f>
        <v>15</v>
      </c>
      <c r="H88" s="112">
        <f>H70</f>
        <v>49310</v>
      </c>
      <c r="AL88">
        <f>AL70</f>
        <v>15</v>
      </c>
      <c r="AM88" s="112">
        <f>AM70</f>
        <v>47362</v>
      </c>
    </row>
    <row r="89" spans="4:44" x14ac:dyDescent="0.25">
      <c r="G89">
        <f>G77</f>
        <v>21</v>
      </c>
      <c r="H89" s="112">
        <f ca="1">H77</f>
        <v>51381</v>
      </c>
      <c r="AL89">
        <f>AL77</f>
        <v>21</v>
      </c>
      <c r="AM89" s="112">
        <f ca="1">AM77</f>
        <v>49554</v>
      </c>
    </row>
    <row r="90" spans="4:44" x14ac:dyDescent="0.25">
      <c r="G90">
        <f>G79</f>
        <v>28</v>
      </c>
      <c r="H90" s="112">
        <f ca="1">H79</f>
        <v>53937</v>
      </c>
      <c r="AL90">
        <f>AL79</f>
        <v>28</v>
      </c>
      <c r="AM90" s="112">
        <f ca="1">AM79</f>
        <v>52111</v>
      </c>
    </row>
    <row r="100" spans="4:44" x14ac:dyDescent="0.25">
      <c r="E100">
        <v>1</v>
      </c>
      <c r="G100">
        <f>SMALL($G$83:$G$90,E100)</f>
        <v>0</v>
      </c>
      <c r="H100" s="112">
        <f ca="1">SMALL($H$83:$H$90,E100)</f>
        <v>45536</v>
      </c>
      <c r="I100">
        <v>1</v>
      </c>
      <c r="AJ100">
        <v>1</v>
      </c>
      <c r="AL100">
        <f>SMALL($AL$83:$AL$90,AJ100)</f>
        <v>0</v>
      </c>
      <c r="AM100" s="112">
        <f ca="1">SMALL($AM$83:$AM$90,AJ100)</f>
        <v>45536</v>
      </c>
      <c r="AN100">
        <v>1</v>
      </c>
      <c r="AR100" s="112">
        <f ca="1">SMALL(AM83:AM90,2)</f>
        <v>45901</v>
      </c>
    </row>
    <row r="101" spans="4:44" x14ac:dyDescent="0.25">
      <c r="E101">
        <v>2</v>
      </c>
      <c r="G101">
        <f t="shared" ref="G101:G107" si="43">SMALL($G$83:$G$90,E101)</f>
        <v>0</v>
      </c>
      <c r="H101" s="112">
        <f t="shared" ref="H101:H107" ca="1" si="44">SMALL($H$83:$H$90,E101)</f>
        <v>45901</v>
      </c>
      <c r="I101">
        <f>IF(G101=G100,0,1)</f>
        <v>0</v>
      </c>
      <c r="AJ101">
        <v>2</v>
      </c>
      <c r="AL101">
        <f t="shared" ref="AL101:AL107" si="45">SMALL($AL$83:$AL$90,AJ101)</f>
        <v>9</v>
      </c>
      <c r="AM101" s="112">
        <f t="shared" ref="AM101:AM107" ca="1" si="46">SMALL($AM$83:$AM$90,AJ101)</f>
        <v>45901</v>
      </c>
      <c r="AN101">
        <f>IF(AL101=AL100,0,1)</f>
        <v>1</v>
      </c>
    </row>
    <row r="102" spans="4:44" x14ac:dyDescent="0.25">
      <c r="E102">
        <v>3</v>
      </c>
      <c r="G102">
        <f t="shared" si="43"/>
        <v>9</v>
      </c>
      <c r="H102" s="112">
        <f t="shared" ca="1" si="44"/>
        <v>47119</v>
      </c>
      <c r="I102">
        <f t="shared" ref="I102:I107" si="47">IF(G102=G101,0,1)</f>
        <v>1</v>
      </c>
      <c r="AJ102">
        <v>3</v>
      </c>
      <c r="AL102">
        <f t="shared" si="45"/>
        <v>15</v>
      </c>
      <c r="AM102" s="112">
        <f ca="1">SMALL($AM$83:$AM$90,AJ102)</f>
        <v>47362</v>
      </c>
      <c r="AN102">
        <f t="shared" ref="AN102:AN107" si="48">IF(AL102=AL101,0,1)</f>
        <v>1</v>
      </c>
    </row>
    <row r="103" spans="4:44" x14ac:dyDescent="0.25">
      <c r="E103">
        <v>4</v>
      </c>
      <c r="G103">
        <f t="shared" si="43"/>
        <v>15</v>
      </c>
      <c r="H103" s="112">
        <f t="shared" ca="1" si="44"/>
        <v>49310</v>
      </c>
      <c r="I103">
        <f t="shared" si="47"/>
        <v>1</v>
      </c>
      <c r="AJ103">
        <v>4</v>
      </c>
      <c r="AL103">
        <f t="shared" si="45"/>
        <v>21</v>
      </c>
      <c r="AM103" s="112">
        <f t="shared" ca="1" si="46"/>
        <v>49554</v>
      </c>
      <c r="AN103">
        <f t="shared" si="48"/>
        <v>1</v>
      </c>
    </row>
    <row r="104" spans="4:44" x14ac:dyDescent="0.25">
      <c r="E104">
        <v>5</v>
      </c>
      <c r="G104">
        <f t="shared" si="43"/>
        <v>21</v>
      </c>
      <c r="H104" s="112">
        <f t="shared" ca="1" si="44"/>
        <v>51381</v>
      </c>
      <c r="I104">
        <f t="shared" si="47"/>
        <v>1</v>
      </c>
      <c r="AJ104">
        <v>5</v>
      </c>
      <c r="AL104">
        <f t="shared" si="45"/>
        <v>28</v>
      </c>
      <c r="AM104" s="112">
        <f t="shared" ca="1" si="46"/>
        <v>52111</v>
      </c>
      <c r="AN104">
        <f t="shared" si="48"/>
        <v>1</v>
      </c>
    </row>
    <row r="105" spans="4:44" x14ac:dyDescent="0.25">
      <c r="E105">
        <v>6</v>
      </c>
      <c r="G105">
        <f t="shared" si="43"/>
        <v>28</v>
      </c>
      <c r="H105" s="112">
        <f t="shared" ca="1" si="44"/>
        <v>53937</v>
      </c>
      <c r="I105">
        <f t="shared" si="47"/>
        <v>1</v>
      </c>
      <c r="AJ105">
        <v>6</v>
      </c>
      <c r="AL105">
        <f t="shared" si="45"/>
        <v>100000</v>
      </c>
      <c r="AM105" s="112">
        <f t="shared" ca="1" si="46"/>
        <v>100000</v>
      </c>
      <c r="AN105">
        <f t="shared" si="48"/>
        <v>1</v>
      </c>
    </row>
    <row r="106" spans="4:44" x14ac:dyDescent="0.25">
      <c r="E106">
        <v>7</v>
      </c>
      <c r="G106">
        <f t="shared" si="43"/>
        <v>100000</v>
      </c>
      <c r="H106" s="112">
        <f t="shared" ca="1" si="44"/>
        <v>100000</v>
      </c>
      <c r="I106">
        <f t="shared" si="47"/>
        <v>1</v>
      </c>
      <c r="AJ106">
        <v>7</v>
      </c>
      <c r="AL106">
        <f t="shared" si="45"/>
        <v>100000</v>
      </c>
      <c r="AM106" s="112">
        <f t="shared" ca="1" si="46"/>
        <v>100000</v>
      </c>
      <c r="AN106">
        <f t="shared" si="48"/>
        <v>0</v>
      </c>
    </row>
    <row r="107" spans="4:44" x14ac:dyDescent="0.25">
      <c r="E107">
        <v>8</v>
      </c>
      <c r="G107">
        <f t="shared" si="43"/>
        <v>100000</v>
      </c>
      <c r="H107" s="112">
        <f t="shared" ca="1" si="44"/>
        <v>100000</v>
      </c>
      <c r="I107">
        <f t="shared" si="47"/>
        <v>0</v>
      </c>
      <c r="AJ107">
        <v>8</v>
      </c>
      <c r="AL107">
        <f t="shared" si="45"/>
        <v>100000</v>
      </c>
      <c r="AM107" s="112">
        <f t="shared" ca="1" si="46"/>
        <v>100000</v>
      </c>
      <c r="AN107">
        <f t="shared" si="48"/>
        <v>0</v>
      </c>
    </row>
    <row r="108" spans="4:44" x14ac:dyDescent="0.25">
      <c r="E108">
        <v>9</v>
      </c>
      <c r="H108" s="112"/>
      <c r="AJ108">
        <v>9</v>
      </c>
      <c r="AM108" s="112"/>
    </row>
    <row r="111" spans="4:44" x14ac:dyDescent="0.25">
      <c r="D111">
        <v>0</v>
      </c>
      <c r="E111" t="s">
        <v>168</v>
      </c>
      <c r="H111" s="112"/>
      <c r="AI111">
        <v>0</v>
      </c>
      <c r="AJ111" t="s">
        <v>168</v>
      </c>
      <c r="AM111" s="112"/>
    </row>
    <row r="112" spans="4:44" x14ac:dyDescent="0.25">
      <c r="D112">
        <v>3</v>
      </c>
      <c r="E112" t="s">
        <v>169</v>
      </c>
      <c r="H112" s="112"/>
      <c r="AI112">
        <v>3</v>
      </c>
      <c r="AJ112" t="s">
        <v>169</v>
      </c>
      <c r="AM112" s="112"/>
    </row>
    <row r="113" spans="4:59" x14ac:dyDescent="0.25">
      <c r="D113">
        <v>9</v>
      </c>
      <c r="E113" t="s">
        <v>170</v>
      </c>
      <c r="G113">
        <f>IF(I100=1,G100,100000)</f>
        <v>0</v>
      </c>
      <c r="H113" s="112">
        <f ca="1">IF(I100=1,H100,100000)</f>
        <v>45536</v>
      </c>
      <c r="AI113">
        <v>9</v>
      </c>
      <c r="AJ113" t="s">
        <v>170</v>
      </c>
      <c r="AL113">
        <f>IF(AN100=1,AL100,100000)</f>
        <v>0</v>
      </c>
      <c r="AM113" s="112">
        <f ca="1">IF(AN100=1,AM100,100000)</f>
        <v>45536</v>
      </c>
    </row>
    <row r="114" spans="4:59" x14ac:dyDescent="0.25">
      <c r="D114">
        <v>15</v>
      </c>
      <c r="E114" t="s">
        <v>171</v>
      </c>
      <c r="G114">
        <f t="shared" ref="G114:G121" si="49">IF(I101=1,G101,100000)</f>
        <v>100000</v>
      </c>
      <c r="H114" s="112">
        <f t="shared" ref="H114:H121" si="50">IF(I101=1,H101,100000)</f>
        <v>100000</v>
      </c>
      <c r="AI114">
        <v>15</v>
      </c>
      <c r="AJ114" t="s">
        <v>171</v>
      </c>
      <c r="AL114">
        <f t="shared" ref="AL114:AL121" si="51">IF(AN101=1,AL101,100000)</f>
        <v>9</v>
      </c>
      <c r="AM114" s="112">
        <f t="shared" ref="AM114:AM121" ca="1" si="52">IF(AN101=1,AM101,100000)</f>
        <v>45901</v>
      </c>
    </row>
    <row r="115" spans="4:59" x14ac:dyDescent="0.25">
      <c r="D115">
        <v>21</v>
      </c>
      <c r="E115" t="s">
        <v>172</v>
      </c>
      <c r="G115">
        <f t="shared" si="49"/>
        <v>9</v>
      </c>
      <c r="H115" s="112">
        <f t="shared" ca="1" si="50"/>
        <v>47119</v>
      </c>
      <c r="AI115">
        <v>21</v>
      </c>
      <c r="AJ115" t="s">
        <v>172</v>
      </c>
      <c r="AL115">
        <f t="shared" si="51"/>
        <v>15</v>
      </c>
      <c r="AM115" s="112">
        <f t="shared" ca="1" si="52"/>
        <v>47362</v>
      </c>
    </row>
    <row r="116" spans="4:59" x14ac:dyDescent="0.25">
      <c r="D116">
        <v>28</v>
      </c>
      <c r="E116" t="s">
        <v>173</v>
      </c>
      <c r="G116">
        <f t="shared" si="49"/>
        <v>15</v>
      </c>
      <c r="H116" s="112">
        <f t="shared" ca="1" si="50"/>
        <v>49310</v>
      </c>
      <c r="AI116">
        <v>28</v>
      </c>
      <c r="AJ116" t="s">
        <v>173</v>
      </c>
      <c r="AL116">
        <f t="shared" si="51"/>
        <v>21</v>
      </c>
      <c r="AM116" s="112">
        <f t="shared" ca="1" si="52"/>
        <v>49554</v>
      </c>
    </row>
    <row r="117" spans="4:59" x14ac:dyDescent="0.25">
      <c r="D117">
        <v>35</v>
      </c>
      <c r="E117" t="s">
        <v>174</v>
      </c>
      <c r="G117">
        <f t="shared" si="49"/>
        <v>21</v>
      </c>
      <c r="H117" s="112">
        <f t="shared" ca="1" si="50"/>
        <v>51381</v>
      </c>
      <c r="AI117">
        <v>35</v>
      </c>
      <c r="AJ117" t="s">
        <v>174</v>
      </c>
      <c r="AL117">
        <f t="shared" si="51"/>
        <v>28</v>
      </c>
      <c r="AM117" s="112">
        <f t="shared" ca="1" si="52"/>
        <v>52111</v>
      </c>
    </row>
    <row r="118" spans="4:59" x14ac:dyDescent="0.25">
      <c r="D118">
        <v>100000</v>
      </c>
      <c r="E118">
        <v>100000</v>
      </c>
      <c r="G118">
        <f t="shared" si="49"/>
        <v>28</v>
      </c>
      <c r="H118" s="112">
        <f t="shared" ca="1" si="50"/>
        <v>53937</v>
      </c>
      <c r="AI118">
        <v>100000</v>
      </c>
      <c r="AJ118">
        <v>100000</v>
      </c>
      <c r="AL118">
        <f t="shared" si="51"/>
        <v>100000</v>
      </c>
      <c r="AM118" s="112">
        <f t="shared" ca="1" si="52"/>
        <v>100000</v>
      </c>
    </row>
    <row r="119" spans="4:59" x14ac:dyDescent="0.25">
      <c r="G119">
        <f t="shared" si="49"/>
        <v>100000</v>
      </c>
      <c r="H119" s="112">
        <f t="shared" ca="1" si="50"/>
        <v>100000</v>
      </c>
      <c r="AL119">
        <f t="shared" si="51"/>
        <v>100000</v>
      </c>
      <c r="AM119" s="112">
        <f t="shared" si="52"/>
        <v>100000</v>
      </c>
    </row>
    <row r="120" spans="4:59" x14ac:dyDescent="0.25">
      <c r="G120">
        <f t="shared" si="49"/>
        <v>100000</v>
      </c>
      <c r="H120" s="112">
        <f t="shared" si="50"/>
        <v>100000</v>
      </c>
      <c r="AL120">
        <f t="shared" si="51"/>
        <v>100000</v>
      </c>
      <c r="AM120" s="112">
        <f t="shared" si="52"/>
        <v>100000</v>
      </c>
    </row>
    <row r="121" spans="4:59" x14ac:dyDescent="0.25">
      <c r="G121">
        <f t="shared" si="49"/>
        <v>100000</v>
      </c>
      <c r="H121" s="112">
        <f t="shared" si="50"/>
        <v>100000</v>
      </c>
      <c r="AL121">
        <f t="shared" si="51"/>
        <v>100000</v>
      </c>
      <c r="AM121" s="112">
        <f t="shared" si="52"/>
        <v>100000</v>
      </c>
    </row>
    <row r="122" spans="4:59" x14ac:dyDescent="0.25">
      <c r="H122" s="112"/>
      <c r="AM122" s="112"/>
    </row>
    <row r="123" spans="4:59" x14ac:dyDescent="0.25">
      <c r="H123" s="112"/>
      <c r="AM123" s="112"/>
    </row>
    <row r="124" spans="4:59" x14ac:dyDescent="0.25">
      <c r="H124" s="112"/>
      <c r="AF124" s="112">
        <v>40422</v>
      </c>
      <c r="AM124" s="112"/>
      <c r="AS124" t="s">
        <v>481</v>
      </c>
    </row>
    <row r="125" spans="4:59" x14ac:dyDescent="0.25">
      <c r="H125" s="112"/>
      <c r="L125" t="s">
        <v>381</v>
      </c>
      <c r="M125">
        <f>fronttibis!I38</f>
        <v>0</v>
      </c>
      <c r="O125">
        <f ca="1">IF(M125=0,DAY(J127),30-M125)</f>
        <v>1</v>
      </c>
      <c r="AF125" s="112">
        <f>fronttibis!F29</f>
        <v>45536</v>
      </c>
      <c r="AM125" s="112"/>
      <c r="AP125" t="str">
        <f>fronttibis!L20</f>
        <v>SI</v>
      </c>
      <c r="AQ125">
        <f>IF(AP125="SI",2013,2050)</f>
        <v>2013</v>
      </c>
      <c r="AS125">
        <f>fronttibis!K32</f>
        <v>0</v>
      </c>
    </row>
    <row r="126" spans="4:59" x14ac:dyDescent="0.25">
      <c r="H126" s="112"/>
      <c r="L126" t="s">
        <v>381</v>
      </c>
      <c r="M126">
        <f>fronttibis!I39</f>
        <v>0</v>
      </c>
      <c r="O126">
        <f ca="1">IF(M125=0,DAY(J127),30-M126-M125)</f>
        <v>1</v>
      </c>
      <c r="AM126" s="112"/>
    </row>
    <row r="127" spans="4:59" x14ac:dyDescent="0.25">
      <c r="F127">
        <v>1</v>
      </c>
      <c r="G127">
        <f>SMALL($G$113:$G$121,F127)</f>
        <v>0</v>
      </c>
      <c r="H127" s="112">
        <f ca="1">SMALL($H$113:$H$121,F127)</f>
        <v>45536</v>
      </c>
      <c r="J127" s="112">
        <f ca="1">H127</f>
        <v>45536</v>
      </c>
      <c r="P127" s="112">
        <f ca="1">J127</f>
        <v>45536</v>
      </c>
      <c r="R127">
        <f ca="1">P127-J127</f>
        <v>0</v>
      </c>
      <c r="T127" s="112">
        <f ca="1">IF(R127&gt;10,DATE(YEAR(P127),MONTH(P127)-1,DAY(P127)),P127)</f>
        <v>45536</v>
      </c>
      <c r="V127">
        <f ca="1">T127-J127</f>
        <v>0</v>
      </c>
      <c r="X127" s="112">
        <f ca="1">T127</f>
        <v>45536</v>
      </c>
      <c r="AA127" s="438" t="str">
        <f>IF(AND(AH127="SI",AH128&gt;2,AH128&lt;9,AH129="NO",AH130="Doc"),3,"")</f>
        <v/>
      </c>
      <c r="AF127" t="s">
        <v>475</v>
      </c>
      <c r="AH127" t="str">
        <f xml:space="preserve">  IF(AF125&lt;AF124,"SI",             fronttibis!H25)</f>
        <v>SI</v>
      </c>
      <c r="AK127">
        <v>1</v>
      </c>
      <c r="AL127">
        <f>IF(AA137=3,3,SMALL($AL$113:$AL$121,AK127))</f>
        <v>0</v>
      </c>
      <c r="AM127" s="112">
        <f ca="1">SMALL($AM$113:$AM$121,AK127)</f>
        <v>45536</v>
      </c>
      <c r="AO127" s="112">
        <f ca="1">AM127</f>
        <v>45536</v>
      </c>
      <c r="AS127">
        <f>IF(AS125=0,DAY(AI141),30-AS125)</f>
        <v>1</v>
      </c>
      <c r="AU127" s="112">
        <f ca="1">AO127</f>
        <v>45536</v>
      </c>
      <c r="AW127">
        <f ca="1">INT(AU127-AO127)</f>
        <v>0</v>
      </c>
      <c r="AY127" s="112">
        <f ca="1">AU127</f>
        <v>45536</v>
      </c>
      <c r="BD127">
        <f>fronttibis!R27</f>
        <v>0</v>
      </c>
      <c r="BE127" s="112">
        <f>fronttibis!S27</f>
        <v>45536</v>
      </c>
      <c r="BG127">
        <f>LEN(BD131)</f>
        <v>1</v>
      </c>
    </row>
    <row r="128" spans="4:59" x14ac:dyDescent="0.25">
      <c r="F128">
        <v>2</v>
      </c>
      <c r="G128">
        <f t="shared" ref="G128:G134" si="53">SMALL($G$113:$G$121,F128)</f>
        <v>9</v>
      </c>
      <c r="H128" s="112">
        <f t="shared" ref="H128:H134" ca="1" si="54">SMALL($H$113:$H$121,F128)</f>
        <v>47119</v>
      </c>
      <c r="J128" s="112">
        <f ca="1">H128</f>
        <v>47119</v>
      </c>
      <c r="P128" s="112">
        <f t="shared" ref="P128:P134" ca="1" si="55" xml:space="preserve">  IF(G128&lt;21,         DATE(YEAR(J128),MONTH(J128),$O$125),   DATE(YEAR(J128),MONTH(J128),$O$126))</f>
        <v>47119</v>
      </c>
      <c r="R128">
        <f ca="1">ABS(P128-J128)</f>
        <v>0</v>
      </c>
      <c r="T128" s="112">
        <f ca="1">IF(R128&gt;10,DATE(YEAR(P128),MONTH(P128)-1,DAY(P128)),P128)</f>
        <v>47119</v>
      </c>
      <c r="V128">
        <f ca="1">ABS(T128-J128)</f>
        <v>0</v>
      </c>
      <c r="X128" s="112">
        <f ca="1">IF(V128&gt;10,DATE(YEAR(P128),MONTH(P128)+1,DAY(P128)),T128)</f>
        <v>47119</v>
      </c>
      <c r="AA128" s="439" t="str">
        <f>IF(AND(AH127="SI",AH128&gt;2,AH128&lt;9,AH130&lt;&gt;"Doc"),3,"")</f>
        <v/>
      </c>
      <c r="AF128" t="s">
        <v>484</v>
      </c>
      <c r="AG128" t="s">
        <v>56</v>
      </c>
      <c r="AH128">
        <f>fronttibis!I32</f>
        <v>10</v>
      </c>
      <c r="AK128">
        <v>2</v>
      </c>
      <c r="AL128">
        <f t="shared" ref="AL128:AL134" si="56">SMALL($AL$113:$AL$121,AK128)</f>
        <v>9</v>
      </c>
      <c r="AM128" s="112">
        <f t="shared" ref="AM128:AM134" ca="1" si="57">SMALL($AM$113:$AM$121,AK128)</f>
        <v>45901</v>
      </c>
      <c r="AO128" s="112">
        <f ca="1">AM128</f>
        <v>45901</v>
      </c>
      <c r="AU128" s="112">
        <f t="shared" ref="AU128:AU134" ca="1" si="58">DATE(YEAR(AO128),MONTH(AO128),$AS$127)</f>
        <v>45901</v>
      </c>
      <c r="AW128">
        <f t="shared" ref="AW128:AW134" ca="1" si="59">INT(AU128-AO128)</f>
        <v>0</v>
      </c>
      <c r="AY128" s="112">
        <f ca="1">IF(AW128&gt;10,DATE(YEAR(AU128),MONTH(AU128)-1,DAY(AU128)),AU128)</f>
        <v>45901</v>
      </c>
      <c r="BA128">
        <f ca="1">AY128-AO128</f>
        <v>0</v>
      </c>
      <c r="BD128">
        <f>fronttibis!R28</f>
        <v>0</v>
      </c>
      <c r="BE128" s="112">
        <f>fronttibis!S28</f>
        <v>0</v>
      </c>
    </row>
    <row r="129" spans="3:57" x14ac:dyDescent="0.25">
      <c r="F129">
        <v>3</v>
      </c>
      <c r="G129">
        <f t="shared" si="53"/>
        <v>15</v>
      </c>
      <c r="H129" s="112">
        <f t="shared" ca="1" si="54"/>
        <v>49310</v>
      </c>
      <c r="J129" s="112">
        <f t="shared" ref="J129:J134" ca="1" si="60">IF(YEAR(H129)=2013,DATE(YEAR(H129)+1,MONTH(H129),DAY(H129)),H129)</f>
        <v>49310</v>
      </c>
      <c r="P129" s="112">
        <f t="shared" ca="1" si="55"/>
        <v>49310</v>
      </c>
      <c r="R129">
        <f t="shared" ref="R129:R134" ca="1" si="61">ABS(P129-J129)</f>
        <v>0</v>
      </c>
      <c r="T129" s="112">
        <f t="shared" ref="T129:T134" ca="1" si="62">IF(R129&gt;10,DATE(YEAR(P129),MONTH(P129)-1,DAY(P129)),P129)</f>
        <v>49310</v>
      </c>
      <c r="V129">
        <f t="shared" ref="V129:V134" ca="1" si="63">ABS(T129-J129)</f>
        <v>0</v>
      </c>
      <c r="X129" s="112">
        <f t="shared" ref="X129:X134" ca="1" si="64">IF(V129&gt;10,DATE(YEAR(P129),MONTH(P129)+1,DAY(P129)),T129)</f>
        <v>49310</v>
      </c>
      <c r="AA129" s="439"/>
      <c r="AF129" t="s">
        <v>485</v>
      </c>
      <c r="AH129" t="str">
        <f xml:space="preserve">    IF(LEFT(AH130,3)="Doc",               fronttibis!H23,"NO")</f>
        <v>SI</v>
      </c>
      <c r="AK129">
        <v>3</v>
      </c>
      <c r="AL129">
        <f t="shared" si="56"/>
        <v>15</v>
      </c>
      <c r="AM129" s="112">
        <f t="shared" ca="1" si="57"/>
        <v>47362</v>
      </c>
      <c r="AO129" s="112">
        <f t="shared" ref="AO129:AO134" ca="1" si="65">IF(YEAR(AM129)=AQ126,DATE(  YEAR(AM129)+1,MONTH(AM129),DAY(AM129)),AM129)</f>
        <v>47362</v>
      </c>
      <c r="AU129" s="112">
        <f t="shared" ca="1" si="58"/>
        <v>47362</v>
      </c>
      <c r="AW129">
        <f t="shared" ca="1" si="59"/>
        <v>0</v>
      </c>
      <c r="AY129" s="112">
        <f t="shared" ref="AY129:AY134" ca="1" si="66">IF(AW129&gt;10,DATE(YEAR(AU129),MONTH(AU129)-1,DAY(AU129)),AU129)</f>
        <v>47362</v>
      </c>
      <c r="BA129">
        <f t="shared" ref="BA129:BA134" ca="1" si="67">AY129-AO129</f>
        <v>0</v>
      </c>
      <c r="BD129">
        <f>fronttibis!R29</f>
        <v>0</v>
      </c>
      <c r="BE129" s="112">
        <f>fronttibis!S29</f>
        <v>0</v>
      </c>
    </row>
    <row r="130" spans="3:57" x14ac:dyDescent="0.25">
      <c r="F130">
        <v>4</v>
      </c>
      <c r="G130">
        <f t="shared" si="53"/>
        <v>21</v>
      </c>
      <c r="H130" s="112">
        <f t="shared" ca="1" si="54"/>
        <v>51381</v>
      </c>
      <c r="J130" s="112">
        <f t="shared" ca="1" si="60"/>
        <v>51381</v>
      </c>
      <c r="P130" s="112">
        <f t="shared" ca="1" si="55"/>
        <v>51380</v>
      </c>
      <c r="R130">
        <f t="shared" ca="1" si="61"/>
        <v>1</v>
      </c>
      <c r="T130" s="112">
        <f t="shared" ca="1" si="62"/>
        <v>51380</v>
      </c>
      <c r="V130">
        <f t="shared" ca="1" si="63"/>
        <v>1</v>
      </c>
      <c r="X130" s="112">
        <f t="shared" ca="1" si="64"/>
        <v>51380</v>
      </c>
      <c r="AA130" s="439"/>
      <c r="AF130" t="s">
        <v>486</v>
      </c>
      <c r="AH130" t="str">
        <f>LEFT(fronttibis!E20,3)</f>
        <v>Doc</v>
      </c>
      <c r="AK130">
        <v>4</v>
      </c>
      <c r="AL130">
        <f t="shared" si="56"/>
        <v>21</v>
      </c>
      <c r="AM130" s="112">
        <f t="shared" ca="1" si="57"/>
        <v>49554</v>
      </c>
      <c r="AO130" s="112">
        <f t="shared" ca="1" si="65"/>
        <v>49554</v>
      </c>
      <c r="AU130" s="112">
        <f t="shared" ca="1" si="58"/>
        <v>49553</v>
      </c>
      <c r="AW130">
        <f t="shared" ca="1" si="59"/>
        <v>-1</v>
      </c>
      <c r="AY130" s="112">
        <f t="shared" ca="1" si="66"/>
        <v>49553</v>
      </c>
      <c r="BA130">
        <f t="shared" ca="1" si="67"/>
        <v>-1</v>
      </c>
      <c r="BD130">
        <f>fronttibis!R30</f>
        <v>0</v>
      </c>
      <c r="BE130" s="112">
        <f>fronttibis!S30</f>
        <v>0</v>
      </c>
    </row>
    <row r="131" spans="3:57" x14ac:dyDescent="0.25">
      <c r="F131">
        <v>5</v>
      </c>
      <c r="G131">
        <f t="shared" si="53"/>
        <v>28</v>
      </c>
      <c r="H131" s="112">
        <f t="shared" ca="1" si="54"/>
        <v>53937</v>
      </c>
      <c r="J131" s="112">
        <f t="shared" ca="1" si="60"/>
        <v>53937</v>
      </c>
      <c r="P131" s="112">
        <f t="shared" ca="1" si="55"/>
        <v>53936</v>
      </c>
      <c r="R131">
        <f t="shared" ca="1" si="61"/>
        <v>1</v>
      </c>
      <c r="T131" s="112">
        <f t="shared" ca="1" si="62"/>
        <v>53936</v>
      </c>
      <c r="V131">
        <f t="shared" ca="1" si="63"/>
        <v>1</v>
      </c>
      <c r="X131" s="112">
        <f t="shared" ca="1" si="64"/>
        <v>53936</v>
      </c>
      <c r="AA131" s="439"/>
      <c r="AK131">
        <v>5</v>
      </c>
      <c r="AL131">
        <f t="shared" si="56"/>
        <v>28</v>
      </c>
      <c r="AM131" s="112">
        <f t="shared" ca="1" si="57"/>
        <v>52111</v>
      </c>
      <c r="AO131" s="112">
        <f t="shared" ca="1" si="65"/>
        <v>52111</v>
      </c>
      <c r="AU131" s="112">
        <f t="shared" ca="1" si="58"/>
        <v>52110</v>
      </c>
      <c r="AW131">
        <f t="shared" ca="1" si="59"/>
        <v>-1</v>
      </c>
      <c r="AY131" s="112">
        <f t="shared" ca="1" si="66"/>
        <v>52110</v>
      </c>
      <c r="BA131">
        <f t="shared" ca="1" si="67"/>
        <v>-1</v>
      </c>
      <c r="BD131">
        <f>fronttibis!R31</f>
        <v>0</v>
      </c>
      <c r="BE131" s="112">
        <f>fronttibis!S31</f>
        <v>0</v>
      </c>
    </row>
    <row r="132" spans="3:57" x14ac:dyDescent="0.25">
      <c r="F132">
        <v>6</v>
      </c>
      <c r="G132">
        <f t="shared" si="53"/>
        <v>100000</v>
      </c>
      <c r="H132" s="112">
        <f t="shared" ca="1" si="54"/>
        <v>100000</v>
      </c>
      <c r="J132" s="112">
        <f t="shared" ca="1" si="60"/>
        <v>100000</v>
      </c>
      <c r="P132" s="112">
        <f t="shared" ca="1" si="55"/>
        <v>99987</v>
      </c>
      <c r="R132">
        <f t="shared" ca="1" si="61"/>
        <v>13</v>
      </c>
      <c r="T132" s="112">
        <f t="shared" ca="1" si="62"/>
        <v>99957</v>
      </c>
      <c r="V132">
        <f t="shared" ca="1" si="63"/>
        <v>43</v>
      </c>
      <c r="X132" s="112">
        <f t="shared" ca="1" si="64"/>
        <v>100018</v>
      </c>
      <c r="AA132" s="439"/>
      <c r="AK132">
        <v>6</v>
      </c>
      <c r="AL132">
        <f t="shared" si="56"/>
        <v>100000</v>
      </c>
      <c r="AM132" s="112">
        <f t="shared" ca="1" si="57"/>
        <v>100000</v>
      </c>
      <c r="AO132" s="112">
        <f t="shared" ca="1" si="65"/>
        <v>100000</v>
      </c>
      <c r="AU132" s="112">
        <f t="shared" ca="1" si="58"/>
        <v>99987</v>
      </c>
      <c r="AW132">
        <f t="shared" ca="1" si="59"/>
        <v>-13</v>
      </c>
      <c r="AY132" s="112">
        <f t="shared" ca="1" si="66"/>
        <v>99987</v>
      </c>
      <c r="BA132">
        <f t="shared" ca="1" si="67"/>
        <v>-13</v>
      </c>
      <c r="BD132">
        <f>fronttibis!R32</f>
        <v>0</v>
      </c>
      <c r="BE132" s="112">
        <f>fronttibis!S32</f>
        <v>0</v>
      </c>
    </row>
    <row r="133" spans="3:57" x14ac:dyDescent="0.25">
      <c r="F133">
        <v>7</v>
      </c>
      <c r="G133">
        <f t="shared" si="53"/>
        <v>100000</v>
      </c>
      <c r="H133" s="112">
        <f t="shared" ca="1" si="54"/>
        <v>100000</v>
      </c>
      <c r="J133" s="112">
        <f t="shared" ca="1" si="60"/>
        <v>100000</v>
      </c>
      <c r="P133" s="112">
        <f t="shared" ca="1" si="55"/>
        <v>99987</v>
      </c>
      <c r="R133">
        <f t="shared" ca="1" si="61"/>
        <v>13</v>
      </c>
      <c r="T133" s="112">
        <f t="shared" ca="1" si="62"/>
        <v>99957</v>
      </c>
      <c r="V133">
        <f t="shared" ca="1" si="63"/>
        <v>43</v>
      </c>
      <c r="X133" s="112">
        <f t="shared" ca="1" si="64"/>
        <v>100018</v>
      </c>
      <c r="AA133" s="439"/>
      <c r="AK133">
        <v>7</v>
      </c>
      <c r="AL133">
        <f t="shared" si="56"/>
        <v>100000</v>
      </c>
      <c r="AM133" s="112">
        <f t="shared" ca="1" si="57"/>
        <v>100000</v>
      </c>
      <c r="AO133" s="112">
        <f t="shared" ca="1" si="65"/>
        <v>100000</v>
      </c>
      <c r="AU133" s="112">
        <f t="shared" ca="1" si="58"/>
        <v>99987</v>
      </c>
      <c r="AW133">
        <f t="shared" ca="1" si="59"/>
        <v>-13</v>
      </c>
      <c r="AY133" s="112">
        <f t="shared" ca="1" si="66"/>
        <v>99987</v>
      </c>
      <c r="BA133">
        <f t="shared" ca="1" si="67"/>
        <v>-13</v>
      </c>
      <c r="BD133">
        <f>fronttibis!R33</f>
        <v>0</v>
      </c>
      <c r="BE133" s="112">
        <f>fronttibis!S33</f>
        <v>0</v>
      </c>
    </row>
    <row r="134" spans="3:57" x14ac:dyDescent="0.25">
      <c r="F134">
        <v>8</v>
      </c>
      <c r="G134">
        <f t="shared" si="53"/>
        <v>100000</v>
      </c>
      <c r="H134" s="112">
        <f t="shared" ca="1" si="54"/>
        <v>100000</v>
      </c>
      <c r="J134" s="112">
        <f t="shared" ca="1" si="60"/>
        <v>100000</v>
      </c>
      <c r="P134" s="112">
        <f t="shared" ca="1" si="55"/>
        <v>99987</v>
      </c>
      <c r="R134">
        <f t="shared" ca="1" si="61"/>
        <v>13</v>
      </c>
      <c r="T134" s="112">
        <f t="shared" ca="1" si="62"/>
        <v>99957</v>
      </c>
      <c r="V134">
        <f t="shared" ca="1" si="63"/>
        <v>43</v>
      </c>
      <c r="X134" s="112">
        <f t="shared" ca="1" si="64"/>
        <v>100018</v>
      </c>
      <c r="AA134" s="440"/>
      <c r="AK134">
        <v>8</v>
      </c>
      <c r="AL134">
        <f t="shared" si="56"/>
        <v>100000</v>
      </c>
      <c r="AM134" s="112">
        <f t="shared" ca="1" si="57"/>
        <v>100000</v>
      </c>
      <c r="AO134" s="112">
        <f t="shared" ca="1" si="65"/>
        <v>100000</v>
      </c>
      <c r="AU134" s="112">
        <f t="shared" ca="1" si="58"/>
        <v>99987</v>
      </c>
      <c r="AW134">
        <f t="shared" ca="1" si="59"/>
        <v>-13</v>
      </c>
      <c r="AY134" s="112">
        <f t="shared" ca="1" si="66"/>
        <v>99987</v>
      </c>
      <c r="BA134">
        <f t="shared" ca="1" si="67"/>
        <v>-13</v>
      </c>
      <c r="BD134">
        <f>fronttibis!R34</f>
        <v>0</v>
      </c>
      <c r="BE134" s="112">
        <f>fronttibis!S34</f>
        <v>0</v>
      </c>
    </row>
    <row r="137" spans="3:57" x14ac:dyDescent="0.25">
      <c r="AA137">
        <f>MAX(AA127:AA134)</f>
        <v>0</v>
      </c>
    </row>
    <row r="138" spans="3:57" x14ac:dyDescent="0.25">
      <c r="F138">
        <f>IF(AND(fronttibis!G38="",fronttibis!H38="",fronttibis!I38="",fronttibis!G39="",fronttibis!H39="",fronttibis!I39=""),0,1)</f>
        <v>1</v>
      </c>
      <c r="AH138" t="s">
        <v>487</v>
      </c>
      <c r="AI138" t="str">
        <f>fronttibis!L20</f>
        <v>SI</v>
      </c>
      <c r="AJ138">
        <f>IF(AI138="SI",2013,2050)</f>
        <v>2013</v>
      </c>
    </row>
    <row r="139" spans="3:57" x14ac:dyDescent="0.25">
      <c r="G139" t="str">
        <f ca="1">IF($F$138=0,"",IF(AND(G127=0,H127&gt;=K83),"0-8 anni",VLOOKUP(G127,$D$111:$E$118,2)))</f>
        <v>0-8 anni</v>
      </c>
      <c r="H139" s="112">
        <f ca="1">X127</f>
        <v>45536</v>
      </c>
      <c r="AL139" s="246" t="str">
        <f ca="1">IF(AND(AL127=0,AM127&gt;=AP83),"0-8 anni",VLOOKUP(AL127,$D$111:$E$118,2))</f>
        <v>0-2 anni</v>
      </c>
      <c r="AM139" s="270">
        <f ca="1">AY127</f>
        <v>45536</v>
      </c>
    </row>
    <row r="140" spans="3:57" x14ac:dyDescent="0.25">
      <c r="G140" t="str">
        <f t="shared" ref="G140:G146" ca="1" si="68">IF($F$138=0,"",IF(AND(G128=0,H128&gt;=K84),"0-8 anni",VLOOKUP(G128,$D$111:$E$118,2)))</f>
        <v>9-14 anni</v>
      </c>
      <c r="H140" s="112">
        <f ca="1">IF(G139="0-8 anni",X128, IF(LEFT(D140,3)="Doc",J140,X128))</f>
        <v>47119</v>
      </c>
      <c r="J140" s="112">
        <f ca="1">IF(AND(LEFT(D140,3)="Doc",D143&lt;2,YEAR(D144)&lt;2010),X128,DATE(YEAR(H139)+1,MONTH(H139),DAY(H139)))</f>
        <v>45901</v>
      </c>
      <c r="AL140" s="246" t="str">
        <f t="shared" ref="AL140:AL146" ca="1" si="69">IF(AND(AL128=0,AM128&gt;=AP84),"0-8 anni",VLOOKUP(AL128,$D$111:$E$118,2))</f>
        <v>9-14 anni</v>
      </c>
      <c r="AM140" s="270">
        <f ca="1">AO140</f>
        <v>45901</v>
      </c>
      <c r="AO140" s="112">
        <f ca="1">IF(AND(LEFT(D140,3)="Doc",E141="SI",YEAR(AO128)-YEAR(AO127)&lt;2,YEAR(AO127)&gt;2009),AO128,AY128)</f>
        <v>45901</v>
      </c>
    </row>
    <row r="141" spans="3:57" x14ac:dyDescent="0.25">
      <c r="D141" t="s">
        <v>483</v>
      </c>
      <c r="E141" t="str">
        <f>IF(LEFT(D140,3)="Doc",fronttibis!H23,"NO")</f>
        <v>NO</v>
      </c>
      <c r="G141" t="str">
        <f t="shared" ca="1" si="68"/>
        <v>15-20 anni</v>
      </c>
      <c r="H141" s="112">
        <f t="shared" ref="H141:H146" ca="1" si="70" xml:space="preserve">  IF($F$138=0,"",        X129)</f>
        <v>49310</v>
      </c>
      <c r="AI141" s="112">
        <f>fronttibis!C47</f>
        <v>45901</v>
      </c>
      <c r="AL141" s="246" t="str">
        <f t="shared" ca="1" si="69"/>
        <v>15-20 anni</v>
      </c>
      <c r="AM141" s="270">
        <f t="shared" ref="AM141:AM146" ca="1" si="71">AY129</f>
        <v>47362</v>
      </c>
    </row>
    <row r="142" spans="3:57" x14ac:dyDescent="0.25">
      <c r="G142" t="str">
        <f t="shared" ca="1" si="68"/>
        <v>21-27 anni</v>
      </c>
      <c r="H142" s="112">
        <f t="shared" ca="1" si="70"/>
        <v>51380</v>
      </c>
      <c r="AL142" s="246" t="str">
        <f t="shared" ca="1" si="69"/>
        <v>21-27 anni</v>
      </c>
      <c r="AM142" s="270">
        <f t="shared" ca="1" si="71"/>
        <v>49553</v>
      </c>
    </row>
    <row r="143" spans="3:57" x14ac:dyDescent="0.25">
      <c r="C143" t="s">
        <v>56</v>
      </c>
      <c r="D143">
        <f>fronttibis!G38</f>
        <v>4</v>
      </c>
      <c r="G143" t="str">
        <f t="shared" ca="1" si="68"/>
        <v>28-34 anni</v>
      </c>
      <c r="H143" s="112">
        <f t="shared" ca="1" si="70"/>
        <v>53936</v>
      </c>
      <c r="AL143" s="246" t="str">
        <f t="shared" ca="1" si="69"/>
        <v>28-34 anni</v>
      </c>
      <c r="AM143" s="270">
        <f t="shared" ca="1" si="71"/>
        <v>52110</v>
      </c>
    </row>
    <row r="144" spans="3:57" x14ac:dyDescent="0.25">
      <c r="C144" t="s">
        <v>93</v>
      </c>
      <c r="D144" s="112">
        <f>fronttibis!F29</f>
        <v>45536</v>
      </c>
      <c r="G144">
        <f t="shared" ca="1" si="68"/>
        <v>100000</v>
      </c>
      <c r="H144" s="112">
        <f t="shared" ca="1" si="70"/>
        <v>100018</v>
      </c>
      <c r="AL144" s="246">
        <f t="shared" ca="1" si="69"/>
        <v>100000</v>
      </c>
      <c r="AM144" s="270">
        <f t="shared" ca="1" si="71"/>
        <v>99987</v>
      </c>
    </row>
    <row r="145" spans="4:39" x14ac:dyDescent="0.25">
      <c r="G145">
        <f t="shared" ca="1" si="68"/>
        <v>100000</v>
      </c>
      <c r="H145" s="112">
        <f t="shared" ca="1" si="70"/>
        <v>100018</v>
      </c>
      <c r="AL145" s="246">
        <f t="shared" ca="1" si="69"/>
        <v>100000</v>
      </c>
      <c r="AM145" s="270">
        <f t="shared" ca="1" si="71"/>
        <v>99987</v>
      </c>
    </row>
    <row r="146" spans="4:39" x14ac:dyDescent="0.25">
      <c r="G146">
        <f t="shared" ca="1" si="68"/>
        <v>100000</v>
      </c>
      <c r="H146" s="112">
        <f t="shared" ca="1" si="70"/>
        <v>100018</v>
      </c>
      <c r="AL146" s="246">
        <f t="shared" ca="1" si="69"/>
        <v>100000</v>
      </c>
      <c r="AM146" s="270">
        <f t="shared" ca="1" si="71"/>
        <v>99987</v>
      </c>
    </row>
    <row r="147" spans="4:39" x14ac:dyDescent="0.25">
      <c r="H147" s="112"/>
      <c r="AL147" s="246"/>
      <c r="AM147" s="270"/>
    </row>
    <row r="154" spans="4:39" x14ac:dyDescent="0.25">
      <c r="D154" s="112"/>
    </row>
  </sheetData>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I287"/>
  <sheetViews>
    <sheetView topLeftCell="A134" zoomScale="80" zoomScaleNormal="80" workbookViewId="0">
      <selection activeCell="AJ171" sqref="AJ171"/>
    </sheetView>
  </sheetViews>
  <sheetFormatPr defaultRowHeight="15" x14ac:dyDescent="0.25"/>
  <cols>
    <col min="1" max="1" width="4.140625" style="113" customWidth="1"/>
    <col min="2" max="26" width="2.7109375" style="113" customWidth="1"/>
    <col min="27" max="27" width="8.5703125" style="113" customWidth="1"/>
    <col min="28" max="28" width="12.85546875" customWidth="1"/>
    <col min="29" max="29" width="14.5703125" style="342" customWidth="1"/>
    <col min="30" max="30" width="11.42578125" customWidth="1"/>
    <col min="32" max="32" width="11.85546875" customWidth="1"/>
    <col min="43" max="43" width="14.85546875" customWidth="1"/>
  </cols>
  <sheetData>
    <row r="1" spans="28:30" x14ac:dyDescent="0.25">
      <c r="AB1" t="s">
        <v>40</v>
      </c>
    </row>
    <row r="2" spans="28:30" x14ac:dyDescent="0.25">
      <c r="AB2" t="s">
        <v>60</v>
      </c>
    </row>
    <row r="3" spans="28:30" x14ac:dyDescent="0.25">
      <c r="AB3" t="s">
        <v>63</v>
      </c>
    </row>
    <row r="4" spans="28:30" x14ac:dyDescent="0.25">
      <c r="AB4" t="s">
        <v>89</v>
      </c>
    </row>
    <row r="5" spans="28:30" x14ac:dyDescent="0.25">
      <c r="AB5" t="s">
        <v>90</v>
      </c>
    </row>
    <row r="6" spans="28:30" x14ac:dyDescent="0.25">
      <c r="AB6" t="s">
        <v>92</v>
      </c>
    </row>
    <row r="7" spans="28:30" x14ac:dyDescent="0.25">
      <c r="AB7" t="s">
        <v>91</v>
      </c>
    </row>
    <row r="10" spans="28:30" x14ac:dyDescent="0.25">
      <c r="AB10" t="str">
        <f>CONCATENATE(fronttibis!E20,"!")</f>
        <v>DocentePrimaria!</v>
      </c>
    </row>
    <row r="12" spans="28:30" x14ac:dyDescent="0.25">
      <c r="AB12" t="s">
        <v>57</v>
      </c>
      <c r="AD12" s="114">
        <f ca="1">ROUND((AF165-AF164),2)</f>
        <v>522.04999999999995</v>
      </c>
    </row>
    <row r="19" spans="1:61" x14ac:dyDescent="0.25">
      <c r="AB19" s="112"/>
    </row>
    <row r="20" spans="1:61" ht="21" x14ac:dyDescent="0.35">
      <c r="AB20" s="286" t="s">
        <v>261</v>
      </c>
    </row>
    <row r="27" spans="1:61" ht="18.75" x14ac:dyDescent="0.3">
      <c r="AB27" s="293" t="s">
        <v>262</v>
      </c>
      <c r="AC27" s="447"/>
      <c r="AD27" s="293" t="str">
        <f>AB10</f>
        <v>DocentePrimaria!</v>
      </c>
      <c r="AE27" s="293"/>
      <c r="AF27" s="293"/>
    </row>
    <row r="30" spans="1:61" ht="61.9" customHeight="1" x14ac:dyDescent="0.25">
      <c r="AA30" s="113" t="s">
        <v>56</v>
      </c>
      <c r="AB30" s="111" t="s">
        <v>14</v>
      </c>
      <c r="AC30" s="448" t="s">
        <v>15</v>
      </c>
      <c r="AD30" s="111"/>
      <c r="AE30" s="111" t="s">
        <v>58</v>
      </c>
      <c r="AF30" s="111" t="s">
        <v>233</v>
      </c>
      <c r="AG30" s="111" t="s">
        <v>17</v>
      </c>
      <c r="AH30" s="111" t="s">
        <v>18</v>
      </c>
      <c r="AI30" s="111" t="s">
        <v>19</v>
      </c>
      <c r="AJ30" s="111" t="s">
        <v>20</v>
      </c>
      <c r="AK30" s="111" t="s">
        <v>41</v>
      </c>
      <c r="AL30" s="111"/>
      <c r="AM30" s="111"/>
      <c r="AN30" s="111"/>
      <c r="AO30" s="111"/>
      <c r="AP30" s="111"/>
      <c r="AQ30" s="111" t="s">
        <v>22</v>
      </c>
      <c r="AR30" s="111"/>
      <c r="AS30" s="111"/>
      <c r="AT30" s="111"/>
      <c r="AU30" s="111"/>
      <c r="AV30" s="111"/>
      <c r="AW30" s="111"/>
      <c r="AX30" s="111"/>
      <c r="AY30" s="111"/>
      <c r="AZ30" s="111"/>
      <c r="BG30" t="s">
        <v>418</v>
      </c>
      <c r="BI30" t="s">
        <v>419</v>
      </c>
    </row>
    <row r="31" spans="1:61" x14ac:dyDescent="0.25">
      <c r="A31" s="113">
        <v>420</v>
      </c>
      <c r="B31" s="113" t="s">
        <v>42</v>
      </c>
      <c r="C31" s="113" t="s">
        <v>43</v>
      </c>
      <c r="D31" s="113" t="s">
        <v>54</v>
      </c>
      <c r="E31" s="113" t="s">
        <v>44</v>
      </c>
      <c r="F31" s="113" t="s">
        <v>45</v>
      </c>
      <c r="G31" s="113" t="s">
        <v>46</v>
      </c>
      <c r="H31" s="113" t="s">
        <v>47</v>
      </c>
      <c r="I31" s="113" t="s">
        <v>48</v>
      </c>
      <c r="J31" s="113" t="s">
        <v>49</v>
      </c>
      <c r="K31" s="113" t="s">
        <v>50</v>
      </c>
      <c r="L31" s="113" t="s">
        <v>51</v>
      </c>
      <c r="M31" s="113" t="s">
        <v>52</v>
      </c>
      <c r="N31" s="113" t="s">
        <v>53</v>
      </c>
      <c r="Q31" s="113" t="s">
        <v>55</v>
      </c>
      <c r="AA31" s="113">
        <v>0</v>
      </c>
      <c r="AB31" s="112">
        <f ca="1">INDIRECT(CONCATENATE($AB$10,CONCATENATE(B31,$A31)))</f>
        <v>35065</v>
      </c>
      <c r="AC31" s="428">
        <f ca="1">INDIRECT(CONCATENATE($AB$10,CONCATENATE(C31,$A31)))</f>
        <v>35369</v>
      </c>
      <c r="AD31" t="s">
        <v>515</v>
      </c>
      <c r="AF31" s="114">
        <f ca="1">INDIRECT(CONCATENATE($AB$10,CONCATENATE(F31,$A31)))</f>
        <v>7621.87</v>
      </c>
      <c r="AG31" s="114">
        <f t="shared" ref="AF31:AK46" ca="1" si="0">INDIRECT(CONCATENATE($AB$10,CONCATENATE(G31,$A31)))</f>
        <v>0</v>
      </c>
      <c r="AH31" s="114">
        <f t="shared" ca="1" si="0"/>
        <v>0</v>
      </c>
      <c r="AI31" s="114">
        <f t="shared" ca="1" si="0"/>
        <v>6384.11</v>
      </c>
      <c r="AJ31" s="114">
        <f t="shared" ca="1" si="0"/>
        <v>0</v>
      </c>
      <c r="AK31" s="114">
        <f t="shared" ca="1" si="0"/>
        <v>1167.17</v>
      </c>
      <c r="AN31">
        <f>31</f>
        <v>31</v>
      </c>
      <c r="AQ31" s="114">
        <f ca="1">INDIRECT(CONCATENATE($AB$10,CONCATENATE(Q31,$A31)))</f>
        <v>0</v>
      </c>
      <c r="AW31">
        <v>31</v>
      </c>
      <c r="BG31" s="114">
        <f ca="1">AF31+AG31+AH31+AI31+AJ31+AQ31</f>
        <v>14005.98</v>
      </c>
      <c r="BI31">
        <f>AE31</f>
        <v>0</v>
      </c>
    </row>
    <row r="32" spans="1:61" x14ac:dyDescent="0.25">
      <c r="A32" s="113">
        <f t="shared" ref="A32:A37" si="1">A31+2</f>
        <v>422</v>
      </c>
      <c r="B32" s="113" t="str">
        <f t="shared" ref="B32:Q37" si="2">B31</f>
        <v>a</v>
      </c>
      <c r="C32" s="113" t="str">
        <f t="shared" si="2"/>
        <v>b</v>
      </c>
      <c r="D32" s="113" t="str">
        <f t="shared" si="2"/>
        <v>c</v>
      </c>
      <c r="E32" s="113" t="str">
        <f t="shared" si="2"/>
        <v>d</v>
      </c>
      <c r="F32" s="113" t="str">
        <f t="shared" si="2"/>
        <v>e</v>
      </c>
      <c r="G32" s="113" t="str">
        <f t="shared" si="2"/>
        <v>f</v>
      </c>
      <c r="H32" s="113" t="str">
        <f t="shared" si="2"/>
        <v>g</v>
      </c>
      <c r="I32" s="113" t="str">
        <f t="shared" si="2"/>
        <v>h</v>
      </c>
      <c r="J32" s="113" t="str">
        <f t="shared" si="2"/>
        <v>i</v>
      </c>
      <c r="K32" s="113" t="str">
        <f t="shared" si="2"/>
        <v>j</v>
      </c>
      <c r="L32" s="113" t="str">
        <f t="shared" si="2"/>
        <v>k</v>
      </c>
      <c r="M32" s="113" t="str">
        <f t="shared" si="2"/>
        <v>l</v>
      </c>
      <c r="N32" s="113" t="str">
        <f t="shared" si="2"/>
        <v>m</v>
      </c>
      <c r="O32" s="113">
        <f t="shared" si="2"/>
        <v>0</v>
      </c>
      <c r="P32" s="113">
        <f t="shared" si="2"/>
        <v>0</v>
      </c>
      <c r="Q32" s="113" t="str">
        <f t="shared" si="2"/>
        <v>p</v>
      </c>
      <c r="AA32" s="113">
        <v>3</v>
      </c>
      <c r="AB32" s="112">
        <f t="shared" ref="AB32:AC37" ca="1" si="3">AB31</f>
        <v>35065</v>
      </c>
      <c r="AC32" s="428">
        <f t="shared" ca="1" si="3"/>
        <v>35369</v>
      </c>
      <c r="AD32" t="s">
        <v>516</v>
      </c>
      <c r="AF32" s="114">
        <f t="shared" ca="1" si="0"/>
        <v>7995.27</v>
      </c>
      <c r="AG32" s="114">
        <f t="shared" ca="1" si="0"/>
        <v>0</v>
      </c>
      <c r="AH32" s="114">
        <f t="shared" ca="1" si="0"/>
        <v>0</v>
      </c>
      <c r="AI32" s="114">
        <f t="shared" ca="1" si="0"/>
        <v>6384.11</v>
      </c>
      <c r="AJ32" s="114">
        <f t="shared" ca="1" si="0"/>
        <v>0</v>
      </c>
      <c r="AK32" s="114">
        <f t="shared" ca="1" si="0"/>
        <v>1198.28</v>
      </c>
      <c r="AN32">
        <f>AN31+1</f>
        <v>32</v>
      </c>
      <c r="AQ32" s="114">
        <f ca="1">INDIRECT(CONCATENATE($AB$10,CONCATENATE(Q32,$A32)))</f>
        <v>0</v>
      </c>
      <c r="AW32">
        <v>32</v>
      </c>
      <c r="BG32" s="114">
        <f t="shared" ref="BG32:BG95" ca="1" si="4">AF32+AG32+AH32+AI32+AJ32+AQ32</f>
        <v>14379.380000000001</v>
      </c>
      <c r="BI32">
        <f t="shared" ref="BI32:BI95" si="5">AE32</f>
        <v>0</v>
      </c>
    </row>
    <row r="33" spans="1:61" x14ac:dyDescent="0.25">
      <c r="A33" s="113">
        <f t="shared" si="1"/>
        <v>424</v>
      </c>
      <c r="B33" s="113" t="str">
        <f t="shared" si="2"/>
        <v>a</v>
      </c>
      <c r="C33" s="113" t="str">
        <f t="shared" si="2"/>
        <v>b</v>
      </c>
      <c r="D33" s="113" t="str">
        <f t="shared" si="2"/>
        <v>c</v>
      </c>
      <c r="E33" s="113" t="str">
        <f t="shared" si="2"/>
        <v>d</v>
      </c>
      <c r="F33" s="113" t="str">
        <f t="shared" si="2"/>
        <v>e</v>
      </c>
      <c r="G33" s="113" t="str">
        <f t="shared" si="2"/>
        <v>f</v>
      </c>
      <c r="H33" s="113" t="str">
        <f t="shared" si="2"/>
        <v>g</v>
      </c>
      <c r="I33" s="113" t="str">
        <f t="shared" si="2"/>
        <v>h</v>
      </c>
      <c r="J33" s="113" t="str">
        <f t="shared" si="2"/>
        <v>i</v>
      </c>
      <c r="K33" s="113" t="str">
        <f t="shared" si="2"/>
        <v>j</v>
      </c>
      <c r="L33" s="113" t="str">
        <f t="shared" si="2"/>
        <v>k</v>
      </c>
      <c r="M33" s="113" t="str">
        <f t="shared" si="2"/>
        <v>l</v>
      </c>
      <c r="N33" s="113" t="str">
        <f t="shared" si="2"/>
        <v>m</v>
      </c>
      <c r="O33" s="113">
        <f t="shared" si="2"/>
        <v>0</v>
      </c>
      <c r="P33" s="113">
        <f t="shared" si="2"/>
        <v>0</v>
      </c>
      <c r="Q33" s="113" t="str">
        <f t="shared" si="2"/>
        <v>p</v>
      </c>
      <c r="AA33" s="113">
        <v>9</v>
      </c>
      <c r="AB33" s="112">
        <f t="shared" ca="1" si="3"/>
        <v>35065</v>
      </c>
      <c r="AC33" s="428">
        <f t="shared" ca="1" si="3"/>
        <v>35369</v>
      </c>
      <c r="AD33" t="s">
        <v>510</v>
      </c>
      <c r="AF33" s="114">
        <f t="shared" ca="1" si="0"/>
        <v>9156.26</v>
      </c>
      <c r="AG33" s="114">
        <f t="shared" ca="1" si="0"/>
        <v>0</v>
      </c>
      <c r="AH33" s="114">
        <f t="shared" ca="1" si="0"/>
        <v>0</v>
      </c>
      <c r="AI33" s="114">
        <f t="shared" ca="1" si="0"/>
        <v>6384.11</v>
      </c>
      <c r="AJ33" s="114">
        <f t="shared" ca="1" si="0"/>
        <v>0</v>
      </c>
      <c r="AK33" s="114">
        <f t="shared" ca="1" si="0"/>
        <v>1295.03</v>
      </c>
      <c r="AN33">
        <f t="shared" ref="AN33:AN96" si="6">AN32+1</f>
        <v>33</v>
      </c>
      <c r="AQ33" s="114">
        <f t="shared" ref="AQ33:AQ96" ca="1" si="7">INDIRECT(CONCATENATE($AB$10,CONCATENATE(Q33,$A33)))</f>
        <v>0</v>
      </c>
      <c r="AW33">
        <v>33</v>
      </c>
      <c r="BG33" s="114">
        <f t="shared" ca="1" si="4"/>
        <v>15540.369999999999</v>
      </c>
      <c r="BI33">
        <f t="shared" si="5"/>
        <v>0</v>
      </c>
    </row>
    <row r="34" spans="1:61" x14ac:dyDescent="0.25">
      <c r="A34" s="113">
        <f t="shared" si="1"/>
        <v>426</v>
      </c>
      <c r="B34" s="113" t="str">
        <f t="shared" si="2"/>
        <v>a</v>
      </c>
      <c r="C34" s="113" t="str">
        <f t="shared" si="2"/>
        <v>b</v>
      </c>
      <c r="D34" s="113" t="str">
        <f t="shared" si="2"/>
        <v>c</v>
      </c>
      <c r="E34" s="113" t="str">
        <f t="shared" si="2"/>
        <v>d</v>
      </c>
      <c r="F34" s="113" t="str">
        <f t="shared" si="2"/>
        <v>e</v>
      </c>
      <c r="G34" s="113" t="str">
        <f t="shared" si="2"/>
        <v>f</v>
      </c>
      <c r="H34" s="113" t="str">
        <f t="shared" si="2"/>
        <v>g</v>
      </c>
      <c r="I34" s="113" t="str">
        <f t="shared" si="2"/>
        <v>h</v>
      </c>
      <c r="J34" s="113" t="str">
        <f t="shared" si="2"/>
        <v>i</v>
      </c>
      <c r="K34" s="113" t="str">
        <f t="shared" si="2"/>
        <v>j</v>
      </c>
      <c r="L34" s="113" t="str">
        <f t="shared" si="2"/>
        <v>k</v>
      </c>
      <c r="M34" s="113" t="str">
        <f t="shared" si="2"/>
        <v>l</v>
      </c>
      <c r="N34" s="113" t="str">
        <f t="shared" si="2"/>
        <v>m</v>
      </c>
      <c r="O34" s="113">
        <f t="shared" si="2"/>
        <v>0</v>
      </c>
      <c r="P34" s="113">
        <f t="shared" si="2"/>
        <v>0</v>
      </c>
      <c r="Q34" s="113" t="str">
        <f t="shared" si="2"/>
        <v>p</v>
      </c>
      <c r="AA34" s="113">
        <v>15</v>
      </c>
      <c r="AB34" s="112">
        <f t="shared" ca="1" si="3"/>
        <v>35065</v>
      </c>
      <c r="AC34" s="428">
        <f t="shared" ca="1" si="3"/>
        <v>35369</v>
      </c>
      <c r="AD34" t="s">
        <v>511</v>
      </c>
      <c r="AF34" s="114">
        <f t="shared" ca="1" si="0"/>
        <v>10520.74</v>
      </c>
      <c r="AG34" s="114">
        <f t="shared" ca="1" si="0"/>
        <v>0</v>
      </c>
      <c r="AH34" s="114">
        <f t="shared" ca="1" si="0"/>
        <v>0</v>
      </c>
      <c r="AI34" s="114">
        <f t="shared" ca="1" si="0"/>
        <v>6384.11</v>
      </c>
      <c r="AJ34" s="114">
        <f t="shared" ca="1" si="0"/>
        <v>0</v>
      </c>
      <c r="AK34" s="114">
        <f t="shared" ca="1" si="0"/>
        <v>1408.74</v>
      </c>
      <c r="AN34">
        <f t="shared" si="6"/>
        <v>34</v>
      </c>
      <c r="AQ34" s="114">
        <f t="shared" ca="1" si="7"/>
        <v>0</v>
      </c>
      <c r="AW34">
        <v>34</v>
      </c>
      <c r="BG34" s="114">
        <f t="shared" ca="1" si="4"/>
        <v>16904.849999999999</v>
      </c>
      <c r="BI34">
        <f t="shared" si="5"/>
        <v>0</v>
      </c>
    </row>
    <row r="35" spans="1:61" x14ac:dyDescent="0.25">
      <c r="A35" s="113">
        <f t="shared" si="1"/>
        <v>428</v>
      </c>
      <c r="B35" s="113" t="str">
        <f t="shared" si="2"/>
        <v>a</v>
      </c>
      <c r="C35" s="113" t="str">
        <f t="shared" si="2"/>
        <v>b</v>
      </c>
      <c r="D35" s="113" t="str">
        <f t="shared" si="2"/>
        <v>c</v>
      </c>
      <c r="E35" s="113" t="str">
        <f t="shared" si="2"/>
        <v>d</v>
      </c>
      <c r="F35" s="113" t="str">
        <f t="shared" si="2"/>
        <v>e</v>
      </c>
      <c r="G35" s="113" t="str">
        <f t="shared" si="2"/>
        <v>f</v>
      </c>
      <c r="H35" s="113" t="str">
        <f t="shared" si="2"/>
        <v>g</v>
      </c>
      <c r="I35" s="113" t="str">
        <f t="shared" si="2"/>
        <v>h</v>
      </c>
      <c r="J35" s="113" t="str">
        <f t="shared" si="2"/>
        <v>i</v>
      </c>
      <c r="K35" s="113" t="str">
        <f t="shared" si="2"/>
        <v>j</v>
      </c>
      <c r="L35" s="113" t="str">
        <f t="shared" si="2"/>
        <v>k</v>
      </c>
      <c r="M35" s="113" t="str">
        <f t="shared" si="2"/>
        <v>l</v>
      </c>
      <c r="N35" s="113" t="str">
        <f t="shared" si="2"/>
        <v>m</v>
      </c>
      <c r="O35" s="113">
        <f t="shared" si="2"/>
        <v>0</v>
      </c>
      <c r="P35" s="113">
        <f t="shared" si="2"/>
        <v>0</v>
      </c>
      <c r="Q35" s="113" t="str">
        <f t="shared" si="2"/>
        <v>p</v>
      </c>
      <c r="AA35" s="113">
        <v>21</v>
      </c>
      <c r="AB35" s="112">
        <f t="shared" ca="1" si="3"/>
        <v>35065</v>
      </c>
      <c r="AC35" s="428">
        <f t="shared" ca="1" si="3"/>
        <v>35369</v>
      </c>
      <c r="AD35" t="s">
        <v>512</v>
      </c>
      <c r="AF35" s="114">
        <f t="shared" ca="1" si="0"/>
        <v>11845.97</v>
      </c>
      <c r="AG35" s="114">
        <f t="shared" ca="1" si="0"/>
        <v>0</v>
      </c>
      <c r="AH35" s="114">
        <f t="shared" ca="1" si="0"/>
        <v>0</v>
      </c>
      <c r="AI35" s="114">
        <f t="shared" ca="1" si="0"/>
        <v>6384.11</v>
      </c>
      <c r="AJ35" s="114">
        <f t="shared" ca="1" si="0"/>
        <v>0</v>
      </c>
      <c r="AK35" s="114">
        <f t="shared" ca="1" si="0"/>
        <v>1519.17</v>
      </c>
      <c r="AN35">
        <f t="shared" si="6"/>
        <v>35</v>
      </c>
      <c r="AQ35" s="114">
        <f t="shared" ca="1" si="7"/>
        <v>0</v>
      </c>
      <c r="AW35">
        <v>35</v>
      </c>
      <c r="BG35" s="114">
        <f t="shared" ca="1" si="4"/>
        <v>18230.079999999998</v>
      </c>
      <c r="BI35">
        <f t="shared" si="5"/>
        <v>0</v>
      </c>
    </row>
    <row r="36" spans="1:61" x14ac:dyDescent="0.25">
      <c r="A36" s="113">
        <f t="shared" si="1"/>
        <v>430</v>
      </c>
      <c r="B36" s="113" t="str">
        <f t="shared" si="2"/>
        <v>a</v>
      </c>
      <c r="C36" s="113" t="str">
        <f t="shared" si="2"/>
        <v>b</v>
      </c>
      <c r="D36" s="113" t="str">
        <f t="shared" si="2"/>
        <v>c</v>
      </c>
      <c r="E36" s="113" t="str">
        <f t="shared" si="2"/>
        <v>d</v>
      </c>
      <c r="F36" s="113" t="str">
        <f t="shared" si="2"/>
        <v>e</v>
      </c>
      <c r="G36" s="113" t="str">
        <f t="shared" si="2"/>
        <v>f</v>
      </c>
      <c r="H36" s="113" t="str">
        <f t="shared" si="2"/>
        <v>g</v>
      </c>
      <c r="I36" s="113" t="str">
        <f t="shared" si="2"/>
        <v>h</v>
      </c>
      <c r="J36" s="113" t="str">
        <f t="shared" si="2"/>
        <v>i</v>
      </c>
      <c r="K36" s="113" t="str">
        <f t="shared" si="2"/>
        <v>j</v>
      </c>
      <c r="L36" s="113" t="str">
        <f t="shared" si="2"/>
        <v>k</v>
      </c>
      <c r="M36" s="113" t="str">
        <f t="shared" si="2"/>
        <v>l</v>
      </c>
      <c r="N36" s="113" t="str">
        <f t="shared" si="2"/>
        <v>m</v>
      </c>
      <c r="O36" s="113">
        <f t="shared" si="2"/>
        <v>0</v>
      </c>
      <c r="P36" s="113">
        <f t="shared" si="2"/>
        <v>0</v>
      </c>
      <c r="Q36" s="113" t="str">
        <f t="shared" si="2"/>
        <v>p</v>
      </c>
      <c r="AA36" s="113">
        <v>28</v>
      </c>
      <c r="AB36" s="112">
        <f t="shared" ca="1" si="3"/>
        <v>35065</v>
      </c>
      <c r="AC36" s="428">
        <f t="shared" ca="1" si="3"/>
        <v>35369</v>
      </c>
      <c r="AD36" t="s">
        <v>513</v>
      </c>
      <c r="AF36" s="114">
        <f t="shared" ca="1" si="0"/>
        <v>13144.86</v>
      </c>
      <c r="AG36" s="114">
        <f t="shared" ca="1" si="0"/>
        <v>0</v>
      </c>
      <c r="AH36" s="114">
        <f t="shared" ca="1" si="0"/>
        <v>0</v>
      </c>
      <c r="AI36" s="114">
        <f t="shared" ca="1" si="0"/>
        <v>6384.11</v>
      </c>
      <c r="AJ36" s="114">
        <f t="shared" ca="1" si="0"/>
        <v>0</v>
      </c>
      <c r="AK36" s="114">
        <f t="shared" ca="1" si="0"/>
        <v>1627.41</v>
      </c>
      <c r="AN36">
        <f t="shared" si="6"/>
        <v>36</v>
      </c>
      <c r="AQ36" s="114">
        <f t="shared" ca="1" si="7"/>
        <v>0</v>
      </c>
      <c r="AW36">
        <v>36</v>
      </c>
      <c r="BG36" s="114">
        <f t="shared" ca="1" si="4"/>
        <v>19528.97</v>
      </c>
      <c r="BI36">
        <f t="shared" si="5"/>
        <v>0</v>
      </c>
    </row>
    <row r="37" spans="1:61" x14ac:dyDescent="0.25">
      <c r="A37" s="113">
        <f t="shared" si="1"/>
        <v>432</v>
      </c>
      <c r="B37" s="113" t="str">
        <f t="shared" si="2"/>
        <v>a</v>
      </c>
      <c r="C37" s="113" t="str">
        <f t="shared" si="2"/>
        <v>b</v>
      </c>
      <c r="D37" s="113" t="str">
        <f t="shared" si="2"/>
        <v>c</v>
      </c>
      <c r="E37" s="113" t="str">
        <f t="shared" si="2"/>
        <v>d</v>
      </c>
      <c r="F37" s="113" t="str">
        <f t="shared" si="2"/>
        <v>e</v>
      </c>
      <c r="G37" s="113" t="str">
        <f t="shared" si="2"/>
        <v>f</v>
      </c>
      <c r="H37" s="113" t="str">
        <f t="shared" si="2"/>
        <v>g</v>
      </c>
      <c r="I37" s="113" t="str">
        <f t="shared" si="2"/>
        <v>h</v>
      </c>
      <c r="J37" s="113" t="str">
        <f t="shared" si="2"/>
        <v>i</v>
      </c>
      <c r="K37" s="113" t="str">
        <f t="shared" si="2"/>
        <v>j</v>
      </c>
      <c r="L37" s="113" t="str">
        <f t="shared" si="2"/>
        <v>k</v>
      </c>
      <c r="M37" s="113" t="str">
        <f t="shared" si="2"/>
        <v>l</v>
      </c>
      <c r="N37" s="113" t="str">
        <f t="shared" si="2"/>
        <v>m</v>
      </c>
      <c r="O37" s="113">
        <f t="shared" si="2"/>
        <v>0</v>
      </c>
      <c r="P37" s="113">
        <f t="shared" si="2"/>
        <v>0</v>
      </c>
      <c r="Q37" s="113" t="str">
        <f t="shared" si="2"/>
        <v>p</v>
      </c>
      <c r="AA37" s="113">
        <v>35</v>
      </c>
      <c r="AB37" s="112">
        <f t="shared" ca="1" si="3"/>
        <v>35065</v>
      </c>
      <c r="AC37" s="428">
        <f t="shared" ca="1" si="3"/>
        <v>35369</v>
      </c>
      <c r="AD37" t="s">
        <v>514</v>
      </c>
      <c r="AF37" s="114">
        <f t="shared" ca="1" si="0"/>
        <v>14115.8</v>
      </c>
      <c r="AG37" s="114">
        <f t="shared" ca="1" si="0"/>
        <v>0</v>
      </c>
      <c r="AH37" s="114">
        <f t="shared" ca="1" si="0"/>
        <v>0</v>
      </c>
      <c r="AI37" s="114">
        <f t="shared" ca="1" si="0"/>
        <v>6384.11</v>
      </c>
      <c r="AJ37" s="114">
        <f t="shared" ca="1" si="0"/>
        <v>0</v>
      </c>
      <c r="AK37" s="114">
        <f t="shared" ca="1" si="0"/>
        <v>1708.33</v>
      </c>
      <c r="AN37">
        <f t="shared" si="6"/>
        <v>37</v>
      </c>
      <c r="AQ37" s="114">
        <f t="shared" ca="1" si="7"/>
        <v>0</v>
      </c>
      <c r="AW37">
        <v>37</v>
      </c>
      <c r="BG37" s="114">
        <f t="shared" ca="1" si="4"/>
        <v>20499.91</v>
      </c>
      <c r="BI37">
        <f t="shared" si="5"/>
        <v>0</v>
      </c>
    </row>
    <row r="38" spans="1:61" x14ac:dyDescent="0.25">
      <c r="A38" s="113">
        <f>A31+20</f>
        <v>440</v>
      </c>
      <c r="B38" s="113" t="str">
        <f>B31</f>
        <v>a</v>
      </c>
      <c r="C38" s="113" t="str">
        <f t="shared" ref="C38:X38" si="8">C31</f>
        <v>b</v>
      </c>
      <c r="D38" s="113" t="str">
        <f t="shared" si="8"/>
        <v>c</v>
      </c>
      <c r="E38" s="113" t="str">
        <f t="shared" si="8"/>
        <v>d</v>
      </c>
      <c r="F38" s="113" t="str">
        <f t="shared" si="8"/>
        <v>e</v>
      </c>
      <c r="G38" s="113" t="str">
        <f t="shared" si="8"/>
        <v>f</v>
      </c>
      <c r="H38" s="113" t="str">
        <f t="shared" si="8"/>
        <v>g</v>
      </c>
      <c r="I38" s="113" t="str">
        <f t="shared" si="8"/>
        <v>h</v>
      </c>
      <c r="J38" s="113" t="str">
        <f t="shared" si="8"/>
        <v>i</v>
      </c>
      <c r="K38" s="113" t="str">
        <f t="shared" si="8"/>
        <v>j</v>
      </c>
      <c r="L38" s="113" t="str">
        <f t="shared" si="8"/>
        <v>k</v>
      </c>
      <c r="M38" s="113" t="str">
        <f t="shared" si="8"/>
        <v>l</v>
      </c>
      <c r="N38" s="113" t="str">
        <f t="shared" si="8"/>
        <v>m</v>
      </c>
      <c r="O38" s="113">
        <f t="shared" si="8"/>
        <v>0</v>
      </c>
      <c r="P38" s="113">
        <f t="shared" si="8"/>
        <v>0</v>
      </c>
      <c r="Q38" s="113" t="str">
        <f t="shared" si="8"/>
        <v>p</v>
      </c>
      <c r="R38" s="113">
        <f t="shared" si="8"/>
        <v>0</v>
      </c>
      <c r="S38" s="113">
        <f t="shared" si="8"/>
        <v>0</v>
      </c>
      <c r="T38" s="113">
        <f t="shared" si="8"/>
        <v>0</v>
      </c>
      <c r="U38" s="113">
        <f t="shared" si="8"/>
        <v>0</v>
      </c>
      <c r="V38" s="113">
        <f t="shared" si="8"/>
        <v>0</v>
      </c>
      <c r="W38" s="113">
        <f t="shared" si="8"/>
        <v>0</v>
      </c>
      <c r="X38" s="113">
        <f t="shared" si="8"/>
        <v>0</v>
      </c>
      <c r="AA38" s="113">
        <v>0</v>
      </c>
      <c r="AB38" s="112">
        <f ca="1">INDIRECT(CONCATENATE($AB$10,CONCATENATE(B38,$A38)))</f>
        <v>35370</v>
      </c>
      <c r="AC38" s="428">
        <f ca="1">INDIRECT(CONCATENATE($AB$10,CONCATENATE(C38,$A38)))</f>
        <v>35611</v>
      </c>
      <c r="AD38" t="s">
        <v>515</v>
      </c>
      <c r="AF38" s="114">
        <f t="shared" ca="1" si="0"/>
        <v>8099.08</v>
      </c>
      <c r="AG38" s="114">
        <f t="shared" ca="1" si="0"/>
        <v>0</v>
      </c>
      <c r="AH38" s="114">
        <f t="shared" ca="1" si="0"/>
        <v>0</v>
      </c>
      <c r="AI38" s="114">
        <f t="shared" ca="1" si="0"/>
        <v>6384.11</v>
      </c>
      <c r="AJ38" s="114">
        <f t="shared" ca="1" si="0"/>
        <v>0</v>
      </c>
      <c r="AK38" s="114">
        <f t="shared" ca="1" si="0"/>
        <v>1206.93</v>
      </c>
      <c r="AN38">
        <f t="shared" si="6"/>
        <v>38</v>
      </c>
      <c r="AQ38" s="114">
        <f t="shared" ca="1" si="7"/>
        <v>0</v>
      </c>
      <c r="AW38">
        <v>38</v>
      </c>
      <c r="BG38" s="114">
        <f t="shared" ca="1" si="4"/>
        <v>14483.189999999999</v>
      </c>
      <c r="BI38">
        <f t="shared" si="5"/>
        <v>0</v>
      </c>
    </row>
    <row r="39" spans="1:61" x14ac:dyDescent="0.25">
      <c r="A39" s="113">
        <f t="shared" ref="A39:A44" si="9">A38+2</f>
        <v>442</v>
      </c>
      <c r="B39" s="113" t="str">
        <f t="shared" ref="B39:X44" si="10">B38</f>
        <v>a</v>
      </c>
      <c r="C39" s="113" t="str">
        <f t="shared" si="10"/>
        <v>b</v>
      </c>
      <c r="D39" s="113" t="str">
        <f t="shared" si="10"/>
        <v>c</v>
      </c>
      <c r="E39" s="113" t="str">
        <f t="shared" si="10"/>
        <v>d</v>
      </c>
      <c r="F39" s="113" t="str">
        <f t="shared" si="10"/>
        <v>e</v>
      </c>
      <c r="G39" s="113" t="str">
        <f t="shared" si="10"/>
        <v>f</v>
      </c>
      <c r="H39" s="113" t="str">
        <f t="shared" si="10"/>
        <v>g</v>
      </c>
      <c r="I39" s="113" t="str">
        <f t="shared" si="10"/>
        <v>h</v>
      </c>
      <c r="J39" s="113" t="str">
        <f t="shared" si="10"/>
        <v>i</v>
      </c>
      <c r="K39" s="113" t="str">
        <f t="shared" si="10"/>
        <v>j</v>
      </c>
      <c r="L39" s="113" t="str">
        <f t="shared" si="10"/>
        <v>k</v>
      </c>
      <c r="M39" s="113" t="str">
        <f t="shared" si="10"/>
        <v>l</v>
      </c>
      <c r="N39" s="113" t="str">
        <f t="shared" si="10"/>
        <v>m</v>
      </c>
      <c r="O39" s="113">
        <f t="shared" si="10"/>
        <v>0</v>
      </c>
      <c r="P39" s="113">
        <f t="shared" si="10"/>
        <v>0</v>
      </c>
      <c r="Q39" s="113" t="str">
        <f t="shared" si="10"/>
        <v>p</v>
      </c>
      <c r="R39" s="113">
        <f t="shared" si="10"/>
        <v>0</v>
      </c>
      <c r="S39" s="113">
        <f t="shared" si="10"/>
        <v>0</v>
      </c>
      <c r="T39" s="113">
        <f t="shared" si="10"/>
        <v>0</v>
      </c>
      <c r="U39" s="113">
        <f t="shared" si="10"/>
        <v>0</v>
      </c>
      <c r="V39" s="113">
        <f t="shared" si="10"/>
        <v>0</v>
      </c>
      <c r="W39" s="113">
        <f t="shared" si="10"/>
        <v>0</v>
      </c>
      <c r="X39" s="113">
        <f t="shared" si="10"/>
        <v>0</v>
      </c>
      <c r="AA39" s="113">
        <v>3</v>
      </c>
      <c r="AB39" s="112">
        <f t="shared" ref="AB39:AC44" ca="1" si="11">AB38</f>
        <v>35370</v>
      </c>
      <c r="AC39" s="428">
        <f t="shared" ca="1" si="11"/>
        <v>35611</v>
      </c>
      <c r="AD39" t="s">
        <v>516</v>
      </c>
      <c r="AF39" s="114">
        <f t="shared" ca="1" si="0"/>
        <v>8484.8700000000008</v>
      </c>
      <c r="AG39" s="114">
        <f t="shared" ca="1" si="0"/>
        <v>0</v>
      </c>
      <c r="AH39" s="114">
        <f t="shared" ca="1" si="0"/>
        <v>0</v>
      </c>
      <c r="AI39" s="114">
        <f t="shared" ca="1" si="0"/>
        <v>6384.11</v>
      </c>
      <c r="AJ39" s="114">
        <f t="shared" ca="1" si="0"/>
        <v>0</v>
      </c>
      <c r="AK39" s="114">
        <f t="shared" ca="1" si="0"/>
        <v>1239.08</v>
      </c>
      <c r="AN39">
        <f t="shared" si="6"/>
        <v>39</v>
      </c>
      <c r="AQ39" s="114">
        <f t="shared" ca="1" si="7"/>
        <v>0</v>
      </c>
      <c r="AW39">
        <v>39</v>
      </c>
      <c r="BG39" s="114">
        <f t="shared" ca="1" si="4"/>
        <v>14868.98</v>
      </c>
      <c r="BI39">
        <f t="shared" si="5"/>
        <v>0</v>
      </c>
    </row>
    <row r="40" spans="1:61" x14ac:dyDescent="0.25">
      <c r="A40" s="113">
        <f t="shared" si="9"/>
        <v>444</v>
      </c>
      <c r="B40" s="113" t="str">
        <f t="shared" si="10"/>
        <v>a</v>
      </c>
      <c r="C40" s="113" t="str">
        <f t="shared" si="10"/>
        <v>b</v>
      </c>
      <c r="D40" s="113" t="str">
        <f t="shared" si="10"/>
        <v>c</v>
      </c>
      <c r="E40" s="113" t="str">
        <f t="shared" si="10"/>
        <v>d</v>
      </c>
      <c r="F40" s="113" t="str">
        <f t="shared" si="10"/>
        <v>e</v>
      </c>
      <c r="G40" s="113" t="str">
        <f t="shared" si="10"/>
        <v>f</v>
      </c>
      <c r="H40" s="113" t="str">
        <f t="shared" si="10"/>
        <v>g</v>
      </c>
      <c r="I40" s="113" t="str">
        <f t="shared" si="10"/>
        <v>h</v>
      </c>
      <c r="J40" s="113" t="str">
        <f t="shared" si="10"/>
        <v>i</v>
      </c>
      <c r="K40" s="113" t="str">
        <f t="shared" si="10"/>
        <v>j</v>
      </c>
      <c r="L40" s="113" t="str">
        <f t="shared" si="10"/>
        <v>k</v>
      </c>
      <c r="M40" s="113" t="str">
        <f t="shared" si="10"/>
        <v>l</v>
      </c>
      <c r="N40" s="113" t="str">
        <f t="shared" si="10"/>
        <v>m</v>
      </c>
      <c r="O40" s="113">
        <f t="shared" si="10"/>
        <v>0</v>
      </c>
      <c r="P40" s="113">
        <f t="shared" si="10"/>
        <v>0</v>
      </c>
      <c r="Q40" s="113" t="str">
        <f t="shared" si="10"/>
        <v>p</v>
      </c>
      <c r="R40" s="113">
        <f t="shared" si="10"/>
        <v>0</v>
      </c>
      <c r="S40" s="113">
        <f t="shared" si="10"/>
        <v>0</v>
      </c>
      <c r="T40" s="113">
        <f t="shared" si="10"/>
        <v>0</v>
      </c>
      <c r="U40" s="113">
        <f t="shared" si="10"/>
        <v>0</v>
      </c>
      <c r="V40" s="113">
        <f t="shared" si="10"/>
        <v>0</v>
      </c>
      <c r="W40" s="113">
        <f t="shared" si="10"/>
        <v>0</v>
      </c>
      <c r="X40" s="113">
        <f t="shared" si="10"/>
        <v>0</v>
      </c>
      <c r="AA40" s="113">
        <v>9</v>
      </c>
      <c r="AB40" s="112">
        <f t="shared" ca="1" si="11"/>
        <v>35370</v>
      </c>
      <c r="AC40" s="428">
        <f t="shared" ca="1" si="11"/>
        <v>35611</v>
      </c>
      <c r="AD40" t="s">
        <v>510</v>
      </c>
      <c r="AF40" s="114">
        <f t="shared" ca="1" si="0"/>
        <v>9689.25</v>
      </c>
      <c r="AG40" s="114">
        <f t="shared" ca="1" si="0"/>
        <v>0</v>
      </c>
      <c r="AH40" s="114">
        <f t="shared" ca="1" si="0"/>
        <v>0</v>
      </c>
      <c r="AI40" s="114">
        <f t="shared" ca="1" si="0"/>
        <v>6384.11</v>
      </c>
      <c r="AJ40" s="114">
        <f t="shared" ca="1" si="0"/>
        <v>0</v>
      </c>
      <c r="AK40" s="114">
        <f t="shared" ca="1" si="0"/>
        <v>1339.45</v>
      </c>
      <c r="AN40">
        <f t="shared" si="6"/>
        <v>40</v>
      </c>
      <c r="AQ40" s="114">
        <f t="shared" ca="1" si="7"/>
        <v>0</v>
      </c>
      <c r="AW40">
        <v>40</v>
      </c>
      <c r="BG40" s="114">
        <f t="shared" ca="1" si="4"/>
        <v>16073.36</v>
      </c>
      <c r="BI40">
        <f t="shared" si="5"/>
        <v>0</v>
      </c>
    </row>
    <row r="41" spans="1:61" x14ac:dyDescent="0.25">
      <c r="A41" s="113">
        <f t="shared" si="9"/>
        <v>446</v>
      </c>
      <c r="B41" s="113" t="str">
        <f t="shared" si="10"/>
        <v>a</v>
      </c>
      <c r="C41" s="113" t="str">
        <f t="shared" si="10"/>
        <v>b</v>
      </c>
      <c r="D41" s="113" t="str">
        <f t="shared" si="10"/>
        <v>c</v>
      </c>
      <c r="E41" s="113" t="str">
        <f t="shared" si="10"/>
        <v>d</v>
      </c>
      <c r="F41" s="113" t="str">
        <f t="shared" si="10"/>
        <v>e</v>
      </c>
      <c r="G41" s="113" t="str">
        <f t="shared" si="10"/>
        <v>f</v>
      </c>
      <c r="H41" s="113" t="str">
        <f t="shared" si="10"/>
        <v>g</v>
      </c>
      <c r="I41" s="113" t="str">
        <f t="shared" si="10"/>
        <v>h</v>
      </c>
      <c r="J41" s="113" t="str">
        <f t="shared" si="10"/>
        <v>i</v>
      </c>
      <c r="K41" s="113" t="str">
        <f t="shared" si="10"/>
        <v>j</v>
      </c>
      <c r="L41" s="113" t="str">
        <f t="shared" si="10"/>
        <v>k</v>
      </c>
      <c r="M41" s="113" t="str">
        <f t="shared" si="10"/>
        <v>l</v>
      </c>
      <c r="N41" s="113" t="str">
        <f t="shared" si="10"/>
        <v>m</v>
      </c>
      <c r="O41" s="113">
        <f t="shared" si="10"/>
        <v>0</v>
      </c>
      <c r="P41" s="113">
        <f t="shared" si="10"/>
        <v>0</v>
      </c>
      <c r="Q41" s="113" t="str">
        <f t="shared" si="10"/>
        <v>p</v>
      </c>
      <c r="R41" s="113">
        <f t="shared" si="10"/>
        <v>0</v>
      </c>
      <c r="S41" s="113">
        <f t="shared" si="10"/>
        <v>0</v>
      </c>
      <c r="T41" s="113">
        <f t="shared" si="10"/>
        <v>0</v>
      </c>
      <c r="U41" s="113">
        <f t="shared" si="10"/>
        <v>0</v>
      </c>
      <c r="V41" s="113">
        <f t="shared" si="10"/>
        <v>0</v>
      </c>
      <c r="W41" s="113">
        <f t="shared" si="10"/>
        <v>0</v>
      </c>
      <c r="X41" s="113">
        <f t="shared" si="10"/>
        <v>0</v>
      </c>
      <c r="AA41" s="113">
        <v>15</v>
      </c>
      <c r="AB41" s="112">
        <f t="shared" ca="1" si="11"/>
        <v>35370</v>
      </c>
      <c r="AC41" s="428">
        <f t="shared" ca="1" si="11"/>
        <v>35611</v>
      </c>
      <c r="AD41" t="s">
        <v>511</v>
      </c>
      <c r="AF41" s="114">
        <f t="shared" ca="1" si="0"/>
        <v>11097.11</v>
      </c>
      <c r="AG41" s="114">
        <f t="shared" ca="1" si="0"/>
        <v>0</v>
      </c>
      <c r="AH41" s="114">
        <f t="shared" ca="1" si="0"/>
        <v>0</v>
      </c>
      <c r="AI41" s="114">
        <f t="shared" ca="1" si="0"/>
        <v>6384.11</v>
      </c>
      <c r="AJ41" s="114">
        <f t="shared" ca="1" si="0"/>
        <v>0</v>
      </c>
      <c r="AK41" s="114">
        <f t="shared" ca="1" si="0"/>
        <v>1456.77</v>
      </c>
      <c r="AN41">
        <f t="shared" si="6"/>
        <v>41</v>
      </c>
      <c r="AQ41" s="114">
        <f t="shared" ca="1" si="7"/>
        <v>0</v>
      </c>
      <c r="AW41">
        <v>41</v>
      </c>
      <c r="BG41" s="114">
        <f t="shared" ca="1" si="4"/>
        <v>17481.22</v>
      </c>
      <c r="BI41">
        <f t="shared" si="5"/>
        <v>0</v>
      </c>
    </row>
    <row r="42" spans="1:61" x14ac:dyDescent="0.25">
      <c r="A42" s="113">
        <f t="shared" si="9"/>
        <v>448</v>
      </c>
      <c r="B42" s="113" t="str">
        <f t="shared" si="10"/>
        <v>a</v>
      </c>
      <c r="C42" s="113" t="str">
        <f t="shared" si="10"/>
        <v>b</v>
      </c>
      <c r="D42" s="113" t="str">
        <f t="shared" si="10"/>
        <v>c</v>
      </c>
      <c r="E42" s="113" t="str">
        <f t="shared" si="10"/>
        <v>d</v>
      </c>
      <c r="F42" s="113" t="str">
        <f t="shared" si="10"/>
        <v>e</v>
      </c>
      <c r="G42" s="113" t="str">
        <f t="shared" si="10"/>
        <v>f</v>
      </c>
      <c r="H42" s="113" t="str">
        <f t="shared" si="10"/>
        <v>g</v>
      </c>
      <c r="I42" s="113" t="str">
        <f t="shared" si="10"/>
        <v>h</v>
      </c>
      <c r="J42" s="113" t="str">
        <f t="shared" si="10"/>
        <v>i</v>
      </c>
      <c r="K42" s="113" t="str">
        <f t="shared" si="10"/>
        <v>j</v>
      </c>
      <c r="L42" s="113" t="str">
        <f t="shared" si="10"/>
        <v>k</v>
      </c>
      <c r="M42" s="113" t="str">
        <f t="shared" si="10"/>
        <v>l</v>
      </c>
      <c r="N42" s="113" t="str">
        <f t="shared" si="10"/>
        <v>m</v>
      </c>
      <c r="O42" s="113">
        <f t="shared" si="10"/>
        <v>0</v>
      </c>
      <c r="P42" s="113">
        <f t="shared" si="10"/>
        <v>0</v>
      </c>
      <c r="Q42" s="113" t="str">
        <f t="shared" si="10"/>
        <v>p</v>
      </c>
      <c r="R42" s="113">
        <f t="shared" si="10"/>
        <v>0</v>
      </c>
      <c r="S42" s="113">
        <f t="shared" si="10"/>
        <v>0</v>
      </c>
      <c r="T42" s="113">
        <f t="shared" si="10"/>
        <v>0</v>
      </c>
      <c r="U42" s="113">
        <f t="shared" si="10"/>
        <v>0</v>
      </c>
      <c r="V42" s="113">
        <f t="shared" si="10"/>
        <v>0</v>
      </c>
      <c r="W42" s="113">
        <f t="shared" si="10"/>
        <v>0</v>
      </c>
      <c r="X42" s="113">
        <f t="shared" si="10"/>
        <v>0</v>
      </c>
      <c r="AA42" s="113">
        <v>21</v>
      </c>
      <c r="AB42" s="112">
        <f t="shared" ca="1" si="11"/>
        <v>35370</v>
      </c>
      <c r="AC42" s="428">
        <f t="shared" ca="1" si="11"/>
        <v>35611</v>
      </c>
      <c r="AD42" t="s">
        <v>512</v>
      </c>
      <c r="AF42" s="114">
        <f t="shared" ca="1" si="0"/>
        <v>12465.72</v>
      </c>
      <c r="AG42" s="114">
        <f t="shared" ca="1" si="0"/>
        <v>0</v>
      </c>
      <c r="AH42" s="114">
        <f t="shared" ca="1" si="0"/>
        <v>0</v>
      </c>
      <c r="AI42" s="114">
        <f t="shared" ca="1" si="0"/>
        <v>6384.11</v>
      </c>
      <c r="AJ42" s="114">
        <f t="shared" ca="1" si="0"/>
        <v>0</v>
      </c>
      <c r="AK42" s="114">
        <f t="shared" ca="1" si="0"/>
        <v>1570.82</v>
      </c>
      <c r="AN42">
        <f t="shared" si="6"/>
        <v>42</v>
      </c>
      <c r="AQ42" s="114">
        <f t="shared" ca="1" si="7"/>
        <v>0</v>
      </c>
      <c r="AW42">
        <v>42</v>
      </c>
      <c r="BG42" s="114">
        <f t="shared" ca="1" si="4"/>
        <v>18849.829999999998</v>
      </c>
      <c r="BI42">
        <f t="shared" si="5"/>
        <v>0</v>
      </c>
    </row>
    <row r="43" spans="1:61" x14ac:dyDescent="0.25">
      <c r="A43" s="113">
        <f t="shared" si="9"/>
        <v>450</v>
      </c>
      <c r="B43" s="113" t="str">
        <f t="shared" si="10"/>
        <v>a</v>
      </c>
      <c r="C43" s="113" t="str">
        <f t="shared" si="10"/>
        <v>b</v>
      </c>
      <c r="D43" s="113" t="str">
        <f t="shared" si="10"/>
        <v>c</v>
      </c>
      <c r="E43" s="113" t="str">
        <f t="shared" si="10"/>
        <v>d</v>
      </c>
      <c r="F43" s="113" t="str">
        <f t="shared" si="10"/>
        <v>e</v>
      </c>
      <c r="G43" s="113" t="str">
        <f t="shared" si="10"/>
        <v>f</v>
      </c>
      <c r="H43" s="113" t="str">
        <f t="shared" si="10"/>
        <v>g</v>
      </c>
      <c r="I43" s="113" t="str">
        <f t="shared" si="10"/>
        <v>h</v>
      </c>
      <c r="J43" s="113" t="str">
        <f t="shared" si="10"/>
        <v>i</v>
      </c>
      <c r="K43" s="113" t="str">
        <f t="shared" si="10"/>
        <v>j</v>
      </c>
      <c r="L43" s="113" t="str">
        <f t="shared" si="10"/>
        <v>k</v>
      </c>
      <c r="M43" s="113" t="str">
        <f t="shared" si="10"/>
        <v>l</v>
      </c>
      <c r="N43" s="113" t="str">
        <f t="shared" si="10"/>
        <v>m</v>
      </c>
      <c r="O43" s="113">
        <f t="shared" si="10"/>
        <v>0</v>
      </c>
      <c r="P43" s="113">
        <f t="shared" si="10"/>
        <v>0</v>
      </c>
      <c r="Q43" s="113" t="str">
        <f t="shared" si="10"/>
        <v>p</v>
      </c>
      <c r="R43" s="113">
        <f t="shared" si="10"/>
        <v>0</v>
      </c>
      <c r="S43" s="113">
        <f t="shared" si="10"/>
        <v>0</v>
      </c>
      <c r="T43" s="113">
        <f t="shared" si="10"/>
        <v>0</v>
      </c>
      <c r="U43" s="113">
        <f t="shared" si="10"/>
        <v>0</v>
      </c>
      <c r="V43" s="113">
        <f t="shared" si="10"/>
        <v>0</v>
      </c>
      <c r="W43" s="113">
        <f t="shared" si="10"/>
        <v>0</v>
      </c>
      <c r="X43" s="113">
        <f t="shared" si="10"/>
        <v>0</v>
      </c>
      <c r="AA43" s="113">
        <v>28</v>
      </c>
      <c r="AB43" s="112">
        <f t="shared" ca="1" si="11"/>
        <v>35370</v>
      </c>
      <c r="AC43" s="428">
        <f t="shared" ca="1" si="11"/>
        <v>35611</v>
      </c>
      <c r="AD43" t="s">
        <v>513</v>
      </c>
      <c r="AF43" s="114">
        <f t="shared" ca="1" si="0"/>
        <v>13814.19</v>
      </c>
      <c r="AG43" s="114">
        <f t="shared" ca="1" si="0"/>
        <v>0</v>
      </c>
      <c r="AH43" s="114">
        <f t="shared" ca="1" si="0"/>
        <v>0</v>
      </c>
      <c r="AI43" s="114">
        <f t="shared" ca="1" si="0"/>
        <v>6384.11</v>
      </c>
      <c r="AJ43" s="114">
        <f t="shared" ca="1" si="0"/>
        <v>0</v>
      </c>
      <c r="AK43" s="114">
        <f t="shared" ca="1" si="0"/>
        <v>1683.19</v>
      </c>
      <c r="AN43">
        <f t="shared" si="6"/>
        <v>43</v>
      </c>
      <c r="AQ43" s="114">
        <f t="shared" ca="1" si="7"/>
        <v>0</v>
      </c>
      <c r="AW43">
        <v>43</v>
      </c>
      <c r="BG43" s="114">
        <f t="shared" ca="1" si="4"/>
        <v>20198.3</v>
      </c>
      <c r="BI43">
        <f t="shared" si="5"/>
        <v>0</v>
      </c>
    </row>
    <row r="44" spans="1:61" x14ac:dyDescent="0.25">
      <c r="A44" s="113">
        <f t="shared" si="9"/>
        <v>452</v>
      </c>
      <c r="B44" s="113" t="str">
        <f t="shared" si="10"/>
        <v>a</v>
      </c>
      <c r="C44" s="113" t="str">
        <f t="shared" si="10"/>
        <v>b</v>
      </c>
      <c r="D44" s="113" t="str">
        <f t="shared" si="10"/>
        <v>c</v>
      </c>
      <c r="E44" s="113" t="str">
        <f t="shared" si="10"/>
        <v>d</v>
      </c>
      <c r="F44" s="113" t="str">
        <f t="shared" si="10"/>
        <v>e</v>
      </c>
      <c r="G44" s="113" t="str">
        <f t="shared" si="10"/>
        <v>f</v>
      </c>
      <c r="H44" s="113" t="str">
        <f t="shared" si="10"/>
        <v>g</v>
      </c>
      <c r="I44" s="113" t="str">
        <f t="shared" si="10"/>
        <v>h</v>
      </c>
      <c r="J44" s="113" t="str">
        <f t="shared" si="10"/>
        <v>i</v>
      </c>
      <c r="K44" s="113" t="str">
        <f t="shared" si="10"/>
        <v>j</v>
      </c>
      <c r="L44" s="113" t="str">
        <f t="shared" si="10"/>
        <v>k</v>
      </c>
      <c r="M44" s="113" t="str">
        <f t="shared" si="10"/>
        <v>l</v>
      </c>
      <c r="N44" s="113" t="str">
        <f t="shared" si="10"/>
        <v>m</v>
      </c>
      <c r="O44" s="113">
        <f t="shared" si="10"/>
        <v>0</v>
      </c>
      <c r="P44" s="113">
        <f t="shared" si="10"/>
        <v>0</v>
      </c>
      <c r="Q44" s="113" t="str">
        <f t="shared" si="10"/>
        <v>p</v>
      </c>
      <c r="R44" s="113">
        <f t="shared" si="10"/>
        <v>0</v>
      </c>
      <c r="S44" s="113">
        <f t="shared" si="10"/>
        <v>0</v>
      </c>
      <c r="T44" s="113">
        <f t="shared" si="10"/>
        <v>0</v>
      </c>
      <c r="U44" s="113">
        <f t="shared" si="10"/>
        <v>0</v>
      </c>
      <c r="V44" s="113">
        <f t="shared" si="10"/>
        <v>0</v>
      </c>
      <c r="W44" s="113">
        <f t="shared" si="10"/>
        <v>0</v>
      </c>
      <c r="X44" s="113">
        <f t="shared" si="10"/>
        <v>0</v>
      </c>
      <c r="AA44" s="113">
        <v>35</v>
      </c>
      <c r="AB44" s="112">
        <f t="shared" ca="1" si="11"/>
        <v>35370</v>
      </c>
      <c r="AC44" s="428">
        <f t="shared" ca="1" si="11"/>
        <v>35611</v>
      </c>
      <c r="AD44" t="s">
        <v>514</v>
      </c>
      <c r="AF44" s="114">
        <f t="shared" ca="1" si="0"/>
        <v>14816.12</v>
      </c>
      <c r="AG44" s="114">
        <f t="shared" ca="1" si="0"/>
        <v>0</v>
      </c>
      <c r="AH44" s="114">
        <f t="shared" ca="1" si="0"/>
        <v>0</v>
      </c>
      <c r="AI44" s="114">
        <f t="shared" ca="1" si="0"/>
        <v>6384.11</v>
      </c>
      <c r="AJ44" s="114">
        <f t="shared" ca="1" si="0"/>
        <v>0</v>
      </c>
      <c r="AK44" s="114">
        <f t="shared" ca="1" si="0"/>
        <v>1766.69</v>
      </c>
      <c r="AN44">
        <f t="shared" si="6"/>
        <v>44</v>
      </c>
      <c r="AQ44" s="114">
        <f t="shared" ca="1" si="7"/>
        <v>0</v>
      </c>
      <c r="AW44">
        <v>44</v>
      </c>
      <c r="BG44" s="114">
        <f t="shared" ca="1" si="4"/>
        <v>21200.23</v>
      </c>
      <c r="BI44">
        <f t="shared" si="5"/>
        <v>0</v>
      </c>
    </row>
    <row r="45" spans="1:61" x14ac:dyDescent="0.25">
      <c r="A45" s="113">
        <f>A38+20</f>
        <v>460</v>
      </c>
      <c r="B45" s="113" t="str">
        <f>B38</f>
        <v>a</v>
      </c>
      <c r="C45" s="113" t="str">
        <f t="shared" ref="C45:X45" si="12">C38</f>
        <v>b</v>
      </c>
      <c r="D45" s="113" t="str">
        <f t="shared" si="12"/>
        <v>c</v>
      </c>
      <c r="E45" s="113" t="str">
        <f t="shared" si="12"/>
        <v>d</v>
      </c>
      <c r="F45" s="113" t="str">
        <f t="shared" si="12"/>
        <v>e</v>
      </c>
      <c r="G45" s="113" t="str">
        <f t="shared" si="12"/>
        <v>f</v>
      </c>
      <c r="H45" s="113" t="str">
        <f t="shared" si="12"/>
        <v>g</v>
      </c>
      <c r="I45" s="113" t="str">
        <f t="shared" si="12"/>
        <v>h</v>
      </c>
      <c r="J45" s="113" t="str">
        <f t="shared" si="12"/>
        <v>i</v>
      </c>
      <c r="K45" s="113" t="str">
        <f t="shared" si="12"/>
        <v>j</v>
      </c>
      <c r="L45" s="113" t="str">
        <f t="shared" si="12"/>
        <v>k</v>
      </c>
      <c r="M45" s="113" t="str">
        <f t="shared" si="12"/>
        <v>l</v>
      </c>
      <c r="N45" s="113" t="str">
        <f t="shared" si="12"/>
        <v>m</v>
      </c>
      <c r="O45" s="113">
        <f t="shared" si="12"/>
        <v>0</v>
      </c>
      <c r="P45" s="113">
        <f t="shared" si="12"/>
        <v>0</v>
      </c>
      <c r="Q45" s="113" t="str">
        <f t="shared" si="12"/>
        <v>p</v>
      </c>
      <c r="R45" s="113">
        <f t="shared" si="12"/>
        <v>0</v>
      </c>
      <c r="S45" s="113">
        <f t="shared" si="12"/>
        <v>0</v>
      </c>
      <c r="T45" s="113">
        <f t="shared" si="12"/>
        <v>0</v>
      </c>
      <c r="U45" s="113">
        <f t="shared" si="12"/>
        <v>0</v>
      </c>
      <c r="V45" s="113">
        <f t="shared" si="12"/>
        <v>0</v>
      </c>
      <c r="W45" s="113">
        <f t="shared" si="12"/>
        <v>0</v>
      </c>
      <c r="X45" s="113">
        <f t="shared" si="12"/>
        <v>0</v>
      </c>
      <c r="AA45" s="113">
        <v>0</v>
      </c>
      <c r="AB45" s="112">
        <f ca="1">INDIRECT(CONCATENATE($AB$10,CONCATENATE(B45,$A45)))</f>
        <v>35612</v>
      </c>
      <c r="AC45" s="428">
        <f ca="1">INDIRECT(CONCATENATE($AB$10,CONCATENATE(C45,$A45)))</f>
        <v>36099</v>
      </c>
      <c r="AD45" t="s">
        <v>515</v>
      </c>
      <c r="AF45" s="114">
        <f t="shared" ca="1" si="0"/>
        <v>8520.51</v>
      </c>
      <c r="AG45" s="114">
        <f ca="1">INDIRECT(CONCATENATE($AB$10,CONCATENATE(G45,$A45)))</f>
        <v>0</v>
      </c>
      <c r="AH45" s="114">
        <f ca="1">INDIRECT(CONCATENATE($AB$10,CONCATENATE(H45,$A45)))</f>
        <v>0</v>
      </c>
      <c r="AI45" s="114">
        <f ca="1">INDIRECT(CONCATENATE($AB$10,CONCATENATE(I45,$A45)))</f>
        <v>6384.11</v>
      </c>
      <c r="AJ45" s="114">
        <f ca="1">INDIRECT(CONCATENATE($AB$10,CONCATENATE(J45,$A45)))</f>
        <v>0</v>
      </c>
      <c r="AK45" s="114">
        <f ca="1">INDIRECT(CONCATENATE($AB$10,CONCATENATE(K45,$A45)))</f>
        <v>1242.05</v>
      </c>
      <c r="AN45">
        <f t="shared" si="6"/>
        <v>45</v>
      </c>
      <c r="AQ45" s="114">
        <f t="shared" ca="1" si="7"/>
        <v>0</v>
      </c>
      <c r="AW45">
        <v>45</v>
      </c>
      <c r="BG45" s="114">
        <f t="shared" ca="1" si="4"/>
        <v>14904.619999999999</v>
      </c>
      <c r="BI45">
        <f t="shared" si="5"/>
        <v>0</v>
      </c>
    </row>
    <row r="46" spans="1:61" x14ac:dyDescent="0.25">
      <c r="A46" s="113">
        <f t="shared" ref="A46:A51" si="13">A45+2</f>
        <v>462</v>
      </c>
      <c r="B46" s="113" t="str">
        <f t="shared" ref="B46:X51" si="14">B45</f>
        <v>a</v>
      </c>
      <c r="C46" s="113" t="str">
        <f t="shared" si="14"/>
        <v>b</v>
      </c>
      <c r="D46" s="113" t="str">
        <f t="shared" si="14"/>
        <v>c</v>
      </c>
      <c r="E46" s="113" t="str">
        <f t="shared" si="14"/>
        <v>d</v>
      </c>
      <c r="F46" s="113" t="str">
        <f t="shared" si="14"/>
        <v>e</v>
      </c>
      <c r="G46" s="113" t="str">
        <f t="shared" si="14"/>
        <v>f</v>
      </c>
      <c r="H46" s="113" t="str">
        <f t="shared" si="14"/>
        <v>g</v>
      </c>
      <c r="I46" s="113" t="str">
        <f t="shared" si="14"/>
        <v>h</v>
      </c>
      <c r="J46" s="113" t="str">
        <f t="shared" si="14"/>
        <v>i</v>
      </c>
      <c r="K46" s="113" t="str">
        <f t="shared" si="14"/>
        <v>j</v>
      </c>
      <c r="L46" s="113" t="str">
        <f t="shared" si="14"/>
        <v>k</v>
      </c>
      <c r="M46" s="113" t="str">
        <f t="shared" si="14"/>
        <v>l</v>
      </c>
      <c r="N46" s="113" t="str">
        <f t="shared" si="14"/>
        <v>m</v>
      </c>
      <c r="O46" s="113">
        <f t="shared" si="14"/>
        <v>0</v>
      </c>
      <c r="P46" s="113">
        <f t="shared" si="14"/>
        <v>0</v>
      </c>
      <c r="Q46" s="113" t="str">
        <f t="shared" si="14"/>
        <v>p</v>
      </c>
      <c r="R46" s="113">
        <f t="shared" si="14"/>
        <v>0</v>
      </c>
      <c r="S46" s="113">
        <f t="shared" si="14"/>
        <v>0</v>
      </c>
      <c r="T46" s="113">
        <f t="shared" si="14"/>
        <v>0</v>
      </c>
      <c r="U46" s="113">
        <f t="shared" si="14"/>
        <v>0</v>
      </c>
      <c r="V46" s="113">
        <f t="shared" si="14"/>
        <v>0</v>
      </c>
      <c r="W46" s="113">
        <f t="shared" si="14"/>
        <v>0</v>
      </c>
      <c r="X46" s="113">
        <f t="shared" si="14"/>
        <v>0</v>
      </c>
      <c r="AA46" s="113">
        <v>3</v>
      </c>
      <c r="AB46" s="112">
        <f t="shared" ref="AB46:AC51" ca="1" si="15">AB45</f>
        <v>35612</v>
      </c>
      <c r="AC46" s="428">
        <f t="shared" ca="1" si="15"/>
        <v>36099</v>
      </c>
      <c r="AD46" t="s">
        <v>516</v>
      </c>
      <c r="AF46" s="114">
        <f t="shared" ca="1" si="0"/>
        <v>8918.69</v>
      </c>
      <c r="AG46" s="114">
        <f t="shared" ca="1" si="0"/>
        <v>0</v>
      </c>
      <c r="AH46" s="114">
        <f t="shared" ca="1" si="0"/>
        <v>0</v>
      </c>
      <c r="AI46" s="114">
        <f t="shared" ca="1" si="0"/>
        <v>6384.11</v>
      </c>
      <c r="AJ46" s="114">
        <f t="shared" ca="1" si="0"/>
        <v>0</v>
      </c>
      <c r="AK46" s="114">
        <f t="shared" ca="1" si="0"/>
        <v>1275.23</v>
      </c>
      <c r="AN46">
        <f t="shared" si="6"/>
        <v>46</v>
      </c>
      <c r="AQ46" s="114">
        <f t="shared" ca="1" si="7"/>
        <v>0</v>
      </c>
      <c r="AW46">
        <v>46</v>
      </c>
      <c r="BG46" s="114">
        <f t="shared" ca="1" si="4"/>
        <v>15302.8</v>
      </c>
      <c r="BI46">
        <f t="shared" si="5"/>
        <v>0</v>
      </c>
    </row>
    <row r="47" spans="1:61" x14ac:dyDescent="0.25">
      <c r="A47" s="113">
        <f t="shared" si="13"/>
        <v>464</v>
      </c>
      <c r="B47" s="113" t="str">
        <f t="shared" si="14"/>
        <v>a</v>
      </c>
      <c r="C47" s="113" t="str">
        <f t="shared" si="14"/>
        <v>b</v>
      </c>
      <c r="D47" s="113" t="str">
        <f t="shared" si="14"/>
        <v>c</v>
      </c>
      <c r="E47" s="113" t="str">
        <f t="shared" si="14"/>
        <v>d</v>
      </c>
      <c r="F47" s="113" t="str">
        <f t="shared" si="14"/>
        <v>e</v>
      </c>
      <c r="G47" s="113" t="str">
        <f t="shared" si="14"/>
        <v>f</v>
      </c>
      <c r="H47" s="113" t="str">
        <f t="shared" si="14"/>
        <v>g</v>
      </c>
      <c r="I47" s="113" t="str">
        <f t="shared" si="14"/>
        <v>h</v>
      </c>
      <c r="J47" s="113" t="str">
        <f t="shared" si="14"/>
        <v>i</v>
      </c>
      <c r="K47" s="113" t="str">
        <f t="shared" si="14"/>
        <v>j</v>
      </c>
      <c r="L47" s="113" t="str">
        <f t="shared" si="14"/>
        <v>k</v>
      </c>
      <c r="M47" s="113" t="str">
        <f t="shared" si="14"/>
        <v>l</v>
      </c>
      <c r="N47" s="113" t="str">
        <f t="shared" si="14"/>
        <v>m</v>
      </c>
      <c r="O47" s="113">
        <f t="shared" si="14"/>
        <v>0</v>
      </c>
      <c r="P47" s="113">
        <f t="shared" si="14"/>
        <v>0</v>
      </c>
      <c r="Q47" s="113" t="str">
        <f t="shared" si="14"/>
        <v>p</v>
      </c>
      <c r="R47" s="113">
        <f t="shared" si="14"/>
        <v>0</v>
      </c>
      <c r="S47" s="113">
        <f t="shared" si="14"/>
        <v>0</v>
      </c>
      <c r="T47" s="113">
        <f t="shared" si="14"/>
        <v>0</v>
      </c>
      <c r="U47" s="113">
        <f t="shared" si="14"/>
        <v>0</v>
      </c>
      <c r="V47" s="113">
        <f t="shared" si="14"/>
        <v>0</v>
      </c>
      <c r="W47" s="113">
        <f t="shared" si="14"/>
        <v>0</v>
      </c>
      <c r="X47" s="113">
        <f t="shared" si="14"/>
        <v>0</v>
      </c>
      <c r="AA47" s="113">
        <v>9</v>
      </c>
      <c r="AB47" s="112">
        <f t="shared" ca="1" si="15"/>
        <v>35612</v>
      </c>
      <c r="AC47" s="428">
        <f t="shared" ca="1" si="15"/>
        <v>36099</v>
      </c>
      <c r="AD47" t="s">
        <v>510</v>
      </c>
      <c r="AF47" s="114">
        <f t="shared" ref="AF47:AK95" ca="1" si="16">INDIRECT(CONCATENATE($AB$10,CONCATENATE(F47,$A47)))</f>
        <v>10160.26</v>
      </c>
      <c r="AG47" s="114">
        <f t="shared" ca="1" si="16"/>
        <v>0</v>
      </c>
      <c r="AH47" s="114">
        <f t="shared" ca="1" si="16"/>
        <v>0</v>
      </c>
      <c r="AI47" s="114">
        <f t="shared" ca="1" si="16"/>
        <v>6384.11</v>
      </c>
      <c r="AJ47" s="114">
        <f t="shared" ca="1" si="16"/>
        <v>0</v>
      </c>
      <c r="AK47" s="114">
        <f t="shared" ca="1" si="16"/>
        <v>1378.7</v>
      </c>
      <c r="AN47">
        <f t="shared" si="6"/>
        <v>47</v>
      </c>
      <c r="AQ47" s="114">
        <f t="shared" ca="1" si="7"/>
        <v>0</v>
      </c>
      <c r="AW47">
        <v>47</v>
      </c>
      <c r="BG47" s="114">
        <f t="shared" ca="1" si="4"/>
        <v>16544.37</v>
      </c>
      <c r="BI47">
        <f t="shared" si="5"/>
        <v>0</v>
      </c>
    </row>
    <row r="48" spans="1:61" x14ac:dyDescent="0.25">
      <c r="A48" s="113">
        <f t="shared" si="13"/>
        <v>466</v>
      </c>
      <c r="B48" s="113" t="str">
        <f t="shared" si="14"/>
        <v>a</v>
      </c>
      <c r="C48" s="113" t="str">
        <f t="shared" si="14"/>
        <v>b</v>
      </c>
      <c r="D48" s="113" t="str">
        <f t="shared" si="14"/>
        <v>c</v>
      </c>
      <c r="E48" s="113" t="str">
        <f t="shared" si="14"/>
        <v>d</v>
      </c>
      <c r="F48" s="113" t="str">
        <f t="shared" si="14"/>
        <v>e</v>
      </c>
      <c r="G48" s="113" t="str">
        <f t="shared" si="14"/>
        <v>f</v>
      </c>
      <c r="H48" s="113" t="str">
        <f t="shared" si="14"/>
        <v>g</v>
      </c>
      <c r="I48" s="113" t="str">
        <f t="shared" si="14"/>
        <v>h</v>
      </c>
      <c r="J48" s="113" t="str">
        <f t="shared" si="14"/>
        <v>i</v>
      </c>
      <c r="K48" s="113" t="str">
        <f t="shared" si="14"/>
        <v>j</v>
      </c>
      <c r="L48" s="113" t="str">
        <f t="shared" si="14"/>
        <v>k</v>
      </c>
      <c r="M48" s="113" t="str">
        <f t="shared" si="14"/>
        <v>l</v>
      </c>
      <c r="N48" s="113" t="str">
        <f t="shared" si="14"/>
        <v>m</v>
      </c>
      <c r="O48" s="113">
        <f t="shared" si="14"/>
        <v>0</v>
      </c>
      <c r="P48" s="113">
        <f t="shared" si="14"/>
        <v>0</v>
      </c>
      <c r="Q48" s="113" t="str">
        <f t="shared" si="14"/>
        <v>p</v>
      </c>
      <c r="R48" s="113">
        <f t="shared" si="14"/>
        <v>0</v>
      </c>
      <c r="S48" s="113">
        <f t="shared" si="14"/>
        <v>0</v>
      </c>
      <c r="T48" s="113">
        <f t="shared" si="14"/>
        <v>0</v>
      </c>
      <c r="U48" s="113">
        <f t="shared" si="14"/>
        <v>0</v>
      </c>
      <c r="V48" s="113">
        <f t="shared" si="14"/>
        <v>0</v>
      </c>
      <c r="W48" s="113">
        <f t="shared" si="14"/>
        <v>0</v>
      </c>
      <c r="X48" s="113">
        <f t="shared" si="14"/>
        <v>0</v>
      </c>
      <c r="AA48" s="113">
        <v>15</v>
      </c>
      <c r="AB48" s="112">
        <f t="shared" ca="1" si="15"/>
        <v>35612</v>
      </c>
      <c r="AC48" s="428">
        <f t="shared" ca="1" si="15"/>
        <v>36099</v>
      </c>
      <c r="AD48" t="s">
        <v>511</v>
      </c>
      <c r="AF48" s="114">
        <f t="shared" ca="1" si="16"/>
        <v>11605.3</v>
      </c>
      <c r="AG48" s="114">
        <f t="shared" ca="1" si="16"/>
        <v>0</v>
      </c>
      <c r="AH48" s="114">
        <f t="shared" ca="1" si="16"/>
        <v>0</v>
      </c>
      <c r="AI48" s="114">
        <f t="shared" ca="1" si="16"/>
        <v>6384.11</v>
      </c>
      <c r="AJ48" s="114">
        <f t="shared" ca="1" si="16"/>
        <v>0</v>
      </c>
      <c r="AK48" s="114">
        <f t="shared" ca="1" si="16"/>
        <v>1499.12</v>
      </c>
      <c r="AN48">
        <f t="shared" si="6"/>
        <v>48</v>
      </c>
      <c r="AQ48" s="114">
        <f t="shared" ca="1" si="7"/>
        <v>0</v>
      </c>
      <c r="AW48">
        <v>48</v>
      </c>
      <c r="BG48" s="114">
        <f t="shared" ca="1" si="4"/>
        <v>17989.41</v>
      </c>
      <c r="BI48">
        <f t="shared" si="5"/>
        <v>0</v>
      </c>
    </row>
    <row r="49" spans="1:61" x14ac:dyDescent="0.25">
      <c r="A49" s="113">
        <f t="shared" si="13"/>
        <v>468</v>
      </c>
      <c r="B49" s="113" t="str">
        <f t="shared" si="14"/>
        <v>a</v>
      </c>
      <c r="C49" s="113" t="str">
        <f t="shared" si="14"/>
        <v>b</v>
      </c>
      <c r="D49" s="113" t="str">
        <f t="shared" si="14"/>
        <v>c</v>
      </c>
      <c r="E49" s="113" t="str">
        <f t="shared" si="14"/>
        <v>d</v>
      </c>
      <c r="F49" s="113" t="str">
        <f t="shared" si="14"/>
        <v>e</v>
      </c>
      <c r="G49" s="113" t="str">
        <f t="shared" si="14"/>
        <v>f</v>
      </c>
      <c r="H49" s="113" t="str">
        <f t="shared" si="14"/>
        <v>g</v>
      </c>
      <c r="I49" s="113" t="str">
        <f t="shared" si="14"/>
        <v>h</v>
      </c>
      <c r="J49" s="113" t="str">
        <f t="shared" si="14"/>
        <v>i</v>
      </c>
      <c r="K49" s="113" t="str">
        <f t="shared" si="14"/>
        <v>j</v>
      </c>
      <c r="L49" s="113" t="str">
        <f t="shared" si="14"/>
        <v>k</v>
      </c>
      <c r="M49" s="113" t="str">
        <f t="shared" si="14"/>
        <v>l</v>
      </c>
      <c r="N49" s="113" t="str">
        <f t="shared" si="14"/>
        <v>m</v>
      </c>
      <c r="O49" s="113">
        <f t="shared" si="14"/>
        <v>0</v>
      </c>
      <c r="P49" s="113">
        <f t="shared" si="14"/>
        <v>0</v>
      </c>
      <c r="Q49" s="113" t="str">
        <f t="shared" si="14"/>
        <v>p</v>
      </c>
      <c r="R49" s="113">
        <f t="shared" si="14"/>
        <v>0</v>
      </c>
      <c r="S49" s="113">
        <f t="shared" si="14"/>
        <v>0</v>
      </c>
      <c r="T49" s="113">
        <f t="shared" si="14"/>
        <v>0</v>
      </c>
      <c r="U49" s="113">
        <f t="shared" si="14"/>
        <v>0</v>
      </c>
      <c r="V49" s="113">
        <f t="shared" si="14"/>
        <v>0</v>
      </c>
      <c r="W49" s="113">
        <f t="shared" si="14"/>
        <v>0</v>
      </c>
      <c r="X49" s="113">
        <f t="shared" si="14"/>
        <v>0</v>
      </c>
      <c r="AA49" s="113">
        <v>21</v>
      </c>
      <c r="AB49" s="112">
        <f t="shared" ca="1" si="15"/>
        <v>35612</v>
      </c>
      <c r="AC49" s="428">
        <f t="shared" ca="1" si="15"/>
        <v>36099</v>
      </c>
      <c r="AD49" t="s">
        <v>512</v>
      </c>
      <c r="AF49" s="114">
        <f t="shared" ca="1" si="16"/>
        <v>13017.3</v>
      </c>
      <c r="AG49" s="114">
        <f t="shared" ca="1" si="16"/>
        <v>0</v>
      </c>
      <c r="AH49" s="114">
        <f t="shared" ca="1" si="16"/>
        <v>0</v>
      </c>
      <c r="AI49" s="114">
        <f t="shared" ca="1" si="16"/>
        <v>6384.11</v>
      </c>
      <c r="AJ49" s="114">
        <f t="shared" ca="1" si="16"/>
        <v>0</v>
      </c>
      <c r="AK49" s="114">
        <f t="shared" ca="1" si="16"/>
        <v>1616.78</v>
      </c>
      <c r="AN49">
        <f t="shared" si="6"/>
        <v>49</v>
      </c>
      <c r="AQ49" s="114">
        <f t="shared" ca="1" si="7"/>
        <v>0</v>
      </c>
      <c r="AW49">
        <v>49</v>
      </c>
      <c r="BG49" s="114">
        <f t="shared" ca="1" si="4"/>
        <v>19401.41</v>
      </c>
      <c r="BI49">
        <f t="shared" si="5"/>
        <v>0</v>
      </c>
    </row>
    <row r="50" spans="1:61" x14ac:dyDescent="0.25">
      <c r="A50" s="113">
        <f t="shared" si="13"/>
        <v>470</v>
      </c>
      <c r="B50" s="113" t="str">
        <f t="shared" si="14"/>
        <v>a</v>
      </c>
      <c r="C50" s="113" t="str">
        <f t="shared" si="14"/>
        <v>b</v>
      </c>
      <c r="D50" s="113" t="str">
        <f t="shared" si="14"/>
        <v>c</v>
      </c>
      <c r="E50" s="113" t="str">
        <f t="shared" si="14"/>
        <v>d</v>
      </c>
      <c r="F50" s="113" t="str">
        <f t="shared" si="14"/>
        <v>e</v>
      </c>
      <c r="G50" s="113" t="str">
        <f t="shared" si="14"/>
        <v>f</v>
      </c>
      <c r="H50" s="113" t="str">
        <f t="shared" si="14"/>
        <v>g</v>
      </c>
      <c r="I50" s="113" t="str">
        <f t="shared" si="14"/>
        <v>h</v>
      </c>
      <c r="J50" s="113" t="str">
        <f t="shared" si="14"/>
        <v>i</v>
      </c>
      <c r="K50" s="113" t="str">
        <f t="shared" si="14"/>
        <v>j</v>
      </c>
      <c r="L50" s="113" t="str">
        <f t="shared" si="14"/>
        <v>k</v>
      </c>
      <c r="M50" s="113" t="str">
        <f t="shared" si="14"/>
        <v>l</v>
      </c>
      <c r="N50" s="113" t="str">
        <f t="shared" si="14"/>
        <v>m</v>
      </c>
      <c r="O50" s="113">
        <f t="shared" si="14"/>
        <v>0</v>
      </c>
      <c r="P50" s="113">
        <f t="shared" si="14"/>
        <v>0</v>
      </c>
      <c r="Q50" s="113" t="str">
        <f t="shared" si="14"/>
        <v>p</v>
      </c>
      <c r="R50" s="113">
        <f t="shared" si="14"/>
        <v>0</v>
      </c>
      <c r="S50" s="113">
        <f t="shared" si="14"/>
        <v>0</v>
      </c>
      <c r="T50" s="113">
        <f t="shared" si="14"/>
        <v>0</v>
      </c>
      <c r="U50" s="113">
        <f t="shared" si="14"/>
        <v>0</v>
      </c>
      <c r="V50" s="113">
        <f t="shared" si="14"/>
        <v>0</v>
      </c>
      <c r="W50" s="113">
        <f t="shared" si="14"/>
        <v>0</v>
      </c>
      <c r="X50" s="113">
        <f t="shared" si="14"/>
        <v>0</v>
      </c>
      <c r="AA50" s="113">
        <v>28</v>
      </c>
      <c r="AB50" s="112">
        <f t="shared" ca="1" si="15"/>
        <v>35612</v>
      </c>
      <c r="AC50" s="428">
        <f t="shared" ca="1" si="15"/>
        <v>36099</v>
      </c>
      <c r="AD50" t="s">
        <v>513</v>
      </c>
      <c r="AF50" s="114">
        <f t="shared" ca="1" si="16"/>
        <v>14402.95</v>
      </c>
      <c r="AG50" s="114">
        <f t="shared" ca="1" si="16"/>
        <v>0</v>
      </c>
      <c r="AH50" s="114">
        <f t="shared" ca="1" si="16"/>
        <v>0</v>
      </c>
      <c r="AI50" s="114">
        <f t="shared" ca="1" si="16"/>
        <v>6384.11</v>
      </c>
      <c r="AJ50" s="114">
        <f t="shared" ca="1" si="16"/>
        <v>0</v>
      </c>
      <c r="AK50" s="114">
        <f t="shared" ca="1" si="16"/>
        <v>1732.26</v>
      </c>
      <c r="AN50">
        <f t="shared" si="6"/>
        <v>50</v>
      </c>
      <c r="AQ50" s="114">
        <f t="shared" ca="1" si="7"/>
        <v>0</v>
      </c>
      <c r="AW50">
        <v>50</v>
      </c>
      <c r="BG50" s="114">
        <f t="shared" ca="1" si="4"/>
        <v>20787.060000000001</v>
      </c>
      <c r="BI50">
        <f t="shared" si="5"/>
        <v>0</v>
      </c>
    </row>
    <row r="51" spans="1:61" x14ac:dyDescent="0.25">
      <c r="A51" s="113">
        <f t="shared" si="13"/>
        <v>472</v>
      </c>
      <c r="B51" s="113" t="str">
        <f t="shared" si="14"/>
        <v>a</v>
      </c>
      <c r="C51" s="113" t="str">
        <f t="shared" si="14"/>
        <v>b</v>
      </c>
      <c r="D51" s="113" t="str">
        <f t="shared" si="14"/>
        <v>c</v>
      </c>
      <c r="E51" s="113" t="str">
        <f t="shared" si="14"/>
        <v>d</v>
      </c>
      <c r="F51" s="113" t="str">
        <f t="shared" si="14"/>
        <v>e</v>
      </c>
      <c r="G51" s="113" t="str">
        <f t="shared" si="14"/>
        <v>f</v>
      </c>
      <c r="H51" s="113" t="str">
        <f t="shared" si="14"/>
        <v>g</v>
      </c>
      <c r="I51" s="113" t="str">
        <f t="shared" si="14"/>
        <v>h</v>
      </c>
      <c r="J51" s="113" t="str">
        <f t="shared" si="14"/>
        <v>i</v>
      </c>
      <c r="K51" s="113" t="str">
        <f t="shared" si="14"/>
        <v>j</v>
      </c>
      <c r="L51" s="113" t="str">
        <f t="shared" si="14"/>
        <v>k</v>
      </c>
      <c r="M51" s="113" t="str">
        <f t="shared" si="14"/>
        <v>l</v>
      </c>
      <c r="N51" s="113" t="str">
        <f t="shared" si="14"/>
        <v>m</v>
      </c>
      <c r="O51" s="113">
        <f t="shared" si="14"/>
        <v>0</v>
      </c>
      <c r="P51" s="113">
        <f t="shared" si="14"/>
        <v>0</v>
      </c>
      <c r="Q51" s="113" t="str">
        <f t="shared" si="14"/>
        <v>p</v>
      </c>
      <c r="R51" s="113">
        <f t="shared" si="14"/>
        <v>0</v>
      </c>
      <c r="S51" s="113">
        <f t="shared" si="14"/>
        <v>0</v>
      </c>
      <c r="T51" s="113">
        <f t="shared" si="14"/>
        <v>0</v>
      </c>
      <c r="U51" s="113">
        <f t="shared" si="14"/>
        <v>0</v>
      </c>
      <c r="V51" s="113">
        <f t="shared" si="14"/>
        <v>0</v>
      </c>
      <c r="W51" s="113">
        <f t="shared" si="14"/>
        <v>0</v>
      </c>
      <c r="X51" s="113">
        <f t="shared" si="14"/>
        <v>0</v>
      </c>
      <c r="AA51" s="113">
        <v>35</v>
      </c>
      <c r="AB51" s="112">
        <f t="shared" ca="1" si="15"/>
        <v>35612</v>
      </c>
      <c r="AC51" s="428">
        <f t="shared" ca="1" si="15"/>
        <v>36099</v>
      </c>
      <c r="AD51" t="s">
        <v>514</v>
      </c>
      <c r="AF51" s="114">
        <f t="shared" ca="1" si="16"/>
        <v>15435.86</v>
      </c>
      <c r="AG51" s="114">
        <f t="shared" ca="1" si="16"/>
        <v>0</v>
      </c>
      <c r="AH51" s="114">
        <f t="shared" ca="1" si="16"/>
        <v>0</v>
      </c>
      <c r="AI51" s="114">
        <f t="shared" ca="1" si="16"/>
        <v>6384.11</v>
      </c>
      <c r="AJ51" s="114">
        <f t="shared" ca="1" si="16"/>
        <v>0</v>
      </c>
      <c r="AK51" s="114">
        <f t="shared" ca="1" si="16"/>
        <v>1818.33</v>
      </c>
      <c r="AN51">
        <f t="shared" si="6"/>
        <v>51</v>
      </c>
      <c r="AQ51" s="114">
        <f t="shared" ca="1" si="7"/>
        <v>0</v>
      </c>
      <c r="AW51">
        <v>51</v>
      </c>
      <c r="BG51" s="114">
        <f t="shared" ca="1" si="4"/>
        <v>21819.97</v>
      </c>
      <c r="BI51">
        <f t="shared" si="5"/>
        <v>0</v>
      </c>
    </row>
    <row r="52" spans="1:61" x14ac:dyDescent="0.25">
      <c r="A52" s="113">
        <f>A45+20</f>
        <v>480</v>
      </c>
      <c r="B52" s="113" t="str">
        <f>B45</f>
        <v>a</v>
      </c>
      <c r="C52" s="113" t="str">
        <f t="shared" ref="C52:X52" si="17">C45</f>
        <v>b</v>
      </c>
      <c r="D52" s="113" t="str">
        <f t="shared" si="17"/>
        <v>c</v>
      </c>
      <c r="E52" s="113" t="str">
        <f t="shared" si="17"/>
        <v>d</v>
      </c>
      <c r="F52" s="113" t="str">
        <f t="shared" si="17"/>
        <v>e</v>
      </c>
      <c r="G52" s="113" t="str">
        <f t="shared" si="17"/>
        <v>f</v>
      </c>
      <c r="H52" s="113" t="str">
        <f t="shared" si="17"/>
        <v>g</v>
      </c>
      <c r="I52" s="113" t="str">
        <f t="shared" si="17"/>
        <v>h</v>
      </c>
      <c r="J52" s="113" t="str">
        <f t="shared" si="17"/>
        <v>i</v>
      </c>
      <c r="K52" s="113" t="str">
        <f t="shared" si="17"/>
        <v>j</v>
      </c>
      <c r="L52" s="113" t="str">
        <f t="shared" si="17"/>
        <v>k</v>
      </c>
      <c r="M52" s="113" t="str">
        <f t="shared" si="17"/>
        <v>l</v>
      </c>
      <c r="N52" s="113" t="str">
        <f t="shared" si="17"/>
        <v>m</v>
      </c>
      <c r="O52" s="113">
        <f t="shared" si="17"/>
        <v>0</v>
      </c>
      <c r="P52" s="113">
        <f t="shared" si="17"/>
        <v>0</v>
      </c>
      <c r="Q52" s="113" t="str">
        <f t="shared" si="17"/>
        <v>p</v>
      </c>
      <c r="R52" s="113">
        <f t="shared" si="17"/>
        <v>0</v>
      </c>
      <c r="S52" s="113">
        <f t="shared" si="17"/>
        <v>0</v>
      </c>
      <c r="T52" s="113">
        <f t="shared" si="17"/>
        <v>0</v>
      </c>
      <c r="U52" s="113">
        <f t="shared" si="17"/>
        <v>0</v>
      </c>
      <c r="V52" s="113">
        <f t="shared" si="17"/>
        <v>0</v>
      </c>
      <c r="W52" s="113">
        <f t="shared" si="17"/>
        <v>0</v>
      </c>
      <c r="X52" s="113">
        <f t="shared" si="17"/>
        <v>0</v>
      </c>
      <c r="AA52" s="113">
        <v>0</v>
      </c>
      <c r="AB52" s="112">
        <f ca="1">INDIRECT(CONCATENATE($AB$10,CONCATENATE(B52,$A52)))</f>
        <v>36100</v>
      </c>
      <c r="AC52" s="428">
        <f ca="1">INDIRECT(CONCATENATE($AB$10,CONCATENATE(C52,$A52)))</f>
        <v>36311</v>
      </c>
      <c r="AD52" t="s">
        <v>515</v>
      </c>
      <c r="AF52" s="114">
        <f t="shared" ca="1" si="16"/>
        <v>8787</v>
      </c>
      <c r="AG52" s="114">
        <f ca="1">INDIRECT(CONCATENATE($AB$10,CONCATENATE(G52,$A52)))</f>
        <v>0</v>
      </c>
      <c r="AH52" s="114">
        <f ca="1">INDIRECT(CONCATENATE($AB$10,CONCATENATE(H52,$A52)))</f>
        <v>0</v>
      </c>
      <c r="AI52" s="114">
        <f ca="1">INDIRECT(CONCATENATE($AB$10,CONCATENATE(I52,$A52)))</f>
        <v>6384.11</v>
      </c>
      <c r="AJ52" s="114">
        <f ca="1">INDIRECT(CONCATENATE($AB$10,CONCATENATE(J52,$A52)))</f>
        <v>0</v>
      </c>
      <c r="AK52" s="114">
        <f ca="1">INDIRECT(CONCATENATE($AB$10,CONCATENATE(K52,$A52)))</f>
        <v>1264.26</v>
      </c>
      <c r="AN52">
        <f t="shared" si="6"/>
        <v>52</v>
      </c>
      <c r="AQ52" s="114">
        <f t="shared" ca="1" si="7"/>
        <v>0</v>
      </c>
      <c r="AW52">
        <v>52</v>
      </c>
      <c r="BG52" s="114">
        <f t="shared" ca="1" si="4"/>
        <v>15171.11</v>
      </c>
      <c r="BI52">
        <f t="shared" si="5"/>
        <v>0</v>
      </c>
    </row>
    <row r="53" spans="1:61" x14ac:dyDescent="0.25">
      <c r="A53" s="113">
        <f t="shared" ref="A53:A58" si="18">A52+2</f>
        <v>482</v>
      </c>
      <c r="B53" s="113" t="str">
        <f t="shared" ref="B53:X58" si="19">B52</f>
        <v>a</v>
      </c>
      <c r="C53" s="113" t="str">
        <f t="shared" si="19"/>
        <v>b</v>
      </c>
      <c r="D53" s="113" t="str">
        <f t="shared" si="19"/>
        <v>c</v>
      </c>
      <c r="E53" s="113" t="str">
        <f t="shared" si="19"/>
        <v>d</v>
      </c>
      <c r="F53" s="113" t="str">
        <f t="shared" si="19"/>
        <v>e</v>
      </c>
      <c r="G53" s="113" t="str">
        <f t="shared" si="19"/>
        <v>f</v>
      </c>
      <c r="H53" s="113" t="str">
        <f t="shared" si="19"/>
        <v>g</v>
      </c>
      <c r="I53" s="113" t="str">
        <f t="shared" si="19"/>
        <v>h</v>
      </c>
      <c r="J53" s="113" t="str">
        <f t="shared" si="19"/>
        <v>i</v>
      </c>
      <c r="K53" s="113" t="str">
        <f t="shared" si="19"/>
        <v>j</v>
      </c>
      <c r="L53" s="113" t="str">
        <f t="shared" si="19"/>
        <v>k</v>
      </c>
      <c r="M53" s="113" t="str">
        <f t="shared" si="19"/>
        <v>l</v>
      </c>
      <c r="N53" s="113" t="str">
        <f t="shared" si="19"/>
        <v>m</v>
      </c>
      <c r="O53" s="113">
        <f t="shared" si="19"/>
        <v>0</v>
      </c>
      <c r="P53" s="113">
        <f t="shared" si="19"/>
        <v>0</v>
      </c>
      <c r="Q53" s="113" t="str">
        <f t="shared" si="19"/>
        <v>p</v>
      </c>
      <c r="R53" s="113">
        <f t="shared" si="19"/>
        <v>0</v>
      </c>
      <c r="S53" s="113">
        <f t="shared" si="19"/>
        <v>0</v>
      </c>
      <c r="T53" s="113">
        <f t="shared" si="19"/>
        <v>0</v>
      </c>
      <c r="U53" s="113">
        <f t="shared" si="19"/>
        <v>0</v>
      </c>
      <c r="V53" s="113">
        <f t="shared" si="19"/>
        <v>0</v>
      </c>
      <c r="W53" s="113">
        <f t="shared" si="19"/>
        <v>0</v>
      </c>
      <c r="X53" s="113">
        <f t="shared" si="19"/>
        <v>0</v>
      </c>
      <c r="AA53" s="113">
        <v>3</v>
      </c>
      <c r="AB53" s="112">
        <f t="shared" ref="AB53:AC58" ca="1" si="20">AB52</f>
        <v>36100</v>
      </c>
      <c r="AC53" s="428">
        <f t="shared" ca="1" si="20"/>
        <v>36311</v>
      </c>
      <c r="AD53" t="s">
        <v>516</v>
      </c>
      <c r="AF53" s="114">
        <f t="shared" ca="1" si="16"/>
        <v>9191.3799999999992</v>
      </c>
      <c r="AG53" s="114">
        <f t="shared" ca="1" si="16"/>
        <v>0</v>
      </c>
      <c r="AH53" s="114">
        <f t="shared" ca="1" si="16"/>
        <v>0</v>
      </c>
      <c r="AI53" s="114">
        <f t="shared" ca="1" si="16"/>
        <v>6384.11</v>
      </c>
      <c r="AJ53" s="114">
        <f t="shared" ca="1" si="16"/>
        <v>0</v>
      </c>
      <c r="AK53" s="114">
        <f t="shared" ca="1" si="16"/>
        <v>1297.96</v>
      </c>
      <c r="AN53">
        <f t="shared" si="6"/>
        <v>53</v>
      </c>
      <c r="AQ53" s="114">
        <f t="shared" ca="1" si="7"/>
        <v>0</v>
      </c>
      <c r="AW53">
        <v>53</v>
      </c>
      <c r="BG53" s="114">
        <f t="shared" ca="1" si="4"/>
        <v>15575.489999999998</v>
      </c>
      <c r="BI53">
        <f t="shared" si="5"/>
        <v>0</v>
      </c>
    </row>
    <row r="54" spans="1:61" x14ac:dyDescent="0.25">
      <c r="A54" s="113">
        <f t="shared" si="18"/>
        <v>484</v>
      </c>
      <c r="B54" s="113" t="str">
        <f t="shared" si="19"/>
        <v>a</v>
      </c>
      <c r="C54" s="113" t="str">
        <f t="shared" si="19"/>
        <v>b</v>
      </c>
      <c r="D54" s="113" t="str">
        <f t="shared" si="19"/>
        <v>c</v>
      </c>
      <c r="E54" s="113" t="str">
        <f t="shared" si="19"/>
        <v>d</v>
      </c>
      <c r="F54" s="113" t="str">
        <f t="shared" si="19"/>
        <v>e</v>
      </c>
      <c r="G54" s="113" t="str">
        <f t="shared" si="19"/>
        <v>f</v>
      </c>
      <c r="H54" s="113" t="str">
        <f t="shared" si="19"/>
        <v>g</v>
      </c>
      <c r="I54" s="113" t="str">
        <f t="shared" si="19"/>
        <v>h</v>
      </c>
      <c r="J54" s="113" t="str">
        <f t="shared" si="19"/>
        <v>i</v>
      </c>
      <c r="K54" s="113" t="str">
        <f t="shared" si="19"/>
        <v>j</v>
      </c>
      <c r="L54" s="113" t="str">
        <f t="shared" si="19"/>
        <v>k</v>
      </c>
      <c r="M54" s="113" t="str">
        <f t="shared" si="19"/>
        <v>l</v>
      </c>
      <c r="N54" s="113" t="str">
        <f t="shared" si="19"/>
        <v>m</v>
      </c>
      <c r="O54" s="113">
        <f t="shared" si="19"/>
        <v>0</v>
      </c>
      <c r="P54" s="113">
        <f t="shared" si="19"/>
        <v>0</v>
      </c>
      <c r="Q54" s="113" t="str">
        <f t="shared" si="19"/>
        <v>p</v>
      </c>
      <c r="R54" s="113">
        <f t="shared" si="19"/>
        <v>0</v>
      </c>
      <c r="S54" s="113">
        <f t="shared" si="19"/>
        <v>0</v>
      </c>
      <c r="T54" s="113">
        <f t="shared" si="19"/>
        <v>0</v>
      </c>
      <c r="U54" s="113">
        <f t="shared" si="19"/>
        <v>0</v>
      </c>
      <c r="V54" s="113">
        <f t="shared" si="19"/>
        <v>0</v>
      </c>
      <c r="W54" s="113">
        <f t="shared" si="19"/>
        <v>0</v>
      </c>
      <c r="X54" s="113">
        <f t="shared" si="19"/>
        <v>0</v>
      </c>
      <c r="AA54" s="113">
        <v>9</v>
      </c>
      <c r="AB54" s="112">
        <f t="shared" ca="1" si="20"/>
        <v>36100</v>
      </c>
      <c r="AC54" s="428">
        <f t="shared" ca="1" si="20"/>
        <v>36311</v>
      </c>
      <c r="AD54" t="s">
        <v>510</v>
      </c>
      <c r="AF54" s="114">
        <f t="shared" ca="1" si="16"/>
        <v>10457.74</v>
      </c>
      <c r="AG54" s="114">
        <f t="shared" ca="1" si="16"/>
        <v>0</v>
      </c>
      <c r="AH54" s="114">
        <f t="shared" ca="1" si="16"/>
        <v>0</v>
      </c>
      <c r="AI54" s="114">
        <f t="shared" ca="1" si="16"/>
        <v>6384.11</v>
      </c>
      <c r="AJ54" s="114">
        <f t="shared" ca="1" si="16"/>
        <v>0</v>
      </c>
      <c r="AK54" s="114">
        <f t="shared" ca="1" si="16"/>
        <v>1403.49</v>
      </c>
      <c r="AN54">
        <f t="shared" si="6"/>
        <v>54</v>
      </c>
      <c r="AQ54" s="114">
        <f t="shared" ca="1" si="7"/>
        <v>0</v>
      </c>
      <c r="AW54">
        <v>54</v>
      </c>
      <c r="BG54" s="114">
        <f t="shared" ca="1" si="4"/>
        <v>16841.849999999999</v>
      </c>
      <c r="BI54">
        <f t="shared" si="5"/>
        <v>0</v>
      </c>
    </row>
    <row r="55" spans="1:61" x14ac:dyDescent="0.25">
      <c r="A55" s="113">
        <f t="shared" si="18"/>
        <v>486</v>
      </c>
      <c r="B55" s="113" t="str">
        <f t="shared" si="19"/>
        <v>a</v>
      </c>
      <c r="C55" s="113" t="str">
        <f t="shared" si="19"/>
        <v>b</v>
      </c>
      <c r="D55" s="113" t="str">
        <f t="shared" si="19"/>
        <v>c</v>
      </c>
      <c r="E55" s="113" t="str">
        <f t="shared" si="19"/>
        <v>d</v>
      </c>
      <c r="F55" s="113" t="str">
        <f t="shared" si="19"/>
        <v>e</v>
      </c>
      <c r="G55" s="113" t="str">
        <f t="shared" si="19"/>
        <v>f</v>
      </c>
      <c r="H55" s="113" t="str">
        <f t="shared" si="19"/>
        <v>g</v>
      </c>
      <c r="I55" s="113" t="str">
        <f t="shared" si="19"/>
        <v>h</v>
      </c>
      <c r="J55" s="113" t="str">
        <f t="shared" si="19"/>
        <v>i</v>
      </c>
      <c r="K55" s="113" t="str">
        <f t="shared" si="19"/>
        <v>j</v>
      </c>
      <c r="L55" s="113" t="str">
        <f t="shared" si="19"/>
        <v>k</v>
      </c>
      <c r="M55" s="113" t="str">
        <f t="shared" si="19"/>
        <v>l</v>
      </c>
      <c r="N55" s="113" t="str">
        <f t="shared" si="19"/>
        <v>m</v>
      </c>
      <c r="O55" s="113">
        <f t="shared" si="19"/>
        <v>0</v>
      </c>
      <c r="P55" s="113">
        <f t="shared" si="19"/>
        <v>0</v>
      </c>
      <c r="Q55" s="113" t="str">
        <f t="shared" si="19"/>
        <v>p</v>
      </c>
      <c r="R55" s="113">
        <f t="shared" si="19"/>
        <v>0</v>
      </c>
      <c r="S55" s="113">
        <f t="shared" si="19"/>
        <v>0</v>
      </c>
      <c r="T55" s="113">
        <f t="shared" si="19"/>
        <v>0</v>
      </c>
      <c r="U55" s="113">
        <f t="shared" si="19"/>
        <v>0</v>
      </c>
      <c r="V55" s="113">
        <f t="shared" si="19"/>
        <v>0</v>
      </c>
      <c r="W55" s="113">
        <f t="shared" si="19"/>
        <v>0</v>
      </c>
      <c r="X55" s="113">
        <f t="shared" si="19"/>
        <v>0</v>
      </c>
      <c r="AA55" s="113">
        <v>15</v>
      </c>
      <c r="AB55" s="112">
        <f t="shared" ca="1" si="20"/>
        <v>36100</v>
      </c>
      <c r="AC55" s="428">
        <f t="shared" ca="1" si="20"/>
        <v>36311</v>
      </c>
      <c r="AD55" t="s">
        <v>511</v>
      </c>
      <c r="AF55" s="114">
        <f t="shared" ca="1" si="16"/>
        <v>11927.57</v>
      </c>
      <c r="AG55" s="114">
        <f t="shared" ca="1" si="16"/>
        <v>0</v>
      </c>
      <c r="AH55" s="114">
        <f t="shared" ca="1" si="16"/>
        <v>0</v>
      </c>
      <c r="AI55" s="114">
        <f t="shared" ca="1" si="16"/>
        <v>6384.11</v>
      </c>
      <c r="AJ55" s="114">
        <f t="shared" ca="1" si="16"/>
        <v>0</v>
      </c>
      <c r="AK55" s="114">
        <f t="shared" ca="1" si="16"/>
        <v>1525.97</v>
      </c>
      <c r="AN55">
        <f t="shared" si="6"/>
        <v>55</v>
      </c>
      <c r="AQ55" s="114">
        <f t="shared" ca="1" si="7"/>
        <v>0</v>
      </c>
      <c r="AW55">
        <v>55</v>
      </c>
      <c r="BG55" s="114">
        <f t="shared" ca="1" si="4"/>
        <v>18311.68</v>
      </c>
      <c r="BI55">
        <f t="shared" si="5"/>
        <v>0</v>
      </c>
    </row>
    <row r="56" spans="1:61" x14ac:dyDescent="0.25">
      <c r="A56" s="113">
        <f t="shared" si="18"/>
        <v>488</v>
      </c>
      <c r="B56" s="113" t="str">
        <f t="shared" si="19"/>
        <v>a</v>
      </c>
      <c r="C56" s="113" t="str">
        <f t="shared" si="19"/>
        <v>b</v>
      </c>
      <c r="D56" s="113" t="str">
        <f t="shared" si="19"/>
        <v>c</v>
      </c>
      <c r="E56" s="113" t="str">
        <f t="shared" si="19"/>
        <v>d</v>
      </c>
      <c r="F56" s="113" t="str">
        <f t="shared" si="19"/>
        <v>e</v>
      </c>
      <c r="G56" s="113" t="str">
        <f t="shared" si="19"/>
        <v>f</v>
      </c>
      <c r="H56" s="113" t="str">
        <f t="shared" si="19"/>
        <v>g</v>
      </c>
      <c r="I56" s="113" t="str">
        <f t="shared" si="19"/>
        <v>h</v>
      </c>
      <c r="J56" s="113" t="str">
        <f t="shared" si="19"/>
        <v>i</v>
      </c>
      <c r="K56" s="113" t="str">
        <f t="shared" si="19"/>
        <v>j</v>
      </c>
      <c r="L56" s="113" t="str">
        <f t="shared" si="19"/>
        <v>k</v>
      </c>
      <c r="M56" s="113" t="str">
        <f t="shared" si="19"/>
        <v>l</v>
      </c>
      <c r="N56" s="113" t="str">
        <f t="shared" si="19"/>
        <v>m</v>
      </c>
      <c r="O56" s="113">
        <f t="shared" si="19"/>
        <v>0</v>
      </c>
      <c r="P56" s="113">
        <f t="shared" si="19"/>
        <v>0</v>
      </c>
      <c r="Q56" s="113" t="str">
        <f t="shared" si="19"/>
        <v>p</v>
      </c>
      <c r="R56" s="113">
        <f t="shared" si="19"/>
        <v>0</v>
      </c>
      <c r="S56" s="113">
        <f t="shared" si="19"/>
        <v>0</v>
      </c>
      <c r="T56" s="113">
        <f t="shared" si="19"/>
        <v>0</v>
      </c>
      <c r="U56" s="113">
        <f t="shared" si="19"/>
        <v>0</v>
      </c>
      <c r="V56" s="113">
        <f t="shared" si="19"/>
        <v>0</v>
      </c>
      <c r="W56" s="113">
        <f t="shared" si="19"/>
        <v>0</v>
      </c>
      <c r="X56" s="113">
        <f t="shared" si="19"/>
        <v>0</v>
      </c>
      <c r="AA56" s="113">
        <v>21</v>
      </c>
      <c r="AB56" s="112">
        <f t="shared" ca="1" si="20"/>
        <v>36100</v>
      </c>
      <c r="AC56" s="428">
        <f t="shared" ca="1" si="20"/>
        <v>36311</v>
      </c>
      <c r="AD56" t="s">
        <v>512</v>
      </c>
      <c r="AF56" s="114">
        <f t="shared" ca="1" si="16"/>
        <v>13364.36</v>
      </c>
      <c r="AG56" s="114">
        <f t="shared" ca="1" si="16"/>
        <v>0</v>
      </c>
      <c r="AH56" s="114">
        <f t="shared" ca="1" si="16"/>
        <v>0</v>
      </c>
      <c r="AI56" s="114">
        <f t="shared" ca="1" si="16"/>
        <v>6384.11</v>
      </c>
      <c r="AJ56" s="114">
        <f t="shared" ca="1" si="16"/>
        <v>0</v>
      </c>
      <c r="AK56" s="114">
        <f t="shared" ca="1" si="16"/>
        <v>1645.71</v>
      </c>
      <c r="AN56">
        <f t="shared" si="6"/>
        <v>56</v>
      </c>
      <c r="AQ56" s="114">
        <f t="shared" ca="1" si="7"/>
        <v>0</v>
      </c>
      <c r="AW56">
        <v>56</v>
      </c>
      <c r="BG56" s="114">
        <f t="shared" ca="1" si="4"/>
        <v>19748.47</v>
      </c>
      <c r="BI56">
        <f t="shared" si="5"/>
        <v>0</v>
      </c>
    </row>
    <row r="57" spans="1:61" x14ac:dyDescent="0.25">
      <c r="A57" s="113">
        <f t="shared" si="18"/>
        <v>490</v>
      </c>
      <c r="B57" s="113" t="str">
        <f t="shared" si="19"/>
        <v>a</v>
      </c>
      <c r="C57" s="113" t="str">
        <f t="shared" si="19"/>
        <v>b</v>
      </c>
      <c r="D57" s="113" t="str">
        <f t="shared" si="19"/>
        <v>c</v>
      </c>
      <c r="E57" s="113" t="str">
        <f t="shared" si="19"/>
        <v>d</v>
      </c>
      <c r="F57" s="113" t="str">
        <f t="shared" si="19"/>
        <v>e</v>
      </c>
      <c r="G57" s="113" t="str">
        <f t="shared" si="19"/>
        <v>f</v>
      </c>
      <c r="H57" s="113" t="str">
        <f t="shared" si="19"/>
        <v>g</v>
      </c>
      <c r="I57" s="113" t="str">
        <f t="shared" si="19"/>
        <v>h</v>
      </c>
      <c r="J57" s="113" t="str">
        <f t="shared" si="19"/>
        <v>i</v>
      </c>
      <c r="K57" s="113" t="str">
        <f t="shared" si="19"/>
        <v>j</v>
      </c>
      <c r="L57" s="113" t="str">
        <f t="shared" si="19"/>
        <v>k</v>
      </c>
      <c r="M57" s="113" t="str">
        <f t="shared" si="19"/>
        <v>l</v>
      </c>
      <c r="N57" s="113" t="str">
        <f t="shared" si="19"/>
        <v>m</v>
      </c>
      <c r="O57" s="113">
        <f t="shared" si="19"/>
        <v>0</v>
      </c>
      <c r="P57" s="113">
        <f t="shared" si="19"/>
        <v>0</v>
      </c>
      <c r="Q57" s="113" t="str">
        <f t="shared" si="19"/>
        <v>p</v>
      </c>
      <c r="R57" s="113">
        <f t="shared" si="19"/>
        <v>0</v>
      </c>
      <c r="S57" s="113">
        <f t="shared" si="19"/>
        <v>0</v>
      </c>
      <c r="T57" s="113">
        <f t="shared" si="19"/>
        <v>0</v>
      </c>
      <c r="U57" s="113">
        <f t="shared" si="19"/>
        <v>0</v>
      </c>
      <c r="V57" s="113">
        <f t="shared" si="19"/>
        <v>0</v>
      </c>
      <c r="W57" s="113">
        <f t="shared" si="19"/>
        <v>0</v>
      </c>
      <c r="X57" s="113">
        <f t="shared" si="19"/>
        <v>0</v>
      </c>
      <c r="AA57" s="113">
        <v>28</v>
      </c>
      <c r="AB57" s="112">
        <f t="shared" ca="1" si="20"/>
        <v>36100</v>
      </c>
      <c r="AC57" s="428">
        <f t="shared" ca="1" si="20"/>
        <v>36311</v>
      </c>
      <c r="AD57" t="s">
        <v>513</v>
      </c>
      <c r="AF57" s="114">
        <f t="shared" ca="1" si="16"/>
        <v>14774.8</v>
      </c>
      <c r="AG57" s="114">
        <f t="shared" ca="1" si="16"/>
        <v>0</v>
      </c>
      <c r="AH57" s="114">
        <f t="shared" ca="1" si="16"/>
        <v>0</v>
      </c>
      <c r="AI57" s="114">
        <f t="shared" ca="1" si="16"/>
        <v>6384.11</v>
      </c>
      <c r="AJ57" s="114">
        <f t="shared" ca="1" si="16"/>
        <v>0</v>
      </c>
      <c r="AK57" s="114">
        <f t="shared" ca="1" si="16"/>
        <v>1763.24</v>
      </c>
      <c r="AN57">
        <f t="shared" si="6"/>
        <v>57</v>
      </c>
      <c r="AQ57" s="114">
        <f t="shared" ca="1" si="7"/>
        <v>0</v>
      </c>
      <c r="AW57">
        <v>57</v>
      </c>
      <c r="BG57" s="114">
        <f t="shared" ca="1" si="4"/>
        <v>21158.91</v>
      </c>
      <c r="BI57">
        <f t="shared" si="5"/>
        <v>0</v>
      </c>
    </row>
    <row r="58" spans="1:61" x14ac:dyDescent="0.25">
      <c r="A58" s="113">
        <f t="shared" si="18"/>
        <v>492</v>
      </c>
      <c r="B58" s="113" t="str">
        <f t="shared" si="19"/>
        <v>a</v>
      </c>
      <c r="C58" s="113" t="str">
        <f t="shared" si="19"/>
        <v>b</v>
      </c>
      <c r="D58" s="113" t="str">
        <f t="shared" si="19"/>
        <v>c</v>
      </c>
      <c r="E58" s="113" t="str">
        <f t="shared" si="19"/>
        <v>d</v>
      </c>
      <c r="F58" s="113" t="str">
        <f t="shared" si="19"/>
        <v>e</v>
      </c>
      <c r="G58" s="113" t="str">
        <f t="shared" si="19"/>
        <v>f</v>
      </c>
      <c r="H58" s="113" t="str">
        <f t="shared" si="19"/>
        <v>g</v>
      </c>
      <c r="I58" s="113" t="str">
        <f t="shared" si="19"/>
        <v>h</v>
      </c>
      <c r="J58" s="113" t="str">
        <f t="shared" si="19"/>
        <v>i</v>
      </c>
      <c r="K58" s="113" t="str">
        <f t="shared" si="19"/>
        <v>j</v>
      </c>
      <c r="L58" s="113" t="str">
        <f t="shared" si="19"/>
        <v>k</v>
      </c>
      <c r="M58" s="113" t="str">
        <f t="shared" si="19"/>
        <v>l</v>
      </c>
      <c r="N58" s="113" t="str">
        <f t="shared" si="19"/>
        <v>m</v>
      </c>
      <c r="O58" s="113">
        <f t="shared" si="19"/>
        <v>0</v>
      </c>
      <c r="P58" s="113">
        <f t="shared" si="19"/>
        <v>0</v>
      </c>
      <c r="Q58" s="113" t="str">
        <f t="shared" si="19"/>
        <v>p</v>
      </c>
      <c r="R58" s="113">
        <f t="shared" si="19"/>
        <v>0</v>
      </c>
      <c r="S58" s="113">
        <f t="shared" si="19"/>
        <v>0</v>
      </c>
      <c r="T58" s="113">
        <f t="shared" si="19"/>
        <v>0</v>
      </c>
      <c r="U58" s="113">
        <f t="shared" si="19"/>
        <v>0</v>
      </c>
      <c r="V58" s="113">
        <f t="shared" si="19"/>
        <v>0</v>
      </c>
      <c r="W58" s="113">
        <f t="shared" si="19"/>
        <v>0</v>
      </c>
      <c r="X58" s="113">
        <f t="shared" si="19"/>
        <v>0</v>
      </c>
      <c r="AA58" s="113">
        <v>35</v>
      </c>
      <c r="AB58" s="112">
        <f t="shared" ca="1" si="20"/>
        <v>36100</v>
      </c>
      <c r="AC58" s="428">
        <f t="shared" ca="1" si="20"/>
        <v>36311</v>
      </c>
      <c r="AD58" t="s">
        <v>514</v>
      </c>
      <c r="AF58" s="114">
        <f t="shared" ca="1" si="16"/>
        <v>15826.31</v>
      </c>
      <c r="AG58" s="114">
        <f t="shared" ca="1" si="16"/>
        <v>0</v>
      </c>
      <c r="AH58" s="114">
        <f t="shared" ca="1" si="16"/>
        <v>0</v>
      </c>
      <c r="AI58" s="114">
        <f t="shared" ca="1" si="16"/>
        <v>6384.11</v>
      </c>
      <c r="AJ58" s="114">
        <f t="shared" ca="1" si="16"/>
        <v>0</v>
      </c>
      <c r="AK58" s="114">
        <f t="shared" ca="1" si="16"/>
        <v>1850.87</v>
      </c>
      <c r="AN58">
        <f t="shared" si="6"/>
        <v>58</v>
      </c>
      <c r="AQ58" s="114">
        <f t="shared" ca="1" si="7"/>
        <v>0</v>
      </c>
      <c r="AW58">
        <v>58</v>
      </c>
      <c r="BG58" s="114">
        <f t="shared" ca="1" si="4"/>
        <v>22210.42</v>
      </c>
      <c r="BI58">
        <f t="shared" si="5"/>
        <v>0</v>
      </c>
    </row>
    <row r="59" spans="1:61" x14ac:dyDescent="0.25">
      <c r="A59" s="113">
        <f>A52+20</f>
        <v>500</v>
      </c>
      <c r="B59" s="113" t="str">
        <f>B52</f>
        <v>a</v>
      </c>
      <c r="C59" s="113" t="str">
        <f t="shared" ref="C59:X59" si="21">C52</f>
        <v>b</v>
      </c>
      <c r="D59" s="113" t="str">
        <f t="shared" si="21"/>
        <v>c</v>
      </c>
      <c r="E59" s="113" t="str">
        <f t="shared" si="21"/>
        <v>d</v>
      </c>
      <c r="F59" s="113" t="str">
        <f t="shared" si="21"/>
        <v>e</v>
      </c>
      <c r="G59" s="113" t="str">
        <f t="shared" si="21"/>
        <v>f</v>
      </c>
      <c r="H59" s="113" t="str">
        <f t="shared" si="21"/>
        <v>g</v>
      </c>
      <c r="I59" s="113" t="str">
        <f t="shared" si="21"/>
        <v>h</v>
      </c>
      <c r="J59" s="113" t="str">
        <f t="shared" si="21"/>
        <v>i</v>
      </c>
      <c r="K59" s="113" t="str">
        <f t="shared" si="21"/>
        <v>j</v>
      </c>
      <c r="L59" s="113" t="str">
        <f t="shared" si="21"/>
        <v>k</v>
      </c>
      <c r="M59" s="113" t="str">
        <f t="shared" si="21"/>
        <v>l</v>
      </c>
      <c r="N59" s="113" t="str">
        <f t="shared" si="21"/>
        <v>m</v>
      </c>
      <c r="O59" s="113">
        <f t="shared" si="21"/>
        <v>0</v>
      </c>
      <c r="P59" s="113">
        <f t="shared" si="21"/>
        <v>0</v>
      </c>
      <c r="Q59" s="113" t="str">
        <f t="shared" si="21"/>
        <v>p</v>
      </c>
      <c r="R59" s="113">
        <f t="shared" si="21"/>
        <v>0</v>
      </c>
      <c r="S59" s="113">
        <f t="shared" si="21"/>
        <v>0</v>
      </c>
      <c r="T59" s="113">
        <f t="shared" si="21"/>
        <v>0</v>
      </c>
      <c r="U59" s="113">
        <f t="shared" si="21"/>
        <v>0</v>
      </c>
      <c r="V59" s="113">
        <f t="shared" si="21"/>
        <v>0</v>
      </c>
      <c r="W59" s="113">
        <f t="shared" si="21"/>
        <v>0</v>
      </c>
      <c r="X59" s="113">
        <f t="shared" si="21"/>
        <v>0</v>
      </c>
      <c r="AA59" s="113">
        <v>0</v>
      </c>
      <c r="AB59" s="112">
        <f ca="1">INDIRECT(CONCATENATE($AB$10,CONCATENATE(B59,$A59)))</f>
        <v>36312</v>
      </c>
      <c r="AC59" s="428">
        <f ca="1">INDIRECT(CONCATENATE($AB$10,CONCATENATE(C59,$A59)))</f>
        <v>36707</v>
      </c>
      <c r="AD59" t="s">
        <v>515</v>
      </c>
      <c r="AF59" s="114">
        <f t="shared" ca="1" si="16"/>
        <v>9010.11</v>
      </c>
      <c r="AG59" s="114">
        <f ca="1">INDIRECT(CONCATENATE($AB$10,CONCATENATE(G59,$A59)))</f>
        <v>0</v>
      </c>
      <c r="AH59" s="114">
        <f ca="1">INDIRECT(CONCATENATE($AB$10,CONCATENATE(H59,$A59)))</f>
        <v>0</v>
      </c>
      <c r="AI59" s="114">
        <f ca="1">INDIRECT(CONCATENATE($AB$10,CONCATENATE(I59,$A59)))</f>
        <v>6384.11</v>
      </c>
      <c r="AJ59" s="114">
        <f ca="1">INDIRECT(CONCATENATE($AB$10,CONCATENATE(J59,$A59)))</f>
        <v>0</v>
      </c>
      <c r="AK59" s="114">
        <f ca="1">INDIRECT(CONCATENATE($AB$10,CONCATENATE(K59,$A59)))</f>
        <v>1282.8499999999999</v>
      </c>
      <c r="AN59">
        <f t="shared" si="6"/>
        <v>59</v>
      </c>
      <c r="AQ59" s="114">
        <f t="shared" ca="1" si="7"/>
        <v>0</v>
      </c>
      <c r="AW59">
        <v>59</v>
      </c>
      <c r="BG59" s="114">
        <f t="shared" ca="1" si="4"/>
        <v>15394.220000000001</v>
      </c>
      <c r="BI59">
        <f t="shared" si="5"/>
        <v>0</v>
      </c>
    </row>
    <row r="60" spans="1:61" x14ac:dyDescent="0.25">
      <c r="A60" s="113">
        <f t="shared" ref="A60:A65" si="22">A59+2</f>
        <v>502</v>
      </c>
      <c r="B60" s="113" t="str">
        <f t="shared" ref="B60:X65" si="23">B59</f>
        <v>a</v>
      </c>
      <c r="C60" s="113" t="str">
        <f t="shared" si="23"/>
        <v>b</v>
      </c>
      <c r="D60" s="113" t="str">
        <f t="shared" si="23"/>
        <v>c</v>
      </c>
      <c r="E60" s="113" t="str">
        <f t="shared" si="23"/>
        <v>d</v>
      </c>
      <c r="F60" s="113" t="str">
        <f t="shared" si="23"/>
        <v>e</v>
      </c>
      <c r="G60" s="113" t="str">
        <f t="shared" si="23"/>
        <v>f</v>
      </c>
      <c r="H60" s="113" t="str">
        <f t="shared" si="23"/>
        <v>g</v>
      </c>
      <c r="I60" s="113" t="str">
        <f t="shared" si="23"/>
        <v>h</v>
      </c>
      <c r="J60" s="113" t="str">
        <f t="shared" si="23"/>
        <v>i</v>
      </c>
      <c r="K60" s="113" t="str">
        <f t="shared" si="23"/>
        <v>j</v>
      </c>
      <c r="L60" s="113" t="str">
        <f t="shared" si="23"/>
        <v>k</v>
      </c>
      <c r="M60" s="113" t="str">
        <f t="shared" si="23"/>
        <v>l</v>
      </c>
      <c r="N60" s="113" t="str">
        <f t="shared" si="23"/>
        <v>m</v>
      </c>
      <c r="O60" s="113">
        <f t="shared" si="23"/>
        <v>0</v>
      </c>
      <c r="P60" s="113">
        <f t="shared" si="23"/>
        <v>0</v>
      </c>
      <c r="Q60" s="113" t="str">
        <f t="shared" si="23"/>
        <v>p</v>
      </c>
      <c r="R60" s="113">
        <f t="shared" si="23"/>
        <v>0</v>
      </c>
      <c r="S60" s="113">
        <f t="shared" si="23"/>
        <v>0</v>
      </c>
      <c r="T60" s="113">
        <f t="shared" si="23"/>
        <v>0</v>
      </c>
      <c r="U60" s="113">
        <f t="shared" si="23"/>
        <v>0</v>
      </c>
      <c r="V60" s="113">
        <f t="shared" si="23"/>
        <v>0</v>
      </c>
      <c r="W60" s="113">
        <f t="shared" si="23"/>
        <v>0</v>
      </c>
      <c r="X60" s="113">
        <f t="shared" si="23"/>
        <v>0</v>
      </c>
      <c r="AA60" s="113">
        <v>3</v>
      </c>
      <c r="AB60" s="112">
        <f t="shared" ref="AB60:AC65" ca="1" si="24">AB59</f>
        <v>36312</v>
      </c>
      <c r="AC60" s="428">
        <f t="shared" ca="1" si="24"/>
        <v>36707</v>
      </c>
      <c r="AD60" t="s">
        <v>516</v>
      </c>
      <c r="AF60" s="114">
        <f t="shared" ca="1" si="16"/>
        <v>9420.69</v>
      </c>
      <c r="AG60" s="114">
        <f t="shared" ca="1" si="16"/>
        <v>0</v>
      </c>
      <c r="AH60" s="114">
        <f t="shared" ca="1" si="16"/>
        <v>0</v>
      </c>
      <c r="AI60" s="114">
        <f t="shared" ca="1" si="16"/>
        <v>6384.11</v>
      </c>
      <c r="AJ60" s="114">
        <f t="shared" ca="1" si="16"/>
        <v>0</v>
      </c>
      <c r="AK60" s="114">
        <f t="shared" ca="1" si="16"/>
        <v>1317.07</v>
      </c>
      <c r="AN60">
        <f t="shared" si="6"/>
        <v>60</v>
      </c>
      <c r="AQ60" s="114">
        <f t="shared" ca="1" si="7"/>
        <v>0</v>
      </c>
      <c r="AW60">
        <v>60</v>
      </c>
      <c r="BG60" s="114">
        <f t="shared" ca="1" si="4"/>
        <v>15804.8</v>
      </c>
      <c r="BI60">
        <f t="shared" si="5"/>
        <v>0</v>
      </c>
    </row>
    <row r="61" spans="1:61" x14ac:dyDescent="0.25">
      <c r="A61" s="113">
        <f t="shared" si="22"/>
        <v>504</v>
      </c>
      <c r="B61" s="113" t="str">
        <f t="shared" si="23"/>
        <v>a</v>
      </c>
      <c r="C61" s="113" t="str">
        <f t="shared" si="23"/>
        <v>b</v>
      </c>
      <c r="D61" s="113" t="str">
        <f t="shared" si="23"/>
        <v>c</v>
      </c>
      <c r="E61" s="113" t="str">
        <f t="shared" si="23"/>
        <v>d</v>
      </c>
      <c r="F61" s="113" t="str">
        <f t="shared" si="23"/>
        <v>e</v>
      </c>
      <c r="G61" s="113" t="str">
        <f t="shared" si="23"/>
        <v>f</v>
      </c>
      <c r="H61" s="113" t="str">
        <f t="shared" si="23"/>
        <v>g</v>
      </c>
      <c r="I61" s="113" t="str">
        <f t="shared" si="23"/>
        <v>h</v>
      </c>
      <c r="J61" s="113" t="str">
        <f t="shared" si="23"/>
        <v>i</v>
      </c>
      <c r="K61" s="113" t="str">
        <f t="shared" si="23"/>
        <v>j</v>
      </c>
      <c r="L61" s="113" t="str">
        <f t="shared" si="23"/>
        <v>k</v>
      </c>
      <c r="M61" s="113" t="str">
        <f t="shared" si="23"/>
        <v>l</v>
      </c>
      <c r="N61" s="113" t="str">
        <f t="shared" si="23"/>
        <v>m</v>
      </c>
      <c r="O61" s="113">
        <f t="shared" si="23"/>
        <v>0</v>
      </c>
      <c r="P61" s="113">
        <f t="shared" si="23"/>
        <v>0</v>
      </c>
      <c r="Q61" s="113" t="str">
        <f t="shared" si="23"/>
        <v>p</v>
      </c>
      <c r="R61" s="113">
        <f t="shared" si="23"/>
        <v>0</v>
      </c>
      <c r="S61" s="113">
        <f t="shared" si="23"/>
        <v>0</v>
      </c>
      <c r="T61" s="113">
        <f t="shared" si="23"/>
        <v>0</v>
      </c>
      <c r="U61" s="113">
        <f t="shared" si="23"/>
        <v>0</v>
      </c>
      <c r="V61" s="113">
        <f t="shared" si="23"/>
        <v>0</v>
      </c>
      <c r="W61" s="113">
        <f t="shared" si="23"/>
        <v>0</v>
      </c>
      <c r="X61" s="113">
        <f t="shared" si="23"/>
        <v>0</v>
      </c>
      <c r="AA61" s="113">
        <v>9</v>
      </c>
      <c r="AB61" s="112">
        <f t="shared" ca="1" si="24"/>
        <v>36312</v>
      </c>
      <c r="AC61" s="428">
        <f t="shared" ca="1" si="24"/>
        <v>36707</v>
      </c>
      <c r="AD61" t="s">
        <v>510</v>
      </c>
      <c r="AF61" s="114">
        <f t="shared" ca="1" si="16"/>
        <v>10705.64</v>
      </c>
      <c r="AG61" s="114">
        <f t="shared" ca="1" si="16"/>
        <v>0</v>
      </c>
      <c r="AH61" s="114">
        <f t="shared" ca="1" si="16"/>
        <v>0</v>
      </c>
      <c r="AI61" s="114">
        <f t="shared" ca="1" si="16"/>
        <v>6384.11</v>
      </c>
      <c r="AJ61" s="114">
        <f t="shared" ca="1" si="16"/>
        <v>0</v>
      </c>
      <c r="AK61" s="114">
        <f t="shared" ca="1" si="16"/>
        <v>1424.15</v>
      </c>
      <c r="AN61">
        <f t="shared" si="6"/>
        <v>61</v>
      </c>
      <c r="AQ61" s="114">
        <f t="shared" ca="1" si="7"/>
        <v>0</v>
      </c>
      <c r="AW61">
        <v>61</v>
      </c>
      <c r="BG61" s="114">
        <f t="shared" ca="1" si="4"/>
        <v>17089.75</v>
      </c>
      <c r="BI61">
        <f t="shared" si="5"/>
        <v>0</v>
      </c>
    </row>
    <row r="62" spans="1:61" x14ac:dyDescent="0.25">
      <c r="A62" s="113">
        <f t="shared" si="22"/>
        <v>506</v>
      </c>
      <c r="B62" s="113" t="str">
        <f t="shared" si="23"/>
        <v>a</v>
      </c>
      <c r="C62" s="113" t="str">
        <f t="shared" si="23"/>
        <v>b</v>
      </c>
      <c r="D62" s="113" t="str">
        <f t="shared" si="23"/>
        <v>c</v>
      </c>
      <c r="E62" s="113" t="str">
        <f t="shared" si="23"/>
        <v>d</v>
      </c>
      <c r="F62" s="113" t="str">
        <f t="shared" si="23"/>
        <v>e</v>
      </c>
      <c r="G62" s="113" t="str">
        <f t="shared" si="23"/>
        <v>f</v>
      </c>
      <c r="H62" s="113" t="str">
        <f t="shared" si="23"/>
        <v>g</v>
      </c>
      <c r="I62" s="113" t="str">
        <f t="shared" si="23"/>
        <v>h</v>
      </c>
      <c r="J62" s="113" t="str">
        <f t="shared" si="23"/>
        <v>i</v>
      </c>
      <c r="K62" s="113" t="str">
        <f t="shared" si="23"/>
        <v>j</v>
      </c>
      <c r="L62" s="113" t="str">
        <f t="shared" si="23"/>
        <v>k</v>
      </c>
      <c r="M62" s="113" t="str">
        <f t="shared" si="23"/>
        <v>l</v>
      </c>
      <c r="N62" s="113" t="str">
        <f t="shared" si="23"/>
        <v>m</v>
      </c>
      <c r="O62" s="113">
        <f t="shared" si="23"/>
        <v>0</v>
      </c>
      <c r="P62" s="113">
        <f t="shared" si="23"/>
        <v>0</v>
      </c>
      <c r="Q62" s="113" t="str">
        <f t="shared" si="23"/>
        <v>p</v>
      </c>
      <c r="R62" s="113">
        <f t="shared" si="23"/>
        <v>0</v>
      </c>
      <c r="S62" s="113">
        <f t="shared" si="23"/>
        <v>0</v>
      </c>
      <c r="T62" s="113">
        <f t="shared" si="23"/>
        <v>0</v>
      </c>
      <c r="U62" s="113">
        <f t="shared" si="23"/>
        <v>0</v>
      </c>
      <c r="V62" s="113">
        <f t="shared" si="23"/>
        <v>0</v>
      </c>
      <c r="W62" s="113">
        <f t="shared" si="23"/>
        <v>0</v>
      </c>
      <c r="X62" s="113">
        <f t="shared" si="23"/>
        <v>0</v>
      </c>
      <c r="AA62" s="113">
        <v>15</v>
      </c>
      <c r="AB62" s="112">
        <f t="shared" ca="1" si="24"/>
        <v>36312</v>
      </c>
      <c r="AC62" s="428">
        <f t="shared" ca="1" si="24"/>
        <v>36707</v>
      </c>
      <c r="AD62" t="s">
        <v>511</v>
      </c>
      <c r="AF62" s="114">
        <f t="shared" ca="1" si="16"/>
        <v>12200.26</v>
      </c>
      <c r="AG62" s="114">
        <f t="shared" ca="1" si="16"/>
        <v>0</v>
      </c>
      <c r="AH62" s="114">
        <f t="shared" ca="1" si="16"/>
        <v>0</v>
      </c>
      <c r="AI62" s="114">
        <f t="shared" ca="1" si="16"/>
        <v>6384.11</v>
      </c>
      <c r="AJ62" s="114">
        <f t="shared" ca="1" si="16"/>
        <v>0</v>
      </c>
      <c r="AK62" s="114">
        <f t="shared" ca="1" si="16"/>
        <v>1548.7</v>
      </c>
      <c r="AN62">
        <f t="shared" si="6"/>
        <v>62</v>
      </c>
      <c r="AQ62" s="114">
        <f t="shared" ca="1" si="7"/>
        <v>0</v>
      </c>
      <c r="AW62">
        <v>62</v>
      </c>
      <c r="BG62" s="114">
        <f t="shared" ca="1" si="4"/>
        <v>18584.37</v>
      </c>
      <c r="BI62">
        <f t="shared" si="5"/>
        <v>0</v>
      </c>
    </row>
    <row r="63" spans="1:61" x14ac:dyDescent="0.25">
      <c r="A63" s="113">
        <f t="shared" si="22"/>
        <v>508</v>
      </c>
      <c r="B63" s="113" t="str">
        <f t="shared" si="23"/>
        <v>a</v>
      </c>
      <c r="C63" s="113" t="str">
        <f t="shared" si="23"/>
        <v>b</v>
      </c>
      <c r="D63" s="113" t="str">
        <f t="shared" si="23"/>
        <v>c</v>
      </c>
      <c r="E63" s="113" t="str">
        <f t="shared" si="23"/>
        <v>d</v>
      </c>
      <c r="F63" s="113" t="str">
        <f t="shared" si="23"/>
        <v>e</v>
      </c>
      <c r="G63" s="113" t="str">
        <f t="shared" si="23"/>
        <v>f</v>
      </c>
      <c r="H63" s="113" t="str">
        <f t="shared" si="23"/>
        <v>g</v>
      </c>
      <c r="I63" s="113" t="str">
        <f t="shared" si="23"/>
        <v>h</v>
      </c>
      <c r="J63" s="113" t="str">
        <f t="shared" si="23"/>
        <v>i</v>
      </c>
      <c r="K63" s="113" t="str">
        <f t="shared" si="23"/>
        <v>j</v>
      </c>
      <c r="L63" s="113" t="str">
        <f t="shared" si="23"/>
        <v>k</v>
      </c>
      <c r="M63" s="113" t="str">
        <f t="shared" si="23"/>
        <v>l</v>
      </c>
      <c r="N63" s="113" t="str">
        <f t="shared" si="23"/>
        <v>m</v>
      </c>
      <c r="O63" s="113">
        <f t="shared" si="23"/>
        <v>0</v>
      </c>
      <c r="P63" s="113">
        <f t="shared" si="23"/>
        <v>0</v>
      </c>
      <c r="Q63" s="113" t="str">
        <f t="shared" si="23"/>
        <v>p</v>
      </c>
      <c r="R63" s="113">
        <f t="shared" si="23"/>
        <v>0</v>
      </c>
      <c r="S63" s="113">
        <f t="shared" si="23"/>
        <v>0</v>
      </c>
      <c r="T63" s="113">
        <f t="shared" si="23"/>
        <v>0</v>
      </c>
      <c r="U63" s="113">
        <f t="shared" si="23"/>
        <v>0</v>
      </c>
      <c r="V63" s="113">
        <f t="shared" si="23"/>
        <v>0</v>
      </c>
      <c r="W63" s="113">
        <f t="shared" si="23"/>
        <v>0</v>
      </c>
      <c r="X63" s="113">
        <f t="shared" si="23"/>
        <v>0</v>
      </c>
      <c r="AA63" s="113">
        <v>21</v>
      </c>
      <c r="AB63" s="112">
        <f t="shared" ca="1" si="24"/>
        <v>36312</v>
      </c>
      <c r="AC63" s="428">
        <f t="shared" ca="1" si="24"/>
        <v>36707</v>
      </c>
      <c r="AD63" t="s">
        <v>512</v>
      </c>
      <c r="AF63" s="114">
        <f t="shared" ca="1" si="16"/>
        <v>13655.64</v>
      </c>
      <c r="AG63" s="114">
        <f t="shared" ca="1" si="16"/>
        <v>0</v>
      </c>
      <c r="AH63" s="114">
        <f t="shared" ca="1" si="16"/>
        <v>0</v>
      </c>
      <c r="AI63" s="114">
        <f t="shared" ca="1" si="16"/>
        <v>6384.11</v>
      </c>
      <c r="AJ63" s="114">
        <f t="shared" ca="1" si="16"/>
        <v>0</v>
      </c>
      <c r="AK63" s="114">
        <f t="shared" ca="1" si="16"/>
        <v>1669.98</v>
      </c>
      <c r="AN63">
        <f t="shared" si="6"/>
        <v>63</v>
      </c>
      <c r="AQ63" s="114">
        <f t="shared" ca="1" si="7"/>
        <v>0</v>
      </c>
      <c r="AW63">
        <v>63</v>
      </c>
      <c r="BG63" s="114">
        <f t="shared" ca="1" si="4"/>
        <v>20039.75</v>
      </c>
      <c r="BI63">
        <f t="shared" si="5"/>
        <v>0</v>
      </c>
    </row>
    <row r="64" spans="1:61" x14ac:dyDescent="0.25">
      <c r="A64" s="113">
        <f t="shared" si="22"/>
        <v>510</v>
      </c>
      <c r="B64" s="113" t="str">
        <f t="shared" si="23"/>
        <v>a</v>
      </c>
      <c r="C64" s="113" t="str">
        <f t="shared" si="23"/>
        <v>b</v>
      </c>
      <c r="D64" s="113" t="str">
        <f t="shared" si="23"/>
        <v>c</v>
      </c>
      <c r="E64" s="113" t="str">
        <f t="shared" si="23"/>
        <v>d</v>
      </c>
      <c r="F64" s="113" t="str">
        <f t="shared" si="23"/>
        <v>e</v>
      </c>
      <c r="G64" s="113" t="str">
        <f t="shared" si="23"/>
        <v>f</v>
      </c>
      <c r="H64" s="113" t="str">
        <f t="shared" si="23"/>
        <v>g</v>
      </c>
      <c r="I64" s="113" t="str">
        <f t="shared" si="23"/>
        <v>h</v>
      </c>
      <c r="J64" s="113" t="str">
        <f t="shared" si="23"/>
        <v>i</v>
      </c>
      <c r="K64" s="113" t="str">
        <f t="shared" si="23"/>
        <v>j</v>
      </c>
      <c r="L64" s="113" t="str">
        <f t="shared" si="23"/>
        <v>k</v>
      </c>
      <c r="M64" s="113" t="str">
        <f t="shared" si="23"/>
        <v>l</v>
      </c>
      <c r="N64" s="113" t="str">
        <f t="shared" si="23"/>
        <v>m</v>
      </c>
      <c r="O64" s="113">
        <f t="shared" si="23"/>
        <v>0</v>
      </c>
      <c r="P64" s="113">
        <f t="shared" si="23"/>
        <v>0</v>
      </c>
      <c r="Q64" s="113" t="str">
        <f t="shared" si="23"/>
        <v>p</v>
      </c>
      <c r="R64" s="113">
        <f t="shared" si="23"/>
        <v>0</v>
      </c>
      <c r="S64" s="113">
        <f t="shared" si="23"/>
        <v>0</v>
      </c>
      <c r="T64" s="113">
        <f t="shared" si="23"/>
        <v>0</v>
      </c>
      <c r="U64" s="113">
        <f t="shared" si="23"/>
        <v>0</v>
      </c>
      <c r="V64" s="113">
        <f t="shared" si="23"/>
        <v>0</v>
      </c>
      <c r="W64" s="113">
        <f t="shared" si="23"/>
        <v>0</v>
      </c>
      <c r="X64" s="113">
        <f t="shared" si="23"/>
        <v>0</v>
      </c>
      <c r="AA64" s="113">
        <v>28</v>
      </c>
      <c r="AB64" s="112">
        <f t="shared" ca="1" si="24"/>
        <v>36312</v>
      </c>
      <c r="AC64" s="428">
        <f t="shared" ca="1" si="24"/>
        <v>36707</v>
      </c>
      <c r="AD64" t="s">
        <v>513</v>
      </c>
      <c r="AF64" s="114">
        <f t="shared" ca="1" si="16"/>
        <v>15084.67</v>
      </c>
      <c r="AG64" s="114">
        <f t="shared" ca="1" si="16"/>
        <v>0</v>
      </c>
      <c r="AH64" s="114">
        <f t="shared" ca="1" si="16"/>
        <v>0</v>
      </c>
      <c r="AI64" s="114">
        <f t="shared" ca="1" si="16"/>
        <v>6384.11</v>
      </c>
      <c r="AJ64" s="114">
        <f t="shared" ca="1" si="16"/>
        <v>0</v>
      </c>
      <c r="AK64" s="114">
        <f t="shared" ca="1" si="16"/>
        <v>1789.07</v>
      </c>
      <c r="AN64">
        <f t="shared" si="6"/>
        <v>64</v>
      </c>
      <c r="AQ64" s="114">
        <f t="shared" ca="1" si="7"/>
        <v>0</v>
      </c>
      <c r="AW64">
        <v>64</v>
      </c>
      <c r="BG64" s="114">
        <f t="shared" ca="1" si="4"/>
        <v>21468.78</v>
      </c>
      <c r="BI64">
        <f t="shared" si="5"/>
        <v>0</v>
      </c>
    </row>
    <row r="65" spans="1:61" x14ac:dyDescent="0.25">
      <c r="A65" s="113">
        <f t="shared" si="22"/>
        <v>512</v>
      </c>
      <c r="B65" s="113" t="str">
        <f t="shared" si="23"/>
        <v>a</v>
      </c>
      <c r="C65" s="113" t="str">
        <f t="shared" si="23"/>
        <v>b</v>
      </c>
      <c r="D65" s="113" t="str">
        <f t="shared" si="23"/>
        <v>c</v>
      </c>
      <c r="E65" s="113" t="str">
        <f t="shared" si="23"/>
        <v>d</v>
      </c>
      <c r="F65" s="113" t="str">
        <f t="shared" si="23"/>
        <v>e</v>
      </c>
      <c r="G65" s="113" t="str">
        <f t="shared" si="23"/>
        <v>f</v>
      </c>
      <c r="H65" s="113" t="str">
        <f t="shared" si="23"/>
        <v>g</v>
      </c>
      <c r="I65" s="113" t="str">
        <f t="shared" si="23"/>
        <v>h</v>
      </c>
      <c r="J65" s="113" t="str">
        <f t="shared" si="23"/>
        <v>i</v>
      </c>
      <c r="K65" s="113" t="str">
        <f t="shared" si="23"/>
        <v>j</v>
      </c>
      <c r="L65" s="113" t="str">
        <f t="shared" si="23"/>
        <v>k</v>
      </c>
      <c r="M65" s="113" t="str">
        <f t="shared" si="23"/>
        <v>l</v>
      </c>
      <c r="N65" s="113" t="str">
        <f t="shared" si="23"/>
        <v>m</v>
      </c>
      <c r="O65" s="113">
        <f t="shared" si="23"/>
        <v>0</v>
      </c>
      <c r="P65" s="113">
        <f t="shared" si="23"/>
        <v>0</v>
      </c>
      <c r="Q65" s="113" t="str">
        <f t="shared" si="23"/>
        <v>p</v>
      </c>
      <c r="R65" s="113">
        <f t="shared" si="23"/>
        <v>0</v>
      </c>
      <c r="S65" s="113">
        <f t="shared" si="23"/>
        <v>0</v>
      </c>
      <c r="T65" s="113">
        <f t="shared" si="23"/>
        <v>0</v>
      </c>
      <c r="U65" s="113">
        <f t="shared" si="23"/>
        <v>0</v>
      </c>
      <c r="V65" s="113">
        <f t="shared" si="23"/>
        <v>0</v>
      </c>
      <c r="W65" s="113">
        <f t="shared" si="23"/>
        <v>0</v>
      </c>
      <c r="X65" s="113">
        <f t="shared" si="23"/>
        <v>0</v>
      </c>
      <c r="AA65" s="113">
        <v>35</v>
      </c>
      <c r="AB65" s="112">
        <f t="shared" ca="1" si="24"/>
        <v>36312</v>
      </c>
      <c r="AC65" s="428">
        <f t="shared" ca="1" si="24"/>
        <v>36707</v>
      </c>
      <c r="AD65" t="s">
        <v>514</v>
      </c>
      <c r="AF65" s="114">
        <f t="shared" ca="1" si="16"/>
        <v>16154.77</v>
      </c>
      <c r="AG65" s="114">
        <f t="shared" ca="1" si="16"/>
        <v>0</v>
      </c>
      <c r="AH65" s="114">
        <f t="shared" ca="1" si="16"/>
        <v>0</v>
      </c>
      <c r="AI65" s="114">
        <f t="shared" ca="1" si="16"/>
        <v>6384.11</v>
      </c>
      <c r="AJ65" s="114">
        <f t="shared" ca="1" si="16"/>
        <v>0</v>
      </c>
      <c r="AK65" s="114">
        <f t="shared" ca="1" si="16"/>
        <v>1878.24</v>
      </c>
      <c r="AN65">
        <f t="shared" si="6"/>
        <v>65</v>
      </c>
      <c r="AQ65" s="114">
        <f t="shared" ca="1" si="7"/>
        <v>0</v>
      </c>
      <c r="AW65">
        <v>65</v>
      </c>
      <c r="BG65" s="114">
        <f t="shared" ca="1" si="4"/>
        <v>22538.880000000001</v>
      </c>
      <c r="BI65">
        <f t="shared" si="5"/>
        <v>0</v>
      </c>
    </row>
    <row r="66" spans="1:61" x14ac:dyDescent="0.25">
      <c r="A66" s="113">
        <f>A59+20</f>
        <v>520</v>
      </c>
      <c r="B66" s="113" t="str">
        <f>B59</f>
        <v>a</v>
      </c>
      <c r="C66" s="113" t="str">
        <f t="shared" ref="C66:X66" si="25">C59</f>
        <v>b</v>
      </c>
      <c r="D66" s="113" t="str">
        <f t="shared" si="25"/>
        <v>c</v>
      </c>
      <c r="E66" s="113" t="str">
        <f t="shared" si="25"/>
        <v>d</v>
      </c>
      <c r="F66" s="113" t="str">
        <f t="shared" si="25"/>
        <v>e</v>
      </c>
      <c r="G66" s="113" t="str">
        <f t="shared" si="25"/>
        <v>f</v>
      </c>
      <c r="H66" s="113" t="str">
        <f t="shared" si="25"/>
        <v>g</v>
      </c>
      <c r="I66" s="113" t="str">
        <f t="shared" si="25"/>
        <v>h</v>
      </c>
      <c r="J66" s="113" t="str">
        <f t="shared" si="25"/>
        <v>i</v>
      </c>
      <c r="K66" s="113" t="str">
        <f t="shared" si="25"/>
        <v>j</v>
      </c>
      <c r="L66" s="113" t="str">
        <f t="shared" si="25"/>
        <v>k</v>
      </c>
      <c r="M66" s="113" t="str">
        <f t="shared" si="25"/>
        <v>l</v>
      </c>
      <c r="N66" s="113" t="str">
        <f t="shared" si="25"/>
        <v>m</v>
      </c>
      <c r="O66" s="113">
        <f t="shared" si="25"/>
        <v>0</v>
      </c>
      <c r="P66" s="113">
        <f t="shared" si="25"/>
        <v>0</v>
      </c>
      <c r="Q66" s="113" t="str">
        <f t="shared" si="25"/>
        <v>p</v>
      </c>
      <c r="R66" s="113">
        <f t="shared" si="25"/>
        <v>0</v>
      </c>
      <c r="S66" s="113">
        <f t="shared" si="25"/>
        <v>0</v>
      </c>
      <c r="T66" s="113">
        <f t="shared" si="25"/>
        <v>0</v>
      </c>
      <c r="U66" s="113">
        <f t="shared" si="25"/>
        <v>0</v>
      </c>
      <c r="V66" s="113">
        <f t="shared" si="25"/>
        <v>0</v>
      </c>
      <c r="W66" s="113">
        <f t="shared" si="25"/>
        <v>0</v>
      </c>
      <c r="X66" s="113">
        <f t="shared" si="25"/>
        <v>0</v>
      </c>
      <c r="AA66" s="113">
        <v>0</v>
      </c>
      <c r="AB66" s="112">
        <f ca="1">INDIRECT(CONCATENATE($AB$10,CONCATENATE(B66,$A66)))</f>
        <v>36708</v>
      </c>
      <c r="AC66" s="428">
        <f ca="1">INDIRECT(CONCATENATE($AB$10,CONCATENATE(C66,$A66)))</f>
        <v>36769</v>
      </c>
      <c r="AD66" t="s">
        <v>515</v>
      </c>
      <c r="AF66" s="114">
        <f t="shared" ca="1" si="16"/>
        <v>9196.0300000000007</v>
      </c>
      <c r="AG66" s="114">
        <f ca="1">INDIRECT(CONCATENATE($AB$10,CONCATENATE(G66,$A66)))</f>
        <v>0</v>
      </c>
      <c r="AH66" s="114">
        <f ca="1">INDIRECT(CONCATENATE($AB$10,CONCATENATE(H66,$A66)))</f>
        <v>0</v>
      </c>
      <c r="AI66" s="114">
        <f ca="1">INDIRECT(CONCATENATE($AB$10,CONCATENATE(I66,$A66)))</f>
        <v>6384.11</v>
      </c>
      <c r="AJ66" s="114">
        <f ca="1">INDIRECT(CONCATENATE($AB$10,CONCATENATE(J66,$A66)))</f>
        <v>0</v>
      </c>
      <c r="AK66" s="114">
        <f ca="1">INDIRECT(CONCATENATE($AB$10,CONCATENATE(K66,$A66)))</f>
        <v>1298.3499999999999</v>
      </c>
      <c r="AN66">
        <f t="shared" si="6"/>
        <v>66</v>
      </c>
      <c r="AQ66" s="114">
        <f t="shared" ca="1" si="7"/>
        <v>0</v>
      </c>
      <c r="AW66">
        <v>66</v>
      </c>
      <c r="BG66" s="114">
        <f t="shared" ca="1" si="4"/>
        <v>15580.14</v>
      </c>
      <c r="BI66">
        <f t="shared" si="5"/>
        <v>0</v>
      </c>
    </row>
    <row r="67" spans="1:61" x14ac:dyDescent="0.25">
      <c r="A67" s="113">
        <f t="shared" ref="A67:A72" si="26">A66+2</f>
        <v>522</v>
      </c>
      <c r="B67" s="113" t="str">
        <f t="shared" ref="B67:X72" si="27">B66</f>
        <v>a</v>
      </c>
      <c r="C67" s="113" t="str">
        <f t="shared" si="27"/>
        <v>b</v>
      </c>
      <c r="D67" s="113" t="str">
        <f t="shared" si="27"/>
        <v>c</v>
      </c>
      <c r="E67" s="113" t="str">
        <f t="shared" si="27"/>
        <v>d</v>
      </c>
      <c r="F67" s="113" t="str">
        <f t="shared" si="27"/>
        <v>e</v>
      </c>
      <c r="G67" s="113" t="str">
        <f t="shared" si="27"/>
        <v>f</v>
      </c>
      <c r="H67" s="113" t="str">
        <f t="shared" si="27"/>
        <v>g</v>
      </c>
      <c r="I67" s="113" t="str">
        <f t="shared" si="27"/>
        <v>h</v>
      </c>
      <c r="J67" s="113" t="str">
        <f t="shared" si="27"/>
        <v>i</v>
      </c>
      <c r="K67" s="113" t="str">
        <f t="shared" si="27"/>
        <v>j</v>
      </c>
      <c r="L67" s="113" t="str">
        <f t="shared" si="27"/>
        <v>k</v>
      </c>
      <c r="M67" s="113" t="str">
        <f t="shared" si="27"/>
        <v>l</v>
      </c>
      <c r="N67" s="113" t="str">
        <f t="shared" si="27"/>
        <v>m</v>
      </c>
      <c r="O67" s="113">
        <f t="shared" si="27"/>
        <v>0</v>
      </c>
      <c r="P67" s="113">
        <f t="shared" si="27"/>
        <v>0</v>
      </c>
      <c r="Q67" s="113" t="str">
        <f t="shared" si="27"/>
        <v>p</v>
      </c>
      <c r="R67" s="113">
        <f t="shared" si="27"/>
        <v>0</v>
      </c>
      <c r="S67" s="113">
        <f t="shared" si="27"/>
        <v>0</v>
      </c>
      <c r="T67" s="113">
        <f t="shared" si="27"/>
        <v>0</v>
      </c>
      <c r="U67" s="113">
        <f t="shared" si="27"/>
        <v>0</v>
      </c>
      <c r="V67" s="113">
        <f t="shared" si="27"/>
        <v>0</v>
      </c>
      <c r="W67" s="113">
        <f t="shared" si="27"/>
        <v>0</v>
      </c>
      <c r="X67" s="113">
        <f t="shared" si="27"/>
        <v>0</v>
      </c>
      <c r="AA67" s="113">
        <v>3</v>
      </c>
      <c r="AB67" s="112">
        <f t="shared" ref="AB67:AC72" ca="1" si="28">AB66</f>
        <v>36708</v>
      </c>
      <c r="AC67" s="428">
        <f t="shared" ca="1" si="28"/>
        <v>36769</v>
      </c>
      <c r="AD67" t="s">
        <v>516</v>
      </c>
      <c r="AF67" s="114">
        <f t="shared" ca="1" si="16"/>
        <v>9612.81</v>
      </c>
      <c r="AG67" s="114">
        <f t="shared" ca="1" si="16"/>
        <v>0</v>
      </c>
      <c r="AH67" s="114">
        <f t="shared" ca="1" si="16"/>
        <v>0</v>
      </c>
      <c r="AI67" s="114">
        <f t="shared" ca="1" si="16"/>
        <v>6384.11</v>
      </c>
      <c r="AJ67" s="114">
        <f t="shared" ca="1" si="16"/>
        <v>0</v>
      </c>
      <c r="AK67" s="114">
        <f t="shared" ca="1" si="16"/>
        <v>1333.08</v>
      </c>
      <c r="AN67">
        <f t="shared" si="6"/>
        <v>67</v>
      </c>
      <c r="AQ67" s="114">
        <f t="shared" ca="1" si="7"/>
        <v>0</v>
      </c>
      <c r="AW67">
        <v>67</v>
      </c>
      <c r="BG67" s="114">
        <f t="shared" ca="1" si="4"/>
        <v>15996.919999999998</v>
      </c>
      <c r="BI67">
        <f t="shared" si="5"/>
        <v>0</v>
      </c>
    </row>
    <row r="68" spans="1:61" x14ac:dyDescent="0.25">
      <c r="A68" s="113">
        <f t="shared" si="26"/>
        <v>524</v>
      </c>
      <c r="B68" s="113" t="str">
        <f t="shared" si="27"/>
        <v>a</v>
      </c>
      <c r="C68" s="113" t="str">
        <f t="shared" si="27"/>
        <v>b</v>
      </c>
      <c r="D68" s="113" t="str">
        <f t="shared" si="27"/>
        <v>c</v>
      </c>
      <c r="E68" s="113" t="str">
        <f t="shared" si="27"/>
        <v>d</v>
      </c>
      <c r="F68" s="113" t="str">
        <f t="shared" si="27"/>
        <v>e</v>
      </c>
      <c r="G68" s="113" t="str">
        <f t="shared" si="27"/>
        <v>f</v>
      </c>
      <c r="H68" s="113" t="str">
        <f t="shared" si="27"/>
        <v>g</v>
      </c>
      <c r="I68" s="113" t="str">
        <f t="shared" si="27"/>
        <v>h</v>
      </c>
      <c r="J68" s="113" t="str">
        <f t="shared" si="27"/>
        <v>i</v>
      </c>
      <c r="K68" s="113" t="str">
        <f t="shared" si="27"/>
        <v>j</v>
      </c>
      <c r="L68" s="113" t="str">
        <f t="shared" si="27"/>
        <v>k</v>
      </c>
      <c r="M68" s="113" t="str">
        <f t="shared" si="27"/>
        <v>l</v>
      </c>
      <c r="N68" s="113" t="str">
        <f t="shared" si="27"/>
        <v>m</v>
      </c>
      <c r="O68" s="113">
        <f t="shared" si="27"/>
        <v>0</v>
      </c>
      <c r="P68" s="113">
        <f t="shared" si="27"/>
        <v>0</v>
      </c>
      <c r="Q68" s="113" t="str">
        <f t="shared" si="27"/>
        <v>p</v>
      </c>
      <c r="R68" s="113">
        <f t="shared" si="27"/>
        <v>0</v>
      </c>
      <c r="S68" s="113">
        <f t="shared" si="27"/>
        <v>0</v>
      </c>
      <c r="T68" s="113">
        <f t="shared" si="27"/>
        <v>0</v>
      </c>
      <c r="U68" s="113">
        <f t="shared" si="27"/>
        <v>0</v>
      </c>
      <c r="V68" s="113">
        <f t="shared" si="27"/>
        <v>0</v>
      </c>
      <c r="W68" s="113">
        <f t="shared" si="27"/>
        <v>0</v>
      </c>
      <c r="X68" s="113">
        <f t="shared" si="27"/>
        <v>0</v>
      </c>
      <c r="AA68" s="113">
        <v>9</v>
      </c>
      <c r="AB68" s="112">
        <f t="shared" ca="1" si="28"/>
        <v>36708</v>
      </c>
      <c r="AC68" s="428">
        <f t="shared" ca="1" si="28"/>
        <v>36769</v>
      </c>
      <c r="AD68" t="s">
        <v>510</v>
      </c>
      <c r="AF68" s="114">
        <f t="shared" ca="1" si="16"/>
        <v>10910.15</v>
      </c>
      <c r="AG68" s="114">
        <f t="shared" ca="1" si="16"/>
        <v>0</v>
      </c>
      <c r="AH68" s="114">
        <f t="shared" ca="1" si="16"/>
        <v>0</v>
      </c>
      <c r="AI68" s="114">
        <f t="shared" ca="1" si="16"/>
        <v>6384.11</v>
      </c>
      <c r="AJ68" s="114">
        <f t="shared" ca="1" si="16"/>
        <v>0</v>
      </c>
      <c r="AK68" s="114">
        <f t="shared" ca="1" si="16"/>
        <v>1441.19</v>
      </c>
      <c r="AN68">
        <f t="shared" si="6"/>
        <v>68</v>
      </c>
      <c r="AQ68" s="114">
        <f t="shared" ca="1" si="7"/>
        <v>0</v>
      </c>
      <c r="AW68">
        <v>68</v>
      </c>
      <c r="BG68" s="114">
        <f t="shared" ca="1" si="4"/>
        <v>17294.259999999998</v>
      </c>
      <c r="BI68">
        <f t="shared" si="5"/>
        <v>0</v>
      </c>
    </row>
    <row r="69" spans="1:61" x14ac:dyDescent="0.25">
      <c r="A69" s="113">
        <f t="shared" si="26"/>
        <v>526</v>
      </c>
      <c r="B69" s="113" t="str">
        <f t="shared" si="27"/>
        <v>a</v>
      </c>
      <c r="C69" s="113" t="str">
        <f t="shared" si="27"/>
        <v>b</v>
      </c>
      <c r="D69" s="113" t="str">
        <f t="shared" si="27"/>
        <v>c</v>
      </c>
      <c r="E69" s="113" t="str">
        <f t="shared" si="27"/>
        <v>d</v>
      </c>
      <c r="F69" s="113" t="str">
        <f t="shared" si="27"/>
        <v>e</v>
      </c>
      <c r="G69" s="113" t="str">
        <f t="shared" si="27"/>
        <v>f</v>
      </c>
      <c r="H69" s="113" t="str">
        <f t="shared" si="27"/>
        <v>g</v>
      </c>
      <c r="I69" s="113" t="str">
        <f t="shared" si="27"/>
        <v>h</v>
      </c>
      <c r="J69" s="113" t="str">
        <f t="shared" si="27"/>
        <v>i</v>
      </c>
      <c r="K69" s="113" t="str">
        <f t="shared" si="27"/>
        <v>j</v>
      </c>
      <c r="L69" s="113" t="str">
        <f t="shared" si="27"/>
        <v>k</v>
      </c>
      <c r="M69" s="113" t="str">
        <f t="shared" si="27"/>
        <v>l</v>
      </c>
      <c r="N69" s="113" t="str">
        <f t="shared" si="27"/>
        <v>m</v>
      </c>
      <c r="O69" s="113">
        <f t="shared" si="27"/>
        <v>0</v>
      </c>
      <c r="P69" s="113">
        <f t="shared" si="27"/>
        <v>0</v>
      </c>
      <c r="Q69" s="113" t="str">
        <f t="shared" si="27"/>
        <v>p</v>
      </c>
      <c r="R69" s="113">
        <f t="shared" si="27"/>
        <v>0</v>
      </c>
      <c r="S69" s="113">
        <f t="shared" si="27"/>
        <v>0</v>
      </c>
      <c r="T69" s="113">
        <f t="shared" si="27"/>
        <v>0</v>
      </c>
      <c r="U69" s="113">
        <f t="shared" si="27"/>
        <v>0</v>
      </c>
      <c r="V69" s="113">
        <f t="shared" si="27"/>
        <v>0</v>
      </c>
      <c r="W69" s="113">
        <f t="shared" si="27"/>
        <v>0</v>
      </c>
      <c r="X69" s="113">
        <f t="shared" si="27"/>
        <v>0</v>
      </c>
      <c r="AA69" s="113">
        <v>15</v>
      </c>
      <c r="AB69" s="112">
        <f t="shared" ca="1" si="28"/>
        <v>36708</v>
      </c>
      <c r="AC69" s="428">
        <f t="shared" ca="1" si="28"/>
        <v>36769</v>
      </c>
      <c r="AD69" t="s">
        <v>511</v>
      </c>
      <c r="AF69" s="114">
        <f t="shared" ca="1" si="16"/>
        <v>12423.37</v>
      </c>
      <c r="AG69" s="114">
        <f t="shared" ca="1" si="16"/>
        <v>0</v>
      </c>
      <c r="AH69" s="114">
        <f t="shared" ca="1" si="16"/>
        <v>0</v>
      </c>
      <c r="AI69" s="114">
        <f t="shared" ca="1" si="16"/>
        <v>6384.11</v>
      </c>
      <c r="AJ69" s="114">
        <f t="shared" ca="1" si="16"/>
        <v>0</v>
      </c>
      <c r="AK69" s="114">
        <f t="shared" ca="1" si="16"/>
        <v>1567.29</v>
      </c>
      <c r="AN69">
        <f t="shared" si="6"/>
        <v>69</v>
      </c>
      <c r="AQ69" s="114">
        <f t="shared" ca="1" si="7"/>
        <v>0</v>
      </c>
      <c r="AW69">
        <v>69</v>
      </c>
      <c r="BG69" s="114">
        <f t="shared" ca="1" si="4"/>
        <v>18807.48</v>
      </c>
      <c r="BI69">
        <f t="shared" si="5"/>
        <v>0</v>
      </c>
    </row>
    <row r="70" spans="1:61" x14ac:dyDescent="0.25">
      <c r="A70" s="113">
        <f t="shared" si="26"/>
        <v>528</v>
      </c>
      <c r="B70" s="113" t="str">
        <f t="shared" si="27"/>
        <v>a</v>
      </c>
      <c r="C70" s="113" t="str">
        <f t="shared" si="27"/>
        <v>b</v>
      </c>
      <c r="D70" s="113" t="str">
        <f t="shared" si="27"/>
        <v>c</v>
      </c>
      <c r="E70" s="113" t="str">
        <f t="shared" si="27"/>
        <v>d</v>
      </c>
      <c r="F70" s="113" t="str">
        <f t="shared" si="27"/>
        <v>e</v>
      </c>
      <c r="G70" s="113" t="str">
        <f t="shared" si="27"/>
        <v>f</v>
      </c>
      <c r="H70" s="113" t="str">
        <f t="shared" si="27"/>
        <v>g</v>
      </c>
      <c r="I70" s="113" t="str">
        <f t="shared" si="27"/>
        <v>h</v>
      </c>
      <c r="J70" s="113" t="str">
        <f t="shared" si="27"/>
        <v>i</v>
      </c>
      <c r="K70" s="113" t="str">
        <f t="shared" si="27"/>
        <v>j</v>
      </c>
      <c r="L70" s="113" t="str">
        <f t="shared" si="27"/>
        <v>k</v>
      </c>
      <c r="M70" s="113" t="str">
        <f t="shared" si="27"/>
        <v>l</v>
      </c>
      <c r="N70" s="113" t="str">
        <f t="shared" si="27"/>
        <v>m</v>
      </c>
      <c r="O70" s="113">
        <f t="shared" si="27"/>
        <v>0</v>
      </c>
      <c r="P70" s="113">
        <f t="shared" si="27"/>
        <v>0</v>
      </c>
      <c r="Q70" s="113" t="str">
        <f t="shared" si="27"/>
        <v>p</v>
      </c>
      <c r="R70" s="113">
        <f t="shared" si="27"/>
        <v>0</v>
      </c>
      <c r="S70" s="113">
        <f t="shared" si="27"/>
        <v>0</v>
      </c>
      <c r="T70" s="113">
        <f t="shared" si="27"/>
        <v>0</v>
      </c>
      <c r="U70" s="113">
        <f t="shared" si="27"/>
        <v>0</v>
      </c>
      <c r="V70" s="113">
        <f t="shared" si="27"/>
        <v>0</v>
      </c>
      <c r="W70" s="113">
        <f t="shared" si="27"/>
        <v>0</v>
      </c>
      <c r="X70" s="113">
        <f t="shared" si="27"/>
        <v>0</v>
      </c>
      <c r="AA70" s="113">
        <v>21</v>
      </c>
      <c r="AB70" s="112">
        <f t="shared" ca="1" si="28"/>
        <v>36708</v>
      </c>
      <c r="AC70" s="428">
        <f t="shared" ca="1" si="28"/>
        <v>36769</v>
      </c>
      <c r="AD70" t="s">
        <v>512</v>
      </c>
      <c r="AF70" s="114">
        <f t="shared" ca="1" si="16"/>
        <v>13897.34</v>
      </c>
      <c r="AG70" s="114">
        <f t="shared" ca="1" si="16"/>
        <v>0</v>
      </c>
      <c r="AH70" s="114">
        <f t="shared" ca="1" si="16"/>
        <v>0</v>
      </c>
      <c r="AI70" s="114">
        <f t="shared" ca="1" si="16"/>
        <v>6384.11</v>
      </c>
      <c r="AJ70" s="114">
        <f t="shared" ca="1" si="16"/>
        <v>0</v>
      </c>
      <c r="AK70" s="114">
        <f t="shared" ca="1" si="16"/>
        <v>1690.12</v>
      </c>
      <c r="AN70">
        <f t="shared" si="6"/>
        <v>70</v>
      </c>
      <c r="AQ70" s="114">
        <f t="shared" ca="1" si="7"/>
        <v>0</v>
      </c>
      <c r="AW70">
        <v>70</v>
      </c>
      <c r="BG70" s="114">
        <f t="shared" ca="1" si="4"/>
        <v>20281.45</v>
      </c>
      <c r="BI70">
        <f t="shared" si="5"/>
        <v>0</v>
      </c>
    </row>
    <row r="71" spans="1:61" x14ac:dyDescent="0.25">
      <c r="A71" s="113">
        <f t="shared" si="26"/>
        <v>530</v>
      </c>
      <c r="B71" s="113" t="str">
        <f t="shared" si="27"/>
        <v>a</v>
      </c>
      <c r="C71" s="113" t="str">
        <f t="shared" si="27"/>
        <v>b</v>
      </c>
      <c r="D71" s="113" t="str">
        <f t="shared" si="27"/>
        <v>c</v>
      </c>
      <c r="E71" s="113" t="str">
        <f t="shared" si="27"/>
        <v>d</v>
      </c>
      <c r="F71" s="113" t="str">
        <f t="shared" si="27"/>
        <v>e</v>
      </c>
      <c r="G71" s="113" t="str">
        <f t="shared" si="27"/>
        <v>f</v>
      </c>
      <c r="H71" s="113" t="str">
        <f t="shared" si="27"/>
        <v>g</v>
      </c>
      <c r="I71" s="113" t="str">
        <f t="shared" si="27"/>
        <v>h</v>
      </c>
      <c r="J71" s="113" t="str">
        <f t="shared" si="27"/>
        <v>i</v>
      </c>
      <c r="K71" s="113" t="str">
        <f t="shared" si="27"/>
        <v>j</v>
      </c>
      <c r="L71" s="113" t="str">
        <f t="shared" si="27"/>
        <v>k</v>
      </c>
      <c r="M71" s="113" t="str">
        <f t="shared" si="27"/>
        <v>l</v>
      </c>
      <c r="N71" s="113" t="str">
        <f t="shared" si="27"/>
        <v>m</v>
      </c>
      <c r="O71" s="113">
        <f t="shared" si="27"/>
        <v>0</v>
      </c>
      <c r="P71" s="113">
        <f t="shared" si="27"/>
        <v>0</v>
      </c>
      <c r="Q71" s="113" t="str">
        <f t="shared" si="27"/>
        <v>p</v>
      </c>
      <c r="R71" s="113">
        <f t="shared" si="27"/>
        <v>0</v>
      </c>
      <c r="S71" s="113">
        <f t="shared" si="27"/>
        <v>0</v>
      </c>
      <c r="T71" s="113">
        <f t="shared" si="27"/>
        <v>0</v>
      </c>
      <c r="U71" s="113">
        <f t="shared" si="27"/>
        <v>0</v>
      </c>
      <c r="V71" s="113">
        <f t="shared" si="27"/>
        <v>0</v>
      </c>
      <c r="W71" s="113">
        <f t="shared" si="27"/>
        <v>0</v>
      </c>
      <c r="X71" s="113">
        <f t="shared" si="27"/>
        <v>0</v>
      </c>
      <c r="AA71" s="113">
        <v>28</v>
      </c>
      <c r="AB71" s="112">
        <f t="shared" ca="1" si="28"/>
        <v>36708</v>
      </c>
      <c r="AC71" s="428">
        <f t="shared" ca="1" si="28"/>
        <v>36769</v>
      </c>
      <c r="AD71" t="s">
        <v>513</v>
      </c>
      <c r="AF71" s="114">
        <f t="shared" ca="1" si="16"/>
        <v>15344.97</v>
      </c>
      <c r="AG71" s="114">
        <f t="shared" ca="1" si="16"/>
        <v>0</v>
      </c>
      <c r="AH71" s="114">
        <f t="shared" ca="1" si="16"/>
        <v>0</v>
      </c>
      <c r="AI71" s="114">
        <f t="shared" ca="1" si="16"/>
        <v>6384.11</v>
      </c>
      <c r="AJ71" s="114">
        <f t="shared" ca="1" si="16"/>
        <v>0</v>
      </c>
      <c r="AK71" s="114">
        <f t="shared" ca="1" si="16"/>
        <v>1810.76</v>
      </c>
      <c r="AN71">
        <f t="shared" si="6"/>
        <v>71</v>
      </c>
      <c r="AQ71" s="114">
        <f t="shared" ca="1" si="7"/>
        <v>0</v>
      </c>
      <c r="AW71">
        <v>71</v>
      </c>
      <c r="BG71" s="114">
        <f t="shared" ca="1" si="4"/>
        <v>21729.079999999998</v>
      </c>
      <c r="BI71">
        <f t="shared" si="5"/>
        <v>0</v>
      </c>
    </row>
    <row r="72" spans="1:61" x14ac:dyDescent="0.25">
      <c r="A72" s="113">
        <f t="shared" si="26"/>
        <v>532</v>
      </c>
      <c r="B72" s="113" t="str">
        <f t="shared" si="27"/>
        <v>a</v>
      </c>
      <c r="C72" s="113" t="str">
        <f t="shared" si="27"/>
        <v>b</v>
      </c>
      <c r="D72" s="113" t="str">
        <f t="shared" si="27"/>
        <v>c</v>
      </c>
      <c r="E72" s="113" t="str">
        <f t="shared" si="27"/>
        <v>d</v>
      </c>
      <c r="F72" s="113" t="str">
        <f t="shared" si="27"/>
        <v>e</v>
      </c>
      <c r="G72" s="113" t="str">
        <f t="shared" si="27"/>
        <v>f</v>
      </c>
      <c r="H72" s="113" t="str">
        <f t="shared" si="27"/>
        <v>g</v>
      </c>
      <c r="I72" s="113" t="str">
        <f t="shared" si="27"/>
        <v>h</v>
      </c>
      <c r="J72" s="113" t="str">
        <f t="shared" si="27"/>
        <v>i</v>
      </c>
      <c r="K72" s="113" t="str">
        <f t="shared" si="27"/>
        <v>j</v>
      </c>
      <c r="L72" s="113" t="str">
        <f t="shared" si="27"/>
        <v>k</v>
      </c>
      <c r="M72" s="113" t="str">
        <f t="shared" si="27"/>
        <v>l</v>
      </c>
      <c r="N72" s="113" t="str">
        <f t="shared" si="27"/>
        <v>m</v>
      </c>
      <c r="O72" s="113">
        <f t="shared" si="27"/>
        <v>0</v>
      </c>
      <c r="P72" s="113">
        <f t="shared" si="27"/>
        <v>0</v>
      </c>
      <c r="Q72" s="113" t="str">
        <f t="shared" si="27"/>
        <v>p</v>
      </c>
      <c r="R72" s="113">
        <f t="shared" si="27"/>
        <v>0</v>
      </c>
      <c r="S72" s="113">
        <f t="shared" si="27"/>
        <v>0</v>
      </c>
      <c r="T72" s="113">
        <f t="shared" si="27"/>
        <v>0</v>
      </c>
      <c r="U72" s="113">
        <f t="shared" si="27"/>
        <v>0</v>
      </c>
      <c r="V72" s="113">
        <f t="shared" si="27"/>
        <v>0</v>
      </c>
      <c r="W72" s="113">
        <f t="shared" si="27"/>
        <v>0</v>
      </c>
      <c r="X72" s="113">
        <f t="shared" si="27"/>
        <v>0</v>
      </c>
      <c r="AA72" s="113">
        <v>35</v>
      </c>
      <c r="AB72" s="112">
        <f t="shared" ca="1" si="28"/>
        <v>36708</v>
      </c>
      <c r="AC72" s="428">
        <f t="shared" ca="1" si="28"/>
        <v>36769</v>
      </c>
      <c r="AD72" t="s">
        <v>514</v>
      </c>
      <c r="AF72" s="114">
        <f t="shared" ca="1" si="16"/>
        <v>16427.46</v>
      </c>
      <c r="AG72" s="114">
        <f t="shared" ca="1" si="16"/>
        <v>0</v>
      </c>
      <c r="AH72" s="114">
        <f t="shared" ca="1" si="16"/>
        <v>0</v>
      </c>
      <c r="AI72" s="114">
        <f t="shared" ca="1" si="16"/>
        <v>6384.11</v>
      </c>
      <c r="AJ72" s="114">
        <f t="shared" ca="1" si="16"/>
        <v>0</v>
      </c>
      <c r="AK72" s="114">
        <f t="shared" ca="1" si="16"/>
        <v>1900.96</v>
      </c>
      <c r="AN72">
        <f t="shared" si="6"/>
        <v>72</v>
      </c>
      <c r="AQ72" s="114">
        <f t="shared" ca="1" si="7"/>
        <v>0</v>
      </c>
      <c r="AW72">
        <v>72</v>
      </c>
      <c r="BG72" s="114">
        <f t="shared" ca="1" si="4"/>
        <v>22811.57</v>
      </c>
      <c r="BI72">
        <f t="shared" si="5"/>
        <v>0</v>
      </c>
    </row>
    <row r="73" spans="1:61" x14ac:dyDescent="0.25">
      <c r="A73" s="113">
        <f>A66+20</f>
        <v>540</v>
      </c>
      <c r="B73" s="113" t="str">
        <f>B66</f>
        <v>a</v>
      </c>
      <c r="C73" s="113" t="str">
        <f t="shared" ref="C73:X73" si="29">C66</f>
        <v>b</v>
      </c>
      <c r="D73" s="113" t="str">
        <f t="shared" si="29"/>
        <v>c</v>
      </c>
      <c r="E73" s="113" t="str">
        <f t="shared" si="29"/>
        <v>d</v>
      </c>
      <c r="F73" s="113" t="str">
        <f t="shared" si="29"/>
        <v>e</v>
      </c>
      <c r="G73" s="113" t="str">
        <f t="shared" si="29"/>
        <v>f</v>
      </c>
      <c r="H73" s="113" t="str">
        <f t="shared" si="29"/>
        <v>g</v>
      </c>
      <c r="I73" s="113" t="str">
        <f t="shared" si="29"/>
        <v>h</v>
      </c>
      <c r="J73" s="113" t="str">
        <f t="shared" si="29"/>
        <v>i</v>
      </c>
      <c r="K73" s="113" t="str">
        <f t="shared" si="29"/>
        <v>j</v>
      </c>
      <c r="L73" s="113" t="str">
        <f t="shared" si="29"/>
        <v>k</v>
      </c>
      <c r="M73" s="113" t="str">
        <f t="shared" si="29"/>
        <v>l</v>
      </c>
      <c r="N73" s="113" t="str">
        <f t="shared" si="29"/>
        <v>m</v>
      </c>
      <c r="O73" s="113">
        <f t="shared" si="29"/>
        <v>0</v>
      </c>
      <c r="P73" s="113">
        <f t="shared" si="29"/>
        <v>0</v>
      </c>
      <c r="Q73" s="113" t="str">
        <f t="shared" si="29"/>
        <v>p</v>
      </c>
      <c r="R73" s="113">
        <f t="shared" si="29"/>
        <v>0</v>
      </c>
      <c r="S73" s="113">
        <f t="shared" si="29"/>
        <v>0</v>
      </c>
      <c r="T73" s="113">
        <f t="shared" si="29"/>
        <v>0</v>
      </c>
      <c r="U73" s="113">
        <f t="shared" si="29"/>
        <v>0</v>
      </c>
      <c r="V73" s="113">
        <f t="shared" si="29"/>
        <v>0</v>
      </c>
      <c r="W73" s="113">
        <f t="shared" si="29"/>
        <v>0</v>
      </c>
      <c r="X73" s="113">
        <f t="shared" si="29"/>
        <v>0</v>
      </c>
      <c r="AA73" s="113">
        <v>0</v>
      </c>
      <c r="AB73" s="112">
        <f ca="1">INDIRECT(CONCATENATE($AB$10,CONCATENATE(B73,$A73)))</f>
        <v>36770</v>
      </c>
      <c r="AC73" s="428">
        <f ca="1">INDIRECT(CONCATENATE($AB$10,CONCATENATE(C73,$A73)))</f>
        <v>36891</v>
      </c>
      <c r="AD73" t="s">
        <v>515</v>
      </c>
      <c r="AF73" s="114">
        <f t="shared" ca="1" si="16"/>
        <v>9196.0300000000007</v>
      </c>
      <c r="AG73" s="114">
        <f ca="1">INDIRECT(CONCATENATE($AB$10,CONCATENATE(G73,$A73)))</f>
        <v>0</v>
      </c>
      <c r="AH73" s="114">
        <f ca="1">INDIRECT(CONCATENATE($AB$10,CONCATENATE(H73,$A73)))</f>
        <v>0</v>
      </c>
      <c r="AI73" s="114">
        <f ca="1">INDIRECT(CONCATENATE($AB$10,CONCATENATE(I73,$A73)))</f>
        <v>6384.11</v>
      </c>
      <c r="AJ73" s="114">
        <f ca="1">INDIRECT(CONCATENATE($AB$10,CONCATENATE(J73,$A73)))</f>
        <v>0</v>
      </c>
      <c r="AK73" s="114">
        <f ca="1">INDIRECT(CONCATENATE($AB$10,CONCATENATE(K73,$A73)))</f>
        <v>1298.3499999999999</v>
      </c>
      <c r="AN73">
        <f t="shared" si="6"/>
        <v>73</v>
      </c>
      <c r="AQ73" s="114">
        <f t="shared" ca="1" si="7"/>
        <v>0</v>
      </c>
      <c r="AW73">
        <v>73</v>
      </c>
      <c r="BG73" s="114">
        <f t="shared" ca="1" si="4"/>
        <v>15580.14</v>
      </c>
      <c r="BI73">
        <f t="shared" si="5"/>
        <v>0</v>
      </c>
    </row>
    <row r="74" spans="1:61" x14ac:dyDescent="0.25">
      <c r="A74" s="113">
        <f t="shared" ref="A74:A79" si="30">A73+2</f>
        <v>542</v>
      </c>
      <c r="B74" s="113" t="str">
        <f t="shared" ref="B74:X79" si="31">B73</f>
        <v>a</v>
      </c>
      <c r="C74" s="113" t="str">
        <f t="shared" si="31"/>
        <v>b</v>
      </c>
      <c r="D74" s="113" t="str">
        <f t="shared" si="31"/>
        <v>c</v>
      </c>
      <c r="E74" s="113" t="str">
        <f t="shared" si="31"/>
        <v>d</v>
      </c>
      <c r="F74" s="113" t="str">
        <f t="shared" si="31"/>
        <v>e</v>
      </c>
      <c r="G74" s="113" t="str">
        <f t="shared" si="31"/>
        <v>f</v>
      </c>
      <c r="H74" s="113" t="str">
        <f t="shared" si="31"/>
        <v>g</v>
      </c>
      <c r="I74" s="113" t="str">
        <f t="shared" si="31"/>
        <v>h</v>
      </c>
      <c r="J74" s="113" t="str">
        <f t="shared" si="31"/>
        <v>i</v>
      </c>
      <c r="K74" s="113" t="str">
        <f t="shared" si="31"/>
        <v>j</v>
      </c>
      <c r="L74" s="113" t="str">
        <f t="shared" si="31"/>
        <v>k</v>
      </c>
      <c r="M74" s="113" t="str">
        <f t="shared" si="31"/>
        <v>l</v>
      </c>
      <c r="N74" s="113" t="str">
        <f t="shared" si="31"/>
        <v>m</v>
      </c>
      <c r="O74" s="113">
        <f t="shared" si="31"/>
        <v>0</v>
      </c>
      <c r="P74" s="113">
        <f t="shared" si="31"/>
        <v>0</v>
      </c>
      <c r="Q74" s="113" t="str">
        <f t="shared" si="31"/>
        <v>p</v>
      </c>
      <c r="R74" s="113">
        <f t="shared" si="31"/>
        <v>0</v>
      </c>
      <c r="S74" s="113">
        <f t="shared" si="31"/>
        <v>0</v>
      </c>
      <c r="T74" s="113">
        <f t="shared" si="31"/>
        <v>0</v>
      </c>
      <c r="U74" s="113">
        <f t="shared" si="31"/>
        <v>0</v>
      </c>
      <c r="V74" s="113">
        <f t="shared" si="31"/>
        <v>0</v>
      </c>
      <c r="W74" s="113">
        <f t="shared" si="31"/>
        <v>0</v>
      </c>
      <c r="X74" s="113">
        <f t="shared" si="31"/>
        <v>0</v>
      </c>
      <c r="AA74" s="113">
        <v>3</v>
      </c>
      <c r="AB74" s="112">
        <f t="shared" ref="AB74:AC79" ca="1" si="32">AB73</f>
        <v>36770</v>
      </c>
      <c r="AC74" s="428">
        <f t="shared" ca="1" si="32"/>
        <v>36891</v>
      </c>
      <c r="AD74" t="s">
        <v>516</v>
      </c>
      <c r="AF74" s="114">
        <f t="shared" ca="1" si="16"/>
        <v>9612.81</v>
      </c>
      <c r="AG74" s="114">
        <f t="shared" ca="1" si="16"/>
        <v>0</v>
      </c>
      <c r="AH74" s="114">
        <f t="shared" ca="1" si="16"/>
        <v>0</v>
      </c>
      <c r="AI74" s="114">
        <f t="shared" ca="1" si="16"/>
        <v>6384.11</v>
      </c>
      <c r="AJ74" s="114">
        <f t="shared" ca="1" si="16"/>
        <v>0</v>
      </c>
      <c r="AK74" s="114">
        <f t="shared" ca="1" si="16"/>
        <v>1333.08</v>
      </c>
      <c r="AN74">
        <f t="shared" si="6"/>
        <v>74</v>
      </c>
      <c r="AQ74" s="114">
        <f t="shared" ca="1" si="7"/>
        <v>0</v>
      </c>
      <c r="AW74">
        <v>74</v>
      </c>
      <c r="BG74" s="114">
        <f t="shared" ca="1" si="4"/>
        <v>15996.919999999998</v>
      </c>
      <c r="BI74">
        <f t="shared" si="5"/>
        <v>0</v>
      </c>
    </row>
    <row r="75" spans="1:61" x14ac:dyDescent="0.25">
      <c r="A75" s="113">
        <f t="shared" si="30"/>
        <v>544</v>
      </c>
      <c r="B75" s="113" t="str">
        <f t="shared" si="31"/>
        <v>a</v>
      </c>
      <c r="C75" s="113" t="str">
        <f t="shared" si="31"/>
        <v>b</v>
      </c>
      <c r="D75" s="113" t="str">
        <f t="shared" si="31"/>
        <v>c</v>
      </c>
      <c r="E75" s="113" t="str">
        <f t="shared" si="31"/>
        <v>d</v>
      </c>
      <c r="F75" s="113" t="str">
        <f t="shared" si="31"/>
        <v>e</v>
      </c>
      <c r="G75" s="113" t="str">
        <f t="shared" si="31"/>
        <v>f</v>
      </c>
      <c r="H75" s="113" t="str">
        <f t="shared" si="31"/>
        <v>g</v>
      </c>
      <c r="I75" s="113" t="str">
        <f t="shared" si="31"/>
        <v>h</v>
      </c>
      <c r="J75" s="113" t="str">
        <f t="shared" si="31"/>
        <v>i</v>
      </c>
      <c r="K75" s="113" t="str">
        <f t="shared" si="31"/>
        <v>j</v>
      </c>
      <c r="L75" s="113" t="str">
        <f t="shared" si="31"/>
        <v>k</v>
      </c>
      <c r="M75" s="113" t="str">
        <f t="shared" si="31"/>
        <v>l</v>
      </c>
      <c r="N75" s="113" t="str">
        <f t="shared" si="31"/>
        <v>m</v>
      </c>
      <c r="O75" s="113">
        <f t="shared" si="31"/>
        <v>0</v>
      </c>
      <c r="P75" s="113">
        <f t="shared" si="31"/>
        <v>0</v>
      </c>
      <c r="Q75" s="113" t="str">
        <f t="shared" si="31"/>
        <v>p</v>
      </c>
      <c r="R75" s="113">
        <f t="shared" si="31"/>
        <v>0</v>
      </c>
      <c r="S75" s="113">
        <f t="shared" si="31"/>
        <v>0</v>
      </c>
      <c r="T75" s="113">
        <f t="shared" si="31"/>
        <v>0</v>
      </c>
      <c r="U75" s="113">
        <f t="shared" si="31"/>
        <v>0</v>
      </c>
      <c r="V75" s="113">
        <f t="shared" si="31"/>
        <v>0</v>
      </c>
      <c r="W75" s="113">
        <f t="shared" si="31"/>
        <v>0</v>
      </c>
      <c r="X75" s="113">
        <f t="shared" si="31"/>
        <v>0</v>
      </c>
      <c r="AA75" s="113">
        <v>9</v>
      </c>
      <c r="AB75" s="112">
        <f t="shared" ca="1" si="32"/>
        <v>36770</v>
      </c>
      <c r="AC75" s="428">
        <f t="shared" ca="1" si="32"/>
        <v>36891</v>
      </c>
      <c r="AD75" t="s">
        <v>510</v>
      </c>
      <c r="AF75" s="114">
        <f t="shared" ca="1" si="16"/>
        <v>10910.15</v>
      </c>
      <c r="AG75" s="114">
        <f t="shared" ca="1" si="16"/>
        <v>0</v>
      </c>
      <c r="AH75" s="114">
        <f t="shared" ca="1" si="16"/>
        <v>0</v>
      </c>
      <c r="AI75" s="114">
        <f t="shared" ca="1" si="16"/>
        <v>6384.11</v>
      </c>
      <c r="AJ75" s="114">
        <f t="shared" ca="1" si="16"/>
        <v>0</v>
      </c>
      <c r="AK75" s="114">
        <f t="shared" ca="1" si="16"/>
        <v>1441.19</v>
      </c>
      <c r="AN75">
        <f t="shared" si="6"/>
        <v>75</v>
      </c>
      <c r="AQ75" s="114">
        <f t="shared" ca="1" si="7"/>
        <v>0</v>
      </c>
      <c r="AW75">
        <v>75</v>
      </c>
      <c r="BG75" s="114">
        <f t="shared" ca="1" si="4"/>
        <v>17294.259999999998</v>
      </c>
      <c r="BI75">
        <f t="shared" si="5"/>
        <v>0</v>
      </c>
    </row>
    <row r="76" spans="1:61" x14ac:dyDescent="0.25">
      <c r="A76" s="113">
        <f t="shared" si="30"/>
        <v>546</v>
      </c>
      <c r="B76" s="113" t="str">
        <f t="shared" si="31"/>
        <v>a</v>
      </c>
      <c r="C76" s="113" t="str">
        <f t="shared" si="31"/>
        <v>b</v>
      </c>
      <c r="D76" s="113" t="str">
        <f t="shared" si="31"/>
        <v>c</v>
      </c>
      <c r="E76" s="113" t="str">
        <f t="shared" si="31"/>
        <v>d</v>
      </c>
      <c r="F76" s="113" t="str">
        <f t="shared" si="31"/>
        <v>e</v>
      </c>
      <c r="G76" s="113" t="str">
        <f t="shared" si="31"/>
        <v>f</v>
      </c>
      <c r="H76" s="113" t="str">
        <f t="shared" si="31"/>
        <v>g</v>
      </c>
      <c r="I76" s="113" t="str">
        <f t="shared" si="31"/>
        <v>h</v>
      </c>
      <c r="J76" s="113" t="str">
        <f t="shared" si="31"/>
        <v>i</v>
      </c>
      <c r="K76" s="113" t="str">
        <f t="shared" si="31"/>
        <v>j</v>
      </c>
      <c r="L76" s="113" t="str">
        <f t="shared" si="31"/>
        <v>k</v>
      </c>
      <c r="M76" s="113" t="str">
        <f t="shared" si="31"/>
        <v>l</v>
      </c>
      <c r="N76" s="113" t="str">
        <f t="shared" si="31"/>
        <v>m</v>
      </c>
      <c r="O76" s="113">
        <f t="shared" si="31"/>
        <v>0</v>
      </c>
      <c r="P76" s="113">
        <f t="shared" si="31"/>
        <v>0</v>
      </c>
      <c r="Q76" s="113" t="str">
        <f t="shared" si="31"/>
        <v>p</v>
      </c>
      <c r="R76" s="113">
        <f t="shared" si="31"/>
        <v>0</v>
      </c>
      <c r="S76" s="113">
        <f t="shared" si="31"/>
        <v>0</v>
      </c>
      <c r="T76" s="113">
        <f t="shared" si="31"/>
        <v>0</v>
      </c>
      <c r="U76" s="113">
        <f t="shared" si="31"/>
        <v>0</v>
      </c>
      <c r="V76" s="113">
        <f t="shared" si="31"/>
        <v>0</v>
      </c>
      <c r="W76" s="113">
        <f t="shared" si="31"/>
        <v>0</v>
      </c>
      <c r="X76" s="113">
        <f t="shared" si="31"/>
        <v>0</v>
      </c>
      <c r="AA76" s="113">
        <v>15</v>
      </c>
      <c r="AB76" s="112">
        <f t="shared" ca="1" si="32"/>
        <v>36770</v>
      </c>
      <c r="AC76" s="428">
        <f t="shared" ca="1" si="32"/>
        <v>36891</v>
      </c>
      <c r="AD76" t="s">
        <v>511</v>
      </c>
      <c r="AF76" s="114">
        <f t="shared" ca="1" si="16"/>
        <v>12423.37</v>
      </c>
      <c r="AG76" s="114">
        <f t="shared" ca="1" si="16"/>
        <v>0</v>
      </c>
      <c r="AH76" s="114">
        <f t="shared" ca="1" si="16"/>
        <v>0</v>
      </c>
      <c r="AI76" s="114">
        <f t="shared" ca="1" si="16"/>
        <v>6384.11</v>
      </c>
      <c r="AJ76" s="114">
        <f t="shared" ca="1" si="16"/>
        <v>0</v>
      </c>
      <c r="AK76" s="114">
        <f t="shared" ca="1" si="16"/>
        <v>1567.29</v>
      </c>
      <c r="AN76">
        <f t="shared" si="6"/>
        <v>76</v>
      </c>
      <c r="AQ76" s="114">
        <f t="shared" ca="1" si="7"/>
        <v>0</v>
      </c>
      <c r="AW76">
        <v>76</v>
      </c>
      <c r="BG76" s="114">
        <f t="shared" ca="1" si="4"/>
        <v>18807.48</v>
      </c>
      <c r="BI76">
        <f t="shared" si="5"/>
        <v>0</v>
      </c>
    </row>
    <row r="77" spans="1:61" x14ac:dyDescent="0.25">
      <c r="A77" s="113">
        <f t="shared" si="30"/>
        <v>548</v>
      </c>
      <c r="B77" s="113" t="str">
        <f t="shared" si="31"/>
        <v>a</v>
      </c>
      <c r="C77" s="113" t="str">
        <f t="shared" si="31"/>
        <v>b</v>
      </c>
      <c r="D77" s="113" t="str">
        <f t="shared" si="31"/>
        <v>c</v>
      </c>
      <c r="E77" s="113" t="str">
        <f t="shared" si="31"/>
        <v>d</v>
      </c>
      <c r="F77" s="113" t="str">
        <f t="shared" si="31"/>
        <v>e</v>
      </c>
      <c r="G77" s="113" t="str">
        <f t="shared" si="31"/>
        <v>f</v>
      </c>
      <c r="H77" s="113" t="str">
        <f t="shared" si="31"/>
        <v>g</v>
      </c>
      <c r="I77" s="113" t="str">
        <f t="shared" si="31"/>
        <v>h</v>
      </c>
      <c r="J77" s="113" t="str">
        <f t="shared" si="31"/>
        <v>i</v>
      </c>
      <c r="K77" s="113" t="str">
        <f t="shared" si="31"/>
        <v>j</v>
      </c>
      <c r="L77" s="113" t="str">
        <f t="shared" si="31"/>
        <v>k</v>
      </c>
      <c r="M77" s="113" t="str">
        <f t="shared" si="31"/>
        <v>l</v>
      </c>
      <c r="N77" s="113" t="str">
        <f t="shared" si="31"/>
        <v>m</v>
      </c>
      <c r="O77" s="113">
        <f t="shared" si="31"/>
        <v>0</v>
      </c>
      <c r="P77" s="113">
        <f t="shared" si="31"/>
        <v>0</v>
      </c>
      <c r="Q77" s="113" t="str">
        <f t="shared" si="31"/>
        <v>p</v>
      </c>
      <c r="R77" s="113">
        <f t="shared" si="31"/>
        <v>0</v>
      </c>
      <c r="S77" s="113">
        <f t="shared" si="31"/>
        <v>0</v>
      </c>
      <c r="T77" s="113">
        <f t="shared" si="31"/>
        <v>0</v>
      </c>
      <c r="U77" s="113">
        <f t="shared" si="31"/>
        <v>0</v>
      </c>
      <c r="V77" s="113">
        <f t="shared" si="31"/>
        <v>0</v>
      </c>
      <c r="W77" s="113">
        <f t="shared" si="31"/>
        <v>0</v>
      </c>
      <c r="X77" s="113">
        <f t="shared" si="31"/>
        <v>0</v>
      </c>
      <c r="AA77" s="113">
        <v>21</v>
      </c>
      <c r="AB77" s="112">
        <f t="shared" ca="1" si="32"/>
        <v>36770</v>
      </c>
      <c r="AC77" s="428">
        <f t="shared" ca="1" si="32"/>
        <v>36891</v>
      </c>
      <c r="AD77" t="s">
        <v>512</v>
      </c>
      <c r="AF77" s="114">
        <f t="shared" ca="1" si="16"/>
        <v>13897.34</v>
      </c>
      <c r="AG77" s="114">
        <f t="shared" ca="1" si="16"/>
        <v>0</v>
      </c>
      <c r="AH77" s="114">
        <f t="shared" ca="1" si="16"/>
        <v>0</v>
      </c>
      <c r="AI77" s="114">
        <f t="shared" ca="1" si="16"/>
        <v>6384.11</v>
      </c>
      <c r="AJ77" s="114">
        <f t="shared" ca="1" si="16"/>
        <v>0</v>
      </c>
      <c r="AK77" s="114">
        <f t="shared" ca="1" si="16"/>
        <v>1690.12</v>
      </c>
      <c r="AN77">
        <f t="shared" si="6"/>
        <v>77</v>
      </c>
      <c r="AQ77" s="114">
        <f t="shared" ca="1" si="7"/>
        <v>0</v>
      </c>
      <c r="AW77">
        <v>77</v>
      </c>
      <c r="BG77" s="114">
        <f t="shared" ca="1" si="4"/>
        <v>20281.45</v>
      </c>
      <c r="BI77">
        <f t="shared" si="5"/>
        <v>0</v>
      </c>
    </row>
    <row r="78" spans="1:61" x14ac:dyDescent="0.25">
      <c r="A78" s="113">
        <f t="shared" si="30"/>
        <v>550</v>
      </c>
      <c r="B78" s="113" t="str">
        <f t="shared" si="31"/>
        <v>a</v>
      </c>
      <c r="C78" s="113" t="str">
        <f t="shared" si="31"/>
        <v>b</v>
      </c>
      <c r="D78" s="113" t="str">
        <f t="shared" si="31"/>
        <v>c</v>
      </c>
      <c r="E78" s="113" t="str">
        <f t="shared" si="31"/>
        <v>d</v>
      </c>
      <c r="F78" s="113" t="str">
        <f t="shared" si="31"/>
        <v>e</v>
      </c>
      <c r="G78" s="113" t="str">
        <f t="shared" si="31"/>
        <v>f</v>
      </c>
      <c r="H78" s="113" t="str">
        <f t="shared" si="31"/>
        <v>g</v>
      </c>
      <c r="I78" s="113" t="str">
        <f t="shared" si="31"/>
        <v>h</v>
      </c>
      <c r="J78" s="113" t="str">
        <f t="shared" si="31"/>
        <v>i</v>
      </c>
      <c r="K78" s="113" t="str">
        <f t="shared" si="31"/>
        <v>j</v>
      </c>
      <c r="L78" s="113" t="str">
        <f t="shared" si="31"/>
        <v>k</v>
      </c>
      <c r="M78" s="113" t="str">
        <f t="shared" si="31"/>
        <v>l</v>
      </c>
      <c r="N78" s="113" t="str">
        <f t="shared" si="31"/>
        <v>m</v>
      </c>
      <c r="O78" s="113">
        <f t="shared" si="31"/>
        <v>0</v>
      </c>
      <c r="P78" s="113">
        <f t="shared" si="31"/>
        <v>0</v>
      </c>
      <c r="Q78" s="113" t="str">
        <f t="shared" si="31"/>
        <v>p</v>
      </c>
      <c r="R78" s="113">
        <f t="shared" si="31"/>
        <v>0</v>
      </c>
      <c r="S78" s="113">
        <f t="shared" si="31"/>
        <v>0</v>
      </c>
      <c r="T78" s="113">
        <f t="shared" si="31"/>
        <v>0</v>
      </c>
      <c r="U78" s="113">
        <f t="shared" si="31"/>
        <v>0</v>
      </c>
      <c r="V78" s="113">
        <f t="shared" si="31"/>
        <v>0</v>
      </c>
      <c r="W78" s="113">
        <f t="shared" si="31"/>
        <v>0</v>
      </c>
      <c r="X78" s="113">
        <f t="shared" si="31"/>
        <v>0</v>
      </c>
      <c r="AA78" s="113">
        <v>28</v>
      </c>
      <c r="AB78" s="112">
        <f t="shared" ca="1" si="32"/>
        <v>36770</v>
      </c>
      <c r="AC78" s="428">
        <f t="shared" ca="1" si="32"/>
        <v>36891</v>
      </c>
      <c r="AD78" t="s">
        <v>513</v>
      </c>
      <c r="AF78" s="114">
        <f t="shared" ca="1" si="16"/>
        <v>15344.97</v>
      </c>
      <c r="AG78" s="114">
        <f t="shared" ca="1" si="16"/>
        <v>0</v>
      </c>
      <c r="AH78" s="114">
        <f t="shared" ca="1" si="16"/>
        <v>0</v>
      </c>
      <c r="AI78" s="114">
        <f t="shared" ca="1" si="16"/>
        <v>6384.11</v>
      </c>
      <c r="AJ78" s="114">
        <f t="shared" ca="1" si="16"/>
        <v>0</v>
      </c>
      <c r="AK78" s="114">
        <f t="shared" ca="1" si="16"/>
        <v>1810.76</v>
      </c>
      <c r="AN78">
        <f t="shared" si="6"/>
        <v>78</v>
      </c>
      <c r="AQ78" s="114">
        <f t="shared" ca="1" si="7"/>
        <v>0</v>
      </c>
      <c r="AW78">
        <v>78</v>
      </c>
      <c r="BG78" s="114">
        <f t="shared" ca="1" si="4"/>
        <v>21729.079999999998</v>
      </c>
      <c r="BI78">
        <f t="shared" si="5"/>
        <v>0</v>
      </c>
    </row>
    <row r="79" spans="1:61" x14ac:dyDescent="0.25">
      <c r="A79" s="113">
        <f t="shared" si="30"/>
        <v>552</v>
      </c>
      <c r="B79" s="113" t="str">
        <f t="shared" si="31"/>
        <v>a</v>
      </c>
      <c r="C79" s="113" t="str">
        <f t="shared" si="31"/>
        <v>b</v>
      </c>
      <c r="D79" s="113" t="str">
        <f t="shared" si="31"/>
        <v>c</v>
      </c>
      <c r="E79" s="113" t="str">
        <f t="shared" si="31"/>
        <v>d</v>
      </c>
      <c r="F79" s="113" t="str">
        <f t="shared" si="31"/>
        <v>e</v>
      </c>
      <c r="G79" s="113" t="str">
        <f t="shared" si="31"/>
        <v>f</v>
      </c>
      <c r="H79" s="113" t="str">
        <f t="shared" si="31"/>
        <v>g</v>
      </c>
      <c r="I79" s="113" t="str">
        <f t="shared" si="31"/>
        <v>h</v>
      </c>
      <c r="J79" s="113" t="str">
        <f t="shared" si="31"/>
        <v>i</v>
      </c>
      <c r="K79" s="113" t="str">
        <f t="shared" si="31"/>
        <v>j</v>
      </c>
      <c r="L79" s="113" t="str">
        <f t="shared" si="31"/>
        <v>k</v>
      </c>
      <c r="M79" s="113" t="str">
        <f t="shared" si="31"/>
        <v>l</v>
      </c>
      <c r="N79" s="113" t="str">
        <f t="shared" si="31"/>
        <v>m</v>
      </c>
      <c r="O79" s="113">
        <f t="shared" si="31"/>
        <v>0</v>
      </c>
      <c r="P79" s="113">
        <f t="shared" si="31"/>
        <v>0</v>
      </c>
      <c r="Q79" s="113" t="str">
        <f t="shared" si="31"/>
        <v>p</v>
      </c>
      <c r="R79" s="113">
        <f t="shared" si="31"/>
        <v>0</v>
      </c>
      <c r="S79" s="113">
        <f t="shared" si="31"/>
        <v>0</v>
      </c>
      <c r="T79" s="113">
        <f t="shared" si="31"/>
        <v>0</v>
      </c>
      <c r="U79" s="113">
        <f t="shared" si="31"/>
        <v>0</v>
      </c>
      <c r="V79" s="113">
        <f t="shared" si="31"/>
        <v>0</v>
      </c>
      <c r="W79" s="113">
        <f t="shared" si="31"/>
        <v>0</v>
      </c>
      <c r="X79" s="113">
        <f t="shared" si="31"/>
        <v>0</v>
      </c>
      <c r="AA79" s="113">
        <v>35</v>
      </c>
      <c r="AB79" s="112">
        <f t="shared" ca="1" si="32"/>
        <v>36770</v>
      </c>
      <c r="AC79" s="428">
        <f t="shared" ca="1" si="32"/>
        <v>36891</v>
      </c>
      <c r="AD79" t="s">
        <v>514</v>
      </c>
      <c r="AF79" s="114">
        <f t="shared" ca="1" si="16"/>
        <v>16427.46</v>
      </c>
      <c r="AG79" s="114">
        <f t="shared" ca="1" si="16"/>
        <v>0</v>
      </c>
      <c r="AH79" s="114">
        <f t="shared" ca="1" si="16"/>
        <v>0</v>
      </c>
      <c r="AI79" s="114">
        <f t="shared" ca="1" si="16"/>
        <v>6384.11</v>
      </c>
      <c r="AJ79" s="114">
        <f t="shared" ca="1" si="16"/>
        <v>0</v>
      </c>
      <c r="AK79" s="114">
        <f t="shared" ca="1" si="16"/>
        <v>1900.96</v>
      </c>
      <c r="AN79">
        <f t="shared" si="6"/>
        <v>79</v>
      </c>
      <c r="AQ79" s="114">
        <f t="shared" ca="1" si="7"/>
        <v>0</v>
      </c>
      <c r="AW79">
        <v>79</v>
      </c>
      <c r="BG79" s="114">
        <f t="shared" ca="1" si="4"/>
        <v>22811.57</v>
      </c>
      <c r="BI79">
        <f t="shared" si="5"/>
        <v>0</v>
      </c>
    </row>
    <row r="80" spans="1:61" x14ac:dyDescent="0.25">
      <c r="A80" s="113">
        <f>A73+20</f>
        <v>560</v>
      </c>
      <c r="B80" s="113" t="str">
        <f>B73</f>
        <v>a</v>
      </c>
      <c r="C80" s="113" t="str">
        <f t="shared" ref="C80:X80" si="33">C73</f>
        <v>b</v>
      </c>
      <c r="D80" s="113" t="str">
        <f t="shared" si="33"/>
        <v>c</v>
      </c>
      <c r="E80" s="113" t="str">
        <f t="shared" si="33"/>
        <v>d</v>
      </c>
      <c r="F80" s="113" t="str">
        <f t="shared" si="33"/>
        <v>e</v>
      </c>
      <c r="G80" s="113" t="str">
        <f t="shared" si="33"/>
        <v>f</v>
      </c>
      <c r="H80" s="113" t="str">
        <f t="shared" si="33"/>
        <v>g</v>
      </c>
      <c r="I80" s="113" t="str">
        <f t="shared" si="33"/>
        <v>h</v>
      </c>
      <c r="J80" s="113" t="str">
        <f t="shared" si="33"/>
        <v>i</v>
      </c>
      <c r="K80" s="113" t="str">
        <f t="shared" si="33"/>
        <v>j</v>
      </c>
      <c r="L80" s="113" t="str">
        <f t="shared" si="33"/>
        <v>k</v>
      </c>
      <c r="M80" s="113" t="str">
        <f t="shared" si="33"/>
        <v>l</v>
      </c>
      <c r="N80" s="113" t="str">
        <f t="shared" si="33"/>
        <v>m</v>
      </c>
      <c r="O80" s="113">
        <f t="shared" si="33"/>
        <v>0</v>
      </c>
      <c r="P80" s="113">
        <f t="shared" si="33"/>
        <v>0</v>
      </c>
      <c r="Q80" s="113" t="str">
        <f t="shared" si="33"/>
        <v>p</v>
      </c>
      <c r="R80" s="113">
        <f t="shared" si="33"/>
        <v>0</v>
      </c>
      <c r="S80" s="113">
        <f t="shared" si="33"/>
        <v>0</v>
      </c>
      <c r="T80" s="113">
        <f t="shared" si="33"/>
        <v>0</v>
      </c>
      <c r="U80" s="113">
        <f t="shared" si="33"/>
        <v>0</v>
      </c>
      <c r="V80" s="113">
        <f t="shared" si="33"/>
        <v>0</v>
      </c>
      <c r="W80" s="113">
        <f t="shared" si="33"/>
        <v>0</v>
      </c>
      <c r="X80" s="113">
        <f t="shared" si="33"/>
        <v>0</v>
      </c>
      <c r="AA80" s="113">
        <v>0</v>
      </c>
      <c r="AB80" s="112">
        <f ca="1">INDIRECT(CONCATENATE($AB$10,CONCATENATE(B80,$A80)))</f>
        <v>36892</v>
      </c>
      <c r="AC80" s="428">
        <f ca="1">INDIRECT(CONCATENATE($AB$10,CONCATENATE(C80,$A80)))</f>
        <v>37256</v>
      </c>
      <c r="AD80" t="s">
        <v>515</v>
      </c>
      <c r="AF80" s="114">
        <f t="shared" ca="1" si="16"/>
        <v>9505.91</v>
      </c>
      <c r="AG80" s="114">
        <f ca="1">INDIRECT(CONCATENATE($AB$10,CONCATENATE(G80,$A80)))</f>
        <v>0</v>
      </c>
      <c r="AH80" s="114">
        <f ca="1">INDIRECT(CONCATENATE($AB$10,CONCATENATE(H80,$A80)))</f>
        <v>0</v>
      </c>
      <c r="AI80" s="114">
        <f ca="1">INDIRECT(CONCATENATE($AB$10,CONCATENATE(I80,$A80)))</f>
        <v>6384.11</v>
      </c>
      <c r="AJ80" s="114">
        <f ca="1">INDIRECT(CONCATENATE($AB$10,CONCATENATE(J80,$A80)))</f>
        <v>0</v>
      </c>
      <c r="AK80" s="114">
        <f ca="1">INDIRECT(CONCATENATE($AB$10,CONCATENATE(K80,$A80)))</f>
        <v>1324.17</v>
      </c>
      <c r="AN80">
        <f t="shared" si="6"/>
        <v>80</v>
      </c>
      <c r="AQ80" s="114">
        <f t="shared" ca="1" si="7"/>
        <v>1338.6</v>
      </c>
      <c r="AW80">
        <v>80</v>
      </c>
      <c r="BG80" s="114">
        <f t="shared" ca="1" si="4"/>
        <v>17228.62</v>
      </c>
      <c r="BI80">
        <f t="shared" si="5"/>
        <v>0</v>
      </c>
    </row>
    <row r="81" spans="1:61" x14ac:dyDescent="0.25">
      <c r="A81" s="113">
        <f t="shared" ref="A81:A86" si="34">A80+2</f>
        <v>562</v>
      </c>
      <c r="B81" s="113" t="str">
        <f t="shared" ref="B81:X86" si="35">B80</f>
        <v>a</v>
      </c>
      <c r="C81" s="113" t="str">
        <f t="shared" si="35"/>
        <v>b</v>
      </c>
      <c r="D81" s="113" t="str">
        <f t="shared" si="35"/>
        <v>c</v>
      </c>
      <c r="E81" s="113" t="str">
        <f t="shared" si="35"/>
        <v>d</v>
      </c>
      <c r="F81" s="113" t="str">
        <f t="shared" si="35"/>
        <v>e</v>
      </c>
      <c r="G81" s="113" t="str">
        <f t="shared" si="35"/>
        <v>f</v>
      </c>
      <c r="H81" s="113" t="str">
        <f t="shared" si="35"/>
        <v>g</v>
      </c>
      <c r="I81" s="113" t="str">
        <f t="shared" si="35"/>
        <v>h</v>
      </c>
      <c r="J81" s="113" t="str">
        <f t="shared" si="35"/>
        <v>i</v>
      </c>
      <c r="K81" s="113" t="str">
        <f t="shared" si="35"/>
        <v>j</v>
      </c>
      <c r="L81" s="113" t="str">
        <f t="shared" si="35"/>
        <v>k</v>
      </c>
      <c r="M81" s="113" t="str">
        <f t="shared" si="35"/>
        <v>l</v>
      </c>
      <c r="N81" s="113" t="str">
        <f t="shared" si="35"/>
        <v>m</v>
      </c>
      <c r="O81" s="113">
        <f t="shared" si="35"/>
        <v>0</v>
      </c>
      <c r="P81" s="113">
        <f t="shared" si="35"/>
        <v>0</v>
      </c>
      <c r="Q81" s="113" t="str">
        <f t="shared" si="35"/>
        <v>p</v>
      </c>
      <c r="R81" s="113">
        <f t="shared" si="35"/>
        <v>0</v>
      </c>
      <c r="S81" s="113">
        <f t="shared" si="35"/>
        <v>0</v>
      </c>
      <c r="T81" s="113">
        <f t="shared" si="35"/>
        <v>0</v>
      </c>
      <c r="U81" s="113">
        <f t="shared" si="35"/>
        <v>0</v>
      </c>
      <c r="V81" s="113">
        <f t="shared" si="35"/>
        <v>0</v>
      </c>
      <c r="W81" s="113">
        <f t="shared" si="35"/>
        <v>0</v>
      </c>
      <c r="X81" s="113">
        <f t="shared" si="35"/>
        <v>0</v>
      </c>
      <c r="AA81" s="113">
        <v>3</v>
      </c>
      <c r="AB81" s="112">
        <f t="shared" ref="AB81:AC86" ca="1" si="36">AB80</f>
        <v>36892</v>
      </c>
      <c r="AC81" s="428">
        <f t="shared" ca="1" si="36"/>
        <v>37256</v>
      </c>
      <c r="AD81" t="s">
        <v>516</v>
      </c>
      <c r="AF81" s="114">
        <f t="shared" ca="1" si="16"/>
        <v>9935.08</v>
      </c>
      <c r="AG81" s="114">
        <f t="shared" ca="1" si="16"/>
        <v>0</v>
      </c>
      <c r="AH81" s="114">
        <f t="shared" ca="1" si="16"/>
        <v>0</v>
      </c>
      <c r="AI81" s="114">
        <f t="shared" ca="1" si="16"/>
        <v>6384.11</v>
      </c>
      <c r="AJ81" s="114">
        <f t="shared" ca="1" si="16"/>
        <v>0</v>
      </c>
      <c r="AK81" s="114">
        <f t="shared" ca="1" si="16"/>
        <v>1359.93</v>
      </c>
      <c r="AN81">
        <f t="shared" si="6"/>
        <v>81</v>
      </c>
      <c r="AQ81" s="114">
        <f t="shared" ca="1" si="7"/>
        <v>1338.6</v>
      </c>
      <c r="AW81">
        <v>81</v>
      </c>
      <c r="BG81" s="114">
        <f t="shared" ca="1" si="4"/>
        <v>17657.789999999997</v>
      </c>
      <c r="BI81">
        <f t="shared" si="5"/>
        <v>0</v>
      </c>
    </row>
    <row r="82" spans="1:61" x14ac:dyDescent="0.25">
      <c r="A82" s="113">
        <f t="shared" si="34"/>
        <v>564</v>
      </c>
      <c r="B82" s="113" t="str">
        <f t="shared" si="35"/>
        <v>a</v>
      </c>
      <c r="C82" s="113" t="str">
        <f t="shared" si="35"/>
        <v>b</v>
      </c>
      <c r="D82" s="113" t="str">
        <f t="shared" si="35"/>
        <v>c</v>
      </c>
      <c r="E82" s="113" t="str">
        <f t="shared" si="35"/>
        <v>d</v>
      </c>
      <c r="F82" s="113" t="str">
        <f t="shared" si="35"/>
        <v>e</v>
      </c>
      <c r="G82" s="113" t="str">
        <f t="shared" si="35"/>
        <v>f</v>
      </c>
      <c r="H82" s="113" t="str">
        <f t="shared" si="35"/>
        <v>g</v>
      </c>
      <c r="I82" s="113" t="str">
        <f t="shared" si="35"/>
        <v>h</v>
      </c>
      <c r="J82" s="113" t="str">
        <f t="shared" si="35"/>
        <v>i</v>
      </c>
      <c r="K82" s="113" t="str">
        <f t="shared" si="35"/>
        <v>j</v>
      </c>
      <c r="L82" s="113" t="str">
        <f t="shared" si="35"/>
        <v>k</v>
      </c>
      <c r="M82" s="113" t="str">
        <f t="shared" si="35"/>
        <v>l</v>
      </c>
      <c r="N82" s="113" t="str">
        <f t="shared" si="35"/>
        <v>m</v>
      </c>
      <c r="O82" s="113">
        <f t="shared" si="35"/>
        <v>0</v>
      </c>
      <c r="P82" s="113">
        <f t="shared" si="35"/>
        <v>0</v>
      </c>
      <c r="Q82" s="113" t="str">
        <f t="shared" si="35"/>
        <v>p</v>
      </c>
      <c r="R82" s="113">
        <f t="shared" si="35"/>
        <v>0</v>
      </c>
      <c r="S82" s="113">
        <f t="shared" si="35"/>
        <v>0</v>
      </c>
      <c r="T82" s="113">
        <f t="shared" si="35"/>
        <v>0</v>
      </c>
      <c r="U82" s="113">
        <f t="shared" si="35"/>
        <v>0</v>
      </c>
      <c r="V82" s="113">
        <f t="shared" si="35"/>
        <v>0</v>
      </c>
      <c r="W82" s="113">
        <f t="shared" si="35"/>
        <v>0</v>
      </c>
      <c r="X82" s="113">
        <f t="shared" si="35"/>
        <v>0</v>
      </c>
      <c r="AA82" s="113">
        <v>9</v>
      </c>
      <c r="AB82" s="112">
        <f t="shared" ca="1" si="36"/>
        <v>36892</v>
      </c>
      <c r="AC82" s="428">
        <f t="shared" ca="1" si="36"/>
        <v>37256</v>
      </c>
      <c r="AD82" t="s">
        <v>510</v>
      </c>
      <c r="AF82" s="114">
        <f t="shared" ca="1" si="16"/>
        <v>11257.21</v>
      </c>
      <c r="AG82" s="114">
        <f t="shared" ca="1" si="16"/>
        <v>0</v>
      </c>
      <c r="AH82" s="114">
        <f t="shared" ca="1" si="16"/>
        <v>0</v>
      </c>
      <c r="AI82" s="114">
        <f t="shared" ca="1" si="16"/>
        <v>6384.11</v>
      </c>
      <c r="AJ82" s="114">
        <f t="shared" ca="1" si="16"/>
        <v>0</v>
      </c>
      <c r="AK82" s="114">
        <f t="shared" ca="1" si="16"/>
        <v>1470.11</v>
      </c>
      <c r="AN82">
        <f t="shared" si="6"/>
        <v>82</v>
      </c>
      <c r="AQ82" s="114">
        <f t="shared" ca="1" si="7"/>
        <v>1338.6</v>
      </c>
      <c r="AW82">
        <v>82</v>
      </c>
      <c r="BG82" s="114">
        <f t="shared" ca="1" si="4"/>
        <v>18979.919999999998</v>
      </c>
      <c r="BI82">
        <f t="shared" si="5"/>
        <v>0</v>
      </c>
    </row>
    <row r="83" spans="1:61" x14ac:dyDescent="0.25">
      <c r="A83" s="113">
        <f t="shared" si="34"/>
        <v>566</v>
      </c>
      <c r="B83" s="113" t="str">
        <f t="shared" si="35"/>
        <v>a</v>
      </c>
      <c r="C83" s="113" t="str">
        <f t="shared" si="35"/>
        <v>b</v>
      </c>
      <c r="D83" s="113" t="str">
        <f t="shared" si="35"/>
        <v>c</v>
      </c>
      <c r="E83" s="113" t="str">
        <f t="shared" si="35"/>
        <v>d</v>
      </c>
      <c r="F83" s="113" t="str">
        <f t="shared" si="35"/>
        <v>e</v>
      </c>
      <c r="G83" s="113" t="str">
        <f t="shared" si="35"/>
        <v>f</v>
      </c>
      <c r="H83" s="113" t="str">
        <f t="shared" si="35"/>
        <v>g</v>
      </c>
      <c r="I83" s="113" t="str">
        <f t="shared" si="35"/>
        <v>h</v>
      </c>
      <c r="J83" s="113" t="str">
        <f t="shared" si="35"/>
        <v>i</v>
      </c>
      <c r="K83" s="113" t="str">
        <f t="shared" si="35"/>
        <v>j</v>
      </c>
      <c r="L83" s="113" t="str">
        <f t="shared" si="35"/>
        <v>k</v>
      </c>
      <c r="M83" s="113" t="str">
        <f t="shared" si="35"/>
        <v>l</v>
      </c>
      <c r="N83" s="113" t="str">
        <f t="shared" si="35"/>
        <v>m</v>
      </c>
      <c r="O83" s="113">
        <f t="shared" si="35"/>
        <v>0</v>
      </c>
      <c r="P83" s="113">
        <f t="shared" si="35"/>
        <v>0</v>
      </c>
      <c r="Q83" s="113" t="str">
        <f t="shared" si="35"/>
        <v>p</v>
      </c>
      <c r="R83" s="113">
        <f t="shared" si="35"/>
        <v>0</v>
      </c>
      <c r="S83" s="113">
        <f t="shared" si="35"/>
        <v>0</v>
      </c>
      <c r="T83" s="113">
        <f t="shared" si="35"/>
        <v>0</v>
      </c>
      <c r="U83" s="113">
        <f t="shared" si="35"/>
        <v>0</v>
      </c>
      <c r="V83" s="113">
        <f t="shared" si="35"/>
        <v>0</v>
      </c>
      <c r="W83" s="113">
        <f t="shared" si="35"/>
        <v>0</v>
      </c>
      <c r="X83" s="113">
        <f t="shared" si="35"/>
        <v>0</v>
      </c>
      <c r="AA83" s="113">
        <v>15</v>
      </c>
      <c r="AB83" s="112">
        <f t="shared" ca="1" si="36"/>
        <v>36892</v>
      </c>
      <c r="AC83" s="428">
        <f t="shared" ca="1" si="36"/>
        <v>37256</v>
      </c>
      <c r="AD83" t="s">
        <v>511</v>
      </c>
      <c r="AF83" s="114">
        <f t="shared" ca="1" si="16"/>
        <v>12801.42</v>
      </c>
      <c r="AG83" s="114">
        <f t="shared" ca="1" si="16"/>
        <v>0</v>
      </c>
      <c r="AH83" s="114">
        <f t="shared" ca="1" si="16"/>
        <v>0</v>
      </c>
      <c r="AI83" s="114">
        <f t="shared" ca="1" si="16"/>
        <v>6384.11</v>
      </c>
      <c r="AJ83" s="114">
        <f t="shared" ca="1" si="16"/>
        <v>0</v>
      </c>
      <c r="AK83" s="114">
        <f t="shared" ca="1" si="16"/>
        <v>1598.79</v>
      </c>
      <c r="AN83">
        <f t="shared" si="6"/>
        <v>83</v>
      </c>
      <c r="AQ83" s="114">
        <f t="shared" ca="1" si="7"/>
        <v>1667.16</v>
      </c>
      <c r="AW83">
        <v>83</v>
      </c>
      <c r="BG83" s="114">
        <f t="shared" ca="1" si="4"/>
        <v>20852.689999999999</v>
      </c>
      <c r="BI83">
        <f t="shared" si="5"/>
        <v>0</v>
      </c>
    </row>
    <row r="84" spans="1:61" x14ac:dyDescent="0.25">
      <c r="A84" s="113">
        <f t="shared" si="34"/>
        <v>568</v>
      </c>
      <c r="B84" s="113" t="str">
        <f t="shared" si="35"/>
        <v>a</v>
      </c>
      <c r="C84" s="113" t="str">
        <f t="shared" si="35"/>
        <v>b</v>
      </c>
      <c r="D84" s="113" t="str">
        <f t="shared" si="35"/>
        <v>c</v>
      </c>
      <c r="E84" s="113" t="str">
        <f t="shared" si="35"/>
        <v>d</v>
      </c>
      <c r="F84" s="113" t="str">
        <f t="shared" si="35"/>
        <v>e</v>
      </c>
      <c r="G84" s="113" t="str">
        <f t="shared" si="35"/>
        <v>f</v>
      </c>
      <c r="H84" s="113" t="str">
        <f t="shared" si="35"/>
        <v>g</v>
      </c>
      <c r="I84" s="113" t="str">
        <f t="shared" si="35"/>
        <v>h</v>
      </c>
      <c r="J84" s="113" t="str">
        <f t="shared" si="35"/>
        <v>i</v>
      </c>
      <c r="K84" s="113" t="str">
        <f t="shared" si="35"/>
        <v>j</v>
      </c>
      <c r="L84" s="113" t="str">
        <f t="shared" si="35"/>
        <v>k</v>
      </c>
      <c r="M84" s="113" t="str">
        <f t="shared" si="35"/>
        <v>l</v>
      </c>
      <c r="N84" s="113" t="str">
        <f t="shared" si="35"/>
        <v>m</v>
      </c>
      <c r="O84" s="113">
        <f t="shared" si="35"/>
        <v>0</v>
      </c>
      <c r="P84" s="113">
        <f t="shared" si="35"/>
        <v>0</v>
      </c>
      <c r="Q84" s="113" t="str">
        <f t="shared" si="35"/>
        <v>p</v>
      </c>
      <c r="R84" s="113">
        <f t="shared" si="35"/>
        <v>0</v>
      </c>
      <c r="S84" s="113">
        <f t="shared" si="35"/>
        <v>0</v>
      </c>
      <c r="T84" s="113">
        <f t="shared" si="35"/>
        <v>0</v>
      </c>
      <c r="U84" s="113">
        <f t="shared" si="35"/>
        <v>0</v>
      </c>
      <c r="V84" s="113">
        <f t="shared" si="35"/>
        <v>0</v>
      </c>
      <c r="W84" s="113">
        <f t="shared" si="35"/>
        <v>0</v>
      </c>
      <c r="X84" s="113">
        <f t="shared" si="35"/>
        <v>0</v>
      </c>
      <c r="AA84" s="113">
        <v>21</v>
      </c>
      <c r="AB84" s="112">
        <f t="shared" ca="1" si="36"/>
        <v>36892</v>
      </c>
      <c r="AC84" s="428">
        <f t="shared" ca="1" si="36"/>
        <v>37256</v>
      </c>
      <c r="AD84" t="s">
        <v>512</v>
      </c>
      <c r="AF84" s="114">
        <f t="shared" ca="1" si="16"/>
        <v>14300.18</v>
      </c>
      <c r="AG84" s="114">
        <f t="shared" ca="1" si="16"/>
        <v>0</v>
      </c>
      <c r="AH84" s="114">
        <f t="shared" ca="1" si="16"/>
        <v>0</v>
      </c>
      <c r="AI84" s="114">
        <f t="shared" ca="1" si="16"/>
        <v>6384.11</v>
      </c>
      <c r="AJ84" s="114">
        <f t="shared" ca="1" si="16"/>
        <v>0</v>
      </c>
      <c r="AK84" s="114">
        <f t="shared" ca="1" si="16"/>
        <v>1723.69</v>
      </c>
      <c r="AN84">
        <f t="shared" si="6"/>
        <v>84</v>
      </c>
      <c r="AQ84" s="114">
        <f t="shared" ca="1" si="7"/>
        <v>1667.16</v>
      </c>
      <c r="AW84">
        <v>84</v>
      </c>
      <c r="BG84" s="114">
        <f t="shared" ca="1" si="4"/>
        <v>22351.45</v>
      </c>
      <c r="BI84">
        <f t="shared" si="5"/>
        <v>0</v>
      </c>
    </row>
    <row r="85" spans="1:61" x14ac:dyDescent="0.25">
      <c r="A85" s="113">
        <f t="shared" si="34"/>
        <v>570</v>
      </c>
      <c r="B85" s="113" t="str">
        <f t="shared" si="35"/>
        <v>a</v>
      </c>
      <c r="C85" s="113" t="str">
        <f t="shared" si="35"/>
        <v>b</v>
      </c>
      <c r="D85" s="113" t="str">
        <f t="shared" si="35"/>
        <v>c</v>
      </c>
      <c r="E85" s="113" t="str">
        <f t="shared" si="35"/>
        <v>d</v>
      </c>
      <c r="F85" s="113" t="str">
        <f t="shared" si="35"/>
        <v>e</v>
      </c>
      <c r="G85" s="113" t="str">
        <f t="shared" si="35"/>
        <v>f</v>
      </c>
      <c r="H85" s="113" t="str">
        <f t="shared" si="35"/>
        <v>g</v>
      </c>
      <c r="I85" s="113" t="str">
        <f t="shared" si="35"/>
        <v>h</v>
      </c>
      <c r="J85" s="113" t="str">
        <f t="shared" si="35"/>
        <v>i</v>
      </c>
      <c r="K85" s="113" t="str">
        <f t="shared" si="35"/>
        <v>j</v>
      </c>
      <c r="L85" s="113" t="str">
        <f t="shared" si="35"/>
        <v>k</v>
      </c>
      <c r="M85" s="113" t="str">
        <f t="shared" si="35"/>
        <v>l</v>
      </c>
      <c r="N85" s="113" t="str">
        <f t="shared" si="35"/>
        <v>m</v>
      </c>
      <c r="O85" s="113">
        <f t="shared" si="35"/>
        <v>0</v>
      </c>
      <c r="P85" s="113">
        <f t="shared" si="35"/>
        <v>0</v>
      </c>
      <c r="Q85" s="113" t="str">
        <f t="shared" si="35"/>
        <v>p</v>
      </c>
      <c r="R85" s="113">
        <f t="shared" si="35"/>
        <v>0</v>
      </c>
      <c r="S85" s="113">
        <f t="shared" si="35"/>
        <v>0</v>
      </c>
      <c r="T85" s="113">
        <f t="shared" si="35"/>
        <v>0</v>
      </c>
      <c r="U85" s="113">
        <f t="shared" si="35"/>
        <v>0</v>
      </c>
      <c r="V85" s="113">
        <f t="shared" si="35"/>
        <v>0</v>
      </c>
      <c r="W85" s="113">
        <f t="shared" si="35"/>
        <v>0</v>
      </c>
      <c r="X85" s="113">
        <f t="shared" si="35"/>
        <v>0</v>
      </c>
      <c r="AA85" s="113">
        <v>28</v>
      </c>
      <c r="AB85" s="112">
        <f t="shared" ca="1" si="36"/>
        <v>36892</v>
      </c>
      <c r="AC85" s="428">
        <f t="shared" ca="1" si="36"/>
        <v>37256</v>
      </c>
      <c r="AD85" t="s">
        <v>513</v>
      </c>
      <c r="AF85" s="114">
        <f t="shared" ca="1" si="16"/>
        <v>15778.79</v>
      </c>
      <c r="AG85" s="114">
        <f t="shared" ca="1" si="16"/>
        <v>0</v>
      </c>
      <c r="AH85" s="114">
        <f t="shared" ca="1" si="16"/>
        <v>0</v>
      </c>
      <c r="AI85" s="114">
        <f t="shared" ca="1" si="16"/>
        <v>6384.11</v>
      </c>
      <c r="AJ85" s="114">
        <f t="shared" ca="1" si="16"/>
        <v>0</v>
      </c>
      <c r="AK85" s="114">
        <f t="shared" ca="1" si="16"/>
        <v>1846.91</v>
      </c>
      <c r="AN85">
        <f t="shared" si="6"/>
        <v>85</v>
      </c>
      <c r="AQ85" s="114">
        <f t="shared" ca="1" si="7"/>
        <v>1865.4</v>
      </c>
      <c r="AW85">
        <v>85</v>
      </c>
      <c r="BG85" s="114">
        <f t="shared" ca="1" si="4"/>
        <v>24028.300000000003</v>
      </c>
      <c r="BI85">
        <f t="shared" si="5"/>
        <v>0</v>
      </c>
    </row>
    <row r="86" spans="1:61" x14ac:dyDescent="0.25">
      <c r="A86" s="113">
        <f t="shared" si="34"/>
        <v>572</v>
      </c>
      <c r="B86" s="113" t="str">
        <f t="shared" si="35"/>
        <v>a</v>
      </c>
      <c r="C86" s="113" t="str">
        <f t="shared" si="35"/>
        <v>b</v>
      </c>
      <c r="D86" s="113" t="str">
        <f t="shared" si="35"/>
        <v>c</v>
      </c>
      <c r="E86" s="113" t="str">
        <f t="shared" si="35"/>
        <v>d</v>
      </c>
      <c r="F86" s="113" t="str">
        <f t="shared" si="35"/>
        <v>e</v>
      </c>
      <c r="G86" s="113" t="str">
        <f t="shared" si="35"/>
        <v>f</v>
      </c>
      <c r="H86" s="113" t="str">
        <f t="shared" si="35"/>
        <v>g</v>
      </c>
      <c r="I86" s="113" t="str">
        <f t="shared" si="35"/>
        <v>h</v>
      </c>
      <c r="J86" s="113" t="str">
        <f t="shared" si="35"/>
        <v>i</v>
      </c>
      <c r="K86" s="113" t="str">
        <f t="shared" si="35"/>
        <v>j</v>
      </c>
      <c r="L86" s="113" t="str">
        <f t="shared" si="35"/>
        <v>k</v>
      </c>
      <c r="M86" s="113" t="str">
        <f t="shared" si="35"/>
        <v>l</v>
      </c>
      <c r="N86" s="113" t="str">
        <f t="shared" si="35"/>
        <v>m</v>
      </c>
      <c r="O86" s="113">
        <f t="shared" si="35"/>
        <v>0</v>
      </c>
      <c r="P86" s="113">
        <f t="shared" si="35"/>
        <v>0</v>
      </c>
      <c r="Q86" s="113" t="str">
        <f t="shared" si="35"/>
        <v>p</v>
      </c>
      <c r="R86" s="113">
        <f t="shared" si="35"/>
        <v>0</v>
      </c>
      <c r="S86" s="113">
        <f t="shared" si="35"/>
        <v>0</v>
      </c>
      <c r="T86" s="113">
        <f t="shared" si="35"/>
        <v>0</v>
      </c>
      <c r="U86" s="113">
        <f t="shared" si="35"/>
        <v>0</v>
      </c>
      <c r="V86" s="113">
        <f t="shared" si="35"/>
        <v>0</v>
      </c>
      <c r="W86" s="113">
        <f t="shared" si="35"/>
        <v>0</v>
      </c>
      <c r="X86" s="113">
        <f t="shared" si="35"/>
        <v>0</v>
      </c>
      <c r="AA86" s="113">
        <v>35</v>
      </c>
      <c r="AB86" s="112">
        <f t="shared" ca="1" si="36"/>
        <v>36892</v>
      </c>
      <c r="AC86" s="428">
        <f t="shared" ca="1" si="36"/>
        <v>37256</v>
      </c>
      <c r="AD86" t="s">
        <v>514</v>
      </c>
      <c r="AF86" s="114">
        <f t="shared" ca="1" si="16"/>
        <v>16879.88</v>
      </c>
      <c r="AG86" s="114">
        <f t="shared" ca="1" si="16"/>
        <v>0</v>
      </c>
      <c r="AH86" s="114">
        <f t="shared" ca="1" si="16"/>
        <v>0</v>
      </c>
      <c r="AI86" s="114">
        <f t="shared" ca="1" si="16"/>
        <v>6384.11</v>
      </c>
      <c r="AJ86" s="114">
        <f t="shared" ca="1" si="16"/>
        <v>0</v>
      </c>
      <c r="AK86" s="114">
        <f t="shared" ca="1" si="16"/>
        <v>1938.67</v>
      </c>
      <c r="AN86">
        <f t="shared" si="6"/>
        <v>86</v>
      </c>
      <c r="AQ86" s="114">
        <f t="shared" ca="1" si="7"/>
        <v>1865.4</v>
      </c>
      <c r="AW86">
        <v>86</v>
      </c>
      <c r="BG86" s="114">
        <f t="shared" ca="1" si="4"/>
        <v>25129.390000000003</v>
      </c>
      <c r="BI86">
        <f t="shared" si="5"/>
        <v>0</v>
      </c>
    </row>
    <row r="87" spans="1:61" x14ac:dyDescent="0.25">
      <c r="A87" s="113">
        <f>A80+20</f>
        <v>580</v>
      </c>
      <c r="B87" s="113" t="str">
        <f>B80</f>
        <v>a</v>
      </c>
      <c r="C87" s="113" t="str">
        <f t="shared" ref="C87:X87" si="37">C80</f>
        <v>b</v>
      </c>
      <c r="D87" s="113" t="str">
        <f t="shared" si="37"/>
        <v>c</v>
      </c>
      <c r="E87" s="113" t="str">
        <f t="shared" si="37"/>
        <v>d</v>
      </c>
      <c r="F87" s="113" t="str">
        <f t="shared" si="37"/>
        <v>e</v>
      </c>
      <c r="G87" s="113" t="str">
        <f t="shared" si="37"/>
        <v>f</v>
      </c>
      <c r="H87" s="113" t="str">
        <f t="shared" si="37"/>
        <v>g</v>
      </c>
      <c r="I87" s="113" t="str">
        <f t="shared" si="37"/>
        <v>h</v>
      </c>
      <c r="J87" s="113" t="str">
        <f t="shared" si="37"/>
        <v>i</v>
      </c>
      <c r="K87" s="113" t="str">
        <f t="shared" si="37"/>
        <v>j</v>
      </c>
      <c r="L87" s="113" t="str">
        <f t="shared" si="37"/>
        <v>k</v>
      </c>
      <c r="M87" s="113" t="str">
        <f t="shared" si="37"/>
        <v>l</v>
      </c>
      <c r="N87" s="113" t="str">
        <f t="shared" si="37"/>
        <v>m</v>
      </c>
      <c r="O87" s="113">
        <f t="shared" si="37"/>
        <v>0</v>
      </c>
      <c r="P87" s="113">
        <f t="shared" si="37"/>
        <v>0</v>
      </c>
      <c r="Q87" s="113" t="str">
        <f t="shared" si="37"/>
        <v>p</v>
      </c>
      <c r="R87" s="113">
        <f t="shared" si="37"/>
        <v>0</v>
      </c>
      <c r="S87" s="113">
        <f t="shared" si="37"/>
        <v>0</v>
      </c>
      <c r="T87" s="113">
        <f t="shared" si="37"/>
        <v>0</v>
      </c>
      <c r="U87" s="113">
        <f t="shared" si="37"/>
        <v>0</v>
      </c>
      <c r="V87" s="113">
        <f t="shared" si="37"/>
        <v>0</v>
      </c>
      <c r="W87" s="113">
        <f t="shared" si="37"/>
        <v>0</v>
      </c>
      <c r="X87" s="113">
        <f t="shared" si="37"/>
        <v>0</v>
      </c>
      <c r="AA87" s="113">
        <v>0</v>
      </c>
      <c r="AB87" s="112">
        <f ca="1">INDIRECT(CONCATENATE($AB$10,CONCATENATE(B87,$A87)))</f>
        <v>0</v>
      </c>
      <c r="AC87" s="428">
        <f ca="1">INDIRECT(CONCATENATE($AB$10,CONCATENATE(C87,$A87)))</f>
        <v>0</v>
      </c>
      <c r="AD87" t="s">
        <v>515</v>
      </c>
      <c r="AF87" s="114">
        <f t="shared" ca="1" si="16"/>
        <v>0</v>
      </c>
      <c r="AG87" s="114">
        <f ca="1">INDIRECT(CONCATENATE($AB$10,CONCATENATE(G87,$A87)))</f>
        <v>0</v>
      </c>
      <c r="AH87" s="114">
        <f ca="1">INDIRECT(CONCATENATE($AB$10,CONCATENATE(H87,$A87)))</f>
        <v>0</v>
      </c>
      <c r="AI87" s="114">
        <f ca="1">INDIRECT(CONCATENATE($AB$10,CONCATENATE(I87,$A87)))</f>
        <v>0</v>
      </c>
      <c r="AJ87" s="114">
        <f ca="1">INDIRECT(CONCATENATE($AB$10,CONCATENATE(J87,$A87)))</f>
        <v>0</v>
      </c>
      <c r="AK87" s="114">
        <f ca="1">INDIRECT(CONCATENATE($AB$10,CONCATENATE(K87,$A87)))</f>
        <v>0</v>
      </c>
      <c r="AN87">
        <f t="shared" si="6"/>
        <v>87</v>
      </c>
      <c r="AQ87" s="114">
        <f t="shared" ca="1" si="7"/>
        <v>0</v>
      </c>
      <c r="AW87">
        <v>87</v>
      </c>
      <c r="BG87" s="114">
        <f t="shared" ca="1" si="4"/>
        <v>0</v>
      </c>
      <c r="BI87">
        <f t="shared" si="5"/>
        <v>0</v>
      </c>
    </row>
    <row r="88" spans="1:61" x14ac:dyDescent="0.25">
      <c r="A88" s="113">
        <f t="shared" ref="A88:A93" si="38">A87+2</f>
        <v>582</v>
      </c>
      <c r="B88" s="113" t="str">
        <f t="shared" ref="B88:X93" si="39">B87</f>
        <v>a</v>
      </c>
      <c r="C88" s="113" t="str">
        <f t="shared" si="39"/>
        <v>b</v>
      </c>
      <c r="D88" s="113" t="str">
        <f t="shared" si="39"/>
        <v>c</v>
      </c>
      <c r="E88" s="113" t="str">
        <f t="shared" si="39"/>
        <v>d</v>
      </c>
      <c r="F88" s="113" t="str">
        <f t="shared" si="39"/>
        <v>e</v>
      </c>
      <c r="G88" s="113" t="str">
        <f t="shared" si="39"/>
        <v>f</v>
      </c>
      <c r="H88" s="113" t="str">
        <f t="shared" si="39"/>
        <v>g</v>
      </c>
      <c r="I88" s="113" t="str">
        <f t="shared" si="39"/>
        <v>h</v>
      </c>
      <c r="J88" s="113" t="str">
        <f t="shared" si="39"/>
        <v>i</v>
      </c>
      <c r="K88" s="113" t="str">
        <f t="shared" si="39"/>
        <v>j</v>
      </c>
      <c r="L88" s="113" t="str">
        <f t="shared" si="39"/>
        <v>k</v>
      </c>
      <c r="M88" s="113" t="str">
        <f t="shared" si="39"/>
        <v>l</v>
      </c>
      <c r="N88" s="113" t="str">
        <f t="shared" si="39"/>
        <v>m</v>
      </c>
      <c r="O88" s="113">
        <f t="shared" si="39"/>
        <v>0</v>
      </c>
      <c r="P88" s="113">
        <f t="shared" si="39"/>
        <v>0</v>
      </c>
      <c r="Q88" s="113" t="str">
        <f t="shared" si="39"/>
        <v>p</v>
      </c>
      <c r="R88" s="113">
        <f t="shared" si="39"/>
        <v>0</v>
      </c>
      <c r="S88" s="113">
        <f t="shared" si="39"/>
        <v>0</v>
      </c>
      <c r="T88" s="113">
        <f t="shared" si="39"/>
        <v>0</v>
      </c>
      <c r="U88" s="113">
        <f t="shared" si="39"/>
        <v>0</v>
      </c>
      <c r="V88" s="113">
        <f t="shared" si="39"/>
        <v>0</v>
      </c>
      <c r="W88" s="113">
        <f t="shared" si="39"/>
        <v>0</v>
      </c>
      <c r="X88" s="113">
        <f t="shared" si="39"/>
        <v>0</v>
      </c>
      <c r="AA88" s="113">
        <v>3</v>
      </c>
      <c r="AB88" s="112">
        <f t="shared" ref="AB88:AC93" ca="1" si="40">AB87</f>
        <v>0</v>
      </c>
      <c r="AC88" s="428">
        <f t="shared" ca="1" si="40"/>
        <v>0</v>
      </c>
      <c r="AD88" t="s">
        <v>516</v>
      </c>
      <c r="AF88" s="114">
        <f t="shared" ca="1" si="16"/>
        <v>0</v>
      </c>
      <c r="AG88" s="114">
        <f t="shared" ca="1" si="16"/>
        <v>0</v>
      </c>
      <c r="AH88" s="114">
        <f t="shared" ca="1" si="16"/>
        <v>0</v>
      </c>
      <c r="AI88" s="114">
        <f t="shared" ca="1" si="16"/>
        <v>0</v>
      </c>
      <c r="AJ88" s="114">
        <f t="shared" ca="1" si="16"/>
        <v>0</v>
      </c>
      <c r="AK88" s="114">
        <f t="shared" ca="1" si="16"/>
        <v>0</v>
      </c>
      <c r="AN88">
        <f t="shared" si="6"/>
        <v>88</v>
      </c>
      <c r="AQ88" s="114">
        <f t="shared" ca="1" si="7"/>
        <v>0</v>
      </c>
      <c r="AW88">
        <v>88</v>
      </c>
      <c r="BG88" s="114">
        <f t="shared" ca="1" si="4"/>
        <v>0</v>
      </c>
      <c r="BI88">
        <f t="shared" si="5"/>
        <v>0</v>
      </c>
    </row>
    <row r="89" spans="1:61" x14ac:dyDescent="0.25">
      <c r="A89" s="113">
        <f t="shared" si="38"/>
        <v>584</v>
      </c>
      <c r="B89" s="113" t="str">
        <f t="shared" si="39"/>
        <v>a</v>
      </c>
      <c r="C89" s="113" t="str">
        <f t="shared" si="39"/>
        <v>b</v>
      </c>
      <c r="D89" s="113" t="str">
        <f t="shared" si="39"/>
        <v>c</v>
      </c>
      <c r="E89" s="113" t="str">
        <f t="shared" si="39"/>
        <v>d</v>
      </c>
      <c r="F89" s="113" t="str">
        <f t="shared" si="39"/>
        <v>e</v>
      </c>
      <c r="G89" s="113" t="str">
        <f t="shared" si="39"/>
        <v>f</v>
      </c>
      <c r="H89" s="113" t="str">
        <f t="shared" si="39"/>
        <v>g</v>
      </c>
      <c r="I89" s="113" t="str">
        <f t="shared" si="39"/>
        <v>h</v>
      </c>
      <c r="J89" s="113" t="str">
        <f t="shared" si="39"/>
        <v>i</v>
      </c>
      <c r="K89" s="113" t="str">
        <f t="shared" si="39"/>
        <v>j</v>
      </c>
      <c r="L89" s="113" t="str">
        <f t="shared" si="39"/>
        <v>k</v>
      </c>
      <c r="M89" s="113" t="str">
        <f t="shared" si="39"/>
        <v>l</v>
      </c>
      <c r="N89" s="113" t="str">
        <f t="shared" si="39"/>
        <v>m</v>
      </c>
      <c r="O89" s="113">
        <f t="shared" si="39"/>
        <v>0</v>
      </c>
      <c r="P89" s="113">
        <f t="shared" si="39"/>
        <v>0</v>
      </c>
      <c r="Q89" s="113" t="str">
        <f t="shared" si="39"/>
        <v>p</v>
      </c>
      <c r="R89" s="113">
        <f t="shared" si="39"/>
        <v>0</v>
      </c>
      <c r="S89" s="113">
        <f t="shared" si="39"/>
        <v>0</v>
      </c>
      <c r="T89" s="113">
        <f t="shared" si="39"/>
        <v>0</v>
      </c>
      <c r="U89" s="113">
        <f t="shared" si="39"/>
        <v>0</v>
      </c>
      <c r="V89" s="113">
        <f t="shared" si="39"/>
        <v>0</v>
      </c>
      <c r="W89" s="113">
        <f t="shared" si="39"/>
        <v>0</v>
      </c>
      <c r="X89" s="113">
        <f t="shared" si="39"/>
        <v>0</v>
      </c>
      <c r="AA89" s="113">
        <v>9</v>
      </c>
      <c r="AB89" s="112">
        <f t="shared" ca="1" si="40"/>
        <v>0</v>
      </c>
      <c r="AC89" s="428">
        <f t="shared" ca="1" si="40"/>
        <v>0</v>
      </c>
      <c r="AD89" t="s">
        <v>510</v>
      </c>
      <c r="AF89" s="114">
        <f t="shared" ca="1" si="16"/>
        <v>0</v>
      </c>
      <c r="AG89" s="114">
        <f t="shared" ca="1" si="16"/>
        <v>0</v>
      </c>
      <c r="AH89" s="114">
        <f t="shared" ca="1" si="16"/>
        <v>0</v>
      </c>
      <c r="AI89" s="114">
        <f t="shared" ca="1" si="16"/>
        <v>0</v>
      </c>
      <c r="AJ89" s="114">
        <f t="shared" ca="1" si="16"/>
        <v>0</v>
      </c>
      <c r="AK89" s="114">
        <f t="shared" ca="1" si="16"/>
        <v>0</v>
      </c>
      <c r="AN89">
        <f t="shared" si="6"/>
        <v>89</v>
      </c>
      <c r="AQ89" s="114">
        <f t="shared" ca="1" si="7"/>
        <v>0</v>
      </c>
      <c r="AW89">
        <v>89</v>
      </c>
      <c r="BG89" s="114">
        <f t="shared" ca="1" si="4"/>
        <v>0</v>
      </c>
      <c r="BI89">
        <f t="shared" si="5"/>
        <v>0</v>
      </c>
    </row>
    <row r="90" spans="1:61" x14ac:dyDescent="0.25">
      <c r="A90" s="113">
        <f t="shared" si="38"/>
        <v>586</v>
      </c>
      <c r="B90" s="113" t="str">
        <f t="shared" si="39"/>
        <v>a</v>
      </c>
      <c r="C90" s="113" t="str">
        <f t="shared" si="39"/>
        <v>b</v>
      </c>
      <c r="D90" s="113" t="str">
        <f t="shared" si="39"/>
        <v>c</v>
      </c>
      <c r="E90" s="113" t="str">
        <f t="shared" si="39"/>
        <v>d</v>
      </c>
      <c r="F90" s="113" t="str">
        <f t="shared" si="39"/>
        <v>e</v>
      </c>
      <c r="G90" s="113" t="str">
        <f t="shared" si="39"/>
        <v>f</v>
      </c>
      <c r="H90" s="113" t="str">
        <f t="shared" si="39"/>
        <v>g</v>
      </c>
      <c r="I90" s="113" t="str">
        <f t="shared" si="39"/>
        <v>h</v>
      </c>
      <c r="J90" s="113" t="str">
        <f t="shared" si="39"/>
        <v>i</v>
      </c>
      <c r="K90" s="113" t="str">
        <f t="shared" si="39"/>
        <v>j</v>
      </c>
      <c r="L90" s="113" t="str">
        <f t="shared" si="39"/>
        <v>k</v>
      </c>
      <c r="M90" s="113" t="str">
        <f t="shared" si="39"/>
        <v>l</v>
      </c>
      <c r="N90" s="113" t="str">
        <f t="shared" si="39"/>
        <v>m</v>
      </c>
      <c r="O90" s="113">
        <f t="shared" si="39"/>
        <v>0</v>
      </c>
      <c r="P90" s="113">
        <f t="shared" si="39"/>
        <v>0</v>
      </c>
      <c r="Q90" s="113" t="str">
        <f t="shared" si="39"/>
        <v>p</v>
      </c>
      <c r="R90" s="113">
        <f t="shared" si="39"/>
        <v>0</v>
      </c>
      <c r="S90" s="113">
        <f t="shared" si="39"/>
        <v>0</v>
      </c>
      <c r="T90" s="113">
        <f t="shared" si="39"/>
        <v>0</v>
      </c>
      <c r="U90" s="113">
        <f t="shared" si="39"/>
        <v>0</v>
      </c>
      <c r="V90" s="113">
        <f t="shared" si="39"/>
        <v>0</v>
      </c>
      <c r="W90" s="113">
        <f t="shared" si="39"/>
        <v>0</v>
      </c>
      <c r="X90" s="113">
        <f t="shared" si="39"/>
        <v>0</v>
      </c>
      <c r="AA90" s="113">
        <v>15</v>
      </c>
      <c r="AB90" s="112">
        <f t="shared" ca="1" si="40"/>
        <v>0</v>
      </c>
      <c r="AC90" s="428">
        <f t="shared" ca="1" si="40"/>
        <v>0</v>
      </c>
      <c r="AD90" t="s">
        <v>511</v>
      </c>
      <c r="AF90" s="114">
        <f t="shared" ca="1" si="16"/>
        <v>9907.19</v>
      </c>
      <c r="AG90" s="114">
        <f t="shared" ca="1" si="16"/>
        <v>0</v>
      </c>
      <c r="AH90" s="114">
        <f t="shared" ca="1" si="16"/>
        <v>0</v>
      </c>
      <c r="AI90" s="114">
        <f t="shared" ca="1" si="16"/>
        <v>6384.11</v>
      </c>
      <c r="AJ90" s="114">
        <f t="shared" ca="1" si="16"/>
        <v>0</v>
      </c>
      <c r="AK90" s="114">
        <f t="shared" ca="1" si="16"/>
        <v>1357.61</v>
      </c>
      <c r="AN90">
        <f t="shared" si="6"/>
        <v>90</v>
      </c>
      <c r="AQ90" s="114">
        <f t="shared" ca="1" si="7"/>
        <v>1578.6</v>
      </c>
      <c r="AW90">
        <v>90</v>
      </c>
      <c r="BG90" s="114">
        <f t="shared" ca="1" si="4"/>
        <v>17869.899999999998</v>
      </c>
      <c r="BI90">
        <f t="shared" si="5"/>
        <v>0</v>
      </c>
    </row>
    <row r="91" spans="1:61" x14ac:dyDescent="0.25">
      <c r="A91" s="113">
        <f t="shared" si="38"/>
        <v>588</v>
      </c>
      <c r="B91" s="113" t="str">
        <f t="shared" si="39"/>
        <v>a</v>
      </c>
      <c r="C91" s="113" t="str">
        <f t="shared" si="39"/>
        <v>b</v>
      </c>
      <c r="D91" s="113" t="str">
        <f t="shared" si="39"/>
        <v>c</v>
      </c>
      <c r="E91" s="113" t="str">
        <f t="shared" si="39"/>
        <v>d</v>
      </c>
      <c r="F91" s="113" t="str">
        <f t="shared" si="39"/>
        <v>e</v>
      </c>
      <c r="G91" s="113" t="str">
        <f t="shared" si="39"/>
        <v>f</v>
      </c>
      <c r="H91" s="113" t="str">
        <f t="shared" si="39"/>
        <v>g</v>
      </c>
      <c r="I91" s="113" t="str">
        <f t="shared" si="39"/>
        <v>h</v>
      </c>
      <c r="J91" s="113" t="str">
        <f t="shared" si="39"/>
        <v>i</v>
      </c>
      <c r="K91" s="113" t="str">
        <f t="shared" si="39"/>
        <v>j</v>
      </c>
      <c r="L91" s="113" t="str">
        <f t="shared" si="39"/>
        <v>k</v>
      </c>
      <c r="M91" s="113" t="str">
        <f t="shared" si="39"/>
        <v>l</v>
      </c>
      <c r="N91" s="113" t="str">
        <f t="shared" si="39"/>
        <v>m</v>
      </c>
      <c r="O91" s="113">
        <f t="shared" si="39"/>
        <v>0</v>
      </c>
      <c r="P91" s="113">
        <f t="shared" si="39"/>
        <v>0</v>
      </c>
      <c r="Q91" s="113" t="str">
        <f t="shared" si="39"/>
        <v>p</v>
      </c>
      <c r="R91" s="113">
        <f t="shared" si="39"/>
        <v>0</v>
      </c>
      <c r="S91" s="113">
        <f t="shared" si="39"/>
        <v>0</v>
      </c>
      <c r="T91" s="113">
        <f t="shared" si="39"/>
        <v>0</v>
      </c>
      <c r="U91" s="113">
        <f t="shared" si="39"/>
        <v>0</v>
      </c>
      <c r="V91" s="113">
        <f t="shared" si="39"/>
        <v>0</v>
      </c>
      <c r="W91" s="113">
        <f t="shared" si="39"/>
        <v>0</v>
      </c>
      <c r="X91" s="113">
        <f t="shared" si="39"/>
        <v>0</v>
      </c>
      <c r="AA91" s="113">
        <v>21</v>
      </c>
      <c r="AB91" s="112">
        <f t="shared" ca="1" si="40"/>
        <v>0</v>
      </c>
      <c r="AC91" s="428">
        <f t="shared" ca="1" si="40"/>
        <v>0</v>
      </c>
      <c r="AD91" t="s">
        <v>512</v>
      </c>
      <c r="AF91" s="114">
        <f t="shared" ca="1" si="16"/>
        <v>10347.280000000001</v>
      </c>
      <c r="AG91" s="114">
        <f t="shared" ca="1" si="16"/>
        <v>0</v>
      </c>
      <c r="AH91" s="114">
        <f t="shared" ca="1" si="16"/>
        <v>0</v>
      </c>
      <c r="AI91" s="114">
        <f t="shared" ca="1" si="16"/>
        <v>6384.11</v>
      </c>
      <c r="AJ91" s="114">
        <f t="shared" ca="1" si="16"/>
        <v>0</v>
      </c>
      <c r="AK91" s="114">
        <f t="shared" ca="1" si="16"/>
        <v>1394.28</v>
      </c>
      <c r="AN91">
        <f t="shared" si="6"/>
        <v>91</v>
      </c>
      <c r="AQ91" s="114">
        <f t="shared" ca="1" si="7"/>
        <v>1578.6</v>
      </c>
      <c r="AW91">
        <v>91</v>
      </c>
      <c r="BG91" s="114">
        <f t="shared" ca="1" si="4"/>
        <v>18309.989999999998</v>
      </c>
      <c r="BI91">
        <f t="shared" si="5"/>
        <v>0</v>
      </c>
    </row>
    <row r="92" spans="1:61" x14ac:dyDescent="0.25">
      <c r="A92" s="113">
        <f t="shared" si="38"/>
        <v>590</v>
      </c>
      <c r="B92" s="113" t="str">
        <f t="shared" si="39"/>
        <v>a</v>
      </c>
      <c r="C92" s="113" t="str">
        <f t="shared" si="39"/>
        <v>b</v>
      </c>
      <c r="D92" s="113" t="str">
        <f t="shared" si="39"/>
        <v>c</v>
      </c>
      <c r="E92" s="113" t="str">
        <f t="shared" si="39"/>
        <v>d</v>
      </c>
      <c r="F92" s="113" t="str">
        <f t="shared" si="39"/>
        <v>e</v>
      </c>
      <c r="G92" s="113" t="str">
        <f t="shared" si="39"/>
        <v>f</v>
      </c>
      <c r="H92" s="113" t="str">
        <f t="shared" si="39"/>
        <v>g</v>
      </c>
      <c r="I92" s="113" t="str">
        <f t="shared" si="39"/>
        <v>h</v>
      </c>
      <c r="J92" s="113" t="str">
        <f t="shared" si="39"/>
        <v>i</v>
      </c>
      <c r="K92" s="113" t="str">
        <f t="shared" si="39"/>
        <v>j</v>
      </c>
      <c r="L92" s="113" t="str">
        <f t="shared" si="39"/>
        <v>k</v>
      </c>
      <c r="M92" s="113" t="str">
        <f t="shared" si="39"/>
        <v>l</v>
      </c>
      <c r="N92" s="113" t="str">
        <f t="shared" si="39"/>
        <v>m</v>
      </c>
      <c r="O92" s="113">
        <f t="shared" si="39"/>
        <v>0</v>
      </c>
      <c r="P92" s="113">
        <f t="shared" si="39"/>
        <v>0</v>
      </c>
      <c r="Q92" s="113" t="str">
        <f t="shared" si="39"/>
        <v>p</v>
      </c>
      <c r="R92" s="113">
        <f t="shared" si="39"/>
        <v>0</v>
      </c>
      <c r="S92" s="113">
        <f t="shared" si="39"/>
        <v>0</v>
      </c>
      <c r="T92" s="113">
        <f t="shared" si="39"/>
        <v>0</v>
      </c>
      <c r="U92" s="113">
        <f t="shared" si="39"/>
        <v>0</v>
      </c>
      <c r="V92" s="113">
        <f t="shared" si="39"/>
        <v>0</v>
      </c>
      <c r="W92" s="113">
        <f t="shared" si="39"/>
        <v>0</v>
      </c>
      <c r="X92" s="113">
        <f t="shared" si="39"/>
        <v>0</v>
      </c>
      <c r="AA92" s="113">
        <v>28</v>
      </c>
      <c r="AB92" s="112">
        <f t="shared" ca="1" si="40"/>
        <v>0</v>
      </c>
      <c r="AC92" s="428">
        <f t="shared" ca="1" si="40"/>
        <v>0</v>
      </c>
      <c r="AD92" t="s">
        <v>513</v>
      </c>
      <c r="AF92" s="114">
        <f t="shared" ca="1" si="16"/>
        <v>11702.77</v>
      </c>
      <c r="AG92" s="114">
        <f t="shared" ca="1" si="16"/>
        <v>0</v>
      </c>
      <c r="AH92" s="114">
        <f t="shared" ca="1" si="16"/>
        <v>0</v>
      </c>
      <c r="AI92" s="114">
        <f t="shared" ca="1" si="16"/>
        <v>6384.11</v>
      </c>
      <c r="AJ92" s="114">
        <f t="shared" ca="1" si="16"/>
        <v>0</v>
      </c>
      <c r="AK92" s="114">
        <f t="shared" ca="1" si="16"/>
        <v>1507.24</v>
      </c>
      <c r="AN92">
        <f t="shared" si="6"/>
        <v>92</v>
      </c>
      <c r="AQ92" s="114">
        <f t="shared" ca="1" si="7"/>
        <v>1578.6</v>
      </c>
      <c r="AW92">
        <v>92</v>
      </c>
      <c r="BG92" s="114">
        <f t="shared" ca="1" si="4"/>
        <v>19665.48</v>
      </c>
      <c r="BI92">
        <f t="shared" si="5"/>
        <v>0</v>
      </c>
    </row>
    <row r="93" spans="1:61" x14ac:dyDescent="0.25">
      <c r="A93" s="113">
        <f t="shared" si="38"/>
        <v>592</v>
      </c>
      <c r="B93" s="113" t="str">
        <f t="shared" si="39"/>
        <v>a</v>
      </c>
      <c r="C93" s="113" t="str">
        <f t="shared" si="39"/>
        <v>b</v>
      </c>
      <c r="D93" s="113" t="str">
        <f t="shared" si="39"/>
        <v>c</v>
      </c>
      <c r="E93" s="113" t="str">
        <f t="shared" si="39"/>
        <v>d</v>
      </c>
      <c r="F93" s="113" t="str">
        <f t="shared" si="39"/>
        <v>e</v>
      </c>
      <c r="G93" s="113" t="str">
        <f t="shared" si="39"/>
        <v>f</v>
      </c>
      <c r="H93" s="113" t="str">
        <f t="shared" si="39"/>
        <v>g</v>
      </c>
      <c r="I93" s="113" t="str">
        <f t="shared" si="39"/>
        <v>h</v>
      </c>
      <c r="J93" s="113" t="str">
        <f t="shared" si="39"/>
        <v>i</v>
      </c>
      <c r="K93" s="113" t="str">
        <f t="shared" si="39"/>
        <v>j</v>
      </c>
      <c r="L93" s="113" t="str">
        <f t="shared" si="39"/>
        <v>k</v>
      </c>
      <c r="M93" s="113" t="str">
        <f t="shared" si="39"/>
        <v>l</v>
      </c>
      <c r="N93" s="113" t="str">
        <f t="shared" si="39"/>
        <v>m</v>
      </c>
      <c r="O93" s="113">
        <f t="shared" si="39"/>
        <v>0</v>
      </c>
      <c r="P93" s="113">
        <f t="shared" si="39"/>
        <v>0</v>
      </c>
      <c r="Q93" s="113" t="str">
        <f t="shared" si="39"/>
        <v>p</v>
      </c>
      <c r="R93" s="113">
        <f t="shared" si="39"/>
        <v>0</v>
      </c>
      <c r="S93" s="113">
        <f t="shared" si="39"/>
        <v>0</v>
      </c>
      <c r="T93" s="113">
        <f t="shared" si="39"/>
        <v>0</v>
      </c>
      <c r="U93" s="113">
        <f t="shared" si="39"/>
        <v>0</v>
      </c>
      <c r="V93" s="113">
        <f t="shared" si="39"/>
        <v>0</v>
      </c>
      <c r="W93" s="113">
        <f t="shared" si="39"/>
        <v>0</v>
      </c>
      <c r="X93" s="113">
        <f t="shared" si="39"/>
        <v>0</v>
      </c>
      <c r="AA93" s="113">
        <v>35</v>
      </c>
      <c r="AB93" s="112">
        <f t="shared" ca="1" si="40"/>
        <v>0</v>
      </c>
      <c r="AC93" s="428">
        <f t="shared" ca="1" si="40"/>
        <v>0</v>
      </c>
      <c r="AD93" t="s">
        <v>514</v>
      </c>
      <c r="AF93" s="114">
        <f t="shared" ca="1" si="16"/>
        <v>13285.98</v>
      </c>
      <c r="AG93" s="114">
        <f t="shared" ca="1" si="16"/>
        <v>0</v>
      </c>
      <c r="AH93" s="114">
        <f t="shared" ca="1" si="16"/>
        <v>0</v>
      </c>
      <c r="AI93" s="114">
        <f t="shared" ca="1" si="16"/>
        <v>6384.11</v>
      </c>
      <c r="AJ93" s="114">
        <f t="shared" ca="1" si="16"/>
        <v>0</v>
      </c>
      <c r="AK93" s="114">
        <f t="shared" ca="1" si="16"/>
        <v>1639.17</v>
      </c>
      <c r="AN93">
        <f t="shared" si="6"/>
        <v>93</v>
      </c>
      <c r="AQ93" s="114">
        <f t="shared" ca="1" si="7"/>
        <v>1955.16</v>
      </c>
      <c r="AW93">
        <v>93</v>
      </c>
      <c r="BG93" s="114">
        <f t="shared" ca="1" si="4"/>
        <v>21625.25</v>
      </c>
      <c r="BI93">
        <f t="shared" si="5"/>
        <v>0</v>
      </c>
    </row>
    <row r="94" spans="1:61" x14ac:dyDescent="0.25">
      <c r="A94" s="113">
        <f>A87+20</f>
        <v>600</v>
      </c>
      <c r="B94" s="113" t="str">
        <f>B87</f>
        <v>a</v>
      </c>
      <c r="C94" s="113" t="str">
        <f t="shared" ref="C94:X94" si="41">C87</f>
        <v>b</v>
      </c>
      <c r="D94" s="113" t="str">
        <f t="shared" si="41"/>
        <v>c</v>
      </c>
      <c r="E94" s="113" t="str">
        <f t="shared" si="41"/>
        <v>d</v>
      </c>
      <c r="F94" s="113" t="str">
        <f t="shared" si="41"/>
        <v>e</v>
      </c>
      <c r="G94" s="113" t="str">
        <f t="shared" si="41"/>
        <v>f</v>
      </c>
      <c r="H94" s="113" t="str">
        <f t="shared" si="41"/>
        <v>g</v>
      </c>
      <c r="I94" s="113" t="str">
        <f t="shared" si="41"/>
        <v>h</v>
      </c>
      <c r="J94" s="113" t="str">
        <f t="shared" si="41"/>
        <v>i</v>
      </c>
      <c r="K94" s="113" t="str">
        <f t="shared" si="41"/>
        <v>j</v>
      </c>
      <c r="L94" s="113" t="str">
        <f t="shared" si="41"/>
        <v>k</v>
      </c>
      <c r="M94" s="113" t="str">
        <f t="shared" si="41"/>
        <v>l</v>
      </c>
      <c r="N94" s="113" t="str">
        <f t="shared" si="41"/>
        <v>m</v>
      </c>
      <c r="O94" s="113">
        <f t="shared" si="41"/>
        <v>0</v>
      </c>
      <c r="P94" s="113">
        <f t="shared" si="41"/>
        <v>0</v>
      </c>
      <c r="Q94" s="113" t="str">
        <f t="shared" si="41"/>
        <v>p</v>
      </c>
      <c r="R94" s="113">
        <f t="shared" si="41"/>
        <v>0</v>
      </c>
      <c r="S94" s="113">
        <f t="shared" si="41"/>
        <v>0</v>
      </c>
      <c r="T94" s="113">
        <f t="shared" si="41"/>
        <v>0</v>
      </c>
      <c r="U94" s="113">
        <f t="shared" si="41"/>
        <v>0</v>
      </c>
      <c r="V94" s="113">
        <f t="shared" si="41"/>
        <v>0</v>
      </c>
      <c r="W94" s="113">
        <f t="shared" si="41"/>
        <v>0</v>
      </c>
      <c r="X94" s="113">
        <f t="shared" si="41"/>
        <v>0</v>
      </c>
      <c r="AA94" s="113">
        <v>0</v>
      </c>
      <c r="AB94" s="112">
        <f ca="1">INDIRECT(CONCATENATE($AB$10,CONCATENATE(B94,$A94)))</f>
        <v>37622</v>
      </c>
      <c r="AC94" s="428">
        <f ca="1">INDIRECT(CONCATENATE($AB$10,CONCATENATE(C94,$A94)))</f>
        <v>37986</v>
      </c>
      <c r="AD94" t="s">
        <v>515</v>
      </c>
      <c r="AF94" s="114">
        <f t="shared" ca="1" si="16"/>
        <v>10319.39</v>
      </c>
      <c r="AG94" s="114">
        <f ca="1">INDIRECT(CONCATENATE($AB$10,CONCATENATE(G94,$A94)))</f>
        <v>0</v>
      </c>
      <c r="AH94" s="114">
        <f ca="1">INDIRECT(CONCATENATE($AB$10,CONCATENATE(H94,$A94)))</f>
        <v>0</v>
      </c>
      <c r="AI94" s="114">
        <f ca="1">INDIRECT(CONCATENATE($AB$10,CONCATENATE(I94,$A94)))</f>
        <v>6384.11</v>
      </c>
      <c r="AJ94" s="114">
        <f ca="1">INDIRECT(CONCATENATE($AB$10,CONCATENATE(J94,$A94)))</f>
        <v>0</v>
      </c>
      <c r="AK94" s="114">
        <f ca="1">INDIRECT(CONCATENATE($AB$10,CONCATENATE(K94,$A94)))</f>
        <v>1391.96</v>
      </c>
      <c r="AN94">
        <f t="shared" si="6"/>
        <v>94</v>
      </c>
      <c r="AQ94" s="114">
        <f t="shared" ca="1" si="7"/>
        <v>1710.6</v>
      </c>
      <c r="AW94">
        <v>94</v>
      </c>
      <c r="BG94" s="114">
        <f t="shared" ca="1" si="4"/>
        <v>18414.099999999999</v>
      </c>
      <c r="BI94">
        <f t="shared" si="5"/>
        <v>0</v>
      </c>
    </row>
    <row r="95" spans="1:61" x14ac:dyDescent="0.25">
      <c r="A95" s="113">
        <f t="shared" ref="A95:A100" si="42">A94+2</f>
        <v>602</v>
      </c>
      <c r="B95" s="113" t="str">
        <f t="shared" ref="B95:X100" si="43">B94</f>
        <v>a</v>
      </c>
      <c r="C95" s="113" t="str">
        <f t="shared" si="43"/>
        <v>b</v>
      </c>
      <c r="D95" s="113" t="str">
        <f t="shared" si="43"/>
        <v>c</v>
      </c>
      <c r="E95" s="113" t="str">
        <f t="shared" si="43"/>
        <v>d</v>
      </c>
      <c r="F95" s="113" t="str">
        <f t="shared" si="43"/>
        <v>e</v>
      </c>
      <c r="G95" s="113" t="str">
        <f t="shared" si="43"/>
        <v>f</v>
      </c>
      <c r="H95" s="113" t="str">
        <f t="shared" si="43"/>
        <v>g</v>
      </c>
      <c r="I95" s="113" t="str">
        <f t="shared" si="43"/>
        <v>h</v>
      </c>
      <c r="J95" s="113" t="str">
        <f t="shared" si="43"/>
        <v>i</v>
      </c>
      <c r="K95" s="113" t="str">
        <f t="shared" si="43"/>
        <v>j</v>
      </c>
      <c r="L95" s="113" t="str">
        <f t="shared" si="43"/>
        <v>k</v>
      </c>
      <c r="M95" s="113" t="str">
        <f t="shared" si="43"/>
        <v>l</v>
      </c>
      <c r="N95" s="113" t="str">
        <f t="shared" si="43"/>
        <v>m</v>
      </c>
      <c r="O95" s="113">
        <f t="shared" si="43"/>
        <v>0</v>
      </c>
      <c r="P95" s="113">
        <f t="shared" si="43"/>
        <v>0</v>
      </c>
      <c r="Q95" s="113" t="str">
        <f t="shared" si="43"/>
        <v>p</v>
      </c>
      <c r="R95" s="113">
        <f t="shared" si="43"/>
        <v>0</v>
      </c>
      <c r="S95" s="113">
        <f t="shared" si="43"/>
        <v>0</v>
      </c>
      <c r="T95" s="113">
        <f t="shared" si="43"/>
        <v>0</v>
      </c>
      <c r="U95" s="113">
        <f t="shared" si="43"/>
        <v>0</v>
      </c>
      <c r="V95" s="113">
        <f t="shared" si="43"/>
        <v>0</v>
      </c>
      <c r="W95" s="113">
        <f t="shared" si="43"/>
        <v>0</v>
      </c>
      <c r="X95" s="113">
        <f t="shared" si="43"/>
        <v>0</v>
      </c>
      <c r="AA95" s="113">
        <v>3</v>
      </c>
      <c r="AB95" s="112">
        <f t="shared" ref="AB95:AC100" ca="1" si="44">AB94</f>
        <v>37622</v>
      </c>
      <c r="AC95" s="428">
        <f t="shared" ca="1" si="44"/>
        <v>37986</v>
      </c>
      <c r="AD95" t="s">
        <v>516</v>
      </c>
      <c r="AF95" s="114">
        <f t="shared" ca="1" si="16"/>
        <v>10770.64</v>
      </c>
      <c r="AG95" s="114">
        <f t="shared" ca="1" si="16"/>
        <v>0</v>
      </c>
      <c r="AH95" s="114">
        <f t="shared" ref="AH95:AK100" ca="1" si="45">INDIRECT(CONCATENATE($AB$10,CONCATENATE(H95,$A95)))</f>
        <v>0</v>
      </c>
      <c r="AI95" s="114">
        <f t="shared" ca="1" si="45"/>
        <v>6384.11</v>
      </c>
      <c r="AJ95" s="114">
        <f t="shared" ca="1" si="45"/>
        <v>0</v>
      </c>
      <c r="AK95" s="114">
        <f t="shared" ca="1" si="45"/>
        <v>1429.56</v>
      </c>
      <c r="AN95">
        <f t="shared" si="6"/>
        <v>95</v>
      </c>
      <c r="AQ95" s="114">
        <f t="shared" ca="1" si="7"/>
        <v>1710.6</v>
      </c>
      <c r="AW95">
        <v>95</v>
      </c>
      <c r="BG95" s="114">
        <f t="shared" ca="1" si="4"/>
        <v>18865.349999999999</v>
      </c>
      <c r="BI95">
        <f t="shared" si="5"/>
        <v>0</v>
      </c>
    </row>
    <row r="96" spans="1:61" x14ac:dyDescent="0.25">
      <c r="A96" s="113">
        <f t="shared" si="42"/>
        <v>604</v>
      </c>
      <c r="B96" s="113" t="str">
        <f t="shared" si="43"/>
        <v>a</v>
      </c>
      <c r="C96" s="113" t="str">
        <f t="shared" si="43"/>
        <v>b</v>
      </c>
      <c r="D96" s="113" t="str">
        <f t="shared" si="43"/>
        <v>c</v>
      </c>
      <c r="E96" s="113" t="str">
        <f t="shared" si="43"/>
        <v>d</v>
      </c>
      <c r="F96" s="113" t="str">
        <f t="shared" si="43"/>
        <v>e</v>
      </c>
      <c r="G96" s="113" t="str">
        <f t="shared" si="43"/>
        <v>f</v>
      </c>
      <c r="H96" s="113" t="str">
        <f t="shared" si="43"/>
        <v>g</v>
      </c>
      <c r="I96" s="113" t="str">
        <f t="shared" si="43"/>
        <v>h</v>
      </c>
      <c r="J96" s="113" t="str">
        <f t="shared" si="43"/>
        <v>i</v>
      </c>
      <c r="K96" s="113" t="str">
        <f t="shared" si="43"/>
        <v>j</v>
      </c>
      <c r="L96" s="113" t="str">
        <f t="shared" si="43"/>
        <v>k</v>
      </c>
      <c r="M96" s="113" t="str">
        <f t="shared" si="43"/>
        <v>l</v>
      </c>
      <c r="N96" s="113" t="str">
        <f t="shared" si="43"/>
        <v>m</v>
      </c>
      <c r="O96" s="113">
        <f t="shared" si="43"/>
        <v>0</v>
      </c>
      <c r="P96" s="113">
        <f t="shared" si="43"/>
        <v>0</v>
      </c>
      <c r="Q96" s="113" t="str">
        <f t="shared" si="43"/>
        <v>p</v>
      </c>
      <c r="R96" s="113">
        <f t="shared" si="43"/>
        <v>0</v>
      </c>
      <c r="S96" s="113">
        <f t="shared" si="43"/>
        <v>0</v>
      </c>
      <c r="T96" s="113">
        <f t="shared" si="43"/>
        <v>0</v>
      </c>
      <c r="U96" s="113">
        <f t="shared" si="43"/>
        <v>0</v>
      </c>
      <c r="V96" s="113">
        <f t="shared" si="43"/>
        <v>0</v>
      </c>
      <c r="W96" s="113">
        <f t="shared" si="43"/>
        <v>0</v>
      </c>
      <c r="X96" s="113">
        <f t="shared" si="43"/>
        <v>0</v>
      </c>
      <c r="AA96" s="113">
        <v>9</v>
      </c>
      <c r="AB96" s="112">
        <f t="shared" ca="1" si="44"/>
        <v>37622</v>
      </c>
      <c r="AC96" s="428">
        <f t="shared" ca="1" si="44"/>
        <v>37986</v>
      </c>
      <c r="AD96" t="s">
        <v>510</v>
      </c>
      <c r="AF96" s="114">
        <f t="shared" ref="AF96:AK147" ca="1" si="46">INDIRECT(CONCATENATE($AB$10,CONCATENATE(F96,$A96)))</f>
        <v>12160.33</v>
      </c>
      <c r="AG96" s="114">
        <f t="shared" ca="1" si="46"/>
        <v>0</v>
      </c>
      <c r="AH96" s="114">
        <f t="shared" ca="1" si="45"/>
        <v>0</v>
      </c>
      <c r="AI96" s="114">
        <f t="shared" ca="1" si="45"/>
        <v>6384.11</v>
      </c>
      <c r="AJ96" s="114">
        <f t="shared" ca="1" si="45"/>
        <v>0</v>
      </c>
      <c r="AK96" s="114">
        <f t="shared" ca="1" si="45"/>
        <v>1545.37</v>
      </c>
      <c r="AN96">
        <f t="shared" si="6"/>
        <v>96</v>
      </c>
      <c r="AQ96" s="114">
        <f t="shared" ca="1" si="7"/>
        <v>1710.6</v>
      </c>
      <c r="AW96">
        <v>96</v>
      </c>
      <c r="BG96" s="114">
        <f t="shared" ref="BG96:BG159" ca="1" si="47">AF96+AG96+AH96+AI96+AJ96+AQ96</f>
        <v>20255.039999999997</v>
      </c>
      <c r="BI96">
        <f t="shared" ref="BI96:BI159" si="48">AE96</f>
        <v>0</v>
      </c>
    </row>
    <row r="97" spans="1:61" x14ac:dyDescent="0.25">
      <c r="A97" s="113">
        <f t="shared" si="42"/>
        <v>606</v>
      </c>
      <c r="B97" s="113" t="str">
        <f t="shared" si="43"/>
        <v>a</v>
      </c>
      <c r="C97" s="113" t="str">
        <f t="shared" si="43"/>
        <v>b</v>
      </c>
      <c r="D97" s="113" t="str">
        <f t="shared" si="43"/>
        <v>c</v>
      </c>
      <c r="E97" s="113" t="str">
        <f t="shared" si="43"/>
        <v>d</v>
      </c>
      <c r="F97" s="113" t="str">
        <f t="shared" si="43"/>
        <v>e</v>
      </c>
      <c r="G97" s="113" t="str">
        <f t="shared" si="43"/>
        <v>f</v>
      </c>
      <c r="H97" s="113" t="str">
        <f t="shared" si="43"/>
        <v>g</v>
      </c>
      <c r="I97" s="113" t="str">
        <f t="shared" si="43"/>
        <v>h</v>
      </c>
      <c r="J97" s="113" t="str">
        <f t="shared" si="43"/>
        <v>i</v>
      </c>
      <c r="K97" s="113" t="str">
        <f t="shared" si="43"/>
        <v>j</v>
      </c>
      <c r="L97" s="113" t="str">
        <f t="shared" si="43"/>
        <v>k</v>
      </c>
      <c r="M97" s="113" t="str">
        <f t="shared" si="43"/>
        <v>l</v>
      </c>
      <c r="N97" s="113" t="str">
        <f t="shared" si="43"/>
        <v>m</v>
      </c>
      <c r="O97" s="113">
        <f t="shared" si="43"/>
        <v>0</v>
      </c>
      <c r="P97" s="113">
        <f t="shared" si="43"/>
        <v>0</v>
      </c>
      <c r="Q97" s="113" t="str">
        <f t="shared" si="43"/>
        <v>p</v>
      </c>
      <c r="R97" s="113">
        <f t="shared" si="43"/>
        <v>0</v>
      </c>
      <c r="S97" s="113">
        <f t="shared" si="43"/>
        <v>0</v>
      </c>
      <c r="T97" s="113">
        <f t="shared" si="43"/>
        <v>0</v>
      </c>
      <c r="U97" s="113">
        <f t="shared" si="43"/>
        <v>0</v>
      </c>
      <c r="V97" s="113">
        <f t="shared" si="43"/>
        <v>0</v>
      </c>
      <c r="W97" s="113">
        <f t="shared" si="43"/>
        <v>0</v>
      </c>
      <c r="X97" s="113">
        <f t="shared" si="43"/>
        <v>0</v>
      </c>
      <c r="AA97" s="113">
        <v>15</v>
      </c>
      <c r="AB97" s="112">
        <f t="shared" ca="1" si="44"/>
        <v>37622</v>
      </c>
      <c r="AC97" s="428">
        <f t="shared" ca="1" si="44"/>
        <v>37986</v>
      </c>
      <c r="AD97" t="s">
        <v>511</v>
      </c>
      <c r="AF97" s="114">
        <f t="shared" ca="1" si="46"/>
        <v>13783.62</v>
      </c>
      <c r="AG97" s="114">
        <f t="shared" ca="1" si="46"/>
        <v>0</v>
      </c>
      <c r="AH97" s="114">
        <f t="shared" ca="1" si="45"/>
        <v>0</v>
      </c>
      <c r="AI97" s="114">
        <f t="shared" ca="1" si="45"/>
        <v>6384.11</v>
      </c>
      <c r="AJ97" s="114">
        <f t="shared" ca="1" si="45"/>
        <v>0</v>
      </c>
      <c r="AK97" s="114">
        <f t="shared" ca="1" si="45"/>
        <v>1680.64</v>
      </c>
      <c r="AN97">
        <f t="shared" ref="AN97:AN160" si="49">AN96+1</f>
        <v>97</v>
      </c>
      <c r="AQ97" s="114">
        <f t="shared" ref="AQ97:AQ160" ca="1" si="50">INDIRECT(CONCATENATE($AB$10,CONCATENATE(Q97,$A97)))</f>
        <v>2111.16</v>
      </c>
      <c r="AW97">
        <v>97</v>
      </c>
      <c r="BG97" s="114">
        <f t="shared" ca="1" si="47"/>
        <v>22278.89</v>
      </c>
      <c r="BI97">
        <f t="shared" si="48"/>
        <v>0</v>
      </c>
    </row>
    <row r="98" spans="1:61" x14ac:dyDescent="0.25">
      <c r="A98" s="113">
        <f t="shared" si="42"/>
        <v>608</v>
      </c>
      <c r="B98" s="113" t="str">
        <f t="shared" si="43"/>
        <v>a</v>
      </c>
      <c r="C98" s="113" t="str">
        <f t="shared" si="43"/>
        <v>b</v>
      </c>
      <c r="D98" s="113" t="str">
        <f t="shared" si="43"/>
        <v>c</v>
      </c>
      <c r="E98" s="113" t="str">
        <f t="shared" si="43"/>
        <v>d</v>
      </c>
      <c r="F98" s="113" t="str">
        <f t="shared" si="43"/>
        <v>e</v>
      </c>
      <c r="G98" s="113" t="str">
        <f t="shared" si="43"/>
        <v>f</v>
      </c>
      <c r="H98" s="113" t="str">
        <f t="shared" si="43"/>
        <v>g</v>
      </c>
      <c r="I98" s="113" t="str">
        <f t="shared" si="43"/>
        <v>h</v>
      </c>
      <c r="J98" s="113" t="str">
        <f t="shared" si="43"/>
        <v>i</v>
      </c>
      <c r="K98" s="113" t="str">
        <f t="shared" si="43"/>
        <v>j</v>
      </c>
      <c r="L98" s="113" t="str">
        <f t="shared" si="43"/>
        <v>k</v>
      </c>
      <c r="M98" s="113" t="str">
        <f t="shared" si="43"/>
        <v>l</v>
      </c>
      <c r="N98" s="113" t="str">
        <f t="shared" si="43"/>
        <v>m</v>
      </c>
      <c r="O98" s="113">
        <f t="shared" si="43"/>
        <v>0</v>
      </c>
      <c r="P98" s="113">
        <f t="shared" si="43"/>
        <v>0</v>
      </c>
      <c r="Q98" s="113" t="str">
        <f t="shared" si="43"/>
        <v>p</v>
      </c>
      <c r="R98" s="113">
        <f t="shared" si="43"/>
        <v>0</v>
      </c>
      <c r="S98" s="113">
        <f t="shared" si="43"/>
        <v>0</v>
      </c>
      <c r="T98" s="113">
        <f t="shared" si="43"/>
        <v>0</v>
      </c>
      <c r="U98" s="113">
        <f t="shared" si="43"/>
        <v>0</v>
      </c>
      <c r="V98" s="113">
        <f t="shared" si="43"/>
        <v>0</v>
      </c>
      <c r="W98" s="113">
        <f t="shared" si="43"/>
        <v>0</v>
      </c>
      <c r="X98" s="113">
        <f t="shared" si="43"/>
        <v>0</v>
      </c>
      <c r="AA98" s="113">
        <v>21</v>
      </c>
      <c r="AB98" s="112">
        <f t="shared" ca="1" si="44"/>
        <v>37622</v>
      </c>
      <c r="AC98" s="428">
        <f t="shared" ca="1" si="44"/>
        <v>37986</v>
      </c>
      <c r="AD98" t="s">
        <v>512</v>
      </c>
      <c r="AF98" s="114">
        <f t="shared" ca="1" si="46"/>
        <v>15359.06</v>
      </c>
      <c r="AG98" s="114">
        <f t="shared" ca="1" si="46"/>
        <v>0</v>
      </c>
      <c r="AH98" s="114">
        <f t="shared" ca="1" si="45"/>
        <v>0</v>
      </c>
      <c r="AI98" s="114">
        <f t="shared" ca="1" si="45"/>
        <v>6384.11</v>
      </c>
      <c r="AJ98" s="114">
        <f t="shared" ca="1" si="45"/>
        <v>0</v>
      </c>
      <c r="AK98" s="114">
        <f t="shared" ca="1" si="45"/>
        <v>1811.93</v>
      </c>
      <c r="AN98">
        <f t="shared" si="49"/>
        <v>98</v>
      </c>
      <c r="AQ98" s="114">
        <f t="shared" ca="1" si="50"/>
        <v>2111.16</v>
      </c>
      <c r="AW98">
        <v>98</v>
      </c>
      <c r="BG98" s="114">
        <f t="shared" ca="1" si="47"/>
        <v>23854.329999999998</v>
      </c>
      <c r="BI98">
        <f t="shared" si="48"/>
        <v>0</v>
      </c>
    </row>
    <row r="99" spans="1:61" x14ac:dyDescent="0.25">
      <c r="A99" s="113">
        <f t="shared" si="42"/>
        <v>610</v>
      </c>
      <c r="B99" s="113" t="str">
        <f t="shared" si="43"/>
        <v>a</v>
      </c>
      <c r="C99" s="113" t="str">
        <f t="shared" si="43"/>
        <v>b</v>
      </c>
      <c r="D99" s="113" t="str">
        <f t="shared" si="43"/>
        <v>c</v>
      </c>
      <c r="E99" s="113" t="str">
        <f t="shared" si="43"/>
        <v>d</v>
      </c>
      <c r="F99" s="113" t="str">
        <f t="shared" si="43"/>
        <v>e</v>
      </c>
      <c r="G99" s="113" t="str">
        <f t="shared" si="43"/>
        <v>f</v>
      </c>
      <c r="H99" s="113" t="str">
        <f t="shared" si="43"/>
        <v>g</v>
      </c>
      <c r="I99" s="113" t="str">
        <f t="shared" si="43"/>
        <v>h</v>
      </c>
      <c r="J99" s="113" t="str">
        <f t="shared" si="43"/>
        <v>i</v>
      </c>
      <c r="K99" s="113" t="str">
        <f t="shared" si="43"/>
        <v>j</v>
      </c>
      <c r="L99" s="113" t="str">
        <f t="shared" si="43"/>
        <v>k</v>
      </c>
      <c r="M99" s="113" t="str">
        <f t="shared" si="43"/>
        <v>l</v>
      </c>
      <c r="N99" s="113" t="str">
        <f t="shared" si="43"/>
        <v>m</v>
      </c>
      <c r="O99" s="113">
        <f t="shared" si="43"/>
        <v>0</v>
      </c>
      <c r="P99" s="113">
        <f t="shared" si="43"/>
        <v>0</v>
      </c>
      <c r="Q99" s="113" t="str">
        <f t="shared" si="43"/>
        <v>p</v>
      </c>
      <c r="R99" s="113">
        <f t="shared" si="43"/>
        <v>0</v>
      </c>
      <c r="S99" s="113">
        <f t="shared" si="43"/>
        <v>0</v>
      </c>
      <c r="T99" s="113">
        <f t="shared" si="43"/>
        <v>0</v>
      </c>
      <c r="U99" s="113">
        <f t="shared" si="43"/>
        <v>0</v>
      </c>
      <c r="V99" s="113">
        <f t="shared" si="43"/>
        <v>0</v>
      </c>
      <c r="W99" s="113">
        <f t="shared" si="43"/>
        <v>0</v>
      </c>
      <c r="X99" s="113">
        <f t="shared" si="43"/>
        <v>0</v>
      </c>
      <c r="AA99" s="113">
        <v>28</v>
      </c>
      <c r="AB99" s="112">
        <f t="shared" ca="1" si="44"/>
        <v>37622</v>
      </c>
      <c r="AC99" s="428">
        <f t="shared" ca="1" si="44"/>
        <v>37986</v>
      </c>
      <c r="AD99" t="s">
        <v>513</v>
      </c>
      <c r="AF99" s="114">
        <f t="shared" ca="1" si="46"/>
        <v>16913.509999999998</v>
      </c>
      <c r="AG99" s="114">
        <f t="shared" ca="1" si="46"/>
        <v>0</v>
      </c>
      <c r="AH99" s="114">
        <f t="shared" ca="1" si="45"/>
        <v>0</v>
      </c>
      <c r="AI99" s="114">
        <f t="shared" ca="1" si="45"/>
        <v>6384.11</v>
      </c>
      <c r="AJ99" s="114">
        <f t="shared" ca="1" si="45"/>
        <v>0</v>
      </c>
      <c r="AK99" s="114">
        <f t="shared" ca="1" si="45"/>
        <v>1941.47</v>
      </c>
      <c r="AN99">
        <f t="shared" si="49"/>
        <v>99</v>
      </c>
      <c r="AQ99" s="114">
        <f t="shared" ca="1" si="50"/>
        <v>2585.4</v>
      </c>
      <c r="AW99">
        <v>99</v>
      </c>
      <c r="BG99" s="114">
        <f t="shared" ca="1" si="47"/>
        <v>25883.02</v>
      </c>
      <c r="BI99">
        <f t="shared" si="48"/>
        <v>0</v>
      </c>
    </row>
    <row r="100" spans="1:61" x14ac:dyDescent="0.25">
      <c r="A100" s="113">
        <f t="shared" si="42"/>
        <v>612</v>
      </c>
      <c r="B100" s="113" t="str">
        <f t="shared" si="43"/>
        <v>a</v>
      </c>
      <c r="C100" s="113" t="str">
        <f t="shared" si="43"/>
        <v>b</v>
      </c>
      <c r="D100" s="113" t="str">
        <f t="shared" si="43"/>
        <v>c</v>
      </c>
      <c r="E100" s="113" t="str">
        <f t="shared" si="43"/>
        <v>d</v>
      </c>
      <c r="F100" s="113" t="str">
        <f t="shared" si="43"/>
        <v>e</v>
      </c>
      <c r="G100" s="113" t="str">
        <f t="shared" si="43"/>
        <v>f</v>
      </c>
      <c r="H100" s="113" t="str">
        <f t="shared" si="43"/>
        <v>g</v>
      </c>
      <c r="I100" s="113" t="str">
        <f t="shared" si="43"/>
        <v>h</v>
      </c>
      <c r="J100" s="113" t="str">
        <f t="shared" si="43"/>
        <v>i</v>
      </c>
      <c r="K100" s="113" t="str">
        <f t="shared" si="43"/>
        <v>j</v>
      </c>
      <c r="L100" s="113" t="str">
        <f t="shared" si="43"/>
        <v>k</v>
      </c>
      <c r="M100" s="113" t="str">
        <f t="shared" si="43"/>
        <v>l</v>
      </c>
      <c r="N100" s="113" t="str">
        <f t="shared" si="43"/>
        <v>m</v>
      </c>
      <c r="O100" s="113">
        <f t="shared" si="43"/>
        <v>0</v>
      </c>
      <c r="P100" s="113">
        <f t="shared" si="43"/>
        <v>0</v>
      </c>
      <c r="Q100" s="113" t="str">
        <f t="shared" si="43"/>
        <v>p</v>
      </c>
      <c r="R100" s="113">
        <f t="shared" si="43"/>
        <v>0</v>
      </c>
      <c r="S100" s="113">
        <f t="shared" si="43"/>
        <v>0</v>
      </c>
      <c r="T100" s="113">
        <f t="shared" si="43"/>
        <v>0</v>
      </c>
      <c r="U100" s="113">
        <f t="shared" si="43"/>
        <v>0</v>
      </c>
      <c r="V100" s="113">
        <f t="shared" si="43"/>
        <v>0</v>
      </c>
      <c r="W100" s="113">
        <f t="shared" si="43"/>
        <v>0</v>
      </c>
      <c r="X100" s="113">
        <f t="shared" si="43"/>
        <v>0</v>
      </c>
      <c r="AA100" s="113">
        <v>35</v>
      </c>
      <c r="AB100" s="112">
        <f t="shared" ca="1" si="44"/>
        <v>37622</v>
      </c>
      <c r="AC100" s="428">
        <f t="shared" ca="1" si="44"/>
        <v>37986</v>
      </c>
      <c r="AD100" t="s">
        <v>514</v>
      </c>
      <c r="AF100" s="114">
        <f t="shared" ca="1" si="46"/>
        <v>18070.88</v>
      </c>
      <c r="AG100" s="114">
        <f t="shared" ca="1" si="46"/>
        <v>0</v>
      </c>
      <c r="AH100" s="114">
        <f t="shared" ca="1" si="45"/>
        <v>0</v>
      </c>
      <c r="AI100" s="114">
        <f t="shared" ca="1" si="45"/>
        <v>6384.11</v>
      </c>
      <c r="AJ100" s="114">
        <f t="shared" ca="1" si="45"/>
        <v>0</v>
      </c>
      <c r="AK100" s="114">
        <f t="shared" ca="1" si="45"/>
        <v>2037.92</v>
      </c>
      <c r="AN100">
        <f t="shared" si="49"/>
        <v>100</v>
      </c>
      <c r="AQ100" s="114">
        <f t="shared" ca="1" si="50"/>
        <v>2585.4</v>
      </c>
      <c r="AW100">
        <v>100</v>
      </c>
      <c r="BG100" s="114">
        <f t="shared" ca="1" si="47"/>
        <v>27040.390000000003</v>
      </c>
      <c r="BI100">
        <f t="shared" si="48"/>
        <v>0</v>
      </c>
    </row>
    <row r="101" spans="1:61" x14ac:dyDescent="0.25">
      <c r="A101" s="113">
        <f>A94+20</f>
        <v>620</v>
      </c>
      <c r="B101" s="113" t="str">
        <f>B94</f>
        <v>a</v>
      </c>
      <c r="C101" s="113" t="str">
        <f t="shared" ref="C101:X101" si="51">C94</f>
        <v>b</v>
      </c>
      <c r="D101" s="113" t="str">
        <f t="shared" si="51"/>
        <v>c</v>
      </c>
      <c r="E101" s="113" t="str">
        <f t="shared" si="51"/>
        <v>d</v>
      </c>
      <c r="F101" s="113" t="str">
        <f t="shared" si="51"/>
        <v>e</v>
      </c>
      <c r="G101" s="113" t="str">
        <f t="shared" si="51"/>
        <v>f</v>
      </c>
      <c r="H101" s="113" t="str">
        <f t="shared" si="51"/>
        <v>g</v>
      </c>
      <c r="I101" s="113" t="str">
        <f t="shared" si="51"/>
        <v>h</v>
      </c>
      <c r="J101" s="113" t="str">
        <f t="shared" si="51"/>
        <v>i</v>
      </c>
      <c r="K101" s="113" t="str">
        <f t="shared" si="51"/>
        <v>j</v>
      </c>
      <c r="L101" s="113" t="str">
        <f t="shared" si="51"/>
        <v>k</v>
      </c>
      <c r="M101" s="113" t="str">
        <f t="shared" si="51"/>
        <v>l</v>
      </c>
      <c r="N101" s="113" t="str">
        <f t="shared" si="51"/>
        <v>m</v>
      </c>
      <c r="O101" s="113">
        <f t="shared" si="51"/>
        <v>0</v>
      </c>
      <c r="P101" s="113">
        <f t="shared" si="51"/>
        <v>0</v>
      </c>
      <c r="Q101" s="113" t="str">
        <f t="shared" si="51"/>
        <v>p</v>
      </c>
      <c r="R101" s="113">
        <f t="shared" si="51"/>
        <v>0</v>
      </c>
      <c r="S101" s="113">
        <f t="shared" si="51"/>
        <v>0</v>
      </c>
      <c r="T101" s="113">
        <f t="shared" si="51"/>
        <v>0</v>
      </c>
      <c r="U101" s="113">
        <f t="shared" si="51"/>
        <v>0</v>
      </c>
      <c r="V101" s="113">
        <f t="shared" si="51"/>
        <v>0</v>
      </c>
      <c r="W101" s="113">
        <f t="shared" si="51"/>
        <v>0</v>
      </c>
      <c r="X101" s="113">
        <f t="shared" si="51"/>
        <v>0</v>
      </c>
      <c r="AA101" s="113">
        <v>0</v>
      </c>
      <c r="AB101" s="112">
        <f ca="1">INDIRECT(CONCATENATE($AB$10,CONCATENATE(B101,$A101)))</f>
        <v>37987</v>
      </c>
      <c r="AC101" s="428">
        <f ca="1">INDIRECT(CONCATENATE($AB$10,CONCATENATE(C101,$A101)))</f>
        <v>38383</v>
      </c>
      <c r="AD101" t="s">
        <v>515</v>
      </c>
      <c r="AF101" s="114">
        <f t="shared" ca="1" si="46"/>
        <v>10723.07</v>
      </c>
      <c r="AG101" s="114">
        <f ca="1">INDIRECT(CONCATENATE($AB$10,CONCATENATE(G101,$A101)))</f>
        <v>0</v>
      </c>
      <c r="AH101" s="114">
        <f ca="1">INDIRECT(CONCATENATE($AB$10,CONCATENATE(H101,$A101)))</f>
        <v>0</v>
      </c>
      <c r="AI101" s="114">
        <f ca="1">INDIRECT(CONCATENATE($AB$10,CONCATENATE(I101,$A101)))</f>
        <v>6384.11</v>
      </c>
      <c r="AJ101" s="114">
        <f ca="1">INDIRECT(CONCATENATE($AB$10,CONCATENATE(J101,$A101)))</f>
        <v>0</v>
      </c>
      <c r="AK101" s="114">
        <f ca="1">INDIRECT(CONCATENATE($AB$10,CONCATENATE(K101,$A101)))</f>
        <v>1425.6</v>
      </c>
      <c r="AN101">
        <f t="shared" si="49"/>
        <v>101</v>
      </c>
      <c r="AQ101" s="114">
        <f t="shared" ca="1" si="50"/>
        <v>1857.84</v>
      </c>
      <c r="AW101">
        <v>101</v>
      </c>
      <c r="BG101" s="114">
        <f t="shared" ca="1" si="47"/>
        <v>18965.02</v>
      </c>
      <c r="BI101">
        <f t="shared" si="48"/>
        <v>0</v>
      </c>
    </row>
    <row r="102" spans="1:61" x14ac:dyDescent="0.25">
      <c r="A102" s="113">
        <f t="shared" ref="A102:A107" si="52">A101+2</f>
        <v>622</v>
      </c>
      <c r="B102" s="113" t="str">
        <f t="shared" ref="B102:X107" si="53">B101</f>
        <v>a</v>
      </c>
      <c r="C102" s="113" t="str">
        <f t="shared" si="53"/>
        <v>b</v>
      </c>
      <c r="D102" s="113" t="str">
        <f t="shared" si="53"/>
        <v>c</v>
      </c>
      <c r="E102" s="113" t="str">
        <f t="shared" si="53"/>
        <v>d</v>
      </c>
      <c r="F102" s="113" t="str">
        <f t="shared" si="53"/>
        <v>e</v>
      </c>
      <c r="G102" s="113" t="str">
        <f t="shared" si="53"/>
        <v>f</v>
      </c>
      <c r="H102" s="113" t="str">
        <f t="shared" si="53"/>
        <v>g</v>
      </c>
      <c r="I102" s="113" t="str">
        <f t="shared" si="53"/>
        <v>h</v>
      </c>
      <c r="J102" s="113" t="str">
        <f t="shared" si="53"/>
        <v>i</v>
      </c>
      <c r="K102" s="113" t="str">
        <f t="shared" si="53"/>
        <v>j</v>
      </c>
      <c r="L102" s="113" t="str">
        <f t="shared" si="53"/>
        <v>k</v>
      </c>
      <c r="M102" s="113" t="str">
        <f t="shared" si="53"/>
        <v>l</v>
      </c>
      <c r="N102" s="113" t="str">
        <f t="shared" si="53"/>
        <v>m</v>
      </c>
      <c r="O102" s="113">
        <f t="shared" si="53"/>
        <v>0</v>
      </c>
      <c r="P102" s="113">
        <f t="shared" si="53"/>
        <v>0</v>
      </c>
      <c r="Q102" s="113" t="str">
        <f t="shared" si="53"/>
        <v>p</v>
      </c>
      <c r="R102" s="113">
        <f t="shared" si="53"/>
        <v>0</v>
      </c>
      <c r="S102" s="113">
        <f t="shared" si="53"/>
        <v>0</v>
      </c>
      <c r="T102" s="113">
        <f t="shared" si="53"/>
        <v>0</v>
      </c>
      <c r="U102" s="113">
        <f t="shared" si="53"/>
        <v>0</v>
      </c>
      <c r="V102" s="113">
        <f t="shared" si="53"/>
        <v>0</v>
      </c>
      <c r="W102" s="113">
        <f t="shared" si="53"/>
        <v>0</v>
      </c>
      <c r="X102" s="113">
        <f t="shared" si="53"/>
        <v>0</v>
      </c>
      <c r="AA102" s="113">
        <v>3</v>
      </c>
      <c r="AB102" s="112">
        <f t="shared" ref="AB102:AC107" ca="1" si="54">AB101</f>
        <v>37987</v>
      </c>
      <c r="AC102" s="428">
        <f t="shared" ca="1" si="54"/>
        <v>38383</v>
      </c>
      <c r="AD102" t="s">
        <v>516</v>
      </c>
      <c r="AF102" s="114">
        <f t="shared" ca="1" si="46"/>
        <v>11185.24</v>
      </c>
      <c r="AG102" s="114">
        <f t="shared" ca="1" si="46"/>
        <v>0</v>
      </c>
      <c r="AH102" s="114">
        <f t="shared" ca="1" si="46"/>
        <v>0</v>
      </c>
      <c r="AI102" s="114">
        <f t="shared" ca="1" si="46"/>
        <v>6384.11</v>
      </c>
      <c r="AJ102" s="114">
        <f t="shared" ca="1" si="46"/>
        <v>0</v>
      </c>
      <c r="AK102" s="114">
        <f t="shared" ca="1" si="46"/>
        <v>1464.11</v>
      </c>
      <c r="AN102">
        <f t="shared" si="49"/>
        <v>102</v>
      </c>
      <c r="AQ102" s="114">
        <f t="shared" ca="1" si="50"/>
        <v>1857.84</v>
      </c>
      <c r="AW102">
        <v>102</v>
      </c>
      <c r="BG102" s="114">
        <f t="shared" ca="1" si="47"/>
        <v>19427.189999999999</v>
      </c>
      <c r="BI102">
        <f t="shared" si="48"/>
        <v>0</v>
      </c>
    </row>
    <row r="103" spans="1:61" x14ac:dyDescent="0.25">
      <c r="A103" s="113">
        <f t="shared" si="52"/>
        <v>624</v>
      </c>
      <c r="B103" s="113" t="str">
        <f t="shared" si="53"/>
        <v>a</v>
      </c>
      <c r="C103" s="113" t="str">
        <f t="shared" si="53"/>
        <v>b</v>
      </c>
      <c r="D103" s="113" t="str">
        <f t="shared" si="53"/>
        <v>c</v>
      </c>
      <c r="E103" s="113" t="str">
        <f t="shared" si="53"/>
        <v>d</v>
      </c>
      <c r="F103" s="113" t="str">
        <f t="shared" si="53"/>
        <v>e</v>
      </c>
      <c r="G103" s="113" t="str">
        <f t="shared" si="53"/>
        <v>f</v>
      </c>
      <c r="H103" s="113" t="str">
        <f t="shared" si="53"/>
        <v>g</v>
      </c>
      <c r="I103" s="113" t="str">
        <f t="shared" si="53"/>
        <v>h</v>
      </c>
      <c r="J103" s="113" t="str">
        <f t="shared" si="53"/>
        <v>i</v>
      </c>
      <c r="K103" s="113" t="str">
        <f t="shared" si="53"/>
        <v>j</v>
      </c>
      <c r="L103" s="113" t="str">
        <f t="shared" si="53"/>
        <v>k</v>
      </c>
      <c r="M103" s="113" t="str">
        <f t="shared" si="53"/>
        <v>l</v>
      </c>
      <c r="N103" s="113" t="str">
        <f t="shared" si="53"/>
        <v>m</v>
      </c>
      <c r="O103" s="113">
        <f t="shared" si="53"/>
        <v>0</v>
      </c>
      <c r="P103" s="113">
        <f t="shared" si="53"/>
        <v>0</v>
      </c>
      <c r="Q103" s="113" t="str">
        <f t="shared" si="53"/>
        <v>p</v>
      </c>
      <c r="R103" s="113">
        <f t="shared" si="53"/>
        <v>0</v>
      </c>
      <c r="S103" s="113">
        <f t="shared" si="53"/>
        <v>0</v>
      </c>
      <c r="T103" s="113">
        <f t="shared" si="53"/>
        <v>0</v>
      </c>
      <c r="U103" s="113">
        <f t="shared" si="53"/>
        <v>0</v>
      </c>
      <c r="V103" s="113">
        <f t="shared" si="53"/>
        <v>0</v>
      </c>
      <c r="W103" s="113">
        <f t="shared" si="53"/>
        <v>0</v>
      </c>
      <c r="X103" s="113">
        <f t="shared" si="53"/>
        <v>0</v>
      </c>
      <c r="AA103" s="113">
        <v>9</v>
      </c>
      <c r="AB103" s="112">
        <f t="shared" ca="1" si="54"/>
        <v>37987</v>
      </c>
      <c r="AC103" s="428">
        <f t="shared" ca="1" si="54"/>
        <v>38383</v>
      </c>
      <c r="AD103" t="s">
        <v>510</v>
      </c>
      <c r="AF103" s="114">
        <f t="shared" ca="1" si="46"/>
        <v>12608.53</v>
      </c>
      <c r="AG103" s="114">
        <f t="shared" ca="1" si="46"/>
        <v>0</v>
      </c>
      <c r="AH103" s="114">
        <f t="shared" ca="1" si="46"/>
        <v>0</v>
      </c>
      <c r="AI103" s="114">
        <f t="shared" ca="1" si="46"/>
        <v>6384.11</v>
      </c>
      <c r="AJ103" s="114">
        <f t="shared" ca="1" si="46"/>
        <v>0</v>
      </c>
      <c r="AK103" s="114">
        <f t="shared" ca="1" si="46"/>
        <v>1582.72</v>
      </c>
      <c r="AN103">
        <f t="shared" si="49"/>
        <v>103</v>
      </c>
      <c r="AQ103" s="114">
        <f t="shared" ca="1" si="50"/>
        <v>1857.84</v>
      </c>
      <c r="AW103">
        <v>103</v>
      </c>
      <c r="BG103" s="114">
        <f t="shared" ca="1" si="47"/>
        <v>20850.48</v>
      </c>
      <c r="BI103">
        <f t="shared" si="48"/>
        <v>0</v>
      </c>
    </row>
    <row r="104" spans="1:61" x14ac:dyDescent="0.25">
      <c r="A104" s="113">
        <f t="shared" si="52"/>
        <v>626</v>
      </c>
      <c r="B104" s="113" t="str">
        <f t="shared" si="53"/>
        <v>a</v>
      </c>
      <c r="C104" s="113" t="str">
        <f t="shared" si="53"/>
        <v>b</v>
      </c>
      <c r="D104" s="113" t="str">
        <f t="shared" si="53"/>
        <v>c</v>
      </c>
      <c r="E104" s="113" t="str">
        <f t="shared" si="53"/>
        <v>d</v>
      </c>
      <c r="F104" s="113" t="str">
        <f t="shared" si="53"/>
        <v>e</v>
      </c>
      <c r="G104" s="113" t="str">
        <f t="shared" si="53"/>
        <v>f</v>
      </c>
      <c r="H104" s="113" t="str">
        <f t="shared" si="53"/>
        <v>g</v>
      </c>
      <c r="I104" s="113" t="str">
        <f t="shared" si="53"/>
        <v>h</v>
      </c>
      <c r="J104" s="113" t="str">
        <f t="shared" si="53"/>
        <v>i</v>
      </c>
      <c r="K104" s="113" t="str">
        <f t="shared" si="53"/>
        <v>j</v>
      </c>
      <c r="L104" s="113" t="str">
        <f t="shared" si="53"/>
        <v>k</v>
      </c>
      <c r="M104" s="113" t="str">
        <f t="shared" si="53"/>
        <v>l</v>
      </c>
      <c r="N104" s="113" t="str">
        <f t="shared" si="53"/>
        <v>m</v>
      </c>
      <c r="O104" s="113">
        <f t="shared" si="53"/>
        <v>0</v>
      </c>
      <c r="P104" s="113">
        <f t="shared" si="53"/>
        <v>0</v>
      </c>
      <c r="Q104" s="113" t="str">
        <f t="shared" si="53"/>
        <v>p</v>
      </c>
      <c r="R104" s="113">
        <f t="shared" si="53"/>
        <v>0</v>
      </c>
      <c r="S104" s="113">
        <f t="shared" si="53"/>
        <v>0</v>
      </c>
      <c r="T104" s="113">
        <f t="shared" si="53"/>
        <v>0</v>
      </c>
      <c r="U104" s="113">
        <f t="shared" si="53"/>
        <v>0</v>
      </c>
      <c r="V104" s="113">
        <f t="shared" si="53"/>
        <v>0</v>
      </c>
      <c r="W104" s="113">
        <f t="shared" si="53"/>
        <v>0</v>
      </c>
      <c r="X104" s="113">
        <f t="shared" si="53"/>
        <v>0</v>
      </c>
      <c r="AA104" s="113">
        <v>15</v>
      </c>
      <c r="AB104" s="112">
        <f t="shared" ca="1" si="54"/>
        <v>37987</v>
      </c>
      <c r="AC104" s="428">
        <f t="shared" ca="1" si="54"/>
        <v>38383</v>
      </c>
      <c r="AD104" t="s">
        <v>511</v>
      </c>
      <c r="AF104" s="114">
        <f t="shared" ca="1" si="46"/>
        <v>14271.06</v>
      </c>
      <c r="AG104" s="114">
        <f t="shared" ca="1" si="46"/>
        <v>0</v>
      </c>
      <c r="AH104" s="114">
        <f t="shared" ca="1" si="46"/>
        <v>0</v>
      </c>
      <c r="AI104" s="114">
        <f t="shared" ca="1" si="46"/>
        <v>6384.11</v>
      </c>
      <c r="AJ104" s="114">
        <f t="shared" ca="1" si="46"/>
        <v>0</v>
      </c>
      <c r="AK104" s="114">
        <f t="shared" ca="1" si="46"/>
        <v>1721.26</v>
      </c>
      <c r="AN104">
        <f t="shared" si="49"/>
        <v>104</v>
      </c>
      <c r="AQ104" s="114">
        <f t="shared" ca="1" si="50"/>
        <v>2287.8000000000002</v>
      </c>
      <c r="AW104">
        <v>104</v>
      </c>
      <c r="BG104" s="114">
        <f t="shared" ca="1" si="47"/>
        <v>22942.969999999998</v>
      </c>
      <c r="BI104">
        <f t="shared" si="48"/>
        <v>0</v>
      </c>
    </row>
    <row r="105" spans="1:61" x14ac:dyDescent="0.25">
      <c r="A105" s="113">
        <f t="shared" si="52"/>
        <v>628</v>
      </c>
      <c r="B105" s="113" t="str">
        <f t="shared" si="53"/>
        <v>a</v>
      </c>
      <c r="C105" s="113" t="str">
        <f t="shared" si="53"/>
        <v>b</v>
      </c>
      <c r="D105" s="113" t="str">
        <f t="shared" si="53"/>
        <v>c</v>
      </c>
      <c r="E105" s="113" t="str">
        <f t="shared" si="53"/>
        <v>d</v>
      </c>
      <c r="F105" s="113" t="str">
        <f t="shared" si="53"/>
        <v>e</v>
      </c>
      <c r="G105" s="113" t="str">
        <f t="shared" si="53"/>
        <v>f</v>
      </c>
      <c r="H105" s="113" t="str">
        <f t="shared" si="53"/>
        <v>g</v>
      </c>
      <c r="I105" s="113" t="str">
        <f t="shared" si="53"/>
        <v>h</v>
      </c>
      <c r="J105" s="113" t="str">
        <f t="shared" si="53"/>
        <v>i</v>
      </c>
      <c r="K105" s="113" t="str">
        <f t="shared" si="53"/>
        <v>j</v>
      </c>
      <c r="L105" s="113" t="str">
        <f t="shared" si="53"/>
        <v>k</v>
      </c>
      <c r="M105" s="113" t="str">
        <f t="shared" si="53"/>
        <v>l</v>
      </c>
      <c r="N105" s="113" t="str">
        <f t="shared" si="53"/>
        <v>m</v>
      </c>
      <c r="O105" s="113">
        <f t="shared" si="53"/>
        <v>0</v>
      </c>
      <c r="P105" s="113">
        <f t="shared" si="53"/>
        <v>0</v>
      </c>
      <c r="Q105" s="113" t="str">
        <f t="shared" si="53"/>
        <v>p</v>
      </c>
      <c r="R105" s="113">
        <f t="shared" si="53"/>
        <v>0</v>
      </c>
      <c r="S105" s="113">
        <f t="shared" si="53"/>
        <v>0</v>
      </c>
      <c r="T105" s="113">
        <f t="shared" si="53"/>
        <v>0</v>
      </c>
      <c r="U105" s="113">
        <f t="shared" si="53"/>
        <v>0</v>
      </c>
      <c r="V105" s="113">
        <f t="shared" si="53"/>
        <v>0</v>
      </c>
      <c r="W105" s="113">
        <f t="shared" si="53"/>
        <v>0</v>
      </c>
      <c r="X105" s="113">
        <f t="shared" si="53"/>
        <v>0</v>
      </c>
      <c r="AA105" s="113">
        <v>21</v>
      </c>
      <c r="AB105" s="112">
        <f t="shared" ca="1" si="54"/>
        <v>37987</v>
      </c>
      <c r="AC105" s="428">
        <f t="shared" ca="1" si="54"/>
        <v>38383</v>
      </c>
      <c r="AD105" t="s">
        <v>512</v>
      </c>
      <c r="AF105" s="114">
        <f t="shared" ca="1" si="46"/>
        <v>15884.54</v>
      </c>
      <c r="AG105" s="114">
        <f t="shared" ca="1" si="46"/>
        <v>0</v>
      </c>
      <c r="AH105" s="114">
        <f t="shared" ca="1" si="46"/>
        <v>0</v>
      </c>
      <c r="AI105" s="114">
        <f t="shared" ca="1" si="46"/>
        <v>6384.11</v>
      </c>
      <c r="AJ105" s="114">
        <f t="shared" ca="1" si="46"/>
        <v>0</v>
      </c>
      <c r="AK105" s="114">
        <f t="shared" ca="1" si="46"/>
        <v>1855.72</v>
      </c>
      <c r="AN105">
        <f t="shared" si="49"/>
        <v>105</v>
      </c>
      <c r="AQ105" s="114">
        <f t="shared" ca="1" si="50"/>
        <v>2287.8000000000002</v>
      </c>
      <c r="AW105">
        <v>105</v>
      </c>
      <c r="BG105" s="114">
        <f t="shared" ca="1" si="47"/>
        <v>24556.45</v>
      </c>
      <c r="BI105">
        <f t="shared" si="48"/>
        <v>0</v>
      </c>
    </row>
    <row r="106" spans="1:61" x14ac:dyDescent="0.25">
      <c r="A106" s="113">
        <f t="shared" si="52"/>
        <v>630</v>
      </c>
      <c r="B106" s="113" t="str">
        <f t="shared" si="53"/>
        <v>a</v>
      </c>
      <c r="C106" s="113" t="str">
        <f t="shared" si="53"/>
        <v>b</v>
      </c>
      <c r="D106" s="113" t="str">
        <f t="shared" si="53"/>
        <v>c</v>
      </c>
      <c r="E106" s="113" t="str">
        <f t="shared" si="53"/>
        <v>d</v>
      </c>
      <c r="F106" s="113" t="str">
        <f t="shared" si="53"/>
        <v>e</v>
      </c>
      <c r="G106" s="113" t="str">
        <f t="shared" si="53"/>
        <v>f</v>
      </c>
      <c r="H106" s="113" t="str">
        <f t="shared" si="53"/>
        <v>g</v>
      </c>
      <c r="I106" s="113" t="str">
        <f t="shared" si="53"/>
        <v>h</v>
      </c>
      <c r="J106" s="113" t="str">
        <f t="shared" si="53"/>
        <v>i</v>
      </c>
      <c r="K106" s="113" t="str">
        <f t="shared" si="53"/>
        <v>j</v>
      </c>
      <c r="L106" s="113" t="str">
        <f t="shared" si="53"/>
        <v>k</v>
      </c>
      <c r="M106" s="113" t="str">
        <f t="shared" si="53"/>
        <v>l</v>
      </c>
      <c r="N106" s="113" t="str">
        <f t="shared" si="53"/>
        <v>m</v>
      </c>
      <c r="O106" s="113">
        <f t="shared" si="53"/>
        <v>0</v>
      </c>
      <c r="P106" s="113">
        <f t="shared" si="53"/>
        <v>0</v>
      </c>
      <c r="Q106" s="113" t="str">
        <f t="shared" si="53"/>
        <v>p</v>
      </c>
      <c r="R106" s="113">
        <f t="shared" si="53"/>
        <v>0</v>
      </c>
      <c r="S106" s="113">
        <f t="shared" si="53"/>
        <v>0</v>
      </c>
      <c r="T106" s="113">
        <f t="shared" si="53"/>
        <v>0</v>
      </c>
      <c r="U106" s="113">
        <f t="shared" si="53"/>
        <v>0</v>
      </c>
      <c r="V106" s="113">
        <f t="shared" si="53"/>
        <v>0</v>
      </c>
      <c r="W106" s="113">
        <f t="shared" si="53"/>
        <v>0</v>
      </c>
      <c r="X106" s="113">
        <f t="shared" si="53"/>
        <v>0</v>
      </c>
      <c r="AA106" s="113">
        <v>28</v>
      </c>
      <c r="AB106" s="112">
        <f t="shared" ca="1" si="54"/>
        <v>37987</v>
      </c>
      <c r="AC106" s="428">
        <f t="shared" ca="1" si="54"/>
        <v>38383</v>
      </c>
      <c r="AD106" t="s">
        <v>513</v>
      </c>
      <c r="AF106" s="114">
        <f t="shared" ca="1" si="46"/>
        <v>17476.55</v>
      </c>
      <c r="AG106" s="114">
        <f t="shared" ca="1" si="46"/>
        <v>0</v>
      </c>
      <c r="AH106" s="114">
        <f t="shared" ca="1" si="46"/>
        <v>0</v>
      </c>
      <c r="AI106" s="114">
        <f t="shared" ca="1" si="46"/>
        <v>6384.11</v>
      </c>
      <c r="AJ106" s="114">
        <f t="shared" ca="1" si="46"/>
        <v>0</v>
      </c>
      <c r="AK106" s="114">
        <f t="shared" ca="1" si="46"/>
        <v>1988.39</v>
      </c>
      <c r="AN106">
        <f t="shared" si="49"/>
        <v>106</v>
      </c>
      <c r="AQ106" s="114">
        <f t="shared" ca="1" si="50"/>
        <v>2870.04</v>
      </c>
      <c r="AW106">
        <v>106</v>
      </c>
      <c r="BG106" s="114">
        <f t="shared" ca="1" si="47"/>
        <v>26730.7</v>
      </c>
      <c r="BI106">
        <f t="shared" si="48"/>
        <v>0</v>
      </c>
    </row>
    <row r="107" spans="1:61" x14ac:dyDescent="0.25">
      <c r="A107" s="113">
        <f t="shared" si="52"/>
        <v>632</v>
      </c>
      <c r="B107" s="113" t="str">
        <f t="shared" si="53"/>
        <v>a</v>
      </c>
      <c r="C107" s="113" t="str">
        <f t="shared" si="53"/>
        <v>b</v>
      </c>
      <c r="D107" s="113" t="str">
        <f t="shared" si="53"/>
        <v>c</v>
      </c>
      <c r="E107" s="113" t="str">
        <f t="shared" si="53"/>
        <v>d</v>
      </c>
      <c r="F107" s="113" t="str">
        <f t="shared" si="53"/>
        <v>e</v>
      </c>
      <c r="G107" s="113" t="str">
        <f t="shared" si="53"/>
        <v>f</v>
      </c>
      <c r="H107" s="113" t="str">
        <f t="shared" si="53"/>
        <v>g</v>
      </c>
      <c r="I107" s="113" t="str">
        <f t="shared" si="53"/>
        <v>h</v>
      </c>
      <c r="J107" s="113" t="str">
        <f t="shared" si="53"/>
        <v>i</v>
      </c>
      <c r="K107" s="113" t="str">
        <f t="shared" si="53"/>
        <v>j</v>
      </c>
      <c r="L107" s="113" t="str">
        <f t="shared" si="53"/>
        <v>k</v>
      </c>
      <c r="M107" s="113" t="str">
        <f t="shared" si="53"/>
        <v>l</v>
      </c>
      <c r="N107" s="113" t="str">
        <f t="shared" si="53"/>
        <v>m</v>
      </c>
      <c r="O107" s="113">
        <f t="shared" si="53"/>
        <v>0</v>
      </c>
      <c r="P107" s="113">
        <f t="shared" si="53"/>
        <v>0</v>
      </c>
      <c r="Q107" s="113" t="str">
        <f t="shared" si="53"/>
        <v>p</v>
      </c>
      <c r="R107" s="113">
        <f t="shared" si="53"/>
        <v>0</v>
      </c>
      <c r="S107" s="113">
        <f t="shared" si="53"/>
        <v>0</v>
      </c>
      <c r="T107" s="113">
        <f t="shared" si="53"/>
        <v>0</v>
      </c>
      <c r="U107" s="113">
        <f t="shared" si="53"/>
        <v>0</v>
      </c>
      <c r="V107" s="113">
        <f t="shared" si="53"/>
        <v>0</v>
      </c>
      <c r="W107" s="113">
        <f t="shared" si="53"/>
        <v>0</v>
      </c>
      <c r="X107" s="113">
        <f t="shared" si="53"/>
        <v>0</v>
      </c>
      <c r="AA107" s="113">
        <v>35</v>
      </c>
      <c r="AB107" s="112">
        <f t="shared" ca="1" si="54"/>
        <v>37987</v>
      </c>
      <c r="AC107" s="428">
        <f t="shared" ca="1" si="54"/>
        <v>38383</v>
      </c>
      <c r="AD107" t="s">
        <v>514</v>
      </c>
      <c r="AF107" s="114">
        <f t="shared" ca="1" si="46"/>
        <v>18662</v>
      </c>
      <c r="AG107" s="114">
        <f t="shared" ca="1" si="46"/>
        <v>0</v>
      </c>
      <c r="AH107" s="114">
        <f t="shared" ca="1" si="46"/>
        <v>0</v>
      </c>
      <c r="AI107" s="114">
        <f t="shared" ca="1" si="46"/>
        <v>6384.11</v>
      </c>
      <c r="AJ107" s="114">
        <f t="shared" ca="1" si="46"/>
        <v>0</v>
      </c>
      <c r="AK107" s="114">
        <f t="shared" ca="1" si="46"/>
        <v>2087.1799999999998</v>
      </c>
      <c r="AN107">
        <f t="shared" si="49"/>
        <v>107</v>
      </c>
      <c r="AQ107" s="114">
        <f t="shared" ca="1" si="50"/>
        <v>2870.04</v>
      </c>
      <c r="AW107">
        <v>107</v>
      </c>
      <c r="BG107" s="114">
        <f t="shared" ca="1" si="47"/>
        <v>27916.15</v>
      </c>
      <c r="BI107">
        <f t="shared" si="48"/>
        <v>0</v>
      </c>
    </row>
    <row r="108" spans="1:61" x14ac:dyDescent="0.25">
      <c r="A108" s="113">
        <f>A101+20</f>
        <v>640</v>
      </c>
      <c r="B108" s="113" t="str">
        <f>B101</f>
        <v>a</v>
      </c>
      <c r="C108" s="113" t="str">
        <f t="shared" ref="C108:X108" si="55">C101</f>
        <v>b</v>
      </c>
      <c r="D108" s="113" t="str">
        <f t="shared" si="55"/>
        <v>c</v>
      </c>
      <c r="E108" s="113" t="str">
        <f t="shared" si="55"/>
        <v>d</v>
      </c>
      <c r="F108" s="113" t="str">
        <f t="shared" si="55"/>
        <v>e</v>
      </c>
      <c r="G108" s="113" t="str">
        <f t="shared" si="55"/>
        <v>f</v>
      </c>
      <c r="H108" s="113" t="str">
        <f t="shared" si="55"/>
        <v>g</v>
      </c>
      <c r="I108" s="113" t="str">
        <f t="shared" si="55"/>
        <v>h</v>
      </c>
      <c r="J108" s="113" t="str">
        <f t="shared" si="55"/>
        <v>i</v>
      </c>
      <c r="K108" s="113" t="str">
        <f t="shared" si="55"/>
        <v>j</v>
      </c>
      <c r="L108" s="113" t="str">
        <f t="shared" si="55"/>
        <v>k</v>
      </c>
      <c r="M108" s="113" t="str">
        <f t="shared" si="55"/>
        <v>l</v>
      </c>
      <c r="N108" s="113" t="str">
        <f t="shared" si="55"/>
        <v>m</v>
      </c>
      <c r="O108" s="113">
        <f t="shared" si="55"/>
        <v>0</v>
      </c>
      <c r="P108" s="113">
        <f t="shared" si="55"/>
        <v>0</v>
      </c>
      <c r="Q108" s="113" t="str">
        <f t="shared" si="55"/>
        <v>p</v>
      </c>
      <c r="R108" s="113">
        <f t="shared" si="55"/>
        <v>0</v>
      </c>
      <c r="S108" s="113">
        <f t="shared" si="55"/>
        <v>0</v>
      </c>
      <c r="T108" s="113">
        <f t="shared" si="55"/>
        <v>0</v>
      </c>
      <c r="U108" s="113">
        <f t="shared" si="55"/>
        <v>0</v>
      </c>
      <c r="V108" s="113">
        <f t="shared" si="55"/>
        <v>0</v>
      </c>
      <c r="W108" s="113">
        <f t="shared" si="55"/>
        <v>0</v>
      </c>
      <c r="X108" s="113">
        <f t="shared" si="55"/>
        <v>0</v>
      </c>
      <c r="AA108" s="113">
        <v>0</v>
      </c>
      <c r="AB108" s="112">
        <f ca="1">INDIRECT(CONCATENATE($AB$10,CONCATENATE(B108,$A108)))</f>
        <v>38384</v>
      </c>
      <c r="AC108" s="428">
        <f ca="1">INDIRECT(CONCATENATE($AB$10,CONCATENATE(C108,$A108)))</f>
        <v>38717</v>
      </c>
      <c r="AD108" t="s">
        <v>515</v>
      </c>
      <c r="AF108" s="114">
        <f t="shared" ca="1" si="46"/>
        <v>11198.03</v>
      </c>
      <c r="AG108" s="114">
        <f ca="1">INDIRECT(CONCATENATE($AB$10,CONCATENATE(G108,$A108)))</f>
        <v>0</v>
      </c>
      <c r="AH108" s="114">
        <f ca="1">INDIRECT(CONCATENATE($AB$10,CONCATENATE(H108,$A108)))</f>
        <v>0</v>
      </c>
      <c r="AI108" s="114">
        <f ca="1">INDIRECT(CONCATENATE($AB$10,CONCATENATE(I108,$A108)))</f>
        <v>6384.11</v>
      </c>
      <c r="AJ108" s="114">
        <f ca="1">INDIRECT(CONCATENATE($AB$10,CONCATENATE(J108,$A108)))</f>
        <v>0</v>
      </c>
      <c r="AK108" s="114">
        <f ca="1">INDIRECT(CONCATENATE($AB$10,CONCATENATE(K108,$A108)))</f>
        <v>1465.18</v>
      </c>
      <c r="AN108">
        <f t="shared" si="49"/>
        <v>108</v>
      </c>
      <c r="AQ108" s="114">
        <f t="shared" ca="1" si="50"/>
        <v>1857.84</v>
      </c>
      <c r="AW108">
        <v>108</v>
      </c>
      <c r="BG108" s="114">
        <f t="shared" ca="1" si="47"/>
        <v>19439.98</v>
      </c>
      <c r="BI108">
        <f t="shared" si="48"/>
        <v>0</v>
      </c>
    </row>
    <row r="109" spans="1:61" x14ac:dyDescent="0.25">
      <c r="A109" s="113">
        <f t="shared" ref="A109:A114" si="56">A108+2</f>
        <v>642</v>
      </c>
      <c r="B109" s="113" t="str">
        <f t="shared" ref="B109:X114" si="57">B108</f>
        <v>a</v>
      </c>
      <c r="C109" s="113" t="str">
        <f t="shared" si="57"/>
        <v>b</v>
      </c>
      <c r="D109" s="113" t="str">
        <f t="shared" si="57"/>
        <v>c</v>
      </c>
      <c r="E109" s="113" t="str">
        <f t="shared" si="57"/>
        <v>d</v>
      </c>
      <c r="F109" s="113" t="str">
        <f t="shared" si="57"/>
        <v>e</v>
      </c>
      <c r="G109" s="113" t="str">
        <f t="shared" si="57"/>
        <v>f</v>
      </c>
      <c r="H109" s="113" t="str">
        <f t="shared" si="57"/>
        <v>g</v>
      </c>
      <c r="I109" s="113" t="str">
        <f t="shared" si="57"/>
        <v>h</v>
      </c>
      <c r="J109" s="113" t="str">
        <f t="shared" si="57"/>
        <v>i</v>
      </c>
      <c r="K109" s="113" t="str">
        <f t="shared" si="57"/>
        <v>j</v>
      </c>
      <c r="L109" s="113" t="str">
        <f t="shared" si="57"/>
        <v>k</v>
      </c>
      <c r="M109" s="113" t="str">
        <f t="shared" si="57"/>
        <v>l</v>
      </c>
      <c r="N109" s="113" t="str">
        <f t="shared" si="57"/>
        <v>m</v>
      </c>
      <c r="O109" s="113">
        <f t="shared" si="57"/>
        <v>0</v>
      </c>
      <c r="P109" s="113">
        <f t="shared" si="57"/>
        <v>0</v>
      </c>
      <c r="Q109" s="113" t="str">
        <f t="shared" si="57"/>
        <v>p</v>
      </c>
      <c r="R109" s="113">
        <f t="shared" si="57"/>
        <v>0</v>
      </c>
      <c r="S109" s="113">
        <f t="shared" si="57"/>
        <v>0</v>
      </c>
      <c r="T109" s="113">
        <f t="shared" si="57"/>
        <v>0</v>
      </c>
      <c r="U109" s="113">
        <f t="shared" si="57"/>
        <v>0</v>
      </c>
      <c r="V109" s="113">
        <f t="shared" si="57"/>
        <v>0</v>
      </c>
      <c r="W109" s="113">
        <f t="shared" si="57"/>
        <v>0</v>
      </c>
      <c r="X109" s="113">
        <f t="shared" si="57"/>
        <v>0</v>
      </c>
      <c r="AA109" s="113">
        <v>3</v>
      </c>
      <c r="AB109" s="112">
        <f t="shared" ref="AB109:AC114" ca="1" si="58">AB108</f>
        <v>38384</v>
      </c>
      <c r="AC109" s="428">
        <f t="shared" ca="1" si="58"/>
        <v>38717</v>
      </c>
      <c r="AD109" t="s">
        <v>516</v>
      </c>
      <c r="AF109" s="114">
        <f t="shared" ca="1" si="46"/>
        <v>11673.04</v>
      </c>
      <c r="AG109" s="114">
        <f t="shared" ca="1" si="46"/>
        <v>0</v>
      </c>
      <c r="AH109" s="114">
        <f t="shared" ca="1" si="46"/>
        <v>0</v>
      </c>
      <c r="AI109" s="114">
        <f t="shared" ca="1" si="46"/>
        <v>6384.11</v>
      </c>
      <c r="AJ109" s="114">
        <f t="shared" ca="1" si="46"/>
        <v>0</v>
      </c>
      <c r="AK109" s="114">
        <f t="shared" ca="1" si="46"/>
        <v>1504.76</v>
      </c>
      <c r="AN109">
        <f t="shared" si="49"/>
        <v>109</v>
      </c>
      <c r="AQ109" s="114">
        <f t="shared" ca="1" si="50"/>
        <v>1857.84</v>
      </c>
      <c r="AW109">
        <v>109</v>
      </c>
      <c r="BG109" s="114">
        <f t="shared" ca="1" si="47"/>
        <v>19914.990000000002</v>
      </c>
      <c r="BI109">
        <f t="shared" si="48"/>
        <v>0</v>
      </c>
    </row>
    <row r="110" spans="1:61" x14ac:dyDescent="0.25">
      <c r="A110" s="113">
        <f t="shared" si="56"/>
        <v>644</v>
      </c>
      <c r="B110" s="113" t="str">
        <f t="shared" si="57"/>
        <v>a</v>
      </c>
      <c r="C110" s="113" t="str">
        <f t="shared" si="57"/>
        <v>b</v>
      </c>
      <c r="D110" s="113" t="str">
        <f t="shared" si="57"/>
        <v>c</v>
      </c>
      <c r="E110" s="113" t="str">
        <f t="shared" si="57"/>
        <v>d</v>
      </c>
      <c r="F110" s="113" t="str">
        <f t="shared" si="57"/>
        <v>e</v>
      </c>
      <c r="G110" s="113" t="str">
        <f t="shared" si="57"/>
        <v>f</v>
      </c>
      <c r="H110" s="113" t="str">
        <f t="shared" si="57"/>
        <v>g</v>
      </c>
      <c r="I110" s="113" t="str">
        <f t="shared" si="57"/>
        <v>h</v>
      </c>
      <c r="J110" s="113" t="str">
        <f t="shared" si="57"/>
        <v>i</v>
      </c>
      <c r="K110" s="113" t="str">
        <f t="shared" si="57"/>
        <v>j</v>
      </c>
      <c r="L110" s="113" t="str">
        <f t="shared" si="57"/>
        <v>k</v>
      </c>
      <c r="M110" s="113" t="str">
        <f t="shared" si="57"/>
        <v>l</v>
      </c>
      <c r="N110" s="113" t="str">
        <f t="shared" si="57"/>
        <v>m</v>
      </c>
      <c r="O110" s="113">
        <f t="shared" si="57"/>
        <v>0</v>
      </c>
      <c r="P110" s="113">
        <f t="shared" si="57"/>
        <v>0</v>
      </c>
      <c r="Q110" s="113" t="str">
        <f t="shared" si="57"/>
        <v>p</v>
      </c>
      <c r="R110" s="113">
        <f t="shared" si="57"/>
        <v>0</v>
      </c>
      <c r="S110" s="113">
        <f t="shared" si="57"/>
        <v>0</v>
      </c>
      <c r="T110" s="113">
        <f t="shared" si="57"/>
        <v>0</v>
      </c>
      <c r="U110" s="113">
        <f t="shared" si="57"/>
        <v>0</v>
      </c>
      <c r="V110" s="113">
        <f t="shared" si="57"/>
        <v>0</v>
      </c>
      <c r="W110" s="113">
        <f t="shared" si="57"/>
        <v>0</v>
      </c>
      <c r="X110" s="113">
        <f t="shared" si="57"/>
        <v>0</v>
      </c>
      <c r="AA110" s="113">
        <v>9</v>
      </c>
      <c r="AB110" s="112">
        <f t="shared" ca="1" si="58"/>
        <v>38384</v>
      </c>
      <c r="AC110" s="428">
        <f t="shared" ca="1" si="58"/>
        <v>38717</v>
      </c>
      <c r="AD110" t="s">
        <v>510</v>
      </c>
      <c r="AF110" s="114">
        <f t="shared" ca="1" si="46"/>
        <v>13135.93</v>
      </c>
      <c r="AG110" s="114">
        <f t="shared" ca="1" si="46"/>
        <v>0</v>
      </c>
      <c r="AH110" s="114">
        <f t="shared" ca="1" si="46"/>
        <v>0</v>
      </c>
      <c r="AI110" s="114">
        <f t="shared" ca="1" si="46"/>
        <v>6384.11</v>
      </c>
      <c r="AJ110" s="114">
        <f t="shared" ca="1" si="46"/>
        <v>0</v>
      </c>
      <c r="AK110" s="114">
        <f t="shared" ca="1" si="46"/>
        <v>1626.67</v>
      </c>
      <c r="AN110">
        <f t="shared" si="49"/>
        <v>110</v>
      </c>
      <c r="AQ110" s="114">
        <f t="shared" ca="1" si="50"/>
        <v>1857.84</v>
      </c>
      <c r="AW110">
        <v>110</v>
      </c>
      <c r="BG110" s="114">
        <f t="shared" ca="1" si="47"/>
        <v>21377.88</v>
      </c>
      <c r="BI110">
        <f t="shared" si="48"/>
        <v>0</v>
      </c>
    </row>
    <row r="111" spans="1:61" x14ac:dyDescent="0.25">
      <c r="A111" s="113">
        <f t="shared" si="56"/>
        <v>646</v>
      </c>
      <c r="B111" s="113" t="str">
        <f t="shared" si="57"/>
        <v>a</v>
      </c>
      <c r="C111" s="113" t="str">
        <f t="shared" si="57"/>
        <v>b</v>
      </c>
      <c r="D111" s="113" t="str">
        <f t="shared" si="57"/>
        <v>c</v>
      </c>
      <c r="E111" s="113" t="str">
        <f t="shared" si="57"/>
        <v>d</v>
      </c>
      <c r="F111" s="113" t="str">
        <f t="shared" si="57"/>
        <v>e</v>
      </c>
      <c r="G111" s="113" t="str">
        <f t="shared" si="57"/>
        <v>f</v>
      </c>
      <c r="H111" s="113" t="str">
        <f t="shared" si="57"/>
        <v>g</v>
      </c>
      <c r="I111" s="113" t="str">
        <f t="shared" si="57"/>
        <v>h</v>
      </c>
      <c r="J111" s="113" t="str">
        <f t="shared" si="57"/>
        <v>i</v>
      </c>
      <c r="K111" s="113" t="str">
        <f t="shared" si="57"/>
        <v>j</v>
      </c>
      <c r="L111" s="113" t="str">
        <f t="shared" si="57"/>
        <v>k</v>
      </c>
      <c r="M111" s="113" t="str">
        <f t="shared" si="57"/>
        <v>l</v>
      </c>
      <c r="N111" s="113" t="str">
        <f t="shared" si="57"/>
        <v>m</v>
      </c>
      <c r="O111" s="113">
        <f t="shared" si="57"/>
        <v>0</v>
      </c>
      <c r="P111" s="113">
        <f t="shared" si="57"/>
        <v>0</v>
      </c>
      <c r="Q111" s="113" t="str">
        <f t="shared" si="57"/>
        <v>p</v>
      </c>
      <c r="R111" s="113">
        <f t="shared" si="57"/>
        <v>0</v>
      </c>
      <c r="S111" s="113">
        <f t="shared" si="57"/>
        <v>0</v>
      </c>
      <c r="T111" s="113">
        <f t="shared" si="57"/>
        <v>0</v>
      </c>
      <c r="U111" s="113">
        <f t="shared" si="57"/>
        <v>0</v>
      </c>
      <c r="V111" s="113">
        <f t="shared" si="57"/>
        <v>0</v>
      </c>
      <c r="W111" s="113">
        <f t="shared" si="57"/>
        <v>0</v>
      </c>
      <c r="X111" s="113">
        <f t="shared" si="57"/>
        <v>0</v>
      </c>
      <c r="AA111" s="113">
        <v>15</v>
      </c>
      <c r="AB111" s="112">
        <f t="shared" ca="1" si="58"/>
        <v>38384</v>
      </c>
      <c r="AC111" s="428">
        <f t="shared" ca="1" si="58"/>
        <v>38717</v>
      </c>
      <c r="AD111" t="s">
        <v>511</v>
      </c>
      <c r="AF111" s="114">
        <f t="shared" ca="1" si="46"/>
        <v>14844.54</v>
      </c>
      <c r="AG111" s="114">
        <f t="shared" ca="1" si="46"/>
        <v>0</v>
      </c>
      <c r="AH111" s="114">
        <f t="shared" ca="1" si="46"/>
        <v>0</v>
      </c>
      <c r="AI111" s="114">
        <f t="shared" ca="1" si="46"/>
        <v>6384.11</v>
      </c>
      <c r="AJ111" s="114">
        <f t="shared" ca="1" si="46"/>
        <v>0</v>
      </c>
      <c r="AK111" s="114">
        <f t="shared" ca="1" si="46"/>
        <v>1769.05</v>
      </c>
      <c r="AN111">
        <f t="shared" si="49"/>
        <v>111</v>
      </c>
      <c r="AQ111" s="114">
        <f t="shared" ca="1" si="50"/>
        <v>2287.8000000000002</v>
      </c>
      <c r="AW111">
        <v>111</v>
      </c>
      <c r="BG111" s="114">
        <f t="shared" ca="1" si="47"/>
        <v>23516.45</v>
      </c>
      <c r="BI111">
        <f t="shared" si="48"/>
        <v>0</v>
      </c>
    </row>
    <row r="112" spans="1:61" x14ac:dyDescent="0.25">
      <c r="A112" s="113">
        <f t="shared" si="56"/>
        <v>648</v>
      </c>
      <c r="B112" s="113" t="str">
        <f t="shared" si="57"/>
        <v>a</v>
      </c>
      <c r="C112" s="113" t="str">
        <f t="shared" si="57"/>
        <v>b</v>
      </c>
      <c r="D112" s="113" t="str">
        <f t="shared" si="57"/>
        <v>c</v>
      </c>
      <c r="E112" s="113" t="str">
        <f t="shared" si="57"/>
        <v>d</v>
      </c>
      <c r="F112" s="113" t="str">
        <f t="shared" si="57"/>
        <v>e</v>
      </c>
      <c r="G112" s="113" t="str">
        <f t="shared" si="57"/>
        <v>f</v>
      </c>
      <c r="H112" s="113" t="str">
        <f t="shared" si="57"/>
        <v>g</v>
      </c>
      <c r="I112" s="113" t="str">
        <f t="shared" si="57"/>
        <v>h</v>
      </c>
      <c r="J112" s="113" t="str">
        <f t="shared" si="57"/>
        <v>i</v>
      </c>
      <c r="K112" s="113" t="str">
        <f t="shared" si="57"/>
        <v>j</v>
      </c>
      <c r="L112" s="113" t="str">
        <f t="shared" si="57"/>
        <v>k</v>
      </c>
      <c r="M112" s="113" t="str">
        <f t="shared" si="57"/>
        <v>l</v>
      </c>
      <c r="N112" s="113" t="str">
        <f t="shared" si="57"/>
        <v>m</v>
      </c>
      <c r="O112" s="113">
        <f t="shared" si="57"/>
        <v>0</v>
      </c>
      <c r="P112" s="113">
        <f t="shared" si="57"/>
        <v>0</v>
      </c>
      <c r="Q112" s="113" t="str">
        <f t="shared" si="57"/>
        <v>p</v>
      </c>
      <c r="R112" s="113">
        <f t="shared" si="57"/>
        <v>0</v>
      </c>
      <c r="S112" s="113">
        <f t="shared" si="57"/>
        <v>0</v>
      </c>
      <c r="T112" s="113">
        <f t="shared" si="57"/>
        <v>0</v>
      </c>
      <c r="U112" s="113">
        <f t="shared" si="57"/>
        <v>0</v>
      </c>
      <c r="V112" s="113">
        <f t="shared" si="57"/>
        <v>0</v>
      </c>
      <c r="W112" s="113">
        <f t="shared" si="57"/>
        <v>0</v>
      </c>
      <c r="X112" s="113">
        <f t="shared" si="57"/>
        <v>0</v>
      </c>
      <c r="AA112" s="113">
        <v>21</v>
      </c>
      <c r="AB112" s="112">
        <f t="shared" ca="1" si="58"/>
        <v>38384</v>
      </c>
      <c r="AC112" s="428">
        <f t="shared" ca="1" si="58"/>
        <v>38717</v>
      </c>
      <c r="AD112" t="s">
        <v>512</v>
      </c>
      <c r="AF112" s="114">
        <f t="shared" ca="1" si="46"/>
        <v>16502.900000000001</v>
      </c>
      <c r="AG112" s="114">
        <f t="shared" ca="1" si="46"/>
        <v>0</v>
      </c>
      <c r="AH112" s="114">
        <f t="shared" ca="1" si="46"/>
        <v>0</v>
      </c>
      <c r="AI112" s="114">
        <f t="shared" ca="1" si="46"/>
        <v>6384.11</v>
      </c>
      <c r="AJ112" s="114">
        <f t="shared" ca="1" si="46"/>
        <v>0</v>
      </c>
      <c r="AK112" s="114">
        <f t="shared" ca="1" si="46"/>
        <v>1907.25</v>
      </c>
      <c r="AN112">
        <f t="shared" si="49"/>
        <v>112</v>
      </c>
      <c r="AQ112" s="114">
        <f t="shared" ca="1" si="50"/>
        <v>2287.8000000000002</v>
      </c>
      <c r="AW112">
        <v>112</v>
      </c>
      <c r="BG112" s="114">
        <f t="shared" ca="1" si="47"/>
        <v>25174.81</v>
      </c>
      <c r="BI112">
        <f t="shared" si="48"/>
        <v>0</v>
      </c>
    </row>
    <row r="113" spans="1:61" x14ac:dyDescent="0.25">
      <c r="A113" s="113">
        <f t="shared" si="56"/>
        <v>650</v>
      </c>
      <c r="B113" s="113" t="str">
        <f t="shared" si="57"/>
        <v>a</v>
      </c>
      <c r="C113" s="113" t="str">
        <f t="shared" si="57"/>
        <v>b</v>
      </c>
      <c r="D113" s="113" t="str">
        <f t="shared" si="57"/>
        <v>c</v>
      </c>
      <c r="E113" s="113" t="str">
        <f t="shared" si="57"/>
        <v>d</v>
      </c>
      <c r="F113" s="113" t="str">
        <f t="shared" si="57"/>
        <v>e</v>
      </c>
      <c r="G113" s="113" t="str">
        <f t="shared" si="57"/>
        <v>f</v>
      </c>
      <c r="H113" s="113" t="str">
        <f t="shared" si="57"/>
        <v>g</v>
      </c>
      <c r="I113" s="113" t="str">
        <f t="shared" si="57"/>
        <v>h</v>
      </c>
      <c r="J113" s="113" t="str">
        <f t="shared" si="57"/>
        <v>i</v>
      </c>
      <c r="K113" s="113" t="str">
        <f t="shared" si="57"/>
        <v>j</v>
      </c>
      <c r="L113" s="113" t="str">
        <f t="shared" si="57"/>
        <v>k</v>
      </c>
      <c r="M113" s="113" t="str">
        <f t="shared" si="57"/>
        <v>l</v>
      </c>
      <c r="N113" s="113" t="str">
        <f t="shared" si="57"/>
        <v>m</v>
      </c>
      <c r="O113" s="113">
        <f t="shared" si="57"/>
        <v>0</v>
      </c>
      <c r="P113" s="113">
        <f t="shared" si="57"/>
        <v>0</v>
      </c>
      <c r="Q113" s="113" t="str">
        <f t="shared" si="57"/>
        <v>p</v>
      </c>
      <c r="R113" s="113">
        <f t="shared" si="57"/>
        <v>0</v>
      </c>
      <c r="S113" s="113">
        <f t="shared" si="57"/>
        <v>0</v>
      </c>
      <c r="T113" s="113">
        <f t="shared" si="57"/>
        <v>0</v>
      </c>
      <c r="U113" s="113">
        <f t="shared" si="57"/>
        <v>0</v>
      </c>
      <c r="V113" s="113">
        <f t="shared" si="57"/>
        <v>0</v>
      </c>
      <c r="W113" s="113">
        <f t="shared" si="57"/>
        <v>0</v>
      </c>
      <c r="X113" s="113">
        <f t="shared" si="57"/>
        <v>0</v>
      </c>
      <c r="AA113" s="113">
        <v>28</v>
      </c>
      <c r="AB113" s="112">
        <f t="shared" ca="1" si="58"/>
        <v>38384</v>
      </c>
      <c r="AC113" s="428">
        <f t="shared" ca="1" si="58"/>
        <v>38717</v>
      </c>
      <c r="AD113" t="s">
        <v>513</v>
      </c>
      <c r="AF113" s="114">
        <f t="shared" ca="1" si="46"/>
        <v>18139.07</v>
      </c>
      <c r="AG113" s="114">
        <f t="shared" ca="1" si="46"/>
        <v>0</v>
      </c>
      <c r="AH113" s="114">
        <f t="shared" ca="1" si="46"/>
        <v>0</v>
      </c>
      <c r="AI113" s="114">
        <f t="shared" ca="1" si="46"/>
        <v>6384.11</v>
      </c>
      <c r="AJ113" s="114">
        <f t="shared" ca="1" si="46"/>
        <v>0</v>
      </c>
      <c r="AK113" s="114">
        <f t="shared" ca="1" si="46"/>
        <v>2043.6</v>
      </c>
      <c r="AN113">
        <f t="shared" si="49"/>
        <v>113</v>
      </c>
      <c r="AQ113" s="114">
        <f t="shared" ca="1" si="50"/>
        <v>2870.04</v>
      </c>
      <c r="AW113">
        <v>113</v>
      </c>
      <c r="BG113" s="114">
        <f t="shared" ca="1" si="47"/>
        <v>27393.22</v>
      </c>
      <c r="BI113">
        <f t="shared" si="48"/>
        <v>0</v>
      </c>
    </row>
    <row r="114" spans="1:61" x14ac:dyDescent="0.25">
      <c r="A114" s="113">
        <f t="shared" si="56"/>
        <v>652</v>
      </c>
      <c r="B114" s="113" t="str">
        <f t="shared" si="57"/>
        <v>a</v>
      </c>
      <c r="C114" s="113" t="str">
        <f t="shared" si="57"/>
        <v>b</v>
      </c>
      <c r="D114" s="113" t="str">
        <f t="shared" si="57"/>
        <v>c</v>
      </c>
      <c r="E114" s="113" t="str">
        <f t="shared" si="57"/>
        <v>d</v>
      </c>
      <c r="F114" s="113" t="str">
        <f t="shared" si="57"/>
        <v>e</v>
      </c>
      <c r="G114" s="113" t="str">
        <f t="shared" si="57"/>
        <v>f</v>
      </c>
      <c r="H114" s="113" t="str">
        <f t="shared" si="57"/>
        <v>g</v>
      </c>
      <c r="I114" s="113" t="str">
        <f t="shared" si="57"/>
        <v>h</v>
      </c>
      <c r="J114" s="113" t="str">
        <f t="shared" si="57"/>
        <v>i</v>
      </c>
      <c r="K114" s="113" t="str">
        <f t="shared" si="57"/>
        <v>j</v>
      </c>
      <c r="L114" s="113" t="str">
        <f t="shared" si="57"/>
        <v>k</v>
      </c>
      <c r="M114" s="113" t="str">
        <f t="shared" si="57"/>
        <v>l</v>
      </c>
      <c r="N114" s="113" t="str">
        <f t="shared" si="57"/>
        <v>m</v>
      </c>
      <c r="O114" s="113">
        <f t="shared" si="57"/>
        <v>0</v>
      </c>
      <c r="P114" s="113">
        <f t="shared" si="57"/>
        <v>0</v>
      </c>
      <c r="Q114" s="113" t="str">
        <f t="shared" si="57"/>
        <v>p</v>
      </c>
      <c r="R114" s="113">
        <f t="shared" si="57"/>
        <v>0</v>
      </c>
      <c r="S114" s="113">
        <f t="shared" si="57"/>
        <v>0</v>
      </c>
      <c r="T114" s="113">
        <f t="shared" si="57"/>
        <v>0</v>
      </c>
      <c r="U114" s="113">
        <f t="shared" si="57"/>
        <v>0</v>
      </c>
      <c r="V114" s="113">
        <f t="shared" si="57"/>
        <v>0</v>
      </c>
      <c r="W114" s="113">
        <f t="shared" si="57"/>
        <v>0</v>
      </c>
      <c r="X114" s="113">
        <f t="shared" si="57"/>
        <v>0</v>
      </c>
      <c r="AA114" s="113">
        <v>35</v>
      </c>
      <c r="AB114" s="112">
        <f t="shared" ca="1" si="58"/>
        <v>38384</v>
      </c>
      <c r="AC114" s="428">
        <f t="shared" ca="1" si="58"/>
        <v>38717</v>
      </c>
      <c r="AD114" t="s">
        <v>514</v>
      </c>
      <c r="AF114" s="114">
        <f t="shared" ca="1" si="46"/>
        <v>19357.400000000001</v>
      </c>
      <c r="AG114" s="114">
        <f t="shared" ca="1" si="46"/>
        <v>0</v>
      </c>
      <c r="AH114" s="114">
        <f t="shared" ca="1" si="46"/>
        <v>0</v>
      </c>
      <c r="AI114" s="114">
        <f t="shared" ca="1" si="46"/>
        <v>6384.11</v>
      </c>
      <c r="AJ114" s="114">
        <f t="shared" ca="1" si="46"/>
        <v>0</v>
      </c>
      <c r="AK114" s="114">
        <f t="shared" ca="1" si="46"/>
        <v>2145.13</v>
      </c>
      <c r="AN114">
        <f t="shared" si="49"/>
        <v>114</v>
      </c>
      <c r="AQ114" s="114">
        <f t="shared" ca="1" si="50"/>
        <v>2870.04</v>
      </c>
      <c r="AW114">
        <v>114</v>
      </c>
      <c r="BG114" s="114">
        <f t="shared" ca="1" si="47"/>
        <v>28611.550000000003</v>
      </c>
      <c r="BI114">
        <f t="shared" si="48"/>
        <v>0</v>
      </c>
    </row>
    <row r="115" spans="1:61" x14ac:dyDescent="0.25">
      <c r="A115" s="113">
        <f>A108+20</f>
        <v>660</v>
      </c>
      <c r="B115" s="113" t="str">
        <f>B108</f>
        <v>a</v>
      </c>
      <c r="C115" s="113" t="str">
        <f t="shared" ref="C115:X115" si="59">C108</f>
        <v>b</v>
      </c>
      <c r="D115" s="113" t="str">
        <f t="shared" si="59"/>
        <v>c</v>
      </c>
      <c r="E115" s="113" t="str">
        <f t="shared" si="59"/>
        <v>d</v>
      </c>
      <c r="F115" s="113" t="str">
        <f t="shared" si="59"/>
        <v>e</v>
      </c>
      <c r="G115" s="113" t="str">
        <f t="shared" si="59"/>
        <v>f</v>
      </c>
      <c r="H115" s="113" t="str">
        <f t="shared" si="59"/>
        <v>g</v>
      </c>
      <c r="I115" s="113" t="str">
        <f t="shared" si="59"/>
        <v>h</v>
      </c>
      <c r="J115" s="113" t="str">
        <f t="shared" si="59"/>
        <v>i</v>
      </c>
      <c r="K115" s="113" t="str">
        <f t="shared" si="59"/>
        <v>j</v>
      </c>
      <c r="L115" s="113" t="str">
        <f t="shared" si="59"/>
        <v>k</v>
      </c>
      <c r="M115" s="113" t="str">
        <f t="shared" si="59"/>
        <v>l</v>
      </c>
      <c r="N115" s="113" t="str">
        <f t="shared" si="59"/>
        <v>m</v>
      </c>
      <c r="O115" s="113">
        <f t="shared" si="59"/>
        <v>0</v>
      </c>
      <c r="P115" s="113">
        <f t="shared" si="59"/>
        <v>0</v>
      </c>
      <c r="Q115" s="113" t="str">
        <f t="shared" si="59"/>
        <v>p</v>
      </c>
      <c r="R115" s="113">
        <f t="shared" si="59"/>
        <v>0</v>
      </c>
      <c r="S115" s="113">
        <f t="shared" si="59"/>
        <v>0</v>
      </c>
      <c r="T115" s="113">
        <f t="shared" si="59"/>
        <v>0</v>
      </c>
      <c r="U115" s="113">
        <f t="shared" si="59"/>
        <v>0</v>
      </c>
      <c r="V115" s="113">
        <f t="shared" si="59"/>
        <v>0</v>
      </c>
      <c r="W115" s="113">
        <f t="shared" si="59"/>
        <v>0</v>
      </c>
      <c r="X115" s="113">
        <f t="shared" si="59"/>
        <v>0</v>
      </c>
      <c r="AA115" s="113">
        <v>0</v>
      </c>
      <c r="AB115" s="112">
        <f ca="1">INDIRECT(CONCATENATE($AB$10,CONCATENATE(B115,$A115)))</f>
        <v>38718</v>
      </c>
      <c r="AC115" s="428">
        <f ca="1">INDIRECT(CONCATENATE($AB$10,CONCATENATE(C115,$A115)))</f>
        <v>39082</v>
      </c>
      <c r="AD115" t="s">
        <v>515</v>
      </c>
      <c r="AF115" s="114">
        <f t="shared" ca="1" si="46"/>
        <v>11279.51</v>
      </c>
      <c r="AG115" s="114">
        <f ca="1">INDIRECT(CONCATENATE($AB$10,CONCATENATE(G115,$A115)))</f>
        <v>0</v>
      </c>
      <c r="AH115" s="114">
        <f ca="1">INDIRECT(CONCATENATE($AB$10,CONCATENATE(H115,$A115)))</f>
        <v>0</v>
      </c>
      <c r="AI115" s="114">
        <f ca="1">INDIRECT(CONCATENATE($AB$10,CONCATENATE(I115,$A115)))</f>
        <v>6384.11</v>
      </c>
      <c r="AJ115" s="114">
        <f ca="1">INDIRECT(CONCATENATE($AB$10,CONCATENATE(J115,$A115)))</f>
        <v>0</v>
      </c>
      <c r="AK115" s="114">
        <f ca="1">INDIRECT(CONCATENATE($AB$10,CONCATENATE(K115,$A115)))</f>
        <v>1471.97</v>
      </c>
      <c r="AN115">
        <f t="shared" si="49"/>
        <v>115</v>
      </c>
      <c r="AQ115" s="114">
        <f t="shared" ca="1" si="50"/>
        <v>1968</v>
      </c>
      <c r="AW115">
        <v>115</v>
      </c>
      <c r="BG115" s="114">
        <f t="shared" ca="1" si="47"/>
        <v>19631.62</v>
      </c>
      <c r="BI115">
        <f t="shared" si="48"/>
        <v>0</v>
      </c>
    </row>
    <row r="116" spans="1:61" x14ac:dyDescent="0.25">
      <c r="A116" s="113">
        <f t="shared" ref="A116:A121" si="60">A115+2</f>
        <v>662</v>
      </c>
      <c r="B116" s="113" t="str">
        <f t="shared" ref="B116:X121" si="61">B115</f>
        <v>a</v>
      </c>
      <c r="C116" s="113" t="str">
        <f t="shared" si="61"/>
        <v>b</v>
      </c>
      <c r="D116" s="113" t="str">
        <f t="shared" si="61"/>
        <v>c</v>
      </c>
      <c r="E116" s="113" t="str">
        <f t="shared" si="61"/>
        <v>d</v>
      </c>
      <c r="F116" s="113" t="str">
        <f t="shared" si="61"/>
        <v>e</v>
      </c>
      <c r="G116" s="113" t="str">
        <f t="shared" si="61"/>
        <v>f</v>
      </c>
      <c r="H116" s="113" t="str">
        <f t="shared" si="61"/>
        <v>g</v>
      </c>
      <c r="I116" s="113" t="str">
        <f t="shared" si="61"/>
        <v>h</v>
      </c>
      <c r="J116" s="113" t="str">
        <f t="shared" si="61"/>
        <v>i</v>
      </c>
      <c r="K116" s="113" t="str">
        <f t="shared" si="61"/>
        <v>j</v>
      </c>
      <c r="L116" s="113" t="str">
        <f t="shared" si="61"/>
        <v>k</v>
      </c>
      <c r="M116" s="113" t="str">
        <f t="shared" si="61"/>
        <v>l</v>
      </c>
      <c r="N116" s="113" t="str">
        <f t="shared" si="61"/>
        <v>m</v>
      </c>
      <c r="O116" s="113">
        <f t="shared" si="61"/>
        <v>0</v>
      </c>
      <c r="P116" s="113">
        <f t="shared" si="61"/>
        <v>0</v>
      </c>
      <c r="Q116" s="113" t="str">
        <f t="shared" si="61"/>
        <v>p</v>
      </c>
      <c r="R116" s="113">
        <f t="shared" si="61"/>
        <v>0</v>
      </c>
      <c r="S116" s="113">
        <f t="shared" si="61"/>
        <v>0</v>
      </c>
      <c r="T116" s="113">
        <f t="shared" si="61"/>
        <v>0</v>
      </c>
      <c r="U116" s="113">
        <f t="shared" si="61"/>
        <v>0</v>
      </c>
      <c r="V116" s="113">
        <f t="shared" si="61"/>
        <v>0</v>
      </c>
      <c r="W116" s="113">
        <f t="shared" si="61"/>
        <v>0</v>
      </c>
      <c r="X116" s="113">
        <f t="shared" si="61"/>
        <v>0</v>
      </c>
      <c r="AA116" s="113">
        <v>3</v>
      </c>
      <c r="AB116" s="112">
        <f t="shared" ref="AB116:AC121" ca="1" si="62">AB115</f>
        <v>38718</v>
      </c>
      <c r="AC116" s="428">
        <f t="shared" ca="1" si="62"/>
        <v>39082</v>
      </c>
      <c r="AD116" t="s">
        <v>516</v>
      </c>
      <c r="AF116" s="114">
        <f t="shared" ca="1" si="46"/>
        <v>11756.68</v>
      </c>
      <c r="AG116" s="114">
        <f t="shared" ca="1" si="46"/>
        <v>0</v>
      </c>
      <c r="AH116" s="114">
        <f t="shared" ca="1" si="46"/>
        <v>0</v>
      </c>
      <c r="AI116" s="114">
        <f t="shared" ca="1" si="46"/>
        <v>6384.11</v>
      </c>
      <c r="AJ116" s="114">
        <f t="shared" ca="1" si="46"/>
        <v>0</v>
      </c>
      <c r="AK116" s="114">
        <f t="shared" ca="1" si="46"/>
        <v>1511.73</v>
      </c>
      <c r="AN116">
        <f t="shared" si="49"/>
        <v>116</v>
      </c>
      <c r="AQ116" s="114">
        <f t="shared" ca="1" si="50"/>
        <v>1968</v>
      </c>
      <c r="AW116">
        <v>116</v>
      </c>
      <c r="BG116" s="114">
        <f t="shared" ca="1" si="47"/>
        <v>20108.79</v>
      </c>
      <c r="BI116">
        <f t="shared" si="48"/>
        <v>0</v>
      </c>
    </row>
    <row r="117" spans="1:61" x14ac:dyDescent="0.25">
      <c r="A117" s="113">
        <f t="shared" si="60"/>
        <v>664</v>
      </c>
      <c r="B117" s="113" t="str">
        <f t="shared" si="61"/>
        <v>a</v>
      </c>
      <c r="C117" s="113" t="str">
        <f t="shared" si="61"/>
        <v>b</v>
      </c>
      <c r="D117" s="113" t="str">
        <f t="shared" si="61"/>
        <v>c</v>
      </c>
      <c r="E117" s="113" t="str">
        <f t="shared" si="61"/>
        <v>d</v>
      </c>
      <c r="F117" s="113" t="str">
        <f t="shared" si="61"/>
        <v>e</v>
      </c>
      <c r="G117" s="113" t="str">
        <f t="shared" si="61"/>
        <v>f</v>
      </c>
      <c r="H117" s="113" t="str">
        <f t="shared" si="61"/>
        <v>g</v>
      </c>
      <c r="I117" s="113" t="str">
        <f t="shared" si="61"/>
        <v>h</v>
      </c>
      <c r="J117" s="113" t="str">
        <f t="shared" si="61"/>
        <v>i</v>
      </c>
      <c r="K117" s="113" t="str">
        <f t="shared" si="61"/>
        <v>j</v>
      </c>
      <c r="L117" s="113" t="str">
        <f t="shared" si="61"/>
        <v>k</v>
      </c>
      <c r="M117" s="113" t="str">
        <f t="shared" si="61"/>
        <v>l</v>
      </c>
      <c r="N117" s="113" t="str">
        <f t="shared" si="61"/>
        <v>m</v>
      </c>
      <c r="O117" s="113">
        <f t="shared" si="61"/>
        <v>0</v>
      </c>
      <c r="P117" s="113">
        <f t="shared" si="61"/>
        <v>0</v>
      </c>
      <c r="Q117" s="113" t="str">
        <f t="shared" si="61"/>
        <v>p</v>
      </c>
      <c r="R117" s="113">
        <f t="shared" si="61"/>
        <v>0</v>
      </c>
      <c r="S117" s="113">
        <f t="shared" si="61"/>
        <v>0</v>
      </c>
      <c r="T117" s="113">
        <f t="shared" si="61"/>
        <v>0</v>
      </c>
      <c r="U117" s="113">
        <f t="shared" si="61"/>
        <v>0</v>
      </c>
      <c r="V117" s="113">
        <f t="shared" si="61"/>
        <v>0</v>
      </c>
      <c r="W117" s="113">
        <f t="shared" si="61"/>
        <v>0</v>
      </c>
      <c r="X117" s="113">
        <f t="shared" si="61"/>
        <v>0</v>
      </c>
      <c r="AA117" s="113">
        <v>9</v>
      </c>
      <c r="AB117" s="112">
        <f t="shared" ca="1" si="62"/>
        <v>38718</v>
      </c>
      <c r="AC117" s="428">
        <f t="shared" ca="1" si="62"/>
        <v>39082</v>
      </c>
      <c r="AD117" t="s">
        <v>510</v>
      </c>
      <c r="AF117" s="114">
        <f t="shared" ca="1" si="46"/>
        <v>13226.29</v>
      </c>
      <c r="AG117" s="114">
        <f t="shared" ca="1" si="46"/>
        <v>0</v>
      </c>
      <c r="AH117" s="114">
        <f t="shared" ca="1" si="46"/>
        <v>0</v>
      </c>
      <c r="AI117" s="114">
        <f t="shared" ca="1" si="46"/>
        <v>6384.11</v>
      </c>
      <c r="AJ117" s="114">
        <f t="shared" ca="1" si="46"/>
        <v>0</v>
      </c>
      <c r="AK117" s="114">
        <f t="shared" ca="1" si="46"/>
        <v>1634.2</v>
      </c>
      <c r="AN117">
        <f t="shared" si="49"/>
        <v>117</v>
      </c>
      <c r="AQ117" s="114">
        <f t="shared" ca="1" si="50"/>
        <v>1968</v>
      </c>
      <c r="AW117">
        <v>117</v>
      </c>
      <c r="BG117" s="114">
        <f t="shared" ca="1" si="47"/>
        <v>21578.400000000001</v>
      </c>
      <c r="BI117">
        <f t="shared" si="48"/>
        <v>0</v>
      </c>
    </row>
    <row r="118" spans="1:61" x14ac:dyDescent="0.25">
      <c r="A118" s="113">
        <f t="shared" si="60"/>
        <v>666</v>
      </c>
      <c r="B118" s="113" t="str">
        <f t="shared" si="61"/>
        <v>a</v>
      </c>
      <c r="C118" s="113" t="str">
        <f t="shared" si="61"/>
        <v>b</v>
      </c>
      <c r="D118" s="113" t="str">
        <f t="shared" si="61"/>
        <v>c</v>
      </c>
      <c r="E118" s="113" t="str">
        <f t="shared" si="61"/>
        <v>d</v>
      </c>
      <c r="F118" s="113" t="str">
        <f t="shared" si="61"/>
        <v>e</v>
      </c>
      <c r="G118" s="113" t="str">
        <f t="shared" si="61"/>
        <v>f</v>
      </c>
      <c r="H118" s="113" t="str">
        <f t="shared" si="61"/>
        <v>g</v>
      </c>
      <c r="I118" s="113" t="str">
        <f t="shared" si="61"/>
        <v>h</v>
      </c>
      <c r="J118" s="113" t="str">
        <f t="shared" si="61"/>
        <v>i</v>
      </c>
      <c r="K118" s="113" t="str">
        <f t="shared" si="61"/>
        <v>j</v>
      </c>
      <c r="L118" s="113" t="str">
        <f t="shared" si="61"/>
        <v>k</v>
      </c>
      <c r="M118" s="113" t="str">
        <f t="shared" si="61"/>
        <v>l</v>
      </c>
      <c r="N118" s="113" t="str">
        <f t="shared" si="61"/>
        <v>m</v>
      </c>
      <c r="O118" s="113">
        <f t="shared" si="61"/>
        <v>0</v>
      </c>
      <c r="P118" s="113">
        <f t="shared" si="61"/>
        <v>0</v>
      </c>
      <c r="Q118" s="113" t="str">
        <f t="shared" si="61"/>
        <v>p</v>
      </c>
      <c r="R118" s="113">
        <f t="shared" si="61"/>
        <v>0</v>
      </c>
      <c r="S118" s="113">
        <f t="shared" si="61"/>
        <v>0</v>
      </c>
      <c r="T118" s="113">
        <f t="shared" si="61"/>
        <v>0</v>
      </c>
      <c r="U118" s="113">
        <f t="shared" si="61"/>
        <v>0</v>
      </c>
      <c r="V118" s="113">
        <f t="shared" si="61"/>
        <v>0</v>
      </c>
      <c r="W118" s="113">
        <f t="shared" si="61"/>
        <v>0</v>
      </c>
      <c r="X118" s="113">
        <f t="shared" si="61"/>
        <v>0</v>
      </c>
      <c r="AA118" s="113">
        <v>15</v>
      </c>
      <c r="AB118" s="112">
        <f t="shared" ca="1" si="62"/>
        <v>38718</v>
      </c>
      <c r="AC118" s="428">
        <f t="shared" ca="1" si="62"/>
        <v>39082</v>
      </c>
      <c r="AD118" t="s">
        <v>511</v>
      </c>
      <c r="AF118" s="114">
        <f t="shared" ca="1" si="46"/>
        <v>14942.82</v>
      </c>
      <c r="AG118" s="114">
        <f t="shared" ca="1" si="46"/>
        <v>0</v>
      </c>
      <c r="AH118" s="114">
        <f t="shared" ca="1" si="46"/>
        <v>0</v>
      </c>
      <c r="AI118" s="114">
        <f t="shared" ca="1" si="46"/>
        <v>6384.11</v>
      </c>
      <c r="AJ118" s="114">
        <f t="shared" ca="1" si="46"/>
        <v>0</v>
      </c>
      <c r="AK118" s="114">
        <f t="shared" ca="1" si="46"/>
        <v>1777.24</v>
      </c>
      <c r="AN118">
        <f t="shared" si="49"/>
        <v>118</v>
      </c>
      <c r="AQ118" s="114">
        <f t="shared" ca="1" si="50"/>
        <v>2424</v>
      </c>
      <c r="AW118">
        <v>118</v>
      </c>
      <c r="BG118" s="114">
        <f t="shared" ca="1" si="47"/>
        <v>23750.93</v>
      </c>
      <c r="BI118">
        <f t="shared" si="48"/>
        <v>0</v>
      </c>
    </row>
    <row r="119" spans="1:61" x14ac:dyDescent="0.25">
      <c r="A119" s="113">
        <f t="shared" si="60"/>
        <v>668</v>
      </c>
      <c r="B119" s="113" t="str">
        <f t="shared" si="61"/>
        <v>a</v>
      </c>
      <c r="C119" s="113" t="str">
        <f t="shared" si="61"/>
        <v>b</v>
      </c>
      <c r="D119" s="113" t="str">
        <f t="shared" si="61"/>
        <v>c</v>
      </c>
      <c r="E119" s="113" t="str">
        <f t="shared" si="61"/>
        <v>d</v>
      </c>
      <c r="F119" s="113" t="str">
        <f t="shared" si="61"/>
        <v>e</v>
      </c>
      <c r="G119" s="113" t="str">
        <f t="shared" si="61"/>
        <v>f</v>
      </c>
      <c r="H119" s="113" t="str">
        <f t="shared" si="61"/>
        <v>g</v>
      </c>
      <c r="I119" s="113" t="str">
        <f t="shared" si="61"/>
        <v>h</v>
      </c>
      <c r="J119" s="113" t="str">
        <f t="shared" si="61"/>
        <v>i</v>
      </c>
      <c r="K119" s="113" t="str">
        <f t="shared" si="61"/>
        <v>j</v>
      </c>
      <c r="L119" s="113" t="str">
        <f t="shared" si="61"/>
        <v>k</v>
      </c>
      <c r="M119" s="113" t="str">
        <f t="shared" si="61"/>
        <v>l</v>
      </c>
      <c r="N119" s="113" t="str">
        <f t="shared" si="61"/>
        <v>m</v>
      </c>
      <c r="O119" s="113">
        <f t="shared" si="61"/>
        <v>0</v>
      </c>
      <c r="P119" s="113">
        <f t="shared" si="61"/>
        <v>0</v>
      </c>
      <c r="Q119" s="113" t="str">
        <f t="shared" si="61"/>
        <v>p</v>
      </c>
      <c r="R119" s="113">
        <f t="shared" si="61"/>
        <v>0</v>
      </c>
      <c r="S119" s="113">
        <f t="shared" si="61"/>
        <v>0</v>
      </c>
      <c r="T119" s="113">
        <f t="shared" si="61"/>
        <v>0</v>
      </c>
      <c r="U119" s="113">
        <f t="shared" si="61"/>
        <v>0</v>
      </c>
      <c r="V119" s="113">
        <f t="shared" si="61"/>
        <v>0</v>
      </c>
      <c r="W119" s="113">
        <f t="shared" si="61"/>
        <v>0</v>
      </c>
      <c r="X119" s="113">
        <f t="shared" si="61"/>
        <v>0</v>
      </c>
      <c r="AA119" s="113">
        <v>21</v>
      </c>
      <c r="AB119" s="112">
        <f t="shared" ca="1" si="62"/>
        <v>38718</v>
      </c>
      <c r="AC119" s="428">
        <f t="shared" ca="1" si="62"/>
        <v>39082</v>
      </c>
      <c r="AD119" t="s">
        <v>512</v>
      </c>
      <c r="AF119" s="114">
        <f t="shared" ca="1" si="46"/>
        <v>16608.86</v>
      </c>
      <c r="AG119" s="114">
        <f t="shared" ca="1" si="46"/>
        <v>0</v>
      </c>
      <c r="AH119" s="114">
        <f t="shared" ca="1" si="46"/>
        <v>0</v>
      </c>
      <c r="AI119" s="114">
        <f t="shared" ca="1" si="46"/>
        <v>6384.11</v>
      </c>
      <c r="AJ119" s="114">
        <f t="shared" ca="1" si="46"/>
        <v>0</v>
      </c>
      <c r="AK119" s="114">
        <f t="shared" ca="1" si="46"/>
        <v>1916.08</v>
      </c>
      <c r="AN119">
        <f t="shared" si="49"/>
        <v>119</v>
      </c>
      <c r="AQ119" s="114">
        <f t="shared" ca="1" si="50"/>
        <v>2424</v>
      </c>
      <c r="AW119">
        <v>119</v>
      </c>
      <c r="BG119" s="114">
        <f t="shared" ca="1" si="47"/>
        <v>25416.97</v>
      </c>
      <c r="BI119">
        <f t="shared" si="48"/>
        <v>0</v>
      </c>
    </row>
    <row r="120" spans="1:61" x14ac:dyDescent="0.25">
      <c r="A120" s="113">
        <f t="shared" si="60"/>
        <v>670</v>
      </c>
      <c r="B120" s="113" t="str">
        <f t="shared" si="61"/>
        <v>a</v>
      </c>
      <c r="C120" s="113" t="str">
        <f t="shared" si="61"/>
        <v>b</v>
      </c>
      <c r="D120" s="113" t="str">
        <f t="shared" si="61"/>
        <v>c</v>
      </c>
      <c r="E120" s="113" t="str">
        <f t="shared" si="61"/>
        <v>d</v>
      </c>
      <c r="F120" s="113" t="str">
        <f t="shared" si="61"/>
        <v>e</v>
      </c>
      <c r="G120" s="113" t="str">
        <f t="shared" si="61"/>
        <v>f</v>
      </c>
      <c r="H120" s="113" t="str">
        <f t="shared" si="61"/>
        <v>g</v>
      </c>
      <c r="I120" s="113" t="str">
        <f t="shared" si="61"/>
        <v>h</v>
      </c>
      <c r="J120" s="113" t="str">
        <f t="shared" si="61"/>
        <v>i</v>
      </c>
      <c r="K120" s="113" t="str">
        <f t="shared" si="61"/>
        <v>j</v>
      </c>
      <c r="L120" s="113" t="str">
        <f t="shared" si="61"/>
        <v>k</v>
      </c>
      <c r="M120" s="113" t="str">
        <f t="shared" si="61"/>
        <v>l</v>
      </c>
      <c r="N120" s="113" t="str">
        <f t="shared" si="61"/>
        <v>m</v>
      </c>
      <c r="O120" s="113">
        <f t="shared" si="61"/>
        <v>0</v>
      </c>
      <c r="P120" s="113">
        <f t="shared" si="61"/>
        <v>0</v>
      </c>
      <c r="Q120" s="113" t="str">
        <f t="shared" si="61"/>
        <v>p</v>
      </c>
      <c r="R120" s="113">
        <f t="shared" si="61"/>
        <v>0</v>
      </c>
      <c r="S120" s="113">
        <f t="shared" si="61"/>
        <v>0</v>
      </c>
      <c r="T120" s="113">
        <f t="shared" si="61"/>
        <v>0</v>
      </c>
      <c r="U120" s="113">
        <f t="shared" si="61"/>
        <v>0</v>
      </c>
      <c r="V120" s="113">
        <f t="shared" si="61"/>
        <v>0</v>
      </c>
      <c r="W120" s="113">
        <f t="shared" si="61"/>
        <v>0</v>
      </c>
      <c r="X120" s="113">
        <f t="shared" si="61"/>
        <v>0</v>
      </c>
      <c r="AA120" s="113">
        <v>28</v>
      </c>
      <c r="AB120" s="112">
        <f t="shared" ca="1" si="62"/>
        <v>38718</v>
      </c>
      <c r="AC120" s="428">
        <f t="shared" ca="1" si="62"/>
        <v>39082</v>
      </c>
      <c r="AD120" t="s">
        <v>513</v>
      </c>
      <c r="AF120" s="114">
        <f t="shared" ca="1" si="46"/>
        <v>18252.71</v>
      </c>
      <c r="AG120" s="114">
        <f t="shared" ca="1" si="46"/>
        <v>0</v>
      </c>
      <c r="AH120" s="114">
        <f t="shared" ca="1" si="46"/>
        <v>0</v>
      </c>
      <c r="AI120" s="114">
        <f t="shared" ca="1" si="46"/>
        <v>6384.11</v>
      </c>
      <c r="AJ120" s="114">
        <f t="shared" ca="1" si="46"/>
        <v>0</v>
      </c>
      <c r="AK120" s="114">
        <f t="shared" ca="1" si="46"/>
        <v>2053.0700000000002</v>
      </c>
      <c r="AN120">
        <f t="shared" si="49"/>
        <v>120</v>
      </c>
      <c r="AQ120" s="114">
        <f t="shared" ca="1" si="50"/>
        <v>3090</v>
      </c>
      <c r="AW120">
        <v>120</v>
      </c>
      <c r="BG120" s="114">
        <f t="shared" ca="1" si="47"/>
        <v>27726.82</v>
      </c>
      <c r="BI120">
        <f t="shared" si="48"/>
        <v>0</v>
      </c>
    </row>
    <row r="121" spans="1:61" x14ac:dyDescent="0.25">
      <c r="A121" s="113">
        <f t="shared" si="60"/>
        <v>672</v>
      </c>
      <c r="B121" s="113" t="str">
        <f t="shared" si="61"/>
        <v>a</v>
      </c>
      <c r="C121" s="113" t="str">
        <f t="shared" si="61"/>
        <v>b</v>
      </c>
      <c r="D121" s="113" t="str">
        <f t="shared" si="61"/>
        <v>c</v>
      </c>
      <c r="E121" s="113" t="str">
        <f t="shared" si="61"/>
        <v>d</v>
      </c>
      <c r="F121" s="113" t="str">
        <f t="shared" si="61"/>
        <v>e</v>
      </c>
      <c r="G121" s="113" t="str">
        <f t="shared" si="61"/>
        <v>f</v>
      </c>
      <c r="H121" s="113" t="str">
        <f t="shared" si="61"/>
        <v>g</v>
      </c>
      <c r="I121" s="113" t="str">
        <f t="shared" si="61"/>
        <v>h</v>
      </c>
      <c r="J121" s="113" t="str">
        <f t="shared" si="61"/>
        <v>i</v>
      </c>
      <c r="K121" s="113" t="str">
        <f t="shared" si="61"/>
        <v>j</v>
      </c>
      <c r="L121" s="113" t="str">
        <f t="shared" si="61"/>
        <v>k</v>
      </c>
      <c r="M121" s="113" t="str">
        <f t="shared" si="61"/>
        <v>l</v>
      </c>
      <c r="N121" s="113" t="str">
        <f t="shared" si="61"/>
        <v>m</v>
      </c>
      <c r="O121" s="113">
        <f t="shared" si="61"/>
        <v>0</v>
      </c>
      <c r="P121" s="113">
        <f t="shared" si="61"/>
        <v>0</v>
      </c>
      <c r="Q121" s="113" t="str">
        <f t="shared" si="61"/>
        <v>p</v>
      </c>
      <c r="R121" s="113">
        <f t="shared" si="61"/>
        <v>0</v>
      </c>
      <c r="S121" s="113">
        <f t="shared" si="61"/>
        <v>0</v>
      </c>
      <c r="T121" s="113">
        <f t="shared" si="61"/>
        <v>0</v>
      </c>
      <c r="U121" s="113">
        <f t="shared" si="61"/>
        <v>0</v>
      </c>
      <c r="V121" s="113">
        <f t="shared" si="61"/>
        <v>0</v>
      </c>
      <c r="W121" s="113">
        <f t="shared" si="61"/>
        <v>0</v>
      </c>
      <c r="X121" s="113">
        <f t="shared" si="61"/>
        <v>0</v>
      </c>
      <c r="AA121" s="113">
        <v>35</v>
      </c>
      <c r="AB121" s="112">
        <f t="shared" ca="1" si="62"/>
        <v>38718</v>
      </c>
      <c r="AC121" s="428">
        <f t="shared" ca="1" si="62"/>
        <v>39082</v>
      </c>
      <c r="AD121" t="s">
        <v>514</v>
      </c>
      <c r="AF121" s="114">
        <f t="shared" ca="1" si="46"/>
        <v>19476.68</v>
      </c>
      <c r="AG121" s="114">
        <f t="shared" ca="1" si="46"/>
        <v>0</v>
      </c>
      <c r="AH121" s="114">
        <f t="shared" ca="1" si="46"/>
        <v>0</v>
      </c>
      <c r="AI121" s="114">
        <f t="shared" ca="1" si="46"/>
        <v>6384.11</v>
      </c>
      <c r="AJ121" s="114">
        <f t="shared" ca="1" si="46"/>
        <v>0</v>
      </c>
      <c r="AK121" s="114">
        <f t="shared" ca="1" si="46"/>
        <v>2155.0700000000002</v>
      </c>
      <c r="AN121">
        <f t="shared" si="49"/>
        <v>121</v>
      </c>
      <c r="AQ121" s="114">
        <f t="shared" ca="1" si="50"/>
        <v>3090</v>
      </c>
      <c r="AW121">
        <v>121</v>
      </c>
      <c r="BG121" s="114">
        <f t="shared" ca="1" si="47"/>
        <v>28950.79</v>
      </c>
      <c r="BI121">
        <f t="shared" si="48"/>
        <v>0</v>
      </c>
    </row>
    <row r="122" spans="1:61" x14ac:dyDescent="0.25">
      <c r="A122" s="113">
        <f>A115+20</f>
        <v>680</v>
      </c>
      <c r="B122" s="113" t="str">
        <f>B115</f>
        <v>a</v>
      </c>
      <c r="C122" s="113" t="str">
        <f t="shared" ref="C122:X122" si="63">C115</f>
        <v>b</v>
      </c>
      <c r="D122" s="113" t="str">
        <f t="shared" si="63"/>
        <v>c</v>
      </c>
      <c r="E122" s="113" t="str">
        <f t="shared" si="63"/>
        <v>d</v>
      </c>
      <c r="F122" s="113" t="str">
        <f t="shared" si="63"/>
        <v>e</v>
      </c>
      <c r="G122" s="113" t="str">
        <f t="shared" si="63"/>
        <v>f</v>
      </c>
      <c r="H122" s="113" t="str">
        <f t="shared" si="63"/>
        <v>g</v>
      </c>
      <c r="I122" s="113" t="str">
        <f t="shared" si="63"/>
        <v>h</v>
      </c>
      <c r="J122" s="113" t="str">
        <f t="shared" si="63"/>
        <v>i</v>
      </c>
      <c r="K122" s="113" t="str">
        <f t="shared" si="63"/>
        <v>j</v>
      </c>
      <c r="L122" s="113" t="str">
        <f t="shared" si="63"/>
        <v>k</v>
      </c>
      <c r="M122" s="113" t="str">
        <f t="shared" si="63"/>
        <v>l</v>
      </c>
      <c r="N122" s="113" t="str">
        <f t="shared" si="63"/>
        <v>m</v>
      </c>
      <c r="O122" s="113">
        <f t="shared" si="63"/>
        <v>0</v>
      </c>
      <c r="P122" s="113">
        <f t="shared" si="63"/>
        <v>0</v>
      </c>
      <c r="Q122" s="113" t="str">
        <f t="shared" si="63"/>
        <v>p</v>
      </c>
      <c r="R122" s="113">
        <f t="shared" si="63"/>
        <v>0</v>
      </c>
      <c r="S122" s="113">
        <f t="shared" si="63"/>
        <v>0</v>
      </c>
      <c r="T122" s="113">
        <f t="shared" si="63"/>
        <v>0</v>
      </c>
      <c r="U122" s="113">
        <f t="shared" si="63"/>
        <v>0</v>
      </c>
      <c r="V122" s="113">
        <f t="shared" si="63"/>
        <v>0</v>
      </c>
      <c r="W122" s="113">
        <f t="shared" si="63"/>
        <v>0</v>
      </c>
      <c r="X122" s="113">
        <f t="shared" si="63"/>
        <v>0</v>
      </c>
      <c r="AA122" s="113">
        <v>0</v>
      </c>
      <c r="AB122" s="112">
        <f ca="1">INDIRECT(CONCATENATE($AB$10,CONCATENATE(B122,$A122)))</f>
        <v>39083</v>
      </c>
      <c r="AC122" s="428">
        <f ca="1">INDIRECT(CONCATENATE($AB$10,CONCATENATE(C122,$A122)))</f>
        <v>39113</v>
      </c>
      <c r="AD122" t="s">
        <v>515</v>
      </c>
      <c r="AF122" s="114">
        <f t="shared" ca="1" si="46"/>
        <v>11615.63</v>
      </c>
      <c r="AG122" s="114">
        <f ca="1">INDIRECT(CONCATENATE($AB$10,CONCATENATE(G122,$A122)))</f>
        <v>0</v>
      </c>
      <c r="AH122" s="114">
        <f ca="1">INDIRECT(CONCATENATE($AB$10,CONCATENATE(H122,$A122)))</f>
        <v>0</v>
      </c>
      <c r="AI122" s="114">
        <f ca="1">INDIRECT(CONCATENATE($AB$10,CONCATENATE(I122,$A122)))</f>
        <v>6384.11</v>
      </c>
      <c r="AJ122" s="114">
        <f ca="1">INDIRECT(CONCATENATE($AB$10,CONCATENATE(J122,$A122)))</f>
        <v>0</v>
      </c>
      <c r="AK122" s="114">
        <f ca="1">INDIRECT(CONCATENATE($AB$10,CONCATENATE(K122,$A122)))</f>
        <v>1499.98</v>
      </c>
      <c r="AN122">
        <f t="shared" si="49"/>
        <v>122</v>
      </c>
      <c r="AQ122" s="114">
        <f t="shared" ca="1" si="50"/>
        <v>1968</v>
      </c>
      <c r="AW122">
        <v>122</v>
      </c>
      <c r="BG122" s="114">
        <f t="shared" ca="1" si="47"/>
        <v>19967.739999999998</v>
      </c>
      <c r="BI122">
        <f t="shared" si="48"/>
        <v>0</v>
      </c>
    </row>
    <row r="123" spans="1:61" x14ac:dyDescent="0.25">
      <c r="A123" s="113">
        <f t="shared" ref="A123:A128" si="64">A122+2</f>
        <v>682</v>
      </c>
      <c r="B123" s="113" t="str">
        <f t="shared" ref="B123:X128" si="65">B122</f>
        <v>a</v>
      </c>
      <c r="C123" s="113" t="str">
        <f t="shared" si="65"/>
        <v>b</v>
      </c>
      <c r="D123" s="113" t="str">
        <f t="shared" si="65"/>
        <v>c</v>
      </c>
      <c r="E123" s="113" t="str">
        <f t="shared" si="65"/>
        <v>d</v>
      </c>
      <c r="F123" s="113" t="str">
        <f t="shared" si="65"/>
        <v>e</v>
      </c>
      <c r="G123" s="113" t="str">
        <f t="shared" si="65"/>
        <v>f</v>
      </c>
      <c r="H123" s="113" t="str">
        <f t="shared" si="65"/>
        <v>g</v>
      </c>
      <c r="I123" s="113" t="str">
        <f t="shared" si="65"/>
        <v>h</v>
      </c>
      <c r="J123" s="113" t="str">
        <f t="shared" si="65"/>
        <v>i</v>
      </c>
      <c r="K123" s="113" t="str">
        <f t="shared" si="65"/>
        <v>j</v>
      </c>
      <c r="L123" s="113" t="str">
        <f t="shared" si="65"/>
        <v>k</v>
      </c>
      <c r="M123" s="113" t="str">
        <f t="shared" si="65"/>
        <v>l</v>
      </c>
      <c r="N123" s="113" t="str">
        <f t="shared" si="65"/>
        <v>m</v>
      </c>
      <c r="O123" s="113">
        <f t="shared" si="65"/>
        <v>0</v>
      </c>
      <c r="P123" s="113">
        <f t="shared" si="65"/>
        <v>0</v>
      </c>
      <c r="Q123" s="113" t="str">
        <f t="shared" si="65"/>
        <v>p</v>
      </c>
      <c r="R123" s="113">
        <f t="shared" si="65"/>
        <v>0</v>
      </c>
      <c r="S123" s="113">
        <f t="shared" si="65"/>
        <v>0</v>
      </c>
      <c r="T123" s="113">
        <f t="shared" si="65"/>
        <v>0</v>
      </c>
      <c r="U123" s="113">
        <f t="shared" si="65"/>
        <v>0</v>
      </c>
      <c r="V123" s="113">
        <f t="shared" si="65"/>
        <v>0</v>
      </c>
      <c r="W123" s="113">
        <f t="shared" si="65"/>
        <v>0</v>
      </c>
      <c r="X123" s="113">
        <f t="shared" si="65"/>
        <v>0</v>
      </c>
      <c r="AA123" s="113">
        <v>3</v>
      </c>
      <c r="AB123" s="112">
        <f t="shared" ref="AB123:AC128" ca="1" si="66">AB122</f>
        <v>39083</v>
      </c>
      <c r="AC123" s="428">
        <f t="shared" ca="1" si="66"/>
        <v>39113</v>
      </c>
      <c r="AD123" t="s">
        <v>516</v>
      </c>
      <c r="AF123" s="114">
        <f t="shared" ca="1" si="46"/>
        <v>12101.92</v>
      </c>
      <c r="AG123" s="114">
        <f t="shared" ca="1" si="46"/>
        <v>0</v>
      </c>
      <c r="AH123" s="114">
        <f t="shared" ca="1" si="46"/>
        <v>0</v>
      </c>
      <c r="AI123" s="114">
        <f t="shared" ca="1" si="46"/>
        <v>6384.11</v>
      </c>
      <c r="AJ123" s="114">
        <f t="shared" ca="1" si="46"/>
        <v>0</v>
      </c>
      <c r="AK123" s="114">
        <f t="shared" ca="1" si="46"/>
        <v>1540.5</v>
      </c>
      <c r="AN123">
        <f t="shared" si="49"/>
        <v>123</v>
      </c>
      <c r="AQ123" s="114">
        <f t="shared" ca="1" si="50"/>
        <v>1968</v>
      </c>
      <c r="AW123">
        <v>123</v>
      </c>
      <c r="BG123" s="114">
        <f t="shared" ca="1" si="47"/>
        <v>20454.03</v>
      </c>
      <c r="BI123">
        <f t="shared" si="48"/>
        <v>0</v>
      </c>
    </row>
    <row r="124" spans="1:61" x14ac:dyDescent="0.25">
      <c r="A124" s="113">
        <f t="shared" si="64"/>
        <v>684</v>
      </c>
      <c r="B124" s="113" t="str">
        <f t="shared" si="65"/>
        <v>a</v>
      </c>
      <c r="C124" s="113" t="str">
        <f t="shared" si="65"/>
        <v>b</v>
      </c>
      <c r="D124" s="113" t="str">
        <f t="shared" si="65"/>
        <v>c</v>
      </c>
      <c r="E124" s="113" t="str">
        <f t="shared" si="65"/>
        <v>d</v>
      </c>
      <c r="F124" s="113" t="str">
        <f t="shared" si="65"/>
        <v>e</v>
      </c>
      <c r="G124" s="113" t="str">
        <f t="shared" si="65"/>
        <v>f</v>
      </c>
      <c r="H124" s="113" t="str">
        <f t="shared" si="65"/>
        <v>g</v>
      </c>
      <c r="I124" s="113" t="str">
        <f t="shared" si="65"/>
        <v>h</v>
      </c>
      <c r="J124" s="113" t="str">
        <f t="shared" si="65"/>
        <v>i</v>
      </c>
      <c r="K124" s="113" t="str">
        <f t="shared" si="65"/>
        <v>j</v>
      </c>
      <c r="L124" s="113" t="str">
        <f t="shared" si="65"/>
        <v>k</v>
      </c>
      <c r="M124" s="113" t="str">
        <f t="shared" si="65"/>
        <v>l</v>
      </c>
      <c r="N124" s="113" t="str">
        <f t="shared" si="65"/>
        <v>m</v>
      </c>
      <c r="O124" s="113">
        <f t="shared" si="65"/>
        <v>0</v>
      </c>
      <c r="P124" s="113">
        <f t="shared" si="65"/>
        <v>0</v>
      </c>
      <c r="Q124" s="113" t="str">
        <f t="shared" si="65"/>
        <v>p</v>
      </c>
      <c r="R124" s="113">
        <f t="shared" si="65"/>
        <v>0</v>
      </c>
      <c r="S124" s="113">
        <f t="shared" si="65"/>
        <v>0</v>
      </c>
      <c r="T124" s="113">
        <f t="shared" si="65"/>
        <v>0</v>
      </c>
      <c r="U124" s="113">
        <f t="shared" si="65"/>
        <v>0</v>
      </c>
      <c r="V124" s="113">
        <f t="shared" si="65"/>
        <v>0</v>
      </c>
      <c r="W124" s="113">
        <f t="shared" si="65"/>
        <v>0</v>
      </c>
      <c r="X124" s="113">
        <f t="shared" si="65"/>
        <v>0</v>
      </c>
      <c r="AA124" s="113">
        <v>9</v>
      </c>
      <c r="AB124" s="112">
        <f t="shared" ca="1" si="66"/>
        <v>39083</v>
      </c>
      <c r="AC124" s="428">
        <f t="shared" ca="1" si="66"/>
        <v>39113</v>
      </c>
      <c r="AD124" t="s">
        <v>510</v>
      </c>
      <c r="AF124" s="114">
        <f t="shared" ca="1" si="46"/>
        <v>13599.61</v>
      </c>
      <c r="AG124" s="114">
        <f t="shared" ca="1" si="46"/>
        <v>0</v>
      </c>
      <c r="AH124" s="114">
        <f t="shared" ca="1" si="46"/>
        <v>0</v>
      </c>
      <c r="AI124" s="114">
        <f t="shared" ca="1" si="46"/>
        <v>6384.11</v>
      </c>
      <c r="AJ124" s="114">
        <f t="shared" ca="1" si="46"/>
        <v>0</v>
      </c>
      <c r="AK124" s="114">
        <f t="shared" ca="1" si="46"/>
        <v>1665.31</v>
      </c>
      <c r="AN124">
        <f t="shared" si="49"/>
        <v>124</v>
      </c>
      <c r="AQ124" s="114">
        <f t="shared" ca="1" si="50"/>
        <v>1968</v>
      </c>
      <c r="AW124">
        <v>124</v>
      </c>
      <c r="BG124" s="114">
        <f t="shared" ca="1" si="47"/>
        <v>21951.72</v>
      </c>
      <c r="BI124">
        <f t="shared" si="48"/>
        <v>0</v>
      </c>
    </row>
    <row r="125" spans="1:61" x14ac:dyDescent="0.25">
      <c r="A125" s="113">
        <f t="shared" si="64"/>
        <v>686</v>
      </c>
      <c r="B125" s="113" t="str">
        <f t="shared" si="65"/>
        <v>a</v>
      </c>
      <c r="C125" s="113" t="str">
        <f t="shared" si="65"/>
        <v>b</v>
      </c>
      <c r="D125" s="113" t="str">
        <f t="shared" si="65"/>
        <v>c</v>
      </c>
      <c r="E125" s="113" t="str">
        <f t="shared" si="65"/>
        <v>d</v>
      </c>
      <c r="F125" s="113" t="str">
        <f t="shared" si="65"/>
        <v>e</v>
      </c>
      <c r="G125" s="113" t="str">
        <f t="shared" si="65"/>
        <v>f</v>
      </c>
      <c r="H125" s="113" t="str">
        <f t="shared" si="65"/>
        <v>g</v>
      </c>
      <c r="I125" s="113" t="str">
        <f t="shared" si="65"/>
        <v>h</v>
      </c>
      <c r="J125" s="113" t="str">
        <f t="shared" si="65"/>
        <v>i</v>
      </c>
      <c r="K125" s="113" t="str">
        <f t="shared" si="65"/>
        <v>j</v>
      </c>
      <c r="L125" s="113" t="str">
        <f t="shared" si="65"/>
        <v>k</v>
      </c>
      <c r="M125" s="113" t="str">
        <f t="shared" si="65"/>
        <v>l</v>
      </c>
      <c r="N125" s="113" t="str">
        <f t="shared" si="65"/>
        <v>m</v>
      </c>
      <c r="O125" s="113">
        <f t="shared" si="65"/>
        <v>0</v>
      </c>
      <c r="P125" s="113">
        <f t="shared" si="65"/>
        <v>0</v>
      </c>
      <c r="Q125" s="113" t="str">
        <f t="shared" si="65"/>
        <v>p</v>
      </c>
      <c r="R125" s="113">
        <f t="shared" si="65"/>
        <v>0</v>
      </c>
      <c r="S125" s="113">
        <f t="shared" si="65"/>
        <v>0</v>
      </c>
      <c r="T125" s="113">
        <f t="shared" si="65"/>
        <v>0</v>
      </c>
      <c r="U125" s="113">
        <f t="shared" si="65"/>
        <v>0</v>
      </c>
      <c r="V125" s="113">
        <f t="shared" si="65"/>
        <v>0</v>
      </c>
      <c r="W125" s="113">
        <f t="shared" si="65"/>
        <v>0</v>
      </c>
      <c r="X125" s="113">
        <f t="shared" si="65"/>
        <v>0</v>
      </c>
      <c r="AA125" s="113">
        <v>15</v>
      </c>
      <c r="AB125" s="112">
        <f t="shared" ca="1" si="66"/>
        <v>39083</v>
      </c>
      <c r="AC125" s="428">
        <f t="shared" ca="1" si="66"/>
        <v>39113</v>
      </c>
      <c r="AD125" t="s">
        <v>511</v>
      </c>
      <c r="AF125" s="114">
        <f t="shared" ca="1" si="46"/>
        <v>15348.78</v>
      </c>
      <c r="AG125" s="114">
        <f t="shared" ca="1" si="46"/>
        <v>0</v>
      </c>
      <c r="AH125" s="114">
        <f t="shared" ca="1" si="46"/>
        <v>0</v>
      </c>
      <c r="AI125" s="114">
        <f t="shared" ca="1" si="46"/>
        <v>6384.11</v>
      </c>
      <c r="AJ125" s="114">
        <f t="shared" ca="1" si="46"/>
        <v>0</v>
      </c>
      <c r="AK125" s="114">
        <f t="shared" ca="1" si="46"/>
        <v>1811.07</v>
      </c>
      <c r="AN125">
        <f t="shared" si="49"/>
        <v>125</v>
      </c>
      <c r="AQ125" s="114">
        <f t="shared" ca="1" si="50"/>
        <v>2424</v>
      </c>
      <c r="AW125">
        <v>125</v>
      </c>
      <c r="BG125" s="114">
        <f t="shared" ca="1" si="47"/>
        <v>24156.89</v>
      </c>
      <c r="BI125">
        <f t="shared" si="48"/>
        <v>0</v>
      </c>
    </row>
    <row r="126" spans="1:61" x14ac:dyDescent="0.25">
      <c r="A126" s="113">
        <f t="shared" si="64"/>
        <v>688</v>
      </c>
      <c r="B126" s="113" t="str">
        <f t="shared" si="65"/>
        <v>a</v>
      </c>
      <c r="C126" s="113" t="str">
        <f t="shared" si="65"/>
        <v>b</v>
      </c>
      <c r="D126" s="113" t="str">
        <f t="shared" si="65"/>
        <v>c</v>
      </c>
      <c r="E126" s="113" t="str">
        <f t="shared" si="65"/>
        <v>d</v>
      </c>
      <c r="F126" s="113" t="str">
        <f t="shared" si="65"/>
        <v>e</v>
      </c>
      <c r="G126" s="113" t="str">
        <f t="shared" si="65"/>
        <v>f</v>
      </c>
      <c r="H126" s="113" t="str">
        <f t="shared" si="65"/>
        <v>g</v>
      </c>
      <c r="I126" s="113" t="str">
        <f t="shared" si="65"/>
        <v>h</v>
      </c>
      <c r="J126" s="113" t="str">
        <f t="shared" si="65"/>
        <v>i</v>
      </c>
      <c r="K126" s="113" t="str">
        <f t="shared" si="65"/>
        <v>j</v>
      </c>
      <c r="L126" s="113" t="str">
        <f t="shared" si="65"/>
        <v>k</v>
      </c>
      <c r="M126" s="113" t="str">
        <f t="shared" si="65"/>
        <v>l</v>
      </c>
      <c r="N126" s="113" t="str">
        <f t="shared" si="65"/>
        <v>m</v>
      </c>
      <c r="O126" s="113">
        <f t="shared" si="65"/>
        <v>0</v>
      </c>
      <c r="P126" s="113">
        <f t="shared" si="65"/>
        <v>0</v>
      </c>
      <c r="Q126" s="113" t="str">
        <f t="shared" si="65"/>
        <v>p</v>
      </c>
      <c r="R126" s="113">
        <f t="shared" si="65"/>
        <v>0</v>
      </c>
      <c r="S126" s="113">
        <f t="shared" si="65"/>
        <v>0</v>
      </c>
      <c r="T126" s="113">
        <f t="shared" si="65"/>
        <v>0</v>
      </c>
      <c r="U126" s="113">
        <f t="shared" si="65"/>
        <v>0</v>
      </c>
      <c r="V126" s="113">
        <f t="shared" si="65"/>
        <v>0</v>
      </c>
      <c r="W126" s="113">
        <f t="shared" si="65"/>
        <v>0</v>
      </c>
      <c r="X126" s="113">
        <f t="shared" si="65"/>
        <v>0</v>
      </c>
      <c r="AA126" s="113">
        <v>21</v>
      </c>
      <c r="AB126" s="112">
        <f t="shared" ca="1" si="66"/>
        <v>39083</v>
      </c>
      <c r="AC126" s="428">
        <f t="shared" ca="1" si="66"/>
        <v>39113</v>
      </c>
      <c r="AD126" t="s">
        <v>512</v>
      </c>
      <c r="AF126" s="114">
        <f t="shared" ca="1" si="46"/>
        <v>17046.5</v>
      </c>
      <c r="AG126" s="114">
        <f t="shared" ca="1" si="46"/>
        <v>0</v>
      </c>
      <c r="AH126" s="114">
        <f t="shared" ca="1" si="46"/>
        <v>0</v>
      </c>
      <c r="AI126" s="114">
        <f t="shared" ca="1" si="46"/>
        <v>6384.11</v>
      </c>
      <c r="AJ126" s="114">
        <f t="shared" ca="1" si="46"/>
        <v>0</v>
      </c>
      <c r="AK126" s="114">
        <f t="shared" ca="1" si="46"/>
        <v>1952.55</v>
      </c>
      <c r="AN126">
        <f t="shared" si="49"/>
        <v>126</v>
      </c>
      <c r="AQ126" s="114">
        <f t="shared" ca="1" si="50"/>
        <v>2424</v>
      </c>
      <c r="AW126">
        <v>126</v>
      </c>
      <c r="BG126" s="114">
        <f t="shared" ca="1" si="47"/>
        <v>25854.61</v>
      </c>
      <c r="BI126">
        <f t="shared" si="48"/>
        <v>0</v>
      </c>
    </row>
    <row r="127" spans="1:61" x14ac:dyDescent="0.25">
      <c r="A127" s="113">
        <f t="shared" si="64"/>
        <v>690</v>
      </c>
      <c r="B127" s="113" t="str">
        <f t="shared" si="65"/>
        <v>a</v>
      </c>
      <c r="C127" s="113" t="str">
        <f t="shared" si="65"/>
        <v>b</v>
      </c>
      <c r="D127" s="113" t="str">
        <f t="shared" si="65"/>
        <v>c</v>
      </c>
      <c r="E127" s="113" t="str">
        <f t="shared" si="65"/>
        <v>d</v>
      </c>
      <c r="F127" s="113" t="str">
        <f t="shared" si="65"/>
        <v>e</v>
      </c>
      <c r="G127" s="113" t="str">
        <f t="shared" si="65"/>
        <v>f</v>
      </c>
      <c r="H127" s="113" t="str">
        <f t="shared" si="65"/>
        <v>g</v>
      </c>
      <c r="I127" s="113" t="str">
        <f t="shared" si="65"/>
        <v>h</v>
      </c>
      <c r="J127" s="113" t="str">
        <f t="shared" si="65"/>
        <v>i</v>
      </c>
      <c r="K127" s="113" t="str">
        <f t="shared" si="65"/>
        <v>j</v>
      </c>
      <c r="L127" s="113" t="str">
        <f t="shared" si="65"/>
        <v>k</v>
      </c>
      <c r="M127" s="113" t="str">
        <f t="shared" si="65"/>
        <v>l</v>
      </c>
      <c r="N127" s="113" t="str">
        <f t="shared" si="65"/>
        <v>m</v>
      </c>
      <c r="O127" s="113">
        <f t="shared" si="65"/>
        <v>0</v>
      </c>
      <c r="P127" s="113">
        <f t="shared" si="65"/>
        <v>0</v>
      </c>
      <c r="Q127" s="113" t="str">
        <f t="shared" si="65"/>
        <v>p</v>
      </c>
      <c r="R127" s="113">
        <f t="shared" si="65"/>
        <v>0</v>
      </c>
      <c r="S127" s="113">
        <f t="shared" si="65"/>
        <v>0</v>
      </c>
      <c r="T127" s="113">
        <f t="shared" si="65"/>
        <v>0</v>
      </c>
      <c r="U127" s="113">
        <f t="shared" si="65"/>
        <v>0</v>
      </c>
      <c r="V127" s="113">
        <f t="shared" si="65"/>
        <v>0</v>
      </c>
      <c r="W127" s="113">
        <f t="shared" si="65"/>
        <v>0</v>
      </c>
      <c r="X127" s="113">
        <f t="shared" si="65"/>
        <v>0</v>
      </c>
      <c r="AA127" s="113">
        <v>28</v>
      </c>
      <c r="AB127" s="112">
        <f t="shared" ca="1" si="66"/>
        <v>39083</v>
      </c>
      <c r="AC127" s="428">
        <f t="shared" ca="1" si="66"/>
        <v>39113</v>
      </c>
      <c r="AD127" t="s">
        <v>513</v>
      </c>
      <c r="AF127" s="114">
        <f t="shared" ca="1" si="46"/>
        <v>18721.55</v>
      </c>
      <c r="AG127" s="114">
        <f t="shared" ca="1" si="46"/>
        <v>0</v>
      </c>
      <c r="AH127" s="114">
        <f t="shared" ca="1" si="46"/>
        <v>0</v>
      </c>
      <c r="AI127" s="114">
        <f t="shared" ca="1" si="46"/>
        <v>6384.11</v>
      </c>
      <c r="AJ127" s="114">
        <f t="shared" ca="1" si="46"/>
        <v>0</v>
      </c>
      <c r="AK127" s="114">
        <f t="shared" ca="1" si="46"/>
        <v>2092.14</v>
      </c>
      <c r="AN127">
        <f t="shared" si="49"/>
        <v>127</v>
      </c>
      <c r="AQ127" s="114">
        <f t="shared" ca="1" si="50"/>
        <v>3090</v>
      </c>
      <c r="AW127">
        <v>127</v>
      </c>
      <c r="BG127" s="114">
        <f t="shared" ca="1" si="47"/>
        <v>28195.66</v>
      </c>
      <c r="BI127">
        <f t="shared" si="48"/>
        <v>0</v>
      </c>
    </row>
    <row r="128" spans="1:61" x14ac:dyDescent="0.25">
      <c r="A128" s="113">
        <f t="shared" si="64"/>
        <v>692</v>
      </c>
      <c r="B128" s="113" t="str">
        <f t="shared" si="65"/>
        <v>a</v>
      </c>
      <c r="C128" s="113" t="str">
        <f t="shared" si="65"/>
        <v>b</v>
      </c>
      <c r="D128" s="113" t="str">
        <f t="shared" si="65"/>
        <v>c</v>
      </c>
      <c r="E128" s="113" t="str">
        <f t="shared" si="65"/>
        <v>d</v>
      </c>
      <c r="F128" s="113" t="str">
        <f t="shared" si="65"/>
        <v>e</v>
      </c>
      <c r="G128" s="113" t="str">
        <f t="shared" si="65"/>
        <v>f</v>
      </c>
      <c r="H128" s="113" t="str">
        <f t="shared" si="65"/>
        <v>g</v>
      </c>
      <c r="I128" s="113" t="str">
        <f t="shared" si="65"/>
        <v>h</v>
      </c>
      <c r="J128" s="113" t="str">
        <f t="shared" si="65"/>
        <v>i</v>
      </c>
      <c r="K128" s="113" t="str">
        <f t="shared" si="65"/>
        <v>j</v>
      </c>
      <c r="L128" s="113" t="str">
        <f t="shared" si="65"/>
        <v>k</v>
      </c>
      <c r="M128" s="113" t="str">
        <f t="shared" si="65"/>
        <v>l</v>
      </c>
      <c r="N128" s="113" t="str">
        <f t="shared" si="65"/>
        <v>m</v>
      </c>
      <c r="O128" s="113">
        <f t="shared" si="65"/>
        <v>0</v>
      </c>
      <c r="P128" s="113">
        <f t="shared" si="65"/>
        <v>0</v>
      </c>
      <c r="Q128" s="113" t="str">
        <f t="shared" si="65"/>
        <v>p</v>
      </c>
      <c r="R128" s="113">
        <f t="shared" si="65"/>
        <v>0</v>
      </c>
      <c r="S128" s="113">
        <f t="shared" si="65"/>
        <v>0</v>
      </c>
      <c r="T128" s="113">
        <f t="shared" si="65"/>
        <v>0</v>
      </c>
      <c r="U128" s="113">
        <f t="shared" si="65"/>
        <v>0</v>
      </c>
      <c r="V128" s="113">
        <f t="shared" si="65"/>
        <v>0</v>
      </c>
      <c r="W128" s="113">
        <f t="shared" si="65"/>
        <v>0</v>
      </c>
      <c r="X128" s="113">
        <f t="shared" si="65"/>
        <v>0</v>
      </c>
      <c r="AA128" s="113">
        <v>35</v>
      </c>
      <c r="AB128" s="112">
        <f t="shared" ca="1" si="66"/>
        <v>39083</v>
      </c>
      <c r="AC128" s="428">
        <f t="shared" ca="1" si="66"/>
        <v>39113</v>
      </c>
      <c r="AD128" t="s">
        <v>514</v>
      </c>
      <c r="AF128" s="114">
        <f t="shared" ca="1" si="46"/>
        <v>19968.8</v>
      </c>
      <c r="AG128" s="114">
        <f t="shared" ca="1" si="46"/>
        <v>0</v>
      </c>
      <c r="AH128" s="114">
        <f t="shared" ca="1" si="46"/>
        <v>0</v>
      </c>
      <c r="AI128" s="114">
        <f t="shared" ca="1" si="46"/>
        <v>6384.11</v>
      </c>
      <c r="AJ128" s="114">
        <f t="shared" ca="1" si="46"/>
        <v>0</v>
      </c>
      <c r="AK128" s="114">
        <f t="shared" ca="1" si="46"/>
        <v>2196.08</v>
      </c>
      <c r="AN128">
        <f t="shared" si="49"/>
        <v>128</v>
      </c>
      <c r="AQ128" s="114">
        <f t="shared" ca="1" si="50"/>
        <v>3090</v>
      </c>
      <c r="AW128">
        <v>128</v>
      </c>
      <c r="BG128" s="114">
        <f t="shared" ca="1" si="47"/>
        <v>29442.91</v>
      </c>
      <c r="BI128">
        <f t="shared" si="48"/>
        <v>0</v>
      </c>
    </row>
    <row r="129" spans="1:61" x14ac:dyDescent="0.25">
      <c r="A129" s="113">
        <f>A122+20</f>
        <v>700</v>
      </c>
      <c r="B129" s="113" t="str">
        <f>B122</f>
        <v>a</v>
      </c>
      <c r="C129" s="113" t="str">
        <f t="shared" ref="C129:X129" si="67">C122</f>
        <v>b</v>
      </c>
      <c r="D129" s="113" t="str">
        <f t="shared" si="67"/>
        <v>c</v>
      </c>
      <c r="E129" s="113" t="str">
        <f t="shared" si="67"/>
        <v>d</v>
      </c>
      <c r="F129" s="113" t="str">
        <f t="shared" si="67"/>
        <v>e</v>
      </c>
      <c r="G129" s="113" t="str">
        <f t="shared" si="67"/>
        <v>f</v>
      </c>
      <c r="H129" s="113" t="str">
        <f t="shared" si="67"/>
        <v>g</v>
      </c>
      <c r="I129" s="113" t="str">
        <f t="shared" si="67"/>
        <v>h</v>
      </c>
      <c r="J129" s="113" t="str">
        <f t="shared" si="67"/>
        <v>i</v>
      </c>
      <c r="K129" s="113" t="str">
        <f t="shared" si="67"/>
        <v>j</v>
      </c>
      <c r="L129" s="113" t="str">
        <f t="shared" si="67"/>
        <v>k</v>
      </c>
      <c r="M129" s="113" t="str">
        <f t="shared" si="67"/>
        <v>l</v>
      </c>
      <c r="N129" s="113" t="str">
        <f t="shared" si="67"/>
        <v>m</v>
      </c>
      <c r="O129" s="113">
        <f t="shared" si="67"/>
        <v>0</v>
      </c>
      <c r="P129" s="113">
        <f t="shared" si="67"/>
        <v>0</v>
      </c>
      <c r="Q129" s="113" t="str">
        <f t="shared" si="67"/>
        <v>p</v>
      </c>
      <c r="R129" s="113">
        <f t="shared" si="67"/>
        <v>0</v>
      </c>
      <c r="S129" s="113">
        <f t="shared" si="67"/>
        <v>0</v>
      </c>
      <c r="T129" s="113">
        <f t="shared" si="67"/>
        <v>0</v>
      </c>
      <c r="U129" s="113">
        <f t="shared" si="67"/>
        <v>0</v>
      </c>
      <c r="V129" s="113">
        <f t="shared" si="67"/>
        <v>0</v>
      </c>
      <c r="W129" s="113">
        <f t="shared" si="67"/>
        <v>0</v>
      </c>
      <c r="X129" s="113">
        <f t="shared" si="67"/>
        <v>0</v>
      </c>
      <c r="AA129" s="113">
        <v>0</v>
      </c>
      <c r="AB129" s="112">
        <f ca="1">INDIRECT(CONCATENATE($AB$10,CONCATENATE(B129,$A129)))</f>
        <v>39114</v>
      </c>
      <c r="AC129" s="428">
        <f ca="1">INDIRECT(CONCATENATE($AB$10,CONCATENATE(C129,$A129)))</f>
        <v>39446</v>
      </c>
      <c r="AD129" t="s">
        <v>515</v>
      </c>
      <c r="AF129" s="114">
        <f t="shared" ca="1" si="46"/>
        <v>12106.43</v>
      </c>
      <c r="AG129" s="114">
        <f ca="1">INDIRECT(CONCATENATE($AB$10,CONCATENATE(G129,$A129)))</f>
        <v>0</v>
      </c>
      <c r="AH129" s="114">
        <f ca="1">INDIRECT(CONCATENATE($AB$10,CONCATENATE(H129,$A129)))</f>
        <v>0</v>
      </c>
      <c r="AI129" s="114">
        <f ca="1">INDIRECT(CONCATENATE($AB$10,CONCATENATE(I129,$A129)))</f>
        <v>6384.11</v>
      </c>
      <c r="AJ129" s="114">
        <f ca="1">INDIRECT(CONCATENATE($AB$10,CONCATENATE(J129,$A129)))</f>
        <v>0</v>
      </c>
      <c r="AK129" s="114">
        <f ca="1">INDIRECT(CONCATENATE($AB$10,CONCATENATE(K129,$A129)))</f>
        <v>1540.88</v>
      </c>
      <c r="AN129">
        <f t="shared" si="49"/>
        <v>129</v>
      </c>
      <c r="AQ129" s="114">
        <f t="shared" ca="1" si="50"/>
        <v>1968</v>
      </c>
      <c r="AW129">
        <v>129</v>
      </c>
      <c r="BG129" s="114">
        <f t="shared" ca="1" si="47"/>
        <v>20458.54</v>
      </c>
      <c r="BI129">
        <f t="shared" si="48"/>
        <v>0</v>
      </c>
    </row>
    <row r="130" spans="1:61" x14ac:dyDescent="0.25">
      <c r="A130" s="113">
        <f t="shared" ref="A130:A135" si="68">A129+2</f>
        <v>702</v>
      </c>
      <c r="B130" s="113" t="str">
        <f t="shared" ref="B130:X135" si="69">B129</f>
        <v>a</v>
      </c>
      <c r="C130" s="113" t="str">
        <f t="shared" si="69"/>
        <v>b</v>
      </c>
      <c r="D130" s="113" t="str">
        <f t="shared" si="69"/>
        <v>c</v>
      </c>
      <c r="E130" s="113" t="str">
        <f t="shared" si="69"/>
        <v>d</v>
      </c>
      <c r="F130" s="113" t="str">
        <f t="shared" si="69"/>
        <v>e</v>
      </c>
      <c r="G130" s="113" t="str">
        <f t="shared" si="69"/>
        <v>f</v>
      </c>
      <c r="H130" s="113" t="str">
        <f t="shared" si="69"/>
        <v>g</v>
      </c>
      <c r="I130" s="113" t="str">
        <f t="shared" si="69"/>
        <v>h</v>
      </c>
      <c r="J130" s="113" t="str">
        <f t="shared" si="69"/>
        <v>i</v>
      </c>
      <c r="K130" s="113" t="str">
        <f t="shared" si="69"/>
        <v>j</v>
      </c>
      <c r="L130" s="113" t="str">
        <f t="shared" si="69"/>
        <v>k</v>
      </c>
      <c r="M130" s="113" t="str">
        <f t="shared" si="69"/>
        <v>l</v>
      </c>
      <c r="N130" s="113" t="str">
        <f t="shared" si="69"/>
        <v>m</v>
      </c>
      <c r="O130" s="113">
        <f t="shared" si="69"/>
        <v>0</v>
      </c>
      <c r="P130" s="113">
        <f t="shared" si="69"/>
        <v>0</v>
      </c>
      <c r="Q130" s="113" t="str">
        <f t="shared" si="69"/>
        <v>p</v>
      </c>
      <c r="R130" s="113">
        <f t="shared" si="69"/>
        <v>0</v>
      </c>
      <c r="S130" s="113">
        <f t="shared" si="69"/>
        <v>0</v>
      </c>
      <c r="T130" s="113">
        <f t="shared" si="69"/>
        <v>0</v>
      </c>
      <c r="U130" s="113">
        <f t="shared" si="69"/>
        <v>0</v>
      </c>
      <c r="V130" s="113">
        <f t="shared" si="69"/>
        <v>0</v>
      </c>
      <c r="W130" s="113">
        <f t="shared" si="69"/>
        <v>0</v>
      </c>
      <c r="X130" s="113">
        <f t="shared" si="69"/>
        <v>0</v>
      </c>
      <c r="AA130" s="113">
        <v>3</v>
      </c>
      <c r="AB130" s="112">
        <f t="shared" ref="AB130:AC135" ca="1" si="70">AB129</f>
        <v>39114</v>
      </c>
      <c r="AC130" s="428">
        <f t="shared" ca="1" si="70"/>
        <v>39446</v>
      </c>
      <c r="AD130" t="s">
        <v>516</v>
      </c>
      <c r="AF130" s="114">
        <f t="shared" ca="1" si="46"/>
        <v>12605.92</v>
      </c>
      <c r="AG130" s="114">
        <f t="shared" ca="1" si="46"/>
        <v>0</v>
      </c>
      <c r="AH130" s="114">
        <f t="shared" ca="1" si="46"/>
        <v>0</v>
      </c>
      <c r="AI130" s="114">
        <f t="shared" ca="1" si="46"/>
        <v>6384.11</v>
      </c>
      <c r="AJ130" s="114">
        <f t="shared" ca="1" si="46"/>
        <v>0</v>
      </c>
      <c r="AK130" s="114">
        <f t="shared" ca="1" si="46"/>
        <v>1582.5</v>
      </c>
      <c r="AN130">
        <f t="shared" si="49"/>
        <v>130</v>
      </c>
      <c r="AQ130" s="114">
        <f t="shared" ca="1" si="50"/>
        <v>1968</v>
      </c>
      <c r="AW130">
        <v>130</v>
      </c>
      <c r="BG130" s="114">
        <f t="shared" ca="1" si="47"/>
        <v>20958.03</v>
      </c>
      <c r="BI130">
        <f t="shared" si="48"/>
        <v>0</v>
      </c>
    </row>
    <row r="131" spans="1:61" x14ac:dyDescent="0.25">
      <c r="A131" s="113">
        <f t="shared" si="68"/>
        <v>704</v>
      </c>
      <c r="B131" s="113" t="str">
        <f t="shared" si="69"/>
        <v>a</v>
      </c>
      <c r="C131" s="113" t="str">
        <f t="shared" si="69"/>
        <v>b</v>
      </c>
      <c r="D131" s="113" t="str">
        <f t="shared" si="69"/>
        <v>c</v>
      </c>
      <c r="E131" s="113" t="str">
        <f t="shared" si="69"/>
        <v>d</v>
      </c>
      <c r="F131" s="113" t="str">
        <f t="shared" si="69"/>
        <v>e</v>
      </c>
      <c r="G131" s="113" t="str">
        <f t="shared" si="69"/>
        <v>f</v>
      </c>
      <c r="H131" s="113" t="str">
        <f t="shared" si="69"/>
        <v>g</v>
      </c>
      <c r="I131" s="113" t="str">
        <f t="shared" si="69"/>
        <v>h</v>
      </c>
      <c r="J131" s="113" t="str">
        <f t="shared" si="69"/>
        <v>i</v>
      </c>
      <c r="K131" s="113" t="str">
        <f t="shared" si="69"/>
        <v>j</v>
      </c>
      <c r="L131" s="113" t="str">
        <f t="shared" si="69"/>
        <v>k</v>
      </c>
      <c r="M131" s="113" t="str">
        <f t="shared" si="69"/>
        <v>l</v>
      </c>
      <c r="N131" s="113" t="str">
        <f t="shared" si="69"/>
        <v>m</v>
      </c>
      <c r="O131" s="113">
        <f t="shared" si="69"/>
        <v>0</v>
      </c>
      <c r="P131" s="113">
        <f t="shared" si="69"/>
        <v>0</v>
      </c>
      <c r="Q131" s="113" t="str">
        <f t="shared" si="69"/>
        <v>p</v>
      </c>
      <c r="R131" s="113">
        <f t="shared" si="69"/>
        <v>0</v>
      </c>
      <c r="S131" s="113">
        <f t="shared" si="69"/>
        <v>0</v>
      </c>
      <c r="T131" s="113">
        <f t="shared" si="69"/>
        <v>0</v>
      </c>
      <c r="U131" s="113">
        <f t="shared" si="69"/>
        <v>0</v>
      </c>
      <c r="V131" s="113">
        <f t="shared" si="69"/>
        <v>0</v>
      </c>
      <c r="W131" s="113">
        <f t="shared" si="69"/>
        <v>0</v>
      </c>
      <c r="X131" s="113">
        <f t="shared" si="69"/>
        <v>0</v>
      </c>
      <c r="AA131" s="113">
        <v>9</v>
      </c>
      <c r="AB131" s="112">
        <f t="shared" ca="1" si="70"/>
        <v>39114</v>
      </c>
      <c r="AC131" s="428">
        <f t="shared" ca="1" si="70"/>
        <v>39446</v>
      </c>
      <c r="AD131" t="s">
        <v>510</v>
      </c>
      <c r="AF131" s="114">
        <f t="shared" ca="1" si="46"/>
        <v>14144.41</v>
      </c>
      <c r="AG131" s="114">
        <f t="shared" ca="1" si="46"/>
        <v>0</v>
      </c>
      <c r="AH131" s="114">
        <f t="shared" ca="1" si="46"/>
        <v>0</v>
      </c>
      <c r="AI131" s="114">
        <f t="shared" ca="1" si="46"/>
        <v>6384.11</v>
      </c>
      <c r="AJ131" s="114">
        <f t="shared" ca="1" si="46"/>
        <v>0</v>
      </c>
      <c r="AK131" s="114">
        <f t="shared" ca="1" si="46"/>
        <v>1710.71</v>
      </c>
      <c r="AN131">
        <f t="shared" si="49"/>
        <v>131</v>
      </c>
      <c r="AQ131" s="114">
        <f t="shared" ca="1" si="50"/>
        <v>1968</v>
      </c>
      <c r="AW131">
        <v>131</v>
      </c>
      <c r="BG131" s="114">
        <f t="shared" ca="1" si="47"/>
        <v>22496.52</v>
      </c>
      <c r="BI131">
        <f t="shared" si="48"/>
        <v>0</v>
      </c>
    </row>
    <row r="132" spans="1:61" x14ac:dyDescent="0.25">
      <c r="A132" s="113">
        <f t="shared" si="68"/>
        <v>706</v>
      </c>
      <c r="B132" s="113" t="str">
        <f t="shared" si="69"/>
        <v>a</v>
      </c>
      <c r="C132" s="113" t="str">
        <f t="shared" si="69"/>
        <v>b</v>
      </c>
      <c r="D132" s="113" t="str">
        <f t="shared" si="69"/>
        <v>c</v>
      </c>
      <c r="E132" s="113" t="str">
        <f t="shared" si="69"/>
        <v>d</v>
      </c>
      <c r="F132" s="113" t="str">
        <f t="shared" si="69"/>
        <v>e</v>
      </c>
      <c r="G132" s="113" t="str">
        <f t="shared" si="69"/>
        <v>f</v>
      </c>
      <c r="H132" s="113" t="str">
        <f t="shared" si="69"/>
        <v>g</v>
      </c>
      <c r="I132" s="113" t="str">
        <f t="shared" si="69"/>
        <v>h</v>
      </c>
      <c r="J132" s="113" t="str">
        <f t="shared" si="69"/>
        <v>i</v>
      </c>
      <c r="K132" s="113" t="str">
        <f t="shared" si="69"/>
        <v>j</v>
      </c>
      <c r="L132" s="113" t="str">
        <f t="shared" si="69"/>
        <v>k</v>
      </c>
      <c r="M132" s="113" t="str">
        <f t="shared" si="69"/>
        <v>l</v>
      </c>
      <c r="N132" s="113" t="str">
        <f t="shared" si="69"/>
        <v>m</v>
      </c>
      <c r="O132" s="113">
        <f t="shared" si="69"/>
        <v>0</v>
      </c>
      <c r="P132" s="113">
        <f t="shared" si="69"/>
        <v>0</v>
      </c>
      <c r="Q132" s="113" t="str">
        <f t="shared" si="69"/>
        <v>p</v>
      </c>
      <c r="R132" s="113">
        <f t="shared" si="69"/>
        <v>0</v>
      </c>
      <c r="S132" s="113">
        <f t="shared" si="69"/>
        <v>0</v>
      </c>
      <c r="T132" s="113">
        <f t="shared" si="69"/>
        <v>0</v>
      </c>
      <c r="U132" s="113">
        <f t="shared" si="69"/>
        <v>0</v>
      </c>
      <c r="V132" s="113">
        <f t="shared" si="69"/>
        <v>0</v>
      </c>
      <c r="W132" s="113">
        <f t="shared" si="69"/>
        <v>0</v>
      </c>
      <c r="X132" s="113">
        <f t="shared" si="69"/>
        <v>0</v>
      </c>
      <c r="AA132" s="113">
        <v>15</v>
      </c>
      <c r="AB132" s="112">
        <f t="shared" ca="1" si="70"/>
        <v>39114</v>
      </c>
      <c r="AC132" s="428">
        <f t="shared" ca="1" si="70"/>
        <v>39446</v>
      </c>
      <c r="AD132" t="s">
        <v>511</v>
      </c>
      <c r="AF132" s="114">
        <f t="shared" ca="1" si="46"/>
        <v>15941.34</v>
      </c>
      <c r="AG132" s="114">
        <f t="shared" ca="1" si="46"/>
        <v>0</v>
      </c>
      <c r="AH132" s="114">
        <f t="shared" ca="1" si="46"/>
        <v>0</v>
      </c>
      <c r="AI132" s="114">
        <f t="shared" ca="1" si="46"/>
        <v>6384.11</v>
      </c>
      <c r="AJ132" s="114">
        <f t="shared" ca="1" si="46"/>
        <v>0</v>
      </c>
      <c r="AK132" s="114">
        <f t="shared" ca="1" si="46"/>
        <v>1860.45</v>
      </c>
      <c r="AN132">
        <f t="shared" si="49"/>
        <v>132</v>
      </c>
      <c r="AQ132" s="114">
        <f t="shared" ca="1" si="50"/>
        <v>2424</v>
      </c>
      <c r="AW132">
        <v>132</v>
      </c>
      <c r="BG132" s="114">
        <f t="shared" ca="1" si="47"/>
        <v>24749.45</v>
      </c>
      <c r="BI132">
        <f t="shared" si="48"/>
        <v>0</v>
      </c>
    </row>
    <row r="133" spans="1:61" x14ac:dyDescent="0.25">
      <c r="A133" s="113">
        <f t="shared" si="68"/>
        <v>708</v>
      </c>
      <c r="B133" s="113" t="str">
        <f t="shared" si="69"/>
        <v>a</v>
      </c>
      <c r="C133" s="113" t="str">
        <f t="shared" si="69"/>
        <v>b</v>
      </c>
      <c r="D133" s="113" t="str">
        <f t="shared" si="69"/>
        <v>c</v>
      </c>
      <c r="E133" s="113" t="str">
        <f t="shared" si="69"/>
        <v>d</v>
      </c>
      <c r="F133" s="113" t="str">
        <f t="shared" si="69"/>
        <v>e</v>
      </c>
      <c r="G133" s="113" t="str">
        <f t="shared" si="69"/>
        <v>f</v>
      </c>
      <c r="H133" s="113" t="str">
        <f t="shared" si="69"/>
        <v>g</v>
      </c>
      <c r="I133" s="113" t="str">
        <f t="shared" si="69"/>
        <v>h</v>
      </c>
      <c r="J133" s="113" t="str">
        <f t="shared" si="69"/>
        <v>i</v>
      </c>
      <c r="K133" s="113" t="str">
        <f t="shared" si="69"/>
        <v>j</v>
      </c>
      <c r="L133" s="113" t="str">
        <f t="shared" si="69"/>
        <v>k</v>
      </c>
      <c r="M133" s="113" t="str">
        <f t="shared" si="69"/>
        <v>l</v>
      </c>
      <c r="N133" s="113" t="str">
        <f t="shared" si="69"/>
        <v>m</v>
      </c>
      <c r="O133" s="113">
        <f t="shared" si="69"/>
        <v>0</v>
      </c>
      <c r="P133" s="113">
        <f t="shared" si="69"/>
        <v>0</v>
      </c>
      <c r="Q133" s="113" t="str">
        <f t="shared" si="69"/>
        <v>p</v>
      </c>
      <c r="R133" s="113">
        <f t="shared" si="69"/>
        <v>0</v>
      </c>
      <c r="S133" s="113">
        <f t="shared" si="69"/>
        <v>0</v>
      </c>
      <c r="T133" s="113">
        <f t="shared" si="69"/>
        <v>0</v>
      </c>
      <c r="U133" s="113">
        <f t="shared" si="69"/>
        <v>0</v>
      </c>
      <c r="V133" s="113">
        <f t="shared" si="69"/>
        <v>0</v>
      </c>
      <c r="W133" s="113">
        <f t="shared" si="69"/>
        <v>0</v>
      </c>
      <c r="X133" s="113">
        <f t="shared" si="69"/>
        <v>0</v>
      </c>
      <c r="AA133" s="113">
        <v>21</v>
      </c>
      <c r="AB133" s="112">
        <f t="shared" ca="1" si="70"/>
        <v>39114</v>
      </c>
      <c r="AC133" s="428">
        <f t="shared" ca="1" si="70"/>
        <v>39446</v>
      </c>
      <c r="AD133" t="s">
        <v>512</v>
      </c>
      <c r="AF133" s="114">
        <f t="shared" ca="1" si="46"/>
        <v>17685.38</v>
      </c>
      <c r="AG133" s="114">
        <f t="shared" ca="1" si="46"/>
        <v>0</v>
      </c>
      <c r="AH133" s="114">
        <f t="shared" ca="1" si="46"/>
        <v>0</v>
      </c>
      <c r="AI133" s="114">
        <f t="shared" ca="1" si="46"/>
        <v>6384.11</v>
      </c>
      <c r="AJ133" s="114">
        <f t="shared" ca="1" si="46"/>
        <v>0</v>
      </c>
      <c r="AK133" s="114">
        <f t="shared" ca="1" si="46"/>
        <v>2005.79</v>
      </c>
      <c r="AN133">
        <f t="shared" si="49"/>
        <v>133</v>
      </c>
      <c r="AQ133" s="114">
        <f t="shared" ca="1" si="50"/>
        <v>2424</v>
      </c>
      <c r="AW133">
        <v>133</v>
      </c>
      <c r="BG133" s="114">
        <f t="shared" ca="1" si="47"/>
        <v>26493.49</v>
      </c>
      <c r="BI133">
        <f t="shared" si="48"/>
        <v>0</v>
      </c>
    </row>
    <row r="134" spans="1:61" x14ac:dyDescent="0.25">
      <c r="A134" s="113">
        <f t="shared" si="68"/>
        <v>710</v>
      </c>
      <c r="B134" s="113" t="str">
        <f t="shared" si="69"/>
        <v>a</v>
      </c>
      <c r="C134" s="113" t="str">
        <f t="shared" si="69"/>
        <v>b</v>
      </c>
      <c r="D134" s="113" t="str">
        <f t="shared" si="69"/>
        <v>c</v>
      </c>
      <c r="E134" s="113" t="str">
        <f t="shared" si="69"/>
        <v>d</v>
      </c>
      <c r="F134" s="113" t="str">
        <f t="shared" si="69"/>
        <v>e</v>
      </c>
      <c r="G134" s="113" t="str">
        <f t="shared" si="69"/>
        <v>f</v>
      </c>
      <c r="H134" s="113" t="str">
        <f t="shared" si="69"/>
        <v>g</v>
      </c>
      <c r="I134" s="113" t="str">
        <f t="shared" si="69"/>
        <v>h</v>
      </c>
      <c r="J134" s="113" t="str">
        <f t="shared" si="69"/>
        <v>i</v>
      </c>
      <c r="K134" s="113" t="str">
        <f t="shared" si="69"/>
        <v>j</v>
      </c>
      <c r="L134" s="113" t="str">
        <f t="shared" si="69"/>
        <v>k</v>
      </c>
      <c r="M134" s="113" t="str">
        <f t="shared" si="69"/>
        <v>l</v>
      </c>
      <c r="N134" s="113" t="str">
        <f t="shared" si="69"/>
        <v>m</v>
      </c>
      <c r="O134" s="113">
        <f t="shared" si="69"/>
        <v>0</v>
      </c>
      <c r="P134" s="113">
        <f t="shared" si="69"/>
        <v>0</v>
      </c>
      <c r="Q134" s="113" t="str">
        <f t="shared" si="69"/>
        <v>p</v>
      </c>
      <c r="R134" s="113">
        <f t="shared" si="69"/>
        <v>0</v>
      </c>
      <c r="S134" s="113">
        <f t="shared" si="69"/>
        <v>0</v>
      </c>
      <c r="T134" s="113">
        <f t="shared" si="69"/>
        <v>0</v>
      </c>
      <c r="U134" s="113">
        <f t="shared" si="69"/>
        <v>0</v>
      </c>
      <c r="V134" s="113">
        <f t="shared" si="69"/>
        <v>0</v>
      </c>
      <c r="W134" s="113">
        <f t="shared" si="69"/>
        <v>0</v>
      </c>
      <c r="X134" s="113">
        <f t="shared" si="69"/>
        <v>0</v>
      </c>
      <c r="AA134" s="113">
        <v>28</v>
      </c>
      <c r="AB134" s="112">
        <f t="shared" ca="1" si="70"/>
        <v>39114</v>
      </c>
      <c r="AC134" s="428">
        <f t="shared" ca="1" si="70"/>
        <v>39446</v>
      </c>
      <c r="AD134" t="s">
        <v>513</v>
      </c>
      <c r="AF134" s="114">
        <f t="shared" ca="1" si="46"/>
        <v>19406.03</v>
      </c>
      <c r="AG134" s="114">
        <f t="shared" ca="1" si="46"/>
        <v>0</v>
      </c>
      <c r="AH134" s="114">
        <f t="shared" ca="1" si="46"/>
        <v>0</v>
      </c>
      <c r="AI134" s="114">
        <f t="shared" ca="1" si="46"/>
        <v>6384.11</v>
      </c>
      <c r="AJ134" s="114">
        <f t="shared" ca="1" si="46"/>
        <v>0</v>
      </c>
      <c r="AK134" s="114">
        <f t="shared" ca="1" si="46"/>
        <v>2149.1799999999998</v>
      </c>
      <c r="AN134">
        <f t="shared" si="49"/>
        <v>134</v>
      </c>
      <c r="AQ134" s="114">
        <f t="shared" ca="1" si="50"/>
        <v>3090</v>
      </c>
      <c r="AW134">
        <v>134</v>
      </c>
      <c r="BG134" s="114">
        <f t="shared" ca="1" si="47"/>
        <v>28880.14</v>
      </c>
      <c r="BI134">
        <f t="shared" si="48"/>
        <v>0</v>
      </c>
    </row>
    <row r="135" spans="1:61" x14ac:dyDescent="0.25">
      <c r="A135" s="113">
        <f t="shared" si="68"/>
        <v>712</v>
      </c>
      <c r="B135" s="113" t="str">
        <f t="shared" si="69"/>
        <v>a</v>
      </c>
      <c r="C135" s="113" t="str">
        <f t="shared" si="69"/>
        <v>b</v>
      </c>
      <c r="D135" s="113" t="str">
        <f t="shared" si="69"/>
        <v>c</v>
      </c>
      <c r="E135" s="113" t="str">
        <f t="shared" si="69"/>
        <v>d</v>
      </c>
      <c r="F135" s="113" t="str">
        <f t="shared" si="69"/>
        <v>e</v>
      </c>
      <c r="G135" s="113" t="str">
        <f t="shared" si="69"/>
        <v>f</v>
      </c>
      <c r="H135" s="113" t="str">
        <f t="shared" si="69"/>
        <v>g</v>
      </c>
      <c r="I135" s="113" t="str">
        <f t="shared" si="69"/>
        <v>h</v>
      </c>
      <c r="J135" s="113" t="str">
        <f t="shared" si="69"/>
        <v>i</v>
      </c>
      <c r="K135" s="113" t="str">
        <f t="shared" si="69"/>
        <v>j</v>
      </c>
      <c r="L135" s="113" t="str">
        <f t="shared" si="69"/>
        <v>k</v>
      </c>
      <c r="M135" s="113" t="str">
        <f t="shared" si="69"/>
        <v>l</v>
      </c>
      <c r="N135" s="113" t="str">
        <f t="shared" si="69"/>
        <v>m</v>
      </c>
      <c r="O135" s="113">
        <f t="shared" si="69"/>
        <v>0</v>
      </c>
      <c r="P135" s="113">
        <f t="shared" si="69"/>
        <v>0</v>
      </c>
      <c r="Q135" s="113" t="str">
        <f t="shared" si="69"/>
        <v>p</v>
      </c>
      <c r="R135" s="113">
        <f t="shared" si="69"/>
        <v>0</v>
      </c>
      <c r="S135" s="113">
        <f t="shared" si="69"/>
        <v>0</v>
      </c>
      <c r="T135" s="113">
        <f t="shared" si="69"/>
        <v>0</v>
      </c>
      <c r="U135" s="113">
        <f t="shared" si="69"/>
        <v>0</v>
      </c>
      <c r="V135" s="113">
        <f t="shared" si="69"/>
        <v>0</v>
      </c>
      <c r="W135" s="113">
        <f t="shared" si="69"/>
        <v>0</v>
      </c>
      <c r="X135" s="113">
        <f t="shared" si="69"/>
        <v>0</v>
      </c>
      <c r="AA135" s="113">
        <v>35</v>
      </c>
      <c r="AB135" s="112">
        <f t="shared" ca="1" si="70"/>
        <v>39114</v>
      </c>
      <c r="AC135" s="428">
        <f t="shared" ca="1" si="70"/>
        <v>39446</v>
      </c>
      <c r="AD135" t="s">
        <v>514</v>
      </c>
      <c r="AF135" s="114">
        <f t="shared" ca="1" si="46"/>
        <v>20687.36</v>
      </c>
      <c r="AG135" s="114">
        <f t="shared" ca="1" si="46"/>
        <v>0</v>
      </c>
      <c r="AH135" s="114">
        <f t="shared" ca="1" si="46"/>
        <v>0</v>
      </c>
      <c r="AI135" s="114">
        <f t="shared" ca="1" si="46"/>
        <v>6384.11</v>
      </c>
      <c r="AJ135" s="114">
        <f t="shared" ca="1" si="46"/>
        <v>0</v>
      </c>
      <c r="AK135" s="114">
        <f t="shared" ca="1" si="46"/>
        <v>2255.96</v>
      </c>
      <c r="AN135">
        <f t="shared" si="49"/>
        <v>135</v>
      </c>
      <c r="AQ135" s="114">
        <f t="shared" ca="1" si="50"/>
        <v>3090</v>
      </c>
      <c r="AW135">
        <v>135</v>
      </c>
      <c r="BG135" s="114">
        <f t="shared" ca="1" si="47"/>
        <v>30161.47</v>
      </c>
      <c r="BI135">
        <f t="shared" si="48"/>
        <v>0</v>
      </c>
    </row>
    <row r="136" spans="1:61" x14ac:dyDescent="0.25">
      <c r="A136" s="113">
        <f>A129+20</f>
        <v>720</v>
      </c>
      <c r="B136" s="113" t="str">
        <f>B129</f>
        <v>a</v>
      </c>
      <c r="C136" s="113" t="str">
        <f t="shared" ref="C136:X136" si="71">C129</f>
        <v>b</v>
      </c>
      <c r="D136" s="113" t="str">
        <f t="shared" si="71"/>
        <v>c</v>
      </c>
      <c r="E136" s="113" t="str">
        <f t="shared" si="71"/>
        <v>d</v>
      </c>
      <c r="F136" s="113" t="str">
        <f t="shared" si="71"/>
        <v>e</v>
      </c>
      <c r="G136" s="113" t="str">
        <f t="shared" si="71"/>
        <v>f</v>
      </c>
      <c r="H136" s="113" t="str">
        <f t="shared" si="71"/>
        <v>g</v>
      </c>
      <c r="I136" s="113" t="str">
        <f t="shared" si="71"/>
        <v>h</v>
      </c>
      <c r="J136" s="113" t="str">
        <f t="shared" si="71"/>
        <v>i</v>
      </c>
      <c r="K136" s="113" t="str">
        <f t="shared" si="71"/>
        <v>j</v>
      </c>
      <c r="L136" s="113" t="str">
        <f t="shared" si="71"/>
        <v>k</v>
      </c>
      <c r="M136" s="113" t="str">
        <f t="shared" si="71"/>
        <v>l</v>
      </c>
      <c r="N136" s="113" t="str">
        <f t="shared" si="71"/>
        <v>m</v>
      </c>
      <c r="O136" s="113">
        <f t="shared" si="71"/>
        <v>0</v>
      </c>
      <c r="P136" s="113">
        <f t="shared" si="71"/>
        <v>0</v>
      </c>
      <c r="Q136" s="113" t="str">
        <f t="shared" si="71"/>
        <v>p</v>
      </c>
      <c r="R136" s="113">
        <f t="shared" si="71"/>
        <v>0</v>
      </c>
      <c r="S136" s="113">
        <f t="shared" si="71"/>
        <v>0</v>
      </c>
      <c r="T136" s="113">
        <f t="shared" si="71"/>
        <v>0</v>
      </c>
      <c r="U136" s="113">
        <f t="shared" si="71"/>
        <v>0</v>
      </c>
      <c r="V136" s="113">
        <f t="shared" si="71"/>
        <v>0</v>
      </c>
      <c r="W136" s="113">
        <f t="shared" si="71"/>
        <v>0</v>
      </c>
      <c r="X136" s="113">
        <f t="shared" si="71"/>
        <v>0</v>
      </c>
      <c r="AA136" s="113">
        <v>0</v>
      </c>
      <c r="AB136" s="112">
        <f ca="1">INDIRECT(CONCATENATE($AB$10,CONCATENATE(B136,$A136)))</f>
        <v>39447</v>
      </c>
      <c r="AC136" s="428">
        <f ca="1">INDIRECT(CONCATENATE($AB$10,CONCATENATE(C136,$A136)))</f>
        <v>39538</v>
      </c>
      <c r="AD136" t="s">
        <v>515</v>
      </c>
      <c r="AF136" s="114">
        <f t="shared" ca="1" si="46"/>
        <v>12225.23</v>
      </c>
      <c r="AG136" s="114">
        <f ca="1">INDIRECT(CONCATENATE($AB$10,CONCATENATE(G136,$A136)))</f>
        <v>0</v>
      </c>
      <c r="AH136" s="114">
        <f ca="1">INDIRECT(CONCATENATE($AB$10,CONCATENATE(H136,$A136)))</f>
        <v>0</v>
      </c>
      <c r="AI136" s="114">
        <f ca="1">INDIRECT(CONCATENATE($AB$10,CONCATENATE(I136,$A136)))</f>
        <v>6384.11</v>
      </c>
      <c r="AJ136" s="114">
        <f ca="1">INDIRECT(CONCATENATE($AB$10,CONCATENATE(J136,$A136)))</f>
        <v>0</v>
      </c>
      <c r="AK136" s="114">
        <f ca="1">INDIRECT(CONCATENATE($AB$10,CONCATENATE(K136,$A136)))</f>
        <v>1550.78</v>
      </c>
      <c r="AN136">
        <f t="shared" si="49"/>
        <v>136</v>
      </c>
      <c r="AQ136" s="114">
        <f t="shared" ca="1" si="50"/>
        <v>1968</v>
      </c>
      <c r="AW136">
        <v>136</v>
      </c>
      <c r="BG136" s="114">
        <f t="shared" ca="1" si="47"/>
        <v>20577.34</v>
      </c>
      <c r="BI136">
        <f t="shared" si="48"/>
        <v>0</v>
      </c>
    </row>
    <row r="137" spans="1:61" x14ac:dyDescent="0.25">
      <c r="A137" s="113">
        <f t="shared" ref="A137:A142" si="72">A136+2</f>
        <v>722</v>
      </c>
      <c r="B137" s="113" t="str">
        <f t="shared" ref="B137:X142" si="73">B136</f>
        <v>a</v>
      </c>
      <c r="C137" s="113" t="str">
        <f t="shared" si="73"/>
        <v>b</v>
      </c>
      <c r="D137" s="113" t="str">
        <f t="shared" si="73"/>
        <v>c</v>
      </c>
      <c r="E137" s="113" t="str">
        <f t="shared" si="73"/>
        <v>d</v>
      </c>
      <c r="F137" s="113" t="str">
        <f t="shared" si="73"/>
        <v>e</v>
      </c>
      <c r="G137" s="113" t="str">
        <f t="shared" si="73"/>
        <v>f</v>
      </c>
      <c r="H137" s="113" t="str">
        <f t="shared" si="73"/>
        <v>g</v>
      </c>
      <c r="I137" s="113" t="str">
        <f t="shared" si="73"/>
        <v>h</v>
      </c>
      <c r="J137" s="113" t="str">
        <f t="shared" si="73"/>
        <v>i</v>
      </c>
      <c r="K137" s="113" t="str">
        <f t="shared" si="73"/>
        <v>j</v>
      </c>
      <c r="L137" s="113" t="str">
        <f t="shared" si="73"/>
        <v>k</v>
      </c>
      <c r="M137" s="113" t="str">
        <f t="shared" si="73"/>
        <v>l</v>
      </c>
      <c r="N137" s="113" t="str">
        <f t="shared" si="73"/>
        <v>m</v>
      </c>
      <c r="O137" s="113">
        <f t="shared" si="73"/>
        <v>0</v>
      </c>
      <c r="P137" s="113">
        <f t="shared" si="73"/>
        <v>0</v>
      </c>
      <c r="Q137" s="113" t="str">
        <f t="shared" si="73"/>
        <v>p</v>
      </c>
      <c r="R137" s="113">
        <f t="shared" si="73"/>
        <v>0</v>
      </c>
      <c r="S137" s="113">
        <f t="shared" si="73"/>
        <v>0</v>
      </c>
      <c r="T137" s="113">
        <f t="shared" si="73"/>
        <v>0</v>
      </c>
      <c r="U137" s="113">
        <f t="shared" si="73"/>
        <v>0</v>
      </c>
      <c r="V137" s="113">
        <f t="shared" si="73"/>
        <v>0</v>
      </c>
      <c r="W137" s="113">
        <f t="shared" si="73"/>
        <v>0</v>
      </c>
      <c r="X137" s="113">
        <f t="shared" si="73"/>
        <v>0</v>
      </c>
      <c r="AA137" s="113">
        <v>3</v>
      </c>
      <c r="AB137" s="112">
        <f t="shared" ref="AB137:AC142" ca="1" si="74">AB136</f>
        <v>39447</v>
      </c>
      <c r="AC137" s="428">
        <f t="shared" ca="1" si="74"/>
        <v>39538</v>
      </c>
      <c r="AD137" t="s">
        <v>516</v>
      </c>
      <c r="AF137" s="114">
        <f t="shared" ca="1" si="46"/>
        <v>12727.96</v>
      </c>
      <c r="AG137" s="114">
        <f t="shared" ca="1" si="46"/>
        <v>0</v>
      </c>
      <c r="AH137" s="114">
        <f t="shared" ca="1" si="46"/>
        <v>0</v>
      </c>
      <c r="AI137" s="114">
        <f t="shared" ca="1" si="46"/>
        <v>6384.11</v>
      </c>
      <c r="AJ137" s="114">
        <f t="shared" ca="1" si="46"/>
        <v>0</v>
      </c>
      <c r="AK137" s="114">
        <f t="shared" ca="1" si="46"/>
        <v>1592.67</v>
      </c>
      <c r="AN137">
        <f t="shared" si="49"/>
        <v>137</v>
      </c>
      <c r="AQ137" s="114">
        <f t="shared" ca="1" si="50"/>
        <v>1968</v>
      </c>
      <c r="AW137">
        <v>137</v>
      </c>
      <c r="BG137" s="114">
        <f t="shared" ca="1" si="47"/>
        <v>21080.07</v>
      </c>
      <c r="BI137">
        <f t="shared" si="48"/>
        <v>0</v>
      </c>
    </row>
    <row r="138" spans="1:61" x14ac:dyDescent="0.25">
      <c r="A138" s="113">
        <f t="shared" si="72"/>
        <v>724</v>
      </c>
      <c r="B138" s="113" t="str">
        <f t="shared" si="73"/>
        <v>a</v>
      </c>
      <c r="C138" s="113" t="str">
        <f t="shared" si="73"/>
        <v>b</v>
      </c>
      <c r="D138" s="113" t="str">
        <f t="shared" si="73"/>
        <v>c</v>
      </c>
      <c r="E138" s="113" t="str">
        <f t="shared" si="73"/>
        <v>d</v>
      </c>
      <c r="F138" s="113" t="str">
        <f t="shared" si="73"/>
        <v>e</v>
      </c>
      <c r="G138" s="113" t="str">
        <f t="shared" si="73"/>
        <v>f</v>
      </c>
      <c r="H138" s="113" t="str">
        <f t="shared" si="73"/>
        <v>g</v>
      </c>
      <c r="I138" s="113" t="str">
        <f t="shared" si="73"/>
        <v>h</v>
      </c>
      <c r="J138" s="113" t="str">
        <f t="shared" si="73"/>
        <v>i</v>
      </c>
      <c r="K138" s="113" t="str">
        <f t="shared" si="73"/>
        <v>j</v>
      </c>
      <c r="L138" s="113" t="str">
        <f t="shared" si="73"/>
        <v>k</v>
      </c>
      <c r="M138" s="113" t="str">
        <f t="shared" si="73"/>
        <v>l</v>
      </c>
      <c r="N138" s="113" t="str">
        <f t="shared" si="73"/>
        <v>m</v>
      </c>
      <c r="O138" s="113">
        <f t="shared" si="73"/>
        <v>0</v>
      </c>
      <c r="P138" s="113">
        <f t="shared" si="73"/>
        <v>0</v>
      </c>
      <c r="Q138" s="113" t="str">
        <f t="shared" si="73"/>
        <v>p</v>
      </c>
      <c r="R138" s="113">
        <f t="shared" si="73"/>
        <v>0</v>
      </c>
      <c r="S138" s="113">
        <f t="shared" si="73"/>
        <v>0</v>
      </c>
      <c r="T138" s="113">
        <f t="shared" si="73"/>
        <v>0</v>
      </c>
      <c r="U138" s="113">
        <f t="shared" si="73"/>
        <v>0</v>
      </c>
      <c r="V138" s="113">
        <f t="shared" si="73"/>
        <v>0</v>
      </c>
      <c r="W138" s="113">
        <f t="shared" si="73"/>
        <v>0</v>
      </c>
      <c r="X138" s="113">
        <f t="shared" si="73"/>
        <v>0</v>
      </c>
      <c r="AA138" s="113">
        <v>9</v>
      </c>
      <c r="AB138" s="112">
        <f t="shared" ca="1" si="74"/>
        <v>39447</v>
      </c>
      <c r="AC138" s="428">
        <f t="shared" ca="1" si="74"/>
        <v>39538</v>
      </c>
      <c r="AD138" t="s">
        <v>510</v>
      </c>
      <c r="AF138" s="114">
        <f t="shared" ca="1" si="46"/>
        <v>14276.17</v>
      </c>
      <c r="AG138" s="114">
        <f t="shared" ca="1" si="46"/>
        <v>0</v>
      </c>
      <c r="AH138" s="114">
        <f t="shared" ca="1" si="46"/>
        <v>0</v>
      </c>
      <c r="AI138" s="114">
        <f t="shared" ca="1" si="46"/>
        <v>6384.11</v>
      </c>
      <c r="AJ138" s="114">
        <f t="shared" ca="1" si="46"/>
        <v>0</v>
      </c>
      <c r="AK138" s="114">
        <f t="shared" ca="1" si="46"/>
        <v>1721.69</v>
      </c>
      <c r="AN138">
        <f t="shared" si="49"/>
        <v>138</v>
      </c>
      <c r="AQ138" s="114">
        <f t="shared" ca="1" si="50"/>
        <v>1968</v>
      </c>
      <c r="AW138">
        <v>138</v>
      </c>
      <c r="BG138" s="114">
        <f t="shared" ca="1" si="47"/>
        <v>22628.28</v>
      </c>
      <c r="BI138">
        <f t="shared" si="48"/>
        <v>0</v>
      </c>
    </row>
    <row r="139" spans="1:61" x14ac:dyDescent="0.25">
      <c r="A139" s="113">
        <f t="shared" si="72"/>
        <v>726</v>
      </c>
      <c r="B139" s="113" t="str">
        <f t="shared" si="73"/>
        <v>a</v>
      </c>
      <c r="C139" s="113" t="str">
        <f t="shared" si="73"/>
        <v>b</v>
      </c>
      <c r="D139" s="113" t="str">
        <f t="shared" si="73"/>
        <v>c</v>
      </c>
      <c r="E139" s="113" t="str">
        <f t="shared" si="73"/>
        <v>d</v>
      </c>
      <c r="F139" s="113" t="str">
        <f t="shared" si="73"/>
        <v>e</v>
      </c>
      <c r="G139" s="113" t="str">
        <f t="shared" si="73"/>
        <v>f</v>
      </c>
      <c r="H139" s="113" t="str">
        <f t="shared" si="73"/>
        <v>g</v>
      </c>
      <c r="I139" s="113" t="str">
        <f t="shared" si="73"/>
        <v>h</v>
      </c>
      <c r="J139" s="113" t="str">
        <f t="shared" si="73"/>
        <v>i</v>
      </c>
      <c r="K139" s="113" t="str">
        <f t="shared" si="73"/>
        <v>j</v>
      </c>
      <c r="L139" s="113" t="str">
        <f t="shared" si="73"/>
        <v>k</v>
      </c>
      <c r="M139" s="113" t="str">
        <f t="shared" si="73"/>
        <v>l</v>
      </c>
      <c r="N139" s="113" t="str">
        <f t="shared" si="73"/>
        <v>m</v>
      </c>
      <c r="O139" s="113">
        <f t="shared" si="73"/>
        <v>0</v>
      </c>
      <c r="P139" s="113">
        <f t="shared" si="73"/>
        <v>0</v>
      </c>
      <c r="Q139" s="113" t="str">
        <f t="shared" si="73"/>
        <v>p</v>
      </c>
      <c r="R139" s="113">
        <f t="shared" si="73"/>
        <v>0</v>
      </c>
      <c r="S139" s="113">
        <f t="shared" si="73"/>
        <v>0</v>
      </c>
      <c r="T139" s="113">
        <f t="shared" si="73"/>
        <v>0</v>
      </c>
      <c r="U139" s="113">
        <f t="shared" si="73"/>
        <v>0</v>
      </c>
      <c r="V139" s="113">
        <f t="shared" si="73"/>
        <v>0</v>
      </c>
      <c r="W139" s="113">
        <f t="shared" si="73"/>
        <v>0</v>
      </c>
      <c r="X139" s="113">
        <f t="shared" si="73"/>
        <v>0</v>
      </c>
      <c r="AA139" s="113">
        <v>15</v>
      </c>
      <c r="AB139" s="112">
        <f t="shared" ca="1" si="74"/>
        <v>39447</v>
      </c>
      <c r="AC139" s="428">
        <f t="shared" ca="1" si="74"/>
        <v>39538</v>
      </c>
      <c r="AD139" t="s">
        <v>511</v>
      </c>
      <c r="AF139" s="114">
        <f t="shared" ca="1" si="46"/>
        <v>16084.62</v>
      </c>
      <c r="AG139" s="114">
        <f t="shared" ca="1" si="46"/>
        <v>0</v>
      </c>
      <c r="AH139" s="114">
        <f t="shared" ca="1" si="46"/>
        <v>0</v>
      </c>
      <c r="AI139" s="114">
        <f t="shared" ca="1" si="46"/>
        <v>6384.11</v>
      </c>
      <c r="AJ139" s="114">
        <f t="shared" ca="1" si="46"/>
        <v>0</v>
      </c>
      <c r="AK139" s="114">
        <f t="shared" ca="1" si="46"/>
        <v>1872.39</v>
      </c>
      <c r="AN139">
        <f t="shared" si="49"/>
        <v>139</v>
      </c>
      <c r="AQ139" s="114">
        <f t="shared" ca="1" si="50"/>
        <v>2424</v>
      </c>
      <c r="AW139">
        <v>139</v>
      </c>
      <c r="BG139" s="114">
        <f t="shared" ca="1" si="47"/>
        <v>24892.73</v>
      </c>
      <c r="BI139">
        <f t="shared" si="48"/>
        <v>0</v>
      </c>
    </row>
    <row r="140" spans="1:61" x14ac:dyDescent="0.25">
      <c r="A140" s="113">
        <f t="shared" si="72"/>
        <v>728</v>
      </c>
      <c r="B140" s="113" t="str">
        <f t="shared" si="73"/>
        <v>a</v>
      </c>
      <c r="C140" s="113" t="str">
        <f t="shared" si="73"/>
        <v>b</v>
      </c>
      <c r="D140" s="113" t="str">
        <f t="shared" si="73"/>
        <v>c</v>
      </c>
      <c r="E140" s="113" t="str">
        <f t="shared" si="73"/>
        <v>d</v>
      </c>
      <c r="F140" s="113" t="str">
        <f t="shared" si="73"/>
        <v>e</v>
      </c>
      <c r="G140" s="113" t="str">
        <f t="shared" si="73"/>
        <v>f</v>
      </c>
      <c r="H140" s="113" t="str">
        <f t="shared" si="73"/>
        <v>g</v>
      </c>
      <c r="I140" s="113" t="str">
        <f t="shared" si="73"/>
        <v>h</v>
      </c>
      <c r="J140" s="113" t="str">
        <f t="shared" si="73"/>
        <v>i</v>
      </c>
      <c r="K140" s="113" t="str">
        <f t="shared" si="73"/>
        <v>j</v>
      </c>
      <c r="L140" s="113" t="str">
        <f t="shared" si="73"/>
        <v>k</v>
      </c>
      <c r="M140" s="113" t="str">
        <f t="shared" si="73"/>
        <v>l</v>
      </c>
      <c r="N140" s="113" t="str">
        <f t="shared" si="73"/>
        <v>m</v>
      </c>
      <c r="O140" s="113">
        <f t="shared" si="73"/>
        <v>0</v>
      </c>
      <c r="P140" s="113">
        <f t="shared" si="73"/>
        <v>0</v>
      </c>
      <c r="Q140" s="113" t="str">
        <f t="shared" si="73"/>
        <v>p</v>
      </c>
      <c r="R140" s="113">
        <f t="shared" si="73"/>
        <v>0</v>
      </c>
      <c r="S140" s="113">
        <f t="shared" si="73"/>
        <v>0</v>
      </c>
      <c r="T140" s="113">
        <f t="shared" si="73"/>
        <v>0</v>
      </c>
      <c r="U140" s="113">
        <f t="shared" si="73"/>
        <v>0</v>
      </c>
      <c r="V140" s="113">
        <f t="shared" si="73"/>
        <v>0</v>
      </c>
      <c r="W140" s="113">
        <f t="shared" si="73"/>
        <v>0</v>
      </c>
      <c r="X140" s="113">
        <f t="shared" si="73"/>
        <v>0</v>
      </c>
      <c r="AA140" s="113">
        <v>21</v>
      </c>
      <c r="AB140" s="112">
        <f t="shared" ca="1" si="74"/>
        <v>39447</v>
      </c>
      <c r="AC140" s="428">
        <f t="shared" ca="1" si="74"/>
        <v>39538</v>
      </c>
      <c r="AD140" t="s">
        <v>512</v>
      </c>
      <c r="AF140" s="114">
        <f t="shared" ca="1" si="46"/>
        <v>17839.82</v>
      </c>
      <c r="AG140" s="114">
        <f t="shared" ca="1" si="46"/>
        <v>0</v>
      </c>
      <c r="AH140" s="114">
        <f t="shared" ca="1" si="46"/>
        <v>0</v>
      </c>
      <c r="AI140" s="114">
        <f t="shared" ca="1" si="46"/>
        <v>6384.11</v>
      </c>
      <c r="AJ140" s="114">
        <f t="shared" ca="1" si="46"/>
        <v>0</v>
      </c>
      <c r="AK140" s="114">
        <f t="shared" ca="1" si="46"/>
        <v>2018.66</v>
      </c>
      <c r="AN140">
        <f t="shared" si="49"/>
        <v>140</v>
      </c>
      <c r="AQ140" s="114">
        <f t="shared" ca="1" si="50"/>
        <v>2424</v>
      </c>
      <c r="AW140">
        <v>140</v>
      </c>
      <c r="BG140" s="114">
        <f t="shared" ca="1" si="47"/>
        <v>26647.93</v>
      </c>
      <c r="BI140">
        <f t="shared" si="48"/>
        <v>0</v>
      </c>
    </row>
    <row r="141" spans="1:61" x14ac:dyDescent="0.25">
      <c r="A141" s="113">
        <f t="shared" si="72"/>
        <v>730</v>
      </c>
      <c r="B141" s="113" t="str">
        <f t="shared" si="73"/>
        <v>a</v>
      </c>
      <c r="C141" s="113" t="str">
        <f t="shared" si="73"/>
        <v>b</v>
      </c>
      <c r="D141" s="113" t="str">
        <f t="shared" si="73"/>
        <v>c</v>
      </c>
      <c r="E141" s="113" t="str">
        <f t="shared" si="73"/>
        <v>d</v>
      </c>
      <c r="F141" s="113" t="str">
        <f t="shared" si="73"/>
        <v>e</v>
      </c>
      <c r="G141" s="113" t="str">
        <f t="shared" si="73"/>
        <v>f</v>
      </c>
      <c r="H141" s="113" t="str">
        <f t="shared" si="73"/>
        <v>g</v>
      </c>
      <c r="I141" s="113" t="str">
        <f t="shared" si="73"/>
        <v>h</v>
      </c>
      <c r="J141" s="113" t="str">
        <f t="shared" si="73"/>
        <v>i</v>
      </c>
      <c r="K141" s="113" t="str">
        <f t="shared" si="73"/>
        <v>j</v>
      </c>
      <c r="L141" s="113" t="str">
        <f t="shared" si="73"/>
        <v>k</v>
      </c>
      <c r="M141" s="113" t="str">
        <f t="shared" si="73"/>
        <v>l</v>
      </c>
      <c r="N141" s="113" t="str">
        <f t="shared" si="73"/>
        <v>m</v>
      </c>
      <c r="O141" s="113">
        <f t="shared" si="73"/>
        <v>0</v>
      </c>
      <c r="P141" s="113">
        <f t="shared" si="73"/>
        <v>0</v>
      </c>
      <c r="Q141" s="113" t="str">
        <f t="shared" si="73"/>
        <v>p</v>
      </c>
      <c r="R141" s="113">
        <f t="shared" si="73"/>
        <v>0</v>
      </c>
      <c r="S141" s="113">
        <f t="shared" si="73"/>
        <v>0</v>
      </c>
      <c r="T141" s="113">
        <f t="shared" si="73"/>
        <v>0</v>
      </c>
      <c r="U141" s="113">
        <f t="shared" si="73"/>
        <v>0</v>
      </c>
      <c r="V141" s="113">
        <f t="shared" si="73"/>
        <v>0</v>
      </c>
      <c r="W141" s="113">
        <f t="shared" si="73"/>
        <v>0</v>
      </c>
      <c r="X141" s="113">
        <f t="shared" si="73"/>
        <v>0</v>
      </c>
      <c r="AA141" s="113">
        <v>28</v>
      </c>
      <c r="AB141" s="112">
        <f t="shared" ca="1" si="74"/>
        <v>39447</v>
      </c>
      <c r="AC141" s="428">
        <f t="shared" ca="1" si="74"/>
        <v>39538</v>
      </c>
      <c r="AD141" t="s">
        <v>513</v>
      </c>
      <c r="AF141" s="114">
        <f t="shared" ca="1" si="46"/>
        <v>19571.63</v>
      </c>
      <c r="AG141" s="114">
        <f t="shared" ca="1" si="46"/>
        <v>0</v>
      </c>
      <c r="AH141" s="114">
        <f t="shared" ca="1" si="46"/>
        <v>0</v>
      </c>
      <c r="AI141" s="114">
        <f t="shared" ca="1" si="46"/>
        <v>6384.11</v>
      </c>
      <c r="AJ141" s="114">
        <f t="shared" ca="1" si="46"/>
        <v>0</v>
      </c>
      <c r="AK141" s="114">
        <f t="shared" ca="1" si="46"/>
        <v>2162.98</v>
      </c>
      <c r="AN141">
        <f t="shared" si="49"/>
        <v>141</v>
      </c>
      <c r="AQ141" s="114">
        <f t="shared" ca="1" si="50"/>
        <v>3090</v>
      </c>
      <c r="AW141">
        <v>141</v>
      </c>
      <c r="BG141" s="114">
        <f t="shared" ca="1" si="47"/>
        <v>29045.74</v>
      </c>
      <c r="BI141">
        <f t="shared" si="48"/>
        <v>0</v>
      </c>
    </row>
    <row r="142" spans="1:61" x14ac:dyDescent="0.25">
      <c r="A142" s="113">
        <f t="shared" si="72"/>
        <v>732</v>
      </c>
      <c r="B142" s="113" t="str">
        <f t="shared" si="73"/>
        <v>a</v>
      </c>
      <c r="C142" s="113" t="str">
        <f t="shared" si="73"/>
        <v>b</v>
      </c>
      <c r="D142" s="113" t="str">
        <f t="shared" si="73"/>
        <v>c</v>
      </c>
      <c r="E142" s="113" t="str">
        <f t="shared" si="73"/>
        <v>d</v>
      </c>
      <c r="F142" s="113" t="str">
        <f t="shared" si="73"/>
        <v>e</v>
      </c>
      <c r="G142" s="113" t="str">
        <f t="shared" si="73"/>
        <v>f</v>
      </c>
      <c r="H142" s="113" t="str">
        <f t="shared" si="73"/>
        <v>g</v>
      </c>
      <c r="I142" s="113" t="str">
        <f t="shared" si="73"/>
        <v>h</v>
      </c>
      <c r="J142" s="113" t="str">
        <f t="shared" si="73"/>
        <v>i</v>
      </c>
      <c r="K142" s="113" t="str">
        <f t="shared" si="73"/>
        <v>j</v>
      </c>
      <c r="L142" s="113" t="str">
        <f t="shared" si="73"/>
        <v>k</v>
      </c>
      <c r="M142" s="113" t="str">
        <f t="shared" si="73"/>
        <v>l</v>
      </c>
      <c r="N142" s="113" t="str">
        <f t="shared" si="73"/>
        <v>m</v>
      </c>
      <c r="O142" s="113">
        <f t="shared" si="73"/>
        <v>0</v>
      </c>
      <c r="P142" s="113">
        <f t="shared" si="73"/>
        <v>0</v>
      </c>
      <c r="Q142" s="113" t="str">
        <f t="shared" si="73"/>
        <v>p</v>
      </c>
      <c r="R142" s="113">
        <f t="shared" si="73"/>
        <v>0</v>
      </c>
      <c r="S142" s="113">
        <f t="shared" si="73"/>
        <v>0</v>
      </c>
      <c r="T142" s="113">
        <f t="shared" si="73"/>
        <v>0</v>
      </c>
      <c r="U142" s="113">
        <f t="shared" si="73"/>
        <v>0</v>
      </c>
      <c r="V142" s="113">
        <f t="shared" si="73"/>
        <v>0</v>
      </c>
      <c r="W142" s="113">
        <f t="shared" si="73"/>
        <v>0</v>
      </c>
      <c r="X142" s="113">
        <f t="shared" si="73"/>
        <v>0</v>
      </c>
      <c r="AA142" s="113">
        <v>35</v>
      </c>
      <c r="AB142" s="112">
        <f t="shared" ca="1" si="74"/>
        <v>39447</v>
      </c>
      <c r="AC142" s="428">
        <f t="shared" ca="1" si="74"/>
        <v>39538</v>
      </c>
      <c r="AD142" t="s">
        <v>514</v>
      </c>
      <c r="AF142" s="114">
        <f t="shared" ca="1" si="46"/>
        <v>20861.12</v>
      </c>
      <c r="AG142" s="114">
        <f t="shared" ca="1" si="46"/>
        <v>0</v>
      </c>
      <c r="AH142" s="114">
        <f t="shared" ca="1" si="46"/>
        <v>0</v>
      </c>
      <c r="AI142" s="114">
        <f t="shared" ca="1" si="46"/>
        <v>6384.11</v>
      </c>
      <c r="AJ142" s="114">
        <f t="shared" ca="1" si="46"/>
        <v>0</v>
      </c>
      <c r="AK142" s="114">
        <f t="shared" ca="1" si="46"/>
        <v>2270.44</v>
      </c>
      <c r="AN142">
        <f t="shared" si="49"/>
        <v>142</v>
      </c>
      <c r="AQ142" s="114">
        <f t="shared" ca="1" si="50"/>
        <v>3090</v>
      </c>
      <c r="AW142">
        <v>142</v>
      </c>
      <c r="BG142" s="114">
        <f t="shared" ca="1" si="47"/>
        <v>30335.23</v>
      </c>
      <c r="BI142">
        <f t="shared" si="48"/>
        <v>0</v>
      </c>
    </row>
    <row r="143" spans="1:61" x14ac:dyDescent="0.25">
      <c r="A143" s="113">
        <f>A136+20</f>
        <v>740</v>
      </c>
      <c r="B143" s="113" t="str">
        <f>B136</f>
        <v>a</v>
      </c>
      <c r="C143" s="113" t="str">
        <f t="shared" ref="C143:X143" si="75">C136</f>
        <v>b</v>
      </c>
      <c r="D143" s="113" t="str">
        <f t="shared" si="75"/>
        <v>c</v>
      </c>
      <c r="E143" s="113" t="str">
        <f t="shared" si="75"/>
        <v>d</v>
      </c>
      <c r="F143" s="113" t="str">
        <f t="shared" si="75"/>
        <v>e</v>
      </c>
      <c r="G143" s="113" t="str">
        <f t="shared" si="75"/>
        <v>f</v>
      </c>
      <c r="H143" s="113" t="str">
        <f t="shared" si="75"/>
        <v>g</v>
      </c>
      <c r="I143" s="113" t="str">
        <f t="shared" si="75"/>
        <v>h</v>
      </c>
      <c r="J143" s="113" t="str">
        <f t="shared" si="75"/>
        <v>i</v>
      </c>
      <c r="K143" s="113" t="str">
        <f t="shared" si="75"/>
        <v>j</v>
      </c>
      <c r="L143" s="113" t="str">
        <f t="shared" si="75"/>
        <v>k</v>
      </c>
      <c r="M143" s="113" t="str">
        <f t="shared" si="75"/>
        <v>l</v>
      </c>
      <c r="N143" s="113" t="str">
        <f t="shared" si="75"/>
        <v>m</v>
      </c>
      <c r="O143" s="113">
        <f t="shared" si="75"/>
        <v>0</v>
      </c>
      <c r="P143" s="113">
        <f t="shared" si="75"/>
        <v>0</v>
      </c>
      <c r="Q143" s="113" t="str">
        <f t="shared" si="75"/>
        <v>p</v>
      </c>
      <c r="R143" s="113">
        <f t="shared" si="75"/>
        <v>0</v>
      </c>
      <c r="S143" s="113">
        <f t="shared" si="75"/>
        <v>0</v>
      </c>
      <c r="T143" s="113">
        <f t="shared" si="75"/>
        <v>0</v>
      </c>
      <c r="U143" s="113">
        <f t="shared" si="75"/>
        <v>0</v>
      </c>
      <c r="V143" s="113">
        <f t="shared" si="75"/>
        <v>0</v>
      </c>
      <c r="W143" s="113">
        <f t="shared" si="75"/>
        <v>0</v>
      </c>
      <c r="X143" s="113">
        <f t="shared" si="75"/>
        <v>0</v>
      </c>
      <c r="AA143" s="113">
        <v>0</v>
      </c>
      <c r="AB143" s="112">
        <f ca="1">INDIRECT(CONCATENATE($AB$10,CONCATENATE(B143,$A143)))</f>
        <v>39539</v>
      </c>
      <c r="AC143" s="428">
        <f ca="1">INDIRECT(CONCATENATE($AB$10,CONCATENATE(C143,$A143)))</f>
        <v>39629</v>
      </c>
      <c r="AD143" t="s">
        <v>515</v>
      </c>
      <c r="AF143" s="114">
        <f t="shared" ca="1" si="46"/>
        <v>12320.15</v>
      </c>
      <c r="AG143" s="114">
        <f ca="1">INDIRECT(CONCATENATE($AB$10,CONCATENATE(G143,$A143)))</f>
        <v>0</v>
      </c>
      <c r="AH143" s="114">
        <f ca="1">INDIRECT(CONCATENATE($AB$10,CONCATENATE(H143,$A143)))</f>
        <v>0</v>
      </c>
      <c r="AI143" s="114">
        <f ca="1">INDIRECT(CONCATENATE($AB$10,CONCATENATE(I143,$A143)))</f>
        <v>6384.11</v>
      </c>
      <c r="AJ143" s="114">
        <f ca="1">INDIRECT(CONCATENATE($AB$10,CONCATENATE(J143,$A143)))</f>
        <v>0</v>
      </c>
      <c r="AK143" s="114">
        <f ca="1">INDIRECT(CONCATENATE($AB$10,CONCATENATE(K143,$A143)))</f>
        <v>1558.69</v>
      </c>
      <c r="AN143">
        <f t="shared" si="49"/>
        <v>143</v>
      </c>
      <c r="AQ143" s="114">
        <f t="shared" ca="1" si="50"/>
        <v>1968</v>
      </c>
      <c r="AW143">
        <v>143</v>
      </c>
      <c r="BG143" s="114">
        <f t="shared" ca="1" si="47"/>
        <v>20672.259999999998</v>
      </c>
      <c r="BI143">
        <f t="shared" si="48"/>
        <v>0</v>
      </c>
    </row>
    <row r="144" spans="1:61" x14ac:dyDescent="0.25">
      <c r="A144" s="113">
        <f t="shared" ref="A144:A149" si="76">A143+2</f>
        <v>742</v>
      </c>
      <c r="B144" s="113" t="str">
        <f t="shared" ref="B144:X149" si="77">B143</f>
        <v>a</v>
      </c>
      <c r="C144" s="113" t="str">
        <f t="shared" si="77"/>
        <v>b</v>
      </c>
      <c r="D144" s="113" t="str">
        <f t="shared" si="77"/>
        <v>c</v>
      </c>
      <c r="E144" s="113" t="str">
        <f t="shared" si="77"/>
        <v>d</v>
      </c>
      <c r="F144" s="113" t="str">
        <f t="shared" si="77"/>
        <v>e</v>
      </c>
      <c r="G144" s="113" t="str">
        <f t="shared" si="77"/>
        <v>f</v>
      </c>
      <c r="H144" s="113" t="str">
        <f t="shared" si="77"/>
        <v>g</v>
      </c>
      <c r="I144" s="113" t="str">
        <f t="shared" si="77"/>
        <v>h</v>
      </c>
      <c r="J144" s="113" t="str">
        <f t="shared" si="77"/>
        <v>i</v>
      </c>
      <c r="K144" s="113" t="str">
        <f t="shared" si="77"/>
        <v>j</v>
      </c>
      <c r="L144" s="113" t="str">
        <f t="shared" si="77"/>
        <v>k</v>
      </c>
      <c r="M144" s="113" t="str">
        <f t="shared" si="77"/>
        <v>l</v>
      </c>
      <c r="N144" s="113" t="str">
        <f t="shared" si="77"/>
        <v>m</v>
      </c>
      <c r="O144" s="113">
        <f t="shared" si="77"/>
        <v>0</v>
      </c>
      <c r="P144" s="113">
        <f t="shared" si="77"/>
        <v>0</v>
      </c>
      <c r="Q144" s="113" t="str">
        <f t="shared" si="77"/>
        <v>p</v>
      </c>
      <c r="R144" s="113">
        <f t="shared" si="77"/>
        <v>0</v>
      </c>
      <c r="S144" s="113">
        <f t="shared" si="77"/>
        <v>0</v>
      </c>
      <c r="T144" s="113">
        <f t="shared" si="77"/>
        <v>0</v>
      </c>
      <c r="U144" s="113">
        <f t="shared" si="77"/>
        <v>0</v>
      </c>
      <c r="V144" s="113">
        <f t="shared" si="77"/>
        <v>0</v>
      </c>
      <c r="W144" s="113">
        <f t="shared" si="77"/>
        <v>0</v>
      </c>
      <c r="X144" s="113">
        <f t="shared" si="77"/>
        <v>0</v>
      </c>
      <c r="AA144" s="113">
        <v>3</v>
      </c>
      <c r="AB144" s="112">
        <f t="shared" ref="AB144:AC149" ca="1" si="78">AB143</f>
        <v>39539</v>
      </c>
      <c r="AC144" s="428">
        <f t="shared" ca="1" si="78"/>
        <v>39629</v>
      </c>
      <c r="AD144" t="s">
        <v>516</v>
      </c>
      <c r="AF144" s="114">
        <f t="shared" ca="1" si="46"/>
        <v>12822.88</v>
      </c>
      <c r="AG144" s="114">
        <f t="shared" ca="1" si="46"/>
        <v>0</v>
      </c>
      <c r="AH144" s="114">
        <f t="shared" ca="1" si="46"/>
        <v>0</v>
      </c>
      <c r="AI144" s="114">
        <f t="shared" ca="1" si="46"/>
        <v>6384.11</v>
      </c>
      <c r="AJ144" s="114">
        <f t="shared" ca="1" si="46"/>
        <v>0</v>
      </c>
      <c r="AK144" s="114">
        <f t="shared" ca="1" si="46"/>
        <v>1600.58</v>
      </c>
      <c r="AN144">
        <f t="shared" si="49"/>
        <v>144</v>
      </c>
      <c r="AQ144" s="114">
        <f t="shared" ca="1" si="50"/>
        <v>1968</v>
      </c>
      <c r="AW144">
        <v>144</v>
      </c>
      <c r="BG144" s="114">
        <f t="shared" ca="1" si="47"/>
        <v>21174.989999999998</v>
      </c>
      <c r="BI144">
        <f t="shared" si="48"/>
        <v>0</v>
      </c>
    </row>
    <row r="145" spans="1:61" x14ac:dyDescent="0.25">
      <c r="A145" s="113">
        <f t="shared" si="76"/>
        <v>744</v>
      </c>
      <c r="B145" s="113" t="str">
        <f t="shared" si="77"/>
        <v>a</v>
      </c>
      <c r="C145" s="113" t="str">
        <f t="shared" si="77"/>
        <v>b</v>
      </c>
      <c r="D145" s="113" t="str">
        <f t="shared" si="77"/>
        <v>c</v>
      </c>
      <c r="E145" s="113" t="str">
        <f t="shared" si="77"/>
        <v>d</v>
      </c>
      <c r="F145" s="113" t="str">
        <f t="shared" si="77"/>
        <v>e</v>
      </c>
      <c r="G145" s="113" t="str">
        <f t="shared" si="77"/>
        <v>f</v>
      </c>
      <c r="H145" s="113" t="str">
        <f t="shared" si="77"/>
        <v>g</v>
      </c>
      <c r="I145" s="113" t="str">
        <f t="shared" si="77"/>
        <v>h</v>
      </c>
      <c r="J145" s="113" t="str">
        <f t="shared" si="77"/>
        <v>i</v>
      </c>
      <c r="K145" s="113" t="str">
        <f t="shared" si="77"/>
        <v>j</v>
      </c>
      <c r="L145" s="113" t="str">
        <f t="shared" si="77"/>
        <v>k</v>
      </c>
      <c r="M145" s="113" t="str">
        <f t="shared" si="77"/>
        <v>l</v>
      </c>
      <c r="N145" s="113" t="str">
        <f t="shared" si="77"/>
        <v>m</v>
      </c>
      <c r="O145" s="113">
        <f t="shared" si="77"/>
        <v>0</v>
      </c>
      <c r="P145" s="113">
        <f t="shared" si="77"/>
        <v>0</v>
      </c>
      <c r="Q145" s="113" t="str">
        <f t="shared" si="77"/>
        <v>p</v>
      </c>
      <c r="R145" s="113">
        <f t="shared" si="77"/>
        <v>0</v>
      </c>
      <c r="S145" s="113">
        <f t="shared" si="77"/>
        <v>0</v>
      </c>
      <c r="T145" s="113">
        <f t="shared" si="77"/>
        <v>0</v>
      </c>
      <c r="U145" s="113">
        <f t="shared" si="77"/>
        <v>0</v>
      </c>
      <c r="V145" s="113">
        <f t="shared" si="77"/>
        <v>0</v>
      </c>
      <c r="W145" s="113">
        <f t="shared" si="77"/>
        <v>0</v>
      </c>
      <c r="X145" s="113">
        <f t="shared" si="77"/>
        <v>0</v>
      </c>
      <c r="AA145" s="113">
        <v>9</v>
      </c>
      <c r="AB145" s="112">
        <f t="shared" ca="1" si="78"/>
        <v>39539</v>
      </c>
      <c r="AC145" s="428">
        <f t="shared" ca="1" si="78"/>
        <v>39629</v>
      </c>
      <c r="AD145" t="s">
        <v>510</v>
      </c>
      <c r="AF145" s="114">
        <f t="shared" ca="1" si="46"/>
        <v>14371.09</v>
      </c>
      <c r="AG145" s="114">
        <f t="shared" ca="1" si="46"/>
        <v>0</v>
      </c>
      <c r="AH145" s="114">
        <f t="shared" ca="1" si="46"/>
        <v>0</v>
      </c>
      <c r="AI145" s="114">
        <f t="shared" ca="1" si="46"/>
        <v>6384.11</v>
      </c>
      <c r="AJ145" s="114">
        <f t="shared" ca="1" si="46"/>
        <v>0</v>
      </c>
      <c r="AK145" s="114">
        <f t="shared" ca="1" si="46"/>
        <v>1729.6</v>
      </c>
      <c r="AN145">
        <f t="shared" si="49"/>
        <v>145</v>
      </c>
      <c r="AQ145" s="114">
        <f t="shared" ca="1" si="50"/>
        <v>1968</v>
      </c>
      <c r="AW145">
        <v>145</v>
      </c>
      <c r="BG145" s="114">
        <f t="shared" ca="1" si="47"/>
        <v>22723.200000000001</v>
      </c>
      <c r="BI145">
        <f t="shared" si="48"/>
        <v>0</v>
      </c>
    </row>
    <row r="146" spans="1:61" x14ac:dyDescent="0.25">
      <c r="A146" s="113">
        <f t="shared" si="76"/>
        <v>746</v>
      </c>
      <c r="B146" s="113" t="str">
        <f t="shared" si="77"/>
        <v>a</v>
      </c>
      <c r="C146" s="113" t="str">
        <f t="shared" si="77"/>
        <v>b</v>
      </c>
      <c r="D146" s="113" t="str">
        <f t="shared" si="77"/>
        <v>c</v>
      </c>
      <c r="E146" s="113" t="str">
        <f t="shared" si="77"/>
        <v>d</v>
      </c>
      <c r="F146" s="113" t="str">
        <f t="shared" si="77"/>
        <v>e</v>
      </c>
      <c r="G146" s="113" t="str">
        <f t="shared" si="77"/>
        <v>f</v>
      </c>
      <c r="H146" s="113" t="str">
        <f t="shared" si="77"/>
        <v>g</v>
      </c>
      <c r="I146" s="113" t="str">
        <f t="shared" si="77"/>
        <v>h</v>
      </c>
      <c r="J146" s="113" t="str">
        <f t="shared" si="77"/>
        <v>i</v>
      </c>
      <c r="K146" s="113" t="str">
        <f t="shared" si="77"/>
        <v>j</v>
      </c>
      <c r="L146" s="113" t="str">
        <f t="shared" si="77"/>
        <v>k</v>
      </c>
      <c r="M146" s="113" t="str">
        <f t="shared" si="77"/>
        <v>l</v>
      </c>
      <c r="N146" s="113" t="str">
        <f t="shared" si="77"/>
        <v>m</v>
      </c>
      <c r="O146" s="113">
        <f t="shared" si="77"/>
        <v>0</v>
      </c>
      <c r="P146" s="113">
        <f t="shared" si="77"/>
        <v>0</v>
      </c>
      <c r="Q146" s="113" t="str">
        <f t="shared" si="77"/>
        <v>p</v>
      </c>
      <c r="R146" s="113">
        <f t="shared" si="77"/>
        <v>0</v>
      </c>
      <c r="S146" s="113">
        <f t="shared" si="77"/>
        <v>0</v>
      </c>
      <c r="T146" s="113">
        <f t="shared" si="77"/>
        <v>0</v>
      </c>
      <c r="U146" s="113">
        <f t="shared" si="77"/>
        <v>0</v>
      </c>
      <c r="V146" s="113">
        <f t="shared" si="77"/>
        <v>0</v>
      </c>
      <c r="W146" s="113">
        <f t="shared" si="77"/>
        <v>0</v>
      </c>
      <c r="X146" s="113">
        <f t="shared" si="77"/>
        <v>0</v>
      </c>
      <c r="AA146" s="113">
        <v>15</v>
      </c>
      <c r="AB146" s="112">
        <f t="shared" ca="1" si="78"/>
        <v>39539</v>
      </c>
      <c r="AC146" s="428">
        <f t="shared" ca="1" si="78"/>
        <v>39629</v>
      </c>
      <c r="AD146" t="s">
        <v>511</v>
      </c>
      <c r="AF146" s="114">
        <f t="shared" ca="1" si="46"/>
        <v>16179.54</v>
      </c>
      <c r="AG146" s="114">
        <f t="shared" ca="1" si="46"/>
        <v>0</v>
      </c>
      <c r="AH146" s="114">
        <f t="shared" ca="1" si="46"/>
        <v>0</v>
      </c>
      <c r="AI146" s="114">
        <f t="shared" ca="1" si="46"/>
        <v>6384.11</v>
      </c>
      <c r="AJ146" s="114">
        <f t="shared" ca="1" si="46"/>
        <v>0</v>
      </c>
      <c r="AK146" s="114">
        <f t="shared" ca="1" si="46"/>
        <v>1880.3</v>
      </c>
      <c r="AN146">
        <f t="shared" si="49"/>
        <v>146</v>
      </c>
      <c r="AQ146" s="114">
        <f t="shared" ca="1" si="50"/>
        <v>2424</v>
      </c>
      <c r="AW146">
        <v>146</v>
      </c>
      <c r="BG146" s="114">
        <f t="shared" ca="1" si="47"/>
        <v>24987.65</v>
      </c>
      <c r="BI146">
        <f t="shared" si="48"/>
        <v>0</v>
      </c>
    </row>
    <row r="147" spans="1:61" x14ac:dyDescent="0.25">
      <c r="A147" s="113">
        <f t="shared" si="76"/>
        <v>748</v>
      </c>
      <c r="B147" s="113" t="str">
        <f t="shared" si="77"/>
        <v>a</v>
      </c>
      <c r="C147" s="113" t="str">
        <f t="shared" si="77"/>
        <v>b</v>
      </c>
      <c r="D147" s="113" t="str">
        <f t="shared" si="77"/>
        <v>c</v>
      </c>
      <c r="E147" s="113" t="str">
        <f t="shared" si="77"/>
        <v>d</v>
      </c>
      <c r="F147" s="113" t="str">
        <f t="shared" si="77"/>
        <v>e</v>
      </c>
      <c r="G147" s="113" t="str">
        <f t="shared" si="77"/>
        <v>f</v>
      </c>
      <c r="H147" s="113" t="str">
        <f t="shared" si="77"/>
        <v>g</v>
      </c>
      <c r="I147" s="113" t="str">
        <f t="shared" si="77"/>
        <v>h</v>
      </c>
      <c r="J147" s="113" t="str">
        <f t="shared" si="77"/>
        <v>i</v>
      </c>
      <c r="K147" s="113" t="str">
        <f t="shared" si="77"/>
        <v>j</v>
      </c>
      <c r="L147" s="113" t="str">
        <f t="shared" si="77"/>
        <v>k</v>
      </c>
      <c r="M147" s="113" t="str">
        <f t="shared" si="77"/>
        <v>l</v>
      </c>
      <c r="N147" s="113" t="str">
        <f t="shared" si="77"/>
        <v>m</v>
      </c>
      <c r="O147" s="113">
        <f t="shared" si="77"/>
        <v>0</v>
      </c>
      <c r="P147" s="113">
        <f t="shared" si="77"/>
        <v>0</v>
      </c>
      <c r="Q147" s="113" t="str">
        <f t="shared" si="77"/>
        <v>p</v>
      </c>
      <c r="R147" s="113">
        <f t="shared" si="77"/>
        <v>0</v>
      </c>
      <c r="S147" s="113">
        <f t="shared" si="77"/>
        <v>0</v>
      </c>
      <c r="T147" s="113">
        <f t="shared" si="77"/>
        <v>0</v>
      </c>
      <c r="U147" s="113">
        <f t="shared" si="77"/>
        <v>0</v>
      </c>
      <c r="V147" s="113">
        <f t="shared" si="77"/>
        <v>0</v>
      </c>
      <c r="W147" s="113">
        <f t="shared" si="77"/>
        <v>0</v>
      </c>
      <c r="X147" s="113">
        <f t="shared" si="77"/>
        <v>0</v>
      </c>
      <c r="AA147" s="113">
        <v>21</v>
      </c>
      <c r="AB147" s="112">
        <f t="shared" ca="1" si="78"/>
        <v>39539</v>
      </c>
      <c r="AC147" s="428">
        <f t="shared" ca="1" si="78"/>
        <v>39629</v>
      </c>
      <c r="AD147" t="s">
        <v>512</v>
      </c>
      <c r="AF147" s="114">
        <f t="shared" ca="1" si="46"/>
        <v>17934.740000000002</v>
      </c>
      <c r="AG147" s="114">
        <f t="shared" ca="1" si="46"/>
        <v>0</v>
      </c>
      <c r="AH147" s="114">
        <f t="shared" ca="1" si="46"/>
        <v>0</v>
      </c>
      <c r="AI147" s="114">
        <f t="shared" ca="1" si="46"/>
        <v>6384.11</v>
      </c>
      <c r="AJ147" s="114">
        <f t="shared" ref="AJ147:AK149" ca="1" si="79">INDIRECT(CONCATENATE($AB$10,CONCATENATE(J147,$A147)))</f>
        <v>0</v>
      </c>
      <c r="AK147" s="114">
        <f t="shared" ca="1" si="79"/>
        <v>2026.57</v>
      </c>
      <c r="AN147">
        <f t="shared" si="49"/>
        <v>147</v>
      </c>
      <c r="AQ147" s="114">
        <f t="shared" ca="1" si="50"/>
        <v>2424</v>
      </c>
      <c r="AW147">
        <v>147</v>
      </c>
      <c r="BG147" s="114">
        <f t="shared" ca="1" si="47"/>
        <v>26742.850000000002</v>
      </c>
      <c r="BI147">
        <f t="shared" si="48"/>
        <v>0</v>
      </c>
    </row>
    <row r="148" spans="1:61" x14ac:dyDescent="0.25">
      <c r="A148" s="113">
        <f t="shared" si="76"/>
        <v>750</v>
      </c>
      <c r="B148" s="113" t="str">
        <f t="shared" si="77"/>
        <v>a</v>
      </c>
      <c r="C148" s="113" t="str">
        <f t="shared" si="77"/>
        <v>b</v>
      </c>
      <c r="D148" s="113" t="str">
        <f t="shared" si="77"/>
        <v>c</v>
      </c>
      <c r="E148" s="113" t="str">
        <f t="shared" si="77"/>
        <v>d</v>
      </c>
      <c r="F148" s="113" t="str">
        <f t="shared" si="77"/>
        <v>e</v>
      </c>
      <c r="G148" s="113" t="str">
        <f t="shared" si="77"/>
        <v>f</v>
      </c>
      <c r="H148" s="113" t="str">
        <f t="shared" si="77"/>
        <v>g</v>
      </c>
      <c r="I148" s="113" t="str">
        <f t="shared" si="77"/>
        <v>h</v>
      </c>
      <c r="J148" s="113" t="str">
        <f t="shared" si="77"/>
        <v>i</v>
      </c>
      <c r="K148" s="113" t="str">
        <f t="shared" si="77"/>
        <v>j</v>
      </c>
      <c r="L148" s="113" t="str">
        <f t="shared" si="77"/>
        <v>k</v>
      </c>
      <c r="M148" s="113" t="str">
        <f t="shared" si="77"/>
        <v>l</v>
      </c>
      <c r="N148" s="113" t="str">
        <f t="shared" si="77"/>
        <v>m</v>
      </c>
      <c r="O148" s="113">
        <f t="shared" si="77"/>
        <v>0</v>
      </c>
      <c r="P148" s="113">
        <f t="shared" si="77"/>
        <v>0</v>
      </c>
      <c r="Q148" s="113" t="str">
        <f t="shared" si="77"/>
        <v>p</v>
      </c>
      <c r="R148" s="113">
        <f t="shared" si="77"/>
        <v>0</v>
      </c>
      <c r="S148" s="113">
        <f t="shared" si="77"/>
        <v>0</v>
      </c>
      <c r="T148" s="113">
        <f t="shared" si="77"/>
        <v>0</v>
      </c>
      <c r="U148" s="113">
        <f t="shared" si="77"/>
        <v>0</v>
      </c>
      <c r="V148" s="113">
        <f t="shared" si="77"/>
        <v>0</v>
      </c>
      <c r="W148" s="113">
        <f t="shared" si="77"/>
        <v>0</v>
      </c>
      <c r="X148" s="113">
        <f t="shared" si="77"/>
        <v>0</v>
      </c>
      <c r="AA148" s="113">
        <v>28</v>
      </c>
      <c r="AB148" s="112">
        <f t="shared" ca="1" si="78"/>
        <v>39539</v>
      </c>
      <c r="AC148" s="428">
        <f t="shared" ca="1" si="78"/>
        <v>39629</v>
      </c>
      <c r="AD148" t="s">
        <v>513</v>
      </c>
      <c r="AF148" s="114">
        <f t="shared" ref="AF148:AK196" ca="1" si="80">INDIRECT(CONCATENATE($AB$10,CONCATENATE(F148,$A148)))</f>
        <v>19666.55</v>
      </c>
      <c r="AG148" s="114">
        <f t="shared" ca="1" si="80"/>
        <v>0</v>
      </c>
      <c r="AH148" s="114">
        <f t="shared" ca="1" si="80"/>
        <v>0</v>
      </c>
      <c r="AI148" s="114">
        <f t="shared" ca="1" si="80"/>
        <v>6384.11</v>
      </c>
      <c r="AJ148" s="114">
        <f t="shared" ca="1" si="79"/>
        <v>0</v>
      </c>
      <c r="AK148" s="114">
        <f t="shared" ca="1" si="79"/>
        <v>2170.89</v>
      </c>
      <c r="AN148">
        <f t="shared" si="49"/>
        <v>148</v>
      </c>
      <c r="AQ148" s="114">
        <f t="shared" ca="1" si="50"/>
        <v>3090</v>
      </c>
      <c r="AW148">
        <v>148</v>
      </c>
      <c r="BG148" s="114">
        <f t="shared" ca="1" si="47"/>
        <v>29140.66</v>
      </c>
      <c r="BI148">
        <f t="shared" si="48"/>
        <v>0</v>
      </c>
    </row>
    <row r="149" spans="1:61" x14ac:dyDescent="0.25">
      <c r="A149" s="113">
        <f t="shared" si="76"/>
        <v>752</v>
      </c>
      <c r="B149" s="113" t="str">
        <f t="shared" si="77"/>
        <v>a</v>
      </c>
      <c r="C149" s="113" t="str">
        <f t="shared" si="77"/>
        <v>b</v>
      </c>
      <c r="D149" s="113" t="str">
        <f t="shared" si="77"/>
        <v>c</v>
      </c>
      <c r="E149" s="113" t="str">
        <f t="shared" si="77"/>
        <v>d</v>
      </c>
      <c r="F149" s="113" t="str">
        <f t="shared" si="77"/>
        <v>e</v>
      </c>
      <c r="G149" s="113" t="str">
        <f t="shared" si="77"/>
        <v>f</v>
      </c>
      <c r="H149" s="113" t="str">
        <f t="shared" si="77"/>
        <v>g</v>
      </c>
      <c r="I149" s="113" t="str">
        <f t="shared" si="77"/>
        <v>h</v>
      </c>
      <c r="J149" s="113" t="str">
        <f t="shared" si="77"/>
        <v>i</v>
      </c>
      <c r="K149" s="113" t="str">
        <f t="shared" si="77"/>
        <v>j</v>
      </c>
      <c r="L149" s="113" t="str">
        <f t="shared" si="77"/>
        <v>k</v>
      </c>
      <c r="M149" s="113" t="str">
        <f t="shared" si="77"/>
        <v>l</v>
      </c>
      <c r="N149" s="113" t="str">
        <f t="shared" si="77"/>
        <v>m</v>
      </c>
      <c r="O149" s="113">
        <f t="shared" si="77"/>
        <v>0</v>
      </c>
      <c r="P149" s="113">
        <f t="shared" si="77"/>
        <v>0</v>
      </c>
      <c r="Q149" s="113" t="str">
        <f t="shared" si="77"/>
        <v>p</v>
      </c>
      <c r="R149" s="113">
        <f t="shared" si="77"/>
        <v>0</v>
      </c>
      <c r="S149" s="113">
        <f t="shared" si="77"/>
        <v>0</v>
      </c>
      <c r="T149" s="113">
        <f t="shared" si="77"/>
        <v>0</v>
      </c>
      <c r="U149" s="113">
        <f t="shared" si="77"/>
        <v>0</v>
      </c>
      <c r="V149" s="113">
        <f t="shared" si="77"/>
        <v>0</v>
      </c>
      <c r="W149" s="113">
        <f t="shared" si="77"/>
        <v>0</v>
      </c>
      <c r="X149" s="113">
        <f t="shared" si="77"/>
        <v>0</v>
      </c>
      <c r="AA149" s="113">
        <v>35</v>
      </c>
      <c r="AB149" s="112">
        <f t="shared" ca="1" si="78"/>
        <v>39539</v>
      </c>
      <c r="AC149" s="428">
        <f t="shared" ca="1" si="78"/>
        <v>39629</v>
      </c>
      <c r="AD149" t="s">
        <v>514</v>
      </c>
      <c r="AF149" s="114">
        <f t="shared" ca="1" si="80"/>
        <v>20956.04</v>
      </c>
      <c r="AG149" s="114">
        <f t="shared" ca="1" si="80"/>
        <v>0</v>
      </c>
      <c r="AH149" s="114">
        <f t="shared" ca="1" si="80"/>
        <v>0</v>
      </c>
      <c r="AI149" s="114">
        <f t="shared" ca="1" si="80"/>
        <v>6384.11</v>
      </c>
      <c r="AJ149" s="114">
        <f t="shared" ca="1" si="79"/>
        <v>0</v>
      </c>
      <c r="AK149" s="114">
        <f t="shared" ca="1" si="79"/>
        <v>2278.35</v>
      </c>
      <c r="AN149">
        <f t="shared" si="49"/>
        <v>149</v>
      </c>
      <c r="AQ149" s="114">
        <f t="shared" ca="1" si="50"/>
        <v>3090</v>
      </c>
      <c r="AW149">
        <v>149</v>
      </c>
      <c r="BG149" s="114">
        <f t="shared" ca="1" si="47"/>
        <v>30430.15</v>
      </c>
      <c r="BI149">
        <f t="shared" si="48"/>
        <v>0</v>
      </c>
    </row>
    <row r="150" spans="1:61" x14ac:dyDescent="0.25">
      <c r="A150" s="113">
        <f>A143+20</f>
        <v>760</v>
      </c>
      <c r="B150" s="113" t="str">
        <f>B143</f>
        <v>a</v>
      </c>
      <c r="C150" s="113" t="str">
        <f t="shared" ref="C150:X150" si="81">C143</f>
        <v>b</v>
      </c>
      <c r="D150" s="113" t="str">
        <f t="shared" si="81"/>
        <v>c</v>
      </c>
      <c r="E150" s="113" t="str">
        <f t="shared" si="81"/>
        <v>d</v>
      </c>
      <c r="F150" s="113" t="str">
        <f t="shared" si="81"/>
        <v>e</v>
      </c>
      <c r="G150" s="113" t="str">
        <f t="shared" si="81"/>
        <v>f</v>
      </c>
      <c r="H150" s="113" t="str">
        <f t="shared" si="81"/>
        <v>g</v>
      </c>
      <c r="I150" s="113" t="str">
        <f t="shared" si="81"/>
        <v>h</v>
      </c>
      <c r="J150" s="113" t="str">
        <f t="shared" si="81"/>
        <v>i</v>
      </c>
      <c r="K150" s="113" t="str">
        <f t="shared" si="81"/>
        <v>j</v>
      </c>
      <c r="L150" s="113" t="str">
        <f t="shared" si="81"/>
        <v>k</v>
      </c>
      <c r="M150" s="113" t="str">
        <f t="shared" si="81"/>
        <v>l</v>
      </c>
      <c r="N150" s="113" t="str">
        <f t="shared" si="81"/>
        <v>m</v>
      </c>
      <c r="O150" s="113">
        <f t="shared" si="81"/>
        <v>0</v>
      </c>
      <c r="P150" s="113">
        <f t="shared" si="81"/>
        <v>0</v>
      </c>
      <c r="Q150" s="113" t="str">
        <f t="shared" si="81"/>
        <v>p</v>
      </c>
      <c r="R150" s="113">
        <f t="shared" si="81"/>
        <v>0</v>
      </c>
      <c r="S150" s="113">
        <f t="shared" si="81"/>
        <v>0</v>
      </c>
      <c r="T150" s="113">
        <f t="shared" si="81"/>
        <v>0</v>
      </c>
      <c r="U150" s="113">
        <f t="shared" si="81"/>
        <v>0</v>
      </c>
      <c r="V150" s="113">
        <f t="shared" si="81"/>
        <v>0</v>
      </c>
      <c r="W150" s="113">
        <f t="shared" si="81"/>
        <v>0</v>
      </c>
      <c r="X150" s="113">
        <f t="shared" si="81"/>
        <v>0</v>
      </c>
      <c r="AA150" s="113">
        <v>0</v>
      </c>
      <c r="AB150" s="112">
        <f ca="1">INDIRECT(CONCATENATE($AB$10,CONCATENATE(B150,$A150)))</f>
        <v>39630</v>
      </c>
      <c r="AC150" s="428">
        <f ca="1">INDIRECT(CONCATENATE($AB$10,CONCATENATE(C150,$A150)))</f>
        <v>39813</v>
      </c>
      <c r="AD150" t="s">
        <v>515</v>
      </c>
      <c r="AF150" s="114">
        <f t="shared" ca="1" si="80"/>
        <v>12383.39</v>
      </c>
      <c r="AG150" s="114">
        <f ca="1">INDIRECT(CONCATENATE($AB$10,CONCATENATE(G150,$A150)))</f>
        <v>0</v>
      </c>
      <c r="AH150" s="114">
        <f ca="1">INDIRECT(CONCATENATE($AB$10,CONCATENATE(H150,$A150)))</f>
        <v>0</v>
      </c>
      <c r="AI150" s="114">
        <f ca="1">INDIRECT(CONCATENATE($AB$10,CONCATENATE(I150,$A150)))</f>
        <v>6384.11</v>
      </c>
      <c r="AJ150" s="114">
        <f ca="1">INDIRECT(CONCATENATE($AB$10,CONCATENATE(J150,$A150)))</f>
        <v>0</v>
      </c>
      <c r="AK150" s="114">
        <f ca="1">INDIRECT(CONCATENATE($AB$10,CONCATENATE(K150,$A150)))</f>
        <v>1563.96</v>
      </c>
      <c r="AN150">
        <f t="shared" si="49"/>
        <v>150</v>
      </c>
      <c r="AQ150" s="114">
        <f t="shared" ca="1" si="50"/>
        <v>1968</v>
      </c>
      <c r="AW150">
        <v>150</v>
      </c>
      <c r="BG150" s="114">
        <f t="shared" ca="1" si="47"/>
        <v>20735.5</v>
      </c>
      <c r="BI150">
        <f t="shared" si="48"/>
        <v>0</v>
      </c>
    </row>
    <row r="151" spans="1:61" x14ac:dyDescent="0.25">
      <c r="A151" s="113">
        <f t="shared" ref="A151:A156" si="82">A150+2</f>
        <v>762</v>
      </c>
      <c r="B151" s="113" t="str">
        <f t="shared" ref="B151:X156" si="83">B150</f>
        <v>a</v>
      </c>
      <c r="C151" s="113" t="str">
        <f t="shared" si="83"/>
        <v>b</v>
      </c>
      <c r="D151" s="113" t="str">
        <f t="shared" si="83"/>
        <v>c</v>
      </c>
      <c r="E151" s="113" t="str">
        <f t="shared" si="83"/>
        <v>d</v>
      </c>
      <c r="F151" s="113" t="str">
        <f t="shared" si="83"/>
        <v>e</v>
      </c>
      <c r="G151" s="113" t="str">
        <f t="shared" si="83"/>
        <v>f</v>
      </c>
      <c r="H151" s="113" t="str">
        <f t="shared" si="83"/>
        <v>g</v>
      </c>
      <c r="I151" s="113" t="str">
        <f t="shared" si="83"/>
        <v>h</v>
      </c>
      <c r="J151" s="113" t="str">
        <f t="shared" si="83"/>
        <v>i</v>
      </c>
      <c r="K151" s="113" t="str">
        <f t="shared" si="83"/>
        <v>j</v>
      </c>
      <c r="L151" s="113" t="str">
        <f t="shared" si="83"/>
        <v>k</v>
      </c>
      <c r="M151" s="113" t="str">
        <f t="shared" si="83"/>
        <v>l</v>
      </c>
      <c r="N151" s="113" t="str">
        <f t="shared" si="83"/>
        <v>m</v>
      </c>
      <c r="O151" s="113">
        <f t="shared" si="83"/>
        <v>0</v>
      </c>
      <c r="P151" s="113">
        <f t="shared" si="83"/>
        <v>0</v>
      </c>
      <c r="Q151" s="113" t="str">
        <f t="shared" si="83"/>
        <v>p</v>
      </c>
      <c r="R151" s="113">
        <f t="shared" si="83"/>
        <v>0</v>
      </c>
      <c r="S151" s="113">
        <f t="shared" si="83"/>
        <v>0</v>
      </c>
      <c r="T151" s="113">
        <f t="shared" si="83"/>
        <v>0</v>
      </c>
      <c r="U151" s="113">
        <f t="shared" si="83"/>
        <v>0</v>
      </c>
      <c r="V151" s="113">
        <f t="shared" si="83"/>
        <v>0</v>
      </c>
      <c r="W151" s="113">
        <f t="shared" si="83"/>
        <v>0</v>
      </c>
      <c r="X151" s="113">
        <f t="shared" si="83"/>
        <v>0</v>
      </c>
      <c r="AA151" s="113">
        <v>3</v>
      </c>
      <c r="AB151" s="112">
        <f t="shared" ref="AB151:AC156" ca="1" si="84">AB150</f>
        <v>39630</v>
      </c>
      <c r="AC151" s="428">
        <f t="shared" ca="1" si="84"/>
        <v>39813</v>
      </c>
      <c r="AD151" t="s">
        <v>516</v>
      </c>
      <c r="AF151" s="114">
        <f t="shared" ca="1" si="80"/>
        <v>12886.12</v>
      </c>
      <c r="AG151" s="114">
        <f t="shared" ca="1" si="80"/>
        <v>0</v>
      </c>
      <c r="AH151" s="114">
        <f t="shared" ca="1" si="80"/>
        <v>0</v>
      </c>
      <c r="AI151" s="114">
        <f t="shared" ca="1" si="80"/>
        <v>6384.11</v>
      </c>
      <c r="AJ151" s="114">
        <f t="shared" ca="1" si="80"/>
        <v>0</v>
      </c>
      <c r="AK151" s="114">
        <f t="shared" ca="1" si="80"/>
        <v>1605.85</v>
      </c>
      <c r="AN151">
        <f t="shared" si="49"/>
        <v>151</v>
      </c>
      <c r="AQ151" s="114">
        <f t="shared" ca="1" si="50"/>
        <v>1968</v>
      </c>
      <c r="AW151">
        <v>151</v>
      </c>
      <c r="BG151" s="114">
        <f t="shared" ca="1" si="47"/>
        <v>21238.23</v>
      </c>
      <c r="BI151">
        <f t="shared" si="48"/>
        <v>0</v>
      </c>
    </row>
    <row r="152" spans="1:61" x14ac:dyDescent="0.25">
      <c r="A152" s="113">
        <f t="shared" si="82"/>
        <v>764</v>
      </c>
      <c r="B152" s="113" t="str">
        <f t="shared" si="83"/>
        <v>a</v>
      </c>
      <c r="C152" s="113" t="str">
        <f t="shared" si="83"/>
        <v>b</v>
      </c>
      <c r="D152" s="113" t="str">
        <f t="shared" si="83"/>
        <v>c</v>
      </c>
      <c r="E152" s="113" t="str">
        <f t="shared" si="83"/>
        <v>d</v>
      </c>
      <c r="F152" s="113" t="str">
        <f t="shared" si="83"/>
        <v>e</v>
      </c>
      <c r="G152" s="113" t="str">
        <f t="shared" si="83"/>
        <v>f</v>
      </c>
      <c r="H152" s="113" t="str">
        <f t="shared" si="83"/>
        <v>g</v>
      </c>
      <c r="I152" s="113" t="str">
        <f t="shared" si="83"/>
        <v>h</v>
      </c>
      <c r="J152" s="113" t="str">
        <f t="shared" si="83"/>
        <v>i</v>
      </c>
      <c r="K152" s="113" t="str">
        <f t="shared" si="83"/>
        <v>j</v>
      </c>
      <c r="L152" s="113" t="str">
        <f t="shared" si="83"/>
        <v>k</v>
      </c>
      <c r="M152" s="113" t="str">
        <f t="shared" si="83"/>
        <v>l</v>
      </c>
      <c r="N152" s="113" t="str">
        <f t="shared" si="83"/>
        <v>m</v>
      </c>
      <c r="O152" s="113">
        <f t="shared" si="83"/>
        <v>0</v>
      </c>
      <c r="P152" s="113">
        <f t="shared" si="83"/>
        <v>0</v>
      </c>
      <c r="Q152" s="113" t="str">
        <f t="shared" si="83"/>
        <v>p</v>
      </c>
      <c r="R152" s="113">
        <f t="shared" si="83"/>
        <v>0</v>
      </c>
      <c r="S152" s="113">
        <f t="shared" si="83"/>
        <v>0</v>
      </c>
      <c r="T152" s="113">
        <f t="shared" si="83"/>
        <v>0</v>
      </c>
      <c r="U152" s="113">
        <f t="shared" si="83"/>
        <v>0</v>
      </c>
      <c r="V152" s="113">
        <f t="shared" si="83"/>
        <v>0</v>
      </c>
      <c r="W152" s="113">
        <f t="shared" si="83"/>
        <v>0</v>
      </c>
      <c r="X152" s="113">
        <f t="shared" si="83"/>
        <v>0</v>
      </c>
      <c r="AA152" s="113">
        <v>9</v>
      </c>
      <c r="AB152" s="112">
        <f t="shared" ca="1" si="84"/>
        <v>39630</v>
      </c>
      <c r="AC152" s="428">
        <f t="shared" ca="1" si="84"/>
        <v>39813</v>
      </c>
      <c r="AD152" t="s">
        <v>510</v>
      </c>
      <c r="AF152" s="114">
        <f t="shared" ca="1" si="80"/>
        <v>14434.33</v>
      </c>
      <c r="AG152" s="114">
        <f t="shared" ca="1" si="80"/>
        <v>0</v>
      </c>
      <c r="AH152" s="114">
        <f t="shared" ca="1" si="80"/>
        <v>0</v>
      </c>
      <c r="AI152" s="114">
        <f t="shared" ca="1" si="80"/>
        <v>6384.11</v>
      </c>
      <c r="AJ152" s="114">
        <f t="shared" ca="1" si="80"/>
        <v>0</v>
      </c>
      <c r="AK152" s="114">
        <f t="shared" ca="1" si="80"/>
        <v>1734.87</v>
      </c>
      <c r="AN152">
        <f t="shared" si="49"/>
        <v>152</v>
      </c>
      <c r="AQ152" s="114">
        <f t="shared" ca="1" si="50"/>
        <v>1968</v>
      </c>
      <c r="AW152">
        <v>152</v>
      </c>
      <c r="BG152" s="114">
        <f t="shared" ca="1" si="47"/>
        <v>22786.44</v>
      </c>
      <c r="BI152">
        <f t="shared" si="48"/>
        <v>0</v>
      </c>
    </row>
    <row r="153" spans="1:61" x14ac:dyDescent="0.25">
      <c r="A153" s="113">
        <f t="shared" si="82"/>
        <v>766</v>
      </c>
      <c r="B153" s="113" t="str">
        <f t="shared" si="83"/>
        <v>a</v>
      </c>
      <c r="C153" s="113" t="str">
        <f t="shared" si="83"/>
        <v>b</v>
      </c>
      <c r="D153" s="113" t="str">
        <f t="shared" si="83"/>
        <v>c</v>
      </c>
      <c r="E153" s="113" t="str">
        <f t="shared" si="83"/>
        <v>d</v>
      </c>
      <c r="F153" s="113" t="str">
        <f t="shared" si="83"/>
        <v>e</v>
      </c>
      <c r="G153" s="113" t="str">
        <f t="shared" si="83"/>
        <v>f</v>
      </c>
      <c r="H153" s="113" t="str">
        <f t="shared" si="83"/>
        <v>g</v>
      </c>
      <c r="I153" s="113" t="str">
        <f t="shared" si="83"/>
        <v>h</v>
      </c>
      <c r="J153" s="113" t="str">
        <f t="shared" si="83"/>
        <v>i</v>
      </c>
      <c r="K153" s="113" t="str">
        <f t="shared" si="83"/>
        <v>j</v>
      </c>
      <c r="L153" s="113" t="str">
        <f t="shared" si="83"/>
        <v>k</v>
      </c>
      <c r="M153" s="113" t="str">
        <f t="shared" si="83"/>
        <v>l</v>
      </c>
      <c r="N153" s="113" t="str">
        <f t="shared" si="83"/>
        <v>m</v>
      </c>
      <c r="O153" s="113">
        <f t="shared" si="83"/>
        <v>0</v>
      </c>
      <c r="P153" s="113">
        <f t="shared" si="83"/>
        <v>0</v>
      </c>
      <c r="Q153" s="113" t="str">
        <f t="shared" si="83"/>
        <v>p</v>
      </c>
      <c r="R153" s="113">
        <f t="shared" si="83"/>
        <v>0</v>
      </c>
      <c r="S153" s="113">
        <f t="shared" si="83"/>
        <v>0</v>
      </c>
      <c r="T153" s="113">
        <f t="shared" si="83"/>
        <v>0</v>
      </c>
      <c r="U153" s="113">
        <f t="shared" si="83"/>
        <v>0</v>
      </c>
      <c r="V153" s="113">
        <f t="shared" si="83"/>
        <v>0</v>
      </c>
      <c r="W153" s="113">
        <f t="shared" si="83"/>
        <v>0</v>
      </c>
      <c r="X153" s="113">
        <f t="shared" si="83"/>
        <v>0</v>
      </c>
      <c r="AA153" s="113">
        <v>15</v>
      </c>
      <c r="AB153" s="112">
        <f t="shared" ca="1" si="84"/>
        <v>39630</v>
      </c>
      <c r="AC153" s="428">
        <f t="shared" ca="1" si="84"/>
        <v>39813</v>
      </c>
      <c r="AD153" t="s">
        <v>511</v>
      </c>
      <c r="AF153" s="114">
        <f t="shared" ca="1" si="80"/>
        <v>16242.78</v>
      </c>
      <c r="AG153" s="114">
        <f t="shared" ca="1" si="80"/>
        <v>0</v>
      </c>
      <c r="AH153" s="114">
        <f t="shared" ca="1" si="80"/>
        <v>0</v>
      </c>
      <c r="AI153" s="114">
        <f t="shared" ca="1" si="80"/>
        <v>6384.11</v>
      </c>
      <c r="AJ153" s="114">
        <f t="shared" ca="1" si="80"/>
        <v>0</v>
      </c>
      <c r="AK153" s="114">
        <f t="shared" ca="1" si="80"/>
        <v>1885.57</v>
      </c>
      <c r="AN153">
        <f t="shared" si="49"/>
        <v>153</v>
      </c>
      <c r="AQ153" s="114">
        <f t="shared" ca="1" si="50"/>
        <v>2424</v>
      </c>
      <c r="AW153">
        <v>153</v>
      </c>
      <c r="BG153" s="114">
        <f t="shared" ca="1" si="47"/>
        <v>25050.89</v>
      </c>
      <c r="BI153">
        <f t="shared" si="48"/>
        <v>0</v>
      </c>
    </row>
    <row r="154" spans="1:61" x14ac:dyDescent="0.25">
      <c r="A154" s="113">
        <f t="shared" si="82"/>
        <v>768</v>
      </c>
      <c r="B154" s="113" t="str">
        <f t="shared" si="83"/>
        <v>a</v>
      </c>
      <c r="C154" s="113" t="str">
        <f t="shared" si="83"/>
        <v>b</v>
      </c>
      <c r="D154" s="113" t="str">
        <f t="shared" si="83"/>
        <v>c</v>
      </c>
      <c r="E154" s="113" t="str">
        <f t="shared" si="83"/>
        <v>d</v>
      </c>
      <c r="F154" s="113" t="str">
        <f t="shared" si="83"/>
        <v>e</v>
      </c>
      <c r="G154" s="113" t="str">
        <f t="shared" si="83"/>
        <v>f</v>
      </c>
      <c r="H154" s="113" t="str">
        <f t="shared" si="83"/>
        <v>g</v>
      </c>
      <c r="I154" s="113" t="str">
        <f t="shared" si="83"/>
        <v>h</v>
      </c>
      <c r="J154" s="113" t="str">
        <f t="shared" si="83"/>
        <v>i</v>
      </c>
      <c r="K154" s="113" t="str">
        <f t="shared" si="83"/>
        <v>j</v>
      </c>
      <c r="L154" s="113" t="str">
        <f t="shared" si="83"/>
        <v>k</v>
      </c>
      <c r="M154" s="113" t="str">
        <f t="shared" si="83"/>
        <v>l</v>
      </c>
      <c r="N154" s="113" t="str">
        <f t="shared" si="83"/>
        <v>m</v>
      </c>
      <c r="O154" s="113">
        <f t="shared" si="83"/>
        <v>0</v>
      </c>
      <c r="P154" s="113">
        <f t="shared" si="83"/>
        <v>0</v>
      </c>
      <c r="Q154" s="113" t="str">
        <f t="shared" si="83"/>
        <v>p</v>
      </c>
      <c r="R154" s="113">
        <f t="shared" si="83"/>
        <v>0</v>
      </c>
      <c r="S154" s="113">
        <f t="shared" si="83"/>
        <v>0</v>
      </c>
      <c r="T154" s="113">
        <f t="shared" si="83"/>
        <v>0</v>
      </c>
      <c r="U154" s="113">
        <f t="shared" si="83"/>
        <v>0</v>
      </c>
      <c r="V154" s="113">
        <f t="shared" si="83"/>
        <v>0</v>
      </c>
      <c r="W154" s="113">
        <f t="shared" si="83"/>
        <v>0</v>
      </c>
      <c r="X154" s="113">
        <f t="shared" si="83"/>
        <v>0</v>
      </c>
      <c r="AA154" s="113">
        <v>21</v>
      </c>
      <c r="AB154" s="112">
        <f t="shared" ca="1" si="84"/>
        <v>39630</v>
      </c>
      <c r="AC154" s="428">
        <f t="shared" ca="1" si="84"/>
        <v>39813</v>
      </c>
      <c r="AD154" t="s">
        <v>512</v>
      </c>
      <c r="AF154" s="114">
        <f t="shared" ca="1" si="80"/>
        <v>17997.98</v>
      </c>
      <c r="AG154" s="114">
        <f t="shared" ca="1" si="80"/>
        <v>0</v>
      </c>
      <c r="AH154" s="114">
        <f t="shared" ca="1" si="80"/>
        <v>0</v>
      </c>
      <c r="AI154" s="114">
        <f t="shared" ca="1" si="80"/>
        <v>6384.11</v>
      </c>
      <c r="AJ154" s="114">
        <f t="shared" ca="1" si="80"/>
        <v>0</v>
      </c>
      <c r="AK154" s="114">
        <f t="shared" ca="1" si="80"/>
        <v>2031.84</v>
      </c>
      <c r="AN154">
        <f t="shared" si="49"/>
        <v>154</v>
      </c>
      <c r="AQ154" s="114">
        <f t="shared" ca="1" si="50"/>
        <v>2424</v>
      </c>
      <c r="AW154">
        <v>154</v>
      </c>
      <c r="BG154" s="114">
        <f t="shared" ca="1" si="47"/>
        <v>26806.09</v>
      </c>
      <c r="BI154">
        <f t="shared" si="48"/>
        <v>0</v>
      </c>
    </row>
    <row r="155" spans="1:61" x14ac:dyDescent="0.25">
      <c r="A155" s="113">
        <f t="shared" si="82"/>
        <v>770</v>
      </c>
      <c r="B155" s="113" t="str">
        <f t="shared" si="83"/>
        <v>a</v>
      </c>
      <c r="C155" s="113" t="str">
        <f t="shared" si="83"/>
        <v>b</v>
      </c>
      <c r="D155" s="113" t="str">
        <f t="shared" si="83"/>
        <v>c</v>
      </c>
      <c r="E155" s="113" t="str">
        <f t="shared" si="83"/>
        <v>d</v>
      </c>
      <c r="F155" s="113" t="str">
        <f t="shared" si="83"/>
        <v>e</v>
      </c>
      <c r="G155" s="113" t="str">
        <f t="shared" si="83"/>
        <v>f</v>
      </c>
      <c r="H155" s="113" t="str">
        <f t="shared" si="83"/>
        <v>g</v>
      </c>
      <c r="I155" s="113" t="str">
        <f t="shared" si="83"/>
        <v>h</v>
      </c>
      <c r="J155" s="113" t="str">
        <f t="shared" si="83"/>
        <v>i</v>
      </c>
      <c r="K155" s="113" t="str">
        <f t="shared" si="83"/>
        <v>j</v>
      </c>
      <c r="L155" s="113" t="str">
        <f t="shared" si="83"/>
        <v>k</v>
      </c>
      <c r="M155" s="113" t="str">
        <f t="shared" si="83"/>
        <v>l</v>
      </c>
      <c r="N155" s="113" t="str">
        <f t="shared" si="83"/>
        <v>m</v>
      </c>
      <c r="O155" s="113">
        <f t="shared" si="83"/>
        <v>0</v>
      </c>
      <c r="P155" s="113">
        <f t="shared" si="83"/>
        <v>0</v>
      </c>
      <c r="Q155" s="113" t="str">
        <f t="shared" si="83"/>
        <v>p</v>
      </c>
      <c r="R155" s="113">
        <f t="shared" si="83"/>
        <v>0</v>
      </c>
      <c r="S155" s="113">
        <f t="shared" si="83"/>
        <v>0</v>
      </c>
      <c r="T155" s="113">
        <f t="shared" si="83"/>
        <v>0</v>
      </c>
      <c r="U155" s="113">
        <f t="shared" si="83"/>
        <v>0</v>
      </c>
      <c r="V155" s="113">
        <f t="shared" si="83"/>
        <v>0</v>
      </c>
      <c r="W155" s="113">
        <f t="shared" si="83"/>
        <v>0</v>
      </c>
      <c r="X155" s="113">
        <f t="shared" si="83"/>
        <v>0</v>
      </c>
      <c r="AA155" s="113">
        <v>28</v>
      </c>
      <c r="AB155" s="112">
        <f t="shared" ca="1" si="84"/>
        <v>39630</v>
      </c>
      <c r="AC155" s="428">
        <f t="shared" ca="1" si="84"/>
        <v>39813</v>
      </c>
      <c r="AD155" t="s">
        <v>513</v>
      </c>
      <c r="AF155" s="114">
        <f t="shared" ca="1" si="80"/>
        <v>19729.79</v>
      </c>
      <c r="AG155" s="114">
        <f t="shared" ca="1" si="80"/>
        <v>0</v>
      </c>
      <c r="AH155" s="114">
        <f t="shared" ca="1" si="80"/>
        <v>0</v>
      </c>
      <c r="AI155" s="114">
        <f t="shared" ca="1" si="80"/>
        <v>6384.11</v>
      </c>
      <c r="AJ155" s="114">
        <f t="shared" ca="1" si="80"/>
        <v>0</v>
      </c>
      <c r="AK155" s="114">
        <f t="shared" ca="1" si="80"/>
        <v>2176.16</v>
      </c>
      <c r="AN155">
        <f t="shared" si="49"/>
        <v>155</v>
      </c>
      <c r="AQ155" s="114">
        <f t="shared" ca="1" si="50"/>
        <v>3090</v>
      </c>
      <c r="AW155">
        <v>155</v>
      </c>
      <c r="BG155" s="114">
        <f t="shared" ca="1" si="47"/>
        <v>29203.9</v>
      </c>
      <c r="BI155">
        <f t="shared" si="48"/>
        <v>0</v>
      </c>
    </row>
    <row r="156" spans="1:61" x14ac:dyDescent="0.25">
      <c r="A156" s="113">
        <f t="shared" si="82"/>
        <v>772</v>
      </c>
      <c r="B156" s="113" t="str">
        <f t="shared" si="83"/>
        <v>a</v>
      </c>
      <c r="C156" s="113" t="str">
        <f t="shared" si="83"/>
        <v>b</v>
      </c>
      <c r="D156" s="113" t="str">
        <f t="shared" si="83"/>
        <v>c</v>
      </c>
      <c r="E156" s="113" t="str">
        <f t="shared" si="83"/>
        <v>d</v>
      </c>
      <c r="F156" s="113" t="str">
        <f t="shared" si="83"/>
        <v>e</v>
      </c>
      <c r="G156" s="113" t="str">
        <f t="shared" si="83"/>
        <v>f</v>
      </c>
      <c r="H156" s="113" t="str">
        <f t="shared" si="83"/>
        <v>g</v>
      </c>
      <c r="I156" s="113" t="str">
        <f t="shared" si="83"/>
        <v>h</v>
      </c>
      <c r="J156" s="113" t="str">
        <f t="shared" si="83"/>
        <v>i</v>
      </c>
      <c r="K156" s="113" t="str">
        <f t="shared" si="83"/>
        <v>j</v>
      </c>
      <c r="L156" s="113" t="str">
        <f t="shared" si="83"/>
        <v>k</v>
      </c>
      <c r="M156" s="113" t="str">
        <f t="shared" si="83"/>
        <v>l</v>
      </c>
      <c r="N156" s="113" t="str">
        <f t="shared" si="83"/>
        <v>m</v>
      </c>
      <c r="O156" s="113">
        <f t="shared" si="83"/>
        <v>0</v>
      </c>
      <c r="P156" s="113">
        <f t="shared" si="83"/>
        <v>0</v>
      </c>
      <c r="Q156" s="113" t="str">
        <f t="shared" si="83"/>
        <v>p</v>
      </c>
      <c r="R156" s="113">
        <f t="shared" si="83"/>
        <v>0</v>
      </c>
      <c r="S156" s="113">
        <f t="shared" si="83"/>
        <v>0</v>
      </c>
      <c r="T156" s="113">
        <f t="shared" si="83"/>
        <v>0</v>
      </c>
      <c r="U156" s="113">
        <f t="shared" si="83"/>
        <v>0</v>
      </c>
      <c r="V156" s="113">
        <f t="shared" si="83"/>
        <v>0</v>
      </c>
      <c r="W156" s="113">
        <f t="shared" si="83"/>
        <v>0</v>
      </c>
      <c r="X156" s="113">
        <f t="shared" si="83"/>
        <v>0</v>
      </c>
      <c r="AA156" s="113">
        <v>35</v>
      </c>
      <c r="AB156" s="112">
        <f t="shared" ca="1" si="84"/>
        <v>39630</v>
      </c>
      <c r="AC156" s="428">
        <f t="shared" ca="1" si="84"/>
        <v>39813</v>
      </c>
      <c r="AD156" t="s">
        <v>514</v>
      </c>
      <c r="AF156" s="114">
        <f t="shared" ca="1" si="80"/>
        <v>21019.279999999999</v>
      </c>
      <c r="AG156" s="114">
        <f t="shared" ca="1" si="80"/>
        <v>0</v>
      </c>
      <c r="AH156" s="114">
        <f t="shared" ca="1" si="80"/>
        <v>0</v>
      </c>
      <c r="AI156" s="114">
        <f t="shared" ca="1" si="80"/>
        <v>6384.11</v>
      </c>
      <c r="AJ156" s="114">
        <f t="shared" ca="1" si="80"/>
        <v>0</v>
      </c>
      <c r="AK156" s="114">
        <f t="shared" ca="1" si="80"/>
        <v>2283.62</v>
      </c>
      <c r="AN156">
        <f t="shared" si="49"/>
        <v>156</v>
      </c>
      <c r="AQ156" s="114">
        <f t="shared" ca="1" si="50"/>
        <v>3090</v>
      </c>
      <c r="AW156">
        <v>156</v>
      </c>
      <c r="BG156" s="114">
        <f t="shared" ca="1" si="47"/>
        <v>30493.39</v>
      </c>
      <c r="BI156">
        <f t="shared" si="48"/>
        <v>0</v>
      </c>
    </row>
    <row r="157" spans="1:61" x14ac:dyDescent="0.25">
      <c r="A157" s="113">
        <f>A150+20</f>
        <v>780</v>
      </c>
      <c r="B157" s="113" t="str">
        <f>B150</f>
        <v>a</v>
      </c>
      <c r="C157" s="113" t="str">
        <f t="shared" ref="C157:X157" si="85">C150</f>
        <v>b</v>
      </c>
      <c r="D157" s="113" t="str">
        <f t="shared" si="85"/>
        <v>c</v>
      </c>
      <c r="E157" s="113" t="str">
        <f t="shared" si="85"/>
        <v>d</v>
      </c>
      <c r="F157" s="113" t="str">
        <f t="shared" si="85"/>
        <v>e</v>
      </c>
      <c r="G157" s="113" t="str">
        <f t="shared" si="85"/>
        <v>f</v>
      </c>
      <c r="H157" s="113" t="str">
        <f t="shared" si="85"/>
        <v>g</v>
      </c>
      <c r="I157" s="113" t="str">
        <f t="shared" si="85"/>
        <v>h</v>
      </c>
      <c r="J157" s="113" t="str">
        <f t="shared" si="85"/>
        <v>i</v>
      </c>
      <c r="K157" s="113" t="str">
        <f t="shared" si="85"/>
        <v>j</v>
      </c>
      <c r="L157" s="113" t="str">
        <f t="shared" si="85"/>
        <v>k</v>
      </c>
      <c r="M157" s="113" t="str">
        <f t="shared" si="85"/>
        <v>l</v>
      </c>
      <c r="N157" s="113" t="str">
        <f t="shared" si="85"/>
        <v>m</v>
      </c>
      <c r="O157" s="113">
        <f t="shared" si="85"/>
        <v>0</v>
      </c>
      <c r="P157" s="113">
        <f t="shared" si="85"/>
        <v>0</v>
      </c>
      <c r="Q157" s="113" t="str">
        <f t="shared" si="85"/>
        <v>p</v>
      </c>
      <c r="R157" s="113">
        <f t="shared" si="85"/>
        <v>0</v>
      </c>
      <c r="S157" s="113">
        <f t="shared" si="85"/>
        <v>0</v>
      </c>
      <c r="T157" s="113">
        <f t="shared" si="85"/>
        <v>0</v>
      </c>
      <c r="U157" s="113">
        <f t="shared" si="85"/>
        <v>0</v>
      </c>
      <c r="V157" s="113">
        <f t="shared" si="85"/>
        <v>0</v>
      </c>
      <c r="W157" s="113">
        <f t="shared" si="85"/>
        <v>0</v>
      </c>
      <c r="X157" s="113">
        <f t="shared" si="85"/>
        <v>0</v>
      </c>
      <c r="AA157" s="113">
        <v>0</v>
      </c>
      <c r="AB157" s="112">
        <f ca="1">INDIRECT(CONCATENATE($AB$10,CONCATENATE(B157,$A157)))</f>
        <v>39814</v>
      </c>
      <c r="AC157" s="428">
        <f ca="1">INDIRECT(CONCATENATE($AB$10,CONCATENATE(C157,$A157)))</f>
        <v>40268</v>
      </c>
      <c r="AD157" t="s">
        <v>515</v>
      </c>
      <c r="AF157" s="114">
        <f t="shared" ca="1" si="80"/>
        <v>12940.19</v>
      </c>
      <c r="AG157" s="114">
        <f ca="1">INDIRECT(CONCATENATE($AB$10,CONCATENATE(G157,$A157)))</f>
        <v>0</v>
      </c>
      <c r="AH157" s="114">
        <f ca="1">INDIRECT(CONCATENATE($AB$10,CONCATENATE(H157,$A157)))</f>
        <v>0</v>
      </c>
      <c r="AI157" s="114">
        <f ca="1">INDIRECT(CONCATENATE($AB$10,CONCATENATE(I157,$A157)))</f>
        <v>6384.11</v>
      </c>
      <c r="AJ157" s="114">
        <f ca="1">INDIRECT(CONCATENATE($AB$10,CONCATENATE(J157,$A157)))</f>
        <v>0</v>
      </c>
      <c r="AK157" s="114">
        <f ca="1">INDIRECT(CONCATENATE($AB$10,CONCATENATE(K157,$A157)))</f>
        <v>1610.36</v>
      </c>
      <c r="AN157">
        <f t="shared" si="49"/>
        <v>157</v>
      </c>
      <c r="AQ157" s="114">
        <f t="shared" ca="1" si="50"/>
        <v>1968</v>
      </c>
      <c r="AW157">
        <v>157</v>
      </c>
      <c r="BG157" s="114">
        <f t="shared" ca="1" si="47"/>
        <v>21292.3</v>
      </c>
      <c r="BI157">
        <f t="shared" si="48"/>
        <v>0</v>
      </c>
    </row>
    <row r="158" spans="1:61" x14ac:dyDescent="0.25">
      <c r="A158" s="113">
        <f t="shared" ref="A158:A163" si="86">A157+2</f>
        <v>782</v>
      </c>
      <c r="B158" s="113" t="str">
        <f t="shared" ref="B158:X163" si="87">B157</f>
        <v>a</v>
      </c>
      <c r="C158" s="113" t="str">
        <f t="shared" si="87"/>
        <v>b</v>
      </c>
      <c r="D158" s="113" t="str">
        <f t="shared" si="87"/>
        <v>c</v>
      </c>
      <c r="E158" s="113" t="str">
        <f t="shared" si="87"/>
        <v>d</v>
      </c>
      <c r="F158" s="113" t="str">
        <f t="shared" si="87"/>
        <v>e</v>
      </c>
      <c r="G158" s="113" t="str">
        <f t="shared" si="87"/>
        <v>f</v>
      </c>
      <c r="H158" s="113" t="str">
        <f t="shared" si="87"/>
        <v>g</v>
      </c>
      <c r="I158" s="113" t="str">
        <f t="shared" si="87"/>
        <v>h</v>
      </c>
      <c r="J158" s="113" t="str">
        <f t="shared" si="87"/>
        <v>i</v>
      </c>
      <c r="K158" s="113" t="str">
        <f t="shared" si="87"/>
        <v>j</v>
      </c>
      <c r="L158" s="113" t="str">
        <f t="shared" si="87"/>
        <v>k</v>
      </c>
      <c r="M158" s="113" t="str">
        <f t="shared" si="87"/>
        <v>l</v>
      </c>
      <c r="N158" s="113" t="str">
        <f t="shared" si="87"/>
        <v>m</v>
      </c>
      <c r="O158" s="113">
        <f t="shared" si="87"/>
        <v>0</v>
      </c>
      <c r="P158" s="113">
        <f t="shared" si="87"/>
        <v>0</v>
      </c>
      <c r="Q158" s="113" t="str">
        <f t="shared" si="87"/>
        <v>p</v>
      </c>
      <c r="R158" s="113">
        <f t="shared" si="87"/>
        <v>0</v>
      </c>
      <c r="S158" s="113">
        <f t="shared" si="87"/>
        <v>0</v>
      </c>
      <c r="T158" s="113">
        <f t="shared" si="87"/>
        <v>0</v>
      </c>
      <c r="U158" s="113">
        <f t="shared" si="87"/>
        <v>0</v>
      </c>
      <c r="V158" s="113">
        <f t="shared" si="87"/>
        <v>0</v>
      </c>
      <c r="W158" s="113">
        <f t="shared" si="87"/>
        <v>0</v>
      </c>
      <c r="X158" s="113">
        <f t="shared" si="87"/>
        <v>0</v>
      </c>
      <c r="AA158" s="113">
        <v>3</v>
      </c>
      <c r="AB158" s="112">
        <f t="shared" ref="AB158:AC163" ca="1" si="88">AB157</f>
        <v>39814</v>
      </c>
      <c r="AC158" s="428">
        <f t="shared" ca="1" si="88"/>
        <v>40268</v>
      </c>
      <c r="AD158" t="s">
        <v>516</v>
      </c>
      <c r="AF158" s="114">
        <f t="shared" ca="1" si="80"/>
        <v>13462.24</v>
      </c>
      <c r="AG158" s="114">
        <f t="shared" ca="1" si="80"/>
        <v>0</v>
      </c>
      <c r="AH158" s="114">
        <f t="shared" ca="1" si="80"/>
        <v>0</v>
      </c>
      <c r="AI158" s="114">
        <f t="shared" ca="1" si="80"/>
        <v>6384.11</v>
      </c>
      <c r="AJ158" s="114">
        <f t="shared" ca="1" si="80"/>
        <v>0</v>
      </c>
      <c r="AK158" s="114">
        <f t="shared" ca="1" si="80"/>
        <v>1653.86</v>
      </c>
      <c r="AN158">
        <f t="shared" si="49"/>
        <v>158</v>
      </c>
      <c r="AQ158" s="114">
        <f t="shared" ca="1" si="50"/>
        <v>1968</v>
      </c>
      <c r="AW158">
        <v>158</v>
      </c>
      <c r="BG158" s="114">
        <f t="shared" ca="1" si="47"/>
        <v>21814.35</v>
      </c>
      <c r="BI158">
        <f t="shared" si="48"/>
        <v>0</v>
      </c>
    </row>
    <row r="159" spans="1:61" x14ac:dyDescent="0.25">
      <c r="A159" s="113">
        <f t="shared" si="86"/>
        <v>784</v>
      </c>
      <c r="B159" s="113" t="str">
        <f t="shared" si="87"/>
        <v>a</v>
      </c>
      <c r="C159" s="113" t="str">
        <f t="shared" si="87"/>
        <v>b</v>
      </c>
      <c r="D159" s="113" t="str">
        <f t="shared" si="87"/>
        <v>c</v>
      </c>
      <c r="E159" s="113" t="str">
        <f t="shared" si="87"/>
        <v>d</v>
      </c>
      <c r="F159" s="113" t="str">
        <f t="shared" si="87"/>
        <v>e</v>
      </c>
      <c r="G159" s="113" t="str">
        <f t="shared" si="87"/>
        <v>f</v>
      </c>
      <c r="H159" s="113" t="str">
        <f t="shared" si="87"/>
        <v>g</v>
      </c>
      <c r="I159" s="113" t="str">
        <f t="shared" si="87"/>
        <v>h</v>
      </c>
      <c r="J159" s="113" t="str">
        <f t="shared" si="87"/>
        <v>i</v>
      </c>
      <c r="K159" s="113" t="str">
        <f t="shared" si="87"/>
        <v>j</v>
      </c>
      <c r="L159" s="113" t="str">
        <f t="shared" si="87"/>
        <v>k</v>
      </c>
      <c r="M159" s="113" t="str">
        <f t="shared" si="87"/>
        <v>l</v>
      </c>
      <c r="N159" s="113" t="str">
        <f t="shared" si="87"/>
        <v>m</v>
      </c>
      <c r="O159" s="113">
        <f t="shared" si="87"/>
        <v>0</v>
      </c>
      <c r="P159" s="113">
        <f t="shared" si="87"/>
        <v>0</v>
      </c>
      <c r="Q159" s="113" t="str">
        <f t="shared" si="87"/>
        <v>p</v>
      </c>
      <c r="R159" s="113">
        <f t="shared" si="87"/>
        <v>0</v>
      </c>
      <c r="S159" s="113">
        <f t="shared" si="87"/>
        <v>0</v>
      </c>
      <c r="T159" s="113">
        <f t="shared" si="87"/>
        <v>0</v>
      </c>
      <c r="U159" s="113">
        <f t="shared" si="87"/>
        <v>0</v>
      </c>
      <c r="V159" s="113">
        <f t="shared" si="87"/>
        <v>0</v>
      </c>
      <c r="W159" s="113">
        <f t="shared" si="87"/>
        <v>0</v>
      </c>
      <c r="X159" s="113">
        <f t="shared" si="87"/>
        <v>0</v>
      </c>
      <c r="AA159" s="113">
        <v>9</v>
      </c>
      <c r="AB159" s="112">
        <f t="shared" ca="1" si="88"/>
        <v>39814</v>
      </c>
      <c r="AC159" s="428">
        <f t="shared" ca="1" si="88"/>
        <v>40268</v>
      </c>
      <c r="AD159" t="s">
        <v>510</v>
      </c>
      <c r="AF159" s="114">
        <f t="shared" ca="1" si="80"/>
        <v>15069.97</v>
      </c>
      <c r="AG159" s="114">
        <f t="shared" ca="1" si="80"/>
        <v>0</v>
      </c>
      <c r="AH159" s="114">
        <f t="shared" ca="1" si="80"/>
        <v>0</v>
      </c>
      <c r="AI159" s="114">
        <f t="shared" ca="1" si="80"/>
        <v>6384.11</v>
      </c>
      <c r="AJ159" s="114">
        <f t="shared" ca="1" si="80"/>
        <v>0</v>
      </c>
      <c r="AK159" s="114">
        <f t="shared" ca="1" si="80"/>
        <v>1787.84</v>
      </c>
      <c r="AN159">
        <f t="shared" si="49"/>
        <v>159</v>
      </c>
      <c r="AQ159" s="114">
        <f t="shared" ca="1" si="50"/>
        <v>1968</v>
      </c>
      <c r="AW159">
        <v>159</v>
      </c>
      <c r="BG159" s="114">
        <f t="shared" ca="1" si="47"/>
        <v>23422.079999999998</v>
      </c>
      <c r="BI159">
        <f t="shared" si="48"/>
        <v>0</v>
      </c>
    </row>
    <row r="160" spans="1:61" x14ac:dyDescent="0.25">
      <c r="A160" s="113">
        <f t="shared" si="86"/>
        <v>786</v>
      </c>
      <c r="B160" s="113" t="str">
        <f t="shared" si="87"/>
        <v>a</v>
      </c>
      <c r="C160" s="113" t="str">
        <f t="shared" si="87"/>
        <v>b</v>
      </c>
      <c r="D160" s="113" t="str">
        <f t="shared" si="87"/>
        <v>c</v>
      </c>
      <c r="E160" s="113" t="str">
        <f t="shared" si="87"/>
        <v>d</v>
      </c>
      <c r="F160" s="113" t="str">
        <f t="shared" si="87"/>
        <v>e</v>
      </c>
      <c r="G160" s="113" t="str">
        <f t="shared" si="87"/>
        <v>f</v>
      </c>
      <c r="H160" s="113" t="str">
        <f t="shared" si="87"/>
        <v>g</v>
      </c>
      <c r="I160" s="113" t="str">
        <f t="shared" si="87"/>
        <v>h</v>
      </c>
      <c r="J160" s="113" t="str">
        <f t="shared" si="87"/>
        <v>i</v>
      </c>
      <c r="K160" s="113" t="str">
        <f t="shared" si="87"/>
        <v>j</v>
      </c>
      <c r="L160" s="113" t="str">
        <f t="shared" si="87"/>
        <v>k</v>
      </c>
      <c r="M160" s="113" t="str">
        <f t="shared" si="87"/>
        <v>l</v>
      </c>
      <c r="N160" s="113" t="str">
        <f t="shared" si="87"/>
        <v>m</v>
      </c>
      <c r="O160" s="113">
        <f t="shared" si="87"/>
        <v>0</v>
      </c>
      <c r="P160" s="113">
        <f t="shared" si="87"/>
        <v>0</v>
      </c>
      <c r="Q160" s="113" t="str">
        <f t="shared" si="87"/>
        <v>p</v>
      </c>
      <c r="R160" s="113">
        <f t="shared" si="87"/>
        <v>0</v>
      </c>
      <c r="S160" s="113">
        <f t="shared" si="87"/>
        <v>0</v>
      </c>
      <c r="T160" s="113">
        <f t="shared" si="87"/>
        <v>0</v>
      </c>
      <c r="U160" s="113">
        <f t="shared" si="87"/>
        <v>0</v>
      </c>
      <c r="V160" s="113">
        <f t="shared" si="87"/>
        <v>0</v>
      </c>
      <c r="W160" s="113">
        <f t="shared" si="87"/>
        <v>0</v>
      </c>
      <c r="X160" s="113">
        <f t="shared" si="87"/>
        <v>0</v>
      </c>
      <c r="AA160" s="113">
        <v>15</v>
      </c>
      <c r="AB160" s="112">
        <f t="shared" ca="1" si="88"/>
        <v>39814</v>
      </c>
      <c r="AC160" s="428">
        <f t="shared" ca="1" si="88"/>
        <v>40268</v>
      </c>
      <c r="AD160" t="s">
        <v>511</v>
      </c>
      <c r="AF160" s="114">
        <f t="shared" ca="1" si="80"/>
        <v>16947.900000000001</v>
      </c>
      <c r="AG160" s="114">
        <f t="shared" ca="1" si="80"/>
        <v>0</v>
      </c>
      <c r="AH160" s="114">
        <f t="shared" ca="1" si="80"/>
        <v>0</v>
      </c>
      <c r="AI160" s="114">
        <f t="shared" ca="1" si="80"/>
        <v>6384.11</v>
      </c>
      <c r="AJ160" s="114">
        <f t="shared" ca="1" si="80"/>
        <v>0</v>
      </c>
      <c r="AK160" s="114">
        <f t="shared" ca="1" si="80"/>
        <v>1944.33</v>
      </c>
      <c r="AN160">
        <f t="shared" si="49"/>
        <v>160</v>
      </c>
      <c r="AQ160" s="114">
        <f t="shared" ca="1" si="50"/>
        <v>2424</v>
      </c>
      <c r="AW160">
        <v>160</v>
      </c>
      <c r="BG160" s="114">
        <f t="shared" ref="BG160:BG223" ca="1" si="89">AF160+AG160+AH160+AI160+AJ160+AQ160</f>
        <v>25756.010000000002</v>
      </c>
      <c r="BI160">
        <f t="shared" ref="BI160:BI223" si="90">AE160</f>
        <v>0</v>
      </c>
    </row>
    <row r="161" spans="1:61" x14ac:dyDescent="0.25">
      <c r="A161" s="113">
        <f t="shared" si="86"/>
        <v>788</v>
      </c>
      <c r="B161" s="113" t="str">
        <f t="shared" si="87"/>
        <v>a</v>
      </c>
      <c r="C161" s="113" t="str">
        <f t="shared" si="87"/>
        <v>b</v>
      </c>
      <c r="D161" s="113" t="str">
        <f t="shared" si="87"/>
        <v>c</v>
      </c>
      <c r="E161" s="113" t="str">
        <f t="shared" si="87"/>
        <v>d</v>
      </c>
      <c r="F161" s="113" t="str">
        <f t="shared" si="87"/>
        <v>e</v>
      </c>
      <c r="G161" s="113" t="str">
        <f t="shared" si="87"/>
        <v>f</v>
      </c>
      <c r="H161" s="113" t="str">
        <f t="shared" si="87"/>
        <v>g</v>
      </c>
      <c r="I161" s="113" t="str">
        <f t="shared" si="87"/>
        <v>h</v>
      </c>
      <c r="J161" s="113" t="str">
        <f t="shared" si="87"/>
        <v>i</v>
      </c>
      <c r="K161" s="113" t="str">
        <f t="shared" si="87"/>
        <v>j</v>
      </c>
      <c r="L161" s="113" t="str">
        <f t="shared" si="87"/>
        <v>k</v>
      </c>
      <c r="M161" s="113" t="str">
        <f t="shared" si="87"/>
        <v>l</v>
      </c>
      <c r="N161" s="113" t="str">
        <f t="shared" si="87"/>
        <v>m</v>
      </c>
      <c r="O161" s="113">
        <f t="shared" si="87"/>
        <v>0</v>
      </c>
      <c r="P161" s="113">
        <f t="shared" si="87"/>
        <v>0</v>
      </c>
      <c r="Q161" s="113" t="str">
        <f t="shared" si="87"/>
        <v>p</v>
      </c>
      <c r="R161" s="113">
        <f t="shared" si="87"/>
        <v>0</v>
      </c>
      <c r="S161" s="113">
        <f t="shared" si="87"/>
        <v>0</v>
      </c>
      <c r="T161" s="113">
        <f t="shared" si="87"/>
        <v>0</v>
      </c>
      <c r="U161" s="113">
        <f t="shared" si="87"/>
        <v>0</v>
      </c>
      <c r="V161" s="113">
        <f t="shared" si="87"/>
        <v>0</v>
      </c>
      <c r="W161" s="113">
        <f t="shared" si="87"/>
        <v>0</v>
      </c>
      <c r="X161" s="113">
        <f t="shared" si="87"/>
        <v>0</v>
      </c>
      <c r="AA161" s="113">
        <v>21</v>
      </c>
      <c r="AB161" s="112">
        <f t="shared" ca="1" si="88"/>
        <v>39814</v>
      </c>
      <c r="AC161" s="428">
        <f t="shared" ca="1" si="88"/>
        <v>40268</v>
      </c>
      <c r="AD161" t="s">
        <v>512</v>
      </c>
      <c r="AF161" s="114">
        <f t="shared" ca="1" si="80"/>
        <v>18770.54</v>
      </c>
      <c r="AG161" s="114">
        <f t="shared" ca="1" si="80"/>
        <v>0</v>
      </c>
      <c r="AH161" s="114">
        <f t="shared" ca="1" si="80"/>
        <v>0</v>
      </c>
      <c r="AI161" s="114">
        <f t="shared" ca="1" si="80"/>
        <v>6384.11</v>
      </c>
      <c r="AJ161" s="114">
        <f t="shared" ca="1" si="80"/>
        <v>0</v>
      </c>
      <c r="AK161" s="114">
        <f t="shared" ca="1" si="80"/>
        <v>2096.2199999999998</v>
      </c>
      <c r="AN161">
        <f t="shared" ref="AN161:AN224" si="91">AN160+1</f>
        <v>161</v>
      </c>
      <c r="AQ161" s="114">
        <f t="shared" ref="AQ161:AQ224" ca="1" si="92">INDIRECT(CONCATENATE($AB$10,CONCATENATE(Q161,$A161)))</f>
        <v>2424</v>
      </c>
      <c r="AW161">
        <v>161</v>
      </c>
      <c r="BG161" s="114">
        <f t="shared" ca="1" si="89"/>
        <v>27578.65</v>
      </c>
      <c r="BI161">
        <f t="shared" si="90"/>
        <v>0</v>
      </c>
    </row>
    <row r="162" spans="1:61" x14ac:dyDescent="0.25">
      <c r="A162" s="113">
        <f t="shared" si="86"/>
        <v>790</v>
      </c>
      <c r="B162" s="113" t="str">
        <f t="shared" si="87"/>
        <v>a</v>
      </c>
      <c r="C162" s="113" t="str">
        <f t="shared" si="87"/>
        <v>b</v>
      </c>
      <c r="D162" s="113" t="str">
        <f t="shared" si="87"/>
        <v>c</v>
      </c>
      <c r="E162" s="113" t="str">
        <f t="shared" si="87"/>
        <v>d</v>
      </c>
      <c r="F162" s="113" t="str">
        <f t="shared" si="87"/>
        <v>e</v>
      </c>
      <c r="G162" s="113" t="str">
        <f t="shared" si="87"/>
        <v>f</v>
      </c>
      <c r="H162" s="113" t="str">
        <f t="shared" si="87"/>
        <v>g</v>
      </c>
      <c r="I162" s="113" t="str">
        <f t="shared" si="87"/>
        <v>h</v>
      </c>
      <c r="J162" s="113" t="str">
        <f t="shared" si="87"/>
        <v>i</v>
      </c>
      <c r="K162" s="113" t="str">
        <f t="shared" si="87"/>
        <v>j</v>
      </c>
      <c r="L162" s="113" t="str">
        <f t="shared" si="87"/>
        <v>k</v>
      </c>
      <c r="M162" s="113" t="str">
        <f t="shared" si="87"/>
        <v>l</v>
      </c>
      <c r="N162" s="113" t="str">
        <f t="shared" si="87"/>
        <v>m</v>
      </c>
      <c r="O162" s="113">
        <f t="shared" si="87"/>
        <v>0</v>
      </c>
      <c r="P162" s="113">
        <f t="shared" si="87"/>
        <v>0</v>
      </c>
      <c r="Q162" s="113" t="str">
        <f t="shared" si="87"/>
        <v>p</v>
      </c>
      <c r="R162" s="113">
        <f t="shared" si="87"/>
        <v>0</v>
      </c>
      <c r="S162" s="113">
        <f t="shared" si="87"/>
        <v>0</v>
      </c>
      <c r="T162" s="113">
        <f t="shared" si="87"/>
        <v>0</v>
      </c>
      <c r="U162" s="113">
        <f t="shared" si="87"/>
        <v>0</v>
      </c>
      <c r="V162" s="113">
        <f t="shared" si="87"/>
        <v>0</v>
      </c>
      <c r="W162" s="113">
        <f t="shared" si="87"/>
        <v>0</v>
      </c>
      <c r="X162" s="113">
        <f t="shared" si="87"/>
        <v>0</v>
      </c>
      <c r="AA162" s="113">
        <v>28</v>
      </c>
      <c r="AB162" s="112">
        <f t="shared" ca="1" si="88"/>
        <v>39814</v>
      </c>
      <c r="AC162" s="428">
        <f t="shared" ca="1" si="88"/>
        <v>40268</v>
      </c>
      <c r="AD162" t="s">
        <v>513</v>
      </c>
      <c r="AF162" s="114">
        <f t="shared" ca="1" si="80"/>
        <v>20568.830000000002</v>
      </c>
      <c r="AG162" s="114">
        <f t="shared" ca="1" si="80"/>
        <v>0</v>
      </c>
      <c r="AH162" s="114">
        <f t="shared" ca="1" si="80"/>
        <v>0</v>
      </c>
      <c r="AI162" s="114">
        <f t="shared" ca="1" si="80"/>
        <v>6384.11</v>
      </c>
      <c r="AJ162" s="114">
        <f t="shared" ca="1" si="80"/>
        <v>0</v>
      </c>
      <c r="AK162" s="114">
        <f t="shared" ca="1" si="80"/>
        <v>2246.08</v>
      </c>
      <c r="AN162">
        <f t="shared" si="91"/>
        <v>162</v>
      </c>
      <c r="AQ162" s="114">
        <f t="shared" ca="1" si="92"/>
        <v>3090</v>
      </c>
      <c r="AW162">
        <v>162</v>
      </c>
      <c r="BG162" s="114">
        <f t="shared" ca="1" si="89"/>
        <v>30042.940000000002</v>
      </c>
      <c r="BI162">
        <f t="shared" si="90"/>
        <v>0</v>
      </c>
    </row>
    <row r="163" spans="1:61" x14ac:dyDescent="0.25">
      <c r="A163" s="113">
        <f t="shared" si="86"/>
        <v>792</v>
      </c>
      <c r="B163" s="113" t="str">
        <f t="shared" si="87"/>
        <v>a</v>
      </c>
      <c r="C163" s="113" t="str">
        <f t="shared" si="87"/>
        <v>b</v>
      </c>
      <c r="D163" s="113" t="str">
        <f t="shared" si="87"/>
        <v>c</v>
      </c>
      <c r="E163" s="113" t="str">
        <f t="shared" si="87"/>
        <v>d</v>
      </c>
      <c r="F163" s="113" t="str">
        <f t="shared" si="87"/>
        <v>e</v>
      </c>
      <c r="G163" s="113" t="str">
        <f t="shared" si="87"/>
        <v>f</v>
      </c>
      <c r="H163" s="113" t="str">
        <f t="shared" si="87"/>
        <v>g</v>
      </c>
      <c r="I163" s="113" t="str">
        <f t="shared" si="87"/>
        <v>h</v>
      </c>
      <c r="J163" s="113" t="str">
        <f t="shared" si="87"/>
        <v>i</v>
      </c>
      <c r="K163" s="113" t="str">
        <f t="shared" si="87"/>
        <v>j</v>
      </c>
      <c r="L163" s="113" t="str">
        <f t="shared" si="87"/>
        <v>k</v>
      </c>
      <c r="M163" s="113" t="str">
        <f t="shared" si="87"/>
        <v>l</v>
      </c>
      <c r="N163" s="113" t="str">
        <f t="shared" si="87"/>
        <v>m</v>
      </c>
      <c r="O163" s="113">
        <f t="shared" si="87"/>
        <v>0</v>
      </c>
      <c r="P163" s="113">
        <f t="shared" si="87"/>
        <v>0</v>
      </c>
      <c r="Q163" s="113" t="str">
        <f t="shared" si="87"/>
        <v>p</v>
      </c>
      <c r="R163" s="113">
        <f t="shared" si="87"/>
        <v>0</v>
      </c>
      <c r="S163" s="113">
        <f t="shared" si="87"/>
        <v>0</v>
      </c>
      <c r="T163" s="113">
        <f t="shared" si="87"/>
        <v>0</v>
      </c>
      <c r="U163" s="113">
        <f t="shared" si="87"/>
        <v>0</v>
      </c>
      <c r="V163" s="113">
        <f t="shared" si="87"/>
        <v>0</v>
      </c>
      <c r="W163" s="113">
        <f t="shared" si="87"/>
        <v>0</v>
      </c>
      <c r="X163" s="113">
        <f t="shared" si="87"/>
        <v>0</v>
      </c>
      <c r="AA163" s="113">
        <v>35</v>
      </c>
      <c r="AB163" s="112">
        <f t="shared" ca="1" si="88"/>
        <v>39814</v>
      </c>
      <c r="AC163" s="428">
        <f t="shared" ca="1" si="88"/>
        <v>40268</v>
      </c>
      <c r="AD163" t="s">
        <v>514</v>
      </c>
      <c r="AF163" s="114">
        <f t="shared" ca="1" si="80"/>
        <v>21907.88</v>
      </c>
      <c r="AG163" s="114">
        <f t="shared" ca="1" si="80"/>
        <v>0</v>
      </c>
      <c r="AH163" s="114">
        <f t="shared" ca="1" si="80"/>
        <v>0</v>
      </c>
      <c r="AI163" s="114">
        <f t="shared" ca="1" si="80"/>
        <v>6384.11</v>
      </c>
      <c r="AJ163" s="114">
        <f t="shared" ca="1" si="80"/>
        <v>0</v>
      </c>
      <c r="AK163" s="114">
        <f t="shared" ca="1" si="80"/>
        <v>2357.67</v>
      </c>
      <c r="AN163">
        <f t="shared" si="91"/>
        <v>163</v>
      </c>
      <c r="AQ163" s="114">
        <f t="shared" ca="1" si="92"/>
        <v>3090</v>
      </c>
      <c r="AW163">
        <v>163</v>
      </c>
      <c r="BG163" s="114">
        <f t="shared" ca="1" si="89"/>
        <v>31381.99</v>
      </c>
      <c r="BI163">
        <f t="shared" si="90"/>
        <v>0</v>
      </c>
    </row>
    <row r="164" spans="1:61" x14ac:dyDescent="0.25">
      <c r="A164" s="113">
        <f>A157+20</f>
        <v>800</v>
      </c>
      <c r="B164" s="113" t="str">
        <f>B157</f>
        <v>a</v>
      </c>
      <c r="C164" s="113" t="str">
        <f t="shared" ref="C164:X164" si="93">C157</f>
        <v>b</v>
      </c>
      <c r="D164" s="113" t="str">
        <f t="shared" si="93"/>
        <v>c</v>
      </c>
      <c r="E164" s="113" t="str">
        <f t="shared" si="93"/>
        <v>d</v>
      </c>
      <c r="F164" s="113" t="str">
        <f t="shared" si="93"/>
        <v>e</v>
      </c>
      <c r="G164" s="113" t="str">
        <f t="shared" si="93"/>
        <v>f</v>
      </c>
      <c r="H164" s="113" t="str">
        <f t="shared" si="93"/>
        <v>g</v>
      </c>
      <c r="I164" s="113" t="str">
        <f t="shared" si="93"/>
        <v>h</v>
      </c>
      <c r="J164" s="113" t="str">
        <f t="shared" si="93"/>
        <v>i</v>
      </c>
      <c r="K164" s="113" t="str">
        <f t="shared" si="93"/>
        <v>j</v>
      </c>
      <c r="L164" s="113" t="str">
        <f t="shared" si="93"/>
        <v>k</v>
      </c>
      <c r="M164" s="113" t="str">
        <f t="shared" si="93"/>
        <v>l</v>
      </c>
      <c r="N164" s="113" t="str">
        <f t="shared" si="93"/>
        <v>m</v>
      </c>
      <c r="O164" s="113">
        <f t="shared" si="93"/>
        <v>0</v>
      </c>
      <c r="P164" s="113">
        <f t="shared" si="93"/>
        <v>0</v>
      </c>
      <c r="Q164" s="113" t="str">
        <f t="shared" si="93"/>
        <v>p</v>
      </c>
      <c r="R164" s="113">
        <f t="shared" si="93"/>
        <v>0</v>
      </c>
      <c r="S164" s="113">
        <f t="shared" si="93"/>
        <v>0</v>
      </c>
      <c r="T164" s="113">
        <f t="shared" si="93"/>
        <v>0</v>
      </c>
      <c r="U164" s="113">
        <f t="shared" si="93"/>
        <v>0</v>
      </c>
      <c r="V164" s="113">
        <f t="shared" si="93"/>
        <v>0</v>
      </c>
      <c r="W164" s="113">
        <f t="shared" si="93"/>
        <v>0</v>
      </c>
      <c r="X164" s="113">
        <f t="shared" si="93"/>
        <v>0</v>
      </c>
      <c r="AA164" s="113">
        <v>0</v>
      </c>
      <c r="AB164" s="112">
        <f ca="1">INDIRECT(CONCATENATE($AB$10,CONCATENATE(B164,$A164)))</f>
        <v>40269</v>
      </c>
      <c r="AC164" s="428">
        <f ca="1">INDIRECT(CONCATENATE($AB$10,CONCATENATE(C164,$A164)))</f>
        <v>40359</v>
      </c>
      <c r="AD164" t="s">
        <v>515</v>
      </c>
      <c r="AF164" s="114">
        <f t="shared" ca="1" si="80"/>
        <v>12940.19</v>
      </c>
      <c r="AG164" s="114">
        <f ca="1">INDIRECT(CONCATENATE($AB$10,CONCATENATE(G164,$A164)))</f>
        <v>0</v>
      </c>
      <c r="AH164" s="114">
        <f ca="1">INDIRECT(CONCATENATE($AB$10,CONCATENATE(H164,$A164)))</f>
        <v>0</v>
      </c>
      <c r="AI164" s="114">
        <f ca="1">INDIRECT(CONCATENATE($AB$10,CONCATENATE(I164,$A164)))</f>
        <v>6384.11</v>
      </c>
      <c r="AJ164" s="114">
        <f ca="1">INDIRECT(CONCATENATE($AB$10,CONCATENATE(J164,$A164)))</f>
        <v>86.96</v>
      </c>
      <c r="AK164" s="114">
        <f ca="1">INDIRECT(CONCATENATE($AB$10,CONCATENATE(K164,$A164)))</f>
        <v>1610.36</v>
      </c>
      <c r="AN164">
        <f t="shared" si="91"/>
        <v>164</v>
      </c>
      <c r="AQ164" s="114">
        <f t="shared" ca="1" si="92"/>
        <v>1968</v>
      </c>
      <c r="AW164">
        <v>164</v>
      </c>
      <c r="BG164" s="114">
        <f t="shared" ca="1" si="89"/>
        <v>21379.26</v>
      </c>
      <c r="BI164">
        <f t="shared" si="90"/>
        <v>0</v>
      </c>
    </row>
    <row r="165" spans="1:61" x14ac:dyDescent="0.25">
      <c r="A165" s="113">
        <f t="shared" ref="A165:A170" si="94">A164+2</f>
        <v>802</v>
      </c>
      <c r="B165" s="113" t="str">
        <f t="shared" ref="B165:X170" si="95">B164</f>
        <v>a</v>
      </c>
      <c r="C165" s="113" t="str">
        <f t="shared" si="95"/>
        <v>b</v>
      </c>
      <c r="D165" s="113" t="str">
        <f t="shared" si="95"/>
        <v>c</v>
      </c>
      <c r="E165" s="113" t="str">
        <f t="shared" si="95"/>
        <v>d</v>
      </c>
      <c r="F165" s="113" t="str">
        <f t="shared" si="95"/>
        <v>e</v>
      </c>
      <c r="G165" s="113" t="str">
        <f t="shared" si="95"/>
        <v>f</v>
      </c>
      <c r="H165" s="113" t="str">
        <f t="shared" si="95"/>
        <v>g</v>
      </c>
      <c r="I165" s="113" t="str">
        <f t="shared" si="95"/>
        <v>h</v>
      </c>
      <c r="J165" s="113" t="str">
        <f t="shared" si="95"/>
        <v>i</v>
      </c>
      <c r="K165" s="113" t="str">
        <f t="shared" si="95"/>
        <v>j</v>
      </c>
      <c r="L165" s="113" t="str">
        <f t="shared" si="95"/>
        <v>k</v>
      </c>
      <c r="M165" s="113" t="str">
        <f t="shared" si="95"/>
        <v>l</v>
      </c>
      <c r="N165" s="113" t="str">
        <f t="shared" si="95"/>
        <v>m</v>
      </c>
      <c r="O165" s="113">
        <f t="shared" si="95"/>
        <v>0</v>
      </c>
      <c r="P165" s="113">
        <f t="shared" si="95"/>
        <v>0</v>
      </c>
      <c r="Q165" s="113" t="str">
        <f t="shared" si="95"/>
        <v>p</v>
      </c>
      <c r="R165" s="113">
        <f t="shared" si="95"/>
        <v>0</v>
      </c>
      <c r="S165" s="113">
        <f t="shared" si="95"/>
        <v>0</v>
      </c>
      <c r="T165" s="113">
        <f t="shared" si="95"/>
        <v>0</v>
      </c>
      <c r="U165" s="113">
        <f t="shared" si="95"/>
        <v>0</v>
      </c>
      <c r="V165" s="113">
        <f t="shared" si="95"/>
        <v>0</v>
      </c>
      <c r="W165" s="113">
        <f t="shared" si="95"/>
        <v>0</v>
      </c>
      <c r="X165" s="113">
        <f t="shared" si="95"/>
        <v>0</v>
      </c>
      <c r="AA165" s="113">
        <v>3</v>
      </c>
      <c r="AB165" s="112">
        <f t="shared" ref="AB165:AC170" ca="1" si="96">AB164</f>
        <v>40269</v>
      </c>
      <c r="AC165" s="428">
        <f t="shared" ca="1" si="96"/>
        <v>40359</v>
      </c>
      <c r="AD165" t="s">
        <v>516</v>
      </c>
      <c r="AF165" s="114">
        <f t="shared" ca="1" si="80"/>
        <v>13462.24</v>
      </c>
      <c r="AG165" s="114">
        <f t="shared" ca="1" si="80"/>
        <v>0</v>
      </c>
      <c r="AH165" s="114">
        <f t="shared" ca="1" si="80"/>
        <v>0</v>
      </c>
      <c r="AI165" s="114">
        <f t="shared" ca="1" si="80"/>
        <v>6384.11</v>
      </c>
      <c r="AJ165" s="114">
        <f t="shared" ca="1" si="80"/>
        <v>86.96</v>
      </c>
      <c r="AK165" s="114">
        <f t="shared" ca="1" si="80"/>
        <v>1653.86</v>
      </c>
      <c r="AN165">
        <f t="shared" si="91"/>
        <v>165</v>
      </c>
      <c r="AQ165" s="114">
        <f t="shared" ca="1" si="92"/>
        <v>1968</v>
      </c>
      <c r="AW165">
        <v>165</v>
      </c>
      <c r="BG165" s="114">
        <f t="shared" ca="1" si="89"/>
        <v>21901.309999999998</v>
      </c>
      <c r="BI165">
        <f t="shared" si="90"/>
        <v>0</v>
      </c>
    </row>
    <row r="166" spans="1:61" x14ac:dyDescent="0.25">
      <c r="A166" s="113">
        <f t="shared" si="94"/>
        <v>804</v>
      </c>
      <c r="B166" s="113" t="str">
        <f t="shared" si="95"/>
        <v>a</v>
      </c>
      <c r="C166" s="113" t="str">
        <f t="shared" si="95"/>
        <v>b</v>
      </c>
      <c r="D166" s="113" t="str">
        <f t="shared" si="95"/>
        <v>c</v>
      </c>
      <c r="E166" s="113" t="str">
        <f t="shared" si="95"/>
        <v>d</v>
      </c>
      <c r="F166" s="113" t="str">
        <f t="shared" si="95"/>
        <v>e</v>
      </c>
      <c r="G166" s="113" t="str">
        <f t="shared" si="95"/>
        <v>f</v>
      </c>
      <c r="H166" s="113" t="str">
        <f t="shared" si="95"/>
        <v>g</v>
      </c>
      <c r="I166" s="113" t="str">
        <f t="shared" si="95"/>
        <v>h</v>
      </c>
      <c r="J166" s="113" t="str">
        <f t="shared" si="95"/>
        <v>i</v>
      </c>
      <c r="K166" s="113" t="str">
        <f t="shared" si="95"/>
        <v>j</v>
      </c>
      <c r="L166" s="113" t="str">
        <f t="shared" si="95"/>
        <v>k</v>
      </c>
      <c r="M166" s="113" t="str">
        <f t="shared" si="95"/>
        <v>l</v>
      </c>
      <c r="N166" s="113" t="str">
        <f t="shared" si="95"/>
        <v>m</v>
      </c>
      <c r="O166" s="113">
        <f t="shared" si="95"/>
        <v>0</v>
      </c>
      <c r="P166" s="113">
        <f t="shared" si="95"/>
        <v>0</v>
      </c>
      <c r="Q166" s="113" t="str">
        <f t="shared" si="95"/>
        <v>p</v>
      </c>
      <c r="R166" s="113">
        <f t="shared" si="95"/>
        <v>0</v>
      </c>
      <c r="S166" s="113">
        <f t="shared" si="95"/>
        <v>0</v>
      </c>
      <c r="T166" s="113">
        <f t="shared" si="95"/>
        <v>0</v>
      </c>
      <c r="U166" s="113">
        <f t="shared" si="95"/>
        <v>0</v>
      </c>
      <c r="V166" s="113">
        <f t="shared" si="95"/>
        <v>0</v>
      </c>
      <c r="W166" s="113">
        <f t="shared" si="95"/>
        <v>0</v>
      </c>
      <c r="X166" s="113">
        <f t="shared" si="95"/>
        <v>0</v>
      </c>
      <c r="AA166" s="113">
        <v>9</v>
      </c>
      <c r="AB166" s="112">
        <f t="shared" ca="1" si="96"/>
        <v>40269</v>
      </c>
      <c r="AC166" s="428">
        <f t="shared" ca="1" si="96"/>
        <v>40359</v>
      </c>
      <c r="AD166" t="s">
        <v>510</v>
      </c>
      <c r="AF166" s="114">
        <f t="shared" ca="1" si="80"/>
        <v>15069.97</v>
      </c>
      <c r="AG166" s="114">
        <f t="shared" ca="1" si="80"/>
        <v>0</v>
      </c>
      <c r="AH166" s="114">
        <f t="shared" ca="1" si="80"/>
        <v>0</v>
      </c>
      <c r="AI166" s="114">
        <f t="shared" ca="1" si="80"/>
        <v>6384.11</v>
      </c>
      <c r="AJ166" s="114">
        <f t="shared" ca="1" si="80"/>
        <v>86.96</v>
      </c>
      <c r="AK166" s="114">
        <f t="shared" ca="1" si="80"/>
        <v>1787.84</v>
      </c>
      <c r="AN166">
        <f t="shared" si="91"/>
        <v>166</v>
      </c>
      <c r="AQ166" s="114">
        <f t="shared" ca="1" si="92"/>
        <v>1968</v>
      </c>
      <c r="AW166">
        <v>166</v>
      </c>
      <c r="BG166" s="114">
        <f t="shared" ca="1" si="89"/>
        <v>23509.039999999997</v>
      </c>
      <c r="BI166">
        <f t="shared" si="90"/>
        <v>0</v>
      </c>
    </row>
    <row r="167" spans="1:61" x14ac:dyDescent="0.25">
      <c r="A167" s="113">
        <f t="shared" si="94"/>
        <v>806</v>
      </c>
      <c r="B167" s="113" t="str">
        <f t="shared" si="95"/>
        <v>a</v>
      </c>
      <c r="C167" s="113" t="str">
        <f t="shared" si="95"/>
        <v>b</v>
      </c>
      <c r="D167" s="113" t="str">
        <f t="shared" si="95"/>
        <v>c</v>
      </c>
      <c r="E167" s="113" t="str">
        <f t="shared" si="95"/>
        <v>d</v>
      </c>
      <c r="F167" s="113" t="str">
        <f t="shared" si="95"/>
        <v>e</v>
      </c>
      <c r="G167" s="113" t="str">
        <f t="shared" si="95"/>
        <v>f</v>
      </c>
      <c r="H167" s="113" t="str">
        <f t="shared" si="95"/>
        <v>g</v>
      </c>
      <c r="I167" s="113" t="str">
        <f t="shared" si="95"/>
        <v>h</v>
      </c>
      <c r="J167" s="113" t="str">
        <f t="shared" si="95"/>
        <v>i</v>
      </c>
      <c r="K167" s="113" t="str">
        <f t="shared" si="95"/>
        <v>j</v>
      </c>
      <c r="L167" s="113" t="str">
        <f t="shared" si="95"/>
        <v>k</v>
      </c>
      <c r="M167" s="113" t="str">
        <f t="shared" si="95"/>
        <v>l</v>
      </c>
      <c r="N167" s="113" t="str">
        <f t="shared" si="95"/>
        <v>m</v>
      </c>
      <c r="O167" s="113">
        <f t="shared" si="95"/>
        <v>0</v>
      </c>
      <c r="P167" s="113">
        <f t="shared" si="95"/>
        <v>0</v>
      </c>
      <c r="Q167" s="113" t="str">
        <f t="shared" si="95"/>
        <v>p</v>
      </c>
      <c r="R167" s="113">
        <f t="shared" si="95"/>
        <v>0</v>
      </c>
      <c r="S167" s="113">
        <f t="shared" si="95"/>
        <v>0</v>
      </c>
      <c r="T167" s="113">
        <f t="shared" si="95"/>
        <v>0</v>
      </c>
      <c r="U167" s="113">
        <f t="shared" si="95"/>
        <v>0</v>
      </c>
      <c r="V167" s="113">
        <f t="shared" si="95"/>
        <v>0</v>
      </c>
      <c r="W167" s="113">
        <f t="shared" si="95"/>
        <v>0</v>
      </c>
      <c r="X167" s="113">
        <f t="shared" si="95"/>
        <v>0</v>
      </c>
      <c r="AA167" s="113">
        <v>15</v>
      </c>
      <c r="AB167" s="112">
        <f t="shared" ca="1" si="96"/>
        <v>40269</v>
      </c>
      <c r="AC167" s="428">
        <f t="shared" ca="1" si="96"/>
        <v>40359</v>
      </c>
      <c r="AD167" t="s">
        <v>511</v>
      </c>
      <c r="AF167" s="114">
        <f t="shared" ca="1" si="80"/>
        <v>16947.900000000001</v>
      </c>
      <c r="AG167" s="114">
        <f t="shared" ca="1" si="80"/>
        <v>0</v>
      </c>
      <c r="AH167" s="114">
        <f t="shared" ca="1" si="80"/>
        <v>0</v>
      </c>
      <c r="AI167" s="114">
        <f t="shared" ca="1" si="80"/>
        <v>6384.11</v>
      </c>
      <c r="AJ167" s="114">
        <f t="shared" ca="1" si="80"/>
        <v>86.96</v>
      </c>
      <c r="AK167" s="114">
        <f t="shared" ca="1" si="80"/>
        <v>1944.33</v>
      </c>
      <c r="AN167">
        <f t="shared" si="91"/>
        <v>167</v>
      </c>
      <c r="AQ167" s="114">
        <f t="shared" ca="1" si="92"/>
        <v>2424</v>
      </c>
      <c r="AW167">
        <v>167</v>
      </c>
      <c r="BG167" s="114">
        <f t="shared" ca="1" si="89"/>
        <v>25842.97</v>
      </c>
      <c r="BI167">
        <f t="shared" si="90"/>
        <v>0</v>
      </c>
    </row>
    <row r="168" spans="1:61" x14ac:dyDescent="0.25">
      <c r="A168" s="113">
        <f t="shared" si="94"/>
        <v>808</v>
      </c>
      <c r="B168" s="113" t="str">
        <f t="shared" si="95"/>
        <v>a</v>
      </c>
      <c r="C168" s="113" t="str">
        <f t="shared" si="95"/>
        <v>b</v>
      </c>
      <c r="D168" s="113" t="str">
        <f t="shared" si="95"/>
        <v>c</v>
      </c>
      <c r="E168" s="113" t="str">
        <f t="shared" si="95"/>
        <v>d</v>
      </c>
      <c r="F168" s="113" t="str">
        <f t="shared" si="95"/>
        <v>e</v>
      </c>
      <c r="G168" s="113" t="str">
        <f t="shared" si="95"/>
        <v>f</v>
      </c>
      <c r="H168" s="113" t="str">
        <f t="shared" si="95"/>
        <v>g</v>
      </c>
      <c r="I168" s="113" t="str">
        <f t="shared" si="95"/>
        <v>h</v>
      </c>
      <c r="J168" s="113" t="str">
        <f t="shared" si="95"/>
        <v>i</v>
      </c>
      <c r="K168" s="113" t="str">
        <f t="shared" si="95"/>
        <v>j</v>
      </c>
      <c r="L168" s="113" t="str">
        <f t="shared" si="95"/>
        <v>k</v>
      </c>
      <c r="M168" s="113" t="str">
        <f t="shared" si="95"/>
        <v>l</v>
      </c>
      <c r="N168" s="113" t="str">
        <f t="shared" si="95"/>
        <v>m</v>
      </c>
      <c r="O168" s="113">
        <f t="shared" si="95"/>
        <v>0</v>
      </c>
      <c r="P168" s="113">
        <f t="shared" si="95"/>
        <v>0</v>
      </c>
      <c r="Q168" s="113" t="str">
        <f t="shared" si="95"/>
        <v>p</v>
      </c>
      <c r="R168" s="113">
        <f t="shared" si="95"/>
        <v>0</v>
      </c>
      <c r="S168" s="113">
        <f t="shared" si="95"/>
        <v>0</v>
      </c>
      <c r="T168" s="113">
        <f t="shared" si="95"/>
        <v>0</v>
      </c>
      <c r="U168" s="113">
        <f t="shared" si="95"/>
        <v>0</v>
      </c>
      <c r="V168" s="113">
        <f t="shared" si="95"/>
        <v>0</v>
      </c>
      <c r="W168" s="113">
        <f t="shared" si="95"/>
        <v>0</v>
      </c>
      <c r="X168" s="113">
        <f t="shared" si="95"/>
        <v>0</v>
      </c>
      <c r="AA168" s="113">
        <v>21</v>
      </c>
      <c r="AB168" s="112">
        <f t="shared" ca="1" si="96"/>
        <v>40269</v>
      </c>
      <c r="AC168" s="428">
        <f t="shared" ca="1" si="96"/>
        <v>40359</v>
      </c>
      <c r="AD168" t="s">
        <v>512</v>
      </c>
      <c r="AF168" s="114">
        <f t="shared" ca="1" si="80"/>
        <v>18770.54</v>
      </c>
      <c r="AG168" s="114">
        <f t="shared" ca="1" si="80"/>
        <v>0</v>
      </c>
      <c r="AH168" s="114">
        <f t="shared" ca="1" si="80"/>
        <v>0</v>
      </c>
      <c r="AI168" s="114">
        <f t="shared" ca="1" si="80"/>
        <v>6384.11</v>
      </c>
      <c r="AJ168" s="114">
        <f t="shared" ca="1" si="80"/>
        <v>86.96</v>
      </c>
      <c r="AK168" s="114">
        <f t="shared" ca="1" si="80"/>
        <v>2096.2199999999998</v>
      </c>
      <c r="AN168">
        <f t="shared" si="91"/>
        <v>168</v>
      </c>
      <c r="AQ168" s="114">
        <f t="shared" ca="1" si="92"/>
        <v>2424</v>
      </c>
      <c r="AW168">
        <v>168</v>
      </c>
      <c r="BG168" s="114">
        <f t="shared" ca="1" si="89"/>
        <v>27665.61</v>
      </c>
      <c r="BI168">
        <f t="shared" si="90"/>
        <v>0</v>
      </c>
    </row>
    <row r="169" spans="1:61" x14ac:dyDescent="0.25">
      <c r="A169" s="113">
        <f t="shared" si="94"/>
        <v>810</v>
      </c>
      <c r="B169" s="113" t="str">
        <f t="shared" si="95"/>
        <v>a</v>
      </c>
      <c r="C169" s="113" t="str">
        <f t="shared" si="95"/>
        <v>b</v>
      </c>
      <c r="D169" s="113" t="str">
        <f t="shared" si="95"/>
        <v>c</v>
      </c>
      <c r="E169" s="113" t="str">
        <f t="shared" si="95"/>
        <v>d</v>
      </c>
      <c r="F169" s="113" t="str">
        <f t="shared" si="95"/>
        <v>e</v>
      </c>
      <c r="G169" s="113" t="str">
        <f t="shared" si="95"/>
        <v>f</v>
      </c>
      <c r="H169" s="113" t="str">
        <f t="shared" si="95"/>
        <v>g</v>
      </c>
      <c r="I169" s="113" t="str">
        <f t="shared" si="95"/>
        <v>h</v>
      </c>
      <c r="J169" s="113" t="str">
        <f t="shared" si="95"/>
        <v>i</v>
      </c>
      <c r="K169" s="113" t="str">
        <f t="shared" si="95"/>
        <v>j</v>
      </c>
      <c r="L169" s="113" t="str">
        <f t="shared" si="95"/>
        <v>k</v>
      </c>
      <c r="M169" s="113" t="str">
        <f t="shared" si="95"/>
        <v>l</v>
      </c>
      <c r="N169" s="113" t="str">
        <f t="shared" si="95"/>
        <v>m</v>
      </c>
      <c r="O169" s="113">
        <f t="shared" si="95"/>
        <v>0</v>
      </c>
      <c r="P169" s="113">
        <f t="shared" si="95"/>
        <v>0</v>
      </c>
      <c r="Q169" s="113" t="str">
        <f t="shared" si="95"/>
        <v>p</v>
      </c>
      <c r="R169" s="113">
        <f t="shared" si="95"/>
        <v>0</v>
      </c>
      <c r="S169" s="113">
        <f t="shared" si="95"/>
        <v>0</v>
      </c>
      <c r="T169" s="113">
        <f t="shared" si="95"/>
        <v>0</v>
      </c>
      <c r="U169" s="113">
        <f t="shared" si="95"/>
        <v>0</v>
      </c>
      <c r="V169" s="113">
        <f t="shared" si="95"/>
        <v>0</v>
      </c>
      <c r="W169" s="113">
        <f t="shared" si="95"/>
        <v>0</v>
      </c>
      <c r="X169" s="113">
        <f t="shared" si="95"/>
        <v>0</v>
      </c>
      <c r="AA169" s="113">
        <v>28</v>
      </c>
      <c r="AB169" s="112">
        <f t="shared" ca="1" si="96"/>
        <v>40269</v>
      </c>
      <c r="AC169" s="428">
        <f t="shared" ca="1" si="96"/>
        <v>40359</v>
      </c>
      <c r="AD169" t="s">
        <v>513</v>
      </c>
      <c r="AF169" s="114">
        <f t="shared" ca="1" si="80"/>
        <v>20568.830000000002</v>
      </c>
      <c r="AG169" s="114">
        <f t="shared" ca="1" si="80"/>
        <v>0</v>
      </c>
      <c r="AH169" s="114">
        <f t="shared" ca="1" si="80"/>
        <v>0</v>
      </c>
      <c r="AI169" s="114">
        <f t="shared" ca="1" si="80"/>
        <v>6384.11</v>
      </c>
      <c r="AJ169" s="114">
        <f t="shared" ca="1" si="80"/>
        <v>86.96</v>
      </c>
      <c r="AK169" s="114">
        <f t="shared" ca="1" si="80"/>
        <v>2246.08</v>
      </c>
      <c r="AN169">
        <f t="shared" si="91"/>
        <v>169</v>
      </c>
      <c r="AQ169" s="114">
        <f t="shared" ca="1" si="92"/>
        <v>3090</v>
      </c>
      <c r="AW169">
        <v>169</v>
      </c>
      <c r="BG169" s="114">
        <f t="shared" ca="1" si="89"/>
        <v>30129.9</v>
      </c>
      <c r="BI169">
        <f t="shared" si="90"/>
        <v>0</v>
      </c>
    </row>
    <row r="170" spans="1:61" x14ac:dyDescent="0.25">
      <c r="A170" s="113">
        <f t="shared" si="94"/>
        <v>812</v>
      </c>
      <c r="B170" s="113" t="str">
        <f t="shared" si="95"/>
        <v>a</v>
      </c>
      <c r="C170" s="113" t="str">
        <f t="shared" si="95"/>
        <v>b</v>
      </c>
      <c r="D170" s="113" t="str">
        <f t="shared" si="95"/>
        <v>c</v>
      </c>
      <c r="E170" s="113" t="str">
        <f t="shared" si="95"/>
        <v>d</v>
      </c>
      <c r="F170" s="113" t="str">
        <f t="shared" si="95"/>
        <v>e</v>
      </c>
      <c r="G170" s="113" t="str">
        <f t="shared" si="95"/>
        <v>f</v>
      </c>
      <c r="H170" s="113" t="str">
        <f t="shared" si="95"/>
        <v>g</v>
      </c>
      <c r="I170" s="113" t="str">
        <f t="shared" si="95"/>
        <v>h</v>
      </c>
      <c r="J170" s="113" t="str">
        <f t="shared" si="95"/>
        <v>i</v>
      </c>
      <c r="K170" s="113" t="str">
        <f t="shared" si="95"/>
        <v>j</v>
      </c>
      <c r="L170" s="113" t="str">
        <f t="shared" si="95"/>
        <v>k</v>
      </c>
      <c r="M170" s="113" t="str">
        <f t="shared" si="95"/>
        <v>l</v>
      </c>
      <c r="N170" s="113" t="str">
        <f t="shared" si="95"/>
        <v>m</v>
      </c>
      <c r="O170" s="113">
        <f t="shared" si="95"/>
        <v>0</v>
      </c>
      <c r="P170" s="113">
        <f t="shared" si="95"/>
        <v>0</v>
      </c>
      <c r="Q170" s="113" t="str">
        <f t="shared" si="95"/>
        <v>p</v>
      </c>
      <c r="R170" s="113">
        <f t="shared" si="95"/>
        <v>0</v>
      </c>
      <c r="S170" s="113">
        <f t="shared" si="95"/>
        <v>0</v>
      </c>
      <c r="T170" s="113">
        <f t="shared" si="95"/>
        <v>0</v>
      </c>
      <c r="U170" s="113">
        <f t="shared" si="95"/>
        <v>0</v>
      </c>
      <c r="V170" s="113">
        <f t="shared" si="95"/>
        <v>0</v>
      </c>
      <c r="W170" s="113">
        <f t="shared" si="95"/>
        <v>0</v>
      </c>
      <c r="X170" s="113">
        <f t="shared" si="95"/>
        <v>0</v>
      </c>
      <c r="AA170" s="113">
        <v>35</v>
      </c>
      <c r="AB170" s="112">
        <f t="shared" ca="1" si="96"/>
        <v>40269</v>
      </c>
      <c r="AC170" s="428">
        <f t="shared" ca="1" si="96"/>
        <v>40359</v>
      </c>
      <c r="AD170" t="s">
        <v>514</v>
      </c>
      <c r="AF170" s="114">
        <f t="shared" ca="1" si="80"/>
        <v>21907.88</v>
      </c>
      <c r="AG170" s="114">
        <f t="shared" ca="1" si="80"/>
        <v>0</v>
      </c>
      <c r="AH170" s="114">
        <f t="shared" ca="1" si="80"/>
        <v>0</v>
      </c>
      <c r="AI170" s="114">
        <f t="shared" ca="1" si="80"/>
        <v>6384.11</v>
      </c>
      <c r="AJ170" s="114">
        <f t="shared" ca="1" si="80"/>
        <v>86.96</v>
      </c>
      <c r="AK170" s="114">
        <f t="shared" ca="1" si="80"/>
        <v>2357.67</v>
      </c>
      <c r="AN170">
        <f t="shared" si="91"/>
        <v>170</v>
      </c>
      <c r="AQ170" s="114">
        <f t="shared" ca="1" si="92"/>
        <v>3090</v>
      </c>
      <c r="AW170">
        <v>170</v>
      </c>
      <c r="BG170" s="114">
        <f t="shared" ca="1" si="89"/>
        <v>31468.95</v>
      </c>
      <c r="BI170">
        <f t="shared" si="90"/>
        <v>0</v>
      </c>
    </row>
    <row r="171" spans="1:61" x14ac:dyDescent="0.25">
      <c r="A171" s="113">
        <f>A164+20</f>
        <v>820</v>
      </c>
      <c r="B171" s="113" t="str">
        <f>B164</f>
        <v>a</v>
      </c>
      <c r="C171" s="113" t="str">
        <f t="shared" ref="C171:X171" si="97">C164</f>
        <v>b</v>
      </c>
      <c r="D171" s="113" t="str">
        <f t="shared" si="97"/>
        <v>c</v>
      </c>
      <c r="E171" s="113" t="str">
        <f t="shared" si="97"/>
        <v>d</v>
      </c>
      <c r="F171" s="113" t="str">
        <f t="shared" si="97"/>
        <v>e</v>
      </c>
      <c r="G171" s="113" t="str">
        <f t="shared" si="97"/>
        <v>f</v>
      </c>
      <c r="H171" s="113" t="str">
        <f t="shared" si="97"/>
        <v>g</v>
      </c>
      <c r="I171" s="113" t="str">
        <f t="shared" si="97"/>
        <v>h</v>
      </c>
      <c r="J171" s="113" t="str">
        <f t="shared" si="97"/>
        <v>i</v>
      </c>
      <c r="K171" s="113" t="str">
        <f t="shared" si="97"/>
        <v>j</v>
      </c>
      <c r="L171" s="113" t="str">
        <f t="shared" si="97"/>
        <v>k</v>
      </c>
      <c r="M171" s="113" t="str">
        <f t="shared" si="97"/>
        <v>l</v>
      </c>
      <c r="N171" s="113" t="str">
        <f t="shared" si="97"/>
        <v>m</v>
      </c>
      <c r="O171" s="113">
        <f t="shared" si="97"/>
        <v>0</v>
      </c>
      <c r="P171" s="113">
        <f t="shared" si="97"/>
        <v>0</v>
      </c>
      <c r="Q171" s="113" t="str">
        <f t="shared" si="97"/>
        <v>p</v>
      </c>
      <c r="R171" s="113">
        <f t="shared" si="97"/>
        <v>0</v>
      </c>
      <c r="S171" s="113">
        <f t="shared" si="97"/>
        <v>0</v>
      </c>
      <c r="T171" s="113">
        <f t="shared" si="97"/>
        <v>0</v>
      </c>
      <c r="U171" s="113">
        <f t="shared" si="97"/>
        <v>0</v>
      </c>
      <c r="V171" s="113">
        <f t="shared" si="97"/>
        <v>0</v>
      </c>
      <c r="W171" s="113">
        <f t="shared" si="97"/>
        <v>0</v>
      </c>
      <c r="X171" s="113">
        <f t="shared" si="97"/>
        <v>0</v>
      </c>
      <c r="AA171" s="113">
        <v>0</v>
      </c>
      <c r="AB171" s="112">
        <f ca="1">INDIRECT(CONCATENATE($AB$10,CONCATENATE(B171,$A171)))</f>
        <v>40360</v>
      </c>
      <c r="AC171" s="428">
        <f ca="1">INDIRECT(CONCATENATE($AB$10,CONCATENATE(C171,$A171)))</f>
        <v>40421</v>
      </c>
      <c r="AD171" t="s">
        <v>515</v>
      </c>
      <c r="AF171" s="114">
        <f t="shared" ca="1" si="80"/>
        <v>12940.19</v>
      </c>
      <c r="AG171" s="114">
        <f ca="1">INDIRECT(CONCATENATE($AB$10,CONCATENATE(G171,$A171)))</f>
        <v>0</v>
      </c>
      <c r="AH171" s="114">
        <f ca="1">INDIRECT(CONCATENATE($AB$10,CONCATENATE(H171,$A171)))</f>
        <v>0</v>
      </c>
      <c r="AI171" s="114">
        <f ca="1">INDIRECT(CONCATENATE($AB$10,CONCATENATE(I171,$A171)))</f>
        <v>6384.11</v>
      </c>
      <c r="AJ171" s="114">
        <f ca="1">INDIRECT(CONCATENATE($AB$10,CONCATENATE(J171,$A171)))</f>
        <v>144.93</v>
      </c>
      <c r="AK171" s="114">
        <f ca="1">INDIRECT(CONCATENATE($AB$10,CONCATENATE(K171,$A171)))</f>
        <v>1610.36</v>
      </c>
      <c r="AN171">
        <f t="shared" si="91"/>
        <v>171</v>
      </c>
      <c r="AQ171" s="114">
        <f t="shared" ca="1" si="92"/>
        <v>1968</v>
      </c>
      <c r="AW171">
        <v>171</v>
      </c>
      <c r="BG171" s="114">
        <f t="shared" ca="1" si="89"/>
        <v>21437.23</v>
      </c>
      <c r="BI171">
        <f t="shared" si="90"/>
        <v>0</v>
      </c>
    </row>
    <row r="172" spans="1:61" x14ac:dyDescent="0.25">
      <c r="A172" s="113">
        <f t="shared" ref="A172:A177" si="98">A171+2</f>
        <v>822</v>
      </c>
      <c r="B172" s="113" t="str">
        <f t="shared" ref="B172:X177" si="99">B171</f>
        <v>a</v>
      </c>
      <c r="C172" s="113" t="str">
        <f t="shared" si="99"/>
        <v>b</v>
      </c>
      <c r="D172" s="113" t="str">
        <f t="shared" si="99"/>
        <v>c</v>
      </c>
      <c r="E172" s="113" t="str">
        <f t="shared" si="99"/>
        <v>d</v>
      </c>
      <c r="F172" s="113" t="str">
        <f t="shared" si="99"/>
        <v>e</v>
      </c>
      <c r="G172" s="113" t="str">
        <f t="shared" si="99"/>
        <v>f</v>
      </c>
      <c r="H172" s="113" t="str">
        <f t="shared" si="99"/>
        <v>g</v>
      </c>
      <c r="I172" s="113" t="str">
        <f t="shared" si="99"/>
        <v>h</v>
      </c>
      <c r="J172" s="113" t="str">
        <f t="shared" si="99"/>
        <v>i</v>
      </c>
      <c r="K172" s="113" t="str">
        <f t="shared" si="99"/>
        <v>j</v>
      </c>
      <c r="L172" s="113" t="str">
        <f t="shared" si="99"/>
        <v>k</v>
      </c>
      <c r="M172" s="113" t="str">
        <f t="shared" si="99"/>
        <v>l</v>
      </c>
      <c r="N172" s="113" t="str">
        <f t="shared" si="99"/>
        <v>m</v>
      </c>
      <c r="O172" s="113">
        <f t="shared" si="99"/>
        <v>0</v>
      </c>
      <c r="P172" s="113">
        <f t="shared" si="99"/>
        <v>0</v>
      </c>
      <c r="Q172" s="113" t="str">
        <f t="shared" si="99"/>
        <v>p</v>
      </c>
      <c r="R172" s="113">
        <f t="shared" si="99"/>
        <v>0</v>
      </c>
      <c r="S172" s="113">
        <f t="shared" si="99"/>
        <v>0</v>
      </c>
      <c r="T172" s="113">
        <f t="shared" si="99"/>
        <v>0</v>
      </c>
      <c r="U172" s="113">
        <f t="shared" si="99"/>
        <v>0</v>
      </c>
      <c r="V172" s="113">
        <f t="shared" si="99"/>
        <v>0</v>
      </c>
      <c r="W172" s="113">
        <f t="shared" si="99"/>
        <v>0</v>
      </c>
      <c r="X172" s="113">
        <f t="shared" si="99"/>
        <v>0</v>
      </c>
      <c r="AA172" s="113">
        <v>3</v>
      </c>
      <c r="AB172" s="112">
        <f t="shared" ref="AB172:AC177" ca="1" si="100">AB171</f>
        <v>40360</v>
      </c>
      <c r="AC172" s="428">
        <f t="shared" ca="1" si="100"/>
        <v>40421</v>
      </c>
      <c r="AD172" t="s">
        <v>516</v>
      </c>
      <c r="AF172" s="114">
        <f t="shared" ca="1" si="80"/>
        <v>13462.24</v>
      </c>
      <c r="AG172" s="114">
        <f t="shared" ca="1" si="80"/>
        <v>0</v>
      </c>
      <c r="AH172" s="114">
        <f t="shared" ca="1" si="80"/>
        <v>0</v>
      </c>
      <c r="AI172" s="114">
        <f t="shared" ca="1" si="80"/>
        <v>6384.11</v>
      </c>
      <c r="AJ172" s="114">
        <f t="shared" ca="1" si="80"/>
        <v>144.93</v>
      </c>
      <c r="AK172" s="114">
        <f t="shared" ca="1" si="80"/>
        <v>1653.86</v>
      </c>
      <c r="AN172">
        <f t="shared" si="91"/>
        <v>172</v>
      </c>
      <c r="AQ172" s="114">
        <f t="shared" ca="1" si="92"/>
        <v>1968</v>
      </c>
      <c r="AW172">
        <v>172</v>
      </c>
      <c r="BG172" s="114">
        <f t="shared" ca="1" si="89"/>
        <v>21959.279999999999</v>
      </c>
      <c r="BI172">
        <f t="shared" si="90"/>
        <v>0</v>
      </c>
    </row>
    <row r="173" spans="1:61" x14ac:dyDescent="0.25">
      <c r="A173" s="113">
        <f t="shared" si="98"/>
        <v>824</v>
      </c>
      <c r="B173" s="113" t="str">
        <f t="shared" si="99"/>
        <v>a</v>
      </c>
      <c r="C173" s="113" t="str">
        <f t="shared" si="99"/>
        <v>b</v>
      </c>
      <c r="D173" s="113" t="str">
        <f t="shared" si="99"/>
        <v>c</v>
      </c>
      <c r="E173" s="113" t="str">
        <f t="shared" si="99"/>
        <v>d</v>
      </c>
      <c r="F173" s="113" t="str">
        <f t="shared" si="99"/>
        <v>e</v>
      </c>
      <c r="G173" s="113" t="str">
        <f t="shared" si="99"/>
        <v>f</v>
      </c>
      <c r="H173" s="113" t="str">
        <f t="shared" si="99"/>
        <v>g</v>
      </c>
      <c r="I173" s="113" t="str">
        <f t="shared" si="99"/>
        <v>h</v>
      </c>
      <c r="J173" s="113" t="str">
        <f t="shared" si="99"/>
        <v>i</v>
      </c>
      <c r="K173" s="113" t="str">
        <f t="shared" si="99"/>
        <v>j</v>
      </c>
      <c r="L173" s="113" t="str">
        <f t="shared" si="99"/>
        <v>k</v>
      </c>
      <c r="M173" s="113" t="str">
        <f t="shared" si="99"/>
        <v>l</v>
      </c>
      <c r="N173" s="113" t="str">
        <f t="shared" si="99"/>
        <v>m</v>
      </c>
      <c r="O173" s="113">
        <f t="shared" si="99"/>
        <v>0</v>
      </c>
      <c r="P173" s="113">
        <f t="shared" si="99"/>
        <v>0</v>
      </c>
      <c r="Q173" s="113" t="str">
        <f t="shared" si="99"/>
        <v>p</v>
      </c>
      <c r="R173" s="113">
        <f t="shared" si="99"/>
        <v>0</v>
      </c>
      <c r="S173" s="113">
        <f t="shared" si="99"/>
        <v>0</v>
      </c>
      <c r="T173" s="113">
        <f t="shared" si="99"/>
        <v>0</v>
      </c>
      <c r="U173" s="113">
        <f t="shared" si="99"/>
        <v>0</v>
      </c>
      <c r="V173" s="113">
        <f t="shared" si="99"/>
        <v>0</v>
      </c>
      <c r="W173" s="113">
        <f t="shared" si="99"/>
        <v>0</v>
      </c>
      <c r="X173" s="113">
        <f t="shared" si="99"/>
        <v>0</v>
      </c>
      <c r="AA173" s="113">
        <v>9</v>
      </c>
      <c r="AB173" s="112">
        <f t="shared" ca="1" si="100"/>
        <v>40360</v>
      </c>
      <c r="AC173" s="428">
        <f t="shared" ca="1" si="100"/>
        <v>40421</v>
      </c>
      <c r="AD173" t="s">
        <v>510</v>
      </c>
      <c r="AF173" s="114">
        <f t="shared" ca="1" si="80"/>
        <v>15069.97</v>
      </c>
      <c r="AG173" s="114">
        <f t="shared" ca="1" si="80"/>
        <v>0</v>
      </c>
      <c r="AH173" s="114">
        <f t="shared" ca="1" si="80"/>
        <v>0</v>
      </c>
      <c r="AI173" s="114">
        <f t="shared" ca="1" si="80"/>
        <v>6384.11</v>
      </c>
      <c r="AJ173" s="114">
        <f t="shared" ca="1" si="80"/>
        <v>144.93</v>
      </c>
      <c r="AK173" s="114">
        <f t="shared" ca="1" si="80"/>
        <v>1787.84</v>
      </c>
      <c r="AN173">
        <f t="shared" si="91"/>
        <v>173</v>
      </c>
      <c r="AQ173" s="114">
        <f t="shared" ca="1" si="92"/>
        <v>1968</v>
      </c>
      <c r="AW173">
        <v>173</v>
      </c>
      <c r="BG173" s="114">
        <f t="shared" ca="1" si="89"/>
        <v>23567.01</v>
      </c>
      <c r="BI173">
        <f t="shared" si="90"/>
        <v>0</v>
      </c>
    </row>
    <row r="174" spans="1:61" x14ac:dyDescent="0.25">
      <c r="A174" s="113">
        <f t="shared" si="98"/>
        <v>826</v>
      </c>
      <c r="B174" s="113" t="str">
        <f t="shared" si="99"/>
        <v>a</v>
      </c>
      <c r="C174" s="113" t="str">
        <f t="shared" si="99"/>
        <v>b</v>
      </c>
      <c r="D174" s="113" t="str">
        <f t="shared" si="99"/>
        <v>c</v>
      </c>
      <c r="E174" s="113" t="str">
        <f t="shared" si="99"/>
        <v>d</v>
      </c>
      <c r="F174" s="113" t="str">
        <f t="shared" si="99"/>
        <v>e</v>
      </c>
      <c r="G174" s="113" t="str">
        <f t="shared" si="99"/>
        <v>f</v>
      </c>
      <c r="H174" s="113" t="str">
        <f t="shared" si="99"/>
        <v>g</v>
      </c>
      <c r="I174" s="113" t="str">
        <f t="shared" si="99"/>
        <v>h</v>
      </c>
      <c r="J174" s="113" t="str">
        <f t="shared" si="99"/>
        <v>i</v>
      </c>
      <c r="K174" s="113" t="str">
        <f t="shared" si="99"/>
        <v>j</v>
      </c>
      <c r="L174" s="113" t="str">
        <f t="shared" si="99"/>
        <v>k</v>
      </c>
      <c r="M174" s="113" t="str">
        <f t="shared" si="99"/>
        <v>l</v>
      </c>
      <c r="N174" s="113" t="str">
        <f t="shared" si="99"/>
        <v>m</v>
      </c>
      <c r="O174" s="113">
        <f t="shared" si="99"/>
        <v>0</v>
      </c>
      <c r="P174" s="113">
        <f t="shared" si="99"/>
        <v>0</v>
      </c>
      <c r="Q174" s="113" t="str">
        <f t="shared" si="99"/>
        <v>p</v>
      </c>
      <c r="R174" s="113">
        <f t="shared" si="99"/>
        <v>0</v>
      </c>
      <c r="S174" s="113">
        <f t="shared" si="99"/>
        <v>0</v>
      </c>
      <c r="T174" s="113">
        <f t="shared" si="99"/>
        <v>0</v>
      </c>
      <c r="U174" s="113">
        <f t="shared" si="99"/>
        <v>0</v>
      </c>
      <c r="V174" s="113">
        <f t="shared" si="99"/>
        <v>0</v>
      </c>
      <c r="W174" s="113">
        <f t="shared" si="99"/>
        <v>0</v>
      </c>
      <c r="X174" s="113">
        <f t="shared" si="99"/>
        <v>0</v>
      </c>
      <c r="AA174" s="113">
        <v>15</v>
      </c>
      <c r="AB174" s="112">
        <f t="shared" ca="1" si="100"/>
        <v>40360</v>
      </c>
      <c r="AC174" s="428">
        <f t="shared" ca="1" si="100"/>
        <v>40421</v>
      </c>
      <c r="AD174" t="s">
        <v>511</v>
      </c>
      <c r="AF174" s="114">
        <f t="shared" ca="1" si="80"/>
        <v>16947.900000000001</v>
      </c>
      <c r="AG174" s="114">
        <f t="shared" ca="1" si="80"/>
        <v>0</v>
      </c>
      <c r="AH174" s="114">
        <f t="shared" ca="1" si="80"/>
        <v>0</v>
      </c>
      <c r="AI174" s="114">
        <f t="shared" ca="1" si="80"/>
        <v>6384.11</v>
      </c>
      <c r="AJ174" s="114">
        <f t="shared" ca="1" si="80"/>
        <v>144.93</v>
      </c>
      <c r="AK174" s="114">
        <f t="shared" ca="1" si="80"/>
        <v>1944.33</v>
      </c>
      <c r="AN174">
        <f t="shared" si="91"/>
        <v>174</v>
      </c>
      <c r="AQ174" s="114">
        <f t="shared" ca="1" si="92"/>
        <v>2424</v>
      </c>
      <c r="AW174">
        <v>174</v>
      </c>
      <c r="BG174" s="114">
        <f t="shared" ca="1" si="89"/>
        <v>25900.940000000002</v>
      </c>
      <c r="BI174">
        <f t="shared" si="90"/>
        <v>0</v>
      </c>
    </row>
    <row r="175" spans="1:61" x14ac:dyDescent="0.25">
      <c r="A175" s="113">
        <f t="shared" si="98"/>
        <v>828</v>
      </c>
      <c r="B175" s="113" t="str">
        <f t="shared" si="99"/>
        <v>a</v>
      </c>
      <c r="C175" s="113" t="str">
        <f t="shared" si="99"/>
        <v>b</v>
      </c>
      <c r="D175" s="113" t="str">
        <f t="shared" si="99"/>
        <v>c</v>
      </c>
      <c r="E175" s="113" t="str">
        <f t="shared" si="99"/>
        <v>d</v>
      </c>
      <c r="F175" s="113" t="str">
        <f t="shared" si="99"/>
        <v>e</v>
      </c>
      <c r="G175" s="113" t="str">
        <f t="shared" si="99"/>
        <v>f</v>
      </c>
      <c r="H175" s="113" t="str">
        <f t="shared" si="99"/>
        <v>g</v>
      </c>
      <c r="I175" s="113" t="str">
        <f t="shared" si="99"/>
        <v>h</v>
      </c>
      <c r="J175" s="113" t="str">
        <f t="shared" si="99"/>
        <v>i</v>
      </c>
      <c r="K175" s="113" t="str">
        <f t="shared" si="99"/>
        <v>j</v>
      </c>
      <c r="L175" s="113" t="str">
        <f t="shared" si="99"/>
        <v>k</v>
      </c>
      <c r="M175" s="113" t="str">
        <f t="shared" si="99"/>
        <v>l</v>
      </c>
      <c r="N175" s="113" t="str">
        <f t="shared" si="99"/>
        <v>m</v>
      </c>
      <c r="O175" s="113">
        <f t="shared" si="99"/>
        <v>0</v>
      </c>
      <c r="P175" s="113">
        <f t="shared" si="99"/>
        <v>0</v>
      </c>
      <c r="Q175" s="113" t="str">
        <f t="shared" si="99"/>
        <v>p</v>
      </c>
      <c r="R175" s="113">
        <f t="shared" si="99"/>
        <v>0</v>
      </c>
      <c r="S175" s="113">
        <f t="shared" si="99"/>
        <v>0</v>
      </c>
      <c r="T175" s="113">
        <f t="shared" si="99"/>
        <v>0</v>
      </c>
      <c r="U175" s="113">
        <f t="shared" si="99"/>
        <v>0</v>
      </c>
      <c r="V175" s="113">
        <f t="shared" si="99"/>
        <v>0</v>
      </c>
      <c r="W175" s="113">
        <f t="shared" si="99"/>
        <v>0</v>
      </c>
      <c r="X175" s="113">
        <f t="shared" si="99"/>
        <v>0</v>
      </c>
      <c r="AA175" s="113">
        <v>21</v>
      </c>
      <c r="AB175" s="112">
        <f t="shared" ca="1" si="100"/>
        <v>40360</v>
      </c>
      <c r="AC175" s="428">
        <f t="shared" ca="1" si="100"/>
        <v>40421</v>
      </c>
      <c r="AD175" t="s">
        <v>512</v>
      </c>
      <c r="AF175" s="114">
        <f t="shared" ca="1" si="80"/>
        <v>18770.54</v>
      </c>
      <c r="AG175" s="114">
        <f t="shared" ca="1" si="80"/>
        <v>0</v>
      </c>
      <c r="AH175" s="114">
        <f t="shared" ca="1" si="80"/>
        <v>0</v>
      </c>
      <c r="AI175" s="114">
        <f t="shared" ca="1" si="80"/>
        <v>6384.11</v>
      </c>
      <c r="AJ175" s="114">
        <f t="shared" ca="1" si="80"/>
        <v>144.93</v>
      </c>
      <c r="AK175" s="114">
        <f t="shared" ca="1" si="80"/>
        <v>2096.2199999999998</v>
      </c>
      <c r="AN175">
        <f t="shared" si="91"/>
        <v>175</v>
      </c>
      <c r="AQ175" s="114">
        <f t="shared" ca="1" si="92"/>
        <v>2424</v>
      </c>
      <c r="AW175">
        <v>175</v>
      </c>
      <c r="BG175" s="114">
        <f t="shared" ca="1" si="89"/>
        <v>27723.58</v>
      </c>
      <c r="BI175">
        <f t="shared" si="90"/>
        <v>0</v>
      </c>
    </row>
    <row r="176" spans="1:61" x14ac:dyDescent="0.25">
      <c r="A176" s="113">
        <f t="shared" si="98"/>
        <v>830</v>
      </c>
      <c r="B176" s="113" t="str">
        <f t="shared" si="99"/>
        <v>a</v>
      </c>
      <c r="C176" s="113" t="str">
        <f t="shared" si="99"/>
        <v>b</v>
      </c>
      <c r="D176" s="113" t="str">
        <f t="shared" si="99"/>
        <v>c</v>
      </c>
      <c r="E176" s="113" t="str">
        <f t="shared" si="99"/>
        <v>d</v>
      </c>
      <c r="F176" s="113" t="str">
        <f t="shared" si="99"/>
        <v>e</v>
      </c>
      <c r="G176" s="113" t="str">
        <f t="shared" si="99"/>
        <v>f</v>
      </c>
      <c r="H176" s="113" t="str">
        <f t="shared" si="99"/>
        <v>g</v>
      </c>
      <c r="I176" s="113" t="str">
        <f t="shared" si="99"/>
        <v>h</v>
      </c>
      <c r="J176" s="113" t="str">
        <f t="shared" si="99"/>
        <v>i</v>
      </c>
      <c r="K176" s="113" t="str">
        <f t="shared" si="99"/>
        <v>j</v>
      </c>
      <c r="L176" s="113" t="str">
        <f t="shared" si="99"/>
        <v>k</v>
      </c>
      <c r="M176" s="113" t="str">
        <f t="shared" si="99"/>
        <v>l</v>
      </c>
      <c r="N176" s="113" t="str">
        <f t="shared" si="99"/>
        <v>m</v>
      </c>
      <c r="O176" s="113">
        <f t="shared" si="99"/>
        <v>0</v>
      </c>
      <c r="P176" s="113">
        <f t="shared" si="99"/>
        <v>0</v>
      </c>
      <c r="Q176" s="113" t="str">
        <f t="shared" si="99"/>
        <v>p</v>
      </c>
      <c r="R176" s="113">
        <f t="shared" si="99"/>
        <v>0</v>
      </c>
      <c r="S176" s="113">
        <f t="shared" si="99"/>
        <v>0</v>
      </c>
      <c r="T176" s="113">
        <f t="shared" si="99"/>
        <v>0</v>
      </c>
      <c r="U176" s="113">
        <f t="shared" si="99"/>
        <v>0</v>
      </c>
      <c r="V176" s="113">
        <f t="shared" si="99"/>
        <v>0</v>
      </c>
      <c r="W176" s="113">
        <f t="shared" si="99"/>
        <v>0</v>
      </c>
      <c r="X176" s="113">
        <f t="shared" si="99"/>
        <v>0</v>
      </c>
      <c r="AA176" s="113">
        <v>28</v>
      </c>
      <c r="AB176" s="112">
        <f t="shared" ca="1" si="100"/>
        <v>40360</v>
      </c>
      <c r="AC176" s="428">
        <f t="shared" ca="1" si="100"/>
        <v>40421</v>
      </c>
      <c r="AD176" t="s">
        <v>513</v>
      </c>
      <c r="AF176" s="114">
        <f t="shared" ca="1" si="80"/>
        <v>20568.830000000002</v>
      </c>
      <c r="AG176" s="114">
        <f t="shared" ca="1" si="80"/>
        <v>0</v>
      </c>
      <c r="AH176" s="114">
        <f t="shared" ca="1" si="80"/>
        <v>0</v>
      </c>
      <c r="AI176" s="114">
        <f t="shared" ca="1" si="80"/>
        <v>6384.11</v>
      </c>
      <c r="AJ176" s="114">
        <f t="shared" ca="1" si="80"/>
        <v>144.93</v>
      </c>
      <c r="AK176" s="114">
        <f t="shared" ca="1" si="80"/>
        <v>2246.08</v>
      </c>
      <c r="AN176">
        <f t="shared" si="91"/>
        <v>176</v>
      </c>
      <c r="AQ176" s="114">
        <f t="shared" ca="1" si="92"/>
        <v>3090</v>
      </c>
      <c r="AW176">
        <v>176</v>
      </c>
      <c r="BG176" s="114">
        <f t="shared" ca="1" si="89"/>
        <v>30187.870000000003</v>
      </c>
      <c r="BI176">
        <f t="shared" si="90"/>
        <v>0</v>
      </c>
    </row>
    <row r="177" spans="1:61" x14ac:dyDescent="0.25">
      <c r="A177" s="113">
        <f t="shared" si="98"/>
        <v>832</v>
      </c>
      <c r="B177" s="113" t="str">
        <f t="shared" si="99"/>
        <v>a</v>
      </c>
      <c r="C177" s="113" t="str">
        <f t="shared" si="99"/>
        <v>b</v>
      </c>
      <c r="D177" s="113" t="str">
        <f t="shared" si="99"/>
        <v>c</v>
      </c>
      <c r="E177" s="113" t="str">
        <f t="shared" si="99"/>
        <v>d</v>
      </c>
      <c r="F177" s="113" t="str">
        <f t="shared" si="99"/>
        <v>e</v>
      </c>
      <c r="G177" s="113" t="str">
        <f t="shared" si="99"/>
        <v>f</v>
      </c>
      <c r="H177" s="113" t="str">
        <f t="shared" si="99"/>
        <v>g</v>
      </c>
      <c r="I177" s="113" t="str">
        <f t="shared" si="99"/>
        <v>h</v>
      </c>
      <c r="J177" s="113" t="str">
        <f t="shared" si="99"/>
        <v>i</v>
      </c>
      <c r="K177" s="113" t="str">
        <f t="shared" si="99"/>
        <v>j</v>
      </c>
      <c r="L177" s="113" t="str">
        <f t="shared" si="99"/>
        <v>k</v>
      </c>
      <c r="M177" s="113" t="str">
        <f t="shared" si="99"/>
        <v>l</v>
      </c>
      <c r="N177" s="113" t="str">
        <f t="shared" si="99"/>
        <v>m</v>
      </c>
      <c r="O177" s="113">
        <f t="shared" si="99"/>
        <v>0</v>
      </c>
      <c r="P177" s="113">
        <f t="shared" si="99"/>
        <v>0</v>
      </c>
      <c r="Q177" s="113" t="str">
        <f t="shared" si="99"/>
        <v>p</v>
      </c>
      <c r="R177" s="113">
        <f t="shared" si="99"/>
        <v>0</v>
      </c>
      <c r="S177" s="113">
        <f t="shared" si="99"/>
        <v>0</v>
      </c>
      <c r="T177" s="113">
        <f t="shared" si="99"/>
        <v>0</v>
      </c>
      <c r="U177" s="113">
        <f t="shared" si="99"/>
        <v>0</v>
      </c>
      <c r="V177" s="113">
        <f t="shared" si="99"/>
        <v>0</v>
      </c>
      <c r="W177" s="113">
        <f t="shared" si="99"/>
        <v>0</v>
      </c>
      <c r="X177" s="113">
        <f t="shared" si="99"/>
        <v>0</v>
      </c>
      <c r="AA177" s="113">
        <v>35</v>
      </c>
      <c r="AB177" s="112">
        <f t="shared" ca="1" si="100"/>
        <v>40360</v>
      </c>
      <c r="AC177" s="428">
        <f t="shared" ca="1" si="100"/>
        <v>40421</v>
      </c>
      <c r="AD177" t="s">
        <v>514</v>
      </c>
      <c r="AF177" s="114">
        <f t="shared" ca="1" si="80"/>
        <v>21907.88</v>
      </c>
      <c r="AG177" s="114">
        <f t="shared" ca="1" si="80"/>
        <v>0</v>
      </c>
      <c r="AH177" s="114">
        <f t="shared" ca="1" si="80"/>
        <v>0</v>
      </c>
      <c r="AI177" s="114">
        <f t="shared" ca="1" si="80"/>
        <v>6384.11</v>
      </c>
      <c r="AJ177" s="114">
        <f t="shared" ca="1" si="80"/>
        <v>144.93</v>
      </c>
      <c r="AK177" s="114">
        <f t="shared" ca="1" si="80"/>
        <v>2357.67</v>
      </c>
      <c r="AN177">
        <f t="shared" si="91"/>
        <v>177</v>
      </c>
      <c r="AQ177" s="114">
        <f t="shared" ca="1" si="92"/>
        <v>3090</v>
      </c>
      <c r="AW177">
        <v>177</v>
      </c>
      <c r="BG177" s="114">
        <f t="shared" ca="1" si="89"/>
        <v>31526.920000000002</v>
      </c>
      <c r="BI177">
        <f t="shared" si="90"/>
        <v>0</v>
      </c>
    </row>
    <row r="178" spans="1:61" x14ac:dyDescent="0.25">
      <c r="A178" s="113">
        <f>A171+20</f>
        <v>840</v>
      </c>
      <c r="B178" s="113" t="str">
        <f>B171</f>
        <v>a</v>
      </c>
      <c r="C178" s="113" t="str">
        <f t="shared" ref="C178:X178" si="101">C171</f>
        <v>b</v>
      </c>
      <c r="D178" s="113" t="str">
        <f t="shared" si="101"/>
        <v>c</v>
      </c>
      <c r="E178" s="113" t="str">
        <f t="shared" si="101"/>
        <v>d</v>
      </c>
      <c r="F178" s="113" t="str">
        <f t="shared" si="101"/>
        <v>e</v>
      </c>
      <c r="G178" s="113" t="str">
        <f t="shared" si="101"/>
        <v>f</v>
      </c>
      <c r="H178" s="113" t="str">
        <f t="shared" si="101"/>
        <v>g</v>
      </c>
      <c r="I178" s="113" t="str">
        <f t="shared" si="101"/>
        <v>h</v>
      </c>
      <c r="J178" s="113" t="str">
        <f t="shared" si="101"/>
        <v>i</v>
      </c>
      <c r="K178" s="113" t="str">
        <f t="shared" si="101"/>
        <v>j</v>
      </c>
      <c r="L178" s="113" t="str">
        <f t="shared" si="101"/>
        <v>k</v>
      </c>
      <c r="M178" s="113" t="str">
        <f t="shared" si="101"/>
        <v>l</v>
      </c>
      <c r="N178" s="113" t="str">
        <f t="shared" si="101"/>
        <v>m</v>
      </c>
      <c r="O178" s="113">
        <f t="shared" si="101"/>
        <v>0</v>
      </c>
      <c r="P178" s="113">
        <f t="shared" si="101"/>
        <v>0</v>
      </c>
      <c r="Q178" s="113" t="str">
        <f t="shared" si="101"/>
        <v>p</v>
      </c>
      <c r="R178" s="113">
        <f t="shared" si="101"/>
        <v>0</v>
      </c>
      <c r="S178" s="113">
        <f t="shared" si="101"/>
        <v>0</v>
      </c>
      <c r="T178" s="113">
        <f t="shared" si="101"/>
        <v>0</v>
      </c>
      <c r="U178" s="113">
        <f t="shared" si="101"/>
        <v>0</v>
      </c>
      <c r="V178" s="113">
        <f t="shared" si="101"/>
        <v>0</v>
      </c>
      <c r="W178" s="113">
        <f t="shared" si="101"/>
        <v>0</v>
      </c>
      <c r="X178" s="113">
        <f t="shared" si="101"/>
        <v>0</v>
      </c>
      <c r="AA178" s="113">
        <v>0</v>
      </c>
      <c r="AB178" s="112">
        <f ca="1">INDIRECT(CONCATENATE($AB$10,CONCATENATE(B178,$A178)))</f>
        <v>40422</v>
      </c>
      <c r="AC178" s="428">
        <f ca="1">INDIRECT(CONCATENATE($AB$10,CONCATENATE(C178,$A178)))</f>
        <v>40543</v>
      </c>
      <c r="AD178" t="s">
        <v>515</v>
      </c>
      <c r="AF178" s="114">
        <f t="shared" ca="1" si="80"/>
        <v>12940.19</v>
      </c>
      <c r="AG178" s="114">
        <f ca="1">INDIRECT(CONCATENATE($AB$10,CONCATENATE(G178,$A178)))</f>
        <v>0</v>
      </c>
      <c r="AH178" s="114">
        <f ca="1">INDIRECT(CONCATENATE($AB$10,CONCATENATE(H178,$A178)))</f>
        <v>0</v>
      </c>
      <c r="AI178" s="114">
        <f ca="1">INDIRECT(CONCATENATE($AB$10,CONCATENATE(I178,$A178)))</f>
        <v>6384.11</v>
      </c>
      <c r="AJ178" s="114">
        <f ca="1">INDIRECT(CONCATENATE($AB$10,CONCATENATE(J178,$A178)))</f>
        <v>144.93</v>
      </c>
      <c r="AK178" s="114">
        <f ca="1">INDIRECT(CONCATENATE($AB$10,CONCATENATE(K178,$A178)))</f>
        <v>1610.36</v>
      </c>
      <c r="AN178">
        <f t="shared" si="91"/>
        <v>178</v>
      </c>
      <c r="AQ178" s="114">
        <f t="shared" ca="1" si="92"/>
        <v>1968</v>
      </c>
      <c r="AW178">
        <v>178</v>
      </c>
      <c r="BG178" s="114">
        <f t="shared" ca="1" si="89"/>
        <v>21437.23</v>
      </c>
      <c r="BI178">
        <f t="shared" si="90"/>
        <v>0</v>
      </c>
    </row>
    <row r="179" spans="1:61" x14ac:dyDescent="0.25">
      <c r="A179" s="113">
        <f t="shared" ref="A179:A184" si="102">A178+2</f>
        <v>842</v>
      </c>
      <c r="B179" s="113" t="str">
        <f t="shared" ref="B179:X184" si="103">B178</f>
        <v>a</v>
      </c>
      <c r="C179" s="113" t="str">
        <f t="shared" si="103"/>
        <v>b</v>
      </c>
      <c r="D179" s="113" t="str">
        <f t="shared" si="103"/>
        <v>c</v>
      </c>
      <c r="E179" s="113" t="str">
        <f t="shared" si="103"/>
        <v>d</v>
      </c>
      <c r="F179" s="113" t="str">
        <f t="shared" si="103"/>
        <v>e</v>
      </c>
      <c r="G179" s="113" t="str">
        <f t="shared" si="103"/>
        <v>f</v>
      </c>
      <c r="H179" s="113" t="str">
        <f t="shared" si="103"/>
        <v>g</v>
      </c>
      <c r="I179" s="113" t="str">
        <f t="shared" si="103"/>
        <v>h</v>
      </c>
      <c r="J179" s="113" t="str">
        <f t="shared" si="103"/>
        <v>i</v>
      </c>
      <c r="K179" s="113" t="str">
        <f t="shared" si="103"/>
        <v>j</v>
      </c>
      <c r="L179" s="113" t="str">
        <f t="shared" si="103"/>
        <v>k</v>
      </c>
      <c r="M179" s="113" t="str">
        <f t="shared" si="103"/>
        <v>l</v>
      </c>
      <c r="N179" s="113" t="str">
        <f t="shared" si="103"/>
        <v>m</v>
      </c>
      <c r="O179" s="113">
        <f t="shared" si="103"/>
        <v>0</v>
      </c>
      <c r="P179" s="113">
        <f t="shared" si="103"/>
        <v>0</v>
      </c>
      <c r="Q179" s="113" t="str">
        <f t="shared" si="103"/>
        <v>p</v>
      </c>
      <c r="R179" s="113">
        <f t="shared" si="103"/>
        <v>0</v>
      </c>
      <c r="S179" s="113">
        <f t="shared" si="103"/>
        <v>0</v>
      </c>
      <c r="T179" s="113">
        <f t="shared" si="103"/>
        <v>0</v>
      </c>
      <c r="U179" s="113">
        <f t="shared" si="103"/>
        <v>0</v>
      </c>
      <c r="V179" s="113">
        <f t="shared" si="103"/>
        <v>0</v>
      </c>
      <c r="W179" s="113">
        <f t="shared" si="103"/>
        <v>0</v>
      </c>
      <c r="X179" s="113">
        <f t="shared" si="103"/>
        <v>0</v>
      </c>
      <c r="AA179" s="113">
        <v>3</v>
      </c>
      <c r="AB179" s="112">
        <f t="shared" ref="AB179:AC184" ca="1" si="104">AB178</f>
        <v>40422</v>
      </c>
      <c r="AC179" s="428">
        <f t="shared" ca="1" si="104"/>
        <v>40543</v>
      </c>
      <c r="AD179" t="s">
        <v>516</v>
      </c>
      <c r="AE179" s="114">
        <f ca="1">AD12</f>
        <v>522.04999999999995</v>
      </c>
      <c r="AF179" s="114">
        <f t="shared" ca="1" si="80"/>
        <v>12940.19</v>
      </c>
      <c r="AG179" s="114">
        <f t="shared" ca="1" si="80"/>
        <v>0</v>
      </c>
      <c r="AH179" s="114">
        <f t="shared" ca="1" si="80"/>
        <v>0</v>
      </c>
      <c r="AI179" s="114">
        <f t="shared" ca="1" si="80"/>
        <v>6384.11</v>
      </c>
      <c r="AJ179" s="114">
        <f t="shared" ca="1" si="80"/>
        <v>144.93</v>
      </c>
      <c r="AK179" s="114">
        <f t="shared" ca="1" si="80"/>
        <v>1653.86</v>
      </c>
      <c r="AN179">
        <f t="shared" si="91"/>
        <v>179</v>
      </c>
      <c r="AQ179" s="114">
        <f t="shared" ca="1" si="92"/>
        <v>1968</v>
      </c>
      <c r="AW179">
        <v>179</v>
      </c>
      <c r="BG179" s="114">
        <f t="shared" ca="1" si="89"/>
        <v>21437.23</v>
      </c>
      <c r="BI179">
        <f t="shared" ca="1" si="90"/>
        <v>522.04999999999995</v>
      </c>
    </row>
    <row r="180" spans="1:61" x14ac:dyDescent="0.25">
      <c r="A180" s="113">
        <f t="shared" si="102"/>
        <v>844</v>
      </c>
      <c r="B180" s="113" t="str">
        <f t="shared" si="103"/>
        <v>a</v>
      </c>
      <c r="C180" s="113" t="str">
        <f t="shared" si="103"/>
        <v>b</v>
      </c>
      <c r="D180" s="113" t="str">
        <f t="shared" si="103"/>
        <v>c</v>
      </c>
      <c r="E180" s="113" t="str">
        <f t="shared" si="103"/>
        <v>d</v>
      </c>
      <c r="F180" s="113" t="str">
        <f t="shared" si="103"/>
        <v>e</v>
      </c>
      <c r="G180" s="113" t="str">
        <f t="shared" si="103"/>
        <v>f</v>
      </c>
      <c r="H180" s="113" t="str">
        <f t="shared" si="103"/>
        <v>g</v>
      </c>
      <c r="I180" s="113" t="str">
        <f t="shared" si="103"/>
        <v>h</v>
      </c>
      <c r="J180" s="113" t="str">
        <f t="shared" si="103"/>
        <v>i</v>
      </c>
      <c r="K180" s="113" t="str">
        <f t="shared" si="103"/>
        <v>j</v>
      </c>
      <c r="L180" s="113" t="str">
        <f t="shared" si="103"/>
        <v>k</v>
      </c>
      <c r="M180" s="113" t="str">
        <f t="shared" si="103"/>
        <v>l</v>
      </c>
      <c r="N180" s="113" t="str">
        <f t="shared" si="103"/>
        <v>m</v>
      </c>
      <c r="O180" s="113">
        <f t="shared" si="103"/>
        <v>0</v>
      </c>
      <c r="P180" s="113">
        <f t="shared" si="103"/>
        <v>0</v>
      </c>
      <c r="Q180" s="113" t="str">
        <f t="shared" si="103"/>
        <v>p</v>
      </c>
      <c r="R180" s="113">
        <f t="shared" si="103"/>
        <v>0</v>
      </c>
      <c r="S180" s="113">
        <f t="shared" si="103"/>
        <v>0</v>
      </c>
      <c r="T180" s="113">
        <f t="shared" si="103"/>
        <v>0</v>
      </c>
      <c r="U180" s="113">
        <f t="shared" si="103"/>
        <v>0</v>
      </c>
      <c r="V180" s="113">
        <f t="shared" si="103"/>
        <v>0</v>
      </c>
      <c r="W180" s="113">
        <f t="shared" si="103"/>
        <v>0</v>
      </c>
      <c r="X180" s="113">
        <f t="shared" si="103"/>
        <v>0</v>
      </c>
      <c r="AA180" s="113">
        <v>9</v>
      </c>
      <c r="AB180" s="112">
        <f t="shared" ca="1" si="104"/>
        <v>40422</v>
      </c>
      <c r="AC180" s="428">
        <f t="shared" ca="1" si="104"/>
        <v>40543</v>
      </c>
      <c r="AD180" t="s">
        <v>510</v>
      </c>
      <c r="AF180" s="114">
        <f t="shared" ca="1" si="80"/>
        <v>15069.97</v>
      </c>
      <c r="AG180" s="114">
        <f t="shared" ca="1" si="80"/>
        <v>0</v>
      </c>
      <c r="AH180" s="114">
        <f t="shared" ca="1" si="80"/>
        <v>0</v>
      </c>
      <c r="AI180" s="114">
        <f t="shared" ca="1" si="80"/>
        <v>6384.11</v>
      </c>
      <c r="AJ180" s="114">
        <f t="shared" ca="1" si="80"/>
        <v>144.93</v>
      </c>
      <c r="AK180" s="114">
        <f t="shared" ca="1" si="80"/>
        <v>1787.84</v>
      </c>
      <c r="AN180">
        <f t="shared" si="91"/>
        <v>180</v>
      </c>
      <c r="AQ180" s="114">
        <f t="shared" ca="1" si="92"/>
        <v>1968</v>
      </c>
      <c r="AW180">
        <v>180</v>
      </c>
      <c r="BG180" s="114">
        <f t="shared" ca="1" si="89"/>
        <v>23567.01</v>
      </c>
      <c r="BI180">
        <f t="shared" si="90"/>
        <v>0</v>
      </c>
    </row>
    <row r="181" spans="1:61" x14ac:dyDescent="0.25">
      <c r="A181" s="113">
        <f t="shared" si="102"/>
        <v>846</v>
      </c>
      <c r="B181" s="113" t="str">
        <f t="shared" si="103"/>
        <v>a</v>
      </c>
      <c r="C181" s="113" t="str">
        <f t="shared" si="103"/>
        <v>b</v>
      </c>
      <c r="D181" s="113" t="str">
        <f t="shared" si="103"/>
        <v>c</v>
      </c>
      <c r="E181" s="113" t="str">
        <f t="shared" si="103"/>
        <v>d</v>
      </c>
      <c r="F181" s="113" t="str">
        <f t="shared" si="103"/>
        <v>e</v>
      </c>
      <c r="G181" s="113" t="str">
        <f t="shared" si="103"/>
        <v>f</v>
      </c>
      <c r="H181" s="113" t="str">
        <f t="shared" si="103"/>
        <v>g</v>
      </c>
      <c r="I181" s="113" t="str">
        <f t="shared" si="103"/>
        <v>h</v>
      </c>
      <c r="J181" s="113" t="str">
        <f t="shared" si="103"/>
        <v>i</v>
      </c>
      <c r="K181" s="113" t="str">
        <f t="shared" si="103"/>
        <v>j</v>
      </c>
      <c r="L181" s="113" t="str">
        <f t="shared" si="103"/>
        <v>k</v>
      </c>
      <c r="M181" s="113" t="str">
        <f t="shared" si="103"/>
        <v>l</v>
      </c>
      <c r="N181" s="113" t="str">
        <f t="shared" si="103"/>
        <v>m</v>
      </c>
      <c r="O181" s="113">
        <f t="shared" si="103"/>
        <v>0</v>
      </c>
      <c r="P181" s="113">
        <f t="shared" si="103"/>
        <v>0</v>
      </c>
      <c r="Q181" s="113" t="str">
        <f t="shared" si="103"/>
        <v>p</v>
      </c>
      <c r="R181" s="113">
        <f t="shared" si="103"/>
        <v>0</v>
      </c>
      <c r="S181" s="113">
        <f t="shared" si="103"/>
        <v>0</v>
      </c>
      <c r="T181" s="113">
        <f t="shared" si="103"/>
        <v>0</v>
      </c>
      <c r="U181" s="113">
        <f t="shared" si="103"/>
        <v>0</v>
      </c>
      <c r="V181" s="113">
        <f t="shared" si="103"/>
        <v>0</v>
      </c>
      <c r="W181" s="113">
        <f t="shared" si="103"/>
        <v>0</v>
      </c>
      <c r="X181" s="113">
        <f t="shared" si="103"/>
        <v>0</v>
      </c>
      <c r="AA181" s="113">
        <v>15</v>
      </c>
      <c r="AB181" s="112">
        <f t="shared" ca="1" si="104"/>
        <v>40422</v>
      </c>
      <c r="AC181" s="428">
        <f t="shared" ca="1" si="104"/>
        <v>40543</v>
      </c>
      <c r="AD181" t="s">
        <v>511</v>
      </c>
      <c r="AF181" s="114">
        <f t="shared" ca="1" si="80"/>
        <v>16947.900000000001</v>
      </c>
      <c r="AG181" s="114">
        <f t="shared" ca="1" si="80"/>
        <v>0</v>
      </c>
      <c r="AH181" s="114">
        <f t="shared" ca="1" si="80"/>
        <v>0</v>
      </c>
      <c r="AI181" s="114">
        <f t="shared" ca="1" si="80"/>
        <v>6384.11</v>
      </c>
      <c r="AJ181" s="114">
        <f t="shared" ca="1" si="80"/>
        <v>144.93</v>
      </c>
      <c r="AK181" s="114">
        <f t="shared" ca="1" si="80"/>
        <v>1944.33</v>
      </c>
      <c r="AN181">
        <f t="shared" si="91"/>
        <v>181</v>
      </c>
      <c r="AQ181" s="114">
        <f t="shared" ca="1" si="92"/>
        <v>2424</v>
      </c>
      <c r="AW181">
        <v>181</v>
      </c>
      <c r="BG181" s="114">
        <f t="shared" ca="1" si="89"/>
        <v>25900.940000000002</v>
      </c>
      <c r="BI181">
        <f t="shared" si="90"/>
        <v>0</v>
      </c>
    </row>
    <row r="182" spans="1:61" x14ac:dyDescent="0.25">
      <c r="A182" s="113">
        <f t="shared" si="102"/>
        <v>848</v>
      </c>
      <c r="B182" s="113" t="str">
        <f t="shared" si="103"/>
        <v>a</v>
      </c>
      <c r="C182" s="113" t="str">
        <f t="shared" si="103"/>
        <v>b</v>
      </c>
      <c r="D182" s="113" t="str">
        <f t="shared" si="103"/>
        <v>c</v>
      </c>
      <c r="E182" s="113" t="str">
        <f t="shared" si="103"/>
        <v>d</v>
      </c>
      <c r="F182" s="113" t="str">
        <f t="shared" si="103"/>
        <v>e</v>
      </c>
      <c r="G182" s="113" t="str">
        <f t="shared" si="103"/>
        <v>f</v>
      </c>
      <c r="H182" s="113" t="str">
        <f t="shared" si="103"/>
        <v>g</v>
      </c>
      <c r="I182" s="113" t="str">
        <f t="shared" si="103"/>
        <v>h</v>
      </c>
      <c r="J182" s="113" t="str">
        <f t="shared" si="103"/>
        <v>i</v>
      </c>
      <c r="K182" s="113" t="str">
        <f t="shared" si="103"/>
        <v>j</v>
      </c>
      <c r="L182" s="113" t="str">
        <f t="shared" si="103"/>
        <v>k</v>
      </c>
      <c r="M182" s="113" t="str">
        <f t="shared" si="103"/>
        <v>l</v>
      </c>
      <c r="N182" s="113" t="str">
        <f t="shared" si="103"/>
        <v>m</v>
      </c>
      <c r="O182" s="113">
        <f t="shared" si="103"/>
        <v>0</v>
      </c>
      <c r="P182" s="113">
        <f t="shared" si="103"/>
        <v>0</v>
      </c>
      <c r="Q182" s="113" t="str">
        <f t="shared" si="103"/>
        <v>p</v>
      </c>
      <c r="R182" s="113">
        <f t="shared" si="103"/>
        <v>0</v>
      </c>
      <c r="S182" s="113">
        <f t="shared" si="103"/>
        <v>0</v>
      </c>
      <c r="T182" s="113">
        <f t="shared" si="103"/>
        <v>0</v>
      </c>
      <c r="U182" s="113">
        <f t="shared" si="103"/>
        <v>0</v>
      </c>
      <c r="V182" s="113">
        <f t="shared" si="103"/>
        <v>0</v>
      </c>
      <c r="W182" s="113">
        <f t="shared" si="103"/>
        <v>0</v>
      </c>
      <c r="X182" s="113">
        <f t="shared" si="103"/>
        <v>0</v>
      </c>
      <c r="AA182" s="113">
        <v>21</v>
      </c>
      <c r="AB182" s="112">
        <f t="shared" ca="1" si="104"/>
        <v>40422</v>
      </c>
      <c r="AC182" s="428">
        <f t="shared" ca="1" si="104"/>
        <v>40543</v>
      </c>
      <c r="AD182" t="s">
        <v>512</v>
      </c>
      <c r="AF182" s="114">
        <f t="shared" ca="1" si="80"/>
        <v>18770.54</v>
      </c>
      <c r="AG182" s="114">
        <f t="shared" ca="1" si="80"/>
        <v>0</v>
      </c>
      <c r="AH182" s="114">
        <f t="shared" ca="1" si="80"/>
        <v>0</v>
      </c>
      <c r="AI182" s="114">
        <f t="shared" ca="1" si="80"/>
        <v>6384.11</v>
      </c>
      <c r="AJ182" s="114">
        <f t="shared" ca="1" si="80"/>
        <v>144.93</v>
      </c>
      <c r="AK182" s="114">
        <f t="shared" ca="1" si="80"/>
        <v>2096.2199999999998</v>
      </c>
      <c r="AN182">
        <f t="shared" si="91"/>
        <v>182</v>
      </c>
      <c r="AQ182" s="114">
        <f t="shared" ca="1" si="92"/>
        <v>2424</v>
      </c>
      <c r="AW182">
        <v>182</v>
      </c>
      <c r="BG182" s="114">
        <f t="shared" ca="1" si="89"/>
        <v>27723.58</v>
      </c>
      <c r="BI182">
        <f t="shared" si="90"/>
        <v>0</v>
      </c>
    </row>
    <row r="183" spans="1:61" x14ac:dyDescent="0.25">
      <c r="A183" s="113">
        <f t="shared" si="102"/>
        <v>850</v>
      </c>
      <c r="B183" s="113" t="str">
        <f t="shared" si="103"/>
        <v>a</v>
      </c>
      <c r="C183" s="113" t="str">
        <f t="shared" si="103"/>
        <v>b</v>
      </c>
      <c r="D183" s="113" t="str">
        <f t="shared" si="103"/>
        <v>c</v>
      </c>
      <c r="E183" s="113" t="str">
        <f t="shared" si="103"/>
        <v>d</v>
      </c>
      <c r="F183" s="113" t="str">
        <f t="shared" si="103"/>
        <v>e</v>
      </c>
      <c r="G183" s="113" t="str">
        <f t="shared" si="103"/>
        <v>f</v>
      </c>
      <c r="H183" s="113" t="str">
        <f t="shared" si="103"/>
        <v>g</v>
      </c>
      <c r="I183" s="113" t="str">
        <f t="shared" si="103"/>
        <v>h</v>
      </c>
      <c r="J183" s="113" t="str">
        <f t="shared" si="103"/>
        <v>i</v>
      </c>
      <c r="K183" s="113" t="str">
        <f t="shared" si="103"/>
        <v>j</v>
      </c>
      <c r="L183" s="113" t="str">
        <f t="shared" si="103"/>
        <v>k</v>
      </c>
      <c r="M183" s="113" t="str">
        <f t="shared" si="103"/>
        <v>l</v>
      </c>
      <c r="N183" s="113" t="str">
        <f t="shared" si="103"/>
        <v>m</v>
      </c>
      <c r="O183" s="113">
        <f t="shared" si="103"/>
        <v>0</v>
      </c>
      <c r="P183" s="113">
        <f t="shared" si="103"/>
        <v>0</v>
      </c>
      <c r="Q183" s="113" t="str">
        <f t="shared" si="103"/>
        <v>p</v>
      </c>
      <c r="R183" s="113">
        <f t="shared" si="103"/>
        <v>0</v>
      </c>
      <c r="S183" s="113">
        <f t="shared" si="103"/>
        <v>0</v>
      </c>
      <c r="T183" s="113">
        <f t="shared" si="103"/>
        <v>0</v>
      </c>
      <c r="U183" s="113">
        <f t="shared" si="103"/>
        <v>0</v>
      </c>
      <c r="V183" s="113">
        <f t="shared" si="103"/>
        <v>0</v>
      </c>
      <c r="W183" s="113">
        <f t="shared" si="103"/>
        <v>0</v>
      </c>
      <c r="X183" s="113">
        <f t="shared" si="103"/>
        <v>0</v>
      </c>
      <c r="AA183" s="113">
        <v>28</v>
      </c>
      <c r="AB183" s="112">
        <f t="shared" ca="1" si="104"/>
        <v>40422</v>
      </c>
      <c r="AC183" s="428">
        <f t="shared" ca="1" si="104"/>
        <v>40543</v>
      </c>
      <c r="AD183" t="s">
        <v>513</v>
      </c>
      <c r="AF183" s="114">
        <f t="shared" ca="1" si="80"/>
        <v>20568.830000000002</v>
      </c>
      <c r="AG183" s="114">
        <f t="shared" ca="1" si="80"/>
        <v>0</v>
      </c>
      <c r="AH183" s="114">
        <f t="shared" ca="1" si="80"/>
        <v>0</v>
      </c>
      <c r="AI183" s="114">
        <f t="shared" ca="1" si="80"/>
        <v>6384.11</v>
      </c>
      <c r="AJ183" s="114">
        <f t="shared" ca="1" si="80"/>
        <v>144.93</v>
      </c>
      <c r="AK183" s="114">
        <f t="shared" ca="1" si="80"/>
        <v>2246.08</v>
      </c>
      <c r="AN183">
        <f t="shared" si="91"/>
        <v>183</v>
      </c>
      <c r="AQ183" s="114">
        <f t="shared" ca="1" si="92"/>
        <v>3090</v>
      </c>
      <c r="AW183">
        <v>183</v>
      </c>
      <c r="BG183" s="114">
        <f t="shared" ca="1" si="89"/>
        <v>30187.870000000003</v>
      </c>
      <c r="BI183">
        <f t="shared" si="90"/>
        <v>0</v>
      </c>
    </row>
    <row r="184" spans="1:61" x14ac:dyDescent="0.25">
      <c r="A184" s="113">
        <f t="shared" si="102"/>
        <v>852</v>
      </c>
      <c r="B184" s="113" t="str">
        <f t="shared" si="103"/>
        <v>a</v>
      </c>
      <c r="C184" s="113" t="str">
        <f t="shared" si="103"/>
        <v>b</v>
      </c>
      <c r="D184" s="113" t="str">
        <f t="shared" si="103"/>
        <v>c</v>
      </c>
      <c r="E184" s="113" t="str">
        <f t="shared" si="103"/>
        <v>d</v>
      </c>
      <c r="F184" s="113" t="str">
        <f t="shared" si="103"/>
        <v>e</v>
      </c>
      <c r="G184" s="113" t="str">
        <f t="shared" si="103"/>
        <v>f</v>
      </c>
      <c r="H184" s="113" t="str">
        <f t="shared" si="103"/>
        <v>g</v>
      </c>
      <c r="I184" s="113" t="str">
        <f t="shared" si="103"/>
        <v>h</v>
      </c>
      <c r="J184" s="113" t="str">
        <f t="shared" si="103"/>
        <v>i</v>
      </c>
      <c r="K184" s="113" t="str">
        <f t="shared" si="103"/>
        <v>j</v>
      </c>
      <c r="L184" s="113" t="str">
        <f t="shared" si="103"/>
        <v>k</v>
      </c>
      <c r="M184" s="113" t="str">
        <f t="shared" si="103"/>
        <v>l</v>
      </c>
      <c r="N184" s="113" t="str">
        <f t="shared" si="103"/>
        <v>m</v>
      </c>
      <c r="O184" s="113">
        <f t="shared" si="103"/>
        <v>0</v>
      </c>
      <c r="P184" s="113">
        <f t="shared" si="103"/>
        <v>0</v>
      </c>
      <c r="Q184" s="113" t="str">
        <f t="shared" si="103"/>
        <v>p</v>
      </c>
      <c r="R184" s="113">
        <f t="shared" si="103"/>
        <v>0</v>
      </c>
      <c r="S184" s="113">
        <f t="shared" si="103"/>
        <v>0</v>
      </c>
      <c r="T184" s="113">
        <f t="shared" si="103"/>
        <v>0</v>
      </c>
      <c r="U184" s="113">
        <f t="shared" si="103"/>
        <v>0</v>
      </c>
      <c r="V184" s="113">
        <f t="shared" si="103"/>
        <v>0</v>
      </c>
      <c r="W184" s="113">
        <f t="shared" si="103"/>
        <v>0</v>
      </c>
      <c r="X184" s="113">
        <f t="shared" si="103"/>
        <v>0</v>
      </c>
      <c r="AA184" s="113">
        <v>35</v>
      </c>
      <c r="AB184" s="112">
        <f t="shared" ca="1" si="104"/>
        <v>40422</v>
      </c>
      <c r="AC184" s="428">
        <f t="shared" ca="1" si="104"/>
        <v>40543</v>
      </c>
      <c r="AD184" t="s">
        <v>514</v>
      </c>
      <c r="AF184" s="114">
        <f t="shared" ca="1" si="80"/>
        <v>21907.88</v>
      </c>
      <c r="AG184" s="114">
        <f t="shared" ca="1" si="80"/>
        <v>0</v>
      </c>
      <c r="AH184" s="114">
        <f t="shared" ca="1" si="80"/>
        <v>0</v>
      </c>
      <c r="AI184" s="114">
        <f t="shared" ca="1" si="80"/>
        <v>6384.11</v>
      </c>
      <c r="AJ184" s="114">
        <f t="shared" ca="1" si="80"/>
        <v>144.93</v>
      </c>
      <c r="AK184" s="114">
        <f t="shared" ca="1" si="80"/>
        <v>2357.67</v>
      </c>
      <c r="AN184">
        <f t="shared" si="91"/>
        <v>184</v>
      </c>
      <c r="AQ184" s="114">
        <f t="shared" ca="1" si="92"/>
        <v>3090</v>
      </c>
      <c r="AW184">
        <v>184</v>
      </c>
      <c r="BG184" s="114">
        <f t="shared" ca="1" si="89"/>
        <v>31526.920000000002</v>
      </c>
      <c r="BI184">
        <f t="shared" si="90"/>
        <v>0</v>
      </c>
    </row>
    <row r="185" spans="1:61" x14ac:dyDescent="0.25">
      <c r="A185" s="113">
        <f>A178+20</f>
        <v>860</v>
      </c>
      <c r="B185" s="113" t="str">
        <f>B178</f>
        <v>a</v>
      </c>
      <c r="C185" s="113" t="str">
        <f t="shared" ref="C185:X185" si="105">C178</f>
        <v>b</v>
      </c>
      <c r="D185" s="113" t="str">
        <f t="shared" si="105"/>
        <v>c</v>
      </c>
      <c r="E185" s="113" t="str">
        <f t="shared" si="105"/>
        <v>d</v>
      </c>
      <c r="F185" s="113" t="str">
        <f t="shared" si="105"/>
        <v>e</v>
      </c>
      <c r="G185" s="113" t="str">
        <f t="shared" si="105"/>
        <v>f</v>
      </c>
      <c r="H185" s="113" t="str">
        <f t="shared" si="105"/>
        <v>g</v>
      </c>
      <c r="I185" s="113" t="str">
        <f t="shared" si="105"/>
        <v>h</v>
      </c>
      <c r="J185" s="113" t="str">
        <f t="shared" si="105"/>
        <v>i</v>
      </c>
      <c r="K185" s="113" t="str">
        <f t="shared" si="105"/>
        <v>j</v>
      </c>
      <c r="L185" s="113" t="str">
        <f t="shared" si="105"/>
        <v>k</v>
      </c>
      <c r="M185" s="113" t="str">
        <f t="shared" si="105"/>
        <v>l</v>
      </c>
      <c r="N185" s="113" t="str">
        <f t="shared" si="105"/>
        <v>m</v>
      </c>
      <c r="O185" s="113">
        <f t="shared" si="105"/>
        <v>0</v>
      </c>
      <c r="P185" s="113">
        <f t="shared" si="105"/>
        <v>0</v>
      </c>
      <c r="Q185" s="113" t="str">
        <f t="shared" si="105"/>
        <v>p</v>
      </c>
      <c r="R185" s="113">
        <f t="shared" si="105"/>
        <v>0</v>
      </c>
      <c r="S185" s="113">
        <f t="shared" si="105"/>
        <v>0</v>
      </c>
      <c r="T185" s="113">
        <f t="shared" si="105"/>
        <v>0</v>
      </c>
      <c r="U185" s="113">
        <f t="shared" si="105"/>
        <v>0</v>
      </c>
      <c r="V185" s="113">
        <f t="shared" si="105"/>
        <v>0</v>
      </c>
      <c r="W185" s="113">
        <f t="shared" si="105"/>
        <v>0</v>
      </c>
      <c r="X185" s="113">
        <f t="shared" si="105"/>
        <v>0</v>
      </c>
      <c r="AA185" s="113">
        <v>0</v>
      </c>
      <c r="AB185" s="112">
        <f ca="1">INDIRECT(CONCATENATE($AB$10,CONCATENATE(B185,$A185)))</f>
        <v>40544</v>
      </c>
      <c r="AC185" s="428">
        <f ca="1">INDIRECT(CONCATENATE($AB$10,CONCATENATE(C185,$A185)))</f>
        <v>42369</v>
      </c>
      <c r="AD185" t="s">
        <v>515</v>
      </c>
      <c r="AF185" s="114">
        <f t="shared" ca="1" si="80"/>
        <v>12940.19</v>
      </c>
      <c r="AG185" s="114">
        <f ca="1">INDIRECT(CONCATENATE($AB$10,CONCATENATE(G185,$A185)))</f>
        <v>0</v>
      </c>
      <c r="AH185" s="114">
        <f ca="1">INDIRECT(CONCATENATE($AB$10,CONCATENATE(H185,$A185)))</f>
        <v>0</v>
      </c>
      <c r="AI185" s="114">
        <f ca="1">INDIRECT(CONCATENATE($AB$10,CONCATENATE(I185,$A185)))</f>
        <v>6384.11</v>
      </c>
      <c r="AJ185" s="114">
        <f ca="1">INDIRECT(CONCATENATE($AB$10,CONCATENATE(J185,$A185)))</f>
        <v>144.93</v>
      </c>
      <c r="AK185" s="114">
        <f ca="1">INDIRECT(CONCATENATE($AB$10,CONCATENATE(K185,$A185)))</f>
        <v>1622.44</v>
      </c>
      <c r="AN185">
        <f t="shared" si="91"/>
        <v>185</v>
      </c>
      <c r="AQ185" s="114">
        <f t="shared" ca="1" si="92"/>
        <v>1968</v>
      </c>
      <c r="AW185">
        <v>185</v>
      </c>
      <c r="BG185" s="114">
        <f t="shared" ca="1" si="89"/>
        <v>21437.23</v>
      </c>
      <c r="BI185">
        <f t="shared" si="90"/>
        <v>0</v>
      </c>
    </row>
    <row r="186" spans="1:61" x14ac:dyDescent="0.25">
      <c r="A186" s="113">
        <f t="shared" ref="A186:A191" si="106">A185+2</f>
        <v>862</v>
      </c>
      <c r="B186" s="113" t="str">
        <f t="shared" ref="B186:X191" si="107">B185</f>
        <v>a</v>
      </c>
      <c r="C186" s="113" t="str">
        <f t="shared" si="107"/>
        <v>b</v>
      </c>
      <c r="D186" s="113" t="str">
        <f t="shared" si="107"/>
        <v>c</v>
      </c>
      <c r="E186" s="113" t="str">
        <f t="shared" si="107"/>
        <v>d</v>
      </c>
      <c r="F186" s="113" t="str">
        <f t="shared" si="107"/>
        <v>e</v>
      </c>
      <c r="G186" s="113" t="str">
        <f t="shared" si="107"/>
        <v>f</v>
      </c>
      <c r="H186" s="113" t="str">
        <f t="shared" si="107"/>
        <v>g</v>
      </c>
      <c r="I186" s="113" t="str">
        <f t="shared" si="107"/>
        <v>h</v>
      </c>
      <c r="J186" s="113" t="str">
        <f t="shared" si="107"/>
        <v>i</v>
      </c>
      <c r="K186" s="113" t="str">
        <f t="shared" si="107"/>
        <v>j</v>
      </c>
      <c r="L186" s="113" t="str">
        <f t="shared" si="107"/>
        <v>k</v>
      </c>
      <c r="M186" s="113" t="str">
        <f t="shared" si="107"/>
        <v>l</v>
      </c>
      <c r="N186" s="113" t="str">
        <f t="shared" si="107"/>
        <v>m</v>
      </c>
      <c r="O186" s="113">
        <f t="shared" si="107"/>
        <v>0</v>
      </c>
      <c r="P186" s="113">
        <f t="shared" si="107"/>
        <v>0</v>
      </c>
      <c r="Q186" s="113" t="str">
        <f t="shared" si="107"/>
        <v>p</v>
      </c>
      <c r="R186" s="113">
        <f t="shared" si="107"/>
        <v>0</v>
      </c>
      <c r="S186" s="113">
        <f t="shared" si="107"/>
        <v>0</v>
      </c>
      <c r="T186" s="113">
        <f t="shared" si="107"/>
        <v>0</v>
      </c>
      <c r="U186" s="113">
        <f t="shared" si="107"/>
        <v>0</v>
      </c>
      <c r="V186" s="113">
        <f t="shared" si="107"/>
        <v>0</v>
      </c>
      <c r="W186" s="113">
        <f t="shared" si="107"/>
        <v>0</v>
      </c>
      <c r="X186" s="113">
        <f t="shared" si="107"/>
        <v>0</v>
      </c>
      <c r="AA186" s="113">
        <v>3</v>
      </c>
      <c r="AB186" s="112">
        <f t="shared" ref="AB186:AC191" ca="1" si="108">AB185</f>
        <v>40544</v>
      </c>
      <c r="AC186" s="428">
        <f t="shared" ca="1" si="108"/>
        <v>42369</v>
      </c>
      <c r="AD186" t="s">
        <v>516</v>
      </c>
      <c r="AE186" s="114">
        <f ca="1">AE179</f>
        <v>522.04999999999995</v>
      </c>
      <c r="AF186" s="114">
        <f t="shared" ca="1" si="80"/>
        <v>12940.19</v>
      </c>
      <c r="AG186" s="114">
        <f t="shared" ca="1" si="80"/>
        <v>0</v>
      </c>
      <c r="AH186" s="114">
        <f t="shared" ca="1" si="80"/>
        <v>0</v>
      </c>
      <c r="AI186" s="114">
        <f t="shared" ca="1" si="80"/>
        <v>6384.11</v>
      </c>
      <c r="AJ186" s="114">
        <f t="shared" ca="1" si="80"/>
        <v>144.93</v>
      </c>
      <c r="AK186" s="114">
        <f t="shared" ca="1" si="80"/>
        <v>1665.94</v>
      </c>
      <c r="AN186">
        <f t="shared" si="91"/>
        <v>186</v>
      </c>
      <c r="AQ186" s="114">
        <f t="shared" ca="1" si="92"/>
        <v>1968</v>
      </c>
      <c r="AW186">
        <v>186</v>
      </c>
      <c r="BG186" s="114">
        <f t="shared" ca="1" si="89"/>
        <v>21437.23</v>
      </c>
      <c r="BI186">
        <f t="shared" ca="1" si="90"/>
        <v>522.04999999999995</v>
      </c>
    </row>
    <row r="187" spans="1:61" x14ac:dyDescent="0.25">
      <c r="A187" s="113">
        <f t="shared" si="106"/>
        <v>864</v>
      </c>
      <c r="B187" s="113" t="str">
        <f t="shared" si="107"/>
        <v>a</v>
      </c>
      <c r="C187" s="113" t="str">
        <f t="shared" si="107"/>
        <v>b</v>
      </c>
      <c r="D187" s="113" t="str">
        <f t="shared" si="107"/>
        <v>c</v>
      </c>
      <c r="E187" s="113" t="str">
        <f t="shared" si="107"/>
        <v>d</v>
      </c>
      <c r="F187" s="113" t="str">
        <f t="shared" si="107"/>
        <v>e</v>
      </c>
      <c r="G187" s="113" t="str">
        <f t="shared" si="107"/>
        <v>f</v>
      </c>
      <c r="H187" s="113" t="str">
        <f t="shared" si="107"/>
        <v>g</v>
      </c>
      <c r="I187" s="113" t="str">
        <f t="shared" si="107"/>
        <v>h</v>
      </c>
      <c r="J187" s="113" t="str">
        <f t="shared" si="107"/>
        <v>i</v>
      </c>
      <c r="K187" s="113" t="str">
        <f t="shared" si="107"/>
        <v>j</v>
      </c>
      <c r="L187" s="113" t="str">
        <f t="shared" si="107"/>
        <v>k</v>
      </c>
      <c r="M187" s="113" t="str">
        <f t="shared" si="107"/>
        <v>l</v>
      </c>
      <c r="N187" s="113" t="str">
        <f t="shared" si="107"/>
        <v>m</v>
      </c>
      <c r="O187" s="113">
        <f t="shared" si="107"/>
        <v>0</v>
      </c>
      <c r="P187" s="113">
        <f t="shared" si="107"/>
        <v>0</v>
      </c>
      <c r="Q187" s="113" t="str">
        <f t="shared" si="107"/>
        <v>p</v>
      </c>
      <c r="R187" s="113">
        <f t="shared" si="107"/>
        <v>0</v>
      </c>
      <c r="S187" s="113">
        <f t="shared" si="107"/>
        <v>0</v>
      </c>
      <c r="T187" s="113">
        <f t="shared" si="107"/>
        <v>0</v>
      </c>
      <c r="U187" s="113">
        <f t="shared" si="107"/>
        <v>0</v>
      </c>
      <c r="V187" s="113">
        <f t="shared" si="107"/>
        <v>0</v>
      </c>
      <c r="W187" s="113">
        <f t="shared" si="107"/>
        <v>0</v>
      </c>
      <c r="X187" s="113">
        <f t="shared" si="107"/>
        <v>0</v>
      </c>
      <c r="AA187" s="113">
        <v>9</v>
      </c>
      <c r="AB187" s="112">
        <f t="shared" ca="1" si="108"/>
        <v>40544</v>
      </c>
      <c r="AC187" s="428">
        <f t="shared" ca="1" si="108"/>
        <v>42369</v>
      </c>
      <c r="AD187" t="s">
        <v>510</v>
      </c>
      <c r="AF187" s="114">
        <f t="shared" ca="1" si="80"/>
        <v>15069.97</v>
      </c>
      <c r="AG187" s="114">
        <f t="shared" ca="1" si="80"/>
        <v>0</v>
      </c>
      <c r="AH187" s="114">
        <f t="shared" ca="1" si="80"/>
        <v>0</v>
      </c>
      <c r="AI187" s="114">
        <f t="shared" ca="1" si="80"/>
        <v>6384.11</v>
      </c>
      <c r="AJ187" s="114">
        <f t="shared" ca="1" si="80"/>
        <v>144.93</v>
      </c>
      <c r="AK187" s="114">
        <f t="shared" ca="1" si="80"/>
        <v>1799.92</v>
      </c>
      <c r="AN187">
        <f t="shared" si="91"/>
        <v>187</v>
      </c>
      <c r="AQ187" s="114">
        <f t="shared" ca="1" si="92"/>
        <v>1968</v>
      </c>
      <c r="AW187">
        <v>187</v>
      </c>
      <c r="BG187" s="114">
        <f t="shared" ca="1" si="89"/>
        <v>23567.01</v>
      </c>
      <c r="BI187">
        <f t="shared" si="90"/>
        <v>0</v>
      </c>
    </row>
    <row r="188" spans="1:61" x14ac:dyDescent="0.25">
      <c r="A188" s="113">
        <f t="shared" si="106"/>
        <v>866</v>
      </c>
      <c r="B188" s="113" t="str">
        <f t="shared" si="107"/>
        <v>a</v>
      </c>
      <c r="C188" s="113" t="str">
        <f t="shared" si="107"/>
        <v>b</v>
      </c>
      <c r="D188" s="113" t="str">
        <f t="shared" si="107"/>
        <v>c</v>
      </c>
      <c r="E188" s="113" t="str">
        <f t="shared" si="107"/>
        <v>d</v>
      </c>
      <c r="F188" s="113" t="str">
        <f t="shared" si="107"/>
        <v>e</v>
      </c>
      <c r="G188" s="113" t="str">
        <f t="shared" si="107"/>
        <v>f</v>
      </c>
      <c r="H188" s="113" t="str">
        <f t="shared" si="107"/>
        <v>g</v>
      </c>
      <c r="I188" s="113" t="str">
        <f t="shared" si="107"/>
        <v>h</v>
      </c>
      <c r="J188" s="113" t="str">
        <f t="shared" si="107"/>
        <v>i</v>
      </c>
      <c r="K188" s="113" t="str">
        <f t="shared" si="107"/>
        <v>j</v>
      </c>
      <c r="L188" s="113" t="str">
        <f t="shared" si="107"/>
        <v>k</v>
      </c>
      <c r="M188" s="113" t="str">
        <f t="shared" si="107"/>
        <v>l</v>
      </c>
      <c r="N188" s="113" t="str">
        <f t="shared" si="107"/>
        <v>m</v>
      </c>
      <c r="O188" s="113">
        <f t="shared" si="107"/>
        <v>0</v>
      </c>
      <c r="P188" s="113">
        <f t="shared" si="107"/>
        <v>0</v>
      </c>
      <c r="Q188" s="113" t="str">
        <f t="shared" si="107"/>
        <v>p</v>
      </c>
      <c r="R188" s="113">
        <f t="shared" si="107"/>
        <v>0</v>
      </c>
      <c r="S188" s="113">
        <f t="shared" si="107"/>
        <v>0</v>
      </c>
      <c r="T188" s="113">
        <f t="shared" si="107"/>
        <v>0</v>
      </c>
      <c r="U188" s="113">
        <f t="shared" si="107"/>
        <v>0</v>
      </c>
      <c r="V188" s="113">
        <f t="shared" si="107"/>
        <v>0</v>
      </c>
      <c r="W188" s="113">
        <f t="shared" si="107"/>
        <v>0</v>
      </c>
      <c r="X188" s="113">
        <f t="shared" si="107"/>
        <v>0</v>
      </c>
      <c r="AA188" s="113">
        <v>15</v>
      </c>
      <c r="AB188" s="112">
        <f t="shared" ca="1" si="108"/>
        <v>40544</v>
      </c>
      <c r="AC188" s="428">
        <f t="shared" ca="1" si="108"/>
        <v>42369</v>
      </c>
      <c r="AD188" t="s">
        <v>511</v>
      </c>
      <c r="AF188" s="114">
        <f t="shared" ca="1" si="80"/>
        <v>16947.900000000001</v>
      </c>
      <c r="AG188" s="114">
        <f t="shared" ca="1" si="80"/>
        <v>0</v>
      </c>
      <c r="AH188" s="114">
        <f t="shared" ca="1" si="80"/>
        <v>0</v>
      </c>
      <c r="AI188" s="114">
        <f t="shared" ca="1" si="80"/>
        <v>6384.11</v>
      </c>
      <c r="AJ188" s="114">
        <f t="shared" ca="1" si="80"/>
        <v>144.93</v>
      </c>
      <c r="AK188" s="114">
        <f t="shared" ca="1" si="80"/>
        <v>1956.41</v>
      </c>
      <c r="AN188">
        <f t="shared" si="91"/>
        <v>188</v>
      </c>
      <c r="AQ188" s="114">
        <f t="shared" ca="1" si="92"/>
        <v>2424</v>
      </c>
      <c r="AW188">
        <v>188</v>
      </c>
      <c r="BG188" s="114">
        <f t="shared" ca="1" si="89"/>
        <v>25900.940000000002</v>
      </c>
      <c r="BI188">
        <f t="shared" si="90"/>
        <v>0</v>
      </c>
    </row>
    <row r="189" spans="1:61" x14ac:dyDescent="0.25">
      <c r="A189" s="113">
        <f t="shared" si="106"/>
        <v>868</v>
      </c>
      <c r="B189" s="113" t="str">
        <f t="shared" si="107"/>
        <v>a</v>
      </c>
      <c r="C189" s="113" t="str">
        <f t="shared" si="107"/>
        <v>b</v>
      </c>
      <c r="D189" s="113" t="str">
        <f t="shared" si="107"/>
        <v>c</v>
      </c>
      <c r="E189" s="113" t="str">
        <f t="shared" si="107"/>
        <v>d</v>
      </c>
      <c r="F189" s="113" t="str">
        <f t="shared" si="107"/>
        <v>e</v>
      </c>
      <c r="G189" s="113" t="str">
        <f t="shared" si="107"/>
        <v>f</v>
      </c>
      <c r="H189" s="113" t="str">
        <f t="shared" si="107"/>
        <v>g</v>
      </c>
      <c r="I189" s="113" t="str">
        <f t="shared" si="107"/>
        <v>h</v>
      </c>
      <c r="J189" s="113" t="str">
        <f t="shared" si="107"/>
        <v>i</v>
      </c>
      <c r="K189" s="113" t="str">
        <f t="shared" si="107"/>
        <v>j</v>
      </c>
      <c r="L189" s="113" t="str">
        <f t="shared" si="107"/>
        <v>k</v>
      </c>
      <c r="M189" s="113" t="str">
        <f t="shared" si="107"/>
        <v>l</v>
      </c>
      <c r="N189" s="113" t="str">
        <f t="shared" si="107"/>
        <v>m</v>
      </c>
      <c r="O189" s="113">
        <f t="shared" si="107"/>
        <v>0</v>
      </c>
      <c r="P189" s="113">
        <f t="shared" si="107"/>
        <v>0</v>
      </c>
      <c r="Q189" s="113" t="str">
        <f t="shared" si="107"/>
        <v>p</v>
      </c>
      <c r="R189" s="113">
        <f t="shared" si="107"/>
        <v>0</v>
      </c>
      <c r="S189" s="113">
        <f t="shared" si="107"/>
        <v>0</v>
      </c>
      <c r="T189" s="113">
        <f t="shared" si="107"/>
        <v>0</v>
      </c>
      <c r="U189" s="113">
        <f t="shared" si="107"/>
        <v>0</v>
      </c>
      <c r="V189" s="113">
        <f t="shared" si="107"/>
        <v>0</v>
      </c>
      <c r="W189" s="113">
        <f t="shared" si="107"/>
        <v>0</v>
      </c>
      <c r="X189" s="113">
        <f t="shared" si="107"/>
        <v>0</v>
      </c>
      <c r="AA189" s="113">
        <v>21</v>
      </c>
      <c r="AB189" s="112">
        <f t="shared" ca="1" si="108"/>
        <v>40544</v>
      </c>
      <c r="AC189" s="428">
        <f t="shared" ca="1" si="108"/>
        <v>42369</v>
      </c>
      <c r="AD189" t="s">
        <v>512</v>
      </c>
      <c r="AF189" s="114">
        <f t="shared" ca="1" si="80"/>
        <v>18770.54</v>
      </c>
      <c r="AG189" s="114">
        <f t="shared" ca="1" si="80"/>
        <v>0</v>
      </c>
      <c r="AH189" s="114">
        <f t="shared" ca="1" si="80"/>
        <v>0</v>
      </c>
      <c r="AI189" s="114">
        <f t="shared" ca="1" si="80"/>
        <v>6384.11</v>
      </c>
      <c r="AJ189" s="114">
        <f t="shared" ca="1" si="80"/>
        <v>144.93</v>
      </c>
      <c r="AK189" s="114">
        <f t="shared" ca="1" si="80"/>
        <v>2108.3000000000002</v>
      </c>
      <c r="AN189">
        <f t="shared" si="91"/>
        <v>189</v>
      </c>
      <c r="AQ189" s="114">
        <f t="shared" ca="1" si="92"/>
        <v>2424</v>
      </c>
      <c r="AW189">
        <v>189</v>
      </c>
      <c r="BG189" s="114">
        <f t="shared" ca="1" si="89"/>
        <v>27723.58</v>
      </c>
      <c r="BI189">
        <f t="shared" si="90"/>
        <v>0</v>
      </c>
    </row>
    <row r="190" spans="1:61" x14ac:dyDescent="0.25">
      <c r="A190" s="113">
        <f t="shared" si="106"/>
        <v>870</v>
      </c>
      <c r="B190" s="113" t="str">
        <f t="shared" si="107"/>
        <v>a</v>
      </c>
      <c r="C190" s="113" t="str">
        <f t="shared" si="107"/>
        <v>b</v>
      </c>
      <c r="D190" s="113" t="str">
        <f t="shared" si="107"/>
        <v>c</v>
      </c>
      <c r="E190" s="113" t="str">
        <f t="shared" si="107"/>
        <v>d</v>
      </c>
      <c r="F190" s="113" t="str">
        <f t="shared" si="107"/>
        <v>e</v>
      </c>
      <c r="G190" s="113" t="str">
        <f t="shared" si="107"/>
        <v>f</v>
      </c>
      <c r="H190" s="113" t="str">
        <f t="shared" si="107"/>
        <v>g</v>
      </c>
      <c r="I190" s="113" t="str">
        <f t="shared" si="107"/>
        <v>h</v>
      </c>
      <c r="J190" s="113" t="str">
        <f t="shared" si="107"/>
        <v>i</v>
      </c>
      <c r="K190" s="113" t="str">
        <f t="shared" si="107"/>
        <v>j</v>
      </c>
      <c r="L190" s="113" t="str">
        <f t="shared" si="107"/>
        <v>k</v>
      </c>
      <c r="M190" s="113" t="str">
        <f t="shared" si="107"/>
        <v>l</v>
      </c>
      <c r="N190" s="113" t="str">
        <f t="shared" si="107"/>
        <v>m</v>
      </c>
      <c r="O190" s="113">
        <f t="shared" si="107"/>
        <v>0</v>
      </c>
      <c r="P190" s="113">
        <f t="shared" si="107"/>
        <v>0</v>
      </c>
      <c r="Q190" s="113" t="str">
        <f t="shared" si="107"/>
        <v>p</v>
      </c>
      <c r="R190" s="113">
        <f t="shared" si="107"/>
        <v>0</v>
      </c>
      <c r="S190" s="113">
        <f t="shared" si="107"/>
        <v>0</v>
      </c>
      <c r="T190" s="113">
        <f t="shared" si="107"/>
        <v>0</v>
      </c>
      <c r="U190" s="113">
        <f t="shared" si="107"/>
        <v>0</v>
      </c>
      <c r="V190" s="113">
        <f t="shared" si="107"/>
        <v>0</v>
      </c>
      <c r="W190" s="113">
        <f t="shared" si="107"/>
        <v>0</v>
      </c>
      <c r="X190" s="113">
        <f t="shared" si="107"/>
        <v>0</v>
      </c>
      <c r="AA190" s="113">
        <v>28</v>
      </c>
      <c r="AB190" s="112">
        <f t="shared" ca="1" si="108"/>
        <v>40544</v>
      </c>
      <c r="AC190" s="428">
        <f t="shared" ca="1" si="108"/>
        <v>42369</v>
      </c>
      <c r="AD190" t="s">
        <v>513</v>
      </c>
      <c r="AF190" s="114">
        <f t="shared" ca="1" si="80"/>
        <v>20568.830000000002</v>
      </c>
      <c r="AG190" s="114">
        <f t="shared" ca="1" si="80"/>
        <v>0</v>
      </c>
      <c r="AH190" s="114">
        <f t="shared" ca="1" si="80"/>
        <v>0</v>
      </c>
      <c r="AI190" s="114">
        <f t="shared" ca="1" si="80"/>
        <v>6384.11</v>
      </c>
      <c r="AJ190" s="114">
        <f t="shared" ca="1" si="80"/>
        <v>144.93</v>
      </c>
      <c r="AK190" s="114">
        <f t="shared" ca="1" si="80"/>
        <v>2258.16</v>
      </c>
      <c r="AN190">
        <f t="shared" si="91"/>
        <v>190</v>
      </c>
      <c r="AQ190" s="114">
        <f t="shared" ca="1" si="92"/>
        <v>3090</v>
      </c>
      <c r="AW190">
        <v>190</v>
      </c>
      <c r="BG190" s="114">
        <f t="shared" ca="1" si="89"/>
        <v>30187.870000000003</v>
      </c>
      <c r="BI190">
        <f t="shared" si="90"/>
        <v>0</v>
      </c>
    </row>
    <row r="191" spans="1:61" x14ac:dyDescent="0.25">
      <c r="A191" s="113">
        <f t="shared" si="106"/>
        <v>872</v>
      </c>
      <c r="B191" s="113" t="str">
        <f t="shared" si="107"/>
        <v>a</v>
      </c>
      <c r="C191" s="113" t="str">
        <f t="shared" si="107"/>
        <v>b</v>
      </c>
      <c r="D191" s="113" t="str">
        <f t="shared" si="107"/>
        <v>c</v>
      </c>
      <c r="E191" s="113" t="str">
        <f t="shared" si="107"/>
        <v>d</v>
      </c>
      <c r="F191" s="113" t="str">
        <f t="shared" si="107"/>
        <v>e</v>
      </c>
      <c r="G191" s="113" t="str">
        <f t="shared" si="107"/>
        <v>f</v>
      </c>
      <c r="H191" s="113" t="str">
        <f t="shared" si="107"/>
        <v>g</v>
      </c>
      <c r="I191" s="113" t="str">
        <f t="shared" si="107"/>
        <v>h</v>
      </c>
      <c r="J191" s="113" t="str">
        <f t="shared" si="107"/>
        <v>i</v>
      </c>
      <c r="K191" s="113" t="str">
        <f t="shared" si="107"/>
        <v>j</v>
      </c>
      <c r="L191" s="113" t="str">
        <f t="shared" si="107"/>
        <v>k</v>
      </c>
      <c r="M191" s="113" t="str">
        <f t="shared" si="107"/>
        <v>l</v>
      </c>
      <c r="N191" s="113" t="str">
        <f t="shared" si="107"/>
        <v>m</v>
      </c>
      <c r="O191" s="113">
        <f t="shared" si="107"/>
        <v>0</v>
      </c>
      <c r="P191" s="113">
        <f t="shared" si="107"/>
        <v>0</v>
      </c>
      <c r="Q191" s="113" t="str">
        <f t="shared" si="107"/>
        <v>p</v>
      </c>
      <c r="R191" s="113">
        <f t="shared" si="107"/>
        <v>0</v>
      </c>
      <c r="S191" s="113">
        <f t="shared" si="107"/>
        <v>0</v>
      </c>
      <c r="T191" s="113">
        <f t="shared" si="107"/>
        <v>0</v>
      </c>
      <c r="U191" s="113">
        <f t="shared" si="107"/>
        <v>0</v>
      </c>
      <c r="V191" s="113">
        <f t="shared" si="107"/>
        <v>0</v>
      </c>
      <c r="W191" s="113">
        <f t="shared" si="107"/>
        <v>0</v>
      </c>
      <c r="X191" s="113">
        <f t="shared" si="107"/>
        <v>0</v>
      </c>
      <c r="AA191" s="113">
        <v>35</v>
      </c>
      <c r="AB191" s="112">
        <f t="shared" ca="1" si="108"/>
        <v>40544</v>
      </c>
      <c r="AC191" s="428">
        <f t="shared" ca="1" si="108"/>
        <v>42369</v>
      </c>
      <c r="AD191" t="s">
        <v>514</v>
      </c>
      <c r="AF191" s="114">
        <f t="shared" ca="1" si="80"/>
        <v>21907.88</v>
      </c>
      <c r="AG191" s="114">
        <f t="shared" ca="1" si="80"/>
        <v>0</v>
      </c>
      <c r="AH191" s="114">
        <f t="shared" ca="1" si="80"/>
        <v>0</v>
      </c>
      <c r="AI191" s="114">
        <f t="shared" ca="1" si="80"/>
        <v>6384.11</v>
      </c>
      <c r="AJ191" s="114">
        <f t="shared" ca="1" si="80"/>
        <v>144.93</v>
      </c>
      <c r="AK191" s="114">
        <f t="shared" ca="1" si="80"/>
        <v>2369.7399999999998</v>
      </c>
      <c r="AN191">
        <f t="shared" si="91"/>
        <v>191</v>
      </c>
      <c r="AQ191" s="114">
        <f t="shared" ca="1" si="92"/>
        <v>3090</v>
      </c>
      <c r="AW191">
        <v>191</v>
      </c>
      <c r="BG191" s="114">
        <f t="shared" ca="1" si="89"/>
        <v>31526.920000000002</v>
      </c>
      <c r="BI191">
        <f t="shared" si="90"/>
        <v>0</v>
      </c>
    </row>
    <row r="192" spans="1:61" x14ac:dyDescent="0.25">
      <c r="A192" s="113">
        <f>A185+20</f>
        <v>880</v>
      </c>
      <c r="B192" s="113" t="str">
        <f>B185</f>
        <v>a</v>
      </c>
      <c r="C192" s="113" t="str">
        <f t="shared" ref="C192:X192" si="109">C185</f>
        <v>b</v>
      </c>
      <c r="D192" s="113" t="str">
        <f t="shared" si="109"/>
        <v>c</v>
      </c>
      <c r="E192" s="113" t="str">
        <f t="shared" si="109"/>
        <v>d</v>
      </c>
      <c r="F192" s="113" t="str">
        <f t="shared" si="109"/>
        <v>e</v>
      </c>
      <c r="G192" s="113" t="str">
        <f t="shared" si="109"/>
        <v>f</v>
      </c>
      <c r="H192" s="113" t="str">
        <f t="shared" si="109"/>
        <v>g</v>
      </c>
      <c r="I192" s="113" t="str">
        <f t="shared" si="109"/>
        <v>h</v>
      </c>
      <c r="J192" s="113" t="str">
        <f t="shared" si="109"/>
        <v>i</v>
      </c>
      <c r="K192" s="113" t="str">
        <f t="shared" si="109"/>
        <v>j</v>
      </c>
      <c r="L192" s="113" t="str">
        <f t="shared" si="109"/>
        <v>k</v>
      </c>
      <c r="M192" s="113" t="str">
        <f t="shared" si="109"/>
        <v>l</v>
      </c>
      <c r="N192" s="113" t="str">
        <f t="shared" si="109"/>
        <v>m</v>
      </c>
      <c r="O192" s="113">
        <f t="shared" si="109"/>
        <v>0</v>
      </c>
      <c r="P192" s="113">
        <f t="shared" si="109"/>
        <v>0</v>
      </c>
      <c r="Q192" s="113" t="str">
        <f t="shared" si="109"/>
        <v>p</v>
      </c>
      <c r="R192" s="113">
        <f t="shared" si="109"/>
        <v>0</v>
      </c>
      <c r="S192" s="113">
        <f t="shared" si="109"/>
        <v>0</v>
      </c>
      <c r="T192" s="113">
        <f t="shared" si="109"/>
        <v>0</v>
      </c>
      <c r="U192" s="113">
        <f t="shared" si="109"/>
        <v>0</v>
      </c>
      <c r="V192" s="113">
        <f t="shared" si="109"/>
        <v>0</v>
      </c>
      <c r="W192" s="113">
        <f t="shared" si="109"/>
        <v>0</v>
      </c>
      <c r="X192" s="113">
        <f t="shared" si="109"/>
        <v>0</v>
      </c>
      <c r="AA192" s="113">
        <v>0</v>
      </c>
      <c r="AB192" s="112">
        <f ca="1">INDIRECT(CONCATENATE($AB$10,CONCATENATE(B192,$A192)))</f>
        <v>42370</v>
      </c>
      <c r="AC192" s="428">
        <f ca="1">INDIRECT(CONCATENATE($AB$10,CONCATENATE(C192,$A192)))</f>
        <v>42735</v>
      </c>
      <c r="AD192" t="s">
        <v>515</v>
      </c>
      <c r="AF192" s="114">
        <f t="shared" ca="1" si="80"/>
        <v>13015.79</v>
      </c>
      <c r="AG192" s="114">
        <f ca="1">INDIRECT(CONCATENATE($AB$10,CONCATENATE(G192,$A192)))</f>
        <v>0</v>
      </c>
      <c r="AH192" s="114">
        <f ca="1">INDIRECT(CONCATENATE($AB$10,CONCATENATE(H192,$A192)))</f>
        <v>0</v>
      </c>
      <c r="AI192" s="114">
        <f ca="1">INDIRECT(CONCATENATE($AB$10,CONCATENATE(I192,$A192)))</f>
        <v>6384.11</v>
      </c>
      <c r="AJ192" s="114">
        <f ca="1">INDIRECT(CONCATENATE($AB$10,CONCATENATE(J192,$A192)))</f>
        <v>144.93</v>
      </c>
      <c r="AK192" s="114">
        <f ca="1">INDIRECT(CONCATENATE($AB$10,CONCATENATE(K192,$A192)))</f>
        <v>1628.74</v>
      </c>
      <c r="AN192">
        <f t="shared" si="91"/>
        <v>192</v>
      </c>
      <c r="AQ192" s="114">
        <f t="shared" ca="1" si="92"/>
        <v>1968</v>
      </c>
      <c r="AW192">
        <v>192</v>
      </c>
      <c r="BG192" s="114">
        <f t="shared" ca="1" si="89"/>
        <v>21512.83</v>
      </c>
      <c r="BI192">
        <f t="shared" si="90"/>
        <v>0</v>
      </c>
    </row>
    <row r="193" spans="1:61" x14ac:dyDescent="0.25">
      <c r="A193" s="113">
        <f>A192</f>
        <v>880</v>
      </c>
      <c r="B193" s="113" t="str">
        <f>B192</f>
        <v>a</v>
      </c>
      <c r="C193" s="113" t="str">
        <f t="shared" ref="C193:X198" si="110">C192</f>
        <v>b</v>
      </c>
      <c r="D193" s="113" t="str">
        <f t="shared" si="110"/>
        <v>c</v>
      </c>
      <c r="E193" s="113" t="str">
        <f t="shared" si="110"/>
        <v>d</v>
      </c>
      <c r="F193" s="113" t="str">
        <f t="shared" si="110"/>
        <v>e</v>
      </c>
      <c r="G193" s="113" t="str">
        <f t="shared" si="110"/>
        <v>f</v>
      </c>
      <c r="H193" s="113" t="str">
        <f t="shared" si="110"/>
        <v>g</v>
      </c>
      <c r="I193" s="113" t="str">
        <f t="shared" si="110"/>
        <v>h</v>
      </c>
      <c r="J193" s="113" t="str">
        <f t="shared" si="110"/>
        <v>i</v>
      </c>
      <c r="K193" s="113" t="str">
        <f t="shared" si="110"/>
        <v>j</v>
      </c>
      <c r="L193" s="113" t="str">
        <f t="shared" si="110"/>
        <v>k</v>
      </c>
      <c r="M193" s="113" t="str">
        <f t="shared" si="110"/>
        <v>l</v>
      </c>
      <c r="N193" s="113" t="str">
        <f t="shared" si="110"/>
        <v>m</v>
      </c>
      <c r="O193" s="113">
        <f t="shared" si="110"/>
        <v>0</v>
      </c>
      <c r="P193" s="113">
        <f t="shared" si="110"/>
        <v>0</v>
      </c>
      <c r="Q193" s="113" t="str">
        <f t="shared" si="110"/>
        <v>p</v>
      </c>
      <c r="R193" s="113">
        <f t="shared" si="110"/>
        <v>0</v>
      </c>
      <c r="S193" s="113">
        <f t="shared" si="110"/>
        <v>0</v>
      </c>
      <c r="T193" s="113">
        <f t="shared" si="110"/>
        <v>0</v>
      </c>
      <c r="U193" s="113">
        <f t="shared" si="110"/>
        <v>0</v>
      </c>
      <c r="V193" s="113">
        <f t="shared" si="110"/>
        <v>0</v>
      </c>
      <c r="W193" s="113">
        <f t="shared" si="110"/>
        <v>0</v>
      </c>
      <c r="X193" s="113">
        <f t="shared" si="110"/>
        <v>0</v>
      </c>
      <c r="AA193" s="113">
        <v>3</v>
      </c>
      <c r="AB193" s="112">
        <f t="shared" ref="AB193:AC198" ca="1" si="111">AB192</f>
        <v>42370</v>
      </c>
      <c r="AC193" s="428">
        <f t="shared" ca="1" si="111"/>
        <v>42735</v>
      </c>
      <c r="AD193" t="s">
        <v>516</v>
      </c>
      <c r="AE193" s="114">
        <f ca="1">AE186</f>
        <v>522.04999999999995</v>
      </c>
      <c r="AF193" s="114">
        <f t="shared" ca="1" si="80"/>
        <v>13015.79</v>
      </c>
      <c r="AG193" s="114">
        <f t="shared" ca="1" si="80"/>
        <v>0</v>
      </c>
      <c r="AH193" s="114">
        <f t="shared" ca="1" si="80"/>
        <v>0</v>
      </c>
      <c r="AI193" s="114">
        <f t="shared" ca="1" si="80"/>
        <v>6384.11</v>
      </c>
      <c r="AJ193" s="114">
        <f t="shared" ca="1" si="80"/>
        <v>144.93</v>
      </c>
      <c r="AK193" s="114">
        <f t="shared" ca="1" si="80"/>
        <v>1628.74</v>
      </c>
      <c r="AN193">
        <f t="shared" si="91"/>
        <v>193</v>
      </c>
      <c r="AQ193" s="114">
        <f t="shared" ca="1" si="92"/>
        <v>1968</v>
      </c>
      <c r="AW193">
        <v>193</v>
      </c>
      <c r="BG193" s="114">
        <f t="shared" ca="1" si="89"/>
        <v>21512.83</v>
      </c>
      <c r="BI193">
        <f t="shared" ca="1" si="90"/>
        <v>522.04999999999995</v>
      </c>
    </row>
    <row r="194" spans="1:61" x14ac:dyDescent="0.25">
      <c r="A194" s="113">
        <f>A193+2</f>
        <v>882</v>
      </c>
      <c r="B194" s="113" t="str">
        <f>B193</f>
        <v>a</v>
      </c>
      <c r="C194" s="113" t="str">
        <f t="shared" si="110"/>
        <v>b</v>
      </c>
      <c r="D194" s="113" t="str">
        <f t="shared" si="110"/>
        <v>c</v>
      </c>
      <c r="E194" s="113" t="str">
        <f t="shared" si="110"/>
        <v>d</v>
      </c>
      <c r="F194" s="113" t="str">
        <f t="shared" si="110"/>
        <v>e</v>
      </c>
      <c r="G194" s="113" t="str">
        <f t="shared" si="110"/>
        <v>f</v>
      </c>
      <c r="H194" s="113" t="str">
        <f t="shared" si="110"/>
        <v>g</v>
      </c>
      <c r="I194" s="113" t="str">
        <f t="shared" si="110"/>
        <v>h</v>
      </c>
      <c r="J194" s="113" t="str">
        <f t="shared" si="110"/>
        <v>i</v>
      </c>
      <c r="K194" s="113" t="str">
        <f t="shared" si="110"/>
        <v>j</v>
      </c>
      <c r="L194" s="113" t="str">
        <f t="shared" si="110"/>
        <v>k</v>
      </c>
      <c r="M194" s="113" t="str">
        <f t="shared" si="110"/>
        <v>l</v>
      </c>
      <c r="N194" s="113" t="str">
        <f t="shared" si="110"/>
        <v>m</v>
      </c>
      <c r="O194" s="113">
        <f t="shared" si="110"/>
        <v>0</v>
      </c>
      <c r="P194" s="113">
        <f t="shared" si="110"/>
        <v>0</v>
      </c>
      <c r="Q194" s="113" t="str">
        <f t="shared" si="110"/>
        <v>p</v>
      </c>
      <c r="R194" s="113">
        <f t="shared" si="110"/>
        <v>0</v>
      </c>
      <c r="S194" s="113">
        <f t="shared" si="110"/>
        <v>0</v>
      </c>
      <c r="T194" s="113">
        <f t="shared" si="110"/>
        <v>0</v>
      </c>
      <c r="U194" s="113">
        <f t="shared" si="110"/>
        <v>0</v>
      </c>
      <c r="V194" s="113">
        <f t="shared" si="110"/>
        <v>0</v>
      </c>
      <c r="W194" s="113">
        <f t="shared" si="110"/>
        <v>0</v>
      </c>
      <c r="X194" s="113">
        <f t="shared" si="110"/>
        <v>0</v>
      </c>
      <c r="AA194" s="113">
        <v>9</v>
      </c>
      <c r="AB194" s="112">
        <f t="shared" ca="1" si="111"/>
        <v>42370</v>
      </c>
      <c r="AC194" s="428">
        <f t="shared" ca="1" si="111"/>
        <v>42735</v>
      </c>
      <c r="AD194" t="s">
        <v>510</v>
      </c>
      <c r="AF194" s="114">
        <f t="shared" ca="1" si="80"/>
        <v>15153.97</v>
      </c>
      <c r="AG194" s="114">
        <f t="shared" ca="1" si="80"/>
        <v>0</v>
      </c>
      <c r="AH194" s="114">
        <f t="shared" ca="1" si="80"/>
        <v>0</v>
      </c>
      <c r="AI194" s="114">
        <f t="shared" ca="1" si="80"/>
        <v>6384.11</v>
      </c>
      <c r="AJ194" s="114">
        <f t="shared" ca="1" si="80"/>
        <v>144.93</v>
      </c>
      <c r="AK194" s="114">
        <f t="shared" ca="1" si="80"/>
        <v>1806.92</v>
      </c>
      <c r="AN194">
        <f t="shared" si="91"/>
        <v>194</v>
      </c>
      <c r="AQ194" s="114">
        <f t="shared" ca="1" si="92"/>
        <v>1968</v>
      </c>
      <c r="AW194">
        <v>194</v>
      </c>
      <c r="BG194" s="114">
        <f t="shared" ca="1" si="89"/>
        <v>23651.01</v>
      </c>
      <c r="BI194">
        <f t="shared" si="90"/>
        <v>0</v>
      </c>
    </row>
    <row r="195" spans="1:61" x14ac:dyDescent="0.25">
      <c r="A195" s="113">
        <f>A194+2</f>
        <v>884</v>
      </c>
      <c r="B195" s="113" t="str">
        <f>B194</f>
        <v>a</v>
      </c>
      <c r="C195" s="113" t="str">
        <f t="shared" si="110"/>
        <v>b</v>
      </c>
      <c r="D195" s="113" t="str">
        <f t="shared" si="110"/>
        <v>c</v>
      </c>
      <c r="E195" s="113" t="str">
        <f t="shared" si="110"/>
        <v>d</v>
      </c>
      <c r="F195" s="113" t="str">
        <f t="shared" si="110"/>
        <v>e</v>
      </c>
      <c r="G195" s="113" t="str">
        <f t="shared" si="110"/>
        <v>f</v>
      </c>
      <c r="H195" s="113" t="str">
        <f t="shared" si="110"/>
        <v>g</v>
      </c>
      <c r="I195" s="113" t="str">
        <f t="shared" si="110"/>
        <v>h</v>
      </c>
      <c r="J195" s="113" t="str">
        <f t="shared" si="110"/>
        <v>i</v>
      </c>
      <c r="K195" s="113" t="str">
        <f t="shared" si="110"/>
        <v>j</v>
      </c>
      <c r="L195" s="113" t="str">
        <f t="shared" si="110"/>
        <v>k</v>
      </c>
      <c r="M195" s="113" t="str">
        <f t="shared" si="110"/>
        <v>l</v>
      </c>
      <c r="N195" s="113" t="str">
        <f t="shared" si="110"/>
        <v>m</v>
      </c>
      <c r="O195" s="113">
        <f t="shared" si="110"/>
        <v>0</v>
      </c>
      <c r="P195" s="113">
        <f t="shared" si="110"/>
        <v>0</v>
      </c>
      <c r="Q195" s="113" t="str">
        <f t="shared" si="110"/>
        <v>p</v>
      </c>
      <c r="R195" s="113">
        <f t="shared" si="110"/>
        <v>0</v>
      </c>
      <c r="S195" s="113">
        <f t="shared" si="110"/>
        <v>0</v>
      </c>
      <c r="T195" s="113">
        <f t="shared" si="110"/>
        <v>0</v>
      </c>
      <c r="U195" s="113">
        <f t="shared" si="110"/>
        <v>0</v>
      </c>
      <c r="V195" s="113">
        <f t="shared" si="110"/>
        <v>0</v>
      </c>
      <c r="W195" s="113">
        <f t="shared" si="110"/>
        <v>0</v>
      </c>
      <c r="X195" s="113">
        <f t="shared" si="110"/>
        <v>0</v>
      </c>
      <c r="AA195" s="113">
        <v>15</v>
      </c>
      <c r="AB195" s="112">
        <f t="shared" ca="1" si="111"/>
        <v>42370</v>
      </c>
      <c r="AC195" s="428">
        <f t="shared" ca="1" si="111"/>
        <v>42735</v>
      </c>
      <c r="AD195" t="s">
        <v>511</v>
      </c>
      <c r="AF195" s="114">
        <f t="shared" ca="1" si="80"/>
        <v>17040.3</v>
      </c>
      <c r="AG195" s="114">
        <f t="shared" ca="1" si="80"/>
        <v>0</v>
      </c>
      <c r="AH195" s="114">
        <f t="shared" ca="1" si="80"/>
        <v>0</v>
      </c>
      <c r="AI195" s="114">
        <f t="shared" ca="1" si="80"/>
        <v>6384.11</v>
      </c>
      <c r="AJ195" s="114">
        <f t="shared" ca="1" si="80"/>
        <v>144.93</v>
      </c>
      <c r="AK195" s="114">
        <f t="shared" ca="1" si="80"/>
        <v>1964.11</v>
      </c>
      <c r="AN195">
        <f t="shared" si="91"/>
        <v>195</v>
      </c>
      <c r="AQ195" s="114">
        <f t="shared" ca="1" si="92"/>
        <v>2424</v>
      </c>
      <c r="AW195">
        <v>195</v>
      </c>
      <c r="BG195" s="114">
        <f t="shared" ca="1" si="89"/>
        <v>25993.34</v>
      </c>
      <c r="BI195">
        <f t="shared" si="90"/>
        <v>0</v>
      </c>
    </row>
    <row r="196" spans="1:61" x14ac:dyDescent="0.25">
      <c r="A196" s="113">
        <f>A195+2</f>
        <v>886</v>
      </c>
      <c r="B196" s="113" t="str">
        <f>B195</f>
        <v>a</v>
      </c>
      <c r="C196" s="113" t="str">
        <f t="shared" si="110"/>
        <v>b</v>
      </c>
      <c r="D196" s="113" t="str">
        <f t="shared" si="110"/>
        <v>c</v>
      </c>
      <c r="E196" s="113" t="str">
        <f t="shared" si="110"/>
        <v>d</v>
      </c>
      <c r="F196" s="113" t="str">
        <f t="shared" si="110"/>
        <v>e</v>
      </c>
      <c r="G196" s="113" t="str">
        <f t="shared" si="110"/>
        <v>f</v>
      </c>
      <c r="H196" s="113" t="str">
        <f t="shared" si="110"/>
        <v>g</v>
      </c>
      <c r="I196" s="113" t="str">
        <f t="shared" si="110"/>
        <v>h</v>
      </c>
      <c r="J196" s="113" t="str">
        <f t="shared" si="110"/>
        <v>i</v>
      </c>
      <c r="K196" s="113" t="str">
        <f t="shared" si="110"/>
        <v>j</v>
      </c>
      <c r="L196" s="113" t="str">
        <f t="shared" si="110"/>
        <v>k</v>
      </c>
      <c r="M196" s="113" t="str">
        <f t="shared" si="110"/>
        <v>l</v>
      </c>
      <c r="N196" s="113" t="str">
        <f t="shared" si="110"/>
        <v>m</v>
      </c>
      <c r="O196" s="113">
        <f t="shared" si="110"/>
        <v>0</v>
      </c>
      <c r="P196" s="113">
        <f t="shared" si="110"/>
        <v>0</v>
      </c>
      <c r="Q196" s="113" t="str">
        <f t="shared" si="110"/>
        <v>p</v>
      </c>
      <c r="R196" s="113">
        <f t="shared" si="110"/>
        <v>0</v>
      </c>
      <c r="S196" s="113">
        <f t="shared" si="110"/>
        <v>0</v>
      </c>
      <c r="T196" s="113">
        <f t="shared" si="110"/>
        <v>0</v>
      </c>
      <c r="U196" s="113">
        <f t="shared" si="110"/>
        <v>0</v>
      </c>
      <c r="V196" s="113">
        <f t="shared" si="110"/>
        <v>0</v>
      </c>
      <c r="W196" s="113">
        <f t="shared" si="110"/>
        <v>0</v>
      </c>
      <c r="X196" s="113">
        <f t="shared" si="110"/>
        <v>0</v>
      </c>
      <c r="AA196" s="113">
        <v>21</v>
      </c>
      <c r="AB196" s="112">
        <f t="shared" ca="1" si="111"/>
        <v>42370</v>
      </c>
      <c r="AC196" s="428">
        <f t="shared" ca="1" si="111"/>
        <v>42735</v>
      </c>
      <c r="AD196" t="s">
        <v>512</v>
      </c>
      <c r="AF196" s="114">
        <f t="shared" ca="1" si="80"/>
        <v>18870.14</v>
      </c>
      <c r="AG196" s="114">
        <f t="shared" ca="1" si="80"/>
        <v>0</v>
      </c>
      <c r="AH196" s="114">
        <f t="shared" ca="1" si="80"/>
        <v>0</v>
      </c>
      <c r="AI196" s="114">
        <f t="shared" ca="1" si="80"/>
        <v>6384.11</v>
      </c>
      <c r="AJ196" s="114">
        <f t="shared" ca="1" si="80"/>
        <v>144.93</v>
      </c>
      <c r="AK196" s="114">
        <f t="shared" ca="1" si="80"/>
        <v>2116.6</v>
      </c>
      <c r="AN196">
        <f t="shared" si="91"/>
        <v>196</v>
      </c>
      <c r="AQ196" s="114">
        <f t="shared" ca="1" si="92"/>
        <v>2424</v>
      </c>
      <c r="AW196">
        <v>196</v>
      </c>
      <c r="BG196" s="114">
        <f t="shared" ca="1" si="89"/>
        <v>27823.18</v>
      </c>
      <c r="BI196">
        <f t="shared" si="90"/>
        <v>0</v>
      </c>
    </row>
    <row r="197" spans="1:61" x14ac:dyDescent="0.25">
      <c r="A197" s="113">
        <f>A196+2</f>
        <v>888</v>
      </c>
      <c r="B197" s="113" t="str">
        <f>B196</f>
        <v>a</v>
      </c>
      <c r="C197" s="113" t="str">
        <f t="shared" si="110"/>
        <v>b</v>
      </c>
      <c r="D197" s="113" t="str">
        <f t="shared" si="110"/>
        <v>c</v>
      </c>
      <c r="E197" s="113" t="str">
        <f t="shared" si="110"/>
        <v>d</v>
      </c>
      <c r="F197" s="113" t="str">
        <f t="shared" si="110"/>
        <v>e</v>
      </c>
      <c r="G197" s="113" t="str">
        <f t="shared" si="110"/>
        <v>f</v>
      </c>
      <c r="H197" s="113" t="str">
        <f t="shared" si="110"/>
        <v>g</v>
      </c>
      <c r="I197" s="113" t="str">
        <f t="shared" si="110"/>
        <v>h</v>
      </c>
      <c r="J197" s="113" t="str">
        <f t="shared" si="110"/>
        <v>i</v>
      </c>
      <c r="K197" s="113" t="str">
        <f t="shared" si="110"/>
        <v>j</v>
      </c>
      <c r="L197" s="113" t="str">
        <f t="shared" si="110"/>
        <v>k</v>
      </c>
      <c r="M197" s="113" t="str">
        <f t="shared" si="110"/>
        <v>l</v>
      </c>
      <c r="N197" s="113" t="str">
        <f t="shared" si="110"/>
        <v>m</v>
      </c>
      <c r="O197" s="113">
        <f t="shared" si="110"/>
        <v>0</v>
      </c>
      <c r="P197" s="113">
        <f t="shared" si="110"/>
        <v>0</v>
      </c>
      <c r="Q197" s="113" t="str">
        <f t="shared" si="110"/>
        <v>p</v>
      </c>
      <c r="R197" s="113">
        <f t="shared" si="110"/>
        <v>0</v>
      </c>
      <c r="S197" s="113">
        <f t="shared" si="110"/>
        <v>0</v>
      </c>
      <c r="T197" s="113">
        <f t="shared" si="110"/>
        <v>0</v>
      </c>
      <c r="U197" s="113">
        <f t="shared" si="110"/>
        <v>0</v>
      </c>
      <c r="V197" s="113">
        <f t="shared" si="110"/>
        <v>0</v>
      </c>
      <c r="W197" s="113">
        <f t="shared" si="110"/>
        <v>0</v>
      </c>
      <c r="X197" s="113">
        <f t="shared" si="110"/>
        <v>0</v>
      </c>
      <c r="AA197" s="113">
        <v>28</v>
      </c>
      <c r="AB197" s="112">
        <f t="shared" ca="1" si="111"/>
        <v>42370</v>
      </c>
      <c r="AC197" s="428">
        <f t="shared" ca="1" si="111"/>
        <v>42735</v>
      </c>
      <c r="AD197" t="s">
        <v>513</v>
      </c>
      <c r="AF197" s="114">
        <f t="shared" ref="AF197:AK245" ca="1" si="112">INDIRECT(CONCATENATE($AB$10,CONCATENATE(F197,$A197)))</f>
        <v>20674.43</v>
      </c>
      <c r="AG197" s="114">
        <f t="shared" ca="1" si="112"/>
        <v>0</v>
      </c>
      <c r="AH197" s="114">
        <f t="shared" ca="1" si="112"/>
        <v>0</v>
      </c>
      <c r="AI197" s="114">
        <f t="shared" ca="1" si="112"/>
        <v>6384.11</v>
      </c>
      <c r="AJ197" s="114">
        <f t="shared" ca="1" si="112"/>
        <v>144.93</v>
      </c>
      <c r="AK197" s="114">
        <f t="shared" ca="1" si="112"/>
        <v>2266.96</v>
      </c>
      <c r="AN197">
        <f t="shared" si="91"/>
        <v>197</v>
      </c>
      <c r="AQ197" s="114">
        <f t="shared" ca="1" si="92"/>
        <v>3090</v>
      </c>
      <c r="AW197">
        <v>197</v>
      </c>
      <c r="BG197" s="114">
        <f t="shared" ca="1" si="89"/>
        <v>30293.47</v>
      </c>
      <c r="BI197">
        <f t="shared" si="90"/>
        <v>0</v>
      </c>
    </row>
    <row r="198" spans="1:61" x14ac:dyDescent="0.25">
      <c r="A198" s="113">
        <f>A197+2</f>
        <v>890</v>
      </c>
      <c r="B198" s="113" t="str">
        <f>B197</f>
        <v>a</v>
      </c>
      <c r="C198" s="113" t="str">
        <f t="shared" si="110"/>
        <v>b</v>
      </c>
      <c r="D198" s="113" t="str">
        <f t="shared" si="110"/>
        <v>c</v>
      </c>
      <c r="E198" s="113" t="str">
        <f t="shared" si="110"/>
        <v>d</v>
      </c>
      <c r="F198" s="113" t="str">
        <f t="shared" si="110"/>
        <v>e</v>
      </c>
      <c r="G198" s="113" t="str">
        <f t="shared" si="110"/>
        <v>f</v>
      </c>
      <c r="H198" s="113" t="str">
        <f t="shared" si="110"/>
        <v>g</v>
      </c>
      <c r="I198" s="113" t="str">
        <f t="shared" si="110"/>
        <v>h</v>
      </c>
      <c r="J198" s="113" t="str">
        <f t="shared" si="110"/>
        <v>i</v>
      </c>
      <c r="K198" s="113" t="str">
        <f t="shared" si="110"/>
        <v>j</v>
      </c>
      <c r="L198" s="113" t="str">
        <f t="shared" si="110"/>
        <v>k</v>
      </c>
      <c r="M198" s="113" t="str">
        <f t="shared" si="110"/>
        <v>l</v>
      </c>
      <c r="N198" s="113" t="str">
        <f t="shared" si="110"/>
        <v>m</v>
      </c>
      <c r="O198" s="113">
        <f t="shared" si="110"/>
        <v>0</v>
      </c>
      <c r="P198" s="113">
        <f t="shared" si="110"/>
        <v>0</v>
      </c>
      <c r="Q198" s="113" t="str">
        <f t="shared" si="110"/>
        <v>p</v>
      </c>
      <c r="R198" s="113">
        <f t="shared" si="110"/>
        <v>0</v>
      </c>
      <c r="S198" s="113">
        <f t="shared" si="110"/>
        <v>0</v>
      </c>
      <c r="T198" s="113">
        <f t="shared" si="110"/>
        <v>0</v>
      </c>
      <c r="U198" s="113">
        <f t="shared" si="110"/>
        <v>0</v>
      </c>
      <c r="V198" s="113">
        <f t="shared" si="110"/>
        <v>0</v>
      </c>
      <c r="W198" s="113">
        <f t="shared" si="110"/>
        <v>0</v>
      </c>
      <c r="X198" s="113">
        <f t="shared" si="110"/>
        <v>0</v>
      </c>
      <c r="AA198" s="113">
        <v>35</v>
      </c>
      <c r="AB198" s="112">
        <f t="shared" ca="1" si="111"/>
        <v>42370</v>
      </c>
      <c r="AC198" s="428">
        <f t="shared" ca="1" si="111"/>
        <v>42735</v>
      </c>
      <c r="AD198" t="s">
        <v>514</v>
      </c>
      <c r="AF198" s="114">
        <f t="shared" ca="1" si="112"/>
        <v>22019.48</v>
      </c>
      <c r="AG198" s="114">
        <f t="shared" ca="1" si="112"/>
        <v>0</v>
      </c>
      <c r="AH198" s="114">
        <f t="shared" ca="1" si="112"/>
        <v>0</v>
      </c>
      <c r="AI198" s="114">
        <f t="shared" ca="1" si="112"/>
        <v>6384.11</v>
      </c>
      <c r="AJ198" s="114">
        <f t="shared" ca="1" si="112"/>
        <v>144.93</v>
      </c>
      <c r="AK198" s="114">
        <f t="shared" ca="1" si="112"/>
        <v>2379.04</v>
      </c>
      <c r="AN198">
        <f t="shared" si="91"/>
        <v>198</v>
      </c>
      <c r="AQ198" s="114">
        <f t="shared" ca="1" si="92"/>
        <v>3090</v>
      </c>
      <c r="AW198">
        <v>198</v>
      </c>
      <c r="BG198" s="114">
        <f t="shared" ca="1" si="89"/>
        <v>31638.52</v>
      </c>
      <c r="BI198">
        <f t="shared" si="90"/>
        <v>0</v>
      </c>
    </row>
    <row r="199" spans="1:61" x14ac:dyDescent="0.25">
      <c r="A199" s="113">
        <f>A192+20</f>
        <v>900</v>
      </c>
      <c r="B199" s="113" t="str">
        <f>B192</f>
        <v>a</v>
      </c>
      <c r="C199" s="113" t="str">
        <f t="shared" ref="C199:X199" si="113">C192</f>
        <v>b</v>
      </c>
      <c r="D199" s="113" t="str">
        <f t="shared" si="113"/>
        <v>c</v>
      </c>
      <c r="E199" s="113" t="str">
        <f t="shared" si="113"/>
        <v>d</v>
      </c>
      <c r="F199" s="113" t="str">
        <f t="shared" si="113"/>
        <v>e</v>
      </c>
      <c r="G199" s="113" t="str">
        <f t="shared" si="113"/>
        <v>f</v>
      </c>
      <c r="H199" s="113" t="str">
        <f t="shared" si="113"/>
        <v>g</v>
      </c>
      <c r="I199" s="113" t="str">
        <f t="shared" si="113"/>
        <v>h</v>
      </c>
      <c r="J199" s="113" t="str">
        <f t="shared" si="113"/>
        <v>i</v>
      </c>
      <c r="K199" s="113" t="str">
        <f t="shared" si="113"/>
        <v>j</v>
      </c>
      <c r="L199" s="113" t="str">
        <f t="shared" si="113"/>
        <v>k</v>
      </c>
      <c r="M199" s="113" t="str">
        <f t="shared" si="113"/>
        <v>l</v>
      </c>
      <c r="N199" s="113" t="str">
        <f t="shared" si="113"/>
        <v>m</v>
      </c>
      <c r="O199" s="113">
        <f t="shared" si="113"/>
        <v>0</v>
      </c>
      <c r="P199" s="113">
        <f t="shared" si="113"/>
        <v>0</v>
      </c>
      <c r="Q199" s="113" t="str">
        <f t="shared" si="113"/>
        <v>p</v>
      </c>
      <c r="R199" s="113">
        <f t="shared" si="113"/>
        <v>0</v>
      </c>
      <c r="S199" s="113">
        <f t="shared" si="113"/>
        <v>0</v>
      </c>
      <c r="T199" s="113">
        <f t="shared" si="113"/>
        <v>0</v>
      </c>
      <c r="U199" s="113">
        <f t="shared" si="113"/>
        <v>0</v>
      </c>
      <c r="V199" s="113">
        <f t="shared" si="113"/>
        <v>0</v>
      </c>
      <c r="W199" s="113">
        <f t="shared" si="113"/>
        <v>0</v>
      </c>
      <c r="X199" s="113">
        <f t="shared" si="113"/>
        <v>0</v>
      </c>
      <c r="AA199" s="113">
        <v>0</v>
      </c>
      <c r="AB199" s="112">
        <f ca="1">INDIRECT(CONCATENATE($AB$10,CONCATENATE(B199,$A199)))</f>
        <v>42736</v>
      </c>
      <c r="AC199" s="428">
        <f ca="1">INDIRECT(CONCATENATE($AB$10,CONCATENATE(C199,$A199)))</f>
        <v>43159</v>
      </c>
      <c r="AD199" t="s">
        <v>515</v>
      </c>
      <c r="AF199" s="114">
        <f t="shared" ca="1" si="112"/>
        <v>13170.59</v>
      </c>
      <c r="AG199" s="114">
        <f ca="1">INDIRECT(CONCATENATE($AB$10,CONCATENATE(G199,$A199)))</f>
        <v>0</v>
      </c>
      <c r="AH199" s="114">
        <f ca="1">INDIRECT(CONCATENATE($AB$10,CONCATENATE(H199,$A199)))</f>
        <v>0</v>
      </c>
      <c r="AI199" s="114">
        <f ca="1">INDIRECT(CONCATENATE($AB$10,CONCATENATE(I199,$A199)))</f>
        <v>6384.11</v>
      </c>
      <c r="AJ199" s="114">
        <f ca="1">INDIRECT(CONCATENATE($AB$10,CONCATENATE(J199,$A199)))</f>
        <v>144.93</v>
      </c>
      <c r="AK199" s="114">
        <f ca="1">INDIRECT(CONCATENATE($AB$10,CONCATENATE(K199,$A199)))</f>
        <v>1641.64</v>
      </c>
      <c r="AN199">
        <f t="shared" si="91"/>
        <v>199</v>
      </c>
      <c r="AQ199" s="114">
        <f t="shared" ca="1" si="92"/>
        <v>1968</v>
      </c>
      <c r="AW199">
        <v>199</v>
      </c>
      <c r="BG199" s="114">
        <f t="shared" ca="1" si="89"/>
        <v>21667.63</v>
      </c>
      <c r="BI199">
        <f t="shared" si="90"/>
        <v>0</v>
      </c>
    </row>
    <row r="200" spans="1:61" x14ac:dyDescent="0.25">
      <c r="A200" s="113">
        <f>A199</f>
        <v>900</v>
      </c>
      <c r="B200" s="113" t="str">
        <f>B199</f>
        <v>a</v>
      </c>
      <c r="C200" s="113" t="str">
        <f t="shared" ref="C200:X205" si="114">C199</f>
        <v>b</v>
      </c>
      <c r="D200" s="113" t="str">
        <f t="shared" si="114"/>
        <v>c</v>
      </c>
      <c r="E200" s="113" t="str">
        <f t="shared" si="114"/>
        <v>d</v>
      </c>
      <c r="F200" s="113" t="str">
        <f t="shared" si="114"/>
        <v>e</v>
      </c>
      <c r="G200" s="113" t="str">
        <f t="shared" si="114"/>
        <v>f</v>
      </c>
      <c r="H200" s="113" t="str">
        <f t="shared" si="114"/>
        <v>g</v>
      </c>
      <c r="I200" s="113" t="str">
        <f t="shared" si="114"/>
        <v>h</v>
      </c>
      <c r="J200" s="113" t="str">
        <f t="shared" si="114"/>
        <v>i</v>
      </c>
      <c r="K200" s="113" t="str">
        <f t="shared" si="114"/>
        <v>j</v>
      </c>
      <c r="L200" s="113" t="str">
        <f t="shared" si="114"/>
        <v>k</v>
      </c>
      <c r="M200" s="113" t="str">
        <f t="shared" si="114"/>
        <v>l</v>
      </c>
      <c r="N200" s="113" t="str">
        <f t="shared" si="114"/>
        <v>m</v>
      </c>
      <c r="O200" s="113">
        <f t="shared" si="114"/>
        <v>0</v>
      </c>
      <c r="P200" s="113">
        <f t="shared" si="114"/>
        <v>0</v>
      </c>
      <c r="Q200" s="113" t="str">
        <f t="shared" si="114"/>
        <v>p</v>
      </c>
      <c r="R200" s="113">
        <f t="shared" si="114"/>
        <v>0</v>
      </c>
      <c r="S200" s="113">
        <f t="shared" si="114"/>
        <v>0</v>
      </c>
      <c r="T200" s="113">
        <f t="shared" si="114"/>
        <v>0</v>
      </c>
      <c r="U200" s="113">
        <f t="shared" si="114"/>
        <v>0</v>
      </c>
      <c r="V200" s="113">
        <f t="shared" si="114"/>
        <v>0</v>
      </c>
      <c r="W200" s="113">
        <f t="shared" si="114"/>
        <v>0</v>
      </c>
      <c r="X200" s="113">
        <f t="shared" si="114"/>
        <v>0</v>
      </c>
      <c r="AA200" s="113">
        <v>3</v>
      </c>
      <c r="AB200" s="112">
        <f t="shared" ref="AB200:AC205" ca="1" si="115">AB199</f>
        <v>42736</v>
      </c>
      <c r="AC200" s="428">
        <f t="shared" ca="1" si="115"/>
        <v>43159</v>
      </c>
      <c r="AD200" t="s">
        <v>516</v>
      </c>
      <c r="AE200" s="114">
        <f ca="1">AE193</f>
        <v>522.04999999999995</v>
      </c>
      <c r="AF200" s="114">
        <f t="shared" ca="1" si="112"/>
        <v>13170.59</v>
      </c>
      <c r="AG200" s="114">
        <f t="shared" ca="1" si="112"/>
        <v>0</v>
      </c>
      <c r="AH200" s="114">
        <f t="shared" ca="1" si="112"/>
        <v>0</v>
      </c>
      <c r="AI200" s="114">
        <f t="shared" ca="1" si="112"/>
        <v>6384.11</v>
      </c>
      <c r="AJ200" s="114">
        <f t="shared" ca="1" si="112"/>
        <v>144.93</v>
      </c>
      <c r="AK200" s="114">
        <f t="shared" ca="1" si="112"/>
        <v>1641.64</v>
      </c>
      <c r="AN200">
        <f t="shared" si="91"/>
        <v>200</v>
      </c>
      <c r="AQ200" s="114">
        <f t="shared" ca="1" si="92"/>
        <v>1968</v>
      </c>
      <c r="AW200">
        <v>200</v>
      </c>
      <c r="BG200" s="114">
        <f t="shared" ca="1" si="89"/>
        <v>21667.63</v>
      </c>
      <c r="BI200">
        <f t="shared" ca="1" si="90"/>
        <v>522.04999999999995</v>
      </c>
    </row>
    <row r="201" spans="1:61" x14ac:dyDescent="0.25">
      <c r="A201" s="113">
        <f>A200+2</f>
        <v>902</v>
      </c>
      <c r="B201" s="113" t="str">
        <f>B200</f>
        <v>a</v>
      </c>
      <c r="C201" s="113" t="str">
        <f t="shared" si="114"/>
        <v>b</v>
      </c>
      <c r="D201" s="113" t="str">
        <f t="shared" si="114"/>
        <v>c</v>
      </c>
      <c r="E201" s="113" t="str">
        <f t="shared" si="114"/>
        <v>d</v>
      </c>
      <c r="F201" s="113" t="str">
        <f t="shared" si="114"/>
        <v>e</v>
      </c>
      <c r="G201" s="113" t="str">
        <f t="shared" si="114"/>
        <v>f</v>
      </c>
      <c r="H201" s="113" t="str">
        <f t="shared" si="114"/>
        <v>g</v>
      </c>
      <c r="I201" s="113" t="str">
        <f t="shared" si="114"/>
        <v>h</v>
      </c>
      <c r="J201" s="113" t="str">
        <f t="shared" si="114"/>
        <v>i</v>
      </c>
      <c r="K201" s="113" t="str">
        <f t="shared" si="114"/>
        <v>j</v>
      </c>
      <c r="L201" s="113" t="str">
        <f t="shared" si="114"/>
        <v>k</v>
      </c>
      <c r="M201" s="113" t="str">
        <f t="shared" si="114"/>
        <v>l</v>
      </c>
      <c r="N201" s="113" t="str">
        <f t="shared" si="114"/>
        <v>m</v>
      </c>
      <c r="O201" s="113">
        <f t="shared" si="114"/>
        <v>0</v>
      </c>
      <c r="P201" s="113">
        <f t="shared" si="114"/>
        <v>0</v>
      </c>
      <c r="Q201" s="113" t="str">
        <f t="shared" si="114"/>
        <v>p</v>
      </c>
      <c r="R201" s="113">
        <f t="shared" si="114"/>
        <v>0</v>
      </c>
      <c r="S201" s="113">
        <f t="shared" si="114"/>
        <v>0</v>
      </c>
      <c r="T201" s="113">
        <f t="shared" si="114"/>
        <v>0</v>
      </c>
      <c r="U201" s="113">
        <f t="shared" si="114"/>
        <v>0</v>
      </c>
      <c r="V201" s="113">
        <f t="shared" si="114"/>
        <v>0</v>
      </c>
      <c r="W201" s="113">
        <f t="shared" si="114"/>
        <v>0</v>
      </c>
      <c r="X201" s="113">
        <f t="shared" si="114"/>
        <v>0</v>
      </c>
      <c r="AA201" s="113">
        <v>9</v>
      </c>
      <c r="AB201" s="112">
        <f t="shared" ca="1" si="115"/>
        <v>42736</v>
      </c>
      <c r="AC201" s="428">
        <f t="shared" ca="1" si="115"/>
        <v>43159</v>
      </c>
      <c r="AD201" t="s">
        <v>510</v>
      </c>
      <c r="AF201" s="114">
        <f t="shared" ca="1" si="112"/>
        <v>15325.57</v>
      </c>
      <c r="AG201" s="114">
        <f t="shared" ca="1" si="112"/>
        <v>0</v>
      </c>
      <c r="AH201" s="114">
        <f t="shared" ca="1" si="112"/>
        <v>0</v>
      </c>
      <c r="AI201" s="114">
        <f t="shared" ca="1" si="112"/>
        <v>6384.11</v>
      </c>
      <c r="AJ201" s="114">
        <f t="shared" ca="1" si="112"/>
        <v>144.93</v>
      </c>
      <c r="AK201" s="114">
        <f t="shared" ca="1" si="112"/>
        <v>1821.22</v>
      </c>
      <c r="AN201">
        <f t="shared" si="91"/>
        <v>201</v>
      </c>
      <c r="AQ201" s="114">
        <f t="shared" ca="1" si="92"/>
        <v>1968</v>
      </c>
      <c r="AW201">
        <v>201</v>
      </c>
      <c r="BG201" s="114">
        <f t="shared" ca="1" si="89"/>
        <v>23822.61</v>
      </c>
      <c r="BI201">
        <f t="shared" si="90"/>
        <v>0</v>
      </c>
    </row>
    <row r="202" spans="1:61" x14ac:dyDescent="0.25">
      <c r="A202" s="113">
        <f>A201+2</f>
        <v>904</v>
      </c>
      <c r="B202" s="113" t="str">
        <f>B201</f>
        <v>a</v>
      </c>
      <c r="C202" s="113" t="str">
        <f t="shared" si="114"/>
        <v>b</v>
      </c>
      <c r="D202" s="113" t="str">
        <f t="shared" si="114"/>
        <v>c</v>
      </c>
      <c r="E202" s="113" t="str">
        <f t="shared" si="114"/>
        <v>d</v>
      </c>
      <c r="F202" s="113" t="str">
        <f t="shared" si="114"/>
        <v>e</v>
      </c>
      <c r="G202" s="113" t="str">
        <f t="shared" si="114"/>
        <v>f</v>
      </c>
      <c r="H202" s="113" t="str">
        <f t="shared" si="114"/>
        <v>g</v>
      </c>
      <c r="I202" s="113" t="str">
        <f t="shared" si="114"/>
        <v>h</v>
      </c>
      <c r="J202" s="113" t="str">
        <f t="shared" si="114"/>
        <v>i</v>
      </c>
      <c r="K202" s="113" t="str">
        <f t="shared" si="114"/>
        <v>j</v>
      </c>
      <c r="L202" s="113" t="str">
        <f t="shared" si="114"/>
        <v>k</v>
      </c>
      <c r="M202" s="113" t="str">
        <f t="shared" si="114"/>
        <v>l</v>
      </c>
      <c r="N202" s="113" t="str">
        <f t="shared" si="114"/>
        <v>m</v>
      </c>
      <c r="O202" s="113">
        <f t="shared" si="114"/>
        <v>0</v>
      </c>
      <c r="P202" s="113">
        <f t="shared" si="114"/>
        <v>0</v>
      </c>
      <c r="Q202" s="113" t="str">
        <f t="shared" si="114"/>
        <v>p</v>
      </c>
      <c r="R202" s="113">
        <f t="shared" si="114"/>
        <v>0</v>
      </c>
      <c r="S202" s="113">
        <f t="shared" si="114"/>
        <v>0</v>
      </c>
      <c r="T202" s="113">
        <f t="shared" si="114"/>
        <v>0</v>
      </c>
      <c r="U202" s="113">
        <f t="shared" si="114"/>
        <v>0</v>
      </c>
      <c r="V202" s="113">
        <f t="shared" si="114"/>
        <v>0</v>
      </c>
      <c r="W202" s="113">
        <f t="shared" si="114"/>
        <v>0</v>
      </c>
      <c r="X202" s="113">
        <f t="shared" si="114"/>
        <v>0</v>
      </c>
      <c r="AA202" s="113">
        <v>15</v>
      </c>
      <c r="AB202" s="112">
        <f t="shared" ca="1" si="115"/>
        <v>42736</v>
      </c>
      <c r="AC202" s="428">
        <f t="shared" ca="1" si="115"/>
        <v>43159</v>
      </c>
      <c r="AD202" t="s">
        <v>511</v>
      </c>
      <c r="AF202" s="114">
        <f t="shared" ca="1" si="112"/>
        <v>17225.099999999999</v>
      </c>
      <c r="AG202" s="114">
        <f t="shared" ca="1" si="112"/>
        <v>0</v>
      </c>
      <c r="AH202" s="114">
        <f t="shared" ca="1" si="112"/>
        <v>0</v>
      </c>
      <c r="AI202" s="114">
        <f t="shared" ca="1" si="112"/>
        <v>6384.11</v>
      </c>
      <c r="AJ202" s="114">
        <f t="shared" ca="1" si="112"/>
        <v>144.93</v>
      </c>
      <c r="AK202" s="114">
        <f t="shared" ca="1" si="112"/>
        <v>1979.51</v>
      </c>
      <c r="AN202">
        <f t="shared" si="91"/>
        <v>202</v>
      </c>
      <c r="AQ202" s="114">
        <f t="shared" ca="1" si="92"/>
        <v>2424</v>
      </c>
      <c r="AW202">
        <v>202</v>
      </c>
      <c r="BG202" s="114">
        <f t="shared" ca="1" si="89"/>
        <v>26178.14</v>
      </c>
      <c r="BI202">
        <f t="shared" si="90"/>
        <v>0</v>
      </c>
    </row>
    <row r="203" spans="1:61" x14ac:dyDescent="0.25">
      <c r="A203" s="113">
        <f>A202+2</f>
        <v>906</v>
      </c>
      <c r="B203" s="113" t="str">
        <f>B202</f>
        <v>a</v>
      </c>
      <c r="C203" s="113" t="str">
        <f t="shared" si="114"/>
        <v>b</v>
      </c>
      <c r="D203" s="113" t="str">
        <f t="shared" si="114"/>
        <v>c</v>
      </c>
      <c r="E203" s="113" t="str">
        <f t="shared" si="114"/>
        <v>d</v>
      </c>
      <c r="F203" s="113" t="str">
        <f t="shared" si="114"/>
        <v>e</v>
      </c>
      <c r="G203" s="113" t="str">
        <f t="shared" si="114"/>
        <v>f</v>
      </c>
      <c r="H203" s="113" t="str">
        <f t="shared" si="114"/>
        <v>g</v>
      </c>
      <c r="I203" s="113" t="str">
        <f t="shared" si="114"/>
        <v>h</v>
      </c>
      <c r="J203" s="113" t="str">
        <f t="shared" si="114"/>
        <v>i</v>
      </c>
      <c r="K203" s="113" t="str">
        <f t="shared" si="114"/>
        <v>j</v>
      </c>
      <c r="L203" s="113" t="str">
        <f t="shared" si="114"/>
        <v>k</v>
      </c>
      <c r="M203" s="113" t="str">
        <f t="shared" si="114"/>
        <v>l</v>
      </c>
      <c r="N203" s="113" t="str">
        <f t="shared" si="114"/>
        <v>m</v>
      </c>
      <c r="O203" s="113">
        <f t="shared" si="114"/>
        <v>0</v>
      </c>
      <c r="P203" s="113">
        <f t="shared" si="114"/>
        <v>0</v>
      </c>
      <c r="Q203" s="113" t="str">
        <f t="shared" si="114"/>
        <v>p</v>
      </c>
      <c r="R203" s="113">
        <f t="shared" si="114"/>
        <v>0</v>
      </c>
      <c r="S203" s="113">
        <f t="shared" si="114"/>
        <v>0</v>
      </c>
      <c r="T203" s="113">
        <f t="shared" si="114"/>
        <v>0</v>
      </c>
      <c r="U203" s="113">
        <f t="shared" si="114"/>
        <v>0</v>
      </c>
      <c r="V203" s="113">
        <f t="shared" si="114"/>
        <v>0</v>
      </c>
      <c r="W203" s="113">
        <f t="shared" si="114"/>
        <v>0</v>
      </c>
      <c r="X203" s="113">
        <f t="shared" si="114"/>
        <v>0</v>
      </c>
      <c r="AA203" s="113">
        <v>21</v>
      </c>
      <c r="AB203" s="112">
        <f t="shared" ca="1" si="115"/>
        <v>42736</v>
      </c>
      <c r="AC203" s="428">
        <f t="shared" ca="1" si="115"/>
        <v>43159</v>
      </c>
      <c r="AD203" t="s">
        <v>512</v>
      </c>
      <c r="AF203" s="114">
        <f t="shared" ca="1" si="112"/>
        <v>19070.54</v>
      </c>
      <c r="AG203" s="114">
        <f t="shared" ca="1" si="112"/>
        <v>0</v>
      </c>
      <c r="AH203" s="114">
        <f t="shared" ca="1" si="112"/>
        <v>0</v>
      </c>
      <c r="AI203" s="114">
        <f t="shared" ca="1" si="112"/>
        <v>6384.11</v>
      </c>
      <c r="AJ203" s="114">
        <f t="shared" ca="1" si="112"/>
        <v>144.93</v>
      </c>
      <c r="AK203" s="114">
        <f t="shared" ca="1" si="112"/>
        <v>2133.3000000000002</v>
      </c>
      <c r="AN203">
        <f t="shared" si="91"/>
        <v>203</v>
      </c>
      <c r="AQ203" s="114">
        <f t="shared" ca="1" si="92"/>
        <v>2424</v>
      </c>
      <c r="AW203">
        <v>203</v>
      </c>
      <c r="BG203" s="114">
        <f t="shared" ca="1" si="89"/>
        <v>28023.58</v>
      </c>
      <c r="BI203">
        <f t="shared" si="90"/>
        <v>0</v>
      </c>
    </row>
    <row r="204" spans="1:61" x14ac:dyDescent="0.25">
      <c r="A204" s="113">
        <f>A203+2</f>
        <v>908</v>
      </c>
      <c r="B204" s="113" t="str">
        <f>B203</f>
        <v>a</v>
      </c>
      <c r="C204" s="113" t="str">
        <f t="shared" si="114"/>
        <v>b</v>
      </c>
      <c r="D204" s="113" t="str">
        <f t="shared" si="114"/>
        <v>c</v>
      </c>
      <c r="E204" s="113" t="str">
        <f t="shared" si="114"/>
        <v>d</v>
      </c>
      <c r="F204" s="113" t="str">
        <f t="shared" si="114"/>
        <v>e</v>
      </c>
      <c r="G204" s="113" t="str">
        <f t="shared" si="114"/>
        <v>f</v>
      </c>
      <c r="H204" s="113" t="str">
        <f t="shared" si="114"/>
        <v>g</v>
      </c>
      <c r="I204" s="113" t="str">
        <f t="shared" si="114"/>
        <v>h</v>
      </c>
      <c r="J204" s="113" t="str">
        <f t="shared" si="114"/>
        <v>i</v>
      </c>
      <c r="K204" s="113" t="str">
        <f t="shared" si="114"/>
        <v>j</v>
      </c>
      <c r="L204" s="113" t="str">
        <f t="shared" si="114"/>
        <v>k</v>
      </c>
      <c r="M204" s="113" t="str">
        <f t="shared" si="114"/>
        <v>l</v>
      </c>
      <c r="N204" s="113" t="str">
        <f t="shared" si="114"/>
        <v>m</v>
      </c>
      <c r="O204" s="113">
        <f t="shared" si="114"/>
        <v>0</v>
      </c>
      <c r="P204" s="113">
        <f t="shared" si="114"/>
        <v>0</v>
      </c>
      <c r="Q204" s="113" t="str">
        <f t="shared" si="114"/>
        <v>p</v>
      </c>
      <c r="R204" s="113">
        <f t="shared" si="114"/>
        <v>0</v>
      </c>
      <c r="S204" s="113">
        <f t="shared" si="114"/>
        <v>0</v>
      </c>
      <c r="T204" s="113">
        <f t="shared" si="114"/>
        <v>0</v>
      </c>
      <c r="U204" s="113">
        <f t="shared" si="114"/>
        <v>0</v>
      </c>
      <c r="V204" s="113">
        <f t="shared" si="114"/>
        <v>0</v>
      </c>
      <c r="W204" s="113">
        <f t="shared" si="114"/>
        <v>0</v>
      </c>
      <c r="X204" s="113">
        <f t="shared" si="114"/>
        <v>0</v>
      </c>
      <c r="AA204" s="113">
        <v>28</v>
      </c>
      <c r="AB204" s="112">
        <f t="shared" ca="1" si="115"/>
        <v>42736</v>
      </c>
      <c r="AC204" s="428">
        <f t="shared" ca="1" si="115"/>
        <v>43159</v>
      </c>
      <c r="AD204" t="s">
        <v>513</v>
      </c>
      <c r="AF204" s="114">
        <f t="shared" ca="1" si="112"/>
        <v>20889.23</v>
      </c>
      <c r="AG204" s="114">
        <f t="shared" ca="1" si="112"/>
        <v>0</v>
      </c>
      <c r="AH204" s="114">
        <f t="shared" ca="1" si="112"/>
        <v>0</v>
      </c>
      <c r="AI204" s="114">
        <f t="shared" ca="1" si="112"/>
        <v>6384.11</v>
      </c>
      <c r="AJ204" s="114">
        <f t="shared" ca="1" si="112"/>
        <v>144.93</v>
      </c>
      <c r="AK204" s="114">
        <f t="shared" ca="1" si="112"/>
        <v>2284.86</v>
      </c>
      <c r="AN204">
        <f t="shared" si="91"/>
        <v>204</v>
      </c>
      <c r="AQ204" s="114">
        <f t="shared" ca="1" si="92"/>
        <v>3090</v>
      </c>
      <c r="AW204">
        <v>204</v>
      </c>
      <c r="BG204" s="114">
        <f t="shared" ca="1" si="89"/>
        <v>30508.27</v>
      </c>
      <c r="BI204">
        <f t="shared" si="90"/>
        <v>0</v>
      </c>
    </row>
    <row r="205" spans="1:61" x14ac:dyDescent="0.25">
      <c r="A205" s="113">
        <f>A204+2</f>
        <v>910</v>
      </c>
      <c r="B205" s="113" t="str">
        <f>B204</f>
        <v>a</v>
      </c>
      <c r="C205" s="113" t="str">
        <f t="shared" si="114"/>
        <v>b</v>
      </c>
      <c r="D205" s="113" t="str">
        <f t="shared" si="114"/>
        <v>c</v>
      </c>
      <c r="E205" s="113" t="str">
        <f t="shared" si="114"/>
        <v>d</v>
      </c>
      <c r="F205" s="113" t="str">
        <f t="shared" si="114"/>
        <v>e</v>
      </c>
      <c r="G205" s="113" t="str">
        <f t="shared" si="114"/>
        <v>f</v>
      </c>
      <c r="H205" s="113" t="str">
        <f t="shared" si="114"/>
        <v>g</v>
      </c>
      <c r="I205" s="113" t="str">
        <f t="shared" si="114"/>
        <v>h</v>
      </c>
      <c r="J205" s="113" t="str">
        <f t="shared" si="114"/>
        <v>i</v>
      </c>
      <c r="K205" s="113" t="str">
        <f t="shared" si="114"/>
        <v>j</v>
      </c>
      <c r="L205" s="113" t="str">
        <f t="shared" si="114"/>
        <v>k</v>
      </c>
      <c r="M205" s="113" t="str">
        <f t="shared" si="114"/>
        <v>l</v>
      </c>
      <c r="N205" s="113" t="str">
        <f t="shared" si="114"/>
        <v>m</v>
      </c>
      <c r="O205" s="113">
        <f t="shared" si="114"/>
        <v>0</v>
      </c>
      <c r="P205" s="113">
        <f t="shared" si="114"/>
        <v>0</v>
      </c>
      <c r="Q205" s="113" t="str">
        <f t="shared" si="114"/>
        <v>p</v>
      </c>
      <c r="R205" s="113">
        <f t="shared" si="114"/>
        <v>0</v>
      </c>
      <c r="S205" s="113">
        <f t="shared" si="114"/>
        <v>0</v>
      </c>
      <c r="T205" s="113">
        <f t="shared" si="114"/>
        <v>0</v>
      </c>
      <c r="U205" s="113">
        <f t="shared" si="114"/>
        <v>0</v>
      </c>
      <c r="V205" s="113">
        <f t="shared" si="114"/>
        <v>0</v>
      </c>
      <c r="W205" s="113">
        <f t="shared" si="114"/>
        <v>0</v>
      </c>
      <c r="X205" s="113">
        <f t="shared" si="114"/>
        <v>0</v>
      </c>
      <c r="AA205" s="113">
        <v>35</v>
      </c>
      <c r="AB205" s="112">
        <f t="shared" ca="1" si="115"/>
        <v>42736</v>
      </c>
      <c r="AC205" s="428">
        <f t="shared" ca="1" si="115"/>
        <v>43159</v>
      </c>
      <c r="AD205" t="s">
        <v>514</v>
      </c>
      <c r="AF205" s="114">
        <f t="shared" ca="1" si="112"/>
        <v>22245.08</v>
      </c>
      <c r="AG205" s="114">
        <f t="shared" ca="1" si="112"/>
        <v>0</v>
      </c>
      <c r="AH205" s="114">
        <f t="shared" ca="1" si="112"/>
        <v>0</v>
      </c>
      <c r="AI205" s="114">
        <f t="shared" ca="1" si="112"/>
        <v>6384.11</v>
      </c>
      <c r="AJ205" s="114">
        <f t="shared" ca="1" si="112"/>
        <v>144.93</v>
      </c>
      <c r="AK205" s="114">
        <f t="shared" ca="1" si="112"/>
        <v>2397.84</v>
      </c>
      <c r="AN205">
        <f t="shared" si="91"/>
        <v>205</v>
      </c>
      <c r="AQ205" s="114">
        <f t="shared" ca="1" si="92"/>
        <v>3090</v>
      </c>
      <c r="AW205">
        <v>205</v>
      </c>
      <c r="BG205" s="114">
        <f t="shared" ca="1" si="89"/>
        <v>31864.120000000003</v>
      </c>
      <c r="BI205">
        <f t="shared" si="90"/>
        <v>0</v>
      </c>
    </row>
    <row r="206" spans="1:61" x14ac:dyDescent="0.25">
      <c r="A206" s="113">
        <f>A199+20</f>
        <v>920</v>
      </c>
      <c r="B206" s="113" t="str">
        <f>B199</f>
        <v>a</v>
      </c>
      <c r="C206" s="113" t="str">
        <f t="shared" ref="C206:X206" si="116">C199</f>
        <v>b</v>
      </c>
      <c r="D206" s="113" t="str">
        <f t="shared" si="116"/>
        <v>c</v>
      </c>
      <c r="E206" s="113" t="str">
        <f t="shared" si="116"/>
        <v>d</v>
      </c>
      <c r="F206" s="113" t="str">
        <f t="shared" si="116"/>
        <v>e</v>
      </c>
      <c r="G206" s="113" t="str">
        <f t="shared" si="116"/>
        <v>f</v>
      </c>
      <c r="H206" s="113" t="str">
        <f t="shared" si="116"/>
        <v>g</v>
      </c>
      <c r="I206" s="113" t="str">
        <f t="shared" si="116"/>
        <v>h</v>
      </c>
      <c r="J206" s="113" t="str">
        <f t="shared" si="116"/>
        <v>i</v>
      </c>
      <c r="K206" s="113" t="str">
        <f t="shared" si="116"/>
        <v>j</v>
      </c>
      <c r="L206" s="113" t="str">
        <f t="shared" si="116"/>
        <v>k</v>
      </c>
      <c r="M206" s="113" t="str">
        <f t="shared" si="116"/>
        <v>l</v>
      </c>
      <c r="N206" s="113" t="str">
        <f t="shared" si="116"/>
        <v>m</v>
      </c>
      <c r="O206" s="113">
        <f t="shared" si="116"/>
        <v>0</v>
      </c>
      <c r="P206" s="113">
        <f t="shared" si="116"/>
        <v>0</v>
      </c>
      <c r="Q206" s="113" t="str">
        <f t="shared" si="116"/>
        <v>p</v>
      </c>
      <c r="R206" s="113">
        <f t="shared" si="116"/>
        <v>0</v>
      </c>
      <c r="S206" s="113">
        <f t="shared" si="116"/>
        <v>0</v>
      </c>
      <c r="T206" s="113">
        <f t="shared" si="116"/>
        <v>0</v>
      </c>
      <c r="U206" s="113">
        <f t="shared" si="116"/>
        <v>0</v>
      </c>
      <c r="V206" s="113">
        <f t="shared" si="116"/>
        <v>0</v>
      </c>
      <c r="W206" s="113">
        <f t="shared" si="116"/>
        <v>0</v>
      </c>
      <c r="X206" s="113">
        <f t="shared" si="116"/>
        <v>0</v>
      </c>
      <c r="AA206" s="113">
        <v>0</v>
      </c>
      <c r="AB206" s="112">
        <f ca="1">INDIRECT(CONCATENATE($AB$10,CONCATENATE(B206,$A206)))</f>
        <v>43160</v>
      </c>
      <c r="AC206" s="428">
        <f ca="1">INDIRECT(CONCATENATE($AB$10,CONCATENATE(C206,$A206)))</f>
        <v>43190</v>
      </c>
      <c r="AD206" t="s">
        <v>515</v>
      </c>
      <c r="AF206" s="114">
        <f t="shared" ca="1" si="112"/>
        <v>13612.19</v>
      </c>
      <c r="AG206" s="114">
        <f ca="1">INDIRECT(CONCATENATE($AB$10,CONCATENATE(G206,$A206)))</f>
        <v>0</v>
      </c>
      <c r="AH206" s="114">
        <f ca="1">INDIRECT(CONCATENATE($AB$10,CONCATENATE(H206,$A206)))</f>
        <v>0</v>
      </c>
      <c r="AI206" s="114">
        <f ca="1">INDIRECT(CONCATENATE($AB$10,CONCATENATE(I206,$A206)))</f>
        <v>6384.11</v>
      </c>
      <c r="AJ206" s="114">
        <f ca="1">INDIRECT(CONCATENATE($AB$10,CONCATENATE(J206,$A206)))</f>
        <v>144.93</v>
      </c>
      <c r="AK206" s="114">
        <f ca="1">INDIRECT(CONCATENATE($AB$10,CONCATENATE(K206,$A206)))</f>
        <v>1678.44</v>
      </c>
      <c r="AN206">
        <f t="shared" si="91"/>
        <v>206</v>
      </c>
      <c r="AQ206" s="114">
        <f t="shared" ca="1" si="92"/>
        <v>2094</v>
      </c>
      <c r="AW206">
        <v>206</v>
      </c>
      <c r="BG206" s="114">
        <f t="shared" ca="1" si="89"/>
        <v>22235.23</v>
      </c>
      <c r="BI206">
        <f t="shared" si="90"/>
        <v>0</v>
      </c>
    </row>
    <row r="207" spans="1:61" x14ac:dyDescent="0.25">
      <c r="A207" s="113">
        <f>A206</f>
        <v>920</v>
      </c>
      <c r="B207" s="113" t="str">
        <f>B206</f>
        <v>a</v>
      </c>
      <c r="C207" s="113" t="str">
        <f t="shared" ref="C207:X212" si="117">C206</f>
        <v>b</v>
      </c>
      <c r="D207" s="113" t="str">
        <f t="shared" si="117"/>
        <v>c</v>
      </c>
      <c r="E207" s="113" t="str">
        <f t="shared" si="117"/>
        <v>d</v>
      </c>
      <c r="F207" s="113" t="str">
        <f t="shared" si="117"/>
        <v>e</v>
      </c>
      <c r="G207" s="113" t="str">
        <f t="shared" si="117"/>
        <v>f</v>
      </c>
      <c r="H207" s="113" t="str">
        <f t="shared" si="117"/>
        <v>g</v>
      </c>
      <c r="I207" s="113" t="str">
        <f t="shared" si="117"/>
        <v>h</v>
      </c>
      <c r="J207" s="113" t="str">
        <f t="shared" si="117"/>
        <v>i</v>
      </c>
      <c r="K207" s="113" t="str">
        <f t="shared" si="117"/>
        <v>j</v>
      </c>
      <c r="L207" s="113" t="str">
        <f t="shared" si="117"/>
        <v>k</v>
      </c>
      <c r="M207" s="113" t="str">
        <f t="shared" si="117"/>
        <v>l</v>
      </c>
      <c r="N207" s="113" t="str">
        <f t="shared" si="117"/>
        <v>m</v>
      </c>
      <c r="O207" s="113">
        <f t="shared" si="117"/>
        <v>0</v>
      </c>
      <c r="P207" s="113">
        <f t="shared" si="117"/>
        <v>0</v>
      </c>
      <c r="Q207" s="113" t="str">
        <f t="shared" si="117"/>
        <v>p</v>
      </c>
      <c r="R207" s="113">
        <f t="shared" si="117"/>
        <v>0</v>
      </c>
      <c r="S207" s="113">
        <f t="shared" si="117"/>
        <v>0</v>
      </c>
      <c r="T207" s="113">
        <f t="shared" si="117"/>
        <v>0</v>
      </c>
      <c r="U207" s="113">
        <f t="shared" si="117"/>
        <v>0</v>
      </c>
      <c r="V207" s="113">
        <f t="shared" si="117"/>
        <v>0</v>
      </c>
      <c r="W207" s="113">
        <f t="shared" si="117"/>
        <v>0</v>
      </c>
      <c r="X207" s="113">
        <f t="shared" si="117"/>
        <v>0</v>
      </c>
      <c r="AA207" s="113">
        <v>3</v>
      </c>
      <c r="AB207" s="112">
        <f t="shared" ref="AB207:AC212" ca="1" si="118">AB206</f>
        <v>43160</v>
      </c>
      <c r="AC207" s="428">
        <f t="shared" ca="1" si="118"/>
        <v>43190</v>
      </c>
      <c r="AD207" t="s">
        <v>516</v>
      </c>
      <c r="AE207" s="114">
        <f ca="1">AE200</f>
        <v>522.04999999999995</v>
      </c>
      <c r="AF207" s="114">
        <f t="shared" ca="1" si="112"/>
        <v>13612.19</v>
      </c>
      <c r="AG207" s="114">
        <f t="shared" ca="1" si="112"/>
        <v>0</v>
      </c>
      <c r="AH207" s="114">
        <f t="shared" ca="1" si="112"/>
        <v>0</v>
      </c>
      <c r="AI207" s="114">
        <f t="shared" ca="1" si="112"/>
        <v>6384.11</v>
      </c>
      <c r="AJ207" s="114">
        <f t="shared" ca="1" si="112"/>
        <v>144.93</v>
      </c>
      <c r="AK207" s="114">
        <f t="shared" ca="1" si="112"/>
        <v>1678.44</v>
      </c>
      <c r="AN207">
        <f t="shared" si="91"/>
        <v>207</v>
      </c>
      <c r="AQ207" s="114">
        <f t="shared" ca="1" si="92"/>
        <v>2094</v>
      </c>
      <c r="AW207">
        <v>207</v>
      </c>
      <c r="BG207" s="114">
        <f t="shared" ca="1" si="89"/>
        <v>22235.23</v>
      </c>
      <c r="BI207">
        <f t="shared" ca="1" si="90"/>
        <v>522.04999999999995</v>
      </c>
    </row>
    <row r="208" spans="1:61" x14ac:dyDescent="0.25">
      <c r="A208" s="113">
        <f>A207+2</f>
        <v>922</v>
      </c>
      <c r="B208" s="113" t="str">
        <f>B207</f>
        <v>a</v>
      </c>
      <c r="C208" s="113" t="str">
        <f t="shared" si="117"/>
        <v>b</v>
      </c>
      <c r="D208" s="113" t="str">
        <f t="shared" si="117"/>
        <v>c</v>
      </c>
      <c r="E208" s="113" t="str">
        <f t="shared" si="117"/>
        <v>d</v>
      </c>
      <c r="F208" s="113" t="str">
        <f t="shared" si="117"/>
        <v>e</v>
      </c>
      <c r="G208" s="113" t="str">
        <f t="shared" si="117"/>
        <v>f</v>
      </c>
      <c r="H208" s="113" t="str">
        <f t="shared" si="117"/>
        <v>g</v>
      </c>
      <c r="I208" s="113" t="str">
        <f t="shared" si="117"/>
        <v>h</v>
      </c>
      <c r="J208" s="113" t="str">
        <f t="shared" si="117"/>
        <v>i</v>
      </c>
      <c r="K208" s="113" t="str">
        <f t="shared" si="117"/>
        <v>j</v>
      </c>
      <c r="L208" s="113" t="str">
        <f t="shared" si="117"/>
        <v>k</v>
      </c>
      <c r="M208" s="113" t="str">
        <f t="shared" si="117"/>
        <v>l</v>
      </c>
      <c r="N208" s="113" t="str">
        <f t="shared" si="117"/>
        <v>m</v>
      </c>
      <c r="O208" s="113">
        <f t="shared" si="117"/>
        <v>0</v>
      </c>
      <c r="P208" s="113">
        <f t="shared" si="117"/>
        <v>0</v>
      </c>
      <c r="Q208" s="113" t="str">
        <f t="shared" si="117"/>
        <v>p</v>
      </c>
      <c r="R208" s="113">
        <f t="shared" si="117"/>
        <v>0</v>
      </c>
      <c r="S208" s="113">
        <f t="shared" si="117"/>
        <v>0</v>
      </c>
      <c r="T208" s="113">
        <f t="shared" si="117"/>
        <v>0</v>
      </c>
      <c r="U208" s="113">
        <f t="shared" si="117"/>
        <v>0</v>
      </c>
      <c r="V208" s="113">
        <f t="shared" si="117"/>
        <v>0</v>
      </c>
      <c r="W208" s="113">
        <f t="shared" si="117"/>
        <v>0</v>
      </c>
      <c r="X208" s="113">
        <f t="shared" si="117"/>
        <v>0</v>
      </c>
      <c r="AA208" s="113">
        <v>9</v>
      </c>
      <c r="AB208" s="112">
        <f t="shared" ca="1" si="118"/>
        <v>43160</v>
      </c>
      <c r="AC208" s="428">
        <f t="shared" ca="1" si="118"/>
        <v>43190</v>
      </c>
      <c r="AD208" t="s">
        <v>510</v>
      </c>
      <c r="AF208" s="114">
        <f t="shared" ca="1" si="112"/>
        <v>15813.97</v>
      </c>
      <c r="AG208" s="114">
        <f t="shared" ca="1" si="112"/>
        <v>0</v>
      </c>
      <c r="AH208" s="114">
        <f t="shared" ca="1" si="112"/>
        <v>0</v>
      </c>
      <c r="AI208" s="114">
        <f t="shared" ca="1" si="112"/>
        <v>6384.11</v>
      </c>
      <c r="AJ208" s="114">
        <f t="shared" ca="1" si="112"/>
        <v>144.93</v>
      </c>
      <c r="AK208" s="114">
        <f t="shared" ca="1" si="112"/>
        <v>1861.92</v>
      </c>
      <c r="AN208">
        <f t="shared" si="91"/>
        <v>208</v>
      </c>
      <c r="AQ208" s="114">
        <f t="shared" ca="1" si="92"/>
        <v>2094</v>
      </c>
      <c r="AW208">
        <v>208</v>
      </c>
      <c r="BG208" s="114">
        <f t="shared" ca="1" si="89"/>
        <v>24437.01</v>
      </c>
      <c r="BI208">
        <f t="shared" si="90"/>
        <v>0</v>
      </c>
    </row>
    <row r="209" spans="1:61" x14ac:dyDescent="0.25">
      <c r="A209" s="113">
        <f>A208+2</f>
        <v>924</v>
      </c>
      <c r="B209" s="113" t="str">
        <f>B208</f>
        <v>a</v>
      </c>
      <c r="C209" s="113" t="str">
        <f t="shared" si="117"/>
        <v>b</v>
      </c>
      <c r="D209" s="113" t="str">
        <f t="shared" si="117"/>
        <v>c</v>
      </c>
      <c r="E209" s="113" t="str">
        <f t="shared" si="117"/>
        <v>d</v>
      </c>
      <c r="F209" s="113" t="str">
        <f t="shared" si="117"/>
        <v>e</v>
      </c>
      <c r="G209" s="113" t="str">
        <f t="shared" si="117"/>
        <v>f</v>
      </c>
      <c r="H209" s="113" t="str">
        <f t="shared" si="117"/>
        <v>g</v>
      </c>
      <c r="I209" s="113" t="str">
        <f t="shared" si="117"/>
        <v>h</v>
      </c>
      <c r="J209" s="113" t="str">
        <f t="shared" si="117"/>
        <v>i</v>
      </c>
      <c r="K209" s="113" t="str">
        <f t="shared" si="117"/>
        <v>j</v>
      </c>
      <c r="L209" s="113" t="str">
        <f t="shared" si="117"/>
        <v>k</v>
      </c>
      <c r="M209" s="113" t="str">
        <f t="shared" si="117"/>
        <v>l</v>
      </c>
      <c r="N209" s="113" t="str">
        <f t="shared" si="117"/>
        <v>m</v>
      </c>
      <c r="O209" s="113">
        <f t="shared" si="117"/>
        <v>0</v>
      </c>
      <c r="P209" s="113">
        <f t="shared" si="117"/>
        <v>0</v>
      </c>
      <c r="Q209" s="113" t="str">
        <f t="shared" si="117"/>
        <v>p</v>
      </c>
      <c r="R209" s="113">
        <f t="shared" si="117"/>
        <v>0</v>
      </c>
      <c r="S209" s="113">
        <f t="shared" si="117"/>
        <v>0</v>
      </c>
      <c r="T209" s="113">
        <f t="shared" si="117"/>
        <v>0</v>
      </c>
      <c r="U209" s="113">
        <f t="shared" si="117"/>
        <v>0</v>
      </c>
      <c r="V209" s="113">
        <f t="shared" si="117"/>
        <v>0</v>
      </c>
      <c r="W209" s="113">
        <f t="shared" si="117"/>
        <v>0</v>
      </c>
      <c r="X209" s="113">
        <f t="shared" si="117"/>
        <v>0</v>
      </c>
      <c r="AA209" s="113">
        <v>15</v>
      </c>
      <c r="AB209" s="112">
        <f t="shared" ca="1" si="118"/>
        <v>43160</v>
      </c>
      <c r="AC209" s="428">
        <f t="shared" ca="1" si="118"/>
        <v>43190</v>
      </c>
      <c r="AD209" t="s">
        <v>511</v>
      </c>
      <c r="AF209" s="114">
        <f t="shared" ca="1" si="112"/>
        <v>17751.900000000001</v>
      </c>
      <c r="AG209" s="114">
        <f t="shared" ca="1" si="112"/>
        <v>0</v>
      </c>
      <c r="AH209" s="114">
        <f t="shared" ca="1" si="112"/>
        <v>0</v>
      </c>
      <c r="AI209" s="114">
        <f t="shared" ca="1" si="112"/>
        <v>6384.11</v>
      </c>
      <c r="AJ209" s="114">
        <f t="shared" ca="1" si="112"/>
        <v>144.93</v>
      </c>
      <c r="AK209" s="114">
        <f t="shared" ca="1" si="112"/>
        <v>2023.41</v>
      </c>
      <c r="AN209">
        <f t="shared" si="91"/>
        <v>209</v>
      </c>
      <c r="AQ209" s="114">
        <f t="shared" ca="1" si="92"/>
        <v>2577.6</v>
      </c>
      <c r="AW209">
        <v>209</v>
      </c>
      <c r="BG209" s="114">
        <f t="shared" ca="1" si="89"/>
        <v>26858.54</v>
      </c>
      <c r="BI209">
        <f t="shared" si="90"/>
        <v>0</v>
      </c>
    </row>
    <row r="210" spans="1:61" x14ac:dyDescent="0.25">
      <c r="A210" s="113">
        <f>A209+2</f>
        <v>926</v>
      </c>
      <c r="B210" s="113" t="str">
        <f>B209</f>
        <v>a</v>
      </c>
      <c r="C210" s="113" t="str">
        <f t="shared" si="117"/>
        <v>b</v>
      </c>
      <c r="D210" s="113" t="str">
        <f t="shared" si="117"/>
        <v>c</v>
      </c>
      <c r="E210" s="113" t="str">
        <f t="shared" si="117"/>
        <v>d</v>
      </c>
      <c r="F210" s="113" t="str">
        <f t="shared" si="117"/>
        <v>e</v>
      </c>
      <c r="G210" s="113" t="str">
        <f t="shared" si="117"/>
        <v>f</v>
      </c>
      <c r="H210" s="113" t="str">
        <f t="shared" si="117"/>
        <v>g</v>
      </c>
      <c r="I210" s="113" t="str">
        <f t="shared" si="117"/>
        <v>h</v>
      </c>
      <c r="J210" s="113" t="str">
        <f t="shared" si="117"/>
        <v>i</v>
      </c>
      <c r="K210" s="113" t="str">
        <f t="shared" si="117"/>
        <v>j</v>
      </c>
      <c r="L210" s="113" t="str">
        <f t="shared" si="117"/>
        <v>k</v>
      </c>
      <c r="M210" s="113" t="str">
        <f t="shared" si="117"/>
        <v>l</v>
      </c>
      <c r="N210" s="113" t="str">
        <f t="shared" si="117"/>
        <v>m</v>
      </c>
      <c r="O210" s="113">
        <f t="shared" si="117"/>
        <v>0</v>
      </c>
      <c r="P210" s="113">
        <f t="shared" si="117"/>
        <v>0</v>
      </c>
      <c r="Q210" s="113" t="str">
        <f t="shared" si="117"/>
        <v>p</v>
      </c>
      <c r="R210" s="113">
        <f t="shared" si="117"/>
        <v>0</v>
      </c>
      <c r="S210" s="113">
        <f t="shared" si="117"/>
        <v>0</v>
      </c>
      <c r="T210" s="113">
        <f t="shared" si="117"/>
        <v>0</v>
      </c>
      <c r="U210" s="113">
        <f t="shared" si="117"/>
        <v>0</v>
      </c>
      <c r="V210" s="113">
        <f t="shared" si="117"/>
        <v>0</v>
      </c>
      <c r="W210" s="113">
        <f t="shared" si="117"/>
        <v>0</v>
      </c>
      <c r="X210" s="113">
        <f t="shared" si="117"/>
        <v>0</v>
      </c>
      <c r="AA210" s="113">
        <v>21</v>
      </c>
      <c r="AB210" s="112">
        <f t="shared" ca="1" si="118"/>
        <v>43160</v>
      </c>
      <c r="AC210" s="428">
        <f t="shared" ca="1" si="118"/>
        <v>43190</v>
      </c>
      <c r="AD210" t="s">
        <v>512</v>
      </c>
      <c r="AF210" s="114">
        <f t="shared" ca="1" si="112"/>
        <v>19646.54</v>
      </c>
      <c r="AG210" s="114">
        <f t="shared" ca="1" si="112"/>
        <v>0</v>
      </c>
      <c r="AH210" s="114">
        <f t="shared" ca="1" si="112"/>
        <v>0</v>
      </c>
      <c r="AI210" s="114">
        <f t="shared" ca="1" si="112"/>
        <v>6384.11</v>
      </c>
      <c r="AJ210" s="114">
        <f t="shared" ca="1" si="112"/>
        <v>144.93</v>
      </c>
      <c r="AK210" s="114">
        <f t="shared" ca="1" si="112"/>
        <v>2181.3000000000002</v>
      </c>
      <c r="AN210">
        <f t="shared" si="91"/>
        <v>210</v>
      </c>
      <c r="AQ210" s="114">
        <f t="shared" ca="1" si="92"/>
        <v>2577.6</v>
      </c>
      <c r="AW210">
        <v>210</v>
      </c>
      <c r="BG210" s="114">
        <f t="shared" ca="1" si="89"/>
        <v>28753.18</v>
      </c>
      <c r="BI210">
        <f t="shared" si="90"/>
        <v>0</v>
      </c>
    </row>
    <row r="211" spans="1:61" x14ac:dyDescent="0.25">
      <c r="A211" s="113">
        <f>A210+2</f>
        <v>928</v>
      </c>
      <c r="B211" s="113" t="str">
        <f>B210</f>
        <v>a</v>
      </c>
      <c r="C211" s="113" t="str">
        <f t="shared" si="117"/>
        <v>b</v>
      </c>
      <c r="D211" s="113" t="str">
        <f t="shared" si="117"/>
        <v>c</v>
      </c>
      <c r="E211" s="113" t="str">
        <f t="shared" si="117"/>
        <v>d</v>
      </c>
      <c r="F211" s="113" t="str">
        <f t="shared" si="117"/>
        <v>e</v>
      </c>
      <c r="G211" s="113" t="str">
        <f t="shared" si="117"/>
        <v>f</v>
      </c>
      <c r="H211" s="113" t="str">
        <f t="shared" si="117"/>
        <v>g</v>
      </c>
      <c r="I211" s="113" t="str">
        <f t="shared" si="117"/>
        <v>h</v>
      </c>
      <c r="J211" s="113" t="str">
        <f t="shared" si="117"/>
        <v>i</v>
      </c>
      <c r="K211" s="113" t="str">
        <f t="shared" si="117"/>
        <v>j</v>
      </c>
      <c r="L211" s="113" t="str">
        <f t="shared" si="117"/>
        <v>k</v>
      </c>
      <c r="M211" s="113" t="str">
        <f t="shared" si="117"/>
        <v>l</v>
      </c>
      <c r="N211" s="113" t="str">
        <f t="shared" si="117"/>
        <v>m</v>
      </c>
      <c r="O211" s="113">
        <f t="shared" si="117"/>
        <v>0</v>
      </c>
      <c r="P211" s="113">
        <f t="shared" si="117"/>
        <v>0</v>
      </c>
      <c r="Q211" s="113" t="str">
        <f t="shared" si="117"/>
        <v>p</v>
      </c>
      <c r="R211" s="113">
        <f t="shared" si="117"/>
        <v>0</v>
      </c>
      <c r="S211" s="113">
        <f t="shared" si="117"/>
        <v>0</v>
      </c>
      <c r="T211" s="113">
        <f t="shared" si="117"/>
        <v>0</v>
      </c>
      <c r="U211" s="113">
        <f t="shared" si="117"/>
        <v>0</v>
      </c>
      <c r="V211" s="113">
        <f t="shared" si="117"/>
        <v>0</v>
      </c>
      <c r="W211" s="113">
        <f t="shared" si="117"/>
        <v>0</v>
      </c>
      <c r="X211" s="113">
        <f t="shared" si="117"/>
        <v>0</v>
      </c>
      <c r="AA211" s="113">
        <v>28</v>
      </c>
      <c r="AB211" s="112">
        <f t="shared" ca="1" si="118"/>
        <v>43160</v>
      </c>
      <c r="AC211" s="428">
        <f t="shared" ca="1" si="118"/>
        <v>43190</v>
      </c>
      <c r="AD211" t="s">
        <v>513</v>
      </c>
      <c r="AF211" s="114">
        <f t="shared" ca="1" si="112"/>
        <v>21504.83</v>
      </c>
      <c r="AG211" s="114">
        <f t="shared" ca="1" si="112"/>
        <v>0</v>
      </c>
      <c r="AH211" s="114">
        <f t="shared" ca="1" si="112"/>
        <v>0</v>
      </c>
      <c r="AI211" s="114">
        <f t="shared" ca="1" si="112"/>
        <v>6384.11</v>
      </c>
      <c r="AJ211" s="114">
        <f t="shared" ca="1" si="112"/>
        <v>144.93</v>
      </c>
      <c r="AK211" s="114">
        <f t="shared" ca="1" si="112"/>
        <v>2336.16</v>
      </c>
      <c r="AN211">
        <f t="shared" si="91"/>
        <v>211</v>
      </c>
      <c r="AQ211" s="114">
        <f t="shared" ca="1" si="92"/>
        <v>3278.4</v>
      </c>
      <c r="AW211">
        <v>211</v>
      </c>
      <c r="BG211" s="114">
        <f t="shared" ca="1" si="89"/>
        <v>31312.270000000004</v>
      </c>
      <c r="BI211">
        <f t="shared" si="90"/>
        <v>0</v>
      </c>
    </row>
    <row r="212" spans="1:61" x14ac:dyDescent="0.25">
      <c r="A212" s="113">
        <f>A211+2</f>
        <v>930</v>
      </c>
      <c r="B212" s="113" t="str">
        <f>B211</f>
        <v>a</v>
      </c>
      <c r="C212" s="113" t="str">
        <f t="shared" si="117"/>
        <v>b</v>
      </c>
      <c r="D212" s="113" t="str">
        <f t="shared" si="117"/>
        <v>c</v>
      </c>
      <c r="E212" s="113" t="str">
        <f t="shared" si="117"/>
        <v>d</v>
      </c>
      <c r="F212" s="113" t="str">
        <f t="shared" si="117"/>
        <v>e</v>
      </c>
      <c r="G212" s="113" t="str">
        <f t="shared" si="117"/>
        <v>f</v>
      </c>
      <c r="H212" s="113" t="str">
        <f t="shared" si="117"/>
        <v>g</v>
      </c>
      <c r="I212" s="113" t="str">
        <f t="shared" si="117"/>
        <v>h</v>
      </c>
      <c r="J212" s="113" t="str">
        <f t="shared" si="117"/>
        <v>i</v>
      </c>
      <c r="K212" s="113" t="str">
        <f t="shared" si="117"/>
        <v>j</v>
      </c>
      <c r="L212" s="113" t="str">
        <f t="shared" si="117"/>
        <v>k</v>
      </c>
      <c r="M212" s="113" t="str">
        <f t="shared" si="117"/>
        <v>l</v>
      </c>
      <c r="N212" s="113" t="str">
        <f t="shared" si="117"/>
        <v>m</v>
      </c>
      <c r="O212" s="113">
        <f t="shared" si="117"/>
        <v>0</v>
      </c>
      <c r="P212" s="113">
        <f t="shared" si="117"/>
        <v>0</v>
      </c>
      <c r="Q212" s="113" t="str">
        <f t="shared" si="117"/>
        <v>p</v>
      </c>
      <c r="R212" s="113">
        <f t="shared" si="117"/>
        <v>0</v>
      </c>
      <c r="S212" s="113">
        <f t="shared" si="117"/>
        <v>0</v>
      </c>
      <c r="T212" s="113">
        <f t="shared" si="117"/>
        <v>0</v>
      </c>
      <c r="U212" s="113">
        <f t="shared" si="117"/>
        <v>0</v>
      </c>
      <c r="V212" s="113">
        <f t="shared" si="117"/>
        <v>0</v>
      </c>
      <c r="W212" s="113">
        <f t="shared" si="117"/>
        <v>0</v>
      </c>
      <c r="X212" s="113">
        <f t="shared" si="117"/>
        <v>0</v>
      </c>
      <c r="AA212" s="113">
        <v>35</v>
      </c>
      <c r="AB212" s="112">
        <f t="shared" ca="1" si="118"/>
        <v>43160</v>
      </c>
      <c r="AC212" s="428">
        <f t="shared" ca="1" si="118"/>
        <v>43190</v>
      </c>
      <c r="AD212" t="s">
        <v>514</v>
      </c>
      <c r="AF212" s="114">
        <f t="shared" ca="1" si="112"/>
        <v>22891.88</v>
      </c>
      <c r="AG212" s="114">
        <f t="shared" ca="1" si="112"/>
        <v>0</v>
      </c>
      <c r="AH212" s="114">
        <f t="shared" ca="1" si="112"/>
        <v>0</v>
      </c>
      <c r="AI212" s="114">
        <f t="shared" ca="1" si="112"/>
        <v>6384.11</v>
      </c>
      <c r="AJ212" s="114">
        <f t="shared" ca="1" si="112"/>
        <v>144.93</v>
      </c>
      <c r="AK212" s="114">
        <f t="shared" ca="1" si="112"/>
        <v>2451.7399999999998</v>
      </c>
      <c r="AN212">
        <f t="shared" si="91"/>
        <v>212</v>
      </c>
      <c r="AQ212" s="114">
        <f t="shared" ca="1" si="92"/>
        <v>3278.4</v>
      </c>
      <c r="AW212">
        <v>212</v>
      </c>
      <c r="BG212" s="114">
        <f t="shared" ca="1" si="89"/>
        <v>32699.320000000003</v>
      </c>
      <c r="BI212">
        <f t="shared" si="90"/>
        <v>0</v>
      </c>
    </row>
    <row r="213" spans="1:61" x14ac:dyDescent="0.25">
      <c r="A213" s="113">
        <f>A206+20</f>
        <v>940</v>
      </c>
      <c r="B213" s="113" t="str">
        <f>B206</f>
        <v>a</v>
      </c>
      <c r="C213" s="113" t="str">
        <f t="shared" ref="C213:X213" si="119">C206</f>
        <v>b</v>
      </c>
      <c r="D213" s="113" t="str">
        <f t="shared" si="119"/>
        <v>c</v>
      </c>
      <c r="E213" s="113" t="str">
        <f t="shared" si="119"/>
        <v>d</v>
      </c>
      <c r="F213" s="113" t="str">
        <f t="shared" si="119"/>
        <v>e</v>
      </c>
      <c r="G213" s="113" t="str">
        <f t="shared" si="119"/>
        <v>f</v>
      </c>
      <c r="H213" s="113" t="str">
        <f t="shared" si="119"/>
        <v>g</v>
      </c>
      <c r="I213" s="113" t="str">
        <f t="shared" si="119"/>
        <v>h</v>
      </c>
      <c r="J213" s="113" t="str">
        <f t="shared" si="119"/>
        <v>i</v>
      </c>
      <c r="K213" s="113" t="str">
        <f t="shared" si="119"/>
        <v>j</v>
      </c>
      <c r="L213" s="113" t="str">
        <f t="shared" si="119"/>
        <v>k</v>
      </c>
      <c r="M213" s="113" t="str">
        <f t="shared" si="119"/>
        <v>l</v>
      </c>
      <c r="N213" s="113" t="str">
        <f t="shared" si="119"/>
        <v>m</v>
      </c>
      <c r="O213" s="113">
        <f t="shared" si="119"/>
        <v>0</v>
      </c>
      <c r="P213" s="113">
        <f t="shared" si="119"/>
        <v>0</v>
      </c>
      <c r="Q213" s="113" t="str">
        <f t="shared" si="119"/>
        <v>p</v>
      </c>
      <c r="R213" s="113">
        <f t="shared" si="119"/>
        <v>0</v>
      </c>
      <c r="S213" s="113">
        <f t="shared" si="119"/>
        <v>0</v>
      </c>
      <c r="T213" s="113">
        <f t="shared" si="119"/>
        <v>0</v>
      </c>
      <c r="U213" s="113">
        <f t="shared" si="119"/>
        <v>0</v>
      </c>
      <c r="V213" s="113">
        <f t="shared" si="119"/>
        <v>0</v>
      </c>
      <c r="W213" s="113">
        <f t="shared" si="119"/>
        <v>0</v>
      </c>
      <c r="X213" s="113">
        <f t="shared" si="119"/>
        <v>0</v>
      </c>
      <c r="AA213" s="113">
        <v>0</v>
      </c>
      <c r="AB213" s="112">
        <f ca="1">INDIRECT(CONCATENATE($AB$10,CONCATENATE(B213,$A213)))</f>
        <v>43191</v>
      </c>
      <c r="AC213" s="428">
        <f ca="1">INDIRECT(CONCATENATE($AB$10,CONCATENATE(C213,$A213)))</f>
        <v>43465</v>
      </c>
      <c r="AD213" t="s">
        <v>515</v>
      </c>
      <c r="AF213" s="114">
        <f t="shared" ca="1" si="112"/>
        <v>13757.12</v>
      </c>
      <c r="AG213" s="114">
        <f ca="1">INDIRECT(CONCATENATE($AB$10,CONCATENATE(G213,$A213)))</f>
        <v>0</v>
      </c>
      <c r="AH213" s="114">
        <f ca="1">INDIRECT(CONCATENATE($AB$10,CONCATENATE(H213,$A213)))</f>
        <v>0</v>
      </c>
      <c r="AI213" s="114">
        <f ca="1">INDIRECT(CONCATENATE($AB$10,CONCATENATE(I213,$A213)))</f>
        <v>6384.11</v>
      </c>
      <c r="AJ213" s="114">
        <f ca="1">INDIRECT(CONCATENATE($AB$10,CONCATENATE(J213,$A213)))</f>
        <v>0</v>
      </c>
      <c r="AK213" s="114">
        <f ca="1">INDIRECT(CONCATENATE($AB$10,CONCATENATE(K213,$A213)))</f>
        <v>1678.44</v>
      </c>
      <c r="AN213">
        <f t="shared" si="91"/>
        <v>213</v>
      </c>
      <c r="AQ213" s="114">
        <f t="shared" ca="1" si="92"/>
        <v>2094</v>
      </c>
      <c r="AW213">
        <v>213</v>
      </c>
      <c r="BG213" s="114">
        <f t="shared" ca="1" si="89"/>
        <v>22235.23</v>
      </c>
      <c r="BI213">
        <f t="shared" si="90"/>
        <v>0</v>
      </c>
    </row>
    <row r="214" spans="1:61" x14ac:dyDescent="0.25">
      <c r="A214" s="113">
        <f>A213</f>
        <v>940</v>
      </c>
      <c r="B214" s="113" t="str">
        <f>B213</f>
        <v>a</v>
      </c>
      <c r="C214" s="113" t="str">
        <f t="shared" ref="C214:X219" si="120">C213</f>
        <v>b</v>
      </c>
      <c r="D214" s="113" t="str">
        <f t="shared" si="120"/>
        <v>c</v>
      </c>
      <c r="E214" s="113" t="str">
        <f t="shared" si="120"/>
        <v>d</v>
      </c>
      <c r="F214" s="113" t="str">
        <f t="shared" si="120"/>
        <v>e</v>
      </c>
      <c r="G214" s="113" t="str">
        <f t="shared" si="120"/>
        <v>f</v>
      </c>
      <c r="H214" s="113" t="str">
        <f t="shared" si="120"/>
        <v>g</v>
      </c>
      <c r="I214" s="113" t="str">
        <f t="shared" si="120"/>
        <v>h</v>
      </c>
      <c r="J214" s="113" t="str">
        <f t="shared" si="120"/>
        <v>i</v>
      </c>
      <c r="K214" s="113" t="str">
        <f t="shared" si="120"/>
        <v>j</v>
      </c>
      <c r="L214" s="113" t="str">
        <f t="shared" si="120"/>
        <v>k</v>
      </c>
      <c r="M214" s="113" t="str">
        <f t="shared" si="120"/>
        <v>l</v>
      </c>
      <c r="N214" s="113" t="str">
        <f t="shared" si="120"/>
        <v>m</v>
      </c>
      <c r="O214" s="113">
        <f t="shared" si="120"/>
        <v>0</v>
      </c>
      <c r="P214" s="113">
        <f t="shared" si="120"/>
        <v>0</v>
      </c>
      <c r="Q214" s="113" t="str">
        <f t="shared" si="120"/>
        <v>p</v>
      </c>
      <c r="R214" s="113">
        <f t="shared" si="120"/>
        <v>0</v>
      </c>
      <c r="S214" s="113">
        <f t="shared" si="120"/>
        <v>0</v>
      </c>
      <c r="T214" s="113">
        <f t="shared" si="120"/>
        <v>0</v>
      </c>
      <c r="U214" s="113">
        <f t="shared" si="120"/>
        <v>0</v>
      </c>
      <c r="V214" s="113">
        <f t="shared" si="120"/>
        <v>0</v>
      </c>
      <c r="W214" s="113">
        <f t="shared" si="120"/>
        <v>0</v>
      </c>
      <c r="X214" s="113">
        <f t="shared" si="120"/>
        <v>0</v>
      </c>
      <c r="AA214" s="113">
        <v>3</v>
      </c>
      <c r="AB214" s="112">
        <f t="shared" ref="AB214:AC219" ca="1" si="121">AB213</f>
        <v>43191</v>
      </c>
      <c r="AC214" s="428">
        <f t="shared" ca="1" si="121"/>
        <v>43465</v>
      </c>
      <c r="AD214" t="s">
        <v>516</v>
      </c>
      <c r="AE214" s="114">
        <f ca="1">AE207</f>
        <v>522.04999999999995</v>
      </c>
      <c r="AF214" s="114">
        <f t="shared" ca="1" si="112"/>
        <v>13757.12</v>
      </c>
      <c r="AG214" s="114">
        <f t="shared" ca="1" si="112"/>
        <v>0</v>
      </c>
      <c r="AH214" s="114">
        <f t="shared" ca="1" si="112"/>
        <v>0</v>
      </c>
      <c r="AI214" s="114">
        <f t="shared" ca="1" si="112"/>
        <v>6384.11</v>
      </c>
      <c r="AJ214" s="114">
        <f t="shared" ca="1" si="112"/>
        <v>0</v>
      </c>
      <c r="AK214" s="114">
        <f t="shared" ca="1" si="112"/>
        <v>1678.44</v>
      </c>
      <c r="AN214">
        <f t="shared" si="91"/>
        <v>214</v>
      </c>
      <c r="AQ214" s="114">
        <f t="shared" ca="1" si="92"/>
        <v>2094</v>
      </c>
      <c r="AW214">
        <v>214</v>
      </c>
      <c r="BG214" s="114">
        <f t="shared" ca="1" si="89"/>
        <v>22235.23</v>
      </c>
      <c r="BI214">
        <f t="shared" ca="1" si="90"/>
        <v>522.04999999999995</v>
      </c>
    </row>
    <row r="215" spans="1:61" x14ac:dyDescent="0.25">
      <c r="A215" s="113">
        <f>A214+2</f>
        <v>942</v>
      </c>
      <c r="B215" s="113" t="str">
        <f>B214</f>
        <v>a</v>
      </c>
      <c r="C215" s="113" t="str">
        <f t="shared" si="120"/>
        <v>b</v>
      </c>
      <c r="D215" s="113" t="str">
        <f t="shared" si="120"/>
        <v>c</v>
      </c>
      <c r="E215" s="113" t="str">
        <f t="shared" si="120"/>
        <v>d</v>
      </c>
      <c r="F215" s="113" t="str">
        <f t="shared" si="120"/>
        <v>e</v>
      </c>
      <c r="G215" s="113" t="str">
        <f t="shared" si="120"/>
        <v>f</v>
      </c>
      <c r="H215" s="113" t="str">
        <f t="shared" si="120"/>
        <v>g</v>
      </c>
      <c r="I215" s="113" t="str">
        <f t="shared" si="120"/>
        <v>h</v>
      </c>
      <c r="J215" s="113" t="str">
        <f t="shared" si="120"/>
        <v>i</v>
      </c>
      <c r="K215" s="113" t="str">
        <f t="shared" si="120"/>
        <v>j</v>
      </c>
      <c r="L215" s="113" t="str">
        <f t="shared" si="120"/>
        <v>k</v>
      </c>
      <c r="M215" s="113" t="str">
        <f t="shared" si="120"/>
        <v>l</v>
      </c>
      <c r="N215" s="113" t="str">
        <f t="shared" si="120"/>
        <v>m</v>
      </c>
      <c r="O215" s="113">
        <f t="shared" si="120"/>
        <v>0</v>
      </c>
      <c r="P215" s="113">
        <f t="shared" si="120"/>
        <v>0</v>
      </c>
      <c r="Q215" s="113" t="str">
        <f t="shared" si="120"/>
        <v>p</v>
      </c>
      <c r="R215" s="113">
        <f t="shared" si="120"/>
        <v>0</v>
      </c>
      <c r="S215" s="113">
        <f t="shared" si="120"/>
        <v>0</v>
      </c>
      <c r="T215" s="113">
        <f t="shared" si="120"/>
        <v>0</v>
      </c>
      <c r="U215" s="113">
        <f t="shared" si="120"/>
        <v>0</v>
      </c>
      <c r="V215" s="113">
        <f t="shared" si="120"/>
        <v>0</v>
      </c>
      <c r="W215" s="113">
        <f t="shared" si="120"/>
        <v>0</v>
      </c>
      <c r="X215" s="113">
        <f t="shared" si="120"/>
        <v>0</v>
      </c>
      <c r="AA215" s="113">
        <v>9</v>
      </c>
      <c r="AB215" s="112">
        <f t="shared" ca="1" si="121"/>
        <v>43191</v>
      </c>
      <c r="AC215" s="428">
        <f t="shared" ca="1" si="121"/>
        <v>43465</v>
      </c>
      <c r="AD215" t="s">
        <v>510</v>
      </c>
      <c r="AF215" s="114">
        <f t="shared" ca="1" si="112"/>
        <v>15958.9</v>
      </c>
      <c r="AG215" s="114">
        <f t="shared" ca="1" si="112"/>
        <v>0</v>
      </c>
      <c r="AH215" s="114">
        <f t="shared" ca="1" si="112"/>
        <v>0</v>
      </c>
      <c r="AI215" s="114">
        <f t="shared" ca="1" si="112"/>
        <v>6384.11</v>
      </c>
      <c r="AJ215" s="114">
        <f t="shared" ca="1" si="112"/>
        <v>0</v>
      </c>
      <c r="AK215" s="114">
        <f t="shared" ca="1" si="112"/>
        <v>1861.92</v>
      </c>
      <c r="AN215">
        <f t="shared" si="91"/>
        <v>215</v>
      </c>
      <c r="AQ215" s="114">
        <f t="shared" ca="1" si="92"/>
        <v>2094</v>
      </c>
      <c r="AW215">
        <v>215</v>
      </c>
      <c r="BG215" s="114">
        <f t="shared" ca="1" si="89"/>
        <v>24437.01</v>
      </c>
      <c r="BI215">
        <f t="shared" si="90"/>
        <v>0</v>
      </c>
    </row>
    <row r="216" spans="1:61" x14ac:dyDescent="0.25">
      <c r="A216" s="113">
        <f>A215+2</f>
        <v>944</v>
      </c>
      <c r="B216" s="113" t="str">
        <f>B215</f>
        <v>a</v>
      </c>
      <c r="C216" s="113" t="str">
        <f t="shared" si="120"/>
        <v>b</v>
      </c>
      <c r="D216" s="113" t="str">
        <f t="shared" si="120"/>
        <v>c</v>
      </c>
      <c r="E216" s="113" t="str">
        <f t="shared" si="120"/>
        <v>d</v>
      </c>
      <c r="F216" s="113" t="str">
        <f t="shared" si="120"/>
        <v>e</v>
      </c>
      <c r="G216" s="113" t="str">
        <f t="shared" si="120"/>
        <v>f</v>
      </c>
      <c r="H216" s="113" t="str">
        <f t="shared" si="120"/>
        <v>g</v>
      </c>
      <c r="I216" s="113" t="str">
        <f t="shared" si="120"/>
        <v>h</v>
      </c>
      <c r="J216" s="113" t="str">
        <f t="shared" si="120"/>
        <v>i</v>
      </c>
      <c r="K216" s="113" t="str">
        <f t="shared" si="120"/>
        <v>j</v>
      </c>
      <c r="L216" s="113" t="str">
        <f t="shared" si="120"/>
        <v>k</v>
      </c>
      <c r="M216" s="113" t="str">
        <f t="shared" si="120"/>
        <v>l</v>
      </c>
      <c r="N216" s="113" t="str">
        <f t="shared" si="120"/>
        <v>m</v>
      </c>
      <c r="O216" s="113">
        <f t="shared" si="120"/>
        <v>0</v>
      </c>
      <c r="P216" s="113">
        <f t="shared" si="120"/>
        <v>0</v>
      </c>
      <c r="Q216" s="113" t="str">
        <f t="shared" si="120"/>
        <v>p</v>
      </c>
      <c r="R216" s="113">
        <f t="shared" si="120"/>
        <v>0</v>
      </c>
      <c r="S216" s="113">
        <f t="shared" si="120"/>
        <v>0</v>
      </c>
      <c r="T216" s="113">
        <f t="shared" si="120"/>
        <v>0</v>
      </c>
      <c r="U216" s="113">
        <f t="shared" si="120"/>
        <v>0</v>
      </c>
      <c r="V216" s="113">
        <f t="shared" si="120"/>
        <v>0</v>
      </c>
      <c r="W216" s="113">
        <f t="shared" si="120"/>
        <v>0</v>
      </c>
      <c r="X216" s="113">
        <f t="shared" si="120"/>
        <v>0</v>
      </c>
      <c r="AA216" s="113">
        <v>15</v>
      </c>
      <c r="AB216" s="112">
        <f t="shared" ca="1" si="121"/>
        <v>43191</v>
      </c>
      <c r="AC216" s="428">
        <f t="shared" ca="1" si="121"/>
        <v>43465</v>
      </c>
      <c r="AD216" t="s">
        <v>511</v>
      </c>
      <c r="AF216" s="114">
        <f t="shared" ca="1" si="112"/>
        <v>17896.830000000002</v>
      </c>
      <c r="AG216" s="114">
        <f t="shared" ca="1" si="112"/>
        <v>0</v>
      </c>
      <c r="AH216" s="114">
        <f t="shared" ca="1" si="112"/>
        <v>0</v>
      </c>
      <c r="AI216" s="114">
        <f t="shared" ca="1" si="112"/>
        <v>6384.11</v>
      </c>
      <c r="AJ216" s="114">
        <f t="shared" ca="1" si="112"/>
        <v>0</v>
      </c>
      <c r="AK216" s="114">
        <f t="shared" ca="1" si="112"/>
        <v>2023.41</v>
      </c>
      <c r="AN216">
        <f t="shared" si="91"/>
        <v>216</v>
      </c>
      <c r="AQ216" s="114">
        <f t="shared" ca="1" si="92"/>
        <v>2577.6</v>
      </c>
      <c r="AW216">
        <v>216</v>
      </c>
      <c r="BG216" s="114">
        <f t="shared" ca="1" si="89"/>
        <v>26858.54</v>
      </c>
      <c r="BI216">
        <f t="shared" si="90"/>
        <v>0</v>
      </c>
    </row>
    <row r="217" spans="1:61" x14ac:dyDescent="0.25">
      <c r="A217" s="113">
        <f>A216+2</f>
        <v>946</v>
      </c>
      <c r="B217" s="113" t="str">
        <f>B216</f>
        <v>a</v>
      </c>
      <c r="C217" s="113" t="str">
        <f t="shared" si="120"/>
        <v>b</v>
      </c>
      <c r="D217" s="113" t="str">
        <f t="shared" si="120"/>
        <v>c</v>
      </c>
      <c r="E217" s="113" t="str">
        <f t="shared" si="120"/>
        <v>d</v>
      </c>
      <c r="F217" s="113" t="str">
        <f t="shared" si="120"/>
        <v>e</v>
      </c>
      <c r="G217" s="113" t="str">
        <f t="shared" si="120"/>
        <v>f</v>
      </c>
      <c r="H217" s="113" t="str">
        <f t="shared" si="120"/>
        <v>g</v>
      </c>
      <c r="I217" s="113" t="str">
        <f t="shared" si="120"/>
        <v>h</v>
      </c>
      <c r="J217" s="113" t="str">
        <f t="shared" si="120"/>
        <v>i</v>
      </c>
      <c r="K217" s="113" t="str">
        <f t="shared" si="120"/>
        <v>j</v>
      </c>
      <c r="L217" s="113" t="str">
        <f t="shared" si="120"/>
        <v>k</v>
      </c>
      <c r="M217" s="113" t="str">
        <f t="shared" si="120"/>
        <v>l</v>
      </c>
      <c r="N217" s="113" t="str">
        <f t="shared" si="120"/>
        <v>m</v>
      </c>
      <c r="O217" s="113">
        <f t="shared" si="120"/>
        <v>0</v>
      </c>
      <c r="P217" s="113">
        <f t="shared" si="120"/>
        <v>0</v>
      </c>
      <c r="Q217" s="113" t="str">
        <f t="shared" si="120"/>
        <v>p</v>
      </c>
      <c r="R217" s="113">
        <f t="shared" si="120"/>
        <v>0</v>
      </c>
      <c r="S217" s="113">
        <f t="shared" si="120"/>
        <v>0</v>
      </c>
      <c r="T217" s="113">
        <f t="shared" si="120"/>
        <v>0</v>
      </c>
      <c r="U217" s="113">
        <f t="shared" si="120"/>
        <v>0</v>
      </c>
      <c r="V217" s="113">
        <f t="shared" si="120"/>
        <v>0</v>
      </c>
      <c r="W217" s="113">
        <f t="shared" si="120"/>
        <v>0</v>
      </c>
      <c r="X217" s="113">
        <f t="shared" si="120"/>
        <v>0</v>
      </c>
      <c r="AA217" s="113">
        <v>21</v>
      </c>
      <c r="AB217" s="112">
        <f t="shared" ca="1" si="121"/>
        <v>43191</v>
      </c>
      <c r="AC217" s="428">
        <f t="shared" ca="1" si="121"/>
        <v>43465</v>
      </c>
      <c r="AD217" t="s">
        <v>512</v>
      </c>
      <c r="AF217" s="114">
        <f t="shared" ca="1" si="112"/>
        <v>19791.47</v>
      </c>
      <c r="AG217" s="114">
        <f t="shared" ca="1" si="112"/>
        <v>0</v>
      </c>
      <c r="AH217" s="114">
        <f t="shared" ca="1" si="112"/>
        <v>0</v>
      </c>
      <c r="AI217" s="114">
        <f t="shared" ca="1" si="112"/>
        <v>6384.11</v>
      </c>
      <c r="AJ217" s="114">
        <f t="shared" ca="1" si="112"/>
        <v>0</v>
      </c>
      <c r="AK217" s="114">
        <f t="shared" ca="1" si="112"/>
        <v>2181.3000000000002</v>
      </c>
      <c r="AN217">
        <f t="shared" si="91"/>
        <v>217</v>
      </c>
      <c r="AQ217" s="114">
        <f t="shared" ca="1" si="92"/>
        <v>2577.6</v>
      </c>
      <c r="AW217">
        <v>217</v>
      </c>
      <c r="BG217" s="114">
        <f t="shared" ca="1" si="89"/>
        <v>28753.18</v>
      </c>
      <c r="BI217">
        <f t="shared" si="90"/>
        <v>0</v>
      </c>
    </row>
    <row r="218" spans="1:61" x14ac:dyDescent="0.25">
      <c r="A218" s="113">
        <f>A217+2</f>
        <v>948</v>
      </c>
      <c r="B218" s="113" t="str">
        <f>B217</f>
        <v>a</v>
      </c>
      <c r="C218" s="113" t="str">
        <f t="shared" si="120"/>
        <v>b</v>
      </c>
      <c r="D218" s="113" t="str">
        <f t="shared" si="120"/>
        <v>c</v>
      </c>
      <c r="E218" s="113" t="str">
        <f t="shared" si="120"/>
        <v>d</v>
      </c>
      <c r="F218" s="113" t="str">
        <f t="shared" si="120"/>
        <v>e</v>
      </c>
      <c r="G218" s="113" t="str">
        <f t="shared" si="120"/>
        <v>f</v>
      </c>
      <c r="H218" s="113" t="str">
        <f t="shared" si="120"/>
        <v>g</v>
      </c>
      <c r="I218" s="113" t="str">
        <f t="shared" si="120"/>
        <v>h</v>
      </c>
      <c r="J218" s="113" t="str">
        <f t="shared" si="120"/>
        <v>i</v>
      </c>
      <c r="K218" s="113" t="str">
        <f t="shared" si="120"/>
        <v>j</v>
      </c>
      <c r="L218" s="113" t="str">
        <f t="shared" si="120"/>
        <v>k</v>
      </c>
      <c r="M218" s="113" t="str">
        <f t="shared" si="120"/>
        <v>l</v>
      </c>
      <c r="N218" s="113" t="str">
        <f t="shared" si="120"/>
        <v>m</v>
      </c>
      <c r="O218" s="113">
        <f t="shared" si="120"/>
        <v>0</v>
      </c>
      <c r="P218" s="113">
        <f t="shared" si="120"/>
        <v>0</v>
      </c>
      <c r="Q218" s="113" t="str">
        <f t="shared" si="120"/>
        <v>p</v>
      </c>
      <c r="R218" s="113">
        <f t="shared" si="120"/>
        <v>0</v>
      </c>
      <c r="S218" s="113">
        <f t="shared" si="120"/>
        <v>0</v>
      </c>
      <c r="T218" s="113">
        <f t="shared" si="120"/>
        <v>0</v>
      </c>
      <c r="U218" s="113">
        <f t="shared" si="120"/>
        <v>0</v>
      </c>
      <c r="V218" s="113">
        <f t="shared" si="120"/>
        <v>0</v>
      </c>
      <c r="W218" s="113">
        <f t="shared" si="120"/>
        <v>0</v>
      </c>
      <c r="X218" s="113">
        <f t="shared" si="120"/>
        <v>0</v>
      </c>
      <c r="AA218" s="113">
        <v>28</v>
      </c>
      <c r="AB218" s="112">
        <f t="shared" ca="1" si="121"/>
        <v>43191</v>
      </c>
      <c r="AC218" s="428">
        <f t="shared" ca="1" si="121"/>
        <v>43465</v>
      </c>
      <c r="AD218" t="s">
        <v>513</v>
      </c>
      <c r="AF218" s="114">
        <f t="shared" ca="1" si="112"/>
        <v>21649.759999999998</v>
      </c>
      <c r="AG218" s="114">
        <f t="shared" ca="1" si="112"/>
        <v>0</v>
      </c>
      <c r="AH218" s="114">
        <f t="shared" ca="1" si="112"/>
        <v>0</v>
      </c>
      <c r="AI218" s="114">
        <f t="shared" ca="1" si="112"/>
        <v>6384.11</v>
      </c>
      <c r="AJ218" s="114">
        <f t="shared" ca="1" si="112"/>
        <v>0</v>
      </c>
      <c r="AK218" s="114">
        <f t="shared" ca="1" si="112"/>
        <v>2336.16</v>
      </c>
      <c r="AN218">
        <f t="shared" si="91"/>
        <v>218</v>
      </c>
      <c r="AQ218" s="114">
        <f t="shared" ca="1" si="92"/>
        <v>3278.4</v>
      </c>
      <c r="AW218">
        <v>218</v>
      </c>
      <c r="BG218" s="114">
        <f t="shared" ca="1" si="89"/>
        <v>31312.27</v>
      </c>
      <c r="BI218">
        <f t="shared" si="90"/>
        <v>0</v>
      </c>
    </row>
    <row r="219" spans="1:61" x14ac:dyDescent="0.25">
      <c r="A219" s="113">
        <f>A218+2</f>
        <v>950</v>
      </c>
      <c r="B219" s="113" t="str">
        <f>B218</f>
        <v>a</v>
      </c>
      <c r="C219" s="113" t="str">
        <f t="shared" si="120"/>
        <v>b</v>
      </c>
      <c r="D219" s="113" t="str">
        <f t="shared" si="120"/>
        <v>c</v>
      </c>
      <c r="E219" s="113" t="str">
        <f t="shared" si="120"/>
        <v>d</v>
      </c>
      <c r="F219" s="113" t="str">
        <f t="shared" si="120"/>
        <v>e</v>
      </c>
      <c r="G219" s="113" t="str">
        <f t="shared" si="120"/>
        <v>f</v>
      </c>
      <c r="H219" s="113" t="str">
        <f t="shared" si="120"/>
        <v>g</v>
      </c>
      <c r="I219" s="113" t="str">
        <f t="shared" si="120"/>
        <v>h</v>
      </c>
      <c r="J219" s="113" t="str">
        <f t="shared" si="120"/>
        <v>i</v>
      </c>
      <c r="K219" s="113" t="str">
        <f t="shared" si="120"/>
        <v>j</v>
      </c>
      <c r="L219" s="113" t="str">
        <f t="shared" si="120"/>
        <v>k</v>
      </c>
      <c r="M219" s="113" t="str">
        <f t="shared" si="120"/>
        <v>l</v>
      </c>
      <c r="N219" s="113" t="str">
        <f t="shared" si="120"/>
        <v>m</v>
      </c>
      <c r="O219" s="113">
        <f t="shared" si="120"/>
        <v>0</v>
      </c>
      <c r="P219" s="113">
        <f t="shared" si="120"/>
        <v>0</v>
      </c>
      <c r="Q219" s="113" t="str">
        <f t="shared" si="120"/>
        <v>p</v>
      </c>
      <c r="R219" s="113">
        <f t="shared" si="120"/>
        <v>0</v>
      </c>
      <c r="S219" s="113">
        <f t="shared" si="120"/>
        <v>0</v>
      </c>
      <c r="T219" s="113">
        <f t="shared" si="120"/>
        <v>0</v>
      </c>
      <c r="U219" s="113">
        <f t="shared" si="120"/>
        <v>0</v>
      </c>
      <c r="V219" s="113">
        <f t="shared" si="120"/>
        <v>0</v>
      </c>
      <c r="W219" s="113">
        <f t="shared" si="120"/>
        <v>0</v>
      </c>
      <c r="X219" s="113">
        <f t="shared" si="120"/>
        <v>0</v>
      </c>
      <c r="AA219" s="113">
        <v>35</v>
      </c>
      <c r="AB219" s="112">
        <f t="shared" ca="1" si="121"/>
        <v>43191</v>
      </c>
      <c r="AC219" s="428">
        <f t="shared" ca="1" si="121"/>
        <v>43465</v>
      </c>
      <c r="AD219" t="s">
        <v>514</v>
      </c>
      <c r="AF219" s="114">
        <f t="shared" ca="1" si="112"/>
        <v>23036.81</v>
      </c>
      <c r="AG219" s="114">
        <f t="shared" ca="1" si="112"/>
        <v>0</v>
      </c>
      <c r="AH219" s="114">
        <f t="shared" ca="1" si="112"/>
        <v>0</v>
      </c>
      <c r="AI219" s="114">
        <f t="shared" ca="1" si="112"/>
        <v>6384.11</v>
      </c>
      <c r="AJ219" s="114">
        <f t="shared" ca="1" si="112"/>
        <v>0</v>
      </c>
      <c r="AK219" s="114">
        <f t="shared" ca="1" si="112"/>
        <v>2451.7399999999998</v>
      </c>
      <c r="AN219">
        <f t="shared" si="91"/>
        <v>219</v>
      </c>
      <c r="AQ219" s="114">
        <f t="shared" ca="1" si="92"/>
        <v>3278.4</v>
      </c>
      <c r="AW219">
        <v>219</v>
      </c>
      <c r="BG219" s="114">
        <f t="shared" ca="1" si="89"/>
        <v>32699.320000000003</v>
      </c>
      <c r="BI219">
        <f t="shared" si="90"/>
        <v>0</v>
      </c>
    </row>
    <row r="220" spans="1:61" x14ac:dyDescent="0.25">
      <c r="A220" s="113">
        <f>A213+20</f>
        <v>960</v>
      </c>
      <c r="B220" s="113" t="str">
        <f>B213</f>
        <v>a</v>
      </c>
      <c r="C220" s="113" t="str">
        <f t="shared" ref="C220:X220" si="122">C213</f>
        <v>b</v>
      </c>
      <c r="D220" s="113" t="str">
        <f t="shared" si="122"/>
        <v>c</v>
      </c>
      <c r="E220" s="113" t="str">
        <f t="shared" si="122"/>
        <v>d</v>
      </c>
      <c r="F220" s="113" t="str">
        <f t="shared" si="122"/>
        <v>e</v>
      </c>
      <c r="G220" s="113" t="str">
        <f t="shared" si="122"/>
        <v>f</v>
      </c>
      <c r="H220" s="113" t="str">
        <f t="shared" si="122"/>
        <v>g</v>
      </c>
      <c r="I220" s="113" t="str">
        <f t="shared" si="122"/>
        <v>h</v>
      </c>
      <c r="J220" s="113" t="str">
        <f t="shared" si="122"/>
        <v>i</v>
      </c>
      <c r="K220" s="113" t="str">
        <f t="shared" si="122"/>
        <v>j</v>
      </c>
      <c r="L220" s="113" t="str">
        <f t="shared" si="122"/>
        <v>k</v>
      </c>
      <c r="M220" s="113" t="str">
        <f t="shared" si="122"/>
        <v>l</v>
      </c>
      <c r="N220" s="113" t="str">
        <f t="shared" si="122"/>
        <v>m</v>
      </c>
      <c r="O220" s="113">
        <f t="shared" si="122"/>
        <v>0</v>
      </c>
      <c r="P220" s="113">
        <f t="shared" si="122"/>
        <v>0</v>
      </c>
      <c r="Q220" s="113" t="str">
        <f t="shared" si="122"/>
        <v>p</v>
      </c>
      <c r="R220" s="113">
        <f t="shared" si="122"/>
        <v>0</v>
      </c>
      <c r="S220" s="113">
        <f t="shared" si="122"/>
        <v>0</v>
      </c>
      <c r="T220" s="113">
        <f t="shared" si="122"/>
        <v>0</v>
      </c>
      <c r="U220" s="113">
        <f t="shared" si="122"/>
        <v>0</v>
      </c>
      <c r="V220" s="113">
        <f t="shared" si="122"/>
        <v>0</v>
      </c>
      <c r="W220" s="113">
        <f t="shared" si="122"/>
        <v>0</v>
      </c>
      <c r="X220" s="113">
        <f t="shared" si="122"/>
        <v>0</v>
      </c>
      <c r="AA220" s="113">
        <v>0</v>
      </c>
      <c r="AB220" s="112">
        <f ca="1">INDIRECT(CONCATENATE($AB$10,CONCATENATE(B220,$A220)))</f>
        <v>43466</v>
      </c>
      <c r="AC220" s="428">
        <f ca="1">INDIRECT(CONCATENATE($AB$10,CONCATENATE(C220,$A220)))</f>
        <v>43830</v>
      </c>
      <c r="AD220" t="s">
        <v>515</v>
      </c>
      <c r="AF220" s="114">
        <f t="shared" ca="1" si="112"/>
        <v>13944.29</v>
      </c>
      <c r="AG220" s="114">
        <f ca="1">INDIRECT(CONCATENATE($AB$10,CONCATENATE(G220,$A220)))</f>
        <v>0</v>
      </c>
      <c r="AH220" s="114">
        <f ca="1">INDIRECT(CONCATENATE($AB$10,CONCATENATE(H220,$A220)))</f>
        <v>0</v>
      </c>
      <c r="AI220" s="114">
        <f ca="1">INDIRECT(CONCATENATE($AB$10,CONCATENATE(I220,$A220)))</f>
        <v>6384.11</v>
      </c>
      <c r="AJ220" s="114">
        <f ca="1">INDIRECT(CONCATENATE($AB$10,CONCATENATE(J220,$A220)))</f>
        <v>0</v>
      </c>
      <c r="AK220" s="114">
        <f ca="1">INDIRECT(CONCATENATE($AB$10,CONCATENATE(K220,$A220)))</f>
        <v>1685.49</v>
      </c>
      <c r="AN220">
        <f t="shared" si="91"/>
        <v>220</v>
      </c>
      <c r="AQ220" s="114">
        <f t="shared" ca="1" si="92"/>
        <v>2094</v>
      </c>
      <c r="AW220">
        <v>220</v>
      </c>
      <c r="BG220" s="114">
        <f t="shared" ca="1" si="89"/>
        <v>22422.400000000001</v>
      </c>
      <c r="BI220">
        <f t="shared" si="90"/>
        <v>0</v>
      </c>
    </row>
    <row r="221" spans="1:61" x14ac:dyDescent="0.25">
      <c r="A221" s="113">
        <f>A220</f>
        <v>960</v>
      </c>
      <c r="B221" s="113" t="str">
        <f>B220</f>
        <v>a</v>
      </c>
      <c r="C221" s="113" t="str">
        <f t="shared" ref="C221:X226" si="123">C220</f>
        <v>b</v>
      </c>
      <c r="D221" s="113" t="str">
        <f t="shared" si="123"/>
        <v>c</v>
      </c>
      <c r="E221" s="113" t="str">
        <f t="shared" si="123"/>
        <v>d</v>
      </c>
      <c r="F221" s="113" t="str">
        <f t="shared" si="123"/>
        <v>e</v>
      </c>
      <c r="G221" s="113" t="str">
        <f t="shared" si="123"/>
        <v>f</v>
      </c>
      <c r="H221" s="113" t="str">
        <f t="shared" si="123"/>
        <v>g</v>
      </c>
      <c r="I221" s="113" t="str">
        <f t="shared" si="123"/>
        <v>h</v>
      </c>
      <c r="J221" s="113" t="str">
        <f t="shared" si="123"/>
        <v>i</v>
      </c>
      <c r="K221" s="113" t="str">
        <f t="shared" si="123"/>
        <v>j</v>
      </c>
      <c r="L221" s="113" t="str">
        <f t="shared" si="123"/>
        <v>k</v>
      </c>
      <c r="M221" s="113" t="str">
        <f t="shared" si="123"/>
        <v>l</v>
      </c>
      <c r="N221" s="113" t="str">
        <f t="shared" si="123"/>
        <v>m</v>
      </c>
      <c r="O221" s="113">
        <f t="shared" si="123"/>
        <v>0</v>
      </c>
      <c r="P221" s="113">
        <f t="shared" si="123"/>
        <v>0</v>
      </c>
      <c r="Q221" s="113" t="str">
        <f t="shared" si="123"/>
        <v>p</v>
      </c>
      <c r="R221" s="113">
        <f t="shared" si="123"/>
        <v>0</v>
      </c>
      <c r="S221" s="113">
        <f t="shared" si="123"/>
        <v>0</v>
      </c>
      <c r="T221" s="113">
        <f t="shared" si="123"/>
        <v>0</v>
      </c>
      <c r="U221" s="113">
        <f t="shared" si="123"/>
        <v>0</v>
      </c>
      <c r="V221" s="113">
        <f t="shared" si="123"/>
        <v>0</v>
      </c>
      <c r="W221" s="113">
        <f t="shared" si="123"/>
        <v>0</v>
      </c>
      <c r="X221" s="113">
        <f t="shared" si="123"/>
        <v>0</v>
      </c>
      <c r="AA221" s="113">
        <v>3</v>
      </c>
      <c r="AB221" s="112">
        <f t="shared" ref="AB221:AC226" ca="1" si="124">AB220</f>
        <v>43466</v>
      </c>
      <c r="AC221" s="428">
        <f t="shared" ca="1" si="124"/>
        <v>43830</v>
      </c>
      <c r="AD221" t="s">
        <v>516</v>
      </c>
      <c r="AE221" s="114">
        <f ca="1">AE214</f>
        <v>522.04999999999995</v>
      </c>
      <c r="AF221" s="114">
        <f t="shared" ca="1" si="112"/>
        <v>13944.29</v>
      </c>
      <c r="AG221" s="114">
        <f t="shared" ca="1" si="112"/>
        <v>0</v>
      </c>
      <c r="AH221" s="114">
        <f t="shared" ca="1" si="112"/>
        <v>0</v>
      </c>
      <c r="AI221" s="114">
        <f t="shared" ca="1" si="112"/>
        <v>6384.11</v>
      </c>
      <c r="AJ221" s="114">
        <f t="shared" ca="1" si="112"/>
        <v>0</v>
      </c>
      <c r="AK221" s="114">
        <f t="shared" ca="1" si="112"/>
        <v>1685.49</v>
      </c>
      <c r="AN221">
        <f t="shared" si="91"/>
        <v>221</v>
      </c>
      <c r="AQ221" s="114">
        <f t="shared" ca="1" si="92"/>
        <v>2094</v>
      </c>
      <c r="AW221">
        <v>221</v>
      </c>
      <c r="BG221" s="114">
        <f t="shared" ca="1" si="89"/>
        <v>22422.400000000001</v>
      </c>
      <c r="BI221">
        <f t="shared" ca="1" si="90"/>
        <v>522.04999999999995</v>
      </c>
    </row>
    <row r="222" spans="1:61" x14ac:dyDescent="0.25">
      <c r="A222" s="113">
        <f>A221+2</f>
        <v>962</v>
      </c>
      <c r="B222" s="113" t="str">
        <f>B221</f>
        <v>a</v>
      </c>
      <c r="C222" s="113" t="str">
        <f t="shared" si="123"/>
        <v>b</v>
      </c>
      <c r="D222" s="113" t="str">
        <f t="shared" si="123"/>
        <v>c</v>
      </c>
      <c r="E222" s="113" t="str">
        <f t="shared" si="123"/>
        <v>d</v>
      </c>
      <c r="F222" s="113" t="str">
        <f t="shared" si="123"/>
        <v>e</v>
      </c>
      <c r="G222" s="113" t="str">
        <f t="shared" si="123"/>
        <v>f</v>
      </c>
      <c r="H222" s="113" t="str">
        <f t="shared" si="123"/>
        <v>g</v>
      </c>
      <c r="I222" s="113" t="str">
        <f t="shared" si="123"/>
        <v>h</v>
      </c>
      <c r="J222" s="113" t="str">
        <f t="shared" si="123"/>
        <v>i</v>
      </c>
      <c r="K222" s="113" t="str">
        <f t="shared" si="123"/>
        <v>j</v>
      </c>
      <c r="L222" s="113" t="str">
        <f t="shared" si="123"/>
        <v>k</v>
      </c>
      <c r="M222" s="113" t="str">
        <f t="shared" si="123"/>
        <v>l</v>
      </c>
      <c r="N222" s="113" t="str">
        <f t="shared" si="123"/>
        <v>m</v>
      </c>
      <c r="O222" s="113">
        <f t="shared" si="123"/>
        <v>0</v>
      </c>
      <c r="P222" s="113">
        <f t="shared" si="123"/>
        <v>0</v>
      </c>
      <c r="Q222" s="113" t="str">
        <f t="shared" si="123"/>
        <v>p</v>
      </c>
      <c r="R222" s="113">
        <f t="shared" si="123"/>
        <v>0</v>
      </c>
      <c r="S222" s="113">
        <f t="shared" si="123"/>
        <v>0</v>
      </c>
      <c r="T222" s="113">
        <f t="shared" si="123"/>
        <v>0</v>
      </c>
      <c r="U222" s="113">
        <f t="shared" si="123"/>
        <v>0</v>
      </c>
      <c r="V222" s="113">
        <f t="shared" si="123"/>
        <v>0</v>
      </c>
      <c r="W222" s="113">
        <f t="shared" si="123"/>
        <v>0</v>
      </c>
      <c r="X222" s="113">
        <f t="shared" si="123"/>
        <v>0</v>
      </c>
      <c r="AA222" s="113">
        <v>9</v>
      </c>
      <c r="AB222" s="112">
        <f t="shared" ca="1" si="124"/>
        <v>43466</v>
      </c>
      <c r="AC222" s="428">
        <f t="shared" ca="1" si="124"/>
        <v>43830</v>
      </c>
      <c r="AD222" t="s">
        <v>510</v>
      </c>
      <c r="AF222" s="114">
        <f t="shared" ca="1" si="112"/>
        <v>16166.48</v>
      </c>
      <c r="AG222" s="114">
        <f t="shared" ca="1" si="112"/>
        <v>0</v>
      </c>
      <c r="AH222" s="114">
        <f t="shared" ca="1" si="112"/>
        <v>0</v>
      </c>
      <c r="AI222" s="114">
        <f t="shared" ca="1" si="112"/>
        <v>6384.11</v>
      </c>
      <c r="AJ222" s="114">
        <f t="shared" ca="1" si="112"/>
        <v>0</v>
      </c>
      <c r="AK222" s="114">
        <f t="shared" ca="1" si="112"/>
        <v>1869.74</v>
      </c>
      <c r="AN222">
        <f t="shared" si="91"/>
        <v>222</v>
      </c>
      <c r="AQ222" s="114">
        <f t="shared" ca="1" si="92"/>
        <v>2094</v>
      </c>
      <c r="AW222">
        <v>222</v>
      </c>
      <c r="BG222" s="114">
        <f t="shared" ca="1" si="89"/>
        <v>24644.59</v>
      </c>
      <c r="BI222">
        <f t="shared" si="90"/>
        <v>0</v>
      </c>
    </row>
    <row r="223" spans="1:61" x14ac:dyDescent="0.25">
      <c r="A223" s="113">
        <f>A222+2</f>
        <v>964</v>
      </c>
      <c r="B223" s="113" t="str">
        <f>B222</f>
        <v>a</v>
      </c>
      <c r="C223" s="113" t="str">
        <f t="shared" si="123"/>
        <v>b</v>
      </c>
      <c r="D223" s="113" t="str">
        <f t="shared" si="123"/>
        <v>c</v>
      </c>
      <c r="E223" s="113" t="str">
        <f t="shared" si="123"/>
        <v>d</v>
      </c>
      <c r="F223" s="113" t="str">
        <f t="shared" si="123"/>
        <v>e</v>
      </c>
      <c r="G223" s="113" t="str">
        <f t="shared" si="123"/>
        <v>f</v>
      </c>
      <c r="H223" s="113" t="str">
        <f t="shared" si="123"/>
        <v>g</v>
      </c>
      <c r="I223" s="113" t="str">
        <f t="shared" si="123"/>
        <v>h</v>
      </c>
      <c r="J223" s="113" t="str">
        <f t="shared" si="123"/>
        <v>i</v>
      </c>
      <c r="K223" s="113" t="str">
        <f t="shared" si="123"/>
        <v>j</v>
      </c>
      <c r="L223" s="113" t="str">
        <f t="shared" si="123"/>
        <v>k</v>
      </c>
      <c r="M223" s="113" t="str">
        <f t="shared" si="123"/>
        <v>l</v>
      </c>
      <c r="N223" s="113" t="str">
        <f t="shared" si="123"/>
        <v>m</v>
      </c>
      <c r="O223" s="113">
        <f t="shared" si="123"/>
        <v>0</v>
      </c>
      <c r="P223" s="113">
        <f t="shared" si="123"/>
        <v>0</v>
      </c>
      <c r="Q223" s="113" t="str">
        <f t="shared" si="123"/>
        <v>p</v>
      </c>
      <c r="R223" s="113">
        <f t="shared" si="123"/>
        <v>0</v>
      </c>
      <c r="S223" s="113">
        <f t="shared" si="123"/>
        <v>0</v>
      </c>
      <c r="T223" s="113">
        <f t="shared" si="123"/>
        <v>0</v>
      </c>
      <c r="U223" s="113">
        <f t="shared" si="123"/>
        <v>0</v>
      </c>
      <c r="V223" s="113">
        <f t="shared" si="123"/>
        <v>0</v>
      </c>
      <c r="W223" s="113">
        <f t="shared" si="123"/>
        <v>0</v>
      </c>
      <c r="X223" s="113">
        <f t="shared" si="123"/>
        <v>0</v>
      </c>
      <c r="AA223" s="113">
        <v>15</v>
      </c>
      <c r="AB223" s="112">
        <f t="shared" ca="1" si="124"/>
        <v>43466</v>
      </c>
      <c r="AC223" s="428">
        <f t="shared" ca="1" si="124"/>
        <v>43830</v>
      </c>
      <c r="AD223" t="s">
        <v>511</v>
      </c>
      <c r="AF223" s="114">
        <f t="shared" ca="1" si="112"/>
        <v>18122.38</v>
      </c>
      <c r="AG223" s="114">
        <f t="shared" ca="1" si="112"/>
        <v>0</v>
      </c>
      <c r="AH223" s="114">
        <f t="shared" ca="1" si="112"/>
        <v>0</v>
      </c>
      <c r="AI223" s="114">
        <f t="shared" ca="1" si="112"/>
        <v>6384.11</v>
      </c>
      <c r="AJ223" s="114">
        <f t="shared" ca="1" si="112"/>
        <v>0</v>
      </c>
      <c r="AK223" s="114">
        <f t="shared" ca="1" si="112"/>
        <v>2031.91</v>
      </c>
      <c r="AN223">
        <f t="shared" si="91"/>
        <v>223</v>
      </c>
      <c r="AQ223" s="114">
        <f t="shared" ca="1" si="92"/>
        <v>2577.6</v>
      </c>
      <c r="AW223">
        <v>223</v>
      </c>
      <c r="BG223" s="114">
        <f t="shared" ca="1" si="89"/>
        <v>27084.09</v>
      </c>
      <c r="BI223">
        <f t="shared" si="90"/>
        <v>0</v>
      </c>
    </row>
    <row r="224" spans="1:61" x14ac:dyDescent="0.25">
      <c r="A224" s="113">
        <f>A223+2</f>
        <v>966</v>
      </c>
      <c r="B224" s="113" t="str">
        <f>B223</f>
        <v>a</v>
      </c>
      <c r="C224" s="113" t="str">
        <f t="shared" si="123"/>
        <v>b</v>
      </c>
      <c r="D224" s="113" t="str">
        <f t="shared" si="123"/>
        <v>c</v>
      </c>
      <c r="E224" s="113" t="str">
        <f t="shared" si="123"/>
        <v>d</v>
      </c>
      <c r="F224" s="113" t="str">
        <f t="shared" si="123"/>
        <v>e</v>
      </c>
      <c r="G224" s="113" t="str">
        <f t="shared" si="123"/>
        <v>f</v>
      </c>
      <c r="H224" s="113" t="str">
        <f t="shared" si="123"/>
        <v>g</v>
      </c>
      <c r="I224" s="113" t="str">
        <f t="shared" si="123"/>
        <v>h</v>
      </c>
      <c r="J224" s="113" t="str">
        <f t="shared" si="123"/>
        <v>i</v>
      </c>
      <c r="K224" s="113" t="str">
        <f t="shared" si="123"/>
        <v>j</v>
      </c>
      <c r="L224" s="113" t="str">
        <f t="shared" si="123"/>
        <v>k</v>
      </c>
      <c r="M224" s="113" t="str">
        <f t="shared" si="123"/>
        <v>l</v>
      </c>
      <c r="N224" s="113" t="str">
        <f t="shared" si="123"/>
        <v>m</v>
      </c>
      <c r="O224" s="113">
        <f t="shared" si="123"/>
        <v>0</v>
      </c>
      <c r="P224" s="113">
        <f t="shared" si="123"/>
        <v>0</v>
      </c>
      <c r="Q224" s="113" t="str">
        <f t="shared" si="123"/>
        <v>p</v>
      </c>
      <c r="R224" s="113">
        <f t="shared" si="123"/>
        <v>0</v>
      </c>
      <c r="S224" s="113">
        <f t="shared" si="123"/>
        <v>0</v>
      </c>
      <c r="T224" s="113">
        <f t="shared" si="123"/>
        <v>0</v>
      </c>
      <c r="U224" s="113">
        <f t="shared" si="123"/>
        <v>0</v>
      </c>
      <c r="V224" s="113">
        <f t="shared" si="123"/>
        <v>0</v>
      </c>
      <c r="W224" s="113">
        <f t="shared" si="123"/>
        <v>0</v>
      </c>
      <c r="X224" s="113">
        <f t="shared" si="123"/>
        <v>0</v>
      </c>
      <c r="AA224" s="113">
        <v>21</v>
      </c>
      <c r="AB224" s="112">
        <f t="shared" ca="1" si="124"/>
        <v>43466</v>
      </c>
      <c r="AC224" s="428">
        <f t="shared" ca="1" si="124"/>
        <v>43830</v>
      </c>
      <c r="AD224" t="s">
        <v>512</v>
      </c>
      <c r="AF224" s="114">
        <f t="shared" ca="1" si="112"/>
        <v>20035.079999999998</v>
      </c>
      <c r="AG224" s="114">
        <f t="shared" ca="1" si="112"/>
        <v>0</v>
      </c>
      <c r="AH224" s="114">
        <f t="shared" ca="1" si="112"/>
        <v>0</v>
      </c>
      <c r="AI224" s="114">
        <f t="shared" ca="1" si="112"/>
        <v>6384.11</v>
      </c>
      <c r="AJ224" s="114">
        <f t="shared" ca="1" si="112"/>
        <v>0</v>
      </c>
      <c r="AK224" s="114">
        <f t="shared" ca="1" si="112"/>
        <v>2190.46</v>
      </c>
      <c r="AN224">
        <f t="shared" si="91"/>
        <v>224</v>
      </c>
      <c r="AQ224" s="114">
        <f t="shared" ca="1" si="92"/>
        <v>2577.6</v>
      </c>
      <c r="AW224">
        <v>224</v>
      </c>
      <c r="BG224" s="114">
        <f t="shared" ref="BG224:BG287" ca="1" si="125">AF224+AG224+AH224+AI224+AJ224+AQ224</f>
        <v>28996.789999999997</v>
      </c>
      <c r="BI224">
        <f t="shared" ref="BI224:BI287" si="126">AE224</f>
        <v>0</v>
      </c>
    </row>
    <row r="225" spans="1:61" x14ac:dyDescent="0.25">
      <c r="A225" s="113">
        <f>A224+2</f>
        <v>968</v>
      </c>
      <c r="B225" s="113" t="str">
        <f>B224</f>
        <v>a</v>
      </c>
      <c r="C225" s="113" t="str">
        <f t="shared" si="123"/>
        <v>b</v>
      </c>
      <c r="D225" s="113" t="str">
        <f t="shared" si="123"/>
        <v>c</v>
      </c>
      <c r="E225" s="113" t="str">
        <f t="shared" si="123"/>
        <v>d</v>
      </c>
      <c r="F225" s="113" t="str">
        <f t="shared" si="123"/>
        <v>e</v>
      </c>
      <c r="G225" s="113" t="str">
        <f t="shared" si="123"/>
        <v>f</v>
      </c>
      <c r="H225" s="113" t="str">
        <f t="shared" si="123"/>
        <v>g</v>
      </c>
      <c r="I225" s="113" t="str">
        <f t="shared" si="123"/>
        <v>h</v>
      </c>
      <c r="J225" s="113" t="str">
        <f t="shared" si="123"/>
        <v>i</v>
      </c>
      <c r="K225" s="113" t="str">
        <f t="shared" si="123"/>
        <v>j</v>
      </c>
      <c r="L225" s="113" t="str">
        <f t="shared" si="123"/>
        <v>k</v>
      </c>
      <c r="M225" s="113" t="str">
        <f t="shared" si="123"/>
        <v>l</v>
      </c>
      <c r="N225" s="113" t="str">
        <f t="shared" si="123"/>
        <v>m</v>
      </c>
      <c r="O225" s="113">
        <f t="shared" si="123"/>
        <v>0</v>
      </c>
      <c r="P225" s="113">
        <f t="shared" si="123"/>
        <v>0</v>
      </c>
      <c r="Q225" s="113" t="str">
        <f t="shared" si="123"/>
        <v>p</v>
      </c>
      <c r="R225" s="113">
        <f t="shared" si="123"/>
        <v>0</v>
      </c>
      <c r="S225" s="113">
        <f t="shared" si="123"/>
        <v>0</v>
      </c>
      <c r="T225" s="113">
        <f t="shared" si="123"/>
        <v>0</v>
      </c>
      <c r="U225" s="113">
        <f t="shared" si="123"/>
        <v>0</v>
      </c>
      <c r="V225" s="113">
        <f t="shared" si="123"/>
        <v>0</v>
      </c>
      <c r="W225" s="113">
        <f t="shared" si="123"/>
        <v>0</v>
      </c>
      <c r="X225" s="113">
        <f t="shared" si="123"/>
        <v>0</v>
      </c>
      <c r="AA225" s="113">
        <v>28</v>
      </c>
      <c r="AB225" s="112">
        <f t="shared" ca="1" si="124"/>
        <v>43466</v>
      </c>
      <c r="AC225" s="428">
        <f t="shared" ca="1" si="124"/>
        <v>43830</v>
      </c>
      <c r="AD225" t="s">
        <v>513</v>
      </c>
      <c r="AF225" s="114">
        <f t="shared" ca="1" si="112"/>
        <v>21910.11</v>
      </c>
      <c r="AG225" s="114">
        <f t="shared" ca="1" si="112"/>
        <v>0</v>
      </c>
      <c r="AH225" s="114">
        <f t="shared" ca="1" si="112"/>
        <v>0</v>
      </c>
      <c r="AI225" s="114">
        <f t="shared" ca="1" si="112"/>
        <v>6384.11</v>
      </c>
      <c r="AJ225" s="114">
        <f t="shared" ca="1" si="112"/>
        <v>0</v>
      </c>
      <c r="AK225" s="114">
        <f t="shared" ca="1" si="112"/>
        <v>2345.9699999999998</v>
      </c>
      <c r="AN225">
        <f t="shared" ref="AN225:AN284" si="127">AN224+1</f>
        <v>225</v>
      </c>
      <c r="AQ225" s="114">
        <f t="shared" ref="AQ225:AQ261" ca="1" si="128">INDIRECT(CONCATENATE($AB$10,CONCATENATE(Q225,$A225)))</f>
        <v>3278.4</v>
      </c>
      <c r="AW225">
        <v>225</v>
      </c>
      <c r="BG225" s="114">
        <f t="shared" ca="1" si="125"/>
        <v>31572.620000000003</v>
      </c>
      <c r="BI225">
        <f t="shared" si="126"/>
        <v>0</v>
      </c>
    </row>
    <row r="226" spans="1:61" x14ac:dyDescent="0.25">
      <c r="A226" s="113">
        <f>A225+2</f>
        <v>970</v>
      </c>
      <c r="B226" s="113" t="str">
        <f>B225</f>
        <v>a</v>
      </c>
      <c r="C226" s="113" t="str">
        <f t="shared" si="123"/>
        <v>b</v>
      </c>
      <c r="D226" s="113" t="str">
        <f t="shared" si="123"/>
        <v>c</v>
      </c>
      <c r="E226" s="113" t="str">
        <f t="shared" si="123"/>
        <v>d</v>
      </c>
      <c r="F226" s="113" t="str">
        <f t="shared" si="123"/>
        <v>e</v>
      </c>
      <c r="G226" s="113" t="str">
        <f t="shared" si="123"/>
        <v>f</v>
      </c>
      <c r="H226" s="113" t="str">
        <f t="shared" si="123"/>
        <v>g</v>
      </c>
      <c r="I226" s="113" t="str">
        <f t="shared" si="123"/>
        <v>h</v>
      </c>
      <c r="J226" s="113" t="str">
        <f t="shared" si="123"/>
        <v>i</v>
      </c>
      <c r="K226" s="113" t="str">
        <f t="shared" si="123"/>
        <v>j</v>
      </c>
      <c r="L226" s="113" t="str">
        <f t="shared" si="123"/>
        <v>k</v>
      </c>
      <c r="M226" s="113" t="str">
        <f t="shared" si="123"/>
        <v>l</v>
      </c>
      <c r="N226" s="113" t="str">
        <f t="shared" si="123"/>
        <v>m</v>
      </c>
      <c r="O226" s="113">
        <f t="shared" si="123"/>
        <v>0</v>
      </c>
      <c r="P226" s="113">
        <f t="shared" si="123"/>
        <v>0</v>
      </c>
      <c r="Q226" s="113" t="str">
        <f t="shared" si="123"/>
        <v>p</v>
      </c>
      <c r="R226" s="113">
        <f t="shared" si="123"/>
        <v>0</v>
      </c>
      <c r="S226" s="113">
        <f t="shared" si="123"/>
        <v>0</v>
      </c>
      <c r="T226" s="113">
        <f t="shared" si="123"/>
        <v>0</v>
      </c>
      <c r="U226" s="113">
        <f t="shared" si="123"/>
        <v>0</v>
      </c>
      <c r="V226" s="113">
        <f t="shared" si="123"/>
        <v>0</v>
      </c>
      <c r="W226" s="113">
        <f t="shared" si="123"/>
        <v>0</v>
      </c>
      <c r="X226" s="113">
        <f t="shared" si="123"/>
        <v>0</v>
      </c>
      <c r="AA226" s="113">
        <v>35</v>
      </c>
      <c r="AB226" s="112">
        <f t="shared" ca="1" si="124"/>
        <v>43466</v>
      </c>
      <c r="AC226" s="428">
        <f t="shared" ca="1" si="124"/>
        <v>43830</v>
      </c>
      <c r="AD226" t="s">
        <v>514</v>
      </c>
      <c r="AF226" s="114">
        <f t="shared" ca="1" si="112"/>
        <v>23310.41</v>
      </c>
      <c r="AG226" s="114">
        <f t="shared" ca="1" si="112"/>
        <v>0</v>
      </c>
      <c r="AH226" s="114">
        <f t="shared" ca="1" si="112"/>
        <v>0</v>
      </c>
      <c r="AI226" s="114">
        <f t="shared" ca="1" si="112"/>
        <v>6384.11</v>
      </c>
      <c r="AJ226" s="114">
        <f t="shared" ca="1" si="112"/>
        <v>0</v>
      </c>
      <c r="AK226" s="114">
        <f t="shared" ca="1" si="112"/>
        <v>2462.04</v>
      </c>
      <c r="AN226">
        <f t="shared" si="127"/>
        <v>226</v>
      </c>
      <c r="AQ226" s="114">
        <f t="shared" ca="1" si="128"/>
        <v>3278.4</v>
      </c>
      <c r="AW226">
        <v>226</v>
      </c>
      <c r="BG226" s="114">
        <f t="shared" ca="1" si="125"/>
        <v>32972.92</v>
      </c>
      <c r="BI226">
        <f t="shared" si="126"/>
        <v>0</v>
      </c>
    </row>
    <row r="227" spans="1:61" x14ac:dyDescent="0.25">
      <c r="A227" s="113">
        <f>A220+20</f>
        <v>980</v>
      </c>
      <c r="B227" s="113" t="str">
        <f>B220</f>
        <v>a</v>
      </c>
      <c r="C227" s="113" t="str">
        <f t="shared" ref="C227:X227" si="129">C220</f>
        <v>b</v>
      </c>
      <c r="D227" s="113" t="str">
        <f t="shared" si="129"/>
        <v>c</v>
      </c>
      <c r="E227" s="113" t="str">
        <f t="shared" si="129"/>
        <v>d</v>
      </c>
      <c r="F227" s="113" t="str">
        <f t="shared" si="129"/>
        <v>e</v>
      </c>
      <c r="G227" s="113" t="str">
        <f t="shared" si="129"/>
        <v>f</v>
      </c>
      <c r="H227" s="113" t="str">
        <f t="shared" si="129"/>
        <v>g</v>
      </c>
      <c r="I227" s="113" t="str">
        <f t="shared" si="129"/>
        <v>h</v>
      </c>
      <c r="J227" s="113" t="str">
        <f t="shared" si="129"/>
        <v>i</v>
      </c>
      <c r="K227" s="113" t="str">
        <f t="shared" si="129"/>
        <v>j</v>
      </c>
      <c r="L227" s="113" t="str">
        <f t="shared" si="129"/>
        <v>k</v>
      </c>
      <c r="M227" s="113" t="str">
        <f t="shared" si="129"/>
        <v>l</v>
      </c>
      <c r="N227" s="113" t="str">
        <f t="shared" si="129"/>
        <v>m</v>
      </c>
      <c r="O227" s="113">
        <f t="shared" si="129"/>
        <v>0</v>
      </c>
      <c r="P227" s="113">
        <f t="shared" si="129"/>
        <v>0</v>
      </c>
      <c r="Q227" s="113" t="str">
        <f t="shared" si="129"/>
        <v>p</v>
      </c>
      <c r="R227" s="113">
        <f t="shared" si="129"/>
        <v>0</v>
      </c>
      <c r="S227" s="113">
        <f t="shared" si="129"/>
        <v>0</v>
      </c>
      <c r="T227" s="113">
        <f t="shared" si="129"/>
        <v>0</v>
      </c>
      <c r="U227" s="113">
        <f t="shared" si="129"/>
        <v>0</v>
      </c>
      <c r="V227" s="113">
        <f t="shared" si="129"/>
        <v>0</v>
      </c>
      <c r="W227" s="113">
        <f t="shared" si="129"/>
        <v>0</v>
      </c>
      <c r="X227" s="113">
        <f t="shared" si="129"/>
        <v>0</v>
      </c>
      <c r="AA227" s="113">
        <v>0</v>
      </c>
      <c r="AB227" s="112">
        <f ca="1">INDIRECT(CONCATENATE($AB$10,CONCATENATE(B227,$A227)))</f>
        <v>43831</v>
      </c>
      <c r="AC227" s="428">
        <f ca="1">INDIRECT(CONCATENATE($AB$10,CONCATENATE(C227,$A227)))</f>
        <v>44196</v>
      </c>
      <c r="AD227" t="s">
        <v>515</v>
      </c>
      <c r="AF227" s="114">
        <f t="shared" ca="1" si="112"/>
        <v>14101.489999999998</v>
      </c>
      <c r="AG227" s="114">
        <f ca="1">INDIRECT(CONCATENATE($AB$10,CONCATENATE(G227,$A227)))</f>
        <v>0</v>
      </c>
      <c r="AH227" s="114">
        <f ca="1">INDIRECT(CONCATENATE($AB$10,CONCATENATE(H227,$A227)))</f>
        <v>0</v>
      </c>
      <c r="AI227" s="114">
        <f ca="1">INDIRECT(CONCATENATE($AB$10,CONCATENATE(I227,$A227)))</f>
        <v>6384.11</v>
      </c>
      <c r="AJ227" s="114">
        <f ca="1">INDIRECT(CONCATENATE($AB$10,CONCATENATE(J227,$A227)))</f>
        <v>0</v>
      </c>
      <c r="AK227" s="114">
        <f ca="1">INDIRECT(CONCATENATE($AB$10,CONCATENATE(K227,$A227)))</f>
        <v>1690.19</v>
      </c>
      <c r="AN227">
        <f t="shared" si="127"/>
        <v>227</v>
      </c>
      <c r="AQ227" s="114">
        <f t="shared" ca="1" si="128"/>
        <v>2094</v>
      </c>
      <c r="AW227">
        <v>227</v>
      </c>
      <c r="BG227" s="114">
        <f t="shared" ca="1" si="125"/>
        <v>22579.599999999999</v>
      </c>
      <c r="BI227">
        <f t="shared" si="126"/>
        <v>0</v>
      </c>
    </row>
    <row r="228" spans="1:61" x14ac:dyDescent="0.25">
      <c r="A228" s="113">
        <f>A227</f>
        <v>980</v>
      </c>
      <c r="B228" s="113" t="str">
        <f>B227</f>
        <v>a</v>
      </c>
      <c r="C228" s="113" t="str">
        <f t="shared" ref="C228:X233" si="130">C227</f>
        <v>b</v>
      </c>
      <c r="D228" s="113" t="str">
        <f t="shared" si="130"/>
        <v>c</v>
      </c>
      <c r="E228" s="113" t="str">
        <f t="shared" si="130"/>
        <v>d</v>
      </c>
      <c r="F228" s="113" t="str">
        <f t="shared" si="130"/>
        <v>e</v>
      </c>
      <c r="G228" s="113" t="str">
        <f t="shared" si="130"/>
        <v>f</v>
      </c>
      <c r="H228" s="113" t="str">
        <f t="shared" si="130"/>
        <v>g</v>
      </c>
      <c r="I228" s="113" t="str">
        <f t="shared" si="130"/>
        <v>h</v>
      </c>
      <c r="J228" s="113" t="str">
        <f t="shared" si="130"/>
        <v>i</v>
      </c>
      <c r="K228" s="113" t="str">
        <f t="shared" si="130"/>
        <v>j</v>
      </c>
      <c r="L228" s="113" t="str">
        <f t="shared" si="130"/>
        <v>k</v>
      </c>
      <c r="M228" s="113" t="str">
        <f t="shared" si="130"/>
        <v>l</v>
      </c>
      <c r="N228" s="113" t="str">
        <f t="shared" si="130"/>
        <v>m</v>
      </c>
      <c r="O228" s="113">
        <f t="shared" si="130"/>
        <v>0</v>
      </c>
      <c r="P228" s="113">
        <f t="shared" si="130"/>
        <v>0</v>
      </c>
      <c r="Q228" s="113" t="str">
        <f t="shared" si="130"/>
        <v>p</v>
      </c>
      <c r="R228" s="113">
        <f t="shared" si="130"/>
        <v>0</v>
      </c>
      <c r="S228" s="113">
        <f t="shared" si="130"/>
        <v>0</v>
      </c>
      <c r="T228" s="113">
        <f t="shared" si="130"/>
        <v>0</v>
      </c>
      <c r="U228" s="113">
        <f t="shared" si="130"/>
        <v>0</v>
      </c>
      <c r="V228" s="113">
        <f t="shared" si="130"/>
        <v>0</v>
      </c>
      <c r="W228" s="113">
        <f t="shared" si="130"/>
        <v>0</v>
      </c>
      <c r="X228" s="113">
        <f t="shared" si="130"/>
        <v>0</v>
      </c>
      <c r="AA228" s="113">
        <v>3</v>
      </c>
      <c r="AB228" s="112">
        <f t="shared" ref="AB228:AC233" ca="1" si="131">AB227</f>
        <v>43831</v>
      </c>
      <c r="AC228" s="428">
        <f t="shared" ca="1" si="131"/>
        <v>44196</v>
      </c>
      <c r="AD228" t="s">
        <v>516</v>
      </c>
      <c r="AE228" s="114">
        <f ca="1">AE221</f>
        <v>522.04999999999995</v>
      </c>
      <c r="AF228" s="114">
        <f t="shared" ca="1" si="112"/>
        <v>14101.489999999998</v>
      </c>
      <c r="AG228" s="114">
        <f t="shared" ca="1" si="112"/>
        <v>0</v>
      </c>
      <c r="AH228" s="114">
        <f t="shared" ca="1" si="112"/>
        <v>0</v>
      </c>
      <c r="AI228" s="114">
        <f t="shared" ca="1" si="112"/>
        <v>6384.11</v>
      </c>
      <c r="AJ228" s="114">
        <f t="shared" ca="1" si="112"/>
        <v>0</v>
      </c>
      <c r="AK228" s="114">
        <f t="shared" ca="1" si="112"/>
        <v>1690.19</v>
      </c>
      <c r="AN228">
        <f t="shared" si="127"/>
        <v>228</v>
      </c>
      <c r="AQ228" s="114">
        <f t="shared" ca="1" si="128"/>
        <v>2094</v>
      </c>
      <c r="AW228">
        <v>228</v>
      </c>
      <c r="BG228" s="114">
        <f t="shared" ca="1" si="125"/>
        <v>22579.599999999999</v>
      </c>
      <c r="BI228">
        <f t="shared" ca="1" si="126"/>
        <v>522.04999999999995</v>
      </c>
    </row>
    <row r="229" spans="1:61" x14ac:dyDescent="0.25">
      <c r="A229" s="113">
        <f>A228+2</f>
        <v>982</v>
      </c>
      <c r="B229" s="113" t="str">
        <f>B228</f>
        <v>a</v>
      </c>
      <c r="C229" s="113" t="str">
        <f t="shared" si="130"/>
        <v>b</v>
      </c>
      <c r="D229" s="113" t="str">
        <f t="shared" si="130"/>
        <v>c</v>
      </c>
      <c r="E229" s="113" t="str">
        <f t="shared" si="130"/>
        <v>d</v>
      </c>
      <c r="F229" s="113" t="str">
        <f t="shared" si="130"/>
        <v>e</v>
      </c>
      <c r="G229" s="113" t="str">
        <f t="shared" si="130"/>
        <v>f</v>
      </c>
      <c r="H229" s="113" t="str">
        <f t="shared" si="130"/>
        <v>g</v>
      </c>
      <c r="I229" s="113" t="str">
        <f t="shared" si="130"/>
        <v>h</v>
      </c>
      <c r="J229" s="113" t="str">
        <f t="shared" si="130"/>
        <v>i</v>
      </c>
      <c r="K229" s="113" t="str">
        <f t="shared" si="130"/>
        <v>j</v>
      </c>
      <c r="L229" s="113" t="str">
        <f t="shared" si="130"/>
        <v>k</v>
      </c>
      <c r="M229" s="113" t="str">
        <f t="shared" si="130"/>
        <v>l</v>
      </c>
      <c r="N229" s="113" t="str">
        <f t="shared" si="130"/>
        <v>m</v>
      </c>
      <c r="O229" s="113">
        <f t="shared" si="130"/>
        <v>0</v>
      </c>
      <c r="P229" s="113">
        <f t="shared" si="130"/>
        <v>0</v>
      </c>
      <c r="Q229" s="113" t="str">
        <f t="shared" si="130"/>
        <v>p</v>
      </c>
      <c r="R229" s="113">
        <f t="shared" si="130"/>
        <v>0</v>
      </c>
      <c r="S229" s="113">
        <f t="shared" si="130"/>
        <v>0</v>
      </c>
      <c r="T229" s="113">
        <f t="shared" si="130"/>
        <v>0</v>
      </c>
      <c r="U229" s="113">
        <f t="shared" si="130"/>
        <v>0</v>
      </c>
      <c r="V229" s="113">
        <f t="shared" si="130"/>
        <v>0</v>
      </c>
      <c r="W229" s="113">
        <f t="shared" si="130"/>
        <v>0</v>
      </c>
      <c r="X229" s="113">
        <f t="shared" si="130"/>
        <v>0</v>
      </c>
      <c r="AA229" s="113">
        <v>9</v>
      </c>
      <c r="AB229" s="112">
        <f t="shared" ca="1" si="131"/>
        <v>43831</v>
      </c>
      <c r="AC229" s="428">
        <f t="shared" ca="1" si="131"/>
        <v>44196</v>
      </c>
      <c r="AD229" t="s">
        <v>510</v>
      </c>
      <c r="AF229" s="114">
        <f t="shared" ca="1" si="112"/>
        <v>16341.68</v>
      </c>
      <c r="AG229" s="114">
        <f t="shared" ca="1" si="112"/>
        <v>0</v>
      </c>
      <c r="AH229" s="114">
        <f t="shared" ca="1" si="112"/>
        <v>0</v>
      </c>
      <c r="AI229" s="114">
        <f t="shared" ca="1" si="112"/>
        <v>6384.11</v>
      </c>
      <c r="AJ229" s="114">
        <f t="shared" ca="1" si="112"/>
        <v>0</v>
      </c>
      <c r="AK229" s="114">
        <f t="shared" ca="1" si="112"/>
        <v>1874.95</v>
      </c>
      <c r="AN229">
        <f t="shared" si="127"/>
        <v>229</v>
      </c>
      <c r="AQ229" s="114">
        <f t="shared" ca="1" si="128"/>
        <v>2094</v>
      </c>
      <c r="AW229">
        <v>229</v>
      </c>
      <c r="BG229" s="114">
        <f t="shared" ca="1" si="125"/>
        <v>24819.79</v>
      </c>
      <c r="BI229">
        <f t="shared" si="126"/>
        <v>0</v>
      </c>
    </row>
    <row r="230" spans="1:61" x14ac:dyDescent="0.25">
      <c r="A230" s="113">
        <f>A229+2</f>
        <v>984</v>
      </c>
      <c r="B230" s="113" t="str">
        <f>B229</f>
        <v>a</v>
      </c>
      <c r="C230" s="113" t="str">
        <f t="shared" si="130"/>
        <v>b</v>
      </c>
      <c r="D230" s="113" t="str">
        <f t="shared" si="130"/>
        <v>c</v>
      </c>
      <c r="E230" s="113" t="str">
        <f t="shared" si="130"/>
        <v>d</v>
      </c>
      <c r="F230" s="113" t="str">
        <f t="shared" si="130"/>
        <v>e</v>
      </c>
      <c r="G230" s="113" t="str">
        <f t="shared" si="130"/>
        <v>f</v>
      </c>
      <c r="H230" s="113" t="str">
        <f t="shared" si="130"/>
        <v>g</v>
      </c>
      <c r="I230" s="113" t="str">
        <f t="shared" si="130"/>
        <v>h</v>
      </c>
      <c r="J230" s="113" t="str">
        <f t="shared" si="130"/>
        <v>i</v>
      </c>
      <c r="K230" s="113" t="str">
        <f t="shared" si="130"/>
        <v>j</v>
      </c>
      <c r="L230" s="113" t="str">
        <f t="shared" si="130"/>
        <v>k</v>
      </c>
      <c r="M230" s="113" t="str">
        <f t="shared" si="130"/>
        <v>l</v>
      </c>
      <c r="N230" s="113" t="str">
        <f t="shared" si="130"/>
        <v>m</v>
      </c>
      <c r="O230" s="113">
        <f t="shared" si="130"/>
        <v>0</v>
      </c>
      <c r="P230" s="113">
        <f t="shared" si="130"/>
        <v>0</v>
      </c>
      <c r="Q230" s="113" t="str">
        <f t="shared" si="130"/>
        <v>p</v>
      </c>
      <c r="R230" s="113">
        <f t="shared" si="130"/>
        <v>0</v>
      </c>
      <c r="S230" s="113">
        <f t="shared" si="130"/>
        <v>0</v>
      </c>
      <c r="T230" s="113">
        <f t="shared" si="130"/>
        <v>0</v>
      </c>
      <c r="U230" s="113">
        <f t="shared" si="130"/>
        <v>0</v>
      </c>
      <c r="V230" s="113">
        <f t="shared" si="130"/>
        <v>0</v>
      </c>
      <c r="W230" s="113">
        <f t="shared" si="130"/>
        <v>0</v>
      </c>
      <c r="X230" s="113">
        <f t="shared" si="130"/>
        <v>0</v>
      </c>
      <c r="AA230" s="113">
        <v>15</v>
      </c>
      <c r="AB230" s="112">
        <f t="shared" ca="1" si="131"/>
        <v>43831</v>
      </c>
      <c r="AC230" s="428">
        <f t="shared" ca="1" si="131"/>
        <v>44196</v>
      </c>
      <c r="AD230" t="s">
        <v>511</v>
      </c>
      <c r="AF230" s="114">
        <f t="shared" ca="1" si="112"/>
        <v>18312.079999999998</v>
      </c>
      <c r="AG230" s="114">
        <f t="shared" ca="1" si="112"/>
        <v>0</v>
      </c>
      <c r="AH230" s="114">
        <f t="shared" ca="1" si="112"/>
        <v>0</v>
      </c>
      <c r="AI230" s="114">
        <f t="shared" ca="1" si="112"/>
        <v>6384.11</v>
      </c>
      <c r="AJ230" s="114">
        <f t="shared" ca="1" si="112"/>
        <v>0</v>
      </c>
      <c r="AK230" s="114">
        <f t="shared" ca="1" si="112"/>
        <v>2037.57</v>
      </c>
      <c r="AN230">
        <f t="shared" si="127"/>
        <v>230</v>
      </c>
      <c r="AQ230" s="114">
        <f t="shared" ca="1" si="128"/>
        <v>2577.6</v>
      </c>
      <c r="AW230">
        <v>230</v>
      </c>
      <c r="BG230" s="114">
        <f t="shared" ca="1" si="125"/>
        <v>27273.789999999997</v>
      </c>
      <c r="BI230">
        <f t="shared" si="126"/>
        <v>0</v>
      </c>
    </row>
    <row r="231" spans="1:61" x14ac:dyDescent="0.25">
      <c r="A231" s="113">
        <f>A230+2</f>
        <v>986</v>
      </c>
      <c r="B231" s="113" t="str">
        <f>B230</f>
        <v>a</v>
      </c>
      <c r="C231" s="113" t="str">
        <f t="shared" si="130"/>
        <v>b</v>
      </c>
      <c r="D231" s="113" t="str">
        <f t="shared" si="130"/>
        <v>c</v>
      </c>
      <c r="E231" s="113" t="str">
        <f t="shared" si="130"/>
        <v>d</v>
      </c>
      <c r="F231" s="113" t="str">
        <f t="shared" si="130"/>
        <v>e</v>
      </c>
      <c r="G231" s="113" t="str">
        <f t="shared" si="130"/>
        <v>f</v>
      </c>
      <c r="H231" s="113" t="str">
        <f t="shared" si="130"/>
        <v>g</v>
      </c>
      <c r="I231" s="113" t="str">
        <f t="shared" si="130"/>
        <v>h</v>
      </c>
      <c r="J231" s="113" t="str">
        <f t="shared" si="130"/>
        <v>i</v>
      </c>
      <c r="K231" s="113" t="str">
        <f t="shared" si="130"/>
        <v>j</v>
      </c>
      <c r="L231" s="113" t="str">
        <f t="shared" si="130"/>
        <v>k</v>
      </c>
      <c r="M231" s="113" t="str">
        <f t="shared" si="130"/>
        <v>l</v>
      </c>
      <c r="N231" s="113" t="str">
        <f t="shared" si="130"/>
        <v>m</v>
      </c>
      <c r="O231" s="113">
        <f t="shared" si="130"/>
        <v>0</v>
      </c>
      <c r="P231" s="113">
        <f t="shared" si="130"/>
        <v>0</v>
      </c>
      <c r="Q231" s="113" t="str">
        <f t="shared" si="130"/>
        <v>p</v>
      </c>
      <c r="R231" s="113">
        <f t="shared" si="130"/>
        <v>0</v>
      </c>
      <c r="S231" s="113">
        <f t="shared" si="130"/>
        <v>0</v>
      </c>
      <c r="T231" s="113">
        <f t="shared" si="130"/>
        <v>0</v>
      </c>
      <c r="U231" s="113">
        <f t="shared" si="130"/>
        <v>0</v>
      </c>
      <c r="V231" s="113">
        <f t="shared" si="130"/>
        <v>0</v>
      </c>
      <c r="W231" s="113">
        <f t="shared" si="130"/>
        <v>0</v>
      </c>
      <c r="X231" s="113">
        <f t="shared" si="130"/>
        <v>0</v>
      </c>
      <c r="AA231" s="113">
        <v>21</v>
      </c>
      <c r="AB231" s="112">
        <f t="shared" ca="1" si="131"/>
        <v>43831</v>
      </c>
      <c r="AC231" s="428">
        <f t="shared" ca="1" si="131"/>
        <v>44196</v>
      </c>
      <c r="AD231" t="s">
        <v>512</v>
      </c>
      <c r="AF231" s="114">
        <f t="shared" ca="1" si="112"/>
        <v>20239.079999999998</v>
      </c>
      <c r="AG231" s="114">
        <f t="shared" ca="1" si="112"/>
        <v>0</v>
      </c>
      <c r="AH231" s="114">
        <f t="shared" ca="1" si="112"/>
        <v>0</v>
      </c>
      <c r="AI231" s="114">
        <f t="shared" ca="1" si="112"/>
        <v>6384.11</v>
      </c>
      <c r="AJ231" s="114">
        <f t="shared" ca="1" si="112"/>
        <v>0</v>
      </c>
      <c r="AK231" s="114">
        <f t="shared" ca="1" si="112"/>
        <v>2196.5700000000002</v>
      </c>
      <c r="AN231">
        <f t="shared" si="127"/>
        <v>231</v>
      </c>
      <c r="AQ231" s="114">
        <f t="shared" ca="1" si="128"/>
        <v>2577.6</v>
      </c>
      <c r="AW231">
        <v>231</v>
      </c>
      <c r="BG231" s="114">
        <f t="shared" ca="1" si="125"/>
        <v>29200.789999999997</v>
      </c>
      <c r="BI231">
        <f t="shared" si="126"/>
        <v>0</v>
      </c>
    </row>
    <row r="232" spans="1:61" x14ac:dyDescent="0.25">
      <c r="A232" s="113">
        <f>A231+2</f>
        <v>988</v>
      </c>
      <c r="B232" s="113" t="str">
        <f>B231</f>
        <v>a</v>
      </c>
      <c r="C232" s="113" t="str">
        <f t="shared" si="130"/>
        <v>b</v>
      </c>
      <c r="D232" s="113" t="str">
        <f t="shared" si="130"/>
        <v>c</v>
      </c>
      <c r="E232" s="113" t="str">
        <f t="shared" si="130"/>
        <v>d</v>
      </c>
      <c r="F232" s="113" t="str">
        <f t="shared" si="130"/>
        <v>e</v>
      </c>
      <c r="G232" s="113" t="str">
        <f t="shared" si="130"/>
        <v>f</v>
      </c>
      <c r="H232" s="113" t="str">
        <f t="shared" si="130"/>
        <v>g</v>
      </c>
      <c r="I232" s="113" t="str">
        <f t="shared" si="130"/>
        <v>h</v>
      </c>
      <c r="J232" s="113" t="str">
        <f t="shared" si="130"/>
        <v>i</v>
      </c>
      <c r="K232" s="113" t="str">
        <f t="shared" si="130"/>
        <v>j</v>
      </c>
      <c r="L232" s="113" t="str">
        <f t="shared" si="130"/>
        <v>k</v>
      </c>
      <c r="M232" s="113" t="str">
        <f t="shared" si="130"/>
        <v>l</v>
      </c>
      <c r="N232" s="113" t="str">
        <f t="shared" si="130"/>
        <v>m</v>
      </c>
      <c r="O232" s="113">
        <f t="shared" si="130"/>
        <v>0</v>
      </c>
      <c r="P232" s="113">
        <f t="shared" si="130"/>
        <v>0</v>
      </c>
      <c r="Q232" s="113" t="str">
        <f t="shared" si="130"/>
        <v>p</v>
      </c>
      <c r="R232" s="113">
        <f t="shared" si="130"/>
        <v>0</v>
      </c>
      <c r="S232" s="113">
        <f t="shared" si="130"/>
        <v>0</v>
      </c>
      <c r="T232" s="113">
        <f t="shared" si="130"/>
        <v>0</v>
      </c>
      <c r="U232" s="113">
        <f t="shared" si="130"/>
        <v>0</v>
      </c>
      <c r="V232" s="113">
        <f t="shared" si="130"/>
        <v>0</v>
      </c>
      <c r="W232" s="113">
        <f t="shared" si="130"/>
        <v>0</v>
      </c>
      <c r="X232" s="113">
        <f t="shared" si="130"/>
        <v>0</v>
      </c>
      <c r="AA232" s="113">
        <v>28</v>
      </c>
      <c r="AB232" s="112">
        <f t="shared" ca="1" si="131"/>
        <v>43831</v>
      </c>
      <c r="AC232" s="428">
        <f t="shared" ca="1" si="131"/>
        <v>44196</v>
      </c>
      <c r="AD232" t="s">
        <v>513</v>
      </c>
      <c r="AF232" s="114">
        <f t="shared" ca="1" si="112"/>
        <v>22129.71</v>
      </c>
      <c r="AG232" s="114">
        <f t="shared" ca="1" si="112"/>
        <v>0</v>
      </c>
      <c r="AH232" s="114">
        <f t="shared" ca="1" si="112"/>
        <v>0</v>
      </c>
      <c r="AI232" s="114">
        <f t="shared" ca="1" si="112"/>
        <v>6384.11</v>
      </c>
      <c r="AJ232" s="114">
        <f t="shared" ca="1" si="112"/>
        <v>0</v>
      </c>
      <c r="AK232" s="114">
        <f t="shared" ca="1" si="112"/>
        <v>2352.5100000000002</v>
      </c>
      <c r="AN232">
        <f t="shared" si="127"/>
        <v>232</v>
      </c>
      <c r="AQ232" s="114">
        <f t="shared" ca="1" si="128"/>
        <v>3278.4</v>
      </c>
      <c r="AW232">
        <v>232</v>
      </c>
      <c r="BG232" s="114">
        <f t="shared" ca="1" si="125"/>
        <v>31792.22</v>
      </c>
      <c r="BI232">
        <f t="shared" si="126"/>
        <v>0</v>
      </c>
    </row>
    <row r="233" spans="1:61" x14ac:dyDescent="0.25">
      <c r="A233" s="113">
        <f>A232+2</f>
        <v>990</v>
      </c>
      <c r="B233" s="113" t="str">
        <f>B232</f>
        <v>a</v>
      </c>
      <c r="C233" s="113" t="str">
        <f t="shared" si="130"/>
        <v>b</v>
      </c>
      <c r="D233" s="113" t="str">
        <f t="shared" si="130"/>
        <v>c</v>
      </c>
      <c r="E233" s="113" t="str">
        <f t="shared" si="130"/>
        <v>d</v>
      </c>
      <c r="F233" s="113" t="str">
        <f t="shared" si="130"/>
        <v>e</v>
      </c>
      <c r="G233" s="113" t="str">
        <f t="shared" si="130"/>
        <v>f</v>
      </c>
      <c r="H233" s="113" t="str">
        <f t="shared" si="130"/>
        <v>g</v>
      </c>
      <c r="I233" s="113" t="str">
        <f t="shared" si="130"/>
        <v>h</v>
      </c>
      <c r="J233" s="113" t="str">
        <f t="shared" si="130"/>
        <v>i</v>
      </c>
      <c r="K233" s="113" t="str">
        <f t="shared" si="130"/>
        <v>j</v>
      </c>
      <c r="L233" s="113" t="str">
        <f t="shared" si="130"/>
        <v>k</v>
      </c>
      <c r="M233" s="113" t="str">
        <f t="shared" si="130"/>
        <v>l</v>
      </c>
      <c r="N233" s="113" t="str">
        <f t="shared" si="130"/>
        <v>m</v>
      </c>
      <c r="O233" s="113">
        <f t="shared" si="130"/>
        <v>0</v>
      </c>
      <c r="P233" s="113">
        <f t="shared" si="130"/>
        <v>0</v>
      </c>
      <c r="Q233" s="113" t="str">
        <f t="shared" si="130"/>
        <v>p</v>
      </c>
      <c r="R233" s="113">
        <f t="shared" si="130"/>
        <v>0</v>
      </c>
      <c r="S233" s="113">
        <f t="shared" si="130"/>
        <v>0</v>
      </c>
      <c r="T233" s="113">
        <f t="shared" si="130"/>
        <v>0</v>
      </c>
      <c r="U233" s="113">
        <f t="shared" si="130"/>
        <v>0</v>
      </c>
      <c r="V233" s="113">
        <f t="shared" si="130"/>
        <v>0</v>
      </c>
      <c r="W233" s="113">
        <f t="shared" si="130"/>
        <v>0</v>
      </c>
      <c r="X233" s="113">
        <f t="shared" si="130"/>
        <v>0</v>
      </c>
      <c r="AA233" s="113">
        <v>35</v>
      </c>
      <c r="AB233" s="112">
        <f t="shared" ca="1" si="131"/>
        <v>43831</v>
      </c>
      <c r="AC233" s="428">
        <f t="shared" ca="1" si="131"/>
        <v>44196</v>
      </c>
      <c r="AD233" t="s">
        <v>514</v>
      </c>
      <c r="AF233" s="114">
        <f t="shared" ca="1" si="112"/>
        <v>23539.61</v>
      </c>
      <c r="AG233" s="114">
        <f t="shared" ca="1" si="112"/>
        <v>0</v>
      </c>
      <c r="AH233" s="114">
        <f t="shared" ca="1" si="112"/>
        <v>0</v>
      </c>
      <c r="AI233" s="114">
        <f t="shared" ca="1" si="112"/>
        <v>6384.11</v>
      </c>
      <c r="AJ233" s="114">
        <f t="shared" ca="1" si="112"/>
        <v>0</v>
      </c>
      <c r="AK233" s="114">
        <f t="shared" ca="1" si="112"/>
        <v>2468.9</v>
      </c>
      <c r="AN233">
        <f t="shared" si="127"/>
        <v>233</v>
      </c>
      <c r="AQ233" s="114">
        <f t="shared" ca="1" si="128"/>
        <v>3278.4</v>
      </c>
      <c r="AW233">
        <v>233</v>
      </c>
      <c r="BG233" s="114">
        <f t="shared" ca="1" si="125"/>
        <v>33202.120000000003</v>
      </c>
      <c r="BI233">
        <f t="shared" si="126"/>
        <v>0</v>
      </c>
    </row>
    <row r="234" spans="1:61" x14ac:dyDescent="0.25">
      <c r="A234" s="113">
        <f>A227+20</f>
        <v>1000</v>
      </c>
      <c r="B234" s="113" t="str">
        <f>B227</f>
        <v>a</v>
      </c>
      <c r="C234" s="113" t="str">
        <f t="shared" ref="C234:X234" si="132">C227</f>
        <v>b</v>
      </c>
      <c r="D234" s="113" t="str">
        <f t="shared" si="132"/>
        <v>c</v>
      </c>
      <c r="E234" s="113" t="str">
        <f t="shared" si="132"/>
        <v>d</v>
      </c>
      <c r="F234" s="113" t="str">
        <f t="shared" si="132"/>
        <v>e</v>
      </c>
      <c r="G234" s="113" t="str">
        <f t="shared" si="132"/>
        <v>f</v>
      </c>
      <c r="H234" s="113" t="str">
        <f t="shared" si="132"/>
        <v>g</v>
      </c>
      <c r="I234" s="113" t="str">
        <f t="shared" si="132"/>
        <v>h</v>
      </c>
      <c r="J234" s="113" t="str">
        <f t="shared" si="132"/>
        <v>i</v>
      </c>
      <c r="K234" s="113" t="str">
        <f t="shared" si="132"/>
        <v>j</v>
      </c>
      <c r="L234" s="113" t="str">
        <f t="shared" si="132"/>
        <v>k</v>
      </c>
      <c r="M234" s="113" t="str">
        <f t="shared" si="132"/>
        <v>l</v>
      </c>
      <c r="N234" s="113" t="str">
        <f t="shared" si="132"/>
        <v>m</v>
      </c>
      <c r="O234" s="113">
        <f t="shared" si="132"/>
        <v>0</v>
      </c>
      <c r="P234" s="113">
        <f t="shared" si="132"/>
        <v>0</v>
      </c>
      <c r="Q234" s="113" t="str">
        <f t="shared" si="132"/>
        <v>p</v>
      </c>
      <c r="R234" s="113">
        <f t="shared" si="132"/>
        <v>0</v>
      </c>
      <c r="S234" s="113">
        <f t="shared" si="132"/>
        <v>0</v>
      </c>
      <c r="T234" s="113">
        <f t="shared" si="132"/>
        <v>0</v>
      </c>
      <c r="U234" s="113">
        <f t="shared" si="132"/>
        <v>0</v>
      </c>
      <c r="V234" s="113">
        <f t="shared" si="132"/>
        <v>0</v>
      </c>
      <c r="W234" s="113">
        <f t="shared" si="132"/>
        <v>0</v>
      </c>
      <c r="X234" s="113">
        <f t="shared" si="132"/>
        <v>0</v>
      </c>
      <c r="AA234" s="113">
        <v>0</v>
      </c>
      <c r="AB234" s="112">
        <f ca="1">INDIRECT(CONCATENATE($AB$10,CONCATENATE(B234,$A234)))</f>
        <v>44197</v>
      </c>
      <c r="AC234" s="428">
        <f ca="1">INDIRECT(CONCATENATE($AB$10,CONCATENATE(C234,$A234)))</f>
        <v>44561</v>
      </c>
      <c r="AD234" t="s">
        <v>515</v>
      </c>
      <c r="AF234" s="114">
        <f t="shared" ca="1" si="112"/>
        <v>14513.09</v>
      </c>
      <c r="AG234" s="114">
        <f ca="1">INDIRECT(CONCATENATE($AB$10,CONCATENATE(G234,$A234)))</f>
        <v>0</v>
      </c>
      <c r="AH234" s="114">
        <f ca="1">INDIRECT(CONCATENATE($AB$10,CONCATENATE(H234,$A234)))</f>
        <v>0</v>
      </c>
      <c r="AI234" s="114">
        <f ca="1">INDIRECT(CONCATENATE($AB$10,CONCATENATE(I234,$A234)))</f>
        <v>6384.11</v>
      </c>
      <c r="AJ234" s="114">
        <f ca="1">INDIRECT(CONCATENATE($AB$10,CONCATENATE(J234,$A234)))</f>
        <v>0</v>
      </c>
      <c r="AK234" s="114">
        <f ca="1">INDIRECT(CONCATENATE($AB$10,CONCATENATE(K234,$A234)))</f>
        <v>1690.19</v>
      </c>
      <c r="AN234">
        <f t="shared" si="127"/>
        <v>234</v>
      </c>
      <c r="AQ234" s="114">
        <f t="shared" ca="1" si="128"/>
        <v>2094</v>
      </c>
      <c r="AW234">
        <v>234</v>
      </c>
      <c r="BG234" s="114">
        <f t="shared" ca="1" si="125"/>
        <v>22991.200000000001</v>
      </c>
      <c r="BI234">
        <f t="shared" si="126"/>
        <v>0</v>
      </c>
    </row>
    <row r="235" spans="1:61" x14ac:dyDescent="0.25">
      <c r="A235" s="113">
        <f>A234</f>
        <v>1000</v>
      </c>
      <c r="B235" s="113" t="str">
        <f>B234</f>
        <v>a</v>
      </c>
      <c r="C235" s="113" t="str">
        <f t="shared" ref="C235:X240" si="133">C234</f>
        <v>b</v>
      </c>
      <c r="D235" s="113" t="str">
        <f t="shared" si="133"/>
        <v>c</v>
      </c>
      <c r="E235" s="113" t="str">
        <f t="shared" si="133"/>
        <v>d</v>
      </c>
      <c r="F235" s="113" t="str">
        <f t="shared" si="133"/>
        <v>e</v>
      </c>
      <c r="G235" s="113" t="str">
        <f t="shared" si="133"/>
        <v>f</v>
      </c>
      <c r="H235" s="113" t="str">
        <f t="shared" si="133"/>
        <v>g</v>
      </c>
      <c r="I235" s="113" t="str">
        <f t="shared" si="133"/>
        <v>h</v>
      </c>
      <c r="J235" s="113" t="str">
        <f t="shared" si="133"/>
        <v>i</v>
      </c>
      <c r="K235" s="113" t="str">
        <f t="shared" si="133"/>
        <v>j</v>
      </c>
      <c r="L235" s="113" t="str">
        <f t="shared" si="133"/>
        <v>k</v>
      </c>
      <c r="M235" s="113" t="str">
        <f t="shared" si="133"/>
        <v>l</v>
      </c>
      <c r="N235" s="113" t="str">
        <f t="shared" si="133"/>
        <v>m</v>
      </c>
      <c r="O235" s="113">
        <f t="shared" si="133"/>
        <v>0</v>
      </c>
      <c r="P235" s="113">
        <f t="shared" si="133"/>
        <v>0</v>
      </c>
      <c r="Q235" s="113" t="str">
        <f t="shared" si="133"/>
        <v>p</v>
      </c>
      <c r="R235" s="113">
        <f t="shared" si="133"/>
        <v>0</v>
      </c>
      <c r="S235" s="113">
        <f t="shared" si="133"/>
        <v>0</v>
      </c>
      <c r="T235" s="113">
        <f t="shared" si="133"/>
        <v>0</v>
      </c>
      <c r="U235" s="113">
        <f t="shared" si="133"/>
        <v>0</v>
      </c>
      <c r="V235" s="113">
        <f t="shared" si="133"/>
        <v>0</v>
      </c>
      <c r="W235" s="113">
        <f t="shared" si="133"/>
        <v>0</v>
      </c>
      <c r="X235" s="113">
        <f t="shared" si="133"/>
        <v>0</v>
      </c>
      <c r="AA235" s="113">
        <v>3</v>
      </c>
      <c r="AB235" s="112">
        <f t="shared" ref="AB235:AC240" ca="1" si="134">AB234</f>
        <v>44197</v>
      </c>
      <c r="AC235" s="428">
        <f t="shared" ca="1" si="134"/>
        <v>44561</v>
      </c>
      <c r="AD235" t="s">
        <v>516</v>
      </c>
      <c r="AE235" s="114">
        <f ca="1">AE228</f>
        <v>522.04999999999995</v>
      </c>
      <c r="AF235" s="114">
        <f t="shared" ca="1" si="112"/>
        <v>14513.09</v>
      </c>
      <c r="AG235" s="114">
        <f t="shared" ca="1" si="112"/>
        <v>0</v>
      </c>
      <c r="AH235" s="114">
        <f t="shared" ca="1" si="112"/>
        <v>0</v>
      </c>
      <c r="AI235" s="114">
        <f t="shared" ca="1" si="112"/>
        <v>6384.11</v>
      </c>
      <c r="AJ235" s="114">
        <f t="shared" ca="1" si="112"/>
        <v>0</v>
      </c>
      <c r="AK235" s="114">
        <f t="shared" ca="1" si="112"/>
        <v>1690.19</v>
      </c>
      <c r="AN235">
        <f t="shared" si="127"/>
        <v>235</v>
      </c>
      <c r="AQ235" s="114">
        <f t="shared" ca="1" si="128"/>
        <v>2094</v>
      </c>
      <c r="AW235">
        <v>235</v>
      </c>
      <c r="BG235" s="114">
        <f t="shared" ca="1" si="125"/>
        <v>22991.200000000001</v>
      </c>
      <c r="BI235">
        <f t="shared" ca="1" si="126"/>
        <v>522.04999999999995</v>
      </c>
    </row>
    <row r="236" spans="1:61" x14ac:dyDescent="0.25">
      <c r="A236" s="113">
        <f>A235+2</f>
        <v>1002</v>
      </c>
      <c r="B236" s="113" t="str">
        <f>B235</f>
        <v>a</v>
      </c>
      <c r="C236" s="113" t="str">
        <f t="shared" si="133"/>
        <v>b</v>
      </c>
      <c r="D236" s="113" t="str">
        <f t="shared" si="133"/>
        <v>c</v>
      </c>
      <c r="E236" s="113" t="str">
        <f t="shared" si="133"/>
        <v>d</v>
      </c>
      <c r="F236" s="113" t="str">
        <f t="shared" si="133"/>
        <v>e</v>
      </c>
      <c r="G236" s="113" t="str">
        <f t="shared" si="133"/>
        <v>f</v>
      </c>
      <c r="H236" s="113" t="str">
        <f t="shared" si="133"/>
        <v>g</v>
      </c>
      <c r="I236" s="113" t="str">
        <f t="shared" si="133"/>
        <v>h</v>
      </c>
      <c r="J236" s="113" t="str">
        <f t="shared" si="133"/>
        <v>i</v>
      </c>
      <c r="K236" s="113" t="str">
        <f t="shared" si="133"/>
        <v>j</v>
      </c>
      <c r="L236" s="113" t="str">
        <f t="shared" si="133"/>
        <v>k</v>
      </c>
      <c r="M236" s="113" t="str">
        <f t="shared" si="133"/>
        <v>l</v>
      </c>
      <c r="N236" s="113" t="str">
        <f t="shared" si="133"/>
        <v>m</v>
      </c>
      <c r="O236" s="113">
        <f t="shared" si="133"/>
        <v>0</v>
      </c>
      <c r="P236" s="113">
        <f t="shared" si="133"/>
        <v>0</v>
      </c>
      <c r="Q236" s="113" t="str">
        <f t="shared" si="133"/>
        <v>p</v>
      </c>
      <c r="R236" s="113">
        <f t="shared" si="133"/>
        <v>0</v>
      </c>
      <c r="S236" s="113">
        <f t="shared" si="133"/>
        <v>0</v>
      </c>
      <c r="T236" s="113">
        <f t="shared" si="133"/>
        <v>0</v>
      </c>
      <c r="U236" s="113">
        <f t="shared" si="133"/>
        <v>0</v>
      </c>
      <c r="V236" s="113">
        <f t="shared" si="133"/>
        <v>0</v>
      </c>
      <c r="W236" s="113">
        <f t="shared" si="133"/>
        <v>0</v>
      </c>
      <c r="X236" s="113">
        <f t="shared" si="133"/>
        <v>0</v>
      </c>
      <c r="AA236" s="113">
        <v>9</v>
      </c>
      <c r="AB236" s="112">
        <f t="shared" ca="1" si="134"/>
        <v>44197</v>
      </c>
      <c r="AC236" s="428">
        <f t="shared" ca="1" si="134"/>
        <v>44561</v>
      </c>
      <c r="AD236" t="s">
        <v>510</v>
      </c>
      <c r="AF236" s="114">
        <f t="shared" ca="1" si="112"/>
        <v>16798.88</v>
      </c>
      <c r="AG236" s="114">
        <f t="shared" ca="1" si="112"/>
        <v>0</v>
      </c>
      <c r="AH236" s="114">
        <f t="shared" ca="1" si="112"/>
        <v>0</v>
      </c>
      <c r="AI236" s="114">
        <f t="shared" ca="1" si="112"/>
        <v>6384.11</v>
      </c>
      <c r="AJ236" s="114">
        <f t="shared" ca="1" si="112"/>
        <v>0</v>
      </c>
      <c r="AK236" s="114">
        <f t="shared" ca="1" si="112"/>
        <v>1874.95</v>
      </c>
      <c r="AN236">
        <f t="shared" si="127"/>
        <v>236</v>
      </c>
      <c r="AQ236" s="114">
        <f t="shared" ca="1" si="128"/>
        <v>2094</v>
      </c>
      <c r="AW236">
        <v>236</v>
      </c>
      <c r="BG236" s="114">
        <f t="shared" ca="1" si="125"/>
        <v>25276.99</v>
      </c>
      <c r="BI236">
        <f t="shared" si="126"/>
        <v>0</v>
      </c>
    </row>
    <row r="237" spans="1:61" x14ac:dyDescent="0.25">
      <c r="A237" s="113">
        <f>A236+2</f>
        <v>1004</v>
      </c>
      <c r="B237" s="113" t="str">
        <f>B236</f>
        <v>a</v>
      </c>
      <c r="C237" s="113" t="str">
        <f t="shared" si="133"/>
        <v>b</v>
      </c>
      <c r="D237" s="113" t="str">
        <f t="shared" si="133"/>
        <v>c</v>
      </c>
      <c r="E237" s="113" t="str">
        <f t="shared" si="133"/>
        <v>d</v>
      </c>
      <c r="F237" s="113" t="str">
        <f t="shared" si="133"/>
        <v>e</v>
      </c>
      <c r="G237" s="113" t="str">
        <f t="shared" si="133"/>
        <v>f</v>
      </c>
      <c r="H237" s="113" t="str">
        <f t="shared" si="133"/>
        <v>g</v>
      </c>
      <c r="I237" s="113" t="str">
        <f t="shared" si="133"/>
        <v>h</v>
      </c>
      <c r="J237" s="113" t="str">
        <f t="shared" si="133"/>
        <v>i</v>
      </c>
      <c r="K237" s="113" t="str">
        <f t="shared" si="133"/>
        <v>j</v>
      </c>
      <c r="L237" s="113" t="str">
        <f t="shared" si="133"/>
        <v>k</v>
      </c>
      <c r="M237" s="113" t="str">
        <f t="shared" si="133"/>
        <v>l</v>
      </c>
      <c r="N237" s="113" t="str">
        <f t="shared" si="133"/>
        <v>m</v>
      </c>
      <c r="O237" s="113">
        <f t="shared" si="133"/>
        <v>0</v>
      </c>
      <c r="P237" s="113">
        <f t="shared" si="133"/>
        <v>0</v>
      </c>
      <c r="Q237" s="113" t="str">
        <f t="shared" si="133"/>
        <v>p</v>
      </c>
      <c r="R237" s="113">
        <f t="shared" si="133"/>
        <v>0</v>
      </c>
      <c r="S237" s="113">
        <f t="shared" si="133"/>
        <v>0</v>
      </c>
      <c r="T237" s="113">
        <f t="shared" si="133"/>
        <v>0</v>
      </c>
      <c r="U237" s="113">
        <f t="shared" si="133"/>
        <v>0</v>
      </c>
      <c r="V237" s="113">
        <f t="shared" si="133"/>
        <v>0</v>
      </c>
      <c r="W237" s="113">
        <f t="shared" si="133"/>
        <v>0</v>
      </c>
      <c r="X237" s="113">
        <f t="shared" si="133"/>
        <v>0</v>
      </c>
      <c r="AA237" s="113">
        <v>15</v>
      </c>
      <c r="AB237" s="112">
        <f t="shared" ca="1" si="134"/>
        <v>44197</v>
      </c>
      <c r="AC237" s="428">
        <f t="shared" ca="1" si="134"/>
        <v>44561</v>
      </c>
      <c r="AD237" t="s">
        <v>511</v>
      </c>
      <c r="AF237" s="114">
        <f t="shared" ca="1" si="112"/>
        <v>18820.88</v>
      </c>
      <c r="AG237" s="114">
        <f t="shared" ca="1" si="112"/>
        <v>0</v>
      </c>
      <c r="AH237" s="114">
        <f t="shared" ca="1" si="112"/>
        <v>0</v>
      </c>
      <c r="AI237" s="114">
        <f t="shared" ca="1" si="112"/>
        <v>6384.11</v>
      </c>
      <c r="AJ237" s="114">
        <f t="shared" ca="1" si="112"/>
        <v>0</v>
      </c>
      <c r="AK237" s="114">
        <f t="shared" ca="1" si="112"/>
        <v>2037.57</v>
      </c>
      <c r="AN237">
        <f t="shared" si="127"/>
        <v>237</v>
      </c>
      <c r="AQ237" s="114">
        <f t="shared" ca="1" si="128"/>
        <v>2577.6</v>
      </c>
      <c r="AW237">
        <v>237</v>
      </c>
      <c r="BG237" s="114">
        <f t="shared" ca="1" si="125"/>
        <v>27782.59</v>
      </c>
      <c r="BI237">
        <f t="shared" si="126"/>
        <v>0</v>
      </c>
    </row>
    <row r="238" spans="1:61" x14ac:dyDescent="0.25">
      <c r="A238" s="113">
        <f>A237+2</f>
        <v>1006</v>
      </c>
      <c r="B238" s="113" t="str">
        <f>B237</f>
        <v>a</v>
      </c>
      <c r="C238" s="113" t="str">
        <f t="shared" si="133"/>
        <v>b</v>
      </c>
      <c r="D238" s="113" t="str">
        <f t="shared" si="133"/>
        <v>c</v>
      </c>
      <c r="E238" s="113" t="str">
        <f t="shared" si="133"/>
        <v>d</v>
      </c>
      <c r="F238" s="113" t="str">
        <f t="shared" si="133"/>
        <v>e</v>
      </c>
      <c r="G238" s="113" t="str">
        <f t="shared" si="133"/>
        <v>f</v>
      </c>
      <c r="H238" s="113" t="str">
        <f t="shared" si="133"/>
        <v>g</v>
      </c>
      <c r="I238" s="113" t="str">
        <f t="shared" si="133"/>
        <v>h</v>
      </c>
      <c r="J238" s="113" t="str">
        <f t="shared" si="133"/>
        <v>i</v>
      </c>
      <c r="K238" s="113" t="str">
        <f t="shared" si="133"/>
        <v>j</v>
      </c>
      <c r="L238" s="113" t="str">
        <f t="shared" si="133"/>
        <v>k</v>
      </c>
      <c r="M238" s="113" t="str">
        <f t="shared" si="133"/>
        <v>l</v>
      </c>
      <c r="N238" s="113" t="str">
        <f t="shared" si="133"/>
        <v>m</v>
      </c>
      <c r="O238" s="113">
        <f t="shared" si="133"/>
        <v>0</v>
      </c>
      <c r="P238" s="113">
        <f t="shared" si="133"/>
        <v>0</v>
      </c>
      <c r="Q238" s="113" t="str">
        <f t="shared" si="133"/>
        <v>p</v>
      </c>
      <c r="R238" s="113">
        <f t="shared" si="133"/>
        <v>0</v>
      </c>
      <c r="S238" s="113">
        <f t="shared" si="133"/>
        <v>0</v>
      </c>
      <c r="T238" s="113">
        <f t="shared" si="133"/>
        <v>0</v>
      </c>
      <c r="U238" s="113">
        <f t="shared" si="133"/>
        <v>0</v>
      </c>
      <c r="V238" s="113">
        <f t="shared" si="133"/>
        <v>0</v>
      </c>
      <c r="W238" s="113">
        <f t="shared" si="133"/>
        <v>0</v>
      </c>
      <c r="X238" s="113">
        <f t="shared" si="133"/>
        <v>0</v>
      </c>
      <c r="AA238" s="113">
        <v>21</v>
      </c>
      <c r="AB238" s="112">
        <f t="shared" ca="1" si="134"/>
        <v>44197</v>
      </c>
      <c r="AC238" s="428">
        <f t="shared" ca="1" si="134"/>
        <v>44561</v>
      </c>
      <c r="AD238" t="s">
        <v>512</v>
      </c>
      <c r="AF238" s="114">
        <f t="shared" ca="1" si="112"/>
        <v>20787.48</v>
      </c>
      <c r="AG238" s="114">
        <f t="shared" ca="1" si="112"/>
        <v>0</v>
      </c>
      <c r="AH238" s="114">
        <f t="shared" ca="1" si="112"/>
        <v>0</v>
      </c>
      <c r="AI238" s="114">
        <f t="shared" ca="1" si="112"/>
        <v>6384.11</v>
      </c>
      <c r="AJ238" s="114">
        <f t="shared" ca="1" si="112"/>
        <v>0</v>
      </c>
      <c r="AK238" s="114">
        <f t="shared" ca="1" si="112"/>
        <v>2196.5700000000002</v>
      </c>
      <c r="AN238">
        <f t="shared" si="127"/>
        <v>238</v>
      </c>
      <c r="AQ238" s="114">
        <f t="shared" ca="1" si="128"/>
        <v>2577.6</v>
      </c>
      <c r="AW238">
        <v>238</v>
      </c>
      <c r="BG238" s="114">
        <f t="shared" ca="1" si="125"/>
        <v>29749.19</v>
      </c>
      <c r="BI238">
        <f t="shared" si="126"/>
        <v>0</v>
      </c>
    </row>
    <row r="239" spans="1:61" x14ac:dyDescent="0.25">
      <c r="A239" s="113">
        <f>A238+2</f>
        <v>1008</v>
      </c>
      <c r="B239" s="113" t="str">
        <f>B238</f>
        <v>a</v>
      </c>
      <c r="C239" s="113" t="str">
        <f t="shared" si="133"/>
        <v>b</v>
      </c>
      <c r="D239" s="113" t="str">
        <f t="shared" si="133"/>
        <v>c</v>
      </c>
      <c r="E239" s="113" t="str">
        <f t="shared" si="133"/>
        <v>d</v>
      </c>
      <c r="F239" s="113" t="str">
        <f t="shared" si="133"/>
        <v>e</v>
      </c>
      <c r="G239" s="113" t="str">
        <f t="shared" si="133"/>
        <v>f</v>
      </c>
      <c r="H239" s="113" t="str">
        <f t="shared" si="133"/>
        <v>g</v>
      </c>
      <c r="I239" s="113" t="str">
        <f t="shared" si="133"/>
        <v>h</v>
      </c>
      <c r="J239" s="113" t="str">
        <f t="shared" si="133"/>
        <v>i</v>
      </c>
      <c r="K239" s="113" t="str">
        <f t="shared" si="133"/>
        <v>j</v>
      </c>
      <c r="L239" s="113" t="str">
        <f t="shared" si="133"/>
        <v>k</v>
      </c>
      <c r="M239" s="113" t="str">
        <f t="shared" si="133"/>
        <v>l</v>
      </c>
      <c r="N239" s="113" t="str">
        <f t="shared" si="133"/>
        <v>m</v>
      </c>
      <c r="O239" s="113">
        <f t="shared" si="133"/>
        <v>0</v>
      </c>
      <c r="P239" s="113">
        <f t="shared" si="133"/>
        <v>0</v>
      </c>
      <c r="Q239" s="113" t="str">
        <f t="shared" si="133"/>
        <v>p</v>
      </c>
      <c r="R239" s="113">
        <f t="shared" si="133"/>
        <v>0</v>
      </c>
      <c r="S239" s="113">
        <f t="shared" si="133"/>
        <v>0</v>
      </c>
      <c r="T239" s="113">
        <f t="shared" si="133"/>
        <v>0</v>
      </c>
      <c r="U239" s="113">
        <f t="shared" si="133"/>
        <v>0</v>
      </c>
      <c r="V239" s="113">
        <f t="shared" si="133"/>
        <v>0</v>
      </c>
      <c r="W239" s="113">
        <f t="shared" si="133"/>
        <v>0</v>
      </c>
      <c r="X239" s="113">
        <f t="shared" si="133"/>
        <v>0</v>
      </c>
      <c r="AA239" s="113">
        <v>28</v>
      </c>
      <c r="AB239" s="112">
        <f t="shared" ca="1" si="134"/>
        <v>44197</v>
      </c>
      <c r="AC239" s="428">
        <f t="shared" ca="1" si="134"/>
        <v>44561</v>
      </c>
      <c r="AD239" t="s">
        <v>513</v>
      </c>
      <c r="AF239" s="114">
        <f t="shared" ca="1" si="112"/>
        <v>22717.71</v>
      </c>
      <c r="AG239" s="114">
        <f t="shared" ca="1" si="112"/>
        <v>0</v>
      </c>
      <c r="AH239" s="114">
        <f t="shared" ca="1" si="112"/>
        <v>0</v>
      </c>
      <c r="AI239" s="114">
        <f t="shared" ca="1" si="112"/>
        <v>6384.11</v>
      </c>
      <c r="AJ239" s="114">
        <f t="shared" ca="1" si="112"/>
        <v>0</v>
      </c>
      <c r="AK239" s="114">
        <f t="shared" ca="1" si="112"/>
        <v>2352.5100000000002</v>
      </c>
      <c r="AN239">
        <f t="shared" si="127"/>
        <v>239</v>
      </c>
      <c r="AQ239" s="114">
        <f t="shared" ca="1" si="128"/>
        <v>3278.4</v>
      </c>
      <c r="AW239">
        <v>239</v>
      </c>
      <c r="BG239" s="114">
        <f t="shared" ca="1" si="125"/>
        <v>32380.22</v>
      </c>
      <c r="BI239">
        <f t="shared" si="126"/>
        <v>0</v>
      </c>
    </row>
    <row r="240" spans="1:61" x14ac:dyDescent="0.25">
      <c r="A240" s="113">
        <f>A239+2</f>
        <v>1010</v>
      </c>
      <c r="B240" s="113" t="str">
        <f>B239</f>
        <v>a</v>
      </c>
      <c r="C240" s="113" t="str">
        <f t="shared" si="133"/>
        <v>b</v>
      </c>
      <c r="D240" s="113" t="str">
        <f t="shared" si="133"/>
        <v>c</v>
      </c>
      <c r="E240" s="113" t="str">
        <f t="shared" si="133"/>
        <v>d</v>
      </c>
      <c r="F240" s="113" t="str">
        <f t="shared" si="133"/>
        <v>e</v>
      </c>
      <c r="G240" s="113" t="str">
        <f t="shared" si="133"/>
        <v>f</v>
      </c>
      <c r="H240" s="113" t="str">
        <f t="shared" si="133"/>
        <v>g</v>
      </c>
      <c r="I240" s="113" t="str">
        <f t="shared" si="133"/>
        <v>h</v>
      </c>
      <c r="J240" s="113" t="str">
        <f t="shared" si="133"/>
        <v>i</v>
      </c>
      <c r="K240" s="113" t="str">
        <f t="shared" si="133"/>
        <v>j</v>
      </c>
      <c r="L240" s="113" t="str">
        <f t="shared" si="133"/>
        <v>k</v>
      </c>
      <c r="M240" s="113" t="str">
        <f t="shared" si="133"/>
        <v>l</v>
      </c>
      <c r="N240" s="113" t="str">
        <f t="shared" si="133"/>
        <v>m</v>
      </c>
      <c r="O240" s="113">
        <f t="shared" si="133"/>
        <v>0</v>
      </c>
      <c r="P240" s="113">
        <f t="shared" si="133"/>
        <v>0</v>
      </c>
      <c r="Q240" s="113" t="str">
        <f t="shared" si="133"/>
        <v>p</v>
      </c>
      <c r="R240" s="113">
        <f t="shared" si="133"/>
        <v>0</v>
      </c>
      <c r="S240" s="113">
        <f t="shared" si="133"/>
        <v>0</v>
      </c>
      <c r="T240" s="113">
        <f t="shared" si="133"/>
        <v>0</v>
      </c>
      <c r="U240" s="113">
        <f t="shared" si="133"/>
        <v>0</v>
      </c>
      <c r="V240" s="113">
        <f t="shared" si="133"/>
        <v>0</v>
      </c>
      <c r="W240" s="113">
        <f t="shared" si="133"/>
        <v>0</v>
      </c>
      <c r="X240" s="113">
        <f t="shared" si="133"/>
        <v>0</v>
      </c>
      <c r="AA240" s="113">
        <v>35</v>
      </c>
      <c r="AB240" s="112">
        <f t="shared" ca="1" si="134"/>
        <v>44197</v>
      </c>
      <c r="AC240" s="428">
        <f t="shared" ca="1" si="134"/>
        <v>44561</v>
      </c>
      <c r="AD240" t="s">
        <v>514</v>
      </c>
      <c r="AF240" s="114">
        <f t="shared" ca="1" si="112"/>
        <v>24152.809999999998</v>
      </c>
      <c r="AG240" s="114">
        <f t="shared" ca="1" si="112"/>
        <v>0</v>
      </c>
      <c r="AH240" s="114">
        <f t="shared" ca="1" si="112"/>
        <v>0</v>
      </c>
      <c r="AI240" s="114">
        <f t="shared" ca="1" si="112"/>
        <v>6384.11</v>
      </c>
      <c r="AJ240" s="114">
        <f t="shared" ca="1" si="112"/>
        <v>0</v>
      </c>
      <c r="AK240" s="114">
        <f t="shared" ca="1" si="112"/>
        <v>2468.9</v>
      </c>
      <c r="AN240">
        <f t="shared" si="127"/>
        <v>240</v>
      </c>
      <c r="AQ240" s="114">
        <f t="shared" ca="1" si="128"/>
        <v>3278.4</v>
      </c>
      <c r="AW240">
        <v>240</v>
      </c>
      <c r="BG240" s="114">
        <f t="shared" ca="1" si="125"/>
        <v>33815.32</v>
      </c>
      <c r="BI240">
        <f t="shared" si="126"/>
        <v>0</v>
      </c>
    </row>
    <row r="241" spans="1:61" x14ac:dyDescent="0.25">
      <c r="A241" s="113">
        <f>A234+20</f>
        <v>1020</v>
      </c>
      <c r="B241" s="113" t="str">
        <f>B234</f>
        <v>a</v>
      </c>
      <c r="C241" s="113" t="str">
        <f t="shared" ref="C241:X241" si="135">C234</f>
        <v>b</v>
      </c>
      <c r="D241" s="113" t="str">
        <f t="shared" si="135"/>
        <v>c</v>
      </c>
      <c r="E241" s="113" t="str">
        <f t="shared" si="135"/>
        <v>d</v>
      </c>
      <c r="F241" s="113" t="str">
        <f t="shared" si="135"/>
        <v>e</v>
      </c>
      <c r="G241" s="113" t="str">
        <f t="shared" si="135"/>
        <v>f</v>
      </c>
      <c r="H241" s="113" t="str">
        <f t="shared" si="135"/>
        <v>g</v>
      </c>
      <c r="I241" s="113" t="str">
        <f t="shared" si="135"/>
        <v>h</v>
      </c>
      <c r="J241" s="113" t="str">
        <f t="shared" si="135"/>
        <v>i</v>
      </c>
      <c r="K241" s="113" t="str">
        <f t="shared" si="135"/>
        <v>j</v>
      </c>
      <c r="L241" s="113" t="str">
        <f t="shared" si="135"/>
        <v>k</v>
      </c>
      <c r="M241" s="113" t="str">
        <f t="shared" si="135"/>
        <v>l</v>
      </c>
      <c r="N241" s="113" t="str">
        <f t="shared" si="135"/>
        <v>m</v>
      </c>
      <c r="O241" s="113">
        <f t="shared" si="135"/>
        <v>0</v>
      </c>
      <c r="P241" s="113">
        <f t="shared" si="135"/>
        <v>0</v>
      </c>
      <c r="Q241" s="113" t="str">
        <f t="shared" si="135"/>
        <v>p</v>
      </c>
      <c r="R241" s="113">
        <f t="shared" si="135"/>
        <v>0</v>
      </c>
      <c r="S241" s="113">
        <f t="shared" si="135"/>
        <v>0</v>
      </c>
      <c r="T241" s="113">
        <f t="shared" si="135"/>
        <v>0</v>
      </c>
      <c r="U241" s="113">
        <f t="shared" si="135"/>
        <v>0</v>
      </c>
      <c r="V241" s="113">
        <f t="shared" si="135"/>
        <v>0</v>
      </c>
      <c r="W241" s="113">
        <f t="shared" si="135"/>
        <v>0</v>
      </c>
      <c r="X241" s="113">
        <f t="shared" si="135"/>
        <v>0</v>
      </c>
      <c r="AA241" s="113">
        <v>0</v>
      </c>
      <c r="AB241" s="112">
        <f ca="1">INDIRECT(CONCATENATE($AB$10,CONCATENATE(B241,$A241)))</f>
        <v>44562</v>
      </c>
      <c r="AC241" s="428">
        <f ca="1">INDIRECT(CONCATENATE($AB$10,CONCATENATE(C241,$A241)))</f>
        <v>44652</v>
      </c>
      <c r="AD241" t="s">
        <v>515</v>
      </c>
      <c r="AF241" s="114">
        <f t="shared" ca="1" si="112"/>
        <v>14513.09</v>
      </c>
      <c r="AG241" s="114">
        <f ca="1">INDIRECT(CONCATENATE($AB$10,CONCATENATE(G241,$A241)))</f>
        <v>0</v>
      </c>
      <c r="AH241" s="114">
        <f ca="1">INDIRECT(CONCATENATE($AB$10,CONCATENATE(H241,$A241)))</f>
        <v>0</v>
      </c>
      <c r="AI241" s="114">
        <f ca="1">INDIRECT(CONCATENATE($AB$10,CONCATENATE(I241,$A241)))</f>
        <v>6384.11</v>
      </c>
      <c r="AJ241" s="114">
        <f ca="1">INDIRECT(CONCATENATE($AB$10,CONCATENATE(J241,$A241)))</f>
        <v>0</v>
      </c>
      <c r="AK241" s="114">
        <f ca="1">INDIRECT(CONCATENATE($AB$10,CONCATENATE(K241,$A241)))</f>
        <v>1690.19</v>
      </c>
      <c r="AN241">
        <f t="shared" si="127"/>
        <v>241</v>
      </c>
      <c r="AQ241" s="114">
        <f t="shared" ca="1" si="128"/>
        <v>2214</v>
      </c>
      <c r="AW241">
        <v>241</v>
      </c>
      <c r="BG241" s="114">
        <f t="shared" ca="1" si="125"/>
        <v>23111.200000000001</v>
      </c>
      <c r="BI241">
        <f t="shared" si="126"/>
        <v>0</v>
      </c>
    </row>
    <row r="242" spans="1:61" x14ac:dyDescent="0.25">
      <c r="A242" s="113">
        <f>A241</f>
        <v>1020</v>
      </c>
      <c r="B242" s="113" t="str">
        <f>B241</f>
        <v>a</v>
      </c>
      <c r="C242" s="113" t="str">
        <f t="shared" ref="C242:X254" si="136">C241</f>
        <v>b</v>
      </c>
      <c r="D242" s="113" t="str">
        <f t="shared" si="136"/>
        <v>c</v>
      </c>
      <c r="E242" s="113" t="str">
        <f t="shared" si="136"/>
        <v>d</v>
      </c>
      <c r="F242" s="113" t="str">
        <f t="shared" si="136"/>
        <v>e</v>
      </c>
      <c r="G242" s="113" t="str">
        <f t="shared" si="136"/>
        <v>f</v>
      </c>
      <c r="H242" s="113" t="str">
        <f t="shared" si="136"/>
        <v>g</v>
      </c>
      <c r="I242" s="113" t="str">
        <f t="shared" si="136"/>
        <v>h</v>
      </c>
      <c r="J242" s="113" t="str">
        <f t="shared" si="136"/>
        <v>i</v>
      </c>
      <c r="K242" s="113" t="str">
        <f t="shared" si="136"/>
        <v>j</v>
      </c>
      <c r="L242" s="113" t="str">
        <f t="shared" si="136"/>
        <v>k</v>
      </c>
      <c r="M242" s="113" t="str">
        <f t="shared" si="136"/>
        <v>l</v>
      </c>
      <c r="N242" s="113" t="str">
        <f t="shared" si="136"/>
        <v>m</v>
      </c>
      <c r="O242" s="113">
        <f t="shared" si="136"/>
        <v>0</v>
      </c>
      <c r="P242" s="113">
        <f t="shared" si="136"/>
        <v>0</v>
      </c>
      <c r="Q242" s="113" t="str">
        <f t="shared" si="136"/>
        <v>p</v>
      </c>
      <c r="R242" s="113">
        <f t="shared" si="136"/>
        <v>0</v>
      </c>
      <c r="S242" s="113">
        <f t="shared" si="136"/>
        <v>0</v>
      </c>
      <c r="T242" s="113">
        <f t="shared" si="136"/>
        <v>0</v>
      </c>
      <c r="U242" s="113">
        <f t="shared" si="136"/>
        <v>0</v>
      </c>
      <c r="V242" s="113">
        <f t="shared" si="136"/>
        <v>0</v>
      </c>
      <c r="W242" s="113">
        <f t="shared" si="136"/>
        <v>0</v>
      </c>
      <c r="X242" s="113">
        <f t="shared" si="136"/>
        <v>0</v>
      </c>
      <c r="AA242" s="113">
        <v>3</v>
      </c>
      <c r="AB242" s="112">
        <f t="shared" ref="AB242:AC247" ca="1" si="137">AB241</f>
        <v>44562</v>
      </c>
      <c r="AC242" s="428">
        <f t="shared" ca="1" si="137"/>
        <v>44652</v>
      </c>
      <c r="AD242" t="s">
        <v>516</v>
      </c>
      <c r="AE242" s="114">
        <f ca="1">AE235</f>
        <v>522.04999999999995</v>
      </c>
      <c r="AF242" s="114">
        <f t="shared" ca="1" si="112"/>
        <v>14513.09</v>
      </c>
      <c r="AG242" s="114">
        <f t="shared" ca="1" si="112"/>
        <v>0</v>
      </c>
      <c r="AH242" s="114">
        <f t="shared" ca="1" si="112"/>
        <v>0</v>
      </c>
      <c r="AI242" s="114">
        <f t="shared" ca="1" si="112"/>
        <v>6384.11</v>
      </c>
      <c r="AJ242" s="114">
        <f t="shared" ca="1" si="112"/>
        <v>0</v>
      </c>
      <c r="AK242" s="114">
        <f t="shared" ca="1" si="112"/>
        <v>1690.19</v>
      </c>
      <c r="AN242">
        <f t="shared" si="127"/>
        <v>242</v>
      </c>
      <c r="AQ242" s="114">
        <f t="shared" ca="1" si="128"/>
        <v>2214</v>
      </c>
      <c r="AW242">
        <v>242</v>
      </c>
      <c r="BG242" s="114">
        <f t="shared" ca="1" si="125"/>
        <v>23111.200000000001</v>
      </c>
      <c r="BI242">
        <f t="shared" ca="1" si="126"/>
        <v>522.04999999999995</v>
      </c>
    </row>
    <row r="243" spans="1:61" x14ac:dyDescent="0.25">
      <c r="A243" s="113">
        <f>A242+2</f>
        <v>1022</v>
      </c>
      <c r="B243" s="113" t="str">
        <f>B242</f>
        <v>a</v>
      </c>
      <c r="C243" s="113" t="str">
        <f t="shared" si="136"/>
        <v>b</v>
      </c>
      <c r="D243" s="113" t="str">
        <f t="shared" si="136"/>
        <v>c</v>
      </c>
      <c r="E243" s="113" t="str">
        <f t="shared" si="136"/>
        <v>d</v>
      </c>
      <c r="F243" s="113" t="str">
        <f t="shared" si="136"/>
        <v>e</v>
      </c>
      <c r="G243" s="113" t="str">
        <f t="shared" si="136"/>
        <v>f</v>
      </c>
      <c r="H243" s="113" t="str">
        <f t="shared" si="136"/>
        <v>g</v>
      </c>
      <c r="I243" s="113" t="str">
        <f t="shared" si="136"/>
        <v>h</v>
      </c>
      <c r="J243" s="113" t="str">
        <f t="shared" si="136"/>
        <v>i</v>
      </c>
      <c r="K243" s="113" t="str">
        <f t="shared" si="136"/>
        <v>j</v>
      </c>
      <c r="L243" s="113" t="str">
        <f t="shared" si="136"/>
        <v>k</v>
      </c>
      <c r="M243" s="113" t="str">
        <f t="shared" si="136"/>
        <v>l</v>
      </c>
      <c r="N243" s="113" t="str">
        <f t="shared" si="136"/>
        <v>m</v>
      </c>
      <c r="O243" s="113">
        <f t="shared" si="136"/>
        <v>0</v>
      </c>
      <c r="P243" s="113">
        <f t="shared" si="136"/>
        <v>0</v>
      </c>
      <c r="Q243" s="113" t="str">
        <f t="shared" si="136"/>
        <v>p</v>
      </c>
      <c r="R243" s="113">
        <f t="shared" si="136"/>
        <v>0</v>
      </c>
      <c r="S243" s="113">
        <f t="shared" si="136"/>
        <v>0</v>
      </c>
      <c r="T243" s="113">
        <f t="shared" si="136"/>
        <v>0</v>
      </c>
      <c r="U243" s="113">
        <f t="shared" si="136"/>
        <v>0</v>
      </c>
      <c r="V243" s="113">
        <f t="shared" si="136"/>
        <v>0</v>
      </c>
      <c r="W243" s="113">
        <f t="shared" si="136"/>
        <v>0</v>
      </c>
      <c r="X243" s="113">
        <f t="shared" si="136"/>
        <v>0</v>
      </c>
      <c r="AA243" s="113">
        <v>9</v>
      </c>
      <c r="AB243" s="112">
        <f t="shared" ca="1" si="137"/>
        <v>44562</v>
      </c>
      <c r="AC243" s="428">
        <f t="shared" ca="1" si="137"/>
        <v>44652</v>
      </c>
      <c r="AD243" t="s">
        <v>510</v>
      </c>
      <c r="AF243" s="114">
        <f t="shared" ca="1" si="112"/>
        <v>16798.88</v>
      </c>
      <c r="AG243" s="114">
        <f t="shared" ca="1" si="112"/>
        <v>0</v>
      </c>
      <c r="AH243" s="114">
        <f t="shared" ca="1" si="112"/>
        <v>0</v>
      </c>
      <c r="AI243" s="114">
        <f t="shared" ca="1" si="112"/>
        <v>6384.11</v>
      </c>
      <c r="AJ243" s="114">
        <f t="shared" ca="1" si="112"/>
        <v>0</v>
      </c>
      <c r="AK243" s="114">
        <f t="shared" ca="1" si="112"/>
        <v>1874.95</v>
      </c>
      <c r="AN243">
        <f t="shared" si="127"/>
        <v>243</v>
      </c>
      <c r="AQ243" s="114">
        <f t="shared" ca="1" si="128"/>
        <v>2214</v>
      </c>
      <c r="AW243">
        <v>243</v>
      </c>
      <c r="BG243" s="114">
        <f t="shared" ca="1" si="125"/>
        <v>25396.99</v>
      </c>
      <c r="BI243">
        <f t="shared" si="126"/>
        <v>0</v>
      </c>
    </row>
    <row r="244" spans="1:61" x14ac:dyDescent="0.25">
      <c r="A244" s="113">
        <f>A243+2</f>
        <v>1024</v>
      </c>
      <c r="B244" s="113" t="str">
        <f>B243</f>
        <v>a</v>
      </c>
      <c r="C244" s="113" t="str">
        <f t="shared" si="136"/>
        <v>b</v>
      </c>
      <c r="D244" s="113" t="str">
        <f t="shared" si="136"/>
        <v>c</v>
      </c>
      <c r="E244" s="113" t="str">
        <f t="shared" si="136"/>
        <v>d</v>
      </c>
      <c r="F244" s="113" t="str">
        <f t="shared" si="136"/>
        <v>e</v>
      </c>
      <c r="G244" s="113" t="str">
        <f t="shared" si="136"/>
        <v>f</v>
      </c>
      <c r="H244" s="113" t="str">
        <f t="shared" si="136"/>
        <v>g</v>
      </c>
      <c r="I244" s="113" t="str">
        <f t="shared" si="136"/>
        <v>h</v>
      </c>
      <c r="J244" s="113" t="str">
        <f t="shared" si="136"/>
        <v>i</v>
      </c>
      <c r="K244" s="113" t="str">
        <f t="shared" si="136"/>
        <v>j</v>
      </c>
      <c r="L244" s="113" t="str">
        <f t="shared" si="136"/>
        <v>k</v>
      </c>
      <c r="M244" s="113" t="str">
        <f t="shared" si="136"/>
        <v>l</v>
      </c>
      <c r="N244" s="113" t="str">
        <f t="shared" si="136"/>
        <v>m</v>
      </c>
      <c r="O244" s="113">
        <f t="shared" si="136"/>
        <v>0</v>
      </c>
      <c r="P244" s="113">
        <f t="shared" si="136"/>
        <v>0</v>
      </c>
      <c r="Q244" s="113" t="str">
        <f t="shared" si="136"/>
        <v>p</v>
      </c>
      <c r="R244" s="113">
        <f t="shared" si="136"/>
        <v>0</v>
      </c>
      <c r="S244" s="113">
        <f t="shared" si="136"/>
        <v>0</v>
      </c>
      <c r="T244" s="113">
        <f t="shared" si="136"/>
        <v>0</v>
      </c>
      <c r="U244" s="113">
        <f t="shared" si="136"/>
        <v>0</v>
      </c>
      <c r="V244" s="113">
        <f t="shared" si="136"/>
        <v>0</v>
      </c>
      <c r="W244" s="113">
        <f t="shared" si="136"/>
        <v>0</v>
      </c>
      <c r="X244" s="113">
        <f t="shared" si="136"/>
        <v>0</v>
      </c>
      <c r="AA244" s="113">
        <v>15</v>
      </c>
      <c r="AB244" s="112">
        <f t="shared" ca="1" si="137"/>
        <v>44562</v>
      </c>
      <c r="AC244" s="428">
        <f t="shared" ca="1" si="137"/>
        <v>44652</v>
      </c>
      <c r="AD244" t="s">
        <v>511</v>
      </c>
      <c r="AF244" s="114">
        <f t="shared" ca="1" si="112"/>
        <v>18820.88</v>
      </c>
      <c r="AG244" s="114">
        <f t="shared" ca="1" si="112"/>
        <v>0</v>
      </c>
      <c r="AH244" s="114">
        <f t="shared" ca="1" si="112"/>
        <v>0</v>
      </c>
      <c r="AI244" s="114">
        <f t="shared" ca="1" si="112"/>
        <v>6384.11</v>
      </c>
      <c r="AJ244" s="114">
        <f t="shared" ca="1" si="112"/>
        <v>0</v>
      </c>
      <c r="AK244" s="114">
        <f t="shared" ca="1" si="112"/>
        <v>2037.57</v>
      </c>
      <c r="AN244">
        <f t="shared" si="127"/>
        <v>244</v>
      </c>
      <c r="AQ244" s="114">
        <f t="shared" ca="1" si="128"/>
        <v>2721.6</v>
      </c>
      <c r="AW244">
        <v>244</v>
      </c>
      <c r="BG244" s="114">
        <f t="shared" ca="1" si="125"/>
        <v>27926.59</v>
      </c>
      <c r="BI244">
        <f t="shared" si="126"/>
        <v>0</v>
      </c>
    </row>
    <row r="245" spans="1:61" x14ac:dyDescent="0.25">
      <c r="A245" s="113">
        <f>A244+2</f>
        <v>1026</v>
      </c>
      <c r="B245" s="113" t="str">
        <f>B244</f>
        <v>a</v>
      </c>
      <c r="C245" s="113" t="str">
        <f t="shared" si="136"/>
        <v>b</v>
      </c>
      <c r="D245" s="113" t="str">
        <f t="shared" si="136"/>
        <v>c</v>
      </c>
      <c r="E245" s="113" t="str">
        <f t="shared" si="136"/>
        <v>d</v>
      </c>
      <c r="F245" s="113" t="str">
        <f t="shared" si="136"/>
        <v>e</v>
      </c>
      <c r="G245" s="113" t="str">
        <f t="shared" si="136"/>
        <v>f</v>
      </c>
      <c r="H245" s="113" t="str">
        <f t="shared" si="136"/>
        <v>g</v>
      </c>
      <c r="I245" s="113" t="str">
        <f t="shared" si="136"/>
        <v>h</v>
      </c>
      <c r="J245" s="113" t="str">
        <f t="shared" si="136"/>
        <v>i</v>
      </c>
      <c r="K245" s="113" t="str">
        <f t="shared" si="136"/>
        <v>j</v>
      </c>
      <c r="L245" s="113" t="str">
        <f t="shared" si="136"/>
        <v>k</v>
      </c>
      <c r="M245" s="113" t="str">
        <f t="shared" si="136"/>
        <v>l</v>
      </c>
      <c r="N245" s="113" t="str">
        <f t="shared" si="136"/>
        <v>m</v>
      </c>
      <c r="O245" s="113">
        <f t="shared" si="136"/>
        <v>0</v>
      </c>
      <c r="P245" s="113">
        <f t="shared" si="136"/>
        <v>0</v>
      </c>
      <c r="Q245" s="113" t="str">
        <f t="shared" si="136"/>
        <v>p</v>
      </c>
      <c r="R245" s="113">
        <f t="shared" si="136"/>
        <v>0</v>
      </c>
      <c r="S245" s="113">
        <f t="shared" si="136"/>
        <v>0</v>
      </c>
      <c r="T245" s="113">
        <f t="shared" si="136"/>
        <v>0</v>
      </c>
      <c r="U245" s="113">
        <f t="shared" si="136"/>
        <v>0</v>
      </c>
      <c r="V245" s="113">
        <f t="shared" si="136"/>
        <v>0</v>
      </c>
      <c r="W245" s="113">
        <f t="shared" si="136"/>
        <v>0</v>
      </c>
      <c r="X245" s="113">
        <f t="shared" si="136"/>
        <v>0</v>
      </c>
      <c r="AA245" s="113">
        <v>21</v>
      </c>
      <c r="AB245" s="112">
        <f t="shared" ca="1" si="137"/>
        <v>44562</v>
      </c>
      <c r="AC245" s="428">
        <f t="shared" ca="1" si="137"/>
        <v>44652</v>
      </c>
      <c r="AD245" t="s">
        <v>512</v>
      </c>
      <c r="AF245" s="114">
        <f t="shared" ca="1" si="112"/>
        <v>20787.48</v>
      </c>
      <c r="AG245" s="114">
        <f t="shared" ca="1" si="112"/>
        <v>0</v>
      </c>
      <c r="AH245" s="114">
        <f t="shared" ref="AH245:AK247" ca="1" si="138">INDIRECT(CONCATENATE($AB$10,CONCATENATE(H245,$A245)))</f>
        <v>0</v>
      </c>
      <c r="AI245" s="114">
        <f t="shared" ca="1" si="138"/>
        <v>6384.11</v>
      </c>
      <c r="AJ245" s="114">
        <f t="shared" ca="1" si="138"/>
        <v>0</v>
      </c>
      <c r="AK245" s="114">
        <f t="shared" ca="1" si="138"/>
        <v>2196.5700000000002</v>
      </c>
      <c r="AN245">
        <f t="shared" si="127"/>
        <v>245</v>
      </c>
      <c r="AQ245" s="114">
        <f t="shared" ca="1" si="128"/>
        <v>2721.6</v>
      </c>
      <c r="AW245">
        <v>245</v>
      </c>
      <c r="BG245" s="114">
        <f t="shared" ca="1" si="125"/>
        <v>29893.19</v>
      </c>
      <c r="BI245">
        <f t="shared" si="126"/>
        <v>0</v>
      </c>
    </row>
    <row r="246" spans="1:61" x14ac:dyDescent="0.25">
      <c r="A246" s="113">
        <f>A245+2</f>
        <v>1028</v>
      </c>
      <c r="B246" s="113" t="str">
        <f>B245</f>
        <v>a</v>
      </c>
      <c r="C246" s="113" t="str">
        <f t="shared" si="136"/>
        <v>b</v>
      </c>
      <c r="D246" s="113" t="str">
        <f t="shared" si="136"/>
        <v>c</v>
      </c>
      <c r="E246" s="113" t="str">
        <f t="shared" si="136"/>
        <v>d</v>
      </c>
      <c r="F246" s="113" t="str">
        <f t="shared" si="136"/>
        <v>e</v>
      </c>
      <c r="G246" s="113" t="str">
        <f t="shared" si="136"/>
        <v>f</v>
      </c>
      <c r="H246" s="113" t="str">
        <f t="shared" si="136"/>
        <v>g</v>
      </c>
      <c r="I246" s="113" t="str">
        <f t="shared" si="136"/>
        <v>h</v>
      </c>
      <c r="J246" s="113" t="str">
        <f t="shared" si="136"/>
        <v>i</v>
      </c>
      <c r="K246" s="113" t="str">
        <f t="shared" si="136"/>
        <v>j</v>
      </c>
      <c r="L246" s="113" t="str">
        <f t="shared" si="136"/>
        <v>k</v>
      </c>
      <c r="M246" s="113" t="str">
        <f t="shared" si="136"/>
        <v>l</v>
      </c>
      <c r="N246" s="113" t="str">
        <f t="shared" si="136"/>
        <v>m</v>
      </c>
      <c r="O246" s="113">
        <f t="shared" si="136"/>
        <v>0</v>
      </c>
      <c r="P246" s="113">
        <f t="shared" si="136"/>
        <v>0</v>
      </c>
      <c r="Q246" s="113" t="str">
        <f t="shared" si="136"/>
        <v>p</v>
      </c>
      <c r="R246" s="113">
        <f t="shared" si="136"/>
        <v>0</v>
      </c>
      <c r="S246" s="113">
        <f t="shared" si="136"/>
        <v>0</v>
      </c>
      <c r="T246" s="113">
        <f t="shared" si="136"/>
        <v>0</v>
      </c>
      <c r="U246" s="113">
        <f t="shared" si="136"/>
        <v>0</v>
      </c>
      <c r="V246" s="113">
        <f t="shared" si="136"/>
        <v>0</v>
      </c>
      <c r="W246" s="113">
        <f t="shared" si="136"/>
        <v>0</v>
      </c>
      <c r="X246" s="113">
        <f t="shared" si="136"/>
        <v>0</v>
      </c>
      <c r="AA246" s="113">
        <v>28</v>
      </c>
      <c r="AB246" s="112">
        <f t="shared" ca="1" si="137"/>
        <v>44562</v>
      </c>
      <c r="AC246" s="428">
        <f t="shared" ca="1" si="137"/>
        <v>44652</v>
      </c>
      <c r="AD246" t="s">
        <v>513</v>
      </c>
      <c r="AF246" s="114">
        <f t="shared" ref="AF246:AK261" ca="1" si="139">INDIRECT(CONCATENATE($AB$10,CONCATENATE(F246,$A246)))</f>
        <v>22717.71</v>
      </c>
      <c r="AG246" s="114">
        <f t="shared" ca="1" si="139"/>
        <v>0</v>
      </c>
      <c r="AH246" s="114">
        <f t="shared" ca="1" si="138"/>
        <v>0</v>
      </c>
      <c r="AI246" s="114">
        <f t="shared" ca="1" si="138"/>
        <v>6384.11</v>
      </c>
      <c r="AJ246" s="114">
        <f t="shared" ca="1" si="138"/>
        <v>0</v>
      </c>
      <c r="AK246" s="114">
        <f t="shared" ca="1" si="138"/>
        <v>2352.5100000000002</v>
      </c>
      <c r="AN246">
        <f t="shared" si="127"/>
        <v>246</v>
      </c>
      <c r="AQ246" s="114">
        <f t="shared" ca="1" si="128"/>
        <v>3458.4</v>
      </c>
      <c r="AW246">
        <v>246</v>
      </c>
      <c r="BG246" s="114">
        <f t="shared" ca="1" si="125"/>
        <v>32560.22</v>
      </c>
      <c r="BI246">
        <f t="shared" si="126"/>
        <v>0</v>
      </c>
    </row>
    <row r="247" spans="1:61" x14ac:dyDescent="0.25">
      <c r="A247" s="113">
        <f>A246+2</f>
        <v>1030</v>
      </c>
      <c r="B247" s="113" t="str">
        <f>B246</f>
        <v>a</v>
      </c>
      <c r="C247" s="113" t="str">
        <f t="shared" si="136"/>
        <v>b</v>
      </c>
      <c r="D247" s="113" t="str">
        <f t="shared" si="136"/>
        <v>c</v>
      </c>
      <c r="E247" s="113" t="str">
        <f t="shared" si="136"/>
        <v>d</v>
      </c>
      <c r="F247" s="113" t="str">
        <f t="shared" si="136"/>
        <v>e</v>
      </c>
      <c r="G247" s="113" t="str">
        <f t="shared" si="136"/>
        <v>f</v>
      </c>
      <c r="H247" s="113" t="str">
        <f t="shared" si="136"/>
        <v>g</v>
      </c>
      <c r="I247" s="113" t="str">
        <f t="shared" si="136"/>
        <v>h</v>
      </c>
      <c r="J247" s="113" t="str">
        <f t="shared" si="136"/>
        <v>i</v>
      </c>
      <c r="K247" s="113" t="str">
        <f t="shared" si="136"/>
        <v>j</v>
      </c>
      <c r="L247" s="113" t="str">
        <f t="shared" si="136"/>
        <v>k</v>
      </c>
      <c r="M247" s="113" t="str">
        <f t="shared" si="136"/>
        <v>l</v>
      </c>
      <c r="N247" s="113" t="str">
        <f t="shared" si="136"/>
        <v>m</v>
      </c>
      <c r="O247" s="113">
        <f t="shared" si="136"/>
        <v>0</v>
      </c>
      <c r="P247" s="113">
        <f t="shared" si="136"/>
        <v>0</v>
      </c>
      <c r="Q247" s="113" t="str">
        <f t="shared" si="136"/>
        <v>p</v>
      </c>
      <c r="R247" s="113">
        <f t="shared" si="136"/>
        <v>0</v>
      </c>
      <c r="S247" s="113">
        <f t="shared" si="136"/>
        <v>0</v>
      </c>
      <c r="T247" s="113">
        <f t="shared" si="136"/>
        <v>0</v>
      </c>
      <c r="U247" s="113">
        <f t="shared" si="136"/>
        <v>0</v>
      </c>
      <c r="V247" s="113">
        <f t="shared" si="136"/>
        <v>0</v>
      </c>
      <c r="W247" s="113">
        <f t="shared" si="136"/>
        <v>0</v>
      </c>
      <c r="X247" s="113">
        <f t="shared" si="136"/>
        <v>0</v>
      </c>
      <c r="AA247" s="113">
        <v>35</v>
      </c>
      <c r="AB247" s="112">
        <f t="shared" ca="1" si="137"/>
        <v>44562</v>
      </c>
      <c r="AC247" s="428">
        <f t="shared" ca="1" si="137"/>
        <v>44652</v>
      </c>
      <c r="AD247" t="s">
        <v>514</v>
      </c>
      <c r="AF247" s="114">
        <f t="shared" ca="1" si="139"/>
        <v>24152.809999999998</v>
      </c>
      <c r="AG247" s="114">
        <f t="shared" ca="1" si="139"/>
        <v>0</v>
      </c>
      <c r="AH247" s="114">
        <f t="shared" ca="1" si="138"/>
        <v>0</v>
      </c>
      <c r="AI247" s="114">
        <f t="shared" ca="1" si="138"/>
        <v>6384.11</v>
      </c>
      <c r="AJ247" s="114">
        <f t="shared" ca="1" si="138"/>
        <v>0</v>
      </c>
      <c r="AK247" s="114">
        <f t="shared" ca="1" si="138"/>
        <v>2468.9</v>
      </c>
      <c r="AN247">
        <f t="shared" si="127"/>
        <v>247</v>
      </c>
      <c r="AQ247" s="114">
        <f t="shared" ca="1" si="128"/>
        <v>3458.4</v>
      </c>
      <c r="AW247">
        <v>247</v>
      </c>
      <c r="BG247" s="114">
        <f t="shared" ca="1" si="125"/>
        <v>33995.32</v>
      </c>
      <c r="BI247">
        <f t="shared" si="126"/>
        <v>0</v>
      </c>
    </row>
    <row r="248" spans="1:61" x14ac:dyDescent="0.25">
      <c r="A248" s="113">
        <f>A241+20</f>
        <v>1040</v>
      </c>
      <c r="B248" s="113" t="str">
        <f>B241</f>
        <v>a</v>
      </c>
      <c r="C248" s="113" t="str">
        <f t="shared" ref="C248:X248" si="140">C241</f>
        <v>b</v>
      </c>
      <c r="D248" s="113" t="str">
        <f t="shared" si="140"/>
        <v>c</v>
      </c>
      <c r="E248" s="113" t="str">
        <f t="shared" si="140"/>
        <v>d</v>
      </c>
      <c r="F248" s="113" t="str">
        <f t="shared" si="140"/>
        <v>e</v>
      </c>
      <c r="G248" s="113" t="str">
        <f t="shared" si="140"/>
        <v>f</v>
      </c>
      <c r="H248" s="113" t="str">
        <f t="shared" si="140"/>
        <v>g</v>
      </c>
      <c r="I248" s="113" t="str">
        <f t="shared" si="140"/>
        <v>h</v>
      </c>
      <c r="J248" s="113" t="str">
        <f t="shared" si="140"/>
        <v>i</v>
      </c>
      <c r="K248" s="113" t="str">
        <f t="shared" si="140"/>
        <v>j</v>
      </c>
      <c r="L248" s="113" t="str">
        <f t="shared" si="140"/>
        <v>k</v>
      </c>
      <c r="M248" s="113" t="str">
        <f t="shared" si="140"/>
        <v>l</v>
      </c>
      <c r="N248" s="113" t="str">
        <f t="shared" si="140"/>
        <v>m</v>
      </c>
      <c r="O248" s="113">
        <f t="shared" si="140"/>
        <v>0</v>
      </c>
      <c r="P248" s="113">
        <f t="shared" si="140"/>
        <v>0</v>
      </c>
      <c r="Q248" s="113" t="str">
        <f t="shared" si="140"/>
        <v>p</v>
      </c>
      <c r="R248" s="113">
        <f t="shared" si="140"/>
        <v>0</v>
      </c>
      <c r="S248" s="113">
        <f t="shared" si="140"/>
        <v>0</v>
      </c>
      <c r="T248" s="113">
        <f t="shared" si="140"/>
        <v>0</v>
      </c>
      <c r="U248" s="113">
        <f t="shared" si="140"/>
        <v>0</v>
      </c>
      <c r="V248" s="113">
        <f t="shared" si="140"/>
        <v>0</v>
      </c>
      <c r="W248" s="113">
        <f t="shared" si="140"/>
        <v>0</v>
      </c>
      <c r="X248" s="113">
        <f t="shared" si="140"/>
        <v>0</v>
      </c>
      <c r="AA248" s="113">
        <v>0</v>
      </c>
      <c r="AB248" s="112">
        <f ca="1">INDIRECT(CONCATENATE($AB$10,CONCATENATE(B248,$A248)))</f>
        <v>44652</v>
      </c>
      <c r="AC248" s="428">
        <f ca="1">INDIRECT(CONCATENATE($AB$10,CONCATENATE(C248,$A248)))</f>
        <v>44742</v>
      </c>
      <c r="AD248" t="s">
        <v>515</v>
      </c>
      <c r="AF248" s="114">
        <f t="shared" ca="1" si="139"/>
        <v>14513.09</v>
      </c>
      <c r="AG248" s="114">
        <f ca="1">INDIRECT(CONCATENATE($AB$10,CONCATENATE(G248,$A248)))</f>
        <v>0</v>
      </c>
      <c r="AH248" s="114">
        <f ca="1">INDIRECT(CONCATENATE($AB$10,CONCATENATE(H248,$A248)))</f>
        <v>0</v>
      </c>
      <c r="AI248" s="114">
        <f ca="1">INDIRECT(CONCATENATE($AB$10,CONCATENATE(I248,$A248)))</f>
        <v>6384.11</v>
      </c>
      <c r="AJ248" s="114">
        <f ca="1">INDIRECT(CONCATENATE($AB$10,CONCATENATE(J248,$A248)))</f>
        <v>62.69</v>
      </c>
      <c r="AK248" s="114">
        <f ca="1">INDIRECT(CONCATENATE($AB$10,CONCATENATE(K248,$A248)))</f>
        <v>1690.19</v>
      </c>
      <c r="AN248">
        <f t="shared" si="127"/>
        <v>248</v>
      </c>
      <c r="AQ248" s="114">
        <f t="shared" ca="1" si="128"/>
        <v>2214</v>
      </c>
      <c r="AW248">
        <v>248</v>
      </c>
      <c r="BG248" s="114">
        <f t="shared" ca="1" si="125"/>
        <v>23173.89</v>
      </c>
      <c r="BI248">
        <f t="shared" si="126"/>
        <v>0</v>
      </c>
    </row>
    <row r="249" spans="1:61" x14ac:dyDescent="0.25">
      <c r="A249" s="113">
        <f>A248</f>
        <v>1040</v>
      </c>
      <c r="B249" s="113" t="str">
        <f>B248</f>
        <v>a</v>
      </c>
      <c r="C249" s="113" t="str">
        <f t="shared" si="136"/>
        <v>b</v>
      </c>
      <c r="D249" s="113" t="str">
        <f t="shared" si="136"/>
        <v>c</v>
      </c>
      <c r="E249" s="113" t="str">
        <f t="shared" si="136"/>
        <v>d</v>
      </c>
      <c r="F249" s="113" t="str">
        <f t="shared" si="136"/>
        <v>e</v>
      </c>
      <c r="G249" s="113" t="str">
        <f t="shared" si="136"/>
        <v>f</v>
      </c>
      <c r="H249" s="113" t="str">
        <f t="shared" si="136"/>
        <v>g</v>
      </c>
      <c r="I249" s="113" t="str">
        <f t="shared" si="136"/>
        <v>h</v>
      </c>
      <c r="J249" s="113" t="str">
        <f t="shared" si="136"/>
        <v>i</v>
      </c>
      <c r="K249" s="113" t="str">
        <f t="shared" si="136"/>
        <v>j</v>
      </c>
      <c r="L249" s="113" t="str">
        <f t="shared" si="136"/>
        <v>k</v>
      </c>
      <c r="M249" s="113" t="str">
        <f t="shared" si="136"/>
        <v>l</v>
      </c>
      <c r="N249" s="113" t="str">
        <f t="shared" si="136"/>
        <v>m</v>
      </c>
      <c r="O249" s="113">
        <f t="shared" si="136"/>
        <v>0</v>
      </c>
      <c r="P249" s="113">
        <f t="shared" si="136"/>
        <v>0</v>
      </c>
      <c r="Q249" s="113" t="str">
        <f t="shared" si="136"/>
        <v>p</v>
      </c>
      <c r="R249" s="113">
        <f t="shared" si="136"/>
        <v>0</v>
      </c>
      <c r="S249" s="113">
        <f t="shared" si="136"/>
        <v>0</v>
      </c>
      <c r="T249" s="113">
        <f t="shared" si="136"/>
        <v>0</v>
      </c>
      <c r="U249" s="113">
        <f t="shared" si="136"/>
        <v>0</v>
      </c>
      <c r="V249" s="113">
        <f t="shared" si="136"/>
        <v>0</v>
      </c>
      <c r="W249" s="113">
        <f t="shared" si="136"/>
        <v>0</v>
      </c>
      <c r="X249" s="113">
        <f t="shared" si="136"/>
        <v>0</v>
      </c>
      <c r="AA249" s="113">
        <v>3</v>
      </c>
      <c r="AB249" s="112">
        <f t="shared" ref="AB249:AC254" ca="1" si="141">AB248</f>
        <v>44652</v>
      </c>
      <c r="AC249" s="428">
        <f t="shared" ca="1" si="141"/>
        <v>44742</v>
      </c>
      <c r="AD249" t="s">
        <v>516</v>
      </c>
      <c r="AE249" s="114">
        <f ca="1">AE242</f>
        <v>522.04999999999995</v>
      </c>
      <c r="AF249" s="114">
        <f t="shared" ca="1" si="139"/>
        <v>14513.09</v>
      </c>
      <c r="AG249" s="114">
        <f t="shared" ca="1" si="139"/>
        <v>0</v>
      </c>
      <c r="AH249" s="114">
        <f t="shared" ca="1" si="139"/>
        <v>0</v>
      </c>
      <c r="AI249" s="114">
        <f t="shared" ca="1" si="139"/>
        <v>6384.11</v>
      </c>
      <c r="AJ249" s="114">
        <f t="shared" ca="1" si="139"/>
        <v>62.69</v>
      </c>
      <c r="AK249" s="114">
        <f t="shared" ca="1" si="139"/>
        <v>1690.19</v>
      </c>
      <c r="AN249">
        <f t="shared" si="127"/>
        <v>249</v>
      </c>
      <c r="AQ249" s="114">
        <f t="shared" ca="1" si="128"/>
        <v>2214</v>
      </c>
      <c r="AW249">
        <v>249</v>
      </c>
      <c r="BG249" s="114">
        <f t="shared" ca="1" si="125"/>
        <v>23173.89</v>
      </c>
      <c r="BI249">
        <f t="shared" ca="1" si="126"/>
        <v>522.04999999999995</v>
      </c>
    </row>
    <row r="250" spans="1:61" x14ac:dyDescent="0.25">
      <c r="A250" s="113">
        <f>A249+2</f>
        <v>1042</v>
      </c>
      <c r="B250" s="113" t="str">
        <f>B249</f>
        <v>a</v>
      </c>
      <c r="C250" s="113" t="str">
        <f t="shared" si="136"/>
        <v>b</v>
      </c>
      <c r="D250" s="113" t="str">
        <f t="shared" si="136"/>
        <v>c</v>
      </c>
      <c r="E250" s="113" t="str">
        <f t="shared" si="136"/>
        <v>d</v>
      </c>
      <c r="F250" s="113" t="str">
        <f t="shared" si="136"/>
        <v>e</v>
      </c>
      <c r="G250" s="113" t="str">
        <f t="shared" si="136"/>
        <v>f</v>
      </c>
      <c r="H250" s="113" t="str">
        <f t="shared" si="136"/>
        <v>g</v>
      </c>
      <c r="I250" s="113" t="str">
        <f t="shared" si="136"/>
        <v>h</v>
      </c>
      <c r="J250" s="113" t="str">
        <f t="shared" si="136"/>
        <v>i</v>
      </c>
      <c r="K250" s="113" t="str">
        <f t="shared" si="136"/>
        <v>j</v>
      </c>
      <c r="L250" s="113" t="str">
        <f t="shared" si="136"/>
        <v>k</v>
      </c>
      <c r="M250" s="113" t="str">
        <f t="shared" si="136"/>
        <v>l</v>
      </c>
      <c r="N250" s="113" t="str">
        <f t="shared" si="136"/>
        <v>m</v>
      </c>
      <c r="O250" s="113">
        <f t="shared" si="136"/>
        <v>0</v>
      </c>
      <c r="P250" s="113">
        <f t="shared" si="136"/>
        <v>0</v>
      </c>
      <c r="Q250" s="113" t="str">
        <f t="shared" si="136"/>
        <v>p</v>
      </c>
      <c r="R250" s="113">
        <f t="shared" si="136"/>
        <v>0</v>
      </c>
      <c r="S250" s="113">
        <f t="shared" si="136"/>
        <v>0</v>
      </c>
      <c r="T250" s="113">
        <f t="shared" si="136"/>
        <v>0</v>
      </c>
      <c r="U250" s="113">
        <f t="shared" si="136"/>
        <v>0</v>
      </c>
      <c r="V250" s="113">
        <f t="shared" si="136"/>
        <v>0</v>
      </c>
      <c r="W250" s="113">
        <f t="shared" si="136"/>
        <v>0</v>
      </c>
      <c r="X250" s="113">
        <f t="shared" si="136"/>
        <v>0</v>
      </c>
      <c r="AA250" s="113">
        <v>9</v>
      </c>
      <c r="AB250" s="112">
        <f t="shared" ca="1" si="141"/>
        <v>44652</v>
      </c>
      <c r="AC250" s="428">
        <f t="shared" ca="1" si="141"/>
        <v>44742</v>
      </c>
      <c r="AD250" t="s">
        <v>510</v>
      </c>
      <c r="AF250" s="114">
        <f t="shared" ca="1" si="139"/>
        <v>16798.88</v>
      </c>
      <c r="AG250" s="114">
        <f t="shared" ca="1" si="139"/>
        <v>0</v>
      </c>
      <c r="AH250" s="114">
        <f t="shared" ca="1" si="139"/>
        <v>0</v>
      </c>
      <c r="AI250" s="114">
        <f t="shared" ca="1" si="139"/>
        <v>6384.11</v>
      </c>
      <c r="AJ250" s="114">
        <f t="shared" ca="1" si="139"/>
        <v>69.55</v>
      </c>
      <c r="AK250" s="114">
        <f t="shared" ca="1" si="139"/>
        <v>1874.95</v>
      </c>
      <c r="AN250">
        <f t="shared" si="127"/>
        <v>250</v>
      </c>
      <c r="AQ250" s="114">
        <f t="shared" ca="1" si="128"/>
        <v>2214</v>
      </c>
      <c r="AW250">
        <v>250</v>
      </c>
      <c r="BG250" s="114">
        <f t="shared" ca="1" si="125"/>
        <v>25466.54</v>
      </c>
      <c r="BI250">
        <f t="shared" si="126"/>
        <v>0</v>
      </c>
    </row>
    <row r="251" spans="1:61" x14ac:dyDescent="0.25">
      <c r="A251" s="113">
        <f>A250+2</f>
        <v>1044</v>
      </c>
      <c r="B251" s="113" t="str">
        <f>B250</f>
        <v>a</v>
      </c>
      <c r="C251" s="113" t="str">
        <f t="shared" si="136"/>
        <v>b</v>
      </c>
      <c r="D251" s="113" t="str">
        <f t="shared" si="136"/>
        <v>c</v>
      </c>
      <c r="E251" s="113" t="str">
        <f t="shared" si="136"/>
        <v>d</v>
      </c>
      <c r="F251" s="113" t="str">
        <f t="shared" si="136"/>
        <v>e</v>
      </c>
      <c r="G251" s="113" t="str">
        <f t="shared" si="136"/>
        <v>f</v>
      </c>
      <c r="H251" s="113" t="str">
        <f t="shared" si="136"/>
        <v>g</v>
      </c>
      <c r="I251" s="113" t="str">
        <f t="shared" si="136"/>
        <v>h</v>
      </c>
      <c r="J251" s="113" t="str">
        <f t="shared" si="136"/>
        <v>i</v>
      </c>
      <c r="K251" s="113" t="str">
        <f t="shared" si="136"/>
        <v>j</v>
      </c>
      <c r="L251" s="113" t="str">
        <f t="shared" si="136"/>
        <v>k</v>
      </c>
      <c r="M251" s="113" t="str">
        <f t="shared" si="136"/>
        <v>l</v>
      </c>
      <c r="N251" s="113" t="str">
        <f t="shared" si="136"/>
        <v>m</v>
      </c>
      <c r="O251" s="113">
        <f t="shared" si="136"/>
        <v>0</v>
      </c>
      <c r="P251" s="113">
        <f t="shared" si="136"/>
        <v>0</v>
      </c>
      <c r="Q251" s="113" t="str">
        <f t="shared" si="136"/>
        <v>p</v>
      </c>
      <c r="R251" s="113">
        <f t="shared" si="136"/>
        <v>0</v>
      </c>
      <c r="S251" s="113">
        <f t="shared" si="136"/>
        <v>0</v>
      </c>
      <c r="T251" s="113">
        <f t="shared" si="136"/>
        <v>0</v>
      </c>
      <c r="U251" s="113">
        <f t="shared" si="136"/>
        <v>0</v>
      </c>
      <c r="V251" s="113">
        <f t="shared" si="136"/>
        <v>0</v>
      </c>
      <c r="W251" s="113">
        <f t="shared" si="136"/>
        <v>0</v>
      </c>
      <c r="X251" s="113">
        <f t="shared" si="136"/>
        <v>0</v>
      </c>
      <c r="AA251" s="113">
        <v>15</v>
      </c>
      <c r="AB251" s="112">
        <f t="shared" ca="1" si="141"/>
        <v>44652</v>
      </c>
      <c r="AC251" s="428">
        <f t="shared" ca="1" si="141"/>
        <v>44742</v>
      </c>
      <c r="AD251" t="s">
        <v>511</v>
      </c>
      <c r="AF251" s="114">
        <f t="shared" ca="1" si="139"/>
        <v>18820.88</v>
      </c>
      <c r="AG251" s="114">
        <f t="shared" ca="1" si="139"/>
        <v>0</v>
      </c>
      <c r="AH251" s="114">
        <f t="shared" ca="1" si="139"/>
        <v>0</v>
      </c>
      <c r="AI251" s="114">
        <f t="shared" ca="1" si="139"/>
        <v>6384.11</v>
      </c>
      <c r="AJ251" s="114">
        <f t="shared" ca="1" si="139"/>
        <v>75.61</v>
      </c>
      <c r="AK251" s="114">
        <f t="shared" ca="1" si="139"/>
        <v>2037.57</v>
      </c>
      <c r="AN251">
        <f t="shared" si="127"/>
        <v>251</v>
      </c>
      <c r="AQ251" s="114">
        <f t="shared" ca="1" si="128"/>
        <v>2721.6</v>
      </c>
      <c r="AW251">
        <v>251</v>
      </c>
      <c r="BG251" s="114">
        <f t="shared" ca="1" si="125"/>
        <v>28002.2</v>
      </c>
      <c r="BI251">
        <f t="shared" si="126"/>
        <v>0</v>
      </c>
    </row>
    <row r="252" spans="1:61" x14ac:dyDescent="0.25">
      <c r="A252" s="113">
        <f>A251+2</f>
        <v>1046</v>
      </c>
      <c r="B252" s="113" t="str">
        <f>B251</f>
        <v>a</v>
      </c>
      <c r="C252" s="113" t="str">
        <f t="shared" si="136"/>
        <v>b</v>
      </c>
      <c r="D252" s="113" t="str">
        <f t="shared" si="136"/>
        <v>c</v>
      </c>
      <c r="E252" s="113" t="str">
        <f t="shared" si="136"/>
        <v>d</v>
      </c>
      <c r="F252" s="113" t="str">
        <f t="shared" si="136"/>
        <v>e</v>
      </c>
      <c r="G252" s="113" t="str">
        <f t="shared" si="136"/>
        <v>f</v>
      </c>
      <c r="H252" s="113" t="str">
        <f t="shared" si="136"/>
        <v>g</v>
      </c>
      <c r="I252" s="113" t="str">
        <f t="shared" si="136"/>
        <v>h</v>
      </c>
      <c r="J252" s="113" t="str">
        <f t="shared" si="136"/>
        <v>i</v>
      </c>
      <c r="K252" s="113" t="str">
        <f t="shared" si="136"/>
        <v>j</v>
      </c>
      <c r="L252" s="113" t="str">
        <f t="shared" si="136"/>
        <v>k</v>
      </c>
      <c r="M252" s="113" t="str">
        <f t="shared" si="136"/>
        <v>l</v>
      </c>
      <c r="N252" s="113" t="str">
        <f t="shared" si="136"/>
        <v>m</v>
      </c>
      <c r="O252" s="113">
        <f t="shared" si="136"/>
        <v>0</v>
      </c>
      <c r="P252" s="113">
        <f t="shared" si="136"/>
        <v>0</v>
      </c>
      <c r="Q252" s="113" t="str">
        <f t="shared" si="136"/>
        <v>p</v>
      </c>
      <c r="R252" s="113">
        <f t="shared" si="136"/>
        <v>0</v>
      </c>
      <c r="S252" s="113">
        <f t="shared" si="136"/>
        <v>0</v>
      </c>
      <c r="T252" s="113">
        <f t="shared" si="136"/>
        <v>0</v>
      </c>
      <c r="U252" s="113">
        <f t="shared" si="136"/>
        <v>0</v>
      </c>
      <c r="V252" s="113">
        <f t="shared" si="136"/>
        <v>0</v>
      </c>
      <c r="W252" s="113">
        <f t="shared" si="136"/>
        <v>0</v>
      </c>
      <c r="X252" s="113">
        <f t="shared" si="136"/>
        <v>0</v>
      </c>
      <c r="AA252" s="113">
        <v>21</v>
      </c>
      <c r="AB252" s="112">
        <f t="shared" ca="1" si="141"/>
        <v>44652</v>
      </c>
      <c r="AC252" s="428">
        <f t="shared" ca="1" si="141"/>
        <v>44742</v>
      </c>
      <c r="AD252" t="s">
        <v>512</v>
      </c>
      <c r="AF252" s="114">
        <f t="shared" ca="1" si="139"/>
        <v>20787.48</v>
      </c>
      <c r="AG252" s="114">
        <f t="shared" ca="1" si="139"/>
        <v>0</v>
      </c>
      <c r="AH252" s="114">
        <f t="shared" ca="1" si="139"/>
        <v>0</v>
      </c>
      <c r="AI252" s="114">
        <f t="shared" ca="1" si="139"/>
        <v>6384.11</v>
      </c>
      <c r="AJ252" s="114">
        <f t="shared" ca="1" si="139"/>
        <v>81.510000000000005</v>
      </c>
      <c r="AK252" s="114">
        <f t="shared" ca="1" si="139"/>
        <v>2196.5700000000002</v>
      </c>
      <c r="AN252">
        <f t="shared" si="127"/>
        <v>252</v>
      </c>
      <c r="AQ252" s="114">
        <f t="shared" ca="1" si="128"/>
        <v>2721.6</v>
      </c>
      <c r="AW252">
        <v>252</v>
      </c>
      <c r="BG252" s="114">
        <f t="shared" ca="1" si="125"/>
        <v>29974.699999999997</v>
      </c>
      <c r="BI252">
        <f t="shared" si="126"/>
        <v>0</v>
      </c>
    </row>
    <row r="253" spans="1:61" x14ac:dyDescent="0.25">
      <c r="A253" s="113">
        <f>A252+2</f>
        <v>1048</v>
      </c>
      <c r="B253" s="113" t="str">
        <f>B252</f>
        <v>a</v>
      </c>
      <c r="C253" s="113" t="str">
        <f t="shared" si="136"/>
        <v>b</v>
      </c>
      <c r="D253" s="113" t="str">
        <f t="shared" si="136"/>
        <v>c</v>
      </c>
      <c r="E253" s="113" t="str">
        <f t="shared" si="136"/>
        <v>d</v>
      </c>
      <c r="F253" s="113" t="str">
        <f t="shared" si="136"/>
        <v>e</v>
      </c>
      <c r="G253" s="113" t="str">
        <f t="shared" si="136"/>
        <v>f</v>
      </c>
      <c r="H253" s="113" t="str">
        <f t="shared" si="136"/>
        <v>g</v>
      </c>
      <c r="I253" s="113" t="str">
        <f t="shared" si="136"/>
        <v>h</v>
      </c>
      <c r="J253" s="113" t="str">
        <f t="shared" si="136"/>
        <v>i</v>
      </c>
      <c r="K253" s="113" t="str">
        <f t="shared" si="136"/>
        <v>j</v>
      </c>
      <c r="L253" s="113" t="str">
        <f t="shared" si="136"/>
        <v>k</v>
      </c>
      <c r="M253" s="113" t="str">
        <f t="shared" si="136"/>
        <v>l</v>
      </c>
      <c r="N253" s="113" t="str">
        <f t="shared" si="136"/>
        <v>m</v>
      </c>
      <c r="O253" s="113">
        <f t="shared" si="136"/>
        <v>0</v>
      </c>
      <c r="P253" s="113">
        <f t="shared" si="136"/>
        <v>0</v>
      </c>
      <c r="Q253" s="113" t="str">
        <f t="shared" si="136"/>
        <v>p</v>
      </c>
      <c r="R253" s="113">
        <f t="shared" si="136"/>
        <v>0</v>
      </c>
      <c r="S253" s="113">
        <f t="shared" si="136"/>
        <v>0</v>
      </c>
      <c r="T253" s="113">
        <f t="shared" si="136"/>
        <v>0</v>
      </c>
      <c r="U253" s="113">
        <f t="shared" si="136"/>
        <v>0</v>
      </c>
      <c r="V253" s="113">
        <f t="shared" si="136"/>
        <v>0</v>
      </c>
      <c r="W253" s="113">
        <f t="shared" si="136"/>
        <v>0</v>
      </c>
      <c r="X253" s="113">
        <f t="shared" si="136"/>
        <v>0</v>
      </c>
      <c r="AA253" s="113">
        <v>28</v>
      </c>
      <c r="AB253" s="112">
        <f t="shared" ca="1" si="141"/>
        <v>44652</v>
      </c>
      <c r="AC253" s="428">
        <f t="shared" ca="1" si="141"/>
        <v>44742</v>
      </c>
      <c r="AD253" t="s">
        <v>513</v>
      </c>
      <c r="AF253" s="114">
        <f t="shared" ca="1" si="139"/>
        <v>22717.71</v>
      </c>
      <c r="AG253" s="114">
        <f t="shared" ca="1" si="139"/>
        <v>0</v>
      </c>
      <c r="AH253" s="114">
        <f t="shared" ca="1" si="139"/>
        <v>0</v>
      </c>
      <c r="AI253" s="114">
        <f t="shared" ca="1" si="139"/>
        <v>6384.11</v>
      </c>
      <c r="AJ253" s="114">
        <f t="shared" ca="1" si="139"/>
        <v>87.31</v>
      </c>
      <c r="AK253" s="114">
        <f t="shared" ca="1" si="139"/>
        <v>2352.5100000000002</v>
      </c>
      <c r="AN253">
        <f t="shared" si="127"/>
        <v>253</v>
      </c>
      <c r="AQ253" s="114">
        <f t="shared" ca="1" si="128"/>
        <v>3458.4</v>
      </c>
      <c r="AW253">
        <v>253</v>
      </c>
      <c r="BG253" s="114">
        <f t="shared" ca="1" si="125"/>
        <v>32647.530000000002</v>
      </c>
      <c r="BI253">
        <f t="shared" si="126"/>
        <v>0</v>
      </c>
    </row>
    <row r="254" spans="1:61" x14ac:dyDescent="0.25">
      <c r="A254" s="113">
        <f>A253+2</f>
        <v>1050</v>
      </c>
      <c r="B254" s="113" t="str">
        <f>B253</f>
        <v>a</v>
      </c>
      <c r="C254" s="113" t="str">
        <f t="shared" si="136"/>
        <v>b</v>
      </c>
      <c r="D254" s="113" t="str">
        <f t="shared" si="136"/>
        <v>c</v>
      </c>
      <c r="E254" s="113" t="str">
        <f t="shared" si="136"/>
        <v>d</v>
      </c>
      <c r="F254" s="113" t="str">
        <f t="shared" si="136"/>
        <v>e</v>
      </c>
      <c r="G254" s="113" t="str">
        <f t="shared" si="136"/>
        <v>f</v>
      </c>
      <c r="H254" s="113" t="str">
        <f t="shared" si="136"/>
        <v>g</v>
      </c>
      <c r="I254" s="113" t="str">
        <f t="shared" si="136"/>
        <v>h</v>
      </c>
      <c r="J254" s="113" t="str">
        <f t="shared" si="136"/>
        <v>i</v>
      </c>
      <c r="K254" s="113" t="str">
        <f t="shared" si="136"/>
        <v>j</v>
      </c>
      <c r="L254" s="113" t="str">
        <f t="shared" si="136"/>
        <v>k</v>
      </c>
      <c r="M254" s="113" t="str">
        <f t="shared" si="136"/>
        <v>l</v>
      </c>
      <c r="N254" s="113" t="str">
        <f t="shared" si="136"/>
        <v>m</v>
      </c>
      <c r="O254" s="113">
        <f t="shared" si="136"/>
        <v>0</v>
      </c>
      <c r="P254" s="113">
        <f t="shared" ref="P254:X261" si="142">P253</f>
        <v>0</v>
      </c>
      <c r="Q254" s="113" t="str">
        <f t="shared" si="142"/>
        <v>p</v>
      </c>
      <c r="R254" s="113">
        <f t="shared" si="142"/>
        <v>0</v>
      </c>
      <c r="S254" s="113">
        <f t="shared" si="142"/>
        <v>0</v>
      </c>
      <c r="T254" s="113">
        <f t="shared" si="142"/>
        <v>0</v>
      </c>
      <c r="U254" s="113">
        <f t="shared" si="142"/>
        <v>0</v>
      </c>
      <c r="V254" s="113">
        <f t="shared" si="142"/>
        <v>0</v>
      </c>
      <c r="W254" s="113">
        <f t="shared" si="142"/>
        <v>0</v>
      </c>
      <c r="X254" s="113">
        <f t="shared" si="142"/>
        <v>0</v>
      </c>
      <c r="AA254" s="113">
        <v>35</v>
      </c>
      <c r="AB254" s="112">
        <f t="shared" ca="1" si="141"/>
        <v>44652</v>
      </c>
      <c r="AC254" s="428">
        <f t="shared" ca="1" si="141"/>
        <v>44742</v>
      </c>
      <c r="AD254" t="s">
        <v>514</v>
      </c>
      <c r="AF254" s="114">
        <f t="shared" ca="1" si="139"/>
        <v>24152.809999999998</v>
      </c>
      <c r="AG254" s="114">
        <f t="shared" ca="1" si="139"/>
        <v>0</v>
      </c>
      <c r="AH254" s="114">
        <f t="shared" ca="1" si="139"/>
        <v>0</v>
      </c>
      <c r="AI254" s="114">
        <f t="shared" ca="1" si="139"/>
        <v>6384.11</v>
      </c>
      <c r="AJ254" s="114">
        <f t="shared" ca="1" si="139"/>
        <v>91.61</v>
      </c>
      <c r="AK254" s="114">
        <f t="shared" ca="1" si="139"/>
        <v>2468.9</v>
      </c>
      <c r="AN254">
        <f t="shared" si="127"/>
        <v>254</v>
      </c>
      <c r="AQ254" s="114">
        <f t="shared" ca="1" si="128"/>
        <v>3458.4</v>
      </c>
      <c r="AW254">
        <v>254</v>
      </c>
      <c r="BG254" s="114">
        <f t="shared" ca="1" si="125"/>
        <v>34086.93</v>
      </c>
      <c r="BI254">
        <f t="shared" si="126"/>
        <v>0</v>
      </c>
    </row>
    <row r="255" spans="1:61" x14ac:dyDescent="0.25">
      <c r="A255" s="113">
        <f>A248+20</f>
        <v>1060</v>
      </c>
      <c r="B255" s="113" t="str">
        <f>B248</f>
        <v>a</v>
      </c>
      <c r="C255" s="113" t="str">
        <f t="shared" ref="C255:X255" si="143">C248</f>
        <v>b</v>
      </c>
      <c r="D255" s="113" t="str">
        <f t="shared" si="143"/>
        <v>c</v>
      </c>
      <c r="E255" s="113" t="str">
        <f t="shared" si="143"/>
        <v>d</v>
      </c>
      <c r="F255" s="113" t="str">
        <f t="shared" si="143"/>
        <v>e</v>
      </c>
      <c r="G255" s="113" t="str">
        <f t="shared" si="143"/>
        <v>f</v>
      </c>
      <c r="H255" s="113" t="str">
        <f t="shared" si="143"/>
        <v>g</v>
      </c>
      <c r="I255" s="113" t="str">
        <f t="shared" si="143"/>
        <v>h</v>
      </c>
      <c r="J255" s="113" t="str">
        <f t="shared" si="143"/>
        <v>i</v>
      </c>
      <c r="K255" s="113" t="str">
        <f t="shared" si="143"/>
        <v>j</v>
      </c>
      <c r="L255" s="113" t="str">
        <f t="shared" si="143"/>
        <v>k</v>
      </c>
      <c r="M255" s="113" t="str">
        <f t="shared" si="143"/>
        <v>l</v>
      </c>
      <c r="N255" s="113" t="str">
        <f t="shared" si="143"/>
        <v>m</v>
      </c>
      <c r="O255" s="113">
        <f t="shared" si="143"/>
        <v>0</v>
      </c>
      <c r="P255" s="113">
        <f t="shared" si="143"/>
        <v>0</v>
      </c>
      <c r="Q255" s="113" t="str">
        <f t="shared" si="143"/>
        <v>p</v>
      </c>
      <c r="R255" s="113">
        <f t="shared" si="143"/>
        <v>0</v>
      </c>
      <c r="S255" s="113">
        <f t="shared" si="143"/>
        <v>0</v>
      </c>
      <c r="T255" s="113">
        <f t="shared" si="143"/>
        <v>0</v>
      </c>
      <c r="U255" s="113">
        <f t="shared" si="143"/>
        <v>0</v>
      </c>
      <c r="V255" s="113">
        <f t="shared" si="143"/>
        <v>0</v>
      </c>
      <c r="W255" s="113">
        <f t="shared" si="143"/>
        <v>0</v>
      </c>
      <c r="X255" s="113">
        <f t="shared" si="143"/>
        <v>0</v>
      </c>
      <c r="AA255" s="113">
        <v>0</v>
      </c>
      <c r="AB255" s="112">
        <f ca="1">INDIRECT(CONCATENATE($AB$10,CONCATENATE(B255,$A255)))</f>
        <v>44743</v>
      </c>
      <c r="AC255" s="428">
        <f ca="1">INDIRECT(CONCATENATE($AB$10,CONCATENATE(C255,$A255)))</f>
        <v>45291</v>
      </c>
      <c r="AD255" t="s">
        <v>515</v>
      </c>
      <c r="AF255" s="114">
        <f t="shared" ca="1" si="139"/>
        <v>14513.09</v>
      </c>
      <c r="AG255" s="114">
        <f ca="1">INDIRECT(CONCATENATE($AB$10,CONCATENATE(G255,$A255)))</f>
        <v>0</v>
      </c>
      <c r="AH255" s="114">
        <f ca="1">INDIRECT(CONCATENATE($AB$10,CONCATENATE(H255,$A255)))</f>
        <v>0</v>
      </c>
      <c r="AI255" s="114">
        <f ca="1">INDIRECT(CONCATENATE($AB$10,CONCATENATE(I255,$A255)))</f>
        <v>6384.11</v>
      </c>
      <c r="AJ255" s="114">
        <f ca="1">INDIRECT(CONCATENATE($AB$10,CONCATENATE(J255,$A255)))</f>
        <v>104.49</v>
      </c>
      <c r="AK255" s="114">
        <f ca="1">INDIRECT(CONCATENATE($AB$10,CONCATENATE(K255,$A255)))</f>
        <v>1690.19</v>
      </c>
      <c r="AN255">
        <f t="shared" si="127"/>
        <v>255</v>
      </c>
      <c r="AQ255" s="114">
        <f t="shared" ca="1" si="128"/>
        <v>2214</v>
      </c>
      <c r="AW255">
        <v>255</v>
      </c>
      <c r="BG255" s="114">
        <f t="shared" ca="1" si="125"/>
        <v>23215.690000000002</v>
      </c>
      <c r="BI255">
        <f t="shared" si="126"/>
        <v>0</v>
      </c>
    </row>
    <row r="256" spans="1:61" x14ac:dyDescent="0.25">
      <c r="A256" s="113">
        <f>A255</f>
        <v>1060</v>
      </c>
      <c r="B256" s="113" t="str">
        <f>B255</f>
        <v>a</v>
      </c>
      <c r="C256" s="113" t="str">
        <f t="shared" ref="C256:O261" si="144">C255</f>
        <v>b</v>
      </c>
      <c r="D256" s="113" t="str">
        <f t="shared" si="144"/>
        <v>c</v>
      </c>
      <c r="E256" s="113" t="str">
        <f t="shared" si="144"/>
        <v>d</v>
      </c>
      <c r="F256" s="113" t="str">
        <f t="shared" si="144"/>
        <v>e</v>
      </c>
      <c r="G256" s="113" t="str">
        <f t="shared" si="144"/>
        <v>f</v>
      </c>
      <c r="H256" s="113" t="str">
        <f t="shared" si="144"/>
        <v>g</v>
      </c>
      <c r="I256" s="113" t="str">
        <f t="shared" si="144"/>
        <v>h</v>
      </c>
      <c r="J256" s="113" t="str">
        <f t="shared" si="144"/>
        <v>i</v>
      </c>
      <c r="K256" s="113" t="str">
        <f t="shared" si="144"/>
        <v>j</v>
      </c>
      <c r="L256" s="113" t="str">
        <f t="shared" si="144"/>
        <v>k</v>
      </c>
      <c r="M256" s="113" t="str">
        <f t="shared" si="144"/>
        <v>l</v>
      </c>
      <c r="N256" s="113" t="str">
        <f t="shared" si="144"/>
        <v>m</v>
      </c>
      <c r="O256" s="113">
        <f t="shared" si="144"/>
        <v>0</v>
      </c>
      <c r="P256" s="113">
        <f t="shared" si="142"/>
        <v>0</v>
      </c>
      <c r="Q256" s="113" t="str">
        <f t="shared" si="142"/>
        <v>p</v>
      </c>
      <c r="R256" s="113">
        <f t="shared" si="142"/>
        <v>0</v>
      </c>
      <c r="S256" s="113">
        <f t="shared" si="142"/>
        <v>0</v>
      </c>
      <c r="T256" s="113">
        <f t="shared" si="142"/>
        <v>0</v>
      </c>
      <c r="U256" s="113">
        <f t="shared" si="142"/>
        <v>0</v>
      </c>
      <c r="V256" s="113">
        <f t="shared" si="142"/>
        <v>0</v>
      </c>
      <c r="W256" s="113">
        <f t="shared" si="142"/>
        <v>0</v>
      </c>
      <c r="X256" s="113">
        <f t="shared" si="142"/>
        <v>0</v>
      </c>
      <c r="AA256" s="113">
        <v>3</v>
      </c>
      <c r="AB256" s="112">
        <f t="shared" ref="AB256:AC261" ca="1" si="145">AB255</f>
        <v>44743</v>
      </c>
      <c r="AC256" s="428">
        <f t="shared" ca="1" si="145"/>
        <v>45291</v>
      </c>
      <c r="AD256" t="s">
        <v>516</v>
      </c>
      <c r="AE256" s="114">
        <f ca="1">AE249</f>
        <v>522.04999999999995</v>
      </c>
      <c r="AF256" s="114">
        <f t="shared" ca="1" si="139"/>
        <v>14513.09</v>
      </c>
      <c r="AG256" s="114">
        <f t="shared" ca="1" si="139"/>
        <v>0</v>
      </c>
      <c r="AH256" s="114">
        <f t="shared" ca="1" si="139"/>
        <v>0</v>
      </c>
      <c r="AI256" s="114">
        <f t="shared" ca="1" si="139"/>
        <v>6384.11</v>
      </c>
      <c r="AJ256" s="114">
        <f t="shared" ca="1" si="139"/>
        <v>104.49</v>
      </c>
      <c r="AK256" s="114">
        <f t="shared" ca="1" si="139"/>
        <v>1690.19</v>
      </c>
      <c r="AN256">
        <f t="shared" si="127"/>
        <v>256</v>
      </c>
      <c r="AQ256" s="114">
        <f t="shared" ca="1" si="128"/>
        <v>2214</v>
      </c>
      <c r="AW256">
        <v>256</v>
      </c>
      <c r="BG256" s="114">
        <f t="shared" ca="1" si="125"/>
        <v>23215.690000000002</v>
      </c>
      <c r="BI256">
        <f t="shared" ca="1" si="126"/>
        <v>522.04999999999995</v>
      </c>
    </row>
    <row r="257" spans="1:61" x14ac:dyDescent="0.25">
      <c r="A257" s="113">
        <f>A256+2</f>
        <v>1062</v>
      </c>
      <c r="B257" s="113" t="str">
        <f>B256</f>
        <v>a</v>
      </c>
      <c r="C257" s="113" t="str">
        <f t="shared" si="144"/>
        <v>b</v>
      </c>
      <c r="D257" s="113" t="str">
        <f t="shared" si="144"/>
        <v>c</v>
      </c>
      <c r="E257" s="113" t="str">
        <f t="shared" si="144"/>
        <v>d</v>
      </c>
      <c r="F257" s="113" t="str">
        <f t="shared" si="144"/>
        <v>e</v>
      </c>
      <c r="G257" s="113" t="str">
        <f t="shared" si="144"/>
        <v>f</v>
      </c>
      <c r="H257" s="113" t="str">
        <f t="shared" si="144"/>
        <v>g</v>
      </c>
      <c r="I257" s="113" t="str">
        <f t="shared" si="144"/>
        <v>h</v>
      </c>
      <c r="J257" s="113" t="str">
        <f t="shared" si="144"/>
        <v>i</v>
      </c>
      <c r="K257" s="113" t="str">
        <f t="shared" si="144"/>
        <v>j</v>
      </c>
      <c r="L257" s="113" t="str">
        <f t="shared" si="144"/>
        <v>k</v>
      </c>
      <c r="M257" s="113" t="str">
        <f t="shared" si="144"/>
        <v>l</v>
      </c>
      <c r="N257" s="113" t="str">
        <f t="shared" si="144"/>
        <v>m</v>
      </c>
      <c r="O257" s="113">
        <f t="shared" si="144"/>
        <v>0</v>
      </c>
      <c r="P257" s="113">
        <f t="shared" si="142"/>
        <v>0</v>
      </c>
      <c r="Q257" s="113" t="str">
        <f t="shared" si="142"/>
        <v>p</v>
      </c>
      <c r="R257" s="113">
        <f t="shared" si="142"/>
        <v>0</v>
      </c>
      <c r="S257" s="113">
        <f t="shared" si="142"/>
        <v>0</v>
      </c>
      <c r="T257" s="113">
        <f t="shared" si="142"/>
        <v>0</v>
      </c>
      <c r="U257" s="113">
        <f t="shared" si="142"/>
        <v>0</v>
      </c>
      <c r="V257" s="113">
        <f t="shared" si="142"/>
        <v>0</v>
      </c>
      <c r="W257" s="113">
        <f t="shared" si="142"/>
        <v>0</v>
      </c>
      <c r="X257" s="113">
        <f t="shared" si="142"/>
        <v>0</v>
      </c>
      <c r="AA257" s="113">
        <v>9</v>
      </c>
      <c r="AB257" s="112">
        <f t="shared" ca="1" si="145"/>
        <v>44743</v>
      </c>
      <c r="AC257" s="428">
        <f t="shared" ca="1" si="145"/>
        <v>45291</v>
      </c>
      <c r="AD257" t="s">
        <v>510</v>
      </c>
      <c r="AF257" s="114">
        <f t="shared" ca="1" si="139"/>
        <v>16798.88</v>
      </c>
      <c r="AG257" s="114">
        <f t="shared" ca="1" si="139"/>
        <v>0</v>
      </c>
      <c r="AH257" s="114">
        <f t="shared" ca="1" si="139"/>
        <v>0</v>
      </c>
      <c r="AI257" s="114">
        <f t="shared" ca="1" si="139"/>
        <v>6384.11</v>
      </c>
      <c r="AJ257" s="114">
        <f t="shared" ca="1" si="139"/>
        <v>115.91</v>
      </c>
      <c r="AK257" s="114">
        <f t="shared" ca="1" si="139"/>
        <v>1874.95</v>
      </c>
      <c r="AN257">
        <f t="shared" si="127"/>
        <v>257</v>
      </c>
      <c r="AQ257" s="114">
        <f t="shared" ca="1" si="128"/>
        <v>2214</v>
      </c>
      <c r="AW257">
        <v>257</v>
      </c>
      <c r="BG257" s="114">
        <f t="shared" ca="1" si="125"/>
        <v>25512.9</v>
      </c>
      <c r="BI257">
        <f t="shared" si="126"/>
        <v>0</v>
      </c>
    </row>
    <row r="258" spans="1:61" x14ac:dyDescent="0.25">
      <c r="A258" s="113">
        <f>A257+2</f>
        <v>1064</v>
      </c>
      <c r="B258" s="113" t="str">
        <f>B257</f>
        <v>a</v>
      </c>
      <c r="C258" s="113" t="str">
        <f t="shared" si="144"/>
        <v>b</v>
      </c>
      <c r="D258" s="113" t="str">
        <f t="shared" si="144"/>
        <v>c</v>
      </c>
      <c r="E258" s="113" t="str">
        <f t="shared" si="144"/>
        <v>d</v>
      </c>
      <c r="F258" s="113" t="str">
        <f t="shared" si="144"/>
        <v>e</v>
      </c>
      <c r="G258" s="113" t="str">
        <f t="shared" si="144"/>
        <v>f</v>
      </c>
      <c r="H258" s="113" t="str">
        <f t="shared" si="144"/>
        <v>g</v>
      </c>
      <c r="I258" s="113" t="str">
        <f t="shared" si="144"/>
        <v>h</v>
      </c>
      <c r="J258" s="113" t="str">
        <f t="shared" si="144"/>
        <v>i</v>
      </c>
      <c r="K258" s="113" t="str">
        <f t="shared" si="144"/>
        <v>j</v>
      </c>
      <c r="L258" s="113" t="str">
        <f t="shared" si="144"/>
        <v>k</v>
      </c>
      <c r="M258" s="113" t="str">
        <f t="shared" si="144"/>
        <v>l</v>
      </c>
      <c r="N258" s="113" t="str">
        <f t="shared" si="144"/>
        <v>m</v>
      </c>
      <c r="O258" s="113">
        <f t="shared" si="144"/>
        <v>0</v>
      </c>
      <c r="P258" s="113">
        <f t="shared" si="142"/>
        <v>0</v>
      </c>
      <c r="Q258" s="113" t="str">
        <f t="shared" si="142"/>
        <v>p</v>
      </c>
      <c r="R258" s="113">
        <f t="shared" si="142"/>
        <v>0</v>
      </c>
      <c r="S258" s="113">
        <f t="shared" si="142"/>
        <v>0</v>
      </c>
      <c r="T258" s="113">
        <f t="shared" si="142"/>
        <v>0</v>
      </c>
      <c r="U258" s="113">
        <f t="shared" si="142"/>
        <v>0</v>
      </c>
      <c r="V258" s="113">
        <f t="shared" si="142"/>
        <v>0</v>
      </c>
      <c r="W258" s="113">
        <f t="shared" si="142"/>
        <v>0</v>
      </c>
      <c r="X258" s="113">
        <f t="shared" si="142"/>
        <v>0</v>
      </c>
      <c r="AA258" s="113">
        <v>15</v>
      </c>
      <c r="AB258" s="112">
        <f t="shared" ca="1" si="145"/>
        <v>44743</v>
      </c>
      <c r="AC258" s="428">
        <f t="shared" ca="1" si="145"/>
        <v>45291</v>
      </c>
      <c r="AD258" t="s">
        <v>511</v>
      </c>
      <c r="AF258" s="114">
        <f t="shared" ca="1" si="139"/>
        <v>18820.88</v>
      </c>
      <c r="AG258" s="114">
        <f t="shared" ca="1" si="139"/>
        <v>0</v>
      </c>
      <c r="AH258" s="114">
        <f t="shared" ca="1" si="139"/>
        <v>0</v>
      </c>
      <c r="AI258" s="114">
        <f t="shared" ca="1" si="139"/>
        <v>6384.11</v>
      </c>
      <c r="AJ258" s="114">
        <f t="shared" ca="1" si="139"/>
        <v>126.02</v>
      </c>
      <c r="AK258" s="114">
        <f t="shared" ca="1" si="139"/>
        <v>2037.57</v>
      </c>
      <c r="AN258">
        <f t="shared" si="127"/>
        <v>258</v>
      </c>
      <c r="AQ258" s="114">
        <f t="shared" ca="1" si="128"/>
        <v>2721.6</v>
      </c>
      <c r="AW258">
        <v>258</v>
      </c>
      <c r="BG258" s="114">
        <f t="shared" ca="1" si="125"/>
        <v>28052.61</v>
      </c>
      <c r="BI258">
        <f t="shared" si="126"/>
        <v>0</v>
      </c>
    </row>
    <row r="259" spans="1:61" x14ac:dyDescent="0.25">
      <c r="A259" s="113">
        <f>A258+2</f>
        <v>1066</v>
      </c>
      <c r="B259" s="113" t="str">
        <f>B258</f>
        <v>a</v>
      </c>
      <c r="C259" s="113" t="str">
        <f t="shared" si="144"/>
        <v>b</v>
      </c>
      <c r="D259" s="113" t="str">
        <f t="shared" si="144"/>
        <v>c</v>
      </c>
      <c r="E259" s="113" t="str">
        <f t="shared" si="144"/>
        <v>d</v>
      </c>
      <c r="F259" s="113" t="str">
        <f t="shared" si="144"/>
        <v>e</v>
      </c>
      <c r="G259" s="113" t="str">
        <f t="shared" si="144"/>
        <v>f</v>
      </c>
      <c r="H259" s="113" t="str">
        <f t="shared" si="144"/>
        <v>g</v>
      </c>
      <c r="I259" s="113" t="str">
        <f t="shared" si="144"/>
        <v>h</v>
      </c>
      <c r="J259" s="113" t="str">
        <f t="shared" si="144"/>
        <v>i</v>
      </c>
      <c r="K259" s="113" t="str">
        <f t="shared" si="144"/>
        <v>j</v>
      </c>
      <c r="L259" s="113" t="str">
        <f t="shared" si="144"/>
        <v>k</v>
      </c>
      <c r="M259" s="113" t="str">
        <f t="shared" si="144"/>
        <v>l</v>
      </c>
      <c r="N259" s="113" t="str">
        <f t="shared" si="144"/>
        <v>m</v>
      </c>
      <c r="O259" s="113">
        <f t="shared" si="144"/>
        <v>0</v>
      </c>
      <c r="P259" s="113">
        <f t="shared" si="142"/>
        <v>0</v>
      </c>
      <c r="Q259" s="113" t="str">
        <f t="shared" si="142"/>
        <v>p</v>
      </c>
      <c r="R259" s="113">
        <f t="shared" si="142"/>
        <v>0</v>
      </c>
      <c r="S259" s="113">
        <f t="shared" si="142"/>
        <v>0</v>
      </c>
      <c r="T259" s="113">
        <f t="shared" si="142"/>
        <v>0</v>
      </c>
      <c r="U259" s="113">
        <f t="shared" si="142"/>
        <v>0</v>
      </c>
      <c r="V259" s="113">
        <f t="shared" si="142"/>
        <v>0</v>
      </c>
      <c r="W259" s="113">
        <f t="shared" si="142"/>
        <v>0</v>
      </c>
      <c r="X259" s="113">
        <f t="shared" si="142"/>
        <v>0</v>
      </c>
      <c r="AA259" s="113">
        <v>21</v>
      </c>
      <c r="AB259" s="112">
        <f t="shared" ca="1" si="145"/>
        <v>44743</v>
      </c>
      <c r="AC259" s="428">
        <f t="shared" ca="1" si="145"/>
        <v>45291</v>
      </c>
      <c r="AD259" t="s">
        <v>512</v>
      </c>
      <c r="AF259" s="114">
        <f t="shared" ca="1" si="139"/>
        <v>20787.48</v>
      </c>
      <c r="AG259" s="114">
        <f t="shared" ca="1" si="139"/>
        <v>0</v>
      </c>
      <c r="AH259" s="114">
        <f t="shared" ca="1" si="139"/>
        <v>0</v>
      </c>
      <c r="AI259" s="114">
        <f t="shared" ca="1" si="139"/>
        <v>6384.11</v>
      </c>
      <c r="AJ259" s="114">
        <f t="shared" ca="1" si="139"/>
        <v>135.86000000000001</v>
      </c>
      <c r="AK259" s="114">
        <f t="shared" ca="1" si="139"/>
        <v>2196.5700000000002</v>
      </c>
      <c r="AN259">
        <f t="shared" si="127"/>
        <v>259</v>
      </c>
      <c r="AQ259" s="114">
        <f t="shared" ca="1" si="128"/>
        <v>2721.6</v>
      </c>
      <c r="AW259">
        <v>259</v>
      </c>
      <c r="BG259" s="114">
        <f t="shared" ca="1" si="125"/>
        <v>30029.05</v>
      </c>
      <c r="BI259">
        <f t="shared" si="126"/>
        <v>0</v>
      </c>
    </row>
    <row r="260" spans="1:61" x14ac:dyDescent="0.25">
      <c r="A260" s="113">
        <f>A259+2</f>
        <v>1068</v>
      </c>
      <c r="B260" s="113" t="str">
        <f>B259</f>
        <v>a</v>
      </c>
      <c r="C260" s="113" t="str">
        <f t="shared" si="144"/>
        <v>b</v>
      </c>
      <c r="D260" s="113" t="str">
        <f t="shared" si="144"/>
        <v>c</v>
      </c>
      <c r="E260" s="113" t="str">
        <f t="shared" si="144"/>
        <v>d</v>
      </c>
      <c r="F260" s="113" t="str">
        <f t="shared" si="144"/>
        <v>e</v>
      </c>
      <c r="G260" s="113" t="str">
        <f t="shared" si="144"/>
        <v>f</v>
      </c>
      <c r="H260" s="113" t="str">
        <f t="shared" si="144"/>
        <v>g</v>
      </c>
      <c r="I260" s="113" t="str">
        <f t="shared" si="144"/>
        <v>h</v>
      </c>
      <c r="J260" s="113" t="str">
        <f t="shared" si="144"/>
        <v>i</v>
      </c>
      <c r="K260" s="113" t="str">
        <f t="shared" si="144"/>
        <v>j</v>
      </c>
      <c r="L260" s="113" t="str">
        <f t="shared" si="144"/>
        <v>k</v>
      </c>
      <c r="M260" s="113" t="str">
        <f t="shared" si="144"/>
        <v>l</v>
      </c>
      <c r="N260" s="113" t="str">
        <f t="shared" si="144"/>
        <v>m</v>
      </c>
      <c r="O260" s="113">
        <f t="shared" si="144"/>
        <v>0</v>
      </c>
      <c r="P260" s="113">
        <f t="shared" si="142"/>
        <v>0</v>
      </c>
      <c r="Q260" s="113" t="str">
        <f t="shared" si="142"/>
        <v>p</v>
      </c>
      <c r="R260" s="113">
        <f t="shared" si="142"/>
        <v>0</v>
      </c>
      <c r="S260" s="113">
        <f t="shared" si="142"/>
        <v>0</v>
      </c>
      <c r="T260" s="113">
        <f t="shared" si="142"/>
        <v>0</v>
      </c>
      <c r="U260" s="113">
        <f t="shared" si="142"/>
        <v>0</v>
      </c>
      <c r="V260" s="113">
        <f t="shared" si="142"/>
        <v>0</v>
      </c>
      <c r="W260" s="113">
        <f t="shared" si="142"/>
        <v>0</v>
      </c>
      <c r="X260" s="113">
        <f t="shared" si="142"/>
        <v>0</v>
      </c>
      <c r="AA260" s="113">
        <v>28</v>
      </c>
      <c r="AB260" s="112">
        <f t="shared" ca="1" si="145"/>
        <v>44743</v>
      </c>
      <c r="AC260" s="428">
        <f t="shared" ca="1" si="145"/>
        <v>45291</v>
      </c>
      <c r="AD260" t="s">
        <v>513</v>
      </c>
      <c r="AF260" s="114">
        <f t="shared" ca="1" si="139"/>
        <v>22717.71</v>
      </c>
      <c r="AG260" s="114">
        <f t="shared" ca="1" si="139"/>
        <v>0</v>
      </c>
      <c r="AH260" s="114">
        <f t="shared" ca="1" si="139"/>
        <v>0</v>
      </c>
      <c r="AI260" s="114">
        <f t="shared" ca="1" si="139"/>
        <v>6384.11</v>
      </c>
      <c r="AJ260" s="114">
        <f t="shared" ca="1" si="139"/>
        <v>145.51</v>
      </c>
      <c r="AK260" s="114">
        <f t="shared" ca="1" si="139"/>
        <v>2352.5100000000002</v>
      </c>
      <c r="AN260">
        <f t="shared" si="127"/>
        <v>260</v>
      </c>
      <c r="AQ260" s="114">
        <f t="shared" ca="1" si="128"/>
        <v>3458.4</v>
      </c>
      <c r="AW260">
        <v>260</v>
      </c>
      <c r="BG260" s="114">
        <f t="shared" ca="1" si="125"/>
        <v>32705.73</v>
      </c>
      <c r="BI260">
        <f t="shared" si="126"/>
        <v>0</v>
      </c>
    </row>
    <row r="261" spans="1:61" x14ac:dyDescent="0.25">
      <c r="A261" s="113">
        <f>A260+2</f>
        <v>1070</v>
      </c>
      <c r="B261" s="113" t="str">
        <f>B260</f>
        <v>a</v>
      </c>
      <c r="C261" s="113" t="str">
        <f t="shared" si="144"/>
        <v>b</v>
      </c>
      <c r="D261" s="113" t="str">
        <f t="shared" si="144"/>
        <v>c</v>
      </c>
      <c r="E261" s="113" t="str">
        <f t="shared" si="144"/>
        <v>d</v>
      </c>
      <c r="F261" s="113" t="str">
        <f t="shared" si="144"/>
        <v>e</v>
      </c>
      <c r="G261" s="113" t="str">
        <f t="shared" si="144"/>
        <v>f</v>
      </c>
      <c r="H261" s="113" t="str">
        <f t="shared" si="144"/>
        <v>g</v>
      </c>
      <c r="I261" s="113" t="str">
        <f t="shared" si="144"/>
        <v>h</v>
      </c>
      <c r="J261" s="113" t="str">
        <f t="shared" si="144"/>
        <v>i</v>
      </c>
      <c r="K261" s="113" t="str">
        <f t="shared" si="144"/>
        <v>j</v>
      </c>
      <c r="L261" s="113" t="str">
        <f t="shared" si="144"/>
        <v>k</v>
      </c>
      <c r="M261" s="113" t="str">
        <f t="shared" si="144"/>
        <v>l</v>
      </c>
      <c r="N261" s="113" t="str">
        <f t="shared" si="144"/>
        <v>m</v>
      </c>
      <c r="O261" s="113">
        <f t="shared" si="144"/>
        <v>0</v>
      </c>
      <c r="P261" s="113">
        <f t="shared" si="142"/>
        <v>0</v>
      </c>
      <c r="Q261" s="113" t="str">
        <f t="shared" si="142"/>
        <v>p</v>
      </c>
      <c r="R261" s="113">
        <f t="shared" si="142"/>
        <v>0</v>
      </c>
      <c r="S261" s="113">
        <f t="shared" si="142"/>
        <v>0</v>
      </c>
      <c r="T261" s="113">
        <f t="shared" si="142"/>
        <v>0</v>
      </c>
      <c r="U261" s="113">
        <f t="shared" si="142"/>
        <v>0</v>
      </c>
      <c r="V261" s="113">
        <f t="shared" si="142"/>
        <v>0</v>
      </c>
      <c r="W261" s="113">
        <f t="shared" si="142"/>
        <v>0</v>
      </c>
      <c r="X261" s="113">
        <f t="shared" si="142"/>
        <v>0</v>
      </c>
      <c r="AA261" s="113">
        <v>35</v>
      </c>
      <c r="AB261" s="112">
        <f t="shared" ca="1" si="145"/>
        <v>44743</v>
      </c>
      <c r="AC261" s="428">
        <f t="shared" ca="1" si="145"/>
        <v>45291</v>
      </c>
      <c r="AD261" t="s">
        <v>514</v>
      </c>
      <c r="AF261" s="114">
        <f t="shared" ca="1" si="139"/>
        <v>24152.809999999998</v>
      </c>
      <c r="AG261" s="114">
        <f t="shared" ca="1" si="139"/>
        <v>0</v>
      </c>
      <c r="AH261" s="114">
        <f t="shared" ca="1" si="139"/>
        <v>0</v>
      </c>
      <c r="AI261" s="114">
        <f t="shared" ca="1" si="139"/>
        <v>6384.11</v>
      </c>
      <c r="AJ261" s="114">
        <f t="shared" ca="1" si="139"/>
        <v>152.68</v>
      </c>
      <c r="AK261" s="114">
        <f t="shared" ca="1" si="139"/>
        <v>2468.9</v>
      </c>
      <c r="AN261">
        <f t="shared" si="127"/>
        <v>261</v>
      </c>
      <c r="AQ261" s="114">
        <f t="shared" ca="1" si="128"/>
        <v>3458.4</v>
      </c>
      <c r="AW261">
        <v>261</v>
      </c>
      <c r="BG261" s="114">
        <f t="shared" ca="1" si="125"/>
        <v>34148</v>
      </c>
      <c r="BI261">
        <f t="shared" si="126"/>
        <v>0</v>
      </c>
    </row>
    <row r="262" spans="1:61" x14ac:dyDescent="0.25">
      <c r="AN262">
        <f t="shared" si="127"/>
        <v>262</v>
      </c>
      <c r="BG262" s="114">
        <f t="shared" si="125"/>
        <v>0</v>
      </c>
      <c r="BI262">
        <f t="shared" si="126"/>
        <v>0</v>
      </c>
    </row>
    <row r="263" spans="1:61" x14ac:dyDescent="0.25">
      <c r="AN263">
        <f t="shared" si="127"/>
        <v>263</v>
      </c>
      <c r="BG263" s="114">
        <f t="shared" si="125"/>
        <v>0</v>
      </c>
      <c r="BI263">
        <f t="shared" si="126"/>
        <v>0</v>
      </c>
    </row>
    <row r="264" spans="1:61" x14ac:dyDescent="0.25">
      <c r="AN264">
        <f t="shared" si="127"/>
        <v>264</v>
      </c>
      <c r="BG264" s="114">
        <f t="shared" si="125"/>
        <v>0</v>
      </c>
      <c r="BI264">
        <f t="shared" si="126"/>
        <v>0</v>
      </c>
    </row>
    <row r="265" spans="1:61" x14ac:dyDescent="0.25">
      <c r="AN265">
        <f t="shared" si="127"/>
        <v>265</v>
      </c>
      <c r="BG265" s="114">
        <f t="shared" si="125"/>
        <v>0</v>
      </c>
      <c r="BI265">
        <f t="shared" si="126"/>
        <v>0</v>
      </c>
    </row>
    <row r="266" spans="1:61" x14ac:dyDescent="0.25">
      <c r="AN266">
        <f t="shared" si="127"/>
        <v>266</v>
      </c>
      <c r="BG266" s="114">
        <f t="shared" si="125"/>
        <v>0</v>
      </c>
      <c r="BI266">
        <f t="shared" si="126"/>
        <v>0</v>
      </c>
    </row>
    <row r="267" spans="1:61" x14ac:dyDescent="0.25">
      <c r="AN267">
        <f t="shared" si="127"/>
        <v>267</v>
      </c>
      <c r="BG267" s="114">
        <f t="shared" si="125"/>
        <v>0</v>
      </c>
      <c r="BI267">
        <f t="shared" si="126"/>
        <v>0</v>
      </c>
    </row>
    <row r="268" spans="1:61" x14ac:dyDescent="0.25">
      <c r="AN268">
        <f t="shared" si="127"/>
        <v>268</v>
      </c>
      <c r="BG268" s="114">
        <f t="shared" si="125"/>
        <v>0</v>
      </c>
      <c r="BI268">
        <f t="shared" si="126"/>
        <v>0</v>
      </c>
    </row>
    <row r="269" spans="1:61" x14ac:dyDescent="0.25">
      <c r="AN269">
        <f t="shared" si="127"/>
        <v>269</v>
      </c>
      <c r="BG269" s="114">
        <f t="shared" si="125"/>
        <v>0</v>
      </c>
      <c r="BI269">
        <f t="shared" si="126"/>
        <v>0</v>
      </c>
    </row>
    <row r="270" spans="1:61" x14ac:dyDescent="0.25">
      <c r="AN270">
        <f t="shared" si="127"/>
        <v>270</v>
      </c>
      <c r="BG270" s="114">
        <f t="shared" si="125"/>
        <v>0</v>
      </c>
      <c r="BI270">
        <f t="shared" si="126"/>
        <v>0</v>
      </c>
    </row>
    <row r="271" spans="1:61" x14ac:dyDescent="0.25">
      <c r="AN271">
        <f t="shared" si="127"/>
        <v>271</v>
      </c>
      <c r="BG271" s="114">
        <f t="shared" si="125"/>
        <v>0</v>
      </c>
      <c r="BI271">
        <f t="shared" si="126"/>
        <v>0</v>
      </c>
    </row>
    <row r="272" spans="1:61" x14ac:dyDescent="0.25">
      <c r="AN272">
        <f t="shared" si="127"/>
        <v>272</v>
      </c>
      <c r="BG272" s="114">
        <f t="shared" si="125"/>
        <v>0</v>
      </c>
      <c r="BI272">
        <f t="shared" si="126"/>
        <v>0</v>
      </c>
    </row>
    <row r="273" spans="40:61" x14ac:dyDescent="0.25">
      <c r="AN273">
        <f t="shared" si="127"/>
        <v>273</v>
      </c>
      <c r="BG273" s="114">
        <f t="shared" si="125"/>
        <v>0</v>
      </c>
      <c r="BI273">
        <f t="shared" si="126"/>
        <v>0</v>
      </c>
    </row>
    <row r="274" spans="40:61" x14ac:dyDescent="0.25">
      <c r="AN274">
        <f t="shared" si="127"/>
        <v>274</v>
      </c>
      <c r="BG274" s="114">
        <f t="shared" si="125"/>
        <v>0</v>
      </c>
      <c r="BI274">
        <f t="shared" si="126"/>
        <v>0</v>
      </c>
    </row>
    <row r="275" spans="40:61" x14ac:dyDescent="0.25">
      <c r="AN275">
        <f t="shared" si="127"/>
        <v>275</v>
      </c>
      <c r="BG275" s="114">
        <f t="shared" si="125"/>
        <v>0</v>
      </c>
      <c r="BI275">
        <f t="shared" si="126"/>
        <v>0</v>
      </c>
    </row>
    <row r="276" spans="40:61" x14ac:dyDescent="0.25">
      <c r="AN276">
        <f t="shared" si="127"/>
        <v>276</v>
      </c>
      <c r="BG276" s="114">
        <f t="shared" si="125"/>
        <v>0</v>
      </c>
      <c r="BI276">
        <f t="shared" si="126"/>
        <v>0</v>
      </c>
    </row>
    <row r="277" spans="40:61" x14ac:dyDescent="0.25">
      <c r="AN277">
        <f t="shared" si="127"/>
        <v>277</v>
      </c>
      <c r="BG277" s="114">
        <f t="shared" si="125"/>
        <v>0</v>
      </c>
      <c r="BI277">
        <f t="shared" si="126"/>
        <v>0</v>
      </c>
    </row>
    <row r="278" spans="40:61" x14ac:dyDescent="0.25">
      <c r="AN278">
        <f t="shared" si="127"/>
        <v>278</v>
      </c>
      <c r="BG278" s="114">
        <f t="shared" si="125"/>
        <v>0</v>
      </c>
      <c r="BI278">
        <f t="shared" si="126"/>
        <v>0</v>
      </c>
    </row>
    <row r="279" spans="40:61" x14ac:dyDescent="0.25">
      <c r="AN279">
        <f t="shared" si="127"/>
        <v>279</v>
      </c>
      <c r="BG279" s="114">
        <f t="shared" si="125"/>
        <v>0</v>
      </c>
      <c r="BI279">
        <f t="shared" si="126"/>
        <v>0</v>
      </c>
    </row>
    <row r="280" spans="40:61" x14ac:dyDescent="0.25">
      <c r="AN280">
        <f t="shared" si="127"/>
        <v>280</v>
      </c>
      <c r="BG280" s="114">
        <f t="shared" si="125"/>
        <v>0</v>
      </c>
      <c r="BI280">
        <f t="shared" si="126"/>
        <v>0</v>
      </c>
    </row>
    <row r="281" spans="40:61" x14ac:dyDescent="0.25">
      <c r="AN281">
        <f t="shared" si="127"/>
        <v>281</v>
      </c>
      <c r="BG281" s="114">
        <f t="shared" si="125"/>
        <v>0</v>
      </c>
      <c r="BI281">
        <f t="shared" si="126"/>
        <v>0</v>
      </c>
    </row>
    <row r="282" spans="40:61" x14ac:dyDescent="0.25">
      <c r="AN282">
        <f t="shared" si="127"/>
        <v>282</v>
      </c>
      <c r="BG282" s="114">
        <f t="shared" si="125"/>
        <v>0</v>
      </c>
      <c r="BI282">
        <f t="shared" si="126"/>
        <v>0</v>
      </c>
    </row>
    <row r="283" spans="40:61" x14ac:dyDescent="0.25">
      <c r="AN283">
        <f t="shared" si="127"/>
        <v>283</v>
      </c>
      <c r="BG283" s="114">
        <f t="shared" si="125"/>
        <v>0</v>
      </c>
      <c r="BI283">
        <f t="shared" si="126"/>
        <v>0</v>
      </c>
    </row>
    <row r="284" spans="40:61" x14ac:dyDescent="0.25">
      <c r="AN284">
        <f t="shared" si="127"/>
        <v>284</v>
      </c>
      <c r="BG284" s="114">
        <f t="shared" si="125"/>
        <v>0</v>
      </c>
      <c r="BI284">
        <f t="shared" si="126"/>
        <v>0</v>
      </c>
    </row>
    <row r="285" spans="40:61" x14ac:dyDescent="0.25">
      <c r="BG285" s="114">
        <f t="shared" si="125"/>
        <v>0</v>
      </c>
      <c r="BI285">
        <f t="shared" si="126"/>
        <v>0</v>
      </c>
    </row>
    <row r="286" spans="40:61" x14ac:dyDescent="0.25">
      <c r="BG286" s="114">
        <f t="shared" si="125"/>
        <v>0</v>
      </c>
      <c r="BI286">
        <f t="shared" si="126"/>
        <v>0</v>
      </c>
    </row>
    <row r="287" spans="40:61" x14ac:dyDescent="0.25">
      <c r="BG287" s="114">
        <f t="shared" si="125"/>
        <v>0</v>
      </c>
      <c r="BI287">
        <f t="shared" si="126"/>
        <v>0</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FR102"/>
  <sheetViews>
    <sheetView topLeftCell="EI41" zoomScale="112" zoomScaleNormal="112" workbookViewId="0">
      <selection activeCell="EO57" sqref="EO57"/>
    </sheetView>
  </sheetViews>
  <sheetFormatPr defaultRowHeight="15" x14ac:dyDescent="0.25"/>
  <cols>
    <col min="4" max="4" width="13.28515625" customWidth="1"/>
    <col min="13" max="13" width="10.42578125" customWidth="1"/>
    <col min="16" max="16" width="10.7109375" bestFit="1" customWidth="1"/>
    <col min="17" max="18" width="11.28515625" customWidth="1"/>
    <col min="21" max="21" width="10.7109375" bestFit="1" customWidth="1"/>
    <col min="24" max="24" width="10.7109375" bestFit="1" customWidth="1"/>
    <col min="27" max="27" width="13" customWidth="1"/>
    <col min="30" max="30" width="15.140625" customWidth="1"/>
    <col min="35" max="36" width="10.7109375" bestFit="1" customWidth="1"/>
    <col min="42" max="43" width="10.7109375" bestFit="1" customWidth="1"/>
    <col min="44" max="44" width="10.42578125" customWidth="1"/>
    <col min="45" max="45" width="13.5703125" customWidth="1"/>
    <col min="56" max="56" width="11.5703125" customWidth="1"/>
    <col min="61" max="61" width="14.140625" customWidth="1"/>
    <col min="63" max="63" width="10.7109375" bestFit="1" customWidth="1"/>
    <col min="64" max="64" width="12.42578125" customWidth="1"/>
    <col min="65" max="65" width="13.28515625" customWidth="1"/>
    <col min="79" max="79" width="22.28515625" customWidth="1"/>
    <col min="87" max="87" width="10.7109375" bestFit="1" customWidth="1"/>
    <col min="89" max="90" width="16.5703125" customWidth="1"/>
    <col min="91" max="91" width="14.5703125" style="247" customWidth="1"/>
    <col min="92" max="92" width="12.5703125" customWidth="1"/>
    <col min="93" max="93" width="11.85546875" customWidth="1"/>
    <col min="94" max="94" width="12" customWidth="1"/>
    <col min="95" max="96" width="12.140625" customWidth="1"/>
    <col min="97" max="98" width="12.42578125" customWidth="1"/>
    <col min="99" max="99" width="11.140625" customWidth="1"/>
    <col min="100" max="100" width="12" customWidth="1"/>
    <col min="101" max="101" width="11.85546875" customWidth="1"/>
    <col min="102" max="102" width="12.42578125" customWidth="1"/>
    <col min="103" max="103" width="11.5703125" customWidth="1"/>
    <col min="104" max="104" width="13" customWidth="1"/>
    <col min="105" max="105" width="21.42578125" customWidth="1"/>
    <col min="106" max="106" width="11.140625" customWidth="1"/>
    <col min="107" max="107" width="12.42578125" customWidth="1"/>
    <col min="108" max="108" width="13.28515625" customWidth="1"/>
    <col min="109" max="109" width="12.28515625" customWidth="1"/>
    <col min="110" max="110" width="11.140625" customWidth="1"/>
    <col min="111" max="111" width="12.5703125" customWidth="1"/>
    <col min="112" max="112" width="11.28515625" customWidth="1"/>
    <col min="113" max="113" width="11.7109375" customWidth="1"/>
    <col min="114" max="114" width="11.5703125" customWidth="1"/>
    <col min="115" max="115" width="11.7109375" customWidth="1"/>
    <col min="116" max="116" width="12.140625" customWidth="1"/>
    <col min="117" max="117" width="12.5703125" customWidth="1"/>
    <col min="118" max="118" width="11.42578125" customWidth="1"/>
    <col min="119" max="119" width="11" customWidth="1"/>
    <col min="120" max="120" width="16.5703125" customWidth="1"/>
    <col min="121" max="121" width="62.140625" customWidth="1"/>
    <col min="124" max="124" width="10.7109375" bestFit="1" customWidth="1"/>
    <col min="125" max="125" width="101.28515625" customWidth="1"/>
    <col min="127" max="127" width="12.28515625" customWidth="1"/>
  </cols>
  <sheetData>
    <row r="2" spans="16:128" x14ac:dyDescent="0.25">
      <c r="BC2" s="239" t="s">
        <v>299</v>
      </c>
      <c r="BD2" s="239"/>
      <c r="BE2" s="239"/>
      <c r="BF2" s="239"/>
      <c r="BG2" s="239"/>
    </row>
    <row r="3" spans="16:128" ht="57.75" customHeight="1" x14ac:dyDescent="0.25">
      <c r="BC3" s="239"/>
      <c r="BD3" s="239"/>
      <c r="BE3" s="239"/>
      <c r="BF3" s="239"/>
      <c r="BG3" s="239"/>
      <c r="CQ3" s="263" t="s">
        <v>586</v>
      </c>
      <c r="CR3" s="263" t="str">
        <f>religione!J18</f>
        <v>Insegnante Religione Primaria</v>
      </c>
      <c r="CS3" s="263" t="s">
        <v>588</v>
      </c>
      <c r="CT3" t="str">
        <f>CONCATENATE(religione!J26," - ",religione!J27," - ",religione!J28," - ",religione!J29,"
","Ha maturato il beneficio alla ricostruzione al quinto anno: ",religione!B12)</f>
        <v>2019/2020 - 2020/2021 - 2021/2022 - 2022/2023
Ha maturato il beneficio alla ricostruzione al quinto anno: 2024/2025</v>
      </c>
      <c r="CU3" t="str">
        <f>CONCATENATE("
","
","Avendo l'interessato, prima della decorrenza della ricostruzione/quinto anno, maturato la seguente anzianità valida di ANNI:")</f>
        <v xml:space="preserve">
Avendo l'interessato, prima della decorrenza della ricostruzione/quinto anno, maturato la seguente anzianità valida di ANNI:</v>
      </c>
      <c r="CV3">
        <f>religione!M52</f>
        <v>5</v>
      </c>
      <c r="CW3" t="str">
        <f>CONCATENATE("
","Risultano ai fini giuridici economici:")</f>
        <v xml:space="preserve">
Risultano ai fini giuridici economici:</v>
      </c>
      <c r="CX3" t="s">
        <v>456</v>
      </c>
      <c r="CY3">
        <f>religione!K56</f>
        <v>4</v>
      </c>
      <c r="CZ3" t="s">
        <v>457</v>
      </c>
      <c r="DA3">
        <f>religione!L56</f>
        <v>8</v>
      </c>
      <c r="DB3" t="s">
        <v>458</v>
      </c>
      <c r="DC3" t="str">
        <f>CONCATENATE(religione!M56,"
")</f>
        <v xml:space="preserve">0
</v>
      </c>
      <c r="DD3" t="s">
        <v>587</v>
      </c>
      <c r="DE3">
        <f>religione!K57</f>
        <v>0</v>
      </c>
      <c r="DF3" t="s">
        <v>457</v>
      </c>
      <c r="DG3">
        <f>religione!L57</f>
        <v>4</v>
      </c>
      <c r="DH3" t="s">
        <v>458</v>
      </c>
      <c r="DI3">
        <f>religione!M57</f>
        <v>0</v>
      </c>
    </row>
    <row r="4" spans="16:128" x14ac:dyDescent="0.25">
      <c r="BC4" s="239"/>
      <c r="BD4" s="240">
        <v>35065</v>
      </c>
      <c r="BE4" s="239" t="s">
        <v>300</v>
      </c>
      <c r="BF4" s="239"/>
      <c r="BG4" s="239"/>
    </row>
    <row r="5" spans="16:128" x14ac:dyDescent="0.25">
      <c r="BC5" s="239"/>
      <c r="BD5" s="240">
        <v>37257</v>
      </c>
      <c r="BE5" s="239" t="s">
        <v>301</v>
      </c>
      <c r="BF5" s="239"/>
      <c r="BG5" s="239"/>
    </row>
    <row r="6" spans="16:128" x14ac:dyDescent="0.25">
      <c r="BC6" s="239"/>
      <c r="BD6" s="240">
        <v>38718</v>
      </c>
      <c r="BE6" s="239" t="s">
        <v>302</v>
      </c>
      <c r="BF6" s="239"/>
      <c r="BG6" s="239"/>
      <c r="CQ6" t="str">
        <f>CONCATENATE(CQ3,CR3,"
",CS3,"
",CT3,CU3,CV3,CW3,CX3,CY3,CZ3,DA3,DB3,DC3,DD3,DE3,DF3,DG3,DH3,DI3,)</f>
        <v>Considerato che l'interessata è:Insegnante Religione Primaria
ha effettuato il quadriennio previsto con i seguenti incarichi annuali:
2019/2020 - 2020/2021 - 2021/2022 - 2022/2023
Ha maturato il beneficio alla ricostruzione al quinto anno: 2024/2025
Avendo l'interessato, prima della decorrenza della ricostruzione/quinto anno, maturato la seguente anzianità valida di ANNI:5
Risultano ai fini giuridici economici: - Anni:4 - Mesi:8 - Giorni:0
 E ai soli fini economici Anni:0 - Mesi:4 - Giorni:0</v>
      </c>
    </row>
    <row r="7" spans="16:128" x14ac:dyDescent="0.25">
      <c r="BC7" s="239"/>
      <c r="BD7" s="240">
        <v>40269</v>
      </c>
      <c r="BE7" s="239" t="s">
        <v>302</v>
      </c>
      <c r="BF7" s="239"/>
      <c r="BG7" s="239"/>
    </row>
    <row r="8" spans="16:128" x14ac:dyDescent="0.25">
      <c r="BC8" s="239"/>
      <c r="BD8" s="240">
        <v>40360</v>
      </c>
      <c r="BE8" s="239" t="s">
        <v>302</v>
      </c>
      <c r="BF8" s="239"/>
      <c r="BG8" s="239"/>
    </row>
    <row r="9" spans="16:128" x14ac:dyDescent="0.25">
      <c r="AJ9" t="s">
        <v>168</v>
      </c>
      <c r="AK9">
        <v>6</v>
      </c>
      <c r="BC9" s="239"/>
      <c r="BD9" s="240">
        <v>42248</v>
      </c>
      <c r="BE9" s="239" t="s">
        <v>303</v>
      </c>
      <c r="BF9" s="239"/>
      <c r="BG9" s="239"/>
      <c r="DS9" t="s">
        <v>657</v>
      </c>
      <c r="DU9" s="279" t="s">
        <v>658</v>
      </c>
    </row>
    <row r="10" spans="16:128" x14ac:dyDescent="0.25">
      <c r="AJ10" t="s">
        <v>482</v>
      </c>
      <c r="AK10">
        <v>6</v>
      </c>
      <c r="BC10" s="239"/>
      <c r="BD10" s="240">
        <v>42370</v>
      </c>
      <c r="BE10" s="239" t="s">
        <v>304</v>
      </c>
      <c r="BF10" s="239"/>
      <c r="BG10" s="239"/>
      <c r="DS10" t="str">
        <f>IF(DT10="","","1 A.B")</f>
        <v/>
      </c>
      <c r="DT10" s="112" t="str">
        <f>aumentibiennali!L52</f>
        <v/>
      </c>
      <c r="DU10" s="279">
        <f>IF(DT10&lt;&gt;"",25,0)</f>
        <v>0</v>
      </c>
      <c r="DV10" t="str">
        <f>IF(DW10="","","Dal:")</f>
        <v/>
      </c>
      <c r="DW10" t="str">
        <f t="shared" ref="DW10:DW14" si="0">IF(DS10="","",CONCATENATE(DAY(DT10),"/",MONTH(DT10),"/",YEAR(DT10)))</f>
        <v/>
      </c>
      <c r="DX10" t="str">
        <f>IF(DW10="",""," SPETTA 1 A.B.")</f>
        <v/>
      </c>
    </row>
    <row r="11" spans="16:128" x14ac:dyDescent="0.25">
      <c r="AJ11" t="s">
        <v>169</v>
      </c>
      <c r="AK11">
        <v>5</v>
      </c>
      <c r="AP11" s="112">
        <f ca="1">Foglio1tibis!AB46</f>
        <v>35612</v>
      </c>
      <c r="BC11" s="239"/>
      <c r="BD11" s="240">
        <v>43466</v>
      </c>
      <c r="BE11" s="239" t="s">
        <v>305</v>
      </c>
      <c r="BF11" s="239"/>
      <c r="BG11" s="239"/>
      <c r="CL11" s="112">
        <v>35309</v>
      </c>
      <c r="CM11" s="248">
        <v>35674</v>
      </c>
      <c r="CN11" s="112">
        <v>36039</v>
      </c>
      <c r="CO11" s="112">
        <v>36404</v>
      </c>
      <c r="CP11" s="112">
        <v>36770</v>
      </c>
      <c r="CQ11" s="112">
        <f>DATE(YEAR(CP11)+1,MONTH(CP11),DAY(CP11))</f>
        <v>37135</v>
      </c>
      <c r="CR11" s="112">
        <f t="shared" ref="CR11:DO11" si="1">DATE(YEAR(CQ11)+1,MONTH(CQ11),DAY(CQ11))</f>
        <v>37500</v>
      </c>
      <c r="CS11" s="112">
        <f t="shared" si="1"/>
        <v>37865</v>
      </c>
      <c r="CT11" s="112">
        <f t="shared" si="1"/>
        <v>38231</v>
      </c>
      <c r="CU11" s="112">
        <f t="shared" si="1"/>
        <v>38596</v>
      </c>
      <c r="CV11" s="112">
        <f t="shared" si="1"/>
        <v>38961</v>
      </c>
      <c r="CW11" s="112">
        <f t="shared" si="1"/>
        <v>39326</v>
      </c>
      <c r="CX11" s="112">
        <f t="shared" si="1"/>
        <v>39692</v>
      </c>
      <c r="CY11" s="112">
        <f t="shared" si="1"/>
        <v>40057</v>
      </c>
      <c r="CZ11" s="112">
        <f t="shared" si="1"/>
        <v>40422</v>
      </c>
      <c r="DA11" s="112">
        <f t="shared" si="1"/>
        <v>40787</v>
      </c>
      <c r="DB11" s="112">
        <f t="shared" si="1"/>
        <v>41153</v>
      </c>
      <c r="DC11" s="112">
        <f t="shared" si="1"/>
        <v>41518</v>
      </c>
      <c r="DD11" s="112">
        <f t="shared" si="1"/>
        <v>41883</v>
      </c>
      <c r="DE11" s="112">
        <f t="shared" si="1"/>
        <v>42248</v>
      </c>
      <c r="DF11" s="112">
        <f t="shared" si="1"/>
        <v>42614</v>
      </c>
      <c r="DG11" s="112">
        <f t="shared" si="1"/>
        <v>42979</v>
      </c>
      <c r="DH11" s="112">
        <f t="shared" si="1"/>
        <v>43344</v>
      </c>
      <c r="DI11" s="112">
        <f t="shared" si="1"/>
        <v>43709</v>
      </c>
      <c r="DJ11" s="112">
        <f t="shared" si="1"/>
        <v>44075</v>
      </c>
      <c r="DK11" s="112">
        <f t="shared" si="1"/>
        <v>44440</v>
      </c>
      <c r="DL11" s="112">
        <f t="shared" si="1"/>
        <v>44805</v>
      </c>
      <c r="DM11" s="112">
        <f t="shared" si="1"/>
        <v>45170</v>
      </c>
      <c r="DN11" s="112">
        <f t="shared" si="1"/>
        <v>45536</v>
      </c>
      <c r="DO11" s="112">
        <f t="shared" si="1"/>
        <v>45901</v>
      </c>
      <c r="DS11" t="str">
        <f>IF(DT11="","","2 A.B")</f>
        <v/>
      </c>
      <c r="DT11" s="112" t="str">
        <f>aumentibiennali!L53</f>
        <v/>
      </c>
      <c r="DU11" s="279">
        <f>IF(DT11&lt;&gt;"",50,0)</f>
        <v>0</v>
      </c>
      <c r="DV11" t="str">
        <f t="shared" ref="DV11:DV21" si="2">IF(DW11="","","Dal:")</f>
        <v/>
      </c>
      <c r="DW11" t="str">
        <f t="shared" si="0"/>
        <v/>
      </c>
      <c r="DX11" t="str">
        <f>IF(DW11="",""," SPETTA 2 A.B.")</f>
        <v/>
      </c>
    </row>
    <row r="12" spans="16:128" x14ac:dyDescent="0.25">
      <c r="AJ12" t="s">
        <v>170</v>
      </c>
      <c r="AK12">
        <v>4</v>
      </c>
      <c r="AP12" t="str">
        <f ca="1">CONCATENATE($AP$15,$AQ$16,AO18)</f>
        <v>Foglio1tibis!ab255</v>
      </c>
      <c r="BC12" s="239"/>
      <c r="CL12" s="112">
        <v>35370</v>
      </c>
      <c r="CM12" s="248"/>
      <c r="CN12" s="112">
        <v>36100</v>
      </c>
      <c r="CO12" s="112">
        <v>36708</v>
      </c>
      <c r="CP12" s="112">
        <v>36892</v>
      </c>
      <c r="CQ12" s="112">
        <v>37257</v>
      </c>
      <c r="CR12" s="112">
        <v>37622</v>
      </c>
      <c r="CS12" s="112">
        <v>37987</v>
      </c>
      <c r="CT12" s="112">
        <v>38384</v>
      </c>
      <c r="CU12" s="112">
        <v>38718</v>
      </c>
      <c r="CV12" s="112">
        <v>39083</v>
      </c>
      <c r="CW12" s="112">
        <v>39447</v>
      </c>
      <c r="CX12" s="112">
        <v>39814</v>
      </c>
      <c r="CY12" s="112">
        <v>40269</v>
      </c>
      <c r="CZ12" s="112">
        <v>40544</v>
      </c>
      <c r="DE12" s="112">
        <v>42370</v>
      </c>
      <c r="DF12" s="112">
        <v>42736</v>
      </c>
      <c r="DG12" s="112">
        <v>43160</v>
      </c>
      <c r="DH12" s="112">
        <v>43466</v>
      </c>
      <c r="DI12" s="112">
        <v>43831</v>
      </c>
      <c r="DJ12" s="112">
        <v>44197</v>
      </c>
      <c r="DK12" t="s">
        <v>645</v>
      </c>
      <c r="DS12" t="str">
        <f>IF(DT12="","","3 A.B")</f>
        <v/>
      </c>
      <c r="DT12" s="112" t="str">
        <f>aumentibiennali!L54</f>
        <v/>
      </c>
      <c r="DU12" s="279">
        <f>IF(DT12&lt;&gt;"",75,0)</f>
        <v>0</v>
      </c>
      <c r="DV12" t="str">
        <f t="shared" si="2"/>
        <v/>
      </c>
      <c r="DW12" t="str">
        <f t="shared" si="0"/>
        <v/>
      </c>
      <c r="DX12" t="str">
        <f>IF(DW12="",""," SPETTA 3 A.B.")</f>
        <v/>
      </c>
    </row>
    <row r="13" spans="16:128" ht="14.25" customHeight="1" x14ac:dyDescent="0.25">
      <c r="AJ13" t="s">
        <v>171</v>
      </c>
      <c r="AK13">
        <v>3</v>
      </c>
      <c r="BC13" s="241"/>
      <c r="BD13" s="241"/>
      <c r="BE13" s="241"/>
      <c r="BF13" s="241"/>
      <c r="BG13" s="241"/>
      <c r="CA13" s="319" t="s">
        <v>584</v>
      </c>
      <c r="CL13" s="112">
        <v>35612</v>
      </c>
      <c r="CN13" s="112">
        <v>36312</v>
      </c>
      <c r="CV13" s="112">
        <v>39114</v>
      </c>
      <c r="CW13" s="112">
        <v>39539</v>
      </c>
      <c r="CY13" s="112">
        <v>40360</v>
      </c>
      <c r="DG13" s="112">
        <v>43191</v>
      </c>
      <c r="DK13" s="112">
        <v>44652</v>
      </c>
      <c r="DS13" t="str">
        <f>IF(DT13="","","4 A.B")</f>
        <v/>
      </c>
      <c r="DT13" s="112" t="str">
        <f>aumentibiennali!L55</f>
        <v/>
      </c>
      <c r="DU13" s="279">
        <f>IF(DT13&lt;&gt;"",100,0)</f>
        <v>0</v>
      </c>
      <c r="DV13" t="str">
        <f t="shared" si="2"/>
        <v/>
      </c>
      <c r="DW13" t="str">
        <f t="shared" si="0"/>
        <v/>
      </c>
      <c r="DX13" t="str">
        <f>IF(DW13="",""," SPETTA 4 A.B.")</f>
        <v/>
      </c>
    </row>
    <row r="14" spans="16:128" ht="15.75" thickBot="1" x14ac:dyDescent="0.3">
      <c r="AJ14" t="s">
        <v>172</v>
      </c>
      <c r="AK14">
        <v>2</v>
      </c>
      <c r="BC14" s="241"/>
      <c r="BD14" s="241"/>
      <c r="BE14" s="241"/>
      <c r="BF14" s="241"/>
      <c r="BG14" s="241"/>
      <c r="CR14" s="112"/>
      <c r="CS14" s="112"/>
      <c r="CT14" s="112"/>
      <c r="CU14" s="112"/>
      <c r="CV14" s="112"/>
      <c r="CW14" s="112">
        <v>39630</v>
      </c>
      <c r="CX14" s="112"/>
      <c r="CY14" s="112"/>
      <c r="CZ14" s="112"/>
      <c r="DA14" s="112"/>
      <c r="DB14" s="112"/>
      <c r="DC14" s="112"/>
      <c r="DD14" s="112"/>
      <c r="DE14" s="112"/>
      <c r="DF14" s="112"/>
      <c r="DG14" s="112"/>
      <c r="DH14" s="112"/>
      <c r="DI14" s="112"/>
      <c r="DJ14" s="112"/>
      <c r="DK14" s="112">
        <v>44743</v>
      </c>
      <c r="DL14" s="112"/>
      <c r="DM14" s="112"/>
      <c r="DN14" s="112"/>
      <c r="DO14" s="112"/>
      <c r="DS14" t="str">
        <f>IF(DT14="","","5 A.B")</f>
        <v/>
      </c>
      <c r="DT14" s="112" t="str">
        <f>aumentibiennali!L56</f>
        <v/>
      </c>
      <c r="DU14" s="279">
        <f>IF(DT14&lt;&gt;"",125,0)</f>
        <v>0</v>
      </c>
      <c r="DV14" t="str">
        <f t="shared" si="2"/>
        <v/>
      </c>
      <c r="DW14" t="str">
        <f t="shared" si="0"/>
        <v/>
      </c>
      <c r="DX14" t="str">
        <f>IF(DW14="",""," SPETTA 5 A.B.")</f>
        <v/>
      </c>
    </row>
    <row r="15" spans="16:128" x14ac:dyDescent="0.25">
      <c r="AJ15" t="s">
        <v>173</v>
      </c>
      <c r="AK15">
        <v>1</v>
      </c>
      <c r="AP15" t="s">
        <v>530</v>
      </c>
      <c r="BC15" s="241"/>
      <c r="BD15" s="241"/>
      <c r="BE15" s="241"/>
      <c r="BF15" s="241"/>
      <c r="BG15" s="241"/>
      <c r="BK15" s="112">
        <v>45536</v>
      </c>
      <c r="CI15" s="112">
        <f>MIN(CP18:CP36)</f>
        <v>35309</v>
      </c>
      <c r="CZ15" s="250" t="s">
        <v>646</v>
      </c>
      <c r="DA15" s="252"/>
      <c r="DQ15" t="str">
        <f>religione!J18</f>
        <v>Insegnante Religione Primaria</v>
      </c>
      <c r="DS15" t="str">
        <f>IF(DT15="","","6 A.B")</f>
        <v/>
      </c>
      <c r="DT15" s="112" t="str">
        <f>aumentibiennali!L57</f>
        <v/>
      </c>
      <c r="DV15" t="str">
        <f t="shared" si="2"/>
        <v/>
      </c>
      <c r="DW15" t="str">
        <f t="shared" ref="DW15:DW21" si="3">IF(DS15="","",CONCATENATE(DAY(DT15),"/",MONTH(DT15),"/",YEAR(DT15)))</f>
        <v/>
      </c>
      <c r="DX15" t="str">
        <f>IF(DW15="",""," SPETTA 6 A.B.")</f>
        <v/>
      </c>
    </row>
    <row r="16" spans="16:128" x14ac:dyDescent="0.25">
      <c r="P16" s="246"/>
      <c r="Q16" s="246" t="s">
        <v>509</v>
      </c>
      <c r="R16" s="246"/>
      <c r="S16" s="246"/>
      <c r="AJ16" t="s">
        <v>174</v>
      </c>
      <c r="AK16">
        <v>0</v>
      </c>
      <c r="AQ16" t="s">
        <v>517</v>
      </c>
      <c r="AR16" t="s">
        <v>518</v>
      </c>
      <c r="AS16" t="s">
        <v>519</v>
      </c>
      <c r="AT16" t="s">
        <v>521</v>
      </c>
      <c r="AU16" t="s">
        <v>522</v>
      </c>
      <c r="AV16" t="s">
        <v>523</v>
      </c>
      <c r="AW16" t="s">
        <v>524</v>
      </c>
      <c r="AX16" t="s">
        <v>527</v>
      </c>
      <c r="AY16" t="s">
        <v>525</v>
      </c>
      <c r="AZ16" t="s">
        <v>526</v>
      </c>
      <c r="BA16" t="s">
        <v>528</v>
      </c>
      <c r="BC16" s="241"/>
      <c r="BD16" s="241"/>
      <c r="BE16" s="241"/>
      <c r="BF16" s="241"/>
      <c r="BG16" s="241"/>
      <c r="BJ16" t="s">
        <v>577</v>
      </c>
      <c r="BL16" t="s">
        <v>578</v>
      </c>
      <c r="BM16" t="s">
        <v>579</v>
      </c>
      <c r="BN16" t="s">
        <v>580</v>
      </c>
      <c r="BO16" t="s">
        <v>581</v>
      </c>
      <c r="BP16" t="s">
        <v>582</v>
      </c>
      <c r="BQ16" t="s">
        <v>583</v>
      </c>
      <c r="BR16" t="s">
        <v>184</v>
      </c>
      <c r="CI16" s="112" t="e">
        <f>MAX(CQ18:CQ36)</f>
        <v>#N/A</v>
      </c>
      <c r="CP16" t="s">
        <v>642</v>
      </c>
      <c r="CZ16" s="253" t="s">
        <v>517</v>
      </c>
      <c r="DA16" s="254" t="s">
        <v>518</v>
      </c>
      <c r="DB16" t="s">
        <v>519</v>
      </c>
      <c r="DC16" t="s">
        <v>521</v>
      </c>
      <c r="DD16" t="s">
        <v>522</v>
      </c>
      <c r="DE16" t="s">
        <v>523</v>
      </c>
      <c r="DF16" t="s">
        <v>524</v>
      </c>
      <c r="DG16" t="s">
        <v>527</v>
      </c>
      <c r="DH16" t="s">
        <v>525</v>
      </c>
      <c r="DI16" t="s">
        <v>526</v>
      </c>
      <c r="DJ16" t="s">
        <v>528</v>
      </c>
      <c r="DS16" t="str">
        <f>IF(DT16="","","7 A.B")</f>
        <v/>
      </c>
      <c r="DT16" s="112" t="str">
        <f>aumentibiennali!L58</f>
        <v/>
      </c>
      <c r="DV16" t="str">
        <f t="shared" si="2"/>
        <v/>
      </c>
      <c r="DW16" t="str">
        <f t="shared" si="3"/>
        <v/>
      </c>
      <c r="DX16" t="str">
        <f>IF(DW16="",""," SPETTA 7 A.B.")</f>
        <v/>
      </c>
    </row>
    <row r="17" spans="2:174" s="263" customFormat="1" ht="79.5" customHeight="1" x14ac:dyDescent="0.25">
      <c r="D17" s="263" t="s">
        <v>499</v>
      </c>
      <c r="P17" s="310"/>
      <c r="Q17" s="310" t="s">
        <v>503</v>
      </c>
      <c r="R17" s="310"/>
      <c r="S17" s="310"/>
      <c r="T17" s="263" t="s">
        <v>504</v>
      </c>
      <c r="X17" s="263" t="s">
        <v>506</v>
      </c>
      <c r="AA17" s="263" t="s">
        <v>507</v>
      </c>
      <c r="AD17" s="263" t="s">
        <v>508</v>
      </c>
      <c r="AQ17" s="263" t="s">
        <v>105</v>
      </c>
      <c r="AR17" s="263" t="s">
        <v>106</v>
      </c>
      <c r="AS17" s="263" t="s">
        <v>136</v>
      </c>
      <c r="AT17" s="263" t="s">
        <v>520</v>
      </c>
      <c r="AU17" s="263" t="s">
        <v>233</v>
      </c>
      <c r="AV17" s="263" t="s">
        <v>17</v>
      </c>
      <c r="AW17" s="263" t="s">
        <v>18</v>
      </c>
      <c r="AX17" s="263" t="s">
        <v>19</v>
      </c>
      <c r="AY17" s="263" t="s">
        <v>20</v>
      </c>
      <c r="AZ17" s="263" t="s">
        <v>41</v>
      </c>
      <c r="BA17" s="263" t="s">
        <v>529</v>
      </c>
      <c r="BJ17" s="263">
        <v>0</v>
      </c>
      <c r="CJ17" s="263">
        <v>0</v>
      </c>
      <c r="CK17" s="263" t="s">
        <v>643</v>
      </c>
      <c r="CM17" s="474"/>
      <c r="CP17" s="263" t="s">
        <v>105</v>
      </c>
      <c r="CQ17" s="308">
        <f>MAX(CP18:CP36)</f>
        <v>35309</v>
      </c>
      <c r="CT17" s="112" t="s">
        <v>644</v>
      </c>
      <c r="CU17" s="112"/>
      <c r="CV17" s="112"/>
      <c r="CW17" s="112"/>
      <c r="CX17" s="112"/>
      <c r="CY17" s="112"/>
      <c r="CZ17" s="475" t="str">
        <f t="shared" ref="CZ17" si="4">AQ17</f>
        <v>dal</v>
      </c>
      <c r="DA17" s="476" t="str">
        <f>AR17</f>
        <v>al</v>
      </c>
      <c r="DB17" s="112" t="s">
        <v>665</v>
      </c>
      <c r="DC17" s="112" t="s">
        <v>381</v>
      </c>
      <c r="DD17" s="112" t="str">
        <f t="shared" ref="DD17" si="5">AU17</f>
        <v>retribuzione</v>
      </c>
      <c r="DE17" s="112"/>
      <c r="DF17" s="112"/>
      <c r="DG17" s="112" t="str">
        <f>AX17</f>
        <v>I.I.S.</v>
      </c>
      <c r="DH17" s="112" t="str">
        <f t="shared" ref="DH17" si="6">AY17</f>
        <v>Vacanza contr.le</v>
      </c>
      <c r="DI17" s="112"/>
      <c r="DJ17" s="112" t="str">
        <f>BA17</f>
        <v>rpd / cia</v>
      </c>
      <c r="DK17" s="112"/>
      <c r="DL17" s="112" t="s">
        <v>659</v>
      </c>
      <c r="DM17" s="112" t="s">
        <v>660</v>
      </c>
      <c r="DP17" s="263" t="str">
        <f>CONCATENATE("All'interessato/a: COGNOME NOME - NATO A    IL     C.F.             ",DQ15,"               Spettano i seguenti aumenti biennali in aggiunta allo stipendio base già percepito:","
")</f>
        <v xml:space="preserve">All'interessato/a: COGNOME NOME - NATO A    IL     C.F.             Insegnante Religione Primaria               Spettano i seguenti aumenti biennali in aggiunta allo stipendio base già percepito:
</v>
      </c>
      <c r="DQ17" s="263" t="str">
        <f>CONCATENATE(DV10,DW10,DX10,"
",DV11,DW11,DX11,"
",DV12,DW12,DX12,"
",DV13,DW13,DX13,"
",DV14,DW14,DX14,"
",
DV15,DW15,DX15,"
",DV16,DW16,DX16,"
",DV17,DW17,DX17,"
","
",DV18,DW18,DX18,)</f>
        <v xml:space="preserve">
</v>
      </c>
      <c r="DS17" t="str">
        <f>IF(DT17="","","8 A.B")</f>
        <v/>
      </c>
      <c r="DT17" s="112" t="str">
        <f>aumentibiennali!L59</f>
        <v/>
      </c>
      <c r="DV17" t="str">
        <f t="shared" si="2"/>
        <v/>
      </c>
      <c r="DW17" t="str">
        <f t="shared" si="3"/>
        <v/>
      </c>
      <c r="DX17" t="str">
        <f>IF(DW17="",""," SPETTA 8 A.B.")</f>
        <v/>
      </c>
      <c r="DY17"/>
    </row>
    <row r="18" spans="2:174" ht="15.75" thickBot="1" x14ac:dyDescent="0.3">
      <c r="G18" t="s">
        <v>500</v>
      </c>
      <c r="H18" t="s">
        <v>94</v>
      </c>
      <c r="I18" t="s">
        <v>95</v>
      </c>
      <c r="P18" s="246"/>
      <c r="Q18" s="246" t="s">
        <v>136</v>
      </c>
      <c r="R18" s="246" t="s">
        <v>93</v>
      </c>
      <c r="S18" s="246"/>
      <c r="T18" t="s">
        <v>505</v>
      </c>
      <c r="U18" t="s">
        <v>93</v>
      </c>
      <c r="X18" s="112">
        <f t="shared" ref="X18:X56" ca="1" si="7" xml:space="preserve">   IF(D19&lt;$R$19,100000,           D19)</f>
        <v>100000</v>
      </c>
      <c r="Z18">
        <v>1</v>
      </c>
      <c r="AA18" s="112">
        <f t="shared" ref="AA18:AA56" ca="1" si="8">IF(OR(X18=0,X18=""),100000,X18)*1</f>
        <v>100000</v>
      </c>
      <c r="AD18" s="112">
        <f ca="1">SMALL($AA$18:$AA$61,Z18)</f>
        <v>45536</v>
      </c>
      <c r="AI18" s="112">
        <f ca="1">AD18</f>
        <v>45536</v>
      </c>
      <c r="AJ18" s="112" t="str">
        <f ca="1">VLOOKUP(AI18,$P$19:$Q$25,2)</f>
        <v>0-8 anni</v>
      </c>
      <c r="AM18">
        <f ca="1">VLOOKUP(AI18,Foglio1tibis!$AB$31:$AN$284,13)</f>
        <v>261</v>
      </c>
      <c r="AN18">
        <f ca="1">VLOOKUP(AJ18,$AJ$9:$AK$16,2,FALSE)</f>
        <v>6</v>
      </c>
      <c r="AO18">
        <f ca="1">AM18-AN18</f>
        <v>255</v>
      </c>
      <c r="AQ18" s="112">
        <f ca="1">AI18</f>
        <v>45536</v>
      </c>
      <c r="AR18" s="112" cm="1">
        <f t="array" aca="1" ref="AR18" ca="1">INDIRECT(CONCATENATE($AP$15,$AR$16,AO18))</f>
        <v>45291</v>
      </c>
      <c r="AS18" t="str" cm="1">
        <f t="array" aca="1" ref="AS18" ca="1">INDIRECT(CONCATENATE($AP$15,$AS$16,AO18))</f>
        <v>0-2anni</v>
      </c>
      <c r="AT18" cm="1">
        <f t="array" aca="1" ref="AT18" ca="1">INDIRECT(CONCATENATE($AP$15,$AT$16,AO18))</f>
        <v>0</v>
      </c>
      <c r="AU18" cm="1">
        <f t="array" aca="1" ref="AU18" ca="1">INDIRECT(CONCATENATE($AP$15,$AU$16,AO18))</f>
        <v>14513.09</v>
      </c>
      <c r="AV18" cm="1">
        <f t="array" aca="1" ref="AV18" ca="1">INDIRECT(CONCATENATE($AP$15,$AV$16,AO18))</f>
        <v>0</v>
      </c>
      <c r="AW18" cm="1">
        <f t="array" aca="1" ref="AW18" ca="1">INDIRECT(CONCATENATE($AP$15,$AW$16,AO18))</f>
        <v>0</v>
      </c>
      <c r="AX18" cm="1">
        <f t="array" aca="1" ref="AX18" ca="1">INDIRECT(CONCATENATE($AP$15,$AX$16,AO18))</f>
        <v>6384.11</v>
      </c>
      <c r="AY18" cm="1">
        <f t="array" aca="1" ref="AY18" ca="1">INDIRECT(CONCATENATE($AP$15,$AY$16,AO18))</f>
        <v>104.49</v>
      </c>
      <c r="AZ18" cm="1">
        <f t="array" aca="1" ref="AZ18" ca="1">INDIRECT(CONCATENATE($AP$15,$AZ$16,AO18))</f>
        <v>1690.19</v>
      </c>
      <c r="BA18" cm="1">
        <f t="array" aca="1" ref="BA18" ca="1">INDIRECT(CONCATENATE($AP$15,$BA$16,AO18))</f>
        <v>2214</v>
      </c>
      <c r="BH18" t="str">
        <f ca="1">VLOOKUP(AQ18,$BD$4:$BE$11,2)</f>
        <v>C.C.N.L. COMPARTO  SCUOLA del Dicembre 2022</v>
      </c>
      <c r="BJ18">
        <f ca="1">IF(AQ18&gt;$BK$15,"",BJ17+1)</f>
        <v>1</v>
      </c>
      <c r="BL18" t="str">
        <f ca="1">CONCATENATE($BL$16,BJ18,"
")</f>
        <v xml:space="preserve">ARTICOLO 1
</v>
      </c>
      <c r="BM18" t="str">
        <f ca="1">CONCATENATE($BM$16,DAY(AQ18),"/",MONTH(AQ18),"/",YEAR(AQ18), " Spetta fascia:",AS18,"  ",BH18,"
")</f>
        <v xml:space="preserve">Con decorrenza dal:1/9/2024 Spetta fascia:0-2anni  C.C.N.L. COMPARTO  SCUOLA del Dicembre 2022
</v>
      </c>
      <c r="BN18" t="str">
        <f ca="1">CONCATENATE($BN$16,AU18+AX18,"
")</f>
        <v xml:space="preserve">Retribuzione euro:20897,2
</v>
      </c>
      <c r="BO18" t="str">
        <f ca="1">IF(AY18=0,"",CONCATENATE($BO$16,AY18,"
"))</f>
        <v xml:space="preserve">I.V.C. euro:104,49
</v>
      </c>
      <c r="BP18" t="str">
        <f ca="1">CONCATENATE($BP$16,BA18,"
")</f>
        <v xml:space="preserve">R.P.D. euro:2214
</v>
      </c>
      <c r="BQ18" t="str">
        <f ca="1">IF(AT18=0,"",CONCATENATE($BQ$16,AT18,"
"))</f>
        <v/>
      </c>
      <c r="BR18" t="str">
        <f ca="1">CONCATENATE($BR$16,AT18+AU18+AX18+AY18+BA18,"
"," altri assegni previsti per legge","
")</f>
        <v xml:space="preserve">TOTALE EURO:23215,69
 altri assegni previsti per legge
</v>
      </c>
      <c r="CA18" t="str">
        <f t="shared" ref="CA18:CA36" ca="1" si="9" xml:space="preserve">    IF(BJ17="","",             IF(BJ18="",$CA$13,CONCATENATE(BL18,BM18,BN18,BO18,BP18,BQ18,BR18)))</f>
        <v xml:space="preserve">ARTICOLO 1
Con decorrenza dal:1/9/2024 Spetta fascia:0-2anni  C.C.N.L. COMPARTO  SCUOLA del Dicembre 2022
Retribuzione euro:20897,2
I.V.C. euro:104,49
R.P.D. euro:2214
TOTALE EURO:23215,69
 altri assegni previsti per legge
</v>
      </c>
      <c r="CH18">
        <v>1</v>
      </c>
      <c r="CI18" t="e">
        <f>IF(AND(CK18&gt;=$CI$15,CK18&lt;=$CI$16),CH18,100000)</f>
        <v>#N/A</v>
      </c>
      <c r="CJ18">
        <f>CJ17+1</f>
        <v>1</v>
      </c>
      <c r="CK18" s="112">
        <v>35065</v>
      </c>
      <c r="CL18" s="238">
        <v>18</v>
      </c>
      <c r="CM18" s="247" t="str">
        <f>aumentibiennali!K25</f>
        <v>1996/1997</v>
      </c>
      <c r="CN18" s="112" t="str">
        <f>CONCATENATE(1,"/",9,"/",LEFT(CM18,4))</f>
        <v>1/9/1996</v>
      </c>
      <c r="CO18" s="112" t="str">
        <f>CONCATENATE(31,"/",8,"/",RIGHT(CM18,4))</f>
        <v>31/8/1997</v>
      </c>
      <c r="CP18" s="112">
        <f t="shared" ref="CP18:CP32" si="10">IF(CM18=0,"",CN18*1)</f>
        <v>35309</v>
      </c>
      <c r="CQ18" s="238">
        <f>VLOOKUP(CP18,CK18:CL50,2,TRUE)</f>
        <v>18</v>
      </c>
      <c r="CR18" s="112" cm="1">
        <f t="array" aca="1" ref="CR18" ca="1">INDIRECT(CONCATENATE("ck",CQ18))</f>
        <v>35065</v>
      </c>
      <c r="CS18" s="112" t="e">
        <f t="shared" ref="CS18:CS42" si="11">IF(OR(CI18=100000,CI18=""),"",SMALL($CK$18:$CK$64,CJ18))</f>
        <v>#N/A</v>
      </c>
      <c r="CT18" s="112">
        <f>CP18</f>
        <v>35309</v>
      </c>
      <c r="CU18" s="114"/>
      <c r="CV18" s="112">
        <f t="shared" ref="CV18:CV35" si="12">IF(TYPE(CT18)=16,100000,IF(OR(CT18=0,CT18="",TYPE(CT18)=16),100000,CT18))</f>
        <v>35309</v>
      </c>
      <c r="CW18" s="112">
        <f>SMALL($CV$18:$CV$74,CJ18)</f>
        <v>35309</v>
      </c>
      <c r="CX18" s="238">
        <f ca="1">VLOOKUP(CZ18,Foglio1tibis!$AB$31:$AN$283,13)-6</f>
        <v>87</v>
      </c>
      <c r="CY18" s="112">
        <f>IF(CZ18="","",IF(   CZ19="",DATE(YEAR($CQ$17)+1,8,31),             CZ19-1))</f>
        <v>35673</v>
      </c>
      <c r="CZ18" s="477">
        <f>IF(CW18&lt;100000,CW18,"")</f>
        <v>35309</v>
      </c>
      <c r="DA18" s="479">
        <f t="shared" ref="DA18:DA30" si="13">IF(DB18&lt;CZ18,DATE(YEAR(DB18)+1,MONTH(DB18),DAY(DB18)),DB18)</f>
        <v>35673</v>
      </c>
      <c r="DB18" s="112">
        <f>IF(CY18="","",IF(CY18-CZ18&gt;400,DATE(YEAR(CZ18),8,31),CY18))</f>
        <v>35673</v>
      </c>
      <c r="DC18" s="114">
        <f>INT((DA18-CZ18)/30)*30</f>
        <v>360</v>
      </c>
      <c r="DD18" s="114" cm="1">
        <f t="array" aca="1" ref="DD18" ca="1">INDIRECT(CONCATENATE($AP$15,$AU$16,CX18))</f>
        <v>0</v>
      </c>
      <c r="DE18" s="114"/>
      <c r="DF18" s="114"/>
      <c r="DG18" s="114" cm="1">
        <f t="array" aca="1" ref="DG18" ca="1">INDIRECT(CONCATENATE($AP$15,$AX$16,CX18))</f>
        <v>0</v>
      </c>
      <c r="DH18" s="114" cm="1">
        <f t="array" aca="1" ref="DH18" ca="1">INDIRECT(CONCATENATE($AP$15,$AY$16,CX18))</f>
        <v>0</v>
      </c>
      <c r="DI18" s="114"/>
      <c r="DJ18" s="114" cm="1">
        <f t="array" aca="1" ref="DJ18" ca="1">INDIRECT(CONCATENATE($AP$15,$BA$16,CX18))</f>
        <v>0</v>
      </c>
      <c r="DK18" s="114"/>
      <c r="DL18" s="114" t="e">
        <f>VLOOKUP(CZ18,$DT$10:$DU$14,2)</f>
        <v>#N/A</v>
      </c>
      <c r="DM18" s="114">
        <f t="shared" ref="DM18:DM23" si="14">IF(TYPE(DL18)=16,0,               ROUND(    (DH18+DG18+DD18)*DL18/1000,2)                                  )</f>
        <v>0</v>
      </c>
      <c r="DN18" t="str">
        <f>aumentibiennali!K25</f>
        <v>1996/1997</v>
      </c>
      <c r="DO18" t="str">
        <f t="shared" ref="DO18:DO23" si="15">IF(DM18=0,"",CONCATENATE("--------------------------------","
","Con decorrenza dal:",DAY(CZ18),"/",MONTH(CZ18),"/",YEAR(CZ18),"  -  al:",DAY(DA18),"/",MONTH(DA18),"/",YEAR(DA18)," - SPETTA:","
","RETRIBUZIONE A.L. EURO:",DD18+DG18,"
","i.v.c. EURO:",DH18,"
","R.P.D. EURO:",DJ18,"
","
"))</f>
        <v/>
      </c>
      <c r="DP18" t="str">
        <f t="shared" ref="DP18:DP23" si="16">IF(DM18=0,"",CONCATENATE("  Spettano euro:",DM18," PER ",DK18," aumenti biennali","
","da liquidare in rapporto al numero dei giorni e delle ore lavorate nel periodo. Giorni:",DC18,"/360"," - Ore:", "     /    "))</f>
        <v/>
      </c>
      <c r="DS18" t="str">
        <f>IF(DT18="","","9 A.B")</f>
        <v/>
      </c>
      <c r="DT18" s="112" t="str">
        <f>aumentibiennali!L60</f>
        <v/>
      </c>
      <c r="DU18" t="str">
        <f t="shared" ref="DU18:DU23" si="17">CONCATENATE(DO18,DP18,"
")</f>
        <v xml:space="preserve">
</v>
      </c>
      <c r="DV18" t="str">
        <f t="shared" si="2"/>
        <v/>
      </c>
      <c r="DW18" t="str">
        <f t="shared" si="3"/>
        <v/>
      </c>
      <c r="DX18" t="str">
        <f>IF(DW18="",""," SPETTA 9 A.B.")</f>
        <v/>
      </c>
      <c r="EO18" s="320" t="str">
        <f t="shared" ref="EO18:EO23" si="18">IF(TYPE(DU18)=16,"",DU18)</f>
        <v xml:space="preserve">
</v>
      </c>
    </row>
    <row r="19" spans="2:174" ht="15.75" thickBot="1" x14ac:dyDescent="0.3">
      <c r="B19">
        <v>1</v>
      </c>
      <c r="D19" s="112">
        <v>35065</v>
      </c>
      <c r="F19" t="s">
        <v>501</v>
      </c>
      <c r="G19">
        <f>fronttibis!G38</f>
        <v>4</v>
      </c>
      <c r="H19">
        <f>fronttibis!H38</f>
        <v>8</v>
      </c>
      <c r="I19">
        <f>fronttibis!I38</f>
        <v>0</v>
      </c>
      <c r="L19" s="112" t="str">
        <f ca="1">fronttibis!N37</f>
        <v>0-8 anni</v>
      </c>
      <c r="M19" s="112">
        <f ca="1">fronttibis!O37</f>
        <v>45536</v>
      </c>
      <c r="P19" s="270">
        <f ca="1">R19*1</f>
        <v>45536</v>
      </c>
      <c r="Q19" s="270" t="str">
        <f ca="1" xml:space="preserve">        IF($T$19=0,L19,T19)</f>
        <v>0-8 anni</v>
      </c>
      <c r="R19" s="270">
        <f ca="1">IF($T$19=0,M19,U19)</f>
        <v>45536</v>
      </c>
      <c r="S19" s="246"/>
      <c r="T19">
        <f>fronttibis!R40</f>
        <v>0</v>
      </c>
      <c r="U19" s="112">
        <f>fronttibis!S40</f>
        <v>45536</v>
      </c>
      <c r="X19" s="112">
        <f t="shared" ca="1" si="7"/>
        <v>100000</v>
      </c>
      <c r="Z19">
        <f>Z18+1</f>
        <v>2</v>
      </c>
      <c r="AA19" s="112">
        <f t="shared" ca="1" si="8"/>
        <v>100000</v>
      </c>
      <c r="AD19" s="112">
        <f t="shared" ref="AD19:AD61" ca="1" si="19">SMALL($AA$18:$AA$61,Z19)</f>
        <v>100000</v>
      </c>
      <c r="AI19" s="112">
        <f t="shared" ref="AI19:AI35" ca="1" si="20">AD19</f>
        <v>100000</v>
      </c>
      <c r="AJ19" s="112" t="str">
        <f ca="1">VLOOKUP(AI19,$P$19:$Q$25,2)</f>
        <v>0-8 anni</v>
      </c>
      <c r="AM19">
        <f ca="1">VLOOKUP(AI19,Foglio1tibis!$AB$31:$AN$284,13)</f>
        <v>261</v>
      </c>
      <c r="AN19">
        <f t="shared" ref="AN19:AN38" ca="1" si="21">VLOOKUP(AJ19,$AJ$9:$AK$16,2,FALSE)</f>
        <v>6</v>
      </c>
      <c r="AO19">
        <f t="shared" ref="AO19:AO38" ca="1" si="22">AM19-AN19</f>
        <v>255</v>
      </c>
      <c r="AQ19" s="112">
        <f t="shared" ref="AQ19:AQ38" ca="1" si="23">AI19</f>
        <v>100000</v>
      </c>
      <c r="AR19" s="112" cm="1">
        <f t="array" aca="1" ref="AR19" ca="1">INDIRECT(CONCATENATE($AP$15,$AR$16,AO19))</f>
        <v>45291</v>
      </c>
      <c r="AS19" t="str" cm="1">
        <f t="array" aca="1" ref="AS19" ca="1">INDIRECT(CONCATENATE($AP$15,$AS$16,AO19))</f>
        <v>0-2anni</v>
      </c>
      <c r="AT19" cm="1">
        <f t="array" aca="1" ref="AT19" ca="1">INDIRECT(CONCATENATE($AP$15,$AT$16,AO19))</f>
        <v>0</v>
      </c>
      <c r="AU19" cm="1">
        <f t="array" aca="1" ref="AU19" ca="1">INDIRECT(CONCATENATE($AP$15,$AU$16,AO19))</f>
        <v>14513.09</v>
      </c>
      <c r="AV19" cm="1">
        <f t="array" aca="1" ref="AV19" ca="1">INDIRECT(CONCATENATE($AP$15,$AV$16,AO19))</f>
        <v>0</v>
      </c>
      <c r="AW19" cm="1">
        <f t="array" aca="1" ref="AW19" ca="1">INDIRECT(CONCATENATE($AP$15,$AW$16,AO19))</f>
        <v>0</v>
      </c>
      <c r="AX19" cm="1">
        <f t="array" aca="1" ref="AX19" ca="1">INDIRECT(CONCATENATE($AP$15,$AX$16,AO19))</f>
        <v>6384.11</v>
      </c>
      <c r="AY19" cm="1">
        <f t="array" aca="1" ref="AY19" ca="1">INDIRECT(CONCATENATE($AP$15,$AY$16,AO19))</f>
        <v>104.49</v>
      </c>
      <c r="AZ19" cm="1">
        <f t="array" aca="1" ref="AZ19" ca="1">INDIRECT(CONCATENATE($AP$15,$AZ$16,AO19))</f>
        <v>1690.19</v>
      </c>
      <c r="BA19" cm="1">
        <f t="array" aca="1" ref="BA19" ca="1">INDIRECT(CONCATENATE($AP$15,$BA$16,AO19))</f>
        <v>2214</v>
      </c>
      <c r="BH19" t="str">
        <f t="shared" ref="BH19:BH72" ca="1" si="24">VLOOKUP(AQ19,$BD$4:$BE$11,2)</f>
        <v>C.C.N.L. COMPARTO  SCUOLA del Dicembre 2022</v>
      </c>
      <c r="BJ19" t="str">
        <f t="shared" ref="BJ19:BJ76" ca="1" si="25">IF(AQ19&gt;$BK$15,"",BJ18+1)</f>
        <v/>
      </c>
      <c r="BL19" t="str">
        <f t="shared" ref="BL19:BL61" ca="1" si="26">CONCATENATE($BL$16,BJ19,"
")</f>
        <v xml:space="preserve">ARTICOLO 
</v>
      </c>
      <c r="BM19" t="str">
        <f t="shared" ref="BM19:BM61" ca="1" si="27">CONCATENATE($BM$16,DAY(AQ19),"/",MONTH(AQ19),"/",YEAR(AQ19), " Spetta fascia:",AS19,"  ",BH19,"
")</f>
        <v xml:space="preserve">Con decorrenza dal:14/10/2173 Spetta fascia:0-2anni  C.C.N.L. COMPARTO  SCUOLA del Dicembre 2022
</v>
      </c>
      <c r="BN19" t="str">
        <f t="shared" ref="BN19:BN61" ca="1" si="28">CONCATENATE($BN$16,AU19+AX19,"
")</f>
        <v xml:space="preserve">Retribuzione euro:20897,2
</v>
      </c>
      <c r="BO19" t="str">
        <f t="shared" ref="BO19:BO61" ca="1" si="29">IF(AY19=0,"",CONCATENATE($BO$16,AY19,"
"))</f>
        <v xml:space="preserve">I.V.C. euro:104,49
</v>
      </c>
      <c r="BP19" t="str">
        <f t="shared" ref="BP19:BP61" ca="1" si="30">CONCATENATE($BP$16,BA19,"
")</f>
        <v xml:space="preserve">R.P.D. euro:2214
</v>
      </c>
      <c r="BQ19" t="str">
        <f t="shared" ref="BQ19:BQ61" ca="1" si="31">IF(AT19=0,"",CONCATENATE($BQ$16,AT19,"
"))</f>
        <v/>
      </c>
      <c r="BR19" t="str">
        <f t="shared" ref="BR19:BR69" ca="1" si="32">CONCATENATE($BR$16,AT19+AU19+AX19+AY19+BA19,"
"," altri assegni previsti per legge","
")</f>
        <v xml:space="preserve">TOTALE EURO:23215,69
 altri assegni previsti per legge
</v>
      </c>
      <c r="CA19" t="str">
        <f t="shared" ca="1" si="9"/>
        <v xml:space="preserve">_________________________________________________________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LO STIPENDIO VA RAPPORTATO ALLE EFFETTIVE ORE DI SERVIZIO PRESTATE.							
IL PRESENTE DECRETO SARA’ INVIATO ALLA RAGIONERIA PROVINCIALE DELLO STATO PER QUANTO DI COMPETENZA .							
NELLE MORE DI QUANTO SOPRA, SE NE DISPONE IN VIA PROVVISORIA L’ESECUZIONE AI SENSI DELL’ART. 8 DEL D.L. 06/09/1972 N. 504, CONVERTITO CON MODIFICAZIONI NELLA L. 01/11/1972, N. 625 E DELL’ART. 172 DELLA L. 11/07/80 N. 312.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	</v>
      </c>
      <c r="CH19" t="e">
        <f>IF(CI18=100000,CH18,CH18+1)</f>
        <v>#N/A</v>
      </c>
      <c r="CI19" t="e">
        <f>IF(AND(CK19&gt;=$CI$15,CK19&lt;=$CI$16),CH19,100000)</f>
        <v>#N/A</v>
      </c>
      <c r="CJ19">
        <f t="shared" ref="CJ19:CJ82" si="33">CJ18+1</f>
        <v>2</v>
      </c>
      <c r="CK19" s="112">
        <v>35370</v>
      </c>
      <c r="CL19" s="238">
        <f>CL18+1</f>
        <v>19</v>
      </c>
      <c r="CM19" s="247">
        <f>aumentibiennali!K26</f>
        <v>0</v>
      </c>
      <c r="CN19" s="112" t="str">
        <f t="shared" ref="CN19:CN36" si="34">CONCATENATE(1,"/",9,"/",LEFT(CM19,4))</f>
        <v>1/9/0</v>
      </c>
      <c r="CO19" s="112" t="str">
        <f t="shared" ref="CO19:CO36" si="35">CONCATENATE(31,"/",8,"/",RIGHT(CM19,4))</f>
        <v>31/8/0</v>
      </c>
      <c r="CP19" s="112" t="str">
        <f t="shared" si="10"/>
        <v/>
      </c>
      <c r="CQ19" s="238" t="e">
        <f t="shared" ref="CQ19:CQ29" si="36">VLOOKUP(CP19,CK19:CL51,2,TRUE)</f>
        <v>#N/A</v>
      </c>
      <c r="CR19" s="112" t="e" cm="1">
        <f t="array" aca="1" ref="CR19" ca="1">INDIRECT(CONCATENATE("ck",CQ19))</f>
        <v>#N/A</v>
      </c>
      <c r="CS19" s="112" t="e">
        <f t="shared" si="11"/>
        <v>#N/A</v>
      </c>
      <c r="CT19" s="112" t="e">
        <f>HLOOKUP(CT18,$CN$11:$DO$14,2)</f>
        <v>#N/A</v>
      </c>
      <c r="CU19" s="114"/>
      <c r="CV19" s="112">
        <f t="shared" si="12"/>
        <v>100000</v>
      </c>
      <c r="CW19" s="112">
        <f t="shared" ref="CW19:CW20" si="37">SMALL($CV$18:$CV$74,CJ19)</f>
        <v>100000</v>
      </c>
      <c r="CX19" s="238" t="e">
        <f ca="1">VLOOKUP(CZ19,Foglio1tibis!$AB$31:$AN$283,13)-6</f>
        <v>#N/A</v>
      </c>
      <c r="CY19" s="112" t="str">
        <f>IF(CZ19="","",IF(   CZ20="",DATE(YEAR($CQ$17)+1,8,31),             CZ20-1))</f>
        <v/>
      </c>
      <c r="CZ19" s="477" t="str">
        <f t="shared" ref="CZ19:CZ36" si="38">IF(CW19&lt;100000,CW19,"")</f>
        <v/>
      </c>
      <c r="DA19" s="479" t="str">
        <f t="shared" si="13"/>
        <v/>
      </c>
      <c r="DB19" s="112" t="str">
        <f t="shared" ref="DB19:DB50" si="39">IF(CY19="","",IF(CY19-CZ19&gt;400,DATE(YEAR(CZ19),8,31),CY19))</f>
        <v/>
      </c>
      <c r="DC19" s="114" t="e">
        <f t="shared" ref="DC19:DC50" si="40">INT((DA19-CZ19)/30)*30</f>
        <v>#VALUE!</v>
      </c>
      <c r="DD19" s="114" t="str" cm="1">
        <f t="array" aca="1" ref="DD19" ca="1">IF(CY19="","",INDIRECT(CONCATENATE($AP$15,$AU$16,CX19)))</f>
        <v/>
      </c>
      <c r="DE19" s="114"/>
      <c r="DF19" s="114"/>
      <c r="DG19" s="114" t="e" cm="1">
        <f t="array" aca="1" ref="DG19" ca="1">INDIRECT(CONCATENATE($AP$15,$AX$16,CX19))</f>
        <v>#N/A</v>
      </c>
      <c r="DH19" s="114" t="e" cm="1">
        <f t="array" aca="1" ref="DH19" ca="1">INDIRECT(CONCATENATE($AP$15,$AY$16,CX19))</f>
        <v>#N/A</v>
      </c>
      <c r="DI19" s="114"/>
      <c r="DJ19" s="114" t="e" cm="1">
        <f t="array" aca="1" ref="DJ19" ca="1">INDIRECT(CONCATENATE($AP$15,$BA$16,CX19))</f>
        <v>#N/A</v>
      </c>
      <c r="DL19" s="114">
        <f t="shared" ref="DL19:DL36" si="41">VLOOKUP(CZ19,$DT$10:$DU$14,2)</f>
        <v>0</v>
      </c>
      <c r="DM19" s="114" t="e">
        <f t="shared" ca="1" si="14"/>
        <v>#N/A</v>
      </c>
      <c r="DN19">
        <f>aumentibiennali!K26</f>
        <v>0</v>
      </c>
      <c r="DO19" t="e">
        <f t="shared" ca="1" si="15"/>
        <v>#N/A</v>
      </c>
      <c r="DP19" t="e">
        <f t="shared" ca="1" si="16"/>
        <v>#N/A</v>
      </c>
      <c r="DS19" t="str">
        <f>IF(DT19="","","10 A.B")</f>
        <v/>
      </c>
      <c r="DT19" s="112" t="str">
        <f>aumentibiennali!L61</f>
        <v/>
      </c>
      <c r="DU19" t="e">
        <f t="shared" ca="1" si="17"/>
        <v>#N/A</v>
      </c>
      <c r="DV19" t="str">
        <f t="shared" si="2"/>
        <v/>
      </c>
      <c r="DW19" t="str">
        <f t="shared" si="3"/>
        <v/>
      </c>
      <c r="DX19" t="str">
        <f>IF(DW19="",""," SPETTA 10 A.B.")</f>
        <v/>
      </c>
      <c r="EO19" s="320" t="str">
        <f t="shared" ca="1" si="18"/>
        <v/>
      </c>
    </row>
    <row r="20" spans="2:174" ht="15.75" thickBot="1" x14ac:dyDescent="0.3">
      <c r="B20">
        <f>B19+1</f>
        <v>2</v>
      </c>
      <c r="D20" s="112">
        <v>35370</v>
      </c>
      <c r="F20" t="s">
        <v>502</v>
      </c>
      <c r="G20">
        <f>fronttibis!G39</f>
        <v>0</v>
      </c>
      <c r="H20">
        <f>fronttibis!H39</f>
        <v>4</v>
      </c>
      <c r="I20">
        <f>fronttibis!I39</f>
        <v>0</v>
      </c>
      <c r="L20" s="112" t="str">
        <f ca="1">fronttibis!N38</f>
        <v/>
      </c>
      <c r="M20" s="112" t="str">
        <f ca="1">fronttibis!O38</f>
        <v/>
      </c>
      <c r="P20" s="270" t="str">
        <f ca="1">IF(R20=0,"",R20)</f>
        <v/>
      </c>
      <c r="Q20" s="270" t="str">
        <f t="shared" ref="Q20:Q25" ca="1" si="42" xml:space="preserve">        IF($T$19=0,L20,T20)</f>
        <v/>
      </c>
      <c r="R20" s="270" t="str">
        <f t="shared" ref="R20:R25" ca="1" si="43">IF($T$19=0,M20,U20)</f>
        <v/>
      </c>
      <c r="S20" s="246"/>
      <c r="T20">
        <f>fronttibis!R41</f>
        <v>0</v>
      </c>
      <c r="U20" s="112">
        <f>fronttibis!S41</f>
        <v>0</v>
      </c>
      <c r="X20" s="112">
        <f t="shared" ca="1" si="7"/>
        <v>100000</v>
      </c>
      <c r="Z20">
        <f t="shared" ref="Z20:Z61" si="44">Z19+1</f>
        <v>3</v>
      </c>
      <c r="AA20" s="112">
        <f t="shared" ca="1" si="8"/>
        <v>100000</v>
      </c>
      <c r="AD20" s="112">
        <f t="shared" ca="1" si="19"/>
        <v>100000</v>
      </c>
      <c r="AI20" s="112">
        <f t="shared" ca="1" si="20"/>
        <v>100000</v>
      </c>
      <c r="AJ20" s="112" t="str">
        <f t="shared" ref="AJ20:AJ76" ca="1" si="45">VLOOKUP(AI20,$P$19:$Q$25,2)</f>
        <v>0-8 anni</v>
      </c>
      <c r="AM20">
        <f ca="1">VLOOKUP(AI20,Foglio1tibis!$AB$31:$AN$284,13)</f>
        <v>261</v>
      </c>
      <c r="AN20">
        <f t="shared" ca="1" si="21"/>
        <v>6</v>
      </c>
      <c r="AO20">
        <f t="shared" ca="1" si="22"/>
        <v>255</v>
      </c>
      <c r="AQ20" s="112">
        <f t="shared" ca="1" si="23"/>
        <v>100000</v>
      </c>
      <c r="AR20" s="112" cm="1">
        <f t="array" aca="1" ref="AR20" ca="1">INDIRECT(CONCATENATE($AP$15,$AR$16,AO20))</f>
        <v>45291</v>
      </c>
      <c r="AS20" t="str" cm="1">
        <f t="array" aca="1" ref="AS20" ca="1">INDIRECT(CONCATENATE($AP$15,$AS$16,AO20))</f>
        <v>0-2anni</v>
      </c>
      <c r="AT20" cm="1">
        <f t="array" aca="1" ref="AT20" ca="1">INDIRECT(CONCATENATE($AP$15,$AT$16,AO20))</f>
        <v>0</v>
      </c>
      <c r="AU20" cm="1">
        <f t="array" aca="1" ref="AU20" ca="1">INDIRECT(CONCATENATE($AP$15,$AU$16,AO20))</f>
        <v>14513.09</v>
      </c>
      <c r="AV20" cm="1">
        <f t="array" aca="1" ref="AV20" ca="1">INDIRECT(CONCATENATE($AP$15,$AV$16,AO20))</f>
        <v>0</v>
      </c>
      <c r="AW20" cm="1">
        <f t="array" aca="1" ref="AW20" ca="1">INDIRECT(CONCATENATE($AP$15,$AW$16,AO20))</f>
        <v>0</v>
      </c>
      <c r="AX20" cm="1">
        <f t="array" aca="1" ref="AX20" ca="1">INDIRECT(CONCATENATE($AP$15,$AX$16,AO20))</f>
        <v>6384.11</v>
      </c>
      <c r="AY20" cm="1">
        <f t="array" aca="1" ref="AY20" ca="1">INDIRECT(CONCATENATE($AP$15,$AY$16,AO20))</f>
        <v>104.49</v>
      </c>
      <c r="AZ20" cm="1">
        <f t="array" aca="1" ref="AZ20" ca="1">INDIRECT(CONCATENATE($AP$15,$AZ$16,AO20))</f>
        <v>1690.19</v>
      </c>
      <c r="BA20" cm="1">
        <f t="array" aca="1" ref="BA20" ca="1">INDIRECT(CONCATENATE($AP$15,$BA$16,AO20))</f>
        <v>2214</v>
      </c>
      <c r="BH20" t="str">
        <f t="shared" ca="1" si="24"/>
        <v>C.C.N.L. COMPARTO  SCUOLA del Dicembre 2022</v>
      </c>
      <c r="BJ20" t="str">
        <f t="shared" ca="1" si="25"/>
        <v/>
      </c>
      <c r="BL20" t="str">
        <f t="shared" ca="1" si="26"/>
        <v xml:space="preserve">ARTICOLO 
</v>
      </c>
      <c r="BM20" t="str">
        <f t="shared" ca="1" si="27"/>
        <v xml:space="preserve">Con decorrenza dal:14/10/2173 Spetta fascia:0-2anni  C.C.N.L. COMPARTO  SCUOLA del Dicembre 2022
</v>
      </c>
      <c r="BN20" t="str">
        <f t="shared" ca="1" si="28"/>
        <v xml:space="preserve">Retribuzione euro:20897,2
</v>
      </c>
      <c r="BO20" t="str">
        <f t="shared" ca="1" si="29"/>
        <v xml:space="preserve">I.V.C. euro:104,49
</v>
      </c>
      <c r="BP20" t="str">
        <f t="shared" ca="1" si="30"/>
        <v xml:space="preserve">R.P.D. euro:2214
</v>
      </c>
      <c r="BQ20" t="str">
        <f t="shared" ca="1" si="31"/>
        <v/>
      </c>
      <c r="BR20" t="str">
        <f t="shared" ca="1" si="32"/>
        <v xml:space="preserve">TOTALE EURO:23215,69
 altri assegni previsti per legge
</v>
      </c>
      <c r="CA20" t="str">
        <f t="shared" ca="1" si="9"/>
        <v/>
      </c>
      <c r="CH20" t="e">
        <f t="shared" ref="CH20:CH42" si="46">IF(CI19=100000,CH19,CH19+1)</f>
        <v>#N/A</v>
      </c>
      <c r="CI20" t="e">
        <f t="shared" ref="CI20:CI42" si="47">IF(AND(CK20&gt;=$CI$15,CK20&lt;=$CI$16),CH20,100000)</f>
        <v>#N/A</v>
      </c>
      <c r="CJ20">
        <f t="shared" si="33"/>
        <v>3</v>
      </c>
      <c r="CK20" s="112">
        <v>35612</v>
      </c>
      <c r="CL20" s="238">
        <f t="shared" ref="CL20:CL50" si="48">CL19+1</f>
        <v>20</v>
      </c>
      <c r="CM20" s="247">
        <f>aumentibiennali!K27</f>
        <v>0</v>
      </c>
      <c r="CN20" s="112" t="str">
        <f t="shared" si="34"/>
        <v>1/9/0</v>
      </c>
      <c r="CO20" s="112" t="str">
        <f t="shared" si="35"/>
        <v>31/8/0</v>
      </c>
      <c r="CP20" s="112" t="str">
        <f t="shared" si="10"/>
        <v/>
      </c>
      <c r="CQ20" s="238" t="e">
        <f t="shared" si="36"/>
        <v>#N/A</v>
      </c>
      <c r="CR20" s="112" t="e" cm="1">
        <f t="array" aca="1" ref="CR20" ca="1">INDIRECT(CONCATENATE("ck",CQ20))</f>
        <v>#N/A</v>
      </c>
      <c r="CS20" s="112" t="e">
        <f t="shared" si="11"/>
        <v>#N/A</v>
      </c>
      <c r="CT20" s="112" t="e">
        <f>HLOOKUP(CT18,$CN$11:$DO$14,3)</f>
        <v>#N/A</v>
      </c>
      <c r="CU20" s="114"/>
      <c r="CV20" s="112">
        <f t="shared" si="12"/>
        <v>100000</v>
      </c>
      <c r="CW20" s="112">
        <f t="shared" si="37"/>
        <v>100000</v>
      </c>
      <c r="CX20" s="238" t="e">
        <f ca="1">VLOOKUP(CZ20,Foglio1tibis!$AB$31:$AN$283,13)-6</f>
        <v>#N/A</v>
      </c>
      <c r="CY20" s="112" t="str">
        <f t="shared" ref="CY20:CY63" si="49">IF(CZ20="","",IF(   CZ21="",DATE(YEAR($CQ$17)+1,8,31),             CZ21-1))</f>
        <v/>
      </c>
      <c r="CZ20" s="477" t="str">
        <f t="shared" si="38"/>
        <v/>
      </c>
      <c r="DA20" s="479" t="str">
        <f t="shared" si="13"/>
        <v/>
      </c>
      <c r="DB20" s="112" t="str">
        <f t="shared" si="39"/>
        <v/>
      </c>
      <c r="DC20" s="114" t="e">
        <f t="shared" si="40"/>
        <v>#VALUE!</v>
      </c>
      <c r="DD20" s="114" t="str" cm="1">
        <f t="array" aca="1" ref="DD20" ca="1">IF(CY20="","",INDIRECT(CONCATENATE($AP$15,$AU$16,CX20)))</f>
        <v/>
      </c>
      <c r="DE20" s="114"/>
      <c r="DF20" s="114"/>
      <c r="DG20" s="114" t="e" cm="1">
        <f t="array" aca="1" ref="DG20" ca="1">INDIRECT(CONCATENATE($AP$15,$AX$16,CX20))</f>
        <v>#N/A</v>
      </c>
      <c r="DH20" s="114" t="e" cm="1">
        <f t="array" aca="1" ref="DH20" ca="1">INDIRECT(CONCATENATE($AP$15,$AY$16,CX20))</f>
        <v>#N/A</v>
      </c>
      <c r="DI20" s="114"/>
      <c r="DJ20" s="114" t="e" cm="1">
        <f t="array" aca="1" ref="DJ20" ca="1">INDIRECT(CONCATENATE($AP$15,$BA$16,CX20))</f>
        <v>#N/A</v>
      </c>
      <c r="DK20">
        <f t="shared" ref="DK20:DK24" si="50">DL20/25</f>
        <v>0</v>
      </c>
      <c r="DL20" s="114">
        <f t="shared" si="41"/>
        <v>0</v>
      </c>
      <c r="DM20" s="114" t="e">
        <f t="shared" ca="1" si="14"/>
        <v>#N/A</v>
      </c>
      <c r="DN20">
        <f>aumentibiennali!K27</f>
        <v>0</v>
      </c>
      <c r="DO20" t="e">
        <f t="shared" ca="1" si="15"/>
        <v>#N/A</v>
      </c>
      <c r="DP20" t="e">
        <f t="shared" ca="1" si="16"/>
        <v>#N/A</v>
      </c>
      <c r="DT20" s="112"/>
      <c r="DU20" t="e">
        <f t="shared" ca="1" si="17"/>
        <v>#N/A</v>
      </c>
      <c r="DV20" t="str">
        <f t="shared" si="2"/>
        <v/>
      </c>
      <c r="DW20" t="str">
        <f t="shared" si="3"/>
        <v/>
      </c>
      <c r="DX20" t="str">
        <f t="shared" ref="DX20:DX21" si="51">IF(DW20="",""," SPETTA 5 A.B.")</f>
        <v/>
      </c>
      <c r="EO20" s="320" t="str">
        <f t="shared" ca="1" si="18"/>
        <v/>
      </c>
    </row>
    <row r="21" spans="2:174" ht="15.75" thickBot="1" x14ac:dyDescent="0.3">
      <c r="B21">
        <f t="shared" ref="B21:B59" si="52">B20+1</f>
        <v>3</v>
      </c>
      <c r="D21" s="112">
        <v>35612</v>
      </c>
      <c r="L21" s="112" t="str">
        <f ca="1">fronttibis!N39</f>
        <v/>
      </c>
      <c r="M21" s="112" t="str">
        <f ca="1">fronttibis!O39</f>
        <v/>
      </c>
      <c r="P21" s="270" t="str">
        <f t="shared" ref="P21:P25" ca="1" si="53">IF(R21=0,"",R21)</f>
        <v/>
      </c>
      <c r="Q21" s="270" t="str">
        <f t="shared" ca="1" si="42"/>
        <v/>
      </c>
      <c r="R21" s="270" t="str">
        <f t="shared" ca="1" si="43"/>
        <v/>
      </c>
      <c r="S21" s="246"/>
      <c r="T21">
        <f>fronttibis!R42</f>
        <v>0</v>
      </c>
      <c r="U21" s="112">
        <f>fronttibis!S42</f>
        <v>0</v>
      </c>
      <c r="X21" s="112">
        <f t="shared" ca="1" si="7"/>
        <v>100000</v>
      </c>
      <c r="Z21">
        <f t="shared" si="44"/>
        <v>4</v>
      </c>
      <c r="AA21" s="112">
        <f t="shared" ca="1" si="8"/>
        <v>100000</v>
      </c>
      <c r="AD21" s="112">
        <f t="shared" ca="1" si="19"/>
        <v>100000</v>
      </c>
      <c r="AI21" s="112">
        <f t="shared" ca="1" si="20"/>
        <v>100000</v>
      </c>
      <c r="AJ21" s="112" t="str">
        <f t="shared" ca="1" si="45"/>
        <v>0-8 anni</v>
      </c>
      <c r="AM21">
        <f ca="1">VLOOKUP(AI21,Foglio1tibis!$AB$31:$AN$284,13)</f>
        <v>261</v>
      </c>
      <c r="AN21">
        <f t="shared" ca="1" si="21"/>
        <v>6</v>
      </c>
      <c r="AO21">
        <f t="shared" ca="1" si="22"/>
        <v>255</v>
      </c>
      <c r="AQ21" s="112">
        <f t="shared" ca="1" si="23"/>
        <v>100000</v>
      </c>
      <c r="AR21" s="112" cm="1">
        <f t="array" aca="1" ref="AR21" ca="1">INDIRECT(CONCATENATE($AP$15,$AR$16,AO21))</f>
        <v>45291</v>
      </c>
      <c r="AS21" t="str" cm="1">
        <f t="array" aca="1" ref="AS21" ca="1">INDIRECT(CONCATENATE($AP$15,$AS$16,AO21))</f>
        <v>0-2anni</v>
      </c>
      <c r="AT21" cm="1">
        <f t="array" aca="1" ref="AT21" ca="1">INDIRECT(CONCATENATE($AP$15,$AT$16,AO21))</f>
        <v>0</v>
      </c>
      <c r="AU21" cm="1">
        <f t="array" aca="1" ref="AU21" ca="1">INDIRECT(CONCATENATE($AP$15,$AU$16,AO21))</f>
        <v>14513.09</v>
      </c>
      <c r="AV21" cm="1">
        <f t="array" aca="1" ref="AV21" ca="1">INDIRECT(CONCATENATE($AP$15,$AV$16,AO21))</f>
        <v>0</v>
      </c>
      <c r="AW21" cm="1">
        <f t="array" aca="1" ref="AW21" ca="1">INDIRECT(CONCATENATE($AP$15,$AW$16,AO21))</f>
        <v>0</v>
      </c>
      <c r="AX21" cm="1">
        <f t="array" aca="1" ref="AX21" ca="1">INDIRECT(CONCATENATE($AP$15,$AX$16,AO21))</f>
        <v>6384.11</v>
      </c>
      <c r="AY21" cm="1">
        <f t="array" aca="1" ref="AY21" ca="1">INDIRECT(CONCATENATE($AP$15,$AY$16,AO21))</f>
        <v>104.49</v>
      </c>
      <c r="AZ21" cm="1">
        <f t="array" aca="1" ref="AZ21" ca="1">INDIRECT(CONCATENATE($AP$15,$AZ$16,AO21))</f>
        <v>1690.19</v>
      </c>
      <c r="BA21" cm="1">
        <f t="array" aca="1" ref="BA21" ca="1">INDIRECT(CONCATENATE($AP$15,$BA$16,AO21))</f>
        <v>2214</v>
      </c>
      <c r="BH21" t="str">
        <f t="shared" ca="1" si="24"/>
        <v>C.C.N.L. COMPARTO  SCUOLA del Dicembre 2022</v>
      </c>
      <c r="BJ21" t="str">
        <f t="shared" ca="1" si="25"/>
        <v/>
      </c>
      <c r="BL21" t="str">
        <f t="shared" ca="1" si="26"/>
        <v xml:space="preserve">ARTICOLO 
</v>
      </c>
      <c r="BM21" t="str">
        <f t="shared" ca="1" si="27"/>
        <v xml:space="preserve">Con decorrenza dal:14/10/2173 Spetta fascia:0-2anni  C.C.N.L. COMPARTO  SCUOLA del Dicembre 2022
</v>
      </c>
      <c r="BN21" t="str">
        <f t="shared" ca="1" si="28"/>
        <v xml:space="preserve">Retribuzione euro:20897,2
</v>
      </c>
      <c r="BO21" t="str">
        <f t="shared" ca="1" si="29"/>
        <v xml:space="preserve">I.V.C. euro:104,49
</v>
      </c>
      <c r="BP21" t="str">
        <f t="shared" ca="1" si="30"/>
        <v xml:space="preserve">R.P.D. euro:2214
</v>
      </c>
      <c r="BQ21" t="str">
        <f t="shared" ca="1" si="31"/>
        <v/>
      </c>
      <c r="BR21" t="str">
        <f t="shared" ca="1" si="32"/>
        <v xml:space="preserve">TOTALE EURO:23215,69
 altri assegni previsti per legge
</v>
      </c>
      <c r="CA21" t="str">
        <f t="shared" ca="1" si="9"/>
        <v/>
      </c>
      <c r="CH21" t="e">
        <f t="shared" si="46"/>
        <v>#N/A</v>
      </c>
      <c r="CI21" t="e">
        <f t="shared" si="47"/>
        <v>#N/A</v>
      </c>
      <c r="CJ21">
        <f t="shared" si="33"/>
        <v>4</v>
      </c>
      <c r="CK21" s="112">
        <v>36100</v>
      </c>
      <c r="CL21" s="238">
        <f t="shared" si="48"/>
        <v>21</v>
      </c>
      <c r="CM21" s="247">
        <f>aumentibiennali!K28</f>
        <v>0</v>
      </c>
      <c r="CN21" s="112" t="str">
        <f t="shared" si="34"/>
        <v>1/9/0</v>
      </c>
      <c r="CO21" s="112" t="str">
        <f t="shared" si="35"/>
        <v>31/8/0</v>
      </c>
      <c r="CP21" s="112" t="str">
        <f t="shared" si="10"/>
        <v/>
      </c>
      <c r="CQ21" s="238" t="e">
        <f t="shared" si="36"/>
        <v>#N/A</v>
      </c>
      <c r="CR21" s="112" t="e" cm="1">
        <f t="array" aca="1" ref="CR21" ca="1">INDIRECT(CONCATENATE("ck",CQ21))</f>
        <v>#N/A</v>
      </c>
      <c r="CS21" s="112" t="e">
        <f t="shared" si="11"/>
        <v>#N/A</v>
      </c>
      <c r="CT21" s="112" t="e">
        <f>HLOOKUP(CT18,$CN$11:$DO$14,4)</f>
        <v>#N/A</v>
      </c>
      <c r="CU21" s="114"/>
      <c r="CV21" s="112">
        <f t="shared" si="12"/>
        <v>100000</v>
      </c>
      <c r="CW21" s="112">
        <f t="shared" ref="CW21:CW54" si="54">SMALL($CV$18:$CV$96,CJ21)</f>
        <v>100000</v>
      </c>
      <c r="CX21" s="238" t="e">
        <f ca="1">VLOOKUP(CZ21,Foglio1tibis!$AB$31:$AN$283,13)-6</f>
        <v>#N/A</v>
      </c>
      <c r="CY21" s="112" t="str">
        <f t="shared" si="49"/>
        <v/>
      </c>
      <c r="CZ21" s="477" t="str">
        <f t="shared" si="38"/>
        <v/>
      </c>
      <c r="DA21" s="479" t="str">
        <f t="shared" si="13"/>
        <v/>
      </c>
      <c r="DB21" s="112" t="str">
        <f t="shared" si="39"/>
        <v/>
      </c>
      <c r="DC21" s="114" t="e">
        <f t="shared" si="40"/>
        <v>#VALUE!</v>
      </c>
      <c r="DD21" s="114" t="str" cm="1">
        <f t="array" aca="1" ref="DD21" ca="1">IF(CY21="","",INDIRECT(CONCATENATE($AP$15,$AU$16,CX21)))</f>
        <v/>
      </c>
      <c r="DE21" s="114"/>
      <c r="DF21" s="114"/>
      <c r="DG21" s="114" t="e" cm="1">
        <f t="array" aca="1" ref="DG21" ca="1">INDIRECT(CONCATENATE($AP$15,$AX$16,CX21))</f>
        <v>#N/A</v>
      </c>
      <c r="DH21" s="114" t="e" cm="1">
        <f t="array" aca="1" ref="DH21" ca="1">INDIRECT(CONCATENATE($AP$15,$AY$16,CX21))</f>
        <v>#N/A</v>
      </c>
      <c r="DI21" s="114"/>
      <c r="DJ21" s="114" t="e" cm="1">
        <f t="array" aca="1" ref="DJ21" ca="1">INDIRECT(CONCATENATE($AP$15,$BA$16,CX21))</f>
        <v>#N/A</v>
      </c>
      <c r="DK21">
        <f t="shared" si="50"/>
        <v>0</v>
      </c>
      <c r="DL21" s="114">
        <f t="shared" si="41"/>
        <v>0</v>
      </c>
      <c r="DM21" s="114" t="e">
        <f t="shared" ca="1" si="14"/>
        <v>#N/A</v>
      </c>
      <c r="DN21">
        <f>aumentibiennali!K28</f>
        <v>0</v>
      </c>
      <c r="DO21" t="e">
        <f t="shared" ca="1" si="15"/>
        <v>#N/A</v>
      </c>
      <c r="DP21" t="e">
        <f t="shared" ca="1" si="16"/>
        <v>#N/A</v>
      </c>
      <c r="DT21" s="112"/>
      <c r="DU21" t="e">
        <f t="shared" ca="1" si="17"/>
        <v>#N/A</v>
      </c>
      <c r="DV21" t="str">
        <f t="shared" si="2"/>
        <v/>
      </c>
      <c r="DW21" t="str">
        <f t="shared" si="3"/>
        <v/>
      </c>
      <c r="DX21" t="str">
        <f t="shared" si="51"/>
        <v/>
      </c>
      <c r="EO21" s="320" t="str">
        <f t="shared" ca="1" si="18"/>
        <v/>
      </c>
    </row>
    <row r="22" spans="2:174" ht="15.75" thickBot="1" x14ac:dyDescent="0.3">
      <c r="B22">
        <f t="shared" si="52"/>
        <v>4</v>
      </c>
      <c r="D22" s="112">
        <v>36100</v>
      </c>
      <c r="L22" s="112" t="str">
        <f ca="1">fronttibis!N40</f>
        <v/>
      </c>
      <c r="M22" s="112" t="str">
        <f ca="1">fronttibis!O40</f>
        <v/>
      </c>
      <c r="P22" s="270" t="str">
        <f t="shared" ca="1" si="53"/>
        <v/>
      </c>
      <c r="Q22" s="270" t="str">
        <f t="shared" ca="1" si="42"/>
        <v/>
      </c>
      <c r="R22" s="270" t="str">
        <f t="shared" ca="1" si="43"/>
        <v/>
      </c>
      <c r="S22" s="246"/>
      <c r="T22">
        <f>fronttibis!R43</f>
        <v>0</v>
      </c>
      <c r="U22" s="112">
        <f>fronttibis!S43</f>
        <v>0</v>
      </c>
      <c r="X22" s="112">
        <f t="shared" ca="1" si="7"/>
        <v>100000</v>
      </c>
      <c r="Z22">
        <f t="shared" si="44"/>
        <v>5</v>
      </c>
      <c r="AA22" s="112">
        <f t="shared" ca="1" si="8"/>
        <v>100000</v>
      </c>
      <c r="AD22" s="112">
        <f t="shared" ca="1" si="19"/>
        <v>100000</v>
      </c>
      <c r="AI22" s="112">
        <f t="shared" ca="1" si="20"/>
        <v>100000</v>
      </c>
      <c r="AJ22" s="112" t="str">
        <f t="shared" ca="1" si="45"/>
        <v>0-8 anni</v>
      </c>
      <c r="AM22">
        <f ca="1">VLOOKUP(AI22,Foglio1tibis!$AB$31:$AN$284,13)</f>
        <v>261</v>
      </c>
      <c r="AN22">
        <f t="shared" ca="1" si="21"/>
        <v>6</v>
      </c>
      <c r="AO22">
        <f t="shared" ca="1" si="22"/>
        <v>255</v>
      </c>
      <c r="AQ22" s="112">
        <f t="shared" ca="1" si="23"/>
        <v>100000</v>
      </c>
      <c r="AR22" s="112" cm="1">
        <f t="array" aca="1" ref="AR22" ca="1">INDIRECT(CONCATENATE($AP$15,$AR$16,AO22))</f>
        <v>45291</v>
      </c>
      <c r="AS22" t="str" cm="1">
        <f t="array" aca="1" ref="AS22" ca="1">INDIRECT(CONCATENATE($AP$15,$AS$16,AO22))</f>
        <v>0-2anni</v>
      </c>
      <c r="AT22" cm="1">
        <f t="array" aca="1" ref="AT22" ca="1">INDIRECT(CONCATENATE($AP$15,$AT$16,AO22))</f>
        <v>0</v>
      </c>
      <c r="AU22" cm="1">
        <f t="array" aca="1" ref="AU22" ca="1">INDIRECT(CONCATENATE($AP$15,$AU$16,AO22))</f>
        <v>14513.09</v>
      </c>
      <c r="AV22" cm="1">
        <f t="array" aca="1" ref="AV22" ca="1">INDIRECT(CONCATENATE($AP$15,$AV$16,AO22))</f>
        <v>0</v>
      </c>
      <c r="AW22" cm="1">
        <f t="array" aca="1" ref="AW22" ca="1">INDIRECT(CONCATENATE($AP$15,$AW$16,AO22))</f>
        <v>0</v>
      </c>
      <c r="AX22" cm="1">
        <f t="array" aca="1" ref="AX22" ca="1">INDIRECT(CONCATENATE($AP$15,$AX$16,AO22))</f>
        <v>6384.11</v>
      </c>
      <c r="AY22" cm="1">
        <f t="array" aca="1" ref="AY22" ca="1">INDIRECT(CONCATENATE($AP$15,$AY$16,AO22))</f>
        <v>104.49</v>
      </c>
      <c r="AZ22" cm="1">
        <f t="array" aca="1" ref="AZ22" ca="1">INDIRECT(CONCATENATE($AP$15,$AZ$16,AO22))</f>
        <v>1690.19</v>
      </c>
      <c r="BA22" cm="1">
        <f t="array" aca="1" ref="BA22" ca="1">INDIRECT(CONCATENATE($AP$15,$BA$16,AO22))</f>
        <v>2214</v>
      </c>
      <c r="BH22" t="str">
        <f t="shared" ca="1" si="24"/>
        <v>C.C.N.L. COMPARTO  SCUOLA del Dicembre 2022</v>
      </c>
      <c r="BJ22" t="str">
        <f t="shared" ca="1" si="25"/>
        <v/>
      </c>
      <c r="BL22" t="str">
        <f t="shared" ca="1" si="26"/>
        <v xml:space="preserve">ARTICOLO 
</v>
      </c>
      <c r="BM22" t="str">
        <f t="shared" ca="1" si="27"/>
        <v xml:space="preserve">Con decorrenza dal:14/10/2173 Spetta fascia:0-2anni  C.C.N.L. COMPARTO  SCUOLA del Dicembre 2022
</v>
      </c>
      <c r="BN22" t="str">
        <f t="shared" ca="1" si="28"/>
        <v xml:space="preserve">Retribuzione euro:20897,2
</v>
      </c>
      <c r="BO22" t="str">
        <f t="shared" ca="1" si="29"/>
        <v xml:space="preserve">I.V.C. euro:104,49
</v>
      </c>
      <c r="BP22" t="str">
        <f t="shared" ca="1" si="30"/>
        <v xml:space="preserve">R.P.D. euro:2214
</v>
      </c>
      <c r="BQ22" t="str">
        <f t="shared" ca="1" si="31"/>
        <v/>
      </c>
      <c r="BR22" t="str">
        <f t="shared" ca="1" si="32"/>
        <v xml:space="preserve">TOTALE EURO:23215,69
 altri assegni previsti per legge
</v>
      </c>
      <c r="CA22" t="str">
        <f t="shared" ca="1" si="9"/>
        <v/>
      </c>
      <c r="CH22" t="e">
        <f t="shared" si="46"/>
        <v>#N/A</v>
      </c>
      <c r="CI22" t="e">
        <f t="shared" si="47"/>
        <v>#N/A</v>
      </c>
      <c r="CJ22">
        <f t="shared" si="33"/>
        <v>5</v>
      </c>
      <c r="CK22" s="112">
        <v>36312</v>
      </c>
      <c r="CL22" s="238">
        <f t="shared" si="48"/>
        <v>22</v>
      </c>
      <c r="CM22" s="247">
        <f>aumentibiennali!K29</f>
        <v>0</v>
      </c>
      <c r="CN22" s="112" t="str">
        <f t="shared" si="34"/>
        <v>1/9/0</v>
      </c>
      <c r="CO22" s="112" t="str">
        <f t="shared" si="35"/>
        <v>31/8/0</v>
      </c>
      <c r="CP22" s="112" t="str">
        <f t="shared" si="10"/>
        <v/>
      </c>
      <c r="CQ22" s="238" t="e">
        <f t="shared" si="36"/>
        <v>#N/A</v>
      </c>
      <c r="CR22" s="112" t="e" cm="1">
        <f t="array" aca="1" ref="CR22" ca="1">INDIRECT(CONCATENATE("ck",CQ22))</f>
        <v>#N/A</v>
      </c>
      <c r="CS22" s="112" t="e">
        <f t="shared" si="11"/>
        <v>#N/A</v>
      </c>
      <c r="CT22" s="112"/>
      <c r="CU22" s="114"/>
      <c r="CV22" s="112">
        <f t="shared" si="12"/>
        <v>100000</v>
      </c>
      <c r="CW22" s="112">
        <f t="shared" si="54"/>
        <v>100000</v>
      </c>
      <c r="CX22" s="238" t="e">
        <f ca="1">VLOOKUP(CZ22,Foglio1tibis!$AB$31:$AN$283,13)-6</f>
        <v>#N/A</v>
      </c>
      <c r="CY22" s="112" t="str">
        <f t="shared" si="49"/>
        <v/>
      </c>
      <c r="CZ22" s="477" t="str">
        <f t="shared" si="38"/>
        <v/>
      </c>
      <c r="DA22" s="479" t="str">
        <f t="shared" si="13"/>
        <v/>
      </c>
      <c r="DB22" s="112" t="str">
        <f t="shared" si="39"/>
        <v/>
      </c>
      <c r="DC22" s="114" t="e">
        <f t="shared" si="40"/>
        <v>#VALUE!</v>
      </c>
      <c r="DD22" s="114" t="str" cm="1">
        <f t="array" aca="1" ref="DD22" ca="1">IF(CY22="","",INDIRECT(CONCATENATE($AP$15,$AU$16,CX22)))</f>
        <v/>
      </c>
      <c r="DE22" s="114"/>
      <c r="DF22" s="114"/>
      <c r="DG22" s="114" t="e" cm="1">
        <f t="array" aca="1" ref="DG22" ca="1">INDIRECT(CONCATENATE($AP$15,$AX$16,CX22))</f>
        <v>#N/A</v>
      </c>
      <c r="DH22" s="114" t="e" cm="1">
        <f t="array" aca="1" ref="DH22" ca="1">INDIRECT(CONCATENATE($AP$15,$AY$16,CX22))</f>
        <v>#N/A</v>
      </c>
      <c r="DI22" s="114"/>
      <c r="DJ22" s="114" t="e" cm="1">
        <f t="array" aca="1" ref="DJ22" ca="1">INDIRECT(CONCATENATE($AP$15,$BA$16,CX22))</f>
        <v>#N/A</v>
      </c>
      <c r="DK22">
        <f t="shared" si="50"/>
        <v>0</v>
      </c>
      <c r="DL22" s="114">
        <f t="shared" si="41"/>
        <v>0</v>
      </c>
      <c r="DM22" s="114" t="e">
        <f t="shared" ca="1" si="14"/>
        <v>#N/A</v>
      </c>
      <c r="DN22">
        <f>aumentibiennali!K29</f>
        <v>0</v>
      </c>
      <c r="DO22" t="e">
        <f t="shared" ca="1" si="15"/>
        <v>#N/A</v>
      </c>
      <c r="DP22" t="e">
        <f t="shared" ca="1" si="16"/>
        <v>#N/A</v>
      </c>
      <c r="DU22" t="e">
        <f t="shared" ca="1" si="17"/>
        <v>#N/A</v>
      </c>
      <c r="EO22" s="320" t="str">
        <f t="shared" ca="1" si="18"/>
        <v/>
      </c>
    </row>
    <row r="23" spans="2:174" ht="15.75" thickBot="1" x14ac:dyDescent="0.3">
      <c r="B23">
        <f t="shared" si="52"/>
        <v>5</v>
      </c>
      <c r="D23" s="112">
        <v>36312</v>
      </c>
      <c r="L23" s="112" t="str">
        <f ca="1">fronttibis!N41</f>
        <v/>
      </c>
      <c r="M23" s="112" t="str">
        <f ca="1">fronttibis!O41</f>
        <v/>
      </c>
      <c r="P23" s="270" t="str">
        <f t="shared" ca="1" si="53"/>
        <v/>
      </c>
      <c r="Q23" s="270" t="str">
        <f t="shared" ca="1" si="42"/>
        <v/>
      </c>
      <c r="R23" s="270" t="str">
        <f t="shared" ca="1" si="43"/>
        <v/>
      </c>
      <c r="S23" s="246"/>
      <c r="T23">
        <f>fronttibis!R44</f>
        <v>0</v>
      </c>
      <c r="U23" s="112">
        <f>fronttibis!S44</f>
        <v>0</v>
      </c>
      <c r="X23" s="112">
        <f t="shared" ca="1" si="7"/>
        <v>100000</v>
      </c>
      <c r="Z23">
        <f t="shared" si="44"/>
        <v>6</v>
      </c>
      <c r="AA23" s="112">
        <f t="shared" ca="1" si="8"/>
        <v>100000</v>
      </c>
      <c r="AD23" s="112">
        <f t="shared" ca="1" si="19"/>
        <v>100000</v>
      </c>
      <c r="AI23" s="112">
        <f t="shared" ca="1" si="20"/>
        <v>100000</v>
      </c>
      <c r="AJ23" s="112" t="str">
        <f t="shared" ca="1" si="45"/>
        <v>0-8 anni</v>
      </c>
      <c r="AM23">
        <f ca="1">VLOOKUP(AI23,Foglio1tibis!$AB$31:$AN$284,13)</f>
        <v>261</v>
      </c>
      <c r="AN23">
        <f t="shared" ca="1" si="21"/>
        <v>6</v>
      </c>
      <c r="AO23">
        <f t="shared" ca="1" si="22"/>
        <v>255</v>
      </c>
      <c r="AQ23" s="112">
        <f t="shared" ca="1" si="23"/>
        <v>100000</v>
      </c>
      <c r="AR23" s="112" cm="1">
        <f t="array" aca="1" ref="AR23" ca="1">INDIRECT(CONCATENATE($AP$15,$AR$16,AO23))</f>
        <v>45291</v>
      </c>
      <c r="AS23" t="str" cm="1">
        <f t="array" aca="1" ref="AS23" ca="1">INDIRECT(CONCATENATE($AP$15,$AS$16,AO23))</f>
        <v>0-2anni</v>
      </c>
      <c r="AT23" cm="1">
        <f t="array" aca="1" ref="AT23" ca="1">INDIRECT(CONCATENATE($AP$15,$AT$16,AO23))</f>
        <v>0</v>
      </c>
      <c r="AU23" cm="1">
        <f t="array" aca="1" ref="AU23" ca="1">INDIRECT(CONCATENATE($AP$15,$AU$16,AO23))</f>
        <v>14513.09</v>
      </c>
      <c r="AV23" cm="1">
        <f t="array" aca="1" ref="AV23" ca="1">INDIRECT(CONCATENATE($AP$15,$AV$16,AO23))</f>
        <v>0</v>
      </c>
      <c r="AW23" cm="1">
        <f t="array" aca="1" ref="AW23" ca="1">INDIRECT(CONCATENATE($AP$15,$AW$16,AO23))</f>
        <v>0</v>
      </c>
      <c r="AX23" cm="1">
        <f t="array" aca="1" ref="AX23" ca="1">INDIRECT(CONCATENATE($AP$15,$AX$16,AO23))</f>
        <v>6384.11</v>
      </c>
      <c r="AY23" cm="1">
        <f t="array" aca="1" ref="AY23" ca="1">INDIRECT(CONCATENATE($AP$15,$AY$16,AO23))</f>
        <v>104.49</v>
      </c>
      <c r="AZ23" cm="1">
        <f t="array" aca="1" ref="AZ23" ca="1">INDIRECT(CONCATENATE($AP$15,$AZ$16,AO23))</f>
        <v>1690.19</v>
      </c>
      <c r="BA23" cm="1">
        <f t="array" aca="1" ref="BA23" ca="1">INDIRECT(CONCATENATE($AP$15,$BA$16,AO23))</f>
        <v>2214</v>
      </c>
      <c r="BH23" t="str">
        <f t="shared" ca="1" si="24"/>
        <v>C.C.N.L. COMPARTO  SCUOLA del Dicembre 2022</v>
      </c>
      <c r="BJ23" t="str">
        <f t="shared" ca="1" si="25"/>
        <v/>
      </c>
      <c r="BL23" t="str">
        <f t="shared" ca="1" si="26"/>
        <v xml:space="preserve">ARTICOLO 
</v>
      </c>
      <c r="BM23" t="str">
        <f t="shared" ca="1" si="27"/>
        <v xml:space="preserve">Con decorrenza dal:14/10/2173 Spetta fascia:0-2anni  C.C.N.L. COMPARTO  SCUOLA del Dicembre 2022
</v>
      </c>
      <c r="BN23" t="str">
        <f t="shared" ca="1" si="28"/>
        <v xml:space="preserve">Retribuzione euro:20897,2
</v>
      </c>
      <c r="BO23" t="str">
        <f t="shared" ca="1" si="29"/>
        <v xml:space="preserve">I.V.C. euro:104,49
</v>
      </c>
      <c r="BP23" t="str">
        <f t="shared" ca="1" si="30"/>
        <v xml:space="preserve">R.P.D. euro:2214
</v>
      </c>
      <c r="BQ23" t="str">
        <f t="shared" ca="1" si="31"/>
        <v/>
      </c>
      <c r="BR23" t="str">
        <f t="shared" ca="1" si="32"/>
        <v xml:space="preserve">TOTALE EURO:23215,69
 altri assegni previsti per legge
</v>
      </c>
      <c r="CA23" t="str">
        <f t="shared" ca="1" si="9"/>
        <v/>
      </c>
      <c r="CH23" t="e">
        <f t="shared" si="46"/>
        <v>#N/A</v>
      </c>
      <c r="CI23" t="e">
        <f t="shared" si="47"/>
        <v>#N/A</v>
      </c>
      <c r="CJ23">
        <f t="shared" si="33"/>
        <v>6</v>
      </c>
      <c r="CK23" s="112">
        <v>36708</v>
      </c>
      <c r="CL23" s="238">
        <f t="shared" si="48"/>
        <v>23</v>
      </c>
      <c r="CM23" s="247">
        <f>aumentibiennali!K30</f>
        <v>0</v>
      </c>
      <c r="CN23" s="112" t="str">
        <f t="shared" si="34"/>
        <v>1/9/0</v>
      </c>
      <c r="CO23" s="112" t="str">
        <f t="shared" si="35"/>
        <v>31/8/0</v>
      </c>
      <c r="CP23" s="112" t="str">
        <f t="shared" si="10"/>
        <v/>
      </c>
      <c r="CQ23" s="238">
        <f t="shared" si="36"/>
        <v>0</v>
      </c>
      <c r="CR23" s="112" t="e" cm="1">
        <f t="array" aca="1" ref="CR23" ca="1">INDIRECT(CONCATENATE("ck",CQ23))</f>
        <v>#REF!</v>
      </c>
      <c r="CS23" s="112" t="e">
        <f t="shared" si="11"/>
        <v>#N/A</v>
      </c>
      <c r="CT23" s="112" t="str">
        <f>CP19</f>
        <v/>
      </c>
      <c r="CU23" s="114"/>
      <c r="CV23" s="112">
        <f t="shared" si="12"/>
        <v>100000</v>
      </c>
      <c r="CW23" s="112">
        <f t="shared" si="54"/>
        <v>100000</v>
      </c>
      <c r="CX23" s="238" t="e">
        <f ca="1">VLOOKUP(CZ23,Foglio1tibis!$AB$31:$AN$283,13)-6</f>
        <v>#N/A</v>
      </c>
      <c r="CY23" s="112" t="str">
        <f t="shared" si="49"/>
        <v/>
      </c>
      <c r="CZ23" s="477" t="str">
        <f t="shared" si="38"/>
        <v/>
      </c>
      <c r="DA23" s="479" t="str">
        <f t="shared" si="13"/>
        <v/>
      </c>
      <c r="DB23" s="112" t="str">
        <f t="shared" si="39"/>
        <v/>
      </c>
      <c r="DC23" s="114" t="e">
        <f t="shared" si="40"/>
        <v>#VALUE!</v>
      </c>
      <c r="DD23" s="114" t="str" cm="1">
        <f t="array" aca="1" ref="DD23" ca="1">IF(CY23="","",INDIRECT(CONCATENATE($AP$15,$AU$16,CX23)))</f>
        <v/>
      </c>
      <c r="DE23" s="114"/>
      <c r="DF23" s="114"/>
      <c r="DG23" s="114" t="e" cm="1">
        <f t="array" aca="1" ref="DG23" ca="1">INDIRECT(CONCATENATE($AP$15,$AX$16,CX23))</f>
        <v>#N/A</v>
      </c>
      <c r="DH23" s="114" t="e" cm="1">
        <f t="array" aca="1" ref="DH23" ca="1">INDIRECT(CONCATENATE($AP$15,$AY$16,CX23))</f>
        <v>#N/A</v>
      </c>
      <c r="DI23" s="114"/>
      <c r="DJ23" s="114" t="e" cm="1">
        <f t="array" aca="1" ref="DJ23" ca="1">INDIRECT(CONCATENATE($AP$15,$BA$16,CX23))</f>
        <v>#N/A</v>
      </c>
      <c r="DK23">
        <f t="shared" si="50"/>
        <v>0</v>
      </c>
      <c r="DL23" s="114">
        <f t="shared" si="41"/>
        <v>0</v>
      </c>
      <c r="DM23" s="114" t="e">
        <f t="shared" ca="1" si="14"/>
        <v>#N/A</v>
      </c>
      <c r="DN23">
        <f>aumentibiennali!K30</f>
        <v>0</v>
      </c>
      <c r="DO23" t="e">
        <f t="shared" ca="1" si="15"/>
        <v>#N/A</v>
      </c>
      <c r="DP23" t="e">
        <f t="shared" ca="1" si="16"/>
        <v>#N/A</v>
      </c>
      <c r="DU23" t="e">
        <f t="shared" ca="1" si="17"/>
        <v>#N/A</v>
      </c>
      <c r="EO23" s="320" t="str">
        <f t="shared" ca="1" si="18"/>
        <v/>
      </c>
      <c r="EP23" s="320"/>
      <c r="EQ23" s="320"/>
      <c r="ER23" s="320"/>
      <c r="ES23" s="320"/>
      <c r="ET23" s="320"/>
      <c r="EU23" s="320"/>
      <c r="EV23" s="320"/>
      <c r="EW23" s="320"/>
      <c r="EX23" s="320"/>
      <c r="EY23" s="320"/>
      <c r="EZ23" s="320"/>
      <c r="FA23" s="320"/>
      <c r="FB23" s="320"/>
      <c r="FC23" s="320"/>
      <c r="FD23" s="320"/>
      <c r="FE23" s="320"/>
      <c r="FF23" s="320"/>
      <c r="FG23" s="320"/>
      <c r="FH23" s="320"/>
      <c r="FI23" s="320"/>
      <c r="FJ23" s="320"/>
      <c r="FK23" s="320"/>
      <c r="FL23" s="320"/>
      <c r="FM23" s="320"/>
      <c r="FN23" s="320"/>
      <c r="FO23" s="320"/>
      <c r="FP23" s="320"/>
      <c r="FQ23" s="320"/>
      <c r="FR23" s="320"/>
    </row>
    <row r="24" spans="2:174" ht="15.75" thickBot="1" x14ac:dyDescent="0.3">
      <c r="B24">
        <f t="shared" si="52"/>
        <v>6</v>
      </c>
      <c r="D24" s="112">
        <v>36708</v>
      </c>
      <c r="L24" s="112" t="str">
        <f ca="1">fronttibis!N42</f>
        <v/>
      </c>
      <c r="M24" s="112" t="str">
        <f ca="1">fronttibis!O42</f>
        <v/>
      </c>
      <c r="P24" s="270" t="str">
        <f t="shared" ca="1" si="53"/>
        <v/>
      </c>
      <c r="Q24" s="270" t="str">
        <f t="shared" ca="1" si="42"/>
        <v/>
      </c>
      <c r="R24" s="270" t="str">
        <f t="shared" ca="1" si="43"/>
        <v/>
      </c>
      <c r="S24" s="246"/>
      <c r="T24">
        <f>fronttibis!R45</f>
        <v>0</v>
      </c>
      <c r="U24" s="112">
        <f>fronttibis!S45</f>
        <v>0</v>
      </c>
      <c r="X24" s="112">
        <f t="shared" ca="1" si="7"/>
        <v>100000</v>
      </c>
      <c r="Z24">
        <f t="shared" si="44"/>
        <v>7</v>
      </c>
      <c r="AA24" s="112">
        <f t="shared" ca="1" si="8"/>
        <v>100000</v>
      </c>
      <c r="AD24" s="112">
        <f t="shared" ca="1" si="19"/>
        <v>100000</v>
      </c>
      <c r="AI24" s="112">
        <f t="shared" ca="1" si="20"/>
        <v>100000</v>
      </c>
      <c r="AJ24" s="112" t="str">
        <f t="shared" ca="1" si="45"/>
        <v>0-8 anni</v>
      </c>
      <c r="AM24">
        <f ca="1">VLOOKUP(AI24,Foglio1tibis!$AB$31:$AN$284,13)</f>
        <v>261</v>
      </c>
      <c r="AN24">
        <f t="shared" ca="1" si="21"/>
        <v>6</v>
      </c>
      <c r="AO24">
        <f t="shared" ca="1" si="22"/>
        <v>255</v>
      </c>
      <c r="AQ24" s="112">
        <f t="shared" ca="1" si="23"/>
        <v>100000</v>
      </c>
      <c r="AR24" s="112" cm="1">
        <f t="array" aca="1" ref="AR24" ca="1">INDIRECT(CONCATENATE($AP$15,$AR$16,AO24))</f>
        <v>45291</v>
      </c>
      <c r="AS24" t="str" cm="1">
        <f t="array" aca="1" ref="AS24" ca="1">INDIRECT(CONCATENATE($AP$15,$AS$16,AO24))</f>
        <v>0-2anni</v>
      </c>
      <c r="AT24" cm="1">
        <f t="array" aca="1" ref="AT24" ca="1">INDIRECT(CONCATENATE($AP$15,$AT$16,AO24))</f>
        <v>0</v>
      </c>
      <c r="AU24" cm="1">
        <f t="array" aca="1" ref="AU24" ca="1">INDIRECT(CONCATENATE($AP$15,$AU$16,AO24))</f>
        <v>14513.09</v>
      </c>
      <c r="AV24" cm="1">
        <f t="array" aca="1" ref="AV24" ca="1">INDIRECT(CONCATENATE($AP$15,$AV$16,AO24))</f>
        <v>0</v>
      </c>
      <c r="AW24" cm="1">
        <f t="array" aca="1" ref="AW24" ca="1">INDIRECT(CONCATENATE($AP$15,$AW$16,AO24))</f>
        <v>0</v>
      </c>
      <c r="AX24" cm="1">
        <f t="array" aca="1" ref="AX24" ca="1">INDIRECT(CONCATENATE($AP$15,$AX$16,AO24))</f>
        <v>6384.11</v>
      </c>
      <c r="AY24" cm="1">
        <f t="array" aca="1" ref="AY24" ca="1">INDIRECT(CONCATENATE($AP$15,$AY$16,AO24))</f>
        <v>104.49</v>
      </c>
      <c r="AZ24" cm="1">
        <f t="array" aca="1" ref="AZ24" ca="1">INDIRECT(CONCATENATE($AP$15,$AZ$16,AO24))</f>
        <v>1690.19</v>
      </c>
      <c r="BA24" cm="1">
        <f t="array" aca="1" ref="BA24" ca="1">INDIRECT(CONCATENATE($AP$15,$BA$16,AO24))</f>
        <v>2214</v>
      </c>
      <c r="BH24" t="str">
        <f t="shared" ca="1" si="24"/>
        <v>C.C.N.L. COMPARTO  SCUOLA del Dicembre 2022</v>
      </c>
      <c r="BJ24" t="str">
        <f t="shared" ca="1" si="25"/>
        <v/>
      </c>
      <c r="BL24" t="str">
        <f t="shared" ca="1" si="26"/>
        <v xml:space="preserve">ARTICOLO 
</v>
      </c>
      <c r="BM24" t="str">
        <f t="shared" ca="1" si="27"/>
        <v xml:space="preserve">Con decorrenza dal:14/10/2173 Spetta fascia:0-2anni  C.C.N.L. COMPARTO  SCUOLA del Dicembre 2022
</v>
      </c>
      <c r="BN24" t="str">
        <f t="shared" ca="1" si="28"/>
        <v xml:space="preserve">Retribuzione euro:20897,2
</v>
      </c>
      <c r="BO24" t="str">
        <f t="shared" ca="1" si="29"/>
        <v xml:space="preserve">I.V.C. euro:104,49
</v>
      </c>
      <c r="BP24" t="str">
        <f t="shared" ca="1" si="30"/>
        <v xml:space="preserve">R.P.D. euro:2214
</v>
      </c>
      <c r="BQ24" t="str">
        <f t="shared" ca="1" si="31"/>
        <v/>
      </c>
      <c r="BR24" t="str">
        <f t="shared" ca="1" si="32"/>
        <v xml:space="preserve">TOTALE EURO:23215,69
 altri assegni previsti per legge
</v>
      </c>
      <c r="CA24" t="str">
        <f t="shared" ca="1" si="9"/>
        <v/>
      </c>
      <c r="CH24" t="e">
        <f t="shared" si="46"/>
        <v>#N/A</v>
      </c>
      <c r="CI24" t="e">
        <f t="shared" si="47"/>
        <v>#N/A</v>
      </c>
      <c r="CJ24">
        <f t="shared" si="33"/>
        <v>7</v>
      </c>
      <c r="CK24" s="112">
        <v>36770</v>
      </c>
      <c r="CL24" s="238">
        <f t="shared" si="48"/>
        <v>24</v>
      </c>
      <c r="CM24" s="247">
        <f>aumentibiennali!K31</f>
        <v>0</v>
      </c>
      <c r="CN24" s="112" t="str">
        <f t="shared" si="34"/>
        <v>1/9/0</v>
      </c>
      <c r="CO24" s="112" t="str">
        <f t="shared" si="35"/>
        <v>31/8/0</v>
      </c>
      <c r="CP24" s="112" t="str">
        <f t="shared" si="10"/>
        <v/>
      </c>
      <c r="CQ24" s="238">
        <f t="shared" si="36"/>
        <v>0</v>
      </c>
      <c r="CR24" s="112" t="e" cm="1">
        <f t="array" aca="1" ref="CR24" ca="1">INDIRECT(CONCATENATE("ck",CQ24))</f>
        <v>#REF!</v>
      </c>
      <c r="CS24" s="112" t="e">
        <f t="shared" si="11"/>
        <v>#N/A</v>
      </c>
      <c r="CT24" s="112" t="e">
        <f>HLOOKUP(CT23,$CN$11:$DO$14,2)</f>
        <v>#N/A</v>
      </c>
      <c r="CU24" s="114"/>
      <c r="CV24" s="112">
        <f t="shared" si="12"/>
        <v>100000</v>
      </c>
      <c r="CW24" s="112">
        <f t="shared" si="54"/>
        <v>100000</v>
      </c>
      <c r="CX24" s="238" t="e">
        <f ca="1">VLOOKUP(CZ24,Foglio1tibis!$AB$31:$AN$283,13)-6</f>
        <v>#N/A</v>
      </c>
      <c r="CY24" s="112" t="str">
        <f t="shared" si="49"/>
        <v/>
      </c>
      <c r="CZ24" s="477" t="str">
        <f t="shared" si="38"/>
        <v/>
      </c>
      <c r="DA24" s="479" t="str">
        <f t="shared" si="13"/>
        <v/>
      </c>
      <c r="DB24" s="112" t="str">
        <f t="shared" si="39"/>
        <v/>
      </c>
      <c r="DC24" s="114" t="e">
        <f t="shared" si="40"/>
        <v>#VALUE!</v>
      </c>
      <c r="DD24" s="114" t="str" cm="1">
        <f t="array" aca="1" ref="DD24" ca="1">IF(CY24="","",INDIRECT(CONCATENATE($AP$15,$AU$16,CX24)))</f>
        <v/>
      </c>
      <c r="DE24" s="114"/>
      <c r="DF24" s="114"/>
      <c r="DG24" s="114" t="e" cm="1">
        <f t="array" aca="1" ref="DG24" ca="1">INDIRECT(CONCATENATE($AP$15,$AX$16,CX24))</f>
        <v>#N/A</v>
      </c>
      <c r="DH24" s="114" t="e" cm="1">
        <f t="array" aca="1" ref="DH24" ca="1">INDIRECT(CONCATENATE($AP$15,$AY$16,CX24))</f>
        <v>#N/A</v>
      </c>
      <c r="DI24" s="114"/>
      <c r="DJ24" s="114" t="e" cm="1">
        <f t="array" aca="1" ref="DJ24" ca="1">INDIRECT(CONCATENATE($AP$15,$BA$16,CX24))</f>
        <v>#N/A</v>
      </c>
      <c r="DK24">
        <f t="shared" si="50"/>
        <v>0</v>
      </c>
      <c r="DL24" s="114">
        <f t="shared" si="41"/>
        <v>0</v>
      </c>
      <c r="DM24" s="114" t="e">
        <f ca="1">IF(TYPE(DL24)=16,0,               ROUND(    (DH24+DG24+DD24)*DL24/1000,2)                                  )</f>
        <v>#N/A</v>
      </c>
      <c r="DN24">
        <f>aumentibiennali!K31</f>
        <v>0</v>
      </c>
      <c r="DO24" t="e">
        <f ca="1">IF(DM24=0,"",CONCATENATE("--------------------------------","
","Con decorrenza dal:",DAY(CZ24),"/",MONTH(CZ24),"/",YEAR(CZ24),"  -  al:",DAY(DA24),"/",MONTH(DA24),"/",YEAR(DA24)," - SPETTA:","
","RETRIBUZIONE A.L. EURO:",DD24+DG24,"
","i.v.c. EURO:",DH24,"
","R.P.D. EURO:",DJ24,"
","
"))</f>
        <v>#N/A</v>
      </c>
      <c r="DP24" t="e">
        <f ca="1">IF(DM24=0,"",CONCATENATE("  Spettano euro:",DM24," PER ",DK24," aumenti biennali","
","da liquidare in rapporto al numero dei giorni e delle ore lavorate nel periodo. Giorni:",DC24,"/360"," - Ore:", "     /    "))</f>
        <v>#N/A</v>
      </c>
      <c r="DU24" t="e">
        <f ca="1">CONCATENATE("
",DO24,DP24,"
")</f>
        <v>#N/A</v>
      </c>
      <c r="EO24" s="320" t="str">
        <f ca="1">IF(TYPE(DU24)=16,"",DU24)</f>
        <v/>
      </c>
      <c r="EP24" s="320"/>
      <c r="EQ24" s="320"/>
      <c r="ER24" s="320"/>
      <c r="ES24" s="320"/>
      <c r="ET24" s="320"/>
      <c r="EU24" s="320"/>
      <c r="EV24" s="320"/>
      <c r="EW24" s="320"/>
      <c r="EX24" s="320"/>
      <c r="EY24" s="320"/>
      <c r="EZ24" s="320"/>
      <c r="FA24" s="320"/>
      <c r="FB24" s="320"/>
      <c r="FC24" s="320"/>
      <c r="FD24" s="320"/>
      <c r="FE24" s="320"/>
      <c r="FF24" s="320"/>
      <c r="FG24" s="320"/>
      <c r="FH24" s="320"/>
      <c r="FI24" s="320"/>
      <c r="FJ24" s="320"/>
      <c r="FK24" s="320"/>
      <c r="FL24" s="320"/>
      <c r="FM24" s="320"/>
      <c r="FN24" s="320"/>
      <c r="FO24" s="320"/>
      <c r="FP24" s="320"/>
      <c r="FQ24" s="320"/>
      <c r="FR24" s="320"/>
    </row>
    <row r="25" spans="2:174" ht="15.75" thickBot="1" x14ac:dyDescent="0.3">
      <c r="B25">
        <f t="shared" si="52"/>
        <v>7</v>
      </c>
      <c r="D25" s="112">
        <v>36770</v>
      </c>
      <c r="L25" s="112" t="str">
        <f ca="1">fronttibis!N43</f>
        <v/>
      </c>
      <c r="M25" s="112" t="str">
        <f ca="1">fronttibis!O43</f>
        <v/>
      </c>
      <c r="P25" s="270" t="str">
        <f t="shared" ca="1" si="53"/>
        <v/>
      </c>
      <c r="Q25" s="270" t="str">
        <f t="shared" ca="1" si="42"/>
        <v/>
      </c>
      <c r="R25" s="270" t="str">
        <f t="shared" ca="1" si="43"/>
        <v/>
      </c>
      <c r="S25" s="246"/>
      <c r="X25" s="112">
        <f t="shared" ca="1" si="7"/>
        <v>100000</v>
      </c>
      <c r="Z25">
        <f t="shared" si="44"/>
        <v>8</v>
      </c>
      <c r="AA25" s="112">
        <f t="shared" ca="1" si="8"/>
        <v>100000</v>
      </c>
      <c r="AD25" s="112">
        <f t="shared" ca="1" si="19"/>
        <v>100000</v>
      </c>
      <c r="AI25" s="112">
        <f t="shared" ca="1" si="20"/>
        <v>100000</v>
      </c>
      <c r="AJ25" s="112" t="str">
        <f t="shared" ca="1" si="45"/>
        <v>0-8 anni</v>
      </c>
      <c r="AM25">
        <f ca="1">VLOOKUP(AI25,Foglio1tibis!$AB$31:$AN$284,13)</f>
        <v>261</v>
      </c>
      <c r="AN25">
        <f t="shared" ca="1" si="21"/>
        <v>6</v>
      </c>
      <c r="AO25">
        <f t="shared" ca="1" si="22"/>
        <v>255</v>
      </c>
      <c r="AQ25" s="112">
        <f t="shared" ca="1" si="23"/>
        <v>100000</v>
      </c>
      <c r="AR25" s="112" cm="1">
        <f t="array" aca="1" ref="AR25" ca="1">INDIRECT(CONCATENATE($AP$15,$AR$16,AO25))</f>
        <v>45291</v>
      </c>
      <c r="AS25" t="str" cm="1">
        <f t="array" aca="1" ref="AS25" ca="1">INDIRECT(CONCATENATE($AP$15,$AS$16,AO25))</f>
        <v>0-2anni</v>
      </c>
      <c r="AT25" cm="1">
        <f t="array" aca="1" ref="AT25" ca="1">INDIRECT(CONCATENATE($AP$15,$AT$16,AO25))</f>
        <v>0</v>
      </c>
      <c r="AU25" cm="1">
        <f t="array" aca="1" ref="AU25" ca="1">INDIRECT(CONCATENATE($AP$15,$AU$16,AO25))</f>
        <v>14513.09</v>
      </c>
      <c r="AV25" cm="1">
        <f t="array" aca="1" ref="AV25" ca="1">INDIRECT(CONCATENATE($AP$15,$AV$16,AO25))</f>
        <v>0</v>
      </c>
      <c r="AW25" cm="1">
        <f t="array" aca="1" ref="AW25" ca="1">INDIRECT(CONCATENATE($AP$15,$AW$16,AO25))</f>
        <v>0</v>
      </c>
      <c r="AX25" cm="1">
        <f t="array" aca="1" ref="AX25" ca="1">INDIRECT(CONCATENATE($AP$15,$AX$16,AO25))</f>
        <v>6384.11</v>
      </c>
      <c r="AY25" cm="1">
        <f t="array" aca="1" ref="AY25" ca="1">INDIRECT(CONCATENATE($AP$15,$AY$16,AO25))</f>
        <v>104.49</v>
      </c>
      <c r="AZ25" cm="1">
        <f t="array" aca="1" ref="AZ25" ca="1">INDIRECT(CONCATENATE($AP$15,$AZ$16,AO25))</f>
        <v>1690.19</v>
      </c>
      <c r="BA25" cm="1">
        <f t="array" aca="1" ref="BA25" ca="1">INDIRECT(CONCATENATE($AP$15,$BA$16,AO25))</f>
        <v>2214</v>
      </c>
      <c r="BH25" t="str">
        <f t="shared" ca="1" si="24"/>
        <v>C.C.N.L. COMPARTO  SCUOLA del Dicembre 2022</v>
      </c>
      <c r="BJ25" t="str">
        <f t="shared" ca="1" si="25"/>
        <v/>
      </c>
      <c r="BL25" t="str">
        <f t="shared" ca="1" si="26"/>
        <v xml:space="preserve">ARTICOLO 
</v>
      </c>
      <c r="BM25" t="str">
        <f t="shared" ca="1" si="27"/>
        <v xml:space="preserve">Con decorrenza dal:14/10/2173 Spetta fascia:0-2anni  C.C.N.L. COMPARTO  SCUOLA del Dicembre 2022
</v>
      </c>
      <c r="BN25" t="str">
        <f t="shared" ca="1" si="28"/>
        <v xml:space="preserve">Retribuzione euro:20897,2
</v>
      </c>
      <c r="BO25" t="str">
        <f t="shared" ca="1" si="29"/>
        <v xml:space="preserve">I.V.C. euro:104,49
</v>
      </c>
      <c r="BP25" t="str">
        <f t="shared" ca="1" si="30"/>
        <v xml:space="preserve">R.P.D. euro:2214
</v>
      </c>
      <c r="BQ25" t="str">
        <f t="shared" ca="1" si="31"/>
        <v/>
      </c>
      <c r="BR25" t="str">
        <f t="shared" ca="1" si="32"/>
        <v xml:space="preserve">TOTALE EURO:23215,69
 altri assegni previsti per legge
</v>
      </c>
      <c r="CA25" t="str">
        <f t="shared" ca="1" si="9"/>
        <v/>
      </c>
      <c r="CH25" t="e">
        <f t="shared" si="46"/>
        <v>#N/A</v>
      </c>
      <c r="CI25" t="e">
        <f t="shared" si="47"/>
        <v>#N/A</v>
      </c>
      <c r="CJ25">
        <f t="shared" si="33"/>
        <v>8</v>
      </c>
      <c r="CK25" s="112">
        <v>36892</v>
      </c>
      <c r="CL25" s="238">
        <f t="shared" si="48"/>
        <v>25</v>
      </c>
      <c r="CM25" s="247">
        <f>aumentibiennali!K32</f>
        <v>0</v>
      </c>
      <c r="CN25" s="112" t="str">
        <f t="shared" si="34"/>
        <v>1/9/0</v>
      </c>
      <c r="CO25" s="112" t="str">
        <f t="shared" si="35"/>
        <v>31/8/0</v>
      </c>
      <c r="CP25" s="112" t="str">
        <f t="shared" si="10"/>
        <v/>
      </c>
      <c r="CQ25" s="238">
        <f t="shared" si="36"/>
        <v>0</v>
      </c>
      <c r="CR25" s="112" t="e" cm="1">
        <f t="array" aca="1" ref="CR25" ca="1">INDIRECT(CONCATENATE("ck",CQ25))</f>
        <v>#REF!</v>
      </c>
      <c r="CS25" s="112" t="e">
        <f t="shared" si="11"/>
        <v>#N/A</v>
      </c>
      <c r="CT25" s="112" t="e">
        <f>HLOOKUP(CT23,$CN$11:$DO$14,3)</f>
        <v>#N/A</v>
      </c>
      <c r="CU25" s="114"/>
      <c r="CV25" s="112">
        <f t="shared" si="12"/>
        <v>100000</v>
      </c>
      <c r="CW25" s="112">
        <f t="shared" si="54"/>
        <v>100000</v>
      </c>
      <c r="CX25" s="238" t="e">
        <f ca="1">VLOOKUP(CZ25,Foglio1tibis!$AB$31:$AN$283,13)-6</f>
        <v>#N/A</v>
      </c>
      <c r="CY25" s="112" t="str">
        <f t="shared" si="49"/>
        <v/>
      </c>
      <c r="CZ25" s="477" t="str">
        <f t="shared" si="38"/>
        <v/>
      </c>
      <c r="DA25" s="479" t="str">
        <f t="shared" si="13"/>
        <v/>
      </c>
      <c r="DB25" s="112" t="str">
        <f t="shared" si="39"/>
        <v/>
      </c>
      <c r="DC25" s="114" t="e">
        <f t="shared" si="40"/>
        <v>#VALUE!</v>
      </c>
      <c r="DD25" s="114" t="str" cm="1">
        <f t="array" aca="1" ref="DD25" ca="1">IF(CY25="","",INDIRECT(CONCATENATE($AP$15,$AU$16,CX25)))</f>
        <v/>
      </c>
      <c r="DE25" s="114"/>
      <c r="DF25" s="114"/>
      <c r="DG25" s="114" t="e" cm="1">
        <f t="array" aca="1" ref="DG25" ca="1">INDIRECT(CONCATENATE($AP$15,$AX$16,CX25))</f>
        <v>#N/A</v>
      </c>
      <c r="DH25" s="114" t="e" cm="1">
        <f t="array" aca="1" ref="DH25" ca="1">INDIRECT(CONCATENATE($AP$15,$AY$16,CX25))</f>
        <v>#N/A</v>
      </c>
      <c r="DI25" s="114"/>
      <c r="DJ25" s="114" t="e" cm="1">
        <f t="array" aca="1" ref="DJ25" ca="1">INDIRECT(CONCATENATE($AP$15,$BA$16,CX25))</f>
        <v>#N/A</v>
      </c>
      <c r="DK25">
        <f t="shared" ref="DK25:DK49" si="55">DL25/25</f>
        <v>0</v>
      </c>
      <c r="DL25" s="114">
        <f t="shared" si="41"/>
        <v>0</v>
      </c>
      <c r="DM25" s="114" t="e">
        <f t="shared" ref="DM25:DM36" ca="1" si="56">IF(TYPE(DL25)=16,0,               ROUND(    (DH25+DG25+DD25)*DL25/1000,2)                                  )</f>
        <v>#N/A</v>
      </c>
      <c r="DN25">
        <f>aumentibiennali!K32</f>
        <v>0</v>
      </c>
      <c r="DO25" t="e">
        <f t="shared" ref="DO25:DO36" ca="1" si="57">IF(DM25=0,"",CONCATENATE("--------------------------------","
","Con decorrenza dal:",DAY(CZ25),"/",MONTH(CZ25),"/",YEAR(CZ25),"  -  al:",DAY(DA25),"/",MONTH(DA25),"/",YEAR(DA25)," - SPETTA:","
","RETRIBUZIONE A.L. EURO:",DD25+DG25,"
","i.v.c. EURO:",DH25,"
","R.P.D. EURO:",DJ25,"
","
"))</f>
        <v>#N/A</v>
      </c>
      <c r="DP25" t="e">
        <f t="shared" ref="DP25:DP50" ca="1" si="58">IF(DM25=0,"",CONCATENATE("  Spettano euro:",DM25," PER ",DK25," aumenti biennali","
","da liquidare in rapporto al numero dei giorni e delle ore lavorate nel periodo. Giorni:",DC25,"/360"," - Ore:", "     /    "))</f>
        <v>#N/A</v>
      </c>
      <c r="DU25" t="e">
        <f ca="1">CONCATENATE("
",DO25,DP25,"
")</f>
        <v>#N/A</v>
      </c>
      <c r="EO25" s="320" t="str">
        <f t="shared" ref="EO25:EO50" ca="1" si="59">IF(TYPE(DU25)=16,"",DU25)</f>
        <v/>
      </c>
      <c r="EP25" s="320"/>
      <c r="EQ25" s="320"/>
      <c r="ER25" s="320"/>
      <c r="ES25" s="320"/>
      <c r="ET25" s="320"/>
      <c r="EU25" s="320"/>
      <c r="EV25" s="320"/>
      <c r="EW25" s="320"/>
      <c r="EX25" s="320"/>
      <c r="EY25" s="320"/>
      <c r="EZ25" s="320"/>
      <c r="FA25" s="320"/>
      <c r="FB25" s="320"/>
      <c r="FC25" s="320"/>
      <c r="FD25" s="320"/>
      <c r="FE25" s="320"/>
      <c r="FF25" s="320"/>
      <c r="FG25" s="320"/>
      <c r="FH25" s="320"/>
      <c r="FI25" s="320"/>
      <c r="FJ25" s="320"/>
      <c r="FK25" s="320"/>
      <c r="FL25" s="320"/>
      <c r="FM25" s="320"/>
      <c r="FN25" s="320"/>
      <c r="FO25" s="320"/>
      <c r="FP25" s="320"/>
      <c r="FQ25" s="320"/>
      <c r="FR25" s="320"/>
    </row>
    <row r="26" spans="2:174" ht="15.75" thickBot="1" x14ac:dyDescent="0.3">
      <c r="B26">
        <f t="shared" si="52"/>
        <v>8</v>
      </c>
      <c r="D26" s="112">
        <v>36892</v>
      </c>
      <c r="L26" s="112"/>
      <c r="M26" s="112"/>
      <c r="P26" s="270"/>
      <c r="Q26" s="270"/>
      <c r="R26" s="270"/>
      <c r="S26" s="246"/>
      <c r="X26" s="112">
        <f t="shared" ca="1" si="7"/>
        <v>100000</v>
      </c>
      <c r="Z26">
        <f t="shared" si="44"/>
        <v>9</v>
      </c>
      <c r="AA26" s="112">
        <f t="shared" ca="1" si="8"/>
        <v>100000</v>
      </c>
      <c r="AD26" s="112">
        <f t="shared" ca="1" si="19"/>
        <v>100000</v>
      </c>
      <c r="AI26" s="112">
        <f t="shared" ca="1" si="20"/>
        <v>100000</v>
      </c>
      <c r="AJ26" s="112" t="str">
        <f t="shared" ca="1" si="45"/>
        <v>0-8 anni</v>
      </c>
      <c r="AM26">
        <f ca="1">VLOOKUP(AI26,Foglio1tibis!$AB$31:$AN$284,13)</f>
        <v>261</v>
      </c>
      <c r="AN26">
        <f t="shared" ca="1" si="21"/>
        <v>6</v>
      </c>
      <c r="AO26">
        <f t="shared" ca="1" si="22"/>
        <v>255</v>
      </c>
      <c r="AQ26" s="112">
        <f t="shared" ca="1" si="23"/>
        <v>100000</v>
      </c>
      <c r="AR26" s="112" cm="1">
        <f t="array" aca="1" ref="AR26" ca="1">INDIRECT(CONCATENATE($AP$15,$AR$16,AO26))</f>
        <v>45291</v>
      </c>
      <c r="AS26" t="str" cm="1">
        <f t="array" aca="1" ref="AS26" ca="1">INDIRECT(CONCATENATE($AP$15,$AS$16,AO26))</f>
        <v>0-2anni</v>
      </c>
      <c r="AT26" cm="1">
        <f t="array" aca="1" ref="AT26" ca="1">INDIRECT(CONCATENATE($AP$15,$AT$16,AO26))</f>
        <v>0</v>
      </c>
      <c r="AU26" cm="1">
        <f t="array" aca="1" ref="AU26" ca="1">INDIRECT(CONCATENATE($AP$15,$AU$16,AO26))</f>
        <v>14513.09</v>
      </c>
      <c r="AV26" cm="1">
        <f t="array" aca="1" ref="AV26" ca="1">INDIRECT(CONCATENATE($AP$15,$AV$16,AO26))</f>
        <v>0</v>
      </c>
      <c r="AW26" cm="1">
        <f t="array" aca="1" ref="AW26" ca="1">INDIRECT(CONCATENATE($AP$15,$AW$16,AO26))</f>
        <v>0</v>
      </c>
      <c r="AX26" cm="1">
        <f t="array" aca="1" ref="AX26" ca="1">INDIRECT(CONCATENATE($AP$15,$AX$16,AO26))</f>
        <v>6384.11</v>
      </c>
      <c r="AY26" cm="1">
        <f t="array" aca="1" ref="AY26" ca="1">INDIRECT(CONCATENATE($AP$15,$AY$16,AO26))</f>
        <v>104.49</v>
      </c>
      <c r="AZ26" cm="1">
        <f t="array" aca="1" ref="AZ26" ca="1">INDIRECT(CONCATENATE($AP$15,$AZ$16,AO26))</f>
        <v>1690.19</v>
      </c>
      <c r="BA26" cm="1">
        <f t="array" aca="1" ref="BA26" ca="1">INDIRECT(CONCATENATE($AP$15,$BA$16,AO26))</f>
        <v>2214</v>
      </c>
      <c r="BH26" t="str">
        <f t="shared" ca="1" si="24"/>
        <v>C.C.N.L. COMPARTO  SCUOLA del Dicembre 2022</v>
      </c>
      <c r="BJ26" t="str">
        <f t="shared" ca="1" si="25"/>
        <v/>
      </c>
      <c r="BL26" t="str">
        <f t="shared" ca="1" si="26"/>
        <v xml:space="preserve">ARTICOLO 
</v>
      </c>
      <c r="BM26" t="str">
        <f t="shared" ca="1" si="27"/>
        <v xml:space="preserve">Con decorrenza dal:14/10/2173 Spetta fascia:0-2anni  C.C.N.L. COMPARTO  SCUOLA del Dicembre 2022
</v>
      </c>
      <c r="BN26" t="str">
        <f t="shared" ca="1" si="28"/>
        <v xml:space="preserve">Retribuzione euro:20897,2
</v>
      </c>
      <c r="BO26" t="str">
        <f t="shared" ca="1" si="29"/>
        <v xml:space="preserve">I.V.C. euro:104,49
</v>
      </c>
      <c r="BP26" t="str">
        <f t="shared" ca="1" si="30"/>
        <v xml:space="preserve">R.P.D. euro:2214
</v>
      </c>
      <c r="BQ26" t="str">
        <f t="shared" ca="1" si="31"/>
        <v/>
      </c>
      <c r="BR26" t="str">
        <f t="shared" ca="1" si="32"/>
        <v xml:space="preserve">TOTALE EURO:23215,69
 altri assegni previsti per legge
</v>
      </c>
      <c r="CA26" t="str">
        <f t="shared" ca="1" si="9"/>
        <v/>
      </c>
      <c r="CH26" t="e">
        <f t="shared" si="46"/>
        <v>#N/A</v>
      </c>
      <c r="CI26" t="e">
        <f t="shared" si="47"/>
        <v>#N/A</v>
      </c>
      <c r="CJ26">
        <f t="shared" si="33"/>
        <v>9</v>
      </c>
      <c r="CK26" s="112">
        <v>37257</v>
      </c>
      <c r="CL26" s="238">
        <f t="shared" si="48"/>
        <v>26</v>
      </c>
      <c r="CM26" s="247">
        <f>aumentibiennali!K33</f>
        <v>0</v>
      </c>
      <c r="CN26" s="112" t="str">
        <f t="shared" si="34"/>
        <v>1/9/0</v>
      </c>
      <c r="CO26" s="112" t="str">
        <f t="shared" si="35"/>
        <v>31/8/0</v>
      </c>
      <c r="CP26" s="112" t="str">
        <f t="shared" si="10"/>
        <v/>
      </c>
      <c r="CQ26" s="238">
        <f t="shared" si="36"/>
        <v>0</v>
      </c>
      <c r="CR26" s="112" t="e" cm="1">
        <f t="array" aca="1" ref="CR26" ca="1">INDIRECT(CONCATENATE("ck",CQ26))</f>
        <v>#REF!</v>
      </c>
      <c r="CS26" s="112" t="e">
        <f t="shared" si="11"/>
        <v>#N/A</v>
      </c>
      <c r="CT26" s="112" t="e">
        <f>HLOOKUP(CT23,$CN$11:$DO$14,4)</f>
        <v>#N/A</v>
      </c>
      <c r="CU26" s="114"/>
      <c r="CV26" s="112">
        <f t="shared" si="12"/>
        <v>100000</v>
      </c>
      <c r="CW26" s="112">
        <f t="shared" si="54"/>
        <v>100000</v>
      </c>
      <c r="CX26" s="238" t="e">
        <f ca="1">VLOOKUP(CZ26,Foglio1tibis!$AB$31:$AN$283,13)-6</f>
        <v>#N/A</v>
      </c>
      <c r="CY26" s="112" t="str">
        <f t="shared" si="49"/>
        <v/>
      </c>
      <c r="CZ26" s="477" t="str">
        <f t="shared" si="38"/>
        <v/>
      </c>
      <c r="DA26" s="479" t="str">
        <f t="shared" si="13"/>
        <v/>
      </c>
      <c r="DB26" s="112" t="str">
        <f t="shared" si="39"/>
        <v/>
      </c>
      <c r="DC26" s="114" t="e">
        <f t="shared" si="40"/>
        <v>#VALUE!</v>
      </c>
      <c r="DD26" s="114" t="str" cm="1">
        <f t="array" aca="1" ref="DD26" ca="1">IF(CY26="","",INDIRECT(CONCATENATE($AP$15,$AU$16,CX26)))</f>
        <v/>
      </c>
      <c r="DE26" s="114"/>
      <c r="DF26" s="114"/>
      <c r="DG26" s="114" t="e" cm="1">
        <f t="array" aca="1" ref="DG26" ca="1">INDIRECT(CONCATENATE($AP$15,$AX$16,CX26))</f>
        <v>#N/A</v>
      </c>
      <c r="DH26" s="114" t="e" cm="1">
        <f t="array" aca="1" ref="DH26" ca="1">INDIRECT(CONCATENATE($AP$15,$AY$16,CX26))</f>
        <v>#N/A</v>
      </c>
      <c r="DI26" s="114"/>
      <c r="DJ26" s="114" t="e" cm="1">
        <f t="array" aca="1" ref="DJ26" ca="1">INDIRECT(CONCATENATE($AP$15,$BA$16,CX26))</f>
        <v>#N/A</v>
      </c>
      <c r="DK26">
        <f t="shared" si="55"/>
        <v>0</v>
      </c>
      <c r="DL26" s="114">
        <f t="shared" si="41"/>
        <v>0</v>
      </c>
      <c r="DM26" s="114" t="e">
        <f t="shared" ca="1" si="56"/>
        <v>#N/A</v>
      </c>
      <c r="DN26">
        <f>aumentibiennali!K33</f>
        <v>0</v>
      </c>
      <c r="DO26" t="e">
        <f t="shared" ca="1" si="57"/>
        <v>#N/A</v>
      </c>
      <c r="DP26" t="e">
        <f t="shared" ca="1" si="58"/>
        <v>#N/A</v>
      </c>
      <c r="DU26" t="e">
        <f t="shared" ref="DU26:DU36" ca="1" si="60">CONCATENATE(DO26,DP26,"
")</f>
        <v>#N/A</v>
      </c>
      <c r="EO26" s="320" t="str">
        <f t="shared" ca="1" si="59"/>
        <v/>
      </c>
      <c r="EP26" s="320"/>
      <c r="EQ26" s="320"/>
      <c r="ER26" s="320"/>
      <c r="ES26" s="320"/>
      <c r="ET26" s="320"/>
      <c r="EU26" s="320"/>
      <c r="EV26" s="320"/>
      <c r="EW26" s="320"/>
      <c r="EX26" s="320"/>
      <c r="EY26" s="320"/>
      <c r="EZ26" s="320"/>
      <c r="FA26" s="320"/>
      <c r="FB26" s="320"/>
      <c r="FC26" s="320"/>
      <c r="FD26" s="320"/>
      <c r="FE26" s="320"/>
      <c r="FF26" s="320"/>
      <c r="FG26" s="320"/>
      <c r="FH26" s="320"/>
      <c r="FI26" s="320"/>
      <c r="FJ26" s="320"/>
      <c r="FK26" s="320"/>
      <c r="FL26" s="320"/>
      <c r="FM26" s="320"/>
      <c r="FN26" s="320"/>
      <c r="FO26" s="320"/>
      <c r="FP26" s="320"/>
      <c r="FQ26" s="320"/>
      <c r="FR26" s="320"/>
    </row>
    <row r="27" spans="2:174" ht="15.75" thickBot="1" x14ac:dyDescent="0.3">
      <c r="B27">
        <f t="shared" si="52"/>
        <v>9</v>
      </c>
      <c r="D27" s="112">
        <v>37257</v>
      </c>
      <c r="P27" s="270"/>
      <c r="Q27" s="246"/>
      <c r="R27" s="246"/>
      <c r="S27" s="246"/>
      <c r="X27" s="112">
        <f t="shared" ca="1" si="7"/>
        <v>100000</v>
      </c>
      <c r="Z27">
        <f t="shared" si="44"/>
        <v>10</v>
      </c>
      <c r="AA27" s="112">
        <f t="shared" ca="1" si="8"/>
        <v>100000</v>
      </c>
      <c r="AD27" s="112">
        <f t="shared" ca="1" si="19"/>
        <v>100000</v>
      </c>
      <c r="AI27" s="112">
        <f t="shared" ca="1" si="20"/>
        <v>100000</v>
      </c>
      <c r="AJ27" s="112" t="str">
        <f t="shared" ca="1" si="45"/>
        <v>0-8 anni</v>
      </c>
      <c r="AM27">
        <f ca="1">VLOOKUP(AI27,Foglio1tibis!$AB$31:$AN$284,13)</f>
        <v>261</v>
      </c>
      <c r="AN27">
        <f t="shared" ca="1" si="21"/>
        <v>6</v>
      </c>
      <c r="AO27">
        <f t="shared" ca="1" si="22"/>
        <v>255</v>
      </c>
      <c r="AQ27" s="112">
        <f t="shared" ca="1" si="23"/>
        <v>100000</v>
      </c>
      <c r="AR27" s="112" cm="1">
        <f t="array" aca="1" ref="AR27" ca="1">INDIRECT(CONCATENATE($AP$15,$AR$16,AO27))</f>
        <v>45291</v>
      </c>
      <c r="AS27" t="str" cm="1">
        <f t="array" aca="1" ref="AS27" ca="1">INDIRECT(CONCATENATE($AP$15,$AS$16,AO27))</f>
        <v>0-2anni</v>
      </c>
      <c r="AT27" cm="1">
        <f t="array" aca="1" ref="AT27" ca="1">INDIRECT(CONCATENATE($AP$15,$AT$16,AO27))</f>
        <v>0</v>
      </c>
      <c r="AU27" cm="1">
        <f t="array" aca="1" ref="AU27" ca="1">INDIRECT(CONCATENATE($AP$15,$AU$16,AO27))</f>
        <v>14513.09</v>
      </c>
      <c r="AV27" cm="1">
        <f t="array" aca="1" ref="AV27" ca="1">INDIRECT(CONCATENATE($AP$15,$AV$16,AO27))</f>
        <v>0</v>
      </c>
      <c r="AW27" cm="1">
        <f t="array" aca="1" ref="AW27" ca="1">INDIRECT(CONCATENATE($AP$15,$AW$16,AO27))</f>
        <v>0</v>
      </c>
      <c r="AX27" cm="1">
        <f t="array" aca="1" ref="AX27" ca="1">INDIRECT(CONCATENATE($AP$15,$AX$16,AO27))</f>
        <v>6384.11</v>
      </c>
      <c r="AY27" cm="1">
        <f t="array" aca="1" ref="AY27" ca="1">INDIRECT(CONCATENATE($AP$15,$AY$16,AO27))</f>
        <v>104.49</v>
      </c>
      <c r="AZ27" cm="1">
        <f t="array" aca="1" ref="AZ27" ca="1">INDIRECT(CONCATENATE($AP$15,$AZ$16,AO27))</f>
        <v>1690.19</v>
      </c>
      <c r="BA27" cm="1">
        <f t="array" aca="1" ref="BA27" ca="1">INDIRECT(CONCATENATE($AP$15,$BA$16,AO27))</f>
        <v>2214</v>
      </c>
      <c r="BH27" t="str">
        <f t="shared" ca="1" si="24"/>
        <v>C.C.N.L. COMPARTO  SCUOLA del Dicembre 2022</v>
      </c>
      <c r="BJ27" t="str">
        <f t="shared" ca="1" si="25"/>
        <v/>
      </c>
      <c r="BL27" t="str">
        <f t="shared" ca="1" si="26"/>
        <v xml:space="preserve">ARTICOLO 
</v>
      </c>
      <c r="BM27" t="str">
        <f t="shared" ca="1" si="27"/>
        <v xml:space="preserve">Con decorrenza dal:14/10/2173 Spetta fascia:0-2anni  C.C.N.L. COMPARTO  SCUOLA del Dicembre 2022
</v>
      </c>
      <c r="BN27" t="str">
        <f t="shared" ca="1" si="28"/>
        <v xml:space="preserve">Retribuzione euro:20897,2
</v>
      </c>
      <c r="BO27" t="str">
        <f t="shared" ca="1" si="29"/>
        <v xml:space="preserve">I.V.C. euro:104,49
</v>
      </c>
      <c r="BP27" t="str">
        <f t="shared" ca="1" si="30"/>
        <v xml:space="preserve">R.P.D. euro:2214
</v>
      </c>
      <c r="BQ27" t="str">
        <f t="shared" ca="1" si="31"/>
        <v/>
      </c>
      <c r="BR27" t="str">
        <f t="shared" ca="1" si="32"/>
        <v xml:space="preserve">TOTALE EURO:23215,69
 altri assegni previsti per legge
</v>
      </c>
      <c r="CA27" t="str">
        <f t="shared" ca="1" si="9"/>
        <v/>
      </c>
      <c r="CH27" t="e">
        <f t="shared" si="46"/>
        <v>#N/A</v>
      </c>
      <c r="CI27" t="e">
        <f t="shared" si="47"/>
        <v>#N/A</v>
      </c>
      <c r="CJ27">
        <f t="shared" si="33"/>
        <v>10</v>
      </c>
      <c r="CK27" s="112">
        <v>37622</v>
      </c>
      <c r="CL27" s="238">
        <f t="shared" si="48"/>
        <v>27</v>
      </c>
      <c r="CM27" s="247">
        <f>aumentibiennali!K34</f>
        <v>0</v>
      </c>
      <c r="CN27" s="112" t="str">
        <f t="shared" si="34"/>
        <v>1/9/0</v>
      </c>
      <c r="CO27" s="112" t="str">
        <f t="shared" si="35"/>
        <v>31/8/0</v>
      </c>
      <c r="CP27" s="112" t="str">
        <f t="shared" si="10"/>
        <v/>
      </c>
      <c r="CQ27" s="238">
        <f t="shared" si="36"/>
        <v>0</v>
      </c>
      <c r="CR27" s="112" t="e" cm="1">
        <f t="array" aca="1" ref="CR27" ca="1">INDIRECT(CONCATENATE("ck",CQ27))</f>
        <v>#REF!</v>
      </c>
      <c r="CS27" s="112" t="e">
        <f t="shared" si="11"/>
        <v>#N/A</v>
      </c>
      <c r="CT27" s="112" t="str">
        <f>CP20</f>
        <v/>
      </c>
      <c r="CU27" s="114"/>
      <c r="CV27" s="112">
        <f t="shared" si="12"/>
        <v>100000</v>
      </c>
      <c r="CW27" s="112">
        <f t="shared" si="54"/>
        <v>100000</v>
      </c>
      <c r="CX27" s="238" t="e">
        <f ca="1">VLOOKUP(CZ27,Foglio1tibis!$AB$31:$AN$283,13)-6</f>
        <v>#N/A</v>
      </c>
      <c r="CY27" s="112" t="str">
        <f t="shared" si="49"/>
        <v/>
      </c>
      <c r="CZ27" s="477" t="str">
        <f t="shared" si="38"/>
        <v/>
      </c>
      <c r="DA27" s="479" t="str">
        <f t="shared" si="13"/>
        <v/>
      </c>
      <c r="DB27" s="112" t="str">
        <f t="shared" si="39"/>
        <v/>
      </c>
      <c r="DC27" s="114" t="e">
        <f t="shared" si="40"/>
        <v>#VALUE!</v>
      </c>
      <c r="DD27" s="114" t="str" cm="1">
        <f t="array" aca="1" ref="DD27" ca="1">IF(CY27="","",INDIRECT(CONCATENATE($AP$15,$AU$16,CX27)))</f>
        <v/>
      </c>
      <c r="DE27" s="114"/>
      <c r="DF27" s="114"/>
      <c r="DG27" s="114" t="e" cm="1">
        <f t="array" aca="1" ref="DG27" ca="1">INDIRECT(CONCATENATE($AP$15,$AX$16,CX27))</f>
        <v>#N/A</v>
      </c>
      <c r="DH27" s="114" t="e" cm="1">
        <f t="array" aca="1" ref="DH27" ca="1">INDIRECT(CONCATENATE($AP$15,$AY$16,CX27))</f>
        <v>#N/A</v>
      </c>
      <c r="DI27" s="114"/>
      <c r="DJ27" s="114" t="e" cm="1">
        <f t="array" aca="1" ref="DJ27" ca="1">INDIRECT(CONCATENATE($AP$15,$BA$16,CX27))</f>
        <v>#N/A</v>
      </c>
      <c r="DK27">
        <f t="shared" si="55"/>
        <v>0</v>
      </c>
      <c r="DL27" s="114">
        <f t="shared" si="41"/>
        <v>0</v>
      </c>
      <c r="DM27" s="114" t="e">
        <f t="shared" ca="1" si="56"/>
        <v>#N/A</v>
      </c>
      <c r="DN27">
        <f>aumentibiennali!K34</f>
        <v>0</v>
      </c>
      <c r="DO27" t="e">
        <f t="shared" ca="1" si="57"/>
        <v>#N/A</v>
      </c>
      <c r="DP27" t="e">
        <f t="shared" ca="1" si="58"/>
        <v>#N/A</v>
      </c>
      <c r="DU27" t="e">
        <f t="shared" ca="1" si="60"/>
        <v>#N/A</v>
      </c>
      <c r="EO27" s="320" t="str">
        <f t="shared" ca="1" si="59"/>
        <v/>
      </c>
      <c r="EP27" s="320"/>
      <c r="EQ27" s="320"/>
      <c r="ER27" s="320"/>
      <c r="ES27" s="320"/>
      <c r="ET27" s="320"/>
      <c r="EU27" s="320"/>
      <c r="EV27" s="320"/>
      <c r="EW27" s="320"/>
      <c r="EX27" s="320"/>
      <c r="EY27" s="320"/>
      <c r="EZ27" s="320"/>
      <c r="FA27" s="320"/>
      <c r="FB27" s="320"/>
      <c r="FC27" s="320"/>
      <c r="FD27" s="320"/>
      <c r="FE27" s="320"/>
      <c r="FF27" s="320"/>
      <c r="FG27" s="320"/>
      <c r="FH27" s="320"/>
      <c r="FI27" s="320"/>
      <c r="FJ27" s="320"/>
      <c r="FK27" s="320"/>
      <c r="FL27" s="320"/>
      <c r="FM27" s="320"/>
      <c r="FN27" s="320"/>
      <c r="FO27" s="320"/>
      <c r="FP27" s="320"/>
      <c r="FQ27" s="320"/>
      <c r="FR27" s="320"/>
    </row>
    <row r="28" spans="2:174" ht="15.75" thickBot="1" x14ac:dyDescent="0.3">
      <c r="B28">
        <f t="shared" si="52"/>
        <v>10</v>
      </c>
      <c r="D28" s="112">
        <v>37622</v>
      </c>
      <c r="X28" s="112">
        <f t="shared" ca="1" si="7"/>
        <v>100000</v>
      </c>
      <c r="Z28">
        <f t="shared" si="44"/>
        <v>11</v>
      </c>
      <c r="AA28" s="112">
        <f t="shared" ca="1" si="8"/>
        <v>100000</v>
      </c>
      <c r="AD28" s="112">
        <f t="shared" ca="1" si="19"/>
        <v>100000</v>
      </c>
      <c r="AI28" s="112">
        <f t="shared" ca="1" si="20"/>
        <v>100000</v>
      </c>
      <c r="AJ28" s="112" t="str">
        <f t="shared" ca="1" si="45"/>
        <v>0-8 anni</v>
      </c>
      <c r="AM28">
        <f ca="1">VLOOKUP(AI28,Foglio1tibis!$AB$31:$AN$284,13)</f>
        <v>261</v>
      </c>
      <c r="AN28">
        <f t="shared" ca="1" si="21"/>
        <v>6</v>
      </c>
      <c r="AO28">
        <f t="shared" ca="1" si="22"/>
        <v>255</v>
      </c>
      <c r="AQ28" s="112">
        <f t="shared" ca="1" si="23"/>
        <v>100000</v>
      </c>
      <c r="AR28" s="112" cm="1">
        <f t="array" aca="1" ref="AR28" ca="1">INDIRECT(CONCATENATE($AP$15,$AR$16,AO28))</f>
        <v>45291</v>
      </c>
      <c r="AS28" t="str" cm="1">
        <f t="array" aca="1" ref="AS28" ca="1">INDIRECT(CONCATENATE($AP$15,$AS$16,AO28))</f>
        <v>0-2anni</v>
      </c>
      <c r="AT28" cm="1">
        <f t="array" aca="1" ref="AT28" ca="1">INDIRECT(CONCATENATE($AP$15,$AT$16,AO28))</f>
        <v>0</v>
      </c>
      <c r="AU28" cm="1">
        <f t="array" aca="1" ref="AU28" ca="1">INDIRECT(CONCATENATE($AP$15,$AU$16,AO28))</f>
        <v>14513.09</v>
      </c>
      <c r="AV28" cm="1">
        <f t="array" aca="1" ref="AV28" ca="1">INDIRECT(CONCATENATE($AP$15,$AV$16,AO28))</f>
        <v>0</v>
      </c>
      <c r="AW28" cm="1">
        <f t="array" aca="1" ref="AW28" ca="1">INDIRECT(CONCATENATE($AP$15,$AW$16,AO28))</f>
        <v>0</v>
      </c>
      <c r="AX28" cm="1">
        <f t="array" aca="1" ref="AX28" ca="1">INDIRECT(CONCATENATE($AP$15,$AX$16,AO28))</f>
        <v>6384.11</v>
      </c>
      <c r="AY28" cm="1">
        <f t="array" aca="1" ref="AY28" ca="1">INDIRECT(CONCATENATE($AP$15,$AY$16,AO28))</f>
        <v>104.49</v>
      </c>
      <c r="AZ28" cm="1">
        <f t="array" aca="1" ref="AZ28" ca="1">INDIRECT(CONCATENATE($AP$15,$AZ$16,AO28))</f>
        <v>1690.19</v>
      </c>
      <c r="BA28" cm="1">
        <f t="array" aca="1" ref="BA28" ca="1">INDIRECT(CONCATENATE($AP$15,$BA$16,AO28))</f>
        <v>2214</v>
      </c>
      <c r="BH28" t="str">
        <f t="shared" ca="1" si="24"/>
        <v>C.C.N.L. COMPARTO  SCUOLA del Dicembre 2022</v>
      </c>
      <c r="BJ28" t="str">
        <f t="shared" ca="1" si="25"/>
        <v/>
      </c>
      <c r="BL28" t="str">
        <f t="shared" ca="1" si="26"/>
        <v xml:space="preserve">ARTICOLO 
</v>
      </c>
      <c r="BM28" t="str">
        <f t="shared" ca="1" si="27"/>
        <v xml:space="preserve">Con decorrenza dal:14/10/2173 Spetta fascia:0-2anni  C.C.N.L. COMPARTO  SCUOLA del Dicembre 2022
</v>
      </c>
      <c r="BN28" t="str">
        <f t="shared" ca="1" si="28"/>
        <v xml:space="preserve">Retribuzione euro:20897,2
</v>
      </c>
      <c r="BO28" t="str">
        <f t="shared" ca="1" si="29"/>
        <v xml:space="preserve">I.V.C. euro:104,49
</v>
      </c>
      <c r="BP28" t="str">
        <f t="shared" ca="1" si="30"/>
        <v xml:space="preserve">R.P.D. euro:2214
</v>
      </c>
      <c r="BQ28" t="str">
        <f t="shared" ca="1" si="31"/>
        <v/>
      </c>
      <c r="BR28" t="str">
        <f t="shared" ca="1" si="32"/>
        <v xml:space="preserve">TOTALE EURO:23215,69
 altri assegni previsti per legge
</v>
      </c>
      <c r="CA28" t="str">
        <f t="shared" ca="1" si="9"/>
        <v/>
      </c>
      <c r="CH28" t="e">
        <f t="shared" si="46"/>
        <v>#N/A</v>
      </c>
      <c r="CI28" t="e">
        <f t="shared" si="47"/>
        <v>#N/A</v>
      </c>
      <c r="CJ28">
        <f t="shared" si="33"/>
        <v>11</v>
      </c>
      <c r="CK28" s="112">
        <v>37987</v>
      </c>
      <c r="CL28" s="238">
        <f t="shared" si="48"/>
        <v>28</v>
      </c>
      <c r="CM28" s="247">
        <f>aumentibiennali!K35</f>
        <v>0</v>
      </c>
      <c r="CN28" s="112" t="str">
        <f t="shared" si="34"/>
        <v>1/9/0</v>
      </c>
      <c r="CO28" s="112" t="str">
        <f t="shared" si="35"/>
        <v>31/8/0</v>
      </c>
      <c r="CP28" s="112" t="str">
        <f t="shared" si="10"/>
        <v/>
      </c>
      <c r="CQ28" s="238">
        <f t="shared" si="36"/>
        <v>0</v>
      </c>
      <c r="CR28" s="112" t="e" cm="1">
        <f t="array" aca="1" ref="CR28" ca="1">INDIRECT(CONCATENATE("ck",CQ28))</f>
        <v>#REF!</v>
      </c>
      <c r="CS28" s="112" t="e">
        <f t="shared" si="11"/>
        <v>#N/A</v>
      </c>
      <c r="CT28" s="112" t="e">
        <f>HLOOKUP(CT27,$CN$11:$DO$14,2)</f>
        <v>#N/A</v>
      </c>
      <c r="CU28" s="114"/>
      <c r="CV28" s="112">
        <f t="shared" si="12"/>
        <v>100000</v>
      </c>
      <c r="CW28" s="112">
        <f t="shared" si="54"/>
        <v>100000</v>
      </c>
      <c r="CX28" s="238" t="e">
        <f ca="1">VLOOKUP(CZ28,Foglio1tibis!$AB$31:$AN$283,13)-6</f>
        <v>#N/A</v>
      </c>
      <c r="CY28" s="112" t="str">
        <f t="shared" si="49"/>
        <v/>
      </c>
      <c r="CZ28" s="477" t="str">
        <f t="shared" si="38"/>
        <v/>
      </c>
      <c r="DA28" s="479" t="str">
        <f t="shared" si="13"/>
        <v/>
      </c>
      <c r="DB28" s="112" t="str">
        <f t="shared" si="39"/>
        <v/>
      </c>
      <c r="DC28" s="114" t="e">
        <f t="shared" si="40"/>
        <v>#VALUE!</v>
      </c>
      <c r="DD28" s="114" t="str" cm="1">
        <f t="array" aca="1" ref="DD28" ca="1">IF(CY28="","",INDIRECT(CONCATENATE($AP$15,$AU$16,CX28)))</f>
        <v/>
      </c>
      <c r="DE28" s="114"/>
      <c r="DF28" s="114"/>
      <c r="DG28" s="114" t="e" cm="1">
        <f t="array" aca="1" ref="DG28" ca="1">INDIRECT(CONCATENATE($AP$15,$AX$16,CX28))</f>
        <v>#N/A</v>
      </c>
      <c r="DH28" s="114" t="e" cm="1">
        <f t="array" aca="1" ref="DH28" ca="1">INDIRECT(CONCATENATE($AP$15,$AY$16,CX28))</f>
        <v>#N/A</v>
      </c>
      <c r="DI28" s="114"/>
      <c r="DJ28" s="114" t="e" cm="1">
        <f t="array" aca="1" ref="DJ28" ca="1">INDIRECT(CONCATENATE($AP$15,$BA$16,CX28))</f>
        <v>#N/A</v>
      </c>
      <c r="DK28">
        <f t="shared" si="55"/>
        <v>0</v>
      </c>
      <c r="DL28" s="114">
        <f t="shared" si="41"/>
        <v>0</v>
      </c>
      <c r="DM28" s="114" t="e">
        <f t="shared" ca="1" si="56"/>
        <v>#N/A</v>
      </c>
      <c r="DN28">
        <f>aumentibiennali!K35</f>
        <v>0</v>
      </c>
      <c r="DO28" t="e">
        <f t="shared" ca="1" si="57"/>
        <v>#N/A</v>
      </c>
      <c r="DP28" t="e">
        <f t="shared" ca="1" si="58"/>
        <v>#N/A</v>
      </c>
      <c r="DU28" t="e">
        <f t="shared" ca="1" si="60"/>
        <v>#N/A</v>
      </c>
      <c r="EO28" s="320" t="str">
        <f t="shared" ca="1" si="59"/>
        <v/>
      </c>
      <c r="EP28" s="320"/>
      <c r="EQ28" s="320"/>
      <c r="ER28" s="320"/>
      <c r="ES28" s="320"/>
      <c r="ET28" s="320"/>
      <c r="EU28" s="320"/>
      <c r="EV28" s="320"/>
      <c r="EW28" s="320"/>
      <c r="EX28" s="320"/>
      <c r="EY28" s="320"/>
      <c r="EZ28" s="320"/>
      <c r="FA28" s="320"/>
      <c r="FB28" s="320"/>
      <c r="FC28" s="320"/>
      <c r="FD28" s="320"/>
      <c r="FE28" s="320"/>
      <c r="FF28" s="320"/>
      <c r="FG28" s="320"/>
      <c r="FH28" s="320"/>
      <c r="FI28" s="320"/>
      <c r="FJ28" s="320"/>
      <c r="FK28" s="320"/>
      <c r="FL28" s="320"/>
      <c r="FM28" s="320"/>
      <c r="FN28" s="320"/>
      <c r="FO28" s="320"/>
      <c r="FP28" s="320"/>
      <c r="FQ28" s="320"/>
      <c r="FR28" s="320"/>
    </row>
    <row r="29" spans="2:174" ht="15.75" thickBot="1" x14ac:dyDescent="0.3">
      <c r="B29">
        <f t="shared" si="52"/>
        <v>11</v>
      </c>
      <c r="D29" s="112">
        <v>37987</v>
      </c>
      <c r="X29" s="112">
        <f t="shared" ca="1" si="7"/>
        <v>100000</v>
      </c>
      <c r="Z29">
        <f t="shared" si="44"/>
        <v>12</v>
      </c>
      <c r="AA29" s="112">
        <f t="shared" ca="1" si="8"/>
        <v>100000</v>
      </c>
      <c r="AD29" s="112">
        <f t="shared" ca="1" si="19"/>
        <v>100000</v>
      </c>
      <c r="AI29" s="112">
        <f t="shared" ca="1" si="20"/>
        <v>100000</v>
      </c>
      <c r="AJ29" s="112" t="str">
        <f t="shared" ca="1" si="45"/>
        <v>0-8 anni</v>
      </c>
      <c r="AM29">
        <f ca="1">VLOOKUP(AI29,Foglio1tibis!$AB$31:$AN$284,13)</f>
        <v>261</v>
      </c>
      <c r="AN29">
        <f t="shared" ca="1" si="21"/>
        <v>6</v>
      </c>
      <c r="AO29">
        <f t="shared" ca="1" si="22"/>
        <v>255</v>
      </c>
      <c r="AQ29" s="112">
        <f t="shared" ca="1" si="23"/>
        <v>100000</v>
      </c>
      <c r="AR29" s="112" cm="1">
        <f t="array" aca="1" ref="AR29" ca="1">INDIRECT(CONCATENATE($AP$15,$AR$16,AO29))</f>
        <v>45291</v>
      </c>
      <c r="AS29" t="str" cm="1">
        <f t="array" aca="1" ref="AS29" ca="1">INDIRECT(CONCATENATE($AP$15,$AS$16,AO29))</f>
        <v>0-2anni</v>
      </c>
      <c r="AT29" cm="1">
        <f t="array" aca="1" ref="AT29" ca="1">INDIRECT(CONCATENATE($AP$15,$AT$16,AO29))</f>
        <v>0</v>
      </c>
      <c r="AU29" cm="1">
        <f t="array" aca="1" ref="AU29" ca="1">INDIRECT(CONCATENATE($AP$15,$AU$16,AO29))</f>
        <v>14513.09</v>
      </c>
      <c r="AV29" cm="1">
        <f t="array" aca="1" ref="AV29" ca="1">INDIRECT(CONCATENATE($AP$15,$AV$16,AO29))</f>
        <v>0</v>
      </c>
      <c r="AW29" cm="1">
        <f t="array" aca="1" ref="AW29" ca="1">INDIRECT(CONCATENATE($AP$15,$AW$16,AO29))</f>
        <v>0</v>
      </c>
      <c r="AX29" cm="1">
        <f t="array" aca="1" ref="AX29" ca="1">INDIRECT(CONCATENATE($AP$15,$AX$16,AO29))</f>
        <v>6384.11</v>
      </c>
      <c r="AY29" cm="1">
        <f t="array" aca="1" ref="AY29" ca="1">INDIRECT(CONCATENATE($AP$15,$AY$16,AO29))</f>
        <v>104.49</v>
      </c>
      <c r="AZ29" cm="1">
        <f t="array" aca="1" ref="AZ29" ca="1">INDIRECT(CONCATENATE($AP$15,$AZ$16,AO29))</f>
        <v>1690.19</v>
      </c>
      <c r="BA29" cm="1">
        <f t="array" aca="1" ref="BA29" ca="1">INDIRECT(CONCATENATE($AP$15,$BA$16,AO29))</f>
        <v>2214</v>
      </c>
      <c r="BH29" t="str">
        <f t="shared" ca="1" si="24"/>
        <v>C.C.N.L. COMPARTO  SCUOLA del Dicembre 2022</v>
      </c>
      <c r="BJ29" t="str">
        <f t="shared" ca="1" si="25"/>
        <v/>
      </c>
      <c r="BL29" t="str">
        <f t="shared" ca="1" si="26"/>
        <v xml:space="preserve">ARTICOLO 
</v>
      </c>
      <c r="BM29" t="str">
        <f t="shared" ca="1" si="27"/>
        <v xml:space="preserve">Con decorrenza dal:14/10/2173 Spetta fascia:0-2anni  C.C.N.L. COMPARTO  SCUOLA del Dicembre 2022
</v>
      </c>
      <c r="BN29" t="str">
        <f t="shared" ca="1" si="28"/>
        <v xml:space="preserve">Retribuzione euro:20897,2
</v>
      </c>
      <c r="BO29" t="str">
        <f t="shared" ca="1" si="29"/>
        <v xml:space="preserve">I.V.C. euro:104,49
</v>
      </c>
      <c r="BP29" t="str">
        <f t="shared" ca="1" si="30"/>
        <v xml:space="preserve">R.P.D. euro:2214
</v>
      </c>
      <c r="BQ29" t="str">
        <f t="shared" ca="1" si="31"/>
        <v/>
      </c>
      <c r="BR29" t="str">
        <f t="shared" ca="1" si="32"/>
        <v xml:space="preserve">TOTALE EURO:23215,69
 altri assegni previsti per legge
</v>
      </c>
      <c r="CA29" t="str">
        <f t="shared" ca="1" si="9"/>
        <v/>
      </c>
      <c r="CH29" t="e">
        <f t="shared" si="46"/>
        <v>#N/A</v>
      </c>
      <c r="CI29" t="e">
        <f t="shared" si="47"/>
        <v>#N/A</v>
      </c>
      <c r="CJ29">
        <f t="shared" si="33"/>
        <v>12</v>
      </c>
      <c r="CK29" s="112">
        <v>38384</v>
      </c>
      <c r="CL29" s="238">
        <f t="shared" si="48"/>
        <v>29</v>
      </c>
      <c r="CM29" s="247">
        <f>aumentibiennali!K36</f>
        <v>0</v>
      </c>
      <c r="CN29" s="112" t="str">
        <f t="shared" si="34"/>
        <v>1/9/0</v>
      </c>
      <c r="CO29" s="112" t="str">
        <f t="shared" si="35"/>
        <v>31/8/0</v>
      </c>
      <c r="CP29" s="112" t="str">
        <f t="shared" si="10"/>
        <v/>
      </c>
      <c r="CQ29" s="238">
        <f t="shared" si="36"/>
        <v>0</v>
      </c>
      <c r="CR29" s="112" t="e" cm="1">
        <f t="array" aca="1" ref="CR29" ca="1">INDIRECT(CONCATENATE("ck",CQ29))</f>
        <v>#REF!</v>
      </c>
      <c r="CS29" s="112" t="e">
        <f t="shared" si="11"/>
        <v>#N/A</v>
      </c>
      <c r="CT29" s="112" t="e">
        <f>HLOOKUP(CT27,$CN$11:$DO$14,3)</f>
        <v>#N/A</v>
      </c>
      <c r="CU29" s="114"/>
      <c r="CV29" s="112">
        <f t="shared" si="12"/>
        <v>100000</v>
      </c>
      <c r="CW29" s="112">
        <f t="shared" si="54"/>
        <v>100000</v>
      </c>
      <c r="CX29" s="238" t="e">
        <f ca="1">VLOOKUP(CZ29,Foglio1tibis!$AB$31:$AN$283,13)-6</f>
        <v>#N/A</v>
      </c>
      <c r="CY29" s="112" t="str">
        <f t="shared" si="49"/>
        <v/>
      </c>
      <c r="CZ29" s="477" t="str">
        <f t="shared" si="38"/>
        <v/>
      </c>
      <c r="DA29" s="479" t="str">
        <f t="shared" si="13"/>
        <v/>
      </c>
      <c r="DB29" s="112" t="str">
        <f t="shared" si="39"/>
        <v/>
      </c>
      <c r="DC29" s="114" t="e">
        <f t="shared" si="40"/>
        <v>#VALUE!</v>
      </c>
      <c r="DD29" s="114" t="str" cm="1">
        <f t="array" aca="1" ref="DD29" ca="1">IF(CY29="","",INDIRECT(CONCATENATE($AP$15,$AU$16,CX29)))</f>
        <v/>
      </c>
      <c r="DE29" s="114"/>
      <c r="DF29" s="114"/>
      <c r="DG29" s="114" t="e" cm="1">
        <f t="array" aca="1" ref="DG29" ca="1">INDIRECT(CONCATENATE($AP$15,$AX$16,CX29))</f>
        <v>#N/A</v>
      </c>
      <c r="DH29" s="114" t="e" cm="1">
        <f t="array" aca="1" ref="DH29" ca="1">INDIRECT(CONCATENATE($AP$15,$AY$16,CX29))</f>
        <v>#N/A</v>
      </c>
      <c r="DI29" s="114"/>
      <c r="DJ29" s="114" t="e" cm="1">
        <f t="array" aca="1" ref="DJ29" ca="1">INDIRECT(CONCATENATE($AP$15,$BA$16,CX29))</f>
        <v>#N/A</v>
      </c>
      <c r="DK29">
        <f t="shared" si="55"/>
        <v>0</v>
      </c>
      <c r="DL29" s="114">
        <f t="shared" si="41"/>
        <v>0</v>
      </c>
      <c r="DM29" s="114" t="e">
        <f t="shared" ca="1" si="56"/>
        <v>#N/A</v>
      </c>
      <c r="DN29">
        <f>aumentibiennali!K36</f>
        <v>0</v>
      </c>
      <c r="DO29" t="e">
        <f t="shared" ca="1" si="57"/>
        <v>#N/A</v>
      </c>
      <c r="DP29" t="e">
        <f t="shared" ca="1" si="58"/>
        <v>#N/A</v>
      </c>
      <c r="DU29" t="e">
        <f t="shared" ca="1" si="60"/>
        <v>#N/A</v>
      </c>
      <c r="EO29" s="320" t="str">
        <f t="shared" ca="1" si="59"/>
        <v/>
      </c>
      <c r="EP29" s="320"/>
      <c r="EQ29" s="320"/>
      <c r="ER29" s="320"/>
      <c r="ES29" s="320"/>
      <c r="ET29" s="320"/>
      <c r="EU29" s="320"/>
      <c r="EV29" s="320"/>
      <c r="EW29" s="320"/>
      <c r="EX29" s="320"/>
      <c r="EY29" s="320"/>
      <c r="EZ29" s="320"/>
      <c r="FA29" s="320"/>
      <c r="FB29" s="320"/>
      <c r="FC29" s="320"/>
      <c r="FD29" s="320"/>
      <c r="FE29" s="320"/>
      <c r="FF29" s="320"/>
      <c r="FG29" s="320"/>
      <c r="FH29" s="320"/>
      <c r="FI29" s="320"/>
      <c r="FJ29" s="320"/>
      <c r="FK29" s="320"/>
      <c r="FL29" s="320"/>
      <c r="FM29" s="320"/>
      <c r="FN29" s="320"/>
      <c r="FO29" s="320"/>
      <c r="FP29" s="320"/>
      <c r="FQ29" s="320"/>
      <c r="FR29" s="320"/>
    </row>
    <row r="30" spans="2:174" ht="15.75" thickBot="1" x14ac:dyDescent="0.3">
      <c r="B30">
        <f t="shared" si="52"/>
        <v>12</v>
      </c>
      <c r="D30" s="112">
        <v>38384</v>
      </c>
      <c r="X30" s="112">
        <f t="shared" ca="1" si="7"/>
        <v>100000</v>
      </c>
      <c r="Z30">
        <f t="shared" si="44"/>
        <v>13</v>
      </c>
      <c r="AA30" s="112">
        <f t="shared" ca="1" si="8"/>
        <v>100000</v>
      </c>
      <c r="AD30" s="112">
        <f t="shared" ca="1" si="19"/>
        <v>100000</v>
      </c>
      <c r="AI30" s="112">
        <f t="shared" ca="1" si="20"/>
        <v>100000</v>
      </c>
      <c r="AJ30" s="112" t="str">
        <f t="shared" ca="1" si="45"/>
        <v>0-8 anni</v>
      </c>
      <c r="AM30">
        <f ca="1">VLOOKUP(AI30,Foglio1tibis!$AB$31:$AN$284,13)</f>
        <v>261</v>
      </c>
      <c r="AN30">
        <f t="shared" ca="1" si="21"/>
        <v>6</v>
      </c>
      <c r="AO30">
        <f t="shared" ca="1" si="22"/>
        <v>255</v>
      </c>
      <c r="AQ30" s="112">
        <f t="shared" ca="1" si="23"/>
        <v>100000</v>
      </c>
      <c r="AR30" s="112" cm="1">
        <f t="array" aca="1" ref="AR30" ca="1">INDIRECT(CONCATENATE($AP$15,$AR$16,AO30))</f>
        <v>45291</v>
      </c>
      <c r="AS30" t="str" cm="1">
        <f t="array" aca="1" ref="AS30" ca="1">INDIRECT(CONCATENATE($AP$15,$AS$16,AO30))</f>
        <v>0-2anni</v>
      </c>
      <c r="AT30" cm="1">
        <f t="array" aca="1" ref="AT30" ca="1">INDIRECT(CONCATENATE($AP$15,$AT$16,AO30))</f>
        <v>0</v>
      </c>
      <c r="AU30" cm="1">
        <f t="array" aca="1" ref="AU30" ca="1">INDIRECT(CONCATENATE($AP$15,$AU$16,AO30))</f>
        <v>14513.09</v>
      </c>
      <c r="AV30" cm="1">
        <f t="array" aca="1" ref="AV30" ca="1">INDIRECT(CONCATENATE($AP$15,$AV$16,AO30))</f>
        <v>0</v>
      </c>
      <c r="AW30" cm="1">
        <f t="array" aca="1" ref="AW30" ca="1">INDIRECT(CONCATENATE($AP$15,$AW$16,AO30))</f>
        <v>0</v>
      </c>
      <c r="AX30" cm="1">
        <f t="array" aca="1" ref="AX30" ca="1">INDIRECT(CONCATENATE($AP$15,$AX$16,AO30))</f>
        <v>6384.11</v>
      </c>
      <c r="AY30" cm="1">
        <f t="array" aca="1" ref="AY30" ca="1">INDIRECT(CONCATENATE($AP$15,$AY$16,AO30))</f>
        <v>104.49</v>
      </c>
      <c r="AZ30" cm="1">
        <f t="array" aca="1" ref="AZ30" ca="1">INDIRECT(CONCATENATE($AP$15,$AZ$16,AO30))</f>
        <v>1690.19</v>
      </c>
      <c r="BA30" cm="1">
        <f t="array" aca="1" ref="BA30" ca="1">INDIRECT(CONCATENATE($AP$15,$BA$16,AO30))</f>
        <v>2214</v>
      </c>
      <c r="BH30" t="str">
        <f t="shared" ca="1" si="24"/>
        <v>C.C.N.L. COMPARTO  SCUOLA del Dicembre 2022</v>
      </c>
      <c r="BJ30" t="str">
        <f t="shared" ca="1" si="25"/>
        <v/>
      </c>
      <c r="BL30" t="str">
        <f t="shared" ca="1" si="26"/>
        <v xml:space="preserve">ARTICOLO 
</v>
      </c>
      <c r="BM30" t="str">
        <f t="shared" ca="1" si="27"/>
        <v xml:space="preserve">Con decorrenza dal:14/10/2173 Spetta fascia:0-2anni  C.C.N.L. COMPARTO  SCUOLA del Dicembre 2022
</v>
      </c>
      <c r="BN30" t="str">
        <f t="shared" ca="1" si="28"/>
        <v xml:space="preserve">Retribuzione euro:20897,2
</v>
      </c>
      <c r="BO30" t="str">
        <f t="shared" ca="1" si="29"/>
        <v xml:space="preserve">I.V.C. euro:104,49
</v>
      </c>
      <c r="BP30" t="str">
        <f t="shared" ca="1" si="30"/>
        <v xml:space="preserve">R.P.D. euro:2214
</v>
      </c>
      <c r="BQ30" t="str">
        <f t="shared" ca="1" si="31"/>
        <v/>
      </c>
      <c r="BR30" t="str">
        <f t="shared" ca="1" si="32"/>
        <v xml:space="preserve">TOTALE EURO:23215,69
 altri assegni previsti per legge
</v>
      </c>
      <c r="CA30" t="str">
        <f t="shared" ca="1" si="9"/>
        <v/>
      </c>
      <c r="CH30" t="e">
        <f t="shared" si="46"/>
        <v>#N/A</v>
      </c>
      <c r="CI30" t="e">
        <f t="shared" si="47"/>
        <v>#N/A</v>
      </c>
      <c r="CJ30">
        <f t="shared" si="33"/>
        <v>13</v>
      </c>
      <c r="CK30" s="112">
        <v>38718</v>
      </c>
      <c r="CL30" s="238">
        <f t="shared" si="48"/>
        <v>30</v>
      </c>
      <c r="CM30" s="247">
        <f>aumentibiennali!K37</f>
        <v>0</v>
      </c>
      <c r="CN30" s="112" t="str">
        <f t="shared" si="34"/>
        <v>1/9/0</v>
      </c>
      <c r="CO30" s="112" t="str">
        <f t="shared" si="35"/>
        <v>31/8/0</v>
      </c>
      <c r="CP30" s="112" t="str">
        <f t="shared" si="10"/>
        <v/>
      </c>
      <c r="CQ30" s="112" t="str">
        <f t="shared" ref="CQ30:CQ36" si="61">IF(CM30=0,"",CO30*1)</f>
        <v/>
      </c>
      <c r="CR30" s="112"/>
      <c r="CS30" s="112" t="e">
        <f t="shared" si="11"/>
        <v>#N/A</v>
      </c>
      <c r="CT30" s="112" t="e">
        <f>HLOOKUP(CT27,$CN$11:$DO$14,4)</f>
        <v>#N/A</v>
      </c>
      <c r="CU30" s="114"/>
      <c r="CV30" s="112">
        <f t="shared" si="12"/>
        <v>100000</v>
      </c>
      <c r="CW30" s="112">
        <f t="shared" si="54"/>
        <v>100000</v>
      </c>
      <c r="CX30" s="238" t="e">
        <f ca="1">VLOOKUP(CZ30,Foglio1tibis!$AB$31:$AN$283,13)-6</f>
        <v>#N/A</v>
      </c>
      <c r="CY30" s="112" t="str">
        <f t="shared" si="49"/>
        <v/>
      </c>
      <c r="CZ30" s="477" t="str">
        <f t="shared" si="38"/>
        <v/>
      </c>
      <c r="DA30" s="479" t="str">
        <f t="shared" si="13"/>
        <v/>
      </c>
      <c r="DB30" s="112" t="str">
        <f t="shared" si="39"/>
        <v/>
      </c>
      <c r="DC30" s="114" t="e">
        <f t="shared" si="40"/>
        <v>#VALUE!</v>
      </c>
      <c r="DD30" s="114" t="str" cm="1">
        <f t="array" aca="1" ref="DD30" ca="1">IF(CY30="","",INDIRECT(CONCATENATE($AP$15,$AU$16,CX30)))</f>
        <v/>
      </c>
      <c r="DE30" s="114"/>
      <c r="DF30" s="114"/>
      <c r="DG30" s="114" t="str" cm="1">
        <f t="array" aca="1" ref="DG30" ca="1">IF(DD30="","",INDIRECT(CONCATENATE($AP$15,$AX$16,CX30)))</f>
        <v/>
      </c>
      <c r="DH30" s="114" t="str" cm="1">
        <f t="array" aca="1" ref="DH30" ca="1">IF(DD30="","",INDIRECT(CONCATENATE($AP$15,$AY$16,CX30)))</f>
        <v/>
      </c>
      <c r="DI30" s="114"/>
      <c r="DJ30" s="114" t="str" cm="1">
        <f t="array" aca="1" ref="DJ30" ca="1">IF(DD30="","",INDIRECT(CONCATENATE($AP$15,$BA$16,CX30)))</f>
        <v/>
      </c>
      <c r="DK30">
        <f t="shared" si="55"/>
        <v>0</v>
      </c>
      <c r="DL30" s="114">
        <f t="shared" si="41"/>
        <v>0</v>
      </c>
      <c r="DM30" s="114" t="e">
        <f t="shared" ca="1" si="56"/>
        <v>#VALUE!</v>
      </c>
      <c r="DN30">
        <f>aumentibiennali!K37</f>
        <v>0</v>
      </c>
      <c r="DO30" t="e">
        <f t="shared" ca="1" si="57"/>
        <v>#VALUE!</v>
      </c>
      <c r="DP30" t="e">
        <f t="shared" ca="1" si="58"/>
        <v>#VALUE!</v>
      </c>
      <c r="DU30" t="e">
        <f t="shared" ca="1" si="60"/>
        <v>#VALUE!</v>
      </c>
      <c r="EO30" s="320" t="str">
        <f t="shared" ca="1" si="59"/>
        <v/>
      </c>
      <c r="EP30" s="320"/>
      <c r="EQ30" s="320"/>
      <c r="ER30" s="320"/>
      <c r="ES30" s="320"/>
      <c r="ET30" s="320"/>
      <c r="EU30" s="320"/>
      <c r="EV30" s="320"/>
      <c r="EW30" s="320"/>
      <c r="EX30" s="320"/>
      <c r="EY30" s="320"/>
      <c r="EZ30" s="320"/>
      <c r="FA30" s="320"/>
      <c r="FB30" s="320"/>
      <c r="FC30" s="320"/>
      <c r="FD30" s="320"/>
      <c r="FE30" s="320"/>
      <c r="FF30" s="320"/>
      <c r="FG30" s="320"/>
      <c r="FH30" s="320"/>
      <c r="FI30" s="320"/>
      <c r="FJ30" s="320"/>
      <c r="FK30" s="320"/>
      <c r="FL30" s="320"/>
      <c r="FM30" s="320"/>
      <c r="FN30" s="320"/>
      <c r="FO30" s="320"/>
      <c r="FP30" s="320"/>
      <c r="FQ30" s="320"/>
      <c r="FR30" s="320"/>
    </row>
    <row r="31" spans="2:174" ht="15.75" thickBot="1" x14ac:dyDescent="0.3">
      <c r="B31">
        <f t="shared" si="52"/>
        <v>13</v>
      </c>
      <c r="D31" s="112">
        <v>38718</v>
      </c>
      <c r="X31" s="112">
        <f t="shared" ca="1" si="7"/>
        <v>100000</v>
      </c>
      <c r="Z31">
        <f t="shared" si="44"/>
        <v>14</v>
      </c>
      <c r="AA31" s="112">
        <f t="shared" ca="1" si="8"/>
        <v>100000</v>
      </c>
      <c r="AD31" s="112">
        <f t="shared" ca="1" si="19"/>
        <v>100000</v>
      </c>
      <c r="AI31" s="112">
        <f t="shared" ca="1" si="20"/>
        <v>100000</v>
      </c>
      <c r="AJ31" s="112" t="str">
        <f t="shared" ca="1" si="45"/>
        <v>0-8 anni</v>
      </c>
      <c r="AM31">
        <f ca="1">VLOOKUP(AI31,Foglio1tibis!$AB$31:$AN$284,13)</f>
        <v>261</v>
      </c>
      <c r="AN31">
        <f t="shared" ca="1" si="21"/>
        <v>6</v>
      </c>
      <c r="AO31">
        <f t="shared" ca="1" si="22"/>
        <v>255</v>
      </c>
      <c r="AQ31" s="112">
        <f t="shared" ca="1" si="23"/>
        <v>100000</v>
      </c>
      <c r="AR31" s="112" cm="1">
        <f t="array" aca="1" ref="AR31" ca="1">INDIRECT(CONCATENATE($AP$15,$AR$16,AO31))</f>
        <v>45291</v>
      </c>
      <c r="AS31" t="str" cm="1">
        <f t="array" aca="1" ref="AS31" ca="1">INDIRECT(CONCATENATE($AP$15,$AS$16,AO31))</f>
        <v>0-2anni</v>
      </c>
      <c r="AT31" cm="1">
        <f t="array" aca="1" ref="AT31" ca="1">INDIRECT(CONCATENATE($AP$15,$AT$16,AO31))</f>
        <v>0</v>
      </c>
      <c r="AU31" cm="1">
        <f t="array" aca="1" ref="AU31" ca="1">INDIRECT(CONCATENATE($AP$15,$AU$16,AO31))</f>
        <v>14513.09</v>
      </c>
      <c r="AV31" cm="1">
        <f t="array" aca="1" ref="AV31" ca="1">INDIRECT(CONCATENATE($AP$15,$AV$16,AO31))</f>
        <v>0</v>
      </c>
      <c r="AW31" cm="1">
        <f t="array" aca="1" ref="AW31" ca="1">INDIRECT(CONCATENATE($AP$15,$AW$16,AO31))</f>
        <v>0</v>
      </c>
      <c r="AX31" cm="1">
        <f t="array" aca="1" ref="AX31" ca="1">INDIRECT(CONCATENATE($AP$15,$AX$16,AO31))</f>
        <v>6384.11</v>
      </c>
      <c r="AY31" cm="1">
        <f t="array" aca="1" ref="AY31" ca="1">INDIRECT(CONCATENATE($AP$15,$AY$16,AO31))</f>
        <v>104.49</v>
      </c>
      <c r="AZ31" cm="1">
        <f t="array" aca="1" ref="AZ31" ca="1">INDIRECT(CONCATENATE($AP$15,$AZ$16,AO31))</f>
        <v>1690.19</v>
      </c>
      <c r="BA31" cm="1">
        <f t="array" aca="1" ref="BA31" ca="1">INDIRECT(CONCATENATE($AP$15,$BA$16,AO31))</f>
        <v>2214</v>
      </c>
      <c r="BH31" t="str">
        <f t="shared" ca="1" si="24"/>
        <v>C.C.N.L. COMPARTO  SCUOLA del Dicembre 2022</v>
      </c>
      <c r="BJ31" t="str">
        <f t="shared" ca="1" si="25"/>
        <v/>
      </c>
      <c r="BL31" t="str">
        <f t="shared" ca="1" si="26"/>
        <v xml:space="preserve">ARTICOLO 
</v>
      </c>
      <c r="BM31" t="str">
        <f t="shared" ca="1" si="27"/>
        <v xml:space="preserve">Con decorrenza dal:14/10/2173 Spetta fascia:0-2anni  C.C.N.L. COMPARTO  SCUOLA del Dicembre 2022
</v>
      </c>
      <c r="BN31" t="str">
        <f t="shared" ca="1" si="28"/>
        <v xml:space="preserve">Retribuzione euro:20897,2
</v>
      </c>
      <c r="BO31" t="str">
        <f t="shared" ca="1" si="29"/>
        <v xml:space="preserve">I.V.C. euro:104,49
</v>
      </c>
      <c r="BP31" t="str">
        <f t="shared" ca="1" si="30"/>
        <v xml:space="preserve">R.P.D. euro:2214
</v>
      </c>
      <c r="BQ31" t="str">
        <f t="shared" ca="1" si="31"/>
        <v/>
      </c>
      <c r="BR31" t="str">
        <f t="shared" ca="1" si="32"/>
        <v xml:space="preserve">TOTALE EURO:23215,69
 altri assegni previsti per legge
</v>
      </c>
      <c r="CA31" t="str">
        <f t="shared" ca="1" si="9"/>
        <v/>
      </c>
      <c r="CH31" t="e">
        <f t="shared" si="46"/>
        <v>#N/A</v>
      </c>
      <c r="CI31" t="e">
        <f t="shared" si="47"/>
        <v>#N/A</v>
      </c>
      <c r="CJ31">
        <f t="shared" si="33"/>
        <v>14</v>
      </c>
      <c r="CK31" s="112">
        <v>39083</v>
      </c>
      <c r="CL31" s="238">
        <f t="shared" si="48"/>
        <v>31</v>
      </c>
      <c r="CM31" s="247">
        <f>aumentibiennali!K38</f>
        <v>0</v>
      </c>
      <c r="CN31" s="112" t="str">
        <f t="shared" si="34"/>
        <v>1/9/0</v>
      </c>
      <c r="CO31" s="112" t="str">
        <f t="shared" si="35"/>
        <v>31/8/0</v>
      </c>
      <c r="CP31" s="112" t="str">
        <f t="shared" si="10"/>
        <v/>
      </c>
      <c r="CQ31" s="112" t="str">
        <f t="shared" si="61"/>
        <v/>
      </c>
      <c r="CR31" s="112"/>
      <c r="CS31" s="112" t="e">
        <f t="shared" si="11"/>
        <v>#N/A</v>
      </c>
      <c r="CT31" s="112" t="str">
        <f>CP21</f>
        <v/>
      </c>
      <c r="CU31" s="114"/>
      <c r="CV31" s="112">
        <f t="shared" si="12"/>
        <v>100000</v>
      </c>
      <c r="CW31" s="112">
        <f t="shared" si="54"/>
        <v>100000</v>
      </c>
      <c r="CX31" s="238" t="e">
        <f ca="1">VLOOKUP(CZ31,Foglio1tibis!$AB$31:$AN$283,13)-6</f>
        <v>#N/A</v>
      </c>
      <c r="CY31" s="112" t="str">
        <f t="shared" si="49"/>
        <v/>
      </c>
      <c r="CZ31" s="477" t="str">
        <f t="shared" si="38"/>
        <v/>
      </c>
      <c r="DA31" s="479" t="str">
        <f>IF(DB31&lt;CZ31,DATE(YEAR(DB31)+1,MONTH(DB31),DAY(DB31)),DB31)</f>
        <v/>
      </c>
      <c r="DB31" s="112" t="str">
        <f t="shared" si="39"/>
        <v/>
      </c>
      <c r="DC31" s="114" t="e">
        <f t="shared" si="40"/>
        <v>#VALUE!</v>
      </c>
      <c r="DD31" s="114" t="str" cm="1">
        <f t="array" aca="1" ref="DD31" ca="1">IF(CY31="","",INDIRECT(CONCATENATE($AP$15,$AU$16,CX31)))</f>
        <v/>
      </c>
      <c r="DE31" s="114"/>
      <c r="DF31" s="114"/>
      <c r="DG31" s="114" t="str" cm="1">
        <f t="array" aca="1" ref="DG31" ca="1">IF(DD31="","",INDIRECT(CONCATENATE($AP$15,$AX$16,CX31)))</f>
        <v/>
      </c>
      <c r="DH31" s="114" t="str" cm="1">
        <f t="array" aca="1" ref="DH31" ca="1">IF(DD31="","",INDIRECT(CONCATENATE($AP$15,$AY$16,CX31)))</f>
        <v/>
      </c>
      <c r="DI31" s="114"/>
      <c r="DJ31" s="114" t="str" cm="1">
        <f t="array" aca="1" ref="DJ31" ca="1">IF(DD31="","",INDIRECT(CONCATENATE($AP$15,$BA$16,CX31)))</f>
        <v/>
      </c>
      <c r="DK31">
        <f t="shared" si="55"/>
        <v>0</v>
      </c>
      <c r="DL31" s="114">
        <f t="shared" si="41"/>
        <v>0</v>
      </c>
      <c r="DM31" s="114" t="e">
        <f t="shared" ca="1" si="56"/>
        <v>#VALUE!</v>
      </c>
      <c r="DN31">
        <f>aumentibiennali!K38</f>
        <v>0</v>
      </c>
      <c r="DO31" t="e">
        <f t="shared" ca="1" si="57"/>
        <v>#VALUE!</v>
      </c>
      <c r="DP31" t="e">
        <f t="shared" ca="1" si="58"/>
        <v>#VALUE!</v>
      </c>
      <c r="DU31" t="e">
        <f t="shared" ca="1" si="60"/>
        <v>#VALUE!</v>
      </c>
      <c r="EO31" s="320" t="str">
        <f t="shared" ca="1" si="59"/>
        <v/>
      </c>
      <c r="EP31" s="320"/>
      <c r="EQ31" s="320"/>
      <c r="ER31" s="320"/>
      <c r="ES31" s="320"/>
      <c r="ET31" s="320"/>
      <c r="EU31" s="320"/>
      <c r="EV31" s="320"/>
      <c r="EW31" s="320"/>
      <c r="EX31" s="320"/>
      <c r="EY31" s="320"/>
      <c r="EZ31" s="320"/>
      <c r="FA31" s="320"/>
      <c r="FB31" s="320"/>
      <c r="FC31" s="320"/>
      <c r="FD31" s="320"/>
      <c r="FE31" s="320"/>
      <c r="FF31" s="320"/>
      <c r="FG31" s="320"/>
      <c r="FH31" s="320"/>
      <c r="FI31" s="320"/>
      <c r="FJ31" s="320"/>
      <c r="FK31" s="320"/>
      <c r="FL31" s="320"/>
      <c r="FM31" s="320"/>
      <c r="FN31" s="320"/>
      <c r="FO31" s="320"/>
      <c r="FP31" s="320"/>
      <c r="FQ31" s="320"/>
      <c r="FR31" s="320"/>
    </row>
    <row r="32" spans="2:174" ht="15.75" thickBot="1" x14ac:dyDescent="0.3">
      <c r="B32">
        <f t="shared" si="52"/>
        <v>14</v>
      </c>
      <c r="D32" s="112">
        <v>39083</v>
      </c>
      <c r="I32" t="s">
        <v>65</v>
      </c>
      <c r="X32" s="112">
        <f t="shared" ca="1" si="7"/>
        <v>100000</v>
      </c>
      <c r="Z32">
        <f t="shared" si="44"/>
        <v>15</v>
      </c>
      <c r="AA32" s="112">
        <f t="shared" ca="1" si="8"/>
        <v>100000</v>
      </c>
      <c r="AD32" s="112">
        <f t="shared" ca="1" si="19"/>
        <v>100000</v>
      </c>
      <c r="AI32" s="112">
        <f t="shared" ca="1" si="20"/>
        <v>100000</v>
      </c>
      <c r="AJ32" s="112" t="str">
        <f t="shared" ca="1" si="45"/>
        <v>0-8 anni</v>
      </c>
      <c r="AM32">
        <f ca="1">VLOOKUP(AI32,Foglio1tibis!$AB$31:$AN$284,13)</f>
        <v>261</v>
      </c>
      <c r="AN32">
        <f t="shared" ca="1" si="21"/>
        <v>6</v>
      </c>
      <c r="AO32">
        <f t="shared" ca="1" si="22"/>
        <v>255</v>
      </c>
      <c r="AQ32" s="112">
        <f t="shared" ca="1" si="23"/>
        <v>100000</v>
      </c>
      <c r="AR32" s="112" cm="1">
        <f t="array" aca="1" ref="AR32" ca="1">INDIRECT(CONCATENATE($AP$15,$AR$16,AO32))</f>
        <v>45291</v>
      </c>
      <c r="AS32" t="str" cm="1">
        <f t="array" aca="1" ref="AS32" ca="1">INDIRECT(CONCATENATE($AP$15,$AS$16,AO32))</f>
        <v>0-2anni</v>
      </c>
      <c r="AT32" cm="1">
        <f t="array" aca="1" ref="AT32" ca="1">INDIRECT(CONCATENATE($AP$15,$AT$16,AO32))</f>
        <v>0</v>
      </c>
      <c r="AU32" cm="1">
        <f t="array" aca="1" ref="AU32" ca="1">INDIRECT(CONCATENATE($AP$15,$AU$16,AO32))</f>
        <v>14513.09</v>
      </c>
      <c r="AV32" cm="1">
        <f t="array" aca="1" ref="AV32" ca="1">INDIRECT(CONCATENATE($AP$15,$AV$16,AO32))</f>
        <v>0</v>
      </c>
      <c r="AW32" cm="1">
        <f t="array" aca="1" ref="AW32" ca="1">INDIRECT(CONCATENATE($AP$15,$AW$16,AO32))</f>
        <v>0</v>
      </c>
      <c r="AX32" cm="1">
        <f t="array" aca="1" ref="AX32" ca="1">INDIRECT(CONCATENATE($AP$15,$AX$16,AO32))</f>
        <v>6384.11</v>
      </c>
      <c r="AY32" cm="1">
        <f t="array" aca="1" ref="AY32" ca="1">INDIRECT(CONCATENATE($AP$15,$AY$16,AO32))</f>
        <v>104.49</v>
      </c>
      <c r="AZ32" cm="1">
        <f t="array" aca="1" ref="AZ32" ca="1">INDIRECT(CONCATENATE($AP$15,$AZ$16,AO32))</f>
        <v>1690.19</v>
      </c>
      <c r="BA32" cm="1">
        <f t="array" aca="1" ref="BA32" ca="1">INDIRECT(CONCATENATE($AP$15,$BA$16,AO32))</f>
        <v>2214</v>
      </c>
      <c r="BH32" t="str">
        <f t="shared" ca="1" si="24"/>
        <v>C.C.N.L. COMPARTO  SCUOLA del Dicembre 2022</v>
      </c>
      <c r="BJ32" t="str">
        <f t="shared" ca="1" si="25"/>
        <v/>
      </c>
      <c r="BL32" t="str">
        <f t="shared" ca="1" si="26"/>
        <v xml:space="preserve">ARTICOLO 
</v>
      </c>
      <c r="BM32" t="str">
        <f t="shared" ca="1" si="27"/>
        <v xml:space="preserve">Con decorrenza dal:14/10/2173 Spetta fascia:0-2anni  C.C.N.L. COMPARTO  SCUOLA del Dicembre 2022
</v>
      </c>
      <c r="BN32" t="str">
        <f t="shared" ca="1" si="28"/>
        <v xml:space="preserve">Retribuzione euro:20897,2
</v>
      </c>
      <c r="BO32" t="str">
        <f t="shared" ca="1" si="29"/>
        <v xml:space="preserve">I.V.C. euro:104,49
</v>
      </c>
      <c r="BP32" t="str">
        <f t="shared" ca="1" si="30"/>
        <v xml:space="preserve">R.P.D. euro:2214
</v>
      </c>
      <c r="BQ32" t="str">
        <f t="shared" ca="1" si="31"/>
        <v/>
      </c>
      <c r="BR32" t="str">
        <f t="shared" ca="1" si="32"/>
        <v xml:space="preserve">TOTALE EURO:23215,69
 altri assegni previsti per legge
</v>
      </c>
      <c r="CA32" t="str">
        <f t="shared" ca="1" si="9"/>
        <v/>
      </c>
      <c r="CH32" t="e">
        <f t="shared" si="46"/>
        <v>#N/A</v>
      </c>
      <c r="CI32" t="e">
        <f t="shared" si="47"/>
        <v>#N/A</v>
      </c>
      <c r="CJ32">
        <f t="shared" si="33"/>
        <v>15</v>
      </c>
      <c r="CK32" s="112">
        <v>39114</v>
      </c>
      <c r="CL32" s="238">
        <f t="shared" si="48"/>
        <v>32</v>
      </c>
      <c r="CM32" s="247">
        <f>aumentibiennali!K39</f>
        <v>0</v>
      </c>
      <c r="CN32" s="112" t="str">
        <f t="shared" si="34"/>
        <v>1/9/0</v>
      </c>
      <c r="CO32" s="112" t="str">
        <f t="shared" si="35"/>
        <v>31/8/0</v>
      </c>
      <c r="CP32" s="112" t="str">
        <f t="shared" si="10"/>
        <v/>
      </c>
      <c r="CQ32" s="112" t="str">
        <f t="shared" si="61"/>
        <v/>
      </c>
      <c r="CR32" s="112"/>
      <c r="CS32" s="112" t="e">
        <f t="shared" si="11"/>
        <v>#N/A</v>
      </c>
      <c r="CT32" s="112" t="e">
        <f>HLOOKUP(CT31,$CN$11:$DO$14,2)</f>
        <v>#N/A</v>
      </c>
      <c r="CU32" s="114"/>
      <c r="CV32" s="112">
        <f t="shared" si="12"/>
        <v>100000</v>
      </c>
      <c r="CW32" s="112">
        <f t="shared" si="54"/>
        <v>100000</v>
      </c>
      <c r="CX32" s="238" t="e">
        <f ca="1">VLOOKUP(CZ32,Foglio1tibis!$AB$31:$AN$283,13)-6</f>
        <v>#N/A</v>
      </c>
      <c r="CY32" s="112" t="str">
        <f t="shared" si="49"/>
        <v/>
      </c>
      <c r="CZ32" s="477" t="str">
        <f t="shared" si="38"/>
        <v/>
      </c>
      <c r="DA32" s="479" t="str">
        <f t="shared" ref="DA32:DA63" si="62">IF(DB32&lt;CZ32,DATE(YEAR(DB32)+1,MONTH(DB32),DAY(DB32)),DB32)</f>
        <v/>
      </c>
      <c r="DB32" s="112" t="str">
        <f t="shared" si="39"/>
        <v/>
      </c>
      <c r="DC32" s="114" t="e">
        <f t="shared" si="40"/>
        <v>#VALUE!</v>
      </c>
      <c r="DD32" s="114" t="str" cm="1">
        <f t="array" aca="1" ref="DD32" ca="1">IF(CY32="","",INDIRECT(CONCATENATE($AP$15,$AU$16,CX32)))</f>
        <v/>
      </c>
      <c r="DE32" s="114"/>
      <c r="DF32" s="114"/>
      <c r="DG32" s="114" t="str" cm="1">
        <f t="array" aca="1" ref="DG32" ca="1">IF(DD32="","",INDIRECT(CONCATENATE($AP$15,$AX$16,CX32)))</f>
        <v/>
      </c>
      <c r="DH32" s="114" t="str" cm="1">
        <f t="array" aca="1" ref="DH32" ca="1">IF(DD32="","",INDIRECT(CONCATENATE($AP$15,$AY$16,CX32)))</f>
        <v/>
      </c>
      <c r="DI32" s="114"/>
      <c r="DJ32" s="114" t="str" cm="1">
        <f t="array" aca="1" ref="DJ32" ca="1">IF(DD32="","",INDIRECT(CONCATENATE($AP$15,$BA$16,CX32)))</f>
        <v/>
      </c>
      <c r="DK32">
        <f t="shared" si="55"/>
        <v>0</v>
      </c>
      <c r="DL32" s="114">
        <f t="shared" si="41"/>
        <v>0</v>
      </c>
      <c r="DM32" s="114" t="e">
        <f t="shared" ca="1" si="56"/>
        <v>#VALUE!</v>
      </c>
      <c r="DN32">
        <f>aumentibiennali!K39</f>
        <v>0</v>
      </c>
      <c r="DO32" t="e">
        <f t="shared" ca="1" si="57"/>
        <v>#VALUE!</v>
      </c>
      <c r="DP32" t="e">
        <f t="shared" ca="1" si="58"/>
        <v>#VALUE!</v>
      </c>
      <c r="DU32" t="e">
        <f t="shared" ca="1" si="60"/>
        <v>#VALUE!</v>
      </c>
      <c r="EO32" s="320" t="str">
        <f t="shared" ca="1" si="59"/>
        <v/>
      </c>
      <c r="EP32" s="320"/>
      <c r="EQ32" s="320"/>
      <c r="ER32" s="320"/>
      <c r="ES32" s="320"/>
      <c r="ET32" s="320"/>
      <c r="EU32" s="320"/>
      <c r="EV32" s="320"/>
      <c r="EW32" s="320"/>
      <c r="EX32" s="320"/>
      <c r="EY32" s="320"/>
      <c r="EZ32" s="320"/>
      <c r="FA32" s="320"/>
      <c r="FB32" s="320"/>
      <c r="FC32" s="320"/>
      <c r="FD32" s="320"/>
      <c r="FE32" s="320"/>
      <c r="FF32" s="320"/>
      <c r="FG32" s="320"/>
      <c r="FH32" s="320"/>
      <c r="FI32" s="320"/>
      <c r="FJ32" s="320"/>
      <c r="FK32" s="320"/>
      <c r="FL32" s="320"/>
      <c r="FM32" s="320"/>
      <c r="FN32" s="320"/>
      <c r="FO32" s="320"/>
      <c r="FP32" s="320"/>
      <c r="FQ32" s="320"/>
      <c r="FR32" s="320"/>
    </row>
    <row r="33" spans="2:174" ht="15.75" thickBot="1" x14ac:dyDescent="0.3">
      <c r="B33">
        <f t="shared" si="52"/>
        <v>15</v>
      </c>
      <c r="D33" s="112">
        <v>39114</v>
      </c>
      <c r="X33" s="112">
        <f t="shared" ca="1" si="7"/>
        <v>100000</v>
      </c>
      <c r="Z33">
        <f t="shared" si="44"/>
        <v>16</v>
      </c>
      <c r="AA33" s="112">
        <f t="shared" ca="1" si="8"/>
        <v>100000</v>
      </c>
      <c r="AD33" s="112">
        <f t="shared" ca="1" si="19"/>
        <v>100000</v>
      </c>
      <c r="AI33" s="112">
        <f t="shared" ca="1" si="20"/>
        <v>100000</v>
      </c>
      <c r="AJ33" s="112" t="str">
        <f t="shared" ca="1" si="45"/>
        <v>0-8 anni</v>
      </c>
      <c r="AM33">
        <f ca="1">VLOOKUP(AI33,Foglio1tibis!$AB$31:$AN$284,13)</f>
        <v>261</v>
      </c>
      <c r="AN33">
        <f t="shared" ca="1" si="21"/>
        <v>6</v>
      </c>
      <c r="AO33">
        <f t="shared" ca="1" si="22"/>
        <v>255</v>
      </c>
      <c r="AQ33" s="112">
        <f t="shared" ca="1" si="23"/>
        <v>100000</v>
      </c>
      <c r="AR33" s="112" cm="1">
        <f t="array" aca="1" ref="AR33" ca="1">INDIRECT(CONCATENATE($AP$15,$AR$16,AO33))</f>
        <v>45291</v>
      </c>
      <c r="AS33" t="str" cm="1">
        <f t="array" aca="1" ref="AS33" ca="1">INDIRECT(CONCATENATE($AP$15,$AS$16,AO33))</f>
        <v>0-2anni</v>
      </c>
      <c r="AT33" cm="1">
        <f t="array" aca="1" ref="AT33" ca="1">INDIRECT(CONCATENATE($AP$15,$AT$16,AO33))</f>
        <v>0</v>
      </c>
      <c r="AU33" cm="1">
        <f t="array" aca="1" ref="AU33" ca="1">INDIRECT(CONCATENATE($AP$15,$AU$16,AO33))</f>
        <v>14513.09</v>
      </c>
      <c r="AV33" cm="1">
        <f t="array" aca="1" ref="AV33" ca="1">INDIRECT(CONCATENATE($AP$15,$AV$16,AO33))</f>
        <v>0</v>
      </c>
      <c r="AW33" cm="1">
        <f t="array" aca="1" ref="AW33" ca="1">INDIRECT(CONCATENATE($AP$15,$AW$16,AO33))</f>
        <v>0</v>
      </c>
      <c r="AX33" cm="1">
        <f t="array" aca="1" ref="AX33" ca="1">INDIRECT(CONCATENATE($AP$15,$AX$16,AO33))</f>
        <v>6384.11</v>
      </c>
      <c r="AY33" cm="1">
        <f t="array" aca="1" ref="AY33" ca="1">INDIRECT(CONCATENATE($AP$15,$AY$16,AO33))</f>
        <v>104.49</v>
      </c>
      <c r="AZ33" cm="1">
        <f t="array" aca="1" ref="AZ33" ca="1">INDIRECT(CONCATENATE($AP$15,$AZ$16,AO33))</f>
        <v>1690.19</v>
      </c>
      <c r="BA33" cm="1">
        <f t="array" aca="1" ref="BA33" ca="1">INDIRECT(CONCATENATE($AP$15,$BA$16,AO33))</f>
        <v>2214</v>
      </c>
      <c r="BH33" t="str">
        <f t="shared" ca="1" si="24"/>
        <v>C.C.N.L. COMPARTO  SCUOLA del Dicembre 2022</v>
      </c>
      <c r="BJ33" t="str">
        <f t="shared" ca="1" si="25"/>
        <v/>
      </c>
      <c r="BL33" t="str">
        <f t="shared" ca="1" si="26"/>
        <v xml:space="preserve">ARTICOLO 
</v>
      </c>
      <c r="BM33" t="str">
        <f t="shared" ca="1" si="27"/>
        <v xml:space="preserve">Con decorrenza dal:14/10/2173 Spetta fascia:0-2anni  C.C.N.L. COMPARTO  SCUOLA del Dicembre 2022
</v>
      </c>
      <c r="BN33" t="str">
        <f t="shared" ca="1" si="28"/>
        <v xml:space="preserve">Retribuzione euro:20897,2
</v>
      </c>
      <c r="BO33" t="str">
        <f t="shared" ca="1" si="29"/>
        <v xml:space="preserve">I.V.C. euro:104,49
</v>
      </c>
      <c r="BP33" t="str">
        <f t="shared" ca="1" si="30"/>
        <v xml:space="preserve">R.P.D. euro:2214
</v>
      </c>
      <c r="BQ33" t="str">
        <f t="shared" ca="1" si="31"/>
        <v/>
      </c>
      <c r="BR33" t="str">
        <f t="shared" ca="1" si="32"/>
        <v xml:space="preserve">TOTALE EURO:23215,69
 altri assegni previsti per legge
</v>
      </c>
      <c r="CA33" t="str">
        <f t="shared" ca="1" si="9"/>
        <v/>
      </c>
      <c r="CH33" t="e">
        <f t="shared" si="46"/>
        <v>#N/A</v>
      </c>
      <c r="CI33" t="e">
        <f t="shared" si="47"/>
        <v>#N/A</v>
      </c>
      <c r="CJ33">
        <f t="shared" si="33"/>
        <v>16</v>
      </c>
      <c r="CK33" s="112">
        <v>39447</v>
      </c>
      <c r="CL33" s="238">
        <f t="shared" si="48"/>
        <v>33</v>
      </c>
      <c r="CM33" s="247">
        <f>aumentibiennali!K40</f>
        <v>0</v>
      </c>
      <c r="CN33" s="112" t="str">
        <f t="shared" si="34"/>
        <v>1/9/0</v>
      </c>
      <c r="CO33" s="112" t="str">
        <f t="shared" si="35"/>
        <v>31/8/0</v>
      </c>
      <c r="CP33" s="112" t="str">
        <f t="shared" ref="CP33:CP36" si="63">IF(CM33=0,"",CN33*1)</f>
        <v/>
      </c>
      <c r="CQ33" s="112" t="str">
        <f t="shared" si="61"/>
        <v/>
      </c>
      <c r="CR33" s="112"/>
      <c r="CS33" s="112" t="e">
        <f t="shared" si="11"/>
        <v>#N/A</v>
      </c>
      <c r="CT33" s="112" t="e">
        <f>HLOOKUP(CT31,$CN$11:$DO$14,3)</f>
        <v>#N/A</v>
      </c>
      <c r="CU33" s="114"/>
      <c r="CV33" s="112">
        <f t="shared" si="12"/>
        <v>100000</v>
      </c>
      <c r="CW33" s="112">
        <f t="shared" si="54"/>
        <v>100000</v>
      </c>
      <c r="CX33" s="238" t="e">
        <f ca="1">VLOOKUP(CZ33,Foglio1tibis!$AB$31:$AN$283,13)-6</f>
        <v>#N/A</v>
      </c>
      <c r="CY33" s="112" t="str">
        <f t="shared" si="49"/>
        <v/>
      </c>
      <c r="CZ33" s="477" t="str">
        <f t="shared" si="38"/>
        <v/>
      </c>
      <c r="DA33" s="479" t="str">
        <f t="shared" si="62"/>
        <v/>
      </c>
      <c r="DB33" s="112" t="str">
        <f t="shared" si="39"/>
        <v/>
      </c>
      <c r="DC33" s="114" t="e">
        <f t="shared" si="40"/>
        <v>#VALUE!</v>
      </c>
      <c r="DD33" s="114" t="str" cm="1">
        <f t="array" aca="1" ref="DD33" ca="1">IF(CY33="","",INDIRECT(CONCATENATE($AP$15,$AU$16,CX33)))</f>
        <v/>
      </c>
      <c r="DE33" s="114"/>
      <c r="DF33" s="114"/>
      <c r="DG33" s="114" t="str" cm="1">
        <f t="array" aca="1" ref="DG33" ca="1">IF(DD33="","",INDIRECT(CONCATENATE($AP$15,$AX$16,CX33)))</f>
        <v/>
      </c>
      <c r="DH33" s="114" t="str" cm="1">
        <f t="array" aca="1" ref="DH33" ca="1">IF(DD33="","",INDIRECT(CONCATENATE($AP$15,$AY$16,CX33)))</f>
        <v/>
      </c>
      <c r="DI33" s="114"/>
      <c r="DJ33" s="114" t="str" cm="1">
        <f t="array" aca="1" ref="DJ33" ca="1">IF(DD33="","",INDIRECT(CONCATENATE($AP$15,$BA$16,CX33)))</f>
        <v/>
      </c>
      <c r="DK33">
        <f t="shared" si="55"/>
        <v>0</v>
      </c>
      <c r="DL33" s="114">
        <f t="shared" si="41"/>
        <v>0</v>
      </c>
      <c r="DM33" s="114" t="e">
        <f t="shared" ca="1" si="56"/>
        <v>#VALUE!</v>
      </c>
      <c r="DN33">
        <f>aumentibiennali!K40</f>
        <v>0</v>
      </c>
      <c r="DO33" t="e">
        <f t="shared" ca="1" si="57"/>
        <v>#VALUE!</v>
      </c>
      <c r="DP33" t="e">
        <f t="shared" ca="1" si="58"/>
        <v>#VALUE!</v>
      </c>
      <c r="DU33" t="e">
        <f t="shared" ca="1" si="60"/>
        <v>#VALUE!</v>
      </c>
      <c r="EO33" s="320" t="str">
        <f t="shared" ca="1" si="59"/>
        <v/>
      </c>
      <c r="EP33" s="320"/>
      <c r="EQ33" s="320"/>
      <c r="ER33" s="320"/>
      <c r="ES33" s="320"/>
      <c r="ET33" s="320"/>
      <c r="EU33" s="320"/>
      <c r="EV33" s="320"/>
      <c r="EW33" s="320"/>
      <c r="EX33" s="320"/>
      <c r="EY33" s="320"/>
      <c r="EZ33" s="320"/>
      <c r="FA33" s="320"/>
      <c r="FB33" s="320"/>
      <c r="FC33" s="320"/>
      <c r="FD33" s="320"/>
      <c r="FE33" s="320"/>
      <c r="FF33" s="320"/>
      <c r="FG33" s="320"/>
      <c r="FH33" s="320"/>
      <c r="FI33" s="320"/>
      <c r="FJ33" s="320"/>
      <c r="FK33" s="320"/>
      <c r="FL33" s="320"/>
      <c r="FM33" s="320"/>
      <c r="FN33" s="320"/>
      <c r="FO33" s="320"/>
      <c r="FP33" s="320"/>
      <c r="FQ33" s="320"/>
      <c r="FR33" s="320"/>
    </row>
    <row r="34" spans="2:174" ht="15.75" thickBot="1" x14ac:dyDescent="0.3">
      <c r="B34">
        <f t="shared" si="52"/>
        <v>16</v>
      </c>
      <c r="D34" s="112">
        <v>39447</v>
      </c>
      <c r="X34" s="112">
        <f t="shared" ca="1" si="7"/>
        <v>100000</v>
      </c>
      <c r="Z34">
        <f t="shared" si="44"/>
        <v>17</v>
      </c>
      <c r="AA34" s="112">
        <f t="shared" ca="1" si="8"/>
        <v>100000</v>
      </c>
      <c r="AD34" s="112">
        <f t="shared" ca="1" si="19"/>
        <v>100000</v>
      </c>
      <c r="AI34" s="112">
        <f t="shared" ca="1" si="20"/>
        <v>100000</v>
      </c>
      <c r="AJ34" s="112" t="str">
        <f t="shared" ca="1" si="45"/>
        <v>0-8 anni</v>
      </c>
      <c r="AM34">
        <f ca="1">VLOOKUP(AI34,Foglio1tibis!$AB$31:$AN$284,13)</f>
        <v>261</v>
      </c>
      <c r="AN34">
        <f t="shared" ca="1" si="21"/>
        <v>6</v>
      </c>
      <c r="AO34">
        <f t="shared" ca="1" si="22"/>
        <v>255</v>
      </c>
      <c r="AQ34" s="112">
        <f t="shared" ca="1" si="23"/>
        <v>100000</v>
      </c>
      <c r="AR34" s="112" cm="1">
        <f t="array" aca="1" ref="AR34" ca="1">INDIRECT(CONCATENATE($AP$15,$AR$16,AO34))</f>
        <v>45291</v>
      </c>
      <c r="AS34" t="str" cm="1">
        <f t="array" aca="1" ref="AS34" ca="1">INDIRECT(CONCATENATE($AP$15,$AS$16,AO34))</f>
        <v>0-2anni</v>
      </c>
      <c r="AT34" cm="1">
        <f t="array" aca="1" ref="AT34" ca="1">INDIRECT(CONCATENATE($AP$15,$AT$16,AO34))</f>
        <v>0</v>
      </c>
      <c r="AU34" cm="1">
        <f t="array" aca="1" ref="AU34" ca="1">INDIRECT(CONCATENATE($AP$15,$AU$16,AO34))</f>
        <v>14513.09</v>
      </c>
      <c r="AV34" cm="1">
        <f t="array" aca="1" ref="AV34" ca="1">INDIRECT(CONCATENATE($AP$15,$AV$16,AO34))</f>
        <v>0</v>
      </c>
      <c r="AW34" cm="1">
        <f t="array" aca="1" ref="AW34" ca="1">INDIRECT(CONCATENATE($AP$15,$AW$16,AO34))</f>
        <v>0</v>
      </c>
      <c r="AX34" cm="1">
        <f t="array" aca="1" ref="AX34" ca="1">INDIRECT(CONCATENATE($AP$15,$AX$16,AO34))</f>
        <v>6384.11</v>
      </c>
      <c r="AY34" cm="1">
        <f t="array" aca="1" ref="AY34" ca="1">INDIRECT(CONCATENATE($AP$15,$AY$16,AO34))</f>
        <v>104.49</v>
      </c>
      <c r="AZ34" cm="1">
        <f t="array" aca="1" ref="AZ34" ca="1">INDIRECT(CONCATENATE($AP$15,$AZ$16,AO34))</f>
        <v>1690.19</v>
      </c>
      <c r="BA34" cm="1">
        <f t="array" aca="1" ref="BA34" ca="1">INDIRECT(CONCATENATE($AP$15,$BA$16,AO34))</f>
        <v>2214</v>
      </c>
      <c r="BH34" t="str">
        <f t="shared" ca="1" si="24"/>
        <v>C.C.N.L. COMPARTO  SCUOLA del Dicembre 2022</v>
      </c>
      <c r="BJ34" t="str">
        <f t="shared" ca="1" si="25"/>
        <v/>
      </c>
      <c r="BL34" t="str">
        <f t="shared" ca="1" si="26"/>
        <v xml:space="preserve">ARTICOLO 
</v>
      </c>
      <c r="BM34" t="str">
        <f t="shared" ca="1" si="27"/>
        <v xml:space="preserve">Con decorrenza dal:14/10/2173 Spetta fascia:0-2anni  C.C.N.L. COMPARTO  SCUOLA del Dicembre 2022
</v>
      </c>
      <c r="BN34" t="str">
        <f t="shared" ca="1" si="28"/>
        <v xml:space="preserve">Retribuzione euro:20897,2
</v>
      </c>
      <c r="BO34" t="str">
        <f t="shared" ca="1" si="29"/>
        <v xml:space="preserve">I.V.C. euro:104,49
</v>
      </c>
      <c r="BP34" t="str">
        <f t="shared" ca="1" si="30"/>
        <v xml:space="preserve">R.P.D. euro:2214
</v>
      </c>
      <c r="BQ34" t="str">
        <f t="shared" ca="1" si="31"/>
        <v/>
      </c>
      <c r="BR34" t="str">
        <f t="shared" ca="1" si="32"/>
        <v xml:space="preserve">TOTALE EURO:23215,69
 altri assegni previsti per legge
</v>
      </c>
      <c r="CA34" t="str">
        <f t="shared" ca="1" si="9"/>
        <v/>
      </c>
      <c r="CH34" t="e">
        <f t="shared" si="46"/>
        <v>#N/A</v>
      </c>
      <c r="CI34" t="e">
        <f t="shared" si="47"/>
        <v>#N/A</v>
      </c>
      <c r="CJ34">
        <f t="shared" si="33"/>
        <v>17</v>
      </c>
      <c r="CK34" s="112">
        <v>39539</v>
      </c>
      <c r="CL34" s="238">
        <f t="shared" si="48"/>
        <v>34</v>
      </c>
      <c r="CM34" s="247">
        <f>aumentibiennali!K41</f>
        <v>0</v>
      </c>
      <c r="CN34" s="112" t="str">
        <f t="shared" si="34"/>
        <v>1/9/0</v>
      </c>
      <c r="CO34" s="112" t="str">
        <f t="shared" si="35"/>
        <v>31/8/0</v>
      </c>
      <c r="CP34" s="112" t="str">
        <f t="shared" si="63"/>
        <v/>
      </c>
      <c r="CQ34" s="112" t="str">
        <f t="shared" si="61"/>
        <v/>
      </c>
      <c r="CR34" s="112"/>
      <c r="CS34" s="112" t="e">
        <f t="shared" si="11"/>
        <v>#N/A</v>
      </c>
      <c r="CT34" s="112" t="e">
        <f>HLOOKUP(CT31,$CN$11:$DO$14,4)</f>
        <v>#N/A</v>
      </c>
      <c r="CU34" s="114"/>
      <c r="CV34" s="112">
        <f t="shared" si="12"/>
        <v>100000</v>
      </c>
      <c r="CW34" s="112">
        <f t="shared" si="54"/>
        <v>100000</v>
      </c>
      <c r="CX34" s="238" t="e">
        <f ca="1">VLOOKUP(CZ34,Foglio1tibis!$AB$31:$AN$283,13)-6</f>
        <v>#N/A</v>
      </c>
      <c r="CY34" s="112" t="str">
        <f t="shared" si="49"/>
        <v/>
      </c>
      <c r="CZ34" s="477" t="str">
        <f t="shared" si="38"/>
        <v/>
      </c>
      <c r="DA34" s="479" t="str">
        <f t="shared" si="62"/>
        <v/>
      </c>
      <c r="DB34" s="112" t="str">
        <f t="shared" si="39"/>
        <v/>
      </c>
      <c r="DC34" s="114" t="e">
        <f t="shared" si="40"/>
        <v>#VALUE!</v>
      </c>
      <c r="DD34" s="114" t="str" cm="1">
        <f t="array" aca="1" ref="DD34" ca="1">IF(CY34="","",INDIRECT(CONCATENATE($AP$15,$AU$16,CX34)))</f>
        <v/>
      </c>
      <c r="DE34" s="114"/>
      <c r="DF34" s="114"/>
      <c r="DG34" s="114" t="str" cm="1">
        <f t="array" aca="1" ref="DG34" ca="1">IF(DD34="","",INDIRECT(CONCATENATE($AP$15,$AX$16,CX34)))</f>
        <v/>
      </c>
      <c r="DH34" s="114" t="str" cm="1">
        <f t="array" aca="1" ref="DH34" ca="1">IF(DD34="","",INDIRECT(CONCATENATE($AP$15,$AY$16,CX34)))</f>
        <v/>
      </c>
      <c r="DI34" s="114"/>
      <c r="DJ34" s="114" t="str" cm="1">
        <f t="array" aca="1" ref="DJ34" ca="1">IF(DD34="","",INDIRECT(CONCATENATE($AP$15,$BA$16,CX34)))</f>
        <v/>
      </c>
      <c r="DK34">
        <f t="shared" si="55"/>
        <v>0</v>
      </c>
      <c r="DL34" s="114">
        <f t="shared" si="41"/>
        <v>0</v>
      </c>
      <c r="DM34" s="114" t="e">
        <f t="shared" ca="1" si="56"/>
        <v>#VALUE!</v>
      </c>
      <c r="DN34">
        <f>aumentibiennali!K41</f>
        <v>0</v>
      </c>
      <c r="DO34" t="e">
        <f t="shared" ca="1" si="57"/>
        <v>#VALUE!</v>
      </c>
      <c r="DP34" t="e">
        <f t="shared" ca="1" si="58"/>
        <v>#VALUE!</v>
      </c>
      <c r="DU34" t="e">
        <f t="shared" ca="1" si="60"/>
        <v>#VALUE!</v>
      </c>
      <c r="EO34" s="320" t="str">
        <f t="shared" ca="1" si="59"/>
        <v/>
      </c>
      <c r="EP34" s="320"/>
      <c r="EQ34" s="320"/>
      <c r="ER34" s="320"/>
      <c r="ES34" s="320"/>
      <c r="ET34" s="320"/>
      <c r="EU34" s="320"/>
      <c r="EV34" s="320"/>
      <c r="EW34" s="320"/>
      <c r="EX34" s="320"/>
      <c r="EY34" s="320"/>
      <c r="EZ34" s="320"/>
      <c r="FA34" s="320"/>
      <c r="FB34" s="320"/>
      <c r="FC34" s="320"/>
      <c r="FD34" s="320"/>
      <c r="FE34" s="320"/>
      <c r="FF34" s="320"/>
      <c r="FG34" s="320"/>
      <c r="FH34" s="320"/>
      <c r="FI34" s="320"/>
      <c r="FJ34" s="320"/>
      <c r="FK34" s="320"/>
      <c r="FL34" s="320"/>
      <c r="FM34" s="320"/>
      <c r="FN34" s="320"/>
      <c r="FO34" s="320"/>
      <c r="FP34" s="320"/>
      <c r="FQ34" s="320"/>
      <c r="FR34" s="320"/>
    </row>
    <row r="35" spans="2:174" ht="15.75" thickBot="1" x14ac:dyDescent="0.3">
      <c r="B35">
        <f t="shared" si="52"/>
        <v>17</v>
      </c>
      <c r="D35" s="112">
        <v>39539</v>
      </c>
      <c r="X35" s="112">
        <f t="shared" ca="1" si="7"/>
        <v>100000</v>
      </c>
      <c r="Z35">
        <f t="shared" si="44"/>
        <v>18</v>
      </c>
      <c r="AA35" s="112">
        <f t="shared" ca="1" si="8"/>
        <v>100000</v>
      </c>
      <c r="AD35" s="112">
        <f t="shared" ca="1" si="19"/>
        <v>100000</v>
      </c>
      <c r="AI35" s="112">
        <f t="shared" ca="1" si="20"/>
        <v>100000</v>
      </c>
      <c r="AJ35" s="112" t="str">
        <f t="shared" ca="1" si="45"/>
        <v>0-8 anni</v>
      </c>
      <c r="AM35">
        <f ca="1">VLOOKUP(AI35,Foglio1tibis!$AB$31:$AN$284,13)</f>
        <v>261</v>
      </c>
      <c r="AN35">
        <f t="shared" ca="1" si="21"/>
        <v>6</v>
      </c>
      <c r="AO35">
        <f t="shared" ca="1" si="22"/>
        <v>255</v>
      </c>
      <c r="AQ35" s="112">
        <f t="shared" ca="1" si="23"/>
        <v>100000</v>
      </c>
      <c r="AR35" s="112" cm="1">
        <f t="array" aca="1" ref="AR35" ca="1">INDIRECT(CONCATENATE($AP$15,$AR$16,AO35))</f>
        <v>45291</v>
      </c>
      <c r="AS35" t="str" cm="1">
        <f t="array" aca="1" ref="AS35" ca="1">INDIRECT(CONCATENATE($AP$15,$AS$16,AO35))</f>
        <v>0-2anni</v>
      </c>
      <c r="AT35" cm="1">
        <f t="array" aca="1" ref="AT35" ca="1">INDIRECT(CONCATENATE($AP$15,$AT$16,AO35))</f>
        <v>0</v>
      </c>
      <c r="AU35" cm="1">
        <f t="array" aca="1" ref="AU35" ca="1">INDIRECT(CONCATENATE($AP$15,$AU$16,AO35))</f>
        <v>14513.09</v>
      </c>
      <c r="AV35" cm="1">
        <f t="array" aca="1" ref="AV35" ca="1">INDIRECT(CONCATENATE($AP$15,$AV$16,AO35))</f>
        <v>0</v>
      </c>
      <c r="AW35" cm="1">
        <f t="array" aca="1" ref="AW35" ca="1">INDIRECT(CONCATENATE($AP$15,$AW$16,AO35))</f>
        <v>0</v>
      </c>
      <c r="AX35" cm="1">
        <f t="array" aca="1" ref="AX35" ca="1">INDIRECT(CONCATENATE($AP$15,$AX$16,AO35))</f>
        <v>6384.11</v>
      </c>
      <c r="AY35" cm="1">
        <f t="array" aca="1" ref="AY35" ca="1">INDIRECT(CONCATENATE($AP$15,$AY$16,AO35))</f>
        <v>104.49</v>
      </c>
      <c r="AZ35" cm="1">
        <f t="array" aca="1" ref="AZ35" ca="1">INDIRECT(CONCATENATE($AP$15,$AZ$16,AO35))</f>
        <v>1690.19</v>
      </c>
      <c r="BA35" cm="1">
        <f t="array" aca="1" ref="BA35" ca="1">INDIRECT(CONCATENATE($AP$15,$BA$16,AO35))</f>
        <v>2214</v>
      </c>
      <c r="BH35" t="str">
        <f t="shared" ca="1" si="24"/>
        <v>C.C.N.L. COMPARTO  SCUOLA del Dicembre 2022</v>
      </c>
      <c r="BJ35" t="str">
        <f t="shared" ca="1" si="25"/>
        <v/>
      </c>
      <c r="BL35" t="str">
        <f t="shared" ca="1" si="26"/>
        <v xml:space="preserve">ARTICOLO 
</v>
      </c>
      <c r="BM35" t="str">
        <f t="shared" ca="1" si="27"/>
        <v xml:space="preserve">Con decorrenza dal:14/10/2173 Spetta fascia:0-2anni  C.C.N.L. COMPARTO  SCUOLA del Dicembre 2022
</v>
      </c>
      <c r="BN35" t="str">
        <f t="shared" ca="1" si="28"/>
        <v xml:space="preserve">Retribuzione euro:20897,2
</v>
      </c>
      <c r="BO35" t="str">
        <f t="shared" ca="1" si="29"/>
        <v xml:space="preserve">I.V.C. euro:104,49
</v>
      </c>
      <c r="BP35" t="str">
        <f t="shared" ca="1" si="30"/>
        <v xml:space="preserve">R.P.D. euro:2214
</v>
      </c>
      <c r="BQ35" t="str">
        <f t="shared" ca="1" si="31"/>
        <v/>
      </c>
      <c r="BR35" t="str">
        <f t="shared" ca="1" si="32"/>
        <v xml:space="preserve">TOTALE EURO:23215,69
 altri assegni previsti per legge
</v>
      </c>
      <c r="CA35" t="str">
        <f t="shared" ca="1" si="9"/>
        <v/>
      </c>
      <c r="CH35" t="e">
        <f t="shared" si="46"/>
        <v>#N/A</v>
      </c>
      <c r="CI35" t="e">
        <f t="shared" si="47"/>
        <v>#N/A</v>
      </c>
      <c r="CJ35">
        <f t="shared" si="33"/>
        <v>18</v>
      </c>
      <c r="CK35" s="112">
        <v>39630</v>
      </c>
      <c r="CL35" s="238">
        <f t="shared" si="48"/>
        <v>35</v>
      </c>
      <c r="CM35" s="247">
        <f>aumentibiennali!K42</f>
        <v>0</v>
      </c>
      <c r="CN35" s="112" t="str">
        <f t="shared" si="34"/>
        <v>1/9/0</v>
      </c>
      <c r="CO35" s="112" t="str">
        <f t="shared" si="35"/>
        <v>31/8/0</v>
      </c>
      <c r="CP35" s="112" t="str">
        <f t="shared" si="63"/>
        <v/>
      </c>
      <c r="CQ35" s="112" t="str">
        <f t="shared" si="61"/>
        <v/>
      </c>
      <c r="CR35" s="112"/>
      <c r="CS35" s="112" t="e">
        <f t="shared" si="11"/>
        <v>#N/A</v>
      </c>
      <c r="CT35" s="112" t="str">
        <f>CP22</f>
        <v/>
      </c>
      <c r="CU35" s="114"/>
      <c r="CV35" s="112">
        <f t="shared" si="12"/>
        <v>100000</v>
      </c>
      <c r="CW35" s="112">
        <f t="shared" si="54"/>
        <v>100000</v>
      </c>
      <c r="CX35" s="238" t="e">
        <f ca="1">VLOOKUP(CZ35,Foglio1tibis!$AB$31:$AN$283,13)-6</f>
        <v>#N/A</v>
      </c>
      <c r="CY35" s="112" t="str">
        <f t="shared" si="49"/>
        <v/>
      </c>
      <c r="CZ35" s="477" t="str">
        <f t="shared" si="38"/>
        <v/>
      </c>
      <c r="DA35" s="479" t="str">
        <f t="shared" si="62"/>
        <v/>
      </c>
      <c r="DB35" s="112" t="str">
        <f t="shared" si="39"/>
        <v/>
      </c>
      <c r="DC35" s="114" t="e">
        <f t="shared" si="40"/>
        <v>#VALUE!</v>
      </c>
      <c r="DD35" s="114" t="str" cm="1">
        <f t="array" aca="1" ref="DD35" ca="1">IF(CY35="","",INDIRECT(CONCATENATE($AP$15,$AU$16,CX35)))</f>
        <v/>
      </c>
      <c r="DE35" s="114"/>
      <c r="DF35" s="114"/>
      <c r="DG35" s="114" t="str" cm="1">
        <f t="array" aca="1" ref="DG35" ca="1">IF(DD35="","",INDIRECT(CONCATENATE($AP$15,$AX$16,CX35)))</f>
        <v/>
      </c>
      <c r="DH35" s="114" t="str" cm="1">
        <f t="array" aca="1" ref="DH35" ca="1">IF(DD35="","",INDIRECT(CONCATENATE($AP$15,$AY$16,CX35)))</f>
        <v/>
      </c>
      <c r="DI35" s="114"/>
      <c r="DJ35" s="114" t="str" cm="1">
        <f t="array" aca="1" ref="DJ35" ca="1">IF(DD35="","",INDIRECT(CONCATENATE($AP$15,$BA$16,CX35)))</f>
        <v/>
      </c>
      <c r="DK35">
        <f t="shared" si="55"/>
        <v>0</v>
      </c>
      <c r="DL35" s="114">
        <f t="shared" si="41"/>
        <v>0</v>
      </c>
      <c r="DM35" s="114" t="e">
        <f t="shared" ca="1" si="56"/>
        <v>#VALUE!</v>
      </c>
      <c r="DN35">
        <f>aumentibiennali!K49</f>
        <v>0</v>
      </c>
      <c r="DO35" t="e">
        <f t="shared" ca="1" si="57"/>
        <v>#VALUE!</v>
      </c>
      <c r="DP35" t="e">
        <f t="shared" ca="1" si="58"/>
        <v>#VALUE!</v>
      </c>
      <c r="DU35" t="e">
        <f t="shared" ca="1" si="60"/>
        <v>#VALUE!</v>
      </c>
      <c r="EO35" s="320" t="str">
        <f t="shared" ca="1" si="59"/>
        <v/>
      </c>
      <c r="EP35" s="320"/>
      <c r="EQ35" s="320"/>
      <c r="ER35" s="320"/>
      <c r="ES35" s="320"/>
      <c r="ET35" s="320"/>
      <c r="EU35" s="320"/>
      <c r="EV35" s="320"/>
      <c r="EW35" s="320"/>
      <c r="EX35" s="320"/>
      <c r="EY35" s="320"/>
      <c r="EZ35" s="320"/>
      <c r="FA35" s="320"/>
      <c r="FB35" s="320"/>
      <c r="FC35" s="320"/>
      <c r="FD35" s="320"/>
      <c r="FE35" s="320"/>
      <c r="FF35" s="320"/>
      <c r="FG35" s="320"/>
      <c r="FH35" s="320"/>
      <c r="FI35" s="320"/>
      <c r="FJ35" s="320"/>
      <c r="FK35" s="320"/>
      <c r="FL35" s="320"/>
      <c r="FM35" s="320"/>
      <c r="FN35" s="320"/>
      <c r="FO35" s="320"/>
      <c r="FP35" s="320"/>
      <c r="FQ35" s="320"/>
      <c r="FR35" s="320"/>
    </row>
    <row r="36" spans="2:174" ht="15.75" thickBot="1" x14ac:dyDescent="0.3">
      <c r="B36">
        <f t="shared" si="52"/>
        <v>18</v>
      </c>
      <c r="D36" s="112">
        <v>39630</v>
      </c>
      <c r="X36" s="112">
        <f t="shared" ca="1" si="7"/>
        <v>100000</v>
      </c>
      <c r="Z36">
        <f t="shared" si="44"/>
        <v>19</v>
      </c>
      <c r="AA36" s="112">
        <f t="shared" ca="1" si="8"/>
        <v>100000</v>
      </c>
      <c r="AD36" s="112">
        <f t="shared" ca="1" si="19"/>
        <v>100000</v>
      </c>
      <c r="AI36" s="112">
        <f t="shared" ref="AI36:AI76" ca="1" si="64">AD36</f>
        <v>100000</v>
      </c>
      <c r="AJ36" s="112" t="str">
        <f t="shared" ca="1" si="45"/>
        <v>0-8 anni</v>
      </c>
      <c r="AM36">
        <f ca="1">VLOOKUP(AI36,Foglio1tibis!$AB$31:$AN$284,13)</f>
        <v>261</v>
      </c>
      <c r="AN36">
        <f t="shared" ca="1" si="21"/>
        <v>6</v>
      </c>
      <c r="AO36">
        <f t="shared" ca="1" si="22"/>
        <v>255</v>
      </c>
      <c r="AQ36" s="112">
        <f t="shared" ca="1" si="23"/>
        <v>100000</v>
      </c>
      <c r="AR36" s="112" cm="1">
        <f t="array" aca="1" ref="AR36" ca="1">INDIRECT(CONCATENATE($AP$15,$AR$16,AO36))</f>
        <v>45291</v>
      </c>
      <c r="AS36" t="str" cm="1">
        <f t="array" aca="1" ref="AS36" ca="1">INDIRECT(CONCATENATE($AP$15,$AS$16,AO36))</f>
        <v>0-2anni</v>
      </c>
      <c r="AT36" cm="1">
        <f t="array" aca="1" ref="AT36" ca="1">INDIRECT(CONCATENATE($AP$15,$AT$16,AO36))</f>
        <v>0</v>
      </c>
      <c r="AU36" cm="1">
        <f t="array" aca="1" ref="AU36" ca="1">INDIRECT(CONCATENATE($AP$15,$AU$16,AO36))</f>
        <v>14513.09</v>
      </c>
      <c r="AV36" cm="1">
        <f t="array" aca="1" ref="AV36" ca="1">INDIRECT(CONCATENATE($AP$15,$AV$16,AO36))</f>
        <v>0</v>
      </c>
      <c r="AW36" cm="1">
        <f t="array" aca="1" ref="AW36" ca="1">INDIRECT(CONCATENATE($AP$15,$AW$16,AO36))</f>
        <v>0</v>
      </c>
      <c r="AX36" cm="1">
        <f t="array" aca="1" ref="AX36" ca="1">INDIRECT(CONCATENATE($AP$15,$AX$16,AO36))</f>
        <v>6384.11</v>
      </c>
      <c r="AY36" cm="1">
        <f t="array" aca="1" ref="AY36" ca="1">INDIRECT(CONCATENATE($AP$15,$AY$16,AO36))</f>
        <v>104.49</v>
      </c>
      <c r="AZ36" cm="1">
        <f t="array" aca="1" ref="AZ36" ca="1">INDIRECT(CONCATENATE($AP$15,$AZ$16,AO36))</f>
        <v>1690.19</v>
      </c>
      <c r="BA36" cm="1">
        <f t="array" aca="1" ref="BA36" ca="1">INDIRECT(CONCATENATE($AP$15,$BA$16,AO36))</f>
        <v>2214</v>
      </c>
      <c r="BH36" t="str">
        <f t="shared" ca="1" si="24"/>
        <v>C.C.N.L. COMPARTO  SCUOLA del Dicembre 2022</v>
      </c>
      <c r="BJ36" t="str">
        <f t="shared" ca="1" si="25"/>
        <v/>
      </c>
      <c r="BL36" t="str">
        <f t="shared" ca="1" si="26"/>
        <v xml:space="preserve">ARTICOLO 
</v>
      </c>
      <c r="BM36" t="str">
        <f t="shared" ca="1" si="27"/>
        <v xml:space="preserve">Con decorrenza dal:14/10/2173 Spetta fascia:0-2anni  C.C.N.L. COMPARTO  SCUOLA del Dicembre 2022
</v>
      </c>
      <c r="BN36" t="str">
        <f t="shared" ca="1" si="28"/>
        <v xml:space="preserve">Retribuzione euro:20897,2
</v>
      </c>
      <c r="BO36" t="str">
        <f t="shared" ca="1" si="29"/>
        <v xml:space="preserve">I.V.C. euro:104,49
</v>
      </c>
      <c r="BP36" t="str">
        <f t="shared" ca="1" si="30"/>
        <v xml:space="preserve">R.P.D. euro:2214
</v>
      </c>
      <c r="BQ36" t="str">
        <f t="shared" ca="1" si="31"/>
        <v/>
      </c>
      <c r="BR36" t="str">
        <f t="shared" ca="1" si="32"/>
        <v xml:space="preserve">TOTALE EURO:23215,69
 altri assegni previsti per legge
</v>
      </c>
      <c r="CA36" t="str">
        <f t="shared" ca="1" si="9"/>
        <v/>
      </c>
      <c r="CH36" t="e">
        <f t="shared" si="46"/>
        <v>#N/A</v>
      </c>
      <c r="CI36" t="e">
        <f t="shared" si="47"/>
        <v>#N/A</v>
      </c>
      <c r="CJ36">
        <f t="shared" si="33"/>
        <v>19</v>
      </c>
      <c r="CK36" s="112">
        <v>39814</v>
      </c>
      <c r="CL36" s="238">
        <f t="shared" si="48"/>
        <v>36</v>
      </c>
      <c r="CM36" s="247">
        <f>aumentibiennali!K43</f>
        <v>0</v>
      </c>
      <c r="CN36" s="112" t="str">
        <f t="shared" si="34"/>
        <v>1/9/0</v>
      </c>
      <c r="CO36" s="112" t="str">
        <f t="shared" si="35"/>
        <v>31/8/0</v>
      </c>
      <c r="CP36" s="112" t="str">
        <f t="shared" si="63"/>
        <v/>
      </c>
      <c r="CQ36" s="112" t="str">
        <f t="shared" si="61"/>
        <v/>
      </c>
      <c r="CR36" s="112"/>
      <c r="CS36" s="112" t="e">
        <f t="shared" si="11"/>
        <v>#N/A</v>
      </c>
      <c r="CT36" s="112" t="e">
        <f>HLOOKUP(CT35,$CN$11:$DO$14,2)</f>
        <v>#N/A</v>
      </c>
      <c r="CU36" s="114"/>
      <c r="CV36" s="112">
        <f>IF(TYPE(CT36)=16,100000,IF(OR(CT36=0,CT36="",TYPE(CT36)=16),100000,CT36))</f>
        <v>100000</v>
      </c>
      <c r="CW36" s="112">
        <f t="shared" si="54"/>
        <v>100000</v>
      </c>
      <c r="CX36" s="238" t="e">
        <f ca="1">VLOOKUP(CZ36,Foglio1tibis!$AB$31:$AN$283,13)-6</f>
        <v>#N/A</v>
      </c>
      <c r="CY36" s="112" t="str">
        <f t="shared" si="49"/>
        <v/>
      </c>
      <c r="CZ36" s="478" t="str">
        <f t="shared" si="38"/>
        <v/>
      </c>
      <c r="DA36" s="479" t="str">
        <f t="shared" si="62"/>
        <v/>
      </c>
      <c r="DB36" s="112" t="str">
        <f t="shared" si="39"/>
        <v/>
      </c>
      <c r="DC36" s="114" t="e">
        <f t="shared" si="40"/>
        <v>#VALUE!</v>
      </c>
      <c r="DD36" s="114" t="str" cm="1">
        <f t="array" aca="1" ref="DD36" ca="1">IF(CY36="","",INDIRECT(CONCATENATE($AP$15,$AU$16,CX36)))</f>
        <v/>
      </c>
      <c r="DE36" s="114"/>
      <c r="DF36" s="114"/>
      <c r="DG36" s="114" t="str" cm="1">
        <f t="array" aca="1" ref="DG36" ca="1">IF(DD36="","",INDIRECT(CONCATENATE($AP$15,$AX$16,CX36)))</f>
        <v/>
      </c>
      <c r="DH36" s="114" t="str" cm="1">
        <f t="array" aca="1" ref="DH36" ca="1">IF(DD36="","",INDIRECT(CONCATENATE($AP$15,$AY$16,CX36)))</f>
        <v/>
      </c>
      <c r="DI36" s="114"/>
      <c r="DJ36" s="114" t="str" cm="1">
        <f t="array" aca="1" ref="DJ36" ca="1">IF(DD36="","",INDIRECT(CONCATENATE($AP$15,$BA$16,CX36)))</f>
        <v/>
      </c>
      <c r="DK36">
        <f t="shared" si="55"/>
        <v>0</v>
      </c>
      <c r="DL36" s="114">
        <f t="shared" si="41"/>
        <v>0</v>
      </c>
      <c r="DM36" s="114" t="e">
        <f t="shared" ca="1" si="56"/>
        <v>#VALUE!</v>
      </c>
      <c r="DN36">
        <f>aumentibiennali!K50</f>
        <v>0</v>
      </c>
      <c r="DO36" t="e">
        <f t="shared" ca="1" si="57"/>
        <v>#VALUE!</v>
      </c>
      <c r="DP36" t="e">
        <f t="shared" ca="1" si="58"/>
        <v>#VALUE!</v>
      </c>
      <c r="DU36" t="e">
        <f t="shared" ca="1" si="60"/>
        <v>#VALUE!</v>
      </c>
      <c r="EO36" s="320" t="str">
        <f t="shared" ca="1" si="59"/>
        <v/>
      </c>
      <c r="EP36" s="320"/>
      <c r="EQ36" s="320"/>
      <c r="ER36" s="320"/>
      <c r="ES36" s="320"/>
      <c r="ET36" s="320"/>
      <c r="EU36" s="320"/>
      <c r="EV36" s="320"/>
      <c r="EW36" s="320"/>
      <c r="EX36" s="320"/>
      <c r="EY36" s="320"/>
      <c r="EZ36" s="320"/>
      <c r="FA36" s="320"/>
      <c r="FB36" s="320"/>
      <c r="FC36" s="320"/>
      <c r="FD36" s="320"/>
      <c r="FE36" s="320"/>
      <c r="FF36" s="320"/>
      <c r="FG36" s="320"/>
      <c r="FH36" s="320"/>
      <c r="FI36" s="320"/>
      <c r="FJ36" s="320"/>
      <c r="FK36" s="320"/>
      <c r="FL36" s="320"/>
      <c r="FM36" s="320"/>
      <c r="FN36" s="320"/>
      <c r="FO36" s="320"/>
      <c r="FP36" s="320"/>
      <c r="FQ36" s="320"/>
      <c r="FR36" s="320"/>
    </row>
    <row r="37" spans="2:174" ht="15.75" thickBot="1" x14ac:dyDescent="0.3">
      <c r="B37">
        <f t="shared" si="52"/>
        <v>19</v>
      </c>
      <c r="D37" s="112">
        <v>39814</v>
      </c>
      <c r="X37" s="112">
        <f t="shared" ca="1" si="7"/>
        <v>100000</v>
      </c>
      <c r="Z37">
        <f t="shared" si="44"/>
        <v>20</v>
      </c>
      <c r="AA37" s="112">
        <f t="shared" ca="1" si="8"/>
        <v>100000</v>
      </c>
      <c r="AD37" s="112">
        <f t="shared" ca="1" si="19"/>
        <v>100000</v>
      </c>
      <c r="AI37" s="112">
        <f t="shared" ca="1" si="64"/>
        <v>100000</v>
      </c>
      <c r="AJ37" s="112" t="str">
        <f t="shared" ca="1" si="45"/>
        <v>0-8 anni</v>
      </c>
      <c r="AM37">
        <f ca="1">VLOOKUP(AI37,Foglio1tibis!$AB$31:$AN$284,13)</f>
        <v>261</v>
      </c>
      <c r="AN37">
        <f t="shared" ca="1" si="21"/>
        <v>6</v>
      </c>
      <c r="AO37">
        <f t="shared" ca="1" si="22"/>
        <v>255</v>
      </c>
      <c r="AQ37" s="112">
        <f t="shared" ca="1" si="23"/>
        <v>100000</v>
      </c>
      <c r="AR37" s="112" cm="1">
        <f t="array" aca="1" ref="AR37" ca="1">INDIRECT(CONCATENATE($AP$15,$AR$16,AO37))</f>
        <v>45291</v>
      </c>
      <c r="AS37" t="str" cm="1">
        <f t="array" aca="1" ref="AS37" ca="1">INDIRECT(CONCATENATE($AP$15,$AS$16,AO37))</f>
        <v>0-2anni</v>
      </c>
      <c r="AT37" cm="1">
        <f t="array" aca="1" ref="AT37" ca="1">INDIRECT(CONCATENATE($AP$15,$AT$16,AO37))</f>
        <v>0</v>
      </c>
      <c r="AU37" cm="1">
        <f t="array" aca="1" ref="AU37" ca="1">INDIRECT(CONCATENATE($AP$15,$AU$16,AO37))</f>
        <v>14513.09</v>
      </c>
      <c r="AV37" cm="1">
        <f t="array" aca="1" ref="AV37" ca="1">INDIRECT(CONCATENATE($AP$15,$AV$16,AO37))</f>
        <v>0</v>
      </c>
      <c r="AW37" cm="1">
        <f t="array" aca="1" ref="AW37" ca="1">INDIRECT(CONCATENATE($AP$15,$AW$16,AO37))</f>
        <v>0</v>
      </c>
      <c r="AX37" cm="1">
        <f t="array" aca="1" ref="AX37" ca="1">INDIRECT(CONCATENATE($AP$15,$AX$16,AO37))</f>
        <v>6384.11</v>
      </c>
      <c r="AY37" cm="1">
        <f t="array" aca="1" ref="AY37" ca="1">INDIRECT(CONCATENATE($AP$15,$AY$16,AO37))</f>
        <v>104.49</v>
      </c>
      <c r="AZ37" cm="1">
        <f t="array" aca="1" ref="AZ37" ca="1">INDIRECT(CONCATENATE($AP$15,$AZ$16,AO37))</f>
        <v>1690.19</v>
      </c>
      <c r="BA37" cm="1">
        <f t="array" aca="1" ref="BA37" ca="1">INDIRECT(CONCATENATE($AP$15,$BA$16,AO37))</f>
        <v>2214</v>
      </c>
      <c r="BH37" t="str">
        <f t="shared" ca="1" si="24"/>
        <v>C.C.N.L. COMPARTO  SCUOLA del Dicembre 2022</v>
      </c>
      <c r="BJ37" t="str">
        <f t="shared" ca="1" si="25"/>
        <v/>
      </c>
      <c r="BL37" t="str">
        <f t="shared" ca="1" si="26"/>
        <v xml:space="preserve">ARTICOLO 
</v>
      </c>
      <c r="BM37" t="str">
        <f t="shared" ca="1" si="27"/>
        <v xml:space="preserve">Con decorrenza dal:14/10/2173 Spetta fascia:0-2anni  C.C.N.L. COMPARTO  SCUOLA del Dicembre 2022
</v>
      </c>
      <c r="BN37" t="str">
        <f t="shared" ca="1" si="28"/>
        <v xml:space="preserve">Retribuzione euro:20897,2
</v>
      </c>
      <c r="BO37" t="str">
        <f t="shared" ca="1" si="29"/>
        <v xml:space="preserve">I.V.C. euro:104,49
</v>
      </c>
      <c r="BP37" t="str">
        <f t="shared" ca="1" si="30"/>
        <v xml:space="preserve">R.P.D. euro:2214
</v>
      </c>
      <c r="BQ37" t="str">
        <f t="shared" ca="1" si="31"/>
        <v/>
      </c>
      <c r="BR37" t="str">
        <f t="shared" ca="1" si="32"/>
        <v xml:space="preserve">TOTALE EURO:23215,69
 altri assegni previsti per legge
</v>
      </c>
      <c r="CA37" t="str">
        <f ca="1" xml:space="preserve">    IF(BJ36="","",             IF(BJ37="",$CA$13,CONCATENATE(BL37,BM37,BN37,BO37,BP37,BQ37,BR37)))</f>
        <v/>
      </c>
      <c r="CH37" t="e">
        <f t="shared" si="46"/>
        <v>#N/A</v>
      </c>
      <c r="CI37" t="e">
        <f t="shared" si="47"/>
        <v>#N/A</v>
      </c>
      <c r="CJ37">
        <f t="shared" si="33"/>
        <v>20</v>
      </c>
      <c r="CK37" s="112">
        <v>40269</v>
      </c>
      <c r="CL37" s="238">
        <f t="shared" si="48"/>
        <v>37</v>
      </c>
      <c r="CM37" s="247">
        <f>aumentibiennali!K44</f>
        <v>0</v>
      </c>
      <c r="CN37" s="112" t="str">
        <f t="shared" ref="CN37:CN38" si="65">CONCATENATE(1,"/",9,"/",LEFT(CM37,4))</f>
        <v>1/9/0</v>
      </c>
      <c r="CO37" s="112" t="str">
        <f t="shared" ref="CO37:CO38" si="66">CONCATENATE(31,"/",8,"/",RIGHT(CM37,4))</f>
        <v>31/8/0</v>
      </c>
      <c r="CP37" s="112" t="str">
        <f t="shared" ref="CP37:CP38" si="67">IF(CM37=0,"",CN37*1)</f>
        <v/>
      </c>
      <c r="CQ37" s="112" t="str">
        <f t="shared" ref="CQ37:CQ38" si="68">IF(CM37=0,"",CO37*1)</f>
        <v/>
      </c>
      <c r="CR37" s="112"/>
      <c r="CS37" s="112" t="e">
        <f t="shared" si="11"/>
        <v>#N/A</v>
      </c>
      <c r="CT37" s="112" t="e">
        <f>HLOOKUP(CT35,$CN$11:$DO$14,3)</f>
        <v>#N/A</v>
      </c>
      <c r="CV37" s="112">
        <f t="shared" ref="CV37:CV74" si="69">IF(TYPE(CT37)=16,100000,IF(OR(CT37=0,CT37="",TYPE(CT37)=16),100000,CT37))</f>
        <v>100000</v>
      </c>
      <c r="CW37" s="112">
        <f t="shared" si="54"/>
        <v>100000</v>
      </c>
      <c r="CX37" s="238" t="e">
        <f ca="1">VLOOKUP(CZ37,Foglio1tibis!$AB$31:$AN$283,13)-6</f>
        <v>#N/A</v>
      </c>
      <c r="CY37" s="112" t="str">
        <f t="shared" si="49"/>
        <v/>
      </c>
      <c r="CZ37" s="478" t="str">
        <f t="shared" ref="CZ37:CZ50" si="70">IF(CW37&lt;100000,CW37,"")</f>
        <v/>
      </c>
      <c r="DA37" s="479" t="str">
        <f t="shared" si="62"/>
        <v/>
      </c>
      <c r="DB37" s="112" t="str">
        <f t="shared" si="39"/>
        <v/>
      </c>
      <c r="DC37" s="114" t="e">
        <f t="shared" si="40"/>
        <v>#VALUE!</v>
      </c>
      <c r="DD37" s="114" t="str" cm="1">
        <f t="array" aca="1" ref="DD37" ca="1">IF(CY37="","",INDIRECT(CONCATENATE($AP$15,$AU$16,CX37)))</f>
        <v/>
      </c>
      <c r="DE37" s="114"/>
      <c r="DF37" s="114"/>
      <c r="DG37" s="114" t="str" cm="1">
        <f t="array" aca="1" ref="DG37" ca="1">IF(DD37="","",INDIRECT(CONCATENATE($AP$15,$AX$16,CX37)))</f>
        <v/>
      </c>
      <c r="DH37" s="114" t="str" cm="1">
        <f t="array" aca="1" ref="DH37" ca="1">IF(DD37="","",INDIRECT(CONCATENATE($AP$15,$AY$16,CX37)))</f>
        <v/>
      </c>
      <c r="DI37" s="114"/>
      <c r="DJ37" s="114" t="str" cm="1">
        <f t="array" aca="1" ref="DJ37" ca="1">IF(DD37="","",INDIRECT(CONCATENATE($AP$15,$BA$16,CX37)))</f>
        <v/>
      </c>
      <c r="DK37">
        <f t="shared" si="55"/>
        <v>0</v>
      </c>
      <c r="DL37" s="114">
        <f t="shared" ref="DL37:DL50" si="71">VLOOKUP(CZ37,$DT$10:$DU$14,2)</f>
        <v>0</v>
      </c>
      <c r="DM37" s="114" t="e">
        <f t="shared" ref="DM37:DM50" ca="1" si="72">IF(TYPE(DL37)=16,0,               ROUND(    (DH37+DG37+DD37)*DL37/1000,2)                                  )</f>
        <v>#VALUE!</v>
      </c>
      <c r="DN37">
        <f>aumentibiennali!K51</f>
        <v>0</v>
      </c>
      <c r="DO37" t="e">
        <f t="shared" ref="DO37:DO50" ca="1" si="73">IF(DM37=0,"",CONCATENATE("--------------------------------","
","Con decorrenza dal:",DAY(CZ37),"/",MONTH(CZ37),"/",YEAR(CZ37),"  -  al:",DAY(DA37),"/",MONTH(DA37),"/",YEAR(DA37)," - SPETTA:","
","RETRIBUZIONE A.L. EURO:",DD37+DG37,"
","i.v.c. EURO:",DH37,"
","R.P.D. EURO:",DJ37,"
","
"))</f>
        <v>#VALUE!</v>
      </c>
      <c r="DP37" t="e">
        <f t="shared" ca="1" si="58"/>
        <v>#VALUE!</v>
      </c>
      <c r="DU37" t="e">
        <f t="shared" ref="DU37:DU50" ca="1" si="74">CONCATENATE(DO37,DP37,"
")</f>
        <v>#VALUE!</v>
      </c>
      <c r="EO37" s="320" t="str">
        <f t="shared" ca="1" si="59"/>
        <v/>
      </c>
      <c r="EP37" s="320"/>
      <c r="EQ37" s="320"/>
      <c r="ER37" s="320"/>
      <c r="ES37" s="320"/>
      <c r="ET37" s="320"/>
      <c r="EU37" s="320"/>
      <c r="EV37" s="320"/>
      <c r="EW37" s="320"/>
      <c r="EX37" s="320"/>
      <c r="EY37" s="320"/>
      <c r="EZ37" s="320"/>
      <c r="FA37" s="320"/>
      <c r="FB37" s="320"/>
      <c r="FC37" s="320"/>
      <c r="FD37" s="320"/>
      <c r="FE37" s="320"/>
      <c r="FF37" s="320"/>
      <c r="FG37" s="320"/>
      <c r="FH37" s="320"/>
      <c r="FI37" s="320"/>
      <c r="FJ37" s="320"/>
      <c r="FK37" s="320"/>
      <c r="FL37" s="320"/>
      <c r="FM37" s="320"/>
      <c r="FN37" s="320"/>
      <c r="FO37" s="320"/>
      <c r="FP37" s="320"/>
      <c r="FQ37" s="320"/>
      <c r="FR37" s="320"/>
    </row>
    <row r="38" spans="2:174" ht="21" customHeight="1" thickBot="1" x14ac:dyDescent="0.3">
      <c r="B38">
        <f t="shared" si="52"/>
        <v>20</v>
      </c>
      <c r="D38" s="112">
        <v>40269</v>
      </c>
      <c r="X38" s="112">
        <f t="shared" ca="1" si="7"/>
        <v>100000</v>
      </c>
      <c r="Z38">
        <f t="shared" si="44"/>
        <v>21</v>
      </c>
      <c r="AA38" s="112">
        <f t="shared" ca="1" si="8"/>
        <v>100000</v>
      </c>
      <c r="AD38" s="112">
        <f t="shared" ca="1" si="19"/>
        <v>100000</v>
      </c>
      <c r="AI38" s="112">
        <f t="shared" ca="1" si="64"/>
        <v>100000</v>
      </c>
      <c r="AJ38" s="112" t="str">
        <f t="shared" ca="1" si="45"/>
        <v>0-8 anni</v>
      </c>
      <c r="AM38">
        <f ca="1">VLOOKUP(AI38,Foglio1tibis!$AB$31:$AN$284,13)</f>
        <v>261</v>
      </c>
      <c r="AN38">
        <f t="shared" ca="1" si="21"/>
        <v>6</v>
      </c>
      <c r="AO38">
        <f t="shared" ca="1" si="22"/>
        <v>255</v>
      </c>
      <c r="AQ38" s="112">
        <f t="shared" ca="1" si="23"/>
        <v>100000</v>
      </c>
      <c r="AR38" s="112" cm="1">
        <f t="array" aca="1" ref="AR38" ca="1">INDIRECT(CONCATENATE($AP$15,$AR$16,AO38))</f>
        <v>45291</v>
      </c>
      <c r="AS38" t="str" cm="1">
        <f t="array" aca="1" ref="AS38" ca="1">INDIRECT(CONCATENATE($AP$15,$AS$16,AO38))</f>
        <v>0-2anni</v>
      </c>
      <c r="AT38" cm="1">
        <f t="array" aca="1" ref="AT38" ca="1">INDIRECT(CONCATENATE($AP$15,$AT$16,AO38))</f>
        <v>0</v>
      </c>
      <c r="AU38" cm="1">
        <f t="array" aca="1" ref="AU38" ca="1">INDIRECT(CONCATENATE($AP$15,$AU$16,AO38))</f>
        <v>14513.09</v>
      </c>
      <c r="AV38" cm="1">
        <f t="array" aca="1" ref="AV38" ca="1">INDIRECT(CONCATENATE($AP$15,$AV$16,AO38))</f>
        <v>0</v>
      </c>
      <c r="AW38" cm="1">
        <f t="array" aca="1" ref="AW38" ca="1">INDIRECT(CONCATENATE($AP$15,$AW$16,AO38))</f>
        <v>0</v>
      </c>
      <c r="AX38" cm="1">
        <f t="array" aca="1" ref="AX38" ca="1">INDIRECT(CONCATENATE($AP$15,$AX$16,AO38))</f>
        <v>6384.11</v>
      </c>
      <c r="AY38" cm="1">
        <f t="array" aca="1" ref="AY38" ca="1">INDIRECT(CONCATENATE($AP$15,$AY$16,AO38))</f>
        <v>104.49</v>
      </c>
      <c r="AZ38" cm="1">
        <f t="array" aca="1" ref="AZ38" ca="1">INDIRECT(CONCATENATE($AP$15,$AZ$16,AO38))</f>
        <v>1690.19</v>
      </c>
      <c r="BA38" cm="1">
        <f t="array" aca="1" ref="BA38" ca="1">INDIRECT(CONCATENATE($AP$15,$BA$16,AO38))</f>
        <v>2214</v>
      </c>
      <c r="BH38" t="str">
        <f t="shared" ca="1" si="24"/>
        <v>C.C.N.L. COMPARTO  SCUOLA del Dicembre 2022</v>
      </c>
      <c r="BJ38" t="str">
        <f t="shared" ca="1" si="25"/>
        <v/>
      </c>
      <c r="BL38" t="str">
        <f t="shared" ca="1" si="26"/>
        <v xml:space="preserve">ARTICOLO 
</v>
      </c>
      <c r="BM38" t="str">
        <f t="shared" ca="1" si="27"/>
        <v xml:space="preserve">Con decorrenza dal:14/10/2173 Spetta fascia:0-2anni  C.C.N.L. COMPARTO  SCUOLA del Dicembre 2022
</v>
      </c>
      <c r="BN38" t="str">
        <f t="shared" ca="1" si="28"/>
        <v xml:space="preserve">Retribuzione euro:20897,2
</v>
      </c>
      <c r="BO38" t="str">
        <f t="shared" ca="1" si="29"/>
        <v xml:space="preserve">I.V.C. euro:104,49
</v>
      </c>
      <c r="BP38" t="str">
        <f t="shared" ca="1" si="30"/>
        <v xml:space="preserve">R.P.D. euro:2214
</v>
      </c>
      <c r="BQ38" t="str">
        <f t="shared" ca="1" si="31"/>
        <v/>
      </c>
      <c r="BR38" t="str">
        <f t="shared" ca="1" si="32"/>
        <v xml:space="preserve">TOTALE EURO:23215,69
 altri assegni previsti per legge
</v>
      </c>
      <c r="CA38" t="str">
        <f t="shared" ref="CA38:CA61" ca="1" si="75" xml:space="preserve">    IF(BJ37="","",             IF(BJ38="",$CA$13,CONCATENATE(BL38,BM38,BN38,BO38,BP38,BQ38,BR38)))</f>
        <v/>
      </c>
      <c r="CH38" t="e">
        <f t="shared" si="46"/>
        <v>#N/A</v>
      </c>
      <c r="CI38" t="e">
        <f t="shared" si="47"/>
        <v>#N/A</v>
      </c>
      <c r="CJ38">
        <f t="shared" si="33"/>
        <v>21</v>
      </c>
      <c r="CK38" s="112">
        <v>40360</v>
      </c>
      <c r="CL38" s="238">
        <f t="shared" si="48"/>
        <v>38</v>
      </c>
      <c r="CM38" s="247">
        <f>aumentibiennali!K45</f>
        <v>0</v>
      </c>
      <c r="CN38" s="112" t="str">
        <f t="shared" si="65"/>
        <v>1/9/0</v>
      </c>
      <c r="CO38" s="112" t="str">
        <f t="shared" si="66"/>
        <v>31/8/0</v>
      </c>
      <c r="CP38" s="112" t="str">
        <f t="shared" si="67"/>
        <v/>
      </c>
      <c r="CQ38" s="112" t="str">
        <f t="shared" si="68"/>
        <v/>
      </c>
      <c r="CR38" s="112"/>
      <c r="CS38" s="112" t="e">
        <f t="shared" si="11"/>
        <v>#N/A</v>
      </c>
      <c r="CT38" s="112" t="e">
        <f>HLOOKUP(CT35,$CN$11:$DO$14,4)</f>
        <v>#N/A</v>
      </c>
      <c r="CV38" s="112">
        <f t="shared" si="69"/>
        <v>100000</v>
      </c>
      <c r="CW38" s="112">
        <f t="shared" si="54"/>
        <v>100000</v>
      </c>
      <c r="CX38" s="238" t="e">
        <f ca="1">VLOOKUP(CZ38,Foglio1tibis!$AB$31:$AN$283,13)-6</f>
        <v>#N/A</v>
      </c>
      <c r="CY38" s="112" t="str">
        <f t="shared" si="49"/>
        <v/>
      </c>
      <c r="CZ38" s="478" t="str">
        <f t="shared" si="70"/>
        <v/>
      </c>
      <c r="DA38" s="479" t="str">
        <f t="shared" si="62"/>
        <v/>
      </c>
      <c r="DB38" s="112" t="str">
        <f t="shared" si="39"/>
        <v/>
      </c>
      <c r="DC38" s="114" t="e">
        <f t="shared" si="40"/>
        <v>#VALUE!</v>
      </c>
      <c r="DD38" s="114" t="str" cm="1">
        <f t="array" aca="1" ref="DD38" ca="1">IF(CY38="","",INDIRECT(CONCATENATE($AP$15,$AU$16,CX38)))</f>
        <v/>
      </c>
      <c r="DE38" s="114"/>
      <c r="DF38" s="114"/>
      <c r="DG38" s="114" t="str" cm="1">
        <f t="array" aca="1" ref="DG38" ca="1">IF(DD38="","",INDIRECT(CONCATENATE($AP$15,$AX$16,CX38)))</f>
        <v/>
      </c>
      <c r="DH38" s="114" t="str" cm="1">
        <f t="array" aca="1" ref="DH38" ca="1">IF(DD38="","",INDIRECT(CONCATENATE($AP$15,$AY$16,CX38)))</f>
        <v/>
      </c>
      <c r="DI38" s="114"/>
      <c r="DJ38" s="114" t="str" cm="1">
        <f t="array" aca="1" ref="DJ38" ca="1">IF(DD38="","",INDIRECT(CONCATENATE($AP$15,$BA$16,CX38)))</f>
        <v/>
      </c>
      <c r="DK38">
        <f t="shared" si="55"/>
        <v>0</v>
      </c>
      <c r="DL38" s="114">
        <f t="shared" si="71"/>
        <v>0</v>
      </c>
      <c r="DM38" s="114" t="e">
        <f t="shared" ca="1" si="72"/>
        <v>#VALUE!</v>
      </c>
      <c r="DN38" t="str">
        <f>aumentibiennali!K52</f>
        <v>1 A.B.</v>
      </c>
      <c r="DO38" t="e">
        <f t="shared" ca="1" si="73"/>
        <v>#VALUE!</v>
      </c>
      <c r="DP38" t="e">
        <f t="shared" ca="1" si="58"/>
        <v>#VALUE!</v>
      </c>
      <c r="DU38" t="e">
        <f t="shared" ca="1" si="74"/>
        <v>#VALUE!</v>
      </c>
      <c r="EO38" s="320" t="str">
        <f t="shared" ca="1" si="59"/>
        <v/>
      </c>
      <c r="EP38" s="320"/>
      <c r="EQ38" s="320"/>
      <c r="ER38" s="320"/>
      <c r="ES38" s="320"/>
      <c r="ET38" s="320"/>
      <c r="EU38" s="320"/>
      <c r="EV38" s="320"/>
      <c r="EW38" s="320"/>
      <c r="EX38" s="320"/>
      <c r="EY38" s="320"/>
      <c r="EZ38" s="320"/>
      <c r="FA38" s="320"/>
      <c r="FB38" s="320"/>
      <c r="FC38" s="320"/>
      <c r="FD38" s="320"/>
      <c r="FE38" s="320"/>
      <c r="FF38" s="320"/>
      <c r="FG38" s="320"/>
      <c r="FH38" s="320"/>
      <c r="FI38" s="320"/>
      <c r="FJ38" s="320"/>
      <c r="FK38" s="320"/>
      <c r="FL38" s="320"/>
      <c r="FM38" s="320"/>
      <c r="FN38" s="320"/>
      <c r="FO38" s="320"/>
      <c r="FP38" s="320"/>
      <c r="FQ38" s="320"/>
      <c r="FR38" s="320"/>
    </row>
    <row r="39" spans="2:174" ht="15.75" thickBot="1" x14ac:dyDescent="0.3">
      <c r="B39">
        <f t="shared" si="52"/>
        <v>21</v>
      </c>
      <c r="D39" s="112">
        <v>40360</v>
      </c>
      <c r="X39" s="112">
        <f t="shared" ca="1" si="7"/>
        <v>100000</v>
      </c>
      <c r="Z39">
        <f t="shared" si="44"/>
        <v>22</v>
      </c>
      <c r="AA39" s="112">
        <f t="shared" ca="1" si="8"/>
        <v>100000</v>
      </c>
      <c r="AD39" s="112">
        <f t="shared" ca="1" si="19"/>
        <v>100000</v>
      </c>
      <c r="AI39" s="112">
        <f t="shared" ca="1" si="64"/>
        <v>100000</v>
      </c>
      <c r="AJ39" s="112" t="str">
        <f t="shared" ca="1" si="45"/>
        <v>0-8 anni</v>
      </c>
      <c r="AM39">
        <f ca="1">VLOOKUP(AI39,Foglio1tibis!$AB$31:$AN$284,13)</f>
        <v>261</v>
      </c>
      <c r="AN39">
        <f t="shared" ref="AN39:AN72" ca="1" si="76">VLOOKUP(AJ39,$AJ$9:$AK$16,2,FALSE)</f>
        <v>6</v>
      </c>
      <c r="AO39">
        <f t="shared" ref="AO39:AO72" ca="1" si="77">AM39-AN39</f>
        <v>255</v>
      </c>
      <c r="AQ39" s="112">
        <f t="shared" ref="AQ39:AQ72" ca="1" si="78">AI39</f>
        <v>100000</v>
      </c>
      <c r="AR39" s="112" cm="1">
        <f t="array" aca="1" ref="AR39" ca="1">INDIRECT(CONCATENATE($AP$15,$AR$16,AO39))</f>
        <v>45291</v>
      </c>
      <c r="AS39" t="str" cm="1">
        <f t="array" aca="1" ref="AS39" ca="1">INDIRECT(CONCATENATE($AP$15,$AS$16,AO39))</f>
        <v>0-2anni</v>
      </c>
      <c r="AT39" cm="1">
        <f t="array" aca="1" ref="AT39" ca="1">INDIRECT(CONCATENATE($AP$15,$AT$16,AO39))</f>
        <v>0</v>
      </c>
      <c r="AU39" cm="1">
        <f t="array" aca="1" ref="AU39" ca="1">INDIRECT(CONCATENATE($AP$15,$AU$16,AO39))</f>
        <v>14513.09</v>
      </c>
      <c r="AV39" cm="1">
        <f t="array" aca="1" ref="AV39" ca="1">INDIRECT(CONCATENATE($AP$15,$AV$16,AO39))</f>
        <v>0</v>
      </c>
      <c r="AW39" cm="1">
        <f t="array" aca="1" ref="AW39" ca="1">INDIRECT(CONCATENATE($AP$15,$AW$16,AO39))</f>
        <v>0</v>
      </c>
      <c r="AX39" cm="1">
        <f t="array" aca="1" ref="AX39" ca="1">INDIRECT(CONCATENATE($AP$15,$AX$16,AO39))</f>
        <v>6384.11</v>
      </c>
      <c r="AY39" cm="1">
        <f t="array" aca="1" ref="AY39" ca="1">INDIRECT(CONCATENATE($AP$15,$AY$16,AO39))</f>
        <v>104.49</v>
      </c>
      <c r="AZ39" cm="1">
        <f t="array" aca="1" ref="AZ39" ca="1">INDIRECT(CONCATENATE($AP$15,$AZ$16,AO39))</f>
        <v>1690.19</v>
      </c>
      <c r="BA39" cm="1">
        <f t="array" aca="1" ref="BA39" ca="1">INDIRECT(CONCATENATE($AP$15,$BA$16,AO39))</f>
        <v>2214</v>
      </c>
      <c r="BH39" t="str">
        <f t="shared" ca="1" si="24"/>
        <v>C.C.N.L. COMPARTO  SCUOLA del Dicembre 2022</v>
      </c>
      <c r="BJ39" t="str">
        <f t="shared" ca="1" si="25"/>
        <v/>
      </c>
      <c r="BL39" t="str">
        <f t="shared" ca="1" si="26"/>
        <v xml:space="preserve">ARTICOLO 
</v>
      </c>
      <c r="BM39" t="str">
        <f t="shared" ca="1" si="27"/>
        <v xml:space="preserve">Con decorrenza dal:14/10/2173 Spetta fascia:0-2anni  C.C.N.L. COMPARTO  SCUOLA del Dicembre 2022
</v>
      </c>
      <c r="BN39" t="str">
        <f t="shared" ca="1" si="28"/>
        <v xml:space="preserve">Retribuzione euro:20897,2
</v>
      </c>
      <c r="BO39" t="str">
        <f t="shared" ca="1" si="29"/>
        <v xml:space="preserve">I.V.C. euro:104,49
</v>
      </c>
      <c r="BP39" t="str">
        <f t="shared" ca="1" si="30"/>
        <v xml:space="preserve">R.P.D. euro:2214
</v>
      </c>
      <c r="BQ39" t="str">
        <f t="shared" ca="1" si="31"/>
        <v/>
      </c>
      <c r="BR39" t="str">
        <f t="shared" ca="1" si="32"/>
        <v xml:space="preserve">TOTALE EURO:23215,69
 altri assegni previsti per legge
</v>
      </c>
      <c r="CA39" t="str">
        <f t="shared" ca="1" si="75"/>
        <v/>
      </c>
      <c r="CH39" t="e">
        <f t="shared" si="46"/>
        <v>#N/A</v>
      </c>
      <c r="CI39" t="e">
        <f t="shared" si="47"/>
        <v>#N/A</v>
      </c>
      <c r="CJ39">
        <f t="shared" si="33"/>
        <v>22</v>
      </c>
      <c r="CK39" s="112">
        <v>40422</v>
      </c>
      <c r="CL39" s="238">
        <f t="shared" si="48"/>
        <v>39</v>
      </c>
      <c r="CS39" s="112" t="e">
        <f t="shared" si="11"/>
        <v>#N/A</v>
      </c>
      <c r="CT39" s="112" t="str">
        <f>CP23</f>
        <v/>
      </c>
      <c r="CV39" s="112">
        <f t="shared" si="69"/>
        <v>100000</v>
      </c>
      <c r="CW39" s="112">
        <f t="shared" si="54"/>
        <v>100000</v>
      </c>
      <c r="CX39" s="238" t="e">
        <f ca="1">VLOOKUP(CZ39,Foglio1tibis!$AB$31:$AN$283,13)-6</f>
        <v>#N/A</v>
      </c>
      <c r="CY39" s="112" t="str">
        <f t="shared" si="49"/>
        <v/>
      </c>
      <c r="CZ39" s="478" t="str">
        <f t="shared" si="70"/>
        <v/>
      </c>
      <c r="DA39" s="479" t="str">
        <f t="shared" si="62"/>
        <v/>
      </c>
      <c r="DB39" s="112" t="str">
        <f t="shared" si="39"/>
        <v/>
      </c>
      <c r="DC39" s="114" t="e">
        <f t="shared" si="40"/>
        <v>#VALUE!</v>
      </c>
      <c r="DD39" s="114" t="str" cm="1">
        <f t="array" aca="1" ref="DD39" ca="1">IF(CY39="","",INDIRECT(CONCATENATE($AP$15,$AU$16,CX39)))</f>
        <v/>
      </c>
      <c r="DE39" s="114"/>
      <c r="DF39" s="114"/>
      <c r="DG39" s="114" t="str" cm="1">
        <f t="array" aca="1" ref="DG39" ca="1">IF(DD39="","",INDIRECT(CONCATENATE($AP$15,$AX$16,CX39)))</f>
        <v/>
      </c>
      <c r="DH39" s="114" t="str" cm="1">
        <f t="array" aca="1" ref="DH39" ca="1">IF(DD39="","",INDIRECT(CONCATENATE($AP$15,$AY$16,CX39)))</f>
        <v/>
      </c>
      <c r="DI39" s="114"/>
      <c r="DJ39" s="114" t="str" cm="1">
        <f t="array" aca="1" ref="DJ39" ca="1">IF(DD39="","",INDIRECT(CONCATENATE($AP$15,$BA$16,CX39)))</f>
        <v/>
      </c>
      <c r="DK39">
        <f t="shared" si="55"/>
        <v>0</v>
      </c>
      <c r="DL39" s="114">
        <f t="shared" si="71"/>
        <v>0</v>
      </c>
      <c r="DM39" s="114" t="e">
        <f t="shared" ca="1" si="72"/>
        <v>#VALUE!</v>
      </c>
      <c r="DN39" t="str">
        <f>aumentibiennali!K53</f>
        <v>2 A.B.</v>
      </c>
      <c r="DO39" t="e">
        <f t="shared" ca="1" si="73"/>
        <v>#VALUE!</v>
      </c>
      <c r="DP39" t="e">
        <f t="shared" ca="1" si="58"/>
        <v>#VALUE!</v>
      </c>
      <c r="DU39" t="e">
        <f t="shared" ca="1" si="74"/>
        <v>#VALUE!</v>
      </c>
      <c r="EO39" s="320" t="str">
        <f t="shared" ca="1" si="59"/>
        <v/>
      </c>
      <c r="EP39" s="320"/>
      <c r="EQ39" s="320"/>
      <c r="ER39" s="320"/>
      <c r="ES39" s="320"/>
      <c r="ET39" s="320"/>
      <c r="EU39" s="320"/>
      <c r="EV39" s="320"/>
      <c r="EW39" s="320"/>
      <c r="EX39" s="320"/>
      <c r="EY39" s="320"/>
      <c r="EZ39" s="320"/>
      <c r="FA39" s="320"/>
      <c r="FB39" s="320"/>
      <c r="FC39" s="320"/>
      <c r="FD39" s="320"/>
      <c r="FE39" s="320"/>
      <c r="FF39" s="320"/>
      <c r="FG39" s="320"/>
      <c r="FH39" s="320"/>
      <c r="FI39" s="320"/>
      <c r="FJ39" s="320"/>
      <c r="FK39" s="320"/>
      <c r="FL39" s="320"/>
      <c r="FM39" s="320"/>
      <c r="FN39" s="320"/>
      <c r="FO39" s="320"/>
      <c r="FP39" s="320"/>
      <c r="FQ39" s="320"/>
      <c r="FR39" s="320"/>
    </row>
    <row r="40" spans="2:174" ht="15.75" thickBot="1" x14ac:dyDescent="0.3">
      <c r="B40">
        <f t="shared" si="52"/>
        <v>22</v>
      </c>
      <c r="D40" s="112">
        <v>40422</v>
      </c>
      <c r="X40" s="112">
        <f t="shared" ca="1" si="7"/>
        <v>100000</v>
      </c>
      <c r="Z40">
        <f t="shared" si="44"/>
        <v>23</v>
      </c>
      <c r="AA40" s="112">
        <f t="shared" ca="1" si="8"/>
        <v>100000</v>
      </c>
      <c r="AD40" s="112">
        <f t="shared" ca="1" si="19"/>
        <v>100000</v>
      </c>
      <c r="AI40" s="112">
        <f t="shared" ca="1" si="64"/>
        <v>100000</v>
      </c>
      <c r="AJ40" s="112" t="str">
        <f t="shared" ca="1" si="45"/>
        <v>0-8 anni</v>
      </c>
      <c r="AM40">
        <f ca="1">VLOOKUP(AI40,Foglio1tibis!$AB$31:$AN$284,13)</f>
        <v>261</v>
      </c>
      <c r="AN40">
        <f t="shared" ca="1" si="76"/>
        <v>6</v>
      </c>
      <c r="AO40">
        <f t="shared" ca="1" si="77"/>
        <v>255</v>
      </c>
      <c r="AQ40" s="112">
        <f t="shared" ca="1" si="78"/>
        <v>100000</v>
      </c>
      <c r="AR40" s="112" cm="1">
        <f t="array" aca="1" ref="AR40" ca="1">INDIRECT(CONCATENATE($AP$15,$AR$16,AO40))</f>
        <v>45291</v>
      </c>
      <c r="AS40" t="str" cm="1">
        <f t="array" aca="1" ref="AS40" ca="1">INDIRECT(CONCATENATE($AP$15,$AS$16,AO40))</f>
        <v>0-2anni</v>
      </c>
      <c r="AT40" cm="1">
        <f t="array" aca="1" ref="AT40" ca="1">INDIRECT(CONCATENATE($AP$15,$AT$16,AO40))</f>
        <v>0</v>
      </c>
      <c r="AU40" cm="1">
        <f t="array" aca="1" ref="AU40" ca="1">INDIRECT(CONCATENATE($AP$15,$AU$16,AO40))</f>
        <v>14513.09</v>
      </c>
      <c r="AV40" cm="1">
        <f t="array" aca="1" ref="AV40" ca="1">INDIRECT(CONCATENATE($AP$15,$AV$16,AO40))</f>
        <v>0</v>
      </c>
      <c r="AW40" cm="1">
        <f t="array" aca="1" ref="AW40" ca="1">INDIRECT(CONCATENATE($AP$15,$AW$16,AO40))</f>
        <v>0</v>
      </c>
      <c r="AX40" cm="1">
        <f t="array" aca="1" ref="AX40" ca="1">INDIRECT(CONCATENATE($AP$15,$AX$16,AO40))</f>
        <v>6384.11</v>
      </c>
      <c r="AY40" cm="1">
        <f t="array" aca="1" ref="AY40" ca="1">INDIRECT(CONCATENATE($AP$15,$AY$16,AO40))</f>
        <v>104.49</v>
      </c>
      <c r="AZ40" cm="1">
        <f t="array" aca="1" ref="AZ40" ca="1">INDIRECT(CONCATENATE($AP$15,$AZ$16,AO40))</f>
        <v>1690.19</v>
      </c>
      <c r="BA40" cm="1">
        <f t="array" aca="1" ref="BA40" ca="1">INDIRECT(CONCATENATE($AP$15,$BA$16,AO40))</f>
        <v>2214</v>
      </c>
      <c r="BH40" t="str">
        <f t="shared" ca="1" si="24"/>
        <v>C.C.N.L. COMPARTO  SCUOLA del Dicembre 2022</v>
      </c>
      <c r="BJ40" t="str">
        <f t="shared" ca="1" si="25"/>
        <v/>
      </c>
      <c r="BL40" t="str">
        <f t="shared" ca="1" si="26"/>
        <v xml:space="preserve">ARTICOLO 
</v>
      </c>
      <c r="BM40" t="str">
        <f t="shared" ca="1" si="27"/>
        <v xml:space="preserve">Con decorrenza dal:14/10/2173 Spetta fascia:0-2anni  C.C.N.L. COMPARTO  SCUOLA del Dicembre 2022
</v>
      </c>
      <c r="BN40" t="str">
        <f t="shared" ca="1" si="28"/>
        <v xml:space="preserve">Retribuzione euro:20897,2
</v>
      </c>
      <c r="BO40" t="str">
        <f t="shared" ca="1" si="29"/>
        <v xml:space="preserve">I.V.C. euro:104,49
</v>
      </c>
      <c r="BP40" t="str">
        <f t="shared" ca="1" si="30"/>
        <v xml:space="preserve">R.P.D. euro:2214
</v>
      </c>
      <c r="BQ40" t="str">
        <f t="shared" ca="1" si="31"/>
        <v/>
      </c>
      <c r="BR40" t="str">
        <f t="shared" ca="1" si="32"/>
        <v xml:space="preserve">TOTALE EURO:23215,69
 altri assegni previsti per legge
</v>
      </c>
      <c r="CA40" t="str">
        <f t="shared" ca="1" si="75"/>
        <v/>
      </c>
      <c r="CH40" t="e">
        <f t="shared" si="46"/>
        <v>#N/A</v>
      </c>
      <c r="CI40" t="e">
        <f t="shared" si="47"/>
        <v>#N/A</v>
      </c>
      <c r="CJ40">
        <f t="shared" si="33"/>
        <v>23</v>
      </c>
      <c r="CK40" s="112">
        <v>40544</v>
      </c>
      <c r="CL40" s="238">
        <f t="shared" si="48"/>
        <v>40</v>
      </c>
      <c r="CS40" s="112" t="e">
        <f t="shared" si="11"/>
        <v>#N/A</v>
      </c>
      <c r="CT40" s="112" t="e">
        <f>HLOOKUP(CT39,$CN$11:$DO$14,2)</f>
        <v>#N/A</v>
      </c>
      <c r="CV40" s="112">
        <f t="shared" si="69"/>
        <v>100000</v>
      </c>
      <c r="CW40" s="112">
        <f t="shared" si="54"/>
        <v>100000</v>
      </c>
      <c r="CX40" s="238" t="e">
        <f ca="1">VLOOKUP(CZ40,Foglio1tibis!$AB$31:$AN$283,13)-6</f>
        <v>#N/A</v>
      </c>
      <c r="CY40" s="112" t="str">
        <f t="shared" si="49"/>
        <v/>
      </c>
      <c r="CZ40" s="478" t="str">
        <f t="shared" si="70"/>
        <v/>
      </c>
      <c r="DA40" s="479" t="str">
        <f t="shared" si="62"/>
        <v/>
      </c>
      <c r="DB40" s="112" t="str">
        <f t="shared" si="39"/>
        <v/>
      </c>
      <c r="DC40" s="114" t="e">
        <f t="shared" si="40"/>
        <v>#VALUE!</v>
      </c>
      <c r="DD40" s="114" t="str" cm="1">
        <f t="array" aca="1" ref="DD40" ca="1">IF(CY40="","",INDIRECT(CONCATENATE($AP$15,$AU$16,CX40)))</f>
        <v/>
      </c>
      <c r="DE40" s="114"/>
      <c r="DF40" s="114"/>
      <c r="DG40" s="114" t="str" cm="1">
        <f t="array" aca="1" ref="DG40" ca="1">IF(DD40="","",INDIRECT(CONCATENATE($AP$15,$AX$16,CX40)))</f>
        <v/>
      </c>
      <c r="DH40" s="114" t="str" cm="1">
        <f t="array" aca="1" ref="DH40" ca="1">IF(DD40="","",INDIRECT(CONCATENATE($AP$15,$AY$16,CX40)))</f>
        <v/>
      </c>
      <c r="DI40" s="114"/>
      <c r="DJ40" s="114" t="str" cm="1">
        <f t="array" aca="1" ref="DJ40" ca="1">IF(DD40="","",INDIRECT(CONCATENATE($AP$15,$BA$16,CX40)))</f>
        <v/>
      </c>
      <c r="DK40">
        <f t="shared" si="55"/>
        <v>0</v>
      </c>
      <c r="DL40" s="114">
        <f t="shared" si="71"/>
        <v>0</v>
      </c>
      <c r="DM40" s="114" t="e">
        <f t="shared" ca="1" si="72"/>
        <v>#VALUE!</v>
      </c>
      <c r="DN40" t="str">
        <f>aumentibiennali!K54</f>
        <v>3 A.B.</v>
      </c>
      <c r="DO40" t="e">
        <f t="shared" ca="1" si="73"/>
        <v>#VALUE!</v>
      </c>
      <c r="DP40" t="e">
        <f t="shared" ca="1" si="58"/>
        <v>#VALUE!</v>
      </c>
      <c r="DU40" t="e">
        <f t="shared" ca="1" si="74"/>
        <v>#VALUE!</v>
      </c>
      <c r="EO40" s="320" t="str">
        <f t="shared" ca="1" si="59"/>
        <v/>
      </c>
      <c r="EP40" s="320"/>
      <c r="EQ40" s="320"/>
      <c r="ER40" s="320"/>
      <c r="ES40" s="320"/>
      <c r="ET40" s="320"/>
      <c r="EU40" s="320"/>
      <c r="EV40" s="320"/>
      <c r="EW40" s="320"/>
      <c r="EX40" s="320"/>
      <c r="EY40" s="320"/>
      <c r="EZ40" s="320"/>
      <c r="FA40" s="320"/>
      <c r="FB40" s="320"/>
      <c r="FC40" s="320"/>
      <c r="FD40" s="320"/>
      <c r="FE40" s="320"/>
      <c r="FF40" s="320"/>
      <c r="FG40" s="320"/>
      <c r="FH40" s="320"/>
      <c r="FI40" s="320"/>
      <c r="FJ40" s="320"/>
      <c r="FK40" s="320"/>
      <c r="FL40" s="320"/>
      <c r="FM40" s="320"/>
      <c r="FN40" s="320"/>
      <c r="FO40" s="320"/>
      <c r="FP40" s="320"/>
      <c r="FQ40" s="320"/>
      <c r="FR40" s="320"/>
    </row>
    <row r="41" spans="2:174" ht="15.75" thickBot="1" x14ac:dyDescent="0.3">
      <c r="B41">
        <f t="shared" si="52"/>
        <v>23</v>
      </c>
      <c r="D41" s="112">
        <v>40544</v>
      </c>
      <c r="X41" s="112">
        <f t="shared" ca="1" si="7"/>
        <v>100000</v>
      </c>
      <c r="Z41">
        <f t="shared" si="44"/>
        <v>24</v>
      </c>
      <c r="AA41" s="112">
        <f t="shared" ca="1" si="8"/>
        <v>100000</v>
      </c>
      <c r="AD41" s="112">
        <f t="shared" ca="1" si="19"/>
        <v>100000</v>
      </c>
      <c r="AI41" s="112">
        <f t="shared" ca="1" si="64"/>
        <v>100000</v>
      </c>
      <c r="AJ41" s="112" t="str">
        <f t="shared" ca="1" si="45"/>
        <v>0-8 anni</v>
      </c>
      <c r="AM41">
        <f ca="1">VLOOKUP(AI41,Foglio1tibis!$AB$31:$AN$284,13)</f>
        <v>261</v>
      </c>
      <c r="AN41">
        <f t="shared" ca="1" si="76"/>
        <v>6</v>
      </c>
      <c r="AO41">
        <f t="shared" ca="1" si="77"/>
        <v>255</v>
      </c>
      <c r="AQ41" s="112">
        <f t="shared" ca="1" si="78"/>
        <v>100000</v>
      </c>
      <c r="AR41" s="112" cm="1">
        <f t="array" aca="1" ref="AR41" ca="1">INDIRECT(CONCATENATE($AP$15,$AR$16,AO41))</f>
        <v>45291</v>
      </c>
      <c r="AS41" t="str" cm="1">
        <f t="array" aca="1" ref="AS41" ca="1">INDIRECT(CONCATENATE($AP$15,$AS$16,AO41))</f>
        <v>0-2anni</v>
      </c>
      <c r="AT41" cm="1">
        <f t="array" aca="1" ref="AT41" ca="1">INDIRECT(CONCATENATE($AP$15,$AT$16,AO41))</f>
        <v>0</v>
      </c>
      <c r="AU41" cm="1">
        <f t="array" aca="1" ref="AU41" ca="1">INDIRECT(CONCATENATE($AP$15,$AU$16,AO41))</f>
        <v>14513.09</v>
      </c>
      <c r="AV41" cm="1">
        <f t="array" aca="1" ref="AV41" ca="1">INDIRECT(CONCATENATE($AP$15,$AV$16,AO41))</f>
        <v>0</v>
      </c>
      <c r="AW41" cm="1">
        <f t="array" aca="1" ref="AW41" ca="1">INDIRECT(CONCATENATE($AP$15,$AW$16,AO41))</f>
        <v>0</v>
      </c>
      <c r="AX41" cm="1">
        <f t="array" aca="1" ref="AX41" ca="1">INDIRECT(CONCATENATE($AP$15,$AX$16,AO41))</f>
        <v>6384.11</v>
      </c>
      <c r="AY41" cm="1">
        <f t="array" aca="1" ref="AY41" ca="1">INDIRECT(CONCATENATE($AP$15,$AY$16,AO41))</f>
        <v>104.49</v>
      </c>
      <c r="AZ41" cm="1">
        <f t="array" aca="1" ref="AZ41" ca="1">INDIRECT(CONCATENATE($AP$15,$AZ$16,AO41))</f>
        <v>1690.19</v>
      </c>
      <c r="BA41" cm="1">
        <f t="array" aca="1" ref="BA41" ca="1">INDIRECT(CONCATENATE($AP$15,$BA$16,AO41))</f>
        <v>2214</v>
      </c>
      <c r="BH41" t="str">
        <f t="shared" ca="1" si="24"/>
        <v>C.C.N.L. COMPARTO  SCUOLA del Dicembre 2022</v>
      </c>
      <c r="BJ41" t="str">
        <f t="shared" ca="1" si="25"/>
        <v/>
      </c>
      <c r="BL41" t="str">
        <f t="shared" ca="1" si="26"/>
        <v xml:space="preserve">ARTICOLO 
</v>
      </c>
      <c r="BM41" t="str">
        <f t="shared" ca="1" si="27"/>
        <v xml:space="preserve">Con decorrenza dal:14/10/2173 Spetta fascia:0-2anni  C.C.N.L. COMPARTO  SCUOLA del Dicembre 2022
</v>
      </c>
      <c r="BN41" t="str">
        <f t="shared" ca="1" si="28"/>
        <v xml:space="preserve">Retribuzione euro:20897,2
</v>
      </c>
      <c r="BO41" t="str">
        <f t="shared" ca="1" si="29"/>
        <v xml:space="preserve">I.V.C. euro:104,49
</v>
      </c>
      <c r="BP41" t="str">
        <f t="shared" ca="1" si="30"/>
        <v xml:space="preserve">R.P.D. euro:2214
</v>
      </c>
      <c r="BQ41" t="str">
        <f t="shared" ca="1" si="31"/>
        <v/>
      </c>
      <c r="BR41" t="str">
        <f t="shared" ca="1" si="32"/>
        <v xml:space="preserve">TOTALE EURO:23215,69
 altri assegni previsti per legge
</v>
      </c>
      <c r="CA41" t="str">
        <f t="shared" ca="1" si="75"/>
        <v/>
      </c>
      <c r="CH41" t="e">
        <f t="shared" si="46"/>
        <v>#N/A</v>
      </c>
      <c r="CI41" t="e">
        <f t="shared" si="47"/>
        <v>#N/A</v>
      </c>
      <c r="CJ41">
        <f t="shared" si="33"/>
        <v>24</v>
      </c>
      <c r="CK41" s="112">
        <v>42370</v>
      </c>
      <c r="CL41" s="238">
        <f t="shared" si="48"/>
        <v>41</v>
      </c>
      <c r="CS41" s="112" t="e">
        <f t="shared" si="11"/>
        <v>#N/A</v>
      </c>
      <c r="CT41" s="112" t="e">
        <f>HLOOKUP(CT39,$CN$11:$DO$14,3)</f>
        <v>#N/A</v>
      </c>
      <c r="CV41" s="112">
        <f t="shared" si="69"/>
        <v>100000</v>
      </c>
      <c r="CW41" s="112">
        <f t="shared" si="54"/>
        <v>100000</v>
      </c>
      <c r="CX41" s="238" t="e">
        <f ca="1">VLOOKUP(CZ41,Foglio1tibis!$AB$31:$AN$283,13)-6</f>
        <v>#N/A</v>
      </c>
      <c r="CY41" s="112" t="str">
        <f t="shared" si="49"/>
        <v/>
      </c>
      <c r="CZ41" s="478" t="str">
        <f t="shared" si="70"/>
        <v/>
      </c>
      <c r="DA41" s="479" t="str">
        <f t="shared" si="62"/>
        <v/>
      </c>
      <c r="DB41" s="112" t="str">
        <f t="shared" si="39"/>
        <v/>
      </c>
      <c r="DC41" s="114" t="e">
        <f t="shared" si="40"/>
        <v>#VALUE!</v>
      </c>
      <c r="DD41" s="114" t="str" cm="1">
        <f t="array" aca="1" ref="DD41" ca="1">IF(CY41="","",INDIRECT(CONCATENATE($AP$15,$AU$16,CX41)))</f>
        <v/>
      </c>
      <c r="DE41" s="114"/>
      <c r="DF41" s="114"/>
      <c r="DG41" s="114" t="str" cm="1">
        <f t="array" aca="1" ref="DG41" ca="1">IF(DD41="","",INDIRECT(CONCATENATE($AP$15,$AX$16,CX41)))</f>
        <v/>
      </c>
      <c r="DH41" s="114" t="str" cm="1">
        <f t="array" aca="1" ref="DH41" ca="1">IF(DD41="","",INDIRECT(CONCATENATE($AP$15,$AY$16,CX41)))</f>
        <v/>
      </c>
      <c r="DI41" s="114"/>
      <c r="DJ41" s="114" t="str" cm="1">
        <f t="array" aca="1" ref="DJ41" ca="1">IF(DD41="","",INDIRECT(CONCATENATE($AP$15,$BA$16,CX41)))</f>
        <v/>
      </c>
      <c r="DK41">
        <f t="shared" si="55"/>
        <v>0</v>
      </c>
      <c r="DL41" s="114">
        <f t="shared" si="71"/>
        <v>0</v>
      </c>
      <c r="DM41" s="114" t="e">
        <f t="shared" ca="1" si="72"/>
        <v>#VALUE!</v>
      </c>
      <c r="DN41" t="str">
        <f>aumentibiennali!K55</f>
        <v>4 A.B.</v>
      </c>
      <c r="DO41" t="e">
        <f t="shared" ca="1" si="73"/>
        <v>#VALUE!</v>
      </c>
      <c r="DP41" t="e">
        <f t="shared" ca="1" si="58"/>
        <v>#VALUE!</v>
      </c>
      <c r="DU41" t="e">
        <f t="shared" ca="1" si="74"/>
        <v>#VALUE!</v>
      </c>
      <c r="EO41" s="320" t="str">
        <f t="shared" ca="1" si="59"/>
        <v/>
      </c>
      <c r="EP41" s="320"/>
      <c r="EQ41" s="320"/>
      <c r="ER41" s="320"/>
      <c r="ES41" s="320"/>
      <c r="ET41" s="320"/>
      <c r="EU41" s="320"/>
      <c r="EV41" s="320"/>
      <c r="EW41" s="320"/>
      <c r="EX41" s="320"/>
      <c r="EY41" s="320"/>
      <c r="EZ41" s="320"/>
      <c r="FA41" s="320"/>
      <c r="FB41" s="320"/>
      <c r="FC41" s="320"/>
      <c r="FD41" s="320"/>
      <c r="FE41" s="320"/>
      <c r="FF41" s="320"/>
      <c r="FG41" s="320"/>
      <c r="FH41" s="320"/>
      <c r="FI41" s="320"/>
      <c r="FJ41" s="320"/>
      <c r="FK41" s="320"/>
      <c r="FL41" s="320"/>
      <c r="FM41" s="320"/>
      <c r="FN41" s="320"/>
      <c r="FO41" s="320"/>
      <c r="FP41" s="320"/>
      <c r="FQ41" s="320"/>
      <c r="FR41" s="320"/>
    </row>
    <row r="42" spans="2:174" ht="15.75" thickBot="1" x14ac:dyDescent="0.3">
      <c r="B42">
        <f t="shared" si="52"/>
        <v>24</v>
      </c>
      <c r="D42" s="112">
        <v>42370</v>
      </c>
      <c r="X42" s="112">
        <f t="shared" ca="1" si="7"/>
        <v>100000</v>
      </c>
      <c r="Z42">
        <f t="shared" si="44"/>
        <v>25</v>
      </c>
      <c r="AA42" s="112">
        <f t="shared" ca="1" si="8"/>
        <v>100000</v>
      </c>
      <c r="AD42" s="112">
        <f t="shared" ca="1" si="19"/>
        <v>100000</v>
      </c>
      <c r="AI42" s="112">
        <f t="shared" ca="1" si="64"/>
        <v>100000</v>
      </c>
      <c r="AJ42" s="112" t="str">
        <f t="shared" ca="1" si="45"/>
        <v>0-8 anni</v>
      </c>
      <c r="AM42">
        <f ca="1">VLOOKUP(AI42,Foglio1tibis!$AB$31:$AN$284,13)</f>
        <v>261</v>
      </c>
      <c r="AN42">
        <f t="shared" ca="1" si="76"/>
        <v>6</v>
      </c>
      <c r="AO42">
        <f t="shared" ca="1" si="77"/>
        <v>255</v>
      </c>
      <c r="AQ42" s="112">
        <f t="shared" ca="1" si="78"/>
        <v>100000</v>
      </c>
      <c r="AR42" s="112" cm="1">
        <f t="array" aca="1" ref="AR42" ca="1">INDIRECT(CONCATENATE($AP$15,$AR$16,AO42))</f>
        <v>45291</v>
      </c>
      <c r="AS42" t="str" cm="1">
        <f t="array" aca="1" ref="AS42" ca="1">INDIRECT(CONCATENATE($AP$15,$AS$16,AO42))</f>
        <v>0-2anni</v>
      </c>
      <c r="AT42" cm="1">
        <f t="array" aca="1" ref="AT42" ca="1">INDIRECT(CONCATENATE($AP$15,$AT$16,AO42))</f>
        <v>0</v>
      </c>
      <c r="AU42" cm="1">
        <f t="array" aca="1" ref="AU42" ca="1">INDIRECT(CONCATENATE($AP$15,$AU$16,AO42))</f>
        <v>14513.09</v>
      </c>
      <c r="AV42" cm="1">
        <f t="array" aca="1" ref="AV42" ca="1">INDIRECT(CONCATENATE($AP$15,$AV$16,AO42))</f>
        <v>0</v>
      </c>
      <c r="AW42" cm="1">
        <f t="array" aca="1" ref="AW42" ca="1">INDIRECT(CONCATENATE($AP$15,$AW$16,AO42))</f>
        <v>0</v>
      </c>
      <c r="AX42" cm="1">
        <f t="array" aca="1" ref="AX42" ca="1">INDIRECT(CONCATENATE($AP$15,$AX$16,AO42))</f>
        <v>6384.11</v>
      </c>
      <c r="AY42" cm="1">
        <f t="array" aca="1" ref="AY42" ca="1">INDIRECT(CONCATENATE($AP$15,$AY$16,AO42))</f>
        <v>104.49</v>
      </c>
      <c r="AZ42" cm="1">
        <f t="array" aca="1" ref="AZ42" ca="1">INDIRECT(CONCATENATE($AP$15,$AZ$16,AO42))</f>
        <v>1690.19</v>
      </c>
      <c r="BA42" cm="1">
        <f t="array" aca="1" ref="BA42" ca="1">INDIRECT(CONCATENATE($AP$15,$BA$16,AO42))</f>
        <v>2214</v>
      </c>
      <c r="BH42" t="str">
        <f t="shared" ca="1" si="24"/>
        <v>C.C.N.L. COMPARTO  SCUOLA del Dicembre 2022</v>
      </c>
      <c r="BJ42" t="str">
        <f t="shared" ca="1" si="25"/>
        <v/>
      </c>
      <c r="BL42" t="str">
        <f t="shared" ca="1" si="26"/>
        <v xml:space="preserve">ARTICOLO 
</v>
      </c>
      <c r="BM42" t="str">
        <f t="shared" ca="1" si="27"/>
        <v xml:space="preserve">Con decorrenza dal:14/10/2173 Spetta fascia:0-2anni  C.C.N.L. COMPARTO  SCUOLA del Dicembre 2022
</v>
      </c>
      <c r="BN42" t="str">
        <f t="shared" ca="1" si="28"/>
        <v xml:space="preserve">Retribuzione euro:20897,2
</v>
      </c>
      <c r="BO42" t="str">
        <f t="shared" ca="1" si="29"/>
        <v xml:space="preserve">I.V.C. euro:104,49
</v>
      </c>
      <c r="BP42" t="str">
        <f t="shared" ca="1" si="30"/>
        <v xml:space="preserve">R.P.D. euro:2214
</v>
      </c>
      <c r="BQ42" t="str">
        <f t="shared" ca="1" si="31"/>
        <v/>
      </c>
      <c r="BR42" t="str">
        <f t="shared" ca="1" si="32"/>
        <v xml:space="preserve">TOTALE EURO:23215,69
 altri assegni previsti per legge
</v>
      </c>
      <c r="CA42" t="str">
        <f t="shared" ca="1" si="75"/>
        <v/>
      </c>
      <c r="CH42" t="e">
        <f t="shared" si="46"/>
        <v>#N/A</v>
      </c>
      <c r="CI42" t="e">
        <f t="shared" si="47"/>
        <v>#N/A</v>
      </c>
      <c r="CJ42">
        <f t="shared" si="33"/>
        <v>25</v>
      </c>
      <c r="CK42" s="112">
        <v>42736</v>
      </c>
      <c r="CL42" s="238">
        <f t="shared" si="48"/>
        <v>42</v>
      </c>
      <c r="CS42" s="112" t="e">
        <f t="shared" si="11"/>
        <v>#N/A</v>
      </c>
      <c r="CT42" s="112" t="e">
        <f>HLOOKUP(CT39,$CN$11:$DO$14,4)</f>
        <v>#N/A</v>
      </c>
      <c r="CV42" s="112">
        <f t="shared" si="69"/>
        <v>100000</v>
      </c>
      <c r="CW42" s="112">
        <f t="shared" si="54"/>
        <v>100000</v>
      </c>
      <c r="CX42" s="238" t="e">
        <f ca="1">VLOOKUP(CZ42,Foglio1tibis!$AB$31:$AN$283,13)-6</f>
        <v>#N/A</v>
      </c>
      <c r="CY42" s="112" t="str">
        <f t="shared" si="49"/>
        <v/>
      </c>
      <c r="CZ42" s="478" t="str">
        <f t="shared" si="70"/>
        <v/>
      </c>
      <c r="DA42" s="479" t="str">
        <f t="shared" si="62"/>
        <v/>
      </c>
      <c r="DB42" s="112" t="str">
        <f t="shared" si="39"/>
        <v/>
      </c>
      <c r="DC42" s="114" t="e">
        <f t="shared" si="40"/>
        <v>#VALUE!</v>
      </c>
      <c r="DD42" s="114" t="str" cm="1">
        <f t="array" aca="1" ref="DD42" ca="1">IF(CY42="","",INDIRECT(CONCATENATE($AP$15,$AU$16,CX42)))</f>
        <v/>
      </c>
      <c r="DE42" s="114"/>
      <c r="DF42" s="114"/>
      <c r="DG42" s="114" t="str" cm="1">
        <f t="array" aca="1" ref="DG42" ca="1">IF(DD42="","",INDIRECT(CONCATENATE($AP$15,$AX$16,CX42)))</f>
        <v/>
      </c>
      <c r="DH42" s="114" t="str" cm="1">
        <f t="array" aca="1" ref="DH42" ca="1">IF(DD42="","",INDIRECT(CONCATENATE($AP$15,$AY$16,CX42)))</f>
        <v/>
      </c>
      <c r="DI42" s="114"/>
      <c r="DJ42" s="114" t="str" cm="1">
        <f t="array" aca="1" ref="DJ42" ca="1">IF(DD42="","",INDIRECT(CONCATENATE($AP$15,$BA$16,CX42)))</f>
        <v/>
      </c>
      <c r="DK42">
        <f t="shared" si="55"/>
        <v>0</v>
      </c>
      <c r="DL42" s="114">
        <f t="shared" si="71"/>
        <v>0</v>
      </c>
      <c r="DM42" s="114" t="e">
        <f t="shared" ca="1" si="72"/>
        <v>#VALUE!</v>
      </c>
      <c r="DN42" t="str">
        <f>aumentibiennali!K56</f>
        <v>5 A.B.</v>
      </c>
      <c r="DO42" t="e">
        <f t="shared" ca="1" si="73"/>
        <v>#VALUE!</v>
      </c>
      <c r="DP42" t="e">
        <f t="shared" ca="1" si="58"/>
        <v>#VALUE!</v>
      </c>
      <c r="DU42" t="e">
        <f t="shared" ca="1" si="74"/>
        <v>#VALUE!</v>
      </c>
      <c r="EO42" s="320" t="str">
        <f t="shared" ca="1" si="59"/>
        <v/>
      </c>
      <c r="EP42" s="320"/>
      <c r="EQ42" s="320"/>
      <c r="ER42" s="320"/>
      <c r="ES42" s="320"/>
      <c r="ET42" s="320"/>
      <c r="EU42" s="320"/>
      <c r="EV42" s="320"/>
      <c r="EW42" s="320"/>
      <c r="EX42" s="320"/>
      <c r="EY42" s="320"/>
      <c r="EZ42" s="320"/>
      <c r="FA42" s="320"/>
      <c r="FB42" s="320"/>
      <c r="FC42" s="320"/>
      <c r="FD42" s="320"/>
      <c r="FE42" s="320"/>
      <c r="FF42" s="320"/>
      <c r="FG42" s="320"/>
      <c r="FH42" s="320"/>
      <c r="FI42" s="320"/>
      <c r="FJ42" s="320"/>
      <c r="FK42" s="320"/>
      <c r="FL42" s="320"/>
      <c r="FM42" s="320"/>
      <c r="FN42" s="320"/>
      <c r="FO42" s="320"/>
      <c r="FP42" s="320"/>
      <c r="FQ42" s="320"/>
      <c r="FR42" s="320"/>
    </row>
    <row r="43" spans="2:174" ht="15.75" thickBot="1" x14ac:dyDescent="0.3">
      <c r="B43">
        <f t="shared" si="52"/>
        <v>25</v>
      </c>
      <c r="D43" s="112">
        <v>42736</v>
      </c>
      <c r="X43" s="112">
        <f t="shared" ca="1" si="7"/>
        <v>100000</v>
      </c>
      <c r="Z43">
        <f t="shared" si="44"/>
        <v>26</v>
      </c>
      <c r="AA43" s="112">
        <f t="shared" ca="1" si="8"/>
        <v>100000</v>
      </c>
      <c r="AD43" s="112">
        <f t="shared" ca="1" si="19"/>
        <v>100000</v>
      </c>
      <c r="AI43" s="112">
        <f t="shared" ca="1" si="64"/>
        <v>100000</v>
      </c>
      <c r="AJ43" s="112" t="str">
        <f t="shared" ca="1" si="45"/>
        <v>0-8 anni</v>
      </c>
      <c r="AM43">
        <f ca="1">VLOOKUP(AI43,Foglio1tibis!$AB$31:$AN$284,13)</f>
        <v>261</v>
      </c>
      <c r="AN43">
        <f t="shared" ca="1" si="76"/>
        <v>6</v>
      </c>
      <c r="AO43">
        <f t="shared" ca="1" si="77"/>
        <v>255</v>
      </c>
      <c r="AQ43" s="112">
        <f t="shared" ca="1" si="78"/>
        <v>100000</v>
      </c>
      <c r="AR43" s="112" cm="1">
        <f t="array" aca="1" ref="AR43" ca="1">INDIRECT(CONCATENATE($AP$15,$AR$16,AO43))</f>
        <v>45291</v>
      </c>
      <c r="AS43" t="str" cm="1">
        <f t="array" aca="1" ref="AS43" ca="1">INDIRECT(CONCATENATE($AP$15,$AS$16,AO43))</f>
        <v>0-2anni</v>
      </c>
      <c r="AT43" cm="1">
        <f t="array" aca="1" ref="AT43" ca="1">INDIRECT(CONCATENATE($AP$15,$AT$16,AO43))</f>
        <v>0</v>
      </c>
      <c r="AU43" cm="1">
        <f t="array" aca="1" ref="AU43" ca="1">INDIRECT(CONCATENATE($AP$15,$AU$16,AO43))</f>
        <v>14513.09</v>
      </c>
      <c r="AV43" cm="1">
        <f t="array" aca="1" ref="AV43" ca="1">INDIRECT(CONCATENATE($AP$15,$AV$16,AO43))</f>
        <v>0</v>
      </c>
      <c r="AW43" cm="1">
        <f t="array" aca="1" ref="AW43" ca="1">INDIRECT(CONCATENATE($AP$15,$AW$16,AO43))</f>
        <v>0</v>
      </c>
      <c r="AX43" cm="1">
        <f t="array" aca="1" ref="AX43" ca="1">INDIRECT(CONCATENATE($AP$15,$AX$16,AO43))</f>
        <v>6384.11</v>
      </c>
      <c r="AY43" cm="1">
        <f t="array" aca="1" ref="AY43" ca="1">INDIRECT(CONCATENATE($AP$15,$AY$16,AO43))</f>
        <v>104.49</v>
      </c>
      <c r="AZ43" cm="1">
        <f t="array" aca="1" ref="AZ43" ca="1">INDIRECT(CONCATENATE($AP$15,$AZ$16,AO43))</f>
        <v>1690.19</v>
      </c>
      <c r="BA43" cm="1">
        <f t="array" aca="1" ref="BA43" ca="1">INDIRECT(CONCATENATE($AP$15,$BA$16,AO43))</f>
        <v>2214</v>
      </c>
      <c r="BH43" t="str">
        <f t="shared" ca="1" si="24"/>
        <v>C.C.N.L. COMPARTO  SCUOLA del Dicembre 2022</v>
      </c>
      <c r="BJ43" t="str">
        <f t="shared" ca="1" si="25"/>
        <v/>
      </c>
      <c r="BL43" t="str">
        <f t="shared" ca="1" si="26"/>
        <v xml:space="preserve">ARTICOLO 
</v>
      </c>
      <c r="BM43" t="str">
        <f t="shared" ca="1" si="27"/>
        <v xml:space="preserve">Con decorrenza dal:14/10/2173 Spetta fascia:0-2anni  C.C.N.L. COMPARTO  SCUOLA del Dicembre 2022
</v>
      </c>
      <c r="BN43" t="str">
        <f t="shared" ca="1" si="28"/>
        <v xml:space="preserve">Retribuzione euro:20897,2
</v>
      </c>
      <c r="BO43" t="str">
        <f t="shared" ca="1" si="29"/>
        <v xml:space="preserve">I.V.C. euro:104,49
</v>
      </c>
      <c r="BP43" t="str">
        <f t="shared" ca="1" si="30"/>
        <v xml:space="preserve">R.P.D. euro:2214
</v>
      </c>
      <c r="BQ43" t="str">
        <f t="shared" ca="1" si="31"/>
        <v/>
      </c>
      <c r="BR43" t="str">
        <f t="shared" ca="1" si="32"/>
        <v xml:space="preserve">TOTALE EURO:23215,69
 altri assegni previsti per legge
</v>
      </c>
      <c r="CA43" t="str">
        <f t="shared" ca="1" si="75"/>
        <v/>
      </c>
      <c r="CJ43">
        <f t="shared" si="33"/>
        <v>26</v>
      </c>
      <c r="CK43" s="112">
        <v>43160</v>
      </c>
      <c r="CL43" s="238">
        <f t="shared" si="48"/>
        <v>43</v>
      </c>
      <c r="CS43" s="112" t="str">
        <f>IF(OR(CI43=100000,CI43=""),"",SMALL($CK$18:$CK$64,CJ43))</f>
        <v/>
      </c>
      <c r="CT43" s="112" t="str">
        <f>CP24</f>
        <v/>
      </c>
      <c r="CV43" s="112">
        <f t="shared" si="69"/>
        <v>100000</v>
      </c>
      <c r="CW43" s="112">
        <f t="shared" si="54"/>
        <v>100000</v>
      </c>
      <c r="CX43" s="238" t="e">
        <f ca="1">VLOOKUP(CZ43,Foglio1tibis!$AB$31:$AN$283,13)-6</f>
        <v>#N/A</v>
      </c>
      <c r="CY43" s="112" t="str">
        <f t="shared" si="49"/>
        <v/>
      </c>
      <c r="CZ43" s="478" t="str">
        <f t="shared" si="70"/>
        <v/>
      </c>
      <c r="DA43" s="479" t="str">
        <f t="shared" si="62"/>
        <v/>
      </c>
      <c r="DB43" s="112" t="str">
        <f t="shared" si="39"/>
        <v/>
      </c>
      <c r="DC43" s="114" t="e">
        <f t="shared" si="40"/>
        <v>#VALUE!</v>
      </c>
      <c r="DD43" s="114" t="str" cm="1">
        <f t="array" aca="1" ref="DD43" ca="1">IF(CY43="","",INDIRECT(CONCATENATE($AP$15,$AU$16,CX43)))</f>
        <v/>
      </c>
      <c r="DE43" s="114"/>
      <c r="DF43" s="114"/>
      <c r="DG43" s="114" t="str" cm="1">
        <f t="array" aca="1" ref="DG43" ca="1">IF(DD43="","",INDIRECT(CONCATENATE($AP$15,$AX$16,CX43)))</f>
        <v/>
      </c>
      <c r="DH43" s="114" t="str" cm="1">
        <f t="array" aca="1" ref="DH43" ca="1">IF(DD43="","",INDIRECT(CONCATENATE($AP$15,$AY$16,CX43)))</f>
        <v/>
      </c>
      <c r="DI43" s="114"/>
      <c r="DJ43" s="114" t="str" cm="1">
        <f t="array" aca="1" ref="DJ43" ca="1">IF(DD43="","",INDIRECT(CONCATENATE($AP$15,$BA$16,CX43)))</f>
        <v/>
      </c>
      <c r="DK43">
        <f t="shared" si="55"/>
        <v>0</v>
      </c>
      <c r="DL43" s="114">
        <f t="shared" si="71"/>
        <v>0</v>
      </c>
      <c r="DM43" s="114" t="e">
        <f t="shared" ca="1" si="72"/>
        <v>#VALUE!</v>
      </c>
      <c r="DN43">
        <f>aumentibiennali!K64</f>
        <v>0</v>
      </c>
      <c r="DO43" t="e">
        <f t="shared" ca="1" si="73"/>
        <v>#VALUE!</v>
      </c>
      <c r="DP43" t="e">
        <f t="shared" ca="1" si="58"/>
        <v>#VALUE!</v>
      </c>
      <c r="DU43" t="e">
        <f t="shared" ca="1" si="74"/>
        <v>#VALUE!</v>
      </c>
      <c r="EO43" s="320" t="str">
        <f t="shared" ca="1" si="59"/>
        <v/>
      </c>
      <c r="EP43" s="320"/>
      <c r="EQ43" s="320"/>
      <c r="ER43" s="320"/>
      <c r="ES43" s="320"/>
      <c r="ET43" s="320"/>
      <c r="EU43" s="320"/>
      <c r="EV43" s="320"/>
      <c r="EW43" s="320"/>
      <c r="EX43" s="320"/>
      <c r="EY43" s="320"/>
      <c r="EZ43" s="320"/>
      <c r="FA43" s="320"/>
      <c r="FB43" s="320"/>
      <c r="FC43" s="320"/>
      <c r="FD43" s="320"/>
      <c r="FE43" s="320"/>
      <c r="FF43" s="320"/>
      <c r="FG43" s="320"/>
      <c r="FH43" s="320"/>
      <c r="FI43" s="320"/>
      <c r="FJ43" s="320"/>
      <c r="FK43" s="320"/>
      <c r="FL43" s="320"/>
      <c r="FM43" s="320"/>
      <c r="FN43" s="320"/>
      <c r="FO43" s="320"/>
      <c r="FP43" s="320"/>
      <c r="FQ43" s="320"/>
      <c r="FR43" s="320"/>
    </row>
    <row r="44" spans="2:174" ht="15.75" thickBot="1" x14ac:dyDescent="0.3">
      <c r="B44">
        <f t="shared" si="52"/>
        <v>26</v>
      </c>
      <c r="D44" s="112">
        <v>43160</v>
      </c>
      <c r="X44" s="112">
        <f t="shared" ca="1" si="7"/>
        <v>100000</v>
      </c>
      <c r="Z44">
        <f t="shared" si="44"/>
        <v>27</v>
      </c>
      <c r="AA44" s="112">
        <f t="shared" ca="1" si="8"/>
        <v>100000</v>
      </c>
      <c r="AD44" s="112">
        <f t="shared" ca="1" si="19"/>
        <v>100000</v>
      </c>
      <c r="AI44" s="112">
        <f t="shared" ca="1" si="64"/>
        <v>100000</v>
      </c>
      <c r="AJ44" s="112" t="str">
        <f t="shared" ca="1" si="45"/>
        <v>0-8 anni</v>
      </c>
      <c r="AM44">
        <f ca="1">VLOOKUP(AI44,Foglio1tibis!$AB$31:$AN$284,13)</f>
        <v>261</v>
      </c>
      <c r="AN44">
        <f t="shared" ca="1" si="76"/>
        <v>6</v>
      </c>
      <c r="AO44">
        <f t="shared" ca="1" si="77"/>
        <v>255</v>
      </c>
      <c r="AQ44" s="112">
        <f t="shared" ca="1" si="78"/>
        <v>100000</v>
      </c>
      <c r="AR44" s="112" cm="1">
        <f t="array" aca="1" ref="AR44" ca="1">INDIRECT(CONCATENATE($AP$15,$AR$16,AO44))</f>
        <v>45291</v>
      </c>
      <c r="AS44" t="str" cm="1">
        <f t="array" aca="1" ref="AS44" ca="1">INDIRECT(CONCATENATE($AP$15,$AS$16,AO44))</f>
        <v>0-2anni</v>
      </c>
      <c r="AT44" cm="1">
        <f t="array" aca="1" ref="AT44" ca="1">INDIRECT(CONCATENATE($AP$15,$AT$16,AO44))</f>
        <v>0</v>
      </c>
      <c r="AU44" cm="1">
        <f t="array" aca="1" ref="AU44" ca="1">INDIRECT(CONCATENATE($AP$15,$AU$16,AO44))</f>
        <v>14513.09</v>
      </c>
      <c r="AV44" cm="1">
        <f t="array" aca="1" ref="AV44" ca="1">INDIRECT(CONCATENATE($AP$15,$AV$16,AO44))</f>
        <v>0</v>
      </c>
      <c r="AW44" cm="1">
        <f t="array" aca="1" ref="AW44" ca="1">INDIRECT(CONCATENATE($AP$15,$AW$16,AO44))</f>
        <v>0</v>
      </c>
      <c r="AX44" cm="1">
        <f t="array" aca="1" ref="AX44" ca="1">INDIRECT(CONCATENATE($AP$15,$AX$16,AO44))</f>
        <v>6384.11</v>
      </c>
      <c r="AY44" cm="1">
        <f t="array" aca="1" ref="AY44" ca="1">INDIRECT(CONCATENATE($AP$15,$AY$16,AO44))</f>
        <v>104.49</v>
      </c>
      <c r="AZ44" cm="1">
        <f t="array" aca="1" ref="AZ44" ca="1">INDIRECT(CONCATENATE($AP$15,$AZ$16,AO44))</f>
        <v>1690.19</v>
      </c>
      <c r="BA44" cm="1">
        <f t="array" aca="1" ref="BA44" ca="1">INDIRECT(CONCATENATE($AP$15,$BA$16,AO44))</f>
        <v>2214</v>
      </c>
      <c r="BH44" t="str">
        <f t="shared" ca="1" si="24"/>
        <v>C.C.N.L. COMPARTO  SCUOLA del Dicembre 2022</v>
      </c>
      <c r="BJ44" t="str">
        <f t="shared" ca="1" si="25"/>
        <v/>
      </c>
      <c r="BL44" t="str">
        <f t="shared" ca="1" si="26"/>
        <v xml:space="preserve">ARTICOLO 
</v>
      </c>
      <c r="BM44" t="str">
        <f t="shared" ca="1" si="27"/>
        <v xml:space="preserve">Con decorrenza dal:14/10/2173 Spetta fascia:0-2anni  C.C.N.L. COMPARTO  SCUOLA del Dicembre 2022
</v>
      </c>
      <c r="BN44" t="str">
        <f t="shared" ca="1" si="28"/>
        <v xml:space="preserve">Retribuzione euro:20897,2
</v>
      </c>
      <c r="BO44" t="str">
        <f t="shared" ca="1" si="29"/>
        <v xml:space="preserve">I.V.C. euro:104,49
</v>
      </c>
      <c r="BP44" t="str">
        <f t="shared" ca="1" si="30"/>
        <v xml:space="preserve">R.P.D. euro:2214
</v>
      </c>
      <c r="BQ44" t="str">
        <f t="shared" ca="1" si="31"/>
        <v/>
      </c>
      <c r="BR44" t="str">
        <f t="shared" ca="1" si="32"/>
        <v xml:space="preserve">TOTALE EURO:23215,69
 altri assegni previsti per legge
</v>
      </c>
      <c r="CA44" t="str">
        <f t="shared" ca="1" si="75"/>
        <v/>
      </c>
      <c r="CJ44">
        <f t="shared" si="33"/>
        <v>27</v>
      </c>
      <c r="CK44" s="112">
        <v>43191</v>
      </c>
      <c r="CL44" s="238">
        <f t="shared" si="48"/>
        <v>44</v>
      </c>
      <c r="CS44" s="112" t="str">
        <f t="shared" ref="CS44:CS50" si="79">IF(OR(CI44=100000,CI44=""),"",SMALL($CK$18:$CK$64,CJ44))</f>
        <v/>
      </c>
      <c r="CT44" s="112" t="e">
        <f>HLOOKUP(CT43,$CN$11:$DO$14,2)</f>
        <v>#N/A</v>
      </c>
      <c r="CV44" s="112">
        <f t="shared" si="69"/>
        <v>100000</v>
      </c>
      <c r="CW44" s="112">
        <f t="shared" si="54"/>
        <v>100000</v>
      </c>
      <c r="CX44" s="238" t="e">
        <f ca="1">VLOOKUP(CZ44,Foglio1tibis!$AB$31:$AN$283,13)-6</f>
        <v>#N/A</v>
      </c>
      <c r="CY44" s="112" t="str">
        <f t="shared" si="49"/>
        <v/>
      </c>
      <c r="CZ44" s="478" t="str">
        <f t="shared" si="70"/>
        <v/>
      </c>
      <c r="DA44" s="479" t="str">
        <f t="shared" si="62"/>
        <v/>
      </c>
      <c r="DB44" s="112" t="str">
        <f t="shared" si="39"/>
        <v/>
      </c>
      <c r="DC44" s="114" t="e">
        <f t="shared" si="40"/>
        <v>#VALUE!</v>
      </c>
      <c r="DD44" s="114" t="str" cm="1">
        <f t="array" aca="1" ref="DD44" ca="1">IF(CY44="","",INDIRECT(CONCATENATE($AP$15,$AU$16,CX44)))</f>
        <v/>
      </c>
      <c r="DE44" s="114"/>
      <c r="DF44" s="114"/>
      <c r="DG44" s="114" t="str" cm="1">
        <f t="array" aca="1" ref="DG44" ca="1">IF(DD44="","",INDIRECT(CONCATENATE($AP$15,$AX$16,CX44)))</f>
        <v/>
      </c>
      <c r="DH44" s="114" t="str" cm="1">
        <f t="array" aca="1" ref="DH44" ca="1">IF(DD44="","",INDIRECT(CONCATENATE($AP$15,$AY$16,CX44)))</f>
        <v/>
      </c>
      <c r="DI44" s="114"/>
      <c r="DJ44" s="114" t="str" cm="1">
        <f t="array" aca="1" ref="DJ44" ca="1">IF(DD44="","",INDIRECT(CONCATENATE($AP$15,$BA$16,CX44)))</f>
        <v/>
      </c>
      <c r="DK44">
        <f t="shared" si="55"/>
        <v>0</v>
      </c>
      <c r="DL44" s="114">
        <f t="shared" si="71"/>
        <v>0</v>
      </c>
      <c r="DM44" s="114" t="e">
        <f t="shared" ca="1" si="72"/>
        <v>#VALUE!</v>
      </c>
      <c r="DN44">
        <f>aumentibiennali!K65</f>
        <v>0</v>
      </c>
      <c r="DO44" t="e">
        <f t="shared" ca="1" si="73"/>
        <v>#VALUE!</v>
      </c>
      <c r="DP44" t="e">
        <f t="shared" ca="1" si="58"/>
        <v>#VALUE!</v>
      </c>
      <c r="DU44" t="e">
        <f t="shared" ca="1" si="74"/>
        <v>#VALUE!</v>
      </c>
      <c r="EO44" s="320" t="str">
        <f t="shared" ca="1" si="59"/>
        <v/>
      </c>
      <c r="EP44" s="320"/>
      <c r="EQ44" s="320"/>
      <c r="ER44" s="320"/>
      <c r="ES44" s="320"/>
      <c r="ET44" s="320"/>
      <c r="EU44" s="320"/>
      <c r="EV44" s="320"/>
      <c r="EW44" s="320"/>
      <c r="EX44" s="320"/>
      <c r="EY44" s="320"/>
      <c r="EZ44" s="320"/>
      <c r="FA44" s="320"/>
      <c r="FB44" s="320"/>
      <c r="FC44" s="320"/>
      <c r="FD44" s="320"/>
      <c r="FE44" s="320"/>
      <c r="FF44" s="320"/>
      <c r="FG44" s="320"/>
      <c r="FH44" s="320"/>
      <c r="FI44" s="320"/>
      <c r="FJ44" s="320"/>
      <c r="FK44" s="320"/>
      <c r="FL44" s="320"/>
      <c r="FM44" s="320"/>
      <c r="FN44" s="320"/>
      <c r="FO44" s="320"/>
      <c r="FP44" s="320"/>
      <c r="FQ44" s="320"/>
      <c r="FR44" s="320"/>
    </row>
    <row r="45" spans="2:174" ht="15.75" thickBot="1" x14ac:dyDescent="0.3">
      <c r="B45">
        <f t="shared" si="52"/>
        <v>27</v>
      </c>
      <c r="D45" s="112">
        <v>43191</v>
      </c>
      <c r="X45" s="112">
        <f t="shared" ca="1" si="7"/>
        <v>100000</v>
      </c>
      <c r="Z45">
        <f t="shared" si="44"/>
        <v>28</v>
      </c>
      <c r="AA45" s="112">
        <f t="shared" ca="1" si="8"/>
        <v>100000</v>
      </c>
      <c r="AD45" s="112">
        <f t="shared" ca="1" si="19"/>
        <v>100000</v>
      </c>
      <c r="AI45" s="112">
        <f t="shared" ca="1" si="64"/>
        <v>100000</v>
      </c>
      <c r="AJ45" s="112" t="str">
        <f t="shared" ca="1" si="45"/>
        <v>0-8 anni</v>
      </c>
      <c r="AM45">
        <f ca="1">VLOOKUP(AI45,Foglio1tibis!$AB$31:$AN$284,13)</f>
        <v>261</v>
      </c>
      <c r="AN45">
        <f t="shared" ca="1" si="76"/>
        <v>6</v>
      </c>
      <c r="AO45">
        <f t="shared" ca="1" si="77"/>
        <v>255</v>
      </c>
      <c r="AQ45" s="112">
        <f t="shared" ca="1" si="78"/>
        <v>100000</v>
      </c>
      <c r="AR45" s="112" cm="1">
        <f t="array" aca="1" ref="AR45" ca="1">INDIRECT(CONCATENATE($AP$15,$AR$16,AO45))</f>
        <v>45291</v>
      </c>
      <c r="AS45" t="str" cm="1">
        <f t="array" aca="1" ref="AS45" ca="1">INDIRECT(CONCATENATE($AP$15,$AS$16,AO45))</f>
        <v>0-2anni</v>
      </c>
      <c r="AT45" cm="1">
        <f t="array" aca="1" ref="AT45" ca="1">INDIRECT(CONCATENATE($AP$15,$AT$16,AO45))</f>
        <v>0</v>
      </c>
      <c r="AU45" cm="1">
        <f t="array" aca="1" ref="AU45" ca="1">INDIRECT(CONCATENATE($AP$15,$AU$16,AO45))</f>
        <v>14513.09</v>
      </c>
      <c r="AV45" cm="1">
        <f t="array" aca="1" ref="AV45" ca="1">INDIRECT(CONCATENATE($AP$15,$AV$16,AO45))</f>
        <v>0</v>
      </c>
      <c r="AW45" cm="1">
        <f t="array" aca="1" ref="AW45" ca="1">INDIRECT(CONCATENATE($AP$15,$AW$16,AO45))</f>
        <v>0</v>
      </c>
      <c r="AX45" cm="1">
        <f t="array" aca="1" ref="AX45" ca="1">INDIRECT(CONCATENATE($AP$15,$AX$16,AO45))</f>
        <v>6384.11</v>
      </c>
      <c r="AY45" cm="1">
        <f t="array" aca="1" ref="AY45" ca="1">INDIRECT(CONCATENATE($AP$15,$AY$16,AO45))</f>
        <v>104.49</v>
      </c>
      <c r="AZ45" cm="1">
        <f t="array" aca="1" ref="AZ45" ca="1">INDIRECT(CONCATENATE($AP$15,$AZ$16,AO45))</f>
        <v>1690.19</v>
      </c>
      <c r="BA45" cm="1">
        <f t="array" aca="1" ref="BA45" ca="1">INDIRECT(CONCATENATE($AP$15,$BA$16,AO45))</f>
        <v>2214</v>
      </c>
      <c r="BH45" t="str">
        <f t="shared" ca="1" si="24"/>
        <v>C.C.N.L. COMPARTO  SCUOLA del Dicembre 2022</v>
      </c>
      <c r="BJ45" t="str">
        <f t="shared" ca="1" si="25"/>
        <v/>
      </c>
      <c r="BL45" t="str">
        <f t="shared" ca="1" si="26"/>
        <v xml:space="preserve">ARTICOLO 
</v>
      </c>
      <c r="BM45" t="str">
        <f t="shared" ca="1" si="27"/>
        <v xml:space="preserve">Con decorrenza dal:14/10/2173 Spetta fascia:0-2anni  C.C.N.L. COMPARTO  SCUOLA del Dicembre 2022
</v>
      </c>
      <c r="BN45" t="str">
        <f t="shared" ca="1" si="28"/>
        <v xml:space="preserve">Retribuzione euro:20897,2
</v>
      </c>
      <c r="BO45" t="str">
        <f t="shared" ca="1" si="29"/>
        <v xml:space="preserve">I.V.C. euro:104,49
</v>
      </c>
      <c r="BP45" t="str">
        <f t="shared" ca="1" si="30"/>
        <v xml:space="preserve">R.P.D. euro:2214
</v>
      </c>
      <c r="BQ45" t="str">
        <f t="shared" ca="1" si="31"/>
        <v/>
      </c>
      <c r="BR45" t="str">
        <f t="shared" ca="1" si="32"/>
        <v xml:space="preserve">TOTALE EURO:23215,69
 altri assegni previsti per legge
</v>
      </c>
      <c r="CA45" t="str">
        <f t="shared" ca="1" si="75"/>
        <v/>
      </c>
      <c r="CJ45">
        <f t="shared" si="33"/>
        <v>28</v>
      </c>
      <c r="CK45" s="112">
        <v>43466</v>
      </c>
      <c r="CL45" s="238">
        <f t="shared" si="48"/>
        <v>45</v>
      </c>
      <c r="CS45" s="112" t="str">
        <f t="shared" si="79"/>
        <v/>
      </c>
      <c r="CT45" s="112" t="e">
        <f>HLOOKUP(CT43,$CN$11:$DO$14,3)</f>
        <v>#N/A</v>
      </c>
      <c r="CV45" s="112">
        <f t="shared" si="69"/>
        <v>100000</v>
      </c>
      <c r="CW45" s="112">
        <f t="shared" si="54"/>
        <v>100000</v>
      </c>
      <c r="CX45" s="238" t="e">
        <f ca="1">VLOOKUP(CZ45,Foglio1tibis!$AB$31:$AN$283,13)-6</f>
        <v>#N/A</v>
      </c>
      <c r="CY45" s="112" t="str">
        <f t="shared" si="49"/>
        <v/>
      </c>
      <c r="CZ45" s="478" t="str">
        <f t="shared" si="70"/>
        <v/>
      </c>
      <c r="DA45" s="479" t="str">
        <f t="shared" si="62"/>
        <v/>
      </c>
      <c r="DB45" s="112" t="str">
        <f t="shared" si="39"/>
        <v/>
      </c>
      <c r="DC45" s="114" t="e">
        <f t="shared" si="40"/>
        <v>#VALUE!</v>
      </c>
      <c r="DD45" s="114" t="str" cm="1">
        <f t="array" aca="1" ref="DD45" ca="1">IF(CY45="","",INDIRECT(CONCATENATE($AP$15,$AU$16,CX45)))</f>
        <v/>
      </c>
      <c r="DE45" s="114"/>
      <c r="DF45" s="114"/>
      <c r="DG45" s="114" t="str" cm="1">
        <f t="array" aca="1" ref="DG45" ca="1">IF(DD45="","",INDIRECT(CONCATENATE($AP$15,$AX$16,CX45)))</f>
        <v/>
      </c>
      <c r="DH45" s="114" t="str" cm="1">
        <f t="array" aca="1" ref="DH45" ca="1">IF(DD45="","",INDIRECT(CONCATENATE($AP$15,$AY$16,CX45)))</f>
        <v/>
      </c>
      <c r="DI45" s="114"/>
      <c r="DJ45" s="114" t="str" cm="1">
        <f t="array" aca="1" ref="DJ45" ca="1">IF(DD45="","",INDIRECT(CONCATENATE($AP$15,$BA$16,CX45)))</f>
        <v/>
      </c>
      <c r="DK45">
        <f t="shared" si="55"/>
        <v>0</v>
      </c>
      <c r="DL45" s="114">
        <f t="shared" si="71"/>
        <v>0</v>
      </c>
      <c r="DM45" s="114" t="e">
        <f t="shared" ca="1" si="72"/>
        <v>#VALUE!</v>
      </c>
      <c r="DN45">
        <f>aumentibiennali!K66</f>
        <v>0</v>
      </c>
      <c r="DO45" t="e">
        <f t="shared" ca="1" si="73"/>
        <v>#VALUE!</v>
      </c>
      <c r="DP45" t="e">
        <f t="shared" ca="1" si="58"/>
        <v>#VALUE!</v>
      </c>
      <c r="DU45" t="e">
        <f t="shared" ca="1" si="74"/>
        <v>#VALUE!</v>
      </c>
      <c r="EO45" s="320" t="str">
        <f t="shared" ca="1" si="59"/>
        <v/>
      </c>
      <c r="EP45" s="320"/>
      <c r="EQ45" s="320"/>
      <c r="ER45" s="320"/>
      <c r="ES45" s="320"/>
      <c r="ET45" s="320"/>
      <c r="EU45" s="320"/>
      <c r="EV45" s="320"/>
      <c r="EW45" s="320"/>
      <c r="EX45" s="320"/>
      <c r="EY45" s="320"/>
      <c r="EZ45" s="320"/>
      <c r="FA45" s="320"/>
      <c r="FB45" s="320"/>
      <c r="FC45" s="320"/>
      <c r="FD45" s="320"/>
      <c r="FE45" s="320"/>
      <c r="FF45" s="320"/>
      <c r="FG45" s="320"/>
      <c r="FH45" s="320"/>
      <c r="FI45" s="320"/>
      <c r="FJ45" s="320"/>
      <c r="FK45" s="320"/>
      <c r="FL45" s="320"/>
      <c r="FM45" s="320"/>
      <c r="FN45" s="320"/>
      <c r="FO45" s="320"/>
      <c r="FP45" s="320"/>
      <c r="FQ45" s="320"/>
      <c r="FR45" s="320"/>
    </row>
    <row r="46" spans="2:174" ht="15.75" thickBot="1" x14ac:dyDescent="0.3">
      <c r="B46">
        <f t="shared" si="52"/>
        <v>28</v>
      </c>
      <c r="D46" s="112">
        <v>43466</v>
      </c>
      <c r="X46" s="112">
        <f t="shared" ca="1" si="7"/>
        <v>100000</v>
      </c>
      <c r="Z46">
        <f t="shared" si="44"/>
        <v>29</v>
      </c>
      <c r="AA46" s="112">
        <f t="shared" ca="1" si="8"/>
        <v>100000</v>
      </c>
      <c r="AD46" s="112">
        <f t="shared" ca="1" si="19"/>
        <v>100000</v>
      </c>
      <c r="AI46" s="112">
        <f t="shared" ca="1" si="64"/>
        <v>100000</v>
      </c>
      <c r="AJ46" s="112" t="str">
        <f t="shared" ca="1" si="45"/>
        <v>0-8 anni</v>
      </c>
      <c r="AM46">
        <f ca="1">VLOOKUP(AI46,Foglio1tibis!$AB$31:$AN$284,13)</f>
        <v>261</v>
      </c>
      <c r="AN46">
        <f t="shared" ca="1" si="76"/>
        <v>6</v>
      </c>
      <c r="AO46">
        <f t="shared" ca="1" si="77"/>
        <v>255</v>
      </c>
      <c r="AQ46" s="112">
        <f t="shared" ca="1" si="78"/>
        <v>100000</v>
      </c>
      <c r="AR46" s="112" cm="1">
        <f t="array" aca="1" ref="AR46" ca="1">INDIRECT(CONCATENATE($AP$15,$AR$16,AO46))</f>
        <v>45291</v>
      </c>
      <c r="AS46" t="str" cm="1">
        <f t="array" aca="1" ref="AS46" ca="1">INDIRECT(CONCATENATE($AP$15,$AS$16,AO46))</f>
        <v>0-2anni</v>
      </c>
      <c r="AT46" cm="1">
        <f t="array" aca="1" ref="AT46" ca="1">INDIRECT(CONCATENATE($AP$15,$AT$16,AO46))</f>
        <v>0</v>
      </c>
      <c r="AU46" cm="1">
        <f t="array" aca="1" ref="AU46" ca="1">INDIRECT(CONCATENATE($AP$15,$AU$16,AO46))</f>
        <v>14513.09</v>
      </c>
      <c r="AV46" cm="1">
        <f t="array" aca="1" ref="AV46" ca="1">INDIRECT(CONCATENATE($AP$15,$AV$16,AO46))</f>
        <v>0</v>
      </c>
      <c r="AW46" cm="1">
        <f t="array" aca="1" ref="AW46" ca="1">INDIRECT(CONCATENATE($AP$15,$AW$16,AO46))</f>
        <v>0</v>
      </c>
      <c r="AX46" cm="1">
        <f t="array" aca="1" ref="AX46" ca="1">INDIRECT(CONCATENATE($AP$15,$AX$16,AO46))</f>
        <v>6384.11</v>
      </c>
      <c r="AY46" cm="1">
        <f t="array" aca="1" ref="AY46" ca="1">INDIRECT(CONCATENATE($AP$15,$AY$16,AO46))</f>
        <v>104.49</v>
      </c>
      <c r="AZ46" cm="1">
        <f t="array" aca="1" ref="AZ46" ca="1">INDIRECT(CONCATENATE($AP$15,$AZ$16,AO46))</f>
        <v>1690.19</v>
      </c>
      <c r="BA46" cm="1">
        <f t="array" aca="1" ref="BA46" ca="1">INDIRECT(CONCATENATE($AP$15,$BA$16,AO46))</f>
        <v>2214</v>
      </c>
      <c r="BH46" t="str">
        <f t="shared" ca="1" si="24"/>
        <v>C.C.N.L. COMPARTO  SCUOLA del Dicembre 2022</v>
      </c>
      <c r="BJ46" t="str">
        <f t="shared" ca="1" si="25"/>
        <v/>
      </c>
      <c r="BL46" t="str">
        <f t="shared" ca="1" si="26"/>
        <v xml:space="preserve">ARTICOLO 
</v>
      </c>
      <c r="BM46" t="str">
        <f t="shared" ca="1" si="27"/>
        <v xml:space="preserve">Con decorrenza dal:14/10/2173 Spetta fascia:0-2anni  C.C.N.L. COMPARTO  SCUOLA del Dicembre 2022
</v>
      </c>
      <c r="BN46" t="str">
        <f t="shared" ca="1" si="28"/>
        <v xml:space="preserve">Retribuzione euro:20897,2
</v>
      </c>
      <c r="BO46" t="str">
        <f t="shared" ca="1" si="29"/>
        <v xml:space="preserve">I.V.C. euro:104,49
</v>
      </c>
      <c r="BP46" t="str">
        <f t="shared" ca="1" si="30"/>
        <v xml:space="preserve">R.P.D. euro:2214
</v>
      </c>
      <c r="BQ46" t="str">
        <f t="shared" ca="1" si="31"/>
        <v/>
      </c>
      <c r="BR46" t="str">
        <f t="shared" ca="1" si="32"/>
        <v xml:space="preserve">TOTALE EURO:23215,69
 altri assegni previsti per legge
</v>
      </c>
      <c r="CA46" t="str">
        <f t="shared" ca="1" si="75"/>
        <v/>
      </c>
      <c r="CJ46">
        <f t="shared" si="33"/>
        <v>29</v>
      </c>
      <c r="CK46" s="112">
        <v>43831</v>
      </c>
      <c r="CL46" s="238">
        <f t="shared" si="48"/>
        <v>46</v>
      </c>
      <c r="CS46" s="112" t="str">
        <f t="shared" si="79"/>
        <v/>
      </c>
      <c r="CT46" s="112" t="e">
        <f>HLOOKUP(CT43,$CN$11:$DO$14,4)</f>
        <v>#N/A</v>
      </c>
      <c r="CV46" s="112">
        <f t="shared" si="69"/>
        <v>100000</v>
      </c>
      <c r="CW46" s="112">
        <f t="shared" si="54"/>
        <v>100000</v>
      </c>
      <c r="CX46" s="238" t="e">
        <f ca="1">VLOOKUP(CZ46,Foglio1tibis!$AB$31:$AN$283,13)-6</f>
        <v>#N/A</v>
      </c>
      <c r="CY46" s="112" t="str">
        <f t="shared" si="49"/>
        <v/>
      </c>
      <c r="CZ46" s="478" t="str">
        <f t="shared" si="70"/>
        <v/>
      </c>
      <c r="DA46" s="479" t="str">
        <f t="shared" si="62"/>
        <v/>
      </c>
      <c r="DB46" s="112" t="str">
        <f t="shared" si="39"/>
        <v/>
      </c>
      <c r="DC46" s="114" t="e">
        <f t="shared" si="40"/>
        <v>#VALUE!</v>
      </c>
      <c r="DD46" s="114" t="str" cm="1">
        <f t="array" aca="1" ref="DD46" ca="1">IF(CY46="","",INDIRECT(CONCATENATE($AP$15,$AU$16,CX46)))</f>
        <v/>
      </c>
      <c r="DE46" s="114"/>
      <c r="DF46" s="114"/>
      <c r="DG46" s="114" t="str" cm="1">
        <f t="array" aca="1" ref="DG46" ca="1">IF(DD46="","",INDIRECT(CONCATENATE($AP$15,$AX$16,CX46)))</f>
        <v/>
      </c>
      <c r="DH46" s="114" t="str" cm="1">
        <f t="array" aca="1" ref="DH46" ca="1">IF(DD46="","",INDIRECT(CONCATENATE($AP$15,$AY$16,CX46)))</f>
        <v/>
      </c>
      <c r="DI46" s="114"/>
      <c r="DJ46" s="114" t="str" cm="1">
        <f t="array" aca="1" ref="DJ46" ca="1">IF(DD46="","",INDIRECT(CONCATENATE($AP$15,$BA$16,CX46)))</f>
        <v/>
      </c>
      <c r="DK46">
        <f t="shared" si="55"/>
        <v>0</v>
      </c>
      <c r="DL46" s="114">
        <f t="shared" si="71"/>
        <v>0</v>
      </c>
      <c r="DM46" s="114" t="e">
        <f t="shared" ca="1" si="72"/>
        <v>#VALUE!</v>
      </c>
      <c r="DN46">
        <f>aumentibiennali!K67</f>
        <v>0</v>
      </c>
      <c r="DO46" t="e">
        <f t="shared" ca="1" si="73"/>
        <v>#VALUE!</v>
      </c>
      <c r="DP46" t="e">
        <f t="shared" ca="1" si="58"/>
        <v>#VALUE!</v>
      </c>
      <c r="DU46" t="e">
        <f t="shared" ca="1" si="74"/>
        <v>#VALUE!</v>
      </c>
      <c r="EO46" s="320" t="str">
        <f t="shared" ca="1" si="59"/>
        <v/>
      </c>
      <c r="EP46" s="320"/>
      <c r="EQ46" s="320"/>
      <c r="ER46" s="320"/>
      <c r="ES46" s="320"/>
      <c r="ET46" s="320"/>
      <c r="EU46" s="320"/>
      <c r="EV46" s="320"/>
      <c r="EW46" s="320"/>
      <c r="EX46" s="320"/>
      <c r="EY46" s="320"/>
      <c r="EZ46" s="320"/>
      <c r="FA46" s="320"/>
      <c r="FB46" s="320"/>
      <c r="FC46" s="320"/>
      <c r="FD46" s="320"/>
      <c r="FE46" s="320"/>
      <c r="FF46" s="320"/>
      <c r="FG46" s="320"/>
      <c r="FH46" s="320"/>
      <c r="FI46" s="320"/>
      <c r="FJ46" s="320"/>
      <c r="FK46" s="320"/>
      <c r="FL46" s="320"/>
      <c r="FM46" s="320"/>
      <c r="FN46" s="320"/>
      <c r="FO46" s="320"/>
      <c r="FP46" s="320"/>
      <c r="FQ46" s="320"/>
      <c r="FR46" s="320"/>
    </row>
    <row r="47" spans="2:174" ht="15.75" thickBot="1" x14ac:dyDescent="0.3">
      <c r="B47">
        <f t="shared" si="52"/>
        <v>29</v>
      </c>
      <c r="D47" s="112">
        <v>43831</v>
      </c>
      <c r="X47" s="112">
        <f t="shared" ca="1" si="7"/>
        <v>100000</v>
      </c>
      <c r="Z47">
        <f t="shared" si="44"/>
        <v>30</v>
      </c>
      <c r="AA47" s="112">
        <f t="shared" ca="1" si="8"/>
        <v>100000</v>
      </c>
      <c r="AD47" s="112">
        <f t="shared" ca="1" si="19"/>
        <v>100000</v>
      </c>
      <c r="AI47" s="112">
        <f t="shared" ca="1" si="64"/>
        <v>100000</v>
      </c>
      <c r="AJ47" s="112" t="str">
        <f t="shared" ca="1" si="45"/>
        <v>0-8 anni</v>
      </c>
      <c r="AM47">
        <f ca="1">VLOOKUP(AI47,Foglio1tibis!$AB$31:$AN$284,13)</f>
        <v>261</v>
      </c>
      <c r="AN47">
        <f t="shared" ca="1" si="76"/>
        <v>6</v>
      </c>
      <c r="AO47">
        <f t="shared" ca="1" si="77"/>
        <v>255</v>
      </c>
      <c r="AQ47" s="112">
        <f t="shared" ca="1" si="78"/>
        <v>100000</v>
      </c>
      <c r="AR47" s="112" cm="1">
        <f t="array" aca="1" ref="AR47" ca="1">INDIRECT(CONCATENATE($AP$15,$AR$16,AO47))</f>
        <v>45291</v>
      </c>
      <c r="AS47" t="str" cm="1">
        <f t="array" aca="1" ref="AS47" ca="1">INDIRECT(CONCATENATE($AP$15,$AS$16,AO47))</f>
        <v>0-2anni</v>
      </c>
      <c r="AT47" cm="1">
        <f t="array" aca="1" ref="AT47" ca="1">INDIRECT(CONCATENATE($AP$15,$AT$16,AO47))</f>
        <v>0</v>
      </c>
      <c r="AU47" cm="1">
        <f t="array" aca="1" ref="AU47" ca="1">INDIRECT(CONCATENATE($AP$15,$AU$16,AO47))</f>
        <v>14513.09</v>
      </c>
      <c r="AV47" cm="1">
        <f t="array" aca="1" ref="AV47" ca="1">INDIRECT(CONCATENATE($AP$15,$AV$16,AO47))</f>
        <v>0</v>
      </c>
      <c r="AW47" cm="1">
        <f t="array" aca="1" ref="AW47" ca="1">INDIRECT(CONCATENATE($AP$15,$AW$16,AO47))</f>
        <v>0</v>
      </c>
      <c r="AX47" cm="1">
        <f t="array" aca="1" ref="AX47" ca="1">INDIRECT(CONCATENATE($AP$15,$AX$16,AO47))</f>
        <v>6384.11</v>
      </c>
      <c r="AY47" cm="1">
        <f t="array" aca="1" ref="AY47" ca="1">INDIRECT(CONCATENATE($AP$15,$AY$16,AO47))</f>
        <v>104.49</v>
      </c>
      <c r="AZ47" cm="1">
        <f t="array" aca="1" ref="AZ47" ca="1">INDIRECT(CONCATENATE($AP$15,$AZ$16,AO47))</f>
        <v>1690.19</v>
      </c>
      <c r="BA47" cm="1">
        <f t="array" aca="1" ref="BA47" ca="1">INDIRECT(CONCATENATE($AP$15,$BA$16,AO47))</f>
        <v>2214</v>
      </c>
      <c r="BH47" t="str">
        <f t="shared" ca="1" si="24"/>
        <v>C.C.N.L. COMPARTO  SCUOLA del Dicembre 2022</v>
      </c>
      <c r="BJ47" t="str">
        <f t="shared" ca="1" si="25"/>
        <v/>
      </c>
      <c r="BL47" t="str">
        <f t="shared" ca="1" si="26"/>
        <v xml:space="preserve">ARTICOLO 
</v>
      </c>
      <c r="BM47" t="str">
        <f t="shared" ca="1" si="27"/>
        <v xml:space="preserve">Con decorrenza dal:14/10/2173 Spetta fascia:0-2anni  C.C.N.L. COMPARTO  SCUOLA del Dicembre 2022
</v>
      </c>
      <c r="BN47" t="str">
        <f t="shared" ca="1" si="28"/>
        <v xml:space="preserve">Retribuzione euro:20897,2
</v>
      </c>
      <c r="BO47" t="str">
        <f t="shared" ca="1" si="29"/>
        <v xml:space="preserve">I.V.C. euro:104,49
</v>
      </c>
      <c r="BP47" t="str">
        <f t="shared" ca="1" si="30"/>
        <v xml:space="preserve">R.P.D. euro:2214
</v>
      </c>
      <c r="BQ47" t="str">
        <f t="shared" ca="1" si="31"/>
        <v/>
      </c>
      <c r="BR47" t="str">
        <f t="shared" ca="1" si="32"/>
        <v xml:space="preserve">TOTALE EURO:23215,69
 altri assegni previsti per legge
</v>
      </c>
      <c r="CA47" t="str">
        <f t="shared" ca="1" si="75"/>
        <v/>
      </c>
      <c r="CJ47">
        <f t="shared" si="33"/>
        <v>30</v>
      </c>
      <c r="CK47" s="112">
        <v>44197</v>
      </c>
      <c r="CL47" s="238">
        <f t="shared" si="48"/>
        <v>47</v>
      </c>
      <c r="CS47" s="112" t="str">
        <f t="shared" si="79"/>
        <v/>
      </c>
      <c r="CT47" s="112" t="str">
        <f>CP25</f>
        <v/>
      </c>
      <c r="CV47" s="112">
        <f t="shared" si="69"/>
        <v>100000</v>
      </c>
      <c r="CW47" s="112">
        <f t="shared" si="54"/>
        <v>100000</v>
      </c>
      <c r="CX47" s="238" t="e">
        <f ca="1">VLOOKUP(CZ47,Foglio1tibis!$AB$31:$AN$283,13)-6</f>
        <v>#N/A</v>
      </c>
      <c r="CY47" s="112" t="str">
        <f t="shared" si="49"/>
        <v/>
      </c>
      <c r="CZ47" s="478" t="str">
        <f t="shared" si="70"/>
        <v/>
      </c>
      <c r="DA47" s="479" t="str">
        <f t="shared" si="62"/>
        <v/>
      </c>
      <c r="DB47" s="112" t="str">
        <f t="shared" si="39"/>
        <v/>
      </c>
      <c r="DC47" s="114" t="e">
        <f t="shared" si="40"/>
        <v>#VALUE!</v>
      </c>
      <c r="DD47" s="114" t="str" cm="1">
        <f t="array" aca="1" ref="DD47" ca="1">IF(CY47="","",INDIRECT(CONCATENATE($AP$15,$AU$16,CX47)))</f>
        <v/>
      </c>
      <c r="DE47" s="114"/>
      <c r="DF47" s="114"/>
      <c r="DG47" s="114" t="str" cm="1">
        <f t="array" aca="1" ref="DG47" ca="1">IF(DD47="","",INDIRECT(CONCATENATE($AP$15,$AX$16,CX47)))</f>
        <v/>
      </c>
      <c r="DH47" s="114" t="str" cm="1">
        <f t="array" aca="1" ref="DH47" ca="1">IF(DD47="","",INDIRECT(CONCATENATE($AP$15,$AY$16,CX47)))</f>
        <v/>
      </c>
      <c r="DI47" s="114"/>
      <c r="DJ47" s="114" t="str" cm="1">
        <f t="array" aca="1" ref="DJ47" ca="1">IF(DD47="","",INDIRECT(CONCATENATE($AP$15,$BA$16,CX47)))</f>
        <v/>
      </c>
      <c r="DK47">
        <f t="shared" si="55"/>
        <v>0</v>
      </c>
      <c r="DL47" s="114">
        <f t="shared" si="71"/>
        <v>0</v>
      </c>
      <c r="DM47" s="114" t="e">
        <f t="shared" ca="1" si="72"/>
        <v>#VALUE!</v>
      </c>
      <c r="DN47">
        <f>aumentibiennali!K68</f>
        <v>0</v>
      </c>
      <c r="DO47" t="e">
        <f t="shared" ca="1" si="73"/>
        <v>#VALUE!</v>
      </c>
      <c r="DP47" t="e">
        <f t="shared" ca="1" si="58"/>
        <v>#VALUE!</v>
      </c>
      <c r="DU47" t="e">
        <f t="shared" ca="1" si="74"/>
        <v>#VALUE!</v>
      </c>
      <c r="EO47" s="320" t="str">
        <f t="shared" ca="1" si="59"/>
        <v/>
      </c>
      <c r="EP47" s="320"/>
      <c r="EQ47" s="320"/>
      <c r="ER47" s="320"/>
      <c r="ES47" s="320"/>
      <c r="ET47" s="320"/>
      <c r="EU47" s="320"/>
      <c r="EV47" s="320"/>
      <c r="EW47" s="320"/>
      <c r="EX47" s="320"/>
      <c r="EY47" s="320"/>
      <c r="EZ47" s="320"/>
      <c r="FA47" s="320"/>
      <c r="FB47" s="320"/>
      <c r="FC47" s="320"/>
      <c r="FD47" s="320"/>
      <c r="FE47" s="320"/>
      <c r="FF47" s="320"/>
      <c r="FG47" s="320"/>
      <c r="FH47" s="320"/>
      <c r="FI47" s="320"/>
      <c r="FJ47" s="320"/>
      <c r="FK47" s="320"/>
      <c r="FL47" s="320"/>
      <c r="FM47" s="320"/>
      <c r="FN47" s="320"/>
      <c r="FO47" s="320"/>
      <c r="FP47" s="320"/>
      <c r="FQ47" s="320"/>
      <c r="FR47" s="320"/>
    </row>
    <row r="48" spans="2:174" ht="15.75" thickBot="1" x14ac:dyDescent="0.3">
      <c r="B48">
        <f t="shared" si="52"/>
        <v>30</v>
      </c>
      <c r="D48" s="112">
        <v>44197</v>
      </c>
      <c r="X48" s="112">
        <f t="shared" ca="1" si="7"/>
        <v>100000</v>
      </c>
      <c r="Z48">
        <f t="shared" si="44"/>
        <v>31</v>
      </c>
      <c r="AA48" s="112">
        <f t="shared" ca="1" si="8"/>
        <v>100000</v>
      </c>
      <c r="AD48" s="112">
        <f t="shared" ca="1" si="19"/>
        <v>100000</v>
      </c>
      <c r="AI48" s="112">
        <f t="shared" ca="1" si="64"/>
        <v>100000</v>
      </c>
      <c r="AJ48" s="112" t="str">
        <f t="shared" ca="1" si="45"/>
        <v>0-8 anni</v>
      </c>
      <c r="AM48">
        <f ca="1">VLOOKUP(AI48,Foglio1tibis!$AB$31:$AN$284,13)</f>
        <v>261</v>
      </c>
      <c r="AN48">
        <f t="shared" ca="1" si="76"/>
        <v>6</v>
      </c>
      <c r="AO48">
        <f t="shared" ca="1" si="77"/>
        <v>255</v>
      </c>
      <c r="AQ48" s="112">
        <f t="shared" ca="1" si="78"/>
        <v>100000</v>
      </c>
      <c r="AR48" s="112" cm="1">
        <f t="array" aca="1" ref="AR48" ca="1">INDIRECT(CONCATENATE($AP$15,$AR$16,AO48))</f>
        <v>45291</v>
      </c>
      <c r="AS48" t="str" cm="1">
        <f t="array" aca="1" ref="AS48" ca="1">INDIRECT(CONCATENATE($AP$15,$AS$16,AO48))</f>
        <v>0-2anni</v>
      </c>
      <c r="AT48" cm="1">
        <f t="array" aca="1" ref="AT48" ca="1">INDIRECT(CONCATENATE($AP$15,$AT$16,AO48))</f>
        <v>0</v>
      </c>
      <c r="AU48" cm="1">
        <f t="array" aca="1" ref="AU48" ca="1">INDIRECT(CONCATENATE($AP$15,$AU$16,AO48))</f>
        <v>14513.09</v>
      </c>
      <c r="AV48" cm="1">
        <f t="array" aca="1" ref="AV48" ca="1">INDIRECT(CONCATENATE($AP$15,$AV$16,AO48))</f>
        <v>0</v>
      </c>
      <c r="AW48" cm="1">
        <f t="array" aca="1" ref="AW48" ca="1">INDIRECT(CONCATENATE($AP$15,$AW$16,AO48))</f>
        <v>0</v>
      </c>
      <c r="AX48" cm="1">
        <f t="array" aca="1" ref="AX48" ca="1">INDIRECT(CONCATENATE($AP$15,$AX$16,AO48))</f>
        <v>6384.11</v>
      </c>
      <c r="AY48" cm="1">
        <f t="array" aca="1" ref="AY48" ca="1">INDIRECT(CONCATENATE($AP$15,$AY$16,AO48))</f>
        <v>104.49</v>
      </c>
      <c r="AZ48" cm="1">
        <f t="array" aca="1" ref="AZ48" ca="1">INDIRECT(CONCATENATE($AP$15,$AZ$16,AO48))</f>
        <v>1690.19</v>
      </c>
      <c r="BA48" cm="1">
        <f t="array" aca="1" ref="BA48" ca="1">INDIRECT(CONCATENATE($AP$15,$BA$16,AO48))</f>
        <v>2214</v>
      </c>
      <c r="BH48" t="str">
        <f t="shared" ca="1" si="24"/>
        <v>C.C.N.L. COMPARTO  SCUOLA del Dicembre 2022</v>
      </c>
      <c r="BJ48" t="str">
        <f t="shared" ca="1" si="25"/>
        <v/>
      </c>
      <c r="BL48" t="str">
        <f t="shared" ca="1" si="26"/>
        <v xml:space="preserve">ARTICOLO 
</v>
      </c>
      <c r="BM48" t="str">
        <f t="shared" ca="1" si="27"/>
        <v xml:space="preserve">Con decorrenza dal:14/10/2173 Spetta fascia:0-2anni  C.C.N.L. COMPARTO  SCUOLA del Dicembre 2022
</v>
      </c>
      <c r="BN48" t="str">
        <f t="shared" ca="1" si="28"/>
        <v xml:space="preserve">Retribuzione euro:20897,2
</v>
      </c>
      <c r="BO48" t="str">
        <f t="shared" ca="1" si="29"/>
        <v xml:space="preserve">I.V.C. euro:104,49
</v>
      </c>
      <c r="BP48" t="str">
        <f t="shared" ca="1" si="30"/>
        <v xml:space="preserve">R.P.D. euro:2214
</v>
      </c>
      <c r="BQ48" t="str">
        <f t="shared" ca="1" si="31"/>
        <v/>
      </c>
      <c r="BR48" t="str">
        <f t="shared" ca="1" si="32"/>
        <v xml:space="preserve">TOTALE EURO:23215,69
 altri assegni previsti per legge
</v>
      </c>
      <c r="CA48" t="str">
        <f t="shared" ca="1" si="75"/>
        <v/>
      </c>
      <c r="CJ48">
        <f t="shared" si="33"/>
        <v>31</v>
      </c>
      <c r="CK48" s="112">
        <v>44562</v>
      </c>
      <c r="CL48" s="238">
        <f t="shared" si="48"/>
        <v>48</v>
      </c>
      <c r="CS48" s="112" t="str">
        <f t="shared" si="79"/>
        <v/>
      </c>
      <c r="CT48" s="112" t="e">
        <f>HLOOKUP(CT47,$CN$11:$DO$14,2)</f>
        <v>#N/A</v>
      </c>
      <c r="CV48" s="112">
        <f t="shared" si="69"/>
        <v>100000</v>
      </c>
      <c r="CW48" s="112">
        <f t="shared" si="54"/>
        <v>100000</v>
      </c>
      <c r="CX48" s="238" t="e">
        <f ca="1">VLOOKUP(CZ48,Foglio1tibis!$AB$31:$AN$283,13)-6</f>
        <v>#N/A</v>
      </c>
      <c r="CY48" s="112" t="str">
        <f t="shared" si="49"/>
        <v/>
      </c>
      <c r="CZ48" s="478" t="str">
        <f t="shared" si="70"/>
        <v/>
      </c>
      <c r="DA48" s="479" t="str">
        <f t="shared" si="62"/>
        <v/>
      </c>
      <c r="DB48" s="112" t="str">
        <f t="shared" si="39"/>
        <v/>
      </c>
      <c r="DC48" s="114" t="e">
        <f t="shared" si="40"/>
        <v>#VALUE!</v>
      </c>
      <c r="DD48" s="114" t="str" cm="1">
        <f t="array" aca="1" ref="DD48" ca="1">IF(CY48="","",INDIRECT(CONCATENATE($AP$15,$AU$16,CX48)))</f>
        <v/>
      </c>
      <c r="DE48" s="114"/>
      <c r="DF48" s="114"/>
      <c r="DG48" s="114" t="str" cm="1">
        <f t="array" aca="1" ref="DG48" ca="1">IF(DD48="","",INDIRECT(CONCATENATE($AP$15,$AX$16,CX48)))</f>
        <v/>
      </c>
      <c r="DH48" s="114" t="str" cm="1">
        <f t="array" aca="1" ref="DH48" ca="1">IF(DD48="","",INDIRECT(CONCATENATE($AP$15,$AY$16,CX48)))</f>
        <v/>
      </c>
      <c r="DI48" s="114"/>
      <c r="DJ48" s="114" t="str" cm="1">
        <f t="array" aca="1" ref="DJ48" ca="1">IF(DD48="","",INDIRECT(CONCATENATE($AP$15,$BA$16,CX48)))</f>
        <v/>
      </c>
      <c r="DK48">
        <f t="shared" si="55"/>
        <v>0</v>
      </c>
      <c r="DL48" s="114">
        <f t="shared" si="71"/>
        <v>0</v>
      </c>
      <c r="DM48" s="114" t="e">
        <f t="shared" ca="1" si="72"/>
        <v>#VALUE!</v>
      </c>
      <c r="DN48">
        <f>aumentibiennali!K69</f>
        <v>0</v>
      </c>
      <c r="DO48" t="e">
        <f t="shared" ca="1" si="73"/>
        <v>#VALUE!</v>
      </c>
      <c r="DP48" t="e">
        <f t="shared" ca="1" si="58"/>
        <v>#VALUE!</v>
      </c>
      <c r="DU48" t="e">
        <f t="shared" ca="1" si="74"/>
        <v>#VALUE!</v>
      </c>
      <c r="EO48" s="320" t="str">
        <f t="shared" ca="1" si="59"/>
        <v/>
      </c>
      <c r="EP48" s="320"/>
      <c r="EQ48" s="320"/>
      <c r="ER48" s="320"/>
      <c r="ES48" s="320"/>
      <c r="ET48" s="320"/>
      <c r="EU48" s="320"/>
      <c r="EV48" s="320"/>
      <c r="EW48" s="320"/>
      <c r="EX48" s="320"/>
      <c r="EY48" s="320"/>
      <c r="EZ48" s="320"/>
      <c r="FA48" s="320"/>
      <c r="FB48" s="320"/>
      <c r="FC48" s="320"/>
      <c r="FD48" s="320"/>
      <c r="FE48" s="320"/>
      <c r="FF48" s="320"/>
      <c r="FG48" s="320"/>
      <c r="FH48" s="320"/>
      <c r="FI48" s="320"/>
      <c r="FJ48" s="320"/>
      <c r="FK48" s="320"/>
      <c r="FL48" s="320"/>
      <c r="FM48" s="320"/>
      <c r="FN48" s="320"/>
      <c r="FO48" s="320"/>
      <c r="FP48" s="320"/>
      <c r="FQ48" s="320"/>
      <c r="FR48" s="320"/>
    </row>
    <row r="49" spans="2:174" ht="15.75" thickBot="1" x14ac:dyDescent="0.3">
      <c r="B49">
        <f t="shared" si="52"/>
        <v>31</v>
      </c>
      <c r="D49" s="112">
        <v>44562</v>
      </c>
      <c r="X49" s="112">
        <f t="shared" ca="1" si="7"/>
        <v>100000</v>
      </c>
      <c r="Z49">
        <f t="shared" si="44"/>
        <v>32</v>
      </c>
      <c r="AA49" s="112">
        <f t="shared" ca="1" si="8"/>
        <v>100000</v>
      </c>
      <c r="AD49" s="112">
        <f t="shared" ca="1" si="19"/>
        <v>100000</v>
      </c>
      <c r="AI49" s="112">
        <f t="shared" ca="1" si="64"/>
        <v>100000</v>
      </c>
      <c r="AJ49" s="112" t="str">
        <f t="shared" ca="1" si="45"/>
        <v>0-8 anni</v>
      </c>
      <c r="AM49">
        <f ca="1">VLOOKUP(AI49,Foglio1tibis!$AB$31:$AN$284,13)</f>
        <v>261</v>
      </c>
      <c r="AN49">
        <f t="shared" ca="1" si="76"/>
        <v>6</v>
      </c>
      <c r="AO49">
        <f t="shared" ca="1" si="77"/>
        <v>255</v>
      </c>
      <c r="AQ49" s="112">
        <f t="shared" ca="1" si="78"/>
        <v>100000</v>
      </c>
      <c r="AR49" s="112" cm="1">
        <f t="array" aca="1" ref="AR49" ca="1">INDIRECT(CONCATENATE($AP$15,$AR$16,AO49))</f>
        <v>45291</v>
      </c>
      <c r="AS49" t="str" cm="1">
        <f t="array" aca="1" ref="AS49" ca="1">INDIRECT(CONCATENATE($AP$15,$AS$16,AO49))</f>
        <v>0-2anni</v>
      </c>
      <c r="AT49" cm="1">
        <f t="array" aca="1" ref="AT49" ca="1">INDIRECT(CONCATENATE($AP$15,$AT$16,AO49))</f>
        <v>0</v>
      </c>
      <c r="AU49" cm="1">
        <f t="array" aca="1" ref="AU49" ca="1">INDIRECT(CONCATENATE($AP$15,$AU$16,AO49))</f>
        <v>14513.09</v>
      </c>
      <c r="AV49" cm="1">
        <f t="array" aca="1" ref="AV49" ca="1">INDIRECT(CONCATENATE($AP$15,$AV$16,AO49))</f>
        <v>0</v>
      </c>
      <c r="AW49" cm="1">
        <f t="array" aca="1" ref="AW49" ca="1">INDIRECT(CONCATENATE($AP$15,$AW$16,AO49))</f>
        <v>0</v>
      </c>
      <c r="AX49" cm="1">
        <f t="array" aca="1" ref="AX49" ca="1">INDIRECT(CONCATENATE($AP$15,$AX$16,AO49))</f>
        <v>6384.11</v>
      </c>
      <c r="AY49" cm="1">
        <f t="array" aca="1" ref="AY49" ca="1">INDIRECT(CONCATENATE($AP$15,$AY$16,AO49))</f>
        <v>104.49</v>
      </c>
      <c r="AZ49" cm="1">
        <f t="array" aca="1" ref="AZ49" ca="1">INDIRECT(CONCATENATE($AP$15,$AZ$16,AO49))</f>
        <v>1690.19</v>
      </c>
      <c r="BA49" cm="1">
        <f t="array" aca="1" ref="BA49" ca="1">INDIRECT(CONCATENATE($AP$15,$BA$16,AO49))</f>
        <v>2214</v>
      </c>
      <c r="BH49" t="str">
        <f t="shared" ca="1" si="24"/>
        <v>C.C.N.L. COMPARTO  SCUOLA del Dicembre 2022</v>
      </c>
      <c r="BJ49" t="str">
        <f t="shared" ca="1" si="25"/>
        <v/>
      </c>
      <c r="BL49" t="str">
        <f t="shared" ca="1" si="26"/>
        <v xml:space="preserve">ARTICOLO 
</v>
      </c>
      <c r="BM49" t="str">
        <f t="shared" ca="1" si="27"/>
        <v xml:space="preserve">Con decorrenza dal:14/10/2173 Spetta fascia:0-2anni  C.C.N.L. COMPARTO  SCUOLA del Dicembre 2022
</v>
      </c>
      <c r="BN49" t="str">
        <f t="shared" ca="1" si="28"/>
        <v xml:space="preserve">Retribuzione euro:20897,2
</v>
      </c>
      <c r="BO49" t="str">
        <f t="shared" ca="1" si="29"/>
        <v xml:space="preserve">I.V.C. euro:104,49
</v>
      </c>
      <c r="BP49" t="str">
        <f t="shared" ca="1" si="30"/>
        <v xml:space="preserve">R.P.D. euro:2214
</v>
      </c>
      <c r="BQ49" t="str">
        <f t="shared" ca="1" si="31"/>
        <v/>
      </c>
      <c r="BR49" t="str">
        <f t="shared" ca="1" si="32"/>
        <v xml:space="preserve">TOTALE EURO:23215,69
 altri assegni previsti per legge
</v>
      </c>
      <c r="CA49" t="str">
        <f t="shared" ca="1" si="75"/>
        <v/>
      </c>
      <c r="CJ49">
        <f t="shared" si="33"/>
        <v>32</v>
      </c>
      <c r="CK49" s="112">
        <v>44652</v>
      </c>
      <c r="CL49" s="238">
        <f t="shared" si="48"/>
        <v>49</v>
      </c>
      <c r="CS49" s="112" t="str">
        <f t="shared" si="79"/>
        <v/>
      </c>
      <c r="CT49" s="112" t="e">
        <f>HLOOKUP(CT47,$CN$11:$DO$14,3)</f>
        <v>#N/A</v>
      </c>
      <c r="CV49" s="112">
        <f t="shared" si="69"/>
        <v>100000</v>
      </c>
      <c r="CW49" s="112">
        <f t="shared" si="54"/>
        <v>100000</v>
      </c>
      <c r="CX49" s="238" t="e">
        <f ca="1">VLOOKUP(CZ49,Foglio1tibis!$AB$31:$AN$283,13)-6</f>
        <v>#N/A</v>
      </c>
      <c r="CY49" s="112" t="str">
        <f t="shared" si="49"/>
        <v/>
      </c>
      <c r="CZ49" s="478" t="str">
        <f t="shared" si="70"/>
        <v/>
      </c>
      <c r="DA49" s="479" t="str">
        <f t="shared" si="62"/>
        <v/>
      </c>
      <c r="DB49" s="112" t="str">
        <f t="shared" si="39"/>
        <v/>
      </c>
      <c r="DC49" s="114" t="e">
        <f t="shared" si="40"/>
        <v>#VALUE!</v>
      </c>
      <c r="DD49" s="114" t="str" cm="1">
        <f t="array" aca="1" ref="DD49" ca="1">IF(CY49="","",INDIRECT(CONCATENATE($AP$15,$AU$16,CX49)))</f>
        <v/>
      </c>
      <c r="DE49" s="114"/>
      <c r="DF49" s="114"/>
      <c r="DG49" s="114" t="str" cm="1">
        <f t="array" aca="1" ref="DG49" ca="1">IF(DD49="","",INDIRECT(CONCATENATE($AP$15,$AX$16,CX49)))</f>
        <v/>
      </c>
      <c r="DH49" s="114" t="str" cm="1">
        <f t="array" aca="1" ref="DH49" ca="1">IF(DD49="","",INDIRECT(CONCATENATE($AP$15,$AY$16,CX49)))</f>
        <v/>
      </c>
      <c r="DI49" s="114"/>
      <c r="DJ49" s="114" t="str" cm="1">
        <f t="array" aca="1" ref="DJ49" ca="1">IF(DD49="","",INDIRECT(CONCATENATE($AP$15,$BA$16,CX49)))</f>
        <v/>
      </c>
      <c r="DK49">
        <f t="shared" si="55"/>
        <v>0</v>
      </c>
      <c r="DL49" s="114">
        <f t="shared" si="71"/>
        <v>0</v>
      </c>
      <c r="DM49" s="114" t="e">
        <f t="shared" ca="1" si="72"/>
        <v>#VALUE!</v>
      </c>
      <c r="DN49">
        <f>aumentibiennali!K70</f>
        <v>0</v>
      </c>
      <c r="DO49" t="e">
        <f t="shared" ca="1" si="73"/>
        <v>#VALUE!</v>
      </c>
      <c r="DP49" t="e">
        <f t="shared" ca="1" si="58"/>
        <v>#VALUE!</v>
      </c>
      <c r="DU49" t="e">
        <f t="shared" ca="1" si="74"/>
        <v>#VALUE!</v>
      </c>
      <c r="EO49" s="320" t="str">
        <f t="shared" ca="1" si="59"/>
        <v/>
      </c>
      <c r="EP49" s="320"/>
      <c r="EQ49" s="320"/>
      <c r="ER49" s="320"/>
      <c r="ES49" s="320"/>
      <c r="ET49" s="320"/>
      <c r="EU49" s="320"/>
      <c r="EV49" s="320"/>
      <c r="EW49" s="320"/>
      <c r="EX49" s="320"/>
      <c r="EY49" s="320"/>
      <c r="EZ49" s="320"/>
      <c r="FA49" s="320"/>
      <c r="FB49" s="320"/>
      <c r="FC49" s="320"/>
      <c r="FD49" s="320"/>
      <c r="FE49" s="320"/>
      <c r="FF49" s="320"/>
      <c r="FG49" s="320"/>
      <c r="FH49" s="320"/>
      <c r="FI49" s="320"/>
      <c r="FJ49" s="320"/>
      <c r="FK49" s="320"/>
      <c r="FL49" s="320"/>
      <c r="FM49" s="320"/>
      <c r="FN49" s="320"/>
      <c r="FO49" s="320"/>
      <c r="FP49" s="320"/>
      <c r="FQ49" s="320"/>
      <c r="FR49" s="320"/>
    </row>
    <row r="50" spans="2:174" ht="15.75" thickBot="1" x14ac:dyDescent="0.3">
      <c r="B50">
        <f t="shared" si="52"/>
        <v>32</v>
      </c>
      <c r="D50" s="112">
        <v>44652</v>
      </c>
      <c r="X50" s="112">
        <f t="shared" ca="1" si="7"/>
        <v>100000</v>
      </c>
      <c r="Z50">
        <f t="shared" si="44"/>
        <v>33</v>
      </c>
      <c r="AA50" s="112">
        <f t="shared" ca="1" si="8"/>
        <v>100000</v>
      </c>
      <c r="AD50" s="112">
        <f t="shared" ca="1" si="19"/>
        <v>100000</v>
      </c>
      <c r="AI50" s="112">
        <f t="shared" ca="1" si="64"/>
        <v>100000</v>
      </c>
      <c r="AJ50" s="112" t="str">
        <f t="shared" ca="1" si="45"/>
        <v>0-8 anni</v>
      </c>
      <c r="AM50">
        <f ca="1">VLOOKUP(AI50,Foglio1tibis!$AB$31:$AN$284,13)</f>
        <v>261</v>
      </c>
      <c r="AN50">
        <f t="shared" ca="1" si="76"/>
        <v>6</v>
      </c>
      <c r="AO50">
        <f t="shared" ca="1" si="77"/>
        <v>255</v>
      </c>
      <c r="AQ50" s="112">
        <f t="shared" ca="1" si="78"/>
        <v>100000</v>
      </c>
      <c r="AR50" s="112" cm="1">
        <f t="array" aca="1" ref="AR50" ca="1">INDIRECT(CONCATENATE($AP$15,$AR$16,AO50))</f>
        <v>45291</v>
      </c>
      <c r="AS50" t="str" cm="1">
        <f t="array" aca="1" ref="AS50" ca="1">INDIRECT(CONCATENATE($AP$15,$AS$16,AO50))</f>
        <v>0-2anni</v>
      </c>
      <c r="AT50" cm="1">
        <f t="array" aca="1" ref="AT50" ca="1">INDIRECT(CONCATENATE($AP$15,$AT$16,AO50))</f>
        <v>0</v>
      </c>
      <c r="AU50" cm="1">
        <f t="array" aca="1" ref="AU50" ca="1">INDIRECT(CONCATENATE($AP$15,$AU$16,AO50))</f>
        <v>14513.09</v>
      </c>
      <c r="AV50" cm="1">
        <f t="array" aca="1" ref="AV50" ca="1">INDIRECT(CONCATENATE($AP$15,$AV$16,AO50))</f>
        <v>0</v>
      </c>
      <c r="AW50" cm="1">
        <f t="array" aca="1" ref="AW50" ca="1">INDIRECT(CONCATENATE($AP$15,$AW$16,AO50))</f>
        <v>0</v>
      </c>
      <c r="AX50" cm="1">
        <f t="array" aca="1" ref="AX50" ca="1">INDIRECT(CONCATENATE($AP$15,$AX$16,AO50))</f>
        <v>6384.11</v>
      </c>
      <c r="AY50" cm="1">
        <f t="array" aca="1" ref="AY50" ca="1">INDIRECT(CONCATENATE($AP$15,$AY$16,AO50))</f>
        <v>104.49</v>
      </c>
      <c r="AZ50" cm="1">
        <f t="array" aca="1" ref="AZ50" ca="1">INDIRECT(CONCATENATE($AP$15,$AZ$16,AO50))</f>
        <v>1690.19</v>
      </c>
      <c r="BA50" cm="1">
        <f t="array" aca="1" ref="BA50" ca="1">INDIRECT(CONCATENATE($AP$15,$BA$16,AO50))</f>
        <v>2214</v>
      </c>
      <c r="BH50" t="str">
        <f t="shared" ca="1" si="24"/>
        <v>C.C.N.L. COMPARTO  SCUOLA del Dicembre 2022</v>
      </c>
      <c r="BJ50" t="str">
        <f t="shared" ca="1" si="25"/>
        <v/>
      </c>
      <c r="BL50" t="str">
        <f t="shared" ca="1" si="26"/>
        <v xml:space="preserve">ARTICOLO 
</v>
      </c>
      <c r="BM50" t="str">
        <f t="shared" ca="1" si="27"/>
        <v xml:space="preserve">Con decorrenza dal:14/10/2173 Spetta fascia:0-2anni  C.C.N.L. COMPARTO  SCUOLA del Dicembre 2022
</v>
      </c>
      <c r="BN50" t="str">
        <f t="shared" ca="1" si="28"/>
        <v xml:space="preserve">Retribuzione euro:20897,2
</v>
      </c>
      <c r="BO50" t="str">
        <f t="shared" ca="1" si="29"/>
        <v xml:space="preserve">I.V.C. euro:104,49
</v>
      </c>
      <c r="BP50" t="str">
        <f t="shared" ca="1" si="30"/>
        <v xml:space="preserve">R.P.D. euro:2214
</v>
      </c>
      <c r="BQ50" t="str">
        <f t="shared" ca="1" si="31"/>
        <v/>
      </c>
      <c r="BR50" t="str">
        <f t="shared" ca="1" si="32"/>
        <v xml:space="preserve">TOTALE EURO:23215,69
 altri assegni previsti per legge
</v>
      </c>
      <c r="CA50" t="str">
        <f t="shared" ca="1" si="75"/>
        <v/>
      </c>
      <c r="CJ50">
        <f t="shared" si="33"/>
        <v>33</v>
      </c>
      <c r="CK50" s="112">
        <v>44743</v>
      </c>
      <c r="CL50" s="238">
        <f t="shared" si="48"/>
        <v>50</v>
      </c>
      <c r="CS50" s="112" t="str">
        <f t="shared" si="79"/>
        <v/>
      </c>
      <c r="CT50" s="112" t="e">
        <f>HLOOKUP(CT47,$CN$11:$DO$14,4)</f>
        <v>#N/A</v>
      </c>
      <c r="CV50" s="112">
        <f t="shared" si="69"/>
        <v>100000</v>
      </c>
      <c r="CW50" s="112">
        <f t="shared" si="54"/>
        <v>100000</v>
      </c>
      <c r="CX50" s="238" t="e">
        <f ca="1">VLOOKUP(CZ50,Foglio1tibis!$AB$31:$AN$283,13)-6</f>
        <v>#N/A</v>
      </c>
      <c r="CY50" s="112" t="str">
        <f t="shared" si="49"/>
        <v/>
      </c>
      <c r="CZ50" s="478" t="str">
        <f t="shared" si="70"/>
        <v/>
      </c>
      <c r="DA50" s="479" t="str">
        <f t="shared" si="62"/>
        <v/>
      </c>
      <c r="DB50" s="112" t="str">
        <f t="shared" si="39"/>
        <v/>
      </c>
      <c r="DC50" s="114" t="e">
        <f t="shared" si="40"/>
        <v>#VALUE!</v>
      </c>
      <c r="DD50" s="114" t="str" cm="1">
        <f t="array" aca="1" ref="DD50" ca="1">IF(CY50="","",INDIRECT(CONCATENATE($AP$15,$AU$16,CX50)))</f>
        <v/>
      </c>
      <c r="DE50" s="114"/>
      <c r="DF50" s="114"/>
      <c r="DG50" s="114" t="str" cm="1">
        <f t="array" aca="1" ref="DG50" ca="1">IF(DD50="","",INDIRECT(CONCATENATE($AP$15,$AX$16,CX50)))</f>
        <v/>
      </c>
      <c r="DH50" s="114" t="str" cm="1">
        <f t="array" aca="1" ref="DH50" ca="1">IF(DD50="","",INDIRECT(CONCATENATE($AP$15,$AY$16,CX50)))</f>
        <v/>
      </c>
      <c r="DI50" s="114"/>
      <c r="DJ50" s="114" t="str" cm="1">
        <f t="array" aca="1" ref="DJ50" ca="1">IF(DD50="","",INDIRECT(CONCATENATE($AP$15,$BA$16,CX50)))</f>
        <v/>
      </c>
      <c r="DL50" s="114">
        <f t="shared" si="71"/>
        <v>0</v>
      </c>
      <c r="DM50" s="114" t="e">
        <f t="shared" ca="1" si="72"/>
        <v>#VALUE!</v>
      </c>
      <c r="DN50">
        <f>aumentibiennali!K71</f>
        <v>0</v>
      </c>
      <c r="DO50" t="e">
        <f t="shared" ca="1" si="73"/>
        <v>#VALUE!</v>
      </c>
      <c r="DP50" t="e">
        <f t="shared" ca="1" si="58"/>
        <v>#VALUE!</v>
      </c>
      <c r="DU50" t="e">
        <f t="shared" ca="1" si="74"/>
        <v>#VALUE!</v>
      </c>
      <c r="EO50" s="320" t="str">
        <f t="shared" ca="1" si="59"/>
        <v/>
      </c>
      <c r="EP50" s="320"/>
      <c r="EQ50" s="320"/>
      <c r="ER50" s="320"/>
      <c r="ES50" s="320"/>
      <c r="ET50" s="320"/>
      <c r="EU50" s="320"/>
      <c r="EV50" s="320"/>
      <c r="EW50" s="320"/>
      <c r="EX50" s="320"/>
      <c r="EY50" s="320"/>
      <c r="EZ50" s="320"/>
      <c r="FA50" s="320"/>
      <c r="FB50" s="320"/>
      <c r="FC50" s="320"/>
      <c r="FD50" s="320"/>
      <c r="FE50" s="320"/>
      <c r="FF50" s="320"/>
      <c r="FG50" s="320"/>
      <c r="FH50" s="320"/>
      <c r="FI50" s="320"/>
      <c r="FJ50" s="320"/>
      <c r="FK50" s="320"/>
      <c r="FL50" s="320"/>
      <c r="FM50" s="320"/>
      <c r="FN50" s="320"/>
      <c r="FO50" s="320"/>
      <c r="FP50" s="320"/>
      <c r="FQ50" s="320"/>
      <c r="FR50" s="320"/>
    </row>
    <row r="51" spans="2:174" ht="15.75" thickBot="1" x14ac:dyDescent="0.3">
      <c r="B51">
        <f t="shared" si="52"/>
        <v>33</v>
      </c>
      <c r="D51" s="112">
        <v>44743</v>
      </c>
      <c r="X51" s="112">
        <f t="shared" ca="1" si="7"/>
        <v>100000</v>
      </c>
      <c r="Z51">
        <f t="shared" si="44"/>
        <v>34</v>
      </c>
      <c r="AA51" s="112">
        <f t="shared" ca="1" si="8"/>
        <v>100000</v>
      </c>
      <c r="AD51" s="112">
        <f t="shared" ca="1" si="19"/>
        <v>100000</v>
      </c>
      <c r="AI51" s="112">
        <f t="shared" ca="1" si="64"/>
        <v>100000</v>
      </c>
      <c r="AJ51" s="112" t="str">
        <f t="shared" ca="1" si="45"/>
        <v>0-8 anni</v>
      </c>
      <c r="AM51">
        <f ca="1">VLOOKUP(AI51,Foglio1tibis!$AB$31:$AN$284,13)</f>
        <v>261</v>
      </c>
      <c r="AN51">
        <f t="shared" ca="1" si="76"/>
        <v>6</v>
      </c>
      <c r="AO51">
        <f t="shared" ca="1" si="77"/>
        <v>255</v>
      </c>
      <c r="AQ51" s="112">
        <f t="shared" ca="1" si="78"/>
        <v>100000</v>
      </c>
      <c r="AR51" s="112" cm="1">
        <f t="array" aca="1" ref="AR51" ca="1">INDIRECT(CONCATENATE($AP$15,$AR$16,AO51))</f>
        <v>45291</v>
      </c>
      <c r="AS51" t="str" cm="1">
        <f t="array" aca="1" ref="AS51" ca="1">INDIRECT(CONCATENATE($AP$15,$AS$16,AO51))</f>
        <v>0-2anni</v>
      </c>
      <c r="AT51" cm="1">
        <f t="array" aca="1" ref="AT51" ca="1">INDIRECT(CONCATENATE($AP$15,$AT$16,AO51))</f>
        <v>0</v>
      </c>
      <c r="AU51" cm="1">
        <f t="array" aca="1" ref="AU51" ca="1">INDIRECT(CONCATENATE($AP$15,$AU$16,AO51))</f>
        <v>14513.09</v>
      </c>
      <c r="AV51" cm="1">
        <f t="array" aca="1" ref="AV51" ca="1">INDIRECT(CONCATENATE($AP$15,$AV$16,AO51))</f>
        <v>0</v>
      </c>
      <c r="AW51" cm="1">
        <f t="array" aca="1" ref="AW51" ca="1">INDIRECT(CONCATENATE($AP$15,$AW$16,AO51))</f>
        <v>0</v>
      </c>
      <c r="AX51" cm="1">
        <f t="array" aca="1" ref="AX51" ca="1">INDIRECT(CONCATENATE($AP$15,$AX$16,AO51))</f>
        <v>6384.11</v>
      </c>
      <c r="AY51" cm="1">
        <f t="array" aca="1" ref="AY51" ca="1">INDIRECT(CONCATENATE($AP$15,$AY$16,AO51))</f>
        <v>104.49</v>
      </c>
      <c r="AZ51" cm="1">
        <f t="array" aca="1" ref="AZ51" ca="1">INDIRECT(CONCATENATE($AP$15,$AZ$16,AO51))</f>
        <v>1690.19</v>
      </c>
      <c r="BA51" cm="1">
        <f t="array" aca="1" ref="BA51" ca="1">INDIRECT(CONCATENATE($AP$15,$BA$16,AO51))</f>
        <v>2214</v>
      </c>
      <c r="BH51" t="str">
        <f t="shared" ca="1" si="24"/>
        <v>C.C.N.L. COMPARTO  SCUOLA del Dicembre 2022</v>
      </c>
      <c r="BJ51" t="str">
        <f t="shared" ca="1" si="25"/>
        <v/>
      </c>
      <c r="BL51" t="str">
        <f t="shared" ca="1" si="26"/>
        <v xml:space="preserve">ARTICOLO 
</v>
      </c>
      <c r="BM51" t="str">
        <f t="shared" ca="1" si="27"/>
        <v xml:space="preserve">Con decorrenza dal:14/10/2173 Spetta fascia:0-2anni  C.C.N.L. COMPARTO  SCUOLA del Dicembre 2022
</v>
      </c>
      <c r="BN51" t="str">
        <f t="shared" ca="1" si="28"/>
        <v xml:space="preserve">Retribuzione euro:20897,2
</v>
      </c>
      <c r="BO51" t="str">
        <f t="shared" ca="1" si="29"/>
        <v xml:space="preserve">I.V.C. euro:104,49
</v>
      </c>
      <c r="BP51" t="str">
        <f t="shared" ca="1" si="30"/>
        <v xml:space="preserve">R.P.D. euro:2214
</v>
      </c>
      <c r="BQ51" t="str">
        <f t="shared" ca="1" si="31"/>
        <v/>
      </c>
      <c r="BR51" t="str">
        <f t="shared" ca="1" si="32"/>
        <v xml:space="preserve">TOTALE EURO:23215,69
 altri assegni previsti per legge
</v>
      </c>
      <c r="CA51" t="str">
        <f t="shared" ca="1" si="75"/>
        <v/>
      </c>
      <c r="CJ51">
        <f t="shared" si="33"/>
        <v>34</v>
      </c>
      <c r="CK51" s="112"/>
      <c r="CL51" s="112"/>
      <c r="CS51" s="112"/>
      <c r="CT51" s="112" t="str">
        <f>CP26</f>
        <v/>
      </c>
      <c r="CV51" s="112">
        <f t="shared" si="69"/>
        <v>100000</v>
      </c>
      <c r="CW51" s="112">
        <f t="shared" si="54"/>
        <v>100000</v>
      </c>
      <c r="CX51" s="238" t="e">
        <f ca="1">VLOOKUP(CZ51,Foglio1tibis!$AB$31:$AN$283,13)-6</f>
        <v>#N/A</v>
      </c>
      <c r="CY51" s="112" t="str">
        <f t="shared" si="49"/>
        <v/>
      </c>
      <c r="CZ51" s="478" t="str">
        <f t="shared" ref="CZ51:CZ63" si="80">IF(CW51&lt;100000,CW51,"")</f>
        <v/>
      </c>
      <c r="DA51" s="479" t="str">
        <f t="shared" si="62"/>
        <v/>
      </c>
      <c r="DB51" s="112" t="str">
        <f t="shared" ref="DB51:DB63" si="81">IF(CY51="","",IF(CY51-CZ51&gt;400,DATE(YEAR(CZ51),8,31),CY51))</f>
        <v/>
      </c>
      <c r="DC51" s="114" t="e">
        <f t="shared" ref="DC51:DC63" si="82">INT((DA51-CZ51)/30)*30</f>
        <v>#VALUE!</v>
      </c>
      <c r="DD51" s="114" t="str" cm="1">
        <f t="array" aca="1" ref="DD51" ca="1">IF(CY51="","",INDIRECT(CONCATENATE($AP$15,$AU$16,CX51)))</f>
        <v/>
      </c>
      <c r="DE51" s="114"/>
      <c r="DF51" s="114"/>
      <c r="DG51" s="114" t="str" cm="1">
        <f t="array" aca="1" ref="DG51" ca="1">IF(DD51="","",INDIRECT(CONCATENATE($AP$15,$AX$16,CX51)))</f>
        <v/>
      </c>
      <c r="DH51" s="114" t="str" cm="1">
        <f t="array" aca="1" ref="DH51" ca="1">IF(DD51="","",INDIRECT(CONCATENATE($AP$15,$AY$16,CX51)))</f>
        <v/>
      </c>
      <c r="DI51" s="114"/>
      <c r="DJ51" s="114" t="str" cm="1">
        <f t="array" aca="1" ref="DJ51" ca="1">IF(DD51="","",INDIRECT(CONCATENATE($AP$15,$BA$16,CX51)))</f>
        <v/>
      </c>
      <c r="DL51" s="114">
        <f t="shared" ref="DL51:DL63" si="83">VLOOKUP(CZ51,$DT$10:$DU$14,2)</f>
        <v>0</v>
      </c>
      <c r="DM51" s="114" t="e">
        <f t="shared" ref="DM51:DM63" ca="1" si="84">IF(TYPE(DL51)=16,0,               ROUND(    (DH51+DG51+DD51)*DL51/1000,2)                                  )</f>
        <v>#VALUE!</v>
      </c>
      <c r="DN51">
        <f>aumentibiennali!K72</f>
        <v>0</v>
      </c>
      <c r="DO51" t="e">
        <f t="shared" ref="DO51:DO63" ca="1" si="85">IF(DM51=0,"",CONCATENATE("--------------------------------","
","Con decorrenza dal:",DAY(CZ51),"/",MONTH(CZ51),"/",YEAR(CZ51),"  -  al:",DAY(DA51),"/",MONTH(DA51),"/",YEAR(DA51)," - SPETTA:","
","RETRIBUZIONE A.L. EURO:",DD51+DG51,"
","i.v.c. EURO:",DH51,"
","R.P.D. EURO:",DJ51,"
","
"))</f>
        <v>#VALUE!</v>
      </c>
      <c r="DP51" t="e">
        <f t="shared" ref="DP51:DP63" ca="1" si="86">IF(DM51=0,"",CONCATENATE("  Spettano euro:",DM51," PER ",DK51," aumenti biennali","
","da liquidare in rapporto al numero dei giorni e delle ore lavorate nel periodo. Giorni:",DC51,"/360"," - Ore:", "     /    "))</f>
        <v>#VALUE!</v>
      </c>
      <c r="DU51" t="e">
        <f t="shared" ref="DU51:DU63" ca="1" si="87">CONCATENATE(DO51,DP51,"
")</f>
        <v>#VALUE!</v>
      </c>
      <c r="EO51" s="320" t="str">
        <f t="shared" ref="EO51:EO63" ca="1" si="88">IF(TYPE(DU51)=16,"",DU51)</f>
        <v/>
      </c>
      <c r="EP51" s="320"/>
      <c r="EQ51" s="320"/>
      <c r="ER51" s="320"/>
      <c r="ES51" s="320"/>
      <c r="ET51" s="320"/>
      <c r="EU51" s="320"/>
      <c r="EV51" s="320"/>
      <c r="EW51" s="320"/>
      <c r="EX51" s="320"/>
      <c r="EY51" s="320"/>
      <c r="EZ51" s="320"/>
      <c r="FA51" s="320"/>
      <c r="FB51" s="320"/>
      <c r="FC51" s="320"/>
      <c r="FD51" s="320"/>
      <c r="FE51" s="320"/>
      <c r="FF51" s="320"/>
      <c r="FG51" s="320"/>
      <c r="FH51" s="320"/>
      <c r="FI51" s="320"/>
      <c r="FJ51" s="320"/>
      <c r="FK51" s="320"/>
      <c r="FL51" s="320"/>
      <c r="FM51" s="320"/>
      <c r="FN51" s="320"/>
      <c r="FO51" s="320"/>
      <c r="FP51" s="320"/>
      <c r="FQ51" s="320"/>
      <c r="FR51" s="320"/>
    </row>
    <row r="52" spans="2:174" ht="15.75" thickBot="1" x14ac:dyDescent="0.3">
      <c r="B52">
        <f t="shared" si="52"/>
        <v>34</v>
      </c>
      <c r="X52" s="112">
        <f t="shared" ca="1" si="7"/>
        <v>100000</v>
      </c>
      <c r="Z52">
        <f t="shared" si="44"/>
        <v>35</v>
      </c>
      <c r="AA52" s="112">
        <f t="shared" ca="1" si="8"/>
        <v>100000</v>
      </c>
      <c r="AD52" s="112">
        <f t="shared" ca="1" si="19"/>
        <v>100000</v>
      </c>
      <c r="AI52" s="112">
        <f t="shared" ca="1" si="64"/>
        <v>100000</v>
      </c>
      <c r="AJ52" s="112" t="str">
        <f t="shared" ca="1" si="45"/>
        <v>0-8 anni</v>
      </c>
      <c r="AM52">
        <f ca="1">VLOOKUP(AI52,Foglio1tibis!$AB$31:$AN$284,13)</f>
        <v>261</v>
      </c>
      <c r="AN52">
        <f t="shared" ca="1" si="76"/>
        <v>6</v>
      </c>
      <c r="AO52">
        <f t="shared" ca="1" si="77"/>
        <v>255</v>
      </c>
      <c r="AQ52" s="112">
        <f t="shared" ca="1" si="78"/>
        <v>100000</v>
      </c>
      <c r="AR52" s="112" cm="1">
        <f t="array" aca="1" ref="AR52" ca="1">INDIRECT(CONCATENATE($AP$15,$AR$16,AO52))</f>
        <v>45291</v>
      </c>
      <c r="AS52" t="str" cm="1">
        <f t="array" aca="1" ref="AS52" ca="1">INDIRECT(CONCATENATE($AP$15,$AS$16,AO52))</f>
        <v>0-2anni</v>
      </c>
      <c r="AT52" cm="1">
        <f t="array" aca="1" ref="AT52" ca="1">INDIRECT(CONCATENATE($AP$15,$AT$16,AO52))</f>
        <v>0</v>
      </c>
      <c r="AU52" cm="1">
        <f t="array" aca="1" ref="AU52" ca="1">INDIRECT(CONCATENATE($AP$15,$AU$16,AO52))</f>
        <v>14513.09</v>
      </c>
      <c r="AV52" cm="1">
        <f t="array" aca="1" ref="AV52" ca="1">INDIRECT(CONCATENATE($AP$15,$AV$16,AO52))</f>
        <v>0</v>
      </c>
      <c r="AW52" cm="1">
        <f t="array" aca="1" ref="AW52" ca="1">INDIRECT(CONCATENATE($AP$15,$AW$16,AO52))</f>
        <v>0</v>
      </c>
      <c r="AX52" cm="1">
        <f t="array" aca="1" ref="AX52" ca="1">INDIRECT(CONCATENATE($AP$15,$AX$16,AO52))</f>
        <v>6384.11</v>
      </c>
      <c r="AY52" cm="1">
        <f t="array" aca="1" ref="AY52" ca="1">INDIRECT(CONCATENATE($AP$15,$AY$16,AO52))</f>
        <v>104.49</v>
      </c>
      <c r="AZ52" cm="1">
        <f t="array" aca="1" ref="AZ52" ca="1">INDIRECT(CONCATENATE($AP$15,$AZ$16,AO52))</f>
        <v>1690.19</v>
      </c>
      <c r="BA52" cm="1">
        <f t="array" aca="1" ref="BA52" ca="1">INDIRECT(CONCATENATE($AP$15,$BA$16,AO52))</f>
        <v>2214</v>
      </c>
      <c r="BH52" t="str">
        <f t="shared" ca="1" si="24"/>
        <v>C.C.N.L. COMPARTO  SCUOLA del Dicembre 2022</v>
      </c>
      <c r="BJ52" t="str">
        <f t="shared" ca="1" si="25"/>
        <v/>
      </c>
      <c r="BL52" t="str">
        <f t="shared" ca="1" si="26"/>
        <v xml:space="preserve">ARTICOLO 
</v>
      </c>
      <c r="BM52" t="str">
        <f t="shared" ca="1" si="27"/>
        <v xml:space="preserve">Con decorrenza dal:14/10/2173 Spetta fascia:0-2anni  C.C.N.L. COMPARTO  SCUOLA del Dicembre 2022
</v>
      </c>
      <c r="BN52" t="str">
        <f t="shared" ca="1" si="28"/>
        <v xml:space="preserve">Retribuzione euro:20897,2
</v>
      </c>
      <c r="BO52" t="str">
        <f t="shared" ca="1" si="29"/>
        <v xml:space="preserve">I.V.C. euro:104,49
</v>
      </c>
      <c r="BP52" t="str">
        <f t="shared" ca="1" si="30"/>
        <v xml:space="preserve">R.P.D. euro:2214
</v>
      </c>
      <c r="BQ52" t="str">
        <f t="shared" ca="1" si="31"/>
        <v/>
      </c>
      <c r="BR52" t="str">
        <f t="shared" ca="1" si="32"/>
        <v xml:space="preserve">TOTALE EURO:23215,69
 altri assegni previsti per legge
</v>
      </c>
      <c r="CA52" t="str">
        <f t="shared" ca="1" si="75"/>
        <v/>
      </c>
      <c r="CJ52">
        <f t="shared" si="33"/>
        <v>35</v>
      </c>
      <c r="CK52" s="112"/>
      <c r="CL52" s="112"/>
      <c r="CS52" s="112"/>
      <c r="CT52" s="112" t="e">
        <f>HLOOKUP(CT51,$CN$11:$DO$14,2)</f>
        <v>#N/A</v>
      </c>
      <c r="CV52" s="112">
        <f t="shared" si="69"/>
        <v>100000</v>
      </c>
      <c r="CW52" s="112">
        <f t="shared" si="54"/>
        <v>100000</v>
      </c>
      <c r="CX52" s="238" t="e">
        <f ca="1">VLOOKUP(CZ52,Foglio1tibis!$AB$31:$AN$283,13)-6</f>
        <v>#N/A</v>
      </c>
      <c r="CY52" s="112" t="str">
        <f t="shared" si="49"/>
        <v/>
      </c>
      <c r="CZ52" s="478" t="str">
        <f t="shared" si="80"/>
        <v/>
      </c>
      <c r="DA52" s="479" t="str">
        <f t="shared" si="62"/>
        <v/>
      </c>
      <c r="DB52" s="112" t="str">
        <f t="shared" si="81"/>
        <v/>
      </c>
      <c r="DC52" s="114" t="e">
        <f t="shared" si="82"/>
        <v>#VALUE!</v>
      </c>
      <c r="DD52" s="114" t="str" cm="1">
        <f t="array" aca="1" ref="DD52" ca="1">IF(CY52="","",INDIRECT(CONCATENATE($AP$15,$AU$16,CX52)))</f>
        <v/>
      </c>
      <c r="DE52" s="114"/>
      <c r="DF52" s="114"/>
      <c r="DG52" s="114" t="str" cm="1">
        <f t="array" aca="1" ref="DG52" ca="1">IF(DD52="","",INDIRECT(CONCATENATE($AP$15,$AX$16,CX52)))</f>
        <v/>
      </c>
      <c r="DH52" s="114" t="str" cm="1">
        <f t="array" aca="1" ref="DH52" ca="1">IF(DD52="","",INDIRECT(CONCATENATE($AP$15,$AY$16,CX52)))</f>
        <v/>
      </c>
      <c r="DI52" s="114"/>
      <c r="DJ52" s="114" t="str" cm="1">
        <f t="array" aca="1" ref="DJ52" ca="1">IF(DD52="","",INDIRECT(CONCATENATE($AP$15,$BA$16,CX52)))</f>
        <v/>
      </c>
      <c r="DL52" s="114">
        <f t="shared" si="83"/>
        <v>0</v>
      </c>
      <c r="DM52" s="114" t="e">
        <f t="shared" ca="1" si="84"/>
        <v>#VALUE!</v>
      </c>
      <c r="DN52">
        <f>aumentibiennali!K73</f>
        <v>0</v>
      </c>
      <c r="DO52" t="e">
        <f t="shared" ca="1" si="85"/>
        <v>#VALUE!</v>
      </c>
      <c r="DP52" t="e">
        <f t="shared" ca="1" si="86"/>
        <v>#VALUE!</v>
      </c>
      <c r="DU52" t="e">
        <f t="shared" ca="1" si="87"/>
        <v>#VALUE!</v>
      </c>
      <c r="EO52" s="320" t="str">
        <f t="shared" ca="1" si="88"/>
        <v/>
      </c>
      <c r="EP52" s="320"/>
      <c r="EQ52" s="320"/>
      <c r="ER52" s="320"/>
      <c r="ES52" s="320"/>
      <c r="ET52" s="320"/>
      <c r="EU52" s="320"/>
      <c r="EV52" s="320"/>
      <c r="EW52" s="320"/>
      <c r="EX52" s="320"/>
      <c r="EY52" s="320"/>
      <c r="EZ52" s="320"/>
      <c r="FA52" s="320"/>
      <c r="FB52" s="320"/>
      <c r="FC52" s="320"/>
      <c r="FD52" s="320"/>
      <c r="FE52" s="320"/>
      <c r="FF52" s="320"/>
      <c r="FG52" s="320"/>
      <c r="FH52" s="320"/>
      <c r="FI52" s="320"/>
      <c r="FJ52" s="320"/>
      <c r="FK52" s="320"/>
      <c r="FL52" s="320"/>
      <c r="FM52" s="320"/>
      <c r="FN52" s="320"/>
      <c r="FO52" s="320"/>
      <c r="FP52" s="320"/>
      <c r="FQ52" s="320"/>
      <c r="FR52" s="320"/>
    </row>
    <row r="53" spans="2:174" ht="15.75" thickBot="1" x14ac:dyDescent="0.3">
      <c r="B53">
        <f t="shared" si="52"/>
        <v>35</v>
      </c>
      <c r="X53" s="112">
        <f t="shared" ca="1" si="7"/>
        <v>100000</v>
      </c>
      <c r="Z53">
        <f t="shared" si="44"/>
        <v>36</v>
      </c>
      <c r="AA53" s="112">
        <f t="shared" ca="1" si="8"/>
        <v>100000</v>
      </c>
      <c r="AD53" s="112">
        <f t="shared" ca="1" si="19"/>
        <v>100000</v>
      </c>
      <c r="AI53" s="112">
        <f t="shared" ca="1" si="64"/>
        <v>100000</v>
      </c>
      <c r="AJ53" s="112" t="str">
        <f t="shared" ca="1" si="45"/>
        <v>0-8 anni</v>
      </c>
      <c r="AM53">
        <f ca="1">VLOOKUP(AI53,Foglio1tibis!$AB$31:$AN$284,13)</f>
        <v>261</v>
      </c>
      <c r="AN53">
        <f t="shared" ca="1" si="76"/>
        <v>6</v>
      </c>
      <c r="AO53">
        <f t="shared" ca="1" si="77"/>
        <v>255</v>
      </c>
      <c r="AQ53" s="112">
        <f t="shared" ca="1" si="78"/>
        <v>100000</v>
      </c>
      <c r="AR53" s="112" cm="1">
        <f t="array" aca="1" ref="AR53" ca="1">INDIRECT(CONCATENATE($AP$15,$AR$16,AO53))</f>
        <v>45291</v>
      </c>
      <c r="AS53" t="str" cm="1">
        <f t="array" aca="1" ref="AS53" ca="1">INDIRECT(CONCATENATE($AP$15,$AS$16,AO53))</f>
        <v>0-2anni</v>
      </c>
      <c r="AT53" cm="1">
        <f t="array" aca="1" ref="AT53" ca="1">INDIRECT(CONCATENATE($AP$15,$AT$16,AO53))</f>
        <v>0</v>
      </c>
      <c r="AU53" cm="1">
        <f t="array" aca="1" ref="AU53" ca="1">INDIRECT(CONCATENATE($AP$15,$AU$16,AO53))</f>
        <v>14513.09</v>
      </c>
      <c r="AV53" cm="1">
        <f t="array" aca="1" ref="AV53" ca="1">INDIRECT(CONCATENATE($AP$15,$AV$16,AO53))</f>
        <v>0</v>
      </c>
      <c r="AW53" cm="1">
        <f t="array" aca="1" ref="AW53" ca="1">INDIRECT(CONCATENATE($AP$15,$AW$16,AO53))</f>
        <v>0</v>
      </c>
      <c r="AX53" cm="1">
        <f t="array" aca="1" ref="AX53" ca="1">INDIRECT(CONCATENATE($AP$15,$AX$16,AO53))</f>
        <v>6384.11</v>
      </c>
      <c r="AY53" cm="1">
        <f t="array" aca="1" ref="AY53" ca="1">INDIRECT(CONCATENATE($AP$15,$AY$16,AO53))</f>
        <v>104.49</v>
      </c>
      <c r="AZ53" cm="1">
        <f t="array" aca="1" ref="AZ53" ca="1">INDIRECT(CONCATENATE($AP$15,$AZ$16,AO53))</f>
        <v>1690.19</v>
      </c>
      <c r="BA53" cm="1">
        <f t="array" aca="1" ref="BA53" ca="1">INDIRECT(CONCATENATE($AP$15,$BA$16,AO53))</f>
        <v>2214</v>
      </c>
      <c r="BH53" t="str">
        <f t="shared" ca="1" si="24"/>
        <v>C.C.N.L. COMPARTO  SCUOLA del Dicembre 2022</v>
      </c>
      <c r="BJ53" t="str">
        <f t="shared" ca="1" si="25"/>
        <v/>
      </c>
      <c r="BL53" t="str">
        <f t="shared" ca="1" si="26"/>
        <v xml:space="preserve">ARTICOLO 
</v>
      </c>
      <c r="BM53" t="str">
        <f t="shared" ca="1" si="27"/>
        <v xml:space="preserve">Con decorrenza dal:14/10/2173 Spetta fascia:0-2anni  C.C.N.L. COMPARTO  SCUOLA del Dicembre 2022
</v>
      </c>
      <c r="BN53" t="str">
        <f t="shared" ca="1" si="28"/>
        <v xml:space="preserve">Retribuzione euro:20897,2
</v>
      </c>
      <c r="BO53" t="str">
        <f t="shared" ca="1" si="29"/>
        <v xml:space="preserve">I.V.C. euro:104,49
</v>
      </c>
      <c r="BP53" t="str">
        <f t="shared" ca="1" si="30"/>
        <v xml:space="preserve">R.P.D. euro:2214
</v>
      </c>
      <c r="BQ53" t="str">
        <f t="shared" ca="1" si="31"/>
        <v/>
      </c>
      <c r="BR53" t="str">
        <f t="shared" ca="1" si="32"/>
        <v xml:space="preserve">TOTALE EURO:23215,69
 altri assegni previsti per legge
</v>
      </c>
      <c r="CA53" t="str">
        <f t="shared" ca="1" si="75"/>
        <v/>
      </c>
      <c r="CJ53">
        <f t="shared" si="33"/>
        <v>36</v>
      </c>
      <c r="CK53" s="112"/>
      <c r="CL53" s="112"/>
      <c r="CS53" s="112"/>
      <c r="CT53" s="112" t="e">
        <f>HLOOKUP(CT51,$CN$11:$DO$14,3)</f>
        <v>#N/A</v>
      </c>
      <c r="CV53" s="112">
        <f t="shared" si="69"/>
        <v>100000</v>
      </c>
      <c r="CW53" s="112">
        <f t="shared" si="54"/>
        <v>100000</v>
      </c>
      <c r="CX53" s="238" t="e">
        <f ca="1">VLOOKUP(CZ53,Foglio1tibis!$AB$31:$AN$283,13)-6</f>
        <v>#N/A</v>
      </c>
      <c r="CY53" s="112" t="str">
        <f t="shared" si="49"/>
        <v/>
      </c>
      <c r="CZ53" s="478" t="str">
        <f t="shared" si="80"/>
        <v/>
      </c>
      <c r="DA53" s="479" t="str">
        <f t="shared" si="62"/>
        <v/>
      </c>
      <c r="DB53" s="112" t="str">
        <f t="shared" si="81"/>
        <v/>
      </c>
      <c r="DC53" s="114" t="e">
        <f t="shared" si="82"/>
        <v>#VALUE!</v>
      </c>
      <c r="DD53" s="114" t="str" cm="1">
        <f t="array" aca="1" ref="DD53" ca="1">IF(CY53="","",INDIRECT(CONCATENATE($AP$15,$AU$16,CX53)))</f>
        <v/>
      </c>
      <c r="DE53" s="114"/>
      <c r="DF53" s="114"/>
      <c r="DG53" s="114" t="str" cm="1">
        <f t="array" aca="1" ref="DG53" ca="1">IF(DD53="","",INDIRECT(CONCATENATE($AP$15,$AX$16,CX53)))</f>
        <v/>
      </c>
      <c r="DH53" s="114" t="str" cm="1">
        <f t="array" aca="1" ref="DH53" ca="1">IF(DD53="","",INDIRECT(CONCATENATE($AP$15,$AY$16,CX53)))</f>
        <v/>
      </c>
      <c r="DI53" s="114"/>
      <c r="DJ53" s="114" t="str" cm="1">
        <f t="array" aca="1" ref="DJ53" ca="1">IF(DD53="","",INDIRECT(CONCATENATE($AP$15,$BA$16,CX53)))</f>
        <v/>
      </c>
      <c r="DL53" s="114">
        <f t="shared" si="83"/>
        <v>0</v>
      </c>
      <c r="DM53" s="114" t="e">
        <f t="shared" ca="1" si="84"/>
        <v>#VALUE!</v>
      </c>
      <c r="DN53">
        <f>aumentibiennali!K74</f>
        <v>0</v>
      </c>
      <c r="DO53" t="e">
        <f t="shared" ca="1" si="85"/>
        <v>#VALUE!</v>
      </c>
      <c r="DP53" t="e">
        <f t="shared" ca="1" si="86"/>
        <v>#VALUE!</v>
      </c>
      <c r="DU53" t="e">
        <f t="shared" ca="1" si="87"/>
        <v>#VALUE!</v>
      </c>
      <c r="EO53" s="320" t="str">
        <f t="shared" ca="1" si="88"/>
        <v/>
      </c>
      <c r="EP53" s="320"/>
      <c r="EQ53" s="320"/>
      <c r="ER53" s="320"/>
      <c r="ES53" s="320"/>
      <c r="ET53" s="320"/>
      <c r="EU53" s="320"/>
      <c r="EV53" s="320"/>
      <c r="EW53" s="320"/>
      <c r="EX53" s="320"/>
      <c r="EY53" s="320"/>
      <c r="EZ53" s="320"/>
      <c r="FA53" s="320"/>
      <c r="FB53" s="320"/>
      <c r="FC53" s="320"/>
      <c r="FD53" s="320"/>
      <c r="FE53" s="320"/>
      <c r="FF53" s="320"/>
      <c r="FG53" s="320"/>
      <c r="FH53" s="320"/>
      <c r="FI53" s="320"/>
      <c r="FJ53" s="320"/>
      <c r="FK53" s="320"/>
      <c r="FL53" s="320"/>
      <c r="FM53" s="320"/>
      <c r="FN53" s="320"/>
      <c r="FO53" s="320"/>
      <c r="FP53" s="320"/>
      <c r="FQ53" s="320"/>
      <c r="FR53" s="320"/>
    </row>
    <row r="54" spans="2:174" ht="15.75" thickBot="1" x14ac:dyDescent="0.3">
      <c r="B54">
        <f t="shared" si="52"/>
        <v>36</v>
      </c>
      <c r="X54" s="112">
        <f t="shared" ca="1" si="7"/>
        <v>100000</v>
      </c>
      <c r="Z54">
        <f t="shared" si="44"/>
        <v>37</v>
      </c>
      <c r="AA54" s="112">
        <f t="shared" ca="1" si="8"/>
        <v>100000</v>
      </c>
      <c r="AD54" s="112">
        <f t="shared" ca="1" si="19"/>
        <v>100000</v>
      </c>
      <c r="AI54" s="112">
        <f t="shared" ca="1" si="64"/>
        <v>100000</v>
      </c>
      <c r="AJ54" s="112" t="str">
        <f t="shared" ca="1" si="45"/>
        <v>0-8 anni</v>
      </c>
      <c r="AM54">
        <f ca="1">VLOOKUP(AI54,Foglio1tibis!$AB$31:$AN$284,13)</f>
        <v>261</v>
      </c>
      <c r="AN54">
        <f t="shared" ca="1" si="76"/>
        <v>6</v>
      </c>
      <c r="AO54">
        <f t="shared" ca="1" si="77"/>
        <v>255</v>
      </c>
      <c r="AQ54" s="112">
        <f t="shared" ca="1" si="78"/>
        <v>100000</v>
      </c>
      <c r="AR54" s="112" cm="1">
        <f t="array" aca="1" ref="AR54" ca="1">INDIRECT(CONCATENATE($AP$15,$AR$16,AO54))</f>
        <v>45291</v>
      </c>
      <c r="AS54" t="str" cm="1">
        <f t="array" aca="1" ref="AS54" ca="1">INDIRECT(CONCATENATE($AP$15,$AS$16,AO54))</f>
        <v>0-2anni</v>
      </c>
      <c r="AT54" cm="1">
        <f t="array" aca="1" ref="AT54" ca="1">INDIRECT(CONCATENATE($AP$15,$AT$16,AO54))</f>
        <v>0</v>
      </c>
      <c r="AU54" cm="1">
        <f t="array" aca="1" ref="AU54" ca="1">INDIRECT(CONCATENATE($AP$15,$AU$16,AO54))</f>
        <v>14513.09</v>
      </c>
      <c r="AV54" cm="1">
        <f t="array" aca="1" ref="AV54" ca="1">INDIRECT(CONCATENATE($AP$15,$AV$16,AO54))</f>
        <v>0</v>
      </c>
      <c r="AW54" cm="1">
        <f t="array" aca="1" ref="AW54" ca="1">INDIRECT(CONCATENATE($AP$15,$AW$16,AO54))</f>
        <v>0</v>
      </c>
      <c r="AX54" cm="1">
        <f t="array" aca="1" ref="AX54" ca="1">INDIRECT(CONCATENATE($AP$15,$AX$16,AO54))</f>
        <v>6384.11</v>
      </c>
      <c r="AY54" cm="1">
        <f t="array" aca="1" ref="AY54" ca="1">INDIRECT(CONCATENATE($AP$15,$AY$16,AO54))</f>
        <v>104.49</v>
      </c>
      <c r="AZ54" cm="1">
        <f t="array" aca="1" ref="AZ54" ca="1">INDIRECT(CONCATENATE($AP$15,$AZ$16,AO54))</f>
        <v>1690.19</v>
      </c>
      <c r="BA54" cm="1">
        <f t="array" aca="1" ref="BA54" ca="1">INDIRECT(CONCATENATE($AP$15,$BA$16,AO54))</f>
        <v>2214</v>
      </c>
      <c r="BH54" t="str">
        <f t="shared" ca="1" si="24"/>
        <v>C.C.N.L. COMPARTO  SCUOLA del Dicembre 2022</v>
      </c>
      <c r="BJ54" t="str">
        <f t="shared" ca="1" si="25"/>
        <v/>
      </c>
      <c r="BL54" t="str">
        <f t="shared" ca="1" si="26"/>
        <v xml:space="preserve">ARTICOLO 
</v>
      </c>
      <c r="BM54" t="str">
        <f t="shared" ca="1" si="27"/>
        <v xml:space="preserve">Con decorrenza dal:14/10/2173 Spetta fascia:0-2anni  C.C.N.L. COMPARTO  SCUOLA del Dicembre 2022
</v>
      </c>
      <c r="BN54" t="str">
        <f t="shared" ca="1" si="28"/>
        <v xml:space="preserve">Retribuzione euro:20897,2
</v>
      </c>
      <c r="BO54" t="str">
        <f t="shared" ca="1" si="29"/>
        <v xml:space="preserve">I.V.C. euro:104,49
</v>
      </c>
      <c r="BP54" t="str">
        <f t="shared" ca="1" si="30"/>
        <v xml:space="preserve">R.P.D. euro:2214
</v>
      </c>
      <c r="BQ54" t="str">
        <f t="shared" ca="1" si="31"/>
        <v/>
      </c>
      <c r="BR54" t="str">
        <f t="shared" ca="1" si="32"/>
        <v xml:space="preserve">TOTALE EURO:23215,69
 altri assegni previsti per legge
</v>
      </c>
      <c r="CA54" t="str">
        <f t="shared" ca="1" si="75"/>
        <v/>
      </c>
      <c r="CJ54">
        <f t="shared" si="33"/>
        <v>37</v>
      </c>
      <c r="CK54" s="112"/>
      <c r="CL54" s="112"/>
      <c r="CS54" s="112"/>
      <c r="CT54" s="112" t="e">
        <f>HLOOKUP(CT51,$CN$11:$DO$14,4)</f>
        <v>#N/A</v>
      </c>
      <c r="CV54" s="112">
        <f t="shared" si="69"/>
        <v>100000</v>
      </c>
      <c r="CW54" s="112">
        <f t="shared" si="54"/>
        <v>100000</v>
      </c>
      <c r="CX54" s="238" t="e">
        <f ca="1">VLOOKUP(CZ54,Foglio1tibis!$AB$31:$AN$283,13)-6</f>
        <v>#N/A</v>
      </c>
      <c r="CY54" s="112" t="str">
        <f t="shared" si="49"/>
        <v/>
      </c>
      <c r="CZ54" s="478" t="str">
        <f t="shared" si="80"/>
        <v/>
      </c>
      <c r="DA54" s="479" t="str">
        <f t="shared" si="62"/>
        <v/>
      </c>
      <c r="DB54" s="112" t="str">
        <f t="shared" si="81"/>
        <v/>
      </c>
      <c r="DC54" s="114" t="e">
        <f t="shared" si="82"/>
        <v>#VALUE!</v>
      </c>
      <c r="DD54" s="114" t="str" cm="1">
        <f t="array" aca="1" ref="DD54" ca="1">IF(CY54="","",INDIRECT(CONCATENATE($AP$15,$AU$16,CX54)))</f>
        <v/>
      </c>
      <c r="DE54" s="114"/>
      <c r="DF54" s="114"/>
      <c r="DG54" s="114" t="str" cm="1">
        <f t="array" aca="1" ref="DG54" ca="1">IF(DD54="","",INDIRECT(CONCATENATE($AP$15,$AX$16,CX54)))</f>
        <v/>
      </c>
      <c r="DH54" s="114" t="str" cm="1">
        <f t="array" aca="1" ref="DH54" ca="1">IF(DD54="","",INDIRECT(CONCATENATE($AP$15,$AY$16,CX54)))</f>
        <v/>
      </c>
      <c r="DI54" s="114"/>
      <c r="DJ54" s="114" t="str" cm="1">
        <f t="array" aca="1" ref="DJ54" ca="1">IF(DD54="","",INDIRECT(CONCATENATE($AP$15,$BA$16,CX54)))</f>
        <v/>
      </c>
      <c r="DL54" s="114">
        <f t="shared" si="83"/>
        <v>0</v>
      </c>
      <c r="DM54" s="114" t="e">
        <f t="shared" ca="1" si="84"/>
        <v>#VALUE!</v>
      </c>
      <c r="DN54">
        <f>aumentibiennali!K75</f>
        <v>0</v>
      </c>
      <c r="DO54" t="e">
        <f t="shared" ca="1" si="85"/>
        <v>#VALUE!</v>
      </c>
      <c r="DP54" t="e">
        <f t="shared" ca="1" si="86"/>
        <v>#VALUE!</v>
      </c>
      <c r="DU54" t="e">
        <f t="shared" ca="1" si="87"/>
        <v>#VALUE!</v>
      </c>
      <c r="EO54" s="320" t="str">
        <f t="shared" ca="1" si="88"/>
        <v/>
      </c>
      <c r="EP54" s="320"/>
      <c r="EQ54" s="320"/>
      <c r="ER54" s="320"/>
      <c r="ES54" s="320"/>
      <c r="ET54" s="320"/>
      <c r="EU54" s="320"/>
      <c r="EV54" s="320"/>
      <c r="EW54" s="320"/>
      <c r="EX54" s="320"/>
      <c r="EY54" s="320"/>
      <c r="EZ54" s="320"/>
      <c r="FA54" s="320"/>
      <c r="FB54" s="320"/>
      <c r="FC54" s="320"/>
      <c r="FD54" s="320"/>
      <c r="FE54" s="320"/>
      <c r="FF54" s="320"/>
      <c r="FG54" s="320"/>
      <c r="FH54" s="320"/>
      <c r="FI54" s="320"/>
      <c r="FJ54" s="320"/>
      <c r="FK54" s="320"/>
      <c r="FL54" s="320"/>
      <c r="FM54" s="320"/>
      <c r="FN54" s="320"/>
      <c r="FO54" s="320"/>
      <c r="FP54" s="320"/>
      <c r="FQ54" s="320"/>
      <c r="FR54" s="320"/>
    </row>
    <row r="55" spans="2:174" ht="15.75" thickBot="1" x14ac:dyDescent="0.3">
      <c r="B55">
        <f t="shared" si="52"/>
        <v>37</v>
      </c>
      <c r="X55" s="112">
        <f t="shared" ca="1" si="7"/>
        <v>100000</v>
      </c>
      <c r="Z55">
        <f t="shared" si="44"/>
        <v>38</v>
      </c>
      <c r="AA55" s="112">
        <f t="shared" ca="1" si="8"/>
        <v>100000</v>
      </c>
      <c r="AD55" s="112">
        <f t="shared" ca="1" si="19"/>
        <v>100000</v>
      </c>
      <c r="AI55" s="112">
        <f t="shared" ca="1" si="64"/>
        <v>100000</v>
      </c>
      <c r="AJ55" s="112" t="str">
        <f t="shared" ca="1" si="45"/>
        <v>0-8 anni</v>
      </c>
      <c r="AM55">
        <f ca="1">VLOOKUP(AI55,Foglio1tibis!$AB$31:$AN$284,13)</f>
        <v>261</v>
      </c>
      <c r="AN55">
        <f t="shared" ca="1" si="76"/>
        <v>6</v>
      </c>
      <c r="AO55">
        <f t="shared" ca="1" si="77"/>
        <v>255</v>
      </c>
      <c r="AQ55" s="112">
        <f t="shared" ca="1" si="78"/>
        <v>100000</v>
      </c>
      <c r="AR55" s="112" cm="1">
        <f t="array" aca="1" ref="AR55" ca="1">INDIRECT(CONCATENATE($AP$15,$AR$16,AO55))</f>
        <v>45291</v>
      </c>
      <c r="AS55" t="str" cm="1">
        <f t="array" aca="1" ref="AS55" ca="1">INDIRECT(CONCATENATE($AP$15,$AS$16,AO55))</f>
        <v>0-2anni</v>
      </c>
      <c r="AT55" cm="1">
        <f t="array" aca="1" ref="AT55" ca="1">INDIRECT(CONCATENATE($AP$15,$AT$16,AO55))</f>
        <v>0</v>
      </c>
      <c r="AU55" cm="1">
        <f t="array" aca="1" ref="AU55" ca="1">INDIRECT(CONCATENATE($AP$15,$AU$16,AO55))</f>
        <v>14513.09</v>
      </c>
      <c r="AV55" cm="1">
        <f t="array" aca="1" ref="AV55" ca="1">INDIRECT(CONCATENATE($AP$15,$AV$16,AO55))</f>
        <v>0</v>
      </c>
      <c r="AW55" cm="1">
        <f t="array" aca="1" ref="AW55" ca="1">INDIRECT(CONCATENATE($AP$15,$AW$16,AO55))</f>
        <v>0</v>
      </c>
      <c r="AX55" cm="1">
        <f t="array" aca="1" ref="AX55" ca="1">INDIRECT(CONCATENATE($AP$15,$AX$16,AO55))</f>
        <v>6384.11</v>
      </c>
      <c r="AY55" cm="1">
        <f t="array" aca="1" ref="AY55" ca="1">INDIRECT(CONCATENATE($AP$15,$AY$16,AO55))</f>
        <v>104.49</v>
      </c>
      <c r="AZ55" cm="1">
        <f t="array" aca="1" ref="AZ55" ca="1">INDIRECT(CONCATENATE($AP$15,$AZ$16,AO55))</f>
        <v>1690.19</v>
      </c>
      <c r="BA55" cm="1">
        <f t="array" aca="1" ref="BA55" ca="1">INDIRECT(CONCATENATE($AP$15,$BA$16,AO55))</f>
        <v>2214</v>
      </c>
      <c r="BH55" t="str">
        <f t="shared" ca="1" si="24"/>
        <v>C.C.N.L. COMPARTO  SCUOLA del Dicembre 2022</v>
      </c>
      <c r="BJ55" t="str">
        <f t="shared" ca="1" si="25"/>
        <v/>
      </c>
      <c r="BL55" t="str">
        <f t="shared" ca="1" si="26"/>
        <v xml:space="preserve">ARTICOLO 
</v>
      </c>
      <c r="BM55" t="str">
        <f t="shared" ca="1" si="27"/>
        <v xml:space="preserve">Con decorrenza dal:14/10/2173 Spetta fascia:0-2anni  C.C.N.L. COMPARTO  SCUOLA del Dicembre 2022
</v>
      </c>
      <c r="BN55" t="str">
        <f t="shared" ca="1" si="28"/>
        <v xml:space="preserve">Retribuzione euro:20897,2
</v>
      </c>
      <c r="BO55" t="str">
        <f t="shared" ca="1" si="29"/>
        <v xml:space="preserve">I.V.C. euro:104,49
</v>
      </c>
      <c r="BP55" t="str">
        <f t="shared" ca="1" si="30"/>
        <v xml:space="preserve">R.P.D. euro:2214
</v>
      </c>
      <c r="BQ55" t="str">
        <f t="shared" ca="1" si="31"/>
        <v/>
      </c>
      <c r="BR55" t="str">
        <f t="shared" ca="1" si="32"/>
        <v xml:space="preserve">TOTALE EURO:23215,69
 altri assegni previsti per legge
</v>
      </c>
      <c r="CA55" t="str">
        <f t="shared" ca="1" si="75"/>
        <v/>
      </c>
      <c r="CJ55">
        <f t="shared" si="33"/>
        <v>38</v>
      </c>
      <c r="CK55" s="112" t="str">
        <f t="shared" ref="CK55:CK56" si="89">CP22</f>
        <v/>
      </c>
      <c r="CL55" s="112"/>
      <c r="CS55" s="112"/>
      <c r="CT55" s="112" t="str">
        <f>CP27</f>
        <v/>
      </c>
      <c r="CV55" s="112">
        <f t="shared" si="69"/>
        <v>100000</v>
      </c>
      <c r="CW55" s="112">
        <f>SMALL($CV$18:$CV$96,CJ55)</f>
        <v>100000</v>
      </c>
      <c r="CX55" s="238" t="e">
        <f ca="1">VLOOKUP(CZ55,Foglio1tibis!$AB$31:$AN$283,13)-6</f>
        <v>#N/A</v>
      </c>
      <c r="CY55" s="112" t="str">
        <f t="shared" si="49"/>
        <v/>
      </c>
      <c r="CZ55" s="478" t="str">
        <f t="shared" si="80"/>
        <v/>
      </c>
      <c r="DA55" s="479" t="str">
        <f t="shared" si="62"/>
        <v/>
      </c>
      <c r="DB55" s="112" t="str">
        <f t="shared" si="81"/>
        <v/>
      </c>
      <c r="DC55" s="114" t="e">
        <f t="shared" si="82"/>
        <v>#VALUE!</v>
      </c>
      <c r="DD55" s="114" t="str" cm="1">
        <f t="array" aca="1" ref="DD55" ca="1">IF(CY55="","",INDIRECT(CONCATENATE($AP$15,$AU$16,CX55)))</f>
        <v/>
      </c>
      <c r="DE55" s="114"/>
      <c r="DF55" s="114"/>
      <c r="DG55" s="114" t="str" cm="1">
        <f t="array" aca="1" ref="DG55" ca="1">IF(DD55="","",INDIRECT(CONCATENATE($AP$15,$AX$16,CX55)))</f>
        <v/>
      </c>
      <c r="DH55" s="114" t="str" cm="1">
        <f t="array" aca="1" ref="DH55" ca="1">IF(DD55="","",INDIRECT(CONCATENATE($AP$15,$AY$16,CX55)))</f>
        <v/>
      </c>
      <c r="DI55" s="114"/>
      <c r="DJ55" s="114" t="str" cm="1">
        <f t="array" aca="1" ref="DJ55" ca="1">IF(DD55="","",INDIRECT(CONCATENATE($AP$15,$BA$16,CX55)))</f>
        <v/>
      </c>
      <c r="DL55" s="114">
        <f t="shared" si="83"/>
        <v>0</v>
      </c>
      <c r="DM55" s="114" t="e">
        <f t="shared" ca="1" si="84"/>
        <v>#VALUE!</v>
      </c>
      <c r="DN55">
        <f>aumentibiennali!K76</f>
        <v>0</v>
      </c>
      <c r="DO55" t="e">
        <f t="shared" ca="1" si="85"/>
        <v>#VALUE!</v>
      </c>
      <c r="DP55" t="e">
        <f t="shared" ca="1" si="86"/>
        <v>#VALUE!</v>
      </c>
      <c r="DU55" t="e">
        <f t="shared" ca="1" si="87"/>
        <v>#VALUE!</v>
      </c>
      <c r="EO55" s="320" t="str">
        <f t="shared" ca="1" si="88"/>
        <v/>
      </c>
      <c r="EP55" s="320"/>
      <c r="EQ55" s="320"/>
      <c r="ER55" s="320"/>
      <c r="ES55" s="320"/>
      <c r="ET55" s="320"/>
      <c r="EU55" s="320"/>
      <c r="EV55" s="320"/>
      <c r="EW55" s="320"/>
      <c r="EX55" s="320"/>
      <c r="EY55" s="320"/>
      <c r="EZ55" s="320"/>
      <c r="FA55" s="320"/>
      <c r="FB55" s="320"/>
      <c r="FC55" s="320"/>
      <c r="FD55" s="320"/>
      <c r="FE55" s="320"/>
      <c r="FF55" s="320"/>
      <c r="FG55" s="320"/>
      <c r="FH55" s="320"/>
      <c r="FI55" s="320"/>
      <c r="FJ55" s="320"/>
      <c r="FK55" s="320"/>
      <c r="FL55" s="320"/>
      <c r="FM55" s="320"/>
      <c r="FN55" s="320"/>
      <c r="FO55" s="320"/>
      <c r="FP55" s="320"/>
      <c r="FQ55" s="320"/>
      <c r="FR55" s="320"/>
    </row>
    <row r="56" spans="2:174" ht="15.75" thickBot="1" x14ac:dyDescent="0.3">
      <c r="B56">
        <f t="shared" si="52"/>
        <v>38</v>
      </c>
      <c r="X56" s="112">
        <f t="shared" ca="1" si="7"/>
        <v>100000</v>
      </c>
      <c r="Z56">
        <f t="shared" si="44"/>
        <v>39</v>
      </c>
      <c r="AA56" s="112">
        <f t="shared" ca="1" si="8"/>
        <v>100000</v>
      </c>
      <c r="AD56" s="112">
        <f t="shared" ca="1" si="19"/>
        <v>100000</v>
      </c>
      <c r="AI56" s="112">
        <f t="shared" ca="1" si="64"/>
        <v>100000</v>
      </c>
      <c r="AJ56" s="112" t="str">
        <f t="shared" ca="1" si="45"/>
        <v>0-8 anni</v>
      </c>
      <c r="AM56">
        <f ca="1">VLOOKUP(AI56,Foglio1tibis!$AB$31:$AN$284,13)</f>
        <v>261</v>
      </c>
      <c r="AN56">
        <f t="shared" ca="1" si="76"/>
        <v>6</v>
      </c>
      <c r="AO56">
        <f t="shared" ca="1" si="77"/>
        <v>255</v>
      </c>
      <c r="AQ56" s="112">
        <f t="shared" ca="1" si="78"/>
        <v>100000</v>
      </c>
      <c r="AR56" s="112" cm="1">
        <f t="array" aca="1" ref="AR56" ca="1">INDIRECT(CONCATENATE($AP$15,$AR$16,AO56))</f>
        <v>45291</v>
      </c>
      <c r="AS56" t="str" cm="1">
        <f t="array" aca="1" ref="AS56" ca="1">INDIRECT(CONCATENATE($AP$15,$AS$16,AO56))</f>
        <v>0-2anni</v>
      </c>
      <c r="AT56" cm="1">
        <f t="array" aca="1" ref="AT56" ca="1">INDIRECT(CONCATENATE($AP$15,$AT$16,AO56))</f>
        <v>0</v>
      </c>
      <c r="AU56" cm="1">
        <f t="array" aca="1" ref="AU56" ca="1">INDIRECT(CONCATENATE($AP$15,$AU$16,AO56))</f>
        <v>14513.09</v>
      </c>
      <c r="AV56" cm="1">
        <f t="array" aca="1" ref="AV56" ca="1">INDIRECT(CONCATENATE($AP$15,$AV$16,AO56))</f>
        <v>0</v>
      </c>
      <c r="AW56" cm="1">
        <f t="array" aca="1" ref="AW56" ca="1">INDIRECT(CONCATENATE($AP$15,$AW$16,AO56))</f>
        <v>0</v>
      </c>
      <c r="AX56" cm="1">
        <f t="array" aca="1" ref="AX56" ca="1">INDIRECT(CONCATENATE($AP$15,$AX$16,AO56))</f>
        <v>6384.11</v>
      </c>
      <c r="AY56" cm="1">
        <f t="array" aca="1" ref="AY56" ca="1">INDIRECT(CONCATENATE($AP$15,$AY$16,AO56))</f>
        <v>104.49</v>
      </c>
      <c r="AZ56" cm="1">
        <f t="array" aca="1" ref="AZ56" ca="1">INDIRECT(CONCATENATE($AP$15,$AZ$16,AO56))</f>
        <v>1690.19</v>
      </c>
      <c r="BA56" cm="1">
        <f t="array" aca="1" ref="BA56" ca="1">INDIRECT(CONCATENATE($AP$15,$BA$16,AO56))</f>
        <v>2214</v>
      </c>
      <c r="BH56" t="str">
        <f t="shared" ca="1" si="24"/>
        <v>C.C.N.L. COMPARTO  SCUOLA del Dicembre 2022</v>
      </c>
      <c r="BJ56" t="str">
        <f t="shared" ca="1" si="25"/>
        <v/>
      </c>
      <c r="BL56" t="str">
        <f t="shared" ca="1" si="26"/>
        <v xml:space="preserve">ARTICOLO 
</v>
      </c>
      <c r="BM56" t="str">
        <f t="shared" ca="1" si="27"/>
        <v xml:space="preserve">Con decorrenza dal:14/10/2173 Spetta fascia:0-2anni  C.C.N.L. COMPARTO  SCUOLA del Dicembre 2022
</v>
      </c>
      <c r="BN56" t="str">
        <f t="shared" ca="1" si="28"/>
        <v xml:space="preserve">Retribuzione euro:20897,2
</v>
      </c>
      <c r="BO56" t="str">
        <f t="shared" ca="1" si="29"/>
        <v xml:space="preserve">I.V.C. euro:104,49
</v>
      </c>
      <c r="BP56" t="str">
        <f t="shared" ca="1" si="30"/>
        <v xml:space="preserve">R.P.D. euro:2214
</v>
      </c>
      <c r="BQ56" t="str">
        <f t="shared" ca="1" si="31"/>
        <v/>
      </c>
      <c r="BR56" t="str">
        <f t="shared" ca="1" si="32"/>
        <v xml:space="preserve">TOTALE EURO:23215,69
 altri assegni previsti per legge
</v>
      </c>
      <c r="CA56" t="str">
        <f t="shared" ca="1" si="75"/>
        <v/>
      </c>
      <c r="CJ56">
        <f t="shared" si="33"/>
        <v>39</v>
      </c>
      <c r="CK56" s="112" t="str">
        <f t="shared" si="89"/>
        <v/>
      </c>
      <c r="CL56" s="112"/>
      <c r="CS56" s="112"/>
      <c r="CT56" s="112" t="e">
        <f>HLOOKUP(CT55,$CN$11:$DO$14,2)</f>
        <v>#N/A</v>
      </c>
      <c r="CV56" s="112">
        <f t="shared" si="69"/>
        <v>100000</v>
      </c>
      <c r="CW56" s="112">
        <f t="shared" ref="CW56:CW95" si="90">SMALL($CV$18:$CV$96,CJ56)</f>
        <v>100000</v>
      </c>
      <c r="CX56" s="238" t="e">
        <f ca="1">VLOOKUP(CZ56,Foglio1tibis!$AB$31:$AN$283,13)-6</f>
        <v>#N/A</v>
      </c>
      <c r="CY56" s="112" t="str">
        <f t="shared" si="49"/>
        <v/>
      </c>
      <c r="CZ56" s="478" t="str">
        <f t="shared" si="80"/>
        <v/>
      </c>
      <c r="DA56" s="479" t="str">
        <f t="shared" si="62"/>
        <v/>
      </c>
      <c r="DB56" s="112" t="str">
        <f t="shared" si="81"/>
        <v/>
      </c>
      <c r="DC56" s="114" t="e">
        <f t="shared" si="82"/>
        <v>#VALUE!</v>
      </c>
      <c r="DD56" s="114" t="str" cm="1">
        <f t="array" aca="1" ref="DD56" ca="1">IF(CY56="","",INDIRECT(CONCATENATE($AP$15,$AU$16,CX56)))</f>
        <v/>
      </c>
      <c r="DE56" s="114"/>
      <c r="DF56" s="114"/>
      <c r="DG56" s="114" t="str" cm="1">
        <f t="array" aca="1" ref="DG56" ca="1">IF(DD56="","",INDIRECT(CONCATENATE($AP$15,$AX$16,CX56)))</f>
        <v/>
      </c>
      <c r="DH56" s="114" t="str" cm="1">
        <f t="array" aca="1" ref="DH56" ca="1">IF(DD56="","",INDIRECT(CONCATENATE($AP$15,$AY$16,CX56)))</f>
        <v/>
      </c>
      <c r="DI56" s="114"/>
      <c r="DJ56" s="114" t="str" cm="1">
        <f t="array" aca="1" ref="DJ56" ca="1">IF(DD56="","",INDIRECT(CONCATENATE($AP$15,$BA$16,CX56)))</f>
        <v/>
      </c>
      <c r="DL56" s="114">
        <f t="shared" si="83"/>
        <v>0</v>
      </c>
      <c r="DM56" s="114" t="e">
        <f t="shared" ca="1" si="84"/>
        <v>#VALUE!</v>
      </c>
      <c r="DN56">
        <f>aumentibiennali!K77</f>
        <v>0</v>
      </c>
      <c r="DO56" t="e">
        <f t="shared" ca="1" si="85"/>
        <v>#VALUE!</v>
      </c>
      <c r="DP56" t="e">
        <f t="shared" ca="1" si="86"/>
        <v>#VALUE!</v>
      </c>
      <c r="DU56" t="e">
        <f t="shared" ca="1" si="87"/>
        <v>#VALUE!</v>
      </c>
      <c r="EO56" s="320" t="str">
        <f t="shared" ca="1" si="88"/>
        <v/>
      </c>
      <c r="EP56" s="320"/>
      <c r="EQ56" s="320"/>
      <c r="ER56" s="320"/>
      <c r="ES56" s="320"/>
      <c r="ET56" s="320"/>
      <c r="EU56" s="320"/>
      <c r="EV56" s="320"/>
      <c r="EW56" s="320"/>
      <c r="EX56" s="320"/>
      <c r="EY56" s="320"/>
      <c r="EZ56" s="320"/>
      <c r="FA56" s="320"/>
      <c r="FB56" s="320"/>
      <c r="FC56" s="320"/>
      <c r="FD56" s="320"/>
      <c r="FE56" s="320"/>
      <c r="FF56" s="320"/>
      <c r="FG56" s="320"/>
      <c r="FH56" s="320"/>
      <c r="FI56" s="320"/>
      <c r="FJ56" s="320"/>
      <c r="FK56" s="320"/>
      <c r="FL56" s="320"/>
      <c r="FM56" s="320"/>
      <c r="FN56" s="320"/>
      <c r="FO56" s="320"/>
      <c r="FP56" s="320"/>
      <c r="FQ56" s="320"/>
      <c r="FR56" s="320"/>
    </row>
    <row r="57" spans="2:174" ht="15.75" thickBot="1" x14ac:dyDescent="0.3">
      <c r="B57">
        <f t="shared" si="52"/>
        <v>39</v>
      </c>
      <c r="X57" s="112">
        <f ca="1">R19</f>
        <v>45536</v>
      </c>
      <c r="Z57">
        <f t="shared" si="44"/>
        <v>40</v>
      </c>
      <c r="AA57" s="112">
        <f ca="1">IF(OR(X57=0,X57=""),100000,X57)*1</f>
        <v>45536</v>
      </c>
      <c r="AD57" s="112">
        <f t="shared" ca="1" si="19"/>
        <v>100000</v>
      </c>
      <c r="AI57" s="112">
        <f t="shared" ca="1" si="64"/>
        <v>100000</v>
      </c>
      <c r="AJ57" s="112" t="str">
        <f t="shared" ca="1" si="45"/>
        <v>0-8 anni</v>
      </c>
      <c r="AM57">
        <f ca="1">VLOOKUP(AI57,Foglio1tibis!$AB$31:$AN$284,13)</f>
        <v>261</v>
      </c>
      <c r="AN57">
        <f t="shared" ca="1" si="76"/>
        <v>6</v>
      </c>
      <c r="AO57">
        <f t="shared" ca="1" si="77"/>
        <v>255</v>
      </c>
      <c r="AQ57" s="112">
        <f t="shared" ca="1" si="78"/>
        <v>100000</v>
      </c>
      <c r="AR57" s="112" cm="1">
        <f t="array" aca="1" ref="AR57" ca="1">INDIRECT(CONCATENATE($AP$15,$AR$16,AO57))</f>
        <v>45291</v>
      </c>
      <c r="AS57" t="str" cm="1">
        <f t="array" aca="1" ref="AS57" ca="1">INDIRECT(CONCATENATE($AP$15,$AS$16,AO57))</f>
        <v>0-2anni</v>
      </c>
      <c r="AT57" cm="1">
        <f t="array" aca="1" ref="AT57" ca="1">INDIRECT(CONCATENATE($AP$15,$AT$16,AO57))</f>
        <v>0</v>
      </c>
      <c r="AU57" cm="1">
        <f t="array" aca="1" ref="AU57" ca="1">INDIRECT(CONCATENATE($AP$15,$AU$16,AO57))</f>
        <v>14513.09</v>
      </c>
      <c r="AV57" cm="1">
        <f t="array" aca="1" ref="AV57" ca="1">INDIRECT(CONCATENATE($AP$15,$AV$16,AO57))</f>
        <v>0</v>
      </c>
      <c r="AW57" cm="1">
        <f t="array" aca="1" ref="AW57" ca="1">INDIRECT(CONCATENATE($AP$15,$AW$16,AO57))</f>
        <v>0</v>
      </c>
      <c r="AX57" cm="1">
        <f t="array" aca="1" ref="AX57" ca="1">INDIRECT(CONCATENATE($AP$15,$AX$16,AO57))</f>
        <v>6384.11</v>
      </c>
      <c r="AY57" cm="1">
        <f t="array" aca="1" ref="AY57" ca="1">INDIRECT(CONCATENATE($AP$15,$AY$16,AO57))</f>
        <v>104.49</v>
      </c>
      <c r="AZ57" cm="1">
        <f t="array" aca="1" ref="AZ57" ca="1">INDIRECT(CONCATENATE($AP$15,$AZ$16,AO57))</f>
        <v>1690.19</v>
      </c>
      <c r="BA57" cm="1">
        <f t="array" aca="1" ref="BA57" ca="1">INDIRECT(CONCATENATE($AP$15,$BA$16,AO57))</f>
        <v>2214</v>
      </c>
      <c r="BH57" t="str">
        <f t="shared" ca="1" si="24"/>
        <v>C.C.N.L. COMPARTO  SCUOLA del Dicembre 2022</v>
      </c>
      <c r="BJ57" t="str">
        <f t="shared" ca="1" si="25"/>
        <v/>
      </c>
      <c r="BL57" t="str">
        <f t="shared" ca="1" si="26"/>
        <v xml:space="preserve">ARTICOLO 
</v>
      </c>
      <c r="BM57" t="str">
        <f t="shared" ca="1" si="27"/>
        <v xml:space="preserve">Con decorrenza dal:14/10/2173 Spetta fascia:0-2anni  C.C.N.L. COMPARTO  SCUOLA del Dicembre 2022
</v>
      </c>
      <c r="BN57" t="str">
        <f t="shared" ca="1" si="28"/>
        <v xml:space="preserve">Retribuzione euro:20897,2
</v>
      </c>
      <c r="BO57" t="str">
        <f t="shared" ca="1" si="29"/>
        <v xml:space="preserve">I.V.C. euro:104,49
</v>
      </c>
      <c r="BP57" t="str">
        <f t="shared" ca="1" si="30"/>
        <v xml:space="preserve">R.P.D. euro:2214
</v>
      </c>
      <c r="BQ57" t="str">
        <f t="shared" ca="1" si="31"/>
        <v/>
      </c>
      <c r="BR57" t="str">
        <f t="shared" ca="1" si="32"/>
        <v xml:space="preserve">TOTALE EURO:23215,69
 altri assegni previsti per legge
</v>
      </c>
      <c r="CA57" t="str">
        <f t="shared" ca="1" si="75"/>
        <v/>
      </c>
      <c r="CJ57">
        <f t="shared" si="33"/>
        <v>40</v>
      </c>
      <c r="CK57" s="112" t="str">
        <f>CP22</f>
        <v/>
      </c>
      <c r="CL57" s="112"/>
      <c r="CS57" s="112"/>
      <c r="CT57" s="112" t="e">
        <f>HLOOKUP(CT55,$CN$11:$DO$14,3)</f>
        <v>#N/A</v>
      </c>
      <c r="CV57" s="112">
        <f t="shared" si="69"/>
        <v>100000</v>
      </c>
      <c r="CW57" s="112">
        <f t="shared" si="90"/>
        <v>100000</v>
      </c>
      <c r="CX57" s="238" t="e">
        <f ca="1">VLOOKUP(CZ57,Foglio1tibis!$AB$31:$AN$283,13)-6</f>
        <v>#N/A</v>
      </c>
      <c r="CY57" s="112" t="str">
        <f t="shared" si="49"/>
        <v/>
      </c>
      <c r="CZ57" s="478" t="str">
        <f t="shared" si="80"/>
        <v/>
      </c>
      <c r="DA57" s="479" t="str">
        <f t="shared" si="62"/>
        <v/>
      </c>
      <c r="DB57" s="112" t="str">
        <f t="shared" si="81"/>
        <v/>
      </c>
      <c r="DC57" s="114" t="e">
        <f t="shared" si="82"/>
        <v>#VALUE!</v>
      </c>
      <c r="DD57" s="114" t="str" cm="1">
        <f t="array" aca="1" ref="DD57" ca="1">IF(CY57="","",INDIRECT(CONCATENATE($AP$15,$AU$16,CX57)))</f>
        <v/>
      </c>
      <c r="DE57" s="114"/>
      <c r="DF57" s="114"/>
      <c r="DG57" s="114" t="str" cm="1">
        <f t="array" aca="1" ref="DG57" ca="1">IF(DD57="","",INDIRECT(CONCATENATE($AP$15,$AX$16,CX57)))</f>
        <v/>
      </c>
      <c r="DH57" s="114" t="str" cm="1">
        <f t="array" aca="1" ref="DH57" ca="1">IF(DD57="","",INDIRECT(CONCATENATE($AP$15,$AY$16,CX57)))</f>
        <v/>
      </c>
      <c r="DI57" s="114"/>
      <c r="DJ57" s="114" t="str" cm="1">
        <f t="array" aca="1" ref="DJ57" ca="1">IF(DD57="","",INDIRECT(CONCATENATE($AP$15,$BA$16,CX57)))</f>
        <v/>
      </c>
      <c r="DL57" s="114">
        <f t="shared" si="83"/>
        <v>0</v>
      </c>
      <c r="DM57" s="114" t="e">
        <f t="shared" ca="1" si="84"/>
        <v>#VALUE!</v>
      </c>
      <c r="DN57">
        <f>aumentibiennali!K78</f>
        <v>0</v>
      </c>
      <c r="DO57" t="e">
        <f t="shared" ca="1" si="85"/>
        <v>#VALUE!</v>
      </c>
      <c r="DP57" t="e">
        <f t="shared" ca="1" si="86"/>
        <v>#VALUE!</v>
      </c>
      <c r="DU57" t="e">
        <f t="shared" ca="1" si="87"/>
        <v>#VALUE!</v>
      </c>
      <c r="EO57" s="320" t="str">
        <f t="shared" ca="1" si="88"/>
        <v/>
      </c>
      <c r="EP57" s="320"/>
      <c r="EQ57" s="320"/>
      <c r="ER57" s="320"/>
      <c r="ES57" s="320"/>
      <c r="ET57" s="320"/>
      <c r="EU57" s="320"/>
      <c r="EV57" s="320"/>
      <c r="EW57" s="320"/>
      <c r="EX57" s="320"/>
      <c r="EY57" s="320"/>
      <c r="EZ57" s="320"/>
      <c r="FA57" s="320"/>
      <c r="FB57" s="320"/>
      <c r="FC57" s="320"/>
      <c r="FD57" s="320"/>
      <c r="FE57" s="320"/>
      <c r="FF57" s="320"/>
      <c r="FG57" s="320"/>
      <c r="FH57" s="320"/>
      <c r="FI57" s="320"/>
      <c r="FJ57" s="320"/>
      <c r="FK57" s="320"/>
      <c r="FL57" s="320"/>
      <c r="FM57" s="320"/>
      <c r="FN57" s="320"/>
      <c r="FO57" s="320"/>
      <c r="FP57" s="320"/>
      <c r="FQ57" s="320"/>
      <c r="FR57" s="320"/>
    </row>
    <row r="58" spans="2:174" ht="15.75" thickBot="1" x14ac:dyDescent="0.3">
      <c r="B58">
        <f t="shared" si="52"/>
        <v>40</v>
      </c>
      <c r="X58" s="112" t="str">
        <f t="shared" ref="X58:X62" ca="1" si="91">R20</f>
        <v/>
      </c>
      <c r="Z58">
        <f t="shared" si="44"/>
        <v>41</v>
      </c>
      <c r="AA58" s="112">
        <f t="shared" ref="AA58:AA61" ca="1" si="92">IF(OR(X58=0,X58=""),100000,X58)*1</f>
        <v>100000</v>
      </c>
      <c r="AD58" s="112">
        <f t="shared" ca="1" si="19"/>
        <v>100000</v>
      </c>
      <c r="AI58" s="112">
        <f t="shared" ca="1" si="64"/>
        <v>100000</v>
      </c>
      <c r="AJ58" s="112" t="str">
        <f t="shared" ca="1" si="45"/>
        <v>0-8 anni</v>
      </c>
      <c r="AM58">
        <f ca="1">VLOOKUP(AI58,Foglio1tibis!$AB$31:$AN$284,13)</f>
        <v>261</v>
      </c>
      <c r="AN58">
        <f t="shared" ca="1" si="76"/>
        <v>6</v>
      </c>
      <c r="AO58">
        <f t="shared" ca="1" si="77"/>
        <v>255</v>
      </c>
      <c r="AQ58" s="112">
        <f t="shared" ca="1" si="78"/>
        <v>100000</v>
      </c>
      <c r="AR58" s="112" cm="1">
        <f t="array" aca="1" ref="AR58" ca="1">INDIRECT(CONCATENATE($AP$15,$AR$16,AO58))</f>
        <v>45291</v>
      </c>
      <c r="AS58" t="str" cm="1">
        <f t="array" aca="1" ref="AS58" ca="1">INDIRECT(CONCATENATE($AP$15,$AS$16,AO58))</f>
        <v>0-2anni</v>
      </c>
      <c r="AT58" cm="1">
        <f t="array" aca="1" ref="AT58" ca="1">INDIRECT(CONCATENATE($AP$15,$AT$16,AO58))</f>
        <v>0</v>
      </c>
      <c r="AU58" cm="1">
        <f t="array" aca="1" ref="AU58" ca="1">INDIRECT(CONCATENATE($AP$15,$AU$16,AO58))</f>
        <v>14513.09</v>
      </c>
      <c r="AV58" cm="1">
        <f t="array" aca="1" ref="AV58" ca="1">INDIRECT(CONCATENATE($AP$15,$AV$16,AO58))</f>
        <v>0</v>
      </c>
      <c r="AW58" cm="1">
        <f t="array" aca="1" ref="AW58" ca="1">INDIRECT(CONCATENATE($AP$15,$AW$16,AO58))</f>
        <v>0</v>
      </c>
      <c r="AX58" cm="1">
        <f t="array" aca="1" ref="AX58" ca="1">INDIRECT(CONCATENATE($AP$15,$AX$16,AO58))</f>
        <v>6384.11</v>
      </c>
      <c r="AY58" cm="1">
        <f t="array" aca="1" ref="AY58" ca="1">INDIRECT(CONCATENATE($AP$15,$AY$16,AO58))</f>
        <v>104.49</v>
      </c>
      <c r="AZ58" cm="1">
        <f t="array" aca="1" ref="AZ58" ca="1">INDIRECT(CONCATENATE($AP$15,$AZ$16,AO58))</f>
        <v>1690.19</v>
      </c>
      <c r="BA58" cm="1">
        <f t="array" aca="1" ref="BA58" ca="1">INDIRECT(CONCATENATE($AP$15,$BA$16,AO58))</f>
        <v>2214</v>
      </c>
      <c r="BH58" t="str">
        <f t="shared" ca="1" si="24"/>
        <v>C.C.N.L. COMPARTO  SCUOLA del Dicembre 2022</v>
      </c>
      <c r="BJ58" t="str">
        <f t="shared" ca="1" si="25"/>
        <v/>
      </c>
      <c r="BL58" t="str">
        <f t="shared" ca="1" si="26"/>
        <v xml:space="preserve">ARTICOLO 
</v>
      </c>
      <c r="BM58" t="str">
        <f t="shared" ca="1" si="27"/>
        <v xml:space="preserve">Con decorrenza dal:14/10/2173 Spetta fascia:0-2anni  C.C.N.L. COMPARTO  SCUOLA del Dicembre 2022
</v>
      </c>
      <c r="BN58" t="str">
        <f t="shared" ca="1" si="28"/>
        <v xml:space="preserve">Retribuzione euro:20897,2
</v>
      </c>
      <c r="BO58" t="str">
        <f t="shared" ca="1" si="29"/>
        <v xml:space="preserve">I.V.C. euro:104,49
</v>
      </c>
      <c r="BP58" t="str">
        <f t="shared" ca="1" si="30"/>
        <v xml:space="preserve">R.P.D. euro:2214
</v>
      </c>
      <c r="BQ58" t="str">
        <f t="shared" ca="1" si="31"/>
        <v/>
      </c>
      <c r="BR58" t="str">
        <f t="shared" ca="1" si="32"/>
        <v xml:space="preserve">TOTALE EURO:23215,69
 altri assegni previsti per legge
</v>
      </c>
      <c r="CA58" t="str">
        <f t="shared" ca="1" si="75"/>
        <v/>
      </c>
      <c r="CJ58">
        <f t="shared" si="33"/>
        <v>41</v>
      </c>
      <c r="CK58" s="112" t="str">
        <f>CP23</f>
        <v/>
      </c>
      <c r="CL58" s="112"/>
      <c r="CS58" s="112"/>
      <c r="CT58" s="112" t="e">
        <f>HLOOKUP(CT55,$CN$11:$DO$14,4)</f>
        <v>#N/A</v>
      </c>
      <c r="CV58" s="112">
        <f t="shared" si="69"/>
        <v>100000</v>
      </c>
      <c r="CW58" s="112">
        <f t="shared" si="90"/>
        <v>100000</v>
      </c>
      <c r="CX58" s="238" t="e">
        <f ca="1">VLOOKUP(CZ58,Foglio1tibis!$AB$31:$AN$283,13)-6</f>
        <v>#N/A</v>
      </c>
      <c r="CY58" s="112" t="str">
        <f t="shared" si="49"/>
        <v/>
      </c>
      <c r="CZ58" s="478" t="str">
        <f t="shared" si="80"/>
        <v/>
      </c>
      <c r="DA58" s="479" t="str">
        <f t="shared" si="62"/>
        <v/>
      </c>
      <c r="DB58" s="112" t="str">
        <f t="shared" si="81"/>
        <v/>
      </c>
      <c r="DC58" s="114" t="e">
        <f t="shared" si="82"/>
        <v>#VALUE!</v>
      </c>
      <c r="DD58" s="114" t="str" cm="1">
        <f t="array" aca="1" ref="DD58" ca="1">IF(CY58="","",INDIRECT(CONCATENATE($AP$15,$AU$16,CX58)))</f>
        <v/>
      </c>
      <c r="DE58" s="114"/>
      <c r="DF58" s="114"/>
      <c r="DG58" s="114" t="str" cm="1">
        <f t="array" aca="1" ref="DG58" ca="1">IF(DD58="","",INDIRECT(CONCATENATE($AP$15,$AX$16,CX58)))</f>
        <v/>
      </c>
      <c r="DH58" s="114" t="str" cm="1">
        <f t="array" aca="1" ref="DH58" ca="1">IF(DD58="","",INDIRECT(CONCATENATE($AP$15,$AY$16,CX58)))</f>
        <v/>
      </c>
      <c r="DI58" s="114"/>
      <c r="DJ58" s="114" t="str" cm="1">
        <f t="array" aca="1" ref="DJ58" ca="1">IF(DD58="","",INDIRECT(CONCATENATE($AP$15,$BA$16,CX58)))</f>
        <v/>
      </c>
      <c r="DL58" s="114">
        <f t="shared" si="83"/>
        <v>0</v>
      </c>
      <c r="DM58" s="114" t="e">
        <f t="shared" ca="1" si="84"/>
        <v>#VALUE!</v>
      </c>
      <c r="DN58">
        <f>aumentibiennali!K79</f>
        <v>0</v>
      </c>
      <c r="DO58" t="e">
        <f t="shared" ca="1" si="85"/>
        <v>#VALUE!</v>
      </c>
      <c r="DP58" t="e">
        <f t="shared" ca="1" si="86"/>
        <v>#VALUE!</v>
      </c>
      <c r="DU58" t="e">
        <f t="shared" ca="1" si="87"/>
        <v>#VALUE!</v>
      </c>
      <c r="EO58" s="320" t="str">
        <f t="shared" ca="1" si="88"/>
        <v/>
      </c>
      <c r="EP58" s="320"/>
      <c r="EQ58" s="320"/>
      <c r="ER58" s="320"/>
      <c r="ES58" s="320"/>
      <c r="ET58" s="320"/>
      <c r="EU58" s="320"/>
      <c r="EV58" s="320"/>
      <c r="EW58" s="320"/>
      <c r="EX58" s="320"/>
      <c r="EY58" s="320"/>
      <c r="EZ58" s="320"/>
      <c r="FA58" s="320"/>
      <c r="FB58" s="320"/>
      <c r="FC58" s="320"/>
      <c r="FD58" s="320"/>
      <c r="FE58" s="320"/>
      <c r="FF58" s="320"/>
      <c r="FG58" s="320"/>
      <c r="FH58" s="320"/>
      <c r="FI58" s="320"/>
      <c r="FJ58" s="320"/>
      <c r="FK58" s="320"/>
      <c r="FL58" s="320"/>
      <c r="FM58" s="320"/>
      <c r="FN58" s="320"/>
      <c r="FO58" s="320"/>
      <c r="FP58" s="320"/>
      <c r="FQ58" s="320"/>
      <c r="FR58" s="320"/>
    </row>
    <row r="59" spans="2:174" ht="15.75" thickBot="1" x14ac:dyDescent="0.3">
      <c r="B59">
        <f t="shared" si="52"/>
        <v>41</v>
      </c>
      <c r="X59" s="112" t="str">
        <f t="shared" ca="1" si="91"/>
        <v/>
      </c>
      <c r="Z59">
        <f t="shared" si="44"/>
        <v>42</v>
      </c>
      <c r="AA59" s="112">
        <f t="shared" ca="1" si="92"/>
        <v>100000</v>
      </c>
      <c r="AD59" s="112">
        <f t="shared" ca="1" si="19"/>
        <v>100000</v>
      </c>
      <c r="AI59" s="112">
        <f t="shared" ca="1" si="64"/>
        <v>100000</v>
      </c>
      <c r="AJ59" s="112" t="str">
        <f t="shared" ca="1" si="45"/>
        <v>0-8 anni</v>
      </c>
      <c r="AM59">
        <f ca="1">VLOOKUP(AI59,Foglio1tibis!$AB$31:$AN$284,13)</f>
        <v>261</v>
      </c>
      <c r="AN59">
        <f t="shared" ca="1" si="76"/>
        <v>6</v>
      </c>
      <c r="AO59">
        <f t="shared" ca="1" si="77"/>
        <v>255</v>
      </c>
      <c r="AQ59" s="112">
        <f t="shared" ca="1" si="78"/>
        <v>100000</v>
      </c>
      <c r="AR59" s="112" cm="1">
        <f t="array" aca="1" ref="AR59" ca="1">INDIRECT(CONCATENATE($AP$15,$AR$16,AO59))</f>
        <v>45291</v>
      </c>
      <c r="AS59" t="str" cm="1">
        <f t="array" aca="1" ref="AS59" ca="1">INDIRECT(CONCATENATE($AP$15,$AS$16,AO59))</f>
        <v>0-2anni</v>
      </c>
      <c r="AT59" cm="1">
        <f t="array" aca="1" ref="AT59" ca="1">INDIRECT(CONCATENATE($AP$15,$AT$16,AO59))</f>
        <v>0</v>
      </c>
      <c r="AU59" cm="1">
        <f t="array" aca="1" ref="AU59" ca="1">INDIRECT(CONCATENATE($AP$15,$AU$16,AO59))</f>
        <v>14513.09</v>
      </c>
      <c r="AV59" cm="1">
        <f t="array" aca="1" ref="AV59" ca="1">INDIRECT(CONCATENATE($AP$15,$AV$16,AO59))</f>
        <v>0</v>
      </c>
      <c r="AW59" cm="1">
        <f t="array" aca="1" ref="AW59" ca="1">INDIRECT(CONCATENATE($AP$15,$AW$16,AO59))</f>
        <v>0</v>
      </c>
      <c r="AX59" cm="1">
        <f t="array" aca="1" ref="AX59" ca="1">INDIRECT(CONCATENATE($AP$15,$AX$16,AO59))</f>
        <v>6384.11</v>
      </c>
      <c r="AY59" cm="1">
        <f t="array" aca="1" ref="AY59" ca="1">INDIRECT(CONCATENATE($AP$15,$AY$16,AO59))</f>
        <v>104.49</v>
      </c>
      <c r="AZ59" cm="1">
        <f t="array" aca="1" ref="AZ59" ca="1">INDIRECT(CONCATENATE($AP$15,$AZ$16,AO59))</f>
        <v>1690.19</v>
      </c>
      <c r="BA59" cm="1">
        <f t="array" aca="1" ref="BA59" ca="1">INDIRECT(CONCATENATE($AP$15,$BA$16,AO59))</f>
        <v>2214</v>
      </c>
      <c r="BH59" t="str">
        <f t="shared" ca="1" si="24"/>
        <v>C.C.N.L. COMPARTO  SCUOLA del Dicembre 2022</v>
      </c>
      <c r="BJ59" t="str">
        <f t="shared" ca="1" si="25"/>
        <v/>
      </c>
      <c r="BL59" t="str">
        <f t="shared" ca="1" si="26"/>
        <v xml:space="preserve">ARTICOLO 
</v>
      </c>
      <c r="BM59" t="str">
        <f t="shared" ca="1" si="27"/>
        <v xml:space="preserve">Con decorrenza dal:14/10/2173 Spetta fascia:0-2anni  C.C.N.L. COMPARTO  SCUOLA del Dicembre 2022
</v>
      </c>
      <c r="BN59" t="str">
        <f t="shared" ca="1" si="28"/>
        <v xml:space="preserve">Retribuzione euro:20897,2
</v>
      </c>
      <c r="BO59" t="str">
        <f t="shared" ca="1" si="29"/>
        <v xml:space="preserve">I.V.C. euro:104,49
</v>
      </c>
      <c r="BP59" t="str">
        <f t="shared" ca="1" si="30"/>
        <v xml:space="preserve">R.P.D. euro:2214
</v>
      </c>
      <c r="BQ59" t="str">
        <f t="shared" ca="1" si="31"/>
        <v/>
      </c>
      <c r="BR59" t="str">
        <f t="shared" ca="1" si="32"/>
        <v xml:space="preserve">TOTALE EURO:23215,69
 altri assegni previsti per legge
</v>
      </c>
      <c r="CA59" t="str">
        <f t="shared" ca="1" si="75"/>
        <v/>
      </c>
      <c r="CJ59">
        <f t="shared" si="33"/>
        <v>42</v>
      </c>
      <c r="CK59" s="112" t="str">
        <f>CP24</f>
        <v/>
      </c>
      <c r="CL59" s="112"/>
      <c r="CS59" s="112"/>
      <c r="CT59" s="112" t="str">
        <f>CP28</f>
        <v/>
      </c>
      <c r="CV59" s="112">
        <f t="shared" si="69"/>
        <v>100000</v>
      </c>
      <c r="CW59" s="112">
        <f t="shared" si="90"/>
        <v>100000</v>
      </c>
      <c r="CX59" s="238" t="e">
        <f ca="1">VLOOKUP(CZ59,Foglio1tibis!$AB$31:$AN$283,13)-6</f>
        <v>#N/A</v>
      </c>
      <c r="CY59" s="112" t="str">
        <f t="shared" si="49"/>
        <v/>
      </c>
      <c r="CZ59" s="478" t="str">
        <f t="shared" si="80"/>
        <v/>
      </c>
      <c r="DA59" s="479" t="str">
        <f t="shared" si="62"/>
        <v/>
      </c>
      <c r="DB59" s="112" t="str">
        <f t="shared" si="81"/>
        <v/>
      </c>
      <c r="DC59" s="114" t="e">
        <f t="shared" si="82"/>
        <v>#VALUE!</v>
      </c>
      <c r="DD59" s="114" t="str" cm="1">
        <f t="array" aca="1" ref="DD59" ca="1">IF(CY59="","",INDIRECT(CONCATENATE($AP$15,$AU$16,CX59)))</f>
        <v/>
      </c>
      <c r="DE59" s="114"/>
      <c r="DF59" s="114"/>
      <c r="DG59" s="114" t="str" cm="1">
        <f t="array" aca="1" ref="DG59" ca="1">IF(DD59="","",INDIRECT(CONCATENATE($AP$15,$AX$16,CX59)))</f>
        <v/>
      </c>
      <c r="DH59" s="114" t="str" cm="1">
        <f t="array" aca="1" ref="DH59" ca="1">IF(DD59="","",INDIRECT(CONCATENATE($AP$15,$AY$16,CX59)))</f>
        <v/>
      </c>
      <c r="DI59" s="114"/>
      <c r="DJ59" s="114" t="str" cm="1">
        <f t="array" aca="1" ref="DJ59" ca="1">IF(DD59="","",INDIRECT(CONCATENATE($AP$15,$BA$16,CX59)))</f>
        <v/>
      </c>
      <c r="DL59" s="114">
        <f t="shared" si="83"/>
        <v>0</v>
      </c>
      <c r="DM59" s="114" t="e">
        <f t="shared" ca="1" si="84"/>
        <v>#VALUE!</v>
      </c>
      <c r="DN59">
        <f>aumentibiennali!K80</f>
        <v>0</v>
      </c>
      <c r="DO59" t="e">
        <f t="shared" ca="1" si="85"/>
        <v>#VALUE!</v>
      </c>
      <c r="DP59" t="e">
        <f t="shared" ca="1" si="86"/>
        <v>#VALUE!</v>
      </c>
      <c r="DU59" t="e">
        <f t="shared" ca="1" si="87"/>
        <v>#VALUE!</v>
      </c>
      <c r="EO59" s="320" t="str">
        <f t="shared" ca="1" si="88"/>
        <v/>
      </c>
      <c r="EP59" s="320"/>
      <c r="EQ59" s="320"/>
      <c r="ER59" s="320"/>
      <c r="ES59" s="320"/>
      <c r="ET59" s="320"/>
      <c r="EU59" s="320"/>
      <c r="EV59" s="320"/>
      <c r="EW59" s="320"/>
      <c r="EX59" s="320"/>
      <c r="EY59" s="320"/>
      <c r="EZ59" s="320"/>
      <c r="FA59" s="320"/>
      <c r="FB59" s="320"/>
      <c r="FC59" s="320"/>
      <c r="FD59" s="320"/>
      <c r="FE59" s="320"/>
      <c r="FF59" s="320"/>
      <c r="FG59" s="320"/>
      <c r="FH59" s="320"/>
      <c r="FI59" s="320"/>
      <c r="FJ59" s="320"/>
      <c r="FK59" s="320"/>
      <c r="FL59" s="320"/>
      <c r="FM59" s="320"/>
      <c r="FN59" s="320"/>
      <c r="FO59" s="320"/>
      <c r="FP59" s="320"/>
      <c r="FQ59" s="320"/>
      <c r="FR59" s="320"/>
    </row>
    <row r="60" spans="2:174" ht="15.75" thickBot="1" x14ac:dyDescent="0.3">
      <c r="X60" s="112" t="str">
        <f t="shared" ca="1" si="91"/>
        <v/>
      </c>
      <c r="Z60">
        <f t="shared" si="44"/>
        <v>43</v>
      </c>
      <c r="AA60" s="112">
        <f t="shared" ca="1" si="92"/>
        <v>100000</v>
      </c>
      <c r="AD60" s="112">
        <f t="shared" ca="1" si="19"/>
        <v>100000</v>
      </c>
      <c r="AI60" s="112">
        <f t="shared" ca="1" si="64"/>
        <v>100000</v>
      </c>
      <c r="AJ60" s="112" t="str">
        <f t="shared" ca="1" si="45"/>
        <v>0-8 anni</v>
      </c>
      <c r="AM60">
        <f ca="1">VLOOKUP(AI60,Foglio1tibis!$AB$31:$AN$284,13)</f>
        <v>261</v>
      </c>
      <c r="AN60">
        <f t="shared" ca="1" si="76"/>
        <v>6</v>
      </c>
      <c r="AO60">
        <f t="shared" ca="1" si="77"/>
        <v>255</v>
      </c>
      <c r="AQ60" s="112">
        <f t="shared" ca="1" si="78"/>
        <v>100000</v>
      </c>
      <c r="AR60" s="112" cm="1">
        <f t="array" aca="1" ref="AR60" ca="1">INDIRECT(CONCATENATE($AP$15,$AR$16,AO60))</f>
        <v>45291</v>
      </c>
      <c r="AS60" t="str" cm="1">
        <f t="array" aca="1" ref="AS60" ca="1">INDIRECT(CONCATENATE($AP$15,$AS$16,AO60))</f>
        <v>0-2anni</v>
      </c>
      <c r="AT60" cm="1">
        <f t="array" aca="1" ref="AT60" ca="1">INDIRECT(CONCATENATE($AP$15,$AT$16,AO60))</f>
        <v>0</v>
      </c>
      <c r="AU60" cm="1">
        <f t="array" aca="1" ref="AU60" ca="1">INDIRECT(CONCATENATE($AP$15,$AU$16,AO60))</f>
        <v>14513.09</v>
      </c>
      <c r="AV60" cm="1">
        <f t="array" aca="1" ref="AV60" ca="1">INDIRECT(CONCATENATE($AP$15,$AV$16,AO60))</f>
        <v>0</v>
      </c>
      <c r="AW60" cm="1">
        <f t="array" aca="1" ref="AW60" ca="1">INDIRECT(CONCATENATE($AP$15,$AW$16,AO60))</f>
        <v>0</v>
      </c>
      <c r="AX60" cm="1">
        <f t="array" aca="1" ref="AX60" ca="1">INDIRECT(CONCATENATE($AP$15,$AX$16,AO60))</f>
        <v>6384.11</v>
      </c>
      <c r="AY60" cm="1">
        <f t="array" aca="1" ref="AY60" ca="1">INDIRECT(CONCATENATE($AP$15,$AY$16,AO60))</f>
        <v>104.49</v>
      </c>
      <c r="AZ60" cm="1">
        <f t="array" aca="1" ref="AZ60" ca="1">INDIRECT(CONCATENATE($AP$15,$AZ$16,AO60))</f>
        <v>1690.19</v>
      </c>
      <c r="BA60" cm="1">
        <f t="array" aca="1" ref="BA60" ca="1">INDIRECT(CONCATENATE($AP$15,$BA$16,AO60))</f>
        <v>2214</v>
      </c>
      <c r="BH60" t="str">
        <f t="shared" ca="1" si="24"/>
        <v>C.C.N.L. COMPARTO  SCUOLA del Dicembre 2022</v>
      </c>
      <c r="BJ60" t="str">
        <f t="shared" ca="1" si="25"/>
        <v/>
      </c>
      <c r="BL60" t="str">
        <f t="shared" ca="1" si="26"/>
        <v xml:space="preserve">ARTICOLO 
</v>
      </c>
      <c r="BM60" t="str">
        <f t="shared" ca="1" si="27"/>
        <v xml:space="preserve">Con decorrenza dal:14/10/2173 Spetta fascia:0-2anni  C.C.N.L. COMPARTO  SCUOLA del Dicembre 2022
</v>
      </c>
      <c r="BN60" t="str">
        <f t="shared" ca="1" si="28"/>
        <v xml:space="preserve">Retribuzione euro:20897,2
</v>
      </c>
      <c r="BO60" t="str">
        <f t="shared" ca="1" si="29"/>
        <v xml:space="preserve">I.V.C. euro:104,49
</v>
      </c>
      <c r="BP60" t="str">
        <f t="shared" ca="1" si="30"/>
        <v xml:space="preserve">R.P.D. euro:2214
</v>
      </c>
      <c r="BQ60" t="str">
        <f t="shared" ca="1" si="31"/>
        <v/>
      </c>
      <c r="BR60" t="str">
        <f t="shared" ca="1" si="32"/>
        <v xml:space="preserve">TOTALE EURO:23215,69
 altri assegni previsti per legge
</v>
      </c>
      <c r="CA60" t="str">
        <f t="shared" ca="1" si="75"/>
        <v/>
      </c>
      <c r="CJ60">
        <f t="shared" si="33"/>
        <v>43</v>
      </c>
      <c r="CK60" s="112" t="str">
        <f>CP25</f>
        <v/>
      </c>
      <c r="CL60" s="112"/>
      <c r="CS60" s="112"/>
      <c r="CT60" s="112" t="e">
        <f>HLOOKUP(CT59,$CN$11:$DO$14,2)</f>
        <v>#N/A</v>
      </c>
      <c r="CV60" s="112">
        <f t="shared" si="69"/>
        <v>100000</v>
      </c>
      <c r="CW60" s="112">
        <f t="shared" si="90"/>
        <v>100000</v>
      </c>
      <c r="CX60" s="238" t="e">
        <f ca="1">VLOOKUP(CZ60,Foglio1tibis!$AB$31:$AN$283,13)-6</f>
        <v>#N/A</v>
      </c>
      <c r="CY60" s="112" t="str">
        <f t="shared" si="49"/>
        <v/>
      </c>
      <c r="CZ60" s="478" t="str">
        <f t="shared" si="80"/>
        <v/>
      </c>
      <c r="DA60" s="479" t="str">
        <f t="shared" si="62"/>
        <v/>
      </c>
      <c r="DB60" s="112" t="str">
        <f t="shared" si="81"/>
        <v/>
      </c>
      <c r="DC60" s="114" t="e">
        <f t="shared" si="82"/>
        <v>#VALUE!</v>
      </c>
      <c r="DD60" s="114" t="str" cm="1">
        <f t="array" aca="1" ref="DD60" ca="1">IF(CY60="","",INDIRECT(CONCATENATE($AP$15,$AU$16,CX60)))</f>
        <v/>
      </c>
      <c r="DE60" s="114"/>
      <c r="DF60" s="114"/>
      <c r="DG60" s="114" t="str" cm="1">
        <f t="array" aca="1" ref="DG60" ca="1">IF(DD60="","",INDIRECT(CONCATENATE($AP$15,$AX$16,CX60)))</f>
        <v/>
      </c>
      <c r="DH60" s="114" t="str" cm="1">
        <f t="array" aca="1" ref="DH60" ca="1">IF(DD60="","",INDIRECT(CONCATENATE($AP$15,$AY$16,CX60)))</f>
        <v/>
      </c>
      <c r="DI60" s="114"/>
      <c r="DJ60" s="114" t="str" cm="1">
        <f t="array" aca="1" ref="DJ60" ca="1">IF(DD60="","",INDIRECT(CONCATENATE($AP$15,$BA$16,CX60)))</f>
        <v/>
      </c>
      <c r="DL60" s="114">
        <f t="shared" si="83"/>
        <v>0</v>
      </c>
      <c r="DM60" s="114" t="e">
        <f t="shared" ca="1" si="84"/>
        <v>#VALUE!</v>
      </c>
      <c r="DN60">
        <f>aumentibiennali!K81</f>
        <v>0</v>
      </c>
      <c r="DO60" t="e">
        <f t="shared" ca="1" si="85"/>
        <v>#VALUE!</v>
      </c>
      <c r="DP60" t="e">
        <f t="shared" ca="1" si="86"/>
        <v>#VALUE!</v>
      </c>
      <c r="DU60" t="e">
        <f t="shared" ca="1" si="87"/>
        <v>#VALUE!</v>
      </c>
      <c r="EO60" s="320" t="str">
        <f t="shared" ca="1" si="88"/>
        <v/>
      </c>
      <c r="EP60" s="320"/>
      <c r="EQ60" s="320"/>
      <c r="ER60" s="320"/>
      <c r="ES60" s="320"/>
      <c r="ET60" s="320"/>
      <c r="EU60" s="320"/>
      <c r="EV60" s="320"/>
      <c r="EW60" s="320"/>
      <c r="EX60" s="320"/>
      <c r="EY60" s="320"/>
      <c r="EZ60" s="320"/>
      <c r="FA60" s="320"/>
      <c r="FB60" s="320"/>
      <c r="FC60" s="320"/>
      <c r="FD60" s="320"/>
      <c r="FE60" s="320"/>
      <c r="FF60" s="320"/>
      <c r="FG60" s="320"/>
      <c r="FH60" s="320"/>
      <c r="FI60" s="320"/>
      <c r="FJ60" s="320"/>
      <c r="FK60" s="320"/>
      <c r="FL60" s="320"/>
      <c r="FM60" s="320"/>
      <c r="FN60" s="320"/>
      <c r="FO60" s="320"/>
      <c r="FP60" s="320"/>
      <c r="FQ60" s="320"/>
      <c r="FR60" s="320"/>
    </row>
    <row r="61" spans="2:174" ht="15.75" thickBot="1" x14ac:dyDescent="0.3">
      <c r="X61" s="112" t="str">
        <f t="shared" ca="1" si="91"/>
        <v/>
      </c>
      <c r="Z61">
        <f t="shared" si="44"/>
        <v>44</v>
      </c>
      <c r="AA61" s="112">
        <f t="shared" ca="1" si="92"/>
        <v>100000</v>
      </c>
      <c r="AD61" s="112">
        <f t="shared" ca="1" si="19"/>
        <v>100000</v>
      </c>
      <c r="AI61" s="112">
        <f t="shared" ca="1" si="64"/>
        <v>100000</v>
      </c>
      <c r="AJ61" s="112" t="str">
        <f t="shared" ca="1" si="45"/>
        <v>0-8 anni</v>
      </c>
      <c r="AM61">
        <f ca="1">VLOOKUP(AI61,Foglio1tibis!$AB$31:$AN$284,13)</f>
        <v>261</v>
      </c>
      <c r="AN61">
        <f t="shared" ca="1" si="76"/>
        <v>6</v>
      </c>
      <c r="AO61">
        <f t="shared" ca="1" si="77"/>
        <v>255</v>
      </c>
      <c r="AQ61" s="112">
        <f t="shared" ca="1" si="78"/>
        <v>100000</v>
      </c>
      <c r="AR61" s="112" cm="1">
        <f t="array" aca="1" ref="AR61" ca="1">INDIRECT(CONCATENATE($AP$15,$AR$16,AO61))</f>
        <v>45291</v>
      </c>
      <c r="AS61" t="str" cm="1">
        <f t="array" aca="1" ref="AS61" ca="1">INDIRECT(CONCATENATE($AP$15,$AS$16,AO61))</f>
        <v>0-2anni</v>
      </c>
      <c r="AT61" cm="1">
        <f t="array" aca="1" ref="AT61" ca="1">INDIRECT(CONCATENATE($AP$15,$AT$16,AO61))</f>
        <v>0</v>
      </c>
      <c r="AU61" cm="1">
        <f t="array" aca="1" ref="AU61" ca="1">INDIRECT(CONCATENATE($AP$15,$AU$16,AO61))</f>
        <v>14513.09</v>
      </c>
      <c r="AV61" cm="1">
        <f t="array" aca="1" ref="AV61" ca="1">INDIRECT(CONCATENATE($AP$15,$AV$16,AO61))</f>
        <v>0</v>
      </c>
      <c r="AW61" cm="1">
        <f t="array" aca="1" ref="AW61" ca="1">INDIRECT(CONCATENATE($AP$15,$AW$16,AO61))</f>
        <v>0</v>
      </c>
      <c r="AX61" cm="1">
        <f t="array" aca="1" ref="AX61" ca="1">INDIRECT(CONCATENATE($AP$15,$AX$16,AO61))</f>
        <v>6384.11</v>
      </c>
      <c r="AY61" cm="1">
        <f t="array" aca="1" ref="AY61" ca="1">INDIRECT(CONCATENATE($AP$15,$AY$16,AO61))</f>
        <v>104.49</v>
      </c>
      <c r="AZ61" cm="1">
        <f t="array" aca="1" ref="AZ61" ca="1">INDIRECT(CONCATENATE($AP$15,$AZ$16,AO61))</f>
        <v>1690.19</v>
      </c>
      <c r="BA61" cm="1">
        <f t="array" aca="1" ref="BA61" ca="1">INDIRECT(CONCATENATE($AP$15,$BA$16,AO61))</f>
        <v>2214</v>
      </c>
      <c r="BH61" t="str">
        <f t="shared" ca="1" si="24"/>
        <v>C.C.N.L. COMPARTO  SCUOLA del Dicembre 2022</v>
      </c>
      <c r="BJ61" t="str">
        <f t="shared" ca="1" si="25"/>
        <v/>
      </c>
      <c r="BL61" t="str">
        <f t="shared" ca="1" si="26"/>
        <v xml:space="preserve">ARTICOLO 
</v>
      </c>
      <c r="BM61" t="str">
        <f t="shared" ca="1" si="27"/>
        <v xml:space="preserve">Con decorrenza dal:14/10/2173 Spetta fascia:0-2anni  C.C.N.L. COMPARTO  SCUOLA del Dicembre 2022
</v>
      </c>
      <c r="BN61" t="str">
        <f t="shared" ca="1" si="28"/>
        <v xml:space="preserve">Retribuzione euro:20897,2
</v>
      </c>
      <c r="BO61" t="str">
        <f t="shared" ca="1" si="29"/>
        <v xml:space="preserve">I.V.C. euro:104,49
</v>
      </c>
      <c r="BP61" t="str">
        <f t="shared" ca="1" si="30"/>
        <v xml:space="preserve">R.P.D. euro:2214
</v>
      </c>
      <c r="BQ61" t="str">
        <f t="shared" ca="1" si="31"/>
        <v/>
      </c>
      <c r="BR61" t="str">
        <f t="shared" ca="1" si="32"/>
        <v xml:space="preserve">TOTALE EURO:23215,69
 altri assegni previsti per legge
</v>
      </c>
      <c r="CA61" t="str">
        <f t="shared" ca="1" si="75"/>
        <v/>
      </c>
      <c r="CJ61">
        <f t="shared" si="33"/>
        <v>44</v>
      </c>
      <c r="CK61" s="112" t="str">
        <f>CP26</f>
        <v/>
      </c>
      <c r="CL61" s="112"/>
      <c r="CS61" s="112"/>
      <c r="CT61" s="112" t="e">
        <f>HLOOKUP(CT59,$CN$11:$DO$14,3)</f>
        <v>#N/A</v>
      </c>
      <c r="CV61" s="112">
        <f t="shared" si="69"/>
        <v>100000</v>
      </c>
      <c r="CW61" s="112">
        <f t="shared" si="90"/>
        <v>100000</v>
      </c>
      <c r="CX61" s="238" t="e">
        <f ca="1">VLOOKUP(CZ61,Foglio1tibis!$AB$31:$AN$283,13)-6</f>
        <v>#N/A</v>
      </c>
      <c r="CY61" s="112" t="str">
        <f t="shared" si="49"/>
        <v/>
      </c>
      <c r="CZ61" s="478" t="str">
        <f t="shared" si="80"/>
        <v/>
      </c>
      <c r="DA61" s="479" t="str">
        <f t="shared" si="62"/>
        <v/>
      </c>
      <c r="DB61" s="112" t="str">
        <f t="shared" si="81"/>
        <v/>
      </c>
      <c r="DC61" s="114" t="e">
        <f t="shared" si="82"/>
        <v>#VALUE!</v>
      </c>
      <c r="DD61" s="114" t="str" cm="1">
        <f t="array" aca="1" ref="DD61" ca="1">IF(CY61="","",INDIRECT(CONCATENATE($AP$15,$AU$16,CX61)))</f>
        <v/>
      </c>
      <c r="DE61" s="114"/>
      <c r="DF61" s="114"/>
      <c r="DG61" s="114" t="str" cm="1">
        <f t="array" aca="1" ref="DG61" ca="1">IF(DD61="","",INDIRECT(CONCATENATE($AP$15,$AX$16,CX61)))</f>
        <v/>
      </c>
      <c r="DH61" s="114" t="str" cm="1">
        <f t="array" aca="1" ref="DH61" ca="1">IF(DD61="","",INDIRECT(CONCATENATE($AP$15,$AY$16,CX61)))</f>
        <v/>
      </c>
      <c r="DI61" s="114"/>
      <c r="DJ61" s="114" t="str" cm="1">
        <f t="array" aca="1" ref="DJ61" ca="1">IF(DD61="","",INDIRECT(CONCATENATE($AP$15,$BA$16,CX61)))</f>
        <v/>
      </c>
      <c r="DL61" s="114">
        <f t="shared" si="83"/>
        <v>0</v>
      </c>
      <c r="DM61" s="114" t="e">
        <f t="shared" ca="1" si="84"/>
        <v>#VALUE!</v>
      </c>
      <c r="DN61">
        <f>aumentibiennali!K82</f>
        <v>0</v>
      </c>
      <c r="DO61" t="e">
        <f t="shared" ca="1" si="85"/>
        <v>#VALUE!</v>
      </c>
      <c r="DP61" t="e">
        <f t="shared" ca="1" si="86"/>
        <v>#VALUE!</v>
      </c>
      <c r="DU61" t="e">
        <f t="shared" ca="1" si="87"/>
        <v>#VALUE!</v>
      </c>
      <c r="EO61" s="320" t="str">
        <f t="shared" ca="1" si="88"/>
        <v/>
      </c>
      <c r="EP61" s="320"/>
      <c r="EQ61" s="320"/>
      <c r="ER61" s="320"/>
      <c r="ES61" s="320"/>
      <c r="ET61" s="320"/>
      <c r="EU61" s="320"/>
      <c r="EV61" s="320"/>
      <c r="EW61" s="320"/>
      <c r="EX61" s="320"/>
      <c r="EY61" s="320"/>
      <c r="EZ61" s="320"/>
      <c r="FA61" s="320"/>
      <c r="FB61" s="320"/>
      <c r="FC61" s="320"/>
      <c r="FD61" s="320"/>
      <c r="FE61" s="320"/>
      <c r="FF61" s="320"/>
      <c r="FG61" s="320"/>
      <c r="FH61" s="320"/>
      <c r="FI61" s="320"/>
      <c r="FJ61" s="320"/>
      <c r="FK61" s="320"/>
      <c r="FL61" s="320"/>
      <c r="FM61" s="320"/>
      <c r="FN61" s="320"/>
      <c r="FO61" s="320"/>
      <c r="FP61" s="320"/>
      <c r="FQ61" s="320"/>
      <c r="FR61" s="320"/>
    </row>
    <row r="62" spans="2:174" ht="15.75" thickBot="1" x14ac:dyDescent="0.3">
      <c r="X62" s="112" t="str">
        <f t="shared" ca="1" si="91"/>
        <v/>
      </c>
      <c r="AI62" s="112">
        <f t="shared" si="64"/>
        <v>0</v>
      </c>
      <c r="AJ62" s="112" t="e">
        <f t="shared" ca="1" si="45"/>
        <v>#N/A</v>
      </c>
      <c r="AM62">
        <f ca="1">VLOOKUP(AI62,Foglio1tibis!$AB$31:$AN$284,13)</f>
        <v>93</v>
      </c>
      <c r="AN62" t="e">
        <f t="shared" ca="1" si="76"/>
        <v>#N/A</v>
      </c>
      <c r="AO62" t="e">
        <f t="shared" ca="1" si="77"/>
        <v>#N/A</v>
      </c>
      <c r="AQ62" s="112">
        <f t="shared" si="78"/>
        <v>0</v>
      </c>
      <c r="AR62" s="112" t="e" cm="1">
        <f t="array" aca="1" ref="AR62" ca="1">INDIRECT(CONCATENATE($AP$15,$AR$16,AO62))</f>
        <v>#N/A</v>
      </c>
      <c r="AS62" t="e" cm="1">
        <f t="array" aca="1" ref="AS62" ca="1">INDIRECT(CONCATENATE($AP$15,$AS$16,AO62))</f>
        <v>#N/A</v>
      </c>
      <c r="AT62" t="e" cm="1">
        <f t="array" aca="1" ref="AT62" ca="1">INDIRECT(CONCATENATE($AP$15,$AT$16,AO62))</f>
        <v>#N/A</v>
      </c>
      <c r="AU62" t="e" cm="1">
        <f t="array" aca="1" ref="AU62" ca="1">INDIRECT(CONCATENATE($AP$15,$AU$16,AO62))</f>
        <v>#N/A</v>
      </c>
      <c r="AV62" t="e" cm="1">
        <f t="array" aca="1" ref="AV62" ca="1">INDIRECT(CONCATENATE($AP$15,$AV$16,AO62))</f>
        <v>#N/A</v>
      </c>
      <c r="AW62" t="e" cm="1">
        <f t="array" aca="1" ref="AW62" ca="1">INDIRECT(CONCATENATE($AP$15,$AW$16,AO62))</f>
        <v>#N/A</v>
      </c>
      <c r="AX62" t="e" cm="1">
        <f t="array" aca="1" ref="AX62" ca="1">INDIRECT(CONCATENATE($AP$15,$AX$16,AO62))</f>
        <v>#N/A</v>
      </c>
      <c r="AY62" t="e" cm="1">
        <f t="array" aca="1" ref="AY62" ca="1">INDIRECT(CONCATENATE($AP$15,$AY$16,AO62))</f>
        <v>#N/A</v>
      </c>
      <c r="AZ62" t="e" cm="1">
        <f t="array" aca="1" ref="AZ62" ca="1">INDIRECT(CONCATENATE($AP$15,$AZ$16,AO62))</f>
        <v>#N/A</v>
      </c>
      <c r="BA62" t="e" cm="1">
        <f t="array" aca="1" ref="BA62" ca="1">INDIRECT(CONCATENATE($AP$15,$BA$16,AO62))</f>
        <v>#N/A</v>
      </c>
      <c r="BH62" t="e">
        <f t="shared" si="24"/>
        <v>#N/A</v>
      </c>
      <c r="BJ62" t="e">
        <f t="shared" ca="1" si="25"/>
        <v>#VALUE!</v>
      </c>
      <c r="BR62" t="e">
        <f t="shared" ca="1" si="32"/>
        <v>#N/A</v>
      </c>
      <c r="CJ62">
        <f t="shared" si="33"/>
        <v>45</v>
      </c>
      <c r="CK62" s="112" t="str">
        <f t="shared" ref="CK62:CK71" si="93">CP27</f>
        <v/>
      </c>
      <c r="CS62" s="112"/>
      <c r="CT62" s="112" t="e">
        <f>HLOOKUP(CT59,$CN$11:$DO$14,4)</f>
        <v>#N/A</v>
      </c>
      <c r="CV62" s="112">
        <f t="shared" si="69"/>
        <v>100000</v>
      </c>
      <c r="CW62" s="112">
        <f t="shared" si="90"/>
        <v>100000</v>
      </c>
      <c r="CX62" s="238" t="e">
        <f ca="1">VLOOKUP(CZ62,Foglio1tibis!$AB$31:$AN$283,13)-6</f>
        <v>#N/A</v>
      </c>
      <c r="CY62" s="112" t="str">
        <f t="shared" si="49"/>
        <v/>
      </c>
      <c r="CZ62" s="478" t="str">
        <f t="shared" si="80"/>
        <v/>
      </c>
      <c r="DA62" s="479" t="str">
        <f t="shared" si="62"/>
        <v/>
      </c>
      <c r="DB62" s="112" t="str">
        <f t="shared" si="81"/>
        <v/>
      </c>
      <c r="DC62" s="114" t="e">
        <f t="shared" si="82"/>
        <v>#VALUE!</v>
      </c>
      <c r="DD62" s="114" t="str" cm="1">
        <f t="array" aca="1" ref="DD62" ca="1">IF(CY62="","",INDIRECT(CONCATENATE($AP$15,$AU$16,CX62)))</f>
        <v/>
      </c>
      <c r="DE62" s="114"/>
      <c r="DF62" s="114"/>
      <c r="DG62" s="114" t="str" cm="1">
        <f t="array" aca="1" ref="DG62" ca="1">IF(DD62="","",INDIRECT(CONCATENATE($AP$15,$AX$16,CX62)))</f>
        <v/>
      </c>
      <c r="DH62" s="114" t="str" cm="1">
        <f t="array" aca="1" ref="DH62" ca="1">IF(DD62="","",INDIRECT(CONCATENATE($AP$15,$AY$16,CX62)))</f>
        <v/>
      </c>
      <c r="DI62" s="114"/>
      <c r="DJ62" s="114" t="str" cm="1">
        <f t="array" aca="1" ref="DJ62" ca="1">IF(DD62="","",INDIRECT(CONCATENATE($AP$15,$BA$16,CX62)))</f>
        <v/>
      </c>
      <c r="DL62" s="114">
        <f t="shared" si="83"/>
        <v>0</v>
      </c>
      <c r="DM62" s="114" t="e">
        <f t="shared" ca="1" si="84"/>
        <v>#VALUE!</v>
      </c>
      <c r="DN62">
        <f>aumentibiennali!K83</f>
        <v>0</v>
      </c>
      <c r="DO62" t="e">
        <f t="shared" ca="1" si="85"/>
        <v>#VALUE!</v>
      </c>
      <c r="DP62" t="e">
        <f t="shared" ca="1" si="86"/>
        <v>#VALUE!</v>
      </c>
      <c r="DU62" t="e">
        <f t="shared" ca="1" si="87"/>
        <v>#VALUE!</v>
      </c>
      <c r="EO62" s="320" t="str">
        <f t="shared" ca="1" si="88"/>
        <v/>
      </c>
      <c r="EP62" s="320"/>
      <c r="EQ62" s="320"/>
      <c r="ER62" s="320"/>
      <c r="ES62" s="320"/>
      <c r="ET62" s="320"/>
      <c r="EU62" s="320"/>
      <c r="EV62" s="320"/>
      <c r="EW62" s="320"/>
      <c r="EX62" s="320"/>
      <c r="EY62" s="320"/>
      <c r="EZ62" s="320"/>
      <c r="FA62" s="320"/>
      <c r="FB62" s="320"/>
      <c r="FC62" s="320"/>
      <c r="FD62" s="320"/>
      <c r="FE62" s="320"/>
      <c r="FF62" s="320"/>
      <c r="FG62" s="320"/>
      <c r="FH62" s="320"/>
      <c r="FI62" s="320"/>
      <c r="FJ62" s="320"/>
      <c r="FK62" s="320"/>
      <c r="FL62" s="320"/>
      <c r="FM62" s="320"/>
      <c r="FN62" s="320"/>
      <c r="FO62" s="320"/>
      <c r="FP62" s="320"/>
      <c r="FQ62" s="320"/>
      <c r="FR62" s="320"/>
    </row>
    <row r="63" spans="2:174" ht="15.75" thickBot="1" x14ac:dyDescent="0.3">
      <c r="AI63" s="112">
        <f t="shared" si="64"/>
        <v>0</v>
      </c>
      <c r="AJ63" s="112" t="e">
        <f t="shared" ca="1" si="45"/>
        <v>#N/A</v>
      </c>
      <c r="AM63">
        <f ca="1">VLOOKUP(AI63,Foglio1tibis!$AB$31:$AN$284,13)</f>
        <v>93</v>
      </c>
      <c r="AN63" t="e">
        <f t="shared" ca="1" si="76"/>
        <v>#N/A</v>
      </c>
      <c r="AO63" t="e">
        <f t="shared" ca="1" si="77"/>
        <v>#N/A</v>
      </c>
      <c r="AQ63" s="112">
        <f t="shared" si="78"/>
        <v>0</v>
      </c>
      <c r="AR63" s="112" t="e" cm="1">
        <f t="array" aca="1" ref="AR63" ca="1">INDIRECT(CONCATENATE($AP$15,$AR$16,AO63))</f>
        <v>#N/A</v>
      </c>
      <c r="AS63" t="e" cm="1">
        <f t="array" aca="1" ref="AS63" ca="1">INDIRECT(CONCATENATE($AP$15,$AS$16,AO63))</f>
        <v>#N/A</v>
      </c>
      <c r="AT63" t="e" cm="1">
        <f t="array" aca="1" ref="AT63" ca="1">INDIRECT(CONCATENATE($AP$15,$AT$16,AO63))</f>
        <v>#N/A</v>
      </c>
      <c r="AU63" t="e" cm="1">
        <f t="array" aca="1" ref="AU63" ca="1">INDIRECT(CONCATENATE($AP$15,$AU$16,AO63))</f>
        <v>#N/A</v>
      </c>
      <c r="AV63" t="e" cm="1">
        <f t="array" aca="1" ref="AV63" ca="1">INDIRECT(CONCATENATE($AP$15,$AV$16,AO63))</f>
        <v>#N/A</v>
      </c>
      <c r="AW63" t="e" cm="1">
        <f t="array" aca="1" ref="AW63" ca="1">INDIRECT(CONCATENATE($AP$15,$AW$16,AO63))</f>
        <v>#N/A</v>
      </c>
      <c r="AX63" t="e" cm="1">
        <f t="array" aca="1" ref="AX63" ca="1">INDIRECT(CONCATENATE($AP$15,$AX$16,AO63))</f>
        <v>#N/A</v>
      </c>
      <c r="AY63" t="e" cm="1">
        <f t="array" aca="1" ref="AY63" ca="1">INDIRECT(CONCATENATE($AP$15,$AY$16,AO63))</f>
        <v>#N/A</v>
      </c>
      <c r="AZ63" t="e" cm="1">
        <f t="array" aca="1" ref="AZ63" ca="1">INDIRECT(CONCATENATE($AP$15,$AZ$16,AO63))</f>
        <v>#N/A</v>
      </c>
      <c r="BA63" t="e" cm="1">
        <f t="array" aca="1" ref="BA63" ca="1">INDIRECT(CONCATENATE($AP$15,$BA$16,AO63))</f>
        <v>#N/A</v>
      </c>
      <c r="BH63" t="e">
        <f t="shared" si="24"/>
        <v>#N/A</v>
      </c>
      <c r="BJ63" t="e">
        <f t="shared" ca="1" si="25"/>
        <v>#VALUE!</v>
      </c>
      <c r="BR63" t="e">
        <f t="shared" ca="1" si="32"/>
        <v>#N/A</v>
      </c>
      <c r="CJ63">
        <f t="shared" si="33"/>
        <v>46</v>
      </c>
      <c r="CK63" s="112" t="str">
        <f t="shared" si="93"/>
        <v/>
      </c>
      <c r="CT63" s="112" t="str">
        <f>CP29</f>
        <v/>
      </c>
      <c r="CV63" s="112">
        <f t="shared" si="69"/>
        <v>100000</v>
      </c>
      <c r="CW63" s="112">
        <f t="shared" si="90"/>
        <v>100000</v>
      </c>
      <c r="CX63" s="238" t="e">
        <f ca="1">VLOOKUP(CZ63,Foglio1tibis!$AB$31:$AN$283,13)-6</f>
        <v>#N/A</v>
      </c>
      <c r="CY63" s="112" t="str">
        <f t="shared" si="49"/>
        <v/>
      </c>
      <c r="CZ63" s="478" t="str">
        <f t="shared" si="80"/>
        <v/>
      </c>
      <c r="DA63" s="479" t="str">
        <f t="shared" si="62"/>
        <v/>
      </c>
      <c r="DB63" s="112" t="str">
        <f t="shared" si="81"/>
        <v/>
      </c>
      <c r="DC63" s="114" t="e">
        <f t="shared" si="82"/>
        <v>#VALUE!</v>
      </c>
      <c r="DD63" s="114" t="str" cm="1">
        <f t="array" aca="1" ref="DD63" ca="1">IF(CY63="","",INDIRECT(CONCATENATE($AP$15,$AU$16,CX63)))</f>
        <v/>
      </c>
      <c r="DE63" s="114"/>
      <c r="DF63" s="114"/>
      <c r="DG63" s="114" t="str" cm="1">
        <f t="array" aca="1" ref="DG63" ca="1">IF(DD63="","",INDIRECT(CONCATENATE($AP$15,$AX$16,CX63)))</f>
        <v/>
      </c>
      <c r="DH63" s="114" t="str" cm="1">
        <f t="array" aca="1" ref="DH63" ca="1">IF(DD63="","",INDIRECT(CONCATENATE($AP$15,$AY$16,CX63)))</f>
        <v/>
      </c>
      <c r="DI63" s="114"/>
      <c r="DJ63" s="114" t="str" cm="1">
        <f t="array" aca="1" ref="DJ63" ca="1">IF(DD63="","",INDIRECT(CONCATENATE($AP$15,$BA$16,CX63)))</f>
        <v/>
      </c>
      <c r="DL63" s="114">
        <f t="shared" si="83"/>
        <v>0</v>
      </c>
      <c r="DM63" s="114" t="e">
        <f t="shared" ca="1" si="84"/>
        <v>#VALUE!</v>
      </c>
      <c r="DN63">
        <f>aumentibiennali!K84</f>
        <v>0</v>
      </c>
      <c r="DO63" t="e">
        <f t="shared" ca="1" si="85"/>
        <v>#VALUE!</v>
      </c>
      <c r="DP63" t="e">
        <f t="shared" ca="1" si="86"/>
        <v>#VALUE!</v>
      </c>
      <c r="DU63" t="e">
        <f t="shared" ca="1" si="87"/>
        <v>#VALUE!</v>
      </c>
      <c r="EO63" s="320" t="str">
        <f t="shared" ca="1" si="88"/>
        <v/>
      </c>
      <c r="EP63" s="320"/>
      <c r="EQ63" s="320"/>
      <c r="ER63" s="320"/>
      <c r="ES63" s="320"/>
      <c r="ET63" s="320"/>
      <c r="EU63" s="320"/>
      <c r="EV63" s="320"/>
      <c r="EW63" s="320"/>
      <c r="EX63" s="320"/>
      <c r="EY63" s="320"/>
      <c r="EZ63" s="320"/>
      <c r="FA63" s="320"/>
      <c r="FB63" s="320"/>
      <c r="FC63" s="320"/>
      <c r="FD63" s="320"/>
      <c r="FE63" s="320"/>
      <c r="FF63" s="320"/>
      <c r="FG63" s="320"/>
      <c r="FH63" s="320"/>
      <c r="FI63" s="320"/>
      <c r="FJ63" s="320"/>
      <c r="FK63" s="320"/>
      <c r="FL63" s="320"/>
      <c r="FM63" s="320"/>
      <c r="FN63" s="320"/>
      <c r="FO63" s="320"/>
      <c r="FP63" s="320"/>
      <c r="FQ63" s="320"/>
      <c r="FR63" s="320"/>
    </row>
    <row r="64" spans="2:174" x14ac:dyDescent="0.25">
      <c r="AI64" s="112">
        <f t="shared" si="64"/>
        <v>0</v>
      </c>
      <c r="AJ64" s="112" t="e">
        <f t="shared" ca="1" si="45"/>
        <v>#N/A</v>
      </c>
      <c r="AM64">
        <f ca="1">VLOOKUP(AI64,Foglio1tibis!$AB$31:$AN$284,13)</f>
        <v>93</v>
      </c>
      <c r="AN64" t="e">
        <f t="shared" ca="1" si="76"/>
        <v>#N/A</v>
      </c>
      <c r="AO64" t="e">
        <f t="shared" ca="1" si="77"/>
        <v>#N/A</v>
      </c>
      <c r="AQ64" s="112">
        <f t="shared" si="78"/>
        <v>0</v>
      </c>
      <c r="AR64" s="112" t="e" cm="1">
        <f t="array" aca="1" ref="AR64" ca="1">INDIRECT(CONCATENATE($AP$15,$AR$16,AO64))</f>
        <v>#N/A</v>
      </c>
      <c r="AS64" t="e" cm="1">
        <f t="array" aca="1" ref="AS64" ca="1">INDIRECT(CONCATENATE($AP$15,$AS$16,AO64))</f>
        <v>#N/A</v>
      </c>
      <c r="AT64" t="e" cm="1">
        <f t="array" aca="1" ref="AT64" ca="1">INDIRECT(CONCATENATE($AP$15,$AT$16,AO64))</f>
        <v>#N/A</v>
      </c>
      <c r="AU64" t="e" cm="1">
        <f t="array" aca="1" ref="AU64" ca="1">INDIRECT(CONCATENATE($AP$15,$AU$16,AO64))</f>
        <v>#N/A</v>
      </c>
      <c r="AV64" t="e" cm="1">
        <f t="array" aca="1" ref="AV64" ca="1">INDIRECT(CONCATENATE($AP$15,$AV$16,AO64))</f>
        <v>#N/A</v>
      </c>
      <c r="AW64" t="e" cm="1">
        <f t="array" aca="1" ref="AW64" ca="1">INDIRECT(CONCATENATE($AP$15,$AW$16,AO64))</f>
        <v>#N/A</v>
      </c>
      <c r="AX64" t="e" cm="1">
        <f t="array" aca="1" ref="AX64" ca="1">INDIRECT(CONCATENATE($AP$15,$AX$16,AO64))</f>
        <v>#N/A</v>
      </c>
      <c r="AY64" t="e" cm="1">
        <f t="array" aca="1" ref="AY64" ca="1">INDIRECT(CONCATENATE($AP$15,$AY$16,AO64))</f>
        <v>#N/A</v>
      </c>
      <c r="AZ64" t="e" cm="1">
        <f t="array" aca="1" ref="AZ64" ca="1">INDIRECT(CONCATENATE($AP$15,$AZ$16,AO64))</f>
        <v>#N/A</v>
      </c>
      <c r="BA64" t="e" cm="1">
        <f t="array" aca="1" ref="BA64" ca="1">INDIRECT(CONCATENATE($AP$15,$BA$16,AO64))</f>
        <v>#N/A</v>
      </c>
      <c r="BH64" t="e">
        <f t="shared" si="24"/>
        <v>#N/A</v>
      </c>
      <c r="BJ64" t="e">
        <f t="shared" ca="1" si="25"/>
        <v>#VALUE!</v>
      </c>
      <c r="BR64" t="e">
        <f t="shared" ca="1" si="32"/>
        <v>#N/A</v>
      </c>
      <c r="CJ64">
        <f t="shared" si="33"/>
        <v>47</v>
      </c>
      <c r="CK64" s="112" t="str">
        <f t="shared" si="93"/>
        <v/>
      </c>
      <c r="CT64" s="112" t="e">
        <f>HLOOKUP(CT63,$CN$11:$DO$14,2)</f>
        <v>#N/A</v>
      </c>
      <c r="CV64" s="112">
        <f t="shared" si="69"/>
        <v>100000</v>
      </c>
      <c r="CW64" s="112">
        <f t="shared" si="90"/>
        <v>100000</v>
      </c>
    </row>
    <row r="65" spans="35:101" x14ac:dyDescent="0.25">
      <c r="AI65" s="112">
        <f t="shared" si="64"/>
        <v>0</v>
      </c>
      <c r="AJ65" s="112" t="e">
        <f t="shared" ca="1" si="45"/>
        <v>#N/A</v>
      </c>
      <c r="AM65">
        <f ca="1">VLOOKUP(AI65,Foglio1tibis!$AB$31:$AN$284,13)</f>
        <v>93</v>
      </c>
      <c r="AN65" t="e">
        <f t="shared" ca="1" si="76"/>
        <v>#N/A</v>
      </c>
      <c r="AO65" t="e">
        <f t="shared" ca="1" si="77"/>
        <v>#N/A</v>
      </c>
      <c r="AQ65" s="112">
        <f t="shared" si="78"/>
        <v>0</v>
      </c>
      <c r="AR65" s="112" t="e" cm="1">
        <f t="array" aca="1" ref="AR65" ca="1">INDIRECT(CONCATENATE($AP$15,$AR$16,AO65))</f>
        <v>#N/A</v>
      </c>
      <c r="AS65" t="e" cm="1">
        <f t="array" aca="1" ref="AS65" ca="1">INDIRECT(CONCATENATE($AP$15,$AS$16,AO65))</f>
        <v>#N/A</v>
      </c>
      <c r="AT65" t="e" cm="1">
        <f t="array" aca="1" ref="AT65" ca="1">INDIRECT(CONCATENATE($AP$15,$AT$16,AO65))</f>
        <v>#N/A</v>
      </c>
      <c r="AU65" t="e" cm="1">
        <f t="array" aca="1" ref="AU65" ca="1">INDIRECT(CONCATENATE($AP$15,$AU$16,AO65))</f>
        <v>#N/A</v>
      </c>
      <c r="AV65" t="e" cm="1">
        <f t="array" aca="1" ref="AV65" ca="1">INDIRECT(CONCATENATE($AP$15,$AV$16,AO65))</f>
        <v>#N/A</v>
      </c>
      <c r="AW65" t="e" cm="1">
        <f t="array" aca="1" ref="AW65" ca="1">INDIRECT(CONCATENATE($AP$15,$AW$16,AO65))</f>
        <v>#N/A</v>
      </c>
      <c r="AX65" t="e" cm="1">
        <f t="array" aca="1" ref="AX65" ca="1">INDIRECT(CONCATENATE($AP$15,$AX$16,AO65))</f>
        <v>#N/A</v>
      </c>
      <c r="AY65" t="e" cm="1">
        <f t="array" aca="1" ref="AY65" ca="1">INDIRECT(CONCATENATE($AP$15,$AY$16,AO65))</f>
        <v>#N/A</v>
      </c>
      <c r="AZ65" t="e" cm="1">
        <f t="array" aca="1" ref="AZ65" ca="1">INDIRECT(CONCATENATE($AP$15,$AZ$16,AO65))</f>
        <v>#N/A</v>
      </c>
      <c r="BA65" t="e" cm="1">
        <f t="array" aca="1" ref="BA65" ca="1">INDIRECT(CONCATENATE($AP$15,$BA$16,AO65))</f>
        <v>#N/A</v>
      </c>
      <c r="BH65" t="e">
        <f t="shared" si="24"/>
        <v>#N/A</v>
      </c>
      <c r="BJ65" t="e">
        <f t="shared" ca="1" si="25"/>
        <v>#VALUE!</v>
      </c>
      <c r="BR65" t="e">
        <f t="shared" ca="1" si="32"/>
        <v>#N/A</v>
      </c>
      <c r="CJ65">
        <f t="shared" si="33"/>
        <v>48</v>
      </c>
      <c r="CK65" s="112" t="str">
        <f t="shared" si="93"/>
        <v/>
      </c>
      <c r="CT65" s="112" t="e">
        <f>HLOOKUP(CT63,$CN$11:$DO$14,3)</f>
        <v>#N/A</v>
      </c>
      <c r="CV65" s="112">
        <f t="shared" si="69"/>
        <v>100000</v>
      </c>
      <c r="CW65" s="112">
        <f t="shared" si="90"/>
        <v>100000</v>
      </c>
    </row>
    <row r="66" spans="35:101" x14ac:dyDescent="0.25">
      <c r="AI66" s="112">
        <f t="shared" si="64"/>
        <v>0</v>
      </c>
      <c r="AJ66" s="112" t="e">
        <f t="shared" ca="1" si="45"/>
        <v>#N/A</v>
      </c>
      <c r="AM66">
        <f ca="1">VLOOKUP(AI66,Foglio1tibis!$AB$31:$AN$284,13)</f>
        <v>93</v>
      </c>
      <c r="AN66" t="e">
        <f t="shared" ca="1" si="76"/>
        <v>#N/A</v>
      </c>
      <c r="AO66" t="e">
        <f t="shared" ca="1" si="77"/>
        <v>#N/A</v>
      </c>
      <c r="AQ66" s="112">
        <f t="shared" si="78"/>
        <v>0</v>
      </c>
      <c r="AR66" s="112" t="e" cm="1">
        <f t="array" aca="1" ref="AR66" ca="1">INDIRECT(CONCATENATE($AP$15,$AR$16,AO66))</f>
        <v>#N/A</v>
      </c>
      <c r="AS66" t="e" cm="1">
        <f t="array" aca="1" ref="AS66" ca="1">INDIRECT(CONCATENATE($AP$15,$AS$16,AO66))</f>
        <v>#N/A</v>
      </c>
      <c r="AT66" t="e" cm="1">
        <f t="array" aca="1" ref="AT66" ca="1">INDIRECT(CONCATENATE($AP$15,$AT$16,AO66))</f>
        <v>#N/A</v>
      </c>
      <c r="AU66" t="e" cm="1">
        <f t="array" aca="1" ref="AU66" ca="1">INDIRECT(CONCATENATE($AP$15,$AU$16,AO66))</f>
        <v>#N/A</v>
      </c>
      <c r="AV66" t="e" cm="1">
        <f t="array" aca="1" ref="AV66" ca="1">INDIRECT(CONCATENATE($AP$15,$AV$16,AO66))</f>
        <v>#N/A</v>
      </c>
      <c r="AW66" t="e" cm="1">
        <f t="array" aca="1" ref="AW66" ca="1">INDIRECT(CONCATENATE($AP$15,$AW$16,AO66))</f>
        <v>#N/A</v>
      </c>
      <c r="AX66" t="e" cm="1">
        <f t="array" aca="1" ref="AX66" ca="1">INDIRECT(CONCATENATE($AP$15,$AX$16,AO66))</f>
        <v>#N/A</v>
      </c>
      <c r="AY66" t="e" cm="1">
        <f t="array" aca="1" ref="AY66" ca="1">INDIRECT(CONCATENATE($AP$15,$AY$16,AO66))</f>
        <v>#N/A</v>
      </c>
      <c r="AZ66" t="e" cm="1">
        <f t="array" aca="1" ref="AZ66" ca="1">INDIRECT(CONCATENATE($AP$15,$AZ$16,AO66))</f>
        <v>#N/A</v>
      </c>
      <c r="BA66" t="e" cm="1">
        <f t="array" aca="1" ref="BA66" ca="1">INDIRECT(CONCATENATE($AP$15,$BA$16,AO66))</f>
        <v>#N/A</v>
      </c>
      <c r="BH66" t="e">
        <f t="shared" si="24"/>
        <v>#N/A</v>
      </c>
      <c r="BJ66" t="e">
        <f t="shared" ca="1" si="25"/>
        <v>#VALUE!</v>
      </c>
      <c r="BR66" t="e">
        <f t="shared" ca="1" si="32"/>
        <v>#N/A</v>
      </c>
      <c r="CJ66">
        <f t="shared" si="33"/>
        <v>49</v>
      </c>
      <c r="CK66" s="112" t="str">
        <f t="shared" si="93"/>
        <v/>
      </c>
      <c r="CT66" s="112" t="e">
        <f>HLOOKUP(CT63,$CN$11:$DO$14,4)</f>
        <v>#N/A</v>
      </c>
      <c r="CV66" s="112">
        <f t="shared" si="69"/>
        <v>100000</v>
      </c>
      <c r="CW66" s="112">
        <f t="shared" si="90"/>
        <v>100000</v>
      </c>
    </row>
    <row r="67" spans="35:101" x14ac:dyDescent="0.25">
      <c r="AI67" s="112">
        <f t="shared" si="64"/>
        <v>0</v>
      </c>
      <c r="AJ67" s="112" t="e">
        <f t="shared" ca="1" si="45"/>
        <v>#N/A</v>
      </c>
      <c r="AM67">
        <f ca="1">VLOOKUP(AI67,Foglio1tibis!$AB$31:$AN$284,13)</f>
        <v>93</v>
      </c>
      <c r="AN67" t="e">
        <f t="shared" ca="1" si="76"/>
        <v>#N/A</v>
      </c>
      <c r="AO67" t="e">
        <f t="shared" ca="1" si="77"/>
        <v>#N/A</v>
      </c>
      <c r="AQ67" s="112">
        <f t="shared" si="78"/>
        <v>0</v>
      </c>
      <c r="AR67" s="112" t="e" cm="1">
        <f t="array" aca="1" ref="AR67" ca="1">INDIRECT(CONCATENATE($AP$15,$AR$16,AO67))</f>
        <v>#N/A</v>
      </c>
      <c r="AS67" t="e" cm="1">
        <f t="array" aca="1" ref="AS67" ca="1">INDIRECT(CONCATENATE($AP$15,$AS$16,AO67))</f>
        <v>#N/A</v>
      </c>
      <c r="AT67" t="e" cm="1">
        <f t="array" aca="1" ref="AT67" ca="1">INDIRECT(CONCATENATE($AP$15,$AT$16,AO67))</f>
        <v>#N/A</v>
      </c>
      <c r="AU67" t="e" cm="1">
        <f t="array" aca="1" ref="AU67" ca="1">INDIRECT(CONCATENATE($AP$15,$AU$16,AO67))</f>
        <v>#N/A</v>
      </c>
      <c r="AV67" t="e" cm="1">
        <f t="array" aca="1" ref="AV67" ca="1">INDIRECT(CONCATENATE($AP$15,$AV$16,AO67))</f>
        <v>#N/A</v>
      </c>
      <c r="AW67" t="e" cm="1">
        <f t="array" aca="1" ref="AW67" ca="1">INDIRECT(CONCATENATE($AP$15,$AW$16,AO67))</f>
        <v>#N/A</v>
      </c>
      <c r="AX67" t="e" cm="1">
        <f t="array" aca="1" ref="AX67" ca="1">INDIRECT(CONCATENATE($AP$15,$AX$16,AO67))</f>
        <v>#N/A</v>
      </c>
      <c r="AY67" t="e" cm="1">
        <f t="array" aca="1" ref="AY67" ca="1">INDIRECT(CONCATENATE($AP$15,$AY$16,AO67))</f>
        <v>#N/A</v>
      </c>
      <c r="AZ67" t="e" cm="1">
        <f t="array" aca="1" ref="AZ67" ca="1">INDIRECT(CONCATENATE($AP$15,$AZ$16,AO67))</f>
        <v>#N/A</v>
      </c>
      <c r="BA67" t="e" cm="1">
        <f t="array" aca="1" ref="BA67" ca="1">INDIRECT(CONCATENATE($AP$15,$BA$16,AO67))</f>
        <v>#N/A</v>
      </c>
      <c r="BH67" t="e">
        <f t="shared" si="24"/>
        <v>#N/A</v>
      </c>
      <c r="BJ67" t="e">
        <f t="shared" ca="1" si="25"/>
        <v>#VALUE!</v>
      </c>
      <c r="BR67" t="e">
        <f t="shared" ca="1" si="32"/>
        <v>#N/A</v>
      </c>
      <c r="CJ67">
        <f t="shared" si="33"/>
        <v>50</v>
      </c>
      <c r="CK67" s="112" t="str">
        <f t="shared" si="93"/>
        <v/>
      </c>
      <c r="CT67" s="112" t="str">
        <f>CP30</f>
        <v/>
      </c>
      <c r="CV67" s="112">
        <f t="shared" si="69"/>
        <v>100000</v>
      </c>
      <c r="CW67" s="112">
        <f t="shared" si="90"/>
        <v>100000</v>
      </c>
    </row>
    <row r="68" spans="35:101" x14ac:dyDescent="0.25">
      <c r="AI68" s="112">
        <f t="shared" si="64"/>
        <v>0</v>
      </c>
      <c r="AJ68" s="112" t="e">
        <f t="shared" ca="1" si="45"/>
        <v>#N/A</v>
      </c>
      <c r="AM68">
        <f ca="1">VLOOKUP(AI68,Foglio1tibis!$AB$31:$AN$284,13)</f>
        <v>93</v>
      </c>
      <c r="AN68" t="e">
        <f t="shared" ca="1" si="76"/>
        <v>#N/A</v>
      </c>
      <c r="AO68" t="e">
        <f t="shared" ca="1" si="77"/>
        <v>#N/A</v>
      </c>
      <c r="AQ68" s="112">
        <f t="shared" si="78"/>
        <v>0</v>
      </c>
      <c r="AR68" s="112" t="e" cm="1">
        <f t="array" aca="1" ref="AR68" ca="1">INDIRECT(CONCATENATE($AP$15,$AR$16,AO68))</f>
        <v>#N/A</v>
      </c>
      <c r="AS68" t="e" cm="1">
        <f t="array" aca="1" ref="AS68" ca="1">INDIRECT(CONCATENATE($AP$15,$AS$16,AO68))</f>
        <v>#N/A</v>
      </c>
      <c r="AT68" t="e" cm="1">
        <f t="array" aca="1" ref="AT68" ca="1">INDIRECT(CONCATENATE($AP$15,$AT$16,AO68))</f>
        <v>#N/A</v>
      </c>
      <c r="AU68" t="e" cm="1">
        <f t="array" aca="1" ref="AU68" ca="1">INDIRECT(CONCATENATE($AP$15,$AU$16,AO68))</f>
        <v>#N/A</v>
      </c>
      <c r="AV68" t="e" cm="1">
        <f t="array" aca="1" ref="AV68" ca="1">INDIRECT(CONCATENATE($AP$15,$AV$16,AO68))</f>
        <v>#N/A</v>
      </c>
      <c r="AW68" t="e" cm="1">
        <f t="array" aca="1" ref="AW68" ca="1">INDIRECT(CONCATENATE($AP$15,$AW$16,AO68))</f>
        <v>#N/A</v>
      </c>
      <c r="AX68" t="e" cm="1">
        <f t="array" aca="1" ref="AX68" ca="1">INDIRECT(CONCATENATE($AP$15,$AX$16,AO68))</f>
        <v>#N/A</v>
      </c>
      <c r="AY68" t="e" cm="1">
        <f t="array" aca="1" ref="AY68" ca="1">INDIRECT(CONCATENATE($AP$15,$AY$16,AO68))</f>
        <v>#N/A</v>
      </c>
      <c r="AZ68" t="e" cm="1">
        <f t="array" aca="1" ref="AZ68" ca="1">INDIRECT(CONCATENATE($AP$15,$AZ$16,AO68))</f>
        <v>#N/A</v>
      </c>
      <c r="BA68" t="e" cm="1">
        <f t="array" aca="1" ref="BA68" ca="1">INDIRECT(CONCATENATE($AP$15,$BA$16,AO68))</f>
        <v>#N/A</v>
      </c>
      <c r="BH68" t="e">
        <f t="shared" si="24"/>
        <v>#N/A</v>
      </c>
      <c r="BJ68" t="e">
        <f t="shared" ca="1" si="25"/>
        <v>#VALUE!</v>
      </c>
      <c r="BR68" t="e">
        <f t="shared" ca="1" si="32"/>
        <v>#N/A</v>
      </c>
      <c r="CJ68">
        <f t="shared" si="33"/>
        <v>51</v>
      </c>
      <c r="CK68" s="112" t="str">
        <f t="shared" si="93"/>
        <v/>
      </c>
      <c r="CT68" s="112" t="e">
        <f>HLOOKUP(CT67,$CN$11:$DO$14,2)</f>
        <v>#N/A</v>
      </c>
      <c r="CV68" s="112">
        <f t="shared" si="69"/>
        <v>100000</v>
      </c>
      <c r="CW68" s="112">
        <f t="shared" si="90"/>
        <v>100000</v>
      </c>
    </row>
    <row r="69" spans="35:101" x14ac:dyDescent="0.25">
      <c r="AI69" s="112">
        <f t="shared" si="64"/>
        <v>0</v>
      </c>
      <c r="AJ69" s="112" t="e">
        <f t="shared" ca="1" si="45"/>
        <v>#N/A</v>
      </c>
      <c r="AM69">
        <f ca="1">VLOOKUP(AI69,Foglio1tibis!$AB$31:$AN$284,13)</f>
        <v>93</v>
      </c>
      <c r="AN69" t="e">
        <f t="shared" ca="1" si="76"/>
        <v>#N/A</v>
      </c>
      <c r="AO69" t="e">
        <f t="shared" ca="1" si="77"/>
        <v>#N/A</v>
      </c>
      <c r="AQ69" s="112">
        <f t="shared" si="78"/>
        <v>0</v>
      </c>
      <c r="AR69" s="112" t="e" cm="1">
        <f t="array" aca="1" ref="AR69" ca="1">INDIRECT(CONCATENATE($AP$15,$AR$16,AO69))</f>
        <v>#N/A</v>
      </c>
      <c r="AS69" t="e" cm="1">
        <f t="array" aca="1" ref="AS69" ca="1">INDIRECT(CONCATENATE($AP$15,$AS$16,AO69))</f>
        <v>#N/A</v>
      </c>
      <c r="AT69" t="e" cm="1">
        <f t="array" aca="1" ref="AT69" ca="1">INDIRECT(CONCATENATE($AP$15,$AT$16,AO69))</f>
        <v>#N/A</v>
      </c>
      <c r="AU69" t="e" cm="1">
        <f t="array" aca="1" ref="AU69" ca="1">INDIRECT(CONCATENATE($AP$15,$AU$16,AO69))</f>
        <v>#N/A</v>
      </c>
      <c r="AV69" t="e" cm="1">
        <f t="array" aca="1" ref="AV69" ca="1">INDIRECT(CONCATENATE($AP$15,$AV$16,AO69))</f>
        <v>#N/A</v>
      </c>
      <c r="AW69" t="e" cm="1">
        <f t="array" aca="1" ref="AW69" ca="1">INDIRECT(CONCATENATE($AP$15,$AW$16,AO69))</f>
        <v>#N/A</v>
      </c>
      <c r="AX69" t="e" cm="1">
        <f t="array" aca="1" ref="AX69" ca="1">INDIRECT(CONCATENATE($AP$15,$AX$16,AO69))</f>
        <v>#N/A</v>
      </c>
      <c r="AY69" t="e" cm="1">
        <f t="array" aca="1" ref="AY69" ca="1">INDIRECT(CONCATENATE($AP$15,$AY$16,AO69))</f>
        <v>#N/A</v>
      </c>
      <c r="AZ69" t="e" cm="1">
        <f t="array" aca="1" ref="AZ69" ca="1">INDIRECT(CONCATENATE($AP$15,$AZ$16,AO69))</f>
        <v>#N/A</v>
      </c>
      <c r="BA69" t="e" cm="1">
        <f t="array" aca="1" ref="BA69" ca="1">INDIRECT(CONCATENATE($AP$15,$BA$16,AO69))</f>
        <v>#N/A</v>
      </c>
      <c r="BH69" t="e">
        <f t="shared" si="24"/>
        <v>#N/A</v>
      </c>
      <c r="BJ69" t="e">
        <f t="shared" ca="1" si="25"/>
        <v>#VALUE!</v>
      </c>
      <c r="BR69" t="e">
        <f t="shared" ca="1" si="32"/>
        <v>#N/A</v>
      </c>
      <c r="CJ69">
        <f t="shared" si="33"/>
        <v>52</v>
      </c>
      <c r="CK69" s="112" t="str">
        <f t="shared" si="93"/>
        <v/>
      </c>
      <c r="CT69" s="112" t="e">
        <f>HLOOKUP(CT67,$CN$11:$DO$14,3)</f>
        <v>#N/A</v>
      </c>
      <c r="CV69" s="112">
        <f t="shared" si="69"/>
        <v>100000</v>
      </c>
      <c r="CW69" s="112">
        <f t="shared" si="90"/>
        <v>100000</v>
      </c>
    </row>
    <row r="70" spans="35:101" x14ac:dyDescent="0.25">
      <c r="AI70" s="112">
        <f t="shared" si="64"/>
        <v>0</v>
      </c>
      <c r="AJ70" s="112" t="e">
        <f t="shared" ca="1" si="45"/>
        <v>#N/A</v>
      </c>
      <c r="AM70">
        <f ca="1">VLOOKUP(AI70,Foglio1tibis!$AB$31:$AN$284,13)</f>
        <v>93</v>
      </c>
      <c r="AN70" t="e">
        <f t="shared" ca="1" si="76"/>
        <v>#N/A</v>
      </c>
      <c r="AO70" t="e">
        <f t="shared" ca="1" si="77"/>
        <v>#N/A</v>
      </c>
      <c r="AQ70" s="112">
        <f t="shared" si="78"/>
        <v>0</v>
      </c>
      <c r="AR70" s="112" t="e" cm="1">
        <f t="array" aca="1" ref="AR70" ca="1">INDIRECT(CONCATENATE($AP$15,$AR$16,AO70))</f>
        <v>#N/A</v>
      </c>
      <c r="AS70" t="e" cm="1">
        <f t="array" aca="1" ref="AS70" ca="1">INDIRECT(CONCATENATE($AP$15,$AS$16,AO70))</f>
        <v>#N/A</v>
      </c>
      <c r="AT70" t="e" cm="1">
        <f t="array" aca="1" ref="AT70" ca="1">INDIRECT(CONCATENATE($AP$15,$AT$16,AO70))</f>
        <v>#N/A</v>
      </c>
      <c r="AU70" t="e" cm="1">
        <f t="array" aca="1" ref="AU70" ca="1">INDIRECT(CONCATENATE($AP$15,$AU$16,AO70))</f>
        <v>#N/A</v>
      </c>
      <c r="AV70" t="e" cm="1">
        <f t="array" aca="1" ref="AV70" ca="1">INDIRECT(CONCATENATE($AP$15,$AV$16,AO70))</f>
        <v>#N/A</v>
      </c>
      <c r="AW70" t="e" cm="1">
        <f t="array" aca="1" ref="AW70" ca="1">INDIRECT(CONCATENATE($AP$15,$AW$16,AO70))</f>
        <v>#N/A</v>
      </c>
      <c r="AX70" t="e" cm="1">
        <f t="array" aca="1" ref="AX70" ca="1">INDIRECT(CONCATENATE($AP$15,$AX$16,AO70))</f>
        <v>#N/A</v>
      </c>
      <c r="AY70" t="e" cm="1">
        <f t="array" aca="1" ref="AY70" ca="1">INDIRECT(CONCATENATE($AP$15,$AY$16,AO70))</f>
        <v>#N/A</v>
      </c>
      <c r="AZ70" t="e" cm="1">
        <f t="array" aca="1" ref="AZ70" ca="1">INDIRECT(CONCATENATE($AP$15,$AZ$16,AO70))</f>
        <v>#N/A</v>
      </c>
      <c r="BA70" t="e" cm="1">
        <f t="array" aca="1" ref="BA70" ca="1">INDIRECT(CONCATENATE($AP$15,$BA$16,AO70))</f>
        <v>#N/A</v>
      </c>
      <c r="BH70" t="e">
        <f t="shared" si="24"/>
        <v>#N/A</v>
      </c>
      <c r="BJ70" t="e">
        <f t="shared" ca="1" si="25"/>
        <v>#VALUE!</v>
      </c>
      <c r="CJ70">
        <f t="shared" si="33"/>
        <v>53</v>
      </c>
      <c r="CK70" s="112" t="str">
        <f t="shared" si="93"/>
        <v/>
      </c>
      <c r="CT70" s="112" t="e">
        <f>HLOOKUP(CT67,$CN$11:$DO$14,4)</f>
        <v>#N/A</v>
      </c>
      <c r="CV70" s="112">
        <f t="shared" si="69"/>
        <v>100000</v>
      </c>
      <c r="CW70" s="112">
        <f t="shared" si="90"/>
        <v>100000</v>
      </c>
    </row>
    <row r="71" spans="35:101" x14ac:dyDescent="0.25">
      <c r="AI71" s="112">
        <f t="shared" si="64"/>
        <v>0</v>
      </c>
      <c r="AJ71" s="112" t="e">
        <f t="shared" ca="1" si="45"/>
        <v>#N/A</v>
      </c>
      <c r="AM71">
        <f ca="1">VLOOKUP(AI71,Foglio1tibis!$AB$31:$AN$284,13)</f>
        <v>93</v>
      </c>
      <c r="AN71" t="e">
        <f t="shared" ca="1" si="76"/>
        <v>#N/A</v>
      </c>
      <c r="AO71" t="e">
        <f t="shared" ca="1" si="77"/>
        <v>#N/A</v>
      </c>
      <c r="AQ71" s="112">
        <f t="shared" si="78"/>
        <v>0</v>
      </c>
      <c r="AR71" s="112" t="e" cm="1">
        <f t="array" aca="1" ref="AR71" ca="1">INDIRECT(CONCATENATE($AP$15,$AR$16,AO71))</f>
        <v>#N/A</v>
      </c>
      <c r="AS71" t="e" cm="1">
        <f t="array" aca="1" ref="AS71" ca="1">INDIRECT(CONCATENATE($AP$15,$AS$16,AO71))</f>
        <v>#N/A</v>
      </c>
      <c r="AT71" t="e" cm="1">
        <f t="array" aca="1" ref="AT71" ca="1">INDIRECT(CONCATENATE($AP$15,$AT$16,AO71))</f>
        <v>#N/A</v>
      </c>
      <c r="AU71" t="e" cm="1">
        <f t="array" aca="1" ref="AU71" ca="1">INDIRECT(CONCATENATE($AP$15,$AU$16,AO71))</f>
        <v>#N/A</v>
      </c>
      <c r="AV71" t="e" cm="1">
        <f t="array" aca="1" ref="AV71" ca="1">INDIRECT(CONCATENATE($AP$15,$AV$16,AO71))</f>
        <v>#N/A</v>
      </c>
      <c r="AW71" t="e" cm="1">
        <f t="array" aca="1" ref="AW71" ca="1">INDIRECT(CONCATENATE($AP$15,$AW$16,AO71))</f>
        <v>#N/A</v>
      </c>
      <c r="AX71" t="e" cm="1">
        <f t="array" aca="1" ref="AX71" ca="1">INDIRECT(CONCATENATE($AP$15,$AX$16,AO71))</f>
        <v>#N/A</v>
      </c>
      <c r="AY71" t="e" cm="1">
        <f t="array" aca="1" ref="AY71" ca="1">INDIRECT(CONCATENATE($AP$15,$AY$16,AO71))</f>
        <v>#N/A</v>
      </c>
      <c r="AZ71" t="e" cm="1">
        <f t="array" aca="1" ref="AZ71" ca="1">INDIRECT(CONCATENATE($AP$15,$AZ$16,AO71))</f>
        <v>#N/A</v>
      </c>
      <c r="BA71" t="e" cm="1">
        <f t="array" aca="1" ref="BA71" ca="1">INDIRECT(CONCATENATE($AP$15,$BA$16,AO71))</f>
        <v>#N/A</v>
      </c>
      <c r="BH71" t="e">
        <f t="shared" si="24"/>
        <v>#N/A</v>
      </c>
      <c r="BJ71" t="e">
        <f t="shared" ca="1" si="25"/>
        <v>#VALUE!</v>
      </c>
      <c r="CJ71">
        <f t="shared" si="33"/>
        <v>54</v>
      </c>
      <c r="CK71" s="112" t="str">
        <f t="shared" si="93"/>
        <v/>
      </c>
      <c r="CT71" s="112" t="str">
        <f>CP31</f>
        <v/>
      </c>
      <c r="CV71" s="112">
        <f t="shared" si="69"/>
        <v>100000</v>
      </c>
      <c r="CW71" s="112">
        <f t="shared" si="90"/>
        <v>100000</v>
      </c>
    </row>
    <row r="72" spans="35:101" x14ac:dyDescent="0.25">
      <c r="AI72" s="112">
        <f t="shared" si="64"/>
        <v>0</v>
      </c>
      <c r="AJ72" s="112" t="e">
        <f t="shared" ca="1" si="45"/>
        <v>#N/A</v>
      </c>
      <c r="AM72">
        <f ca="1">VLOOKUP(AI72,Foglio1tibis!$AB$31:$AN$284,13)</f>
        <v>93</v>
      </c>
      <c r="AN72" t="e">
        <f t="shared" ca="1" si="76"/>
        <v>#N/A</v>
      </c>
      <c r="AO72" t="e">
        <f t="shared" ca="1" si="77"/>
        <v>#N/A</v>
      </c>
      <c r="AQ72" s="112">
        <f t="shared" si="78"/>
        <v>0</v>
      </c>
      <c r="AR72" s="112" t="e" cm="1">
        <f t="array" aca="1" ref="AR72" ca="1">INDIRECT(CONCATENATE($AP$15,$AR$16,AO72))</f>
        <v>#N/A</v>
      </c>
      <c r="AS72" t="e" cm="1">
        <f t="array" aca="1" ref="AS72" ca="1">INDIRECT(CONCATENATE($AP$15,$AS$16,AO72))</f>
        <v>#N/A</v>
      </c>
      <c r="AT72" t="e" cm="1">
        <f t="array" aca="1" ref="AT72" ca="1">INDIRECT(CONCATENATE($AP$15,$AT$16,AO72))</f>
        <v>#N/A</v>
      </c>
      <c r="AU72" t="e" cm="1">
        <f t="array" aca="1" ref="AU72" ca="1">INDIRECT(CONCATENATE($AP$15,$AU$16,AO72))</f>
        <v>#N/A</v>
      </c>
      <c r="AV72" t="e" cm="1">
        <f t="array" aca="1" ref="AV72" ca="1">INDIRECT(CONCATENATE($AP$15,$AV$16,AO72))</f>
        <v>#N/A</v>
      </c>
      <c r="AW72" t="e" cm="1">
        <f t="array" aca="1" ref="AW72" ca="1">INDIRECT(CONCATENATE($AP$15,$AW$16,AO72))</f>
        <v>#N/A</v>
      </c>
      <c r="AX72" t="e" cm="1">
        <f t="array" aca="1" ref="AX72" ca="1">INDIRECT(CONCATENATE($AP$15,$AX$16,AO72))</f>
        <v>#N/A</v>
      </c>
      <c r="AY72" t="e" cm="1">
        <f t="array" aca="1" ref="AY72" ca="1">INDIRECT(CONCATENATE($AP$15,$AY$16,AO72))</f>
        <v>#N/A</v>
      </c>
      <c r="AZ72" t="e" cm="1">
        <f t="array" aca="1" ref="AZ72" ca="1">INDIRECT(CONCATENATE($AP$15,$AZ$16,AO72))</f>
        <v>#N/A</v>
      </c>
      <c r="BA72" t="e" cm="1">
        <f t="array" aca="1" ref="BA72" ca="1">INDIRECT(CONCATENATE($AP$15,$BA$16,AO72))</f>
        <v>#N/A</v>
      </c>
      <c r="BH72" t="e">
        <f t="shared" si="24"/>
        <v>#N/A</v>
      </c>
      <c r="BJ72" t="e">
        <f t="shared" ca="1" si="25"/>
        <v>#VALUE!</v>
      </c>
      <c r="CJ72">
        <f t="shared" si="33"/>
        <v>55</v>
      </c>
      <c r="CK72" s="112" t="str">
        <f t="shared" ref="CK72:CK102" si="94">CP37</f>
        <v/>
      </c>
      <c r="CT72" s="112" t="e">
        <f>HLOOKUP(CT71,$CN$11:$DO$14,2)</f>
        <v>#N/A</v>
      </c>
      <c r="CV72" s="112">
        <f t="shared" si="69"/>
        <v>100000</v>
      </c>
      <c r="CW72" s="112">
        <f t="shared" si="90"/>
        <v>100000</v>
      </c>
    </row>
    <row r="73" spans="35:101" x14ac:dyDescent="0.25">
      <c r="AI73" s="112">
        <f t="shared" si="64"/>
        <v>0</v>
      </c>
      <c r="AJ73" s="112" t="e">
        <f t="shared" ca="1" si="45"/>
        <v>#N/A</v>
      </c>
      <c r="BJ73" t="e">
        <f t="shared" ca="1" si="25"/>
        <v>#VALUE!</v>
      </c>
      <c r="CJ73">
        <f t="shared" si="33"/>
        <v>56</v>
      </c>
      <c r="CK73" s="112" t="str">
        <f t="shared" si="94"/>
        <v/>
      </c>
      <c r="CT73" s="112" t="e">
        <f>HLOOKUP(CT71,$CN$11:$DO$14,3)</f>
        <v>#N/A</v>
      </c>
      <c r="CV73" s="112">
        <f t="shared" si="69"/>
        <v>100000</v>
      </c>
      <c r="CW73" s="112">
        <f t="shared" si="90"/>
        <v>100000</v>
      </c>
    </row>
    <row r="74" spans="35:101" x14ac:dyDescent="0.25">
      <c r="AI74" s="112">
        <f t="shared" si="64"/>
        <v>0</v>
      </c>
      <c r="AJ74" s="112" t="e">
        <f t="shared" ca="1" si="45"/>
        <v>#N/A</v>
      </c>
      <c r="BJ74" t="e">
        <f t="shared" ca="1" si="25"/>
        <v>#VALUE!</v>
      </c>
      <c r="CJ74">
        <f t="shared" si="33"/>
        <v>57</v>
      </c>
      <c r="CK74" s="112">
        <f t="shared" si="94"/>
        <v>0</v>
      </c>
      <c r="CT74" s="112" t="e">
        <f>HLOOKUP(CT71,$CN$11:$DO$14,4)</f>
        <v>#N/A</v>
      </c>
      <c r="CV74" s="112">
        <f t="shared" si="69"/>
        <v>100000</v>
      </c>
      <c r="CW74" s="112">
        <f t="shared" si="90"/>
        <v>100000</v>
      </c>
    </row>
    <row r="75" spans="35:101" x14ac:dyDescent="0.25">
      <c r="AI75" s="112">
        <f t="shared" si="64"/>
        <v>0</v>
      </c>
      <c r="AJ75" s="112" t="e">
        <f t="shared" ca="1" si="45"/>
        <v>#N/A</v>
      </c>
      <c r="BJ75" t="e">
        <f t="shared" ca="1" si="25"/>
        <v>#VALUE!</v>
      </c>
      <c r="CJ75">
        <f t="shared" si="33"/>
        <v>58</v>
      </c>
      <c r="CK75" s="112">
        <f t="shared" si="94"/>
        <v>0</v>
      </c>
      <c r="CT75" s="112" t="str">
        <f>CP32</f>
        <v/>
      </c>
      <c r="CV75" s="112">
        <f t="shared" ref="CV75:CV90" si="95">IF(TYPE(CT75)=16,100000,IF(OR(CT75=0,CT75="",TYPE(CT75)=16),100000,CT75))</f>
        <v>100000</v>
      </c>
      <c r="CW75" s="112">
        <f t="shared" si="90"/>
        <v>100000</v>
      </c>
    </row>
    <row r="76" spans="35:101" x14ac:dyDescent="0.25">
      <c r="AI76" s="112">
        <f t="shared" si="64"/>
        <v>0</v>
      </c>
      <c r="AJ76" s="112" t="e">
        <f t="shared" ca="1" si="45"/>
        <v>#N/A</v>
      </c>
      <c r="BJ76" t="e">
        <f t="shared" ca="1" si="25"/>
        <v>#VALUE!</v>
      </c>
      <c r="CJ76">
        <f t="shared" si="33"/>
        <v>59</v>
      </c>
      <c r="CK76" s="112">
        <f t="shared" si="94"/>
        <v>0</v>
      </c>
      <c r="CT76" s="112" t="e">
        <f>HLOOKUP(CT75,$CN$11:$DO$14,2)</f>
        <v>#N/A</v>
      </c>
      <c r="CV76" s="112">
        <f t="shared" si="95"/>
        <v>100000</v>
      </c>
      <c r="CW76" s="112">
        <f t="shared" si="90"/>
        <v>100000</v>
      </c>
    </row>
    <row r="77" spans="35:101" x14ac:dyDescent="0.25">
      <c r="CJ77">
        <f t="shared" si="33"/>
        <v>60</v>
      </c>
      <c r="CK77" s="112">
        <f t="shared" si="94"/>
        <v>0</v>
      </c>
      <c r="CT77" s="112" t="e">
        <f>HLOOKUP(CT75,$CN$11:$DO$14,3)</f>
        <v>#N/A</v>
      </c>
      <c r="CV77" s="112">
        <f t="shared" si="95"/>
        <v>100000</v>
      </c>
      <c r="CW77" s="112">
        <f t="shared" si="90"/>
        <v>100000</v>
      </c>
    </row>
    <row r="78" spans="35:101" x14ac:dyDescent="0.25">
      <c r="CJ78">
        <f t="shared" si="33"/>
        <v>61</v>
      </c>
      <c r="CK78" s="112">
        <f t="shared" si="94"/>
        <v>0</v>
      </c>
      <c r="CT78" s="112" t="e">
        <f>HLOOKUP(CT75,$CN$11:$DO$14,4)</f>
        <v>#N/A</v>
      </c>
      <c r="CV78" s="112">
        <f t="shared" si="95"/>
        <v>100000</v>
      </c>
      <c r="CW78" s="112">
        <f t="shared" si="90"/>
        <v>100000</v>
      </c>
    </row>
    <row r="79" spans="35:101" x14ac:dyDescent="0.25">
      <c r="CJ79">
        <f t="shared" si="33"/>
        <v>62</v>
      </c>
      <c r="CK79" s="112">
        <f t="shared" si="94"/>
        <v>0</v>
      </c>
      <c r="CT79" s="112" t="str">
        <f>CP33</f>
        <v/>
      </c>
      <c r="CV79" s="112">
        <f t="shared" si="95"/>
        <v>100000</v>
      </c>
      <c r="CW79" s="112">
        <f t="shared" si="90"/>
        <v>100000</v>
      </c>
    </row>
    <row r="80" spans="35:101" x14ac:dyDescent="0.25">
      <c r="CJ80">
        <f t="shared" si="33"/>
        <v>63</v>
      </c>
      <c r="CK80" s="112">
        <f t="shared" si="94"/>
        <v>0</v>
      </c>
      <c r="CT80" s="112" t="e">
        <f>HLOOKUP(CT79,$CN$11:$DO$14,2)</f>
        <v>#N/A</v>
      </c>
      <c r="CV80" s="112">
        <f t="shared" si="95"/>
        <v>100000</v>
      </c>
      <c r="CW80" s="112">
        <f t="shared" si="90"/>
        <v>100000</v>
      </c>
    </row>
    <row r="81" spans="88:101" x14ac:dyDescent="0.25">
      <c r="CJ81">
        <f t="shared" si="33"/>
        <v>64</v>
      </c>
      <c r="CK81" s="112">
        <f t="shared" si="94"/>
        <v>0</v>
      </c>
      <c r="CT81" s="112" t="e">
        <f>HLOOKUP(CT79,$CN$11:$DO$14,3)</f>
        <v>#N/A</v>
      </c>
      <c r="CV81" s="112">
        <f t="shared" si="95"/>
        <v>100000</v>
      </c>
      <c r="CW81" s="112">
        <f t="shared" si="90"/>
        <v>100000</v>
      </c>
    </row>
    <row r="82" spans="88:101" x14ac:dyDescent="0.25">
      <c r="CJ82">
        <f t="shared" si="33"/>
        <v>65</v>
      </c>
      <c r="CK82" s="112">
        <f t="shared" si="94"/>
        <v>0</v>
      </c>
      <c r="CT82" s="112" t="e">
        <f>HLOOKUP(CT79,$CN$11:$DO$14,4)</f>
        <v>#N/A</v>
      </c>
      <c r="CV82" s="112">
        <f t="shared" si="95"/>
        <v>100000</v>
      </c>
      <c r="CW82" s="112">
        <f t="shared" si="90"/>
        <v>100000</v>
      </c>
    </row>
    <row r="83" spans="88:101" x14ac:dyDescent="0.25">
      <c r="CJ83">
        <f t="shared" ref="CJ83:CJ102" si="96">CJ82+1</f>
        <v>66</v>
      </c>
      <c r="CK83" s="112">
        <f t="shared" si="94"/>
        <v>0</v>
      </c>
      <c r="CT83" s="112" t="str">
        <f>CP34</f>
        <v/>
      </c>
      <c r="CV83" s="112">
        <f t="shared" si="95"/>
        <v>100000</v>
      </c>
      <c r="CW83" s="112">
        <f t="shared" si="90"/>
        <v>100000</v>
      </c>
    </row>
    <row r="84" spans="88:101" x14ac:dyDescent="0.25">
      <c r="CJ84">
        <f t="shared" si="96"/>
        <v>67</v>
      </c>
      <c r="CK84" s="112">
        <f t="shared" si="94"/>
        <v>0</v>
      </c>
      <c r="CT84" s="112" t="e">
        <f>HLOOKUP(CT83,$CN$11:$DO$14,2)</f>
        <v>#N/A</v>
      </c>
      <c r="CV84" s="112">
        <f t="shared" si="95"/>
        <v>100000</v>
      </c>
      <c r="CW84" s="112">
        <f t="shared" si="90"/>
        <v>100000</v>
      </c>
    </row>
    <row r="85" spans="88:101" x14ac:dyDescent="0.25">
      <c r="CJ85">
        <f t="shared" si="96"/>
        <v>68</v>
      </c>
      <c r="CK85" s="112">
        <f t="shared" si="94"/>
        <v>0</v>
      </c>
      <c r="CT85" s="112" t="e">
        <f>HLOOKUP(CT83,$CN$11:$DO$14,3)</f>
        <v>#N/A</v>
      </c>
      <c r="CV85" s="112">
        <f t="shared" si="95"/>
        <v>100000</v>
      </c>
      <c r="CW85" s="112">
        <f t="shared" si="90"/>
        <v>100000</v>
      </c>
    </row>
    <row r="86" spans="88:101" x14ac:dyDescent="0.25">
      <c r="CJ86">
        <f t="shared" si="96"/>
        <v>69</v>
      </c>
      <c r="CK86" s="112">
        <f t="shared" si="94"/>
        <v>0</v>
      </c>
      <c r="CT86" s="112" t="e">
        <f>HLOOKUP(CT83,$CN$11:$DO$14,4)</f>
        <v>#N/A</v>
      </c>
      <c r="CV86" s="112">
        <f t="shared" si="95"/>
        <v>100000</v>
      </c>
      <c r="CW86" s="112">
        <f t="shared" si="90"/>
        <v>100000</v>
      </c>
    </row>
    <row r="87" spans="88:101" x14ac:dyDescent="0.25">
      <c r="CJ87">
        <f t="shared" si="96"/>
        <v>70</v>
      </c>
      <c r="CK87" s="112">
        <f t="shared" si="94"/>
        <v>0</v>
      </c>
      <c r="CT87" s="112" t="str">
        <f>CP35</f>
        <v/>
      </c>
      <c r="CV87" s="112">
        <f t="shared" si="95"/>
        <v>100000</v>
      </c>
      <c r="CW87" s="112">
        <f t="shared" si="90"/>
        <v>100000</v>
      </c>
    </row>
    <row r="88" spans="88:101" x14ac:dyDescent="0.25">
      <c r="CJ88">
        <f t="shared" si="96"/>
        <v>71</v>
      </c>
      <c r="CK88" s="112">
        <f t="shared" si="94"/>
        <v>0</v>
      </c>
      <c r="CT88" s="112" t="e">
        <f>HLOOKUP(CT87,$CN$11:$DO$14,2)</f>
        <v>#N/A</v>
      </c>
      <c r="CV88" s="112">
        <f t="shared" si="95"/>
        <v>100000</v>
      </c>
      <c r="CW88" s="112">
        <f t="shared" si="90"/>
        <v>100000</v>
      </c>
    </row>
    <row r="89" spans="88:101" x14ac:dyDescent="0.25">
      <c r="CJ89">
        <f t="shared" si="96"/>
        <v>72</v>
      </c>
      <c r="CK89" s="112">
        <f t="shared" si="94"/>
        <v>0</v>
      </c>
      <c r="CT89" s="112" t="e">
        <f>HLOOKUP(CT87,$CN$11:$DO$14,3)</f>
        <v>#N/A</v>
      </c>
      <c r="CV89" s="112">
        <f t="shared" si="95"/>
        <v>100000</v>
      </c>
      <c r="CW89" s="112">
        <f t="shared" si="90"/>
        <v>100000</v>
      </c>
    </row>
    <row r="90" spans="88:101" x14ac:dyDescent="0.25">
      <c r="CJ90">
        <f t="shared" si="96"/>
        <v>73</v>
      </c>
      <c r="CK90" s="112">
        <f t="shared" si="94"/>
        <v>0</v>
      </c>
      <c r="CT90" s="112" t="str">
        <f>CP36</f>
        <v/>
      </c>
      <c r="CV90" s="112">
        <f t="shared" si="95"/>
        <v>100000</v>
      </c>
      <c r="CW90" s="112">
        <f t="shared" si="90"/>
        <v>100000</v>
      </c>
    </row>
    <row r="91" spans="88:101" x14ac:dyDescent="0.25">
      <c r="CJ91">
        <f t="shared" si="96"/>
        <v>74</v>
      </c>
      <c r="CK91" s="112">
        <f t="shared" si="94"/>
        <v>0</v>
      </c>
      <c r="CT91" s="112" t="e">
        <f>HLOOKUP(CT90,$CN$11:$DO$14,2)</f>
        <v>#N/A</v>
      </c>
      <c r="CV91" s="112">
        <f t="shared" ref="CV91:CV95" si="97">IF(TYPE(CT91)=16,100000,IF(OR(CT91=0,CT91="",TYPE(CT91)=16),100000,CT91))</f>
        <v>100000</v>
      </c>
      <c r="CW91" s="112">
        <f t="shared" si="90"/>
        <v>100000</v>
      </c>
    </row>
    <row r="92" spans="88:101" x14ac:dyDescent="0.25">
      <c r="CJ92">
        <f t="shared" si="96"/>
        <v>75</v>
      </c>
      <c r="CK92" s="112">
        <f t="shared" si="94"/>
        <v>0</v>
      </c>
      <c r="CT92" s="112" t="e">
        <f>HLOOKUP(CT90,$CN$11:$DO$14,3)</f>
        <v>#N/A</v>
      </c>
      <c r="CV92" s="112">
        <f t="shared" si="97"/>
        <v>100000</v>
      </c>
      <c r="CW92" s="112">
        <f t="shared" si="90"/>
        <v>100000</v>
      </c>
    </row>
    <row r="93" spans="88:101" x14ac:dyDescent="0.25">
      <c r="CJ93">
        <f t="shared" si="96"/>
        <v>76</v>
      </c>
      <c r="CK93" s="112">
        <f t="shared" si="94"/>
        <v>0</v>
      </c>
      <c r="CT93" s="112" t="str">
        <f>CP37</f>
        <v/>
      </c>
      <c r="CV93" s="112">
        <f t="shared" si="97"/>
        <v>100000</v>
      </c>
      <c r="CW93" s="112">
        <f t="shared" si="90"/>
        <v>100000</v>
      </c>
    </row>
    <row r="94" spans="88:101" x14ac:dyDescent="0.25">
      <c r="CJ94">
        <f t="shared" si="96"/>
        <v>77</v>
      </c>
      <c r="CK94" s="112">
        <f t="shared" si="94"/>
        <v>0</v>
      </c>
      <c r="CT94" s="112" t="e">
        <f>HLOOKUP(CT93,$CN$11:$DO$14,2)</f>
        <v>#N/A</v>
      </c>
      <c r="CV94" s="112">
        <f t="shared" si="97"/>
        <v>100000</v>
      </c>
      <c r="CW94" s="112">
        <f t="shared" si="90"/>
        <v>100000</v>
      </c>
    </row>
    <row r="95" spans="88:101" x14ac:dyDescent="0.25">
      <c r="CJ95">
        <f t="shared" si="96"/>
        <v>78</v>
      </c>
      <c r="CK95" s="112">
        <f t="shared" si="94"/>
        <v>0</v>
      </c>
      <c r="CT95" s="112" t="e">
        <f>HLOOKUP(CT93,$CN$11:$DO$14,3)</f>
        <v>#N/A</v>
      </c>
      <c r="CV95" s="112">
        <f t="shared" si="97"/>
        <v>100000</v>
      </c>
      <c r="CW95" s="112">
        <f t="shared" si="90"/>
        <v>100000</v>
      </c>
    </row>
    <row r="96" spans="88:101" x14ac:dyDescent="0.25">
      <c r="CJ96">
        <f t="shared" si="96"/>
        <v>79</v>
      </c>
      <c r="CK96" s="112">
        <f t="shared" si="94"/>
        <v>0</v>
      </c>
    </row>
    <row r="97" spans="88:89" x14ac:dyDescent="0.25">
      <c r="CJ97">
        <f t="shared" si="96"/>
        <v>80</v>
      </c>
      <c r="CK97" s="112">
        <f t="shared" si="94"/>
        <v>0</v>
      </c>
    </row>
    <row r="98" spans="88:89" x14ac:dyDescent="0.25">
      <c r="CJ98">
        <f t="shared" si="96"/>
        <v>81</v>
      </c>
      <c r="CK98" s="112">
        <f t="shared" si="94"/>
        <v>0</v>
      </c>
    </row>
    <row r="99" spans="88:89" x14ac:dyDescent="0.25">
      <c r="CJ99">
        <f t="shared" si="96"/>
        <v>82</v>
      </c>
      <c r="CK99" s="112">
        <f t="shared" si="94"/>
        <v>0</v>
      </c>
    </row>
    <row r="100" spans="88:89" x14ac:dyDescent="0.25">
      <c r="CJ100">
        <f t="shared" si="96"/>
        <v>83</v>
      </c>
      <c r="CK100" s="112">
        <f t="shared" si="94"/>
        <v>0</v>
      </c>
    </row>
    <row r="101" spans="88:89" x14ac:dyDescent="0.25">
      <c r="CJ101">
        <f t="shared" si="96"/>
        <v>84</v>
      </c>
      <c r="CK101" s="112">
        <f t="shared" si="94"/>
        <v>0</v>
      </c>
    </row>
    <row r="102" spans="88:89" x14ac:dyDescent="0.25">
      <c r="CJ102">
        <f t="shared" si="96"/>
        <v>85</v>
      </c>
      <c r="CK102" s="112">
        <f t="shared" si="94"/>
        <v>0</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51"/>
  <dimension ref="A1:Z1352"/>
  <sheetViews>
    <sheetView showGridLines="0" zoomScaleNormal="100" workbookViewId="0">
      <pane ySplit="4" topLeftCell="A912" activePane="bottomLeft" state="frozen"/>
      <selection activeCell="L16" sqref="L16"/>
      <selection pane="bottomLeft" sqref="A1:XFD1048576"/>
    </sheetView>
  </sheetViews>
  <sheetFormatPr defaultColWidth="14.42578125" defaultRowHeight="15" customHeight="1" x14ac:dyDescent="0.2"/>
  <cols>
    <col min="1"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26" width="8.7109375" style="8" customWidth="1"/>
    <col min="27" max="16384" width="14.42578125" style="8"/>
  </cols>
  <sheetData>
    <row r="1" spans="1:26" ht="16.5" customHeight="1" x14ac:dyDescent="0.2">
      <c r="A1" s="544" t="s">
        <v>66</v>
      </c>
      <c r="B1" s="545"/>
      <c r="C1" s="1" t="s">
        <v>67</v>
      </c>
      <c r="D1" s="2"/>
      <c r="E1" s="2"/>
      <c r="F1" s="2"/>
      <c r="G1" s="2"/>
      <c r="H1" s="2"/>
      <c r="I1" s="2"/>
      <c r="J1" s="2"/>
      <c r="K1" s="2"/>
      <c r="L1" s="3"/>
      <c r="M1" s="4"/>
      <c r="N1" s="546" t="s">
        <v>2</v>
      </c>
      <c r="O1" s="545"/>
      <c r="P1" s="547"/>
      <c r="Q1" s="5" t="s">
        <v>3</v>
      </c>
      <c r="R1" s="6">
        <v>2</v>
      </c>
      <c r="S1" s="7"/>
      <c r="T1" s="7"/>
      <c r="U1" s="7"/>
      <c r="V1" s="7"/>
      <c r="W1" s="7"/>
      <c r="X1" s="7"/>
      <c r="Y1" s="7"/>
      <c r="Z1" s="7"/>
    </row>
    <row r="2" spans="1:26" ht="12" customHeight="1" x14ac:dyDescent="0.2">
      <c r="A2" s="9">
        <v>1</v>
      </c>
      <c r="B2" s="10"/>
      <c r="C2" s="10"/>
      <c r="D2" s="11"/>
      <c r="E2" s="11"/>
      <c r="F2" s="11"/>
      <c r="G2" s="11"/>
      <c r="H2" s="11"/>
      <c r="I2" s="11"/>
      <c r="J2" s="11"/>
      <c r="K2" s="11"/>
      <c r="L2" s="12"/>
      <c r="M2" s="13"/>
      <c r="N2" s="548"/>
      <c r="O2" s="549"/>
      <c r="P2" s="550"/>
      <c r="Q2" s="14" t="s">
        <v>4</v>
      </c>
      <c r="R2" s="6"/>
      <c r="S2" s="7"/>
      <c r="T2" s="7"/>
      <c r="U2" s="7"/>
      <c r="V2" s="7"/>
      <c r="W2" s="7"/>
      <c r="X2" s="7"/>
      <c r="Y2" s="7"/>
      <c r="Z2" s="7"/>
    </row>
    <row r="3" spans="1:26" ht="12.75" customHeight="1" x14ac:dyDescent="0.2">
      <c r="A3" s="551" t="s">
        <v>5</v>
      </c>
      <c r="B3" s="543"/>
      <c r="C3" s="552" t="s">
        <v>6</v>
      </c>
      <c r="D3" s="547"/>
      <c r="E3" s="551" t="s">
        <v>7</v>
      </c>
      <c r="F3" s="553"/>
      <c r="G3" s="553"/>
      <c r="H3" s="553"/>
      <c r="I3" s="553"/>
      <c r="J3" s="543"/>
      <c r="K3" s="554" t="s">
        <v>8</v>
      </c>
      <c r="L3" s="554" t="s">
        <v>9</v>
      </c>
      <c r="M3" s="15"/>
      <c r="N3" s="555" t="s">
        <v>10</v>
      </c>
      <c r="O3" s="555" t="s">
        <v>11</v>
      </c>
      <c r="P3" s="16" t="s">
        <v>12</v>
      </c>
      <c r="Q3" s="541" t="s">
        <v>13</v>
      </c>
      <c r="R3" s="7"/>
      <c r="S3" s="7"/>
      <c r="T3" s="7"/>
      <c r="U3" s="7"/>
      <c r="V3" s="7"/>
      <c r="W3" s="7"/>
      <c r="X3" s="7"/>
      <c r="Y3" s="7"/>
      <c r="Z3" s="7"/>
    </row>
    <row r="4" spans="1:26" ht="34.5" customHeight="1" x14ac:dyDescent="0.2">
      <c r="A4" s="18" t="s">
        <v>14</v>
      </c>
      <c r="B4" s="18" t="s">
        <v>15</v>
      </c>
      <c r="C4" s="549"/>
      <c r="D4" s="550"/>
      <c r="E4" s="19" t="s">
        <v>16</v>
      </c>
      <c r="F4" s="19" t="s">
        <v>17</v>
      </c>
      <c r="G4" s="19" t="s">
        <v>18</v>
      </c>
      <c r="H4" s="19" t="s">
        <v>19</v>
      </c>
      <c r="I4" s="19" t="s">
        <v>20</v>
      </c>
      <c r="J4" s="19" t="s">
        <v>21</v>
      </c>
      <c r="K4" s="535"/>
      <c r="L4" s="535"/>
      <c r="M4" s="4"/>
      <c r="N4" s="535"/>
      <c r="O4" s="535"/>
      <c r="P4" s="20" t="s">
        <v>68</v>
      </c>
      <c r="Q4" s="535"/>
      <c r="R4" s="7"/>
      <c r="S4" s="7"/>
      <c r="T4" s="7"/>
      <c r="U4" s="7"/>
      <c r="V4" s="7"/>
      <c r="W4" s="7"/>
      <c r="X4" s="7"/>
      <c r="Y4" s="7"/>
      <c r="Z4" s="7"/>
    </row>
    <row r="5" spans="1:26" ht="10.5" customHeight="1" x14ac:dyDescent="0.2">
      <c r="A5" s="21" t="s">
        <v>23</v>
      </c>
      <c r="B5" s="22" t="s">
        <v>24</v>
      </c>
      <c r="C5" s="542" t="s">
        <v>25</v>
      </c>
      <c r="D5" s="543"/>
      <c r="E5" s="21" t="s">
        <v>26</v>
      </c>
      <c r="F5" s="21" t="s">
        <v>27</v>
      </c>
      <c r="G5" s="21" t="s">
        <v>28</v>
      </c>
      <c r="H5" s="21" t="s">
        <v>29</v>
      </c>
      <c r="I5" s="21" t="s">
        <v>30</v>
      </c>
      <c r="J5" s="21" t="s">
        <v>31</v>
      </c>
      <c r="K5" s="21" t="s">
        <v>32</v>
      </c>
      <c r="L5" s="21" t="s">
        <v>33</v>
      </c>
      <c r="M5" s="24"/>
      <c r="N5" s="25" t="s">
        <v>34</v>
      </c>
      <c r="O5" s="25" t="s">
        <v>35</v>
      </c>
      <c r="P5" s="21"/>
      <c r="Q5" s="21"/>
      <c r="R5" s="27"/>
      <c r="S5" s="27"/>
      <c r="T5" s="27"/>
      <c r="U5" s="27"/>
      <c r="V5" s="27"/>
      <c r="W5" s="27"/>
      <c r="X5" s="27"/>
      <c r="Y5" s="27"/>
      <c r="Z5" s="27"/>
    </row>
    <row r="6" spans="1:26" ht="12.75" customHeight="1" x14ac:dyDescent="0.2">
      <c r="A6" s="538">
        <v>32994</v>
      </c>
      <c r="B6" s="538">
        <v>33177</v>
      </c>
      <c r="C6" s="28" t="s">
        <v>36</v>
      </c>
      <c r="D6" s="29">
        <v>0</v>
      </c>
      <c r="E6" s="30">
        <v>3390.02</v>
      </c>
      <c r="F6" s="30">
        <v>334.66</v>
      </c>
      <c r="G6" s="30">
        <v>0</v>
      </c>
      <c r="H6" s="30">
        <v>5545.39</v>
      </c>
      <c r="I6" s="30">
        <v>0</v>
      </c>
      <c r="J6" s="30">
        <v>772.51</v>
      </c>
      <c r="K6" s="31">
        <v>9270.07</v>
      </c>
      <c r="L6" s="32">
        <v>10042.58</v>
      </c>
      <c r="M6" s="33"/>
      <c r="N6" s="30">
        <v>9270.07</v>
      </c>
      <c r="O6" s="30">
        <v>3724.68</v>
      </c>
      <c r="P6" s="30"/>
      <c r="Q6" s="30">
        <v>10713.02</v>
      </c>
      <c r="R6" s="7"/>
      <c r="S6" s="7"/>
      <c r="T6" s="7"/>
      <c r="U6" s="7"/>
      <c r="V6" s="7"/>
      <c r="W6" s="7"/>
      <c r="X6" s="7"/>
      <c r="Y6" s="7"/>
      <c r="Z6" s="7"/>
    </row>
    <row r="7" spans="1:26" ht="9" customHeight="1" x14ac:dyDescent="0.2">
      <c r="A7" s="534"/>
      <c r="B7" s="534"/>
      <c r="C7" s="34" t="s">
        <v>37</v>
      </c>
      <c r="D7" s="35">
        <v>1</v>
      </c>
      <c r="E7" s="36">
        <v>6563994</v>
      </c>
      <c r="F7" s="36">
        <v>647992</v>
      </c>
      <c r="G7" s="36">
        <v>0</v>
      </c>
      <c r="H7" s="36">
        <v>10737372</v>
      </c>
      <c r="I7" s="36">
        <v>0</v>
      </c>
      <c r="J7" s="37">
        <v>1495788</v>
      </c>
      <c r="K7" s="36">
        <v>17949358</v>
      </c>
      <c r="L7" s="38">
        <v>19445146</v>
      </c>
      <c r="M7" s="39"/>
      <c r="N7" s="36">
        <v>17949358</v>
      </c>
      <c r="O7" s="36">
        <v>7211986</v>
      </c>
      <c r="P7" s="36">
        <v>0</v>
      </c>
      <c r="Q7" s="36">
        <v>20743299</v>
      </c>
      <c r="R7" s="7"/>
      <c r="S7" s="7"/>
      <c r="T7" s="7"/>
      <c r="U7" s="7"/>
      <c r="V7" s="7"/>
      <c r="W7" s="7"/>
      <c r="X7" s="7"/>
      <c r="Y7" s="7"/>
      <c r="Z7" s="7"/>
    </row>
    <row r="8" spans="1:26" ht="12.75" customHeight="1" x14ac:dyDescent="0.2">
      <c r="A8" s="540">
        <v>32994</v>
      </c>
      <c r="B8" s="540">
        <v>33177</v>
      </c>
      <c r="C8" s="40" t="s">
        <v>36</v>
      </c>
      <c r="D8" s="41">
        <v>2</v>
      </c>
      <c r="E8" s="42">
        <v>3557.36</v>
      </c>
      <c r="F8" s="42">
        <v>353.26</v>
      </c>
      <c r="G8" s="42">
        <v>0</v>
      </c>
      <c r="H8" s="42">
        <v>5545.39</v>
      </c>
      <c r="I8" s="42">
        <v>0</v>
      </c>
      <c r="J8" s="42">
        <v>788</v>
      </c>
      <c r="K8" s="43">
        <v>9456.01</v>
      </c>
      <c r="L8" s="32">
        <v>10244.01</v>
      </c>
      <c r="M8" s="33"/>
      <c r="N8" s="30">
        <v>9456.01</v>
      </c>
      <c r="O8" s="30">
        <v>3910.62</v>
      </c>
      <c r="P8" s="30"/>
      <c r="Q8" s="30">
        <v>10947.92</v>
      </c>
      <c r="R8" s="7"/>
      <c r="S8" s="7"/>
      <c r="T8" s="7"/>
      <c r="U8" s="7"/>
      <c r="V8" s="7"/>
      <c r="W8" s="7"/>
      <c r="X8" s="7"/>
      <c r="Y8" s="7"/>
      <c r="Z8" s="7"/>
    </row>
    <row r="9" spans="1:26" ht="9" customHeight="1" x14ac:dyDescent="0.2">
      <c r="A9" s="534"/>
      <c r="B9" s="534"/>
      <c r="C9" s="34" t="s">
        <v>37</v>
      </c>
      <c r="D9" s="35">
        <v>3</v>
      </c>
      <c r="E9" s="36">
        <v>6888009</v>
      </c>
      <c r="F9" s="36">
        <v>684007</v>
      </c>
      <c r="G9" s="36">
        <v>0</v>
      </c>
      <c r="H9" s="36">
        <v>10737372</v>
      </c>
      <c r="I9" s="36">
        <v>0</v>
      </c>
      <c r="J9" s="37">
        <v>1525781</v>
      </c>
      <c r="K9" s="36">
        <v>18309388</v>
      </c>
      <c r="L9" s="38">
        <v>19835169</v>
      </c>
      <c r="M9" s="39"/>
      <c r="N9" s="36">
        <v>18309388</v>
      </c>
      <c r="O9" s="36">
        <v>7572016</v>
      </c>
      <c r="P9" s="36">
        <v>0</v>
      </c>
      <c r="Q9" s="36">
        <v>21198129</v>
      </c>
      <c r="R9" s="7"/>
      <c r="S9" s="7"/>
      <c r="T9" s="7"/>
      <c r="U9" s="7"/>
      <c r="V9" s="7"/>
      <c r="W9" s="7"/>
      <c r="X9" s="7"/>
      <c r="Y9" s="7"/>
      <c r="Z9" s="7"/>
    </row>
    <row r="10" spans="1:26" ht="12.75" customHeight="1" x14ac:dyDescent="0.2">
      <c r="A10" s="534"/>
      <c r="B10" s="534"/>
      <c r="C10" s="40" t="s">
        <v>36</v>
      </c>
      <c r="D10" s="41">
        <v>4</v>
      </c>
      <c r="E10" s="42">
        <v>3730.88</v>
      </c>
      <c r="F10" s="42">
        <v>371.85</v>
      </c>
      <c r="G10" s="42">
        <v>0</v>
      </c>
      <c r="H10" s="42">
        <v>5545.39</v>
      </c>
      <c r="I10" s="42">
        <v>0</v>
      </c>
      <c r="J10" s="42">
        <v>804.01</v>
      </c>
      <c r="K10" s="43">
        <v>9648.1200000000008</v>
      </c>
      <c r="L10" s="32">
        <v>10452.129999999999</v>
      </c>
      <c r="M10" s="33"/>
      <c r="N10" s="30">
        <v>9648.1200000000008</v>
      </c>
      <c r="O10" s="30">
        <v>4102.7299999999996</v>
      </c>
      <c r="P10" s="30"/>
      <c r="Q10" s="30">
        <v>11190.62</v>
      </c>
      <c r="R10" s="7"/>
      <c r="S10" s="7"/>
      <c r="T10" s="7"/>
      <c r="U10" s="7"/>
      <c r="V10" s="7"/>
      <c r="W10" s="7"/>
      <c r="X10" s="7"/>
      <c r="Y10" s="7"/>
      <c r="Z10" s="7"/>
    </row>
    <row r="11" spans="1:26" ht="9" customHeight="1" x14ac:dyDescent="0.2">
      <c r="A11" s="534"/>
      <c r="B11" s="534"/>
      <c r="C11" s="34" t="s">
        <v>37</v>
      </c>
      <c r="D11" s="35">
        <v>5</v>
      </c>
      <c r="E11" s="36">
        <v>7223991</v>
      </c>
      <c r="F11" s="36">
        <v>720002</v>
      </c>
      <c r="G11" s="36">
        <v>0</v>
      </c>
      <c r="H11" s="36">
        <v>10737372</v>
      </c>
      <c r="I11" s="36">
        <v>0</v>
      </c>
      <c r="J11" s="37">
        <v>1556780</v>
      </c>
      <c r="K11" s="36">
        <v>18681365</v>
      </c>
      <c r="L11" s="38">
        <v>20238146</v>
      </c>
      <c r="M11" s="39"/>
      <c r="N11" s="36">
        <v>18681365</v>
      </c>
      <c r="O11" s="36">
        <v>7943993</v>
      </c>
      <c r="P11" s="36">
        <v>0</v>
      </c>
      <c r="Q11" s="36">
        <v>21668062</v>
      </c>
      <c r="R11" s="7"/>
      <c r="S11" s="7"/>
      <c r="T11" s="7"/>
      <c r="U11" s="7"/>
      <c r="V11" s="7"/>
      <c r="W11" s="7"/>
      <c r="X11" s="7"/>
      <c r="Y11" s="7"/>
      <c r="Z11" s="7"/>
    </row>
    <row r="12" spans="1:26" ht="12.75" customHeight="1" x14ac:dyDescent="0.2">
      <c r="A12" s="534"/>
      <c r="B12" s="534"/>
      <c r="C12" s="40" t="s">
        <v>36</v>
      </c>
      <c r="D12" s="41">
        <v>6</v>
      </c>
      <c r="E12" s="42">
        <v>4003.57</v>
      </c>
      <c r="F12" s="42">
        <v>396.64</v>
      </c>
      <c r="G12" s="42">
        <v>0</v>
      </c>
      <c r="H12" s="42">
        <v>5545.39</v>
      </c>
      <c r="I12" s="42">
        <v>0</v>
      </c>
      <c r="J12" s="42">
        <v>828.8</v>
      </c>
      <c r="K12" s="43">
        <v>9945.6</v>
      </c>
      <c r="L12" s="32">
        <v>10774.4</v>
      </c>
      <c r="M12" s="33"/>
      <c r="N12" s="30">
        <v>9945.6</v>
      </c>
      <c r="O12" s="30">
        <v>4400.21</v>
      </c>
      <c r="P12" s="30"/>
      <c r="Q12" s="30">
        <v>11566.44</v>
      </c>
      <c r="R12" s="7"/>
      <c r="S12" s="7"/>
      <c r="T12" s="7"/>
      <c r="U12" s="7"/>
      <c r="V12" s="7"/>
      <c r="W12" s="7"/>
      <c r="X12" s="7"/>
      <c r="Y12" s="7"/>
      <c r="Z12" s="7"/>
    </row>
    <row r="13" spans="1:26" ht="9" customHeight="1" x14ac:dyDescent="0.2">
      <c r="A13" s="534"/>
      <c r="B13" s="534"/>
      <c r="C13" s="34" t="s">
        <v>37</v>
      </c>
      <c r="D13" s="35">
        <v>7</v>
      </c>
      <c r="E13" s="36">
        <v>7751992</v>
      </c>
      <c r="F13" s="36">
        <v>768002</v>
      </c>
      <c r="G13" s="36">
        <v>0</v>
      </c>
      <c r="H13" s="36">
        <v>10737372</v>
      </c>
      <c r="I13" s="36">
        <v>0</v>
      </c>
      <c r="J13" s="37">
        <v>1604781</v>
      </c>
      <c r="K13" s="36">
        <v>19257367</v>
      </c>
      <c r="L13" s="38">
        <v>20862147</v>
      </c>
      <c r="M13" s="39"/>
      <c r="N13" s="36">
        <v>19257367</v>
      </c>
      <c r="O13" s="36">
        <v>8519995</v>
      </c>
      <c r="P13" s="36">
        <v>0</v>
      </c>
      <c r="Q13" s="36">
        <v>22395751</v>
      </c>
      <c r="R13" s="7"/>
      <c r="S13" s="7"/>
      <c r="T13" s="7"/>
      <c r="U13" s="7"/>
      <c r="V13" s="7"/>
      <c r="W13" s="7"/>
      <c r="X13" s="7"/>
      <c r="Y13" s="7"/>
      <c r="Z13" s="7"/>
    </row>
    <row r="14" spans="1:26" ht="12.75" customHeight="1" x14ac:dyDescent="0.2">
      <c r="A14" s="534"/>
      <c r="B14" s="534"/>
      <c r="C14" s="40" t="s">
        <v>36</v>
      </c>
      <c r="D14" s="41">
        <v>8</v>
      </c>
      <c r="E14" s="42">
        <v>4201.8900000000003</v>
      </c>
      <c r="F14" s="42">
        <v>415.23</v>
      </c>
      <c r="G14" s="42">
        <v>0</v>
      </c>
      <c r="H14" s="42">
        <v>5545.39</v>
      </c>
      <c r="I14" s="42">
        <v>0</v>
      </c>
      <c r="J14" s="42">
        <v>846.88</v>
      </c>
      <c r="K14" s="43">
        <v>10162.51</v>
      </c>
      <c r="L14" s="32">
        <v>11009.39</v>
      </c>
      <c r="M14" s="33"/>
      <c r="N14" s="30">
        <v>10162.51</v>
      </c>
      <c r="O14" s="30">
        <v>4617.12</v>
      </c>
      <c r="P14" s="30"/>
      <c r="Q14" s="30">
        <v>11840.47</v>
      </c>
      <c r="R14" s="7"/>
      <c r="S14" s="7"/>
      <c r="T14" s="7"/>
      <c r="U14" s="7"/>
      <c r="V14" s="7"/>
      <c r="W14" s="7"/>
      <c r="X14" s="7"/>
      <c r="Y14" s="7"/>
      <c r="Z14" s="7"/>
    </row>
    <row r="15" spans="1:26" ht="9" customHeight="1" x14ac:dyDescent="0.2">
      <c r="A15" s="534"/>
      <c r="B15" s="534"/>
      <c r="C15" s="34" t="s">
        <v>37</v>
      </c>
      <c r="D15" s="35">
        <v>9</v>
      </c>
      <c r="E15" s="36">
        <v>8135994</v>
      </c>
      <c r="F15" s="36">
        <v>803997</v>
      </c>
      <c r="G15" s="36">
        <v>0</v>
      </c>
      <c r="H15" s="36">
        <v>10737372</v>
      </c>
      <c r="I15" s="36">
        <v>0</v>
      </c>
      <c r="J15" s="37">
        <v>1639788</v>
      </c>
      <c r="K15" s="36">
        <v>19677363</v>
      </c>
      <c r="L15" s="38">
        <v>21317152</v>
      </c>
      <c r="M15" s="39"/>
      <c r="N15" s="36">
        <v>19677363</v>
      </c>
      <c r="O15" s="36">
        <v>8939991</v>
      </c>
      <c r="P15" s="36">
        <v>0</v>
      </c>
      <c r="Q15" s="36">
        <v>22926347</v>
      </c>
      <c r="R15" s="7"/>
      <c r="S15" s="7"/>
      <c r="T15" s="7"/>
      <c r="U15" s="7"/>
      <c r="V15" s="7"/>
      <c r="W15" s="7"/>
      <c r="X15" s="7"/>
      <c r="Y15" s="7"/>
      <c r="Z15" s="7"/>
    </row>
    <row r="16" spans="1:26" ht="12.75" customHeight="1" x14ac:dyDescent="0.2">
      <c r="A16" s="534"/>
      <c r="B16" s="534"/>
      <c r="C16" s="40" t="s">
        <v>36</v>
      </c>
      <c r="D16" s="41">
        <v>10</v>
      </c>
      <c r="E16" s="42">
        <v>4400.21</v>
      </c>
      <c r="F16" s="42">
        <v>440.02</v>
      </c>
      <c r="G16" s="42">
        <v>0</v>
      </c>
      <c r="H16" s="42">
        <v>5545.39</v>
      </c>
      <c r="I16" s="42">
        <v>0</v>
      </c>
      <c r="J16" s="42">
        <v>865.47</v>
      </c>
      <c r="K16" s="43">
        <v>10385.620000000001</v>
      </c>
      <c r="L16" s="32">
        <v>11251.09</v>
      </c>
      <c r="M16" s="33"/>
      <c r="N16" s="30">
        <v>10385.620000000001</v>
      </c>
      <c r="O16" s="30">
        <v>4840.2299999999996</v>
      </c>
      <c r="P16" s="30"/>
      <c r="Q16" s="30">
        <v>12122.33</v>
      </c>
      <c r="R16" s="7"/>
      <c r="S16" s="7"/>
      <c r="T16" s="7"/>
      <c r="U16" s="7"/>
      <c r="V16" s="7"/>
      <c r="W16" s="7"/>
      <c r="X16" s="7"/>
      <c r="Y16" s="7"/>
      <c r="Z16" s="7"/>
    </row>
    <row r="17" spans="1:26" ht="9" customHeight="1" x14ac:dyDescent="0.2">
      <c r="A17" s="534"/>
      <c r="B17" s="534"/>
      <c r="C17" s="34" t="s">
        <v>37</v>
      </c>
      <c r="D17" s="35">
        <v>11</v>
      </c>
      <c r="E17" s="36">
        <v>8519995</v>
      </c>
      <c r="F17" s="36">
        <v>851998</v>
      </c>
      <c r="G17" s="36">
        <v>0</v>
      </c>
      <c r="H17" s="36">
        <v>10737372</v>
      </c>
      <c r="I17" s="36">
        <v>0</v>
      </c>
      <c r="J17" s="37">
        <v>1675784</v>
      </c>
      <c r="K17" s="36">
        <v>20109364</v>
      </c>
      <c r="L17" s="38">
        <v>21785148</v>
      </c>
      <c r="M17" s="39"/>
      <c r="N17" s="36">
        <v>20109364</v>
      </c>
      <c r="O17" s="36">
        <v>9371992</v>
      </c>
      <c r="P17" s="36">
        <v>0</v>
      </c>
      <c r="Q17" s="36">
        <v>23472104</v>
      </c>
      <c r="R17" s="7"/>
      <c r="S17" s="7"/>
      <c r="T17" s="7"/>
      <c r="U17" s="7"/>
      <c r="V17" s="7"/>
      <c r="W17" s="7"/>
      <c r="X17" s="7"/>
      <c r="Y17" s="7"/>
      <c r="Z17" s="7"/>
    </row>
    <row r="18" spans="1:26" ht="12.75" customHeight="1" x14ac:dyDescent="0.2">
      <c r="A18" s="534"/>
      <c r="B18" s="534"/>
      <c r="C18" s="40" t="s">
        <v>36</v>
      </c>
      <c r="D18" s="41">
        <v>12</v>
      </c>
      <c r="E18" s="42">
        <v>4598.53</v>
      </c>
      <c r="F18" s="42">
        <v>458.61</v>
      </c>
      <c r="G18" s="42">
        <v>0</v>
      </c>
      <c r="H18" s="42">
        <v>5545.39</v>
      </c>
      <c r="I18" s="42">
        <v>0</v>
      </c>
      <c r="J18" s="42">
        <v>883.54</v>
      </c>
      <c r="K18" s="43">
        <v>10602.53</v>
      </c>
      <c r="L18" s="32">
        <v>11486.07</v>
      </c>
      <c r="M18" s="33"/>
      <c r="N18" s="30">
        <v>10602.53</v>
      </c>
      <c r="O18" s="30">
        <v>5057.1400000000003</v>
      </c>
      <c r="P18" s="30"/>
      <c r="Q18" s="30">
        <v>12396.36</v>
      </c>
      <c r="R18" s="7"/>
      <c r="S18" s="7"/>
      <c r="T18" s="7"/>
      <c r="U18" s="7"/>
      <c r="V18" s="7"/>
      <c r="W18" s="7"/>
      <c r="X18" s="7"/>
      <c r="Y18" s="7"/>
      <c r="Z18" s="7"/>
    </row>
    <row r="19" spans="1:26" ht="9" customHeight="1" x14ac:dyDescent="0.2">
      <c r="A19" s="534"/>
      <c r="B19" s="534"/>
      <c r="C19" s="34" t="s">
        <v>37</v>
      </c>
      <c r="D19" s="35">
        <v>13</v>
      </c>
      <c r="E19" s="36">
        <v>8903996</v>
      </c>
      <c r="F19" s="36">
        <v>887993</v>
      </c>
      <c r="G19" s="36">
        <v>0</v>
      </c>
      <c r="H19" s="36">
        <v>10737372</v>
      </c>
      <c r="I19" s="36">
        <v>0</v>
      </c>
      <c r="J19" s="37">
        <v>1710772</v>
      </c>
      <c r="K19" s="36">
        <v>20529361</v>
      </c>
      <c r="L19" s="38">
        <v>22240133</v>
      </c>
      <c r="M19" s="39"/>
      <c r="N19" s="36">
        <v>20529361</v>
      </c>
      <c r="O19" s="36">
        <v>9791988</v>
      </c>
      <c r="P19" s="36">
        <v>0</v>
      </c>
      <c r="Q19" s="36">
        <v>24002700</v>
      </c>
      <c r="R19" s="7"/>
      <c r="S19" s="7"/>
      <c r="T19" s="7"/>
      <c r="U19" s="7"/>
      <c r="V19" s="7"/>
      <c r="W19" s="7"/>
      <c r="X19" s="7"/>
      <c r="Y19" s="7"/>
      <c r="Z19" s="7"/>
    </row>
    <row r="20" spans="1:26" ht="12.75" customHeight="1" x14ac:dyDescent="0.2">
      <c r="A20" s="534"/>
      <c r="B20" s="534"/>
      <c r="C20" s="40" t="s">
        <v>36</v>
      </c>
      <c r="D20" s="41">
        <v>14</v>
      </c>
      <c r="E20" s="42">
        <v>4803.05</v>
      </c>
      <c r="F20" s="42">
        <v>477.21</v>
      </c>
      <c r="G20" s="42">
        <v>0</v>
      </c>
      <c r="H20" s="42">
        <v>5545.39</v>
      </c>
      <c r="I20" s="42">
        <v>0</v>
      </c>
      <c r="J20" s="42">
        <v>902.14</v>
      </c>
      <c r="K20" s="43">
        <v>10825.65</v>
      </c>
      <c r="L20" s="32">
        <v>11727.79</v>
      </c>
      <c r="M20" s="33"/>
      <c r="N20" s="30">
        <v>10825.65</v>
      </c>
      <c r="O20" s="30">
        <v>5280.26</v>
      </c>
      <c r="P20" s="30"/>
      <c r="Q20" s="30">
        <v>12678.24</v>
      </c>
      <c r="R20" s="7"/>
      <c r="S20" s="7"/>
      <c r="T20" s="7"/>
      <c r="U20" s="7"/>
      <c r="V20" s="7"/>
      <c r="W20" s="7"/>
      <c r="X20" s="7"/>
      <c r="Y20" s="7"/>
      <c r="Z20" s="7"/>
    </row>
    <row r="21" spans="1:26" ht="9" customHeight="1" x14ac:dyDescent="0.2">
      <c r="A21" s="534"/>
      <c r="B21" s="534"/>
      <c r="C21" s="34" t="s">
        <v>37</v>
      </c>
      <c r="D21" s="35">
        <v>15</v>
      </c>
      <c r="E21" s="36">
        <v>9300002</v>
      </c>
      <c r="F21" s="36">
        <v>924007</v>
      </c>
      <c r="G21" s="36">
        <v>0</v>
      </c>
      <c r="H21" s="36">
        <v>10737372</v>
      </c>
      <c r="I21" s="36">
        <v>0</v>
      </c>
      <c r="J21" s="37">
        <v>1746787</v>
      </c>
      <c r="K21" s="36">
        <v>20961381</v>
      </c>
      <c r="L21" s="38">
        <v>22708168</v>
      </c>
      <c r="M21" s="39"/>
      <c r="N21" s="36">
        <v>20961381</v>
      </c>
      <c r="O21" s="36">
        <v>10224009</v>
      </c>
      <c r="P21" s="36">
        <v>0</v>
      </c>
      <c r="Q21" s="36">
        <v>24548496</v>
      </c>
      <c r="R21" s="7"/>
      <c r="S21" s="7"/>
      <c r="T21" s="7"/>
      <c r="U21" s="7"/>
      <c r="V21" s="7"/>
      <c r="W21" s="7"/>
      <c r="X21" s="7"/>
      <c r="Y21" s="7"/>
      <c r="Z21" s="7"/>
    </row>
    <row r="22" spans="1:26" ht="12.75" customHeight="1" x14ac:dyDescent="0.2">
      <c r="A22" s="534"/>
      <c r="B22" s="534"/>
      <c r="C22" s="40" t="s">
        <v>36</v>
      </c>
      <c r="D22" s="41">
        <v>16</v>
      </c>
      <c r="E22" s="42">
        <v>5001.37</v>
      </c>
      <c r="F22" s="42">
        <v>495.8</v>
      </c>
      <c r="G22" s="42">
        <v>0</v>
      </c>
      <c r="H22" s="42">
        <v>5545.39</v>
      </c>
      <c r="I22" s="42">
        <v>0</v>
      </c>
      <c r="J22" s="42">
        <v>920.21</v>
      </c>
      <c r="K22" s="43">
        <v>11042.56</v>
      </c>
      <c r="L22" s="32">
        <v>11962.77</v>
      </c>
      <c r="M22" s="33"/>
      <c r="N22" s="30">
        <v>11042.56</v>
      </c>
      <c r="O22" s="30">
        <v>5497.17</v>
      </c>
      <c r="P22" s="30"/>
      <c r="Q22" s="30">
        <v>12952.26</v>
      </c>
      <c r="R22" s="7"/>
      <c r="S22" s="7"/>
      <c r="T22" s="7"/>
      <c r="U22" s="7"/>
      <c r="V22" s="7"/>
      <c r="W22" s="7"/>
      <c r="X22" s="7"/>
      <c r="Y22" s="7"/>
      <c r="Z22" s="7"/>
    </row>
    <row r="23" spans="1:26" ht="9" customHeight="1" x14ac:dyDescent="0.2">
      <c r="A23" s="534"/>
      <c r="B23" s="534"/>
      <c r="C23" s="34" t="s">
        <v>37</v>
      </c>
      <c r="D23" s="35">
        <v>17</v>
      </c>
      <c r="E23" s="36">
        <v>9684003</v>
      </c>
      <c r="F23" s="36">
        <v>960003</v>
      </c>
      <c r="G23" s="36">
        <v>0</v>
      </c>
      <c r="H23" s="36">
        <v>10737372</v>
      </c>
      <c r="I23" s="36">
        <v>0</v>
      </c>
      <c r="J23" s="37">
        <v>1781775</v>
      </c>
      <c r="K23" s="36">
        <v>21381378</v>
      </c>
      <c r="L23" s="38">
        <v>23163153</v>
      </c>
      <c r="M23" s="39"/>
      <c r="N23" s="36">
        <v>21381378</v>
      </c>
      <c r="O23" s="36">
        <v>10644005</v>
      </c>
      <c r="P23" s="36">
        <v>0</v>
      </c>
      <c r="Q23" s="36">
        <v>25079072</v>
      </c>
      <c r="R23" s="7"/>
      <c r="S23" s="7"/>
      <c r="T23" s="7"/>
      <c r="U23" s="7"/>
      <c r="V23" s="7"/>
      <c r="W23" s="7"/>
      <c r="X23" s="7"/>
      <c r="Y23" s="7"/>
      <c r="Z23" s="7"/>
    </row>
    <row r="24" spans="1:26" ht="12.75" customHeight="1" x14ac:dyDescent="0.2">
      <c r="A24" s="534"/>
      <c r="B24" s="534"/>
      <c r="C24" s="40" t="s">
        <v>36</v>
      </c>
      <c r="D24" s="41">
        <v>18</v>
      </c>
      <c r="E24" s="42">
        <v>5199.6899999999996</v>
      </c>
      <c r="F24" s="42">
        <v>514.39</v>
      </c>
      <c r="G24" s="42">
        <v>0</v>
      </c>
      <c r="H24" s="42">
        <v>5545.39</v>
      </c>
      <c r="I24" s="42">
        <v>0</v>
      </c>
      <c r="J24" s="42">
        <v>938.29</v>
      </c>
      <c r="K24" s="43">
        <v>11259.47</v>
      </c>
      <c r="L24" s="32">
        <v>12197.76</v>
      </c>
      <c r="M24" s="33"/>
      <c r="N24" s="30">
        <v>11259.47</v>
      </c>
      <c r="O24" s="30">
        <v>5714.08</v>
      </c>
      <c r="P24" s="30"/>
      <c r="Q24" s="30">
        <v>13226.29</v>
      </c>
      <c r="R24" s="7"/>
      <c r="S24" s="7"/>
      <c r="T24" s="7"/>
      <c r="U24" s="7"/>
      <c r="V24" s="7"/>
      <c r="W24" s="7"/>
      <c r="X24" s="7"/>
      <c r="Y24" s="7"/>
      <c r="Z24" s="7"/>
    </row>
    <row r="25" spans="1:26" ht="9" customHeight="1" x14ac:dyDescent="0.2">
      <c r="A25" s="534"/>
      <c r="B25" s="534"/>
      <c r="C25" s="34" t="s">
        <v>37</v>
      </c>
      <c r="D25" s="35">
        <v>19</v>
      </c>
      <c r="E25" s="36">
        <v>10068004</v>
      </c>
      <c r="F25" s="36">
        <v>995998</v>
      </c>
      <c r="G25" s="36">
        <v>0</v>
      </c>
      <c r="H25" s="36">
        <v>10737372</v>
      </c>
      <c r="I25" s="36">
        <v>0</v>
      </c>
      <c r="J25" s="37">
        <v>1816783</v>
      </c>
      <c r="K25" s="36">
        <v>21801374</v>
      </c>
      <c r="L25" s="38">
        <v>23618157</v>
      </c>
      <c r="M25" s="39"/>
      <c r="N25" s="36">
        <v>21801374</v>
      </c>
      <c r="O25" s="36">
        <v>11064002</v>
      </c>
      <c r="P25" s="36">
        <v>0</v>
      </c>
      <c r="Q25" s="36">
        <v>25609669</v>
      </c>
      <c r="R25" s="7"/>
      <c r="S25" s="7"/>
      <c r="T25" s="7"/>
      <c r="U25" s="7"/>
      <c r="V25" s="7"/>
      <c r="W25" s="7"/>
      <c r="X25" s="7"/>
      <c r="Y25" s="7"/>
      <c r="Z25" s="7"/>
    </row>
    <row r="26" spans="1:26" ht="12.75" customHeight="1" x14ac:dyDescent="0.2">
      <c r="A26" s="534"/>
      <c r="B26" s="534"/>
      <c r="C26" s="40" t="s">
        <v>36</v>
      </c>
      <c r="D26" s="41">
        <v>20</v>
      </c>
      <c r="E26" s="42">
        <v>5404.2</v>
      </c>
      <c r="F26" s="42">
        <v>539.17999999999995</v>
      </c>
      <c r="G26" s="42">
        <v>0</v>
      </c>
      <c r="H26" s="42">
        <v>5545.39</v>
      </c>
      <c r="I26" s="42">
        <v>0</v>
      </c>
      <c r="J26" s="42">
        <v>957.4</v>
      </c>
      <c r="K26" s="43">
        <v>11488.77</v>
      </c>
      <c r="L26" s="32">
        <v>12446.17</v>
      </c>
      <c r="M26" s="33"/>
      <c r="N26" s="30">
        <v>11488.77</v>
      </c>
      <c r="O26" s="30">
        <v>5943.38</v>
      </c>
      <c r="P26" s="30"/>
      <c r="Q26" s="30">
        <v>13515.98</v>
      </c>
      <c r="R26" s="7"/>
      <c r="S26" s="7"/>
      <c r="T26" s="7"/>
      <c r="U26" s="7"/>
      <c r="V26" s="7"/>
      <c r="W26" s="7"/>
      <c r="X26" s="7"/>
      <c r="Y26" s="7"/>
      <c r="Z26" s="7"/>
    </row>
    <row r="27" spans="1:26" ht="9" customHeight="1" x14ac:dyDescent="0.2">
      <c r="A27" s="534"/>
      <c r="B27" s="534"/>
      <c r="C27" s="34" t="s">
        <v>37</v>
      </c>
      <c r="D27" s="35">
        <v>21</v>
      </c>
      <c r="E27" s="36">
        <v>10463990</v>
      </c>
      <c r="F27" s="36">
        <v>1043998</v>
      </c>
      <c r="G27" s="36">
        <v>0</v>
      </c>
      <c r="H27" s="36">
        <v>10737372</v>
      </c>
      <c r="I27" s="36">
        <v>0</v>
      </c>
      <c r="J27" s="37">
        <v>1853785</v>
      </c>
      <c r="K27" s="36">
        <v>22245361</v>
      </c>
      <c r="L27" s="38">
        <v>24099146</v>
      </c>
      <c r="M27" s="39"/>
      <c r="N27" s="36">
        <v>22245361</v>
      </c>
      <c r="O27" s="36">
        <v>11507988</v>
      </c>
      <c r="P27" s="36">
        <v>0</v>
      </c>
      <c r="Q27" s="36">
        <v>26170587</v>
      </c>
      <c r="R27" s="7"/>
      <c r="S27" s="7"/>
      <c r="T27" s="7"/>
      <c r="U27" s="7"/>
      <c r="V27" s="7"/>
      <c r="W27" s="7"/>
      <c r="X27" s="7"/>
      <c r="Y27" s="7"/>
      <c r="Z27" s="7"/>
    </row>
    <row r="28" spans="1:26" ht="12.75" customHeight="1" x14ac:dyDescent="0.2">
      <c r="A28" s="534"/>
      <c r="B28" s="534"/>
      <c r="C28" s="40" t="s">
        <v>36</v>
      </c>
      <c r="D28" s="41">
        <v>22</v>
      </c>
      <c r="E28" s="42">
        <v>5509.56</v>
      </c>
      <c r="F28" s="42">
        <v>545.38</v>
      </c>
      <c r="G28" s="42">
        <v>0</v>
      </c>
      <c r="H28" s="42">
        <v>5545.39</v>
      </c>
      <c r="I28" s="42">
        <v>0</v>
      </c>
      <c r="J28" s="42">
        <v>966.69</v>
      </c>
      <c r="K28" s="43">
        <v>11600.33</v>
      </c>
      <c r="L28" s="32">
        <v>12567.02</v>
      </c>
      <c r="M28" s="33"/>
      <c r="N28" s="30">
        <v>11600.33</v>
      </c>
      <c r="O28" s="30">
        <v>6054.94</v>
      </c>
      <c r="P28" s="30"/>
      <c r="Q28" s="30">
        <v>13656.91</v>
      </c>
      <c r="R28" s="7"/>
      <c r="S28" s="7"/>
      <c r="T28" s="7"/>
      <c r="U28" s="7"/>
      <c r="V28" s="7"/>
      <c r="W28" s="7"/>
      <c r="X28" s="7"/>
      <c r="Y28" s="7"/>
      <c r="Z28" s="7"/>
    </row>
    <row r="29" spans="1:26" ht="9" customHeight="1" x14ac:dyDescent="0.2">
      <c r="A29" s="534"/>
      <c r="B29" s="534"/>
      <c r="C29" s="34" t="s">
        <v>37</v>
      </c>
      <c r="D29" s="35">
        <v>23</v>
      </c>
      <c r="E29" s="36">
        <v>10667996</v>
      </c>
      <c r="F29" s="36">
        <v>1056003</v>
      </c>
      <c r="G29" s="36">
        <v>0</v>
      </c>
      <c r="H29" s="36">
        <v>10737372</v>
      </c>
      <c r="I29" s="36">
        <v>0</v>
      </c>
      <c r="J29" s="37">
        <v>1871773</v>
      </c>
      <c r="K29" s="36">
        <v>22461371</v>
      </c>
      <c r="L29" s="38">
        <v>24333144</v>
      </c>
      <c r="M29" s="39"/>
      <c r="N29" s="36">
        <v>22461371</v>
      </c>
      <c r="O29" s="36">
        <v>11723999</v>
      </c>
      <c r="P29" s="36">
        <v>0</v>
      </c>
      <c r="Q29" s="36">
        <v>26443465</v>
      </c>
      <c r="R29" s="7"/>
      <c r="S29" s="7"/>
      <c r="T29" s="7"/>
      <c r="U29" s="7"/>
      <c r="V29" s="7"/>
      <c r="W29" s="7"/>
      <c r="X29" s="7"/>
      <c r="Y29" s="7"/>
      <c r="Z29" s="7"/>
    </row>
    <row r="30" spans="1:26" ht="12.75" customHeight="1" x14ac:dyDescent="0.2">
      <c r="A30" s="534"/>
      <c r="B30" s="534"/>
      <c r="C30" s="40" t="s">
        <v>36</v>
      </c>
      <c r="D30" s="41">
        <v>24</v>
      </c>
      <c r="E30" s="42">
        <v>5614.92</v>
      </c>
      <c r="F30" s="42">
        <v>557.77</v>
      </c>
      <c r="G30" s="42">
        <v>0</v>
      </c>
      <c r="H30" s="42">
        <v>5545.39</v>
      </c>
      <c r="I30" s="42">
        <v>0</v>
      </c>
      <c r="J30" s="42">
        <v>976.51</v>
      </c>
      <c r="K30" s="43">
        <v>11718.08</v>
      </c>
      <c r="L30" s="32">
        <v>12694.59</v>
      </c>
      <c r="M30" s="33"/>
      <c r="N30" s="30">
        <v>11718.08</v>
      </c>
      <c r="O30" s="30">
        <v>6172.69</v>
      </c>
      <c r="P30" s="30"/>
      <c r="Q30" s="30">
        <v>13805.67</v>
      </c>
      <c r="R30" s="7"/>
      <c r="S30" s="7"/>
      <c r="T30" s="7"/>
      <c r="U30" s="7"/>
      <c r="V30" s="7"/>
      <c r="W30" s="7"/>
      <c r="X30" s="7"/>
      <c r="Y30" s="7"/>
      <c r="Z30" s="7"/>
    </row>
    <row r="31" spans="1:26" ht="9" customHeight="1" x14ac:dyDescent="0.2">
      <c r="A31" s="534"/>
      <c r="B31" s="534"/>
      <c r="C31" s="34" t="s">
        <v>37</v>
      </c>
      <c r="D31" s="35">
        <v>25</v>
      </c>
      <c r="E31" s="36">
        <v>10872001</v>
      </c>
      <c r="F31" s="36">
        <v>1079993</v>
      </c>
      <c r="G31" s="36">
        <v>0</v>
      </c>
      <c r="H31" s="36">
        <v>10737372</v>
      </c>
      <c r="I31" s="36">
        <v>0</v>
      </c>
      <c r="J31" s="37">
        <v>1890787</v>
      </c>
      <c r="K31" s="36">
        <v>22689367</v>
      </c>
      <c r="L31" s="38">
        <v>24580154</v>
      </c>
      <c r="M31" s="39"/>
      <c r="N31" s="36">
        <v>22689367</v>
      </c>
      <c r="O31" s="36">
        <v>11951994</v>
      </c>
      <c r="P31" s="36">
        <v>0</v>
      </c>
      <c r="Q31" s="36">
        <v>26731505</v>
      </c>
      <c r="R31" s="7"/>
      <c r="S31" s="7"/>
      <c r="T31" s="7"/>
      <c r="U31" s="7"/>
      <c r="V31" s="7"/>
      <c r="W31" s="7"/>
      <c r="X31" s="7"/>
      <c r="Y31" s="7"/>
      <c r="Z31" s="7"/>
    </row>
    <row r="32" spans="1:26" ht="12.75" customHeight="1" x14ac:dyDescent="0.2">
      <c r="A32" s="534"/>
      <c r="B32" s="534"/>
      <c r="C32" s="40" t="s">
        <v>36</v>
      </c>
      <c r="D32" s="41">
        <v>26</v>
      </c>
      <c r="E32" s="42">
        <v>5726.47</v>
      </c>
      <c r="F32" s="42">
        <v>570.16999999999996</v>
      </c>
      <c r="G32" s="42">
        <v>0</v>
      </c>
      <c r="H32" s="42">
        <v>5545.39</v>
      </c>
      <c r="I32" s="42">
        <v>0</v>
      </c>
      <c r="J32" s="42">
        <v>986.84</v>
      </c>
      <c r="K32" s="43">
        <v>11842.03</v>
      </c>
      <c r="L32" s="32">
        <v>12828.87</v>
      </c>
      <c r="M32" s="33"/>
      <c r="N32" s="30">
        <v>11842.03</v>
      </c>
      <c r="O32" s="30">
        <v>6296.64</v>
      </c>
      <c r="P32" s="30"/>
      <c r="Q32" s="30">
        <v>13962.27</v>
      </c>
      <c r="R32" s="7"/>
      <c r="S32" s="7"/>
      <c r="T32" s="7"/>
      <c r="U32" s="7"/>
      <c r="V32" s="7"/>
      <c r="W32" s="7"/>
      <c r="X32" s="7"/>
      <c r="Y32" s="7"/>
      <c r="Z32" s="7"/>
    </row>
    <row r="33" spans="1:26" ht="9" customHeight="1" x14ac:dyDescent="0.2">
      <c r="A33" s="534"/>
      <c r="B33" s="534"/>
      <c r="C33" s="34" t="s">
        <v>37</v>
      </c>
      <c r="D33" s="35">
        <v>27</v>
      </c>
      <c r="E33" s="36">
        <v>11087992</v>
      </c>
      <c r="F33" s="36">
        <v>1104003</v>
      </c>
      <c r="G33" s="36">
        <v>0</v>
      </c>
      <c r="H33" s="36">
        <v>10737372</v>
      </c>
      <c r="I33" s="36">
        <v>0</v>
      </c>
      <c r="J33" s="37">
        <v>1910789</v>
      </c>
      <c r="K33" s="36">
        <v>22929367</v>
      </c>
      <c r="L33" s="38">
        <v>24840156</v>
      </c>
      <c r="M33" s="39"/>
      <c r="N33" s="36">
        <v>22929367</v>
      </c>
      <c r="O33" s="36">
        <v>12191995</v>
      </c>
      <c r="P33" s="36">
        <v>0</v>
      </c>
      <c r="Q33" s="36">
        <v>27034725</v>
      </c>
      <c r="R33" s="7"/>
      <c r="S33" s="7"/>
      <c r="T33" s="7"/>
      <c r="U33" s="7"/>
      <c r="V33" s="7"/>
      <c r="W33" s="7"/>
      <c r="X33" s="7"/>
      <c r="Y33" s="7"/>
      <c r="Z33" s="7"/>
    </row>
    <row r="34" spans="1:26" ht="12.75" customHeight="1" x14ac:dyDescent="0.2">
      <c r="A34" s="534"/>
      <c r="B34" s="534"/>
      <c r="C34" s="40" t="s">
        <v>36</v>
      </c>
      <c r="D34" s="41">
        <v>28</v>
      </c>
      <c r="E34" s="42">
        <v>5831.83</v>
      </c>
      <c r="F34" s="42">
        <v>582.55999999999995</v>
      </c>
      <c r="G34" s="42">
        <v>0</v>
      </c>
      <c r="H34" s="42">
        <v>5545.39</v>
      </c>
      <c r="I34" s="42">
        <v>0</v>
      </c>
      <c r="J34" s="42">
        <v>996.65</v>
      </c>
      <c r="K34" s="43">
        <v>11959.78</v>
      </c>
      <c r="L34" s="32">
        <v>12956.43</v>
      </c>
      <c r="M34" s="33"/>
      <c r="N34" s="30">
        <v>11959.78</v>
      </c>
      <c r="O34" s="30">
        <v>6414.39</v>
      </c>
      <c r="P34" s="30"/>
      <c r="Q34" s="30">
        <v>14111.02</v>
      </c>
      <c r="R34" s="7"/>
      <c r="S34" s="7"/>
      <c r="T34" s="7"/>
      <c r="U34" s="7"/>
      <c r="V34" s="7"/>
      <c r="W34" s="7"/>
      <c r="X34" s="7"/>
      <c r="Y34" s="7"/>
      <c r="Z34" s="7"/>
    </row>
    <row r="35" spans="1:26" ht="9" customHeight="1" x14ac:dyDescent="0.2">
      <c r="A35" s="534"/>
      <c r="B35" s="534"/>
      <c r="C35" s="34" t="s">
        <v>37</v>
      </c>
      <c r="D35" s="35">
        <v>29</v>
      </c>
      <c r="E35" s="36">
        <v>11291997</v>
      </c>
      <c r="F35" s="36">
        <v>1127993</v>
      </c>
      <c r="G35" s="36">
        <v>0</v>
      </c>
      <c r="H35" s="36">
        <v>10737372</v>
      </c>
      <c r="I35" s="36">
        <v>0</v>
      </c>
      <c r="J35" s="37">
        <v>1929783</v>
      </c>
      <c r="K35" s="36">
        <v>23157363</v>
      </c>
      <c r="L35" s="38">
        <v>25087147</v>
      </c>
      <c r="M35" s="39"/>
      <c r="N35" s="36">
        <v>23157363</v>
      </c>
      <c r="O35" s="36">
        <v>12419991</v>
      </c>
      <c r="P35" s="36">
        <v>0</v>
      </c>
      <c r="Q35" s="36">
        <v>27322745</v>
      </c>
      <c r="R35" s="7"/>
      <c r="S35" s="7"/>
      <c r="T35" s="7"/>
      <c r="U35" s="7"/>
      <c r="V35" s="7"/>
      <c r="W35" s="7"/>
      <c r="X35" s="7"/>
      <c r="Y35" s="7"/>
      <c r="Z35" s="7"/>
    </row>
    <row r="36" spans="1:26" ht="12.75" customHeight="1" x14ac:dyDescent="0.2">
      <c r="A36" s="534"/>
      <c r="B36" s="534"/>
      <c r="C36" s="40" t="s">
        <v>36</v>
      </c>
      <c r="D36" s="41">
        <v>30</v>
      </c>
      <c r="E36" s="42">
        <v>5943.39</v>
      </c>
      <c r="F36" s="42">
        <v>588.76</v>
      </c>
      <c r="G36" s="42">
        <v>0</v>
      </c>
      <c r="H36" s="42">
        <v>5545.39</v>
      </c>
      <c r="I36" s="42">
        <v>0</v>
      </c>
      <c r="J36" s="42">
        <v>1006.46</v>
      </c>
      <c r="K36" s="43">
        <v>12077.54</v>
      </c>
      <c r="L36" s="32">
        <v>13084</v>
      </c>
      <c r="M36" s="33"/>
      <c r="N36" s="30">
        <v>12077.54</v>
      </c>
      <c r="O36" s="30">
        <v>6532.15</v>
      </c>
      <c r="P36" s="30"/>
      <c r="Q36" s="30">
        <v>14259.79</v>
      </c>
      <c r="R36" s="7"/>
      <c r="S36" s="7"/>
      <c r="T36" s="7"/>
      <c r="U36" s="7"/>
      <c r="V36" s="7"/>
      <c r="W36" s="7"/>
      <c r="X36" s="7"/>
      <c r="Y36" s="7"/>
      <c r="Z36" s="7"/>
    </row>
    <row r="37" spans="1:26" ht="9" customHeight="1" x14ac:dyDescent="0.2">
      <c r="A37" s="534"/>
      <c r="B37" s="534"/>
      <c r="C37" s="34" t="s">
        <v>37</v>
      </c>
      <c r="D37" s="35">
        <v>31</v>
      </c>
      <c r="E37" s="36">
        <v>11508008</v>
      </c>
      <c r="F37" s="36">
        <v>1139998</v>
      </c>
      <c r="G37" s="36">
        <v>0</v>
      </c>
      <c r="H37" s="36">
        <v>10737372</v>
      </c>
      <c r="I37" s="36">
        <v>0</v>
      </c>
      <c r="J37" s="37">
        <v>1948778</v>
      </c>
      <c r="K37" s="36">
        <v>23385378</v>
      </c>
      <c r="L37" s="38">
        <v>25334157</v>
      </c>
      <c r="M37" s="39"/>
      <c r="N37" s="36">
        <v>23385378</v>
      </c>
      <c r="O37" s="36">
        <v>12648006</v>
      </c>
      <c r="P37" s="36">
        <v>0</v>
      </c>
      <c r="Q37" s="36">
        <v>27610804</v>
      </c>
      <c r="R37" s="7"/>
      <c r="S37" s="7"/>
      <c r="T37" s="7"/>
      <c r="U37" s="7"/>
      <c r="V37" s="7"/>
      <c r="W37" s="7"/>
      <c r="X37" s="7"/>
      <c r="Y37" s="7"/>
      <c r="Z37" s="7"/>
    </row>
    <row r="38" spans="1:26" ht="12.75" customHeight="1" x14ac:dyDescent="0.2">
      <c r="A38" s="534"/>
      <c r="B38" s="534"/>
      <c r="C38" s="40" t="s">
        <v>36</v>
      </c>
      <c r="D38" s="41">
        <v>32</v>
      </c>
      <c r="E38" s="42">
        <v>6048.74</v>
      </c>
      <c r="F38" s="42">
        <v>601.16</v>
      </c>
      <c r="G38" s="42">
        <v>0</v>
      </c>
      <c r="H38" s="42">
        <v>5545.39</v>
      </c>
      <c r="I38" s="42">
        <v>0</v>
      </c>
      <c r="J38" s="42">
        <v>1016.27</v>
      </c>
      <c r="K38" s="43">
        <v>12195.29</v>
      </c>
      <c r="L38" s="32">
        <v>13211.56</v>
      </c>
      <c r="M38" s="33"/>
      <c r="N38" s="30">
        <v>12195.29</v>
      </c>
      <c r="O38" s="30">
        <v>6649.9</v>
      </c>
      <c r="P38" s="30"/>
      <c r="Q38" s="30">
        <v>14408.54</v>
      </c>
      <c r="R38" s="7"/>
      <c r="S38" s="7"/>
      <c r="T38" s="7"/>
      <c r="U38" s="7"/>
      <c r="V38" s="7"/>
      <c r="W38" s="7"/>
      <c r="X38" s="7"/>
      <c r="Y38" s="7"/>
      <c r="Z38" s="7"/>
    </row>
    <row r="39" spans="1:26" ht="9" customHeight="1" x14ac:dyDescent="0.2">
      <c r="A39" s="534"/>
      <c r="B39" s="534"/>
      <c r="C39" s="34" t="s">
        <v>37</v>
      </c>
      <c r="D39" s="35">
        <v>33</v>
      </c>
      <c r="E39" s="36">
        <v>11711994</v>
      </c>
      <c r="F39" s="36">
        <v>1164008</v>
      </c>
      <c r="G39" s="36">
        <v>0</v>
      </c>
      <c r="H39" s="36">
        <v>10737372</v>
      </c>
      <c r="I39" s="36">
        <v>0</v>
      </c>
      <c r="J39" s="37">
        <v>1967773</v>
      </c>
      <c r="K39" s="36">
        <v>23613374</v>
      </c>
      <c r="L39" s="38">
        <v>25581147</v>
      </c>
      <c r="M39" s="39"/>
      <c r="N39" s="36">
        <v>23613374</v>
      </c>
      <c r="O39" s="36">
        <v>12876002</v>
      </c>
      <c r="P39" s="36">
        <v>0</v>
      </c>
      <c r="Q39" s="36">
        <v>27898824</v>
      </c>
      <c r="R39" s="7"/>
      <c r="S39" s="7"/>
      <c r="T39" s="7"/>
      <c r="U39" s="7"/>
      <c r="V39" s="7"/>
      <c r="W39" s="7"/>
      <c r="X39" s="7"/>
      <c r="Y39" s="7"/>
      <c r="Z39" s="7"/>
    </row>
    <row r="40" spans="1:26" ht="12.75" customHeight="1" x14ac:dyDescent="0.2">
      <c r="A40" s="534"/>
      <c r="B40" s="534"/>
      <c r="C40" s="40" t="s">
        <v>36</v>
      </c>
      <c r="D40" s="41">
        <v>34</v>
      </c>
      <c r="E40" s="42">
        <v>6160.3</v>
      </c>
      <c r="F40" s="42">
        <v>613.54999999999995</v>
      </c>
      <c r="G40" s="42">
        <v>0</v>
      </c>
      <c r="H40" s="42">
        <v>5545.39</v>
      </c>
      <c r="I40" s="42">
        <v>0</v>
      </c>
      <c r="J40" s="42">
        <v>1026.5999999999999</v>
      </c>
      <c r="K40" s="43">
        <v>12319.24</v>
      </c>
      <c r="L40" s="32">
        <v>13345.84</v>
      </c>
      <c r="M40" s="33"/>
      <c r="N40" s="30">
        <v>12319.24</v>
      </c>
      <c r="O40" s="30">
        <v>6773.85</v>
      </c>
      <c r="P40" s="30"/>
      <c r="Q40" s="30">
        <v>14565.13</v>
      </c>
      <c r="R40" s="7"/>
      <c r="S40" s="7"/>
      <c r="T40" s="7"/>
      <c r="U40" s="7"/>
      <c r="V40" s="7"/>
      <c r="W40" s="7"/>
      <c r="X40" s="7"/>
      <c r="Y40" s="7"/>
      <c r="Z40" s="7"/>
    </row>
    <row r="41" spans="1:26" ht="9" customHeight="1" x14ac:dyDescent="0.2">
      <c r="A41" s="534"/>
      <c r="B41" s="534"/>
      <c r="C41" s="34" t="s">
        <v>37</v>
      </c>
      <c r="D41" s="35">
        <v>35</v>
      </c>
      <c r="E41" s="36">
        <v>11928004</v>
      </c>
      <c r="F41" s="36">
        <v>1187998</v>
      </c>
      <c r="G41" s="36">
        <v>0</v>
      </c>
      <c r="H41" s="36">
        <v>10737372</v>
      </c>
      <c r="I41" s="36">
        <v>0</v>
      </c>
      <c r="J41" s="37">
        <v>1987775</v>
      </c>
      <c r="K41" s="36">
        <v>23853375</v>
      </c>
      <c r="L41" s="38">
        <v>25841150</v>
      </c>
      <c r="M41" s="39"/>
      <c r="N41" s="36">
        <v>23853375</v>
      </c>
      <c r="O41" s="36">
        <v>13116003</v>
      </c>
      <c r="P41" s="36">
        <v>0</v>
      </c>
      <c r="Q41" s="36">
        <v>28202024</v>
      </c>
      <c r="R41" s="7"/>
      <c r="S41" s="7"/>
      <c r="T41" s="7"/>
      <c r="U41" s="7"/>
      <c r="V41" s="7"/>
      <c r="W41" s="7"/>
      <c r="X41" s="7"/>
      <c r="Y41" s="7"/>
      <c r="Z41" s="7"/>
    </row>
    <row r="42" spans="1:26" ht="12.75" customHeight="1" x14ac:dyDescent="0.2">
      <c r="A42" s="534"/>
      <c r="B42" s="534"/>
      <c r="C42" s="40" t="s">
        <v>36</v>
      </c>
      <c r="D42" s="41">
        <v>36</v>
      </c>
      <c r="E42" s="42">
        <v>6265.66</v>
      </c>
      <c r="F42" s="42">
        <v>625.95000000000005</v>
      </c>
      <c r="G42" s="42">
        <v>0</v>
      </c>
      <c r="H42" s="42">
        <v>5545.39</v>
      </c>
      <c r="I42" s="42">
        <v>0</v>
      </c>
      <c r="J42" s="42">
        <v>1036.42</v>
      </c>
      <c r="K42" s="43">
        <v>12437</v>
      </c>
      <c r="L42" s="32">
        <v>13473.42</v>
      </c>
      <c r="M42" s="33"/>
      <c r="N42" s="30">
        <v>12437</v>
      </c>
      <c r="O42" s="30">
        <v>6891.61</v>
      </c>
      <c r="P42" s="30"/>
      <c r="Q42" s="30">
        <v>14713.91</v>
      </c>
      <c r="R42" s="7"/>
      <c r="S42" s="7"/>
      <c r="T42" s="7"/>
      <c r="U42" s="7"/>
      <c r="V42" s="7"/>
      <c r="W42" s="7"/>
      <c r="X42" s="7"/>
      <c r="Y42" s="7"/>
      <c r="Z42" s="7"/>
    </row>
    <row r="43" spans="1:26" ht="9" customHeight="1" x14ac:dyDescent="0.2">
      <c r="A43" s="534"/>
      <c r="B43" s="534"/>
      <c r="C43" s="34" t="s">
        <v>37</v>
      </c>
      <c r="D43" s="35">
        <v>37</v>
      </c>
      <c r="E43" s="36">
        <v>12132009</v>
      </c>
      <c r="F43" s="36">
        <v>1212008</v>
      </c>
      <c r="G43" s="36">
        <v>0</v>
      </c>
      <c r="H43" s="36">
        <v>10737372</v>
      </c>
      <c r="I43" s="36">
        <v>0</v>
      </c>
      <c r="J43" s="37">
        <v>2006789</v>
      </c>
      <c r="K43" s="36">
        <v>24081390</v>
      </c>
      <c r="L43" s="38">
        <v>26088179</v>
      </c>
      <c r="M43" s="39"/>
      <c r="N43" s="36">
        <v>24081390</v>
      </c>
      <c r="O43" s="36">
        <v>13344018</v>
      </c>
      <c r="P43" s="36">
        <v>0</v>
      </c>
      <c r="Q43" s="36">
        <v>28490103</v>
      </c>
      <c r="R43" s="7"/>
      <c r="S43" s="7"/>
      <c r="T43" s="7"/>
      <c r="U43" s="7"/>
      <c r="V43" s="7"/>
      <c r="W43" s="7"/>
      <c r="X43" s="7"/>
      <c r="Y43" s="7"/>
      <c r="Z43" s="7"/>
    </row>
    <row r="44" spans="1:26" ht="12.75" customHeight="1" x14ac:dyDescent="0.2">
      <c r="A44" s="534"/>
      <c r="B44" s="534"/>
      <c r="C44" s="40" t="s">
        <v>36</v>
      </c>
      <c r="D44" s="41">
        <v>38</v>
      </c>
      <c r="E44" s="42">
        <v>6377.21</v>
      </c>
      <c r="F44" s="42">
        <v>632.14</v>
      </c>
      <c r="G44" s="42">
        <v>0</v>
      </c>
      <c r="H44" s="42">
        <v>5545.39</v>
      </c>
      <c r="I44" s="42">
        <v>0</v>
      </c>
      <c r="J44" s="42">
        <v>1046.23</v>
      </c>
      <c r="K44" s="43">
        <v>12554.74</v>
      </c>
      <c r="L44" s="32">
        <v>13600.97</v>
      </c>
      <c r="M44" s="33"/>
      <c r="N44" s="30">
        <v>12554.74</v>
      </c>
      <c r="O44" s="30">
        <v>7009.35</v>
      </c>
      <c r="P44" s="30"/>
      <c r="Q44" s="30">
        <v>14862.65</v>
      </c>
      <c r="R44" s="7"/>
      <c r="S44" s="7"/>
      <c r="T44" s="7"/>
      <c r="U44" s="7"/>
      <c r="V44" s="7"/>
      <c r="W44" s="7"/>
      <c r="X44" s="7"/>
      <c r="Y44" s="7"/>
      <c r="Z44" s="7"/>
    </row>
    <row r="45" spans="1:26" ht="9" customHeight="1" x14ac:dyDescent="0.2">
      <c r="A45" s="534"/>
      <c r="B45" s="534"/>
      <c r="C45" s="34" t="s">
        <v>37</v>
      </c>
      <c r="D45" s="35">
        <v>39</v>
      </c>
      <c r="E45" s="36">
        <v>12348000</v>
      </c>
      <c r="F45" s="36">
        <v>1223994</v>
      </c>
      <c r="G45" s="36">
        <v>0</v>
      </c>
      <c r="H45" s="36">
        <v>10737372</v>
      </c>
      <c r="I45" s="36">
        <v>0</v>
      </c>
      <c r="J45" s="37">
        <v>2025784</v>
      </c>
      <c r="K45" s="36">
        <v>24309366</v>
      </c>
      <c r="L45" s="38">
        <v>26335150</v>
      </c>
      <c r="M45" s="39"/>
      <c r="N45" s="36">
        <v>24309366</v>
      </c>
      <c r="O45" s="36">
        <v>13571994</v>
      </c>
      <c r="P45" s="36">
        <v>0</v>
      </c>
      <c r="Q45" s="36">
        <v>28778103</v>
      </c>
      <c r="R45" s="7"/>
      <c r="S45" s="7"/>
      <c r="T45" s="7"/>
      <c r="U45" s="7"/>
      <c r="V45" s="7"/>
      <c r="W45" s="7"/>
      <c r="X45" s="7"/>
      <c r="Y45" s="7"/>
      <c r="Z45" s="7"/>
    </row>
    <row r="46" spans="1:26" ht="9" customHeight="1" x14ac:dyDescent="0.2">
      <c r="A46" s="534"/>
      <c r="B46" s="534"/>
      <c r="C46" s="44"/>
      <c r="D46" s="45"/>
      <c r="E46" s="96"/>
      <c r="F46" s="96"/>
      <c r="G46" s="96"/>
      <c r="H46" s="96"/>
      <c r="I46" s="96"/>
      <c r="J46" s="54"/>
      <c r="K46" s="96"/>
      <c r="L46" s="96"/>
      <c r="M46" s="39"/>
      <c r="N46" s="96"/>
      <c r="O46" s="96"/>
      <c r="P46" s="96"/>
      <c r="Q46" s="96"/>
      <c r="R46" s="7"/>
      <c r="S46" s="7"/>
      <c r="T46" s="7"/>
      <c r="U46" s="7"/>
      <c r="V46" s="7"/>
      <c r="W46" s="7"/>
      <c r="X46" s="7"/>
      <c r="Y46" s="7"/>
      <c r="Z46" s="7"/>
    </row>
    <row r="47" spans="1:26" ht="9" customHeight="1" x14ac:dyDescent="0.2">
      <c r="A47" s="534"/>
      <c r="B47" s="534"/>
      <c r="C47" s="44"/>
      <c r="D47" s="45"/>
      <c r="E47" s="96"/>
      <c r="F47" s="96"/>
      <c r="G47" s="96"/>
      <c r="H47" s="96"/>
      <c r="I47" s="96"/>
      <c r="J47" s="54"/>
      <c r="K47" s="96"/>
      <c r="L47" s="96"/>
      <c r="M47" s="39"/>
      <c r="N47" s="96"/>
      <c r="O47" s="96"/>
      <c r="P47" s="96"/>
      <c r="Q47" s="96"/>
      <c r="R47" s="7"/>
      <c r="S47" s="7"/>
      <c r="T47" s="7"/>
      <c r="U47" s="7"/>
      <c r="V47" s="7"/>
      <c r="W47" s="7"/>
      <c r="X47" s="7"/>
      <c r="Y47" s="7"/>
      <c r="Z47" s="7"/>
    </row>
    <row r="48" spans="1:26" ht="12.75" customHeight="1" x14ac:dyDescent="0.2">
      <c r="A48" s="534"/>
      <c r="B48" s="534"/>
      <c r="C48" s="40" t="s">
        <v>36</v>
      </c>
      <c r="D48" s="41">
        <v>40</v>
      </c>
      <c r="E48" s="42">
        <v>6482.57</v>
      </c>
      <c r="F48" s="42">
        <v>644.54</v>
      </c>
      <c r="G48" s="42">
        <v>0</v>
      </c>
      <c r="H48" s="42">
        <v>5545.39</v>
      </c>
      <c r="I48" s="42">
        <v>0</v>
      </c>
      <c r="J48" s="42">
        <v>1056.04</v>
      </c>
      <c r="K48" s="43">
        <v>12672.5</v>
      </c>
      <c r="L48" s="32">
        <v>13728.54</v>
      </c>
      <c r="M48" s="33"/>
      <c r="N48" s="30">
        <v>12672.5</v>
      </c>
      <c r="O48" s="30">
        <v>7127.11</v>
      </c>
      <c r="P48" s="30"/>
      <c r="Q48" s="30">
        <v>15011.42</v>
      </c>
      <c r="R48" s="7"/>
      <c r="S48" s="7"/>
      <c r="T48" s="7"/>
      <c r="U48" s="7"/>
      <c r="V48" s="7"/>
      <c r="W48" s="7"/>
      <c r="X48" s="7"/>
      <c r="Y48" s="7"/>
      <c r="Z48" s="7"/>
    </row>
    <row r="49" spans="1:26" ht="9" customHeight="1" x14ac:dyDescent="0.2">
      <c r="A49" s="535"/>
      <c r="B49" s="535"/>
      <c r="C49" s="47"/>
      <c r="D49" s="48"/>
      <c r="E49" s="46">
        <v>12552006</v>
      </c>
      <c r="F49" s="46">
        <v>1248003</v>
      </c>
      <c r="G49" s="46">
        <v>0</v>
      </c>
      <c r="H49" s="46">
        <v>10737372</v>
      </c>
      <c r="I49" s="46">
        <v>0</v>
      </c>
      <c r="J49" s="49">
        <v>2044779</v>
      </c>
      <c r="K49" s="46">
        <v>24537382</v>
      </c>
      <c r="L49" s="38">
        <v>26582160</v>
      </c>
      <c r="M49" s="39"/>
      <c r="N49" s="46">
        <v>24537382</v>
      </c>
      <c r="O49" s="46">
        <v>13800009</v>
      </c>
      <c r="P49" s="46">
        <v>0</v>
      </c>
      <c r="Q49" s="36">
        <v>29066162</v>
      </c>
      <c r="R49" s="7"/>
      <c r="S49" s="7"/>
      <c r="T49" s="7"/>
      <c r="U49" s="7"/>
      <c r="V49" s="7"/>
      <c r="W49" s="7"/>
      <c r="X49" s="7"/>
      <c r="Y49" s="7"/>
      <c r="Z49" s="7"/>
    </row>
    <row r="50" spans="1:26" ht="12.75" customHeight="1" x14ac:dyDescent="0.2">
      <c r="A50" s="538">
        <v>33178</v>
      </c>
      <c r="B50" s="538">
        <v>33358</v>
      </c>
      <c r="C50" s="28" t="s">
        <v>36</v>
      </c>
      <c r="D50" s="29">
        <v>0</v>
      </c>
      <c r="E50" s="30">
        <v>3390.02</v>
      </c>
      <c r="F50" s="30">
        <v>334.66</v>
      </c>
      <c r="G50" s="30">
        <v>0</v>
      </c>
      <c r="H50" s="30">
        <v>5737.14</v>
      </c>
      <c r="I50" s="30">
        <v>0</v>
      </c>
      <c r="J50" s="30">
        <v>788.49</v>
      </c>
      <c r="K50" s="31">
        <v>9461.82</v>
      </c>
      <c r="L50" s="32">
        <v>10250.31</v>
      </c>
      <c r="M50" s="33"/>
      <c r="N50" s="30">
        <v>9461.82</v>
      </c>
      <c r="O50" s="30">
        <v>3724.68</v>
      </c>
      <c r="P50" s="30"/>
      <c r="Q50" s="30">
        <v>10920.75</v>
      </c>
      <c r="R50" s="7"/>
      <c r="S50" s="7"/>
      <c r="T50" s="7"/>
      <c r="U50" s="7"/>
      <c r="V50" s="7"/>
      <c r="W50" s="7"/>
      <c r="X50" s="7"/>
      <c r="Y50" s="7"/>
      <c r="Z50" s="7"/>
    </row>
    <row r="51" spans="1:26" ht="9" customHeight="1" x14ac:dyDescent="0.2">
      <c r="A51" s="534"/>
      <c r="B51" s="534"/>
      <c r="C51" s="34" t="s">
        <v>37</v>
      </c>
      <c r="D51" s="35">
        <v>1</v>
      </c>
      <c r="E51" s="36">
        <v>6563994</v>
      </c>
      <c r="F51" s="36">
        <v>647992</v>
      </c>
      <c r="G51" s="36">
        <v>0</v>
      </c>
      <c r="H51" s="36">
        <v>11108652</v>
      </c>
      <c r="I51" s="36">
        <v>0</v>
      </c>
      <c r="J51" s="37">
        <v>1526730</v>
      </c>
      <c r="K51" s="36">
        <v>18320638</v>
      </c>
      <c r="L51" s="38">
        <v>19847368</v>
      </c>
      <c r="M51" s="39"/>
      <c r="N51" s="36">
        <v>18320638</v>
      </c>
      <c r="O51" s="36">
        <v>7211986</v>
      </c>
      <c r="P51" s="36">
        <v>0</v>
      </c>
      <c r="Q51" s="36">
        <v>21145521</v>
      </c>
      <c r="R51" s="7"/>
      <c r="S51" s="7"/>
      <c r="T51" s="7"/>
      <c r="U51" s="7"/>
      <c r="V51" s="7"/>
      <c r="W51" s="7"/>
      <c r="X51" s="7"/>
      <c r="Y51" s="7"/>
      <c r="Z51" s="7"/>
    </row>
    <row r="52" spans="1:26" ht="12.75" customHeight="1" x14ac:dyDescent="0.2">
      <c r="A52" s="540">
        <v>33178</v>
      </c>
      <c r="B52" s="540">
        <v>33358</v>
      </c>
      <c r="C52" s="40" t="s">
        <v>36</v>
      </c>
      <c r="D52" s="41">
        <v>2</v>
      </c>
      <c r="E52" s="42">
        <v>3557.36</v>
      </c>
      <c r="F52" s="42">
        <v>353.26</v>
      </c>
      <c r="G52" s="42">
        <v>0</v>
      </c>
      <c r="H52" s="42">
        <v>5737.14</v>
      </c>
      <c r="I52" s="42">
        <v>0</v>
      </c>
      <c r="J52" s="42">
        <v>803.98</v>
      </c>
      <c r="K52" s="43">
        <v>9647.76</v>
      </c>
      <c r="L52" s="32">
        <v>10451.74</v>
      </c>
      <c r="M52" s="33"/>
      <c r="N52" s="30">
        <v>9647.76</v>
      </c>
      <c r="O52" s="30">
        <v>3910.62</v>
      </c>
      <c r="P52" s="30"/>
      <c r="Q52" s="30">
        <v>11155.65</v>
      </c>
      <c r="R52" s="7"/>
      <c r="S52" s="7"/>
      <c r="T52" s="7"/>
      <c r="U52" s="7"/>
      <c r="V52" s="7"/>
      <c r="W52" s="7"/>
      <c r="X52" s="7"/>
      <c r="Y52" s="7"/>
      <c r="Z52" s="7"/>
    </row>
    <row r="53" spans="1:26" ht="9" customHeight="1" x14ac:dyDescent="0.2">
      <c r="A53" s="534"/>
      <c r="B53" s="534"/>
      <c r="C53" s="34" t="s">
        <v>37</v>
      </c>
      <c r="D53" s="35">
        <v>3</v>
      </c>
      <c r="E53" s="36">
        <v>6888009</v>
      </c>
      <c r="F53" s="36">
        <v>684007</v>
      </c>
      <c r="G53" s="36">
        <v>0</v>
      </c>
      <c r="H53" s="36">
        <v>11108652</v>
      </c>
      <c r="I53" s="36">
        <v>0</v>
      </c>
      <c r="J53" s="37">
        <v>1556722</v>
      </c>
      <c r="K53" s="36">
        <v>18680668</v>
      </c>
      <c r="L53" s="38">
        <v>20237391</v>
      </c>
      <c r="M53" s="39"/>
      <c r="N53" s="36">
        <v>18680668</v>
      </c>
      <c r="O53" s="36">
        <v>7572016</v>
      </c>
      <c r="P53" s="36">
        <v>0</v>
      </c>
      <c r="Q53" s="36">
        <v>21600350</v>
      </c>
      <c r="R53" s="7"/>
      <c r="S53" s="7"/>
      <c r="T53" s="7"/>
      <c r="U53" s="7"/>
      <c r="V53" s="7"/>
      <c r="W53" s="7"/>
      <c r="X53" s="7"/>
      <c r="Y53" s="7"/>
      <c r="Z53" s="7"/>
    </row>
    <row r="54" spans="1:26" ht="12.75" customHeight="1" x14ac:dyDescent="0.2">
      <c r="A54" s="534"/>
      <c r="B54" s="534"/>
      <c r="C54" s="40" t="s">
        <v>36</v>
      </c>
      <c r="D54" s="41">
        <v>4</v>
      </c>
      <c r="E54" s="42">
        <v>3730.88</v>
      </c>
      <c r="F54" s="42">
        <v>371.85</v>
      </c>
      <c r="G54" s="42">
        <v>0</v>
      </c>
      <c r="H54" s="42">
        <v>5737.14</v>
      </c>
      <c r="I54" s="42">
        <v>0</v>
      </c>
      <c r="J54" s="42">
        <v>819.99</v>
      </c>
      <c r="K54" s="43">
        <v>9839.8700000000008</v>
      </c>
      <c r="L54" s="32">
        <v>10659.86</v>
      </c>
      <c r="M54" s="33"/>
      <c r="N54" s="30">
        <v>9839.8700000000008</v>
      </c>
      <c r="O54" s="30">
        <v>4102.7299999999996</v>
      </c>
      <c r="P54" s="30"/>
      <c r="Q54" s="30">
        <v>11398.35</v>
      </c>
      <c r="R54" s="7"/>
      <c r="S54" s="7"/>
      <c r="T54" s="7"/>
      <c r="U54" s="7"/>
      <c r="V54" s="7"/>
      <c r="W54" s="7"/>
      <c r="X54" s="7"/>
      <c r="Y54" s="7"/>
      <c r="Z54" s="7"/>
    </row>
    <row r="55" spans="1:26" ht="9" customHeight="1" x14ac:dyDescent="0.2">
      <c r="A55" s="534"/>
      <c r="B55" s="534"/>
      <c r="C55" s="34" t="s">
        <v>37</v>
      </c>
      <c r="D55" s="35">
        <v>5</v>
      </c>
      <c r="E55" s="36">
        <v>7223991</v>
      </c>
      <c r="F55" s="36">
        <v>720002</v>
      </c>
      <c r="G55" s="36">
        <v>0</v>
      </c>
      <c r="H55" s="36">
        <v>11108652</v>
      </c>
      <c r="I55" s="36">
        <v>0</v>
      </c>
      <c r="J55" s="37">
        <v>1587722</v>
      </c>
      <c r="K55" s="36">
        <v>19052645</v>
      </c>
      <c r="L55" s="38">
        <v>20640367</v>
      </c>
      <c r="M55" s="39"/>
      <c r="N55" s="36">
        <v>19052645</v>
      </c>
      <c r="O55" s="36">
        <v>7943993</v>
      </c>
      <c r="P55" s="36">
        <v>0</v>
      </c>
      <c r="Q55" s="36">
        <v>22070283</v>
      </c>
      <c r="R55" s="7"/>
      <c r="S55" s="7"/>
      <c r="T55" s="7"/>
      <c r="U55" s="7"/>
      <c r="V55" s="7"/>
      <c r="W55" s="7"/>
      <c r="X55" s="7"/>
      <c r="Y55" s="7"/>
      <c r="Z55" s="7"/>
    </row>
    <row r="56" spans="1:26" ht="12.75" customHeight="1" x14ac:dyDescent="0.2">
      <c r="A56" s="534"/>
      <c r="B56" s="534"/>
      <c r="C56" s="40" t="s">
        <v>36</v>
      </c>
      <c r="D56" s="41">
        <v>6</v>
      </c>
      <c r="E56" s="42">
        <v>4003.57</v>
      </c>
      <c r="F56" s="42">
        <v>396.64</v>
      </c>
      <c r="G56" s="42">
        <v>0</v>
      </c>
      <c r="H56" s="42">
        <v>5737.14</v>
      </c>
      <c r="I56" s="42">
        <v>0</v>
      </c>
      <c r="J56" s="42">
        <v>844.78</v>
      </c>
      <c r="K56" s="43">
        <v>10137.35</v>
      </c>
      <c r="L56" s="32">
        <v>10982.13</v>
      </c>
      <c r="M56" s="33"/>
      <c r="N56" s="30">
        <v>10137.35</v>
      </c>
      <c r="O56" s="30">
        <v>4400.21</v>
      </c>
      <c r="P56" s="30"/>
      <c r="Q56" s="30">
        <v>11774.17</v>
      </c>
      <c r="R56" s="7"/>
      <c r="S56" s="7"/>
      <c r="T56" s="7"/>
      <c r="U56" s="7"/>
      <c r="V56" s="7"/>
      <c r="W56" s="7"/>
      <c r="X56" s="7"/>
      <c r="Y56" s="7"/>
      <c r="Z56" s="7"/>
    </row>
    <row r="57" spans="1:26" ht="9" customHeight="1" x14ac:dyDescent="0.2">
      <c r="A57" s="534"/>
      <c r="B57" s="534"/>
      <c r="C57" s="34" t="s">
        <v>37</v>
      </c>
      <c r="D57" s="35">
        <v>7</v>
      </c>
      <c r="E57" s="36">
        <v>7751992</v>
      </c>
      <c r="F57" s="36">
        <v>768002</v>
      </c>
      <c r="G57" s="36">
        <v>0</v>
      </c>
      <c r="H57" s="36">
        <v>11108652</v>
      </c>
      <c r="I57" s="36">
        <v>0</v>
      </c>
      <c r="J57" s="37">
        <v>1635722</v>
      </c>
      <c r="K57" s="36">
        <v>19628647</v>
      </c>
      <c r="L57" s="38">
        <v>21264369</v>
      </c>
      <c r="M57" s="39"/>
      <c r="N57" s="36">
        <v>19628647</v>
      </c>
      <c r="O57" s="36">
        <v>8519995</v>
      </c>
      <c r="P57" s="36">
        <v>0</v>
      </c>
      <c r="Q57" s="36">
        <v>22797972</v>
      </c>
      <c r="R57" s="7"/>
      <c r="S57" s="7"/>
      <c r="T57" s="7"/>
      <c r="U57" s="7"/>
      <c r="V57" s="7"/>
      <c r="W57" s="7"/>
      <c r="X57" s="7"/>
      <c r="Y57" s="7"/>
      <c r="Z57" s="7"/>
    </row>
    <row r="58" spans="1:26" ht="12.75" customHeight="1" x14ac:dyDescent="0.2">
      <c r="A58" s="534"/>
      <c r="B58" s="534"/>
      <c r="C58" s="40" t="s">
        <v>36</v>
      </c>
      <c r="D58" s="41">
        <v>8</v>
      </c>
      <c r="E58" s="42">
        <v>4201.8900000000003</v>
      </c>
      <c r="F58" s="42">
        <v>415.23</v>
      </c>
      <c r="G58" s="42">
        <v>0</v>
      </c>
      <c r="H58" s="42">
        <v>5737.14</v>
      </c>
      <c r="I58" s="42">
        <v>0</v>
      </c>
      <c r="J58" s="42">
        <v>862.86</v>
      </c>
      <c r="K58" s="43">
        <v>10354.26</v>
      </c>
      <c r="L58" s="32">
        <v>11217.12</v>
      </c>
      <c r="M58" s="33"/>
      <c r="N58" s="30">
        <v>10354.26</v>
      </c>
      <c r="O58" s="30">
        <v>4617.12</v>
      </c>
      <c r="P58" s="30"/>
      <c r="Q58" s="30">
        <v>12048.2</v>
      </c>
      <c r="R58" s="7"/>
      <c r="S58" s="7"/>
      <c r="T58" s="7"/>
      <c r="U58" s="7"/>
      <c r="V58" s="7"/>
      <c r="W58" s="7"/>
      <c r="X58" s="7"/>
      <c r="Y58" s="7"/>
      <c r="Z58" s="7"/>
    </row>
    <row r="59" spans="1:26" ht="9" customHeight="1" x14ac:dyDescent="0.2">
      <c r="A59" s="534"/>
      <c r="B59" s="534"/>
      <c r="C59" s="34" t="s">
        <v>37</v>
      </c>
      <c r="D59" s="35">
        <v>9</v>
      </c>
      <c r="E59" s="36">
        <v>8135994</v>
      </c>
      <c r="F59" s="36">
        <v>803997</v>
      </c>
      <c r="G59" s="36">
        <v>0</v>
      </c>
      <c r="H59" s="36">
        <v>11108652</v>
      </c>
      <c r="I59" s="36">
        <v>0</v>
      </c>
      <c r="J59" s="37">
        <v>1670730</v>
      </c>
      <c r="K59" s="36">
        <v>20048643</v>
      </c>
      <c r="L59" s="38">
        <v>21719373</v>
      </c>
      <c r="M59" s="39"/>
      <c r="N59" s="36">
        <v>20048643</v>
      </c>
      <c r="O59" s="36">
        <v>8939991</v>
      </c>
      <c r="P59" s="36">
        <v>0</v>
      </c>
      <c r="Q59" s="36">
        <v>23328568</v>
      </c>
      <c r="R59" s="7"/>
      <c r="S59" s="7"/>
      <c r="T59" s="7"/>
      <c r="U59" s="7"/>
      <c r="V59" s="7"/>
      <c r="W59" s="7"/>
      <c r="X59" s="7"/>
      <c r="Y59" s="7"/>
      <c r="Z59" s="7"/>
    </row>
    <row r="60" spans="1:26" ht="12.75" customHeight="1" x14ac:dyDescent="0.2">
      <c r="A60" s="534"/>
      <c r="B60" s="534"/>
      <c r="C60" s="40" t="s">
        <v>36</v>
      </c>
      <c r="D60" s="41">
        <v>10</v>
      </c>
      <c r="E60" s="42">
        <v>4400.21</v>
      </c>
      <c r="F60" s="42">
        <v>440.02</v>
      </c>
      <c r="G60" s="42">
        <v>0</v>
      </c>
      <c r="H60" s="42">
        <v>5737.14</v>
      </c>
      <c r="I60" s="42">
        <v>0</v>
      </c>
      <c r="J60" s="42">
        <v>881.45</v>
      </c>
      <c r="K60" s="43">
        <v>10577.37</v>
      </c>
      <c r="L60" s="32">
        <v>11458.82</v>
      </c>
      <c r="M60" s="33"/>
      <c r="N60" s="30">
        <v>10577.37</v>
      </c>
      <c r="O60" s="30">
        <v>4840.2299999999996</v>
      </c>
      <c r="P60" s="30"/>
      <c r="Q60" s="30">
        <v>12330.06</v>
      </c>
      <c r="R60" s="7"/>
      <c r="S60" s="7"/>
      <c r="T60" s="7"/>
      <c r="U60" s="7"/>
      <c r="V60" s="7"/>
      <c r="W60" s="7"/>
      <c r="X60" s="7"/>
      <c r="Y60" s="7"/>
      <c r="Z60" s="7"/>
    </row>
    <row r="61" spans="1:26" ht="9" customHeight="1" x14ac:dyDescent="0.2">
      <c r="A61" s="534"/>
      <c r="B61" s="534"/>
      <c r="C61" s="34" t="s">
        <v>37</v>
      </c>
      <c r="D61" s="35">
        <v>11</v>
      </c>
      <c r="E61" s="36">
        <v>8519995</v>
      </c>
      <c r="F61" s="36">
        <v>851998</v>
      </c>
      <c r="G61" s="36">
        <v>0</v>
      </c>
      <c r="H61" s="36">
        <v>11108652</v>
      </c>
      <c r="I61" s="36">
        <v>0</v>
      </c>
      <c r="J61" s="37">
        <v>1706725</v>
      </c>
      <c r="K61" s="36">
        <v>20480644</v>
      </c>
      <c r="L61" s="38">
        <v>22187369</v>
      </c>
      <c r="M61" s="39"/>
      <c r="N61" s="36">
        <v>20480644</v>
      </c>
      <c r="O61" s="36">
        <v>9371992</v>
      </c>
      <c r="P61" s="36">
        <v>0</v>
      </c>
      <c r="Q61" s="36">
        <v>23874325</v>
      </c>
      <c r="R61" s="7"/>
      <c r="S61" s="7"/>
      <c r="T61" s="7"/>
      <c r="U61" s="7"/>
      <c r="V61" s="7"/>
      <c r="W61" s="7"/>
      <c r="X61" s="7"/>
      <c r="Y61" s="7"/>
      <c r="Z61" s="7"/>
    </row>
    <row r="62" spans="1:26" ht="12.75" customHeight="1" x14ac:dyDescent="0.2">
      <c r="A62" s="534"/>
      <c r="B62" s="534"/>
      <c r="C62" s="40" t="s">
        <v>36</v>
      </c>
      <c r="D62" s="41">
        <v>12</v>
      </c>
      <c r="E62" s="42">
        <v>4598.53</v>
      </c>
      <c r="F62" s="42">
        <v>458.61</v>
      </c>
      <c r="G62" s="42">
        <v>0</v>
      </c>
      <c r="H62" s="42">
        <v>5737.14</v>
      </c>
      <c r="I62" s="42">
        <v>0</v>
      </c>
      <c r="J62" s="42">
        <v>899.52</v>
      </c>
      <c r="K62" s="43">
        <v>10794.28</v>
      </c>
      <c r="L62" s="32">
        <v>11693.8</v>
      </c>
      <c r="M62" s="33"/>
      <c r="N62" s="30">
        <v>10794.28</v>
      </c>
      <c r="O62" s="30">
        <v>5057.1400000000003</v>
      </c>
      <c r="P62" s="30"/>
      <c r="Q62" s="30">
        <v>12604.09</v>
      </c>
      <c r="R62" s="7"/>
      <c r="S62" s="7"/>
      <c r="T62" s="7"/>
      <c r="U62" s="7"/>
      <c r="V62" s="7"/>
      <c r="W62" s="7"/>
      <c r="X62" s="7"/>
      <c r="Y62" s="7"/>
      <c r="Z62" s="7"/>
    </row>
    <row r="63" spans="1:26" ht="9" customHeight="1" x14ac:dyDescent="0.2">
      <c r="A63" s="534"/>
      <c r="B63" s="534"/>
      <c r="C63" s="34" t="s">
        <v>37</v>
      </c>
      <c r="D63" s="35">
        <v>13</v>
      </c>
      <c r="E63" s="36">
        <v>8903996</v>
      </c>
      <c r="F63" s="36">
        <v>887993</v>
      </c>
      <c r="G63" s="36">
        <v>0</v>
      </c>
      <c r="H63" s="36">
        <v>11108652</v>
      </c>
      <c r="I63" s="36">
        <v>0</v>
      </c>
      <c r="J63" s="37">
        <v>1741714</v>
      </c>
      <c r="K63" s="36">
        <v>20900641</v>
      </c>
      <c r="L63" s="38">
        <v>22642354</v>
      </c>
      <c r="M63" s="39"/>
      <c r="N63" s="36">
        <v>20900641</v>
      </c>
      <c r="O63" s="36">
        <v>9791988</v>
      </c>
      <c r="P63" s="36">
        <v>0</v>
      </c>
      <c r="Q63" s="36">
        <v>24404921</v>
      </c>
      <c r="R63" s="7"/>
      <c r="S63" s="7"/>
      <c r="T63" s="7"/>
      <c r="U63" s="7"/>
      <c r="V63" s="7"/>
      <c r="W63" s="7"/>
      <c r="X63" s="7"/>
      <c r="Y63" s="7"/>
      <c r="Z63" s="7"/>
    </row>
    <row r="64" spans="1:26" ht="12.75" customHeight="1" x14ac:dyDescent="0.2">
      <c r="A64" s="534"/>
      <c r="B64" s="534"/>
      <c r="C64" s="40" t="s">
        <v>36</v>
      </c>
      <c r="D64" s="41">
        <v>14</v>
      </c>
      <c r="E64" s="42">
        <v>4803.05</v>
      </c>
      <c r="F64" s="42">
        <v>477.21</v>
      </c>
      <c r="G64" s="42">
        <v>0</v>
      </c>
      <c r="H64" s="42">
        <v>5737.14</v>
      </c>
      <c r="I64" s="42">
        <v>0</v>
      </c>
      <c r="J64" s="42">
        <v>918.12</v>
      </c>
      <c r="K64" s="43">
        <v>11017.4</v>
      </c>
      <c r="L64" s="32">
        <v>11935.52</v>
      </c>
      <c r="M64" s="33"/>
      <c r="N64" s="30">
        <v>11017.4</v>
      </c>
      <c r="O64" s="30">
        <v>5280.26</v>
      </c>
      <c r="P64" s="30"/>
      <c r="Q64" s="30">
        <v>12885.97</v>
      </c>
      <c r="R64" s="7"/>
      <c r="S64" s="7"/>
      <c r="T64" s="7"/>
      <c r="U64" s="7"/>
      <c r="V64" s="7"/>
      <c r="W64" s="7"/>
      <c r="X64" s="7"/>
      <c r="Y64" s="7"/>
      <c r="Z64" s="7"/>
    </row>
    <row r="65" spans="1:26" ht="9" customHeight="1" x14ac:dyDescent="0.2">
      <c r="A65" s="534"/>
      <c r="B65" s="534"/>
      <c r="C65" s="34" t="s">
        <v>37</v>
      </c>
      <c r="D65" s="35">
        <v>15</v>
      </c>
      <c r="E65" s="36">
        <v>9300002</v>
      </c>
      <c r="F65" s="36">
        <v>924007</v>
      </c>
      <c r="G65" s="36">
        <v>0</v>
      </c>
      <c r="H65" s="36">
        <v>11108652</v>
      </c>
      <c r="I65" s="36">
        <v>0</v>
      </c>
      <c r="J65" s="37">
        <v>1777728</v>
      </c>
      <c r="K65" s="36">
        <v>21332661</v>
      </c>
      <c r="L65" s="38">
        <v>23110389</v>
      </c>
      <c r="M65" s="39"/>
      <c r="N65" s="36">
        <v>21332661</v>
      </c>
      <c r="O65" s="36">
        <v>10224009</v>
      </c>
      <c r="P65" s="36">
        <v>0</v>
      </c>
      <c r="Q65" s="36">
        <v>24950717</v>
      </c>
      <c r="R65" s="7"/>
      <c r="S65" s="7"/>
      <c r="T65" s="7"/>
      <c r="U65" s="7"/>
      <c r="V65" s="7"/>
      <c r="W65" s="7"/>
      <c r="X65" s="7"/>
      <c r="Y65" s="7"/>
      <c r="Z65" s="7"/>
    </row>
    <row r="66" spans="1:26" ht="12.75" customHeight="1" x14ac:dyDescent="0.2">
      <c r="A66" s="534"/>
      <c r="B66" s="534"/>
      <c r="C66" s="40" t="s">
        <v>36</v>
      </c>
      <c r="D66" s="41">
        <v>16</v>
      </c>
      <c r="E66" s="42">
        <v>5001.37</v>
      </c>
      <c r="F66" s="42">
        <v>495.8</v>
      </c>
      <c r="G66" s="42">
        <v>0</v>
      </c>
      <c r="H66" s="42">
        <v>5737.14</v>
      </c>
      <c r="I66" s="42">
        <v>0</v>
      </c>
      <c r="J66" s="42">
        <v>936.19</v>
      </c>
      <c r="K66" s="43">
        <v>11234.31</v>
      </c>
      <c r="L66" s="32">
        <v>12170.5</v>
      </c>
      <c r="M66" s="33"/>
      <c r="N66" s="30">
        <v>11234.31</v>
      </c>
      <c r="O66" s="30">
        <v>5497.17</v>
      </c>
      <c r="P66" s="30"/>
      <c r="Q66" s="30">
        <v>13159.99</v>
      </c>
      <c r="R66" s="7"/>
      <c r="S66" s="7"/>
      <c r="T66" s="7"/>
      <c r="U66" s="7"/>
      <c r="V66" s="7"/>
      <c r="W66" s="7"/>
      <c r="X66" s="7"/>
      <c r="Y66" s="7"/>
      <c r="Z66" s="7"/>
    </row>
    <row r="67" spans="1:26" ht="9" customHeight="1" x14ac:dyDescent="0.2">
      <c r="A67" s="534"/>
      <c r="B67" s="534"/>
      <c r="C67" s="34" t="s">
        <v>37</v>
      </c>
      <c r="D67" s="35">
        <v>17</v>
      </c>
      <c r="E67" s="36">
        <v>9684003</v>
      </c>
      <c r="F67" s="36">
        <v>960003</v>
      </c>
      <c r="G67" s="36">
        <v>0</v>
      </c>
      <c r="H67" s="36">
        <v>11108652</v>
      </c>
      <c r="I67" s="36">
        <v>0</v>
      </c>
      <c r="J67" s="37">
        <v>1812717</v>
      </c>
      <c r="K67" s="36">
        <v>21752657</v>
      </c>
      <c r="L67" s="38">
        <v>23565374</v>
      </c>
      <c r="M67" s="39"/>
      <c r="N67" s="36">
        <v>21752657</v>
      </c>
      <c r="O67" s="36">
        <v>10644005</v>
      </c>
      <c r="P67" s="36">
        <v>0</v>
      </c>
      <c r="Q67" s="36">
        <v>25481294</v>
      </c>
      <c r="R67" s="7"/>
      <c r="S67" s="7"/>
      <c r="T67" s="7"/>
      <c r="U67" s="7"/>
      <c r="V67" s="7"/>
      <c r="W67" s="7"/>
      <c r="X67" s="7"/>
      <c r="Y67" s="7"/>
      <c r="Z67" s="7"/>
    </row>
    <row r="68" spans="1:26" ht="12.75" customHeight="1" x14ac:dyDescent="0.2">
      <c r="A68" s="534"/>
      <c r="B68" s="534"/>
      <c r="C68" s="40" t="s">
        <v>36</v>
      </c>
      <c r="D68" s="41">
        <v>18</v>
      </c>
      <c r="E68" s="42">
        <v>5199.6899999999996</v>
      </c>
      <c r="F68" s="42">
        <v>514.39</v>
      </c>
      <c r="G68" s="42">
        <v>0</v>
      </c>
      <c r="H68" s="42">
        <v>5737.14</v>
      </c>
      <c r="I68" s="42">
        <v>0</v>
      </c>
      <c r="J68" s="42">
        <v>954.27</v>
      </c>
      <c r="K68" s="43">
        <v>11451.22</v>
      </c>
      <c r="L68" s="32">
        <v>12405.49</v>
      </c>
      <c r="M68" s="33"/>
      <c r="N68" s="30">
        <v>11451.22</v>
      </c>
      <c r="O68" s="30">
        <v>5714.08</v>
      </c>
      <c r="P68" s="30"/>
      <c r="Q68" s="30">
        <v>13434.02</v>
      </c>
      <c r="R68" s="7"/>
      <c r="S68" s="7"/>
      <c r="T68" s="7"/>
      <c r="U68" s="7"/>
      <c r="V68" s="7"/>
      <c r="W68" s="7"/>
      <c r="X68" s="7"/>
      <c r="Y68" s="7"/>
      <c r="Z68" s="7"/>
    </row>
    <row r="69" spans="1:26" ht="9" customHeight="1" x14ac:dyDescent="0.2">
      <c r="A69" s="534"/>
      <c r="B69" s="534"/>
      <c r="C69" s="34" t="s">
        <v>37</v>
      </c>
      <c r="D69" s="35">
        <v>19</v>
      </c>
      <c r="E69" s="36">
        <v>10068004</v>
      </c>
      <c r="F69" s="36">
        <v>995998</v>
      </c>
      <c r="G69" s="36">
        <v>0</v>
      </c>
      <c r="H69" s="36">
        <v>11108652</v>
      </c>
      <c r="I69" s="36">
        <v>0</v>
      </c>
      <c r="J69" s="37">
        <v>1847724</v>
      </c>
      <c r="K69" s="36">
        <v>22172654</v>
      </c>
      <c r="L69" s="38">
        <v>24020378</v>
      </c>
      <c r="M69" s="39"/>
      <c r="N69" s="36">
        <v>22172654</v>
      </c>
      <c r="O69" s="36">
        <v>11064002</v>
      </c>
      <c r="P69" s="36">
        <v>0</v>
      </c>
      <c r="Q69" s="36">
        <v>26011890</v>
      </c>
      <c r="R69" s="7"/>
      <c r="S69" s="7"/>
      <c r="T69" s="7"/>
      <c r="U69" s="7"/>
      <c r="V69" s="7"/>
      <c r="W69" s="7"/>
      <c r="X69" s="7"/>
      <c r="Y69" s="7"/>
      <c r="Z69" s="7"/>
    </row>
    <row r="70" spans="1:26" ht="12.75" customHeight="1" x14ac:dyDescent="0.2">
      <c r="A70" s="534"/>
      <c r="B70" s="534"/>
      <c r="C70" s="40" t="s">
        <v>36</v>
      </c>
      <c r="D70" s="41">
        <v>20</v>
      </c>
      <c r="E70" s="42">
        <v>5404.2</v>
      </c>
      <c r="F70" s="42">
        <v>539.17999999999995</v>
      </c>
      <c r="G70" s="42">
        <v>0</v>
      </c>
      <c r="H70" s="42">
        <v>5737.14</v>
      </c>
      <c r="I70" s="42">
        <v>0</v>
      </c>
      <c r="J70" s="42">
        <v>973.38</v>
      </c>
      <c r="K70" s="43">
        <v>11680.52</v>
      </c>
      <c r="L70" s="32">
        <v>12653.9</v>
      </c>
      <c r="M70" s="33"/>
      <c r="N70" s="30">
        <v>11680.52</v>
      </c>
      <c r="O70" s="30">
        <v>5943.38</v>
      </c>
      <c r="P70" s="30"/>
      <c r="Q70" s="30">
        <v>13723.71</v>
      </c>
      <c r="R70" s="7"/>
      <c r="S70" s="7"/>
      <c r="T70" s="7"/>
      <c r="U70" s="7"/>
      <c r="V70" s="7"/>
      <c r="W70" s="7"/>
      <c r="X70" s="7"/>
      <c r="Y70" s="7"/>
      <c r="Z70" s="7"/>
    </row>
    <row r="71" spans="1:26" ht="9" customHeight="1" x14ac:dyDescent="0.2">
      <c r="A71" s="534"/>
      <c r="B71" s="534"/>
      <c r="C71" s="34" t="s">
        <v>37</v>
      </c>
      <c r="D71" s="35">
        <v>21</v>
      </c>
      <c r="E71" s="36">
        <v>10463990</v>
      </c>
      <c r="F71" s="36">
        <v>1043998</v>
      </c>
      <c r="G71" s="36">
        <v>0</v>
      </c>
      <c r="H71" s="36">
        <v>11108652</v>
      </c>
      <c r="I71" s="36">
        <v>0</v>
      </c>
      <c r="J71" s="37">
        <v>1884726</v>
      </c>
      <c r="K71" s="36">
        <v>22616640</v>
      </c>
      <c r="L71" s="38">
        <v>24501367</v>
      </c>
      <c r="M71" s="39"/>
      <c r="N71" s="36">
        <v>22616640</v>
      </c>
      <c r="O71" s="36">
        <v>11507988</v>
      </c>
      <c r="P71" s="36">
        <v>0</v>
      </c>
      <c r="Q71" s="36">
        <v>26572808</v>
      </c>
      <c r="R71" s="7"/>
      <c r="S71" s="7"/>
      <c r="T71" s="7"/>
      <c r="U71" s="7"/>
      <c r="V71" s="7"/>
      <c r="W71" s="7"/>
      <c r="X71" s="7"/>
      <c r="Y71" s="7"/>
      <c r="Z71" s="7"/>
    </row>
    <row r="72" spans="1:26" ht="12.75" customHeight="1" x14ac:dyDescent="0.2">
      <c r="A72" s="534"/>
      <c r="B72" s="534"/>
      <c r="C72" s="40" t="s">
        <v>36</v>
      </c>
      <c r="D72" s="41">
        <v>22</v>
      </c>
      <c r="E72" s="42">
        <v>5509.56</v>
      </c>
      <c r="F72" s="42">
        <v>545.38</v>
      </c>
      <c r="G72" s="42">
        <v>0</v>
      </c>
      <c r="H72" s="42">
        <v>5737.14</v>
      </c>
      <c r="I72" s="42">
        <v>0</v>
      </c>
      <c r="J72" s="42">
        <v>982.67</v>
      </c>
      <c r="K72" s="43">
        <v>11792.08</v>
      </c>
      <c r="L72" s="32">
        <v>12774.75</v>
      </c>
      <c r="M72" s="33"/>
      <c r="N72" s="30">
        <v>11792.08</v>
      </c>
      <c r="O72" s="30">
        <v>6054.94</v>
      </c>
      <c r="P72" s="30"/>
      <c r="Q72" s="30">
        <v>13864.64</v>
      </c>
      <c r="R72" s="7"/>
      <c r="S72" s="7"/>
      <c r="T72" s="7"/>
      <c r="U72" s="7"/>
      <c r="V72" s="7"/>
      <c r="W72" s="7"/>
      <c r="X72" s="7"/>
      <c r="Y72" s="7"/>
      <c r="Z72" s="7"/>
    </row>
    <row r="73" spans="1:26" ht="9" customHeight="1" x14ac:dyDescent="0.2">
      <c r="A73" s="534"/>
      <c r="B73" s="534"/>
      <c r="C73" s="34" t="s">
        <v>37</v>
      </c>
      <c r="D73" s="35">
        <v>23</v>
      </c>
      <c r="E73" s="36">
        <v>10667996</v>
      </c>
      <c r="F73" s="36">
        <v>1056003</v>
      </c>
      <c r="G73" s="36">
        <v>0</v>
      </c>
      <c r="H73" s="36">
        <v>11108652</v>
      </c>
      <c r="I73" s="36">
        <v>0</v>
      </c>
      <c r="J73" s="37">
        <v>1902714</v>
      </c>
      <c r="K73" s="36">
        <v>22832651</v>
      </c>
      <c r="L73" s="38">
        <v>24735365</v>
      </c>
      <c r="M73" s="39"/>
      <c r="N73" s="36">
        <v>22832651</v>
      </c>
      <c r="O73" s="36">
        <v>11723999</v>
      </c>
      <c r="P73" s="36">
        <v>0</v>
      </c>
      <c r="Q73" s="36">
        <v>26845686</v>
      </c>
      <c r="R73" s="7"/>
      <c r="S73" s="7"/>
      <c r="T73" s="7"/>
      <c r="U73" s="7"/>
      <c r="V73" s="7"/>
      <c r="W73" s="7"/>
      <c r="X73" s="7"/>
      <c r="Y73" s="7"/>
      <c r="Z73" s="7"/>
    </row>
    <row r="74" spans="1:26" ht="12.75" customHeight="1" x14ac:dyDescent="0.2">
      <c r="A74" s="534"/>
      <c r="B74" s="534"/>
      <c r="C74" s="40" t="s">
        <v>36</v>
      </c>
      <c r="D74" s="41">
        <v>24</v>
      </c>
      <c r="E74" s="42">
        <v>5614.92</v>
      </c>
      <c r="F74" s="42">
        <v>557.77</v>
      </c>
      <c r="G74" s="42">
        <v>0</v>
      </c>
      <c r="H74" s="42">
        <v>5737.14</v>
      </c>
      <c r="I74" s="42">
        <v>0</v>
      </c>
      <c r="J74" s="42">
        <v>992.49</v>
      </c>
      <c r="K74" s="43">
        <v>11909.83</v>
      </c>
      <c r="L74" s="32">
        <v>12902.32</v>
      </c>
      <c r="M74" s="33"/>
      <c r="N74" s="30">
        <v>11909.83</v>
      </c>
      <c r="O74" s="30">
        <v>6172.69</v>
      </c>
      <c r="P74" s="30"/>
      <c r="Q74" s="30">
        <v>14013.4</v>
      </c>
      <c r="R74" s="7"/>
      <c r="S74" s="7"/>
      <c r="T74" s="7"/>
      <c r="U74" s="7"/>
      <c r="V74" s="7"/>
      <c r="W74" s="7"/>
      <c r="X74" s="7"/>
      <c r="Y74" s="7"/>
      <c r="Z74" s="7"/>
    </row>
    <row r="75" spans="1:26" ht="9" customHeight="1" x14ac:dyDescent="0.2">
      <c r="A75" s="534"/>
      <c r="B75" s="534"/>
      <c r="C75" s="34" t="s">
        <v>37</v>
      </c>
      <c r="D75" s="35">
        <v>25</v>
      </c>
      <c r="E75" s="36">
        <v>10872001</v>
      </c>
      <c r="F75" s="36">
        <v>1079993</v>
      </c>
      <c r="G75" s="36">
        <v>0</v>
      </c>
      <c r="H75" s="36">
        <v>11108652</v>
      </c>
      <c r="I75" s="36">
        <v>0</v>
      </c>
      <c r="J75" s="37">
        <v>1921729</v>
      </c>
      <c r="K75" s="36">
        <v>23060647</v>
      </c>
      <c r="L75" s="38">
        <v>24982375</v>
      </c>
      <c r="M75" s="39"/>
      <c r="N75" s="36">
        <v>23060647</v>
      </c>
      <c r="O75" s="36">
        <v>11951994</v>
      </c>
      <c r="P75" s="36">
        <v>0</v>
      </c>
      <c r="Q75" s="36">
        <v>27133726</v>
      </c>
      <c r="R75" s="7"/>
      <c r="S75" s="7"/>
      <c r="T75" s="7"/>
      <c r="U75" s="7"/>
      <c r="V75" s="7"/>
      <c r="W75" s="7"/>
      <c r="X75" s="7"/>
      <c r="Y75" s="7"/>
      <c r="Z75" s="7"/>
    </row>
    <row r="76" spans="1:26" ht="12.75" customHeight="1" x14ac:dyDescent="0.2">
      <c r="A76" s="534"/>
      <c r="B76" s="534"/>
      <c r="C76" s="40" t="s">
        <v>36</v>
      </c>
      <c r="D76" s="41">
        <v>26</v>
      </c>
      <c r="E76" s="42">
        <v>5726.47</v>
      </c>
      <c r="F76" s="42">
        <v>570.16999999999996</v>
      </c>
      <c r="G76" s="42">
        <v>0</v>
      </c>
      <c r="H76" s="42">
        <v>5737.14</v>
      </c>
      <c r="I76" s="42">
        <v>0</v>
      </c>
      <c r="J76" s="42">
        <v>1002.82</v>
      </c>
      <c r="K76" s="43">
        <v>12033.78</v>
      </c>
      <c r="L76" s="32">
        <v>13036.6</v>
      </c>
      <c r="M76" s="33"/>
      <c r="N76" s="30">
        <v>12033.78</v>
      </c>
      <c r="O76" s="30">
        <v>6296.64</v>
      </c>
      <c r="P76" s="30"/>
      <c r="Q76" s="30">
        <v>14170</v>
      </c>
      <c r="R76" s="7"/>
      <c r="S76" s="7"/>
      <c r="T76" s="7"/>
      <c r="U76" s="7"/>
      <c r="V76" s="7"/>
      <c r="W76" s="7"/>
      <c r="X76" s="7"/>
      <c r="Y76" s="7"/>
      <c r="Z76" s="7"/>
    </row>
    <row r="77" spans="1:26" ht="9" customHeight="1" x14ac:dyDescent="0.2">
      <c r="A77" s="534"/>
      <c r="B77" s="534"/>
      <c r="C77" s="34" t="s">
        <v>37</v>
      </c>
      <c r="D77" s="35">
        <v>27</v>
      </c>
      <c r="E77" s="36">
        <v>11087992</v>
      </c>
      <c r="F77" s="36">
        <v>1104003</v>
      </c>
      <c r="G77" s="36">
        <v>0</v>
      </c>
      <c r="H77" s="36">
        <v>11108652</v>
      </c>
      <c r="I77" s="36">
        <v>0</v>
      </c>
      <c r="J77" s="37">
        <v>1941730</v>
      </c>
      <c r="K77" s="36">
        <v>23300647</v>
      </c>
      <c r="L77" s="38">
        <v>25242377</v>
      </c>
      <c r="M77" s="39"/>
      <c r="N77" s="36">
        <v>23300647</v>
      </c>
      <c r="O77" s="36">
        <v>12191995</v>
      </c>
      <c r="P77" s="36">
        <v>0</v>
      </c>
      <c r="Q77" s="36">
        <v>27436946</v>
      </c>
      <c r="R77" s="7"/>
      <c r="S77" s="7"/>
      <c r="T77" s="7"/>
      <c r="U77" s="7"/>
      <c r="V77" s="7"/>
      <c r="W77" s="7"/>
      <c r="X77" s="7"/>
      <c r="Y77" s="7"/>
      <c r="Z77" s="7"/>
    </row>
    <row r="78" spans="1:26" ht="12.75" customHeight="1" x14ac:dyDescent="0.2">
      <c r="A78" s="534"/>
      <c r="B78" s="534"/>
      <c r="C78" s="40" t="s">
        <v>36</v>
      </c>
      <c r="D78" s="41">
        <v>28</v>
      </c>
      <c r="E78" s="42">
        <v>5831.83</v>
      </c>
      <c r="F78" s="42">
        <v>582.55999999999995</v>
      </c>
      <c r="G78" s="42">
        <v>0</v>
      </c>
      <c r="H78" s="42">
        <v>5737.14</v>
      </c>
      <c r="I78" s="42">
        <v>0</v>
      </c>
      <c r="J78" s="42">
        <v>1012.63</v>
      </c>
      <c r="K78" s="43">
        <v>12151.53</v>
      </c>
      <c r="L78" s="32">
        <v>13164.16</v>
      </c>
      <c r="M78" s="33"/>
      <c r="N78" s="30">
        <v>12151.53</v>
      </c>
      <c r="O78" s="30">
        <v>6414.39</v>
      </c>
      <c r="P78" s="30"/>
      <c r="Q78" s="30">
        <v>14318.75</v>
      </c>
      <c r="R78" s="7"/>
      <c r="S78" s="7"/>
      <c r="T78" s="7"/>
      <c r="U78" s="7"/>
      <c r="V78" s="7"/>
      <c r="W78" s="7"/>
      <c r="X78" s="7"/>
      <c r="Y78" s="7"/>
      <c r="Z78" s="7"/>
    </row>
    <row r="79" spans="1:26" ht="9" customHeight="1" x14ac:dyDescent="0.2">
      <c r="A79" s="534"/>
      <c r="B79" s="534"/>
      <c r="C79" s="34" t="s">
        <v>37</v>
      </c>
      <c r="D79" s="35">
        <v>29</v>
      </c>
      <c r="E79" s="36">
        <v>11291997</v>
      </c>
      <c r="F79" s="36">
        <v>1127993</v>
      </c>
      <c r="G79" s="36">
        <v>0</v>
      </c>
      <c r="H79" s="36">
        <v>11108652</v>
      </c>
      <c r="I79" s="36">
        <v>0</v>
      </c>
      <c r="J79" s="37">
        <v>1960725</v>
      </c>
      <c r="K79" s="36">
        <v>23528643</v>
      </c>
      <c r="L79" s="38">
        <v>25489368</v>
      </c>
      <c r="M79" s="39"/>
      <c r="N79" s="36">
        <v>23528643</v>
      </c>
      <c r="O79" s="36">
        <v>12419991</v>
      </c>
      <c r="P79" s="36">
        <v>0</v>
      </c>
      <c r="Q79" s="36">
        <v>27724966</v>
      </c>
      <c r="R79" s="7"/>
      <c r="S79" s="7"/>
      <c r="T79" s="7"/>
      <c r="U79" s="7"/>
      <c r="V79" s="7"/>
      <c r="W79" s="7"/>
      <c r="X79" s="7"/>
      <c r="Y79" s="7"/>
      <c r="Z79" s="7"/>
    </row>
    <row r="80" spans="1:26" ht="12.75" customHeight="1" x14ac:dyDescent="0.2">
      <c r="A80" s="534"/>
      <c r="B80" s="534"/>
      <c r="C80" s="40" t="s">
        <v>36</v>
      </c>
      <c r="D80" s="41">
        <v>30</v>
      </c>
      <c r="E80" s="42">
        <v>5943.39</v>
      </c>
      <c r="F80" s="42">
        <v>588.76</v>
      </c>
      <c r="G80" s="42">
        <v>0</v>
      </c>
      <c r="H80" s="42">
        <v>5737.14</v>
      </c>
      <c r="I80" s="42">
        <v>0</v>
      </c>
      <c r="J80" s="42">
        <v>1022.44</v>
      </c>
      <c r="K80" s="43">
        <v>12269.29</v>
      </c>
      <c r="L80" s="32">
        <v>13291.73</v>
      </c>
      <c r="M80" s="33"/>
      <c r="N80" s="30">
        <v>12269.29</v>
      </c>
      <c r="O80" s="30">
        <v>6532.15</v>
      </c>
      <c r="P80" s="30"/>
      <c r="Q80" s="30">
        <v>14467.52</v>
      </c>
      <c r="R80" s="7"/>
      <c r="S80" s="7"/>
      <c r="T80" s="7"/>
      <c r="U80" s="7"/>
      <c r="V80" s="7"/>
      <c r="W80" s="7"/>
      <c r="X80" s="7"/>
      <c r="Y80" s="7"/>
      <c r="Z80" s="7"/>
    </row>
    <row r="81" spans="1:26" ht="9" customHeight="1" x14ac:dyDescent="0.2">
      <c r="A81" s="534"/>
      <c r="B81" s="534"/>
      <c r="C81" s="34" t="s">
        <v>37</v>
      </c>
      <c r="D81" s="35">
        <v>31</v>
      </c>
      <c r="E81" s="36">
        <v>11508008</v>
      </c>
      <c r="F81" s="36">
        <v>1139998</v>
      </c>
      <c r="G81" s="36">
        <v>0</v>
      </c>
      <c r="H81" s="36">
        <v>11108652</v>
      </c>
      <c r="I81" s="36">
        <v>0</v>
      </c>
      <c r="J81" s="37">
        <v>1979720</v>
      </c>
      <c r="K81" s="36">
        <v>23756658</v>
      </c>
      <c r="L81" s="38">
        <v>25736378</v>
      </c>
      <c r="M81" s="39"/>
      <c r="N81" s="36">
        <v>23756658</v>
      </c>
      <c r="O81" s="36">
        <v>12648006</v>
      </c>
      <c r="P81" s="36">
        <v>0</v>
      </c>
      <c r="Q81" s="36">
        <v>28013025</v>
      </c>
      <c r="R81" s="7"/>
      <c r="S81" s="7"/>
      <c r="T81" s="7"/>
      <c r="U81" s="7"/>
      <c r="V81" s="7"/>
      <c r="W81" s="7"/>
      <c r="X81" s="7"/>
      <c r="Y81" s="7"/>
      <c r="Z81" s="7"/>
    </row>
    <row r="82" spans="1:26" ht="12.75" customHeight="1" x14ac:dyDescent="0.2">
      <c r="A82" s="534"/>
      <c r="B82" s="534"/>
      <c r="C82" s="40" t="s">
        <v>36</v>
      </c>
      <c r="D82" s="41">
        <v>32</v>
      </c>
      <c r="E82" s="42">
        <v>6048.74</v>
      </c>
      <c r="F82" s="42">
        <v>601.16</v>
      </c>
      <c r="G82" s="42">
        <v>0</v>
      </c>
      <c r="H82" s="42">
        <v>5737.14</v>
      </c>
      <c r="I82" s="42">
        <v>0</v>
      </c>
      <c r="J82" s="42">
        <v>1032.25</v>
      </c>
      <c r="K82" s="43">
        <v>12387.04</v>
      </c>
      <c r="L82" s="32">
        <v>13419.29</v>
      </c>
      <c r="M82" s="33"/>
      <c r="N82" s="30">
        <v>12387.04</v>
      </c>
      <c r="O82" s="30">
        <v>6649.9</v>
      </c>
      <c r="P82" s="30"/>
      <c r="Q82" s="30">
        <v>14616.27</v>
      </c>
      <c r="R82" s="7"/>
      <c r="S82" s="7"/>
      <c r="T82" s="7"/>
      <c r="U82" s="7"/>
      <c r="V82" s="7"/>
      <c r="W82" s="7"/>
      <c r="X82" s="7"/>
      <c r="Y82" s="7"/>
      <c r="Z82" s="7"/>
    </row>
    <row r="83" spans="1:26" ht="9" customHeight="1" x14ac:dyDescent="0.2">
      <c r="A83" s="534"/>
      <c r="B83" s="534"/>
      <c r="C83" s="34" t="s">
        <v>37</v>
      </c>
      <c r="D83" s="35">
        <v>33</v>
      </c>
      <c r="E83" s="36">
        <v>11711994</v>
      </c>
      <c r="F83" s="36">
        <v>1164008</v>
      </c>
      <c r="G83" s="36">
        <v>0</v>
      </c>
      <c r="H83" s="36">
        <v>11108652</v>
      </c>
      <c r="I83" s="36">
        <v>0</v>
      </c>
      <c r="J83" s="37">
        <v>1998715</v>
      </c>
      <c r="K83" s="36">
        <v>23984654</v>
      </c>
      <c r="L83" s="38">
        <v>25983369</v>
      </c>
      <c r="M83" s="39"/>
      <c r="N83" s="36">
        <v>23984654</v>
      </c>
      <c r="O83" s="36">
        <v>12876002</v>
      </c>
      <c r="P83" s="36">
        <v>0</v>
      </c>
      <c r="Q83" s="36">
        <v>28301045</v>
      </c>
      <c r="R83" s="7"/>
      <c r="S83" s="7"/>
      <c r="T83" s="7"/>
      <c r="U83" s="7"/>
      <c r="V83" s="7"/>
      <c r="W83" s="7"/>
      <c r="X83" s="7"/>
      <c r="Y83" s="7"/>
      <c r="Z83" s="7"/>
    </row>
    <row r="84" spans="1:26" ht="12.75" customHeight="1" x14ac:dyDescent="0.2">
      <c r="A84" s="534"/>
      <c r="B84" s="534"/>
      <c r="C84" s="40" t="s">
        <v>36</v>
      </c>
      <c r="D84" s="41">
        <v>34</v>
      </c>
      <c r="E84" s="42">
        <v>6160.3</v>
      </c>
      <c r="F84" s="42">
        <v>613.54999999999995</v>
      </c>
      <c r="G84" s="42">
        <v>0</v>
      </c>
      <c r="H84" s="42">
        <v>5737.14</v>
      </c>
      <c r="I84" s="42">
        <v>0</v>
      </c>
      <c r="J84" s="42">
        <v>1042.58</v>
      </c>
      <c r="K84" s="43">
        <v>12510.99</v>
      </c>
      <c r="L84" s="32">
        <v>13553.57</v>
      </c>
      <c r="M84" s="33"/>
      <c r="N84" s="30">
        <v>12510.99</v>
      </c>
      <c r="O84" s="30">
        <v>6773.85</v>
      </c>
      <c r="P84" s="30"/>
      <c r="Q84" s="30">
        <v>14772.86</v>
      </c>
      <c r="R84" s="7"/>
      <c r="S84" s="7"/>
      <c r="T84" s="7"/>
      <c r="U84" s="7"/>
      <c r="V84" s="7"/>
      <c r="W84" s="7"/>
      <c r="X84" s="7"/>
      <c r="Y84" s="7"/>
      <c r="Z84" s="7"/>
    </row>
    <row r="85" spans="1:26" ht="9" customHeight="1" x14ac:dyDescent="0.2">
      <c r="A85" s="534"/>
      <c r="B85" s="534"/>
      <c r="C85" s="34" t="s">
        <v>37</v>
      </c>
      <c r="D85" s="35">
        <v>35</v>
      </c>
      <c r="E85" s="36">
        <v>11928004</v>
      </c>
      <c r="F85" s="36">
        <v>1187998</v>
      </c>
      <c r="G85" s="36">
        <v>0</v>
      </c>
      <c r="H85" s="36">
        <v>11108652</v>
      </c>
      <c r="I85" s="36">
        <v>0</v>
      </c>
      <c r="J85" s="37">
        <v>2018716</v>
      </c>
      <c r="K85" s="36">
        <v>24224655</v>
      </c>
      <c r="L85" s="38">
        <v>26243371</v>
      </c>
      <c r="M85" s="39"/>
      <c r="N85" s="36">
        <v>24224655</v>
      </c>
      <c r="O85" s="36">
        <v>13116003</v>
      </c>
      <c r="P85" s="36">
        <v>0</v>
      </c>
      <c r="Q85" s="36">
        <v>28604246</v>
      </c>
      <c r="R85" s="7"/>
      <c r="S85" s="7"/>
      <c r="T85" s="7"/>
      <c r="U85" s="7"/>
      <c r="V85" s="7"/>
      <c r="W85" s="7"/>
      <c r="X85" s="7"/>
      <c r="Y85" s="7"/>
      <c r="Z85" s="7"/>
    </row>
    <row r="86" spans="1:26" ht="12.75" customHeight="1" x14ac:dyDescent="0.2">
      <c r="A86" s="534"/>
      <c r="B86" s="534"/>
      <c r="C86" s="40" t="s">
        <v>36</v>
      </c>
      <c r="D86" s="41">
        <v>36</v>
      </c>
      <c r="E86" s="42">
        <v>6265.66</v>
      </c>
      <c r="F86" s="42">
        <v>625.95000000000005</v>
      </c>
      <c r="G86" s="42">
        <v>0</v>
      </c>
      <c r="H86" s="42">
        <v>5737.14</v>
      </c>
      <c r="I86" s="42">
        <v>0</v>
      </c>
      <c r="J86" s="42">
        <v>1052.4000000000001</v>
      </c>
      <c r="K86" s="43">
        <v>12628.75</v>
      </c>
      <c r="L86" s="32">
        <v>13681.15</v>
      </c>
      <c r="M86" s="33"/>
      <c r="N86" s="30">
        <v>12628.75</v>
      </c>
      <c r="O86" s="30">
        <v>6891.61</v>
      </c>
      <c r="P86" s="30"/>
      <c r="Q86" s="30">
        <v>14921.64</v>
      </c>
      <c r="R86" s="7"/>
      <c r="S86" s="7"/>
      <c r="T86" s="7"/>
      <c r="U86" s="7"/>
      <c r="V86" s="7"/>
      <c r="W86" s="7"/>
      <c r="X86" s="7"/>
      <c r="Y86" s="7"/>
      <c r="Z86" s="7"/>
    </row>
    <row r="87" spans="1:26" ht="9" customHeight="1" x14ac:dyDescent="0.2">
      <c r="A87" s="534"/>
      <c r="B87" s="534"/>
      <c r="C87" s="34" t="s">
        <v>37</v>
      </c>
      <c r="D87" s="35">
        <v>37</v>
      </c>
      <c r="E87" s="36">
        <v>12132009</v>
      </c>
      <c r="F87" s="36">
        <v>1212008</v>
      </c>
      <c r="G87" s="36">
        <v>0</v>
      </c>
      <c r="H87" s="36">
        <v>11108652</v>
      </c>
      <c r="I87" s="36">
        <v>0</v>
      </c>
      <c r="J87" s="37">
        <v>2037731</v>
      </c>
      <c r="K87" s="36">
        <v>24452670</v>
      </c>
      <c r="L87" s="38">
        <v>26490400</v>
      </c>
      <c r="M87" s="39"/>
      <c r="N87" s="36">
        <v>24452670</v>
      </c>
      <c r="O87" s="36">
        <v>13344018</v>
      </c>
      <c r="P87" s="36">
        <v>0</v>
      </c>
      <c r="Q87" s="36">
        <v>28892324</v>
      </c>
      <c r="R87" s="7"/>
      <c r="S87" s="7"/>
      <c r="T87" s="7"/>
      <c r="U87" s="7"/>
      <c r="V87" s="7"/>
      <c r="W87" s="7"/>
      <c r="X87" s="7"/>
      <c r="Y87" s="7"/>
      <c r="Z87" s="7"/>
    </row>
    <row r="88" spans="1:26" ht="12.75" customHeight="1" x14ac:dyDescent="0.2">
      <c r="A88" s="534"/>
      <c r="B88" s="534"/>
      <c r="C88" s="40" t="s">
        <v>36</v>
      </c>
      <c r="D88" s="41">
        <v>38</v>
      </c>
      <c r="E88" s="42">
        <v>6377.21</v>
      </c>
      <c r="F88" s="42">
        <v>632.14</v>
      </c>
      <c r="G88" s="42">
        <v>0</v>
      </c>
      <c r="H88" s="42">
        <v>5737.14</v>
      </c>
      <c r="I88" s="42">
        <v>0</v>
      </c>
      <c r="J88" s="42">
        <v>1062.21</v>
      </c>
      <c r="K88" s="43">
        <v>12746.49</v>
      </c>
      <c r="L88" s="32">
        <v>13808.7</v>
      </c>
      <c r="M88" s="33"/>
      <c r="N88" s="30">
        <v>12746.49</v>
      </c>
      <c r="O88" s="30">
        <v>7009.35</v>
      </c>
      <c r="P88" s="30"/>
      <c r="Q88" s="30">
        <v>15070.38</v>
      </c>
      <c r="R88" s="7"/>
      <c r="S88" s="7"/>
      <c r="T88" s="7"/>
      <c r="U88" s="7"/>
      <c r="V88" s="7"/>
      <c r="W88" s="7"/>
      <c r="X88" s="7"/>
      <c r="Y88" s="7"/>
      <c r="Z88" s="7"/>
    </row>
    <row r="89" spans="1:26" ht="9" customHeight="1" x14ac:dyDescent="0.2">
      <c r="A89" s="534"/>
      <c r="B89" s="534"/>
      <c r="C89" s="34" t="s">
        <v>37</v>
      </c>
      <c r="D89" s="35">
        <v>39</v>
      </c>
      <c r="E89" s="36">
        <v>12348000</v>
      </c>
      <c r="F89" s="36">
        <v>1223994</v>
      </c>
      <c r="G89" s="36">
        <v>0</v>
      </c>
      <c r="H89" s="36">
        <v>11108652</v>
      </c>
      <c r="I89" s="36">
        <v>0</v>
      </c>
      <c r="J89" s="37">
        <v>2056725</v>
      </c>
      <c r="K89" s="36">
        <v>24680646</v>
      </c>
      <c r="L89" s="38">
        <v>26737372</v>
      </c>
      <c r="M89" s="39"/>
      <c r="N89" s="36">
        <v>24680646</v>
      </c>
      <c r="O89" s="36">
        <v>13571994</v>
      </c>
      <c r="P89" s="36">
        <v>0</v>
      </c>
      <c r="Q89" s="36">
        <v>29180325</v>
      </c>
      <c r="R89" s="7"/>
      <c r="S89" s="7"/>
      <c r="T89" s="7"/>
      <c r="U89" s="7"/>
      <c r="V89" s="7"/>
      <c r="W89" s="7"/>
      <c r="X89" s="7"/>
      <c r="Y89" s="7"/>
      <c r="Z89" s="7"/>
    </row>
    <row r="90" spans="1:26" ht="9" customHeight="1" x14ac:dyDescent="0.2">
      <c r="A90" s="534"/>
      <c r="B90" s="534"/>
      <c r="C90" s="44"/>
      <c r="D90" s="45"/>
      <c r="E90" s="96"/>
      <c r="F90" s="96"/>
      <c r="G90" s="96"/>
      <c r="H90" s="96"/>
      <c r="I90" s="96"/>
      <c r="J90" s="54"/>
      <c r="K90" s="96"/>
      <c r="L90" s="96"/>
      <c r="M90" s="39"/>
      <c r="N90" s="96"/>
      <c r="O90" s="96"/>
      <c r="P90" s="96"/>
      <c r="Q90" s="96"/>
      <c r="R90" s="7"/>
      <c r="S90" s="7"/>
      <c r="T90" s="7"/>
      <c r="U90" s="7"/>
      <c r="V90" s="7"/>
      <c r="W90" s="7"/>
      <c r="X90" s="7"/>
      <c r="Y90" s="7"/>
      <c r="Z90" s="7"/>
    </row>
    <row r="91" spans="1:26" ht="9" customHeight="1" x14ac:dyDescent="0.2">
      <c r="A91" s="534"/>
      <c r="B91" s="534"/>
      <c r="C91" s="44"/>
      <c r="D91" s="45"/>
      <c r="E91" s="96"/>
      <c r="F91" s="96"/>
      <c r="G91" s="96"/>
      <c r="H91" s="96"/>
      <c r="I91" s="96"/>
      <c r="J91" s="54"/>
      <c r="K91" s="96"/>
      <c r="L91" s="96"/>
      <c r="M91" s="39"/>
      <c r="N91" s="96"/>
      <c r="O91" s="96"/>
      <c r="P91" s="96"/>
      <c r="Q91" s="96"/>
      <c r="R91" s="7"/>
      <c r="S91" s="7"/>
      <c r="T91" s="7"/>
      <c r="U91" s="7"/>
      <c r="V91" s="7"/>
      <c r="W91" s="7"/>
      <c r="X91" s="7"/>
      <c r="Y91" s="7"/>
      <c r="Z91" s="7"/>
    </row>
    <row r="92" spans="1:26" ht="12.75" customHeight="1" x14ac:dyDescent="0.2">
      <c r="A92" s="534"/>
      <c r="B92" s="534"/>
      <c r="C92" s="40" t="s">
        <v>36</v>
      </c>
      <c r="D92" s="41">
        <v>40</v>
      </c>
      <c r="E92" s="42">
        <v>6482.57</v>
      </c>
      <c r="F92" s="42">
        <v>644.54</v>
      </c>
      <c r="G92" s="42">
        <v>0</v>
      </c>
      <c r="H92" s="42">
        <v>5737.14</v>
      </c>
      <c r="I92" s="42">
        <v>0</v>
      </c>
      <c r="J92" s="42">
        <v>1072.02</v>
      </c>
      <c r="K92" s="43">
        <v>12864.25</v>
      </c>
      <c r="L92" s="32">
        <v>13936.27</v>
      </c>
      <c r="M92" s="33"/>
      <c r="N92" s="30">
        <v>12864.25</v>
      </c>
      <c r="O92" s="30">
        <v>7127.11</v>
      </c>
      <c r="P92" s="30"/>
      <c r="Q92" s="30">
        <v>15219.15</v>
      </c>
      <c r="R92" s="7"/>
      <c r="S92" s="7"/>
      <c r="T92" s="7"/>
      <c r="U92" s="7"/>
      <c r="V92" s="7"/>
      <c r="W92" s="7"/>
      <c r="X92" s="7"/>
      <c r="Y92" s="7"/>
      <c r="Z92" s="7"/>
    </row>
    <row r="93" spans="1:26" ht="9" customHeight="1" x14ac:dyDescent="0.2">
      <c r="A93" s="535"/>
      <c r="B93" s="535"/>
      <c r="C93" s="47"/>
      <c r="D93" s="48"/>
      <c r="E93" s="46">
        <v>12552006</v>
      </c>
      <c r="F93" s="46">
        <v>1248003</v>
      </c>
      <c r="G93" s="46">
        <v>0</v>
      </c>
      <c r="H93" s="46">
        <v>11108652</v>
      </c>
      <c r="I93" s="46">
        <v>0</v>
      </c>
      <c r="J93" s="49">
        <v>2075720</v>
      </c>
      <c r="K93" s="46">
        <v>24908661</v>
      </c>
      <c r="L93" s="38">
        <v>26984382</v>
      </c>
      <c r="M93" s="39"/>
      <c r="N93" s="36">
        <v>24908661</v>
      </c>
      <c r="O93" s="36">
        <v>13800009</v>
      </c>
      <c r="P93" s="36">
        <v>0</v>
      </c>
      <c r="Q93" s="36">
        <v>29468384</v>
      </c>
      <c r="R93" s="7"/>
      <c r="S93" s="7"/>
      <c r="T93" s="7"/>
      <c r="U93" s="7"/>
      <c r="V93" s="7"/>
      <c r="W93" s="7"/>
      <c r="X93" s="7"/>
      <c r="Y93" s="7"/>
      <c r="Z93" s="7"/>
    </row>
    <row r="94" spans="1:26" ht="12.75" customHeight="1" x14ac:dyDescent="0.2">
      <c r="A94" s="538">
        <v>33359</v>
      </c>
      <c r="B94" s="538">
        <v>33542</v>
      </c>
      <c r="C94" s="28" t="s">
        <v>36</v>
      </c>
      <c r="D94" s="29">
        <v>0</v>
      </c>
      <c r="E94" s="30">
        <v>3390.02</v>
      </c>
      <c r="F94" s="30">
        <v>334.66</v>
      </c>
      <c r="G94" s="30">
        <v>0</v>
      </c>
      <c r="H94" s="30">
        <v>5992.72</v>
      </c>
      <c r="I94" s="30">
        <v>0</v>
      </c>
      <c r="J94" s="30">
        <v>809.78</v>
      </c>
      <c r="K94" s="31">
        <v>9717.4</v>
      </c>
      <c r="L94" s="32">
        <v>10527.18</v>
      </c>
      <c r="M94" s="33"/>
      <c r="N94" s="30">
        <v>9717.4</v>
      </c>
      <c r="O94" s="30">
        <v>3724.68</v>
      </c>
      <c r="P94" s="30"/>
      <c r="Q94" s="30">
        <v>11197.62</v>
      </c>
      <c r="R94" s="7"/>
      <c r="S94" s="7"/>
      <c r="T94" s="7"/>
      <c r="U94" s="7"/>
      <c r="V94" s="7"/>
      <c r="W94" s="7"/>
      <c r="X94" s="7"/>
      <c r="Y94" s="7"/>
      <c r="Z94" s="7"/>
    </row>
    <row r="95" spans="1:26" ht="9" customHeight="1" x14ac:dyDescent="0.2">
      <c r="A95" s="534"/>
      <c r="B95" s="534"/>
      <c r="C95" s="34" t="s">
        <v>37</v>
      </c>
      <c r="D95" s="35">
        <v>1</v>
      </c>
      <c r="E95" s="36">
        <v>6563994</v>
      </c>
      <c r="F95" s="36">
        <v>647992</v>
      </c>
      <c r="G95" s="36">
        <v>0</v>
      </c>
      <c r="H95" s="36">
        <v>11603524</v>
      </c>
      <c r="I95" s="36">
        <v>0</v>
      </c>
      <c r="J95" s="37">
        <v>1567953</v>
      </c>
      <c r="K95" s="36">
        <v>18815510</v>
      </c>
      <c r="L95" s="38">
        <v>20383463</v>
      </c>
      <c r="M95" s="39"/>
      <c r="N95" s="36">
        <v>18815510</v>
      </c>
      <c r="O95" s="36">
        <v>7211986</v>
      </c>
      <c r="P95" s="36">
        <v>0</v>
      </c>
      <c r="Q95" s="36">
        <v>21681616</v>
      </c>
      <c r="R95" s="7"/>
      <c r="S95" s="7"/>
      <c r="T95" s="7"/>
      <c r="U95" s="7"/>
      <c r="V95" s="7"/>
      <c r="W95" s="7"/>
      <c r="X95" s="7"/>
      <c r="Y95" s="7"/>
      <c r="Z95" s="7"/>
    </row>
    <row r="96" spans="1:26" ht="12.75" customHeight="1" x14ac:dyDescent="0.2">
      <c r="A96" s="540">
        <v>33359</v>
      </c>
      <c r="B96" s="540">
        <v>33542</v>
      </c>
      <c r="C96" s="40" t="s">
        <v>36</v>
      </c>
      <c r="D96" s="41">
        <v>2</v>
      </c>
      <c r="E96" s="42">
        <v>3557.36</v>
      </c>
      <c r="F96" s="42">
        <v>353.26</v>
      </c>
      <c r="G96" s="42">
        <v>0</v>
      </c>
      <c r="H96" s="42">
        <v>5992.72</v>
      </c>
      <c r="I96" s="42">
        <v>0</v>
      </c>
      <c r="J96" s="42">
        <v>825.28</v>
      </c>
      <c r="K96" s="43">
        <v>9903.34</v>
      </c>
      <c r="L96" s="32">
        <v>10728.62</v>
      </c>
      <c r="M96" s="33"/>
      <c r="N96" s="30">
        <v>9903.34</v>
      </c>
      <c r="O96" s="30">
        <v>3910.62</v>
      </c>
      <c r="P96" s="30"/>
      <c r="Q96" s="30">
        <v>11432.53</v>
      </c>
      <c r="R96" s="7"/>
      <c r="S96" s="7"/>
      <c r="T96" s="7"/>
      <c r="U96" s="7"/>
      <c r="V96" s="7"/>
      <c r="W96" s="7"/>
      <c r="X96" s="7"/>
      <c r="Y96" s="7"/>
      <c r="Z96" s="7"/>
    </row>
    <row r="97" spans="1:26" ht="9" customHeight="1" x14ac:dyDescent="0.2">
      <c r="A97" s="534"/>
      <c r="B97" s="534"/>
      <c r="C97" s="34" t="s">
        <v>37</v>
      </c>
      <c r="D97" s="35">
        <v>3</v>
      </c>
      <c r="E97" s="36">
        <v>6888009</v>
      </c>
      <c r="F97" s="36">
        <v>684007</v>
      </c>
      <c r="G97" s="36">
        <v>0</v>
      </c>
      <c r="H97" s="36">
        <v>11603524</v>
      </c>
      <c r="I97" s="36">
        <v>0</v>
      </c>
      <c r="J97" s="37">
        <v>1597965</v>
      </c>
      <c r="K97" s="36">
        <v>19175540</v>
      </c>
      <c r="L97" s="38">
        <v>20773505</v>
      </c>
      <c r="M97" s="39"/>
      <c r="N97" s="36">
        <v>19175540</v>
      </c>
      <c r="O97" s="36">
        <v>7572016</v>
      </c>
      <c r="P97" s="36">
        <v>0</v>
      </c>
      <c r="Q97" s="36">
        <v>22136465</v>
      </c>
      <c r="R97" s="7"/>
      <c r="S97" s="7"/>
      <c r="T97" s="7"/>
      <c r="U97" s="7"/>
      <c r="V97" s="7"/>
      <c r="W97" s="7"/>
      <c r="X97" s="7"/>
      <c r="Y97" s="7"/>
      <c r="Z97" s="7"/>
    </row>
    <row r="98" spans="1:26" ht="12.75" customHeight="1" x14ac:dyDescent="0.2">
      <c r="A98" s="534"/>
      <c r="B98" s="534"/>
      <c r="C98" s="40" t="s">
        <v>36</v>
      </c>
      <c r="D98" s="41">
        <v>4</v>
      </c>
      <c r="E98" s="42">
        <v>3730.88</v>
      </c>
      <c r="F98" s="42">
        <v>371.85</v>
      </c>
      <c r="G98" s="42">
        <v>0</v>
      </c>
      <c r="H98" s="42">
        <v>5992.72</v>
      </c>
      <c r="I98" s="42">
        <v>0</v>
      </c>
      <c r="J98" s="42">
        <v>841.29</v>
      </c>
      <c r="K98" s="43">
        <v>10095.450000000001</v>
      </c>
      <c r="L98" s="32">
        <v>10936.74</v>
      </c>
      <c r="M98" s="33"/>
      <c r="N98" s="30">
        <v>10095.450000000001</v>
      </c>
      <c r="O98" s="30">
        <v>4102.7299999999996</v>
      </c>
      <c r="P98" s="30"/>
      <c r="Q98" s="30">
        <v>11675.23</v>
      </c>
      <c r="R98" s="7"/>
      <c r="S98" s="7"/>
      <c r="T98" s="7"/>
      <c r="U98" s="7"/>
      <c r="V98" s="7"/>
      <c r="W98" s="7"/>
      <c r="X98" s="7"/>
      <c r="Y98" s="7"/>
      <c r="Z98" s="7"/>
    </row>
    <row r="99" spans="1:26" ht="9" customHeight="1" x14ac:dyDescent="0.2">
      <c r="A99" s="534"/>
      <c r="B99" s="534"/>
      <c r="C99" s="34" t="s">
        <v>37</v>
      </c>
      <c r="D99" s="35">
        <v>5</v>
      </c>
      <c r="E99" s="36">
        <v>7223991</v>
      </c>
      <c r="F99" s="36">
        <v>720002</v>
      </c>
      <c r="G99" s="36">
        <v>0</v>
      </c>
      <c r="H99" s="36">
        <v>11603524</v>
      </c>
      <c r="I99" s="36">
        <v>0</v>
      </c>
      <c r="J99" s="37">
        <v>1628965</v>
      </c>
      <c r="K99" s="36">
        <v>19547517</v>
      </c>
      <c r="L99" s="38">
        <v>21176482</v>
      </c>
      <c r="M99" s="39"/>
      <c r="N99" s="36">
        <v>19547517</v>
      </c>
      <c r="O99" s="36">
        <v>7943993</v>
      </c>
      <c r="P99" s="36">
        <v>0</v>
      </c>
      <c r="Q99" s="36">
        <v>22606398</v>
      </c>
      <c r="R99" s="7"/>
      <c r="S99" s="7"/>
      <c r="T99" s="7"/>
      <c r="U99" s="7"/>
      <c r="V99" s="7"/>
      <c r="W99" s="7"/>
      <c r="X99" s="7"/>
      <c r="Y99" s="7"/>
      <c r="Z99" s="7"/>
    </row>
    <row r="100" spans="1:26" ht="12.75" customHeight="1" x14ac:dyDescent="0.2">
      <c r="A100" s="534"/>
      <c r="B100" s="534"/>
      <c r="C100" s="40" t="s">
        <v>36</v>
      </c>
      <c r="D100" s="41">
        <v>6</v>
      </c>
      <c r="E100" s="42">
        <v>4003.57</v>
      </c>
      <c r="F100" s="42">
        <v>396.64</v>
      </c>
      <c r="G100" s="42">
        <v>0</v>
      </c>
      <c r="H100" s="42">
        <v>5992.72</v>
      </c>
      <c r="I100" s="42">
        <v>0</v>
      </c>
      <c r="J100" s="42">
        <v>866.08</v>
      </c>
      <c r="K100" s="43">
        <v>10392.93</v>
      </c>
      <c r="L100" s="32">
        <v>11259.01</v>
      </c>
      <c r="M100" s="33"/>
      <c r="N100" s="30">
        <v>10392.93</v>
      </c>
      <c r="O100" s="30">
        <v>4400.21</v>
      </c>
      <c r="P100" s="30"/>
      <c r="Q100" s="30">
        <v>12051.05</v>
      </c>
      <c r="R100" s="7"/>
      <c r="S100" s="7"/>
      <c r="T100" s="7"/>
      <c r="U100" s="7"/>
      <c r="V100" s="7"/>
      <c r="W100" s="7"/>
      <c r="X100" s="7"/>
      <c r="Y100" s="7"/>
      <c r="Z100" s="7"/>
    </row>
    <row r="101" spans="1:26" ht="9" customHeight="1" x14ac:dyDescent="0.2">
      <c r="A101" s="534"/>
      <c r="B101" s="534"/>
      <c r="C101" s="34" t="s">
        <v>37</v>
      </c>
      <c r="D101" s="35">
        <v>7</v>
      </c>
      <c r="E101" s="36">
        <v>7751992</v>
      </c>
      <c r="F101" s="36">
        <v>768002</v>
      </c>
      <c r="G101" s="36">
        <v>0</v>
      </c>
      <c r="H101" s="36">
        <v>11603524</v>
      </c>
      <c r="I101" s="36">
        <v>0</v>
      </c>
      <c r="J101" s="37">
        <v>1676965</v>
      </c>
      <c r="K101" s="36">
        <v>20123519</v>
      </c>
      <c r="L101" s="38">
        <v>21800483</v>
      </c>
      <c r="M101" s="39"/>
      <c r="N101" s="36">
        <v>20123519</v>
      </c>
      <c r="O101" s="36">
        <v>8519995</v>
      </c>
      <c r="P101" s="36">
        <v>0</v>
      </c>
      <c r="Q101" s="36">
        <v>23334087</v>
      </c>
      <c r="R101" s="7"/>
      <c r="S101" s="7"/>
      <c r="T101" s="7"/>
      <c r="U101" s="7"/>
      <c r="V101" s="7"/>
      <c r="W101" s="7"/>
      <c r="X101" s="7"/>
      <c r="Y101" s="7"/>
      <c r="Z101" s="7"/>
    </row>
    <row r="102" spans="1:26" ht="12.75" customHeight="1" x14ac:dyDescent="0.2">
      <c r="A102" s="534"/>
      <c r="B102" s="534"/>
      <c r="C102" s="40" t="s">
        <v>36</v>
      </c>
      <c r="D102" s="41">
        <v>8</v>
      </c>
      <c r="E102" s="42">
        <v>4201.8900000000003</v>
      </c>
      <c r="F102" s="42">
        <v>415.23</v>
      </c>
      <c r="G102" s="42">
        <v>0</v>
      </c>
      <c r="H102" s="42">
        <v>5992.72</v>
      </c>
      <c r="I102" s="42">
        <v>0</v>
      </c>
      <c r="J102" s="42">
        <v>884.15</v>
      </c>
      <c r="K102" s="43">
        <v>10609.84</v>
      </c>
      <c r="L102" s="32">
        <v>11493.99</v>
      </c>
      <c r="M102" s="33"/>
      <c r="N102" s="30">
        <v>10609.84</v>
      </c>
      <c r="O102" s="30">
        <v>4617.12</v>
      </c>
      <c r="P102" s="30"/>
      <c r="Q102" s="30">
        <v>12325.07</v>
      </c>
      <c r="R102" s="7"/>
      <c r="S102" s="7"/>
      <c r="T102" s="7"/>
      <c r="U102" s="7"/>
      <c r="V102" s="7"/>
      <c r="W102" s="7"/>
      <c r="X102" s="7"/>
      <c r="Y102" s="7"/>
      <c r="Z102" s="7"/>
    </row>
    <row r="103" spans="1:26" ht="9" customHeight="1" x14ac:dyDescent="0.2">
      <c r="A103" s="534"/>
      <c r="B103" s="534"/>
      <c r="C103" s="34" t="s">
        <v>37</v>
      </c>
      <c r="D103" s="35">
        <v>9</v>
      </c>
      <c r="E103" s="36">
        <v>8135994</v>
      </c>
      <c r="F103" s="36">
        <v>803997</v>
      </c>
      <c r="G103" s="36">
        <v>0</v>
      </c>
      <c r="H103" s="36">
        <v>11603524</v>
      </c>
      <c r="I103" s="36">
        <v>0</v>
      </c>
      <c r="J103" s="37">
        <v>1711953</v>
      </c>
      <c r="K103" s="36">
        <v>20543515</v>
      </c>
      <c r="L103" s="38">
        <v>22255468</v>
      </c>
      <c r="M103" s="39"/>
      <c r="N103" s="36">
        <v>20543515</v>
      </c>
      <c r="O103" s="36">
        <v>8939991</v>
      </c>
      <c r="P103" s="36">
        <v>0</v>
      </c>
      <c r="Q103" s="36">
        <v>23864663</v>
      </c>
      <c r="R103" s="7"/>
      <c r="S103" s="7"/>
      <c r="T103" s="7"/>
      <c r="U103" s="7"/>
      <c r="V103" s="7"/>
      <c r="W103" s="7"/>
      <c r="X103" s="7"/>
      <c r="Y103" s="7"/>
      <c r="Z103" s="7"/>
    </row>
    <row r="104" spans="1:26" ht="12.75" customHeight="1" x14ac:dyDescent="0.2">
      <c r="A104" s="534"/>
      <c r="B104" s="534"/>
      <c r="C104" s="40" t="s">
        <v>36</v>
      </c>
      <c r="D104" s="41">
        <v>10</v>
      </c>
      <c r="E104" s="42">
        <v>4400.21</v>
      </c>
      <c r="F104" s="42">
        <v>440.02</v>
      </c>
      <c r="G104" s="42">
        <v>0</v>
      </c>
      <c r="H104" s="42">
        <v>5992.72</v>
      </c>
      <c r="I104" s="42">
        <v>0</v>
      </c>
      <c r="J104" s="42">
        <v>902.75</v>
      </c>
      <c r="K104" s="43">
        <v>10832.95</v>
      </c>
      <c r="L104" s="32">
        <v>11735.7</v>
      </c>
      <c r="M104" s="33"/>
      <c r="N104" s="30">
        <v>10832.95</v>
      </c>
      <c r="O104" s="30">
        <v>4840.2299999999996</v>
      </c>
      <c r="P104" s="30"/>
      <c r="Q104" s="30">
        <v>12606.94</v>
      </c>
      <c r="R104" s="7"/>
      <c r="S104" s="7"/>
      <c r="T104" s="7"/>
      <c r="U104" s="7"/>
      <c r="V104" s="7"/>
      <c r="W104" s="7"/>
      <c r="X104" s="7"/>
      <c r="Y104" s="7"/>
      <c r="Z104" s="7"/>
    </row>
    <row r="105" spans="1:26" ht="9" customHeight="1" x14ac:dyDescent="0.2">
      <c r="A105" s="534"/>
      <c r="B105" s="534"/>
      <c r="C105" s="34" t="s">
        <v>37</v>
      </c>
      <c r="D105" s="35">
        <v>11</v>
      </c>
      <c r="E105" s="36">
        <v>8519995</v>
      </c>
      <c r="F105" s="36">
        <v>851998</v>
      </c>
      <c r="G105" s="36">
        <v>0</v>
      </c>
      <c r="H105" s="36">
        <v>11603524</v>
      </c>
      <c r="I105" s="36">
        <v>0</v>
      </c>
      <c r="J105" s="37">
        <v>1747968</v>
      </c>
      <c r="K105" s="36">
        <v>20975516</v>
      </c>
      <c r="L105" s="38">
        <v>22723484</v>
      </c>
      <c r="M105" s="39"/>
      <c r="N105" s="36">
        <v>20975516</v>
      </c>
      <c r="O105" s="36">
        <v>9371992</v>
      </c>
      <c r="P105" s="36">
        <v>0</v>
      </c>
      <c r="Q105" s="36">
        <v>24410440</v>
      </c>
      <c r="R105" s="7"/>
      <c r="S105" s="7"/>
      <c r="T105" s="7"/>
      <c r="U105" s="7"/>
      <c r="V105" s="7"/>
      <c r="W105" s="7"/>
      <c r="X105" s="7"/>
      <c r="Y105" s="7"/>
      <c r="Z105" s="7"/>
    </row>
    <row r="106" spans="1:26" ht="12.75" customHeight="1" x14ac:dyDescent="0.2">
      <c r="A106" s="534"/>
      <c r="B106" s="534"/>
      <c r="C106" s="40" t="s">
        <v>36</v>
      </c>
      <c r="D106" s="41">
        <v>12</v>
      </c>
      <c r="E106" s="42">
        <v>4598.53</v>
      </c>
      <c r="F106" s="42">
        <v>458.61</v>
      </c>
      <c r="G106" s="42">
        <v>0</v>
      </c>
      <c r="H106" s="42">
        <v>5992.72</v>
      </c>
      <c r="I106" s="42">
        <v>0</v>
      </c>
      <c r="J106" s="42">
        <v>920.82</v>
      </c>
      <c r="K106" s="43">
        <v>11049.86</v>
      </c>
      <c r="L106" s="32">
        <v>11970.68</v>
      </c>
      <c r="M106" s="33"/>
      <c r="N106" s="30">
        <v>11049.86</v>
      </c>
      <c r="O106" s="30">
        <v>5057.1400000000003</v>
      </c>
      <c r="P106" s="30"/>
      <c r="Q106" s="30">
        <v>12880.97</v>
      </c>
      <c r="R106" s="7"/>
      <c r="S106" s="7"/>
      <c r="T106" s="7"/>
      <c r="U106" s="7"/>
      <c r="V106" s="7"/>
      <c r="W106" s="7"/>
      <c r="X106" s="7"/>
      <c r="Y106" s="7"/>
      <c r="Z106" s="7"/>
    </row>
    <row r="107" spans="1:26" ht="9" customHeight="1" x14ac:dyDescent="0.2">
      <c r="A107" s="534"/>
      <c r="B107" s="534"/>
      <c r="C107" s="34" t="s">
        <v>37</v>
      </c>
      <c r="D107" s="35">
        <v>13</v>
      </c>
      <c r="E107" s="36">
        <v>8903996</v>
      </c>
      <c r="F107" s="36">
        <v>887993</v>
      </c>
      <c r="G107" s="36">
        <v>0</v>
      </c>
      <c r="H107" s="36">
        <v>11603524</v>
      </c>
      <c r="I107" s="36">
        <v>0</v>
      </c>
      <c r="J107" s="37">
        <v>1782956</v>
      </c>
      <c r="K107" s="36">
        <v>21395512</v>
      </c>
      <c r="L107" s="38">
        <v>23178469</v>
      </c>
      <c r="M107" s="39"/>
      <c r="N107" s="36">
        <v>21395512</v>
      </c>
      <c r="O107" s="36">
        <v>9791988</v>
      </c>
      <c r="P107" s="36">
        <v>0</v>
      </c>
      <c r="Q107" s="36">
        <v>24941036</v>
      </c>
      <c r="R107" s="7"/>
      <c r="S107" s="7"/>
      <c r="T107" s="7"/>
      <c r="U107" s="7"/>
      <c r="V107" s="7"/>
      <c r="W107" s="7"/>
      <c r="X107" s="7"/>
      <c r="Y107" s="7"/>
      <c r="Z107" s="7"/>
    </row>
    <row r="108" spans="1:26" ht="12.75" customHeight="1" x14ac:dyDescent="0.2">
      <c r="A108" s="534"/>
      <c r="B108" s="534"/>
      <c r="C108" s="40" t="s">
        <v>36</v>
      </c>
      <c r="D108" s="41">
        <v>14</v>
      </c>
      <c r="E108" s="42">
        <v>4803.05</v>
      </c>
      <c r="F108" s="42">
        <v>477.21</v>
      </c>
      <c r="G108" s="42">
        <v>0</v>
      </c>
      <c r="H108" s="42">
        <v>5992.72</v>
      </c>
      <c r="I108" s="42">
        <v>0</v>
      </c>
      <c r="J108" s="42">
        <v>939.42</v>
      </c>
      <c r="K108" s="43">
        <v>11272.98</v>
      </c>
      <c r="L108" s="32">
        <v>12212.4</v>
      </c>
      <c r="M108" s="33"/>
      <c r="N108" s="30">
        <v>11272.98</v>
      </c>
      <c r="O108" s="30">
        <v>5280.26</v>
      </c>
      <c r="P108" s="30"/>
      <c r="Q108" s="30">
        <v>13162.85</v>
      </c>
      <c r="R108" s="7"/>
      <c r="S108" s="7"/>
      <c r="T108" s="7"/>
      <c r="U108" s="7"/>
      <c r="V108" s="7"/>
      <c r="W108" s="7"/>
      <c r="X108" s="7"/>
      <c r="Y108" s="7"/>
      <c r="Z108" s="7"/>
    </row>
    <row r="109" spans="1:26" ht="9" customHeight="1" x14ac:dyDescent="0.2">
      <c r="A109" s="534"/>
      <c r="B109" s="534"/>
      <c r="C109" s="34" t="s">
        <v>37</v>
      </c>
      <c r="D109" s="35">
        <v>15</v>
      </c>
      <c r="E109" s="36">
        <v>9300002</v>
      </c>
      <c r="F109" s="36">
        <v>924007</v>
      </c>
      <c r="G109" s="36">
        <v>0</v>
      </c>
      <c r="H109" s="36">
        <v>11603524</v>
      </c>
      <c r="I109" s="36">
        <v>0</v>
      </c>
      <c r="J109" s="37">
        <v>1818971</v>
      </c>
      <c r="K109" s="36">
        <v>21827533</v>
      </c>
      <c r="L109" s="38">
        <v>23646504</v>
      </c>
      <c r="M109" s="39"/>
      <c r="N109" s="36">
        <v>21827533</v>
      </c>
      <c r="O109" s="36">
        <v>10224009</v>
      </c>
      <c r="P109" s="36">
        <v>0</v>
      </c>
      <c r="Q109" s="36">
        <v>25486832</v>
      </c>
      <c r="R109" s="7"/>
      <c r="S109" s="7"/>
      <c r="T109" s="7"/>
      <c r="U109" s="7"/>
      <c r="V109" s="7"/>
      <c r="W109" s="7"/>
      <c r="X109" s="7"/>
      <c r="Y109" s="7"/>
      <c r="Z109" s="7"/>
    </row>
    <row r="110" spans="1:26" ht="12.75" customHeight="1" x14ac:dyDescent="0.2">
      <c r="A110" s="534"/>
      <c r="B110" s="534"/>
      <c r="C110" s="40" t="s">
        <v>36</v>
      </c>
      <c r="D110" s="41">
        <v>16</v>
      </c>
      <c r="E110" s="42">
        <v>5001.37</v>
      </c>
      <c r="F110" s="42">
        <v>495.8</v>
      </c>
      <c r="G110" s="42">
        <v>0</v>
      </c>
      <c r="H110" s="42">
        <v>5992.72</v>
      </c>
      <c r="I110" s="42">
        <v>0</v>
      </c>
      <c r="J110" s="42">
        <v>957.49</v>
      </c>
      <c r="K110" s="43">
        <v>11489.89</v>
      </c>
      <c r="L110" s="32">
        <v>12447.38</v>
      </c>
      <c r="M110" s="33"/>
      <c r="N110" s="30">
        <v>11489.89</v>
      </c>
      <c r="O110" s="30">
        <v>5497.17</v>
      </c>
      <c r="P110" s="30"/>
      <c r="Q110" s="30">
        <v>13436.87</v>
      </c>
      <c r="R110" s="7"/>
      <c r="S110" s="7"/>
      <c r="T110" s="7"/>
      <c r="U110" s="7"/>
      <c r="V110" s="7"/>
      <c r="W110" s="7"/>
      <c r="X110" s="7"/>
      <c r="Y110" s="7"/>
      <c r="Z110" s="7"/>
    </row>
    <row r="111" spans="1:26" ht="9" customHeight="1" x14ac:dyDescent="0.2">
      <c r="A111" s="534"/>
      <c r="B111" s="534"/>
      <c r="C111" s="34" t="s">
        <v>37</v>
      </c>
      <c r="D111" s="35">
        <v>17</v>
      </c>
      <c r="E111" s="36">
        <v>9684003</v>
      </c>
      <c r="F111" s="36">
        <v>960003</v>
      </c>
      <c r="G111" s="36">
        <v>0</v>
      </c>
      <c r="H111" s="36">
        <v>11603524</v>
      </c>
      <c r="I111" s="36">
        <v>0</v>
      </c>
      <c r="J111" s="37">
        <v>1853959</v>
      </c>
      <c r="K111" s="36">
        <v>22247529</v>
      </c>
      <c r="L111" s="38">
        <v>24101488</v>
      </c>
      <c r="M111" s="39"/>
      <c r="N111" s="36">
        <v>22247529</v>
      </c>
      <c r="O111" s="36">
        <v>10644005</v>
      </c>
      <c r="P111" s="36">
        <v>0</v>
      </c>
      <c r="Q111" s="36">
        <v>26017408</v>
      </c>
      <c r="R111" s="7"/>
      <c r="S111" s="7"/>
      <c r="T111" s="7"/>
      <c r="U111" s="7"/>
      <c r="V111" s="7"/>
      <c r="W111" s="7"/>
      <c r="X111" s="7"/>
      <c r="Y111" s="7"/>
      <c r="Z111" s="7"/>
    </row>
    <row r="112" spans="1:26" ht="12.75" customHeight="1" x14ac:dyDescent="0.2">
      <c r="A112" s="534"/>
      <c r="B112" s="534"/>
      <c r="C112" s="40" t="s">
        <v>36</v>
      </c>
      <c r="D112" s="41">
        <v>18</v>
      </c>
      <c r="E112" s="42">
        <v>5199.6899999999996</v>
      </c>
      <c r="F112" s="42">
        <v>514.39</v>
      </c>
      <c r="G112" s="42">
        <v>0</v>
      </c>
      <c r="H112" s="42">
        <v>5992.72</v>
      </c>
      <c r="I112" s="42">
        <v>0</v>
      </c>
      <c r="J112" s="42">
        <v>975.57</v>
      </c>
      <c r="K112" s="43">
        <v>11706.8</v>
      </c>
      <c r="L112" s="32">
        <v>12682.37</v>
      </c>
      <c r="M112" s="33"/>
      <c r="N112" s="30">
        <v>11706.8</v>
      </c>
      <c r="O112" s="30">
        <v>5714.08</v>
      </c>
      <c r="P112" s="30"/>
      <c r="Q112" s="30">
        <v>13710.9</v>
      </c>
      <c r="R112" s="7"/>
      <c r="S112" s="7"/>
      <c r="T112" s="7"/>
      <c r="U112" s="7"/>
      <c r="V112" s="7"/>
      <c r="W112" s="7"/>
      <c r="X112" s="7"/>
      <c r="Y112" s="7"/>
      <c r="Z112" s="7"/>
    </row>
    <row r="113" spans="1:26" ht="9" customHeight="1" x14ac:dyDescent="0.2">
      <c r="A113" s="534"/>
      <c r="B113" s="534"/>
      <c r="C113" s="34" t="s">
        <v>37</v>
      </c>
      <c r="D113" s="35">
        <v>19</v>
      </c>
      <c r="E113" s="36">
        <v>10068004</v>
      </c>
      <c r="F113" s="36">
        <v>995998</v>
      </c>
      <c r="G113" s="36">
        <v>0</v>
      </c>
      <c r="H113" s="36">
        <v>11603524</v>
      </c>
      <c r="I113" s="36">
        <v>0</v>
      </c>
      <c r="J113" s="37">
        <v>1888967</v>
      </c>
      <c r="K113" s="36">
        <v>22667526</v>
      </c>
      <c r="L113" s="38">
        <v>24556493</v>
      </c>
      <c r="M113" s="39"/>
      <c r="N113" s="36">
        <v>22667526</v>
      </c>
      <c r="O113" s="36">
        <v>11064002</v>
      </c>
      <c r="P113" s="36">
        <v>0</v>
      </c>
      <c r="Q113" s="36">
        <v>26548004</v>
      </c>
      <c r="R113" s="7"/>
      <c r="S113" s="7"/>
      <c r="T113" s="7"/>
      <c r="U113" s="7"/>
      <c r="V113" s="7"/>
      <c r="W113" s="7"/>
      <c r="X113" s="7"/>
      <c r="Y113" s="7"/>
      <c r="Z113" s="7"/>
    </row>
    <row r="114" spans="1:26" ht="12.75" customHeight="1" x14ac:dyDescent="0.2">
      <c r="A114" s="534"/>
      <c r="B114" s="534"/>
      <c r="C114" s="40" t="s">
        <v>36</v>
      </c>
      <c r="D114" s="41">
        <v>20</v>
      </c>
      <c r="E114" s="42">
        <v>5404.2</v>
      </c>
      <c r="F114" s="42">
        <v>539.17999999999995</v>
      </c>
      <c r="G114" s="42">
        <v>0</v>
      </c>
      <c r="H114" s="42">
        <v>5992.72</v>
      </c>
      <c r="I114" s="42">
        <v>0</v>
      </c>
      <c r="J114" s="42">
        <v>994.68</v>
      </c>
      <c r="K114" s="43">
        <v>11936.1</v>
      </c>
      <c r="L114" s="32">
        <v>12930.78</v>
      </c>
      <c r="M114" s="33"/>
      <c r="N114" s="30">
        <v>11936.1</v>
      </c>
      <c r="O114" s="30">
        <v>5943.38</v>
      </c>
      <c r="P114" s="30"/>
      <c r="Q114" s="30">
        <v>14000.59</v>
      </c>
      <c r="R114" s="7"/>
      <c r="S114" s="7"/>
      <c r="T114" s="7"/>
      <c r="U114" s="7"/>
      <c r="V114" s="7"/>
      <c r="W114" s="7"/>
      <c r="X114" s="7"/>
      <c r="Y114" s="7"/>
      <c r="Z114" s="7"/>
    </row>
    <row r="115" spans="1:26" ht="9" customHeight="1" x14ac:dyDescent="0.2">
      <c r="A115" s="534"/>
      <c r="B115" s="534"/>
      <c r="C115" s="34" t="s">
        <v>37</v>
      </c>
      <c r="D115" s="35">
        <v>21</v>
      </c>
      <c r="E115" s="36">
        <v>10463990</v>
      </c>
      <c r="F115" s="36">
        <v>1043998</v>
      </c>
      <c r="G115" s="36">
        <v>0</v>
      </c>
      <c r="H115" s="36">
        <v>11603524</v>
      </c>
      <c r="I115" s="36">
        <v>0</v>
      </c>
      <c r="J115" s="37">
        <v>1925969</v>
      </c>
      <c r="K115" s="36">
        <v>23111512</v>
      </c>
      <c r="L115" s="38">
        <v>25037481</v>
      </c>
      <c r="M115" s="39"/>
      <c r="N115" s="36">
        <v>23111512</v>
      </c>
      <c r="O115" s="36">
        <v>11507988</v>
      </c>
      <c r="P115" s="36">
        <v>0</v>
      </c>
      <c r="Q115" s="36">
        <v>27108922</v>
      </c>
      <c r="R115" s="7"/>
      <c r="S115" s="7"/>
      <c r="T115" s="7"/>
      <c r="U115" s="7"/>
      <c r="V115" s="7"/>
      <c r="W115" s="7"/>
      <c r="X115" s="7"/>
      <c r="Y115" s="7"/>
      <c r="Z115" s="7"/>
    </row>
    <row r="116" spans="1:26" ht="12.75" customHeight="1" x14ac:dyDescent="0.2">
      <c r="A116" s="534"/>
      <c r="B116" s="534"/>
      <c r="C116" s="40" t="s">
        <v>36</v>
      </c>
      <c r="D116" s="41">
        <v>22</v>
      </c>
      <c r="E116" s="42">
        <v>5509.56</v>
      </c>
      <c r="F116" s="42">
        <v>545.38</v>
      </c>
      <c r="G116" s="42">
        <v>0</v>
      </c>
      <c r="H116" s="42">
        <v>5992.72</v>
      </c>
      <c r="I116" s="42">
        <v>0</v>
      </c>
      <c r="J116" s="42">
        <v>1003.97</v>
      </c>
      <c r="K116" s="43">
        <v>12047.66</v>
      </c>
      <c r="L116" s="32">
        <v>13051.63</v>
      </c>
      <c r="M116" s="33"/>
      <c r="N116" s="30">
        <v>12047.66</v>
      </c>
      <c r="O116" s="30">
        <v>6054.94</v>
      </c>
      <c r="P116" s="30"/>
      <c r="Q116" s="30">
        <v>14141.52</v>
      </c>
      <c r="R116" s="7"/>
      <c r="S116" s="7"/>
      <c r="T116" s="7"/>
      <c r="U116" s="7"/>
      <c r="V116" s="7"/>
      <c r="W116" s="7"/>
      <c r="X116" s="7"/>
      <c r="Y116" s="7"/>
      <c r="Z116" s="7"/>
    </row>
    <row r="117" spans="1:26" ht="9" customHeight="1" x14ac:dyDescent="0.2">
      <c r="A117" s="534"/>
      <c r="B117" s="534"/>
      <c r="C117" s="34" t="s">
        <v>37</v>
      </c>
      <c r="D117" s="35">
        <v>23</v>
      </c>
      <c r="E117" s="36">
        <v>10667996</v>
      </c>
      <c r="F117" s="36">
        <v>1056003</v>
      </c>
      <c r="G117" s="36">
        <v>0</v>
      </c>
      <c r="H117" s="36">
        <v>11603524</v>
      </c>
      <c r="I117" s="36">
        <v>0</v>
      </c>
      <c r="J117" s="37">
        <v>1943957</v>
      </c>
      <c r="K117" s="36">
        <v>23327523</v>
      </c>
      <c r="L117" s="38">
        <v>25271480</v>
      </c>
      <c r="M117" s="39"/>
      <c r="N117" s="36">
        <v>23327523</v>
      </c>
      <c r="O117" s="36">
        <v>11723999</v>
      </c>
      <c r="P117" s="36">
        <v>0</v>
      </c>
      <c r="Q117" s="36">
        <v>27381801</v>
      </c>
      <c r="R117" s="7"/>
      <c r="S117" s="7"/>
      <c r="T117" s="7"/>
      <c r="U117" s="7"/>
      <c r="V117" s="7"/>
      <c r="W117" s="7"/>
      <c r="X117" s="7"/>
      <c r="Y117" s="7"/>
      <c r="Z117" s="7"/>
    </row>
    <row r="118" spans="1:26" ht="12.75" customHeight="1" x14ac:dyDescent="0.2">
      <c r="A118" s="534"/>
      <c r="B118" s="534"/>
      <c r="C118" s="40" t="s">
        <v>36</v>
      </c>
      <c r="D118" s="41">
        <v>24</v>
      </c>
      <c r="E118" s="42">
        <v>5614.92</v>
      </c>
      <c r="F118" s="42">
        <v>557.77</v>
      </c>
      <c r="G118" s="42">
        <v>0</v>
      </c>
      <c r="H118" s="42">
        <v>5992.72</v>
      </c>
      <c r="I118" s="42">
        <v>0</v>
      </c>
      <c r="J118" s="42">
        <v>1013.78</v>
      </c>
      <c r="K118" s="43">
        <v>12165.41</v>
      </c>
      <c r="L118" s="32">
        <v>13179.19</v>
      </c>
      <c r="M118" s="33"/>
      <c r="N118" s="30">
        <v>12165.41</v>
      </c>
      <c r="O118" s="30">
        <v>6172.69</v>
      </c>
      <c r="P118" s="30"/>
      <c r="Q118" s="30">
        <v>14290.27</v>
      </c>
      <c r="R118" s="7"/>
      <c r="S118" s="7"/>
      <c r="T118" s="7"/>
      <c r="U118" s="7"/>
      <c r="V118" s="7"/>
      <c r="W118" s="7"/>
      <c r="X118" s="7"/>
      <c r="Y118" s="7"/>
      <c r="Z118" s="7"/>
    </row>
    <row r="119" spans="1:26" ht="9" customHeight="1" x14ac:dyDescent="0.2">
      <c r="A119" s="534"/>
      <c r="B119" s="534"/>
      <c r="C119" s="34" t="s">
        <v>37</v>
      </c>
      <c r="D119" s="35">
        <v>25</v>
      </c>
      <c r="E119" s="36">
        <v>10872001</v>
      </c>
      <c r="F119" s="36">
        <v>1079993</v>
      </c>
      <c r="G119" s="36">
        <v>0</v>
      </c>
      <c r="H119" s="36">
        <v>11603524</v>
      </c>
      <c r="I119" s="36">
        <v>0</v>
      </c>
      <c r="J119" s="37">
        <v>1962952</v>
      </c>
      <c r="K119" s="36">
        <v>23555518</v>
      </c>
      <c r="L119" s="38">
        <v>25518470</v>
      </c>
      <c r="M119" s="39"/>
      <c r="N119" s="36">
        <v>23555518</v>
      </c>
      <c r="O119" s="36">
        <v>11951994</v>
      </c>
      <c r="P119" s="36">
        <v>0</v>
      </c>
      <c r="Q119" s="36">
        <v>27669821</v>
      </c>
      <c r="R119" s="7"/>
      <c r="S119" s="7"/>
      <c r="T119" s="7"/>
      <c r="U119" s="7"/>
      <c r="V119" s="7"/>
      <c r="W119" s="7"/>
      <c r="X119" s="7"/>
      <c r="Y119" s="7"/>
      <c r="Z119" s="7"/>
    </row>
    <row r="120" spans="1:26" ht="12.75" customHeight="1" x14ac:dyDescent="0.2">
      <c r="A120" s="534"/>
      <c r="B120" s="534"/>
      <c r="C120" s="40" t="s">
        <v>36</v>
      </c>
      <c r="D120" s="41">
        <v>26</v>
      </c>
      <c r="E120" s="42">
        <v>5726.47</v>
      </c>
      <c r="F120" s="42">
        <v>570.16999999999996</v>
      </c>
      <c r="G120" s="42">
        <v>0</v>
      </c>
      <c r="H120" s="42">
        <v>5992.72</v>
      </c>
      <c r="I120" s="42">
        <v>0</v>
      </c>
      <c r="J120" s="42">
        <v>1024.1099999999999</v>
      </c>
      <c r="K120" s="43">
        <v>12289.36</v>
      </c>
      <c r="L120" s="32">
        <v>13313.47</v>
      </c>
      <c r="M120" s="33"/>
      <c r="N120" s="30">
        <v>12289.36</v>
      </c>
      <c r="O120" s="30">
        <v>6296.64</v>
      </c>
      <c r="P120" s="30"/>
      <c r="Q120" s="30">
        <v>14446.87</v>
      </c>
      <c r="R120" s="7"/>
      <c r="S120" s="7"/>
      <c r="T120" s="7"/>
      <c r="U120" s="7"/>
      <c r="V120" s="7"/>
      <c r="W120" s="7"/>
      <c r="X120" s="7"/>
      <c r="Y120" s="7"/>
      <c r="Z120" s="7"/>
    </row>
    <row r="121" spans="1:26" ht="9" customHeight="1" x14ac:dyDescent="0.2">
      <c r="A121" s="534"/>
      <c r="B121" s="534"/>
      <c r="C121" s="34" t="s">
        <v>37</v>
      </c>
      <c r="D121" s="35">
        <v>27</v>
      </c>
      <c r="E121" s="36">
        <v>11087992</v>
      </c>
      <c r="F121" s="36">
        <v>1104003</v>
      </c>
      <c r="G121" s="36">
        <v>0</v>
      </c>
      <c r="H121" s="36">
        <v>11603524</v>
      </c>
      <c r="I121" s="36">
        <v>0</v>
      </c>
      <c r="J121" s="37">
        <v>1982953</v>
      </c>
      <c r="K121" s="36">
        <v>23795519</v>
      </c>
      <c r="L121" s="38">
        <v>25778473</v>
      </c>
      <c r="M121" s="39"/>
      <c r="N121" s="36">
        <v>23795519</v>
      </c>
      <c r="O121" s="36">
        <v>12191995</v>
      </c>
      <c r="P121" s="36">
        <v>0</v>
      </c>
      <c r="Q121" s="36">
        <v>27973041</v>
      </c>
      <c r="R121" s="7"/>
      <c r="S121" s="7"/>
      <c r="T121" s="7"/>
      <c r="U121" s="7"/>
      <c r="V121" s="7"/>
      <c r="W121" s="7"/>
      <c r="X121" s="7"/>
      <c r="Y121" s="7"/>
      <c r="Z121" s="7"/>
    </row>
    <row r="122" spans="1:26" ht="12.75" customHeight="1" x14ac:dyDescent="0.2">
      <c r="A122" s="534"/>
      <c r="B122" s="534"/>
      <c r="C122" s="40" t="s">
        <v>36</v>
      </c>
      <c r="D122" s="41">
        <v>28</v>
      </c>
      <c r="E122" s="42">
        <v>5831.83</v>
      </c>
      <c r="F122" s="42">
        <v>582.55999999999995</v>
      </c>
      <c r="G122" s="42">
        <v>0</v>
      </c>
      <c r="H122" s="42">
        <v>5992.72</v>
      </c>
      <c r="I122" s="42">
        <v>0</v>
      </c>
      <c r="J122" s="42">
        <v>1033.93</v>
      </c>
      <c r="K122" s="43">
        <v>12407.11</v>
      </c>
      <c r="L122" s="32">
        <v>13441.04</v>
      </c>
      <c r="M122" s="33"/>
      <c r="N122" s="30">
        <v>12407.11</v>
      </c>
      <c r="O122" s="30">
        <v>6414.39</v>
      </c>
      <c r="P122" s="30"/>
      <c r="Q122" s="30">
        <v>14595.63</v>
      </c>
      <c r="R122" s="7"/>
      <c r="S122" s="7"/>
      <c r="T122" s="7"/>
      <c r="U122" s="7"/>
      <c r="V122" s="7"/>
      <c r="W122" s="7"/>
      <c r="X122" s="7"/>
      <c r="Y122" s="7"/>
      <c r="Z122" s="7"/>
    </row>
    <row r="123" spans="1:26" ht="9" customHeight="1" x14ac:dyDescent="0.2">
      <c r="A123" s="534"/>
      <c r="B123" s="534"/>
      <c r="C123" s="34" t="s">
        <v>37</v>
      </c>
      <c r="D123" s="35">
        <v>29</v>
      </c>
      <c r="E123" s="36">
        <v>11291997</v>
      </c>
      <c r="F123" s="36">
        <v>1127993</v>
      </c>
      <c r="G123" s="36">
        <v>0</v>
      </c>
      <c r="H123" s="36">
        <v>11603524</v>
      </c>
      <c r="I123" s="36">
        <v>0</v>
      </c>
      <c r="J123" s="37">
        <v>2001968</v>
      </c>
      <c r="K123" s="36">
        <v>24023515</v>
      </c>
      <c r="L123" s="38">
        <v>26025483</v>
      </c>
      <c r="M123" s="39"/>
      <c r="N123" s="36">
        <v>24023515</v>
      </c>
      <c r="O123" s="36">
        <v>12419991</v>
      </c>
      <c r="P123" s="36">
        <v>0</v>
      </c>
      <c r="Q123" s="36">
        <v>28261081</v>
      </c>
      <c r="R123" s="7"/>
      <c r="S123" s="7"/>
      <c r="T123" s="7"/>
      <c r="U123" s="7"/>
      <c r="V123" s="7"/>
      <c r="W123" s="7"/>
      <c r="X123" s="7"/>
      <c r="Y123" s="7"/>
      <c r="Z123" s="7"/>
    </row>
    <row r="124" spans="1:26" ht="12.75" customHeight="1" x14ac:dyDescent="0.2">
      <c r="A124" s="534"/>
      <c r="B124" s="534"/>
      <c r="C124" s="40" t="s">
        <v>36</v>
      </c>
      <c r="D124" s="41">
        <v>30</v>
      </c>
      <c r="E124" s="42">
        <v>5943.39</v>
      </c>
      <c r="F124" s="42">
        <v>588.76</v>
      </c>
      <c r="G124" s="42">
        <v>0</v>
      </c>
      <c r="H124" s="42">
        <v>5992.72</v>
      </c>
      <c r="I124" s="42">
        <v>0</v>
      </c>
      <c r="J124" s="42">
        <v>1043.74</v>
      </c>
      <c r="K124" s="43">
        <v>12524.87</v>
      </c>
      <c r="L124" s="32">
        <v>13568.61</v>
      </c>
      <c r="M124" s="33"/>
      <c r="N124" s="30">
        <v>12524.87</v>
      </c>
      <c r="O124" s="30">
        <v>6532.15</v>
      </c>
      <c r="P124" s="30"/>
      <c r="Q124" s="30">
        <v>14744.4</v>
      </c>
      <c r="R124" s="7"/>
      <c r="S124" s="7"/>
      <c r="T124" s="7"/>
      <c r="U124" s="7"/>
      <c r="V124" s="7"/>
      <c r="W124" s="7"/>
      <c r="X124" s="7"/>
      <c r="Y124" s="7"/>
      <c r="Z124" s="7"/>
    </row>
    <row r="125" spans="1:26" ht="9" customHeight="1" x14ac:dyDescent="0.2">
      <c r="A125" s="534"/>
      <c r="B125" s="534"/>
      <c r="C125" s="34" t="s">
        <v>37</v>
      </c>
      <c r="D125" s="35">
        <v>31</v>
      </c>
      <c r="E125" s="36">
        <v>11508008</v>
      </c>
      <c r="F125" s="36">
        <v>1139998</v>
      </c>
      <c r="G125" s="36">
        <v>0</v>
      </c>
      <c r="H125" s="36">
        <v>11603524</v>
      </c>
      <c r="I125" s="36">
        <v>0</v>
      </c>
      <c r="J125" s="37">
        <v>2020962</v>
      </c>
      <c r="K125" s="36">
        <v>24251530</v>
      </c>
      <c r="L125" s="38">
        <v>26272492</v>
      </c>
      <c r="M125" s="39"/>
      <c r="N125" s="36">
        <v>24251530</v>
      </c>
      <c r="O125" s="36">
        <v>12648006</v>
      </c>
      <c r="P125" s="36">
        <v>0</v>
      </c>
      <c r="Q125" s="36">
        <v>28549139</v>
      </c>
      <c r="R125" s="7"/>
      <c r="S125" s="7"/>
      <c r="T125" s="7"/>
      <c r="U125" s="7"/>
      <c r="V125" s="7"/>
      <c r="W125" s="7"/>
      <c r="X125" s="7"/>
      <c r="Y125" s="7"/>
      <c r="Z125" s="7"/>
    </row>
    <row r="126" spans="1:26" ht="12.75" customHeight="1" x14ac:dyDescent="0.2">
      <c r="A126" s="534"/>
      <c r="B126" s="534"/>
      <c r="C126" s="40" t="s">
        <v>36</v>
      </c>
      <c r="D126" s="41">
        <v>32</v>
      </c>
      <c r="E126" s="42">
        <v>6048.74</v>
      </c>
      <c r="F126" s="42">
        <v>601.16</v>
      </c>
      <c r="G126" s="42">
        <v>0</v>
      </c>
      <c r="H126" s="42">
        <v>5992.72</v>
      </c>
      <c r="I126" s="42">
        <v>0</v>
      </c>
      <c r="J126" s="42">
        <v>1053.55</v>
      </c>
      <c r="K126" s="43">
        <v>12642.62</v>
      </c>
      <c r="L126" s="32">
        <v>13696.17</v>
      </c>
      <c r="M126" s="33"/>
      <c r="N126" s="30">
        <v>12642.62</v>
      </c>
      <c r="O126" s="30">
        <v>6649.9</v>
      </c>
      <c r="P126" s="30"/>
      <c r="Q126" s="30">
        <v>14893.15</v>
      </c>
      <c r="R126" s="7"/>
      <c r="S126" s="7"/>
      <c r="T126" s="7"/>
      <c r="U126" s="7"/>
      <c r="V126" s="7"/>
      <c r="W126" s="7"/>
      <c r="X126" s="7"/>
      <c r="Y126" s="7"/>
      <c r="Z126" s="7"/>
    </row>
    <row r="127" spans="1:26" ht="9" customHeight="1" x14ac:dyDescent="0.2">
      <c r="A127" s="534"/>
      <c r="B127" s="534"/>
      <c r="C127" s="34" t="s">
        <v>37</v>
      </c>
      <c r="D127" s="35">
        <v>33</v>
      </c>
      <c r="E127" s="36">
        <v>11711994</v>
      </c>
      <c r="F127" s="36">
        <v>1164008</v>
      </c>
      <c r="G127" s="36">
        <v>0</v>
      </c>
      <c r="H127" s="36">
        <v>11603524</v>
      </c>
      <c r="I127" s="36">
        <v>0</v>
      </c>
      <c r="J127" s="37">
        <v>2039957</v>
      </c>
      <c r="K127" s="36">
        <v>24479526</v>
      </c>
      <c r="L127" s="38">
        <v>26519483</v>
      </c>
      <c r="M127" s="39"/>
      <c r="N127" s="36">
        <v>24479526</v>
      </c>
      <c r="O127" s="36">
        <v>12876002</v>
      </c>
      <c r="P127" s="36">
        <v>0</v>
      </c>
      <c r="Q127" s="36">
        <v>28837160</v>
      </c>
      <c r="R127" s="7"/>
      <c r="S127" s="7"/>
      <c r="T127" s="7"/>
      <c r="U127" s="7"/>
      <c r="V127" s="7"/>
      <c r="W127" s="7"/>
      <c r="X127" s="7"/>
      <c r="Y127" s="7"/>
      <c r="Z127" s="7"/>
    </row>
    <row r="128" spans="1:26" ht="12.75" customHeight="1" x14ac:dyDescent="0.2">
      <c r="A128" s="534"/>
      <c r="B128" s="534"/>
      <c r="C128" s="40" t="s">
        <v>36</v>
      </c>
      <c r="D128" s="41">
        <v>34</v>
      </c>
      <c r="E128" s="42">
        <v>6160.3</v>
      </c>
      <c r="F128" s="42">
        <v>613.54999999999995</v>
      </c>
      <c r="G128" s="42">
        <v>0</v>
      </c>
      <c r="H128" s="42">
        <v>5992.72</v>
      </c>
      <c r="I128" s="42">
        <v>0</v>
      </c>
      <c r="J128" s="42">
        <v>1063.8800000000001</v>
      </c>
      <c r="K128" s="43">
        <v>12766.57</v>
      </c>
      <c r="L128" s="32">
        <v>13830.45</v>
      </c>
      <c r="M128" s="33"/>
      <c r="N128" s="30">
        <v>12766.57</v>
      </c>
      <c r="O128" s="30">
        <v>6773.85</v>
      </c>
      <c r="P128" s="30"/>
      <c r="Q128" s="30">
        <v>15049.74</v>
      </c>
      <c r="R128" s="7"/>
      <c r="S128" s="7"/>
      <c r="T128" s="7"/>
      <c r="U128" s="7"/>
      <c r="V128" s="7"/>
      <c r="W128" s="7"/>
      <c r="X128" s="7"/>
      <c r="Y128" s="7"/>
      <c r="Z128" s="7"/>
    </row>
    <row r="129" spans="1:26" ht="9" customHeight="1" x14ac:dyDescent="0.2">
      <c r="A129" s="534"/>
      <c r="B129" s="534"/>
      <c r="C129" s="34" t="s">
        <v>37</v>
      </c>
      <c r="D129" s="35">
        <v>35</v>
      </c>
      <c r="E129" s="36">
        <v>11928004</v>
      </c>
      <c r="F129" s="36">
        <v>1187998</v>
      </c>
      <c r="G129" s="36">
        <v>0</v>
      </c>
      <c r="H129" s="36">
        <v>11603524</v>
      </c>
      <c r="I129" s="36">
        <v>0</v>
      </c>
      <c r="J129" s="37">
        <v>2059959</v>
      </c>
      <c r="K129" s="36">
        <v>24719526</v>
      </c>
      <c r="L129" s="38">
        <v>26779485</v>
      </c>
      <c r="M129" s="39"/>
      <c r="N129" s="36">
        <v>24719526</v>
      </c>
      <c r="O129" s="36">
        <v>13116003</v>
      </c>
      <c r="P129" s="36">
        <v>0</v>
      </c>
      <c r="Q129" s="36">
        <v>29140360</v>
      </c>
      <c r="R129" s="7"/>
      <c r="S129" s="7"/>
      <c r="T129" s="7"/>
      <c r="U129" s="7"/>
      <c r="V129" s="7"/>
      <c r="W129" s="7"/>
      <c r="X129" s="7"/>
      <c r="Y129" s="7"/>
      <c r="Z129" s="7"/>
    </row>
    <row r="130" spans="1:26" ht="12.75" customHeight="1" x14ac:dyDescent="0.2">
      <c r="A130" s="534"/>
      <c r="B130" s="534"/>
      <c r="C130" s="40" t="s">
        <v>36</v>
      </c>
      <c r="D130" s="41">
        <v>36</v>
      </c>
      <c r="E130" s="42">
        <v>6265.66</v>
      </c>
      <c r="F130" s="42">
        <v>625.95000000000005</v>
      </c>
      <c r="G130" s="42">
        <v>0</v>
      </c>
      <c r="H130" s="42">
        <v>5992.72</v>
      </c>
      <c r="I130" s="42">
        <v>0</v>
      </c>
      <c r="J130" s="42">
        <v>1073.69</v>
      </c>
      <c r="K130" s="43">
        <v>12884.33</v>
      </c>
      <c r="L130" s="32">
        <v>13958.02</v>
      </c>
      <c r="M130" s="33"/>
      <c r="N130" s="30">
        <v>12884.33</v>
      </c>
      <c r="O130" s="30">
        <v>6891.61</v>
      </c>
      <c r="P130" s="30"/>
      <c r="Q130" s="30">
        <v>15198.51</v>
      </c>
      <c r="R130" s="7"/>
      <c r="S130" s="7"/>
      <c r="T130" s="7"/>
      <c r="U130" s="7"/>
      <c r="V130" s="7"/>
      <c r="W130" s="7"/>
      <c r="X130" s="7"/>
      <c r="Y130" s="7"/>
      <c r="Z130" s="7"/>
    </row>
    <row r="131" spans="1:26" ht="9" customHeight="1" x14ac:dyDescent="0.2">
      <c r="A131" s="534"/>
      <c r="B131" s="534"/>
      <c r="C131" s="34" t="s">
        <v>37</v>
      </c>
      <c r="D131" s="35">
        <v>37</v>
      </c>
      <c r="E131" s="36">
        <v>12132009</v>
      </c>
      <c r="F131" s="36">
        <v>1212008</v>
      </c>
      <c r="G131" s="36">
        <v>0</v>
      </c>
      <c r="H131" s="36">
        <v>11603524</v>
      </c>
      <c r="I131" s="36">
        <v>0</v>
      </c>
      <c r="J131" s="37">
        <v>2078954</v>
      </c>
      <c r="K131" s="36">
        <v>24947542</v>
      </c>
      <c r="L131" s="38">
        <v>27026495</v>
      </c>
      <c r="M131" s="39"/>
      <c r="N131" s="36">
        <v>24947542</v>
      </c>
      <c r="O131" s="36">
        <v>13344018</v>
      </c>
      <c r="P131" s="36">
        <v>0</v>
      </c>
      <c r="Q131" s="36">
        <v>29428419</v>
      </c>
      <c r="R131" s="7"/>
      <c r="S131" s="7"/>
      <c r="T131" s="7"/>
      <c r="U131" s="7"/>
      <c r="V131" s="7"/>
      <c r="W131" s="7"/>
      <c r="X131" s="7"/>
      <c r="Y131" s="7"/>
      <c r="Z131" s="7"/>
    </row>
    <row r="132" spans="1:26" ht="12.75" customHeight="1" x14ac:dyDescent="0.2">
      <c r="A132" s="534"/>
      <c r="B132" s="534"/>
      <c r="C132" s="40" t="s">
        <v>36</v>
      </c>
      <c r="D132" s="41">
        <v>38</v>
      </c>
      <c r="E132" s="42">
        <v>6377.21</v>
      </c>
      <c r="F132" s="42">
        <v>632.14</v>
      </c>
      <c r="G132" s="42">
        <v>0</v>
      </c>
      <c r="H132" s="42">
        <v>5992.72</v>
      </c>
      <c r="I132" s="42">
        <v>0</v>
      </c>
      <c r="J132" s="42">
        <v>1083.51</v>
      </c>
      <c r="K132" s="43">
        <v>13002.07</v>
      </c>
      <c r="L132" s="32">
        <v>14085.58</v>
      </c>
      <c r="M132" s="33"/>
      <c r="N132" s="30">
        <v>13002.07</v>
      </c>
      <c r="O132" s="30">
        <v>7009.35</v>
      </c>
      <c r="P132" s="30"/>
      <c r="Q132" s="30">
        <v>15347.26</v>
      </c>
      <c r="R132" s="7"/>
      <c r="S132" s="7"/>
      <c r="T132" s="7"/>
      <c r="U132" s="7"/>
      <c r="V132" s="7"/>
      <c r="W132" s="7"/>
      <c r="X132" s="7"/>
      <c r="Y132" s="7"/>
      <c r="Z132" s="7"/>
    </row>
    <row r="133" spans="1:26" ht="9" customHeight="1" x14ac:dyDescent="0.2">
      <c r="A133" s="534"/>
      <c r="B133" s="534"/>
      <c r="C133" s="34" t="s">
        <v>37</v>
      </c>
      <c r="D133" s="35">
        <v>39</v>
      </c>
      <c r="E133" s="36">
        <v>12348000</v>
      </c>
      <c r="F133" s="36">
        <v>1223994</v>
      </c>
      <c r="G133" s="36">
        <v>0</v>
      </c>
      <c r="H133" s="36">
        <v>11603524</v>
      </c>
      <c r="I133" s="36">
        <v>0</v>
      </c>
      <c r="J133" s="37">
        <v>2097968</v>
      </c>
      <c r="K133" s="36">
        <v>25175518</v>
      </c>
      <c r="L133" s="38">
        <v>27273486</v>
      </c>
      <c r="M133" s="39"/>
      <c r="N133" s="36">
        <v>25175518</v>
      </c>
      <c r="O133" s="36">
        <v>13571994</v>
      </c>
      <c r="P133" s="36">
        <v>0</v>
      </c>
      <c r="Q133" s="36">
        <v>29716439</v>
      </c>
      <c r="R133" s="7"/>
      <c r="S133" s="7"/>
      <c r="T133" s="7"/>
      <c r="U133" s="7"/>
      <c r="V133" s="7"/>
      <c r="W133" s="7"/>
      <c r="X133" s="7"/>
      <c r="Y133" s="7"/>
      <c r="Z133" s="7"/>
    </row>
    <row r="134" spans="1:26" ht="9" customHeight="1" x14ac:dyDescent="0.2">
      <c r="A134" s="534"/>
      <c r="B134" s="534"/>
      <c r="C134" s="44"/>
      <c r="D134" s="45"/>
      <c r="E134" s="96"/>
      <c r="F134" s="96"/>
      <c r="G134" s="96"/>
      <c r="H134" s="96"/>
      <c r="I134" s="96"/>
      <c r="J134" s="54"/>
      <c r="K134" s="96"/>
      <c r="L134" s="96"/>
      <c r="M134" s="39"/>
      <c r="N134" s="96"/>
      <c r="O134" s="96"/>
      <c r="P134" s="96"/>
      <c r="Q134" s="96"/>
      <c r="R134" s="7"/>
      <c r="S134" s="7"/>
      <c r="T134" s="7"/>
      <c r="U134" s="7"/>
      <c r="V134" s="7"/>
      <c r="W134" s="7"/>
      <c r="X134" s="7"/>
      <c r="Y134" s="7"/>
      <c r="Z134" s="7"/>
    </row>
    <row r="135" spans="1:26" ht="9" customHeight="1" x14ac:dyDescent="0.2">
      <c r="A135" s="534"/>
      <c r="B135" s="534"/>
      <c r="C135" s="44"/>
      <c r="D135" s="45"/>
      <c r="E135" s="96"/>
      <c r="F135" s="96"/>
      <c r="G135" s="96"/>
      <c r="H135" s="96"/>
      <c r="I135" s="96"/>
      <c r="J135" s="54"/>
      <c r="K135" s="96"/>
      <c r="L135" s="96"/>
      <c r="M135" s="39"/>
      <c r="N135" s="96"/>
      <c r="O135" s="96"/>
      <c r="P135" s="96"/>
      <c r="Q135" s="96"/>
      <c r="R135" s="7"/>
      <c r="S135" s="7"/>
      <c r="T135" s="7"/>
      <c r="U135" s="7"/>
      <c r="V135" s="7"/>
      <c r="W135" s="7"/>
      <c r="X135" s="7"/>
      <c r="Y135" s="7"/>
      <c r="Z135" s="7"/>
    </row>
    <row r="136" spans="1:26" ht="12.75" customHeight="1" x14ac:dyDescent="0.2">
      <c r="A136" s="534"/>
      <c r="B136" s="534"/>
      <c r="C136" s="40" t="s">
        <v>36</v>
      </c>
      <c r="D136" s="41">
        <v>40</v>
      </c>
      <c r="E136" s="42">
        <v>6482.57</v>
      </c>
      <c r="F136" s="42">
        <v>644.54</v>
      </c>
      <c r="G136" s="42">
        <v>0</v>
      </c>
      <c r="H136" s="42">
        <v>5992.72</v>
      </c>
      <c r="I136" s="42">
        <v>0</v>
      </c>
      <c r="J136" s="42">
        <v>1093.32</v>
      </c>
      <c r="K136" s="43">
        <v>13119.83</v>
      </c>
      <c r="L136" s="32">
        <v>14213.15</v>
      </c>
      <c r="M136" s="33"/>
      <c r="N136" s="30">
        <v>13119.83</v>
      </c>
      <c r="O136" s="30">
        <v>7127.11</v>
      </c>
      <c r="P136" s="30"/>
      <c r="Q136" s="30">
        <v>15496.03</v>
      </c>
      <c r="R136" s="7"/>
      <c r="S136" s="7"/>
      <c r="T136" s="7"/>
      <c r="U136" s="7"/>
      <c r="V136" s="7"/>
      <c r="W136" s="7"/>
      <c r="X136" s="7"/>
      <c r="Y136" s="7"/>
      <c r="Z136" s="7"/>
    </row>
    <row r="137" spans="1:26" ht="9" customHeight="1" x14ac:dyDescent="0.2">
      <c r="A137" s="535"/>
      <c r="B137" s="535"/>
      <c r="C137" s="47"/>
      <c r="D137" s="48"/>
      <c r="E137" s="46">
        <v>12552006</v>
      </c>
      <c r="F137" s="46">
        <v>1248003</v>
      </c>
      <c r="G137" s="46">
        <v>0</v>
      </c>
      <c r="H137" s="46">
        <v>11603524</v>
      </c>
      <c r="I137" s="46">
        <v>0</v>
      </c>
      <c r="J137" s="49">
        <v>2116963</v>
      </c>
      <c r="K137" s="46">
        <v>25403533</v>
      </c>
      <c r="L137" s="38">
        <v>27520496</v>
      </c>
      <c r="M137" s="39"/>
      <c r="N137" s="36">
        <v>25403533</v>
      </c>
      <c r="O137" s="36">
        <v>13800009</v>
      </c>
      <c r="P137" s="36">
        <v>0</v>
      </c>
      <c r="Q137" s="36">
        <v>30004498</v>
      </c>
      <c r="R137" s="7"/>
      <c r="S137" s="7"/>
      <c r="T137" s="7"/>
      <c r="U137" s="7"/>
      <c r="V137" s="7"/>
      <c r="W137" s="7"/>
      <c r="X137" s="7"/>
      <c r="Y137" s="7"/>
      <c r="Z137" s="7"/>
    </row>
    <row r="138" spans="1:26" ht="12.75" customHeight="1" x14ac:dyDescent="0.2">
      <c r="A138" s="538">
        <v>33543</v>
      </c>
      <c r="B138" s="538">
        <v>33969</v>
      </c>
      <c r="C138" s="28" t="s">
        <v>36</v>
      </c>
      <c r="D138" s="29">
        <v>0</v>
      </c>
      <c r="E138" s="30">
        <v>3390.02</v>
      </c>
      <c r="F138" s="30">
        <v>334.66</v>
      </c>
      <c r="G138" s="30">
        <v>0</v>
      </c>
      <c r="H138" s="30">
        <v>6207.16</v>
      </c>
      <c r="I138" s="30">
        <v>0</v>
      </c>
      <c r="J138" s="30">
        <v>827.65</v>
      </c>
      <c r="K138" s="31">
        <v>9931.84</v>
      </c>
      <c r="L138" s="32">
        <v>10759.49</v>
      </c>
      <c r="M138" s="33"/>
      <c r="N138" s="30">
        <v>9931.84</v>
      </c>
      <c r="O138" s="30">
        <v>3724.68</v>
      </c>
      <c r="P138" s="30"/>
      <c r="Q138" s="30">
        <v>11429.93</v>
      </c>
      <c r="R138" s="7"/>
      <c r="S138" s="7"/>
      <c r="T138" s="7"/>
      <c r="U138" s="7"/>
      <c r="V138" s="7"/>
      <c r="W138" s="7"/>
      <c r="X138" s="7"/>
      <c r="Y138" s="7"/>
      <c r="Z138" s="7"/>
    </row>
    <row r="139" spans="1:26" ht="9" customHeight="1" x14ac:dyDescent="0.2">
      <c r="A139" s="534"/>
      <c r="B139" s="534"/>
      <c r="C139" s="34" t="s">
        <v>37</v>
      </c>
      <c r="D139" s="35">
        <v>1</v>
      </c>
      <c r="E139" s="36">
        <v>6563994</v>
      </c>
      <c r="F139" s="36">
        <v>647992</v>
      </c>
      <c r="G139" s="36">
        <v>0</v>
      </c>
      <c r="H139" s="36">
        <v>12018738</v>
      </c>
      <c r="I139" s="36">
        <v>0</v>
      </c>
      <c r="J139" s="37">
        <v>1602554</v>
      </c>
      <c r="K139" s="36">
        <v>19230724</v>
      </c>
      <c r="L139" s="38">
        <v>20833278</v>
      </c>
      <c r="M139" s="39"/>
      <c r="N139" s="36">
        <v>19230724</v>
      </c>
      <c r="O139" s="36">
        <v>7211986</v>
      </c>
      <c r="P139" s="36">
        <v>0</v>
      </c>
      <c r="Q139" s="36">
        <v>22131431</v>
      </c>
      <c r="R139" s="7"/>
      <c r="S139" s="7"/>
      <c r="T139" s="7"/>
      <c r="U139" s="7"/>
      <c r="V139" s="7"/>
      <c r="W139" s="7"/>
      <c r="X139" s="7"/>
      <c r="Y139" s="7"/>
      <c r="Z139" s="7"/>
    </row>
    <row r="140" spans="1:26" ht="12.75" customHeight="1" x14ac:dyDescent="0.2">
      <c r="A140" s="540">
        <v>33543</v>
      </c>
      <c r="B140" s="540">
        <v>33969</v>
      </c>
      <c r="C140" s="40" t="s">
        <v>36</v>
      </c>
      <c r="D140" s="41">
        <v>2</v>
      </c>
      <c r="E140" s="42">
        <v>3557.36</v>
      </c>
      <c r="F140" s="42">
        <v>353.26</v>
      </c>
      <c r="G140" s="42">
        <v>0</v>
      </c>
      <c r="H140" s="42">
        <v>6207.16</v>
      </c>
      <c r="I140" s="42">
        <v>0</v>
      </c>
      <c r="J140" s="42">
        <v>843.15</v>
      </c>
      <c r="K140" s="43">
        <v>10117.780000000001</v>
      </c>
      <c r="L140" s="32">
        <v>10960.93</v>
      </c>
      <c r="M140" s="33"/>
      <c r="N140" s="30">
        <v>10117.780000000001</v>
      </c>
      <c r="O140" s="30">
        <v>3910.62</v>
      </c>
      <c r="P140" s="30"/>
      <c r="Q140" s="30">
        <v>11664.84</v>
      </c>
      <c r="R140" s="7"/>
      <c r="S140" s="7"/>
      <c r="T140" s="7"/>
      <c r="U140" s="7"/>
      <c r="V140" s="7"/>
      <c r="W140" s="7"/>
      <c r="X140" s="7"/>
      <c r="Y140" s="7"/>
      <c r="Z140" s="7"/>
    </row>
    <row r="141" spans="1:26" ht="9" customHeight="1" x14ac:dyDescent="0.2">
      <c r="A141" s="534"/>
      <c r="B141" s="534"/>
      <c r="C141" s="34" t="s">
        <v>37</v>
      </c>
      <c r="D141" s="35">
        <v>3</v>
      </c>
      <c r="E141" s="36">
        <v>6888009</v>
      </c>
      <c r="F141" s="36">
        <v>684007</v>
      </c>
      <c r="G141" s="36">
        <v>0</v>
      </c>
      <c r="H141" s="36">
        <v>12018738</v>
      </c>
      <c r="I141" s="36">
        <v>0</v>
      </c>
      <c r="J141" s="37">
        <v>1632566</v>
      </c>
      <c r="K141" s="36">
        <v>19590754</v>
      </c>
      <c r="L141" s="38">
        <v>21223320</v>
      </c>
      <c r="M141" s="39"/>
      <c r="N141" s="36">
        <v>19590754</v>
      </c>
      <c r="O141" s="36">
        <v>7572016</v>
      </c>
      <c r="P141" s="36">
        <v>0</v>
      </c>
      <c r="Q141" s="36">
        <v>22586280</v>
      </c>
      <c r="R141" s="7"/>
      <c r="S141" s="7"/>
      <c r="T141" s="7"/>
      <c r="U141" s="7"/>
      <c r="V141" s="7"/>
      <c r="W141" s="7"/>
      <c r="X141" s="7"/>
      <c r="Y141" s="7"/>
      <c r="Z141" s="7"/>
    </row>
    <row r="142" spans="1:26" ht="12.75" customHeight="1" x14ac:dyDescent="0.2">
      <c r="A142" s="534"/>
      <c r="B142" s="534"/>
      <c r="C142" s="40" t="s">
        <v>36</v>
      </c>
      <c r="D142" s="41">
        <v>4</v>
      </c>
      <c r="E142" s="42">
        <v>3730.88</v>
      </c>
      <c r="F142" s="42">
        <v>371.85</v>
      </c>
      <c r="G142" s="42">
        <v>0</v>
      </c>
      <c r="H142" s="42">
        <v>6207.16</v>
      </c>
      <c r="I142" s="42">
        <v>0</v>
      </c>
      <c r="J142" s="42">
        <v>859.16</v>
      </c>
      <c r="K142" s="43">
        <v>10309.89</v>
      </c>
      <c r="L142" s="32">
        <v>11169.05</v>
      </c>
      <c r="M142" s="33"/>
      <c r="N142" s="30">
        <v>10309.89</v>
      </c>
      <c r="O142" s="30">
        <v>4102.7299999999996</v>
      </c>
      <c r="P142" s="30"/>
      <c r="Q142" s="30">
        <v>11907.54</v>
      </c>
      <c r="R142" s="7"/>
      <c r="S142" s="7"/>
      <c r="T142" s="7"/>
      <c r="U142" s="7"/>
      <c r="V142" s="7"/>
      <c r="W142" s="7"/>
      <c r="X142" s="7"/>
      <c r="Y142" s="7"/>
      <c r="Z142" s="7"/>
    </row>
    <row r="143" spans="1:26" ht="9" customHeight="1" x14ac:dyDescent="0.2">
      <c r="A143" s="534"/>
      <c r="B143" s="534"/>
      <c r="C143" s="34" t="s">
        <v>37</v>
      </c>
      <c r="D143" s="35">
        <v>5</v>
      </c>
      <c r="E143" s="36">
        <v>7223991</v>
      </c>
      <c r="F143" s="36">
        <v>720002</v>
      </c>
      <c r="G143" s="36">
        <v>0</v>
      </c>
      <c r="H143" s="36">
        <v>12018738</v>
      </c>
      <c r="I143" s="36">
        <v>0</v>
      </c>
      <c r="J143" s="37">
        <v>1663566</v>
      </c>
      <c r="K143" s="36">
        <v>19962731</v>
      </c>
      <c r="L143" s="38">
        <v>21626296</v>
      </c>
      <c r="M143" s="39"/>
      <c r="N143" s="36">
        <v>19962731</v>
      </c>
      <c r="O143" s="36">
        <v>7943993</v>
      </c>
      <c r="P143" s="36">
        <v>0</v>
      </c>
      <c r="Q143" s="36">
        <v>23056212</v>
      </c>
      <c r="R143" s="7"/>
      <c r="S143" s="7"/>
      <c r="T143" s="7"/>
      <c r="U143" s="7"/>
      <c r="V143" s="7"/>
      <c r="W143" s="7"/>
      <c r="X143" s="7"/>
      <c r="Y143" s="7"/>
      <c r="Z143" s="7"/>
    </row>
    <row r="144" spans="1:26" ht="12.75" customHeight="1" x14ac:dyDescent="0.2">
      <c r="A144" s="534"/>
      <c r="B144" s="534"/>
      <c r="C144" s="40" t="s">
        <v>36</v>
      </c>
      <c r="D144" s="41">
        <v>6</v>
      </c>
      <c r="E144" s="42">
        <v>4003.57</v>
      </c>
      <c r="F144" s="42">
        <v>396.64</v>
      </c>
      <c r="G144" s="42">
        <v>0</v>
      </c>
      <c r="H144" s="42">
        <v>6207.16</v>
      </c>
      <c r="I144" s="42">
        <v>0</v>
      </c>
      <c r="J144" s="42">
        <v>883.95</v>
      </c>
      <c r="K144" s="43">
        <v>10607.37</v>
      </c>
      <c r="L144" s="32">
        <v>11491.32</v>
      </c>
      <c r="M144" s="33"/>
      <c r="N144" s="30">
        <v>10607.37</v>
      </c>
      <c r="O144" s="30">
        <v>4400.21</v>
      </c>
      <c r="P144" s="30"/>
      <c r="Q144" s="30">
        <v>12283.36</v>
      </c>
      <c r="R144" s="7"/>
      <c r="S144" s="7"/>
      <c r="T144" s="7"/>
      <c r="U144" s="7"/>
      <c r="V144" s="7"/>
      <c r="W144" s="7"/>
      <c r="X144" s="7"/>
      <c r="Y144" s="7"/>
      <c r="Z144" s="7"/>
    </row>
    <row r="145" spans="1:26" ht="9" customHeight="1" x14ac:dyDescent="0.2">
      <c r="A145" s="534"/>
      <c r="B145" s="534"/>
      <c r="C145" s="34" t="s">
        <v>37</v>
      </c>
      <c r="D145" s="35">
        <v>7</v>
      </c>
      <c r="E145" s="36">
        <v>7751992</v>
      </c>
      <c r="F145" s="36">
        <v>768002</v>
      </c>
      <c r="G145" s="36">
        <v>0</v>
      </c>
      <c r="H145" s="36">
        <v>12018738</v>
      </c>
      <c r="I145" s="36">
        <v>0</v>
      </c>
      <c r="J145" s="37">
        <v>1711566</v>
      </c>
      <c r="K145" s="36">
        <v>20538732</v>
      </c>
      <c r="L145" s="38">
        <v>22250298</v>
      </c>
      <c r="M145" s="39"/>
      <c r="N145" s="36">
        <v>20538732</v>
      </c>
      <c r="O145" s="36">
        <v>8519995</v>
      </c>
      <c r="P145" s="36">
        <v>0</v>
      </c>
      <c r="Q145" s="36">
        <v>23783901</v>
      </c>
      <c r="R145" s="7"/>
      <c r="S145" s="7"/>
      <c r="T145" s="7"/>
      <c r="U145" s="7"/>
      <c r="V145" s="7"/>
      <c r="W145" s="7"/>
      <c r="X145" s="7"/>
      <c r="Y145" s="7"/>
      <c r="Z145" s="7"/>
    </row>
    <row r="146" spans="1:26" ht="12.75" customHeight="1" x14ac:dyDescent="0.2">
      <c r="A146" s="534"/>
      <c r="B146" s="534"/>
      <c r="C146" s="40" t="s">
        <v>36</v>
      </c>
      <c r="D146" s="41">
        <v>8</v>
      </c>
      <c r="E146" s="42">
        <v>4201.8900000000003</v>
      </c>
      <c r="F146" s="42">
        <v>415.23</v>
      </c>
      <c r="G146" s="42">
        <v>0</v>
      </c>
      <c r="H146" s="42">
        <v>6207.16</v>
      </c>
      <c r="I146" s="42">
        <v>0</v>
      </c>
      <c r="J146" s="42">
        <v>902.02</v>
      </c>
      <c r="K146" s="43">
        <v>10824.28</v>
      </c>
      <c r="L146" s="32">
        <v>11726.3</v>
      </c>
      <c r="M146" s="33"/>
      <c r="N146" s="30">
        <v>10824.28</v>
      </c>
      <c r="O146" s="30">
        <v>4617.12</v>
      </c>
      <c r="P146" s="30"/>
      <c r="Q146" s="30">
        <v>12557.38</v>
      </c>
      <c r="R146" s="7"/>
      <c r="S146" s="7"/>
      <c r="T146" s="7"/>
      <c r="U146" s="7"/>
      <c r="V146" s="7"/>
      <c r="W146" s="7"/>
      <c r="X146" s="7"/>
      <c r="Y146" s="7"/>
      <c r="Z146" s="7"/>
    </row>
    <row r="147" spans="1:26" ht="9" customHeight="1" x14ac:dyDescent="0.2">
      <c r="A147" s="534"/>
      <c r="B147" s="534"/>
      <c r="C147" s="34" t="s">
        <v>37</v>
      </c>
      <c r="D147" s="35">
        <v>9</v>
      </c>
      <c r="E147" s="36">
        <v>8135994</v>
      </c>
      <c r="F147" s="36">
        <v>803997</v>
      </c>
      <c r="G147" s="36">
        <v>0</v>
      </c>
      <c r="H147" s="36">
        <v>12018738</v>
      </c>
      <c r="I147" s="36">
        <v>0</v>
      </c>
      <c r="J147" s="37">
        <v>1746554</v>
      </c>
      <c r="K147" s="36">
        <v>20958729</v>
      </c>
      <c r="L147" s="38">
        <v>22705283</v>
      </c>
      <c r="M147" s="39"/>
      <c r="N147" s="36">
        <v>20958729</v>
      </c>
      <c r="O147" s="36">
        <v>8939991</v>
      </c>
      <c r="P147" s="36">
        <v>0</v>
      </c>
      <c r="Q147" s="36">
        <v>24314478</v>
      </c>
      <c r="R147" s="7"/>
      <c r="S147" s="7"/>
      <c r="T147" s="7"/>
      <c r="U147" s="7"/>
      <c r="V147" s="7"/>
      <c r="W147" s="7"/>
      <c r="X147" s="7"/>
      <c r="Y147" s="7"/>
      <c r="Z147" s="7"/>
    </row>
    <row r="148" spans="1:26" ht="12.75" customHeight="1" x14ac:dyDescent="0.2">
      <c r="A148" s="534"/>
      <c r="B148" s="534"/>
      <c r="C148" s="40" t="s">
        <v>36</v>
      </c>
      <c r="D148" s="41">
        <v>10</v>
      </c>
      <c r="E148" s="42">
        <v>4400.21</v>
      </c>
      <c r="F148" s="42">
        <v>440.02</v>
      </c>
      <c r="G148" s="42">
        <v>0</v>
      </c>
      <c r="H148" s="42">
        <v>6207.16</v>
      </c>
      <c r="I148" s="42">
        <v>0</v>
      </c>
      <c r="J148" s="42">
        <v>920.62</v>
      </c>
      <c r="K148" s="43">
        <v>11047.39</v>
      </c>
      <c r="L148" s="32">
        <v>11968.01</v>
      </c>
      <c r="M148" s="33"/>
      <c r="N148" s="30">
        <v>11047.39</v>
      </c>
      <c r="O148" s="30">
        <v>4840.2299999999996</v>
      </c>
      <c r="P148" s="30"/>
      <c r="Q148" s="30">
        <v>12839.25</v>
      </c>
      <c r="R148" s="7"/>
      <c r="S148" s="7"/>
      <c r="T148" s="7"/>
      <c r="U148" s="7"/>
      <c r="V148" s="7"/>
      <c r="W148" s="7"/>
      <c r="X148" s="7"/>
      <c r="Y148" s="7"/>
      <c r="Z148" s="7"/>
    </row>
    <row r="149" spans="1:26" ht="9" customHeight="1" x14ac:dyDescent="0.2">
      <c r="A149" s="534"/>
      <c r="B149" s="534"/>
      <c r="C149" s="34" t="s">
        <v>37</v>
      </c>
      <c r="D149" s="35">
        <v>11</v>
      </c>
      <c r="E149" s="36">
        <v>8519995</v>
      </c>
      <c r="F149" s="36">
        <v>851998</v>
      </c>
      <c r="G149" s="36">
        <v>0</v>
      </c>
      <c r="H149" s="36">
        <v>12018738</v>
      </c>
      <c r="I149" s="36">
        <v>0</v>
      </c>
      <c r="J149" s="37">
        <v>1782569</v>
      </c>
      <c r="K149" s="36">
        <v>21390730</v>
      </c>
      <c r="L149" s="38">
        <v>23173299</v>
      </c>
      <c r="M149" s="39"/>
      <c r="N149" s="36">
        <v>21390730</v>
      </c>
      <c r="O149" s="36">
        <v>9371992</v>
      </c>
      <c r="P149" s="36">
        <v>0</v>
      </c>
      <c r="Q149" s="36">
        <v>24860255</v>
      </c>
      <c r="R149" s="7"/>
      <c r="S149" s="7"/>
      <c r="T149" s="7"/>
      <c r="U149" s="7"/>
      <c r="V149" s="7"/>
      <c r="W149" s="7"/>
      <c r="X149" s="7"/>
      <c r="Y149" s="7"/>
      <c r="Z149" s="7"/>
    </row>
    <row r="150" spans="1:26" ht="12.75" customHeight="1" x14ac:dyDescent="0.2">
      <c r="A150" s="534"/>
      <c r="B150" s="534"/>
      <c r="C150" s="40" t="s">
        <v>36</v>
      </c>
      <c r="D150" s="41">
        <v>12</v>
      </c>
      <c r="E150" s="42">
        <v>4598.53</v>
      </c>
      <c r="F150" s="42">
        <v>458.61</v>
      </c>
      <c r="G150" s="42">
        <v>0</v>
      </c>
      <c r="H150" s="42">
        <v>6207.16</v>
      </c>
      <c r="I150" s="42">
        <v>0</v>
      </c>
      <c r="J150" s="42">
        <v>938.69</v>
      </c>
      <c r="K150" s="43">
        <v>11264.3</v>
      </c>
      <c r="L150" s="32">
        <v>12202.99</v>
      </c>
      <c r="M150" s="33"/>
      <c r="N150" s="30">
        <v>11264.3</v>
      </c>
      <c r="O150" s="30">
        <v>5057.1400000000003</v>
      </c>
      <c r="P150" s="30"/>
      <c r="Q150" s="30">
        <v>13113.28</v>
      </c>
      <c r="R150" s="7"/>
      <c r="S150" s="7"/>
      <c r="T150" s="7"/>
      <c r="U150" s="7"/>
      <c r="V150" s="7"/>
      <c r="W150" s="7"/>
      <c r="X150" s="7"/>
      <c r="Y150" s="7"/>
      <c r="Z150" s="7"/>
    </row>
    <row r="151" spans="1:26" ht="9" customHeight="1" x14ac:dyDescent="0.2">
      <c r="A151" s="534"/>
      <c r="B151" s="534"/>
      <c r="C151" s="34" t="s">
        <v>37</v>
      </c>
      <c r="D151" s="35">
        <v>13</v>
      </c>
      <c r="E151" s="36">
        <v>8903996</v>
      </c>
      <c r="F151" s="36">
        <v>887993</v>
      </c>
      <c r="G151" s="36">
        <v>0</v>
      </c>
      <c r="H151" s="36">
        <v>12018738</v>
      </c>
      <c r="I151" s="36">
        <v>0</v>
      </c>
      <c r="J151" s="37">
        <v>1817557</v>
      </c>
      <c r="K151" s="36">
        <v>21810726</v>
      </c>
      <c r="L151" s="38">
        <v>23628283</v>
      </c>
      <c r="M151" s="39"/>
      <c r="N151" s="36">
        <v>21810726</v>
      </c>
      <c r="O151" s="36">
        <v>9791988</v>
      </c>
      <c r="P151" s="36">
        <v>0</v>
      </c>
      <c r="Q151" s="36">
        <v>25390851</v>
      </c>
      <c r="R151" s="7"/>
      <c r="S151" s="7"/>
      <c r="T151" s="7"/>
      <c r="U151" s="7"/>
      <c r="V151" s="7"/>
      <c r="W151" s="7"/>
      <c r="X151" s="7"/>
      <c r="Y151" s="7"/>
      <c r="Z151" s="7"/>
    </row>
    <row r="152" spans="1:26" ht="12.75" customHeight="1" x14ac:dyDescent="0.2">
      <c r="A152" s="534"/>
      <c r="B152" s="534"/>
      <c r="C152" s="40" t="s">
        <v>36</v>
      </c>
      <c r="D152" s="41">
        <v>14</v>
      </c>
      <c r="E152" s="42">
        <v>4803.05</v>
      </c>
      <c r="F152" s="42">
        <v>477.21</v>
      </c>
      <c r="G152" s="42">
        <v>0</v>
      </c>
      <c r="H152" s="42">
        <v>6207.16</v>
      </c>
      <c r="I152" s="42">
        <v>0</v>
      </c>
      <c r="J152" s="42">
        <v>957.29</v>
      </c>
      <c r="K152" s="43">
        <v>11487.42</v>
      </c>
      <c r="L152" s="32">
        <v>12444.71</v>
      </c>
      <c r="M152" s="33"/>
      <c r="N152" s="30">
        <v>11487.42</v>
      </c>
      <c r="O152" s="30">
        <v>5280.26</v>
      </c>
      <c r="P152" s="30"/>
      <c r="Q152" s="30">
        <v>13395.16</v>
      </c>
      <c r="R152" s="7"/>
      <c r="S152" s="7"/>
      <c r="T152" s="7"/>
      <c r="U152" s="7"/>
      <c r="V152" s="7"/>
      <c r="W152" s="7"/>
      <c r="X152" s="7"/>
      <c r="Y152" s="7"/>
      <c r="Z152" s="7"/>
    </row>
    <row r="153" spans="1:26" ht="9" customHeight="1" x14ac:dyDescent="0.2">
      <c r="A153" s="534"/>
      <c r="B153" s="534"/>
      <c r="C153" s="34" t="s">
        <v>37</v>
      </c>
      <c r="D153" s="35">
        <v>15</v>
      </c>
      <c r="E153" s="36">
        <v>9300002</v>
      </c>
      <c r="F153" s="36">
        <v>924007</v>
      </c>
      <c r="G153" s="36">
        <v>0</v>
      </c>
      <c r="H153" s="36">
        <v>12018738</v>
      </c>
      <c r="I153" s="36">
        <v>0</v>
      </c>
      <c r="J153" s="37">
        <v>1853572</v>
      </c>
      <c r="K153" s="36">
        <v>22242747</v>
      </c>
      <c r="L153" s="38">
        <v>24096319</v>
      </c>
      <c r="M153" s="39"/>
      <c r="N153" s="36">
        <v>22242747</v>
      </c>
      <c r="O153" s="36">
        <v>10224009</v>
      </c>
      <c r="P153" s="36">
        <v>0</v>
      </c>
      <c r="Q153" s="36">
        <v>25936646</v>
      </c>
      <c r="R153" s="7"/>
      <c r="S153" s="7"/>
      <c r="T153" s="7"/>
      <c r="U153" s="7"/>
      <c r="V153" s="7"/>
      <c r="W153" s="7"/>
      <c r="X153" s="7"/>
      <c r="Y153" s="7"/>
      <c r="Z153" s="7"/>
    </row>
    <row r="154" spans="1:26" ht="12.75" customHeight="1" x14ac:dyDescent="0.2">
      <c r="A154" s="534"/>
      <c r="B154" s="534"/>
      <c r="C154" s="40" t="s">
        <v>36</v>
      </c>
      <c r="D154" s="41">
        <v>16</v>
      </c>
      <c r="E154" s="42">
        <v>5001.37</v>
      </c>
      <c r="F154" s="42">
        <v>495.8</v>
      </c>
      <c r="G154" s="42">
        <v>0</v>
      </c>
      <c r="H154" s="42">
        <v>6207.16</v>
      </c>
      <c r="I154" s="42">
        <v>0</v>
      </c>
      <c r="J154" s="42">
        <v>975.36</v>
      </c>
      <c r="K154" s="43">
        <v>11704.33</v>
      </c>
      <c r="L154" s="32">
        <v>12679.69</v>
      </c>
      <c r="M154" s="33"/>
      <c r="N154" s="30">
        <v>11704.33</v>
      </c>
      <c r="O154" s="30">
        <v>5497.17</v>
      </c>
      <c r="P154" s="30"/>
      <c r="Q154" s="30">
        <v>13669.18</v>
      </c>
      <c r="R154" s="7"/>
      <c r="S154" s="7"/>
      <c r="T154" s="7"/>
      <c r="U154" s="7"/>
      <c r="V154" s="7"/>
      <c r="W154" s="7"/>
      <c r="X154" s="7"/>
      <c r="Y154" s="7"/>
      <c r="Z154" s="7"/>
    </row>
    <row r="155" spans="1:26" ht="9" customHeight="1" x14ac:dyDescent="0.2">
      <c r="A155" s="534"/>
      <c r="B155" s="534"/>
      <c r="C155" s="34" t="s">
        <v>37</v>
      </c>
      <c r="D155" s="35">
        <v>17</v>
      </c>
      <c r="E155" s="36">
        <v>9684003</v>
      </c>
      <c r="F155" s="36">
        <v>960003</v>
      </c>
      <c r="G155" s="36">
        <v>0</v>
      </c>
      <c r="H155" s="36">
        <v>12018738</v>
      </c>
      <c r="I155" s="36">
        <v>0</v>
      </c>
      <c r="J155" s="37">
        <v>1888560</v>
      </c>
      <c r="K155" s="36">
        <v>22662743</v>
      </c>
      <c r="L155" s="38">
        <v>24551303</v>
      </c>
      <c r="M155" s="39"/>
      <c r="N155" s="36">
        <v>22662743</v>
      </c>
      <c r="O155" s="36">
        <v>10644005</v>
      </c>
      <c r="P155" s="36">
        <v>0</v>
      </c>
      <c r="Q155" s="36">
        <v>26467223</v>
      </c>
      <c r="R155" s="7"/>
      <c r="S155" s="7"/>
      <c r="T155" s="7"/>
      <c r="U155" s="7"/>
      <c r="V155" s="7"/>
      <c r="W155" s="7"/>
      <c r="X155" s="7"/>
      <c r="Y155" s="7"/>
      <c r="Z155" s="7"/>
    </row>
    <row r="156" spans="1:26" ht="12.75" customHeight="1" x14ac:dyDescent="0.2">
      <c r="A156" s="534"/>
      <c r="B156" s="534"/>
      <c r="C156" s="40" t="s">
        <v>36</v>
      </c>
      <c r="D156" s="41">
        <v>18</v>
      </c>
      <c r="E156" s="42">
        <v>5199.6899999999996</v>
      </c>
      <c r="F156" s="42">
        <v>514.39</v>
      </c>
      <c r="G156" s="42">
        <v>0</v>
      </c>
      <c r="H156" s="42">
        <v>6207.16</v>
      </c>
      <c r="I156" s="42">
        <v>0</v>
      </c>
      <c r="J156" s="42">
        <v>993.44</v>
      </c>
      <c r="K156" s="43">
        <v>11921.24</v>
      </c>
      <c r="L156" s="32">
        <v>12914.68</v>
      </c>
      <c r="M156" s="33"/>
      <c r="N156" s="30">
        <v>11921.24</v>
      </c>
      <c r="O156" s="30">
        <v>5714.08</v>
      </c>
      <c r="P156" s="30"/>
      <c r="Q156" s="30">
        <v>13943.21</v>
      </c>
      <c r="R156" s="7"/>
      <c r="S156" s="7"/>
      <c r="T156" s="7"/>
      <c r="U156" s="7"/>
      <c r="V156" s="7"/>
      <c r="W156" s="7"/>
      <c r="X156" s="7"/>
      <c r="Y156" s="7"/>
      <c r="Z156" s="7"/>
    </row>
    <row r="157" spans="1:26" ht="9" customHeight="1" x14ac:dyDescent="0.2">
      <c r="A157" s="534"/>
      <c r="B157" s="534"/>
      <c r="C157" s="34" t="s">
        <v>37</v>
      </c>
      <c r="D157" s="35">
        <v>19</v>
      </c>
      <c r="E157" s="36">
        <v>10068004</v>
      </c>
      <c r="F157" s="36">
        <v>995998</v>
      </c>
      <c r="G157" s="36">
        <v>0</v>
      </c>
      <c r="H157" s="36">
        <v>12018738</v>
      </c>
      <c r="I157" s="36">
        <v>0</v>
      </c>
      <c r="J157" s="37">
        <v>1923568</v>
      </c>
      <c r="K157" s="36">
        <v>23082739</v>
      </c>
      <c r="L157" s="38">
        <v>25006307</v>
      </c>
      <c r="M157" s="39"/>
      <c r="N157" s="36">
        <v>23082739</v>
      </c>
      <c r="O157" s="36">
        <v>11064002</v>
      </c>
      <c r="P157" s="36">
        <v>0</v>
      </c>
      <c r="Q157" s="36">
        <v>26997819</v>
      </c>
      <c r="R157" s="7"/>
      <c r="S157" s="7"/>
      <c r="T157" s="7"/>
      <c r="U157" s="7"/>
      <c r="V157" s="7"/>
      <c r="W157" s="7"/>
      <c r="X157" s="7"/>
      <c r="Y157" s="7"/>
      <c r="Z157" s="7"/>
    </row>
    <row r="158" spans="1:26" ht="12.75" customHeight="1" x14ac:dyDescent="0.2">
      <c r="A158" s="534"/>
      <c r="B158" s="534"/>
      <c r="C158" s="40" t="s">
        <v>36</v>
      </c>
      <c r="D158" s="41">
        <v>20</v>
      </c>
      <c r="E158" s="42">
        <v>5404.2</v>
      </c>
      <c r="F158" s="42">
        <v>539.17999999999995</v>
      </c>
      <c r="G158" s="42">
        <v>0</v>
      </c>
      <c r="H158" s="42">
        <v>6207.16</v>
      </c>
      <c r="I158" s="42">
        <v>0</v>
      </c>
      <c r="J158" s="42">
        <v>1012.55</v>
      </c>
      <c r="K158" s="43">
        <v>12150.54</v>
      </c>
      <c r="L158" s="32">
        <v>13163.09</v>
      </c>
      <c r="M158" s="33"/>
      <c r="N158" s="30">
        <v>12150.54</v>
      </c>
      <c r="O158" s="30">
        <v>5943.38</v>
      </c>
      <c r="P158" s="30"/>
      <c r="Q158" s="30">
        <v>14232.9</v>
      </c>
      <c r="R158" s="7"/>
      <c r="S158" s="7"/>
      <c r="T158" s="7"/>
      <c r="U158" s="7"/>
      <c r="V158" s="7"/>
      <c r="W158" s="7"/>
      <c r="X158" s="7"/>
      <c r="Y158" s="7"/>
      <c r="Z158" s="7"/>
    </row>
    <row r="159" spans="1:26" ht="9" customHeight="1" x14ac:dyDescent="0.2">
      <c r="A159" s="534"/>
      <c r="B159" s="534"/>
      <c r="C159" s="34" t="s">
        <v>37</v>
      </c>
      <c r="D159" s="35">
        <v>21</v>
      </c>
      <c r="E159" s="36">
        <v>10463990</v>
      </c>
      <c r="F159" s="36">
        <v>1043998</v>
      </c>
      <c r="G159" s="36">
        <v>0</v>
      </c>
      <c r="H159" s="36">
        <v>12018738</v>
      </c>
      <c r="I159" s="36">
        <v>0</v>
      </c>
      <c r="J159" s="37">
        <v>1960570</v>
      </c>
      <c r="K159" s="36">
        <v>23526726</v>
      </c>
      <c r="L159" s="38">
        <v>25487296</v>
      </c>
      <c r="M159" s="39"/>
      <c r="N159" s="36">
        <v>23526726</v>
      </c>
      <c r="O159" s="36">
        <v>11507988</v>
      </c>
      <c r="P159" s="36">
        <v>0</v>
      </c>
      <c r="Q159" s="36">
        <v>27558737</v>
      </c>
      <c r="R159" s="7"/>
      <c r="S159" s="7"/>
      <c r="T159" s="7"/>
      <c r="U159" s="7"/>
      <c r="V159" s="7"/>
      <c r="W159" s="7"/>
      <c r="X159" s="7"/>
      <c r="Y159" s="7"/>
      <c r="Z159" s="7"/>
    </row>
    <row r="160" spans="1:26" ht="12.75" customHeight="1" x14ac:dyDescent="0.2">
      <c r="A160" s="534"/>
      <c r="B160" s="534"/>
      <c r="C160" s="40" t="s">
        <v>36</v>
      </c>
      <c r="D160" s="41">
        <v>22</v>
      </c>
      <c r="E160" s="42">
        <v>5509.56</v>
      </c>
      <c r="F160" s="42">
        <v>545.38</v>
      </c>
      <c r="G160" s="42">
        <v>0</v>
      </c>
      <c r="H160" s="42">
        <v>6207.16</v>
      </c>
      <c r="I160" s="42">
        <v>0</v>
      </c>
      <c r="J160" s="42">
        <v>1021.84</v>
      </c>
      <c r="K160" s="43">
        <v>12262.1</v>
      </c>
      <c r="L160" s="32">
        <v>13283.94</v>
      </c>
      <c r="M160" s="33"/>
      <c r="N160" s="30">
        <v>12262.1</v>
      </c>
      <c r="O160" s="30">
        <v>6054.94</v>
      </c>
      <c r="P160" s="30"/>
      <c r="Q160" s="30">
        <v>14373.83</v>
      </c>
      <c r="R160" s="7"/>
      <c r="S160" s="7"/>
      <c r="T160" s="7"/>
      <c r="U160" s="7"/>
      <c r="V160" s="7"/>
      <c r="W160" s="7"/>
      <c r="X160" s="7"/>
      <c r="Y160" s="7"/>
      <c r="Z160" s="7"/>
    </row>
    <row r="161" spans="1:26" ht="9" customHeight="1" x14ac:dyDescent="0.2">
      <c r="A161" s="534"/>
      <c r="B161" s="534"/>
      <c r="C161" s="34" t="s">
        <v>37</v>
      </c>
      <c r="D161" s="35">
        <v>23</v>
      </c>
      <c r="E161" s="36">
        <v>10667996</v>
      </c>
      <c r="F161" s="36">
        <v>1056003</v>
      </c>
      <c r="G161" s="36">
        <v>0</v>
      </c>
      <c r="H161" s="36">
        <v>12018738</v>
      </c>
      <c r="I161" s="36">
        <v>0</v>
      </c>
      <c r="J161" s="37">
        <v>1978558</v>
      </c>
      <c r="K161" s="36">
        <v>23742736</v>
      </c>
      <c r="L161" s="38">
        <v>25721295</v>
      </c>
      <c r="M161" s="39"/>
      <c r="N161" s="36">
        <v>23742736</v>
      </c>
      <c r="O161" s="36">
        <v>11723999</v>
      </c>
      <c r="P161" s="36">
        <v>0</v>
      </c>
      <c r="Q161" s="36">
        <v>27831616</v>
      </c>
      <c r="R161" s="7"/>
      <c r="S161" s="7"/>
      <c r="T161" s="7"/>
      <c r="U161" s="7"/>
      <c r="V161" s="7"/>
      <c r="W161" s="7"/>
      <c r="X161" s="7"/>
      <c r="Y161" s="7"/>
      <c r="Z161" s="7"/>
    </row>
    <row r="162" spans="1:26" ht="12.75" customHeight="1" x14ac:dyDescent="0.2">
      <c r="A162" s="534"/>
      <c r="B162" s="534"/>
      <c r="C162" s="40" t="s">
        <v>36</v>
      </c>
      <c r="D162" s="41">
        <v>24</v>
      </c>
      <c r="E162" s="42">
        <v>5614.92</v>
      </c>
      <c r="F162" s="42">
        <v>557.77</v>
      </c>
      <c r="G162" s="42">
        <v>0</v>
      </c>
      <c r="H162" s="42">
        <v>6207.16</v>
      </c>
      <c r="I162" s="42">
        <v>0</v>
      </c>
      <c r="J162" s="42">
        <v>1031.6500000000001</v>
      </c>
      <c r="K162" s="43">
        <v>12379.85</v>
      </c>
      <c r="L162" s="32">
        <v>13411.5</v>
      </c>
      <c r="M162" s="33"/>
      <c r="N162" s="30">
        <v>12379.85</v>
      </c>
      <c r="O162" s="30">
        <v>6172.69</v>
      </c>
      <c r="P162" s="30"/>
      <c r="Q162" s="30">
        <v>14522.58</v>
      </c>
      <c r="R162" s="7"/>
      <c r="S162" s="7"/>
      <c r="T162" s="7"/>
      <c r="U162" s="7"/>
      <c r="V162" s="7"/>
      <c r="W162" s="7"/>
      <c r="X162" s="7"/>
      <c r="Y162" s="7"/>
      <c r="Z162" s="7"/>
    </row>
    <row r="163" spans="1:26" ht="9" customHeight="1" x14ac:dyDescent="0.2">
      <c r="A163" s="534"/>
      <c r="B163" s="534"/>
      <c r="C163" s="34" t="s">
        <v>37</v>
      </c>
      <c r="D163" s="35">
        <v>25</v>
      </c>
      <c r="E163" s="36">
        <v>10872001</v>
      </c>
      <c r="F163" s="36">
        <v>1079993</v>
      </c>
      <c r="G163" s="36">
        <v>0</v>
      </c>
      <c r="H163" s="36">
        <v>12018738</v>
      </c>
      <c r="I163" s="36">
        <v>0</v>
      </c>
      <c r="J163" s="37">
        <v>1997553</v>
      </c>
      <c r="K163" s="36">
        <v>23970732</v>
      </c>
      <c r="L163" s="38">
        <v>25968285</v>
      </c>
      <c r="M163" s="39"/>
      <c r="N163" s="36">
        <v>23970732</v>
      </c>
      <c r="O163" s="36">
        <v>11951994</v>
      </c>
      <c r="P163" s="36">
        <v>0</v>
      </c>
      <c r="Q163" s="36">
        <v>28119636</v>
      </c>
      <c r="R163" s="7"/>
      <c r="S163" s="7"/>
      <c r="T163" s="7"/>
      <c r="U163" s="7"/>
      <c r="V163" s="7"/>
      <c r="W163" s="7"/>
      <c r="X163" s="7"/>
      <c r="Y163" s="7"/>
      <c r="Z163" s="7"/>
    </row>
    <row r="164" spans="1:26" ht="12.75" customHeight="1" x14ac:dyDescent="0.2">
      <c r="A164" s="534"/>
      <c r="B164" s="534"/>
      <c r="C164" s="40" t="s">
        <v>36</v>
      </c>
      <c r="D164" s="41">
        <v>26</v>
      </c>
      <c r="E164" s="42">
        <v>5726.47</v>
      </c>
      <c r="F164" s="42">
        <v>570.16999999999996</v>
      </c>
      <c r="G164" s="42">
        <v>0</v>
      </c>
      <c r="H164" s="42">
        <v>6207.16</v>
      </c>
      <c r="I164" s="42">
        <v>0</v>
      </c>
      <c r="J164" s="42">
        <v>1041.98</v>
      </c>
      <c r="K164" s="43">
        <v>12503.8</v>
      </c>
      <c r="L164" s="32">
        <v>13545.78</v>
      </c>
      <c r="M164" s="33"/>
      <c r="N164" s="30">
        <v>12503.8</v>
      </c>
      <c r="O164" s="30">
        <v>6296.64</v>
      </c>
      <c r="P164" s="30"/>
      <c r="Q164" s="30">
        <v>14679.18</v>
      </c>
      <c r="R164" s="7"/>
      <c r="S164" s="7"/>
      <c r="T164" s="7"/>
      <c r="U164" s="7"/>
      <c r="V164" s="7"/>
      <c r="W164" s="7"/>
      <c r="X164" s="7"/>
      <c r="Y164" s="7"/>
      <c r="Z164" s="7"/>
    </row>
    <row r="165" spans="1:26" ht="9" customHeight="1" x14ac:dyDescent="0.2">
      <c r="A165" s="534"/>
      <c r="B165" s="534"/>
      <c r="C165" s="34" t="s">
        <v>37</v>
      </c>
      <c r="D165" s="35">
        <v>27</v>
      </c>
      <c r="E165" s="36">
        <v>11087992</v>
      </c>
      <c r="F165" s="36">
        <v>1104003</v>
      </c>
      <c r="G165" s="36">
        <v>0</v>
      </c>
      <c r="H165" s="36">
        <v>12018738</v>
      </c>
      <c r="I165" s="36">
        <v>0</v>
      </c>
      <c r="J165" s="37">
        <v>2017555</v>
      </c>
      <c r="K165" s="36">
        <v>24210733</v>
      </c>
      <c r="L165" s="38">
        <v>26228287</v>
      </c>
      <c r="M165" s="39"/>
      <c r="N165" s="36">
        <v>24210733</v>
      </c>
      <c r="O165" s="36">
        <v>12191995</v>
      </c>
      <c r="P165" s="36">
        <v>0</v>
      </c>
      <c r="Q165" s="36">
        <v>28422856</v>
      </c>
      <c r="R165" s="7"/>
      <c r="S165" s="7"/>
      <c r="T165" s="7"/>
      <c r="U165" s="7"/>
      <c r="V165" s="7"/>
      <c r="W165" s="7"/>
      <c r="X165" s="7"/>
      <c r="Y165" s="7"/>
      <c r="Z165" s="7"/>
    </row>
    <row r="166" spans="1:26" ht="12.75" customHeight="1" x14ac:dyDescent="0.2">
      <c r="A166" s="534"/>
      <c r="B166" s="534"/>
      <c r="C166" s="40" t="s">
        <v>36</v>
      </c>
      <c r="D166" s="41">
        <v>28</v>
      </c>
      <c r="E166" s="42">
        <v>5831.83</v>
      </c>
      <c r="F166" s="42">
        <v>582.55999999999995</v>
      </c>
      <c r="G166" s="42">
        <v>0</v>
      </c>
      <c r="H166" s="42">
        <v>6207.16</v>
      </c>
      <c r="I166" s="42">
        <v>0</v>
      </c>
      <c r="J166" s="42">
        <v>1051.8</v>
      </c>
      <c r="K166" s="43">
        <v>12621.55</v>
      </c>
      <c r="L166" s="32">
        <v>13673.35</v>
      </c>
      <c r="M166" s="33"/>
      <c r="N166" s="30">
        <v>12621.55</v>
      </c>
      <c r="O166" s="30">
        <v>6414.39</v>
      </c>
      <c r="P166" s="30"/>
      <c r="Q166" s="30">
        <v>14827.94</v>
      </c>
      <c r="R166" s="7"/>
      <c r="S166" s="7"/>
      <c r="T166" s="7"/>
      <c r="U166" s="7"/>
      <c r="V166" s="7"/>
      <c r="W166" s="7"/>
      <c r="X166" s="7"/>
      <c r="Y166" s="7"/>
      <c r="Z166" s="7"/>
    </row>
    <row r="167" spans="1:26" ht="9" customHeight="1" x14ac:dyDescent="0.2">
      <c r="A167" s="534"/>
      <c r="B167" s="534"/>
      <c r="C167" s="34" t="s">
        <v>37</v>
      </c>
      <c r="D167" s="35">
        <v>29</v>
      </c>
      <c r="E167" s="36">
        <v>11291997</v>
      </c>
      <c r="F167" s="36">
        <v>1127993</v>
      </c>
      <c r="G167" s="36">
        <v>0</v>
      </c>
      <c r="H167" s="36">
        <v>12018738</v>
      </c>
      <c r="I167" s="36">
        <v>0</v>
      </c>
      <c r="J167" s="37">
        <v>2036569</v>
      </c>
      <c r="K167" s="36">
        <v>24438729</v>
      </c>
      <c r="L167" s="38">
        <v>26475297</v>
      </c>
      <c r="M167" s="39"/>
      <c r="N167" s="36">
        <v>24438729</v>
      </c>
      <c r="O167" s="36">
        <v>12419991</v>
      </c>
      <c r="P167" s="36">
        <v>0</v>
      </c>
      <c r="Q167" s="36">
        <v>28710895</v>
      </c>
      <c r="R167" s="7"/>
      <c r="S167" s="7"/>
      <c r="T167" s="7"/>
      <c r="U167" s="7"/>
      <c r="V167" s="7"/>
      <c r="W167" s="7"/>
      <c r="X167" s="7"/>
      <c r="Y167" s="7"/>
      <c r="Z167" s="7"/>
    </row>
    <row r="168" spans="1:26" ht="12.75" customHeight="1" x14ac:dyDescent="0.2">
      <c r="A168" s="534"/>
      <c r="B168" s="534"/>
      <c r="C168" s="40" t="s">
        <v>36</v>
      </c>
      <c r="D168" s="41">
        <v>30</v>
      </c>
      <c r="E168" s="42">
        <v>5943.39</v>
      </c>
      <c r="F168" s="42">
        <v>588.76</v>
      </c>
      <c r="G168" s="42">
        <v>0</v>
      </c>
      <c r="H168" s="42">
        <v>6207.16</v>
      </c>
      <c r="I168" s="42">
        <v>0</v>
      </c>
      <c r="J168" s="42">
        <v>1061.6099999999999</v>
      </c>
      <c r="K168" s="43">
        <v>12739.31</v>
      </c>
      <c r="L168" s="32">
        <v>13800.92</v>
      </c>
      <c r="M168" s="33"/>
      <c r="N168" s="30">
        <v>12739.31</v>
      </c>
      <c r="O168" s="30">
        <v>6532.15</v>
      </c>
      <c r="P168" s="30"/>
      <c r="Q168" s="30">
        <v>14976.71</v>
      </c>
      <c r="R168" s="7"/>
      <c r="S168" s="7"/>
      <c r="T168" s="7"/>
      <c r="U168" s="7"/>
      <c r="V168" s="7"/>
      <c r="W168" s="7"/>
      <c r="X168" s="7"/>
      <c r="Y168" s="7"/>
      <c r="Z168" s="7"/>
    </row>
    <row r="169" spans="1:26" ht="9" customHeight="1" x14ac:dyDescent="0.2">
      <c r="A169" s="534"/>
      <c r="B169" s="534"/>
      <c r="C169" s="34" t="s">
        <v>37</v>
      </c>
      <c r="D169" s="35">
        <v>31</v>
      </c>
      <c r="E169" s="36">
        <v>11508008</v>
      </c>
      <c r="F169" s="36">
        <v>1139998</v>
      </c>
      <c r="G169" s="36">
        <v>0</v>
      </c>
      <c r="H169" s="36">
        <v>12018738</v>
      </c>
      <c r="I169" s="36">
        <v>0</v>
      </c>
      <c r="J169" s="37">
        <v>2055564</v>
      </c>
      <c r="K169" s="36">
        <v>24666744</v>
      </c>
      <c r="L169" s="38">
        <v>26722307</v>
      </c>
      <c r="M169" s="39"/>
      <c r="N169" s="36">
        <v>24666744</v>
      </c>
      <c r="O169" s="36">
        <v>12648006</v>
      </c>
      <c r="P169" s="36">
        <v>0</v>
      </c>
      <c r="Q169" s="36">
        <v>28998954</v>
      </c>
      <c r="R169" s="7"/>
      <c r="S169" s="7"/>
      <c r="T169" s="7"/>
      <c r="U169" s="7"/>
      <c r="V169" s="7"/>
      <c r="W169" s="7"/>
      <c r="X169" s="7"/>
      <c r="Y169" s="7"/>
      <c r="Z169" s="7"/>
    </row>
    <row r="170" spans="1:26" ht="12.75" customHeight="1" x14ac:dyDescent="0.2">
      <c r="A170" s="534"/>
      <c r="B170" s="534"/>
      <c r="C170" s="40" t="s">
        <v>36</v>
      </c>
      <c r="D170" s="41">
        <v>32</v>
      </c>
      <c r="E170" s="42">
        <v>6048.74</v>
      </c>
      <c r="F170" s="42">
        <v>601.16</v>
      </c>
      <c r="G170" s="42">
        <v>0</v>
      </c>
      <c r="H170" s="42">
        <v>6207.16</v>
      </c>
      <c r="I170" s="42">
        <v>0</v>
      </c>
      <c r="J170" s="42">
        <v>1071.42</v>
      </c>
      <c r="K170" s="43">
        <v>12857.06</v>
      </c>
      <c r="L170" s="32">
        <v>13928.48</v>
      </c>
      <c r="M170" s="33"/>
      <c r="N170" s="30">
        <v>12857.06</v>
      </c>
      <c r="O170" s="30">
        <v>6649.9</v>
      </c>
      <c r="P170" s="30"/>
      <c r="Q170" s="30">
        <v>15125.46</v>
      </c>
      <c r="R170" s="7"/>
      <c r="S170" s="7"/>
      <c r="T170" s="7"/>
      <c r="U170" s="7"/>
      <c r="V170" s="7"/>
      <c r="W170" s="7"/>
      <c r="X170" s="7"/>
      <c r="Y170" s="7"/>
      <c r="Z170" s="7"/>
    </row>
    <row r="171" spans="1:26" ht="9" customHeight="1" x14ac:dyDescent="0.2">
      <c r="A171" s="534"/>
      <c r="B171" s="534"/>
      <c r="C171" s="34" t="s">
        <v>37</v>
      </c>
      <c r="D171" s="35">
        <v>33</v>
      </c>
      <c r="E171" s="36">
        <v>11711994</v>
      </c>
      <c r="F171" s="36">
        <v>1164008</v>
      </c>
      <c r="G171" s="36">
        <v>0</v>
      </c>
      <c r="H171" s="36">
        <v>12018738</v>
      </c>
      <c r="I171" s="36">
        <v>0</v>
      </c>
      <c r="J171" s="37">
        <v>2074558</v>
      </c>
      <c r="K171" s="36">
        <v>24894740</v>
      </c>
      <c r="L171" s="38">
        <v>26969298</v>
      </c>
      <c r="M171" s="39"/>
      <c r="N171" s="36">
        <v>24894740</v>
      </c>
      <c r="O171" s="36">
        <v>12876002</v>
      </c>
      <c r="P171" s="36">
        <v>0</v>
      </c>
      <c r="Q171" s="36">
        <v>29286974</v>
      </c>
      <c r="R171" s="7"/>
      <c r="S171" s="7"/>
      <c r="T171" s="7"/>
      <c r="U171" s="7"/>
      <c r="V171" s="7"/>
      <c r="W171" s="7"/>
      <c r="X171" s="7"/>
      <c r="Y171" s="7"/>
      <c r="Z171" s="7"/>
    </row>
    <row r="172" spans="1:26" ht="12.75" customHeight="1" x14ac:dyDescent="0.2">
      <c r="A172" s="534"/>
      <c r="B172" s="534"/>
      <c r="C172" s="40" t="s">
        <v>36</v>
      </c>
      <c r="D172" s="41">
        <v>34</v>
      </c>
      <c r="E172" s="42">
        <v>6160.3</v>
      </c>
      <c r="F172" s="42">
        <v>613.54999999999995</v>
      </c>
      <c r="G172" s="42">
        <v>0</v>
      </c>
      <c r="H172" s="42">
        <v>6207.16</v>
      </c>
      <c r="I172" s="42">
        <v>0</v>
      </c>
      <c r="J172" s="42">
        <v>1081.75</v>
      </c>
      <c r="K172" s="43">
        <v>12981.01</v>
      </c>
      <c r="L172" s="32">
        <v>14062.76</v>
      </c>
      <c r="M172" s="33"/>
      <c r="N172" s="30">
        <v>12981.01</v>
      </c>
      <c r="O172" s="30">
        <v>6773.85</v>
      </c>
      <c r="P172" s="30"/>
      <c r="Q172" s="30">
        <v>15282.05</v>
      </c>
      <c r="R172" s="7"/>
      <c r="S172" s="7"/>
      <c r="T172" s="7"/>
      <c r="U172" s="7"/>
      <c r="V172" s="7"/>
      <c r="W172" s="7"/>
      <c r="X172" s="7"/>
      <c r="Y172" s="7"/>
      <c r="Z172" s="7"/>
    </row>
    <row r="173" spans="1:26" ht="9" customHeight="1" x14ac:dyDescent="0.2">
      <c r="A173" s="534"/>
      <c r="B173" s="534"/>
      <c r="C173" s="34" t="s">
        <v>37</v>
      </c>
      <c r="D173" s="35">
        <v>35</v>
      </c>
      <c r="E173" s="36">
        <v>11928004</v>
      </c>
      <c r="F173" s="36">
        <v>1187998</v>
      </c>
      <c r="G173" s="36">
        <v>0</v>
      </c>
      <c r="H173" s="36">
        <v>12018738</v>
      </c>
      <c r="I173" s="36">
        <v>0</v>
      </c>
      <c r="J173" s="37">
        <v>2094560</v>
      </c>
      <c r="K173" s="36">
        <v>25134740</v>
      </c>
      <c r="L173" s="38">
        <v>27229300</v>
      </c>
      <c r="M173" s="39"/>
      <c r="N173" s="36">
        <v>25134740</v>
      </c>
      <c r="O173" s="36">
        <v>13116003</v>
      </c>
      <c r="P173" s="36">
        <v>0</v>
      </c>
      <c r="Q173" s="36">
        <v>29590175</v>
      </c>
      <c r="R173" s="7"/>
      <c r="S173" s="7"/>
      <c r="T173" s="7"/>
      <c r="U173" s="7"/>
      <c r="V173" s="7"/>
      <c r="W173" s="7"/>
      <c r="X173" s="7"/>
      <c r="Y173" s="7"/>
      <c r="Z173" s="7"/>
    </row>
    <row r="174" spans="1:26" ht="12.75" customHeight="1" x14ac:dyDescent="0.2">
      <c r="A174" s="534"/>
      <c r="B174" s="534"/>
      <c r="C174" s="40" t="s">
        <v>36</v>
      </c>
      <c r="D174" s="41">
        <v>36</v>
      </c>
      <c r="E174" s="42">
        <v>6265.66</v>
      </c>
      <c r="F174" s="42">
        <v>625.95000000000005</v>
      </c>
      <c r="G174" s="42">
        <v>0</v>
      </c>
      <c r="H174" s="42">
        <v>6207.16</v>
      </c>
      <c r="I174" s="42">
        <v>0</v>
      </c>
      <c r="J174" s="42">
        <v>1091.56</v>
      </c>
      <c r="K174" s="43">
        <v>13098.77</v>
      </c>
      <c r="L174" s="32">
        <v>14190.33</v>
      </c>
      <c r="M174" s="33"/>
      <c r="N174" s="30">
        <v>13098.77</v>
      </c>
      <c r="O174" s="30">
        <v>6891.61</v>
      </c>
      <c r="P174" s="30"/>
      <c r="Q174" s="30">
        <v>15430.82</v>
      </c>
      <c r="R174" s="7"/>
      <c r="S174" s="7"/>
      <c r="T174" s="7"/>
      <c r="U174" s="7"/>
      <c r="V174" s="7"/>
      <c r="W174" s="7"/>
      <c r="X174" s="7"/>
      <c r="Y174" s="7"/>
      <c r="Z174" s="7"/>
    </row>
    <row r="175" spans="1:26" ht="9" customHeight="1" x14ac:dyDescent="0.2">
      <c r="A175" s="534"/>
      <c r="B175" s="534"/>
      <c r="C175" s="34" t="s">
        <v>37</v>
      </c>
      <c r="D175" s="35">
        <v>37</v>
      </c>
      <c r="E175" s="36">
        <v>12132009</v>
      </c>
      <c r="F175" s="36">
        <v>1212008</v>
      </c>
      <c r="G175" s="36">
        <v>0</v>
      </c>
      <c r="H175" s="36">
        <v>12018738</v>
      </c>
      <c r="I175" s="36">
        <v>0</v>
      </c>
      <c r="J175" s="37">
        <v>2113555</v>
      </c>
      <c r="K175" s="36">
        <v>25362755</v>
      </c>
      <c r="L175" s="38">
        <v>27476310</v>
      </c>
      <c r="M175" s="39"/>
      <c r="N175" s="36">
        <v>25362755</v>
      </c>
      <c r="O175" s="36">
        <v>13344018</v>
      </c>
      <c r="P175" s="36">
        <v>0</v>
      </c>
      <c r="Q175" s="36">
        <v>29878234</v>
      </c>
      <c r="R175" s="7"/>
      <c r="S175" s="7"/>
      <c r="T175" s="7"/>
      <c r="U175" s="7"/>
      <c r="V175" s="7"/>
      <c r="W175" s="7"/>
      <c r="X175" s="7"/>
      <c r="Y175" s="7"/>
      <c r="Z175" s="7"/>
    </row>
    <row r="176" spans="1:26" ht="12.75" customHeight="1" x14ac:dyDescent="0.2">
      <c r="A176" s="534"/>
      <c r="B176" s="534"/>
      <c r="C176" s="40" t="s">
        <v>36</v>
      </c>
      <c r="D176" s="41">
        <v>38</v>
      </c>
      <c r="E176" s="42">
        <v>6377.21</v>
      </c>
      <c r="F176" s="42">
        <v>632.14</v>
      </c>
      <c r="G176" s="42">
        <v>0</v>
      </c>
      <c r="H176" s="42">
        <v>6207.16</v>
      </c>
      <c r="I176" s="42">
        <v>0</v>
      </c>
      <c r="J176" s="42">
        <v>1101.3800000000001</v>
      </c>
      <c r="K176" s="43">
        <v>13216.51</v>
      </c>
      <c r="L176" s="32">
        <v>14317.89</v>
      </c>
      <c r="M176" s="33"/>
      <c r="N176" s="30">
        <v>13216.51</v>
      </c>
      <c r="O176" s="30">
        <v>7009.35</v>
      </c>
      <c r="P176" s="30"/>
      <c r="Q176" s="30">
        <v>15579.57</v>
      </c>
      <c r="R176" s="7"/>
      <c r="S176" s="7"/>
      <c r="T176" s="7"/>
      <c r="U176" s="7"/>
      <c r="V176" s="7"/>
      <c r="W176" s="7"/>
      <c r="X176" s="7"/>
      <c r="Y176" s="7"/>
      <c r="Z176" s="7"/>
    </row>
    <row r="177" spans="1:26" ht="12.75" customHeight="1" x14ac:dyDescent="0.2">
      <c r="A177" s="534"/>
      <c r="B177" s="534"/>
      <c r="C177" s="115"/>
      <c r="D177" s="45"/>
      <c r="E177" s="116"/>
      <c r="F177" s="116"/>
      <c r="G177" s="116"/>
      <c r="H177" s="116"/>
      <c r="I177" s="116"/>
      <c r="J177" s="117"/>
      <c r="K177" s="118"/>
      <c r="L177" s="119"/>
      <c r="M177" s="33"/>
      <c r="N177" s="116"/>
      <c r="O177" s="116"/>
      <c r="P177" s="116"/>
      <c r="Q177" s="116"/>
      <c r="R177" s="7"/>
      <c r="S177" s="7"/>
      <c r="T177" s="7"/>
      <c r="U177" s="7"/>
      <c r="V177" s="7"/>
      <c r="W177" s="7"/>
      <c r="X177" s="7"/>
      <c r="Y177" s="7"/>
      <c r="Z177" s="7"/>
    </row>
    <row r="178" spans="1:26" ht="12.75" customHeight="1" x14ac:dyDescent="0.2">
      <c r="A178" s="534"/>
      <c r="B178" s="534"/>
      <c r="C178" s="115"/>
      <c r="D178" s="45"/>
      <c r="E178" s="116"/>
      <c r="F178" s="116"/>
      <c r="G178" s="116"/>
      <c r="H178" s="116"/>
      <c r="I178" s="116"/>
      <c r="J178" s="117"/>
      <c r="K178" s="118"/>
      <c r="L178" s="119"/>
      <c r="M178" s="33"/>
      <c r="N178" s="116"/>
      <c r="O178" s="116"/>
      <c r="P178" s="116"/>
      <c r="Q178" s="116"/>
      <c r="R178" s="7"/>
      <c r="S178" s="7"/>
      <c r="T178" s="7"/>
      <c r="U178" s="7"/>
      <c r="V178" s="7"/>
      <c r="W178" s="7"/>
      <c r="X178" s="7"/>
      <c r="Y178" s="7"/>
      <c r="Z178" s="7"/>
    </row>
    <row r="179" spans="1:26" ht="9" customHeight="1" x14ac:dyDescent="0.2">
      <c r="A179" s="534"/>
      <c r="B179" s="534"/>
      <c r="C179" s="34" t="s">
        <v>37</v>
      </c>
      <c r="D179" s="35">
        <v>39</v>
      </c>
      <c r="E179" s="36">
        <v>12348000</v>
      </c>
      <c r="F179" s="36">
        <v>1223994</v>
      </c>
      <c r="G179" s="36">
        <v>0</v>
      </c>
      <c r="H179" s="36">
        <v>12018738</v>
      </c>
      <c r="I179" s="36">
        <v>0</v>
      </c>
      <c r="J179" s="37">
        <v>2132569</v>
      </c>
      <c r="K179" s="36">
        <v>25590732</v>
      </c>
      <c r="L179" s="38">
        <v>27723301</v>
      </c>
      <c r="M179" s="39"/>
      <c r="N179" s="36">
        <v>25590732</v>
      </c>
      <c r="O179" s="36">
        <v>13571994</v>
      </c>
      <c r="P179" s="36">
        <v>0</v>
      </c>
      <c r="Q179" s="36">
        <v>30166254</v>
      </c>
      <c r="R179" s="7"/>
      <c r="S179" s="7"/>
      <c r="T179" s="7"/>
      <c r="U179" s="7"/>
      <c r="V179" s="7"/>
      <c r="W179" s="7"/>
      <c r="X179" s="7"/>
      <c r="Y179" s="7"/>
      <c r="Z179" s="7"/>
    </row>
    <row r="180" spans="1:26" ht="12.75" customHeight="1" x14ac:dyDescent="0.2">
      <c r="A180" s="534"/>
      <c r="B180" s="534"/>
      <c r="C180" s="40" t="s">
        <v>36</v>
      </c>
      <c r="D180" s="41">
        <v>40</v>
      </c>
      <c r="E180" s="42">
        <v>6482.57</v>
      </c>
      <c r="F180" s="42">
        <v>644.54</v>
      </c>
      <c r="G180" s="42">
        <v>0</v>
      </c>
      <c r="H180" s="42">
        <v>6207.16</v>
      </c>
      <c r="I180" s="42">
        <v>0</v>
      </c>
      <c r="J180" s="42">
        <v>1111.19</v>
      </c>
      <c r="K180" s="43">
        <v>13334.27</v>
      </c>
      <c r="L180" s="32">
        <v>14445.46</v>
      </c>
      <c r="M180" s="33"/>
      <c r="N180" s="30">
        <v>13334.27</v>
      </c>
      <c r="O180" s="30">
        <v>7127.11</v>
      </c>
      <c r="P180" s="30"/>
      <c r="Q180" s="30">
        <v>15728.34</v>
      </c>
      <c r="R180" s="7"/>
      <c r="S180" s="7"/>
      <c r="T180" s="7"/>
      <c r="U180" s="7"/>
      <c r="V180" s="7"/>
      <c r="W180" s="7"/>
      <c r="X180" s="7"/>
      <c r="Y180" s="7"/>
      <c r="Z180" s="7"/>
    </row>
    <row r="181" spans="1:26" ht="9" customHeight="1" x14ac:dyDescent="0.2">
      <c r="A181" s="535"/>
      <c r="B181" s="535"/>
      <c r="C181" s="47"/>
      <c r="D181" s="48"/>
      <c r="E181" s="46">
        <v>12552006</v>
      </c>
      <c r="F181" s="46">
        <v>1248003</v>
      </c>
      <c r="G181" s="46">
        <v>0</v>
      </c>
      <c r="H181" s="46">
        <v>12018738</v>
      </c>
      <c r="I181" s="46">
        <v>0</v>
      </c>
      <c r="J181" s="49">
        <v>2151564</v>
      </c>
      <c r="K181" s="46">
        <v>25818747</v>
      </c>
      <c r="L181" s="38">
        <v>27970311</v>
      </c>
      <c r="M181" s="39"/>
      <c r="N181" s="36">
        <v>25818747</v>
      </c>
      <c r="O181" s="36">
        <v>13800009</v>
      </c>
      <c r="P181" s="36">
        <v>0</v>
      </c>
      <c r="Q181" s="36">
        <v>30454313</v>
      </c>
      <c r="R181" s="7"/>
      <c r="S181" s="7"/>
      <c r="T181" s="7"/>
      <c r="U181" s="7"/>
      <c r="V181" s="7"/>
      <c r="W181" s="7"/>
      <c r="X181" s="7"/>
      <c r="Y181" s="7"/>
      <c r="Z181" s="7"/>
    </row>
    <row r="182" spans="1:26" ht="12.75" customHeight="1" x14ac:dyDescent="0.2">
      <c r="A182" s="538">
        <v>33970</v>
      </c>
      <c r="B182" s="538">
        <v>34424</v>
      </c>
      <c r="C182" s="28" t="s">
        <v>36</v>
      </c>
      <c r="D182" s="29">
        <v>0</v>
      </c>
      <c r="E182" s="30">
        <v>3390.02</v>
      </c>
      <c r="F182" s="30">
        <v>334.66</v>
      </c>
      <c r="G182" s="30">
        <v>123.95</v>
      </c>
      <c r="H182" s="30">
        <v>6207.16</v>
      </c>
      <c r="I182" s="30">
        <v>0</v>
      </c>
      <c r="J182" s="30">
        <v>837.98</v>
      </c>
      <c r="K182" s="31">
        <v>10055.790000000001</v>
      </c>
      <c r="L182" s="32">
        <v>10893.77</v>
      </c>
      <c r="M182" s="33"/>
      <c r="N182" s="30">
        <v>10055.790000000001</v>
      </c>
      <c r="O182" s="30">
        <v>3848.63</v>
      </c>
      <c r="P182" s="30"/>
      <c r="Q182" s="30">
        <v>11586.52</v>
      </c>
      <c r="R182" s="7"/>
      <c r="S182" s="7"/>
      <c r="T182" s="7"/>
      <c r="U182" s="7"/>
      <c r="V182" s="7"/>
      <c r="W182" s="7"/>
      <c r="X182" s="7"/>
      <c r="Y182" s="7"/>
      <c r="Z182" s="7"/>
    </row>
    <row r="183" spans="1:26" ht="9" customHeight="1" x14ac:dyDescent="0.2">
      <c r="A183" s="534"/>
      <c r="B183" s="534"/>
      <c r="C183" s="34" t="s">
        <v>37</v>
      </c>
      <c r="D183" s="35">
        <v>1</v>
      </c>
      <c r="E183" s="36">
        <v>6563994</v>
      </c>
      <c r="F183" s="36">
        <v>647992</v>
      </c>
      <c r="G183" s="36">
        <v>240001</v>
      </c>
      <c r="H183" s="36">
        <v>12018738</v>
      </c>
      <c r="I183" s="36">
        <v>0</v>
      </c>
      <c r="J183" s="37">
        <v>1622556</v>
      </c>
      <c r="K183" s="36">
        <v>19470725</v>
      </c>
      <c r="L183" s="38">
        <v>21093280</v>
      </c>
      <c r="M183" s="39"/>
      <c r="N183" s="36">
        <v>19470725</v>
      </c>
      <c r="O183" s="36">
        <v>7451987</v>
      </c>
      <c r="P183" s="36">
        <v>0</v>
      </c>
      <c r="Q183" s="36">
        <v>22434631</v>
      </c>
      <c r="R183" s="7"/>
      <c r="S183" s="7"/>
      <c r="T183" s="7"/>
      <c r="U183" s="7"/>
      <c r="V183" s="7"/>
      <c r="W183" s="7"/>
      <c r="X183" s="7"/>
      <c r="Y183" s="7"/>
      <c r="Z183" s="7"/>
    </row>
    <row r="184" spans="1:26" ht="12.75" customHeight="1" x14ac:dyDescent="0.2">
      <c r="A184" s="540">
        <v>33970</v>
      </c>
      <c r="B184" s="540">
        <v>34424</v>
      </c>
      <c r="C184" s="40" t="s">
        <v>36</v>
      </c>
      <c r="D184" s="41">
        <v>2</v>
      </c>
      <c r="E184" s="42">
        <v>3557.36</v>
      </c>
      <c r="F184" s="42">
        <v>353.26</v>
      </c>
      <c r="G184" s="42">
        <v>123.95</v>
      </c>
      <c r="H184" s="42">
        <v>6207.16</v>
      </c>
      <c r="I184" s="42">
        <v>0</v>
      </c>
      <c r="J184" s="42">
        <v>853.48</v>
      </c>
      <c r="K184" s="43">
        <v>10241.73</v>
      </c>
      <c r="L184" s="32">
        <v>11095.21</v>
      </c>
      <c r="M184" s="33"/>
      <c r="N184" s="30">
        <v>10241.73</v>
      </c>
      <c r="O184" s="30">
        <v>4034.57</v>
      </c>
      <c r="P184" s="30"/>
      <c r="Q184" s="30">
        <v>11821.43</v>
      </c>
      <c r="R184" s="7"/>
      <c r="S184" s="7"/>
      <c r="T184" s="7"/>
      <c r="U184" s="7"/>
      <c r="V184" s="7"/>
      <c r="W184" s="7"/>
      <c r="X184" s="7"/>
      <c r="Y184" s="7"/>
      <c r="Z184" s="7"/>
    </row>
    <row r="185" spans="1:26" ht="9" customHeight="1" x14ac:dyDescent="0.2">
      <c r="A185" s="534"/>
      <c r="B185" s="534"/>
      <c r="C185" s="34" t="s">
        <v>37</v>
      </c>
      <c r="D185" s="35">
        <v>3</v>
      </c>
      <c r="E185" s="36">
        <v>6888009</v>
      </c>
      <c r="F185" s="36">
        <v>684007</v>
      </c>
      <c r="G185" s="36">
        <v>240001</v>
      </c>
      <c r="H185" s="36">
        <v>12018738</v>
      </c>
      <c r="I185" s="36">
        <v>0</v>
      </c>
      <c r="J185" s="37">
        <v>1652568</v>
      </c>
      <c r="K185" s="36">
        <v>19830755</v>
      </c>
      <c r="L185" s="38">
        <v>21483322</v>
      </c>
      <c r="M185" s="39"/>
      <c r="N185" s="36">
        <v>19830755</v>
      </c>
      <c r="O185" s="36">
        <v>7812017</v>
      </c>
      <c r="P185" s="36">
        <v>0</v>
      </c>
      <c r="Q185" s="36">
        <v>22889480</v>
      </c>
      <c r="R185" s="7"/>
      <c r="S185" s="7"/>
      <c r="T185" s="7"/>
      <c r="U185" s="7"/>
      <c r="V185" s="7"/>
      <c r="W185" s="7"/>
      <c r="X185" s="7"/>
      <c r="Y185" s="7"/>
      <c r="Z185" s="7"/>
    </row>
    <row r="186" spans="1:26" ht="12.75" customHeight="1" x14ac:dyDescent="0.2">
      <c r="A186" s="534"/>
      <c r="B186" s="534"/>
      <c r="C186" s="40" t="s">
        <v>36</v>
      </c>
      <c r="D186" s="41">
        <v>4</v>
      </c>
      <c r="E186" s="42">
        <v>3730.88</v>
      </c>
      <c r="F186" s="42">
        <v>371.85</v>
      </c>
      <c r="G186" s="42">
        <v>123.95</v>
      </c>
      <c r="H186" s="42">
        <v>6207.16</v>
      </c>
      <c r="I186" s="42">
        <v>0</v>
      </c>
      <c r="J186" s="42">
        <v>869.49</v>
      </c>
      <c r="K186" s="43">
        <v>10433.84</v>
      </c>
      <c r="L186" s="32">
        <v>11303.33</v>
      </c>
      <c r="M186" s="33"/>
      <c r="N186" s="30">
        <v>10433.84</v>
      </c>
      <c r="O186" s="30">
        <v>4226.68</v>
      </c>
      <c r="P186" s="30"/>
      <c r="Q186" s="30">
        <v>12064.13</v>
      </c>
      <c r="R186" s="7"/>
      <c r="S186" s="7"/>
      <c r="T186" s="7"/>
      <c r="U186" s="7"/>
      <c r="V186" s="7"/>
      <c r="W186" s="7"/>
      <c r="X186" s="7"/>
      <c r="Y186" s="7"/>
      <c r="Z186" s="7"/>
    </row>
    <row r="187" spans="1:26" ht="9" customHeight="1" x14ac:dyDescent="0.2">
      <c r="A187" s="534"/>
      <c r="B187" s="534"/>
      <c r="C187" s="34" t="s">
        <v>37</v>
      </c>
      <c r="D187" s="35">
        <v>5</v>
      </c>
      <c r="E187" s="36">
        <v>7223991</v>
      </c>
      <c r="F187" s="36">
        <v>720002</v>
      </c>
      <c r="G187" s="36">
        <v>240001</v>
      </c>
      <c r="H187" s="36">
        <v>12018738</v>
      </c>
      <c r="I187" s="36">
        <v>0</v>
      </c>
      <c r="J187" s="37">
        <v>1683567</v>
      </c>
      <c r="K187" s="36">
        <v>20202731</v>
      </c>
      <c r="L187" s="38">
        <v>21886299</v>
      </c>
      <c r="M187" s="39"/>
      <c r="N187" s="36">
        <v>20202731</v>
      </c>
      <c r="O187" s="36">
        <v>8183994</v>
      </c>
      <c r="P187" s="36">
        <v>0</v>
      </c>
      <c r="Q187" s="36">
        <v>23359413</v>
      </c>
      <c r="R187" s="7"/>
      <c r="S187" s="7"/>
      <c r="T187" s="7"/>
      <c r="U187" s="7"/>
      <c r="V187" s="7"/>
      <c r="W187" s="7"/>
      <c r="X187" s="7"/>
      <c r="Y187" s="7"/>
      <c r="Z187" s="7"/>
    </row>
    <row r="188" spans="1:26" ht="12.75" customHeight="1" x14ac:dyDescent="0.2">
      <c r="A188" s="534"/>
      <c r="B188" s="534"/>
      <c r="C188" s="40" t="s">
        <v>36</v>
      </c>
      <c r="D188" s="41">
        <v>6</v>
      </c>
      <c r="E188" s="42">
        <v>4003.57</v>
      </c>
      <c r="F188" s="42">
        <v>396.64</v>
      </c>
      <c r="G188" s="42">
        <v>123.95</v>
      </c>
      <c r="H188" s="42">
        <v>6207.16</v>
      </c>
      <c r="I188" s="42">
        <v>0</v>
      </c>
      <c r="J188" s="42">
        <v>894.28</v>
      </c>
      <c r="K188" s="43">
        <v>10731.32</v>
      </c>
      <c r="L188" s="32">
        <v>11625.6</v>
      </c>
      <c r="M188" s="33"/>
      <c r="N188" s="30">
        <v>10731.32</v>
      </c>
      <c r="O188" s="30">
        <v>4524.16</v>
      </c>
      <c r="P188" s="30"/>
      <c r="Q188" s="30">
        <v>12439.95</v>
      </c>
      <c r="R188" s="7"/>
      <c r="S188" s="7"/>
      <c r="T188" s="7"/>
      <c r="U188" s="7"/>
      <c r="V188" s="7"/>
      <c r="W188" s="7"/>
      <c r="X188" s="7"/>
      <c r="Y188" s="7"/>
      <c r="Z188" s="7"/>
    </row>
    <row r="189" spans="1:26" ht="9" customHeight="1" x14ac:dyDescent="0.2">
      <c r="A189" s="534"/>
      <c r="B189" s="534"/>
      <c r="C189" s="34" t="s">
        <v>37</v>
      </c>
      <c r="D189" s="35">
        <v>7</v>
      </c>
      <c r="E189" s="36">
        <v>7751992</v>
      </c>
      <c r="F189" s="36">
        <v>768002</v>
      </c>
      <c r="G189" s="36">
        <v>240001</v>
      </c>
      <c r="H189" s="36">
        <v>12018738</v>
      </c>
      <c r="I189" s="36">
        <v>0</v>
      </c>
      <c r="J189" s="37">
        <v>1731568</v>
      </c>
      <c r="K189" s="36">
        <v>20778733</v>
      </c>
      <c r="L189" s="38">
        <v>22510301</v>
      </c>
      <c r="M189" s="39"/>
      <c r="N189" s="36">
        <v>20778733</v>
      </c>
      <c r="O189" s="36">
        <v>8759995</v>
      </c>
      <c r="P189" s="36">
        <v>0</v>
      </c>
      <c r="Q189" s="36">
        <v>24087102</v>
      </c>
      <c r="R189" s="7"/>
      <c r="S189" s="7"/>
      <c r="T189" s="7"/>
      <c r="U189" s="7"/>
      <c r="V189" s="7"/>
      <c r="W189" s="7"/>
      <c r="X189" s="7"/>
      <c r="Y189" s="7"/>
      <c r="Z189" s="7"/>
    </row>
    <row r="190" spans="1:26" ht="12.75" customHeight="1" x14ac:dyDescent="0.2">
      <c r="A190" s="534"/>
      <c r="B190" s="534"/>
      <c r="C190" s="40" t="s">
        <v>36</v>
      </c>
      <c r="D190" s="41">
        <v>8</v>
      </c>
      <c r="E190" s="42">
        <v>4201.8900000000003</v>
      </c>
      <c r="F190" s="42">
        <v>415.23</v>
      </c>
      <c r="G190" s="42">
        <v>123.95</v>
      </c>
      <c r="H190" s="42">
        <v>6207.16</v>
      </c>
      <c r="I190" s="42">
        <v>0</v>
      </c>
      <c r="J190" s="42">
        <v>912.35</v>
      </c>
      <c r="K190" s="43">
        <v>10948.23</v>
      </c>
      <c r="L190" s="32">
        <v>11860.58</v>
      </c>
      <c r="M190" s="33"/>
      <c r="N190" s="30">
        <v>10948.23</v>
      </c>
      <c r="O190" s="30">
        <v>4741.07</v>
      </c>
      <c r="P190" s="30"/>
      <c r="Q190" s="30">
        <v>12713.97</v>
      </c>
      <c r="R190" s="7"/>
      <c r="S190" s="7"/>
      <c r="T190" s="7"/>
      <c r="U190" s="7"/>
      <c r="V190" s="7"/>
      <c r="W190" s="7"/>
      <c r="X190" s="7"/>
      <c r="Y190" s="7"/>
      <c r="Z190" s="7"/>
    </row>
    <row r="191" spans="1:26" ht="9" customHeight="1" x14ac:dyDescent="0.2">
      <c r="A191" s="534"/>
      <c r="B191" s="534"/>
      <c r="C191" s="34" t="s">
        <v>37</v>
      </c>
      <c r="D191" s="35">
        <v>9</v>
      </c>
      <c r="E191" s="36">
        <v>8135994</v>
      </c>
      <c r="F191" s="36">
        <v>803997</v>
      </c>
      <c r="G191" s="36">
        <v>240001</v>
      </c>
      <c r="H191" s="36">
        <v>12018738</v>
      </c>
      <c r="I191" s="36">
        <v>0</v>
      </c>
      <c r="J191" s="37">
        <v>1766556</v>
      </c>
      <c r="K191" s="36">
        <v>21198729</v>
      </c>
      <c r="L191" s="38">
        <v>22965285</v>
      </c>
      <c r="M191" s="39"/>
      <c r="N191" s="36">
        <v>21198729</v>
      </c>
      <c r="O191" s="36">
        <v>9179992</v>
      </c>
      <c r="P191" s="36">
        <v>0</v>
      </c>
      <c r="Q191" s="36">
        <v>24617679</v>
      </c>
      <c r="R191" s="7"/>
      <c r="S191" s="7"/>
      <c r="T191" s="7"/>
      <c r="U191" s="7"/>
      <c r="V191" s="7"/>
      <c r="W191" s="7"/>
      <c r="X191" s="7"/>
      <c r="Y191" s="7"/>
      <c r="Z191" s="7"/>
    </row>
    <row r="192" spans="1:26" ht="12.75" customHeight="1" x14ac:dyDescent="0.2">
      <c r="A192" s="534"/>
      <c r="B192" s="534"/>
      <c r="C192" s="40" t="s">
        <v>36</v>
      </c>
      <c r="D192" s="41">
        <v>10</v>
      </c>
      <c r="E192" s="42">
        <v>4400.21</v>
      </c>
      <c r="F192" s="42">
        <v>440.02</v>
      </c>
      <c r="G192" s="42">
        <v>123.95</v>
      </c>
      <c r="H192" s="42">
        <v>6207.16</v>
      </c>
      <c r="I192" s="42">
        <v>0</v>
      </c>
      <c r="J192" s="42">
        <v>930.95</v>
      </c>
      <c r="K192" s="43">
        <v>11171.34</v>
      </c>
      <c r="L192" s="32">
        <v>12102.29</v>
      </c>
      <c r="M192" s="33"/>
      <c r="N192" s="30">
        <v>11171.34</v>
      </c>
      <c r="O192" s="30">
        <v>4964.18</v>
      </c>
      <c r="P192" s="30"/>
      <c r="Q192" s="30">
        <v>12995.84</v>
      </c>
      <c r="R192" s="7"/>
      <c r="S192" s="7"/>
      <c r="T192" s="7"/>
      <c r="U192" s="7"/>
      <c r="V192" s="7"/>
      <c r="W192" s="7"/>
      <c r="X192" s="7"/>
      <c r="Y192" s="7"/>
      <c r="Z192" s="7"/>
    </row>
    <row r="193" spans="1:26" ht="9" customHeight="1" x14ac:dyDescent="0.2">
      <c r="A193" s="534"/>
      <c r="B193" s="534"/>
      <c r="C193" s="34" t="s">
        <v>37</v>
      </c>
      <c r="D193" s="35">
        <v>11</v>
      </c>
      <c r="E193" s="36">
        <v>8519995</v>
      </c>
      <c r="F193" s="36">
        <v>851998</v>
      </c>
      <c r="G193" s="36">
        <v>240001</v>
      </c>
      <c r="H193" s="36">
        <v>12018738</v>
      </c>
      <c r="I193" s="36">
        <v>0</v>
      </c>
      <c r="J193" s="37">
        <v>1802571</v>
      </c>
      <c r="K193" s="36">
        <v>21630731</v>
      </c>
      <c r="L193" s="38">
        <v>23433301</v>
      </c>
      <c r="M193" s="39"/>
      <c r="N193" s="36">
        <v>21630731</v>
      </c>
      <c r="O193" s="36">
        <v>9611993</v>
      </c>
      <c r="P193" s="36">
        <v>0</v>
      </c>
      <c r="Q193" s="36">
        <v>25163455</v>
      </c>
      <c r="R193" s="7"/>
      <c r="S193" s="7"/>
      <c r="T193" s="7"/>
      <c r="U193" s="7"/>
      <c r="V193" s="7"/>
      <c r="W193" s="7"/>
      <c r="X193" s="7"/>
      <c r="Y193" s="7"/>
      <c r="Z193" s="7"/>
    </row>
    <row r="194" spans="1:26" ht="12.75" customHeight="1" x14ac:dyDescent="0.2">
      <c r="A194" s="534"/>
      <c r="B194" s="534"/>
      <c r="C194" s="40" t="s">
        <v>36</v>
      </c>
      <c r="D194" s="41">
        <v>12</v>
      </c>
      <c r="E194" s="42">
        <v>4598.53</v>
      </c>
      <c r="F194" s="42">
        <v>458.61</v>
      </c>
      <c r="G194" s="42">
        <v>123.95</v>
      </c>
      <c r="H194" s="42">
        <v>6207.16</v>
      </c>
      <c r="I194" s="42">
        <v>0</v>
      </c>
      <c r="J194" s="42">
        <v>949.02</v>
      </c>
      <c r="K194" s="43">
        <v>11388.25</v>
      </c>
      <c r="L194" s="32">
        <v>12337.27</v>
      </c>
      <c r="M194" s="33"/>
      <c r="N194" s="30">
        <v>11388.25</v>
      </c>
      <c r="O194" s="30">
        <v>5181.09</v>
      </c>
      <c r="P194" s="30"/>
      <c r="Q194" s="30">
        <v>13269.87</v>
      </c>
      <c r="R194" s="7"/>
      <c r="S194" s="7"/>
      <c r="T194" s="7"/>
      <c r="U194" s="7"/>
      <c r="V194" s="7"/>
      <c r="W194" s="7"/>
      <c r="X194" s="7"/>
      <c r="Y194" s="7"/>
      <c r="Z194" s="7"/>
    </row>
    <row r="195" spans="1:26" ht="9" customHeight="1" x14ac:dyDescent="0.2">
      <c r="A195" s="534"/>
      <c r="B195" s="534"/>
      <c r="C195" s="34" t="s">
        <v>37</v>
      </c>
      <c r="D195" s="35">
        <v>13</v>
      </c>
      <c r="E195" s="36">
        <v>8903996</v>
      </c>
      <c r="F195" s="36">
        <v>887993</v>
      </c>
      <c r="G195" s="36">
        <v>240001</v>
      </c>
      <c r="H195" s="36">
        <v>12018738</v>
      </c>
      <c r="I195" s="36">
        <v>0</v>
      </c>
      <c r="J195" s="37">
        <v>1837559</v>
      </c>
      <c r="K195" s="36">
        <v>22050727</v>
      </c>
      <c r="L195" s="38">
        <v>23888286</v>
      </c>
      <c r="M195" s="39"/>
      <c r="N195" s="36">
        <v>22050727</v>
      </c>
      <c r="O195" s="36">
        <v>10031989</v>
      </c>
      <c r="P195" s="36">
        <v>0</v>
      </c>
      <c r="Q195" s="36">
        <v>25694051</v>
      </c>
      <c r="R195" s="7"/>
      <c r="S195" s="7"/>
      <c r="T195" s="7"/>
      <c r="U195" s="7"/>
      <c r="V195" s="7"/>
      <c r="W195" s="7"/>
      <c r="X195" s="7"/>
      <c r="Y195" s="7"/>
      <c r="Z195" s="7"/>
    </row>
    <row r="196" spans="1:26" ht="12.75" customHeight="1" x14ac:dyDescent="0.2">
      <c r="A196" s="534"/>
      <c r="B196" s="534"/>
      <c r="C196" s="40" t="s">
        <v>36</v>
      </c>
      <c r="D196" s="41">
        <v>14</v>
      </c>
      <c r="E196" s="42">
        <v>4803.05</v>
      </c>
      <c r="F196" s="42">
        <v>477.21</v>
      </c>
      <c r="G196" s="42">
        <v>123.95</v>
      </c>
      <c r="H196" s="42">
        <v>6207.16</v>
      </c>
      <c r="I196" s="42">
        <v>0</v>
      </c>
      <c r="J196" s="42">
        <v>967.61</v>
      </c>
      <c r="K196" s="43">
        <v>11611.37</v>
      </c>
      <c r="L196" s="32">
        <v>12578.98</v>
      </c>
      <c r="M196" s="33"/>
      <c r="N196" s="30">
        <v>11611.37</v>
      </c>
      <c r="O196" s="30">
        <v>5404.21</v>
      </c>
      <c r="P196" s="30"/>
      <c r="Q196" s="30">
        <v>13551.74</v>
      </c>
      <c r="R196" s="7"/>
      <c r="S196" s="7"/>
      <c r="T196" s="7"/>
      <c r="U196" s="7"/>
      <c r="V196" s="7"/>
      <c r="W196" s="7"/>
      <c r="X196" s="7"/>
      <c r="Y196" s="7"/>
      <c r="Z196" s="7"/>
    </row>
    <row r="197" spans="1:26" ht="9" customHeight="1" x14ac:dyDescent="0.2">
      <c r="A197" s="534"/>
      <c r="B197" s="534"/>
      <c r="C197" s="34" t="s">
        <v>37</v>
      </c>
      <c r="D197" s="35">
        <v>15</v>
      </c>
      <c r="E197" s="36">
        <v>9300002</v>
      </c>
      <c r="F197" s="36">
        <v>924007</v>
      </c>
      <c r="G197" s="36">
        <v>240001</v>
      </c>
      <c r="H197" s="36">
        <v>12018738</v>
      </c>
      <c r="I197" s="36">
        <v>0</v>
      </c>
      <c r="J197" s="37">
        <v>1873554</v>
      </c>
      <c r="K197" s="36">
        <v>22482747</v>
      </c>
      <c r="L197" s="38">
        <v>24356302</v>
      </c>
      <c r="M197" s="39"/>
      <c r="N197" s="36">
        <v>22482747</v>
      </c>
      <c r="O197" s="36">
        <v>10464010</v>
      </c>
      <c r="P197" s="36">
        <v>0</v>
      </c>
      <c r="Q197" s="36">
        <v>26239828</v>
      </c>
      <c r="R197" s="7"/>
      <c r="S197" s="7"/>
      <c r="T197" s="7"/>
      <c r="U197" s="7"/>
      <c r="V197" s="7"/>
      <c r="W197" s="7"/>
      <c r="X197" s="7"/>
      <c r="Y197" s="7"/>
      <c r="Z197" s="7"/>
    </row>
    <row r="198" spans="1:26" ht="12.75" customHeight="1" x14ac:dyDescent="0.2">
      <c r="A198" s="534"/>
      <c r="B198" s="534"/>
      <c r="C198" s="40" t="s">
        <v>36</v>
      </c>
      <c r="D198" s="41">
        <v>16</v>
      </c>
      <c r="E198" s="42">
        <v>5001.37</v>
      </c>
      <c r="F198" s="42">
        <v>495.8</v>
      </c>
      <c r="G198" s="42">
        <v>123.95</v>
      </c>
      <c r="H198" s="42">
        <v>6207.16</v>
      </c>
      <c r="I198" s="42">
        <v>0</v>
      </c>
      <c r="J198" s="42">
        <v>985.69</v>
      </c>
      <c r="K198" s="43">
        <v>11828.28</v>
      </c>
      <c r="L198" s="32">
        <v>12813.97</v>
      </c>
      <c r="M198" s="33"/>
      <c r="N198" s="30">
        <v>11828.28</v>
      </c>
      <c r="O198" s="30">
        <v>5621.12</v>
      </c>
      <c r="P198" s="30"/>
      <c r="Q198" s="30">
        <v>13825.77</v>
      </c>
      <c r="R198" s="7"/>
      <c r="S198" s="7"/>
      <c r="T198" s="7"/>
      <c r="U198" s="7"/>
      <c r="V198" s="7"/>
      <c r="W198" s="7"/>
      <c r="X198" s="7"/>
      <c r="Y198" s="7"/>
      <c r="Z198" s="7"/>
    </row>
    <row r="199" spans="1:26" ht="9" customHeight="1" x14ac:dyDescent="0.2">
      <c r="A199" s="534"/>
      <c r="B199" s="534"/>
      <c r="C199" s="34" t="s">
        <v>37</v>
      </c>
      <c r="D199" s="35">
        <v>17</v>
      </c>
      <c r="E199" s="36">
        <v>9684003</v>
      </c>
      <c r="F199" s="36">
        <v>960003</v>
      </c>
      <c r="G199" s="36">
        <v>240001</v>
      </c>
      <c r="H199" s="36">
        <v>12018738</v>
      </c>
      <c r="I199" s="36">
        <v>0</v>
      </c>
      <c r="J199" s="37">
        <v>1908562</v>
      </c>
      <c r="K199" s="36">
        <v>22902744</v>
      </c>
      <c r="L199" s="38">
        <v>24811306</v>
      </c>
      <c r="M199" s="39"/>
      <c r="N199" s="36">
        <v>22902744</v>
      </c>
      <c r="O199" s="36">
        <v>10884006</v>
      </c>
      <c r="P199" s="36">
        <v>0</v>
      </c>
      <c r="Q199" s="36">
        <v>26770424</v>
      </c>
      <c r="R199" s="7"/>
      <c r="S199" s="7"/>
      <c r="T199" s="7"/>
      <c r="U199" s="7"/>
      <c r="V199" s="7"/>
      <c r="W199" s="7"/>
      <c r="X199" s="7"/>
      <c r="Y199" s="7"/>
      <c r="Z199" s="7"/>
    </row>
    <row r="200" spans="1:26" ht="12.75" customHeight="1" x14ac:dyDescent="0.2">
      <c r="A200" s="534"/>
      <c r="B200" s="534"/>
      <c r="C200" s="40" t="s">
        <v>36</v>
      </c>
      <c r="D200" s="41">
        <v>18</v>
      </c>
      <c r="E200" s="42">
        <v>5199.6899999999996</v>
      </c>
      <c r="F200" s="42">
        <v>514.39</v>
      </c>
      <c r="G200" s="42">
        <v>123.95</v>
      </c>
      <c r="H200" s="42">
        <v>6207.16</v>
      </c>
      <c r="I200" s="42">
        <v>0</v>
      </c>
      <c r="J200" s="42">
        <v>1003.77</v>
      </c>
      <c r="K200" s="43">
        <v>12045.19</v>
      </c>
      <c r="L200" s="32">
        <v>13048.96</v>
      </c>
      <c r="M200" s="33"/>
      <c r="N200" s="30">
        <v>12045.19</v>
      </c>
      <c r="O200" s="30">
        <v>5838.03</v>
      </c>
      <c r="P200" s="30"/>
      <c r="Q200" s="30">
        <v>14099.81</v>
      </c>
      <c r="R200" s="7"/>
      <c r="S200" s="7"/>
      <c r="T200" s="7"/>
      <c r="U200" s="7"/>
      <c r="V200" s="7"/>
      <c r="W200" s="7"/>
      <c r="X200" s="7"/>
      <c r="Y200" s="7"/>
      <c r="Z200" s="7"/>
    </row>
    <row r="201" spans="1:26" ht="9" customHeight="1" x14ac:dyDescent="0.2">
      <c r="A201" s="534"/>
      <c r="B201" s="534"/>
      <c r="C201" s="34" t="s">
        <v>37</v>
      </c>
      <c r="D201" s="35">
        <v>19</v>
      </c>
      <c r="E201" s="36">
        <v>10068004</v>
      </c>
      <c r="F201" s="36">
        <v>995998</v>
      </c>
      <c r="G201" s="36">
        <v>240001</v>
      </c>
      <c r="H201" s="36">
        <v>12018738</v>
      </c>
      <c r="I201" s="36">
        <v>0</v>
      </c>
      <c r="J201" s="37">
        <v>1943570</v>
      </c>
      <c r="K201" s="36">
        <v>23322740</v>
      </c>
      <c r="L201" s="38">
        <v>25266310</v>
      </c>
      <c r="M201" s="39"/>
      <c r="N201" s="36">
        <v>23322740</v>
      </c>
      <c r="O201" s="36">
        <v>11304002</v>
      </c>
      <c r="P201" s="36">
        <v>0</v>
      </c>
      <c r="Q201" s="36">
        <v>27301039</v>
      </c>
      <c r="R201" s="7"/>
      <c r="S201" s="7"/>
      <c r="T201" s="7"/>
      <c r="U201" s="7"/>
      <c r="V201" s="7"/>
      <c r="W201" s="7"/>
      <c r="X201" s="7"/>
      <c r="Y201" s="7"/>
      <c r="Z201" s="7"/>
    </row>
    <row r="202" spans="1:26" ht="12.75" customHeight="1" x14ac:dyDescent="0.2">
      <c r="A202" s="534"/>
      <c r="B202" s="534"/>
      <c r="C202" s="40" t="s">
        <v>36</v>
      </c>
      <c r="D202" s="41">
        <v>20</v>
      </c>
      <c r="E202" s="42">
        <v>5404.2</v>
      </c>
      <c r="F202" s="42">
        <v>539.17999999999995</v>
      </c>
      <c r="G202" s="42">
        <v>123.95</v>
      </c>
      <c r="H202" s="42">
        <v>6207.16</v>
      </c>
      <c r="I202" s="42">
        <v>0</v>
      </c>
      <c r="J202" s="42">
        <v>1022.87</v>
      </c>
      <c r="K202" s="43">
        <v>12274.49</v>
      </c>
      <c r="L202" s="32">
        <v>13297.36</v>
      </c>
      <c r="M202" s="33"/>
      <c r="N202" s="30">
        <v>12274.49</v>
      </c>
      <c r="O202" s="30">
        <v>6067.33</v>
      </c>
      <c r="P202" s="30"/>
      <c r="Q202" s="30">
        <v>14389.48</v>
      </c>
      <c r="R202" s="7"/>
      <c r="S202" s="7"/>
      <c r="T202" s="7"/>
      <c r="U202" s="7"/>
      <c r="V202" s="7"/>
      <c r="W202" s="7"/>
      <c r="X202" s="7"/>
      <c r="Y202" s="7"/>
      <c r="Z202" s="7"/>
    </row>
    <row r="203" spans="1:26" ht="9" customHeight="1" x14ac:dyDescent="0.2">
      <c r="A203" s="534"/>
      <c r="B203" s="534"/>
      <c r="C203" s="34" t="s">
        <v>37</v>
      </c>
      <c r="D203" s="35">
        <v>21</v>
      </c>
      <c r="E203" s="36">
        <v>10463990</v>
      </c>
      <c r="F203" s="36">
        <v>1043998</v>
      </c>
      <c r="G203" s="36">
        <v>240001</v>
      </c>
      <c r="H203" s="36">
        <v>12018738</v>
      </c>
      <c r="I203" s="36">
        <v>0</v>
      </c>
      <c r="J203" s="37">
        <v>1980552</v>
      </c>
      <c r="K203" s="36">
        <v>23766727</v>
      </c>
      <c r="L203" s="38">
        <v>25747279</v>
      </c>
      <c r="M203" s="39"/>
      <c r="N203" s="36">
        <v>23766727</v>
      </c>
      <c r="O203" s="36">
        <v>11747989</v>
      </c>
      <c r="P203" s="36">
        <v>0</v>
      </c>
      <c r="Q203" s="36">
        <v>27861918</v>
      </c>
      <c r="R203" s="7"/>
      <c r="S203" s="7"/>
      <c r="T203" s="7"/>
      <c r="U203" s="7"/>
      <c r="V203" s="7"/>
      <c r="W203" s="7"/>
      <c r="X203" s="7"/>
      <c r="Y203" s="7"/>
      <c r="Z203" s="7"/>
    </row>
    <row r="204" spans="1:26" ht="12.75" customHeight="1" x14ac:dyDescent="0.2">
      <c r="A204" s="534"/>
      <c r="B204" s="534"/>
      <c r="C204" s="40" t="s">
        <v>36</v>
      </c>
      <c r="D204" s="41">
        <v>22</v>
      </c>
      <c r="E204" s="42">
        <v>5509.56</v>
      </c>
      <c r="F204" s="42">
        <v>545.38</v>
      </c>
      <c r="G204" s="42">
        <v>123.95</v>
      </c>
      <c r="H204" s="42">
        <v>6207.16</v>
      </c>
      <c r="I204" s="42">
        <v>0</v>
      </c>
      <c r="J204" s="42">
        <v>1032.17</v>
      </c>
      <c r="K204" s="43">
        <v>12386.05</v>
      </c>
      <c r="L204" s="32">
        <v>13418.22</v>
      </c>
      <c r="M204" s="33"/>
      <c r="N204" s="30">
        <v>12386.05</v>
      </c>
      <c r="O204" s="30">
        <v>6178.89</v>
      </c>
      <c r="P204" s="30"/>
      <c r="Q204" s="30">
        <v>14530.42</v>
      </c>
      <c r="R204" s="7"/>
      <c r="S204" s="7"/>
      <c r="T204" s="7"/>
      <c r="U204" s="7"/>
      <c r="V204" s="7"/>
      <c r="W204" s="7"/>
      <c r="X204" s="7"/>
      <c r="Y204" s="7"/>
      <c r="Z204" s="7"/>
    </row>
    <row r="205" spans="1:26" ht="9" customHeight="1" x14ac:dyDescent="0.2">
      <c r="A205" s="534"/>
      <c r="B205" s="534"/>
      <c r="C205" s="34" t="s">
        <v>37</v>
      </c>
      <c r="D205" s="35">
        <v>23</v>
      </c>
      <c r="E205" s="36">
        <v>10667996</v>
      </c>
      <c r="F205" s="36">
        <v>1056003</v>
      </c>
      <c r="G205" s="36">
        <v>240001</v>
      </c>
      <c r="H205" s="36">
        <v>12018738</v>
      </c>
      <c r="I205" s="36">
        <v>0</v>
      </c>
      <c r="J205" s="37">
        <v>1998560</v>
      </c>
      <c r="K205" s="36">
        <v>23982737</v>
      </c>
      <c r="L205" s="38">
        <v>25981297</v>
      </c>
      <c r="M205" s="39"/>
      <c r="N205" s="36">
        <v>23982737</v>
      </c>
      <c r="O205" s="36">
        <v>11963999</v>
      </c>
      <c r="P205" s="36">
        <v>0</v>
      </c>
      <c r="Q205" s="36">
        <v>28134816</v>
      </c>
      <c r="R205" s="7"/>
      <c r="S205" s="7"/>
      <c r="T205" s="7"/>
      <c r="U205" s="7"/>
      <c r="V205" s="7"/>
      <c r="W205" s="7"/>
      <c r="X205" s="7"/>
      <c r="Y205" s="7"/>
      <c r="Z205" s="7"/>
    </row>
    <row r="206" spans="1:26" ht="12.75" customHeight="1" x14ac:dyDescent="0.2">
      <c r="A206" s="534"/>
      <c r="B206" s="534"/>
      <c r="C206" s="40" t="s">
        <v>36</v>
      </c>
      <c r="D206" s="41">
        <v>24</v>
      </c>
      <c r="E206" s="42">
        <v>5614.92</v>
      </c>
      <c r="F206" s="42">
        <v>557.77</v>
      </c>
      <c r="G206" s="42">
        <v>123.95</v>
      </c>
      <c r="H206" s="42">
        <v>6207.16</v>
      </c>
      <c r="I206" s="42">
        <v>0</v>
      </c>
      <c r="J206" s="42">
        <v>1041.98</v>
      </c>
      <c r="K206" s="43">
        <v>12503.8</v>
      </c>
      <c r="L206" s="32">
        <v>13545.78</v>
      </c>
      <c r="M206" s="33"/>
      <c r="N206" s="30">
        <v>12503.8</v>
      </c>
      <c r="O206" s="30">
        <v>6296.64</v>
      </c>
      <c r="P206" s="30"/>
      <c r="Q206" s="30">
        <v>14679.18</v>
      </c>
      <c r="R206" s="7"/>
      <c r="S206" s="7"/>
      <c r="T206" s="7"/>
      <c r="U206" s="7"/>
      <c r="V206" s="7"/>
      <c r="W206" s="7"/>
      <c r="X206" s="7"/>
      <c r="Y206" s="7"/>
      <c r="Z206" s="7"/>
    </row>
    <row r="207" spans="1:26" ht="9" customHeight="1" x14ac:dyDescent="0.2">
      <c r="A207" s="534"/>
      <c r="B207" s="534"/>
      <c r="C207" s="34" t="s">
        <v>37</v>
      </c>
      <c r="D207" s="35">
        <v>25</v>
      </c>
      <c r="E207" s="36">
        <v>10872001</v>
      </c>
      <c r="F207" s="36">
        <v>1079993</v>
      </c>
      <c r="G207" s="36">
        <v>240001</v>
      </c>
      <c r="H207" s="36">
        <v>12018738</v>
      </c>
      <c r="I207" s="36">
        <v>0</v>
      </c>
      <c r="J207" s="37">
        <v>2017555</v>
      </c>
      <c r="K207" s="36">
        <v>24210733</v>
      </c>
      <c r="L207" s="38">
        <v>26228287</v>
      </c>
      <c r="M207" s="39"/>
      <c r="N207" s="36">
        <v>24210733</v>
      </c>
      <c r="O207" s="36">
        <v>12191995</v>
      </c>
      <c r="P207" s="36">
        <v>0</v>
      </c>
      <c r="Q207" s="36">
        <v>28422856</v>
      </c>
      <c r="R207" s="7"/>
      <c r="S207" s="7"/>
      <c r="T207" s="7"/>
      <c r="U207" s="7"/>
      <c r="V207" s="7"/>
      <c r="W207" s="7"/>
      <c r="X207" s="7"/>
      <c r="Y207" s="7"/>
      <c r="Z207" s="7"/>
    </row>
    <row r="208" spans="1:26" ht="12.75" customHeight="1" x14ac:dyDescent="0.2">
      <c r="A208" s="534"/>
      <c r="B208" s="534"/>
      <c r="C208" s="40" t="s">
        <v>36</v>
      </c>
      <c r="D208" s="41">
        <v>26</v>
      </c>
      <c r="E208" s="42">
        <v>5726.47</v>
      </c>
      <c r="F208" s="42">
        <v>570.16999999999996</v>
      </c>
      <c r="G208" s="42">
        <v>123.95</v>
      </c>
      <c r="H208" s="42">
        <v>6207.16</v>
      </c>
      <c r="I208" s="42">
        <v>0</v>
      </c>
      <c r="J208" s="42">
        <v>1052.31</v>
      </c>
      <c r="K208" s="43">
        <v>12627.75</v>
      </c>
      <c r="L208" s="32">
        <v>13680.06</v>
      </c>
      <c r="M208" s="33"/>
      <c r="N208" s="30">
        <v>12627.75</v>
      </c>
      <c r="O208" s="30">
        <v>6420.59</v>
      </c>
      <c r="P208" s="30"/>
      <c r="Q208" s="30">
        <v>14835.77</v>
      </c>
      <c r="R208" s="7"/>
      <c r="S208" s="7"/>
      <c r="T208" s="7"/>
      <c r="U208" s="7"/>
      <c r="V208" s="7"/>
      <c r="W208" s="7"/>
      <c r="X208" s="7"/>
      <c r="Y208" s="7"/>
      <c r="Z208" s="7"/>
    </row>
    <row r="209" spans="1:26" ht="9" customHeight="1" x14ac:dyDescent="0.2">
      <c r="A209" s="534"/>
      <c r="B209" s="534"/>
      <c r="C209" s="34" t="s">
        <v>37</v>
      </c>
      <c r="D209" s="35">
        <v>27</v>
      </c>
      <c r="E209" s="36">
        <v>11087992</v>
      </c>
      <c r="F209" s="36">
        <v>1104003</v>
      </c>
      <c r="G209" s="36">
        <v>240001</v>
      </c>
      <c r="H209" s="36">
        <v>12018738</v>
      </c>
      <c r="I209" s="36">
        <v>0</v>
      </c>
      <c r="J209" s="37">
        <v>2037556</v>
      </c>
      <c r="K209" s="36">
        <v>24450733</v>
      </c>
      <c r="L209" s="38">
        <v>26488290</v>
      </c>
      <c r="M209" s="39"/>
      <c r="N209" s="36">
        <v>24450733</v>
      </c>
      <c r="O209" s="36">
        <v>12431996</v>
      </c>
      <c r="P209" s="36">
        <v>0</v>
      </c>
      <c r="Q209" s="36">
        <v>28726056</v>
      </c>
      <c r="R209" s="7"/>
      <c r="S209" s="7"/>
      <c r="T209" s="7"/>
      <c r="U209" s="7"/>
      <c r="V209" s="7"/>
      <c r="W209" s="7"/>
      <c r="X209" s="7"/>
      <c r="Y209" s="7"/>
      <c r="Z209" s="7"/>
    </row>
    <row r="210" spans="1:26" ht="12.75" customHeight="1" x14ac:dyDescent="0.2">
      <c r="A210" s="534"/>
      <c r="B210" s="534"/>
      <c r="C210" s="40" t="s">
        <v>36</v>
      </c>
      <c r="D210" s="41">
        <v>28</v>
      </c>
      <c r="E210" s="42">
        <v>5831.83</v>
      </c>
      <c r="F210" s="42">
        <v>582.55999999999995</v>
      </c>
      <c r="G210" s="42">
        <v>123.95</v>
      </c>
      <c r="H210" s="42">
        <v>6207.16</v>
      </c>
      <c r="I210" s="42">
        <v>0</v>
      </c>
      <c r="J210" s="42">
        <v>1062.1300000000001</v>
      </c>
      <c r="K210" s="43">
        <v>12745.5</v>
      </c>
      <c r="L210" s="32">
        <v>13807.63</v>
      </c>
      <c r="M210" s="33"/>
      <c r="N210" s="30">
        <v>12745.5</v>
      </c>
      <c r="O210" s="30">
        <v>6538.34</v>
      </c>
      <c r="P210" s="30"/>
      <c r="Q210" s="30">
        <v>14984.53</v>
      </c>
      <c r="R210" s="7"/>
      <c r="S210" s="7"/>
      <c r="T210" s="7"/>
      <c r="U210" s="7"/>
      <c r="V210" s="7"/>
      <c r="W210" s="7"/>
      <c r="X210" s="7"/>
      <c r="Y210" s="7"/>
      <c r="Z210" s="7"/>
    </row>
    <row r="211" spans="1:26" ht="9" customHeight="1" x14ac:dyDescent="0.2">
      <c r="A211" s="534"/>
      <c r="B211" s="534"/>
      <c r="C211" s="34" t="s">
        <v>37</v>
      </c>
      <c r="D211" s="35">
        <v>29</v>
      </c>
      <c r="E211" s="36">
        <v>11291997</v>
      </c>
      <c r="F211" s="36">
        <v>1127993</v>
      </c>
      <c r="G211" s="36">
        <v>240001</v>
      </c>
      <c r="H211" s="36">
        <v>12018738</v>
      </c>
      <c r="I211" s="36">
        <v>0</v>
      </c>
      <c r="J211" s="37">
        <v>2056570</v>
      </c>
      <c r="K211" s="36">
        <v>24678729</v>
      </c>
      <c r="L211" s="38">
        <v>26735300</v>
      </c>
      <c r="M211" s="39"/>
      <c r="N211" s="36">
        <v>24678729</v>
      </c>
      <c r="O211" s="36">
        <v>12659992</v>
      </c>
      <c r="P211" s="36">
        <v>0</v>
      </c>
      <c r="Q211" s="36">
        <v>29014096</v>
      </c>
      <c r="R211" s="7"/>
      <c r="S211" s="7"/>
      <c r="T211" s="7"/>
      <c r="U211" s="7"/>
      <c r="V211" s="7"/>
      <c r="W211" s="7"/>
      <c r="X211" s="7"/>
      <c r="Y211" s="7"/>
      <c r="Z211" s="7"/>
    </row>
    <row r="212" spans="1:26" ht="12.75" customHeight="1" x14ac:dyDescent="0.2">
      <c r="A212" s="534"/>
      <c r="B212" s="534"/>
      <c r="C212" s="40" t="s">
        <v>36</v>
      </c>
      <c r="D212" s="41">
        <v>30</v>
      </c>
      <c r="E212" s="42">
        <v>5943.39</v>
      </c>
      <c r="F212" s="42">
        <v>588.76</v>
      </c>
      <c r="G212" s="42">
        <v>123.95</v>
      </c>
      <c r="H212" s="42">
        <v>6207.16</v>
      </c>
      <c r="I212" s="42">
        <v>0</v>
      </c>
      <c r="J212" s="42">
        <v>1071.94</v>
      </c>
      <c r="K212" s="43">
        <v>12863.26</v>
      </c>
      <c r="L212" s="32">
        <v>13935.2</v>
      </c>
      <c r="M212" s="33"/>
      <c r="N212" s="30">
        <v>12863.26</v>
      </c>
      <c r="O212" s="30">
        <v>6656.1</v>
      </c>
      <c r="P212" s="30"/>
      <c r="Q212" s="30">
        <v>15133.3</v>
      </c>
      <c r="R212" s="7"/>
      <c r="S212" s="7"/>
      <c r="T212" s="7"/>
      <c r="U212" s="7"/>
      <c r="V212" s="7"/>
      <c r="W212" s="7"/>
      <c r="X212" s="7"/>
      <c r="Y212" s="7"/>
      <c r="Z212" s="7"/>
    </row>
    <row r="213" spans="1:26" ht="9" customHeight="1" x14ac:dyDescent="0.2">
      <c r="A213" s="534"/>
      <c r="B213" s="534"/>
      <c r="C213" s="34" t="s">
        <v>37</v>
      </c>
      <c r="D213" s="35">
        <v>31</v>
      </c>
      <c r="E213" s="36">
        <v>11508008</v>
      </c>
      <c r="F213" s="36">
        <v>1139998</v>
      </c>
      <c r="G213" s="36">
        <v>240001</v>
      </c>
      <c r="H213" s="36">
        <v>12018738</v>
      </c>
      <c r="I213" s="36">
        <v>0</v>
      </c>
      <c r="J213" s="37">
        <v>2075565</v>
      </c>
      <c r="K213" s="36">
        <v>24906744</v>
      </c>
      <c r="L213" s="38">
        <v>26982310</v>
      </c>
      <c r="M213" s="39"/>
      <c r="N213" s="36">
        <v>24906744</v>
      </c>
      <c r="O213" s="36">
        <v>12888007</v>
      </c>
      <c r="P213" s="36">
        <v>0</v>
      </c>
      <c r="Q213" s="36">
        <v>29302155</v>
      </c>
      <c r="R213" s="7"/>
      <c r="S213" s="7"/>
      <c r="T213" s="7"/>
      <c r="U213" s="7"/>
      <c r="V213" s="7"/>
      <c r="W213" s="7"/>
      <c r="X213" s="7"/>
      <c r="Y213" s="7"/>
      <c r="Z213" s="7"/>
    </row>
    <row r="214" spans="1:26" ht="12.75" customHeight="1" x14ac:dyDescent="0.2">
      <c r="A214" s="534"/>
      <c r="B214" s="534"/>
      <c r="C214" s="40" t="s">
        <v>36</v>
      </c>
      <c r="D214" s="41">
        <v>32</v>
      </c>
      <c r="E214" s="42">
        <v>6048.74</v>
      </c>
      <c r="F214" s="42">
        <v>601.16</v>
      </c>
      <c r="G214" s="42">
        <v>123.95</v>
      </c>
      <c r="H214" s="42">
        <v>6207.16</v>
      </c>
      <c r="I214" s="42">
        <v>0</v>
      </c>
      <c r="J214" s="42">
        <v>1081.75</v>
      </c>
      <c r="K214" s="43">
        <v>12981.01</v>
      </c>
      <c r="L214" s="32">
        <v>14062.76</v>
      </c>
      <c r="M214" s="33"/>
      <c r="N214" s="30">
        <v>12981.01</v>
      </c>
      <c r="O214" s="30">
        <v>6773.85</v>
      </c>
      <c r="P214" s="30"/>
      <c r="Q214" s="30">
        <v>15282.05</v>
      </c>
      <c r="R214" s="7"/>
      <c r="S214" s="7"/>
      <c r="T214" s="7"/>
      <c r="U214" s="7"/>
      <c r="V214" s="7"/>
      <c r="W214" s="7"/>
      <c r="X214" s="7"/>
      <c r="Y214" s="7"/>
      <c r="Z214" s="7"/>
    </row>
    <row r="215" spans="1:26" ht="9" customHeight="1" x14ac:dyDescent="0.2">
      <c r="A215" s="534"/>
      <c r="B215" s="534"/>
      <c r="C215" s="34" t="s">
        <v>37</v>
      </c>
      <c r="D215" s="35">
        <v>33</v>
      </c>
      <c r="E215" s="36">
        <v>11711994</v>
      </c>
      <c r="F215" s="36">
        <v>1164008</v>
      </c>
      <c r="G215" s="36">
        <v>240001</v>
      </c>
      <c r="H215" s="36">
        <v>12018738</v>
      </c>
      <c r="I215" s="36">
        <v>0</v>
      </c>
      <c r="J215" s="37">
        <v>2094560</v>
      </c>
      <c r="K215" s="36">
        <v>25134740</v>
      </c>
      <c r="L215" s="38">
        <v>27229300</v>
      </c>
      <c r="M215" s="39"/>
      <c r="N215" s="36">
        <v>25134740</v>
      </c>
      <c r="O215" s="36">
        <v>13116003</v>
      </c>
      <c r="P215" s="36">
        <v>0</v>
      </c>
      <c r="Q215" s="36">
        <v>29590175</v>
      </c>
      <c r="R215" s="7"/>
      <c r="S215" s="7"/>
      <c r="T215" s="7"/>
      <c r="U215" s="7"/>
      <c r="V215" s="7"/>
      <c r="W215" s="7"/>
      <c r="X215" s="7"/>
      <c r="Y215" s="7"/>
      <c r="Z215" s="7"/>
    </row>
    <row r="216" spans="1:26" ht="12.75" customHeight="1" x14ac:dyDescent="0.2">
      <c r="A216" s="534"/>
      <c r="B216" s="534"/>
      <c r="C216" s="40" t="s">
        <v>36</v>
      </c>
      <c r="D216" s="41">
        <v>34</v>
      </c>
      <c r="E216" s="42">
        <v>6160.3</v>
      </c>
      <c r="F216" s="42">
        <v>613.54999999999995</v>
      </c>
      <c r="G216" s="42">
        <v>123.95</v>
      </c>
      <c r="H216" s="42">
        <v>6207.16</v>
      </c>
      <c r="I216" s="42">
        <v>0</v>
      </c>
      <c r="J216" s="42">
        <v>1092.08</v>
      </c>
      <c r="K216" s="43">
        <v>13104.96</v>
      </c>
      <c r="L216" s="32">
        <v>14197.04</v>
      </c>
      <c r="M216" s="33"/>
      <c r="N216" s="30">
        <v>13104.96</v>
      </c>
      <c r="O216" s="30">
        <v>6897.8</v>
      </c>
      <c r="P216" s="30"/>
      <c r="Q216" s="30">
        <v>15438.64</v>
      </c>
      <c r="R216" s="7"/>
      <c r="S216" s="7"/>
      <c r="T216" s="7"/>
      <c r="U216" s="7"/>
      <c r="V216" s="7"/>
      <c r="W216" s="7"/>
      <c r="X216" s="7"/>
      <c r="Y216" s="7"/>
      <c r="Z216" s="7"/>
    </row>
    <row r="217" spans="1:26" ht="9" customHeight="1" x14ac:dyDescent="0.2">
      <c r="A217" s="534"/>
      <c r="B217" s="534"/>
      <c r="C217" s="34" t="s">
        <v>37</v>
      </c>
      <c r="D217" s="35">
        <v>35</v>
      </c>
      <c r="E217" s="36">
        <v>11928004</v>
      </c>
      <c r="F217" s="36">
        <v>1187998</v>
      </c>
      <c r="G217" s="36">
        <v>240001</v>
      </c>
      <c r="H217" s="36">
        <v>12018738</v>
      </c>
      <c r="I217" s="36">
        <v>0</v>
      </c>
      <c r="J217" s="37">
        <v>2114562</v>
      </c>
      <c r="K217" s="36">
        <v>25374741</v>
      </c>
      <c r="L217" s="38">
        <v>27489303</v>
      </c>
      <c r="M217" s="39"/>
      <c r="N217" s="36">
        <v>25374741</v>
      </c>
      <c r="O217" s="36">
        <v>13356003</v>
      </c>
      <c r="P217" s="36">
        <v>0</v>
      </c>
      <c r="Q217" s="36">
        <v>29893375</v>
      </c>
      <c r="R217" s="7"/>
      <c r="S217" s="7"/>
      <c r="T217" s="7"/>
      <c r="U217" s="7"/>
      <c r="V217" s="7"/>
      <c r="W217" s="7"/>
      <c r="X217" s="7"/>
      <c r="Y217" s="7"/>
      <c r="Z217" s="7"/>
    </row>
    <row r="218" spans="1:26" ht="12.75" customHeight="1" x14ac:dyDescent="0.2">
      <c r="A218" s="534"/>
      <c r="B218" s="534"/>
      <c r="C218" s="40" t="s">
        <v>36</v>
      </c>
      <c r="D218" s="41">
        <v>36</v>
      </c>
      <c r="E218" s="42">
        <v>6265.66</v>
      </c>
      <c r="F218" s="42">
        <v>625.95000000000005</v>
      </c>
      <c r="G218" s="42">
        <v>123.95</v>
      </c>
      <c r="H218" s="42">
        <v>6207.16</v>
      </c>
      <c r="I218" s="42">
        <v>0</v>
      </c>
      <c r="J218" s="42">
        <v>1101.8900000000001</v>
      </c>
      <c r="K218" s="43">
        <v>13222.72</v>
      </c>
      <c r="L218" s="32">
        <v>14324.61</v>
      </c>
      <c r="M218" s="33"/>
      <c r="N218" s="30">
        <v>13222.72</v>
      </c>
      <c r="O218" s="30">
        <v>7015.56</v>
      </c>
      <c r="P218" s="30"/>
      <c r="Q218" s="30">
        <v>15587.41</v>
      </c>
      <c r="R218" s="7"/>
      <c r="S218" s="7"/>
      <c r="T218" s="7"/>
      <c r="U218" s="7"/>
      <c r="V218" s="7"/>
      <c r="W218" s="7"/>
      <c r="X218" s="7"/>
      <c r="Y218" s="7"/>
      <c r="Z218" s="7"/>
    </row>
    <row r="219" spans="1:26" ht="9" customHeight="1" x14ac:dyDescent="0.2">
      <c r="A219" s="534"/>
      <c r="B219" s="534"/>
      <c r="C219" s="34" t="s">
        <v>37</v>
      </c>
      <c r="D219" s="35">
        <v>37</v>
      </c>
      <c r="E219" s="36">
        <v>12132009</v>
      </c>
      <c r="F219" s="36">
        <v>1212008</v>
      </c>
      <c r="G219" s="36">
        <v>240001</v>
      </c>
      <c r="H219" s="36">
        <v>12018738</v>
      </c>
      <c r="I219" s="36">
        <v>0</v>
      </c>
      <c r="J219" s="37">
        <v>2133557</v>
      </c>
      <c r="K219" s="36">
        <v>25602756</v>
      </c>
      <c r="L219" s="38">
        <v>27736313</v>
      </c>
      <c r="M219" s="39"/>
      <c r="N219" s="36">
        <v>25602756</v>
      </c>
      <c r="O219" s="36">
        <v>13584018</v>
      </c>
      <c r="P219" s="36">
        <v>0</v>
      </c>
      <c r="Q219" s="36">
        <v>30181434</v>
      </c>
      <c r="R219" s="7"/>
      <c r="S219" s="7"/>
      <c r="T219" s="7"/>
      <c r="U219" s="7"/>
      <c r="V219" s="7"/>
      <c r="W219" s="7"/>
      <c r="X219" s="7"/>
      <c r="Y219" s="7"/>
      <c r="Z219" s="7"/>
    </row>
    <row r="220" spans="1:26" ht="12.75" customHeight="1" x14ac:dyDescent="0.2">
      <c r="A220" s="534"/>
      <c r="B220" s="534"/>
      <c r="C220" s="40" t="s">
        <v>36</v>
      </c>
      <c r="D220" s="41">
        <v>38</v>
      </c>
      <c r="E220" s="42">
        <v>6377.21</v>
      </c>
      <c r="F220" s="42">
        <v>632.14</v>
      </c>
      <c r="G220" s="42">
        <v>123.95</v>
      </c>
      <c r="H220" s="42">
        <v>6207.16</v>
      </c>
      <c r="I220" s="42">
        <v>0</v>
      </c>
      <c r="J220" s="42">
        <v>1111.71</v>
      </c>
      <c r="K220" s="43">
        <v>13340.46</v>
      </c>
      <c r="L220" s="32">
        <v>14452.17</v>
      </c>
      <c r="M220" s="33"/>
      <c r="N220" s="30">
        <v>13340.46</v>
      </c>
      <c r="O220" s="30">
        <v>7133.3</v>
      </c>
      <c r="P220" s="30"/>
      <c r="Q220" s="30">
        <v>15736.16</v>
      </c>
      <c r="R220" s="7"/>
      <c r="S220" s="7"/>
      <c r="T220" s="7"/>
      <c r="U220" s="7"/>
      <c r="V220" s="7"/>
      <c r="W220" s="7"/>
      <c r="X220" s="7"/>
      <c r="Y220" s="7"/>
      <c r="Z220" s="7"/>
    </row>
    <row r="221" spans="1:26" ht="9" customHeight="1" x14ac:dyDescent="0.2">
      <c r="A221" s="534"/>
      <c r="B221" s="534"/>
      <c r="C221" s="34" t="s">
        <v>37</v>
      </c>
      <c r="D221" s="35">
        <v>39</v>
      </c>
      <c r="E221" s="36">
        <v>12348000</v>
      </c>
      <c r="F221" s="36">
        <v>1223994</v>
      </c>
      <c r="G221" s="36">
        <v>240001</v>
      </c>
      <c r="H221" s="36">
        <v>12018738</v>
      </c>
      <c r="I221" s="36">
        <v>0</v>
      </c>
      <c r="J221" s="37">
        <v>2152571</v>
      </c>
      <c r="K221" s="36">
        <v>25830732</v>
      </c>
      <c r="L221" s="38">
        <v>27983303</v>
      </c>
      <c r="M221" s="39"/>
      <c r="N221" s="36">
        <v>25830732</v>
      </c>
      <c r="O221" s="36">
        <v>13811995</v>
      </c>
      <c r="P221" s="36">
        <v>0</v>
      </c>
      <c r="Q221" s="36">
        <v>30469455</v>
      </c>
      <c r="R221" s="7"/>
      <c r="S221" s="7"/>
      <c r="T221" s="7"/>
      <c r="U221" s="7"/>
      <c r="V221" s="7"/>
      <c r="W221" s="7"/>
      <c r="X221" s="7"/>
      <c r="Y221" s="7"/>
      <c r="Z221" s="7"/>
    </row>
    <row r="222" spans="1:26" ht="9" customHeight="1" x14ac:dyDescent="0.2">
      <c r="A222" s="534"/>
      <c r="B222" s="534"/>
      <c r="C222" s="44"/>
      <c r="D222" s="45"/>
      <c r="E222" s="96"/>
      <c r="F222" s="96"/>
      <c r="G222" s="96"/>
      <c r="H222" s="96"/>
      <c r="I222" s="96"/>
      <c r="J222" s="54"/>
      <c r="K222" s="96"/>
      <c r="L222" s="96"/>
      <c r="M222" s="39"/>
      <c r="N222" s="96"/>
      <c r="O222" s="96"/>
      <c r="P222" s="96"/>
      <c r="Q222" s="96"/>
      <c r="R222" s="7"/>
      <c r="S222" s="7"/>
      <c r="T222" s="7"/>
      <c r="U222" s="7"/>
      <c r="V222" s="7"/>
      <c r="W222" s="7"/>
      <c r="X222" s="7"/>
      <c r="Y222" s="7"/>
      <c r="Z222" s="7"/>
    </row>
    <row r="223" spans="1:26" ht="9" customHeight="1" x14ac:dyDescent="0.2">
      <c r="A223" s="534"/>
      <c r="B223" s="534"/>
      <c r="C223" s="44"/>
      <c r="D223" s="45"/>
      <c r="E223" s="96"/>
      <c r="F223" s="96"/>
      <c r="G223" s="96"/>
      <c r="H223" s="96"/>
      <c r="I223" s="96"/>
      <c r="J223" s="54"/>
      <c r="K223" s="96"/>
      <c r="L223" s="96"/>
      <c r="M223" s="39"/>
      <c r="N223" s="96"/>
      <c r="O223" s="96"/>
      <c r="P223" s="96"/>
      <c r="Q223" s="96"/>
      <c r="R223" s="7"/>
      <c r="S223" s="7"/>
      <c r="T223" s="7"/>
      <c r="U223" s="7"/>
      <c r="V223" s="7"/>
      <c r="W223" s="7"/>
      <c r="X223" s="7"/>
      <c r="Y223" s="7"/>
      <c r="Z223" s="7"/>
    </row>
    <row r="224" spans="1:26" ht="12.75" customHeight="1" x14ac:dyDescent="0.2">
      <c r="A224" s="534"/>
      <c r="B224" s="534"/>
      <c r="C224" s="40" t="s">
        <v>36</v>
      </c>
      <c r="D224" s="41">
        <v>40</v>
      </c>
      <c r="E224" s="42">
        <v>6482.57</v>
      </c>
      <c r="F224" s="42">
        <v>644.54</v>
      </c>
      <c r="G224" s="42">
        <v>123.95</v>
      </c>
      <c r="H224" s="42">
        <v>6207.16</v>
      </c>
      <c r="I224" s="42">
        <v>0</v>
      </c>
      <c r="J224" s="42">
        <v>1121.52</v>
      </c>
      <c r="K224" s="43">
        <v>13458.22</v>
      </c>
      <c r="L224" s="32">
        <v>14579.74</v>
      </c>
      <c r="M224" s="33"/>
      <c r="N224" s="30">
        <v>13458.22</v>
      </c>
      <c r="O224" s="30">
        <v>7251.06</v>
      </c>
      <c r="P224" s="30"/>
      <c r="Q224" s="30">
        <v>15884.93</v>
      </c>
      <c r="R224" s="7"/>
      <c r="S224" s="7"/>
      <c r="T224" s="7"/>
      <c r="U224" s="7"/>
      <c r="V224" s="7"/>
      <c r="W224" s="7"/>
      <c r="X224" s="7"/>
      <c r="Y224" s="7"/>
      <c r="Z224" s="7"/>
    </row>
    <row r="225" spans="1:26" ht="9" customHeight="1" x14ac:dyDescent="0.2">
      <c r="A225" s="535"/>
      <c r="B225" s="535"/>
      <c r="C225" s="47"/>
      <c r="D225" s="48"/>
      <c r="E225" s="46">
        <v>12552006</v>
      </c>
      <c r="F225" s="46">
        <v>1248003</v>
      </c>
      <c r="G225" s="46">
        <v>240001</v>
      </c>
      <c r="H225" s="46">
        <v>12018738</v>
      </c>
      <c r="I225" s="46">
        <v>0</v>
      </c>
      <c r="J225" s="49">
        <v>2171566</v>
      </c>
      <c r="K225" s="46">
        <v>26058748</v>
      </c>
      <c r="L225" s="38">
        <v>28230313</v>
      </c>
      <c r="M225" s="39"/>
      <c r="N225" s="36">
        <v>26058748</v>
      </c>
      <c r="O225" s="36">
        <v>14040010</v>
      </c>
      <c r="P225" s="36">
        <v>0</v>
      </c>
      <c r="Q225" s="36">
        <v>30757513</v>
      </c>
      <c r="R225" s="7"/>
      <c r="S225" s="7"/>
      <c r="T225" s="7"/>
      <c r="U225" s="7"/>
      <c r="V225" s="7"/>
      <c r="W225" s="7"/>
      <c r="X225" s="7"/>
      <c r="Y225" s="7"/>
      <c r="Z225" s="7"/>
    </row>
    <row r="226" spans="1:26" ht="12.75" customHeight="1" x14ac:dyDescent="0.2">
      <c r="A226" s="538">
        <v>34425</v>
      </c>
      <c r="B226" s="538">
        <v>34515</v>
      </c>
      <c r="C226" s="28" t="s">
        <v>36</v>
      </c>
      <c r="D226" s="29">
        <v>0</v>
      </c>
      <c r="E226" s="30">
        <v>3390.02</v>
      </c>
      <c r="F226" s="30">
        <v>334.66</v>
      </c>
      <c r="G226" s="30">
        <v>123.95</v>
      </c>
      <c r="H226" s="30">
        <v>6207.16</v>
      </c>
      <c r="I226" s="30">
        <v>100.77</v>
      </c>
      <c r="J226" s="30">
        <v>837.98</v>
      </c>
      <c r="K226" s="31">
        <v>10156.56</v>
      </c>
      <c r="L226" s="32">
        <v>10994.54</v>
      </c>
      <c r="M226" s="33"/>
      <c r="N226" s="30">
        <v>10156.56</v>
      </c>
      <c r="O226" s="30">
        <v>3949.4</v>
      </c>
      <c r="P226" s="30"/>
      <c r="Q226" s="30">
        <v>11705.43</v>
      </c>
      <c r="R226" s="7"/>
      <c r="S226" s="7"/>
      <c r="T226" s="7"/>
      <c r="U226" s="7"/>
      <c r="V226" s="7"/>
      <c r="W226" s="7"/>
      <c r="X226" s="7"/>
      <c r="Y226" s="7"/>
      <c r="Z226" s="7"/>
    </row>
    <row r="227" spans="1:26" ht="9" customHeight="1" x14ac:dyDescent="0.2">
      <c r="A227" s="534"/>
      <c r="B227" s="534"/>
      <c r="C227" s="34" t="s">
        <v>37</v>
      </c>
      <c r="D227" s="35">
        <v>1</v>
      </c>
      <c r="E227" s="36">
        <v>6563994</v>
      </c>
      <c r="F227" s="36">
        <v>647992</v>
      </c>
      <c r="G227" s="36">
        <v>240001</v>
      </c>
      <c r="H227" s="36">
        <v>12018738</v>
      </c>
      <c r="I227" s="36">
        <v>195118</v>
      </c>
      <c r="J227" s="37">
        <v>1622556</v>
      </c>
      <c r="K227" s="36">
        <v>19665842</v>
      </c>
      <c r="L227" s="38">
        <v>21288398</v>
      </c>
      <c r="M227" s="39"/>
      <c r="N227" s="36">
        <v>19665842</v>
      </c>
      <c r="O227" s="36">
        <v>7647105</v>
      </c>
      <c r="P227" s="36">
        <v>0</v>
      </c>
      <c r="Q227" s="36">
        <v>22664873</v>
      </c>
      <c r="R227" s="7"/>
      <c r="S227" s="7"/>
      <c r="T227" s="7"/>
      <c r="U227" s="7"/>
      <c r="V227" s="7"/>
      <c r="W227" s="7"/>
      <c r="X227" s="7"/>
      <c r="Y227" s="7"/>
      <c r="Z227" s="7"/>
    </row>
    <row r="228" spans="1:26" ht="12.75" customHeight="1" x14ac:dyDescent="0.2">
      <c r="A228" s="540">
        <v>34425</v>
      </c>
      <c r="B228" s="540">
        <v>34515</v>
      </c>
      <c r="C228" s="40" t="s">
        <v>36</v>
      </c>
      <c r="D228" s="41">
        <v>2</v>
      </c>
      <c r="E228" s="42">
        <v>3557.36</v>
      </c>
      <c r="F228" s="42">
        <v>353.26</v>
      </c>
      <c r="G228" s="42">
        <v>123.95</v>
      </c>
      <c r="H228" s="42">
        <v>6207.16</v>
      </c>
      <c r="I228" s="42">
        <v>100.77</v>
      </c>
      <c r="J228" s="42">
        <v>853.48</v>
      </c>
      <c r="K228" s="43">
        <v>10342.5</v>
      </c>
      <c r="L228" s="32">
        <v>11195.98</v>
      </c>
      <c r="M228" s="33"/>
      <c r="N228" s="30">
        <v>10342.5</v>
      </c>
      <c r="O228" s="30">
        <v>4135.34</v>
      </c>
      <c r="P228" s="30"/>
      <c r="Q228" s="30">
        <v>11940.34</v>
      </c>
      <c r="R228" s="7"/>
      <c r="S228" s="7"/>
      <c r="T228" s="7"/>
      <c r="U228" s="7"/>
      <c r="V228" s="7"/>
      <c r="W228" s="7"/>
      <c r="X228" s="7"/>
      <c r="Y228" s="7"/>
      <c r="Z228" s="7"/>
    </row>
    <row r="229" spans="1:26" ht="9" customHeight="1" x14ac:dyDescent="0.2">
      <c r="A229" s="534"/>
      <c r="B229" s="534"/>
      <c r="C229" s="34" t="s">
        <v>37</v>
      </c>
      <c r="D229" s="35">
        <v>3</v>
      </c>
      <c r="E229" s="36">
        <v>6888009</v>
      </c>
      <c r="F229" s="36">
        <v>684007</v>
      </c>
      <c r="G229" s="36">
        <v>240001</v>
      </c>
      <c r="H229" s="36">
        <v>12018738</v>
      </c>
      <c r="I229" s="36">
        <v>195118</v>
      </c>
      <c r="J229" s="37">
        <v>1652568</v>
      </c>
      <c r="K229" s="36">
        <v>20025872</v>
      </c>
      <c r="L229" s="38">
        <v>21678440</v>
      </c>
      <c r="M229" s="39"/>
      <c r="N229" s="36">
        <v>20025872</v>
      </c>
      <c r="O229" s="36">
        <v>8007135</v>
      </c>
      <c r="P229" s="36">
        <v>0</v>
      </c>
      <c r="Q229" s="36">
        <v>23119722</v>
      </c>
      <c r="R229" s="7"/>
      <c r="S229" s="7"/>
      <c r="T229" s="7"/>
      <c r="U229" s="7"/>
      <c r="V229" s="7"/>
      <c r="W229" s="7"/>
      <c r="X229" s="7"/>
      <c r="Y229" s="7"/>
      <c r="Z229" s="7"/>
    </row>
    <row r="230" spans="1:26" ht="12.75" customHeight="1" x14ac:dyDescent="0.2">
      <c r="A230" s="534"/>
      <c r="B230" s="534"/>
      <c r="C230" s="40" t="s">
        <v>36</v>
      </c>
      <c r="D230" s="41">
        <v>4</v>
      </c>
      <c r="E230" s="42">
        <v>3730.88</v>
      </c>
      <c r="F230" s="42">
        <v>371.85</v>
      </c>
      <c r="G230" s="42">
        <v>123.95</v>
      </c>
      <c r="H230" s="42">
        <v>6207.16</v>
      </c>
      <c r="I230" s="42">
        <v>100.77</v>
      </c>
      <c r="J230" s="42">
        <v>869.49</v>
      </c>
      <c r="K230" s="43">
        <v>10534.61</v>
      </c>
      <c r="L230" s="32">
        <v>11404.1</v>
      </c>
      <c r="M230" s="33"/>
      <c r="N230" s="30">
        <v>10534.61</v>
      </c>
      <c r="O230" s="30">
        <v>4327.45</v>
      </c>
      <c r="P230" s="30"/>
      <c r="Q230" s="30">
        <v>12183.04</v>
      </c>
      <c r="R230" s="7"/>
      <c r="S230" s="7"/>
      <c r="T230" s="7"/>
      <c r="U230" s="7"/>
      <c r="V230" s="7"/>
      <c r="W230" s="7"/>
      <c r="X230" s="7"/>
      <c r="Y230" s="7"/>
      <c r="Z230" s="7"/>
    </row>
    <row r="231" spans="1:26" ht="9" customHeight="1" x14ac:dyDescent="0.2">
      <c r="A231" s="534"/>
      <c r="B231" s="534"/>
      <c r="C231" s="34" t="s">
        <v>37</v>
      </c>
      <c r="D231" s="35">
        <v>5</v>
      </c>
      <c r="E231" s="36">
        <v>7223991</v>
      </c>
      <c r="F231" s="36">
        <v>720002</v>
      </c>
      <c r="G231" s="36">
        <v>240001</v>
      </c>
      <c r="H231" s="36">
        <v>12018738</v>
      </c>
      <c r="I231" s="36">
        <v>195118</v>
      </c>
      <c r="J231" s="37">
        <v>1683567</v>
      </c>
      <c r="K231" s="36">
        <v>20397849</v>
      </c>
      <c r="L231" s="38">
        <v>22081417</v>
      </c>
      <c r="M231" s="39"/>
      <c r="N231" s="36">
        <v>20397849</v>
      </c>
      <c r="O231" s="36">
        <v>8379112</v>
      </c>
      <c r="P231" s="36">
        <v>0</v>
      </c>
      <c r="Q231" s="36">
        <v>23589655</v>
      </c>
      <c r="R231" s="7"/>
      <c r="S231" s="7"/>
      <c r="T231" s="7"/>
      <c r="U231" s="7"/>
      <c r="V231" s="7"/>
      <c r="W231" s="7"/>
      <c r="X231" s="7"/>
      <c r="Y231" s="7"/>
      <c r="Z231" s="7"/>
    </row>
    <row r="232" spans="1:26" ht="12.75" customHeight="1" x14ac:dyDescent="0.2">
      <c r="A232" s="534"/>
      <c r="B232" s="534"/>
      <c r="C232" s="40" t="s">
        <v>36</v>
      </c>
      <c r="D232" s="41">
        <v>6</v>
      </c>
      <c r="E232" s="42">
        <v>4003.57</v>
      </c>
      <c r="F232" s="42">
        <v>396.64</v>
      </c>
      <c r="G232" s="42">
        <v>123.95</v>
      </c>
      <c r="H232" s="42">
        <v>6207.16</v>
      </c>
      <c r="I232" s="42">
        <v>100.77</v>
      </c>
      <c r="J232" s="42">
        <v>894.28</v>
      </c>
      <c r="K232" s="43">
        <v>10832.09</v>
      </c>
      <c r="L232" s="32">
        <v>11726.37</v>
      </c>
      <c r="M232" s="33"/>
      <c r="N232" s="30">
        <v>10832.09</v>
      </c>
      <c r="O232" s="30">
        <v>4624.93</v>
      </c>
      <c r="P232" s="30"/>
      <c r="Q232" s="30">
        <v>12558.86</v>
      </c>
      <c r="R232" s="7"/>
      <c r="S232" s="7"/>
      <c r="T232" s="7"/>
      <c r="U232" s="7"/>
      <c r="V232" s="7"/>
      <c r="W232" s="7"/>
      <c r="X232" s="7"/>
      <c r="Y232" s="7"/>
      <c r="Z232" s="7"/>
    </row>
    <row r="233" spans="1:26" ht="9" customHeight="1" x14ac:dyDescent="0.2">
      <c r="A233" s="534"/>
      <c r="B233" s="534"/>
      <c r="C233" s="34" t="s">
        <v>37</v>
      </c>
      <c r="D233" s="35">
        <v>7</v>
      </c>
      <c r="E233" s="36">
        <v>7751992</v>
      </c>
      <c r="F233" s="36">
        <v>768002</v>
      </c>
      <c r="G233" s="36">
        <v>240001</v>
      </c>
      <c r="H233" s="36">
        <v>12018738</v>
      </c>
      <c r="I233" s="36">
        <v>195118</v>
      </c>
      <c r="J233" s="37">
        <v>1731568</v>
      </c>
      <c r="K233" s="36">
        <v>20973851</v>
      </c>
      <c r="L233" s="38">
        <v>22705418</v>
      </c>
      <c r="M233" s="39"/>
      <c r="N233" s="36">
        <v>20973851</v>
      </c>
      <c r="O233" s="36">
        <v>8955113</v>
      </c>
      <c r="P233" s="36">
        <v>0</v>
      </c>
      <c r="Q233" s="36">
        <v>24317344</v>
      </c>
      <c r="R233" s="7"/>
      <c r="S233" s="7"/>
      <c r="T233" s="7"/>
      <c r="U233" s="7"/>
      <c r="V233" s="7"/>
      <c r="W233" s="7"/>
      <c r="X233" s="7"/>
      <c r="Y233" s="7"/>
      <c r="Z233" s="7"/>
    </row>
    <row r="234" spans="1:26" ht="12.75" customHeight="1" x14ac:dyDescent="0.2">
      <c r="A234" s="534"/>
      <c r="B234" s="534"/>
      <c r="C234" s="40" t="s">
        <v>36</v>
      </c>
      <c r="D234" s="41">
        <v>8</v>
      </c>
      <c r="E234" s="42">
        <v>4201.8900000000003</v>
      </c>
      <c r="F234" s="42">
        <v>415.23</v>
      </c>
      <c r="G234" s="42">
        <v>123.95</v>
      </c>
      <c r="H234" s="42">
        <v>6207.16</v>
      </c>
      <c r="I234" s="42">
        <v>100.77</v>
      </c>
      <c r="J234" s="42">
        <v>912.35</v>
      </c>
      <c r="K234" s="43">
        <v>11049</v>
      </c>
      <c r="L234" s="32">
        <v>11961.35</v>
      </c>
      <c r="M234" s="33"/>
      <c r="N234" s="30">
        <v>11049</v>
      </c>
      <c r="O234" s="30">
        <v>4841.84</v>
      </c>
      <c r="P234" s="30"/>
      <c r="Q234" s="30">
        <v>12832.88</v>
      </c>
      <c r="R234" s="7"/>
      <c r="S234" s="7"/>
      <c r="T234" s="7"/>
      <c r="U234" s="7"/>
      <c r="V234" s="7"/>
      <c r="W234" s="7"/>
      <c r="X234" s="7"/>
      <c r="Y234" s="7"/>
      <c r="Z234" s="7"/>
    </row>
    <row r="235" spans="1:26" ht="9" customHeight="1" x14ac:dyDescent="0.2">
      <c r="A235" s="534"/>
      <c r="B235" s="534"/>
      <c r="C235" s="34" t="s">
        <v>37</v>
      </c>
      <c r="D235" s="35">
        <v>9</v>
      </c>
      <c r="E235" s="36">
        <v>8135994</v>
      </c>
      <c r="F235" s="36">
        <v>803997</v>
      </c>
      <c r="G235" s="36">
        <v>240001</v>
      </c>
      <c r="H235" s="36">
        <v>12018738</v>
      </c>
      <c r="I235" s="36">
        <v>195118</v>
      </c>
      <c r="J235" s="37">
        <v>1766556</v>
      </c>
      <c r="K235" s="36">
        <v>21393847</v>
      </c>
      <c r="L235" s="38">
        <v>23160403</v>
      </c>
      <c r="M235" s="39"/>
      <c r="N235" s="36">
        <v>21393847</v>
      </c>
      <c r="O235" s="36">
        <v>9375110</v>
      </c>
      <c r="P235" s="36">
        <v>0</v>
      </c>
      <c r="Q235" s="36">
        <v>24847921</v>
      </c>
      <c r="R235" s="7"/>
      <c r="S235" s="7"/>
      <c r="T235" s="7"/>
      <c r="U235" s="7"/>
      <c r="V235" s="7"/>
      <c r="W235" s="7"/>
      <c r="X235" s="7"/>
      <c r="Y235" s="7"/>
      <c r="Z235" s="7"/>
    </row>
    <row r="236" spans="1:26" ht="12.75" customHeight="1" x14ac:dyDescent="0.2">
      <c r="A236" s="534"/>
      <c r="B236" s="534"/>
      <c r="C236" s="40" t="s">
        <v>36</v>
      </c>
      <c r="D236" s="41">
        <v>10</v>
      </c>
      <c r="E236" s="42">
        <v>4400.21</v>
      </c>
      <c r="F236" s="42">
        <v>440.02</v>
      </c>
      <c r="G236" s="42">
        <v>123.95</v>
      </c>
      <c r="H236" s="42">
        <v>6207.16</v>
      </c>
      <c r="I236" s="42">
        <v>100.77</v>
      </c>
      <c r="J236" s="42">
        <v>930.95</v>
      </c>
      <c r="K236" s="43">
        <v>11272.11</v>
      </c>
      <c r="L236" s="32">
        <v>12203.06</v>
      </c>
      <c r="M236" s="33"/>
      <c r="N236" s="30">
        <v>11272.11</v>
      </c>
      <c r="O236" s="30">
        <v>5064.95</v>
      </c>
      <c r="P236" s="30"/>
      <c r="Q236" s="30">
        <v>13114.75</v>
      </c>
      <c r="R236" s="7"/>
      <c r="S236" s="7"/>
      <c r="T236" s="7"/>
      <c r="U236" s="7"/>
      <c r="V236" s="7"/>
      <c r="W236" s="7"/>
      <c r="X236" s="7"/>
      <c r="Y236" s="7"/>
      <c r="Z236" s="7"/>
    </row>
    <row r="237" spans="1:26" ht="9" customHeight="1" x14ac:dyDescent="0.2">
      <c r="A237" s="534"/>
      <c r="B237" s="534"/>
      <c r="C237" s="34" t="s">
        <v>37</v>
      </c>
      <c r="D237" s="35">
        <v>11</v>
      </c>
      <c r="E237" s="36">
        <v>8519995</v>
      </c>
      <c r="F237" s="36">
        <v>851998</v>
      </c>
      <c r="G237" s="36">
        <v>240001</v>
      </c>
      <c r="H237" s="36">
        <v>12018738</v>
      </c>
      <c r="I237" s="36">
        <v>195118</v>
      </c>
      <c r="J237" s="37">
        <v>1802571</v>
      </c>
      <c r="K237" s="36">
        <v>21825848</v>
      </c>
      <c r="L237" s="38">
        <v>23628419</v>
      </c>
      <c r="M237" s="39"/>
      <c r="N237" s="36">
        <v>21825848</v>
      </c>
      <c r="O237" s="36">
        <v>9807111</v>
      </c>
      <c r="P237" s="36">
        <v>0</v>
      </c>
      <c r="Q237" s="36">
        <v>25393697</v>
      </c>
      <c r="R237" s="7"/>
      <c r="S237" s="7"/>
      <c r="T237" s="7"/>
      <c r="U237" s="7"/>
      <c r="V237" s="7"/>
      <c r="W237" s="7"/>
      <c r="X237" s="7"/>
      <c r="Y237" s="7"/>
      <c r="Z237" s="7"/>
    </row>
    <row r="238" spans="1:26" ht="12.75" customHeight="1" x14ac:dyDescent="0.2">
      <c r="A238" s="534"/>
      <c r="B238" s="534"/>
      <c r="C238" s="40" t="s">
        <v>36</v>
      </c>
      <c r="D238" s="41">
        <v>12</v>
      </c>
      <c r="E238" s="42">
        <v>4598.53</v>
      </c>
      <c r="F238" s="42">
        <v>458.61</v>
      </c>
      <c r="G238" s="42">
        <v>123.95</v>
      </c>
      <c r="H238" s="42">
        <v>6207.16</v>
      </c>
      <c r="I238" s="42">
        <v>100.77</v>
      </c>
      <c r="J238" s="42">
        <v>949.02</v>
      </c>
      <c r="K238" s="43">
        <v>11489.02</v>
      </c>
      <c r="L238" s="32">
        <v>12438.04</v>
      </c>
      <c r="M238" s="33"/>
      <c r="N238" s="30">
        <v>11489.02</v>
      </c>
      <c r="O238" s="30">
        <v>5281.86</v>
      </c>
      <c r="P238" s="30"/>
      <c r="Q238" s="30">
        <v>13388.77</v>
      </c>
      <c r="R238" s="7"/>
      <c r="S238" s="7"/>
      <c r="T238" s="7"/>
      <c r="U238" s="7"/>
      <c r="V238" s="7"/>
      <c r="W238" s="7"/>
      <c r="X238" s="7"/>
      <c r="Y238" s="7"/>
      <c r="Z238" s="7"/>
    </row>
    <row r="239" spans="1:26" ht="9" customHeight="1" x14ac:dyDescent="0.2">
      <c r="A239" s="534"/>
      <c r="B239" s="534"/>
      <c r="C239" s="34" t="s">
        <v>37</v>
      </c>
      <c r="D239" s="35">
        <v>13</v>
      </c>
      <c r="E239" s="36">
        <v>8903996</v>
      </c>
      <c r="F239" s="36">
        <v>887993</v>
      </c>
      <c r="G239" s="36">
        <v>240001</v>
      </c>
      <c r="H239" s="36">
        <v>12018738</v>
      </c>
      <c r="I239" s="36">
        <v>195118</v>
      </c>
      <c r="J239" s="37">
        <v>1837559</v>
      </c>
      <c r="K239" s="36">
        <v>22245845</v>
      </c>
      <c r="L239" s="38">
        <v>24083404</v>
      </c>
      <c r="M239" s="39"/>
      <c r="N239" s="36">
        <v>22245845</v>
      </c>
      <c r="O239" s="36">
        <v>10227107</v>
      </c>
      <c r="P239" s="36">
        <v>0</v>
      </c>
      <c r="Q239" s="36">
        <v>25924274</v>
      </c>
      <c r="R239" s="7"/>
      <c r="S239" s="7"/>
      <c r="T239" s="7"/>
      <c r="U239" s="7"/>
      <c r="V239" s="7"/>
      <c r="W239" s="7"/>
      <c r="X239" s="7"/>
      <c r="Y239" s="7"/>
      <c r="Z239" s="7"/>
    </row>
    <row r="240" spans="1:26" ht="12.75" customHeight="1" x14ac:dyDescent="0.2">
      <c r="A240" s="534"/>
      <c r="B240" s="534"/>
      <c r="C240" s="40" t="s">
        <v>36</v>
      </c>
      <c r="D240" s="41">
        <v>14</v>
      </c>
      <c r="E240" s="42">
        <v>4803.05</v>
      </c>
      <c r="F240" s="42">
        <v>477.21</v>
      </c>
      <c r="G240" s="42">
        <v>123.95</v>
      </c>
      <c r="H240" s="42">
        <v>6207.16</v>
      </c>
      <c r="I240" s="42">
        <v>100.77</v>
      </c>
      <c r="J240" s="42">
        <v>967.61</v>
      </c>
      <c r="K240" s="43">
        <v>11712.14</v>
      </c>
      <c r="L240" s="32">
        <v>12679.75</v>
      </c>
      <c r="M240" s="33"/>
      <c r="N240" s="30">
        <v>11712.14</v>
      </c>
      <c r="O240" s="30">
        <v>5504.98</v>
      </c>
      <c r="P240" s="30"/>
      <c r="Q240" s="30">
        <v>13670.65</v>
      </c>
      <c r="R240" s="7"/>
      <c r="S240" s="7"/>
      <c r="T240" s="7"/>
      <c r="U240" s="7"/>
      <c r="V240" s="7"/>
      <c r="W240" s="7"/>
      <c r="X240" s="7"/>
      <c r="Y240" s="7"/>
      <c r="Z240" s="7"/>
    </row>
    <row r="241" spans="1:26" ht="9" customHeight="1" x14ac:dyDescent="0.2">
      <c r="A241" s="534"/>
      <c r="B241" s="534"/>
      <c r="C241" s="34" t="s">
        <v>37</v>
      </c>
      <c r="D241" s="35">
        <v>15</v>
      </c>
      <c r="E241" s="36">
        <v>9300002</v>
      </c>
      <c r="F241" s="36">
        <v>924007</v>
      </c>
      <c r="G241" s="36">
        <v>240001</v>
      </c>
      <c r="H241" s="36">
        <v>12018738</v>
      </c>
      <c r="I241" s="36">
        <v>195118</v>
      </c>
      <c r="J241" s="37">
        <v>1873554</v>
      </c>
      <c r="K241" s="36">
        <v>22677865</v>
      </c>
      <c r="L241" s="38">
        <v>24551420</v>
      </c>
      <c r="M241" s="39"/>
      <c r="N241" s="36">
        <v>22677865</v>
      </c>
      <c r="O241" s="36">
        <v>10659128</v>
      </c>
      <c r="P241" s="36">
        <v>0</v>
      </c>
      <c r="Q241" s="36">
        <v>26470069</v>
      </c>
      <c r="R241" s="7"/>
      <c r="S241" s="7"/>
      <c r="T241" s="7"/>
      <c r="U241" s="7"/>
      <c r="V241" s="7"/>
      <c r="W241" s="7"/>
      <c r="X241" s="7"/>
      <c r="Y241" s="7"/>
      <c r="Z241" s="7"/>
    </row>
    <row r="242" spans="1:26" ht="12.75" customHeight="1" x14ac:dyDescent="0.2">
      <c r="A242" s="534"/>
      <c r="B242" s="534"/>
      <c r="C242" s="40" t="s">
        <v>36</v>
      </c>
      <c r="D242" s="41">
        <v>16</v>
      </c>
      <c r="E242" s="42">
        <v>5001.37</v>
      </c>
      <c r="F242" s="42">
        <v>495.8</v>
      </c>
      <c r="G242" s="42">
        <v>123.95</v>
      </c>
      <c r="H242" s="42">
        <v>6207.16</v>
      </c>
      <c r="I242" s="42">
        <v>100.77</v>
      </c>
      <c r="J242" s="42">
        <v>985.69</v>
      </c>
      <c r="K242" s="43">
        <v>11929.05</v>
      </c>
      <c r="L242" s="32">
        <v>12914.74</v>
      </c>
      <c r="M242" s="33"/>
      <c r="N242" s="30">
        <v>11929.05</v>
      </c>
      <c r="O242" s="30">
        <v>5721.89</v>
      </c>
      <c r="P242" s="30"/>
      <c r="Q242" s="30">
        <v>13944.68</v>
      </c>
      <c r="R242" s="7"/>
      <c r="S242" s="7"/>
      <c r="T242" s="7"/>
      <c r="U242" s="7"/>
      <c r="V242" s="7"/>
      <c r="W242" s="7"/>
      <c r="X242" s="7"/>
      <c r="Y242" s="7"/>
      <c r="Z242" s="7"/>
    </row>
    <row r="243" spans="1:26" ht="9" customHeight="1" x14ac:dyDescent="0.2">
      <c r="A243" s="534"/>
      <c r="B243" s="534"/>
      <c r="C243" s="34" t="s">
        <v>37</v>
      </c>
      <c r="D243" s="35">
        <v>17</v>
      </c>
      <c r="E243" s="36">
        <v>9684003</v>
      </c>
      <c r="F243" s="36">
        <v>960003</v>
      </c>
      <c r="G243" s="36">
        <v>240001</v>
      </c>
      <c r="H243" s="36">
        <v>12018738</v>
      </c>
      <c r="I243" s="36">
        <v>195118</v>
      </c>
      <c r="J243" s="37">
        <v>1908562</v>
      </c>
      <c r="K243" s="36">
        <v>23097862</v>
      </c>
      <c r="L243" s="38">
        <v>25006424</v>
      </c>
      <c r="M243" s="39"/>
      <c r="N243" s="36">
        <v>23097862</v>
      </c>
      <c r="O243" s="36">
        <v>11079124</v>
      </c>
      <c r="P243" s="36">
        <v>0</v>
      </c>
      <c r="Q243" s="36">
        <v>27000666</v>
      </c>
      <c r="R243" s="7"/>
      <c r="S243" s="7"/>
      <c r="T243" s="7"/>
      <c r="U243" s="7"/>
      <c r="V243" s="7"/>
      <c r="W243" s="7"/>
      <c r="X243" s="7"/>
      <c r="Y243" s="7"/>
      <c r="Z243" s="7"/>
    </row>
    <row r="244" spans="1:26" ht="12.75" customHeight="1" x14ac:dyDescent="0.2">
      <c r="A244" s="534"/>
      <c r="B244" s="534"/>
      <c r="C244" s="40" t="s">
        <v>36</v>
      </c>
      <c r="D244" s="41">
        <v>18</v>
      </c>
      <c r="E244" s="42">
        <v>5199.6899999999996</v>
      </c>
      <c r="F244" s="42">
        <v>514.39</v>
      </c>
      <c r="G244" s="42">
        <v>123.95</v>
      </c>
      <c r="H244" s="42">
        <v>6207.16</v>
      </c>
      <c r="I244" s="42">
        <v>100.77</v>
      </c>
      <c r="J244" s="42">
        <v>1003.77</v>
      </c>
      <c r="K244" s="43">
        <v>12145.96</v>
      </c>
      <c r="L244" s="32">
        <v>13149.73</v>
      </c>
      <c r="M244" s="33"/>
      <c r="N244" s="30">
        <v>12145.96</v>
      </c>
      <c r="O244" s="30">
        <v>5938.8</v>
      </c>
      <c r="P244" s="30"/>
      <c r="Q244" s="30">
        <v>14218.71</v>
      </c>
      <c r="R244" s="7"/>
      <c r="S244" s="7"/>
      <c r="T244" s="7"/>
      <c r="U244" s="7"/>
      <c r="V244" s="7"/>
      <c r="W244" s="7"/>
      <c r="X244" s="7"/>
      <c r="Y244" s="7"/>
      <c r="Z244" s="7"/>
    </row>
    <row r="245" spans="1:26" ht="9" customHeight="1" x14ac:dyDescent="0.2">
      <c r="A245" s="534"/>
      <c r="B245" s="534"/>
      <c r="C245" s="34" t="s">
        <v>37</v>
      </c>
      <c r="D245" s="35">
        <v>19</v>
      </c>
      <c r="E245" s="36">
        <v>10068004</v>
      </c>
      <c r="F245" s="36">
        <v>995998</v>
      </c>
      <c r="G245" s="36">
        <v>240001</v>
      </c>
      <c r="H245" s="36">
        <v>12018738</v>
      </c>
      <c r="I245" s="36">
        <v>195118</v>
      </c>
      <c r="J245" s="37">
        <v>1943570</v>
      </c>
      <c r="K245" s="36">
        <v>23517858</v>
      </c>
      <c r="L245" s="38">
        <v>25461428</v>
      </c>
      <c r="M245" s="39"/>
      <c r="N245" s="36">
        <v>23517858</v>
      </c>
      <c r="O245" s="36">
        <v>11499120</v>
      </c>
      <c r="P245" s="36">
        <v>0</v>
      </c>
      <c r="Q245" s="36">
        <v>27531262</v>
      </c>
      <c r="R245" s="7"/>
      <c r="S245" s="7"/>
      <c r="T245" s="7"/>
      <c r="U245" s="7"/>
      <c r="V245" s="7"/>
      <c r="W245" s="7"/>
      <c r="X245" s="7"/>
      <c r="Y245" s="7"/>
      <c r="Z245" s="7"/>
    </row>
    <row r="246" spans="1:26" ht="12.75" customHeight="1" x14ac:dyDescent="0.2">
      <c r="A246" s="534"/>
      <c r="B246" s="534"/>
      <c r="C246" s="40" t="s">
        <v>36</v>
      </c>
      <c r="D246" s="41">
        <v>20</v>
      </c>
      <c r="E246" s="42">
        <v>5404.2</v>
      </c>
      <c r="F246" s="42">
        <v>539.17999999999995</v>
      </c>
      <c r="G246" s="42">
        <v>123.95</v>
      </c>
      <c r="H246" s="42">
        <v>6207.16</v>
      </c>
      <c r="I246" s="42">
        <v>100.77</v>
      </c>
      <c r="J246" s="42">
        <v>1022.87</v>
      </c>
      <c r="K246" s="43">
        <v>12375.26</v>
      </c>
      <c r="L246" s="32">
        <v>13398.13</v>
      </c>
      <c r="M246" s="33"/>
      <c r="N246" s="30">
        <v>12375.26</v>
      </c>
      <c r="O246" s="30">
        <v>6168.1</v>
      </c>
      <c r="P246" s="30"/>
      <c r="Q246" s="30">
        <v>14508.39</v>
      </c>
      <c r="R246" s="7"/>
      <c r="S246" s="7"/>
      <c r="T246" s="7"/>
      <c r="U246" s="7"/>
      <c r="V246" s="7"/>
      <c r="W246" s="7"/>
      <c r="X246" s="7"/>
      <c r="Y246" s="7"/>
      <c r="Z246" s="7"/>
    </row>
    <row r="247" spans="1:26" ht="9" customHeight="1" x14ac:dyDescent="0.2">
      <c r="A247" s="534"/>
      <c r="B247" s="534"/>
      <c r="C247" s="34" t="s">
        <v>37</v>
      </c>
      <c r="D247" s="35">
        <v>21</v>
      </c>
      <c r="E247" s="36">
        <v>10463990</v>
      </c>
      <c r="F247" s="36">
        <v>1043998</v>
      </c>
      <c r="G247" s="36">
        <v>240001</v>
      </c>
      <c r="H247" s="36">
        <v>12018738</v>
      </c>
      <c r="I247" s="36">
        <v>195118</v>
      </c>
      <c r="J247" s="37">
        <v>1980552</v>
      </c>
      <c r="K247" s="36">
        <v>23961845</v>
      </c>
      <c r="L247" s="38">
        <v>25942397</v>
      </c>
      <c r="M247" s="39"/>
      <c r="N247" s="36">
        <v>23961845</v>
      </c>
      <c r="O247" s="36">
        <v>11943107</v>
      </c>
      <c r="P247" s="36">
        <v>0</v>
      </c>
      <c r="Q247" s="36">
        <v>28092160</v>
      </c>
      <c r="R247" s="7"/>
      <c r="S247" s="7"/>
      <c r="T247" s="7"/>
      <c r="U247" s="7"/>
      <c r="V247" s="7"/>
      <c r="W247" s="7"/>
      <c r="X247" s="7"/>
      <c r="Y247" s="7"/>
      <c r="Z247" s="7"/>
    </row>
    <row r="248" spans="1:26" ht="12.75" customHeight="1" x14ac:dyDescent="0.2">
      <c r="A248" s="534"/>
      <c r="B248" s="534"/>
      <c r="C248" s="40" t="s">
        <v>36</v>
      </c>
      <c r="D248" s="41">
        <v>22</v>
      </c>
      <c r="E248" s="42">
        <v>5509.56</v>
      </c>
      <c r="F248" s="42">
        <v>545.38</v>
      </c>
      <c r="G248" s="42">
        <v>123.95</v>
      </c>
      <c r="H248" s="42">
        <v>6207.16</v>
      </c>
      <c r="I248" s="42">
        <v>100.77</v>
      </c>
      <c r="J248" s="42">
        <v>1032.17</v>
      </c>
      <c r="K248" s="43">
        <v>12486.82</v>
      </c>
      <c r="L248" s="32">
        <v>13518.99</v>
      </c>
      <c r="M248" s="33"/>
      <c r="N248" s="30">
        <v>12486.82</v>
      </c>
      <c r="O248" s="30">
        <v>6279.66</v>
      </c>
      <c r="P248" s="30"/>
      <c r="Q248" s="30">
        <v>14649.33</v>
      </c>
      <c r="R248" s="7"/>
      <c r="S248" s="7"/>
      <c r="T248" s="7"/>
      <c r="U248" s="7"/>
      <c r="V248" s="7"/>
      <c r="W248" s="7"/>
      <c r="X248" s="7"/>
      <c r="Y248" s="7"/>
      <c r="Z248" s="7"/>
    </row>
    <row r="249" spans="1:26" ht="9" customHeight="1" x14ac:dyDescent="0.2">
      <c r="A249" s="534"/>
      <c r="B249" s="534"/>
      <c r="C249" s="34" t="s">
        <v>37</v>
      </c>
      <c r="D249" s="35">
        <v>23</v>
      </c>
      <c r="E249" s="36">
        <v>10667996</v>
      </c>
      <c r="F249" s="36">
        <v>1056003</v>
      </c>
      <c r="G249" s="36">
        <v>240001</v>
      </c>
      <c r="H249" s="36">
        <v>12018738</v>
      </c>
      <c r="I249" s="36">
        <v>195118</v>
      </c>
      <c r="J249" s="37">
        <v>1998560</v>
      </c>
      <c r="K249" s="36">
        <v>24177855</v>
      </c>
      <c r="L249" s="38">
        <v>26176415</v>
      </c>
      <c r="M249" s="39"/>
      <c r="N249" s="36">
        <v>24177855</v>
      </c>
      <c r="O249" s="36">
        <v>12159117</v>
      </c>
      <c r="P249" s="36">
        <v>0</v>
      </c>
      <c r="Q249" s="36">
        <v>28365058</v>
      </c>
      <c r="R249" s="7"/>
      <c r="S249" s="7"/>
      <c r="T249" s="7"/>
      <c r="U249" s="7"/>
      <c r="V249" s="7"/>
      <c r="W249" s="7"/>
      <c r="X249" s="7"/>
      <c r="Y249" s="7"/>
      <c r="Z249" s="7"/>
    </row>
    <row r="250" spans="1:26" ht="12.75" customHeight="1" x14ac:dyDescent="0.2">
      <c r="A250" s="534"/>
      <c r="B250" s="534"/>
      <c r="C250" s="40" t="s">
        <v>36</v>
      </c>
      <c r="D250" s="41">
        <v>24</v>
      </c>
      <c r="E250" s="42">
        <v>5614.92</v>
      </c>
      <c r="F250" s="42">
        <v>557.77</v>
      </c>
      <c r="G250" s="42">
        <v>123.95</v>
      </c>
      <c r="H250" s="42">
        <v>6207.16</v>
      </c>
      <c r="I250" s="42">
        <v>100.77</v>
      </c>
      <c r="J250" s="42">
        <v>1041.98</v>
      </c>
      <c r="K250" s="43">
        <v>12604.57</v>
      </c>
      <c r="L250" s="32">
        <v>13646.55</v>
      </c>
      <c r="M250" s="33"/>
      <c r="N250" s="30">
        <v>12604.57</v>
      </c>
      <c r="O250" s="30">
        <v>6397.41</v>
      </c>
      <c r="P250" s="30"/>
      <c r="Q250" s="30">
        <v>14798.08</v>
      </c>
      <c r="R250" s="7"/>
      <c r="S250" s="7"/>
      <c r="T250" s="7"/>
      <c r="U250" s="7"/>
      <c r="V250" s="7"/>
      <c r="W250" s="7"/>
      <c r="X250" s="7"/>
      <c r="Y250" s="7"/>
      <c r="Z250" s="7"/>
    </row>
    <row r="251" spans="1:26" ht="9" customHeight="1" x14ac:dyDescent="0.2">
      <c r="A251" s="534"/>
      <c r="B251" s="534"/>
      <c r="C251" s="34" t="s">
        <v>37</v>
      </c>
      <c r="D251" s="35">
        <v>25</v>
      </c>
      <c r="E251" s="36">
        <v>10872001</v>
      </c>
      <c r="F251" s="36">
        <v>1079993</v>
      </c>
      <c r="G251" s="36">
        <v>240001</v>
      </c>
      <c r="H251" s="36">
        <v>12018738</v>
      </c>
      <c r="I251" s="36">
        <v>195118</v>
      </c>
      <c r="J251" s="37">
        <v>2017555</v>
      </c>
      <c r="K251" s="36">
        <v>24405851</v>
      </c>
      <c r="L251" s="38">
        <v>26423405</v>
      </c>
      <c r="M251" s="39"/>
      <c r="N251" s="36">
        <v>24405851</v>
      </c>
      <c r="O251" s="36">
        <v>12387113</v>
      </c>
      <c r="P251" s="36">
        <v>0</v>
      </c>
      <c r="Q251" s="36">
        <v>28653078</v>
      </c>
      <c r="R251" s="7"/>
      <c r="S251" s="7"/>
      <c r="T251" s="7"/>
      <c r="U251" s="7"/>
      <c r="V251" s="7"/>
      <c r="W251" s="7"/>
      <c r="X251" s="7"/>
      <c r="Y251" s="7"/>
      <c r="Z251" s="7"/>
    </row>
    <row r="252" spans="1:26" ht="12.75" customHeight="1" x14ac:dyDescent="0.2">
      <c r="A252" s="534"/>
      <c r="B252" s="534"/>
      <c r="C252" s="40" t="s">
        <v>36</v>
      </c>
      <c r="D252" s="41">
        <v>26</v>
      </c>
      <c r="E252" s="42">
        <v>5726.47</v>
      </c>
      <c r="F252" s="42">
        <v>570.16999999999996</v>
      </c>
      <c r="G252" s="42">
        <v>123.95</v>
      </c>
      <c r="H252" s="42">
        <v>6207.16</v>
      </c>
      <c r="I252" s="42">
        <v>100.77</v>
      </c>
      <c r="J252" s="42">
        <v>1052.31</v>
      </c>
      <c r="K252" s="43">
        <v>12728.52</v>
      </c>
      <c r="L252" s="32">
        <v>13780.83</v>
      </c>
      <c r="M252" s="33"/>
      <c r="N252" s="30">
        <v>12728.52</v>
      </c>
      <c r="O252" s="30">
        <v>6521.36</v>
      </c>
      <c r="P252" s="30"/>
      <c r="Q252" s="30">
        <v>14954.67</v>
      </c>
      <c r="R252" s="7"/>
      <c r="S252" s="7"/>
      <c r="T252" s="7"/>
      <c r="U252" s="7"/>
      <c r="V252" s="7"/>
      <c r="W252" s="7"/>
      <c r="X252" s="7"/>
      <c r="Y252" s="7"/>
      <c r="Z252" s="7"/>
    </row>
    <row r="253" spans="1:26" ht="9" customHeight="1" x14ac:dyDescent="0.2">
      <c r="A253" s="534"/>
      <c r="B253" s="534"/>
      <c r="C253" s="34" t="s">
        <v>37</v>
      </c>
      <c r="D253" s="35">
        <v>27</v>
      </c>
      <c r="E253" s="36">
        <v>11087992</v>
      </c>
      <c r="F253" s="36">
        <v>1104003</v>
      </c>
      <c r="G253" s="36">
        <v>240001</v>
      </c>
      <c r="H253" s="36">
        <v>12018738</v>
      </c>
      <c r="I253" s="36">
        <v>195118</v>
      </c>
      <c r="J253" s="37">
        <v>2037556</v>
      </c>
      <c r="K253" s="36">
        <v>24645851</v>
      </c>
      <c r="L253" s="38">
        <v>26683408</v>
      </c>
      <c r="M253" s="39"/>
      <c r="N253" s="36">
        <v>24645851</v>
      </c>
      <c r="O253" s="36">
        <v>12627114</v>
      </c>
      <c r="P253" s="36">
        <v>0</v>
      </c>
      <c r="Q253" s="36">
        <v>28956279</v>
      </c>
      <c r="R253" s="7"/>
      <c r="S253" s="7"/>
      <c r="T253" s="7"/>
      <c r="U253" s="7"/>
      <c r="V253" s="7"/>
      <c r="W253" s="7"/>
      <c r="X253" s="7"/>
      <c r="Y253" s="7"/>
      <c r="Z253" s="7"/>
    </row>
    <row r="254" spans="1:26" ht="12.75" customHeight="1" x14ac:dyDescent="0.2">
      <c r="A254" s="534"/>
      <c r="B254" s="534"/>
      <c r="C254" s="40" t="s">
        <v>36</v>
      </c>
      <c r="D254" s="41">
        <v>28</v>
      </c>
      <c r="E254" s="42">
        <v>5831.83</v>
      </c>
      <c r="F254" s="42">
        <v>582.55999999999995</v>
      </c>
      <c r="G254" s="42">
        <v>123.95</v>
      </c>
      <c r="H254" s="42">
        <v>6207.16</v>
      </c>
      <c r="I254" s="42">
        <v>100.77</v>
      </c>
      <c r="J254" s="42">
        <v>1062.1300000000001</v>
      </c>
      <c r="K254" s="43">
        <v>12846.27</v>
      </c>
      <c r="L254" s="32">
        <v>13908.4</v>
      </c>
      <c r="M254" s="33"/>
      <c r="N254" s="30">
        <v>12846.27</v>
      </c>
      <c r="O254" s="30">
        <v>6639.11</v>
      </c>
      <c r="P254" s="30"/>
      <c r="Q254" s="30">
        <v>15103.44</v>
      </c>
      <c r="R254" s="7"/>
      <c r="S254" s="7"/>
      <c r="T254" s="7"/>
      <c r="U254" s="7"/>
      <c r="V254" s="7"/>
      <c r="W254" s="7"/>
      <c r="X254" s="7"/>
      <c r="Y254" s="7"/>
      <c r="Z254" s="7"/>
    </row>
    <row r="255" spans="1:26" ht="9" customHeight="1" x14ac:dyDescent="0.2">
      <c r="A255" s="534"/>
      <c r="B255" s="534"/>
      <c r="C255" s="34" t="s">
        <v>37</v>
      </c>
      <c r="D255" s="35">
        <v>29</v>
      </c>
      <c r="E255" s="36">
        <v>11291997</v>
      </c>
      <c r="F255" s="36">
        <v>1127993</v>
      </c>
      <c r="G255" s="36">
        <v>240001</v>
      </c>
      <c r="H255" s="36">
        <v>12018738</v>
      </c>
      <c r="I255" s="36">
        <v>195118</v>
      </c>
      <c r="J255" s="37">
        <v>2056570</v>
      </c>
      <c r="K255" s="36">
        <v>24873847</v>
      </c>
      <c r="L255" s="38">
        <v>26930418</v>
      </c>
      <c r="M255" s="39"/>
      <c r="N255" s="36">
        <v>24873847</v>
      </c>
      <c r="O255" s="36">
        <v>12855110</v>
      </c>
      <c r="P255" s="36">
        <v>0</v>
      </c>
      <c r="Q255" s="36">
        <v>29244338</v>
      </c>
      <c r="R255" s="7"/>
      <c r="S255" s="7"/>
      <c r="T255" s="7"/>
      <c r="U255" s="7"/>
      <c r="V255" s="7"/>
      <c r="W255" s="7"/>
      <c r="X255" s="7"/>
      <c r="Y255" s="7"/>
      <c r="Z255" s="7"/>
    </row>
    <row r="256" spans="1:26" ht="12.75" customHeight="1" x14ac:dyDescent="0.2">
      <c r="A256" s="534"/>
      <c r="B256" s="534"/>
      <c r="C256" s="40" t="s">
        <v>36</v>
      </c>
      <c r="D256" s="41">
        <v>30</v>
      </c>
      <c r="E256" s="42">
        <v>5943.39</v>
      </c>
      <c r="F256" s="42">
        <v>588.76</v>
      </c>
      <c r="G256" s="42">
        <v>123.95</v>
      </c>
      <c r="H256" s="42">
        <v>6207.16</v>
      </c>
      <c r="I256" s="42">
        <v>100.77</v>
      </c>
      <c r="J256" s="42">
        <v>1071.94</v>
      </c>
      <c r="K256" s="43">
        <v>12964.03</v>
      </c>
      <c r="L256" s="32">
        <v>14035.97</v>
      </c>
      <c r="M256" s="33"/>
      <c r="N256" s="30">
        <v>12964.03</v>
      </c>
      <c r="O256" s="30">
        <v>6756.87</v>
      </c>
      <c r="P256" s="30"/>
      <c r="Q256" s="30">
        <v>15252.21</v>
      </c>
      <c r="R256" s="7"/>
      <c r="S256" s="7"/>
      <c r="T256" s="7"/>
      <c r="U256" s="7"/>
      <c r="V256" s="7"/>
      <c r="W256" s="7"/>
      <c r="X256" s="7"/>
      <c r="Y256" s="7"/>
      <c r="Z256" s="7"/>
    </row>
    <row r="257" spans="1:26" ht="9" customHeight="1" x14ac:dyDescent="0.2">
      <c r="A257" s="534"/>
      <c r="B257" s="534"/>
      <c r="C257" s="34" t="s">
        <v>37</v>
      </c>
      <c r="D257" s="35">
        <v>31</v>
      </c>
      <c r="E257" s="36">
        <v>11508008</v>
      </c>
      <c r="F257" s="36">
        <v>1139998</v>
      </c>
      <c r="G257" s="36">
        <v>240001</v>
      </c>
      <c r="H257" s="36">
        <v>12018738</v>
      </c>
      <c r="I257" s="36">
        <v>195118</v>
      </c>
      <c r="J257" s="37">
        <v>2075565</v>
      </c>
      <c r="K257" s="36">
        <v>25101862</v>
      </c>
      <c r="L257" s="38">
        <v>27177428</v>
      </c>
      <c r="M257" s="39"/>
      <c r="N257" s="36">
        <v>25101862</v>
      </c>
      <c r="O257" s="36">
        <v>13083125</v>
      </c>
      <c r="P257" s="36">
        <v>0</v>
      </c>
      <c r="Q257" s="36">
        <v>29532397</v>
      </c>
      <c r="R257" s="7"/>
      <c r="S257" s="7"/>
      <c r="T257" s="7"/>
      <c r="U257" s="7"/>
      <c r="V257" s="7"/>
      <c r="W257" s="7"/>
      <c r="X257" s="7"/>
      <c r="Y257" s="7"/>
      <c r="Z257" s="7"/>
    </row>
    <row r="258" spans="1:26" ht="12.75" customHeight="1" x14ac:dyDescent="0.2">
      <c r="A258" s="534"/>
      <c r="B258" s="534"/>
      <c r="C258" s="40" t="s">
        <v>36</v>
      </c>
      <c r="D258" s="41">
        <v>32</v>
      </c>
      <c r="E258" s="42">
        <v>6048.74</v>
      </c>
      <c r="F258" s="42">
        <v>601.16</v>
      </c>
      <c r="G258" s="42">
        <v>123.95</v>
      </c>
      <c r="H258" s="42">
        <v>6207.16</v>
      </c>
      <c r="I258" s="42">
        <v>100.77</v>
      </c>
      <c r="J258" s="42">
        <v>1081.75</v>
      </c>
      <c r="K258" s="43">
        <v>13081.78</v>
      </c>
      <c r="L258" s="32">
        <v>14163.53</v>
      </c>
      <c r="M258" s="33"/>
      <c r="N258" s="30">
        <v>13081.78</v>
      </c>
      <c r="O258" s="30">
        <v>6874.62</v>
      </c>
      <c r="P258" s="30"/>
      <c r="Q258" s="30">
        <v>15400.96</v>
      </c>
      <c r="R258" s="7"/>
      <c r="S258" s="7"/>
      <c r="T258" s="7"/>
      <c r="U258" s="7"/>
      <c r="V258" s="7"/>
      <c r="W258" s="7"/>
      <c r="X258" s="7"/>
      <c r="Y258" s="7"/>
      <c r="Z258" s="7"/>
    </row>
    <row r="259" spans="1:26" ht="9" customHeight="1" x14ac:dyDescent="0.2">
      <c r="A259" s="534"/>
      <c r="B259" s="534"/>
      <c r="C259" s="34" t="s">
        <v>37</v>
      </c>
      <c r="D259" s="35">
        <v>33</v>
      </c>
      <c r="E259" s="36">
        <v>11711994</v>
      </c>
      <c r="F259" s="36">
        <v>1164008</v>
      </c>
      <c r="G259" s="36">
        <v>240001</v>
      </c>
      <c r="H259" s="36">
        <v>12018738</v>
      </c>
      <c r="I259" s="36">
        <v>195118</v>
      </c>
      <c r="J259" s="37">
        <v>2094560</v>
      </c>
      <c r="K259" s="36">
        <v>25329858</v>
      </c>
      <c r="L259" s="38">
        <v>27424418</v>
      </c>
      <c r="M259" s="39"/>
      <c r="N259" s="36">
        <v>25329858</v>
      </c>
      <c r="O259" s="36">
        <v>13311120</v>
      </c>
      <c r="P259" s="36">
        <v>0</v>
      </c>
      <c r="Q259" s="36">
        <v>29820417</v>
      </c>
      <c r="R259" s="7"/>
      <c r="S259" s="7"/>
      <c r="T259" s="7"/>
      <c r="U259" s="7"/>
      <c r="V259" s="7"/>
      <c r="W259" s="7"/>
      <c r="X259" s="7"/>
      <c r="Y259" s="7"/>
      <c r="Z259" s="7"/>
    </row>
    <row r="260" spans="1:26" ht="12.75" customHeight="1" x14ac:dyDescent="0.2">
      <c r="A260" s="534"/>
      <c r="B260" s="534"/>
      <c r="C260" s="40" t="s">
        <v>36</v>
      </c>
      <c r="D260" s="41">
        <v>34</v>
      </c>
      <c r="E260" s="42">
        <v>6160.3</v>
      </c>
      <c r="F260" s="42">
        <v>613.54999999999995</v>
      </c>
      <c r="G260" s="42">
        <v>123.95</v>
      </c>
      <c r="H260" s="42">
        <v>6207.16</v>
      </c>
      <c r="I260" s="42">
        <v>100.77</v>
      </c>
      <c r="J260" s="42">
        <v>1092.08</v>
      </c>
      <c r="K260" s="43">
        <v>13205.73</v>
      </c>
      <c r="L260" s="32">
        <v>14297.81</v>
      </c>
      <c r="M260" s="33"/>
      <c r="N260" s="30">
        <v>13205.73</v>
      </c>
      <c r="O260" s="30">
        <v>6998.57</v>
      </c>
      <c r="P260" s="30"/>
      <c r="Q260" s="30">
        <v>15557.55</v>
      </c>
      <c r="R260" s="7"/>
      <c r="S260" s="7"/>
      <c r="T260" s="7"/>
      <c r="U260" s="7"/>
      <c r="V260" s="7"/>
      <c r="W260" s="7"/>
      <c r="X260" s="7"/>
      <c r="Y260" s="7"/>
      <c r="Z260" s="7"/>
    </row>
    <row r="261" spans="1:26" ht="9" customHeight="1" x14ac:dyDescent="0.2">
      <c r="A261" s="534"/>
      <c r="B261" s="534"/>
      <c r="C261" s="34" t="s">
        <v>37</v>
      </c>
      <c r="D261" s="35">
        <v>35</v>
      </c>
      <c r="E261" s="36">
        <v>11928004</v>
      </c>
      <c r="F261" s="36">
        <v>1187998</v>
      </c>
      <c r="G261" s="36">
        <v>240001</v>
      </c>
      <c r="H261" s="36">
        <v>12018738</v>
      </c>
      <c r="I261" s="36">
        <v>195118</v>
      </c>
      <c r="J261" s="37">
        <v>2114562</v>
      </c>
      <c r="K261" s="36">
        <v>25569859</v>
      </c>
      <c r="L261" s="38">
        <v>27684421</v>
      </c>
      <c r="M261" s="39"/>
      <c r="N261" s="36">
        <v>25569859</v>
      </c>
      <c r="O261" s="36">
        <v>13551121</v>
      </c>
      <c r="P261" s="36">
        <v>0</v>
      </c>
      <c r="Q261" s="36">
        <v>30123617</v>
      </c>
      <c r="R261" s="7"/>
      <c r="S261" s="7"/>
      <c r="T261" s="7"/>
      <c r="U261" s="7"/>
      <c r="V261" s="7"/>
      <c r="W261" s="7"/>
      <c r="X261" s="7"/>
      <c r="Y261" s="7"/>
      <c r="Z261" s="7"/>
    </row>
    <row r="262" spans="1:26" ht="12.75" customHeight="1" x14ac:dyDescent="0.2">
      <c r="A262" s="534"/>
      <c r="B262" s="534"/>
      <c r="C262" s="40" t="s">
        <v>36</v>
      </c>
      <c r="D262" s="41">
        <v>36</v>
      </c>
      <c r="E262" s="42">
        <v>6265.66</v>
      </c>
      <c r="F262" s="42">
        <v>625.95000000000005</v>
      </c>
      <c r="G262" s="42">
        <v>123.95</v>
      </c>
      <c r="H262" s="42">
        <v>6207.16</v>
      </c>
      <c r="I262" s="42">
        <v>100.77</v>
      </c>
      <c r="J262" s="42">
        <v>1101.8900000000001</v>
      </c>
      <c r="K262" s="43">
        <v>13323.49</v>
      </c>
      <c r="L262" s="32">
        <v>14425.38</v>
      </c>
      <c r="M262" s="33"/>
      <c r="N262" s="30">
        <v>13323.49</v>
      </c>
      <c r="O262" s="30">
        <v>7116.33</v>
      </c>
      <c r="P262" s="30"/>
      <c r="Q262" s="30">
        <v>15706.32</v>
      </c>
      <c r="R262" s="7"/>
      <c r="S262" s="7"/>
      <c r="T262" s="7"/>
      <c r="U262" s="7"/>
      <c r="V262" s="7"/>
      <c r="W262" s="7"/>
      <c r="X262" s="7"/>
      <c r="Y262" s="7"/>
      <c r="Z262" s="7"/>
    </row>
    <row r="263" spans="1:26" ht="9" customHeight="1" x14ac:dyDescent="0.2">
      <c r="A263" s="534"/>
      <c r="B263" s="534"/>
      <c r="C263" s="34" t="s">
        <v>37</v>
      </c>
      <c r="D263" s="35">
        <v>37</v>
      </c>
      <c r="E263" s="36">
        <v>12132009</v>
      </c>
      <c r="F263" s="36">
        <v>1212008</v>
      </c>
      <c r="G263" s="36">
        <v>240001</v>
      </c>
      <c r="H263" s="36">
        <v>12018738</v>
      </c>
      <c r="I263" s="36">
        <v>195118</v>
      </c>
      <c r="J263" s="37">
        <v>2133557</v>
      </c>
      <c r="K263" s="36">
        <v>25797874</v>
      </c>
      <c r="L263" s="38">
        <v>27931431</v>
      </c>
      <c r="M263" s="39"/>
      <c r="N263" s="36">
        <v>25797874</v>
      </c>
      <c r="O263" s="36">
        <v>13779136</v>
      </c>
      <c r="P263" s="36">
        <v>0</v>
      </c>
      <c r="Q263" s="36">
        <v>30411676</v>
      </c>
      <c r="R263" s="7"/>
      <c r="S263" s="7"/>
      <c r="T263" s="7"/>
      <c r="U263" s="7"/>
      <c r="V263" s="7"/>
      <c r="W263" s="7"/>
      <c r="X263" s="7"/>
      <c r="Y263" s="7"/>
      <c r="Z263" s="7"/>
    </row>
    <row r="264" spans="1:26" ht="12.75" customHeight="1" x14ac:dyDescent="0.2">
      <c r="A264" s="534"/>
      <c r="B264" s="534"/>
      <c r="C264" s="40" t="s">
        <v>36</v>
      </c>
      <c r="D264" s="41">
        <v>38</v>
      </c>
      <c r="E264" s="42">
        <v>6377.21</v>
      </c>
      <c r="F264" s="42">
        <v>632.14</v>
      </c>
      <c r="G264" s="42">
        <v>123.95</v>
      </c>
      <c r="H264" s="42">
        <v>6207.16</v>
      </c>
      <c r="I264" s="42">
        <v>100.77</v>
      </c>
      <c r="J264" s="42">
        <v>1111.71</v>
      </c>
      <c r="K264" s="43">
        <v>13441.23</v>
      </c>
      <c r="L264" s="32">
        <v>14552.94</v>
      </c>
      <c r="M264" s="33"/>
      <c r="N264" s="30">
        <v>13441.23</v>
      </c>
      <c r="O264" s="30">
        <v>7234.07</v>
      </c>
      <c r="P264" s="30"/>
      <c r="Q264" s="30">
        <v>15855.07</v>
      </c>
      <c r="R264" s="7"/>
      <c r="S264" s="7"/>
      <c r="T264" s="7"/>
      <c r="U264" s="7"/>
      <c r="V264" s="7"/>
      <c r="W264" s="7"/>
      <c r="X264" s="7"/>
      <c r="Y264" s="7"/>
      <c r="Z264" s="7"/>
    </row>
    <row r="265" spans="1:26" ht="9" customHeight="1" x14ac:dyDescent="0.2">
      <c r="A265" s="534"/>
      <c r="B265" s="534"/>
      <c r="C265" s="34" t="s">
        <v>37</v>
      </c>
      <c r="D265" s="35">
        <v>39</v>
      </c>
      <c r="E265" s="36">
        <v>12348000</v>
      </c>
      <c r="F265" s="36">
        <v>1223994</v>
      </c>
      <c r="G265" s="36">
        <v>240001</v>
      </c>
      <c r="H265" s="36">
        <v>12018738</v>
      </c>
      <c r="I265" s="36">
        <v>195118</v>
      </c>
      <c r="J265" s="37">
        <v>2152571</v>
      </c>
      <c r="K265" s="36">
        <v>26025850</v>
      </c>
      <c r="L265" s="38">
        <v>28178421</v>
      </c>
      <c r="M265" s="39"/>
      <c r="N265" s="36">
        <v>26025850</v>
      </c>
      <c r="O265" s="36">
        <v>14007113</v>
      </c>
      <c r="P265" s="36">
        <v>0</v>
      </c>
      <c r="Q265" s="36">
        <v>30699696</v>
      </c>
      <c r="R265" s="7"/>
      <c r="S265" s="7"/>
      <c r="T265" s="7"/>
      <c r="U265" s="7"/>
      <c r="V265" s="7"/>
      <c r="W265" s="7"/>
      <c r="X265" s="7"/>
      <c r="Y265" s="7"/>
      <c r="Z265" s="7"/>
    </row>
    <row r="266" spans="1:26" ht="9" customHeight="1" x14ac:dyDescent="0.2">
      <c r="A266" s="534"/>
      <c r="B266" s="534"/>
      <c r="C266" s="44"/>
      <c r="D266" s="45"/>
      <c r="E266" s="96"/>
      <c r="F266" s="96"/>
      <c r="G266" s="96"/>
      <c r="H266" s="96"/>
      <c r="I266" s="96"/>
      <c r="J266" s="54"/>
      <c r="K266" s="96"/>
      <c r="L266" s="96"/>
      <c r="M266" s="39"/>
      <c r="N266" s="96"/>
      <c r="O266" s="96"/>
      <c r="P266" s="96"/>
      <c r="Q266" s="96"/>
      <c r="R266" s="7"/>
      <c r="S266" s="7"/>
      <c r="T266" s="7"/>
      <c r="U266" s="7"/>
      <c r="V266" s="7"/>
      <c r="W266" s="7"/>
      <c r="X266" s="7"/>
      <c r="Y266" s="7"/>
      <c r="Z266" s="7"/>
    </row>
    <row r="267" spans="1:26" ht="9" customHeight="1" x14ac:dyDescent="0.2">
      <c r="A267" s="534"/>
      <c r="B267" s="534"/>
      <c r="C267" s="44"/>
      <c r="D267" s="45"/>
      <c r="E267" s="96"/>
      <c r="F267" s="96"/>
      <c r="G267" s="96"/>
      <c r="H267" s="96"/>
      <c r="I267" s="96"/>
      <c r="J267" s="54"/>
      <c r="K267" s="96"/>
      <c r="L267" s="96"/>
      <c r="M267" s="39"/>
      <c r="N267" s="96"/>
      <c r="O267" s="96"/>
      <c r="P267" s="96"/>
      <c r="Q267" s="96"/>
      <c r="R267" s="7"/>
      <c r="S267" s="7"/>
      <c r="T267" s="7"/>
      <c r="U267" s="7"/>
      <c r="V267" s="7"/>
      <c r="W267" s="7"/>
      <c r="X267" s="7"/>
      <c r="Y267" s="7"/>
      <c r="Z267" s="7"/>
    </row>
    <row r="268" spans="1:26" ht="12.75" customHeight="1" x14ac:dyDescent="0.2">
      <c r="A268" s="534"/>
      <c r="B268" s="534"/>
      <c r="C268" s="40" t="s">
        <v>36</v>
      </c>
      <c r="D268" s="41">
        <v>40</v>
      </c>
      <c r="E268" s="42">
        <v>6482.57</v>
      </c>
      <c r="F268" s="42">
        <v>644.54</v>
      </c>
      <c r="G268" s="42">
        <v>123.95</v>
      </c>
      <c r="H268" s="42">
        <v>6207.16</v>
      </c>
      <c r="I268" s="42">
        <v>100.77</v>
      </c>
      <c r="J268" s="42">
        <v>1121.52</v>
      </c>
      <c r="K268" s="43">
        <v>13558.99</v>
      </c>
      <c r="L268" s="32">
        <v>14680.51</v>
      </c>
      <c r="M268" s="33"/>
      <c r="N268" s="30">
        <v>13558.99</v>
      </c>
      <c r="O268" s="30">
        <v>7351.83</v>
      </c>
      <c r="P268" s="30"/>
      <c r="Q268" s="30">
        <v>16003.84</v>
      </c>
      <c r="R268" s="7"/>
      <c r="S268" s="7"/>
      <c r="T268" s="7"/>
      <c r="U268" s="7"/>
      <c r="V268" s="7"/>
      <c r="W268" s="7"/>
      <c r="X268" s="7"/>
      <c r="Y268" s="7"/>
      <c r="Z268" s="7"/>
    </row>
    <row r="269" spans="1:26" ht="9" customHeight="1" x14ac:dyDescent="0.2">
      <c r="A269" s="535"/>
      <c r="B269" s="535"/>
      <c r="C269" s="47"/>
      <c r="D269" s="48"/>
      <c r="E269" s="46">
        <v>12552006</v>
      </c>
      <c r="F269" s="46">
        <v>1248003</v>
      </c>
      <c r="G269" s="46">
        <v>240001</v>
      </c>
      <c r="H269" s="46">
        <v>12018738</v>
      </c>
      <c r="I269" s="46">
        <v>195118</v>
      </c>
      <c r="J269" s="49">
        <v>2171566</v>
      </c>
      <c r="K269" s="46">
        <v>26253866</v>
      </c>
      <c r="L269" s="38">
        <v>28425431</v>
      </c>
      <c r="M269" s="39"/>
      <c r="N269" s="36">
        <v>26253866</v>
      </c>
      <c r="O269" s="36">
        <v>14235128</v>
      </c>
      <c r="P269" s="36">
        <v>0</v>
      </c>
      <c r="Q269" s="36">
        <v>30987755</v>
      </c>
      <c r="R269" s="7"/>
      <c r="S269" s="7"/>
      <c r="T269" s="7"/>
      <c r="U269" s="7"/>
      <c r="V269" s="7"/>
      <c r="W269" s="7"/>
      <c r="X269" s="7"/>
      <c r="Y269" s="7"/>
      <c r="Z269" s="7"/>
    </row>
    <row r="270" spans="1:26" ht="12.75" customHeight="1" x14ac:dyDescent="0.2">
      <c r="A270" s="538">
        <v>34516</v>
      </c>
      <c r="B270" s="538">
        <v>34699</v>
      </c>
      <c r="C270" s="28" t="s">
        <v>36</v>
      </c>
      <c r="D270" s="29">
        <v>0</v>
      </c>
      <c r="E270" s="30">
        <v>3390.02</v>
      </c>
      <c r="F270" s="30">
        <v>334.66</v>
      </c>
      <c r="G270" s="30">
        <v>123.95</v>
      </c>
      <c r="H270" s="30">
        <v>6207.16</v>
      </c>
      <c r="I270" s="30">
        <v>167.95</v>
      </c>
      <c r="J270" s="30">
        <v>837.98</v>
      </c>
      <c r="K270" s="31">
        <v>10223.74</v>
      </c>
      <c r="L270" s="32">
        <v>11061.72</v>
      </c>
      <c r="M270" s="33"/>
      <c r="N270" s="30">
        <v>10223.74</v>
      </c>
      <c r="O270" s="30">
        <v>4016.58</v>
      </c>
      <c r="P270" s="30"/>
      <c r="Q270" s="30">
        <v>11784.7</v>
      </c>
      <c r="R270" s="7"/>
      <c r="S270" s="7"/>
      <c r="T270" s="7"/>
      <c r="U270" s="7"/>
      <c r="V270" s="7"/>
      <c r="W270" s="7"/>
      <c r="X270" s="7"/>
      <c r="Y270" s="7"/>
      <c r="Z270" s="7"/>
    </row>
    <row r="271" spans="1:26" ht="9" customHeight="1" x14ac:dyDescent="0.2">
      <c r="A271" s="534"/>
      <c r="B271" s="534"/>
      <c r="C271" s="34" t="s">
        <v>37</v>
      </c>
      <c r="D271" s="35">
        <v>1</v>
      </c>
      <c r="E271" s="36">
        <v>6563994</v>
      </c>
      <c r="F271" s="36">
        <v>647992</v>
      </c>
      <c r="G271" s="36">
        <v>240001</v>
      </c>
      <c r="H271" s="36">
        <v>12018738</v>
      </c>
      <c r="I271" s="36">
        <v>325197</v>
      </c>
      <c r="J271" s="37">
        <v>1622556</v>
      </c>
      <c r="K271" s="36">
        <v>19795921</v>
      </c>
      <c r="L271" s="38">
        <v>21418477</v>
      </c>
      <c r="M271" s="39"/>
      <c r="N271" s="36">
        <v>19795921</v>
      </c>
      <c r="O271" s="36">
        <v>7777183</v>
      </c>
      <c r="P271" s="36">
        <v>0</v>
      </c>
      <c r="Q271" s="36">
        <v>22818361</v>
      </c>
      <c r="R271" s="7"/>
      <c r="S271" s="7"/>
      <c r="T271" s="7"/>
      <c r="U271" s="7"/>
      <c r="V271" s="7"/>
      <c r="W271" s="7"/>
      <c r="X271" s="7"/>
      <c r="Y271" s="7"/>
      <c r="Z271" s="7"/>
    </row>
    <row r="272" spans="1:26" ht="12.75" customHeight="1" x14ac:dyDescent="0.2">
      <c r="A272" s="540">
        <v>34516</v>
      </c>
      <c r="B272" s="540">
        <v>34699</v>
      </c>
      <c r="C272" s="40" t="s">
        <v>36</v>
      </c>
      <c r="D272" s="41">
        <v>2</v>
      </c>
      <c r="E272" s="42">
        <v>3557.36</v>
      </c>
      <c r="F272" s="42">
        <v>353.26</v>
      </c>
      <c r="G272" s="42">
        <v>123.95</v>
      </c>
      <c r="H272" s="42">
        <v>6207.16</v>
      </c>
      <c r="I272" s="42">
        <v>167.95</v>
      </c>
      <c r="J272" s="42">
        <v>853.48</v>
      </c>
      <c r="K272" s="43">
        <v>10409.68</v>
      </c>
      <c r="L272" s="32">
        <v>11263.16</v>
      </c>
      <c r="M272" s="33"/>
      <c r="N272" s="30">
        <v>10409.68</v>
      </c>
      <c r="O272" s="30">
        <v>4202.5200000000004</v>
      </c>
      <c r="P272" s="30"/>
      <c r="Q272" s="30">
        <v>12019.61</v>
      </c>
      <c r="R272" s="7"/>
      <c r="S272" s="7"/>
      <c r="T272" s="7"/>
      <c r="U272" s="7"/>
      <c r="V272" s="7"/>
      <c r="W272" s="7"/>
      <c r="X272" s="7"/>
      <c r="Y272" s="7"/>
      <c r="Z272" s="7"/>
    </row>
    <row r="273" spans="1:26" ht="9" customHeight="1" x14ac:dyDescent="0.2">
      <c r="A273" s="534"/>
      <c r="B273" s="534"/>
      <c r="C273" s="34" t="s">
        <v>37</v>
      </c>
      <c r="D273" s="35">
        <v>3</v>
      </c>
      <c r="E273" s="36">
        <v>6888009</v>
      </c>
      <c r="F273" s="36">
        <v>684007</v>
      </c>
      <c r="G273" s="36">
        <v>240001</v>
      </c>
      <c r="H273" s="36">
        <v>12018738</v>
      </c>
      <c r="I273" s="36">
        <v>325197</v>
      </c>
      <c r="J273" s="37">
        <v>1652568</v>
      </c>
      <c r="K273" s="36">
        <v>20155951</v>
      </c>
      <c r="L273" s="38">
        <v>21808519</v>
      </c>
      <c r="M273" s="39"/>
      <c r="N273" s="36">
        <v>20155951</v>
      </c>
      <c r="O273" s="36">
        <v>8137213</v>
      </c>
      <c r="P273" s="36">
        <v>0</v>
      </c>
      <c r="Q273" s="36">
        <v>23273210</v>
      </c>
      <c r="R273" s="7"/>
      <c r="S273" s="7"/>
      <c r="T273" s="7"/>
      <c r="U273" s="7"/>
      <c r="V273" s="7"/>
      <c r="W273" s="7"/>
      <c r="X273" s="7"/>
      <c r="Y273" s="7"/>
      <c r="Z273" s="7"/>
    </row>
    <row r="274" spans="1:26" ht="12.75" customHeight="1" x14ac:dyDescent="0.2">
      <c r="A274" s="534"/>
      <c r="B274" s="534"/>
      <c r="C274" s="40" t="s">
        <v>36</v>
      </c>
      <c r="D274" s="41">
        <v>4</v>
      </c>
      <c r="E274" s="42">
        <v>3730.88</v>
      </c>
      <c r="F274" s="42">
        <v>371.85</v>
      </c>
      <c r="G274" s="42">
        <v>123.95</v>
      </c>
      <c r="H274" s="42">
        <v>6207.16</v>
      </c>
      <c r="I274" s="42">
        <v>167.95</v>
      </c>
      <c r="J274" s="42">
        <v>869.49</v>
      </c>
      <c r="K274" s="43">
        <v>10601.79</v>
      </c>
      <c r="L274" s="32">
        <v>11471.28</v>
      </c>
      <c r="M274" s="33"/>
      <c r="N274" s="30">
        <v>10601.79</v>
      </c>
      <c r="O274" s="30">
        <v>4394.63</v>
      </c>
      <c r="P274" s="30"/>
      <c r="Q274" s="30">
        <v>12262.31</v>
      </c>
      <c r="R274" s="7"/>
      <c r="S274" s="7"/>
      <c r="T274" s="7"/>
      <c r="U274" s="7"/>
      <c r="V274" s="7"/>
      <c r="W274" s="7"/>
      <c r="X274" s="7"/>
      <c r="Y274" s="7"/>
      <c r="Z274" s="7"/>
    </row>
    <row r="275" spans="1:26" ht="9" customHeight="1" x14ac:dyDescent="0.2">
      <c r="A275" s="534"/>
      <c r="B275" s="534"/>
      <c r="C275" s="34" t="s">
        <v>37</v>
      </c>
      <c r="D275" s="35">
        <v>5</v>
      </c>
      <c r="E275" s="36">
        <v>7223991</v>
      </c>
      <c r="F275" s="36">
        <v>720002</v>
      </c>
      <c r="G275" s="36">
        <v>240001</v>
      </c>
      <c r="H275" s="36">
        <v>12018738</v>
      </c>
      <c r="I275" s="36">
        <v>325197</v>
      </c>
      <c r="J275" s="37">
        <v>1683567</v>
      </c>
      <c r="K275" s="36">
        <v>20527928</v>
      </c>
      <c r="L275" s="38">
        <v>22211495</v>
      </c>
      <c r="M275" s="39"/>
      <c r="N275" s="36">
        <v>20527928</v>
      </c>
      <c r="O275" s="36">
        <v>8509190</v>
      </c>
      <c r="P275" s="36">
        <v>0</v>
      </c>
      <c r="Q275" s="36">
        <v>23743143</v>
      </c>
      <c r="R275" s="7"/>
      <c r="S275" s="7"/>
      <c r="T275" s="7"/>
      <c r="U275" s="7"/>
      <c r="V275" s="7"/>
      <c r="W275" s="7"/>
      <c r="X275" s="7"/>
      <c r="Y275" s="7"/>
      <c r="Z275" s="7"/>
    </row>
    <row r="276" spans="1:26" ht="12.75" customHeight="1" x14ac:dyDescent="0.2">
      <c r="A276" s="534"/>
      <c r="B276" s="534"/>
      <c r="C276" s="40" t="s">
        <v>36</v>
      </c>
      <c r="D276" s="41">
        <v>6</v>
      </c>
      <c r="E276" s="42">
        <v>4003.57</v>
      </c>
      <c r="F276" s="42">
        <v>396.64</v>
      </c>
      <c r="G276" s="42">
        <v>123.95</v>
      </c>
      <c r="H276" s="42">
        <v>6207.16</v>
      </c>
      <c r="I276" s="42">
        <v>167.95</v>
      </c>
      <c r="J276" s="42">
        <v>894.28</v>
      </c>
      <c r="K276" s="43">
        <v>10899.27</v>
      </c>
      <c r="L276" s="32">
        <v>11793.55</v>
      </c>
      <c r="M276" s="33"/>
      <c r="N276" s="30">
        <v>10899.27</v>
      </c>
      <c r="O276" s="30">
        <v>4692.1099999999997</v>
      </c>
      <c r="P276" s="30"/>
      <c r="Q276" s="30">
        <v>12638.13</v>
      </c>
      <c r="R276" s="7"/>
      <c r="S276" s="7"/>
      <c r="T276" s="7"/>
      <c r="U276" s="7"/>
      <c r="V276" s="7"/>
      <c r="W276" s="7"/>
      <c r="X276" s="7"/>
      <c r="Y276" s="7"/>
      <c r="Z276" s="7"/>
    </row>
    <row r="277" spans="1:26" ht="9" customHeight="1" x14ac:dyDescent="0.2">
      <c r="A277" s="534"/>
      <c r="B277" s="534"/>
      <c r="C277" s="34" t="s">
        <v>37</v>
      </c>
      <c r="D277" s="35">
        <v>7</v>
      </c>
      <c r="E277" s="36">
        <v>7751992</v>
      </c>
      <c r="F277" s="36">
        <v>768002</v>
      </c>
      <c r="G277" s="36">
        <v>240001</v>
      </c>
      <c r="H277" s="36">
        <v>12018738</v>
      </c>
      <c r="I277" s="36">
        <v>325197</v>
      </c>
      <c r="J277" s="37">
        <v>1731568</v>
      </c>
      <c r="K277" s="36">
        <v>21103930</v>
      </c>
      <c r="L277" s="38">
        <v>22835497</v>
      </c>
      <c r="M277" s="39"/>
      <c r="N277" s="36">
        <v>21103930</v>
      </c>
      <c r="O277" s="36">
        <v>9085192</v>
      </c>
      <c r="P277" s="36">
        <v>0</v>
      </c>
      <c r="Q277" s="36">
        <v>24470832</v>
      </c>
      <c r="R277" s="7"/>
      <c r="S277" s="7"/>
      <c r="T277" s="7"/>
      <c r="U277" s="7"/>
      <c r="V277" s="7"/>
      <c r="W277" s="7"/>
      <c r="X277" s="7"/>
      <c r="Y277" s="7"/>
      <c r="Z277" s="7"/>
    </row>
    <row r="278" spans="1:26" ht="12.75" customHeight="1" x14ac:dyDescent="0.2">
      <c r="A278" s="534"/>
      <c r="B278" s="534"/>
      <c r="C278" s="40" t="s">
        <v>36</v>
      </c>
      <c r="D278" s="41">
        <v>8</v>
      </c>
      <c r="E278" s="42">
        <v>4201.8900000000003</v>
      </c>
      <c r="F278" s="42">
        <v>415.23</v>
      </c>
      <c r="G278" s="42">
        <v>123.95</v>
      </c>
      <c r="H278" s="42">
        <v>6207.16</v>
      </c>
      <c r="I278" s="42">
        <v>167.95</v>
      </c>
      <c r="J278" s="42">
        <v>912.35</v>
      </c>
      <c r="K278" s="43">
        <v>11116.18</v>
      </c>
      <c r="L278" s="32">
        <v>12028.53</v>
      </c>
      <c r="M278" s="33"/>
      <c r="N278" s="30">
        <v>11116.18</v>
      </c>
      <c r="O278" s="30">
        <v>4909.0200000000004</v>
      </c>
      <c r="P278" s="30"/>
      <c r="Q278" s="30">
        <v>12912.15</v>
      </c>
      <c r="R278" s="7"/>
      <c r="S278" s="7"/>
      <c r="T278" s="7"/>
      <c r="U278" s="7"/>
      <c r="V278" s="7"/>
      <c r="W278" s="7"/>
      <c r="X278" s="7"/>
      <c r="Y278" s="7"/>
      <c r="Z278" s="7"/>
    </row>
    <row r="279" spans="1:26" ht="9" customHeight="1" x14ac:dyDescent="0.2">
      <c r="A279" s="534"/>
      <c r="B279" s="534"/>
      <c r="C279" s="34" t="s">
        <v>37</v>
      </c>
      <c r="D279" s="35">
        <v>9</v>
      </c>
      <c r="E279" s="36">
        <v>8135994</v>
      </c>
      <c r="F279" s="36">
        <v>803997</v>
      </c>
      <c r="G279" s="36">
        <v>240001</v>
      </c>
      <c r="H279" s="36">
        <v>12018738</v>
      </c>
      <c r="I279" s="36">
        <v>325197</v>
      </c>
      <c r="J279" s="37">
        <v>1766556</v>
      </c>
      <c r="K279" s="36">
        <v>21523926</v>
      </c>
      <c r="L279" s="38">
        <v>23290482</v>
      </c>
      <c r="M279" s="39"/>
      <c r="N279" s="36">
        <v>21523926</v>
      </c>
      <c r="O279" s="36">
        <v>9505188</v>
      </c>
      <c r="P279" s="36">
        <v>0</v>
      </c>
      <c r="Q279" s="36">
        <v>25001409</v>
      </c>
      <c r="R279" s="7"/>
      <c r="S279" s="7"/>
      <c r="T279" s="7"/>
      <c r="U279" s="7"/>
      <c r="V279" s="7"/>
      <c r="W279" s="7"/>
      <c r="X279" s="7"/>
      <c r="Y279" s="7"/>
      <c r="Z279" s="7"/>
    </row>
    <row r="280" spans="1:26" ht="12.75" customHeight="1" x14ac:dyDescent="0.2">
      <c r="A280" s="534"/>
      <c r="B280" s="534"/>
      <c r="C280" s="40" t="s">
        <v>36</v>
      </c>
      <c r="D280" s="41">
        <v>10</v>
      </c>
      <c r="E280" s="42">
        <v>4400.21</v>
      </c>
      <c r="F280" s="42">
        <v>440.02</v>
      </c>
      <c r="G280" s="42">
        <v>123.95</v>
      </c>
      <c r="H280" s="42">
        <v>6207.16</v>
      </c>
      <c r="I280" s="42">
        <v>167.95</v>
      </c>
      <c r="J280" s="42">
        <v>930.95</v>
      </c>
      <c r="K280" s="43">
        <v>11339.29</v>
      </c>
      <c r="L280" s="32">
        <v>12270.24</v>
      </c>
      <c r="M280" s="33"/>
      <c r="N280" s="30">
        <v>11339.29</v>
      </c>
      <c r="O280" s="30">
        <v>5132.13</v>
      </c>
      <c r="P280" s="30"/>
      <c r="Q280" s="30">
        <v>13194.02</v>
      </c>
      <c r="R280" s="7"/>
      <c r="S280" s="7"/>
      <c r="T280" s="7"/>
      <c r="U280" s="7"/>
      <c r="V280" s="7"/>
      <c r="W280" s="7"/>
      <c r="X280" s="7"/>
      <c r="Y280" s="7"/>
      <c r="Z280" s="7"/>
    </row>
    <row r="281" spans="1:26" ht="9" customHeight="1" x14ac:dyDescent="0.2">
      <c r="A281" s="534"/>
      <c r="B281" s="534"/>
      <c r="C281" s="34" t="s">
        <v>37</v>
      </c>
      <c r="D281" s="35">
        <v>11</v>
      </c>
      <c r="E281" s="36">
        <v>8519995</v>
      </c>
      <c r="F281" s="36">
        <v>851998</v>
      </c>
      <c r="G281" s="36">
        <v>240001</v>
      </c>
      <c r="H281" s="36">
        <v>12018738</v>
      </c>
      <c r="I281" s="36">
        <v>325197</v>
      </c>
      <c r="J281" s="37">
        <v>1802571</v>
      </c>
      <c r="K281" s="36">
        <v>21955927</v>
      </c>
      <c r="L281" s="38">
        <v>23758498</v>
      </c>
      <c r="M281" s="39"/>
      <c r="N281" s="36">
        <v>21955927</v>
      </c>
      <c r="O281" s="36">
        <v>9937189</v>
      </c>
      <c r="P281" s="36">
        <v>0</v>
      </c>
      <c r="Q281" s="36">
        <v>25547185</v>
      </c>
      <c r="R281" s="7"/>
      <c r="S281" s="7"/>
      <c r="T281" s="7"/>
      <c r="U281" s="7"/>
      <c r="V281" s="7"/>
      <c r="W281" s="7"/>
      <c r="X281" s="7"/>
      <c r="Y281" s="7"/>
      <c r="Z281" s="7"/>
    </row>
    <row r="282" spans="1:26" ht="12.75" customHeight="1" x14ac:dyDescent="0.2">
      <c r="A282" s="534"/>
      <c r="B282" s="534"/>
      <c r="C282" s="40" t="s">
        <v>36</v>
      </c>
      <c r="D282" s="41">
        <v>12</v>
      </c>
      <c r="E282" s="42">
        <v>4598.53</v>
      </c>
      <c r="F282" s="42">
        <v>458.61</v>
      </c>
      <c r="G282" s="42">
        <v>123.95</v>
      </c>
      <c r="H282" s="42">
        <v>6207.16</v>
      </c>
      <c r="I282" s="42">
        <v>167.95</v>
      </c>
      <c r="J282" s="42">
        <v>949.02</v>
      </c>
      <c r="K282" s="43">
        <v>11556.2</v>
      </c>
      <c r="L282" s="32">
        <v>12505.22</v>
      </c>
      <c r="M282" s="33"/>
      <c r="N282" s="30">
        <v>11556.2</v>
      </c>
      <c r="O282" s="30">
        <v>5349.04</v>
      </c>
      <c r="P282" s="30"/>
      <c r="Q282" s="30">
        <v>13468.05</v>
      </c>
      <c r="R282" s="7"/>
      <c r="S282" s="7"/>
      <c r="T282" s="7"/>
      <c r="U282" s="7"/>
      <c r="V282" s="7"/>
      <c r="W282" s="7"/>
      <c r="X282" s="7"/>
      <c r="Y282" s="7"/>
      <c r="Z282" s="7"/>
    </row>
    <row r="283" spans="1:26" ht="9" customHeight="1" x14ac:dyDescent="0.2">
      <c r="A283" s="534"/>
      <c r="B283" s="534"/>
      <c r="C283" s="34" t="s">
        <v>37</v>
      </c>
      <c r="D283" s="35">
        <v>13</v>
      </c>
      <c r="E283" s="36">
        <v>8903996</v>
      </c>
      <c r="F283" s="36">
        <v>887993</v>
      </c>
      <c r="G283" s="36">
        <v>240001</v>
      </c>
      <c r="H283" s="36">
        <v>12018738</v>
      </c>
      <c r="I283" s="36">
        <v>325197</v>
      </c>
      <c r="J283" s="37">
        <v>1837559</v>
      </c>
      <c r="K283" s="36">
        <v>22375923</v>
      </c>
      <c r="L283" s="38">
        <v>24213482</v>
      </c>
      <c r="M283" s="39"/>
      <c r="N283" s="36">
        <v>22375923</v>
      </c>
      <c r="O283" s="36">
        <v>10357186</v>
      </c>
      <c r="P283" s="36">
        <v>0</v>
      </c>
      <c r="Q283" s="36">
        <v>26077781</v>
      </c>
      <c r="R283" s="7"/>
      <c r="S283" s="7"/>
      <c r="T283" s="7"/>
      <c r="U283" s="7"/>
      <c r="V283" s="7"/>
      <c r="W283" s="7"/>
      <c r="X283" s="7"/>
      <c r="Y283" s="7"/>
      <c r="Z283" s="7"/>
    </row>
    <row r="284" spans="1:26" ht="12.75" customHeight="1" x14ac:dyDescent="0.2">
      <c r="A284" s="534"/>
      <c r="B284" s="534"/>
      <c r="C284" s="40" t="s">
        <v>36</v>
      </c>
      <c r="D284" s="41">
        <v>14</v>
      </c>
      <c r="E284" s="42">
        <v>4803.05</v>
      </c>
      <c r="F284" s="42">
        <v>477.21</v>
      </c>
      <c r="G284" s="42">
        <v>123.95</v>
      </c>
      <c r="H284" s="42">
        <v>6207.16</v>
      </c>
      <c r="I284" s="42">
        <v>167.95</v>
      </c>
      <c r="J284" s="42">
        <v>967.61</v>
      </c>
      <c r="K284" s="43">
        <v>11779.32</v>
      </c>
      <c r="L284" s="32">
        <v>12746.93</v>
      </c>
      <c r="M284" s="33"/>
      <c r="N284" s="30">
        <v>11779.32</v>
      </c>
      <c r="O284" s="30">
        <v>5572.16</v>
      </c>
      <c r="P284" s="30"/>
      <c r="Q284" s="30">
        <v>13749.92</v>
      </c>
      <c r="R284" s="7"/>
      <c r="S284" s="7"/>
      <c r="T284" s="7"/>
      <c r="U284" s="7"/>
      <c r="V284" s="7"/>
      <c r="W284" s="7"/>
      <c r="X284" s="7"/>
      <c r="Y284" s="7"/>
      <c r="Z284" s="7"/>
    </row>
    <row r="285" spans="1:26" ht="9" customHeight="1" x14ac:dyDescent="0.2">
      <c r="A285" s="534"/>
      <c r="B285" s="534"/>
      <c r="C285" s="34" t="s">
        <v>37</v>
      </c>
      <c r="D285" s="35">
        <v>15</v>
      </c>
      <c r="E285" s="36">
        <v>9300002</v>
      </c>
      <c r="F285" s="36">
        <v>924007</v>
      </c>
      <c r="G285" s="36">
        <v>240001</v>
      </c>
      <c r="H285" s="36">
        <v>12018738</v>
      </c>
      <c r="I285" s="36">
        <v>325197</v>
      </c>
      <c r="J285" s="37">
        <v>1873554</v>
      </c>
      <c r="K285" s="36">
        <v>22807944</v>
      </c>
      <c r="L285" s="38">
        <v>24681498</v>
      </c>
      <c r="M285" s="39"/>
      <c r="N285" s="36">
        <v>22807944</v>
      </c>
      <c r="O285" s="36">
        <v>10789206</v>
      </c>
      <c r="P285" s="36">
        <v>0</v>
      </c>
      <c r="Q285" s="36">
        <v>26623558</v>
      </c>
      <c r="R285" s="7"/>
      <c r="S285" s="7"/>
      <c r="T285" s="7"/>
      <c r="U285" s="7"/>
      <c r="V285" s="7"/>
      <c r="W285" s="7"/>
      <c r="X285" s="7"/>
      <c r="Y285" s="7"/>
      <c r="Z285" s="7"/>
    </row>
    <row r="286" spans="1:26" ht="12.75" customHeight="1" x14ac:dyDescent="0.2">
      <c r="A286" s="534"/>
      <c r="B286" s="534"/>
      <c r="C286" s="40" t="s">
        <v>36</v>
      </c>
      <c r="D286" s="41">
        <v>16</v>
      </c>
      <c r="E286" s="42">
        <v>5001.37</v>
      </c>
      <c r="F286" s="42">
        <v>495.8</v>
      </c>
      <c r="G286" s="42">
        <v>123.95</v>
      </c>
      <c r="H286" s="42">
        <v>6207.16</v>
      </c>
      <c r="I286" s="42">
        <v>167.95</v>
      </c>
      <c r="J286" s="42">
        <v>985.69</v>
      </c>
      <c r="K286" s="43">
        <v>11996.23</v>
      </c>
      <c r="L286" s="32">
        <v>12981.92</v>
      </c>
      <c r="M286" s="33"/>
      <c r="N286" s="30">
        <v>11996.23</v>
      </c>
      <c r="O286" s="30">
        <v>5789.07</v>
      </c>
      <c r="P286" s="30"/>
      <c r="Q286" s="30">
        <v>14023.95</v>
      </c>
      <c r="R286" s="7"/>
      <c r="S286" s="7"/>
      <c r="T286" s="7"/>
      <c r="U286" s="7"/>
      <c r="V286" s="7"/>
      <c r="W286" s="7"/>
      <c r="X286" s="7"/>
      <c r="Y286" s="7"/>
      <c r="Z286" s="7"/>
    </row>
    <row r="287" spans="1:26" ht="9" customHeight="1" x14ac:dyDescent="0.2">
      <c r="A287" s="534"/>
      <c r="B287" s="534"/>
      <c r="C287" s="34" t="s">
        <v>37</v>
      </c>
      <c r="D287" s="35">
        <v>17</v>
      </c>
      <c r="E287" s="36">
        <v>9684003</v>
      </c>
      <c r="F287" s="36">
        <v>960003</v>
      </c>
      <c r="G287" s="36">
        <v>240001</v>
      </c>
      <c r="H287" s="36">
        <v>12018738</v>
      </c>
      <c r="I287" s="36">
        <v>325197</v>
      </c>
      <c r="J287" s="37">
        <v>1908562</v>
      </c>
      <c r="K287" s="36">
        <v>23227940</v>
      </c>
      <c r="L287" s="38">
        <v>25136502</v>
      </c>
      <c r="M287" s="39"/>
      <c r="N287" s="36">
        <v>23227940</v>
      </c>
      <c r="O287" s="36">
        <v>11209203</v>
      </c>
      <c r="P287" s="36">
        <v>0</v>
      </c>
      <c r="Q287" s="36">
        <v>27154154</v>
      </c>
      <c r="R287" s="7"/>
      <c r="S287" s="7"/>
      <c r="T287" s="7"/>
      <c r="U287" s="7"/>
      <c r="V287" s="7"/>
      <c r="W287" s="7"/>
      <c r="X287" s="7"/>
      <c r="Y287" s="7"/>
      <c r="Z287" s="7"/>
    </row>
    <row r="288" spans="1:26" ht="12.75" customHeight="1" x14ac:dyDescent="0.2">
      <c r="A288" s="534"/>
      <c r="B288" s="534"/>
      <c r="C288" s="40" t="s">
        <v>36</v>
      </c>
      <c r="D288" s="41">
        <v>18</v>
      </c>
      <c r="E288" s="42">
        <v>5199.6899999999996</v>
      </c>
      <c r="F288" s="42">
        <v>514.39</v>
      </c>
      <c r="G288" s="42">
        <v>123.95</v>
      </c>
      <c r="H288" s="42">
        <v>6207.16</v>
      </c>
      <c r="I288" s="42">
        <v>167.95</v>
      </c>
      <c r="J288" s="42">
        <v>1003.77</v>
      </c>
      <c r="K288" s="43">
        <v>12213.14</v>
      </c>
      <c r="L288" s="32">
        <v>13216.91</v>
      </c>
      <c r="M288" s="33"/>
      <c r="N288" s="30">
        <v>12213.14</v>
      </c>
      <c r="O288" s="30">
        <v>6005.98</v>
      </c>
      <c r="P288" s="30"/>
      <c r="Q288" s="30">
        <v>14297.99</v>
      </c>
      <c r="R288" s="7"/>
      <c r="S288" s="7"/>
      <c r="T288" s="7"/>
      <c r="U288" s="7"/>
      <c r="V288" s="7"/>
      <c r="W288" s="7"/>
      <c r="X288" s="7"/>
      <c r="Y288" s="7"/>
      <c r="Z288" s="7"/>
    </row>
    <row r="289" spans="1:26" ht="9" customHeight="1" x14ac:dyDescent="0.2">
      <c r="A289" s="534"/>
      <c r="B289" s="534"/>
      <c r="C289" s="34" t="s">
        <v>37</v>
      </c>
      <c r="D289" s="35">
        <v>19</v>
      </c>
      <c r="E289" s="36">
        <v>10068004</v>
      </c>
      <c r="F289" s="36">
        <v>995998</v>
      </c>
      <c r="G289" s="36">
        <v>240001</v>
      </c>
      <c r="H289" s="36">
        <v>12018738</v>
      </c>
      <c r="I289" s="36">
        <v>325197</v>
      </c>
      <c r="J289" s="37">
        <v>1943570</v>
      </c>
      <c r="K289" s="36">
        <v>23647937</v>
      </c>
      <c r="L289" s="38">
        <v>25591506</v>
      </c>
      <c r="M289" s="39"/>
      <c r="N289" s="36">
        <v>23647937</v>
      </c>
      <c r="O289" s="36">
        <v>11629199</v>
      </c>
      <c r="P289" s="36">
        <v>0</v>
      </c>
      <c r="Q289" s="36">
        <v>27684769</v>
      </c>
      <c r="R289" s="7"/>
      <c r="S289" s="7"/>
      <c r="T289" s="7"/>
      <c r="U289" s="7"/>
      <c r="V289" s="7"/>
      <c r="W289" s="7"/>
      <c r="X289" s="7"/>
      <c r="Y289" s="7"/>
      <c r="Z289" s="7"/>
    </row>
    <row r="290" spans="1:26" ht="12.75" customHeight="1" x14ac:dyDescent="0.2">
      <c r="A290" s="534"/>
      <c r="B290" s="534"/>
      <c r="C290" s="40" t="s">
        <v>36</v>
      </c>
      <c r="D290" s="41">
        <v>20</v>
      </c>
      <c r="E290" s="42">
        <v>5404.2</v>
      </c>
      <c r="F290" s="42">
        <v>539.17999999999995</v>
      </c>
      <c r="G290" s="42">
        <v>123.95</v>
      </c>
      <c r="H290" s="42">
        <v>6207.16</v>
      </c>
      <c r="I290" s="42">
        <v>167.95</v>
      </c>
      <c r="J290" s="42">
        <v>1022.87</v>
      </c>
      <c r="K290" s="43">
        <v>12442.44</v>
      </c>
      <c r="L290" s="32">
        <v>13465.31</v>
      </c>
      <c r="M290" s="33"/>
      <c r="N290" s="30">
        <v>12442.44</v>
      </c>
      <c r="O290" s="30">
        <v>6235.28</v>
      </c>
      <c r="P290" s="30"/>
      <c r="Q290" s="30">
        <v>14587.66</v>
      </c>
      <c r="R290" s="7"/>
      <c r="S290" s="7"/>
      <c r="T290" s="7"/>
      <c r="U290" s="7"/>
      <c r="V290" s="7"/>
      <c r="W290" s="7"/>
      <c r="X290" s="7"/>
      <c r="Y290" s="7"/>
      <c r="Z290" s="7"/>
    </row>
    <row r="291" spans="1:26" ht="9" customHeight="1" x14ac:dyDescent="0.2">
      <c r="A291" s="534"/>
      <c r="B291" s="534"/>
      <c r="C291" s="34" t="s">
        <v>37</v>
      </c>
      <c r="D291" s="35">
        <v>21</v>
      </c>
      <c r="E291" s="36">
        <v>10463990</v>
      </c>
      <c r="F291" s="36">
        <v>1043998</v>
      </c>
      <c r="G291" s="36">
        <v>240001</v>
      </c>
      <c r="H291" s="36">
        <v>12018738</v>
      </c>
      <c r="I291" s="36">
        <v>325197</v>
      </c>
      <c r="J291" s="37">
        <v>1980552</v>
      </c>
      <c r="K291" s="36">
        <v>24091923</v>
      </c>
      <c r="L291" s="38">
        <v>26072476</v>
      </c>
      <c r="M291" s="39"/>
      <c r="N291" s="36">
        <v>24091923</v>
      </c>
      <c r="O291" s="36">
        <v>12073186</v>
      </c>
      <c r="P291" s="36">
        <v>0</v>
      </c>
      <c r="Q291" s="36">
        <v>28245648</v>
      </c>
      <c r="R291" s="7"/>
      <c r="S291" s="7"/>
      <c r="T291" s="7"/>
      <c r="U291" s="7"/>
      <c r="V291" s="7"/>
      <c r="W291" s="7"/>
      <c r="X291" s="7"/>
      <c r="Y291" s="7"/>
      <c r="Z291" s="7"/>
    </row>
    <row r="292" spans="1:26" ht="12.75" customHeight="1" x14ac:dyDescent="0.2">
      <c r="A292" s="534"/>
      <c r="B292" s="534"/>
      <c r="C292" s="40" t="s">
        <v>36</v>
      </c>
      <c r="D292" s="41">
        <v>22</v>
      </c>
      <c r="E292" s="42">
        <v>5509.56</v>
      </c>
      <c r="F292" s="42">
        <v>545.38</v>
      </c>
      <c r="G292" s="42">
        <v>123.95</v>
      </c>
      <c r="H292" s="42">
        <v>6207.16</v>
      </c>
      <c r="I292" s="42">
        <v>167.95</v>
      </c>
      <c r="J292" s="42">
        <v>1032.17</v>
      </c>
      <c r="K292" s="43">
        <v>12554</v>
      </c>
      <c r="L292" s="32">
        <v>13586.17</v>
      </c>
      <c r="M292" s="33"/>
      <c r="N292" s="30">
        <v>12554</v>
      </c>
      <c r="O292" s="30">
        <v>6346.84</v>
      </c>
      <c r="P292" s="30"/>
      <c r="Q292" s="30">
        <v>14728.6</v>
      </c>
      <c r="R292" s="7"/>
      <c r="S292" s="7"/>
      <c r="T292" s="7"/>
      <c r="U292" s="7"/>
      <c r="V292" s="7"/>
      <c r="W292" s="7"/>
      <c r="X292" s="7"/>
      <c r="Y292" s="7"/>
      <c r="Z292" s="7"/>
    </row>
    <row r="293" spans="1:26" ht="9" customHeight="1" x14ac:dyDescent="0.2">
      <c r="A293" s="534"/>
      <c r="B293" s="534"/>
      <c r="C293" s="34" t="s">
        <v>37</v>
      </c>
      <c r="D293" s="35">
        <v>23</v>
      </c>
      <c r="E293" s="36">
        <v>10667996</v>
      </c>
      <c r="F293" s="36">
        <v>1056003</v>
      </c>
      <c r="G293" s="36">
        <v>240001</v>
      </c>
      <c r="H293" s="36">
        <v>12018738</v>
      </c>
      <c r="I293" s="36">
        <v>325197</v>
      </c>
      <c r="J293" s="37">
        <v>1998560</v>
      </c>
      <c r="K293" s="36">
        <v>24307934</v>
      </c>
      <c r="L293" s="38">
        <v>26306493</v>
      </c>
      <c r="M293" s="39"/>
      <c r="N293" s="36">
        <v>24307934</v>
      </c>
      <c r="O293" s="36">
        <v>12289196</v>
      </c>
      <c r="P293" s="36">
        <v>0</v>
      </c>
      <c r="Q293" s="36">
        <v>28518546</v>
      </c>
      <c r="R293" s="7"/>
      <c r="S293" s="7"/>
      <c r="T293" s="7"/>
      <c r="U293" s="7"/>
      <c r="V293" s="7"/>
      <c r="W293" s="7"/>
      <c r="X293" s="7"/>
      <c r="Y293" s="7"/>
      <c r="Z293" s="7"/>
    </row>
    <row r="294" spans="1:26" ht="12.75" customHeight="1" x14ac:dyDescent="0.2">
      <c r="A294" s="534"/>
      <c r="B294" s="534"/>
      <c r="C294" s="40" t="s">
        <v>36</v>
      </c>
      <c r="D294" s="41">
        <v>24</v>
      </c>
      <c r="E294" s="42">
        <v>5614.92</v>
      </c>
      <c r="F294" s="42">
        <v>557.77</v>
      </c>
      <c r="G294" s="42">
        <v>123.95</v>
      </c>
      <c r="H294" s="42">
        <v>6207.16</v>
      </c>
      <c r="I294" s="42">
        <v>167.95</v>
      </c>
      <c r="J294" s="42">
        <v>1041.98</v>
      </c>
      <c r="K294" s="43">
        <v>12671.75</v>
      </c>
      <c r="L294" s="32">
        <v>13713.73</v>
      </c>
      <c r="M294" s="33"/>
      <c r="N294" s="30">
        <v>12671.75</v>
      </c>
      <c r="O294" s="30">
        <v>6464.59</v>
      </c>
      <c r="P294" s="30"/>
      <c r="Q294" s="30">
        <v>14877.36</v>
      </c>
      <c r="R294" s="7"/>
      <c r="S294" s="7"/>
      <c r="T294" s="7"/>
      <c r="U294" s="7"/>
      <c r="V294" s="7"/>
      <c r="W294" s="7"/>
      <c r="X294" s="7"/>
      <c r="Y294" s="7"/>
      <c r="Z294" s="7"/>
    </row>
    <row r="295" spans="1:26" ht="9" customHeight="1" x14ac:dyDescent="0.2">
      <c r="A295" s="534"/>
      <c r="B295" s="534"/>
      <c r="C295" s="34" t="s">
        <v>37</v>
      </c>
      <c r="D295" s="35">
        <v>25</v>
      </c>
      <c r="E295" s="36">
        <v>10872001</v>
      </c>
      <c r="F295" s="36">
        <v>1079993</v>
      </c>
      <c r="G295" s="36">
        <v>240001</v>
      </c>
      <c r="H295" s="36">
        <v>12018738</v>
      </c>
      <c r="I295" s="36">
        <v>325197</v>
      </c>
      <c r="J295" s="37">
        <v>2017555</v>
      </c>
      <c r="K295" s="36">
        <v>24535929</v>
      </c>
      <c r="L295" s="38">
        <v>26553484</v>
      </c>
      <c r="M295" s="39"/>
      <c r="N295" s="36">
        <v>24535929</v>
      </c>
      <c r="O295" s="36">
        <v>12517192</v>
      </c>
      <c r="P295" s="36">
        <v>0</v>
      </c>
      <c r="Q295" s="36">
        <v>28806586</v>
      </c>
      <c r="R295" s="7"/>
      <c r="S295" s="7"/>
      <c r="T295" s="7"/>
      <c r="U295" s="7"/>
      <c r="V295" s="7"/>
      <c r="W295" s="7"/>
      <c r="X295" s="7"/>
      <c r="Y295" s="7"/>
      <c r="Z295" s="7"/>
    </row>
    <row r="296" spans="1:26" ht="12.75" customHeight="1" x14ac:dyDescent="0.2">
      <c r="A296" s="534"/>
      <c r="B296" s="534"/>
      <c r="C296" s="40" t="s">
        <v>36</v>
      </c>
      <c r="D296" s="41">
        <v>26</v>
      </c>
      <c r="E296" s="42">
        <v>5726.47</v>
      </c>
      <c r="F296" s="42">
        <v>570.16999999999996</v>
      </c>
      <c r="G296" s="42">
        <v>123.95</v>
      </c>
      <c r="H296" s="42">
        <v>6207.16</v>
      </c>
      <c r="I296" s="42">
        <v>167.95</v>
      </c>
      <c r="J296" s="42">
        <v>1052.31</v>
      </c>
      <c r="K296" s="43">
        <v>12795.7</v>
      </c>
      <c r="L296" s="32">
        <v>13848.01</v>
      </c>
      <c r="M296" s="33"/>
      <c r="N296" s="30">
        <v>12795.7</v>
      </c>
      <c r="O296" s="30">
        <v>6588.54</v>
      </c>
      <c r="P296" s="30"/>
      <c r="Q296" s="30">
        <v>15033.95</v>
      </c>
      <c r="R296" s="7"/>
      <c r="S296" s="7"/>
      <c r="T296" s="7"/>
      <c r="U296" s="7"/>
      <c r="V296" s="7"/>
      <c r="W296" s="7"/>
      <c r="X296" s="7"/>
      <c r="Y296" s="7"/>
      <c r="Z296" s="7"/>
    </row>
    <row r="297" spans="1:26" ht="9" customHeight="1" x14ac:dyDescent="0.2">
      <c r="A297" s="534"/>
      <c r="B297" s="534"/>
      <c r="C297" s="34" t="s">
        <v>37</v>
      </c>
      <c r="D297" s="35">
        <v>27</v>
      </c>
      <c r="E297" s="36">
        <v>11087992</v>
      </c>
      <c r="F297" s="36">
        <v>1104003</v>
      </c>
      <c r="G297" s="36">
        <v>240001</v>
      </c>
      <c r="H297" s="36">
        <v>12018738</v>
      </c>
      <c r="I297" s="36">
        <v>325197</v>
      </c>
      <c r="J297" s="37">
        <v>2037556</v>
      </c>
      <c r="K297" s="36">
        <v>24775930</v>
      </c>
      <c r="L297" s="38">
        <v>26813486</v>
      </c>
      <c r="M297" s="39"/>
      <c r="N297" s="36">
        <v>24775930</v>
      </c>
      <c r="O297" s="36">
        <v>12757192</v>
      </c>
      <c r="P297" s="36">
        <v>0</v>
      </c>
      <c r="Q297" s="36">
        <v>29109786</v>
      </c>
      <c r="R297" s="7"/>
      <c r="S297" s="7"/>
      <c r="T297" s="7"/>
      <c r="U297" s="7"/>
      <c r="V297" s="7"/>
      <c r="W297" s="7"/>
      <c r="X297" s="7"/>
      <c r="Y297" s="7"/>
      <c r="Z297" s="7"/>
    </row>
    <row r="298" spans="1:26" ht="12.75" customHeight="1" x14ac:dyDescent="0.2">
      <c r="A298" s="534"/>
      <c r="B298" s="534"/>
      <c r="C298" s="40" t="s">
        <v>36</v>
      </c>
      <c r="D298" s="41">
        <v>28</v>
      </c>
      <c r="E298" s="42">
        <v>5831.83</v>
      </c>
      <c r="F298" s="42">
        <v>582.55999999999995</v>
      </c>
      <c r="G298" s="42">
        <v>123.95</v>
      </c>
      <c r="H298" s="42">
        <v>6207.16</v>
      </c>
      <c r="I298" s="42">
        <v>167.95</v>
      </c>
      <c r="J298" s="42">
        <v>1062.1300000000001</v>
      </c>
      <c r="K298" s="43">
        <v>12913.45</v>
      </c>
      <c r="L298" s="32">
        <v>13975.58</v>
      </c>
      <c r="M298" s="33"/>
      <c r="N298" s="30">
        <v>12913.45</v>
      </c>
      <c r="O298" s="30">
        <v>6706.29</v>
      </c>
      <c r="P298" s="30"/>
      <c r="Q298" s="30">
        <v>15182.71</v>
      </c>
      <c r="R298" s="7"/>
      <c r="S298" s="7"/>
      <c r="T298" s="7"/>
      <c r="U298" s="7"/>
      <c r="V298" s="7"/>
      <c r="W298" s="7"/>
      <c r="X298" s="7"/>
      <c r="Y298" s="7"/>
      <c r="Z298" s="7"/>
    </row>
    <row r="299" spans="1:26" ht="9" customHeight="1" x14ac:dyDescent="0.2">
      <c r="A299" s="534"/>
      <c r="B299" s="534"/>
      <c r="C299" s="34" t="s">
        <v>37</v>
      </c>
      <c r="D299" s="35">
        <v>29</v>
      </c>
      <c r="E299" s="36">
        <v>11291997</v>
      </c>
      <c r="F299" s="36">
        <v>1127993</v>
      </c>
      <c r="G299" s="36">
        <v>240001</v>
      </c>
      <c r="H299" s="36">
        <v>12018738</v>
      </c>
      <c r="I299" s="36">
        <v>325197</v>
      </c>
      <c r="J299" s="37">
        <v>2056570</v>
      </c>
      <c r="K299" s="36">
        <v>25003926</v>
      </c>
      <c r="L299" s="38">
        <v>27060496</v>
      </c>
      <c r="M299" s="39"/>
      <c r="N299" s="36">
        <v>25003926</v>
      </c>
      <c r="O299" s="36">
        <v>12985188</v>
      </c>
      <c r="P299" s="36">
        <v>0</v>
      </c>
      <c r="Q299" s="36">
        <v>29397826</v>
      </c>
      <c r="R299" s="7"/>
      <c r="S299" s="7"/>
      <c r="T299" s="7"/>
      <c r="U299" s="7"/>
      <c r="V299" s="7"/>
      <c r="W299" s="7"/>
      <c r="X299" s="7"/>
      <c r="Y299" s="7"/>
      <c r="Z299" s="7"/>
    </row>
    <row r="300" spans="1:26" ht="12.75" customHeight="1" x14ac:dyDescent="0.2">
      <c r="A300" s="534"/>
      <c r="B300" s="534"/>
      <c r="C300" s="40" t="s">
        <v>36</v>
      </c>
      <c r="D300" s="41">
        <v>30</v>
      </c>
      <c r="E300" s="42">
        <v>5943.39</v>
      </c>
      <c r="F300" s="42">
        <v>588.76</v>
      </c>
      <c r="G300" s="42">
        <v>123.95</v>
      </c>
      <c r="H300" s="42">
        <v>6207.16</v>
      </c>
      <c r="I300" s="42">
        <v>167.95</v>
      </c>
      <c r="J300" s="42">
        <v>1071.94</v>
      </c>
      <c r="K300" s="43">
        <v>13031.21</v>
      </c>
      <c r="L300" s="32">
        <v>14103.15</v>
      </c>
      <c r="M300" s="33"/>
      <c r="N300" s="30">
        <v>13031.21</v>
      </c>
      <c r="O300" s="30">
        <v>6824.05</v>
      </c>
      <c r="P300" s="30"/>
      <c r="Q300" s="30">
        <v>15331.48</v>
      </c>
      <c r="R300" s="7"/>
      <c r="S300" s="7"/>
      <c r="T300" s="7"/>
      <c r="U300" s="7"/>
      <c r="V300" s="7"/>
      <c r="W300" s="7"/>
      <c r="X300" s="7"/>
      <c r="Y300" s="7"/>
      <c r="Z300" s="7"/>
    </row>
    <row r="301" spans="1:26" ht="9" customHeight="1" x14ac:dyDescent="0.2">
      <c r="A301" s="534"/>
      <c r="B301" s="534"/>
      <c r="C301" s="34" t="s">
        <v>37</v>
      </c>
      <c r="D301" s="35">
        <v>31</v>
      </c>
      <c r="E301" s="36">
        <v>11508008</v>
      </c>
      <c r="F301" s="36">
        <v>1139998</v>
      </c>
      <c r="G301" s="36">
        <v>240001</v>
      </c>
      <c r="H301" s="36">
        <v>12018738</v>
      </c>
      <c r="I301" s="36">
        <v>325197</v>
      </c>
      <c r="J301" s="37">
        <v>2075565</v>
      </c>
      <c r="K301" s="36">
        <v>25231941</v>
      </c>
      <c r="L301" s="38">
        <v>27307506</v>
      </c>
      <c r="M301" s="39"/>
      <c r="N301" s="36">
        <v>25231941</v>
      </c>
      <c r="O301" s="36">
        <v>13213203</v>
      </c>
      <c r="P301" s="36">
        <v>0</v>
      </c>
      <c r="Q301" s="36">
        <v>29685885</v>
      </c>
      <c r="R301" s="7"/>
      <c r="S301" s="7"/>
      <c r="T301" s="7"/>
      <c r="U301" s="7"/>
      <c r="V301" s="7"/>
      <c r="W301" s="7"/>
      <c r="X301" s="7"/>
      <c r="Y301" s="7"/>
      <c r="Z301" s="7"/>
    </row>
    <row r="302" spans="1:26" ht="12.75" customHeight="1" x14ac:dyDescent="0.2">
      <c r="A302" s="534"/>
      <c r="B302" s="534"/>
      <c r="C302" s="40" t="s">
        <v>36</v>
      </c>
      <c r="D302" s="41">
        <v>32</v>
      </c>
      <c r="E302" s="42">
        <v>6048.74</v>
      </c>
      <c r="F302" s="42">
        <v>601.16</v>
      </c>
      <c r="G302" s="42">
        <v>123.95</v>
      </c>
      <c r="H302" s="42">
        <v>6207.16</v>
      </c>
      <c r="I302" s="42">
        <v>167.95</v>
      </c>
      <c r="J302" s="42">
        <v>1081.75</v>
      </c>
      <c r="K302" s="43">
        <v>13148.96</v>
      </c>
      <c r="L302" s="32">
        <v>14230.71</v>
      </c>
      <c r="M302" s="33"/>
      <c r="N302" s="30">
        <v>13148.96</v>
      </c>
      <c r="O302" s="30">
        <v>6941.8</v>
      </c>
      <c r="P302" s="30"/>
      <c r="Q302" s="30">
        <v>15480.23</v>
      </c>
      <c r="R302" s="7"/>
      <c r="S302" s="7"/>
      <c r="T302" s="7"/>
      <c r="U302" s="7"/>
      <c r="V302" s="7"/>
      <c r="W302" s="7"/>
      <c r="X302" s="7"/>
      <c r="Y302" s="7"/>
      <c r="Z302" s="7"/>
    </row>
    <row r="303" spans="1:26" ht="9" customHeight="1" x14ac:dyDescent="0.2">
      <c r="A303" s="534"/>
      <c r="B303" s="534"/>
      <c r="C303" s="34" t="s">
        <v>37</v>
      </c>
      <c r="D303" s="35">
        <v>33</v>
      </c>
      <c r="E303" s="36">
        <v>11711994</v>
      </c>
      <c r="F303" s="36">
        <v>1164008</v>
      </c>
      <c r="G303" s="36">
        <v>240001</v>
      </c>
      <c r="H303" s="36">
        <v>12018738</v>
      </c>
      <c r="I303" s="36">
        <v>325197</v>
      </c>
      <c r="J303" s="37">
        <v>2094560</v>
      </c>
      <c r="K303" s="36">
        <v>25459937</v>
      </c>
      <c r="L303" s="38">
        <v>27554497</v>
      </c>
      <c r="M303" s="39"/>
      <c r="N303" s="36">
        <v>25459937</v>
      </c>
      <c r="O303" s="36">
        <v>13441199</v>
      </c>
      <c r="P303" s="36">
        <v>0</v>
      </c>
      <c r="Q303" s="36">
        <v>29973905</v>
      </c>
      <c r="R303" s="7"/>
      <c r="S303" s="7"/>
      <c r="T303" s="7"/>
      <c r="U303" s="7"/>
      <c r="V303" s="7"/>
      <c r="W303" s="7"/>
      <c r="X303" s="7"/>
      <c r="Y303" s="7"/>
      <c r="Z303" s="7"/>
    </row>
    <row r="304" spans="1:26" ht="12.75" customHeight="1" x14ac:dyDescent="0.2">
      <c r="A304" s="534"/>
      <c r="B304" s="534"/>
      <c r="C304" s="40" t="s">
        <v>36</v>
      </c>
      <c r="D304" s="41">
        <v>34</v>
      </c>
      <c r="E304" s="42">
        <v>6160.3</v>
      </c>
      <c r="F304" s="42">
        <v>613.54999999999995</v>
      </c>
      <c r="G304" s="42">
        <v>123.95</v>
      </c>
      <c r="H304" s="42">
        <v>6207.16</v>
      </c>
      <c r="I304" s="42">
        <v>167.95</v>
      </c>
      <c r="J304" s="42">
        <v>1092.08</v>
      </c>
      <c r="K304" s="43">
        <v>13272.91</v>
      </c>
      <c r="L304" s="32">
        <v>14364.99</v>
      </c>
      <c r="M304" s="33"/>
      <c r="N304" s="30">
        <v>13272.91</v>
      </c>
      <c r="O304" s="30">
        <v>7065.75</v>
      </c>
      <c r="P304" s="30"/>
      <c r="Q304" s="30">
        <v>15636.83</v>
      </c>
      <c r="R304" s="7"/>
      <c r="S304" s="7"/>
      <c r="T304" s="7"/>
      <c r="U304" s="7"/>
      <c r="V304" s="7"/>
      <c r="W304" s="7"/>
      <c r="X304" s="7"/>
      <c r="Y304" s="7"/>
      <c r="Z304" s="7"/>
    </row>
    <row r="305" spans="1:26" ht="9" customHeight="1" x14ac:dyDescent="0.2">
      <c r="A305" s="534"/>
      <c r="B305" s="534"/>
      <c r="C305" s="34" t="s">
        <v>37</v>
      </c>
      <c r="D305" s="35">
        <v>35</v>
      </c>
      <c r="E305" s="36">
        <v>11928004</v>
      </c>
      <c r="F305" s="36">
        <v>1187998</v>
      </c>
      <c r="G305" s="36">
        <v>240001</v>
      </c>
      <c r="H305" s="36">
        <v>12018738</v>
      </c>
      <c r="I305" s="36">
        <v>325197</v>
      </c>
      <c r="J305" s="37">
        <v>2114562</v>
      </c>
      <c r="K305" s="36">
        <v>25699937</v>
      </c>
      <c r="L305" s="38">
        <v>27814499</v>
      </c>
      <c r="M305" s="39"/>
      <c r="N305" s="36">
        <v>25699937</v>
      </c>
      <c r="O305" s="36">
        <v>13681200</v>
      </c>
      <c r="P305" s="36">
        <v>0</v>
      </c>
      <c r="Q305" s="36">
        <v>30277125</v>
      </c>
      <c r="R305" s="7"/>
      <c r="S305" s="7"/>
      <c r="T305" s="7"/>
      <c r="U305" s="7"/>
      <c r="V305" s="7"/>
      <c r="W305" s="7"/>
      <c r="X305" s="7"/>
      <c r="Y305" s="7"/>
      <c r="Z305" s="7"/>
    </row>
    <row r="306" spans="1:26" ht="12.75" customHeight="1" x14ac:dyDescent="0.2">
      <c r="A306" s="534"/>
      <c r="B306" s="534"/>
      <c r="C306" s="40" t="s">
        <v>36</v>
      </c>
      <c r="D306" s="41">
        <v>36</v>
      </c>
      <c r="E306" s="42">
        <v>6265.66</v>
      </c>
      <c r="F306" s="42">
        <v>625.95000000000005</v>
      </c>
      <c r="G306" s="42">
        <v>123.95</v>
      </c>
      <c r="H306" s="42">
        <v>6207.16</v>
      </c>
      <c r="I306" s="42">
        <v>167.95</v>
      </c>
      <c r="J306" s="42">
        <v>1101.8900000000001</v>
      </c>
      <c r="K306" s="43">
        <v>13390.67</v>
      </c>
      <c r="L306" s="32">
        <v>14492.56</v>
      </c>
      <c r="M306" s="33"/>
      <c r="N306" s="30">
        <v>13390.67</v>
      </c>
      <c r="O306" s="30">
        <v>7183.51</v>
      </c>
      <c r="P306" s="30"/>
      <c r="Q306" s="30">
        <v>15785.59</v>
      </c>
      <c r="R306" s="7"/>
      <c r="S306" s="7"/>
      <c r="T306" s="7"/>
      <c r="U306" s="7"/>
      <c r="V306" s="7"/>
      <c r="W306" s="7"/>
      <c r="X306" s="7"/>
      <c r="Y306" s="7"/>
      <c r="Z306" s="7"/>
    </row>
    <row r="307" spans="1:26" ht="9" customHeight="1" x14ac:dyDescent="0.2">
      <c r="A307" s="534"/>
      <c r="B307" s="534"/>
      <c r="C307" s="34" t="s">
        <v>37</v>
      </c>
      <c r="D307" s="35">
        <v>37</v>
      </c>
      <c r="E307" s="36">
        <v>12132009</v>
      </c>
      <c r="F307" s="36">
        <v>1212008</v>
      </c>
      <c r="G307" s="36">
        <v>240001</v>
      </c>
      <c r="H307" s="36">
        <v>12018738</v>
      </c>
      <c r="I307" s="36">
        <v>325197</v>
      </c>
      <c r="J307" s="37">
        <v>2133557</v>
      </c>
      <c r="K307" s="36">
        <v>25927953</v>
      </c>
      <c r="L307" s="38">
        <v>28061509</v>
      </c>
      <c r="M307" s="39"/>
      <c r="N307" s="36">
        <v>25927953</v>
      </c>
      <c r="O307" s="36">
        <v>13909215</v>
      </c>
      <c r="P307" s="36">
        <v>0</v>
      </c>
      <c r="Q307" s="36">
        <v>30565164</v>
      </c>
      <c r="R307" s="7"/>
      <c r="S307" s="7"/>
      <c r="T307" s="7"/>
      <c r="U307" s="7"/>
      <c r="V307" s="7"/>
      <c r="W307" s="7"/>
      <c r="X307" s="7"/>
      <c r="Y307" s="7"/>
      <c r="Z307" s="7"/>
    </row>
    <row r="308" spans="1:26" ht="12.75" customHeight="1" x14ac:dyDescent="0.2">
      <c r="A308" s="534"/>
      <c r="B308" s="534"/>
      <c r="C308" s="40" t="s">
        <v>36</v>
      </c>
      <c r="D308" s="41">
        <v>38</v>
      </c>
      <c r="E308" s="42">
        <v>6377.21</v>
      </c>
      <c r="F308" s="42">
        <v>632.14</v>
      </c>
      <c r="G308" s="42">
        <v>123.95</v>
      </c>
      <c r="H308" s="42">
        <v>6207.16</v>
      </c>
      <c r="I308" s="42">
        <v>167.95</v>
      </c>
      <c r="J308" s="42">
        <v>1111.71</v>
      </c>
      <c r="K308" s="43">
        <v>13508.41</v>
      </c>
      <c r="L308" s="32">
        <v>14620.12</v>
      </c>
      <c r="M308" s="33"/>
      <c r="N308" s="30">
        <v>13508.41</v>
      </c>
      <c r="O308" s="30">
        <v>7301.25</v>
      </c>
      <c r="P308" s="30"/>
      <c r="Q308" s="30">
        <v>15934.35</v>
      </c>
      <c r="R308" s="7"/>
      <c r="S308" s="7"/>
      <c r="T308" s="7"/>
      <c r="U308" s="7"/>
      <c r="V308" s="7"/>
      <c r="W308" s="7"/>
      <c r="X308" s="7"/>
      <c r="Y308" s="7"/>
      <c r="Z308" s="7"/>
    </row>
    <row r="309" spans="1:26" ht="9" customHeight="1" x14ac:dyDescent="0.2">
      <c r="A309" s="534"/>
      <c r="B309" s="534"/>
      <c r="C309" s="34" t="s">
        <v>37</v>
      </c>
      <c r="D309" s="35">
        <v>39</v>
      </c>
      <c r="E309" s="36">
        <v>12348000</v>
      </c>
      <c r="F309" s="36">
        <v>1223994</v>
      </c>
      <c r="G309" s="36">
        <v>240001</v>
      </c>
      <c r="H309" s="36">
        <v>12018738</v>
      </c>
      <c r="I309" s="36">
        <v>325197</v>
      </c>
      <c r="J309" s="37">
        <v>2152571</v>
      </c>
      <c r="K309" s="36">
        <v>26155929</v>
      </c>
      <c r="L309" s="38">
        <v>28308500</v>
      </c>
      <c r="M309" s="39"/>
      <c r="N309" s="36">
        <v>26155929</v>
      </c>
      <c r="O309" s="36">
        <v>14137191</v>
      </c>
      <c r="P309" s="36">
        <v>0</v>
      </c>
      <c r="Q309" s="36">
        <v>30853204</v>
      </c>
      <c r="R309" s="7"/>
      <c r="S309" s="7"/>
      <c r="T309" s="7"/>
      <c r="U309" s="7"/>
      <c r="V309" s="7"/>
      <c r="W309" s="7"/>
      <c r="X309" s="7"/>
      <c r="Y309" s="7"/>
      <c r="Z309" s="7"/>
    </row>
    <row r="310" spans="1:26" ht="9" customHeight="1" x14ac:dyDescent="0.2">
      <c r="A310" s="534"/>
      <c r="B310" s="534"/>
      <c r="C310" s="44"/>
      <c r="D310" s="45"/>
      <c r="E310" s="96"/>
      <c r="F310" s="96"/>
      <c r="G310" s="96"/>
      <c r="H310" s="96"/>
      <c r="I310" s="96"/>
      <c r="J310" s="54"/>
      <c r="K310" s="96"/>
      <c r="L310" s="96"/>
      <c r="M310" s="39"/>
      <c r="N310" s="96"/>
      <c r="O310" s="96"/>
      <c r="P310" s="96"/>
      <c r="Q310" s="96"/>
      <c r="R310" s="7"/>
      <c r="S310" s="7"/>
      <c r="T310" s="7"/>
      <c r="U310" s="7"/>
      <c r="V310" s="7"/>
      <c r="W310" s="7"/>
      <c r="X310" s="7"/>
      <c r="Y310" s="7"/>
      <c r="Z310" s="7"/>
    </row>
    <row r="311" spans="1:26" ht="9" customHeight="1" x14ac:dyDescent="0.2">
      <c r="A311" s="534"/>
      <c r="B311" s="534"/>
      <c r="C311" s="44"/>
      <c r="D311" s="45"/>
      <c r="E311" s="96"/>
      <c r="F311" s="96"/>
      <c r="G311" s="96"/>
      <c r="H311" s="96"/>
      <c r="I311" s="96"/>
      <c r="J311" s="54"/>
      <c r="K311" s="96"/>
      <c r="L311" s="96"/>
      <c r="M311" s="39"/>
      <c r="N311" s="96"/>
      <c r="O311" s="96"/>
      <c r="P311" s="96"/>
      <c r="Q311" s="96"/>
      <c r="R311" s="7"/>
      <c r="S311" s="7"/>
      <c r="T311" s="7"/>
      <c r="U311" s="7"/>
      <c r="V311" s="7"/>
      <c r="W311" s="7"/>
      <c r="X311" s="7"/>
      <c r="Y311" s="7"/>
      <c r="Z311" s="7"/>
    </row>
    <row r="312" spans="1:26" ht="12.75" customHeight="1" x14ac:dyDescent="0.2">
      <c r="A312" s="534"/>
      <c r="B312" s="534"/>
      <c r="C312" s="40" t="s">
        <v>36</v>
      </c>
      <c r="D312" s="41">
        <v>40</v>
      </c>
      <c r="E312" s="42">
        <v>6482.57</v>
      </c>
      <c r="F312" s="42">
        <v>644.54</v>
      </c>
      <c r="G312" s="42">
        <v>123.95</v>
      </c>
      <c r="H312" s="42">
        <v>6207.16</v>
      </c>
      <c r="I312" s="42">
        <v>167.95</v>
      </c>
      <c r="J312" s="42">
        <v>1121.52</v>
      </c>
      <c r="K312" s="43">
        <v>13626.17</v>
      </c>
      <c r="L312" s="32">
        <v>14747.69</v>
      </c>
      <c r="M312" s="33"/>
      <c r="N312" s="30">
        <v>13626.17</v>
      </c>
      <c r="O312" s="30">
        <v>7419.01</v>
      </c>
      <c r="P312" s="30"/>
      <c r="Q312" s="30">
        <v>16083.11</v>
      </c>
      <c r="R312" s="7"/>
      <c r="S312" s="7"/>
      <c r="T312" s="7"/>
      <c r="U312" s="7"/>
      <c r="V312" s="7"/>
      <c r="W312" s="7"/>
      <c r="X312" s="7"/>
      <c r="Y312" s="7"/>
      <c r="Z312" s="7"/>
    </row>
    <row r="313" spans="1:26" ht="9" customHeight="1" x14ac:dyDescent="0.2">
      <c r="A313" s="535"/>
      <c r="B313" s="535"/>
      <c r="C313" s="47"/>
      <c r="D313" s="48"/>
      <c r="E313" s="46">
        <v>12552006</v>
      </c>
      <c r="F313" s="46">
        <v>1248003</v>
      </c>
      <c r="G313" s="46">
        <v>240001</v>
      </c>
      <c r="H313" s="46">
        <v>12018738</v>
      </c>
      <c r="I313" s="46">
        <v>325197</v>
      </c>
      <c r="J313" s="49">
        <v>2171566</v>
      </c>
      <c r="K313" s="46">
        <v>26383944</v>
      </c>
      <c r="L313" s="38">
        <v>28555510</v>
      </c>
      <c r="M313" s="39"/>
      <c r="N313" s="36">
        <v>26383944</v>
      </c>
      <c r="O313" s="36">
        <v>14365206</v>
      </c>
      <c r="P313" s="36">
        <v>0</v>
      </c>
      <c r="Q313" s="36">
        <v>31141243</v>
      </c>
      <c r="R313" s="7"/>
      <c r="S313" s="7"/>
      <c r="T313" s="7"/>
      <c r="U313" s="7"/>
      <c r="V313" s="7"/>
      <c r="W313" s="7"/>
      <c r="X313" s="7"/>
      <c r="Y313" s="7"/>
      <c r="Z313" s="7"/>
    </row>
    <row r="314" spans="1:26" ht="12.75" customHeight="1" x14ac:dyDescent="0.2">
      <c r="A314" s="538">
        <v>34700</v>
      </c>
      <c r="B314" s="538">
        <v>35033</v>
      </c>
      <c r="C314" s="28" t="s">
        <v>36</v>
      </c>
      <c r="D314" s="29">
        <v>0</v>
      </c>
      <c r="E314" s="30">
        <v>3707.83</v>
      </c>
      <c r="F314" s="30">
        <v>334.66</v>
      </c>
      <c r="G314" s="30">
        <v>123.95</v>
      </c>
      <c r="H314" s="30">
        <v>6207.16</v>
      </c>
      <c r="I314" s="30">
        <v>0</v>
      </c>
      <c r="J314" s="30">
        <v>864.47</v>
      </c>
      <c r="K314" s="31">
        <v>10373.6</v>
      </c>
      <c r="L314" s="120">
        <v>11238.07</v>
      </c>
      <c r="M314" s="33"/>
      <c r="N314" s="30">
        <v>10373.6</v>
      </c>
      <c r="O314" s="30">
        <v>4166.4399999999996</v>
      </c>
      <c r="P314" s="30"/>
      <c r="Q314" s="30">
        <v>11988.03</v>
      </c>
      <c r="R314" s="7"/>
      <c r="S314" s="7"/>
      <c r="T314" s="7"/>
      <c r="U314" s="7"/>
      <c r="V314" s="7"/>
      <c r="W314" s="7"/>
      <c r="X314" s="7"/>
      <c r="Y314" s="7"/>
      <c r="Z314" s="7"/>
    </row>
    <row r="315" spans="1:26" ht="9" customHeight="1" x14ac:dyDescent="0.2">
      <c r="A315" s="534"/>
      <c r="B315" s="534"/>
      <c r="C315" s="34" t="s">
        <v>37</v>
      </c>
      <c r="D315" s="35">
        <v>1</v>
      </c>
      <c r="E315" s="36">
        <v>7179360</v>
      </c>
      <c r="F315" s="36">
        <v>647992</v>
      </c>
      <c r="G315" s="36">
        <v>240001</v>
      </c>
      <c r="H315" s="36">
        <v>12018738</v>
      </c>
      <c r="I315" s="36">
        <v>0</v>
      </c>
      <c r="J315" s="37">
        <v>1673847</v>
      </c>
      <c r="K315" s="36">
        <v>20086090</v>
      </c>
      <c r="L315" s="121">
        <v>21759938</v>
      </c>
      <c r="M315" s="39"/>
      <c r="N315" s="36">
        <v>20086090</v>
      </c>
      <c r="O315" s="36">
        <v>8067353</v>
      </c>
      <c r="P315" s="36">
        <v>0</v>
      </c>
      <c r="Q315" s="36">
        <v>23212063</v>
      </c>
      <c r="R315" s="7"/>
      <c r="S315" s="7"/>
      <c r="T315" s="7"/>
      <c r="U315" s="7"/>
      <c r="V315" s="7"/>
      <c r="W315" s="7"/>
      <c r="X315" s="7"/>
      <c r="Y315" s="7"/>
      <c r="Z315" s="7"/>
    </row>
    <row r="316" spans="1:26" ht="12.75" customHeight="1" x14ac:dyDescent="0.2">
      <c r="A316" s="540">
        <v>34700</v>
      </c>
      <c r="B316" s="540">
        <v>35033</v>
      </c>
      <c r="C316" s="40" t="s">
        <v>36</v>
      </c>
      <c r="D316" s="41">
        <v>2</v>
      </c>
      <c r="E316" s="42">
        <v>3875.16</v>
      </c>
      <c r="F316" s="42">
        <v>353.26</v>
      </c>
      <c r="G316" s="42">
        <v>123.95</v>
      </c>
      <c r="H316" s="42">
        <v>6207.16</v>
      </c>
      <c r="I316" s="42">
        <v>0</v>
      </c>
      <c r="J316" s="42">
        <v>879.96</v>
      </c>
      <c r="K316" s="43">
        <v>10559.53</v>
      </c>
      <c r="L316" s="122">
        <v>11439.49</v>
      </c>
      <c r="M316" s="33"/>
      <c r="N316" s="30">
        <v>10559.53</v>
      </c>
      <c r="O316" s="30">
        <v>4352.37</v>
      </c>
      <c r="P316" s="30"/>
      <c r="Q316" s="30">
        <v>12222.92</v>
      </c>
      <c r="R316" s="7"/>
      <c r="S316" s="7"/>
      <c r="T316" s="7"/>
      <c r="U316" s="7"/>
      <c r="V316" s="7"/>
      <c r="W316" s="7"/>
      <c r="X316" s="7"/>
      <c r="Y316" s="7"/>
      <c r="Z316" s="7"/>
    </row>
    <row r="317" spans="1:26" ht="9" customHeight="1" x14ac:dyDescent="0.2">
      <c r="A317" s="534"/>
      <c r="B317" s="534"/>
      <c r="C317" s="34" t="s">
        <v>37</v>
      </c>
      <c r="D317" s="35">
        <v>3</v>
      </c>
      <c r="E317" s="36">
        <v>7503356</v>
      </c>
      <c r="F317" s="36">
        <v>684007</v>
      </c>
      <c r="G317" s="36">
        <v>240001</v>
      </c>
      <c r="H317" s="36">
        <v>12018738</v>
      </c>
      <c r="I317" s="36">
        <v>0</v>
      </c>
      <c r="J317" s="37">
        <v>1703840</v>
      </c>
      <c r="K317" s="36">
        <v>20446101</v>
      </c>
      <c r="L317" s="121">
        <v>22149941</v>
      </c>
      <c r="M317" s="39"/>
      <c r="N317" s="36">
        <v>20446101</v>
      </c>
      <c r="O317" s="36">
        <v>8427363</v>
      </c>
      <c r="P317" s="36">
        <v>0</v>
      </c>
      <c r="Q317" s="36">
        <v>23666873</v>
      </c>
      <c r="R317" s="7"/>
      <c r="S317" s="7"/>
      <c r="T317" s="7"/>
      <c r="U317" s="7"/>
      <c r="V317" s="7"/>
      <c r="W317" s="7"/>
      <c r="X317" s="7"/>
      <c r="Y317" s="7"/>
      <c r="Z317" s="7"/>
    </row>
    <row r="318" spans="1:26" ht="12.75" customHeight="1" x14ac:dyDescent="0.2">
      <c r="A318" s="534"/>
      <c r="B318" s="534"/>
      <c r="C318" s="40" t="s">
        <v>36</v>
      </c>
      <c r="D318" s="41">
        <v>4</v>
      </c>
      <c r="E318" s="42">
        <v>4054.55</v>
      </c>
      <c r="F318" s="42">
        <v>371.85</v>
      </c>
      <c r="G318" s="42">
        <v>123.95</v>
      </c>
      <c r="H318" s="42">
        <v>6207.16</v>
      </c>
      <c r="I318" s="42">
        <v>0</v>
      </c>
      <c r="J318" s="42">
        <v>896.46</v>
      </c>
      <c r="K318" s="43">
        <v>10757.51</v>
      </c>
      <c r="L318" s="122">
        <v>11653.97</v>
      </c>
      <c r="M318" s="33"/>
      <c r="N318" s="30">
        <v>10757.51</v>
      </c>
      <c r="O318" s="30">
        <v>4550.3500000000004</v>
      </c>
      <c r="P318" s="30"/>
      <c r="Q318" s="30">
        <v>12473.03</v>
      </c>
      <c r="R318" s="7"/>
      <c r="S318" s="7"/>
      <c r="T318" s="7"/>
      <c r="U318" s="7"/>
      <c r="V318" s="7"/>
      <c r="W318" s="7"/>
      <c r="X318" s="7"/>
      <c r="Y318" s="7"/>
      <c r="Z318" s="7"/>
    </row>
    <row r="319" spans="1:26" ht="9" customHeight="1" x14ac:dyDescent="0.2">
      <c r="A319" s="534"/>
      <c r="B319" s="534"/>
      <c r="C319" s="34" t="s">
        <v>37</v>
      </c>
      <c r="D319" s="35">
        <v>5</v>
      </c>
      <c r="E319" s="36">
        <v>7850704</v>
      </c>
      <c r="F319" s="36">
        <v>720002</v>
      </c>
      <c r="G319" s="36">
        <v>240001</v>
      </c>
      <c r="H319" s="36">
        <v>12018738</v>
      </c>
      <c r="I319" s="36">
        <v>0</v>
      </c>
      <c r="J319" s="37">
        <v>1735789</v>
      </c>
      <c r="K319" s="36">
        <v>20829444</v>
      </c>
      <c r="L319" s="121">
        <v>22565232</v>
      </c>
      <c r="M319" s="39"/>
      <c r="N319" s="36">
        <v>20829444</v>
      </c>
      <c r="O319" s="36">
        <v>8810706</v>
      </c>
      <c r="P319" s="36">
        <v>0</v>
      </c>
      <c r="Q319" s="36">
        <v>24151154</v>
      </c>
      <c r="R319" s="7"/>
      <c r="S319" s="7"/>
      <c r="T319" s="7"/>
      <c r="U319" s="7"/>
      <c r="V319" s="7"/>
      <c r="W319" s="7"/>
      <c r="X319" s="7"/>
      <c r="Y319" s="7"/>
      <c r="Z319" s="7"/>
    </row>
    <row r="320" spans="1:26" ht="12.75" customHeight="1" x14ac:dyDescent="0.2">
      <c r="A320" s="534"/>
      <c r="B320" s="534"/>
      <c r="C320" s="40" t="s">
        <v>36</v>
      </c>
      <c r="D320" s="41">
        <v>6</v>
      </c>
      <c r="E320" s="42">
        <v>4327.24</v>
      </c>
      <c r="F320" s="42">
        <v>396.64</v>
      </c>
      <c r="G320" s="42">
        <v>123.95</v>
      </c>
      <c r="H320" s="42">
        <v>6207.16</v>
      </c>
      <c r="I320" s="42">
        <v>0</v>
      </c>
      <c r="J320" s="42">
        <v>921.25</v>
      </c>
      <c r="K320" s="43">
        <v>11054.99</v>
      </c>
      <c r="L320" s="122">
        <v>11976.24</v>
      </c>
      <c r="M320" s="33"/>
      <c r="N320" s="30">
        <v>11054.99</v>
      </c>
      <c r="O320" s="30">
        <v>4847.83</v>
      </c>
      <c r="P320" s="30"/>
      <c r="Q320" s="30">
        <v>12848.85</v>
      </c>
      <c r="R320" s="7"/>
      <c r="S320" s="7"/>
      <c r="T320" s="7"/>
      <c r="U320" s="7"/>
      <c r="V320" s="7"/>
      <c r="W320" s="7"/>
      <c r="X320" s="7"/>
      <c r="Y320" s="7"/>
      <c r="Z320" s="7"/>
    </row>
    <row r="321" spans="1:26" ht="9" customHeight="1" x14ac:dyDescent="0.2">
      <c r="A321" s="534"/>
      <c r="B321" s="534"/>
      <c r="C321" s="34" t="s">
        <v>37</v>
      </c>
      <c r="D321" s="35">
        <v>7</v>
      </c>
      <c r="E321" s="36">
        <v>8378705</v>
      </c>
      <c r="F321" s="36">
        <v>768002</v>
      </c>
      <c r="G321" s="36">
        <v>240001</v>
      </c>
      <c r="H321" s="36">
        <v>12018738</v>
      </c>
      <c r="I321" s="36">
        <v>0</v>
      </c>
      <c r="J321" s="37">
        <v>1783789</v>
      </c>
      <c r="K321" s="36">
        <v>21405445</v>
      </c>
      <c r="L321" s="121">
        <v>23189234</v>
      </c>
      <c r="M321" s="39"/>
      <c r="N321" s="36">
        <v>21405445</v>
      </c>
      <c r="O321" s="36">
        <v>9386708</v>
      </c>
      <c r="P321" s="36">
        <v>0</v>
      </c>
      <c r="Q321" s="36">
        <v>24878843</v>
      </c>
      <c r="R321" s="7"/>
      <c r="S321" s="7"/>
      <c r="T321" s="7"/>
      <c r="U321" s="7"/>
      <c r="V321" s="7"/>
      <c r="W321" s="7"/>
      <c r="X321" s="7"/>
      <c r="Y321" s="7"/>
      <c r="Z321" s="7"/>
    </row>
    <row r="322" spans="1:26" ht="12.75" customHeight="1" x14ac:dyDescent="0.2">
      <c r="A322" s="534"/>
      <c r="B322" s="534"/>
      <c r="C322" s="40" t="s">
        <v>36</v>
      </c>
      <c r="D322" s="41">
        <v>8</v>
      </c>
      <c r="E322" s="42">
        <v>4525.5600000000004</v>
      </c>
      <c r="F322" s="42">
        <v>415.23</v>
      </c>
      <c r="G322" s="42">
        <v>123.95</v>
      </c>
      <c r="H322" s="42">
        <v>6207.16</v>
      </c>
      <c r="I322" s="42">
        <v>0</v>
      </c>
      <c r="J322" s="42">
        <v>939.33</v>
      </c>
      <c r="K322" s="43">
        <v>11271.9</v>
      </c>
      <c r="L322" s="122">
        <v>12211.23</v>
      </c>
      <c r="M322" s="33"/>
      <c r="N322" s="30">
        <v>11271.9</v>
      </c>
      <c r="O322" s="30">
        <v>5064.74</v>
      </c>
      <c r="P322" s="30"/>
      <c r="Q322" s="30">
        <v>13122.88</v>
      </c>
      <c r="R322" s="7"/>
      <c r="S322" s="7"/>
      <c r="T322" s="7"/>
      <c r="U322" s="7"/>
      <c r="V322" s="7"/>
      <c r="W322" s="7"/>
      <c r="X322" s="7"/>
      <c r="Y322" s="7"/>
      <c r="Z322" s="7"/>
    </row>
    <row r="323" spans="1:26" ht="9" customHeight="1" x14ac:dyDescent="0.2">
      <c r="A323" s="534"/>
      <c r="B323" s="534"/>
      <c r="C323" s="34" t="s">
        <v>37</v>
      </c>
      <c r="D323" s="35">
        <v>9</v>
      </c>
      <c r="E323" s="36">
        <v>8762706</v>
      </c>
      <c r="F323" s="36">
        <v>803997</v>
      </c>
      <c r="G323" s="36">
        <v>240001</v>
      </c>
      <c r="H323" s="36">
        <v>12018738</v>
      </c>
      <c r="I323" s="36">
        <v>0</v>
      </c>
      <c r="J323" s="37">
        <v>1818796</v>
      </c>
      <c r="K323" s="36">
        <v>21825442</v>
      </c>
      <c r="L323" s="121">
        <v>23644238</v>
      </c>
      <c r="M323" s="39"/>
      <c r="N323" s="36">
        <v>21825442</v>
      </c>
      <c r="O323" s="36">
        <v>9806704</v>
      </c>
      <c r="P323" s="36">
        <v>0</v>
      </c>
      <c r="Q323" s="36">
        <v>25409439</v>
      </c>
      <c r="R323" s="7"/>
      <c r="S323" s="7"/>
      <c r="T323" s="7"/>
      <c r="U323" s="7"/>
      <c r="V323" s="7"/>
      <c r="W323" s="7"/>
      <c r="X323" s="7"/>
      <c r="Y323" s="7"/>
      <c r="Z323" s="7"/>
    </row>
    <row r="324" spans="1:26" ht="12.75" customHeight="1" x14ac:dyDescent="0.2">
      <c r="A324" s="534"/>
      <c r="B324" s="534"/>
      <c r="C324" s="40" t="s">
        <v>36</v>
      </c>
      <c r="D324" s="41">
        <v>10</v>
      </c>
      <c r="E324" s="42">
        <v>4746.13</v>
      </c>
      <c r="F324" s="42">
        <v>440.02</v>
      </c>
      <c r="G324" s="42">
        <v>123.95</v>
      </c>
      <c r="H324" s="42">
        <v>6207.16</v>
      </c>
      <c r="I324" s="42">
        <v>0</v>
      </c>
      <c r="J324" s="42">
        <v>959.77</v>
      </c>
      <c r="K324" s="43">
        <v>11517.26</v>
      </c>
      <c r="L324" s="122">
        <v>12477.03</v>
      </c>
      <c r="M324" s="33"/>
      <c r="N324" s="30">
        <v>11517.26</v>
      </c>
      <c r="O324" s="30">
        <v>5310.1</v>
      </c>
      <c r="P324" s="30"/>
      <c r="Q324" s="30">
        <v>13432.85</v>
      </c>
      <c r="R324" s="7"/>
      <c r="S324" s="7"/>
      <c r="T324" s="7"/>
      <c r="U324" s="7"/>
      <c r="V324" s="7"/>
      <c r="W324" s="7"/>
      <c r="X324" s="7"/>
      <c r="Y324" s="7"/>
      <c r="Z324" s="7"/>
    </row>
    <row r="325" spans="1:26" ht="9" customHeight="1" x14ac:dyDescent="0.2">
      <c r="A325" s="534"/>
      <c r="B325" s="534"/>
      <c r="C325" s="34" t="s">
        <v>37</v>
      </c>
      <c r="D325" s="35">
        <v>11</v>
      </c>
      <c r="E325" s="36">
        <v>9189789</v>
      </c>
      <c r="F325" s="36">
        <v>851998</v>
      </c>
      <c r="G325" s="36">
        <v>240001</v>
      </c>
      <c r="H325" s="36">
        <v>12018738</v>
      </c>
      <c r="I325" s="36">
        <v>0</v>
      </c>
      <c r="J325" s="37">
        <v>1858374</v>
      </c>
      <c r="K325" s="36">
        <v>22300525</v>
      </c>
      <c r="L325" s="121">
        <v>24158899</v>
      </c>
      <c r="M325" s="39"/>
      <c r="N325" s="36">
        <v>22300525</v>
      </c>
      <c r="O325" s="36">
        <v>10281787</v>
      </c>
      <c r="P325" s="36">
        <v>0</v>
      </c>
      <c r="Q325" s="36">
        <v>26009624</v>
      </c>
      <c r="R325" s="7"/>
      <c r="S325" s="7"/>
      <c r="T325" s="7"/>
      <c r="U325" s="7"/>
      <c r="V325" s="7"/>
      <c r="W325" s="7"/>
      <c r="X325" s="7"/>
      <c r="Y325" s="7"/>
      <c r="Z325" s="7"/>
    </row>
    <row r="326" spans="1:26" ht="12.75" customHeight="1" x14ac:dyDescent="0.2">
      <c r="A326" s="534"/>
      <c r="B326" s="534"/>
      <c r="C326" s="40" t="s">
        <v>36</v>
      </c>
      <c r="D326" s="41">
        <v>12</v>
      </c>
      <c r="E326" s="42">
        <v>4944.45</v>
      </c>
      <c r="F326" s="42">
        <v>458.61</v>
      </c>
      <c r="G326" s="42">
        <v>123.95</v>
      </c>
      <c r="H326" s="42">
        <v>6207.16</v>
      </c>
      <c r="I326" s="42">
        <v>0</v>
      </c>
      <c r="J326" s="42">
        <v>977.85</v>
      </c>
      <c r="K326" s="43">
        <v>11734.17</v>
      </c>
      <c r="L326" s="122">
        <v>12712.02</v>
      </c>
      <c r="M326" s="33"/>
      <c r="N326" s="30">
        <v>11734.17</v>
      </c>
      <c r="O326" s="30">
        <v>5527.01</v>
      </c>
      <c r="P326" s="30"/>
      <c r="Q326" s="30">
        <v>13706.88</v>
      </c>
      <c r="R326" s="7"/>
      <c r="S326" s="7"/>
      <c r="T326" s="7"/>
      <c r="U326" s="7"/>
      <c r="V326" s="7"/>
      <c r="W326" s="7"/>
      <c r="X326" s="7"/>
      <c r="Y326" s="7"/>
      <c r="Z326" s="7"/>
    </row>
    <row r="327" spans="1:26" ht="9" customHeight="1" x14ac:dyDescent="0.2">
      <c r="A327" s="534"/>
      <c r="B327" s="534"/>
      <c r="C327" s="34" t="s">
        <v>37</v>
      </c>
      <c r="D327" s="35">
        <v>13</v>
      </c>
      <c r="E327" s="36">
        <v>9573790</v>
      </c>
      <c r="F327" s="36">
        <v>887993</v>
      </c>
      <c r="G327" s="36">
        <v>240001</v>
      </c>
      <c r="H327" s="36">
        <v>12018738</v>
      </c>
      <c r="I327" s="36">
        <v>0</v>
      </c>
      <c r="J327" s="37">
        <v>1893382</v>
      </c>
      <c r="K327" s="36">
        <v>22720521</v>
      </c>
      <c r="L327" s="121">
        <v>24613903</v>
      </c>
      <c r="M327" s="39"/>
      <c r="N327" s="36">
        <v>22720521</v>
      </c>
      <c r="O327" s="36">
        <v>10701784</v>
      </c>
      <c r="P327" s="36">
        <v>0</v>
      </c>
      <c r="Q327" s="36">
        <v>26540221</v>
      </c>
      <c r="R327" s="7"/>
      <c r="S327" s="7"/>
      <c r="T327" s="7"/>
      <c r="U327" s="7"/>
      <c r="V327" s="7"/>
      <c r="W327" s="7"/>
      <c r="X327" s="7"/>
      <c r="Y327" s="7"/>
      <c r="Z327" s="7"/>
    </row>
    <row r="328" spans="1:26" ht="12.75" customHeight="1" x14ac:dyDescent="0.2">
      <c r="A328" s="534"/>
      <c r="B328" s="534"/>
      <c r="C328" s="40" t="s">
        <v>36</v>
      </c>
      <c r="D328" s="41">
        <v>14</v>
      </c>
      <c r="E328" s="42">
        <v>5148.97</v>
      </c>
      <c r="F328" s="42">
        <v>477.21</v>
      </c>
      <c r="G328" s="42">
        <v>123.95</v>
      </c>
      <c r="H328" s="42">
        <v>6207.16</v>
      </c>
      <c r="I328" s="42">
        <v>0</v>
      </c>
      <c r="J328" s="42">
        <v>996.44</v>
      </c>
      <c r="K328" s="43">
        <v>11957.29</v>
      </c>
      <c r="L328" s="122">
        <v>12953.73</v>
      </c>
      <c r="M328" s="33"/>
      <c r="N328" s="30">
        <v>11957.29</v>
      </c>
      <c r="O328" s="30">
        <v>5750.13</v>
      </c>
      <c r="P328" s="30"/>
      <c r="Q328" s="30">
        <v>13988.75</v>
      </c>
      <c r="R328" s="7"/>
      <c r="S328" s="7"/>
      <c r="T328" s="7"/>
      <c r="U328" s="7"/>
      <c r="V328" s="7"/>
      <c r="W328" s="7"/>
      <c r="X328" s="7"/>
      <c r="Y328" s="7"/>
      <c r="Z328" s="7"/>
    </row>
    <row r="329" spans="1:26" ht="9" customHeight="1" x14ac:dyDescent="0.2">
      <c r="A329" s="534"/>
      <c r="B329" s="534"/>
      <c r="C329" s="34" t="s">
        <v>37</v>
      </c>
      <c r="D329" s="35">
        <v>15</v>
      </c>
      <c r="E329" s="36">
        <v>9969796</v>
      </c>
      <c r="F329" s="36">
        <v>924007</v>
      </c>
      <c r="G329" s="36">
        <v>240001</v>
      </c>
      <c r="H329" s="36">
        <v>12018738</v>
      </c>
      <c r="I329" s="36">
        <v>0</v>
      </c>
      <c r="J329" s="37">
        <v>1929377</v>
      </c>
      <c r="K329" s="36">
        <v>23152542</v>
      </c>
      <c r="L329" s="121">
        <v>25081919</v>
      </c>
      <c r="M329" s="39"/>
      <c r="N329" s="36">
        <v>23152542</v>
      </c>
      <c r="O329" s="36">
        <v>11133804</v>
      </c>
      <c r="P329" s="36">
        <v>0</v>
      </c>
      <c r="Q329" s="36">
        <v>27085997</v>
      </c>
      <c r="R329" s="7"/>
      <c r="S329" s="7"/>
      <c r="T329" s="7"/>
      <c r="U329" s="7"/>
      <c r="V329" s="7"/>
      <c r="W329" s="7"/>
      <c r="X329" s="7"/>
      <c r="Y329" s="7"/>
      <c r="Z329" s="7"/>
    </row>
    <row r="330" spans="1:26" ht="12.75" customHeight="1" x14ac:dyDescent="0.2">
      <c r="A330" s="534"/>
      <c r="B330" s="534"/>
      <c r="C330" s="40" t="s">
        <v>36</v>
      </c>
      <c r="D330" s="41">
        <v>16</v>
      </c>
      <c r="E330" s="42">
        <v>5368.17</v>
      </c>
      <c r="F330" s="42">
        <v>495.8</v>
      </c>
      <c r="G330" s="42">
        <v>123.95</v>
      </c>
      <c r="H330" s="42">
        <v>6207.16</v>
      </c>
      <c r="I330" s="42">
        <v>0</v>
      </c>
      <c r="J330" s="42">
        <v>1016.26</v>
      </c>
      <c r="K330" s="43">
        <v>12195.08</v>
      </c>
      <c r="L330" s="122">
        <v>13211.34</v>
      </c>
      <c r="M330" s="33"/>
      <c r="N330" s="30">
        <v>12195.08</v>
      </c>
      <c r="O330" s="30">
        <v>5987.92</v>
      </c>
      <c r="P330" s="30"/>
      <c r="Q330" s="30">
        <v>14289.17</v>
      </c>
      <c r="R330" s="7"/>
      <c r="S330" s="7"/>
      <c r="T330" s="7"/>
      <c r="U330" s="7"/>
      <c r="V330" s="7"/>
      <c r="W330" s="7"/>
      <c r="X330" s="7"/>
      <c r="Y330" s="7"/>
      <c r="Z330" s="7"/>
    </row>
    <row r="331" spans="1:26" ht="9" customHeight="1" x14ac:dyDescent="0.2">
      <c r="A331" s="534"/>
      <c r="B331" s="534"/>
      <c r="C331" s="34" t="s">
        <v>37</v>
      </c>
      <c r="D331" s="35">
        <v>17</v>
      </c>
      <c r="E331" s="36">
        <v>10394227</v>
      </c>
      <c r="F331" s="36">
        <v>960003</v>
      </c>
      <c r="G331" s="36">
        <v>240001</v>
      </c>
      <c r="H331" s="36">
        <v>12018738</v>
      </c>
      <c r="I331" s="36">
        <v>0</v>
      </c>
      <c r="J331" s="37">
        <v>1967754</v>
      </c>
      <c r="K331" s="36">
        <v>23612968</v>
      </c>
      <c r="L331" s="121">
        <v>25580721</v>
      </c>
      <c r="M331" s="39"/>
      <c r="N331" s="36">
        <v>23612968</v>
      </c>
      <c r="O331" s="36">
        <v>11594230</v>
      </c>
      <c r="P331" s="36">
        <v>0</v>
      </c>
      <c r="Q331" s="36">
        <v>27667691</v>
      </c>
      <c r="R331" s="7"/>
      <c r="S331" s="7"/>
      <c r="T331" s="7"/>
      <c r="U331" s="7"/>
      <c r="V331" s="7"/>
      <c r="W331" s="7"/>
      <c r="X331" s="7"/>
      <c r="Y331" s="7"/>
      <c r="Z331" s="7"/>
    </row>
    <row r="332" spans="1:26" ht="12.75" customHeight="1" x14ac:dyDescent="0.2">
      <c r="A332" s="534"/>
      <c r="B332" s="534"/>
      <c r="C332" s="40" t="s">
        <v>36</v>
      </c>
      <c r="D332" s="41">
        <v>18</v>
      </c>
      <c r="E332" s="42">
        <v>5566.49</v>
      </c>
      <c r="F332" s="42">
        <v>514.39</v>
      </c>
      <c r="G332" s="42">
        <v>123.95</v>
      </c>
      <c r="H332" s="42">
        <v>6207.16</v>
      </c>
      <c r="I332" s="42">
        <v>0</v>
      </c>
      <c r="J332" s="42">
        <v>1034.33</v>
      </c>
      <c r="K332" s="43">
        <v>12411.99</v>
      </c>
      <c r="L332" s="122">
        <v>13446.32</v>
      </c>
      <c r="M332" s="33"/>
      <c r="N332" s="30">
        <v>12411.99</v>
      </c>
      <c r="O332" s="30">
        <v>6204.83</v>
      </c>
      <c r="P332" s="30"/>
      <c r="Q332" s="30">
        <v>14563.19</v>
      </c>
      <c r="R332" s="7"/>
      <c r="S332" s="7"/>
      <c r="T332" s="7"/>
      <c r="U332" s="7"/>
      <c r="V332" s="7"/>
      <c r="W332" s="7"/>
      <c r="X332" s="7"/>
      <c r="Y332" s="7"/>
      <c r="Z332" s="7"/>
    </row>
    <row r="333" spans="1:26" ht="9" customHeight="1" x14ac:dyDescent="0.2">
      <c r="A333" s="534"/>
      <c r="B333" s="534"/>
      <c r="C333" s="34" t="s">
        <v>37</v>
      </c>
      <c r="D333" s="35">
        <v>19</v>
      </c>
      <c r="E333" s="36">
        <v>10778228</v>
      </c>
      <c r="F333" s="36">
        <v>995998</v>
      </c>
      <c r="G333" s="36">
        <v>240001</v>
      </c>
      <c r="H333" s="36">
        <v>12018738</v>
      </c>
      <c r="I333" s="36">
        <v>0</v>
      </c>
      <c r="J333" s="37">
        <v>2002742</v>
      </c>
      <c r="K333" s="36">
        <v>24032964</v>
      </c>
      <c r="L333" s="121">
        <v>26035706</v>
      </c>
      <c r="M333" s="39"/>
      <c r="N333" s="36">
        <v>24032964</v>
      </c>
      <c r="O333" s="36">
        <v>12014226</v>
      </c>
      <c r="P333" s="36">
        <v>0</v>
      </c>
      <c r="Q333" s="36">
        <v>28198268</v>
      </c>
      <c r="R333" s="7"/>
      <c r="S333" s="7"/>
      <c r="T333" s="7"/>
      <c r="U333" s="7"/>
      <c r="V333" s="7"/>
      <c r="W333" s="7"/>
      <c r="X333" s="7"/>
      <c r="Y333" s="7"/>
      <c r="Z333" s="7"/>
    </row>
    <row r="334" spans="1:26" ht="12.75" customHeight="1" x14ac:dyDescent="0.2">
      <c r="A334" s="534"/>
      <c r="B334" s="534"/>
      <c r="C334" s="40" t="s">
        <v>36</v>
      </c>
      <c r="D334" s="41">
        <v>20</v>
      </c>
      <c r="E334" s="42">
        <v>5771.01</v>
      </c>
      <c r="F334" s="42">
        <v>539.17999999999995</v>
      </c>
      <c r="G334" s="42">
        <v>123.95</v>
      </c>
      <c r="H334" s="42">
        <v>6207.16</v>
      </c>
      <c r="I334" s="42">
        <v>0</v>
      </c>
      <c r="J334" s="42">
        <v>1053.44</v>
      </c>
      <c r="K334" s="43">
        <v>12641.3</v>
      </c>
      <c r="L334" s="122">
        <v>13694.74</v>
      </c>
      <c r="M334" s="33"/>
      <c r="N334" s="30">
        <v>12641.3</v>
      </c>
      <c r="O334" s="30">
        <v>6434.14</v>
      </c>
      <c r="P334" s="30"/>
      <c r="Q334" s="30">
        <v>14852.89</v>
      </c>
      <c r="R334" s="7"/>
      <c r="S334" s="7"/>
      <c r="T334" s="7"/>
      <c r="U334" s="7"/>
      <c r="V334" s="7"/>
      <c r="W334" s="7"/>
      <c r="X334" s="7"/>
      <c r="Y334" s="7"/>
      <c r="Z334" s="7"/>
    </row>
    <row r="335" spans="1:26" ht="9" customHeight="1" x14ac:dyDescent="0.2">
      <c r="A335" s="534"/>
      <c r="B335" s="534"/>
      <c r="C335" s="34" t="s">
        <v>37</v>
      </c>
      <c r="D335" s="35">
        <v>21</v>
      </c>
      <c r="E335" s="36">
        <v>11174234</v>
      </c>
      <c r="F335" s="36">
        <v>1043998</v>
      </c>
      <c r="G335" s="36">
        <v>240001</v>
      </c>
      <c r="H335" s="36">
        <v>12018738</v>
      </c>
      <c r="I335" s="36">
        <v>0</v>
      </c>
      <c r="J335" s="37">
        <v>2039744</v>
      </c>
      <c r="K335" s="36">
        <v>24476970</v>
      </c>
      <c r="L335" s="121">
        <v>26516714</v>
      </c>
      <c r="M335" s="39"/>
      <c r="N335" s="36">
        <v>24476970</v>
      </c>
      <c r="O335" s="36">
        <v>12458232</v>
      </c>
      <c r="P335" s="36">
        <v>0</v>
      </c>
      <c r="Q335" s="36">
        <v>28759205</v>
      </c>
      <c r="R335" s="7"/>
      <c r="S335" s="7"/>
      <c r="T335" s="7"/>
      <c r="U335" s="7"/>
      <c r="V335" s="7"/>
      <c r="W335" s="7"/>
      <c r="X335" s="7"/>
      <c r="Y335" s="7"/>
      <c r="Z335" s="7"/>
    </row>
    <row r="336" spans="1:26" ht="12.75" customHeight="1" x14ac:dyDescent="0.2">
      <c r="A336" s="534"/>
      <c r="B336" s="534"/>
      <c r="C336" s="40" t="s">
        <v>36</v>
      </c>
      <c r="D336" s="41">
        <v>22</v>
      </c>
      <c r="E336" s="42">
        <v>5897.26</v>
      </c>
      <c r="F336" s="42">
        <v>545.38</v>
      </c>
      <c r="G336" s="42">
        <v>123.95</v>
      </c>
      <c r="H336" s="42">
        <v>6207.16</v>
      </c>
      <c r="I336" s="42">
        <v>0</v>
      </c>
      <c r="J336" s="42">
        <v>1064.48</v>
      </c>
      <c r="K336" s="43">
        <v>12773.75</v>
      </c>
      <c r="L336" s="122">
        <v>13838.23</v>
      </c>
      <c r="M336" s="33"/>
      <c r="N336" s="30">
        <v>12773.75</v>
      </c>
      <c r="O336" s="30">
        <v>6566.59</v>
      </c>
      <c r="P336" s="30"/>
      <c r="Q336" s="30">
        <v>15020.22</v>
      </c>
      <c r="R336" s="7"/>
      <c r="S336" s="7"/>
      <c r="T336" s="7"/>
      <c r="U336" s="7"/>
      <c r="V336" s="7"/>
      <c r="W336" s="7"/>
      <c r="X336" s="7"/>
      <c r="Y336" s="7"/>
      <c r="Z336" s="7"/>
    </row>
    <row r="337" spans="1:26" ht="9" customHeight="1" x14ac:dyDescent="0.2">
      <c r="A337" s="534"/>
      <c r="B337" s="534"/>
      <c r="C337" s="34" t="s">
        <v>37</v>
      </c>
      <c r="D337" s="35">
        <v>23</v>
      </c>
      <c r="E337" s="36">
        <v>11418688</v>
      </c>
      <c r="F337" s="36">
        <v>1056003</v>
      </c>
      <c r="G337" s="36">
        <v>240001</v>
      </c>
      <c r="H337" s="36">
        <v>12018738</v>
      </c>
      <c r="I337" s="36">
        <v>0</v>
      </c>
      <c r="J337" s="37">
        <v>2061121</v>
      </c>
      <c r="K337" s="36">
        <v>24733429</v>
      </c>
      <c r="L337" s="121">
        <v>26794550</v>
      </c>
      <c r="M337" s="39"/>
      <c r="N337" s="36">
        <v>24733429</v>
      </c>
      <c r="O337" s="36">
        <v>12714691</v>
      </c>
      <c r="P337" s="36">
        <v>0</v>
      </c>
      <c r="Q337" s="36">
        <v>29083201</v>
      </c>
      <c r="R337" s="7"/>
      <c r="S337" s="7"/>
      <c r="T337" s="7"/>
      <c r="U337" s="7"/>
      <c r="V337" s="7"/>
      <c r="W337" s="7"/>
      <c r="X337" s="7"/>
      <c r="Y337" s="7"/>
      <c r="Z337" s="7"/>
    </row>
    <row r="338" spans="1:26" ht="12.75" customHeight="1" x14ac:dyDescent="0.2">
      <c r="A338" s="534"/>
      <c r="B338" s="534"/>
      <c r="C338" s="40" t="s">
        <v>36</v>
      </c>
      <c r="D338" s="41">
        <v>24</v>
      </c>
      <c r="E338" s="42">
        <v>6002.62</v>
      </c>
      <c r="F338" s="42">
        <v>557.77</v>
      </c>
      <c r="G338" s="42">
        <v>123.95</v>
      </c>
      <c r="H338" s="42">
        <v>6207.16</v>
      </c>
      <c r="I338" s="42">
        <v>0</v>
      </c>
      <c r="J338" s="42">
        <v>1074.29</v>
      </c>
      <c r="K338" s="43">
        <v>12891.5</v>
      </c>
      <c r="L338" s="122">
        <v>13965.79</v>
      </c>
      <c r="M338" s="33"/>
      <c r="N338" s="30">
        <v>12891.5</v>
      </c>
      <c r="O338" s="30">
        <v>6684.34</v>
      </c>
      <c r="P338" s="30"/>
      <c r="Q338" s="30">
        <v>15168.97</v>
      </c>
      <c r="R338" s="7"/>
      <c r="S338" s="7"/>
      <c r="T338" s="7"/>
      <c r="U338" s="7"/>
      <c r="V338" s="7"/>
      <c r="W338" s="7"/>
      <c r="X338" s="7"/>
      <c r="Y338" s="7"/>
      <c r="Z338" s="7"/>
    </row>
    <row r="339" spans="1:26" ht="9" customHeight="1" x14ac:dyDescent="0.2">
      <c r="A339" s="534"/>
      <c r="B339" s="534"/>
      <c r="C339" s="34" t="s">
        <v>37</v>
      </c>
      <c r="D339" s="35">
        <v>25</v>
      </c>
      <c r="E339" s="36">
        <v>11622693</v>
      </c>
      <c r="F339" s="36">
        <v>1079993</v>
      </c>
      <c r="G339" s="36">
        <v>240001</v>
      </c>
      <c r="H339" s="36">
        <v>12018738</v>
      </c>
      <c r="I339" s="36">
        <v>0</v>
      </c>
      <c r="J339" s="37">
        <v>2080115</v>
      </c>
      <c r="K339" s="36">
        <v>24961425</v>
      </c>
      <c r="L339" s="121">
        <v>27041540</v>
      </c>
      <c r="M339" s="39"/>
      <c r="N339" s="36">
        <v>24961425</v>
      </c>
      <c r="O339" s="36">
        <v>12942687</v>
      </c>
      <c r="P339" s="36">
        <v>0</v>
      </c>
      <c r="Q339" s="36">
        <v>29371222</v>
      </c>
      <c r="R339" s="7"/>
      <c r="S339" s="7"/>
      <c r="T339" s="7"/>
      <c r="U339" s="7"/>
      <c r="V339" s="7"/>
      <c r="W339" s="7"/>
      <c r="X339" s="7"/>
      <c r="Y339" s="7"/>
      <c r="Z339" s="7"/>
    </row>
    <row r="340" spans="1:26" ht="12.75" customHeight="1" x14ac:dyDescent="0.2">
      <c r="A340" s="534"/>
      <c r="B340" s="534"/>
      <c r="C340" s="40" t="s">
        <v>36</v>
      </c>
      <c r="D340" s="41">
        <v>26</v>
      </c>
      <c r="E340" s="42">
        <v>6114.17</v>
      </c>
      <c r="F340" s="42">
        <v>570.16999999999996</v>
      </c>
      <c r="G340" s="42">
        <v>123.95</v>
      </c>
      <c r="H340" s="42">
        <v>6207.16</v>
      </c>
      <c r="I340" s="42">
        <v>0</v>
      </c>
      <c r="J340" s="42">
        <v>1084.6199999999999</v>
      </c>
      <c r="K340" s="43">
        <v>13015.45</v>
      </c>
      <c r="L340" s="122">
        <v>14100.07</v>
      </c>
      <c r="M340" s="33"/>
      <c r="N340" s="30">
        <v>13015.45</v>
      </c>
      <c r="O340" s="30">
        <v>6808.29</v>
      </c>
      <c r="P340" s="30"/>
      <c r="Q340" s="30">
        <v>15325.56</v>
      </c>
      <c r="R340" s="7"/>
      <c r="S340" s="7"/>
      <c r="T340" s="7"/>
      <c r="U340" s="7"/>
      <c r="V340" s="7"/>
      <c r="W340" s="7"/>
      <c r="X340" s="7"/>
      <c r="Y340" s="7"/>
      <c r="Z340" s="7"/>
    </row>
    <row r="341" spans="1:26" ht="9" customHeight="1" x14ac:dyDescent="0.2">
      <c r="A341" s="534"/>
      <c r="B341" s="534"/>
      <c r="C341" s="34" t="s">
        <v>37</v>
      </c>
      <c r="D341" s="35">
        <v>27</v>
      </c>
      <c r="E341" s="36">
        <v>11838684</v>
      </c>
      <c r="F341" s="36">
        <v>1104003</v>
      </c>
      <c r="G341" s="36">
        <v>240001</v>
      </c>
      <c r="H341" s="36">
        <v>12018738</v>
      </c>
      <c r="I341" s="36">
        <v>0</v>
      </c>
      <c r="J341" s="37">
        <v>2100117</v>
      </c>
      <c r="K341" s="36">
        <v>25201425</v>
      </c>
      <c r="L341" s="121">
        <v>27301543</v>
      </c>
      <c r="M341" s="39"/>
      <c r="N341" s="36">
        <v>25201425</v>
      </c>
      <c r="O341" s="36">
        <v>13182688</v>
      </c>
      <c r="P341" s="36">
        <v>0</v>
      </c>
      <c r="Q341" s="36">
        <v>29674422</v>
      </c>
      <c r="R341" s="7"/>
      <c r="S341" s="7"/>
      <c r="T341" s="7"/>
      <c r="U341" s="7"/>
      <c r="V341" s="7"/>
      <c r="W341" s="7"/>
      <c r="X341" s="7"/>
      <c r="Y341" s="7"/>
      <c r="Z341" s="7"/>
    </row>
    <row r="342" spans="1:26" ht="12.75" customHeight="1" x14ac:dyDescent="0.2">
      <c r="A342" s="534"/>
      <c r="B342" s="534"/>
      <c r="C342" s="40" t="s">
        <v>36</v>
      </c>
      <c r="D342" s="41">
        <v>28</v>
      </c>
      <c r="E342" s="42">
        <v>6234.36</v>
      </c>
      <c r="F342" s="42">
        <v>582.55999999999995</v>
      </c>
      <c r="G342" s="42">
        <v>123.95</v>
      </c>
      <c r="H342" s="42">
        <v>6207.16</v>
      </c>
      <c r="I342" s="42">
        <v>0</v>
      </c>
      <c r="J342" s="42">
        <v>1095.67</v>
      </c>
      <c r="K342" s="43">
        <v>13148.03</v>
      </c>
      <c r="L342" s="122">
        <v>14243.7</v>
      </c>
      <c r="M342" s="33"/>
      <c r="N342" s="30">
        <v>13148.03</v>
      </c>
      <c r="O342" s="30">
        <v>6940.87</v>
      </c>
      <c r="P342" s="30"/>
      <c r="Q342" s="30">
        <v>15493.06</v>
      </c>
      <c r="R342" s="7"/>
      <c r="S342" s="7"/>
      <c r="T342" s="7"/>
      <c r="U342" s="7"/>
      <c r="V342" s="7"/>
      <c r="W342" s="7"/>
      <c r="X342" s="7"/>
      <c r="Y342" s="7"/>
      <c r="Z342" s="7"/>
    </row>
    <row r="343" spans="1:26" ht="9" customHeight="1" x14ac:dyDescent="0.2">
      <c r="A343" s="534"/>
      <c r="B343" s="534"/>
      <c r="C343" s="34" t="s">
        <v>37</v>
      </c>
      <c r="D343" s="35">
        <v>29</v>
      </c>
      <c r="E343" s="36">
        <v>12071404</v>
      </c>
      <c r="F343" s="36">
        <v>1127993</v>
      </c>
      <c r="G343" s="36">
        <v>240001</v>
      </c>
      <c r="H343" s="36">
        <v>12018738</v>
      </c>
      <c r="I343" s="36">
        <v>0</v>
      </c>
      <c r="J343" s="37">
        <v>2121513</v>
      </c>
      <c r="K343" s="36">
        <v>25458136</v>
      </c>
      <c r="L343" s="121">
        <v>27579649</v>
      </c>
      <c r="M343" s="39"/>
      <c r="N343" s="36">
        <v>25458136</v>
      </c>
      <c r="O343" s="36">
        <v>13439398</v>
      </c>
      <c r="P343" s="36">
        <v>0</v>
      </c>
      <c r="Q343" s="36">
        <v>29998747</v>
      </c>
      <c r="R343" s="7"/>
      <c r="S343" s="7"/>
      <c r="T343" s="7"/>
      <c r="U343" s="7"/>
      <c r="V343" s="7"/>
      <c r="W343" s="7"/>
      <c r="X343" s="7"/>
      <c r="Y343" s="7"/>
      <c r="Z343" s="7"/>
    </row>
    <row r="344" spans="1:26" ht="12.75" customHeight="1" x14ac:dyDescent="0.2">
      <c r="A344" s="534"/>
      <c r="B344" s="534"/>
      <c r="C344" s="40" t="s">
        <v>36</v>
      </c>
      <c r="D344" s="41">
        <v>30</v>
      </c>
      <c r="E344" s="42">
        <v>6345.92</v>
      </c>
      <c r="F344" s="42">
        <v>588.76</v>
      </c>
      <c r="G344" s="42">
        <v>123.95</v>
      </c>
      <c r="H344" s="42">
        <v>6207.16</v>
      </c>
      <c r="I344" s="42">
        <v>0</v>
      </c>
      <c r="J344" s="42">
        <v>1105.48</v>
      </c>
      <c r="K344" s="43">
        <v>13265.79</v>
      </c>
      <c r="L344" s="122">
        <v>14371.27</v>
      </c>
      <c r="M344" s="33"/>
      <c r="N344" s="30">
        <v>13265.79</v>
      </c>
      <c r="O344" s="30">
        <v>7058.63</v>
      </c>
      <c r="P344" s="30"/>
      <c r="Q344" s="30">
        <v>15641.82</v>
      </c>
      <c r="R344" s="7"/>
      <c r="S344" s="7"/>
      <c r="T344" s="7"/>
      <c r="U344" s="7"/>
      <c r="V344" s="7"/>
      <c r="W344" s="7"/>
      <c r="X344" s="7"/>
      <c r="Y344" s="7"/>
      <c r="Z344" s="7"/>
    </row>
    <row r="345" spans="1:26" ht="9" customHeight="1" x14ac:dyDescent="0.2">
      <c r="A345" s="534"/>
      <c r="B345" s="534"/>
      <c r="C345" s="34" t="s">
        <v>37</v>
      </c>
      <c r="D345" s="35">
        <v>31</v>
      </c>
      <c r="E345" s="36">
        <v>12287415</v>
      </c>
      <c r="F345" s="36">
        <v>1139998</v>
      </c>
      <c r="G345" s="36">
        <v>240001</v>
      </c>
      <c r="H345" s="36">
        <v>12018738</v>
      </c>
      <c r="I345" s="36">
        <v>0</v>
      </c>
      <c r="J345" s="37">
        <v>2140508</v>
      </c>
      <c r="K345" s="36">
        <v>25686151</v>
      </c>
      <c r="L345" s="121">
        <v>27826659</v>
      </c>
      <c r="M345" s="39"/>
      <c r="N345" s="36">
        <v>25686151</v>
      </c>
      <c r="O345" s="36">
        <v>13667414</v>
      </c>
      <c r="P345" s="36">
        <v>0</v>
      </c>
      <c r="Q345" s="36">
        <v>30286787</v>
      </c>
      <c r="R345" s="7"/>
      <c r="S345" s="7"/>
      <c r="T345" s="7"/>
      <c r="U345" s="7"/>
      <c r="V345" s="7"/>
      <c r="W345" s="7"/>
      <c r="X345" s="7"/>
      <c r="Y345" s="7"/>
      <c r="Z345" s="7"/>
    </row>
    <row r="346" spans="1:26" ht="12.75" customHeight="1" x14ac:dyDescent="0.2">
      <c r="A346" s="534"/>
      <c r="B346" s="534"/>
      <c r="C346" s="40" t="s">
        <v>36</v>
      </c>
      <c r="D346" s="41">
        <v>32</v>
      </c>
      <c r="E346" s="42">
        <v>6451.28</v>
      </c>
      <c r="F346" s="42">
        <v>601.16</v>
      </c>
      <c r="G346" s="42">
        <v>123.95</v>
      </c>
      <c r="H346" s="42">
        <v>6207.16</v>
      </c>
      <c r="I346" s="42">
        <v>0</v>
      </c>
      <c r="J346" s="42">
        <v>1115.3</v>
      </c>
      <c r="K346" s="43">
        <v>13383.55</v>
      </c>
      <c r="L346" s="122">
        <v>14498.85</v>
      </c>
      <c r="M346" s="33"/>
      <c r="N346" s="30">
        <v>13383.55</v>
      </c>
      <c r="O346" s="30">
        <v>7176.39</v>
      </c>
      <c r="P346" s="30"/>
      <c r="Q346" s="30">
        <v>15790.6</v>
      </c>
      <c r="R346" s="7"/>
      <c r="S346" s="7"/>
      <c r="T346" s="7"/>
      <c r="U346" s="7"/>
      <c r="V346" s="7"/>
      <c r="W346" s="7"/>
      <c r="X346" s="7"/>
      <c r="Y346" s="7"/>
      <c r="Z346" s="7"/>
    </row>
    <row r="347" spans="1:26" ht="9" customHeight="1" x14ac:dyDescent="0.2">
      <c r="A347" s="534"/>
      <c r="B347" s="534"/>
      <c r="C347" s="34" t="s">
        <v>37</v>
      </c>
      <c r="D347" s="35">
        <v>33</v>
      </c>
      <c r="E347" s="36">
        <v>12491420</v>
      </c>
      <c r="F347" s="36">
        <v>1164008</v>
      </c>
      <c r="G347" s="36">
        <v>240001</v>
      </c>
      <c r="H347" s="36">
        <v>12018738</v>
      </c>
      <c r="I347" s="36">
        <v>0</v>
      </c>
      <c r="J347" s="37">
        <v>2159522</v>
      </c>
      <c r="K347" s="36">
        <v>25914166</v>
      </c>
      <c r="L347" s="121">
        <v>28073688</v>
      </c>
      <c r="M347" s="39"/>
      <c r="N347" s="36">
        <v>25914166</v>
      </c>
      <c r="O347" s="36">
        <v>13895429</v>
      </c>
      <c r="P347" s="36">
        <v>0</v>
      </c>
      <c r="Q347" s="36">
        <v>30574865</v>
      </c>
      <c r="R347" s="7"/>
      <c r="S347" s="7"/>
      <c r="T347" s="7"/>
      <c r="U347" s="7"/>
      <c r="V347" s="7"/>
      <c r="W347" s="7"/>
      <c r="X347" s="7"/>
      <c r="Y347" s="7"/>
      <c r="Z347" s="7"/>
    </row>
    <row r="348" spans="1:26" ht="12.75" customHeight="1" x14ac:dyDescent="0.2">
      <c r="A348" s="534"/>
      <c r="B348" s="534"/>
      <c r="C348" s="40" t="s">
        <v>36</v>
      </c>
      <c r="D348" s="41">
        <v>34</v>
      </c>
      <c r="E348" s="42">
        <v>6562.83</v>
      </c>
      <c r="F348" s="42">
        <v>613.54999999999995</v>
      </c>
      <c r="G348" s="42">
        <v>123.95</v>
      </c>
      <c r="H348" s="42">
        <v>6207.16</v>
      </c>
      <c r="I348" s="42">
        <v>0</v>
      </c>
      <c r="J348" s="42">
        <v>1125.6199999999999</v>
      </c>
      <c r="K348" s="43">
        <v>13507.49</v>
      </c>
      <c r="L348" s="122">
        <v>14633.11</v>
      </c>
      <c r="M348" s="33"/>
      <c r="N348" s="30">
        <v>13507.49</v>
      </c>
      <c r="O348" s="30">
        <v>7300.33</v>
      </c>
      <c r="P348" s="30"/>
      <c r="Q348" s="30">
        <v>15947.17</v>
      </c>
      <c r="R348" s="7"/>
      <c r="S348" s="7"/>
      <c r="T348" s="7"/>
      <c r="U348" s="7"/>
      <c r="V348" s="7"/>
      <c r="W348" s="7"/>
      <c r="X348" s="7"/>
      <c r="Y348" s="7"/>
      <c r="Z348" s="7"/>
    </row>
    <row r="349" spans="1:26" ht="9" customHeight="1" x14ac:dyDescent="0.2">
      <c r="A349" s="534"/>
      <c r="B349" s="534"/>
      <c r="C349" s="34" t="s">
        <v>37</v>
      </c>
      <c r="D349" s="35">
        <v>35</v>
      </c>
      <c r="E349" s="36">
        <v>12707411</v>
      </c>
      <c r="F349" s="36">
        <v>1187998</v>
      </c>
      <c r="G349" s="36">
        <v>240001</v>
      </c>
      <c r="H349" s="36">
        <v>12018738</v>
      </c>
      <c r="I349" s="36">
        <v>0</v>
      </c>
      <c r="J349" s="37">
        <v>2179504</v>
      </c>
      <c r="K349" s="36">
        <v>26154148</v>
      </c>
      <c r="L349" s="121">
        <v>28333652</v>
      </c>
      <c r="M349" s="39"/>
      <c r="N349" s="36">
        <v>26154148</v>
      </c>
      <c r="O349" s="36">
        <v>14135410</v>
      </c>
      <c r="P349" s="36">
        <v>0</v>
      </c>
      <c r="Q349" s="36">
        <v>30878027</v>
      </c>
      <c r="R349" s="7"/>
      <c r="S349" s="7"/>
      <c r="T349" s="7"/>
      <c r="U349" s="7"/>
      <c r="V349" s="7"/>
      <c r="W349" s="7"/>
      <c r="X349" s="7"/>
      <c r="Y349" s="7"/>
      <c r="Z349" s="7"/>
    </row>
    <row r="350" spans="1:26" ht="12.75" customHeight="1" x14ac:dyDescent="0.2">
      <c r="A350" s="534"/>
      <c r="B350" s="534"/>
      <c r="C350" s="40" t="s">
        <v>36</v>
      </c>
      <c r="D350" s="41">
        <v>36</v>
      </c>
      <c r="E350" s="42">
        <v>6679.51</v>
      </c>
      <c r="F350" s="42">
        <v>625.95000000000005</v>
      </c>
      <c r="G350" s="42">
        <v>123.95</v>
      </c>
      <c r="H350" s="42">
        <v>6207.16</v>
      </c>
      <c r="I350" s="42">
        <v>0</v>
      </c>
      <c r="J350" s="42">
        <v>1136.3800000000001</v>
      </c>
      <c r="K350" s="43">
        <v>13636.57</v>
      </c>
      <c r="L350" s="122">
        <v>14772.95</v>
      </c>
      <c r="M350" s="33"/>
      <c r="N350" s="30">
        <v>13636.57</v>
      </c>
      <c r="O350" s="30">
        <v>7429.41</v>
      </c>
      <c r="P350" s="30"/>
      <c r="Q350" s="30">
        <v>16110.24</v>
      </c>
      <c r="R350" s="7"/>
      <c r="S350" s="7"/>
      <c r="T350" s="7"/>
      <c r="U350" s="7"/>
      <c r="V350" s="7"/>
      <c r="W350" s="7"/>
      <c r="X350" s="7"/>
      <c r="Y350" s="7"/>
      <c r="Z350" s="7"/>
    </row>
    <row r="351" spans="1:26" ht="9" customHeight="1" x14ac:dyDescent="0.2">
      <c r="A351" s="534"/>
      <c r="B351" s="534"/>
      <c r="C351" s="34" t="s">
        <v>37</v>
      </c>
      <c r="D351" s="35">
        <v>37</v>
      </c>
      <c r="E351" s="36">
        <v>12933335</v>
      </c>
      <c r="F351" s="36">
        <v>1212008</v>
      </c>
      <c r="G351" s="36">
        <v>240001</v>
      </c>
      <c r="H351" s="36">
        <v>12018738</v>
      </c>
      <c r="I351" s="36">
        <v>0</v>
      </c>
      <c r="J351" s="37">
        <v>2200339</v>
      </c>
      <c r="K351" s="36">
        <v>26404081</v>
      </c>
      <c r="L351" s="121">
        <v>28604420</v>
      </c>
      <c r="M351" s="39"/>
      <c r="N351" s="36">
        <v>26404081</v>
      </c>
      <c r="O351" s="36">
        <v>14385344</v>
      </c>
      <c r="P351" s="36">
        <v>0</v>
      </c>
      <c r="Q351" s="36">
        <v>31193774</v>
      </c>
      <c r="R351" s="7"/>
      <c r="S351" s="7"/>
      <c r="T351" s="7"/>
      <c r="U351" s="7"/>
      <c r="V351" s="7"/>
      <c r="W351" s="7"/>
      <c r="X351" s="7"/>
      <c r="Y351" s="7"/>
      <c r="Z351" s="7"/>
    </row>
    <row r="352" spans="1:26" ht="12.75" customHeight="1" x14ac:dyDescent="0.2">
      <c r="A352" s="534"/>
      <c r="B352" s="534"/>
      <c r="C352" s="40" t="s">
        <v>36</v>
      </c>
      <c r="D352" s="41">
        <v>38</v>
      </c>
      <c r="E352" s="42">
        <v>6791.07</v>
      </c>
      <c r="F352" s="42">
        <v>632.14</v>
      </c>
      <c r="G352" s="42">
        <v>123.95</v>
      </c>
      <c r="H352" s="42">
        <v>6207.16</v>
      </c>
      <c r="I352" s="42">
        <v>0</v>
      </c>
      <c r="J352" s="42">
        <v>1146.19</v>
      </c>
      <c r="K352" s="43">
        <v>13754.32</v>
      </c>
      <c r="L352" s="122">
        <v>14900.51</v>
      </c>
      <c r="M352" s="33"/>
      <c r="N352" s="30">
        <v>13754.32</v>
      </c>
      <c r="O352" s="30">
        <v>7547.16</v>
      </c>
      <c r="P352" s="30"/>
      <c r="Q352" s="30">
        <v>16259</v>
      </c>
      <c r="R352" s="7"/>
      <c r="S352" s="7"/>
      <c r="T352" s="7"/>
      <c r="U352" s="7"/>
      <c r="V352" s="7"/>
      <c r="W352" s="7"/>
      <c r="X352" s="7"/>
      <c r="Y352" s="7"/>
      <c r="Z352" s="7"/>
    </row>
    <row r="353" spans="1:26" ht="9" customHeight="1" x14ac:dyDescent="0.2">
      <c r="A353" s="534"/>
      <c r="B353" s="534"/>
      <c r="C353" s="34" t="s">
        <v>37</v>
      </c>
      <c r="D353" s="35">
        <v>39</v>
      </c>
      <c r="E353" s="36">
        <v>13149345</v>
      </c>
      <c r="F353" s="36">
        <v>1223994</v>
      </c>
      <c r="G353" s="36">
        <v>240001</v>
      </c>
      <c r="H353" s="36">
        <v>12018738</v>
      </c>
      <c r="I353" s="36">
        <v>0</v>
      </c>
      <c r="J353" s="37">
        <v>2219333</v>
      </c>
      <c r="K353" s="36">
        <v>26632077</v>
      </c>
      <c r="L353" s="121">
        <v>28851410</v>
      </c>
      <c r="M353" s="39"/>
      <c r="N353" s="36">
        <v>26632077</v>
      </c>
      <c r="O353" s="36">
        <v>14613339</v>
      </c>
      <c r="P353" s="36">
        <v>0</v>
      </c>
      <c r="Q353" s="36">
        <v>31481814</v>
      </c>
      <c r="R353" s="7"/>
      <c r="S353" s="7"/>
      <c r="T353" s="7"/>
      <c r="U353" s="7"/>
      <c r="V353" s="7"/>
      <c r="W353" s="7"/>
      <c r="X353" s="7"/>
      <c r="Y353" s="7"/>
      <c r="Z353" s="7"/>
    </row>
    <row r="354" spans="1:26" ht="9" customHeight="1" x14ac:dyDescent="0.2">
      <c r="A354" s="534"/>
      <c r="B354" s="534"/>
      <c r="C354" s="44"/>
      <c r="D354" s="45"/>
      <c r="E354" s="96"/>
      <c r="F354" s="96"/>
      <c r="G354" s="96"/>
      <c r="H354" s="96"/>
      <c r="I354" s="96"/>
      <c r="J354" s="54"/>
      <c r="K354" s="96"/>
      <c r="L354" s="121"/>
      <c r="M354" s="39"/>
      <c r="N354" s="96"/>
      <c r="O354" s="96"/>
      <c r="P354" s="96"/>
      <c r="Q354" s="96"/>
      <c r="R354" s="7"/>
      <c r="S354" s="7"/>
      <c r="T354" s="7"/>
      <c r="U354" s="7"/>
      <c r="V354" s="7"/>
      <c r="W354" s="7"/>
      <c r="X354" s="7"/>
      <c r="Y354" s="7"/>
      <c r="Z354" s="7"/>
    </row>
    <row r="355" spans="1:26" ht="9" customHeight="1" x14ac:dyDescent="0.2">
      <c r="A355" s="534"/>
      <c r="B355" s="534"/>
      <c r="C355" s="44"/>
      <c r="D355" s="45"/>
      <c r="E355" s="96"/>
      <c r="F355" s="96"/>
      <c r="G355" s="96"/>
      <c r="H355" s="96"/>
      <c r="I355" s="96"/>
      <c r="J355" s="54"/>
      <c r="K355" s="96"/>
      <c r="L355" s="121"/>
      <c r="M355" s="39"/>
      <c r="N355" s="96"/>
      <c r="O355" s="96"/>
      <c r="P355" s="96"/>
      <c r="Q355" s="96"/>
      <c r="R355" s="7"/>
      <c r="S355" s="7"/>
      <c r="T355" s="7"/>
      <c r="U355" s="7"/>
      <c r="V355" s="7"/>
      <c r="W355" s="7"/>
      <c r="X355" s="7"/>
      <c r="Y355" s="7"/>
      <c r="Z355" s="7"/>
    </row>
    <row r="356" spans="1:26" ht="12.75" customHeight="1" x14ac:dyDescent="0.2">
      <c r="A356" s="534"/>
      <c r="B356" s="534"/>
      <c r="C356" s="40" t="s">
        <v>36</v>
      </c>
      <c r="D356" s="41">
        <v>40</v>
      </c>
      <c r="E356" s="42">
        <v>6896.42</v>
      </c>
      <c r="F356" s="42">
        <v>644.54</v>
      </c>
      <c r="G356" s="42">
        <v>123.95</v>
      </c>
      <c r="H356" s="42">
        <v>6207.16</v>
      </c>
      <c r="I356" s="42">
        <v>0</v>
      </c>
      <c r="J356" s="42">
        <v>1156.01</v>
      </c>
      <c r="K356" s="43">
        <v>13872.07</v>
      </c>
      <c r="L356" s="122">
        <v>15028.08</v>
      </c>
      <c r="M356" s="33"/>
      <c r="N356" s="30">
        <v>13872.07</v>
      </c>
      <c r="O356" s="30">
        <v>7664.91</v>
      </c>
      <c r="P356" s="30"/>
      <c r="Q356" s="30">
        <v>16407.759999999998</v>
      </c>
      <c r="R356" s="7"/>
      <c r="S356" s="7"/>
      <c r="T356" s="7"/>
      <c r="U356" s="7"/>
      <c r="V356" s="7"/>
      <c r="W356" s="7"/>
      <c r="X356" s="7"/>
      <c r="Y356" s="7"/>
      <c r="Z356" s="7"/>
    </row>
    <row r="357" spans="1:26" ht="9" customHeight="1" x14ac:dyDescent="0.2">
      <c r="A357" s="535"/>
      <c r="B357" s="535"/>
      <c r="C357" s="47"/>
      <c r="D357" s="48"/>
      <c r="E357" s="46">
        <v>13353331</v>
      </c>
      <c r="F357" s="46">
        <v>1248003</v>
      </c>
      <c r="G357" s="46">
        <v>240001</v>
      </c>
      <c r="H357" s="46">
        <v>12018738</v>
      </c>
      <c r="I357" s="46">
        <v>0</v>
      </c>
      <c r="J357" s="49">
        <v>2238347</v>
      </c>
      <c r="K357" s="46">
        <v>26860073</v>
      </c>
      <c r="L357" s="124">
        <v>29098420</v>
      </c>
      <c r="M357" s="39"/>
      <c r="N357" s="36">
        <v>26860073</v>
      </c>
      <c r="O357" s="36">
        <v>14841335</v>
      </c>
      <c r="P357" s="36">
        <v>0</v>
      </c>
      <c r="Q357" s="36">
        <v>31769853</v>
      </c>
      <c r="R357" s="7"/>
      <c r="S357" s="7"/>
      <c r="T357" s="7"/>
      <c r="U357" s="7"/>
      <c r="V357" s="7"/>
      <c r="W357" s="7"/>
      <c r="X357" s="7"/>
      <c r="Y357" s="7"/>
      <c r="Z357" s="7"/>
    </row>
    <row r="358" spans="1:26" ht="12.75" customHeight="1" x14ac:dyDescent="0.2">
      <c r="A358" s="538">
        <v>35034</v>
      </c>
      <c r="B358" s="538">
        <v>35064</v>
      </c>
      <c r="C358" s="28" t="s">
        <v>36</v>
      </c>
      <c r="D358" s="29">
        <v>0</v>
      </c>
      <c r="E358" s="30">
        <v>4119.32</v>
      </c>
      <c r="F358" s="30">
        <v>334.66</v>
      </c>
      <c r="G358" s="30">
        <v>0</v>
      </c>
      <c r="H358" s="30">
        <v>6207.16</v>
      </c>
      <c r="I358" s="30">
        <v>0</v>
      </c>
      <c r="J358" s="30">
        <v>888.43</v>
      </c>
      <c r="K358" s="31">
        <v>10661.14</v>
      </c>
      <c r="L358" s="32">
        <v>11549.57</v>
      </c>
      <c r="M358" s="33"/>
      <c r="N358" s="30">
        <v>10661.14</v>
      </c>
      <c r="O358" s="30">
        <v>4453.9799999999996</v>
      </c>
      <c r="P358" s="30"/>
      <c r="Q358" s="30">
        <v>12351.29</v>
      </c>
      <c r="R358" s="7"/>
      <c r="S358" s="7"/>
      <c r="T358" s="7"/>
      <c r="U358" s="7"/>
      <c r="V358" s="7"/>
      <c r="W358" s="7"/>
      <c r="X358" s="7"/>
      <c r="Y358" s="7"/>
      <c r="Z358" s="7"/>
    </row>
    <row r="359" spans="1:26" ht="9" customHeight="1" x14ac:dyDescent="0.2">
      <c r="A359" s="534"/>
      <c r="B359" s="534"/>
      <c r="C359" s="34" t="s">
        <v>37</v>
      </c>
      <c r="D359" s="35">
        <v>1</v>
      </c>
      <c r="E359" s="36">
        <v>7976116</v>
      </c>
      <c r="F359" s="36">
        <v>647992</v>
      </c>
      <c r="G359" s="36">
        <v>0</v>
      </c>
      <c r="H359" s="36">
        <v>12018738</v>
      </c>
      <c r="I359" s="36">
        <v>0</v>
      </c>
      <c r="J359" s="37">
        <v>1720240</v>
      </c>
      <c r="K359" s="36">
        <v>20642846</v>
      </c>
      <c r="L359" s="38">
        <v>22363086</v>
      </c>
      <c r="M359" s="39"/>
      <c r="N359" s="36">
        <v>20642846</v>
      </c>
      <c r="O359" s="36">
        <v>8624108</v>
      </c>
      <c r="P359" s="36">
        <v>0</v>
      </c>
      <c r="Q359" s="36">
        <v>23915432</v>
      </c>
      <c r="R359" s="7"/>
      <c r="S359" s="7"/>
      <c r="T359" s="7"/>
      <c r="U359" s="7"/>
      <c r="V359" s="7"/>
      <c r="W359" s="7"/>
      <c r="X359" s="7"/>
      <c r="Y359" s="7"/>
      <c r="Z359" s="7"/>
    </row>
    <row r="360" spans="1:26" ht="12.75" customHeight="1" x14ac:dyDescent="0.2">
      <c r="A360" s="540">
        <v>35034</v>
      </c>
      <c r="B360" s="540">
        <v>35064</v>
      </c>
      <c r="C360" s="40" t="s">
        <v>36</v>
      </c>
      <c r="D360" s="41">
        <v>2</v>
      </c>
      <c r="E360" s="42">
        <v>4286.6499999999996</v>
      </c>
      <c r="F360" s="42">
        <v>353.26</v>
      </c>
      <c r="G360" s="42">
        <v>0</v>
      </c>
      <c r="H360" s="42">
        <v>6207.16</v>
      </c>
      <c r="I360" s="42">
        <v>0</v>
      </c>
      <c r="J360" s="42">
        <v>903.92</v>
      </c>
      <c r="K360" s="43">
        <v>10847.07</v>
      </c>
      <c r="L360" s="32">
        <v>11750.99</v>
      </c>
      <c r="M360" s="33"/>
      <c r="N360" s="30">
        <v>10847.07</v>
      </c>
      <c r="O360" s="30">
        <v>4639.91</v>
      </c>
      <c r="P360" s="30"/>
      <c r="Q360" s="30">
        <v>12586.17</v>
      </c>
      <c r="R360" s="7"/>
      <c r="S360" s="7"/>
      <c r="T360" s="7"/>
      <c r="U360" s="7"/>
      <c r="V360" s="7"/>
      <c r="W360" s="7"/>
      <c r="X360" s="7"/>
      <c r="Y360" s="7"/>
      <c r="Z360" s="7"/>
    </row>
    <row r="361" spans="1:26" ht="9" customHeight="1" x14ac:dyDescent="0.2">
      <c r="A361" s="534"/>
      <c r="B361" s="534"/>
      <c r="C361" s="34" t="s">
        <v>37</v>
      </c>
      <c r="D361" s="35">
        <v>3</v>
      </c>
      <c r="E361" s="36">
        <v>8300112</v>
      </c>
      <c r="F361" s="36">
        <v>684007</v>
      </c>
      <c r="G361" s="36">
        <v>0</v>
      </c>
      <c r="H361" s="36">
        <v>12018738</v>
      </c>
      <c r="I361" s="36">
        <v>0</v>
      </c>
      <c r="J361" s="37">
        <v>1750233</v>
      </c>
      <c r="K361" s="36">
        <v>21002856</v>
      </c>
      <c r="L361" s="38">
        <v>22753089</v>
      </c>
      <c r="M361" s="39"/>
      <c r="N361" s="36">
        <v>21002856</v>
      </c>
      <c r="O361" s="36">
        <v>8984119</v>
      </c>
      <c r="P361" s="36">
        <v>0</v>
      </c>
      <c r="Q361" s="36">
        <v>24370223</v>
      </c>
      <c r="R361" s="7"/>
      <c r="S361" s="7"/>
      <c r="T361" s="7"/>
      <c r="U361" s="7"/>
      <c r="V361" s="7"/>
      <c r="W361" s="7"/>
      <c r="X361" s="7"/>
      <c r="Y361" s="7"/>
      <c r="Z361" s="7"/>
    </row>
    <row r="362" spans="1:26" ht="12.75" customHeight="1" x14ac:dyDescent="0.2">
      <c r="A362" s="534"/>
      <c r="B362" s="534"/>
      <c r="C362" s="40" t="s">
        <v>36</v>
      </c>
      <c r="D362" s="41">
        <v>4</v>
      </c>
      <c r="E362" s="42">
        <v>4471.34</v>
      </c>
      <c r="F362" s="42">
        <v>371.85</v>
      </c>
      <c r="G362" s="42">
        <v>0</v>
      </c>
      <c r="H362" s="42">
        <v>6207.16</v>
      </c>
      <c r="I362" s="42">
        <v>0</v>
      </c>
      <c r="J362" s="42">
        <v>920.86</v>
      </c>
      <c r="K362" s="43">
        <v>11050.35</v>
      </c>
      <c r="L362" s="32">
        <v>11971.21</v>
      </c>
      <c r="M362" s="33"/>
      <c r="N362" s="30">
        <v>11050.35</v>
      </c>
      <c r="O362" s="30">
        <v>4843.1899999999996</v>
      </c>
      <c r="P362" s="30"/>
      <c r="Q362" s="30">
        <v>12842.98</v>
      </c>
      <c r="R362" s="7"/>
      <c r="S362" s="7"/>
      <c r="T362" s="7"/>
      <c r="U362" s="7"/>
      <c r="V362" s="7"/>
      <c r="W362" s="7"/>
      <c r="X362" s="7"/>
      <c r="Y362" s="7"/>
      <c r="Z362" s="7"/>
    </row>
    <row r="363" spans="1:26" ht="9" customHeight="1" x14ac:dyDescent="0.2">
      <c r="A363" s="534"/>
      <c r="B363" s="534"/>
      <c r="C363" s="34" t="s">
        <v>37</v>
      </c>
      <c r="D363" s="35">
        <v>5</v>
      </c>
      <c r="E363" s="36">
        <v>8657722</v>
      </c>
      <c r="F363" s="36">
        <v>720002</v>
      </c>
      <c r="G363" s="36">
        <v>0</v>
      </c>
      <c r="H363" s="36">
        <v>12018738</v>
      </c>
      <c r="I363" s="36">
        <v>0</v>
      </c>
      <c r="J363" s="37">
        <v>1783034</v>
      </c>
      <c r="K363" s="36">
        <v>21396461</v>
      </c>
      <c r="L363" s="38">
        <v>23179495</v>
      </c>
      <c r="M363" s="39"/>
      <c r="N363" s="36">
        <v>21396461</v>
      </c>
      <c r="O363" s="36">
        <v>9377724</v>
      </c>
      <c r="P363" s="36">
        <v>0</v>
      </c>
      <c r="Q363" s="36">
        <v>24867477</v>
      </c>
      <c r="R363" s="7"/>
      <c r="S363" s="7"/>
      <c r="T363" s="7"/>
      <c r="U363" s="7"/>
      <c r="V363" s="7"/>
      <c r="W363" s="7"/>
      <c r="X363" s="7"/>
      <c r="Y363" s="7"/>
      <c r="Z363" s="7"/>
    </row>
    <row r="364" spans="1:26" ht="12.75" customHeight="1" x14ac:dyDescent="0.2">
      <c r="A364" s="534"/>
      <c r="B364" s="534"/>
      <c r="C364" s="40" t="s">
        <v>36</v>
      </c>
      <c r="D364" s="41">
        <v>6</v>
      </c>
      <c r="E364" s="42">
        <v>4744.0200000000004</v>
      </c>
      <c r="F364" s="42">
        <v>396.64</v>
      </c>
      <c r="G364" s="42">
        <v>0</v>
      </c>
      <c r="H364" s="42">
        <v>6207.16</v>
      </c>
      <c r="I364" s="42">
        <v>0</v>
      </c>
      <c r="J364" s="42">
        <v>945.65</v>
      </c>
      <c r="K364" s="43">
        <v>11347.82</v>
      </c>
      <c r="L364" s="32">
        <v>12293.47</v>
      </c>
      <c r="M364" s="33"/>
      <c r="N364" s="30">
        <v>11347.82</v>
      </c>
      <c r="O364" s="30">
        <v>5140.66</v>
      </c>
      <c r="P364" s="30"/>
      <c r="Q364" s="30">
        <v>13218.79</v>
      </c>
      <c r="R364" s="7"/>
      <c r="S364" s="7"/>
      <c r="T364" s="7"/>
      <c r="U364" s="7"/>
      <c r="V364" s="7"/>
      <c r="W364" s="7"/>
      <c r="X364" s="7"/>
      <c r="Y364" s="7"/>
      <c r="Z364" s="7"/>
    </row>
    <row r="365" spans="1:26" ht="9" customHeight="1" x14ac:dyDescent="0.2">
      <c r="A365" s="534"/>
      <c r="B365" s="534"/>
      <c r="C365" s="34" t="s">
        <v>37</v>
      </c>
      <c r="D365" s="35">
        <v>7</v>
      </c>
      <c r="E365" s="36">
        <v>9185704</v>
      </c>
      <c r="F365" s="36">
        <v>768002</v>
      </c>
      <c r="G365" s="36">
        <v>0</v>
      </c>
      <c r="H365" s="36">
        <v>12018738</v>
      </c>
      <c r="I365" s="36">
        <v>0</v>
      </c>
      <c r="J365" s="37">
        <v>1831034</v>
      </c>
      <c r="K365" s="36">
        <v>21972443</v>
      </c>
      <c r="L365" s="38">
        <v>23803477</v>
      </c>
      <c r="M365" s="39"/>
      <c r="N365" s="36">
        <v>21972443</v>
      </c>
      <c r="O365" s="36">
        <v>9953706</v>
      </c>
      <c r="P365" s="36">
        <v>0</v>
      </c>
      <c r="Q365" s="36">
        <v>25595147</v>
      </c>
      <c r="R365" s="7"/>
      <c r="S365" s="7"/>
      <c r="T365" s="7"/>
      <c r="U365" s="7"/>
      <c r="V365" s="7"/>
      <c r="W365" s="7"/>
      <c r="X365" s="7"/>
      <c r="Y365" s="7"/>
      <c r="Z365" s="7"/>
    </row>
    <row r="366" spans="1:26" ht="12.75" customHeight="1" x14ac:dyDescent="0.2">
      <c r="A366" s="534"/>
      <c r="B366" s="534"/>
      <c r="C366" s="40" t="s">
        <v>36</v>
      </c>
      <c r="D366" s="41">
        <v>8</v>
      </c>
      <c r="E366" s="42">
        <v>4942.34</v>
      </c>
      <c r="F366" s="42">
        <v>415.23</v>
      </c>
      <c r="G366" s="42">
        <v>0</v>
      </c>
      <c r="H366" s="42">
        <v>6207.16</v>
      </c>
      <c r="I366" s="42">
        <v>0</v>
      </c>
      <c r="J366" s="42">
        <v>963.73</v>
      </c>
      <c r="K366" s="43">
        <v>11564.73</v>
      </c>
      <c r="L366" s="32">
        <v>12528.46</v>
      </c>
      <c r="M366" s="33"/>
      <c r="N366" s="30">
        <v>11564.73</v>
      </c>
      <c r="O366" s="30">
        <v>5357.57</v>
      </c>
      <c r="P366" s="30"/>
      <c r="Q366" s="30">
        <v>13492.82</v>
      </c>
      <c r="R366" s="7"/>
      <c r="S366" s="7"/>
      <c r="T366" s="7"/>
      <c r="U366" s="7"/>
      <c r="V366" s="7"/>
      <c r="W366" s="7"/>
      <c r="X366" s="7"/>
      <c r="Y366" s="7"/>
      <c r="Z366" s="7"/>
    </row>
    <row r="367" spans="1:26" ht="9" customHeight="1" x14ac:dyDescent="0.2">
      <c r="A367" s="534"/>
      <c r="B367" s="534"/>
      <c r="C367" s="34" t="s">
        <v>37</v>
      </c>
      <c r="D367" s="35">
        <v>9</v>
      </c>
      <c r="E367" s="36">
        <v>9569705</v>
      </c>
      <c r="F367" s="36">
        <v>803997</v>
      </c>
      <c r="G367" s="36">
        <v>0</v>
      </c>
      <c r="H367" s="36">
        <v>12018738</v>
      </c>
      <c r="I367" s="36">
        <v>0</v>
      </c>
      <c r="J367" s="37">
        <v>1866041</v>
      </c>
      <c r="K367" s="36">
        <v>22392440</v>
      </c>
      <c r="L367" s="38">
        <v>24258481</v>
      </c>
      <c r="M367" s="39"/>
      <c r="N367" s="36">
        <v>22392440</v>
      </c>
      <c r="O367" s="36">
        <v>10373702</v>
      </c>
      <c r="P367" s="36">
        <v>0</v>
      </c>
      <c r="Q367" s="36">
        <v>26125743</v>
      </c>
      <c r="R367" s="7"/>
      <c r="S367" s="7"/>
      <c r="T367" s="7"/>
      <c r="U367" s="7"/>
      <c r="V367" s="7"/>
      <c r="W367" s="7"/>
      <c r="X367" s="7"/>
      <c r="Y367" s="7"/>
      <c r="Z367" s="7"/>
    </row>
    <row r="368" spans="1:26" ht="12.75" customHeight="1" x14ac:dyDescent="0.2">
      <c r="A368" s="534"/>
      <c r="B368" s="534"/>
      <c r="C368" s="40" t="s">
        <v>36</v>
      </c>
      <c r="D368" s="41">
        <v>10</v>
      </c>
      <c r="E368" s="42">
        <v>5183.05</v>
      </c>
      <c r="F368" s="42">
        <v>440.02</v>
      </c>
      <c r="G368" s="42">
        <v>0</v>
      </c>
      <c r="H368" s="42">
        <v>6207.16</v>
      </c>
      <c r="I368" s="42">
        <v>0</v>
      </c>
      <c r="J368" s="42">
        <v>985.85</v>
      </c>
      <c r="K368" s="43">
        <v>11830.23</v>
      </c>
      <c r="L368" s="32">
        <v>12816.08</v>
      </c>
      <c r="M368" s="33"/>
      <c r="N368" s="30">
        <v>11830.23</v>
      </c>
      <c r="O368" s="30">
        <v>5623.07</v>
      </c>
      <c r="P368" s="30"/>
      <c r="Q368" s="30">
        <v>13828.23</v>
      </c>
      <c r="R368" s="7"/>
      <c r="S368" s="7"/>
      <c r="T368" s="7"/>
      <c r="U368" s="7"/>
      <c r="V368" s="7"/>
      <c r="W368" s="7"/>
      <c r="X368" s="7"/>
      <c r="Y368" s="7"/>
      <c r="Z368" s="7"/>
    </row>
    <row r="369" spans="1:26" ht="9" customHeight="1" x14ac:dyDescent="0.2">
      <c r="A369" s="534"/>
      <c r="B369" s="534"/>
      <c r="C369" s="34" t="s">
        <v>37</v>
      </c>
      <c r="D369" s="35">
        <v>11</v>
      </c>
      <c r="E369" s="36">
        <v>10035784</v>
      </c>
      <c r="F369" s="36">
        <v>851998</v>
      </c>
      <c r="G369" s="36">
        <v>0</v>
      </c>
      <c r="H369" s="36">
        <v>12018738</v>
      </c>
      <c r="I369" s="36">
        <v>0</v>
      </c>
      <c r="J369" s="37">
        <v>1908872</v>
      </c>
      <c r="K369" s="36">
        <v>22906519</v>
      </c>
      <c r="L369" s="38">
        <v>24815391</v>
      </c>
      <c r="M369" s="39"/>
      <c r="N369" s="36">
        <v>22906519</v>
      </c>
      <c r="O369" s="36">
        <v>10887782</v>
      </c>
      <c r="P369" s="36">
        <v>0</v>
      </c>
      <c r="Q369" s="36">
        <v>26775187</v>
      </c>
      <c r="R369" s="7"/>
      <c r="S369" s="7"/>
      <c r="T369" s="7"/>
      <c r="U369" s="7"/>
      <c r="V369" s="7"/>
      <c r="W369" s="7"/>
      <c r="X369" s="7"/>
      <c r="Y369" s="7"/>
      <c r="Z369" s="7"/>
    </row>
    <row r="370" spans="1:26" ht="12.75" customHeight="1" x14ac:dyDescent="0.2">
      <c r="A370" s="534"/>
      <c r="B370" s="534"/>
      <c r="C370" s="40" t="s">
        <v>36</v>
      </c>
      <c r="D370" s="41">
        <v>12</v>
      </c>
      <c r="E370" s="42">
        <v>5381.37</v>
      </c>
      <c r="F370" s="42">
        <v>458.61</v>
      </c>
      <c r="G370" s="42">
        <v>0</v>
      </c>
      <c r="H370" s="42">
        <v>6207.16</v>
      </c>
      <c r="I370" s="42">
        <v>0</v>
      </c>
      <c r="J370" s="42">
        <v>1003.93</v>
      </c>
      <c r="K370" s="43">
        <v>12047.14</v>
      </c>
      <c r="L370" s="32">
        <v>13051.07</v>
      </c>
      <c r="M370" s="33"/>
      <c r="N370" s="30">
        <v>12047.14</v>
      </c>
      <c r="O370" s="30">
        <v>5839.98</v>
      </c>
      <c r="P370" s="30"/>
      <c r="Q370" s="30">
        <v>14102.27</v>
      </c>
      <c r="R370" s="7"/>
      <c r="S370" s="7"/>
      <c r="T370" s="7"/>
      <c r="U370" s="7"/>
      <c r="V370" s="7"/>
      <c r="W370" s="7"/>
      <c r="X370" s="7"/>
      <c r="Y370" s="7"/>
      <c r="Z370" s="7"/>
    </row>
    <row r="371" spans="1:26" ht="9" customHeight="1" x14ac:dyDescent="0.2">
      <c r="A371" s="534"/>
      <c r="B371" s="534"/>
      <c r="C371" s="34" t="s">
        <v>37</v>
      </c>
      <c r="D371" s="35">
        <v>13</v>
      </c>
      <c r="E371" s="36">
        <v>10419785</v>
      </c>
      <c r="F371" s="36">
        <v>887993</v>
      </c>
      <c r="G371" s="36">
        <v>0</v>
      </c>
      <c r="H371" s="36">
        <v>12018738</v>
      </c>
      <c r="I371" s="36">
        <v>0</v>
      </c>
      <c r="J371" s="37">
        <v>1943880</v>
      </c>
      <c r="K371" s="36">
        <v>23326516</v>
      </c>
      <c r="L371" s="38">
        <v>25270395</v>
      </c>
      <c r="M371" s="39"/>
      <c r="N371" s="36">
        <v>23326516</v>
      </c>
      <c r="O371" s="36">
        <v>11307778</v>
      </c>
      <c r="P371" s="36">
        <v>0</v>
      </c>
      <c r="Q371" s="36">
        <v>27305802</v>
      </c>
      <c r="R371" s="7"/>
      <c r="S371" s="7"/>
      <c r="T371" s="7"/>
      <c r="U371" s="7"/>
      <c r="V371" s="7"/>
      <c r="W371" s="7"/>
      <c r="X371" s="7"/>
      <c r="Y371" s="7"/>
      <c r="Z371" s="7"/>
    </row>
    <row r="372" spans="1:26" ht="12.75" customHeight="1" x14ac:dyDescent="0.2">
      <c r="A372" s="534"/>
      <c r="B372" s="534"/>
      <c r="C372" s="40" t="s">
        <v>36</v>
      </c>
      <c r="D372" s="41">
        <v>14</v>
      </c>
      <c r="E372" s="42">
        <v>5585.89</v>
      </c>
      <c r="F372" s="42">
        <v>477.21</v>
      </c>
      <c r="G372" s="42">
        <v>0</v>
      </c>
      <c r="H372" s="42">
        <v>6207.16</v>
      </c>
      <c r="I372" s="42">
        <v>0</v>
      </c>
      <c r="J372" s="42">
        <v>1022.52</v>
      </c>
      <c r="K372" s="43">
        <v>12270.26</v>
      </c>
      <c r="L372" s="32">
        <v>13292.78</v>
      </c>
      <c r="M372" s="33"/>
      <c r="N372" s="30">
        <v>12270.26</v>
      </c>
      <c r="O372" s="30">
        <v>6063.1</v>
      </c>
      <c r="P372" s="30"/>
      <c r="Q372" s="30">
        <v>14384.14</v>
      </c>
      <c r="R372" s="7"/>
      <c r="S372" s="7"/>
      <c r="T372" s="7"/>
      <c r="U372" s="7"/>
      <c r="V372" s="7"/>
      <c r="W372" s="7"/>
      <c r="X372" s="7"/>
      <c r="Y372" s="7"/>
      <c r="Z372" s="7"/>
    </row>
    <row r="373" spans="1:26" ht="9" customHeight="1" x14ac:dyDescent="0.2">
      <c r="A373" s="534"/>
      <c r="B373" s="534"/>
      <c r="C373" s="34" t="s">
        <v>37</v>
      </c>
      <c r="D373" s="35">
        <v>15</v>
      </c>
      <c r="E373" s="36">
        <v>10815791</v>
      </c>
      <c r="F373" s="36">
        <v>924007</v>
      </c>
      <c r="G373" s="36">
        <v>0</v>
      </c>
      <c r="H373" s="36">
        <v>12018738</v>
      </c>
      <c r="I373" s="36">
        <v>0</v>
      </c>
      <c r="J373" s="37">
        <v>1979875</v>
      </c>
      <c r="K373" s="36">
        <v>23758536</v>
      </c>
      <c r="L373" s="38">
        <v>25738411</v>
      </c>
      <c r="M373" s="39"/>
      <c r="N373" s="36">
        <v>23758536</v>
      </c>
      <c r="O373" s="36">
        <v>11739799</v>
      </c>
      <c r="P373" s="36">
        <v>0</v>
      </c>
      <c r="Q373" s="36">
        <v>27851579</v>
      </c>
      <c r="R373" s="7"/>
      <c r="S373" s="7"/>
      <c r="T373" s="7"/>
      <c r="U373" s="7"/>
      <c r="V373" s="7"/>
      <c r="W373" s="7"/>
      <c r="X373" s="7"/>
      <c r="Y373" s="7"/>
      <c r="Z373" s="7"/>
    </row>
    <row r="374" spans="1:26" ht="12.75" customHeight="1" x14ac:dyDescent="0.2">
      <c r="A374" s="534"/>
      <c r="B374" s="534"/>
      <c r="C374" s="40" t="s">
        <v>36</v>
      </c>
      <c r="D374" s="41">
        <v>16</v>
      </c>
      <c r="E374" s="42">
        <v>5824</v>
      </c>
      <c r="F374" s="42">
        <v>495.8</v>
      </c>
      <c r="G374" s="42">
        <v>0</v>
      </c>
      <c r="H374" s="42">
        <v>6207.16</v>
      </c>
      <c r="I374" s="42">
        <v>0</v>
      </c>
      <c r="J374" s="42">
        <v>1043.9100000000001</v>
      </c>
      <c r="K374" s="43">
        <v>12526.96</v>
      </c>
      <c r="L374" s="32">
        <v>13570.87</v>
      </c>
      <c r="M374" s="33"/>
      <c r="N374" s="30">
        <v>12526.96</v>
      </c>
      <c r="O374" s="30">
        <v>6319.8</v>
      </c>
      <c r="P374" s="30"/>
      <c r="Q374" s="30">
        <v>14708.43</v>
      </c>
      <c r="R374" s="7"/>
      <c r="S374" s="7"/>
      <c r="T374" s="7"/>
      <c r="U374" s="7"/>
      <c r="V374" s="7"/>
      <c r="W374" s="7"/>
      <c r="X374" s="7"/>
      <c r="Y374" s="7"/>
      <c r="Z374" s="7"/>
    </row>
    <row r="375" spans="1:26" ht="9" customHeight="1" x14ac:dyDescent="0.2">
      <c r="A375" s="534"/>
      <c r="B375" s="534"/>
      <c r="C375" s="34" t="s">
        <v>37</v>
      </c>
      <c r="D375" s="35">
        <v>17</v>
      </c>
      <c r="E375" s="36">
        <v>11276836</v>
      </c>
      <c r="F375" s="36">
        <v>960003</v>
      </c>
      <c r="G375" s="36">
        <v>0</v>
      </c>
      <c r="H375" s="36">
        <v>12018738</v>
      </c>
      <c r="I375" s="36">
        <v>0</v>
      </c>
      <c r="J375" s="37">
        <v>2021292</v>
      </c>
      <c r="K375" s="36">
        <v>24255577</v>
      </c>
      <c r="L375" s="38">
        <v>26276868</v>
      </c>
      <c r="M375" s="39"/>
      <c r="N375" s="36">
        <v>24255577</v>
      </c>
      <c r="O375" s="36">
        <v>12236839</v>
      </c>
      <c r="P375" s="36">
        <v>0</v>
      </c>
      <c r="Q375" s="36">
        <v>28479492</v>
      </c>
      <c r="R375" s="7"/>
      <c r="S375" s="7"/>
      <c r="T375" s="7"/>
      <c r="U375" s="7"/>
      <c r="V375" s="7"/>
      <c r="W375" s="7"/>
      <c r="X375" s="7"/>
      <c r="Y375" s="7"/>
      <c r="Z375" s="7"/>
    </row>
    <row r="376" spans="1:26" ht="12.75" customHeight="1" x14ac:dyDescent="0.2">
      <c r="A376" s="534"/>
      <c r="B376" s="534"/>
      <c r="C376" s="40" t="s">
        <v>36</v>
      </c>
      <c r="D376" s="41">
        <v>18</v>
      </c>
      <c r="E376" s="42">
        <v>6022.32</v>
      </c>
      <c r="F376" s="42">
        <v>514.39</v>
      </c>
      <c r="G376" s="42">
        <v>0</v>
      </c>
      <c r="H376" s="42">
        <v>6207.16</v>
      </c>
      <c r="I376" s="42">
        <v>0</v>
      </c>
      <c r="J376" s="42">
        <v>1061.99</v>
      </c>
      <c r="K376" s="43">
        <v>12743.87</v>
      </c>
      <c r="L376" s="32">
        <v>13805.86</v>
      </c>
      <c r="M376" s="33"/>
      <c r="N376" s="30">
        <v>12743.87</v>
      </c>
      <c r="O376" s="30">
        <v>6536.71</v>
      </c>
      <c r="P376" s="30"/>
      <c r="Q376" s="30">
        <v>14982.47</v>
      </c>
      <c r="R376" s="7"/>
      <c r="S376" s="7"/>
      <c r="T376" s="7"/>
      <c r="U376" s="7"/>
      <c r="V376" s="7"/>
      <c r="W376" s="7"/>
      <c r="X376" s="7"/>
      <c r="Y376" s="7"/>
      <c r="Z376" s="7"/>
    </row>
    <row r="377" spans="1:26" ht="9" customHeight="1" x14ac:dyDescent="0.2">
      <c r="A377" s="534"/>
      <c r="B377" s="534"/>
      <c r="C377" s="34" t="s">
        <v>37</v>
      </c>
      <c r="D377" s="35">
        <v>19</v>
      </c>
      <c r="E377" s="36">
        <v>11660838</v>
      </c>
      <c r="F377" s="36">
        <v>995998</v>
      </c>
      <c r="G377" s="36">
        <v>0</v>
      </c>
      <c r="H377" s="36">
        <v>12018738</v>
      </c>
      <c r="I377" s="36">
        <v>0</v>
      </c>
      <c r="J377" s="37">
        <v>2056299</v>
      </c>
      <c r="K377" s="36">
        <v>24675573</v>
      </c>
      <c r="L377" s="38">
        <v>26731873</v>
      </c>
      <c r="M377" s="39"/>
      <c r="N377" s="36">
        <v>24675573</v>
      </c>
      <c r="O377" s="36">
        <v>12656835</v>
      </c>
      <c r="P377" s="36">
        <v>0</v>
      </c>
      <c r="Q377" s="36">
        <v>29010107</v>
      </c>
      <c r="R377" s="7"/>
      <c r="S377" s="7"/>
      <c r="T377" s="7"/>
      <c r="U377" s="7"/>
      <c r="V377" s="7"/>
      <c r="W377" s="7"/>
      <c r="X377" s="7"/>
      <c r="Y377" s="7"/>
      <c r="Z377" s="7"/>
    </row>
    <row r="378" spans="1:26" ht="12.75" customHeight="1" x14ac:dyDescent="0.2">
      <c r="A378" s="534"/>
      <c r="B378" s="534"/>
      <c r="C378" s="40" t="s">
        <v>36</v>
      </c>
      <c r="D378" s="41">
        <v>20</v>
      </c>
      <c r="E378" s="42">
        <v>6226.83</v>
      </c>
      <c r="F378" s="42">
        <v>539.17999999999995</v>
      </c>
      <c r="G378" s="42">
        <v>0</v>
      </c>
      <c r="H378" s="42">
        <v>6207.16</v>
      </c>
      <c r="I378" s="42">
        <v>0</v>
      </c>
      <c r="J378" s="42">
        <v>1081.0999999999999</v>
      </c>
      <c r="K378" s="43">
        <v>12973.17</v>
      </c>
      <c r="L378" s="32">
        <v>14054.27</v>
      </c>
      <c r="M378" s="33"/>
      <c r="N378" s="30">
        <v>12973.17</v>
      </c>
      <c r="O378" s="30">
        <v>6766.01</v>
      </c>
      <c r="P378" s="30"/>
      <c r="Q378" s="30">
        <v>15272.15</v>
      </c>
      <c r="R378" s="7"/>
      <c r="S378" s="7"/>
      <c r="T378" s="7"/>
      <c r="U378" s="7"/>
      <c r="V378" s="7"/>
      <c r="W378" s="7"/>
      <c r="X378" s="7"/>
      <c r="Y378" s="7"/>
      <c r="Z378" s="7"/>
    </row>
    <row r="379" spans="1:26" ht="9" customHeight="1" x14ac:dyDescent="0.2">
      <c r="A379" s="534"/>
      <c r="B379" s="534"/>
      <c r="C379" s="34" t="s">
        <v>37</v>
      </c>
      <c r="D379" s="35">
        <v>21</v>
      </c>
      <c r="E379" s="36">
        <v>12056824</v>
      </c>
      <c r="F379" s="36">
        <v>1043998</v>
      </c>
      <c r="G379" s="36">
        <v>0</v>
      </c>
      <c r="H379" s="36">
        <v>12018738</v>
      </c>
      <c r="I379" s="36">
        <v>0</v>
      </c>
      <c r="J379" s="37">
        <v>2093301</v>
      </c>
      <c r="K379" s="36">
        <v>25119560</v>
      </c>
      <c r="L379" s="38">
        <v>27212861</v>
      </c>
      <c r="M379" s="39"/>
      <c r="N379" s="36">
        <v>25119560</v>
      </c>
      <c r="O379" s="36">
        <v>13100822</v>
      </c>
      <c r="P379" s="36">
        <v>0</v>
      </c>
      <c r="Q379" s="36">
        <v>29571006</v>
      </c>
      <c r="R379" s="7"/>
      <c r="S379" s="7"/>
      <c r="T379" s="7"/>
      <c r="U379" s="7"/>
      <c r="V379" s="7"/>
      <c r="W379" s="7"/>
      <c r="X379" s="7"/>
      <c r="Y379" s="7"/>
      <c r="Z379" s="7"/>
    </row>
    <row r="380" spans="1:26" ht="12.75" customHeight="1" x14ac:dyDescent="0.2">
      <c r="A380" s="534"/>
      <c r="B380" s="534"/>
      <c r="C380" s="40" t="s">
        <v>36</v>
      </c>
      <c r="D380" s="41">
        <v>22</v>
      </c>
      <c r="E380" s="42">
        <v>6371.98</v>
      </c>
      <c r="F380" s="42">
        <v>545.38</v>
      </c>
      <c r="G380" s="42">
        <v>0</v>
      </c>
      <c r="H380" s="42">
        <v>6207.16</v>
      </c>
      <c r="I380" s="42">
        <v>0</v>
      </c>
      <c r="J380" s="42">
        <v>1093.71</v>
      </c>
      <c r="K380" s="43">
        <v>13124.52</v>
      </c>
      <c r="L380" s="32">
        <v>14218.23</v>
      </c>
      <c r="M380" s="33"/>
      <c r="N380" s="30">
        <v>13124.52</v>
      </c>
      <c r="O380" s="30">
        <v>6917.36</v>
      </c>
      <c r="P380" s="30"/>
      <c r="Q380" s="30">
        <v>15463.35</v>
      </c>
      <c r="R380" s="7"/>
      <c r="S380" s="7"/>
      <c r="T380" s="7"/>
      <c r="U380" s="7"/>
      <c r="V380" s="7"/>
      <c r="W380" s="7"/>
      <c r="X380" s="7"/>
      <c r="Y380" s="7"/>
      <c r="Z380" s="7"/>
    </row>
    <row r="381" spans="1:26" ht="9" customHeight="1" x14ac:dyDescent="0.2">
      <c r="A381" s="534"/>
      <c r="B381" s="534"/>
      <c r="C381" s="34" t="s">
        <v>37</v>
      </c>
      <c r="D381" s="35">
        <v>23</v>
      </c>
      <c r="E381" s="36">
        <v>12337874</v>
      </c>
      <c r="F381" s="36">
        <v>1056003</v>
      </c>
      <c r="G381" s="36">
        <v>0</v>
      </c>
      <c r="H381" s="36">
        <v>12018738</v>
      </c>
      <c r="I381" s="36">
        <v>0</v>
      </c>
      <c r="J381" s="37">
        <v>2117718</v>
      </c>
      <c r="K381" s="36">
        <v>25412614</v>
      </c>
      <c r="L381" s="38">
        <v>27530332</v>
      </c>
      <c r="M381" s="39"/>
      <c r="N381" s="36">
        <v>25412614</v>
      </c>
      <c r="O381" s="36">
        <v>13393877</v>
      </c>
      <c r="P381" s="36">
        <v>0</v>
      </c>
      <c r="Q381" s="36">
        <v>29941221</v>
      </c>
      <c r="R381" s="7"/>
      <c r="S381" s="7"/>
      <c r="T381" s="7"/>
      <c r="U381" s="7"/>
      <c r="V381" s="7"/>
      <c r="W381" s="7"/>
      <c r="X381" s="7"/>
      <c r="Y381" s="7"/>
      <c r="Z381" s="7"/>
    </row>
    <row r="382" spans="1:26" ht="12.75" customHeight="1" x14ac:dyDescent="0.2">
      <c r="A382" s="534"/>
      <c r="B382" s="534"/>
      <c r="C382" s="40" t="s">
        <v>36</v>
      </c>
      <c r="D382" s="41">
        <v>24</v>
      </c>
      <c r="E382" s="42">
        <v>6477.34</v>
      </c>
      <c r="F382" s="42">
        <v>557.77</v>
      </c>
      <c r="G382" s="42">
        <v>0</v>
      </c>
      <c r="H382" s="42">
        <v>6207.16</v>
      </c>
      <c r="I382" s="42">
        <v>0</v>
      </c>
      <c r="J382" s="42">
        <v>1103.52</v>
      </c>
      <c r="K382" s="43">
        <v>13242.27</v>
      </c>
      <c r="L382" s="32">
        <v>14345.79</v>
      </c>
      <c r="M382" s="33"/>
      <c r="N382" s="30">
        <v>13242.27</v>
      </c>
      <c r="O382" s="30">
        <v>7035.11</v>
      </c>
      <c r="P382" s="30"/>
      <c r="Q382" s="30">
        <v>15612.11</v>
      </c>
      <c r="R382" s="7"/>
      <c r="S382" s="7"/>
      <c r="T382" s="7"/>
      <c r="U382" s="7"/>
      <c r="V382" s="7"/>
      <c r="W382" s="7"/>
      <c r="X382" s="7"/>
      <c r="Y382" s="7"/>
      <c r="Z382" s="7"/>
    </row>
    <row r="383" spans="1:26" ht="9" customHeight="1" x14ac:dyDescent="0.2">
      <c r="A383" s="534"/>
      <c r="B383" s="534"/>
      <c r="C383" s="34" t="s">
        <v>37</v>
      </c>
      <c r="D383" s="35">
        <v>25</v>
      </c>
      <c r="E383" s="36">
        <v>12541879</v>
      </c>
      <c r="F383" s="36">
        <v>1079993</v>
      </c>
      <c r="G383" s="36">
        <v>0</v>
      </c>
      <c r="H383" s="36">
        <v>12018738</v>
      </c>
      <c r="I383" s="36">
        <v>0</v>
      </c>
      <c r="J383" s="37">
        <v>2136713</v>
      </c>
      <c r="K383" s="36">
        <v>25640610</v>
      </c>
      <c r="L383" s="38">
        <v>27777323</v>
      </c>
      <c r="M383" s="39"/>
      <c r="N383" s="36">
        <v>25640610</v>
      </c>
      <c r="O383" s="36">
        <v>13621872</v>
      </c>
      <c r="P383" s="36">
        <v>0</v>
      </c>
      <c r="Q383" s="36">
        <v>30229260</v>
      </c>
      <c r="R383" s="7"/>
      <c r="S383" s="7"/>
      <c r="T383" s="7"/>
      <c r="U383" s="7"/>
      <c r="V383" s="7"/>
      <c r="W383" s="7"/>
      <c r="X383" s="7"/>
      <c r="Y383" s="7"/>
      <c r="Z383" s="7"/>
    </row>
    <row r="384" spans="1:26" ht="12.75" customHeight="1" x14ac:dyDescent="0.2">
      <c r="A384" s="534"/>
      <c r="B384" s="534"/>
      <c r="C384" s="40" t="s">
        <v>36</v>
      </c>
      <c r="D384" s="41">
        <v>26</v>
      </c>
      <c r="E384" s="42">
        <v>6588.89</v>
      </c>
      <c r="F384" s="42">
        <v>570.16999999999996</v>
      </c>
      <c r="G384" s="42">
        <v>0</v>
      </c>
      <c r="H384" s="42">
        <v>6207.16</v>
      </c>
      <c r="I384" s="42">
        <v>0</v>
      </c>
      <c r="J384" s="42">
        <v>1113.8499999999999</v>
      </c>
      <c r="K384" s="43">
        <v>13366.22</v>
      </c>
      <c r="L384" s="32">
        <v>14480.07</v>
      </c>
      <c r="M384" s="33"/>
      <c r="N384" s="30">
        <v>13366.22</v>
      </c>
      <c r="O384" s="30">
        <v>7159.06</v>
      </c>
      <c r="P384" s="30"/>
      <c r="Q384" s="30">
        <v>15768.7</v>
      </c>
      <c r="R384" s="7"/>
      <c r="S384" s="7"/>
      <c r="T384" s="7"/>
      <c r="U384" s="7"/>
      <c r="V384" s="7"/>
      <c r="W384" s="7"/>
      <c r="X384" s="7"/>
      <c r="Y384" s="7"/>
      <c r="Z384" s="7"/>
    </row>
    <row r="385" spans="1:26" ht="9" customHeight="1" x14ac:dyDescent="0.2">
      <c r="A385" s="534"/>
      <c r="B385" s="534"/>
      <c r="C385" s="34" t="s">
        <v>37</v>
      </c>
      <c r="D385" s="35">
        <v>27</v>
      </c>
      <c r="E385" s="36">
        <v>12757870</v>
      </c>
      <c r="F385" s="36">
        <v>1104003</v>
      </c>
      <c r="G385" s="36">
        <v>0</v>
      </c>
      <c r="H385" s="36">
        <v>12018738</v>
      </c>
      <c r="I385" s="36">
        <v>0</v>
      </c>
      <c r="J385" s="37">
        <v>2156714</v>
      </c>
      <c r="K385" s="36">
        <v>25880611</v>
      </c>
      <c r="L385" s="38">
        <v>28037325</v>
      </c>
      <c r="M385" s="39"/>
      <c r="N385" s="36">
        <v>25880611</v>
      </c>
      <c r="O385" s="36">
        <v>13861873</v>
      </c>
      <c r="P385" s="36">
        <v>0</v>
      </c>
      <c r="Q385" s="36">
        <v>30532461</v>
      </c>
      <c r="R385" s="7"/>
      <c r="S385" s="7"/>
      <c r="T385" s="7"/>
      <c r="U385" s="7"/>
      <c r="V385" s="7"/>
      <c r="W385" s="7"/>
      <c r="X385" s="7"/>
      <c r="Y385" s="7"/>
      <c r="Z385" s="7"/>
    </row>
    <row r="386" spans="1:26" ht="12.75" customHeight="1" x14ac:dyDescent="0.2">
      <c r="A386" s="534"/>
      <c r="B386" s="534"/>
      <c r="C386" s="40" t="s">
        <v>36</v>
      </c>
      <c r="D386" s="41">
        <v>28</v>
      </c>
      <c r="E386" s="42">
        <v>6722.51</v>
      </c>
      <c r="F386" s="42">
        <v>582.55999999999995</v>
      </c>
      <c r="G386" s="42">
        <v>0</v>
      </c>
      <c r="H386" s="42">
        <v>6207.16</v>
      </c>
      <c r="I386" s="42">
        <v>0</v>
      </c>
      <c r="J386" s="42">
        <v>1126.02</v>
      </c>
      <c r="K386" s="43">
        <v>13512.23</v>
      </c>
      <c r="L386" s="32">
        <v>14638.25</v>
      </c>
      <c r="M386" s="33"/>
      <c r="N386" s="30">
        <v>13512.23</v>
      </c>
      <c r="O386" s="30">
        <v>7305.07</v>
      </c>
      <c r="P386" s="30"/>
      <c r="Q386" s="30">
        <v>15953.16</v>
      </c>
      <c r="R386" s="7"/>
      <c r="S386" s="7"/>
      <c r="T386" s="7"/>
      <c r="U386" s="7"/>
      <c r="V386" s="7"/>
      <c r="W386" s="7"/>
      <c r="X386" s="7"/>
      <c r="Y386" s="7"/>
      <c r="Z386" s="7"/>
    </row>
    <row r="387" spans="1:26" ht="9" customHeight="1" x14ac:dyDescent="0.2">
      <c r="A387" s="534"/>
      <c r="B387" s="534"/>
      <c r="C387" s="34" t="s">
        <v>37</v>
      </c>
      <c r="D387" s="35">
        <v>29</v>
      </c>
      <c r="E387" s="36">
        <v>13016594</v>
      </c>
      <c r="F387" s="36">
        <v>1127993</v>
      </c>
      <c r="G387" s="36">
        <v>0</v>
      </c>
      <c r="H387" s="36">
        <v>12018738</v>
      </c>
      <c r="I387" s="36">
        <v>0</v>
      </c>
      <c r="J387" s="37">
        <v>2180279</v>
      </c>
      <c r="K387" s="36">
        <v>26163326</v>
      </c>
      <c r="L387" s="38">
        <v>28343604</v>
      </c>
      <c r="M387" s="39"/>
      <c r="N387" s="36">
        <v>26163326</v>
      </c>
      <c r="O387" s="36">
        <v>14144588</v>
      </c>
      <c r="P387" s="36">
        <v>0</v>
      </c>
      <c r="Q387" s="36">
        <v>30889625</v>
      </c>
      <c r="R387" s="7"/>
      <c r="S387" s="7"/>
      <c r="T387" s="7"/>
      <c r="U387" s="7"/>
      <c r="V387" s="7"/>
      <c r="W387" s="7"/>
      <c r="X387" s="7"/>
      <c r="Y387" s="7"/>
      <c r="Z387" s="7"/>
    </row>
    <row r="388" spans="1:26" ht="12.75" customHeight="1" x14ac:dyDescent="0.2">
      <c r="A388" s="534"/>
      <c r="B388" s="534"/>
      <c r="C388" s="40" t="s">
        <v>36</v>
      </c>
      <c r="D388" s="41">
        <v>30</v>
      </c>
      <c r="E388" s="42">
        <v>6834.06</v>
      </c>
      <c r="F388" s="42">
        <v>588.76</v>
      </c>
      <c r="G388" s="42">
        <v>0</v>
      </c>
      <c r="H388" s="42">
        <v>6207.16</v>
      </c>
      <c r="I388" s="42">
        <v>0</v>
      </c>
      <c r="J388" s="42">
        <v>1135.83</v>
      </c>
      <c r="K388" s="43">
        <v>13629.98</v>
      </c>
      <c r="L388" s="32">
        <v>14765.81</v>
      </c>
      <c r="M388" s="33"/>
      <c r="N388" s="30">
        <v>13629.98</v>
      </c>
      <c r="O388" s="30">
        <v>7422.82</v>
      </c>
      <c r="P388" s="30"/>
      <c r="Q388" s="30">
        <v>16101.92</v>
      </c>
      <c r="R388" s="7"/>
      <c r="S388" s="7"/>
      <c r="T388" s="7"/>
      <c r="U388" s="7"/>
      <c r="V388" s="7"/>
      <c r="W388" s="7"/>
      <c r="X388" s="7"/>
      <c r="Y388" s="7"/>
      <c r="Z388" s="7"/>
    </row>
    <row r="389" spans="1:26" ht="9" customHeight="1" x14ac:dyDescent="0.2">
      <c r="A389" s="534"/>
      <c r="B389" s="534"/>
      <c r="C389" s="34" t="s">
        <v>37</v>
      </c>
      <c r="D389" s="35">
        <v>31</v>
      </c>
      <c r="E389" s="36">
        <v>13232585</v>
      </c>
      <c r="F389" s="36">
        <v>1139998</v>
      </c>
      <c r="G389" s="36">
        <v>0</v>
      </c>
      <c r="H389" s="36">
        <v>12018738</v>
      </c>
      <c r="I389" s="36">
        <v>0</v>
      </c>
      <c r="J389" s="37">
        <v>2199274</v>
      </c>
      <c r="K389" s="36">
        <v>26391321</v>
      </c>
      <c r="L389" s="38">
        <v>28590595</v>
      </c>
      <c r="M389" s="39"/>
      <c r="N389" s="36">
        <v>26391321</v>
      </c>
      <c r="O389" s="36">
        <v>14372584</v>
      </c>
      <c r="P389" s="36">
        <v>0</v>
      </c>
      <c r="Q389" s="36">
        <v>31177665</v>
      </c>
      <c r="R389" s="7"/>
      <c r="S389" s="7"/>
      <c r="T389" s="7"/>
      <c r="U389" s="7"/>
      <c r="V389" s="7"/>
      <c r="W389" s="7"/>
      <c r="X389" s="7"/>
      <c r="Y389" s="7"/>
      <c r="Z389" s="7"/>
    </row>
    <row r="390" spans="1:26" ht="12.75" customHeight="1" x14ac:dyDescent="0.2">
      <c r="A390" s="534"/>
      <c r="B390" s="534"/>
      <c r="C390" s="40" t="s">
        <v>36</v>
      </c>
      <c r="D390" s="41">
        <v>32</v>
      </c>
      <c r="E390" s="42">
        <v>6939.42</v>
      </c>
      <c r="F390" s="42">
        <v>601.16</v>
      </c>
      <c r="G390" s="42">
        <v>0</v>
      </c>
      <c r="H390" s="42">
        <v>6207.16</v>
      </c>
      <c r="I390" s="42">
        <v>0</v>
      </c>
      <c r="J390" s="42">
        <v>1145.6500000000001</v>
      </c>
      <c r="K390" s="43">
        <v>13747.74</v>
      </c>
      <c r="L390" s="32">
        <v>14893.39</v>
      </c>
      <c r="M390" s="33"/>
      <c r="N390" s="30">
        <v>13747.74</v>
      </c>
      <c r="O390" s="30">
        <v>7540.58</v>
      </c>
      <c r="P390" s="30"/>
      <c r="Q390" s="30">
        <v>16250.69</v>
      </c>
      <c r="R390" s="7"/>
      <c r="S390" s="7"/>
      <c r="T390" s="7"/>
      <c r="U390" s="7"/>
      <c r="V390" s="7"/>
      <c r="W390" s="7"/>
      <c r="X390" s="7"/>
      <c r="Y390" s="7"/>
      <c r="Z390" s="7"/>
    </row>
    <row r="391" spans="1:26" ht="9" customHeight="1" x14ac:dyDescent="0.2">
      <c r="A391" s="534"/>
      <c r="B391" s="534"/>
      <c r="C391" s="34" t="s">
        <v>37</v>
      </c>
      <c r="D391" s="35">
        <v>33</v>
      </c>
      <c r="E391" s="36">
        <v>13436591</v>
      </c>
      <c r="F391" s="36">
        <v>1164008</v>
      </c>
      <c r="G391" s="36">
        <v>0</v>
      </c>
      <c r="H391" s="36">
        <v>12018738</v>
      </c>
      <c r="I391" s="36">
        <v>0</v>
      </c>
      <c r="J391" s="37">
        <v>2218288</v>
      </c>
      <c r="K391" s="36">
        <v>26619337</v>
      </c>
      <c r="L391" s="38">
        <v>28837624</v>
      </c>
      <c r="M391" s="39"/>
      <c r="N391" s="36">
        <v>26619337</v>
      </c>
      <c r="O391" s="36">
        <v>14600599</v>
      </c>
      <c r="P391" s="36">
        <v>0</v>
      </c>
      <c r="Q391" s="36">
        <v>31465724</v>
      </c>
      <c r="R391" s="7"/>
      <c r="S391" s="7"/>
      <c r="T391" s="7"/>
      <c r="U391" s="7"/>
      <c r="V391" s="7"/>
      <c r="W391" s="7"/>
      <c r="X391" s="7"/>
      <c r="Y391" s="7"/>
      <c r="Z391" s="7"/>
    </row>
    <row r="392" spans="1:26" ht="12.75" customHeight="1" x14ac:dyDescent="0.2">
      <c r="A392" s="534"/>
      <c r="B392" s="534"/>
      <c r="C392" s="40" t="s">
        <v>36</v>
      </c>
      <c r="D392" s="41">
        <v>34</v>
      </c>
      <c r="E392" s="42">
        <v>7050.98</v>
      </c>
      <c r="F392" s="42">
        <v>613.54999999999995</v>
      </c>
      <c r="G392" s="42">
        <v>0</v>
      </c>
      <c r="H392" s="42">
        <v>6207.16</v>
      </c>
      <c r="I392" s="42">
        <v>0</v>
      </c>
      <c r="J392" s="42">
        <v>1155.97</v>
      </c>
      <c r="K392" s="43">
        <v>13871.69</v>
      </c>
      <c r="L392" s="32">
        <v>15027.66</v>
      </c>
      <c r="M392" s="33"/>
      <c r="N392" s="30">
        <v>13871.69</v>
      </c>
      <c r="O392" s="30">
        <v>7664.53</v>
      </c>
      <c r="P392" s="30"/>
      <c r="Q392" s="30">
        <v>16407.28</v>
      </c>
      <c r="R392" s="7"/>
      <c r="S392" s="7"/>
      <c r="T392" s="7"/>
      <c r="U392" s="7"/>
      <c r="V392" s="7"/>
      <c r="W392" s="7"/>
      <c r="X392" s="7"/>
      <c r="Y392" s="7"/>
      <c r="Z392" s="7"/>
    </row>
    <row r="393" spans="1:26" ht="9" customHeight="1" x14ac:dyDescent="0.2">
      <c r="A393" s="534"/>
      <c r="B393" s="534"/>
      <c r="C393" s="34" t="s">
        <v>37</v>
      </c>
      <c r="D393" s="35">
        <v>35</v>
      </c>
      <c r="E393" s="36">
        <v>13652601</v>
      </c>
      <c r="F393" s="36">
        <v>1187998</v>
      </c>
      <c r="G393" s="36">
        <v>0</v>
      </c>
      <c r="H393" s="36">
        <v>12018738</v>
      </c>
      <c r="I393" s="36">
        <v>0</v>
      </c>
      <c r="J393" s="37">
        <v>2238270</v>
      </c>
      <c r="K393" s="36">
        <v>26859337</v>
      </c>
      <c r="L393" s="38">
        <v>29097607</v>
      </c>
      <c r="M393" s="39"/>
      <c r="N393" s="36">
        <v>26859337</v>
      </c>
      <c r="O393" s="36">
        <v>14840600</v>
      </c>
      <c r="P393" s="36">
        <v>0</v>
      </c>
      <c r="Q393" s="36">
        <v>31768924</v>
      </c>
      <c r="R393" s="7"/>
      <c r="S393" s="7"/>
      <c r="T393" s="7"/>
      <c r="U393" s="7"/>
      <c r="V393" s="7"/>
      <c r="W393" s="7"/>
      <c r="X393" s="7"/>
      <c r="Y393" s="7"/>
      <c r="Z393" s="7"/>
    </row>
    <row r="394" spans="1:26" ht="12.75" customHeight="1" x14ac:dyDescent="0.2">
      <c r="A394" s="534"/>
      <c r="B394" s="534"/>
      <c r="C394" s="40" t="s">
        <v>36</v>
      </c>
      <c r="D394" s="41">
        <v>36</v>
      </c>
      <c r="E394" s="42">
        <v>7177.9</v>
      </c>
      <c r="F394" s="42">
        <v>625.95000000000005</v>
      </c>
      <c r="G394" s="42">
        <v>0</v>
      </c>
      <c r="H394" s="42">
        <v>6207.16</v>
      </c>
      <c r="I394" s="42">
        <v>0</v>
      </c>
      <c r="J394" s="42">
        <v>1167.58</v>
      </c>
      <c r="K394" s="43">
        <v>14011.01</v>
      </c>
      <c r="L394" s="32">
        <v>15178.59</v>
      </c>
      <c r="M394" s="33"/>
      <c r="N394" s="30">
        <v>14011.01</v>
      </c>
      <c r="O394" s="30">
        <v>7803.85</v>
      </c>
      <c r="P394" s="30"/>
      <c r="Q394" s="30">
        <v>16583.28</v>
      </c>
      <c r="R394" s="7"/>
      <c r="S394" s="7"/>
      <c r="T394" s="7"/>
      <c r="U394" s="7"/>
      <c r="V394" s="7"/>
      <c r="W394" s="7"/>
      <c r="X394" s="7"/>
      <c r="Y394" s="7"/>
      <c r="Z394" s="7"/>
    </row>
    <row r="395" spans="1:26" ht="9" customHeight="1" x14ac:dyDescent="0.2">
      <c r="A395" s="534"/>
      <c r="B395" s="534"/>
      <c r="C395" s="34" t="s">
        <v>37</v>
      </c>
      <c r="D395" s="35">
        <v>37</v>
      </c>
      <c r="E395" s="36">
        <v>13898352</v>
      </c>
      <c r="F395" s="36">
        <v>1212008</v>
      </c>
      <c r="G395" s="36">
        <v>0</v>
      </c>
      <c r="H395" s="36">
        <v>12018738</v>
      </c>
      <c r="I395" s="36">
        <v>0</v>
      </c>
      <c r="J395" s="37">
        <v>2260750</v>
      </c>
      <c r="K395" s="36">
        <v>27129098</v>
      </c>
      <c r="L395" s="38">
        <v>29389848</v>
      </c>
      <c r="M395" s="39"/>
      <c r="N395" s="36">
        <v>27129098</v>
      </c>
      <c r="O395" s="36">
        <v>15110361</v>
      </c>
      <c r="P395" s="36">
        <v>0</v>
      </c>
      <c r="Q395" s="36">
        <v>32109708</v>
      </c>
      <c r="R395" s="7"/>
      <c r="S395" s="7"/>
      <c r="T395" s="7"/>
      <c r="U395" s="7"/>
      <c r="V395" s="7"/>
      <c r="W395" s="7"/>
      <c r="X395" s="7"/>
      <c r="Y395" s="7"/>
      <c r="Z395" s="7"/>
    </row>
    <row r="396" spans="1:26" ht="12.75" customHeight="1" x14ac:dyDescent="0.2">
      <c r="A396" s="534"/>
      <c r="B396" s="534"/>
      <c r="C396" s="40" t="s">
        <v>36</v>
      </c>
      <c r="D396" s="41">
        <v>38</v>
      </c>
      <c r="E396" s="42">
        <v>7289.45</v>
      </c>
      <c r="F396" s="42">
        <v>632.14</v>
      </c>
      <c r="G396" s="42">
        <v>0</v>
      </c>
      <c r="H396" s="42">
        <v>6207.16</v>
      </c>
      <c r="I396" s="42">
        <v>0</v>
      </c>
      <c r="J396" s="42">
        <v>1177.4000000000001</v>
      </c>
      <c r="K396" s="43">
        <v>14128.75</v>
      </c>
      <c r="L396" s="32">
        <v>15306.15</v>
      </c>
      <c r="M396" s="33"/>
      <c r="N396" s="30">
        <v>14128.75</v>
      </c>
      <c r="O396" s="30">
        <v>7921.59</v>
      </c>
      <c r="P396" s="30"/>
      <c r="Q396" s="30">
        <v>16732.04</v>
      </c>
      <c r="R396" s="7"/>
      <c r="S396" s="7"/>
      <c r="T396" s="7"/>
      <c r="U396" s="7"/>
      <c r="V396" s="7"/>
      <c r="W396" s="7"/>
      <c r="X396" s="7"/>
      <c r="Y396" s="7"/>
      <c r="Z396" s="7"/>
    </row>
    <row r="397" spans="1:26" ht="9" customHeight="1" x14ac:dyDescent="0.2">
      <c r="A397" s="534"/>
      <c r="B397" s="534"/>
      <c r="C397" s="34" t="s">
        <v>37</v>
      </c>
      <c r="D397" s="35">
        <v>39</v>
      </c>
      <c r="E397" s="36">
        <v>14114343</v>
      </c>
      <c r="F397" s="36">
        <v>1223994</v>
      </c>
      <c r="G397" s="36">
        <v>0</v>
      </c>
      <c r="H397" s="36">
        <v>12018738</v>
      </c>
      <c r="I397" s="36">
        <v>0</v>
      </c>
      <c r="J397" s="37">
        <v>2279764</v>
      </c>
      <c r="K397" s="36">
        <v>27357075</v>
      </c>
      <c r="L397" s="38">
        <v>29636839</v>
      </c>
      <c r="M397" s="39"/>
      <c r="N397" s="36">
        <v>27357075</v>
      </c>
      <c r="O397" s="36">
        <v>15338337</v>
      </c>
      <c r="P397" s="36">
        <v>0</v>
      </c>
      <c r="Q397" s="36">
        <v>32397747</v>
      </c>
      <c r="R397" s="7"/>
      <c r="S397" s="7"/>
      <c r="T397" s="7"/>
      <c r="U397" s="7"/>
      <c r="V397" s="7"/>
      <c r="W397" s="7"/>
      <c r="X397" s="7"/>
      <c r="Y397" s="7"/>
      <c r="Z397" s="7"/>
    </row>
    <row r="398" spans="1:26" ht="9" customHeight="1" x14ac:dyDescent="0.2">
      <c r="A398" s="534"/>
      <c r="B398" s="534"/>
      <c r="C398" s="44"/>
      <c r="D398" s="45"/>
      <c r="E398" s="96"/>
      <c r="F398" s="96"/>
      <c r="G398" s="96"/>
      <c r="H398" s="96"/>
      <c r="I398" s="96"/>
      <c r="J398" s="54"/>
      <c r="K398" s="96"/>
      <c r="L398" s="96"/>
      <c r="M398" s="39"/>
      <c r="N398" s="96"/>
      <c r="O398" s="96"/>
      <c r="P398" s="96"/>
      <c r="Q398" s="96"/>
      <c r="R398" s="7"/>
      <c r="S398" s="7"/>
      <c r="T398" s="7"/>
      <c r="U398" s="7"/>
      <c r="V398" s="7"/>
      <c r="W398" s="7"/>
      <c r="X398" s="7"/>
      <c r="Y398" s="7"/>
      <c r="Z398" s="7"/>
    </row>
    <row r="399" spans="1:26" ht="9" customHeight="1" x14ac:dyDescent="0.2">
      <c r="A399" s="534"/>
      <c r="B399" s="534"/>
      <c r="C399" s="44"/>
      <c r="D399" s="45"/>
      <c r="E399" s="96"/>
      <c r="F399" s="96"/>
      <c r="G399" s="96"/>
      <c r="H399" s="96"/>
      <c r="I399" s="96"/>
      <c r="J399" s="54"/>
      <c r="K399" s="96"/>
      <c r="L399" s="96"/>
      <c r="M399" s="39"/>
      <c r="N399" s="96"/>
      <c r="O399" s="96"/>
      <c r="P399" s="96"/>
      <c r="Q399" s="96"/>
      <c r="R399" s="7"/>
      <c r="S399" s="7"/>
      <c r="T399" s="7"/>
      <c r="U399" s="7"/>
      <c r="V399" s="7"/>
      <c r="W399" s="7"/>
      <c r="X399" s="7"/>
      <c r="Y399" s="7"/>
      <c r="Z399" s="7"/>
    </row>
    <row r="400" spans="1:26" ht="12.75" customHeight="1" x14ac:dyDescent="0.2">
      <c r="A400" s="534"/>
      <c r="B400" s="534"/>
      <c r="C400" s="40" t="s">
        <v>36</v>
      </c>
      <c r="D400" s="41">
        <v>40</v>
      </c>
      <c r="E400" s="42">
        <v>7394.81</v>
      </c>
      <c r="F400" s="42">
        <v>644.54</v>
      </c>
      <c r="G400" s="42">
        <v>0</v>
      </c>
      <c r="H400" s="42">
        <v>6207.16</v>
      </c>
      <c r="I400" s="42">
        <v>0</v>
      </c>
      <c r="J400" s="42">
        <v>1187.21</v>
      </c>
      <c r="K400" s="43">
        <v>14246.51</v>
      </c>
      <c r="L400" s="32">
        <v>15433.72</v>
      </c>
      <c r="M400" s="33"/>
      <c r="N400" s="30">
        <v>14246.51</v>
      </c>
      <c r="O400" s="30">
        <v>8039.35</v>
      </c>
      <c r="P400" s="30"/>
      <c r="Q400" s="30">
        <v>16880.8</v>
      </c>
      <c r="R400" s="7"/>
      <c r="S400" s="7"/>
      <c r="T400" s="7"/>
      <c r="U400" s="7"/>
      <c r="V400" s="7"/>
      <c r="W400" s="7"/>
      <c r="X400" s="7"/>
      <c r="Y400" s="7"/>
      <c r="Z400" s="7"/>
    </row>
    <row r="401" spans="1:26" ht="9" customHeight="1" x14ac:dyDescent="0.2">
      <c r="A401" s="535"/>
      <c r="B401" s="535"/>
      <c r="C401" s="47"/>
      <c r="D401" s="48"/>
      <c r="E401" s="46">
        <v>14318349</v>
      </c>
      <c r="F401" s="46">
        <v>1248003</v>
      </c>
      <c r="G401" s="46">
        <v>0</v>
      </c>
      <c r="H401" s="46">
        <v>12018738</v>
      </c>
      <c r="I401" s="46">
        <v>0</v>
      </c>
      <c r="J401" s="49">
        <v>2298759</v>
      </c>
      <c r="K401" s="46">
        <v>27585090</v>
      </c>
      <c r="L401" s="38">
        <v>29883849</v>
      </c>
      <c r="M401" s="39"/>
      <c r="N401" s="36">
        <v>27585090</v>
      </c>
      <c r="O401" s="36">
        <v>15566352</v>
      </c>
      <c r="P401" s="36">
        <v>0</v>
      </c>
      <c r="Q401" s="36">
        <v>32685787</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538">
        <v>35065</v>
      </c>
      <c r="B420" s="538">
        <v>35369</v>
      </c>
      <c r="C420" s="28" t="s">
        <v>36</v>
      </c>
      <c r="D420" s="29">
        <v>0</v>
      </c>
      <c r="E420" s="30">
        <v>4720.42</v>
      </c>
      <c r="F420" s="30">
        <v>0</v>
      </c>
      <c r="G420" s="30">
        <v>0</v>
      </c>
      <c r="H420" s="30">
        <v>6207.16</v>
      </c>
      <c r="I420" s="30">
        <v>0</v>
      </c>
      <c r="J420" s="30">
        <v>910.63</v>
      </c>
      <c r="K420" s="31">
        <v>10927.58</v>
      </c>
      <c r="L420" s="32">
        <v>11838.21</v>
      </c>
      <c r="M420" s="33"/>
      <c r="N420" s="30">
        <v>10927.58</v>
      </c>
      <c r="O420" s="30">
        <v>4720.42</v>
      </c>
      <c r="P420" s="30"/>
      <c r="Q420" s="30">
        <v>12687.89</v>
      </c>
      <c r="R420" s="7"/>
      <c r="S420" s="7"/>
      <c r="T420" s="7"/>
      <c r="U420" s="7"/>
      <c r="V420" s="7"/>
      <c r="W420" s="7"/>
      <c r="X420" s="7"/>
      <c r="Y420" s="7"/>
      <c r="Z420" s="7"/>
    </row>
    <row r="421" spans="1:26" ht="9" customHeight="1" x14ac:dyDescent="0.2">
      <c r="A421" s="534"/>
      <c r="B421" s="534"/>
      <c r="C421" s="34" t="s">
        <v>37</v>
      </c>
      <c r="D421" s="35">
        <v>2</v>
      </c>
      <c r="E421" s="36">
        <v>9140008</v>
      </c>
      <c r="F421" s="36">
        <v>0</v>
      </c>
      <c r="G421" s="36">
        <v>0</v>
      </c>
      <c r="H421" s="36">
        <v>12018738</v>
      </c>
      <c r="I421" s="36">
        <v>0</v>
      </c>
      <c r="J421" s="37">
        <v>1763226</v>
      </c>
      <c r="K421" s="36">
        <v>21158745</v>
      </c>
      <c r="L421" s="38">
        <v>22921971</v>
      </c>
      <c r="M421" s="39"/>
      <c r="N421" s="36">
        <v>21158745</v>
      </c>
      <c r="O421" s="36">
        <v>9140008</v>
      </c>
      <c r="P421" s="36">
        <v>0</v>
      </c>
      <c r="Q421" s="36">
        <v>24567181</v>
      </c>
      <c r="R421" s="7"/>
      <c r="S421" s="7"/>
      <c r="T421" s="7"/>
      <c r="U421" s="7"/>
      <c r="V421" s="7"/>
      <c r="W421" s="7"/>
      <c r="X421" s="7"/>
      <c r="Y421" s="7"/>
      <c r="Z421" s="7"/>
    </row>
    <row r="422" spans="1:26" ht="12.75" customHeight="1" x14ac:dyDescent="0.2">
      <c r="A422" s="539">
        <v>35065</v>
      </c>
      <c r="B422" s="539">
        <v>35369</v>
      </c>
      <c r="C422" s="40" t="s">
        <v>36</v>
      </c>
      <c r="D422" s="41">
        <v>3</v>
      </c>
      <c r="E422" s="42">
        <v>4923.8999999999996</v>
      </c>
      <c r="F422" s="42">
        <v>0</v>
      </c>
      <c r="G422" s="42">
        <v>0</v>
      </c>
      <c r="H422" s="42">
        <v>6207.16</v>
      </c>
      <c r="I422" s="42">
        <v>0</v>
      </c>
      <c r="J422" s="42">
        <v>927.59</v>
      </c>
      <c r="K422" s="43">
        <v>11131.06</v>
      </c>
      <c r="L422" s="32">
        <v>12058.65</v>
      </c>
      <c r="M422" s="33"/>
      <c r="N422" s="30">
        <v>11131.06</v>
      </c>
      <c r="O422" s="30">
        <v>4923.8999999999996</v>
      </c>
      <c r="P422" s="30"/>
      <c r="Q422" s="30">
        <v>12944.95</v>
      </c>
      <c r="R422" s="7"/>
      <c r="S422" s="7"/>
      <c r="T422" s="7"/>
      <c r="U422" s="7"/>
      <c r="V422" s="7"/>
      <c r="W422" s="7"/>
      <c r="X422" s="7"/>
      <c r="Y422" s="7"/>
      <c r="Z422" s="7"/>
    </row>
    <row r="423" spans="1:26" ht="9" customHeight="1" x14ac:dyDescent="0.2">
      <c r="A423" s="534"/>
      <c r="B423" s="534"/>
      <c r="C423" s="34" t="s">
        <v>37</v>
      </c>
      <c r="D423" s="35">
        <v>8</v>
      </c>
      <c r="E423" s="36">
        <v>9534000</v>
      </c>
      <c r="F423" s="36">
        <v>0</v>
      </c>
      <c r="G423" s="36">
        <v>0</v>
      </c>
      <c r="H423" s="36">
        <v>12018738</v>
      </c>
      <c r="I423" s="36">
        <v>0</v>
      </c>
      <c r="J423" s="37">
        <v>1796065</v>
      </c>
      <c r="K423" s="36">
        <v>21552738</v>
      </c>
      <c r="L423" s="38">
        <v>23348802</v>
      </c>
      <c r="M423" s="39"/>
      <c r="N423" s="36">
        <v>21552738</v>
      </c>
      <c r="O423" s="36">
        <v>9534000</v>
      </c>
      <c r="P423" s="36">
        <v>0</v>
      </c>
      <c r="Q423" s="36">
        <v>25064918</v>
      </c>
      <c r="R423" s="7"/>
      <c r="S423" s="7"/>
      <c r="T423" s="7"/>
      <c r="U423" s="7"/>
      <c r="V423" s="7"/>
      <c r="W423" s="7"/>
      <c r="X423" s="7"/>
      <c r="Y423" s="7"/>
      <c r="Z423" s="7"/>
    </row>
    <row r="424" spans="1:26" ht="12.75" customHeight="1" x14ac:dyDescent="0.2">
      <c r="A424" s="534"/>
      <c r="B424" s="534"/>
      <c r="C424" s="40" t="s">
        <v>36</v>
      </c>
      <c r="D424" s="41">
        <v>9</v>
      </c>
      <c r="E424" s="42">
        <v>5691.36</v>
      </c>
      <c r="F424" s="42">
        <v>0</v>
      </c>
      <c r="G424" s="42">
        <v>0</v>
      </c>
      <c r="H424" s="42">
        <v>6207.16</v>
      </c>
      <c r="I424" s="42">
        <v>0</v>
      </c>
      <c r="J424" s="42">
        <v>991.54</v>
      </c>
      <c r="K424" s="43">
        <v>11898.52</v>
      </c>
      <c r="L424" s="32">
        <v>12890.06</v>
      </c>
      <c r="M424" s="33"/>
      <c r="N424" s="30">
        <v>11898.52</v>
      </c>
      <c r="O424" s="30">
        <v>5691.36</v>
      </c>
      <c r="P424" s="30"/>
      <c r="Q424" s="30">
        <v>13914.5</v>
      </c>
      <c r="R424" s="7"/>
      <c r="S424" s="7"/>
      <c r="T424" s="7"/>
      <c r="U424" s="7"/>
      <c r="V424" s="7"/>
      <c r="W424" s="7"/>
      <c r="X424" s="7"/>
      <c r="Y424" s="7"/>
      <c r="Z424" s="7"/>
    </row>
    <row r="425" spans="1:26" ht="9" customHeight="1" x14ac:dyDescent="0.2">
      <c r="A425" s="534"/>
      <c r="B425" s="534"/>
      <c r="C425" s="34" t="s">
        <v>37</v>
      </c>
      <c r="D425" s="35">
        <v>14</v>
      </c>
      <c r="E425" s="36">
        <v>11020010</v>
      </c>
      <c r="F425" s="36">
        <v>0</v>
      </c>
      <c r="G425" s="36">
        <v>0</v>
      </c>
      <c r="H425" s="36">
        <v>12018738</v>
      </c>
      <c r="I425" s="36">
        <v>0</v>
      </c>
      <c r="J425" s="37">
        <v>1919889</v>
      </c>
      <c r="K425" s="36">
        <v>23038747</v>
      </c>
      <c r="L425" s="38">
        <v>24958636</v>
      </c>
      <c r="M425" s="39"/>
      <c r="N425" s="36">
        <v>23038747</v>
      </c>
      <c r="O425" s="36">
        <v>11020010</v>
      </c>
      <c r="P425" s="36">
        <v>0</v>
      </c>
      <c r="Q425" s="36">
        <v>26942229</v>
      </c>
      <c r="R425" s="7"/>
      <c r="S425" s="7"/>
      <c r="T425" s="7"/>
      <c r="U425" s="7"/>
      <c r="V425" s="7"/>
      <c r="W425" s="7"/>
      <c r="X425" s="7"/>
      <c r="Y425" s="7"/>
      <c r="Z425" s="7"/>
    </row>
    <row r="426" spans="1:26" ht="12.75" customHeight="1" x14ac:dyDescent="0.2">
      <c r="A426" s="534"/>
      <c r="B426" s="534"/>
      <c r="C426" s="40" t="s">
        <v>36</v>
      </c>
      <c r="D426" s="41">
        <v>15</v>
      </c>
      <c r="E426" s="42">
        <v>6412.85</v>
      </c>
      <c r="F426" s="42">
        <v>0</v>
      </c>
      <c r="G426" s="42">
        <v>0</v>
      </c>
      <c r="H426" s="42">
        <v>6207.16</v>
      </c>
      <c r="I426" s="42">
        <v>0</v>
      </c>
      <c r="J426" s="42">
        <v>1051.67</v>
      </c>
      <c r="K426" s="43">
        <v>12620.01</v>
      </c>
      <c r="L426" s="32">
        <v>13671.68</v>
      </c>
      <c r="M426" s="33"/>
      <c r="N426" s="30">
        <v>12620.01</v>
      </c>
      <c r="O426" s="30">
        <v>6412.85</v>
      </c>
      <c r="P426" s="30"/>
      <c r="Q426" s="30">
        <v>14825.99</v>
      </c>
      <c r="R426" s="7"/>
      <c r="S426" s="7"/>
      <c r="T426" s="7"/>
      <c r="U426" s="7"/>
      <c r="V426" s="7"/>
      <c r="W426" s="7"/>
      <c r="X426" s="7"/>
      <c r="Y426" s="7"/>
      <c r="Z426" s="7"/>
    </row>
    <row r="427" spans="1:26" ht="9" customHeight="1" x14ac:dyDescent="0.2">
      <c r="A427" s="534"/>
      <c r="B427" s="534"/>
      <c r="C427" s="34" t="s">
        <v>37</v>
      </c>
      <c r="D427" s="35">
        <v>20</v>
      </c>
      <c r="E427" s="36">
        <v>12417009</v>
      </c>
      <c r="F427" s="36">
        <v>0</v>
      </c>
      <c r="G427" s="36">
        <v>0</v>
      </c>
      <c r="H427" s="36">
        <v>12018738</v>
      </c>
      <c r="I427" s="36">
        <v>0</v>
      </c>
      <c r="J427" s="37">
        <v>2036317</v>
      </c>
      <c r="K427" s="36">
        <v>24435747</v>
      </c>
      <c r="L427" s="38">
        <v>26472064</v>
      </c>
      <c r="M427" s="39"/>
      <c r="N427" s="36">
        <v>24435747</v>
      </c>
      <c r="O427" s="36">
        <v>12417009</v>
      </c>
      <c r="P427" s="36">
        <v>0</v>
      </c>
      <c r="Q427" s="36">
        <v>28707120</v>
      </c>
      <c r="R427" s="7"/>
      <c r="S427" s="7"/>
      <c r="T427" s="7"/>
      <c r="U427" s="7"/>
      <c r="V427" s="7"/>
      <c r="W427" s="7"/>
      <c r="X427" s="7"/>
      <c r="Y427" s="7"/>
      <c r="Z427" s="7"/>
    </row>
    <row r="428" spans="1:26" ht="12.75" customHeight="1" x14ac:dyDescent="0.2">
      <c r="A428" s="534"/>
      <c r="B428" s="534"/>
      <c r="C428" s="40" t="s">
        <v>36</v>
      </c>
      <c r="D428" s="41">
        <v>21</v>
      </c>
      <c r="E428" s="42">
        <v>7128.14</v>
      </c>
      <c r="F428" s="42">
        <v>0</v>
      </c>
      <c r="G428" s="42">
        <v>0</v>
      </c>
      <c r="H428" s="42">
        <v>6207.16</v>
      </c>
      <c r="I428" s="42">
        <v>0</v>
      </c>
      <c r="J428" s="42">
        <v>1111.28</v>
      </c>
      <c r="K428" s="43">
        <v>13335.3</v>
      </c>
      <c r="L428" s="32">
        <v>14446.58</v>
      </c>
      <c r="M428" s="33"/>
      <c r="N428" s="30">
        <v>13335.3</v>
      </c>
      <c r="O428" s="30">
        <v>7128.14</v>
      </c>
      <c r="P428" s="30"/>
      <c r="Q428" s="30">
        <v>15729.65</v>
      </c>
      <c r="R428" s="7"/>
      <c r="S428" s="7"/>
      <c r="T428" s="7"/>
      <c r="U428" s="7"/>
      <c r="V428" s="7"/>
      <c r="W428" s="7"/>
      <c r="X428" s="7"/>
      <c r="Y428" s="7"/>
      <c r="Z428" s="7"/>
    </row>
    <row r="429" spans="1:26" ht="9" customHeight="1" x14ac:dyDescent="0.2">
      <c r="A429" s="534"/>
      <c r="B429" s="534"/>
      <c r="C429" s="34" t="s">
        <v>37</v>
      </c>
      <c r="D429" s="35">
        <v>27</v>
      </c>
      <c r="E429" s="36">
        <v>13802004</v>
      </c>
      <c r="F429" s="36">
        <v>0</v>
      </c>
      <c r="G429" s="36">
        <v>0</v>
      </c>
      <c r="H429" s="36">
        <v>12018738</v>
      </c>
      <c r="I429" s="36">
        <v>0</v>
      </c>
      <c r="J429" s="37">
        <v>2151738</v>
      </c>
      <c r="K429" s="36">
        <v>25820741</v>
      </c>
      <c r="L429" s="38">
        <v>27972479</v>
      </c>
      <c r="M429" s="39"/>
      <c r="N429" s="36">
        <v>25820741</v>
      </c>
      <c r="O429" s="36">
        <v>13802004</v>
      </c>
      <c r="P429" s="36">
        <v>0</v>
      </c>
      <c r="Q429" s="36">
        <v>30456849</v>
      </c>
      <c r="R429" s="7"/>
      <c r="S429" s="7"/>
      <c r="T429" s="7"/>
      <c r="U429" s="7"/>
      <c r="V429" s="7"/>
      <c r="W429" s="7"/>
      <c r="X429" s="7"/>
      <c r="Y429" s="7"/>
      <c r="Z429" s="7"/>
    </row>
    <row r="430" spans="1:26" ht="12.75" customHeight="1" x14ac:dyDescent="0.2">
      <c r="A430" s="534"/>
      <c r="B430" s="534"/>
      <c r="C430" s="40" t="s">
        <v>36</v>
      </c>
      <c r="D430" s="41">
        <v>28</v>
      </c>
      <c r="E430" s="42">
        <v>7646.14</v>
      </c>
      <c r="F430" s="42">
        <v>0</v>
      </c>
      <c r="G430" s="42">
        <v>0</v>
      </c>
      <c r="H430" s="42">
        <v>6207.16</v>
      </c>
      <c r="I430" s="42">
        <v>0</v>
      </c>
      <c r="J430" s="42">
        <v>1154.44</v>
      </c>
      <c r="K430" s="43">
        <v>13853.3</v>
      </c>
      <c r="L430" s="32">
        <v>15007.74</v>
      </c>
      <c r="M430" s="33"/>
      <c r="N430" s="30">
        <v>13853.3</v>
      </c>
      <c r="O430" s="30">
        <v>7646.14</v>
      </c>
      <c r="P430" s="30"/>
      <c r="Q430" s="30">
        <v>16384.05</v>
      </c>
      <c r="R430" s="7"/>
      <c r="S430" s="7"/>
      <c r="T430" s="7"/>
      <c r="U430" s="7"/>
      <c r="V430" s="7"/>
      <c r="W430" s="7"/>
      <c r="X430" s="7"/>
      <c r="Y430" s="7"/>
      <c r="Z430" s="7"/>
    </row>
    <row r="431" spans="1:26" ht="9" customHeight="1" x14ac:dyDescent="0.2">
      <c r="A431" s="534"/>
      <c r="B431" s="534"/>
      <c r="C431" s="34" t="s">
        <v>37</v>
      </c>
      <c r="D431" s="35">
        <v>34</v>
      </c>
      <c r="E431" s="36">
        <v>14804991</v>
      </c>
      <c r="F431" s="36">
        <v>0</v>
      </c>
      <c r="G431" s="36">
        <v>0</v>
      </c>
      <c r="H431" s="36">
        <v>12018738</v>
      </c>
      <c r="I431" s="36">
        <v>0</v>
      </c>
      <c r="J431" s="37">
        <v>2235308</v>
      </c>
      <c r="K431" s="36">
        <v>26823729</v>
      </c>
      <c r="L431" s="38">
        <v>29059037</v>
      </c>
      <c r="M431" s="39"/>
      <c r="N431" s="36">
        <v>26823729</v>
      </c>
      <c r="O431" s="36">
        <v>14804991</v>
      </c>
      <c r="P431" s="36">
        <v>0</v>
      </c>
      <c r="Q431" s="36">
        <v>31723944</v>
      </c>
      <c r="R431" s="7"/>
      <c r="S431" s="7"/>
      <c r="T431" s="7"/>
      <c r="U431" s="7"/>
      <c r="V431" s="7"/>
      <c r="W431" s="7"/>
      <c r="X431" s="7"/>
      <c r="Y431" s="7"/>
      <c r="Z431" s="7"/>
    </row>
    <row r="432" spans="1:26" ht="12.75" customHeight="1" x14ac:dyDescent="0.2">
      <c r="A432" s="534"/>
      <c r="B432" s="534"/>
      <c r="C432" s="40" t="s">
        <v>36</v>
      </c>
      <c r="D432" s="41">
        <v>35</v>
      </c>
      <c r="E432" s="42">
        <v>8032.97</v>
      </c>
      <c r="F432" s="42">
        <v>0</v>
      </c>
      <c r="G432" s="42">
        <v>0</v>
      </c>
      <c r="H432" s="42">
        <v>6207.16</v>
      </c>
      <c r="I432" s="42">
        <v>0</v>
      </c>
      <c r="J432" s="42">
        <v>1186.68</v>
      </c>
      <c r="K432" s="43">
        <v>14240.13</v>
      </c>
      <c r="L432" s="32">
        <v>15426.81</v>
      </c>
      <c r="M432" s="33"/>
      <c r="N432" s="30">
        <v>14240.13</v>
      </c>
      <c r="O432" s="30">
        <v>8032.97</v>
      </c>
      <c r="P432" s="30"/>
      <c r="Q432" s="30">
        <v>16872.740000000002</v>
      </c>
      <c r="R432" s="7"/>
      <c r="S432" s="7"/>
      <c r="T432" s="7"/>
      <c r="U432" s="7"/>
      <c r="V432" s="7"/>
      <c r="W432" s="7"/>
      <c r="X432" s="7"/>
      <c r="Y432" s="7"/>
      <c r="Z432" s="7"/>
    </row>
    <row r="433" spans="1:26" ht="9" customHeight="1" x14ac:dyDescent="0.2">
      <c r="A433" s="535"/>
      <c r="B433" s="535"/>
      <c r="C433" s="47" t="s">
        <v>37</v>
      </c>
      <c r="D433" s="48"/>
      <c r="E433" s="46">
        <v>15553999</v>
      </c>
      <c r="F433" s="46">
        <v>0</v>
      </c>
      <c r="G433" s="46">
        <v>0</v>
      </c>
      <c r="H433" s="46">
        <v>12018738</v>
      </c>
      <c r="I433" s="46">
        <v>0</v>
      </c>
      <c r="J433" s="49">
        <v>2297733</v>
      </c>
      <c r="K433" s="46">
        <v>27572737</v>
      </c>
      <c r="L433" s="38">
        <v>29870469</v>
      </c>
      <c r="M433" s="39"/>
      <c r="N433" s="36">
        <v>27572737</v>
      </c>
      <c r="O433" s="36">
        <v>15553999</v>
      </c>
      <c r="P433" s="36">
        <v>0</v>
      </c>
      <c r="Q433" s="36">
        <v>32670180</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6"/>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6"/>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6"/>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6"/>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6"/>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6"/>
      <c r="M439" s="39"/>
      <c r="N439" s="96"/>
      <c r="O439" s="96"/>
      <c r="P439" s="96"/>
      <c r="Q439" s="96"/>
      <c r="R439" s="7"/>
      <c r="S439" s="7"/>
      <c r="T439" s="7"/>
      <c r="U439" s="7"/>
      <c r="V439" s="7"/>
      <c r="W439" s="7"/>
      <c r="X439" s="7"/>
      <c r="Y439" s="7"/>
      <c r="Z439" s="7"/>
    </row>
    <row r="440" spans="1:26" ht="12.75" customHeight="1" x14ac:dyDescent="0.2">
      <c r="A440" s="538">
        <v>35370</v>
      </c>
      <c r="B440" s="538">
        <v>35611</v>
      </c>
      <c r="C440" s="28" t="s">
        <v>36</v>
      </c>
      <c r="D440" s="29">
        <v>0</v>
      </c>
      <c r="E440" s="30">
        <v>5092.2700000000004</v>
      </c>
      <c r="F440" s="30">
        <v>0</v>
      </c>
      <c r="G440" s="30">
        <v>0</v>
      </c>
      <c r="H440" s="30">
        <v>6207.16</v>
      </c>
      <c r="I440" s="30">
        <v>0</v>
      </c>
      <c r="J440" s="30">
        <v>941.62</v>
      </c>
      <c r="K440" s="31">
        <v>11299.43</v>
      </c>
      <c r="L440" s="32">
        <v>12241.05</v>
      </c>
      <c r="M440" s="33"/>
      <c r="N440" s="30">
        <v>11299.43</v>
      </c>
      <c r="O440" s="30">
        <v>5092.2700000000004</v>
      </c>
      <c r="P440" s="30"/>
      <c r="Q440" s="30">
        <v>13157.66</v>
      </c>
      <c r="R440" s="7"/>
      <c r="S440" s="7"/>
      <c r="T440" s="7"/>
      <c r="U440" s="7"/>
      <c r="V440" s="7"/>
      <c r="W440" s="7"/>
      <c r="X440" s="7"/>
      <c r="Y440" s="7"/>
      <c r="Z440" s="7"/>
    </row>
    <row r="441" spans="1:26" ht="9" customHeight="1" x14ac:dyDescent="0.2">
      <c r="A441" s="534"/>
      <c r="B441" s="534"/>
      <c r="C441" s="34" t="s">
        <v>37</v>
      </c>
      <c r="D441" s="35">
        <v>2</v>
      </c>
      <c r="E441" s="36">
        <v>9860010</v>
      </c>
      <c r="F441" s="36">
        <v>0</v>
      </c>
      <c r="G441" s="36">
        <v>0</v>
      </c>
      <c r="H441" s="36">
        <v>12018738</v>
      </c>
      <c r="I441" s="36">
        <v>0</v>
      </c>
      <c r="J441" s="37">
        <v>1823231</v>
      </c>
      <c r="K441" s="36">
        <v>21878747</v>
      </c>
      <c r="L441" s="38">
        <v>23701978</v>
      </c>
      <c r="M441" s="39"/>
      <c r="N441" s="36">
        <v>21878747</v>
      </c>
      <c r="O441" s="36">
        <v>9860010</v>
      </c>
      <c r="P441" s="36">
        <v>0</v>
      </c>
      <c r="Q441" s="36">
        <v>25476782</v>
      </c>
      <c r="R441" s="7"/>
      <c r="S441" s="7"/>
      <c r="T441" s="7"/>
      <c r="U441" s="7"/>
      <c r="V441" s="7"/>
      <c r="W441" s="7"/>
      <c r="X441" s="7"/>
      <c r="Y441" s="7"/>
      <c r="Z441" s="7"/>
    </row>
    <row r="442" spans="1:26" ht="12.75" customHeight="1" x14ac:dyDescent="0.2">
      <c r="A442" s="539">
        <v>35370</v>
      </c>
      <c r="B442" s="539">
        <v>35611</v>
      </c>
      <c r="C442" s="40" t="s">
        <v>36</v>
      </c>
      <c r="D442" s="41">
        <v>3</v>
      </c>
      <c r="E442" s="42">
        <v>5301.95</v>
      </c>
      <c r="F442" s="42">
        <v>0</v>
      </c>
      <c r="G442" s="42">
        <v>0</v>
      </c>
      <c r="H442" s="42">
        <v>6207.16</v>
      </c>
      <c r="I442" s="42">
        <v>0</v>
      </c>
      <c r="J442" s="42">
        <v>959.09</v>
      </c>
      <c r="K442" s="43">
        <v>11509.11</v>
      </c>
      <c r="L442" s="32">
        <v>12468.2</v>
      </c>
      <c r="M442" s="33"/>
      <c r="N442" s="30">
        <v>11509.11</v>
      </c>
      <c r="O442" s="30">
        <v>5301.95</v>
      </c>
      <c r="P442" s="30"/>
      <c r="Q442" s="30">
        <v>13422.55</v>
      </c>
      <c r="R442" s="7"/>
      <c r="S442" s="7"/>
      <c r="T442" s="7"/>
      <c r="U442" s="7"/>
      <c r="V442" s="7"/>
      <c r="W442" s="7"/>
      <c r="X442" s="7"/>
      <c r="Y442" s="7"/>
      <c r="Z442" s="7"/>
    </row>
    <row r="443" spans="1:26" ht="9" customHeight="1" x14ac:dyDescent="0.2">
      <c r="A443" s="534"/>
      <c r="B443" s="534"/>
      <c r="C443" s="34" t="s">
        <v>37</v>
      </c>
      <c r="D443" s="35">
        <v>8</v>
      </c>
      <c r="E443" s="36">
        <v>10266007</v>
      </c>
      <c r="F443" s="36">
        <v>0</v>
      </c>
      <c r="G443" s="36">
        <v>0</v>
      </c>
      <c r="H443" s="36">
        <v>12018738</v>
      </c>
      <c r="I443" s="36">
        <v>0</v>
      </c>
      <c r="J443" s="37">
        <v>1857057</v>
      </c>
      <c r="K443" s="36">
        <v>22284744</v>
      </c>
      <c r="L443" s="38">
        <v>24141802</v>
      </c>
      <c r="M443" s="39"/>
      <c r="N443" s="36">
        <v>22284744</v>
      </c>
      <c r="O443" s="36">
        <v>10266007</v>
      </c>
      <c r="P443" s="36">
        <v>0</v>
      </c>
      <c r="Q443" s="36">
        <v>25989681</v>
      </c>
      <c r="R443" s="7"/>
      <c r="S443" s="7"/>
      <c r="T443" s="7"/>
      <c r="U443" s="7"/>
      <c r="V443" s="7"/>
      <c r="W443" s="7"/>
      <c r="X443" s="7"/>
      <c r="Y443" s="7"/>
      <c r="Z443" s="7"/>
    </row>
    <row r="444" spans="1:26" ht="12.75" customHeight="1" x14ac:dyDescent="0.2">
      <c r="A444" s="534"/>
      <c r="B444" s="534"/>
      <c r="C444" s="40" t="s">
        <v>36</v>
      </c>
      <c r="D444" s="41">
        <v>9</v>
      </c>
      <c r="E444" s="42">
        <v>6100.39</v>
      </c>
      <c r="F444" s="42">
        <v>0</v>
      </c>
      <c r="G444" s="42">
        <v>0</v>
      </c>
      <c r="H444" s="42">
        <v>6207.16</v>
      </c>
      <c r="I444" s="42">
        <v>0</v>
      </c>
      <c r="J444" s="42">
        <v>1025.6300000000001</v>
      </c>
      <c r="K444" s="43">
        <v>12307.55</v>
      </c>
      <c r="L444" s="32">
        <v>13333.18</v>
      </c>
      <c r="M444" s="33"/>
      <c r="N444" s="30">
        <v>12307.55</v>
      </c>
      <c r="O444" s="30">
        <v>6100.39</v>
      </c>
      <c r="P444" s="30"/>
      <c r="Q444" s="30">
        <v>14431.25</v>
      </c>
      <c r="R444" s="7"/>
      <c r="S444" s="7"/>
      <c r="T444" s="7"/>
      <c r="U444" s="7"/>
      <c r="V444" s="7"/>
      <c r="W444" s="7"/>
      <c r="X444" s="7"/>
      <c r="Y444" s="7"/>
      <c r="Z444" s="7"/>
    </row>
    <row r="445" spans="1:26" ht="9" customHeight="1" x14ac:dyDescent="0.2">
      <c r="A445" s="534"/>
      <c r="B445" s="534"/>
      <c r="C445" s="34" t="s">
        <v>37</v>
      </c>
      <c r="D445" s="35">
        <v>14</v>
      </c>
      <c r="E445" s="36">
        <v>11812002</v>
      </c>
      <c r="F445" s="36">
        <v>0</v>
      </c>
      <c r="G445" s="36">
        <v>0</v>
      </c>
      <c r="H445" s="36">
        <v>12018738</v>
      </c>
      <c r="I445" s="36">
        <v>0</v>
      </c>
      <c r="J445" s="37">
        <v>1985897</v>
      </c>
      <c r="K445" s="36">
        <v>23830740</v>
      </c>
      <c r="L445" s="38">
        <v>25816636</v>
      </c>
      <c r="M445" s="39"/>
      <c r="N445" s="36">
        <v>23830740</v>
      </c>
      <c r="O445" s="36">
        <v>11812002</v>
      </c>
      <c r="P445" s="36">
        <v>0</v>
      </c>
      <c r="Q445" s="36">
        <v>27942796</v>
      </c>
      <c r="R445" s="7"/>
      <c r="S445" s="7"/>
      <c r="T445" s="7"/>
      <c r="U445" s="7"/>
      <c r="V445" s="7"/>
      <c r="W445" s="7"/>
      <c r="X445" s="7"/>
      <c r="Y445" s="7"/>
      <c r="Z445" s="7"/>
    </row>
    <row r="446" spans="1:26" ht="12.75" customHeight="1" x14ac:dyDescent="0.2">
      <c r="A446" s="534"/>
      <c r="B446" s="534"/>
      <c r="C446" s="40" t="s">
        <v>36</v>
      </c>
      <c r="D446" s="41">
        <v>15</v>
      </c>
      <c r="E446" s="42">
        <v>6846.67</v>
      </c>
      <c r="F446" s="42">
        <v>0</v>
      </c>
      <c r="G446" s="42">
        <v>0</v>
      </c>
      <c r="H446" s="42">
        <v>6207.16</v>
      </c>
      <c r="I446" s="42">
        <v>0</v>
      </c>
      <c r="J446" s="42">
        <v>1087.82</v>
      </c>
      <c r="K446" s="43">
        <v>13053.83</v>
      </c>
      <c r="L446" s="32">
        <v>14141.65</v>
      </c>
      <c r="M446" s="33"/>
      <c r="N446" s="30">
        <v>13053.83</v>
      </c>
      <c r="O446" s="30">
        <v>6846.67</v>
      </c>
      <c r="P446" s="30"/>
      <c r="Q446" s="30">
        <v>15374.05</v>
      </c>
      <c r="R446" s="7"/>
      <c r="S446" s="7"/>
      <c r="T446" s="7"/>
      <c r="U446" s="7"/>
      <c r="V446" s="7"/>
      <c r="W446" s="7"/>
      <c r="X446" s="7"/>
      <c r="Y446" s="7"/>
      <c r="Z446" s="7"/>
    </row>
    <row r="447" spans="1:26" ht="9" customHeight="1" x14ac:dyDescent="0.2">
      <c r="A447" s="534"/>
      <c r="B447" s="534"/>
      <c r="C447" s="34" t="s">
        <v>37</v>
      </c>
      <c r="D447" s="35">
        <v>20</v>
      </c>
      <c r="E447" s="36">
        <v>13257002</v>
      </c>
      <c r="F447" s="36">
        <v>0</v>
      </c>
      <c r="G447" s="36">
        <v>0</v>
      </c>
      <c r="H447" s="36">
        <v>12018738</v>
      </c>
      <c r="I447" s="36">
        <v>0</v>
      </c>
      <c r="J447" s="37">
        <v>2106313</v>
      </c>
      <c r="K447" s="36">
        <v>25275739</v>
      </c>
      <c r="L447" s="38">
        <v>27382053</v>
      </c>
      <c r="M447" s="39"/>
      <c r="N447" s="36">
        <v>25275739</v>
      </c>
      <c r="O447" s="36">
        <v>13257002</v>
      </c>
      <c r="P447" s="36">
        <v>0</v>
      </c>
      <c r="Q447" s="36">
        <v>29768312</v>
      </c>
      <c r="R447" s="7"/>
      <c r="S447" s="7"/>
      <c r="T447" s="7"/>
      <c r="U447" s="7"/>
      <c r="V447" s="7"/>
      <c r="W447" s="7"/>
      <c r="X447" s="7"/>
      <c r="Y447" s="7"/>
      <c r="Z447" s="7"/>
    </row>
    <row r="448" spans="1:26" ht="12.75" customHeight="1" x14ac:dyDescent="0.2">
      <c r="A448" s="534"/>
      <c r="B448" s="534"/>
      <c r="C448" s="40" t="s">
        <v>36</v>
      </c>
      <c r="D448" s="41">
        <v>21</v>
      </c>
      <c r="E448" s="42">
        <v>7580.55</v>
      </c>
      <c r="F448" s="42">
        <v>0</v>
      </c>
      <c r="G448" s="42">
        <v>0</v>
      </c>
      <c r="H448" s="42">
        <v>6207.16</v>
      </c>
      <c r="I448" s="42">
        <v>0</v>
      </c>
      <c r="J448" s="42">
        <v>1148.98</v>
      </c>
      <c r="K448" s="43">
        <v>13787.71</v>
      </c>
      <c r="L448" s="32">
        <v>14936.69</v>
      </c>
      <c r="M448" s="33"/>
      <c r="N448" s="30">
        <v>13787.71</v>
      </c>
      <c r="O448" s="30">
        <v>7580.55</v>
      </c>
      <c r="P448" s="30"/>
      <c r="Q448" s="30">
        <v>16301.19</v>
      </c>
      <c r="R448" s="7"/>
      <c r="S448" s="7"/>
      <c r="T448" s="7"/>
      <c r="U448" s="7"/>
      <c r="V448" s="7"/>
      <c r="W448" s="7"/>
      <c r="X448" s="7"/>
      <c r="Y448" s="7"/>
      <c r="Z448" s="7"/>
    </row>
    <row r="449" spans="1:26" ht="9" customHeight="1" x14ac:dyDescent="0.2">
      <c r="A449" s="534"/>
      <c r="B449" s="534"/>
      <c r="C449" s="34" t="s">
        <v>37</v>
      </c>
      <c r="D449" s="35">
        <v>27</v>
      </c>
      <c r="E449" s="36">
        <v>14677992</v>
      </c>
      <c r="F449" s="36">
        <v>0</v>
      </c>
      <c r="G449" s="36">
        <v>0</v>
      </c>
      <c r="H449" s="36">
        <v>12018738</v>
      </c>
      <c r="I449" s="36">
        <v>0</v>
      </c>
      <c r="J449" s="37">
        <v>2224736</v>
      </c>
      <c r="K449" s="36">
        <v>26696729</v>
      </c>
      <c r="L449" s="38">
        <v>28921465</v>
      </c>
      <c r="M449" s="39"/>
      <c r="N449" s="36">
        <v>26696729</v>
      </c>
      <c r="O449" s="36">
        <v>14677992</v>
      </c>
      <c r="P449" s="36">
        <v>0</v>
      </c>
      <c r="Q449" s="36">
        <v>31563505</v>
      </c>
      <c r="R449" s="7"/>
      <c r="S449" s="7"/>
      <c r="T449" s="7"/>
      <c r="U449" s="7"/>
      <c r="V449" s="7"/>
      <c r="W449" s="7"/>
      <c r="X449" s="7"/>
      <c r="Y449" s="7"/>
      <c r="Z449" s="7"/>
    </row>
    <row r="450" spans="1:26" ht="12.75" customHeight="1" x14ac:dyDescent="0.2">
      <c r="A450" s="534"/>
      <c r="B450" s="534"/>
      <c r="C450" s="40" t="s">
        <v>36</v>
      </c>
      <c r="D450" s="41">
        <v>28</v>
      </c>
      <c r="E450" s="42">
        <v>8117.15</v>
      </c>
      <c r="F450" s="42">
        <v>0</v>
      </c>
      <c r="G450" s="42">
        <v>0</v>
      </c>
      <c r="H450" s="42">
        <v>6207.16</v>
      </c>
      <c r="I450" s="42">
        <v>0</v>
      </c>
      <c r="J450" s="42">
        <v>1193.69</v>
      </c>
      <c r="K450" s="43">
        <v>14324.31</v>
      </c>
      <c r="L450" s="32">
        <v>15518</v>
      </c>
      <c r="M450" s="33"/>
      <c r="N450" s="30">
        <v>14324.31</v>
      </c>
      <c r="O450" s="30">
        <v>8117.15</v>
      </c>
      <c r="P450" s="30"/>
      <c r="Q450" s="30">
        <v>16979.09</v>
      </c>
      <c r="R450" s="7"/>
      <c r="S450" s="7"/>
      <c r="T450" s="7"/>
      <c r="U450" s="7"/>
      <c r="V450" s="7"/>
      <c r="W450" s="7"/>
      <c r="X450" s="7"/>
      <c r="Y450" s="7"/>
      <c r="Z450" s="7"/>
    </row>
    <row r="451" spans="1:26" ht="9" customHeight="1" x14ac:dyDescent="0.2">
      <c r="A451" s="534"/>
      <c r="B451" s="534"/>
      <c r="C451" s="34" t="s">
        <v>37</v>
      </c>
      <c r="D451" s="35">
        <v>34</v>
      </c>
      <c r="E451" s="36">
        <v>15716994</v>
      </c>
      <c r="F451" s="36">
        <v>0</v>
      </c>
      <c r="G451" s="36">
        <v>0</v>
      </c>
      <c r="H451" s="36">
        <v>12018738</v>
      </c>
      <c r="I451" s="36">
        <v>0</v>
      </c>
      <c r="J451" s="37">
        <v>2311306</v>
      </c>
      <c r="K451" s="36">
        <v>27735732</v>
      </c>
      <c r="L451" s="38">
        <v>30047038</v>
      </c>
      <c r="M451" s="39"/>
      <c r="N451" s="36">
        <v>27735732</v>
      </c>
      <c r="O451" s="36">
        <v>15716994</v>
      </c>
      <c r="P451" s="36">
        <v>0</v>
      </c>
      <c r="Q451" s="36">
        <v>32876103</v>
      </c>
      <c r="R451" s="7"/>
      <c r="S451" s="7"/>
      <c r="T451" s="7"/>
      <c r="U451" s="7"/>
      <c r="V451" s="7"/>
      <c r="W451" s="7"/>
      <c r="X451" s="7"/>
      <c r="Y451" s="7"/>
      <c r="Z451" s="7"/>
    </row>
    <row r="452" spans="1:26" ht="12.75" customHeight="1" x14ac:dyDescent="0.2">
      <c r="A452" s="534"/>
      <c r="B452" s="534"/>
      <c r="C452" s="40" t="s">
        <v>36</v>
      </c>
      <c r="D452" s="41">
        <v>35</v>
      </c>
      <c r="E452" s="42">
        <v>8516.3700000000008</v>
      </c>
      <c r="F452" s="42">
        <v>0</v>
      </c>
      <c r="G452" s="42">
        <v>0</v>
      </c>
      <c r="H452" s="42">
        <v>6207.16</v>
      </c>
      <c r="I452" s="42">
        <v>0</v>
      </c>
      <c r="J452" s="42">
        <v>1226.96</v>
      </c>
      <c r="K452" s="43">
        <v>14723.53</v>
      </c>
      <c r="L452" s="32">
        <v>15950.49</v>
      </c>
      <c r="M452" s="33"/>
      <c r="N452" s="30">
        <v>14723.53</v>
      </c>
      <c r="O452" s="30">
        <v>8516.3700000000008</v>
      </c>
      <c r="P452" s="30"/>
      <c r="Q452" s="30">
        <v>17483.439999999999</v>
      </c>
      <c r="R452" s="7"/>
      <c r="S452" s="7"/>
      <c r="T452" s="7"/>
      <c r="U452" s="7"/>
      <c r="V452" s="7"/>
      <c r="W452" s="7"/>
      <c r="X452" s="7"/>
      <c r="Y452" s="7"/>
      <c r="Z452" s="7"/>
    </row>
    <row r="453" spans="1:26" ht="9" customHeight="1" x14ac:dyDescent="0.2">
      <c r="A453" s="535"/>
      <c r="B453" s="535"/>
      <c r="C453" s="47" t="s">
        <v>37</v>
      </c>
      <c r="D453" s="48"/>
      <c r="E453" s="46">
        <v>16489992</v>
      </c>
      <c r="F453" s="46">
        <v>0</v>
      </c>
      <c r="G453" s="46">
        <v>0</v>
      </c>
      <c r="H453" s="46">
        <v>12018738</v>
      </c>
      <c r="I453" s="46">
        <v>0</v>
      </c>
      <c r="J453" s="49">
        <v>2375726</v>
      </c>
      <c r="K453" s="46">
        <v>28508729</v>
      </c>
      <c r="L453" s="38">
        <v>30884455</v>
      </c>
      <c r="M453" s="39"/>
      <c r="N453" s="36">
        <v>28508729</v>
      </c>
      <c r="O453" s="36">
        <v>16489992</v>
      </c>
      <c r="P453" s="36">
        <v>0</v>
      </c>
      <c r="Q453" s="36">
        <v>33852660</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6"/>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6"/>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6"/>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6"/>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6"/>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6"/>
      <c r="M459" s="39"/>
      <c r="N459" s="96"/>
      <c r="O459" s="96"/>
      <c r="P459" s="96"/>
      <c r="Q459" s="96"/>
      <c r="R459" s="7"/>
      <c r="S459" s="7"/>
      <c r="T459" s="7"/>
      <c r="U459" s="7"/>
      <c r="V459" s="7"/>
      <c r="W459" s="7"/>
      <c r="X459" s="7"/>
      <c r="Y459" s="7"/>
      <c r="Z459" s="7"/>
    </row>
    <row r="460" spans="1:26" ht="12.75" customHeight="1" x14ac:dyDescent="0.2">
      <c r="A460" s="538">
        <v>35612</v>
      </c>
      <c r="B460" s="538">
        <v>36099</v>
      </c>
      <c r="C460" s="28" t="s">
        <v>36</v>
      </c>
      <c r="D460" s="29">
        <v>0</v>
      </c>
      <c r="E460" s="30">
        <v>5420.73</v>
      </c>
      <c r="F460" s="30">
        <v>0</v>
      </c>
      <c r="G460" s="30">
        <v>0</v>
      </c>
      <c r="H460" s="30">
        <v>6207.16</v>
      </c>
      <c r="I460" s="30">
        <v>0</v>
      </c>
      <c r="J460" s="30">
        <v>968.99</v>
      </c>
      <c r="K460" s="31">
        <v>11627.89</v>
      </c>
      <c r="L460" s="32">
        <v>12596.88</v>
      </c>
      <c r="M460" s="33"/>
      <c r="N460" s="30">
        <v>11627.89</v>
      </c>
      <c r="O460" s="30">
        <v>5420.73</v>
      </c>
      <c r="P460" s="30"/>
      <c r="Q460" s="30">
        <v>13572.61</v>
      </c>
      <c r="R460" s="7"/>
      <c r="S460" s="7"/>
      <c r="T460" s="7"/>
      <c r="U460" s="7"/>
      <c r="V460" s="7"/>
      <c r="W460" s="7"/>
      <c r="X460" s="7"/>
      <c r="Y460" s="7"/>
      <c r="Z460" s="7"/>
    </row>
    <row r="461" spans="1:26" ht="9" customHeight="1" x14ac:dyDescent="0.2">
      <c r="A461" s="534"/>
      <c r="B461" s="534"/>
      <c r="C461" s="34" t="s">
        <v>37</v>
      </c>
      <c r="D461" s="35">
        <v>2</v>
      </c>
      <c r="E461" s="36">
        <v>10495997</v>
      </c>
      <c r="F461" s="36">
        <v>0</v>
      </c>
      <c r="G461" s="36">
        <v>0</v>
      </c>
      <c r="H461" s="36">
        <v>12018738</v>
      </c>
      <c r="I461" s="36">
        <v>0</v>
      </c>
      <c r="J461" s="37">
        <v>1876226</v>
      </c>
      <c r="K461" s="36">
        <v>22514735</v>
      </c>
      <c r="L461" s="38">
        <v>24390961</v>
      </c>
      <c r="M461" s="39"/>
      <c r="N461" s="36">
        <v>22514735</v>
      </c>
      <c r="O461" s="36">
        <v>10495997</v>
      </c>
      <c r="P461" s="36">
        <v>0</v>
      </c>
      <c r="Q461" s="36">
        <v>26280238</v>
      </c>
      <c r="R461" s="7"/>
      <c r="S461" s="7"/>
      <c r="T461" s="7"/>
      <c r="U461" s="7"/>
      <c r="V461" s="7"/>
      <c r="W461" s="7"/>
      <c r="X461" s="7"/>
      <c r="Y461" s="7"/>
      <c r="Z461" s="7"/>
    </row>
    <row r="462" spans="1:26" ht="12.75" customHeight="1" x14ac:dyDescent="0.2">
      <c r="A462" s="539">
        <v>35612</v>
      </c>
      <c r="B462" s="539">
        <v>36099</v>
      </c>
      <c r="C462" s="40" t="s">
        <v>36</v>
      </c>
      <c r="D462" s="41">
        <v>3</v>
      </c>
      <c r="E462" s="42">
        <v>5636.61</v>
      </c>
      <c r="F462" s="42">
        <v>0</v>
      </c>
      <c r="G462" s="42">
        <v>0</v>
      </c>
      <c r="H462" s="42">
        <v>6207.16</v>
      </c>
      <c r="I462" s="42">
        <v>0</v>
      </c>
      <c r="J462" s="42">
        <v>986.98</v>
      </c>
      <c r="K462" s="43">
        <v>11843.77</v>
      </c>
      <c r="L462" s="32">
        <v>12830.75</v>
      </c>
      <c r="M462" s="33"/>
      <c r="N462" s="30">
        <v>11843.77</v>
      </c>
      <c r="O462" s="30">
        <v>5636.61</v>
      </c>
      <c r="P462" s="30"/>
      <c r="Q462" s="30">
        <v>13845.34</v>
      </c>
      <c r="R462" s="7"/>
      <c r="S462" s="7"/>
      <c r="T462" s="7"/>
      <c r="U462" s="7"/>
      <c r="V462" s="7"/>
      <c r="W462" s="7"/>
      <c r="X462" s="7"/>
      <c r="Y462" s="7"/>
      <c r="Z462" s="7"/>
    </row>
    <row r="463" spans="1:26" ht="9" customHeight="1" x14ac:dyDescent="0.2">
      <c r="A463" s="534"/>
      <c r="B463" s="534"/>
      <c r="C463" s="34" t="s">
        <v>37</v>
      </c>
      <c r="D463" s="35">
        <v>8</v>
      </c>
      <c r="E463" s="36">
        <v>10913999</v>
      </c>
      <c r="F463" s="36">
        <v>0</v>
      </c>
      <c r="G463" s="36">
        <v>0</v>
      </c>
      <c r="H463" s="36">
        <v>12018738</v>
      </c>
      <c r="I463" s="36">
        <v>0</v>
      </c>
      <c r="J463" s="37">
        <v>1911060</v>
      </c>
      <c r="K463" s="36">
        <v>22932737</v>
      </c>
      <c r="L463" s="38">
        <v>24843796</v>
      </c>
      <c r="M463" s="39"/>
      <c r="N463" s="36">
        <v>22932737</v>
      </c>
      <c r="O463" s="36">
        <v>10913999</v>
      </c>
      <c r="P463" s="36">
        <v>0</v>
      </c>
      <c r="Q463" s="36">
        <v>26808316</v>
      </c>
      <c r="R463" s="7"/>
      <c r="S463" s="7"/>
      <c r="T463" s="7"/>
      <c r="U463" s="7"/>
      <c r="V463" s="7"/>
      <c r="W463" s="7"/>
      <c r="X463" s="7"/>
      <c r="Y463" s="7"/>
      <c r="Z463" s="7"/>
    </row>
    <row r="464" spans="1:26" ht="12.75" customHeight="1" x14ac:dyDescent="0.2">
      <c r="A464" s="534"/>
      <c r="B464" s="534"/>
      <c r="C464" s="40" t="s">
        <v>36</v>
      </c>
      <c r="D464" s="41">
        <v>9</v>
      </c>
      <c r="E464" s="42">
        <v>6459.84</v>
      </c>
      <c r="F464" s="42">
        <v>0</v>
      </c>
      <c r="G464" s="42">
        <v>0</v>
      </c>
      <c r="H464" s="42">
        <v>6207.16</v>
      </c>
      <c r="I464" s="42">
        <v>0</v>
      </c>
      <c r="J464" s="42">
        <v>1055.58</v>
      </c>
      <c r="K464" s="43">
        <v>12667</v>
      </c>
      <c r="L464" s="32">
        <v>13722.58</v>
      </c>
      <c r="M464" s="33"/>
      <c r="N464" s="30">
        <v>12667</v>
      </c>
      <c r="O464" s="30">
        <v>6459.84</v>
      </c>
      <c r="P464" s="30"/>
      <c r="Q464" s="30">
        <v>14885.35</v>
      </c>
      <c r="R464" s="7"/>
      <c r="S464" s="7"/>
      <c r="T464" s="7"/>
      <c r="U464" s="7"/>
      <c r="V464" s="7"/>
      <c r="W464" s="7"/>
      <c r="X464" s="7"/>
      <c r="Y464" s="7"/>
      <c r="Z464" s="7"/>
    </row>
    <row r="465" spans="1:26" ht="9" customHeight="1" x14ac:dyDescent="0.2">
      <c r="A465" s="534"/>
      <c r="B465" s="534"/>
      <c r="C465" s="34" t="s">
        <v>37</v>
      </c>
      <c r="D465" s="35">
        <v>14</v>
      </c>
      <c r="E465" s="36">
        <v>12507994</v>
      </c>
      <c r="F465" s="36">
        <v>0</v>
      </c>
      <c r="G465" s="36">
        <v>0</v>
      </c>
      <c r="H465" s="36">
        <v>12018738</v>
      </c>
      <c r="I465" s="36">
        <v>0</v>
      </c>
      <c r="J465" s="37">
        <v>2043888</v>
      </c>
      <c r="K465" s="36">
        <v>24526732</v>
      </c>
      <c r="L465" s="38">
        <v>26570620</v>
      </c>
      <c r="M465" s="39"/>
      <c r="N465" s="36">
        <v>24526732</v>
      </c>
      <c r="O465" s="36">
        <v>12507994</v>
      </c>
      <c r="P465" s="36">
        <v>0</v>
      </c>
      <c r="Q465" s="36">
        <v>28822057</v>
      </c>
      <c r="R465" s="7"/>
      <c r="S465" s="7"/>
      <c r="T465" s="7"/>
      <c r="U465" s="7"/>
      <c r="V465" s="7"/>
      <c r="W465" s="7"/>
      <c r="X465" s="7"/>
      <c r="Y465" s="7"/>
      <c r="Z465" s="7"/>
    </row>
    <row r="466" spans="1:26" ht="12.75" customHeight="1" x14ac:dyDescent="0.2">
      <c r="A466" s="534"/>
      <c r="B466" s="534"/>
      <c r="C466" s="40" t="s">
        <v>36</v>
      </c>
      <c r="D466" s="41">
        <v>15</v>
      </c>
      <c r="E466" s="42">
        <v>7230.91</v>
      </c>
      <c r="F466" s="42">
        <v>0</v>
      </c>
      <c r="G466" s="42">
        <v>0</v>
      </c>
      <c r="H466" s="42">
        <v>6207.16</v>
      </c>
      <c r="I466" s="42">
        <v>0</v>
      </c>
      <c r="J466" s="42">
        <v>1119.8399999999999</v>
      </c>
      <c r="K466" s="43">
        <v>13438.07</v>
      </c>
      <c r="L466" s="32">
        <v>14557.91</v>
      </c>
      <c r="M466" s="33"/>
      <c r="N466" s="30">
        <v>13438.07</v>
      </c>
      <c r="O466" s="30">
        <v>7230.91</v>
      </c>
      <c r="P466" s="30"/>
      <c r="Q466" s="30">
        <v>15859.47</v>
      </c>
      <c r="R466" s="7"/>
      <c r="S466" s="7"/>
      <c r="T466" s="7"/>
      <c r="U466" s="7"/>
      <c r="V466" s="7"/>
      <c r="W466" s="7"/>
      <c r="X466" s="7"/>
      <c r="Y466" s="7"/>
      <c r="Z466" s="7"/>
    </row>
    <row r="467" spans="1:26" ht="9" customHeight="1" x14ac:dyDescent="0.2">
      <c r="A467" s="534"/>
      <c r="B467" s="534"/>
      <c r="C467" s="34" t="s">
        <v>37</v>
      </c>
      <c r="D467" s="35">
        <v>20</v>
      </c>
      <c r="E467" s="36">
        <v>14000994</v>
      </c>
      <c r="F467" s="36">
        <v>0</v>
      </c>
      <c r="G467" s="36">
        <v>0</v>
      </c>
      <c r="H467" s="36">
        <v>12018738</v>
      </c>
      <c r="I467" s="36">
        <v>0</v>
      </c>
      <c r="J467" s="37">
        <v>2168313</v>
      </c>
      <c r="K467" s="36">
        <v>26019732</v>
      </c>
      <c r="L467" s="38">
        <v>28188044</v>
      </c>
      <c r="M467" s="39"/>
      <c r="N467" s="36">
        <v>26019732</v>
      </c>
      <c r="O467" s="36">
        <v>14000994</v>
      </c>
      <c r="P467" s="36">
        <v>0</v>
      </c>
      <c r="Q467" s="36">
        <v>30708216</v>
      </c>
      <c r="R467" s="7"/>
      <c r="S467" s="7"/>
      <c r="T467" s="7"/>
      <c r="U467" s="7"/>
      <c r="V467" s="7"/>
      <c r="W467" s="7"/>
      <c r="X467" s="7"/>
      <c r="Y467" s="7"/>
      <c r="Z467" s="7"/>
    </row>
    <row r="468" spans="1:26" ht="12.75" customHeight="1" x14ac:dyDescent="0.2">
      <c r="A468" s="534"/>
      <c r="B468" s="534"/>
      <c r="C468" s="40" t="s">
        <v>36</v>
      </c>
      <c r="D468" s="41">
        <v>21</v>
      </c>
      <c r="E468" s="42">
        <v>7983.39</v>
      </c>
      <c r="F468" s="42">
        <v>0</v>
      </c>
      <c r="G468" s="42">
        <v>0</v>
      </c>
      <c r="H468" s="42">
        <v>6207.16</v>
      </c>
      <c r="I468" s="42">
        <v>0</v>
      </c>
      <c r="J468" s="42">
        <v>1182.55</v>
      </c>
      <c r="K468" s="43">
        <v>14190.55</v>
      </c>
      <c r="L468" s="32">
        <v>15373.1</v>
      </c>
      <c r="M468" s="33"/>
      <c r="N468" s="30">
        <v>14190.55</v>
      </c>
      <c r="O468" s="30">
        <v>7983.39</v>
      </c>
      <c r="P468" s="30"/>
      <c r="Q468" s="30">
        <v>16810.11</v>
      </c>
      <c r="R468" s="7"/>
      <c r="S468" s="7"/>
      <c r="T468" s="7"/>
      <c r="U468" s="7"/>
      <c r="V468" s="7"/>
      <c r="W468" s="7"/>
      <c r="X468" s="7"/>
      <c r="Y468" s="7"/>
      <c r="Z468" s="7"/>
    </row>
    <row r="469" spans="1:26" ht="9" customHeight="1" x14ac:dyDescent="0.2">
      <c r="A469" s="534"/>
      <c r="B469" s="534"/>
      <c r="C469" s="34" t="s">
        <v>37</v>
      </c>
      <c r="D469" s="35">
        <v>27</v>
      </c>
      <c r="E469" s="36">
        <v>15457999</v>
      </c>
      <c r="F469" s="36">
        <v>0</v>
      </c>
      <c r="G469" s="36">
        <v>0</v>
      </c>
      <c r="H469" s="36">
        <v>12018738</v>
      </c>
      <c r="I469" s="36">
        <v>0</v>
      </c>
      <c r="J469" s="37">
        <v>2289736</v>
      </c>
      <c r="K469" s="36">
        <v>27476736</v>
      </c>
      <c r="L469" s="38">
        <v>29766472</v>
      </c>
      <c r="M469" s="39"/>
      <c r="N469" s="36">
        <v>27476736</v>
      </c>
      <c r="O469" s="36">
        <v>15457999</v>
      </c>
      <c r="P469" s="36">
        <v>0</v>
      </c>
      <c r="Q469" s="36">
        <v>32548912</v>
      </c>
      <c r="R469" s="7"/>
      <c r="S469" s="7"/>
      <c r="T469" s="7"/>
      <c r="U469" s="7"/>
      <c r="V469" s="7"/>
      <c r="W469" s="7"/>
      <c r="X469" s="7"/>
      <c r="Y469" s="7"/>
      <c r="Z469" s="7"/>
    </row>
    <row r="470" spans="1:26" ht="12.75" customHeight="1" x14ac:dyDescent="0.2">
      <c r="A470" s="534"/>
      <c r="B470" s="534"/>
      <c r="C470" s="40" t="s">
        <v>36</v>
      </c>
      <c r="D470" s="41">
        <v>28</v>
      </c>
      <c r="E470" s="42">
        <v>8538.58</v>
      </c>
      <c r="F470" s="42">
        <v>0</v>
      </c>
      <c r="G470" s="42">
        <v>0</v>
      </c>
      <c r="H470" s="42">
        <v>6207.16</v>
      </c>
      <c r="I470" s="42">
        <v>0</v>
      </c>
      <c r="J470" s="42">
        <v>1228.81</v>
      </c>
      <c r="K470" s="43">
        <v>14745.74</v>
      </c>
      <c r="L470" s="32">
        <v>15974.55</v>
      </c>
      <c r="M470" s="33"/>
      <c r="N470" s="30">
        <v>14745.74</v>
      </c>
      <c r="O470" s="30">
        <v>8538.58</v>
      </c>
      <c r="P470" s="30"/>
      <c r="Q470" s="30">
        <v>17511.490000000002</v>
      </c>
      <c r="R470" s="7"/>
      <c r="S470" s="7"/>
      <c r="T470" s="7"/>
      <c r="U470" s="7"/>
      <c r="V470" s="7"/>
      <c r="W470" s="7"/>
      <c r="X470" s="7"/>
      <c r="Y470" s="7"/>
      <c r="Z470" s="7"/>
    </row>
    <row r="471" spans="1:26" ht="9" customHeight="1" x14ac:dyDescent="0.2">
      <c r="A471" s="534"/>
      <c r="B471" s="534"/>
      <c r="C471" s="34" t="s">
        <v>37</v>
      </c>
      <c r="D471" s="35">
        <v>34</v>
      </c>
      <c r="E471" s="36">
        <v>16532996</v>
      </c>
      <c r="F471" s="36">
        <v>0</v>
      </c>
      <c r="G471" s="36">
        <v>0</v>
      </c>
      <c r="H471" s="36">
        <v>12018738</v>
      </c>
      <c r="I471" s="36">
        <v>0</v>
      </c>
      <c r="J471" s="37">
        <v>2379308</v>
      </c>
      <c r="K471" s="36">
        <v>28551734</v>
      </c>
      <c r="L471" s="38">
        <v>30931042</v>
      </c>
      <c r="M471" s="39"/>
      <c r="N471" s="36">
        <v>28551734</v>
      </c>
      <c r="O471" s="36">
        <v>16532996</v>
      </c>
      <c r="P471" s="36">
        <v>0</v>
      </c>
      <c r="Q471" s="36">
        <v>33906973</v>
      </c>
      <c r="R471" s="7"/>
      <c r="S471" s="7"/>
      <c r="T471" s="7"/>
      <c r="U471" s="7"/>
      <c r="V471" s="7"/>
      <c r="W471" s="7"/>
      <c r="X471" s="7"/>
      <c r="Y471" s="7"/>
      <c r="Z471" s="7"/>
    </row>
    <row r="472" spans="1:26" ht="12.75" customHeight="1" x14ac:dyDescent="0.2">
      <c r="A472" s="534"/>
      <c r="B472" s="534"/>
      <c r="C472" s="40" t="s">
        <v>36</v>
      </c>
      <c r="D472" s="41">
        <v>35</v>
      </c>
      <c r="E472" s="42">
        <v>8944</v>
      </c>
      <c r="F472" s="42">
        <v>0</v>
      </c>
      <c r="G472" s="42">
        <v>0</v>
      </c>
      <c r="H472" s="42">
        <v>6207.16</v>
      </c>
      <c r="I472" s="42">
        <v>0</v>
      </c>
      <c r="J472" s="42">
        <v>1262.5999999999999</v>
      </c>
      <c r="K472" s="43">
        <v>15151.16</v>
      </c>
      <c r="L472" s="32">
        <v>16413.759999999998</v>
      </c>
      <c r="M472" s="33"/>
      <c r="N472" s="30">
        <v>15151.16</v>
      </c>
      <c r="O472" s="30">
        <v>8944</v>
      </c>
      <c r="P472" s="30"/>
      <c r="Q472" s="30">
        <v>18023.68</v>
      </c>
      <c r="R472" s="7"/>
      <c r="S472" s="7"/>
      <c r="T472" s="7"/>
      <c r="U472" s="7"/>
      <c r="V472" s="7"/>
      <c r="W472" s="7"/>
      <c r="X472" s="7"/>
      <c r="Y472" s="7"/>
      <c r="Z472" s="7"/>
    </row>
    <row r="473" spans="1:26" ht="9" customHeight="1" x14ac:dyDescent="0.2">
      <c r="A473" s="535"/>
      <c r="B473" s="535"/>
      <c r="C473" s="47" t="s">
        <v>37</v>
      </c>
      <c r="D473" s="48"/>
      <c r="E473" s="46">
        <v>17317999</v>
      </c>
      <c r="F473" s="46">
        <v>0</v>
      </c>
      <c r="G473" s="46">
        <v>0</v>
      </c>
      <c r="H473" s="46">
        <v>12018738</v>
      </c>
      <c r="I473" s="46">
        <v>0</v>
      </c>
      <c r="J473" s="49">
        <v>2444735</v>
      </c>
      <c r="K473" s="46">
        <v>29336737</v>
      </c>
      <c r="L473" s="38">
        <v>31781471</v>
      </c>
      <c r="M473" s="39"/>
      <c r="N473" s="36">
        <v>29336737</v>
      </c>
      <c r="O473" s="36">
        <v>17317999</v>
      </c>
      <c r="P473" s="36">
        <v>0</v>
      </c>
      <c r="Q473" s="36">
        <v>34898711</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6"/>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6"/>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6"/>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12.75" customHeight="1" x14ac:dyDescent="0.2">
      <c r="A480" s="538">
        <v>36100</v>
      </c>
      <c r="B480" s="538">
        <v>36311</v>
      </c>
      <c r="C480" s="28" t="s">
        <v>36</v>
      </c>
      <c r="D480" s="29">
        <v>0</v>
      </c>
      <c r="E480" s="30">
        <v>5631.45</v>
      </c>
      <c r="F480" s="30">
        <v>0</v>
      </c>
      <c r="G480" s="30">
        <v>0</v>
      </c>
      <c r="H480" s="30">
        <v>6207.16</v>
      </c>
      <c r="I480" s="30">
        <v>0</v>
      </c>
      <c r="J480" s="30">
        <v>986.55</v>
      </c>
      <c r="K480" s="31">
        <v>11838.61</v>
      </c>
      <c r="L480" s="32">
        <v>12825.16</v>
      </c>
      <c r="M480" s="33"/>
      <c r="N480" s="30">
        <v>11838.61</v>
      </c>
      <c r="O480" s="30">
        <v>5631.45</v>
      </c>
      <c r="P480" s="30"/>
      <c r="Q480" s="30">
        <v>13838.82</v>
      </c>
      <c r="R480" s="7"/>
      <c r="S480" s="7"/>
      <c r="T480" s="7"/>
      <c r="U480" s="7"/>
      <c r="V480" s="7"/>
      <c r="W480" s="7"/>
      <c r="X480" s="7"/>
      <c r="Y480" s="7"/>
      <c r="Z480" s="7"/>
    </row>
    <row r="481" spans="1:26" ht="9" customHeight="1" x14ac:dyDescent="0.2">
      <c r="A481" s="534"/>
      <c r="B481" s="534"/>
      <c r="C481" s="34" t="s">
        <v>37</v>
      </c>
      <c r="D481" s="35">
        <v>2</v>
      </c>
      <c r="E481" s="36">
        <v>10904008</v>
      </c>
      <c r="F481" s="36">
        <v>0</v>
      </c>
      <c r="G481" s="36">
        <v>0</v>
      </c>
      <c r="H481" s="36">
        <v>12018738</v>
      </c>
      <c r="I481" s="36">
        <v>0</v>
      </c>
      <c r="J481" s="37">
        <v>1910227</v>
      </c>
      <c r="K481" s="36">
        <v>22922745</v>
      </c>
      <c r="L481" s="38">
        <v>24832973</v>
      </c>
      <c r="M481" s="39"/>
      <c r="N481" s="36">
        <v>22922745</v>
      </c>
      <c r="O481" s="36">
        <v>10904008</v>
      </c>
      <c r="P481" s="36">
        <v>0</v>
      </c>
      <c r="Q481" s="36">
        <v>26795692</v>
      </c>
      <c r="R481" s="7"/>
      <c r="S481" s="7"/>
      <c r="T481" s="7"/>
      <c r="U481" s="7"/>
      <c r="V481" s="7"/>
      <c r="W481" s="7"/>
      <c r="X481" s="7"/>
      <c r="Y481" s="7"/>
      <c r="Z481" s="7"/>
    </row>
    <row r="482" spans="1:26" ht="12.75" customHeight="1" x14ac:dyDescent="0.2">
      <c r="A482" s="539">
        <v>36100</v>
      </c>
      <c r="B482" s="539">
        <v>36311</v>
      </c>
      <c r="C482" s="40" t="s">
        <v>36</v>
      </c>
      <c r="D482" s="41">
        <v>3</v>
      </c>
      <c r="E482" s="42">
        <v>5853.52</v>
      </c>
      <c r="F482" s="42">
        <v>0</v>
      </c>
      <c r="G482" s="42">
        <v>0</v>
      </c>
      <c r="H482" s="42">
        <v>6207.16</v>
      </c>
      <c r="I482" s="42">
        <v>0</v>
      </c>
      <c r="J482" s="42">
        <v>1005.06</v>
      </c>
      <c r="K482" s="43">
        <v>12060.68</v>
      </c>
      <c r="L482" s="32">
        <v>13065.74</v>
      </c>
      <c r="M482" s="33"/>
      <c r="N482" s="30">
        <v>12060.68</v>
      </c>
      <c r="O482" s="30">
        <v>5853.52</v>
      </c>
      <c r="P482" s="30"/>
      <c r="Q482" s="30">
        <v>14119.37</v>
      </c>
      <c r="R482" s="7"/>
      <c r="S482" s="7"/>
      <c r="T482" s="7"/>
      <c r="U482" s="7"/>
      <c r="V482" s="7"/>
      <c r="W482" s="7"/>
      <c r="X482" s="7"/>
      <c r="Y482" s="7"/>
      <c r="Z482" s="7"/>
    </row>
    <row r="483" spans="1:26" ht="9" customHeight="1" x14ac:dyDescent="0.2">
      <c r="A483" s="534"/>
      <c r="B483" s="534"/>
      <c r="C483" s="34" t="s">
        <v>37</v>
      </c>
      <c r="D483" s="35">
        <v>8</v>
      </c>
      <c r="E483" s="36">
        <v>11333995</v>
      </c>
      <c r="F483" s="36">
        <v>0</v>
      </c>
      <c r="G483" s="36">
        <v>0</v>
      </c>
      <c r="H483" s="36">
        <v>12018738</v>
      </c>
      <c r="I483" s="36">
        <v>0</v>
      </c>
      <c r="J483" s="37">
        <v>1946068</v>
      </c>
      <c r="K483" s="36">
        <v>23352733</v>
      </c>
      <c r="L483" s="38">
        <v>25298800</v>
      </c>
      <c r="M483" s="39"/>
      <c r="N483" s="36">
        <v>23352733</v>
      </c>
      <c r="O483" s="36">
        <v>11333995</v>
      </c>
      <c r="P483" s="36">
        <v>0</v>
      </c>
      <c r="Q483" s="36">
        <v>27338913</v>
      </c>
      <c r="R483" s="7"/>
      <c r="S483" s="7"/>
      <c r="T483" s="7"/>
      <c r="U483" s="7"/>
      <c r="V483" s="7"/>
      <c r="W483" s="7"/>
      <c r="X483" s="7"/>
      <c r="Y483" s="7"/>
      <c r="Z483" s="7"/>
    </row>
    <row r="484" spans="1:26" ht="12.75" customHeight="1" x14ac:dyDescent="0.2">
      <c r="A484" s="534"/>
      <c r="B484" s="534"/>
      <c r="C484" s="40" t="s">
        <v>36</v>
      </c>
      <c r="D484" s="41">
        <v>9</v>
      </c>
      <c r="E484" s="42">
        <v>6689.15</v>
      </c>
      <c r="F484" s="42">
        <v>0</v>
      </c>
      <c r="G484" s="42">
        <v>0</v>
      </c>
      <c r="H484" s="42">
        <v>6207.16</v>
      </c>
      <c r="I484" s="42">
        <v>0</v>
      </c>
      <c r="J484" s="42">
        <v>1074.69</v>
      </c>
      <c r="K484" s="43">
        <v>12896.31</v>
      </c>
      <c r="L484" s="32">
        <v>13971</v>
      </c>
      <c r="M484" s="33"/>
      <c r="N484" s="30">
        <v>12896.31</v>
      </c>
      <c r="O484" s="30">
        <v>6689.15</v>
      </c>
      <c r="P484" s="30"/>
      <c r="Q484" s="30">
        <v>15175.05</v>
      </c>
      <c r="R484" s="7"/>
      <c r="S484" s="7"/>
      <c r="T484" s="7"/>
      <c r="U484" s="7"/>
      <c r="V484" s="7"/>
      <c r="W484" s="7"/>
      <c r="X484" s="7"/>
      <c r="Y484" s="7"/>
      <c r="Z484" s="7"/>
    </row>
    <row r="485" spans="1:26" ht="9" customHeight="1" x14ac:dyDescent="0.2">
      <c r="A485" s="534"/>
      <c r="B485" s="534"/>
      <c r="C485" s="34" t="s">
        <v>37</v>
      </c>
      <c r="D485" s="35">
        <v>14</v>
      </c>
      <c r="E485" s="36">
        <v>12952000</v>
      </c>
      <c r="F485" s="36">
        <v>0</v>
      </c>
      <c r="G485" s="36">
        <v>0</v>
      </c>
      <c r="H485" s="36">
        <v>12018738</v>
      </c>
      <c r="I485" s="36">
        <v>0</v>
      </c>
      <c r="J485" s="37">
        <v>2080890</v>
      </c>
      <c r="K485" s="36">
        <v>24970738</v>
      </c>
      <c r="L485" s="38">
        <v>27051628</v>
      </c>
      <c r="M485" s="39"/>
      <c r="N485" s="36">
        <v>24970738</v>
      </c>
      <c r="O485" s="36">
        <v>12952000</v>
      </c>
      <c r="P485" s="36">
        <v>0</v>
      </c>
      <c r="Q485" s="36">
        <v>29382994</v>
      </c>
      <c r="R485" s="7"/>
      <c r="S485" s="7"/>
      <c r="T485" s="7"/>
      <c r="U485" s="7"/>
      <c r="V485" s="7"/>
      <c r="W485" s="7"/>
      <c r="X485" s="7"/>
      <c r="Y485" s="7"/>
      <c r="Z485" s="7"/>
    </row>
    <row r="486" spans="1:26" ht="12.75" customHeight="1" x14ac:dyDescent="0.2">
      <c r="A486" s="534"/>
      <c r="B486" s="534"/>
      <c r="C486" s="40" t="s">
        <v>36</v>
      </c>
      <c r="D486" s="41">
        <v>15</v>
      </c>
      <c r="E486" s="42">
        <v>7472.61</v>
      </c>
      <c r="F486" s="42">
        <v>0</v>
      </c>
      <c r="G486" s="42">
        <v>0</v>
      </c>
      <c r="H486" s="42">
        <v>6207.16</v>
      </c>
      <c r="I486" s="42">
        <v>0</v>
      </c>
      <c r="J486" s="42">
        <v>1139.98</v>
      </c>
      <c r="K486" s="43">
        <v>13679.77</v>
      </c>
      <c r="L486" s="32">
        <v>14819.75</v>
      </c>
      <c r="M486" s="33"/>
      <c r="N486" s="30">
        <v>13679.77</v>
      </c>
      <c r="O486" s="30">
        <v>7472.61</v>
      </c>
      <c r="P486" s="30"/>
      <c r="Q486" s="30">
        <v>16164.82</v>
      </c>
      <c r="R486" s="7"/>
      <c r="S486" s="7"/>
      <c r="T486" s="7"/>
      <c r="U486" s="7"/>
      <c r="V486" s="7"/>
      <c r="W486" s="7"/>
      <c r="X486" s="7"/>
      <c r="Y486" s="7"/>
      <c r="Z486" s="7"/>
    </row>
    <row r="487" spans="1:26" ht="9" customHeight="1" x14ac:dyDescent="0.2">
      <c r="A487" s="534"/>
      <c r="B487" s="534"/>
      <c r="C487" s="34" t="s">
        <v>37</v>
      </c>
      <c r="D487" s="35">
        <v>20</v>
      </c>
      <c r="E487" s="36">
        <v>14468991</v>
      </c>
      <c r="F487" s="36">
        <v>0</v>
      </c>
      <c r="G487" s="36">
        <v>0</v>
      </c>
      <c r="H487" s="36">
        <v>12018738</v>
      </c>
      <c r="I487" s="36">
        <v>0</v>
      </c>
      <c r="J487" s="37">
        <v>2207309</v>
      </c>
      <c r="K487" s="36">
        <v>26487728</v>
      </c>
      <c r="L487" s="38">
        <v>28695037</v>
      </c>
      <c r="M487" s="39"/>
      <c r="N487" s="36">
        <v>26487728</v>
      </c>
      <c r="O487" s="36">
        <v>14468991</v>
      </c>
      <c r="P487" s="36">
        <v>0</v>
      </c>
      <c r="Q487" s="36">
        <v>31299456</v>
      </c>
      <c r="R487" s="7"/>
      <c r="S487" s="7"/>
      <c r="T487" s="7"/>
      <c r="U487" s="7"/>
      <c r="V487" s="7"/>
      <c r="W487" s="7"/>
      <c r="X487" s="7"/>
      <c r="Y487" s="7"/>
      <c r="Z487" s="7"/>
    </row>
    <row r="488" spans="1:26" ht="12.75" customHeight="1" x14ac:dyDescent="0.2">
      <c r="A488" s="534"/>
      <c r="B488" s="534"/>
      <c r="C488" s="40" t="s">
        <v>36</v>
      </c>
      <c r="D488" s="41">
        <v>21</v>
      </c>
      <c r="E488" s="42">
        <v>8237.49</v>
      </c>
      <c r="F488" s="42">
        <v>0</v>
      </c>
      <c r="G488" s="42">
        <v>0</v>
      </c>
      <c r="H488" s="42">
        <v>6207.16</v>
      </c>
      <c r="I488" s="42">
        <v>0</v>
      </c>
      <c r="J488" s="42">
        <v>1203.72</v>
      </c>
      <c r="K488" s="43">
        <v>14444.65</v>
      </c>
      <c r="L488" s="32">
        <v>15648.37</v>
      </c>
      <c r="M488" s="33"/>
      <c r="N488" s="30">
        <v>14444.65</v>
      </c>
      <c r="O488" s="30">
        <v>8237.49</v>
      </c>
      <c r="P488" s="30"/>
      <c r="Q488" s="30">
        <v>17131.12</v>
      </c>
      <c r="R488" s="7"/>
      <c r="S488" s="7"/>
      <c r="T488" s="7"/>
      <c r="U488" s="7"/>
      <c r="V488" s="7"/>
      <c r="W488" s="7"/>
      <c r="X488" s="7"/>
      <c r="Y488" s="7"/>
      <c r="Z488" s="7"/>
    </row>
    <row r="489" spans="1:26" ht="9" customHeight="1" x14ac:dyDescent="0.2">
      <c r="A489" s="534"/>
      <c r="B489" s="534"/>
      <c r="C489" s="34" t="s">
        <v>37</v>
      </c>
      <c r="D489" s="35">
        <v>27</v>
      </c>
      <c r="E489" s="36">
        <v>15950005</v>
      </c>
      <c r="F489" s="36">
        <v>0</v>
      </c>
      <c r="G489" s="36">
        <v>0</v>
      </c>
      <c r="H489" s="36">
        <v>12018738</v>
      </c>
      <c r="I489" s="36">
        <v>0</v>
      </c>
      <c r="J489" s="37">
        <v>2330727</v>
      </c>
      <c r="K489" s="36">
        <v>27968742</v>
      </c>
      <c r="L489" s="38">
        <v>30299469</v>
      </c>
      <c r="M489" s="39"/>
      <c r="N489" s="36">
        <v>27968742</v>
      </c>
      <c r="O489" s="36">
        <v>15950005</v>
      </c>
      <c r="P489" s="36">
        <v>0</v>
      </c>
      <c r="Q489" s="36">
        <v>33170474</v>
      </c>
      <c r="R489" s="7"/>
      <c r="S489" s="7"/>
      <c r="T489" s="7"/>
      <c r="U489" s="7"/>
      <c r="V489" s="7"/>
      <c r="W489" s="7"/>
      <c r="X489" s="7"/>
      <c r="Y489" s="7"/>
      <c r="Z489" s="7"/>
    </row>
    <row r="490" spans="1:26" ht="12.75" customHeight="1" x14ac:dyDescent="0.2">
      <c r="A490" s="534"/>
      <c r="B490" s="534"/>
      <c r="C490" s="40" t="s">
        <v>36</v>
      </c>
      <c r="D490" s="41">
        <v>28</v>
      </c>
      <c r="E490" s="42">
        <v>8805.07</v>
      </c>
      <c r="F490" s="42">
        <v>0</v>
      </c>
      <c r="G490" s="42">
        <v>0</v>
      </c>
      <c r="H490" s="42">
        <v>6207.16</v>
      </c>
      <c r="I490" s="42">
        <v>0</v>
      </c>
      <c r="J490" s="42">
        <v>1251.02</v>
      </c>
      <c r="K490" s="43">
        <v>15012.23</v>
      </c>
      <c r="L490" s="32">
        <v>16263.25</v>
      </c>
      <c r="M490" s="33"/>
      <c r="N490" s="30">
        <v>15012.23</v>
      </c>
      <c r="O490" s="30">
        <v>8805.07</v>
      </c>
      <c r="P490" s="30"/>
      <c r="Q490" s="30">
        <v>17848.16</v>
      </c>
      <c r="R490" s="7"/>
      <c r="S490" s="7"/>
      <c r="T490" s="7"/>
      <c r="U490" s="7"/>
      <c r="V490" s="7"/>
      <c r="W490" s="7"/>
      <c r="X490" s="7"/>
      <c r="Y490" s="7"/>
      <c r="Z490" s="7"/>
    </row>
    <row r="491" spans="1:26" ht="9" customHeight="1" x14ac:dyDescent="0.2">
      <c r="A491" s="534"/>
      <c r="B491" s="534"/>
      <c r="C491" s="34" t="s">
        <v>37</v>
      </c>
      <c r="D491" s="35">
        <v>34</v>
      </c>
      <c r="E491" s="36">
        <v>17048993</v>
      </c>
      <c r="F491" s="36">
        <v>0</v>
      </c>
      <c r="G491" s="36">
        <v>0</v>
      </c>
      <c r="H491" s="36">
        <v>12018738</v>
      </c>
      <c r="I491" s="36">
        <v>0</v>
      </c>
      <c r="J491" s="37">
        <v>2422312</v>
      </c>
      <c r="K491" s="36">
        <v>29067731</v>
      </c>
      <c r="L491" s="38">
        <v>31490043</v>
      </c>
      <c r="M491" s="39"/>
      <c r="N491" s="36">
        <v>29067731</v>
      </c>
      <c r="O491" s="36">
        <v>17048993</v>
      </c>
      <c r="P491" s="36">
        <v>0</v>
      </c>
      <c r="Q491" s="36">
        <v>34558857</v>
      </c>
      <c r="R491" s="7"/>
      <c r="S491" s="7"/>
      <c r="T491" s="7"/>
      <c r="U491" s="7"/>
      <c r="V491" s="7"/>
      <c r="W491" s="7"/>
      <c r="X491" s="7"/>
      <c r="Y491" s="7"/>
      <c r="Z491" s="7"/>
    </row>
    <row r="492" spans="1:26" ht="12.75" customHeight="1" x14ac:dyDescent="0.2">
      <c r="A492" s="534"/>
      <c r="B492" s="534"/>
      <c r="C492" s="40" t="s">
        <v>36</v>
      </c>
      <c r="D492" s="41">
        <v>35</v>
      </c>
      <c r="E492" s="42">
        <v>9216.69</v>
      </c>
      <c r="F492" s="42">
        <v>0</v>
      </c>
      <c r="G492" s="42">
        <v>0</v>
      </c>
      <c r="H492" s="42">
        <v>6207.16</v>
      </c>
      <c r="I492" s="42">
        <v>0</v>
      </c>
      <c r="J492" s="42">
        <v>1285.32</v>
      </c>
      <c r="K492" s="43">
        <v>15423.85</v>
      </c>
      <c r="L492" s="32">
        <v>16709.169999999998</v>
      </c>
      <c r="M492" s="33"/>
      <c r="N492" s="30">
        <v>15423.85</v>
      </c>
      <c r="O492" s="30">
        <v>9216.69</v>
      </c>
      <c r="P492" s="30"/>
      <c r="Q492" s="30">
        <v>18368.169999999998</v>
      </c>
      <c r="R492" s="7"/>
      <c r="S492" s="7"/>
      <c r="T492" s="7"/>
      <c r="U492" s="7"/>
      <c r="V492" s="7"/>
      <c r="W492" s="7"/>
      <c r="X492" s="7"/>
      <c r="Y492" s="7"/>
      <c r="Z492" s="7"/>
    </row>
    <row r="493" spans="1:26" ht="9" customHeight="1" x14ac:dyDescent="0.2">
      <c r="A493" s="535"/>
      <c r="B493" s="535"/>
      <c r="C493" s="47" t="s">
        <v>37</v>
      </c>
      <c r="D493" s="48"/>
      <c r="E493" s="46">
        <v>17846000</v>
      </c>
      <c r="F493" s="46">
        <v>0</v>
      </c>
      <c r="G493" s="46">
        <v>0</v>
      </c>
      <c r="H493" s="46">
        <v>12018738</v>
      </c>
      <c r="I493" s="46">
        <v>0</v>
      </c>
      <c r="J493" s="49">
        <v>2488727</v>
      </c>
      <c r="K493" s="46">
        <v>29864738</v>
      </c>
      <c r="L493" s="38">
        <v>32353465</v>
      </c>
      <c r="M493" s="39"/>
      <c r="N493" s="36">
        <v>29864738</v>
      </c>
      <c r="O493" s="36">
        <v>17846000</v>
      </c>
      <c r="P493" s="36">
        <v>0</v>
      </c>
      <c r="Q493" s="36">
        <v>35565737</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12.75" customHeight="1" x14ac:dyDescent="0.2">
      <c r="A500" s="538">
        <v>36312</v>
      </c>
      <c r="B500" s="538">
        <v>36707</v>
      </c>
      <c r="C500" s="28" t="s">
        <v>36</v>
      </c>
      <c r="D500" s="29">
        <v>0</v>
      </c>
      <c r="E500" s="30">
        <v>5804.98</v>
      </c>
      <c r="F500" s="30">
        <v>0</v>
      </c>
      <c r="G500" s="30">
        <v>0</v>
      </c>
      <c r="H500" s="30">
        <v>6207.16</v>
      </c>
      <c r="I500" s="30">
        <v>0</v>
      </c>
      <c r="J500" s="30">
        <v>1001.01</v>
      </c>
      <c r="K500" s="31">
        <v>12012.14</v>
      </c>
      <c r="L500" s="32">
        <v>13013.15</v>
      </c>
      <c r="M500" s="33"/>
      <c r="N500" s="30">
        <v>12012.14</v>
      </c>
      <c r="O500" s="30">
        <v>5804.98</v>
      </c>
      <c r="P500" s="30"/>
      <c r="Q500" s="30">
        <v>14058.05</v>
      </c>
      <c r="R500" s="7"/>
      <c r="S500" s="7"/>
      <c r="T500" s="7"/>
      <c r="U500" s="7"/>
      <c r="V500" s="7"/>
      <c r="W500" s="7"/>
      <c r="X500" s="7"/>
      <c r="Y500" s="7"/>
      <c r="Z500" s="7"/>
    </row>
    <row r="501" spans="1:26" ht="9" customHeight="1" x14ac:dyDescent="0.2">
      <c r="A501" s="534"/>
      <c r="B501" s="534"/>
      <c r="C501" s="34" t="s">
        <v>37</v>
      </c>
      <c r="D501" s="35">
        <v>2</v>
      </c>
      <c r="E501" s="36">
        <v>11240009</v>
      </c>
      <c r="F501" s="36">
        <v>0</v>
      </c>
      <c r="G501" s="36">
        <v>0</v>
      </c>
      <c r="H501" s="36">
        <v>12018738</v>
      </c>
      <c r="I501" s="36">
        <v>0</v>
      </c>
      <c r="J501" s="37">
        <v>1938226</v>
      </c>
      <c r="K501" s="36">
        <v>23258746</v>
      </c>
      <c r="L501" s="38">
        <v>25196972</v>
      </c>
      <c r="M501" s="39"/>
      <c r="N501" s="36">
        <v>23258746</v>
      </c>
      <c r="O501" s="36">
        <v>11240009</v>
      </c>
      <c r="P501" s="36">
        <v>0</v>
      </c>
      <c r="Q501" s="36">
        <v>27220180</v>
      </c>
      <c r="R501" s="7"/>
      <c r="S501" s="7"/>
      <c r="T501" s="7"/>
      <c r="U501" s="7"/>
      <c r="V501" s="7"/>
      <c r="W501" s="7"/>
      <c r="X501" s="7"/>
      <c r="Y501" s="7"/>
      <c r="Z501" s="7"/>
    </row>
    <row r="502" spans="1:26" ht="12.75" customHeight="1" x14ac:dyDescent="0.2">
      <c r="A502" s="539">
        <v>36312</v>
      </c>
      <c r="B502" s="539">
        <v>36707</v>
      </c>
      <c r="C502" s="40" t="s">
        <v>36</v>
      </c>
      <c r="D502" s="41">
        <v>3</v>
      </c>
      <c r="E502" s="42">
        <v>6033.25</v>
      </c>
      <c r="F502" s="42">
        <v>0</v>
      </c>
      <c r="G502" s="42">
        <v>0</v>
      </c>
      <c r="H502" s="42">
        <v>6207.16</v>
      </c>
      <c r="I502" s="42">
        <v>0</v>
      </c>
      <c r="J502" s="42">
        <v>1020.03</v>
      </c>
      <c r="K502" s="43">
        <v>12240.41</v>
      </c>
      <c r="L502" s="32">
        <v>13260.44</v>
      </c>
      <c r="M502" s="33"/>
      <c r="N502" s="30">
        <v>12240.41</v>
      </c>
      <c r="O502" s="30">
        <v>6033.25</v>
      </c>
      <c r="P502" s="30"/>
      <c r="Q502" s="30">
        <v>14346.43</v>
      </c>
      <c r="R502" s="7"/>
      <c r="S502" s="7"/>
      <c r="T502" s="7"/>
      <c r="U502" s="7"/>
      <c r="V502" s="7"/>
      <c r="W502" s="7"/>
      <c r="X502" s="7"/>
      <c r="Y502" s="7"/>
      <c r="Z502" s="7"/>
    </row>
    <row r="503" spans="1:26" ht="9" customHeight="1" x14ac:dyDescent="0.2">
      <c r="A503" s="534"/>
      <c r="B503" s="534"/>
      <c r="C503" s="34" t="s">
        <v>37</v>
      </c>
      <c r="D503" s="35">
        <v>8</v>
      </c>
      <c r="E503" s="36">
        <v>11682001</v>
      </c>
      <c r="F503" s="36">
        <v>0</v>
      </c>
      <c r="G503" s="36">
        <v>0</v>
      </c>
      <c r="H503" s="36">
        <v>12018738</v>
      </c>
      <c r="I503" s="36">
        <v>0</v>
      </c>
      <c r="J503" s="37">
        <v>1975053</v>
      </c>
      <c r="K503" s="36">
        <v>23700739</v>
      </c>
      <c r="L503" s="38">
        <v>25675792</v>
      </c>
      <c r="M503" s="39"/>
      <c r="N503" s="36">
        <v>23700739</v>
      </c>
      <c r="O503" s="36">
        <v>11682001</v>
      </c>
      <c r="P503" s="36">
        <v>0</v>
      </c>
      <c r="Q503" s="36">
        <v>27778562</v>
      </c>
      <c r="R503" s="7"/>
      <c r="S503" s="7"/>
      <c r="T503" s="7"/>
      <c r="U503" s="7"/>
      <c r="V503" s="7"/>
      <c r="W503" s="7"/>
      <c r="X503" s="7"/>
      <c r="Y503" s="7"/>
      <c r="Z503" s="7"/>
    </row>
    <row r="504" spans="1:26" ht="12.75" customHeight="1" x14ac:dyDescent="0.2">
      <c r="A504" s="534"/>
      <c r="B504" s="534"/>
      <c r="C504" s="40" t="s">
        <v>36</v>
      </c>
      <c r="D504" s="41">
        <v>9</v>
      </c>
      <c r="E504" s="42">
        <v>6881.27</v>
      </c>
      <c r="F504" s="42">
        <v>0</v>
      </c>
      <c r="G504" s="42">
        <v>0</v>
      </c>
      <c r="H504" s="42">
        <v>6207.16</v>
      </c>
      <c r="I504" s="42">
        <v>0</v>
      </c>
      <c r="J504" s="42">
        <v>1090.7</v>
      </c>
      <c r="K504" s="43">
        <v>13088.43</v>
      </c>
      <c r="L504" s="32">
        <v>14179.13</v>
      </c>
      <c r="M504" s="33"/>
      <c r="N504" s="30">
        <v>13088.43</v>
      </c>
      <c r="O504" s="30">
        <v>6881.27</v>
      </c>
      <c r="P504" s="30"/>
      <c r="Q504" s="30">
        <v>15417.76</v>
      </c>
      <c r="R504" s="7"/>
      <c r="S504" s="7"/>
      <c r="T504" s="7"/>
      <c r="U504" s="7"/>
      <c r="V504" s="7"/>
      <c r="W504" s="7"/>
      <c r="X504" s="7"/>
      <c r="Y504" s="7"/>
      <c r="Z504" s="7"/>
    </row>
    <row r="505" spans="1:26" ht="9" customHeight="1" x14ac:dyDescent="0.2">
      <c r="A505" s="534"/>
      <c r="B505" s="534"/>
      <c r="C505" s="34" t="s">
        <v>37</v>
      </c>
      <c r="D505" s="35">
        <v>14</v>
      </c>
      <c r="E505" s="36">
        <v>13323997</v>
      </c>
      <c r="F505" s="36">
        <v>0</v>
      </c>
      <c r="G505" s="36">
        <v>0</v>
      </c>
      <c r="H505" s="36">
        <v>12018738</v>
      </c>
      <c r="I505" s="36">
        <v>0</v>
      </c>
      <c r="J505" s="37">
        <v>2111890</v>
      </c>
      <c r="K505" s="36">
        <v>25342734</v>
      </c>
      <c r="L505" s="38">
        <v>27454624</v>
      </c>
      <c r="M505" s="39"/>
      <c r="N505" s="36">
        <v>25342734</v>
      </c>
      <c r="O505" s="36">
        <v>13323997</v>
      </c>
      <c r="P505" s="36">
        <v>0</v>
      </c>
      <c r="Q505" s="36">
        <v>29852946</v>
      </c>
      <c r="R505" s="7"/>
      <c r="S505" s="7"/>
      <c r="T505" s="7"/>
      <c r="U505" s="7"/>
      <c r="V505" s="7"/>
      <c r="W505" s="7"/>
      <c r="X505" s="7"/>
      <c r="Y505" s="7"/>
      <c r="Z505" s="7"/>
    </row>
    <row r="506" spans="1:26" ht="12.75" customHeight="1" x14ac:dyDescent="0.2">
      <c r="A506" s="534"/>
      <c r="B506" s="534"/>
      <c r="C506" s="40" t="s">
        <v>36</v>
      </c>
      <c r="D506" s="41">
        <v>15</v>
      </c>
      <c r="E506" s="42">
        <v>7670.93</v>
      </c>
      <c r="F506" s="42">
        <v>0</v>
      </c>
      <c r="G506" s="42">
        <v>0</v>
      </c>
      <c r="H506" s="42">
        <v>6207.16</v>
      </c>
      <c r="I506" s="42">
        <v>0</v>
      </c>
      <c r="J506" s="42">
        <v>1156.51</v>
      </c>
      <c r="K506" s="43">
        <v>13878.09</v>
      </c>
      <c r="L506" s="32">
        <v>15034.6</v>
      </c>
      <c r="M506" s="33"/>
      <c r="N506" s="30">
        <v>13878.09</v>
      </c>
      <c r="O506" s="30">
        <v>7670.93</v>
      </c>
      <c r="P506" s="30"/>
      <c r="Q506" s="30">
        <v>16415.37</v>
      </c>
      <c r="R506" s="7"/>
      <c r="S506" s="7"/>
      <c r="T506" s="7"/>
      <c r="U506" s="7"/>
      <c r="V506" s="7"/>
      <c r="W506" s="7"/>
      <c r="X506" s="7"/>
      <c r="Y506" s="7"/>
      <c r="Z506" s="7"/>
    </row>
    <row r="507" spans="1:26" ht="9" customHeight="1" x14ac:dyDescent="0.2">
      <c r="A507" s="534"/>
      <c r="B507" s="534"/>
      <c r="C507" s="34" t="s">
        <v>37</v>
      </c>
      <c r="D507" s="35">
        <v>20</v>
      </c>
      <c r="E507" s="36">
        <v>14852992</v>
      </c>
      <c r="F507" s="36">
        <v>0</v>
      </c>
      <c r="G507" s="36">
        <v>0</v>
      </c>
      <c r="H507" s="36">
        <v>12018738</v>
      </c>
      <c r="I507" s="36">
        <v>0</v>
      </c>
      <c r="J507" s="37">
        <v>2239316</v>
      </c>
      <c r="K507" s="36">
        <v>26871729</v>
      </c>
      <c r="L507" s="38">
        <v>29111045</v>
      </c>
      <c r="M507" s="39"/>
      <c r="N507" s="36">
        <v>26871729</v>
      </c>
      <c r="O507" s="36">
        <v>14852992</v>
      </c>
      <c r="P507" s="36">
        <v>0</v>
      </c>
      <c r="Q507" s="36">
        <v>31784588</v>
      </c>
      <c r="R507" s="7"/>
      <c r="S507" s="7"/>
      <c r="T507" s="7"/>
      <c r="U507" s="7"/>
      <c r="V507" s="7"/>
      <c r="W507" s="7"/>
      <c r="X507" s="7"/>
      <c r="Y507" s="7"/>
      <c r="Z507" s="7"/>
    </row>
    <row r="508" spans="1:26" ht="12.75" customHeight="1" x14ac:dyDescent="0.2">
      <c r="A508" s="534"/>
      <c r="B508" s="534"/>
      <c r="C508" s="40" t="s">
        <v>36</v>
      </c>
      <c r="D508" s="41">
        <v>21</v>
      </c>
      <c r="E508" s="42">
        <v>8448.2000000000007</v>
      </c>
      <c r="F508" s="42">
        <v>0</v>
      </c>
      <c r="G508" s="42">
        <v>0</v>
      </c>
      <c r="H508" s="42">
        <v>6207.16</v>
      </c>
      <c r="I508" s="42">
        <v>0</v>
      </c>
      <c r="J508" s="42">
        <v>1221.28</v>
      </c>
      <c r="K508" s="43">
        <v>14655.36</v>
      </c>
      <c r="L508" s="32">
        <v>15876.64</v>
      </c>
      <c r="M508" s="33"/>
      <c r="N508" s="30">
        <v>14655.36</v>
      </c>
      <c r="O508" s="30">
        <v>8448.2000000000007</v>
      </c>
      <c r="P508" s="30"/>
      <c r="Q508" s="30">
        <v>17397.32</v>
      </c>
      <c r="R508" s="7"/>
      <c r="S508" s="7"/>
      <c r="T508" s="7"/>
      <c r="U508" s="7"/>
      <c r="V508" s="7"/>
      <c r="W508" s="7"/>
      <c r="X508" s="7"/>
      <c r="Y508" s="7"/>
      <c r="Z508" s="7"/>
    </row>
    <row r="509" spans="1:26" ht="9" customHeight="1" x14ac:dyDescent="0.2">
      <c r="A509" s="534"/>
      <c r="B509" s="534"/>
      <c r="C509" s="34" t="s">
        <v>37</v>
      </c>
      <c r="D509" s="35">
        <v>27</v>
      </c>
      <c r="E509" s="36">
        <v>16357996</v>
      </c>
      <c r="F509" s="36">
        <v>0</v>
      </c>
      <c r="G509" s="36">
        <v>0</v>
      </c>
      <c r="H509" s="36">
        <v>12018738</v>
      </c>
      <c r="I509" s="36">
        <v>0</v>
      </c>
      <c r="J509" s="37">
        <v>2364728</v>
      </c>
      <c r="K509" s="36">
        <v>28376734</v>
      </c>
      <c r="L509" s="38">
        <v>30741462</v>
      </c>
      <c r="M509" s="39"/>
      <c r="N509" s="36">
        <v>28376734</v>
      </c>
      <c r="O509" s="36">
        <v>16357996</v>
      </c>
      <c r="P509" s="36">
        <v>0</v>
      </c>
      <c r="Q509" s="36">
        <v>33685909</v>
      </c>
      <c r="R509" s="7"/>
      <c r="S509" s="7"/>
      <c r="T509" s="7"/>
      <c r="U509" s="7"/>
      <c r="V509" s="7"/>
      <c r="W509" s="7"/>
      <c r="X509" s="7"/>
      <c r="Y509" s="7"/>
      <c r="Z509" s="7"/>
    </row>
    <row r="510" spans="1:26" ht="12.75" customHeight="1" x14ac:dyDescent="0.2">
      <c r="A510" s="534"/>
      <c r="B510" s="534"/>
      <c r="C510" s="40" t="s">
        <v>36</v>
      </c>
      <c r="D510" s="41">
        <v>28</v>
      </c>
      <c r="E510" s="42">
        <v>9028.18</v>
      </c>
      <c r="F510" s="42">
        <v>0</v>
      </c>
      <c r="G510" s="42">
        <v>0</v>
      </c>
      <c r="H510" s="42">
        <v>6207.16</v>
      </c>
      <c r="I510" s="42">
        <v>0</v>
      </c>
      <c r="J510" s="42">
        <v>1269.6099999999999</v>
      </c>
      <c r="K510" s="43">
        <v>15235.34</v>
      </c>
      <c r="L510" s="32">
        <v>16504.95</v>
      </c>
      <c r="M510" s="33"/>
      <c r="N510" s="30">
        <v>15235.34</v>
      </c>
      <c r="O510" s="30">
        <v>9028.18</v>
      </c>
      <c r="P510" s="30"/>
      <c r="Q510" s="30">
        <v>18130.02</v>
      </c>
      <c r="R510" s="7"/>
      <c r="S510" s="7"/>
      <c r="T510" s="7"/>
      <c r="U510" s="7"/>
      <c r="V510" s="7"/>
      <c r="W510" s="7"/>
      <c r="X510" s="7"/>
      <c r="Y510" s="7"/>
      <c r="Z510" s="7"/>
    </row>
    <row r="511" spans="1:26" ht="9" customHeight="1" x14ac:dyDescent="0.2">
      <c r="A511" s="534"/>
      <c r="B511" s="534"/>
      <c r="C511" s="34" t="s">
        <v>37</v>
      </c>
      <c r="D511" s="35">
        <v>34</v>
      </c>
      <c r="E511" s="36">
        <v>17480994</v>
      </c>
      <c r="F511" s="36">
        <v>0</v>
      </c>
      <c r="G511" s="36">
        <v>0</v>
      </c>
      <c r="H511" s="36">
        <v>12018738</v>
      </c>
      <c r="I511" s="36">
        <v>0</v>
      </c>
      <c r="J511" s="37">
        <v>2458308</v>
      </c>
      <c r="K511" s="36">
        <v>29499732</v>
      </c>
      <c r="L511" s="38">
        <v>31958040</v>
      </c>
      <c r="M511" s="39"/>
      <c r="N511" s="36">
        <v>29499732</v>
      </c>
      <c r="O511" s="36">
        <v>17480994</v>
      </c>
      <c r="P511" s="36">
        <v>0</v>
      </c>
      <c r="Q511" s="36">
        <v>35104614</v>
      </c>
      <c r="R511" s="7"/>
      <c r="S511" s="7"/>
      <c r="T511" s="7"/>
      <c r="U511" s="7"/>
      <c r="V511" s="7"/>
      <c r="W511" s="7"/>
      <c r="X511" s="7"/>
      <c r="Y511" s="7"/>
      <c r="Z511" s="7"/>
    </row>
    <row r="512" spans="1:26" ht="12.75" customHeight="1" x14ac:dyDescent="0.2">
      <c r="A512" s="534"/>
      <c r="B512" s="534"/>
      <c r="C512" s="40" t="s">
        <v>36</v>
      </c>
      <c r="D512" s="41">
        <v>35</v>
      </c>
      <c r="E512" s="42">
        <v>9446</v>
      </c>
      <c r="F512" s="42">
        <v>0</v>
      </c>
      <c r="G512" s="42">
        <v>0</v>
      </c>
      <c r="H512" s="42">
        <v>6207.16</v>
      </c>
      <c r="I512" s="42">
        <v>0</v>
      </c>
      <c r="J512" s="42">
        <v>1304.43</v>
      </c>
      <c r="K512" s="43">
        <v>15653.16</v>
      </c>
      <c r="L512" s="32">
        <v>16957.59</v>
      </c>
      <c r="M512" s="33"/>
      <c r="N512" s="30">
        <v>15653.16</v>
      </c>
      <c r="O512" s="30">
        <v>9446</v>
      </c>
      <c r="P512" s="30"/>
      <c r="Q512" s="30">
        <v>18657.87</v>
      </c>
      <c r="R512" s="7"/>
      <c r="S512" s="7"/>
      <c r="T512" s="7"/>
      <c r="U512" s="7"/>
      <c r="V512" s="7"/>
      <c r="W512" s="7"/>
      <c r="X512" s="7"/>
      <c r="Y512" s="7"/>
      <c r="Z512" s="7"/>
    </row>
    <row r="513" spans="1:26" ht="9" customHeight="1" x14ac:dyDescent="0.2">
      <c r="A513" s="535"/>
      <c r="B513" s="535"/>
      <c r="C513" s="47" t="s">
        <v>37</v>
      </c>
      <c r="D513" s="48"/>
      <c r="E513" s="46">
        <v>18290006</v>
      </c>
      <c r="F513" s="46">
        <v>0</v>
      </c>
      <c r="G513" s="46">
        <v>0</v>
      </c>
      <c r="H513" s="46">
        <v>12018738</v>
      </c>
      <c r="I513" s="46">
        <v>0</v>
      </c>
      <c r="J513" s="49">
        <v>2525729</v>
      </c>
      <c r="K513" s="46">
        <v>30308744</v>
      </c>
      <c r="L513" s="38">
        <v>32834473</v>
      </c>
      <c r="M513" s="39"/>
      <c r="N513" s="36">
        <v>30308744</v>
      </c>
      <c r="O513" s="36">
        <v>18290006</v>
      </c>
      <c r="P513" s="36">
        <v>0</v>
      </c>
      <c r="Q513" s="36">
        <v>36126674</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538">
        <v>36708</v>
      </c>
      <c r="B520" s="538">
        <v>36769</v>
      </c>
      <c r="C520" s="28" t="s">
        <v>36</v>
      </c>
      <c r="D520" s="29">
        <v>0</v>
      </c>
      <c r="E520" s="30">
        <v>5947.52</v>
      </c>
      <c r="F520" s="30">
        <v>0</v>
      </c>
      <c r="G520" s="30">
        <v>0</v>
      </c>
      <c r="H520" s="30">
        <v>6207.16</v>
      </c>
      <c r="I520" s="30">
        <v>0</v>
      </c>
      <c r="J520" s="30">
        <v>1012.89</v>
      </c>
      <c r="K520" s="31">
        <v>12154.68</v>
      </c>
      <c r="L520" s="32">
        <v>13167.57</v>
      </c>
      <c r="M520" s="33"/>
      <c r="N520" s="30">
        <v>12154.68</v>
      </c>
      <c r="O520" s="30">
        <v>5947.52</v>
      </c>
      <c r="P520" s="30"/>
      <c r="Q520" s="30">
        <v>14238.12</v>
      </c>
      <c r="R520" s="7"/>
      <c r="S520" s="7"/>
      <c r="T520" s="7"/>
      <c r="U520" s="7"/>
      <c r="V520" s="7"/>
      <c r="W520" s="7"/>
      <c r="X520" s="7"/>
      <c r="Y520" s="7"/>
      <c r="Z520" s="7"/>
    </row>
    <row r="521" spans="1:26" ht="9" customHeight="1" x14ac:dyDescent="0.2">
      <c r="A521" s="534"/>
      <c r="B521" s="534"/>
      <c r="C521" s="34" t="s">
        <v>37</v>
      </c>
      <c r="D521" s="35">
        <v>2</v>
      </c>
      <c r="E521" s="36">
        <v>11516005</v>
      </c>
      <c r="F521" s="36">
        <v>0</v>
      </c>
      <c r="G521" s="36">
        <v>0</v>
      </c>
      <c r="H521" s="36">
        <v>12018738</v>
      </c>
      <c r="I521" s="36">
        <v>0</v>
      </c>
      <c r="J521" s="37">
        <v>1961229</v>
      </c>
      <c r="K521" s="36">
        <v>23534742</v>
      </c>
      <c r="L521" s="38">
        <v>25495971</v>
      </c>
      <c r="M521" s="39"/>
      <c r="N521" s="36">
        <v>23534742</v>
      </c>
      <c r="O521" s="36">
        <v>11516005</v>
      </c>
      <c r="P521" s="36">
        <v>0</v>
      </c>
      <c r="Q521" s="36">
        <v>27568845</v>
      </c>
      <c r="R521" s="7"/>
      <c r="S521" s="7"/>
      <c r="T521" s="7"/>
      <c r="U521" s="7"/>
      <c r="V521" s="7"/>
      <c r="W521" s="7"/>
      <c r="X521" s="7"/>
      <c r="Y521" s="7"/>
      <c r="Z521" s="7"/>
    </row>
    <row r="522" spans="1:26" ht="12.75" customHeight="1" x14ac:dyDescent="0.2">
      <c r="A522" s="539">
        <v>36708</v>
      </c>
      <c r="B522" s="539">
        <v>36769</v>
      </c>
      <c r="C522" s="40" t="s">
        <v>36</v>
      </c>
      <c r="D522" s="41">
        <v>3</v>
      </c>
      <c r="E522" s="42">
        <v>6181.99</v>
      </c>
      <c r="F522" s="42">
        <v>0</v>
      </c>
      <c r="G522" s="42">
        <v>0</v>
      </c>
      <c r="H522" s="42">
        <v>6207.16</v>
      </c>
      <c r="I522" s="42">
        <v>0</v>
      </c>
      <c r="J522" s="42">
        <v>1032.43</v>
      </c>
      <c r="K522" s="43">
        <v>12389.15</v>
      </c>
      <c r="L522" s="32">
        <v>13421.58</v>
      </c>
      <c r="M522" s="33"/>
      <c r="N522" s="30">
        <v>12389.15</v>
      </c>
      <c r="O522" s="30">
        <v>6181.99</v>
      </c>
      <c r="P522" s="30"/>
      <c r="Q522" s="30">
        <v>14534.34</v>
      </c>
      <c r="R522" s="7"/>
      <c r="S522" s="7"/>
      <c r="T522" s="7"/>
      <c r="U522" s="7"/>
      <c r="V522" s="7"/>
      <c r="W522" s="7"/>
      <c r="X522" s="7"/>
      <c r="Y522" s="7"/>
      <c r="Z522" s="7"/>
    </row>
    <row r="523" spans="1:26" ht="9" customHeight="1" x14ac:dyDescent="0.2">
      <c r="A523" s="534"/>
      <c r="B523" s="534"/>
      <c r="C523" s="34" t="s">
        <v>37</v>
      </c>
      <c r="D523" s="35">
        <v>8</v>
      </c>
      <c r="E523" s="36">
        <v>11970002</v>
      </c>
      <c r="F523" s="36">
        <v>0</v>
      </c>
      <c r="G523" s="36">
        <v>0</v>
      </c>
      <c r="H523" s="36">
        <v>12018738</v>
      </c>
      <c r="I523" s="36">
        <v>0</v>
      </c>
      <c r="J523" s="37">
        <v>1999063</v>
      </c>
      <c r="K523" s="36">
        <v>23988739</v>
      </c>
      <c r="L523" s="38">
        <v>25987803</v>
      </c>
      <c r="M523" s="39"/>
      <c r="N523" s="36">
        <v>23988739</v>
      </c>
      <c r="O523" s="36">
        <v>11970002</v>
      </c>
      <c r="P523" s="36">
        <v>0</v>
      </c>
      <c r="Q523" s="36">
        <v>28142407</v>
      </c>
      <c r="R523" s="7"/>
      <c r="S523" s="7"/>
      <c r="T523" s="7"/>
      <c r="U523" s="7"/>
      <c r="V523" s="7"/>
      <c r="W523" s="7"/>
      <c r="X523" s="7"/>
      <c r="Y523" s="7"/>
      <c r="Z523" s="7"/>
    </row>
    <row r="524" spans="1:26" ht="12.75" customHeight="1" x14ac:dyDescent="0.2">
      <c r="A524" s="534"/>
      <c r="B524" s="534"/>
      <c r="C524" s="40" t="s">
        <v>36</v>
      </c>
      <c r="D524" s="41">
        <v>9</v>
      </c>
      <c r="E524" s="42">
        <v>7036.21</v>
      </c>
      <c r="F524" s="42">
        <v>0</v>
      </c>
      <c r="G524" s="42">
        <v>0</v>
      </c>
      <c r="H524" s="42">
        <v>6207.16</v>
      </c>
      <c r="I524" s="42">
        <v>0</v>
      </c>
      <c r="J524" s="42">
        <v>1103.6099999999999</v>
      </c>
      <c r="K524" s="43">
        <v>13243.37</v>
      </c>
      <c r="L524" s="32">
        <v>14346.98</v>
      </c>
      <c r="M524" s="33"/>
      <c r="N524" s="30">
        <v>13243.37</v>
      </c>
      <c r="O524" s="30">
        <v>7036.21</v>
      </c>
      <c r="P524" s="30"/>
      <c r="Q524" s="30">
        <v>15613.5</v>
      </c>
      <c r="R524" s="7"/>
      <c r="S524" s="7"/>
      <c r="T524" s="7"/>
      <c r="U524" s="7"/>
      <c r="V524" s="7"/>
      <c r="W524" s="7"/>
      <c r="X524" s="7"/>
      <c r="Y524" s="7"/>
      <c r="Z524" s="7"/>
    </row>
    <row r="525" spans="1:26" ht="9" customHeight="1" x14ac:dyDescent="0.2">
      <c r="A525" s="534"/>
      <c r="B525" s="534"/>
      <c r="C525" s="34" t="s">
        <v>37</v>
      </c>
      <c r="D525" s="35">
        <v>14</v>
      </c>
      <c r="E525" s="36">
        <v>13624002</v>
      </c>
      <c r="F525" s="36">
        <v>0</v>
      </c>
      <c r="G525" s="36">
        <v>0</v>
      </c>
      <c r="H525" s="36">
        <v>12018738</v>
      </c>
      <c r="I525" s="36">
        <v>0</v>
      </c>
      <c r="J525" s="37">
        <v>2136887</v>
      </c>
      <c r="K525" s="36">
        <v>25642740</v>
      </c>
      <c r="L525" s="38">
        <v>27779627</v>
      </c>
      <c r="M525" s="39"/>
      <c r="N525" s="36">
        <v>25642740</v>
      </c>
      <c r="O525" s="36">
        <v>13624002</v>
      </c>
      <c r="P525" s="36">
        <v>0</v>
      </c>
      <c r="Q525" s="36">
        <v>30231952</v>
      </c>
      <c r="R525" s="7"/>
      <c r="S525" s="7"/>
      <c r="T525" s="7"/>
      <c r="U525" s="7"/>
      <c r="V525" s="7"/>
      <c r="W525" s="7"/>
      <c r="X525" s="7"/>
      <c r="Y525" s="7"/>
      <c r="Z525" s="7"/>
    </row>
    <row r="526" spans="1:26" ht="12.75" customHeight="1" x14ac:dyDescent="0.2">
      <c r="A526" s="534"/>
      <c r="B526" s="534"/>
      <c r="C526" s="40" t="s">
        <v>36</v>
      </c>
      <c r="D526" s="41">
        <v>15</v>
      </c>
      <c r="E526" s="42">
        <v>7838.27</v>
      </c>
      <c r="F526" s="42">
        <v>0</v>
      </c>
      <c r="G526" s="42">
        <v>0</v>
      </c>
      <c r="H526" s="42">
        <v>6207.16</v>
      </c>
      <c r="I526" s="42">
        <v>0</v>
      </c>
      <c r="J526" s="42">
        <v>1170.45</v>
      </c>
      <c r="K526" s="43">
        <v>14045.43</v>
      </c>
      <c r="L526" s="32">
        <v>15215.88</v>
      </c>
      <c r="M526" s="33"/>
      <c r="N526" s="30">
        <v>14045.43</v>
      </c>
      <c r="O526" s="30">
        <v>7838.27</v>
      </c>
      <c r="P526" s="30"/>
      <c r="Q526" s="30">
        <v>16626.77</v>
      </c>
      <c r="R526" s="7"/>
      <c r="S526" s="7"/>
      <c r="T526" s="7"/>
      <c r="U526" s="7"/>
      <c r="V526" s="7"/>
      <c r="W526" s="7"/>
      <c r="X526" s="7"/>
      <c r="Y526" s="7"/>
      <c r="Z526" s="7"/>
    </row>
    <row r="527" spans="1:26" ht="9" customHeight="1" x14ac:dyDescent="0.2">
      <c r="A527" s="534"/>
      <c r="B527" s="534"/>
      <c r="C527" s="34" t="s">
        <v>37</v>
      </c>
      <c r="D527" s="35">
        <v>20</v>
      </c>
      <c r="E527" s="36">
        <v>15177007</v>
      </c>
      <c r="F527" s="36">
        <v>0</v>
      </c>
      <c r="G527" s="36">
        <v>0</v>
      </c>
      <c r="H527" s="36">
        <v>12018738</v>
      </c>
      <c r="I527" s="36">
        <v>0</v>
      </c>
      <c r="J527" s="37">
        <v>2266307</v>
      </c>
      <c r="K527" s="36">
        <v>27195745</v>
      </c>
      <c r="L527" s="38">
        <v>29462052</v>
      </c>
      <c r="M527" s="39"/>
      <c r="N527" s="36">
        <v>27195745</v>
      </c>
      <c r="O527" s="36">
        <v>15177007</v>
      </c>
      <c r="P527" s="36">
        <v>0</v>
      </c>
      <c r="Q527" s="36">
        <v>32193916</v>
      </c>
      <c r="R527" s="7"/>
      <c r="S527" s="7"/>
      <c r="T527" s="7"/>
      <c r="U527" s="7"/>
      <c r="V527" s="7"/>
      <c r="W527" s="7"/>
      <c r="X527" s="7"/>
      <c r="Y527" s="7"/>
      <c r="Z527" s="7"/>
    </row>
    <row r="528" spans="1:26" ht="12.75" customHeight="1" x14ac:dyDescent="0.2">
      <c r="A528" s="534"/>
      <c r="B528" s="534"/>
      <c r="C528" s="40" t="s">
        <v>36</v>
      </c>
      <c r="D528" s="41">
        <v>21</v>
      </c>
      <c r="E528" s="42">
        <v>8621.73</v>
      </c>
      <c r="F528" s="42">
        <v>0</v>
      </c>
      <c r="G528" s="42">
        <v>0</v>
      </c>
      <c r="H528" s="42">
        <v>6207.16</v>
      </c>
      <c r="I528" s="42">
        <v>0</v>
      </c>
      <c r="J528" s="42">
        <v>1235.74</v>
      </c>
      <c r="K528" s="43">
        <v>14828.89</v>
      </c>
      <c r="L528" s="32">
        <v>16064.63</v>
      </c>
      <c r="M528" s="33"/>
      <c r="N528" s="30">
        <v>14828.89</v>
      </c>
      <c r="O528" s="30">
        <v>8621.73</v>
      </c>
      <c r="P528" s="30"/>
      <c r="Q528" s="30">
        <v>17616.54</v>
      </c>
      <c r="R528" s="7"/>
      <c r="S528" s="7"/>
      <c r="T528" s="7"/>
      <c r="U528" s="7"/>
      <c r="V528" s="7"/>
      <c r="W528" s="7"/>
      <c r="X528" s="7"/>
      <c r="Y528" s="7"/>
      <c r="Z528" s="7"/>
    </row>
    <row r="529" spans="1:26" ht="9" customHeight="1" x14ac:dyDescent="0.2">
      <c r="A529" s="534"/>
      <c r="B529" s="534"/>
      <c r="C529" s="34" t="s">
        <v>37</v>
      </c>
      <c r="D529" s="35">
        <v>27</v>
      </c>
      <c r="E529" s="36">
        <v>16693997</v>
      </c>
      <c r="F529" s="36">
        <v>0</v>
      </c>
      <c r="G529" s="36">
        <v>0</v>
      </c>
      <c r="H529" s="36">
        <v>12018738</v>
      </c>
      <c r="I529" s="36">
        <v>0</v>
      </c>
      <c r="J529" s="37">
        <v>2392726</v>
      </c>
      <c r="K529" s="36">
        <v>28712735</v>
      </c>
      <c r="L529" s="38">
        <v>31105461</v>
      </c>
      <c r="M529" s="39"/>
      <c r="N529" s="36">
        <v>28712735</v>
      </c>
      <c r="O529" s="36">
        <v>16693997</v>
      </c>
      <c r="P529" s="36">
        <v>0</v>
      </c>
      <c r="Q529" s="36">
        <v>34110378</v>
      </c>
      <c r="R529" s="7"/>
      <c r="S529" s="7"/>
      <c r="T529" s="7"/>
      <c r="U529" s="7"/>
      <c r="V529" s="7"/>
      <c r="W529" s="7"/>
      <c r="X529" s="7"/>
      <c r="Y529" s="7"/>
      <c r="Z529" s="7"/>
    </row>
    <row r="530" spans="1:26" ht="12.75" customHeight="1" x14ac:dyDescent="0.2">
      <c r="A530" s="534"/>
      <c r="B530" s="534"/>
      <c r="C530" s="40" t="s">
        <v>36</v>
      </c>
      <c r="D530" s="41">
        <v>28</v>
      </c>
      <c r="E530" s="42">
        <v>9214.11</v>
      </c>
      <c r="F530" s="42">
        <v>0</v>
      </c>
      <c r="G530" s="42">
        <v>0</v>
      </c>
      <c r="H530" s="42">
        <v>6207.16</v>
      </c>
      <c r="I530" s="42">
        <v>0</v>
      </c>
      <c r="J530" s="42">
        <v>1285.1099999999999</v>
      </c>
      <c r="K530" s="43">
        <v>15421.27</v>
      </c>
      <c r="L530" s="32">
        <v>16706.38</v>
      </c>
      <c r="M530" s="33"/>
      <c r="N530" s="30">
        <v>15421.27</v>
      </c>
      <c r="O530" s="30">
        <v>9214.11</v>
      </c>
      <c r="P530" s="30"/>
      <c r="Q530" s="30">
        <v>18364.919999999998</v>
      </c>
      <c r="R530" s="7"/>
      <c r="S530" s="7"/>
      <c r="T530" s="7"/>
      <c r="U530" s="7"/>
      <c r="V530" s="7"/>
      <c r="W530" s="7"/>
      <c r="X530" s="7"/>
      <c r="Y530" s="7"/>
      <c r="Z530" s="7"/>
    </row>
    <row r="531" spans="1:26" ht="9" customHeight="1" x14ac:dyDescent="0.2">
      <c r="A531" s="534"/>
      <c r="B531" s="534"/>
      <c r="C531" s="34" t="s">
        <v>37</v>
      </c>
      <c r="D531" s="35">
        <v>34</v>
      </c>
      <c r="E531" s="36">
        <v>17841005</v>
      </c>
      <c r="F531" s="36">
        <v>0</v>
      </c>
      <c r="G531" s="36">
        <v>0</v>
      </c>
      <c r="H531" s="36">
        <v>12018738</v>
      </c>
      <c r="I531" s="36">
        <v>0</v>
      </c>
      <c r="J531" s="37">
        <v>2488320</v>
      </c>
      <c r="K531" s="36">
        <v>29859742</v>
      </c>
      <c r="L531" s="38">
        <v>32348062</v>
      </c>
      <c r="M531" s="39"/>
      <c r="N531" s="36">
        <v>29859742</v>
      </c>
      <c r="O531" s="36">
        <v>17841005</v>
      </c>
      <c r="P531" s="36">
        <v>0</v>
      </c>
      <c r="Q531" s="36">
        <v>35559444</v>
      </c>
      <c r="R531" s="7"/>
      <c r="S531" s="7"/>
      <c r="T531" s="7"/>
      <c r="U531" s="7"/>
      <c r="V531" s="7"/>
      <c r="W531" s="7"/>
      <c r="X531" s="7"/>
      <c r="Y531" s="7"/>
      <c r="Z531" s="7"/>
    </row>
    <row r="532" spans="1:26" ht="12.75" customHeight="1" x14ac:dyDescent="0.2">
      <c r="A532" s="534"/>
      <c r="B532" s="534"/>
      <c r="C532" s="40" t="s">
        <v>36</v>
      </c>
      <c r="D532" s="41">
        <v>35</v>
      </c>
      <c r="E532" s="42">
        <v>9631.92</v>
      </c>
      <c r="F532" s="42">
        <v>0</v>
      </c>
      <c r="G532" s="42">
        <v>0</v>
      </c>
      <c r="H532" s="42">
        <v>6207.16</v>
      </c>
      <c r="I532" s="42">
        <v>0</v>
      </c>
      <c r="J532" s="42">
        <v>1319.92</v>
      </c>
      <c r="K532" s="43">
        <v>15839.08</v>
      </c>
      <c r="L532" s="32">
        <v>17159</v>
      </c>
      <c r="M532" s="33"/>
      <c r="N532" s="30">
        <v>15839.08</v>
      </c>
      <c r="O532" s="30">
        <v>9631.92</v>
      </c>
      <c r="P532" s="30"/>
      <c r="Q532" s="30">
        <v>18892.75</v>
      </c>
      <c r="R532" s="7"/>
      <c r="S532" s="7"/>
      <c r="T532" s="7"/>
      <c r="U532" s="7"/>
      <c r="V532" s="7"/>
      <c r="W532" s="7"/>
      <c r="X532" s="7"/>
      <c r="Y532" s="7"/>
      <c r="Z532" s="7"/>
    </row>
    <row r="533" spans="1:26" ht="9" customHeight="1" x14ac:dyDescent="0.2">
      <c r="A533" s="535"/>
      <c r="B533" s="535"/>
      <c r="C533" s="47" t="s">
        <v>37</v>
      </c>
      <c r="D533" s="48"/>
      <c r="E533" s="46">
        <v>18649998</v>
      </c>
      <c r="F533" s="46">
        <v>0</v>
      </c>
      <c r="G533" s="46">
        <v>0</v>
      </c>
      <c r="H533" s="46">
        <v>12018738</v>
      </c>
      <c r="I533" s="46">
        <v>0</v>
      </c>
      <c r="J533" s="49">
        <v>2555721</v>
      </c>
      <c r="K533" s="46">
        <v>30668735</v>
      </c>
      <c r="L533" s="38">
        <v>33224457</v>
      </c>
      <c r="M533" s="39"/>
      <c r="N533" s="36">
        <v>30668735</v>
      </c>
      <c r="O533" s="36">
        <v>18649998</v>
      </c>
      <c r="P533" s="36">
        <v>0</v>
      </c>
      <c r="Q533" s="36">
        <v>36581465</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538">
        <v>36770</v>
      </c>
      <c r="B540" s="538">
        <v>36891</v>
      </c>
      <c r="C540" s="28" t="s">
        <v>36</v>
      </c>
      <c r="D540" s="29">
        <v>0</v>
      </c>
      <c r="E540" s="30">
        <v>5947.52</v>
      </c>
      <c r="F540" s="30">
        <v>0</v>
      </c>
      <c r="G540" s="30">
        <v>0</v>
      </c>
      <c r="H540" s="30">
        <v>6207.16</v>
      </c>
      <c r="I540" s="30">
        <v>0</v>
      </c>
      <c r="J540" s="30">
        <v>1012.89</v>
      </c>
      <c r="K540" s="31">
        <v>12154.68</v>
      </c>
      <c r="L540" s="32">
        <v>13167.57</v>
      </c>
      <c r="M540" s="33"/>
      <c r="N540" s="30">
        <v>12154.68</v>
      </c>
      <c r="O540" s="30">
        <v>5947.52</v>
      </c>
      <c r="P540" s="30"/>
      <c r="Q540" s="30">
        <v>14238.12</v>
      </c>
      <c r="R540" s="7"/>
      <c r="S540" s="7"/>
      <c r="T540" s="7"/>
      <c r="U540" s="7"/>
      <c r="V540" s="7"/>
      <c r="W540" s="7"/>
      <c r="X540" s="7"/>
      <c r="Y540" s="7"/>
      <c r="Z540" s="7"/>
    </row>
    <row r="541" spans="1:26" ht="9" customHeight="1" x14ac:dyDescent="0.2">
      <c r="A541" s="534"/>
      <c r="B541" s="534"/>
      <c r="C541" s="34" t="s">
        <v>37</v>
      </c>
      <c r="D541" s="35">
        <v>2</v>
      </c>
      <c r="E541" s="36">
        <v>11516005</v>
      </c>
      <c r="F541" s="36">
        <v>0</v>
      </c>
      <c r="G541" s="36">
        <v>0</v>
      </c>
      <c r="H541" s="36">
        <v>12018738</v>
      </c>
      <c r="I541" s="36">
        <v>0</v>
      </c>
      <c r="J541" s="37">
        <v>1961229</v>
      </c>
      <c r="K541" s="36">
        <v>23534742</v>
      </c>
      <c r="L541" s="38">
        <v>25495971</v>
      </c>
      <c r="M541" s="39"/>
      <c r="N541" s="36">
        <v>23534742</v>
      </c>
      <c r="O541" s="36">
        <v>11516005</v>
      </c>
      <c r="P541" s="36">
        <v>0</v>
      </c>
      <c r="Q541" s="36">
        <v>27568845</v>
      </c>
      <c r="R541" s="7"/>
      <c r="S541" s="7"/>
      <c r="T541" s="7"/>
      <c r="U541" s="7"/>
      <c r="V541" s="7"/>
      <c r="W541" s="7"/>
      <c r="X541" s="7"/>
      <c r="Y541" s="7"/>
      <c r="Z541" s="7"/>
    </row>
    <row r="542" spans="1:26" ht="12.75" customHeight="1" x14ac:dyDescent="0.2">
      <c r="A542" s="539">
        <v>36770</v>
      </c>
      <c r="B542" s="539">
        <v>36891</v>
      </c>
      <c r="C542" s="40" t="s">
        <v>36</v>
      </c>
      <c r="D542" s="41">
        <v>3</v>
      </c>
      <c r="E542" s="42">
        <v>6181.99</v>
      </c>
      <c r="F542" s="42">
        <v>0</v>
      </c>
      <c r="G542" s="42">
        <v>0</v>
      </c>
      <c r="H542" s="42">
        <v>6207.16</v>
      </c>
      <c r="I542" s="42">
        <v>0</v>
      </c>
      <c r="J542" s="42">
        <v>1032.43</v>
      </c>
      <c r="K542" s="43">
        <v>12389.15</v>
      </c>
      <c r="L542" s="32">
        <v>13421.58</v>
      </c>
      <c r="M542" s="33"/>
      <c r="N542" s="30">
        <v>12389.15</v>
      </c>
      <c r="O542" s="30">
        <v>6181.99</v>
      </c>
      <c r="P542" s="30"/>
      <c r="Q542" s="30">
        <v>14534.34</v>
      </c>
      <c r="R542" s="7"/>
      <c r="S542" s="7"/>
      <c r="T542" s="7"/>
      <c r="U542" s="7"/>
      <c r="V542" s="7"/>
      <c r="W542" s="7"/>
      <c r="X542" s="7"/>
      <c r="Y542" s="7"/>
      <c r="Z542" s="7"/>
    </row>
    <row r="543" spans="1:26" ht="9" customHeight="1" x14ac:dyDescent="0.2">
      <c r="A543" s="534"/>
      <c r="B543" s="534"/>
      <c r="C543" s="34" t="s">
        <v>37</v>
      </c>
      <c r="D543" s="35">
        <v>8</v>
      </c>
      <c r="E543" s="36">
        <v>11970002</v>
      </c>
      <c r="F543" s="36">
        <v>0</v>
      </c>
      <c r="G543" s="36">
        <v>0</v>
      </c>
      <c r="H543" s="36">
        <v>12018738</v>
      </c>
      <c r="I543" s="36">
        <v>0</v>
      </c>
      <c r="J543" s="37">
        <v>1999063</v>
      </c>
      <c r="K543" s="36">
        <v>23988739</v>
      </c>
      <c r="L543" s="38">
        <v>25987803</v>
      </c>
      <c r="M543" s="39"/>
      <c r="N543" s="36">
        <v>23988739</v>
      </c>
      <c r="O543" s="36">
        <v>11970002</v>
      </c>
      <c r="P543" s="36">
        <v>0</v>
      </c>
      <c r="Q543" s="36">
        <v>28142407</v>
      </c>
      <c r="R543" s="7"/>
      <c r="S543" s="7"/>
      <c r="T543" s="7"/>
      <c r="U543" s="7"/>
      <c r="V543" s="7"/>
      <c r="W543" s="7"/>
      <c r="X543" s="7"/>
      <c r="Y543" s="7"/>
      <c r="Z543" s="7"/>
    </row>
    <row r="544" spans="1:26" ht="12.75" customHeight="1" x14ac:dyDescent="0.2">
      <c r="A544" s="534"/>
      <c r="B544" s="534"/>
      <c r="C544" s="40" t="s">
        <v>36</v>
      </c>
      <c r="D544" s="41">
        <v>9</v>
      </c>
      <c r="E544" s="42">
        <v>7036.21</v>
      </c>
      <c r="F544" s="42">
        <v>0</v>
      </c>
      <c r="G544" s="42">
        <v>0</v>
      </c>
      <c r="H544" s="42">
        <v>6207.16</v>
      </c>
      <c r="I544" s="42">
        <v>0</v>
      </c>
      <c r="J544" s="42">
        <v>1103.6099999999999</v>
      </c>
      <c r="K544" s="43">
        <v>13243.37</v>
      </c>
      <c r="L544" s="32">
        <v>14346.98</v>
      </c>
      <c r="M544" s="33"/>
      <c r="N544" s="30">
        <v>13243.37</v>
      </c>
      <c r="O544" s="30">
        <v>7036.21</v>
      </c>
      <c r="P544" s="30"/>
      <c r="Q544" s="30">
        <v>15613.5</v>
      </c>
      <c r="R544" s="7"/>
      <c r="S544" s="7"/>
      <c r="T544" s="7"/>
      <c r="U544" s="7"/>
      <c r="V544" s="7"/>
      <c r="W544" s="7"/>
      <c r="X544" s="7"/>
      <c r="Y544" s="7"/>
      <c r="Z544" s="7"/>
    </row>
    <row r="545" spans="1:26" ht="9" customHeight="1" x14ac:dyDescent="0.2">
      <c r="A545" s="534"/>
      <c r="B545" s="534"/>
      <c r="C545" s="34" t="s">
        <v>37</v>
      </c>
      <c r="D545" s="35">
        <v>14</v>
      </c>
      <c r="E545" s="36">
        <v>13624002</v>
      </c>
      <c r="F545" s="36">
        <v>0</v>
      </c>
      <c r="G545" s="36">
        <v>0</v>
      </c>
      <c r="H545" s="36">
        <v>12018738</v>
      </c>
      <c r="I545" s="36">
        <v>0</v>
      </c>
      <c r="J545" s="37">
        <v>2136887</v>
      </c>
      <c r="K545" s="36">
        <v>25642740</v>
      </c>
      <c r="L545" s="38">
        <v>27779627</v>
      </c>
      <c r="M545" s="39"/>
      <c r="N545" s="36">
        <v>25642740</v>
      </c>
      <c r="O545" s="36">
        <v>13624002</v>
      </c>
      <c r="P545" s="36">
        <v>0</v>
      </c>
      <c r="Q545" s="36">
        <v>30231952</v>
      </c>
      <c r="R545" s="7"/>
      <c r="S545" s="7"/>
      <c r="T545" s="7"/>
      <c r="U545" s="7"/>
      <c r="V545" s="7"/>
      <c r="W545" s="7"/>
      <c r="X545" s="7"/>
      <c r="Y545" s="7"/>
      <c r="Z545" s="7"/>
    </row>
    <row r="546" spans="1:26" ht="12.75" customHeight="1" x14ac:dyDescent="0.2">
      <c r="A546" s="534"/>
      <c r="B546" s="534"/>
      <c r="C546" s="40" t="s">
        <v>36</v>
      </c>
      <c r="D546" s="41">
        <v>15</v>
      </c>
      <c r="E546" s="42">
        <v>7838.27</v>
      </c>
      <c r="F546" s="42">
        <v>0</v>
      </c>
      <c r="G546" s="42">
        <v>0</v>
      </c>
      <c r="H546" s="42">
        <v>6207.16</v>
      </c>
      <c r="I546" s="42">
        <v>0</v>
      </c>
      <c r="J546" s="42">
        <v>1170.45</v>
      </c>
      <c r="K546" s="43">
        <v>14045.43</v>
      </c>
      <c r="L546" s="32">
        <v>15215.88</v>
      </c>
      <c r="M546" s="33"/>
      <c r="N546" s="30">
        <v>14045.43</v>
      </c>
      <c r="O546" s="30">
        <v>7838.27</v>
      </c>
      <c r="P546" s="30"/>
      <c r="Q546" s="30">
        <v>16626.77</v>
      </c>
      <c r="R546" s="7"/>
      <c r="S546" s="7"/>
      <c r="T546" s="7"/>
      <c r="U546" s="7"/>
      <c r="V546" s="7"/>
      <c r="W546" s="7"/>
      <c r="X546" s="7"/>
      <c r="Y546" s="7"/>
      <c r="Z546" s="7"/>
    </row>
    <row r="547" spans="1:26" ht="9" customHeight="1" x14ac:dyDescent="0.2">
      <c r="A547" s="534"/>
      <c r="B547" s="534"/>
      <c r="C547" s="34" t="s">
        <v>37</v>
      </c>
      <c r="D547" s="35">
        <v>20</v>
      </c>
      <c r="E547" s="36">
        <v>15177007</v>
      </c>
      <c r="F547" s="36">
        <v>0</v>
      </c>
      <c r="G547" s="36">
        <v>0</v>
      </c>
      <c r="H547" s="36">
        <v>12018738</v>
      </c>
      <c r="I547" s="36">
        <v>0</v>
      </c>
      <c r="J547" s="37">
        <v>2266307</v>
      </c>
      <c r="K547" s="36">
        <v>27195745</v>
      </c>
      <c r="L547" s="38">
        <v>29462052</v>
      </c>
      <c r="M547" s="39"/>
      <c r="N547" s="36">
        <v>27195745</v>
      </c>
      <c r="O547" s="36">
        <v>15177007</v>
      </c>
      <c r="P547" s="36">
        <v>0</v>
      </c>
      <c r="Q547" s="36">
        <v>32193916</v>
      </c>
      <c r="R547" s="7"/>
      <c r="S547" s="7"/>
      <c r="T547" s="7"/>
      <c r="U547" s="7"/>
      <c r="V547" s="7"/>
      <c r="W547" s="7"/>
      <c r="X547" s="7"/>
      <c r="Y547" s="7"/>
      <c r="Z547" s="7"/>
    </row>
    <row r="548" spans="1:26" ht="12.75" customHeight="1" x14ac:dyDescent="0.2">
      <c r="A548" s="534"/>
      <c r="B548" s="534"/>
      <c r="C548" s="40" t="s">
        <v>36</v>
      </c>
      <c r="D548" s="41">
        <v>21</v>
      </c>
      <c r="E548" s="42">
        <v>8621.73</v>
      </c>
      <c r="F548" s="42">
        <v>0</v>
      </c>
      <c r="G548" s="42">
        <v>0</v>
      </c>
      <c r="H548" s="42">
        <v>6207.16</v>
      </c>
      <c r="I548" s="42">
        <v>0</v>
      </c>
      <c r="J548" s="42">
        <v>1235.74</v>
      </c>
      <c r="K548" s="43">
        <v>14828.89</v>
      </c>
      <c r="L548" s="32">
        <v>16064.63</v>
      </c>
      <c r="M548" s="33"/>
      <c r="N548" s="30">
        <v>14828.89</v>
      </c>
      <c r="O548" s="30">
        <v>8621.73</v>
      </c>
      <c r="P548" s="30"/>
      <c r="Q548" s="30">
        <v>17616.54</v>
      </c>
      <c r="R548" s="7"/>
      <c r="S548" s="7"/>
      <c r="T548" s="7"/>
      <c r="U548" s="7"/>
      <c r="V548" s="7"/>
      <c r="W548" s="7"/>
      <c r="X548" s="7"/>
      <c r="Y548" s="7"/>
      <c r="Z548" s="7"/>
    </row>
    <row r="549" spans="1:26" ht="9" customHeight="1" x14ac:dyDescent="0.2">
      <c r="A549" s="534"/>
      <c r="B549" s="534"/>
      <c r="C549" s="34" t="s">
        <v>37</v>
      </c>
      <c r="D549" s="35">
        <v>27</v>
      </c>
      <c r="E549" s="36">
        <v>16693997</v>
      </c>
      <c r="F549" s="36">
        <v>0</v>
      </c>
      <c r="G549" s="36">
        <v>0</v>
      </c>
      <c r="H549" s="36">
        <v>12018738</v>
      </c>
      <c r="I549" s="36">
        <v>0</v>
      </c>
      <c r="J549" s="37">
        <v>2392726</v>
      </c>
      <c r="K549" s="36">
        <v>28712735</v>
      </c>
      <c r="L549" s="38">
        <v>31105461</v>
      </c>
      <c r="M549" s="39"/>
      <c r="N549" s="36">
        <v>28712735</v>
      </c>
      <c r="O549" s="36">
        <v>16693997</v>
      </c>
      <c r="P549" s="36">
        <v>0</v>
      </c>
      <c r="Q549" s="36">
        <v>34110378</v>
      </c>
      <c r="R549" s="7"/>
      <c r="S549" s="7"/>
      <c r="T549" s="7"/>
      <c r="U549" s="7"/>
      <c r="V549" s="7"/>
      <c r="W549" s="7"/>
      <c r="X549" s="7"/>
      <c r="Y549" s="7"/>
      <c r="Z549" s="7"/>
    </row>
    <row r="550" spans="1:26" ht="12.75" customHeight="1" x14ac:dyDescent="0.2">
      <c r="A550" s="534"/>
      <c r="B550" s="534"/>
      <c r="C550" s="40" t="s">
        <v>36</v>
      </c>
      <c r="D550" s="41">
        <v>28</v>
      </c>
      <c r="E550" s="42">
        <v>9214.11</v>
      </c>
      <c r="F550" s="42">
        <v>0</v>
      </c>
      <c r="G550" s="42">
        <v>0</v>
      </c>
      <c r="H550" s="42">
        <v>6207.16</v>
      </c>
      <c r="I550" s="42">
        <v>0</v>
      </c>
      <c r="J550" s="42">
        <v>1285.1099999999999</v>
      </c>
      <c r="K550" s="43">
        <v>15421.27</v>
      </c>
      <c r="L550" s="32">
        <v>16706.38</v>
      </c>
      <c r="M550" s="33"/>
      <c r="N550" s="30">
        <v>15421.27</v>
      </c>
      <c r="O550" s="30">
        <v>9214.11</v>
      </c>
      <c r="P550" s="30"/>
      <c r="Q550" s="30">
        <v>18364.919999999998</v>
      </c>
      <c r="R550" s="7"/>
      <c r="S550" s="7"/>
      <c r="T550" s="7"/>
      <c r="U550" s="7"/>
      <c r="V550" s="7"/>
      <c r="W550" s="7"/>
      <c r="X550" s="7"/>
      <c r="Y550" s="7"/>
      <c r="Z550" s="7"/>
    </row>
    <row r="551" spans="1:26" ht="9" customHeight="1" x14ac:dyDescent="0.2">
      <c r="A551" s="534"/>
      <c r="B551" s="534"/>
      <c r="C551" s="34" t="s">
        <v>37</v>
      </c>
      <c r="D551" s="35">
        <v>34</v>
      </c>
      <c r="E551" s="36">
        <v>17841005</v>
      </c>
      <c r="F551" s="36">
        <v>0</v>
      </c>
      <c r="G551" s="36">
        <v>0</v>
      </c>
      <c r="H551" s="36">
        <v>12018738</v>
      </c>
      <c r="I551" s="36">
        <v>0</v>
      </c>
      <c r="J551" s="37">
        <v>2488320</v>
      </c>
      <c r="K551" s="36">
        <v>29859742</v>
      </c>
      <c r="L551" s="38">
        <v>32348062</v>
      </c>
      <c r="M551" s="39"/>
      <c r="N551" s="36">
        <v>29859742</v>
      </c>
      <c r="O551" s="36">
        <v>17841005</v>
      </c>
      <c r="P551" s="36">
        <v>0</v>
      </c>
      <c r="Q551" s="36">
        <v>35559444</v>
      </c>
      <c r="R551" s="7"/>
      <c r="S551" s="7"/>
      <c r="T551" s="7"/>
      <c r="U551" s="7"/>
      <c r="V551" s="7"/>
      <c r="W551" s="7"/>
      <c r="X551" s="7"/>
      <c r="Y551" s="7"/>
      <c r="Z551" s="7"/>
    </row>
    <row r="552" spans="1:26" ht="12.75" customHeight="1" x14ac:dyDescent="0.2">
      <c r="A552" s="534"/>
      <c r="B552" s="534"/>
      <c r="C552" s="40" t="s">
        <v>36</v>
      </c>
      <c r="D552" s="41">
        <v>35</v>
      </c>
      <c r="E552" s="42">
        <v>9631.92</v>
      </c>
      <c r="F552" s="42">
        <v>0</v>
      </c>
      <c r="G552" s="42">
        <v>0</v>
      </c>
      <c r="H552" s="42">
        <v>6207.16</v>
      </c>
      <c r="I552" s="42">
        <v>0</v>
      </c>
      <c r="J552" s="42">
        <v>1319.92</v>
      </c>
      <c r="K552" s="43">
        <v>15839.08</v>
      </c>
      <c r="L552" s="32">
        <v>17159</v>
      </c>
      <c r="M552" s="33"/>
      <c r="N552" s="30">
        <v>15839.08</v>
      </c>
      <c r="O552" s="30">
        <v>9631.92</v>
      </c>
      <c r="P552" s="30"/>
      <c r="Q552" s="30">
        <v>18892.75</v>
      </c>
      <c r="R552" s="7"/>
      <c r="S552" s="7"/>
      <c r="T552" s="7"/>
      <c r="U552" s="7"/>
      <c r="V552" s="7"/>
      <c r="W552" s="7"/>
      <c r="X552" s="7"/>
      <c r="Y552" s="7"/>
      <c r="Z552" s="7"/>
    </row>
    <row r="553" spans="1:26" ht="9" customHeight="1" x14ac:dyDescent="0.2">
      <c r="A553" s="535"/>
      <c r="B553" s="535"/>
      <c r="C553" s="47" t="s">
        <v>37</v>
      </c>
      <c r="D553" s="48"/>
      <c r="E553" s="46">
        <v>18649998</v>
      </c>
      <c r="F553" s="46">
        <v>0</v>
      </c>
      <c r="G553" s="46">
        <v>0</v>
      </c>
      <c r="H553" s="46">
        <v>12018738</v>
      </c>
      <c r="I553" s="46">
        <v>0</v>
      </c>
      <c r="J553" s="49">
        <v>2555721</v>
      </c>
      <c r="K553" s="46">
        <v>30668735</v>
      </c>
      <c r="L553" s="38">
        <v>33224457</v>
      </c>
      <c r="M553" s="39"/>
      <c r="N553" s="36">
        <v>30668735</v>
      </c>
      <c r="O553" s="36">
        <v>18649998</v>
      </c>
      <c r="P553" s="36">
        <v>0</v>
      </c>
      <c r="Q553" s="36">
        <v>36581465</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538">
        <v>36892</v>
      </c>
      <c r="B560" s="538">
        <v>37256</v>
      </c>
      <c r="C560" s="28" t="s">
        <v>36</v>
      </c>
      <c r="D560" s="29">
        <v>0</v>
      </c>
      <c r="E560" s="30">
        <v>6189.22</v>
      </c>
      <c r="F560" s="30">
        <v>0</v>
      </c>
      <c r="G560" s="30">
        <v>0</v>
      </c>
      <c r="H560" s="30">
        <v>6207.16</v>
      </c>
      <c r="I560" s="30">
        <v>0</v>
      </c>
      <c r="J560" s="30">
        <v>1033.03</v>
      </c>
      <c r="K560" s="31">
        <v>12396.38</v>
      </c>
      <c r="L560" s="32">
        <v>13429.41</v>
      </c>
      <c r="M560" s="33"/>
      <c r="N560" s="30">
        <v>12396.38</v>
      </c>
      <c r="O560" s="30">
        <v>6189.22</v>
      </c>
      <c r="P560" s="30">
        <v>471</v>
      </c>
      <c r="Q560" s="30">
        <v>14543.47</v>
      </c>
      <c r="R560" s="7"/>
      <c r="S560" s="7"/>
      <c r="T560" s="7"/>
      <c r="U560" s="7"/>
      <c r="V560" s="7"/>
      <c r="W560" s="7"/>
      <c r="X560" s="7"/>
      <c r="Y560" s="7"/>
      <c r="Z560" s="7"/>
    </row>
    <row r="561" spans="1:26" ht="9" customHeight="1" x14ac:dyDescent="0.2">
      <c r="A561" s="534"/>
      <c r="B561" s="534"/>
      <c r="C561" s="34" t="s">
        <v>37</v>
      </c>
      <c r="D561" s="35">
        <v>2</v>
      </c>
      <c r="E561" s="36">
        <v>11984001</v>
      </c>
      <c r="F561" s="36">
        <v>0</v>
      </c>
      <c r="G561" s="36">
        <v>0</v>
      </c>
      <c r="H561" s="36">
        <v>12018738</v>
      </c>
      <c r="I561" s="36">
        <v>0</v>
      </c>
      <c r="J561" s="37">
        <v>2000225</v>
      </c>
      <c r="K561" s="36">
        <v>24002739</v>
      </c>
      <c r="L561" s="38">
        <v>26002964</v>
      </c>
      <c r="M561" s="39"/>
      <c r="N561" s="36">
        <v>24002739</v>
      </c>
      <c r="O561" s="36">
        <v>11984001</v>
      </c>
      <c r="P561" s="36">
        <v>911983</v>
      </c>
      <c r="Q561" s="36">
        <v>28160085</v>
      </c>
      <c r="R561" s="7"/>
      <c r="S561" s="7"/>
      <c r="T561" s="7"/>
      <c r="U561" s="7"/>
      <c r="V561" s="7"/>
      <c r="W561" s="7"/>
      <c r="X561" s="7"/>
      <c r="Y561" s="7"/>
      <c r="Z561" s="7"/>
    </row>
    <row r="562" spans="1:26" ht="12.75" customHeight="1" x14ac:dyDescent="0.2">
      <c r="A562" s="539">
        <v>36892</v>
      </c>
      <c r="B562" s="539">
        <v>37256</v>
      </c>
      <c r="C562" s="40" t="s">
        <v>36</v>
      </c>
      <c r="D562" s="41">
        <v>3</v>
      </c>
      <c r="E562" s="42">
        <v>6429.89</v>
      </c>
      <c r="F562" s="42">
        <v>0</v>
      </c>
      <c r="G562" s="42">
        <v>0</v>
      </c>
      <c r="H562" s="42">
        <v>6207.16</v>
      </c>
      <c r="I562" s="42">
        <v>0</v>
      </c>
      <c r="J562" s="42">
        <v>1053.0899999999999</v>
      </c>
      <c r="K562" s="43">
        <v>12637.05</v>
      </c>
      <c r="L562" s="32">
        <v>13690.14</v>
      </c>
      <c r="M562" s="33"/>
      <c r="N562" s="30">
        <v>12637.05</v>
      </c>
      <c r="O562" s="30">
        <v>6429.89</v>
      </c>
      <c r="P562" s="30">
        <v>471</v>
      </c>
      <c r="Q562" s="30">
        <v>14847.52</v>
      </c>
      <c r="R562" s="7"/>
      <c r="S562" s="7"/>
      <c r="T562" s="7"/>
      <c r="U562" s="7"/>
      <c r="V562" s="7"/>
      <c r="W562" s="7"/>
      <c r="X562" s="7"/>
      <c r="Y562" s="7"/>
      <c r="Z562" s="7"/>
    </row>
    <row r="563" spans="1:26" ht="9" customHeight="1" x14ac:dyDescent="0.2">
      <c r="A563" s="534"/>
      <c r="B563" s="534"/>
      <c r="C563" s="34" t="s">
        <v>37</v>
      </c>
      <c r="D563" s="35">
        <v>8</v>
      </c>
      <c r="E563" s="36">
        <v>12450003</v>
      </c>
      <c r="F563" s="36">
        <v>0</v>
      </c>
      <c r="G563" s="36">
        <v>0</v>
      </c>
      <c r="H563" s="36">
        <v>12018738</v>
      </c>
      <c r="I563" s="36">
        <v>0</v>
      </c>
      <c r="J563" s="37">
        <v>2039067</v>
      </c>
      <c r="K563" s="36">
        <v>24468741</v>
      </c>
      <c r="L563" s="38">
        <v>26507807</v>
      </c>
      <c r="M563" s="39"/>
      <c r="N563" s="36">
        <v>24468741</v>
      </c>
      <c r="O563" s="36">
        <v>12450003</v>
      </c>
      <c r="P563" s="36">
        <v>911983</v>
      </c>
      <c r="Q563" s="36">
        <v>28748808</v>
      </c>
      <c r="R563" s="7"/>
      <c r="S563" s="7"/>
      <c r="T563" s="7"/>
      <c r="U563" s="7"/>
      <c r="V563" s="7"/>
      <c r="W563" s="7"/>
      <c r="X563" s="7"/>
      <c r="Y563" s="7"/>
      <c r="Z563" s="7"/>
    </row>
    <row r="564" spans="1:26" ht="12.75" customHeight="1" x14ac:dyDescent="0.2">
      <c r="A564" s="534"/>
      <c r="B564" s="534"/>
      <c r="C564" s="40" t="s">
        <v>36</v>
      </c>
      <c r="D564" s="41">
        <v>9</v>
      </c>
      <c r="E564" s="42">
        <v>7302.7</v>
      </c>
      <c r="F564" s="42">
        <v>0</v>
      </c>
      <c r="G564" s="42">
        <v>0</v>
      </c>
      <c r="H564" s="42">
        <v>6207.16</v>
      </c>
      <c r="I564" s="42">
        <v>0</v>
      </c>
      <c r="J564" s="42">
        <v>1125.82</v>
      </c>
      <c r="K564" s="43">
        <v>13509.86</v>
      </c>
      <c r="L564" s="32">
        <v>14635.68</v>
      </c>
      <c r="M564" s="33"/>
      <c r="N564" s="30">
        <v>13509.86</v>
      </c>
      <c r="O564" s="30">
        <v>7302.7</v>
      </c>
      <c r="P564" s="30">
        <v>471</v>
      </c>
      <c r="Q564" s="30">
        <v>15950.17</v>
      </c>
      <c r="R564" s="7"/>
      <c r="S564" s="7"/>
      <c r="T564" s="7"/>
      <c r="U564" s="7"/>
      <c r="V564" s="7"/>
      <c r="W564" s="7"/>
      <c r="X564" s="7"/>
      <c r="Y564" s="7"/>
      <c r="Z564" s="7"/>
    </row>
    <row r="565" spans="1:26" ht="9" customHeight="1" x14ac:dyDescent="0.2">
      <c r="A565" s="534"/>
      <c r="B565" s="534"/>
      <c r="C565" s="34" t="s">
        <v>37</v>
      </c>
      <c r="D565" s="35">
        <v>14</v>
      </c>
      <c r="E565" s="36">
        <v>14139999</v>
      </c>
      <c r="F565" s="36">
        <v>0</v>
      </c>
      <c r="G565" s="36">
        <v>0</v>
      </c>
      <c r="H565" s="36">
        <v>12018738</v>
      </c>
      <c r="I565" s="36">
        <v>0</v>
      </c>
      <c r="J565" s="37">
        <v>2179891</v>
      </c>
      <c r="K565" s="36">
        <v>26158737</v>
      </c>
      <c r="L565" s="38">
        <v>28338628</v>
      </c>
      <c r="M565" s="39"/>
      <c r="N565" s="36">
        <v>26158737</v>
      </c>
      <c r="O565" s="36">
        <v>14139999</v>
      </c>
      <c r="P565" s="36">
        <v>911983</v>
      </c>
      <c r="Q565" s="36">
        <v>30883836</v>
      </c>
      <c r="R565" s="7"/>
      <c r="S565" s="7"/>
      <c r="T565" s="7"/>
      <c r="U565" s="7"/>
      <c r="V565" s="7"/>
      <c r="W565" s="7"/>
      <c r="X565" s="7"/>
      <c r="Y565" s="7"/>
      <c r="Z565" s="7"/>
    </row>
    <row r="566" spans="1:26" ht="12.75" customHeight="1" x14ac:dyDescent="0.2">
      <c r="A566" s="534"/>
      <c r="B566" s="534"/>
      <c r="C566" s="40" t="s">
        <v>36</v>
      </c>
      <c r="D566" s="41">
        <v>15</v>
      </c>
      <c r="E566" s="42">
        <v>8117.15</v>
      </c>
      <c r="F566" s="42">
        <v>0</v>
      </c>
      <c r="G566" s="42">
        <v>0</v>
      </c>
      <c r="H566" s="42">
        <v>6207.16</v>
      </c>
      <c r="I566" s="42">
        <v>0</v>
      </c>
      <c r="J566" s="42">
        <v>1193.69</v>
      </c>
      <c r="K566" s="43">
        <v>14324.31</v>
      </c>
      <c r="L566" s="32">
        <v>15518</v>
      </c>
      <c r="M566" s="33"/>
      <c r="N566" s="30">
        <v>14324.31</v>
      </c>
      <c r="O566" s="30">
        <v>8117.15</v>
      </c>
      <c r="P566" s="30">
        <v>471</v>
      </c>
      <c r="Q566" s="30">
        <v>16979.09</v>
      </c>
      <c r="R566" s="7"/>
      <c r="S566" s="7"/>
      <c r="T566" s="7"/>
      <c r="U566" s="7"/>
      <c r="V566" s="7"/>
      <c r="W566" s="7"/>
      <c r="X566" s="7"/>
      <c r="Y566" s="7"/>
      <c r="Z566" s="7"/>
    </row>
    <row r="567" spans="1:26" ht="9" customHeight="1" x14ac:dyDescent="0.2">
      <c r="A567" s="534"/>
      <c r="B567" s="534"/>
      <c r="C567" s="34" t="s">
        <v>37</v>
      </c>
      <c r="D567" s="35">
        <v>20</v>
      </c>
      <c r="E567" s="36">
        <v>15716994</v>
      </c>
      <c r="F567" s="36">
        <v>0</v>
      </c>
      <c r="G567" s="36">
        <v>0</v>
      </c>
      <c r="H567" s="36">
        <v>12018738</v>
      </c>
      <c r="I567" s="36">
        <v>0</v>
      </c>
      <c r="J567" s="37">
        <v>2311306</v>
      </c>
      <c r="K567" s="36">
        <v>27735732</v>
      </c>
      <c r="L567" s="38">
        <v>30047038</v>
      </c>
      <c r="M567" s="39"/>
      <c r="N567" s="36">
        <v>27735732</v>
      </c>
      <c r="O567" s="36">
        <v>15716994</v>
      </c>
      <c r="P567" s="36">
        <v>911983</v>
      </c>
      <c r="Q567" s="36">
        <v>32876103</v>
      </c>
      <c r="R567" s="7"/>
      <c r="S567" s="7"/>
      <c r="T567" s="7"/>
      <c r="U567" s="7"/>
      <c r="V567" s="7"/>
      <c r="W567" s="7"/>
      <c r="X567" s="7"/>
      <c r="Y567" s="7"/>
      <c r="Z567" s="7"/>
    </row>
    <row r="568" spans="1:26" ht="12.75" customHeight="1" x14ac:dyDescent="0.2">
      <c r="A568" s="534"/>
      <c r="B568" s="534"/>
      <c r="C568" s="40" t="s">
        <v>36</v>
      </c>
      <c r="D568" s="41">
        <v>21</v>
      </c>
      <c r="E568" s="42">
        <v>8919.2099999999991</v>
      </c>
      <c r="F568" s="42">
        <v>0</v>
      </c>
      <c r="G568" s="42">
        <v>0</v>
      </c>
      <c r="H568" s="42">
        <v>6207.16</v>
      </c>
      <c r="I568" s="42">
        <v>0</v>
      </c>
      <c r="J568" s="42">
        <v>1260.53</v>
      </c>
      <c r="K568" s="43">
        <v>15126.37</v>
      </c>
      <c r="L568" s="32">
        <v>16386.900000000001</v>
      </c>
      <c r="M568" s="33"/>
      <c r="N568" s="30">
        <v>15126.37</v>
      </c>
      <c r="O568" s="30">
        <v>8919.2099999999991</v>
      </c>
      <c r="P568" s="30">
        <v>471</v>
      </c>
      <c r="Q568" s="30">
        <v>17992.36</v>
      </c>
      <c r="R568" s="7"/>
      <c r="S568" s="7"/>
      <c r="T568" s="7"/>
      <c r="U568" s="7"/>
      <c r="V568" s="7"/>
      <c r="W568" s="7"/>
      <c r="X568" s="7"/>
      <c r="Y568" s="7"/>
      <c r="Z568" s="7"/>
    </row>
    <row r="569" spans="1:26" ht="9" customHeight="1" x14ac:dyDescent="0.2">
      <c r="A569" s="534"/>
      <c r="B569" s="534"/>
      <c r="C569" s="34" t="s">
        <v>37</v>
      </c>
      <c r="D569" s="35">
        <v>27</v>
      </c>
      <c r="E569" s="36">
        <v>17269999</v>
      </c>
      <c r="F569" s="36">
        <v>0</v>
      </c>
      <c r="G569" s="36">
        <v>0</v>
      </c>
      <c r="H569" s="36">
        <v>12018738</v>
      </c>
      <c r="I569" s="36">
        <v>0</v>
      </c>
      <c r="J569" s="37">
        <v>2440726</v>
      </c>
      <c r="K569" s="36">
        <v>29288736</v>
      </c>
      <c r="L569" s="38">
        <v>31729463</v>
      </c>
      <c r="M569" s="39"/>
      <c r="N569" s="36">
        <v>29288736</v>
      </c>
      <c r="O569" s="36">
        <v>17269999</v>
      </c>
      <c r="P569" s="36">
        <v>911983</v>
      </c>
      <c r="Q569" s="36">
        <v>34838067</v>
      </c>
      <c r="R569" s="7"/>
      <c r="S569" s="7"/>
      <c r="T569" s="7"/>
      <c r="U569" s="7"/>
      <c r="V569" s="7"/>
      <c r="W569" s="7"/>
      <c r="X569" s="7"/>
      <c r="Y569" s="7"/>
      <c r="Z569" s="7"/>
    </row>
    <row r="570" spans="1:26" ht="12.75" customHeight="1" x14ac:dyDescent="0.2">
      <c r="A570" s="534"/>
      <c r="B570" s="534"/>
      <c r="C570" s="40" t="s">
        <v>36</v>
      </c>
      <c r="D570" s="41">
        <v>28</v>
      </c>
      <c r="E570" s="42">
        <v>9523.98</v>
      </c>
      <c r="F570" s="42">
        <v>0</v>
      </c>
      <c r="G570" s="42">
        <v>0</v>
      </c>
      <c r="H570" s="42">
        <v>6207.16</v>
      </c>
      <c r="I570" s="42">
        <v>0</v>
      </c>
      <c r="J570" s="42">
        <v>1310.93</v>
      </c>
      <c r="K570" s="43">
        <v>15731.14</v>
      </c>
      <c r="L570" s="32">
        <v>17042.07</v>
      </c>
      <c r="M570" s="33"/>
      <c r="N570" s="30">
        <v>15731.14</v>
      </c>
      <c r="O570" s="30">
        <v>9523.98</v>
      </c>
      <c r="P570" s="30">
        <v>471</v>
      </c>
      <c r="Q570" s="30">
        <v>18756.39</v>
      </c>
      <c r="R570" s="7"/>
      <c r="S570" s="7"/>
      <c r="T570" s="7"/>
      <c r="U570" s="7"/>
      <c r="V570" s="7"/>
      <c r="W570" s="7"/>
      <c r="X570" s="7"/>
      <c r="Y570" s="7"/>
      <c r="Z570" s="7"/>
    </row>
    <row r="571" spans="1:26" ht="9" customHeight="1" x14ac:dyDescent="0.2">
      <c r="A571" s="534"/>
      <c r="B571" s="534"/>
      <c r="C571" s="34" t="s">
        <v>37</v>
      </c>
      <c r="D571" s="35">
        <v>34</v>
      </c>
      <c r="E571" s="36">
        <v>18440997</v>
      </c>
      <c r="F571" s="36">
        <v>0</v>
      </c>
      <c r="G571" s="36">
        <v>0</v>
      </c>
      <c r="H571" s="36">
        <v>12018738</v>
      </c>
      <c r="I571" s="36">
        <v>0</v>
      </c>
      <c r="J571" s="37">
        <v>2538314</v>
      </c>
      <c r="K571" s="36">
        <v>30459734</v>
      </c>
      <c r="L571" s="38">
        <v>32998049</v>
      </c>
      <c r="M571" s="39"/>
      <c r="N571" s="36">
        <v>30459734</v>
      </c>
      <c r="O571" s="36">
        <v>18440997</v>
      </c>
      <c r="P571" s="36">
        <v>911983</v>
      </c>
      <c r="Q571" s="36">
        <v>36317435</v>
      </c>
      <c r="R571" s="7"/>
      <c r="S571" s="7"/>
      <c r="T571" s="7"/>
      <c r="U571" s="7"/>
      <c r="V571" s="7"/>
      <c r="W571" s="7"/>
      <c r="X571" s="7"/>
      <c r="Y571" s="7"/>
      <c r="Z571" s="7"/>
    </row>
    <row r="572" spans="1:26" ht="12.75" customHeight="1" x14ac:dyDescent="0.2">
      <c r="A572" s="534"/>
      <c r="B572" s="534"/>
      <c r="C572" s="40" t="s">
        <v>36</v>
      </c>
      <c r="D572" s="41">
        <v>35</v>
      </c>
      <c r="E572" s="42">
        <v>9947.99</v>
      </c>
      <c r="F572" s="42">
        <v>0</v>
      </c>
      <c r="G572" s="42">
        <v>0</v>
      </c>
      <c r="H572" s="42">
        <v>6207.16</v>
      </c>
      <c r="I572" s="42">
        <v>0</v>
      </c>
      <c r="J572" s="42">
        <v>1346.26</v>
      </c>
      <c r="K572" s="43">
        <v>16155.15</v>
      </c>
      <c r="L572" s="32">
        <v>17501.41</v>
      </c>
      <c r="M572" s="33"/>
      <c r="N572" s="30">
        <v>16155.15</v>
      </c>
      <c r="O572" s="30">
        <v>9947.99</v>
      </c>
      <c r="P572" s="30">
        <v>471</v>
      </c>
      <c r="Q572" s="30">
        <v>19292.05</v>
      </c>
      <c r="R572" s="7"/>
      <c r="S572" s="7"/>
      <c r="T572" s="7"/>
      <c r="U572" s="7"/>
      <c r="V572" s="7"/>
      <c r="W572" s="7"/>
      <c r="X572" s="7"/>
      <c r="Y572" s="7"/>
      <c r="Z572" s="7"/>
    </row>
    <row r="573" spans="1:26" ht="9" customHeight="1" x14ac:dyDescent="0.2">
      <c r="A573" s="535"/>
      <c r="B573" s="535"/>
      <c r="C573" s="47" t="s">
        <v>37</v>
      </c>
      <c r="D573" s="48"/>
      <c r="E573" s="46">
        <v>19261995</v>
      </c>
      <c r="F573" s="46">
        <v>0</v>
      </c>
      <c r="G573" s="46">
        <v>0</v>
      </c>
      <c r="H573" s="46">
        <v>12018738</v>
      </c>
      <c r="I573" s="46">
        <v>0</v>
      </c>
      <c r="J573" s="49">
        <v>2606723</v>
      </c>
      <c r="K573" s="46">
        <v>31280732</v>
      </c>
      <c r="L573" s="38">
        <v>33887455</v>
      </c>
      <c r="M573" s="39"/>
      <c r="N573" s="36">
        <v>31280732</v>
      </c>
      <c r="O573" s="36">
        <v>19261995</v>
      </c>
      <c r="P573" s="36">
        <v>911983</v>
      </c>
      <c r="Q573" s="36">
        <v>37354618</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12.75" customHeight="1" x14ac:dyDescent="0.2">
      <c r="A580" s="538">
        <v>37257</v>
      </c>
      <c r="B580" s="538">
        <v>37621</v>
      </c>
      <c r="C580" s="28" t="s">
        <v>36</v>
      </c>
      <c r="D580" s="29">
        <v>0</v>
      </c>
      <c r="E580" s="30">
        <v>6501.58</v>
      </c>
      <c r="F580" s="30">
        <v>0</v>
      </c>
      <c r="G580" s="30">
        <v>0</v>
      </c>
      <c r="H580" s="30">
        <v>6207.16</v>
      </c>
      <c r="I580" s="30">
        <v>0</v>
      </c>
      <c r="J580" s="30">
        <v>1059.06</v>
      </c>
      <c r="K580" s="31">
        <v>12708.74</v>
      </c>
      <c r="L580" s="32">
        <v>13767.8</v>
      </c>
      <c r="M580" s="33"/>
      <c r="N580" s="30">
        <v>12708.74</v>
      </c>
      <c r="O580" s="30">
        <v>6501.58</v>
      </c>
      <c r="P580" s="30">
        <v>495</v>
      </c>
      <c r="Q580" s="30">
        <v>14938.08</v>
      </c>
      <c r="R580" s="7"/>
      <c r="S580" s="7"/>
      <c r="T580" s="7"/>
      <c r="U580" s="7"/>
      <c r="V580" s="7"/>
      <c r="W580" s="7"/>
      <c r="X580" s="7"/>
      <c r="Y580" s="7"/>
      <c r="Z580" s="7"/>
    </row>
    <row r="581" spans="1:26" ht="9" customHeight="1" x14ac:dyDescent="0.2">
      <c r="A581" s="534"/>
      <c r="B581" s="534"/>
      <c r="C581" s="34" t="s">
        <v>37</v>
      </c>
      <c r="D581" s="35">
        <v>2</v>
      </c>
      <c r="E581" s="36">
        <v>12588814</v>
      </c>
      <c r="F581" s="36">
        <v>0</v>
      </c>
      <c r="G581" s="36">
        <v>0</v>
      </c>
      <c r="H581" s="36">
        <v>12018738</v>
      </c>
      <c r="I581" s="36">
        <v>0</v>
      </c>
      <c r="J581" s="37">
        <v>2050626</v>
      </c>
      <c r="K581" s="36">
        <v>24607552</v>
      </c>
      <c r="L581" s="38">
        <v>26658178</v>
      </c>
      <c r="M581" s="39"/>
      <c r="N581" s="36">
        <v>24607552</v>
      </c>
      <c r="O581" s="36">
        <v>12588814</v>
      </c>
      <c r="P581" s="36">
        <v>958454</v>
      </c>
      <c r="Q581" s="36">
        <v>28924156</v>
      </c>
      <c r="R581" s="7"/>
      <c r="S581" s="7"/>
      <c r="T581" s="7"/>
      <c r="U581" s="7"/>
      <c r="V581" s="7"/>
      <c r="W581" s="7"/>
      <c r="X581" s="7"/>
      <c r="Y581" s="7"/>
      <c r="Z581" s="7"/>
    </row>
    <row r="582" spans="1:26" ht="12.75" customHeight="1" x14ac:dyDescent="0.2">
      <c r="A582" s="539">
        <v>37257</v>
      </c>
      <c r="B582" s="539">
        <v>37621</v>
      </c>
      <c r="C582" s="40" t="s">
        <v>36</v>
      </c>
      <c r="D582" s="41">
        <v>3</v>
      </c>
      <c r="E582" s="42">
        <v>6748.37</v>
      </c>
      <c r="F582" s="42">
        <v>0</v>
      </c>
      <c r="G582" s="42">
        <v>0</v>
      </c>
      <c r="H582" s="42">
        <v>6207.16</v>
      </c>
      <c r="I582" s="42">
        <v>0</v>
      </c>
      <c r="J582" s="42">
        <v>1079.6300000000001</v>
      </c>
      <c r="K582" s="43">
        <v>12955.53</v>
      </c>
      <c r="L582" s="32">
        <v>14035.16</v>
      </c>
      <c r="M582" s="33"/>
      <c r="N582" s="30">
        <v>12955.53</v>
      </c>
      <c r="O582" s="30">
        <v>6748.37</v>
      </c>
      <c r="P582" s="30">
        <v>495</v>
      </c>
      <c r="Q582" s="30">
        <v>15249.87</v>
      </c>
      <c r="R582" s="7"/>
      <c r="S582" s="7"/>
      <c r="T582" s="7"/>
      <c r="U582" s="7"/>
      <c r="V582" s="7"/>
      <c r="W582" s="7"/>
      <c r="X582" s="7"/>
      <c r="Y582" s="7"/>
      <c r="Z582" s="7"/>
    </row>
    <row r="583" spans="1:26" ht="9" customHeight="1" x14ac:dyDescent="0.2">
      <c r="A583" s="534"/>
      <c r="B583" s="534"/>
      <c r="C583" s="34" t="s">
        <v>37</v>
      </c>
      <c r="D583" s="35">
        <v>8</v>
      </c>
      <c r="E583" s="36">
        <v>13066666</v>
      </c>
      <c r="F583" s="36">
        <v>0</v>
      </c>
      <c r="G583" s="36">
        <v>0</v>
      </c>
      <c r="H583" s="36">
        <v>12018738</v>
      </c>
      <c r="I583" s="36">
        <v>0</v>
      </c>
      <c r="J583" s="37">
        <v>2090455</v>
      </c>
      <c r="K583" s="36">
        <v>25085404</v>
      </c>
      <c r="L583" s="38">
        <v>27175859</v>
      </c>
      <c r="M583" s="39"/>
      <c r="N583" s="36">
        <v>25085404</v>
      </c>
      <c r="O583" s="36">
        <v>13066666</v>
      </c>
      <c r="P583" s="36">
        <v>958454</v>
      </c>
      <c r="Q583" s="36">
        <v>29527866</v>
      </c>
      <c r="R583" s="7"/>
      <c r="S583" s="7"/>
      <c r="T583" s="7"/>
      <c r="U583" s="7"/>
      <c r="V583" s="7"/>
      <c r="W583" s="7"/>
      <c r="X583" s="7"/>
      <c r="Y583" s="7"/>
      <c r="Z583" s="7"/>
    </row>
    <row r="584" spans="1:26" ht="12.75" customHeight="1" x14ac:dyDescent="0.2">
      <c r="A584" s="534"/>
      <c r="B584" s="534"/>
      <c r="C584" s="40" t="s">
        <v>36</v>
      </c>
      <c r="D584" s="41">
        <v>9</v>
      </c>
      <c r="E584" s="42">
        <v>7643.14</v>
      </c>
      <c r="F584" s="42">
        <v>0</v>
      </c>
      <c r="G584" s="42">
        <v>0</v>
      </c>
      <c r="H584" s="42">
        <v>6207.16</v>
      </c>
      <c r="I584" s="42">
        <v>0</v>
      </c>
      <c r="J584" s="42">
        <v>1154.19</v>
      </c>
      <c r="K584" s="43">
        <v>13850.3</v>
      </c>
      <c r="L584" s="32">
        <v>15004.49</v>
      </c>
      <c r="M584" s="33"/>
      <c r="N584" s="30">
        <v>13850.3</v>
      </c>
      <c r="O584" s="30">
        <v>7643.14</v>
      </c>
      <c r="P584" s="30">
        <v>495</v>
      </c>
      <c r="Q584" s="30">
        <v>16380.26</v>
      </c>
      <c r="R584" s="7"/>
      <c r="S584" s="7"/>
      <c r="T584" s="7"/>
      <c r="U584" s="7"/>
      <c r="V584" s="7"/>
      <c r="W584" s="7"/>
      <c r="X584" s="7"/>
      <c r="Y584" s="7"/>
      <c r="Z584" s="7"/>
    </row>
    <row r="585" spans="1:26" ht="9" customHeight="1" x14ac:dyDescent="0.2">
      <c r="A585" s="534"/>
      <c r="B585" s="534"/>
      <c r="C585" s="34" t="s">
        <v>37</v>
      </c>
      <c r="D585" s="35">
        <v>14</v>
      </c>
      <c r="E585" s="36">
        <v>14799183</v>
      </c>
      <c r="F585" s="36">
        <v>0</v>
      </c>
      <c r="G585" s="36">
        <v>0</v>
      </c>
      <c r="H585" s="36">
        <v>12018738</v>
      </c>
      <c r="I585" s="36">
        <v>0</v>
      </c>
      <c r="J585" s="37">
        <v>2234823</v>
      </c>
      <c r="K585" s="36">
        <v>26817920</v>
      </c>
      <c r="L585" s="38">
        <v>29052744</v>
      </c>
      <c r="M585" s="39"/>
      <c r="N585" s="36">
        <v>26817920</v>
      </c>
      <c r="O585" s="36">
        <v>14799183</v>
      </c>
      <c r="P585" s="36">
        <v>958454</v>
      </c>
      <c r="Q585" s="36">
        <v>31716606</v>
      </c>
      <c r="R585" s="7"/>
      <c r="S585" s="7"/>
      <c r="T585" s="7"/>
      <c r="U585" s="7"/>
      <c r="V585" s="7"/>
      <c r="W585" s="7"/>
      <c r="X585" s="7"/>
      <c r="Y585" s="7"/>
      <c r="Z585" s="7"/>
    </row>
    <row r="586" spans="1:26" ht="12.75" customHeight="1" x14ac:dyDescent="0.2">
      <c r="A586" s="534"/>
      <c r="B586" s="534"/>
      <c r="C586" s="40" t="s">
        <v>36</v>
      </c>
      <c r="D586" s="41">
        <v>15</v>
      </c>
      <c r="E586" s="42">
        <v>8478.11</v>
      </c>
      <c r="F586" s="42">
        <v>0</v>
      </c>
      <c r="G586" s="42">
        <v>0</v>
      </c>
      <c r="H586" s="42">
        <v>6207.16</v>
      </c>
      <c r="I586" s="42">
        <v>0</v>
      </c>
      <c r="J586" s="42">
        <v>1223.77</v>
      </c>
      <c r="K586" s="43">
        <v>14685.27</v>
      </c>
      <c r="L586" s="32">
        <v>15909.04</v>
      </c>
      <c r="M586" s="33"/>
      <c r="N586" s="30">
        <v>14685.27</v>
      </c>
      <c r="O586" s="30">
        <v>8478.11</v>
      </c>
      <c r="P586" s="30">
        <v>495</v>
      </c>
      <c r="Q586" s="30">
        <v>17435.099999999999</v>
      </c>
      <c r="R586" s="7"/>
      <c r="S586" s="7"/>
      <c r="T586" s="7"/>
      <c r="U586" s="7"/>
      <c r="V586" s="7"/>
      <c r="W586" s="7"/>
      <c r="X586" s="7"/>
      <c r="Y586" s="7"/>
      <c r="Z586" s="7"/>
    </row>
    <row r="587" spans="1:26" ht="9" customHeight="1" x14ac:dyDescent="0.2">
      <c r="A587" s="534"/>
      <c r="B587" s="534"/>
      <c r="C587" s="34" t="s">
        <v>37</v>
      </c>
      <c r="D587" s="35">
        <v>20</v>
      </c>
      <c r="E587" s="36">
        <v>16415910</v>
      </c>
      <c r="F587" s="36">
        <v>0</v>
      </c>
      <c r="G587" s="36">
        <v>0</v>
      </c>
      <c r="H587" s="36">
        <v>12018738</v>
      </c>
      <c r="I587" s="36">
        <v>0</v>
      </c>
      <c r="J587" s="37">
        <v>2369549</v>
      </c>
      <c r="K587" s="36">
        <v>28434648</v>
      </c>
      <c r="L587" s="38">
        <v>30804197</v>
      </c>
      <c r="M587" s="39"/>
      <c r="N587" s="36">
        <v>28434648</v>
      </c>
      <c r="O587" s="36">
        <v>16415910</v>
      </c>
      <c r="P587" s="36">
        <v>958454</v>
      </c>
      <c r="Q587" s="36">
        <v>33759061</v>
      </c>
      <c r="R587" s="7"/>
      <c r="S587" s="7"/>
      <c r="T587" s="7"/>
      <c r="U587" s="7"/>
      <c r="V587" s="7"/>
      <c r="W587" s="7"/>
      <c r="X587" s="7"/>
      <c r="Y587" s="7"/>
      <c r="Z587" s="7"/>
    </row>
    <row r="588" spans="1:26" ht="12.75" customHeight="1" x14ac:dyDescent="0.2">
      <c r="A588" s="534"/>
      <c r="B588" s="534"/>
      <c r="C588" s="40" t="s">
        <v>36</v>
      </c>
      <c r="D588" s="41">
        <v>21</v>
      </c>
      <c r="E588" s="42">
        <v>9300.33</v>
      </c>
      <c r="F588" s="42">
        <v>0</v>
      </c>
      <c r="G588" s="42">
        <v>0</v>
      </c>
      <c r="H588" s="42">
        <v>6207.16</v>
      </c>
      <c r="I588" s="42">
        <v>0</v>
      </c>
      <c r="J588" s="42">
        <v>1292.29</v>
      </c>
      <c r="K588" s="43">
        <v>15507.49</v>
      </c>
      <c r="L588" s="32">
        <v>16799.78</v>
      </c>
      <c r="M588" s="33"/>
      <c r="N588" s="30">
        <v>15507.49</v>
      </c>
      <c r="O588" s="30">
        <v>9300.33</v>
      </c>
      <c r="P588" s="30">
        <v>495</v>
      </c>
      <c r="Q588" s="30">
        <v>18473.84</v>
      </c>
      <c r="R588" s="7"/>
      <c r="S588" s="7"/>
      <c r="T588" s="7"/>
      <c r="U588" s="7"/>
      <c r="V588" s="7"/>
      <c r="W588" s="7"/>
      <c r="X588" s="7"/>
      <c r="Y588" s="7"/>
      <c r="Z588" s="7"/>
    </row>
    <row r="589" spans="1:26" ht="9" customHeight="1" x14ac:dyDescent="0.2">
      <c r="A589" s="534"/>
      <c r="B589" s="534"/>
      <c r="C589" s="34" t="s">
        <v>37</v>
      </c>
      <c r="D589" s="35">
        <v>27</v>
      </c>
      <c r="E589" s="36">
        <v>18007950</v>
      </c>
      <c r="F589" s="36">
        <v>0</v>
      </c>
      <c r="G589" s="36">
        <v>0</v>
      </c>
      <c r="H589" s="36">
        <v>12018738</v>
      </c>
      <c r="I589" s="36">
        <v>0</v>
      </c>
      <c r="J589" s="37">
        <v>2502222</v>
      </c>
      <c r="K589" s="36">
        <v>30026688</v>
      </c>
      <c r="L589" s="38">
        <v>32528910</v>
      </c>
      <c r="M589" s="39"/>
      <c r="N589" s="36">
        <v>30026688</v>
      </c>
      <c r="O589" s="36">
        <v>18007950</v>
      </c>
      <c r="P589" s="36">
        <v>958454</v>
      </c>
      <c r="Q589" s="36">
        <v>35770342</v>
      </c>
      <c r="R589" s="7"/>
      <c r="S589" s="7"/>
      <c r="T589" s="7"/>
      <c r="U589" s="7"/>
      <c r="V589" s="7"/>
      <c r="W589" s="7"/>
      <c r="X589" s="7"/>
      <c r="Y589" s="7"/>
      <c r="Z589" s="7"/>
    </row>
    <row r="590" spans="1:26" ht="12.75" customHeight="1" x14ac:dyDescent="0.2">
      <c r="A590" s="534"/>
      <c r="B590" s="534"/>
      <c r="C590" s="40" t="s">
        <v>36</v>
      </c>
      <c r="D590" s="41">
        <v>28</v>
      </c>
      <c r="E590" s="42">
        <v>9920.34</v>
      </c>
      <c r="F590" s="42">
        <v>0</v>
      </c>
      <c r="G590" s="42">
        <v>0</v>
      </c>
      <c r="H590" s="42">
        <v>6207.16</v>
      </c>
      <c r="I590" s="42">
        <v>0</v>
      </c>
      <c r="J590" s="42">
        <v>1343.96</v>
      </c>
      <c r="K590" s="43">
        <v>16127.5</v>
      </c>
      <c r="L590" s="32">
        <v>17471.46</v>
      </c>
      <c r="M590" s="33"/>
      <c r="N590" s="30">
        <v>16127.5</v>
      </c>
      <c r="O590" s="30">
        <v>9920.34</v>
      </c>
      <c r="P590" s="30">
        <v>495</v>
      </c>
      <c r="Q590" s="30">
        <v>19257.12</v>
      </c>
      <c r="R590" s="7"/>
      <c r="S590" s="7"/>
      <c r="T590" s="7"/>
      <c r="U590" s="7"/>
      <c r="V590" s="7"/>
      <c r="W590" s="7"/>
      <c r="X590" s="7"/>
      <c r="Y590" s="7"/>
      <c r="Z590" s="7"/>
    </row>
    <row r="591" spans="1:26" ht="9" customHeight="1" x14ac:dyDescent="0.2">
      <c r="A591" s="534"/>
      <c r="B591" s="534"/>
      <c r="C591" s="34" t="s">
        <v>37</v>
      </c>
      <c r="D591" s="35">
        <v>34</v>
      </c>
      <c r="E591" s="36">
        <v>19208457</v>
      </c>
      <c r="F591" s="36">
        <v>0</v>
      </c>
      <c r="G591" s="36">
        <v>0</v>
      </c>
      <c r="H591" s="36">
        <v>12018738</v>
      </c>
      <c r="I591" s="36">
        <v>0</v>
      </c>
      <c r="J591" s="37">
        <v>2602269</v>
      </c>
      <c r="K591" s="36">
        <v>31227194</v>
      </c>
      <c r="L591" s="38">
        <v>33829464</v>
      </c>
      <c r="M591" s="39"/>
      <c r="N591" s="36">
        <v>31227194</v>
      </c>
      <c r="O591" s="36">
        <v>19208457</v>
      </c>
      <c r="P591" s="36">
        <v>958454</v>
      </c>
      <c r="Q591" s="36">
        <v>37286984</v>
      </c>
      <c r="R591" s="7"/>
      <c r="S591" s="7"/>
      <c r="T591" s="7"/>
      <c r="U591" s="7"/>
      <c r="V591" s="7"/>
      <c r="W591" s="7"/>
      <c r="X591" s="7"/>
      <c r="Y591" s="7"/>
      <c r="Z591" s="7"/>
    </row>
    <row r="592" spans="1:26" ht="12.75" customHeight="1" x14ac:dyDescent="0.2">
      <c r="A592" s="534"/>
      <c r="B592" s="534"/>
      <c r="C592" s="40" t="s">
        <v>36</v>
      </c>
      <c r="D592" s="41">
        <v>35</v>
      </c>
      <c r="E592" s="42">
        <v>10355.030000000001</v>
      </c>
      <c r="F592" s="42">
        <v>0</v>
      </c>
      <c r="G592" s="42">
        <v>0</v>
      </c>
      <c r="H592" s="42">
        <v>6207.16</v>
      </c>
      <c r="I592" s="42">
        <v>0</v>
      </c>
      <c r="J592" s="42">
        <v>1380.18</v>
      </c>
      <c r="K592" s="43">
        <v>16562.189999999999</v>
      </c>
      <c r="L592" s="32">
        <v>17942.37</v>
      </c>
      <c r="M592" s="33"/>
      <c r="N592" s="30">
        <v>16562.189999999999</v>
      </c>
      <c r="O592" s="30">
        <v>10355.030000000001</v>
      </c>
      <c r="P592" s="30">
        <v>495</v>
      </c>
      <c r="Q592" s="30">
        <v>19806.28</v>
      </c>
      <c r="R592" s="7"/>
      <c r="S592" s="7"/>
      <c r="T592" s="7"/>
      <c r="U592" s="7"/>
      <c r="V592" s="7"/>
      <c r="W592" s="7"/>
      <c r="X592" s="7"/>
      <c r="Y592" s="7"/>
      <c r="Z592" s="7"/>
    </row>
    <row r="593" spans="1:26" ht="9" customHeight="1" x14ac:dyDescent="0.2">
      <c r="A593" s="535"/>
      <c r="B593" s="535"/>
      <c r="C593" s="47" t="s">
        <v>37</v>
      </c>
      <c r="D593" s="48"/>
      <c r="E593" s="46">
        <v>20050134</v>
      </c>
      <c r="F593" s="46">
        <v>0</v>
      </c>
      <c r="G593" s="46">
        <v>0</v>
      </c>
      <c r="H593" s="46">
        <v>12018738</v>
      </c>
      <c r="I593" s="46">
        <v>0</v>
      </c>
      <c r="J593" s="49">
        <v>2672401</v>
      </c>
      <c r="K593" s="46">
        <v>32068872</v>
      </c>
      <c r="L593" s="38">
        <v>34741273</v>
      </c>
      <c r="M593" s="39"/>
      <c r="N593" s="36">
        <v>32068872</v>
      </c>
      <c r="O593" s="36">
        <v>20050134</v>
      </c>
      <c r="P593" s="36">
        <v>958454</v>
      </c>
      <c r="Q593" s="36">
        <v>38350306</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96"/>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96"/>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96"/>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96"/>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96"/>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96"/>
      <c r="Q599" s="96"/>
      <c r="R599" s="7"/>
      <c r="S599" s="7"/>
      <c r="T599" s="7"/>
      <c r="U599" s="7"/>
      <c r="V599" s="7"/>
      <c r="W599" s="7"/>
      <c r="X599" s="7"/>
      <c r="Y599" s="7"/>
      <c r="Z599" s="7"/>
    </row>
    <row r="600" spans="1:26" ht="12.75" customHeight="1" x14ac:dyDescent="0.2">
      <c r="A600" s="538">
        <v>37622</v>
      </c>
      <c r="B600" s="538">
        <v>37986</v>
      </c>
      <c r="C600" s="28" t="s">
        <v>36</v>
      </c>
      <c r="D600" s="29">
        <v>0</v>
      </c>
      <c r="E600" s="30">
        <v>6822.1</v>
      </c>
      <c r="F600" s="30">
        <v>0</v>
      </c>
      <c r="G600" s="30">
        <v>0</v>
      </c>
      <c r="H600" s="30">
        <v>6207.16</v>
      </c>
      <c r="I600" s="30">
        <v>0</v>
      </c>
      <c r="J600" s="30">
        <v>1085.77</v>
      </c>
      <c r="K600" s="31">
        <v>13029.26</v>
      </c>
      <c r="L600" s="32">
        <v>14115.03</v>
      </c>
      <c r="M600" s="33"/>
      <c r="N600" s="30">
        <v>13029.26</v>
      </c>
      <c r="O600" s="30">
        <v>6822.1</v>
      </c>
      <c r="P600" s="30">
        <v>579</v>
      </c>
      <c r="Q600" s="30">
        <v>15343.01</v>
      </c>
      <c r="R600" s="7"/>
      <c r="S600" s="7"/>
      <c r="T600" s="7"/>
      <c r="U600" s="7"/>
      <c r="V600" s="7"/>
      <c r="W600" s="7"/>
      <c r="X600" s="7"/>
      <c r="Y600" s="7"/>
      <c r="Z600" s="7"/>
    </row>
    <row r="601" spans="1:26" ht="9" customHeight="1" x14ac:dyDescent="0.2">
      <c r="A601" s="534"/>
      <c r="B601" s="534"/>
      <c r="C601" s="34" t="s">
        <v>37</v>
      </c>
      <c r="D601" s="35">
        <v>2</v>
      </c>
      <c r="E601" s="36">
        <v>13209428</v>
      </c>
      <c r="F601" s="36">
        <v>0</v>
      </c>
      <c r="G601" s="36">
        <v>0</v>
      </c>
      <c r="H601" s="36">
        <v>12018738</v>
      </c>
      <c r="I601" s="36">
        <v>0</v>
      </c>
      <c r="J601" s="37">
        <v>2102344</v>
      </c>
      <c r="K601" s="36">
        <v>25228165</v>
      </c>
      <c r="L601" s="38">
        <v>27330509</v>
      </c>
      <c r="M601" s="39"/>
      <c r="N601" s="36">
        <v>25228165</v>
      </c>
      <c r="O601" s="36">
        <v>13209428</v>
      </c>
      <c r="P601" s="36">
        <v>1121100</v>
      </c>
      <c r="Q601" s="36">
        <v>29708210</v>
      </c>
      <c r="R601" s="7"/>
      <c r="S601" s="7"/>
      <c r="T601" s="7"/>
      <c r="U601" s="7"/>
      <c r="V601" s="7"/>
      <c r="W601" s="7"/>
      <c r="X601" s="7"/>
      <c r="Y601" s="7"/>
      <c r="Z601" s="7"/>
    </row>
    <row r="602" spans="1:26" ht="12.75" customHeight="1" x14ac:dyDescent="0.2">
      <c r="A602" s="539">
        <v>37622</v>
      </c>
      <c r="B602" s="539">
        <v>37986</v>
      </c>
      <c r="C602" s="40" t="s">
        <v>36</v>
      </c>
      <c r="D602" s="41">
        <v>3</v>
      </c>
      <c r="E602" s="42">
        <v>7075.13</v>
      </c>
      <c r="F602" s="42">
        <v>0</v>
      </c>
      <c r="G602" s="42">
        <v>0</v>
      </c>
      <c r="H602" s="42">
        <v>6207.16</v>
      </c>
      <c r="I602" s="42">
        <v>0</v>
      </c>
      <c r="J602" s="42">
        <v>1106.8599999999999</v>
      </c>
      <c r="K602" s="43">
        <v>13282.29</v>
      </c>
      <c r="L602" s="32">
        <v>14389.15</v>
      </c>
      <c r="M602" s="33"/>
      <c r="N602" s="30">
        <v>13282.29</v>
      </c>
      <c r="O602" s="30">
        <v>7075.13</v>
      </c>
      <c r="P602" s="30">
        <v>579</v>
      </c>
      <c r="Q602" s="30">
        <v>15662.67</v>
      </c>
      <c r="R602" s="7"/>
      <c r="S602" s="7"/>
      <c r="T602" s="7"/>
      <c r="U602" s="7"/>
      <c r="V602" s="7"/>
      <c r="W602" s="7"/>
      <c r="X602" s="7"/>
      <c r="Y602" s="7"/>
      <c r="Z602" s="7"/>
    </row>
    <row r="603" spans="1:26" ht="9" customHeight="1" x14ac:dyDescent="0.2">
      <c r="A603" s="534"/>
      <c r="B603" s="534"/>
      <c r="C603" s="34" t="s">
        <v>37</v>
      </c>
      <c r="D603" s="35">
        <v>8</v>
      </c>
      <c r="E603" s="36">
        <v>13699362</v>
      </c>
      <c r="F603" s="36">
        <v>0</v>
      </c>
      <c r="G603" s="36">
        <v>0</v>
      </c>
      <c r="H603" s="36">
        <v>12018738</v>
      </c>
      <c r="I603" s="36">
        <v>0</v>
      </c>
      <c r="J603" s="37">
        <v>2143180</v>
      </c>
      <c r="K603" s="36">
        <v>25718100</v>
      </c>
      <c r="L603" s="38">
        <v>27861279</v>
      </c>
      <c r="M603" s="39"/>
      <c r="N603" s="36">
        <v>25718100</v>
      </c>
      <c r="O603" s="36">
        <v>13699362</v>
      </c>
      <c r="P603" s="36">
        <v>1121100</v>
      </c>
      <c r="Q603" s="36">
        <v>30327158</v>
      </c>
      <c r="R603" s="7"/>
      <c r="S603" s="7"/>
      <c r="T603" s="7"/>
      <c r="U603" s="7"/>
      <c r="V603" s="7"/>
      <c r="W603" s="7"/>
      <c r="X603" s="7"/>
      <c r="Y603" s="7"/>
      <c r="Z603" s="7"/>
    </row>
    <row r="604" spans="1:26" ht="12.75" customHeight="1" x14ac:dyDescent="0.2">
      <c r="A604" s="534"/>
      <c r="B604" s="534"/>
      <c r="C604" s="40" t="s">
        <v>36</v>
      </c>
      <c r="D604" s="41">
        <v>9</v>
      </c>
      <c r="E604" s="42">
        <v>7992.46</v>
      </c>
      <c r="F604" s="42">
        <v>0</v>
      </c>
      <c r="G604" s="42">
        <v>0</v>
      </c>
      <c r="H604" s="42">
        <v>6207.16</v>
      </c>
      <c r="I604" s="42">
        <v>0</v>
      </c>
      <c r="J604" s="42">
        <v>1183.3</v>
      </c>
      <c r="K604" s="43">
        <v>14199.62</v>
      </c>
      <c r="L604" s="32">
        <v>15382.92</v>
      </c>
      <c r="M604" s="33"/>
      <c r="N604" s="30">
        <v>14199.62</v>
      </c>
      <c r="O604" s="30">
        <v>7992.46</v>
      </c>
      <c r="P604" s="30">
        <v>579</v>
      </c>
      <c r="Q604" s="30">
        <v>16821.560000000001</v>
      </c>
      <c r="R604" s="7"/>
      <c r="S604" s="7"/>
      <c r="T604" s="7"/>
      <c r="U604" s="7"/>
      <c r="V604" s="7"/>
      <c r="W604" s="7"/>
      <c r="X604" s="7"/>
      <c r="Y604" s="7"/>
      <c r="Z604" s="7"/>
    </row>
    <row r="605" spans="1:26" ht="9" customHeight="1" x14ac:dyDescent="0.2">
      <c r="A605" s="534"/>
      <c r="B605" s="534"/>
      <c r="C605" s="34" t="s">
        <v>37</v>
      </c>
      <c r="D605" s="35">
        <v>14</v>
      </c>
      <c r="E605" s="36">
        <v>15475561</v>
      </c>
      <c r="F605" s="36">
        <v>0</v>
      </c>
      <c r="G605" s="36">
        <v>0</v>
      </c>
      <c r="H605" s="36">
        <v>12018738</v>
      </c>
      <c r="I605" s="36">
        <v>0</v>
      </c>
      <c r="J605" s="37">
        <v>2291188</v>
      </c>
      <c r="K605" s="36">
        <v>27494298</v>
      </c>
      <c r="L605" s="38">
        <v>29785487</v>
      </c>
      <c r="M605" s="39"/>
      <c r="N605" s="36">
        <v>27494298</v>
      </c>
      <c r="O605" s="36">
        <v>15475561</v>
      </c>
      <c r="P605" s="36">
        <v>1121100</v>
      </c>
      <c r="Q605" s="36">
        <v>32571082</v>
      </c>
      <c r="R605" s="7"/>
      <c r="S605" s="7"/>
      <c r="T605" s="7"/>
      <c r="U605" s="7"/>
      <c r="V605" s="7"/>
      <c r="W605" s="7"/>
      <c r="X605" s="7"/>
      <c r="Y605" s="7"/>
      <c r="Z605" s="7"/>
    </row>
    <row r="606" spans="1:26" ht="12.75" customHeight="1" x14ac:dyDescent="0.2">
      <c r="A606" s="534"/>
      <c r="B606" s="534"/>
      <c r="C606" s="40" t="s">
        <v>36</v>
      </c>
      <c r="D606" s="41">
        <v>15</v>
      </c>
      <c r="E606" s="42">
        <v>8848.5499999999993</v>
      </c>
      <c r="F606" s="42">
        <v>0</v>
      </c>
      <c r="G606" s="42">
        <v>0</v>
      </c>
      <c r="H606" s="42">
        <v>6207.16</v>
      </c>
      <c r="I606" s="42">
        <v>0</v>
      </c>
      <c r="J606" s="42">
        <v>1254.6400000000001</v>
      </c>
      <c r="K606" s="43">
        <v>15055.71</v>
      </c>
      <c r="L606" s="32">
        <v>16310.35</v>
      </c>
      <c r="M606" s="33"/>
      <c r="N606" s="30">
        <v>15055.71</v>
      </c>
      <c r="O606" s="30">
        <v>8848.5499999999993</v>
      </c>
      <c r="P606" s="30">
        <v>579</v>
      </c>
      <c r="Q606" s="30">
        <v>17903.09</v>
      </c>
      <c r="R606" s="7"/>
      <c r="S606" s="7"/>
      <c r="T606" s="7"/>
      <c r="U606" s="7"/>
      <c r="V606" s="7"/>
      <c r="W606" s="7"/>
      <c r="X606" s="7"/>
      <c r="Y606" s="7"/>
      <c r="Z606" s="7"/>
    </row>
    <row r="607" spans="1:26" ht="9" customHeight="1" x14ac:dyDescent="0.2">
      <c r="A607" s="534"/>
      <c r="B607" s="534"/>
      <c r="C607" s="34" t="s">
        <v>37</v>
      </c>
      <c r="D607" s="35">
        <v>20</v>
      </c>
      <c r="E607" s="36">
        <v>17133182</v>
      </c>
      <c r="F607" s="36">
        <v>0</v>
      </c>
      <c r="G607" s="36">
        <v>0</v>
      </c>
      <c r="H607" s="36">
        <v>12018738</v>
      </c>
      <c r="I607" s="36">
        <v>0</v>
      </c>
      <c r="J607" s="37">
        <v>2429322</v>
      </c>
      <c r="K607" s="36">
        <v>29151920</v>
      </c>
      <c r="L607" s="38">
        <v>31581241</v>
      </c>
      <c r="M607" s="39"/>
      <c r="N607" s="36">
        <v>29151920</v>
      </c>
      <c r="O607" s="36">
        <v>17133182</v>
      </c>
      <c r="P607" s="36">
        <v>1121100</v>
      </c>
      <c r="Q607" s="36">
        <v>34665216</v>
      </c>
      <c r="R607" s="7"/>
      <c r="S607" s="7"/>
      <c r="T607" s="7"/>
      <c r="U607" s="7"/>
      <c r="V607" s="7"/>
      <c r="W607" s="7"/>
      <c r="X607" s="7"/>
      <c r="Y607" s="7"/>
      <c r="Z607" s="7"/>
    </row>
    <row r="608" spans="1:26" ht="12.75" customHeight="1" x14ac:dyDescent="0.2">
      <c r="A608" s="534"/>
      <c r="B608" s="534"/>
      <c r="C608" s="40" t="s">
        <v>36</v>
      </c>
      <c r="D608" s="41">
        <v>21</v>
      </c>
      <c r="E608" s="42">
        <v>9691.41</v>
      </c>
      <c r="F608" s="42">
        <v>0</v>
      </c>
      <c r="G608" s="42">
        <v>0</v>
      </c>
      <c r="H608" s="42">
        <v>6207.16</v>
      </c>
      <c r="I608" s="42">
        <v>0</v>
      </c>
      <c r="J608" s="42">
        <v>1324.88</v>
      </c>
      <c r="K608" s="43">
        <v>15898.57</v>
      </c>
      <c r="L608" s="32">
        <v>17223.45</v>
      </c>
      <c r="M608" s="33"/>
      <c r="N608" s="30">
        <v>15898.57</v>
      </c>
      <c r="O608" s="30">
        <v>9691.41</v>
      </c>
      <c r="P608" s="30">
        <v>579</v>
      </c>
      <c r="Q608" s="30">
        <v>18967.900000000001</v>
      </c>
      <c r="R608" s="7"/>
      <c r="S608" s="7"/>
      <c r="T608" s="7"/>
      <c r="U608" s="7"/>
      <c r="V608" s="7"/>
      <c r="W608" s="7"/>
      <c r="X608" s="7"/>
      <c r="Y608" s="7"/>
      <c r="Z608" s="7"/>
    </row>
    <row r="609" spans="1:26" ht="9" customHeight="1" x14ac:dyDescent="0.2">
      <c r="A609" s="534"/>
      <c r="B609" s="534"/>
      <c r="C609" s="34" t="s">
        <v>37</v>
      </c>
      <c r="D609" s="35">
        <v>27</v>
      </c>
      <c r="E609" s="36">
        <v>18765186</v>
      </c>
      <c r="F609" s="36">
        <v>0</v>
      </c>
      <c r="G609" s="36">
        <v>0</v>
      </c>
      <c r="H609" s="36">
        <v>12018738</v>
      </c>
      <c r="I609" s="36">
        <v>0</v>
      </c>
      <c r="J609" s="37">
        <v>2565325</v>
      </c>
      <c r="K609" s="36">
        <v>30783924</v>
      </c>
      <c r="L609" s="38">
        <v>33349250</v>
      </c>
      <c r="M609" s="39"/>
      <c r="N609" s="36">
        <v>30783924</v>
      </c>
      <c r="O609" s="36">
        <v>18765186</v>
      </c>
      <c r="P609" s="36">
        <v>1121100</v>
      </c>
      <c r="Q609" s="36">
        <v>36726976</v>
      </c>
      <c r="R609" s="7"/>
      <c r="S609" s="7"/>
      <c r="T609" s="7"/>
      <c r="U609" s="7"/>
      <c r="V609" s="7"/>
      <c r="W609" s="7"/>
      <c r="X609" s="7"/>
      <c r="Y609" s="7"/>
      <c r="Z609" s="7"/>
    </row>
    <row r="610" spans="1:26" ht="12.75" customHeight="1" x14ac:dyDescent="0.2">
      <c r="A610" s="534"/>
      <c r="B610" s="534"/>
      <c r="C610" s="40" t="s">
        <v>36</v>
      </c>
      <c r="D610" s="41">
        <v>28</v>
      </c>
      <c r="E610" s="42">
        <v>10327.14</v>
      </c>
      <c r="F610" s="42">
        <v>0</v>
      </c>
      <c r="G610" s="42">
        <v>0</v>
      </c>
      <c r="H610" s="42">
        <v>6207.16</v>
      </c>
      <c r="I610" s="42">
        <v>0</v>
      </c>
      <c r="J610" s="42">
        <v>1377.86</v>
      </c>
      <c r="K610" s="43">
        <v>16534.3</v>
      </c>
      <c r="L610" s="32">
        <v>17912.16</v>
      </c>
      <c r="M610" s="33"/>
      <c r="N610" s="30">
        <v>16534.3</v>
      </c>
      <c r="O610" s="30">
        <v>10327.14</v>
      </c>
      <c r="P610" s="30">
        <v>579</v>
      </c>
      <c r="Q610" s="30">
        <v>19771.05</v>
      </c>
      <c r="R610" s="7"/>
      <c r="S610" s="7"/>
      <c r="T610" s="7"/>
      <c r="U610" s="7"/>
      <c r="V610" s="7"/>
      <c r="W610" s="7"/>
      <c r="X610" s="7"/>
      <c r="Y610" s="7"/>
      <c r="Z610" s="7"/>
    </row>
    <row r="611" spans="1:26" ht="9" customHeight="1" x14ac:dyDescent="0.2">
      <c r="A611" s="534"/>
      <c r="B611" s="534"/>
      <c r="C611" s="34" t="s">
        <v>37</v>
      </c>
      <c r="D611" s="35">
        <v>34</v>
      </c>
      <c r="E611" s="36">
        <v>19996131</v>
      </c>
      <c r="F611" s="36">
        <v>0</v>
      </c>
      <c r="G611" s="36">
        <v>0</v>
      </c>
      <c r="H611" s="36">
        <v>12018738</v>
      </c>
      <c r="I611" s="36">
        <v>0</v>
      </c>
      <c r="J611" s="37">
        <v>2667909</v>
      </c>
      <c r="K611" s="36">
        <v>32014869</v>
      </c>
      <c r="L611" s="38">
        <v>34682778</v>
      </c>
      <c r="M611" s="39"/>
      <c r="N611" s="36">
        <v>32014869</v>
      </c>
      <c r="O611" s="36">
        <v>19996131</v>
      </c>
      <c r="P611" s="36">
        <v>1121100</v>
      </c>
      <c r="Q611" s="36">
        <v>38282091</v>
      </c>
      <c r="R611" s="7"/>
      <c r="S611" s="7"/>
      <c r="T611" s="7"/>
      <c r="U611" s="7"/>
      <c r="V611" s="7"/>
      <c r="W611" s="7"/>
      <c r="X611" s="7"/>
      <c r="Y611" s="7"/>
      <c r="Z611" s="7"/>
    </row>
    <row r="612" spans="1:26" ht="12.75" customHeight="1" x14ac:dyDescent="0.2">
      <c r="A612" s="534"/>
      <c r="B612" s="534"/>
      <c r="C612" s="40" t="s">
        <v>36</v>
      </c>
      <c r="D612" s="41">
        <v>35</v>
      </c>
      <c r="E612" s="42">
        <v>10772.75</v>
      </c>
      <c r="F612" s="42">
        <v>0</v>
      </c>
      <c r="G612" s="42">
        <v>0</v>
      </c>
      <c r="H612" s="42">
        <v>6207.16</v>
      </c>
      <c r="I612" s="42">
        <v>0</v>
      </c>
      <c r="J612" s="42">
        <v>1414.99</v>
      </c>
      <c r="K612" s="43">
        <v>16979.91</v>
      </c>
      <c r="L612" s="32">
        <v>18394.900000000001</v>
      </c>
      <c r="M612" s="33"/>
      <c r="N612" s="30">
        <v>16979.91</v>
      </c>
      <c r="O612" s="30">
        <v>10772.75</v>
      </c>
      <c r="P612" s="30">
        <v>579</v>
      </c>
      <c r="Q612" s="30">
        <v>20334</v>
      </c>
      <c r="R612" s="7"/>
      <c r="S612" s="7"/>
      <c r="T612" s="7"/>
      <c r="U612" s="7"/>
      <c r="V612" s="7"/>
      <c r="W612" s="7"/>
      <c r="X612" s="7"/>
      <c r="Y612" s="7"/>
      <c r="Z612" s="7"/>
    </row>
    <row r="613" spans="1:26" ht="9" customHeight="1" x14ac:dyDescent="0.2">
      <c r="A613" s="535"/>
      <c r="B613" s="535"/>
      <c r="C613" s="47" t="s">
        <v>37</v>
      </c>
      <c r="D613" s="48"/>
      <c r="E613" s="46">
        <v>20858953</v>
      </c>
      <c r="F613" s="46">
        <v>0</v>
      </c>
      <c r="G613" s="46">
        <v>0</v>
      </c>
      <c r="H613" s="46">
        <v>12018738</v>
      </c>
      <c r="I613" s="46">
        <v>0</v>
      </c>
      <c r="J613" s="49">
        <v>2739803</v>
      </c>
      <c r="K613" s="46">
        <v>32877690</v>
      </c>
      <c r="L613" s="38">
        <v>35617493</v>
      </c>
      <c r="M613" s="39"/>
      <c r="N613" s="36">
        <v>32877690</v>
      </c>
      <c r="O613" s="36">
        <v>20858953</v>
      </c>
      <c r="P613" s="36">
        <v>1121100</v>
      </c>
      <c r="Q613" s="36">
        <v>39372114</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538">
        <v>37987</v>
      </c>
      <c r="B620" s="538">
        <v>38383</v>
      </c>
      <c r="C620" s="28" t="s">
        <v>36</v>
      </c>
      <c r="D620" s="29">
        <v>0</v>
      </c>
      <c r="E620" s="30">
        <v>7097.14</v>
      </c>
      <c r="F620" s="30">
        <v>0</v>
      </c>
      <c r="G620" s="30">
        <v>0</v>
      </c>
      <c r="H620" s="30">
        <v>6207.16</v>
      </c>
      <c r="I620" s="30">
        <v>0</v>
      </c>
      <c r="J620" s="30">
        <v>1108.69</v>
      </c>
      <c r="K620" s="31">
        <v>13304.3</v>
      </c>
      <c r="L620" s="32">
        <v>14412.99</v>
      </c>
      <c r="M620" s="33"/>
      <c r="N620" s="30">
        <v>13304.3</v>
      </c>
      <c r="O620" s="30">
        <v>7097.14</v>
      </c>
      <c r="P620" s="30">
        <v>579</v>
      </c>
      <c r="Q620" s="30">
        <v>15690.48</v>
      </c>
      <c r="R620" s="7"/>
      <c r="S620" s="7"/>
      <c r="T620" s="7"/>
      <c r="U620" s="7"/>
      <c r="V620" s="7"/>
      <c r="W620" s="7"/>
      <c r="X620" s="7"/>
      <c r="Y620" s="7"/>
      <c r="Z620" s="7"/>
    </row>
    <row r="621" spans="1:26" ht="9" customHeight="1" x14ac:dyDescent="0.2">
      <c r="A621" s="534"/>
      <c r="B621" s="534"/>
      <c r="C621" s="34" t="s">
        <v>37</v>
      </c>
      <c r="D621" s="35">
        <v>2</v>
      </c>
      <c r="E621" s="36">
        <v>13741979</v>
      </c>
      <c r="F621" s="36">
        <v>0</v>
      </c>
      <c r="G621" s="36">
        <v>0</v>
      </c>
      <c r="H621" s="36">
        <v>12018738</v>
      </c>
      <c r="I621" s="36">
        <v>0</v>
      </c>
      <c r="J621" s="37">
        <v>2146723</v>
      </c>
      <c r="K621" s="36">
        <v>25760717</v>
      </c>
      <c r="L621" s="38">
        <v>27907440</v>
      </c>
      <c r="M621" s="39"/>
      <c r="N621" s="36">
        <v>25760717</v>
      </c>
      <c r="O621" s="36">
        <v>13741979</v>
      </c>
      <c r="P621" s="36">
        <v>1121100</v>
      </c>
      <c r="Q621" s="36">
        <v>30381006</v>
      </c>
      <c r="R621" s="7"/>
      <c r="S621" s="7"/>
      <c r="T621" s="7"/>
      <c r="U621" s="7"/>
      <c r="V621" s="7"/>
      <c r="W621" s="7"/>
      <c r="X621" s="7"/>
      <c r="Y621" s="7"/>
      <c r="Z621" s="7"/>
    </row>
    <row r="622" spans="1:26" ht="12.75" customHeight="1" x14ac:dyDescent="0.2">
      <c r="A622" s="539">
        <v>37987</v>
      </c>
      <c r="B622" s="539">
        <v>38383</v>
      </c>
      <c r="C622" s="40" t="s">
        <v>36</v>
      </c>
      <c r="D622" s="41">
        <v>3</v>
      </c>
      <c r="E622" s="42">
        <v>7355.57</v>
      </c>
      <c r="F622" s="42">
        <v>0</v>
      </c>
      <c r="G622" s="42">
        <v>0</v>
      </c>
      <c r="H622" s="42">
        <v>6207.16</v>
      </c>
      <c r="I622" s="42">
        <v>0</v>
      </c>
      <c r="J622" s="42">
        <v>1130.23</v>
      </c>
      <c r="K622" s="43">
        <v>13562.73</v>
      </c>
      <c r="L622" s="32">
        <v>14692.96</v>
      </c>
      <c r="M622" s="33"/>
      <c r="N622" s="30">
        <v>13562.73</v>
      </c>
      <c r="O622" s="30">
        <v>7355.57</v>
      </c>
      <c r="P622" s="30">
        <v>579</v>
      </c>
      <c r="Q622" s="30">
        <v>16016.96</v>
      </c>
      <c r="R622" s="7"/>
      <c r="S622" s="7"/>
      <c r="T622" s="7"/>
      <c r="U622" s="7"/>
      <c r="V622" s="7"/>
      <c r="W622" s="7"/>
      <c r="X622" s="7"/>
      <c r="Y622" s="7"/>
      <c r="Z622" s="7"/>
    </row>
    <row r="623" spans="1:26" ht="9" customHeight="1" x14ac:dyDescent="0.2">
      <c r="A623" s="534"/>
      <c r="B623" s="534"/>
      <c r="C623" s="34" t="s">
        <v>37</v>
      </c>
      <c r="D623" s="35">
        <v>8</v>
      </c>
      <c r="E623" s="36">
        <v>14242370</v>
      </c>
      <c r="F623" s="36">
        <v>0</v>
      </c>
      <c r="G623" s="36">
        <v>0</v>
      </c>
      <c r="H623" s="36">
        <v>12018738</v>
      </c>
      <c r="I623" s="36">
        <v>0</v>
      </c>
      <c r="J623" s="37">
        <v>2188430</v>
      </c>
      <c r="K623" s="36">
        <v>26261107</v>
      </c>
      <c r="L623" s="38">
        <v>28449538</v>
      </c>
      <c r="M623" s="39"/>
      <c r="N623" s="36">
        <v>26261107</v>
      </c>
      <c r="O623" s="36">
        <v>14242370</v>
      </c>
      <c r="P623" s="36">
        <v>1121100</v>
      </c>
      <c r="Q623" s="36">
        <v>31013159</v>
      </c>
      <c r="R623" s="7"/>
      <c r="S623" s="7"/>
      <c r="T623" s="7"/>
      <c r="U623" s="7"/>
      <c r="V623" s="7"/>
      <c r="W623" s="7"/>
      <c r="X623" s="7"/>
      <c r="Y623" s="7"/>
      <c r="Z623" s="7"/>
    </row>
    <row r="624" spans="1:26" ht="12.75" customHeight="1" x14ac:dyDescent="0.2">
      <c r="A624" s="534"/>
      <c r="B624" s="534"/>
      <c r="C624" s="40" t="s">
        <v>36</v>
      </c>
      <c r="D624" s="41">
        <v>9</v>
      </c>
      <c r="E624" s="42">
        <v>8292.2199999999993</v>
      </c>
      <c r="F624" s="42">
        <v>0</v>
      </c>
      <c r="G624" s="42">
        <v>0</v>
      </c>
      <c r="H624" s="42">
        <v>6207.16</v>
      </c>
      <c r="I624" s="42">
        <v>0</v>
      </c>
      <c r="J624" s="42">
        <v>1208.28</v>
      </c>
      <c r="K624" s="43">
        <v>14499.38</v>
      </c>
      <c r="L624" s="32">
        <v>15707.66</v>
      </c>
      <c r="M624" s="33"/>
      <c r="N624" s="30">
        <v>14499.38</v>
      </c>
      <c r="O624" s="30">
        <v>8292.2199999999993</v>
      </c>
      <c r="P624" s="30">
        <v>579</v>
      </c>
      <c r="Q624" s="30">
        <v>17200.259999999998</v>
      </c>
      <c r="R624" s="7"/>
      <c r="S624" s="7"/>
      <c r="T624" s="7"/>
      <c r="U624" s="7"/>
      <c r="V624" s="7"/>
      <c r="W624" s="7"/>
      <c r="X624" s="7"/>
      <c r="Y624" s="7"/>
      <c r="Z624" s="7"/>
    </row>
    <row r="625" spans="1:26" ht="9" customHeight="1" x14ac:dyDescent="0.2">
      <c r="A625" s="534"/>
      <c r="B625" s="534"/>
      <c r="C625" s="34" t="s">
        <v>37</v>
      </c>
      <c r="D625" s="35">
        <v>14</v>
      </c>
      <c r="E625" s="36">
        <v>16055977</v>
      </c>
      <c r="F625" s="36">
        <v>0</v>
      </c>
      <c r="G625" s="36">
        <v>0</v>
      </c>
      <c r="H625" s="36">
        <v>12018738</v>
      </c>
      <c r="I625" s="36">
        <v>0</v>
      </c>
      <c r="J625" s="37">
        <v>2339556</v>
      </c>
      <c r="K625" s="36">
        <v>28074715</v>
      </c>
      <c r="L625" s="38">
        <v>30414271</v>
      </c>
      <c r="M625" s="39"/>
      <c r="N625" s="36">
        <v>28074715</v>
      </c>
      <c r="O625" s="36">
        <v>16055977</v>
      </c>
      <c r="P625" s="36">
        <v>1121100</v>
      </c>
      <c r="Q625" s="36">
        <v>33304347</v>
      </c>
      <c r="R625" s="7"/>
      <c r="S625" s="7"/>
      <c r="T625" s="7"/>
      <c r="U625" s="7"/>
      <c r="V625" s="7"/>
      <c r="W625" s="7"/>
      <c r="X625" s="7"/>
      <c r="Y625" s="7"/>
      <c r="Z625" s="7"/>
    </row>
    <row r="626" spans="1:26" ht="12.75" customHeight="1" x14ac:dyDescent="0.2">
      <c r="A626" s="534"/>
      <c r="B626" s="534"/>
      <c r="C626" s="40" t="s">
        <v>36</v>
      </c>
      <c r="D626" s="41">
        <v>15</v>
      </c>
      <c r="E626" s="42">
        <v>9166.43</v>
      </c>
      <c r="F626" s="42">
        <v>0</v>
      </c>
      <c r="G626" s="42">
        <v>0</v>
      </c>
      <c r="H626" s="42">
        <v>6207.16</v>
      </c>
      <c r="I626" s="42">
        <v>0</v>
      </c>
      <c r="J626" s="42">
        <v>1281.1300000000001</v>
      </c>
      <c r="K626" s="43">
        <v>15373.59</v>
      </c>
      <c r="L626" s="32">
        <v>16654.72</v>
      </c>
      <c r="M626" s="33"/>
      <c r="N626" s="30">
        <v>15373.59</v>
      </c>
      <c r="O626" s="30">
        <v>9166.43</v>
      </c>
      <c r="P626" s="30">
        <v>579</v>
      </c>
      <c r="Q626" s="30">
        <v>18304.68</v>
      </c>
      <c r="R626" s="7"/>
      <c r="S626" s="7"/>
      <c r="T626" s="7"/>
      <c r="U626" s="7"/>
      <c r="V626" s="7"/>
      <c r="W626" s="7"/>
      <c r="X626" s="7"/>
      <c r="Y626" s="7"/>
      <c r="Z626" s="7"/>
    </row>
    <row r="627" spans="1:26" ht="9" customHeight="1" x14ac:dyDescent="0.2">
      <c r="A627" s="534"/>
      <c r="B627" s="534"/>
      <c r="C627" s="34" t="s">
        <v>37</v>
      </c>
      <c r="D627" s="35">
        <v>20</v>
      </c>
      <c r="E627" s="36">
        <v>17748683</v>
      </c>
      <c r="F627" s="36">
        <v>0</v>
      </c>
      <c r="G627" s="36">
        <v>0</v>
      </c>
      <c r="H627" s="36">
        <v>12018738</v>
      </c>
      <c r="I627" s="36">
        <v>0</v>
      </c>
      <c r="J627" s="37">
        <v>2480614</v>
      </c>
      <c r="K627" s="36">
        <v>29767421</v>
      </c>
      <c r="L627" s="38">
        <v>32248035</v>
      </c>
      <c r="M627" s="39"/>
      <c r="N627" s="36">
        <v>29767421</v>
      </c>
      <c r="O627" s="36">
        <v>17748683</v>
      </c>
      <c r="P627" s="36">
        <v>1121100</v>
      </c>
      <c r="Q627" s="36">
        <v>35442803</v>
      </c>
      <c r="R627" s="7"/>
      <c r="S627" s="7"/>
      <c r="T627" s="7"/>
      <c r="U627" s="7"/>
      <c r="V627" s="7"/>
      <c r="W627" s="7"/>
      <c r="X627" s="7"/>
      <c r="Y627" s="7"/>
      <c r="Z627" s="7"/>
    </row>
    <row r="628" spans="1:26" ht="12.75" customHeight="1" x14ac:dyDescent="0.2">
      <c r="A628" s="534"/>
      <c r="B628" s="534"/>
      <c r="C628" s="40" t="s">
        <v>36</v>
      </c>
      <c r="D628" s="41">
        <v>21</v>
      </c>
      <c r="E628" s="42">
        <v>10027.049999999999</v>
      </c>
      <c r="F628" s="42">
        <v>0</v>
      </c>
      <c r="G628" s="42">
        <v>0</v>
      </c>
      <c r="H628" s="42">
        <v>6207.16</v>
      </c>
      <c r="I628" s="42">
        <v>0</v>
      </c>
      <c r="J628" s="42">
        <v>1352.85</v>
      </c>
      <c r="K628" s="43">
        <v>16234.21</v>
      </c>
      <c r="L628" s="32">
        <v>17587.060000000001</v>
      </c>
      <c r="M628" s="33"/>
      <c r="N628" s="30">
        <v>16234.21</v>
      </c>
      <c r="O628" s="30">
        <v>10027.049999999999</v>
      </c>
      <c r="P628" s="30">
        <v>579</v>
      </c>
      <c r="Q628" s="30">
        <v>19391.93</v>
      </c>
      <c r="R628" s="7"/>
      <c r="S628" s="7"/>
      <c r="T628" s="7"/>
      <c r="U628" s="7"/>
      <c r="V628" s="7"/>
      <c r="W628" s="7"/>
      <c r="X628" s="7"/>
      <c r="Y628" s="7"/>
      <c r="Z628" s="7"/>
    </row>
    <row r="629" spans="1:26" ht="9" customHeight="1" x14ac:dyDescent="0.2">
      <c r="A629" s="534"/>
      <c r="B629" s="534"/>
      <c r="C629" s="34" t="s">
        <v>37</v>
      </c>
      <c r="D629" s="35">
        <v>27</v>
      </c>
      <c r="E629" s="36">
        <v>19415076</v>
      </c>
      <c r="F629" s="36">
        <v>0</v>
      </c>
      <c r="G629" s="36">
        <v>0</v>
      </c>
      <c r="H629" s="36">
        <v>12018738</v>
      </c>
      <c r="I629" s="36">
        <v>0</v>
      </c>
      <c r="J629" s="37">
        <v>2619483</v>
      </c>
      <c r="K629" s="36">
        <v>31433814</v>
      </c>
      <c r="L629" s="38">
        <v>34053297</v>
      </c>
      <c r="M629" s="39"/>
      <c r="N629" s="36">
        <v>31433814</v>
      </c>
      <c r="O629" s="36">
        <v>19415076</v>
      </c>
      <c r="P629" s="36">
        <v>1121100</v>
      </c>
      <c r="Q629" s="36">
        <v>37548012</v>
      </c>
      <c r="R629" s="7"/>
      <c r="S629" s="7"/>
      <c r="T629" s="7"/>
      <c r="U629" s="7"/>
      <c r="V629" s="7"/>
      <c r="W629" s="7"/>
      <c r="X629" s="7"/>
      <c r="Y629" s="7"/>
      <c r="Z629" s="7"/>
    </row>
    <row r="630" spans="1:26" ht="12.75" customHeight="1" x14ac:dyDescent="0.2">
      <c r="A630" s="534"/>
      <c r="B630" s="534"/>
      <c r="C630" s="40" t="s">
        <v>36</v>
      </c>
      <c r="D630" s="41">
        <v>28</v>
      </c>
      <c r="E630" s="42">
        <v>10676.22</v>
      </c>
      <c r="F630" s="42">
        <v>0</v>
      </c>
      <c r="G630" s="42">
        <v>0</v>
      </c>
      <c r="H630" s="42">
        <v>6207.16</v>
      </c>
      <c r="I630" s="42">
        <v>0</v>
      </c>
      <c r="J630" s="42">
        <v>1406.95</v>
      </c>
      <c r="K630" s="43">
        <v>16883.38</v>
      </c>
      <c r="L630" s="32">
        <v>18290.330000000002</v>
      </c>
      <c r="M630" s="33"/>
      <c r="N630" s="30">
        <v>16883.38</v>
      </c>
      <c r="O630" s="30">
        <v>10676.22</v>
      </c>
      <c r="P630" s="30">
        <v>579</v>
      </c>
      <c r="Q630" s="30">
        <v>20212.05</v>
      </c>
      <c r="R630" s="7"/>
      <c r="S630" s="7"/>
      <c r="T630" s="7"/>
      <c r="U630" s="7"/>
      <c r="V630" s="7"/>
      <c r="W630" s="7"/>
      <c r="X630" s="7"/>
      <c r="Y630" s="7"/>
      <c r="Z630" s="7"/>
    </row>
    <row r="631" spans="1:26" ht="9" customHeight="1" x14ac:dyDescent="0.2">
      <c r="A631" s="534"/>
      <c r="B631" s="534"/>
      <c r="C631" s="34" t="s">
        <v>37</v>
      </c>
      <c r="D631" s="35">
        <v>34</v>
      </c>
      <c r="E631" s="36">
        <v>20672044</v>
      </c>
      <c r="F631" s="36">
        <v>0</v>
      </c>
      <c r="G631" s="36">
        <v>0</v>
      </c>
      <c r="H631" s="36">
        <v>12018738</v>
      </c>
      <c r="I631" s="36">
        <v>0</v>
      </c>
      <c r="J631" s="37">
        <v>2724235</v>
      </c>
      <c r="K631" s="36">
        <v>32690782</v>
      </c>
      <c r="L631" s="38">
        <v>35415017</v>
      </c>
      <c r="M631" s="39"/>
      <c r="N631" s="36">
        <v>32690782</v>
      </c>
      <c r="O631" s="36">
        <v>20672044</v>
      </c>
      <c r="P631" s="36">
        <v>1121100</v>
      </c>
      <c r="Q631" s="36">
        <v>39135986</v>
      </c>
      <c r="R631" s="7"/>
      <c r="S631" s="7"/>
      <c r="T631" s="7"/>
      <c r="U631" s="7"/>
      <c r="V631" s="7"/>
      <c r="W631" s="7"/>
      <c r="X631" s="7"/>
      <c r="Y631" s="7"/>
      <c r="Z631" s="7"/>
    </row>
    <row r="632" spans="1:26" ht="12.75" customHeight="1" x14ac:dyDescent="0.2">
      <c r="A632" s="534"/>
      <c r="B632" s="534"/>
      <c r="C632" s="40" t="s">
        <v>36</v>
      </c>
      <c r="D632" s="41">
        <v>35</v>
      </c>
      <c r="E632" s="42">
        <v>11131.19</v>
      </c>
      <c r="F632" s="42">
        <v>0</v>
      </c>
      <c r="G632" s="42">
        <v>0</v>
      </c>
      <c r="H632" s="42">
        <v>6207.16</v>
      </c>
      <c r="I632" s="42">
        <v>0</v>
      </c>
      <c r="J632" s="42">
        <v>1444.86</v>
      </c>
      <c r="K632" s="43">
        <v>17338.349999999999</v>
      </c>
      <c r="L632" s="32">
        <v>18783.21</v>
      </c>
      <c r="M632" s="33"/>
      <c r="N632" s="30">
        <v>17338.349999999999</v>
      </c>
      <c r="O632" s="30">
        <v>11131.19</v>
      </c>
      <c r="P632" s="30">
        <v>579</v>
      </c>
      <c r="Q632" s="30">
        <v>20786.82</v>
      </c>
      <c r="R632" s="7"/>
      <c r="S632" s="7"/>
      <c r="T632" s="7"/>
      <c r="U632" s="7"/>
      <c r="V632" s="7"/>
      <c r="W632" s="7"/>
      <c r="X632" s="7"/>
      <c r="Y632" s="7"/>
      <c r="Z632" s="7"/>
    </row>
    <row r="633" spans="1:26" ht="9" customHeight="1" x14ac:dyDescent="0.2">
      <c r="A633" s="535"/>
      <c r="B633" s="535"/>
      <c r="C633" s="47" t="s">
        <v>37</v>
      </c>
      <c r="D633" s="48"/>
      <c r="E633" s="46">
        <v>21552989</v>
      </c>
      <c r="F633" s="46">
        <v>0</v>
      </c>
      <c r="G633" s="46">
        <v>0</v>
      </c>
      <c r="H633" s="46">
        <v>12018738</v>
      </c>
      <c r="I633" s="46">
        <v>0</v>
      </c>
      <c r="J633" s="49">
        <v>2797639</v>
      </c>
      <c r="K633" s="46">
        <v>33571727</v>
      </c>
      <c r="L633" s="38">
        <v>36369366</v>
      </c>
      <c r="M633" s="39"/>
      <c r="N633" s="36">
        <v>33571727</v>
      </c>
      <c r="O633" s="36">
        <v>21552989</v>
      </c>
      <c r="P633" s="36">
        <v>1121100</v>
      </c>
      <c r="Q633" s="36">
        <v>40248896</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538">
        <v>38384</v>
      </c>
      <c r="B640" s="538">
        <v>38717</v>
      </c>
      <c r="C640" s="28" t="s">
        <v>36</v>
      </c>
      <c r="D640" s="29">
        <v>0</v>
      </c>
      <c r="E640" s="30">
        <v>7452.7</v>
      </c>
      <c r="F640" s="30">
        <v>0</v>
      </c>
      <c r="G640" s="30">
        <v>0</v>
      </c>
      <c r="H640" s="30">
        <v>6207.16</v>
      </c>
      <c r="I640" s="30">
        <v>0</v>
      </c>
      <c r="J640" s="30">
        <v>1138.32</v>
      </c>
      <c r="K640" s="31">
        <v>13659.86</v>
      </c>
      <c r="L640" s="32">
        <v>14798.18</v>
      </c>
      <c r="M640" s="33"/>
      <c r="N640" s="30">
        <v>13659.86</v>
      </c>
      <c r="O640" s="30">
        <v>7452.7</v>
      </c>
      <c r="P640" s="30">
        <v>579</v>
      </c>
      <c r="Q640" s="30">
        <v>16139.67</v>
      </c>
      <c r="R640" s="7"/>
      <c r="S640" s="7"/>
      <c r="T640" s="7"/>
      <c r="U640" s="7"/>
      <c r="V640" s="7"/>
      <c r="W640" s="7"/>
      <c r="X640" s="7"/>
      <c r="Y640" s="7"/>
      <c r="Z640" s="7"/>
    </row>
    <row r="641" spans="1:26" ht="9" customHeight="1" x14ac:dyDescent="0.2">
      <c r="A641" s="534"/>
      <c r="B641" s="534"/>
      <c r="C641" s="34" t="s">
        <v>37</v>
      </c>
      <c r="D641" s="35">
        <v>2</v>
      </c>
      <c r="E641" s="36">
        <v>14430439</v>
      </c>
      <c r="F641" s="36">
        <v>0</v>
      </c>
      <c r="G641" s="36">
        <v>0</v>
      </c>
      <c r="H641" s="36">
        <v>12018738</v>
      </c>
      <c r="I641" s="36">
        <v>0</v>
      </c>
      <c r="J641" s="37">
        <v>2204095</v>
      </c>
      <c r="K641" s="36">
        <v>26449177</v>
      </c>
      <c r="L641" s="38">
        <v>28653272</v>
      </c>
      <c r="M641" s="39"/>
      <c r="N641" s="36">
        <v>26449177</v>
      </c>
      <c r="O641" s="36">
        <v>14430439</v>
      </c>
      <c r="P641" s="36">
        <v>1121100</v>
      </c>
      <c r="Q641" s="36">
        <v>31250759</v>
      </c>
      <c r="R641" s="7"/>
      <c r="S641" s="7"/>
      <c r="T641" s="7"/>
      <c r="U641" s="7"/>
      <c r="V641" s="7"/>
      <c r="W641" s="7"/>
      <c r="X641" s="7"/>
      <c r="Y641" s="7"/>
      <c r="Z641" s="7"/>
    </row>
    <row r="642" spans="1:26" ht="12.75" customHeight="1" x14ac:dyDescent="0.2">
      <c r="A642" s="539">
        <v>38384</v>
      </c>
      <c r="B642" s="539">
        <v>38717</v>
      </c>
      <c r="C642" s="40" t="s">
        <v>36</v>
      </c>
      <c r="D642" s="41">
        <v>3</v>
      </c>
      <c r="E642" s="42">
        <v>7718.09</v>
      </c>
      <c r="F642" s="42">
        <v>0</v>
      </c>
      <c r="G642" s="42">
        <v>0</v>
      </c>
      <c r="H642" s="42">
        <v>6207.16</v>
      </c>
      <c r="I642" s="42">
        <v>0</v>
      </c>
      <c r="J642" s="42">
        <v>1160.44</v>
      </c>
      <c r="K642" s="43">
        <v>13925.25</v>
      </c>
      <c r="L642" s="32">
        <v>15085.69</v>
      </c>
      <c r="M642" s="33"/>
      <c r="N642" s="30">
        <v>13925.25</v>
      </c>
      <c r="O642" s="30">
        <v>7718.09</v>
      </c>
      <c r="P642" s="30">
        <v>579</v>
      </c>
      <c r="Q642" s="30">
        <v>16474.95</v>
      </c>
      <c r="R642" s="7"/>
      <c r="S642" s="7"/>
      <c r="T642" s="7"/>
      <c r="U642" s="7"/>
      <c r="V642" s="7"/>
      <c r="W642" s="7"/>
      <c r="X642" s="7"/>
      <c r="Y642" s="7"/>
      <c r="Z642" s="7"/>
    </row>
    <row r="643" spans="1:26" ht="9" customHeight="1" x14ac:dyDescent="0.2">
      <c r="A643" s="534"/>
      <c r="B643" s="534"/>
      <c r="C643" s="34" t="s">
        <v>37</v>
      </c>
      <c r="D643" s="35">
        <v>8</v>
      </c>
      <c r="E643" s="36">
        <v>14944306</v>
      </c>
      <c r="F643" s="36">
        <v>0</v>
      </c>
      <c r="G643" s="36">
        <v>0</v>
      </c>
      <c r="H643" s="36">
        <v>12018738</v>
      </c>
      <c r="I643" s="36">
        <v>0</v>
      </c>
      <c r="J643" s="37">
        <v>2246925</v>
      </c>
      <c r="K643" s="36">
        <v>26963044</v>
      </c>
      <c r="L643" s="38">
        <v>29209969</v>
      </c>
      <c r="M643" s="39"/>
      <c r="N643" s="36">
        <v>26963044</v>
      </c>
      <c r="O643" s="36">
        <v>14944306</v>
      </c>
      <c r="P643" s="36">
        <v>1121100</v>
      </c>
      <c r="Q643" s="36">
        <v>31899951</v>
      </c>
      <c r="R643" s="7"/>
      <c r="S643" s="7"/>
      <c r="T643" s="7"/>
      <c r="U643" s="7"/>
      <c r="V643" s="7"/>
      <c r="W643" s="7"/>
      <c r="X643" s="7"/>
      <c r="Y643" s="7"/>
      <c r="Z643" s="7"/>
    </row>
    <row r="644" spans="1:26" ht="12.75" customHeight="1" x14ac:dyDescent="0.2">
      <c r="A644" s="534"/>
      <c r="B644" s="534"/>
      <c r="C644" s="40" t="s">
        <v>36</v>
      </c>
      <c r="D644" s="41">
        <v>9</v>
      </c>
      <c r="E644" s="42">
        <v>8679.7000000000007</v>
      </c>
      <c r="F644" s="42">
        <v>0</v>
      </c>
      <c r="G644" s="42">
        <v>0</v>
      </c>
      <c r="H644" s="42">
        <v>6207.16</v>
      </c>
      <c r="I644" s="42">
        <v>0</v>
      </c>
      <c r="J644" s="42">
        <v>1240.57</v>
      </c>
      <c r="K644" s="43">
        <v>14886.86</v>
      </c>
      <c r="L644" s="32">
        <v>16127.43</v>
      </c>
      <c r="M644" s="33"/>
      <c r="N644" s="30">
        <v>14886.86</v>
      </c>
      <c r="O644" s="30">
        <v>8679.7000000000007</v>
      </c>
      <c r="P644" s="30">
        <v>579</v>
      </c>
      <c r="Q644" s="30">
        <v>17689.78</v>
      </c>
      <c r="R644" s="7"/>
      <c r="S644" s="7"/>
      <c r="T644" s="7"/>
      <c r="U644" s="7"/>
      <c r="V644" s="7"/>
      <c r="W644" s="7"/>
      <c r="X644" s="7"/>
      <c r="Y644" s="7"/>
      <c r="Z644" s="7"/>
    </row>
    <row r="645" spans="1:26" ht="9" customHeight="1" x14ac:dyDescent="0.2">
      <c r="A645" s="534"/>
      <c r="B645" s="534"/>
      <c r="C645" s="34" t="s">
        <v>37</v>
      </c>
      <c r="D645" s="35">
        <v>14</v>
      </c>
      <c r="E645" s="36">
        <v>16806243</v>
      </c>
      <c r="F645" s="36">
        <v>0</v>
      </c>
      <c r="G645" s="36">
        <v>0</v>
      </c>
      <c r="H645" s="36">
        <v>12018738</v>
      </c>
      <c r="I645" s="36">
        <v>0</v>
      </c>
      <c r="J645" s="37">
        <v>2402078</v>
      </c>
      <c r="K645" s="36">
        <v>28824980</v>
      </c>
      <c r="L645" s="38">
        <v>31227059</v>
      </c>
      <c r="M645" s="39"/>
      <c r="N645" s="36">
        <v>28824980</v>
      </c>
      <c r="O645" s="36">
        <v>16806243</v>
      </c>
      <c r="P645" s="36">
        <v>1121100</v>
      </c>
      <c r="Q645" s="36">
        <v>34252190</v>
      </c>
      <c r="R645" s="7"/>
      <c r="S645" s="7"/>
      <c r="T645" s="7"/>
      <c r="U645" s="7"/>
      <c r="V645" s="7"/>
      <c r="W645" s="7"/>
      <c r="X645" s="7"/>
      <c r="Y645" s="7"/>
      <c r="Z645" s="7"/>
    </row>
    <row r="646" spans="1:26" ht="12.75" customHeight="1" x14ac:dyDescent="0.2">
      <c r="A646" s="534"/>
      <c r="B646" s="534"/>
      <c r="C646" s="40" t="s">
        <v>36</v>
      </c>
      <c r="D646" s="41">
        <v>15</v>
      </c>
      <c r="E646" s="42">
        <v>9577.31</v>
      </c>
      <c r="F646" s="42">
        <v>0</v>
      </c>
      <c r="G646" s="42">
        <v>0</v>
      </c>
      <c r="H646" s="42">
        <v>6207.16</v>
      </c>
      <c r="I646" s="42">
        <v>0</v>
      </c>
      <c r="J646" s="42">
        <v>1315.37</v>
      </c>
      <c r="K646" s="43">
        <v>15784.47</v>
      </c>
      <c r="L646" s="32">
        <v>17099.84</v>
      </c>
      <c r="M646" s="33"/>
      <c r="N646" s="30">
        <v>15784.47</v>
      </c>
      <c r="O646" s="30">
        <v>9577.31</v>
      </c>
      <c r="P646" s="30">
        <v>579</v>
      </c>
      <c r="Q646" s="30">
        <v>18823.759999999998</v>
      </c>
      <c r="R646" s="7"/>
      <c r="S646" s="7"/>
      <c r="T646" s="7"/>
      <c r="U646" s="7"/>
      <c r="V646" s="7"/>
      <c r="W646" s="7"/>
      <c r="X646" s="7"/>
      <c r="Y646" s="7"/>
      <c r="Z646" s="7"/>
    </row>
    <row r="647" spans="1:26" ht="9" customHeight="1" x14ac:dyDescent="0.2">
      <c r="A647" s="534"/>
      <c r="B647" s="534"/>
      <c r="C647" s="34" t="s">
        <v>37</v>
      </c>
      <c r="D647" s="35">
        <v>20</v>
      </c>
      <c r="E647" s="36">
        <v>18544258</v>
      </c>
      <c r="F647" s="36">
        <v>0</v>
      </c>
      <c r="G647" s="36">
        <v>0</v>
      </c>
      <c r="H647" s="36">
        <v>12018738</v>
      </c>
      <c r="I647" s="36">
        <v>0</v>
      </c>
      <c r="J647" s="37">
        <v>2546911</v>
      </c>
      <c r="K647" s="36">
        <v>30562996</v>
      </c>
      <c r="L647" s="38">
        <v>33109907</v>
      </c>
      <c r="M647" s="39"/>
      <c r="N647" s="36">
        <v>30562996</v>
      </c>
      <c r="O647" s="36">
        <v>18544258</v>
      </c>
      <c r="P647" s="36">
        <v>1121100</v>
      </c>
      <c r="Q647" s="36">
        <v>36447882</v>
      </c>
      <c r="R647" s="7"/>
      <c r="S647" s="7"/>
      <c r="T647" s="7"/>
      <c r="U647" s="7"/>
      <c r="V647" s="7"/>
      <c r="W647" s="7"/>
      <c r="X647" s="7"/>
      <c r="Y647" s="7"/>
      <c r="Z647" s="7"/>
    </row>
    <row r="648" spans="1:26" ht="12.75" customHeight="1" x14ac:dyDescent="0.2">
      <c r="A648" s="534"/>
      <c r="B648" s="534"/>
      <c r="C648" s="40" t="s">
        <v>36</v>
      </c>
      <c r="D648" s="41">
        <v>21</v>
      </c>
      <c r="E648" s="42">
        <v>10460.85</v>
      </c>
      <c r="F648" s="42">
        <v>0</v>
      </c>
      <c r="G648" s="42">
        <v>0</v>
      </c>
      <c r="H648" s="42">
        <v>6207.16</v>
      </c>
      <c r="I648" s="42">
        <v>0</v>
      </c>
      <c r="J648" s="42">
        <v>1389</v>
      </c>
      <c r="K648" s="43">
        <v>16668.009999999998</v>
      </c>
      <c r="L648" s="32">
        <v>18057.009999999998</v>
      </c>
      <c r="M648" s="33"/>
      <c r="N648" s="30">
        <v>16668.009999999998</v>
      </c>
      <c r="O648" s="30">
        <v>10460.85</v>
      </c>
      <c r="P648" s="30">
        <v>579</v>
      </c>
      <c r="Q648" s="30">
        <v>19939.96</v>
      </c>
      <c r="R648" s="7"/>
      <c r="S648" s="7"/>
      <c r="T648" s="7"/>
      <c r="U648" s="7"/>
      <c r="V648" s="7"/>
      <c r="W648" s="7"/>
      <c r="X648" s="7"/>
      <c r="Y648" s="7"/>
      <c r="Z648" s="7"/>
    </row>
    <row r="649" spans="1:26" ht="9" customHeight="1" x14ac:dyDescent="0.2">
      <c r="A649" s="534"/>
      <c r="B649" s="534"/>
      <c r="C649" s="34" t="s">
        <v>37</v>
      </c>
      <c r="D649" s="35">
        <v>27</v>
      </c>
      <c r="E649" s="36">
        <v>20255030</v>
      </c>
      <c r="F649" s="36">
        <v>0</v>
      </c>
      <c r="G649" s="36">
        <v>0</v>
      </c>
      <c r="H649" s="36">
        <v>12018738</v>
      </c>
      <c r="I649" s="36">
        <v>0</v>
      </c>
      <c r="J649" s="37">
        <v>2689479</v>
      </c>
      <c r="K649" s="36">
        <v>32273768</v>
      </c>
      <c r="L649" s="38">
        <v>34963247</v>
      </c>
      <c r="M649" s="39"/>
      <c r="N649" s="36">
        <v>32273768</v>
      </c>
      <c r="O649" s="36">
        <v>20255030</v>
      </c>
      <c r="P649" s="36">
        <v>1121100</v>
      </c>
      <c r="Q649" s="36">
        <v>38609146</v>
      </c>
      <c r="R649" s="7"/>
      <c r="S649" s="7"/>
      <c r="T649" s="7"/>
      <c r="U649" s="7"/>
      <c r="V649" s="7"/>
      <c r="W649" s="7"/>
      <c r="X649" s="7"/>
      <c r="Y649" s="7"/>
      <c r="Z649" s="7"/>
    </row>
    <row r="650" spans="1:26" ht="12.75" customHeight="1" x14ac:dyDescent="0.2">
      <c r="A650" s="534"/>
      <c r="B650" s="534"/>
      <c r="C650" s="40" t="s">
        <v>36</v>
      </c>
      <c r="D650" s="41">
        <v>28</v>
      </c>
      <c r="E650" s="42">
        <v>11127.42</v>
      </c>
      <c r="F650" s="42">
        <v>0</v>
      </c>
      <c r="G650" s="42">
        <v>0</v>
      </c>
      <c r="H650" s="42">
        <v>6207.16</v>
      </c>
      <c r="I650" s="42">
        <v>0</v>
      </c>
      <c r="J650" s="42">
        <v>1444.55</v>
      </c>
      <c r="K650" s="43">
        <v>17334.580000000002</v>
      </c>
      <c r="L650" s="32">
        <v>18779.13</v>
      </c>
      <c r="M650" s="33"/>
      <c r="N650" s="30">
        <v>17334.580000000002</v>
      </c>
      <c r="O650" s="30">
        <v>11127.42</v>
      </c>
      <c r="P650" s="30">
        <v>579</v>
      </c>
      <c r="Q650" s="30">
        <v>20782.07</v>
      </c>
      <c r="R650" s="7"/>
      <c r="S650" s="7"/>
      <c r="T650" s="7"/>
      <c r="U650" s="7"/>
      <c r="V650" s="7"/>
      <c r="W650" s="7"/>
      <c r="X650" s="7"/>
      <c r="Y650" s="7"/>
      <c r="Z650" s="7"/>
    </row>
    <row r="651" spans="1:26" ht="9" customHeight="1" x14ac:dyDescent="0.2">
      <c r="A651" s="534"/>
      <c r="B651" s="534"/>
      <c r="C651" s="34" t="s">
        <v>37</v>
      </c>
      <c r="D651" s="35">
        <v>34</v>
      </c>
      <c r="E651" s="36">
        <v>21545690</v>
      </c>
      <c r="F651" s="36">
        <v>0</v>
      </c>
      <c r="G651" s="36">
        <v>0</v>
      </c>
      <c r="H651" s="36">
        <v>12018738</v>
      </c>
      <c r="I651" s="36">
        <v>0</v>
      </c>
      <c r="J651" s="37">
        <v>2797039</v>
      </c>
      <c r="K651" s="36">
        <v>33564427</v>
      </c>
      <c r="L651" s="38">
        <v>36361466</v>
      </c>
      <c r="M651" s="39"/>
      <c r="N651" s="36">
        <v>33564427</v>
      </c>
      <c r="O651" s="36">
        <v>21545690</v>
      </c>
      <c r="P651" s="36">
        <v>1121100</v>
      </c>
      <c r="Q651" s="36">
        <v>40239699</v>
      </c>
      <c r="R651" s="7"/>
      <c r="S651" s="7"/>
      <c r="T651" s="7"/>
      <c r="U651" s="7"/>
      <c r="V651" s="7"/>
      <c r="W651" s="7"/>
      <c r="X651" s="7"/>
      <c r="Y651" s="7"/>
      <c r="Z651" s="7"/>
    </row>
    <row r="652" spans="1:26" ht="12.75" customHeight="1" x14ac:dyDescent="0.2">
      <c r="A652" s="534"/>
      <c r="B652" s="534"/>
      <c r="C652" s="40" t="s">
        <v>36</v>
      </c>
      <c r="D652" s="41">
        <v>35</v>
      </c>
      <c r="E652" s="42">
        <v>11594.51</v>
      </c>
      <c r="F652" s="42">
        <v>0</v>
      </c>
      <c r="G652" s="42">
        <v>0</v>
      </c>
      <c r="H652" s="42">
        <v>6207.16</v>
      </c>
      <c r="I652" s="42">
        <v>0</v>
      </c>
      <c r="J652" s="42">
        <v>1483.47</v>
      </c>
      <c r="K652" s="43">
        <v>17801.669999999998</v>
      </c>
      <c r="L652" s="32">
        <v>19285.14</v>
      </c>
      <c r="M652" s="33"/>
      <c r="N652" s="30">
        <v>17801.669999999998</v>
      </c>
      <c r="O652" s="30">
        <v>11594.51</v>
      </c>
      <c r="P652" s="30">
        <v>579</v>
      </c>
      <c r="Q652" s="30">
        <v>21372.15</v>
      </c>
      <c r="R652" s="7"/>
      <c r="S652" s="7"/>
      <c r="T652" s="7"/>
      <c r="U652" s="7"/>
      <c r="V652" s="7"/>
      <c r="W652" s="7"/>
      <c r="X652" s="7"/>
      <c r="Y652" s="7"/>
      <c r="Z652" s="7"/>
    </row>
    <row r="653" spans="1:26" ht="9" customHeight="1" x14ac:dyDescent="0.2">
      <c r="A653" s="535"/>
      <c r="B653" s="535"/>
      <c r="C653" s="47" t="s">
        <v>37</v>
      </c>
      <c r="D653" s="48"/>
      <c r="E653" s="46">
        <v>22450102</v>
      </c>
      <c r="F653" s="46">
        <v>0</v>
      </c>
      <c r="G653" s="46">
        <v>0</v>
      </c>
      <c r="H653" s="46">
        <v>12018738</v>
      </c>
      <c r="I653" s="46">
        <v>0</v>
      </c>
      <c r="J653" s="49">
        <v>2872398</v>
      </c>
      <c r="K653" s="46">
        <v>34468840</v>
      </c>
      <c r="L653" s="38">
        <v>37341238</v>
      </c>
      <c r="M653" s="39"/>
      <c r="N653" s="36">
        <v>34468840</v>
      </c>
      <c r="O653" s="36">
        <v>22450102</v>
      </c>
      <c r="P653" s="36">
        <v>1121100</v>
      </c>
      <c r="Q653" s="36">
        <v>41382253</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538">
        <v>38718</v>
      </c>
      <c r="B660" s="538">
        <v>39082</v>
      </c>
      <c r="C660" s="28" t="s">
        <v>36</v>
      </c>
      <c r="D660" s="29">
        <v>0</v>
      </c>
      <c r="E660" s="30">
        <v>7515.34</v>
      </c>
      <c r="F660" s="30">
        <v>0</v>
      </c>
      <c r="G660" s="30">
        <v>0</v>
      </c>
      <c r="H660" s="30">
        <v>6207.16</v>
      </c>
      <c r="I660" s="30">
        <v>0</v>
      </c>
      <c r="J660" s="30">
        <v>1143.54</v>
      </c>
      <c r="K660" s="31">
        <v>13722.5</v>
      </c>
      <c r="L660" s="32">
        <v>14866.04</v>
      </c>
      <c r="M660" s="33"/>
      <c r="N660" s="30">
        <v>13722.5</v>
      </c>
      <c r="O660" s="30">
        <v>7515.34</v>
      </c>
      <c r="P660" s="30">
        <v>702</v>
      </c>
      <c r="Q660" s="30">
        <v>16218.8</v>
      </c>
      <c r="R660" s="7"/>
      <c r="S660" s="7"/>
      <c r="T660" s="7"/>
      <c r="U660" s="7"/>
      <c r="V660" s="7"/>
      <c r="W660" s="7"/>
      <c r="X660" s="7"/>
      <c r="Y660" s="7"/>
      <c r="Z660" s="7"/>
    </row>
    <row r="661" spans="1:26" ht="9" customHeight="1" x14ac:dyDescent="0.2">
      <c r="A661" s="534"/>
      <c r="B661" s="534"/>
      <c r="C661" s="34" t="s">
        <v>37</v>
      </c>
      <c r="D661" s="35">
        <v>2</v>
      </c>
      <c r="E661" s="36">
        <v>14551727</v>
      </c>
      <c r="F661" s="36">
        <v>0</v>
      </c>
      <c r="G661" s="36">
        <v>0</v>
      </c>
      <c r="H661" s="36">
        <v>12018738</v>
      </c>
      <c r="I661" s="36">
        <v>0</v>
      </c>
      <c r="J661" s="37">
        <v>2214202</v>
      </c>
      <c r="K661" s="36">
        <v>26570465</v>
      </c>
      <c r="L661" s="50">
        <v>28784667</v>
      </c>
      <c r="M661" s="39"/>
      <c r="N661" s="36">
        <v>26570465</v>
      </c>
      <c r="O661" s="36">
        <v>14551727</v>
      </c>
      <c r="P661" s="36">
        <v>1359262</v>
      </c>
      <c r="Q661" s="36">
        <v>31403976</v>
      </c>
      <c r="R661" s="7"/>
      <c r="S661" s="7"/>
      <c r="T661" s="7"/>
      <c r="U661" s="7"/>
      <c r="V661" s="7"/>
      <c r="W661" s="7"/>
      <c r="X661" s="7"/>
      <c r="Y661" s="7"/>
      <c r="Z661" s="7"/>
    </row>
    <row r="662" spans="1:26" ht="12.75" customHeight="1" x14ac:dyDescent="0.2">
      <c r="A662" s="539">
        <v>38718</v>
      </c>
      <c r="B662" s="539">
        <v>39082</v>
      </c>
      <c r="C662" s="40" t="s">
        <v>36</v>
      </c>
      <c r="D662" s="41">
        <v>3</v>
      </c>
      <c r="E662" s="30">
        <v>7781.93</v>
      </c>
      <c r="F662" s="30">
        <v>0</v>
      </c>
      <c r="G662" s="30">
        <v>0</v>
      </c>
      <c r="H662" s="30">
        <v>6207.16</v>
      </c>
      <c r="I662" s="30">
        <v>0</v>
      </c>
      <c r="J662" s="42">
        <v>1165.76</v>
      </c>
      <c r="K662" s="43">
        <v>13989.09</v>
      </c>
      <c r="L662" s="51">
        <v>15154.85</v>
      </c>
      <c r="M662" s="33"/>
      <c r="N662" s="30">
        <v>13989.09</v>
      </c>
      <c r="O662" s="30">
        <v>7781.93</v>
      </c>
      <c r="P662" s="30">
        <v>702</v>
      </c>
      <c r="Q662" s="30">
        <v>16555.599999999999</v>
      </c>
      <c r="R662" s="7"/>
      <c r="S662" s="7"/>
      <c r="T662" s="7"/>
      <c r="U662" s="7"/>
      <c r="V662" s="7"/>
      <c r="W662" s="7"/>
      <c r="X662" s="7"/>
      <c r="Y662" s="7"/>
      <c r="Z662" s="7"/>
    </row>
    <row r="663" spans="1:26" ht="9" customHeight="1" x14ac:dyDescent="0.2">
      <c r="A663" s="534"/>
      <c r="B663" s="534"/>
      <c r="C663" s="34" t="s">
        <v>37</v>
      </c>
      <c r="D663" s="35">
        <v>8</v>
      </c>
      <c r="E663" s="36">
        <v>15067918</v>
      </c>
      <c r="F663" s="36">
        <v>0</v>
      </c>
      <c r="G663" s="36">
        <v>0</v>
      </c>
      <c r="H663" s="36">
        <v>12018738</v>
      </c>
      <c r="I663" s="36">
        <v>0</v>
      </c>
      <c r="J663" s="37">
        <v>2257226</v>
      </c>
      <c r="K663" s="36">
        <v>27086655</v>
      </c>
      <c r="L663" s="50">
        <v>29343881</v>
      </c>
      <c r="M663" s="39"/>
      <c r="N663" s="36">
        <v>27086655</v>
      </c>
      <c r="O663" s="36">
        <v>15067918</v>
      </c>
      <c r="P663" s="36">
        <v>1359262</v>
      </c>
      <c r="Q663" s="36">
        <v>32056112</v>
      </c>
      <c r="R663" s="7"/>
      <c r="S663" s="7"/>
      <c r="T663" s="7"/>
      <c r="U663" s="7"/>
      <c r="V663" s="7"/>
      <c r="W663" s="7"/>
      <c r="X663" s="7"/>
      <c r="Y663" s="7"/>
      <c r="Z663" s="7"/>
    </row>
    <row r="664" spans="1:26" ht="12.75" customHeight="1" x14ac:dyDescent="0.2">
      <c r="A664" s="534"/>
      <c r="B664" s="534"/>
      <c r="C664" s="40" t="s">
        <v>36</v>
      </c>
      <c r="D664" s="41">
        <v>9</v>
      </c>
      <c r="E664" s="30">
        <v>8747.98</v>
      </c>
      <c r="F664" s="30">
        <v>0</v>
      </c>
      <c r="G664" s="30">
        <v>0</v>
      </c>
      <c r="H664" s="30">
        <v>6207.16</v>
      </c>
      <c r="I664" s="30">
        <v>0</v>
      </c>
      <c r="J664" s="42">
        <v>1246.26</v>
      </c>
      <c r="K664" s="43">
        <v>14955.14</v>
      </c>
      <c r="L664" s="51">
        <v>16201.4</v>
      </c>
      <c r="M664" s="33"/>
      <c r="N664" s="30">
        <v>14955.14</v>
      </c>
      <c r="O664" s="30">
        <v>8747.98</v>
      </c>
      <c r="P664" s="30">
        <v>702</v>
      </c>
      <c r="Q664" s="30">
        <v>17776.04</v>
      </c>
      <c r="R664" s="7"/>
      <c r="S664" s="7"/>
      <c r="T664" s="7"/>
      <c r="U664" s="7"/>
      <c r="V664" s="7"/>
      <c r="W664" s="7"/>
      <c r="X664" s="7"/>
      <c r="Y664" s="7"/>
      <c r="Z664" s="7"/>
    </row>
    <row r="665" spans="1:26" ht="9" customHeight="1" x14ac:dyDescent="0.2">
      <c r="A665" s="534"/>
      <c r="B665" s="534"/>
      <c r="C665" s="34" t="s">
        <v>37</v>
      </c>
      <c r="D665" s="35">
        <v>14</v>
      </c>
      <c r="E665" s="36">
        <v>16938451</v>
      </c>
      <c r="F665" s="36">
        <v>0</v>
      </c>
      <c r="G665" s="36">
        <v>0</v>
      </c>
      <c r="H665" s="36">
        <v>12018738</v>
      </c>
      <c r="I665" s="36">
        <v>0</v>
      </c>
      <c r="J665" s="37">
        <v>2413096</v>
      </c>
      <c r="K665" s="36">
        <v>28957189</v>
      </c>
      <c r="L665" s="50">
        <v>31370285</v>
      </c>
      <c r="M665" s="39"/>
      <c r="N665" s="36">
        <v>28957189</v>
      </c>
      <c r="O665" s="36">
        <v>16938451</v>
      </c>
      <c r="P665" s="36">
        <v>1359262</v>
      </c>
      <c r="Q665" s="36">
        <v>34419213</v>
      </c>
      <c r="R665" s="7"/>
      <c r="S665" s="7"/>
      <c r="T665" s="7"/>
      <c r="U665" s="7"/>
      <c r="V665" s="7"/>
      <c r="W665" s="7"/>
      <c r="X665" s="7"/>
      <c r="Y665" s="7"/>
      <c r="Z665" s="7"/>
    </row>
    <row r="666" spans="1:26" ht="12.75" customHeight="1" x14ac:dyDescent="0.2">
      <c r="A666" s="534"/>
      <c r="B666" s="534"/>
      <c r="C666" s="40" t="s">
        <v>36</v>
      </c>
      <c r="D666" s="41">
        <v>15</v>
      </c>
      <c r="E666" s="30">
        <v>9649.7900000000009</v>
      </c>
      <c r="F666" s="30">
        <v>0</v>
      </c>
      <c r="G666" s="30">
        <v>0</v>
      </c>
      <c r="H666" s="30">
        <v>6207.16</v>
      </c>
      <c r="I666" s="30">
        <v>0</v>
      </c>
      <c r="J666" s="42">
        <v>1321.41</v>
      </c>
      <c r="K666" s="43">
        <v>15856.95</v>
      </c>
      <c r="L666" s="51">
        <v>17178.36</v>
      </c>
      <c r="M666" s="33"/>
      <c r="N666" s="30">
        <v>15856.95</v>
      </c>
      <c r="O666" s="30">
        <v>9649.7900000000009</v>
      </c>
      <c r="P666" s="30">
        <v>702</v>
      </c>
      <c r="Q666" s="30">
        <v>18915.32</v>
      </c>
      <c r="R666" s="7"/>
      <c r="S666" s="7"/>
      <c r="T666" s="7"/>
      <c r="U666" s="7"/>
      <c r="V666" s="7"/>
      <c r="W666" s="7"/>
      <c r="X666" s="7"/>
      <c r="Y666" s="7"/>
      <c r="Z666" s="7"/>
    </row>
    <row r="667" spans="1:26" ht="9" customHeight="1" x14ac:dyDescent="0.2">
      <c r="A667" s="534"/>
      <c r="B667" s="534"/>
      <c r="C667" s="34" t="s">
        <v>37</v>
      </c>
      <c r="D667" s="35">
        <v>20</v>
      </c>
      <c r="E667" s="36">
        <v>18684599</v>
      </c>
      <c r="F667" s="36">
        <v>0</v>
      </c>
      <c r="G667" s="36">
        <v>0</v>
      </c>
      <c r="H667" s="36">
        <v>12018738</v>
      </c>
      <c r="I667" s="36">
        <v>0</v>
      </c>
      <c r="J667" s="37">
        <v>2558607</v>
      </c>
      <c r="K667" s="36">
        <v>30703337</v>
      </c>
      <c r="L667" s="50">
        <v>33261943</v>
      </c>
      <c r="M667" s="39"/>
      <c r="N667" s="36">
        <v>30703337</v>
      </c>
      <c r="O667" s="36">
        <v>18684599</v>
      </c>
      <c r="P667" s="36">
        <v>1359262</v>
      </c>
      <c r="Q667" s="36">
        <v>36625167</v>
      </c>
      <c r="R667" s="7"/>
      <c r="S667" s="7"/>
      <c r="T667" s="7"/>
      <c r="U667" s="7"/>
      <c r="V667" s="7"/>
      <c r="W667" s="7"/>
      <c r="X667" s="7"/>
      <c r="Y667" s="7"/>
      <c r="Z667" s="7"/>
    </row>
    <row r="668" spans="1:26" ht="12.75" customHeight="1" x14ac:dyDescent="0.2">
      <c r="A668" s="534"/>
      <c r="B668" s="534"/>
      <c r="C668" s="40" t="s">
        <v>36</v>
      </c>
      <c r="D668" s="41">
        <v>21</v>
      </c>
      <c r="E668" s="30">
        <v>10537.29</v>
      </c>
      <c r="F668" s="30">
        <v>0</v>
      </c>
      <c r="G668" s="30">
        <v>0</v>
      </c>
      <c r="H668" s="30">
        <v>6207.16</v>
      </c>
      <c r="I668" s="30">
        <v>0</v>
      </c>
      <c r="J668" s="42">
        <v>1395.37</v>
      </c>
      <c r="K668" s="43">
        <v>16744.45</v>
      </c>
      <c r="L668" s="51">
        <v>18139.82</v>
      </c>
      <c r="M668" s="33"/>
      <c r="N668" s="30">
        <v>16744.45</v>
      </c>
      <c r="O668" s="30">
        <v>10537.29</v>
      </c>
      <c r="P668" s="30">
        <v>702</v>
      </c>
      <c r="Q668" s="30">
        <v>20036.53</v>
      </c>
      <c r="R668" s="7"/>
      <c r="S668" s="7"/>
      <c r="T668" s="7"/>
      <c r="U668" s="7"/>
      <c r="V668" s="7"/>
      <c r="W668" s="7"/>
      <c r="X668" s="7"/>
      <c r="Y668" s="7"/>
      <c r="Z668" s="7"/>
    </row>
    <row r="669" spans="1:26" ht="9" customHeight="1" x14ac:dyDescent="0.2">
      <c r="A669" s="534"/>
      <c r="B669" s="534"/>
      <c r="C669" s="34" t="s">
        <v>37</v>
      </c>
      <c r="D669" s="35">
        <v>27</v>
      </c>
      <c r="E669" s="36">
        <v>20403039</v>
      </c>
      <c r="F669" s="36">
        <v>0</v>
      </c>
      <c r="G669" s="36">
        <v>0</v>
      </c>
      <c r="H669" s="36">
        <v>12018738</v>
      </c>
      <c r="I669" s="36">
        <v>0</v>
      </c>
      <c r="J669" s="37">
        <v>2701813</v>
      </c>
      <c r="K669" s="36">
        <v>32421776</v>
      </c>
      <c r="L669" s="50">
        <v>35123589</v>
      </c>
      <c r="M669" s="39"/>
      <c r="N669" s="36">
        <v>32421776</v>
      </c>
      <c r="O669" s="36">
        <v>20403039</v>
      </c>
      <c r="P669" s="36">
        <v>1359262</v>
      </c>
      <c r="Q669" s="36">
        <v>38796132</v>
      </c>
      <c r="R669" s="7"/>
      <c r="S669" s="7"/>
      <c r="T669" s="7"/>
      <c r="U669" s="7"/>
      <c r="V669" s="7"/>
      <c r="W669" s="7"/>
      <c r="X669" s="7"/>
      <c r="Y669" s="7"/>
      <c r="Z669" s="7"/>
    </row>
    <row r="670" spans="1:26" ht="12.75" customHeight="1" x14ac:dyDescent="0.2">
      <c r="A670" s="534"/>
      <c r="B670" s="534"/>
      <c r="C670" s="40" t="s">
        <v>36</v>
      </c>
      <c r="D670" s="41">
        <v>28</v>
      </c>
      <c r="E670" s="30">
        <v>11206.98</v>
      </c>
      <c r="F670" s="30">
        <v>0</v>
      </c>
      <c r="G670" s="30">
        <v>0</v>
      </c>
      <c r="H670" s="30">
        <v>6207.16</v>
      </c>
      <c r="I670" s="30">
        <v>0</v>
      </c>
      <c r="J670" s="42">
        <v>1451.18</v>
      </c>
      <c r="K670" s="43">
        <v>17414.14</v>
      </c>
      <c r="L670" s="51">
        <v>18865.32</v>
      </c>
      <c r="M670" s="33"/>
      <c r="N670" s="30">
        <v>17414.14</v>
      </c>
      <c r="O670" s="30">
        <v>11206.98</v>
      </c>
      <c r="P670" s="30">
        <v>702</v>
      </c>
      <c r="Q670" s="30">
        <v>20882.580000000002</v>
      </c>
      <c r="R670" s="7"/>
      <c r="S670" s="7"/>
      <c r="T670" s="7"/>
      <c r="U670" s="7"/>
      <c r="V670" s="7"/>
      <c r="W670" s="7"/>
      <c r="X670" s="7"/>
      <c r="Y670" s="7"/>
      <c r="Z670" s="7"/>
    </row>
    <row r="671" spans="1:26" ht="9" customHeight="1" x14ac:dyDescent="0.2">
      <c r="A671" s="534"/>
      <c r="B671" s="534"/>
      <c r="C671" s="34" t="s">
        <v>37</v>
      </c>
      <c r="D671" s="35">
        <v>34</v>
      </c>
      <c r="E671" s="36">
        <v>21699739</v>
      </c>
      <c r="F671" s="36">
        <v>0</v>
      </c>
      <c r="G671" s="36">
        <v>0</v>
      </c>
      <c r="H671" s="36">
        <v>12018738</v>
      </c>
      <c r="I671" s="36">
        <v>0</v>
      </c>
      <c r="J671" s="37">
        <v>2809876</v>
      </c>
      <c r="K671" s="36">
        <v>33718477</v>
      </c>
      <c r="L671" s="50">
        <v>36528353</v>
      </c>
      <c r="M671" s="39"/>
      <c r="N671" s="36">
        <v>33718477</v>
      </c>
      <c r="O671" s="36">
        <v>21699739</v>
      </c>
      <c r="P671" s="36">
        <v>1359262</v>
      </c>
      <c r="Q671" s="36">
        <v>40434313</v>
      </c>
      <c r="R671" s="7"/>
      <c r="S671" s="7"/>
      <c r="T671" s="7"/>
      <c r="U671" s="7"/>
      <c r="V671" s="7"/>
      <c r="W671" s="7"/>
      <c r="X671" s="7"/>
      <c r="Y671" s="7"/>
      <c r="Z671" s="7"/>
    </row>
    <row r="672" spans="1:26" ht="12.75" customHeight="1" x14ac:dyDescent="0.2">
      <c r="A672" s="534"/>
      <c r="B672" s="534"/>
      <c r="C672" s="40" t="s">
        <v>36</v>
      </c>
      <c r="D672" s="41">
        <v>35</v>
      </c>
      <c r="E672" s="30">
        <v>11676.23</v>
      </c>
      <c r="F672" s="30">
        <v>0</v>
      </c>
      <c r="G672" s="30">
        <v>0</v>
      </c>
      <c r="H672" s="30">
        <v>6207.16</v>
      </c>
      <c r="I672" s="30">
        <v>0</v>
      </c>
      <c r="J672" s="42">
        <v>1490.28</v>
      </c>
      <c r="K672" s="43">
        <v>17883.39</v>
      </c>
      <c r="L672" s="51">
        <v>19373.669999999998</v>
      </c>
      <c r="M672" s="33"/>
      <c r="N672" s="30">
        <v>17883.39</v>
      </c>
      <c r="O672" s="30">
        <v>11676.23</v>
      </c>
      <c r="P672" s="30">
        <v>702</v>
      </c>
      <c r="Q672" s="30">
        <v>21475.39</v>
      </c>
      <c r="R672" s="7"/>
      <c r="S672" s="7"/>
      <c r="T672" s="7"/>
      <c r="U672" s="7"/>
      <c r="V672" s="7"/>
      <c r="W672" s="7"/>
      <c r="X672" s="7"/>
      <c r="Y672" s="7"/>
      <c r="Z672" s="7"/>
    </row>
    <row r="673" spans="1:26" ht="9" customHeight="1" x14ac:dyDescent="0.2">
      <c r="A673" s="535"/>
      <c r="B673" s="535"/>
      <c r="C673" s="47" t="s">
        <v>37</v>
      </c>
      <c r="D673" s="48"/>
      <c r="E673" s="36">
        <v>22608334</v>
      </c>
      <c r="F673" s="36">
        <v>0</v>
      </c>
      <c r="G673" s="36">
        <v>0</v>
      </c>
      <c r="H673" s="36">
        <v>12018738</v>
      </c>
      <c r="I673" s="36">
        <v>0</v>
      </c>
      <c r="J673" s="49">
        <v>2885584</v>
      </c>
      <c r="K673" s="46">
        <v>34627072</v>
      </c>
      <c r="L673" s="52">
        <v>37512656</v>
      </c>
      <c r="M673" s="39"/>
      <c r="N673" s="36">
        <v>34627072</v>
      </c>
      <c r="O673" s="36">
        <v>22608334</v>
      </c>
      <c r="P673" s="36">
        <v>1359262</v>
      </c>
      <c r="Q673" s="36">
        <v>41582153</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6"/>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6"/>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6"/>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6"/>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6"/>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6"/>
      <c r="M679" s="39"/>
      <c r="N679" s="96"/>
      <c r="O679" s="96"/>
      <c r="P679" s="96"/>
      <c r="Q679" s="96"/>
      <c r="R679" s="7"/>
      <c r="S679" s="7"/>
      <c r="T679" s="7"/>
      <c r="U679" s="7"/>
      <c r="V679" s="7"/>
      <c r="W679" s="7"/>
      <c r="X679" s="7"/>
      <c r="Y679" s="7"/>
      <c r="Z679" s="7"/>
    </row>
    <row r="680" spans="1:26" ht="12.75" customHeight="1" x14ac:dyDescent="0.2">
      <c r="A680" s="538">
        <v>39083</v>
      </c>
      <c r="B680" s="538">
        <v>39113</v>
      </c>
      <c r="C680" s="28" t="s">
        <v>36</v>
      </c>
      <c r="D680" s="29">
        <v>0</v>
      </c>
      <c r="E680" s="30">
        <v>7774.18</v>
      </c>
      <c r="F680" s="30">
        <v>0</v>
      </c>
      <c r="G680" s="30">
        <v>0</v>
      </c>
      <c r="H680" s="30">
        <v>6207.16</v>
      </c>
      <c r="I680" s="30">
        <v>0</v>
      </c>
      <c r="J680" s="30">
        <v>1165.1099999999999</v>
      </c>
      <c r="K680" s="31">
        <v>13981.34</v>
      </c>
      <c r="L680" s="32">
        <v>15146.45</v>
      </c>
      <c r="M680" s="33"/>
      <c r="N680" s="30">
        <v>13981.34</v>
      </c>
      <c r="O680" s="30">
        <v>7774.18</v>
      </c>
      <c r="P680" s="30">
        <v>702</v>
      </c>
      <c r="Q680" s="30">
        <v>16545.8</v>
      </c>
      <c r="R680" s="7"/>
      <c r="S680" s="7"/>
      <c r="T680" s="7"/>
      <c r="U680" s="7"/>
      <c r="V680" s="7"/>
      <c r="W680" s="7"/>
      <c r="X680" s="7"/>
      <c r="Y680" s="7"/>
      <c r="Z680" s="7"/>
    </row>
    <row r="681" spans="1:26" ht="9" customHeight="1" x14ac:dyDescent="0.2">
      <c r="A681" s="534"/>
      <c r="B681" s="534"/>
      <c r="C681" s="34" t="s">
        <v>37</v>
      </c>
      <c r="D681" s="35">
        <v>2</v>
      </c>
      <c r="E681" s="36">
        <v>15052912</v>
      </c>
      <c r="F681" s="36">
        <v>0</v>
      </c>
      <c r="G681" s="36">
        <v>0</v>
      </c>
      <c r="H681" s="36">
        <v>12018738</v>
      </c>
      <c r="I681" s="36">
        <v>0</v>
      </c>
      <c r="J681" s="37">
        <v>2255968</v>
      </c>
      <c r="K681" s="36">
        <v>27071649</v>
      </c>
      <c r="L681" s="50">
        <v>29327617</v>
      </c>
      <c r="M681" s="39"/>
      <c r="N681" s="36">
        <v>27071649</v>
      </c>
      <c r="O681" s="36">
        <v>15052912</v>
      </c>
      <c r="P681" s="36">
        <v>1359262</v>
      </c>
      <c r="Q681" s="36">
        <v>32037136</v>
      </c>
      <c r="R681" s="7"/>
      <c r="S681" s="7"/>
      <c r="T681" s="7"/>
      <c r="U681" s="7"/>
      <c r="V681" s="7"/>
      <c r="W681" s="7"/>
      <c r="X681" s="7"/>
      <c r="Y681" s="7"/>
      <c r="Z681" s="7"/>
    </row>
    <row r="682" spans="1:26" ht="12.75" customHeight="1" x14ac:dyDescent="0.2">
      <c r="A682" s="539">
        <v>39083</v>
      </c>
      <c r="B682" s="539">
        <v>39113</v>
      </c>
      <c r="C682" s="40" t="s">
        <v>36</v>
      </c>
      <c r="D682" s="41">
        <v>3</v>
      </c>
      <c r="E682" s="30">
        <v>8045.81</v>
      </c>
      <c r="F682" s="30">
        <v>0</v>
      </c>
      <c r="G682" s="30">
        <v>0</v>
      </c>
      <c r="H682" s="30">
        <v>6207.16</v>
      </c>
      <c r="I682" s="30">
        <v>0</v>
      </c>
      <c r="J682" s="42">
        <v>1187.75</v>
      </c>
      <c r="K682" s="43">
        <v>14252.97</v>
      </c>
      <c r="L682" s="51">
        <v>15440.72</v>
      </c>
      <c r="M682" s="33"/>
      <c r="N682" s="30">
        <v>14252.97</v>
      </c>
      <c r="O682" s="30">
        <v>8045.81</v>
      </c>
      <c r="P682" s="30">
        <v>702</v>
      </c>
      <c r="Q682" s="30">
        <v>16888.97</v>
      </c>
      <c r="R682" s="7"/>
      <c r="S682" s="7"/>
      <c r="T682" s="7"/>
      <c r="U682" s="7"/>
      <c r="V682" s="7"/>
      <c r="W682" s="7"/>
      <c r="X682" s="7"/>
      <c r="Y682" s="7"/>
      <c r="Z682" s="7"/>
    </row>
    <row r="683" spans="1:26" ht="9" customHeight="1" x14ac:dyDescent="0.2">
      <c r="A683" s="534"/>
      <c r="B683" s="534"/>
      <c r="C683" s="34" t="s">
        <v>37</v>
      </c>
      <c r="D683" s="35">
        <v>8</v>
      </c>
      <c r="E683" s="36">
        <v>15578861</v>
      </c>
      <c r="F683" s="36">
        <v>0</v>
      </c>
      <c r="G683" s="36">
        <v>0</v>
      </c>
      <c r="H683" s="36">
        <v>12018738</v>
      </c>
      <c r="I683" s="36">
        <v>0</v>
      </c>
      <c r="J683" s="37">
        <v>2299805</v>
      </c>
      <c r="K683" s="36">
        <v>27597598</v>
      </c>
      <c r="L683" s="50">
        <v>29897403</v>
      </c>
      <c r="M683" s="39"/>
      <c r="N683" s="36">
        <v>27597598</v>
      </c>
      <c r="O683" s="36">
        <v>15578861</v>
      </c>
      <c r="P683" s="36">
        <v>1359262</v>
      </c>
      <c r="Q683" s="36">
        <v>32701606</v>
      </c>
      <c r="R683" s="7"/>
      <c r="S683" s="7"/>
      <c r="T683" s="7"/>
      <c r="U683" s="7"/>
      <c r="V683" s="7"/>
      <c r="W683" s="7"/>
      <c r="X683" s="7"/>
      <c r="Y683" s="7"/>
      <c r="Z683" s="7"/>
    </row>
    <row r="684" spans="1:26" ht="12.75" customHeight="1" x14ac:dyDescent="0.2">
      <c r="A684" s="534"/>
      <c r="B684" s="534"/>
      <c r="C684" s="40" t="s">
        <v>36</v>
      </c>
      <c r="D684" s="41">
        <v>9</v>
      </c>
      <c r="E684" s="30">
        <v>9029.98</v>
      </c>
      <c r="F684" s="30">
        <v>0</v>
      </c>
      <c r="G684" s="30">
        <v>0</v>
      </c>
      <c r="H684" s="30">
        <v>6207.16</v>
      </c>
      <c r="I684" s="30">
        <v>0</v>
      </c>
      <c r="J684" s="42">
        <v>1269.76</v>
      </c>
      <c r="K684" s="43">
        <v>15237.14</v>
      </c>
      <c r="L684" s="51">
        <v>16506.900000000001</v>
      </c>
      <c r="M684" s="33"/>
      <c r="N684" s="30">
        <v>15237.14</v>
      </c>
      <c r="O684" s="30">
        <v>9029.98</v>
      </c>
      <c r="P684" s="30">
        <v>702</v>
      </c>
      <c r="Q684" s="30">
        <v>18132.3</v>
      </c>
      <c r="R684" s="7"/>
      <c r="S684" s="7"/>
      <c r="T684" s="7"/>
      <c r="U684" s="7"/>
      <c r="V684" s="7"/>
      <c r="W684" s="7"/>
      <c r="X684" s="7"/>
      <c r="Y684" s="7"/>
      <c r="Z684" s="7"/>
    </row>
    <row r="685" spans="1:26" ht="9" customHeight="1" x14ac:dyDescent="0.2">
      <c r="A685" s="534"/>
      <c r="B685" s="534"/>
      <c r="C685" s="34" t="s">
        <v>37</v>
      </c>
      <c r="D685" s="35">
        <v>14</v>
      </c>
      <c r="E685" s="36">
        <v>17484479</v>
      </c>
      <c r="F685" s="36">
        <v>0</v>
      </c>
      <c r="G685" s="36">
        <v>0</v>
      </c>
      <c r="H685" s="36">
        <v>12018738</v>
      </c>
      <c r="I685" s="36">
        <v>0</v>
      </c>
      <c r="J685" s="37">
        <v>2458598</v>
      </c>
      <c r="K685" s="36">
        <v>29503217</v>
      </c>
      <c r="L685" s="50">
        <v>31961815</v>
      </c>
      <c r="M685" s="39"/>
      <c r="N685" s="36">
        <v>29503217</v>
      </c>
      <c r="O685" s="36">
        <v>17484479</v>
      </c>
      <c r="P685" s="36">
        <v>1359262</v>
      </c>
      <c r="Q685" s="36">
        <v>35109029</v>
      </c>
      <c r="R685" s="7"/>
      <c r="S685" s="7"/>
      <c r="T685" s="7"/>
      <c r="U685" s="7"/>
      <c r="V685" s="7"/>
      <c r="W685" s="7"/>
      <c r="X685" s="7"/>
      <c r="Y685" s="7"/>
      <c r="Z685" s="7"/>
    </row>
    <row r="686" spans="1:26" ht="12.75" customHeight="1" x14ac:dyDescent="0.2">
      <c r="A686" s="534"/>
      <c r="B686" s="534"/>
      <c r="C686" s="40" t="s">
        <v>36</v>
      </c>
      <c r="D686" s="41">
        <v>15</v>
      </c>
      <c r="E686" s="30">
        <v>9948.7099999999991</v>
      </c>
      <c r="F686" s="30">
        <v>0</v>
      </c>
      <c r="G686" s="30">
        <v>0</v>
      </c>
      <c r="H686" s="30">
        <v>6207.16</v>
      </c>
      <c r="I686" s="30">
        <v>0</v>
      </c>
      <c r="J686" s="42">
        <v>1346.32</v>
      </c>
      <c r="K686" s="43">
        <v>16155.87</v>
      </c>
      <c r="L686" s="51">
        <v>17502.189999999999</v>
      </c>
      <c r="M686" s="33"/>
      <c r="N686" s="30">
        <v>16155.87</v>
      </c>
      <c r="O686" s="30">
        <v>9948.7099999999991</v>
      </c>
      <c r="P686" s="30">
        <v>702</v>
      </c>
      <c r="Q686" s="30">
        <v>19292.96</v>
      </c>
      <c r="R686" s="7"/>
      <c r="S686" s="7"/>
      <c r="T686" s="7"/>
      <c r="U686" s="7"/>
      <c r="V686" s="7"/>
      <c r="W686" s="7"/>
      <c r="X686" s="7"/>
      <c r="Y686" s="7"/>
      <c r="Z686" s="7"/>
    </row>
    <row r="687" spans="1:26" ht="9" customHeight="1" x14ac:dyDescent="0.2">
      <c r="A687" s="534"/>
      <c r="B687" s="534"/>
      <c r="C687" s="34" t="s">
        <v>37</v>
      </c>
      <c r="D687" s="35">
        <v>20</v>
      </c>
      <c r="E687" s="36">
        <v>19263389</v>
      </c>
      <c r="F687" s="36">
        <v>0</v>
      </c>
      <c r="G687" s="36">
        <v>0</v>
      </c>
      <c r="H687" s="36">
        <v>12018738</v>
      </c>
      <c r="I687" s="36">
        <v>0</v>
      </c>
      <c r="J687" s="37">
        <v>2606839</v>
      </c>
      <c r="K687" s="36">
        <v>31282126</v>
      </c>
      <c r="L687" s="50">
        <v>33888965</v>
      </c>
      <c r="M687" s="39"/>
      <c r="N687" s="36">
        <v>31282126</v>
      </c>
      <c r="O687" s="36">
        <v>19263389</v>
      </c>
      <c r="P687" s="36">
        <v>1359262</v>
      </c>
      <c r="Q687" s="36">
        <v>37356380</v>
      </c>
      <c r="R687" s="7"/>
      <c r="S687" s="7"/>
      <c r="T687" s="7"/>
      <c r="U687" s="7"/>
      <c r="V687" s="7"/>
      <c r="W687" s="7"/>
      <c r="X687" s="7"/>
      <c r="Y687" s="7"/>
      <c r="Z687" s="7"/>
    </row>
    <row r="688" spans="1:26" ht="12.75" customHeight="1" x14ac:dyDescent="0.2">
      <c r="A688" s="534"/>
      <c r="B688" s="534"/>
      <c r="C688" s="40" t="s">
        <v>36</v>
      </c>
      <c r="D688" s="41">
        <v>21</v>
      </c>
      <c r="E688" s="30">
        <v>10853.13</v>
      </c>
      <c r="F688" s="30">
        <v>0</v>
      </c>
      <c r="G688" s="30">
        <v>0</v>
      </c>
      <c r="H688" s="30">
        <v>6207.16</v>
      </c>
      <c r="I688" s="30">
        <v>0</v>
      </c>
      <c r="J688" s="42">
        <v>1421.69</v>
      </c>
      <c r="K688" s="43">
        <v>17060.29</v>
      </c>
      <c r="L688" s="51">
        <v>18481.98</v>
      </c>
      <c r="M688" s="33"/>
      <c r="N688" s="30">
        <v>17060.29</v>
      </c>
      <c r="O688" s="30">
        <v>10853.13</v>
      </c>
      <c r="P688" s="30">
        <v>702</v>
      </c>
      <c r="Q688" s="30">
        <v>20435.54</v>
      </c>
      <c r="R688" s="7"/>
      <c r="S688" s="7"/>
      <c r="T688" s="7"/>
      <c r="U688" s="7"/>
      <c r="V688" s="7"/>
      <c r="W688" s="7"/>
      <c r="X688" s="7"/>
      <c r="Y688" s="7"/>
      <c r="Z688" s="7"/>
    </row>
    <row r="689" spans="1:26" ht="9" customHeight="1" x14ac:dyDescent="0.2">
      <c r="A689" s="534"/>
      <c r="B689" s="534"/>
      <c r="C689" s="34" t="s">
        <v>37</v>
      </c>
      <c r="D689" s="35">
        <v>27</v>
      </c>
      <c r="E689" s="36">
        <v>21014590</v>
      </c>
      <c r="F689" s="36">
        <v>0</v>
      </c>
      <c r="G689" s="36">
        <v>0</v>
      </c>
      <c r="H689" s="36">
        <v>12018738</v>
      </c>
      <c r="I689" s="36">
        <v>0</v>
      </c>
      <c r="J689" s="37">
        <v>2752776</v>
      </c>
      <c r="K689" s="36">
        <v>33033328</v>
      </c>
      <c r="L689" s="50">
        <v>35786103</v>
      </c>
      <c r="M689" s="39"/>
      <c r="N689" s="36">
        <v>33033328</v>
      </c>
      <c r="O689" s="36">
        <v>21014590</v>
      </c>
      <c r="P689" s="36">
        <v>1359262</v>
      </c>
      <c r="Q689" s="36">
        <v>39568723</v>
      </c>
      <c r="R689" s="7"/>
      <c r="S689" s="7"/>
      <c r="T689" s="7"/>
      <c r="U689" s="7"/>
      <c r="V689" s="7"/>
      <c r="W689" s="7"/>
      <c r="X689" s="7"/>
      <c r="Y689" s="7"/>
      <c r="Z689" s="7"/>
    </row>
    <row r="690" spans="1:26" ht="12.75" customHeight="1" x14ac:dyDescent="0.2">
      <c r="A690" s="534"/>
      <c r="B690" s="534"/>
      <c r="C690" s="40" t="s">
        <v>36</v>
      </c>
      <c r="D690" s="41">
        <v>28</v>
      </c>
      <c r="E690" s="30">
        <v>11535.3</v>
      </c>
      <c r="F690" s="30">
        <v>0</v>
      </c>
      <c r="G690" s="30">
        <v>0</v>
      </c>
      <c r="H690" s="30">
        <v>6207.16</v>
      </c>
      <c r="I690" s="30">
        <v>0</v>
      </c>
      <c r="J690" s="42">
        <v>1478.54</v>
      </c>
      <c r="K690" s="43">
        <v>17742.46</v>
      </c>
      <c r="L690" s="51">
        <v>19221</v>
      </c>
      <c r="M690" s="33"/>
      <c r="N690" s="30">
        <v>17742.46</v>
      </c>
      <c r="O690" s="30">
        <v>11535.3</v>
      </c>
      <c r="P690" s="30">
        <v>702</v>
      </c>
      <c r="Q690" s="30">
        <v>21297.35</v>
      </c>
      <c r="R690" s="7"/>
      <c r="S690" s="7"/>
      <c r="T690" s="7"/>
      <c r="U690" s="7"/>
      <c r="V690" s="7"/>
      <c r="W690" s="7"/>
      <c r="X690" s="7"/>
      <c r="Y690" s="7"/>
      <c r="Z690" s="7"/>
    </row>
    <row r="691" spans="1:26" ht="9" customHeight="1" x14ac:dyDescent="0.2">
      <c r="A691" s="534"/>
      <c r="B691" s="534"/>
      <c r="C691" s="34" t="s">
        <v>37</v>
      </c>
      <c r="D691" s="35">
        <v>34</v>
      </c>
      <c r="E691" s="36">
        <v>22335455</v>
      </c>
      <c r="F691" s="36">
        <v>0</v>
      </c>
      <c r="G691" s="36">
        <v>0</v>
      </c>
      <c r="H691" s="36">
        <v>12018738</v>
      </c>
      <c r="I691" s="36">
        <v>0</v>
      </c>
      <c r="J691" s="37">
        <v>2862853</v>
      </c>
      <c r="K691" s="36">
        <v>34354193</v>
      </c>
      <c r="L691" s="50">
        <v>37217046</v>
      </c>
      <c r="M691" s="39"/>
      <c r="N691" s="36">
        <v>34354193</v>
      </c>
      <c r="O691" s="36">
        <v>22335455</v>
      </c>
      <c r="P691" s="36">
        <v>1359262</v>
      </c>
      <c r="Q691" s="36">
        <v>41237420</v>
      </c>
      <c r="R691" s="7"/>
      <c r="S691" s="7"/>
      <c r="T691" s="7"/>
      <c r="U691" s="7"/>
      <c r="V691" s="7"/>
      <c r="W691" s="7"/>
      <c r="X691" s="7"/>
      <c r="Y691" s="7"/>
      <c r="Z691" s="7"/>
    </row>
    <row r="692" spans="1:26" ht="12.75" customHeight="1" x14ac:dyDescent="0.2">
      <c r="A692" s="534"/>
      <c r="B692" s="534"/>
      <c r="C692" s="40" t="s">
        <v>36</v>
      </c>
      <c r="D692" s="41">
        <v>35</v>
      </c>
      <c r="E692" s="30">
        <v>12013.43</v>
      </c>
      <c r="F692" s="30">
        <v>0</v>
      </c>
      <c r="G692" s="30">
        <v>0</v>
      </c>
      <c r="H692" s="30">
        <v>6207.16</v>
      </c>
      <c r="I692" s="30">
        <v>0</v>
      </c>
      <c r="J692" s="42">
        <v>1518.38</v>
      </c>
      <c r="K692" s="43">
        <v>18220.59</v>
      </c>
      <c r="L692" s="51">
        <v>19738.97</v>
      </c>
      <c r="M692" s="33"/>
      <c r="N692" s="30">
        <v>18220.59</v>
      </c>
      <c r="O692" s="30">
        <v>12013.43</v>
      </c>
      <c r="P692" s="30">
        <v>702</v>
      </c>
      <c r="Q692" s="30">
        <v>21901.39</v>
      </c>
      <c r="R692" s="7"/>
      <c r="S692" s="7"/>
      <c r="T692" s="7"/>
      <c r="U692" s="7"/>
      <c r="V692" s="7"/>
      <c r="W692" s="7"/>
      <c r="X692" s="7"/>
      <c r="Y692" s="7"/>
      <c r="Z692" s="7"/>
    </row>
    <row r="693" spans="1:26" ht="9" customHeight="1" x14ac:dyDescent="0.2">
      <c r="A693" s="535"/>
      <c r="B693" s="535"/>
      <c r="C693" s="47" t="s">
        <v>37</v>
      </c>
      <c r="D693" s="48"/>
      <c r="E693" s="36">
        <v>23261244</v>
      </c>
      <c r="F693" s="36">
        <v>0</v>
      </c>
      <c r="G693" s="36">
        <v>0</v>
      </c>
      <c r="H693" s="36">
        <v>12018738</v>
      </c>
      <c r="I693" s="36">
        <v>0</v>
      </c>
      <c r="J693" s="49">
        <v>2939994</v>
      </c>
      <c r="K693" s="46">
        <v>35279982</v>
      </c>
      <c r="L693" s="52">
        <v>38219975</v>
      </c>
      <c r="M693" s="39"/>
      <c r="N693" s="36">
        <v>35279982</v>
      </c>
      <c r="O693" s="36">
        <v>23261244</v>
      </c>
      <c r="P693" s="36">
        <v>1359262</v>
      </c>
      <c r="Q693" s="36">
        <v>42407004</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7"/>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7"/>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7"/>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7"/>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7"/>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7"/>
      <c r="M699" s="39"/>
      <c r="N699" s="96"/>
      <c r="O699" s="96"/>
      <c r="P699" s="96"/>
      <c r="Q699" s="96"/>
      <c r="R699" s="7"/>
      <c r="S699" s="7"/>
      <c r="T699" s="7"/>
      <c r="U699" s="7"/>
      <c r="V699" s="7"/>
      <c r="W699" s="7"/>
      <c r="X699" s="7"/>
      <c r="Y699" s="7"/>
      <c r="Z699" s="7"/>
    </row>
    <row r="700" spans="1:26" ht="12.75" customHeight="1" x14ac:dyDescent="0.2">
      <c r="A700" s="538">
        <v>39114</v>
      </c>
      <c r="B700" s="538">
        <v>39538</v>
      </c>
      <c r="C700" s="28" t="s">
        <v>36</v>
      </c>
      <c r="D700" s="29">
        <v>0</v>
      </c>
      <c r="E700" s="30">
        <v>8151.82</v>
      </c>
      <c r="F700" s="30">
        <v>0</v>
      </c>
      <c r="G700" s="30">
        <v>0</v>
      </c>
      <c r="H700" s="30">
        <v>6207.16</v>
      </c>
      <c r="I700" s="30">
        <v>0</v>
      </c>
      <c r="J700" s="30">
        <v>1196.58</v>
      </c>
      <c r="K700" s="31">
        <v>14358.98</v>
      </c>
      <c r="L700" s="32">
        <v>15555.56</v>
      </c>
      <c r="M700" s="33"/>
      <c r="N700" s="30">
        <v>14358.98</v>
      </c>
      <c r="O700" s="30">
        <v>8151.82</v>
      </c>
      <c r="P700" s="30">
        <v>702</v>
      </c>
      <c r="Q700" s="30">
        <v>17022.89</v>
      </c>
      <c r="R700" s="7"/>
      <c r="S700" s="7"/>
      <c r="T700" s="7"/>
      <c r="U700" s="7"/>
      <c r="V700" s="7"/>
      <c r="W700" s="7"/>
      <c r="X700" s="7"/>
      <c r="Y700" s="7"/>
      <c r="Z700" s="7"/>
    </row>
    <row r="701" spans="1:26" ht="9" customHeight="1" x14ac:dyDescent="0.2">
      <c r="A701" s="534"/>
      <c r="B701" s="534"/>
      <c r="C701" s="34" t="s">
        <v>37</v>
      </c>
      <c r="D701" s="35">
        <v>2</v>
      </c>
      <c r="E701" s="36">
        <v>15784125</v>
      </c>
      <c r="F701" s="36">
        <v>0</v>
      </c>
      <c r="G701" s="36">
        <v>0</v>
      </c>
      <c r="H701" s="36">
        <v>12018738</v>
      </c>
      <c r="I701" s="36">
        <v>0</v>
      </c>
      <c r="J701" s="37">
        <v>2316902</v>
      </c>
      <c r="K701" s="36">
        <v>27802862</v>
      </c>
      <c r="L701" s="50">
        <v>30119764</v>
      </c>
      <c r="M701" s="39"/>
      <c r="N701" s="36">
        <v>27802862</v>
      </c>
      <c r="O701" s="36">
        <v>15784125</v>
      </c>
      <c r="P701" s="36">
        <v>1359262</v>
      </c>
      <c r="Q701" s="36">
        <v>32960911</v>
      </c>
      <c r="R701" s="7"/>
      <c r="S701" s="7"/>
      <c r="T701" s="7"/>
      <c r="U701" s="7"/>
      <c r="V701" s="7"/>
      <c r="W701" s="7"/>
      <c r="X701" s="7"/>
      <c r="Y701" s="7"/>
      <c r="Z701" s="7"/>
    </row>
    <row r="702" spans="1:26" ht="12.75" customHeight="1" x14ac:dyDescent="0.2">
      <c r="A702" s="539">
        <v>39114</v>
      </c>
      <c r="B702" s="539">
        <v>39538</v>
      </c>
      <c r="C702" s="40" t="s">
        <v>36</v>
      </c>
      <c r="D702" s="41">
        <v>3</v>
      </c>
      <c r="E702" s="30">
        <v>8430.77</v>
      </c>
      <c r="F702" s="30">
        <v>0</v>
      </c>
      <c r="G702" s="30">
        <v>0</v>
      </c>
      <c r="H702" s="30">
        <v>6207.16</v>
      </c>
      <c r="I702" s="30">
        <v>0</v>
      </c>
      <c r="J702" s="42">
        <v>1219.83</v>
      </c>
      <c r="K702" s="43">
        <v>14637.93</v>
      </c>
      <c r="L702" s="51">
        <v>15857.76</v>
      </c>
      <c r="M702" s="33"/>
      <c r="N702" s="30">
        <v>14637.93</v>
      </c>
      <c r="O702" s="30">
        <v>8430.77</v>
      </c>
      <c r="P702" s="30">
        <v>702</v>
      </c>
      <c r="Q702" s="30">
        <v>17375.3</v>
      </c>
      <c r="R702" s="7"/>
      <c r="S702" s="7"/>
      <c r="T702" s="7"/>
      <c r="U702" s="7"/>
      <c r="V702" s="7"/>
      <c r="W702" s="7"/>
      <c r="X702" s="7"/>
      <c r="Y702" s="7"/>
      <c r="Z702" s="7"/>
    </row>
    <row r="703" spans="1:26" ht="9" customHeight="1" x14ac:dyDescent="0.2">
      <c r="A703" s="534"/>
      <c r="B703" s="534"/>
      <c r="C703" s="34" t="s">
        <v>37</v>
      </c>
      <c r="D703" s="35">
        <v>8</v>
      </c>
      <c r="E703" s="36">
        <v>16324247</v>
      </c>
      <c r="F703" s="36">
        <v>0</v>
      </c>
      <c r="G703" s="36">
        <v>0</v>
      </c>
      <c r="H703" s="36">
        <v>12018738</v>
      </c>
      <c r="I703" s="36">
        <v>0</v>
      </c>
      <c r="J703" s="37">
        <v>2361920</v>
      </c>
      <c r="K703" s="36">
        <v>28342985</v>
      </c>
      <c r="L703" s="50">
        <v>30704905</v>
      </c>
      <c r="M703" s="39"/>
      <c r="N703" s="36">
        <v>28342985</v>
      </c>
      <c r="O703" s="36">
        <v>16324247</v>
      </c>
      <c r="P703" s="36">
        <v>1359262</v>
      </c>
      <c r="Q703" s="36">
        <v>33643272</v>
      </c>
      <c r="R703" s="7"/>
      <c r="S703" s="7"/>
      <c r="T703" s="7"/>
      <c r="U703" s="7"/>
      <c r="V703" s="7"/>
      <c r="W703" s="7"/>
      <c r="X703" s="7"/>
      <c r="Y703" s="7"/>
      <c r="Z703" s="7"/>
    </row>
    <row r="704" spans="1:26" ht="12.75" customHeight="1" x14ac:dyDescent="0.2">
      <c r="A704" s="534"/>
      <c r="B704" s="534"/>
      <c r="C704" s="40" t="s">
        <v>36</v>
      </c>
      <c r="D704" s="41">
        <v>9</v>
      </c>
      <c r="E704" s="30">
        <v>9441.7000000000007</v>
      </c>
      <c r="F704" s="30">
        <v>0</v>
      </c>
      <c r="G704" s="30">
        <v>0</v>
      </c>
      <c r="H704" s="30">
        <v>6207.16</v>
      </c>
      <c r="I704" s="30">
        <v>0</v>
      </c>
      <c r="J704" s="42">
        <v>1304.07</v>
      </c>
      <c r="K704" s="43">
        <v>15648.86</v>
      </c>
      <c r="L704" s="51">
        <v>16952.93</v>
      </c>
      <c r="M704" s="33"/>
      <c r="N704" s="30">
        <v>15648.86</v>
      </c>
      <c r="O704" s="30">
        <v>9441.7000000000007</v>
      </c>
      <c r="P704" s="30">
        <v>702</v>
      </c>
      <c r="Q704" s="30">
        <v>18652.439999999999</v>
      </c>
      <c r="R704" s="7"/>
      <c r="S704" s="7"/>
      <c r="T704" s="7"/>
      <c r="U704" s="7"/>
      <c r="V704" s="7"/>
      <c r="W704" s="7"/>
      <c r="X704" s="7"/>
      <c r="Y704" s="7"/>
      <c r="Z704" s="7"/>
    </row>
    <row r="705" spans="1:26" ht="9" customHeight="1" x14ac:dyDescent="0.2">
      <c r="A705" s="534"/>
      <c r="B705" s="534"/>
      <c r="C705" s="34" t="s">
        <v>37</v>
      </c>
      <c r="D705" s="35">
        <v>14</v>
      </c>
      <c r="E705" s="36">
        <v>18281680</v>
      </c>
      <c r="F705" s="36">
        <v>0</v>
      </c>
      <c r="G705" s="36">
        <v>0</v>
      </c>
      <c r="H705" s="36">
        <v>12018738</v>
      </c>
      <c r="I705" s="36">
        <v>0</v>
      </c>
      <c r="J705" s="37">
        <v>2525032</v>
      </c>
      <c r="K705" s="36">
        <v>30300418</v>
      </c>
      <c r="L705" s="50">
        <v>32825450</v>
      </c>
      <c r="M705" s="39"/>
      <c r="N705" s="36">
        <v>30300418</v>
      </c>
      <c r="O705" s="36">
        <v>18281680</v>
      </c>
      <c r="P705" s="36">
        <v>1359262</v>
      </c>
      <c r="Q705" s="36">
        <v>36116160</v>
      </c>
      <c r="R705" s="7"/>
      <c r="S705" s="7"/>
      <c r="T705" s="7"/>
      <c r="U705" s="7"/>
      <c r="V705" s="7"/>
      <c r="W705" s="7"/>
      <c r="X705" s="7"/>
      <c r="Y705" s="7"/>
      <c r="Z705" s="7"/>
    </row>
    <row r="706" spans="1:26" ht="12.75" customHeight="1" x14ac:dyDescent="0.2">
      <c r="A706" s="534"/>
      <c r="B706" s="534"/>
      <c r="C706" s="40" t="s">
        <v>36</v>
      </c>
      <c r="D706" s="41">
        <v>15</v>
      </c>
      <c r="E706" s="30">
        <v>10385.15</v>
      </c>
      <c r="F706" s="30">
        <v>0</v>
      </c>
      <c r="G706" s="30">
        <v>0</v>
      </c>
      <c r="H706" s="30">
        <v>6207.16</v>
      </c>
      <c r="I706" s="30">
        <v>0</v>
      </c>
      <c r="J706" s="42">
        <v>1382.69</v>
      </c>
      <c r="K706" s="43">
        <v>16592.310000000001</v>
      </c>
      <c r="L706" s="51">
        <v>17975</v>
      </c>
      <c r="M706" s="33"/>
      <c r="N706" s="30">
        <v>16592.310000000001</v>
      </c>
      <c r="O706" s="30">
        <v>10385.15</v>
      </c>
      <c r="P706" s="30">
        <v>702</v>
      </c>
      <c r="Q706" s="30">
        <v>19844.330000000002</v>
      </c>
      <c r="R706" s="7"/>
      <c r="S706" s="7"/>
      <c r="T706" s="7"/>
      <c r="U706" s="7"/>
      <c r="V706" s="7"/>
      <c r="W706" s="7"/>
      <c r="X706" s="7"/>
      <c r="Y706" s="7"/>
      <c r="Z706" s="7"/>
    </row>
    <row r="707" spans="1:26" ht="9" customHeight="1" x14ac:dyDescent="0.2">
      <c r="A707" s="534"/>
      <c r="B707" s="534"/>
      <c r="C707" s="34" t="s">
        <v>37</v>
      </c>
      <c r="D707" s="35">
        <v>20</v>
      </c>
      <c r="E707" s="36">
        <v>20108454</v>
      </c>
      <c r="F707" s="36">
        <v>0</v>
      </c>
      <c r="G707" s="36">
        <v>0</v>
      </c>
      <c r="H707" s="36">
        <v>12018738</v>
      </c>
      <c r="I707" s="36">
        <v>0</v>
      </c>
      <c r="J707" s="37">
        <v>2677261</v>
      </c>
      <c r="K707" s="36">
        <v>32127192</v>
      </c>
      <c r="L707" s="50">
        <v>34804453</v>
      </c>
      <c r="M707" s="39"/>
      <c r="N707" s="36">
        <v>32127192</v>
      </c>
      <c r="O707" s="36">
        <v>20108454</v>
      </c>
      <c r="P707" s="36">
        <v>1359262</v>
      </c>
      <c r="Q707" s="36">
        <v>38423981</v>
      </c>
      <c r="R707" s="7"/>
      <c r="S707" s="7"/>
      <c r="T707" s="7"/>
      <c r="U707" s="7"/>
      <c r="V707" s="7"/>
      <c r="W707" s="7"/>
      <c r="X707" s="7"/>
      <c r="Y707" s="7"/>
      <c r="Z707" s="7"/>
    </row>
    <row r="708" spans="1:26" ht="12.75" customHeight="1" x14ac:dyDescent="0.2">
      <c r="A708" s="534"/>
      <c r="B708" s="534"/>
      <c r="C708" s="40" t="s">
        <v>36</v>
      </c>
      <c r="D708" s="41">
        <v>21</v>
      </c>
      <c r="E708" s="30">
        <v>11313.93</v>
      </c>
      <c r="F708" s="30">
        <v>0</v>
      </c>
      <c r="G708" s="30">
        <v>0</v>
      </c>
      <c r="H708" s="30">
        <v>6207.16</v>
      </c>
      <c r="I708" s="30">
        <v>0</v>
      </c>
      <c r="J708" s="42">
        <v>1460.09</v>
      </c>
      <c r="K708" s="43">
        <v>17521.09</v>
      </c>
      <c r="L708" s="51">
        <v>18981.18</v>
      </c>
      <c r="M708" s="33"/>
      <c r="N708" s="30">
        <v>17521.09</v>
      </c>
      <c r="O708" s="30">
        <v>11313.93</v>
      </c>
      <c r="P708" s="30">
        <v>702</v>
      </c>
      <c r="Q708" s="30">
        <v>21017.69</v>
      </c>
      <c r="R708" s="7"/>
      <c r="S708" s="7"/>
      <c r="T708" s="7"/>
      <c r="U708" s="7"/>
      <c r="V708" s="7"/>
      <c r="W708" s="7"/>
      <c r="X708" s="7"/>
      <c r="Y708" s="7"/>
      <c r="Z708" s="7"/>
    </row>
    <row r="709" spans="1:26" ht="9" customHeight="1" x14ac:dyDescent="0.2">
      <c r="A709" s="534"/>
      <c r="B709" s="534"/>
      <c r="C709" s="34" t="s">
        <v>37</v>
      </c>
      <c r="D709" s="35">
        <v>27</v>
      </c>
      <c r="E709" s="36">
        <v>21906823</v>
      </c>
      <c r="F709" s="36">
        <v>0</v>
      </c>
      <c r="G709" s="36">
        <v>0</v>
      </c>
      <c r="H709" s="36">
        <v>12018738</v>
      </c>
      <c r="I709" s="36">
        <v>0</v>
      </c>
      <c r="J709" s="37">
        <v>2827128</v>
      </c>
      <c r="K709" s="36">
        <v>33925561</v>
      </c>
      <c r="L709" s="50">
        <v>36752689</v>
      </c>
      <c r="M709" s="39"/>
      <c r="N709" s="36">
        <v>33925561</v>
      </c>
      <c r="O709" s="36">
        <v>21906823</v>
      </c>
      <c r="P709" s="36">
        <v>1359262</v>
      </c>
      <c r="Q709" s="36">
        <v>40695923</v>
      </c>
      <c r="R709" s="7"/>
      <c r="S709" s="7"/>
      <c r="T709" s="7"/>
      <c r="U709" s="7"/>
      <c r="V709" s="7"/>
      <c r="W709" s="7"/>
      <c r="X709" s="7"/>
      <c r="Y709" s="7"/>
      <c r="Z709" s="7"/>
    </row>
    <row r="710" spans="1:26" ht="12.75" customHeight="1" x14ac:dyDescent="0.2">
      <c r="A710" s="534"/>
      <c r="B710" s="534"/>
      <c r="C710" s="40" t="s">
        <v>36</v>
      </c>
      <c r="D710" s="41">
        <v>28</v>
      </c>
      <c r="E710" s="30">
        <v>12014.7</v>
      </c>
      <c r="F710" s="30">
        <v>0</v>
      </c>
      <c r="G710" s="30">
        <v>0</v>
      </c>
      <c r="H710" s="30">
        <v>6207.16</v>
      </c>
      <c r="I710" s="30">
        <v>0</v>
      </c>
      <c r="J710" s="42">
        <v>1518.49</v>
      </c>
      <c r="K710" s="43">
        <v>18221.86</v>
      </c>
      <c r="L710" s="51">
        <v>19740.349999999999</v>
      </c>
      <c r="M710" s="33"/>
      <c r="N710" s="30">
        <v>18221.86</v>
      </c>
      <c r="O710" s="30">
        <v>12014.7</v>
      </c>
      <c r="P710" s="30">
        <v>702</v>
      </c>
      <c r="Q710" s="30">
        <v>21903</v>
      </c>
      <c r="R710" s="7"/>
      <c r="S710" s="7"/>
      <c r="T710" s="7"/>
      <c r="U710" s="7"/>
      <c r="V710" s="7"/>
      <c r="W710" s="7"/>
      <c r="X710" s="7"/>
      <c r="Y710" s="7"/>
      <c r="Z710" s="7"/>
    </row>
    <row r="711" spans="1:26" ht="9" customHeight="1" x14ac:dyDescent="0.2">
      <c r="A711" s="534"/>
      <c r="B711" s="534"/>
      <c r="C711" s="34" t="s">
        <v>37</v>
      </c>
      <c r="D711" s="35">
        <v>34</v>
      </c>
      <c r="E711" s="36">
        <v>23263703</v>
      </c>
      <c r="F711" s="36">
        <v>0</v>
      </c>
      <c r="G711" s="36">
        <v>0</v>
      </c>
      <c r="H711" s="36">
        <v>12018738</v>
      </c>
      <c r="I711" s="36">
        <v>0</v>
      </c>
      <c r="J711" s="37">
        <v>2940207</v>
      </c>
      <c r="K711" s="36">
        <v>35282441</v>
      </c>
      <c r="L711" s="50">
        <v>38222647</v>
      </c>
      <c r="M711" s="39"/>
      <c r="N711" s="36">
        <v>35282441</v>
      </c>
      <c r="O711" s="36">
        <v>23263703</v>
      </c>
      <c r="P711" s="36">
        <v>1359262</v>
      </c>
      <c r="Q711" s="36">
        <v>42410122</v>
      </c>
      <c r="R711" s="7"/>
      <c r="S711" s="7"/>
      <c r="T711" s="7"/>
      <c r="U711" s="7"/>
      <c r="V711" s="7"/>
      <c r="W711" s="7"/>
      <c r="X711" s="7"/>
      <c r="Y711" s="7"/>
      <c r="Z711" s="7"/>
    </row>
    <row r="712" spans="1:26" ht="12.75" customHeight="1" x14ac:dyDescent="0.2">
      <c r="A712" s="534"/>
      <c r="B712" s="534"/>
      <c r="C712" s="40" t="s">
        <v>36</v>
      </c>
      <c r="D712" s="41">
        <v>35</v>
      </c>
      <c r="E712" s="30">
        <v>12505.67</v>
      </c>
      <c r="F712" s="30">
        <v>0</v>
      </c>
      <c r="G712" s="30">
        <v>0</v>
      </c>
      <c r="H712" s="30">
        <v>6207.16</v>
      </c>
      <c r="I712" s="30">
        <v>0</v>
      </c>
      <c r="J712" s="42">
        <v>1559.4</v>
      </c>
      <c r="K712" s="43">
        <v>18712.830000000002</v>
      </c>
      <c r="L712" s="51">
        <v>20272.23</v>
      </c>
      <c r="M712" s="33"/>
      <c r="N712" s="30">
        <v>18712.830000000002</v>
      </c>
      <c r="O712" s="30">
        <v>12505.67</v>
      </c>
      <c r="P712" s="30">
        <v>702</v>
      </c>
      <c r="Q712" s="30">
        <v>22523.25</v>
      </c>
      <c r="R712" s="7"/>
      <c r="S712" s="7"/>
      <c r="T712" s="7"/>
      <c r="U712" s="7"/>
      <c r="V712" s="7"/>
      <c r="W712" s="7"/>
      <c r="X712" s="7"/>
      <c r="Y712" s="7"/>
      <c r="Z712" s="7"/>
    </row>
    <row r="713" spans="1:26" ht="9" customHeight="1" x14ac:dyDescent="0.2">
      <c r="A713" s="535"/>
      <c r="B713" s="535"/>
      <c r="C713" s="47" t="s">
        <v>37</v>
      </c>
      <c r="D713" s="48"/>
      <c r="E713" s="46">
        <v>24214354</v>
      </c>
      <c r="F713" s="46">
        <v>0</v>
      </c>
      <c r="G713" s="46">
        <v>0</v>
      </c>
      <c r="H713" s="46">
        <v>12018738</v>
      </c>
      <c r="I713" s="46">
        <v>0</v>
      </c>
      <c r="J713" s="49">
        <v>3019419</v>
      </c>
      <c r="K713" s="46">
        <v>36233091</v>
      </c>
      <c r="L713" s="52">
        <v>39252511</v>
      </c>
      <c r="M713" s="39"/>
      <c r="N713" s="36">
        <v>36233091</v>
      </c>
      <c r="O713" s="36">
        <v>24214354</v>
      </c>
      <c r="P713" s="36">
        <v>1359262</v>
      </c>
      <c r="Q713" s="36">
        <v>43611093</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7"/>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7"/>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7"/>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7"/>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7"/>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7"/>
      <c r="M719" s="39"/>
      <c r="N719" s="96"/>
      <c r="O719" s="96"/>
      <c r="P719" s="96"/>
      <c r="Q719" s="96"/>
      <c r="R719" s="7"/>
      <c r="S719" s="7"/>
      <c r="T719" s="7"/>
      <c r="U719" s="7"/>
      <c r="V719" s="7"/>
      <c r="W719" s="7"/>
      <c r="X719" s="7"/>
      <c r="Y719" s="7"/>
      <c r="Z719" s="7"/>
    </row>
    <row r="720" spans="1:26" ht="12.75" customHeight="1" x14ac:dyDescent="0.2">
      <c r="A720" s="538">
        <v>39114</v>
      </c>
      <c r="B720" s="538">
        <v>39538</v>
      </c>
      <c r="C720" s="28" t="s">
        <v>36</v>
      </c>
      <c r="D720" s="29">
        <v>0</v>
      </c>
      <c r="E720" s="30">
        <v>8151.82</v>
      </c>
      <c r="F720" s="30">
        <v>0</v>
      </c>
      <c r="G720" s="30">
        <v>0</v>
      </c>
      <c r="H720" s="30">
        <v>6207.16</v>
      </c>
      <c r="I720" s="30">
        <v>0</v>
      </c>
      <c r="J720" s="30">
        <v>1196.58</v>
      </c>
      <c r="K720" s="31">
        <v>14358.98</v>
      </c>
      <c r="L720" s="32">
        <v>15555.56</v>
      </c>
      <c r="M720" s="33"/>
      <c r="N720" s="30">
        <v>14358.98</v>
      </c>
      <c r="O720" s="30">
        <v>8151.82</v>
      </c>
      <c r="P720" s="30">
        <v>702</v>
      </c>
      <c r="Q720" s="30">
        <v>17022.89</v>
      </c>
      <c r="R720" s="7"/>
      <c r="S720" s="7"/>
      <c r="T720" s="7"/>
      <c r="U720" s="7"/>
      <c r="V720" s="7"/>
      <c r="W720" s="7"/>
      <c r="X720" s="7"/>
      <c r="Y720" s="7"/>
      <c r="Z720" s="7"/>
    </row>
    <row r="721" spans="1:26" ht="9" customHeight="1" x14ac:dyDescent="0.2">
      <c r="A721" s="534"/>
      <c r="B721" s="534"/>
      <c r="C721" s="34" t="s">
        <v>37</v>
      </c>
      <c r="D721" s="35">
        <v>2</v>
      </c>
      <c r="E721" s="36">
        <v>15784125</v>
      </c>
      <c r="F721" s="36">
        <v>0</v>
      </c>
      <c r="G721" s="36">
        <v>0</v>
      </c>
      <c r="H721" s="36">
        <v>12018738</v>
      </c>
      <c r="I721" s="36">
        <v>0</v>
      </c>
      <c r="J721" s="37">
        <v>2316902</v>
      </c>
      <c r="K721" s="36">
        <v>27802862</v>
      </c>
      <c r="L721" s="50">
        <v>30119764</v>
      </c>
      <c r="M721" s="39"/>
      <c r="N721" s="36">
        <v>27802862</v>
      </c>
      <c r="O721" s="36">
        <v>15784125</v>
      </c>
      <c r="P721" s="36">
        <v>1359262</v>
      </c>
      <c r="Q721" s="36">
        <v>32960911</v>
      </c>
      <c r="R721" s="7"/>
      <c r="S721" s="7"/>
      <c r="T721" s="7"/>
      <c r="U721" s="7"/>
      <c r="V721" s="7"/>
      <c r="W721" s="7"/>
      <c r="X721" s="7"/>
      <c r="Y721" s="7"/>
      <c r="Z721" s="7"/>
    </row>
    <row r="722" spans="1:26" ht="12.75" customHeight="1" x14ac:dyDescent="0.2">
      <c r="A722" s="539">
        <v>39114</v>
      </c>
      <c r="B722" s="539">
        <v>39538</v>
      </c>
      <c r="C722" s="40" t="s">
        <v>36</v>
      </c>
      <c r="D722" s="41">
        <v>3</v>
      </c>
      <c r="E722" s="30">
        <v>8430.77</v>
      </c>
      <c r="F722" s="30">
        <v>0</v>
      </c>
      <c r="G722" s="30">
        <v>0</v>
      </c>
      <c r="H722" s="30">
        <v>6207.16</v>
      </c>
      <c r="I722" s="30">
        <v>0</v>
      </c>
      <c r="J722" s="42">
        <v>1219.83</v>
      </c>
      <c r="K722" s="43">
        <v>14637.93</v>
      </c>
      <c r="L722" s="51">
        <v>15857.76</v>
      </c>
      <c r="M722" s="33"/>
      <c r="N722" s="30">
        <v>14637.93</v>
      </c>
      <c r="O722" s="30">
        <v>8430.77</v>
      </c>
      <c r="P722" s="30">
        <v>702</v>
      </c>
      <c r="Q722" s="30">
        <v>17375.3</v>
      </c>
      <c r="R722" s="7"/>
      <c r="S722" s="7"/>
      <c r="T722" s="7"/>
      <c r="U722" s="7"/>
      <c r="V722" s="7"/>
      <c r="W722" s="7"/>
      <c r="X722" s="7"/>
      <c r="Y722" s="7"/>
      <c r="Z722" s="7"/>
    </row>
    <row r="723" spans="1:26" ht="9" customHeight="1" x14ac:dyDescent="0.2">
      <c r="A723" s="534"/>
      <c r="B723" s="534"/>
      <c r="C723" s="34" t="s">
        <v>37</v>
      </c>
      <c r="D723" s="35">
        <v>8</v>
      </c>
      <c r="E723" s="36">
        <v>16324247</v>
      </c>
      <c r="F723" s="36">
        <v>0</v>
      </c>
      <c r="G723" s="36">
        <v>0</v>
      </c>
      <c r="H723" s="36">
        <v>12018738</v>
      </c>
      <c r="I723" s="36">
        <v>0</v>
      </c>
      <c r="J723" s="37">
        <v>2361920</v>
      </c>
      <c r="K723" s="36">
        <v>28342985</v>
      </c>
      <c r="L723" s="50">
        <v>30704905</v>
      </c>
      <c r="M723" s="39"/>
      <c r="N723" s="36">
        <v>28342985</v>
      </c>
      <c r="O723" s="36">
        <v>16324247</v>
      </c>
      <c r="P723" s="36">
        <v>1359262</v>
      </c>
      <c r="Q723" s="36">
        <v>33643272</v>
      </c>
      <c r="R723" s="7"/>
      <c r="S723" s="7"/>
      <c r="T723" s="7"/>
      <c r="U723" s="7"/>
      <c r="V723" s="7"/>
      <c r="W723" s="7"/>
      <c r="X723" s="7"/>
      <c r="Y723" s="7"/>
      <c r="Z723" s="7"/>
    </row>
    <row r="724" spans="1:26" ht="12.75" customHeight="1" x14ac:dyDescent="0.2">
      <c r="A724" s="534"/>
      <c r="B724" s="534"/>
      <c r="C724" s="40" t="s">
        <v>36</v>
      </c>
      <c r="D724" s="41">
        <v>9</v>
      </c>
      <c r="E724" s="30">
        <v>9441.7000000000007</v>
      </c>
      <c r="F724" s="30">
        <v>0</v>
      </c>
      <c r="G724" s="30">
        <v>0</v>
      </c>
      <c r="H724" s="30">
        <v>6207.16</v>
      </c>
      <c r="I724" s="30">
        <v>0</v>
      </c>
      <c r="J724" s="42">
        <v>1304.07</v>
      </c>
      <c r="K724" s="43">
        <v>15648.86</v>
      </c>
      <c r="L724" s="51">
        <v>16952.93</v>
      </c>
      <c r="M724" s="33"/>
      <c r="N724" s="30">
        <v>15648.86</v>
      </c>
      <c r="O724" s="30">
        <v>9441.7000000000007</v>
      </c>
      <c r="P724" s="30">
        <v>702</v>
      </c>
      <c r="Q724" s="30">
        <v>18652.439999999999</v>
      </c>
      <c r="R724" s="7"/>
      <c r="S724" s="7"/>
      <c r="T724" s="7"/>
      <c r="U724" s="7"/>
      <c r="V724" s="7"/>
      <c r="W724" s="7"/>
      <c r="X724" s="7"/>
      <c r="Y724" s="7"/>
      <c r="Z724" s="7"/>
    </row>
    <row r="725" spans="1:26" ht="9" customHeight="1" x14ac:dyDescent="0.2">
      <c r="A725" s="534"/>
      <c r="B725" s="534"/>
      <c r="C725" s="34" t="s">
        <v>37</v>
      </c>
      <c r="D725" s="35">
        <v>14</v>
      </c>
      <c r="E725" s="36">
        <v>18281680</v>
      </c>
      <c r="F725" s="36">
        <v>0</v>
      </c>
      <c r="G725" s="36">
        <v>0</v>
      </c>
      <c r="H725" s="36">
        <v>12018738</v>
      </c>
      <c r="I725" s="36">
        <v>0</v>
      </c>
      <c r="J725" s="37">
        <v>2525032</v>
      </c>
      <c r="K725" s="36">
        <v>30300418</v>
      </c>
      <c r="L725" s="50">
        <v>32825450</v>
      </c>
      <c r="M725" s="39"/>
      <c r="N725" s="36">
        <v>30300418</v>
      </c>
      <c r="O725" s="36">
        <v>18281680</v>
      </c>
      <c r="P725" s="36">
        <v>1359262</v>
      </c>
      <c r="Q725" s="36">
        <v>36116160</v>
      </c>
      <c r="R725" s="7"/>
      <c r="S725" s="7"/>
      <c r="T725" s="7"/>
      <c r="U725" s="7"/>
      <c r="V725" s="7"/>
      <c r="W725" s="7"/>
      <c r="X725" s="7"/>
      <c r="Y725" s="7"/>
      <c r="Z725" s="7"/>
    </row>
    <row r="726" spans="1:26" ht="12.75" customHeight="1" x14ac:dyDescent="0.2">
      <c r="A726" s="534"/>
      <c r="B726" s="534"/>
      <c r="C726" s="40" t="s">
        <v>36</v>
      </c>
      <c r="D726" s="41">
        <v>15</v>
      </c>
      <c r="E726" s="30">
        <v>10385.15</v>
      </c>
      <c r="F726" s="30">
        <v>0</v>
      </c>
      <c r="G726" s="30">
        <v>0</v>
      </c>
      <c r="H726" s="30">
        <v>6207.16</v>
      </c>
      <c r="I726" s="30">
        <v>0</v>
      </c>
      <c r="J726" s="42">
        <v>1382.69</v>
      </c>
      <c r="K726" s="43">
        <v>16592.310000000001</v>
      </c>
      <c r="L726" s="51">
        <v>17975</v>
      </c>
      <c r="M726" s="33"/>
      <c r="N726" s="30">
        <v>16592.310000000001</v>
      </c>
      <c r="O726" s="30">
        <v>10385.15</v>
      </c>
      <c r="P726" s="30">
        <v>702</v>
      </c>
      <c r="Q726" s="30">
        <v>19844.330000000002</v>
      </c>
      <c r="R726" s="7"/>
      <c r="S726" s="7"/>
      <c r="T726" s="7"/>
      <c r="U726" s="7"/>
      <c r="V726" s="7"/>
      <c r="W726" s="7"/>
      <c r="X726" s="7"/>
      <c r="Y726" s="7"/>
      <c r="Z726" s="7"/>
    </row>
    <row r="727" spans="1:26" ht="9" customHeight="1" x14ac:dyDescent="0.2">
      <c r="A727" s="534"/>
      <c r="B727" s="534"/>
      <c r="C727" s="34" t="s">
        <v>37</v>
      </c>
      <c r="D727" s="35">
        <v>20</v>
      </c>
      <c r="E727" s="36">
        <v>20108454</v>
      </c>
      <c r="F727" s="36">
        <v>0</v>
      </c>
      <c r="G727" s="36">
        <v>0</v>
      </c>
      <c r="H727" s="36">
        <v>12018738</v>
      </c>
      <c r="I727" s="36">
        <v>0</v>
      </c>
      <c r="J727" s="37">
        <v>2677261</v>
      </c>
      <c r="K727" s="36">
        <v>32127192</v>
      </c>
      <c r="L727" s="50">
        <v>34804453</v>
      </c>
      <c r="M727" s="39"/>
      <c r="N727" s="36">
        <v>32127192</v>
      </c>
      <c r="O727" s="36">
        <v>20108454</v>
      </c>
      <c r="P727" s="36">
        <v>1359262</v>
      </c>
      <c r="Q727" s="36">
        <v>38423981</v>
      </c>
      <c r="R727" s="7"/>
      <c r="S727" s="7"/>
      <c r="T727" s="7"/>
      <c r="U727" s="7"/>
      <c r="V727" s="7"/>
      <c r="W727" s="7"/>
      <c r="X727" s="7"/>
      <c r="Y727" s="7"/>
      <c r="Z727" s="7"/>
    </row>
    <row r="728" spans="1:26" ht="12.75" customHeight="1" x14ac:dyDescent="0.2">
      <c r="A728" s="534"/>
      <c r="B728" s="534"/>
      <c r="C728" s="40" t="s">
        <v>36</v>
      </c>
      <c r="D728" s="41">
        <v>21</v>
      </c>
      <c r="E728" s="30">
        <v>11313.93</v>
      </c>
      <c r="F728" s="30">
        <v>0</v>
      </c>
      <c r="G728" s="30">
        <v>0</v>
      </c>
      <c r="H728" s="30">
        <v>6207.16</v>
      </c>
      <c r="I728" s="30">
        <v>0</v>
      </c>
      <c r="J728" s="42">
        <v>1460.09</v>
      </c>
      <c r="K728" s="43">
        <v>17521.09</v>
      </c>
      <c r="L728" s="51">
        <v>18981.18</v>
      </c>
      <c r="M728" s="33"/>
      <c r="N728" s="30">
        <v>17521.09</v>
      </c>
      <c r="O728" s="30">
        <v>11313.93</v>
      </c>
      <c r="P728" s="30">
        <v>702</v>
      </c>
      <c r="Q728" s="30">
        <v>21017.69</v>
      </c>
      <c r="R728" s="7"/>
      <c r="S728" s="7"/>
      <c r="T728" s="7"/>
      <c r="U728" s="7"/>
      <c r="V728" s="7"/>
      <c r="W728" s="7"/>
      <c r="X728" s="7"/>
      <c r="Y728" s="7"/>
      <c r="Z728" s="7"/>
    </row>
    <row r="729" spans="1:26" ht="9" customHeight="1" x14ac:dyDescent="0.2">
      <c r="A729" s="534"/>
      <c r="B729" s="534"/>
      <c r="C729" s="34" t="s">
        <v>37</v>
      </c>
      <c r="D729" s="35">
        <v>27</v>
      </c>
      <c r="E729" s="36">
        <v>21906823</v>
      </c>
      <c r="F729" s="36">
        <v>0</v>
      </c>
      <c r="G729" s="36">
        <v>0</v>
      </c>
      <c r="H729" s="36">
        <v>12018738</v>
      </c>
      <c r="I729" s="36">
        <v>0</v>
      </c>
      <c r="J729" s="37">
        <v>2827128</v>
      </c>
      <c r="K729" s="36">
        <v>33925561</v>
      </c>
      <c r="L729" s="50">
        <v>36752689</v>
      </c>
      <c r="M729" s="39"/>
      <c r="N729" s="36">
        <v>33925561</v>
      </c>
      <c r="O729" s="36">
        <v>21906823</v>
      </c>
      <c r="P729" s="36">
        <v>1359262</v>
      </c>
      <c r="Q729" s="36">
        <v>40695923</v>
      </c>
      <c r="R729" s="7"/>
      <c r="S729" s="7"/>
      <c r="T729" s="7"/>
      <c r="U729" s="7"/>
      <c r="V729" s="7"/>
      <c r="W729" s="7"/>
      <c r="X729" s="7"/>
      <c r="Y729" s="7"/>
      <c r="Z729" s="7"/>
    </row>
    <row r="730" spans="1:26" ht="12.75" customHeight="1" x14ac:dyDescent="0.2">
      <c r="A730" s="534"/>
      <c r="B730" s="534"/>
      <c r="C730" s="40" t="s">
        <v>36</v>
      </c>
      <c r="D730" s="41">
        <v>28</v>
      </c>
      <c r="E730" s="30">
        <v>12014.7</v>
      </c>
      <c r="F730" s="30">
        <v>0</v>
      </c>
      <c r="G730" s="30">
        <v>0</v>
      </c>
      <c r="H730" s="30">
        <v>6207.16</v>
      </c>
      <c r="I730" s="30">
        <v>0</v>
      </c>
      <c r="J730" s="42">
        <v>1518.49</v>
      </c>
      <c r="K730" s="43">
        <v>18221.86</v>
      </c>
      <c r="L730" s="51">
        <v>19740.349999999999</v>
      </c>
      <c r="M730" s="33"/>
      <c r="N730" s="30">
        <v>18221.86</v>
      </c>
      <c r="O730" s="30">
        <v>12014.7</v>
      </c>
      <c r="P730" s="30">
        <v>702</v>
      </c>
      <c r="Q730" s="30">
        <v>21903</v>
      </c>
      <c r="R730" s="7"/>
      <c r="S730" s="7"/>
      <c r="T730" s="7"/>
      <c r="U730" s="7"/>
      <c r="V730" s="7"/>
      <c r="W730" s="7"/>
      <c r="X730" s="7"/>
      <c r="Y730" s="7"/>
      <c r="Z730" s="7"/>
    </row>
    <row r="731" spans="1:26" ht="9" customHeight="1" x14ac:dyDescent="0.2">
      <c r="A731" s="534"/>
      <c r="B731" s="534"/>
      <c r="C731" s="34" t="s">
        <v>37</v>
      </c>
      <c r="D731" s="35">
        <v>34</v>
      </c>
      <c r="E731" s="36">
        <v>23263703</v>
      </c>
      <c r="F731" s="36">
        <v>0</v>
      </c>
      <c r="G731" s="36">
        <v>0</v>
      </c>
      <c r="H731" s="36">
        <v>12018738</v>
      </c>
      <c r="I731" s="36">
        <v>0</v>
      </c>
      <c r="J731" s="37">
        <v>2940207</v>
      </c>
      <c r="K731" s="36">
        <v>35282441</v>
      </c>
      <c r="L731" s="50">
        <v>38222647</v>
      </c>
      <c r="M731" s="39"/>
      <c r="N731" s="36">
        <v>35282441</v>
      </c>
      <c r="O731" s="36">
        <v>23263703</v>
      </c>
      <c r="P731" s="36">
        <v>1359262</v>
      </c>
      <c r="Q731" s="36">
        <v>42410122</v>
      </c>
      <c r="R731" s="7"/>
      <c r="S731" s="7"/>
      <c r="T731" s="7"/>
      <c r="U731" s="7"/>
      <c r="V731" s="7"/>
      <c r="W731" s="7"/>
      <c r="X731" s="7"/>
      <c r="Y731" s="7"/>
      <c r="Z731" s="7"/>
    </row>
    <row r="732" spans="1:26" ht="12.75" customHeight="1" x14ac:dyDescent="0.2">
      <c r="A732" s="534"/>
      <c r="B732" s="534"/>
      <c r="C732" s="40" t="s">
        <v>36</v>
      </c>
      <c r="D732" s="41">
        <v>35</v>
      </c>
      <c r="E732" s="30">
        <v>12505.67</v>
      </c>
      <c r="F732" s="30">
        <v>0</v>
      </c>
      <c r="G732" s="30">
        <v>0</v>
      </c>
      <c r="H732" s="30">
        <v>6207.16</v>
      </c>
      <c r="I732" s="30">
        <v>0</v>
      </c>
      <c r="J732" s="42">
        <v>1559.4</v>
      </c>
      <c r="K732" s="43">
        <v>18712.830000000002</v>
      </c>
      <c r="L732" s="51">
        <v>20272.23</v>
      </c>
      <c r="M732" s="33"/>
      <c r="N732" s="30">
        <v>18712.830000000002</v>
      </c>
      <c r="O732" s="30">
        <v>12505.67</v>
      </c>
      <c r="P732" s="30">
        <v>702</v>
      </c>
      <c r="Q732" s="30">
        <v>22523.25</v>
      </c>
      <c r="R732" s="7"/>
      <c r="S732" s="7"/>
      <c r="T732" s="7"/>
      <c r="U732" s="7"/>
      <c r="V732" s="7"/>
      <c r="W732" s="7"/>
      <c r="X732" s="7"/>
      <c r="Y732" s="7"/>
      <c r="Z732" s="7"/>
    </row>
    <row r="733" spans="1:26" ht="9" customHeight="1" x14ac:dyDescent="0.2">
      <c r="A733" s="535"/>
      <c r="B733" s="535"/>
      <c r="C733" s="47" t="s">
        <v>37</v>
      </c>
      <c r="D733" s="48"/>
      <c r="E733" s="46">
        <v>24214354</v>
      </c>
      <c r="F733" s="46">
        <v>0</v>
      </c>
      <c r="G733" s="46">
        <v>0</v>
      </c>
      <c r="H733" s="46">
        <v>12018738</v>
      </c>
      <c r="I733" s="46">
        <v>0</v>
      </c>
      <c r="J733" s="49">
        <v>3019419</v>
      </c>
      <c r="K733" s="46">
        <v>36233091</v>
      </c>
      <c r="L733" s="52">
        <v>39252511</v>
      </c>
      <c r="M733" s="39"/>
      <c r="N733" s="36">
        <v>36233091</v>
      </c>
      <c r="O733" s="36">
        <v>24214354</v>
      </c>
      <c r="P733" s="36">
        <v>1359262</v>
      </c>
      <c r="Q733" s="36">
        <v>43611093</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7"/>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7"/>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7"/>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7"/>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7"/>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7"/>
      <c r="M739" s="39"/>
      <c r="N739" s="96"/>
      <c r="O739" s="96"/>
      <c r="P739" s="96"/>
      <c r="Q739" s="96"/>
      <c r="R739" s="7"/>
      <c r="S739" s="7"/>
      <c r="T739" s="7"/>
      <c r="U739" s="7"/>
      <c r="V739" s="7"/>
      <c r="W739" s="7"/>
      <c r="X739" s="7"/>
      <c r="Y739" s="7"/>
      <c r="Z739" s="7"/>
    </row>
    <row r="740" spans="1:26" ht="12.75" customHeight="1" x14ac:dyDescent="0.2">
      <c r="A740" s="538">
        <v>39539</v>
      </c>
      <c r="B740" s="538">
        <v>39629</v>
      </c>
      <c r="C740" s="28" t="s">
        <v>36</v>
      </c>
      <c r="D740" s="29">
        <v>0</v>
      </c>
      <c r="E740" s="30">
        <v>8225.02</v>
      </c>
      <c r="F740" s="30">
        <v>0</v>
      </c>
      <c r="G740" s="30">
        <v>0</v>
      </c>
      <c r="H740" s="30">
        <v>6207.16</v>
      </c>
      <c r="I740" s="30">
        <v>0</v>
      </c>
      <c r="J740" s="30">
        <v>1202.68</v>
      </c>
      <c r="K740" s="31">
        <v>14432.18</v>
      </c>
      <c r="L740" s="32">
        <v>15634.86</v>
      </c>
      <c r="M740" s="33"/>
      <c r="N740" s="30">
        <v>14432.18</v>
      </c>
      <c r="O740" s="30">
        <v>8225.02</v>
      </c>
      <c r="P740" s="30">
        <v>702</v>
      </c>
      <c r="Q740" s="30">
        <v>17115.36</v>
      </c>
      <c r="R740" s="7"/>
      <c r="S740" s="7"/>
      <c r="T740" s="7"/>
      <c r="U740" s="7"/>
      <c r="V740" s="7"/>
      <c r="W740" s="7"/>
      <c r="X740" s="7"/>
      <c r="Y740" s="7"/>
      <c r="Z740" s="7"/>
    </row>
    <row r="741" spans="1:26" ht="9" customHeight="1" x14ac:dyDescent="0.2">
      <c r="A741" s="534"/>
      <c r="B741" s="534"/>
      <c r="C741" s="34" t="s">
        <v>37</v>
      </c>
      <c r="D741" s="35">
        <v>2</v>
      </c>
      <c r="E741" s="36">
        <v>15925859</v>
      </c>
      <c r="F741" s="36">
        <v>0</v>
      </c>
      <c r="G741" s="36">
        <v>0</v>
      </c>
      <c r="H741" s="36">
        <v>12018738</v>
      </c>
      <c r="I741" s="36">
        <v>0</v>
      </c>
      <c r="J741" s="37">
        <v>2328713</v>
      </c>
      <c r="K741" s="36">
        <v>27944597</v>
      </c>
      <c r="L741" s="50">
        <v>30273310</v>
      </c>
      <c r="M741" s="39"/>
      <c r="N741" s="36">
        <v>27944597</v>
      </c>
      <c r="O741" s="36">
        <v>15925859</v>
      </c>
      <c r="P741" s="36">
        <v>1359262</v>
      </c>
      <c r="Q741" s="36">
        <v>33139958</v>
      </c>
      <c r="R741" s="7"/>
      <c r="S741" s="7"/>
      <c r="T741" s="7"/>
      <c r="U741" s="7"/>
      <c r="V741" s="7"/>
      <c r="W741" s="7"/>
      <c r="X741" s="7"/>
      <c r="Y741" s="7"/>
      <c r="Z741" s="7"/>
    </row>
    <row r="742" spans="1:26" ht="12.75" customHeight="1" x14ac:dyDescent="0.2">
      <c r="A742" s="539">
        <v>39539</v>
      </c>
      <c r="B742" s="539">
        <v>39629</v>
      </c>
      <c r="C742" s="40" t="s">
        <v>36</v>
      </c>
      <c r="D742" s="41">
        <v>3</v>
      </c>
      <c r="E742" s="30">
        <v>8503.9699999999993</v>
      </c>
      <c r="F742" s="30">
        <v>0</v>
      </c>
      <c r="G742" s="30">
        <v>0</v>
      </c>
      <c r="H742" s="30">
        <v>6207.16</v>
      </c>
      <c r="I742" s="30">
        <v>0</v>
      </c>
      <c r="J742" s="42">
        <v>1225.93</v>
      </c>
      <c r="K742" s="43">
        <v>14711.13</v>
      </c>
      <c r="L742" s="51">
        <v>15937.06</v>
      </c>
      <c r="M742" s="33"/>
      <c r="N742" s="30">
        <v>14711.13</v>
      </c>
      <c r="O742" s="30">
        <v>8503.9699999999993</v>
      </c>
      <c r="P742" s="30">
        <v>702</v>
      </c>
      <c r="Q742" s="30">
        <v>17467.77</v>
      </c>
      <c r="R742" s="7"/>
      <c r="S742" s="7"/>
      <c r="T742" s="7"/>
      <c r="U742" s="7"/>
      <c r="V742" s="7"/>
      <c r="W742" s="7"/>
      <c r="X742" s="7"/>
      <c r="Y742" s="7"/>
      <c r="Z742" s="7"/>
    </row>
    <row r="743" spans="1:26" ht="9" customHeight="1" x14ac:dyDescent="0.2">
      <c r="A743" s="534"/>
      <c r="B743" s="534"/>
      <c r="C743" s="34" t="s">
        <v>37</v>
      </c>
      <c r="D743" s="35">
        <v>8</v>
      </c>
      <c r="E743" s="36">
        <v>16465982</v>
      </c>
      <c r="F743" s="36">
        <v>0</v>
      </c>
      <c r="G743" s="36">
        <v>0</v>
      </c>
      <c r="H743" s="36">
        <v>12018738</v>
      </c>
      <c r="I743" s="36">
        <v>0</v>
      </c>
      <c r="J743" s="37">
        <v>2373731</v>
      </c>
      <c r="K743" s="36">
        <v>28484720</v>
      </c>
      <c r="L743" s="50">
        <v>30858451</v>
      </c>
      <c r="M743" s="39"/>
      <c r="N743" s="36">
        <v>28484720</v>
      </c>
      <c r="O743" s="36">
        <v>16465982</v>
      </c>
      <c r="P743" s="36">
        <v>1359262</v>
      </c>
      <c r="Q743" s="36">
        <v>33822319</v>
      </c>
      <c r="R743" s="7"/>
      <c r="S743" s="7"/>
      <c r="T743" s="7"/>
      <c r="U743" s="7"/>
      <c r="V743" s="7"/>
      <c r="W743" s="7"/>
      <c r="X743" s="7"/>
      <c r="Y743" s="7"/>
      <c r="Z743" s="7"/>
    </row>
    <row r="744" spans="1:26" ht="12.75" customHeight="1" x14ac:dyDescent="0.2">
      <c r="A744" s="534"/>
      <c r="B744" s="534"/>
      <c r="C744" s="40" t="s">
        <v>36</v>
      </c>
      <c r="D744" s="41">
        <v>9</v>
      </c>
      <c r="E744" s="30">
        <v>9514.9</v>
      </c>
      <c r="F744" s="30">
        <v>0</v>
      </c>
      <c r="G744" s="30">
        <v>0</v>
      </c>
      <c r="H744" s="30">
        <v>6207.16</v>
      </c>
      <c r="I744" s="30">
        <v>0</v>
      </c>
      <c r="J744" s="42">
        <v>1310.17</v>
      </c>
      <c r="K744" s="43">
        <v>15722.06</v>
      </c>
      <c r="L744" s="51">
        <v>17032.23</v>
      </c>
      <c r="M744" s="33"/>
      <c r="N744" s="30">
        <v>15722.06</v>
      </c>
      <c r="O744" s="30">
        <v>9514.9</v>
      </c>
      <c r="P744" s="30">
        <v>702</v>
      </c>
      <c r="Q744" s="30">
        <v>18744.91</v>
      </c>
      <c r="R744" s="7"/>
      <c r="S744" s="7"/>
      <c r="T744" s="7"/>
      <c r="U744" s="7"/>
      <c r="V744" s="7"/>
      <c r="W744" s="7"/>
      <c r="X744" s="7"/>
      <c r="Y744" s="7"/>
      <c r="Z744" s="7"/>
    </row>
    <row r="745" spans="1:26" ht="9" customHeight="1" x14ac:dyDescent="0.2">
      <c r="A745" s="534"/>
      <c r="B745" s="534"/>
      <c r="C745" s="34" t="s">
        <v>37</v>
      </c>
      <c r="D745" s="35">
        <v>14</v>
      </c>
      <c r="E745" s="36">
        <v>18423415</v>
      </c>
      <c r="F745" s="36">
        <v>0</v>
      </c>
      <c r="G745" s="36">
        <v>0</v>
      </c>
      <c r="H745" s="36">
        <v>12018738</v>
      </c>
      <c r="I745" s="36">
        <v>0</v>
      </c>
      <c r="J745" s="37">
        <v>2536843</v>
      </c>
      <c r="K745" s="36">
        <v>30442153</v>
      </c>
      <c r="L745" s="50">
        <v>32978996</v>
      </c>
      <c r="M745" s="39"/>
      <c r="N745" s="36">
        <v>30442153</v>
      </c>
      <c r="O745" s="36">
        <v>18423415</v>
      </c>
      <c r="P745" s="36">
        <v>1359262</v>
      </c>
      <c r="Q745" s="36">
        <v>36295207</v>
      </c>
      <c r="R745" s="7"/>
      <c r="S745" s="7"/>
      <c r="T745" s="7"/>
      <c r="U745" s="7"/>
      <c r="V745" s="7"/>
      <c r="W745" s="7"/>
      <c r="X745" s="7"/>
      <c r="Y745" s="7"/>
      <c r="Z745" s="7"/>
    </row>
    <row r="746" spans="1:26" ht="12.75" customHeight="1" x14ac:dyDescent="0.2">
      <c r="A746" s="534"/>
      <c r="B746" s="534"/>
      <c r="C746" s="40" t="s">
        <v>36</v>
      </c>
      <c r="D746" s="41">
        <v>15</v>
      </c>
      <c r="E746" s="30">
        <v>10458.35</v>
      </c>
      <c r="F746" s="30">
        <v>0</v>
      </c>
      <c r="G746" s="30">
        <v>0</v>
      </c>
      <c r="H746" s="30">
        <v>6207.16</v>
      </c>
      <c r="I746" s="30">
        <v>0</v>
      </c>
      <c r="J746" s="42">
        <v>1388.79</v>
      </c>
      <c r="K746" s="43">
        <v>16665.509999999998</v>
      </c>
      <c r="L746" s="51">
        <v>18054.3</v>
      </c>
      <c r="M746" s="33"/>
      <c r="N746" s="30">
        <v>16665.509999999998</v>
      </c>
      <c r="O746" s="30">
        <v>10458.35</v>
      </c>
      <c r="P746" s="30">
        <v>702</v>
      </c>
      <c r="Q746" s="30">
        <v>19936.8</v>
      </c>
      <c r="R746" s="7"/>
      <c r="S746" s="7"/>
      <c r="T746" s="7"/>
      <c r="U746" s="7"/>
      <c r="V746" s="7"/>
      <c r="W746" s="7"/>
      <c r="X746" s="7"/>
      <c r="Y746" s="7"/>
      <c r="Z746" s="7"/>
    </row>
    <row r="747" spans="1:26" ht="9" customHeight="1" x14ac:dyDescent="0.2">
      <c r="A747" s="534"/>
      <c r="B747" s="534"/>
      <c r="C747" s="34" t="s">
        <v>37</v>
      </c>
      <c r="D747" s="35">
        <v>20</v>
      </c>
      <c r="E747" s="36">
        <v>20250189</v>
      </c>
      <c r="F747" s="36">
        <v>0</v>
      </c>
      <c r="G747" s="36">
        <v>0</v>
      </c>
      <c r="H747" s="36">
        <v>12018738</v>
      </c>
      <c r="I747" s="36">
        <v>0</v>
      </c>
      <c r="J747" s="37">
        <v>2689072</v>
      </c>
      <c r="K747" s="36">
        <v>32268927</v>
      </c>
      <c r="L747" s="50">
        <v>34957999</v>
      </c>
      <c r="M747" s="39"/>
      <c r="N747" s="36">
        <v>32268927</v>
      </c>
      <c r="O747" s="36">
        <v>20250189</v>
      </c>
      <c r="P747" s="36">
        <v>1359262</v>
      </c>
      <c r="Q747" s="36">
        <v>38603028</v>
      </c>
      <c r="R747" s="7"/>
      <c r="S747" s="7"/>
      <c r="T747" s="7"/>
      <c r="U747" s="7"/>
      <c r="V747" s="7"/>
      <c r="W747" s="7"/>
      <c r="X747" s="7"/>
      <c r="Y747" s="7"/>
      <c r="Z747" s="7"/>
    </row>
    <row r="748" spans="1:26" ht="12.75" customHeight="1" x14ac:dyDescent="0.2">
      <c r="A748" s="534"/>
      <c r="B748" s="534"/>
      <c r="C748" s="40" t="s">
        <v>36</v>
      </c>
      <c r="D748" s="41">
        <v>21</v>
      </c>
      <c r="E748" s="30">
        <v>11387.13</v>
      </c>
      <c r="F748" s="30">
        <v>0</v>
      </c>
      <c r="G748" s="30">
        <v>0</v>
      </c>
      <c r="H748" s="30">
        <v>6207.16</v>
      </c>
      <c r="I748" s="30">
        <v>0</v>
      </c>
      <c r="J748" s="42">
        <v>1466.19</v>
      </c>
      <c r="K748" s="43">
        <v>17594.29</v>
      </c>
      <c r="L748" s="51">
        <v>19060.48</v>
      </c>
      <c r="M748" s="33"/>
      <c r="N748" s="30">
        <v>17594.29</v>
      </c>
      <c r="O748" s="30">
        <v>11387.13</v>
      </c>
      <c r="P748" s="30">
        <v>702</v>
      </c>
      <c r="Q748" s="30">
        <v>21110.16</v>
      </c>
      <c r="R748" s="7"/>
      <c r="S748" s="7"/>
      <c r="T748" s="7"/>
      <c r="U748" s="7"/>
      <c r="V748" s="7"/>
      <c r="W748" s="7"/>
      <c r="X748" s="7"/>
      <c r="Y748" s="7"/>
      <c r="Z748" s="7"/>
    </row>
    <row r="749" spans="1:26" ht="9" customHeight="1" x14ac:dyDescent="0.2">
      <c r="A749" s="534"/>
      <c r="B749" s="534"/>
      <c r="C749" s="34" t="s">
        <v>37</v>
      </c>
      <c r="D749" s="35">
        <v>27</v>
      </c>
      <c r="E749" s="36">
        <v>22048558</v>
      </c>
      <c r="F749" s="36">
        <v>0</v>
      </c>
      <c r="G749" s="36">
        <v>0</v>
      </c>
      <c r="H749" s="36">
        <v>12018738</v>
      </c>
      <c r="I749" s="36">
        <v>0</v>
      </c>
      <c r="J749" s="37">
        <v>2838940</v>
      </c>
      <c r="K749" s="36">
        <v>34067296</v>
      </c>
      <c r="L749" s="50">
        <v>36906236</v>
      </c>
      <c r="M749" s="39"/>
      <c r="N749" s="36">
        <v>34067296</v>
      </c>
      <c r="O749" s="36">
        <v>22048558</v>
      </c>
      <c r="P749" s="36">
        <v>1359262</v>
      </c>
      <c r="Q749" s="36">
        <v>40874970</v>
      </c>
      <c r="R749" s="7"/>
      <c r="S749" s="7"/>
      <c r="T749" s="7"/>
      <c r="U749" s="7"/>
      <c r="V749" s="7"/>
      <c r="W749" s="7"/>
      <c r="X749" s="7"/>
      <c r="Y749" s="7"/>
      <c r="Z749" s="7"/>
    </row>
    <row r="750" spans="1:26" ht="12.75" customHeight="1" x14ac:dyDescent="0.2">
      <c r="A750" s="534"/>
      <c r="B750" s="534"/>
      <c r="C750" s="40" t="s">
        <v>36</v>
      </c>
      <c r="D750" s="41">
        <v>28</v>
      </c>
      <c r="E750" s="30">
        <v>12087.9</v>
      </c>
      <c r="F750" s="30">
        <v>0</v>
      </c>
      <c r="G750" s="30">
        <v>0</v>
      </c>
      <c r="H750" s="30">
        <v>6207.16</v>
      </c>
      <c r="I750" s="30">
        <v>0</v>
      </c>
      <c r="J750" s="42">
        <v>1524.59</v>
      </c>
      <c r="K750" s="43">
        <v>18295.060000000001</v>
      </c>
      <c r="L750" s="51">
        <v>19819.650000000001</v>
      </c>
      <c r="M750" s="33"/>
      <c r="N750" s="30">
        <v>18295.060000000001</v>
      </c>
      <c r="O750" s="30">
        <v>12087.9</v>
      </c>
      <c r="P750" s="30">
        <v>702</v>
      </c>
      <c r="Q750" s="30">
        <v>21995.47</v>
      </c>
      <c r="R750" s="7"/>
      <c r="S750" s="7"/>
      <c r="T750" s="7"/>
      <c r="U750" s="7"/>
      <c r="V750" s="7"/>
      <c r="W750" s="7"/>
      <c r="X750" s="7"/>
      <c r="Y750" s="7"/>
      <c r="Z750" s="7"/>
    </row>
    <row r="751" spans="1:26" ht="9" customHeight="1" x14ac:dyDescent="0.2">
      <c r="A751" s="534"/>
      <c r="B751" s="534"/>
      <c r="C751" s="34" t="s">
        <v>37</v>
      </c>
      <c r="D751" s="35">
        <v>34</v>
      </c>
      <c r="E751" s="36">
        <v>23405438</v>
      </c>
      <c r="F751" s="36">
        <v>0</v>
      </c>
      <c r="G751" s="36">
        <v>0</v>
      </c>
      <c r="H751" s="36">
        <v>12018738</v>
      </c>
      <c r="I751" s="36">
        <v>0</v>
      </c>
      <c r="J751" s="37">
        <v>2952018</v>
      </c>
      <c r="K751" s="36">
        <v>35424176</v>
      </c>
      <c r="L751" s="50">
        <v>38376194</v>
      </c>
      <c r="M751" s="39"/>
      <c r="N751" s="36">
        <v>35424176</v>
      </c>
      <c r="O751" s="36">
        <v>23405438</v>
      </c>
      <c r="P751" s="36">
        <v>1359262</v>
      </c>
      <c r="Q751" s="36">
        <v>42589169</v>
      </c>
      <c r="R751" s="7"/>
      <c r="S751" s="7"/>
      <c r="T751" s="7"/>
      <c r="U751" s="7"/>
      <c r="V751" s="7"/>
      <c r="W751" s="7"/>
      <c r="X751" s="7"/>
      <c r="Y751" s="7"/>
      <c r="Z751" s="7"/>
    </row>
    <row r="752" spans="1:26" ht="12.75" customHeight="1" x14ac:dyDescent="0.2">
      <c r="A752" s="534"/>
      <c r="B752" s="534"/>
      <c r="C752" s="40" t="s">
        <v>36</v>
      </c>
      <c r="D752" s="41">
        <v>35</v>
      </c>
      <c r="E752" s="30">
        <v>12578.87</v>
      </c>
      <c r="F752" s="30">
        <v>0</v>
      </c>
      <c r="G752" s="30">
        <v>0</v>
      </c>
      <c r="H752" s="30">
        <v>6207.16</v>
      </c>
      <c r="I752" s="30">
        <v>0</v>
      </c>
      <c r="J752" s="42">
        <v>1565.5</v>
      </c>
      <c r="K752" s="43">
        <v>18786.03</v>
      </c>
      <c r="L752" s="51">
        <v>20351.53</v>
      </c>
      <c r="M752" s="33"/>
      <c r="N752" s="30">
        <v>18786.03</v>
      </c>
      <c r="O752" s="30">
        <v>12578.87</v>
      </c>
      <c r="P752" s="30">
        <v>702</v>
      </c>
      <c r="Q752" s="30">
        <v>22615.73</v>
      </c>
      <c r="R752" s="7"/>
      <c r="S752" s="7"/>
      <c r="T752" s="7"/>
      <c r="U752" s="7"/>
      <c r="V752" s="7"/>
      <c r="W752" s="7"/>
      <c r="X752" s="7"/>
      <c r="Y752" s="7"/>
      <c r="Z752" s="7"/>
    </row>
    <row r="753" spans="1:26" ht="9" customHeight="1" x14ac:dyDescent="0.2">
      <c r="A753" s="535"/>
      <c r="B753" s="535"/>
      <c r="C753" s="47" t="s">
        <v>37</v>
      </c>
      <c r="D753" s="48"/>
      <c r="E753" s="36">
        <v>24356089</v>
      </c>
      <c r="F753" s="36">
        <v>0</v>
      </c>
      <c r="G753" s="36">
        <v>0</v>
      </c>
      <c r="H753" s="36">
        <v>12018738</v>
      </c>
      <c r="I753" s="36">
        <v>0</v>
      </c>
      <c r="J753" s="49">
        <v>3031231</v>
      </c>
      <c r="K753" s="46">
        <v>36374826</v>
      </c>
      <c r="L753" s="52">
        <v>39406057</v>
      </c>
      <c r="M753" s="39"/>
      <c r="N753" s="36">
        <v>36374826</v>
      </c>
      <c r="O753" s="36">
        <v>24356089</v>
      </c>
      <c r="P753" s="36">
        <v>1359262</v>
      </c>
      <c r="Q753" s="36">
        <v>43790160</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7"/>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7"/>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7"/>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7"/>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7"/>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7"/>
      <c r="M759" s="39"/>
      <c r="N759" s="96"/>
      <c r="O759" s="96"/>
      <c r="P759" s="96"/>
      <c r="Q759" s="96"/>
      <c r="R759" s="7"/>
      <c r="S759" s="7"/>
      <c r="T759" s="7"/>
      <c r="U759" s="7"/>
      <c r="V759" s="7"/>
      <c r="W759" s="7"/>
      <c r="X759" s="7"/>
      <c r="Y759" s="7"/>
      <c r="Z759" s="7"/>
    </row>
    <row r="760" spans="1:26" ht="12.75" customHeight="1" x14ac:dyDescent="0.2">
      <c r="A760" s="538">
        <v>39630</v>
      </c>
      <c r="B760" s="538">
        <v>39813</v>
      </c>
      <c r="C760" s="28" t="s">
        <v>36</v>
      </c>
      <c r="D760" s="29">
        <v>0</v>
      </c>
      <c r="E760" s="30">
        <v>8273.86</v>
      </c>
      <c r="F760" s="30">
        <v>0</v>
      </c>
      <c r="G760" s="30">
        <v>0</v>
      </c>
      <c r="H760" s="30">
        <v>6207.16</v>
      </c>
      <c r="I760" s="30">
        <v>0</v>
      </c>
      <c r="J760" s="30">
        <v>1206.75</v>
      </c>
      <c r="K760" s="31">
        <v>14481.02</v>
      </c>
      <c r="L760" s="32">
        <v>15687.77</v>
      </c>
      <c r="M760" s="33"/>
      <c r="N760" s="30">
        <v>14481.02</v>
      </c>
      <c r="O760" s="30">
        <v>8273.86</v>
      </c>
      <c r="P760" s="30">
        <v>702</v>
      </c>
      <c r="Q760" s="30">
        <v>17177.060000000001</v>
      </c>
      <c r="R760" s="7"/>
      <c r="S760" s="7"/>
      <c r="T760" s="7"/>
      <c r="U760" s="7"/>
      <c r="V760" s="7"/>
      <c r="W760" s="7"/>
      <c r="X760" s="7"/>
      <c r="Y760" s="7"/>
      <c r="Z760" s="7"/>
    </row>
    <row r="761" spans="1:26" ht="9" customHeight="1" x14ac:dyDescent="0.2">
      <c r="A761" s="534"/>
      <c r="B761" s="534"/>
      <c r="C761" s="34" t="s">
        <v>37</v>
      </c>
      <c r="D761" s="35">
        <v>2</v>
      </c>
      <c r="E761" s="36">
        <v>16020427</v>
      </c>
      <c r="F761" s="36">
        <v>0</v>
      </c>
      <c r="G761" s="36">
        <v>0</v>
      </c>
      <c r="H761" s="36">
        <v>12018738</v>
      </c>
      <c r="I761" s="36">
        <v>0</v>
      </c>
      <c r="J761" s="37">
        <v>2336594</v>
      </c>
      <c r="K761" s="36">
        <v>28039165</v>
      </c>
      <c r="L761" s="50">
        <v>30375758</v>
      </c>
      <c r="M761" s="39"/>
      <c r="N761" s="36">
        <v>28039165</v>
      </c>
      <c r="O761" s="36">
        <v>16020427</v>
      </c>
      <c r="P761" s="36">
        <v>1359262</v>
      </c>
      <c r="Q761" s="36">
        <v>33259426</v>
      </c>
      <c r="R761" s="7"/>
      <c r="S761" s="7"/>
      <c r="T761" s="7"/>
      <c r="U761" s="7"/>
      <c r="V761" s="7"/>
      <c r="W761" s="7"/>
      <c r="X761" s="7"/>
      <c r="Y761" s="7"/>
      <c r="Z761" s="7"/>
    </row>
    <row r="762" spans="1:26" ht="12.75" customHeight="1" x14ac:dyDescent="0.2">
      <c r="A762" s="539">
        <v>39630</v>
      </c>
      <c r="B762" s="539">
        <v>39813</v>
      </c>
      <c r="C762" s="40" t="s">
        <v>36</v>
      </c>
      <c r="D762" s="41">
        <v>3</v>
      </c>
      <c r="E762" s="30">
        <v>8552.81</v>
      </c>
      <c r="F762" s="30">
        <v>0</v>
      </c>
      <c r="G762" s="30">
        <v>0</v>
      </c>
      <c r="H762" s="30">
        <v>6207.16</v>
      </c>
      <c r="I762" s="30">
        <v>0</v>
      </c>
      <c r="J762" s="42">
        <v>1230</v>
      </c>
      <c r="K762" s="43">
        <v>14759.97</v>
      </c>
      <c r="L762" s="51">
        <v>15989.97</v>
      </c>
      <c r="M762" s="33"/>
      <c r="N762" s="30">
        <v>14759.97</v>
      </c>
      <c r="O762" s="30">
        <v>8552.81</v>
      </c>
      <c r="P762" s="30">
        <v>702</v>
      </c>
      <c r="Q762" s="30">
        <v>17529.48</v>
      </c>
      <c r="R762" s="7"/>
      <c r="S762" s="7"/>
      <c r="T762" s="7"/>
      <c r="U762" s="7"/>
      <c r="V762" s="7"/>
      <c r="W762" s="7"/>
      <c r="X762" s="7"/>
      <c r="Y762" s="7"/>
      <c r="Z762" s="7"/>
    </row>
    <row r="763" spans="1:26" ht="9" customHeight="1" x14ac:dyDescent="0.2">
      <c r="A763" s="534"/>
      <c r="B763" s="534"/>
      <c r="C763" s="34" t="s">
        <v>37</v>
      </c>
      <c r="D763" s="35">
        <v>8</v>
      </c>
      <c r="E763" s="36">
        <v>16560549</v>
      </c>
      <c r="F763" s="36">
        <v>0</v>
      </c>
      <c r="G763" s="36">
        <v>0</v>
      </c>
      <c r="H763" s="36">
        <v>12018738</v>
      </c>
      <c r="I763" s="36">
        <v>0</v>
      </c>
      <c r="J763" s="37">
        <v>2381612</v>
      </c>
      <c r="K763" s="36">
        <v>28579287</v>
      </c>
      <c r="L763" s="50">
        <v>30960899</v>
      </c>
      <c r="M763" s="39"/>
      <c r="N763" s="36">
        <v>28579287</v>
      </c>
      <c r="O763" s="36">
        <v>16560549</v>
      </c>
      <c r="P763" s="36">
        <v>1359262</v>
      </c>
      <c r="Q763" s="36">
        <v>33941806</v>
      </c>
      <c r="R763" s="7"/>
      <c r="S763" s="7"/>
      <c r="T763" s="7"/>
      <c r="U763" s="7"/>
      <c r="V763" s="7"/>
      <c r="W763" s="7"/>
      <c r="X763" s="7"/>
      <c r="Y763" s="7"/>
      <c r="Z763" s="7"/>
    </row>
    <row r="764" spans="1:26" ht="12.75" customHeight="1" x14ac:dyDescent="0.2">
      <c r="A764" s="534"/>
      <c r="B764" s="534"/>
      <c r="C764" s="40" t="s">
        <v>36</v>
      </c>
      <c r="D764" s="41">
        <v>9</v>
      </c>
      <c r="E764" s="30">
        <v>9563.74</v>
      </c>
      <c r="F764" s="30">
        <v>0</v>
      </c>
      <c r="G764" s="30">
        <v>0</v>
      </c>
      <c r="H764" s="30">
        <v>6207.16</v>
      </c>
      <c r="I764" s="30">
        <v>0</v>
      </c>
      <c r="J764" s="42">
        <v>1314.24</v>
      </c>
      <c r="K764" s="43">
        <v>15770.9</v>
      </c>
      <c r="L764" s="51">
        <v>17085.14</v>
      </c>
      <c r="M764" s="33"/>
      <c r="N764" s="30">
        <v>15770.9</v>
      </c>
      <c r="O764" s="30">
        <v>9563.74</v>
      </c>
      <c r="P764" s="30">
        <v>702</v>
      </c>
      <c r="Q764" s="30">
        <v>18806.61</v>
      </c>
      <c r="R764" s="7"/>
      <c r="S764" s="7"/>
      <c r="T764" s="7"/>
      <c r="U764" s="7"/>
      <c r="V764" s="7"/>
      <c r="W764" s="7"/>
      <c r="X764" s="7"/>
      <c r="Y764" s="7"/>
      <c r="Z764" s="7"/>
    </row>
    <row r="765" spans="1:26" ht="9" customHeight="1" x14ac:dyDescent="0.2">
      <c r="A765" s="534"/>
      <c r="B765" s="534"/>
      <c r="C765" s="34" t="s">
        <v>37</v>
      </c>
      <c r="D765" s="35">
        <v>14</v>
      </c>
      <c r="E765" s="36">
        <v>18517983</v>
      </c>
      <c r="F765" s="36">
        <v>0</v>
      </c>
      <c r="G765" s="36">
        <v>0</v>
      </c>
      <c r="H765" s="36">
        <v>12018738</v>
      </c>
      <c r="I765" s="36">
        <v>0</v>
      </c>
      <c r="J765" s="37">
        <v>2544723</v>
      </c>
      <c r="K765" s="36">
        <v>30536721</v>
      </c>
      <c r="L765" s="50">
        <v>33081444</v>
      </c>
      <c r="M765" s="39"/>
      <c r="N765" s="36">
        <v>30536721</v>
      </c>
      <c r="O765" s="36">
        <v>18517983</v>
      </c>
      <c r="P765" s="36">
        <v>1359262</v>
      </c>
      <c r="Q765" s="36">
        <v>36414675</v>
      </c>
      <c r="R765" s="7"/>
      <c r="S765" s="7"/>
      <c r="T765" s="7"/>
      <c r="U765" s="7"/>
      <c r="V765" s="7"/>
      <c r="W765" s="7"/>
      <c r="X765" s="7"/>
      <c r="Y765" s="7"/>
      <c r="Z765" s="7"/>
    </row>
    <row r="766" spans="1:26" ht="12.75" customHeight="1" x14ac:dyDescent="0.2">
      <c r="A766" s="534"/>
      <c r="B766" s="534"/>
      <c r="C766" s="40" t="s">
        <v>36</v>
      </c>
      <c r="D766" s="41">
        <v>15</v>
      </c>
      <c r="E766" s="30">
        <v>10507.19</v>
      </c>
      <c r="F766" s="30">
        <v>0</v>
      </c>
      <c r="G766" s="30">
        <v>0</v>
      </c>
      <c r="H766" s="30">
        <v>6207.16</v>
      </c>
      <c r="I766" s="30">
        <v>0</v>
      </c>
      <c r="J766" s="42">
        <v>1392.86</v>
      </c>
      <c r="K766" s="43">
        <v>16714.349999999999</v>
      </c>
      <c r="L766" s="51">
        <v>18107.21</v>
      </c>
      <c r="M766" s="33"/>
      <c r="N766" s="30">
        <v>16714.349999999999</v>
      </c>
      <c r="O766" s="30">
        <v>10507.19</v>
      </c>
      <c r="P766" s="30">
        <v>702</v>
      </c>
      <c r="Q766" s="30">
        <v>19998.5</v>
      </c>
      <c r="R766" s="7"/>
      <c r="S766" s="7"/>
      <c r="T766" s="7"/>
      <c r="U766" s="7"/>
      <c r="V766" s="7"/>
      <c r="W766" s="7"/>
      <c r="X766" s="7"/>
      <c r="Y766" s="7"/>
      <c r="Z766" s="7"/>
    </row>
    <row r="767" spans="1:26" ht="9" customHeight="1" x14ac:dyDescent="0.2">
      <c r="A767" s="534"/>
      <c r="B767" s="534"/>
      <c r="C767" s="34" t="s">
        <v>37</v>
      </c>
      <c r="D767" s="35">
        <v>20</v>
      </c>
      <c r="E767" s="36">
        <v>20344757</v>
      </c>
      <c r="F767" s="36">
        <v>0</v>
      </c>
      <c r="G767" s="36">
        <v>0</v>
      </c>
      <c r="H767" s="36">
        <v>12018738</v>
      </c>
      <c r="I767" s="36">
        <v>0</v>
      </c>
      <c r="J767" s="37">
        <v>2696953</v>
      </c>
      <c r="K767" s="36">
        <v>32363494</v>
      </c>
      <c r="L767" s="50">
        <v>35060448</v>
      </c>
      <c r="M767" s="39"/>
      <c r="N767" s="36">
        <v>32363494</v>
      </c>
      <c r="O767" s="36">
        <v>20344757</v>
      </c>
      <c r="P767" s="36">
        <v>1359262</v>
      </c>
      <c r="Q767" s="36">
        <v>38722496</v>
      </c>
      <c r="R767" s="7"/>
      <c r="S767" s="7"/>
      <c r="T767" s="7"/>
      <c r="U767" s="7"/>
      <c r="V767" s="7"/>
      <c r="W767" s="7"/>
      <c r="X767" s="7"/>
      <c r="Y767" s="7"/>
      <c r="Z767" s="7"/>
    </row>
    <row r="768" spans="1:26" ht="12.75" customHeight="1" x14ac:dyDescent="0.2">
      <c r="A768" s="534"/>
      <c r="B768" s="534"/>
      <c r="C768" s="40" t="s">
        <v>36</v>
      </c>
      <c r="D768" s="41">
        <v>21</v>
      </c>
      <c r="E768" s="30">
        <v>11435.97</v>
      </c>
      <c r="F768" s="30">
        <v>0</v>
      </c>
      <c r="G768" s="30">
        <v>0</v>
      </c>
      <c r="H768" s="30">
        <v>6207.16</v>
      </c>
      <c r="I768" s="30">
        <v>0</v>
      </c>
      <c r="J768" s="42">
        <v>1470.26</v>
      </c>
      <c r="K768" s="43">
        <v>17643.13</v>
      </c>
      <c r="L768" s="51">
        <v>19113.39</v>
      </c>
      <c r="M768" s="33"/>
      <c r="N768" s="30">
        <v>17643.13</v>
      </c>
      <c r="O768" s="30">
        <v>11435.97</v>
      </c>
      <c r="P768" s="30">
        <v>702</v>
      </c>
      <c r="Q768" s="30">
        <v>21171.86</v>
      </c>
      <c r="R768" s="7"/>
      <c r="S768" s="7"/>
      <c r="T768" s="7"/>
      <c r="U768" s="7"/>
      <c r="V768" s="7"/>
      <c r="W768" s="7"/>
      <c r="X768" s="7"/>
      <c r="Y768" s="7"/>
      <c r="Z768" s="7"/>
    </row>
    <row r="769" spans="1:26" ht="9" customHeight="1" x14ac:dyDescent="0.2">
      <c r="A769" s="534"/>
      <c r="B769" s="534"/>
      <c r="C769" s="34" t="s">
        <v>37</v>
      </c>
      <c r="D769" s="35">
        <v>27</v>
      </c>
      <c r="E769" s="36">
        <v>22143126</v>
      </c>
      <c r="F769" s="36">
        <v>0</v>
      </c>
      <c r="G769" s="36">
        <v>0</v>
      </c>
      <c r="H769" s="36">
        <v>12018738</v>
      </c>
      <c r="I769" s="36">
        <v>0</v>
      </c>
      <c r="J769" s="37">
        <v>2846820</v>
      </c>
      <c r="K769" s="36">
        <v>34161863</v>
      </c>
      <c r="L769" s="50">
        <v>37008684</v>
      </c>
      <c r="M769" s="39"/>
      <c r="N769" s="36">
        <v>34161863</v>
      </c>
      <c r="O769" s="36">
        <v>22143126</v>
      </c>
      <c r="P769" s="36">
        <v>1359262</v>
      </c>
      <c r="Q769" s="36">
        <v>40994437</v>
      </c>
      <c r="R769" s="7"/>
      <c r="S769" s="7"/>
      <c r="T769" s="7"/>
      <c r="U769" s="7"/>
      <c r="V769" s="7"/>
      <c r="W769" s="7"/>
      <c r="X769" s="7"/>
      <c r="Y769" s="7"/>
      <c r="Z769" s="7"/>
    </row>
    <row r="770" spans="1:26" ht="12.75" customHeight="1" x14ac:dyDescent="0.2">
      <c r="A770" s="534"/>
      <c r="B770" s="534"/>
      <c r="C770" s="40" t="s">
        <v>36</v>
      </c>
      <c r="D770" s="41">
        <v>28</v>
      </c>
      <c r="E770" s="30">
        <v>12136.74</v>
      </c>
      <c r="F770" s="30">
        <v>0</v>
      </c>
      <c r="G770" s="30">
        <v>0</v>
      </c>
      <c r="H770" s="30">
        <v>6207.16</v>
      </c>
      <c r="I770" s="30">
        <v>0</v>
      </c>
      <c r="J770" s="42">
        <v>1528.66</v>
      </c>
      <c r="K770" s="43">
        <v>18343.900000000001</v>
      </c>
      <c r="L770" s="51">
        <v>19872.560000000001</v>
      </c>
      <c r="M770" s="33"/>
      <c r="N770" s="30">
        <v>18343.900000000001</v>
      </c>
      <c r="O770" s="30">
        <v>12136.74</v>
      </c>
      <c r="P770" s="30">
        <v>702</v>
      </c>
      <c r="Q770" s="30">
        <v>22057.17</v>
      </c>
      <c r="R770" s="7"/>
      <c r="S770" s="7"/>
      <c r="T770" s="7"/>
      <c r="U770" s="7"/>
      <c r="V770" s="7"/>
      <c r="W770" s="7"/>
      <c r="X770" s="7"/>
      <c r="Y770" s="7"/>
      <c r="Z770" s="7"/>
    </row>
    <row r="771" spans="1:26" ht="9" customHeight="1" x14ac:dyDescent="0.2">
      <c r="A771" s="534"/>
      <c r="B771" s="534"/>
      <c r="C771" s="34" t="s">
        <v>37</v>
      </c>
      <c r="D771" s="35">
        <v>34</v>
      </c>
      <c r="E771" s="36">
        <v>23500006</v>
      </c>
      <c r="F771" s="36">
        <v>0</v>
      </c>
      <c r="G771" s="36">
        <v>0</v>
      </c>
      <c r="H771" s="36">
        <v>12018738</v>
      </c>
      <c r="I771" s="36">
        <v>0</v>
      </c>
      <c r="J771" s="37">
        <v>2959898</v>
      </c>
      <c r="K771" s="36">
        <v>35518743</v>
      </c>
      <c r="L771" s="50">
        <v>38478642</v>
      </c>
      <c r="M771" s="39"/>
      <c r="N771" s="36">
        <v>35518743</v>
      </c>
      <c r="O771" s="36">
        <v>23500006</v>
      </c>
      <c r="P771" s="36">
        <v>1359262</v>
      </c>
      <c r="Q771" s="36">
        <v>42708637</v>
      </c>
      <c r="R771" s="7"/>
      <c r="S771" s="7"/>
      <c r="T771" s="7"/>
      <c r="U771" s="7"/>
      <c r="V771" s="7"/>
      <c r="W771" s="7"/>
      <c r="X771" s="7"/>
      <c r="Y771" s="7"/>
      <c r="Z771" s="7"/>
    </row>
    <row r="772" spans="1:26" ht="12.75" customHeight="1" x14ac:dyDescent="0.2">
      <c r="A772" s="534"/>
      <c r="B772" s="534"/>
      <c r="C772" s="40" t="s">
        <v>36</v>
      </c>
      <c r="D772" s="41">
        <v>35</v>
      </c>
      <c r="E772" s="30">
        <v>12627.71</v>
      </c>
      <c r="F772" s="30">
        <v>0</v>
      </c>
      <c r="G772" s="30">
        <v>0</v>
      </c>
      <c r="H772" s="30">
        <v>6207.16</v>
      </c>
      <c r="I772" s="30">
        <v>0</v>
      </c>
      <c r="J772" s="42">
        <v>1569.57</v>
      </c>
      <c r="K772" s="43">
        <v>18834.87</v>
      </c>
      <c r="L772" s="51">
        <v>20404.439999999999</v>
      </c>
      <c r="M772" s="33"/>
      <c r="N772" s="30">
        <v>18834.87</v>
      </c>
      <c r="O772" s="30">
        <v>12627.71</v>
      </c>
      <c r="P772" s="30">
        <v>702</v>
      </c>
      <c r="Q772" s="30">
        <v>22677.43</v>
      </c>
      <c r="R772" s="7"/>
      <c r="S772" s="7"/>
      <c r="T772" s="7"/>
      <c r="U772" s="7"/>
      <c r="V772" s="7"/>
      <c r="W772" s="7"/>
      <c r="X772" s="7"/>
      <c r="Y772" s="7"/>
      <c r="Z772" s="7"/>
    </row>
    <row r="773" spans="1:26" ht="9" customHeight="1" x14ac:dyDescent="0.2">
      <c r="A773" s="535"/>
      <c r="B773" s="535"/>
      <c r="C773" s="47" t="s">
        <v>37</v>
      </c>
      <c r="D773" s="48"/>
      <c r="E773" s="36">
        <v>24450656</v>
      </c>
      <c r="F773" s="36">
        <v>0</v>
      </c>
      <c r="G773" s="36">
        <v>0</v>
      </c>
      <c r="H773" s="36">
        <v>12018738</v>
      </c>
      <c r="I773" s="36">
        <v>0</v>
      </c>
      <c r="J773" s="49">
        <v>3039111</v>
      </c>
      <c r="K773" s="46">
        <v>36469394</v>
      </c>
      <c r="L773" s="52">
        <v>39508505</v>
      </c>
      <c r="M773" s="39"/>
      <c r="N773" s="36">
        <v>36469394</v>
      </c>
      <c r="O773" s="36">
        <v>24450656</v>
      </c>
      <c r="P773" s="36">
        <v>1359262</v>
      </c>
      <c r="Q773" s="36">
        <v>43909627</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7"/>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7"/>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7"/>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7"/>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7"/>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7"/>
      <c r="M779" s="39"/>
      <c r="N779" s="96"/>
      <c r="O779" s="96"/>
      <c r="P779" s="96"/>
      <c r="Q779" s="96"/>
      <c r="R779" s="7"/>
      <c r="S779" s="7"/>
      <c r="T779" s="7"/>
      <c r="U779" s="7"/>
      <c r="V779" s="7"/>
      <c r="W779" s="7"/>
      <c r="X779" s="7"/>
      <c r="Y779" s="7"/>
      <c r="Z779" s="7"/>
    </row>
    <row r="780" spans="1:26" ht="12.75" customHeight="1" x14ac:dyDescent="0.2">
      <c r="A780" s="538">
        <v>39814</v>
      </c>
      <c r="B780" s="538">
        <v>40268</v>
      </c>
      <c r="C780" s="28" t="s">
        <v>36</v>
      </c>
      <c r="D780" s="29">
        <v>0</v>
      </c>
      <c r="E780" s="30">
        <v>8696.74</v>
      </c>
      <c r="F780" s="30">
        <v>0</v>
      </c>
      <c r="G780" s="30">
        <v>0</v>
      </c>
      <c r="H780" s="30">
        <v>6207.16</v>
      </c>
      <c r="I780" s="30">
        <v>0</v>
      </c>
      <c r="J780" s="30">
        <v>1241.99</v>
      </c>
      <c r="K780" s="31">
        <v>14903.9</v>
      </c>
      <c r="L780" s="32">
        <v>16145.89</v>
      </c>
      <c r="M780" s="33"/>
      <c r="N780" s="30">
        <v>14903.9</v>
      </c>
      <c r="O780" s="30">
        <v>8696.74</v>
      </c>
      <c r="P780" s="30">
        <v>702</v>
      </c>
      <c r="Q780" s="30">
        <v>17711.3</v>
      </c>
      <c r="R780" s="7"/>
      <c r="S780" s="7"/>
      <c r="T780" s="7"/>
      <c r="U780" s="7"/>
      <c r="V780" s="7"/>
      <c r="W780" s="7"/>
      <c r="X780" s="7"/>
      <c r="Y780" s="7"/>
      <c r="Z780" s="7"/>
    </row>
    <row r="781" spans="1:26" ht="9" customHeight="1" x14ac:dyDescent="0.2">
      <c r="A781" s="534"/>
      <c r="B781" s="534"/>
      <c r="C781" s="34" t="s">
        <v>37</v>
      </c>
      <c r="D781" s="35">
        <v>2</v>
      </c>
      <c r="E781" s="36">
        <v>16839237</v>
      </c>
      <c r="F781" s="36">
        <v>0</v>
      </c>
      <c r="G781" s="36">
        <v>0</v>
      </c>
      <c r="H781" s="36">
        <v>12018738</v>
      </c>
      <c r="I781" s="36">
        <v>0</v>
      </c>
      <c r="J781" s="37">
        <v>2404828</v>
      </c>
      <c r="K781" s="36">
        <v>28857974</v>
      </c>
      <c r="L781" s="50">
        <v>31262802</v>
      </c>
      <c r="M781" s="39"/>
      <c r="N781" s="36">
        <v>28857974</v>
      </c>
      <c r="O781" s="36">
        <v>16839237</v>
      </c>
      <c r="P781" s="36">
        <v>1359262</v>
      </c>
      <c r="Q781" s="36">
        <v>34293859</v>
      </c>
      <c r="R781" s="7"/>
      <c r="S781" s="7"/>
      <c r="T781" s="7"/>
      <c r="U781" s="7"/>
      <c r="V781" s="7"/>
      <c r="W781" s="7"/>
      <c r="X781" s="7"/>
      <c r="Y781" s="7"/>
      <c r="Z781" s="7"/>
    </row>
    <row r="782" spans="1:26" ht="12.75" customHeight="1" x14ac:dyDescent="0.2">
      <c r="A782" s="539">
        <v>39814</v>
      </c>
      <c r="B782" s="539">
        <v>40268</v>
      </c>
      <c r="C782" s="40" t="s">
        <v>36</v>
      </c>
      <c r="D782" s="41">
        <v>3</v>
      </c>
      <c r="E782" s="30">
        <v>8986.25</v>
      </c>
      <c r="F782" s="30">
        <v>0</v>
      </c>
      <c r="G782" s="30">
        <v>0</v>
      </c>
      <c r="H782" s="30">
        <v>6207.16</v>
      </c>
      <c r="I782" s="30">
        <v>0</v>
      </c>
      <c r="J782" s="42">
        <v>1266.1199999999999</v>
      </c>
      <c r="K782" s="43">
        <v>15193.41</v>
      </c>
      <c r="L782" s="51">
        <v>16459.53</v>
      </c>
      <c r="M782" s="33"/>
      <c r="N782" s="30">
        <v>15193.41</v>
      </c>
      <c r="O782" s="30">
        <v>8986.25</v>
      </c>
      <c r="P782" s="30">
        <v>702</v>
      </c>
      <c r="Q782" s="30">
        <v>18077.060000000001</v>
      </c>
      <c r="R782" s="7"/>
      <c r="S782" s="7"/>
      <c r="T782" s="7"/>
      <c r="U782" s="7"/>
      <c r="V782" s="7"/>
      <c r="W782" s="7"/>
      <c r="X782" s="7"/>
      <c r="Y782" s="7"/>
      <c r="Z782" s="7"/>
    </row>
    <row r="783" spans="1:26" ht="9" customHeight="1" x14ac:dyDescent="0.2">
      <c r="A783" s="534"/>
      <c r="B783" s="534"/>
      <c r="C783" s="34" t="s">
        <v>37</v>
      </c>
      <c r="D783" s="35">
        <v>8</v>
      </c>
      <c r="E783" s="36">
        <v>17399806</v>
      </c>
      <c r="F783" s="36">
        <v>0</v>
      </c>
      <c r="G783" s="36">
        <v>0</v>
      </c>
      <c r="H783" s="36">
        <v>12018738</v>
      </c>
      <c r="I783" s="36">
        <v>0</v>
      </c>
      <c r="J783" s="37">
        <v>2451550</v>
      </c>
      <c r="K783" s="36">
        <v>29418544</v>
      </c>
      <c r="L783" s="50">
        <v>31870094</v>
      </c>
      <c r="M783" s="39"/>
      <c r="N783" s="36">
        <v>29418544</v>
      </c>
      <c r="O783" s="36">
        <v>17399806</v>
      </c>
      <c r="P783" s="36">
        <v>1359262</v>
      </c>
      <c r="Q783" s="36">
        <v>35002069</v>
      </c>
      <c r="R783" s="7"/>
      <c r="S783" s="7"/>
      <c r="T783" s="7"/>
      <c r="U783" s="7"/>
      <c r="V783" s="7"/>
      <c r="W783" s="7"/>
      <c r="X783" s="7"/>
      <c r="Y783" s="7"/>
      <c r="Z783" s="7"/>
    </row>
    <row r="784" spans="1:26" ht="12.75" customHeight="1" x14ac:dyDescent="0.2">
      <c r="A784" s="534"/>
      <c r="B784" s="534"/>
      <c r="C784" s="40" t="s">
        <v>36</v>
      </c>
      <c r="D784" s="41">
        <v>9</v>
      </c>
      <c r="E784" s="30">
        <v>10035.58</v>
      </c>
      <c r="F784" s="30">
        <v>0</v>
      </c>
      <c r="G784" s="30">
        <v>0</v>
      </c>
      <c r="H784" s="30">
        <v>6207.16</v>
      </c>
      <c r="I784" s="30">
        <v>0</v>
      </c>
      <c r="J784" s="42">
        <v>1353.56</v>
      </c>
      <c r="K784" s="43">
        <v>16242.74</v>
      </c>
      <c r="L784" s="51">
        <v>17596.3</v>
      </c>
      <c r="M784" s="33"/>
      <c r="N784" s="30">
        <v>16242.74</v>
      </c>
      <c r="O784" s="30">
        <v>10035.58</v>
      </c>
      <c r="P784" s="30">
        <v>702</v>
      </c>
      <c r="Q784" s="30">
        <v>19402.7</v>
      </c>
      <c r="R784" s="7"/>
      <c r="S784" s="7"/>
      <c r="T784" s="7"/>
      <c r="U784" s="7"/>
      <c r="V784" s="7"/>
      <c r="W784" s="7"/>
      <c r="X784" s="7"/>
      <c r="Y784" s="7"/>
      <c r="Z784" s="7"/>
    </row>
    <row r="785" spans="1:26" ht="9" customHeight="1" x14ac:dyDescent="0.2">
      <c r="A785" s="534"/>
      <c r="B785" s="534"/>
      <c r="C785" s="34" t="s">
        <v>37</v>
      </c>
      <c r="D785" s="35">
        <v>14</v>
      </c>
      <c r="E785" s="36">
        <v>19431592</v>
      </c>
      <c r="F785" s="36">
        <v>0</v>
      </c>
      <c r="G785" s="36">
        <v>0</v>
      </c>
      <c r="H785" s="36">
        <v>12018738</v>
      </c>
      <c r="I785" s="36">
        <v>0</v>
      </c>
      <c r="J785" s="37">
        <v>2620858</v>
      </c>
      <c r="K785" s="36">
        <v>31450330</v>
      </c>
      <c r="L785" s="50">
        <v>34071188</v>
      </c>
      <c r="M785" s="39"/>
      <c r="N785" s="36">
        <v>31450330</v>
      </c>
      <c r="O785" s="36">
        <v>19431592</v>
      </c>
      <c r="P785" s="36">
        <v>1359262</v>
      </c>
      <c r="Q785" s="36">
        <v>37568866</v>
      </c>
      <c r="R785" s="7"/>
      <c r="S785" s="7"/>
      <c r="T785" s="7"/>
      <c r="U785" s="7"/>
      <c r="V785" s="7"/>
      <c r="W785" s="7"/>
      <c r="X785" s="7"/>
      <c r="Y785" s="7"/>
      <c r="Z785" s="7"/>
    </row>
    <row r="786" spans="1:26" ht="12.75" customHeight="1" x14ac:dyDescent="0.2">
      <c r="A786" s="534"/>
      <c r="B786" s="534"/>
      <c r="C786" s="40" t="s">
        <v>36</v>
      </c>
      <c r="D786" s="41">
        <v>15</v>
      </c>
      <c r="E786" s="30">
        <v>11014.79</v>
      </c>
      <c r="F786" s="30">
        <v>0</v>
      </c>
      <c r="G786" s="30">
        <v>0</v>
      </c>
      <c r="H786" s="30">
        <v>6207.16</v>
      </c>
      <c r="I786" s="30">
        <v>0</v>
      </c>
      <c r="J786" s="42">
        <v>1435.16</v>
      </c>
      <c r="K786" s="43">
        <v>17221.95</v>
      </c>
      <c r="L786" s="51">
        <v>18657.11</v>
      </c>
      <c r="M786" s="33"/>
      <c r="N786" s="30">
        <v>17221.95</v>
      </c>
      <c r="O786" s="30">
        <v>11014.79</v>
      </c>
      <c r="P786" s="30">
        <v>702</v>
      </c>
      <c r="Q786" s="30">
        <v>20639.77</v>
      </c>
      <c r="R786" s="7"/>
      <c r="S786" s="7"/>
      <c r="T786" s="7"/>
      <c r="U786" s="7"/>
      <c r="V786" s="7"/>
      <c r="W786" s="7"/>
      <c r="X786" s="7"/>
      <c r="Y786" s="7"/>
      <c r="Z786" s="7"/>
    </row>
    <row r="787" spans="1:26" ht="9" customHeight="1" x14ac:dyDescent="0.2">
      <c r="A787" s="534"/>
      <c r="B787" s="534"/>
      <c r="C787" s="34" t="s">
        <v>37</v>
      </c>
      <c r="D787" s="35">
        <v>20</v>
      </c>
      <c r="E787" s="36">
        <v>21327607</v>
      </c>
      <c r="F787" s="36">
        <v>0</v>
      </c>
      <c r="G787" s="36">
        <v>0</v>
      </c>
      <c r="H787" s="36">
        <v>12018738</v>
      </c>
      <c r="I787" s="36">
        <v>0</v>
      </c>
      <c r="J787" s="37">
        <v>2778857</v>
      </c>
      <c r="K787" s="36">
        <v>33346345</v>
      </c>
      <c r="L787" s="50">
        <v>36125202</v>
      </c>
      <c r="M787" s="39"/>
      <c r="N787" s="36">
        <v>33346345</v>
      </c>
      <c r="O787" s="36">
        <v>21327607</v>
      </c>
      <c r="P787" s="36">
        <v>1359262</v>
      </c>
      <c r="Q787" s="36">
        <v>39964167</v>
      </c>
      <c r="R787" s="7"/>
      <c r="S787" s="7"/>
      <c r="T787" s="7"/>
      <c r="U787" s="7"/>
      <c r="V787" s="7"/>
      <c r="W787" s="7"/>
      <c r="X787" s="7"/>
      <c r="Y787" s="7"/>
      <c r="Z787" s="7"/>
    </row>
    <row r="788" spans="1:26" ht="12.75" customHeight="1" x14ac:dyDescent="0.2">
      <c r="A788" s="534"/>
      <c r="B788" s="534"/>
      <c r="C788" s="40" t="s">
        <v>36</v>
      </c>
      <c r="D788" s="41">
        <v>21</v>
      </c>
      <c r="E788" s="30">
        <v>11978.85</v>
      </c>
      <c r="F788" s="30">
        <v>0</v>
      </c>
      <c r="G788" s="30">
        <v>0</v>
      </c>
      <c r="H788" s="30">
        <v>6207.16</v>
      </c>
      <c r="I788" s="30">
        <v>0</v>
      </c>
      <c r="J788" s="42">
        <v>1515.5</v>
      </c>
      <c r="K788" s="43">
        <v>18186.009999999998</v>
      </c>
      <c r="L788" s="51">
        <v>19701.509999999998</v>
      </c>
      <c r="M788" s="33"/>
      <c r="N788" s="30">
        <v>18186.009999999998</v>
      </c>
      <c r="O788" s="30">
        <v>11978.85</v>
      </c>
      <c r="P788" s="30">
        <v>702</v>
      </c>
      <c r="Q788" s="30">
        <v>21857.7</v>
      </c>
      <c r="R788" s="7"/>
      <c r="S788" s="7"/>
      <c r="T788" s="7"/>
      <c r="U788" s="7"/>
      <c r="V788" s="7"/>
      <c r="W788" s="7"/>
      <c r="X788" s="7"/>
      <c r="Y788" s="7"/>
      <c r="Z788" s="7"/>
    </row>
    <row r="789" spans="1:26" ht="9" customHeight="1" x14ac:dyDescent="0.2">
      <c r="A789" s="534"/>
      <c r="B789" s="534"/>
      <c r="C789" s="34" t="s">
        <v>37</v>
      </c>
      <c r="D789" s="35">
        <v>27</v>
      </c>
      <c r="E789" s="36">
        <v>23194288</v>
      </c>
      <c r="F789" s="36">
        <v>0</v>
      </c>
      <c r="G789" s="36">
        <v>0</v>
      </c>
      <c r="H789" s="36">
        <v>12018738</v>
      </c>
      <c r="I789" s="36">
        <v>0</v>
      </c>
      <c r="J789" s="37">
        <v>2934417</v>
      </c>
      <c r="K789" s="36">
        <v>35213026</v>
      </c>
      <c r="L789" s="50">
        <v>38147443</v>
      </c>
      <c r="M789" s="39"/>
      <c r="N789" s="36">
        <v>35213026</v>
      </c>
      <c r="O789" s="36">
        <v>23194288</v>
      </c>
      <c r="P789" s="36">
        <v>1359262</v>
      </c>
      <c r="Q789" s="36">
        <v>42322409</v>
      </c>
      <c r="R789" s="7"/>
      <c r="S789" s="7"/>
      <c r="T789" s="7"/>
      <c r="U789" s="7"/>
      <c r="V789" s="7"/>
      <c r="W789" s="7"/>
      <c r="X789" s="7"/>
      <c r="Y789" s="7"/>
      <c r="Z789" s="7"/>
    </row>
    <row r="790" spans="1:26" ht="12.75" customHeight="1" x14ac:dyDescent="0.2">
      <c r="A790" s="534"/>
      <c r="B790" s="534"/>
      <c r="C790" s="40" t="s">
        <v>36</v>
      </c>
      <c r="D790" s="41">
        <v>28</v>
      </c>
      <c r="E790" s="30">
        <v>12706.14</v>
      </c>
      <c r="F790" s="30">
        <v>0</v>
      </c>
      <c r="G790" s="30">
        <v>0</v>
      </c>
      <c r="H790" s="30">
        <v>6207.16</v>
      </c>
      <c r="I790" s="30">
        <v>0</v>
      </c>
      <c r="J790" s="42">
        <v>1576.11</v>
      </c>
      <c r="K790" s="43">
        <v>18913.3</v>
      </c>
      <c r="L790" s="51">
        <v>20489.41</v>
      </c>
      <c r="M790" s="33"/>
      <c r="N790" s="30">
        <v>18913.3</v>
      </c>
      <c r="O790" s="30">
        <v>12706.14</v>
      </c>
      <c r="P790" s="30">
        <v>702</v>
      </c>
      <c r="Q790" s="30">
        <v>22776.52</v>
      </c>
      <c r="R790" s="7"/>
      <c r="S790" s="7"/>
      <c r="T790" s="7"/>
      <c r="U790" s="7"/>
      <c r="V790" s="7"/>
      <c r="W790" s="7"/>
      <c r="X790" s="7"/>
      <c r="Y790" s="7"/>
      <c r="Z790" s="7"/>
    </row>
    <row r="791" spans="1:26" ht="9" customHeight="1" x14ac:dyDescent="0.2">
      <c r="A791" s="534"/>
      <c r="B791" s="534"/>
      <c r="C791" s="34" t="s">
        <v>37</v>
      </c>
      <c r="D791" s="35">
        <v>34</v>
      </c>
      <c r="E791" s="36">
        <v>24602518</v>
      </c>
      <c r="F791" s="36">
        <v>0</v>
      </c>
      <c r="G791" s="36">
        <v>0</v>
      </c>
      <c r="H791" s="36">
        <v>12018738</v>
      </c>
      <c r="I791" s="36">
        <v>0</v>
      </c>
      <c r="J791" s="37">
        <v>3051775</v>
      </c>
      <c r="K791" s="36">
        <v>36621255</v>
      </c>
      <c r="L791" s="50">
        <v>39673030</v>
      </c>
      <c r="M791" s="39"/>
      <c r="N791" s="36">
        <v>36621255</v>
      </c>
      <c r="O791" s="36">
        <v>24602518</v>
      </c>
      <c r="P791" s="36">
        <v>1359262</v>
      </c>
      <c r="Q791" s="36">
        <v>44101492</v>
      </c>
      <c r="R791" s="7"/>
      <c r="S791" s="7"/>
      <c r="T791" s="7"/>
      <c r="U791" s="7"/>
      <c r="V791" s="7"/>
      <c r="W791" s="7"/>
      <c r="X791" s="7"/>
      <c r="Y791" s="7"/>
      <c r="Z791" s="7"/>
    </row>
    <row r="792" spans="1:26" ht="12.75" customHeight="1" x14ac:dyDescent="0.2">
      <c r="A792" s="534"/>
      <c r="B792" s="534"/>
      <c r="C792" s="40" t="s">
        <v>36</v>
      </c>
      <c r="D792" s="41">
        <v>35</v>
      </c>
      <c r="E792" s="30">
        <v>13215.95</v>
      </c>
      <c r="F792" s="30">
        <v>0</v>
      </c>
      <c r="G792" s="30">
        <v>0</v>
      </c>
      <c r="H792" s="30">
        <v>6207.16</v>
      </c>
      <c r="I792" s="30">
        <v>0</v>
      </c>
      <c r="J792" s="42">
        <v>1618.59</v>
      </c>
      <c r="K792" s="43">
        <v>19423.11</v>
      </c>
      <c r="L792" s="51">
        <v>21041.7</v>
      </c>
      <c r="M792" s="33"/>
      <c r="N792" s="30">
        <v>19423.11</v>
      </c>
      <c r="O792" s="30">
        <v>13215.95</v>
      </c>
      <c r="P792" s="30">
        <v>702</v>
      </c>
      <c r="Q792" s="30">
        <v>23420.57</v>
      </c>
      <c r="R792" s="7"/>
      <c r="S792" s="7"/>
      <c r="T792" s="7"/>
      <c r="U792" s="7"/>
      <c r="V792" s="7"/>
      <c r="W792" s="7"/>
      <c r="X792" s="7"/>
      <c r="Y792" s="7"/>
      <c r="Z792" s="7"/>
    </row>
    <row r="793" spans="1:26" ht="9" customHeight="1" x14ac:dyDescent="0.2">
      <c r="A793" s="535"/>
      <c r="B793" s="535"/>
      <c r="C793" s="47" t="s">
        <v>37</v>
      </c>
      <c r="D793" s="48"/>
      <c r="E793" s="36">
        <v>25589648</v>
      </c>
      <c r="F793" s="36">
        <v>0</v>
      </c>
      <c r="G793" s="36">
        <v>0</v>
      </c>
      <c r="H793" s="36">
        <v>12018738</v>
      </c>
      <c r="I793" s="36">
        <v>0</v>
      </c>
      <c r="J793" s="49">
        <v>3134027</v>
      </c>
      <c r="K793" s="46">
        <v>37608385</v>
      </c>
      <c r="L793" s="52">
        <v>40742412</v>
      </c>
      <c r="M793" s="39"/>
      <c r="N793" s="36">
        <v>37608385</v>
      </c>
      <c r="O793" s="36">
        <v>25589648</v>
      </c>
      <c r="P793" s="36">
        <v>1359262</v>
      </c>
      <c r="Q793" s="36">
        <v>45348547</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7"/>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7"/>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7"/>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7"/>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7"/>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7"/>
      <c r="M799" s="39"/>
      <c r="N799" s="96"/>
      <c r="O799" s="96"/>
      <c r="P799" s="96"/>
      <c r="Q799" s="96"/>
      <c r="R799" s="7"/>
      <c r="S799" s="7"/>
      <c r="T799" s="7"/>
      <c r="U799" s="7"/>
      <c r="V799" s="7"/>
      <c r="W799" s="7"/>
      <c r="X799" s="7"/>
      <c r="Y799" s="7"/>
      <c r="Z799" s="7"/>
    </row>
    <row r="800" spans="1:26" ht="12.75" customHeight="1" x14ac:dyDescent="0.2">
      <c r="A800" s="538">
        <v>40269</v>
      </c>
      <c r="B800" s="538">
        <v>40359</v>
      </c>
      <c r="C800" s="28" t="s">
        <v>36</v>
      </c>
      <c r="D800" s="29">
        <v>0</v>
      </c>
      <c r="E800" s="30">
        <v>8696.74</v>
      </c>
      <c r="F800" s="30">
        <v>0</v>
      </c>
      <c r="G800" s="30">
        <v>0</v>
      </c>
      <c r="H800" s="30">
        <v>6207.16</v>
      </c>
      <c r="I800" s="30">
        <v>67.069999999999993</v>
      </c>
      <c r="J800" s="30">
        <v>1241.99</v>
      </c>
      <c r="K800" s="31">
        <v>14970.97</v>
      </c>
      <c r="L800" s="32">
        <v>16212.96</v>
      </c>
      <c r="M800" s="33"/>
      <c r="N800" s="30">
        <v>14970.97</v>
      </c>
      <c r="O800" s="30">
        <v>8763.81</v>
      </c>
      <c r="P800" s="30">
        <v>702</v>
      </c>
      <c r="Q800" s="30">
        <v>17790.45</v>
      </c>
      <c r="R800" s="7"/>
      <c r="S800" s="7"/>
      <c r="T800" s="7"/>
      <c r="U800" s="7"/>
      <c r="V800" s="7"/>
      <c r="W800" s="7"/>
      <c r="X800" s="7"/>
      <c r="Y800" s="7"/>
      <c r="Z800" s="7"/>
    </row>
    <row r="801" spans="1:26" ht="9" customHeight="1" x14ac:dyDescent="0.2">
      <c r="A801" s="534"/>
      <c r="B801" s="534"/>
      <c r="C801" s="34" t="s">
        <v>37</v>
      </c>
      <c r="D801" s="35">
        <v>2</v>
      </c>
      <c r="E801" s="36">
        <v>16839237</v>
      </c>
      <c r="F801" s="36">
        <v>0</v>
      </c>
      <c r="G801" s="36">
        <v>0</v>
      </c>
      <c r="H801" s="36">
        <v>12018738</v>
      </c>
      <c r="I801" s="36">
        <v>129866</v>
      </c>
      <c r="J801" s="37">
        <v>2404828</v>
      </c>
      <c r="K801" s="36">
        <v>28987840</v>
      </c>
      <c r="L801" s="50">
        <v>31392668</v>
      </c>
      <c r="M801" s="39"/>
      <c r="N801" s="36">
        <v>28987840</v>
      </c>
      <c r="O801" s="36">
        <v>16969102</v>
      </c>
      <c r="P801" s="36">
        <v>1359262</v>
      </c>
      <c r="Q801" s="36">
        <v>34447115</v>
      </c>
      <c r="R801" s="7"/>
      <c r="S801" s="7"/>
      <c r="T801" s="7"/>
      <c r="U801" s="7"/>
      <c r="V801" s="7"/>
      <c r="W801" s="7"/>
      <c r="X801" s="7"/>
      <c r="Y801" s="7"/>
      <c r="Z801" s="7"/>
    </row>
    <row r="802" spans="1:26" ht="12.75" customHeight="1" x14ac:dyDescent="0.2">
      <c r="A802" s="539">
        <v>40269</v>
      </c>
      <c r="B802" s="539">
        <v>40359</v>
      </c>
      <c r="C802" s="40" t="s">
        <v>36</v>
      </c>
      <c r="D802" s="41">
        <v>3</v>
      </c>
      <c r="E802" s="30">
        <v>8986.25</v>
      </c>
      <c r="F802" s="30">
        <v>0</v>
      </c>
      <c r="G802" s="30">
        <v>0</v>
      </c>
      <c r="H802" s="30">
        <v>6207.16</v>
      </c>
      <c r="I802" s="30">
        <v>67.069999999999993</v>
      </c>
      <c r="J802" s="42">
        <v>1266.1199999999999</v>
      </c>
      <c r="K802" s="43">
        <v>15260.48</v>
      </c>
      <c r="L802" s="51">
        <v>16526.599999999999</v>
      </c>
      <c r="M802" s="33"/>
      <c r="N802" s="30">
        <v>15260.48</v>
      </c>
      <c r="O802" s="30">
        <v>9053.32</v>
      </c>
      <c r="P802" s="30">
        <v>702</v>
      </c>
      <c r="Q802" s="30">
        <v>18156.2</v>
      </c>
      <c r="R802" s="7"/>
      <c r="S802" s="7"/>
      <c r="T802" s="7"/>
      <c r="U802" s="7"/>
      <c r="V802" s="7"/>
      <c r="W802" s="7"/>
      <c r="X802" s="7"/>
      <c r="Y802" s="7"/>
      <c r="Z802" s="7"/>
    </row>
    <row r="803" spans="1:26" ht="9" customHeight="1" x14ac:dyDescent="0.2">
      <c r="A803" s="534"/>
      <c r="B803" s="534"/>
      <c r="C803" s="34" t="s">
        <v>37</v>
      </c>
      <c r="D803" s="35">
        <v>8</v>
      </c>
      <c r="E803" s="36">
        <v>17399806</v>
      </c>
      <c r="F803" s="36">
        <v>0</v>
      </c>
      <c r="G803" s="36">
        <v>0</v>
      </c>
      <c r="H803" s="36">
        <v>12018738</v>
      </c>
      <c r="I803" s="36">
        <v>129866</v>
      </c>
      <c r="J803" s="37">
        <v>2451550</v>
      </c>
      <c r="K803" s="36">
        <v>29548410</v>
      </c>
      <c r="L803" s="50">
        <v>31999960</v>
      </c>
      <c r="M803" s="39"/>
      <c r="N803" s="36">
        <v>29548410</v>
      </c>
      <c r="O803" s="36">
        <v>17529672</v>
      </c>
      <c r="P803" s="36">
        <v>1359262</v>
      </c>
      <c r="Q803" s="36">
        <v>35155305</v>
      </c>
      <c r="R803" s="7"/>
      <c r="S803" s="7"/>
      <c r="T803" s="7"/>
      <c r="U803" s="7"/>
      <c r="V803" s="7"/>
      <c r="W803" s="7"/>
      <c r="X803" s="7"/>
      <c r="Y803" s="7"/>
      <c r="Z803" s="7"/>
    </row>
    <row r="804" spans="1:26" ht="12.75" customHeight="1" x14ac:dyDescent="0.2">
      <c r="A804" s="534"/>
      <c r="B804" s="534"/>
      <c r="C804" s="40" t="s">
        <v>36</v>
      </c>
      <c r="D804" s="41">
        <v>9</v>
      </c>
      <c r="E804" s="30">
        <v>10035.58</v>
      </c>
      <c r="F804" s="30">
        <v>0</v>
      </c>
      <c r="G804" s="30">
        <v>0</v>
      </c>
      <c r="H804" s="30">
        <v>6207.16</v>
      </c>
      <c r="I804" s="30">
        <v>67.069999999999993</v>
      </c>
      <c r="J804" s="42">
        <v>1353.56</v>
      </c>
      <c r="K804" s="43">
        <v>16309.81</v>
      </c>
      <c r="L804" s="51">
        <v>17663.37</v>
      </c>
      <c r="M804" s="33"/>
      <c r="N804" s="30">
        <v>16309.81</v>
      </c>
      <c r="O804" s="30">
        <v>10102.65</v>
      </c>
      <c r="P804" s="30">
        <v>702</v>
      </c>
      <c r="Q804" s="30">
        <v>19481.849999999999</v>
      </c>
      <c r="R804" s="7"/>
      <c r="S804" s="7"/>
      <c r="T804" s="7"/>
      <c r="U804" s="7"/>
      <c r="V804" s="7"/>
      <c r="W804" s="7"/>
      <c r="X804" s="7"/>
      <c r="Y804" s="7"/>
      <c r="Z804" s="7"/>
    </row>
    <row r="805" spans="1:26" ht="9" customHeight="1" x14ac:dyDescent="0.2">
      <c r="A805" s="534"/>
      <c r="B805" s="534"/>
      <c r="C805" s="34" t="s">
        <v>37</v>
      </c>
      <c r="D805" s="35">
        <v>14</v>
      </c>
      <c r="E805" s="36">
        <v>19431592</v>
      </c>
      <c r="F805" s="36">
        <v>0</v>
      </c>
      <c r="G805" s="36">
        <v>0</v>
      </c>
      <c r="H805" s="36">
        <v>12018738</v>
      </c>
      <c r="I805" s="36">
        <v>129866</v>
      </c>
      <c r="J805" s="37">
        <v>2620858</v>
      </c>
      <c r="K805" s="36">
        <v>31580196</v>
      </c>
      <c r="L805" s="50">
        <v>34201053</v>
      </c>
      <c r="M805" s="39"/>
      <c r="N805" s="36">
        <v>31580196</v>
      </c>
      <c r="O805" s="36">
        <v>19561458</v>
      </c>
      <c r="P805" s="36">
        <v>1359262</v>
      </c>
      <c r="Q805" s="36">
        <v>37722122</v>
      </c>
      <c r="R805" s="7"/>
      <c r="S805" s="7"/>
      <c r="T805" s="7"/>
      <c r="U805" s="7"/>
      <c r="V805" s="7"/>
      <c r="W805" s="7"/>
      <c r="X805" s="7"/>
      <c r="Y805" s="7"/>
      <c r="Z805" s="7"/>
    </row>
    <row r="806" spans="1:26" ht="12.75" customHeight="1" x14ac:dyDescent="0.2">
      <c r="A806" s="534"/>
      <c r="B806" s="534"/>
      <c r="C806" s="40" t="s">
        <v>36</v>
      </c>
      <c r="D806" s="41">
        <v>15</v>
      </c>
      <c r="E806" s="30">
        <v>11014.79</v>
      </c>
      <c r="F806" s="30">
        <v>0</v>
      </c>
      <c r="G806" s="30">
        <v>0</v>
      </c>
      <c r="H806" s="30">
        <v>6207.16</v>
      </c>
      <c r="I806" s="30">
        <v>67.069999999999993</v>
      </c>
      <c r="J806" s="42">
        <v>1435.16</v>
      </c>
      <c r="K806" s="43">
        <v>17289.02</v>
      </c>
      <c r="L806" s="51">
        <v>18724.18</v>
      </c>
      <c r="M806" s="33"/>
      <c r="N806" s="30">
        <v>17289.02</v>
      </c>
      <c r="O806" s="30">
        <v>11081.86</v>
      </c>
      <c r="P806" s="30">
        <v>702</v>
      </c>
      <c r="Q806" s="30">
        <v>20718.91</v>
      </c>
      <c r="R806" s="7"/>
      <c r="S806" s="7"/>
      <c r="T806" s="7"/>
      <c r="U806" s="7"/>
      <c r="V806" s="7"/>
      <c r="W806" s="7"/>
      <c r="X806" s="7"/>
      <c r="Y806" s="7"/>
      <c r="Z806" s="7"/>
    </row>
    <row r="807" spans="1:26" ht="9" customHeight="1" x14ac:dyDescent="0.2">
      <c r="A807" s="534"/>
      <c r="B807" s="534"/>
      <c r="C807" s="34" t="s">
        <v>37</v>
      </c>
      <c r="D807" s="35">
        <v>20</v>
      </c>
      <c r="E807" s="36">
        <v>21327607</v>
      </c>
      <c r="F807" s="36">
        <v>0</v>
      </c>
      <c r="G807" s="36">
        <v>0</v>
      </c>
      <c r="H807" s="36">
        <v>12018738</v>
      </c>
      <c r="I807" s="36">
        <v>129866</v>
      </c>
      <c r="J807" s="37">
        <v>2778857</v>
      </c>
      <c r="K807" s="36">
        <v>33476211</v>
      </c>
      <c r="L807" s="50">
        <v>36255068</v>
      </c>
      <c r="M807" s="39"/>
      <c r="N807" s="36">
        <v>33476211</v>
      </c>
      <c r="O807" s="36">
        <v>21457473</v>
      </c>
      <c r="P807" s="36">
        <v>1359262</v>
      </c>
      <c r="Q807" s="36">
        <v>40117404</v>
      </c>
      <c r="R807" s="7"/>
      <c r="S807" s="7"/>
      <c r="T807" s="7"/>
      <c r="U807" s="7"/>
      <c r="V807" s="7"/>
      <c r="W807" s="7"/>
      <c r="X807" s="7"/>
      <c r="Y807" s="7"/>
      <c r="Z807" s="7"/>
    </row>
    <row r="808" spans="1:26" ht="12.75" customHeight="1" x14ac:dyDescent="0.2">
      <c r="A808" s="534"/>
      <c r="B808" s="534"/>
      <c r="C808" s="40" t="s">
        <v>36</v>
      </c>
      <c r="D808" s="41">
        <v>21</v>
      </c>
      <c r="E808" s="30">
        <v>11978.85</v>
      </c>
      <c r="F808" s="30">
        <v>0</v>
      </c>
      <c r="G808" s="30">
        <v>0</v>
      </c>
      <c r="H808" s="30">
        <v>6207.16</v>
      </c>
      <c r="I808" s="30">
        <v>67.069999999999993</v>
      </c>
      <c r="J808" s="42">
        <v>1515.5</v>
      </c>
      <c r="K808" s="43">
        <v>18253.080000000002</v>
      </c>
      <c r="L808" s="51">
        <v>19768.580000000002</v>
      </c>
      <c r="M808" s="33"/>
      <c r="N808" s="30">
        <v>18253.080000000002</v>
      </c>
      <c r="O808" s="30">
        <v>12045.92</v>
      </c>
      <c r="P808" s="30">
        <v>702</v>
      </c>
      <c r="Q808" s="30">
        <v>21936.85</v>
      </c>
      <c r="R808" s="7"/>
      <c r="S808" s="7"/>
      <c r="T808" s="7"/>
      <c r="U808" s="7"/>
      <c r="V808" s="7"/>
      <c r="W808" s="7"/>
      <c r="X808" s="7"/>
      <c r="Y808" s="7"/>
      <c r="Z808" s="7"/>
    </row>
    <row r="809" spans="1:26" ht="9" customHeight="1" x14ac:dyDescent="0.2">
      <c r="A809" s="534"/>
      <c r="B809" s="534"/>
      <c r="C809" s="34" t="s">
        <v>37</v>
      </c>
      <c r="D809" s="35">
        <v>27</v>
      </c>
      <c r="E809" s="36">
        <v>23194288</v>
      </c>
      <c r="F809" s="36">
        <v>0</v>
      </c>
      <c r="G809" s="36">
        <v>0</v>
      </c>
      <c r="H809" s="36">
        <v>12018738</v>
      </c>
      <c r="I809" s="36">
        <v>129866</v>
      </c>
      <c r="J809" s="37">
        <v>2934417</v>
      </c>
      <c r="K809" s="36">
        <v>35342891</v>
      </c>
      <c r="L809" s="50">
        <v>38277308</v>
      </c>
      <c r="M809" s="39"/>
      <c r="N809" s="36">
        <v>35342891</v>
      </c>
      <c r="O809" s="36">
        <v>23324154</v>
      </c>
      <c r="P809" s="36">
        <v>1359262</v>
      </c>
      <c r="Q809" s="36">
        <v>42475665</v>
      </c>
      <c r="R809" s="7"/>
      <c r="S809" s="7"/>
      <c r="T809" s="7"/>
      <c r="U809" s="7"/>
      <c r="V809" s="7"/>
      <c r="W809" s="7"/>
      <c r="X809" s="7"/>
      <c r="Y809" s="7"/>
      <c r="Z809" s="7"/>
    </row>
    <row r="810" spans="1:26" ht="12.75" customHeight="1" x14ac:dyDescent="0.2">
      <c r="A810" s="534"/>
      <c r="B810" s="534"/>
      <c r="C810" s="40" t="s">
        <v>36</v>
      </c>
      <c r="D810" s="41">
        <v>28</v>
      </c>
      <c r="E810" s="30">
        <v>12706.14</v>
      </c>
      <c r="F810" s="30">
        <v>0</v>
      </c>
      <c r="G810" s="30">
        <v>0</v>
      </c>
      <c r="H810" s="30">
        <v>6207.16</v>
      </c>
      <c r="I810" s="30">
        <v>67.069999999999993</v>
      </c>
      <c r="J810" s="42">
        <v>1576.11</v>
      </c>
      <c r="K810" s="43">
        <v>18980.37</v>
      </c>
      <c r="L810" s="51">
        <v>20556.48</v>
      </c>
      <c r="M810" s="33"/>
      <c r="N810" s="30">
        <v>18980.37</v>
      </c>
      <c r="O810" s="30">
        <v>12773.21</v>
      </c>
      <c r="P810" s="30">
        <v>702</v>
      </c>
      <c r="Q810" s="30">
        <v>22855.66</v>
      </c>
      <c r="R810" s="7"/>
      <c r="S810" s="7"/>
      <c r="T810" s="7"/>
      <c r="U810" s="7"/>
      <c r="V810" s="7"/>
      <c r="W810" s="7"/>
      <c r="X810" s="7"/>
      <c r="Y810" s="7"/>
      <c r="Z810" s="7"/>
    </row>
    <row r="811" spans="1:26" ht="9" customHeight="1" x14ac:dyDescent="0.2">
      <c r="A811" s="534"/>
      <c r="B811" s="534"/>
      <c r="C811" s="34" t="s">
        <v>37</v>
      </c>
      <c r="D811" s="35">
        <v>34</v>
      </c>
      <c r="E811" s="36">
        <v>24602518</v>
      </c>
      <c r="F811" s="36">
        <v>0</v>
      </c>
      <c r="G811" s="36">
        <v>0</v>
      </c>
      <c r="H811" s="36">
        <v>12018738</v>
      </c>
      <c r="I811" s="36">
        <v>129866</v>
      </c>
      <c r="J811" s="37">
        <v>3051775</v>
      </c>
      <c r="K811" s="36">
        <v>36751121</v>
      </c>
      <c r="L811" s="50">
        <v>39802896</v>
      </c>
      <c r="M811" s="39"/>
      <c r="N811" s="36">
        <v>36751121</v>
      </c>
      <c r="O811" s="36">
        <v>24732383</v>
      </c>
      <c r="P811" s="36">
        <v>1359262</v>
      </c>
      <c r="Q811" s="36">
        <v>44254729</v>
      </c>
      <c r="R811" s="7"/>
      <c r="S811" s="7"/>
      <c r="T811" s="7"/>
      <c r="U811" s="7"/>
      <c r="V811" s="7"/>
      <c r="W811" s="7"/>
      <c r="X811" s="7"/>
      <c r="Y811" s="7"/>
      <c r="Z811" s="7"/>
    </row>
    <row r="812" spans="1:26" ht="12.75" customHeight="1" x14ac:dyDescent="0.2">
      <c r="A812" s="534"/>
      <c r="B812" s="534"/>
      <c r="C812" s="40" t="s">
        <v>36</v>
      </c>
      <c r="D812" s="41">
        <v>35</v>
      </c>
      <c r="E812" s="30">
        <v>13215.95</v>
      </c>
      <c r="F812" s="30">
        <v>0</v>
      </c>
      <c r="G812" s="30">
        <v>0</v>
      </c>
      <c r="H812" s="30">
        <v>6207.16</v>
      </c>
      <c r="I812" s="30">
        <v>67.069999999999993</v>
      </c>
      <c r="J812" s="42">
        <v>1618.59</v>
      </c>
      <c r="K812" s="43">
        <v>19490.18</v>
      </c>
      <c r="L812" s="51">
        <v>21108.77</v>
      </c>
      <c r="M812" s="33"/>
      <c r="N812" s="30">
        <v>19490.18</v>
      </c>
      <c r="O812" s="30">
        <v>13283.02</v>
      </c>
      <c r="P812" s="30">
        <v>702</v>
      </c>
      <c r="Q812" s="30">
        <v>23499.71</v>
      </c>
      <c r="R812" s="7"/>
      <c r="S812" s="7"/>
      <c r="T812" s="7"/>
      <c r="U812" s="7"/>
      <c r="V812" s="7"/>
      <c r="W812" s="7"/>
      <c r="X812" s="7"/>
      <c r="Y812" s="7"/>
      <c r="Z812" s="7"/>
    </row>
    <row r="813" spans="1:26" ht="9" customHeight="1" x14ac:dyDescent="0.2">
      <c r="A813" s="535"/>
      <c r="B813" s="535"/>
      <c r="C813" s="47" t="s">
        <v>37</v>
      </c>
      <c r="D813" s="48"/>
      <c r="E813" s="36">
        <v>25589648</v>
      </c>
      <c r="F813" s="36">
        <v>0</v>
      </c>
      <c r="G813" s="36">
        <v>0</v>
      </c>
      <c r="H813" s="36">
        <v>12018738</v>
      </c>
      <c r="I813" s="36">
        <v>129866</v>
      </c>
      <c r="J813" s="49">
        <v>3134027</v>
      </c>
      <c r="K813" s="46">
        <v>37738251</v>
      </c>
      <c r="L813" s="52">
        <v>40872278</v>
      </c>
      <c r="M813" s="39"/>
      <c r="N813" s="36">
        <v>37738251</v>
      </c>
      <c r="O813" s="36">
        <v>25719513</v>
      </c>
      <c r="P813" s="36">
        <v>1359262</v>
      </c>
      <c r="Q813" s="36">
        <v>45501783</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7"/>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7"/>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7"/>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7"/>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7"/>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7"/>
      <c r="M819" s="39"/>
      <c r="N819" s="96"/>
      <c r="O819" s="96"/>
      <c r="P819" s="96"/>
      <c r="Q819" s="96"/>
      <c r="R819" s="7"/>
      <c r="S819" s="7"/>
      <c r="T819" s="7"/>
      <c r="U819" s="7"/>
      <c r="V819" s="7"/>
      <c r="W819" s="7"/>
      <c r="X819" s="7"/>
      <c r="Y819" s="7"/>
      <c r="Z819" s="7"/>
    </row>
    <row r="820" spans="1:26" ht="12.75" customHeight="1" x14ac:dyDescent="0.2">
      <c r="A820" s="538">
        <v>40360</v>
      </c>
      <c r="B820" s="538">
        <v>40421</v>
      </c>
      <c r="C820" s="28" t="s">
        <v>36</v>
      </c>
      <c r="D820" s="29">
        <v>0</v>
      </c>
      <c r="E820" s="30">
        <v>8696.74</v>
      </c>
      <c r="F820" s="30">
        <v>0</v>
      </c>
      <c r="G820" s="30">
        <v>0</v>
      </c>
      <c r="H820" s="30">
        <v>6207.16</v>
      </c>
      <c r="I820" s="30">
        <v>111.78</v>
      </c>
      <c r="J820" s="30">
        <v>1241.99</v>
      </c>
      <c r="K820" s="31">
        <v>15015.68</v>
      </c>
      <c r="L820" s="32">
        <v>16257.67</v>
      </c>
      <c r="M820" s="33"/>
      <c r="N820" s="30">
        <v>15015.68</v>
      </c>
      <c r="O820" s="30">
        <v>8808.52</v>
      </c>
      <c r="P820" s="30">
        <v>702</v>
      </c>
      <c r="Q820" s="30">
        <v>17843.2</v>
      </c>
      <c r="R820" s="7"/>
      <c r="S820" s="7"/>
      <c r="T820" s="7"/>
      <c r="U820" s="7"/>
      <c r="V820" s="7"/>
      <c r="W820" s="7"/>
      <c r="X820" s="7"/>
      <c r="Y820" s="7"/>
      <c r="Z820" s="7"/>
    </row>
    <row r="821" spans="1:26" ht="9" customHeight="1" x14ac:dyDescent="0.2">
      <c r="A821" s="534"/>
      <c r="B821" s="534"/>
      <c r="C821" s="34" t="s">
        <v>37</v>
      </c>
      <c r="D821" s="35">
        <v>2</v>
      </c>
      <c r="E821" s="36">
        <v>16839237</v>
      </c>
      <c r="F821" s="36">
        <v>0</v>
      </c>
      <c r="G821" s="36">
        <v>0</v>
      </c>
      <c r="H821" s="36">
        <v>12018738</v>
      </c>
      <c r="I821" s="36">
        <v>216436</v>
      </c>
      <c r="J821" s="37">
        <v>2404828</v>
      </c>
      <c r="K821" s="36">
        <v>29074411</v>
      </c>
      <c r="L821" s="50">
        <v>31479239</v>
      </c>
      <c r="M821" s="39"/>
      <c r="N821" s="36">
        <v>29074411</v>
      </c>
      <c r="O821" s="36">
        <v>17055673</v>
      </c>
      <c r="P821" s="36">
        <v>1359262</v>
      </c>
      <c r="Q821" s="36">
        <v>34549253</v>
      </c>
      <c r="R821" s="7"/>
      <c r="S821" s="7"/>
      <c r="T821" s="7"/>
      <c r="U821" s="7"/>
      <c r="V821" s="7"/>
      <c r="W821" s="7"/>
      <c r="X821" s="7"/>
      <c r="Y821" s="7"/>
      <c r="Z821" s="7"/>
    </row>
    <row r="822" spans="1:26" ht="12.75" customHeight="1" x14ac:dyDescent="0.2">
      <c r="A822" s="539">
        <v>40360</v>
      </c>
      <c r="B822" s="539">
        <v>40421</v>
      </c>
      <c r="C822" s="40" t="s">
        <v>36</v>
      </c>
      <c r="D822" s="41">
        <v>3</v>
      </c>
      <c r="E822" s="30">
        <v>8986.25</v>
      </c>
      <c r="F822" s="30">
        <v>0</v>
      </c>
      <c r="G822" s="30">
        <v>0</v>
      </c>
      <c r="H822" s="30">
        <v>6207.16</v>
      </c>
      <c r="I822" s="30">
        <v>111.78</v>
      </c>
      <c r="J822" s="42">
        <v>1266.1199999999999</v>
      </c>
      <c r="K822" s="43">
        <v>15305.19</v>
      </c>
      <c r="L822" s="51">
        <v>16571.310000000001</v>
      </c>
      <c r="M822" s="33"/>
      <c r="N822" s="30">
        <v>15305.19</v>
      </c>
      <c r="O822" s="30">
        <v>9098.0300000000007</v>
      </c>
      <c r="P822" s="30">
        <v>702</v>
      </c>
      <c r="Q822" s="30">
        <v>18208.96</v>
      </c>
      <c r="R822" s="7"/>
      <c r="S822" s="7"/>
      <c r="T822" s="7"/>
      <c r="U822" s="7"/>
      <c r="V822" s="7"/>
      <c r="W822" s="7"/>
      <c r="X822" s="7"/>
      <c r="Y822" s="7"/>
      <c r="Z822" s="7"/>
    </row>
    <row r="823" spans="1:26" ht="9" customHeight="1" x14ac:dyDescent="0.2">
      <c r="A823" s="534"/>
      <c r="B823" s="534"/>
      <c r="C823" s="34" t="s">
        <v>37</v>
      </c>
      <c r="D823" s="35">
        <v>8</v>
      </c>
      <c r="E823" s="36">
        <v>16839237</v>
      </c>
      <c r="F823" s="36">
        <v>0</v>
      </c>
      <c r="G823" s="36">
        <v>0</v>
      </c>
      <c r="H823" s="36">
        <v>12018738</v>
      </c>
      <c r="I823" s="36">
        <v>216436</v>
      </c>
      <c r="J823" s="37">
        <v>2451550</v>
      </c>
      <c r="K823" s="36">
        <v>29634980</v>
      </c>
      <c r="L823" s="50">
        <v>32086530</v>
      </c>
      <c r="M823" s="39"/>
      <c r="N823" s="36">
        <v>29634980</v>
      </c>
      <c r="O823" s="36">
        <v>17616243</v>
      </c>
      <c r="P823" s="36">
        <v>1359262</v>
      </c>
      <c r="Q823" s="36">
        <v>35257463</v>
      </c>
      <c r="R823" s="7"/>
      <c r="S823" s="7"/>
      <c r="T823" s="7"/>
      <c r="U823" s="7"/>
      <c r="V823" s="7"/>
      <c r="W823" s="7"/>
      <c r="X823" s="7"/>
      <c r="Y823" s="7"/>
      <c r="Z823" s="7"/>
    </row>
    <row r="824" spans="1:26" ht="12.75" customHeight="1" x14ac:dyDescent="0.2">
      <c r="A824" s="534"/>
      <c r="B824" s="534"/>
      <c r="C824" s="40" t="s">
        <v>36</v>
      </c>
      <c r="D824" s="41">
        <v>9</v>
      </c>
      <c r="E824" s="30">
        <v>10035.58</v>
      </c>
      <c r="F824" s="30">
        <v>0</v>
      </c>
      <c r="G824" s="30">
        <v>0</v>
      </c>
      <c r="H824" s="30">
        <v>6207.16</v>
      </c>
      <c r="I824" s="30">
        <v>111.78</v>
      </c>
      <c r="J824" s="42">
        <v>1353.56</v>
      </c>
      <c r="K824" s="43">
        <v>16354.52</v>
      </c>
      <c r="L824" s="51">
        <v>17708.080000000002</v>
      </c>
      <c r="M824" s="33"/>
      <c r="N824" s="30">
        <v>16354.52</v>
      </c>
      <c r="O824" s="30">
        <v>10147.36</v>
      </c>
      <c r="P824" s="30">
        <v>702</v>
      </c>
      <c r="Q824" s="30">
        <v>19534.599999999999</v>
      </c>
      <c r="R824" s="7"/>
      <c r="S824" s="7"/>
      <c r="T824" s="7"/>
      <c r="U824" s="7"/>
      <c r="V824" s="7"/>
      <c r="W824" s="7"/>
      <c r="X824" s="7"/>
      <c r="Y824" s="7"/>
      <c r="Z824" s="7"/>
    </row>
    <row r="825" spans="1:26" ht="9" customHeight="1" x14ac:dyDescent="0.2">
      <c r="A825" s="534"/>
      <c r="B825" s="534"/>
      <c r="C825" s="34" t="s">
        <v>37</v>
      </c>
      <c r="D825" s="35">
        <v>14</v>
      </c>
      <c r="E825" s="36">
        <v>19431592</v>
      </c>
      <c r="F825" s="36">
        <v>0</v>
      </c>
      <c r="G825" s="36">
        <v>0</v>
      </c>
      <c r="H825" s="36">
        <v>12018738</v>
      </c>
      <c r="I825" s="36">
        <v>216436</v>
      </c>
      <c r="J825" s="37">
        <v>2620858</v>
      </c>
      <c r="K825" s="36">
        <v>31666766</v>
      </c>
      <c r="L825" s="50">
        <v>34287624</v>
      </c>
      <c r="M825" s="39"/>
      <c r="N825" s="36">
        <v>31666766</v>
      </c>
      <c r="O825" s="36">
        <v>19648029</v>
      </c>
      <c r="P825" s="36">
        <v>1359262</v>
      </c>
      <c r="Q825" s="36">
        <v>37824260</v>
      </c>
      <c r="R825" s="7"/>
      <c r="S825" s="7"/>
      <c r="T825" s="7"/>
      <c r="U825" s="7"/>
      <c r="V825" s="7"/>
      <c r="W825" s="7"/>
      <c r="X825" s="7"/>
      <c r="Y825" s="7"/>
      <c r="Z825" s="7"/>
    </row>
    <row r="826" spans="1:26" ht="12.75" customHeight="1" x14ac:dyDescent="0.2">
      <c r="A826" s="534"/>
      <c r="B826" s="534"/>
      <c r="C826" s="40" t="s">
        <v>36</v>
      </c>
      <c r="D826" s="41">
        <v>15</v>
      </c>
      <c r="E826" s="30">
        <v>11014.79</v>
      </c>
      <c r="F826" s="30">
        <v>0</v>
      </c>
      <c r="G826" s="30">
        <v>0</v>
      </c>
      <c r="H826" s="30">
        <v>6207.16</v>
      </c>
      <c r="I826" s="30">
        <v>111.78</v>
      </c>
      <c r="J826" s="42">
        <v>1435.16</v>
      </c>
      <c r="K826" s="43">
        <v>17333.73</v>
      </c>
      <c r="L826" s="51">
        <v>18768.89</v>
      </c>
      <c r="M826" s="33"/>
      <c r="N826" s="30">
        <v>17333.73</v>
      </c>
      <c r="O826" s="30">
        <v>11126.57</v>
      </c>
      <c r="P826" s="30">
        <v>702</v>
      </c>
      <c r="Q826" s="30">
        <v>20771.669999999998</v>
      </c>
      <c r="R826" s="7"/>
      <c r="S826" s="7"/>
      <c r="T826" s="7"/>
      <c r="U826" s="7"/>
      <c r="V826" s="7"/>
      <c r="W826" s="7"/>
      <c r="X826" s="7"/>
      <c r="Y826" s="7"/>
      <c r="Z826" s="7"/>
    </row>
    <row r="827" spans="1:26" ht="9" customHeight="1" x14ac:dyDescent="0.2">
      <c r="A827" s="534"/>
      <c r="B827" s="534"/>
      <c r="C827" s="34" t="s">
        <v>37</v>
      </c>
      <c r="D827" s="35">
        <v>20</v>
      </c>
      <c r="E827" s="36">
        <v>21327607</v>
      </c>
      <c r="F827" s="36">
        <v>0</v>
      </c>
      <c r="G827" s="36">
        <v>0</v>
      </c>
      <c r="H827" s="36">
        <v>12018738</v>
      </c>
      <c r="I827" s="36">
        <v>216436</v>
      </c>
      <c r="J827" s="37">
        <v>2778857</v>
      </c>
      <c r="K827" s="36">
        <v>33562781</v>
      </c>
      <c r="L827" s="50">
        <v>36341639</v>
      </c>
      <c r="M827" s="39"/>
      <c r="N827" s="36">
        <v>33562781</v>
      </c>
      <c r="O827" s="36">
        <v>21544044</v>
      </c>
      <c r="P827" s="36">
        <v>1359262</v>
      </c>
      <c r="Q827" s="36">
        <v>40219561</v>
      </c>
      <c r="R827" s="7"/>
      <c r="S827" s="7"/>
      <c r="T827" s="7"/>
      <c r="U827" s="7"/>
      <c r="V827" s="7"/>
      <c r="W827" s="7"/>
      <c r="X827" s="7"/>
      <c r="Y827" s="7"/>
      <c r="Z827" s="7"/>
    </row>
    <row r="828" spans="1:26" ht="12.75" customHeight="1" x14ac:dyDescent="0.2">
      <c r="A828" s="534"/>
      <c r="B828" s="534"/>
      <c r="C828" s="40" t="s">
        <v>36</v>
      </c>
      <c r="D828" s="41">
        <v>21</v>
      </c>
      <c r="E828" s="30">
        <v>11978.85</v>
      </c>
      <c r="F828" s="30">
        <v>0</v>
      </c>
      <c r="G828" s="30">
        <v>0</v>
      </c>
      <c r="H828" s="30">
        <v>6207.16</v>
      </c>
      <c r="I828" s="30">
        <v>111.78</v>
      </c>
      <c r="J828" s="42">
        <v>1515.5</v>
      </c>
      <c r="K828" s="43">
        <v>18297.79</v>
      </c>
      <c r="L828" s="51">
        <v>19813.29</v>
      </c>
      <c r="M828" s="33"/>
      <c r="N828" s="30">
        <v>18297.79</v>
      </c>
      <c r="O828" s="30">
        <v>12090.63</v>
      </c>
      <c r="P828" s="30">
        <v>702</v>
      </c>
      <c r="Q828" s="30">
        <v>21989.599999999999</v>
      </c>
      <c r="R828" s="7"/>
      <c r="S828" s="7"/>
      <c r="T828" s="7"/>
      <c r="U828" s="7"/>
      <c r="V828" s="7"/>
      <c r="W828" s="7"/>
      <c r="X828" s="7"/>
      <c r="Y828" s="7"/>
      <c r="Z828" s="7"/>
    </row>
    <row r="829" spans="1:26" ht="9" customHeight="1" x14ac:dyDescent="0.2">
      <c r="A829" s="534"/>
      <c r="B829" s="534"/>
      <c r="C829" s="34" t="s">
        <v>37</v>
      </c>
      <c r="D829" s="35">
        <v>27</v>
      </c>
      <c r="E829" s="36">
        <v>23194288</v>
      </c>
      <c r="F829" s="36">
        <v>0</v>
      </c>
      <c r="G829" s="36">
        <v>0</v>
      </c>
      <c r="H829" s="36">
        <v>12018738</v>
      </c>
      <c r="I829" s="36">
        <v>216436</v>
      </c>
      <c r="J829" s="37">
        <v>2934417</v>
      </c>
      <c r="K829" s="36">
        <v>35429462</v>
      </c>
      <c r="L829" s="50">
        <v>38363879</v>
      </c>
      <c r="M829" s="39"/>
      <c r="N829" s="36">
        <v>35429462</v>
      </c>
      <c r="O829" s="36">
        <v>23410724</v>
      </c>
      <c r="P829" s="36">
        <v>1359262</v>
      </c>
      <c r="Q829" s="36">
        <v>42577803</v>
      </c>
      <c r="R829" s="7"/>
      <c r="S829" s="7"/>
      <c r="T829" s="7"/>
      <c r="U829" s="7"/>
      <c r="V829" s="7"/>
      <c r="W829" s="7"/>
      <c r="X829" s="7"/>
      <c r="Y829" s="7"/>
      <c r="Z829" s="7"/>
    </row>
    <row r="830" spans="1:26" ht="12.75" customHeight="1" x14ac:dyDescent="0.2">
      <c r="A830" s="534"/>
      <c r="B830" s="534"/>
      <c r="C830" s="40" t="s">
        <v>36</v>
      </c>
      <c r="D830" s="41">
        <v>28</v>
      </c>
      <c r="E830" s="30">
        <v>12706.14</v>
      </c>
      <c r="F830" s="30">
        <v>0</v>
      </c>
      <c r="G830" s="30">
        <v>0</v>
      </c>
      <c r="H830" s="30">
        <v>6207.16</v>
      </c>
      <c r="I830" s="30">
        <v>111.78</v>
      </c>
      <c r="J830" s="42">
        <v>1576.11</v>
      </c>
      <c r="K830" s="43">
        <v>19025.080000000002</v>
      </c>
      <c r="L830" s="51">
        <v>20601.189999999999</v>
      </c>
      <c r="M830" s="33"/>
      <c r="N830" s="30">
        <v>19025.080000000002</v>
      </c>
      <c r="O830" s="30">
        <v>12817.92</v>
      </c>
      <c r="P830" s="30">
        <v>702</v>
      </c>
      <c r="Q830" s="30">
        <v>22908.42</v>
      </c>
      <c r="R830" s="7"/>
      <c r="S830" s="7"/>
      <c r="T830" s="7"/>
      <c r="U830" s="7"/>
      <c r="V830" s="7"/>
      <c r="W830" s="7"/>
      <c r="X830" s="7"/>
      <c r="Y830" s="7"/>
      <c r="Z830" s="7"/>
    </row>
    <row r="831" spans="1:26" ht="9" customHeight="1" x14ac:dyDescent="0.2">
      <c r="A831" s="534"/>
      <c r="B831" s="534"/>
      <c r="C831" s="34" t="s">
        <v>37</v>
      </c>
      <c r="D831" s="35">
        <v>34</v>
      </c>
      <c r="E831" s="36">
        <v>24602518</v>
      </c>
      <c r="F831" s="36">
        <v>0</v>
      </c>
      <c r="G831" s="36">
        <v>0</v>
      </c>
      <c r="H831" s="36">
        <v>12018738</v>
      </c>
      <c r="I831" s="36">
        <v>216436</v>
      </c>
      <c r="J831" s="37">
        <v>3051775</v>
      </c>
      <c r="K831" s="36">
        <v>36837692</v>
      </c>
      <c r="L831" s="50">
        <v>39889466</v>
      </c>
      <c r="M831" s="39"/>
      <c r="N831" s="36">
        <v>36837692</v>
      </c>
      <c r="O831" s="36">
        <v>24818954</v>
      </c>
      <c r="P831" s="36">
        <v>1359262</v>
      </c>
      <c r="Q831" s="36">
        <v>44356886</v>
      </c>
      <c r="R831" s="7"/>
      <c r="S831" s="7"/>
      <c r="T831" s="7"/>
      <c r="U831" s="7"/>
      <c r="V831" s="7"/>
      <c r="W831" s="7"/>
      <c r="X831" s="7"/>
      <c r="Y831" s="7"/>
      <c r="Z831" s="7"/>
    </row>
    <row r="832" spans="1:26" ht="12.75" customHeight="1" x14ac:dyDescent="0.2">
      <c r="A832" s="534"/>
      <c r="B832" s="534"/>
      <c r="C832" s="40" t="s">
        <v>36</v>
      </c>
      <c r="D832" s="41">
        <v>35</v>
      </c>
      <c r="E832" s="30">
        <v>13215.95</v>
      </c>
      <c r="F832" s="30">
        <v>0</v>
      </c>
      <c r="G832" s="30">
        <v>0</v>
      </c>
      <c r="H832" s="30">
        <v>6207.16</v>
      </c>
      <c r="I832" s="30">
        <v>111.78</v>
      </c>
      <c r="J832" s="42">
        <v>1618.59</v>
      </c>
      <c r="K832" s="43">
        <v>19534.89</v>
      </c>
      <c r="L832" s="51">
        <v>21153.48</v>
      </c>
      <c r="M832" s="33"/>
      <c r="N832" s="30">
        <v>19534.89</v>
      </c>
      <c r="O832" s="30">
        <v>13327.73</v>
      </c>
      <c r="P832" s="30">
        <v>702</v>
      </c>
      <c r="Q832" s="30">
        <v>23552.47</v>
      </c>
      <c r="R832" s="7"/>
      <c r="S832" s="7"/>
      <c r="T832" s="7"/>
      <c r="U832" s="7"/>
      <c r="V832" s="7"/>
      <c r="W832" s="7"/>
      <c r="X832" s="7"/>
      <c r="Y832" s="7"/>
      <c r="Z832" s="7"/>
    </row>
    <row r="833" spans="1:26" ht="9" customHeight="1" x14ac:dyDescent="0.2">
      <c r="A833" s="535"/>
      <c r="B833" s="535"/>
      <c r="C833" s="47" t="s">
        <v>37</v>
      </c>
      <c r="D833" s="48"/>
      <c r="E833" s="46">
        <v>25589648</v>
      </c>
      <c r="F833" s="46">
        <v>0</v>
      </c>
      <c r="G833" s="46">
        <v>0</v>
      </c>
      <c r="H833" s="46">
        <v>12018738</v>
      </c>
      <c r="I833" s="46">
        <v>216436</v>
      </c>
      <c r="J833" s="49">
        <v>3134027</v>
      </c>
      <c r="K833" s="46">
        <v>37824821</v>
      </c>
      <c r="L833" s="52">
        <v>40958849</v>
      </c>
      <c r="M833" s="39"/>
      <c r="N833" s="46">
        <v>37824821</v>
      </c>
      <c r="O833" s="46">
        <v>25806084</v>
      </c>
      <c r="P833" s="46">
        <v>1359262</v>
      </c>
      <c r="Q833" s="46">
        <v>45603941</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7"/>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7"/>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7"/>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7"/>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7"/>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7"/>
      <c r="M839" s="39"/>
      <c r="N839" s="96"/>
      <c r="O839" s="96"/>
      <c r="P839" s="96"/>
      <c r="Q839" s="96"/>
      <c r="R839" s="7"/>
      <c r="S839" s="7"/>
      <c r="T839" s="7"/>
      <c r="U839" s="7"/>
      <c r="V839" s="7"/>
      <c r="W839" s="7"/>
      <c r="X839" s="7"/>
      <c r="Y839" s="7"/>
      <c r="Z839" s="7"/>
    </row>
    <row r="840" spans="1:26" ht="12.75" customHeight="1" x14ac:dyDescent="0.2">
      <c r="A840" s="538">
        <v>40422</v>
      </c>
      <c r="B840" s="538">
        <v>40543</v>
      </c>
      <c r="C840" s="28" t="s">
        <v>36</v>
      </c>
      <c r="D840" s="29">
        <v>0</v>
      </c>
      <c r="E840" s="30">
        <v>8696.74</v>
      </c>
      <c r="F840" s="30">
        <v>0</v>
      </c>
      <c r="G840" s="30">
        <v>0</v>
      </c>
      <c r="H840" s="30">
        <v>6207.16</v>
      </c>
      <c r="I840" s="30">
        <v>111.78</v>
      </c>
      <c r="J840" s="30">
        <v>1241.99</v>
      </c>
      <c r="K840" s="31">
        <v>15015.68</v>
      </c>
      <c r="L840" s="32">
        <v>16257.67</v>
      </c>
      <c r="M840" s="33"/>
      <c r="N840" s="30">
        <v>15015.68</v>
      </c>
      <c r="O840" s="30">
        <v>8808.52</v>
      </c>
      <c r="P840" s="30">
        <v>702</v>
      </c>
      <c r="Q840" s="30">
        <v>17843.2</v>
      </c>
      <c r="R840" s="7"/>
      <c r="S840" s="7"/>
      <c r="T840" s="7"/>
      <c r="U840" s="7"/>
      <c r="V840" s="7"/>
      <c r="W840" s="7"/>
      <c r="X840" s="7"/>
      <c r="Y840" s="7"/>
      <c r="Z840" s="7"/>
    </row>
    <row r="841" spans="1:26" ht="9" customHeight="1" x14ac:dyDescent="0.2">
      <c r="A841" s="534"/>
      <c r="B841" s="534"/>
      <c r="C841" s="34" t="s">
        <v>37</v>
      </c>
      <c r="D841" s="35">
        <v>2</v>
      </c>
      <c r="E841" s="36">
        <v>16839237</v>
      </c>
      <c r="F841" s="36">
        <v>0</v>
      </c>
      <c r="G841" s="36">
        <v>0</v>
      </c>
      <c r="H841" s="36">
        <v>12018738</v>
      </c>
      <c r="I841" s="36">
        <v>216436</v>
      </c>
      <c r="J841" s="37">
        <v>2404828</v>
      </c>
      <c r="K841" s="36">
        <v>29074411</v>
      </c>
      <c r="L841" s="50">
        <v>31479239</v>
      </c>
      <c r="M841" s="39"/>
      <c r="N841" s="36">
        <v>29074411</v>
      </c>
      <c r="O841" s="36">
        <v>17055673</v>
      </c>
      <c r="P841" s="36">
        <v>1359262</v>
      </c>
      <c r="Q841" s="36">
        <v>34549253</v>
      </c>
      <c r="R841" s="7"/>
      <c r="S841" s="7"/>
      <c r="T841" s="7"/>
      <c r="U841" s="7"/>
      <c r="V841" s="7"/>
      <c r="W841" s="7"/>
      <c r="X841" s="7"/>
      <c r="Y841" s="7"/>
      <c r="Z841" s="7"/>
    </row>
    <row r="842" spans="1:26" ht="12.75" customHeight="1" x14ac:dyDescent="0.2">
      <c r="A842" s="539">
        <v>40422</v>
      </c>
      <c r="B842" s="539">
        <v>40543</v>
      </c>
      <c r="C842" s="40" t="s">
        <v>36</v>
      </c>
      <c r="D842" s="41">
        <v>3</v>
      </c>
      <c r="E842" s="30">
        <v>8696.74</v>
      </c>
      <c r="F842" s="30">
        <v>0</v>
      </c>
      <c r="G842" s="30">
        <v>0</v>
      </c>
      <c r="H842" s="30">
        <v>6207.16</v>
      </c>
      <c r="I842" s="30">
        <v>111.78</v>
      </c>
      <c r="J842" s="42">
        <v>1266.1199999999999</v>
      </c>
      <c r="K842" s="43">
        <v>15305.19</v>
      </c>
      <c r="L842" s="51">
        <v>16571.310000000001</v>
      </c>
      <c r="M842" s="33"/>
      <c r="N842" s="30">
        <v>15305.19</v>
      </c>
      <c r="O842" s="30">
        <v>9098.0300000000007</v>
      </c>
      <c r="P842" s="30">
        <v>702</v>
      </c>
      <c r="Q842" s="30">
        <v>18208.96</v>
      </c>
      <c r="R842" s="7"/>
      <c r="S842" s="7"/>
      <c r="T842" s="7"/>
      <c r="U842" s="7"/>
      <c r="V842" s="7"/>
      <c r="W842" s="7"/>
      <c r="X842" s="7"/>
      <c r="Y842" s="7"/>
      <c r="Z842" s="7"/>
    </row>
    <row r="843" spans="1:26" ht="9" customHeight="1" x14ac:dyDescent="0.2">
      <c r="A843" s="534"/>
      <c r="B843" s="534"/>
      <c r="C843" s="34" t="s">
        <v>37</v>
      </c>
      <c r="D843" s="35">
        <v>8</v>
      </c>
      <c r="E843" s="36">
        <v>16839237</v>
      </c>
      <c r="F843" s="36">
        <v>0</v>
      </c>
      <c r="G843" s="36">
        <v>0</v>
      </c>
      <c r="H843" s="36">
        <v>12018738</v>
      </c>
      <c r="I843" s="36">
        <v>216436</v>
      </c>
      <c r="J843" s="37">
        <v>2451550</v>
      </c>
      <c r="K843" s="36">
        <v>29634980</v>
      </c>
      <c r="L843" s="50">
        <v>32086530</v>
      </c>
      <c r="M843" s="39"/>
      <c r="N843" s="36">
        <v>29634980</v>
      </c>
      <c r="O843" s="36">
        <v>17616243</v>
      </c>
      <c r="P843" s="36">
        <v>1359262</v>
      </c>
      <c r="Q843" s="36">
        <v>35257463</v>
      </c>
      <c r="R843" s="7"/>
      <c r="S843" s="7"/>
      <c r="T843" s="7"/>
      <c r="U843" s="7"/>
      <c r="V843" s="7"/>
      <c r="W843" s="7"/>
      <c r="X843" s="7"/>
      <c r="Y843" s="7"/>
      <c r="Z843" s="7"/>
    </row>
    <row r="844" spans="1:26" ht="12.75" customHeight="1" x14ac:dyDescent="0.2">
      <c r="A844" s="534"/>
      <c r="B844" s="534"/>
      <c r="C844" s="40" t="s">
        <v>36</v>
      </c>
      <c r="D844" s="41">
        <v>9</v>
      </c>
      <c r="E844" s="30">
        <v>10035.58</v>
      </c>
      <c r="F844" s="30">
        <v>0</v>
      </c>
      <c r="G844" s="30">
        <v>0</v>
      </c>
      <c r="H844" s="30">
        <v>6207.16</v>
      </c>
      <c r="I844" s="30">
        <v>111.78</v>
      </c>
      <c r="J844" s="42">
        <v>1353.56</v>
      </c>
      <c r="K844" s="43">
        <v>16354.52</v>
      </c>
      <c r="L844" s="51">
        <v>17708.080000000002</v>
      </c>
      <c r="M844" s="33"/>
      <c r="N844" s="30">
        <v>16354.52</v>
      </c>
      <c r="O844" s="30">
        <v>10147.36</v>
      </c>
      <c r="P844" s="30">
        <v>702</v>
      </c>
      <c r="Q844" s="30">
        <v>19534.599999999999</v>
      </c>
      <c r="R844" s="7"/>
      <c r="S844" s="7"/>
      <c r="T844" s="7"/>
      <c r="U844" s="7"/>
      <c r="V844" s="7"/>
      <c r="W844" s="7"/>
      <c r="X844" s="7"/>
      <c r="Y844" s="7"/>
      <c r="Z844" s="7"/>
    </row>
    <row r="845" spans="1:26" ht="9" customHeight="1" x14ac:dyDescent="0.2">
      <c r="A845" s="534"/>
      <c r="B845" s="534"/>
      <c r="C845" s="34" t="s">
        <v>37</v>
      </c>
      <c r="D845" s="35">
        <v>14</v>
      </c>
      <c r="E845" s="36">
        <v>19431592</v>
      </c>
      <c r="F845" s="36">
        <v>0</v>
      </c>
      <c r="G845" s="36">
        <v>0</v>
      </c>
      <c r="H845" s="36">
        <v>12018738</v>
      </c>
      <c r="I845" s="36">
        <v>216436</v>
      </c>
      <c r="J845" s="37">
        <v>2620858</v>
      </c>
      <c r="K845" s="36">
        <v>31666766</v>
      </c>
      <c r="L845" s="50">
        <v>34287624</v>
      </c>
      <c r="M845" s="39"/>
      <c r="N845" s="36">
        <v>31666766</v>
      </c>
      <c r="O845" s="36">
        <v>19648029</v>
      </c>
      <c r="P845" s="36">
        <v>1359262</v>
      </c>
      <c r="Q845" s="36">
        <v>37824260</v>
      </c>
      <c r="R845" s="7"/>
      <c r="S845" s="7"/>
      <c r="T845" s="7"/>
      <c r="U845" s="7"/>
      <c r="V845" s="7"/>
      <c r="W845" s="7"/>
      <c r="X845" s="7"/>
      <c r="Y845" s="7"/>
      <c r="Z845" s="7"/>
    </row>
    <row r="846" spans="1:26" ht="12.75" customHeight="1" x14ac:dyDescent="0.2">
      <c r="A846" s="534"/>
      <c r="B846" s="534"/>
      <c r="C846" s="40" t="s">
        <v>36</v>
      </c>
      <c r="D846" s="41">
        <v>15</v>
      </c>
      <c r="E846" s="30">
        <v>11014.79</v>
      </c>
      <c r="F846" s="30">
        <v>0</v>
      </c>
      <c r="G846" s="30">
        <v>0</v>
      </c>
      <c r="H846" s="30">
        <v>6207.16</v>
      </c>
      <c r="I846" s="30">
        <v>111.78</v>
      </c>
      <c r="J846" s="42">
        <v>1435.16</v>
      </c>
      <c r="K846" s="43">
        <v>17333.73</v>
      </c>
      <c r="L846" s="51">
        <v>18768.89</v>
      </c>
      <c r="M846" s="33"/>
      <c r="N846" s="30">
        <v>17333.73</v>
      </c>
      <c r="O846" s="30">
        <v>11126.57</v>
      </c>
      <c r="P846" s="30">
        <v>702</v>
      </c>
      <c r="Q846" s="30">
        <v>20771.669999999998</v>
      </c>
      <c r="R846" s="7"/>
      <c r="S846" s="7"/>
      <c r="T846" s="7"/>
      <c r="U846" s="7"/>
      <c r="V846" s="7"/>
      <c r="W846" s="7"/>
      <c r="X846" s="7"/>
      <c r="Y846" s="7"/>
      <c r="Z846" s="7"/>
    </row>
    <row r="847" spans="1:26" ht="9" customHeight="1" x14ac:dyDescent="0.2">
      <c r="A847" s="534"/>
      <c r="B847" s="534"/>
      <c r="C847" s="34" t="s">
        <v>37</v>
      </c>
      <c r="D847" s="35">
        <v>20</v>
      </c>
      <c r="E847" s="36">
        <v>21327607</v>
      </c>
      <c r="F847" s="36">
        <v>0</v>
      </c>
      <c r="G847" s="36">
        <v>0</v>
      </c>
      <c r="H847" s="36">
        <v>12018738</v>
      </c>
      <c r="I847" s="36">
        <v>216436</v>
      </c>
      <c r="J847" s="37">
        <v>2778857</v>
      </c>
      <c r="K847" s="36">
        <v>33562781</v>
      </c>
      <c r="L847" s="50">
        <v>36341639</v>
      </c>
      <c r="M847" s="39"/>
      <c r="N847" s="36">
        <v>33562781</v>
      </c>
      <c r="O847" s="36">
        <v>21544044</v>
      </c>
      <c r="P847" s="36">
        <v>1359262</v>
      </c>
      <c r="Q847" s="36">
        <v>40219561</v>
      </c>
      <c r="R847" s="7"/>
      <c r="S847" s="7"/>
      <c r="T847" s="7"/>
      <c r="U847" s="7"/>
      <c r="V847" s="7"/>
      <c r="W847" s="7"/>
      <c r="X847" s="7"/>
      <c r="Y847" s="7"/>
      <c r="Z847" s="7"/>
    </row>
    <row r="848" spans="1:26" ht="12.75" customHeight="1" x14ac:dyDescent="0.2">
      <c r="A848" s="534"/>
      <c r="B848" s="534"/>
      <c r="C848" s="40" t="s">
        <v>36</v>
      </c>
      <c r="D848" s="41">
        <v>21</v>
      </c>
      <c r="E848" s="30">
        <v>11978.85</v>
      </c>
      <c r="F848" s="30">
        <v>0</v>
      </c>
      <c r="G848" s="30">
        <v>0</v>
      </c>
      <c r="H848" s="30">
        <v>6207.16</v>
      </c>
      <c r="I848" s="30">
        <v>111.78</v>
      </c>
      <c r="J848" s="42">
        <v>1515.5</v>
      </c>
      <c r="K848" s="43">
        <v>18297.79</v>
      </c>
      <c r="L848" s="51">
        <v>19813.29</v>
      </c>
      <c r="M848" s="33"/>
      <c r="N848" s="30">
        <v>18297.79</v>
      </c>
      <c r="O848" s="30">
        <v>12090.63</v>
      </c>
      <c r="P848" s="30">
        <v>702</v>
      </c>
      <c r="Q848" s="30">
        <v>21989.599999999999</v>
      </c>
      <c r="R848" s="7"/>
      <c r="S848" s="7"/>
      <c r="T848" s="7"/>
      <c r="U848" s="7"/>
      <c r="V848" s="7"/>
      <c r="W848" s="7"/>
      <c r="X848" s="7"/>
      <c r="Y848" s="7"/>
      <c r="Z848" s="7"/>
    </row>
    <row r="849" spans="1:26" ht="9" customHeight="1" x14ac:dyDescent="0.2">
      <c r="A849" s="534"/>
      <c r="B849" s="534"/>
      <c r="C849" s="34" t="s">
        <v>37</v>
      </c>
      <c r="D849" s="35">
        <v>27</v>
      </c>
      <c r="E849" s="36">
        <v>23194288</v>
      </c>
      <c r="F849" s="36">
        <v>0</v>
      </c>
      <c r="G849" s="36">
        <v>0</v>
      </c>
      <c r="H849" s="36">
        <v>12018738</v>
      </c>
      <c r="I849" s="36">
        <v>216436</v>
      </c>
      <c r="J849" s="37">
        <v>2934417</v>
      </c>
      <c r="K849" s="36">
        <v>35429462</v>
      </c>
      <c r="L849" s="50">
        <v>38363879</v>
      </c>
      <c r="M849" s="39"/>
      <c r="N849" s="36">
        <v>35429462</v>
      </c>
      <c r="O849" s="36">
        <v>23410724</v>
      </c>
      <c r="P849" s="36">
        <v>1359262</v>
      </c>
      <c r="Q849" s="36">
        <v>42577803</v>
      </c>
      <c r="R849" s="7"/>
      <c r="S849" s="7"/>
      <c r="T849" s="7"/>
      <c r="U849" s="7"/>
      <c r="V849" s="7"/>
      <c r="W849" s="7"/>
      <c r="X849" s="7"/>
      <c r="Y849" s="7"/>
      <c r="Z849" s="7"/>
    </row>
    <row r="850" spans="1:26" ht="12.75" customHeight="1" x14ac:dyDescent="0.2">
      <c r="A850" s="534"/>
      <c r="B850" s="534"/>
      <c r="C850" s="40" t="s">
        <v>36</v>
      </c>
      <c r="D850" s="41">
        <v>28</v>
      </c>
      <c r="E850" s="30">
        <v>12706.14</v>
      </c>
      <c r="F850" s="30">
        <v>0</v>
      </c>
      <c r="G850" s="30">
        <v>0</v>
      </c>
      <c r="H850" s="30">
        <v>6207.16</v>
      </c>
      <c r="I850" s="30">
        <v>111.78</v>
      </c>
      <c r="J850" s="42">
        <v>1576.11</v>
      </c>
      <c r="K850" s="43">
        <v>19025.080000000002</v>
      </c>
      <c r="L850" s="51">
        <v>20601.189999999999</v>
      </c>
      <c r="M850" s="33"/>
      <c r="N850" s="30">
        <v>19025.080000000002</v>
      </c>
      <c r="O850" s="30">
        <v>12817.92</v>
      </c>
      <c r="P850" s="30">
        <v>702</v>
      </c>
      <c r="Q850" s="30">
        <v>22908.42</v>
      </c>
      <c r="R850" s="7"/>
      <c r="S850" s="7"/>
      <c r="T850" s="7"/>
      <c r="U850" s="7"/>
      <c r="V850" s="7"/>
      <c r="W850" s="7"/>
      <c r="X850" s="7"/>
      <c r="Y850" s="7"/>
      <c r="Z850" s="7"/>
    </row>
    <row r="851" spans="1:26" ht="9" customHeight="1" x14ac:dyDescent="0.2">
      <c r="A851" s="534"/>
      <c r="B851" s="534"/>
      <c r="C851" s="34" t="s">
        <v>37</v>
      </c>
      <c r="D851" s="35">
        <v>34</v>
      </c>
      <c r="E851" s="36">
        <v>24602518</v>
      </c>
      <c r="F851" s="36">
        <v>0</v>
      </c>
      <c r="G851" s="36">
        <v>0</v>
      </c>
      <c r="H851" s="36">
        <v>12018738</v>
      </c>
      <c r="I851" s="36">
        <v>216436</v>
      </c>
      <c r="J851" s="37">
        <v>3051775</v>
      </c>
      <c r="K851" s="36">
        <v>36837692</v>
      </c>
      <c r="L851" s="50">
        <v>39889466</v>
      </c>
      <c r="M851" s="39"/>
      <c r="N851" s="36">
        <v>36837692</v>
      </c>
      <c r="O851" s="36">
        <v>24818954</v>
      </c>
      <c r="P851" s="36">
        <v>1359262</v>
      </c>
      <c r="Q851" s="36">
        <v>44356886</v>
      </c>
      <c r="R851" s="7"/>
      <c r="S851" s="7"/>
      <c r="T851" s="7"/>
      <c r="U851" s="7"/>
      <c r="V851" s="7"/>
      <c r="W851" s="7"/>
      <c r="X851" s="7"/>
      <c r="Y851" s="7"/>
      <c r="Z851" s="7"/>
    </row>
    <row r="852" spans="1:26" ht="12.75" customHeight="1" x14ac:dyDescent="0.2">
      <c r="A852" s="534"/>
      <c r="B852" s="534"/>
      <c r="C852" s="40" t="s">
        <v>36</v>
      </c>
      <c r="D852" s="41">
        <v>35</v>
      </c>
      <c r="E852" s="30">
        <v>13215.95</v>
      </c>
      <c r="F852" s="30">
        <v>0</v>
      </c>
      <c r="G852" s="30">
        <v>0</v>
      </c>
      <c r="H852" s="30">
        <v>6207.16</v>
      </c>
      <c r="I852" s="30">
        <v>111.78</v>
      </c>
      <c r="J852" s="42">
        <v>1618.59</v>
      </c>
      <c r="K852" s="43">
        <v>19534.89</v>
      </c>
      <c r="L852" s="51">
        <v>21153.48</v>
      </c>
      <c r="M852" s="33"/>
      <c r="N852" s="30">
        <v>19534.89</v>
      </c>
      <c r="O852" s="30">
        <v>13327.73</v>
      </c>
      <c r="P852" s="30">
        <v>702</v>
      </c>
      <c r="Q852" s="30">
        <v>23552.47</v>
      </c>
      <c r="R852" s="7"/>
      <c r="S852" s="7"/>
      <c r="T852" s="7"/>
      <c r="U852" s="7"/>
      <c r="V852" s="7"/>
      <c r="W852" s="7"/>
      <c r="X852" s="7"/>
      <c r="Y852" s="7"/>
      <c r="Z852" s="7"/>
    </row>
    <row r="853" spans="1:26" ht="9" customHeight="1" x14ac:dyDescent="0.2">
      <c r="A853" s="535"/>
      <c r="B853" s="535"/>
      <c r="C853" s="47" t="s">
        <v>37</v>
      </c>
      <c r="D853" s="48"/>
      <c r="E853" s="46">
        <v>25589648</v>
      </c>
      <c r="F853" s="46">
        <v>0</v>
      </c>
      <c r="G853" s="46">
        <v>0</v>
      </c>
      <c r="H853" s="46">
        <v>12018738</v>
      </c>
      <c r="I853" s="46">
        <v>216436</v>
      </c>
      <c r="J853" s="49">
        <v>3134027</v>
      </c>
      <c r="K853" s="46">
        <v>37824821</v>
      </c>
      <c r="L853" s="52">
        <v>40958849</v>
      </c>
      <c r="M853" s="39"/>
      <c r="N853" s="46">
        <v>37824821</v>
      </c>
      <c r="O853" s="46">
        <v>25806084</v>
      </c>
      <c r="P853" s="46">
        <v>1359262</v>
      </c>
      <c r="Q853" s="46">
        <v>45603941</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7"/>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7"/>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7"/>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7"/>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7"/>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7"/>
      <c r="M859" s="39"/>
      <c r="N859" s="96"/>
      <c r="O859" s="96"/>
      <c r="P859" s="96"/>
      <c r="Q859" s="96"/>
      <c r="R859" s="7"/>
      <c r="S859" s="7"/>
      <c r="T859" s="7"/>
      <c r="U859" s="7"/>
      <c r="V859" s="7"/>
      <c r="W859" s="7"/>
      <c r="X859" s="7"/>
      <c r="Y859" s="7"/>
      <c r="Z859" s="7"/>
    </row>
    <row r="860" spans="1:26" ht="12.75" customHeight="1" x14ac:dyDescent="0.2">
      <c r="A860" s="538">
        <v>40544</v>
      </c>
      <c r="B860" s="538">
        <v>42369</v>
      </c>
      <c r="C860" s="28" t="s">
        <v>36</v>
      </c>
      <c r="D860" s="29">
        <v>0</v>
      </c>
      <c r="E860" s="30">
        <v>8696.74</v>
      </c>
      <c r="F860" s="30"/>
      <c r="G860" s="30"/>
      <c r="H860" s="30">
        <v>6207.16</v>
      </c>
      <c r="I860" s="30">
        <v>111.78</v>
      </c>
      <c r="J860" s="30">
        <v>1251.31</v>
      </c>
      <c r="K860" s="30">
        <v>15015.68</v>
      </c>
      <c r="L860" s="32">
        <v>16266.99</v>
      </c>
      <c r="M860" s="33"/>
      <c r="N860" s="30">
        <v>15015.68</v>
      </c>
      <c r="O860" s="30">
        <v>8808.52</v>
      </c>
      <c r="P860" s="30">
        <v>702</v>
      </c>
      <c r="Q860" s="30">
        <v>17852.52</v>
      </c>
      <c r="R860" s="7"/>
      <c r="S860" s="7"/>
      <c r="T860" s="7"/>
      <c r="U860" s="7"/>
      <c r="V860" s="7"/>
      <c r="W860" s="7"/>
      <c r="X860" s="7"/>
      <c r="Y860" s="7"/>
      <c r="Z860" s="7"/>
    </row>
    <row r="861" spans="1:26" ht="9" customHeight="1" x14ac:dyDescent="0.2">
      <c r="A861" s="534"/>
      <c r="B861" s="534"/>
      <c r="C861" s="34" t="s">
        <v>37</v>
      </c>
      <c r="D861" s="35">
        <v>2</v>
      </c>
      <c r="E861" s="46">
        <v>16839237</v>
      </c>
      <c r="F861" s="36">
        <v>0</v>
      </c>
      <c r="G861" s="36">
        <v>0</v>
      </c>
      <c r="H861" s="46">
        <v>12018738</v>
      </c>
      <c r="I861" s="46">
        <v>216436</v>
      </c>
      <c r="J861" s="37">
        <v>2422874</v>
      </c>
      <c r="K861" s="46">
        <v>29074411</v>
      </c>
      <c r="L861" s="46">
        <v>31497285</v>
      </c>
      <c r="M861" s="39"/>
      <c r="N861" s="36">
        <v>29074411</v>
      </c>
      <c r="O861" s="36">
        <v>17055673</v>
      </c>
      <c r="P861" s="36">
        <v>1359262</v>
      </c>
      <c r="Q861" s="36">
        <v>34567299</v>
      </c>
      <c r="R861" s="7"/>
      <c r="S861" s="7"/>
      <c r="T861" s="7"/>
      <c r="U861" s="7"/>
      <c r="V861" s="7"/>
      <c r="W861" s="7"/>
      <c r="X861" s="7"/>
      <c r="Y861" s="7"/>
      <c r="Z861" s="7"/>
    </row>
    <row r="862" spans="1:26" ht="12.75" customHeight="1" x14ac:dyDescent="0.2">
      <c r="A862" s="539">
        <v>40544</v>
      </c>
      <c r="B862" s="539">
        <v>42369</v>
      </c>
      <c r="C862" s="40" t="s">
        <v>36</v>
      </c>
      <c r="D862" s="41">
        <v>3</v>
      </c>
      <c r="E862" s="30">
        <v>8696.74</v>
      </c>
      <c r="F862" s="30">
        <v>0</v>
      </c>
      <c r="G862" s="30">
        <v>0</v>
      </c>
      <c r="H862" s="30">
        <v>6207.16</v>
      </c>
      <c r="I862" s="30">
        <v>111.78</v>
      </c>
      <c r="J862" s="30">
        <v>1275.43</v>
      </c>
      <c r="K862" s="30">
        <v>15305.19</v>
      </c>
      <c r="L862" s="32">
        <v>16580.62</v>
      </c>
      <c r="M862" s="33"/>
      <c r="N862" s="30">
        <v>15305.19</v>
      </c>
      <c r="O862" s="30">
        <v>9098.0300000000007</v>
      </c>
      <c r="P862" s="30">
        <v>702</v>
      </c>
      <c r="Q862" s="30">
        <v>18218.27</v>
      </c>
      <c r="R862" s="7"/>
      <c r="S862" s="7"/>
      <c r="T862" s="7"/>
      <c r="U862" s="7"/>
      <c r="V862" s="7"/>
      <c r="W862" s="7"/>
      <c r="X862" s="7"/>
      <c r="Y862" s="7"/>
      <c r="Z862" s="7"/>
    </row>
    <row r="863" spans="1:26" ht="9" customHeight="1" x14ac:dyDescent="0.2">
      <c r="A863" s="534"/>
      <c r="B863" s="534"/>
      <c r="C863" s="34" t="s">
        <v>37</v>
      </c>
      <c r="D863" s="35">
        <v>8</v>
      </c>
      <c r="E863" s="46">
        <v>16839237</v>
      </c>
      <c r="F863" s="36">
        <v>0</v>
      </c>
      <c r="G863" s="36">
        <v>0</v>
      </c>
      <c r="H863" s="46">
        <v>12018738</v>
      </c>
      <c r="I863" s="46">
        <v>216436</v>
      </c>
      <c r="J863" s="37">
        <v>2469577</v>
      </c>
      <c r="K863" s="46">
        <v>29634980</v>
      </c>
      <c r="L863" s="46">
        <v>32104557</v>
      </c>
      <c r="M863" s="39"/>
      <c r="N863" s="36">
        <v>29634980</v>
      </c>
      <c r="O863" s="36">
        <v>17616243</v>
      </c>
      <c r="P863" s="36">
        <v>1359262</v>
      </c>
      <c r="Q863" s="36">
        <v>35275490</v>
      </c>
      <c r="R863" s="7"/>
      <c r="S863" s="7"/>
      <c r="T863" s="7"/>
      <c r="U863" s="7"/>
      <c r="V863" s="7"/>
      <c r="W863" s="7"/>
      <c r="X863" s="7"/>
      <c r="Y863" s="7"/>
      <c r="Z863" s="7"/>
    </row>
    <row r="864" spans="1:26" ht="12.75" customHeight="1" x14ac:dyDescent="0.2">
      <c r="A864" s="534"/>
      <c r="B864" s="534"/>
      <c r="C864" s="40" t="s">
        <v>36</v>
      </c>
      <c r="D864" s="41">
        <v>9</v>
      </c>
      <c r="E864" s="30">
        <v>10035.58</v>
      </c>
      <c r="F864" s="30">
        <v>0</v>
      </c>
      <c r="G864" s="30">
        <v>0</v>
      </c>
      <c r="H864" s="30">
        <v>6207.16</v>
      </c>
      <c r="I864" s="30">
        <v>111.78</v>
      </c>
      <c r="J864" s="30">
        <v>1362.88</v>
      </c>
      <c r="K864" s="30">
        <v>16354.52</v>
      </c>
      <c r="L864" s="32">
        <v>17717.400000000001</v>
      </c>
      <c r="M864" s="33"/>
      <c r="N864" s="30">
        <v>16354.52</v>
      </c>
      <c r="O864" s="30">
        <v>10147.36</v>
      </c>
      <c r="P864" s="30">
        <v>702</v>
      </c>
      <c r="Q864" s="30">
        <v>19543.919999999998</v>
      </c>
      <c r="R864" s="7"/>
      <c r="S864" s="7"/>
      <c r="T864" s="7"/>
      <c r="U864" s="7"/>
      <c r="V864" s="7"/>
      <c r="W864" s="7"/>
      <c r="X864" s="7"/>
      <c r="Y864" s="7"/>
      <c r="Z864" s="7"/>
    </row>
    <row r="865" spans="1:26" ht="9" customHeight="1" x14ac:dyDescent="0.2">
      <c r="A865" s="534"/>
      <c r="B865" s="534"/>
      <c r="C865" s="34" t="s">
        <v>37</v>
      </c>
      <c r="D865" s="35">
        <v>14</v>
      </c>
      <c r="E865" s="46">
        <v>19431592</v>
      </c>
      <c r="F865" s="36">
        <v>0</v>
      </c>
      <c r="G865" s="36">
        <v>0</v>
      </c>
      <c r="H865" s="46">
        <v>12018738</v>
      </c>
      <c r="I865" s="46">
        <v>216436</v>
      </c>
      <c r="J865" s="37">
        <v>2638904</v>
      </c>
      <c r="K865" s="46">
        <v>31666766</v>
      </c>
      <c r="L865" s="46">
        <v>34305670</v>
      </c>
      <c r="M865" s="39"/>
      <c r="N865" s="36">
        <v>31666766</v>
      </c>
      <c r="O865" s="36">
        <v>19648029</v>
      </c>
      <c r="P865" s="36">
        <v>1359262</v>
      </c>
      <c r="Q865" s="36">
        <v>37842306</v>
      </c>
      <c r="R865" s="7"/>
      <c r="S865" s="7"/>
      <c r="T865" s="7"/>
      <c r="U865" s="7"/>
      <c r="V865" s="7"/>
      <c r="W865" s="7"/>
      <c r="X865" s="7"/>
      <c r="Y865" s="7"/>
      <c r="Z865" s="7"/>
    </row>
    <row r="866" spans="1:26" ht="12.75" customHeight="1" x14ac:dyDescent="0.2">
      <c r="A866" s="534"/>
      <c r="B866" s="534"/>
      <c r="C866" s="40" t="s">
        <v>36</v>
      </c>
      <c r="D866" s="41">
        <v>15</v>
      </c>
      <c r="E866" s="30">
        <v>11014.79</v>
      </c>
      <c r="F866" s="30">
        <v>0</v>
      </c>
      <c r="G866" s="30">
        <v>0</v>
      </c>
      <c r="H866" s="30">
        <v>6207.16</v>
      </c>
      <c r="I866" s="30">
        <v>111.78</v>
      </c>
      <c r="J866" s="30">
        <v>1444.48</v>
      </c>
      <c r="K866" s="30">
        <v>17333.73</v>
      </c>
      <c r="L866" s="32">
        <v>18778.21</v>
      </c>
      <c r="M866" s="33"/>
      <c r="N866" s="30">
        <v>17333.73</v>
      </c>
      <c r="O866" s="30">
        <v>11126.57</v>
      </c>
      <c r="P866" s="30">
        <v>702</v>
      </c>
      <c r="Q866" s="30">
        <v>20780.990000000002</v>
      </c>
      <c r="R866" s="7"/>
      <c r="S866" s="7"/>
      <c r="T866" s="7"/>
      <c r="U866" s="7"/>
      <c r="V866" s="7"/>
      <c r="W866" s="7"/>
      <c r="X866" s="7"/>
      <c r="Y866" s="7"/>
      <c r="Z866" s="7"/>
    </row>
    <row r="867" spans="1:26" ht="9" customHeight="1" x14ac:dyDescent="0.2">
      <c r="A867" s="534"/>
      <c r="B867" s="534"/>
      <c r="C867" s="34" t="s">
        <v>37</v>
      </c>
      <c r="D867" s="35">
        <v>20</v>
      </c>
      <c r="E867" s="46">
        <v>21327607</v>
      </c>
      <c r="F867" s="36">
        <v>0</v>
      </c>
      <c r="G867" s="36">
        <v>0</v>
      </c>
      <c r="H867" s="46">
        <v>12018738</v>
      </c>
      <c r="I867" s="46">
        <v>216436</v>
      </c>
      <c r="J867" s="37">
        <v>2796903</v>
      </c>
      <c r="K867" s="46">
        <v>33562781</v>
      </c>
      <c r="L867" s="46">
        <v>36359685</v>
      </c>
      <c r="M867" s="39"/>
      <c r="N867" s="36">
        <v>33562781</v>
      </c>
      <c r="O867" s="36">
        <v>21544044</v>
      </c>
      <c r="P867" s="36">
        <v>1359262</v>
      </c>
      <c r="Q867" s="36">
        <v>40237608</v>
      </c>
      <c r="R867" s="7"/>
      <c r="S867" s="7"/>
      <c r="T867" s="7"/>
      <c r="U867" s="7"/>
      <c r="V867" s="7"/>
      <c r="W867" s="7"/>
      <c r="X867" s="7"/>
      <c r="Y867" s="7"/>
      <c r="Z867" s="7"/>
    </row>
    <row r="868" spans="1:26" ht="12.75" customHeight="1" x14ac:dyDescent="0.2">
      <c r="A868" s="534"/>
      <c r="B868" s="534"/>
      <c r="C868" s="40" t="s">
        <v>36</v>
      </c>
      <c r="D868" s="41">
        <v>21</v>
      </c>
      <c r="E868" s="30">
        <v>11978.85</v>
      </c>
      <c r="F868" s="30">
        <v>0</v>
      </c>
      <c r="G868" s="30">
        <v>0</v>
      </c>
      <c r="H868" s="30">
        <v>6207.16</v>
      </c>
      <c r="I868" s="30">
        <v>111.78</v>
      </c>
      <c r="J868" s="30">
        <v>1524.82</v>
      </c>
      <c r="K868" s="30">
        <v>18297.79</v>
      </c>
      <c r="L868" s="32">
        <v>19822.61</v>
      </c>
      <c r="M868" s="33"/>
      <c r="N868" s="30">
        <v>18297.79</v>
      </c>
      <c r="O868" s="30">
        <v>12090.63</v>
      </c>
      <c r="P868" s="30">
        <v>702</v>
      </c>
      <c r="Q868" s="30">
        <v>21998.92</v>
      </c>
      <c r="R868" s="7"/>
      <c r="S868" s="7"/>
      <c r="T868" s="7"/>
      <c r="U868" s="7"/>
      <c r="V868" s="7"/>
      <c r="W868" s="7"/>
      <c r="X868" s="7"/>
      <c r="Y868" s="7"/>
      <c r="Z868" s="7"/>
    </row>
    <row r="869" spans="1:26" ht="9" customHeight="1" x14ac:dyDescent="0.2">
      <c r="A869" s="534"/>
      <c r="B869" s="534"/>
      <c r="C869" s="34" t="s">
        <v>37</v>
      </c>
      <c r="D869" s="35">
        <v>27</v>
      </c>
      <c r="E869" s="46">
        <v>23194288</v>
      </c>
      <c r="F869" s="36">
        <v>0</v>
      </c>
      <c r="G869" s="36">
        <v>0</v>
      </c>
      <c r="H869" s="46">
        <v>12018738</v>
      </c>
      <c r="I869" s="46">
        <v>216436</v>
      </c>
      <c r="J869" s="37">
        <v>2952463</v>
      </c>
      <c r="K869" s="46">
        <v>35429462</v>
      </c>
      <c r="L869" s="46">
        <v>38381925</v>
      </c>
      <c r="M869" s="39"/>
      <c r="N869" s="36">
        <v>35429462</v>
      </c>
      <c r="O869" s="36">
        <v>23410724</v>
      </c>
      <c r="P869" s="36">
        <v>1359262</v>
      </c>
      <c r="Q869" s="36">
        <v>42595849</v>
      </c>
      <c r="R869" s="7"/>
      <c r="S869" s="7"/>
      <c r="T869" s="7"/>
      <c r="U869" s="7"/>
      <c r="V869" s="7"/>
      <c r="W869" s="7"/>
      <c r="X869" s="7"/>
      <c r="Y869" s="7"/>
      <c r="Z869" s="7"/>
    </row>
    <row r="870" spans="1:26" ht="12.75" customHeight="1" x14ac:dyDescent="0.2">
      <c r="A870" s="534"/>
      <c r="B870" s="534"/>
      <c r="C870" s="40" t="s">
        <v>36</v>
      </c>
      <c r="D870" s="41">
        <v>28</v>
      </c>
      <c r="E870" s="30">
        <v>12706.14</v>
      </c>
      <c r="F870" s="30">
        <v>0</v>
      </c>
      <c r="G870" s="30">
        <v>0</v>
      </c>
      <c r="H870" s="30">
        <v>6207.16</v>
      </c>
      <c r="I870" s="30">
        <v>111.78</v>
      </c>
      <c r="J870" s="30">
        <v>1585.42</v>
      </c>
      <c r="K870" s="30">
        <v>19025.080000000002</v>
      </c>
      <c r="L870" s="32">
        <v>20610.5</v>
      </c>
      <c r="M870" s="33"/>
      <c r="N870" s="30">
        <v>19025.080000000002</v>
      </c>
      <c r="O870" s="30">
        <v>12817.92</v>
      </c>
      <c r="P870" s="30">
        <v>702</v>
      </c>
      <c r="Q870" s="30">
        <v>22917.73</v>
      </c>
      <c r="R870" s="7"/>
      <c r="S870" s="7"/>
      <c r="T870" s="7"/>
      <c r="U870" s="7"/>
      <c r="V870" s="7"/>
      <c r="W870" s="7"/>
      <c r="X870" s="7"/>
      <c r="Y870" s="7"/>
      <c r="Z870" s="7"/>
    </row>
    <row r="871" spans="1:26" ht="9" customHeight="1" x14ac:dyDescent="0.2">
      <c r="A871" s="534"/>
      <c r="B871" s="534"/>
      <c r="C871" s="34" t="s">
        <v>37</v>
      </c>
      <c r="D871" s="35">
        <v>34</v>
      </c>
      <c r="E871" s="46">
        <v>24602518</v>
      </c>
      <c r="F871" s="36">
        <v>0</v>
      </c>
      <c r="G871" s="36">
        <v>0</v>
      </c>
      <c r="H871" s="46">
        <v>12018738</v>
      </c>
      <c r="I871" s="46">
        <v>216436</v>
      </c>
      <c r="J871" s="37">
        <v>3069801</v>
      </c>
      <c r="K871" s="46">
        <v>36837692</v>
      </c>
      <c r="L871" s="46">
        <v>39907493</v>
      </c>
      <c r="M871" s="39"/>
      <c r="N871" s="36">
        <v>36837692</v>
      </c>
      <c r="O871" s="36">
        <v>24818954</v>
      </c>
      <c r="P871" s="36">
        <v>1359262</v>
      </c>
      <c r="Q871" s="36">
        <v>44374913</v>
      </c>
      <c r="R871" s="7"/>
      <c r="S871" s="7"/>
      <c r="T871" s="7"/>
      <c r="U871" s="7"/>
      <c r="V871" s="7"/>
      <c r="W871" s="7"/>
      <c r="X871" s="7"/>
      <c r="Y871" s="7"/>
      <c r="Z871" s="7"/>
    </row>
    <row r="872" spans="1:26" ht="12.75" customHeight="1" x14ac:dyDescent="0.2">
      <c r="A872" s="534"/>
      <c r="B872" s="534"/>
      <c r="C872" s="40" t="s">
        <v>36</v>
      </c>
      <c r="D872" s="41">
        <v>35</v>
      </c>
      <c r="E872" s="30">
        <v>13215.95</v>
      </c>
      <c r="F872" s="30">
        <v>0</v>
      </c>
      <c r="G872" s="30">
        <v>0</v>
      </c>
      <c r="H872" s="30">
        <v>6207.16</v>
      </c>
      <c r="I872" s="30">
        <v>111.78</v>
      </c>
      <c r="J872" s="30">
        <v>1627.91</v>
      </c>
      <c r="K872" s="30">
        <v>19534.89</v>
      </c>
      <c r="L872" s="32">
        <v>21162.799999999999</v>
      </c>
      <c r="M872" s="33"/>
      <c r="N872" s="30">
        <v>19534.89</v>
      </c>
      <c r="O872" s="30">
        <v>13327.73</v>
      </c>
      <c r="P872" s="30">
        <v>702</v>
      </c>
      <c r="Q872" s="30">
        <v>23561.79</v>
      </c>
      <c r="R872" s="7"/>
      <c r="S872" s="7"/>
      <c r="T872" s="7"/>
      <c r="U872" s="7"/>
      <c r="V872" s="7"/>
      <c r="W872" s="7"/>
      <c r="X872" s="7"/>
      <c r="Y872" s="7"/>
      <c r="Z872" s="7"/>
    </row>
    <row r="873" spans="1:26" ht="9" customHeight="1" x14ac:dyDescent="0.2">
      <c r="A873" s="535"/>
      <c r="B873" s="535"/>
      <c r="C873" s="47" t="s">
        <v>37</v>
      </c>
      <c r="D873" s="48"/>
      <c r="E873" s="46">
        <v>25589648</v>
      </c>
      <c r="F873" s="46">
        <v>0</v>
      </c>
      <c r="G873" s="46">
        <v>0</v>
      </c>
      <c r="H873" s="46">
        <v>12018738</v>
      </c>
      <c r="I873" s="46">
        <v>216436</v>
      </c>
      <c r="J873" s="46">
        <v>3152073</v>
      </c>
      <c r="K873" s="46">
        <v>37824821</v>
      </c>
      <c r="L873" s="46">
        <v>40976895</v>
      </c>
      <c r="M873" s="39"/>
      <c r="N873" s="46">
        <v>37824821</v>
      </c>
      <c r="O873" s="46">
        <v>25806084</v>
      </c>
      <c r="P873" s="46">
        <v>1359262</v>
      </c>
      <c r="Q873" s="46">
        <v>45621987</v>
      </c>
      <c r="R873" s="7"/>
      <c r="S873" s="7"/>
      <c r="T873" s="7"/>
      <c r="U873" s="7"/>
      <c r="V873" s="7"/>
      <c r="W873" s="7"/>
      <c r="X873" s="7"/>
      <c r="Y873" s="7"/>
      <c r="Z873" s="7"/>
    </row>
    <row r="874" spans="1:26" ht="9" customHeight="1" x14ac:dyDescent="0.2">
      <c r="A874" s="95"/>
      <c r="B874" s="95"/>
      <c r="C874" s="44"/>
      <c r="D874" s="45"/>
      <c r="E874" s="96"/>
      <c r="F874" s="96"/>
      <c r="G874" s="96"/>
      <c r="H874" s="96"/>
      <c r="I874" s="96"/>
      <c r="J874" s="96"/>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96"/>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96"/>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96"/>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96"/>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96"/>
      <c r="K879" s="96"/>
      <c r="L879" s="96"/>
      <c r="M879" s="39"/>
      <c r="N879" s="96"/>
      <c r="O879" s="96"/>
      <c r="P879" s="96"/>
      <c r="Q879" s="96"/>
      <c r="R879" s="7"/>
      <c r="S879" s="7"/>
      <c r="T879" s="7"/>
      <c r="U879" s="7"/>
      <c r="V879" s="7"/>
      <c r="W879" s="7"/>
      <c r="X879" s="7"/>
      <c r="Y879" s="7"/>
      <c r="Z879" s="7"/>
    </row>
    <row r="880" spans="1:26" ht="12.75" customHeight="1" x14ac:dyDescent="0.2">
      <c r="A880" s="538">
        <v>42370</v>
      </c>
      <c r="B880" s="538">
        <v>42735</v>
      </c>
      <c r="C880" s="28" t="s">
        <v>36</v>
      </c>
      <c r="D880" s="29">
        <v>0</v>
      </c>
      <c r="E880" s="30">
        <v>8755.5400000000009</v>
      </c>
      <c r="F880" s="30">
        <v>0</v>
      </c>
      <c r="G880" s="30"/>
      <c r="H880" s="30">
        <v>6207.16</v>
      </c>
      <c r="I880" s="30">
        <v>111.78</v>
      </c>
      <c r="J880" s="30">
        <v>1256.21</v>
      </c>
      <c r="K880" s="30">
        <v>15074.48</v>
      </c>
      <c r="L880" s="32">
        <v>16330.69</v>
      </c>
      <c r="M880" s="33"/>
      <c r="N880" s="30">
        <v>15074.48</v>
      </c>
      <c r="O880" s="30">
        <v>8867.32</v>
      </c>
      <c r="P880" s="30">
        <v>702</v>
      </c>
      <c r="Q880" s="30">
        <v>17926.810000000001</v>
      </c>
      <c r="R880" s="7"/>
      <c r="S880" s="7"/>
      <c r="T880" s="7"/>
      <c r="U880" s="7"/>
      <c r="V880" s="7"/>
      <c r="W880" s="7"/>
      <c r="X880" s="7"/>
      <c r="Y880" s="7"/>
      <c r="Z880" s="7"/>
    </row>
    <row r="881" spans="1:26" ht="9" customHeight="1" x14ac:dyDescent="0.2">
      <c r="A881" s="534"/>
      <c r="B881" s="534"/>
      <c r="C881" s="34" t="s">
        <v>37</v>
      </c>
      <c r="D881" s="35">
        <v>8</v>
      </c>
      <c r="E881" s="46">
        <v>16953089</v>
      </c>
      <c r="F881" s="36">
        <v>0</v>
      </c>
      <c r="G881" s="36">
        <v>0</v>
      </c>
      <c r="H881" s="46">
        <v>12018738</v>
      </c>
      <c r="I881" s="46">
        <v>216436</v>
      </c>
      <c r="J881" s="37">
        <v>2432362</v>
      </c>
      <c r="K881" s="46">
        <v>29188263</v>
      </c>
      <c r="L881" s="46">
        <v>31620625</v>
      </c>
      <c r="M881" s="39"/>
      <c r="N881" s="36">
        <v>29188263</v>
      </c>
      <c r="O881" s="36">
        <v>17169526</v>
      </c>
      <c r="P881" s="36">
        <v>1359262</v>
      </c>
      <c r="Q881" s="36">
        <v>34711144</v>
      </c>
      <c r="R881" s="7"/>
      <c r="S881" s="7"/>
      <c r="T881" s="7"/>
      <c r="U881" s="7"/>
      <c r="V881" s="7"/>
      <c r="W881" s="7"/>
      <c r="X881" s="7"/>
      <c r="Y881" s="7"/>
      <c r="Z881" s="7"/>
    </row>
    <row r="882" spans="1:26" ht="12.75" customHeight="1" x14ac:dyDescent="0.2">
      <c r="A882" s="533">
        <v>42370</v>
      </c>
      <c r="B882" s="533">
        <v>42735</v>
      </c>
      <c r="C882" s="40" t="s">
        <v>36</v>
      </c>
      <c r="D882" s="41">
        <v>9</v>
      </c>
      <c r="E882" s="30">
        <v>10099.18</v>
      </c>
      <c r="F882" s="30">
        <v>0</v>
      </c>
      <c r="G882" s="30">
        <v>0</v>
      </c>
      <c r="H882" s="30">
        <v>6207.16</v>
      </c>
      <c r="I882" s="30">
        <v>111.78</v>
      </c>
      <c r="J882" s="30">
        <v>1368.18</v>
      </c>
      <c r="K882" s="30">
        <v>16418.12</v>
      </c>
      <c r="L882" s="32">
        <v>17786.3</v>
      </c>
      <c r="M882" s="33"/>
      <c r="N882" s="30">
        <v>16418.12</v>
      </c>
      <c r="O882" s="30">
        <v>10210.959999999999</v>
      </c>
      <c r="P882" s="30">
        <v>702</v>
      </c>
      <c r="Q882" s="30">
        <v>19624.27</v>
      </c>
      <c r="R882" s="7"/>
      <c r="S882" s="7"/>
      <c r="T882" s="7"/>
      <c r="U882" s="7"/>
      <c r="V882" s="7"/>
      <c r="W882" s="7"/>
      <c r="X882" s="7"/>
      <c r="Y882" s="7"/>
      <c r="Z882" s="7"/>
    </row>
    <row r="883" spans="1:26" ht="9" customHeight="1" x14ac:dyDescent="0.2">
      <c r="A883" s="534"/>
      <c r="B883" s="534"/>
      <c r="C883" s="34" t="s">
        <v>37</v>
      </c>
      <c r="D883" s="35">
        <v>14</v>
      </c>
      <c r="E883" s="46">
        <v>19554739</v>
      </c>
      <c r="F883" s="36">
        <v>0</v>
      </c>
      <c r="G883" s="36">
        <v>0</v>
      </c>
      <c r="H883" s="46">
        <v>12018738</v>
      </c>
      <c r="I883" s="46">
        <v>216436</v>
      </c>
      <c r="J883" s="37">
        <v>2649166</v>
      </c>
      <c r="K883" s="46">
        <v>31789913</v>
      </c>
      <c r="L883" s="46">
        <v>34439079</v>
      </c>
      <c r="M883" s="39"/>
      <c r="N883" s="36">
        <v>31789913</v>
      </c>
      <c r="O883" s="36">
        <v>19771176</v>
      </c>
      <c r="P883" s="36">
        <v>1359262</v>
      </c>
      <c r="Q883" s="36">
        <v>37997885</v>
      </c>
      <c r="R883" s="7"/>
      <c r="S883" s="7"/>
      <c r="T883" s="7"/>
      <c r="U883" s="7"/>
      <c r="V883" s="7"/>
      <c r="W883" s="7"/>
      <c r="X883" s="7"/>
      <c r="Y883" s="7"/>
      <c r="Z883" s="7"/>
    </row>
    <row r="884" spans="1:26" ht="12.75" customHeight="1" x14ac:dyDescent="0.2">
      <c r="A884" s="534"/>
      <c r="B884" s="534"/>
      <c r="C884" s="40" t="s">
        <v>36</v>
      </c>
      <c r="D884" s="41">
        <v>15</v>
      </c>
      <c r="E884" s="30">
        <v>11081.99</v>
      </c>
      <c r="F884" s="30">
        <v>0</v>
      </c>
      <c r="G884" s="30">
        <v>0</v>
      </c>
      <c r="H884" s="30">
        <v>6207.16</v>
      </c>
      <c r="I884" s="30">
        <v>111.78</v>
      </c>
      <c r="J884" s="30">
        <v>1450.08</v>
      </c>
      <c r="K884" s="30">
        <v>17400.93</v>
      </c>
      <c r="L884" s="32">
        <v>18851.009999999998</v>
      </c>
      <c r="M884" s="33"/>
      <c r="N884" s="30">
        <v>17400.93</v>
      </c>
      <c r="O884" s="30">
        <v>11193.77</v>
      </c>
      <c r="P884" s="30">
        <v>702</v>
      </c>
      <c r="Q884" s="30">
        <v>20865.89</v>
      </c>
      <c r="R884" s="7"/>
      <c r="S884" s="7"/>
      <c r="T884" s="7"/>
      <c r="U884" s="7"/>
      <c r="V884" s="7"/>
      <c r="W884" s="7"/>
      <c r="X884" s="7"/>
      <c r="Y884" s="7"/>
      <c r="Z884" s="7"/>
    </row>
    <row r="885" spans="1:26" ht="9" customHeight="1" x14ac:dyDescent="0.2">
      <c r="A885" s="534"/>
      <c r="B885" s="534"/>
      <c r="C885" s="34" t="s">
        <v>37</v>
      </c>
      <c r="D885" s="35">
        <v>20</v>
      </c>
      <c r="E885" s="46">
        <v>21457725</v>
      </c>
      <c r="F885" s="36">
        <v>0</v>
      </c>
      <c r="G885" s="36">
        <v>0</v>
      </c>
      <c r="H885" s="46">
        <v>12018738</v>
      </c>
      <c r="I885" s="46">
        <v>216436</v>
      </c>
      <c r="J885" s="37">
        <v>2807746</v>
      </c>
      <c r="K885" s="46">
        <v>33692899</v>
      </c>
      <c r="L885" s="46">
        <v>36500645</v>
      </c>
      <c r="M885" s="39"/>
      <c r="N885" s="36">
        <v>33692899</v>
      </c>
      <c r="O885" s="36">
        <v>21674161</v>
      </c>
      <c r="P885" s="36">
        <v>1359262</v>
      </c>
      <c r="Q885" s="36">
        <v>40401997</v>
      </c>
      <c r="R885" s="7"/>
      <c r="S885" s="7"/>
      <c r="T885" s="7"/>
      <c r="U885" s="7"/>
      <c r="V885" s="7"/>
      <c r="W885" s="7"/>
      <c r="X885" s="7"/>
      <c r="Y885" s="7"/>
      <c r="Z885" s="7"/>
    </row>
    <row r="886" spans="1:26" ht="12.75" customHeight="1" x14ac:dyDescent="0.2">
      <c r="A886" s="534"/>
      <c r="B886" s="534"/>
      <c r="C886" s="40" t="s">
        <v>36</v>
      </c>
      <c r="D886" s="41">
        <v>21</v>
      </c>
      <c r="E886" s="30">
        <v>12050.85</v>
      </c>
      <c r="F886" s="30">
        <v>0</v>
      </c>
      <c r="G886" s="30">
        <v>0</v>
      </c>
      <c r="H886" s="30">
        <v>6207.16</v>
      </c>
      <c r="I886" s="30">
        <v>111.78</v>
      </c>
      <c r="J886" s="30">
        <v>1530.82</v>
      </c>
      <c r="K886" s="30">
        <v>18369.79</v>
      </c>
      <c r="L886" s="32">
        <v>19900.61</v>
      </c>
      <c r="M886" s="33"/>
      <c r="N886" s="30">
        <v>18369.79</v>
      </c>
      <c r="O886" s="30">
        <v>12162.63</v>
      </c>
      <c r="P886" s="30">
        <v>702</v>
      </c>
      <c r="Q886" s="30">
        <v>22089.88</v>
      </c>
      <c r="R886" s="7"/>
      <c r="S886" s="7"/>
      <c r="T886" s="7"/>
      <c r="U886" s="7"/>
      <c r="V886" s="7"/>
      <c r="W886" s="7"/>
      <c r="X886" s="7"/>
      <c r="Y886" s="7"/>
      <c r="Z886" s="7"/>
    </row>
    <row r="887" spans="1:26" ht="9" customHeight="1" x14ac:dyDescent="0.2">
      <c r="A887" s="534"/>
      <c r="B887" s="534"/>
      <c r="C887" s="34" t="s">
        <v>37</v>
      </c>
      <c r="D887" s="35">
        <v>27</v>
      </c>
      <c r="E887" s="46">
        <v>23333699</v>
      </c>
      <c r="F887" s="36">
        <v>0</v>
      </c>
      <c r="G887" s="36">
        <v>0</v>
      </c>
      <c r="H887" s="46">
        <v>12018738</v>
      </c>
      <c r="I887" s="46">
        <v>216436</v>
      </c>
      <c r="J887" s="37">
        <v>2964081</v>
      </c>
      <c r="K887" s="46">
        <v>35568873</v>
      </c>
      <c r="L887" s="46">
        <v>38532954</v>
      </c>
      <c r="M887" s="39"/>
      <c r="N887" s="36">
        <v>35568873</v>
      </c>
      <c r="O887" s="36">
        <v>23550136</v>
      </c>
      <c r="P887" s="36">
        <v>1359262</v>
      </c>
      <c r="Q887" s="36">
        <v>42771972</v>
      </c>
      <c r="R887" s="7"/>
      <c r="S887" s="7"/>
      <c r="T887" s="7"/>
      <c r="U887" s="7"/>
      <c r="V887" s="7"/>
      <c r="W887" s="7"/>
      <c r="X887" s="7"/>
      <c r="Y887" s="7"/>
      <c r="Z887" s="7"/>
    </row>
    <row r="888" spans="1:26" ht="12.75" customHeight="1" x14ac:dyDescent="0.2">
      <c r="A888" s="534"/>
      <c r="B888" s="534"/>
      <c r="C888" s="40" t="s">
        <v>36</v>
      </c>
      <c r="D888" s="41">
        <v>28</v>
      </c>
      <c r="E888" s="30">
        <v>12780.54</v>
      </c>
      <c r="F888" s="30">
        <v>0</v>
      </c>
      <c r="G888" s="30">
        <v>0</v>
      </c>
      <c r="H888" s="30">
        <v>6207.16</v>
      </c>
      <c r="I888" s="30">
        <v>111.78</v>
      </c>
      <c r="J888" s="30">
        <v>1591.62</v>
      </c>
      <c r="K888" s="30">
        <v>19099.48</v>
      </c>
      <c r="L888" s="32">
        <v>20691.099999999999</v>
      </c>
      <c r="M888" s="33"/>
      <c r="N888" s="30">
        <v>19099.48</v>
      </c>
      <c r="O888" s="30">
        <v>12892.32</v>
      </c>
      <c r="P888" s="30">
        <v>702</v>
      </c>
      <c r="Q888" s="30">
        <v>23011.72</v>
      </c>
      <c r="R888" s="7"/>
      <c r="S888" s="7"/>
      <c r="T888" s="7"/>
      <c r="U888" s="7"/>
      <c r="V888" s="7"/>
      <c r="W888" s="7"/>
      <c r="X888" s="7"/>
      <c r="Y888" s="7"/>
      <c r="Z888" s="7"/>
    </row>
    <row r="889" spans="1:26" ht="9" customHeight="1" x14ac:dyDescent="0.2">
      <c r="A889" s="534"/>
      <c r="B889" s="534"/>
      <c r="C889" s="34" t="s">
        <v>37</v>
      </c>
      <c r="D889" s="35">
        <v>34</v>
      </c>
      <c r="E889" s="46">
        <v>24746576</v>
      </c>
      <c r="F889" s="36">
        <v>0</v>
      </c>
      <c r="G889" s="36">
        <v>0</v>
      </c>
      <c r="H889" s="46">
        <v>12018738</v>
      </c>
      <c r="I889" s="46">
        <v>216436</v>
      </c>
      <c r="J889" s="37">
        <v>3081806</v>
      </c>
      <c r="K889" s="46">
        <v>36981750</v>
      </c>
      <c r="L889" s="46">
        <v>40063556</v>
      </c>
      <c r="M889" s="39"/>
      <c r="N889" s="36">
        <v>36981750</v>
      </c>
      <c r="O889" s="36">
        <v>24963012</v>
      </c>
      <c r="P889" s="36">
        <v>1359262</v>
      </c>
      <c r="Q889" s="36">
        <v>44556903</v>
      </c>
      <c r="R889" s="7"/>
      <c r="S889" s="7"/>
      <c r="T889" s="7"/>
      <c r="U889" s="7"/>
      <c r="V889" s="7"/>
      <c r="W889" s="7"/>
      <c r="X889" s="7"/>
      <c r="Y889" s="7"/>
      <c r="Z889" s="7"/>
    </row>
    <row r="890" spans="1:26" ht="12.75" customHeight="1" x14ac:dyDescent="0.2">
      <c r="A890" s="534"/>
      <c r="B890" s="534"/>
      <c r="C890" s="40" t="s">
        <v>36</v>
      </c>
      <c r="D890" s="41">
        <v>35</v>
      </c>
      <c r="E890" s="30">
        <v>13292.75</v>
      </c>
      <c r="F890" s="30">
        <v>0</v>
      </c>
      <c r="G890" s="30">
        <v>0</v>
      </c>
      <c r="H890" s="30">
        <v>6207.16</v>
      </c>
      <c r="I890" s="30">
        <v>111.78</v>
      </c>
      <c r="J890" s="30">
        <v>1634.31</v>
      </c>
      <c r="K890" s="30">
        <v>19611.689999999999</v>
      </c>
      <c r="L890" s="32">
        <v>21246</v>
      </c>
      <c r="M890" s="33"/>
      <c r="N890" s="30">
        <v>19611.689999999999</v>
      </c>
      <c r="O890" s="30">
        <v>13404.53</v>
      </c>
      <c r="P890" s="30">
        <v>702</v>
      </c>
      <c r="Q890" s="30">
        <v>23658.82</v>
      </c>
      <c r="R890" s="7"/>
      <c r="S890" s="7"/>
      <c r="T890" s="7"/>
      <c r="U890" s="7"/>
      <c r="V890" s="7"/>
      <c r="W890" s="7"/>
      <c r="X890" s="7"/>
      <c r="Y890" s="7"/>
      <c r="Z890" s="7"/>
    </row>
    <row r="891" spans="1:26" ht="9" customHeight="1" x14ac:dyDescent="0.2">
      <c r="A891" s="535"/>
      <c r="B891" s="535"/>
      <c r="C891" s="47" t="s">
        <v>37</v>
      </c>
      <c r="D891" s="48"/>
      <c r="E891" s="46">
        <v>25738353</v>
      </c>
      <c r="F891" s="36">
        <v>0</v>
      </c>
      <c r="G891" s="36">
        <v>0</v>
      </c>
      <c r="H891" s="46">
        <v>12018738</v>
      </c>
      <c r="I891" s="46">
        <v>216436</v>
      </c>
      <c r="J891" s="46">
        <v>3164465</v>
      </c>
      <c r="K891" s="46">
        <v>37973527</v>
      </c>
      <c r="L891" s="46">
        <v>41137992</v>
      </c>
      <c r="M891" s="39"/>
      <c r="N891" s="46">
        <v>37973527</v>
      </c>
      <c r="O891" s="46">
        <v>25954789</v>
      </c>
      <c r="P891" s="46">
        <v>1359262</v>
      </c>
      <c r="Q891" s="46">
        <v>45809863</v>
      </c>
      <c r="R891" s="7"/>
      <c r="S891" s="7"/>
      <c r="T891" s="7"/>
      <c r="U891" s="7"/>
      <c r="V891" s="7"/>
      <c r="W891" s="7"/>
      <c r="X891" s="7"/>
      <c r="Y891" s="7"/>
      <c r="Z891" s="7"/>
    </row>
    <row r="892" spans="1:26" ht="9" customHeight="1" x14ac:dyDescent="0.2">
      <c r="A892" s="186"/>
      <c r="B892" s="186"/>
      <c r="C892" s="45"/>
      <c r="D892" s="45"/>
      <c r="E892" s="54"/>
      <c r="F892" s="54"/>
      <c r="G892" s="54"/>
      <c r="H892" s="54"/>
      <c r="I892" s="54"/>
      <c r="J892" s="54"/>
      <c r="K892" s="54"/>
      <c r="L892" s="54"/>
      <c r="M892" s="39"/>
      <c r="N892" s="54"/>
      <c r="O892" s="54"/>
      <c r="P892" s="54"/>
      <c r="Q892" s="54"/>
      <c r="R892" s="7"/>
      <c r="S892" s="7"/>
      <c r="T892" s="7"/>
      <c r="U892" s="7"/>
      <c r="V892" s="7"/>
      <c r="W892" s="7"/>
      <c r="X892" s="7"/>
      <c r="Y892" s="7"/>
      <c r="Z892" s="7"/>
    </row>
    <row r="893" spans="1:26" ht="9" customHeight="1" x14ac:dyDescent="0.2">
      <c r="A893" s="186"/>
      <c r="B893" s="186"/>
      <c r="C893" s="45"/>
      <c r="D893" s="45"/>
      <c r="E893" s="54"/>
      <c r="F893" s="54"/>
      <c r="G893" s="54"/>
      <c r="H893" s="54"/>
      <c r="I893" s="54"/>
      <c r="J893" s="54"/>
      <c r="K893" s="54"/>
      <c r="L893" s="54"/>
      <c r="M893" s="39"/>
      <c r="N893" s="54"/>
      <c r="O893" s="54"/>
      <c r="P893" s="54"/>
      <c r="Q893" s="54"/>
      <c r="R893" s="7"/>
      <c r="S893" s="7"/>
      <c r="T893" s="7"/>
      <c r="U893" s="7"/>
      <c r="V893" s="7"/>
      <c r="W893" s="7"/>
      <c r="X893" s="7"/>
      <c r="Y893" s="7"/>
      <c r="Z893" s="7"/>
    </row>
    <row r="894" spans="1:26" ht="9" customHeight="1" x14ac:dyDescent="0.2">
      <c r="A894" s="186"/>
      <c r="B894" s="186"/>
      <c r="C894" s="45"/>
      <c r="D894" s="45"/>
      <c r="E894" s="54"/>
      <c r="F894" s="54"/>
      <c r="G894" s="54"/>
      <c r="H894" s="54"/>
      <c r="I894" s="54"/>
      <c r="J894" s="54"/>
      <c r="K894" s="54"/>
      <c r="L894" s="54"/>
      <c r="M894" s="39"/>
      <c r="N894" s="54"/>
      <c r="O894" s="54"/>
      <c r="P894" s="54"/>
      <c r="Q894" s="54"/>
      <c r="R894" s="7"/>
      <c r="S894" s="7"/>
      <c r="T894" s="7"/>
      <c r="U894" s="7"/>
      <c r="V894" s="7"/>
      <c r="W894" s="7"/>
      <c r="X894" s="7"/>
      <c r="Y894" s="7"/>
      <c r="Z894" s="7"/>
    </row>
    <row r="895" spans="1:26" ht="9" customHeight="1" x14ac:dyDescent="0.2">
      <c r="A895" s="186"/>
      <c r="B895" s="186"/>
      <c r="C895" s="45"/>
      <c r="D895" s="45"/>
      <c r="E895" s="54"/>
      <c r="F895" s="54"/>
      <c r="G895" s="54"/>
      <c r="H895" s="54"/>
      <c r="I895" s="54"/>
      <c r="J895" s="54"/>
      <c r="K895" s="54"/>
      <c r="L895" s="54"/>
      <c r="M895" s="39"/>
      <c r="N895" s="54"/>
      <c r="O895" s="54"/>
      <c r="P895" s="54"/>
      <c r="Q895" s="54"/>
      <c r="R895" s="7"/>
      <c r="S895" s="7"/>
      <c r="T895" s="7"/>
      <c r="U895" s="7"/>
      <c r="V895" s="7"/>
      <c r="W895" s="7"/>
      <c r="X895" s="7"/>
      <c r="Y895" s="7"/>
      <c r="Z895" s="7"/>
    </row>
    <row r="896" spans="1:26" ht="9" customHeight="1" x14ac:dyDescent="0.2">
      <c r="A896" s="186"/>
      <c r="B896" s="186"/>
      <c r="C896" s="45"/>
      <c r="D896" s="45"/>
      <c r="E896" s="54"/>
      <c r="F896" s="54"/>
      <c r="G896" s="54"/>
      <c r="H896" s="54"/>
      <c r="I896" s="54"/>
      <c r="J896" s="54"/>
      <c r="K896" s="54"/>
      <c r="L896" s="54"/>
      <c r="M896" s="39"/>
      <c r="N896" s="54"/>
      <c r="O896" s="54"/>
      <c r="P896" s="54"/>
      <c r="Q896" s="54"/>
      <c r="R896" s="7"/>
      <c r="S896" s="7"/>
      <c r="T896" s="7"/>
      <c r="U896" s="7"/>
      <c r="V896" s="7"/>
      <c r="W896" s="7"/>
      <c r="X896" s="7"/>
      <c r="Y896" s="7"/>
      <c r="Z896" s="7"/>
    </row>
    <row r="897" spans="1:26" ht="9" customHeight="1" x14ac:dyDescent="0.2">
      <c r="A897" s="186"/>
      <c r="B897" s="186"/>
      <c r="C897" s="45"/>
      <c r="D897" s="45"/>
      <c r="E897" s="54"/>
      <c r="F897" s="54"/>
      <c r="G897" s="54"/>
      <c r="H897" s="54"/>
      <c r="I897" s="54"/>
      <c r="J897" s="54"/>
      <c r="K897" s="54"/>
      <c r="L897" s="54"/>
      <c r="M897" s="39"/>
      <c r="N897" s="54"/>
      <c r="O897" s="54"/>
      <c r="P897" s="54"/>
      <c r="Q897" s="54"/>
      <c r="R897" s="7"/>
      <c r="S897" s="7"/>
      <c r="T897" s="7"/>
      <c r="U897" s="7"/>
      <c r="V897" s="7"/>
      <c r="W897" s="7"/>
      <c r="X897" s="7"/>
      <c r="Y897" s="7"/>
      <c r="Z897" s="7"/>
    </row>
    <row r="898" spans="1:26" ht="9" customHeight="1" x14ac:dyDescent="0.2">
      <c r="A898" s="186"/>
      <c r="B898" s="186"/>
      <c r="C898" s="45"/>
      <c r="D898" s="45"/>
      <c r="E898" s="54"/>
      <c r="F898" s="54"/>
      <c r="G898" s="54"/>
      <c r="H898" s="54"/>
      <c r="I898" s="54"/>
      <c r="J898" s="54"/>
      <c r="K898" s="54"/>
      <c r="L898" s="54"/>
      <c r="M898" s="39"/>
      <c r="N898" s="54"/>
      <c r="O898" s="54"/>
      <c r="P898" s="54"/>
      <c r="Q898" s="54"/>
      <c r="R898" s="7"/>
      <c r="S898" s="7"/>
      <c r="T898" s="7"/>
      <c r="U898" s="7"/>
      <c r="V898" s="7"/>
      <c r="W898" s="7"/>
      <c r="X898" s="7"/>
      <c r="Y898" s="7"/>
      <c r="Z898" s="7"/>
    </row>
    <row r="899" spans="1:26" ht="9" customHeight="1" x14ac:dyDescent="0.2">
      <c r="A899" s="186"/>
      <c r="B899" s="186"/>
      <c r="C899" s="45"/>
      <c r="D899" s="45"/>
      <c r="E899" s="54"/>
      <c r="F899" s="54"/>
      <c r="G899" s="54"/>
      <c r="H899" s="54"/>
      <c r="I899" s="54"/>
      <c r="J899" s="54"/>
      <c r="K899" s="54"/>
      <c r="L899" s="54"/>
      <c r="M899" s="39"/>
      <c r="N899" s="54"/>
      <c r="O899" s="54"/>
      <c r="P899" s="54"/>
      <c r="Q899" s="54"/>
      <c r="R899" s="7"/>
      <c r="S899" s="7"/>
      <c r="T899" s="7"/>
      <c r="U899" s="7"/>
      <c r="V899" s="7"/>
      <c r="W899" s="7"/>
      <c r="X899" s="7"/>
      <c r="Y899" s="7"/>
      <c r="Z899" s="7"/>
    </row>
    <row r="900" spans="1:26" s="7" customFormat="1" ht="12.75" customHeight="1" x14ac:dyDescent="0.2">
      <c r="A900" s="522">
        <v>42736</v>
      </c>
      <c r="B900" s="522">
        <v>43159</v>
      </c>
      <c r="C900" s="57" t="s">
        <v>36</v>
      </c>
      <c r="D900" s="58">
        <v>0</v>
      </c>
      <c r="E900" s="59">
        <v>8874.34</v>
      </c>
      <c r="F900" s="59">
        <v>0</v>
      </c>
      <c r="G900" s="59"/>
      <c r="H900" s="59">
        <v>6207.16</v>
      </c>
      <c r="I900" s="59">
        <v>111.78</v>
      </c>
      <c r="J900" s="59">
        <v>1266.1099999999999</v>
      </c>
      <c r="K900" s="59">
        <v>15193.28</v>
      </c>
      <c r="L900" s="60">
        <v>16459.39</v>
      </c>
      <c r="M900" s="33"/>
      <c r="N900" s="59">
        <v>15193.28</v>
      </c>
      <c r="O900" s="59">
        <v>8986.1200000000008</v>
      </c>
      <c r="P900" s="59">
        <v>702</v>
      </c>
      <c r="Q900" s="59">
        <v>18076.89</v>
      </c>
      <c r="R900" s="59">
        <v>16810.78</v>
      </c>
    </row>
    <row r="901" spans="1:26" s="7" customFormat="1" ht="9" customHeight="1" x14ac:dyDescent="0.2">
      <c r="A901" s="523"/>
      <c r="B901" s="523"/>
      <c r="C901" s="62" t="s">
        <v>37</v>
      </c>
      <c r="D901" s="63">
        <v>8</v>
      </c>
      <c r="E901" s="64">
        <v>17183118</v>
      </c>
      <c r="F901" s="65">
        <v>0</v>
      </c>
      <c r="G901" s="65">
        <v>0</v>
      </c>
      <c r="H901" s="64">
        <v>12018738</v>
      </c>
      <c r="I901" s="64">
        <v>216436</v>
      </c>
      <c r="J901" s="66">
        <v>2451531</v>
      </c>
      <c r="K901" s="64">
        <v>29418292</v>
      </c>
      <c r="L901" s="64">
        <v>31869823</v>
      </c>
      <c r="M901" s="39"/>
      <c r="N901" s="65">
        <v>29418292</v>
      </c>
      <c r="O901" s="65">
        <v>17399555</v>
      </c>
      <c r="P901" s="65">
        <v>1359262</v>
      </c>
      <c r="Q901" s="65">
        <v>35001740</v>
      </c>
      <c r="R901" s="65">
        <v>32550209</v>
      </c>
    </row>
    <row r="902" spans="1:26" s="7" customFormat="1" ht="12.75" customHeight="1" x14ac:dyDescent="0.2">
      <c r="A902" s="536">
        <v>42736</v>
      </c>
      <c r="B902" s="536">
        <v>43159</v>
      </c>
      <c r="C902" s="68" t="s">
        <v>36</v>
      </c>
      <c r="D902" s="69">
        <v>9</v>
      </c>
      <c r="E902" s="59">
        <v>10228.780000000001</v>
      </c>
      <c r="F902" s="59">
        <v>0</v>
      </c>
      <c r="G902" s="59">
        <v>0</v>
      </c>
      <c r="H902" s="59">
        <v>6207.16</v>
      </c>
      <c r="I902" s="59">
        <v>111.78</v>
      </c>
      <c r="J902" s="59">
        <v>1378.98</v>
      </c>
      <c r="K902" s="59">
        <v>16547.72</v>
      </c>
      <c r="L902" s="60">
        <v>17926.7</v>
      </c>
      <c r="M902" s="33"/>
      <c r="N902" s="59">
        <v>16547.72</v>
      </c>
      <c r="O902" s="59">
        <v>10340.56</v>
      </c>
      <c r="P902" s="59">
        <v>702</v>
      </c>
      <c r="Q902" s="59">
        <v>19788</v>
      </c>
      <c r="R902" s="59">
        <v>18409.02</v>
      </c>
    </row>
    <row r="903" spans="1:26" s="7" customFormat="1" ht="9" customHeight="1" x14ac:dyDescent="0.2">
      <c r="A903" s="536"/>
      <c r="B903" s="536"/>
      <c r="C903" s="62" t="s">
        <v>37</v>
      </c>
      <c r="D903" s="63">
        <v>14</v>
      </c>
      <c r="E903" s="64">
        <v>19805680</v>
      </c>
      <c r="F903" s="65">
        <v>0</v>
      </c>
      <c r="G903" s="65">
        <v>0</v>
      </c>
      <c r="H903" s="64">
        <v>12018738</v>
      </c>
      <c r="I903" s="64">
        <v>216436</v>
      </c>
      <c r="J903" s="66">
        <v>2670078</v>
      </c>
      <c r="K903" s="64">
        <v>32040854</v>
      </c>
      <c r="L903" s="64">
        <v>34710931</v>
      </c>
      <c r="M903" s="39"/>
      <c r="N903" s="65">
        <v>32040854</v>
      </c>
      <c r="O903" s="65">
        <v>20022116</v>
      </c>
      <c r="P903" s="65">
        <v>1359262</v>
      </c>
      <c r="Q903" s="65">
        <v>38314911</v>
      </c>
      <c r="R903" s="65">
        <v>35644833</v>
      </c>
    </row>
    <row r="904" spans="1:26" s="7" customFormat="1" ht="12.75" customHeight="1" x14ac:dyDescent="0.2">
      <c r="A904" s="536"/>
      <c r="B904" s="536"/>
      <c r="C904" s="68" t="s">
        <v>36</v>
      </c>
      <c r="D904" s="69">
        <v>15</v>
      </c>
      <c r="E904" s="59">
        <v>11219.99</v>
      </c>
      <c r="F904" s="59"/>
      <c r="G904" s="59"/>
      <c r="H904" s="59">
        <v>6207.16</v>
      </c>
      <c r="I904" s="59">
        <v>111.78</v>
      </c>
      <c r="J904" s="59">
        <v>1461.58</v>
      </c>
      <c r="K904" s="59">
        <v>17538.93</v>
      </c>
      <c r="L904" s="60">
        <v>19000.509999999998</v>
      </c>
      <c r="M904" s="33"/>
      <c r="N904" s="59">
        <v>17538.93</v>
      </c>
      <c r="O904" s="59">
        <v>11331.77</v>
      </c>
      <c r="P904" s="59">
        <v>702</v>
      </c>
      <c r="Q904" s="59">
        <v>21040.23</v>
      </c>
      <c r="R904" s="59">
        <v>19578.650000000001</v>
      </c>
    </row>
    <row r="905" spans="1:26" s="7" customFormat="1" ht="9" customHeight="1" x14ac:dyDescent="0.2">
      <c r="A905" s="536"/>
      <c r="B905" s="536"/>
      <c r="C905" s="62" t="s">
        <v>37</v>
      </c>
      <c r="D905" s="63">
        <v>20</v>
      </c>
      <c r="E905" s="64">
        <v>21724930</v>
      </c>
      <c r="F905" s="65">
        <v>0</v>
      </c>
      <c r="G905" s="65">
        <v>0</v>
      </c>
      <c r="H905" s="64">
        <v>12018738</v>
      </c>
      <c r="I905" s="64">
        <v>216436</v>
      </c>
      <c r="J905" s="66">
        <v>2830014</v>
      </c>
      <c r="K905" s="64">
        <v>33960104</v>
      </c>
      <c r="L905" s="64">
        <v>36790117</v>
      </c>
      <c r="M905" s="39"/>
      <c r="N905" s="65">
        <v>33960104</v>
      </c>
      <c r="O905" s="65">
        <v>21941366</v>
      </c>
      <c r="P905" s="65">
        <v>1359262</v>
      </c>
      <c r="Q905" s="65">
        <v>40739566</v>
      </c>
      <c r="R905" s="65">
        <v>37909553</v>
      </c>
    </row>
    <row r="906" spans="1:26" s="7" customFormat="1" ht="12.75" customHeight="1" x14ac:dyDescent="0.2">
      <c r="A906" s="536"/>
      <c r="B906" s="536"/>
      <c r="C906" s="68" t="s">
        <v>36</v>
      </c>
      <c r="D906" s="69">
        <v>21</v>
      </c>
      <c r="E906" s="59">
        <v>12194.85</v>
      </c>
      <c r="F906" s="59">
        <v>0</v>
      </c>
      <c r="G906" s="59">
        <v>0</v>
      </c>
      <c r="H906" s="59">
        <v>6207.16</v>
      </c>
      <c r="I906" s="59">
        <v>111.78</v>
      </c>
      <c r="J906" s="59">
        <v>1542.82</v>
      </c>
      <c r="K906" s="59">
        <v>18513.79</v>
      </c>
      <c r="L906" s="60">
        <v>20056.61</v>
      </c>
      <c r="M906" s="33"/>
      <c r="N906" s="59">
        <v>18513.79</v>
      </c>
      <c r="O906" s="59">
        <v>12306.63</v>
      </c>
      <c r="P906" s="59">
        <v>702</v>
      </c>
      <c r="Q906" s="59">
        <v>22271.8</v>
      </c>
      <c r="R906" s="59">
        <v>20728.98</v>
      </c>
    </row>
    <row r="907" spans="1:26" s="7" customFormat="1" ht="9" customHeight="1" x14ac:dyDescent="0.2">
      <c r="A907" s="536"/>
      <c r="B907" s="536"/>
      <c r="C907" s="62" t="s">
        <v>37</v>
      </c>
      <c r="D907" s="63">
        <v>27</v>
      </c>
      <c r="E907" s="64">
        <v>23612522</v>
      </c>
      <c r="F907" s="65">
        <v>0</v>
      </c>
      <c r="G907" s="65">
        <v>0</v>
      </c>
      <c r="H907" s="64">
        <v>12018738</v>
      </c>
      <c r="I907" s="64">
        <v>216436</v>
      </c>
      <c r="J907" s="66">
        <v>2987316</v>
      </c>
      <c r="K907" s="64">
        <v>35847696</v>
      </c>
      <c r="L907" s="64">
        <v>38835012</v>
      </c>
      <c r="M907" s="39"/>
      <c r="N907" s="65">
        <v>35847696</v>
      </c>
      <c r="O907" s="65">
        <v>23828958</v>
      </c>
      <c r="P907" s="65">
        <v>1359262</v>
      </c>
      <c r="Q907" s="65">
        <v>43124218</v>
      </c>
      <c r="R907" s="65">
        <v>40136902</v>
      </c>
    </row>
    <row r="908" spans="1:26" s="7" customFormat="1" ht="12.75" customHeight="1" x14ac:dyDescent="0.2">
      <c r="A908" s="536"/>
      <c r="B908" s="536"/>
      <c r="C908" s="68" t="s">
        <v>36</v>
      </c>
      <c r="D908" s="69">
        <v>28</v>
      </c>
      <c r="E908" s="59">
        <v>12931.74</v>
      </c>
      <c r="F908" s="59">
        <v>0</v>
      </c>
      <c r="G908" s="59">
        <v>0</v>
      </c>
      <c r="H908" s="59">
        <v>6207.16</v>
      </c>
      <c r="I908" s="59">
        <v>111.78</v>
      </c>
      <c r="J908" s="59">
        <v>1604.22</v>
      </c>
      <c r="K908" s="59">
        <v>19250.68</v>
      </c>
      <c r="L908" s="60">
        <v>20854.900000000001</v>
      </c>
      <c r="M908" s="33"/>
      <c r="N908" s="59">
        <v>19250.68</v>
      </c>
      <c r="O908" s="59">
        <v>13043.52</v>
      </c>
      <c r="P908" s="59">
        <v>702</v>
      </c>
      <c r="Q908" s="59">
        <v>23202.73</v>
      </c>
      <c r="R908" s="59">
        <v>21598.51</v>
      </c>
    </row>
    <row r="909" spans="1:26" s="7" customFormat="1" ht="9" customHeight="1" x14ac:dyDescent="0.2">
      <c r="A909" s="536"/>
      <c r="B909" s="536"/>
      <c r="C909" s="62" t="s">
        <v>37</v>
      </c>
      <c r="D909" s="63">
        <v>34</v>
      </c>
      <c r="E909" s="64">
        <v>25039340</v>
      </c>
      <c r="F909" s="65">
        <v>0</v>
      </c>
      <c r="G909" s="65">
        <v>0</v>
      </c>
      <c r="H909" s="64">
        <v>12018738</v>
      </c>
      <c r="I909" s="64">
        <v>216436</v>
      </c>
      <c r="J909" s="66">
        <v>3106203</v>
      </c>
      <c r="K909" s="64">
        <v>37274514</v>
      </c>
      <c r="L909" s="64">
        <v>40380717</v>
      </c>
      <c r="M909" s="39"/>
      <c r="N909" s="65">
        <v>37274514</v>
      </c>
      <c r="O909" s="65">
        <v>25255776</v>
      </c>
      <c r="P909" s="65">
        <v>1359262</v>
      </c>
      <c r="Q909" s="65">
        <v>44926750</v>
      </c>
      <c r="R909" s="65">
        <v>41820547</v>
      </c>
    </row>
    <row r="910" spans="1:26" s="7" customFormat="1" ht="12.75" customHeight="1" x14ac:dyDescent="0.2">
      <c r="A910" s="536"/>
      <c r="B910" s="536"/>
      <c r="C910" s="68" t="s">
        <v>36</v>
      </c>
      <c r="D910" s="69">
        <v>35</v>
      </c>
      <c r="E910" s="59">
        <v>13447.55</v>
      </c>
      <c r="F910" s="59">
        <v>0</v>
      </c>
      <c r="G910" s="59">
        <v>0</v>
      </c>
      <c r="H910" s="59">
        <v>6207.16</v>
      </c>
      <c r="I910" s="59">
        <v>111.78</v>
      </c>
      <c r="J910" s="59">
        <v>1647.21</v>
      </c>
      <c r="K910" s="59">
        <v>19766.490000000002</v>
      </c>
      <c r="L910" s="60">
        <v>21413.7</v>
      </c>
      <c r="M910" s="33"/>
      <c r="N910" s="59">
        <v>19766.490000000002</v>
      </c>
      <c r="O910" s="59">
        <v>13559.33</v>
      </c>
      <c r="P910" s="59">
        <v>702</v>
      </c>
      <c r="Q910" s="59">
        <v>23854.38</v>
      </c>
      <c r="R910" s="59">
        <v>22207.17</v>
      </c>
    </row>
    <row r="911" spans="1:26" s="7" customFormat="1" ht="9" customHeight="1" x14ac:dyDescent="0.2">
      <c r="A911" s="537"/>
      <c r="B911" s="537"/>
      <c r="C911" s="71" t="s">
        <v>37</v>
      </c>
      <c r="D911" s="72"/>
      <c r="E911" s="64">
        <v>26038088</v>
      </c>
      <c r="F911" s="64">
        <v>0</v>
      </c>
      <c r="G911" s="64">
        <v>0</v>
      </c>
      <c r="H911" s="64">
        <v>12018738</v>
      </c>
      <c r="I911" s="64">
        <v>216436</v>
      </c>
      <c r="J911" s="64">
        <v>3189443</v>
      </c>
      <c r="K911" s="64">
        <v>38273262</v>
      </c>
      <c r="L911" s="64">
        <v>41462705</v>
      </c>
      <c r="M911" s="39"/>
      <c r="N911" s="64">
        <v>38273262</v>
      </c>
      <c r="O911" s="64">
        <v>26254524</v>
      </c>
      <c r="P911" s="64">
        <v>1359262</v>
      </c>
      <c r="Q911" s="64">
        <v>46188520</v>
      </c>
      <c r="R911" s="65">
        <v>42999077</v>
      </c>
    </row>
    <row r="912" spans="1:26" s="7" customFormat="1" ht="9" customHeight="1" x14ac:dyDescent="0.2">
      <c r="A912" s="67"/>
      <c r="B912" s="67"/>
      <c r="C912" s="184"/>
      <c r="D912" s="45"/>
      <c r="E912" s="185"/>
      <c r="F912" s="185"/>
      <c r="G912" s="185"/>
      <c r="H912" s="185"/>
      <c r="I912" s="185"/>
      <c r="J912" s="185"/>
      <c r="K912" s="185"/>
      <c r="L912" s="185"/>
      <c r="M912" s="39"/>
      <c r="N912" s="185"/>
      <c r="O912" s="185"/>
      <c r="P912" s="185"/>
      <c r="Q912" s="185"/>
      <c r="R912" s="185"/>
    </row>
    <row r="913" spans="1:18" s="7" customFormat="1" ht="9" customHeight="1" x14ac:dyDescent="0.2">
      <c r="A913" s="67"/>
      <c r="B913" s="67"/>
      <c r="C913" s="184"/>
      <c r="D913" s="45"/>
      <c r="E913" s="185"/>
      <c r="F913" s="185"/>
      <c r="G913" s="185"/>
      <c r="H913" s="185"/>
      <c r="I913" s="185"/>
      <c r="J913" s="185"/>
      <c r="K913" s="185"/>
      <c r="L913" s="185"/>
      <c r="M913" s="39"/>
      <c r="N913" s="185"/>
      <c r="O913" s="185"/>
      <c r="P913" s="185"/>
      <c r="Q913" s="185"/>
      <c r="R913" s="185"/>
    </row>
    <row r="914" spans="1:18" s="7" customFormat="1" ht="9" customHeight="1" x14ac:dyDescent="0.2">
      <c r="A914" s="67"/>
      <c r="B914" s="67"/>
      <c r="C914" s="184"/>
      <c r="D914" s="45"/>
      <c r="E914" s="185"/>
      <c r="F914" s="185"/>
      <c r="G914" s="185"/>
      <c r="H914" s="185"/>
      <c r="I914" s="185"/>
      <c r="J914" s="185"/>
      <c r="K914" s="185"/>
      <c r="L914" s="185"/>
      <c r="M914" s="39"/>
      <c r="N914" s="185"/>
      <c r="O914" s="185"/>
      <c r="P914" s="185"/>
      <c r="Q914" s="185"/>
      <c r="R914" s="185"/>
    </row>
    <row r="915" spans="1:18" s="7" customFormat="1" ht="9" customHeight="1" x14ac:dyDescent="0.2">
      <c r="A915" s="67"/>
      <c r="B915" s="67"/>
      <c r="C915" s="184"/>
      <c r="D915" s="45"/>
      <c r="E915" s="185"/>
      <c r="F915" s="185"/>
      <c r="G915" s="185"/>
      <c r="H915" s="185"/>
      <c r="I915" s="185"/>
      <c r="J915" s="185"/>
      <c r="K915" s="185"/>
      <c r="L915" s="185"/>
      <c r="M915" s="39"/>
      <c r="N915" s="185"/>
      <c r="O915" s="185"/>
      <c r="P915" s="185"/>
      <c r="Q915" s="185"/>
      <c r="R915" s="185"/>
    </row>
    <row r="916" spans="1:18" s="7" customFormat="1" ht="9" customHeight="1" x14ac:dyDescent="0.2">
      <c r="A916" s="67"/>
      <c r="B916" s="67"/>
      <c r="C916" s="184"/>
      <c r="D916" s="45"/>
      <c r="E916" s="185"/>
      <c r="F916" s="185"/>
      <c r="G916" s="185"/>
      <c r="H916" s="185"/>
      <c r="I916" s="185"/>
      <c r="J916" s="185"/>
      <c r="K916" s="185"/>
      <c r="L916" s="185"/>
      <c r="M916" s="39"/>
      <c r="N916" s="185"/>
      <c r="O916" s="185"/>
      <c r="P916" s="185"/>
      <c r="Q916" s="185"/>
      <c r="R916" s="185"/>
    </row>
    <row r="917" spans="1:18" s="7" customFormat="1" ht="9" customHeight="1" x14ac:dyDescent="0.2">
      <c r="A917" s="67"/>
      <c r="B917" s="67"/>
      <c r="C917" s="184"/>
      <c r="D917" s="45"/>
      <c r="E917" s="185"/>
      <c r="F917" s="185"/>
      <c r="G917" s="185"/>
      <c r="H917" s="185"/>
      <c r="I917" s="185"/>
      <c r="J917" s="185"/>
      <c r="K917" s="185"/>
      <c r="L917" s="185"/>
      <c r="M917" s="39"/>
      <c r="N917" s="185"/>
      <c r="O917" s="185"/>
      <c r="P917" s="185"/>
      <c r="Q917" s="185"/>
      <c r="R917" s="185"/>
    </row>
    <row r="918" spans="1:18" s="7" customFormat="1" ht="9" customHeight="1" x14ac:dyDescent="0.2">
      <c r="A918" s="67"/>
      <c r="B918" s="67"/>
      <c r="C918" s="184"/>
      <c r="D918" s="45"/>
      <c r="E918" s="185"/>
      <c r="F918" s="185"/>
      <c r="G918" s="185"/>
      <c r="H918" s="185"/>
      <c r="I918" s="185"/>
      <c r="J918" s="185"/>
      <c r="K918" s="185"/>
      <c r="L918" s="185"/>
      <c r="M918" s="39"/>
      <c r="N918" s="185"/>
      <c r="O918" s="185"/>
      <c r="P918" s="185"/>
      <c r="Q918" s="185"/>
      <c r="R918" s="185"/>
    </row>
    <row r="919" spans="1:18" s="7" customFormat="1" ht="9" customHeight="1" x14ac:dyDescent="0.2">
      <c r="A919" s="67"/>
      <c r="B919" s="67"/>
      <c r="C919" s="184"/>
      <c r="D919" s="45"/>
      <c r="E919" s="185"/>
      <c r="F919" s="185"/>
      <c r="G919" s="185"/>
      <c r="H919" s="185"/>
      <c r="I919" s="185"/>
      <c r="J919" s="185"/>
      <c r="K919" s="185"/>
      <c r="L919" s="185"/>
      <c r="M919" s="39"/>
      <c r="N919" s="185"/>
      <c r="O919" s="185"/>
      <c r="P919" s="185"/>
      <c r="Q919" s="185"/>
      <c r="R919" s="185"/>
    </row>
    <row r="920" spans="1:18" s="7" customFormat="1" ht="12.75" customHeight="1" x14ac:dyDescent="0.2">
      <c r="A920" s="522">
        <v>43160</v>
      </c>
      <c r="B920" s="522">
        <v>43190</v>
      </c>
      <c r="C920" s="57" t="s">
        <v>36</v>
      </c>
      <c r="D920" s="58">
        <v>0</v>
      </c>
      <c r="E920" s="59">
        <v>9212.74</v>
      </c>
      <c r="F920" s="59"/>
      <c r="G920" s="59"/>
      <c r="H920" s="59">
        <v>6207.16</v>
      </c>
      <c r="I920" s="59">
        <v>111.78</v>
      </c>
      <c r="J920" s="59">
        <v>1294.31</v>
      </c>
      <c r="K920" s="59">
        <v>15531.68</v>
      </c>
      <c r="L920" s="60">
        <v>16825.990000000002</v>
      </c>
      <c r="M920" s="33"/>
      <c r="N920" s="59">
        <v>15531.68</v>
      </c>
      <c r="O920" s="59">
        <v>9324.52</v>
      </c>
      <c r="P920" s="59">
        <v>802.8</v>
      </c>
      <c r="Q920" s="59">
        <v>18504.400000000001</v>
      </c>
      <c r="R920" s="59">
        <v>17210.09</v>
      </c>
    </row>
    <row r="921" spans="1:18" s="7" customFormat="1" ht="9" customHeight="1" x14ac:dyDescent="0.2">
      <c r="A921" s="523"/>
      <c r="B921" s="523"/>
      <c r="C921" s="62" t="s">
        <v>37</v>
      </c>
      <c r="D921" s="63">
        <v>8</v>
      </c>
      <c r="E921" s="64">
        <v>17838352</v>
      </c>
      <c r="F921" s="65"/>
      <c r="G921" s="65"/>
      <c r="H921" s="64">
        <v>12018738</v>
      </c>
      <c r="I921" s="64">
        <v>216436</v>
      </c>
      <c r="J921" s="66">
        <v>2506134</v>
      </c>
      <c r="K921" s="64">
        <v>30073526</v>
      </c>
      <c r="L921" s="64">
        <v>32579660</v>
      </c>
      <c r="M921" s="39"/>
      <c r="N921" s="65">
        <v>30073526</v>
      </c>
      <c r="O921" s="65">
        <v>18054788</v>
      </c>
      <c r="P921" s="65">
        <v>1554438</v>
      </c>
      <c r="Q921" s="65">
        <v>35829515</v>
      </c>
      <c r="R921" s="65">
        <v>33323381</v>
      </c>
    </row>
    <row r="922" spans="1:18" s="7" customFormat="1" ht="12.75" customHeight="1" x14ac:dyDescent="0.2">
      <c r="A922" s="520">
        <v>43160</v>
      </c>
      <c r="B922" s="520">
        <v>43190</v>
      </c>
      <c r="C922" s="68" t="s">
        <v>36</v>
      </c>
      <c r="D922" s="69">
        <v>9</v>
      </c>
      <c r="E922" s="59">
        <v>10599.58</v>
      </c>
      <c r="F922" s="59"/>
      <c r="G922" s="59"/>
      <c r="H922" s="59">
        <v>6207.16</v>
      </c>
      <c r="I922" s="59">
        <v>111.78</v>
      </c>
      <c r="J922" s="59">
        <v>1409.88</v>
      </c>
      <c r="K922" s="59">
        <v>16918.52</v>
      </c>
      <c r="L922" s="60">
        <v>18328.400000000001</v>
      </c>
      <c r="M922" s="33"/>
      <c r="N922" s="59">
        <v>16918.52</v>
      </c>
      <c r="O922" s="59">
        <v>10711.36</v>
      </c>
      <c r="P922" s="59">
        <v>802.8</v>
      </c>
      <c r="Q922" s="59">
        <v>20256.439999999999</v>
      </c>
      <c r="R922" s="59">
        <v>18846.560000000001</v>
      </c>
    </row>
    <row r="923" spans="1:18" s="7" customFormat="1" ht="9" customHeight="1" x14ac:dyDescent="0.2">
      <c r="A923" s="520"/>
      <c r="B923" s="520"/>
      <c r="C923" s="62" t="s">
        <v>37</v>
      </c>
      <c r="D923" s="63">
        <v>14</v>
      </c>
      <c r="E923" s="64">
        <v>20523649</v>
      </c>
      <c r="F923" s="65"/>
      <c r="G923" s="65"/>
      <c r="H923" s="64">
        <v>12018738</v>
      </c>
      <c r="I923" s="64">
        <v>216436</v>
      </c>
      <c r="J923" s="66">
        <v>2729908</v>
      </c>
      <c r="K923" s="64">
        <v>32758823</v>
      </c>
      <c r="L923" s="64">
        <v>35488731</v>
      </c>
      <c r="M923" s="39"/>
      <c r="N923" s="65">
        <v>32758823</v>
      </c>
      <c r="O923" s="65">
        <v>20740085</v>
      </c>
      <c r="P923" s="65">
        <v>1554438</v>
      </c>
      <c r="Q923" s="65">
        <v>39221937</v>
      </c>
      <c r="R923" s="65">
        <v>36492029</v>
      </c>
    </row>
    <row r="924" spans="1:18" s="7" customFormat="1" ht="12.75" customHeight="1" x14ac:dyDescent="0.2">
      <c r="A924" s="520"/>
      <c r="B924" s="520"/>
      <c r="C924" s="68" t="s">
        <v>36</v>
      </c>
      <c r="D924" s="69">
        <v>15</v>
      </c>
      <c r="E924" s="59">
        <v>11614.79</v>
      </c>
      <c r="F924" s="59"/>
      <c r="G924" s="59"/>
      <c r="H924" s="59">
        <v>6207.16</v>
      </c>
      <c r="I924" s="59">
        <v>111.78</v>
      </c>
      <c r="J924" s="59">
        <v>1494.48</v>
      </c>
      <c r="K924" s="59">
        <v>17933.73</v>
      </c>
      <c r="L924" s="60">
        <v>19428.21</v>
      </c>
      <c r="M924" s="33"/>
      <c r="N924" s="59">
        <v>17933.73</v>
      </c>
      <c r="O924" s="59">
        <v>11726.57</v>
      </c>
      <c r="P924" s="59">
        <v>802.8</v>
      </c>
      <c r="Q924" s="59">
        <v>21538.99</v>
      </c>
      <c r="R924" s="59">
        <v>20044.509999999998</v>
      </c>
    </row>
    <row r="925" spans="1:18" s="7" customFormat="1" ht="9" customHeight="1" x14ac:dyDescent="0.2">
      <c r="A925" s="520"/>
      <c r="B925" s="520"/>
      <c r="C925" s="62" t="s">
        <v>37</v>
      </c>
      <c r="D925" s="63">
        <v>20</v>
      </c>
      <c r="E925" s="64">
        <v>22489369</v>
      </c>
      <c r="F925" s="65"/>
      <c r="G925" s="65"/>
      <c r="H925" s="64">
        <v>12018738</v>
      </c>
      <c r="I925" s="64">
        <v>216436</v>
      </c>
      <c r="J925" s="66">
        <v>2893717</v>
      </c>
      <c r="K925" s="64">
        <v>34724543</v>
      </c>
      <c r="L925" s="64">
        <v>37618260</v>
      </c>
      <c r="M925" s="39"/>
      <c r="N925" s="65">
        <v>34724543</v>
      </c>
      <c r="O925" s="65">
        <v>22705806</v>
      </c>
      <c r="P925" s="65">
        <v>1554438</v>
      </c>
      <c r="Q925" s="65">
        <v>41705300</v>
      </c>
      <c r="R925" s="65">
        <v>38811583</v>
      </c>
    </row>
    <row r="926" spans="1:18" s="7" customFormat="1" ht="12.75" customHeight="1" x14ac:dyDescent="0.2">
      <c r="A926" s="520"/>
      <c r="B926" s="520"/>
      <c r="C926" s="68" t="s">
        <v>36</v>
      </c>
      <c r="D926" s="69">
        <v>21</v>
      </c>
      <c r="E926" s="59">
        <v>12602.85</v>
      </c>
      <c r="F926" s="59"/>
      <c r="G926" s="59"/>
      <c r="H926" s="59">
        <v>6207.16</v>
      </c>
      <c r="I926" s="59">
        <v>111.78</v>
      </c>
      <c r="J926" s="59">
        <v>1576.82</v>
      </c>
      <c r="K926" s="59">
        <v>18921.79</v>
      </c>
      <c r="L926" s="60">
        <v>20498.61</v>
      </c>
      <c r="M926" s="33"/>
      <c r="N926" s="59">
        <v>18921.79</v>
      </c>
      <c r="O926" s="59">
        <v>12714.63</v>
      </c>
      <c r="P926" s="59">
        <v>802.8</v>
      </c>
      <c r="Q926" s="59">
        <v>22787.24</v>
      </c>
      <c r="R926" s="59">
        <v>21210.42</v>
      </c>
    </row>
    <row r="927" spans="1:18" s="7" customFormat="1" ht="9" customHeight="1" x14ac:dyDescent="0.2">
      <c r="A927" s="520"/>
      <c r="B927" s="520"/>
      <c r="C927" s="62" t="s">
        <v>37</v>
      </c>
      <c r="D927" s="63">
        <v>27</v>
      </c>
      <c r="E927" s="64">
        <v>24402520</v>
      </c>
      <c r="F927" s="65"/>
      <c r="G927" s="65"/>
      <c r="H927" s="64">
        <v>12018738</v>
      </c>
      <c r="I927" s="64">
        <v>216436</v>
      </c>
      <c r="J927" s="66">
        <v>3053149</v>
      </c>
      <c r="K927" s="64">
        <v>36637694</v>
      </c>
      <c r="L927" s="64">
        <v>39690844</v>
      </c>
      <c r="M927" s="39"/>
      <c r="N927" s="65">
        <v>36637694</v>
      </c>
      <c r="O927" s="65">
        <v>24618957</v>
      </c>
      <c r="P927" s="65">
        <v>1554438</v>
      </c>
      <c r="Q927" s="65">
        <v>44122249</v>
      </c>
      <c r="R927" s="65">
        <v>41069100</v>
      </c>
    </row>
    <row r="928" spans="1:18" s="7" customFormat="1" ht="12.75" customHeight="1" x14ac:dyDescent="0.2">
      <c r="A928" s="520"/>
      <c r="B928" s="520"/>
      <c r="C928" s="68" t="s">
        <v>36</v>
      </c>
      <c r="D928" s="69">
        <v>28</v>
      </c>
      <c r="E928" s="59">
        <v>13354.14</v>
      </c>
      <c r="F928" s="59"/>
      <c r="G928" s="59"/>
      <c r="H928" s="59">
        <v>6207.16</v>
      </c>
      <c r="I928" s="59">
        <v>111.78</v>
      </c>
      <c r="J928" s="59">
        <v>1639.42</v>
      </c>
      <c r="K928" s="59">
        <v>19673.080000000002</v>
      </c>
      <c r="L928" s="60">
        <v>21312.5</v>
      </c>
      <c r="M928" s="33"/>
      <c r="N928" s="59">
        <v>19673.080000000002</v>
      </c>
      <c r="O928" s="59">
        <v>13465.92</v>
      </c>
      <c r="P928" s="59">
        <v>802.8</v>
      </c>
      <c r="Q928" s="59">
        <v>23736.37</v>
      </c>
      <c r="R928" s="59">
        <v>22096.95</v>
      </c>
    </row>
    <row r="929" spans="1:18" s="7" customFormat="1" ht="9" customHeight="1" x14ac:dyDescent="0.2">
      <c r="A929" s="520"/>
      <c r="B929" s="520"/>
      <c r="C929" s="62" t="s">
        <v>37</v>
      </c>
      <c r="D929" s="63">
        <v>34</v>
      </c>
      <c r="E929" s="64">
        <v>25857221</v>
      </c>
      <c r="F929" s="65"/>
      <c r="G929" s="65"/>
      <c r="H929" s="64">
        <v>12018738</v>
      </c>
      <c r="I929" s="64">
        <v>216436</v>
      </c>
      <c r="J929" s="66">
        <v>3174360</v>
      </c>
      <c r="K929" s="64">
        <v>38092395</v>
      </c>
      <c r="L929" s="64">
        <v>41266754</v>
      </c>
      <c r="M929" s="39"/>
      <c r="N929" s="65">
        <v>38092395</v>
      </c>
      <c r="O929" s="65">
        <v>26073657</v>
      </c>
      <c r="P929" s="65">
        <v>1554438</v>
      </c>
      <c r="Q929" s="65">
        <v>45960021</v>
      </c>
      <c r="R929" s="65">
        <v>42785661</v>
      </c>
    </row>
    <row r="930" spans="1:18" s="7" customFormat="1" ht="12.75" customHeight="1" x14ac:dyDescent="0.2">
      <c r="A930" s="520"/>
      <c r="B930" s="520"/>
      <c r="C930" s="68" t="s">
        <v>36</v>
      </c>
      <c r="D930" s="69">
        <v>35</v>
      </c>
      <c r="E930" s="59">
        <v>13887.95</v>
      </c>
      <c r="F930" s="59"/>
      <c r="G930" s="59"/>
      <c r="H930" s="59">
        <v>6207.16</v>
      </c>
      <c r="I930" s="59">
        <v>111.78</v>
      </c>
      <c r="J930" s="59">
        <v>1683.91</v>
      </c>
      <c r="K930" s="59">
        <v>20206.89</v>
      </c>
      <c r="L930" s="60">
        <v>21890.799999999999</v>
      </c>
      <c r="M930" s="33"/>
      <c r="N930" s="59">
        <v>20206.89</v>
      </c>
      <c r="O930" s="59">
        <v>13999.73</v>
      </c>
      <c r="P930" s="59">
        <v>802.8</v>
      </c>
      <c r="Q930" s="59">
        <v>24410.75</v>
      </c>
      <c r="R930" s="59">
        <v>22726.84</v>
      </c>
    </row>
    <row r="931" spans="1:18" s="7" customFormat="1" ht="9" customHeight="1" x14ac:dyDescent="0.2">
      <c r="A931" s="521"/>
      <c r="B931" s="521"/>
      <c r="C931" s="71" t="s">
        <v>37</v>
      </c>
      <c r="D931" s="72"/>
      <c r="E931" s="64">
        <v>26890821</v>
      </c>
      <c r="F931" s="64"/>
      <c r="G931" s="64"/>
      <c r="H931" s="64">
        <v>12018738</v>
      </c>
      <c r="I931" s="64">
        <v>216436</v>
      </c>
      <c r="J931" s="64">
        <v>3260504</v>
      </c>
      <c r="K931" s="64">
        <v>39125995</v>
      </c>
      <c r="L931" s="64">
        <v>42386499</v>
      </c>
      <c r="M931" s="39"/>
      <c r="N931" s="64">
        <v>39125995</v>
      </c>
      <c r="O931" s="64">
        <v>27107257</v>
      </c>
      <c r="P931" s="65">
        <v>1554438</v>
      </c>
      <c r="Q931" s="64">
        <v>47265803</v>
      </c>
      <c r="R931" s="65">
        <v>44005298</v>
      </c>
    </row>
    <row r="932" spans="1:18" s="7" customFormat="1" ht="9" customHeight="1" x14ac:dyDescent="0.2">
      <c r="A932" s="73"/>
      <c r="B932" s="73"/>
      <c r="C932" s="184"/>
      <c r="D932" s="45"/>
      <c r="E932" s="185"/>
      <c r="F932" s="185"/>
      <c r="G932" s="185"/>
      <c r="H932" s="185"/>
      <c r="I932" s="185"/>
      <c r="J932" s="185"/>
      <c r="K932" s="185"/>
      <c r="L932" s="185"/>
      <c r="M932" s="39"/>
      <c r="N932" s="185"/>
      <c r="O932" s="185"/>
      <c r="P932" s="185"/>
      <c r="Q932" s="185"/>
      <c r="R932" s="185"/>
    </row>
    <row r="933" spans="1:18" s="7" customFormat="1" ht="9" customHeight="1" x14ac:dyDescent="0.2">
      <c r="A933" s="73"/>
      <c r="B933" s="73"/>
      <c r="C933" s="184"/>
      <c r="D933" s="45"/>
      <c r="E933" s="185"/>
      <c r="F933" s="185"/>
      <c r="G933" s="185"/>
      <c r="H933" s="185"/>
      <c r="I933" s="185"/>
      <c r="J933" s="185"/>
      <c r="K933" s="185"/>
      <c r="L933" s="185"/>
      <c r="M933" s="39"/>
      <c r="N933" s="185"/>
      <c r="O933" s="185"/>
      <c r="P933" s="185"/>
      <c r="Q933" s="185"/>
      <c r="R933" s="185"/>
    </row>
    <row r="934" spans="1:18" s="7" customFormat="1" ht="9" customHeight="1" x14ac:dyDescent="0.2">
      <c r="A934" s="73"/>
      <c r="B934" s="73"/>
      <c r="C934" s="184"/>
      <c r="D934" s="45"/>
      <c r="E934" s="185"/>
      <c r="F934" s="185"/>
      <c r="G934" s="185"/>
      <c r="H934" s="185"/>
      <c r="I934" s="185"/>
      <c r="J934" s="185"/>
      <c r="K934" s="185"/>
      <c r="L934" s="185"/>
      <c r="M934" s="39"/>
      <c r="N934" s="185"/>
      <c r="O934" s="185"/>
      <c r="P934" s="185"/>
      <c r="Q934" s="185"/>
      <c r="R934" s="185"/>
    </row>
    <row r="935" spans="1:18" s="7" customFormat="1" ht="9" customHeight="1" x14ac:dyDescent="0.2">
      <c r="A935" s="73"/>
      <c r="B935" s="73"/>
      <c r="C935" s="184"/>
      <c r="D935" s="45"/>
      <c r="E935" s="185"/>
      <c r="F935" s="185"/>
      <c r="G935" s="185"/>
      <c r="H935" s="185"/>
      <c r="I935" s="185"/>
      <c r="J935" s="185"/>
      <c r="K935" s="185"/>
      <c r="L935" s="185"/>
      <c r="M935" s="39"/>
      <c r="N935" s="185"/>
      <c r="O935" s="185"/>
      <c r="P935" s="185"/>
      <c r="Q935" s="185"/>
      <c r="R935" s="185"/>
    </row>
    <row r="936" spans="1:18" s="7" customFormat="1" ht="9" customHeight="1" x14ac:dyDescent="0.2">
      <c r="A936" s="73"/>
      <c r="B936" s="73"/>
      <c r="C936" s="184"/>
      <c r="D936" s="45"/>
      <c r="E936" s="185"/>
      <c r="F936" s="185"/>
      <c r="G936" s="185"/>
      <c r="H936" s="185"/>
      <c r="I936" s="185"/>
      <c r="J936" s="185"/>
      <c r="K936" s="185"/>
      <c r="L936" s="185"/>
      <c r="M936" s="39"/>
      <c r="N936" s="185"/>
      <c r="O936" s="185"/>
      <c r="P936" s="185"/>
      <c r="Q936" s="185"/>
      <c r="R936" s="185"/>
    </row>
    <row r="937" spans="1:18" s="7" customFormat="1" ht="9" customHeight="1" x14ac:dyDescent="0.2">
      <c r="A937" s="73"/>
      <c r="B937" s="73"/>
      <c r="C937" s="184"/>
      <c r="D937" s="45"/>
      <c r="E937" s="185"/>
      <c r="F937" s="185"/>
      <c r="G937" s="185"/>
      <c r="H937" s="185"/>
      <c r="I937" s="185"/>
      <c r="J937" s="185"/>
      <c r="K937" s="185"/>
      <c r="L937" s="185"/>
      <c r="M937" s="39"/>
      <c r="N937" s="185"/>
      <c r="O937" s="185"/>
      <c r="P937" s="185"/>
      <c r="Q937" s="185"/>
      <c r="R937" s="185"/>
    </row>
    <row r="938" spans="1:18" s="7" customFormat="1" ht="9" customHeight="1" x14ac:dyDescent="0.2">
      <c r="A938" s="73"/>
      <c r="B938" s="73"/>
      <c r="C938" s="184"/>
      <c r="D938" s="45"/>
      <c r="E938" s="185"/>
      <c r="F938" s="185"/>
      <c r="G938" s="185"/>
      <c r="H938" s="185"/>
      <c r="I938" s="185"/>
      <c r="J938" s="185"/>
      <c r="K938" s="185"/>
      <c r="L938" s="185"/>
      <c r="M938" s="39"/>
      <c r="N938" s="185"/>
      <c r="O938" s="185"/>
      <c r="P938" s="185"/>
      <c r="Q938" s="185"/>
      <c r="R938" s="185"/>
    </row>
    <row r="939" spans="1:18" s="7" customFormat="1" ht="9" customHeight="1" x14ac:dyDescent="0.2">
      <c r="A939" s="73"/>
      <c r="B939" s="73"/>
      <c r="C939" s="184"/>
      <c r="D939" s="45"/>
      <c r="E939" s="185"/>
      <c r="F939" s="185"/>
      <c r="G939" s="185"/>
      <c r="H939" s="185"/>
      <c r="I939" s="185"/>
      <c r="J939" s="185"/>
      <c r="K939" s="185"/>
      <c r="L939" s="185"/>
      <c r="M939" s="39"/>
      <c r="N939" s="185"/>
      <c r="O939" s="185"/>
      <c r="P939" s="185"/>
      <c r="Q939" s="185"/>
      <c r="R939" s="185"/>
    </row>
    <row r="940" spans="1:18" s="7" customFormat="1" ht="12.75" customHeight="1" x14ac:dyDescent="0.2">
      <c r="A940" s="522">
        <v>43191</v>
      </c>
      <c r="B940" s="522">
        <v>43465</v>
      </c>
      <c r="C940" s="57" t="s">
        <v>36</v>
      </c>
      <c r="D940" s="58">
        <v>0</v>
      </c>
      <c r="E940" s="59">
        <v>9324.52</v>
      </c>
      <c r="F940" s="59"/>
      <c r="G940" s="59"/>
      <c r="H940" s="59">
        <v>6207.16</v>
      </c>
      <c r="I940" s="59"/>
      <c r="J940" s="59">
        <v>1294.31</v>
      </c>
      <c r="K940" s="59">
        <v>15531.68</v>
      </c>
      <c r="L940" s="60">
        <v>16825.990000000002</v>
      </c>
      <c r="M940" s="33"/>
      <c r="N940" s="59">
        <v>15531.68</v>
      </c>
      <c r="O940" s="59">
        <v>9324.52</v>
      </c>
      <c r="P940" s="59">
        <v>802.8</v>
      </c>
      <c r="Q940" s="59">
        <v>18504.400000000001</v>
      </c>
      <c r="R940" s="59">
        <v>17210.09</v>
      </c>
    </row>
    <row r="941" spans="1:18" s="7" customFormat="1" ht="9" customHeight="1" x14ac:dyDescent="0.2">
      <c r="A941" s="523"/>
      <c r="B941" s="523"/>
      <c r="C941" s="62" t="s">
        <v>37</v>
      </c>
      <c r="D941" s="63">
        <v>8</v>
      </c>
      <c r="E941" s="64">
        <v>18054788</v>
      </c>
      <c r="F941" s="65"/>
      <c r="G941" s="65"/>
      <c r="H941" s="64">
        <v>12018738</v>
      </c>
      <c r="I941" s="64"/>
      <c r="J941" s="66">
        <v>2506134</v>
      </c>
      <c r="K941" s="64">
        <v>30073526</v>
      </c>
      <c r="L941" s="64">
        <v>32579660</v>
      </c>
      <c r="M941" s="39"/>
      <c r="N941" s="65">
        <v>30073526</v>
      </c>
      <c r="O941" s="65">
        <v>18054788</v>
      </c>
      <c r="P941" s="65">
        <v>1554438</v>
      </c>
      <c r="Q941" s="65">
        <v>35829515</v>
      </c>
      <c r="R941" s="65">
        <v>33323381</v>
      </c>
    </row>
    <row r="942" spans="1:18" s="7" customFormat="1" ht="12.75" customHeight="1" x14ac:dyDescent="0.2">
      <c r="A942" s="520">
        <v>43191</v>
      </c>
      <c r="B942" s="520">
        <f>B940</f>
        <v>43465</v>
      </c>
      <c r="C942" s="68" t="s">
        <v>36</v>
      </c>
      <c r="D942" s="69">
        <v>9</v>
      </c>
      <c r="E942" s="59">
        <v>10711.36</v>
      </c>
      <c r="F942" s="59"/>
      <c r="G942" s="59"/>
      <c r="H942" s="59">
        <v>6207.16</v>
      </c>
      <c r="I942" s="59"/>
      <c r="J942" s="59">
        <v>1409.88</v>
      </c>
      <c r="K942" s="59">
        <v>16918.52</v>
      </c>
      <c r="L942" s="60">
        <v>18328.400000000001</v>
      </c>
      <c r="M942" s="33"/>
      <c r="N942" s="59">
        <v>16918.52</v>
      </c>
      <c r="O942" s="59">
        <v>10711.36</v>
      </c>
      <c r="P942" s="59">
        <v>802.8</v>
      </c>
      <c r="Q942" s="59">
        <v>20256.439999999999</v>
      </c>
      <c r="R942" s="59">
        <v>18846.560000000001</v>
      </c>
    </row>
    <row r="943" spans="1:18" s="7" customFormat="1" ht="9" customHeight="1" x14ac:dyDescent="0.2">
      <c r="A943" s="520"/>
      <c r="B943" s="520"/>
      <c r="C943" s="62" t="s">
        <v>37</v>
      </c>
      <c r="D943" s="63">
        <v>14</v>
      </c>
      <c r="E943" s="64">
        <v>20740085</v>
      </c>
      <c r="F943" s="65"/>
      <c r="G943" s="65"/>
      <c r="H943" s="64">
        <v>12018738</v>
      </c>
      <c r="I943" s="64"/>
      <c r="J943" s="66">
        <v>2729908</v>
      </c>
      <c r="K943" s="64">
        <v>32758823</v>
      </c>
      <c r="L943" s="64">
        <v>35488731</v>
      </c>
      <c r="M943" s="39"/>
      <c r="N943" s="65">
        <v>32758823</v>
      </c>
      <c r="O943" s="65">
        <v>20740085</v>
      </c>
      <c r="P943" s="65">
        <v>1554438</v>
      </c>
      <c r="Q943" s="65">
        <v>39221937</v>
      </c>
      <c r="R943" s="65">
        <v>36492029</v>
      </c>
    </row>
    <row r="944" spans="1:18" s="7" customFormat="1" ht="12.75" customHeight="1" x14ac:dyDescent="0.2">
      <c r="A944" s="520"/>
      <c r="B944" s="520"/>
      <c r="C944" s="68" t="s">
        <v>36</v>
      </c>
      <c r="D944" s="69">
        <v>15</v>
      </c>
      <c r="E944" s="59">
        <v>11726.57</v>
      </c>
      <c r="F944" s="59"/>
      <c r="G944" s="59"/>
      <c r="H944" s="59">
        <v>6207.16</v>
      </c>
      <c r="I944" s="59"/>
      <c r="J944" s="59">
        <v>1494.48</v>
      </c>
      <c r="K944" s="59">
        <v>17933.73</v>
      </c>
      <c r="L944" s="60">
        <v>19428.21</v>
      </c>
      <c r="M944" s="33"/>
      <c r="N944" s="59">
        <v>17933.73</v>
      </c>
      <c r="O944" s="59">
        <v>11726.57</v>
      </c>
      <c r="P944" s="59">
        <v>802.8</v>
      </c>
      <c r="Q944" s="59">
        <v>21538.99</v>
      </c>
      <c r="R944" s="59">
        <v>20044.509999999998</v>
      </c>
    </row>
    <row r="945" spans="1:18" s="7" customFormat="1" ht="9" customHeight="1" x14ac:dyDescent="0.2">
      <c r="A945" s="520"/>
      <c r="B945" s="520"/>
      <c r="C945" s="62" t="s">
        <v>37</v>
      </c>
      <c r="D945" s="63">
        <v>20</v>
      </c>
      <c r="E945" s="64">
        <v>22705806</v>
      </c>
      <c r="F945" s="65"/>
      <c r="G945" s="65"/>
      <c r="H945" s="64">
        <v>12018738</v>
      </c>
      <c r="I945" s="64"/>
      <c r="J945" s="66">
        <v>2893717</v>
      </c>
      <c r="K945" s="64">
        <v>34724543</v>
      </c>
      <c r="L945" s="64">
        <v>37618260</v>
      </c>
      <c r="M945" s="39"/>
      <c r="N945" s="65">
        <v>34724543</v>
      </c>
      <c r="O945" s="65">
        <v>22705806</v>
      </c>
      <c r="P945" s="65">
        <v>1554438</v>
      </c>
      <c r="Q945" s="65">
        <v>41705300</v>
      </c>
      <c r="R945" s="65">
        <v>38811583</v>
      </c>
    </row>
    <row r="946" spans="1:18" s="7" customFormat="1" ht="12.75" customHeight="1" x14ac:dyDescent="0.2">
      <c r="A946" s="520"/>
      <c r="B946" s="520"/>
      <c r="C946" s="68" t="s">
        <v>36</v>
      </c>
      <c r="D946" s="69">
        <v>21</v>
      </c>
      <c r="E946" s="59">
        <v>12714.63</v>
      </c>
      <c r="F946" s="59"/>
      <c r="G946" s="59"/>
      <c r="H946" s="59">
        <v>6207.16</v>
      </c>
      <c r="I946" s="59"/>
      <c r="J946" s="59">
        <v>1576.82</v>
      </c>
      <c r="K946" s="59">
        <v>18921.79</v>
      </c>
      <c r="L946" s="60">
        <v>20498.61</v>
      </c>
      <c r="M946" s="33"/>
      <c r="N946" s="59">
        <v>18921.79</v>
      </c>
      <c r="O946" s="59">
        <v>12714.63</v>
      </c>
      <c r="P946" s="59">
        <v>802.8</v>
      </c>
      <c r="Q946" s="59">
        <v>22787.24</v>
      </c>
      <c r="R946" s="59">
        <v>21210.42</v>
      </c>
    </row>
    <row r="947" spans="1:18" s="7" customFormat="1" ht="9" customHeight="1" x14ac:dyDescent="0.2">
      <c r="A947" s="520"/>
      <c r="B947" s="520"/>
      <c r="C947" s="62" t="s">
        <v>37</v>
      </c>
      <c r="D947" s="63">
        <v>27</v>
      </c>
      <c r="E947" s="64">
        <v>24618957</v>
      </c>
      <c r="F947" s="65"/>
      <c r="G947" s="65"/>
      <c r="H947" s="64">
        <v>12018738</v>
      </c>
      <c r="I947" s="64"/>
      <c r="J947" s="66">
        <v>3053149</v>
      </c>
      <c r="K947" s="64">
        <v>36637694</v>
      </c>
      <c r="L947" s="64">
        <v>39690844</v>
      </c>
      <c r="M947" s="39"/>
      <c r="N947" s="65">
        <v>36637694</v>
      </c>
      <c r="O947" s="65">
        <v>24618957</v>
      </c>
      <c r="P947" s="65">
        <v>1554438</v>
      </c>
      <c r="Q947" s="65">
        <v>44122249</v>
      </c>
      <c r="R947" s="65">
        <v>41069100</v>
      </c>
    </row>
    <row r="948" spans="1:18" s="7" customFormat="1" ht="12.75" customHeight="1" x14ac:dyDescent="0.2">
      <c r="A948" s="520"/>
      <c r="B948" s="520"/>
      <c r="C948" s="68" t="s">
        <v>36</v>
      </c>
      <c r="D948" s="69">
        <v>28</v>
      </c>
      <c r="E948" s="59">
        <v>13465.92</v>
      </c>
      <c r="F948" s="59"/>
      <c r="G948" s="59"/>
      <c r="H948" s="59">
        <v>6207.16</v>
      </c>
      <c r="I948" s="59"/>
      <c r="J948" s="59">
        <v>1639.42</v>
      </c>
      <c r="K948" s="59">
        <v>19673.080000000002</v>
      </c>
      <c r="L948" s="60">
        <v>21312.5</v>
      </c>
      <c r="M948" s="33"/>
      <c r="N948" s="59">
        <v>19673.080000000002</v>
      </c>
      <c r="O948" s="59">
        <v>13465.92</v>
      </c>
      <c r="P948" s="59">
        <v>802.8</v>
      </c>
      <c r="Q948" s="59">
        <v>23736.37</v>
      </c>
      <c r="R948" s="59">
        <v>22096.95</v>
      </c>
    </row>
    <row r="949" spans="1:18" s="7" customFormat="1" ht="9" customHeight="1" x14ac:dyDescent="0.2">
      <c r="A949" s="520"/>
      <c r="B949" s="520"/>
      <c r="C949" s="62" t="s">
        <v>37</v>
      </c>
      <c r="D949" s="63">
        <v>34</v>
      </c>
      <c r="E949" s="64">
        <v>26073657</v>
      </c>
      <c r="F949" s="65"/>
      <c r="G949" s="65"/>
      <c r="H949" s="64">
        <v>12018738</v>
      </c>
      <c r="I949" s="64"/>
      <c r="J949" s="66">
        <v>3174360</v>
      </c>
      <c r="K949" s="64">
        <v>38092395</v>
      </c>
      <c r="L949" s="64">
        <v>41266754</v>
      </c>
      <c r="M949" s="39"/>
      <c r="N949" s="65">
        <v>38092395</v>
      </c>
      <c r="O949" s="65">
        <v>26073657</v>
      </c>
      <c r="P949" s="65">
        <v>1554438</v>
      </c>
      <c r="Q949" s="65">
        <v>45960021</v>
      </c>
      <c r="R949" s="65">
        <v>42785661</v>
      </c>
    </row>
    <row r="950" spans="1:18" s="7" customFormat="1" ht="12.75" customHeight="1" x14ac:dyDescent="0.2">
      <c r="A950" s="520"/>
      <c r="B950" s="520"/>
      <c r="C950" s="68" t="s">
        <v>36</v>
      </c>
      <c r="D950" s="69">
        <v>35</v>
      </c>
      <c r="E950" s="59">
        <v>13999.73</v>
      </c>
      <c r="F950" s="59"/>
      <c r="G950" s="59"/>
      <c r="H950" s="59">
        <v>6207.16</v>
      </c>
      <c r="I950" s="59"/>
      <c r="J950" s="59">
        <v>1683.91</v>
      </c>
      <c r="K950" s="59">
        <v>20206.89</v>
      </c>
      <c r="L950" s="60">
        <v>21890.799999999999</v>
      </c>
      <c r="M950" s="33"/>
      <c r="N950" s="59">
        <v>20206.89</v>
      </c>
      <c r="O950" s="59">
        <v>13999.73</v>
      </c>
      <c r="P950" s="59">
        <v>802.8</v>
      </c>
      <c r="Q950" s="59">
        <v>24410.75</v>
      </c>
      <c r="R950" s="59">
        <v>22726.84</v>
      </c>
    </row>
    <row r="951" spans="1:18" s="7" customFormat="1" ht="9" customHeight="1" x14ac:dyDescent="0.2">
      <c r="A951" s="521"/>
      <c r="B951" s="521"/>
      <c r="C951" s="71" t="s">
        <v>37</v>
      </c>
      <c r="D951" s="72"/>
      <c r="E951" s="64">
        <v>27107257</v>
      </c>
      <c r="F951" s="64"/>
      <c r="G951" s="64"/>
      <c r="H951" s="64">
        <v>12018738</v>
      </c>
      <c r="I951" s="64"/>
      <c r="J951" s="64">
        <v>3260504</v>
      </c>
      <c r="K951" s="64">
        <v>39125995</v>
      </c>
      <c r="L951" s="64">
        <v>42386499</v>
      </c>
      <c r="M951" s="39"/>
      <c r="N951" s="64">
        <v>39125995</v>
      </c>
      <c r="O951" s="64">
        <v>27107257</v>
      </c>
      <c r="P951" s="64">
        <v>1554438</v>
      </c>
      <c r="Q951" s="64">
        <v>47265803</v>
      </c>
      <c r="R951" s="65">
        <v>44005298</v>
      </c>
    </row>
    <row r="952" spans="1:18" s="7" customFormat="1" ht="9" customHeight="1" x14ac:dyDescent="0.2">
      <c r="A952" s="73"/>
      <c r="B952" s="73"/>
      <c r="C952" s="184"/>
      <c r="D952" s="45"/>
      <c r="E952" s="185"/>
      <c r="F952" s="185"/>
      <c r="G952" s="185"/>
      <c r="H952" s="185"/>
      <c r="I952" s="185"/>
      <c r="J952" s="185"/>
      <c r="K952" s="185"/>
      <c r="L952" s="185"/>
      <c r="M952" s="39"/>
      <c r="N952" s="185"/>
      <c r="O952" s="185"/>
      <c r="P952" s="185"/>
      <c r="Q952" s="185"/>
      <c r="R952" s="185"/>
    </row>
    <row r="953" spans="1:18" s="7" customFormat="1" ht="9" customHeight="1" x14ac:dyDescent="0.2">
      <c r="A953" s="73"/>
      <c r="B953" s="73"/>
      <c r="C953" s="184"/>
      <c r="D953" s="45"/>
      <c r="E953" s="185"/>
      <c r="F953" s="185"/>
      <c r="G953" s="185"/>
      <c r="H953" s="185"/>
      <c r="I953" s="185"/>
      <c r="J953" s="185"/>
      <c r="K953" s="185"/>
      <c r="L953" s="185"/>
      <c r="M953" s="39"/>
      <c r="N953" s="185"/>
      <c r="O953" s="185"/>
      <c r="P953" s="185"/>
      <c r="Q953" s="185"/>
      <c r="R953" s="185"/>
    </row>
    <row r="954" spans="1:18" s="7" customFormat="1" ht="9" customHeight="1" x14ac:dyDescent="0.2">
      <c r="A954" s="73"/>
      <c r="B954" s="73"/>
      <c r="C954" s="184"/>
      <c r="D954" s="45"/>
      <c r="E954" s="185"/>
      <c r="F954" s="185"/>
      <c r="G954" s="185"/>
      <c r="H954" s="185"/>
      <c r="I954" s="185"/>
      <c r="J954" s="185"/>
      <c r="K954" s="185"/>
      <c r="L954" s="185"/>
      <c r="M954" s="39"/>
      <c r="N954" s="185"/>
      <c r="O954" s="185"/>
      <c r="P954" s="185"/>
      <c r="Q954" s="185"/>
      <c r="R954" s="185"/>
    </row>
    <row r="955" spans="1:18" s="7" customFormat="1" ht="9" customHeight="1" x14ac:dyDescent="0.2">
      <c r="A955" s="73"/>
      <c r="B955" s="73"/>
      <c r="C955" s="184"/>
      <c r="D955" s="45"/>
      <c r="E955" s="185"/>
      <c r="F955" s="185"/>
      <c r="G955" s="185"/>
      <c r="H955" s="185"/>
      <c r="I955" s="185"/>
      <c r="J955" s="185"/>
      <c r="K955" s="185"/>
      <c r="L955" s="185"/>
      <c r="M955" s="39"/>
      <c r="N955" s="185"/>
      <c r="O955" s="185"/>
      <c r="P955" s="185"/>
      <c r="Q955" s="185"/>
      <c r="R955" s="185"/>
    </row>
    <row r="956" spans="1:18" s="7" customFormat="1" ht="9" customHeight="1" x14ac:dyDescent="0.2">
      <c r="A956" s="73"/>
      <c r="B956" s="73"/>
      <c r="C956" s="184"/>
      <c r="D956" s="45"/>
      <c r="E956" s="185"/>
      <c r="F956" s="185"/>
      <c r="G956" s="185"/>
      <c r="H956" s="185"/>
      <c r="I956" s="185"/>
      <c r="J956" s="185"/>
      <c r="K956" s="185"/>
      <c r="L956" s="185"/>
      <c r="M956" s="39"/>
      <c r="N956" s="185"/>
      <c r="O956" s="185"/>
      <c r="P956" s="185"/>
      <c r="Q956" s="185"/>
      <c r="R956" s="185"/>
    </row>
    <row r="957" spans="1:18" s="7" customFormat="1" ht="9" customHeight="1" x14ac:dyDescent="0.2">
      <c r="A957" s="73"/>
      <c r="B957" s="73"/>
      <c r="C957" s="184"/>
      <c r="D957" s="45"/>
      <c r="E957" s="185"/>
      <c r="F957" s="185"/>
      <c r="G957" s="185"/>
      <c r="H957" s="185"/>
      <c r="I957" s="185"/>
      <c r="J957" s="185"/>
      <c r="K957" s="185"/>
      <c r="L957" s="185"/>
      <c r="M957" s="39"/>
      <c r="N957" s="185"/>
      <c r="O957" s="185"/>
      <c r="P957" s="185"/>
      <c r="Q957" s="185"/>
      <c r="R957" s="185"/>
    </row>
    <row r="958" spans="1:18" s="7" customFormat="1" ht="9" customHeight="1" x14ac:dyDescent="0.2">
      <c r="A958" s="73"/>
      <c r="B958" s="73"/>
      <c r="C958" s="184"/>
      <c r="D958" s="45"/>
      <c r="E958" s="185"/>
      <c r="F958" s="185"/>
      <c r="G958" s="185"/>
      <c r="H958" s="185"/>
      <c r="I958" s="185"/>
      <c r="J958" s="185"/>
      <c r="K958" s="185"/>
      <c r="L958" s="185"/>
      <c r="M958" s="39"/>
      <c r="N958" s="185"/>
      <c r="O958" s="185"/>
      <c r="P958" s="185"/>
      <c r="Q958" s="185"/>
      <c r="R958" s="185"/>
    </row>
    <row r="959" spans="1:18" s="7" customFormat="1" ht="9" customHeight="1" x14ac:dyDescent="0.2">
      <c r="A959" s="73"/>
      <c r="B959" s="73"/>
      <c r="C959" s="184"/>
      <c r="D959" s="45"/>
      <c r="E959" s="185"/>
      <c r="F959" s="185"/>
      <c r="G959" s="185"/>
      <c r="H959" s="185"/>
      <c r="I959" s="185"/>
      <c r="J959" s="185"/>
      <c r="K959" s="185"/>
      <c r="L959" s="185"/>
      <c r="M959" s="39"/>
      <c r="N959" s="185"/>
      <c r="O959" s="185"/>
      <c r="P959" s="185"/>
      <c r="Q959" s="185"/>
      <c r="R959" s="185"/>
    </row>
    <row r="960" spans="1:18" s="7" customFormat="1" ht="12.75" customHeight="1" x14ac:dyDescent="0.2">
      <c r="A960" s="522">
        <v>43466</v>
      </c>
      <c r="B960" s="522">
        <v>43830</v>
      </c>
      <c r="C960" s="57" t="s">
        <v>36</v>
      </c>
      <c r="D960" s="58">
        <v>0</v>
      </c>
      <c r="E960" s="59">
        <v>9468.06</v>
      </c>
      <c r="F960" s="59"/>
      <c r="G960" s="59"/>
      <c r="H960" s="59">
        <v>6207.16</v>
      </c>
      <c r="I960" s="59"/>
      <c r="J960" s="59">
        <v>1299.75</v>
      </c>
      <c r="K960" s="59">
        <v>15596.96</v>
      </c>
      <c r="L960" s="60">
        <v>16896.71</v>
      </c>
      <c r="M960" s="33"/>
      <c r="N960" s="59">
        <v>15596.96</v>
      </c>
      <c r="O960" s="59">
        <v>9389.7999999999993</v>
      </c>
      <c r="P960" s="59">
        <v>802.8</v>
      </c>
      <c r="Q960" s="59">
        <v>18586.87</v>
      </c>
      <c r="R960" s="59">
        <v>17287.12</v>
      </c>
    </row>
    <row r="961" spans="1:18" s="7" customFormat="1" ht="9" customHeight="1" x14ac:dyDescent="0.2">
      <c r="A961" s="523"/>
      <c r="B961" s="523"/>
      <c r="C961" s="62" t="s">
        <v>37</v>
      </c>
      <c r="D961" s="63">
        <v>8</v>
      </c>
      <c r="E961" s="64">
        <v>18054788</v>
      </c>
      <c r="F961" s="65"/>
      <c r="G961" s="65"/>
      <c r="H961" s="64">
        <v>12018738</v>
      </c>
      <c r="I961" s="64"/>
      <c r="J961" s="66">
        <v>2516667</v>
      </c>
      <c r="K961" s="66">
        <v>30199926</v>
      </c>
      <c r="L961" s="64">
        <v>32716593</v>
      </c>
      <c r="M961" s="39"/>
      <c r="N961" s="65">
        <v>30199926</v>
      </c>
      <c r="O961" s="65">
        <v>18181188</v>
      </c>
      <c r="P961" s="65">
        <v>1554438</v>
      </c>
      <c r="Q961" s="65">
        <v>35989199</v>
      </c>
      <c r="R961" s="65">
        <v>33472532</v>
      </c>
    </row>
    <row r="962" spans="1:18" s="7" customFormat="1" ht="12.75" customHeight="1" x14ac:dyDescent="0.2">
      <c r="A962" s="520">
        <f>A960</f>
        <v>43466</v>
      </c>
      <c r="B962" s="520">
        <f>B960</f>
        <v>43830</v>
      </c>
      <c r="C962" s="68" t="s">
        <v>36</v>
      </c>
      <c r="D962" s="69">
        <v>9</v>
      </c>
      <c r="E962" s="59">
        <v>10868.61</v>
      </c>
      <c r="F962" s="59"/>
      <c r="G962" s="59"/>
      <c r="H962" s="59">
        <v>6207.16</v>
      </c>
      <c r="I962" s="59"/>
      <c r="J962" s="59">
        <v>1415.8</v>
      </c>
      <c r="K962" s="59">
        <v>16918.52</v>
      </c>
      <c r="L962" s="60">
        <v>18334.32</v>
      </c>
      <c r="M962" s="33"/>
      <c r="N962" s="59">
        <v>16989.560000000001</v>
      </c>
      <c r="O962" s="59">
        <v>10782.4</v>
      </c>
      <c r="P962" s="59">
        <v>802.8</v>
      </c>
      <c r="Q962" s="59">
        <v>20346.189999999999</v>
      </c>
      <c r="R962" s="59">
        <v>18930.39</v>
      </c>
    </row>
    <row r="963" spans="1:18" s="7" customFormat="1" ht="9" customHeight="1" x14ac:dyDescent="0.2">
      <c r="A963" s="520"/>
      <c r="B963" s="520"/>
      <c r="C963" s="62" t="s">
        <v>37</v>
      </c>
      <c r="D963" s="63">
        <v>14</v>
      </c>
      <c r="E963" s="64">
        <v>18054788</v>
      </c>
      <c r="F963" s="65"/>
      <c r="G963" s="65"/>
      <c r="H963" s="64">
        <v>12018738</v>
      </c>
      <c r="I963" s="64"/>
      <c r="J963" s="66">
        <v>2741371</v>
      </c>
      <c r="K963" s="64">
        <v>32758823</v>
      </c>
      <c r="L963" s="64">
        <v>35500194</v>
      </c>
      <c r="M963" s="39"/>
      <c r="N963" s="65">
        <v>32896375</v>
      </c>
      <c r="O963" s="65">
        <v>20877638</v>
      </c>
      <c r="P963" s="65">
        <v>1554438</v>
      </c>
      <c r="Q963" s="65">
        <v>39395717</v>
      </c>
      <c r="R963" s="65">
        <v>36654346</v>
      </c>
    </row>
    <row r="964" spans="1:18" s="7" customFormat="1" ht="12.75" customHeight="1" x14ac:dyDescent="0.2">
      <c r="A964" s="520"/>
      <c r="B964" s="520"/>
      <c r="C964" s="68" t="s">
        <v>36</v>
      </c>
      <c r="D964" s="69">
        <v>15</v>
      </c>
      <c r="E964" s="59">
        <v>11893.34</v>
      </c>
      <c r="F964" s="59"/>
      <c r="G964" s="59"/>
      <c r="H964" s="59">
        <v>6207.16</v>
      </c>
      <c r="I964" s="59"/>
      <c r="J964" s="59">
        <v>1500.76</v>
      </c>
      <c r="K964" s="59">
        <v>17933.73</v>
      </c>
      <c r="L964" s="60">
        <v>19434.490000000002</v>
      </c>
      <c r="M964" s="33"/>
      <c r="N964" s="59">
        <v>18009.09</v>
      </c>
      <c r="O964" s="59">
        <v>11801.93</v>
      </c>
      <c r="P964" s="59">
        <v>802.8</v>
      </c>
      <c r="Q964" s="59">
        <v>21634.2</v>
      </c>
      <c r="R964" s="59">
        <v>20133.439999999999</v>
      </c>
    </row>
    <row r="965" spans="1:18" s="7" customFormat="1" ht="9" customHeight="1" x14ac:dyDescent="0.2">
      <c r="A965" s="520"/>
      <c r="B965" s="520"/>
      <c r="C965" s="62" t="s">
        <v>37</v>
      </c>
      <c r="D965" s="63">
        <v>20</v>
      </c>
      <c r="E965" s="64">
        <v>18054788</v>
      </c>
      <c r="F965" s="65"/>
      <c r="G965" s="65"/>
      <c r="H965" s="64">
        <v>12018738</v>
      </c>
      <c r="I965" s="64"/>
      <c r="J965" s="66">
        <v>2905877</v>
      </c>
      <c r="K965" s="64">
        <v>34724543</v>
      </c>
      <c r="L965" s="64">
        <v>37630420</v>
      </c>
      <c r="M965" s="39"/>
      <c r="N965" s="65">
        <v>34870461</v>
      </c>
      <c r="O965" s="65">
        <v>22851723</v>
      </c>
      <c r="P965" s="65">
        <v>1554438</v>
      </c>
      <c r="Q965" s="65">
        <v>41889652</v>
      </c>
      <c r="R965" s="65">
        <v>38983776</v>
      </c>
    </row>
    <row r="966" spans="1:18" s="7" customFormat="1" ht="12.75" customHeight="1" x14ac:dyDescent="0.2">
      <c r="A966" s="520"/>
      <c r="B966" s="520"/>
      <c r="C966" s="68" t="s">
        <v>36</v>
      </c>
      <c r="D966" s="69">
        <v>21</v>
      </c>
      <c r="E966" s="59">
        <v>184759.91</v>
      </c>
      <c r="F966" s="59"/>
      <c r="G966" s="59"/>
      <c r="H966" s="59">
        <v>6207.16</v>
      </c>
      <c r="I966" s="59"/>
      <c r="J966" s="59">
        <v>1583.44</v>
      </c>
      <c r="K966" s="59">
        <v>18921.79</v>
      </c>
      <c r="L966" s="60">
        <v>20505.23</v>
      </c>
      <c r="M966" s="33"/>
      <c r="N966" s="59">
        <v>19001.23</v>
      </c>
      <c r="O966" s="59">
        <v>12794.07</v>
      </c>
      <c r="P966" s="59">
        <v>802.8</v>
      </c>
      <c r="Q966" s="59">
        <v>22887.599999999999</v>
      </c>
      <c r="R966" s="59">
        <v>21304.16</v>
      </c>
    </row>
    <row r="967" spans="1:18" s="7" customFormat="1" ht="9" customHeight="1" x14ac:dyDescent="0.2">
      <c r="A967" s="520"/>
      <c r="B967" s="520"/>
      <c r="C967" s="62" t="s">
        <v>37</v>
      </c>
      <c r="D967" s="63">
        <v>27</v>
      </c>
      <c r="E967" s="64">
        <v>18054788</v>
      </c>
      <c r="F967" s="65"/>
      <c r="G967" s="65"/>
      <c r="H967" s="64">
        <v>12018738</v>
      </c>
      <c r="I967" s="64"/>
      <c r="J967" s="66">
        <v>3065967</v>
      </c>
      <c r="K967" s="64">
        <v>36637694</v>
      </c>
      <c r="L967" s="64">
        <v>39703662</v>
      </c>
      <c r="M967" s="39"/>
      <c r="N967" s="65">
        <v>36791512</v>
      </c>
      <c r="O967" s="65">
        <v>24772774</v>
      </c>
      <c r="P967" s="65">
        <v>1554438</v>
      </c>
      <c r="Q967" s="65">
        <v>44316573</v>
      </c>
      <c r="R967" s="65">
        <v>41250606</v>
      </c>
    </row>
    <row r="968" spans="1:18" s="7" customFormat="1" ht="12.75" customHeight="1" x14ac:dyDescent="0.2">
      <c r="A968" s="520"/>
      <c r="B968" s="520"/>
      <c r="C968" s="68" t="s">
        <v>36</v>
      </c>
      <c r="D968" s="69">
        <v>28</v>
      </c>
      <c r="E968" s="59">
        <v>13648.330000000002</v>
      </c>
      <c r="F968" s="59"/>
      <c r="G968" s="59"/>
      <c r="H968" s="59">
        <v>6207.16</v>
      </c>
      <c r="I968" s="59"/>
      <c r="J968" s="59">
        <v>1646.31</v>
      </c>
      <c r="K968" s="59">
        <v>19673.080000000002</v>
      </c>
      <c r="L968" s="60">
        <v>21319.39</v>
      </c>
      <c r="M968" s="33"/>
      <c r="N968" s="59">
        <v>19755.759999999998</v>
      </c>
      <c r="O968" s="59">
        <v>13548.6</v>
      </c>
      <c r="P968" s="59">
        <v>802.8</v>
      </c>
      <c r="Q968" s="59">
        <v>23840.82</v>
      </c>
      <c r="R968" s="59">
        <v>22194.51</v>
      </c>
    </row>
    <row r="969" spans="1:18" s="7" customFormat="1" ht="9" customHeight="1" x14ac:dyDescent="0.2">
      <c r="A969" s="520"/>
      <c r="B969" s="520"/>
      <c r="C969" s="62" t="s">
        <v>37</v>
      </c>
      <c r="D969" s="63">
        <v>34</v>
      </c>
      <c r="E969" s="64">
        <v>18054788</v>
      </c>
      <c r="F969" s="65"/>
      <c r="G969" s="65"/>
      <c r="H969" s="64">
        <v>12018738</v>
      </c>
      <c r="I969" s="64"/>
      <c r="J969" s="66">
        <v>3187701</v>
      </c>
      <c r="K969" s="64">
        <v>38092395</v>
      </c>
      <c r="L969" s="64">
        <v>41280095</v>
      </c>
      <c r="M969" s="39"/>
      <c r="N969" s="65">
        <v>38252485</v>
      </c>
      <c r="O969" s="65">
        <v>26233748</v>
      </c>
      <c r="P969" s="65">
        <v>1554438</v>
      </c>
      <c r="Q969" s="65">
        <v>46162265</v>
      </c>
      <c r="R969" s="65">
        <v>42974564</v>
      </c>
    </row>
    <row r="970" spans="1:18" s="7" customFormat="1" ht="12.75" customHeight="1" x14ac:dyDescent="0.2">
      <c r="A970" s="520"/>
      <c r="B970" s="520"/>
      <c r="C970" s="68" t="s">
        <v>36</v>
      </c>
      <c r="D970" s="69">
        <v>35</v>
      </c>
      <c r="E970" s="59">
        <v>14186.91</v>
      </c>
      <c r="F970" s="59"/>
      <c r="G970" s="59"/>
      <c r="H970" s="59">
        <v>6207.16</v>
      </c>
      <c r="I970" s="59"/>
      <c r="J970" s="59">
        <v>1690.98</v>
      </c>
      <c r="K970" s="59">
        <v>20206.89</v>
      </c>
      <c r="L970" s="60">
        <v>21897.87</v>
      </c>
      <c r="M970" s="33"/>
      <c r="N970" s="59">
        <v>20291.73</v>
      </c>
      <c r="O970" s="59">
        <v>14084.57</v>
      </c>
      <c r="P970" s="59">
        <v>802.8</v>
      </c>
      <c r="Q970" s="59">
        <v>24517.93</v>
      </c>
      <c r="R970" s="59">
        <v>22826.95</v>
      </c>
    </row>
    <row r="971" spans="1:18" s="7" customFormat="1" ht="9" customHeight="1" x14ac:dyDescent="0.2">
      <c r="A971" s="521"/>
      <c r="B971" s="521"/>
      <c r="C971" s="71" t="s">
        <v>37</v>
      </c>
      <c r="D971" s="72"/>
      <c r="E971" s="64">
        <v>18054788</v>
      </c>
      <c r="F971" s="64"/>
      <c r="G971" s="64"/>
      <c r="H971" s="64">
        <v>12018738</v>
      </c>
      <c r="I971" s="64"/>
      <c r="J971" s="64">
        <v>3274194</v>
      </c>
      <c r="K971" s="64">
        <v>39125995</v>
      </c>
      <c r="L971" s="64">
        <v>42400189</v>
      </c>
      <c r="M971" s="39"/>
      <c r="N971" s="64">
        <v>39290268</v>
      </c>
      <c r="O971" s="65">
        <v>27271530</v>
      </c>
      <c r="P971" s="64">
        <v>1554438</v>
      </c>
      <c r="Q971" s="64">
        <v>47473332</v>
      </c>
      <c r="R971" s="65">
        <v>44199138</v>
      </c>
    </row>
    <row r="972" spans="1:18" s="7" customFormat="1" ht="9" customHeight="1" x14ac:dyDescent="0.2">
      <c r="A972" s="73"/>
      <c r="B972" s="73"/>
      <c r="C972" s="184"/>
      <c r="D972" s="45"/>
      <c r="E972" s="185"/>
      <c r="F972" s="185"/>
      <c r="G972" s="185"/>
      <c r="H972" s="185"/>
      <c r="I972" s="185"/>
      <c r="J972" s="185"/>
      <c r="K972" s="185"/>
      <c r="L972" s="185"/>
      <c r="M972" s="39"/>
      <c r="N972" s="185"/>
      <c r="O972" s="185"/>
      <c r="P972" s="185"/>
      <c r="Q972" s="185"/>
      <c r="R972" s="185"/>
    </row>
    <row r="973" spans="1:18" s="7" customFormat="1" ht="9" customHeight="1" x14ac:dyDescent="0.2">
      <c r="A973" s="73"/>
      <c r="B973" s="73"/>
      <c r="C973" s="184"/>
      <c r="D973" s="45"/>
      <c r="E973" s="185"/>
      <c r="F973" s="185"/>
      <c r="G973" s="185"/>
      <c r="H973" s="185"/>
      <c r="I973" s="185"/>
      <c r="J973" s="185"/>
      <c r="K973" s="185"/>
      <c r="L973" s="185"/>
      <c r="M973" s="39"/>
      <c r="N973" s="185"/>
      <c r="O973" s="185"/>
      <c r="P973" s="185"/>
      <c r="Q973" s="185"/>
      <c r="R973" s="185"/>
    </row>
    <row r="974" spans="1:18" s="7" customFormat="1" ht="9" customHeight="1" x14ac:dyDescent="0.2">
      <c r="A974" s="73"/>
      <c r="B974" s="73"/>
      <c r="C974" s="184"/>
      <c r="D974" s="45"/>
      <c r="E974" s="185"/>
      <c r="F974" s="185"/>
      <c r="G974" s="185"/>
      <c r="H974" s="185"/>
      <c r="I974" s="185"/>
      <c r="J974" s="185"/>
      <c r="K974" s="185"/>
      <c r="L974" s="185"/>
      <c r="M974" s="39"/>
      <c r="N974" s="185"/>
      <c r="O974" s="185"/>
      <c r="P974" s="185"/>
      <c r="Q974" s="185"/>
      <c r="R974" s="185"/>
    </row>
    <row r="975" spans="1:18" s="7" customFormat="1" ht="9" customHeight="1" x14ac:dyDescent="0.2">
      <c r="A975" s="73"/>
      <c r="B975" s="73"/>
      <c r="C975" s="184"/>
      <c r="D975" s="45"/>
      <c r="E975" s="185"/>
      <c r="F975" s="185"/>
      <c r="G975" s="185"/>
      <c r="H975" s="185"/>
      <c r="I975" s="185"/>
      <c r="J975" s="185"/>
      <c r="K975" s="185"/>
      <c r="L975" s="185"/>
      <c r="M975" s="39"/>
      <c r="N975" s="185"/>
      <c r="O975" s="185"/>
      <c r="P975" s="185"/>
      <c r="Q975" s="185"/>
      <c r="R975" s="185"/>
    </row>
    <row r="976" spans="1:18" s="7" customFormat="1" ht="9" customHeight="1" x14ac:dyDescent="0.2">
      <c r="A976" s="73"/>
      <c r="B976" s="73"/>
      <c r="C976" s="184"/>
      <c r="D976" s="45"/>
      <c r="E976" s="185"/>
      <c r="F976" s="185"/>
      <c r="G976" s="185"/>
      <c r="H976" s="185"/>
      <c r="I976" s="185"/>
      <c r="J976" s="185"/>
      <c r="K976" s="185"/>
      <c r="L976" s="185"/>
      <c r="M976" s="39"/>
      <c r="N976" s="185"/>
      <c r="O976" s="185"/>
      <c r="P976" s="185"/>
      <c r="Q976" s="185"/>
      <c r="R976" s="185"/>
    </row>
    <row r="977" spans="1:18" s="7" customFormat="1" ht="9" customHeight="1" x14ac:dyDescent="0.2">
      <c r="A977" s="73"/>
      <c r="B977" s="73"/>
      <c r="C977" s="184"/>
      <c r="D977" s="45"/>
      <c r="E977" s="185"/>
      <c r="F977" s="185"/>
      <c r="G977" s="185"/>
      <c r="H977" s="185"/>
      <c r="I977" s="185"/>
      <c r="J977" s="185"/>
      <c r="K977" s="185"/>
      <c r="L977" s="185"/>
      <c r="M977" s="39"/>
      <c r="N977" s="185"/>
      <c r="O977" s="185"/>
      <c r="P977" s="185"/>
      <c r="Q977" s="185"/>
      <c r="R977" s="185"/>
    </row>
    <row r="978" spans="1:18" s="7" customFormat="1" ht="9" customHeight="1" x14ac:dyDescent="0.2">
      <c r="A978" s="73"/>
      <c r="B978" s="73"/>
      <c r="C978" s="184"/>
      <c r="D978" s="45"/>
      <c r="E978" s="185"/>
      <c r="F978" s="185"/>
      <c r="G978" s="185"/>
      <c r="H978" s="185"/>
      <c r="I978" s="185"/>
      <c r="J978" s="185"/>
      <c r="K978" s="185"/>
      <c r="L978" s="185"/>
      <c r="M978" s="39"/>
      <c r="N978" s="185"/>
      <c r="O978" s="185"/>
      <c r="P978" s="185"/>
      <c r="Q978" s="185"/>
      <c r="R978" s="185"/>
    </row>
    <row r="979" spans="1:18" s="7" customFormat="1" ht="9" customHeight="1" x14ac:dyDescent="0.2">
      <c r="A979" s="73"/>
      <c r="B979" s="73"/>
      <c r="C979" s="184"/>
      <c r="D979" s="45"/>
      <c r="E979" s="185"/>
      <c r="F979" s="185"/>
      <c r="G979" s="185"/>
      <c r="H979" s="185"/>
      <c r="I979" s="185"/>
      <c r="J979" s="185"/>
      <c r="K979" s="185"/>
      <c r="L979" s="185"/>
      <c r="M979" s="39"/>
      <c r="N979" s="185"/>
      <c r="O979" s="185"/>
      <c r="P979" s="185"/>
      <c r="Q979" s="185"/>
      <c r="R979" s="185"/>
    </row>
    <row r="980" spans="1:18" s="7" customFormat="1" ht="12.75" customHeight="1" x14ac:dyDescent="0.2">
      <c r="A980" s="522">
        <v>43831</v>
      </c>
      <c r="B980" s="522">
        <v>44196</v>
      </c>
      <c r="C980" s="57" t="s">
        <v>36</v>
      </c>
      <c r="D980" s="58">
        <v>0</v>
      </c>
      <c r="E980" s="59">
        <v>9589.56</v>
      </c>
      <c r="F980" s="59"/>
      <c r="G980" s="59"/>
      <c r="H980" s="59">
        <v>6207.16</v>
      </c>
      <c r="I980" s="59"/>
      <c r="J980" s="59">
        <v>1303.3699999999999</v>
      </c>
      <c r="K980" s="59">
        <v>15640.4</v>
      </c>
      <c r="L980" s="60">
        <v>16943.77</v>
      </c>
      <c r="M980" s="33"/>
      <c r="N980" s="59">
        <v>15640.4</v>
      </c>
      <c r="O980" s="59">
        <v>9433.24</v>
      </c>
      <c r="P980" s="59">
        <v>802.8</v>
      </c>
      <c r="Q980" s="59">
        <v>18641.75</v>
      </c>
      <c r="R980" s="59">
        <v>17338.38</v>
      </c>
    </row>
    <row r="981" spans="1:18" s="7" customFormat="1" ht="9" customHeight="1" x14ac:dyDescent="0.2">
      <c r="A981" s="523"/>
      <c r="B981" s="523"/>
      <c r="C981" s="62" t="s">
        <v>37</v>
      </c>
      <c r="D981" s="63">
        <v>8</v>
      </c>
      <c r="E981" s="64">
        <v>18054788</v>
      </c>
      <c r="F981" s="65"/>
      <c r="G981" s="65"/>
      <c r="H981" s="64">
        <v>12018738</v>
      </c>
      <c r="I981" s="64"/>
      <c r="J981" s="66">
        <v>2523676</v>
      </c>
      <c r="K981" s="66">
        <v>30284037</v>
      </c>
      <c r="L981" s="64">
        <v>32807714</v>
      </c>
      <c r="M981" s="39"/>
      <c r="N981" s="65">
        <v>30284037</v>
      </c>
      <c r="O981" s="65">
        <v>18265300</v>
      </c>
      <c r="P981" s="65">
        <v>1554438</v>
      </c>
      <c r="Q981" s="65">
        <v>36095461</v>
      </c>
      <c r="R981" s="65">
        <v>33571785</v>
      </c>
    </row>
    <row r="982" spans="1:18" s="7" customFormat="1" ht="12.75" customHeight="1" x14ac:dyDescent="0.2">
      <c r="A982" s="520">
        <f>A980</f>
        <v>43831</v>
      </c>
      <c r="B982" s="520">
        <f>B980</f>
        <v>44196</v>
      </c>
      <c r="C982" s="68" t="s">
        <v>36</v>
      </c>
      <c r="D982" s="69">
        <v>9</v>
      </c>
      <c r="E982" s="59">
        <v>11000.61</v>
      </c>
      <c r="F982" s="59"/>
      <c r="G982" s="59"/>
      <c r="H982" s="59">
        <v>6207.16</v>
      </c>
      <c r="I982" s="59"/>
      <c r="J982" s="59">
        <v>1419.75</v>
      </c>
      <c r="K982" s="59">
        <v>16918.52</v>
      </c>
      <c r="L982" s="60">
        <v>18338.27</v>
      </c>
      <c r="M982" s="33"/>
      <c r="N982" s="59">
        <v>17036.96</v>
      </c>
      <c r="O982" s="59">
        <v>10829.8</v>
      </c>
      <c r="P982" s="59">
        <v>802.8</v>
      </c>
      <c r="Q982" s="59">
        <v>20406.07</v>
      </c>
      <c r="R982" s="59">
        <v>18986.32</v>
      </c>
    </row>
    <row r="983" spans="1:18" s="7" customFormat="1" ht="9" customHeight="1" x14ac:dyDescent="0.2">
      <c r="A983" s="520"/>
      <c r="B983" s="520"/>
      <c r="C983" s="62" t="s">
        <v>37</v>
      </c>
      <c r="D983" s="63">
        <v>14</v>
      </c>
      <c r="E983" s="64">
        <v>18054788</v>
      </c>
      <c r="F983" s="65"/>
      <c r="G983" s="65"/>
      <c r="H983" s="64">
        <v>12018738</v>
      </c>
      <c r="I983" s="64"/>
      <c r="J983" s="66">
        <v>2749019</v>
      </c>
      <c r="K983" s="64">
        <v>32758823</v>
      </c>
      <c r="L983" s="64">
        <v>35507842</v>
      </c>
      <c r="M983" s="39"/>
      <c r="N983" s="65">
        <v>32988155</v>
      </c>
      <c r="O983" s="65">
        <v>20969417</v>
      </c>
      <c r="P983" s="65">
        <v>1554438</v>
      </c>
      <c r="Q983" s="65">
        <v>39511661</v>
      </c>
      <c r="R983" s="65">
        <v>36762642</v>
      </c>
    </row>
    <row r="984" spans="1:18" s="7" customFormat="1" ht="12.75" customHeight="1" x14ac:dyDescent="0.2">
      <c r="A984" s="520"/>
      <c r="B984" s="520"/>
      <c r="C984" s="68" t="s">
        <v>36</v>
      </c>
      <c r="D984" s="69">
        <v>15</v>
      </c>
      <c r="E984" s="59">
        <v>12033.740000000002</v>
      </c>
      <c r="F984" s="59"/>
      <c r="G984" s="59"/>
      <c r="H984" s="59">
        <v>6207.16</v>
      </c>
      <c r="I984" s="59"/>
      <c r="J984" s="59">
        <v>1504.94</v>
      </c>
      <c r="K984" s="59">
        <v>17933.73</v>
      </c>
      <c r="L984" s="60">
        <v>19438.669999999998</v>
      </c>
      <c r="M984" s="33"/>
      <c r="N984" s="59">
        <v>18059.25</v>
      </c>
      <c r="O984" s="59">
        <v>11852.09</v>
      </c>
      <c r="P984" s="59">
        <v>802.8</v>
      </c>
      <c r="Q984" s="59">
        <v>21697.57</v>
      </c>
      <c r="R984" s="59">
        <v>20192.63</v>
      </c>
    </row>
    <row r="985" spans="1:18" s="7" customFormat="1" ht="9" customHeight="1" x14ac:dyDescent="0.2">
      <c r="A985" s="520"/>
      <c r="B985" s="520"/>
      <c r="C985" s="62" t="s">
        <v>37</v>
      </c>
      <c r="D985" s="63">
        <v>20</v>
      </c>
      <c r="E985" s="64">
        <v>18054788</v>
      </c>
      <c r="F985" s="65"/>
      <c r="G985" s="65"/>
      <c r="H985" s="64">
        <v>12018738</v>
      </c>
      <c r="I985" s="64"/>
      <c r="J985" s="66">
        <v>2913970</v>
      </c>
      <c r="K985" s="64">
        <v>34724543</v>
      </c>
      <c r="L985" s="64">
        <v>37638514</v>
      </c>
      <c r="M985" s="39"/>
      <c r="N985" s="65">
        <v>34967584</v>
      </c>
      <c r="O985" s="65">
        <v>22948846</v>
      </c>
      <c r="P985" s="65">
        <v>1554438</v>
      </c>
      <c r="Q985" s="65">
        <v>42012354</v>
      </c>
      <c r="R985" s="65">
        <v>39098384</v>
      </c>
    </row>
    <row r="986" spans="1:18" s="7" customFormat="1" ht="12.75" customHeight="1" x14ac:dyDescent="0.2">
      <c r="A986" s="520"/>
      <c r="B986" s="520"/>
      <c r="C986" s="68" t="s">
        <v>36</v>
      </c>
      <c r="D986" s="69">
        <v>21</v>
      </c>
      <c r="E986" s="59">
        <v>13047.71</v>
      </c>
      <c r="F986" s="59"/>
      <c r="G986" s="59"/>
      <c r="H986" s="59">
        <v>6207.16</v>
      </c>
      <c r="I986" s="59"/>
      <c r="J986" s="59">
        <v>1587.86</v>
      </c>
      <c r="K986" s="59">
        <v>18921.79</v>
      </c>
      <c r="L986" s="60">
        <v>20509.650000000001</v>
      </c>
      <c r="M986" s="33"/>
      <c r="N986" s="59">
        <v>19054.27</v>
      </c>
      <c r="O986" s="59">
        <v>12847.11</v>
      </c>
      <c r="P986" s="59">
        <v>802.8</v>
      </c>
      <c r="Q986" s="59">
        <v>22954.61</v>
      </c>
      <c r="R986" s="59">
        <v>21366.75</v>
      </c>
    </row>
    <row r="987" spans="1:18" s="7" customFormat="1" ht="9" customHeight="1" x14ac:dyDescent="0.2">
      <c r="A987" s="520"/>
      <c r="B987" s="520"/>
      <c r="C987" s="62" t="s">
        <v>37</v>
      </c>
      <c r="D987" s="63">
        <v>27</v>
      </c>
      <c r="E987" s="64">
        <v>18054788</v>
      </c>
      <c r="F987" s="65"/>
      <c r="G987" s="65"/>
      <c r="H987" s="64">
        <v>12018738</v>
      </c>
      <c r="I987" s="64"/>
      <c r="J987" s="66">
        <v>3074526</v>
      </c>
      <c r="K987" s="64">
        <v>36637694</v>
      </c>
      <c r="L987" s="64">
        <v>39712220</v>
      </c>
      <c r="M987" s="39"/>
      <c r="N987" s="65">
        <v>36894211</v>
      </c>
      <c r="O987" s="65">
        <v>24875474</v>
      </c>
      <c r="P987" s="65">
        <v>1554438</v>
      </c>
      <c r="Q987" s="65">
        <v>44446323</v>
      </c>
      <c r="R987" s="65">
        <v>41371797</v>
      </c>
    </row>
    <row r="988" spans="1:18" s="7" customFormat="1" ht="12.75" customHeight="1" x14ac:dyDescent="0.2">
      <c r="A988" s="520"/>
      <c r="B988" s="520"/>
      <c r="C988" s="68" t="s">
        <v>36</v>
      </c>
      <c r="D988" s="69">
        <v>28</v>
      </c>
      <c r="E988" s="59">
        <v>13801.93</v>
      </c>
      <c r="F988" s="59"/>
      <c r="G988" s="59"/>
      <c r="H988" s="59">
        <v>6207.16</v>
      </c>
      <c r="I988" s="59"/>
      <c r="J988" s="59">
        <v>1650.9</v>
      </c>
      <c r="K988" s="59">
        <v>19673.080000000002</v>
      </c>
      <c r="L988" s="60">
        <v>21323.98</v>
      </c>
      <c r="M988" s="33"/>
      <c r="N988" s="59">
        <v>19810.84</v>
      </c>
      <c r="O988" s="59">
        <v>13603.68</v>
      </c>
      <c r="P988" s="59">
        <v>802.8</v>
      </c>
      <c r="Q988" s="59">
        <v>23910.400000000001</v>
      </c>
      <c r="R988" s="59">
        <v>22259.5</v>
      </c>
    </row>
    <row r="989" spans="1:18" s="7" customFormat="1" ht="9" customHeight="1" x14ac:dyDescent="0.2">
      <c r="A989" s="520"/>
      <c r="B989" s="520"/>
      <c r="C989" s="62" t="s">
        <v>37</v>
      </c>
      <c r="D989" s="63">
        <v>34</v>
      </c>
      <c r="E989" s="64">
        <v>18054788</v>
      </c>
      <c r="F989" s="65"/>
      <c r="G989" s="65"/>
      <c r="H989" s="64">
        <v>12018738</v>
      </c>
      <c r="I989" s="64"/>
      <c r="J989" s="66">
        <v>3196588</v>
      </c>
      <c r="K989" s="64">
        <v>38092395</v>
      </c>
      <c r="L989" s="64">
        <v>41288983</v>
      </c>
      <c r="M989" s="39"/>
      <c r="N989" s="65">
        <v>38359135</v>
      </c>
      <c r="O989" s="65">
        <v>26340397</v>
      </c>
      <c r="P989" s="65">
        <v>1554438</v>
      </c>
      <c r="Q989" s="65">
        <v>46296990</v>
      </c>
      <c r="R989" s="65">
        <v>43100402</v>
      </c>
    </row>
    <row r="990" spans="1:18" s="7" customFormat="1" ht="12.75" customHeight="1" x14ac:dyDescent="0.2">
      <c r="A990" s="520"/>
      <c r="B990" s="520"/>
      <c r="C990" s="68" t="s">
        <v>36</v>
      </c>
      <c r="D990" s="69">
        <v>35</v>
      </c>
      <c r="E990" s="59">
        <v>14345.310000000001</v>
      </c>
      <c r="F990" s="59"/>
      <c r="G990" s="59"/>
      <c r="H990" s="59">
        <v>6207.16</v>
      </c>
      <c r="I990" s="59"/>
      <c r="J990" s="59">
        <v>1695.7</v>
      </c>
      <c r="K990" s="59">
        <v>20206.89</v>
      </c>
      <c r="L990" s="60">
        <v>21902.59</v>
      </c>
      <c r="M990" s="33"/>
      <c r="N990" s="59">
        <v>20348.37</v>
      </c>
      <c r="O990" s="59">
        <v>14141.21</v>
      </c>
      <c r="P990" s="59">
        <v>802.8</v>
      </c>
      <c r="Q990" s="59">
        <v>24589.49</v>
      </c>
      <c r="R990" s="59">
        <v>22893.79</v>
      </c>
    </row>
    <row r="991" spans="1:18" s="7" customFormat="1" ht="9" customHeight="1" x14ac:dyDescent="0.2">
      <c r="A991" s="521"/>
      <c r="B991" s="521"/>
      <c r="C991" s="71" t="s">
        <v>37</v>
      </c>
      <c r="D991" s="72"/>
      <c r="E991" s="64">
        <v>18054788</v>
      </c>
      <c r="F991" s="64"/>
      <c r="G991" s="64"/>
      <c r="H991" s="64">
        <v>12018738</v>
      </c>
      <c r="I991" s="64"/>
      <c r="J991" s="64">
        <v>3283333</v>
      </c>
      <c r="K991" s="64">
        <v>39125995</v>
      </c>
      <c r="L991" s="64">
        <v>42409328</v>
      </c>
      <c r="M991" s="39"/>
      <c r="N991" s="64">
        <v>39399938</v>
      </c>
      <c r="O991" s="64">
        <v>27381201</v>
      </c>
      <c r="P991" s="64">
        <v>1554438</v>
      </c>
      <c r="Q991" s="64">
        <v>47611892</v>
      </c>
      <c r="R991" s="187">
        <v>44328559</v>
      </c>
    </row>
    <row r="992" spans="1:18" s="7" customFormat="1" ht="9" customHeight="1" x14ac:dyDescent="0.2">
      <c r="A992" s="73"/>
      <c r="B992" s="73"/>
      <c r="C992" s="184"/>
      <c r="D992" s="45"/>
      <c r="E992" s="185"/>
      <c r="F992" s="185"/>
      <c r="G992" s="185"/>
      <c r="H992" s="185"/>
      <c r="I992" s="185"/>
      <c r="J992" s="185"/>
      <c r="K992" s="185"/>
      <c r="L992" s="185"/>
      <c r="M992" s="39"/>
      <c r="N992" s="185"/>
      <c r="O992" s="185"/>
      <c r="P992" s="185"/>
      <c r="Q992" s="185"/>
      <c r="R992" s="188"/>
    </row>
    <row r="993" spans="1:18" s="7" customFormat="1" ht="9" customHeight="1" x14ac:dyDescent="0.2">
      <c r="A993" s="73"/>
      <c r="B993" s="73"/>
      <c r="C993" s="184"/>
      <c r="D993" s="45"/>
      <c r="E993" s="185"/>
      <c r="F993" s="185"/>
      <c r="G993" s="185"/>
      <c r="H993" s="185"/>
      <c r="I993" s="185"/>
      <c r="J993" s="185"/>
      <c r="K993" s="185"/>
      <c r="L993" s="185"/>
      <c r="M993" s="39"/>
      <c r="N993" s="185"/>
      <c r="O993" s="185"/>
      <c r="P993" s="185"/>
      <c r="Q993" s="185"/>
      <c r="R993" s="188"/>
    </row>
    <row r="994" spans="1:18" s="7" customFormat="1" ht="9" customHeight="1" x14ac:dyDescent="0.2">
      <c r="A994" s="73"/>
      <c r="B994" s="73"/>
      <c r="C994" s="184"/>
      <c r="D994" s="45"/>
      <c r="E994" s="185"/>
      <c r="F994" s="185"/>
      <c r="G994" s="185"/>
      <c r="H994" s="185"/>
      <c r="I994" s="185"/>
      <c r="J994" s="185"/>
      <c r="K994" s="185"/>
      <c r="L994" s="185"/>
      <c r="M994" s="39"/>
      <c r="N994" s="185"/>
      <c r="O994" s="185"/>
      <c r="P994" s="185"/>
      <c r="Q994" s="185"/>
      <c r="R994" s="188"/>
    </row>
    <row r="995" spans="1:18" s="7" customFormat="1" ht="9" customHeight="1" x14ac:dyDescent="0.2">
      <c r="A995" s="73"/>
      <c r="B995" s="73"/>
      <c r="C995" s="184"/>
      <c r="D995" s="45"/>
      <c r="E995" s="185"/>
      <c r="F995" s="185"/>
      <c r="G995" s="185"/>
      <c r="H995" s="185"/>
      <c r="I995" s="185"/>
      <c r="J995" s="185"/>
      <c r="K995" s="185"/>
      <c r="L995" s="185"/>
      <c r="M995" s="39"/>
      <c r="N995" s="185"/>
      <c r="O995" s="185"/>
      <c r="P995" s="185"/>
      <c r="Q995" s="185"/>
      <c r="R995" s="188"/>
    </row>
    <row r="996" spans="1:18" s="7" customFormat="1" ht="9" customHeight="1" x14ac:dyDescent="0.2">
      <c r="A996" s="73"/>
      <c r="B996" s="73"/>
      <c r="C996" s="184"/>
      <c r="D996" s="45"/>
      <c r="E996" s="185"/>
      <c r="F996" s="185"/>
      <c r="G996" s="185"/>
      <c r="H996" s="185"/>
      <c r="I996" s="185"/>
      <c r="J996" s="185"/>
      <c r="K996" s="185"/>
      <c r="L996" s="185"/>
      <c r="M996" s="39"/>
      <c r="N996" s="185"/>
      <c r="O996" s="185"/>
      <c r="P996" s="185"/>
      <c r="Q996" s="185"/>
      <c r="R996" s="188"/>
    </row>
    <row r="997" spans="1:18" s="7" customFormat="1" ht="9" customHeight="1" x14ac:dyDescent="0.2">
      <c r="A997" s="73"/>
      <c r="B997" s="73"/>
      <c r="C997" s="184"/>
      <c r="D997" s="45"/>
      <c r="E997" s="185"/>
      <c r="F997" s="185"/>
      <c r="G997" s="185"/>
      <c r="H997" s="185"/>
      <c r="I997" s="185"/>
      <c r="J997" s="185"/>
      <c r="K997" s="185"/>
      <c r="L997" s="185"/>
      <c r="M997" s="39"/>
      <c r="N997" s="185"/>
      <c r="O997" s="185"/>
      <c r="P997" s="185"/>
      <c r="Q997" s="185"/>
      <c r="R997" s="188"/>
    </row>
    <row r="998" spans="1:18" s="7" customFormat="1" ht="9" customHeight="1" x14ac:dyDescent="0.2">
      <c r="A998" s="73"/>
      <c r="B998" s="73"/>
      <c r="C998" s="184"/>
      <c r="D998" s="45"/>
      <c r="E998" s="185"/>
      <c r="F998" s="185"/>
      <c r="G998" s="185"/>
      <c r="H998" s="185"/>
      <c r="I998" s="185"/>
      <c r="J998" s="185"/>
      <c r="K998" s="185"/>
      <c r="L998" s="185"/>
      <c r="M998" s="39"/>
      <c r="N998" s="185"/>
      <c r="O998" s="185"/>
      <c r="P998" s="185"/>
      <c r="Q998" s="185"/>
      <c r="R998" s="188"/>
    </row>
    <row r="999" spans="1:18" s="7" customFormat="1" ht="9" customHeight="1" x14ac:dyDescent="0.2">
      <c r="A999" s="73"/>
      <c r="B999" s="73"/>
      <c r="C999" s="184"/>
      <c r="D999" s="45"/>
      <c r="E999" s="185"/>
      <c r="F999" s="185"/>
      <c r="G999" s="185"/>
      <c r="H999" s="185"/>
      <c r="I999" s="185"/>
      <c r="J999" s="185"/>
      <c r="K999" s="185"/>
      <c r="L999" s="185"/>
      <c r="M999" s="39"/>
      <c r="N999" s="185"/>
      <c r="O999" s="185"/>
      <c r="P999" s="185"/>
      <c r="Q999" s="185"/>
      <c r="R999" s="188"/>
    </row>
    <row r="1000" spans="1:18" s="7" customFormat="1" ht="12.75" customHeight="1" x14ac:dyDescent="0.2">
      <c r="A1000" s="522">
        <v>44197</v>
      </c>
      <c r="B1000" s="522">
        <v>44561</v>
      </c>
      <c r="C1000" s="57" t="s">
        <v>36</v>
      </c>
      <c r="D1000" s="58">
        <v>0</v>
      </c>
      <c r="E1000" s="59">
        <v>9912.56</v>
      </c>
      <c r="F1000" s="59"/>
      <c r="G1000" s="59"/>
      <c r="H1000" s="59">
        <v>6207.16</v>
      </c>
      <c r="I1000" s="59"/>
      <c r="J1000" s="59">
        <v>1303.3699999999999</v>
      </c>
      <c r="K1000" s="59">
        <v>15640.4</v>
      </c>
      <c r="L1000" s="60">
        <v>16943.77</v>
      </c>
      <c r="M1000" s="33"/>
      <c r="N1000" s="59">
        <v>15640.4</v>
      </c>
      <c r="O1000" s="59">
        <v>9433.24</v>
      </c>
      <c r="P1000" s="59">
        <v>802.8</v>
      </c>
      <c r="Q1000" s="59">
        <v>18641.75</v>
      </c>
      <c r="R1000" s="59">
        <v>17338.38</v>
      </c>
    </row>
    <row r="1001" spans="1:18" s="7" customFormat="1" ht="9" customHeight="1" x14ac:dyDescent="0.2">
      <c r="A1001" s="523"/>
      <c r="B1001" s="523"/>
      <c r="C1001" s="62" t="s">
        <v>37</v>
      </c>
      <c r="D1001" s="63">
        <v>8</v>
      </c>
      <c r="E1001" s="64">
        <v>18054788</v>
      </c>
      <c r="F1001" s="65"/>
      <c r="G1001" s="65"/>
      <c r="H1001" s="64">
        <v>12018738</v>
      </c>
      <c r="I1001" s="64"/>
      <c r="J1001" s="66">
        <v>2523676</v>
      </c>
      <c r="K1001" s="66">
        <v>30284037</v>
      </c>
      <c r="L1001" s="64">
        <v>32807714</v>
      </c>
      <c r="M1001" s="39"/>
      <c r="N1001" s="65">
        <v>30284037</v>
      </c>
      <c r="O1001" s="65">
        <v>18265300</v>
      </c>
      <c r="P1001" s="65">
        <v>1554438</v>
      </c>
      <c r="Q1001" s="65">
        <v>36095461</v>
      </c>
      <c r="R1001" s="65">
        <v>33571785</v>
      </c>
    </row>
    <row r="1002" spans="1:18" s="7" customFormat="1" ht="12.75" customHeight="1" x14ac:dyDescent="0.2">
      <c r="A1002" s="520">
        <f>A1000</f>
        <v>44197</v>
      </c>
      <c r="B1002" s="520">
        <f>B1000</f>
        <v>44561</v>
      </c>
      <c r="C1002" s="68" t="s">
        <v>36</v>
      </c>
      <c r="D1002" s="69">
        <v>9</v>
      </c>
      <c r="E1002" s="59">
        <v>11347.41</v>
      </c>
      <c r="F1002" s="59"/>
      <c r="G1002" s="59"/>
      <c r="H1002" s="59">
        <v>6207.16</v>
      </c>
      <c r="I1002" s="59"/>
      <c r="J1002" s="59">
        <v>1419.75</v>
      </c>
      <c r="K1002" s="59">
        <v>16918.52</v>
      </c>
      <c r="L1002" s="60">
        <v>18338.27</v>
      </c>
      <c r="M1002" s="33"/>
      <c r="N1002" s="59">
        <v>17036.96</v>
      </c>
      <c r="O1002" s="59">
        <v>10829.8</v>
      </c>
      <c r="P1002" s="59">
        <v>802.8</v>
      </c>
      <c r="Q1002" s="59">
        <v>20406.07</v>
      </c>
      <c r="R1002" s="59">
        <v>18986.32</v>
      </c>
    </row>
    <row r="1003" spans="1:18" s="7" customFormat="1" ht="9" customHeight="1" x14ac:dyDescent="0.2">
      <c r="A1003" s="520"/>
      <c r="B1003" s="520"/>
      <c r="C1003" s="62" t="s">
        <v>37</v>
      </c>
      <c r="D1003" s="63">
        <v>14</v>
      </c>
      <c r="E1003" s="64">
        <v>18054788</v>
      </c>
      <c r="F1003" s="65"/>
      <c r="G1003" s="65"/>
      <c r="H1003" s="64">
        <v>12018738</v>
      </c>
      <c r="I1003" s="64"/>
      <c r="J1003" s="66">
        <v>2749019</v>
      </c>
      <c r="K1003" s="64">
        <v>32758823</v>
      </c>
      <c r="L1003" s="64">
        <v>35507842</v>
      </c>
      <c r="M1003" s="39"/>
      <c r="N1003" s="65">
        <v>32988155</v>
      </c>
      <c r="O1003" s="65">
        <v>20969417</v>
      </c>
      <c r="P1003" s="65">
        <v>1554438</v>
      </c>
      <c r="Q1003" s="65">
        <v>39511661</v>
      </c>
      <c r="R1003" s="65">
        <v>36762642</v>
      </c>
    </row>
    <row r="1004" spans="1:18" s="7" customFormat="1" ht="12.75" customHeight="1" x14ac:dyDescent="0.2">
      <c r="A1004" s="520"/>
      <c r="B1004" s="520"/>
      <c r="C1004" s="68" t="s">
        <v>36</v>
      </c>
      <c r="D1004" s="69">
        <v>15</v>
      </c>
      <c r="E1004" s="59">
        <v>12398.54</v>
      </c>
      <c r="F1004" s="59"/>
      <c r="G1004" s="59"/>
      <c r="H1004" s="59">
        <v>6207.16</v>
      </c>
      <c r="I1004" s="59"/>
      <c r="J1004" s="59">
        <v>1504.94</v>
      </c>
      <c r="K1004" s="59">
        <v>17933.73</v>
      </c>
      <c r="L1004" s="60">
        <v>19438.669999999998</v>
      </c>
      <c r="M1004" s="33"/>
      <c r="N1004" s="59">
        <v>18059.25</v>
      </c>
      <c r="O1004" s="59">
        <v>11852.09</v>
      </c>
      <c r="P1004" s="59">
        <v>802.8</v>
      </c>
      <c r="Q1004" s="59">
        <v>21697.57</v>
      </c>
      <c r="R1004" s="59">
        <v>20192.63</v>
      </c>
    </row>
    <row r="1005" spans="1:18" s="7" customFormat="1" ht="9" customHeight="1" x14ac:dyDescent="0.2">
      <c r="A1005" s="520"/>
      <c r="B1005" s="520"/>
      <c r="C1005" s="62" t="s">
        <v>37</v>
      </c>
      <c r="D1005" s="63">
        <v>20</v>
      </c>
      <c r="E1005" s="64">
        <v>18054788</v>
      </c>
      <c r="F1005" s="65"/>
      <c r="G1005" s="65"/>
      <c r="H1005" s="64">
        <v>12018738</v>
      </c>
      <c r="I1005" s="64"/>
      <c r="J1005" s="66">
        <v>2913970</v>
      </c>
      <c r="K1005" s="64">
        <v>34724543</v>
      </c>
      <c r="L1005" s="64">
        <v>37638514</v>
      </c>
      <c r="M1005" s="39"/>
      <c r="N1005" s="65">
        <v>34967584</v>
      </c>
      <c r="O1005" s="65">
        <v>22948846</v>
      </c>
      <c r="P1005" s="65">
        <v>1554438</v>
      </c>
      <c r="Q1005" s="65">
        <v>42012354</v>
      </c>
      <c r="R1005" s="65">
        <v>39098384</v>
      </c>
    </row>
    <row r="1006" spans="1:18" s="7" customFormat="1" ht="12.75" customHeight="1" x14ac:dyDescent="0.2">
      <c r="A1006" s="520"/>
      <c r="B1006" s="520"/>
      <c r="C1006" s="68" t="s">
        <v>36</v>
      </c>
      <c r="D1006" s="69">
        <v>21</v>
      </c>
      <c r="E1006" s="59">
        <v>13434.71</v>
      </c>
      <c r="F1006" s="59"/>
      <c r="G1006" s="59"/>
      <c r="H1006" s="59">
        <v>6207.16</v>
      </c>
      <c r="I1006" s="59"/>
      <c r="J1006" s="59">
        <v>1587.86</v>
      </c>
      <c r="K1006" s="59">
        <v>18921.79</v>
      </c>
      <c r="L1006" s="60">
        <v>20509.650000000001</v>
      </c>
      <c r="M1006" s="33"/>
      <c r="N1006" s="59">
        <v>19054.27</v>
      </c>
      <c r="O1006" s="59">
        <v>12847.11</v>
      </c>
      <c r="P1006" s="59">
        <v>802.8</v>
      </c>
      <c r="Q1006" s="59">
        <v>22954.61</v>
      </c>
      <c r="R1006" s="59">
        <v>21366.75</v>
      </c>
    </row>
    <row r="1007" spans="1:18" s="7" customFormat="1" ht="9" customHeight="1" x14ac:dyDescent="0.2">
      <c r="A1007" s="520"/>
      <c r="B1007" s="520"/>
      <c r="C1007" s="62" t="s">
        <v>37</v>
      </c>
      <c r="D1007" s="63">
        <v>27</v>
      </c>
      <c r="E1007" s="64">
        <v>18054788</v>
      </c>
      <c r="F1007" s="65"/>
      <c r="G1007" s="65"/>
      <c r="H1007" s="64">
        <v>12018738</v>
      </c>
      <c r="I1007" s="64"/>
      <c r="J1007" s="66">
        <v>3074526</v>
      </c>
      <c r="K1007" s="64">
        <v>36637694</v>
      </c>
      <c r="L1007" s="64">
        <v>39712220</v>
      </c>
      <c r="M1007" s="39"/>
      <c r="N1007" s="65">
        <v>36894211</v>
      </c>
      <c r="O1007" s="65">
        <v>24875474</v>
      </c>
      <c r="P1007" s="65">
        <v>1554438</v>
      </c>
      <c r="Q1007" s="65">
        <v>44446323</v>
      </c>
      <c r="R1007" s="65">
        <v>41371797</v>
      </c>
    </row>
    <row r="1008" spans="1:18" s="7" customFormat="1" ht="12.75" customHeight="1" x14ac:dyDescent="0.2">
      <c r="A1008" s="520"/>
      <c r="B1008" s="520"/>
      <c r="C1008" s="68" t="s">
        <v>36</v>
      </c>
      <c r="D1008" s="69">
        <v>28</v>
      </c>
      <c r="E1008" s="59">
        <v>14209.93</v>
      </c>
      <c r="F1008" s="59"/>
      <c r="G1008" s="59"/>
      <c r="H1008" s="59">
        <v>6207.16</v>
      </c>
      <c r="I1008" s="59"/>
      <c r="J1008" s="59">
        <v>1650.9</v>
      </c>
      <c r="K1008" s="59">
        <v>19673.080000000002</v>
      </c>
      <c r="L1008" s="60">
        <v>21323.98</v>
      </c>
      <c r="M1008" s="33"/>
      <c r="N1008" s="59">
        <v>19810.84</v>
      </c>
      <c r="O1008" s="59">
        <v>13603.68</v>
      </c>
      <c r="P1008" s="59">
        <v>802.8</v>
      </c>
      <c r="Q1008" s="59">
        <v>23910.400000000001</v>
      </c>
      <c r="R1008" s="59">
        <v>22259.5</v>
      </c>
    </row>
    <row r="1009" spans="1:22" s="7" customFormat="1" ht="9" customHeight="1" x14ac:dyDescent="0.2">
      <c r="A1009" s="520"/>
      <c r="B1009" s="520"/>
      <c r="C1009" s="62" t="s">
        <v>37</v>
      </c>
      <c r="D1009" s="63">
        <v>34</v>
      </c>
      <c r="E1009" s="64">
        <v>18054788</v>
      </c>
      <c r="F1009" s="65"/>
      <c r="G1009" s="65"/>
      <c r="H1009" s="64">
        <v>12018738</v>
      </c>
      <c r="I1009" s="64"/>
      <c r="J1009" s="66">
        <v>3196588</v>
      </c>
      <c r="K1009" s="64">
        <v>38092395</v>
      </c>
      <c r="L1009" s="64">
        <v>41288983</v>
      </c>
      <c r="M1009" s="39"/>
      <c r="N1009" s="65">
        <v>38359135</v>
      </c>
      <c r="O1009" s="65">
        <v>26340397</v>
      </c>
      <c r="P1009" s="65">
        <v>1554438</v>
      </c>
      <c r="Q1009" s="65">
        <v>46296990</v>
      </c>
      <c r="R1009" s="65">
        <v>43100402</v>
      </c>
    </row>
    <row r="1010" spans="1:22" s="7" customFormat="1" ht="12.75" customHeight="1" x14ac:dyDescent="0.2">
      <c r="A1010" s="520"/>
      <c r="B1010" s="520"/>
      <c r="C1010" s="68" t="s">
        <v>36</v>
      </c>
      <c r="D1010" s="69">
        <v>35</v>
      </c>
      <c r="E1010" s="59">
        <v>14767.71</v>
      </c>
      <c r="F1010" s="59"/>
      <c r="G1010" s="59"/>
      <c r="H1010" s="59">
        <v>6207.16</v>
      </c>
      <c r="I1010" s="59"/>
      <c r="J1010" s="59">
        <v>1695.7</v>
      </c>
      <c r="K1010" s="59">
        <v>20206.89</v>
      </c>
      <c r="L1010" s="60">
        <v>21902.59</v>
      </c>
      <c r="M1010" s="33"/>
      <c r="N1010" s="59">
        <v>20348.37</v>
      </c>
      <c r="O1010" s="59">
        <v>14141.21</v>
      </c>
      <c r="P1010" s="59">
        <v>802.8</v>
      </c>
      <c r="Q1010" s="59">
        <v>24589.49</v>
      </c>
      <c r="R1010" s="59">
        <v>22893.79</v>
      </c>
    </row>
    <row r="1011" spans="1:22" s="7" customFormat="1" ht="9" customHeight="1" x14ac:dyDescent="0.2">
      <c r="A1011" s="521"/>
      <c r="B1011" s="521"/>
      <c r="C1011" s="71" t="s">
        <v>37</v>
      </c>
      <c r="D1011" s="72"/>
      <c r="E1011" s="64">
        <v>18054788</v>
      </c>
      <c r="F1011" s="64"/>
      <c r="G1011" s="64"/>
      <c r="H1011" s="64">
        <v>12018738</v>
      </c>
      <c r="I1011" s="64"/>
      <c r="J1011" s="64">
        <v>3283333</v>
      </c>
      <c r="K1011" s="64">
        <v>39125995</v>
      </c>
      <c r="L1011" s="64">
        <v>42409328</v>
      </c>
      <c r="M1011" s="39"/>
      <c r="N1011" s="64">
        <v>39399938</v>
      </c>
      <c r="O1011" s="64">
        <v>27381201</v>
      </c>
      <c r="P1011" s="64">
        <v>1554438</v>
      </c>
      <c r="Q1011" s="64">
        <v>47611892</v>
      </c>
      <c r="R1011" s="187">
        <v>44328559</v>
      </c>
    </row>
    <row r="1012" spans="1:22" s="7" customFormat="1" ht="9" customHeight="1" x14ac:dyDescent="0.2">
      <c r="A1012" s="73"/>
      <c r="B1012" s="73"/>
      <c r="C1012" s="184"/>
      <c r="D1012" s="45"/>
      <c r="E1012" s="185"/>
      <c r="F1012" s="185"/>
      <c r="G1012" s="185"/>
      <c r="H1012" s="185"/>
      <c r="I1012" s="185"/>
      <c r="J1012" s="185"/>
      <c r="K1012" s="185"/>
      <c r="L1012" s="185"/>
      <c r="M1012" s="39"/>
      <c r="N1012" s="185"/>
      <c r="O1012" s="185"/>
      <c r="P1012" s="185"/>
      <c r="Q1012" s="185"/>
      <c r="R1012" s="188"/>
    </row>
    <row r="1013" spans="1:22" s="7" customFormat="1" ht="9" customHeight="1" x14ac:dyDescent="0.2">
      <c r="A1013" s="73"/>
      <c r="B1013" s="73"/>
      <c r="C1013" s="184"/>
      <c r="D1013" s="45"/>
      <c r="E1013" s="185"/>
      <c r="F1013" s="185"/>
      <c r="G1013" s="185"/>
      <c r="H1013" s="185"/>
      <c r="I1013" s="185"/>
      <c r="J1013" s="185"/>
      <c r="K1013" s="185"/>
      <c r="L1013" s="185"/>
      <c r="M1013" s="39"/>
      <c r="N1013" s="185"/>
      <c r="O1013" s="185"/>
      <c r="P1013" s="185"/>
      <c r="Q1013" s="185"/>
      <c r="R1013" s="188"/>
    </row>
    <row r="1014" spans="1:22" s="7" customFormat="1" ht="9" customHeight="1" x14ac:dyDescent="0.2">
      <c r="A1014" s="73"/>
      <c r="B1014" s="73"/>
      <c r="C1014" s="184"/>
      <c r="D1014" s="45"/>
      <c r="E1014" s="185"/>
      <c r="F1014" s="185"/>
      <c r="G1014" s="185"/>
      <c r="H1014" s="185"/>
      <c r="I1014" s="185"/>
      <c r="J1014" s="185"/>
      <c r="K1014" s="185"/>
      <c r="L1014" s="185"/>
      <c r="M1014" s="39"/>
      <c r="N1014" s="185"/>
      <c r="O1014" s="185"/>
      <c r="P1014" s="185"/>
      <c r="Q1014" s="185"/>
      <c r="R1014" s="188"/>
    </row>
    <row r="1015" spans="1:22" s="7" customFormat="1" ht="9" customHeight="1" x14ac:dyDescent="0.2">
      <c r="A1015" s="73"/>
      <c r="B1015" s="73"/>
      <c r="C1015" s="184"/>
      <c r="D1015" s="45"/>
      <c r="E1015" s="185"/>
      <c r="F1015" s="185"/>
      <c r="G1015" s="185"/>
      <c r="H1015" s="185"/>
      <c r="I1015" s="185"/>
      <c r="J1015" s="185"/>
      <c r="K1015" s="185"/>
      <c r="L1015" s="185"/>
      <c r="M1015" s="39"/>
      <c r="N1015" s="185"/>
      <c r="O1015" s="185"/>
      <c r="P1015" s="185"/>
      <c r="Q1015" s="185"/>
      <c r="R1015" s="188"/>
    </row>
    <row r="1016" spans="1:22" s="7" customFormat="1" ht="9" customHeight="1" x14ac:dyDescent="0.2">
      <c r="A1016" s="73"/>
      <c r="B1016" s="73"/>
      <c r="C1016" s="184"/>
      <c r="D1016" s="45"/>
      <c r="E1016" s="185"/>
      <c r="F1016" s="185"/>
      <c r="G1016" s="185"/>
      <c r="H1016" s="185"/>
      <c r="I1016" s="185"/>
      <c r="J1016" s="185"/>
      <c r="K1016" s="185"/>
      <c r="L1016" s="185"/>
      <c r="M1016" s="39"/>
      <c r="N1016" s="185"/>
      <c r="O1016" s="185"/>
      <c r="P1016" s="185"/>
      <c r="Q1016" s="185"/>
      <c r="R1016" s="188"/>
    </row>
    <row r="1017" spans="1:22" s="7" customFormat="1" ht="9" customHeight="1" x14ac:dyDescent="0.2">
      <c r="A1017" s="73"/>
      <c r="B1017" s="73"/>
      <c r="C1017" s="184"/>
      <c r="D1017" s="45"/>
      <c r="E1017" s="185"/>
      <c r="F1017" s="185"/>
      <c r="G1017" s="185"/>
      <c r="H1017" s="185"/>
      <c r="I1017" s="185"/>
      <c r="J1017" s="185"/>
      <c r="K1017" s="185"/>
      <c r="L1017" s="185"/>
      <c r="M1017" s="39"/>
      <c r="N1017" s="185"/>
      <c r="O1017" s="185"/>
      <c r="P1017" s="185"/>
      <c r="Q1017" s="185"/>
      <c r="R1017" s="188"/>
    </row>
    <row r="1018" spans="1:22" s="7" customFormat="1" ht="9" customHeight="1" x14ac:dyDescent="0.2">
      <c r="A1018" s="73"/>
      <c r="B1018" s="73"/>
      <c r="C1018" s="184"/>
      <c r="D1018" s="45"/>
      <c r="E1018" s="185"/>
      <c r="F1018" s="185"/>
      <c r="G1018" s="185"/>
      <c r="H1018" s="185"/>
      <c r="I1018" s="185"/>
      <c r="J1018" s="185"/>
      <c r="K1018" s="185"/>
      <c r="L1018" s="185"/>
      <c r="M1018" s="39"/>
      <c r="N1018" s="185"/>
      <c r="O1018" s="185"/>
      <c r="P1018" s="185"/>
      <c r="Q1018" s="185"/>
      <c r="R1018" s="188"/>
    </row>
    <row r="1019" spans="1:22" s="7" customFormat="1" ht="9" customHeight="1" x14ac:dyDescent="0.2">
      <c r="A1019" s="73"/>
      <c r="B1019" s="73"/>
      <c r="C1019" s="184"/>
      <c r="D1019" s="45"/>
      <c r="E1019" s="185"/>
      <c r="F1019" s="185"/>
      <c r="G1019" s="185"/>
      <c r="H1019" s="185"/>
      <c r="I1019" s="185"/>
      <c r="J1019" s="185"/>
      <c r="K1019" s="185"/>
      <c r="L1019" s="185"/>
      <c r="M1019" s="39"/>
      <c r="N1019" s="185"/>
      <c r="O1019" s="185"/>
      <c r="P1019" s="185"/>
      <c r="Q1019" s="185"/>
      <c r="R1019" s="188"/>
    </row>
    <row r="1020" spans="1:22" s="7" customFormat="1" ht="12.75" customHeight="1" x14ac:dyDescent="0.2">
      <c r="A1020" s="522">
        <v>44562</v>
      </c>
      <c r="B1020" s="522">
        <v>44652</v>
      </c>
      <c r="C1020" s="57" t="s">
        <v>36</v>
      </c>
      <c r="D1020" s="58">
        <v>0</v>
      </c>
      <c r="E1020" s="59">
        <v>9912.56</v>
      </c>
      <c r="F1020" s="59"/>
      <c r="G1020" s="59"/>
      <c r="H1020" s="59">
        <v>6207.16</v>
      </c>
      <c r="I1020" s="59"/>
      <c r="J1020" s="59">
        <v>1303.3699999999999</v>
      </c>
      <c r="K1020" s="59">
        <v>15640.4</v>
      </c>
      <c r="L1020" s="60">
        <v>16943.77</v>
      </c>
      <c r="M1020" s="33"/>
      <c r="N1020" s="59">
        <v>15640.4</v>
      </c>
      <c r="O1020" s="59">
        <v>9433.24</v>
      </c>
      <c r="P1020" s="59">
        <v>872.4</v>
      </c>
      <c r="Q1020" s="59">
        <v>18641.75</v>
      </c>
      <c r="R1020" s="59">
        <v>17338.38</v>
      </c>
      <c r="T1020" s="7">
        <f>5.8*12</f>
        <v>69.599999999999994</v>
      </c>
      <c r="V1020" s="76">
        <f>P1020+T1020</f>
        <v>942</v>
      </c>
    </row>
    <row r="1021" spans="1:22" s="7" customFormat="1" ht="9" customHeight="1" x14ac:dyDescent="0.2">
      <c r="A1021" s="523"/>
      <c r="B1021" s="523"/>
      <c r="C1021" s="62" t="s">
        <v>37</v>
      </c>
      <c r="D1021" s="63">
        <v>8</v>
      </c>
      <c r="E1021" s="64">
        <v>18054788</v>
      </c>
      <c r="F1021" s="65"/>
      <c r="G1021" s="65"/>
      <c r="H1021" s="64">
        <v>12018738</v>
      </c>
      <c r="I1021" s="64"/>
      <c r="J1021" s="66">
        <v>2523676</v>
      </c>
      <c r="K1021" s="66">
        <v>30284037</v>
      </c>
      <c r="L1021" s="64">
        <v>32807714</v>
      </c>
      <c r="M1021" s="39"/>
      <c r="N1021" s="65">
        <v>30284037</v>
      </c>
      <c r="O1021" s="65">
        <v>18265300</v>
      </c>
      <c r="P1021" s="65"/>
      <c r="Q1021" s="65">
        <v>36095461</v>
      </c>
      <c r="R1021" s="65">
        <v>33571785</v>
      </c>
      <c r="V1021" s="76"/>
    </row>
    <row r="1022" spans="1:22" s="7" customFormat="1" ht="12.75" customHeight="1" x14ac:dyDescent="0.2">
      <c r="A1022" s="520">
        <f>A1020</f>
        <v>44562</v>
      </c>
      <c r="B1022" s="520">
        <v>44651</v>
      </c>
      <c r="C1022" s="68" t="s">
        <v>36</v>
      </c>
      <c r="D1022" s="69">
        <v>9</v>
      </c>
      <c r="E1022" s="59">
        <v>11347.41</v>
      </c>
      <c r="F1022" s="59"/>
      <c r="G1022" s="59"/>
      <c r="H1022" s="59">
        <v>6207.16</v>
      </c>
      <c r="I1022" s="59"/>
      <c r="J1022" s="59">
        <v>1419.75</v>
      </c>
      <c r="K1022" s="59">
        <v>16918.52</v>
      </c>
      <c r="L1022" s="60">
        <v>18338.27</v>
      </c>
      <c r="M1022" s="33"/>
      <c r="N1022" s="59">
        <v>17036.96</v>
      </c>
      <c r="O1022" s="59">
        <v>10829.8</v>
      </c>
      <c r="P1022" s="59">
        <v>872.4</v>
      </c>
      <c r="Q1022" s="59">
        <v>20406.07</v>
      </c>
      <c r="R1022" s="59">
        <v>18986.32</v>
      </c>
      <c r="T1022" s="7">
        <f>5.8*12</f>
        <v>69.599999999999994</v>
      </c>
      <c r="V1022" s="76">
        <f>P1022+T1022</f>
        <v>942</v>
      </c>
    </row>
    <row r="1023" spans="1:22" s="7" customFormat="1" ht="9" customHeight="1" x14ac:dyDescent="0.2">
      <c r="A1023" s="520"/>
      <c r="B1023" s="520"/>
      <c r="C1023" s="62" t="s">
        <v>37</v>
      </c>
      <c r="D1023" s="63">
        <v>14</v>
      </c>
      <c r="E1023" s="64">
        <v>18054788</v>
      </c>
      <c r="F1023" s="65"/>
      <c r="G1023" s="65"/>
      <c r="H1023" s="64">
        <v>12018738</v>
      </c>
      <c r="I1023" s="64"/>
      <c r="J1023" s="66">
        <v>2749019</v>
      </c>
      <c r="K1023" s="64">
        <v>32758823</v>
      </c>
      <c r="L1023" s="64">
        <v>35507842</v>
      </c>
      <c r="M1023" s="39"/>
      <c r="N1023" s="65">
        <v>32988155</v>
      </c>
      <c r="O1023" s="65">
        <v>20969417</v>
      </c>
      <c r="P1023" s="65"/>
      <c r="Q1023" s="65">
        <v>39511661</v>
      </c>
      <c r="R1023" s="65">
        <v>36762642</v>
      </c>
      <c r="V1023" s="76"/>
    </row>
    <row r="1024" spans="1:22" s="7" customFormat="1" ht="12.75" customHeight="1" x14ac:dyDescent="0.2">
      <c r="A1024" s="520"/>
      <c r="B1024" s="520"/>
      <c r="C1024" s="68" t="s">
        <v>36</v>
      </c>
      <c r="D1024" s="69">
        <v>15</v>
      </c>
      <c r="E1024" s="59">
        <v>12398.54</v>
      </c>
      <c r="F1024" s="59"/>
      <c r="G1024" s="59"/>
      <c r="H1024" s="59">
        <v>6207.16</v>
      </c>
      <c r="I1024" s="59"/>
      <c r="J1024" s="59">
        <v>1504.94</v>
      </c>
      <c r="K1024" s="59">
        <v>17933.73</v>
      </c>
      <c r="L1024" s="60">
        <v>19438.669999999998</v>
      </c>
      <c r="M1024" s="33"/>
      <c r="N1024" s="59">
        <v>18059.25</v>
      </c>
      <c r="O1024" s="59">
        <v>11852.09</v>
      </c>
      <c r="P1024" s="59">
        <v>872.4</v>
      </c>
      <c r="Q1024" s="59">
        <v>21697.57</v>
      </c>
      <c r="R1024" s="59">
        <v>20192.63</v>
      </c>
      <c r="T1024" s="7">
        <f>5.8*12</f>
        <v>69.599999999999994</v>
      </c>
      <c r="V1024" s="76">
        <f>P1024+T1024</f>
        <v>942</v>
      </c>
    </row>
    <row r="1025" spans="1:22" s="7" customFormat="1" ht="9" customHeight="1" x14ac:dyDescent="0.2">
      <c r="A1025" s="520"/>
      <c r="B1025" s="520"/>
      <c r="C1025" s="62" t="s">
        <v>37</v>
      </c>
      <c r="D1025" s="63">
        <v>20</v>
      </c>
      <c r="E1025" s="64">
        <v>18054788</v>
      </c>
      <c r="F1025" s="65"/>
      <c r="G1025" s="65"/>
      <c r="H1025" s="64">
        <v>12018738</v>
      </c>
      <c r="I1025" s="64"/>
      <c r="J1025" s="66">
        <v>2913970</v>
      </c>
      <c r="K1025" s="64">
        <v>34724543</v>
      </c>
      <c r="L1025" s="64">
        <v>37638514</v>
      </c>
      <c r="M1025" s="39"/>
      <c r="N1025" s="65">
        <v>34967584</v>
      </c>
      <c r="O1025" s="65">
        <v>22948846</v>
      </c>
      <c r="P1025" s="65"/>
      <c r="Q1025" s="65">
        <v>42012354</v>
      </c>
      <c r="R1025" s="65">
        <v>39098384</v>
      </c>
      <c r="V1025" s="76"/>
    </row>
    <row r="1026" spans="1:22" s="7" customFormat="1" ht="12.75" customHeight="1" x14ac:dyDescent="0.2">
      <c r="A1026" s="520"/>
      <c r="B1026" s="520"/>
      <c r="C1026" s="68" t="s">
        <v>36</v>
      </c>
      <c r="D1026" s="69">
        <v>21</v>
      </c>
      <c r="E1026" s="59">
        <v>13434.71</v>
      </c>
      <c r="F1026" s="59"/>
      <c r="G1026" s="59"/>
      <c r="H1026" s="59">
        <v>6207.16</v>
      </c>
      <c r="I1026" s="59"/>
      <c r="J1026" s="59">
        <v>1587.86</v>
      </c>
      <c r="K1026" s="59">
        <v>18921.79</v>
      </c>
      <c r="L1026" s="60">
        <v>20509.650000000001</v>
      </c>
      <c r="M1026" s="33"/>
      <c r="N1026" s="59">
        <v>19054.27</v>
      </c>
      <c r="O1026" s="59">
        <v>12847.11</v>
      </c>
      <c r="P1026" s="59">
        <v>872.4</v>
      </c>
      <c r="Q1026" s="59">
        <v>22954.61</v>
      </c>
      <c r="R1026" s="59">
        <v>21366.75</v>
      </c>
      <c r="T1026" s="7">
        <f>5.8*12</f>
        <v>69.599999999999994</v>
      </c>
      <c r="V1026" s="76">
        <f>P1026+T1026</f>
        <v>942</v>
      </c>
    </row>
    <row r="1027" spans="1:22" s="7" customFormat="1" ht="9" customHeight="1" x14ac:dyDescent="0.2">
      <c r="A1027" s="520"/>
      <c r="B1027" s="520"/>
      <c r="C1027" s="62" t="s">
        <v>37</v>
      </c>
      <c r="D1027" s="63">
        <v>27</v>
      </c>
      <c r="E1027" s="64">
        <v>18054788</v>
      </c>
      <c r="F1027" s="65"/>
      <c r="G1027" s="65"/>
      <c r="H1027" s="64">
        <v>12018738</v>
      </c>
      <c r="I1027" s="64"/>
      <c r="J1027" s="66">
        <v>3074526</v>
      </c>
      <c r="K1027" s="64">
        <v>36637694</v>
      </c>
      <c r="L1027" s="64">
        <v>39712220</v>
      </c>
      <c r="M1027" s="39"/>
      <c r="N1027" s="65">
        <v>36894211</v>
      </c>
      <c r="O1027" s="65">
        <v>24875474</v>
      </c>
      <c r="P1027" s="65"/>
      <c r="Q1027" s="65">
        <v>44446323</v>
      </c>
      <c r="R1027" s="65">
        <v>41371797</v>
      </c>
      <c r="V1027" s="76"/>
    </row>
    <row r="1028" spans="1:22" s="7" customFormat="1" ht="12.75" customHeight="1" x14ac:dyDescent="0.2">
      <c r="A1028" s="520"/>
      <c r="B1028" s="520"/>
      <c r="C1028" s="68" t="s">
        <v>36</v>
      </c>
      <c r="D1028" s="69">
        <v>28</v>
      </c>
      <c r="E1028" s="59">
        <v>14209.93</v>
      </c>
      <c r="F1028" s="59"/>
      <c r="G1028" s="59"/>
      <c r="H1028" s="59">
        <v>6207.16</v>
      </c>
      <c r="I1028" s="59"/>
      <c r="J1028" s="59">
        <v>1650.9</v>
      </c>
      <c r="K1028" s="59">
        <v>19673.080000000002</v>
      </c>
      <c r="L1028" s="60">
        <v>21323.98</v>
      </c>
      <c r="M1028" s="33"/>
      <c r="N1028" s="59">
        <v>19810.84</v>
      </c>
      <c r="O1028" s="59">
        <v>13603.68</v>
      </c>
      <c r="P1028" s="59">
        <v>872.4</v>
      </c>
      <c r="Q1028" s="59">
        <v>23910.400000000001</v>
      </c>
      <c r="R1028" s="59">
        <v>22259.5</v>
      </c>
      <c r="T1028" s="7">
        <f>5.8*12</f>
        <v>69.599999999999994</v>
      </c>
      <c r="V1028" s="76">
        <f>P1028+T1028</f>
        <v>942</v>
      </c>
    </row>
    <row r="1029" spans="1:22" s="7" customFormat="1" ht="9" customHeight="1" x14ac:dyDescent="0.2">
      <c r="A1029" s="520"/>
      <c r="B1029" s="520"/>
      <c r="C1029" s="62" t="s">
        <v>37</v>
      </c>
      <c r="D1029" s="63">
        <v>34</v>
      </c>
      <c r="E1029" s="64">
        <v>18054788</v>
      </c>
      <c r="F1029" s="65"/>
      <c r="G1029" s="65"/>
      <c r="H1029" s="64">
        <v>12018738</v>
      </c>
      <c r="I1029" s="64"/>
      <c r="J1029" s="66">
        <v>3196588</v>
      </c>
      <c r="K1029" s="64">
        <v>38092395</v>
      </c>
      <c r="L1029" s="64">
        <v>41288983</v>
      </c>
      <c r="M1029" s="39"/>
      <c r="N1029" s="65">
        <v>38359135</v>
      </c>
      <c r="O1029" s="65">
        <v>26340397</v>
      </c>
      <c r="P1029" s="65"/>
      <c r="Q1029" s="65">
        <v>46296990</v>
      </c>
      <c r="R1029" s="65">
        <v>43100402</v>
      </c>
      <c r="V1029" s="76"/>
    </row>
    <row r="1030" spans="1:22" s="7" customFormat="1" ht="12.75" customHeight="1" x14ac:dyDescent="0.2">
      <c r="A1030" s="520"/>
      <c r="B1030" s="520"/>
      <c r="C1030" s="68" t="s">
        <v>36</v>
      </c>
      <c r="D1030" s="69">
        <v>35</v>
      </c>
      <c r="E1030" s="59">
        <v>14767.71</v>
      </c>
      <c r="F1030" s="59"/>
      <c r="G1030" s="59"/>
      <c r="H1030" s="59">
        <v>6207.16</v>
      </c>
      <c r="I1030" s="59"/>
      <c r="J1030" s="59">
        <v>1695.7</v>
      </c>
      <c r="K1030" s="59">
        <v>20206.89</v>
      </c>
      <c r="L1030" s="60">
        <v>21902.59</v>
      </c>
      <c r="M1030" s="33"/>
      <c r="N1030" s="59">
        <v>20348.37</v>
      </c>
      <c r="O1030" s="59">
        <v>14141.21</v>
      </c>
      <c r="P1030" s="59">
        <v>872.4</v>
      </c>
      <c r="Q1030" s="59">
        <v>24589.49</v>
      </c>
      <c r="R1030" s="59">
        <v>22893.79</v>
      </c>
      <c r="T1030" s="7">
        <f>5.8*12</f>
        <v>69.599999999999994</v>
      </c>
      <c r="V1030" s="76">
        <f>P1030+T1030</f>
        <v>942</v>
      </c>
    </row>
    <row r="1031" spans="1:22" s="7" customFormat="1" ht="9" customHeight="1" x14ac:dyDescent="0.2">
      <c r="A1031" s="521"/>
      <c r="B1031" s="521"/>
      <c r="C1031" s="71" t="s">
        <v>37</v>
      </c>
      <c r="D1031" s="72"/>
      <c r="E1031" s="64">
        <v>18054788</v>
      </c>
      <c r="F1031" s="64"/>
      <c r="G1031" s="64"/>
      <c r="H1031" s="64">
        <v>12018738</v>
      </c>
      <c r="I1031" s="64"/>
      <c r="J1031" s="64">
        <v>3283333</v>
      </c>
      <c r="K1031" s="64">
        <v>39125995</v>
      </c>
      <c r="L1031" s="64">
        <v>42409328</v>
      </c>
      <c r="M1031" s="39"/>
      <c r="N1031" s="64">
        <v>39399938</v>
      </c>
      <c r="O1031" s="64">
        <v>27381201</v>
      </c>
      <c r="P1031" s="64">
        <v>1554438</v>
      </c>
      <c r="Q1031" s="64">
        <v>47611892</v>
      </c>
      <c r="R1031" s="187">
        <v>44328559</v>
      </c>
    </row>
    <row r="1032" spans="1:22" s="7" customFormat="1" ht="9" customHeight="1" x14ac:dyDescent="0.2">
      <c r="A1032" s="95"/>
      <c r="B1032" s="95"/>
      <c r="C1032" s="184"/>
      <c r="D1032" s="45"/>
      <c r="E1032" s="185"/>
      <c r="F1032" s="185"/>
      <c r="G1032" s="185"/>
      <c r="H1032" s="185"/>
      <c r="I1032" s="185"/>
      <c r="J1032" s="185"/>
      <c r="K1032" s="185"/>
      <c r="L1032" s="185"/>
      <c r="M1032" s="39"/>
      <c r="N1032" s="185"/>
      <c r="O1032" s="185"/>
      <c r="P1032" s="185"/>
      <c r="Q1032" s="185"/>
      <c r="R1032" s="188"/>
    </row>
    <row r="1033" spans="1:22" s="7" customFormat="1" ht="9" customHeight="1" x14ac:dyDescent="0.2">
      <c r="A1033" s="95"/>
      <c r="B1033" s="95"/>
      <c r="C1033" s="184"/>
      <c r="D1033" s="45"/>
      <c r="E1033" s="185"/>
      <c r="F1033" s="185"/>
      <c r="G1033" s="185"/>
      <c r="H1033" s="185"/>
      <c r="I1033" s="185"/>
      <c r="J1033" s="185"/>
      <c r="K1033" s="185"/>
      <c r="L1033" s="185"/>
      <c r="M1033" s="39"/>
      <c r="N1033" s="185"/>
      <c r="O1033" s="185"/>
      <c r="P1033" s="185"/>
      <c r="Q1033" s="185"/>
      <c r="R1033" s="188"/>
    </row>
    <row r="1034" spans="1:22" s="7" customFormat="1" ht="9" customHeight="1" x14ac:dyDescent="0.2">
      <c r="A1034" s="95"/>
      <c r="B1034" s="95"/>
      <c r="C1034" s="184"/>
      <c r="D1034" s="45"/>
      <c r="E1034" s="185"/>
      <c r="F1034" s="185"/>
      <c r="G1034" s="185"/>
      <c r="H1034" s="185"/>
      <c r="I1034" s="185"/>
      <c r="J1034" s="185"/>
      <c r="K1034" s="185"/>
      <c r="L1034" s="185"/>
      <c r="M1034" s="39"/>
      <c r="N1034" s="185"/>
      <c r="O1034" s="185"/>
      <c r="P1034" s="185"/>
      <c r="Q1034" s="185"/>
      <c r="R1034" s="188"/>
    </row>
    <row r="1035" spans="1:22" s="7" customFormat="1" ht="9" customHeight="1" x14ac:dyDescent="0.2">
      <c r="A1035" s="95"/>
      <c r="B1035" s="95"/>
      <c r="C1035" s="184"/>
      <c r="D1035" s="45"/>
      <c r="E1035" s="185"/>
      <c r="F1035" s="185"/>
      <c r="G1035" s="185"/>
      <c r="H1035" s="185"/>
      <c r="I1035" s="185"/>
      <c r="J1035" s="185"/>
      <c r="K1035" s="185"/>
      <c r="L1035" s="185"/>
      <c r="M1035" s="39"/>
      <c r="N1035" s="185"/>
      <c r="O1035" s="185"/>
      <c r="P1035" s="185"/>
      <c r="Q1035" s="185"/>
      <c r="R1035" s="188"/>
    </row>
    <row r="1036" spans="1:22" s="7" customFormat="1" ht="9" customHeight="1" x14ac:dyDescent="0.2">
      <c r="A1036" s="95"/>
      <c r="B1036" s="95"/>
      <c r="C1036" s="184"/>
      <c r="D1036" s="45"/>
      <c r="E1036" s="185"/>
      <c r="F1036" s="185"/>
      <c r="G1036" s="185"/>
      <c r="H1036" s="185"/>
      <c r="I1036" s="185"/>
      <c r="J1036" s="185"/>
      <c r="K1036" s="185"/>
      <c r="L1036" s="185"/>
      <c r="M1036" s="39"/>
      <c r="N1036" s="185"/>
      <c r="O1036" s="185"/>
      <c r="P1036" s="185"/>
      <c r="Q1036" s="185"/>
      <c r="R1036" s="188"/>
    </row>
    <row r="1037" spans="1:22" s="7" customFormat="1" ht="9" customHeight="1" x14ac:dyDescent="0.2">
      <c r="A1037" s="95"/>
      <c r="B1037" s="95"/>
      <c r="C1037" s="184"/>
      <c r="D1037" s="45"/>
      <c r="E1037" s="185"/>
      <c r="F1037" s="185"/>
      <c r="G1037" s="185"/>
      <c r="H1037" s="185"/>
      <c r="I1037" s="185"/>
      <c r="J1037" s="185"/>
      <c r="K1037" s="185"/>
      <c r="L1037" s="185"/>
      <c r="M1037" s="39"/>
      <c r="N1037" s="185"/>
      <c r="O1037" s="185"/>
      <c r="P1037" s="185"/>
      <c r="Q1037" s="185"/>
      <c r="R1037" s="188"/>
    </row>
    <row r="1038" spans="1:22" s="7" customFormat="1" ht="9" customHeight="1" x14ac:dyDescent="0.2">
      <c r="A1038" s="95"/>
      <c r="B1038" s="95"/>
      <c r="C1038" s="184"/>
      <c r="D1038" s="45"/>
      <c r="E1038" s="185"/>
      <c r="F1038" s="185"/>
      <c r="G1038" s="185"/>
      <c r="H1038" s="185"/>
      <c r="I1038" s="185"/>
      <c r="J1038" s="185"/>
      <c r="K1038" s="185"/>
      <c r="L1038" s="185"/>
      <c r="M1038" s="39"/>
      <c r="N1038" s="185"/>
      <c r="O1038" s="185"/>
      <c r="P1038" s="185"/>
      <c r="Q1038" s="185"/>
      <c r="R1038" s="188"/>
    </row>
    <row r="1039" spans="1:22" s="7" customFormat="1" ht="9" customHeight="1" x14ac:dyDescent="0.2">
      <c r="A1039" s="95"/>
      <c r="B1039" s="95"/>
      <c r="C1039" s="184"/>
      <c r="D1039" s="45"/>
      <c r="E1039" s="185"/>
      <c r="F1039" s="185"/>
      <c r="G1039" s="185"/>
      <c r="H1039" s="185"/>
      <c r="I1039" s="185"/>
      <c r="J1039" s="185"/>
      <c r="K1039" s="185"/>
      <c r="L1039" s="185"/>
      <c r="M1039" s="39"/>
      <c r="N1039" s="185"/>
      <c r="O1039" s="185"/>
      <c r="P1039" s="185"/>
      <c r="Q1039" s="185"/>
      <c r="R1039" s="188"/>
    </row>
    <row r="1040" spans="1:22" s="7" customFormat="1" ht="12.75" customHeight="1" x14ac:dyDescent="0.2">
      <c r="A1040" s="522">
        <v>44652</v>
      </c>
      <c r="B1040" s="522">
        <v>44742</v>
      </c>
      <c r="C1040" s="57" t="s">
        <v>36</v>
      </c>
      <c r="D1040" s="58">
        <v>0</v>
      </c>
      <c r="E1040" s="59">
        <v>9912.56</v>
      </c>
      <c r="F1040" s="59"/>
      <c r="G1040" s="59"/>
      <c r="H1040" s="59">
        <v>6207.16</v>
      </c>
      <c r="I1040" s="59">
        <f>ROUND(           (  E1040+H1040) *0.003,2)</f>
        <v>48.36</v>
      </c>
      <c r="J1040" s="59">
        <v>1303.3699999999999</v>
      </c>
      <c r="K1040" s="59">
        <v>15640.4</v>
      </c>
      <c r="L1040" s="60">
        <v>16943.77</v>
      </c>
      <c r="M1040" s="33"/>
      <c r="N1040" s="59">
        <v>15640.4</v>
      </c>
      <c r="O1040" s="59">
        <v>9433.24</v>
      </c>
      <c r="P1040" s="59">
        <v>872.4</v>
      </c>
      <c r="Q1040" s="59">
        <v>18641.75</v>
      </c>
      <c r="R1040" s="59">
        <v>17338.38</v>
      </c>
      <c r="T1040" s="7">
        <f>5.8*12</f>
        <v>69.599999999999994</v>
      </c>
      <c r="V1040" s="76">
        <f>P1040+T1040</f>
        <v>942</v>
      </c>
    </row>
    <row r="1041" spans="1:22" s="7" customFormat="1" ht="9" customHeight="1" x14ac:dyDescent="0.2">
      <c r="A1041" s="523"/>
      <c r="B1041" s="523"/>
      <c r="C1041" s="62" t="s">
        <v>37</v>
      </c>
      <c r="D1041" s="63">
        <v>8</v>
      </c>
      <c r="E1041" s="64">
        <v>18054788</v>
      </c>
      <c r="F1041" s="65"/>
      <c r="G1041" s="65"/>
      <c r="H1041" s="64">
        <v>12018738</v>
      </c>
      <c r="I1041" s="64"/>
      <c r="J1041" s="66">
        <v>2523676</v>
      </c>
      <c r="K1041" s="66">
        <v>30284037</v>
      </c>
      <c r="L1041" s="64">
        <v>32807714</v>
      </c>
      <c r="M1041" s="39"/>
      <c r="N1041" s="65">
        <v>30284037</v>
      </c>
      <c r="O1041" s="65">
        <v>18265300</v>
      </c>
      <c r="P1041" s="65"/>
      <c r="Q1041" s="65">
        <v>36095461</v>
      </c>
      <c r="R1041" s="65">
        <v>33571785</v>
      </c>
      <c r="V1041" s="76"/>
    </row>
    <row r="1042" spans="1:22" s="7" customFormat="1" ht="12.75" customHeight="1" x14ac:dyDescent="0.2">
      <c r="A1042" s="520">
        <f>A1040</f>
        <v>44652</v>
      </c>
      <c r="B1042" s="520">
        <f>B1040</f>
        <v>44742</v>
      </c>
      <c r="C1042" s="68" t="s">
        <v>36</v>
      </c>
      <c r="D1042" s="69">
        <v>9</v>
      </c>
      <c r="E1042" s="59">
        <v>11347.41</v>
      </c>
      <c r="F1042" s="59"/>
      <c r="G1042" s="59"/>
      <c r="H1042" s="59">
        <v>6207.16</v>
      </c>
      <c r="I1042" s="59">
        <f>ROUND(           (  E1042+H1042) *0.003,2)</f>
        <v>52.66</v>
      </c>
      <c r="J1042" s="59">
        <v>1419.75</v>
      </c>
      <c r="K1042" s="59">
        <v>16918.52</v>
      </c>
      <c r="L1042" s="60">
        <v>18338.27</v>
      </c>
      <c r="M1042" s="33"/>
      <c r="N1042" s="59">
        <v>17036.96</v>
      </c>
      <c r="O1042" s="59">
        <v>10829.8</v>
      </c>
      <c r="P1042" s="59">
        <v>872.4</v>
      </c>
      <c r="Q1042" s="59">
        <v>20406.07</v>
      </c>
      <c r="R1042" s="59">
        <v>18986.32</v>
      </c>
      <c r="T1042" s="7">
        <f>5.8*12</f>
        <v>69.599999999999994</v>
      </c>
      <c r="V1042" s="76">
        <f>P1042+T1042</f>
        <v>942</v>
      </c>
    </row>
    <row r="1043" spans="1:22" s="7" customFormat="1" ht="9" customHeight="1" x14ac:dyDescent="0.2">
      <c r="A1043" s="520"/>
      <c r="B1043" s="520"/>
      <c r="C1043" s="62" t="s">
        <v>37</v>
      </c>
      <c r="D1043" s="63">
        <v>14</v>
      </c>
      <c r="E1043" s="64">
        <v>18054788</v>
      </c>
      <c r="F1043" s="65"/>
      <c r="G1043" s="65"/>
      <c r="H1043" s="64">
        <v>12018738</v>
      </c>
      <c r="I1043" s="64"/>
      <c r="J1043" s="66">
        <v>2749019</v>
      </c>
      <c r="K1043" s="64">
        <v>32758823</v>
      </c>
      <c r="L1043" s="64">
        <v>35507842</v>
      </c>
      <c r="M1043" s="39"/>
      <c r="N1043" s="65">
        <v>32988155</v>
      </c>
      <c r="O1043" s="65">
        <v>20969417</v>
      </c>
      <c r="P1043" s="65"/>
      <c r="Q1043" s="65">
        <v>39511661</v>
      </c>
      <c r="R1043" s="65">
        <v>36762642</v>
      </c>
      <c r="V1043" s="76"/>
    </row>
    <row r="1044" spans="1:22" s="7" customFormat="1" ht="12.75" customHeight="1" x14ac:dyDescent="0.2">
      <c r="A1044" s="520"/>
      <c r="B1044" s="520"/>
      <c r="C1044" s="68" t="s">
        <v>36</v>
      </c>
      <c r="D1044" s="69">
        <v>15</v>
      </c>
      <c r="E1044" s="59">
        <v>12398.54</v>
      </c>
      <c r="F1044" s="59"/>
      <c r="G1044" s="59"/>
      <c r="H1044" s="59">
        <v>6207.16</v>
      </c>
      <c r="I1044" s="59">
        <f>ROUND(           (  E1044+H1044) *0.003,2)</f>
        <v>55.82</v>
      </c>
      <c r="J1044" s="59">
        <v>1504.94</v>
      </c>
      <c r="K1044" s="59">
        <v>17933.73</v>
      </c>
      <c r="L1044" s="60">
        <v>19438.669999999998</v>
      </c>
      <c r="M1044" s="33"/>
      <c r="N1044" s="59">
        <v>18059.25</v>
      </c>
      <c r="O1044" s="59">
        <v>11852.09</v>
      </c>
      <c r="P1044" s="59">
        <v>872.4</v>
      </c>
      <c r="Q1044" s="59">
        <v>21697.57</v>
      </c>
      <c r="R1044" s="59">
        <v>20192.63</v>
      </c>
      <c r="T1044" s="7">
        <f>5.8*12</f>
        <v>69.599999999999994</v>
      </c>
      <c r="V1044" s="76">
        <f>P1044+T1044</f>
        <v>942</v>
      </c>
    </row>
    <row r="1045" spans="1:22" s="7" customFormat="1" ht="9" customHeight="1" x14ac:dyDescent="0.2">
      <c r="A1045" s="520"/>
      <c r="B1045" s="520"/>
      <c r="C1045" s="62" t="s">
        <v>37</v>
      </c>
      <c r="D1045" s="63">
        <v>20</v>
      </c>
      <c r="E1045" s="64">
        <v>18054788</v>
      </c>
      <c r="F1045" s="65"/>
      <c r="G1045" s="65"/>
      <c r="H1045" s="64">
        <v>12018738</v>
      </c>
      <c r="I1045" s="64"/>
      <c r="J1045" s="66">
        <v>2913970</v>
      </c>
      <c r="K1045" s="64">
        <v>34724543</v>
      </c>
      <c r="L1045" s="64">
        <v>37638514</v>
      </c>
      <c r="M1045" s="39"/>
      <c r="N1045" s="65">
        <v>34967584</v>
      </c>
      <c r="O1045" s="65">
        <v>22948846</v>
      </c>
      <c r="P1045" s="65"/>
      <c r="Q1045" s="65">
        <v>42012354</v>
      </c>
      <c r="R1045" s="65">
        <v>39098384</v>
      </c>
      <c r="V1045" s="76"/>
    </row>
    <row r="1046" spans="1:22" s="7" customFormat="1" ht="12.75" customHeight="1" x14ac:dyDescent="0.2">
      <c r="A1046" s="520"/>
      <c r="B1046" s="520"/>
      <c r="C1046" s="68" t="s">
        <v>36</v>
      </c>
      <c r="D1046" s="69">
        <v>21</v>
      </c>
      <c r="E1046" s="59">
        <v>13434.71</v>
      </c>
      <c r="F1046" s="59"/>
      <c r="G1046" s="59"/>
      <c r="H1046" s="59">
        <v>6207.16</v>
      </c>
      <c r="I1046" s="59">
        <f>ROUND(           (  E1046+H1046) *0.003,2)</f>
        <v>58.93</v>
      </c>
      <c r="J1046" s="59">
        <v>1587.86</v>
      </c>
      <c r="K1046" s="59">
        <v>18921.79</v>
      </c>
      <c r="L1046" s="60">
        <v>20509.650000000001</v>
      </c>
      <c r="M1046" s="33"/>
      <c r="N1046" s="59">
        <v>19054.27</v>
      </c>
      <c r="O1046" s="59">
        <v>12847.11</v>
      </c>
      <c r="P1046" s="59">
        <v>872.4</v>
      </c>
      <c r="Q1046" s="59">
        <v>22954.61</v>
      </c>
      <c r="R1046" s="59">
        <v>21366.75</v>
      </c>
      <c r="T1046" s="7">
        <f>5.8*12</f>
        <v>69.599999999999994</v>
      </c>
      <c r="V1046" s="76">
        <f>P1046+T1046</f>
        <v>942</v>
      </c>
    </row>
    <row r="1047" spans="1:22" s="7" customFormat="1" ht="9" customHeight="1" x14ac:dyDescent="0.2">
      <c r="A1047" s="520"/>
      <c r="B1047" s="520"/>
      <c r="C1047" s="62" t="s">
        <v>37</v>
      </c>
      <c r="D1047" s="63">
        <v>27</v>
      </c>
      <c r="E1047" s="64">
        <v>18054788</v>
      </c>
      <c r="F1047" s="65"/>
      <c r="G1047" s="65"/>
      <c r="H1047" s="64">
        <v>12018738</v>
      </c>
      <c r="I1047" s="64"/>
      <c r="J1047" s="66">
        <v>3074526</v>
      </c>
      <c r="K1047" s="64">
        <v>36637694</v>
      </c>
      <c r="L1047" s="64">
        <v>39712220</v>
      </c>
      <c r="M1047" s="39"/>
      <c r="N1047" s="65">
        <v>36894211</v>
      </c>
      <c r="O1047" s="65">
        <v>24875474</v>
      </c>
      <c r="P1047" s="65"/>
      <c r="Q1047" s="65">
        <v>44446323</v>
      </c>
      <c r="R1047" s="65">
        <v>41371797</v>
      </c>
      <c r="V1047" s="76"/>
    </row>
    <row r="1048" spans="1:22" s="7" customFormat="1" ht="12.75" customHeight="1" x14ac:dyDescent="0.2">
      <c r="A1048" s="520"/>
      <c r="B1048" s="520"/>
      <c r="C1048" s="68" t="s">
        <v>36</v>
      </c>
      <c r="D1048" s="69">
        <v>28</v>
      </c>
      <c r="E1048" s="59">
        <v>14209.93</v>
      </c>
      <c r="F1048" s="59"/>
      <c r="G1048" s="59"/>
      <c r="H1048" s="59">
        <v>6207.16</v>
      </c>
      <c r="I1048" s="59">
        <f>ROUND(           (  E1048+H1048) *0.003,2)</f>
        <v>61.25</v>
      </c>
      <c r="J1048" s="59">
        <v>1650.9</v>
      </c>
      <c r="K1048" s="59">
        <v>19673.080000000002</v>
      </c>
      <c r="L1048" s="60">
        <v>21323.98</v>
      </c>
      <c r="M1048" s="33"/>
      <c r="N1048" s="59">
        <v>19810.84</v>
      </c>
      <c r="O1048" s="59">
        <v>13603.68</v>
      </c>
      <c r="P1048" s="59">
        <v>872.4</v>
      </c>
      <c r="Q1048" s="59">
        <v>23910.400000000001</v>
      </c>
      <c r="R1048" s="59">
        <v>22259.5</v>
      </c>
      <c r="T1048" s="7">
        <f>5.8*12</f>
        <v>69.599999999999994</v>
      </c>
      <c r="V1048" s="76">
        <f>P1048+T1048</f>
        <v>942</v>
      </c>
    </row>
    <row r="1049" spans="1:22" s="7" customFormat="1" ht="9" customHeight="1" x14ac:dyDescent="0.2">
      <c r="A1049" s="520"/>
      <c r="B1049" s="520"/>
      <c r="C1049" s="62" t="s">
        <v>37</v>
      </c>
      <c r="D1049" s="63">
        <v>34</v>
      </c>
      <c r="E1049" s="64">
        <v>18054788</v>
      </c>
      <c r="F1049" s="65"/>
      <c r="G1049" s="65"/>
      <c r="H1049" s="64">
        <v>12018738</v>
      </c>
      <c r="I1049" s="64"/>
      <c r="J1049" s="66">
        <v>3196588</v>
      </c>
      <c r="K1049" s="64">
        <v>38092395</v>
      </c>
      <c r="L1049" s="64">
        <v>41288983</v>
      </c>
      <c r="M1049" s="39"/>
      <c r="N1049" s="65">
        <v>38359135</v>
      </c>
      <c r="O1049" s="65">
        <v>26340397</v>
      </c>
      <c r="P1049" s="65"/>
      <c r="Q1049" s="65">
        <v>46296990</v>
      </c>
      <c r="R1049" s="65">
        <v>43100402</v>
      </c>
      <c r="V1049" s="76"/>
    </row>
    <row r="1050" spans="1:22" s="7" customFormat="1" ht="12.75" customHeight="1" x14ac:dyDescent="0.2">
      <c r="A1050" s="520"/>
      <c r="B1050" s="520"/>
      <c r="C1050" s="68" t="s">
        <v>36</v>
      </c>
      <c r="D1050" s="69">
        <v>35</v>
      </c>
      <c r="E1050" s="59">
        <v>14767.71</v>
      </c>
      <c r="F1050" s="59"/>
      <c r="G1050" s="59"/>
      <c r="H1050" s="59">
        <v>6207.16</v>
      </c>
      <c r="I1050" s="59">
        <f>ROUND(           (  E1050+H1050) *0.003,2)</f>
        <v>62.92</v>
      </c>
      <c r="J1050" s="59">
        <v>1695.7</v>
      </c>
      <c r="K1050" s="59">
        <v>20206.89</v>
      </c>
      <c r="L1050" s="60">
        <v>21902.59</v>
      </c>
      <c r="M1050" s="33"/>
      <c r="N1050" s="59">
        <v>20348.37</v>
      </c>
      <c r="O1050" s="59">
        <v>14141.21</v>
      </c>
      <c r="P1050" s="59">
        <v>872.4</v>
      </c>
      <c r="Q1050" s="59">
        <v>24589.49</v>
      </c>
      <c r="R1050" s="59">
        <v>22893.79</v>
      </c>
      <c r="T1050" s="7">
        <f>5.8*12</f>
        <v>69.599999999999994</v>
      </c>
      <c r="V1050" s="76">
        <f>P1050+T1050</f>
        <v>942</v>
      </c>
    </row>
    <row r="1051" spans="1:22" s="7" customFormat="1" ht="9" customHeight="1" x14ac:dyDescent="0.2">
      <c r="A1051" s="521"/>
      <c r="B1051" s="521"/>
      <c r="C1051" s="71" t="s">
        <v>37</v>
      </c>
      <c r="D1051" s="72"/>
      <c r="E1051" s="64">
        <v>18054788</v>
      </c>
      <c r="F1051" s="64"/>
      <c r="G1051" s="64"/>
      <c r="H1051" s="64">
        <v>12018738</v>
      </c>
      <c r="I1051" s="64"/>
      <c r="J1051" s="64">
        <v>3283333</v>
      </c>
      <c r="K1051" s="64">
        <v>39125995</v>
      </c>
      <c r="L1051" s="64">
        <v>42409328</v>
      </c>
      <c r="M1051" s="39"/>
      <c r="N1051" s="64">
        <v>39399938</v>
      </c>
      <c r="O1051" s="64">
        <v>27381201</v>
      </c>
      <c r="P1051" s="64">
        <v>1554438</v>
      </c>
      <c r="Q1051" s="64">
        <v>47611892</v>
      </c>
      <c r="R1051" s="187">
        <v>44328559</v>
      </c>
    </row>
    <row r="1052" spans="1:22" s="7" customFormat="1" ht="9" customHeight="1" x14ac:dyDescent="0.2">
      <c r="A1052" s="95"/>
      <c r="B1052" s="95"/>
      <c r="C1052" s="184"/>
      <c r="D1052" s="45"/>
      <c r="E1052" s="185"/>
      <c r="F1052" s="185"/>
      <c r="G1052" s="185"/>
      <c r="H1052" s="185"/>
      <c r="I1052" s="96"/>
      <c r="J1052" s="185"/>
      <c r="K1052" s="185"/>
      <c r="L1052" s="185"/>
      <c r="M1052" s="39"/>
      <c r="N1052" s="185"/>
      <c r="O1052" s="185"/>
      <c r="P1052" s="185"/>
      <c r="Q1052" s="185"/>
      <c r="R1052" s="188"/>
    </row>
    <row r="1053" spans="1:22" s="7" customFormat="1" ht="9" customHeight="1" x14ac:dyDescent="0.2">
      <c r="A1053" s="95"/>
      <c r="B1053" s="95"/>
      <c r="C1053" s="184"/>
      <c r="D1053" s="45"/>
      <c r="E1053" s="185"/>
      <c r="F1053" s="185"/>
      <c r="G1053" s="185"/>
      <c r="H1053" s="185"/>
      <c r="I1053" s="96"/>
      <c r="J1053" s="185"/>
      <c r="K1053" s="185"/>
      <c r="L1053" s="185"/>
      <c r="M1053" s="39"/>
      <c r="N1053" s="185"/>
      <c r="O1053" s="185"/>
      <c r="P1053" s="185"/>
      <c r="Q1053" s="185"/>
      <c r="R1053" s="188"/>
    </row>
    <row r="1054" spans="1:22" s="7" customFormat="1" ht="9" customHeight="1" x14ac:dyDescent="0.2">
      <c r="A1054" s="95"/>
      <c r="B1054" s="95"/>
      <c r="C1054" s="184"/>
      <c r="D1054" s="45"/>
      <c r="E1054" s="185"/>
      <c r="F1054" s="185"/>
      <c r="G1054" s="185"/>
      <c r="H1054" s="185"/>
      <c r="I1054" s="96"/>
      <c r="J1054" s="185"/>
      <c r="K1054" s="185"/>
      <c r="L1054" s="185"/>
      <c r="M1054" s="39"/>
      <c r="N1054" s="185"/>
      <c r="O1054" s="185"/>
      <c r="P1054" s="185"/>
      <c r="Q1054" s="185"/>
      <c r="R1054" s="188"/>
    </row>
    <row r="1055" spans="1:22" s="7" customFormat="1" ht="9" customHeight="1" x14ac:dyDescent="0.2">
      <c r="A1055" s="95"/>
      <c r="B1055" s="95"/>
      <c r="C1055" s="184"/>
      <c r="D1055" s="45"/>
      <c r="E1055" s="185"/>
      <c r="F1055" s="185"/>
      <c r="G1055" s="185"/>
      <c r="H1055" s="185"/>
      <c r="I1055" s="96"/>
      <c r="J1055" s="185"/>
      <c r="K1055" s="185"/>
      <c r="L1055" s="185"/>
      <c r="M1055" s="39"/>
      <c r="N1055" s="185"/>
      <c r="O1055" s="185"/>
      <c r="P1055" s="185"/>
      <c r="Q1055" s="185"/>
      <c r="R1055" s="188"/>
    </row>
    <row r="1056" spans="1:22" s="7" customFormat="1" ht="9" customHeight="1" x14ac:dyDescent="0.2">
      <c r="A1056" s="95"/>
      <c r="B1056" s="95"/>
      <c r="C1056" s="184"/>
      <c r="D1056" s="45"/>
      <c r="E1056" s="185"/>
      <c r="F1056" s="185"/>
      <c r="G1056" s="185"/>
      <c r="H1056" s="185"/>
      <c r="I1056" s="96"/>
      <c r="J1056" s="185"/>
      <c r="K1056" s="185"/>
      <c r="L1056" s="185"/>
      <c r="M1056" s="39"/>
      <c r="N1056" s="185"/>
      <c r="O1056" s="185"/>
      <c r="P1056" s="185"/>
      <c r="Q1056" s="185"/>
      <c r="R1056" s="188"/>
    </row>
    <row r="1057" spans="1:22" s="7" customFormat="1" ht="9" customHeight="1" x14ac:dyDescent="0.2">
      <c r="A1057" s="95"/>
      <c r="B1057" s="95"/>
      <c r="C1057" s="184"/>
      <c r="D1057" s="45"/>
      <c r="E1057" s="185"/>
      <c r="F1057" s="185"/>
      <c r="G1057" s="185"/>
      <c r="H1057" s="185"/>
      <c r="I1057" s="96"/>
      <c r="J1057" s="185"/>
      <c r="K1057" s="185"/>
      <c r="L1057" s="185"/>
      <c r="M1057" s="39"/>
      <c r="N1057" s="185"/>
      <c r="O1057" s="185"/>
      <c r="P1057" s="185"/>
      <c r="Q1057" s="185"/>
      <c r="R1057" s="188"/>
    </row>
    <row r="1058" spans="1:22" s="7" customFormat="1" ht="9" customHeight="1" x14ac:dyDescent="0.2">
      <c r="A1058" s="95"/>
      <c r="B1058" s="95"/>
      <c r="C1058" s="184"/>
      <c r="D1058" s="45"/>
      <c r="E1058" s="185"/>
      <c r="F1058" s="185"/>
      <c r="G1058" s="185"/>
      <c r="H1058" s="185"/>
      <c r="I1058" s="96"/>
      <c r="J1058" s="185"/>
      <c r="K1058" s="185"/>
      <c r="L1058" s="185"/>
      <c r="M1058" s="39"/>
      <c r="N1058" s="185"/>
      <c r="O1058" s="185"/>
      <c r="P1058" s="185"/>
      <c r="Q1058" s="185"/>
      <c r="R1058" s="188"/>
    </row>
    <row r="1059" spans="1:22" s="7" customFormat="1" ht="9" customHeight="1" x14ac:dyDescent="0.2">
      <c r="A1059" s="95"/>
      <c r="B1059" s="95"/>
      <c r="C1059" s="184"/>
      <c r="D1059" s="45"/>
      <c r="E1059" s="185"/>
      <c r="F1059" s="185"/>
      <c r="G1059" s="185"/>
      <c r="H1059" s="185"/>
      <c r="I1059" s="96"/>
      <c r="J1059" s="185"/>
      <c r="K1059" s="185"/>
      <c r="L1059" s="185"/>
      <c r="M1059" s="39"/>
      <c r="N1059" s="185"/>
      <c r="O1059" s="185"/>
      <c r="P1059" s="185"/>
      <c r="Q1059" s="185"/>
      <c r="R1059" s="188"/>
    </row>
    <row r="1060" spans="1:22" s="7" customFormat="1" ht="12.75" customHeight="1" x14ac:dyDescent="0.2">
      <c r="A1060" s="522">
        <v>44743</v>
      </c>
      <c r="B1060" s="522">
        <v>45291</v>
      </c>
      <c r="C1060" s="57" t="s">
        <v>36</v>
      </c>
      <c r="D1060" s="58">
        <v>0</v>
      </c>
      <c r="E1060" s="59">
        <v>9912.56</v>
      </c>
      <c r="F1060" s="59"/>
      <c r="G1060" s="59"/>
      <c r="H1060" s="59">
        <v>6207.16</v>
      </c>
      <c r="I1060" s="59">
        <f>ROUND(           (  E1060+H1060) *0.005,2)</f>
        <v>80.599999999999994</v>
      </c>
      <c r="J1060" s="59">
        <v>1303.3699999999999</v>
      </c>
      <c r="K1060" s="59">
        <v>15640.4</v>
      </c>
      <c r="L1060" s="60">
        <v>16943.77</v>
      </c>
      <c r="M1060" s="33"/>
      <c r="N1060" s="59">
        <v>15640.4</v>
      </c>
      <c r="O1060" s="59">
        <v>9433.24</v>
      </c>
      <c r="P1060" s="59">
        <v>872.4</v>
      </c>
      <c r="Q1060" s="59">
        <v>18641.75</v>
      </c>
      <c r="R1060" s="59">
        <v>17338.38</v>
      </c>
      <c r="T1060" s="7">
        <f>5.8*12</f>
        <v>69.599999999999994</v>
      </c>
      <c r="V1060" s="76">
        <f>P1060+T1060</f>
        <v>942</v>
      </c>
    </row>
    <row r="1061" spans="1:22" s="7" customFormat="1" ht="9" customHeight="1" x14ac:dyDescent="0.2">
      <c r="A1061" s="523"/>
      <c r="B1061" s="523"/>
      <c r="C1061" s="62" t="s">
        <v>37</v>
      </c>
      <c r="D1061" s="63">
        <v>8</v>
      </c>
      <c r="E1061" s="64">
        <v>18054788</v>
      </c>
      <c r="F1061" s="65"/>
      <c r="G1061" s="65"/>
      <c r="H1061" s="64">
        <v>12018738</v>
      </c>
      <c r="I1061" s="64"/>
      <c r="J1061" s="66">
        <v>2523676</v>
      </c>
      <c r="K1061" s="66">
        <v>30284037</v>
      </c>
      <c r="L1061" s="64">
        <v>32807714</v>
      </c>
      <c r="M1061" s="39"/>
      <c r="N1061" s="65">
        <v>30284037</v>
      </c>
      <c r="O1061" s="65">
        <v>18265300</v>
      </c>
      <c r="P1061" s="65"/>
      <c r="Q1061" s="65">
        <v>36095461</v>
      </c>
      <c r="R1061" s="65">
        <v>33571785</v>
      </c>
      <c r="V1061" s="76"/>
    </row>
    <row r="1062" spans="1:22" s="7" customFormat="1" ht="12.75" customHeight="1" x14ac:dyDescent="0.2">
      <c r="A1062" s="520">
        <f>A1060</f>
        <v>44743</v>
      </c>
      <c r="B1062" s="520">
        <f>B1060</f>
        <v>45291</v>
      </c>
      <c r="C1062" s="68" t="s">
        <v>36</v>
      </c>
      <c r="D1062" s="69">
        <v>9</v>
      </c>
      <c r="E1062" s="59">
        <v>11347.41</v>
      </c>
      <c r="F1062" s="59"/>
      <c r="G1062" s="59"/>
      <c r="H1062" s="59">
        <v>6207.16</v>
      </c>
      <c r="I1062" s="59">
        <f>ROUND(           (  E1062+H1062) *0.005,2)</f>
        <v>87.77</v>
      </c>
      <c r="J1062" s="59">
        <v>1419.75</v>
      </c>
      <c r="K1062" s="59">
        <v>16918.52</v>
      </c>
      <c r="L1062" s="60">
        <v>18338.27</v>
      </c>
      <c r="M1062" s="33"/>
      <c r="N1062" s="59">
        <v>17036.96</v>
      </c>
      <c r="O1062" s="59">
        <v>10829.8</v>
      </c>
      <c r="P1062" s="59">
        <v>872.4</v>
      </c>
      <c r="Q1062" s="59">
        <v>20406.07</v>
      </c>
      <c r="R1062" s="59">
        <v>18986.32</v>
      </c>
      <c r="T1062" s="7">
        <f>5.8*12</f>
        <v>69.599999999999994</v>
      </c>
      <c r="V1062" s="76">
        <f>P1062+T1062</f>
        <v>942</v>
      </c>
    </row>
    <row r="1063" spans="1:22" s="7" customFormat="1" ht="9" customHeight="1" x14ac:dyDescent="0.2">
      <c r="A1063" s="520"/>
      <c r="B1063" s="520"/>
      <c r="C1063" s="62" t="s">
        <v>37</v>
      </c>
      <c r="D1063" s="63">
        <v>14</v>
      </c>
      <c r="E1063" s="64">
        <v>18054788</v>
      </c>
      <c r="F1063" s="65"/>
      <c r="G1063" s="65"/>
      <c r="H1063" s="64">
        <v>12018738</v>
      </c>
      <c r="I1063" s="64"/>
      <c r="J1063" s="66">
        <v>2749019</v>
      </c>
      <c r="K1063" s="64">
        <v>32758823</v>
      </c>
      <c r="L1063" s="64">
        <v>35507842</v>
      </c>
      <c r="M1063" s="39"/>
      <c r="N1063" s="65">
        <v>32988155</v>
      </c>
      <c r="O1063" s="65">
        <v>20969417</v>
      </c>
      <c r="P1063" s="65"/>
      <c r="Q1063" s="65">
        <v>39511661</v>
      </c>
      <c r="R1063" s="65">
        <v>36762642</v>
      </c>
      <c r="V1063" s="76"/>
    </row>
    <row r="1064" spans="1:22" s="7" customFormat="1" ht="12.75" customHeight="1" x14ac:dyDescent="0.2">
      <c r="A1064" s="520"/>
      <c r="B1064" s="520"/>
      <c r="C1064" s="68" t="s">
        <v>36</v>
      </c>
      <c r="D1064" s="69">
        <v>15</v>
      </c>
      <c r="E1064" s="59">
        <v>12398.54</v>
      </c>
      <c r="F1064" s="59"/>
      <c r="G1064" s="59"/>
      <c r="H1064" s="59">
        <v>6207.16</v>
      </c>
      <c r="I1064" s="59">
        <f>ROUND(           (  E1064+H1064) *0.005,2)</f>
        <v>93.03</v>
      </c>
      <c r="J1064" s="59">
        <v>1504.94</v>
      </c>
      <c r="K1064" s="59">
        <v>17933.73</v>
      </c>
      <c r="L1064" s="60">
        <v>19438.669999999998</v>
      </c>
      <c r="M1064" s="33"/>
      <c r="N1064" s="59">
        <v>18059.25</v>
      </c>
      <c r="O1064" s="59">
        <v>11852.09</v>
      </c>
      <c r="P1064" s="59">
        <v>872.4</v>
      </c>
      <c r="Q1064" s="59">
        <v>21697.57</v>
      </c>
      <c r="R1064" s="59">
        <v>20192.63</v>
      </c>
      <c r="T1064" s="7">
        <f>5.8*12</f>
        <v>69.599999999999994</v>
      </c>
      <c r="V1064" s="76">
        <f>P1064+T1064</f>
        <v>942</v>
      </c>
    </row>
    <row r="1065" spans="1:22" s="7" customFormat="1" ht="9" customHeight="1" x14ac:dyDescent="0.2">
      <c r="A1065" s="520"/>
      <c r="B1065" s="520"/>
      <c r="C1065" s="62" t="s">
        <v>37</v>
      </c>
      <c r="D1065" s="63">
        <v>20</v>
      </c>
      <c r="E1065" s="64">
        <v>18054788</v>
      </c>
      <c r="F1065" s="65"/>
      <c r="G1065" s="65"/>
      <c r="H1065" s="64">
        <v>12018738</v>
      </c>
      <c r="I1065" s="64"/>
      <c r="J1065" s="66">
        <v>2913970</v>
      </c>
      <c r="K1065" s="64">
        <v>34724543</v>
      </c>
      <c r="L1065" s="64">
        <v>37638514</v>
      </c>
      <c r="M1065" s="39"/>
      <c r="N1065" s="65">
        <v>34967584</v>
      </c>
      <c r="O1065" s="65">
        <v>22948846</v>
      </c>
      <c r="P1065" s="65"/>
      <c r="Q1065" s="65">
        <v>42012354</v>
      </c>
      <c r="R1065" s="65">
        <v>39098384</v>
      </c>
      <c r="V1065" s="76"/>
    </row>
    <row r="1066" spans="1:22" s="7" customFormat="1" ht="12.75" customHeight="1" x14ac:dyDescent="0.2">
      <c r="A1066" s="520"/>
      <c r="B1066" s="520"/>
      <c r="C1066" s="68" t="s">
        <v>36</v>
      </c>
      <c r="D1066" s="69">
        <v>21</v>
      </c>
      <c r="E1066" s="59">
        <v>13434.71</v>
      </c>
      <c r="F1066" s="59"/>
      <c r="G1066" s="59"/>
      <c r="H1066" s="59">
        <v>6207.16</v>
      </c>
      <c r="I1066" s="59">
        <f>ROUND(           (  E1066+H1066) *0.005,2)</f>
        <v>98.21</v>
      </c>
      <c r="J1066" s="59">
        <v>1587.86</v>
      </c>
      <c r="K1066" s="59">
        <v>18921.79</v>
      </c>
      <c r="L1066" s="60">
        <v>20509.650000000001</v>
      </c>
      <c r="M1066" s="33"/>
      <c r="N1066" s="59">
        <v>19054.27</v>
      </c>
      <c r="O1066" s="59">
        <v>12847.11</v>
      </c>
      <c r="P1066" s="59">
        <v>872.4</v>
      </c>
      <c r="Q1066" s="59">
        <v>22954.61</v>
      </c>
      <c r="R1066" s="59">
        <v>21366.75</v>
      </c>
      <c r="T1066" s="7">
        <f>5.8*12</f>
        <v>69.599999999999994</v>
      </c>
      <c r="V1066" s="76">
        <f>P1066+T1066</f>
        <v>942</v>
      </c>
    </row>
    <row r="1067" spans="1:22" s="7" customFormat="1" ht="9" customHeight="1" x14ac:dyDescent="0.2">
      <c r="A1067" s="520"/>
      <c r="B1067" s="520"/>
      <c r="C1067" s="62" t="s">
        <v>37</v>
      </c>
      <c r="D1067" s="63">
        <v>27</v>
      </c>
      <c r="E1067" s="64">
        <v>18054788</v>
      </c>
      <c r="F1067" s="65"/>
      <c r="G1067" s="65"/>
      <c r="H1067" s="64">
        <v>12018738</v>
      </c>
      <c r="I1067" s="64"/>
      <c r="J1067" s="66">
        <v>3074526</v>
      </c>
      <c r="K1067" s="64">
        <v>36637694</v>
      </c>
      <c r="L1067" s="64">
        <v>39712220</v>
      </c>
      <c r="M1067" s="39"/>
      <c r="N1067" s="65">
        <v>36894211</v>
      </c>
      <c r="O1067" s="65">
        <v>24875474</v>
      </c>
      <c r="P1067" s="65"/>
      <c r="Q1067" s="65">
        <v>44446323</v>
      </c>
      <c r="R1067" s="65">
        <v>41371797</v>
      </c>
      <c r="V1067" s="76"/>
    </row>
    <row r="1068" spans="1:22" s="7" customFormat="1" ht="12.75" customHeight="1" x14ac:dyDescent="0.2">
      <c r="A1068" s="520"/>
      <c r="B1068" s="520"/>
      <c r="C1068" s="68" t="s">
        <v>36</v>
      </c>
      <c r="D1068" s="69">
        <v>28</v>
      </c>
      <c r="E1068" s="59">
        <v>14209.93</v>
      </c>
      <c r="F1068" s="59"/>
      <c r="G1068" s="59"/>
      <c r="H1068" s="59">
        <v>6207.16</v>
      </c>
      <c r="I1068" s="59">
        <f>ROUND(           (  E1068+H1068) *0.005,2)</f>
        <v>102.09</v>
      </c>
      <c r="J1068" s="59">
        <v>1650.9</v>
      </c>
      <c r="K1068" s="59">
        <v>19673.080000000002</v>
      </c>
      <c r="L1068" s="60">
        <v>21323.98</v>
      </c>
      <c r="M1068" s="33"/>
      <c r="N1068" s="59">
        <v>19810.84</v>
      </c>
      <c r="O1068" s="59">
        <v>13603.68</v>
      </c>
      <c r="P1068" s="59">
        <v>872.4</v>
      </c>
      <c r="Q1068" s="59">
        <v>23910.400000000001</v>
      </c>
      <c r="R1068" s="59">
        <v>22259.5</v>
      </c>
      <c r="T1068" s="7">
        <f>5.8*12</f>
        <v>69.599999999999994</v>
      </c>
      <c r="V1068" s="76">
        <f>P1068+T1068</f>
        <v>942</v>
      </c>
    </row>
    <row r="1069" spans="1:22" s="7" customFormat="1" ht="9" customHeight="1" x14ac:dyDescent="0.2">
      <c r="A1069" s="520"/>
      <c r="B1069" s="520"/>
      <c r="C1069" s="62" t="s">
        <v>37</v>
      </c>
      <c r="D1069" s="63">
        <v>34</v>
      </c>
      <c r="E1069" s="64">
        <v>18054788</v>
      </c>
      <c r="F1069" s="65"/>
      <c r="G1069" s="65"/>
      <c r="H1069" s="64">
        <v>12018738</v>
      </c>
      <c r="I1069" s="64"/>
      <c r="J1069" s="66">
        <v>3196588</v>
      </c>
      <c r="K1069" s="64">
        <v>38092395</v>
      </c>
      <c r="L1069" s="64">
        <v>41288983</v>
      </c>
      <c r="M1069" s="39"/>
      <c r="N1069" s="65">
        <v>38359135</v>
      </c>
      <c r="O1069" s="65">
        <v>26340397</v>
      </c>
      <c r="P1069" s="65"/>
      <c r="Q1069" s="65">
        <v>46296990</v>
      </c>
      <c r="R1069" s="65">
        <v>43100402</v>
      </c>
      <c r="V1069" s="76"/>
    </row>
    <row r="1070" spans="1:22" s="7" customFormat="1" ht="12.75" customHeight="1" x14ac:dyDescent="0.2">
      <c r="A1070" s="520"/>
      <c r="B1070" s="520"/>
      <c r="C1070" s="68" t="s">
        <v>36</v>
      </c>
      <c r="D1070" s="69">
        <v>35</v>
      </c>
      <c r="E1070" s="59">
        <v>14767.71</v>
      </c>
      <c r="F1070" s="59"/>
      <c r="G1070" s="59"/>
      <c r="H1070" s="59">
        <v>6207.16</v>
      </c>
      <c r="I1070" s="59">
        <f>ROUND(           (  E1070+H1070) *0.005,2)</f>
        <v>104.87</v>
      </c>
      <c r="J1070" s="59">
        <v>1695.7</v>
      </c>
      <c r="K1070" s="59">
        <v>20206.89</v>
      </c>
      <c r="L1070" s="60">
        <v>21902.59</v>
      </c>
      <c r="M1070" s="33"/>
      <c r="N1070" s="59">
        <v>20348.37</v>
      </c>
      <c r="O1070" s="59">
        <v>14141.21</v>
      </c>
      <c r="P1070" s="59">
        <v>872.4</v>
      </c>
      <c r="Q1070" s="59">
        <v>24589.49</v>
      </c>
      <c r="R1070" s="59">
        <v>22893.79</v>
      </c>
      <c r="T1070" s="7">
        <f>5.8*12</f>
        <v>69.599999999999994</v>
      </c>
      <c r="V1070" s="76">
        <f>P1070+T1070</f>
        <v>942</v>
      </c>
    </row>
    <row r="1071" spans="1:22" s="7" customFormat="1" ht="9" customHeight="1" x14ac:dyDescent="0.2">
      <c r="A1071" s="521"/>
      <c r="B1071" s="521"/>
      <c r="C1071" s="71" t="s">
        <v>37</v>
      </c>
      <c r="D1071" s="72"/>
      <c r="E1071" s="64">
        <v>18054788</v>
      </c>
      <c r="F1071" s="64"/>
      <c r="G1071" s="64"/>
      <c r="H1071" s="64">
        <v>12018738</v>
      </c>
      <c r="I1071" s="64"/>
      <c r="J1071" s="64">
        <v>3283333</v>
      </c>
      <c r="K1071" s="64">
        <v>39125995</v>
      </c>
      <c r="L1071" s="64">
        <v>42409328</v>
      </c>
      <c r="M1071" s="39"/>
      <c r="N1071" s="64">
        <v>39399938</v>
      </c>
      <c r="O1071" s="64">
        <v>27381201</v>
      </c>
      <c r="P1071" s="64">
        <v>1554438</v>
      </c>
      <c r="Q1071" s="64">
        <v>47611892</v>
      </c>
      <c r="R1071" s="187">
        <v>44328559</v>
      </c>
    </row>
    <row r="1072" spans="1:22" s="7" customFormat="1" ht="9" customHeight="1" x14ac:dyDescent="0.2">
      <c r="A1072" s="73"/>
      <c r="B1072" s="73"/>
      <c r="C1072" s="184"/>
      <c r="D1072" s="45"/>
      <c r="E1072" s="185"/>
      <c r="F1072" s="185"/>
      <c r="G1072" s="185"/>
      <c r="H1072" s="185"/>
      <c r="I1072" s="185"/>
      <c r="J1072" s="185"/>
      <c r="K1072" s="185"/>
      <c r="L1072" s="185"/>
      <c r="M1072" s="39"/>
      <c r="N1072" s="185"/>
      <c r="O1072" s="185"/>
      <c r="P1072" s="185"/>
      <c r="Q1072" s="185"/>
      <c r="R1072" s="188"/>
    </row>
    <row r="1073" spans="1:22" s="7" customFormat="1" ht="9" customHeight="1" x14ac:dyDescent="0.2">
      <c r="A1073" s="73"/>
      <c r="B1073" s="73"/>
      <c r="C1073" s="184"/>
      <c r="D1073" s="45"/>
      <c r="E1073" s="185"/>
      <c r="F1073" s="185"/>
      <c r="G1073" s="185"/>
      <c r="H1073" s="185"/>
      <c r="I1073" s="185"/>
      <c r="J1073" s="185"/>
      <c r="K1073" s="185"/>
      <c r="L1073" s="185"/>
      <c r="M1073" s="39"/>
      <c r="N1073" s="185"/>
      <c r="O1073" s="185"/>
      <c r="P1073" s="185"/>
      <c r="Q1073" s="185"/>
      <c r="R1073" s="188"/>
    </row>
    <row r="1074" spans="1:22" s="7" customFormat="1" ht="9" customHeight="1" x14ac:dyDescent="0.2">
      <c r="A1074" s="73"/>
      <c r="B1074" s="73"/>
      <c r="C1074" s="184"/>
      <c r="D1074" s="45"/>
      <c r="E1074" s="185"/>
      <c r="F1074" s="185"/>
      <c r="G1074" s="185"/>
      <c r="H1074" s="185"/>
      <c r="I1074" s="185"/>
      <c r="J1074" s="185"/>
      <c r="K1074" s="185"/>
      <c r="L1074" s="185"/>
      <c r="M1074" s="39"/>
      <c r="N1074" s="185"/>
      <c r="O1074" s="185"/>
      <c r="P1074" s="185"/>
      <c r="Q1074" s="185"/>
      <c r="R1074" s="188"/>
    </row>
    <row r="1075" spans="1:22" s="7" customFormat="1" ht="9" customHeight="1" x14ac:dyDescent="0.2">
      <c r="A1075" s="73"/>
      <c r="B1075" s="73"/>
      <c r="C1075" s="184"/>
      <c r="D1075" s="45"/>
      <c r="E1075" s="185"/>
      <c r="F1075" s="185"/>
      <c r="G1075" s="185"/>
      <c r="H1075" s="185"/>
      <c r="I1075" s="185"/>
      <c r="J1075" s="185"/>
      <c r="K1075" s="185"/>
      <c r="L1075" s="185"/>
      <c r="M1075" s="39"/>
      <c r="N1075" s="185"/>
      <c r="O1075" s="185"/>
      <c r="P1075" s="185"/>
      <c r="Q1075" s="185"/>
      <c r="R1075" s="188"/>
    </row>
    <row r="1076" spans="1:22" s="7" customFormat="1" ht="9" customHeight="1" x14ac:dyDescent="0.2">
      <c r="A1076" s="73"/>
      <c r="B1076" s="73"/>
      <c r="C1076" s="184"/>
      <c r="D1076" s="45"/>
      <c r="E1076" s="185"/>
      <c r="F1076" s="185"/>
      <c r="G1076" s="185"/>
      <c r="H1076" s="185"/>
      <c r="I1076" s="185"/>
      <c r="J1076" s="185"/>
      <c r="K1076" s="185"/>
      <c r="L1076" s="185"/>
      <c r="M1076" s="39"/>
      <c r="N1076" s="185"/>
      <c r="O1076" s="185"/>
      <c r="P1076" s="185"/>
      <c r="Q1076" s="185"/>
      <c r="R1076" s="188"/>
    </row>
    <row r="1077" spans="1:22" s="7" customFormat="1" ht="9" customHeight="1" x14ac:dyDescent="0.2">
      <c r="A1077" s="73"/>
      <c r="B1077" s="73"/>
      <c r="C1077" s="184"/>
      <c r="D1077" s="45"/>
      <c r="E1077" s="185"/>
      <c r="F1077" s="185"/>
      <c r="G1077" s="185"/>
      <c r="H1077" s="185"/>
      <c r="I1077" s="185"/>
      <c r="J1077" s="185"/>
      <c r="K1077" s="185"/>
      <c r="L1077" s="185"/>
      <c r="M1077" s="39"/>
      <c r="N1077" s="185"/>
      <c r="O1077" s="185"/>
      <c r="P1077" s="185"/>
      <c r="Q1077" s="185"/>
      <c r="R1077" s="188"/>
    </row>
    <row r="1078" spans="1:22" s="7" customFormat="1" ht="9" customHeight="1" x14ac:dyDescent="0.2">
      <c r="A1078" s="73"/>
      <c r="B1078" s="73"/>
      <c r="C1078" s="184"/>
      <c r="D1078" s="45"/>
      <c r="E1078" s="185"/>
      <c r="F1078" s="185"/>
      <c r="G1078" s="185"/>
      <c r="H1078" s="185"/>
      <c r="I1078" s="185"/>
      <c r="J1078" s="185"/>
      <c r="K1078" s="185"/>
      <c r="L1078" s="185"/>
      <c r="M1078" s="39"/>
      <c r="N1078" s="185"/>
      <c r="O1078" s="185"/>
      <c r="P1078" s="185"/>
      <c r="Q1078" s="185"/>
      <c r="R1078" s="188"/>
    </row>
    <row r="1079" spans="1:22" s="7" customFormat="1" ht="9" customHeight="1" x14ac:dyDescent="0.2">
      <c r="A1079" s="73"/>
      <c r="B1079" s="73"/>
      <c r="C1079" s="184"/>
      <c r="D1079" s="45"/>
      <c r="E1079" s="185"/>
      <c r="F1079" s="185"/>
      <c r="G1079" s="185"/>
      <c r="H1079" s="185"/>
      <c r="I1079" s="185"/>
      <c r="J1079" s="185"/>
      <c r="K1079" s="185"/>
      <c r="L1079" s="185"/>
      <c r="M1079" s="39"/>
      <c r="N1079" s="185"/>
      <c r="O1079" s="185"/>
      <c r="P1079" s="185"/>
      <c r="Q1079" s="185"/>
      <c r="R1079" s="188"/>
    </row>
    <row r="1080" spans="1:22" s="7" customFormat="1" ht="12.75" customHeight="1" x14ac:dyDescent="0.2">
      <c r="A1080" s="56">
        <v>45292</v>
      </c>
      <c r="B1080" s="56">
        <v>45657</v>
      </c>
      <c r="C1080" s="57" t="s">
        <v>36</v>
      </c>
      <c r="D1080" s="58">
        <v>0</v>
      </c>
      <c r="E1080" s="59">
        <v>9912.56</v>
      </c>
      <c r="F1080" s="59"/>
      <c r="G1080" s="59"/>
      <c r="H1080" s="59">
        <v>6207.16</v>
      </c>
      <c r="I1080" s="59"/>
      <c r="J1080" s="59">
        <v>1303.3699999999999</v>
      </c>
      <c r="K1080" s="59">
        <v>15640.4</v>
      </c>
      <c r="L1080" s="60">
        <v>16943.77</v>
      </c>
      <c r="M1080" s="33"/>
      <c r="N1080" s="59">
        <v>15640.4</v>
      </c>
      <c r="O1080" s="59">
        <v>9433.24</v>
      </c>
      <c r="P1080" s="59">
        <v>872.4</v>
      </c>
      <c r="Q1080" s="59">
        <v>18641.75</v>
      </c>
      <c r="R1080" s="59">
        <v>17338.38</v>
      </c>
      <c r="T1080" s="7">
        <f>5.8*12</f>
        <v>69.599999999999994</v>
      </c>
      <c r="V1080" s="76">
        <f>P1080+T1080</f>
        <v>942</v>
      </c>
    </row>
    <row r="1081" spans="1:22" s="7" customFormat="1" ht="9" customHeight="1" x14ac:dyDescent="0.2">
      <c r="A1081" s="61"/>
      <c r="B1081" s="61"/>
      <c r="C1081" s="62" t="s">
        <v>37</v>
      </c>
      <c r="D1081" s="63">
        <v>8</v>
      </c>
      <c r="E1081" s="64">
        <v>18054788</v>
      </c>
      <c r="F1081" s="65"/>
      <c r="G1081" s="65"/>
      <c r="H1081" s="64">
        <v>12018738</v>
      </c>
      <c r="I1081" s="64"/>
      <c r="J1081" s="66">
        <v>2523676</v>
      </c>
      <c r="K1081" s="66">
        <v>30284037</v>
      </c>
      <c r="L1081" s="64">
        <v>32807714</v>
      </c>
      <c r="M1081" s="39"/>
      <c r="N1081" s="65">
        <v>30284037</v>
      </c>
      <c r="O1081" s="65">
        <v>18265300</v>
      </c>
      <c r="P1081" s="65"/>
      <c r="Q1081" s="65">
        <v>36095461</v>
      </c>
      <c r="R1081" s="65">
        <v>33571785</v>
      </c>
      <c r="V1081" s="76"/>
    </row>
    <row r="1082" spans="1:22" s="7" customFormat="1" ht="12.75" customHeight="1" x14ac:dyDescent="0.2">
      <c r="A1082" s="73">
        <f>A1080</f>
        <v>45292</v>
      </c>
      <c r="B1082" s="73">
        <f>B1080</f>
        <v>45657</v>
      </c>
      <c r="C1082" s="68" t="s">
        <v>36</v>
      </c>
      <c r="D1082" s="69">
        <v>9</v>
      </c>
      <c r="E1082" s="59">
        <v>11347.41</v>
      </c>
      <c r="F1082" s="59"/>
      <c r="G1082" s="59"/>
      <c r="H1082" s="59">
        <v>6207.16</v>
      </c>
      <c r="I1082" s="59"/>
      <c r="J1082" s="59">
        <v>1419.75</v>
      </c>
      <c r="K1082" s="59">
        <v>16918.52</v>
      </c>
      <c r="L1082" s="60">
        <v>18338.27</v>
      </c>
      <c r="M1082" s="33"/>
      <c r="N1082" s="59">
        <v>17036.96</v>
      </c>
      <c r="O1082" s="59">
        <v>10829.8</v>
      </c>
      <c r="P1082" s="59">
        <v>872.4</v>
      </c>
      <c r="Q1082" s="59">
        <v>20406.07</v>
      </c>
      <c r="R1082" s="59">
        <v>18986.32</v>
      </c>
      <c r="T1082" s="7">
        <f>5.8*12</f>
        <v>69.599999999999994</v>
      </c>
      <c r="V1082" s="76">
        <f>P1082+T1082</f>
        <v>942</v>
      </c>
    </row>
    <row r="1083" spans="1:22" s="7" customFormat="1" ht="9" customHeight="1" x14ac:dyDescent="0.2">
      <c r="A1083" s="73"/>
      <c r="B1083" s="73"/>
      <c r="C1083" s="62" t="s">
        <v>37</v>
      </c>
      <c r="D1083" s="63">
        <v>14</v>
      </c>
      <c r="E1083" s="64">
        <v>18054788</v>
      </c>
      <c r="F1083" s="65"/>
      <c r="G1083" s="65"/>
      <c r="H1083" s="64">
        <v>12018738</v>
      </c>
      <c r="I1083" s="64"/>
      <c r="J1083" s="66">
        <v>2749019</v>
      </c>
      <c r="K1083" s="64">
        <v>32758823</v>
      </c>
      <c r="L1083" s="64">
        <v>35507842</v>
      </c>
      <c r="M1083" s="39"/>
      <c r="N1083" s="65">
        <v>32988155</v>
      </c>
      <c r="O1083" s="65">
        <v>20969417</v>
      </c>
      <c r="P1083" s="65"/>
      <c r="Q1083" s="65">
        <v>39511661</v>
      </c>
      <c r="R1083" s="65">
        <v>36762642</v>
      </c>
      <c r="V1083" s="76"/>
    </row>
    <row r="1084" spans="1:22" s="7" customFormat="1" ht="12.75" customHeight="1" x14ac:dyDescent="0.2">
      <c r="A1084" s="73"/>
      <c r="B1084" s="73"/>
      <c r="C1084" s="68" t="s">
        <v>36</v>
      </c>
      <c r="D1084" s="69">
        <v>15</v>
      </c>
      <c r="E1084" s="59">
        <v>12398.54</v>
      </c>
      <c r="F1084" s="59"/>
      <c r="G1084" s="59"/>
      <c r="H1084" s="59">
        <v>6207.16</v>
      </c>
      <c r="I1084" s="59"/>
      <c r="J1084" s="59">
        <v>1504.94</v>
      </c>
      <c r="K1084" s="59">
        <v>17933.73</v>
      </c>
      <c r="L1084" s="60">
        <v>19438.669999999998</v>
      </c>
      <c r="M1084" s="33"/>
      <c r="N1084" s="59">
        <v>18059.25</v>
      </c>
      <c r="O1084" s="59">
        <v>11852.09</v>
      </c>
      <c r="P1084" s="59">
        <v>872.4</v>
      </c>
      <c r="Q1084" s="59">
        <v>21697.57</v>
      </c>
      <c r="R1084" s="59">
        <v>20192.63</v>
      </c>
      <c r="T1084" s="7">
        <f>5.8*12</f>
        <v>69.599999999999994</v>
      </c>
      <c r="V1084" s="76">
        <f>P1084+T1084</f>
        <v>942</v>
      </c>
    </row>
    <row r="1085" spans="1:22" s="7" customFormat="1" ht="9" customHeight="1" x14ac:dyDescent="0.2">
      <c r="A1085" s="73"/>
      <c r="B1085" s="73"/>
      <c r="C1085" s="62" t="s">
        <v>37</v>
      </c>
      <c r="D1085" s="63">
        <v>20</v>
      </c>
      <c r="E1085" s="64">
        <v>18054788</v>
      </c>
      <c r="F1085" s="65"/>
      <c r="G1085" s="65"/>
      <c r="H1085" s="64">
        <v>12018738</v>
      </c>
      <c r="I1085" s="64"/>
      <c r="J1085" s="66">
        <v>2913970</v>
      </c>
      <c r="K1085" s="64">
        <v>34724543</v>
      </c>
      <c r="L1085" s="64">
        <v>37638514</v>
      </c>
      <c r="M1085" s="39"/>
      <c r="N1085" s="65">
        <v>34967584</v>
      </c>
      <c r="O1085" s="65">
        <v>22948846</v>
      </c>
      <c r="P1085" s="65"/>
      <c r="Q1085" s="65">
        <v>42012354</v>
      </c>
      <c r="R1085" s="65">
        <v>39098384</v>
      </c>
      <c r="V1085" s="76"/>
    </row>
    <row r="1086" spans="1:22" s="7" customFormat="1" ht="12.75" customHeight="1" x14ac:dyDescent="0.2">
      <c r="A1086" s="73"/>
      <c r="B1086" s="73"/>
      <c r="C1086" s="68" t="s">
        <v>36</v>
      </c>
      <c r="D1086" s="69">
        <v>21</v>
      </c>
      <c r="E1086" s="59">
        <v>13434.71</v>
      </c>
      <c r="F1086" s="59"/>
      <c r="G1086" s="59"/>
      <c r="H1086" s="59">
        <v>6207.16</v>
      </c>
      <c r="I1086" s="59"/>
      <c r="J1086" s="59">
        <v>1587.86</v>
      </c>
      <c r="K1086" s="59">
        <v>18921.79</v>
      </c>
      <c r="L1086" s="60">
        <v>20509.650000000001</v>
      </c>
      <c r="M1086" s="33"/>
      <c r="N1086" s="59">
        <v>19054.27</v>
      </c>
      <c r="O1086" s="59">
        <v>12847.11</v>
      </c>
      <c r="P1086" s="59">
        <v>872.4</v>
      </c>
      <c r="Q1086" s="59">
        <v>22954.61</v>
      </c>
      <c r="R1086" s="59">
        <v>21366.75</v>
      </c>
      <c r="T1086" s="7">
        <f>5.8*12</f>
        <v>69.599999999999994</v>
      </c>
      <c r="V1086" s="76">
        <f>P1086+T1086</f>
        <v>942</v>
      </c>
    </row>
    <row r="1087" spans="1:22" s="7" customFormat="1" ht="9" customHeight="1" x14ac:dyDescent="0.2">
      <c r="A1087" s="73"/>
      <c r="B1087" s="73"/>
      <c r="C1087" s="62" t="s">
        <v>37</v>
      </c>
      <c r="D1087" s="63">
        <v>27</v>
      </c>
      <c r="E1087" s="64">
        <v>18054788</v>
      </c>
      <c r="F1087" s="65"/>
      <c r="G1087" s="65"/>
      <c r="H1087" s="64">
        <v>12018738</v>
      </c>
      <c r="I1087" s="64"/>
      <c r="J1087" s="66">
        <v>3074526</v>
      </c>
      <c r="K1087" s="64">
        <v>36637694</v>
      </c>
      <c r="L1087" s="64">
        <v>39712220</v>
      </c>
      <c r="M1087" s="39"/>
      <c r="N1087" s="65">
        <v>36894211</v>
      </c>
      <c r="O1087" s="65">
        <v>24875474</v>
      </c>
      <c r="P1087" s="65"/>
      <c r="Q1087" s="65">
        <v>44446323</v>
      </c>
      <c r="R1087" s="65">
        <v>41371797</v>
      </c>
      <c r="V1087" s="76"/>
    </row>
    <row r="1088" spans="1:22" s="7" customFormat="1" ht="12.75" customHeight="1" x14ac:dyDescent="0.2">
      <c r="A1088" s="73"/>
      <c r="B1088" s="73"/>
      <c r="C1088" s="68" t="s">
        <v>36</v>
      </c>
      <c r="D1088" s="69">
        <v>28</v>
      </c>
      <c r="E1088" s="59">
        <v>14209.93</v>
      </c>
      <c r="F1088" s="59"/>
      <c r="G1088" s="59"/>
      <c r="H1088" s="59">
        <v>6207.16</v>
      </c>
      <c r="I1088" s="59"/>
      <c r="J1088" s="59">
        <v>1650.9</v>
      </c>
      <c r="K1088" s="59">
        <v>19673.080000000002</v>
      </c>
      <c r="L1088" s="60">
        <v>21323.98</v>
      </c>
      <c r="M1088" s="33"/>
      <c r="N1088" s="59">
        <v>19810.84</v>
      </c>
      <c r="O1088" s="59">
        <v>13603.68</v>
      </c>
      <c r="P1088" s="59">
        <v>872.4</v>
      </c>
      <c r="Q1088" s="59">
        <v>23910.400000000001</v>
      </c>
      <c r="R1088" s="59">
        <v>22259.5</v>
      </c>
      <c r="T1088" s="7">
        <f>5.8*12</f>
        <v>69.599999999999994</v>
      </c>
      <c r="V1088" s="76">
        <f>P1088+T1088</f>
        <v>942</v>
      </c>
    </row>
    <row r="1089" spans="1:22" s="7" customFormat="1" ht="9" customHeight="1" x14ac:dyDescent="0.2">
      <c r="A1089" s="73"/>
      <c r="B1089" s="73"/>
      <c r="C1089" s="62" t="s">
        <v>37</v>
      </c>
      <c r="D1089" s="63">
        <v>34</v>
      </c>
      <c r="E1089" s="64">
        <v>18054788</v>
      </c>
      <c r="F1089" s="65"/>
      <c r="G1089" s="65"/>
      <c r="H1089" s="64">
        <v>12018738</v>
      </c>
      <c r="I1089" s="64"/>
      <c r="J1089" s="66">
        <v>3196588</v>
      </c>
      <c r="K1089" s="64">
        <v>38092395</v>
      </c>
      <c r="L1089" s="64">
        <v>41288983</v>
      </c>
      <c r="M1089" s="39"/>
      <c r="N1089" s="65">
        <v>38359135</v>
      </c>
      <c r="O1089" s="65">
        <v>26340397</v>
      </c>
      <c r="P1089" s="65"/>
      <c r="Q1089" s="65">
        <v>46296990</v>
      </c>
      <c r="R1089" s="65">
        <v>43100402</v>
      </c>
      <c r="V1089" s="76"/>
    </row>
    <row r="1090" spans="1:22" s="7" customFormat="1" ht="12.75" customHeight="1" x14ac:dyDescent="0.2">
      <c r="A1090" s="73"/>
      <c r="B1090" s="73"/>
      <c r="C1090" s="68" t="s">
        <v>36</v>
      </c>
      <c r="D1090" s="69">
        <v>35</v>
      </c>
      <c r="E1090" s="59">
        <v>14767.71</v>
      </c>
      <c r="F1090" s="59"/>
      <c r="G1090" s="59"/>
      <c r="H1090" s="59">
        <v>6207.16</v>
      </c>
      <c r="I1090" s="59"/>
      <c r="J1090" s="59">
        <v>1695.7</v>
      </c>
      <c r="K1090" s="59">
        <v>20206.89</v>
      </c>
      <c r="L1090" s="60">
        <v>21902.59</v>
      </c>
      <c r="M1090" s="33"/>
      <c r="N1090" s="59">
        <v>20348.37</v>
      </c>
      <c r="O1090" s="59">
        <v>14141.21</v>
      </c>
      <c r="P1090" s="59">
        <v>872.4</v>
      </c>
      <c r="Q1090" s="59">
        <v>24589.49</v>
      </c>
      <c r="R1090" s="59">
        <v>22893.79</v>
      </c>
      <c r="T1090" s="7">
        <f>5.8*12</f>
        <v>69.599999999999994</v>
      </c>
      <c r="V1090" s="76">
        <f>P1090+T1090</f>
        <v>942</v>
      </c>
    </row>
    <row r="1091" spans="1:22" s="7" customFormat="1" ht="9" customHeight="1" x14ac:dyDescent="0.2">
      <c r="A1091" s="74"/>
      <c r="B1091" s="74"/>
      <c r="C1091" s="71" t="s">
        <v>37</v>
      </c>
      <c r="D1091" s="72"/>
      <c r="E1091" s="64">
        <v>18054788</v>
      </c>
      <c r="F1091" s="64"/>
      <c r="G1091" s="64">
        <v>0</v>
      </c>
      <c r="H1091" s="64">
        <v>12018738</v>
      </c>
      <c r="I1091" s="64"/>
      <c r="J1091" s="64">
        <v>3283333</v>
      </c>
      <c r="K1091" s="64">
        <v>39125995</v>
      </c>
      <c r="L1091" s="64">
        <v>42409328</v>
      </c>
      <c r="M1091" s="39"/>
      <c r="N1091" s="64">
        <v>39399938</v>
      </c>
      <c r="O1091" s="64">
        <v>27381201</v>
      </c>
      <c r="P1091" s="64">
        <v>1554438</v>
      </c>
      <c r="Q1091" s="64">
        <v>47611892</v>
      </c>
      <c r="R1091" s="187">
        <v>44328559</v>
      </c>
    </row>
    <row r="1092" spans="1:22" s="7" customFormat="1" ht="9" customHeight="1" x14ac:dyDescent="0.2">
      <c r="A1092" s="267"/>
      <c r="B1092" s="267"/>
      <c r="C1092" s="45"/>
      <c r="D1092" s="45"/>
      <c r="E1092" s="54"/>
      <c r="F1092" s="54"/>
      <c r="G1092" s="54"/>
      <c r="H1092" s="54"/>
      <c r="I1092" s="54"/>
      <c r="J1092" s="54"/>
      <c r="K1092" s="54"/>
      <c r="L1092" s="54"/>
      <c r="M1092" s="39"/>
      <c r="N1092" s="54"/>
      <c r="O1092" s="54"/>
      <c r="P1092" s="54"/>
      <c r="Q1092" s="54"/>
      <c r="R1092" s="268"/>
    </row>
    <row r="1093" spans="1:22" s="7" customFormat="1" ht="9" customHeight="1" x14ac:dyDescent="0.2">
      <c r="A1093" s="267"/>
      <c r="B1093" s="267"/>
      <c r="C1093" s="45"/>
      <c r="D1093" s="45"/>
      <c r="E1093" s="54"/>
      <c r="F1093" s="54"/>
      <c r="G1093" s="54"/>
      <c r="H1093" s="54"/>
      <c r="I1093" s="54"/>
      <c r="J1093" s="54"/>
      <c r="K1093" s="54"/>
      <c r="L1093" s="54"/>
      <c r="M1093" s="39"/>
      <c r="N1093" s="54"/>
      <c r="O1093" s="54"/>
      <c r="P1093" s="54"/>
      <c r="Q1093" s="54"/>
      <c r="R1093" s="268"/>
    </row>
    <row r="1094" spans="1:22" s="7" customFormat="1" ht="9" customHeight="1" x14ac:dyDescent="0.2">
      <c r="A1094" s="267"/>
      <c r="B1094" s="267"/>
      <c r="C1094" s="45"/>
      <c r="D1094" s="45"/>
      <c r="E1094" s="54"/>
      <c r="F1094" s="54"/>
      <c r="G1094" s="54"/>
      <c r="H1094" s="54"/>
      <c r="I1094" s="54"/>
      <c r="J1094" s="54"/>
      <c r="K1094" s="54"/>
      <c r="L1094" s="54"/>
      <c r="M1094" s="39"/>
      <c r="N1094" s="54"/>
      <c r="O1094" s="54"/>
      <c r="P1094" s="54"/>
      <c r="Q1094" s="54"/>
      <c r="R1094" s="268"/>
    </row>
    <row r="1095" spans="1:22" s="7" customFormat="1" ht="9" customHeight="1" x14ac:dyDescent="0.2">
      <c r="A1095" s="267"/>
      <c r="B1095" s="267"/>
      <c r="C1095" s="45"/>
      <c r="D1095" s="45"/>
      <c r="E1095" s="54"/>
      <c r="F1095" s="54"/>
      <c r="G1095" s="54"/>
      <c r="H1095" s="54"/>
      <c r="I1095" s="54"/>
      <c r="J1095" s="54"/>
      <c r="K1095" s="54"/>
      <c r="L1095" s="54"/>
      <c r="M1095" s="39"/>
      <c r="N1095" s="54"/>
      <c r="O1095" s="54"/>
      <c r="P1095" s="54"/>
      <c r="Q1095" s="54"/>
      <c r="R1095" s="268"/>
    </row>
    <row r="1096" spans="1:22" s="7" customFormat="1" ht="9" customHeight="1" x14ac:dyDescent="0.2">
      <c r="A1096" s="267"/>
      <c r="B1096" s="267"/>
      <c r="C1096" s="45"/>
      <c r="D1096" s="45"/>
      <c r="E1096" s="54"/>
      <c r="F1096" s="54"/>
      <c r="G1096" s="54"/>
      <c r="H1096" s="54"/>
      <c r="I1096" s="54"/>
      <c r="J1096" s="54"/>
      <c r="K1096" s="54"/>
      <c r="L1096" s="54"/>
      <c r="M1096" s="39"/>
      <c r="N1096" s="54"/>
      <c r="O1096" s="54"/>
      <c r="P1096" s="54"/>
      <c r="Q1096" s="54"/>
      <c r="R1096" s="268"/>
    </row>
    <row r="1097" spans="1:22" s="7" customFormat="1" ht="9" customHeight="1" x14ac:dyDescent="0.2">
      <c r="A1097" s="267"/>
      <c r="B1097" s="267"/>
      <c r="C1097" s="45"/>
      <c r="D1097" s="45"/>
      <c r="E1097" s="54"/>
      <c r="F1097" s="54"/>
      <c r="G1097" s="54"/>
      <c r="H1097" s="54"/>
      <c r="I1097" s="54"/>
      <c r="J1097" s="54"/>
      <c r="K1097" s="54"/>
      <c r="L1097" s="54"/>
      <c r="M1097" s="39"/>
      <c r="N1097" s="54"/>
      <c r="O1097" s="54"/>
      <c r="P1097" s="54"/>
      <c r="Q1097" s="54"/>
      <c r="R1097" s="268"/>
    </row>
    <row r="1098" spans="1:22" s="7" customFormat="1" ht="9" customHeight="1" x14ac:dyDescent="0.2">
      <c r="A1098" s="267"/>
      <c r="B1098" s="267"/>
      <c r="C1098" s="45"/>
      <c r="D1098" s="45"/>
      <c r="E1098" s="54"/>
      <c r="F1098" s="54"/>
      <c r="G1098" s="54"/>
      <c r="H1098" s="54"/>
      <c r="I1098" s="54"/>
      <c r="J1098" s="54"/>
      <c r="K1098" s="54"/>
      <c r="L1098" s="54"/>
      <c r="M1098" s="39"/>
      <c r="N1098" s="54"/>
      <c r="O1098" s="54"/>
      <c r="P1098" s="54"/>
      <c r="Q1098" s="54"/>
      <c r="R1098" s="268"/>
    </row>
    <row r="1099" spans="1:22" s="7" customFormat="1" ht="9" customHeight="1" x14ac:dyDescent="0.2">
      <c r="A1099" s="267"/>
      <c r="B1099" s="267"/>
      <c r="C1099" s="45"/>
      <c r="D1099" s="45"/>
      <c r="E1099" s="54"/>
      <c r="F1099" s="54"/>
      <c r="G1099" s="54"/>
      <c r="H1099" s="54"/>
      <c r="I1099" s="54"/>
      <c r="J1099" s="54"/>
      <c r="K1099" s="54"/>
      <c r="L1099" s="54"/>
      <c r="M1099" s="39"/>
      <c r="N1099" s="54"/>
      <c r="O1099" s="54"/>
      <c r="P1099" s="54"/>
      <c r="Q1099" s="54"/>
      <c r="R1099" s="268"/>
    </row>
    <row r="1100" spans="1:22" s="7" customFormat="1" ht="9" customHeight="1" x14ac:dyDescent="0.2">
      <c r="A1100" s="267"/>
      <c r="B1100" s="267"/>
      <c r="C1100" s="45"/>
      <c r="D1100" s="45"/>
      <c r="E1100" s="54"/>
      <c r="F1100" s="54"/>
      <c r="G1100" s="54"/>
      <c r="H1100" s="54"/>
      <c r="I1100" s="54"/>
      <c r="J1100" s="54"/>
      <c r="K1100" s="54"/>
      <c r="L1100" s="54"/>
      <c r="M1100" s="39"/>
      <c r="N1100" s="54"/>
      <c r="O1100" s="54"/>
      <c r="P1100" s="54"/>
      <c r="Q1100" s="54"/>
      <c r="R1100" s="268"/>
    </row>
    <row r="1101" spans="1:22" s="7" customFormat="1" ht="9" customHeight="1" x14ac:dyDescent="0.2">
      <c r="A1101" s="267"/>
      <c r="B1101" s="267"/>
      <c r="C1101" s="45"/>
      <c r="D1101" s="45"/>
      <c r="E1101" s="54"/>
      <c r="F1101" s="54"/>
      <c r="G1101" s="54"/>
      <c r="H1101" s="54"/>
      <c r="I1101" s="54"/>
      <c r="J1101" s="54"/>
      <c r="K1101" s="54"/>
      <c r="L1101" s="54"/>
      <c r="M1101" s="39"/>
      <c r="N1101" s="54"/>
      <c r="O1101" s="54"/>
      <c r="P1101" s="54"/>
      <c r="Q1101" s="54"/>
      <c r="R1101" s="268"/>
    </row>
    <row r="1102" spans="1:22" s="191" customFormat="1" ht="12.75" customHeight="1" x14ac:dyDescent="0.25">
      <c r="A1102" s="189"/>
      <c r="B1102" s="189"/>
      <c r="C1102" s="190"/>
      <c r="E1102" s="192"/>
      <c r="F1102" s="192"/>
      <c r="G1102" s="192"/>
      <c r="H1102" s="192"/>
      <c r="I1102" s="192"/>
      <c r="J1102" s="192"/>
      <c r="K1102" s="192"/>
      <c r="L1102" s="193"/>
      <c r="M1102" s="193"/>
      <c r="N1102" s="192"/>
      <c r="O1102" s="192"/>
      <c r="P1102" s="192"/>
      <c r="Q1102" s="192"/>
      <c r="R1102" s="192"/>
    </row>
    <row r="1103" spans="1:22" s="191" customFormat="1" ht="9" customHeight="1" x14ac:dyDescent="0.25">
      <c r="A1103" s="189"/>
      <c r="B1103" s="189"/>
      <c r="E1103" s="194"/>
      <c r="F1103" s="194"/>
      <c r="G1103" s="194"/>
      <c r="H1103" s="194"/>
      <c r="I1103" s="194"/>
      <c r="J1103" s="194"/>
      <c r="K1103" s="194"/>
      <c r="L1103" s="194"/>
      <c r="M1103" s="194"/>
      <c r="N1103" s="194"/>
      <c r="O1103" s="194"/>
      <c r="P1103" s="194"/>
      <c r="Q1103" s="194"/>
      <c r="R1103" s="194"/>
    </row>
    <row r="1104" spans="1:22" s="191" customFormat="1" ht="12.75" customHeight="1" x14ac:dyDescent="0.25">
      <c r="A1104" s="189"/>
      <c r="B1104" s="189"/>
      <c r="C1104" s="190"/>
      <c r="E1104" s="192"/>
      <c r="F1104" s="192"/>
      <c r="G1104" s="192"/>
      <c r="H1104" s="192"/>
      <c r="I1104" s="192"/>
      <c r="J1104" s="192"/>
      <c r="K1104" s="192"/>
      <c r="L1104" s="193"/>
      <c r="M1104" s="193"/>
      <c r="N1104" s="192"/>
      <c r="O1104" s="192"/>
      <c r="P1104" s="192"/>
      <c r="Q1104" s="192"/>
      <c r="R1104" s="192"/>
    </row>
    <row r="1105" spans="2:18" s="7" customFormat="1" ht="12.75" x14ac:dyDescent="0.2">
      <c r="N1105" s="117"/>
      <c r="O1105" s="117"/>
      <c r="P1105" s="117"/>
      <c r="Q1105" s="117"/>
      <c r="R1105" s="117"/>
    </row>
    <row r="1106" spans="2:18" s="7" customFormat="1" ht="27.75" customHeight="1" x14ac:dyDescent="0.2">
      <c r="B1106" s="524" t="s">
        <v>69</v>
      </c>
      <c r="C1106" s="525"/>
      <c r="D1106" s="525"/>
      <c r="E1106" s="525"/>
      <c r="F1106" s="525"/>
      <c r="G1106" s="525"/>
      <c r="H1106" s="525"/>
      <c r="I1106" s="525"/>
      <c r="J1106" s="525"/>
      <c r="K1106" s="525"/>
      <c r="L1106" s="526"/>
      <c r="M1106" s="55"/>
      <c r="N1106" s="54"/>
      <c r="O1106" s="54"/>
      <c r="P1106" s="54"/>
      <c r="Q1106" s="54"/>
      <c r="R1106" s="54"/>
    </row>
    <row r="1107" spans="2:18" s="7" customFormat="1" ht="19.5" customHeight="1" x14ac:dyDescent="0.2">
      <c r="B1107" s="81" t="s">
        <v>5</v>
      </c>
      <c r="C1107" s="82"/>
      <c r="D1107" s="83"/>
      <c r="E1107" s="84">
        <v>36708</v>
      </c>
      <c r="F1107" s="84">
        <v>36892</v>
      </c>
      <c r="G1107" s="84">
        <v>37257</v>
      </c>
      <c r="H1107" s="84">
        <v>37622</v>
      </c>
      <c r="I1107" s="84">
        <v>38718</v>
      </c>
      <c r="J1107" s="84">
        <v>43160</v>
      </c>
      <c r="K1107" s="86">
        <v>44562</v>
      </c>
      <c r="L1107" s="86"/>
      <c r="N1107" s="117"/>
      <c r="O1107" s="117"/>
      <c r="P1107" s="117"/>
      <c r="Q1107" s="117"/>
      <c r="R1107" s="117"/>
    </row>
    <row r="1108" spans="2:18" s="7" customFormat="1" ht="12.75" x14ac:dyDescent="0.2">
      <c r="B1108" s="527"/>
      <c r="C1108" s="528"/>
      <c r="D1108" s="529"/>
      <c r="E1108" s="59">
        <v>579</v>
      </c>
      <c r="F1108" s="59">
        <v>471</v>
      </c>
      <c r="G1108" s="59">
        <v>495</v>
      </c>
      <c r="H1108" s="59">
        <v>579</v>
      </c>
      <c r="I1108" s="59">
        <v>702</v>
      </c>
      <c r="J1108" s="59">
        <f>8.4*12+I1108</f>
        <v>802.8</v>
      </c>
      <c r="K1108" s="59">
        <v>942</v>
      </c>
      <c r="L1108" s="59"/>
      <c r="N1108" s="54"/>
      <c r="O1108" s="54"/>
      <c r="P1108" s="54"/>
      <c r="Q1108" s="54"/>
      <c r="R1108" s="54"/>
    </row>
    <row r="1109" spans="2:18" s="7" customFormat="1" ht="12.75" x14ac:dyDescent="0.2">
      <c r="B1109" s="530"/>
      <c r="C1109" s="531"/>
      <c r="D1109" s="532"/>
      <c r="E1109" s="93">
        <v>1121100</v>
      </c>
      <c r="F1109" s="93">
        <v>911983</v>
      </c>
      <c r="G1109" s="93">
        <v>911983</v>
      </c>
      <c r="H1109" s="93">
        <v>958454</v>
      </c>
      <c r="I1109" s="93">
        <v>1121100</v>
      </c>
      <c r="J1109" s="93">
        <f>J1108*1936.27</f>
        <v>1554437.5559999999</v>
      </c>
      <c r="K1109" s="93"/>
      <c r="L1109" s="93"/>
      <c r="N1109" s="117"/>
      <c r="O1109" s="117"/>
      <c r="P1109" s="117"/>
      <c r="Q1109" s="117"/>
      <c r="R1109" s="117"/>
    </row>
    <row r="1110" spans="2:18" s="7" customFormat="1" ht="12.75" x14ac:dyDescent="0.2">
      <c r="B1110" s="7" t="s">
        <v>39</v>
      </c>
      <c r="N1110" s="54"/>
      <c r="O1110" s="54"/>
      <c r="P1110" s="54"/>
      <c r="Q1110" s="54"/>
      <c r="R1110" s="54"/>
    </row>
    <row r="1111" spans="2:18" s="7" customFormat="1" ht="12.75" x14ac:dyDescent="0.2"/>
    <row r="1112" spans="2:18" s="7" customFormat="1" ht="12.75" x14ac:dyDescent="0.2"/>
    <row r="1113" spans="2:18" s="7" customFormat="1" ht="12.75" x14ac:dyDescent="0.2"/>
    <row r="1114" spans="2:18" s="7" customFormat="1" ht="12.75" x14ac:dyDescent="0.2"/>
    <row r="1115" spans="2:18" s="7" customFormat="1" ht="12.75" x14ac:dyDescent="0.2"/>
    <row r="1116" spans="2:18" s="7" customFormat="1" ht="12.75" x14ac:dyDescent="0.2"/>
    <row r="1117" spans="2:18" s="7" customFormat="1" ht="12.75" x14ac:dyDescent="0.2"/>
    <row r="1118" spans="2:18" s="7" customFormat="1" ht="12.75" x14ac:dyDescent="0.2"/>
    <row r="1119" spans="2:18" s="7" customFormat="1" ht="12.75" x14ac:dyDescent="0.2"/>
    <row r="1120" spans="2:18" s="7" customFormat="1" ht="12.75" x14ac:dyDescent="0.2"/>
    <row r="1121" spans="1:26" s="7" customFormat="1" ht="12.75" x14ac:dyDescent="0.2"/>
    <row r="1122" spans="1:26" s="7" customFormat="1" ht="12.75" x14ac:dyDescent="0.2"/>
    <row r="1123" spans="1:26" s="7" customFormat="1" ht="12.75" x14ac:dyDescent="0.2"/>
    <row r="1124" spans="1:26" ht="12.75" customHeight="1" x14ac:dyDescent="0.2">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row>
    <row r="1125" spans="1:26" ht="12.75" customHeight="1" x14ac:dyDescent="0.2">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row>
    <row r="1126" spans="1:26" ht="12.75" customHeight="1"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row>
    <row r="1127" spans="1:26" ht="12.75" customHeight="1" x14ac:dyDescent="0.2">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row>
    <row r="1128" spans="1:26" ht="12.75" customHeight="1" x14ac:dyDescent="0.2">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row>
    <row r="1129" spans="1:26" ht="12.75" customHeight="1" x14ac:dyDescent="0.2">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row>
    <row r="1130" spans="1:26" ht="12.75" customHeight="1" x14ac:dyDescent="0.2">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row>
    <row r="1131" spans="1:26" ht="12.75" customHeight="1" x14ac:dyDescent="0.2">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row>
    <row r="1132" spans="1:26" ht="12.75" customHeight="1" x14ac:dyDescent="0.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row>
    <row r="1133" spans="1:26" ht="12.75" customHeight="1" x14ac:dyDescent="0.2">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row>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row r="1345" spans="1:26" ht="12.75" customHeight="1"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row>
    <row r="1346" spans="1:26" ht="12.75" customHeight="1"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row>
    <row r="1347" spans="1:26" ht="12.75" customHeight="1"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row>
    <row r="1348" spans="1:26" ht="12.75" customHeight="1"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row>
    <row r="1349" spans="1:26" ht="12.75" customHeight="1"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row>
    <row r="1350" spans="1:26" ht="12.75" customHeight="1"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row>
    <row r="1351" spans="1:26" ht="12.75" customHeight="1"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row>
    <row r="1352" spans="1:26" ht="12.75" customHeight="1"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row>
  </sheetData>
  <mergeCells count="181">
    <mergeCell ref="Q3:Q4"/>
    <mergeCell ref="C5:D5"/>
    <mergeCell ref="A6:A7"/>
    <mergeCell ref="B6:B7"/>
    <mergeCell ref="A8:A49"/>
    <mergeCell ref="B8:B49"/>
    <mergeCell ref="A1:B1"/>
    <mergeCell ref="N1:P2"/>
    <mergeCell ref="A3:B3"/>
    <mergeCell ref="C3:D4"/>
    <mergeCell ref="E3:J3"/>
    <mergeCell ref="K3:K4"/>
    <mergeCell ref="L3:L4"/>
    <mergeCell ref="N3:N4"/>
    <mergeCell ref="O3:O4"/>
    <mergeCell ref="A96:A137"/>
    <mergeCell ref="B96:B137"/>
    <mergeCell ref="A138:A139"/>
    <mergeCell ref="B138:B139"/>
    <mergeCell ref="A140:A181"/>
    <mergeCell ref="B140:B181"/>
    <mergeCell ref="A50:A51"/>
    <mergeCell ref="B50:B51"/>
    <mergeCell ref="A52:A93"/>
    <mergeCell ref="B52:B93"/>
    <mergeCell ref="A94:A95"/>
    <mergeCell ref="B94:B95"/>
    <mergeCell ref="A228:A269"/>
    <mergeCell ref="B228:B269"/>
    <mergeCell ref="A270:A271"/>
    <mergeCell ref="B270:B271"/>
    <mergeCell ref="A272:A313"/>
    <mergeCell ref="B272:B313"/>
    <mergeCell ref="A182:A183"/>
    <mergeCell ref="B182:B183"/>
    <mergeCell ref="A184:A225"/>
    <mergeCell ref="B184:B225"/>
    <mergeCell ref="A226:A227"/>
    <mergeCell ref="B226:B227"/>
    <mergeCell ref="A360:A401"/>
    <mergeCell ref="B360:B401"/>
    <mergeCell ref="A420:A421"/>
    <mergeCell ref="B420:B421"/>
    <mergeCell ref="A422:A433"/>
    <mergeCell ref="B422:B433"/>
    <mergeCell ref="A314:A315"/>
    <mergeCell ref="B314:B315"/>
    <mergeCell ref="A316:A357"/>
    <mergeCell ref="B316:B357"/>
    <mergeCell ref="A358:A359"/>
    <mergeCell ref="B358:B359"/>
    <mergeCell ref="A462:A473"/>
    <mergeCell ref="B462:B473"/>
    <mergeCell ref="A480:A481"/>
    <mergeCell ref="B480:B481"/>
    <mergeCell ref="A482:A493"/>
    <mergeCell ref="B482:B493"/>
    <mergeCell ref="A440:A441"/>
    <mergeCell ref="B440:B441"/>
    <mergeCell ref="A442:A453"/>
    <mergeCell ref="B442:B453"/>
    <mergeCell ref="A460:A461"/>
    <mergeCell ref="B460:B461"/>
    <mergeCell ref="A522:A533"/>
    <mergeCell ref="B522:B533"/>
    <mergeCell ref="A540:A541"/>
    <mergeCell ref="B540:B541"/>
    <mergeCell ref="A542:A553"/>
    <mergeCell ref="B542:B553"/>
    <mergeCell ref="A500:A501"/>
    <mergeCell ref="B500:B501"/>
    <mergeCell ref="A502:A513"/>
    <mergeCell ref="B502:B513"/>
    <mergeCell ref="A520:A521"/>
    <mergeCell ref="B520:B521"/>
    <mergeCell ref="A582:A593"/>
    <mergeCell ref="B582:B593"/>
    <mergeCell ref="A600:A601"/>
    <mergeCell ref="B600:B601"/>
    <mergeCell ref="A602:A613"/>
    <mergeCell ref="B602:B613"/>
    <mergeCell ref="A560:A561"/>
    <mergeCell ref="B560:B561"/>
    <mergeCell ref="A562:A573"/>
    <mergeCell ref="B562:B573"/>
    <mergeCell ref="A580:A581"/>
    <mergeCell ref="B580:B581"/>
    <mergeCell ref="A642:A653"/>
    <mergeCell ref="B642:B653"/>
    <mergeCell ref="A660:A661"/>
    <mergeCell ref="B660:B661"/>
    <mergeCell ref="A662:A673"/>
    <mergeCell ref="B662:B673"/>
    <mergeCell ref="A620:A621"/>
    <mergeCell ref="B620:B621"/>
    <mergeCell ref="A622:A633"/>
    <mergeCell ref="B622:B633"/>
    <mergeCell ref="A640:A641"/>
    <mergeCell ref="B640:B641"/>
    <mergeCell ref="A702:A713"/>
    <mergeCell ref="B702:B713"/>
    <mergeCell ref="A720:A721"/>
    <mergeCell ref="B720:B721"/>
    <mergeCell ref="A722:A733"/>
    <mergeCell ref="B722:B733"/>
    <mergeCell ref="A680:A681"/>
    <mergeCell ref="B680:B681"/>
    <mergeCell ref="A682:A693"/>
    <mergeCell ref="B682:B693"/>
    <mergeCell ref="A700:A701"/>
    <mergeCell ref="B700:B701"/>
    <mergeCell ref="A762:A773"/>
    <mergeCell ref="B762:B773"/>
    <mergeCell ref="A780:A781"/>
    <mergeCell ref="B780:B781"/>
    <mergeCell ref="A782:A793"/>
    <mergeCell ref="B782:B793"/>
    <mergeCell ref="A740:A741"/>
    <mergeCell ref="B740:B741"/>
    <mergeCell ref="A742:A753"/>
    <mergeCell ref="B742:B753"/>
    <mergeCell ref="A760:A761"/>
    <mergeCell ref="B760:B761"/>
    <mergeCell ref="A822:A833"/>
    <mergeCell ref="B822:B833"/>
    <mergeCell ref="A840:A841"/>
    <mergeCell ref="B840:B841"/>
    <mergeCell ref="A842:A853"/>
    <mergeCell ref="B842:B853"/>
    <mergeCell ref="A800:A801"/>
    <mergeCell ref="B800:B801"/>
    <mergeCell ref="A802:A813"/>
    <mergeCell ref="B802:B813"/>
    <mergeCell ref="A820:A821"/>
    <mergeCell ref="B820:B821"/>
    <mergeCell ref="A882:A891"/>
    <mergeCell ref="B882:B891"/>
    <mergeCell ref="A900:A901"/>
    <mergeCell ref="B900:B901"/>
    <mergeCell ref="A902:A911"/>
    <mergeCell ref="B902:B911"/>
    <mergeCell ref="A860:A861"/>
    <mergeCell ref="B860:B861"/>
    <mergeCell ref="A862:A873"/>
    <mergeCell ref="B862:B873"/>
    <mergeCell ref="A880:A881"/>
    <mergeCell ref="B880:B881"/>
    <mergeCell ref="A942:A951"/>
    <mergeCell ref="B942:B951"/>
    <mergeCell ref="A960:A961"/>
    <mergeCell ref="B960:B961"/>
    <mergeCell ref="A962:A971"/>
    <mergeCell ref="B962:B971"/>
    <mergeCell ref="A920:A921"/>
    <mergeCell ref="B920:B921"/>
    <mergeCell ref="A922:A931"/>
    <mergeCell ref="B922:B931"/>
    <mergeCell ref="A940:A941"/>
    <mergeCell ref="B940:B941"/>
    <mergeCell ref="B1106:L1106"/>
    <mergeCell ref="B1108:D1109"/>
    <mergeCell ref="A1002:A1011"/>
    <mergeCell ref="B1002:B1011"/>
    <mergeCell ref="A1020:A1021"/>
    <mergeCell ref="B1020:B1021"/>
    <mergeCell ref="A1022:A1031"/>
    <mergeCell ref="B1022:B1031"/>
    <mergeCell ref="A980:A981"/>
    <mergeCell ref="B980:B981"/>
    <mergeCell ref="A982:A991"/>
    <mergeCell ref="B982:B991"/>
    <mergeCell ref="A1000:A1001"/>
    <mergeCell ref="B1000:B1001"/>
    <mergeCell ref="A1040:A1041"/>
    <mergeCell ref="B1040:B1041"/>
    <mergeCell ref="A1042:A1051"/>
    <mergeCell ref="B1042:B1051"/>
    <mergeCell ref="A1060:A1061"/>
    <mergeCell ref="B1060:B1061"/>
    <mergeCell ref="A1062:A1071"/>
    <mergeCell ref="B1062:B1071"/>
  </mergeCells>
  <conditionalFormatting sqref="E940:E1091">
    <cfRule type="cellIs" dxfId="497" priority="21" stopIfTrue="1" operator="equal">
      <formula>0</formula>
    </cfRule>
  </conditionalFormatting>
  <conditionalFormatting sqref="E900:I939">
    <cfRule type="cellIs" dxfId="496" priority="289" stopIfTrue="1" operator="equal">
      <formula>0</formula>
    </cfRule>
  </conditionalFormatting>
  <conditionalFormatting sqref="E6:Q899">
    <cfRule type="cellIs" dxfId="495" priority="150" stopIfTrue="1" operator="equal">
      <formula>0</formula>
    </cfRule>
  </conditionalFormatting>
  <conditionalFormatting sqref="E1092:R1104">
    <cfRule type="cellIs" dxfId="494" priority="64" stopIfTrue="1" operator="equal">
      <formula>0</formula>
    </cfRule>
  </conditionalFormatting>
  <conditionalFormatting sqref="F960:H1091">
    <cfRule type="cellIs" dxfId="493" priority="3" stopIfTrue="1" operator="equal">
      <formula>0</formula>
    </cfRule>
  </conditionalFormatting>
  <conditionalFormatting sqref="F940:O959">
    <cfRule type="cellIs" dxfId="492" priority="291" stopIfTrue="1" operator="equal">
      <formula>0</formula>
    </cfRule>
  </conditionalFormatting>
  <conditionalFormatting sqref="I1032:I1051">
    <cfRule type="cellIs" dxfId="491" priority="12" stopIfTrue="1" operator="equal">
      <formula>0</formula>
    </cfRule>
  </conditionalFormatting>
  <conditionalFormatting sqref="I1052:I1053">
    <cfRule type="cellIs" dxfId="490" priority="19" stopIfTrue="1" operator="equal">
      <formula>0</formula>
    </cfRule>
  </conditionalFormatting>
  <conditionalFormatting sqref="I1060:I1081">
    <cfRule type="cellIs" dxfId="489" priority="1" stopIfTrue="1" operator="equal">
      <formula>0</formula>
    </cfRule>
  </conditionalFormatting>
  <conditionalFormatting sqref="I1082:N1091">
    <cfRule type="cellIs" dxfId="488" priority="34" stopIfTrue="1" operator="equal">
      <formula>0</formula>
    </cfRule>
  </conditionalFormatting>
  <conditionalFormatting sqref="I960:O999">
    <cfRule type="cellIs" dxfId="487" priority="244" stopIfTrue="1" operator="equal">
      <formula>0</formula>
    </cfRule>
  </conditionalFormatting>
  <conditionalFormatting sqref="I1000:O1019">
    <cfRule type="cellIs" dxfId="486" priority="196" stopIfTrue="1" operator="equal">
      <formula>0</formula>
    </cfRule>
  </conditionalFormatting>
  <conditionalFormatting sqref="I1020:O1031">
    <cfRule type="cellIs" dxfId="485" priority="163" stopIfTrue="1" operator="equal">
      <formula>0</formula>
    </cfRule>
  </conditionalFormatting>
  <conditionalFormatting sqref="J1032:N1051">
    <cfRule type="cellIs" dxfId="484" priority="139" stopIfTrue="1" operator="equal">
      <formula>0</formula>
    </cfRule>
  </conditionalFormatting>
  <conditionalFormatting sqref="J1052:N1071">
    <cfRule type="cellIs" dxfId="483" priority="96" stopIfTrue="1" operator="equal">
      <formula>0</formula>
    </cfRule>
  </conditionalFormatting>
  <conditionalFormatting sqref="J1072:N1081">
    <cfRule type="cellIs" dxfId="482" priority="53" stopIfTrue="1" operator="equal">
      <formula>0</formula>
    </cfRule>
  </conditionalFormatting>
  <conditionalFormatting sqref="J900:Q921 J922:O939">
    <cfRule type="cellIs" dxfId="481" priority="293" stopIfTrue="1" operator="equal">
      <formula>0</formula>
    </cfRule>
  </conditionalFormatting>
  <conditionalFormatting sqref="N900:R900 N902:R902 N904:R904 N906:R906 N908:R908 N910:R910 N920:R920 N922:R922 N924:R924 N926:R926 N928:R928 N930:R930 N940:R940 N942:R942 N944:R944 N946:R946 N948:R948 N950:R950 N960:R960 N962:R962 N964:R964 N966:R966 N968:R968 N970:R970 N980:R980 N982:R982 N984:R984 N986:R986 N988:R988 N990:R990">
    <cfRule type="cellIs" dxfId="480" priority="242" stopIfTrue="1" operator="equal">
      <formula>0</formula>
    </cfRule>
  </conditionalFormatting>
  <conditionalFormatting sqref="N1000:R1000 N1002:R1002 N1004:R1004 N1006:R1006 N1008:R1008 N1010:R1010">
    <cfRule type="cellIs" dxfId="479" priority="194" stopIfTrue="1" operator="equal">
      <formula>0</formula>
    </cfRule>
  </conditionalFormatting>
  <conditionalFormatting sqref="N1020:R1020 N1022:R1022 N1024:R1024 N1026:R1026 N1028:R1028 N1030:R1030">
    <cfRule type="cellIs" dxfId="478" priority="161" stopIfTrue="1" operator="equal">
      <formula>0</formula>
    </cfRule>
  </conditionalFormatting>
  <conditionalFormatting sqref="N1040:R1040 N1042:R1042 N1044:R1044 N1046:R1046 N1048:R1048 N1050:R1050">
    <cfRule type="cellIs" dxfId="477" priority="117" stopIfTrue="1" operator="equal">
      <formula>0</formula>
    </cfRule>
  </conditionalFormatting>
  <conditionalFormatting sqref="N1060:R1060 N1062:R1062 N1064:R1064 N1066:R1066 N1068:R1068 N1070:R1070">
    <cfRule type="cellIs" dxfId="476" priority="74" stopIfTrue="1" operator="equal">
      <formula>0</formula>
    </cfRule>
  </conditionalFormatting>
  <conditionalFormatting sqref="N1080:R1080 N1082:R1082 N1084:R1084 N1086:R1086 N1088:R1088 N1090:R1090">
    <cfRule type="cellIs" dxfId="475" priority="31" stopIfTrue="1" operator="equal">
      <formula>0</formula>
    </cfRule>
  </conditionalFormatting>
  <conditionalFormatting sqref="N1102:R1102 N1104:R1104">
    <cfRule type="cellIs" dxfId="474" priority="236" stopIfTrue="1" operator="equal">
      <formula>0</formula>
    </cfRule>
  </conditionalFormatting>
  <conditionalFormatting sqref="N1105:R1105 N1107:R1107 N1109:R1109">
    <cfRule type="cellIs" dxfId="473" priority="238" stopIfTrue="1" operator="equal">
      <formula>0</formula>
    </cfRule>
  </conditionalFormatting>
  <conditionalFormatting sqref="N1105:R1110">
    <cfRule type="cellIs" dxfId="472" priority="237" stopIfTrue="1" operator="equal">
      <formula>0</formula>
    </cfRule>
  </conditionalFormatting>
  <conditionalFormatting sqref="O1040:O1051">
    <cfRule type="cellIs" dxfId="471" priority="119" stopIfTrue="1" operator="equal">
      <formula>0</formula>
    </cfRule>
  </conditionalFormatting>
  <conditionalFormatting sqref="O1060:O1071">
    <cfRule type="cellIs" dxfId="470" priority="76" stopIfTrue="1" operator="equal">
      <formula>0</formula>
    </cfRule>
  </conditionalFormatting>
  <conditionalFormatting sqref="O1080:O1091">
    <cfRule type="cellIs" dxfId="469" priority="33" stopIfTrue="1" operator="equal">
      <formula>0</formula>
    </cfRule>
  </conditionalFormatting>
  <conditionalFormatting sqref="O1032:P1039">
    <cfRule type="cellIs" dxfId="468" priority="144" stopIfTrue="1" operator="equal">
      <formula>0</formula>
    </cfRule>
  </conditionalFormatting>
  <conditionalFormatting sqref="O1052:P1059">
    <cfRule type="cellIs" dxfId="467" priority="101" stopIfTrue="1" operator="equal">
      <formula>0</formula>
    </cfRule>
  </conditionalFormatting>
  <conditionalFormatting sqref="O1072:P1079">
    <cfRule type="cellIs" dxfId="466" priority="58" stopIfTrue="1" operator="equal">
      <formula>0</formula>
    </cfRule>
  </conditionalFormatting>
  <conditionalFormatting sqref="P1040:P1042">
    <cfRule type="cellIs" dxfId="465" priority="133" stopIfTrue="1" operator="equal">
      <formula>0</formula>
    </cfRule>
  </conditionalFormatting>
  <conditionalFormatting sqref="P1060:P1062">
    <cfRule type="cellIs" dxfId="464" priority="90" stopIfTrue="1" operator="equal">
      <formula>0</formula>
    </cfRule>
  </conditionalFormatting>
  <conditionalFormatting sqref="P1080:P1082">
    <cfRule type="cellIs" dxfId="463" priority="47" stopIfTrue="1" operator="equal">
      <formula>0</formula>
    </cfRule>
  </conditionalFormatting>
  <conditionalFormatting sqref="P922:Q962 P964:Q964 P966:Q966 P968:Q968">
    <cfRule type="cellIs" dxfId="462" priority="274" stopIfTrue="1" operator="equal">
      <formula>0</formula>
    </cfRule>
  </conditionalFormatting>
  <conditionalFormatting sqref="P970:Q982 P984:Q984 P986:Q986 P988:Q988 P990:Q990">
    <cfRule type="cellIs" dxfId="461" priority="254" stopIfTrue="1" operator="equal">
      <formula>0</formula>
    </cfRule>
  </conditionalFormatting>
  <conditionalFormatting sqref="P1000:Q1002 P1004:Q1004 P1006:Q1006 P1008:Q1008 P1010:Q1010">
    <cfRule type="cellIs" dxfId="460" priority="206" stopIfTrue="1" operator="equal">
      <formula>0</formula>
    </cfRule>
  </conditionalFormatting>
  <conditionalFormatting sqref="P1020:Q1022 P1024:Q1024 P1026:Q1026 P1028:Q1028 P1030:Q1030">
    <cfRule type="cellIs" dxfId="459" priority="173" stopIfTrue="1" operator="equal">
      <formula>0</formula>
    </cfRule>
  </conditionalFormatting>
  <conditionalFormatting sqref="P1050:Q1051">
    <cfRule type="cellIs" dxfId="458" priority="127" stopIfTrue="1" operator="equal">
      <formula>0</formula>
    </cfRule>
  </conditionalFormatting>
  <conditionalFormatting sqref="P1070:Q1071">
    <cfRule type="cellIs" dxfId="457" priority="84" stopIfTrue="1" operator="equal">
      <formula>0</formula>
    </cfRule>
  </conditionalFormatting>
  <conditionalFormatting sqref="P963:R963 P965:R965 P967:R967 P969:R969">
    <cfRule type="cellIs" dxfId="456" priority="223" stopIfTrue="1" operator="equal">
      <formula>0</formula>
    </cfRule>
  </conditionalFormatting>
  <conditionalFormatting sqref="P983:R983 P985:R985 P987:R987 P989:R989 P991:R999">
    <cfRule type="cellIs" dxfId="455" priority="217" stopIfTrue="1" operator="equal">
      <formula>0</formula>
    </cfRule>
  </conditionalFormatting>
  <conditionalFormatting sqref="P1003:R1003 P1005:R1005 P1007:R1007 P1009:R1009 P1011:R1019">
    <cfRule type="cellIs" dxfId="454" priority="185" stopIfTrue="1" operator="equal">
      <formula>0</formula>
    </cfRule>
  </conditionalFormatting>
  <conditionalFormatting sqref="P1023:R1023 P1025:R1025 P1027:R1027 P1029:R1029 P1031:R1031">
    <cfRule type="cellIs" dxfId="453" priority="152" stopIfTrue="1" operator="equal">
      <formula>0</formula>
    </cfRule>
  </conditionalFormatting>
  <conditionalFormatting sqref="P1043:R1043 P1045:R1045 P1047:R1047 P1049:R1049">
    <cfRule type="cellIs" dxfId="452" priority="108" stopIfTrue="1" operator="equal">
      <formula>0</formula>
    </cfRule>
  </conditionalFormatting>
  <conditionalFormatting sqref="P1063:R1063 P1065:R1065 P1067:R1067 P1069:R1069">
    <cfRule type="cellIs" dxfId="451" priority="65" stopIfTrue="1" operator="equal">
      <formula>0</formula>
    </cfRule>
  </conditionalFormatting>
  <conditionalFormatting sqref="P1083:R1083 P1085:R1085 P1087:R1087 P1089:R1089 P1091:R1091">
    <cfRule type="cellIs" dxfId="450" priority="22" stopIfTrue="1" operator="equal">
      <formula>0</formula>
    </cfRule>
  </conditionalFormatting>
  <conditionalFormatting sqref="Q1032:Q1042 P1044:Q1044 P1046:Q1046 P1048:Q1048">
    <cfRule type="cellIs" dxfId="449" priority="129" stopIfTrue="1" operator="equal">
      <formula>0</formula>
    </cfRule>
  </conditionalFormatting>
  <conditionalFormatting sqref="Q1052:Q1062 P1064:Q1064 P1066:Q1066 P1068:Q1068">
    <cfRule type="cellIs" dxfId="448" priority="86" stopIfTrue="1" operator="equal">
      <formula>0</formula>
    </cfRule>
  </conditionalFormatting>
  <conditionalFormatting sqref="Q1072:Q1082 P1084:Q1084 P1086:Q1086 P1088:Q1088 P1090:Q1090">
    <cfRule type="cellIs" dxfId="447" priority="43" stopIfTrue="1" operator="equal">
      <formula>0</formula>
    </cfRule>
  </conditionalFormatting>
  <conditionalFormatting sqref="R900 R902 R904 R906 R908 R910 R920 R922 R924 R926 R928 R930 R940 R942 R944 R946 R948 R950 R960 R962 R964 R966 R968 R970 R980 R982 R984 R986 R988 R990">
    <cfRule type="cellIs" dxfId="446" priority="239" stopIfTrue="1" operator="equal">
      <formula>0</formula>
    </cfRule>
  </conditionalFormatting>
  <conditionalFormatting sqref="R900 R902 R904 R906 R908 R910">
    <cfRule type="cellIs" dxfId="445" priority="233" stopIfTrue="1" operator="equal">
      <formula>0</formula>
    </cfRule>
  </conditionalFormatting>
  <conditionalFormatting sqref="R900:R919">
    <cfRule type="cellIs" dxfId="444" priority="234" stopIfTrue="1" operator="equal">
      <formula>0</formula>
    </cfRule>
  </conditionalFormatting>
  <conditionalFormatting sqref="R900:R999">
    <cfRule type="cellIs" dxfId="443" priority="240" stopIfTrue="1" operator="equal">
      <formula>0</formula>
    </cfRule>
  </conditionalFormatting>
  <conditionalFormatting sqref="R920 R922 R924 R926 R928 R930">
    <cfRule type="cellIs" dxfId="442" priority="231" stopIfTrue="1" operator="equal">
      <formula>0</formula>
    </cfRule>
  </conditionalFormatting>
  <conditionalFormatting sqref="R920:R939">
    <cfRule type="cellIs" dxfId="441" priority="232" stopIfTrue="1" operator="equal">
      <formula>0</formula>
    </cfRule>
  </conditionalFormatting>
  <conditionalFormatting sqref="R940 R942 R944 R946 R948 R950">
    <cfRule type="cellIs" dxfId="440" priority="229" stopIfTrue="1" operator="equal">
      <formula>0</formula>
    </cfRule>
  </conditionalFormatting>
  <conditionalFormatting sqref="R940:R959">
    <cfRule type="cellIs" dxfId="439" priority="230" stopIfTrue="1" operator="equal">
      <formula>0</formula>
    </cfRule>
  </conditionalFormatting>
  <conditionalFormatting sqref="R960">
    <cfRule type="cellIs" dxfId="438" priority="228" stopIfTrue="1" operator="equal">
      <formula>0</formula>
    </cfRule>
    <cfRule type="cellIs" dxfId="437" priority="227" stopIfTrue="1" operator="equal">
      <formula>0</formula>
    </cfRule>
  </conditionalFormatting>
  <conditionalFormatting sqref="R961:R962 R964 R966 R968 R970">
    <cfRule type="cellIs" dxfId="436" priority="225" stopIfTrue="1" operator="equal">
      <formula>0</formula>
    </cfRule>
  </conditionalFormatting>
  <conditionalFormatting sqref="R962 R964 R966 R968 R970">
    <cfRule type="cellIs" dxfId="435" priority="224" stopIfTrue="1" operator="equal">
      <formula>0</formula>
    </cfRule>
  </conditionalFormatting>
  <conditionalFormatting sqref="R971:R980">
    <cfRule type="cellIs" dxfId="434" priority="222" stopIfTrue="1" operator="equal">
      <formula>0</formula>
    </cfRule>
  </conditionalFormatting>
  <conditionalFormatting sqref="R980">
    <cfRule type="cellIs" dxfId="433" priority="221" stopIfTrue="1" operator="equal">
      <formula>0</formula>
    </cfRule>
  </conditionalFormatting>
  <conditionalFormatting sqref="R981:R982 R984 R986 R988 R990">
    <cfRule type="cellIs" dxfId="432" priority="219" stopIfTrue="1" operator="equal">
      <formula>0</formula>
    </cfRule>
  </conditionalFormatting>
  <conditionalFormatting sqref="R982 R984 R986 R988 R990">
    <cfRule type="cellIs" dxfId="431" priority="218" stopIfTrue="1" operator="equal">
      <formula>0</formula>
    </cfRule>
  </conditionalFormatting>
  <conditionalFormatting sqref="R1000 R1002 R1004 R1006 R1008 R1010">
    <cfRule type="cellIs" dxfId="430" priority="191" stopIfTrue="1" operator="equal">
      <formula>0</formula>
    </cfRule>
  </conditionalFormatting>
  <conditionalFormatting sqref="R1000">
    <cfRule type="cellIs" dxfId="429" priority="189" stopIfTrue="1" operator="equal">
      <formula>0</formula>
    </cfRule>
    <cfRule type="cellIs" dxfId="428" priority="190" stopIfTrue="1" operator="equal">
      <formula>0</formula>
    </cfRule>
  </conditionalFormatting>
  <conditionalFormatting sqref="R1000:R1019">
    <cfRule type="cellIs" dxfId="427" priority="192" stopIfTrue="1" operator="equal">
      <formula>0</formula>
    </cfRule>
  </conditionalFormatting>
  <conditionalFormatting sqref="R1001:R1002 R1004 R1006 R1008 R1010">
    <cfRule type="cellIs" dxfId="426" priority="187" stopIfTrue="1" operator="equal">
      <formula>0</formula>
    </cfRule>
  </conditionalFormatting>
  <conditionalFormatting sqref="R1002 R1004 R1006 R1008 R1010">
    <cfRule type="cellIs" dxfId="425" priority="186" stopIfTrue="1" operator="equal">
      <formula>0</formula>
    </cfRule>
  </conditionalFormatting>
  <conditionalFormatting sqref="R1020 R1022 R1024 R1026 R1028 R1030">
    <cfRule type="cellIs" dxfId="424" priority="158" stopIfTrue="1" operator="equal">
      <formula>0</formula>
    </cfRule>
  </conditionalFormatting>
  <conditionalFormatting sqref="R1020">
    <cfRule type="cellIs" dxfId="423" priority="156" stopIfTrue="1" operator="equal">
      <formula>0</formula>
    </cfRule>
    <cfRule type="cellIs" dxfId="422" priority="157" stopIfTrue="1" operator="equal">
      <formula>0</formula>
    </cfRule>
  </conditionalFormatting>
  <conditionalFormatting sqref="R1020:R1031">
    <cfRule type="cellIs" dxfId="421" priority="159" stopIfTrue="1" operator="equal">
      <formula>0</formula>
    </cfRule>
  </conditionalFormatting>
  <conditionalFormatting sqref="R1021:R1022 R1024 R1026 R1028 R1030">
    <cfRule type="cellIs" dxfId="420" priority="154" stopIfTrue="1" operator="equal">
      <formula>0</formula>
    </cfRule>
  </conditionalFormatting>
  <conditionalFormatting sqref="R1022 R1024 R1026 R1028 R1030">
    <cfRule type="cellIs" dxfId="419" priority="153" stopIfTrue="1" operator="equal">
      <formula>0</formula>
    </cfRule>
  </conditionalFormatting>
  <conditionalFormatting sqref="R1032:R1051">
    <cfRule type="cellIs" dxfId="418" priority="115" stopIfTrue="1" operator="equal">
      <formula>0</formula>
    </cfRule>
  </conditionalFormatting>
  <conditionalFormatting sqref="R1040 R1042 R1044 R1046 R1048 R1050">
    <cfRule type="cellIs" dxfId="417" priority="114" stopIfTrue="1" operator="equal">
      <formula>0</formula>
    </cfRule>
  </conditionalFormatting>
  <conditionalFormatting sqref="R1040">
    <cfRule type="cellIs" dxfId="416" priority="112" stopIfTrue="1" operator="equal">
      <formula>0</formula>
    </cfRule>
    <cfRule type="cellIs" dxfId="415" priority="113" stopIfTrue="1" operator="equal">
      <formula>0</formula>
    </cfRule>
  </conditionalFormatting>
  <conditionalFormatting sqref="R1041:R1042 R1044 R1046 R1048 R1050">
    <cfRule type="cellIs" dxfId="414" priority="110" stopIfTrue="1" operator="equal">
      <formula>0</formula>
    </cfRule>
  </conditionalFormatting>
  <conditionalFormatting sqref="R1042 R1044 R1046 R1048 R1050">
    <cfRule type="cellIs" dxfId="413" priority="109" stopIfTrue="1" operator="equal">
      <formula>0</formula>
    </cfRule>
  </conditionalFormatting>
  <conditionalFormatting sqref="R1051:R1071">
    <cfRule type="cellIs" dxfId="412" priority="72" stopIfTrue="1" operator="equal">
      <formula>0</formula>
    </cfRule>
  </conditionalFormatting>
  <conditionalFormatting sqref="R1060 R1062 R1064 R1066 R1068 R1070">
    <cfRule type="cellIs" dxfId="411" priority="71" stopIfTrue="1" operator="equal">
      <formula>0</formula>
    </cfRule>
  </conditionalFormatting>
  <conditionalFormatting sqref="R1060">
    <cfRule type="cellIs" dxfId="410" priority="69" stopIfTrue="1" operator="equal">
      <formula>0</formula>
    </cfRule>
    <cfRule type="cellIs" dxfId="409" priority="70" stopIfTrue="1" operator="equal">
      <formula>0</formula>
    </cfRule>
  </conditionalFormatting>
  <conditionalFormatting sqref="R1061:R1062 R1064 R1066 R1068 R1070">
    <cfRule type="cellIs" dxfId="408" priority="67" stopIfTrue="1" operator="equal">
      <formula>0</formula>
    </cfRule>
  </conditionalFormatting>
  <conditionalFormatting sqref="R1062 R1064 R1066 R1068 R1070">
    <cfRule type="cellIs" dxfId="407" priority="66" stopIfTrue="1" operator="equal">
      <formula>0</formula>
    </cfRule>
  </conditionalFormatting>
  <conditionalFormatting sqref="R1071:R1091">
    <cfRule type="cellIs" dxfId="406" priority="29" stopIfTrue="1" operator="equal">
      <formula>0</formula>
    </cfRule>
  </conditionalFormatting>
  <conditionalFormatting sqref="R1080 R1082 R1084 R1086 R1088 R1090">
    <cfRule type="cellIs" dxfId="405" priority="28" stopIfTrue="1" operator="equal">
      <formula>0</formula>
    </cfRule>
  </conditionalFormatting>
  <conditionalFormatting sqref="R1080">
    <cfRule type="cellIs" dxfId="404" priority="26" stopIfTrue="1" operator="equal">
      <formula>0</formula>
    </cfRule>
    <cfRule type="cellIs" dxfId="403" priority="27" stopIfTrue="1" operator="equal">
      <formula>0</formula>
    </cfRule>
  </conditionalFormatting>
  <conditionalFormatting sqref="R1081:R1082 R1084 R1086 R1088 R1090">
    <cfRule type="cellIs" dxfId="402" priority="24" stopIfTrue="1" operator="equal">
      <formula>0</formula>
    </cfRule>
  </conditionalFormatting>
  <conditionalFormatting sqref="R1082 R1084 R1086 R1088 R1090">
    <cfRule type="cellIs" dxfId="401" priority="23"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C1:K101"/>
  <sheetViews>
    <sheetView workbookViewId="0">
      <selection activeCell="E2" sqref="E2:J2"/>
    </sheetView>
  </sheetViews>
  <sheetFormatPr defaultColWidth="8.85546875" defaultRowHeight="150" customHeight="1" x14ac:dyDescent="0.25"/>
  <cols>
    <col min="1" max="1" width="1.5703125" style="246" customWidth="1"/>
    <col min="2" max="2" width="0.42578125" style="246" customWidth="1"/>
    <col min="3" max="3" width="82.28515625" style="246" customWidth="1"/>
    <col min="4" max="16384" width="8.85546875" style="246"/>
  </cols>
  <sheetData>
    <row r="1" spans="3:11" ht="101.45" customHeight="1" thickBot="1" x14ac:dyDescent="0.3">
      <c r="C1" s="263" t="s">
        <v>572</v>
      </c>
      <c r="E1" s="666" t="s">
        <v>494</v>
      </c>
      <c r="F1" s="666"/>
      <c r="G1" s="666"/>
      <c r="H1" s="666"/>
      <c r="I1" s="666"/>
      <c r="J1" s="666"/>
      <c r="K1" s="666"/>
    </row>
    <row r="2" spans="3:11" ht="101.45" customHeight="1" thickBot="1" x14ac:dyDescent="0.55000000000000004">
      <c r="C2" s="263" t="s">
        <v>573</v>
      </c>
      <c r="E2" s="715" t="s">
        <v>395</v>
      </c>
      <c r="F2" s="716"/>
      <c r="G2" s="716"/>
      <c r="H2" s="716"/>
      <c r="I2" s="716"/>
      <c r="J2" s="717"/>
    </row>
    <row r="3" spans="3:11" ht="136.15" customHeight="1" thickBot="1" x14ac:dyDescent="0.4">
      <c r="C3" s="263" t="s">
        <v>574</v>
      </c>
      <c r="D3" s="402"/>
      <c r="E3" s="664" t="s">
        <v>415</v>
      </c>
      <c r="F3" s="664"/>
      <c r="G3" s="664"/>
      <c r="H3" s="664"/>
      <c r="I3" s="664"/>
      <c r="J3" s="403"/>
      <c r="K3" s="404"/>
    </row>
    <row r="4" spans="3:11" ht="200.45" customHeight="1" x14ac:dyDescent="0.25">
      <c r="C4" s="263" t="s">
        <v>575</v>
      </c>
    </row>
    <row r="5" spans="3:11" ht="90.75" customHeight="1" x14ac:dyDescent="0.25">
      <c r="C5" s="263" t="s">
        <v>585</v>
      </c>
    </row>
    <row r="6" spans="3:11" ht="12.6" customHeight="1" x14ac:dyDescent="0.25">
      <c r="C6" s="263"/>
    </row>
    <row r="7" spans="3:11" ht="10.15" customHeight="1" x14ac:dyDescent="0.25">
      <c r="C7" s="263"/>
    </row>
    <row r="8" spans="3:11" ht="10.15" customHeight="1" x14ac:dyDescent="0.25">
      <c r="C8" s="263"/>
    </row>
    <row r="9" spans="3:11" ht="9" customHeight="1" x14ac:dyDescent="0.25">
      <c r="C9" s="263"/>
    </row>
    <row r="10" spans="3:11" ht="147.75" customHeight="1" x14ac:dyDescent="0.25">
      <c r="C10" s="263" t="str">
        <f>risultatobis!CQ6</f>
        <v>Considerato che l'interessata è:Insegnante Religione Primaria
ha effettuato il quadriennio previsto con i seguenti incarichi annuali:
2019/2020 - 2020/2021 - 2021/2022 - 2022/2023
Ha maturato il beneficio alla ricostruzione al quinto anno: 2024/2025
Avendo l'interessato, prima della decorrenza della ricostruzione/quinto anno, maturato la seguente anzianità valida di ANNI:5
Risultano ai fini giuridici economici: - Anni:4 - Mesi:8 - Giorni:0
 E ai soli fini economici Anni:0 - Mesi:4 - Giorni:0</v>
      </c>
    </row>
    <row r="11" spans="3:11" ht="24.6" hidden="1" customHeight="1" x14ac:dyDescent="0.25">
      <c r="C11" s="263"/>
    </row>
    <row r="12" spans="3:11" ht="33" hidden="1" customHeight="1" x14ac:dyDescent="0.25">
      <c r="C12" s="263"/>
    </row>
    <row r="13" spans="3:11" ht="19.149999999999999" hidden="1" customHeight="1" x14ac:dyDescent="0.25">
      <c r="C13" s="263"/>
    </row>
    <row r="14" spans="3:11" ht="25.9" hidden="1" customHeight="1" x14ac:dyDescent="0.25">
      <c r="C14" s="263"/>
    </row>
    <row r="15" spans="3:11" ht="25.9" hidden="1" customHeight="1" x14ac:dyDescent="0.25">
      <c r="C15" s="263"/>
    </row>
    <row r="16" spans="3:11" ht="30.6" hidden="1" customHeight="1" x14ac:dyDescent="0.25">
      <c r="C16" s="263"/>
    </row>
    <row r="17" spans="3:3" ht="24.6" hidden="1" customHeight="1" x14ac:dyDescent="0.25">
      <c r="C17" s="263"/>
    </row>
    <row r="18" spans="3:3" ht="37.15" hidden="1" customHeight="1" x14ac:dyDescent="0.25">
      <c r="C18" s="263"/>
    </row>
    <row r="19" spans="3:3" ht="21" hidden="1" customHeight="1" x14ac:dyDescent="0.25">
      <c r="C19" s="263"/>
    </row>
    <row r="20" spans="3:3" ht="62.25" customHeight="1" x14ac:dyDescent="0.25">
      <c r="C20" s="263" t="s">
        <v>325</v>
      </c>
    </row>
    <row r="21" spans="3:3" ht="150" customHeight="1" x14ac:dyDescent="0.25">
      <c r="C21" s="263" t="str">
        <f ca="1">risultatobis!CA18</f>
        <v xml:space="preserve">ARTICOLO 1
Con decorrenza dal:1/9/2024 Spetta fascia:0-2anni  C.C.N.L. COMPARTO  SCUOLA del Dicembre 2022
Retribuzione euro:20897,2
I.V.C. euro:104,49
R.P.D. euro:2214
TOTALE EURO:23215,69
 altri assegni previsti per legge
</v>
      </c>
    </row>
    <row r="22" spans="3:3" ht="150" customHeight="1" x14ac:dyDescent="0.25">
      <c r="C22" s="263" t="str">
        <f ca="1">risultatobis!CA19</f>
        <v xml:space="preserve">_________________________________________________________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LO STIPENDIO VA RAPPORTATO ALLE EFFETTIVE ORE DI SERVIZIO PRESTATE.							
IL PRESENTE DECRETO SARA’ INVIATO ALLA RAGIONERIA PROVINCIALE DELLO STATO PER QUANTO DI COMPETENZA .							
NELLE MORE DI QUANTO SOPRA, SE NE DISPONE IN VIA PROVVISORIA L’ESECUZIONE AI SENSI DELL’ART. 8 DEL D.L. 06/09/1972 N. 504, CONVERTITO CON MODIFICAZIONI NELLA L. 01/11/1972, N. 625 E DELL’ART. 172 DELLA L. 11/07/80 N. 312.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	</v>
      </c>
    </row>
    <row r="23" spans="3:3" ht="150" customHeight="1" x14ac:dyDescent="0.25">
      <c r="C23" s="263" t="str">
        <f ca="1">risultatobis!CA20</f>
        <v/>
      </c>
    </row>
    <row r="24" spans="3:3" ht="150" customHeight="1" x14ac:dyDescent="0.25">
      <c r="C24" s="263" t="str">
        <f ca="1">risultatobis!CA21</f>
        <v/>
      </c>
    </row>
    <row r="25" spans="3:3" ht="150" customHeight="1" x14ac:dyDescent="0.25">
      <c r="C25" s="263" t="str">
        <f ca="1">risultatobis!CA22</f>
        <v/>
      </c>
    </row>
    <row r="26" spans="3:3" ht="150" customHeight="1" x14ac:dyDescent="0.25">
      <c r="C26" s="263" t="str">
        <f ca="1">risultatobis!CA23</f>
        <v/>
      </c>
    </row>
    <row r="27" spans="3:3" ht="150" customHeight="1" x14ac:dyDescent="0.25">
      <c r="C27" s="263" t="str">
        <f ca="1">risultatobis!CA24</f>
        <v/>
      </c>
    </row>
    <row r="28" spans="3:3" ht="150" customHeight="1" x14ac:dyDescent="0.25">
      <c r="C28" s="263" t="str">
        <f ca="1">risultatobis!CA25</f>
        <v/>
      </c>
    </row>
    <row r="29" spans="3:3" ht="150" customHeight="1" x14ac:dyDescent="0.25">
      <c r="C29" s="263" t="str">
        <f ca="1">risultatobis!CA26</f>
        <v/>
      </c>
    </row>
    <row r="30" spans="3:3" ht="150" customHeight="1" x14ac:dyDescent="0.25">
      <c r="C30" s="263" t="str">
        <f ca="1">risultatobis!CA27</f>
        <v/>
      </c>
    </row>
    <row r="31" spans="3:3" ht="150" customHeight="1" x14ac:dyDescent="0.25">
      <c r="C31" s="263" t="str">
        <f ca="1">risultatobis!CA28</f>
        <v/>
      </c>
    </row>
    <row r="32" spans="3:3" ht="150" customHeight="1" x14ac:dyDescent="0.25">
      <c r="C32" s="263" t="str">
        <f ca="1">risultatobis!CA29</f>
        <v/>
      </c>
    </row>
    <row r="33" spans="3:3" ht="150" customHeight="1" x14ac:dyDescent="0.25">
      <c r="C33" s="263" t="str">
        <f ca="1">risultatobis!CA30</f>
        <v/>
      </c>
    </row>
    <row r="34" spans="3:3" ht="150" customHeight="1" x14ac:dyDescent="0.25">
      <c r="C34" s="263" t="str">
        <f ca="1">risultatobis!CA31</f>
        <v/>
      </c>
    </row>
    <row r="35" spans="3:3" ht="150" customHeight="1" x14ac:dyDescent="0.25">
      <c r="C35" s="263" t="str">
        <f ca="1">risultatobis!CA32</f>
        <v/>
      </c>
    </row>
    <row r="36" spans="3:3" ht="150" customHeight="1" x14ac:dyDescent="0.25">
      <c r="C36" s="263" t="str">
        <f ca="1">risultatobis!CA33</f>
        <v/>
      </c>
    </row>
    <row r="37" spans="3:3" ht="150" customHeight="1" x14ac:dyDescent="0.25">
      <c r="C37" s="263" t="str">
        <f ca="1">risultatobis!CA34</f>
        <v/>
      </c>
    </row>
    <row r="38" spans="3:3" ht="150" customHeight="1" x14ac:dyDescent="0.25">
      <c r="C38" s="263" t="str">
        <f ca="1">risultatobis!CA35</f>
        <v/>
      </c>
    </row>
    <row r="39" spans="3:3" ht="150" customHeight="1" x14ac:dyDescent="0.25">
      <c r="C39" s="263" t="str">
        <f ca="1">risultatobis!CA36</f>
        <v/>
      </c>
    </row>
    <row r="40" spans="3:3" ht="150" customHeight="1" x14ac:dyDescent="0.25">
      <c r="C40" s="263" t="str">
        <f ca="1">risultatobis!CA37</f>
        <v/>
      </c>
    </row>
    <row r="41" spans="3:3" ht="150" customHeight="1" x14ac:dyDescent="0.25">
      <c r="C41" s="263" t="str">
        <f ca="1">risultatobis!CA38</f>
        <v/>
      </c>
    </row>
    <row r="42" spans="3:3" ht="150" customHeight="1" x14ac:dyDescent="0.25">
      <c r="C42" s="263" t="str">
        <f ca="1">risultatobis!CA39</f>
        <v/>
      </c>
    </row>
    <row r="43" spans="3:3" ht="150" customHeight="1" x14ac:dyDescent="0.25">
      <c r="C43" s="263" t="str">
        <f ca="1">risultatobis!CA40</f>
        <v/>
      </c>
    </row>
    <row r="44" spans="3:3" ht="150" customHeight="1" x14ac:dyDescent="0.25">
      <c r="C44" s="263" t="str">
        <f ca="1">risultatobis!CA41</f>
        <v/>
      </c>
    </row>
    <row r="45" spans="3:3" ht="150" customHeight="1" x14ac:dyDescent="0.25">
      <c r="C45" s="263" t="str">
        <f ca="1">risultatobis!CA42</f>
        <v/>
      </c>
    </row>
    <row r="46" spans="3:3" ht="150" customHeight="1" x14ac:dyDescent="0.25">
      <c r="C46" s="263" t="str">
        <f ca="1">risultatobis!CA43</f>
        <v/>
      </c>
    </row>
    <row r="47" spans="3:3" ht="150" customHeight="1" x14ac:dyDescent="0.25">
      <c r="C47" s="263" t="str">
        <f ca="1">risultatobis!CA44</f>
        <v/>
      </c>
    </row>
    <row r="48" spans="3:3" ht="150" customHeight="1" x14ac:dyDescent="0.25">
      <c r="C48" s="263" t="str">
        <f ca="1">risultatobis!CA45</f>
        <v/>
      </c>
    </row>
    <row r="49" spans="3:3" ht="150" customHeight="1" x14ac:dyDescent="0.25">
      <c r="C49" s="263" t="str">
        <f ca="1">risultatobis!CA46</f>
        <v/>
      </c>
    </row>
    <row r="50" spans="3:3" ht="150" customHeight="1" x14ac:dyDescent="0.25">
      <c r="C50" s="263" t="str">
        <f ca="1">risultatobis!CA47</f>
        <v/>
      </c>
    </row>
    <row r="51" spans="3:3" ht="150" customHeight="1" x14ac:dyDescent="0.25">
      <c r="C51" s="263" t="str">
        <f ca="1">risultatobis!CA48</f>
        <v/>
      </c>
    </row>
    <row r="52" spans="3:3" ht="150" customHeight="1" x14ac:dyDescent="0.25">
      <c r="C52" s="263" t="str">
        <f ca="1">risultatobis!CA49</f>
        <v/>
      </c>
    </row>
    <row r="53" spans="3:3" ht="150" customHeight="1" x14ac:dyDescent="0.25">
      <c r="C53" s="263" t="str">
        <f ca="1">risultatobis!CA50</f>
        <v/>
      </c>
    </row>
    <row r="54" spans="3:3" ht="150" customHeight="1" x14ac:dyDescent="0.25">
      <c r="C54" s="263" t="str">
        <f ca="1">risultatobis!CA51</f>
        <v/>
      </c>
    </row>
    <row r="55" spans="3:3" ht="150" customHeight="1" x14ac:dyDescent="0.25">
      <c r="C55" s="263" t="str">
        <f ca="1">risultatobis!CA52</f>
        <v/>
      </c>
    </row>
    <row r="56" spans="3:3" ht="150" customHeight="1" x14ac:dyDescent="0.25">
      <c r="C56" s="263" t="str">
        <f ca="1">risultatobis!CA53</f>
        <v/>
      </c>
    </row>
    <row r="57" spans="3:3" ht="150" customHeight="1" x14ac:dyDescent="0.25">
      <c r="C57" s="263" t="str">
        <f ca="1">risultatobis!CA54</f>
        <v/>
      </c>
    </row>
    <row r="58" spans="3:3" ht="150" customHeight="1" x14ac:dyDescent="0.25">
      <c r="C58" s="263" t="str">
        <f ca="1">risultatobis!CA55</f>
        <v/>
      </c>
    </row>
    <row r="59" spans="3:3" ht="150" customHeight="1" x14ac:dyDescent="0.25">
      <c r="C59" s="263" t="str">
        <f ca="1">risultatobis!CA56</f>
        <v/>
      </c>
    </row>
    <row r="60" spans="3:3" ht="150" customHeight="1" x14ac:dyDescent="0.25">
      <c r="C60" s="263" t="str">
        <f ca="1">risultatobis!CA57</f>
        <v/>
      </c>
    </row>
    <row r="61" spans="3:3" ht="150" customHeight="1" x14ac:dyDescent="0.25">
      <c r="C61" s="263" t="str">
        <f ca="1">risultatobis!CA58</f>
        <v/>
      </c>
    </row>
    <row r="62" spans="3:3" ht="150" customHeight="1" x14ac:dyDescent="0.25">
      <c r="C62" s="263" t="str">
        <f ca="1">risultatobis!CA59</f>
        <v/>
      </c>
    </row>
    <row r="63" spans="3:3" ht="150" customHeight="1" x14ac:dyDescent="0.25">
      <c r="C63" s="263" t="str">
        <f ca="1">risultatobis!CA60</f>
        <v/>
      </c>
    </row>
    <row r="64" spans="3:3" ht="150" customHeight="1" x14ac:dyDescent="0.25">
      <c r="C64" s="263" t="str">
        <f ca="1">risultatobis!CA61</f>
        <v/>
      </c>
    </row>
    <row r="65" spans="3:3" ht="150" customHeight="1" x14ac:dyDescent="0.25">
      <c r="C65" s="263">
        <f>risultatobis!CA62</f>
        <v>0</v>
      </c>
    </row>
    <row r="66" spans="3:3" ht="150" customHeight="1" x14ac:dyDescent="0.25">
      <c r="C66" s="310"/>
    </row>
    <row r="67" spans="3:3" ht="150" customHeight="1" x14ac:dyDescent="0.25">
      <c r="C67" s="310"/>
    </row>
    <row r="68" spans="3:3" ht="150" customHeight="1" x14ac:dyDescent="0.25">
      <c r="C68" s="310"/>
    </row>
    <row r="69" spans="3:3" ht="150" customHeight="1" x14ac:dyDescent="0.25">
      <c r="C69" s="310"/>
    </row>
    <row r="70" spans="3:3" ht="150" customHeight="1" x14ac:dyDescent="0.25">
      <c r="C70" s="310"/>
    </row>
    <row r="71" spans="3:3" ht="150" customHeight="1" x14ac:dyDescent="0.25">
      <c r="C71" s="310"/>
    </row>
    <row r="72" spans="3:3" ht="150" customHeight="1" x14ac:dyDescent="0.25">
      <c r="C72" s="310"/>
    </row>
    <row r="73" spans="3:3" ht="150" customHeight="1" x14ac:dyDescent="0.25">
      <c r="C73" s="310"/>
    </row>
    <row r="74" spans="3:3" ht="150" customHeight="1" x14ac:dyDescent="0.25">
      <c r="C74" s="310"/>
    </row>
    <row r="75" spans="3:3" ht="150" customHeight="1" x14ac:dyDescent="0.25">
      <c r="C75" s="310"/>
    </row>
    <row r="76" spans="3:3" ht="150" customHeight="1" x14ac:dyDescent="0.25">
      <c r="C76" s="310"/>
    </row>
    <row r="77" spans="3:3" ht="150" customHeight="1" x14ac:dyDescent="0.25">
      <c r="C77" s="310"/>
    </row>
    <row r="78" spans="3:3" ht="150" customHeight="1" x14ac:dyDescent="0.25">
      <c r="C78" s="310" t="str">
        <f>Foglio7ti!HO97</f>
        <v/>
      </c>
    </row>
    <row r="79" spans="3:3" ht="150" customHeight="1" x14ac:dyDescent="0.25">
      <c r="C79" s="310" t="str">
        <f>Foglio7ti!HO98</f>
        <v/>
      </c>
    </row>
    <row r="80" spans="3:3" ht="150" customHeight="1" x14ac:dyDescent="0.25">
      <c r="C80" s="310" t="str">
        <f>Foglio7ti!HO99</f>
        <v/>
      </c>
    </row>
    <row r="81" spans="3:3" ht="150" customHeight="1" x14ac:dyDescent="0.25">
      <c r="C81" s="310" t="str">
        <f>Foglio7ti!HO100</f>
        <v/>
      </c>
    </row>
    <row r="82" spans="3:3" ht="150" customHeight="1" x14ac:dyDescent="0.25">
      <c r="C82" s="310" t="str">
        <f>Foglio7ti!HO101</f>
        <v/>
      </c>
    </row>
    <row r="83" spans="3:3" ht="150" customHeight="1" x14ac:dyDescent="0.25">
      <c r="C83" s="310">
        <f>Foglio7ti!HO102</f>
        <v>0</v>
      </c>
    </row>
    <row r="84" spans="3:3" ht="150" customHeight="1" x14ac:dyDescent="0.25">
      <c r="C84" s="310">
        <f>Foglio7ti!HO103</f>
        <v>0</v>
      </c>
    </row>
    <row r="85" spans="3:3" ht="150" customHeight="1" x14ac:dyDescent="0.25">
      <c r="C85" s="310">
        <f>Foglio7ti!HO104</f>
        <v>0</v>
      </c>
    </row>
    <row r="86" spans="3:3" ht="150" customHeight="1" x14ac:dyDescent="0.25">
      <c r="C86" s="310">
        <f>Foglio7ti!HO105</f>
        <v>0</v>
      </c>
    </row>
    <row r="87" spans="3:3" ht="150" customHeight="1" x14ac:dyDescent="0.25">
      <c r="C87" s="310">
        <f>Foglio7ti!HO106</f>
        <v>0</v>
      </c>
    </row>
    <row r="88" spans="3:3" ht="150" customHeight="1" x14ac:dyDescent="0.25">
      <c r="C88" s="310">
        <f>Foglio7ti!HO107</f>
        <v>0</v>
      </c>
    </row>
    <row r="89" spans="3:3" ht="150" customHeight="1" x14ac:dyDescent="0.25">
      <c r="C89" s="310">
        <f>Foglio7ti!HO108</f>
        <v>0</v>
      </c>
    </row>
    <row r="90" spans="3:3" ht="150" customHeight="1" x14ac:dyDescent="0.25">
      <c r="C90" s="310">
        <f>Foglio7ti!HO109</f>
        <v>0</v>
      </c>
    </row>
    <row r="91" spans="3:3" ht="150" customHeight="1" x14ac:dyDescent="0.25">
      <c r="C91" s="310">
        <f>Foglio7ti!HO110</f>
        <v>0</v>
      </c>
    </row>
    <row r="92" spans="3:3" ht="150" customHeight="1" x14ac:dyDescent="0.25">
      <c r="C92" s="310">
        <f>Foglio7ti!HO111</f>
        <v>0</v>
      </c>
    </row>
    <row r="93" spans="3:3" ht="150" customHeight="1" x14ac:dyDescent="0.25">
      <c r="C93" s="310">
        <f>Foglio7ti!HO112</f>
        <v>0</v>
      </c>
    </row>
    <row r="94" spans="3:3" ht="150" customHeight="1" x14ac:dyDescent="0.25">
      <c r="C94" s="310">
        <f>Foglio7ti!HO113</f>
        <v>0</v>
      </c>
    </row>
    <row r="95" spans="3:3" ht="150" customHeight="1" x14ac:dyDescent="0.25">
      <c r="C95" s="310">
        <f>Foglio7ti!HO114</f>
        <v>0</v>
      </c>
    </row>
    <row r="96" spans="3:3" ht="150" customHeight="1" x14ac:dyDescent="0.25">
      <c r="C96" s="310">
        <f>Foglio7ti!HO115</f>
        <v>0</v>
      </c>
    </row>
    <row r="97" spans="3:3" ht="150" customHeight="1" x14ac:dyDescent="0.25">
      <c r="C97" s="310">
        <f>Foglio7ti!HO116</f>
        <v>0</v>
      </c>
    </row>
    <row r="98" spans="3:3" ht="150" customHeight="1" x14ac:dyDescent="0.25">
      <c r="C98" s="310">
        <f>Foglio7ti!HO117</f>
        <v>0</v>
      </c>
    </row>
    <row r="99" spans="3:3" ht="150" customHeight="1" x14ac:dyDescent="0.25">
      <c r="C99" s="310">
        <f>Foglio7ti!HO118</f>
        <v>0</v>
      </c>
    </row>
    <row r="100" spans="3:3" ht="150" customHeight="1" x14ac:dyDescent="0.25">
      <c r="C100" s="310">
        <f>Foglio7ti!HO119</f>
        <v>0</v>
      </c>
    </row>
    <row r="101" spans="3:3" ht="150" customHeight="1" x14ac:dyDescent="0.25">
      <c r="C101" s="310">
        <f>Foglio7ti!HO120</f>
        <v>0</v>
      </c>
    </row>
  </sheetData>
  <mergeCells count="3">
    <mergeCell ref="E1:K1"/>
    <mergeCell ref="E2:J2"/>
    <mergeCell ref="E3:I3"/>
  </mergeCells>
  <hyperlinks>
    <hyperlink ref="E3:I3" location="provvedimentoti!A1" display="VEDI IL PROSPETTO DELLE DIFFERENZE RETRIBUTIVE" xr:uid="{00000000-0004-0000-1D00-000000000000}"/>
    <hyperlink ref="E2:J2" location="religione!A1" display="TORNA" xr:uid="{00000000-0004-0000-1D00-0000010000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C1:K101"/>
  <sheetViews>
    <sheetView workbookViewId="0">
      <selection activeCell="E2" sqref="E2:J2"/>
    </sheetView>
  </sheetViews>
  <sheetFormatPr defaultColWidth="8.85546875" defaultRowHeight="150" customHeight="1" x14ac:dyDescent="0.25"/>
  <cols>
    <col min="1" max="1" width="1.5703125" style="246" customWidth="1"/>
    <col min="2" max="2" width="0.42578125" style="246" customWidth="1"/>
    <col min="3" max="3" width="82.28515625" style="246" customWidth="1"/>
    <col min="4" max="16384" width="8.85546875" style="246"/>
  </cols>
  <sheetData>
    <row r="1" spans="3:11" ht="101.45" customHeight="1" thickBot="1" x14ac:dyDescent="0.3">
      <c r="C1" s="263" t="s">
        <v>572</v>
      </c>
      <c r="E1" s="666" t="s">
        <v>666</v>
      </c>
      <c r="F1" s="666"/>
      <c r="G1" s="666"/>
      <c r="H1" s="666"/>
      <c r="I1" s="666"/>
      <c r="J1" s="666"/>
      <c r="K1" s="666"/>
    </row>
    <row r="2" spans="3:11" ht="101.45" customHeight="1" thickBot="1" x14ac:dyDescent="0.45">
      <c r="C2" s="263" t="s">
        <v>661</v>
      </c>
      <c r="E2" s="718" t="s">
        <v>395</v>
      </c>
      <c r="F2" s="719"/>
      <c r="G2" s="719"/>
      <c r="H2" s="719"/>
      <c r="I2" s="719"/>
      <c r="J2" s="720"/>
    </row>
    <row r="3" spans="3:11" ht="18" customHeight="1" x14ac:dyDescent="0.35">
      <c r="C3" s="263"/>
      <c r="E3" s="721"/>
      <c r="F3" s="721"/>
      <c r="G3" s="721"/>
      <c r="H3" s="721"/>
      <c r="I3" s="721"/>
      <c r="J3" s="490"/>
    </row>
    <row r="4" spans="3:11" ht="125.25" customHeight="1" x14ac:dyDescent="0.25">
      <c r="C4" s="489" t="str">
        <f>CONCATENATE(risultatobis!DP17,risultatobis!DQ17)</f>
        <v xml:space="preserve">All'interessato/a: COGNOME NOME - NATO A    IL     C.F.             Insegnante Religione Primaria               Spettano i seguenti aumenti biennali in aggiunta allo stipendio base già percepito:
</v>
      </c>
    </row>
    <row r="5" spans="3:11" ht="144" customHeight="1" x14ac:dyDescent="0.25">
      <c r="C5" s="491" t="str">
        <f ca="1">CONCATENATE(risultatobis!EO18,risultatobis!EO19,risultatobis!EO20,risultatobis!EO21,risultatobis!EO22,risultatobis!EO23,risultatobis!EO24,risultatobis!EO25,risultatobis!EO26,risultatobis!EO27,risultatobis!EO28,risultatobis!EO29,risultatobis!EO30,risultatobis!EO31,risultatobis!EO32)</f>
        <v xml:space="preserve">
</v>
      </c>
    </row>
    <row r="6" spans="3:11" ht="183.75" customHeight="1" x14ac:dyDescent="0.25">
      <c r="C6" s="491" t="str">
        <f ca="1">CONCATENATE(risultatobis!EO33,risultatobis!EO34,risultatobis!EO35,risultatobis!EO36,risultatobis!EO37,risultatobis!EO38,risultatobis!EO39,risultatobis!EO40,risultatobis!EO41,risultatobis!EO42,risultatobis!EO43,risultatobis!EO44,risultatobis!EO45,risultatobis!EO46,risultatobis!EO47,risultatobis!EO48,risultatobis!EO49,risultatobis!EO50,risultatobis!EO51,risultatobis!EO52,risultatobis!EO53,risultatobis!EO54,risultatobis!EO55,risultatobis!EO56,risultatobis!EO57,risultatobis!EO58,risultatobis!EO59,risultatobis!EO60)</f>
        <v/>
      </c>
    </row>
    <row r="7" spans="3:11" ht="10.15" customHeight="1" x14ac:dyDescent="0.25">
      <c r="C7" s="263"/>
    </row>
    <row r="8" spans="3:11" ht="10.15" customHeight="1" x14ac:dyDescent="0.25">
      <c r="C8" s="263"/>
    </row>
    <row r="9" spans="3:11" ht="9" customHeight="1" x14ac:dyDescent="0.25">
      <c r="C9" s="263"/>
    </row>
    <row r="10" spans="3:11" ht="147.75" customHeight="1" x14ac:dyDescent="0.25">
      <c r="C10" s="263" t="s">
        <v>662</v>
      </c>
    </row>
    <row r="11" spans="3:11" ht="24.6" hidden="1" customHeight="1" x14ac:dyDescent="0.25">
      <c r="C11" s="263"/>
    </row>
    <row r="12" spans="3:11" ht="33" hidden="1" customHeight="1" x14ac:dyDescent="0.25">
      <c r="C12" s="263"/>
    </row>
    <row r="13" spans="3:11" ht="19.149999999999999" hidden="1" customHeight="1" x14ac:dyDescent="0.25">
      <c r="C13" s="263"/>
    </row>
    <row r="14" spans="3:11" ht="25.9" hidden="1" customHeight="1" x14ac:dyDescent="0.25">
      <c r="C14" s="263"/>
    </row>
    <row r="15" spans="3:11" ht="25.9" hidden="1" customHeight="1" x14ac:dyDescent="0.25">
      <c r="C15" s="263"/>
    </row>
    <row r="16" spans="3:11" ht="30.6" hidden="1" customHeight="1" x14ac:dyDescent="0.25">
      <c r="C16" s="263"/>
    </row>
    <row r="17" spans="3:3" ht="24.6" hidden="1" customHeight="1" x14ac:dyDescent="0.25">
      <c r="C17" s="263"/>
    </row>
    <row r="18" spans="3:3" ht="37.15" hidden="1" customHeight="1" x14ac:dyDescent="0.25">
      <c r="C18" s="263"/>
    </row>
    <row r="19" spans="3:3" ht="21" hidden="1" customHeight="1" x14ac:dyDescent="0.25">
      <c r="C19" s="263"/>
    </row>
    <row r="20" spans="3:3" ht="62.25" customHeight="1" x14ac:dyDescent="0.25">
      <c r="C20" s="263"/>
    </row>
    <row r="21" spans="3:3" ht="150" customHeight="1" x14ac:dyDescent="0.25">
      <c r="C21" s="263"/>
    </row>
    <row r="22" spans="3:3" ht="150" customHeight="1" x14ac:dyDescent="0.25">
      <c r="C22" s="263"/>
    </row>
    <row r="23" spans="3:3" ht="150" customHeight="1" x14ac:dyDescent="0.25">
      <c r="C23" s="263"/>
    </row>
    <row r="24" spans="3:3" ht="150" customHeight="1" x14ac:dyDescent="0.25">
      <c r="C24" s="263"/>
    </row>
    <row r="25" spans="3:3" ht="150" customHeight="1" x14ac:dyDescent="0.25">
      <c r="C25" s="263"/>
    </row>
    <row r="26" spans="3:3" ht="150" customHeight="1" x14ac:dyDescent="0.25">
      <c r="C26" s="263"/>
    </row>
    <row r="27" spans="3:3" ht="150" customHeight="1" x14ac:dyDescent="0.25">
      <c r="C27" s="263"/>
    </row>
    <row r="28" spans="3:3" ht="150" customHeight="1" x14ac:dyDescent="0.25">
      <c r="C28" s="263"/>
    </row>
    <row r="29" spans="3:3" ht="150" customHeight="1" x14ac:dyDescent="0.25">
      <c r="C29" s="263"/>
    </row>
    <row r="30" spans="3:3" ht="150" customHeight="1" x14ac:dyDescent="0.25">
      <c r="C30" s="263"/>
    </row>
    <row r="31" spans="3:3" ht="150" customHeight="1" x14ac:dyDescent="0.25">
      <c r="C31" s="263"/>
    </row>
    <row r="32" spans="3:3" ht="150" customHeight="1" x14ac:dyDescent="0.25">
      <c r="C32" s="263"/>
    </row>
    <row r="33" spans="3:3" ht="150" customHeight="1" x14ac:dyDescent="0.25">
      <c r="C33" s="263"/>
    </row>
    <row r="34" spans="3:3" ht="150" customHeight="1" x14ac:dyDescent="0.25">
      <c r="C34" s="263"/>
    </row>
    <row r="35" spans="3:3" ht="150" customHeight="1" x14ac:dyDescent="0.25">
      <c r="C35" s="263"/>
    </row>
    <row r="36" spans="3:3" ht="150" customHeight="1" x14ac:dyDescent="0.25">
      <c r="C36" s="263"/>
    </row>
    <row r="37" spans="3:3" ht="150" customHeight="1" x14ac:dyDescent="0.25">
      <c r="C37" s="263"/>
    </row>
    <row r="38" spans="3:3" ht="150" customHeight="1" x14ac:dyDescent="0.25">
      <c r="C38" s="263"/>
    </row>
    <row r="39" spans="3:3" ht="150" customHeight="1" x14ac:dyDescent="0.25">
      <c r="C39" s="263"/>
    </row>
    <row r="41" spans="3:3" ht="150" customHeight="1" x14ac:dyDescent="0.25">
      <c r="C41" s="263" t="str">
        <f ca="1">risultatobis!CA38</f>
        <v/>
      </c>
    </row>
    <row r="42" spans="3:3" ht="150" customHeight="1" x14ac:dyDescent="0.25">
      <c r="C42" s="263" t="str">
        <f ca="1">risultatobis!CA39</f>
        <v/>
      </c>
    </row>
    <row r="43" spans="3:3" ht="150" customHeight="1" x14ac:dyDescent="0.25">
      <c r="C43" s="263" t="str">
        <f ca="1">risultatobis!CA40</f>
        <v/>
      </c>
    </row>
    <row r="44" spans="3:3" ht="150" customHeight="1" x14ac:dyDescent="0.25">
      <c r="C44" s="263" t="str">
        <f ca="1">risultatobis!CA41</f>
        <v/>
      </c>
    </row>
    <row r="45" spans="3:3" ht="150" customHeight="1" x14ac:dyDescent="0.25">
      <c r="C45" s="263" t="str">
        <f ca="1">risultatobis!CA42</f>
        <v/>
      </c>
    </row>
    <row r="46" spans="3:3" ht="150" customHeight="1" x14ac:dyDescent="0.25">
      <c r="C46" s="263" t="str">
        <f ca="1">risultatobis!CA43</f>
        <v/>
      </c>
    </row>
    <row r="47" spans="3:3" ht="150" customHeight="1" x14ac:dyDescent="0.25">
      <c r="C47" s="263" t="str">
        <f ca="1">risultatobis!CA44</f>
        <v/>
      </c>
    </row>
    <row r="48" spans="3:3" ht="150" customHeight="1" x14ac:dyDescent="0.25">
      <c r="C48" s="263" t="str">
        <f ca="1">risultatobis!CA45</f>
        <v/>
      </c>
    </row>
    <row r="49" spans="3:3" ht="150" customHeight="1" x14ac:dyDescent="0.25">
      <c r="C49" s="263" t="str">
        <f ca="1">risultatobis!CA46</f>
        <v/>
      </c>
    </row>
    <row r="50" spans="3:3" ht="150" customHeight="1" x14ac:dyDescent="0.25">
      <c r="C50" s="263" t="str">
        <f ca="1">risultatobis!CA47</f>
        <v/>
      </c>
    </row>
    <row r="51" spans="3:3" ht="150" customHeight="1" x14ac:dyDescent="0.25">
      <c r="C51" s="263" t="str">
        <f ca="1">risultatobis!CA48</f>
        <v/>
      </c>
    </row>
    <row r="52" spans="3:3" ht="150" customHeight="1" x14ac:dyDescent="0.25">
      <c r="C52" s="263" t="str">
        <f ca="1">risultatobis!CA49</f>
        <v/>
      </c>
    </row>
    <row r="53" spans="3:3" ht="150" customHeight="1" x14ac:dyDescent="0.25">
      <c r="C53" s="263" t="str">
        <f ca="1">risultatobis!CA50</f>
        <v/>
      </c>
    </row>
    <row r="54" spans="3:3" ht="150" customHeight="1" x14ac:dyDescent="0.25">
      <c r="C54" s="263" t="str">
        <f ca="1">risultatobis!CA51</f>
        <v/>
      </c>
    </row>
    <row r="55" spans="3:3" ht="150" customHeight="1" x14ac:dyDescent="0.25">
      <c r="C55" s="263" t="str">
        <f ca="1">risultatobis!CA52</f>
        <v/>
      </c>
    </row>
    <row r="56" spans="3:3" ht="150" customHeight="1" x14ac:dyDescent="0.25">
      <c r="C56" s="263" t="str">
        <f ca="1">risultatobis!CA53</f>
        <v/>
      </c>
    </row>
    <row r="57" spans="3:3" ht="150" customHeight="1" x14ac:dyDescent="0.25">
      <c r="C57" s="263" t="str">
        <f ca="1">risultatobis!CA54</f>
        <v/>
      </c>
    </row>
    <row r="58" spans="3:3" ht="150" customHeight="1" x14ac:dyDescent="0.25">
      <c r="C58" s="263" t="str">
        <f ca="1">risultatobis!CA55</f>
        <v/>
      </c>
    </row>
    <row r="59" spans="3:3" ht="150" customHeight="1" x14ac:dyDescent="0.25">
      <c r="C59" s="263" t="str">
        <f ca="1">risultatobis!CA56</f>
        <v/>
      </c>
    </row>
    <row r="60" spans="3:3" ht="150" customHeight="1" x14ac:dyDescent="0.25">
      <c r="C60" s="263" t="str">
        <f ca="1">risultatobis!CA57</f>
        <v/>
      </c>
    </row>
    <row r="61" spans="3:3" ht="150" customHeight="1" x14ac:dyDescent="0.25">
      <c r="C61" s="263" t="str">
        <f ca="1">risultatobis!CA58</f>
        <v/>
      </c>
    </row>
    <row r="62" spans="3:3" ht="150" customHeight="1" x14ac:dyDescent="0.25">
      <c r="C62" s="263" t="str">
        <f ca="1">risultatobis!CA59</f>
        <v/>
      </c>
    </row>
    <row r="63" spans="3:3" ht="150" customHeight="1" x14ac:dyDescent="0.25">
      <c r="C63" s="263" t="str">
        <f ca="1">risultatobis!CA60</f>
        <v/>
      </c>
    </row>
    <row r="64" spans="3:3" ht="150" customHeight="1" x14ac:dyDescent="0.25">
      <c r="C64" s="263" t="str">
        <f ca="1">risultatobis!CA61</f>
        <v/>
      </c>
    </row>
    <row r="65" spans="3:3" ht="150" customHeight="1" x14ac:dyDescent="0.25">
      <c r="C65" s="263">
        <f>risultatobis!CA62</f>
        <v>0</v>
      </c>
    </row>
    <row r="66" spans="3:3" ht="150" customHeight="1" x14ac:dyDescent="0.25">
      <c r="C66" s="310"/>
    </row>
    <row r="67" spans="3:3" ht="150" customHeight="1" x14ac:dyDescent="0.25">
      <c r="C67" s="310"/>
    </row>
    <row r="68" spans="3:3" ht="150" customHeight="1" x14ac:dyDescent="0.25">
      <c r="C68" s="310"/>
    </row>
    <row r="69" spans="3:3" ht="150" customHeight="1" x14ac:dyDescent="0.25">
      <c r="C69" s="310"/>
    </row>
    <row r="70" spans="3:3" ht="150" customHeight="1" x14ac:dyDescent="0.25">
      <c r="C70" s="310"/>
    </row>
    <row r="71" spans="3:3" ht="150" customHeight="1" x14ac:dyDescent="0.25">
      <c r="C71" s="310"/>
    </row>
    <row r="72" spans="3:3" ht="150" customHeight="1" x14ac:dyDescent="0.25">
      <c r="C72" s="310"/>
    </row>
    <row r="73" spans="3:3" ht="150" customHeight="1" x14ac:dyDescent="0.25">
      <c r="C73" s="310"/>
    </row>
    <row r="74" spans="3:3" ht="150" customHeight="1" x14ac:dyDescent="0.25">
      <c r="C74" s="310"/>
    </row>
    <row r="75" spans="3:3" ht="150" customHeight="1" x14ac:dyDescent="0.25">
      <c r="C75" s="310"/>
    </row>
    <row r="76" spans="3:3" ht="150" customHeight="1" x14ac:dyDescent="0.25">
      <c r="C76" s="310"/>
    </row>
    <row r="77" spans="3:3" ht="150" customHeight="1" x14ac:dyDescent="0.25">
      <c r="C77" s="310"/>
    </row>
    <row r="78" spans="3:3" ht="150" customHeight="1" x14ac:dyDescent="0.25">
      <c r="C78" s="310" t="str">
        <f>Foglio7ti!HO97</f>
        <v/>
      </c>
    </row>
    <row r="79" spans="3:3" ht="150" customHeight="1" x14ac:dyDescent="0.25">
      <c r="C79" s="310" t="str">
        <f>Foglio7ti!HO98</f>
        <v/>
      </c>
    </row>
    <row r="80" spans="3:3" ht="150" customHeight="1" x14ac:dyDescent="0.25">
      <c r="C80" s="310" t="str">
        <f>Foglio7ti!HO99</f>
        <v/>
      </c>
    </row>
    <row r="81" spans="3:3" ht="150" customHeight="1" x14ac:dyDescent="0.25">
      <c r="C81" s="310" t="str">
        <f>Foglio7ti!HO100</f>
        <v/>
      </c>
    </row>
    <row r="82" spans="3:3" ht="150" customHeight="1" x14ac:dyDescent="0.25">
      <c r="C82" s="310" t="str">
        <f>Foglio7ti!HO101</f>
        <v/>
      </c>
    </row>
    <row r="83" spans="3:3" ht="150" customHeight="1" x14ac:dyDescent="0.25">
      <c r="C83" s="310">
        <f>Foglio7ti!HO102</f>
        <v>0</v>
      </c>
    </row>
    <row r="84" spans="3:3" ht="150" customHeight="1" x14ac:dyDescent="0.25">
      <c r="C84" s="310">
        <f>Foglio7ti!HO103</f>
        <v>0</v>
      </c>
    </row>
    <row r="85" spans="3:3" ht="150" customHeight="1" x14ac:dyDescent="0.25">
      <c r="C85" s="310">
        <f>Foglio7ti!HO104</f>
        <v>0</v>
      </c>
    </row>
    <row r="86" spans="3:3" ht="150" customHeight="1" x14ac:dyDescent="0.25">
      <c r="C86" s="310">
        <f>Foglio7ti!HO105</f>
        <v>0</v>
      </c>
    </row>
    <row r="87" spans="3:3" ht="150" customHeight="1" x14ac:dyDescent="0.25">
      <c r="C87" s="310">
        <f>Foglio7ti!HO106</f>
        <v>0</v>
      </c>
    </row>
    <row r="88" spans="3:3" ht="150" customHeight="1" x14ac:dyDescent="0.25">
      <c r="C88" s="310">
        <f>Foglio7ti!HO107</f>
        <v>0</v>
      </c>
    </row>
    <row r="89" spans="3:3" ht="150" customHeight="1" x14ac:dyDescent="0.25">
      <c r="C89" s="310">
        <f>Foglio7ti!HO108</f>
        <v>0</v>
      </c>
    </row>
    <row r="90" spans="3:3" ht="150" customHeight="1" x14ac:dyDescent="0.25">
      <c r="C90" s="310">
        <f>Foglio7ti!HO109</f>
        <v>0</v>
      </c>
    </row>
    <row r="91" spans="3:3" ht="150" customHeight="1" x14ac:dyDescent="0.25">
      <c r="C91" s="310">
        <f>Foglio7ti!HO110</f>
        <v>0</v>
      </c>
    </row>
    <row r="92" spans="3:3" ht="150" customHeight="1" x14ac:dyDescent="0.25">
      <c r="C92" s="310">
        <f>Foglio7ti!HO111</f>
        <v>0</v>
      </c>
    </row>
    <row r="93" spans="3:3" ht="150" customHeight="1" x14ac:dyDescent="0.25">
      <c r="C93" s="310">
        <f>Foglio7ti!HO112</f>
        <v>0</v>
      </c>
    </row>
    <row r="94" spans="3:3" ht="150" customHeight="1" x14ac:dyDescent="0.25">
      <c r="C94" s="310">
        <f>Foglio7ti!HO113</f>
        <v>0</v>
      </c>
    </row>
    <row r="95" spans="3:3" ht="150" customHeight="1" x14ac:dyDescent="0.25">
      <c r="C95" s="310">
        <f>Foglio7ti!HO114</f>
        <v>0</v>
      </c>
    </row>
    <row r="96" spans="3:3" ht="150" customHeight="1" x14ac:dyDescent="0.25">
      <c r="C96" s="310">
        <f>Foglio7ti!HO115</f>
        <v>0</v>
      </c>
    </row>
    <row r="97" spans="3:3" ht="150" customHeight="1" x14ac:dyDescent="0.25">
      <c r="C97" s="310">
        <f>Foglio7ti!HO116</f>
        <v>0</v>
      </c>
    </row>
    <row r="98" spans="3:3" ht="150" customHeight="1" x14ac:dyDescent="0.25">
      <c r="C98" s="310">
        <f>Foglio7ti!HO117</f>
        <v>0</v>
      </c>
    </row>
    <row r="99" spans="3:3" ht="150" customHeight="1" x14ac:dyDescent="0.25">
      <c r="C99" s="310">
        <f>Foglio7ti!HO118</f>
        <v>0</v>
      </c>
    </row>
    <row r="100" spans="3:3" ht="150" customHeight="1" x14ac:dyDescent="0.25">
      <c r="C100" s="310">
        <f>Foglio7ti!HO119</f>
        <v>0</v>
      </c>
    </row>
    <row r="101" spans="3:3" ht="150" customHeight="1" x14ac:dyDescent="0.25">
      <c r="C101" s="310">
        <f>Foglio7ti!HO120</f>
        <v>0</v>
      </c>
    </row>
  </sheetData>
  <mergeCells count="3">
    <mergeCell ref="E1:K1"/>
    <mergeCell ref="E2:J2"/>
    <mergeCell ref="E3:I3"/>
  </mergeCells>
  <hyperlinks>
    <hyperlink ref="E2:J2" location="aumentibiennali!A1" display="TORNA" xr:uid="{00000000-0004-0000-1E00-000000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C10:W124"/>
  <sheetViews>
    <sheetView showGridLines="0" showRowColHeaders="0" topLeftCell="A7" workbookViewId="0">
      <selection activeCell="S20" sqref="S20:W20"/>
    </sheetView>
  </sheetViews>
  <sheetFormatPr defaultColWidth="9.140625" defaultRowHeight="15" x14ac:dyDescent="0.25"/>
  <cols>
    <col min="1" max="1" width="3.140625" style="320" customWidth="1"/>
    <col min="2" max="2" width="1.7109375" style="320" customWidth="1"/>
    <col min="3" max="15" width="9.140625" style="320"/>
    <col min="16" max="16" width="5" style="320" customWidth="1"/>
    <col min="17" max="16384" width="9.140625" style="320"/>
  </cols>
  <sheetData>
    <row r="10" spans="3:15" x14ac:dyDescent="0.25">
      <c r="C10" s="626" t="s">
        <v>680</v>
      </c>
      <c r="D10" s="626"/>
      <c r="E10" s="626"/>
      <c r="F10" s="626"/>
      <c r="G10" s="626"/>
      <c r="H10" s="626"/>
      <c r="I10" s="626"/>
      <c r="J10" s="626"/>
      <c r="K10" s="626"/>
      <c r="L10" s="626"/>
      <c r="M10" s="626"/>
      <c r="N10" s="626"/>
      <c r="O10" s="626"/>
    </row>
    <row r="11" spans="3:15" x14ac:dyDescent="0.25">
      <c r="C11" s="626"/>
      <c r="D11" s="626"/>
      <c r="E11" s="626"/>
      <c r="F11" s="626"/>
      <c r="G11" s="626"/>
      <c r="H11" s="626"/>
      <c r="I11" s="626"/>
      <c r="J11" s="626"/>
      <c r="K11" s="626"/>
      <c r="L11" s="626"/>
      <c r="M11" s="626"/>
      <c r="N11" s="626"/>
      <c r="O11" s="626"/>
    </row>
    <row r="12" spans="3:15" ht="39.950000000000003" customHeight="1" x14ac:dyDescent="0.25">
      <c r="C12" s="626"/>
      <c r="D12" s="626"/>
      <c r="E12" s="626"/>
      <c r="F12" s="626"/>
      <c r="G12" s="626"/>
      <c r="H12" s="626"/>
      <c r="I12" s="626"/>
      <c r="J12" s="626"/>
      <c r="K12" s="626"/>
      <c r="L12" s="626"/>
      <c r="M12" s="626"/>
      <c r="N12" s="626"/>
      <c r="O12" s="626"/>
    </row>
    <row r="13" spans="3:15" ht="39.950000000000003" customHeight="1" x14ac:dyDescent="0.25">
      <c r="C13" s="626"/>
      <c r="D13" s="626"/>
      <c r="E13" s="626"/>
      <c r="F13" s="626"/>
      <c r="G13" s="626"/>
      <c r="H13" s="626"/>
      <c r="I13" s="626"/>
      <c r="J13" s="626"/>
      <c r="K13" s="626"/>
      <c r="L13" s="626"/>
      <c r="M13" s="626"/>
      <c r="N13" s="626"/>
      <c r="O13" s="626"/>
    </row>
    <row r="14" spans="3:15" ht="82.5" customHeight="1" x14ac:dyDescent="0.25">
      <c r="C14" s="626"/>
      <c r="D14" s="626"/>
      <c r="E14" s="626"/>
      <c r="F14" s="626"/>
      <c r="G14" s="626"/>
      <c r="H14" s="626"/>
      <c r="I14" s="626"/>
      <c r="J14" s="626"/>
      <c r="K14" s="626"/>
      <c r="L14" s="626"/>
      <c r="M14" s="626"/>
      <c r="N14" s="626"/>
      <c r="O14" s="626"/>
    </row>
    <row r="15" spans="3:15" ht="39.950000000000003" customHeight="1" x14ac:dyDescent="0.25">
      <c r="C15" s="626" t="s">
        <v>686</v>
      </c>
      <c r="D15" s="626"/>
      <c r="E15" s="626"/>
      <c r="F15" s="626"/>
      <c r="G15" s="626"/>
      <c r="H15" s="626"/>
      <c r="I15" s="626"/>
      <c r="J15" s="626"/>
      <c r="K15" s="626"/>
      <c r="L15" s="626"/>
      <c r="M15" s="626"/>
      <c r="N15" s="626"/>
      <c r="O15" s="626"/>
    </row>
    <row r="16" spans="3:15" ht="9.75" customHeight="1" x14ac:dyDescent="0.25">
      <c r="C16" s="626"/>
      <c r="D16" s="626"/>
      <c r="E16" s="626"/>
      <c r="F16" s="626"/>
      <c r="G16" s="626"/>
      <c r="H16" s="626"/>
      <c r="I16" s="626"/>
      <c r="J16" s="626"/>
      <c r="K16" s="626"/>
      <c r="L16" s="626"/>
      <c r="M16" s="626"/>
      <c r="N16" s="626"/>
      <c r="O16" s="626"/>
    </row>
    <row r="17" spans="3:23" ht="39.950000000000003" customHeight="1" x14ac:dyDescent="0.25">
      <c r="C17" s="626"/>
      <c r="D17" s="626"/>
      <c r="E17" s="626"/>
      <c r="F17" s="626"/>
      <c r="G17" s="626"/>
      <c r="H17" s="626"/>
      <c r="I17" s="626"/>
      <c r="J17" s="626"/>
      <c r="K17" s="626"/>
      <c r="L17" s="626"/>
      <c r="M17" s="626"/>
      <c r="N17" s="626"/>
      <c r="O17" s="626"/>
    </row>
    <row r="18" spans="3:23" ht="39.950000000000003" customHeight="1" x14ac:dyDescent="0.25">
      <c r="C18" s="626"/>
      <c r="D18" s="626"/>
      <c r="E18" s="626"/>
      <c r="F18" s="626"/>
      <c r="G18" s="626"/>
      <c r="H18" s="626"/>
      <c r="I18" s="626"/>
      <c r="J18" s="626"/>
      <c r="K18" s="626"/>
      <c r="L18" s="626"/>
      <c r="M18" s="626"/>
      <c r="N18" s="626"/>
      <c r="O18" s="626"/>
    </row>
    <row r="19" spans="3:23" ht="39.950000000000003" customHeight="1" x14ac:dyDescent="0.25">
      <c r="C19" s="626"/>
      <c r="D19" s="626"/>
      <c r="E19" s="626"/>
      <c r="F19" s="626"/>
      <c r="G19" s="626"/>
      <c r="H19" s="626"/>
      <c r="I19" s="626"/>
      <c r="J19" s="626"/>
      <c r="K19" s="626"/>
      <c r="L19" s="626"/>
      <c r="M19" s="626"/>
      <c r="N19" s="626"/>
      <c r="O19" s="626"/>
    </row>
    <row r="20" spans="3:23" ht="48.75" customHeight="1" x14ac:dyDescent="0.25">
      <c r="C20" s="626"/>
      <c r="D20" s="626"/>
      <c r="E20" s="626"/>
      <c r="F20" s="626"/>
      <c r="G20" s="626"/>
      <c r="H20" s="626"/>
      <c r="I20" s="626"/>
      <c r="J20" s="626"/>
      <c r="K20" s="626"/>
      <c r="L20" s="626"/>
      <c r="M20" s="626"/>
      <c r="N20" s="626"/>
      <c r="O20" s="626"/>
      <c r="R20" s="498"/>
      <c r="S20" s="722" t="s">
        <v>678</v>
      </c>
      <c r="T20" s="714"/>
      <c r="U20" s="714"/>
      <c r="V20" s="714"/>
      <c r="W20" s="714"/>
    </row>
    <row r="21" spans="3:23" ht="39.950000000000003" customHeight="1" x14ac:dyDescent="0.25">
      <c r="C21" s="626" t="s">
        <v>673</v>
      </c>
      <c r="D21" s="626"/>
      <c r="E21" s="626"/>
      <c r="F21" s="626"/>
      <c r="G21" s="626"/>
      <c r="H21" s="626"/>
      <c r="I21" s="626"/>
      <c r="J21" s="626"/>
      <c r="K21" s="626"/>
      <c r="L21" s="626"/>
      <c r="M21" s="626"/>
      <c r="N21" s="626"/>
      <c r="O21" s="626"/>
      <c r="R21" s="498"/>
      <c r="S21" s="498"/>
      <c r="T21" s="498"/>
      <c r="U21" s="498"/>
      <c r="V21" s="498"/>
      <c r="W21" s="498"/>
    </row>
    <row r="22" spans="3:23" ht="39.950000000000003" customHeight="1" x14ac:dyDescent="0.25">
      <c r="C22" s="626"/>
      <c r="D22" s="626"/>
      <c r="E22" s="626"/>
      <c r="F22" s="626"/>
      <c r="G22" s="626"/>
      <c r="H22" s="626"/>
      <c r="I22" s="626"/>
      <c r="J22" s="626"/>
      <c r="K22" s="626"/>
      <c r="L22" s="626"/>
      <c r="M22" s="626"/>
      <c r="N22" s="626"/>
      <c r="O22" s="626"/>
      <c r="R22" s="498"/>
      <c r="S22" s="722" t="s">
        <v>679</v>
      </c>
      <c r="T22" s="714"/>
      <c r="U22" s="714"/>
      <c r="V22" s="714"/>
      <c r="W22" s="714"/>
    </row>
    <row r="23" spans="3:23" ht="39.950000000000003" customHeight="1" x14ac:dyDescent="0.25">
      <c r="C23" s="626"/>
      <c r="D23" s="626"/>
      <c r="E23" s="626"/>
      <c r="F23" s="626"/>
      <c r="G23" s="626"/>
      <c r="H23" s="626"/>
      <c r="I23" s="626"/>
      <c r="J23" s="626"/>
      <c r="K23" s="626"/>
      <c r="L23" s="626"/>
      <c r="M23" s="626"/>
      <c r="N23" s="626"/>
      <c r="O23" s="626"/>
      <c r="R23" s="498"/>
      <c r="S23" s="498"/>
      <c r="T23" s="498"/>
      <c r="U23" s="498"/>
      <c r="V23" s="498"/>
      <c r="W23" s="498"/>
    </row>
    <row r="24" spans="3:23" ht="39.950000000000003" customHeight="1" x14ac:dyDescent="0.25">
      <c r="C24" s="626"/>
      <c r="D24" s="626"/>
      <c r="E24" s="626"/>
      <c r="F24" s="626"/>
      <c r="G24" s="626"/>
      <c r="H24" s="626"/>
      <c r="I24" s="626"/>
      <c r="J24" s="626"/>
      <c r="K24" s="626"/>
      <c r="L24" s="626"/>
      <c r="M24" s="626"/>
      <c r="N24" s="626"/>
      <c r="O24" s="626"/>
    </row>
    <row r="25" spans="3:23" ht="39.950000000000003" customHeight="1" x14ac:dyDescent="0.25">
      <c r="C25" s="626"/>
      <c r="D25" s="626"/>
      <c r="E25" s="626"/>
      <c r="F25" s="626"/>
      <c r="G25" s="626"/>
      <c r="H25" s="626"/>
      <c r="I25" s="626"/>
      <c r="J25" s="626"/>
      <c r="K25" s="626"/>
      <c r="L25" s="626"/>
      <c r="M25" s="626"/>
      <c r="N25" s="626"/>
      <c r="O25" s="626"/>
    </row>
    <row r="26" spans="3:23" ht="39.950000000000003" customHeight="1" x14ac:dyDescent="0.25">
      <c r="C26" s="626"/>
      <c r="D26" s="626"/>
      <c r="E26" s="626"/>
      <c r="F26" s="626"/>
      <c r="G26" s="626"/>
      <c r="H26" s="626"/>
      <c r="I26" s="626"/>
      <c r="J26" s="626"/>
      <c r="K26" s="626"/>
      <c r="L26" s="626"/>
      <c r="M26" s="626"/>
      <c r="N26" s="626"/>
      <c r="O26" s="626"/>
    </row>
    <row r="30" spans="3:23" ht="191.25" customHeight="1" x14ac:dyDescent="0.25">
      <c r="C30" s="626" t="s">
        <v>681</v>
      </c>
      <c r="D30" s="626"/>
      <c r="E30" s="626"/>
      <c r="F30" s="626"/>
      <c r="G30" s="626"/>
      <c r="H30" s="626"/>
      <c r="I30" s="626"/>
      <c r="J30" s="626"/>
      <c r="K30" s="626"/>
      <c r="L30" s="626"/>
      <c r="M30" s="626"/>
      <c r="N30" s="626"/>
      <c r="O30" s="626"/>
    </row>
    <row r="31" spans="3:23" ht="152.25" customHeight="1" x14ac:dyDescent="0.25">
      <c r="C31" s="626" t="s">
        <v>677</v>
      </c>
      <c r="D31" s="626"/>
      <c r="E31" s="626"/>
      <c r="F31" s="626"/>
      <c r="G31" s="626"/>
      <c r="H31" s="626"/>
      <c r="I31" s="626"/>
      <c r="J31" s="626"/>
      <c r="K31" s="626"/>
      <c r="L31" s="626"/>
      <c r="M31" s="626"/>
      <c r="N31" s="626"/>
      <c r="O31" s="626"/>
    </row>
    <row r="35" spans="3:3" ht="18.75" x14ac:dyDescent="0.3">
      <c r="C35" s="497" t="s">
        <v>675</v>
      </c>
    </row>
    <row r="66" spans="3:20" x14ac:dyDescent="0.25">
      <c r="O66" s="498"/>
      <c r="P66" s="722" t="s">
        <v>678</v>
      </c>
      <c r="Q66" s="714"/>
      <c r="R66" s="714"/>
      <c r="S66" s="714"/>
      <c r="T66" s="714"/>
    </row>
    <row r="67" spans="3:20" x14ac:dyDescent="0.25">
      <c r="O67" s="498"/>
      <c r="P67" s="498"/>
      <c r="Q67" s="498"/>
      <c r="R67" s="498"/>
      <c r="S67" s="498"/>
      <c r="T67" s="498"/>
    </row>
    <row r="68" spans="3:20" x14ac:dyDescent="0.25">
      <c r="O68" s="498"/>
      <c r="P68" s="722" t="s">
        <v>679</v>
      </c>
      <c r="Q68" s="714"/>
      <c r="R68" s="714"/>
      <c r="S68" s="714"/>
      <c r="T68" s="714"/>
    </row>
    <row r="69" spans="3:20" x14ac:dyDescent="0.25">
      <c r="O69" s="498"/>
      <c r="P69" s="498"/>
      <c r="Q69" s="498"/>
      <c r="R69" s="498"/>
      <c r="S69" s="498"/>
      <c r="T69" s="498"/>
    </row>
    <row r="71" spans="3:20" x14ac:dyDescent="0.25">
      <c r="D71" s="320" t="s">
        <v>674</v>
      </c>
    </row>
    <row r="78" spans="3:20" ht="18.75" x14ac:dyDescent="0.3">
      <c r="C78" s="497" t="s">
        <v>676</v>
      </c>
    </row>
    <row r="121" spans="15:20" x14ac:dyDescent="0.25">
      <c r="O121" s="498"/>
      <c r="P121" s="722" t="s">
        <v>678</v>
      </c>
      <c r="Q121" s="714"/>
      <c r="R121" s="714"/>
      <c r="S121" s="714"/>
      <c r="T121" s="714"/>
    </row>
    <row r="122" spans="15:20" x14ac:dyDescent="0.25">
      <c r="O122" s="498"/>
      <c r="P122" s="498"/>
      <c r="Q122" s="498"/>
      <c r="R122" s="498"/>
      <c r="S122" s="498"/>
      <c r="T122" s="498"/>
    </row>
    <row r="123" spans="15:20" x14ac:dyDescent="0.25">
      <c r="O123" s="498"/>
      <c r="P123" s="722" t="s">
        <v>679</v>
      </c>
      <c r="Q123" s="714"/>
      <c r="R123" s="714"/>
      <c r="S123" s="714"/>
      <c r="T123" s="714"/>
    </row>
    <row r="124" spans="15:20" x14ac:dyDescent="0.25">
      <c r="O124" s="498"/>
      <c r="P124" s="498"/>
      <c r="Q124" s="498"/>
      <c r="R124" s="498"/>
      <c r="S124" s="498"/>
      <c r="T124" s="498"/>
    </row>
  </sheetData>
  <sheetProtection sheet="1" objects="1" scenarios="1"/>
  <mergeCells count="11">
    <mergeCell ref="P68:T68"/>
    <mergeCell ref="P66:T66"/>
    <mergeCell ref="P121:T121"/>
    <mergeCell ref="P123:T123"/>
    <mergeCell ref="S20:W20"/>
    <mergeCell ref="S22:W22"/>
    <mergeCell ref="C10:O14"/>
    <mergeCell ref="C15:O20"/>
    <mergeCell ref="C21:O26"/>
    <mergeCell ref="C30:O30"/>
    <mergeCell ref="C31:O31"/>
  </mergeCells>
  <hyperlinks>
    <hyperlink ref="P66:T66" location="aumentibiennali!A1" display="TORNA AL CALCOLO DEGLI AUMENTI BIENNALI" xr:uid="{00000000-0004-0000-1F00-000000000000}"/>
    <hyperlink ref="P68:T68" location="religione!A1" display="TORNA AL CALCOLO PER LA RICOSTRUZIONE" xr:uid="{00000000-0004-0000-1F00-000001000000}"/>
    <hyperlink ref="P121:T121" location="aumentibiennali!A1" display="TORNA AL CALCOLO DEGLI AUMENTI BIENNALI" xr:uid="{00000000-0004-0000-1F00-000002000000}"/>
    <hyperlink ref="P123:T123" location="religione!A1" display="TORNA AL CALCOLO PER LA RICOSTRUZIONE" xr:uid="{00000000-0004-0000-1F00-000003000000}"/>
    <hyperlink ref="S20:W20" location="aumentibiennali!A1" display="TORNA AL CALCOLO DEGLI AUMENTI BIENNALI" xr:uid="{00000000-0004-0000-1F00-000004000000}"/>
    <hyperlink ref="S22:W22" location="religione!A1" display="TORNA AL CALCOLO PER LA RICOSTRUZIONE" xr:uid="{00000000-0004-0000-1F00-000005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3"/>
  <dimension ref="A1:Z1372"/>
  <sheetViews>
    <sheetView showGridLines="0" zoomScaleNormal="100" workbookViewId="0">
      <pane ySplit="5" topLeftCell="A972" activePane="bottomLeft" state="frozen"/>
      <selection activeCell="L16" sqref="L16"/>
      <selection pane="bottomLeft" activeCell="F986" sqref="F986"/>
    </sheetView>
  </sheetViews>
  <sheetFormatPr defaultColWidth="14.42578125" defaultRowHeight="15" customHeight="1" x14ac:dyDescent="0.2"/>
  <cols>
    <col min="1" max="1" width="6" style="8" customWidth="1"/>
    <col min="2"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19" width="9.5703125" style="8" customWidth="1"/>
    <col min="20" max="21" width="8.7109375" style="8" customWidth="1"/>
    <col min="22" max="22" width="11.140625" style="8" customWidth="1"/>
    <col min="23" max="26" width="8.7109375" style="8" customWidth="1"/>
    <col min="27" max="16384" width="14.42578125" style="8"/>
  </cols>
  <sheetData>
    <row r="1" spans="1:26" ht="16.5" customHeight="1" x14ac:dyDescent="0.2">
      <c r="A1" s="152" t="s">
        <v>0</v>
      </c>
      <c r="B1" s="168"/>
      <c r="C1" s="153" t="s">
        <v>64</v>
      </c>
      <c r="D1" s="168"/>
      <c r="E1" s="168"/>
      <c r="F1" s="168"/>
      <c r="G1" s="168"/>
      <c r="H1" s="168"/>
      <c r="I1" s="168"/>
      <c r="J1" s="168"/>
      <c r="K1" s="168"/>
      <c r="L1" s="106"/>
      <c r="M1" s="4"/>
      <c r="N1" s="154" t="s">
        <v>2</v>
      </c>
      <c r="O1" s="168"/>
      <c r="P1" s="106"/>
      <c r="Q1" s="5" t="s">
        <v>3</v>
      </c>
      <c r="R1" s="6">
        <v>27</v>
      </c>
      <c r="S1" s="7"/>
      <c r="T1" s="7"/>
      <c r="U1" s="7"/>
      <c r="V1" s="7"/>
      <c r="W1" s="7"/>
      <c r="X1" s="7"/>
      <c r="Y1" s="7"/>
      <c r="Z1" s="7"/>
    </row>
    <row r="2" spans="1:26" ht="12" customHeight="1" x14ac:dyDescent="0.2">
      <c r="A2" s="9">
        <v>7</v>
      </c>
      <c r="B2" s="10"/>
      <c r="C2" s="108"/>
      <c r="D2" s="108"/>
      <c r="E2" s="108"/>
      <c r="F2" s="108"/>
      <c r="G2" s="108"/>
      <c r="H2" s="108"/>
      <c r="I2" s="108"/>
      <c r="J2" s="108"/>
      <c r="K2" s="108"/>
      <c r="L2" s="109"/>
      <c r="M2" s="13"/>
      <c r="N2" s="169"/>
      <c r="O2" s="108"/>
      <c r="P2" s="109"/>
      <c r="Q2" s="14" t="s">
        <v>4</v>
      </c>
      <c r="R2" s="6"/>
      <c r="S2" s="7"/>
      <c r="T2" s="7"/>
      <c r="U2" s="7"/>
      <c r="V2" s="7"/>
      <c r="W2" s="7"/>
      <c r="X2" s="7"/>
      <c r="Y2" s="7"/>
      <c r="Z2" s="7"/>
    </row>
    <row r="3" spans="1:26" ht="12.75" customHeight="1" x14ac:dyDescent="0.2">
      <c r="A3" s="100" t="s">
        <v>5</v>
      </c>
      <c r="B3" s="105"/>
      <c r="C3" s="101" t="s">
        <v>6</v>
      </c>
      <c r="D3" s="106"/>
      <c r="E3" s="100" t="s">
        <v>7</v>
      </c>
      <c r="F3" s="107"/>
      <c r="G3" s="107"/>
      <c r="H3" s="107"/>
      <c r="I3" s="107"/>
      <c r="J3" s="105"/>
      <c r="K3" s="102" t="s">
        <v>8</v>
      </c>
      <c r="L3" s="102" t="s">
        <v>9</v>
      </c>
      <c r="M3" s="15"/>
      <c r="N3" s="103" t="s">
        <v>10</v>
      </c>
      <c r="O3" s="103" t="s">
        <v>11</v>
      </c>
      <c r="P3" s="16" t="s">
        <v>12</v>
      </c>
      <c r="Q3" s="104" t="s">
        <v>13</v>
      </c>
      <c r="R3" s="17"/>
      <c r="S3" s="17"/>
      <c r="T3" s="7"/>
      <c r="U3" s="7"/>
      <c r="V3" s="7"/>
      <c r="W3" s="7"/>
      <c r="X3" s="7"/>
      <c r="Y3" s="7"/>
      <c r="Z3" s="7"/>
    </row>
    <row r="4" spans="1:26" ht="34.5" customHeight="1" x14ac:dyDescent="0.2">
      <c r="A4" s="18" t="s">
        <v>14</v>
      </c>
      <c r="B4" s="18" t="s">
        <v>15</v>
      </c>
      <c r="C4" s="108"/>
      <c r="D4" s="109"/>
      <c r="E4" s="19" t="s">
        <v>16</v>
      </c>
      <c r="F4" s="19" t="s">
        <v>17</v>
      </c>
      <c r="G4" s="19" t="s">
        <v>18</v>
      </c>
      <c r="H4" s="19" t="s">
        <v>19</v>
      </c>
      <c r="I4" s="19" t="s">
        <v>20</v>
      </c>
      <c r="J4" s="19" t="s">
        <v>21</v>
      </c>
      <c r="K4" s="110"/>
      <c r="L4" s="110"/>
      <c r="M4" s="4"/>
      <c r="N4" s="110"/>
      <c r="O4" s="110"/>
      <c r="P4" s="20" t="s">
        <v>22</v>
      </c>
      <c r="Q4" s="110"/>
      <c r="R4" s="7"/>
      <c r="S4" s="7"/>
      <c r="T4" s="7"/>
      <c r="U4" s="7"/>
      <c r="V4" s="7"/>
      <c r="W4" s="7"/>
      <c r="X4" s="7"/>
      <c r="Y4" s="7"/>
      <c r="Z4" s="7"/>
    </row>
    <row r="5" spans="1:26" ht="10.5" customHeight="1" x14ac:dyDescent="0.2">
      <c r="A5" s="21" t="s">
        <v>23</v>
      </c>
      <c r="B5" s="22" t="s">
        <v>24</v>
      </c>
      <c r="C5" s="22" t="s">
        <v>25</v>
      </c>
      <c r="D5" s="105"/>
      <c r="E5" s="21" t="s">
        <v>26</v>
      </c>
      <c r="F5" s="21" t="s">
        <v>27</v>
      </c>
      <c r="G5" s="21" t="s">
        <v>28</v>
      </c>
      <c r="H5" s="21" t="s">
        <v>29</v>
      </c>
      <c r="I5" s="21" t="s">
        <v>30</v>
      </c>
      <c r="J5" s="21" t="s">
        <v>31</v>
      </c>
      <c r="K5" s="21" t="s">
        <v>32</v>
      </c>
      <c r="L5" s="23" t="s">
        <v>33</v>
      </c>
      <c r="M5" s="24"/>
      <c r="N5" s="25" t="s">
        <v>34</v>
      </c>
      <c r="O5" s="25" t="s">
        <v>35</v>
      </c>
      <c r="P5" s="21"/>
      <c r="Q5" s="21"/>
      <c r="R5" s="26"/>
      <c r="S5" s="27"/>
      <c r="T5" s="27"/>
      <c r="U5" s="27"/>
      <c r="V5" s="27"/>
      <c r="W5" s="27"/>
      <c r="X5" s="27"/>
      <c r="Y5" s="27"/>
      <c r="Z5" s="27"/>
    </row>
    <row r="6" spans="1:26" ht="12.75" customHeight="1" x14ac:dyDescent="0.2">
      <c r="A6" s="98">
        <v>32994</v>
      </c>
      <c r="B6" s="98">
        <v>33177</v>
      </c>
      <c r="C6" s="28" t="s">
        <v>36</v>
      </c>
      <c r="D6" s="29">
        <v>0</v>
      </c>
      <c r="E6" s="30">
        <v>5751.26</v>
      </c>
      <c r="F6" s="30">
        <v>632.14</v>
      </c>
      <c r="G6" s="30">
        <v>0</v>
      </c>
      <c r="H6" s="30">
        <v>5652.58</v>
      </c>
      <c r="I6" s="30">
        <v>0</v>
      </c>
      <c r="J6" s="30">
        <v>1003</v>
      </c>
      <c r="K6" s="31">
        <v>12035.98</v>
      </c>
      <c r="L6" s="32">
        <v>13038.98</v>
      </c>
      <c r="M6" s="33"/>
      <c r="N6" s="30">
        <v>12035.98</v>
      </c>
      <c r="O6" s="30">
        <v>6383.4</v>
      </c>
      <c r="P6" s="30"/>
      <c r="Q6" s="30">
        <f>(N6+O6*0.18+J6)+(IF((P6-O6*0.18)&gt;0,(P6-O6*0.18),0))</f>
        <v>14187.992</v>
      </c>
      <c r="R6" s="7"/>
      <c r="S6" s="7"/>
      <c r="T6" s="7"/>
      <c r="U6" s="7"/>
      <c r="V6" s="7"/>
      <c r="W6" s="7"/>
      <c r="X6" s="7"/>
      <c r="Y6" s="7"/>
      <c r="Z6" s="7"/>
    </row>
    <row r="7" spans="1:26" ht="9" customHeight="1" x14ac:dyDescent="0.2">
      <c r="A7" s="95"/>
      <c r="B7" s="95"/>
      <c r="C7" s="34" t="s">
        <v>37</v>
      </c>
      <c r="D7" s="35">
        <v>2</v>
      </c>
      <c r="E7" s="36">
        <v>11135992</v>
      </c>
      <c r="F7" s="36">
        <v>1223994</v>
      </c>
      <c r="G7" s="36">
        <v>0</v>
      </c>
      <c r="H7" s="36">
        <v>10944921</v>
      </c>
      <c r="I7" s="36">
        <v>0</v>
      </c>
      <c r="J7" s="37">
        <v>1942079</v>
      </c>
      <c r="K7" s="36">
        <v>23304907</v>
      </c>
      <c r="L7" s="38">
        <v>25246986</v>
      </c>
      <c r="M7" s="39"/>
      <c r="N7" s="36">
        <v>23304907</v>
      </c>
      <c r="O7" s="36">
        <v>12359986</v>
      </c>
      <c r="P7" s="36">
        <v>0</v>
      </c>
      <c r="Q7" s="36">
        <f>Q6*1936.27</f>
        <v>27471783.269839998</v>
      </c>
      <c r="R7" s="7"/>
      <c r="S7" s="7"/>
      <c r="T7" s="7"/>
      <c r="U7" s="7"/>
      <c r="V7" s="7"/>
      <c r="W7" s="7"/>
      <c r="X7" s="7"/>
      <c r="Y7" s="7"/>
      <c r="Z7" s="7"/>
    </row>
    <row r="8" spans="1:26" ht="12.75" customHeight="1" x14ac:dyDescent="0.2">
      <c r="A8" s="155">
        <v>32994</v>
      </c>
      <c r="B8" s="155">
        <v>33177</v>
      </c>
      <c r="C8" s="40" t="s">
        <v>36</v>
      </c>
      <c r="D8" s="41">
        <v>3</v>
      </c>
      <c r="E8" s="42">
        <v>6061.14</v>
      </c>
      <c r="F8" s="42">
        <v>663.13</v>
      </c>
      <c r="G8" s="42">
        <v>0</v>
      </c>
      <c r="H8" s="42">
        <v>5652.58</v>
      </c>
      <c r="I8" s="42">
        <v>0</v>
      </c>
      <c r="J8" s="42">
        <v>1031.4000000000001</v>
      </c>
      <c r="K8" s="43">
        <v>12376.85</v>
      </c>
      <c r="L8" s="32">
        <v>13408.25</v>
      </c>
      <c r="M8" s="33"/>
      <c r="N8" s="30">
        <v>12376.85</v>
      </c>
      <c r="O8" s="30">
        <v>6724.27</v>
      </c>
      <c r="P8" s="30"/>
      <c r="Q8" s="30">
        <f>(N8+O8*0.18+J8)+(IF((P8-O8*0.18)&gt;0,(P8-O8*0.18),0))</f>
        <v>14618.6186</v>
      </c>
      <c r="R8" s="7"/>
      <c r="S8" s="7"/>
      <c r="T8" s="7"/>
      <c r="U8" s="7"/>
      <c r="V8" s="7"/>
      <c r="W8" s="7"/>
      <c r="X8" s="7"/>
      <c r="Y8" s="7"/>
      <c r="Z8" s="7"/>
    </row>
    <row r="9" spans="1:26" ht="9" customHeight="1" x14ac:dyDescent="0.2">
      <c r="A9" s="95"/>
      <c r="B9" s="95"/>
      <c r="C9" s="34" t="s">
        <v>37</v>
      </c>
      <c r="D9" s="35">
        <v>4</v>
      </c>
      <c r="E9" s="36">
        <v>11736004</v>
      </c>
      <c r="F9" s="36">
        <v>1283999</v>
      </c>
      <c r="G9" s="36">
        <v>0</v>
      </c>
      <c r="H9" s="36">
        <v>10944921</v>
      </c>
      <c r="I9" s="36">
        <v>0</v>
      </c>
      <c r="J9" s="37">
        <v>1997069</v>
      </c>
      <c r="K9" s="36">
        <v>23964923</v>
      </c>
      <c r="L9" s="38">
        <v>25961992</v>
      </c>
      <c r="M9" s="39"/>
      <c r="N9" s="36">
        <v>23964923</v>
      </c>
      <c r="O9" s="36">
        <v>13020002</v>
      </c>
      <c r="P9" s="36">
        <v>0</v>
      </c>
      <c r="Q9" s="36">
        <f>Q8*1936.27</f>
        <v>28305592.636622</v>
      </c>
      <c r="R9" s="7"/>
      <c r="S9" s="7"/>
      <c r="T9" s="7"/>
      <c r="U9" s="7"/>
      <c r="V9" s="7"/>
      <c r="W9" s="7"/>
      <c r="X9" s="7"/>
      <c r="Y9" s="7"/>
      <c r="Z9" s="7"/>
    </row>
    <row r="10" spans="1:26" ht="12.75" customHeight="1" x14ac:dyDescent="0.2">
      <c r="A10" s="95"/>
      <c r="B10" s="95"/>
      <c r="C10" s="40" t="s">
        <v>36</v>
      </c>
      <c r="D10" s="41">
        <v>5</v>
      </c>
      <c r="E10" s="42">
        <v>6371.01</v>
      </c>
      <c r="F10" s="42">
        <v>700.32</v>
      </c>
      <c r="G10" s="42">
        <v>0</v>
      </c>
      <c r="H10" s="42">
        <v>5652.58</v>
      </c>
      <c r="I10" s="42">
        <v>0</v>
      </c>
      <c r="J10" s="42">
        <v>1060.33</v>
      </c>
      <c r="K10" s="43">
        <v>12723.91</v>
      </c>
      <c r="L10" s="32">
        <v>13784.24</v>
      </c>
      <c r="M10" s="33"/>
      <c r="N10" s="30">
        <v>12723.91</v>
      </c>
      <c r="O10" s="30">
        <v>7071.33</v>
      </c>
      <c r="P10" s="30"/>
      <c r="Q10" s="30">
        <f>(N10+O10*0.18+J10)+(IF((P10-O10*0.18)&gt;0,(P10-O10*0.18),0))</f>
        <v>15057.079400000001</v>
      </c>
      <c r="R10" s="7"/>
      <c r="S10" s="7"/>
      <c r="T10" s="7"/>
      <c r="U10" s="7"/>
      <c r="V10" s="7"/>
      <c r="W10" s="7"/>
      <c r="X10" s="7"/>
      <c r="Y10" s="7"/>
      <c r="Z10" s="7"/>
    </row>
    <row r="11" spans="1:26" ht="9" customHeight="1" x14ac:dyDescent="0.2">
      <c r="A11" s="95"/>
      <c r="B11" s="95"/>
      <c r="C11" s="34" t="s">
        <v>37</v>
      </c>
      <c r="D11" s="35">
        <v>6</v>
      </c>
      <c r="E11" s="36">
        <v>12335996</v>
      </c>
      <c r="F11" s="36">
        <v>1356009</v>
      </c>
      <c r="G11" s="36">
        <v>0</v>
      </c>
      <c r="H11" s="36">
        <v>10944921</v>
      </c>
      <c r="I11" s="36">
        <v>0</v>
      </c>
      <c r="J11" s="37">
        <v>2053085</v>
      </c>
      <c r="K11" s="36">
        <v>24636925</v>
      </c>
      <c r="L11" s="38">
        <v>26690010</v>
      </c>
      <c r="M11" s="39"/>
      <c r="N11" s="36">
        <v>24636925</v>
      </c>
      <c r="O11" s="36">
        <v>13692004</v>
      </c>
      <c r="P11" s="36">
        <v>0</v>
      </c>
      <c r="Q11" s="36">
        <f>Q10*1936.27</f>
        <v>29154571.129838001</v>
      </c>
      <c r="R11" s="7"/>
      <c r="S11" s="7"/>
      <c r="T11" s="7"/>
      <c r="U11" s="7"/>
      <c r="V11" s="7"/>
      <c r="W11" s="7"/>
      <c r="X11" s="7"/>
      <c r="Y11" s="7"/>
      <c r="Z11" s="7"/>
    </row>
    <row r="12" spans="1:26" ht="12.75" customHeight="1" x14ac:dyDescent="0.2">
      <c r="A12" s="95"/>
      <c r="B12" s="95"/>
      <c r="C12" s="40" t="s">
        <v>36</v>
      </c>
      <c r="D12" s="41">
        <v>7</v>
      </c>
      <c r="E12" s="42">
        <v>6674.69</v>
      </c>
      <c r="F12" s="42">
        <v>731.3</v>
      </c>
      <c r="G12" s="42">
        <v>0</v>
      </c>
      <c r="H12" s="42">
        <v>5652.58</v>
      </c>
      <c r="I12" s="42">
        <v>0</v>
      </c>
      <c r="J12" s="42">
        <v>1088.21</v>
      </c>
      <c r="K12" s="43">
        <v>13058.57</v>
      </c>
      <c r="L12" s="32">
        <v>14146.78</v>
      </c>
      <c r="M12" s="33"/>
      <c r="N12" s="30">
        <v>13058.57</v>
      </c>
      <c r="O12" s="30">
        <v>7405.99</v>
      </c>
      <c r="P12" s="30"/>
      <c r="Q12" s="30">
        <f>(N12+O12*0.18+J12)+(IF((P12-O12*0.18)&gt;0,(P12-O12*0.18),0))</f>
        <v>15479.858199999999</v>
      </c>
      <c r="R12" s="7"/>
      <c r="S12" s="7"/>
      <c r="T12" s="7"/>
      <c r="U12" s="7"/>
      <c r="V12" s="7"/>
      <c r="W12" s="7"/>
      <c r="X12" s="7"/>
      <c r="Y12" s="7"/>
      <c r="Z12" s="7"/>
    </row>
    <row r="13" spans="1:26" ht="9" customHeight="1" x14ac:dyDescent="0.2">
      <c r="A13" s="95"/>
      <c r="B13" s="95"/>
      <c r="C13" s="34" t="s">
        <v>37</v>
      </c>
      <c r="D13" s="35">
        <v>8</v>
      </c>
      <c r="E13" s="36">
        <v>12924002</v>
      </c>
      <c r="F13" s="36">
        <v>1415994</v>
      </c>
      <c r="G13" s="36">
        <v>0</v>
      </c>
      <c r="H13" s="36">
        <v>10944921</v>
      </c>
      <c r="I13" s="36">
        <v>0</v>
      </c>
      <c r="J13" s="37">
        <v>2107068</v>
      </c>
      <c r="K13" s="36">
        <v>25284917</v>
      </c>
      <c r="L13" s="38">
        <v>27391986</v>
      </c>
      <c r="M13" s="39"/>
      <c r="N13" s="36">
        <v>25284917</v>
      </c>
      <c r="O13" s="36">
        <v>14339996</v>
      </c>
      <c r="P13" s="36">
        <v>0</v>
      </c>
      <c r="Q13" s="36">
        <f>Q12*1936.27</f>
        <v>29973185.036913998</v>
      </c>
      <c r="R13" s="7"/>
      <c r="S13" s="7"/>
      <c r="T13" s="7"/>
      <c r="U13" s="7"/>
      <c r="V13" s="7"/>
      <c r="W13" s="7"/>
      <c r="X13" s="7"/>
      <c r="Y13" s="7"/>
      <c r="Z13" s="7"/>
    </row>
    <row r="14" spans="1:26" ht="12.75" customHeight="1" x14ac:dyDescent="0.2">
      <c r="A14" s="95"/>
      <c r="B14" s="95"/>
      <c r="C14" s="40" t="s">
        <v>36</v>
      </c>
      <c r="D14" s="41">
        <v>9</v>
      </c>
      <c r="E14" s="42">
        <v>7027.95</v>
      </c>
      <c r="F14" s="42">
        <v>768.49</v>
      </c>
      <c r="G14" s="42">
        <v>0</v>
      </c>
      <c r="H14" s="42">
        <v>5652.58</v>
      </c>
      <c r="I14" s="42">
        <v>0</v>
      </c>
      <c r="J14" s="42">
        <v>1120.75</v>
      </c>
      <c r="K14" s="43">
        <v>13449.02</v>
      </c>
      <c r="L14" s="32">
        <v>14569.77</v>
      </c>
      <c r="M14" s="33"/>
      <c r="N14" s="30">
        <v>13449.02</v>
      </c>
      <c r="O14" s="30">
        <v>7796.44</v>
      </c>
      <c r="P14" s="30"/>
      <c r="Q14" s="30">
        <f>(N14+O14*0.18+J14)+(IF((P14-O14*0.18)&gt;0,(P14-O14*0.18),0))</f>
        <v>15973.129199999999</v>
      </c>
      <c r="R14" s="7"/>
      <c r="S14" s="7"/>
      <c r="T14" s="7"/>
      <c r="U14" s="7"/>
      <c r="V14" s="7"/>
      <c r="W14" s="7"/>
      <c r="X14" s="7"/>
      <c r="Y14" s="7"/>
      <c r="Z14" s="7"/>
    </row>
    <row r="15" spans="1:26" ht="9" customHeight="1" x14ac:dyDescent="0.2">
      <c r="A15" s="95"/>
      <c r="B15" s="95"/>
      <c r="C15" s="34" t="s">
        <v>37</v>
      </c>
      <c r="D15" s="35">
        <v>10</v>
      </c>
      <c r="E15" s="36">
        <v>13608009</v>
      </c>
      <c r="F15" s="36">
        <v>1488004</v>
      </c>
      <c r="G15" s="36">
        <v>0</v>
      </c>
      <c r="H15" s="36">
        <v>10944921</v>
      </c>
      <c r="I15" s="36">
        <v>0</v>
      </c>
      <c r="J15" s="37">
        <v>2170075</v>
      </c>
      <c r="K15" s="36">
        <v>26040934</v>
      </c>
      <c r="L15" s="38">
        <v>28211009</v>
      </c>
      <c r="M15" s="39"/>
      <c r="N15" s="36">
        <v>26040934</v>
      </c>
      <c r="O15" s="36">
        <v>15096013</v>
      </c>
      <c r="P15" s="36">
        <v>0</v>
      </c>
      <c r="Q15" s="36">
        <f>Q14*1936.27</f>
        <v>30928290.876084</v>
      </c>
      <c r="R15" s="7"/>
      <c r="S15" s="7"/>
      <c r="T15" s="7"/>
      <c r="U15" s="7"/>
      <c r="V15" s="7"/>
      <c r="W15" s="7"/>
      <c r="X15" s="7"/>
      <c r="Y15" s="7"/>
      <c r="Z15" s="7"/>
    </row>
    <row r="16" spans="1:26" ht="12.75" customHeight="1" x14ac:dyDescent="0.2">
      <c r="A16" s="95"/>
      <c r="B16" s="95"/>
      <c r="C16" s="40" t="s">
        <v>36</v>
      </c>
      <c r="D16" s="41">
        <v>11</v>
      </c>
      <c r="E16" s="42">
        <v>7387.4</v>
      </c>
      <c r="F16" s="42">
        <v>811.87</v>
      </c>
      <c r="G16" s="42">
        <v>0</v>
      </c>
      <c r="H16" s="42">
        <v>5652.58</v>
      </c>
      <c r="I16" s="42">
        <v>0</v>
      </c>
      <c r="J16" s="42">
        <v>1154.32</v>
      </c>
      <c r="K16" s="43">
        <v>13851.85</v>
      </c>
      <c r="L16" s="32">
        <v>15006.17</v>
      </c>
      <c r="M16" s="33"/>
      <c r="N16" s="30">
        <v>13851.85</v>
      </c>
      <c r="O16" s="30">
        <v>8199.27</v>
      </c>
      <c r="P16" s="30"/>
      <c r="Q16" s="30">
        <f>(N16+O16*0.18+J16)+(IF((P16-O16*0.18)&gt;0,(P16-O16*0.18),0))</f>
        <v>16482.0386</v>
      </c>
      <c r="R16" s="7"/>
      <c r="S16" s="7"/>
      <c r="T16" s="7"/>
      <c r="U16" s="7"/>
      <c r="V16" s="7"/>
      <c r="W16" s="7"/>
      <c r="X16" s="7"/>
      <c r="Y16" s="7"/>
      <c r="Z16" s="7"/>
    </row>
    <row r="17" spans="1:26" ht="9" customHeight="1" x14ac:dyDescent="0.2">
      <c r="A17" s="95"/>
      <c r="B17" s="95"/>
      <c r="C17" s="34" t="s">
        <v>37</v>
      </c>
      <c r="D17" s="35">
        <v>12</v>
      </c>
      <c r="E17" s="36">
        <v>14304001</v>
      </c>
      <c r="F17" s="36">
        <v>1572000</v>
      </c>
      <c r="G17" s="36">
        <v>0</v>
      </c>
      <c r="H17" s="36">
        <v>10944921</v>
      </c>
      <c r="I17" s="36">
        <v>0</v>
      </c>
      <c r="J17" s="37">
        <v>2235075</v>
      </c>
      <c r="K17" s="36">
        <v>26820922</v>
      </c>
      <c r="L17" s="38">
        <v>29055997</v>
      </c>
      <c r="M17" s="39"/>
      <c r="N17" s="36">
        <v>26820922</v>
      </c>
      <c r="O17" s="36">
        <v>15876001</v>
      </c>
      <c r="P17" s="36">
        <v>0</v>
      </c>
      <c r="Q17" s="36">
        <f>Q16*1936.27</f>
        <v>31913676.880022001</v>
      </c>
      <c r="R17" s="7"/>
      <c r="S17" s="7"/>
      <c r="T17" s="7"/>
      <c r="U17" s="7"/>
      <c r="V17" s="7"/>
      <c r="W17" s="7"/>
      <c r="X17" s="7"/>
      <c r="Y17" s="7"/>
      <c r="Z17" s="7"/>
    </row>
    <row r="18" spans="1:26" ht="12.75" customHeight="1" x14ac:dyDescent="0.2">
      <c r="A18" s="95"/>
      <c r="B18" s="95"/>
      <c r="C18" s="40" t="s">
        <v>36</v>
      </c>
      <c r="D18" s="41">
        <v>13</v>
      </c>
      <c r="E18" s="42">
        <v>7740.66</v>
      </c>
      <c r="F18" s="42">
        <v>849.06</v>
      </c>
      <c r="G18" s="42">
        <v>0</v>
      </c>
      <c r="H18" s="42">
        <v>5652.58</v>
      </c>
      <c r="I18" s="42">
        <v>0</v>
      </c>
      <c r="J18" s="42">
        <v>1186.8599999999999</v>
      </c>
      <c r="K18" s="43">
        <v>14242.3</v>
      </c>
      <c r="L18" s="32">
        <v>15429.16</v>
      </c>
      <c r="M18" s="33"/>
      <c r="N18" s="30">
        <v>14242.3</v>
      </c>
      <c r="O18" s="30">
        <v>8589.7199999999993</v>
      </c>
      <c r="P18" s="30"/>
      <c r="Q18" s="30">
        <f>(N18+O18*0.18+J18)+(IF((P18-O18*0.18)&gt;0,(P18-O18*0.18),0))</f>
        <v>16975.309600000001</v>
      </c>
      <c r="R18" s="7"/>
      <c r="S18" s="7"/>
      <c r="T18" s="7"/>
      <c r="U18" s="7"/>
      <c r="V18" s="7"/>
      <c r="W18" s="7"/>
      <c r="X18" s="7"/>
      <c r="Y18" s="7"/>
      <c r="Z18" s="7"/>
    </row>
    <row r="19" spans="1:26" ht="9" customHeight="1" x14ac:dyDescent="0.2">
      <c r="A19" s="95"/>
      <c r="B19" s="95"/>
      <c r="C19" s="34" t="s">
        <v>37</v>
      </c>
      <c r="D19" s="35">
        <v>14</v>
      </c>
      <c r="E19" s="36">
        <v>14988008</v>
      </c>
      <c r="F19" s="36">
        <v>1644009</v>
      </c>
      <c r="G19" s="36">
        <v>0</v>
      </c>
      <c r="H19" s="36">
        <v>10944921</v>
      </c>
      <c r="I19" s="36">
        <v>0</v>
      </c>
      <c r="J19" s="37">
        <v>2298081</v>
      </c>
      <c r="K19" s="36">
        <v>27576938</v>
      </c>
      <c r="L19" s="38">
        <v>29875020</v>
      </c>
      <c r="M19" s="39"/>
      <c r="N19" s="36">
        <v>27576938</v>
      </c>
      <c r="O19" s="36">
        <v>16632017</v>
      </c>
      <c r="P19" s="36">
        <v>0</v>
      </c>
      <c r="Q19" s="36">
        <f>Q18*1936.27</f>
        <v>32868782.719192002</v>
      </c>
      <c r="R19" s="7"/>
      <c r="S19" s="7"/>
      <c r="T19" s="7"/>
      <c r="U19" s="7"/>
      <c r="V19" s="7"/>
      <c r="W19" s="7"/>
      <c r="X19" s="7"/>
      <c r="Y19" s="7"/>
      <c r="Z19" s="7"/>
    </row>
    <row r="20" spans="1:26" ht="12.75" customHeight="1" x14ac:dyDescent="0.2">
      <c r="A20" s="95"/>
      <c r="B20" s="95"/>
      <c r="C20" s="40" t="s">
        <v>36</v>
      </c>
      <c r="D20" s="41">
        <v>15</v>
      </c>
      <c r="E20" s="42">
        <v>8155.89</v>
      </c>
      <c r="F20" s="42">
        <v>892.44</v>
      </c>
      <c r="G20" s="42">
        <v>0</v>
      </c>
      <c r="H20" s="42">
        <v>5652.58</v>
      </c>
      <c r="I20" s="42">
        <v>0</v>
      </c>
      <c r="J20" s="42">
        <v>1225.08</v>
      </c>
      <c r="K20" s="43">
        <v>14700.91</v>
      </c>
      <c r="L20" s="32">
        <v>15925.99</v>
      </c>
      <c r="M20" s="33"/>
      <c r="N20" s="30">
        <v>14700.91</v>
      </c>
      <c r="O20" s="30">
        <v>9048.33</v>
      </c>
      <c r="P20" s="30"/>
      <c r="Q20" s="30">
        <f>(N20+O20*0.18+J20)+(IF((P20-O20*0.18)&gt;0,(P20-O20*0.18),0))</f>
        <v>17554.689399999999</v>
      </c>
      <c r="R20" s="7"/>
      <c r="S20" s="7"/>
      <c r="T20" s="7"/>
      <c r="U20" s="7"/>
      <c r="V20" s="7"/>
      <c r="W20" s="7"/>
      <c r="X20" s="7"/>
      <c r="Y20" s="7"/>
      <c r="Z20" s="7"/>
    </row>
    <row r="21" spans="1:26" ht="9" customHeight="1" x14ac:dyDescent="0.2">
      <c r="A21" s="95"/>
      <c r="B21" s="95"/>
      <c r="C21" s="34" t="s">
        <v>37</v>
      </c>
      <c r="D21" s="35">
        <v>16</v>
      </c>
      <c r="E21" s="36">
        <v>15792005</v>
      </c>
      <c r="F21" s="36">
        <v>1728005</v>
      </c>
      <c r="G21" s="36">
        <v>0</v>
      </c>
      <c r="H21" s="36">
        <v>10944921</v>
      </c>
      <c r="I21" s="36">
        <v>0</v>
      </c>
      <c r="J21" s="37">
        <v>2372086</v>
      </c>
      <c r="K21" s="36">
        <v>28464931</v>
      </c>
      <c r="L21" s="38">
        <v>30837017</v>
      </c>
      <c r="M21" s="39"/>
      <c r="N21" s="36">
        <v>28464931</v>
      </c>
      <c r="O21" s="36">
        <v>17520010</v>
      </c>
      <c r="P21" s="36">
        <v>0</v>
      </c>
      <c r="Q21" s="36">
        <f>Q20*1936.27</f>
        <v>33990618.444537997</v>
      </c>
      <c r="R21" s="7"/>
      <c r="S21" s="7"/>
      <c r="T21" s="7"/>
      <c r="U21" s="7"/>
      <c r="V21" s="7"/>
      <c r="W21" s="7"/>
      <c r="X21" s="7"/>
      <c r="Y21" s="7"/>
      <c r="Z21" s="7"/>
    </row>
    <row r="22" spans="1:26" ht="12.75" customHeight="1" x14ac:dyDescent="0.2">
      <c r="A22" s="95"/>
      <c r="B22" s="95"/>
      <c r="C22" s="40" t="s">
        <v>36</v>
      </c>
      <c r="D22" s="41">
        <v>17</v>
      </c>
      <c r="E22" s="42">
        <v>8571.1200000000008</v>
      </c>
      <c r="F22" s="42">
        <v>942.02</v>
      </c>
      <c r="G22" s="42">
        <v>0</v>
      </c>
      <c r="H22" s="42">
        <v>5652.58</v>
      </c>
      <c r="I22" s="42">
        <v>0</v>
      </c>
      <c r="J22" s="42">
        <v>1263.81</v>
      </c>
      <c r="K22" s="43">
        <v>15165.72</v>
      </c>
      <c r="L22" s="32">
        <v>16429.53</v>
      </c>
      <c r="M22" s="33"/>
      <c r="N22" s="30">
        <v>15165.72</v>
      </c>
      <c r="O22" s="30">
        <v>9513.14</v>
      </c>
      <c r="P22" s="30"/>
      <c r="Q22" s="30">
        <f>(N22+O22*0.18+J22)+(IF((P22-O22*0.18)&gt;0,(P22-O22*0.18),0))</f>
        <v>18141.895199999999</v>
      </c>
      <c r="R22" s="7"/>
      <c r="S22" s="7"/>
      <c r="T22" s="7"/>
      <c r="U22" s="7"/>
      <c r="V22" s="7"/>
      <c r="W22" s="7"/>
      <c r="X22" s="7"/>
      <c r="Y22" s="7"/>
      <c r="Z22" s="7"/>
    </row>
    <row r="23" spans="1:26" ht="9" customHeight="1" x14ac:dyDescent="0.2">
      <c r="A23" s="95"/>
      <c r="B23" s="95"/>
      <c r="C23" s="34" t="s">
        <v>37</v>
      </c>
      <c r="D23" s="35">
        <v>18</v>
      </c>
      <c r="E23" s="36">
        <v>16596003</v>
      </c>
      <c r="F23" s="36">
        <v>1824005</v>
      </c>
      <c r="G23" s="36">
        <v>0</v>
      </c>
      <c r="H23" s="36">
        <v>10944921</v>
      </c>
      <c r="I23" s="36">
        <v>0</v>
      </c>
      <c r="J23" s="37">
        <v>2447077</v>
      </c>
      <c r="K23" s="36">
        <v>29364929</v>
      </c>
      <c r="L23" s="38">
        <v>31812006</v>
      </c>
      <c r="M23" s="39"/>
      <c r="N23" s="36">
        <v>29364929</v>
      </c>
      <c r="O23" s="36">
        <v>18420008</v>
      </c>
      <c r="P23" s="36">
        <v>0</v>
      </c>
      <c r="Q23" s="36">
        <f>Q22*1936.27</f>
        <v>35127607.418903999</v>
      </c>
      <c r="R23" s="7"/>
      <c r="S23" s="7"/>
      <c r="T23" s="7"/>
      <c r="U23" s="7"/>
      <c r="V23" s="7"/>
      <c r="W23" s="7"/>
      <c r="X23" s="7"/>
      <c r="Y23" s="7"/>
      <c r="Z23" s="7"/>
    </row>
    <row r="24" spans="1:26" ht="12.75" customHeight="1" x14ac:dyDescent="0.2">
      <c r="A24" s="95"/>
      <c r="B24" s="95"/>
      <c r="C24" s="40" t="s">
        <v>36</v>
      </c>
      <c r="D24" s="41">
        <v>19</v>
      </c>
      <c r="E24" s="42">
        <v>8980.15</v>
      </c>
      <c r="F24" s="42">
        <v>985.4</v>
      </c>
      <c r="G24" s="42">
        <v>0</v>
      </c>
      <c r="H24" s="42">
        <v>5652.58</v>
      </c>
      <c r="I24" s="42">
        <v>0</v>
      </c>
      <c r="J24" s="42">
        <v>1301.51</v>
      </c>
      <c r="K24" s="43">
        <v>15618.13</v>
      </c>
      <c r="L24" s="32">
        <v>16919.64</v>
      </c>
      <c r="M24" s="33"/>
      <c r="N24" s="30">
        <v>15618.13</v>
      </c>
      <c r="O24" s="30">
        <v>9965.5499999999993</v>
      </c>
      <c r="P24" s="30"/>
      <c r="Q24" s="30">
        <f>(N24+O24*0.18+J24)+(IF((P24-O24*0.18)&gt;0,(P24-O24*0.18),0))</f>
        <v>18713.438999999998</v>
      </c>
      <c r="R24" s="7"/>
      <c r="S24" s="7"/>
      <c r="T24" s="7"/>
      <c r="U24" s="7"/>
      <c r="V24" s="7"/>
      <c r="W24" s="7"/>
      <c r="X24" s="7"/>
      <c r="Y24" s="7"/>
      <c r="Z24" s="7"/>
    </row>
    <row r="25" spans="1:26" ht="9" customHeight="1" x14ac:dyDescent="0.2">
      <c r="A25" s="95"/>
      <c r="B25" s="95"/>
      <c r="C25" s="34" t="s">
        <v>37</v>
      </c>
      <c r="D25" s="35">
        <v>20</v>
      </c>
      <c r="E25" s="36">
        <v>17387995</v>
      </c>
      <c r="F25" s="36">
        <v>1908000</v>
      </c>
      <c r="G25" s="36">
        <v>0</v>
      </c>
      <c r="H25" s="36">
        <v>10944921</v>
      </c>
      <c r="I25" s="36">
        <v>0</v>
      </c>
      <c r="J25" s="37">
        <v>2520075</v>
      </c>
      <c r="K25" s="36">
        <v>30240917</v>
      </c>
      <c r="L25" s="38">
        <v>32760991</v>
      </c>
      <c r="M25" s="39"/>
      <c r="N25" s="36">
        <v>30240917</v>
      </c>
      <c r="O25" s="36">
        <v>19295995</v>
      </c>
      <c r="P25" s="36">
        <v>0</v>
      </c>
      <c r="Q25" s="36">
        <f>Q24*1936.27</f>
        <v>36234270.532529995</v>
      </c>
      <c r="R25" s="7"/>
      <c r="S25" s="7"/>
      <c r="T25" s="7"/>
      <c r="U25" s="7"/>
      <c r="V25" s="7"/>
      <c r="W25" s="7"/>
      <c r="X25" s="7"/>
      <c r="Y25" s="7"/>
      <c r="Z25" s="7"/>
    </row>
    <row r="26" spans="1:26" ht="12.75" customHeight="1" x14ac:dyDescent="0.2">
      <c r="A26" s="95"/>
      <c r="B26" s="95"/>
      <c r="C26" s="40" t="s">
        <v>36</v>
      </c>
      <c r="D26" s="41">
        <v>21</v>
      </c>
      <c r="E26" s="42">
        <v>9252.84</v>
      </c>
      <c r="F26" s="42">
        <v>1016.39</v>
      </c>
      <c r="G26" s="42">
        <v>0</v>
      </c>
      <c r="H26" s="42">
        <v>5652.58</v>
      </c>
      <c r="I26" s="42">
        <v>0</v>
      </c>
      <c r="J26" s="42">
        <v>1326.82</v>
      </c>
      <c r="K26" s="43">
        <v>15921.81</v>
      </c>
      <c r="L26" s="32">
        <v>17248.63</v>
      </c>
      <c r="M26" s="33"/>
      <c r="N26" s="30">
        <v>15921.81</v>
      </c>
      <c r="O26" s="30">
        <v>10269.23</v>
      </c>
      <c r="P26" s="30"/>
      <c r="Q26" s="30">
        <f>(N26+O26*0.18+J26)+(IF((P26-O26*0.18)&gt;0,(P26-O26*0.18),0))</f>
        <v>19097.091399999998</v>
      </c>
      <c r="R26" s="7"/>
      <c r="S26" s="7"/>
      <c r="T26" s="7"/>
      <c r="U26" s="7"/>
      <c r="V26" s="7"/>
      <c r="W26" s="7"/>
      <c r="X26" s="7"/>
      <c r="Y26" s="7"/>
      <c r="Z26" s="7"/>
    </row>
    <row r="27" spans="1:26" ht="9" customHeight="1" x14ac:dyDescent="0.2">
      <c r="A27" s="95"/>
      <c r="B27" s="95"/>
      <c r="C27" s="34" t="s">
        <v>37</v>
      </c>
      <c r="D27" s="35">
        <v>22</v>
      </c>
      <c r="E27" s="36">
        <v>17915997</v>
      </c>
      <c r="F27" s="36">
        <v>1968005</v>
      </c>
      <c r="G27" s="36">
        <v>0</v>
      </c>
      <c r="H27" s="36">
        <v>10944921</v>
      </c>
      <c r="I27" s="36">
        <v>0</v>
      </c>
      <c r="J27" s="37">
        <v>2569082</v>
      </c>
      <c r="K27" s="36">
        <v>30828923</v>
      </c>
      <c r="L27" s="38">
        <v>33398005</v>
      </c>
      <c r="M27" s="39"/>
      <c r="N27" s="36">
        <v>30828923</v>
      </c>
      <c r="O27" s="36">
        <v>19884002</v>
      </c>
      <c r="P27" s="36">
        <v>0</v>
      </c>
      <c r="Q27" s="36">
        <f>Q26*1936.27</f>
        <v>36977125.165077992</v>
      </c>
      <c r="R27" s="7"/>
      <c r="S27" s="7"/>
      <c r="T27" s="7"/>
      <c r="U27" s="7"/>
      <c r="V27" s="7"/>
      <c r="W27" s="7"/>
      <c r="X27" s="7"/>
      <c r="Y27" s="7"/>
      <c r="Z27" s="7"/>
    </row>
    <row r="28" spans="1:26" ht="12.75" customHeight="1" x14ac:dyDescent="0.2">
      <c r="A28" s="95"/>
      <c r="B28" s="95"/>
      <c r="C28" s="40" t="s">
        <v>36</v>
      </c>
      <c r="D28" s="41">
        <v>23</v>
      </c>
      <c r="E28" s="42">
        <v>9519.33</v>
      </c>
      <c r="F28" s="42">
        <v>1047.3699999999999</v>
      </c>
      <c r="G28" s="42">
        <v>0</v>
      </c>
      <c r="H28" s="42">
        <v>5652.58</v>
      </c>
      <c r="I28" s="42">
        <v>0</v>
      </c>
      <c r="J28" s="42">
        <v>1351.61</v>
      </c>
      <c r="K28" s="43">
        <v>16219.28</v>
      </c>
      <c r="L28" s="32">
        <v>17570.89</v>
      </c>
      <c r="M28" s="33"/>
      <c r="N28" s="30">
        <v>16219.28</v>
      </c>
      <c r="O28" s="30">
        <v>10566.7</v>
      </c>
      <c r="P28" s="30"/>
      <c r="Q28" s="30">
        <f>(N28+O28*0.18+J28)+(IF((P28-O28*0.18)&gt;0,(P28-O28*0.18),0))</f>
        <v>19472.896000000001</v>
      </c>
      <c r="R28" s="7"/>
      <c r="S28" s="7"/>
      <c r="T28" s="7"/>
      <c r="U28" s="7"/>
      <c r="V28" s="7"/>
      <c r="W28" s="7"/>
      <c r="X28" s="7"/>
      <c r="Y28" s="7"/>
      <c r="Z28" s="7"/>
    </row>
    <row r="29" spans="1:26" ht="9" customHeight="1" x14ac:dyDescent="0.2">
      <c r="A29" s="95"/>
      <c r="B29" s="95"/>
      <c r="C29" s="34" t="s">
        <v>37</v>
      </c>
      <c r="D29" s="35">
        <v>23</v>
      </c>
      <c r="E29" s="36">
        <v>18431993</v>
      </c>
      <c r="F29" s="36">
        <v>2027991</v>
      </c>
      <c r="G29" s="36">
        <v>0</v>
      </c>
      <c r="H29" s="36">
        <v>10944921</v>
      </c>
      <c r="I29" s="36">
        <v>0</v>
      </c>
      <c r="J29" s="37">
        <v>2617082</v>
      </c>
      <c r="K29" s="36">
        <v>31404905</v>
      </c>
      <c r="L29" s="38">
        <v>34021987</v>
      </c>
      <c r="M29" s="39"/>
      <c r="N29" s="36">
        <v>31404905</v>
      </c>
      <c r="O29" s="36">
        <v>20459984</v>
      </c>
      <c r="P29" s="36">
        <v>0</v>
      </c>
      <c r="Q29" s="36">
        <f>Q28*1936.27</f>
        <v>37704784.337920003</v>
      </c>
      <c r="R29" s="7"/>
      <c r="S29" s="7"/>
      <c r="T29" s="7"/>
      <c r="U29" s="7"/>
      <c r="V29" s="7"/>
      <c r="W29" s="7"/>
      <c r="X29" s="7"/>
      <c r="Y29" s="7"/>
      <c r="Z29" s="7"/>
    </row>
    <row r="30" spans="1:26" ht="12.75" customHeight="1" x14ac:dyDescent="0.2">
      <c r="A30" s="95"/>
      <c r="B30" s="95"/>
      <c r="C30" s="40" t="s">
        <v>36</v>
      </c>
      <c r="D30" s="41">
        <v>24</v>
      </c>
      <c r="E30" s="42">
        <v>9792.02</v>
      </c>
      <c r="F30" s="42">
        <v>1072.1600000000001</v>
      </c>
      <c r="G30" s="42">
        <v>0</v>
      </c>
      <c r="H30" s="42">
        <v>5652.58</v>
      </c>
      <c r="I30" s="42">
        <v>0</v>
      </c>
      <c r="J30" s="42">
        <v>1376.4</v>
      </c>
      <c r="K30" s="43">
        <v>16516.759999999998</v>
      </c>
      <c r="L30" s="32">
        <v>17893.16</v>
      </c>
      <c r="M30" s="33"/>
      <c r="N30" s="30">
        <v>16516.759999999998</v>
      </c>
      <c r="O30" s="30">
        <v>10864.18</v>
      </c>
      <c r="P30" s="30"/>
      <c r="Q30" s="30">
        <f>(N30+O30*0.18+J30)+(IF((P30-O30*0.18)&gt;0,(P30-O30*0.18),0))</f>
        <v>19848.7124</v>
      </c>
      <c r="R30" s="7"/>
      <c r="S30" s="7"/>
      <c r="T30" s="7"/>
      <c r="U30" s="7"/>
      <c r="V30" s="7"/>
      <c r="W30" s="7"/>
      <c r="X30" s="7"/>
      <c r="Y30" s="7"/>
      <c r="Z30" s="7"/>
    </row>
    <row r="31" spans="1:26" ht="9" customHeight="1" x14ac:dyDescent="0.2">
      <c r="A31" s="95"/>
      <c r="B31" s="95"/>
      <c r="C31" s="34" t="s">
        <v>37</v>
      </c>
      <c r="D31" s="35">
        <v>25</v>
      </c>
      <c r="E31" s="36">
        <v>18959995</v>
      </c>
      <c r="F31" s="36">
        <v>2075991</v>
      </c>
      <c r="G31" s="36">
        <v>0</v>
      </c>
      <c r="H31" s="36">
        <v>10944921</v>
      </c>
      <c r="I31" s="36">
        <v>0</v>
      </c>
      <c r="J31" s="37">
        <v>2665082</v>
      </c>
      <c r="K31" s="36">
        <v>31980907</v>
      </c>
      <c r="L31" s="38">
        <v>34645989</v>
      </c>
      <c r="M31" s="39"/>
      <c r="N31" s="36">
        <v>31980907</v>
      </c>
      <c r="O31" s="36">
        <v>21035986</v>
      </c>
      <c r="P31" s="36">
        <v>0</v>
      </c>
      <c r="Q31" s="36">
        <f>Q30*1936.27</f>
        <v>38432466.358748004</v>
      </c>
      <c r="R31" s="7"/>
      <c r="S31" s="7"/>
      <c r="T31" s="7"/>
      <c r="U31" s="7"/>
      <c r="V31" s="7"/>
      <c r="W31" s="7"/>
      <c r="X31" s="7"/>
      <c r="Y31" s="7"/>
      <c r="Z31" s="7"/>
    </row>
    <row r="32" spans="1:26" ht="12.75" customHeight="1" x14ac:dyDescent="0.2">
      <c r="A32" s="95"/>
      <c r="B32" s="95"/>
      <c r="C32" s="40" t="s">
        <v>36</v>
      </c>
      <c r="D32" s="41">
        <v>26</v>
      </c>
      <c r="E32" s="42">
        <v>10058.51</v>
      </c>
      <c r="F32" s="42">
        <v>1103.1500000000001</v>
      </c>
      <c r="G32" s="42">
        <v>0</v>
      </c>
      <c r="H32" s="42">
        <v>5652.58</v>
      </c>
      <c r="I32" s="42">
        <v>0</v>
      </c>
      <c r="J32" s="42">
        <v>1401.19</v>
      </c>
      <c r="K32" s="43">
        <v>16814.240000000002</v>
      </c>
      <c r="L32" s="32">
        <v>18215.43</v>
      </c>
      <c r="M32" s="33"/>
      <c r="N32" s="30">
        <v>16814.240000000002</v>
      </c>
      <c r="O32" s="30">
        <v>11161.66</v>
      </c>
      <c r="P32" s="30"/>
      <c r="Q32" s="30">
        <f>(N32+O32*0.18+J32)+(IF((P32-O32*0.18)&gt;0,(P32-O32*0.18),0))</f>
        <v>20224.5288</v>
      </c>
      <c r="R32" s="7"/>
      <c r="S32" s="7"/>
      <c r="T32" s="7"/>
      <c r="U32" s="7"/>
      <c r="V32" s="7"/>
      <c r="W32" s="7"/>
      <c r="X32" s="7"/>
      <c r="Y32" s="7"/>
      <c r="Z32" s="7"/>
    </row>
    <row r="33" spans="1:26" ht="9" customHeight="1" x14ac:dyDescent="0.2">
      <c r="A33" s="95"/>
      <c r="B33" s="95"/>
      <c r="C33" s="34" t="s">
        <v>37</v>
      </c>
      <c r="D33" s="35">
        <v>27</v>
      </c>
      <c r="E33" s="36">
        <v>19475991</v>
      </c>
      <c r="F33" s="36">
        <v>2135996</v>
      </c>
      <c r="G33" s="36">
        <v>0</v>
      </c>
      <c r="H33" s="36">
        <v>10944921</v>
      </c>
      <c r="I33" s="36">
        <v>0</v>
      </c>
      <c r="J33" s="37">
        <v>2713082</v>
      </c>
      <c r="K33" s="36">
        <v>32556908</v>
      </c>
      <c r="L33" s="38">
        <v>35269991</v>
      </c>
      <c r="M33" s="39"/>
      <c r="N33" s="36">
        <v>32556908</v>
      </c>
      <c r="O33" s="36">
        <v>21611987</v>
      </c>
      <c r="P33" s="36">
        <v>0</v>
      </c>
      <c r="Q33" s="36">
        <f>Q32*1936.27</f>
        <v>39160148.379575998</v>
      </c>
      <c r="R33" s="7"/>
      <c r="S33" s="7"/>
      <c r="T33" s="7"/>
      <c r="U33" s="7"/>
      <c r="V33" s="7"/>
      <c r="W33" s="7"/>
      <c r="X33" s="7"/>
      <c r="Y33" s="7"/>
      <c r="Z33" s="7"/>
    </row>
    <row r="34" spans="1:26" ht="12.75" customHeight="1" x14ac:dyDescent="0.2">
      <c r="A34" s="95"/>
      <c r="B34" s="95"/>
      <c r="C34" s="40" t="s">
        <v>36</v>
      </c>
      <c r="D34" s="41">
        <v>28</v>
      </c>
      <c r="E34" s="42">
        <v>10331.200000000001</v>
      </c>
      <c r="F34" s="42">
        <v>1134.1400000000001</v>
      </c>
      <c r="G34" s="42">
        <v>0</v>
      </c>
      <c r="H34" s="42">
        <v>5652.58</v>
      </c>
      <c r="I34" s="42">
        <v>0</v>
      </c>
      <c r="J34" s="42">
        <v>1426.49</v>
      </c>
      <c r="K34" s="43">
        <v>17117.919999999998</v>
      </c>
      <c r="L34" s="32">
        <v>18544.41</v>
      </c>
      <c r="M34" s="33"/>
      <c r="N34" s="30">
        <v>17117.919999999998</v>
      </c>
      <c r="O34" s="30">
        <v>11465.34</v>
      </c>
      <c r="P34" s="30"/>
      <c r="Q34" s="30">
        <f>(N34+O34*0.18+J34)+(IF((P34-O34*0.18)&gt;0,(P34-O34*0.18),0))</f>
        <v>20608.171200000001</v>
      </c>
      <c r="R34" s="7"/>
      <c r="S34" s="7"/>
      <c r="T34" s="7"/>
      <c r="U34" s="7"/>
      <c r="V34" s="7"/>
      <c r="W34" s="7"/>
      <c r="X34" s="7"/>
      <c r="Y34" s="7"/>
      <c r="Z34" s="7"/>
    </row>
    <row r="35" spans="1:26" ht="9" customHeight="1" x14ac:dyDescent="0.2">
      <c r="A35" s="95"/>
      <c r="B35" s="95"/>
      <c r="C35" s="34" t="s">
        <v>37</v>
      </c>
      <c r="D35" s="35">
        <v>29</v>
      </c>
      <c r="E35" s="36">
        <v>20003993</v>
      </c>
      <c r="F35" s="36">
        <v>2196001</v>
      </c>
      <c r="G35" s="36">
        <v>0</v>
      </c>
      <c r="H35" s="36">
        <v>10944921</v>
      </c>
      <c r="I35" s="36">
        <v>0</v>
      </c>
      <c r="J35" s="37">
        <v>2762070</v>
      </c>
      <c r="K35" s="36">
        <v>33144915</v>
      </c>
      <c r="L35" s="38">
        <v>35906985</v>
      </c>
      <c r="M35" s="39"/>
      <c r="N35" s="36">
        <v>33144915</v>
      </c>
      <c r="O35" s="36">
        <v>22199994</v>
      </c>
      <c r="P35" s="36">
        <v>0</v>
      </c>
      <c r="Q35" s="36">
        <f>Q34*1936.27</f>
        <v>39902983.649424002</v>
      </c>
      <c r="R35" s="7"/>
      <c r="S35" s="7"/>
      <c r="T35" s="7"/>
      <c r="U35" s="7"/>
      <c r="V35" s="7"/>
      <c r="W35" s="7"/>
      <c r="X35" s="7"/>
      <c r="Y35" s="7"/>
      <c r="Z35" s="7"/>
    </row>
    <row r="36" spans="1:26" ht="12.75" customHeight="1" x14ac:dyDescent="0.2">
      <c r="A36" s="95"/>
      <c r="B36" s="95"/>
      <c r="C36" s="40" t="s">
        <v>36</v>
      </c>
      <c r="D36" s="41">
        <v>30</v>
      </c>
      <c r="E36" s="42">
        <v>10603.89</v>
      </c>
      <c r="F36" s="42">
        <v>1165.1300000000001</v>
      </c>
      <c r="G36" s="42">
        <v>0</v>
      </c>
      <c r="H36" s="42">
        <v>5652.58</v>
      </c>
      <c r="I36" s="42">
        <v>0</v>
      </c>
      <c r="J36" s="42">
        <v>1451.8</v>
      </c>
      <c r="K36" s="43">
        <v>17421.599999999999</v>
      </c>
      <c r="L36" s="32">
        <v>18873.400000000001</v>
      </c>
      <c r="M36" s="33"/>
      <c r="N36" s="30">
        <v>17421.599999999999</v>
      </c>
      <c r="O36" s="30">
        <v>11769.02</v>
      </c>
      <c r="P36" s="30"/>
      <c r="Q36" s="30">
        <f>(N36+O36*0.18+J36)+(IF((P36-O36*0.18)&gt;0,(P36-O36*0.18),0))</f>
        <v>20991.8236</v>
      </c>
      <c r="R36" s="7"/>
      <c r="S36" s="7"/>
      <c r="T36" s="7"/>
      <c r="U36" s="7"/>
      <c r="V36" s="7"/>
      <c r="W36" s="7"/>
      <c r="X36" s="7"/>
      <c r="Y36" s="7"/>
      <c r="Z36" s="7"/>
    </row>
    <row r="37" spans="1:26" ht="9" customHeight="1" x14ac:dyDescent="0.2">
      <c r="A37" s="95"/>
      <c r="B37" s="95"/>
      <c r="C37" s="34" t="s">
        <v>37</v>
      </c>
      <c r="D37" s="35">
        <v>31</v>
      </c>
      <c r="E37" s="36">
        <v>20531994</v>
      </c>
      <c r="F37" s="36">
        <v>2256006</v>
      </c>
      <c r="G37" s="36">
        <v>0</v>
      </c>
      <c r="H37" s="36">
        <v>10944921</v>
      </c>
      <c r="I37" s="36">
        <v>0</v>
      </c>
      <c r="J37" s="37">
        <v>2811077</v>
      </c>
      <c r="K37" s="36">
        <v>33732921</v>
      </c>
      <c r="L37" s="38">
        <v>36543998</v>
      </c>
      <c r="M37" s="39"/>
      <c r="N37" s="36">
        <v>33732921</v>
      </c>
      <c r="O37" s="36">
        <v>22788000</v>
      </c>
      <c r="P37" s="36">
        <v>0</v>
      </c>
      <c r="Q37" s="36">
        <f>Q36*1936.27</f>
        <v>40645838.281971999</v>
      </c>
      <c r="R37" s="7"/>
      <c r="S37" s="7"/>
      <c r="T37" s="7"/>
      <c r="U37" s="7"/>
      <c r="V37" s="7"/>
      <c r="W37" s="7"/>
      <c r="X37" s="7"/>
      <c r="Y37" s="7"/>
      <c r="Z37" s="7"/>
    </row>
    <row r="38" spans="1:26" ht="12.75" customHeight="1" x14ac:dyDescent="0.2">
      <c r="A38" s="95"/>
      <c r="B38" s="95"/>
      <c r="C38" s="40" t="s">
        <v>36</v>
      </c>
      <c r="D38" s="41">
        <v>32</v>
      </c>
      <c r="E38" s="42">
        <v>10870.38</v>
      </c>
      <c r="F38" s="42">
        <v>1189.92</v>
      </c>
      <c r="G38" s="42">
        <v>0</v>
      </c>
      <c r="H38" s="42">
        <v>5652.58</v>
      </c>
      <c r="I38" s="42">
        <v>0</v>
      </c>
      <c r="J38" s="42">
        <v>1476.07</v>
      </c>
      <c r="K38" s="43">
        <v>17712.88</v>
      </c>
      <c r="L38" s="32">
        <v>19188.95</v>
      </c>
      <c r="M38" s="33"/>
      <c r="N38" s="30">
        <v>17712.88</v>
      </c>
      <c r="O38" s="30">
        <v>12060.3</v>
      </c>
      <c r="P38" s="30"/>
      <c r="Q38" s="30">
        <f>(N38+O38*0.18+J38)+(IF((P38-O38*0.18)&gt;0,(P38-O38*0.18),0))</f>
        <v>21359.804</v>
      </c>
      <c r="R38" s="7"/>
      <c r="S38" s="7"/>
      <c r="T38" s="7"/>
      <c r="U38" s="7"/>
      <c r="V38" s="7"/>
      <c r="W38" s="7"/>
      <c r="X38" s="7"/>
      <c r="Y38" s="7"/>
      <c r="Z38" s="7"/>
    </row>
    <row r="39" spans="1:26" ht="9" customHeight="1" x14ac:dyDescent="0.2">
      <c r="A39" s="95"/>
      <c r="B39" s="95"/>
      <c r="C39" s="34" t="s">
        <v>37</v>
      </c>
      <c r="D39" s="35">
        <v>33</v>
      </c>
      <c r="E39" s="36">
        <v>21047991</v>
      </c>
      <c r="F39" s="36">
        <v>2304006</v>
      </c>
      <c r="G39" s="36">
        <v>0</v>
      </c>
      <c r="H39" s="36">
        <v>10944921</v>
      </c>
      <c r="I39" s="36">
        <v>0</v>
      </c>
      <c r="J39" s="37">
        <v>2858070</v>
      </c>
      <c r="K39" s="36">
        <v>34296918</v>
      </c>
      <c r="L39" s="38">
        <v>37154988</v>
      </c>
      <c r="M39" s="39"/>
      <c r="N39" s="36">
        <v>34296918</v>
      </c>
      <c r="O39" s="36">
        <v>23351997</v>
      </c>
      <c r="P39" s="36">
        <v>0</v>
      </c>
      <c r="Q39" s="36">
        <f>Q38*1936.27</f>
        <v>41358347.691079997</v>
      </c>
      <c r="R39" s="7"/>
      <c r="S39" s="7"/>
      <c r="T39" s="7"/>
      <c r="U39" s="7"/>
      <c r="V39" s="7"/>
      <c r="W39" s="7"/>
      <c r="X39" s="7"/>
      <c r="Y39" s="7"/>
      <c r="Z39" s="7"/>
    </row>
    <row r="40" spans="1:26" ht="12.75" customHeight="1" x14ac:dyDescent="0.2">
      <c r="A40" s="95"/>
      <c r="B40" s="95"/>
      <c r="C40" s="40" t="s">
        <v>36</v>
      </c>
      <c r="D40" s="41">
        <v>34</v>
      </c>
      <c r="E40" s="42">
        <v>11136.88</v>
      </c>
      <c r="F40" s="42">
        <v>1220.9000000000001</v>
      </c>
      <c r="G40" s="42">
        <v>0</v>
      </c>
      <c r="H40" s="42">
        <v>5652.58</v>
      </c>
      <c r="I40" s="42">
        <v>0</v>
      </c>
      <c r="J40" s="42">
        <v>1500.86</v>
      </c>
      <c r="K40" s="43">
        <v>18010.36</v>
      </c>
      <c r="L40" s="32">
        <v>19511.22</v>
      </c>
      <c r="M40" s="33"/>
      <c r="N40" s="30">
        <v>18010.36</v>
      </c>
      <c r="O40" s="30">
        <v>12357.78</v>
      </c>
      <c r="P40" s="30"/>
      <c r="Q40" s="30">
        <f>(N40+O40*0.18+J40)+(IF((P40-O40*0.18)&gt;0,(P40-O40*0.18),0))</f>
        <v>21735.6204</v>
      </c>
      <c r="R40" s="7"/>
      <c r="S40" s="7"/>
      <c r="T40" s="7"/>
      <c r="U40" s="7"/>
      <c r="V40" s="7"/>
      <c r="W40" s="7"/>
      <c r="X40" s="7"/>
      <c r="Y40" s="7"/>
      <c r="Z40" s="7"/>
    </row>
    <row r="41" spans="1:26" ht="9" customHeight="1" x14ac:dyDescent="0.2">
      <c r="A41" s="95"/>
      <c r="B41" s="95"/>
      <c r="C41" s="34" t="s">
        <v>37</v>
      </c>
      <c r="D41" s="35">
        <v>35</v>
      </c>
      <c r="E41" s="36">
        <v>21564007</v>
      </c>
      <c r="F41" s="36">
        <v>2363992</v>
      </c>
      <c r="G41" s="36">
        <v>0</v>
      </c>
      <c r="H41" s="36">
        <v>10944921</v>
      </c>
      <c r="I41" s="36">
        <v>0</v>
      </c>
      <c r="J41" s="37">
        <v>2906070</v>
      </c>
      <c r="K41" s="36">
        <v>34872920</v>
      </c>
      <c r="L41" s="38">
        <v>37778990</v>
      </c>
      <c r="M41" s="39"/>
      <c r="N41" s="36">
        <v>34872920</v>
      </c>
      <c r="O41" s="36">
        <v>23927999</v>
      </c>
      <c r="P41" s="36">
        <v>0</v>
      </c>
      <c r="Q41" s="36">
        <f>Q40*1936.27</f>
        <v>42086029.711907998</v>
      </c>
      <c r="R41" s="7"/>
      <c r="S41" s="7"/>
      <c r="T41" s="7"/>
      <c r="U41" s="7"/>
      <c r="V41" s="7"/>
      <c r="W41" s="7"/>
      <c r="X41" s="7"/>
      <c r="Y41" s="7"/>
      <c r="Z41" s="7"/>
    </row>
    <row r="42" spans="1:26" ht="12.75" customHeight="1" x14ac:dyDescent="0.2">
      <c r="A42" s="95"/>
      <c r="B42" s="95"/>
      <c r="C42" s="40" t="s">
        <v>36</v>
      </c>
      <c r="D42" s="41">
        <v>36</v>
      </c>
      <c r="E42" s="42">
        <v>11409.57</v>
      </c>
      <c r="F42" s="42">
        <v>1251.8900000000001</v>
      </c>
      <c r="G42" s="42">
        <v>0</v>
      </c>
      <c r="H42" s="42">
        <v>5652.58</v>
      </c>
      <c r="I42" s="42">
        <v>0</v>
      </c>
      <c r="J42" s="42">
        <v>1526.17</v>
      </c>
      <c r="K42" s="43">
        <v>18314.04</v>
      </c>
      <c r="L42" s="32">
        <v>19840.21</v>
      </c>
      <c r="M42" s="33"/>
      <c r="N42" s="30">
        <v>18314.04</v>
      </c>
      <c r="O42" s="30">
        <v>12661.46</v>
      </c>
      <c r="P42" s="30"/>
      <c r="Q42" s="30">
        <f>(N42+O42*0.18+J42)+(IF((P42-O42*0.18)&gt;0,(P42-O42*0.18),0))</f>
        <v>22119.272799999999</v>
      </c>
      <c r="R42" s="7"/>
      <c r="S42" s="7"/>
      <c r="T42" s="7"/>
      <c r="U42" s="7"/>
      <c r="V42" s="7"/>
      <c r="W42" s="7"/>
      <c r="X42" s="7"/>
      <c r="Y42" s="7"/>
      <c r="Z42" s="7"/>
    </row>
    <row r="43" spans="1:26" ht="9" customHeight="1" x14ac:dyDescent="0.2">
      <c r="A43" s="95"/>
      <c r="B43" s="95"/>
      <c r="C43" s="34" t="s">
        <v>37</v>
      </c>
      <c r="D43" s="35">
        <v>37</v>
      </c>
      <c r="E43" s="36">
        <v>22092008</v>
      </c>
      <c r="F43" s="36">
        <v>2423997</v>
      </c>
      <c r="G43" s="36">
        <v>0</v>
      </c>
      <c r="H43" s="36">
        <v>10944921</v>
      </c>
      <c r="I43" s="36">
        <v>0</v>
      </c>
      <c r="J43" s="37">
        <v>2955077</v>
      </c>
      <c r="K43" s="36">
        <v>35460926</v>
      </c>
      <c r="L43" s="38">
        <v>38416003</v>
      </c>
      <c r="M43" s="39"/>
      <c r="N43" s="36">
        <v>35460926</v>
      </c>
      <c r="O43" s="36">
        <v>24516005</v>
      </c>
      <c r="P43" s="36">
        <v>0</v>
      </c>
      <c r="Q43" s="36">
        <f>Q42*1936.27</f>
        <v>42828884.344455995</v>
      </c>
      <c r="R43" s="7"/>
      <c r="S43" s="7"/>
      <c r="T43" s="7"/>
      <c r="U43" s="7"/>
      <c r="V43" s="7"/>
      <c r="W43" s="7"/>
      <c r="X43" s="7"/>
      <c r="Y43" s="7"/>
      <c r="Z43" s="7"/>
    </row>
    <row r="44" spans="1:26" ht="12.75" customHeight="1" x14ac:dyDescent="0.2">
      <c r="A44" s="95"/>
      <c r="B44" s="95"/>
      <c r="C44" s="40" t="s">
        <v>36</v>
      </c>
      <c r="D44" s="41">
        <v>38</v>
      </c>
      <c r="E44" s="42">
        <v>11676.06</v>
      </c>
      <c r="F44" s="42">
        <v>1282.8800000000001</v>
      </c>
      <c r="G44" s="42">
        <v>0</v>
      </c>
      <c r="H44" s="42">
        <v>5652.58</v>
      </c>
      <c r="I44" s="42">
        <v>0</v>
      </c>
      <c r="J44" s="42">
        <v>1550.96</v>
      </c>
      <c r="K44" s="43">
        <v>18611.52</v>
      </c>
      <c r="L44" s="32">
        <v>20162.48</v>
      </c>
      <c r="M44" s="33"/>
      <c r="N44" s="30">
        <v>18611.52</v>
      </c>
      <c r="O44" s="30">
        <v>12958.94</v>
      </c>
      <c r="P44" s="30"/>
      <c r="Q44" s="30">
        <f>(N44+O44*0.18+J44)+(IF((P44-O44*0.18)&gt;0,(P44-O44*0.18),0))</f>
        <v>22495.089199999999</v>
      </c>
      <c r="R44" s="7"/>
      <c r="S44" s="7"/>
      <c r="T44" s="7"/>
      <c r="U44" s="7"/>
      <c r="V44" s="7"/>
      <c r="W44" s="7"/>
      <c r="X44" s="7"/>
      <c r="Y44" s="7"/>
      <c r="Z44" s="7"/>
    </row>
    <row r="45" spans="1:26" ht="9" customHeight="1" x14ac:dyDescent="0.2">
      <c r="A45" s="95"/>
      <c r="B45" s="95"/>
      <c r="C45" s="34" t="s">
        <v>37</v>
      </c>
      <c r="D45" s="35">
        <v>39</v>
      </c>
      <c r="E45" s="36">
        <v>22608005</v>
      </c>
      <c r="F45" s="36">
        <v>2484002</v>
      </c>
      <c r="G45" s="36">
        <v>0</v>
      </c>
      <c r="H45" s="36">
        <v>10944921</v>
      </c>
      <c r="I45" s="36">
        <v>0</v>
      </c>
      <c r="J45" s="37">
        <v>3003077</v>
      </c>
      <c r="K45" s="36">
        <v>36036928</v>
      </c>
      <c r="L45" s="38">
        <v>39040005</v>
      </c>
      <c r="M45" s="39"/>
      <c r="N45" s="36">
        <v>36036928</v>
      </c>
      <c r="O45" s="36">
        <v>25092007</v>
      </c>
      <c r="P45" s="36">
        <v>0</v>
      </c>
      <c r="Q45" s="36">
        <f>Q44*1936.27</f>
        <v>43556566.365283996</v>
      </c>
      <c r="R45" s="7"/>
      <c r="S45" s="7"/>
      <c r="T45" s="7"/>
      <c r="U45" s="7"/>
      <c r="V45" s="7"/>
      <c r="W45" s="7"/>
      <c r="X45" s="7"/>
      <c r="Y45" s="7"/>
      <c r="Z45" s="7"/>
    </row>
    <row r="46" spans="1:26" ht="12.75" customHeight="1" x14ac:dyDescent="0.2">
      <c r="A46" s="95"/>
      <c r="B46" s="95"/>
      <c r="C46" s="40" t="s">
        <v>36</v>
      </c>
      <c r="D46" s="41">
        <v>40</v>
      </c>
      <c r="E46" s="42">
        <v>11948.75</v>
      </c>
      <c r="F46" s="42">
        <v>1313.87</v>
      </c>
      <c r="G46" s="42">
        <v>0</v>
      </c>
      <c r="H46" s="42">
        <v>5652.58</v>
      </c>
      <c r="I46" s="42">
        <v>0</v>
      </c>
      <c r="J46" s="42">
        <v>1576.27</v>
      </c>
      <c r="K46" s="43">
        <v>18915.2</v>
      </c>
      <c r="L46" s="32">
        <v>20491.47</v>
      </c>
      <c r="M46" s="33"/>
      <c r="N46" s="30">
        <v>18915.2</v>
      </c>
      <c r="O46" s="30">
        <v>13262.62</v>
      </c>
      <c r="P46" s="30"/>
      <c r="Q46" s="30">
        <f>(N46+O46*0.18+J46)+(IF((P46-O46*0.18)&gt;0,(P46-O46*0.18),0))</f>
        <v>22878.741600000001</v>
      </c>
      <c r="R46" s="7"/>
      <c r="S46" s="7"/>
      <c r="T46" s="7"/>
      <c r="U46" s="7"/>
      <c r="V46" s="7"/>
      <c r="W46" s="7"/>
      <c r="X46" s="7"/>
      <c r="Y46" s="7"/>
      <c r="Z46" s="7"/>
    </row>
    <row r="47" spans="1:26" ht="12.75" customHeight="1" x14ac:dyDescent="0.2">
      <c r="A47" s="95"/>
      <c r="B47" s="95"/>
      <c r="C47" s="115"/>
      <c r="D47" s="45"/>
      <c r="E47" s="116"/>
      <c r="F47" s="116"/>
      <c r="G47" s="116"/>
      <c r="H47" s="116"/>
      <c r="I47" s="116"/>
      <c r="J47" s="117"/>
      <c r="K47" s="118"/>
      <c r="L47" s="119"/>
      <c r="M47" s="33"/>
      <c r="N47" s="116"/>
      <c r="O47" s="116"/>
      <c r="P47" s="116"/>
      <c r="Q47" s="116"/>
      <c r="R47" s="7"/>
      <c r="S47" s="7"/>
      <c r="T47" s="7"/>
      <c r="U47" s="7"/>
      <c r="V47" s="7"/>
      <c r="W47" s="7"/>
      <c r="X47" s="7"/>
      <c r="Y47" s="7"/>
      <c r="Z47" s="7"/>
    </row>
    <row r="48" spans="1:26" ht="12.75" customHeight="1" x14ac:dyDescent="0.2">
      <c r="A48" s="95"/>
      <c r="B48" s="95"/>
      <c r="C48" s="115"/>
      <c r="D48" s="45"/>
      <c r="E48" s="116"/>
      <c r="F48" s="116"/>
      <c r="G48" s="116"/>
      <c r="H48" s="116"/>
      <c r="I48" s="116"/>
      <c r="J48" s="117"/>
      <c r="K48" s="118"/>
      <c r="L48" s="119"/>
      <c r="M48" s="33"/>
      <c r="N48" s="116"/>
      <c r="O48" s="116"/>
      <c r="P48" s="116"/>
      <c r="Q48" s="116"/>
      <c r="R48" s="7"/>
      <c r="S48" s="7"/>
      <c r="T48" s="7"/>
      <c r="U48" s="7"/>
      <c r="V48" s="7"/>
      <c r="W48" s="7"/>
      <c r="X48" s="7"/>
      <c r="Y48" s="7"/>
      <c r="Z48" s="7"/>
    </row>
    <row r="49" spans="1:26" ht="9" customHeight="1" x14ac:dyDescent="0.2">
      <c r="A49" s="110"/>
      <c r="B49" s="110"/>
      <c r="C49" s="47"/>
      <c r="D49" s="48"/>
      <c r="E49" s="46">
        <v>23136006</v>
      </c>
      <c r="F49" s="46">
        <v>2544007</v>
      </c>
      <c r="G49" s="46">
        <v>0</v>
      </c>
      <c r="H49" s="46">
        <v>10944921</v>
      </c>
      <c r="I49" s="46">
        <v>0</v>
      </c>
      <c r="J49" s="49">
        <v>3052084</v>
      </c>
      <c r="K49" s="46">
        <v>36624934</v>
      </c>
      <c r="L49" s="38">
        <v>39677019</v>
      </c>
      <c r="M49" s="39"/>
      <c r="N49" s="46">
        <v>36624934</v>
      </c>
      <c r="O49" s="46">
        <v>25680013</v>
      </c>
      <c r="P49" s="46">
        <v>0</v>
      </c>
      <c r="Q49" s="36">
        <f>Q46*1936.27</f>
        <v>44299420.997832</v>
      </c>
      <c r="R49" s="7"/>
      <c r="S49" s="7"/>
      <c r="T49" s="7"/>
      <c r="U49" s="7"/>
      <c r="V49" s="7"/>
      <c r="W49" s="7"/>
      <c r="X49" s="7"/>
      <c r="Y49" s="7"/>
      <c r="Z49" s="7"/>
    </row>
    <row r="50" spans="1:26" ht="12.75" customHeight="1" x14ac:dyDescent="0.2">
      <c r="A50" s="98">
        <v>33178</v>
      </c>
      <c r="B50" s="98">
        <v>33358</v>
      </c>
      <c r="C50" s="28" t="s">
        <v>36</v>
      </c>
      <c r="D50" s="29">
        <v>0</v>
      </c>
      <c r="E50" s="30">
        <v>5751.26</v>
      </c>
      <c r="F50" s="30">
        <v>632.14</v>
      </c>
      <c r="G50" s="30">
        <v>0</v>
      </c>
      <c r="H50" s="30">
        <v>5865</v>
      </c>
      <c r="I50" s="30">
        <v>0</v>
      </c>
      <c r="J50" s="30">
        <v>1020.7</v>
      </c>
      <c r="K50" s="31">
        <v>12248.4</v>
      </c>
      <c r="L50" s="32">
        <v>13269.1</v>
      </c>
      <c r="M50" s="33"/>
      <c r="N50" s="30">
        <v>12248.4</v>
      </c>
      <c r="O50" s="30">
        <v>6383.4</v>
      </c>
      <c r="P50" s="30"/>
      <c r="Q50" s="30">
        <f>(N50+O50*0.18+J50)+(IF((P50-O50*0.18)&gt;0,(P50-O50*0.18),0))</f>
        <v>14418.112000000001</v>
      </c>
      <c r="R50" s="7"/>
      <c r="S50" s="7"/>
      <c r="T50" s="7"/>
      <c r="U50" s="7"/>
      <c r="V50" s="7"/>
      <c r="W50" s="7"/>
      <c r="X50" s="7"/>
      <c r="Y50" s="7"/>
      <c r="Z50" s="7"/>
    </row>
    <row r="51" spans="1:26" ht="9" customHeight="1" x14ac:dyDescent="0.2">
      <c r="A51" s="95"/>
      <c r="B51" s="95"/>
      <c r="C51" s="34" t="s">
        <v>37</v>
      </c>
      <c r="D51" s="35">
        <v>2</v>
      </c>
      <c r="E51" s="36">
        <v>11135992</v>
      </c>
      <c r="F51" s="36">
        <v>1223994</v>
      </c>
      <c r="G51" s="36">
        <v>0</v>
      </c>
      <c r="H51" s="36">
        <v>11356224</v>
      </c>
      <c r="I51" s="36">
        <v>0</v>
      </c>
      <c r="J51" s="37">
        <v>1976351</v>
      </c>
      <c r="K51" s="36">
        <v>23716209</v>
      </c>
      <c r="L51" s="38">
        <v>25692560</v>
      </c>
      <c r="M51" s="39"/>
      <c r="N51" s="36">
        <v>23716209</v>
      </c>
      <c r="O51" s="36">
        <v>12359986</v>
      </c>
      <c r="P51" s="36">
        <v>0</v>
      </c>
      <c r="Q51" s="36">
        <f>Q50*1936.27</f>
        <v>27917357.722240001</v>
      </c>
      <c r="R51" s="7"/>
      <c r="S51" s="7"/>
      <c r="T51" s="7"/>
      <c r="U51" s="7"/>
      <c r="V51" s="7"/>
      <c r="W51" s="7"/>
      <c r="X51" s="7"/>
      <c r="Y51" s="7"/>
      <c r="Z51" s="7"/>
    </row>
    <row r="52" spans="1:26" ht="12.75" customHeight="1" x14ac:dyDescent="0.2">
      <c r="A52" s="155">
        <v>33178</v>
      </c>
      <c r="B52" s="155">
        <v>33358</v>
      </c>
      <c r="C52" s="40" t="s">
        <v>36</v>
      </c>
      <c r="D52" s="41">
        <v>3</v>
      </c>
      <c r="E52" s="42">
        <v>6061.14</v>
      </c>
      <c r="F52" s="42">
        <v>663.13</v>
      </c>
      <c r="G52" s="42">
        <v>0</v>
      </c>
      <c r="H52" s="42">
        <v>5865</v>
      </c>
      <c r="I52" s="42">
        <v>0</v>
      </c>
      <c r="J52" s="42">
        <v>1049.1099999999999</v>
      </c>
      <c r="K52" s="43">
        <v>12589.27</v>
      </c>
      <c r="L52" s="32">
        <v>13638.38</v>
      </c>
      <c r="M52" s="33"/>
      <c r="N52" s="30">
        <v>12589.27</v>
      </c>
      <c r="O52" s="30">
        <v>6724.27</v>
      </c>
      <c r="P52" s="30"/>
      <c r="Q52" s="30">
        <f>(N52+O52*0.18+J52)+(IF((P52-O52*0.18)&gt;0,(P52-O52*0.18),0))</f>
        <v>14848.748600000001</v>
      </c>
      <c r="R52" s="7"/>
      <c r="S52" s="7"/>
      <c r="T52" s="7"/>
      <c r="U52" s="7"/>
      <c r="V52" s="7"/>
      <c r="W52" s="7"/>
      <c r="X52" s="7"/>
      <c r="Y52" s="7"/>
      <c r="Z52" s="7"/>
    </row>
    <row r="53" spans="1:26" ht="9" customHeight="1" x14ac:dyDescent="0.2">
      <c r="A53" s="95"/>
      <c r="B53" s="95"/>
      <c r="C53" s="34" t="s">
        <v>37</v>
      </c>
      <c r="D53" s="35">
        <v>4</v>
      </c>
      <c r="E53" s="36">
        <v>11736004</v>
      </c>
      <c r="F53" s="36">
        <v>1283999</v>
      </c>
      <c r="G53" s="36">
        <v>0</v>
      </c>
      <c r="H53" s="36">
        <v>11356224</v>
      </c>
      <c r="I53" s="36">
        <v>0</v>
      </c>
      <c r="J53" s="37">
        <v>2031360</v>
      </c>
      <c r="K53" s="36">
        <v>24376226</v>
      </c>
      <c r="L53" s="38">
        <v>26407586</v>
      </c>
      <c r="M53" s="39"/>
      <c r="N53" s="36">
        <v>24376226</v>
      </c>
      <c r="O53" s="36">
        <v>13020002</v>
      </c>
      <c r="P53" s="36">
        <v>0</v>
      </c>
      <c r="Q53" s="36">
        <f>Q52*1936.27</f>
        <v>28751186.451722</v>
      </c>
      <c r="R53" s="7"/>
      <c r="S53" s="7"/>
      <c r="T53" s="7"/>
      <c r="U53" s="7"/>
      <c r="V53" s="7"/>
      <c r="W53" s="7"/>
      <c r="X53" s="7"/>
      <c r="Y53" s="7"/>
      <c r="Z53" s="7"/>
    </row>
    <row r="54" spans="1:26" ht="12.75" customHeight="1" x14ac:dyDescent="0.2">
      <c r="A54" s="95"/>
      <c r="B54" s="95"/>
      <c r="C54" s="40" t="s">
        <v>36</v>
      </c>
      <c r="D54" s="41">
        <v>5</v>
      </c>
      <c r="E54" s="42">
        <v>6371.01</v>
      </c>
      <c r="F54" s="42">
        <v>700.32</v>
      </c>
      <c r="G54" s="42">
        <v>0</v>
      </c>
      <c r="H54" s="42">
        <v>5865</v>
      </c>
      <c r="I54" s="42">
        <v>0</v>
      </c>
      <c r="J54" s="42">
        <v>1078.03</v>
      </c>
      <c r="K54" s="43">
        <v>12936.33</v>
      </c>
      <c r="L54" s="32">
        <v>14014.36</v>
      </c>
      <c r="M54" s="33"/>
      <c r="N54" s="30">
        <v>12936.33</v>
      </c>
      <c r="O54" s="30">
        <v>7071.33</v>
      </c>
      <c r="P54" s="30"/>
      <c r="Q54" s="30">
        <f>(N54+O54*0.18+J54)+(IF((P54-O54*0.18)&gt;0,(P54-O54*0.18),0))</f>
        <v>15287.1994</v>
      </c>
      <c r="R54" s="7"/>
      <c r="S54" s="7"/>
      <c r="T54" s="7"/>
      <c r="U54" s="7"/>
      <c r="V54" s="7"/>
      <c r="W54" s="7"/>
      <c r="X54" s="7"/>
      <c r="Y54" s="7"/>
      <c r="Z54" s="7"/>
    </row>
    <row r="55" spans="1:26" ht="9" customHeight="1" x14ac:dyDescent="0.2">
      <c r="A55" s="95"/>
      <c r="B55" s="95"/>
      <c r="C55" s="34" t="s">
        <v>37</v>
      </c>
      <c r="D55" s="35">
        <v>6</v>
      </c>
      <c r="E55" s="36">
        <v>12335996</v>
      </c>
      <c r="F55" s="36">
        <v>1356009</v>
      </c>
      <c r="G55" s="36">
        <v>0</v>
      </c>
      <c r="H55" s="36">
        <v>11356224</v>
      </c>
      <c r="I55" s="36">
        <v>0</v>
      </c>
      <c r="J55" s="37">
        <v>2087357</v>
      </c>
      <c r="K55" s="36">
        <v>25048228</v>
      </c>
      <c r="L55" s="38">
        <v>27135585</v>
      </c>
      <c r="M55" s="39"/>
      <c r="N55" s="36">
        <v>25048228</v>
      </c>
      <c r="O55" s="36"/>
      <c r="P55" s="36">
        <v>0</v>
      </c>
      <c r="Q55" s="36">
        <f>Q54*1936.27</f>
        <v>29600145.582238</v>
      </c>
      <c r="R55" s="7"/>
      <c r="S55" s="7"/>
      <c r="T55" s="7"/>
      <c r="U55" s="7"/>
      <c r="V55" s="7"/>
      <c r="W55" s="7"/>
      <c r="X55" s="7"/>
      <c r="Y55" s="7"/>
      <c r="Z55" s="7"/>
    </row>
    <row r="56" spans="1:26" ht="12.75" customHeight="1" x14ac:dyDescent="0.2">
      <c r="A56" s="95"/>
      <c r="B56" s="95"/>
      <c r="C56" s="40" t="s">
        <v>36</v>
      </c>
      <c r="D56" s="41">
        <v>7</v>
      </c>
      <c r="E56" s="42">
        <v>6674.69</v>
      </c>
      <c r="F56" s="42">
        <v>731.3</v>
      </c>
      <c r="G56" s="42">
        <v>0</v>
      </c>
      <c r="H56" s="42">
        <v>5865</v>
      </c>
      <c r="I56" s="42">
        <v>0</v>
      </c>
      <c r="J56" s="42">
        <v>1105.92</v>
      </c>
      <c r="K56" s="43">
        <v>13270.99</v>
      </c>
      <c r="L56" s="32">
        <v>14376.91</v>
      </c>
      <c r="M56" s="33"/>
      <c r="N56" s="30">
        <v>13270.99</v>
      </c>
      <c r="O56" s="30"/>
      <c r="P56" s="30"/>
      <c r="Q56" s="30">
        <f>(N56+O56*0.18+J56)+(IF((P56-O56*0.18)&gt;0,(P56-O56*0.18),0))</f>
        <v>14376.91</v>
      </c>
      <c r="R56" s="7"/>
      <c r="S56" s="7"/>
      <c r="T56" s="7"/>
      <c r="U56" s="7"/>
      <c r="V56" s="7"/>
      <c r="W56" s="7"/>
      <c r="X56" s="7"/>
      <c r="Y56" s="7"/>
      <c r="Z56" s="7"/>
    </row>
    <row r="57" spans="1:26" ht="9" customHeight="1" x14ac:dyDescent="0.2">
      <c r="A57" s="95"/>
      <c r="B57" s="95"/>
      <c r="C57" s="34" t="s">
        <v>37</v>
      </c>
      <c r="D57" s="35">
        <v>8</v>
      </c>
      <c r="E57" s="36">
        <v>12924002</v>
      </c>
      <c r="F57" s="36">
        <v>1415994</v>
      </c>
      <c r="G57" s="36">
        <v>0</v>
      </c>
      <c r="H57" s="36">
        <v>11356224</v>
      </c>
      <c r="I57" s="36">
        <v>0</v>
      </c>
      <c r="J57" s="37">
        <v>2141360</v>
      </c>
      <c r="K57" s="36">
        <v>25696220</v>
      </c>
      <c r="L57" s="38">
        <v>27837580</v>
      </c>
      <c r="M57" s="39"/>
      <c r="N57" s="36">
        <v>25696220</v>
      </c>
      <c r="O57" s="36"/>
      <c r="P57" s="36">
        <v>0</v>
      </c>
      <c r="Q57" s="36">
        <f>Q56*1936.27</f>
        <v>27837579.525699999</v>
      </c>
      <c r="R57" s="7"/>
      <c r="S57" s="7"/>
      <c r="T57" s="7"/>
      <c r="U57" s="7"/>
      <c r="V57" s="7"/>
      <c r="W57" s="7"/>
      <c r="X57" s="7"/>
      <c r="Y57" s="7"/>
      <c r="Z57" s="7"/>
    </row>
    <row r="58" spans="1:26" ht="12.75" customHeight="1" x14ac:dyDescent="0.2">
      <c r="A58" s="95"/>
      <c r="B58" s="95"/>
      <c r="C58" s="40" t="s">
        <v>36</v>
      </c>
      <c r="D58" s="41">
        <v>9</v>
      </c>
      <c r="E58" s="42">
        <v>7027.95</v>
      </c>
      <c r="F58" s="42">
        <v>768.49</v>
      </c>
      <c r="G58" s="42">
        <v>0</v>
      </c>
      <c r="H58" s="42">
        <v>5865</v>
      </c>
      <c r="I58" s="42">
        <v>0</v>
      </c>
      <c r="J58" s="42">
        <v>1138.45</v>
      </c>
      <c r="K58" s="43">
        <v>13661.44</v>
      </c>
      <c r="L58" s="32">
        <v>14799.89</v>
      </c>
      <c r="M58" s="33"/>
      <c r="N58" s="30">
        <v>13661.44</v>
      </c>
      <c r="O58" s="30"/>
      <c r="P58" s="30"/>
      <c r="Q58" s="30">
        <f>(N58+O58*0.18+J58)+(IF((P58-O58*0.18)&gt;0,(P58-O58*0.18),0))</f>
        <v>14799.890000000001</v>
      </c>
      <c r="R58" s="7"/>
      <c r="S58" s="7"/>
      <c r="T58" s="7"/>
      <c r="U58" s="7"/>
      <c r="V58" s="7"/>
      <c r="W58" s="7"/>
      <c r="X58" s="7"/>
      <c r="Y58" s="7"/>
      <c r="Z58" s="7"/>
    </row>
    <row r="59" spans="1:26" ht="9" customHeight="1" x14ac:dyDescent="0.2">
      <c r="A59" s="95"/>
      <c r="B59" s="95"/>
      <c r="C59" s="34" t="s">
        <v>37</v>
      </c>
      <c r="D59" s="35">
        <v>10</v>
      </c>
      <c r="E59" s="36">
        <v>13608009</v>
      </c>
      <c r="F59" s="36">
        <v>1488004</v>
      </c>
      <c r="G59" s="36">
        <v>0</v>
      </c>
      <c r="H59" s="36">
        <v>11356224</v>
      </c>
      <c r="I59" s="36">
        <v>0</v>
      </c>
      <c r="J59" s="37">
        <v>2204347</v>
      </c>
      <c r="K59" s="36">
        <v>26452236</v>
      </c>
      <c r="L59" s="38">
        <v>28656583</v>
      </c>
      <c r="M59" s="39"/>
      <c r="N59" s="36">
        <v>26452236</v>
      </c>
      <c r="O59" s="36">
        <v>15096013</v>
      </c>
      <c r="P59" s="36">
        <v>0</v>
      </c>
      <c r="Q59" s="36">
        <f>Q58*1936.27</f>
        <v>28656583.010300003</v>
      </c>
      <c r="R59" s="7"/>
      <c r="S59" s="7"/>
      <c r="T59" s="7"/>
      <c r="U59" s="7"/>
      <c r="V59" s="7"/>
      <c r="W59" s="7"/>
      <c r="X59" s="7"/>
      <c r="Y59" s="7"/>
      <c r="Z59" s="7"/>
    </row>
    <row r="60" spans="1:26" ht="12.75" customHeight="1" x14ac:dyDescent="0.2">
      <c r="A60" s="95"/>
      <c r="B60" s="95"/>
      <c r="C60" s="40" t="s">
        <v>36</v>
      </c>
      <c r="D60" s="41">
        <v>11</v>
      </c>
      <c r="E60" s="42">
        <v>7387.4</v>
      </c>
      <c r="F60" s="42">
        <v>811.87</v>
      </c>
      <c r="G60" s="42">
        <v>0</v>
      </c>
      <c r="H60" s="42">
        <v>5865</v>
      </c>
      <c r="I60" s="42">
        <v>0</v>
      </c>
      <c r="J60" s="42">
        <v>1172.02</v>
      </c>
      <c r="K60" s="43">
        <v>14064.27</v>
      </c>
      <c r="L60" s="32">
        <v>15236.29</v>
      </c>
      <c r="M60" s="33"/>
      <c r="N60" s="30">
        <v>14064.27</v>
      </c>
      <c r="O60" s="30">
        <v>8199.27</v>
      </c>
      <c r="P60" s="30"/>
      <c r="Q60" s="30">
        <f>(N60+O60*0.18+J60)+(IF((P60-O60*0.18)&gt;0,(P60-O60*0.18),0))</f>
        <v>16712.158599999999</v>
      </c>
      <c r="R60" s="7"/>
      <c r="S60" s="7"/>
      <c r="T60" s="7"/>
      <c r="U60" s="7"/>
      <c r="V60" s="7"/>
      <c r="W60" s="7"/>
      <c r="X60" s="7"/>
      <c r="Y60" s="7"/>
      <c r="Z60" s="7"/>
    </row>
    <row r="61" spans="1:26" ht="9" customHeight="1" x14ac:dyDescent="0.2">
      <c r="A61" s="95"/>
      <c r="B61" s="95"/>
      <c r="C61" s="34" t="s">
        <v>37</v>
      </c>
      <c r="D61" s="35">
        <v>12</v>
      </c>
      <c r="E61" s="36">
        <v>14304001</v>
      </c>
      <c r="F61" s="36">
        <v>1572000</v>
      </c>
      <c r="G61" s="36">
        <v>0</v>
      </c>
      <c r="H61" s="36">
        <v>11356224</v>
      </c>
      <c r="I61" s="36">
        <v>0</v>
      </c>
      <c r="J61" s="37">
        <v>2269347</v>
      </c>
      <c r="K61" s="36">
        <v>27232224</v>
      </c>
      <c r="L61" s="38">
        <v>29501571</v>
      </c>
      <c r="M61" s="39"/>
      <c r="N61" s="36">
        <v>27232224</v>
      </c>
      <c r="O61" s="36">
        <v>15876001</v>
      </c>
      <c r="P61" s="36">
        <v>0</v>
      </c>
      <c r="Q61" s="36">
        <f>Q60*1936.27</f>
        <v>32359251.332421996</v>
      </c>
      <c r="R61" s="7"/>
      <c r="S61" s="7"/>
      <c r="T61" s="7"/>
      <c r="U61" s="7"/>
      <c r="V61" s="7"/>
      <c r="W61" s="7"/>
      <c r="X61" s="7"/>
      <c r="Y61" s="7"/>
      <c r="Z61" s="7"/>
    </row>
    <row r="62" spans="1:26" ht="12.75" customHeight="1" x14ac:dyDescent="0.2">
      <c r="A62" s="95"/>
      <c r="B62" s="95"/>
      <c r="C62" s="40" t="s">
        <v>36</v>
      </c>
      <c r="D62" s="41">
        <v>13</v>
      </c>
      <c r="E62" s="42">
        <v>7740.66</v>
      </c>
      <c r="F62" s="42">
        <v>849.06</v>
      </c>
      <c r="G62" s="42">
        <v>0</v>
      </c>
      <c r="H62" s="42">
        <v>5865</v>
      </c>
      <c r="I62" s="42">
        <v>0</v>
      </c>
      <c r="J62" s="42">
        <v>1204.56</v>
      </c>
      <c r="K62" s="43">
        <v>14454.72</v>
      </c>
      <c r="L62" s="32">
        <v>15659.28</v>
      </c>
      <c r="M62" s="33"/>
      <c r="N62" s="30">
        <v>14454.72</v>
      </c>
      <c r="O62" s="30">
        <v>8589.7199999999993</v>
      </c>
      <c r="P62" s="30"/>
      <c r="Q62" s="30">
        <f>(N62+O62*0.18+J62)+(IF((P62-O62*0.18)&gt;0,(P62-O62*0.18),0))</f>
        <v>17205.429599999999</v>
      </c>
      <c r="R62" s="7"/>
      <c r="S62" s="7"/>
      <c r="T62" s="7"/>
      <c r="U62" s="7"/>
      <c r="V62" s="7"/>
      <c r="W62" s="7"/>
      <c r="X62" s="7"/>
      <c r="Y62" s="7"/>
      <c r="Z62" s="7"/>
    </row>
    <row r="63" spans="1:26" ht="9" customHeight="1" x14ac:dyDescent="0.2">
      <c r="A63" s="95"/>
      <c r="B63" s="95"/>
      <c r="C63" s="34" t="s">
        <v>37</v>
      </c>
      <c r="D63" s="35">
        <v>14</v>
      </c>
      <c r="E63" s="36">
        <v>14988008</v>
      </c>
      <c r="F63" s="36">
        <v>1644009</v>
      </c>
      <c r="G63" s="36">
        <v>0</v>
      </c>
      <c r="H63" s="36">
        <v>11356224</v>
      </c>
      <c r="I63" s="36">
        <v>0</v>
      </c>
      <c r="J63" s="37">
        <v>2332353</v>
      </c>
      <c r="K63" s="36">
        <v>27988241</v>
      </c>
      <c r="L63" s="38">
        <v>30320594</v>
      </c>
      <c r="M63" s="39"/>
      <c r="N63" s="36">
        <v>27988241</v>
      </c>
      <c r="O63" s="36">
        <v>16632017</v>
      </c>
      <c r="P63" s="36">
        <v>0</v>
      </c>
      <c r="Q63" s="36">
        <f>Q62*1936.27</f>
        <v>33314357.171591997</v>
      </c>
      <c r="R63" s="7"/>
      <c r="S63" s="7"/>
      <c r="T63" s="7"/>
      <c r="U63" s="7"/>
      <c r="V63" s="7"/>
      <c r="W63" s="7"/>
      <c r="X63" s="7"/>
      <c r="Y63" s="7"/>
      <c r="Z63" s="7"/>
    </row>
    <row r="64" spans="1:26" ht="12.75" customHeight="1" x14ac:dyDescent="0.2">
      <c r="A64" s="95"/>
      <c r="B64" s="95"/>
      <c r="C64" s="40" t="s">
        <v>36</v>
      </c>
      <c r="D64" s="41">
        <v>15</v>
      </c>
      <c r="E64" s="42">
        <v>8155.89</v>
      </c>
      <c r="F64" s="42">
        <v>892.44</v>
      </c>
      <c r="G64" s="42">
        <v>0</v>
      </c>
      <c r="H64" s="42">
        <v>5865</v>
      </c>
      <c r="I64" s="42">
        <v>0</v>
      </c>
      <c r="J64" s="42">
        <v>1242.78</v>
      </c>
      <c r="K64" s="43">
        <v>14913.33</v>
      </c>
      <c r="L64" s="32">
        <v>16156.11</v>
      </c>
      <c r="M64" s="33"/>
      <c r="N64" s="30">
        <v>14913.33</v>
      </c>
      <c r="O64" s="30">
        <v>9048.33</v>
      </c>
      <c r="P64" s="30"/>
      <c r="Q64" s="30">
        <f>(N64+O64*0.18+J64)+(IF((P64-O64*0.18)&gt;0,(P64-O64*0.18),0))</f>
        <v>17784.809399999998</v>
      </c>
      <c r="R64" s="7"/>
      <c r="S64" s="7"/>
      <c r="T64" s="7"/>
      <c r="U64" s="7"/>
      <c r="V64" s="7"/>
      <c r="W64" s="7"/>
      <c r="X64" s="7"/>
      <c r="Y64" s="7"/>
      <c r="Z64" s="7"/>
    </row>
    <row r="65" spans="1:26" ht="9" customHeight="1" x14ac:dyDescent="0.2">
      <c r="A65" s="95"/>
      <c r="B65" s="95"/>
      <c r="C65" s="34" t="s">
        <v>37</v>
      </c>
      <c r="D65" s="35">
        <v>16</v>
      </c>
      <c r="E65" s="36">
        <v>15792005</v>
      </c>
      <c r="F65" s="36">
        <v>1728005</v>
      </c>
      <c r="G65" s="36">
        <v>0</v>
      </c>
      <c r="H65" s="36">
        <v>11356224</v>
      </c>
      <c r="I65" s="36">
        <v>0</v>
      </c>
      <c r="J65" s="37">
        <v>2406358</v>
      </c>
      <c r="K65" s="36">
        <v>28876233</v>
      </c>
      <c r="L65" s="38">
        <v>31282591</v>
      </c>
      <c r="M65" s="39"/>
      <c r="N65" s="36">
        <v>28876233</v>
      </c>
      <c r="O65" s="36">
        <v>17520010</v>
      </c>
      <c r="P65" s="36">
        <v>0</v>
      </c>
      <c r="Q65" s="36">
        <f>Q64*1936.27</f>
        <v>34436192.896937996</v>
      </c>
      <c r="R65" s="7"/>
      <c r="S65" s="7"/>
      <c r="T65" s="7"/>
      <c r="U65" s="7"/>
      <c r="V65" s="7"/>
      <c r="W65" s="7"/>
      <c r="X65" s="7"/>
      <c r="Y65" s="7"/>
      <c r="Z65" s="7"/>
    </row>
    <row r="66" spans="1:26" ht="12.75" customHeight="1" x14ac:dyDescent="0.2">
      <c r="A66" s="95"/>
      <c r="B66" s="95"/>
      <c r="C66" s="40" t="s">
        <v>36</v>
      </c>
      <c r="D66" s="41">
        <v>17</v>
      </c>
      <c r="E66" s="42">
        <v>8571.1200000000008</v>
      </c>
      <c r="F66" s="42">
        <v>942.02</v>
      </c>
      <c r="G66" s="42">
        <v>0</v>
      </c>
      <c r="H66" s="42">
        <v>5865</v>
      </c>
      <c r="I66" s="42">
        <v>0</v>
      </c>
      <c r="J66" s="42">
        <v>1281.51</v>
      </c>
      <c r="K66" s="43">
        <v>15378.14</v>
      </c>
      <c r="L66" s="32">
        <v>16659.650000000001</v>
      </c>
      <c r="M66" s="33"/>
      <c r="N66" s="30">
        <v>15378.14</v>
      </c>
      <c r="O66" s="30">
        <v>9513.14</v>
      </c>
      <c r="P66" s="30"/>
      <c r="Q66" s="30">
        <f>(N66+O66*0.18+J66)+(IF((P66-O66*0.18)&gt;0,(P66-O66*0.18),0))</f>
        <v>18372.015199999998</v>
      </c>
      <c r="R66" s="7"/>
      <c r="S66" s="7"/>
      <c r="T66" s="7"/>
      <c r="U66" s="7"/>
      <c r="V66" s="7"/>
      <c r="W66" s="7"/>
      <c r="X66" s="7"/>
      <c r="Y66" s="7"/>
      <c r="Z66" s="7"/>
    </row>
    <row r="67" spans="1:26" ht="9" customHeight="1" x14ac:dyDescent="0.2">
      <c r="A67" s="95"/>
      <c r="B67" s="95"/>
      <c r="C67" s="34" t="s">
        <v>37</v>
      </c>
      <c r="D67" s="35">
        <v>18</v>
      </c>
      <c r="E67" s="36">
        <v>16596003</v>
      </c>
      <c r="F67" s="36">
        <v>1824005</v>
      </c>
      <c r="G67" s="36">
        <v>0</v>
      </c>
      <c r="H67" s="36">
        <v>11356224</v>
      </c>
      <c r="I67" s="36">
        <v>0</v>
      </c>
      <c r="J67" s="37">
        <v>2481349</v>
      </c>
      <c r="K67" s="36">
        <v>29776231</v>
      </c>
      <c r="L67" s="38">
        <v>32257581</v>
      </c>
      <c r="M67" s="39"/>
      <c r="N67" s="36">
        <v>29776231</v>
      </c>
      <c r="O67" s="36">
        <v>18420008</v>
      </c>
      <c r="P67" s="36">
        <v>0</v>
      </c>
      <c r="Q67" s="36">
        <f>Q66*1936.27</f>
        <v>35573181.871303998</v>
      </c>
      <c r="R67" s="7"/>
      <c r="S67" s="7"/>
      <c r="T67" s="7"/>
      <c r="U67" s="7"/>
      <c r="V67" s="7"/>
      <c r="W67" s="7"/>
      <c r="X67" s="7"/>
      <c r="Y67" s="7"/>
      <c r="Z67" s="7"/>
    </row>
    <row r="68" spans="1:26" ht="12.75" customHeight="1" x14ac:dyDescent="0.2">
      <c r="A68" s="95"/>
      <c r="B68" s="95"/>
      <c r="C68" s="40" t="s">
        <v>36</v>
      </c>
      <c r="D68" s="41">
        <v>19</v>
      </c>
      <c r="E68" s="42">
        <v>8980.15</v>
      </c>
      <c r="F68" s="42">
        <v>985.4</v>
      </c>
      <c r="G68" s="42">
        <v>0</v>
      </c>
      <c r="H68" s="42">
        <v>5865</v>
      </c>
      <c r="I68" s="42">
        <v>0</v>
      </c>
      <c r="J68" s="42">
        <v>1319.21</v>
      </c>
      <c r="K68" s="43">
        <v>15830.55</v>
      </c>
      <c r="L68" s="32">
        <v>17149.759999999998</v>
      </c>
      <c r="M68" s="33"/>
      <c r="N68" s="30">
        <v>15830.55</v>
      </c>
      <c r="O68" s="30">
        <v>9965.5499999999993</v>
      </c>
      <c r="P68" s="30"/>
      <c r="Q68" s="30">
        <f>(N68+O68*0.18+J68)+(IF((P68-O68*0.18)&gt;0,(P68-O68*0.18),0))</f>
        <v>18943.558999999997</v>
      </c>
      <c r="R68" s="7"/>
      <c r="S68" s="7"/>
      <c r="T68" s="7"/>
      <c r="U68" s="7"/>
      <c r="V68" s="7"/>
      <c r="W68" s="7"/>
      <c r="X68" s="7"/>
      <c r="Y68" s="7"/>
      <c r="Z68" s="7"/>
    </row>
    <row r="69" spans="1:26" ht="9" customHeight="1" x14ac:dyDescent="0.2">
      <c r="A69" s="95"/>
      <c r="B69" s="95"/>
      <c r="C69" s="34" t="s">
        <v>37</v>
      </c>
      <c r="D69" s="35">
        <v>20</v>
      </c>
      <c r="E69" s="36">
        <v>17387995</v>
      </c>
      <c r="F69" s="36">
        <v>1908000</v>
      </c>
      <c r="G69" s="36">
        <v>0</v>
      </c>
      <c r="H69" s="36">
        <v>11356224</v>
      </c>
      <c r="I69" s="36">
        <v>0</v>
      </c>
      <c r="J69" s="37">
        <v>2554347</v>
      </c>
      <c r="K69" s="36">
        <v>30652219</v>
      </c>
      <c r="L69" s="38">
        <v>33206566</v>
      </c>
      <c r="M69" s="39"/>
      <c r="N69" s="36">
        <v>30652219</v>
      </c>
      <c r="O69" s="36">
        <v>19295995</v>
      </c>
      <c r="P69" s="36">
        <v>0</v>
      </c>
      <c r="Q69" s="36">
        <f>Q68*1936.27</f>
        <v>36679844.984929994</v>
      </c>
      <c r="R69" s="7"/>
      <c r="S69" s="7"/>
      <c r="T69" s="7"/>
      <c r="U69" s="7"/>
      <c r="V69" s="7"/>
      <c r="W69" s="7"/>
      <c r="X69" s="7"/>
      <c r="Y69" s="7"/>
      <c r="Z69" s="7"/>
    </row>
    <row r="70" spans="1:26" ht="12.75" customHeight="1" x14ac:dyDescent="0.2">
      <c r="A70" s="95"/>
      <c r="B70" s="95"/>
      <c r="C70" s="40" t="s">
        <v>36</v>
      </c>
      <c r="D70" s="41">
        <v>21</v>
      </c>
      <c r="E70" s="42">
        <v>9252.84</v>
      </c>
      <c r="F70" s="42">
        <v>1016.39</v>
      </c>
      <c r="G70" s="42">
        <v>0</v>
      </c>
      <c r="H70" s="42">
        <v>5865</v>
      </c>
      <c r="I70" s="42">
        <v>0</v>
      </c>
      <c r="J70" s="42">
        <v>1344.52</v>
      </c>
      <c r="K70" s="43">
        <v>16134.23</v>
      </c>
      <c r="L70" s="32">
        <v>17478.75</v>
      </c>
      <c r="M70" s="33"/>
      <c r="N70" s="30">
        <v>16134.23</v>
      </c>
      <c r="O70" s="30">
        <v>10269.23</v>
      </c>
      <c r="P70" s="30"/>
      <c r="Q70" s="30">
        <f>(N70+O70*0.18+J70)+(IF((P70-O70*0.18)&gt;0,(P70-O70*0.18),0))</f>
        <v>19327.2114</v>
      </c>
      <c r="R70" s="7"/>
      <c r="S70" s="7"/>
      <c r="T70" s="7"/>
      <c r="U70" s="7"/>
      <c r="V70" s="7"/>
      <c r="W70" s="7"/>
      <c r="X70" s="7"/>
      <c r="Y70" s="7"/>
      <c r="Z70" s="7"/>
    </row>
    <row r="71" spans="1:26" ht="9" customHeight="1" x14ac:dyDescent="0.2">
      <c r="A71" s="95"/>
      <c r="B71" s="95"/>
      <c r="C71" s="34" t="s">
        <v>37</v>
      </c>
      <c r="D71" s="35">
        <v>22</v>
      </c>
      <c r="E71" s="36">
        <v>17915997</v>
      </c>
      <c r="F71" s="36">
        <v>1968005</v>
      </c>
      <c r="G71" s="36">
        <v>0</v>
      </c>
      <c r="H71" s="36">
        <v>11356224</v>
      </c>
      <c r="I71" s="36">
        <v>0</v>
      </c>
      <c r="J71" s="37">
        <v>2603354</v>
      </c>
      <c r="K71" s="36">
        <v>31240226</v>
      </c>
      <c r="L71" s="38">
        <v>33843579</v>
      </c>
      <c r="M71" s="39"/>
      <c r="N71" s="36">
        <v>31240226</v>
      </c>
      <c r="O71" s="36">
        <v>19884002</v>
      </c>
      <c r="P71" s="36">
        <v>0</v>
      </c>
      <c r="Q71" s="36">
        <f>Q70*1936.27</f>
        <v>37422699.617477998</v>
      </c>
      <c r="R71" s="7"/>
      <c r="S71" s="7"/>
      <c r="T71" s="7"/>
      <c r="U71" s="7"/>
      <c r="V71" s="7"/>
      <c r="W71" s="7"/>
      <c r="X71" s="7"/>
      <c r="Y71" s="7"/>
      <c r="Z71" s="7"/>
    </row>
    <row r="72" spans="1:26" ht="12.75" customHeight="1" x14ac:dyDescent="0.2">
      <c r="A72" s="95"/>
      <c r="B72" s="95"/>
      <c r="C72" s="40" t="s">
        <v>36</v>
      </c>
      <c r="D72" s="41">
        <v>23</v>
      </c>
      <c r="E72" s="42">
        <v>9519.33</v>
      </c>
      <c r="F72" s="42">
        <v>1047.3699999999999</v>
      </c>
      <c r="G72" s="42">
        <v>0</v>
      </c>
      <c r="H72" s="42">
        <v>5865</v>
      </c>
      <c r="I72" s="42">
        <v>0</v>
      </c>
      <c r="J72" s="42">
        <v>1369.31</v>
      </c>
      <c r="K72" s="43">
        <v>16431.7</v>
      </c>
      <c r="L72" s="32">
        <v>17801.009999999998</v>
      </c>
      <c r="M72" s="33"/>
      <c r="N72" s="30">
        <v>16431.7</v>
      </c>
      <c r="O72" s="30">
        <v>10566.7</v>
      </c>
      <c r="P72" s="30"/>
      <c r="Q72" s="30">
        <f>(N72+O72*0.18+J72)+(IF((P72-O72*0.18)&gt;0,(P72-O72*0.18),0))</f>
        <v>19703.016000000003</v>
      </c>
      <c r="R72" s="7"/>
      <c r="S72" s="7"/>
      <c r="T72" s="7"/>
      <c r="U72" s="7"/>
      <c r="V72" s="7"/>
      <c r="W72" s="7"/>
      <c r="X72" s="7"/>
      <c r="Y72" s="7"/>
      <c r="Z72" s="7"/>
    </row>
    <row r="73" spans="1:26" ht="9" customHeight="1" x14ac:dyDescent="0.2">
      <c r="A73" s="95"/>
      <c r="B73" s="95"/>
      <c r="C73" s="34" t="s">
        <v>37</v>
      </c>
      <c r="D73" s="35">
        <v>23</v>
      </c>
      <c r="E73" s="36">
        <v>18431993</v>
      </c>
      <c r="F73" s="36">
        <v>2027991</v>
      </c>
      <c r="G73" s="36">
        <v>0</v>
      </c>
      <c r="H73" s="36">
        <v>11356224</v>
      </c>
      <c r="I73" s="36">
        <v>0</v>
      </c>
      <c r="J73" s="37">
        <v>2651354</v>
      </c>
      <c r="K73" s="36">
        <v>31816208</v>
      </c>
      <c r="L73" s="38">
        <v>34467562</v>
      </c>
      <c r="M73" s="39"/>
      <c r="N73" s="36">
        <v>31816208</v>
      </c>
      <c r="O73" s="36">
        <v>20459984</v>
      </c>
      <c r="P73" s="36">
        <v>0</v>
      </c>
      <c r="Q73" s="36">
        <f>Q72*1936.27</f>
        <v>38150358.790320009</v>
      </c>
      <c r="R73" s="7"/>
      <c r="S73" s="7"/>
      <c r="T73" s="7"/>
      <c r="U73" s="7"/>
      <c r="V73" s="7"/>
      <c r="W73" s="7"/>
      <c r="X73" s="7"/>
      <c r="Y73" s="7"/>
      <c r="Z73" s="7"/>
    </row>
    <row r="74" spans="1:26" ht="12.75" customHeight="1" x14ac:dyDescent="0.2">
      <c r="A74" s="95"/>
      <c r="B74" s="95"/>
      <c r="C74" s="40" t="s">
        <v>36</v>
      </c>
      <c r="D74" s="41">
        <v>24</v>
      </c>
      <c r="E74" s="42">
        <v>9792.02</v>
      </c>
      <c r="F74" s="42">
        <v>1072.1600000000001</v>
      </c>
      <c r="G74" s="42">
        <v>0</v>
      </c>
      <c r="H74" s="42">
        <v>5865</v>
      </c>
      <c r="I74" s="42">
        <v>0</v>
      </c>
      <c r="J74" s="42">
        <v>1394.1</v>
      </c>
      <c r="K74" s="43">
        <v>16729.18</v>
      </c>
      <c r="L74" s="32">
        <v>18123.28</v>
      </c>
      <c r="M74" s="33"/>
      <c r="N74" s="30">
        <v>16729.18</v>
      </c>
      <c r="O74" s="30">
        <v>10864.18</v>
      </c>
      <c r="P74" s="30"/>
      <c r="Q74" s="30">
        <f>(N74+O74*0.18+J74)+(IF((P74-O74*0.18)&gt;0,(P74-O74*0.18),0))</f>
        <v>20078.832399999999</v>
      </c>
      <c r="R74" s="7"/>
      <c r="S74" s="7"/>
      <c r="T74" s="7"/>
      <c r="U74" s="7"/>
      <c r="V74" s="7"/>
      <c r="W74" s="7"/>
      <c r="X74" s="7"/>
      <c r="Y74" s="7"/>
      <c r="Z74" s="7"/>
    </row>
    <row r="75" spans="1:26" ht="9" customHeight="1" x14ac:dyDescent="0.2">
      <c r="A75" s="95"/>
      <c r="B75" s="95"/>
      <c r="C75" s="34" t="s">
        <v>37</v>
      </c>
      <c r="D75" s="35">
        <v>25</v>
      </c>
      <c r="E75" s="36">
        <v>18959995</v>
      </c>
      <c r="F75" s="36">
        <v>2075991</v>
      </c>
      <c r="G75" s="36">
        <v>0</v>
      </c>
      <c r="H75" s="36">
        <v>11356224</v>
      </c>
      <c r="I75" s="36">
        <v>0</v>
      </c>
      <c r="J75" s="37">
        <v>2699354</v>
      </c>
      <c r="K75" s="36">
        <v>32392209</v>
      </c>
      <c r="L75" s="38">
        <v>35091563</v>
      </c>
      <c r="M75" s="39"/>
      <c r="N75" s="36">
        <v>32392209</v>
      </c>
      <c r="O75" s="36">
        <v>21035986</v>
      </c>
      <c r="P75" s="36">
        <v>0</v>
      </c>
      <c r="Q75" s="36">
        <f>Q74*1936.27</f>
        <v>38878040.811147995</v>
      </c>
      <c r="R75" s="7"/>
      <c r="S75" s="7"/>
      <c r="T75" s="7"/>
      <c r="U75" s="7"/>
      <c r="V75" s="7"/>
      <c r="W75" s="7"/>
      <c r="X75" s="7"/>
      <c r="Y75" s="7"/>
      <c r="Z75" s="7"/>
    </row>
    <row r="76" spans="1:26" ht="12.75" customHeight="1" x14ac:dyDescent="0.2">
      <c r="A76" s="95"/>
      <c r="B76" s="95"/>
      <c r="C76" s="40" t="s">
        <v>36</v>
      </c>
      <c r="D76" s="41">
        <v>26</v>
      </c>
      <c r="E76" s="42">
        <v>10058.51</v>
      </c>
      <c r="F76" s="42">
        <v>1103.1500000000001</v>
      </c>
      <c r="G76" s="42">
        <v>0</v>
      </c>
      <c r="H76" s="42">
        <v>5865</v>
      </c>
      <c r="I76" s="42">
        <v>0</v>
      </c>
      <c r="J76" s="42">
        <v>1418.89</v>
      </c>
      <c r="K76" s="43">
        <v>17026.66</v>
      </c>
      <c r="L76" s="32">
        <v>18445.55</v>
      </c>
      <c r="M76" s="33"/>
      <c r="N76" s="30">
        <v>17026.66</v>
      </c>
      <c r="O76" s="30">
        <v>11161.66</v>
      </c>
      <c r="P76" s="30"/>
      <c r="Q76" s="30">
        <f>(N76+O76*0.18+J76)+(IF((P76-O76*0.18)&gt;0,(P76-O76*0.18),0))</f>
        <v>20454.648799999999</v>
      </c>
      <c r="R76" s="7"/>
      <c r="S76" s="7"/>
      <c r="T76" s="7"/>
      <c r="U76" s="7"/>
      <c r="V76" s="7"/>
      <c r="W76" s="7"/>
      <c r="X76" s="7"/>
      <c r="Y76" s="7"/>
      <c r="Z76" s="7"/>
    </row>
    <row r="77" spans="1:26" ht="9" customHeight="1" x14ac:dyDescent="0.2">
      <c r="A77" s="95"/>
      <c r="B77" s="95"/>
      <c r="C77" s="34" t="s">
        <v>37</v>
      </c>
      <c r="D77" s="35">
        <v>27</v>
      </c>
      <c r="E77" s="36">
        <v>19475991</v>
      </c>
      <c r="F77" s="36">
        <v>2135996</v>
      </c>
      <c r="G77" s="36">
        <v>0</v>
      </c>
      <c r="H77" s="36">
        <v>11356224</v>
      </c>
      <c r="I77" s="36">
        <v>0</v>
      </c>
      <c r="J77" s="37">
        <v>2747354</v>
      </c>
      <c r="K77" s="36">
        <v>32968211</v>
      </c>
      <c r="L77" s="38">
        <v>35715565</v>
      </c>
      <c r="M77" s="39"/>
      <c r="N77" s="36">
        <v>32968211</v>
      </c>
      <c r="O77" s="36">
        <v>21611987</v>
      </c>
      <c r="P77" s="36">
        <v>0</v>
      </c>
      <c r="Q77" s="36">
        <f>Q76*1936.27</f>
        <v>39605722.831975996</v>
      </c>
      <c r="R77" s="7"/>
      <c r="S77" s="7"/>
      <c r="T77" s="7"/>
      <c r="U77" s="7"/>
      <c r="V77" s="7"/>
      <c r="W77" s="7"/>
      <c r="X77" s="7"/>
      <c r="Y77" s="7"/>
      <c r="Z77" s="7"/>
    </row>
    <row r="78" spans="1:26" ht="12.75" customHeight="1" x14ac:dyDescent="0.2">
      <c r="A78" s="95"/>
      <c r="B78" s="95"/>
      <c r="C78" s="40" t="s">
        <v>36</v>
      </c>
      <c r="D78" s="41">
        <v>28</v>
      </c>
      <c r="E78" s="42">
        <v>10331.200000000001</v>
      </c>
      <c r="F78" s="42">
        <v>1134.1400000000001</v>
      </c>
      <c r="G78" s="42">
        <v>0</v>
      </c>
      <c r="H78" s="42">
        <v>5865</v>
      </c>
      <c r="I78" s="42">
        <v>0</v>
      </c>
      <c r="J78" s="42">
        <v>1444.2</v>
      </c>
      <c r="K78" s="43">
        <v>17330.34</v>
      </c>
      <c r="L78" s="32">
        <v>18774.54</v>
      </c>
      <c r="M78" s="33"/>
      <c r="N78" s="30">
        <v>17330.34</v>
      </c>
      <c r="O78" s="30">
        <v>11465.34</v>
      </c>
      <c r="P78" s="30"/>
      <c r="Q78" s="30">
        <f>(N78+O78*0.18+J78)+(IF((P78-O78*0.18)&gt;0,(P78-O78*0.18),0))</f>
        <v>20838.301200000002</v>
      </c>
      <c r="R78" s="7"/>
      <c r="S78" s="7"/>
      <c r="T78" s="7"/>
      <c r="U78" s="7"/>
      <c r="V78" s="7"/>
      <c r="W78" s="7"/>
      <c r="X78" s="7"/>
      <c r="Y78" s="7"/>
      <c r="Z78" s="7"/>
    </row>
    <row r="79" spans="1:26" ht="9" customHeight="1" x14ac:dyDescent="0.2">
      <c r="A79" s="95"/>
      <c r="B79" s="95"/>
      <c r="C79" s="34" t="s">
        <v>37</v>
      </c>
      <c r="D79" s="35">
        <v>29</v>
      </c>
      <c r="E79" s="36">
        <v>20003993</v>
      </c>
      <c r="F79" s="36">
        <v>2196001</v>
      </c>
      <c r="G79" s="36">
        <v>0</v>
      </c>
      <c r="H79" s="36">
        <v>11356224</v>
      </c>
      <c r="I79" s="36">
        <v>0</v>
      </c>
      <c r="J79" s="37">
        <v>2796361</v>
      </c>
      <c r="K79" s="36">
        <v>33556217</v>
      </c>
      <c r="L79" s="38">
        <v>36352579</v>
      </c>
      <c r="M79" s="39"/>
      <c r="N79" s="36">
        <v>33556217</v>
      </c>
      <c r="O79" s="36">
        <v>22199994</v>
      </c>
      <c r="P79" s="36">
        <v>0</v>
      </c>
      <c r="Q79" s="36">
        <f>Q78*1936.27</f>
        <v>40348577.464524001</v>
      </c>
      <c r="R79" s="7"/>
      <c r="S79" s="7"/>
      <c r="T79" s="7"/>
      <c r="U79" s="7"/>
      <c r="V79" s="7"/>
      <c r="W79" s="7"/>
      <c r="X79" s="7"/>
      <c r="Y79" s="7"/>
      <c r="Z79" s="7"/>
    </row>
    <row r="80" spans="1:26" ht="12.75" customHeight="1" x14ac:dyDescent="0.2">
      <c r="A80" s="95"/>
      <c r="B80" s="95"/>
      <c r="C80" s="40" t="s">
        <v>36</v>
      </c>
      <c r="D80" s="41">
        <v>30</v>
      </c>
      <c r="E80" s="42">
        <v>10603.89</v>
      </c>
      <c r="F80" s="42">
        <v>1165.1300000000001</v>
      </c>
      <c r="G80" s="42">
        <v>0</v>
      </c>
      <c r="H80" s="42">
        <v>5865</v>
      </c>
      <c r="I80" s="42">
        <v>0</v>
      </c>
      <c r="J80" s="42">
        <v>1469.5</v>
      </c>
      <c r="K80" s="43">
        <v>17634.02</v>
      </c>
      <c r="L80" s="32">
        <v>19103.52</v>
      </c>
      <c r="M80" s="33"/>
      <c r="N80" s="30">
        <v>17634.02</v>
      </c>
      <c r="O80" s="30">
        <v>11769.02</v>
      </c>
      <c r="P80" s="30"/>
      <c r="Q80" s="30">
        <f>(N80+O80*0.18+J80)+(IF((P80-O80*0.18)&gt;0,(P80-O80*0.18),0))</f>
        <v>21221.943599999999</v>
      </c>
      <c r="R80" s="7"/>
      <c r="S80" s="7"/>
      <c r="T80" s="7"/>
      <c r="U80" s="7"/>
      <c r="V80" s="7"/>
      <c r="W80" s="7"/>
      <c r="X80" s="7"/>
      <c r="Y80" s="7"/>
      <c r="Z80" s="7"/>
    </row>
    <row r="81" spans="1:26" ht="9" customHeight="1" x14ac:dyDescent="0.2">
      <c r="A81" s="95"/>
      <c r="B81" s="95"/>
      <c r="C81" s="34" t="s">
        <v>37</v>
      </c>
      <c r="D81" s="35">
        <v>31</v>
      </c>
      <c r="E81" s="36">
        <v>20531994</v>
      </c>
      <c r="F81" s="36">
        <v>2256006</v>
      </c>
      <c r="G81" s="36">
        <v>0</v>
      </c>
      <c r="H81" s="36">
        <v>11356224</v>
      </c>
      <c r="I81" s="36">
        <v>0</v>
      </c>
      <c r="J81" s="37">
        <v>2845349</v>
      </c>
      <c r="K81" s="36">
        <v>34144224</v>
      </c>
      <c r="L81" s="38">
        <v>36989573</v>
      </c>
      <c r="M81" s="39"/>
      <c r="N81" s="36">
        <v>34144224</v>
      </c>
      <c r="O81" s="36">
        <v>22788000</v>
      </c>
      <c r="P81" s="36">
        <v>0</v>
      </c>
      <c r="Q81" s="36">
        <f>Q80*1936.27</f>
        <v>41091412.734371997</v>
      </c>
      <c r="R81" s="7"/>
      <c r="S81" s="7"/>
      <c r="T81" s="7"/>
      <c r="U81" s="7"/>
      <c r="V81" s="7"/>
      <c r="W81" s="7"/>
      <c r="X81" s="7"/>
      <c r="Y81" s="7"/>
      <c r="Z81" s="7"/>
    </row>
    <row r="82" spans="1:26" ht="12.75" customHeight="1" x14ac:dyDescent="0.2">
      <c r="A82" s="95"/>
      <c r="B82" s="95"/>
      <c r="C82" s="40" t="s">
        <v>36</v>
      </c>
      <c r="D82" s="41">
        <v>32</v>
      </c>
      <c r="E82" s="42">
        <v>10870.38</v>
      </c>
      <c r="F82" s="42">
        <v>1189.92</v>
      </c>
      <c r="G82" s="42">
        <v>0</v>
      </c>
      <c r="H82" s="42">
        <v>5865</v>
      </c>
      <c r="I82" s="42">
        <v>0</v>
      </c>
      <c r="J82" s="42">
        <v>1493.78</v>
      </c>
      <c r="K82" s="43">
        <v>17925.3</v>
      </c>
      <c r="L82" s="32">
        <v>19419.080000000002</v>
      </c>
      <c r="M82" s="33"/>
      <c r="N82" s="30">
        <v>17925.3</v>
      </c>
      <c r="O82" s="30">
        <v>12060.3</v>
      </c>
      <c r="P82" s="30"/>
      <c r="Q82" s="30">
        <f>(N82+O82*0.18+J82)+(IF((P82-O82*0.18)&gt;0,(P82-O82*0.18),0))</f>
        <v>21589.933999999997</v>
      </c>
      <c r="R82" s="7"/>
      <c r="S82" s="7"/>
      <c r="T82" s="7"/>
      <c r="U82" s="7"/>
      <c r="V82" s="7"/>
      <c r="W82" s="7"/>
      <c r="X82" s="7"/>
      <c r="Y82" s="7"/>
      <c r="Z82" s="7"/>
    </row>
    <row r="83" spans="1:26" ht="9" customHeight="1" x14ac:dyDescent="0.2">
      <c r="A83" s="95"/>
      <c r="B83" s="95"/>
      <c r="C83" s="34" t="s">
        <v>37</v>
      </c>
      <c r="D83" s="35">
        <v>33</v>
      </c>
      <c r="E83" s="36">
        <v>21047991</v>
      </c>
      <c r="F83" s="36">
        <v>2304006</v>
      </c>
      <c r="G83" s="36">
        <v>0</v>
      </c>
      <c r="H83" s="36">
        <v>11356224</v>
      </c>
      <c r="I83" s="36">
        <v>0</v>
      </c>
      <c r="J83" s="37">
        <v>2892361</v>
      </c>
      <c r="K83" s="36">
        <v>34708221</v>
      </c>
      <c r="L83" s="38">
        <v>37600582</v>
      </c>
      <c r="M83" s="39"/>
      <c r="N83" s="36">
        <v>34708221</v>
      </c>
      <c r="O83" s="36">
        <v>23351997</v>
      </c>
      <c r="P83" s="36">
        <v>0</v>
      </c>
      <c r="Q83" s="36">
        <f>Q82*1936.27</f>
        <v>41803941.506179996</v>
      </c>
      <c r="R83" s="7"/>
      <c r="S83" s="7"/>
      <c r="T83" s="7"/>
      <c r="U83" s="7"/>
      <c r="V83" s="7"/>
      <c r="W83" s="7"/>
      <c r="X83" s="7"/>
      <c r="Y83" s="7"/>
      <c r="Z83" s="7"/>
    </row>
    <row r="84" spans="1:26" ht="12.75" customHeight="1" x14ac:dyDescent="0.2">
      <c r="A84" s="95"/>
      <c r="B84" s="95"/>
      <c r="C84" s="40" t="s">
        <v>36</v>
      </c>
      <c r="D84" s="41">
        <v>34</v>
      </c>
      <c r="E84" s="42">
        <v>11136.88</v>
      </c>
      <c r="F84" s="42">
        <v>1220.9000000000001</v>
      </c>
      <c r="G84" s="42">
        <v>0</v>
      </c>
      <c r="H84" s="42">
        <v>5865</v>
      </c>
      <c r="I84" s="42">
        <v>0</v>
      </c>
      <c r="J84" s="42">
        <v>1518.57</v>
      </c>
      <c r="K84" s="43">
        <v>18222.78</v>
      </c>
      <c r="L84" s="32">
        <v>19741.349999999999</v>
      </c>
      <c r="M84" s="33"/>
      <c r="N84" s="30">
        <v>18222.78</v>
      </c>
      <c r="O84" s="30">
        <v>12357.78</v>
      </c>
      <c r="P84" s="30"/>
      <c r="Q84" s="30">
        <f>(N84+O84*0.18+J84)+(IF((P84-O84*0.18)&gt;0,(P84-O84*0.18),0))</f>
        <v>21965.750399999997</v>
      </c>
      <c r="R84" s="7"/>
      <c r="S84" s="7"/>
      <c r="T84" s="7"/>
      <c r="U84" s="7"/>
      <c r="V84" s="7"/>
      <c r="W84" s="7"/>
      <c r="X84" s="7"/>
      <c r="Y84" s="7"/>
      <c r="Z84" s="7"/>
    </row>
    <row r="85" spans="1:26" ht="9" customHeight="1" x14ac:dyDescent="0.2">
      <c r="A85" s="95"/>
      <c r="B85" s="95"/>
      <c r="C85" s="34" t="s">
        <v>37</v>
      </c>
      <c r="D85" s="35">
        <v>35</v>
      </c>
      <c r="E85" s="36">
        <v>21564007</v>
      </c>
      <c r="F85" s="36">
        <v>2363992</v>
      </c>
      <c r="G85" s="36">
        <v>0</v>
      </c>
      <c r="H85" s="36">
        <v>11356224</v>
      </c>
      <c r="I85" s="36">
        <v>0</v>
      </c>
      <c r="J85" s="37">
        <v>2940362</v>
      </c>
      <c r="K85" s="36">
        <v>35284222</v>
      </c>
      <c r="L85" s="38">
        <v>38224584</v>
      </c>
      <c r="M85" s="39"/>
      <c r="N85" s="36">
        <v>35284222</v>
      </c>
      <c r="O85" s="36">
        <v>23927999</v>
      </c>
      <c r="P85" s="36">
        <v>0</v>
      </c>
      <c r="Q85" s="36">
        <f>Q84*1936.27</f>
        <v>42531623.527007997</v>
      </c>
      <c r="R85" s="7"/>
      <c r="S85" s="7"/>
      <c r="T85" s="7"/>
      <c r="U85" s="7"/>
      <c r="V85" s="7"/>
      <c r="W85" s="7"/>
      <c r="X85" s="7"/>
      <c r="Y85" s="7"/>
      <c r="Z85" s="7"/>
    </row>
    <row r="86" spans="1:26" ht="12.75" customHeight="1" x14ac:dyDescent="0.2">
      <c r="A86" s="95"/>
      <c r="B86" s="95"/>
      <c r="C86" s="40" t="s">
        <v>36</v>
      </c>
      <c r="D86" s="41">
        <v>36</v>
      </c>
      <c r="E86" s="42">
        <v>11409.57</v>
      </c>
      <c r="F86" s="42">
        <v>1251.8900000000001</v>
      </c>
      <c r="G86" s="42">
        <v>0</v>
      </c>
      <c r="H86" s="42">
        <v>5865</v>
      </c>
      <c r="I86" s="42">
        <v>0</v>
      </c>
      <c r="J86" s="42">
        <v>1543.87</v>
      </c>
      <c r="K86" s="43">
        <v>18526.46</v>
      </c>
      <c r="L86" s="32">
        <v>20070.330000000002</v>
      </c>
      <c r="M86" s="33"/>
      <c r="N86" s="30">
        <v>18526.46</v>
      </c>
      <c r="O86" s="30">
        <v>12661.46</v>
      </c>
      <c r="P86" s="30"/>
      <c r="Q86" s="30">
        <f>(N86+O86*0.18+J86)+(IF((P86-O86*0.18)&gt;0,(P86-O86*0.18),0))</f>
        <v>22349.392799999998</v>
      </c>
      <c r="R86" s="7"/>
      <c r="S86" s="7"/>
      <c r="T86" s="7"/>
      <c r="U86" s="7"/>
      <c r="V86" s="7"/>
      <c r="W86" s="7"/>
      <c r="X86" s="7"/>
      <c r="Y86" s="7"/>
      <c r="Z86" s="7"/>
    </row>
    <row r="87" spans="1:26" ht="9" customHeight="1" x14ac:dyDescent="0.2">
      <c r="A87" s="95"/>
      <c r="B87" s="95"/>
      <c r="C87" s="34" t="s">
        <v>37</v>
      </c>
      <c r="D87" s="35">
        <v>37</v>
      </c>
      <c r="E87" s="36">
        <v>22092008</v>
      </c>
      <c r="F87" s="36">
        <v>2423997</v>
      </c>
      <c r="G87" s="36">
        <v>0</v>
      </c>
      <c r="H87" s="36">
        <v>11356224</v>
      </c>
      <c r="I87" s="36">
        <v>0</v>
      </c>
      <c r="J87" s="37">
        <v>2989349</v>
      </c>
      <c r="K87" s="36">
        <v>35872229</v>
      </c>
      <c r="L87" s="38">
        <v>38861578</v>
      </c>
      <c r="M87" s="39"/>
      <c r="N87" s="36">
        <v>35872229</v>
      </c>
      <c r="O87" s="36">
        <v>24516005</v>
      </c>
      <c r="P87" s="36">
        <v>0</v>
      </c>
      <c r="Q87" s="36">
        <f>Q86*1936.27</f>
        <v>43274458.796855994</v>
      </c>
      <c r="R87" s="7"/>
      <c r="S87" s="7"/>
      <c r="T87" s="7"/>
      <c r="U87" s="7"/>
      <c r="V87" s="7"/>
      <c r="W87" s="7"/>
      <c r="X87" s="7"/>
      <c r="Y87" s="7"/>
      <c r="Z87" s="7"/>
    </row>
    <row r="88" spans="1:26" ht="12.75" customHeight="1" x14ac:dyDescent="0.2">
      <c r="A88" s="95"/>
      <c r="B88" s="95"/>
      <c r="C88" s="40" t="s">
        <v>36</v>
      </c>
      <c r="D88" s="41">
        <v>38</v>
      </c>
      <c r="E88" s="42">
        <v>11676.06</v>
      </c>
      <c r="F88" s="42">
        <v>1282.8800000000001</v>
      </c>
      <c r="G88" s="42">
        <v>0</v>
      </c>
      <c r="H88" s="42">
        <v>5865</v>
      </c>
      <c r="I88" s="42">
        <v>0</v>
      </c>
      <c r="J88" s="42">
        <v>1568.66</v>
      </c>
      <c r="K88" s="43">
        <v>18823.939999999999</v>
      </c>
      <c r="L88" s="32">
        <v>20392.599999999999</v>
      </c>
      <c r="M88" s="33"/>
      <c r="N88" s="30">
        <v>18823.939999999999</v>
      </c>
      <c r="O88" s="30">
        <v>12958.94</v>
      </c>
      <c r="P88" s="30"/>
      <c r="Q88" s="30">
        <f>(N88+O88*0.18+J88)+(IF((P88-O88*0.18)&gt;0,(P88-O88*0.18),0))</f>
        <v>22725.209199999998</v>
      </c>
      <c r="R88" s="7"/>
      <c r="S88" s="7"/>
      <c r="T88" s="7"/>
      <c r="U88" s="7"/>
      <c r="V88" s="7"/>
      <c r="W88" s="7"/>
      <c r="X88" s="7"/>
      <c r="Y88" s="7"/>
      <c r="Z88" s="7"/>
    </row>
    <row r="89" spans="1:26" ht="9" customHeight="1" x14ac:dyDescent="0.2">
      <c r="A89" s="95"/>
      <c r="B89" s="95"/>
      <c r="C89" s="34" t="s">
        <v>37</v>
      </c>
      <c r="D89" s="35">
        <v>39</v>
      </c>
      <c r="E89" s="36">
        <v>22608005</v>
      </c>
      <c r="F89" s="36">
        <v>2484002</v>
      </c>
      <c r="G89" s="36">
        <v>0</v>
      </c>
      <c r="H89" s="36">
        <v>11356224</v>
      </c>
      <c r="I89" s="36">
        <v>0</v>
      </c>
      <c r="J89" s="37">
        <v>3037349</v>
      </c>
      <c r="K89" s="36">
        <v>36448230</v>
      </c>
      <c r="L89" s="38">
        <v>39485580</v>
      </c>
      <c r="M89" s="39"/>
      <c r="N89" s="36">
        <v>36448230</v>
      </c>
      <c r="O89" s="36">
        <v>25092007</v>
      </c>
      <c r="P89" s="36">
        <v>0</v>
      </c>
      <c r="Q89" s="36">
        <f>Q88*1936.27</f>
        <v>44002140.817683995</v>
      </c>
      <c r="R89" s="7"/>
      <c r="S89" s="7"/>
      <c r="T89" s="7"/>
      <c r="U89" s="7"/>
      <c r="V89" s="7"/>
      <c r="W89" s="7"/>
      <c r="X89" s="7"/>
      <c r="Y89" s="7"/>
      <c r="Z89" s="7"/>
    </row>
    <row r="90" spans="1:26" ht="12.75" customHeight="1" x14ac:dyDescent="0.2">
      <c r="A90" s="95"/>
      <c r="B90" s="95"/>
      <c r="C90" s="40" t="s">
        <v>36</v>
      </c>
      <c r="D90" s="41">
        <v>40</v>
      </c>
      <c r="E90" s="42">
        <v>11948.75</v>
      </c>
      <c r="F90" s="42">
        <v>1313.87</v>
      </c>
      <c r="G90" s="42">
        <v>0</v>
      </c>
      <c r="H90" s="42">
        <v>5865</v>
      </c>
      <c r="I90" s="42">
        <v>0</v>
      </c>
      <c r="J90" s="42">
        <v>1593.97</v>
      </c>
      <c r="K90" s="43">
        <v>19127.62</v>
      </c>
      <c r="L90" s="32">
        <v>20721.59</v>
      </c>
      <c r="M90" s="33"/>
      <c r="N90" s="30">
        <v>19127.62</v>
      </c>
      <c r="O90" s="30">
        <v>13262.62</v>
      </c>
      <c r="P90" s="30"/>
      <c r="Q90" s="30">
        <f>(N90+O90*0.18+J90)+(IF((P90-O90*0.18)&gt;0,(P90-O90*0.18),0))</f>
        <v>23108.8616</v>
      </c>
      <c r="R90" s="7"/>
      <c r="S90" s="7"/>
      <c r="T90" s="7"/>
      <c r="U90" s="7"/>
      <c r="V90" s="7"/>
      <c r="W90" s="7"/>
      <c r="X90" s="7"/>
      <c r="Y90" s="7"/>
      <c r="Z90" s="7"/>
    </row>
    <row r="91" spans="1:26" ht="12.75" customHeight="1" x14ac:dyDescent="0.2">
      <c r="A91" s="95"/>
      <c r="B91" s="95"/>
      <c r="C91" s="115"/>
      <c r="D91" s="45"/>
      <c r="E91" s="116"/>
      <c r="F91" s="116"/>
      <c r="G91" s="116"/>
      <c r="H91" s="116"/>
      <c r="I91" s="116"/>
      <c r="J91" s="117"/>
      <c r="K91" s="118"/>
      <c r="L91" s="119"/>
      <c r="M91" s="33"/>
      <c r="N91" s="116"/>
      <c r="O91" s="116"/>
      <c r="P91" s="116"/>
      <c r="Q91" s="116"/>
      <c r="R91" s="7"/>
      <c r="S91" s="7"/>
      <c r="T91" s="7"/>
      <c r="U91" s="7"/>
      <c r="V91" s="7"/>
      <c r="W91" s="7"/>
      <c r="X91" s="7"/>
      <c r="Y91" s="7"/>
      <c r="Z91" s="7"/>
    </row>
    <row r="92" spans="1:26" ht="12.75" customHeight="1" x14ac:dyDescent="0.2">
      <c r="A92" s="95"/>
      <c r="B92" s="95"/>
      <c r="C92" s="115"/>
      <c r="D92" s="45"/>
      <c r="E92" s="116"/>
      <c r="F92" s="116"/>
      <c r="G92" s="116"/>
      <c r="H92" s="116"/>
      <c r="I92" s="116"/>
      <c r="J92" s="117"/>
      <c r="K92" s="118"/>
      <c r="L92" s="119"/>
      <c r="M92" s="33"/>
      <c r="N92" s="116"/>
      <c r="O92" s="116"/>
      <c r="P92" s="116"/>
      <c r="Q92" s="116"/>
      <c r="R92" s="7"/>
      <c r="S92" s="7"/>
      <c r="T92" s="7"/>
      <c r="U92" s="7"/>
      <c r="V92" s="7"/>
      <c r="W92" s="7"/>
      <c r="X92" s="7"/>
      <c r="Y92" s="7"/>
      <c r="Z92" s="7"/>
    </row>
    <row r="93" spans="1:26" ht="9" customHeight="1" x14ac:dyDescent="0.2">
      <c r="A93" s="110"/>
      <c r="B93" s="110"/>
      <c r="C93" s="47"/>
      <c r="D93" s="48"/>
      <c r="E93" s="46">
        <v>23136006</v>
      </c>
      <c r="F93" s="46">
        <v>2544007</v>
      </c>
      <c r="G93" s="46">
        <v>0</v>
      </c>
      <c r="H93" s="46">
        <v>11356224</v>
      </c>
      <c r="I93" s="46">
        <v>0</v>
      </c>
      <c r="J93" s="49">
        <v>3086356</v>
      </c>
      <c r="K93" s="46">
        <v>37036237</v>
      </c>
      <c r="L93" s="38">
        <v>40122593</v>
      </c>
      <c r="M93" s="39"/>
      <c r="N93" s="36">
        <v>37036237</v>
      </c>
      <c r="O93" s="36">
        <v>25680013</v>
      </c>
      <c r="P93" s="36">
        <v>0</v>
      </c>
      <c r="Q93" s="36">
        <f>Q90*1936.27</f>
        <v>44744995.450231999</v>
      </c>
      <c r="R93" s="7"/>
      <c r="S93" s="7"/>
      <c r="T93" s="7"/>
      <c r="U93" s="7"/>
      <c r="V93" s="7"/>
      <c r="W93" s="7"/>
      <c r="X93" s="7"/>
      <c r="Y93" s="7"/>
      <c r="Z93" s="7"/>
    </row>
    <row r="94" spans="1:26" ht="12.75" customHeight="1" x14ac:dyDescent="0.2">
      <c r="A94" s="98">
        <v>33359</v>
      </c>
      <c r="B94" s="98">
        <v>33542</v>
      </c>
      <c r="C94" s="28" t="s">
        <v>36</v>
      </c>
      <c r="D94" s="29">
        <v>0</v>
      </c>
      <c r="E94" s="30">
        <v>5751.26</v>
      </c>
      <c r="F94" s="30">
        <v>632.14</v>
      </c>
      <c r="G94" s="30">
        <v>0</v>
      </c>
      <c r="H94" s="30">
        <v>6147.58</v>
      </c>
      <c r="I94" s="30">
        <v>0</v>
      </c>
      <c r="J94" s="30">
        <v>1044.25</v>
      </c>
      <c r="K94" s="31">
        <v>12530.98</v>
      </c>
      <c r="L94" s="32">
        <v>13575.23</v>
      </c>
      <c r="M94" s="33"/>
      <c r="N94" s="30">
        <v>12530.98</v>
      </c>
      <c r="O94" s="30">
        <v>6383.4</v>
      </c>
      <c r="P94" s="30"/>
      <c r="Q94" s="30">
        <f>(N94+O94*0.18+J94)+(IF((P94-O94*0.18)&gt;0,(P94-O94*0.18),0))</f>
        <v>14724.242</v>
      </c>
      <c r="R94" s="7"/>
      <c r="S94" s="7"/>
      <c r="T94" s="7"/>
      <c r="U94" s="7"/>
      <c r="V94" s="7"/>
      <c r="W94" s="7"/>
      <c r="X94" s="7"/>
      <c r="Y94" s="7"/>
      <c r="Z94" s="7"/>
    </row>
    <row r="95" spans="1:26" ht="9" customHeight="1" x14ac:dyDescent="0.2">
      <c r="A95" s="95"/>
      <c r="B95" s="95"/>
      <c r="C95" s="34" t="s">
        <v>37</v>
      </c>
      <c r="D95" s="35">
        <v>2</v>
      </c>
      <c r="E95" s="36">
        <v>11135992</v>
      </c>
      <c r="F95" s="36">
        <v>1223994</v>
      </c>
      <c r="G95" s="36">
        <v>0</v>
      </c>
      <c r="H95" s="36">
        <v>11903375</v>
      </c>
      <c r="I95" s="36">
        <v>0</v>
      </c>
      <c r="J95" s="37">
        <v>2021950</v>
      </c>
      <c r="K95" s="36">
        <v>24263361</v>
      </c>
      <c r="L95" s="38">
        <v>26285311</v>
      </c>
      <c r="M95" s="39"/>
      <c r="N95" s="36">
        <v>24263361</v>
      </c>
      <c r="O95" s="36">
        <v>12359986</v>
      </c>
      <c r="P95" s="36">
        <v>0</v>
      </c>
      <c r="Q95" s="36">
        <f>Q94*1936.27</f>
        <v>28510108.05734</v>
      </c>
      <c r="R95" s="7"/>
      <c r="S95" s="7"/>
      <c r="T95" s="7"/>
      <c r="U95" s="7"/>
      <c r="V95" s="7"/>
      <c r="W95" s="7"/>
      <c r="X95" s="7"/>
      <c r="Y95" s="7"/>
      <c r="Z95" s="7"/>
    </row>
    <row r="96" spans="1:26" ht="12.75" customHeight="1" x14ac:dyDescent="0.2">
      <c r="A96" s="155">
        <v>33359</v>
      </c>
      <c r="B96" s="155">
        <v>33542</v>
      </c>
      <c r="C96" s="40" t="s">
        <v>36</v>
      </c>
      <c r="D96" s="41">
        <v>3</v>
      </c>
      <c r="E96" s="42">
        <v>6061.14</v>
      </c>
      <c r="F96" s="42">
        <v>663.13</v>
      </c>
      <c r="G96" s="42">
        <v>0</v>
      </c>
      <c r="H96" s="42">
        <v>6147.58</v>
      </c>
      <c r="I96" s="42">
        <v>0</v>
      </c>
      <c r="J96" s="42">
        <v>1072.6500000000001</v>
      </c>
      <c r="K96" s="43">
        <v>12871.85</v>
      </c>
      <c r="L96" s="32">
        <v>13944.5</v>
      </c>
      <c r="M96" s="33"/>
      <c r="N96" s="30">
        <v>12871.85</v>
      </c>
      <c r="O96" s="30">
        <v>6724.27</v>
      </c>
      <c r="P96" s="30"/>
      <c r="Q96" s="30">
        <f>(N96+O96*0.18+J96)+(IF((P96-O96*0.18)&gt;0,(P96-O96*0.18),0))</f>
        <v>15154.8686</v>
      </c>
      <c r="R96" s="7"/>
      <c r="S96" s="7"/>
      <c r="T96" s="7"/>
      <c r="U96" s="7"/>
      <c r="V96" s="7"/>
      <c r="W96" s="7"/>
      <c r="X96" s="7"/>
      <c r="Y96" s="7"/>
      <c r="Z96" s="7"/>
    </row>
    <row r="97" spans="1:26" ht="9" customHeight="1" x14ac:dyDescent="0.2">
      <c r="A97" s="95"/>
      <c r="B97" s="95"/>
      <c r="C97" s="34" t="s">
        <v>37</v>
      </c>
      <c r="D97" s="35">
        <v>4</v>
      </c>
      <c r="E97" s="36">
        <v>11736004</v>
      </c>
      <c r="F97" s="36">
        <v>1283999</v>
      </c>
      <c r="G97" s="36">
        <v>0</v>
      </c>
      <c r="H97" s="36">
        <v>11903375</v>
      </c>
      <c r="I97" s="36">
        <v>0</v>
      </c>
      <c r="J97" s="37">
        <v>2076940</v>
      </c>
      <c r="K97" s="36">
        <v>24923377</v>
      </c>
      <c r="L97" s="38">
        <v>27000317</v>
      </c>
      <c r="M97" s="39"/>
      <c r="N97" s="36">
        <v>24923377</v>
      </c>
      <c r="O97" s="36">
        <v>13020002</v>
      </c>
      <c r="P97" s="36">
        <v>0</v>
      </c>
      <c r="Q97" s="36">
        <f>Q96*1936.27</f>
        <v>29343917.424121998</v>
      </c>
      <c r="R97" s="7"/>
      <c r="S97" s="7"/>
      <c r="T97" s="7"/>
      <c r="U97" s="7"/>
      <c r="V97" s="7"/>
      <c r="W97" s="7"/>
      <c r="X97" s="7"/>
      <c r="Y97" s="7"/>
      <c r="Z97" s="7"/>
    </row>
    <row r="98" spans="1:26" ht="12.75" customHeight="1" x14ac:dyDescent="0.2">
      <c r="A98" s="95"/>
      <c r="B98" s="95"/>
      <c r="C98" s="40" t="s">
        <v>36</v>
      </c>
      <c r="D98" s="41">
        <v>5</v>
      </c>
      <c r="E98" s="42">
        <v>6371.01</v>
      </c>
      <c r="F98" s="42">
        <v>700.32</v>
      </c>
      <c r="G98" s="42">
        <v>0</v>
      </c>
      <c r="H98" s="42">
        <v>6147.58</v>
      </c>
      <c r="I98" s="42">
        <v>0</v>
      </c>
      <c r="J98" s="42">
        <v>1101.58</v>
      </c>
      <c r="K98" s="43">
        <v>13218.91</v>
      </c>
      <c r="L98" s="32">
        <v>14320.49</v>
      </c>
      <c r="M98" s="33"/>
      <c r="N98" s="30">
        <v>13218.91</v>
      </c>
      <c r="O98" s="30">
        <v>7071.33</v>
      </c>
      <c r="P98" s="30"/>
      <c r="Q98" s="30">
        <f>(N98+O98*0.18+J98)+(IF((P98-O98*0.18)&gt;0,(P98-O98*0.18),0))</f>
        <v>15593.329400000001</v>
      </c>
      <c r="R98" s="7"/>
      <c r="S98" s="7"/>
      <c r="T98" s="7"/>
      <c r="U98" s="7"/>
      <c r="V98" s="7"/>
      <c r="W98" s="7"/>
      <c r="X98" s="7"/>
      <c r="Y98" s="7"/>
      <c r="Z98" s="7"/>
    </row>
    <row r="99" spans="1:26" ht="9" customHeight="1" x14ac:dyDescent="0.2">
      <c r="A99" s="95"/>
      <c r="B99" s="95"/>
      <c r="C99" s="34" t="s">
        <v>37</v>
      </c>
      <c r="D99" s="35">
        <v>6</v>
      </c>
      <c r="E99" s="36">
        <v>12335996</v>
      </c>
      <c r="F99" s="36">
        <v>1356009</v>
      </c>
      <c r="G99" s="36">
        <v>0</v>
      </c>
      <c r="H99" s="36">
        <v>11903375</v>
      </c>
      <c r="I99" s="36">
        <v>0</v>
      </c>
      <c r="J99" s="37">
        <v>2132956</v>
      </c>
      <c r="K99" s="36">
        <v>25595379</v>
      </c>
      <c r="L99" s="38">
        <v>27728335</v>
      </c>
      <c r="M99" s="39"/>
      <c r="N99" s="36">
        <v>25595379</v>
      </c>
      <c r="O99" s="36">
        <v>13692004</v>
      </c>
      <c r="P99" s="36">
        <v>0</v>
      </c>
      <c r="Q99" s="36">
        <f>Q98*1936.27</f>
        <v>30192895.917338002</v>
      </c>
      <c r="R99" s="7"/>
      <c r="S99" s="7"/>
      <c r="T99" s="7"/>
      <c r="U99" s="7"/>
      <c r="V99" s="7"/>
      <c r="W99" s="7"/>
      <c r="X99" s="7"/>
      <c r="Y99" s="7"/>
      <c r="Z99" s="7"/>
    </row>
    <row r="100" spans="1:26" ht="12.75" customHeight="1" x14ac:dyDescent="0.2">
      <c r="A100" s="95"/>
      <c r="B100" s="95"/>
      <c r="C100" s="40" t="s">
        <v>36</v>
      </c>
      <c r="D100" s="41">
        <v>7</v>
      </c>
      <c r="E100" s="42">
        <v>6674.69</v>
      </c>
      <c r="F100" s="42">
        <v>731.3</v>
      </c>
      <c r="G100" s="42">
        <v>0</v>
      </c>
      <c r="H100" s="42">
        <v>6147.58</v>
      </c>
      <c r="I100" s="42">
        <v>0</v>
      </c>
      <c r="J100" s="42">
        <v>1129.46</v>
      </c>
      <c r="K100" s="43">
        <v>13553.57</v>
      </c>
      <c r="L100" s="32">
        <v>14683.03</v>
      </c>
      <c r="M100" s="33"/>
      <c r="N100" s="30">
        <v>13553.57</v>
      </c>
      <c r="O100" s="30">
        <v>7405.99</v>
      </c>
      <c r="P100" s="30"/>
      <c r="Q100" s="30">
        <f>(N100+O100*0.18+J100)+(IF((P100-O100*0.18)&gt;0,(P100-O100*0.18),0))</f>
        <v>16016.108199999999</v>
      </c>
      <c r="R100" s="7"/>
      <c r="S100" s="7"/>
      <c r="T100" s="7"/>
      <c r="U100" s="7"/>
      <c r="V100" s="7"/>
      <c r="W100" s="7"/>
      <c r="X100" s="7"/>
      <c r="Y100" s="7"/>
      <c r="Z100" s="7"/>
    </row>
    <row r="101" spans="1:26" ht="9" customHeight="1" x14ac:dyDescent="0.2">
      <c r="A101" s="95"/>
      <c r="B101" s="95"/>
      <c r="C101" s="34" t="s">
        <v>37</v>
      </c>
      <c r="D101" s="35">
        <v>8</v>
      </c>
      <c r="E101" s="36">
        <v>12924002</v>
      </c>
      <c r="F101" s="36">
        <v>1415994</v>
      </c>
      <c r="G101" s="36">
        <v>0</v>
      </c>
      <c r="H101" s="36">
        <v>11903375</v>
      </c>
      <c r="I101" s="36">
        <v>0</v>
      </c>
      <c r="J101" s="37">
        <v>2186940</v>
      </c>
      <c r="K101" s="36">
        <v>26243371</v>
      </c>
      <c r="L101" s="38">
        <v>28430310</v>
      </c>
      <c r="M101" s="39"/>
      <c r="N101" s="36">
        <v>26243371</v>
      </c>
      <c r="O101" s="36">
        <v>14339996</v>
      </c>
      <c r="P101" s="36">
        <v>0</v>
      </c>
      <c r="Q101" s="36">
        <f>Q100*1936.27</f>
        <v>31011509.824413996</v>
      </c>
      <c r="R101" s="7"/>
      <c r="S101" s="7"/>
      <c r="T101" s="7"/>
      <c r="U101" s="7"/>
      <c r="V101" s="7"/>
      <c r="W101" s="7"/>
      <c r="X101" s="7"/>
      <c r="Y101" s="7"/>
      <c r="Z101" s="7"/>
    </row>
    <row r="102" spans="1:26" ht="12.75" customHeight="1" x14ac:dyDescent="0.2">
      <c r="A102" s="95"/>
      <c r="B102" s="95"/>
      <c r="C102" s="40" t="s">
        <v>36</v>
      </c>
      <c r="D102" s="41">
        <v>9</v>
      </c>
      <c r="E102" s="42">
        <v>7027.95</v>
      </c>
      <c r="F102" s="42">
        <v>768.49</v>
      </c>
      <c r="G102" s="42">
        <v>0</v>
      </c>
      <c r="H102" s="42">
        <v>6147.58</v>
      </c>
      <c r="I102" s="42">
        <v>0</v>
      </c>
      <c r="J102" s="42">
        <v>1162</v>
      </c>
      <c r="K102" s="43">
        <v>13944.02</v>
      </c>
      <c r="L102" s="32">
        <v>15106.02</v>
      </c>
      <c r="M102" s="33"/>
      <c r="N102" s="30">
        <v>13944.02</v>
      </c>
      <c r="O102" s="30">
        <v>7796.44</v>
      </c>
      <c r="P102" s="30"/>
      <c r="Q102" s="30">
        <f>(N102+O102*0.18+J102)+(IF((P102-O102*0.18)&gt;0,(P102-O102*0.18),0))</f>
        <v>16509.379199999999</v>
      </c>
      <c r="R102" s="7"/>
      <c r="S102" s="7"/>
      <c r="T102" s="7"/>
      <c r="U102" s="7"/>
      <c r="V102" s="7"/>
      <c r="W102" s="7"/>
      <c r="X102" s="7"/>
      <c r="Y102" s="7"/>
      <c r="Z102" s="7"/>
    </row>
    <row r="103" spans="1:26" ht="9" customHeight="1" x14ac:dyDescent="0.2">
      <c r="A103" s="95"/>
      <c r="B103" s="95"/>
      <c r="C103" s="34" t="s">
        <v>37</v>
      </c>
      <c r="D103" s="35">
        <v>10</v>
      </c>
      <c r="E103" s="36">
        <v>13608009</v>
      </c>
      <c r="F103" s="36">
        <v>1488004</v>
      </c>
      <c r="G103" s="36">
        <v>0</v>
      </c>
      <c r="H103" s="36">
        <v>11903375</v>
      </c>
      <c r="I103" s="36">
        <v>0</v>
      </c>
      <c r="J103" s="37">
        <v>2249946</v>
      </c>
      <c r="K103" s="36">
        <v>26999388</v>
      </c>
      <c r="L103" s="38">
        <v>29249333</v>
      </c>
      <c r="M103" s="39"/>
      <c r="N103" s="36">
        <v>26999388</v>
      </c>
      <c r="O103" s="36">
        <v>15096013</v>
      </c>
      <c r="P103" s="36">
        <v>0</v>
      </c>
      <c r="Q103" s="36">
        <f>Q102*1936.27</f>
        <v>31966615.663583998</v>
      </c>
      <c r="R103" s="7"/>
      <c r="S103" s="7"/>
      <c r="T103" s="7"/>
      <c r="U103" s="7"/>
      <c r="V103" s="7"/>
      <c r="W103" s="7"/>
      <c r="X103" s="7"/>
      <c r="Y103" s="7"/>
      <c r="Z103" s="7"/>
    </row>
    <row r="104" spans="1:26" ht="12.75" customHeight="1" x14ac:dyDescent="0.2">
      <c r="A104" s="95"/>
      <c r="B104" s="95"/>
      <c r="C104" s="40" t="s">
        <v>36</v>
      </c>
      <c r="D104" s="41">
        <v>11</v>
      </c>
      <c r="E104" s="42">
        <v>7387.4</v>
      </c>
      <c r="F104" s="42">
        <v>811.87</v>
      </c>
      <c r="G104" s="42">
        <v>0</v>
      </c>
      <c r="H104" s="42">
        <v>6147.58</v>
      </c>
      <c r="I104" s="42">
        <v>0</v>
      </c>
      <c r="J104" s="42">
        <v>1195.57</v>
      </c>
      <c r="K104" s="43">
        <v>14346.85</v>
      </c>
      <c r="L104" s="32">
        <v>15542.42</v>
      </c>
      <c r="M104" s="33"/>
      <c r="N104" s="30">
        <v>14346.85</v>
      </c>
      <c r="O104" s="30">
        <v>8199.27</v>
      </c>
      <c r="P104" s="30"/>
      <c r="Q104" s="30">
        <f>(N104+O104*0.18+J104)+(IF((P104-O104*0.18)&gt;0,(P104-O104*0.18),0))</f>
        <v>17018.2886</v>
      </c>
      <c r="R104" s="7"/>
      <c r="S104" s="7"/>
      <c r="T104" s="7"/>
      <c r="U104" s="7"/>
      <c r="V104" s="7"/>
      <c r="W104" s="7"/>
      <c r="X104" s="7"/>
      <c r="Y104" s="7"/>
      <c r="Z104" s="7"/>
    </row>
    <row r="105" spans="1:26" ht="9" customHeight="1" x14ac:dyDescent="0.2">
      <c r="A105" s="95"/>
      <c r="B105" s="95"/>
      <c r="C105" s="34" t="s">
        <v>37</v>
      </c>
      <c r="D105" s="35">
        <v>12</v>
      </c>
      <c r="E105" s="36">
        <v>14304001</v>
      </c>
      <c r="F105" s="36">
        <v>1572000</v>
      </c>
      <c r="G105" s="36">
        <v>0</v>
      </c>
      <c r="H105" s="36">
        <v>11903375</v>
      </c>
      <c r="I105" s="36">
        <v>0</v>
      </c>
      <c r="J105" s="37">
        <v>2314946</v>
      </c>
      <c r="K105" s="36">
        <v>27779375</v>
      </c>
      <c r="L105" s="38">
        <v>30094322</v>
      </c>
      <c r="M105" s="39"/>
      <c r="N105" s="36">
        <v>27779375</v>
      </c>
      <c r="O105" s="36">
        <v>15876001</v>
      </c>
      <c r="P105" s="36">
        <v>0</v>
      </c>
      <c r="Q105" s="36">
        <f>Q104*1936.27</f>
        <v>32952001.667521998</v>
      </c>
      <c r="R105" s="7"/>
      <c r="S105" s="7"/>
      <c r="T105" s="7"/>
      <c r="U105" s="7"/>
      <c r="V105" s="7"/>
      <c r="W105" s="7"/>
      <c r="X105" s="7"/>
      <c r="Y105" s="7"/>
      <c r="Z105" s="7"/>
    </row>
    <row r="106" spans="1:26" ht="12.75" customHeight="1" x14ac:dyDescent="0.2">
      <c r="A106" s="95"/>
      <c r="B106" s="95"/>
      <c r="C106" s="40" t="s">
        <v>36</v>
      </c>
      <c r="D106" s="41">
        <v>13</v>
      </c>
      <c r="E106" s="42">
        <v>7740.66</v>
      </c>
      <c r="F106" s="42">
        <v>849.06</v>
      </c>
      <c r="G106" s="42">
        <v>0</v>
      </c>
      <c r="H106" s="42">
        <v>6147.58</v>
      </c>
      <c r="I106" s="42">
        <v>0</v>
      </c>
      <c r="J106" s="42">
        <v>1228.1099999999999</v>
      </c>
      <c r="K106" s="43">
        <v>14737.3</v>
      </c>
      <c r="L106" s="32">
        <v>15965.41</v>
      </c>
      <c r="M106" s="33"/>
      <c r="N106" s="30">
        <v>14737.3</v>
      </c>
      <c r="O106" s="30">
        <v>8589.7199999999993</v>
      </c>
      <c r="P106" s="30"/>
      <c r="Q106" s="30">
        <f>(N106+O106*0.18+J106)+(IF((P106-O106*0.18)&gt;0,(P106-O106*0.18),0))</f>
        <v>17511.559600000001</v>
      </c>
      <c r="R106" s="7"/>
      <c r="S106" s="7"/>
      <c r="T106" s="7"/>
      <c r="U106" s="7"/>
      <c r="V106" s="7"/>
      <c r="W106" s="7"/>
      <c r="X106" s="7"/>
      <c r="Y106" s="7"/>
      <c r="Z106" s="7"/>
    </row>
    <row r="107" spans="1:26" ht="9" customHeight="1" x14ac:dyDescent="0.2">
      <c r="A107" s="95"/>
      <c r="B107" s="95"/>
      <c r="C107" s="34" t="s">
        <v>37</v>
      </c>
      <c r="D107" s="35">
        <v>14</v>
      </c>
      <c r="E107" s="36">
        <v>14988008</v>
      </c>
      <c r="F107" s="36">
        <v>1644009</v>
      </c>
      <c r="G107" s="36">
        <v>0</v>
      </c>
      <c r="H107" s="36">
        <v>11903375</v>
      </c>
      <c r="I107" s="36">
        <v>0</v>
      </c>
      <c r="J107" s="37">
        <v>2377953</v>
      </c>
      <c r="K107" s="36">
        <v>28535392</v>
      </c>
      <c r="L107" s="38">
        <v>30913344</v>
      </c>
      <c r="M107" s="39"/>
      <c r="N107" s="36">
        <v>28535392</v>
      </c>
      <c r="O107" s="36">
        <v>16632017</v>
      </c>
      <c r="P107" s="36">
        <v>0</v>
      </c>
      <c r="Q107" s="36">
        <f>Q106*1936.27</f>
        <v>33907107.506692</v>
      </c>
      <c r="R107" s="7"/>
      <c r="S107" s="7"/>
      <c r="T107" s="7"/>
      <c r="U107" s="7"/>
      <c r="V107" s="7"/>
      <c r="W107" s="7"/>
      <c r="X107" s="7"/>
      <c r="Y107" s="7"/>
      <c r="Z107" s="7"/>
    </row>
    <row r="108" spans="1:26" ht="12.75" customHeight="1" x14ac:dyDescent="0.2">
      <c r="A108" s="95"/>
      <c r="B108" s="95"/>
      <c r="C108" s="40" t="s">
        <v>36</v>
      </c>
      <c r="D108" s="41">
        <v>15</v>
      </c>
      <c r="E108" s="42">
        <v>8155.89</v>
      </c>
      <c r="F108" s="42">
        <v>892.44</v>
      </c>
      <c r="G108" s="42">
        <v>0</v>
      </c>
      <c r="H108" s="42">
        <v>6147.58</v>
      </c>
      <c r="I108" s="42">
        <v>0</v>
      </c>
      <c r="J108" s="42">
        <v>1266.33</v>
      </c>
      <c r="K108" s="43">
        <v>15195.91</v>
      </c>
      <c r="L108" s="32">
        <v>16462.240000000002</v>
      </c>
      <c r="M108" s="33"/>
      <c r="N108" s="30">
        <v>15195.91</v>
      </c>
      <c r="O108" s="30">
        <v>9048.33</v>
      </c>
      <c r="P108" s="30"/>
      <c r="Q108" s="30">
        <f>(N108+O108*0.18+J108)+(IF((P108-O108*0.18)&gt;0,(P108-O108*0.18),0))</f>
        <v>18090.939400000003</v>
      </c>
      <c r="R108" s="7"/>
      <c r="S108" s="7"/>
      <c r="T108" s="7"/>
      <c r="U108" s="7"/>
      <c r="V108" s="7"/>
      <c r="W108" s="7"/>
      <c r="X108" s="7"/>
      <c r="Y108" s="7"/>
      <c r="Z108" s="7"/>
    </row>
    <row r="109" spans="1:26" ht="9" customHeight="1" x14ac:dyDescent="0.2">
      <c r="A109" s="95"/>
      <c r="B109" s="95"/>
      <c r="C109" s="34" t="s">
        <v>37</v>
      </c>
      <c r="D109" s="35">
        <v>16</v>
      </c>
      <c r="E109" s="36">
        <v>15792005</v>
      </c>
      <c r="F109" s="36">
        <v>1728005</v>
      </c>
      <c r="G109" s="36">
        <v>0</v>
      </c>
      <c r="H109" s="36">
        <v>11903375</v>
      </c>
      <c r="I109" s="36">
        <v>0</v>
      </c>
      <c r="J109" s="37">
        <v>2451957</v>
      </c>
      <c r="K109" s="36">
        <v>29423385</v>
      </c>
      <c r="L109" s="38">
        <v>31875341</v>
      </c>
      <c r="M109" s="39"/>
      <c r="N109" s="36">
        <v>29423385</v>
      </c>
      <c r="O109" s="36">
        <v>17520010</v>
      </c>
      <c r="P109" s="36">
        <v>0</v>
      </c>
      <c r="Q109" s="36">
        <f>Q108*1936.27</f>
        <v>35028943.232038006</v>
      </c>
      <c r="R109" s="7"/>
      <c r="S109" s="7"/>
      <c r="T109" s="7"/>
      <c r="U109" s="7"/>
      <c r="V109" s="7"/>
      <c r="W109" s="7"/>
      <c r="X109" s="7"/>
      <c r="Y109" s="7"/>
      <c r="Z109" s="7"/>
    </row>
    <row r="110" spans="1:26" ht="12.75" customHeight="1" x14ac:dyDescent="0.2">
      <c r="A110" s="95"/>
      <c r="B110" s="95"/>
      <c r="C110" s="40" t="s">
        <v>36</v>
      </c>
      <c r="D110" s="41">
        <v>17</v>
      </c>
      <c r="E110" s="42">
        <v>8571.1200000000008</v>
      </c>
      <c r="F110" s="42">
        <v>942.02</v>
      </c>
      <c r="G110" s="42">
        <v>0</v>
      </c>
      <c r="H110" s="42">
        <v>6147.58</v>
      </c>
      <c r="I110" s="42">
        <v>0</v>
      </c>
      <c r="J110" s="42">
        <v>1305.06</v>
      </c>
      <c r="K110" s="43">
        <v>15660.72</v>
      </c>
      <c r="L110" s="32">
        <v>16965.78</v>
      </c>
      <c r="M110" s="33"/>
      <c r="N110" s="30">
        <v>15660.72</v>
      </c>
      <c r="O110" s="30">
        <v>9513.14</v>
      </c>
      <c r="P110" s="30"/>
      <c r="Q110" s="30">
        <f>(N110+O110*0.18+J110)+(IF((P110-O110*0.18)&gt;0,(P110-O110*0.18),0))</f>
        <v>18678.145199999999</v>
      </c>
      <c r="R110" s="7"/>
      <c r="S110" s="7"/>
      <c r="T110" s="7"/>
      <c r="U110" s="7"/>
      <c r="V110" s="7"/>
      <c r="W110" s="7"/>
      <c r="X110" s="7"/>
      <c r="Y110" s="7"/>
      <c r="Z110" s="7"/>
    </row>
    <row r="111" spans="1:26" ht="9" customHeight="1" x14ac:dyDescent="0.2">
      <c r="A111" s="95"/>
      <c r="B111" s="95"/>
      <c r="C111" s="34" t="s">
        <v>37</v>
      </c>
      <c r="D111" s="35">
        <v>18</v>
      </c>
      <c r="E111" s="36">
        <v>16596003</v>
      </c>
      <c r="F111" s="36">
        <v>1824005</v>
      </c>
      <c r="G111" s="36">
        <v>0</v>
      </c>
      <c r="H111" s="36">
        <v>11903375</v>
      </c>
      <c r="I111" s="36">
        <v>0</v>
      </c>
      <c r="J111" s="37">
        <v>2526949</v>
      </c>
      <c r="K111" s="36">
        <v>30323382</v>
      </c>
      <c r="L111" s="38">
        <v>32850331</v>
      </c>
      <c r="M111" s="39"/>
      <c r="N111" s="36">
        <v>30323382</v>
      </c>
      <c r="O111" s="36">
        <v>18420008</v>
      </c>
      <c r="P111" s="36">
        <v>0</v>
      </c>
      <c r="Q111" s="36">
        <f>Q110*1936.27</f>
        <v>36165932.206404001</v>
      </c>
      <c r="R111" s="7"/>
      <c r="S111" s="7"/>
      <c r="T111" s="7"/>
      <c r="U111" s="7"/>
      <c r="V111" s="7"/>
      <c r="W111" s="7"/>
      <c r="X111" s="7"/>
      <c r="Y111" s="7"/>
      <c r="Z111" s="7"/>
    </row>
    <row r="112" spans="1:26" ht="12.75" customHeight="1" x14ac:dyDescent="0.2">
      <c r="A112" s="95"/>
      <c r="B112" s="95"/>
      <c r="C112" s="40" t="s">
        <v>36</v>
      </c>
      <c r="D112" s="41">
        <v>19</v>
      </c>
      <c r="E112" s="42">
        <v>8980.15</v>
      </c>
      <c r="F112" s="42">
        <v>985.4</v>
      </c>
      <c r="G112" s="42">
        <v>0</v>
      </c>
      <c r="H112" s="42">
        <v>6147.58</v>
      </c>
      <c r="I112" s="42">
        <v>0</v>
      </c>
      <c r="J112" s="42">
        <v>1342.76</v>
      </c>
      <c r="K112" s="43">
        <v>16113.13</v>
      </c>
      <c r="L112" s="32">
        <v>17455.89</v>
      </c>
      <c r="M112" s="33"/>
      <c r="N112" s="30">
        <v>16113.13</v>
      </c>
      <c r="O112" s="30">
        <v>9965.5499999999993</v>
      </c>
      <c r="P112" s="30"/>
      <c r="Q112" s="30">
        <f>(N112+O112*0.18+J112)+(IF((P112-O112*0.18)&gt;0,(P112-O112*0.18),0))</f>
        <v>19249.688999999998</v>
      </c>
      <c r="R112" s="7"/>
      <c r="S112" s="7"/>
      <c r="T112" s="7"/>
      <c r="U112" s="7"/>
      <c r="V112" s="7"/>
      <c r="W112" s="7"/>
      <c r="X112" s="7"/>
      <c r="Y112" s="7"/>
      <c r="Z112" s="7"/>
    </row>
    <row r="113" spans="1:26" ht="9" customHeight="1" x14ac:dyDescent="0.2">
      <c r="A113" s="95"/>
      <c r="B113" s="95"/>
      <c r="C113" s="34" t="s">
        <v>37</v>
      </c>
      <c r="D113" s="35">
        <v>20</v>
      </c>
      <c r="E113" s="36">
        <v>17387995</v>
      </c>
      <c r="F113" s="36">
        <v>1908000</v>
      </c>
      <c r="G113" s="36">
        <v>0</v>
      </c>
      <c r="H113" s="36">
        <v>11903375</v>
      </c>
      <c r="I113" s="36">
        <v>0</v>
      </c>
      <c r="J113" s="37">
        <v>2599946</v>
      </c>
      <c r="K113" s="36">
        <v>31199370</v>
      </c>
      <c r="L113" s="38">
        <v>33799316</v>
      </c>
      <c r="M113" s="39"/>
      <c r="N113" s="36">
        <v>31199370</v>
      </c>
      <c r="O113" s="36">
        <v>19295995</v>
      </c>
      <c r="P113" s="36">
        <v>0</v>
      </c>
      <c r="Q113" s="36">
        <f>Q112*1936.27</f>
        <v>37272595.320029996</v>
      </c>
      <c r="R113" s="7"/>
      <c r="S113" s="7"/>
      <c r="T113" s="7"/>
      <c r="U113" s="7"/>
      <c r="V113" s="7"/>
      <c r="W113" s="7"/>
      <c r="X113" s="7"/>
      <c r="Y113" s="7"/>
      <c r="Z113" s="7"/>
    </row>
    <row r="114" spans="1:26" ht="12.75" customHeight="1" x14ac:dyDescent="0.2">
      <c r="A114" s="95"/>
      <c r="B114" s="95"/>
      <c r="C114" s="40" t="s">
        <v>36</v>
      </c>
      <c r="D114" s="41">
        <v>21</v>
      </c>
      <c r="E114" s="42">
        <v>9252.84</v>
      </c>
      <c r="F114" s="42">
        <v>1016.39</v>
      </c>
      <c r="G114" s="42">
        <v>0</v>
      </c>
      <c r="H114" s="42">
        <v>6147.58</v>
      </c>
      <c r="I114" s="42">
        <v>0</v>
      </c>
      <c r="J114" s="42">
        <v>1368.07</v>
      </c>
      <c r="K114" s="43">
        <v>16416.810000000001</v>
      </c>
      <c r="L114" s="32">
        <v>17784.88</v>
      </c>
      <c r="M114" s="33"/>
      <c r="N114" s="30">
        <v>16416.810000000001</v>
      </c>
      <c r="O114" s="30">
        <v>10269.23</v>
      </c>
      <c r="P114" s="30"/>
      <c r="Q114" s="30">
        <f>(N114+O114*0.18+J114)+(IF((P114-O114*0.18)&gt;0,(P114-O114*0.18),0))</f>
        <v>19633.341400000001</v>
      </c>
      <c r="R114" s="7"/>
      <c r="S114" s="7"/>
      <c r="T114" s="7"/>
      <c r="U114" s="7"/>
      <c r="V114" s="7"/>
      <c r="W114" s="7"/>
      <c r="X114" s="7"/>
      <c r="Y114" s="7"/>
      <c r="Z114" s="7"/>
    </row>
    <row r="115" spans="1:26" ht="9" customHeight="1" x14ac:dyDescent="0.2">
      <c r="A115" s="95"/>
      <c r="B115" s="95"/>
      <c r="C115" s="34" t="s">
        <v>37</v>
      </c>
      <c r="D115" s="35">
        <v>22</v>
      </c>
      <c r="E115" s="36">
        <v>17915997</v>
      </c>
      <c r="F115" s="36">
        <v>1968005</v>
      </c>
      <c r="G115" s="36">
        <v>0</v>
      </c>
      <c r="H115" s="36">
        <v>11903375</v>
      </c>
      <c r="I115" s="36">
        <v>0</v>
      </c>
      <c r="J115" s="37">
        <v>2648953</v>
      </c>
      <c r="K115" s="36">
        <v>31787377</v>
      </c>
      <c r="L115" s="38">
        <v>34436330</v>
      </c>
      <c r="M115" s="39"/>
      <c r="N115" s="36">
        <v>31787377</v>
      </c>
      <c r="O115" s="36">
        <v>19884002</v>
      </c>
      <c r="P115" s="36">
        <v>0</v>
      </c>
      <c r="Q115" s="36">
        <f>Q114*1936.27</f>
        <v>38015449.952578001</v>
      </c>
      <c r="R115" s="7"/>
      <c r="S115" s="7"/>
      <c r="T115" s="7"/>
      <c r="U115" s="7"/>
      <c r="V115" s="7"/>
      <c r="W115" s="7"/>
      <c r="X115" s="7"/>
      <c r="Y115" s="7"/>
      <c r="Z115" s="7"/>
    </row>
    <row r="116" spans="1:26" ht="12.75" customHeight="1" x14ac:dyDescent="0.2">
      <c r="A116" s="95"/>
      <c r="B116" s="95"/>
      <c r="C116" s="40" t="s">
        <v>36</v>
      </c>
      <c r="D116" s="41">
        <v>23</v>
      </c>
      <c r="E116" s="42">
        <v>9519.33</v>
      </c>
      <c r="F116" s="42">
        <v>1047.3699999999999</v>
      </c>
      <c r="G116" s="42">
        <v>0</v>
      </c>
      <c r="H116" s="42">
        <v>6147.58</v>
      </c>
      <c r="I116" s="42">
        <v>0</v>
      </c>
      <c r="J116" s="42">
        <v>1392.86</v>
      </c>
      <c r="K116" s="43">
        <v>16714.28</v>
      </c>
      <c r="L116" s="32">
        <v>18107.14</v>
      </c>
      <c r="M116" s="33"/>
      <c r="N116" s="30">
        <v>16714.28</v>
      </c>
      <c r="O116" s="30">
        <v>10566.7</v>
      </c>
      <c r="P116" s="30"/>
      <c r="Q116" s="30">
        <f>(N116+O116*0.18+J116)+(IF((P116-O116*0.18)&gt;0,(P116-O116*0.18),0))</f>
        <v>20009.146000000001</v>
      </c>
      <c r="R116" s="7"/>
      <c r="S116" s="7"/>
      <c r="T116" s="7"/>
      <c r="U116" s="7"/>
      <c r="V116" s="7"/>
      <c r="W116" s="7"/>
      <c r="X116" s="7"/>
      <c r="Y116" s="7"/>
      <c r="Z116" s="7"/>
    </row>
    <row r="117" spans="1:26" ht="9" customHeight="1" x14ac:dyDescent="0.2">
      <c r="A117" s="95"/>
      <c r="B117" s="95"/>
      <c r="C117" s="34" t="s">
        <v>37</v>
      </c>
      <c r="D117" s="35">
        <v>23</v>
      </c>
      <c r="E117" s="36">
        <v>18431993</v>
      </c>
      <c r="F117" s="36">
        <v>2027991</v>
      </c>
      <c r="G117" s="36">
        <v>0</v>
      </c>
      <c r="H117" s="36">
        <v>11903375</v>
      </c>
      <c r="I117" s="36">
        <v>0</v>
      </c>
      <c r="J117" s="37">
        <v>2696953</v>
      </c>
      <c r="K117" s="36">
        <v>32363359</v>
      </c>
      <c r="L117" s="38">
        <v>35060312</v>
      </c>
      <c r="M117" s="39"/>
      <c r="N117" s="36">
        <v>32363359</v>
      </c>
      <c r="O117" s="36">
        <v>20459984</v>
      </c>
      <c r="P117" s="36">
        <v>0</v>
      </c>
      <c r="Q117" s="36">
        <f>Q116*1936.27</f>
        <v>38743109.125420004</v>
      </c>
      <c r="R117" s="7"/>
      <c r="S117" s="7"/>
      <c r="T117" s="7"/>
      <c r="U117" s="7"/>
      <c r="V117" s="7"/>
      <c r="W117" s="7"/>
      <c r="X117" s="7"/>
      <c r="Y117" s="7"/>
      <c r="Z117" s="7"/>
    </row>
    <row r="118" spans="1:26" ht="12.75" customHeight="1" x14ac:dyDescent="0.2">
      <c r="A118" s="95"/>
      <c r="B118" s="95"/>
      <c r="C118" s="40" t="s">
        <v>36</v>
      </c>
      <c r="D118" s="41">
        <v>24</v>
      </c>
      <c r="E118" s="42">
        <v>9792.02</v>
      </c>
      <c r="F118" s="42">
        <v>1072.1600000000001</v>
      </c>
      <c r="G118" s="42">
        <v>0</v>
      </c>
      <c r="H118" s="42">
        <v>6147.58</v>
      </c>
      <c r="I118" s="42">
        <v>0</v>
      </c>
      <c r="J118" s="42">
        <v>1417.65</v>
      </c>
      <c r="K118" s="43">
        <v>17011.759999999998</v>
      </c>
      <c r="L118" s="32">
        <v>18429.41</v>
      </c>
      <c r="M118" s="33"/>
      <c r="N118" s="30">
        <v>17011.759999999998</v>
      </c>
      <c r="O118" s="30">
        <v>10864.18</v>
      </c>
      <c r="P118" s="30"/>
      <c r="Q118" s="30">
        <f>(N118+O118*0.18+J118)+(IF((P118-O118*0.18)&gt;0,(P118-O118*0.18),0))</f>
        <v>20384.9624</v>
      </c>
      <c r="R118" s="7"/>
      <c r="S118" s="7"/>
      <c r="T118" s="7"/>
      <c r="U118" s="7"/>
      <c r="V118" s="7"/>
      <c r="W118" s="7"/>
      <c r="X118" s="7"/>
      <c r="Y118" s="7"/>
      <c r="Z118" s="7"/>
    </row>
    <row r="119" spans="1:26" ht="9" customHeight="1" x14ac:dyDescent="0.2">
      <c r="A119" s="95"/>
      <c r="B119" s="95"/>
      <c r="C119" s="34" t="s">
        <v>37</v>
      </c>
      <c r="D119" s="35">
        <v>25</v>
      </c>
      <c r="E119" s="36">
        <v>18959995</v>
      </c>
      <c r="F119" s="36">
        <v>2075991</v>
      </c>
      <c r="G119" s="36">
        <v>0</v>
      </c>
      <c r="H119" s="36">
        <v>11903375</v>
      </c>
      <c r="I119" s="36">
        <v>0</v>
      </c>
      <c r="J119" s="37">
        <v>2744953</v>
      </c>
      <c r="K119" s="36">
        <v>32939361</v>
      </c>
      <c r="L119" s="38">
        <v>35684314</v>
      </c>
      <c r="M119" s="39"/>
      <c r="N119" s="36">
        <v>32939361</v>
      </c>
      <c r="O119" s="36">
        <v>21035986</v>
      </c>
      <c r="P119" s="36">
        <v>0</v>
      </c>
      <c r="Q119" s="36">
        <f>Q118*1936.27</f>
        <v>39470791.146247998</v>
      </c>
      <c r="R119" s="7"/>
      <c r="S119" s="7"/>
      <c r="T119" s="7"/>
      <c r="U119" s="7"/>
      <c r="V119" s="7"/>
      <c r="W119" s="7"/>
      <c r="X119" s="7"/>
      <c r="Y119" s="7"/>
      <c r="Z119" s="7"/>
    </row>
    <row r="120" spans="1:26" ht="12.75" customHeight="1" x14ac:dyDescent="0.2">
      <c r="A120" s="95"/>
      <c r="B120" s="95"/>
      <c r="C120" s="40" t="s">
        <v>36</v>
      </c>
      <c r="D120" s="41">
        <v>26</v>
      </c>
      <c r="E120" s="42">
        <v>10058.51</v>
      </c>
      <c r="F120" s="42">
        <v>1103.1500000000001</v>
      </c>
      <c r="G120" s="42">
        <v>0</v>
      </c>
      <c r="H120" s="42">
        <v>6147.58</v>
      </c>
      <c r="I120" s="42">
        <v>0</v>
      </c>
      <c r="J120" s="42">
        <v>1442.44</v>
      </c>
      <c r="K120" s="43">
        <v>17309.240000000002</v>
      </c>
      <c r="L120" s="32">
        <v>18751.68</v>
      </c>
      <c r="M120" s="33"/>
      <c r="N120" s="30">
        <v>17309.240000000002</v>
      </c>
      <c r="O120" s="30">
        <v>11161.66</v>
      </c>
      <c r="P120" s="30"/>
      <c r="Q120" s="30">
        <f>(N120+O120*0.18+J120)+(IF((P120-O120*0.18)&gt;0,(P120-O120*0.18),0))</f>
        <v>20760.7788</v>
      </c>
      <c r="R120" s="7"/>
      <c r="S120" s="7"/>
      <c r="T120" s="7"/>
      <c r="U120" s="7"/>
      <c r="V120" s="7"/>
      <c r="W120" s="7"/>
      <c r="X120" s="7"/>
      <c r="Y120" s="7"/>
      <c r="Z120" s="7"/>
    </row>
    <row r="121" spans="1:26" ht="9" customHeight="1" x14ac:dyDescent="0.2">
      <c r="A121" s="95"/>
      <c r="B121" s="95"/>
      <c r="C121" s="34" t="s">
        <v>37</v>
      </c>
      <c r="D121" s="35">
        <v>27</v>
      </c>
      <c r="E121" s="36">
        <v>19475991</v>
      </c>
      <c r="F121" s="36">
        <v>2135996</v>
      </c>
      <c r="G121" s="36">
        <v>0</v>
      </c>
      <c r="H121" s="36">
        <v>11903375</v>
      </c>
      <c r="I121" s="36">
        <v>0</v>
      </c>
      <c r="J121" s="37">
        <v>2792953</v>
      </c>
      <c r="K121" s="36">
        <v>33515362</v>
      </c>
      <c r="L121" s="38">
        <v>36308315</v>
      </c>
      <c r="M121" s="39"/>
      <c r="N121" s="36">
        <v>33515362</v>
      </c>
      <c r="O121" s="36">
        <v>21611987</v>
      </c>
      <c r="P121" s="36">
        <v>0</v>
      </c>
      <c r="Q121" s="36">
        <f>Q120*1936.27</f>
        <v>40198473.167075999</v>
      </c>
      <c r="R121" s="7"/>
      <c r="S121" s="7"/>
      <c r="T121" s="7"/>
      <c r="U121" s="7"/>
      <c r="V121" s="7"/>
      <c r="W121" s="7"/>
      <c r="X121" s="7"/>
      <c r="Y121" s="7"/>
      <c r="Z121" s="7"/>
    </row>
    <row r="122" spans="1:26" ht="12.75" customHeight="1" x14ac:dyDescent="0.2">
      <c r="A122" s="95"/>
      <c r="B122" s="95"/>
      <c r="C122" s="40" t="s">
        <v>36</v>
      </c>
      <c r="D122" s="41">
        <v>28</v>
      </c>
      <c r="E122" s="42">
        <v>10331.200000000001</v>
      </c>
      <c r="F122" s="42">
        <v>1134.1400000000001</v>
      </c>
      <c r="G122" s="42">
        <v>0</v>
      </c>
      <c r="H122" s="42">
        <v>6147.58</v>
      </c>
      <c r="I122" s="42">
        <v>0</v>
      </c>
      <c r="J122" s="42">
        <v>1467.74</v>
      </c>
      <c r="K122" s="43">
        <v>17612.919999999998</v>
      </c>
      <c r="L122" s="32">
        <v>19080.66</v>
      </c>
      <c r="M122" s="33"/>
      <c r="N122" s="30">
        <v>17612.919999999998</v>
      </c>
      <c r="O122" s="30">
        <v>11465.34</v>
      </c>
      <c r="P122" s="30"/>
      <c r="Q122" s="30">
        <f>(N122+O122*0.18+J122)+(IF((P122-O122*0.18)&gt;0,(P122-O122*0.18),0))</f>
        <v>21144.421200000001</v>
      </c>
      <c r="R122" s="7"/>
      <c r="S122" s="7"/>
      <c r="T122" s="7"/>
      <c r="U122" s="7"/>
      <c r="V122" s="7"/>
      <c r="W122" s="7"/>
      <c r="X122" s="7"/>
      <c r="Y122" s="7"/>
      <c r="Z122" s="7"/>
    </row>
    <row r="123" spans="1:26" ht="9" customHeight="1" x14ac:dyDescent="0.2">
      <c r="A123" s="95"/>
      <c r="B123" s="95"/>
      <c r="C123" s="34" t="s">
        <v>37</v>
      </c>
      <c r="D123" s="35">
        <v>29</v>
      </c>
      <c r="E123" s="36">
        <v>20003993</v>
      </c>
      <c r="F123" s="36">
        <v>2196001</v>
      </c>
      <c r="G123" s="36">
        <v>0</v>
      </c>
      <c r="H123" s="36">
        <v>11903375</v>
      </c>
      <c r="I123" s="36">
        <v>0</v>
      </c>
      <c r="J123" s="37">
        <v>2841941</v>
      </c>
      <c r="K123" s="36">
        <v>34103369</v>
      </c>
      <c r="L123" s="38">
        <v>36945310</v>
      </c>
      <c r="M123" s="39"/>
      <c r="N123" s="36">
        <v>34103369</v>
      </c>
      <c r="O123" s="36">
        <v>22199994</v>
      </c>
      <c r="P123" s="36">
        <v>0</v>
      </c>
      <c r="Q123" s="36">
        <f>Q122*1936.27</f>
        <v>40941308.436924003</v>
      </c>
      <c r="R123" s="7"/>
      <c r="S123" s="7"/>
      <c r="T123" s="7"/>
      <c r="U123" s="7"/>
      <c r="V123" s="7"/>
      <c r="W123" s="7"/>
      <c r="X123" s="7"/>
      <c r="Y123" s="7"/>
      <c r="Z123" s="7"/>
    </row>
    <row r="124" spans="1:26" ht="12.75" customHeight="1" x14ac:dyDescent="0.2">
      <c r="A124" s="95"/>
      <c r="B124" s="95"/>
      <c r="C124" s="40" t="s">
        <v>36</v>
      </c>
      <c r="D124" s="41">
        <v>30</v>
      </c>
      <c r="E124" s="42">
        <v>10603.89</v>
      </c>
      <c r="F124" s="42">
        <v>1165.1300000000001</v>
      </c>
      <c r="G124" s="42">
        <v>0</v>
      </c>
      <c r="H124" s="42">
        <v>6147.58</v>
      </c>
      <c r="I124" s="42">
        <v>0</v>
      </c>
      <c r="J124" s="42">
        <v>1493.05</v>
      </c>
      <c r="K124" s="43">
        <v>17916.599999999999</v>
      </c>
      <c r="L124" s="32">
        <v>19409.650000000001</v>
      </c>
      <c r="M124" s="33"/>
      <c r="N124" s="30">
        <v>17916.599999999999</v>
      </c>
      <c r="O124" s="30">
        <v>11769.02</v>
      </c>
      <c r="P124" s="30"/>
      <c r="Q124" s="30">
        <f>(N124+O124*0.18+J124)+(IF((P124-O124*0.18)&gt;0,(P124-O124*0.18),0))</f>
        <v>21528.0736</v>
      </c>
      <c r="R124" s="7"/>
      <c r="S124" s="7"/>
      <c r="T124" s="7"/>
      <c r="U124" s="7"/>
      <c r="V124" s="7"/>
      <c r="W124" s="7"/>
      <c r="X124" s="7"/>
      <c r="Y124" s="7"/>
      <c r="Z124" s="7"/>
    </row>
    <row r="125" spans="1:26" ht="9" customHeight="1" x14ac:dyDescent="0.2">
      <c r="A125" s="95"/>
      <c r="B125" s="95"/>
      <c r="C125" s="34" t="s">
        <v>37</v>
      </c>
      <c r="D125" s="35">
        <v>31</v>
      </c>
      <c r="E125" s="36">
        <v>20531994</v>
      </c>
      <c r="F125" s="36">
        <v>2256006</v>
      </c>
      <c r="G125" s="36">
        <v>0</v>
      </c>
      <c r="H125" s="36">
        <v>11903375</v>
      </c>
      <c r="I125" s="36">
        <v>0</v>
      </c>
      <c r="J125" s="37">
        <v>2890948</v>
      </c>
      <c r="K125" s="36">
        <v>34691375</v>
      </c>
      <c r="L125" s="38">
        <v>37582323</v>
      </c>
      <c r="M125" s="39"/>
      <c r="N125" s="36">
        <v>34691375</v>
      </c>
      <c r="O125" s="36">
        <v>22788000</v>
      </c>
      <c r="P125" s="36">
        <v>0</v>
      </c>
      <c r="Q125" s="36">
        <f>Q124*1936.27</f>
        <v>41684163.069472</v>
      </c>
      <c r="R125" s="7"/>
      <c r="S125" s="7"/>
      <c r="T125" s="7"/>
      <c r="U125" s="7"/>
      <c r="V125" s="7"/>
      <c r="W125" s="7"/>
      <c r="X125" s="7"/>
      <c r="Y125" s="7"/>
      <c r="Z125" s="7"/>
    </row>
    <row r="126" spans="1:26" ht="12.75" customHeight="1" x14ac:dyDescent="0.2">
      <c r="A126" s="95"/>
      <c r="B126" s="95"/>
      <c r="C126" s="40" t="s">
        <v>36</v>
      </c>
      <c r="D126" s="41">
        <v>32</v>
      </c>
      <c r="E126" s="42">
        <v>10870.38</v>
      </c>
      <c r="F126" s="42">
        <v>1189.92</v>
      </c>
      <c r="G126" s="42">
        <v>0</v>
      </c>
      <c r="H126" s="42">
        <v>6147.58</v>
      </c>
      <c r="I126" s="42">
        <v>0</v>
      </c>
      <c r="J126" s="42">
        <v>1517.32</v>
      </c>
      <c r="K126" s="43">
        <v>18207.88</v>
      </c>
      <c r="L126" s="32">
        <v>19725.2</v>
      </c>
      <c r="M126" s="33"/>
      <c r="N126" s="30">
        <v>18207.88</v>
      </c>
      <c r="O126" s="30">
        <v>12060.3</v>
      </c>
      <c r="P126" s="30"/>
      <c r="Q126" s="30">
        <f>(N126+O126*0.18+J126)+(IF((P126-O126*0.18)&gt;0,(P126-O126*0.18),0))</f>
        <v>21896.054</v>
      </c>
      <c r="R126" s="7"/>
      <c r="S126" s="7"/>
      <c r="T126" s="7"/>
      <c r="U126" s="7"/>
      <c r="V126" s="7"/>
      <c r="W126" s="7"/>
      <c r="X126" s="7"/>
      <c r="Y126" s="7"/>
      <c r="Z126" s="7"/>
    </row>
    <row r="127" spans="1:26" ht="9" customHeight="1" x14ac:dyDescent="0.2">
      <c r="A127" s="95"/>
      <c r="B127" s="95"/>
      <c r="C127" s="34" t="s">
        <v>37</v>
      </c>
      <c r="D127" s="35">
        <v>33</v>
      </c>
      <c r="E127" s="36">
        <v>21047991</v>
      </c>
      <c r="F127" s="36">
        <v>2304006</v>
      </c>
      <c r="G127" s="36">
        <v>0</v>
      </c>
      <c r="H127" s="36">
        <v>11903375</v>
      </c>
      <c r="I127" s="36">
        <v>0</v>
      </c>
      <c r="J127" s="37">
        <v>2937941</v>
      </c>
      <c r="K127" s="36">
        <v>35255372</v>
      </c>
      <c r="L127" s="38">
        <v>38193313</v>
      </c>
      <c r="M127" s="39"/>
      <c r="N127" s="36">
        <v>35255372</v>
      </c>
      <c r="O127" s="36">
        <v>23351997</v>
      </c>
      <c r="P127" s="36">
        <v>0</v>
      </c>
      <c r="Q127" s="36">
        <f>Q126*1936.27</f>
        <v>42396672.478579998</v>
      </c>
      <c r="R127" s="7"/>
      <c r="S127" s="7"/>
      <c r="T127" s="7"/>
      <c r="U127" s="7"/>
      <c r="V127" s="7"/>
      <c r="W127" s="7"/>
      <c r="X127" s="7"/>
      <c r="Y127" s="7"/>
      <c r="Z127" s="7"/>
    </row>
    <row r="128" spans="1:26" ht="12.75" customHeight="1" x14ac:dyDescent="0.2">
      <c r="A128" s="95"/>
      <c r="B128" s="95"/>
      <c r="C128" s="40" t="s">
        <v>36</v>
      </c>
      <c r="D128" s="41">
        <v>34</v>
      </c>
      <c r="E128" s="42">
        <v>11136.88</v>
      </c>
      <c r="F128" s="42">
        <v>1220.9000000000001</v>
      </c>
      <c r="G128" s="42">
        <v>0</v>
      </c>
      <c r="H128" s="42">
        <v>6147.58</v>
      </c>
      <c r="I128" s="42">
        <v>0</v>
      </c>
      <c r="J128" s="42">
        <v>1542.11</v>
      </c>
      <c r="K128" s="43">
        <v>18505.36</v>
      </c>
      <c r="L128" s="32">
        <v>20047.47</v>
      </c>
      <c r="M128" s="33"/>
      <c r="N128" s="30">
        <v>18505.36</v>
      </c>
      <c r="O128" s="30">
        <v>12357.78</v>
      </c>
      <c r="P128" s="30"/>
      <c r="Q128" s="30">
        <f>(N128+O128*0.18+J128)+(IF((P128-O128*0.18)&gt;0,(P128-O128*0.18),0))</f>
        <v>22271.8704</v>
      </c>
      <c r="R128" s="7"/>
      <c r="S128" s="7"/>
      <c r="T128" s="7"/>
      <c r="U128" s="7"/>
      <c r="V128" s="7"/>
      <c r="W128" s="7"/>
      <c r="X128" s="7"/>
      <c r="Y128" s="7"/>
      <c r="Z128" s="7"/>
    </row>
    <row r="129" spans="1:26" ht="9" customHeight="1" x14ac:dyDescent="0.2">
      <c r="A129" s="95"/>
      <c r="B129" s="95"/>
      <c r="C129" s="34" t="s">
        <v>37</v>
      </c>
      <c r="D129" s="35">
        <v>35</v>
      </c>
      <c r="E129" s="36">
        <v>21564007</v>
      </c>
      <c r="F129" s="36">
        <v>2363992</v>
      </c>
      <c r="G129" s="36">
        <v>0</v>
      </c>
      <c r="H129" s="36">
        <v>11903375</v>
      </c>
      <c r="I129" s="36">
        <v>0</v>
      </c>
      <c r="J129" s="37">
        <v>2985941</v>
      </c>
      <c r="K129" s="36">
        <v>35831373</v>
      </c>
      <c r="L129" s="38">
        <v>38817315</v>
      </c>
      <c r="M129" s="39"/>
      <c r="N129" s="36">
        <v>35831373</v>
      </c>
      <c r="O129" s="36">
        <v>23927999</v>
      </c>
      <c r="P129" s="36">
        <v>0</v>
      </c>
      <c r="Q129" s="36">
        <f>Q128*1936.27</f>
        <v>43124354.499407999</v>
      </c>
      <c r="R129" s="7"/>
      <c r="S129" s="7"/>
      <c r="T129" s="7"/>
      <c r="U129" s="7"/>
      <c r="V129" s="7"/>
      <c r="W129" s="7"/>
      <c r="X129" s="7"/>
      <c r="Y129" s="7"/>
      <c r="Z129" s="7"/>
    </row>
    <row r="130" spans="1:26" ht="12.75" customHeight="1" x14ac:dyDescent="0.2">
      <c r="A130" s="95"/>
      <c r="B130" s="95"/>
      <c r="C130" s="40" t="s">
        <v>36</v>
      </c>
      <c r="D130" s="41">
        <v>36</v>
      </c>
      <c r="E130" s="42">
        <v>11409.57</v>
      </c>
      <c r="F130" s="42">
        <v>1251.8900000000001</v>
      </c>
      <c r="G130" s="42">
        <v>0</v>
      </c>
      <c r="H130" s="42">
        <v>6147.58</v>
      </c>
      <c r="I130" s="42">
        <v>0</v>
      </c>
      <c r="J130" s="42">
        <v>1567.42</v>
      </c>
      <c r="K130" s="43">
        <v>18809.04</v>
      </c>
      <c r="L130" s="32">
        <v>20376.46</v>
      </c>
      <c r="M130" s="33"/>
      <c r="N130" s="30">
        <v>18809.04</v>
      </c>
      <c r="O130" s="30">
        <v>12661.46</v>
      </c>
      <c r="P130" s="30"/>
      <c r="Q130" s="30">
        <f>(N130+O130*0.18+J130)+(IF((P130-O130*0.18)&gt;0,(P130-O130*0.18),0))</f>
        <v>22655.522799999999</v>
      </c>
      <c r="R130" s="7"/>
      <c r="S130" s="7"/>
      <c r="T130" s="7"/>
      <c r="U130" s="7"/>
      <c r="V130" s="7"/>
      <c r="W130" s="7"/>
      <c r="X130" s="7"/>
      <c r="Y130" s="7"/>
      <c r="Z130" s="7"/>
    </row>
    <row r="131" spans="1:26" ht="9" customHeight="1" x14ac:dyDescent="0.2">
      <c r="A131" s="95"/>
      <c r="B131" s="95"/>
      <c r="C131" s="34" t="s">
        <v>37</v>
      </c>
      <c r="D131" s="35">
        <v>37</v>
      </c>
      <c r="E131" s="36">
        <v>22092008</v>
      </c>
      <c r="F131" s="36">
        <v>2423997</v>
      </c>
      <c r="G131" s="36">
        <v>0</v>
      </c>
      <c r="H131" s="36">
        <v>11903375</v>
      </c>
      <c r="I131" s="36">
        <v>0</v>
      </c>
      <c r="J131" s="37">
        <v>3034948</v>
      </c>
      <c r="K131" s="36">
        <v>36419380</v>
      </c>
      <c r="L131" s="38">
        <v>39454328</v>
      </c>
      <c r="M131" s="39"/>
      <c r="N131" s="36">
        <v>36419380</v>
      </c>
      <c r="O131" s="36">
        <v>24516005</v>
      </c>
      <c r="P131" s="36">
        <v>0</v>
      </c>
      <c r="Q131" s="36">
        <f>Q130*1936.27</f>
        <v>43867209.131955996</v>
      </c>
      <c r="R131" s="7"/>
      <c r="S131" s="7"/>
      <c r="T131" s="7"/>
      <c r="U131" s="7"/>
      <c r="V131" s="7"/>
      <c r="W131" s="7"/>
      <c r="X131" s="7"/>
      <c r="Y131" s="7"/>
      <c r="Z131" s="7"/>
    </row>
    <row r="132" spans="1:26" ht="12.75" customHeight="1" x14ac:dyDescent="0.2">
      <c r="A132" s="95"/>
      <c r="B132" s="95"/>
      <c r="C132" s="40" t="s">
        <v>36</v>
      </c>
      <c r="D132" s="41">
        <v>38</v>
      </c>
      <c r="E132" s="42">
        <v>11676.06</v>
      </c>
      <c r="F132" s="42">
        <v>1282.8800000000001</v>
      </c>
      <c r="G132" s="42">
        <v>0</v>
      </c>
      <c r="H132" s="42">
        <v>6147.58</v>
      </c>
      <c r="I132" s="42">
        <v>0</v>
      </c>
      <c r="J132" s="42">
        <v>1592.21</v>
      </c>
      <c r="K132" s="43">
        <v>19106.52</v>
      </c>
      <c r="L132" s="32">
        <v>20698.73</v>
      </c>
      <c r="M132" s="33"/>
      <c r="N132" s="30">
        <v>19106.52</v>
      </c>
      <c r="O132" s="30">
        <v>12958.94</v>
      </c>
      <c r="P132" s="30"/>
      <c r="Q132" s="30">
        <f>(N132+O132*0.18+J132)+(IF((P132-O132*0.18)&gt;0,(P132-O132*0.18),0))</f>
        <v>23031.339199999999</v>
      </c>
      <c r="R132" s="7"/>
      <c r="S132" s="7"/>
      <c r="T132" s="7"/>
      <c r="U132" s="7"/>
      <c r="V132" s="7"/>
      <c r="W132" s="7"/>
      <c r="X132" s="7"/>
      <c r="Y132" s="7"/>
      <c r="Z132" s="7"/>
    </row>
    <row r="133" spans="1:26" ht="9" customHeight="1" x14ac:dyDescent="0.2">
      <c r="A133" s="95"/>
      <c r="B133" s="95"/>
      <c r="C133" s="34" t="s">
        <v>37</v>
      </c>
      <c r="D133" s="35">
        <v>39</v>
      </c>
      <c r="E133" s="36">
        <v>22608005</v>
      </c>
      <c r="F133" s="36">
        <v>2484002</v>
      </c>
      <c r="G133" s="36">
        <v>0</v>
      </c>
      <c r="H133" s="36">
        <v>11903375</v>
      </c>
      <c r="I133" s="36">
        <v>0</v>
      </c>
      <c r="J133" s="37">
        <v>3082948</v>
      </c>
      <c r="K133" s="36">
        <v>36995381</v>
      </c>
      <c r="L133" s="38">
        <v>40078330</v>
      </c>
      <c r="M133" s="39"/>
      <c r="N133" s="36">
        <v>36995381</v>
      </c>
      <c r="O133" s="36">
        <v>25092007</v>
      </c>
      <c r="P133" s="36">
        <v>0</v>
      </c>
      <c r="Q133" s="36">
        <f>Q132*1936.27</f>
        <v>44594891.152783997</v>
      </c>
      <c r="R133" s="7"/>
      <c r="S133" s="7"/>
      <c r="T133" s="7"/>
      <c r="U133" s="7"/>
      <c r="V133" s="7"/>
      <c r="W133" s="7"/>
      <c r="X133" s="7"/>
      <c r="Y133" s="7"/>
      <c r="Z133" s="7"/>
    </row>
    <row r="134" spans="1:26" ht="12.75" customHeight="1" x14ac:dyDescent="0.2">
      <c r="A134" s="95"/>
      <c r="B134" s="95"/>
      <c r="C134" s="40" t="s">
        <v>36</v>
      </c>
      <c r="D134" s="41">
        <v>40</v>
      </c>
      <c r="E134" s="42">
        <v>11948.75</v>
      </c>
      <c r="F134" s="42">
        <v>1313.87</v>
      </c>
      <c r="G134" s="42">
        <v>0</v>
      </c>
      <c r="H134" s="42">
        <v>6147.58</v>
      </c>
      <c r="I134" s="42">
        <v>0</v>
      </c>
      <c r="J134" s="42">
        <v>1617.52</v>
      </c>
      <c r="K134" s="43">
        <v>19410.2</v>
      </c>
      <c r="L134" s="32">
        <v>21027.72</v>
      </c>
      <c r="M134" s="33"/>
      <c r="N134" s="30">
        <v>19410.2</v>
      </c>
      <c r="O134" s="30">
        <v>13262.62</v>
      </c>
      <c r="P134" s="30"/>
      <c r="Q134" s="30">
        <f>(N134+O134*0.18+J134)+(IF((P134-O134*0.18)&gt;0,(P134-O134*0.18),0))</f>
        <v>23414.991600000001</v>
      </c>
      <c r="R134" s="7"/>
      <c r="S134" s="7"/>
      <c r="T134" s="7"/>
      <c r="U134" s="7"/>
      <c r="V134" s="7"/>
      <c r="W134" s="7"/>
      <c r="X134" s="7"/>
      <c r="Y134" s="7"/>
      <c r="Z134" s="7"/>
    </row>
    <row r="135" spans="1:26" ht="12.75" customHeight="1" x14ac:dyDescent="0.2">
      <c r="A135" s="95"/>
      <c r="B135" s="95"/>
      <c r="C135" s="115"/>
      <c r="D135" s="45"/>
      <c r="E135" s="116"/>
      <c r="F135" s="116"/>
      <c r="G135" s="116"/>
      <c r="H135" s="116"/>
      <c r="I135" s="116"/>
      <c r="J135" s="117"/>
      <c r="K135" s="118"/>
      <c r="L135" s="119"/>
      <c r="M135" s="33"/>
      <c r="N135" s="116"/>
      <c r="O135" s="116"/>
      <c r="P135" s="116"/>
      <c r="Q135" s="116"/>
      <c r="R135" s="7"/>
      <c r="S135" s="7"/>
      <c r="T135" s="7"/>
      <c r="U135" s="7"/>
      <c r="V135" s="7"/>
      <c r="W135" s="7"/>
      <c r="X135" s="7"/>
      <c r="Y135" s="7"/>
      <c r="Z135" s="7"/>
    </row>
    <row r="136" spans="1:26" ht="12.75" customHeight="1" x14ac:dyDescent="0.2">
      <c r="A136" s="95"/>
      <c r="B136" s="95"/>
      <c r="C136" s="115"/>
      <c r="D136" s="45"/>
      <c r="E136" s="116"/>
      <c r="F136" s="116"/>
      <c r="G136" s="116"/>
      <c r="H136" s="116"/>
      <c r="I136" s="116"/>
      <c r="J136" s="117"/>
      <c r="K136" s="118"/>
      <c r="L136" s="119"/>
      <c r="M136" s="33"/>
      <c r="N136" s="116"/>
      <c r="O136" s="116"/>
      <c r="P136" s="116"/>
      <c r="Q136" s="116"/>
      <c r="R136" s="7"/>
      <c r="S136" s="7"/>
      <c r="T136" s="7"/>
      <c r="U136" s="7"/>
      <c r="V136" s="7"/>
      <c r="W136" s="7"/>
      <c r="X136" s="7"/>
      <c r="Y136" s="7"/>
      <c r="Z136" s="7"/>
    </row>
    <row r="137" spans="1:26" ht="9" customHeight="1" x14ac:dyDescent="0.2">
      <c r="A137" s="110"/>
      <c r="B137" s="110"/>
      <c r="C137" s="47"/>
      <c r="D137" s="48"/>
      <c r="E137" s="46">
        <v>23136006</v>
      </c>
      <c r="F137" s="46">
        <v>2544007</v>
      </c>
      <c r="G137" s="46">
        <v>0</v>
      </c>
      <c r="H137" s="46">
        <v>11903375</v>
      </c>
      <c r="I137" s="46">
        <v>0</v>
      </c>
      <c r="J137" s="49">
        <v>3131955</v>
      </c>
      <c r="K137" s="46">
        <v>37583388</v>
      </c>
      <c r="L137" s="38">
        <v>40715343</v>
      </c>
      <c r="M137" s="39"/>
      <c r="N137" s="36">
        <v>37583388</v>
      </c>
      <c r="O137" s="36">
        <v>25680013</v>
      </c>
      <c r="P137" s="36">
        <v>0</v>
      </c>
      <c r="Q137" s="36">
        <f>Q134*1936.27</f>
        <v>45337745.785332002</v>
      </c>
      <c r="R137" s="7"/>
      <c r="S137" s="7"/>
      <c r="T137" s="7"/>
      <c r="U137" s="7"/>
      <c r="V137" s="7"/>
      <c r="W137" s="7"/>
      <c r="X137" s="7"/>
      <c r="Y137" s="7"/>
      <c r="Z137" s="7"/>
    </row>
    <row r="138" spans="1:26" ht="12.75" customHeight="1" x14ac:dyDescent="0.2">
      <c r="A138" s="98">
        <v>33543</v>
      </c>
      <c r="B138" s="98">
        <v>33969</v>
      </c>
      <c r="C138" s="28" t="s">
        <v>36</v>
      </c>
      <c r="D138" s="29">
        <v>0</v>
      </c>
      <c r="E138" s="30">
        <v>5751.26</v>
      </c>
      <c r="F138" s="30">
        <v>632.14</v>
      </c>
      <c r="G138" s="30">
        <v>0</v>
      </c>
      <c r="H138" s="30">
        <v>6384.11</v>
      </c>
      <c r="I138" s="30">
        <v>0</v>
      </c>
      <c r="J138" s="30">
        <v>1063.96</v>
      </c>
      <c r="K138" s="31">
        <v>12767.51</v>
      </c>
      <c r="L138" s="32">
        <v>13831.47</v>
      </c>
      <c r="M138" s="33"/>
      <c r="N138" s="30">
        <v>12767.51</v>
      </c>
      <c r="O138" s="30">
        <v>6383.4</v>
      </c>
      <c r="P138" s="30"/>
      <c r="Q138" s="30">
        <f>(N138+O138*0.18+J138)+(IF((P138-O138*0.18)&gt;0,(P138-O138*0.18),0))</f>
        <v>14980.482</v>
      </c>
      <c r="R138" s="7"/>
      <c r="S138" s="7"/>
      <c r="T138" s="7"/>
      <c r="U138" s="7"/>
      <c r="V138" s="7"/>
      <c r="W138" s="7"/>
      <c r="X138" s="7"/>
      <c r="Y138" s="7"/>
      <c r="Z138" s="7"/>
    </row>
    <row r="139" spans="1:26" ht="9" customHeight="1" x14ac:dyDescent="0.2">
      <c r="A139" s="95"/>
      <c r="B139" s="95"/>
      <c r="C139" s="34" t="s">
        <v>37</v>
      </c>
      <c r="D139" s="35">
        <v>2</v>
      </c>
      <c r="E139" s="36">
        <v>11135992</v>
      </c>
      <c r="F139" s="36">
        <v>1223994</v>
      </c>
      <c r="G139" s="36">
        <v>0</v>
      </c>
      <c r="H139" s="36">
        <v>12361361</v>
      </c>
      <c r="I139" s="36">
        <v>0</v>
      </c>
      <c r="J139" s="37">
        <v>2060114</v>
      </c>
      <c r="K139" s="36">
        <v>24721347</v>
      </c>
      <c r="L139" s="38">
        <v>26781460</v>
      </c>
      <c r="M139" s="39"/>
      <c r="N139" s="36">
        <v>24721347</v>
      </c>
      <c r="O139" s="36">
        <v>12359986</v>
      </c>
      <c r="P139" s="36">
        <v>0</v>
      </c>
      <c r="Q139" s="36">
        <f>Q138*1936.27</f>
        <v>29006257.882139999</v>
      </c>
      <c r="R139" s="7"/>
      <c r="S139" s="7"/>
      <c r="T139" s="7"/>
      <c r="U139" s="7"/>
      <c r="V139" s="7"/>
      <c r="W139" s="7"/>
      <c r="X139" s="7"/>
      <c r="Y139" s="7"/>
      <c r="Z139" s="7"/>
    </row>
    <row r="140" spans="1:26" ht="12.75" customHeight="1" x14ac:dyDescent="0.2">
      <c r="A140" s="155">
        <v>33543</v>
      </c>
      <c r="B140" s="155">
        <v>33969</v>
      </c>
      <c r="C140" s="40" t="s">
        <v>36</v>
      </c>
      <c r="D140" s="41">
        <v>3</v>
      </c>
      <c r="E140" s="42">
        <v>6061.14</v>
      </c>
      <c r="F140" s="42">
        <v>663.13</v>
      </c>
      <c r="G140" s="42">
        <v>0</v>
      </c>
      <c r="H140" s="42">
        <v>6384.11</v>
      </c>
      <c r="I140" s="42">
        <v>0</v>
      </c>
      <c r="J140" s="42">
        <v>1092.3699999999999</v>
      </c>
      <c r="K140" s="43">
        <v>13108.38</v>
      </c>
      <c r="L140" s="32">
        <v>14200.75</v>
      </c>
      <c r="M140" s="33"/>
      <c r="N140" s="30">
        <v>13108.38</v>
      </c>
      <c r="O140" s="30">
        <v>6724.27</v>
      </c>
      <c r="P140" s="30"/>
      <c r="Q140" s="30">
        <f>(N140+O140*0.18+J140)+(IF((P140-O140*0.18)&gt;0,(P140-O140*0.18),0))</f>
        <v>15411.118599999998</v>
      </c>
      <c r="R140" s="7"/>
      <c r="S140" s="7"/>
      <c r="T140" s="7"/>
      <c r="U140" s="7"/>
      <c r="V140" s="7"/>
      <c r="W140" s="7"/>
      <c r="X140" s="7"/>
      <c r="Y140" s="7"/>
      <c r="Z140" s="7"/>
    </row>
    <row r="141" spans="1:26" ht="9" customHeight="1" x14ac:dyDescent="0.2">
      <c r="A141" s="95"/>
      <c r="B141" s="95"/>
      <c r="C141" s="34" t="s">
        <v>37</v>
      </c>
      <c r="D141" s="35">
        <v>4</v>
      </c>
      <c r="E141" s="36">
        <v>11736004</v>
      </c>
      <c r="F141" s="36">
        <v>1283999</v>
      </c>
      <c r="G141" s="36">
        <v>0</v>
      </c>
      <c r="H141" s="36">
        <v>12361361</v>
      </c>
      <c r="I141" s="36">
        <v>0</v>
      </c>
      <c r="J141" s="37">
        <v>2115123</v>
      </c>
      <c r="K141" s="36">
        <v>25381363</v>
      </c>
      <c r="L141" s="38">
        <v>27496486</v>
      </c>
      <c r="M141" s="39"/>
      <c r="N141" s="36">
        <v>25381363</v>
      </c>
      <c r="O141" s="36">
        <v>13020002</v>
      </c>
      <c r="P141" s="36">
        <v>0</v>
      </c>
      <c r="Q141" s="36">
        <f>Q140*1936.27</f>
        <v>29840086.611621995</v>
      </c>
      <c r="R141" s="7"/>
      <c r="S141" s="7"/>
      <c r="T141" s="7"/>
      <c r="U141" s="7"/>
      <c r="V141" s="7"/>
      <c r="W141" s="7"/>
      <c r="X141" s="7"/>
      <c r="Y141" s="7"/>
      <c r="Z141" s="7"/>
    </row>
    <row r="142" spans="1:26" ht="12.75" customHeight="1" x14ac:dyDescent="0.2">
      <c r="A142" s="95"/>
      <c r="B142" s="95"/>
      <c r="C142" s="40" t="s">
        <v>36</v>
      </c>
      <c r="D142" s="41">
        <v>5</v>
      </c>
      <c r="E142" s="42">
        <v>6371.01</v>
      </c>
      <c r="F142" s="42">
        <v>700.32</v>
      </c>
      <c r="G142" s="42">
        <v>0</v>
      </c>
      <c r="H142" s="42">
        <v>6384.11</v>
      </c>
      <c r="I142" s="42">
        <v>0</v>
      </c>
      <c r="J142" s="42">
        <v>1121.29</v>
      </c>
      <c r="K142" s="43">
        <v>13455.44</v>
      </c>
      <c r="L142" s="32">
        <v>14576.73</v>
      </c>
      <c r="M142" s="33"/>
      <c r="N142" s="30">
        <v>13455.44</v>
      </c>
      <c r="O142" s="30">
        <v>7071.33</v>
      </c>
      <c r="P142" s="30"/>
      <c r="Q142" s="30">
        <f>(N142+O142*0.18+J142)+(IF((P142-O142*0.18)&gt;0,(P142-O142*0.18),0))</f>
        <v>15849.5694</v>
      </c>
      <c r="R142" s="7"/>
      <c r="S142" s="7"/>
      <c r="T142" s="7"/>
      <c r="U142" s="7"/>
      <c r="V142" s="7"/>
      <c r="W142" s="7"/>
      <c r="X142" s="7"/>
      <c r="Y142" s="7"/>
      <c r="Z142" s="7"/>
    </row>
    <row r="143" spans="1:26" ht="9" customHeight="1" x14ac:dyDescent="0.2">
      <c r="A143" s="95"/>
      <c r="B143" s="95"/>
      <c r="C143" s="34" t="s">
        <v>37</v>
      </c>
      <c r="D143" s="35">
        <v>6</v>
      </c>
      <c r="E143" s="36">
        <v>12335996</v>
      </c>
      <c r="F143" s="36">
        <v>1356009</v>
      </c>
      <c r="G143" s="36">
        <v>0</v>
      </c>
      <c r="H143" s="36">
        <v>12361361</v>
      </c>
      <c r="I143" s="36">
        <v>0</v>
      </c>
      <c r="J143" s="37">
        <v>2171120</v>
      </c>
      <c r="K143" s="36">
        <v>26053365</v>
      </c>
      <c r="L143" s="38">
        <v>28224485</v>
      </c>
      <c r="M143" s="39"/>
      <c r="N143" s="36">
        <v>26053365</v>
      </c>
      <c r="O143" s="36">
        <v>13692004</v>
      </c>
      <c r="P143" s="36">
        <v>0</v>
      </c>
      <c r="Q143" s="36">
        <f>Q142*1936.27</f>
        <v>30689045.742138002</v>
      </c>
      <c r="R143" s="7"/>
      <c r="S143" s="7"/>
      <c r="T143" s="7"/>
      <c r="U143" s="7"/>
      <c r="V143" s="7"/>
      <c r="W143" s="7"/>
      <c r="X143" s="7"/>
      <c r="Y143" s="7"/>
      <c r="Z143" s="7"/>
    </row>
    <row r="144" spans="1:26" ht="12.75" customHeight="1" x14ac:dyDescent="0.2">
      <c r="A144" s="95"/>
      <c r="B144" s="95"/>
      <c r="C144" s="40" t="s">
        <v>36</v>
      </c>
      <c r="D144" s="41">
        <v>7</v>
      </c>
      <c r="E144" s="42">
        <v>6674.69</v>
      </c>
      <c r="F144" s="42">
        <v>731.3</v>
      </c>
      <c r="G144" s="42">
        <v>0</v>
      </c>
      <c r="H144" s="42">
        <v>6384.11</v>
      </c>
      <c r="I144" s="42">
        <v>0</v>
      </c>
      <c r="J144" s="42">
        <v>1149.18</v>
      </c>
      <c r="K144" s="43">
        <v>13790.1</v>
      </c>
      <c r="L144" s="32">
        <v>14939.28</v>
      </c>
      <c r="M144" s="33"/>
      <c r="N144" s="30">
        <v>13790.1</v>
      </c>
      <c r="O144" s="30">
        <v>7405.99</v>
      </c>
      <c r="P144" s="30"/>
      <c r="Q144" s="30">
        <f>(N144+O144*0.18+J144)+(IF((P144-O144*0.18)&gt;0,(P144-O144*0.18),0))</f>
        <v>16272.358200000001</v>
      </c>
      <c r="R144" s="7"/>
      <c r="S144" s="7"/>
      <c r="T144" s="7"/>
      <c r="U144" s="7"/>
      <c r="V144" s="7"/>
      <c r="W144" s="7"/>
      <c r="X144" s="7"/>
      <c r="Y144" s="7"/>
      <c r="Z144" s="7"/>
    </row>
    <row r="145" spans="1:26" ht="9" customHeight="1" x14ac:dyDescent="0.2">
      <c r="A145" s="95"/>
      <c r="B145" s="95"/>
      <c r="C145" s="34" t="s">
        <v>37</v>
      </c>
      <c r="D145" s="35">
        <v>8</v>
      </c>
      <c r="E145" s="36">
        <v>12924002</v>
      </c>
      <c r="F145" s="36">
        <v>1415994</v>
      </c>
      <c r="G145" s="36">
        <v>0</v>
      </c>
      <c r="H145" s="36">
        <v>12361361</v>
      </c>
      <c r="I145" s="36">
        <v>0</v>
      </c>
      <c r="J145" s="37">
        <v>2225123</v>
      </c>
      <c r="K145" s="36">
        <v>26701357</v>
      </c>
      <c r="L145" s="38">
        <v>28926480</v>
      </c>
      <c r="M145" s="39"/>
      <c r="N145" s="36">
        <v>26701357</v>
      </c>
      <c r="O145" s="36">
        <v>14339996</v>
      </c>
      <c r="P145" s="36">
        <v>0</v>
      </c>
      <c r="Q145" s="36">
        <f>Q144*1936.27</f>
        <v>31507679.011914</v>
      </c>
      <c r="R145" s="7"/>
      <c r="S145" s="7"/>
      <c r="T145" s="7"/>
      <c r="U145" s="7"/>
      <c r="V145" s="7"/>
      <c r="W145" s="7"/>
      <c r="X145" s="7"/>
      <c r="Y145" s="7"/>
      <c r="Z145" s="7"/>
    </row>
    <row r="146" spans="1:26" ht="12.75" customHeight="1" x14ac:dyDescent="0.2">
      <c r="A146" s="95"/>
      <c r="B146" s="95"/>
      <c r="C146" s="40" t="s">
        <v>36</v>
      </c>
      <c r="D146" s="41">
        <v>9</v>
      </c>
      <c r="E146" s="42">
        <v>7027.95</v>
      </c>
      <c r="F146" s="42">
        <v>768.49</v>
      </c>
      <c r="G146" s="42">
        <v>0</v>
      </c>
      <c r="H146" s="42">
        <v>6384.11</v>
      </c>
      <c r="I146" s="42">
        <v>0</v>
      </c>
      <c r="J146" s="42">
        <v>1181.71</v>
      </c>
      <c r="K146" s="43">
        <v>14180.55</v>
      </c>
      <c r="L146" s="32">
        <v>15362.26</v>
      </c>
      <c r="M146" s="33"/>
      <c r="N146" s="30">
        <v>14180.55</v>
      </c>
      <c r="O146" s="30">
        <v>7796.44</v>
      </c>
      <c r="P146" s="30"/>
      <c r="Q146" s="30">
        <f>(N146+O146*0.18+J146)+(IF((P146-O146*0.18)&gt;0,(P146-O146*0.18),0))</f>
        <v>16765.619199999997</v>
      </c>
      <c r="R146" s="7"/>
      <c r="S146" s="7"/>
      <c r="T146" s="7"/>
      <c r="U146" s="7"/>
      <c r="V146" s="7"/>
      <c r="W146" s="7"/>
      <c r="X146" s="7"/>
      <c r="Y146" s="7"/>
      <c r="Z146" s="7"/>
    </row>
    <row r="147" spans="1:26" ht="9" customHeight="1" x14ac:dyDescent="0.2">
      <c r="A147" s="95"/>
      <c r="B147" s="95"/>
      <c r="C147" s="34" t="s">
        <v>37</v>
      </c>
      <c r="D147" s="35">
        <v>10</v>
      </c>
      <c r="E147" s="36">
        <v>13608009</v>
      </c>
      <c r="F147" s="36">
        <v>1488004</v>
      </c>
      <c r="G147" s="36">
        <v>0</v>
      </c>
      <c r="H147" s="36">
        <v>12361361</v>
      </c>
      <c r="I147" s="36">
        <v>0</v>
      </c>
      <c r="J147" s="37">
        <v>2288110</v>
      </c>
      <c r="K147" s="36">
        <v>27457374</v>
      </c>
      <c r="L147" s="38">
        <v>29745483</v>
      </c>
      <c r="M147" s="39"/>
      <c r="N147" s="36">
        <v>27457374</v>
      </c>
      <c r="O147" s="36">
        <v>15096013</v>
      </c>
      <c r="P147" s="36">
        <v>0</v>
      </c>
      <c r="Q147" s="36">
        <f>Q146*1936.27</f>
        <v>32462765.488383994</v>
      </c>
      <c r="R147" s="7"/>
      <c r="S147" s="7"/>
      <c r="T147" s="7"/>
      <c r="U147" s="7"/>
      <c r="V147" s="7"/>
      <c r="W147" s="7"/>
      <c r="X147" s="7"/>
      <c r="Y147" s="7"/>
      <c r="Z147" s="7"/>
    </row>
    <row r="148" spans="1:26" ht="12.75" customHeight="1" x14ac:dyDescent="0.2">
      <c r="A148" s="95"/>
      <c r="B148" s="95"/>
      <c r="C148" s="40" t="s">
        <v>36</v>
      </c>
      <c r="D148" s="41">
        <v>11</v>
      </c>
      <c r="E148" s="42">
        <v>7387.4</v>
      </c>
      <c r="F148" s="42">
        <v>811.87</v>
      </c>
      <c r="G148" s="42">
        <v>0</v>
      </c>
      <c r="H148" s="42">
        <v>6384.11</v>
      </c>
      <c r="I148" s="42">
        <v>0</v>
      </c>
      <c r="J148" s="42">
        <v>1215.28</v>
      </c>
      <c r="K148" s="43">
        <v>14583.38</v>
      </c>
      <c r="L148" s="32">
        <v>15798.66</v>
      </c>
      <c r="M148" s="33"/>
      <c r="N148" s="30">
        <v>14583.38</v>
      </c>
      <c r="O148" s="30">
        <v>8199.27</v>
      </c>
      <c r="P148" s="30"/>
      <c r="Q148" s="30">
        <f>(N148+O148*0.18+J148)+(IF((P148-O148*0.18)&gt;0,(P148-O148*0.18),0))</f>
        <v>17274.528599999998</v>
      </c>
      <c r="R148" s="7"/>
      <c r="S148" s="7"/>
      <c r="T148" s="7"/>
      <c r="U148" s="7"/>
      <c r="V148" s="7"/>
      <c r="W148" s="7"/>
      <c r="X148" s="7"/>
      <c r="Y148" s="7"/>
      <c r="Z148" s="7"/>
    </row>
    <row r="149" spans="1:26" ht="9" customHeight="1" x14ac:dyDescent="0.2">
      <c r="A149" s="95"/>
      <c r="B149" s="95"/>
      <c r="C149" s="34" t="s">
        <v>37</v>
      </c>
      <c r="D149" s="35">
        <v>12</v>
      </c>
      <c r="E149" s="36">
        <v>14304001</v>
      </c>
      <c r="F149" s="36">
        <v>1572000</v>
      </c>
      <c r="G149" s="36">
        <v>0</v>
      </c>
      <c r="H149" s="36">
        <v>12361361</v>
      </c>
      <c r="I149" s="36">
        <v>0</v>
      </c>
      <c r="J149" s="37">
        <v>2353110</v>
      </c>
      <c r="K149" s="36">
        <v>28237361</v>
      </c>
      <c r="L149" s="38">
        <v>30590471</v>
      </c>
      <c r="M149" s="39"/>
      <c r="N149" s="36">
        <v>28237361</v>
      </c>
      <c r="O149" s="36">
        <v>15876001</v>
      </c>
      <c r="P149" s="36">
        <v>0</v>
      </c>
      <c r="Q149" s="36">
        <f>Q148*1936.27</f>
        <v>33448151.492321994</v>
      </c>
      <c r="R149" s="7"/>
      <c r="S149" s="7"/>
      <c r="T149" s="7"/>
      <c r="U149" s="7"/>
      <c r="V149" s="7"/>
      <c r="W149" s="7"/>
      <c r="X149" s="7"/>
      <c r="Y149" s="7"/>
      <c r="Z149" s="7"/>
    </row>
    <row r="150" spans="1:26" ht="12.75" customHeight="1" x14ac:dyDescent="0.2">
      <c r="A150" s="95"/>
      <c r="B150" s="95"/>
      <c r="C150" s="40" t="s">
        <v>36</v>
      </c>
      <c r="D150" s="41">
        <v>13</v>
      </c>
      <c r="E150" s="42">
        <v>7740.66</v>
      </c>
      <c r="F150" s="42">
        <v>849.06</v>
      </c>
      <c r="G150" s="42">
        <v>0</v>
      </c>
      <c r="H150" s="42">
        <v>6384.11</v>
      </c>
      <c r="I150" s="42">
        <v>0</v>
      </c>
      <c r="J150" s="42">
        <v>1247.82</v>
      </c>
      <c r="K150" s="43">
        <v>14973.83</v>
      </c>
      <c r="L150" s="32">
        <v>16221.65</v>
      </c>
      <c r="M150" s="33"/>
      <c r="N150" s="30">
        <v>14973.83</v>
      </c>
      <c r="O150" s="30">
        <v>8589.7199999999993</v>
      </c>
      <c r="P150" s="30"/>
      <c r="Q150" s="30">
        <f>(N150+O150*0.18+J150)+(IF((P150-O150*0.18)&gt;0,(P150-O150*0.18),0))</f>
        <v>17767.799599999998</v>
      </c>
      <c r="R150" s="7"/>
      <c r="S150" s="7"/>
      <c r="T150" s="7"/>
      <c r="U150" s="7"/>
      <c r="V150" s="7"/>
      <c r="W150" s="7"/>
      <c r="X150" s="7"/>
      <c r="Y150" s="7"/>
      <c r="Z150" s="7"/>
    </row>
    <row r="151" spans="1:26" ht="9" customHeight="1" x14ac:dyDescent="0.2">
      <c r="A151" s="95"/>
      <c r="B151" s="95"/>
      <c r="C151" s="34" t="s">
        <v>37</v>
      </c>
      <c r="D151" s="35">
        <v>14</v>
      </c>
      <c r="E151" s="36">
        <v>14988008</v>
      </c>
      <c r="F151" s="36">
        <v>1644009</v>
      </c>
      <c r="G151" s="36">
        <v>0</v>
      </c>
      <c r="H151" s="36">
        <v>12361361</v>
      </c>
      <c r="I151" s="36">
        <v>0</v>
      </c>
      <c r="J151" s="37">
        <v>2416116</v>
      </c>
      <c r="K151" s="36">
        <v>28993378</v>
      </c>
      <c r="L151" s="38">
        <v>31409494</v>
      </c>
      <c r="M151" s="39"/>
      <c r="N151" s="36">
        <v>28993378</v>
      </c>
      <c r="O151" s="36">
        <v>16632017</v>
      </c>
      <c r="P151" s="36">
        <v>0</v>
      </c>
      <c r="Q151" s="36">
        <f>Q150*1936.27</f>
        <v>34403257.331491999</v>
      </c>
      <c r="R151" s="7"/>
      <c r="S151" s="7"/>
      <c r="T151" s="7"/>
      <c r="U151" s="7"/>
      <c r="V151" s="7"/>
      <c r="W151" s="7"/>
      <c r="X151" s="7"/>
      <c r="Y151" s="7"/>
      <c r="Z151" s="7"/>
    </row>
    <row r="152" spans="1:26" ht="12.75" customHeight="1" x14ac:dyDescent="0.2">
      <c r="A152" s="95"/>
      <c r="B152" s="95"/>
      <c r="C152" s="40" t="s">
        <v>36</v>
      </c>
      <c r="D152" s="41">
        <v>15</v>
      </c>
      <c r="E152" s="42">
        <v>8155.89</v>
      </c>
      <c r="F152" s="42">
        <v>892.44</v>
      </c>
      <c r="G152" s="42">
        <v>0</v>
      </c>
      <c r="H152" s="42">
        <v>6384.11</v>
      </c>
      <c r="I152" s="42">
        <v>0</v>
      </c>
      <c r="J152" s="42">
        <v>1286.04</v>
      </c>
      <c r="K152" s="43">
        <v>15432.44</v>
      </c>
      <c r="L152" s="32">
        <v>16718.48</v>
      </c>
      <c r="M152" s="33"/>
      <c r="N152" s="30">
        <v>15432.44</v>
      </c>
      <c r="O152" s="30">
        <v>9048.33</v>
      </c>
      <c r="P152" s="30"/>
      <c r="Q152" s="30">
        <f>(N152+O152*0.18+J152)+(IF((P152-O152*0.18)&gt;0,(P152-O152*0.18),0))</f>
        <v>18347.179400000001</v>
      </c>
      <c r="R152" s="7"/>
      <c r="S152" s="7"/>
      <c r="T152" s="7"/>
      <c r="U152" s="7"/>
      <c r="V152" s="7"/>
      <c r="W152" s="7"/>
      <c r="X152" s="7"/>
      <c r="Y152" s="7"/>
      <c r="Z152" s="7"/>
    </row>
    <row r="153" spans="1:26" ht="9" customHeight="1" x14ac:dyDescent="0.2">
      <c r="A153" s="95"/>
      <c r="B153" s="95"/>
      <c r="C153" s="34" t="s">
        <v>37</v>
      </c>
      <c r="D153" s="35">
        <v>16</v>
      </c>
      <c r="E153" s="36">
        <v>15792005</v>
      </c>
      <c r="F153" s="36">
        <v>1728005</v>
      </c>
      <c r="G153" s="36">
        <v>0</v>
      </c>
      <c r="H153" s="36">
        <v>12361361</v>
      </c>
      <c r="I153" s="36">
        <v>0</v>
      </c>
      <c r="J153" s="37">
        <v>2490121</v>
      </c>
      <c r="K153" s="36">
        <v>29881371</v>
      </c>
      <c r="L153" s="38">
        <v>32371491</v>
      </c>
      <c r="M153" s="39"/>
      <c r="N153" s="36">
        <v>29881371</v>
      </c>
      <c r="O153" s="36">
        <v>17520010</v>
      </c>
      <c r="P153" s="36">
        <v>0</v>
      </c>
      <c r="Q153" s="36">
        <f>Q152*1936.27</f>
        <v>35525093.056837998</v>
      </c>
      <c r="R153" s="7"/>
      <c r="S153" s="7"/>
      <c r="T153" s="7"/>
      <c r="U153" s="7"/>
      <c r="V153" s="7"/>
      <c r="W153" s="7"/>
      <c r="X153" s="7"/>
      <c r="Y153" s="7"/>
      <c r="Z153" s="7"/>
    </row>
    <row r="154" spans="1:26" ht="12.75" customHeight="1" x14ac:dyDescent="0.2">
      <c r="A154" s="95"/>
      <c r="B154" s="95"/>
      <c r="C154" s="40" t="s">
        <v>36</v>
      </c>
      <c r="D154" s="41">
        <v>17</v>
      </c>
      <c r="E154" s="42">
        <v>8571.1200000000008</v>
      </c>
      <c r="F154" s="42">
        <v>942.02</v>
      </c>
      <c r="G154" s="42">
        <v>0</v>
      </c>
      <c r="H154" s="42">
        <v>6384.11</v>
      </c>
      <c r="I154" s="42">
        <v>0</v>
      </c>
      <c r="J154" s="42">
        <v>1324.77</v>
      </c>
      <c r="K154" s="43">
        <v>15897.25</v>
      </c>
      <c r="L154" s="32">
        <v>17222.02</v>
      </c>
      <c r="M154" s="33"/>
      <c r="N154" s="30">
        <v>15897.25</v>
      </c>
      <c r="O154" s="30">
        <v>9513.14</v>
      </c>
      <c r="P154" s="30"/>
      <c r="Q154" s="30">
        <f>(N154+O154*0.18+J154)+(IF((P154-O154*0.18)&gt;0,(P154-O154*0.18),0))</f>
        <v>18934.385200000001</v>
      </c>
      <c r="R154" s="7"/>
      <c r="S154" s="7"/>
      <c r="T154" s="7"/>
      <c r="U154" s="7"/>
      <c r="V154" s="7"/>
      <c r="W154" s="7"/>
      <c r="X154" s="7"/>
      <c r="Y154" s="7"/>
      <c r="Z154" s="7"/>
    </row>
    <row r="155" spans="1:26" ht="9" customHeight="1" x14ac:dyDescent="0.2">
      <c r="A155" s="95"/>
      <c r="B155" s="95"/>
      <c r="C155" s="34" t="s">
        <v>37</v>
      </c>
      <c r="D155" s="35">
        <v>18</v>
      </c>
      <c r="E155" s="36">
        <v>16596003</v>
      </c>
      <c r="F155" s="36">
        <v>1824005</v>
      </c>
      <c r="G155" s="36">
        <v>0</v>
      </c>
      <c r="H155" s="36">
        <v>12361361</v>
      </c>
      <c r="I155" s="36">
        <v>0</v>
      </c>
      <c r="J155" s="37">
        <v>2565112</v>
      </c>
      <c r="K155" s="36">
        <v>30781368</v>
      </c>
      <c r="L155" s="38">
        <v>33346481</v>
      </c>
      <c r="M155" s="39"/>
      <c r="N155" s="36">
        <v>30781368</v>
      </c>
      <c r="O155" s="36">
        <v>18420008</v>
      </c>
      <c r="P155" s="36">
        <v>0</v>
      </c>
      <c r="Q155" s="36">
        <f>Q154*1936.27</f>
        <v>36662082.031204</v>
      </c>
      <c r="R155" s="7"/>
      <c r="S155" s="7"/>
      <c r="T155" s="7"/>
      <c r="U155" s="7"/>
      <c r="V155" s="7"/>
      <c r="W155" s="7"/>
      <c r="X155" s="7"/>
      <c r="Y155" s="7"/>
      <c r="Z155" s="7"/>
    </row>
    <row r="156" spans="1:26" ht="12.75" customHeight="1" x14ac:dyDescent="0.2">
      <c r="A156" s="95"/>
      <c r="B156" s="95"/>
      <c r="C156" s="40" t="s">
        <v>36</v>
      </c>
      <c r="D156" s="41">
        <v>19</v>
      </c>
      <c r="E156" s="42">
        <v>8980.15</v>
      </c>
      <c r="F156" s="42">
        <v>985.4</v>
      </c>
      <c r="G156" s="42">
        <v>0</v>
      </c>
      <c r="H156" s="42">
        <v>6384.11</v>
      </c>
      <c r="I156" s="42">
        <v>0</v>
      </c>
      <c r="J156" s="42">
        <v>1362.47</v>
      </c>
      <c r="K156" s="43">
        <v>16349.66</v>
      </c>
      <c r="L156" s="32">
        <v>17712.13</v>
      </c>
      <c r="M156" s="33"/>
      <c r="N156" s="30">
        <v>16349.66</v>
      </c>
      <c r="O156" s="30">
        <v>9965.5499999999993</v>
      </c>
      <c r="P156" s="30"/>
      <c r="Q156" s="30">
        <f>(N156+O156*0.18+J156)+(IF((P156-O156*0.18)&gt;0,(P156-O156*0.18),0))</f>
        <v>19505.929</v>
      </c>
      <c r="R156" s="7"/>
      <c r="S156" s="7"/>
      <c r="T156" s="7"/>
      <c r="U156" s="7"/>
      <c r="V156" s="7"/>
      <c r="W156" s="7"/>
      <c r="X156" s="7"/>
      <c r="Y156" s="7"/>
      <c r="Z156" s="7"/>
    </row>
    <row r="157" spans="1:26" ht="9" customHeight="1" x14ac:dyDescent="0.2">
      <c r="A157" s="95"/>
      <c r="B157" s="95"/>
      <c r="C157" s="34" t="s">
        <v>37</v>
      </c>
      <c r="D157" s="35">
        <v>20</v>
      </c>
      <c r="E157" s="36">
        <v>17387995</v>
      </c>
      <c r="F157" s="36">
        <v>1908000</v>
      </c>
      <c r="G157" s="36">
        <v>0</v>
      </c>
      <c r="H157" s="36">
        <v>12361361</v>
      </c>
      <c r="I157" s="36">
        <v>0</v>
      </c>
      <c r="J157" s="37">
        <v>2638110</v>
      </c>
      <c r="K157" s="36">
        <v>31657356</v>
      </c>
      <c r="L157" s="38">
        <v>34295466</v>
      </c>
      <c r="M157" s="39"/>
      <c r="N157" s="36">
        <v>31657356</v>
      </c>
      <c r="O157" s="36">
        <v>19295995</v>
      </c>
      <c r="P157" s="36">
        <v>0</v>
      </c>
      <c r="Q157" s="36">
        <f>Q156*1936.27</f>
        <v>37768745.144830003</v>
      </c>
      <c r="R157" s="7"/>
      <c r="S157" s="7"/>
      <c r="T157" s="7"/>
      <c r="U157" s="7"/>
      <c r="V157" s="7"/>
      <c r="W157" s="7"/>
      <c r="X157" s="7"/>
      <c r="Y157" s="7"/>
      <c r="Z157" s="7"/>
    </row>
    <row r="158" spans="1:26" ht="12.75" customHeight="1" x14ac:dyDescent="0.2">
      <c r="A158" s="95"/>
      <c r="B158" s="95"/>
      <c r="C158" s="40" t="s">
        <v>36</v>
      </c>
      <c r="D158" s="41">
        <v>21</v>
      </c>
      <c r="E158" s="42">
        <v>9252.84</v>
      </c>
      <c r="F158" s="42">
        <v>1016.39</v>
      </c>
      <c r="G158" s="42">
        <v>0</v>
      </c>
      <c r="H158" s="42">
        <v>6384.11</v>
      </c>
      <c r="I158" s="42">
        <v>0</v>
      </c>
      <c r="J158" s="42">
        <v>1387.78</v>
      </c>
      <c r="K158" s="43">
        <v>16653.34</v>
      </c>
      <c r="L158" s="32">
        <v>18041.12</v>
      </c>
      <c r="M158" s="33"/>
      <c r="N158" s="30">
        <v>16653.34</v>
      </c>
      <c r="O158" s="30">
        <v>10269.23</v>
      </c>
      <c r="P158" s="30"/>
      <c r="Q158" s="30">
        <f>(N158+O158*0.18+J158)+(IF((P158-O158*0.18)&gt;0,(P158-O158*0.18),0))</f>
        <v>19889.581399999999</v>
      </c>
      <c r="R158" s="7"/>
      <c r="S158" s="7"/>
      <c r="T158" s="7"/>
      <c r="U158" s="7"/>
      <c r="V158" s="7"/>
      <c r="W158" s="7"/>
      <c r="X158" s="7"/>
      <c r="Y158" s="7"/>
      <c r="Z158" s="7"/>
    </row>
    <row r="159" spans="1:26" ht="9" customHeight="1" x14ac:dyDescent="0.2">
      <c r="A159" s="95"/>
      <c r="B159" s="95"/>
      <c r="C159" s="34" t="s">
        <v>37</v>
      </c>
      <c r="D159" s="35">
        <v>22</v>
      </c>
      <c r="E159" s="36">
        <v>17915997</v>
      </c>
      <c r="F159" s="36">
        <v>1968005</v>
      </c>
      <c r="G159" s="36">
        <v>0</v>
      </c>
      <c r="H159" s="36">
        <v>12361361</v>
      </c>
      <c r="I159" s="36">
        <v>0</v>
      </c>
      <c r="J159" s="37">
        <v>2687117</v>
      </c>
      <c r="K159" s="36">
        <v>32245363</v>
      </c>
      <c r="L159" s="38">
        <v>34932479</v>
      </c>
      <c r="M159" s="39"/>
      <c r="N159" s="36">
        <v>32245363</v>
      </c>
      <c r="O159" s="36">
        <v>19884002</v>
      </c>
      <c r="P159" s="36">
        <v>0</v>
      </c>
      <c r="Q159" s="36">
        <f>Q158*1936.27</f>
        <v>38511599.777378</v>
      </c>
      <c r="R159" s="7"/>
      <c r="S159" s="7"/>
      <c r="T159" s="7"/>
      <c r="U159" s="7"/>
      <c r="V159" s="7"/>
      <c r="W159" s="7"/>
      <c r="X159" s="7"/>
      <c r="Y159" s="7"/>
      <c r="Z159" s="7"/>
    </row>
    <row r="160" spans="1:26" ht="12.75" customHeight="1" x14ac:dyDescent="0.2">
      <c r="A160" s="95"/>
      <c r="B160" s="95"/>
      <c r="C160" s="40" t="s">
        <v>36</v>
      </c>
      <c r="D160" s="41">
        <v>23</v>
      </c>
      <c r="E160" s="42">
        <v>9519.33</v>
      </c>
      <c r="F160" s="42">
        <v>1047.3699999999999</v>
      </c>
      <c r="G160" s="42">
        <v>0</v>
      </c>
      <c r="H160" s="42">
        <v>6384.11</v>
      </c>
      <c r="I160" s="42">
        <v>0</v>
      </c>
      <c r="J160" s="42">
        <v>1412.57</v>
      </c>
      <c r="K160" s="43">
        <v>16950.810000000001</v>
      </c>
      <c r="L160" s="32">
        <v>18363.38</v>
      </c>
      <c r="M160" s="33"/>
      <c r="N160" s="30">
        <v>16950.810000000001</v>
      </c>
      <c r="O160" s="30">
        <v>10566.7</v>
      </c>
      <c r="P160" s="30"/>
      <c r="Q160" s="30">
        <f>(N160+O160*0.18+J160)+(IF((P160-O160*0.18)&gt;0,(P160-O160*0.18),0))</f>
        <v>20265.386000000002</v>
      </c>
      <c r="R160" s="7"/>
      <c r="S160" s="7"/>
      <c r="T160" s="7"/>
      <c r="U160" s="7"/>
      <c r="V160" s="7"/>
      <c r="W160" s="7"/>
      <c r="X160" s="7"/>
      <c r="Y160" s="7"/>
      <c r="Z160" s="7"/>
    </row>
    <row r="161" spans="1:26" ht="9" customHeight="1" x14ac:dyDescent="0.2">
      <c r="A161" s="95"/>
      <c r="B161" s="95"/>
      <c r="C161" s="34" t="s">
        <v>37</v>
      </c>
      <c r="D161" s="35">
        <v>23</v>
      </c>
      <c r="E161" s="36">
        <v>18431993</v>
      </c>
      <c r="F161" s="36">
        <v>2027991</v>
      </c>
      <c r="G161" s="36">
        <v>0</v>
      </c>
      <c r="H161" s="36">
        <v>12361361</v>
      </c>
      <c r="I161" s="36">
        <v>0</v>
      </c>
      <c r="J161" s="37">
        <v>2735117</v>
      </c>
      <c r="K161" s="36">
        <v>32821345</v>
      </c>
      <c r="L161" s="38">
        <v>35556462</v>
      </c>
      <c r="M161" s="39"/>
      <c r="N161" s="36">
        <v>32821345</v>
      </c>
      <c r="O161" s="36">
        <v>20459984</v>
      </c>
      <c r="P161" s="36">
        <v>0</v>
      </c>
      <c r="Q161" s="36">
        <f>Q160*1936.27</f>
        <v>39239258.950220004</v>
      </c>
      <c r="R161" s="7"/>
      <c r="S161" s="7"/>
      <c r="T161" s="7"/>
      <c r="U161" s="7"/>
      <c r="V161" s="7"/>
      <c r="W161" s="7"/>
      <c r="X161" s="7"/>
      <c r="Y161" s="7"/>
      <c r="Z161" s="7"/>
    </row>
    <row r="162" spans="1:26" ht="12.75" customHeight="1" x14ac:dyDescent="0.2">
      <c r="A162" s="95"/>
      <c r="B162" s="95"/>
      <c r="C162" s="40" t="s">
        <v>36</v>
      </c>
      <c r="D162" s="41">
        <v>24</v>
      </c>
      <c r="E162" s="42">
        <v>9792.02</v>
      </c>
      <c r="F162" s="42">
        <v>1072.1600000000001</v>
      </c>
      <c r="G162" s="42">
        <v>0</v>
      </c>
      <c r="H162" s="42">
        <v>6384.11</v>
      </c>
      <c r="I162" s="42">
        <v>0</v>
      </c>
      <c r="J162" s="42">
        <v>1437.36</v>
      </c>
      <c r="K162" s="43">
        <v>17248.29</v>
      </c>
      <c r="L162" s="32">
        <v>18685.650000000001</v>
      </c>
      <c r="M162" s="33"/>
      <c r="N162" s="30">
        <v>17248.29</v>
      </c>
      <c r="O162" s="30">
        <v>10864.18</v>
      </c>
      <c r="P162" s="30"/>
      <c r="Q162" s="30">
        <f>(N162+O162*0.18+J162)+(IF((P162-O162*0.18)&gt;0,(P162-O162*0.18),0))</f>
        <v>20641.202400000002</v>
      </c>
      <c r="R162" s="7"/>
      <c r="S162" s="7"/>
      <c r="T162" s="7"/>
      <c r="U162" s="7"/>
      <c r="V162" s="7"/>
      <c r="W162" s="7"/>
      <c r="X162" s="7"/>
      <c r="Y162" s="7"/>
      <c r="Z162" s="7"/>
    </row>
    <row r="163" spans="1:26" ht="9" customHeight="1" x14ac:dyDescent="0.2">
      <c r="A163" s="95"/>
      <c r="B163" s="95"/>
      <c r="C163" s="34" t="s">
        <v>37</v>
      </c>
      <c r="D163" s="35">
        <v>25</v>
      </c>
      <c r="E163" s="36">
        <v>18959995</v>
      </c>
      <c r="F163" s="36">
        <v>2075991</v>
      </c>
      <c r="G163" s="36">
        <v>0</v>
      </c>
      <c r="H163" s="36">
        <v>12361361</v>
      </c>
      <c r="I163" s="36">
        <v>0</v>
      </c>
      <c r="J163" s="37">
        <v>2783117</v>
      </c>
      <c r="K163" s="36">
        <v>33397346</v>
      </c>
      <c r="L163" s="38">
        <v>36180464</v>
      </c>
      <c r="M163" s="39"/>
      <c r="N163" s="36">
        <v>33397346</v>
      </c>
      <c r="O163" s="36">
        <v>21035986</v>
      </c>
      <c r="P163" s="36">
        <v>0</v>
      </c>
      <c r="Q163" s="36">
        <f>Q162*1936.27</f>
        <v>39966940.971048005</v>
      </c>
      <c r="R163" s="7"/>
      <c r="S163" s="7"/>
      <c r="T163" s="7"/>
      <c r="U163" s="7"/>
      <c r="V163" s="7"/>
      <c r="W163" s="7"/>
      <c r="X163" s="7"/>
      <c r="Y163" s="7"/>
      <c r="Z163" s="7"/>
    </row>
    <row r="164" spans="1:26" ht="12.75" customHeight="1" x14ac:dyDescent="0.2">
      <c r="A164" s="95"/>
      <c r="B164" s="95"/>
      <c r="C164" s="40" t="s">
        <v>36</v>
      </c>
      <c r="D164" s="41">
        <v>26</v>
      </c>
      <c r="E164" s="42">
        <v>10058.51</v>
      </c>
      <c r="F164" s="42">
        <v>1103.1500000000001</v>
      </c>
      <c r="G164" s="42">
        <v>0</v>
      </c>
      <c r="H164" s="42">
        <v>6384.11</v>
      </c>
      <c r="I164" s="42">
        <v>0</v>
      </c>
      <c r="J164" s="42">
        <v>1462.15</v>
      </c>
      <c r="K164" s="43">
        <v>17545.77</v>
      </c>
      <c r="L164" s="32">
        <v>19007.919999999998</v>
      </c>
      <c r="M164" s="33"/>
      <c r="N164" s="30">
        <v>17545.77</v>
      </c>
      <c r="O164" s="30">
        <v>11161.66</v>
      </c>
      <c r="P164" s="30"/>
      <c r="Q164" s="30">
        <f>(N164+O164*0.18+J164)+(IF((P164-O164*0.18)&gt;0,(P164-O164*0.18),0))</f>
        <v>21017.018800000002</v>
      </c>
      <c r="R164" s="7"/>
      <c r="S164" s="7"/>
      <c r="T164" s="7"/>
      <c r="U164" s="7"/>
      <c r="V164" s="7"/>
      <c r="W164" s="7"/>
      <c r="X164" s="7"/>
      <c r="Y164" s="7"/>
      <c r="Z164" s="7"/>
    </row>
    <row r="165" spans="1:26" ht="9" customHeight="1" x14ac:dyDescent="0.2">
      <c r="A165" s="95"/>
      <c r="B165" s="95"/>
      <c r="C165" s="34" t="s">
        <v>37</v>
      </c>
      <c r="D165" s="35">
        <v>27</v>
      </c>
      <c r="E165" s="36">
        <v>19475991</v>
      </c>
      <c r="F165" s="36">
        <v>2135996</v>
      </c>
      <c r="G165" s="36">
        <v>0</v>
      </c>
      <c r="H165" s="36">
        <v>12361361</v>
      </c>
      <c r="I165" s="36">
        <v>0</v>
      </c>
      <c r="J165" s="37">
        <v>2831117</v>
      </c>
      <c r="K165" s="36">
        <v>33973348</v>
      </c>
      <c r="L165" s="38">
        <v>36804465</v>
      </c>
      <c r="M165" s="39"/>
      <c r="N165" s="36">
        <v>33973348</v>
      </c>
      <c r="O165" s="36">
        <v>21611987</v>
      </c>
      <c r="P165" s="36">
        <v>0</v>
      </c>
      <c r="Q165" s="36">
        <f>Q164*1936.27</f>
        <v>40694622.991876006</v>
      </c>
      <c r="R165" s="7"/>
      <c r="S165" s="7"/>
      <c r="T165" s="7"/>
      <c r="U165" s="7"/>
      <c r="V165" s="7"/>
      <c r="W165" s="7"/>
      <c r="X165" s="7"/>
      <c r="Y165" s="7"/>
      <c r="Z165" s="7"/>
    </row>
    <row r="166" spans="1:26" ht="12.75" customHeight="1" x14ac:dyDescent="0.2">
      <c r="A166" s="95"/>
      <c r="B166" s="95"/>
      <c r="C166" s="40" t="s">
        <v>36</v>
      </c>
      <c r="D166" s="41">
        <v>28</v>
      </c>
      <c r="E166" s="42">
        <v>10331.200000000001</v>
      </c>
      <c r="F166" s="42">
        <v>1134.1400000000001</v>
      </c>
      <c r="G166" s="42">
        <v>0</v>
      </c>
      <c r="H166" s="42">
        <v>6384.11</v>
      </c>
      <c r="I166" s="42">
        <v>0</v>
      </c>
      <c r="J166" s="42">
        <v>1487.45</v>
      </c>
      <c r="K166" s="43">
        <v>17849.45</v>
      </c>
      <c r="L166" s="32">
        <v>19336.900000000001</v>
      </c>
      <c r="M166" s="33"/>
      <c r="N166" s="30">
        <v>17849.45</v>
      </c>
      <c r="O166" s="30">
        <v>11465.34</v>
      </c>
      <c r="P166" s="30"/>
      <c r="Q166" s="30">
        <f>(N166+O166*0.18+J166)+(IF((P166-O166*0.18)&gt;0,(P166-O166*0.18),0))</f>
        <v>21400.661200000002</v>
      </c>
      <c r="R166" s="7"/>
      <c r="S166" s="7"/>
      <c r="T166" s="7"/>
      <c r="U166" s="7"/>
      <c r="V166" s="7"/>
      <c r="W166" s="7"/>
      <c r="X166" s="7"/>
      <c r="Y166" s="7"/>
      <c r="Z166" s="7"/>
    </row>
    <row r="167" spans="1:26" ht="9" customHeight="1" x14ac:dyDescent="0.2">
      <c r="A167" s="95"/>
      <c r="B167" s="95"/>
      <c r="C167" s="34" t="s">
        <v>37</v>
      </c>
      <c r="D167" s="35">
        <v>29</v>
      </c>
      <c r="E167" s="36">
        <v>20003993</v>
      </c>
      <c r="F167" s="36">
        <v>2196001</v>
      </c>
      <c r="G167" s="36">
        <v>0</v>
      </c>
      <c r="H167" s="36">
        <v>12361361</v>
      </c>
      <c r="I167" s="36">
        <v>0</v>
      </c>
      <c r="J167" s="37">
        <v>2880105</v>
      </c>
      <c r="K167" s="36">
        <v>34561355</v>
      </c>
      <c r="L167" s="38">
        <v>37441459</v>
      </c>
      <c r="M167" s="39"/>
      <c r="N167" s="36">
        <v>34561355</v>
      </c>
      <c r="O167" s="36">
        <v>22199994</v>
      </c>
      <c r="P167" s="36">
        <v>0</v>
      </c>
      <c r="Q167" s="36">
        <f>Q166*1936.27</f>
        <v>41437458.261724003</v>
      </c>
      <c r="R167" s="7"/>
      <c r="S167" s="7"/>
      <c r="T167" s="7"/>
      <c r="U167" s="7"/>
      <c r="V167" s="7"/>
      <c r="W167" s="7"/>
      <c r="X167" s="7"/>
      <c r="Y167" s="7"/>
      <c r="Z167" s="7"/>
    </row>
    <row r="168" spans="1:26" ht="12.75" customHeight="1" x14ac:dyDescent="0.2">
      <c r="A168" s="95"/>
      <c r="B168" s="95"/>
      <c r="C168" s="40" t="s">
        <v>36</v>
      </c>
      <c r="D168" s="41">
        <v>30</v>
      </c>
      <c r="E168" s="42">
        <v>10603.89</v>
      </c>
      <c r="F168" s="42">
        <v>1165.1300000000001</v>
      </c>
      <c r="G168" s="42">
        <v>0</v>
      </c>
      <c r="H168" s="42">
        <v>6384.11</v>
      </c>
      <c r="I168" s="42">
        <v>0</v>
      </c>
      <c r="J168" s="42">
        <v>1512.76</v>
      </c>
      <c r="K168" s="43">
        <v>18153.13</v>
      </c>
      <c r="L168" s="32">
        <v>19665.89</v>
      </c>
      <c r="M168" s="33"/>
      <c r="N168" s="30">
        <v>18153.13</v>
      </c>
      <c r="O168" s="30">
        <v>11769.02</v>
      </c>
      <c r="P168" s="30"/>
      <c r="Q168" s="30">
        <f>(N168+O168*0.18+J168)+(IF((P168-O168*0.18)&gt;0,(P168-O168*0.18),0))</f>
        <v>21784.313599999998</v>
      </c>
      <c r="R168" s="7"/>
      <c r="S168" s="7"/>
      <c r="T168" s="7"/>
      <c r="U168" s="7"/>
      <c r="V168" s="7"/>
      <c r="W168" s="7"/>
      <c r="X168" s="7"/>
      <c r="Y168" s="7"/>
      <c r="Z168" s="7"/>
    </row>
    <row r="169" spans="1:26" ht="9" customHeight="1" x14ac:dyDescent="0.2">
      <c r="A169" s="95"/>
      <c r="B169" s="95"/>
      <c r="C169" s="34" t="s">
        <v>37</v>
      </c>
      <c r="D169" s="35">
        <v>31</v>
      </c>
      <c r="E169" s="36">
        <v>20531994</v>
      </c>
      <c r="F169" s="36">
        <v>2256006</v>
      </c>
      <c r="G169" s="36">
        <v>0</v>
      </c>
      <c r="H169" s="36">
        <v>12361361</v>
      </c>
      <c r="I169" s="36">
        <v>0</v>
      </c>
      <c r="J169" s="37">
        <v>2929112</v>
      </c>
      <c r="K169" s="36">
        <v>35149361</v>
      </c>
      <c r="L169" s="38">
        <v>38078473</v>
      </c>
      <c r="M169" s="39"/>
      <c r="N169" s="36">
        <v>35149361</v>
      </c>
      <c r="O169" s="36">
        <v>22788000</v>
      </c>
      <c r="P169" s="36">
        <v>0</v>
      </c>
      <c r="Q169" s="36">
        <f>Q168*1936.27</f>
        <v>42180312.894271992</v>
      </c>
      <c r="R169" s="7"/>
      <c r="S169" s="7"/>
      <c r="T169" s="7"/>
      <c r="U169" s="7"/>
      <c r="V169" s="7"/>
      <c r="W169" s="7"/>
      <c r="X169" s="7"/>
      <c r="Y169" s="7"/>
      <c r="Z169" s="7"/>
    </row>
    <row r="170" spans="1:26" ht="12.75" customHeight="1" x14ac:dyDescent="0.2">
      <c r="A170" s="95"/>
      <c r="B170" s="95"/>
      <c r="C170" s="40" t="s">
        <v>36</v>
      </c>
      <c r="D170" s="41">
        <v>32</v>
      </c>
      <c r="E170" s="42">
        <v>10870.38</v>
      </c>
      <c r="F170" s="42">
        <v>1189.92</v>
      </c>
      <c r="G170" s="42">
        <v>0</v>
      </c>
      <c r="H170" s="42">
        <v>6384.11</v>
      </c>
      <c r="I170" s="42">
        <v>0</v>
      </c>
      <c r="J170" s="42">
        <v>1537.03</v>
      </c>
      <c r="K170" s="43">
        <v>18444.41</v>
      </c>
      <c r="L170" s="32">
        <v>19981.439999999999</v>
      </c>
      <c r="M170" s="33"/>
      <c r="N170" s="30">
        <v>18444.41</v>
      </c>
      <c r="O170" s="30">
        <v>12060.3</v>
      </c>
      <c r="P170" s="30"/>
      <c r="Q170" s="30">
        <f>(N170+O170*0.18+J170)+(IF((P170-O170*0.18)&gt;0,(P170-O170*0.18),0))</f>
        <v>22152.293999999998</v>
      </c>
      <c r="R170" s="7"/>
      <c r="S170" s="7"/>
      <c r="T170" s="7"/>
      <c r="U170" s="7"/>
      <c r="V170" s="7"/>
      <c r="W170" s="7"/>
      <c r="X170" s="7"/>
      <c r="Y170" s="7"/>
      <c r="Z170" s="7"/>
    </row>
    <row r="171" spans="1:26" ht="9" customHeight="1" x14ac:dyDescent="0.2">
      <c r="A171" s="95"/>
      <c r="B171" s="95"/>
      <c r="C171" s="34" t="s">
        <v>37</v>
      </c>
      <c r="D171" s="35">
        <v>33</v>
      </c>
      <c r="E171" s="36">
        <v>21047991</v>
      </c>
      <c r="F171" s="36">
        <v>2304006</v>
      </c>
      <c r="G171" s="36">
        <v>0</v>
      </c>
      <c r="H171" s="36">
        <v>12361361</v>
      </c>
      <c r="I171" s="36">
        <v>0</v>
      </c>
      <c r="J171" s="37">
        <v>2976105</v>
      </c>
      <c r="K171" s="36">
        <v>35713358</v>
      </c>
      <c r="L171" s="38">
        <v>38689463</v>
      </c>
      <c r="M171" s="39"/>
      <c r="N171" s="36">
        <v>35713358</v>
      </c>
      <c r="O171" s="36">
        <v>23351997</v>
      </c>
      <c r="P171" s="36">
        <v>0</v>
      </c>
      <c r="Q171" s="36">
        <f>Q170*1936.27</f>
        <v>42892822.303379998</v>
      </c>
      <c r="R171" s="7"/>
      <c r="S171" s="7"/>
      <c r="T171" s="7"/>
      <c r="U171" s="7"/>
      <c r="V171" s="7"/>
      <c r="W171" s="7"/>
      <c r="X171" s="7"/>
      <c r="Y171" s="7"/>
      <c r="Z171" s="7"/>
    </row>
    <row r="172" spans="1:26" ht="12.75" customHeight="1" x14ac:dyDescent="0.2">
      <c r="A172" s="95"/>
      <c r="B172" s="95"/>
      <c r="C172" s="40" t="s">
        <v>36</v>
      </c>
      <c r="D172" s="41">
        <v>34</v>
      </c>
      <c r="E172" s="42">
        <v>11136.88</v>
      </c>
      <c r="F172" s="42">
        <v>1220.9000000000001</v>
      </c>
      <c r="G172" s="42">
        <v>0</v>
      </c>
      <c r="H172" s="42">
        <v>6384.11</v>
      </c>
      <c r="I172" s="42">
        <v>0</v>
      </c>
      <c r="J172" s="42">
        <v>1561.82</v>
      </c>
      <c r="K172" s="43">
        <v>18741.89</v>
      </c>
      <c r="L172" s="32">
        <v>20303.71</v>
      </c>
      <c r="M172" s="33"/>
      <c r="N172" s="30">
        <v>18741.89</v>
      </c>
      <c r="O172" s="30">
        <v>12357.78</v>
      </c>
      <c r="P172" s="30"/>
      <c r="Q172" s="30">
        <f>(N172+O172*0.18+J172)+(IF((P172-O172*0.18)&gt;0,(P172-O172*0.18),0))</f>
        <v>22528.110399999998</v>
      </c>
      <c r="R172" s="7"/>
      <c r="S172" s="7"/>
      <c r="T172" s="7"/>
      <c r="U172" s="7"/>
      <c r="V172" s="7"/>
      <c r="W172" s="7"/>
      <c r="X172" s="7"/>
      <c r="Y172" s="7"/>
      <c r="Z172" s="7"/>
    </row>
    <row r="173" spans="1:26" ht="9" customHeight="1" x14ac:dyDescent="0.2">
      <c r="A173" s="95"/>
      <c r="B173" s="95"/>
      <c r="C173" s="34" t="s">
        <v>37</v>
      </c>
      <c r="D173" s="35">
        <v>35</v>
      </c>
      <c r="E173" s="36">
        <v>21564007</v>
      </c>
      <c r="F173" s="36">
        <v>2363992</v>
      </c>
      <c r="G173" s="36">
        <v>0</v>
      </c>
      <c r="H173" s="36">
        <v>12361361</v>
      </c>
      <c r="I173" s="36">
        <v>0</v>
      </c>
      <c r="J173" s="37">
        <v>3024105</v>
      </c>
      <c r="K173" s="36">
        <v>36289359</v>
      </c>
      <c r="L173" s="38">
        <v>39313465</v>
      </c>
      <c r="M173" s="39"/>
      <c r="N173" s="36">
        <v>36289359</v>
      </c>
      <c r="O173" s="36">
        <v>23927999</v>
      </c>
      <c r="P173" s="36">
        <v>0</v>
      </c>
      <c r="Q173" s="36">
        <f>Q172*1936.27</f>
        <v>43620504.324207999</v>
      </c>
      <c r="R173" s="7"/>
      <c r="S173" s="7"/>
      <c r="T173" s="7"/>
      <c r="U173" s="7"/>
      <c r="V173" s="7"/>
      <c r="W173" s="7"/>
      <c r="X173" s="7"/>
      <c r="Y173" s="7"/>
      <c r="Z173" s="7"/>
    </row>
    <row r="174" spans="1:26" ht="12.75" customHeight="1" x14ac:dyDescent="0.2">
      <c r="A174" s="95"/>
      <c r="B174" s="95"/>
      <c r="C174" s="40" t="s">
        <v>36</v>
      </c>
      <c r="D174" s="41">
        <v>36</v>
      </c>
      <c r="E174" s="42">
        <v>11409.57</v>
      </c>
      <c r="F174" s="42">
        <v>1251.8900000000001</v>
      </c>
      <c r="G174" s="42">
        <v>0</v>
      </c>
      <c r="H174" s="42">
        <v>6384.11</v>
      </c>
      <c r="I174" s="42">
        <v>0</v>
      </c>
      <c r="J174" s="42">
        <v>1587.13</v>
      </c>
      <c r="K174" s="43">
        <v>19045.57</v>
      </c>
      <c r="L174" s="32">
        <v>20632.7</v>
      </c>
      <c r="M174" s="33"/>
      <c r="N174" s="30">
        <v>19045.57</v>
      </c>
      <c r="O174" s="30">
        <v>12661.46</v>
      </c>
      <c r="P174" s="30"/>
      <c r="Q174" s="30">
        <f>(N174+O174*0.18+J174)+(IF((P174-O174*0.18)&gt;0,(P174-O174*0.18),0))</f>
        <v>22911.7628</v>
      </c>
      <c r="R174" s="7"/>
      <c r="S174" s="7"/>
      <c r="T174" s="7"/>
      <c r="U174" s="7"/>
      <c r="V174" s="7"/>
      <c r="W174" s="7"/>
      <c r="X174" s="7"/>
      <c r="Y174" s="7"/>
      <c r="Z174" s="7"/>
    </row>
    <row r="175" spans="1:26" ht="9" customHeight="1" x14ac:dyDescent="0.2">
      <c r="A175" s="95"/>
      <c r="B175" s="95"/>
      <c r="C175" s="34" t="s">
        <v>37</v>
      </c>
      <c r="D175" s="35">
        <v>37</v>
      </c>
      <c r="E175" s="36">
        <v>22092008</v>
      </c>
      <c r="F175" s="36">
        <v>2423997</v>
      </c>
      <c r="G175" s="36">
        <v>0</v>
      </c>
      <c r="H175" s="36">
        <v>12361361</v>
      </c>
      <c r="I175" s="36">
        <v>0</v>
      </c>
      <c r="J175" s="37">
        <v>3073112</v>
      </c>
      <c r="K175" s="36">
        <v>36877366</v>
      </c>
      <c r="L175" s="38">
        <v>39950478</v>
      </c>
      <c r="M175" s="39"/>
      <c r="N175" s="36">
        <v>36877366</v>
      </c>
      <c r="O175" s="36">
        <v>24516005</v>
      </c>
      <c r="P175" s="36">
        <v>0</v>
      </c>
      <c r="Q175" s="36">
        <f>Q174*1936.27</f>
        <v>44363358.956756003</v>
      </c>
      <c r="R175" s="7"/>
      <c r="S175" s="7"/>
      <c r="T175" s="7"/>
      <c r="U175" s="7"/>
      <c r="V175" s="7"/>
      <c r="W175" s="7"/>
      <c r="X175" s="7"/>
      <c r="Y175" s="7"/>
      <c r="Z175" s="7"/>
    </row>
    <row r="176" spans="1:26" ht="12.75" customHeight="1" x14ac:dyDescent="0.2">
      <c r="A176" s="95"/>
      <c r="B176" s="95"/>
      <c r="C176" s="40" t="s">
        <v>36</v>
      </c>
      <c r="D176" s="41">
        <v>38</v>
      </c>
      <c r="E176" s="42">
        <v>11676.06</v>
      </c>
      <c r="F176" s="42">
        <v>1282.8800000000001</v>
      </c>
      <c r="G176" s="42">
        <v>0</v>
      </c>
      <c r="H176" s="42">
        <v>6384.11</v>
      </c>
      <c r="I176" s="42">
        <v>0</v>
      </c>
      <c r="J176" s="42">
        <v>1611.92</v>
      </c>
      <c r="K176" s="43">
        <v>19343.05</v>
      </c>
      <c r="L176" s="32">
        <v>20954.97</v>
      </c>
      <c r="M176" s="33"/>
      <c r="N176" s="30">
        <v>19343.05</v>
      </c>
      <c r="O176" s="30">
        <v>12958.94</v>
      </c>
      <c r="P176" s="30"/>
      <c r="Q176" s="30">
        <f>(N176+O176*0.18+J176)+(IF((P176-O176*0.18)&gt;0,(P176-O176*0.18),0))</f>
        <v>23287.5792</v>
      </c>
      <c r="R176" s="7"/>
      <c r="S176" s="7"/>
      <c r="T176" s="7"/>
      <c r="U176" s="7"/>
      <c r="V176" s="7"/>
      <c r="W176" s="7"/>
      <c r="X176" s="7"/>
      <c r="Y176" s="7"/>
      <c r="Z176" s="7"/>
    </row>
    <row r="177" spans="1:26" ht="9" customHeight="1" x14ac:dyDescent="0.2">
      <c r="A177" s="95"/>
      <c r="B177" s="95"/>
      <c r="C177" s="34" t="s">
        <v>37</v>
      </c>
      <c r="D177" s="35">
        <v>39</v>
      </c>
      <c r="E177" s="36">
        <v>22608005</v>
      </c>
      <c r="F177" s="36">
        <v>2484002</v>
      </c>
      <c r="G177" s="36">
        <v>0</v>
      </c>
      <c r="H177" s="36">
        <v>12361361</v>
      </c>
      <c r="I177" s="36">
        <v>0</v>
      </c>
      <c r="J177" s="37">
        <v>3121112</v>
      </c>
      <c r="K177" s="36">
        <v>37453367</v>
      </c>
      <c r="L177" s="38">
        <v>40574480</v>
      </c>
      <c r="M177" s="39"/>
      <c r="N177" s="36">
        <v>37453367</v>
      </c>
      <c r="O177" s="36">
        <v>25092007</v>
      </c>
      <c r="P177" s="36">
        <v>0</v>
      </c>
      <c r="Q177" s="36">
        <f>Q176*1936.27</f>
        <v>45091040.977583997</v>
      </c>
      <c r="R177" s="7"/>
      <c r="S177" s="7"/>
      <c r="T177" s="7"/>
      <c r="U177" s="7"/>
      <c r="V177" s="7"/>
      <c r="W177" s="7"/>
      <c r="X177" s="7"/>
      <c r="Y177" s="7"/>
      <c r="Z177" s="7"/>
    </row>
    <row r="178" spans="1:26" ht="9" customHeight="1" x14ac:dyDescent="0.2">
      <c r="A178" s="95"/>
      <c r="B178" s="95"/>
      <c r="C178" s="44"/>
      <c r="D178" s="45"/>
      <c r="E178" s="96"/>
      <c r="F178" s="96"/>
      <c r="G178" s="96"/>
      <c r="H178" s="96"/>
      <c r="I178" s="96"/>
      <c r="J178" s="54"/>
      <c r="K178" s="96"/>
      <c r="L178" s="96"/>
      <c r="M178" s="39"/>
      <c r="N178" s="96"/>
      <c r="O178" s="96"/>
      <c r="P178" s="96"/>
      <c r="Q178" s="96"/>
      <c r="R178" s="7"/>
      <c r="S178" s="7"/>
      <c r="T178" s="7"/>
      <c r="U178" s="7"/>
      <c r="V178" s="7"/>
      <c r="W178" s="7"/>
      <c r="X178" s="7"/>
      <c r="Y178" s="7"/>
      <c r="Z178" s="7"/>
    </row>
    <row r="179" spans="1:26" ht="9" customHeight="1" x14ac:dyDescent="0.2">
      <c r="A179" s="95"/>
      <c r="B179" s="95"/>
      <c r="C179" s="44"/>
      <c r="D179" s="45"/>
      <c r="E179" s="96"/>
      <c r="F179" s="96"/>
      <c r="G179" s="96"/>
      <c r="H179" s="96"/>
      <c r="I179" s="96"/>
      <c r="J179" s="54"/>
      <c r="K179" s="96"/>
      <c r="L179" s="96"/>
      <c r="M179" s="39"/>
      <c r="N179" s="96"/>
      <c r="O179" s="96"/>
      <c r="P179" s="96"/>
      <c r="Q179" s="96"/>
      <c r="R179" s="7"/>
      <c r="S179" s="7"/>
      <c r="T179" s="7"/>
      <c r="U179" s="7"/>
      <c r="V179" s="7"/>
      <c r="W179" s="7"/>
      <c r="X179" s="7"/>
      <c r="Y179" s="7"/>
      <c r="Z179" s="7"/>
    </row>
    <row r="180" spans="1:26" ht="12.75" customHeight="1" x14ac:dyDescent="0.2">
      <c r="A180" s="95"/>
      <c r="B180" s="95"/>
      <c r="C180" s="40" t="s">
        <v>36</v>
      </c>
      <c r="D180" s="41">
        <v>40</v>
      </c>
      <c r="E180" s="42">
        <v>11948.75</v>
      </c>
      <c r="F180" s="42">
        <v>1313.87</v>
      </c>
      <c r="G180" s="42">
        <v>0</v>
      </c>
      <c r="H180" s="42">
        <v>6384.11</v>
      </c>
      <c r="I180" s="42">
        <v>0</v>
      </c>
      <c r="J180" s="42">
        <v>1637.23</v>
      </c>
      <c r="K180" s="43">
        <v>19646.73</v>
      </c>
      <c r="L180" s="32">
        <v>21283.96</v>
      </c>
      <c r="M180" s="33"/>
      <c r="N180" s="30">
        <v>19646.73</v>
      </c>
      <c r="O180" s="30">
        <v>13262.62</v>
      </c>
      <c r="P180" s="30"/>
      <c r="Q180" s="30">
        <f>(N180+O180*0.18+J180)+(IF((P180-O180*0.18)&gt;0,(P180-O180*0.18),0))</f>
        <v>23671.231599999999</v>
      </c>
      <c r="R180" s="7"/>
      <c r="S180" s="7"/>
      <c r="T180" s="7"/>
      <c r="U180" s="7"/>
      <c r="V180" s="7"/>
      <c r="W180" s="7"/>
      <c r="X180" s="7"/>
      <c r="Y180" s="7"/>
      <c r="Z180" s="7"/>
    </row>
    <row r="181" spans="1:26" ht="12.75" customHeight="1" x14ac:dyDescent="0.2">
      <c r="A181" s="110"/>
      <c r="B181" s="110"/>
      <c r="C181" s="115"/>
      <c r="D181" s="45"/>
      <c r="E181" s="116"/>
      <c r="F181" s="116"/>
      <c r="G181" s="116"/>
      <c r="H181" s="116"/>
      <c r="I181" s="116"/>
      <c r="J181" s="117"/>
      <c r="K181" s="118"/>
      <c r="L181" s="119"/>
      <c r="M181" s="33"/>
      <c r="N181" s="116"/>
      <c r="O181" s="116"/>
      <c r="P181" s="116"/>
      <c r="Q181" s="116"/>
      <c r="R181" s="7"/>
      <c r="S181" s="7"/>
      <c r="T181" s="7"/>
      <c r="U181" s="7"/>
      <c r="V181" s="7"/>
      <c r="W181" s="7"/>
      <c r="X181" s="7"/>
      <c r="Y181" s="7"/>
      <c r="Z181" s="7"/>
    </row>
    <row r="182" spans="1:26" ht="12.75" customHeight="1" x14ac:dyDescent="0.2">
      <c r="A182" s="98">
        <v>33970</v>
      </c>
      <c r="B182" s="98">
        <v>34424</v>
      </c>
      <c r="C182" s="115"/>
      <c r="D182" s="45"/>
      <c r="E182" s="116"/>
      <c r="F182" s="116"/>
      <c r="G182" s="116"/>
      <c r="H182" s="116"/>
      <c r="I182" s="116"/>
      <c r="J182" s="117"/>
      <c r="K182" s="118"/>
      <c r="L182" s="119"/>
      <c r="M182" s="33"/>
      <c r="N182" s="116"/>
      <c r="O182" s="116"/>
      <c r="P182" s="116"/>
      <c r="Q182" s="116"/>
      <c r="R182" s="7"/>
      <c r="S182" s="7"/>
      <c r="T182" s="7"/>
      <c r="U182" s="7"/>
      <c r="V182" s="7"/>
      <c r="W182" s="7"/>
      <c r="X182" s="7"/>
      <c r="Y182" s="7"/>
      <c r="Z182" s="7"/>
    </row>
    <row r="183" spans="1:26" ht="9" customHeight="1" x14ac:dyDescent="0.2">
      <c r="A183" s="95"/>
      <c r="B183" s="95"/>
      <c r="C183" s="34" t="s">
        <v>37</v>
      </c>
      <c r="D183" s="35">
        <v>2</v>
      </c>
      <c r="E183" s="36">
        <v>11135992</v>
      </c>
      <c r="F183" s="36">
        <v>1223994</v>
      </c>
      <c r="G183" s="36">
        <v>240001</v>
      </c>
      <c r="H183" s="36">
        <v>12361361</v>
      </c>
      <c r="I183" s="36">
        <v>0</v>
      </c>
      <c r="J183" s="37">
        <v>2080115</v>
      </c>
      <c r="K183" s="36">
        <v>24961347</v>
      </c>
      <c r="L183" s="38">
        <v>27041463</v>
      </c>
      <c r="M183" s="39"/>
      <c r="N183" s="36">
        <v>24961347</v>
      </c>
      <c r="O183" s="36">
        <v>12599987</v>
      </c>
      <c r="P183" s="36">
        <v>0</v>
      </c>
      <c r="Q183" s="36">
        <f>Q182*1936.27</f>
        <v>0</v>
      </c>
      <c r="R183" s="7"/>
      <c r="S183" s="7"/>
      <c r="T183" s="7"/>
      <c r="U183" s="7"/>
      <c r="V183" s="7"/>
      <c r="W183" s="7"/>
      <c r="X183" s="7"/>
      <c r="Y183" s="7"/>
      <c r="Z183" s="7"/>
    </row>
    <row r="184" spans="1:26" ht="12.75" customHeight="1" x14ac:dyDescent="0.2">
      <c r="A184" s="155">
        <v>33970</v>
      </c>
      <c r="B184" s="155">
        <v>34424</v>
      </c>
      <c r="C184" s="40" t="s">
        <v>36</v>
      </c>
      <c r="D184" s="41">
        <v>3</v>
      </c>
      <c r="E184" s="42">
        <v>6061.14</v>
      </c>
      <c r="F184" s="42">
        <v>663.13</v>
      </c>
      <c r="G184" s="42">
        <v>123.95</v>
      </c>
      <c r="H184" s="42">
        <v>6384.11</v>
      </c>
      <c r="I184" s="42">
        <v>0</v>
      </c>
      <c r="J184" s="42">
        <v>1102.69</v>
      </c>
      <c r="K184" s="43">
        <v>13232.33</v>
      </c>
      <c r="L184" s="32">
        <v>14335.02</v>
      </c>
      <c r="M184" s="33"/>
      <c r="N184" s="30">
        <v>13232.33</v>
      </c>
      <c r="O184" s="30">
        <v>6848.22</v>
      </c>
      <c r="P184" s="30"/>
      <c r="Q184" s="30">
        <f>(N184+O184*0.18+J184)+(IF((P184-O184*0.18)&gt;0,(P184-O184*0.18),0))</f>
        <v>15567.6996</v>
      </c>
      <c r="R184" s="7"/>
      <c r="S184" s="7"/>
      <c r="T184" s="7"/>
      <c r="U184" s="7"/>
      <c r="V184" s="7"/>
      <c r="W184" s="7"/>
      <c r="X184" s="7"/>
      <c r="Y184" s="7"/>
      <c r="Z184" s="7"/>
    </row>
    <row r="185" spans="1:26" ht="9" customHeight="1" x14ac:dyDescent="0.2">
      <c r="A185" s="95"/>
      <c r="B185" s="95"/>
      <c r="C185" s="34" t="s">
        <v>37</v>
      </c>
      <c r="D185" s="35">
        <v>4</v>
      </c>
      <c r="E185" s="36">
        <v>11736004</v>
      </c>
      <c r="F185" s="36">
        <v>1283999</v>
      </c>
      <c r="G185" s="36">
        <v>240001</v>
      </c>
      <c r="H185" s="36">
        <v>12361361</v>
      </c>
      <c r="I185" s="36">
        <v>0</v>
      </c>
      <c r="J185" s="37">
        <v>2135106</v>
      </c>
      <c r="K185" s="36">
        <v>25621364</v>
      </c>
      <c r="L185" s="38">
        <v>27756469</v>
      </c>
      <c r="M185" s="39"/>
      <c r="N185" s="36">
        <v>25621364</v>
      </c>
      <c r="O185" s="36">
        <v>13260003</v>
      </c>
      <c r="P185" s="36">
        <v>0</v>
      </c>
      <c r="Q185" s="36">
        <f>Q184*1936.27</f>
        <v>30143269.704491999</v>
      </c>
      <c r="R185" s="7"/>
      <c r="S185" s="7"/>
      <c r="T185" s="7"/>
      <c r="U185" s="7"/>
      <c r="V185" s="7"/>
      <c r="W185" s="7"/>
      <c r="X185" s="7"/>
      <c r="Y185" s="7"/>
      <c r="Z185" s="7"/>
    </row>
    <row r="186" spans="1:26" ht="12.75" customHeight="1" x14ac:dyDescent="0.2">
      <c r="A186" s="95"/>
      <c r="B186" s="95"/>
      <c r="C186" s="40" t="s">
        <v>36</v>
      </c>
      <c r="D186" s="41">
        <v>5</v>
      </c>
      <c r="E186" s="42">
        <v>6371.01</v>
      </c>
      <c r="F186" s="42">
        <v>700.32</v>
      </c>
      <c r="G186" s="42">
        <v>123.95</v>
      </c>
      <c r="H186" s="42">
        <v>6384.11</v>
      </c>
      <c r="I186" s="42">
        <v>0</v>
      </c>
      <c r="J186" s="42">
        <v>1131.6199999999999</v>
      </c>
      <c r="K186" s="43">
        <v>13579.39</v>
      </c>
      <c r="L186" s="32">
        <v>14711.01</v>
      </c>
      <c r="M186" s="33"/>
      <c r="N186" s="30">
        <v>13579.39</v>
      </c>
      <c r="O186" s="30">
        <v>7195.28</v>
      </c>
      <c r="P186" s="30"/>
      <c r="Q186" s="30">
        <f>(N186+O186*0.18+J186)+(IF((P186-O186*0.18)&gt;0,(P186-O186*0.18),0))</f>
        <v>16006.160400000001</v>
      </c>
      <c r="R186" s="7"/>
      <c r="S186" s="7"/>
      <c r="T186" s="7"/>
      <c r="U186" s="7"/>
      <c r="V186" s="7"/>
      <c r="W186" s="7"/>
      <c r="X186" s="7"/>
      <c r="Y186" s="7"/>
      <c r="Z186" s="7"/>
    </row>
    <row r="187" spans="1:26" ht="9" customHeight="1" x14ac:dyDescent="0.2">
      <c r="A187" s="95"/>
      <c r="B187" s="95"/>
      <c r="C187" s="34" t="s">
        <v>37</v>
      </c>
      <c r="D187" s="35">
        <v>6</v>
      </c>
      <c r="E187" s="36">
        <v>12335996</v>
      </c>
      <c r="F187" s="36">
        <v>1356009</v>
      </c>
      <c r="G187" s="36">
        <v>240001</v>
      </c>
      <c r="H187" s="36">
        <v>12361361</v>
      </c>
      <c r="I187" s="36">
        <v>0</v>
      </c>
      <c r="J187" s="37">
        <v>2191122</v>
      </c>
      <c r="K187" s="36">
        <v>26293365</v>
      </c>
      <c r="L187" s="38">
        <v>28484487</v>
      </c>
      <c r="M187" s="39"/>
      <c r="N187" s="36">
        <v>26293365</v>
      </c>
      <c r="O187" s="36">
        <v>13932005</v>
      </c>
      <c r="P187" s="36">
        <v>0</v>
      </c>
      <c r="Q187" s="36">
        <f>Q186*1936.27</f>
        <v>30992248.197707999</v>
      </c>
      <c r="R187" s="7"/>
      <c r="S187" s="7"/>
      <c r="T187" s="7"/>
      <c r="U187" s="7"/>
      <c r="V187" s="7"/>
      <c r="W187" s="7"/>
      <c r="X187" s="7"/>
      <c r="Y187" s="7"/>
      <c r="Z187" s="7"/>
    </row>
    <row r="188" spans="1:26" ht="12.75" customHeight="1" x14ac:dyDescent="0.2">
      <c r="A188" s="95"/>
      <c r="B188" s="95"/>
      <c r="C188" s="40" t="s">
        <v>36</v>
      </c>
      <c r="D188" s="41">
        <v>7</v>
      </c>
      <c r="E188" s="42">
        <v>6674.69</v>
      </c>
      <c r="F188" s="42">
        <v>731.3</v>
      </c>
      <c r="G188" s="42">
        <v>123.95</v>
      </c>
      <c r="H188" s="42">
        <v>6384.11</v>
      </c>
      <c r="I188" s="42">
        <v>0</v>
      </c>
      <c r="J188" s="42">
        <v>1159.5</v>
      </c>
      <c r="K188" s="43">
        <v>13914.05</v>
      </c>
      <c r="L188" s="32">
        <v>15073.55</v>
      </c>
      <c r="M188" s="33"/>
      <c r="N188" s="30">
        <v>13914.05</v>
      </c>
      <c r="O188" s="30">
        <v>7529.94</v>
      </c>
      <c r="P188" s="30"/>
      <c r="Q188" s="30">
        <f>(N188+O188*0.18+J188)+(IF((P188-O188*0.18)&gt;0,(P188-O188*0.18),0))</f>
        <v>16428.939200000001</v>
      </c>
      <c r="R188" s="7"/>
      <c r="S188" s="7"/>
      <c r="T188" s="7"/>
      <c r="U188" s="7"/>
      <c r="V188" s="7"/>
      <c r="W188" s="7"/>
      <c r="X188" s="7"/>
      <c r="Y188" s="7"/>
      <c r="Z188" s="7"/>
    </row>
    <row r="189" spans="1:26" ht="9" customHeight="1" x14ac:dyDescent="0.2">
      <c r="A189" s="95"/>
      <c r="B189" s="95"/>
      <c r="C189" s="34" t="s">
        <v>37</v>
      </c>
      <c r="D189" s="35">
        <v>8</v>
      </c>
      <c r="E189" s="36">
        <v>12924002</v>
      </c>
      <c r="F189" s="36">
        <v>1415994</v>
      </c>
      <c r="G189" s="36">
        <v>240001</v>
      </c>
      <c r="H189" s="36">
        <v>12361361</v>
      </c>
      <c r="I189" s="36">
        <v>0</v>
      </c>
      <c r="J189" s="37">
        <v>2245105</v>
      </c>
      <c r="K189" s="36">
        <v>26941358</v>
      </c>
      <c r="L189" s="38">
        <v>29186463</v>
      </c>
      <c r="M189" s="39"/>
      <c r="N189" s="36">
        <v>26941358</v>
      </c>
      <c r="O189" s="36">
        <v>14579997</v>
      </c>
      <c r="P189" s="36">
        <v>0</v>
      </c>
      <c r="Q189" s="36">
        <f>Q188*1936.27</f>
        <v>31810862.104784001</v>
      </c>
      <c r="R189" s="7"/>
      <c r="S189" s="7"/>
      <c r="T189" s="7"/>
      <c r="U189" s="7"/>
      <c r="V189" s="7"/>
      <c r="W189" s="7"/>
      <c r="X189" s="7"/>
      <c r="Y189" s="7"/>
      <c r="Z189" s="7"/>
    </row>
    <row r="190" spans="1:26" ht="12.75" customHeight="1" x14ac:dyDescent="0.2">
      <c r="A190" s="95"/>
      <c r="B190" s="95"/>
      <c r="C190" s="40" t="s">
        <v>36</v>
      </c>
      <c r="D190" s="41">
        <v>9</v>
      </c>
      <c r="E190" s="42">
        <v>7027.95</v>
      </c>
      <c r="F190" s="42">
        <v>768.49</v>
      </c>
      <c r="G190" s="42">
        <v>123.95</v>
      </c>
      <c r="H190" s="42">
        <v>6384.11</v>
      </c>
      <c r="I190" s="42">
        <v>0</v>
      </c>
      <c r="J190" s="42">
        <v>1192.04</v>
      </c>
      <c r="K190" s="43">
        <v>14304.5</v>
      </c>
      <c r="L190" s="32">
        <v>15496.54</v>
      </c>
      <c r="M190" s="33"/>
      <c r="N190" s="30">
        <v>14304.5</v>
      </c>
      <c r="O190" s="30">
        <v>7920.39</v>
      </c>
      <c r="P190" s="30"/>
      <c r="Q190" s="30">
        <f>(N190+O190*0.18+J190)+(IF((P190-O190*0.18)&gt;0,(P190-O190*0.18),0))</f>
        <v>16922.210200000001</v>
      </c>
      <c r="R190" s="7"/>
      <c r="S190" s="7"/>
      <c r="T190" s="7"/>
      <c r="U190" s="7"/>
      <c r="V190" s="7"/>
      <c r="W190" s="7"/>
      <c r="X190" s="7"/>
      <c r="Y190" s="7"/>
      <c r="Z190" s="7"/>
    </row>
    <row r="191" spans="1:26" ht="9" customHeight="1" x14ac:dyDescent="0.2">
      <c r="A191" s="95"/>
      <c r="B191" s="95"/>
      <c r="C191" s="34" t="s">
        <v>37</v>
      </c>
      <c r="D191" s="35">
        <v>10</v>
      </c>
      <c r="E191" s="36">
        <v>13608009</v>
      </c>
      <c r="F191" s="36">
        <v>1488004</v>
      </c>
      <c r="G191" s="36">
        <v>240001</v>
      </c>
      <c r="H191" s="36">
        <v>12361361</v>
      </c>
      <c r="I191" s="36">
        <v>0</v>
      </c>
      <c r="J191" s="37">
        <v>2308111</v>
      </c>
      <c r="K191" s="36">
        <v>27697374</v>
      </c>
      <c r="L191" s="38">
        <v>30005486</v>
      </c>
      <c r="M191" s="39"/>
      <c r="N191" s="36">
        <v>27697374</v>
      </c>
      <c r="O191" s="36">
        <v>15336014</v>
      </c>
      <c r="P191" s="36">
        <v>0</v>
      </c>
      <c r="Q191" s="36">
        <f>Q190*1936.27</f>
        <v>32765967.943954002</v>
      </c>
      <c r="R191" s="7"/>
      <c r="S191" s="7"/>
      <c r="T191" s="7"/>
      <c r="U191" s="7"/>
      <c r="V191" s="7"/>
      <c r="W191" s="7"/>
      <c r="X191" s="7"/>
      <c r="Y191" s="7"/>
      <c r="Z191" s="7"/>
    </row>
    <row r="192" spans="1:26" ht="12.75" customHeight="1" x14ac:dyDescent="0.2">
      <c r="A192" s="95"/>
      <c r="B192" s="95"/>
      <c r="C192" s="40" t="s">
        <v>36</v>
      </c>
      <c r="D192" s="41">
        <v>11</v>
      </c>
      <c r="E192" s="42">
        <v>7387.4</v>
      </c>
      <c r="F192" s="42">
        <v>811.87</v>
      </c>
      <c r="G192" s="42">
        <v>123.95</v>
      </c>
      <c r="H192" s="42">
        <v>6384.11</v>
      </c>
      <c r="I192" s="42">
        <v>0</v>
      </c>
      <c r="J192" s="42">
        <v>1225.6099999999999</v>
      </c>
      <c r="K192" s="43">
        <v>14707.33</v>
      </c>
      <c r="L192" s="32">
        <v>15932.94</v>
      </c>
      <c r="M192" s="33"/>
      <c r="N192" s="30">
        <v>14707.33</v>
      </c>
      <c r="O192" s="30">
        <v>8323.2199999999993</v>
      </c>
      <c r="P192" s="30"/>
      <c r="Q192" s="30">
        <f>(N192+O192*0.18+J192)+(IF((P192-O192*0.18)&gt;0,(P192-O192*0.18),0))</f>
        <v>17431.119599999998</v>
      </c>
      <c r="R192" s="7"/>
      <c r="S192" s="7"/>
      <c r="T192" s="7"/>
      <c r="U192" s="7"/>
      <c r="V192" s="7"/>
      <c r="W192" s="7"/>
      <c r="X192" s="7"/>
      <c r="Y192" s="7"/>
      <c r="Z192" s="7"/>
    </row>
    <row r="193" spans="1:26" ht="9" customHeight="1" x14ac:dyDescent="0.2">
      <c r="A193" s="95"/>
      <c r="B193" s="95"/>
      <c r="C193" s="34" t="s">
        <v>37</v>
      </c>
      <c r="D193" s="35">
        <v>12</v>
      </c>
      <c r="E193" s="36">
        <v>14304001</v>
      </c>
      <c r="F193" s="36">
        <v>1572000</v>
      </c>
      <c r="G193" s="36">
        <v>240001</v>
      </c>
      <c r="H193" s="36">
        <v>12361361</v>
      </c>
      <c r="I193" s="36">
        <v>0</v>
      </c>
      <c r="J193" s="37">
        <v>2373112</v>
      </c>
      <c r="K193" s="36">
        <v>28477362</v>
      </c>
      <c r="L193" s="38">
        <v>30850474</v>
      </c>
      <c r="M193" s="39"/>
      <c r="N193" s="36">
        <v>28477362</v>
      </c>
      <c r="O193" s="36">
        <v>16116001</v>
      </c>
      <c r="P193" s="36">
        <v>0</v>
      </c>
      <c r="Q193" s="36">
        <f>Q192*1936.27</f>
        <v>33751353.947891995</v>
      </c>
      <c r="R193" s="7"/>
      <c r="S193" s="7"/>
      <c r="T193" s="7"/>
      <c r="U193" s="7"/>
      <c r="V193" s="7"/>
      <c r="W193" s="7"/>
      <c r="X193" s="7"/>
      <c r="Y193" s="7"/>
      <c r="Z193" s="7"/>
    </row>
    <row r="194" spans="1:26" ht="12.75" customHeight="1" x14ac:dyDescent="0.2">
      <c r="A194" s="95"/>
      <c r="B194" s="95"/>
      <c r="C194" s="40" t="s">
        <v>36</v>
      </c>
      <c r="D194" s="41">
        <v>13</v>
      </c>
      <c r="E194" s="42">
        <v>7740.66</v>
      </c>
      <c r="F194" s="42">
        <v>849.06</v>
      </c>
      <c r="G194" s="42">
        <v>123.95</v>
      </c>
      <c r="H194" s="42">
        <v>6384.11</v>
      </c>
      <c r="I194" s="42">
        <v>0</v>
      </c>
      <c r="J194" s="42">
        <v>1258.1500000000001</v>
      </c>
      <c r="K194" s="43">
        <v>15097.78</v>
      </c>
      <c r="L194" s="32">
        <v>16355.93</v>
      </c>
      <c r="M194" s="33"/>
      <c r="N194" s="30">
        <v>15097.78</v>
      </c>
      <c r="O194" s="30">
        <v>8713.67</v>
      </c>
      <c r="P194" s="30"/>
      <c r="Q194" s="30">
        <f>(N194+O194*0.18+J194)+(IF((P194-O194*0.18)&gt;0,(P194-O194*0.18),0))</f>
        <v>17924.390600000002</v>
      </c>
      <c r="R194" s="7"/>
      <c r="S194" s="7"/>
      <c r="T194" s="7"/>
      <c r="U194" s="7"/>
      <c r="V194" s="7"/>
      <c r="W194" s="7"/>
      <c r="X194" s="7"/>
      <c r="Y194" s="7"/>
      <c r="Z194" s="7"/>
    </row>
    <row r="195" spans="1:26" ht="9" customHeight="1" x14ac:dyDescent="0.2">
      <c r="A195" s="95"/>
      <c r="B195" s="95"/>
      <c r="C195" s="34" t="s">
        <v>37</v>
      </c>
      <c r="D195" s="35">
        <v>14</v>
      </c>
      <c r="E195" s="36">
        <v>14988008</v>
      </c>
      <c r="F195" s="36">
        <v>1644009</v>
      </c>
      <c r="G195" s="36">
        <v>240001</v>
      </c>
      <c r="H195" s="36">
        <v>12361361</v>
      </c>
      <c r="I195" s="36">
        <v>0</v>
      </c>
      <c r="J195" s="37">
        <v>2436118</v>
      </c>
      <c r="K195" s="36">
        <v>29233378</v>
      </c>
      <c r="L195" s="38">
        <v>31669497</v>
      </c>
      <c r="M195" s="39"/>
      <c r="N195" s="36">
        <v>29233378</v>
      </c>
      <c r="O195" s="36">
        <v>16872018</v>
      </c>
      <c r="P195" s="36">
        <v>0</v>
      </c>
      <c r="Q195" s="36">
        <f>Q194*1936.27</f>
        <v>34706459.787062004</v>
      </c>
      <c r="R195" s="7"/>
      <c r="S195" s="7"/>
      <c r="T195" s="7"/>
      <c r="U195" s="7"/>
      <c r="V195" s="7"/>
      <c r="W195" s="7"/>
      <c r="X195" s="7"/>
      <c r="Y195" s="7"/>
      <c r="Z195" s="7"/>
    </row>
    <row r="196" spans="1:26" ht="12.75" customHeight="1" x14ac:dyDescent="0.2">
      <c r="A196" s="95"/>
      <c r="B196" s="95"/>
      <c r="C196" s="40" t="s">
        <v>36</v>
      </c>
      <c r="D196" s="41">
        <v>15</v>
      </c>
      <c r="E196" s="42">
        <v>8155.89</v>
      </c>
      <c r="F196" s="42">
        <v>892.44</v>
      </c>
      <c r="G196" s="42">
        <v>123.95</v>
      </c>
      <c r="H196" s="42">
        <v>6384.11</v>
      </c>
      <c r="I196" s="42">
        <v>0</v>
      </c>
      <c r="J196" s="42">
        <v>1296.3699999999999</v>
      </c>
      <c r="K196" s="43">
        <v>15556.39</v>
      </c>
      <c r="L196" s="32">
        <v>16852.759999999998</v>
      </c>
      <c r="M196" s="33"/>
      <c r="N196" s="30">
        <v>15556.39</v>
      </c>
      <c r="O196" s="30">
        <v>9172.2800000000007</v>
      </c>
      <c r="P196" s="30"/>
      <c r="Q196" s="30">
        <f>(N196+O196*0.18+J196)+(IF((P196-O196*0.18)&gt;0,(P196-O196*0.18),0))</f>
        <v>18503.770399999998</v>
      </c>
      <c r="R196" s="7"/>
      <c r="S196" s="7"/>
      <c r="T196" s="7"/>
      <c r="U196" s="7"/>
      <c r="V196" s="7"/>
      <c r="W196" s="7"/>
      <c r="X196" s="7"/>
      <c r="Y196" s="7"/>
      <c r="Z196" s="7"/>
    </row>
    <row r="197" spans="1:26" ht="9" customHeight="1" x14ac:dyDescent="0.2">
      <c r="A197" s="95"/>
      <c r="B197" s="95"/>
      <c r="C197" s="34" t="s">
        <v>37</v>
      </c>
      <c r="D197" s="35">
        <v>16</v>
      </c>
      <c r="E197" s="36">
        <v>15792005</v>
      </c>
      <c r="F197" s="36">
        <v>1728005</v>
      </c>
      <c r="G197" s="36">
        <v>240001</v>
      </c>
      <c r="H197" s="36">
        <v>12361361</v>
      </c>
      <c r="I197" s="36">
        <v>0</v>
      </c>
      <c r="J197" s="37">
        <v>2510122</v>
      </c>
      <c r="K197" s="36">
        <v>30121371</v>
      </c>
      <c r="L197" s="38">
        <v>32631494</v>
      </c>
      <c r="M197" s="39"/>
      <c r="N197" s="36">
        <v>30121371</v>
      </c>
      <c r="O197" s="36">
        <v>17760011</v>
      </c>
      <c r="P197" s="36">
        <v>0</v>
      </c>
      <c r="Q197" s="36">
        <f>Q196*1936.27</f>
        <v>35828295.512407996</v>
      </c>
      <c r="R197" s="7"/>
      <c r="S197" s="7"/>
      <c r="T197" s="7"/>
      <c r="U197" s="7"/>
      <c r="V197" s="7"/>
      <c r="W197" s="7"/>
      <c r="X197" s="7"/>
      <c r="Y197" s="7"/>
      <c r="Z197" s="7"/>
    </row>
    <row r="198" spans="1:26" ht="12.75" customHeight="1" x14ac:dyDescent="0.2">
      <c r="A198" s="95"/>
      <c r="B198" s="95"/>
      <c r="C198" s="40" t="s">
        <v>36</v>
      </c>
      <c r="D198" s="41">
        <v>17</v>
      </c>
      <c r="E198" s="42">
        <v>8571.1200000000008</v>
      </c>
      <c r="F198" s="42">
        <v>942.02</v>
      </c>
      <c r="G198" s="42">
        <v>123.95</v>
      </c>
      <c r="H198" s="42">
        <v>6384.11</v>
      </c>
      <c r="I198" s="42">
        <v>0</v>
      </c>
      <c r="J198" s="42">
        <v>1335.1</v>
      </c>
      <c r="K198" s="43">
        <v>16021.2</v>
      </c>
      <c r="L198" s="32">
        <v>17356.3</v>
      </c>
      <c r="M198" s="33"/>
      <c r="N198" s="30">
        <v>16021.2</v>
      </c>
      <c r="O198" s="30">
        <v>9637.09</v>
      </c>
      <c r="P198" s="30"/>
      <c r="Q198" s="30">
        <f>(N198+O198*0.18+J198)+(IF((P198-O198*0.18)&gt;0,(P198-O198*0.18),0))</f>
        <v>19090.976199999997</v>
      </c>
      <c r="R198" s="7"/>
      <c r="S198" s="7"/>
      <c r="T198" s="7"/>
      <c r="U198" s="7"/>
      <c r="V198" s="7"/>
      <c r="W198" s="7"/>
      <c r="X198" s="7"/>
      <c r="Y198" s="7"/>
      <c r="Z198" s="7"/>
    </row>
    <row r="199" spans="1:26" ht="9" customHeight="1" x14ac:dyDescent="0.2">
      <c r="A199" s="95"/>
      <c r="B199" s="95"/>
      <c r="C199" s="34" t="s">
        <v>37</v>
      </c>
      <c r="D199" s="35">
        <v>18</v>
      </c>
      <c r="E199" s="36">
        <v>16596003</v>
      </c>
      <c r="F199" s="36">
        <v>1824005</v>
      </c>
      <c r="G199" s="36">
        <v>240001</v>
      </c>
      <c r="H199" s="36">
        <v>12361361</v>
      </c>
      <c r="I199" s="36">
        <v>0</v>
      </c>
      <c r="J199" s="37">
        <v>2585114</v>
      </c>
      <c r="K199" s="36">
        <v>31021369</v>
      </c>
      <c r="L199" s="38">
        <v>33606483</v>
      </c>
      <c r="M199" s="39"/>
      <c r="N199" s="36">
        <v>31021369</v>
      </c>
      <c r="O199" s="36">
        <v>18660008</v>
      </c>
      <c r="P199" s="36">
        <v>0</v>
      </c>
      <c r="Q199" s="36">
        <f>Q198*1936.27</f>
        <v>36965284.486773998</v>
      </c>
      <c r="R199" s="7"/>
      <c r="S199" s="7"/>
      <c r="T199" s="7"/>
      <c r="U199" s="7"/>
      <c r="V199" s="7"/>
      <c r="W199" s="7"/>
      <c r="X199" s="7"/>
      <c r="Y199" s="7"/>
      <c r="Z199" s="7"/>
    </row>
    <row r="200" spans="1:26" ht="12.75" customHeight="1" x14ac:dyDescent="0.2">
      <c r="A200" s="95"/>
      <c r="B200" s="95"/>
      <c r="C200" s="40" t="s">
        <v>36</v>
      </c>
      <c r="D200" s="41">
        <v>19</v>
      </c>
      <c r="E200" s="42">
        <v>8980.15</v>
      </c>
      <c r="F200" s="42">
        <v>985.4</v>
      </c>
      <c r="G200" s="42">
        <v>123.95</v>
      </c>
      <c r="H200" s="42">
        <v>6384.11</v>
      </c>
      <c r="I200" s="42">
        <v>0</v>
      </c>
      <c r="J200" s="42">
        <v>1372.8</v>
      </c>
      <c r="K200" s="43">
        <v>16473.61</v>
      </c>
      <c r="L200" s="32">
        <v>17846.41</v>
      </c>
      <c r="M200" s="33"/>
      <c r="N200" s="30">
        <v>16473.61</v>
      </c>
      <c r="O200" s="30">
        <v>10089.5</v>
      </c>
      <c r="P200" s="30"/>
      <c r="Q200" s="30">
        <f>(N200+O200*0.18+J200)+(IF((P200-O200*0.18)&gt;0,(P200-O200*0.18),0))</f>
        <v>19662.52</v>
      </c>
      <c r="R200" s="7"/>
      <c r="S200" s="7"/>
      <c r="T200" s="7"/>
      <c r="U200" s="7"/>
      <c r="V200" s="7"/>
      <c r="W200" s="7"/>
      <c r="X200" s="7"/>
      <c r="Y200" s="7"/>
      <c r="Z200" s="7"/>
    </row>
    <row r="201" spans="1:26" ht="9" customHeight="1" x14ac:dyDescent="0.2">
      <c r="A201" s="95"/>
      <c r="B201" s="95"/>
      <c r="C201" s="34" t="s">
        <v>37</v>
      </c>
      <c r="D201" s="35">
        <v>20</v>
      </c>
      <c r="E201" s="36">
        <v>17387995</v>
      </c>
      <c r="F201" s="36">
        <v>1908000</v>
      </c>
      <c r="G201" s="36">
        <v>240001</v>
      </c>
      <c r="H201" s="36">
        <v>12361361</v>
      </c>
      <c r="I201" s="36">
        <v>0</v>
      </c>
      <c r="J201" s="37">
        <v>2658111</v>
      </c>
      <c r="K201" s="36">
        <v>31897357</v>
      </c>
      <c r="L201" s="38">
        <v>34555468</v>
      </c>
      <c r="M201" s="39"/>
      <c r="N201" s="36">
        <v>31897357</v>
      </c>
      <c r="O201" s="36">
        <v>19535996</v>
      </c>
      <c r="P201" s="36">
        <v>0</v>
      </c>
      <c r="Q201" s="36">
        <f>Q200*1936.27</f>
        <v>38071947.600400001</v>
      </c>
      <c r="R201" s="7"/>
      <c r="S201" s="7"/>
      <c r="T201" s="7"/>
      <c r="U201" s="7"/>
      <c r="V201" s="7"/>
      <c r="W201" s="7"/>
      <c r="X201" s="7"/>
      <c r="Y201" s="7"/>
      <c r="Z201" s="7"/>
    </row>
    <row r="202" spans="1:26" ht="12.75" customHeight="1" x14ac:dyDescent="0.2">
      <c r="A202" s="95"/>
      <c r="B202" s="95"/>
      <c r="C202" s="40" t="s">
        <v>36</v>
      </c>
      <c r="D202" s="41">
        <v>21</v>
      </c>
      <c r="E202" s="42">
        <v>9252.84</v>
      </c>
      <c r="F202" s="42">
        <v>1016.39</v>
      </c>
      <c r="G202" s="42">
        <v>123.95</v>
      </c>
      <c r="H202" s="42">
        <v>6384.11</v>
      </c>
      <c r="I202" s="42">
        <v>0</v>
      </c>
      <c r="J202" s="42">
        <v>1398.11</v>
      </c>
      <c r="K202" s="43">
        <v>16777.29</v>
      </c>
      <c r="L202" s="32">
        <v>18175.400000000001</v>
      </c>
      <c r="M202" s="33"/>
      <c r="N202" s="30">
        <v>16777.29</v>
      </c>
      <c r="O202" s="30">
        <v>10393.18</v>
      </c>
      <c r="P202" s="30"/>
      <c r="Q202" s="30">
        <f>(N202+O202*0.18+J202)+(IF((P202-O202*0.18)&gt;0,(P202-O202*0.18),0))</f>
        <v>20046.172400000003</v>
      </c>
      <c r="R202" s="7"/>
      <c r="S202" s="7"/>
      <c r="T202" s="7"/>
      <c r="U202" s="7"/>
      <c r="V202" s="7"/>
      <c r="W202" s="7"/>
      <c r="X202" s="7"/>
      <c r="Y202" s="7"/>
      <c r="Z202" s="7"/>
    </row>
    <row r="203" spans="1:26" ht="9" customHeight="1" x14ac:dyDescent="0.2">
      <c r="A203" s="95"/>
      <c r="B203" s="95"/>
      <c r="C203" s="34" t="s">
        <v>37</v>
      </c>
      <c r="D203" s="35">
        <v>22</v>
      </c>
      <c r="E203" s="36">
        <v>17915997</v>
      </c>
      <c r="F203" s="36">
        <v>1968005</v>
      </c>
      <c r="G203" s="36">
        <v>240001</v>
      </c>
      <c r="H203" s="36">
        <v>12361361</v>
      </c>
      <c r="I203" s="36">
        <v>0</v>
      </c>
      <c r="J203" s="37">
        <v>2707118</v>
      </c>
      <c r="K203" s="36">
        <v>32485363</v>
      </c>
      <c r="L203" s="38">
        <v>35192482</v>
      </c>
      <c r="M203" s="39"/>
      <c r="N203" s="36">
        <v>32485363</v>
      </c>
      <c r="O203" s="36">
        <v>20124003</v>
      </c>
      <c r="P203" s="36">
        <v>0</v>
      </c>
      <c r="Q203" s="36">
        <f>Q202*1936.27</f>
        <v>38814802.232948005</v>
      </c>
      <c r="R203" s="7"/>
      <c r="S203" s="7"/>
      <c r="T203" s="7"/>
      <c r="U203" s="7"/>
      <c r="V203" s="7"/>
      <c r="W203" s="7"/>
      <c r="X203" s="7"/>
      <c r="Y203" s="7"/>
      <c r="Z203" s="7"/>
    </row>
    <row r="204" spans="1:26" ht="12.75" customHeight="1" x14ac:dyDescent="0.2">
      <c r="A204" s="95"/>
      <c r="B204" s="95"/>
      <c r="C204" s="40" t="s">
        <v>36</v>
      </c>
      <c r="D204" s="41">
        <v>23</v>
      </c>
      <c r="E204" s="42">
        <v>9519.33</v>
      </c>
      <c r="F204" s="42">
        <v>1047.3699999999999</v>
      </c>
      <c r="G204" s="42">
        <v>123.95</v>
      </c>
      <c r="H204" s="42">
        <v>6384.11</v>
      </c>
      <c r="I204" s="42">
        <v>0</v>
      </c>
      <c r="J204" s="42">
        <v>1422.9</v>
      </c>
      <c r="K204" s="43">
        <v>17074.759999999998</v>
      </c>
      <c r="L204" s="32">
        <v>18497.66</v>
      </c>
      <c r="M204" s="33"/>
      <c r="N204" s="30">
        <v>17074.759999999998</v>
      </c>
      <c r="O204" s="30">
        <v>10690.65</v>
      </c>
      <c r="P204" s="30"/>
      <c r="Q204" s="30">
        <f>(N204+O204*0.18+J204)+(IF((P204-O204*0.18)&gt;0,(P204-O204*0.18),0))</f>
        <v>20421.976999999999</v>
      </c>
      <c r="R204" s="7"/>
      <c r="S204" s="7"/>
      <c r="T204" s="7"/>
      <c r="U204" s="7"/>
      <c r="V204" s="7"/>
      <c r="W204" s="7"/>
      <c r="X204" s="7"/>
      <c r="Y204" s="7"/>
      <c r="Z204" s="7"/>
    </row>
    <row r="205" spans="1:26" ht="9" customHeight="1" x14ac:dyDescent="0.2">
      <c r="A205" s="95"/>
      <c r="B205" s="95"/>
      <c r="C205" s="34" t="s">
        <v>37</v>
      </c>
      <c r="D205" s="35">
        <v>23</v>
      </c>
      <c r="E205" s="36">
        <v>18431993</v>
      </c>
      <c r="F205" s="36">
        <v>2027991</v>
      </c>
      <c r="G205" s="36">
        <v>240001</v>
      </c>
      <c r="H205" s="36">
        <v>12361361</v>
      </c>
      <c r="I205" s="36">
        <v>0</v>
      </c>
      <c r="J205" s="37">
        <v>2755119</v>
      </c>
      <c r="K205" s="36">
        <v>33061346</v>
      </c>
      <c r="L205" s="38">
        <v>35816464</v>
      </c>
      <c r="M205" s="39"/>
      <c r="N205" s="36">
        <v>33061346</v>
      </c>
      <c r="O205" s="36">
        <v>20699985</v>
      </c>
      <c r="P205" s="36">
        <v>0</v>
      </c>
      <c r="Q205" s="36">
        <f>Q204*1936.27</f>
        <v>39542461.405790001</v>
      </c>
      <c r="R205" s="7"/>
      <c r="S205" s="7"/>
      <c r="T205" s="7"/>
      <c r="U205" s="7"/>
      <c r="V205" s="7"/>
      <c r="W205" s="7"/>
      <c r="X205" s="7"/>
      <c r="Y205" s="7"/>
      <c r="Z205" s="7"/>
    </row>
    <row r="206" spans="1:26" ht="12.75" customHeight="1" x14ac:dyDescent="0.2">
      <c r="A206" s="95"/>
      <c r="B206" s="95"/>
      <c r="C206" s="40" t="s">
        <v>36</v>
      </c>
      <c r="D206" s="41">
        <v>24</v>
      </c>
      <c r="E206" s="42">
        <v>9792.02</v>
      </c>
      <c r="F206" s="42">
        <v>1072.1600000000001</v>
      </c>
      <c r="G206" s="42">
        <v>123.95</v>
      </c>
      <c r="H206" s="42">
        <v>6384.11</v>
      </c>
      <c r="I206" s="42">
        <v>0</v>
      </c>
      <c r="J206" s="42">
        <v>1447.69</v>
      </c>
      <c r="K206" s="43">
        <v>17372.240000000002</v>
      </c>
      <c r="L206" s="32">
        <v>18819.93</v>
      </c>
      <c r="M206" s="33"/>
      <c r="N206" s="30">
        <v>17372.240000000002</v>
      </c>
      <c r="O206" s="30">
        <v>10988.13</v>
      </c>
      <c r="P206" s="30"/>
      <c r="Q206" s="30">
        <f>(N206+O206*0.18+J206)+(IF((P206-O206*0.18)&gt;0,(P206-O206*0.18),0))</f>
        <v>20797.793399999999</v>
      </c>
      <c r="R206" s="7"/>
      <c r="S206" s="7"/>
      <c r="T206" s="7"/>
      <c r="U206" s="7"/>
      <c r="V206" s="7"/>
      <c r="W206" s="7"/>
      <c r="X206" s="7"/>
      <c r="Y206" s="7"/>
      <c r="Z206" s="7"/>
    </row>
    <row r="207" spans="1:26" ht="9" customHeight="1" x14ac:dyDescent="0.2">
      <c r="A207" s="95"/>
      <c r="B207" s="95"/>
      <c r="C207" s="34" t="s">
        <v>37</v>
      </c>
      <c r="D207" s="35">
        <v>25</v>
      </c>
      <c r="E207" s="36">
        <v>18959995</v>
      </c>
      <c r="F207" s="36">
        <v>2075991</v>
      </c>
      <c r="G207" s="36">
        <v>240001</v>
      </c>
      <c r="H207" s="36">
        <v>12361361</v>
      </c>
      <c r="I207" s="36">
        <v>0</v>
      </c>
      <c r="J207" s="37">
        <v>2803119</v>
      </c>
      <c r="K207" s="36">
        <v>33637347</v>
      </c>
      <c r="L207" s="38">
        <v>36440466</v>
      </c>
      <c r="M207" s="39"/>
      <c r="N207" s="36">
        <v>33637347</v>
      </c>
      <c r="O207" s="36">
        <v>21275986</v>
      </c>
      <c r="P207" s="36">
        <v>0</v>
      </c>
      <c r="Q207" s="36">
        <f>Q206*1936.27</f>
        <v>40270143.426617995</v>
      </c>
      <c r="R207" s="7"/>
      <c r="S207" s="7"/>
      <c r="T207" s="7"/>
      <c r="U207" s="7"/>
      <c r="V207" s="7"/>
      <c r="W207" s="7"/>
      <c r="X207" s="7"/>
      <c r="Y207" s="7"/>
      <c r="Z207" s="7"/>
    </row>
    <row r="208" spans="1:26" ht="12.75" customHeight="1" x14ac:dyDescent="0.2">
      <c r="A208" s="95"/>
      <c r="B208" s="95"/>
      <c r="C208" s="40" t="s">
        <v>36</v>
      </c>
      <c r="D208" s="41">
        <v>26</v>
      </c>
      <c r="E208" s="42">
        <v>10058.51</v>
      </c>
      <c r="F208" s="42">
        <v>1103.1500000000001</v>
      </c>
      <c r="G208" s="42">
        <v>123.95</v>
      </c>
      <c r="H208" s="42">
        <v>6384.11</v>
      </c>
      <c r="I208" s="42">
        <v>0</v>
      </c>
      <c r="J208" s="42">
        <v>1472.48</v>
      </c>
      <c r="K208" s="43">
        <v>17669.72</v>
      </c>
      <c r="L208" s="32">
        <v>19142.2</v>
      </c>
      <c r="M208" s="33"/>
      <c r="N208" s="30">
        <v>17669.72</v>
      </c>
      <c r="O208" s="30">
        <v>11285.61</v>
      </c>
      <c r="P208" s="30"/>
      <c r="Q208" s="30">
        <f>(N208+O208*0.18+J208)+(IF((P208-O208*0.18)&gt;0,(P208-O208*0.18),0))</f>
        <v>21173.609800000002</v>
      </c>
      <c r="R208" s="7"/>
      <c r="S208" s="7"/>
      <c r="T208" s="7"/>
      <c r="U208" s="7"/>
      <c r="V208" s="7"/>
      <c r="W208" s="7"/>
      <c r="X208" s="7"/>
      <c r="Y208" s="7"/>
      <c r="Z208" s="7"/>
    </row>
    <row r="209" spans="1:26" ht="9" customHeight="1" x14ac:dyDescent="0.2">
      <c r="A209" s="95"/>
      <c r="B209" s="95"/>
      <c r="C209" s="34" t="s">
        <v>37</v>
      </c>
      <c r="D209" s="35">
        <v>27</v>
      </c>
      <c r="E209" s="36">
        <v>19475991</v>
      </c>
      <c r="F209" s="36">
        <v>2135996</v>
      </c>
      <c r="G209" s="36">
        <v>240001</v>
      </c>
      <c r="H209" s="36">
        <v>12361361</v>
      </c>
      <c r="I209" s="36">
        <v>0</v>
      </c>
      <c r="J209" s="37">
        <v>2851119</v>
      </c>
      <c r="K209" s="36">
        <v>34213349</v>
      </c>
      <c r="L209" s="38">
        <v>37064468</v>
      </c>
      <c r="M209" s="39"/>
      <c r="N209" s="36">
        <v>34213349</v>
      </c>
      <c r="O209" s="36">
        <v>21851988</v>
      </c>
      <c r="P209" s="36">
        <v>0</v>
      </c>
      <c r="Q209" s="36">
        <f>Q208*1936.27</f>
        <v>40997825.447446004</v>
      </c>
      <c r="R209" s="7"/>
      <c r="S209" s="7"/>
      <c r="T209" s="7"/>
      <c r="U209" s="7"/>
      <c r="V209" s="7"/>
      <c r="W209" s="7"/>
      <c r="X209" s="7"/>
      <c r="Y209" s="7"/>
      <c r="Z209" s="7"/>
    </row>
    <row r="210" spans="1:26" ht="12.75" customHeight="1" x14ac:dyDescent="0.2">
      <c r="A210" s="95"/>
      <c r="B210" s="95"/>
      <c r="C210" s="40" t="s">
        <v>36</v>
      </c>
      <c r="D210" s="41">
        <v>28</v>
      </c>
      <c r="E210" s="42">
        <v>10331.200000000001</v>
      </c>
      <c r="F210" s="42">
        <v>1134.1400000000001</v>
      </c>
      <c r="G210" s="42">
        <v>123.95</v>
      </c>
      <c r="H210" s="42">
        <v>6384.11</v>
      </c>
      <c r="I210" s="42">
        <v>0</v>
      </c>
      <c r="J210" s="42">
        <v>1497.78</v>
      </c>
      <c r="K210" s="43">
        <v>17973.400000000001</v>
      </c>
      <c r="L210" s="32">
        <v>19471.18</v>
      </c>
      <c r="M210" s="33"/>
      <c r="N210" s="30">
        <v>17973.400000000001</v>
      </c>
      <c r="O210" s="30">
        <v>11589.29</v>
      </c>
      <c r="P210" s="30"/>
      <c r="Q210" s="30">
        <f>(N210+O210*0.18+J210)+(IF((P210-O210*0.18)&gt;0,(P210-O210*0.18),0))</f>
        <v>21557.252199999999</v>
      </c>
      <c r="R210" s="7"/>
      <c r="S210" s="7"/>
      <c r="T210" s="7"/>
      <c r="U210" s="7"/>
      <c r="V210" s="7"/>
      <c r="W210" s="7"/>
      <c r="X210" s="7"/>
      <c r="Y210" s="7"/>
      <c r="Z210" s="7"/>
    </row>
    <row r="211" spans="1:26" ht="9" customHeight="1" x14ac:dyDescent="0.2">
      <c r="A211" s="95"/>
      <c r="B211" s="95"/>
      <c r="C211" s="34" t="s">
        <v>37</v>
      </c>
      <c r="D211" s="35">
        <v>29</v>
      </c>
      <c r="E211" s="36">
        <v>20003993</v>
      </c>
      <c r="F211" s="36">
        <v>2196001</v>
      </c>
      <c r="G211" s="36">
        <v>240001</v>
      </c>
      <c r="H211" s="36">
        <v>12361361</v>
      </c>
      <c r="I211" s="36">
        <v>0</v>
      </c>
      <c r="J211" s="37">
        <v>2900106</v>
      </c>
      <c r="K211" s="36">
        <v>34801355</v>
      </c>
      <c r="L211" s="38">
        <v>37701462</v>
      </c>
      <c r="M211" s="39"/>
      <c r="N211" s="36">
        <v>34801355</v>
      </c>
      <c r="O211" s="36">
        <v>22439995</v>
      </c>
      <c r="P211" s="36">
        <v>0</v>
      </c>
      <c r="Q211" s="36">
        <f>Q210*1936.27</f>
        <v>41740660.717294</v>
      </c>
      <c r="R211" s="7"/>
      <c r="S211" s="7"/>
      <c r="T211" s="7"/>
      <c r="U211" s="7"/>
      <c r="V211" s="7"/>
      <c r="W211" s="7"/>
      <c r="X211" s="7"/>
      <c r="Y211" s="7"/>
      <c r="Z211" s="7"/>
    </row>
    <row r="212" spans="1:26" ht="12.75" customHeight="1" x14ac:dyDescent="0.2">
      <c r="A212" s="95"/>
      <c r="B212" s="95"/>
      <c r="C212" s="40" t="s">
        <v>36</v>
      </c>
      <c r="D212" s="41">
        <v>30</v>
      </c>
      <c r="E212" s="42">
        <v>10603.89</v>
      </c>
      <c r="F212" s="42">
        <v>1165.1300000000001</v>
      </c>
      <c r="G212" s="42">
        <v>123.95</v>
      </c>
      <c r="H212" s="42">
        <v>6384.11</v>
      </c>
      <c r="I212" s="42">
        <v>0</v>
      </c>
      <c r="J212" s="42">
        <v>1523.09</v>
      </c>
      <c r="K212" s="43">
        <v>18277.080000000002</v>
      </c>
      <c r="L212" s="32">
        <v>19800.169999999998</v>
      </c>
      <c r="M212" s="33"/>
      <c r="N212" s="30">
        <v>18277.080000000002</v>
      </c>
      <c r="O212" s="30">
        <v>11892.97</v>
      </c>
      <c r="P212" s="30"/>
      <c r="Q212" s="30">
        <f>(N212+O212*0.18+J212)+(IF((P212-O212*0.18)&gt;0,(P212-O212*0.18),0))</f>
        <v>21940.904600000002</v>
      </c>
      <c r="R212" s="7"/>
      <c r="S212" s="7"/>
      <c r="T212" s="7"/>
      <c r="U212" s="7"/>
      <c r="V212" s="7"/>
      <c r="W212" s="7"/>
      <c r="X212" s="7"/>
      <c r="Y212" s="7"/>
      <c r="Z212" s="7"/>
    </row>
    <row r="213" spans="1:26" ht="9" customHeight="1" x14ac:dyDescent="0.2">
      <c r="A213" s="95"/>
      <c r="B213" s="95"/>
      <c r="C213" s="34" t="s">
        <v>37</v>
      </c>
      <c r="D213" s="35">
        <v>31</v>
      </c>
      <c r="E213" s="36">
        <v>20531994</v>
      </c>
      <c r="F213" s="36">
        <v>2256006</v>
      </c>
      <c r="G213" s="36">
        <v>240001</v>
      </c>
      <c r="H213" s="36">
        <v>12361361</v>
      </c>
      <c r="I213" s="36">
        <v>0</v>
      </c>
      <c r="J213" s="37">
        <v>2949113</v>
      </c>
      <c r="K213" s="36">
        <v>35389362</v>
      </c>
      <c r="L213" s="38">
        <v>38338475</v>
      </c>
      <c r="M213" s="39"/>
      <c r="N213" s="36">
        <v>35389362</v>
      </c>
      <c r="O213" s="36">
        <v>23028001</v>
      </c>
      <c r="P213" s="36">
        <v>0</v>
      </c>
      <c r="Q213" s="36">
        <f>Q212*1936.27</f>
        <v>42483515.349842004</v>
      </c>
      <c r="R213" s="7"/>
      <c r="S213" s="7"/>
      <c r="T213" s="7"/>
      <c r="U213" s="7"/>
      <c r="V213" s="7"/>
      <c r="W213" s="7"/>
      <c r="X213" s="7"/>
      <c r="Y213" s="7"/>
      <c r="Z213" s="7"/>
    </row>
    <row r="214" spans="1:26" ht="12.75" customHeight="1" x14ac:dyDescent="0.2">
      <c r="A214" s="95"/>
      <c r="B214" s="95"/>
      <c r="C214" s="40" t="s">
        <v>36</v>
      </c>
      <c r="D214" s="41">
        <v>32</v>
      </c>
      <c r="E214" s="42">
        <v>10870.38</v>
      </c>
      <c r="F214" s="42">
        <v>1189.92</v>
      </c>
      <c r="G214" s="42">
        <v>123.95</v>
      </c>
      <c r="H214" s="42">
        <v>6384.11</v>
      </c>
      <c r="I214" s="42">
        <v>0</v>
      </c>
      <c r="J214" s="42">
        <v>1547.36</v>
      </c>
      <c r="K214" s="43">
        <v>18568.36</v>
      </c>
      <c r="L214" s="32">
        <v>20115.72</v>
      </c>
      <c r="M214" s="33"/>
      <c r="N214" s="30">
        <v>18568.36</v>
      </c>
      <c r="O214" s="30">
        <v>12184.25</v>
      </c>
      <c r="P214" s="30"/>
      <c r="Q214" s="30">
        <f>(N214+O214*0.18+J214)+(IF((P214-O214*0.18)&gt;0,(P214-O214*0.18),0))</f>
        <v>22308.885000000002</v>
      </c>
      <c r="R214" s="7"/>
      <c r="S214" s="7"/>
      <c r="T214" s="7"/>
      <c r="U214" s="7"/>
      <c r="V214" s="7"/>
      <c r="W214" s="7"/>
      <c r="X214" s="7"/>
      <c r="Y214" s="7"/>
      <c r="Z214" s="7"/>
    </row>
    <row r="215" spans="1:26" ht="9" customHeight="1" x14ac:dyDescent="0.2">
      <c r="A215" s="95"/>
      <c r="B215" s="95"/>
      <c r="C215" s="34" t="s">
        <v>37</v>
      </c>
      <c r="D215" s="35">
        <v>33</v>
      </c>
      <c r="E215" s="36">
        <v>21047991</v>
      </c>
      <c r="F215" s="36">
        <v>2304006</v>
      </c>
      <c r="G215" s="36">
        <v>240001</v>
      </c>
      <c r="H215" s="36">
        <v>12361361</v>
      </c>
      <c r="I215" s="36">
        <v>0</v>
      </c>
      <c r="J215" s="37">
        <v>2996107</v>
      </c>
      <c r="K215" s="36">
        <v>35953358</v>
      </c>
      <c r="L215" s="38">
        <v>38949465</v>
      </c>
      <c r="M215" s="39"/>
      <c r="N215" s="36">
        <v>35953358</v>
      </c>
      <c r="O215" s="36">
        <v>23591998</v>
      </c>
      <c r="P215" s="36">
        <v>0</v>
      </c>
      <c r="Q215" s="36">
        <f>Q214*1936.27</f>
        <v>43196024.758950002</v>
      </c>
      <c r="R215" s="7"/>
      <c r="S215" s="7"/>
      <c r="T215" s="7"/>
      <c r="U215" s="7"/>
      <c r="V215" s="7"/>
      <c r="W215" s="7"/>
      <c r="X215" s="7"/>
      <c r="Y215" s="7"/>
      <c r="Z215" s="7"/>
    </row>
    <row r="216" spans="1:26" ht="12.75" customHeight="1" x14ac:dyDescent="0.2">
      <c r="A216" s="95"/>
      <c r="B216" s="95"/>
      <c r="C216" s="40" t="s">
        <v>36</v>
      </c>
      <c r="D216" s="41">
        <v>34</v>
      </c>
      <c r="E216" s="42">
        <v>11136.88</v>
      </c>
      <c r="F216" s="42">
        <v>1220.9000000000001</v>
      </c>
      <c r="G216" s="42">
        <v>123.95</v>
      </c>
      <c r="H216" s="42">
        <v>6384.11</v>
      </c>
      <c r="I216" s="42">
        <v>0</v>
      </c>
      <c r="J216" s="42">
        <v>1572.15</v>
      </c>
      <c r="K216" s="43">
        <v>18865.84</v>
      </c>
      <c r="L216" s="32">
        <v>20437.990000000002</v>
      </c>
      <c r="M216" s="33"/>
      <c r="N216" s="30">
        <v>18865.84</v>
      </c>
      <c r="O216" s="30">
        <v>12481.73</v>
      </c>
      <c r="P216" s="30"/>
      <c r="Q216" s="30">
        <f>(N216+O216*0.18+J216)+(IF((P216-O216*0.18)&gt;0,(P216-O216*0.18),0))</f>
        <v>22684.701400000002</v>
      </c>
      <c r="R216" s="7"/>
      <c r="S216" s="7"/>
      <c r="T216" s="7"/>
      <c r="U216" s="7"/>
      <c r="V216" s="7"/>
      <c r="W216" s="7"/>
      <c r="X216" s="7"/>
      <c r="Y216" s="7"/>
      <c r="Z216" s="7"/>
    </row>
    <row r="217" spans="1:26" ht="9" customHeight="1" x14ac:dyDescent="0.2">
      <c r="A217" s="95"/>
      <c r="B217" s="95"/>
      <c r="C217" s="34" t="s">
        <v>37</v>
      </c>
      <c r="D217" s="35">
        <v>35</v>
      </c>
      <c r="E217" s="36">
        <v>21564007</v>
      </c>
      <c r="F217" s="36">
        <v>2363992</v>
      </c>
      <c r="G217" s="36">
        <v>240001</v>
      </c>
      <c r="H217" s="36">
        <v>12361361</v>
      </c>
      <c r="I217" s="36">
        <v>0</v>
      </c>
      <c r="J217" s="37">
        <v>3044107</v>
      </c>
      <c r="K217" s="36">
        <v>36529360</v>
      </c>
      <c r="L217" s="38">
        <v>39573467</v>
      </c>
      <c r="M217" s="39"/>
      <c r="N217" s="36">
        <v>36529360</v>
      </c>
      <c r="O217" s="36">
        <v>24167999</v>
      </c>
      <c r="P217" s="36">
        <v>0</v>
      </c>
      <c r="Q217" s="36">
        <f>Q216*1936.27</f>
        <v>43923706.779778004</v>
      </c>
      <c r="R217" s="7"/>
      <c r="S217" s="7"/>
      <c r="T217" s="7"/>
      <c r="U217" s="7"/>
      <c r="V217" s="7"/>
      <c r="W217" s="7"/>
      <c r="X217" s="7"/>
      <c r="Y217" s="7"/>
      <c r="Z217" s="7"/>
    </row>
    <row r="218" spans="1:26" ht="12.75" customHeight="1" x14ac:dyDescent="0.2">
      <c r="A218" s="95"/>
      <c r="B218" s="95"/>
      <c r="C218" s="40" t="s">
        <v>36</v>
      </c>
      <c r="D218" s="41">
        <v>36</v>
      </c>
      <c r="E218" s="42">
        <v>11409.57</v>
      </c>
      <c r="F218" s="42">
        <v>1251.8900000000001</v>
      </c>
      <c r="G218" s="42">
        <v>123.95</v>
      </c>
      <c r="H218" s="42">
        <v>6384.11</v>
      </c>
      <c r="I218" s="42">
        <v>0</v>
      </c>
      <c r="J218" s="42">
        <v>1597.46</v>
      </c>
      <c r="K218" s="43">
        <v>19169.52</v>
      </c>
      <c r="L218" s="32">
        <v>20766.98</v>
      </c>
      <c r="M218" s="33"/>
      <c r="N218" s="30">
        <v>19169.52</v>
      </c>
      <c r="O218" s="30">
        <v>12785.41</v>
      </c>
      <c r="P218" s="30"/>
      <c r="Q218" s="30">
        <f>(N218+O218*0.18+J218)+(IF((P218-O218*0.18)&gt;0,(P218-O218*0.18),0))</f>
        <v>23068.353800000001</v>
      </c>
      <c r="R218" s="7"/>
      <c r="S218" s="7"/>
      <c r="T218" s="7"/>
      <c r="U218" s="7"/>
      <c r="V218" s="7"/>
      <c r="W218" s="7"/>
      <c r="X218" s="7"/>
      <c r="Y218" s="7"/>
      <c r="Z218" s="7"/>
    </row>
    <row r="219" spans="1:26" ht="9" customHeight="1" x14ac:dyDescent="0.2">
      <c r="A219" s="95"/>
      <c r="B219" s="95"/>
      <c r="C219" s="34" t="s">
        <v>37</v>
      </c>
      <c r="D219" s="35">
        <v>37</v>
      </c>
      <c r="E219" s="36">
        <v>22092008</v>
      </c>
      <c r="F219" s="36">
        <v>2423997</v>
      </c>
      <c r="G219" s="36">
        <v>240001</v>
      </c>
      <c r="H219" s="36">
        <v>12361361</v>
      </c>
      <c r="I219" s="36">
        <v>0</v>
      </c>
      <c r="J219" s="37">
        <v>3093114</v>
      </c>
      <c r="K219" s="36">
        <v>37117366</v>
      </c>
      <c r="L219" s="38">
        <v>40210480</v>
      </c>
      <c r="M219" s="39"/>
      <c r="N219" s="36">
        <v>37117366</v>
      </c>
      <c r="O219" s="36">
        <v>24756006</v>
      </c>
      <c r="P219" s="36">
        <v>0</v>
      </c>
      <c r="Q219" s="36">
        <f>Q218*1936.27</f>
        <v>44666561.412326001</v>
      </c>
      <c r="R219" s="7"/>
      <c r="S219" s="7"/>
      <c r="T219" s="7"/>
      <c r="U219" s="7"/>
      <c r="V219" s="7"/>
      <c r="W219" s="7"/>
      <c r="X219" s="7"/>
      <c r="Y219" s="7"/>
      <c r="Z219" s="7"/>
    </row>
    <row r="220" spans="1:26" ht="12.75" customHeight="1" x14ac:dyDescent="0.2">
      <c r="A220" s="95"/>
      <c r="B220" s="95"/>
      <c r="C220" s="40" t="s">
        <v>36</v>
      </c>
      <c r="D220" s="41">
        <v>38</v>
      </c>
      <c r="E220" s="42">
        <v>11676.06</v>
      </c>
      <c r="F220" s="42">
        <v>1282.8800000000001</v>
      </c>
      <c r="G220" s="42">
        <v>123.95</v>
      </c>
      <c r="H220" s="42">
        <v>6384.11</v>
      </c>
      <c r="I220" s="42">
        <v>0</v>
      </c>
      <c r="J220" s="42">
        <v>1622.25</v>
      </c>
      <c r="K220" s="43">
        <v>19467</v>
      </c>
      <c r="L220" s="32">
        <v>21089.25</v>
      </c>
      <c r="M220" s="33"/>
      <c r="N220" s="30">
        <v>19467</v>
      </c>
      <c r="O220" s="30">
        <v>13082.89</v>
      </c>
      <c r="P220" s="30"/>
      <c r="Q220" s="30">
        <f>(N220+O220*0.18+J220)+(IF((P220-O220*0.18)&gt;0,(P220-O220*0.18),0))</f>
        <v>23444.1702</v>
      </c>
      <c r="R220" s="7"/>
      <c r="S220" s="7"/>
      <c r="T220" s="7"/>
      <c r="U220" s="7"/>
      <c r="V220" s="7"/>
      <c r="W220" s="7"/>
      <c r="X220" s="7"/>
      <c r="Y220" s="7"/>
      <c r="Z220" s="7"/>
    </row>
    <row r="221" spans="1:26" ht="9" customHeight="1" x14ac:dyDescent="0.2">
      <c r="A221" s="95"/>
      <c r="B221" s="95"/>
      <c r="C221" s="34" t="s">
        <v>37</v>
      </c>
      <c r="D221" s="35">
        <v>39</v>
      </c>
      <c r="E221" s="36">
        <v>22608005</v>
      </c>
      <c r="F221" s="36">
        <v>2484002</v>
      </c>
      <c r="G221" s="36">
        <v>240001</v>
      </c>
      <c r="H221" s="36">
        <v>12361361</v>
      </c>
      <c r="I221" s="36">
        <v>0</v>
      </c>
      <c r="J221" s="37">
        <v>3141114</v>
      </c>
      <c r="K221" s="36">
        <v>37693368</v>
      </c>
      <c r="L221" s="38">
        <v>40834482</v>
      </c>
      <c r="M221" s="39"/>
      <c r="N221" s="36">
        <v>37693368</v>
      </c>
      <c r="O221" s="36">
        <v>25332007</v>
      </c>
      <c r="P221" s="36">
        <v>0</v>
      </c>
      <c r="Q221" s="36">
        <f>Q220*1936.27</f>
        <v>45394243.433154002</v>
      </c>
      <c r="R221" s="7"/>
      <c r="S221" s="7"/>
      <c r="T221" s="7"/>
      <c r="U221" s="7"/>
      <c r="V221" s="7"/>
      <c r="W221" s="7"/>
      <c r="X221" s="7"/>
      <c r="Y221" s="7"/>
      <c r="Z221" s="7"/>
    </row>
    <row r="222" spans="1:26" ht="9" customHeight="1" x14ac:dyDescent="0.2">
      <c r="A222" s="95"/>
      <c r="B222" s="95"/>
      <c r="C222" s="44"/>
      <c r="D222" s="45"/>
      <c r="E222" s="96"/>
      <c r="F222" s="96"/>
      <c r="G222" s="96"/>
      <c r="H222" s="96"/>
      <c r="I222" s="96"/>
      <c r="J222" s="54"/>
      <c r="K222" s="96"/>
      <c r="L222" s="96"/>
      <c r="M222" s="39"/>
      <c r="N222" s="96"/>
      <c r="O222" s="96"/>
      <c r="P222" s="96"/>
      <c r="Q222" s="96"/>
      <c r="R222" s="7"/>
      <c r="S222" s="7"/>
      <c r="T222" s="7"/>
      <c r="U222" s="7"/>
      <c r="V222" s="7"/>
      <c r="W222" s="7"/>
      <c r="X222" s="7"/>
      <c r="Y222" s="7"/>
      <c r="Z222" s="7"/>
    </row>
    <row r="223" spans="1:26" ht="9" customHeight="1" x14ac:dyDescent="0.2">
      <c r="A223" s="95"/>
      <c r="B223" s="95"/>
      <c r="C223" s="44"/>
      <c r="D223" s="45"/>
      <c r="E223" s="96"/>
      <c r="F223" s="96"/>
      <c r="G223" s="96"/>
      <c r="H223" s="96"/>
      <c r="I223" s="96"/>
      <c r="J223" s="54"/>
      <c r="K223" s="96"/>
      <c r="L223" s="96"/>
      <c r="M223" s="39"/>
      <c r="N223" s="96"/>
      <c r="O223" s="96"/>
      <c r="P223" s="96"/>
      <c r="Q223" s="96"/>
      <c r="R223" s="7"/>
      <c r="S223" s="7"/>
      <c r="T223" s="7"/>
      <c r="U223" s="7"/>
      <c r="V223" s="7"/>
      <c r="W223" s="7"/>
      <c r="X223" s="7"/>
      <c r="Y223" s="7"/>
      <c r="Z223" s="7"/>
    </row>
    <row r="224" spans="1:26" ht="12.75" customHeight="1" x14ac:dyDescent="0.2">
      <c r="A224" s="95"/>
      <c r="B224" s="95"/>
      <c r="C224" s="40" t="s">
        <v>36</v>
      </c>
      <c r="D224" s="41">
        <v>40</v>
      </c>
      <c r="E224" s="42">
        <v>11948.75</v>
      </c>
      <c r="F224" s="42">
        <v>1313.87</v>
      </c>
      <c r="G224" s="42">
        <v>123.95</v>
      </c>
      <c r="H224" s="42">
        <v>6384.11</v>
      </c>
      <c r="I224" s="42">
        <v>0</v>
      </c>
      <c r="J224" s="42">
        <v>1647.56</v>
      </c>
      <c r="K224" s="43">
        <v>19770.68</v>
      </c>
      <c r="L224" s="32">
        <v>21418.240000000002</v>
      </c>
      <c r="M224" s="33"/>
      <c r="N224" s="30">
        <v>19770.68</v>
      </c>
      <c r="O224" s="30">
        <v>13386.57</v>
      </c>
      <c r="P224" s="30"/>
      <c r="Q224" s="30">
        <f>(N224+O224*0.18+J224)+(IF((P224-O224*0.18)&gt;0,(P224-O224*0.18),0))</f>
        <v>23827.822600000003</v>
      </c>
      <c r="R224" s="7"/>
      <c r="S224" s="7"/>
      <c r="T224" s="7"/>
      <c r="U224" s="7"/>
      <c r="V224" s="7"/>
      <c r="W224" s="7"/>
      <c r="X224" s="7"/>
      <c r="Y224" s="7"/>
      <c r="Z224" s="7"/>
    </row>
    <row r="225" spans="1:26" ht="9" customHeight="1" x14ac:dyDescent="0.2">
      <c r="A225" s="110"/>
      <c r="B225" s="110"/>
      <c r="C225" s="47"/>
      <c r="D225" s="48"/>
      <c r="E225" s="46">
        <v>23136006</v>
      </c>
      <c r="F225" s="46">
        <v>2544007</v>
      </c>
      <c r="G225" s="46">
        <v>240001</v>
      </c>
      <c r="H225" s="46">
        <v>12361361</v>
      </c>
      <c r="I225" s="46">
        <v>0</v>
      </c>
      <c r="J225" s="49">
        <v>3190121</v>
      </c>
      <c r="K225" s="46">
        <v>38281375</v>
      </c>
      <c r="L225" s="38">
        <v>41471496</v>
      </c>
      <c r="M225" s="39"/>
      <c r="N225" s="36">
        <v>38281375</v>
      </c>
      <c r="O225" s="36">
        <v>25920014</v>
      </c>
      <c r="P225" s="36">
        <v>0</v>
      </c>
      <c r="Q225" s="36">
        <f>Q224*1936.27</f>
        <v>46137098.065702006</v>
      </c>
      <c r="R225" s="7"/>
      <c r="S225" s="7"/>
      <c r="T225" s="7"/>
      <c r="U225" s="7"/>
      <c r="V225" s="7"/>
      <c r="W225" s="7"/>
      <c r="X225" s="7"/>
      <c r="Y225" s="7"/>
      <c r="Z225" s="7"/>
    </row>
    <row r="226" spans="1:26" ht="12.75" customHeight="1" x14ac:dyDescent="0.2">
      <c r="A226" s="98">
        <v>34425</v>
      </c>
      <c r="B226" s="98">
        <v>34515</v>
      </c>
      <c r="C226" s="28" t="s">
        <v>36</v>
      </c>
      <c r="D226" s="29">
        <v>0</v>
      </c>
      <c r="E226" s="30">
        <v>5751.26</v>
      </c>
      <c r="F226" s="30">
        <v>632.14</v>
      </c>
      <c r="G226" s="30">
        <v>123.95</v>
      </c>
      <c r="H226" s="30">
        <v>6384.11</v>
      </c>
      <c r="I226" s="30">
        <v>127.42</v>
      </c>
      <c r="J226" s="30">
        <v>1074.29</v>
      </c>
      <c r="K226" s="31">
        <v>13018.88</v>
      </c>
      <c r="L226" s="32">
        <v>14093.17</v>
      </c>
      <c r="M226" s="33"/>
      <c r="N226" s="30">
        <v>13018.88</v>
      </c>
      <c r="O226" s="30">
        <v>6634.77</v>
      </c>
      <c r="P226" s="30"/>
      <c r="Q226" s="30">
        <f>(N226+O226*0.18+J226)+(IF((P226-O226*0.18)&gt;0,(P226-O226*0.18),0))</f>
        <v>15287.428599999999</v>
      </c>
      <c r="R226" s="7"/>
      <c r="S226" s="7"/>
      <c r="T226" s="7"/>
      <c r="U226" s="7"/>
      <c r="V226" s="7"/>
      <c r="W226" s="7"/>
      <c r="X226" s="7"/>
      <c r="Y226" s="7"/>
      <c r="Z226" s="7"/>
    </row>
    <row r="227" spans="1:26" ht="9" customHeight="1" x14ac:dyDescent="0.2">
      <c r="A227" s="95"/>
      <c r="B227" s="95"/>
      <c r="C227" s="34" t="s">
        <v>37</v>
      </c>
      <c r="D227" s="35">
        <v>2</v>
      </c>
      <c r="E227" s="36">
        <v>11135992</v>
      </c>
      <c r="F227" s="36">
        <v>1223994</v>
      </c>
      <c r="G227" s="36">
        <v>240001</v>
      </c>
      <c r="H227" s="36">
        <v>12361361</v>
      </c>
      <c r="I227" s="36">
        <v>246720</v>
      </c>
      <c r="J227" s="37">
        <v>2080115</v>
      </c>
      <c r="K227" s="36">
        <v>25208067</v>
      </c>
      <c r="L227" s="38">
        <v>27288182</v>
      </c>
      <c r="M227" s="39"/>
      <c r="N227" s="36">
        <v>25208067</v>
      </c>
      <c r="O227" s="36">
        <v>12846706</v>
      </c>
      <c r="P227" s="36">
        <v>0</v>
      </c>
      <c r="Q227" s="36">
        <f>Q226*1936.27</f>
        <v>29600589.375321999</v>
      </c>
      <c r="R227" s="7"/>
      <c r="S227" s="7"/>
      <c r="T227" s="7"/>
      <c r="U227" s="7"/>
      <c r="V227" s="7"/>
      <c r="W227" s="7"/>
      <c r="X227" s="7"/>
      <c r="Y227" s="7"/>
      <c r="Z227" s="7"/>
    </row>
    <row r="228" spans="1:26" ht="12.75" customHeight="1" x14ac:dyDescent="0.2">
      <c r="A228" s="155">
        <v>34425</v>
      </c>
      <c r="B228" s="155">
        <v>34515</v>
      </c>
      <c r="C228" s="40" t="s">
        <v>36</v>
      </c>
      <c r="D228" s="41">
        <v>3</v>
      </c>
      <c r="E228" s="42">
        <v>6061.14</v>
      </c>
      <c r="F228" s="42">
        <v>663.13</v>
      </c>
      <c r="G228" s="42">
        <v>123.95</v>
      </c>
      <c r="H228" s="42">
        <v>6384.11</v>
      </c>
      <c r="I228" s="42">
        <v>127.42</v>
      </c>
      <c r="J228" s="42">
        <v>1102.69</v>
      </c>
      <c r="K228" s="43">
        <v>13359.75</v>
      </c>
      <c r="L228" s="32">
        <v>14462.44</v>
      </c>
      <c r="M228" s="33"/>
      <c r="N228" s="30">
        <v>13359.75</v>
      </c>
      <c r="O228" s="30">
        <v>6975.64</v>
      </c>
      <c r="P228" s="30"/>
      <c r="Q228" s="30">
        <f>(N228+O228*0.18+J228)+(IF((P228-O228*0.18)&gt;0,(P228-O228*0.18),0))</f>
        <v>15718.055200000001</v>
      </c>
      <c r="R228" s="7"/>
      <c r="S228" s="7"/>
      <c r="T228" s="7"/>
      <c r="U228" s="7"/>
      <c r="V228" s="7"/>
      <c r="W228" s="7"/>
      <c r="X228" s="7"/>
      <c r="Y228" s="7"/>
      <c r="Z228" s="7"/>
    </row>
    <row r="229" spans="1:26" ht="9" customHeight="1" x14ac:dyDescent="0.2">
      <c r="A229" s="95"/>
      <c r="B229" s="95"/>
      <c r="C229" s="34" t="s">
        <v>37</v>
      </c>
      <c r="D229" s="35">
        <v>4</v>
      </c>
      <c r="E229" s="36">
        <v>11736004</v>
      </c>
      <c r="F229" s="36">
        <v>1283999</v>
      </c>
      <c r="G229" s="36">
        <v>240001</v>
      </c>
      <c r="H229" s="36">
        <v>12361361</v>
      </c>
      <c r="I229" s="36">
        <v>246720</v>
      </c>
      <c r="J229" s="37">
        <v>2135106</v>
      </c>
      <c r="K229" s="36">
        <v>25868083</v>
      </c>
      <c r="L229" s="38">
        <v>28003189</v>
      </c>
      <c r="M229" s="39"/>
      <c r="N229" s="36">
        <v>25868083</v>
      </c>
      <c r="O229" s="36">
        <v>13506722</v>
      </c>
      <c r="P229" s="36">
        <v>0</v>
      </c>
      <c r="Q229" s="36">
        <f>Q228*1936.27</f>
        <v>30434398.742104001</v>
      </c>
      <c r="R229" s="7"/>
      <c r="S229" s="7"/>
      <c r="T229" s="7"/>
      <c r="U229" s="7"/>
      <c r="V229" s="7"/>
      <c r="W229" s="7"/>
      <c r="X229" s="7"/>
      <c r="Y229" s="7"/>
      <c r="Z229" s="7"/>
    </row>
    <row r="230" spans="1:26" ht="12.75" customHeight="1" x14ac:dyDescent="0.2">
      <c r="A230" s="95"/>
      <c r="B230" s="95"/>
      <c r="C230" s="40" t="s">
        <v>36</v>
      </c>
      <c r="D230" s="41">
        <v>5</v>
      </c>
      <c r="E230" s="42">
        <v>6371.01</v>
      </c>
      <c r="F230" s="42">
        <v>700.32</v>
      </c>
      <c r="G230" s="42">
        <v>123.95</v>
      </c>
      <c r="H230" s="42">
        <v>6384.11</v>
      </c>
      <c r="I230" s="42">
        <v>127.42</v>
      </c>
      <c r="J230" s="42">
        <v>1131.6199999999999</v>
      </c>
      <c r="K230" s="43">
        <v>13706.81</v>
      </c>
      <c r="L230" s="32">
        <v>14838.43</v>
      </c>
      <c r="M230" s="33"/>
      <c r="N230" s="30">
        <v>13706.81</v>
      </c>
      <c r="O230" s="30">
        <v>7322.7</v>
      </c>
      <c r="P230" s="30"/>
      <c r="Q230" s="30">
        <f>(N230+O230*0.18+J230)+(IF((P230-O230*0.18)&gt;0,(P230-O230*0.18),0))</f>
        <v>16156.516</v>
      </c>
      <c r="R230" s="7"/>
      <c r="S230" s="7"/>
      <c r="T230" s="7"/>
      <c r="U230" s="7"/>
      <c r="V230" s="7"/>
      <c r="W230" s="7"/>
      <c r="X230" s="7"/>
      <c r="Y230" s="7"/>
      <c r="Z230" s="7"/>
    </row>
    <row r="231" spans="1:26" ht="9" customHeight="1" x14ac:dyDescent="0.2">
      <c r="A231" s="95"/>
      <c r="B231" s="95"/>
      <c r="C231" s="34" t="s">
        <v>37</v>
      </c>
      <c r="D231" s="35">
        <v>6</v>
      </c>
      <c r="E231" s="36">
        <v>12335996</v>
      </c>
      <c r="F231" s="36">
        <v>1356009</v>
      </c>
      <c r="G231" s="36">
        <v>240001</v>
      </c>
      <c r="H231" s="36">
        <v>12361361</v>
      </c>
      <c r="I231" s="36">
        <v>246720</v>
      </c>
      <c r="J231" s="37">
        <v>2191122</v>
      </c>
      <c r="K231" s="36">
        <v>26540085</v>
      </c>
      <c r="L231" s="38">
        <v>28731207</v>
      </c>
      <c r="M231" s="39"/>
      <c r="N231" s="36">
        <v>26540085</v>
      </c>
      <c r="O231" s="36">
        <v>14178724</v>
      </c>
      <c r="P231" s="36">
        <v>0</v>
      </c>
      <c r="Q231" s="36">
        <f>Q230*1936.27</f>
        <v>31283377.235319998</v>
      </c>
      <c r="R231" s="7"/>
      <c r="S231" s="7"/>
      <c r="T231" s="7"/>
      <c r="U231" s="7"/>
      <c r="V231" s="7"/>
      <c r="W231" s="7"/>
      <c r="X231" s="7"/>
      <c r="Y231" s="7"/>
      <c r="Z231" s="7"/>
    </row>
    <row r="232" spans="1:26" ht="12.75" customHeight="1" x14ac:dyDescent="0.2">
      <c r="A232" s="95"/>
      <c r="B232" s="95"/>
      <c r="C232" s="40" t="s">
        <v>36</v>
      </c>
      <c r="D232" s="41">
        <v>7</v>
      </c>
      <c r="E232" s="42">
        <v>6674.69</v>
      </c>
      <c r="F232" s="42">
        <v>731.3</v>
      </c>
      <c r="G232" s="42">
        <v>123.95</v>
      </c>
      <c r="H232" s="42">
        <v>6384.11</v>
      </c>
      <c r="I232" s="42">
        <v>127.42</v>
      </c>
      <c r="J232" s="42">
        <v>1159.5</v>
      </c>
      <c r="K232" s="43">
        <v>14041.47</v>
      </c>
      <c r="L232" s="32">
        <v>15200.97</v>
      </c>
      <c r="M232" s="33"/>
      <c r="N232" s="30">
        <v>14041.47</v>
      </c>
      <c r="O232" s="30">
        <v>7657.36</v>
      </c>
      <c r="P232" s="30"/>
      <c r="Q232" s="30">
        <f>(N232+O232*0.18+J232)+(IF((P232-O232*0.18)&gt;0,(P232-O232*0.18),0))</f>
        <v>16579.2948</v>
      </c>
      <c r="R232" s="7"/>
      <c r="S232" s="7"/>
      <c r="T232" s="7"/>
      <c r="U232" s="7"/>
      <c r="V232" s="7"/>
      <c r="W232" s="7"/>
      <c r="X232" s="7"/>
      <c r="Y232" s="7"/>
      <c r="Z232" s="7"/>
    </row>
    <row r="233" spans="1:26" ht="9" customHeight="1" x14ac:dyDescent="0.2">
      <c r="A233" s="95"/>
      <c r="B233" s="95"/>
      <c r="C233" s="34" t="s">
        <v>37</v>
      </c>
      <c r="D233" s="35">
        <v>8</v>
      </c>
      <c r="E233" s="36">
        <v>12924002</v>
      </c>
      <c r="F233" s="36">
        <v>1415994</v>
      </c>
      <c r="G233" s="36">
        <v>240001</v>
      </c>
      <c r="H233" s="36">
        <v>12361361</v>
      </c>
      <c r="I233" s="36">
        <v>246720</v>
      </c>
      <c r="J233" s="37">
        <v>2245105</v>
      </c>
      <c r="K233" s="36">
        <v>27188077</v>
      </c>
      <c r="L233" s="38">
        <v>29433182</v>
      </c>
      <c r="M233" s="39"/>
      <c r="N233" s="36">
        <v>27188077</v>
      </c>
      <c r="O233" s="36">
        <v>14826716</v>
      </c>
      <c r="P233" s="36">
        <v>0</v>
      </c>
      <c r="Q233" s="36">
        <f>Q232*1936.27</f>
        <v>32101991.142395999</v>
      </c>
      <c r="R233" s="7"/>
      <c r="S233" s="7"/>
      <c r="T233" s="7"/>
      <c r="U233" s="7"/>
      <c r="V233" s="7"/>
      <c r="W233" s="7"/>
      <c r="X233" s="7"/>
      <c r="Y233" s="7"/>
      <c r="Z233" s="7"/>
    </row>
    <row r="234" spans="1:26" ht="12.75" customHeight="1" x14ac:dyDescent="0.2">
      <c r="A234" s="95"/>
      <c r="B234" s="95"/>
      <c r="C234" s="40" t="s">
        <v>36</v>
      </c>
      <c r="D234" s="41">
        <v>9</v>
      </c>
      <c r="E234" s="42">
        <v>7027.95</v>
      </c>
      <c r="F234" s="42">
        <v>768.49</v>
      </c>
      <c r="G234" s="42">
        <v>123.95</v>
      </c>
      <c r="H234" s="42">
        <v>6384.11</v>
      </c>
      <c r="I234" s="42">
        <v>127.42</v>
      </c>
      <c r="J234" s="42">
        <v>1192.04</v>
      </c>
      <c r="K234" s="43">
        <v>14431.92</v>
      </c>
      <c r="L234" s="32">
        <v>15623.96</v>
      </c>
      <c r="M234" s="33"/>
      <c r="N234" s="30">
        <v>14431.92</v>
      </c>
      <c r="O234" s="30">
        <v>8047.81</v>
      </c>
      <c r="P234" s="30"/>
      <c r="Q234" s="30">
        <f>(N234+O234*0.18+J234)+(IF((P234-O234*0.18)&gt;0,(P234-O234*0.18),0))</f>
        <v>17072.5658</v>
      </c>
      <c r="R234" s="7"/>
      <c r="S234" s="7"/>
      <c r="T234" s="7"/>
      <c r="U234" s="7"/>
      <c r="V234" s="7"/>
      <c r="W234" s="7"/>
      <c r="X234" s="7"/>
      <c r="Y234" s="7"/>
      <c r="Z234" s="7"/>
    </row>
    <row r="235" spans="1:26" ht="9" customHeight="1" x14ac:dyDescent="0.2">
      <c r="A235" s="95"/>
      <c r="B235" s="95"/>
      <c r="C235" s="34" t="s">
        <v>37</v>
      </c>
      <c r="D235" s="35">
        <v>10</v>
      </c>
      <c r="E235" s="36">
        <v>13608009</v>
      </c>
      <c r="F235" s="36">
        <v>1488004</v>
      </c>
      <c r="G235" s="36">
        <v>240001</v>
      </c>
      <c r="H235" s="36">
        <v>12361361</v>
      </c>
      <c r="I235" s="36">
        <v>246720</v>
      </c>
      <c r="J235" s="37">
        <v>2308111</v>
      </c>
      <c r="K235" s="36">
        <v>27944094</v>
      </c>
      <c r="L235" s="38">
        <v>30252205</v>
      </c>
      <c r="M235" s="39"/>
      <c r="N235" s="36">
        <v>27944094</v>
      </c>
      <c r="O235" s="36">
        <v>15582733</v>
      </c>
      <c r="P235" s="36">
        <v>0</v>
      </c>
      <c r="Q235" s="36">
        <f>Q234*1936.27</f>
        <v>33057096.981566001</v>
      </c>
      <c r="R235" s="7"/>
      <c r="S235" s="7"/>
      <c r="T235" s="7"/>
      <c r="U235" s="7"/>
      <c r="V235" s="7"/>
      <c r="W235" s="7"/>
      <c r="X235" s="7"/>
      <c r="Y235" s="7"/>
      <c r="Z235" s="7"/>
    </row>
    <row r="236" spans="1:26" ht="12.75" customHeight="1" x14ac:dyDescent="0.2">
      <c r="A236" s="95"/>
      <c r="B236" s="95"/>
      <c r="C236" s="40" t="s">
        <v>36</v>
      </c>
      <c r="D236" s="41">
        <v>11</v>
      </c>
      <c r="E236" s="42">
        <v>7387.4</v>
      </c>
      <c r="F236" s="42">
        <v>811.87</v>
      </c>
      <c r="G236" s="42">
        <v>123.95</v>
      </c>
      <c r="H236" s="42">
        <v>6384.11</v>
      </c>
      <c r="I236" s="42">
        <v>127.42</v>
      </c>
      <c r="J236" s="42">
        <v>1225.6099999999999</v>
      </c>
      <c r="K236" s="43">
        <v>14834.75</v>
      </c>
      <c r="L236" s="32">
        <v>16060.36</v>
      </c>
      <c r="M236" s="33"/>
      <c r="N236" s="30">
        <v>14834.75</v>
      </c>
      <c r="O236" s="30">
        <v>8450.64</v>
      </c>
      <c r="P236" s="30"/>
      <c r="Q236" s="30">
        <f>(N236+O236*0.18+J236)+(IF((P236-O236*0.18)&gt;0,(P236-O236*0.18),0))</f>
        <v>17581.475200000001</v>
      </c>
      <c r="R236" s="7"/>
      <c r="S236" s="7"/>
      <c r="T236" s="7"/>
      <c r="U236" s="7"/>
      <c r="V236" s="7"/>
      <c r="W236" s="7"/>
      <c r="X236" s="7"/>
      <c r="Y236" s="7"/>
      <c r="Z236" s="7"/>
    </row>
    <row r="237" spans="1:26" ht="9" customHeight="1" x14ac:dyDescent="0.2">
      <c r="A237" s="95"/>
      <c r="B237" s="95"/>
      <c r="C237" s="34" t="s">
        <v>37</v>
      </c>
      <c r="D237" s="35">
        <v>12</v>
      </c>
      <c r="E237" s="36">
        <v>14304001</v>
      </c>
      <c r="F237" s="36">
        <v>1572000</v>
      </c>
      <c r="G237" s="36">
        <v>240001</v>
      </c>
      <c r="H237" s="36">
        <v>12361361</v>
      </c>
      <c r="I237" s="36">
        <v>246720</v>
      </c>
      <c r="J237" s="37">
        <v>2373112</v>
      </c>
      <c r="K237" s="36">
        <v>28724081</v>
      </c>
      <c r="L237" s="38">
        <v>31097193</v>
      </c>
      <c r="M237" s="39"/>
      <c r="N237" s="36">
        <v>28724081</v>
      </c>
      <c r="O237" s="36">
        <v>16362721</v>
      </c>
      <c r="P237" s="36">
        <v>0</v>
      </c>
      <c r="Q237" s="36">
        <f>Q236*1936.27</f>
        <v>34042482.985504001</v>
      </c>
      <c r="R237" s="7"/>
      <c r="S237" s="7"/>
      <c r="T237" s="7"/>
      <c r="U237" s="7"/>
      <c r="V237" s="7"/>
      <c r="W237" s="7"/>
      <c r="X237" s="7"/>
      <c r="Y237" s="7"/>
      <c r="Z237" s="7"/>
    </row>
    <row r="238" spans="1:26" ht="12.75" customHeight="1" x14ac:dyDescent="0.2">
      <c r="A238" s="95"/>
      <c r="B238" s="95"/>
      <c r="C238" s="40" t="s">
        <v>36</v>
      </c>
      <c r="D238" s="41">
        <v>13</v>
      </c>
      <c r="E238" s="42">
        <v>7740.66</v>
      </c>
      <c r="F238" s="42">
        <v>849.06</v>
      </c>
      <c r="G238" s="42">
        <v>123.95</v>
      </c>
      <c r="H238" s="42">
        <v>6384.11</v>
      </c>
      <c r="I238" s="42">
        <v>127.42</v>
      </c>
      <c r="J238" s="42">
        <v>1258.1500000000001</v>
      </c>
      <c r="K238" s="43">
        <v>15225.2</v>
      </c>
      <c r="L238" s="32">
        <v>16483.349999999999</v>
      </c>
      <c r="M238" s="33"/>
      <c r="N238" s="30">
        <v>15225.2</v>
      </c>
      <c r="O238" s="30">
        <v>8841.09</v>
      </c>
      <c r="P238" s="30"/>
      <c r="Q238" s="30">
        <f>(N238+O238*0.18+J238)+(IF((P238-O238*0.18)&gt;0,(P238-O238*0.18),0))</f>
        <v>18074.746200000001</v>
      </c>
      <c r="R238" s="7"/>
      <c r="S238" s="7"/>
      <c r="T238" s="7"/>
      <c r="U238" s="7"/>
      <c r="V238" s="7"/>
      <c r="W238" s="7"/>
      <c r="X238" s="7"/>
      <c r="Y238" s="7"/>
      <c r="Z238" s="7"/>
    </row>
    <row r="239" spans="1:26" ht="9" customHeight="1" x14ac:dyDescent="0.2">
      <c r="A239" s="95"/>
      <c r="B239" s="95"/>
      <c r="C239" s="34" t="s">
        <v>37</v>
      </c>
      <c r="D239" s="35">
        <v>14</v>
      </c>
      <c r="E239" s="36">
        <v>14988008</v>
      </c>
      <c r="F239" s="36">
        <v>1644009</v>
      </c>
      <c r="G239" s="36">
        <v>240001</v>
      </c>
      <c r="H239" s="36">
        <v>12361361</v>
      </c>
      <c r="I239" s="36">
        <v>246720</v>
      </c>
      <c r="J239" s="37">
        <v>2436118</v>
      </c>
      <c r="K239" s="36">
        <v>29480098</v>
      </c>
      <c r="L239" s="38">
        <v>31916216</v>
      </c>
      <c r="M239" s="39"/>
      <c r="N239" s="36">
        <v>29480098</v>
      </c>
      <c r="O239" s="36">
        <v>17118737</v>
      </c>
      <c r="P239" s="36">
        <v>0</v>
      </c>
      <c r="Q239" s="36">
        <f>Q238*1936.27</f>
        <v>34997588.824674003</v>
      </c>
      <c r="R239" s="7"/>
      <c r="S239" s="7"/>
      <c r="T239" s="7"/>
      <c r="U239" s="7"/>
      <c r="V239" s="7"/>
      <c r="W239" s="7"/>
      <c r="X239" s="7"/>
      <c r="Y239" s="7"/>
      <c r="Z239" s="7"/>
    </row>
    <row r="240" spans="1:26" ht="12.75" customHeight="1" x14ac:dyDescent="0.2">
      <c r="A240" s="95"/>
      <c r="B240" s="95"/>
      <c r="C240" s="40" t="s">
        <v>36</v>
      </c>
      <c r="D240" s="41">
        <v>15</v>
      </c>
      <c r="E240" s="42">
        <v>8155.89</v>
      </c>
      <c r="F240" s="42">
        <v>892.44</v>
      </c>
      <c r="G240" s="42">
        <v>123.95</v>
      </c>
      <c r="H240" s="42">
        <v>6384.11</v>
      </c>
      <c r="I240" s="42">
        <v>127.42</v>
      </c>
      <c r="J240" s="42">
        <v>1296.3699999999999</v>
      </c>
      <c r="K240" s="43">
        <v>15683.81</v>
      </c>
      <c r="L240" s="32">
        <v>16980.18</v>
      </c>
      <c r="M240" s="33"/>
      <c r="N240" s="30">
        <v>15683.81</v>
      </c>
      <c r="O240" s="30">
        <v>9299.7000000000007</v>
      </c>
      <c r="P240" s="30"/>
      <c r="Q240" s="30">
        <f>(N240+O240*0.18+J240)+(IF((P240-O240*0.18)&gt;0,(P240-O240*0.18),0))</f>
        <v>18654.126</v>
      </c>
      <c r="R240" s="7"/>
      <c r="S240" s="7"/>
      <c r="T240" s="7"/>
      <c r="U240" s="7"/>
      <c r="V240" s="7"/>
      <c r="W240" s="7"/>
      <c r="X240" s="7"/>
      <c r="Y240" s="7"/>
      <c r="Z240" s="7"/>
    </row>
    <row r="241" spans="1:26" ht="9" customHeight="1" x14ac:dyDescent="0.2">
      <c r="A241" s="95"/>
      <c r="B241" s="95"/>
      <c r="C241" s="34" t="s">
        <v>37</v>
      </c>
      <c r="D241" s="35">
        <v>16</v>
      </c>
      <c r="E241" s="36">
        <v>15792005</v>
      </c>
      <c r="F241" s="36">
        <v>1728005</v>
      </c>
      <c r="G241" s="36">
        <v>240001</v>
      </c>
      <c r="H241" s="36">
        <v>12361361</v>
      </c>
      <c r="I241" s="36">
        <v>246720</v>
      </c>
      <c r="J241" s="37">
        <v>2510122</v>
      </c>
      <c r="K241" s="36">
        <v>30368091</v>
      </c>
      <c r="L241" s="38">
        <v>32878213</v>
      </c>
      <c r="M241" s="39"/>
      <c r="N241" s="36">
        <v>30368091</v>
      </c>
      <c r="O241" s="36">
        <v>18006730</v>
      </c>
      <c r="P241" s="36">
        <v>0</v>
      </c>
      <c r="Q241" s="36">
        <f>Q240*1936.27</f>
        <v>36119424.550020002</v>
      </c>
      <c r="R241" s="7"/>
      <c r="S241" s="7"/>
      <c r="T241" s="7"/>
      <c r="U241" s="7"/>
      <c r="V241" s="7"/>
      <c r="W241" s="7"/>
      <c r="X241" s="7"/>
      <c r="Y241" s="7"/>
      <c r="Z241" s="7"/>
    </row>
    <row r="242" spans="1:26" ht="12.75" customHeight="1" x14ac:dyDescent="0.2">
      <c r="A242" s="95"/>
      <c r="B242" s="95"/>
      <c r="C242" s="40" t="s">
        <v>36</v>
      </c>
      <c r="D242" s="41">
        <v>17</v>
      </c>
      <c r="E242" s="42">
        <v>8571.1200000000008</v>
      </c>
      <c r="F242" s="42">
        <v>942.02</v>
      </c>
      <c r="G242" s="42">
        <v>123.95</v>
      </c>
      <c r="H242" s="42">
        <v>6384.11</v>
      </c>
      <c r="I242" s="42">
        <v>127.42</v>
      </c>
      <c r="J242" s="42">
        <v>1335.1</v>
      </c>
      <c r="K242" s="43">
        <v>16148.62</v>
      </c>
      <c r="L242" s="32">
        <v>17483.72</v>
      </c>
      <c r="M242" s="33"/>
      <c r="N242" s="30">
        <v>16148.62</v>
      </c>
      <c r="O242" s="30">
        <v>9764.51</v>
      </c>
      <c r="P242" s="30"/>
      <c r="Q242" s="30">
        <f>(N242+O242*0.18+J242)+(IF((P242-O242*0.18)&gt;0,(P242-O242*0.18),0))</f>
        <v>19241.3318</v>
      </c>
      <c r="R242" s="7"/>
      <c r="S242" s="7"/>
      <c r="T242" s="7"/>
      <c r="U242" s="7"/>
      <c r="V242" s="7"/>
      <c r="W242" s="7"/>
      <c r="X242" s="7"/>
      <c r="Y242" s="7"/>
      <c r="Z242" s="7"/>
    </row>
    <row r="243" spans="1:26" ht="9" customHeight="1" x14ac:dyDescent="0.2">
      <c r="A243" s="95"/>
      <c r="B243" s="95"/>
      <c r="C243" s="34" t="s">
        <v>37</v>
      </c>
      <c r="D243" s="35">
        <v>18</v>
      </c>
      <c r="E243" s="36">
        <v>16596003</v>
      </c>
      <c r="F243" s="36">
        <v>1824005</v>
      </c>
      <c r="G243" s="36">
        <v>240001</v>
      </c>
      <c r="H243" s="36">
        <v>12361361</v>
      </c>
      <c r="I243" s="36">
        <v>246720</v>
      </c>
      <c r="J243" s="37">
        <v>2585114</v>
      </c>
      <c r="K243" s="36">
        <v>31268088</v>
      </c>
      <c r="L243" s="38">
        <v>33853203</v>
      </c>
      <c r="M243" s="39"/>
      <c r="N243" s="36">
        <v>31268088</v>
      </c>
      <c r="O243" s="36">
        <v>18906728</v>
      </c>
      <c r="P243" s="36">
        <v>0</v>
      </c>
      <c r="Q243" s="36">
        <f>Q242*1936.27</f>
        <v>37256413.524385996</v>
      </c>
      <c r="R243" s="7"/>
      <c r="S243" s="7"/>
      <c r="T243" s="7"/>
      <c r="U243" s="7"/>
      <c r="V243" s="7"/>
      <c r="W243" s="7"/>
      <c r="X243" s="7"/>
      <c r="Y243" s="7"/>
      <c r="Z243" s="7"/>
    </row>
    <row r="244" spans="1:26" ht="12.75" customHeight="1" x14ac:dyDescent="0.2">
      <c r="A244" s="95"/>
      <c r="B244" s="95"/>
      <c r="C244" s="40" t="s">
        <v>36</v>
      </c>
      <c r="D244" s="41">
        <v>19</v>
      </c>
      <c r="E244" s="42">
        <v>8980.15</v>
      </c>
      <c r="F244" s="42">
        <v>985.4</v>
      </c>
      <c r="G244" s="42">
        <v>123.95</v>
      </c>
      <c r="H244" s="42">
        <v>6384.11</v>
      </c>
      <c r="I244" s="42">
        <v>127.42</v>
      </c>
      <c r="J244" s="42">
        <v>1372.8</v>
      </c>
      <c r="K244" s="43">
        <v>16601.03</v>
      </c>
      <c r="L244" s="32">
        <v>17973.830000000002</v>
      </c>
      <c r="M244" s="33"/>
      <c r="N244" s="30">
        <v>16601.03</v>
      </c>
      <c r="O244" s="30">
        <v>10216.92</v>
      </c>
      <c r="P244" s="30"/>
      <c r="Q244" s="30">
        <f>(N244+O244*0.18+J244)+(IF((P244-O244*0.18)&gt;0,(P244-O244*0.18),0))</f>
        <v>19812.875599999999</v>
      </c>
      <c r="R244" s="7"/>
      <c r="S244" s="7"/>
      <c r="T244" s="7"/>
      <c r="U244" s="7"/>
      <c r="V244" s="7"/>
      <c r="W244" s="7"/>
      <c r="X244" s="7"/>
      <c r="Y244" s="7"/>
      <c r="Z244" s="7"/>
    </row>
    <row r="245" spans="1:26" ht="9" customHeight="1" x14ac:dyDescent="0.2">
      <c r="A245" s="95"/>
      <c r="B245" s="95"/>
      <c r="C245" s="34" t="s">
        <v>37</v>
      </c>
      <c r="D245" s="35">
        <v>20</v>
      </c>
      <c r="E245" s="36">
        <v>17387995</v>
      </c>
      <c r="F245" s="36">
        <v>1908000</v>
      </c>
      <c r="G245" s="36">
        <v>240001</v>
      </c>
      <c r="H245" s="36">
        <v>12361361</v>
      </c>
      <c r="I245" s="36">
        <v>246720</v>
      </c>
      <c r="J245" s="37">
        <v>2658111</v>
      </c>
      <c r="K245" s="36">
        <v>32144076</v>
      </c>
      <c r="L245" s="38">
        <v>34802188</v>
      </c>
      <c r="M245" s="39"/>
      <c r="N245" s="36">
        <v>32144076</v>
      </c>
      <c r="O245" s="36">
        <v>19782716</v>
      </c>
      <c r="P245" s="36">
        <v>0</v>
      </c>
      <c r="Q245" s="36">
        <f>Q244*1936.27</f>
        <v>38363076.638011999</v>
      </c>
      <c r="R245" s="7"/>
      <c r="S245" s="7"/>
      <c r="T245" s="7"/>
      <c r="U245" s="7"/>
      <c r="V245" s="7"/>
      <c r="W245" s="7"/>
      <c r="X245" s="7"/>
      <c r="Y245" s="7"/>
      <c r="Z245" s="7"/>
    </row>
    <row r="246" spans="1:26" ht="12.75" customHeight="1" x14ac:dyDescent="0.2">
      <c r="A246" s="95"/>
      <c r="B246" s="95"/>
      <c r="C246" s="40" t="s">
        <v>36</v>
      </c>
      <c r="D246" s="41">
        <v>21</v>
      </c>
      <c r="E246" s="42">
        <v>9252.84</v>
      </c>
      <c r="F246" s="42">
        <v>1016.39</v>
      </c>
      <c r="G246" s="42">
        <v>123.95</v>
      </c>
      <c r="H246" s="42">
        <v>6384.11</v>
      </c>
      <c r="I246" s="42">
        <v>127.42</v>
      </c>
      <c r="J246" s="42">
        <v>1398.11</v>
      </c>
      <c r="K246" s="43">
        <v>16904.71</v>
      </c>
      <c r="L246" s="32">
        <v>18302.82</v>
      </c>
      <c r="M246" s="33"/>
      <c r="N246" s="30">
        <v>16904.71</v>
      </c>
      <c r="O246" s="30">
        <v>10520.6</v>
      </c>
      <c r="P246" s="30"/>
      <c r="Q246" s="30">
        <f>(N246+O246*0.18+J246)+(IF((P246-O246*0.18)&gt;0,(P246-O246*0.18),0))</f>
        <v>20196.527999999998</v>
      </c>
      <c r="R246" s="7"/>
      <c r="S246" s="7"/>
      <c r="T246" s="7"/>
      <c r="U246" s="7"/>
      <c r="V246" s="7"/>
      <c r="W246" s="7"/>
      <c r="X246" s="7"/>
      <c r="Y246" s="7"/>
      <c r="Z246" s="7"/>
    </row>
    <row r="247" spans="1:26" ht="9" customHeight="1" x14ac:dyDescent="0.2">
      <c r="A247" s="95"/>
      <c r="B247" s="95"/>
      <c r="C247" s="34" t="s">
        <v>37</v>
      </c>
      <c r="D247" s="35">
        <v>22</v>
      </c>
      <c r="E247" s="36">
        <v>17915997</v>
      </c>
      <c r="F247" s="36">
        <v>1968005</v>
      </c>
      <c r="G247" s="36">
        <v>240001</v>
      </c>
      <c r="H247" s="36">
        <v>12361361</v>
      </c>
      <c r="I247" s="36">
        <v>246720</v>
      </c>
      <c r="J247" s="37">
        <v>2707118</v>
      </c>
      <c r="K247" s="36">
        <v>32732083</v>
      </c>
      <c r="L247" s="38">
        <v>35439201</v>
      </c>
      <c r="M247" s="39"/>
      <c r="N247" s="36">
        <v>32732083</v>
      </c>
      <c r="O247" s="36">
        <v>20370722</v>
      </c>
      <c r="P247" s="36">
        <v>0</v>
      </c>
      <c r="Q247" s="36">
        <f>Q246*1936.27</f>
        <v>39105931.270559996</v>
      </c>
      <c r="R247" s="7"/>
      <c r="S247" s="7"/>
      <c r="T247" s="7"/>
      <c r="U247" s="7"/>
      <c r="V247" s="7"/>
      <c r="W247" s="7"/>
      <c r="X247" s="7"/>
      <c r="Y247" s="7"/>
      <c r="Z247" s="7"/>
    </row>
    <row r="248" spans="1:26" ht="12.75" customHeight="1" x14ac:dyDescent="0.2">
      <c r="A248" s="95"/>
      <c r="B248" s="95"/>
      <c r="C248" s="40" t="s">
        <v>36</v>
      </c>
      <c r="D248" s="41">
        <v>23</v>
      </c>
      <c r="E248" s="42">
        <v>9519.33</v>
      </c>
      <c r="F248" s="42">
        <v>1047.3699999999999</v>
      </c>
      <c r="G248" s="42">
        <v>123.95</v>
      </c>
      <c r="H248" s="42">
        <v>6384.11</v>
      </c>
      <c r="I248" s="42">
        <v>127.42</v>
      </c>
      <c r="J248" s="42">
        <v>1422.9</v>
      </c>
      <c r="K248" s="43">
        <v>17202.18</v>
      </c>
      <c r="L248" s="32">
        <v>18625.080000000002</v>
      </c>
      <c r="M248" s="33"/>
      <c r="N248" s="30">
        <v>17202.18</v>
      </c>
      <c r="O248" s="30">
        <v>10818.07</v>
      </c>
      <c r="P248" s="30"/>
      <c r="Q248" s="30">
        <f>(N248+O248*0.18+J248)+(IF((P248-O248*0.18)&gt;0,(P248-O248*0.18),0))</f>
        <v>20572.332600000002</v>
      </c>
      <c r="R248" s="7"/>
      <c r="S248" s="7"/>
      <c r="T248" s="7"/>
      <c r="U248" s="7"/>
      <c r="V248" s="7"/>
      <c r="W248" s="7"/>
      <c r="X248" s="7"/>
      <c r="Y248" s="7"/>
      <c r="Z248" s="7"/>
    </row>
    <row r="249" spans="1:26" ht="9" customHeight="1" x14ac:dyDescent="0.2">
      <c r="A249" s="95"/>
      <c r="B249" s="95"/>
      <c r="C249" s="34" t="s">
        <v>37</v>
      </c>
      <c r="D249" s="35">
        <v>23</v>
      </c>
      <c r="E249" s="36">
        <v>18431993</v>
      </c>
      <c r="F249" s="36">
        <v>2027991</v>
      </c>
      <c r="G249" s="36">
        <v>240001</v>
      </c>
      <c r="H249" s="36">
        <v>12361361</v>
      </c>
      <c r="I249" s="36">
        <v>246720</v>
      </c>
      <c r="J249" s="37">
        <v>2755119</v>
      </c>
      <c r="K249" s="36">
        <v>33308065</v>
      </c>
      <c r="L249" s="38">
        <v>36063184</v>
      </c>
      <c r="M249" s="39"/>
      <c r="N249" s="36">
        <v>33308065</v>
      </c>
      <c r="O249" s="36">
        <v>20946704</v>
      </c>
      <c r="P249" s="36">
        <v>0</v>
      </c>
      <c r="Q249" s="36">
        <f>Q248*1936.27</f>
        <v>39833590.443402</v>
      </c>
      <c r="R249" s="7"/>
      <c r="S249" s="7"/>
      <c r="T249" s="7"/>
      <c r="U249" s="7"/>
      <c r="V249" s="7"/>
      <c r="W249" s="7"/>
      <c r="X249" s="7"/>
      <c r="Y249" s="7"/>
      <c r="Z249" s="7"/>
    </row>
    <row r="250" spans="1:26" ht="12.75" customHeight="1" x14ac:dyDescent="0.2">
      <c r="A250" s="95"/>
      <c r="B250" s="95"/>
      <c r="C250" s="40" t="s">
        <v>36</v>
      </c>
      <c r="D250" s="41">
        <v>24</v>
      </c>
      <c r="E250" s="42">
        <v>9792.02</v>
      </c>
      <c r="F250" s="42">
        <v>1072.1600000000001</v>
      </c>
      <c r="G250" s="42">
        <v>123.95</v>
      </c>
      <c r="H250" s="42">
        <v>6384.11</v>
      </c>
      <c r="I250" s="42">
        <v>127.42</v>
      </c>
      <c r="J250" s="42">
        <v>1447.69</v>
      </c>
      <c r="K250" s="43">
        <v>17499.66</v>
      </c>
      <c r="L250" s="32">
        <v>18947.349999999999</v>
      </c>
      <c r="M250" s="33"/>
      <c r="N250" s="30">
        <v>17499.66</v>
      </c>
      <c r="O250" s="30">
        <v>11115.55</v>
      </c>
      <c r="P250" s="30"/>
      <c r="Q250" s="30">
        <f>(N250+O250*0.18+J250)+(IF((P250-O250*0.18)&gt;0,(P250-O250*0.18),0))</f>
        <v>20948.148999999998</v>
      </c>
      <c r="R250" s="7"/>
      <c r="S250" s="7"/>
      <c r="T250" s="7"/>
      <c r="U250" s="7"/>
      <c r="V250" s="7"/>
      <c r="W250" s="7"/>
      <c r="X250" s="7"/>
      <c r="Y250" s="7"/>
      <c r="Z250" s="7"/>
    </row>
    <row r="251" spans="1:26" ht="9" customHeight="1" x14ac:dyDescent="0.2">
      <c r="A251" s="95"/>
      <c r="B251" s="95"/>
      <c r="C251" s="34" t="s">
        <v>37</v>
      </c>
      <c r="D251" s="35">
        <v>25</v>
      </c>
      <c r="E251" s="36">
        <v>18959995</v>
      </c>
      <c r="F251" s="36">
        <v>2075991</v>
      </c>
      <c r="G251" s="36">
        <v>240001</v>
      </c>
      <c r="H251" s="36">
        <v>12361361</v>
      </c>
      <c r="I251" s="36">
        <v>246720</v>
      </c>
      <c r="J251" s="37">
        <v>2803119</v>
      </c>
      <c r="K251" s="36">
        <v>33884067</v>
      </c>
      <c r="L251" s="38">
        <v>36687185</v>
      </c>
      <c r="M251" s="39"/>
      <c r="N251" s="36">
        <v>33884067</v>
      </c>
      <c r="O251" s="36">
        <v>21522706</v>
      </c>
      <c r="P251" s="36">
        <v>0</v>
      </c>
      <c r="Q251" s="36">
        <f>Q250*1936.27</f>
        <v>40561272.464229994</v>
      </c>
      <c r="R251" s="7"/>
      <c r="S251" s="7"/>
      <c r="T251" s="7"/>
      <c r="U251" s="7"/>
      <c r="V251" s="7"/>
      <c r="W251" s="7"/>
      <c r="X251" s="7"/>
      <c r="Y251" s="7"/>
      <c r="Z251" s="7"/>
    </row>
    <row r="252" spans="1:26" ht="12.75" customHeight="1" x14ac:dyDescent="0.2">
      <c r="A252" s="95"/>
      <c r="B252" s="95"/>
      <c r="C252" s="40" t="s">
        <v>36</v>
      </c>
      <c r="D252" s="41">
        <v>26</v>
      </c>
      <c r="E252" s="42">
        <v>10058.51</v>
      </c>
      <c r="F252" s="42">
        <v>1103.1500000000001</v>
      </c>
      <c r="G252" s="42">
        <v>123.95</v>
      </c>
      <c r="H252" s="42">
        <v>6384.11</v>
      </c>
      <c r="I252" s="42">
        <v>127.42</v>
      </c>
      <c r="J252" s="42">
        <v>1472.48</v>
      </c>
      <c r="K252" s="43">
        <v>17797.14</v>
      </c>
      <c r="L252" s="32">
        <v>19269.62</v>
      </c>
      <c r="M252" s="33"/>
      <c r="N252" s="30">
        <v>17797.14</v>
      </c>
      <c r="O252" s="30">
        <v>11413.03</v>
      </c>
      <c r="P252" s="30"/>
      <c r="Q252" s="30">
        <f>(N252+O252*0.18+J252)+(IF((P252-O252*0.18)&gt;0,(P252-O252*0.18),0))</f>
        <v>21323.965399999997</v>
      </c>
      <c r="R252" s="7"/>
      <c r="S252" s="7"/>
      <c r="T252" s="7"/>
      <c r="U252" s="7"/>
      <c r="V252" s="7"/>
      <c r="W252" s="7"/>
      <c r="X252" s="7"/>
      <c r="Y252" s="7"/>
      <c r="Z252" s="7"/>
    </row>
    <row r="253" spans="1:26" ht="9" customHeight="1" x14ac:dyDescent="0.2">
      <c r="A253" s="95"/>
      <c r="B253" s="95"/>
      <c r="C253" s="34" t="s">
        <v>37</v>
      </c>
      <c r="D253" s="35">
        <v>27</v>
      </c>
      <c r="E253" s="36">
        <v>19475991</v>
      </c>
      <c r="F253" s="36">
        <v>2135996</v>
      </c>
      <c r="G253" s="36">
        <v>240001</v>
      </c>
      <c r="H253" s="36">
        <v>12361361</v>
      </c>
      <c r="I253" s="36">
        <v>246720</v>
      </c>
      <c r="J253" s="37">
        <v>2851119</v>
      </c>
      <c r="K253" s="36">
        <v>34460068</v>
      </c>
      <c r="L253" s="38">
        <v>37311187</v>
      </c>
      <c r="M253" s="39"/>
      <c r="N253" s="36">
        <v>34460068</v>
      </c>
      <c r="O253" s="36">
        <v>22098708</v>
      </c>
      <c r="P253" s="36">
        <v>0</v>
      </c>
      <c r="Q253" s="36">
        <f>Q252*1936.27</f>
        <v>41288954.485057995</v>
      </c>
      <c r="R253" s="7"/>
      <c r="S253" s="7"/>
      <c r="T253" s="7"/>
      <c r="U253" s="7"/>
      <c r="V253" s="7"/>
      <c r="W253" s="7"/>
      <c r="X253" s="7"/>
      <c r="Y253" s="7"/>
      <c r="Z253" s="7"/>
    </row>
    <row r="254" spans="1:26" ht="12.75" customHeight="1" x14ac:dyDescent="0.2">
      <c r="A254" s="95"/>
      <c r="B254" s="95"/>
      <c r="C254" s="40" t="s">
        <v>36</v>
      </c>
      <c r="D254" s="41">
        <v>28</v>
      </c>
      <c r="E254" s="42">
        <v>10331.200000000001</v>
      </c>
      <c r="F254" s="42">
        <v>1134.1400000000001</v>
      </c>
      <c r="G254" s="42">
        <v>123.95</v>
      </c>
      <c r="H254" s="42">
        <v>6384.11</v>
      </c>
      <c r="I254" s="42">
        <v>127.42</v>
      </c>
      <c r="J254" s="42">
        <v>1497.78</v>
      </c>
      <c r="K254" s="43">
        <v>18100.82</v>
      </c>
      <c r="L254" s="32">
        <v>19598.599999999999</v>
      </c>
      <c r="M254" s="33"/>
      <c r="N254" s="30">
        <v>18100.82</v>
      </c>
      <c r="O254" s="30">
        <v>11716.71</v>
      </c>
      <c r="P254" s="30"/>
      <c r="Q254" s="30">
        <f>(N254+O254*0.18+J254)+(IF((P254-O254*0.18)&gt;0,(P254-O254*0.18),0))</f>
        <v>21707.607799999998</v>
      </c>
      <c r="R254" s="7"/>
      <c r="S254" s="7"/>
      <c r="T254" s="7"/>
      <c r="U254" s="7"/>
      <c r="V254" s="7"/>
      <c r="W254" s="7"/>
      <c r="X254" s="7"/>
      <c r="Y254" s="7"/>
      <c r="Z254" s="7"/>
    </row>
    <row r="255" spans="1:26" ht="9" customHeight="1" x14ac:dyDescent="0.2">
      <c r="A255" s="95"/>
      <c r="B255" s="95"/>
      <c r="C255" s="34" t="s">
        <v>37</v>
      </c>
      <c r="D255" s="35">
        <v>29</v>
      </c>
      <c r="E255" s="36">
        <v>20003993</v>
      </c>
      <c r="F255" s="36">
        <v>2196001</v>
      </c>
      <c r="G255" s="36">
        <v>240001</v>
      </c>
      <c r="H255" s="36">
        <v>12361361</v>
      </c>
      <c r="I255" s="36">
        <v>246720</v>
      </c>
      <c r="J255" s="37">
        <v>2900106</v>
      </c>
      <c r="K255" s="36">
        <v>35048075</v>
      </c>
      <c r="L255" s="38">
        <v>37948181</v>
      </c>
      <c r="M255" s="39"/>
      <c r="N255" s="36">
        <v>35048075</v>
      </c>
      <c r="O255" s="36">
        <v>22686714</v>
      </c>
      <c r="P255" s="36">
        <v>0</v>
      </c>
      <c r="Q255" s="36">
        <f>Q254*1936.27</f>
        <v>42031789.754905999</v>
      </c>
      <c r="R255" s="7"/>
      <c r="S255" s="7"/>
      <c r="T255" s="7"/>
      <c r="U255" s="7"/>
      <c r="V255" s="7"/>
      <c r="W255" s="7"/>
      <c r="X255" s="7"/>
      <c r="Y255" s="7"/>
      <c r="Z255" s="7"/>
    </row>
    <row r="256" spans="1:26" ht="12.75" customHeight="1" x14ac:dyDescent="0.2">
      <c r="A256" s="95"/>
      <c r="B256" s="95"/>
      <c r="C256" s="40" t="s">
        <v>36</v>
      </c>
      <c r="D256" s="41">
        <v>30</v>
      </c>
      <c r="E256" s="42">
        <v>10603.89</v>
      </c>
      <c r="F256" s="42">
        <v>1165.1300000000001</v>
      </c>
      <c r="G256" s="42">
        <v>123.95</v>
      </c>
      <c r="H256" s="42">
        <v>6384.11</v>
      </c>
      <c r="I256" s="42">
        <v>127.42</v>
      </c>
      <c r="J256" s="42">
        <v>1523.09</v>
      </c>
      <c r="K256" s="43">
        <v>18404.5</v>
      </c>
      <c r="L256" s="32">
        <v>19927.59</v>
      </c>
      <c r="M256" s="33"/>
      <c r="N256" s="30">
        <v>18404.5</v>
      </c>
      <c r="O256" s="30">
        <v>12020.39</v>
      </c>
      <c r="P256" s="30"/>
      <c r="Q256" s="30">
        <f>(N256+O256*0.18+J256)+(IF((P256-O256*0.18)&gt;0,(P256-O256*0.18),0))</f>
        <v>22091.260200000001</v>
      </c>
      <c r="R256" s="7"/>
      <c r="S256" s="7"/>
      <c r="T256" s="7"/>
      <c r="U256" s="7"/>
      <c r="V256" s="7"/>
      <c r="W256" s="7"/>
      <c r="X256" s="7"/>
      <c r="Y256" s="7"/>
      <c r="Z256" s="7"/>
    </row>
    <row r="257" spans="1:26" ht="9" customHeight="1" x14ac:dyDescent="0.2">
      <c r="A257" s="95"/>
      <c r="B257" s="95"/>
      <c r="C257" s="34" t="s">
        <v>37</v>
      </c>
      <c r="D257" s="35">
        <v>31</v>
      </c>
      <c r="E257" s="36">
        <v>20531994</v>
      </c>
      <c r="F257" s="36">
        <v>2256006</v>
      </c>
      <c r="G257" s="36">
        <v>240001</v>
      </c>
      <c r="H257" s="36">
        <v>12361361</v>
      </c>
      <c r="I257" s="36">
        <v>246720</v>
      </c>
      <c r="J257" s="37">
        <v>2949113</v>
      </c>
      <c r="K257" s="36">
        <v>35636081</v>
      </c>
      <c r="L257" s="38">
        <v>38585195</v>
      </c>
      <c r="M257" s="39"/>
      <c r="N257" s="36">
        <v>35636081</v>
      </c>
      <c r="O257" s="36">
        <v>23274721</v>
      </c>
      <c r="P257" s="36">
        <v>0</v>
      </c>
      <c r="Q257" s="36">
        <f>Q256*1936.27</f>
        <v>42774644.387454003</v>
      </c>
      <c r="R257" s="7"/>
      <c r="S257" s="7"/>
      <c r="T257" s="7"/>
      <c r="U257" s="7"/>
      <c r="V257" s="7"/>
      <c r="W257" s="7"/>
      <c r="X257" s="7"/>
      <c r="Y257" s="7"/>
      <c r="Z257" s="7"/>
    </row>
    <row r="258" spans="1:26" ht="12.75" customHeight="1" x14ac:dyDescent="0.2">
      <c r="A258" s="95"/>
      <c r="B258" s="95"/>
      <c r="C258" s="40" t="s">
        <v>36</v>
      </c>
      <c r="D258" s="41">
        <v>32</v>
      </c>
      <c r="E258" s="42">
        <v>10870.38</v>
      </c>
      <c r="F258" s="42">
        <v>1189.92</v>
      </c>
      <c r="G258" s="42">
        <v>123.95</v>
      </c>
      <c r="H258" s="42">
        <v>6384.11</v>
      </c>
      <c r="I258" s="42">
        <v>127.42</v>
      </c>
      <c r="J258" s="42">
        <v>1547.36</v>
      </c>
      <c r="K258" s="43">
        <v>18695.78</v>
      </c>
      <c r="L258" s="32">
        <v>20243.14</v>
      </c>
      <c r="M258" s="33"/>
      <c r="N258" s="30">
        <v>18695.78</v>
      </c>
      <c r="O258" s="30">
        <v>12311.67</v>
      </c>
      <c r="P258" s="30"/>
      <c r="Q258" s="30">
        <f>(N258+O258*0.18+J258)+(IF((P258-O258*0.18)&gt;0,(P258-O258*0.18),0))</f>
        <v>22459.240599999997</v>
      </c>
      <c r="R258" s="7"/>
      <c r="S258" s="7"/>
      <c r="T258" s="7"/>
      <c r="U258" s="7"/>
      <c r="V258" s="7"/>
      <c r="W258" s="7"/>
      <c r="X258" s="7"/>
      <c r="Y258" s="7"/>
      <c r="Z258" s="7"/>
    </row>
    <row r="259" spans="1:26" ht="9" customHeight="1" x14ac:dyDescent="0.2">
      <c r="A259" s="95"/>
      <c r="B259" s="95"/>
      <c r="C259" s="34" t="s">
        <v>37</v>
      </c>
      <c r="D259" s="35">
        <v>33</v>
      </c>
      <c r="E259" s="36">
        <v>21047991</v>
      </c>
      <c r="F259" s="36">
        <v>2304006</v>
      </c>
      <c r="G259" s="36">
        <v>240001</v>
      </c>
      <c r="H259" s="36">
        <v>12361361</v>
      </c>
      <c r="I259" s="36">
        <v>246720</v>
      </c>
      <c r="J259" s="37">
        <v>2996107</v>
      </c>
      <c r="K259" s="36">
        <v>36200078</v>
      </c>
      <c r="L259" s="38">
        <v>39196185</v>
      </c>
      <c r="M259" s="39"/>
      <c r="N259" s="36">
        <v>36200078</v>
      </c>
      <c r="O259" s="36">
        <v>23838717</v>
      </c>
      <c r="P259" s="36">
        <v>0</v>
      </c>
      <c r="Q259" s="36">
        <f>Q258*1936.27</f>
        <v>43487153.796561994</v>
      </c>
      <c r="R259" s="7"/>
      <c r="S259" s="7"/>
      <c r="T259" s="7"/>
      <c r="U259" s="7"/>
      <c r="V259" s="7"/>
      <c r="W259" s="7"/>
      <c r="X259" s="7"/>
      <c r="Y259" s="7"/>
      <c r="Z259" s="7"/>
    </row>
    <row r="260" spans="1:26" ht="12.75" customHeight="1" x14ac:dyDescent="0.2">
      <c r="A260" s="95"/>
      <c r="B260" s="95"/>
      <c r="C260" s="40" t="s">
        <v>36</v>
      </c>
      <c r="D260" s="41">
        <v>34</v>
      </c>
      <c r="E260" s="42">
        <v>11136.88</v>
      </c>
      <c r="F260" s="42">
        <v>1220.9000000000001</v>
      </c>
      <c r="G260" s="42">
        <v>123.95</v>
      </c>
      <c r="H260" s="42">
        <v>6384.11</v>
      </c>
      <c r="I260" s="42">
        <v>127.42</v>
      </c>
      <c r="J260" s="42">
        <v>1572.15</v>
      </c>
      <c r="K260" s="43">
        <v>18993.259999999998</v>
      </c>
      <c r="L260" s="32">
        <v>20565.41</v>
      </c>
      <c r="M260" s="33"/>
      <c r="N260" s="30">
        <v>18993.259999999998</v>
      </c>
      <c r="O260" s="30">
        <v>12609.15</v>
      </c>
      <c r="P260" s="30"/>
      <c r="Q260" s="30">
        <f>(N260+O260*0.18+J260)+(IF((P260-O260*0.18)&gt;0,(P260-O260*0.18),0))</f>
        <v>22835.057000000001</v>
      </c>
      <c r="R260" s="7"/>
      <c r="S260" s="7"/>
      <c r="T260" s="7"/>
      <c r="U260" s="7"/>
      <c r="V260" s="7"/>
      <c r="W260" s="7"/>
      <c r="X260" s="7"/>
      <c r="Y260" s="7"/>
      <c r="Z260" s="7"/>
    </row>
    <row r="261" spans="1:26" ht="9" customHeight="1" x14ac:dyDescent="0.2">
      <c r="A261" s="95"/>
      <c r="B261" s="95"/>
      <c r="C261" s="34" t="s">
        <v>37</v>
      </c>
      <c r="D261" s="35">
        <v>35</v>
      </c>
      <c r="E261" s="36">
        <v>21564007</v>
      </c>
      <c r="F261" s="36">
        <v>2363992</v>
      </c>
      <c r="G261" s="36">
        <v>240001</v>
      </c>
      <c r="H261" s="36">
        <v>12361361</v>
      </c>
      <c r="I261" s="36">
        <v>246720</v>
      </c>
      <c r="J261" s="37">
        <v>3044107</v>
      </c>
      <c r="K261" s="36">
        <v>36776080</v>
      </c>
      <c r="L261" s="38">
        <v>39820186</v>
      </c>
      <c r="M261" s="39"/>
      <c r="N261" s="36">
        <v>36776080</v>
      </c>
      <c r="O261" s="36">
        <v>24414719</v>
      </c>
      <c r="P261" s="36">
        <v>0</v>
      </c>
      <c r="Q261" s="36">
        <f>Q260*1936.27</f>
        <v>44214835.817390002</v>
      </c>
      <c r="R261" s="7"/>
      <c r="S261" s="7"/>
      <c r="T261" s="7"/>
      <c r="U261" s="7"/>
      <c r="V261" s="7"/>
      <c r="W261" s="7"/>
      <c r="X261" s="7"/>
      <c r="Y261" s="7"/>
      <c r="Z261" s="7"/>
    </row>
    <row r="262" spans="1:26" ht="12.75" customHeight="1" x14ac:dyDescent="0.2">
      <c r="A262" s="95"/>
      <c r="B262" s="95"/>
      <c r="C262" s="40" t="s">
        <v>36</v>
      </c>
      <c r="D262" s="41">
        <v>36</v>
      </c>
      <c r="E262" s="42">
        <v>11409.57</v>
      </c>
      <c r="F262" s="42">
        <v>1251.8900000000001</v>
      </c>
      <c r="G262" s="42">
        <v>123.95</v>
      </c>
      <c r="H262" s="42">
        <v>6384.11</v>
      </c>
      <c r="I262" s="42">
        <v>127.42</v>
      </c>
      <c r="J262" s="42">
        <v>1597.46</v>
      </c>
      <c r="K262" s="43">
        <v>19296.939999999999</v>
      </c>
      <c r="L262" s="32">
        <v>20894.400000000001</v>
      </c>
      <c r="M262" s="33"/>
      <c r="N262" s="30">
        <v>19296.939999999999</v>
      </c>
      <c r="O262" s="30">
        <v>12912.83</v>
      </c>
      <c r="P262" s="30"/>
      <c r="Q262" s="30">
        <f>(N262+O262*0.18+J262)+(IF((P262-O262*0.18)&gt;0,(P262-O262*0.18),0))</f>
        <v>23218.7094</v>
      </c>
      <c r="R262" s="7"/>
      <c r="S262" s="7"/>
      <c r="T262" s="7"/>
      <c r="U262" s="7"/>
      <c r="V262" s="7"/>
      <c r="W262" s="7"/>
      <c r="X262" s="7"/>
      <c r="Y262" s="7"/>
      <c r="Z262" s="7"/>
    </row>
    <row r="263" spans="1:26" ht="9" customHeight="1" x14ac:dyDescent="0.2">
      <c r="A263" s="95"/>
      <c r="B263" s="95"/>
      <c r="C263" s="34" t="s">
        <v>37</v>
      </c>
      <c r="D263" s="35">
        <v>37</v>
      </c>
      <c r="E263" s="36">
        <v>22092008</v>
      </c>
      <c r="F263" s="36">
        <v>2423997</v>
      </c>
      <c r="G263" s="36">
        <v>240001</v>
      </c>
      <c r="H263" s="36">
        <v>12361361</v>
      </c>
      <c r="I263" s="36">
        <v>246720</v>
      </c>
      <c r="J263" s="37">
        <v>3093114</v>
      </c>
      <c r="K263" s="36">
        <v>37364086</v>
      </c>
      <c r="L263" s="38">
        <v>40457200</v>
      </c>
      <c r="M263" s="39"/>
      <c r="N263" s="36">
        <v>37364086</v>
      </c>
      <c r="O263" s="36">
        <v>25002725</v>
      </c>
      <c r="P263" s="36">
        <v>0</v>
      </c>
      <c r="Q263" s="36">
        <f>Q262*1936.27</f>
        <v>44957690.449937999</v>
      </c>
      <c r="R263" s="7"/>
      <c r="S263" s="7"/>
      <c r="T263" s="7"/>
      <c r="U263" s="7"/>
      <c r="V263" s="7"/>
      <c r="W263" s="7"/>
      <c r="X263" s="7"/>
      <c r="Y263" s="7"/>
      <c r="Z263" s="7"/>
    </row>
    <row r="264" spans="1:26" ht="12.75" customHeight="1" x14ac:dyDescent="0.2">
      <c r="A264" s="95"/>
      <c r="B264" s="95"/>
      <c r="C264" s="40" t="s">
        <v>36</v>
      </c>
      <c r="D264" s="41">
        <v>38</v>
      </c>
      <c r="E264" s="42">
        <v>11676.06</v>
      </c>
      <c r="F264" s="42">
        <v>1282.8800000000001</v>
      </c>
      <c r="G264" s="42">
        <v>123.95</v>
      </c>
      <c r="H264" s="42">
        <v>6384.11</v>
      </c>
      <c r="I264" s="42">
        <v>127.42</v>
      </c>
      <c r="J264" s="42">
        <v>1622.25</v>
      </c>
      <c r="K264" s="43">
        <v>19594.419999999998</v>
      </c>
      <c r="L264" s="32">
        <v>21216.67</v>
      </c>
      <c r="M264" s="33"/>
      <c r="N264" s="30">
        <v>19594.419999999998</v>
      </c>
      <c r="O264" s="30">
        <v>13210.31</v>
      </c>
      <c r="P264" s="30"/>
      <c r="Q264" s="30">
        <f>(N264+O264*0.18+J264)+(IF((P264-O264*0.18)&gt;0,(P264-O264*0.18),0))</f>
        <v>23594.525799999999</v>
      </c>
      <c r="R264" s="7"/>
      <c r="S264" s="7"/>
      <c r="T264" s="7"/>
      <c r="U264" s="7"/>
      <c r="V264" s="7"/>
      <c r="W264" s="7"/>
      <c r="X264" s="7"/>
      <c r="Y264" s="7"/>
      <c r="Z264" s="7"/>
    </row>
    <row r="265" spans="1:26" ht="9" customHeight="1" x14ac:dyDescent="0.2">
      <c r="A265" s="95"/>
      <c r="B265" s="95"/>
      <c r="C265" s="34" t="s">
        <v>37</v>
      </c>
      <c r="D265" s="35">
        <v>39</v>
      </c>
      <c r="E265" s="36">
        <v>22608005</v>
      </c>
      <c r="F265" s="36">
        <v>2484002</v>
      </c>
      <c r="G265" s="36">
        <v>240001</v>
      </c>
      <c r="H265" s="36">
        <v>12361361</v>
      </c>
      <c r="I265" s="36">
        <v>246720</v>
      </c>
      <c r="J265" s="37">
        <v>3141114</v>
      </c>
      <c r="K265" s="36">
        <v>37940088</v>
      </c>
      <c r="L265" s="38">
        <v>41081202</v>
      </c>
      <c r="M265" s="39"/>
      <c r="N265" s="36">
        <v>37940088</v>
      </c>
      <c r="O265" s="36">
        <v>25578727</v>
      </c>
      <c r="P265" s="36">
        <v>0</v>
      </c>
      <c r="Q265" s="36">
        <f>Q264*1936.27</f>
        <v>45685372.470766</v>
      </c>
      <c r="R265" s="7"/>
      <c r="S265" s="7"/>
      <c r="T265" s="7"/>
      <c r="U265" s="7"/>
      <c r="V265" s="7"/>
      <c r="W265" s="7"/>
      <c r="X265" s="7"/>
      <c r="Y265" s="7"/>
      <c r="Z265" s="7"/>
    </row>
    <row r="266" spans="1:26" ht="9" customHeight="1" x14ac:dyDescent="0.2">
      <c r="A266" s="95"/>
      <c r="B266" s="95"/>
      <c r="C266" s="44"/>
      <c r="D266" s="45"/>
      <c r="E266" s="96"/>
      <c r="F266" s="96"/>
      <c r="G266" s="96"/>
      <c r="H266" s="96"/>
      <c r="I266" s="96"/>
      <c r="J266" s="54"/>
      <c r="K266" s="96"/>
      <c r="L266" s="96"/>
      <c r="M266" s="39"/>
      <c r="N266" s="96"/>
      <c r="O266" s="96"/>
      <c r="P266" s="96"/>
      <c r="Q266" s="96"/>
      <c r="R266" s="7"/>
      <c r="S266" s="7"/>
      <c r="T266" s="7"/>
      <c r="U266" s="7"/>
      <c r="V266" s="7"/>
      <c r="W266" s="7"/>
      <c r="X266" s="7"/>
      <c r="Y266" s="7"/>
      <c r="Z266" s="7"/>
    </row>
    <row r="267" spans="1:26" ht="9" customHeight="1" x14ac:dyDescent="0.2">
      <c r="A267" s="95"/>
      <c r="B267" s="95"/>
      <c r="C267" s="44"/>
      <c r="D267" s="45"/>
      <c r="E267" s="96"/>
      <c r="F267" s="96"/>
      <c r="G267" s="96"/>
      <c r="H267" s="96"/>
      <c r="I267" s="96"/>
      <c r="J267" s="54"/>
      <c r="K267" s="96"/>
      <c r="L267" s="96"/>
      <c r="M267" s="39"/>
      <c r="N267" s="96"/>
      <c r="O267" s="96"/>
      <c r="P267" s="96"/>
      <c r="Q267" s="96"/>
      <c r="R267" s="7"/>
      <c r="S267" s="7"/>
      <c r="T267" s="7"/>
      <c r="U267" s="7"/>
      <c r="V267" s="7"/>
      <c r="W267" s="7"/>
      <c r="X267" s="7"/>
      <c r="Y267" s="7"/>
      <c r="Z267" s="7"/>
    </row>
    <row r="268" spans="1:26" ht="12.75" customHeight="1" x14ac:dyDescent="0.2">
      <c r="A268" s="95"/>
      <c r="B268" s="95"/>
      <c r="C268" s="40" t="s">
        <v>36</v>
      </c>
      <c r="D268" s="41">
        <v>40</v>
      </c>
      <c r="E268" s="42">
        <v>11948.75</v>
      </c>
      <c r="F268" s="42">
        <v>1313.87</v>
      </c>
      <c r="G268" s="42">
        <v>123.95</v>
      </c>
      <c r="H268" s="42">
        <v>6384.11</v>
      </c>
      <c r="I268" s="42">
        <v>127.42</v>
      </c>
      <c r="J268" s="42">
        <v>1647.56</v>
      </c>
      <c r="K268" s="43">
        <v>19898.099999999999</v>
      </c>
      <c r="L268" s="32">
        <v>21545.66</v>
      </c>
      <c r="M268" s="33"/>
      <c r="N268" s="30">
        <v>19898.099999999999</v>
      </c>
      <c r="O268" s="30">
        <v>13513.99</v>
      </c>
      <c r="P268" s="30"/>
      <c r="Q268" s="30">
        <f>(N268+O268*0.18+J268)+(IF((P268-O268*0.18)&gt;0,(P268-O268*0.18),0))</f>
        <v>23978.178199999998</v>
      </c>
      <c r="R268" s="7"/>
      <c r="S268" s="7"/>
      <c r="T268" s="7"/>
      <c r="U268" s="7"/>
      <c r="V268" s="7"/>
      <c r="W268" s="7"/>
      <c r="X268" s="7"/>
      <c r="Y268" s="7"/>
      <c r="Z268" s="7"/>
    </row>
    <row r="269" spans="1:26" ht="9" customHeight="1" x14ac:dyDescent="0.2">
      <c r="A269" s="110"/>
      <c r="B269" s="110"/>
      <c r="C269" s="47"/>
      <c r="D269" s="48"/>
      <c r="E269" s="46">
        <v>23136006</v>
      </c>
      <c r="F269" s="46">
        <v>2544007</v>
      </c>
      <c r="G269" s="46">
        <v>240001</v>
      </c>
      <c r="H269" s="46">
        <v>12361361</v>
      </c>
      <c r="I269" s="46">
        <v>246720</v>
      </c>
      <c r="J269" s="49">
        <v>3190121</v>
      </c>
      <c r="K269" s="46">
        <v>38528094</v>
      </c>
      <c r="L269" s="38">
        <v>41718215</v>
      </c>
      <c r="M269" s="39"/>
      <c r="N269" s="36">
        <v>38528094</v>
      </c>
      <c r="O269" s="36">
        <v>26166733</v>
      </c>
      <c r="P269" s="36">
        <v>0</v>
      </c>
      <c r="Q269" s="36">
        <f>Q268*1936.27</f>
        <v>46428227.103313997</v>
      </c>
      <c r="R269" s="7"/>
      <c r="S269" s="7"/>
      <c r="T269" s="7"/>
      <c r="U269" s="7"/>
      <c r="V269" s="7"/>
      <c r="W269" s="7"/>
      <c r="X269" s="7"/>
      <c r="Y269" s="7"/>
      <c r="Z269" s="7"/>
    </row>
    <row r="270" spans="1:26" ht="12.75" customHeight="1" x14ac:dyDescent="0.2">
      <c r="A270" s="98">
        <v>34516</v>
      </c>
      <c r="B270" s="98">
        <v>34699</v>
      </c>
      <c r="C270" s="28" t="s">
        <v>36</v>
      </c>
      <c r="D270" s="29">
        <v>0</v>
      </c>
      <c r="E270" s="30">
        <v>5751.26</v>
      </c>
      <c r="F270" s="30">
        <v>632.14</v>
      </c>
      <c r="G270" s="30">
        <v>123.95</v>
      </c>
      <c r="H270" s="30">
        <v>6384.11</v>
      </c>
      <c r="I270" s="30">
        <v>212.37</v>
      </c>
      <c r="J270" s="30">
        <v>1074.29</v>
      </c>
      <c r="K270" s="31">
        <v>13103.83</v>
      </c>
      <c r="L270" s="32">
        <v>14178.12</v>
      </c>
      <c r="M270" s="33"/>
      <c r="N270" s="30">
        <v>13103.83</v>
      </c>
      <c r="O270" s="30">
        <v>6719.72</v>
      </c>
      <c r="P270" s="30"/>
      <c r="Q270" s="30">
        <f>(N270+O270*0.18+J270)+(IF((P270-O270*0.18)&gt;0,(P270-O270*0.18),0))</f>
        <v>15387.669600000001</v>
      </c>
      <c r="R270" s="7"/>
      <c r="S270" s="7"/>
      <c r="T270" s="7"/>
      <c r="U270" s="7"/>
      <c r="V270" s="7"/>
      <c r="W270" s="7"/>
      <c r="X270" s="7"/>
      <c r="Y270" s="7"/>
      <c r="Z270" s="7"/>
    </row>
    <row r="271" spans="1:26" ht="9" customHeight="1" x14ac:dyDescent="0.2">
      <c r="A271" s="95"/>
      <c r="B271" s="95"/>
      <c r="C271" s="34" t="s">
        <v>37</v>
      </c>
      <c r="D271" s="35">
        <v>2</v>
      </c>
      <c r="E271" s="36">
        <v>11135992</v>
      </c>
      <c r="F271" s="36">
        <v>1223994</v>
      </c>
      <c r="G271" s="36">
        <v>240001</v>
      </c>
      <c r="H271" s="36">
        <v>12361361</v>
      </c>
      <c r="I271" s="36">
        <v>411206</v>
      </c>
      <c r="J271" s="37">
        <v>2080115</v>
      </c>
      <c r="K271" s="36">
        <v>25372553</v>
      </c>
      <c r="L271" s="38">
        <v>27452668</v>
      </c>
      <c r="M271" s="39"/>
      <c r="N271" s="36">
        <v>25372553</v>
      </c>
      <c r="O271" s="36">
        <v>13011192</v>
      </c>
      <c r="P271" s="36">
        <v>0</v>
      </c>
      <c r="Q271" s="36">
        <f>Q270*1936.27</f>
        <v>29794683.016392</v>
      </c>
      <c r="R271" s="7"/>
      <c r="S271" s="7"/>
      <c r="T271" s="7"/>
      <c r="U271" s="7"/>
      <c r="V271" s="7"/>
      <c r="W271" s="7"/>
      <c r="X271" s="7"/>
      <c r="Y271" s="7"/>
      <c r="Z271" s="7"/>
    </row>
    <row r="272" spans="1:26" ht="12.75" customHeight="1" x14ac:dyDescent="0.2">
      <c r="A272" s="155">
        <v>34516</v>
      </c>
      <c r="B272" s="155">
        <v>34699</v>
      </c>
      <c r="C272" s="40" t="s">
        <v>36</v>
      </c>
      <c r="D272" s="41">
        <v>3</v>
      </c>
      <c r="E272" s="42">
        <v>6061.14</v>
      </c>
      <c r="F272" s="42">
        <v>663.13</v>
      </c>
      <c r="G272" s="42">
        <v>123.95</v>
      </c>
      <c r="H272" s="42">
        <v>6384.11</v>
      </c>
      <c r="I272" s="42">
        <v>212.37</v>
      </c>
      <c r="J272" s="42">
        <v>1102.69</v>
      </c>
      <c r="K272" s="43">
        <v>13444.7</v>
      </c>
      <c r="L272" s="32">
        <v>14547.39</v>
      </c>
      <c r="M272" s="33"/>
      <c r="N272" s="30">
        <v>13444.7</v>
      </c>
      <c r="O272" s="30">
        <v>7060.59</v>
      </c>
      <c r="P272" s="30"/>
      <c r="Q272" s="30">
        <f>(N272+O272*0.18+J272)+(IF((P272-O272*0.18)&gt;0,(P272-O272*0.18),0))</f>
        <v>15818.296200000001</v>
      </c>
      <c r="R272" s="7"/>
      <c r="S272" s="7"/>
      <c r="T272" s="7"/>
      <c r="U272" s="7"/>
      <c r="V272" s="7"/>
      <c r="W272" s="7"/>
      <c r="X272" s="7"/>
      <c r="Y272" s="7"/>
      <c r="Z272" s="7"/>
    </row>
    <row r="273" spans="1:26" ht="9" customHeight="1" x14ac:dyDescent="0.2">
      <c r="A273" s="95"/>
      <c r="B273" s="95"/>
      <c r="C273" s="34" t="s">
        <v>37</v>
      </c>
      <c r="D273" s="35">
        <v>4</v>
      </c>
      <c r="E273" s="36">
        <v>11736004</v>
      </c>
      <c r="F273" s="36">
        <v>1283999</v>
      </c>
      <c r="G273" s="36">
        <v>240001</v>
      </c>
      <c r="H273" s="36">
        <v>12361361</v>
      </c>
      <c r="I273" s="36">
        <v>411206</v>
      </c>
      <c r="J273" s="37">
        <v>2135106</v>
      </c>
      <c r="K273" s="36">
        <v>26032569</v>
      </c>
      <c r="L273" s="38">
        <v>28167675</v>
      </c>
      <c r="M273" s="39"/>
      <c r="N273" s="36">
        <v>26032569</v>
      </c>
      <c r="O273" s="36">
        <v>13671209</v>
      </c>
      <c r="P273" s="36">
        <v>0</v>
      </c>
      <c r="Q273" s="36">
        <f>Q272*1936.27</f>
        <v>30628492.383174002</v>
      </c>
      <c r="R273" s="7"/>
      <c r="S273" s="7"/>
      <c r="T273" s="7"/>
      <c r="U273" s="7"/>
      <c r="V273" s="7"/>
      <c r="W273" s="7"/>
      <c r="X273" s="7"/>
      <c r="Y273" s="7"/>
      <c r="Z273" s="7"/>
    </row>
    <row r="274" spans="1:26" ht="12.75" customHeight="1" x14ac:dyDescent="0.2">
      <c r="A274" s="95"/>
      <c r="B274" s="95"/>
      <c r="C274" s="40" t="s">
        <v>36</v>
      </c>
      <c r="D274" s="41">
        <v>5</v>
      </c>
      <c r="E274" s="42">
        <v>6371.01</v>
      </c>
      <c r="F274" s="42">
        <v>700.32</v>
      </c>
      <c r="G274" s="42">
        <v>123.95</v>
      </c>
      <c r="H274" s="42">
        <v>6384.11</v>
      </c>
      <c r="I274" s="42">
        <v>212.37</v>
      </c>
      <c r="J274" s="42">
        <v>1131.6199999999999</v>
      </c>
      <c r="K274" s="43">
        <v>13791.76</v>
      </c>
      <c r="L274" s="32">
        <v>14923.38</v>
      </c>
      <c r="M274" s="33"/>
      <c r="N274" s="30">
        <v>13791.76</v>
      </c>
      <c r="O274" s="30">
        <v>7407.65</v>
      </c>
      <c r="P274" s="30"/>
      <c r="Q274" s="30">
        <f>(N274+O274*0.18+J274)+(IF((P274-O274*0.18)&gt;0,(P274-O274*0.18),0))</f>
        <v>16256.757000000001</v>
      </c>
      <c r="R274" s="7"/>
      <c r="S274" s="7"/>
      <c r="T274" s="7"/>
      <c r="U274" s="7"/>
      <c r="V274" s="7"/>
      <c r="W274" s="7"/>
      <c r="X274" s="7"/>
      <c r="Y274" s="7"/>
      <c r="Z274" s="7"/>
    </row>
    <row r="275" spans="1:26" ht="9" customHeight="1" x14ac:dyDescent="0.2">
      <c r="A275" s="95"/>
      <c r="B275" s="95"/>
      <c r="C275" s="34" t="s">
        <v>37</v>
      </c>
      <c r="D275" s="35">
        <v>6</v>
      </c>
      <c r="E275" s="36">
        <v>12335996</v>
      </c>
      <c r="F275" s="36">
        <v>1356009</v>
      </c>
      <c r="G275" s="36">
        <v>240001</v>
      </c>
      <c r="H275" s="36">
        <v>12361361</v>
      </c>
      <c r="I275" s="36">
        <v>411206</v>
      </c>
      <c r="J275" s="37">
        <v>2191122</v>
      </c>
      <c r="K275" s="36">
        <v>26704571</v>
      </c>
      <c r="L275" s="38">
        <v>28895693</v>
      </c>
      <c r="M275" s="39"/>
      <c r="N275" s="36">
        <v>26704571</v>
      </c>
      <c r="O275" s="36">
        <v>14343210</v>
      </c>
      <c r="P275" s="36">
        <v>0</v>
      </c>
      <c r="Q275" s="36">
        <f>Q274*1936.27</f>
        <v>31477470.876390003</v>
      </c>
      <c r="R275" s="7"/>
      <c r="S275" s="7"/>
      <c r="T275" s="7"/>
      <c r="U275" s="7"/>
      <c r="V275" s="7"/>
      <c r="W275" s="7"/>
      <c r="X275" s="7"/>
      <c r="Y275" s="7"/>
      <c r="Z275" s="7"/>
    </row>
    <row r="276" spans="1:26" ht="12.75" customHeight="1" x14ac:dyDescent="0.2">
      <c r="A276" s="95"/>
      <c r="B276" s="95"/>
      <c r="C276" s="40" t="s">
        <v>36</v>
      </c>
      <c r="D276" s="41">
        <v>7</v>
      </c>
      <c r="E276" s="42">
        <v>6674.69</v>
      </c>
      <c r="F276" s="42">
        <v>731.3</v>
      </c>
      <c r="G276" s="42">
        <v>123.95</v>
      </c>
      <c r="H276" s="42">
        <v>6384.11</v>
      </c>
      <c r="I276" s="42">
        <v>212.37</v>
      </c>
      <c r="J276" s="42">
        <v>1159.5</v>
      </c>
      <c r="K276" s="43">
        <v>14126.42</v>
      </c>
      <c r="L276" s="32">
        <v>15285.92</v>
      </c>
      <c r="M276" s="33"/>
      <c r="N276" s="30">
        <v>14126.42</v>
      </c>
      <c r="O276" s="30">
        <v>7742.31</v>
      </c>
      <c r="P276" s="30"/>
      <c r="Q276" s="30">
        <f>(N276+O276*0.18+J276)+(IF((P276-O276*0.18)&gt;0,(P276-O276*0.18),0))</f>
        <v>16679.535799999998</v>
      </c>
      <c r="R276" s="7"/>
      <c r="S276" s="7"/>
      <c r="T276" s="7"/>
      <c r="U276" s="7"/>
      <c r="V276" s="7"/>
      <c r="W276" s="7"/>
      <c r="X276" s="7"/>
      <c r="Y276" s="7"/>
      <c r="Z276" s="7"/>
    </row>
    <row r="277" spans="1:26" ht="9" customHeight="1" x14ac:dyDescent="0.2">
      <c r="A277" s="95"/>
      <c r="B277" s="95"/>
      <c r="C277" s="34" t="s">
        <v>37</v>
      </c>
      <c r="D277" s="35">
        <v>8</v>
      </c>
      <c r="E277" s="36">
        <v>12924002</v>
      </c>
      <c r="F277" s="36">
        <v>1415994</v>
      </c>
      <c r="G277" s="36">
        <v>240001</v>
      </c>
      <c r="H277" s="36">
        <v>12361361</v>
      </c>
      <c r="I277" s="36">
        <v>411206</v>
      </c>
      <c r="J277" s="37">
        <v>2245105</v>
      </c>
      <c r="K277" s="36">
        <v>27352563</v>
      </c>
      <c r="L277" s="38">
        <v>29597668</v>
      </c>
      <c r="M277" s="39"/>
      <c r="N277" s="36">
        <v>27352563</v>
      </c>
      <c r="O277" s="36">
        <v>14991203</v>
      </c>
      <c r="P277" s="36">
        <v>0</v>
      </c>
      <c r="Q277" s="36">
        <f>Q276*1936.27</f>
        <v>32296084.783465996</v>
      </c>
      <c r="R277" s="7"/>
      <c r="S277" s="7"/>
      <c r="T277" s="7"/>
      <c r="U277" s="7"/>
      <c r="V277" s="7"/>
      <c r="W277" s="7"/>
      <c r="X277" s="7"/>
      <c r="Y277" s="7"/>
      <c r="Z277" s="7"/>
    </row>
    <row r="278" spans="1:26" ht="12.75" customHeight="1" x14ac:dyDescent="0.2">
      <c r="A278" s="95"/>
      <c r="B278" s="95"/>
      <c r="C278" s="40" t="s">
        <v>36</v>
      </c>
      <c r="D278" s="41">
        <v>9</v>
      </c>
      <c r="E278" s="42">
        <v>7027.95</v>
      </c>
      <c r="F278" s="42">
        <v>768.49</v>
      </c>
      <c r="G278" s="42">
        <v>123.95</v>
      </c>
      <c r="H278" s="42">
        <v>6384.11</v>
      </c>
      <c r="I278" s="42">
        <v>212.37</v>
      </c>
      <c r="J278" s="42">
        <v>1192.04</v>
      </c>
      <c r="K278" s="43">
        <v>14516.87</v>
      </c>
      <c r="L278" s="32">
        <v>15708.91</v>
      </c>
      <c r="M278" s="33"/>
      <c r="N278" s="30">
        <v>14516.87</v>
      </c>
      <c r="O278" s="30">
        <v>8132.76</v>
      </c>
      <c r="P278" s="30"/>
      <c r="Q278" s="30">
        <f>(N278+O278*0.18+J278)+(IF((P278-O278*0.18)&gt;0,(P278-O278*0.18),0))</f>
        <v>17172.806800000002</v>
      </c>
      <c r="R278" s="7"/>
      <c r="S278" s="7"/>
      <c r="T278" s="7"/>
      <c r="U278" s="7"/>
      <c r="V278" s="7"/>
      <c r="W278" s="7"/>
      <c r="X278" s="7"/>
      <c r="Y278" s="7"/>
      <c r="Z278" s="7"/>
    </row>
    <row r="279" spans="1:26" ht="9" customHeight="1" x14ac:dyDescent="0.2">
      <c r="A279" s="95"/>
      <c r="B279" s="95"/>
      <c r="C279" s="34" t="s">
        <v>37</v>
      </c>
      <c r="D279" s="35">
        <v>10</v>
      </c>
      <c r="E279" s="36">
        <v>13608009</v>
      </c>
      <c r="F279" s="36">
        <v>1488004</v>
      </c>
      <c r="G279" s="36">
        <v>240001</v>
      </c>
      <c r="H279" s="36">
        <v>12361361</v>
      </c>
      <c r="I279" s="36">
        <v>411206</v>
      </c>
      <c r="J279" s="37">
        <v>2308111</v>
      </c>
      <c r="K279" s="36">
        <v>28108580</v>
      </c>
      <c r="L279" s="38">
        <v>30416691</v>
      </c>
      <c r="M279" s="39"/>
      <c r="N279" s="36">
        <v>28108580</v>
      </c>
      <c r="O279" s="36">
        <v>15747219</v>
      </c>
      <c r="P279" s="36">
        <v>0</v>
      </c>
      <c r="Q279" s="36">
        <f>Q278*1936.27</f>
        <v>33251190.622636005</v>
      </c>
      <c r="R279" s="7"/>
      <c r="S279" s="7"/>
      <c r="T279" s="7"/>
      <c r="U279" s="7"/>
      <c r="V279" s="7"/>
      <c r="W279" s="7"/>
      <c r="X279" s="7"/>
      <c r="Y279" s="7"/>
      <c r="Z279" s="7"/>
    </row>
    <row r="280" spans="1:26" ht="12.75" customHeight="1" x14ac:dyDescent="0.2">
      <c r="A280" s="95"/>
      <c r="B280" s="95"/>
      <c r="C280" s="40" t="s">
        <v>36</v>
      </c>
      <c r="D280" s="41">
        <v>11</v>
      </c>
      <c r="E280" s="42">
        <v>7387.4</v>
      </c>
      <c r="F280" s="42">
        <v>811.87</v>
      </c>
      <c r="G280" s="42">
        <v>123.95</v>
      </c>
      <c r="H280" s="42">
        <v>6384.11</v>
      </c>
      <c r="I280" s="42">
        <v>212.37</v>
      </c>
      <c r="J280" s="42">
        <v>1225.6099999999999</v>
      </c>
      <c r="K280" s="43">
        <v>14919.7</v>
      </c>
      <c r="L280" s="32">
        <v>16145.31</v>
      </c>
      <c r="M280" s="33"/>
      <c r="N280" s="30">
        <v>14919.7</v>
      </c>
      <c r="O280" s="30">
        <v>8535.59</v>
      </c>
      <c r="P280" s="30"/>
      <c r="Q280" s="30">
        <f>(N280+O280*0.18+J280)+(IF((P280-O280*0.18)&gt;0,(P280-O280*0.18),0))</f>
        <v>17681.716200000003</v>
      </c>
      <c r="R280" s="7"/>
      <c r="S280" s="7"/>
      <c r="T280" s="7"/>
      <c r="U280" s="7"/>
      <c r="V280" s="7"/>
      <c r="W280" s="7"/>
      <c r="X280" s="7"/>
      <c r="Y280" s="7"/>
      <c r="Z280" s="7"/>
    </row>
    <row r="281" spans="1:26" ht="9" customHeight="1" x14ac:dyDescent="0.2">
      <c r="A281" s="95"/>
      <c r="B281" s="95"/>
      <c r="C281" s="34" t="s">
        <v>37</v>
      </c>
      <c r="D281" s="35">
        <v>12</v>
      </c>
      <c r="E281" s="36">
        <v>14304001</v>
      </c>
      <c r="F281" s="36">
        <v>1572000</v>
      </c>
      <c r="G281" s="36">
        <v>240001</v>
      </c>
      <c r="H281" s="36">
        <v>12361361</v>
      </c>
      <c r="I281" s="36">
        <v>411206</v>
      </c>
      <c r="J281" s="37">
        <v>2373112</v>
      </c>
      <c r="K281" s="36">
        <v>28888568</v>
      </c>
      <c r="L281" s="38">
        <v>31261679</v>
      </c>
      <c r="M281" s="39"/>
      <c r="N281" s="36">
        <v>28888568</v>
      </c>
      <c r="O281" s="36">
        <v>16527207</v>
      </c>
      <c r="P281" s="36">
        <v>0</v>
      </c>
      <c r="Q281" s="36">
        <f>Q280*1936.27</f>
        <v>34236576.626574002</v>
      </c>
      <c r="R281" s="7"/>
      <c r="S281" s="7"/>
      <c r="T281" s="7"/>
      <c r="U281" s="7"/>
      <c r="V281" s="7"/>
      <c r="W281" s="7"/>
      <c r="X281" s="7"/>
      <c r="Y281" s="7"/>
      <c r="Z281" s="7"/>
    </row>
    <row r="282" spans="1:26" ht="12.75" customHeight="1" x14ac:dyDescent="0.2">
      <c r="A282" s="95"/>
      <c r="B282" s="95"/>
      <c r="C282" s="40" t="s">
        <v>36</v>
      </c>
      <c r="D282" s="41">
        <v>13</v>
      </c>
      <c r="E282" s="42">
        <v>7740.66</v>
      </c>
      <c r="F282" s="42">
        <v>849.06</v>
      </c>
      <c r="G282" s="42">
        <v>123.95</v>
      </c>
      <c r="H282" s="42">
        <v>6384.11</v>
      </c>
      <c r="I282" s="42">
        <v>212.37</v>
      </c>
      <c r="J282" s="42">
        <v>1258.1500000000001</v>
      </c>
      <c r="K282" s="43">
        <v>15310.15</v>
      </c>
      <c r="L282" s="32">
        <v>16568.3</v>
      </c>
      <c r="M282" s="33"/>
      <c r="N282" s="30">
        <v>15310.15</v>
      </c>
      <c r="O282" s="30">
        <v>8926.0400000000009</v>
      </c>
      <c r="P282" s="30"/>
      <c r="Q282" s="30">
        <f>(N282+O282*0.18+J282)+(IF((P282-O282*0.18)&gt;0,(P282-O282*0.18),0))</f>
        <v>18174.9872</v>
      </c>
      <c r="R282" s="7"/>
      <c r="S282" s="7"/>
      <c r="T282" s="7"/>
      <c r="U282" s="7"/>
      <c r="V282" s="7"/>
      <c r="W282" s="7"/>
      <c r="X282" s="7"/>
      <c r="Y282" s="7"/>
      <c r="Z282" s="7"/>
    </row>
    <row r="283" spans="1:26" ht="9" customHeight="1" x14ac:dyDescent="0.2">
      <c r="A283" s="95"/>
      <c r="B283" s="95"/>
      <c r="C283" s="34" t="s">
        <v>37</v>
      </c>
      <c r="D283" s="35">
        <v>14</v>
      </c>
      <c r="E283" s="36">
        <v>14988008</v>
      </c>
      <c r="F283" s="36">
        <v>1644009</v>
      </c>
      <c r="G283" s="36">
        <v>240001</v>
      </c>
      <c r="H283" s="36">
        <v>12361361</v>
      </c>
      <c r="I283" s="36">
        <v>411206</v>
      </c>
      <c r="J283" s="37">
        <v>2436118</v>
      </c>
      <c r="K283" s="36">
        <v>29644584</v>
      </c>
      <c r="L283" s="38">
        <v>32080702</v>
      </c>
      <c r="M283" s="39"/>
      <c r="N283" s="36">
        <v>29644584</v>
      </c>
      <c r="O283" s="36">
        <v>17283223</v>
      </c>
      <c r="P283" s="36">
        <v>0</v>
      </c>
      <c r="Q283" s="36">
        <f>Q282*1936.27</f>
        <v>35191682.465743996</v>
      </c>
      <c r="R283" s="7"/>
      <c r="S283" s="7"/>
      <c r="T283" s="7"/>
      <c r="U283" s="7"/>
      <c r="V283" s="7"/>
      <c r="W283" s="7"/>
      <c r="X283" s="7"/>
      <c r="Y283" s="7"/>
      <c r="Z283" s="7"/>
    </row>
    <row r="284" spans="1:26" ht="12.75" customHeight="1" x14ac:dyDescent="0.2">
      <c r="A284" s="95"/>
      <c r="B284" s="95"/>
      <c r="C284" s="40" t="s">
        <v>36</v>
      </c>
      <c r="D284" s="41">
        <v>15</v>
      </c>
      <c r="E284" s="42">
        <v>8155.89</v>
      </c>
      <c r="F284" s="42">
        <v>892.44</v>
      </c>
      <c r="G284" s="42">
        <v>123.95</v>
      </c>
      <c r="H284" s="42">
        <v>6384.11</v>
      </c>
      <c r="I284" s="42">
        <v>212.37</v>
      </c>
      <c r="J284" s="42">
        <v>1296.3699999999999</v>
      </c>
      <c r="K284" s="43">
        <v>15768.76</v>
      </c>
      <c r="L284" s="32">
        <v>17065.13</v>
      </c>
      <c r="M284" s="33"/>
      <c r="N284" s="30">
        <v>15768.76</v>
      </c>
      <c r="O284" s="30">
        <v>9384.65</v>
      </c>
      <c r="P284" s="30"/>
      <c r="Q284" s="30">
        <f>(N284+O284*0.18+J284)+(IF((P284-O284*0.18)&gt;0,(P284-O284*0.18),0))</f>
        <v>18754.366999999998</v>
      </c>
      <c r="R284" s="7"/>
      <c r="S284" s="7"/>
      <c r="T284" s="7"/>
      <c r="U284" s="7"/>
      <c r="V284" s="7"/>
      <c r="W284" s="7"/>
      <c r="X284" s="7"/>
      <c r="Y284" s="7"/>
      <c r="Z284" s="7"/>
    </row>
    <row r="285" spans="1:26" ht="9" customHeight="1" x14ac:dyDescent="0.2">
      <c r="A285" s="95"/>
      <c r="B285" s="95"/>
      <c r="C285" s="34" t="s">
        <v>37</v>
      </c>
      <c r="D285" s="35">
        <v>16</v>
      </c>
      <c r="E285" s="36">
        <v>15792005</v>
      </c>
      <c r="F285" s="36">
        <v>1728005</v>
      </c>
      <c r="G285" s="36">
        <v>240001</v>
      </c>
      <c r="H285" s="36">
        <v>12361361</v>
      </c>
      <c r="I285" s="36">
        <v>411206</v>
      </c>
      <c r="J285" s="37">
        <v>2510122</v>
      </c>
      <c r="K285" s="36">
        <v>30532577</v>
      </c>
      <c r="L285" s="38">
        <v>33042699</v>
      </c>
      <c r="M285" s="39"/>
      <c r="N285" s="36">
        <v>30532577</v>
      </c>
      <c r="O285" s="36">
        <v>18171216</v>
      </c>
      <c r="P285" s="36">
        <v>0</v>
      </c>
      <c r="Q285" s="36">
        <f>Q284*1936.27</f>
        <v>36313518.191089995</v>
      </c>
      <c r="R285" s="7"/>
      <c r="S285" s="7"/>
      <c r="T285" s="7"/>
      <c r="U285" s="7"/>
      <c r="V285" s="7"/>
      <c r="W285" s="7"/>
      <c r="X285" s="7"/>
      <c r="Y285" s="7"/>
      <c r="Z285" s="7"/>
    </row>
    <row r="286" spans="1:26" ht="12.75" customHeight="1" x14ac:dyDescent="0.2">
      <c r="A286" s="95"/>
      <c r="B286" s="95"/>
      <c r="C286" s="40" t="s">
        <v>36</v>
      </c>
      <c r="D286" s="41">
        <v>17</v>
      </c>
      <c r="E286" s="42">
        <v>8571.1200000000008</v>
      </c>
      <c r="F286" s="42">
        <v>942.02</v>
      </c>
      <c r="G286" s="42">
        <v>123.95</v>
      </c>
      <c r="H286" s="42">
        <v>6384.11</v>
      </c>
      <c r="I286" s="42">
        <v>212.37</v>
      </c>
      <c r="J286" s="42">
        <v>1335.1</v>
      </c>
      <c r="K286" s="43">
        <v>16233.57</v>
      </c>
      <c r="L286" s="32">
        <v>17568.669999999998</v>
      </c>
      <c r="M286" s="33"/>
      <c r="N286" s="30">
        <v>16233.57</v>
      </c>
      <c r="O286" s="30">
        <v>9849.4599999999991</v>
      </c>
      <c r="P286" s="30"/>
      <c r="Q286" s="30">
        <f>(N286+O286*0.18+J286)+(IF((P286-O286*0.18)&gt;0,(P286-O286*0.18),0))</f>
        <v>19341.572799999998</v>
      </c>
      <c r="R286" s="7"/>
      <c r="S286" s="7"/>
      <c r="T286" s="7"/>
      <c r="U286" s="7"/>
      <c r="V286" s="7"/>
      <c r="W286" s="7"/>
      <c r="X286" s="7"/>
      <c r="Y286" s="7"/>
      <c r="Z286" s="7"/>
    </row>
    <row r="287" spans="1:26" ht="9" customHeight="1" x14ac:dyDescent="0.2">
      <c r="A287" s="95"/>
      <c r="B287" s="95"/>
      <c r="C287" s="34" t="s">
        <v>37</v>
      </c>
      <c r="D287" s="35">
        <v>18</v>
      </c>
      <c r="E287" s="36">
        <v>16596003</v>
      </c>
      <c r="F287" s="36">
        <v>1824005</v>
      </c>
      <c r="G287" s="36">
        <v>240001</v>
      </c>
      <c r="H287" s="36">
        <v>12361361</v>
      </c>
      <c r="I287" s="36">
        <v>411206</v>
      </c>
      <c r="J287" s="37">
        <v>2585114</v>
      </c>
      <c r="K287" s="36">
        <v>31432575</v>
      </c>
      <c r="L287" s="38">
        <v>34017689</v>
      </c>
      <c r="M287" s="39"/>
      <c r="N287" s="36">
        <v>31432575</v>
      </c>
      <c r="O287" s="36">
        <v>19071214</v>
      </c>
      <c r="P287" s="36">
        <v>0</v>
      </c>
      <c r="Q287" s="36">
        <f>Q286*1936.27</f>
        <v>37450507.165455997</v>
      </c>
      <c r="R287" s="7"/>
      <c r="S287" s="7"/>
      <c r="T287" s="7"/>
      <c r="U287" s="7"/>
      <c r="V287" s="7"/>
      <c r="W287" s="7"/>
      <c r="X287" s="7"/>
      <c r="Y287" s="7"/>
      <c r="Z287" s="7"/>
    </row>
    <row r="288" spans="1:26" ht="12.75" customHeight="1" x14ac:dyDescent="0.2">
      <c r="A288" s="95"/>
      <c r="B288" s="95"/>
      <c r="C288" s="40" t="s">
        <v>36</v>
      </c>
      <c r="D288" s="41">
        <v>19</v>
      </c>
      <c r="E288" s="42">
        <v>8980.15</v>
      </c>
      <c r="F288" s="42">
        <v>985.4</v>
      </c>
      <c r="G288" s="42">
        <v>123.95</v>
      </c>
      <c r="H288" s="42">
        <v>6384.11</v>
      </c>
      <c r="I288" s="42">
        <v>212.37</v>
      </c>
      <c r="J288" s="42">
        <v>1372.8</v>
      </c>
      <c r="K288" s="43">
        <v>16685.98</v>
      </c>
      <c r="L288" s="32">
        <v>18058.78</v>
      </c>
      <c r="M288" s="33"/>
      <c r="N288" s="30">
        <v>16685.98</v>
      </c>
      <c r="O288" s="30">
        <v>10301.870000000001</v>
      </c>
      <c r="P288" s="30"/>
      <c r="Q288" s="30">
        <f>(N288+O288*0.18+J288)+(IF((P288-O288*0.18)&gt;0,(P288-O288*0.18),0))</f>
        <v>19913.116599999998</v>
      </c>
      <c r="R288" s="7"/>
      <c r="S288" s="7"/>
      <c r="T288" s="7"/>
      <c r="U288" s="7"/>
      <c r="V288" s="7"/>
      <c r="W288" s="7"/>
      <c r="X288" s="7"/>
      <c r="Y288" s="7"/>
      <c r="Z288" s="7"/>
    </row>
    <row r="289" spans="1:26" ht="9" customHeight="1" x14ac:dyDescent="0.2">
      <c r="A289" s="95"/>
      <c r="B289" s="95"/>
      <c r="C289" s="34" t="s">
        <v>37</v>
      </c>
      <c r="D289" s="35">
        <v>20</v>
      </c>
      <c r="E289" s="36">
        <v>17387995</v>
      </c>
      <c r="F289" s="36">
        <v>1908000</v>
      </c>
      <c r="G289" s="36">
        <v>240001</v>
      </c>
      <c r="H289" s="36">
        <v>12361361</v>
      </c>
      <c r="I289" s="36">
        <v>411206</v>
      </c>
      <c r="J289" s="37">
        <v>2658111</v>
      </c>
      <c r="K289" s="36">
        <v>32308562</v>
      </c>
      <c r="L289" s="38">
        <v>34966674</v>
      </c>
      <c r="M289" s="39"/>
      <c r="N289" s="36">
        <v>32308562</v>
      </c>
      <c r="O289" s="36">
        <v>19947202</v>
      </c>
      <c r="P289" s="36">
        <v>0</v>
      </c>
      <c r="Q289" s="36">
        <f>Q288*1936.27</f>
        <v>38557170.279081993</v>
      </c>
      <c r="R289" s="7"/>
      <c r="S289" s="7"/>
      <c r="T289" s="7"/>
      <c r="U289" s="7"/>
      <c r="V289" s="7"/>
      <c r="W289" s="7"/>
      <c r="X289" s="7"/>
      <c r="Y289" s="7"/>
      <c r="Z289" s="7"/>
    </row>
    <row r="290" spans="1:26" ht="12.75" customHeight="1" x14ac:dyDescent="0.2">
      <c r="A290" s="95"/>
      <c r="B290" s="95"/>
      <c r="C290" s="40" t="s">
        <v>36</v>
      </c>
      <c r="D290" s="41">
        <v>21</v>
      </c>
      <c r="E290" s="42">
        <v>9252.84</v>
      </c>
      <c r="F290" s="42">
        <v>1016.39</v>
      </c>
      <c r="G290" s="42">
        <v>123.95</v>
      </c>
      <c r="H290" s="42">
        <v>6384.11</v>
      </c>
      <c r="I290" s="42">
        <v>212.37</v>
      </c>
      <c r="J290" s="42">
        <v>1398.11</v>
      </c>
      <c r="K290" s="43">
        <v>16989.66</v>
      </c>
      <c r="L290" s="32">
        <v>18387.77</v>
      </c>
      <c r="M290" s="33"/>
      <c r="N290" s="30">
        <v>16989.66</v>
      </c>
      <c r="O290" s="30">
        <v>10605.55</v>
      </c>
      <c r="P290" s="30"/>
      <c r="Q290" s="30">
        <f>(N290+O290*0.18+J290)+(IF((P290-O290*0.18)&gt;0,(P290-O290*0.18),0))</f>
        <v>20296.769</v>
      </c>
      <c r="R290" s="7"/>
      <c r="S290" s="7"/>
      <c r="T290" s="7"/>
      <c r="U290" s="7"/>
      <c r="V290" s="7"/>
      <c r="W290" s="7"/>
      <c r="X290" s="7"/>
      <c r="Y290" s="7"/>
      <c r="Z290" s="7"/>
    </row>
    <row r="291" spans="1:26" ht="9" customHeight="1" x14ac:dyDescent="0.2">
      <c r="A291" s="95"/>
      <c r="B291" s="95"/>
      <c r="C291" s="34" t="s">
        <v>37</v>
      </c>
      <c r="D291" s="35">
        <v>22</v>
      </c>
      <c r="E291" s="36">
        <v>17915997</v>
      </c>
      <c r="F291" s="36">
        <v>1968005</v>
      </c>
      <c r="G291" s="36">
        <v>240001</v>
      </c>
      <c r="H291" s="36">
        <v>12361361</v>
      </c>
      <c r="I291" s="36">
        <v>411206</v>
      </c>
      <c r="J291" s="37">
        <v>2707118</v>
      </c>
      <c r="K291" s="36">
        <v>32896569</v>
      </c>
      <c r="L291" s="38">
        <v>35603687</v>
      </c>
      <c r="M291" s="39"/>
      <c r="N291" s="36">
        <v>32896569</v>
      </c>
      <c r="O291" s="36">
        <v>20535208</v>
      </c>
      <c r="P291" s="36">
        <v>0</v>
      </c>
      <c r="Q291" s="36">
        <f>Q290*1936.27</f>
        <v>39300024.911629997</v>
      </c>
      <c r="R291" s="7"/>
      <c r="S291" s="7"/>
      <c r="T291" s="7"/>
      <c r="U291" s="7"/>
      <c r="V291" s="7"/>
      <c r="W291" s="7"/>
      <c r="X291" s="7"/>
      <c r="Y291" s="7"/>
      <c r="Z291" s="7"/>
    </row>
    <row r="292" spans="1:26" ht="12.75" customHeight="1" x14ac:dyDescent="0.2">
      <c r="A292" s="95"/>
      <c r="B292" s="95"/>
      <c r="C292" s="40" t="s">
        <v>36</v>
      </c>
      <c r="D292" s="41">
        <v>23</v>
      </c>
      <c r="E292" s="42">
        <v>9519.33</v>
      </c>
      <c r="F292" s="42">
        <v>1047.3699999999999</v>
      </c>
      <c r="G292" s="42">
        <v>123.95</v>
      </c>
      <c r="H292" s="42">
        <v>6384.11</v>
      </c>
      <c r="I292" s="42">
        <v>212.37</v>
      </c>
      <c r="J292" s="42">
        <v>1422.9</v>
      </c>
      <c r="K292" s="43">
        <v>17287.13</v>
      </c>
      <c r="L292" s="32">
        <v>18710.03</v>
      </c>
      <c r="M292" s="33"/>
      <c r="N292" s="30">
        <v>17287.13</v>
      </c>
      <c r="O292" s="30">
        <v>10903.02</v>
      </c>
      <c r="P292" s="30"/>
      <c r="Q292" s="30">
        <f>(N292+O292*0.18+J292)+(IF((P292-O292*0.18)&gt;0,(P292-O292*0.18),0))</f>
        <v>20672.573600000003</v>
      </c>
      <c r="R292" s="7"/>
      <c r="S292" s="7"/>
      <c r="T292" s="7"/>
      <c r="U292" s="7"/>
      <c r="V292" s="7"/>
      <c r="W292" s="7"/>
      <c r="X292" s="7"/>
      <c r="Y292" s="7"/>
      <c r="Z292" s="7"/>
    </row>
    <row r="293" spans="1:26" ht="9" customHeight="1" x14ac:dyDescent="0.2">
      <c r="A293" s="95"/>
      <c r="B293" s="95"/>
      <c r="C293" s="34" t="s">
        <v>37</v>
      </c>
      <c r="D293" s="35">
        <v>23</v>
      </c>
      <c r="E293" s="36">
        <v>18431993</v>
      </c>
      <c r="F293" s="36">
        <v>2027991</v>
      </c>
      <c r="G293" s="36">
        <v>240001</v>
      </c>
      <c r="H293" s="36">
        <v>12361361</v>
      </c>
      <c r="I293" s="36">
        <v>411206</v>
      </c>
      <c r="J293" s="37">
        <v>2755119</v>
      </c>
      <c r="K293" s="36">
        <v>33472551</v>
      </c>
      <c r="L293" s="38">
        <v>36227670</v>
      </c>
      <c r="M293" s="39"/>
      <c r="N293" s="36">
        <v>33472551</v>
      </c>
      <c r="O293" s="36">
        <v>21111191</v>
      </c>
      <c r="P293" s="36">
        <v>0</v>
      </c>
      <c r="Q293" s="36">
        <f>Q292*1936.27</f>
        <v>40027684.084472008</v>
      </c>
      <c r="R293" s="7"/>
      <c r="S293" s="7"/>
      <c r="T293" s="7"/>
      <c r="U293" s="7"/>
      <c r="V293" s="7"/>
      <c r="W293" s="7"/>
      <c r="X293" s="7"/>
      <c r="Y293" s="7"/>
      <c r="Z293" s="7"/>
    </row>
    <row r="294" spans="1:26" ht="12.75" customHeight="1" x14ac:dyDescent="0.2">
      <c r="A294" s="95"/>
      <c r="B294" s="95"/>
      <c r="C294" s="40" t="s">
        <v>36</v>
      </c>
      <c r="D294" s="41">
        <v>24</v>
      </c>
      <c r="E294" s="42">
        <v>9792.02</v>
      </c>
      <c r="F294" s="42">
        <v>1072.1600000000001</v>
      </c>
      <c r="G294" s="42">
        <v>123.95</v>
      </c>
      <c r="H294" s="42">
        <v>6384.11</v>
      </c>
      <c r="I294" s="42">
        <v>212.37</v>
      </c>
      <c r="J294" s="42">
        <v>1447.69</v>
      </c>
      <c r="K294" s="43">
        <v>17584.61</v>
      </c>
      <c r="L294" s="32">
        <v>19032.3</v>
      </c>
      <c r="M294" s="33"/>
      <c r="N294" s="30">
        <v>17584.61</v>
      </c>
      <c r="O294" s="30">
        <v>11200.5</v>
      </c>
      <c r="P294" s="30"/>
      <c r="Q294" s="30">
        <f>(N294+O294*0.18+J294)+(IF((P294-O294*0.18)&gt;0,(P294-O294*0.18),0))</f>
        <v>21048.39</v>
      </c>
      <c r="R294" s="7"/>
      <c r="S294" s="7"/>
      <c r="T294" s="7"/>
      <c r="U294" s="7"/>
      <c r="V294" s="7"/>
      <c r="W294" s="7"/>
      <c r="X294" s="7"/>
      <c r="Y294" s="7"/>
      <c r="Z294" s="7"/>
    </row>
    <row r="295" spans="1:26" ht="9" customHeight="1" x14ac:dyDescent="0.2">
      <c r="A295" s="95"/>
      <c r="B295" s="95"/>
      <c r="C295" s="34" t="s">
        <v>37</v>
      </c>
      <c r="D295" s="35">
        <v>25</v>
      </c>
      <c r="E295" s="36">
        <v>18959995</v>
      </c>
      <c r="F295" s="36">
        <v>2075991</v>
      </c>
      <c r="G295" s="36">
        <v>240001</v>
      </c>
      <c r="H295" s="36">
        <v>12361361</v>
      </c>
      <c r="I295" s="36">
        <v>411206</v>
      </c>
      <c r="J295" s="37">
        <v>2803119</v>
      </c>
      <c r="K295" s="36">
        <v>34048553</v>
      </c>
      <c r="L295" s="38">
        <v>36851672</v>
      </c>
      <c r="M295" s="39"/>
      <c r="N295" s="36">
        <v>34048553</v>
      </c>
      <c r="O295" s="36">
        <v>21687192</v>
      </c>
      <c r="P295" s="36">
        <v>0</v>
      </c>
      <c r="Q295" s="36">
        <f>Q294*1936.27</f>
        <v>40755366.105300002</v>
      </c>
      <c r="R295" s="7"/>
      <c r="S295" s="7"/>
      <c r="T295" s="7"/>
      <c r="U295" s="7"/>
      <c r="V295" s="7"/>
      <c r="W295" s="7"/>
      <c r="X295" s="7"/>
      <c r="Y295" s="7"/>
      <c r="Z295" s="7"/>
    </row>
    <row r="296" spans="1:26" ht="12.75" customHeight="1" x14ac:dyDescent="0.2">
      <c r="A296" s="95"/>
      <c r="B296" s="95"/>
      <c r="C296" s="40" t="s">
        <v>36</v>
      </c>
      <c r="D296" s="41">
        <v>26</v>
      </c>
      <c r="E296" s="42">
        <v>10058.51</v>
      </c>
      <c r="F296" s="42">
        <v>1103.1500000000001</v>
      </c>
      <c r="G296" s="42">
        <v>123.95</v>
      </c>
      <c r="H296" s="42">
        <v>6384.11</v>
      </c>
      <c r="I296" s="42">
        <v>212.37</v>
      </c>
      <c r="J296" s="42">
        <v>1472.48</v>
      </c>
      <c r="K296" s="43">
        <v>17882.09</v>
      </c>
      <c r="L296" s="32">
        <v>19354.57</v>
      </c>
      <c r="M296" s="33"/>
      <c r="N296" s="30">
        <v>17882.09</v>
      </c>
      <c r="O296" s="30">
        <v>11497.98</v>
      </c>
      <c r="P296" s="30"/>
      <c r="Q296" s="30">
        <f>(N296+O296*0.18+J296)+(IF((P296-O296*0.18)&gt;0,(P296-O296*0.18),0))</f>
        <v>21424.206399999999</v>
      </c>
      <c r="R296" s="7"/>
      <c r="S296" s="7"/>
      <c r="T296" s="7"/>
      <c r="U296" s="7"/>
      <c r="V296" s="7"/>
      <c r="W296" s="7"/>
      <c r="X296" s="7"/>
      <c r="Y296" s="7"/>
      <c r="Z296" s="7"/>
    </row>
    <row r="297" spans="1:26" ht="9" customHeight="1" x14ac:dyDescent="0.2">
      <c r="A297" s="95"/>
      <c r="B297" s="95"/>
      <c r="C297" s="34" t="s">
        <v>37</v>
      </c>
      <c r="D297" s="35">
        <v>27</v>
      </c>
      <c r="E297" s="36">
        <v>19475991</v>
      </c>
      <c r="F297" s="36">
        <v>2135996</v>
      </c>
      <c r="G297" s="36">
        <v>240001</v>
      </c>
      <c r="H297" s="36">
        <v>12361361</v>
      </c>
      <c r="I297" s="36">
        <v>411206</v>
      </c>
      <c r="J297" s="37">
        <v>2851119</v>
      </c>
      <c r="K297" s="36">
        <v>34624554</v>
      </c>
      <c r="L297" s="38">
        <v>37475673</v>
      </c>
      <c r="M297" s="39"/>
      <c r="N297" s="36">
        <v>34624554</v>
      </c>
      <c r="O297" s="36">
        <v>22263194</v>
      </c>
      <c r="P297" s="36">
        <v>0</v>
      </c>
      <c r="Q297" s="36">
        <f>Q296*1936.27</f>
        <v>41483048.126127996</v>
      </c>
      <c r="R297" s="7"/>
      <c r="S297" s="7"/>
      <c r="T297" s="7"/>
      <c r="U297" s="7"/>
      <c r="V297" s="7"/>
      <c r="W297" s="7"/>
      <c r="X297" s="7"/>
      <c r="Y297" s="7"/>
      <c r="Z297" s="7"/>
    </row>
    <row r="298" spans="1:26" ht="12.75" customHeight="1" x14ac:dyDescent="0.2">
      <c r="A298" s="95"/>
      <c r="B298" s="95"/>
      <c r="C298" s="40" t="s">
        <v>36</v>
      </c>
      <c r="D298" s="41">
        <v>28</v>
      </c>
      <c r="E298" s="42">
        <v>10331.200000000001</v>
      </c>
      <c r="F298" s="42">
        <v>1134.1400000000001</v>
      </c>
      <c r="G298" s="42">
        <v>123.95</v>
      </c>
      <c r="H298" s="42">
        <v>6384.11</v>
      </c>
      <c r="I298" s="42">
        <v>212.37</v>
      </c>
      <c r="J298" s="42">
        <v>1497.78</v>
      </c>
      <c r="K298" s="43">
        <v>18185.77</v>
      </c>
      <c r="L298" s="32">
        <v>19683.55</v>
      </c>
      <c r="M298" s="33"/>
      <c r="N298" s="30">
        <v>18185.77</v>
      </c>
      <c r="O298" s="30">
        <v>11801.66</v>
      </c>
      <c r="P298" s="30"/>
      <c r="Q298" s="30">
        <f>(N298+O298*0.18+J298)+(IF((P298-O298*0.18)&gt;0,(P298-O298*0.18),0))</f>
        <v>21807.8488</v>
      </c>
      <c r="R298" s="7"/>
      <c r="S298" s="7"/>
      <c r="T298" s="7"/>
      <c r="U298" s="7"/>
      <c r="V298" s="7"/>
      <c r="W298" s="7"/>
      <c r="X298" s="7"/>
      <c r="Y298" s="7"/>
      <c r="Z298" s="7"/>
    </row>
    <row r="299" spans="1:26" ht="9" customHeight="1" x14ac:dyDescent="0.2">
      <c r="A299" s="95"/>
      <c r="B299" s="95"/>
      <c r="C299" s="34" t="s">
        <v>37</v>
      </c>
      <c r="D299" s="35">
        <v>29</v>
      </c>
      <c r="E299" s="36">
        <v>20003993</v>
      </c>
      <c r="F299" s="36">
        <v>2196001</v>
      </c>
      <c r="G299" s="36">
        <v>240001</v>
      </c>
      <c r="H299" s="36">
        <v>12361361</v>
      </c>
      <c r="I299" s="36">
        <v>411206</v>
      </c>
      <c r="J299" s="37">
        <v>2900106</v>
      </c>
      <c r="K299" s="36">
        <v>35212561</v>
      </c>
      <c r="L299" s="38">
        <v>38112667</v>
      </c>
      <c r="M299" s="39"/>
      <c r="N299" s="36">
        <v>35212561</v>
      </c>
      <c r="O299" s="36">
        <v>22851200</v>
      </c>
      <c r="P299" s="36">
        <v>0</v>
      </c>
      <c r="Q299" s="36">
        <f>Q298*1936.27</f>
        <v>42225883.395976</v>
      </c>
      <c r="R299" s="7"/>
      <c r="S299" s="7"/>
      <c r="T299" s="7"/>
      <c r="U299" s="7"/>
      <c r="V299" s="7"/>
      <c r="W299" s="7"/>
      <c r="X299" s="7"/>
      <c r="Y299" s="7"/>
      <c r="Z299" s="7"/>
    </row>
    <row r="300" spans="1:26" ht="12.75" customHeight="1" x14ac:dyDescent="0.2">
      <c r="A300" s="95"/>
      <c r="B300" s="95"/>
      <c r="C300" s="40" t="s">
        <v>36</v>
      </c>
      <c r="D300" s="41">
        <v>30</v>
      </c>
      <c r="E300" s="42">
        <v>10603.89</v>
      </c>
      <c r="F300" s="42">
        <v>1165.1300000000001</v>
      </c>
      <c r="G300" s="42">
        <v>123.95</v>
      </c>
      <c r="H300" s="42">
        <v>6384.11</v>
      </c>
      <c r="I300" s="42">
        <v>212.37</v>
      </c>
      <c r="J300" s="42">
        <v>1523.09</v>
      </c>
      <c r="K300" s="43">
        <v>18489.45</v>
      </c>
      <c r="L300" s="32">
        <v>20012.54</v>
      </c>
      <c r="M300" s="33"/>
      <c r="N300" s="30">
        <v>18489.45</v>
      </c>
      <c r="O300" s="30">
        <v>12105.34</v>
      </c>
      <c r="P300" s="30"/>
      <c r="Q300" s="30">
        <f>(N300+O300*0.18+J300)+(IF((P300-O300*0.18)&gt;0,(P300-O300*0.18),0))</f>
        <v>22191.501200000002</v>
      </c>
      <c r="R300" s="7"/>
      <c r="S300" s="7"/>
      <c r="T300" s="7"/>
      <c r="U300" s="7"/>
      <c r="V300" s="7"/>
      <c r="W300" s="7"/>
      <c r="X300" s="7"/>
      <c r="Y300" s="7"/>
      <c r="Z300" s="7"/>
    </row>
    <row r="301" spans="1:26" ht="9" customHeight="1" x14ac:dyDescent="0.2">
      <c r="A301" s="95"/>
      <c r="B301" s="95"/>
      <c r="C301" s="34" t="s">
        <v>37</v>
      </c>
      <c r="D301" s="35">
        <v>31</v>
      </c>
      <c r="E301" s="36">
        <v>20531994</v>
      </c>
      <c r="F301" s="36">
        <v>2256006</v>
      </c>
      <c r="G301" s="36">
        <v>240001</v>
      </c>
      <c r="H301" s="36">
        <v>12361361</v>
      </c>
      <c r="I301" s="36">
        <v>411206</v>
      </c>
      <c r="J301" s="37">
        <v>2949113</v>
      </c>
      <c r="K301" s="36">
        <v>35800567</v>
      </c>
      <c r="L301" s="38">
        <v>38749681</v>
      </c>
      <c r="M301" s="39"/>
      <c r="N301" s="36">
        <v>35800567</v>
      </c>
      <c r="O301" s="36">
        <v>23439207</v>
      </c>
      <c r="P301" s="36">
        <v>0</v>
      </c>
      <c r="Q301" s="36">
        <f>Q300*1936.27</f>
        <v>42968738.028524004</v>
      </c>
      <c r="R301" s="7"/>
      <c r="S301" s="7"/>
      <c r="T301" s="7"/>
      <c r="U301" s="7"/>
      <c r="V301" s="7"/>
      <c r="W301" s="7"/>
      <c r="X301" s="7"/>
      <c r="Y301" s="7"/>
      <c r="Z301" s="7"/>
    </row>
    <row r="302" spans="1:26" ht="12.75" customHeight="1" x14ac:dyDescent="0.2">
      <c r="A302" s="95"/>
      <c r="B302" s="95"/>
      <c r="C302" s="40" t="s">
        <v>36</v>
      </c>
      <c r="D302" s="41">
        <v>32</v>
      </c>
      <c r="E302" s="42">
        <v>10870.38</v>
      </c>
      <c r="F302" s="42">
        <v>1189.92</v>
      </c>
      <c r="G302" s="42">
        <v>123.95</v>
      </c>
      <c r="H302" s="42">
        <v>6384.11</v>
      </c>
      <c r="I302" s="42">
        <v>212.37</v>
      </c>
      <c r="J302" s="42">
        <v>1547.36</v>
      </c>
      <c r="K302" s="43">
        <v>18780.73</v>
      </c>
      <c r="L302" s="32">
        <v>20328.09</v>
      </c>
      <c r="M302" s="33"/>
      <c r="N302" s="30">
        <v>18780.73</v>
      </c>
      <c r="O302" s="30">
        <v>12396.62</v>
      </c>
      <c r="P302" s="30"/>
      <c r="Q302" s="30">
        <f>(N302+O302*0.18+J302)+(IF((P302-O302*0.18)&gt;0,(P302-O302*0.18),0))</f>
        <v>22559.481599999999</v>
      </c>
      <c r="R302" s="7"/>
      <c r="S302" s="7"/>
      <c r="T302" s="7"/>
      <c r="U302" s="7"/>
      <c r="V302" s="7"/>
      <c r="W302" s="7"/>
      <c r="X302" s="7"/>
      <c r="Y302" s="7"/>
      <c r="Z302" s="7"/>
    </row>
    <row r="303" spans="1:26" ht="9" customHeight="1" x14ac:dyDescent="0.2">
      <c r="A303" s="95"/>
      <c r="B303" s="95"/>
      <c r="C303" s="34" t="s">
        <v>37</v>
      </c>
      <c r="D303" s="35">
        <v>33</v>
      </c>
      <c r="E303" s="36">
        <v>21047991</v>
      </c>
      <c r="F303" s="36">
        <v>2304006</v>
      </c>
      <c r="G303" s="36">
        <v>240001</v>
      </c>
      <c r="H303" s="36">
        <v>12361361</v>
      </c>
      <c r="I303" s="36">
        <v>411206</v>
      </c>
      <c r="J303" s="37">
        <v>2996107</v>
      </c>
      <c r="K303" s="36">
        <v>36364564</v>
      </c>
      <c r="L303" s="38">
        <v>39360671</v>
      </c>
      <c r="M303" s="39"/>
      <c r="N303" s="36">
        <v>36364564</v>
      </c>
      <c r="O303" s="36">
        <v>24003203</v>
      </c>
      <c r="P303" s="36">
        <v>0</v>
      </c>
      <c r="Q303" s="36">
        <f>Q302*1936.27</f>
        <v>43681247.437631994</v>
      </c>
      <c r="R303" s="7"/>
      <c r="S303" s="7"/>
      <c r="T303" s="7"/>
      <c r="U303" s="7"/>
      <c r="V303" s="7"/>
      <c r="W303" s="7"/>
      <c r="X303" s="7"/>
      <c r="Y303" s="7"/>
      <c r="Z303" s="7"/>
    </row>
    <row r="304" spans="1:26" ht="12.75" customHeight="1" x14ac:dyDescent="0.2">
      <c r="A304" s="95"/>
      <c r="B304" s="95"/>
      <c r="C304" s="40" t="s">
        <v>36</v>
      </c>
      <c r="D304" s="41">
        <v>34</v>
      </c>
      <c r="E304" s="42">
        <v>11136.88</v>
      </c>
      <c r="F304" s="42">
        <v>1220.9000000000001</v>
      </c>
      <c r="G304" s="42">
        <v>123.95</v>
      </c>
      <c r="H304" s="42">
        <v>6384.11</v>
      </c>
      <c r="I304" s="42">
        <v>212.37</v>
      </c>
      <c r="J304" s="42">
        <v>1572.15</v>
      </c>
      <c r="K304" s="43">
        <v>19078.21</v>
      </c>
      <c r="L304" s="32">
        <v>20650.36</v>
      </c>
      <c r="M304" s="33"/>
      <c r="N304" s="30">
        <v>19078.21</v>
      </c>
      <c r="O304" s="30">
        <v>12694.1</v>
      </c>
      <c r="P304" s="30"/>
      <c r="Q304" s="30">
        <f>(N304+O304*0.18+J304)+(IF((P304-O304*0.18)&gt;0,(P304-O304*0.18),0))</f>
        <v>22935.298000000003</v>
      </c>
      <c r="R304" s="7"/>
      <c r="S304" s="7"/>
      <c r="T304" s="7"/>
      <c r="U304" s="7"/>
      <c r="V304" s="7"/>
      <c r="W304" s="7"/>
      <c r="X304" s="7"/>
      <c r="Y304" s="7"/>
      <c r="Z304" s="7"/>
    </row>
    <row r="305" spans="1:26" ht="9" customHeight="1" x14ac:dyDescent="0.2">
      <c r="A305" s="95"/>
      <c r="B305" s="95"/>
      <c r="C305" s="34" t="s">
        <v>37</v>
      </c>
      <c r="D305" s="35">
        <v>35</v>
      </c>
      <c r="E305" s="36">
        <v>21564007</v>
      </c>
      <c r="F305" s="36">
        <v>2363992</v>
      </c>
      <c r="G305" s="36">
        <v>240001</v>
      </c>
      <c r="H305" s="36">
        <v>12361361</v>
      </c>
      <c r="I305" s="36">
        <v>411206</v>
      </c>
      <c r="J305" s="37">
        <v>3044107</v>
      </c>
      <c r="K305" s="36">
        <v>36940566</v>
      </c>
      <c r="L305" s="38">
        <v>39984673</v>
      </c>
      <c r="M305" s="39"/>
      <c r="N305" s="36">
        <v>36940566</v>
      </c>
      <c r="O305" s="36">
        <v>24579205</v>
      </c>
      <c r="P305" s="36">
        <v>0</v>
      </c>
      <c r="Q305" s="36">
        <f>Q304*1936.27</f>
        <v>44408929.458460003</v>
      </c>
      <c r="R305" s="7"/>
      <c r="S305" s="7"/>
      <c r="T305" s="7"/>
      <c r="U305" s="7"/>
      <c r="V305" s="7"/>
      <c r="W305" s="7"/>
      <c r="X305" s="7"/>
      <c r="Y305" s="7"/>
      <c r="Z305" s="7"/>
    </row>
    <row r="306" spans="1:26" ht="12.75" customHeight="1" x14ac:dyDescent="0.2">
      <c r="A306" s="95"/>
      <c r="B306" s="95"/>
      <c r="C306" s="40" t="s">
        <v>36</v>
      </c>
      <c r="D306" s="41">
        <v>36</v>
      </c>
      <c r="E306" s="42">
        <v>11409.57</v>
      </c>
      <c r="F306" s="42">
        <v>1251.8900000000001</v>
      </c>
      <c r="G306" s="42">
        <v>123.95</v>
      </c>
      <c r="H306" s="42">
        <v>6384.11</v>
      </c>
      <c r="I306" s="42">
        <v>212.37</v>
      </c>
      <c r="J306" s="42">
        <v>1597.46</v>
      </c>
      <c r="K306" s="43">
        <v>19381.89</v>
      </c>
      <c r="L306" s="32">
        <v>20979.35</v>
      </c>
      <c r="M306" s="33"/>
      <c r="N306" s="30">
        <v>19381.89</v>
      </c>
      <c r="O306" s="30">
        <v>12997.78</v>
      </c>
      <c r="P306" s="30"/>
      <c r="Q306" s="30">
        <f>(N306+O306*0.18+J306)+(IF((P306-O306*0.18)&gt;0,(P306-O306*0.18),0))</f>
        <v>23318.950399999998</v>
      </c>
      <c r="R306" s="7"/>
      <c r="S306" s="7"/>
      <c r="T306" s="7"/>
      <c r="U306" s="7"/>
      <c r="V306" s="7"/>
      <c r="W306" s="7"/>
      <c r="X306" s="7"/>
      <c r="Y306" s="7"/>
      <c r="Z306" s="7"/>
    </row>
    <row r="307" spans="1:26" ht="9" customHeight="1" x14ac:dyDescent="0.2">
      <c r="A307" s="95"/>
      <c r="B307" s="95"/>
      <c r="C307" s="34" t="s">
        <v>37</v>
      </c>
      <c r="D307" s="35">
        <v>37</v>
      </c>
      <c r="E307" s="36">
        <v>22092008</v>
      </c>
      <c r="F307" s="36">
        <v>2423997</v>
      </c>
      <c r="G307" s="36">
        <v>240001</v>
      </c>
      <c r="H307" s="36">
        <v>12361361</v>
      </c>
      <c r="I307" s="36">
        <v>411206</v>
      </c>
      <c r="J307" s="37">
        <v>3093114</v>
      </c>
      <c r="K307" s="36">
        <v>37528572</v>
      </c>
      <c r="L307" s="38">
        <v>40621686</v>
      </c>
      <c r="M307" s="39"/>
      <c r="N307" s="36">
        <v>37528572</v>
      </c>
      <c r="O307" s="36">
        <v>25167211</v>
      </c>
      <c r="P307" s="36">
        <v>0</v>
      </c>
      <c r="Q307" s="36">
        <f>Q306*1936.27</f>
        <v>45151784.091007993</v>
      </c>
      <c r="R307" s="7"/>
      <c r="S307" s="7"/>
      <c r="T307" s="7"/>
      <c r="U307" s="7"/>
      <c r="V307" s="7"/>
      <c r="W307" s="7"/>
      <c r="X307" s="7"/>
      <c r="Y307" s="7"/>
      <c r="Z307" s="7"/>
    </row>
    <row r="308" spans="1:26" ht="12.75" customHeight="1" x14ac:dyDescent="0.2">
      <c r="A308" s="95"/>
      <c r="B308" s="95"/>
      <c r="C308" s="40" t="s">
        <v>36</v>
      </c>
      <c r="D308" s="41">
        <v>38</v>
      </c>
      <c r="E308" s="42">
        <v>11676.06</v>
      </c>
      <c r="F308" s="42">
        <v>1282.8800000000001</v>
      </c>
      <c r="G308" s="42">
        <v>123.95</v>
      </c>
      <c r="H308" s="42">
        <v>6384.11</v>
      </c>
      <c r="I308" s="42">
        <v>212.37</v>
      </c>
      <c r="J308" s="42">
        <v>1622.25</v>
      </c>
      <c r="K308" s="43">
        <v>19679.37</v>
      </c>
      <c r="L308" s="32">
        <v>21301.62</v>
      </c>
      <c r="M308" s="33"/>
      <c r="N308" s="30">
        <v>19679.37</v>
      </c>
      <c r="O308" s="30">
        <v>13295.26</v>
      </c>
      <c r="P308" s="30"/>
      <c r="Q308" s="30">
        <f>(N308+O308*0.18+J308)+(IF((P308-O308*0.18)&gt;0,(P308-O308*0.18),0))</f>
        <v>23694.766799999998</v>
      </c>
      <c r="R308" s="7"/>
      <c r="S308" s="7"/>
      <c r="T308" s="7"/>
      <c r="U308" s="7"/>
      <c r="V308" s="7"/>
      <c r="W308" s="7"/>
      <c r="X308" s="7"/>
      <c r="Y308" s="7"/>
      <c r="Z308" s="7"/>
    </row>
    <row r="309" spans="1:26" ht="9" customHeight="1" x14ac:dyDescent="0.2">
      <c r="A309" s="95"/>
      <c r="B309" s="95"/>
      <c r="C309" s="34" t="s">
        <v>37</v>
      </c>
      <c r="D309" s="35">
        <v>39</v>
      </c>
      <c r="E309" s="36">
        <v>22608005</v>
      </c>
      <c r="F309" s="36">
        <v>2484002</v>
      </c>
      <c r="G309" s="36">
        <v>240001</v>
      </c>
      <c r="H309" s="36">
        <v>12361361</v>
      </c>
      <c r="I309" s="36">
        <v>411206</v>
      </c>
      <c r="J309" s="37">
        <v>3141114</v>
      </c>
      <c r="K309" s="36">
        <v>38104574</v>
      </c>
      <c r="L309" s="38">
        <v>41245688</v>
      </c>
      <c r="M309" s="39"/>
      <c r="N309" s="36">
        <v>38104574</v>
      </c>
      <c r="O309" s="36">
        <v>25743213</v>
      </c>
      <c r="P309" s="36">
        <v>0</v>
      </c>
      <c r="Q309" s="36">
        <f>Q308*1936.27</f>
        <v>45879466.111835994</v>
      </c>
      <c r="R309" s="7"/>
      <c r="S309" s="7"/>
      <c r="T309" s="7"/>
      <c r="U309" s="7"/>
      <c r="V309" s="7"/>
      <c r="W309" s="7"/>
      <c r="X309" s="7"/>
      <c r="Y309" s="7"/>
      <c r="Z309" s="7"/>
    </row>
    <row r="310" spans="1:26" ht="9" customHeight="1" x14ac:dyDescent="0.2">
      <c r="A310" s="95"/>
      <c r="B310" s="95"/>
      <c r="C310" s="44"/>
      <c r="D310" s="45"/>
      <c r="E310" s="96"/>
      <c r="F310" s="96"/>
      <c r="G310" s="96"/>
      <c r="H310" s="96"/>
      <c r="I310" s="96"/>
      <c r="J310" s="54"/>
      <c r="K310" s="96"/>
      <c r="L310" s="96"/>
      <c r="M310" s="39"/>
      <c r="N310" s="96"/>
      <c r="O310" s="96"/>
      <c r="P310" s="96"/>
      <c r="Q310" s="96"/>
      <c r="R310" s="7"/>
      <c r="S310" s="7"/>
      <c r="T310" s="7"/>
      <c r="U310" s="7"/>
      <c r="V310" s="7"/>
      <c r="W310" s="7"/>
      <c r="X310" s="7"/>
      <c r="Y310" s="7"/>
      <c r="Z310" s="7"/>
    </row>
    <row r="311" spans="1:26" ht="9" customHeight="1" x14ac:dyDescent="0.2">
      <c r="A311" s="95"/>
      <c r="B311" s="95"/>
      <c r="C311" s="44"/>
      <c r="D311" s="45"/>
      <c r="E311" s="96"/>
      <c r="F311" s="96"/>
      <c r="G311" s="96"/>
      <c r="H311" s="96"/>
      <c r="I311" s="96"/>
      <c r="J311" s="54"/>
      <c r="K311" s="96"/>
      <c r="L311" s="96"/>
      <c r="M311" s="39"/>
      <c r="N311" s="96"/>
      <c r="O311" s="96"/>
      <c r="P311" s="96"/>
      <c r="Q311" s="96"/>
      <c r="R311" s="7"/>
      <c r="S311" s="7"/>
      <c r="T311" s="7"/>
      <c r="U311" s="7"/>
      <c r="V311" s="7"/>
      <c r="W311" s="7"/>
      <c r="X311" s="7"/>
      <c r="Y311" s="7"/>
      <c r="Z311" s="7"/>
    </row>
    <row r="312" spans="1:26" ht="12.75" customHeight="1" x14ac:dyDescent="0.2">
      <c r="A312" s="95"/>
      <c r="B312" s="95"/>
      <c r="C312" s="40" t="s">
        <v>36</v>
      </c>
      <c r="D312" s="41">
        <v>40</v>
      </c>
      <c r="E312" s="42">
        <v>11948.75</v>
      </c>
      <c r="F312" s="42">
        <v>1313.87</v>
      </c>
      <c r="G312" s="42">
        <v>123.95</v>
      </c>
      <c r="H312" s="42">
        <v>6384.11</v>
      </c>
      <c r="I312" s="42">
        <v>212.37</v>
      </c>
      <c r="J312" s="42">
        <v>1647.56</v>
      </c>
      <c r="K312" s="43">
        <v>19983.05</v>
      </c>
      <c r="L312" s="32">
        <v>21630.61</v>
      </c>
      <c r="M312" s="33"/>
      <c r="N312" s="30">
        <v>19983.05</v>
      </c>
      <c r="O312" s="30">
        <v>13598.94</v>
      </c>
      <c r="P312" s="30"/>
      <c r="Q312" s="30">
        <f>(N312+O312*0.18+J312)+(IF((P312-O312*0.18)&gt;0,(P312-O312*0.18),0))</f>
        <v>24078.4192</v>
      </c>
      <c r="R312" s="7"/>
      <c r="S312" s="7"/>
      <c r="T312" s="7"/>
      <c r="U312" s="7"/>
      <c r="V312" s="7"/>
      <c r="W312" s="7"/>
      <c r="X312" s="7"/>
      <c r="Y312" s="7"/>
      <c r="Z312" s="7"/>
    </row>
    <row r="313" spans="1:26" ht="9" customHeight="1" x14ac:dyDescent="0.2">
      <c r="A313" s="110"/>
      <c r="B313" s="110"/>
      <c r="C313" s="47"/>
      <c r="D313" s="48"/>
      <c r="E313" s="46">
        <v>23136006</v>
      </c>
      <c r="F313" s="46">
        <v>2544007</v>
      </c>
      <c r="G313" s="46">
        <v>240001</v>
      </c>
      <c r="H313" s="46">
        <v>12361361</v>
      </c>
      <c r="I313" s="46">
        <v>411206</v>
      </c>
      <c r="J313" s="49">
        <v>3190121</v>
      </c>
      <c r="K313" s="46">
        <v>38692580</v>
      </c>
      <c r="L313" s="38">
        <v>41882701</v>
      </c>
      <c r="M313" s="39"/>
      <c r="N313" s="36">
        <v>38692580</v>
      </c>
      <c r="O313" s="36">
        <v>26331220</v>
      </c>
      <c r="P313" s="36">
        <v>0</v>
      </c>
      <c r="Q313" s="36">
        <f>Q312*1936.27</f>
        <v>46622320.744383998</v>
      </c>
      <c r="R313" s="7"/>
      <c r="S313" s="7"/>
      <c r="T313" s="7"/>
      <c r="U313" s="7"/>
      <c r="V313" s="7"/>
      <c r="W313" s="7"/>
      <c r="X313" s="7"/>
      <c r="Y313" s="7"/>
      <c r="Z313" s="7"/>
    </row>
    <row r="314" spans="1:26" ht="12.75" customHeight="1" x14ac:dyDescent="0.2">
      <c r="A314" s="98">
        <v>34700</v>
      </c>
      <c r="B314" s="98">
        <v>35033</v>
      </c>
      <c r="C314" s="28" t="s">
        <v>36</v>
      </c>
      <c r="D314" s="29">
        <v>0</v>
      </c>
      <c r="E314" s="30">
        <v>6157.34</v>
      </c>
      <c r="F314" s="30">
        <v>632.14</v>
      </c>
      <c r="G314" s="30">
        <v>123.95</v>
      </c>
      <c r="H314" s="30">
        <v>6384.11</v>
      </c>
      <c r="I314" s="30">
        <v>0</v>
      </c>
      <c r="J314" s="30">
        <v>1108.1300000000001</v>
      </c>
      <c r="K314" s="31">
        <v>13297.54</v>
      </c>
      <c r="L314" s="120">
        <v>14405.67</v>
      </c>
      <c r="M314" s="33"/>
      <c r="N314" s="30">
        <v>13297.54</v>
      </c>
      <c r="O314" s="30">
        <v>6913.43</v>
      </c>
      <c r="P314" s="30"/>
      <c r="Q314" s="30">
        <f>(N314+O314*0.18+J314)+(IF((P314-O314*0.18)&gt;0,(P314-O314*0.18),0))</f>
        <v>15650.0874</v>
      </c>
      <c r="R314" s="7"/>
      <c r="S314" s="7"/>
      <c r="T314" s="7"/>
      <c r="U314" s="7"/>
      <c r="V314" s="7"/>
      <c r="W314" s="7"/>
      <c r="X314" s="7"/>
      <c r="Y314" s="7"/>
      <c r="Z314" s="7"/>
    </row>
    <row r="315" spans="1:26" ht="9" customHeight="1" x14ac:dyDescent="0.2">
      <c r="A315" s="95"/>
      <c r="B315" s="95"/>
      <c r="C315" s="34" t="s">
        <v>37</v>
      </c>
      <c r="D315" s="35">
        <v>2</v>
      </c>
      <c r="E315" s="36">
        <v>11922273</v>
      </c>
      <c r="F315" s="36">
        <v>1223994</v>
      </c>
      <c r="G315" s="36">
        <v>240001</v>
      </c>
      <c r="H315" s="36">
        <v>12361361</v>
      </c>
      <c r="I315" s="36">
        <v>0</v>
      </c>
      <c r="J315" s="37">
        <v>2145639</v>
      </c>
      <c r="K315" s="36">
        <v>25747628</v>
      </c>
      <c r="L315" s="121">
        <v>27893267</v>
      </c>
      <c r="M315" s="39"/>
      <c r="N315" s="36">
        <v>25747628</v>
      </c>
      <c r="O315" s="36">
        <v>13386267</v>
      </c>
      <c r="P315" s="36">
        <v>0</v>
      </c>
      <c r="Q315" s="36">
        <f>Q314*1936.27</f>
        <v>30302794.729998</v>
      </c>
      <c r="R315" s="7"/>
      <c r="S315" s="7"/>
      <c r="T315" s="7"/>
      <c r="U315" s="7"/>
      <c r="V315" s="7"/>
      <c r="W315" s="7"/>
      <c r="X315" s="7"/>
      <c r="Y315" s="7"/>
      <c r="Z315" s="7"/>
    </row>
    <row r="316" spans="1:26" ht="12.75" customHeight="1" x14ac:dyDescent="0.2">
      <c r="A316" s="155">
        <v>34700</v>
      </c>
      <c r="B316" s="155">
        <v>35033</v>
      </c>
      <c r="C316" s="40" t="s">
        <v>36</v>
      </c>
      <c r="D316" s="41">
        <v>3</v>
      </c>
      <c r="E316" s="42">
        <v>6477.95</v>
      </c>
      <c r="F316" s="42">
        <v>663.13</v>
      </c>
      <c r="G316" s="42">
        <v>123.95</v>
      </c>
      <c r="H316" s="42">
        <v>6384.11</v>
      </c>
      <c r="I316" s="42">
        <v>0</v>
      </c>
      <c r="J316" s="42">
        <v>1137.43</v>
      </c>
      <c r="K316" s="43">
        <v>13649.14</v>
      </c>
      <c r="L316" s="122">
        <v>14786.57</v>
      </c>
      <c r="M316" s="33"/>
      <c r="N316" s="30">
        <v>13649.14</v>
      </c>
      <c r="O316" s="30">
        <v>7265.03</v>
      </c>
      <c r="P316" s="30"/>
      <c r="Q316" s="30">
        <f>(N316+O316*0.18+J316)+(IF((P316-O316*0.18)&gt;0,(P316-O316*0.18),0))</f>
        <v>16094.275399999999</v>
      </c>
      <c r="R316" s="7"/>
      <c r="S316" s="7"/>
      <c r="T316" s="7"/>
      <c r="U316" s="7"/>
      <c r="V316" s="7"/>
      <c r="W316" s="7"/>
      <c r="X316" s="7"/>
      <c r="Y316" s="7"/>
      <c r="Z316" s="7"/>
    </row>
    <row r="317" spans="1:26" ht="9" customHeight="1" x14ac:dyDescent="0.2">
      <c r="A317" s="95"/>
      <c r="B317" s="95"/>
      <c r="C317" s="34" t="s">
        <v>37</v>
      </c>
      <c r="D317" s="35">
        <v>4</v>
      </c>
      <c r="E317" s="36">
        <v>12543060</v>
      </c>
      <c r="F317" s="36">
        <v>1283999</v>
      </c>
      <c r="G317" s="36">
        <v>240001</v>
      </c>
      <c r="H317" s="36">
        <v>12361361</v>
      </c>
      <c r="I317" s="36">
        <v>0</v>
      </c>
      <c r="J317" s="37">
        <v>2202372</v>
      </c>
      <c r="K317" s="36">
        <v>26428420</v>
      </c>
      <c r="L317" s="121">
        <v>28630792</v>
      </c>
      <c r="M317" s="39"/>
      <c r="N317" s="36">
        <v>26428420</v>
      </c>
      <c r="O317" s="36">
        <v>14067060</v>
      </c>
      <c r="P317" s="36">
        <v>0</v>
      </c>
      <c r="Q317" s="36">
        <f>Q316*1936.27</f>
        <v>31162862.628757998</v>
      </c>
      <c r="R317" s="7"/>
      <c r="S317" s="7"/>
      <c r="T317" s="7"/>
      <c r="U317" s="7"/>
      <c r="V317" s="7"/>
      <c r="W317" s="7"/>
      <c r="X317" s="7"/>
      <c r="Y317" s="7"/>
      <c r="Z317" s="7"/>
    </row>
    <row r="318" spans="1:26" ht="12.75" customHeight="1" x14ac:dyDescent="0.2">
      <c r="A318" s="95"/>
      <c r="B318" s="95"/>
      <c r="C318" s="40" t="s">
        <v>36</v>
      </c>
      <c r="D318" s="41">
        <v>5</v>
      </c>
      <c r="E318" s="42">
        <v>6787.82</v>
      </c>
      <c r="F318" s="42">
        <v>700.32</v>
      </c>
      <c r="G318" s="42">
        <v>123.95</v>
      </c>
      <c r="H318" s="42">
        <v>6384.11</v>
      </c>
      <c r="I318" s="42">
        <v>0</v>
      </c>
      <c r="J318" s="42">
        <v>1166.3499999999999</v>
      </c>
      <c r="K318" s="43">
        <v>13996.2</v>
      </c>
      <c r="L318" s="122">
        <v>15162.55</v>
      </c>
      <c r="M318" s="33"/>
      <c r="N318" s="30">
        <v>13996.2</v>
      </c>
      <c r="O318" s="30">
        <v>7612.09</v>
      </c>
      <c r="P318" s="30"/>
      <c r="Q318" s="30">
        <f>(N318+O318*0.18+J318)+(IF((P318-O318*0.18)&gt;0,(P318-O318*0.18),0))</f>
        <v>16532.726200000001</v>
      </c>
      <c r="R318" s="7"/>
      <c r="S318" s="7"/>
      <c r="T318" s="7"/>
      <c r="U318" s="7"/>
      <c r="V318" s="7"/>
      <c r="W318" s="7"/>
      <c r="X318" s="7"/>
      <c r="Y318" s="7"/>
      <c r="Z318" s="7"/>
    </row>
    <row r="319" spans="1:26" ht="9" customHeight="1" x14ac:dyDescent="0.2">
      <c r="A319" s="95"/>
      <c r="B319" s="95"/>
      <c r="C319" s="34" t="s">
        <v>37</v>
      </c>
      <c r="D319" s="35">
        <v>6</v>
      </c>
      <c r="E319" s="36">
        <v>13143052</v>
      </c>
      <c r="F319" s="36">
        <v>1356009</v>
      </c>
      <c r="G319" s="36">
        <v>240001</v>
      </c>
      <c r="H319" s="36">
        <v>12361361</v>
      </c>
      <c r="I319" s="36">
        <v>0</v>
      </c>
      <c r="J319" s="37">
        <v>2258369</v>
      </c>
      <c r="K319" s="36">
        <v>27100422</v>
      </c>
      <c r="L319" s="121">
        <v>29358791</v>
      </c>
      <c r="M319" s="39"/>
      <c r="N319" s="36">
        <v>27100422</v>
      </c>
      <c r="O319" s="36">
        <v>14739062</v>
      </c>
      <c r="P319" s="36">
        <v>0</v>
      </c>
      <c r="Q319" s="36">
        <f>Q318*1936.27</f>
        <v>32011821.759274002</v>
      </c>
      <c r="R319" s="7"/>
      <c r="S319" s="7"/>
      <c r="T319" s="7"/>
      <c r="U319" s="7"/>
      <c r="V319" s="7"/>
      <c r="W319" s="7"/>
      <c r="X319" s="7"/>
      <c r="Y319" s="7"/>
      <c r="Z319" s="7"/>
    </row>
    <row r="320" spans="1:26" ht="12.75" customHeight="1" x14ac:dyDescent="0.2">
      <c r="A320" s="95"/>
      <c r="B320" s="95"/>
      <c r="C320" s="40" t="s">
        <v>36</v>
      </c>
      <c r="D320" s="41">
        <v>7</v>
      </c>
      <c r="E320" s="42">
        <v>7091.5</v>
      </c>
      <c r="F320" s="42">
        <v>731.3</v>
      </c>
      <c r="G320" s="42">
        <v>123.95</v>
      </c>
      <c r="H320" s="42">
        <v>6384.11</v>
      </c>
      <c r="I320" s="42">
        <v>0</v>
      </c>
      <c r="J320" s="42">
        <v>1194.24</v>
      </c>
      <c r="K320" s="43">
        <v>14330.86</v>
      </c>
      <c r="L320" s="122">
        <v>15525.1</v>
      </c>
      <c r="M320" s="33"/>
      <c r="N320" s="30">
        <v>14330.86</v>
      </c>
      <c r="O320" s="30">
        <v>7946.75</v>
      </c>
      <c r="P320" s="30"/>
      <c r="Q320" s="30">
        <f>(N320+O320*0.18+J320)+(IF((P320-O320*0.18)&gt;0,(P320-O320*0.18),0))</f>
        <v>16955.515000000003</v>
      </c>
      <c r="R320" s="7"/>
      <c r="S320" s="7"/>
      <c r="T320" s="7"/>
      <c r="U320" s="7"/>
      <c r="V320" s="7"/>
      <c r="W320" s="7"/>
      <c r="X320" s="7"/>
      <c r="Y320" s="7"/>
      <c r="Z320" s="7"/>
    </row>
    <row r="321" spans="1:26" ht="9" customHeight="1" x14ac:dyDescent="0.2">
      <c r="A321" s="95"/>
      <c r="B321" s="95"/>
      <c r="C321" s="34" t="s">
        <v>37</v>
      </c>
      <c r="D321" s="35">
        <v>8</v>
      </c>
      <c r="E321" s="36">
        <v>13731059</v>
      </c>
      <c r="F321" s="36">
        <v>1415994</v>
      </c>
      <c r="G321" s="36">
        <v>240001</v>
      </c>
      <c r="H321" s="36">
        <v>12361361</v>
      </c>
      <c r="I321" s="36">
        <v>0</v>
      </c>
      <c r="J321" s="37">
        <v>2312371</v>
      </c>
      <c r="K321" s="36">
        <v>27748414</v>
      </c>
      <c r="L321" s="121">
        <v>30060785</v>
      </c>
      <c r="M321" s="39"/>
      <c r="N321" s="36">
        <v>27748414</v>
      </c>
      <c r="O321" s="36">
        <v>15387054</v>
      </c>
      <c r="P321" s="36">
        <v>0</v>
      </c>
      <c r="Q321" s="36">
        <f>Q320*1936.27</f>
        <v>32830455.029050007</v>
      </c>
      <c r="R321" s="7"/>
      <c r="S321" s="7"/>
      <c r="T321" s="7"/>
      <c r="U321" s="7"/>
      <c r="V321" s="7"/>
      <c r="W321" s="7"/>
      <c r="X321" s="7"/>
      <c r="Y321" s="7"/>
      <c r="Z321" s="7"/>
    </row>
    <row r="322" spans="1:26" ht="12.75" customHeight="1" x14ac:dyDescent="0.2">
      <c r="A322" s="95"/>
      <c r="B322" s="95"/>
      <c r="C322" s="40" t="s">
        <v>36</v>
      </c>
      <c r="D322" s="41">
        <v>9</v>
      </c>
      <c r="E322" s="42">
        <v>7478.53</v>
      </c>
      <c r="F322" s="42">
        <v>768.49</v>
      </c>
      <c r="G322" s="42">
        <v>123.95</v>
      </c>
      <c r="H322" s="42">
        <v>6384.11</v>
      </c>
      <c r="I322" s="42">
        <v>0</v>
      </c>
      <c r="J322" s="42">
        <v>1229.5899999999999</v>
      </c>
      <c r="K322" s="43">
        <v>14755.08</v>
      </c>
      <c r="L322" s="122">
        <v>15984.67</v>
      </c>
      <c r="M322" s="33"/>
      <c r="N322" s="30">
        <v>14755.08</v>
      </c>
      <c r="O322" s="30">
        <v>8370.9699999999993</v>
      </c>
      <c r="P322" s="30"/>
      <c r="Q322" s="30">
        <f>(N322+O322*0.18+J322)+(IF((P322-O322*0.18)&gt;0,(P322-O322*0.18),0))</f>
        <v>17491.444599999999</v>
      </c>
      <c r="R322" s="7"/>
      <c r="S322" s="7"/>
      <c r="T322" s="7"/>
      <c r="U322" s="7"/>
      <c r="V322" s="7"/>
      <c r="W322" s="7"/>
      <c r="X322" s="7"/>
      <c r="Y322" s="7"/>
      <c r="Z322" s="7"/>
    </row>
    <row r="323" spans="1:26" ht="9" customHeight="1" x14ac:dyDescent="0.2">
      <c r="A323" s="95"/>
      <c r="B323" s="95"/>
      <c r="C323" s="34" t="s">
        <v>37</v>
      </c>
      <c r="D323" s="35">
        <v>10</v>
      </c>
      <c r="E323" s="36">
        <v>14480453</v>
      </c>
      <c r="F323" s="36">
        <v>1488004</v>
      </c>
      <c r="G323" s="36">
        <v>240001</v>
      </c>
      <c r="H323" s="36">
        <v>12361361</v>
      </c>
      <c r="I323" s="36">
        <v>0</v>
      </c>
      <c r="J323" s="37">
        <v>2380818</v>
      </c>
      <c r="K323" s="36">
        <v>28569819</v>
      </c>
      <c r="L323" s="121">
        <v>30950637</v>
      </c>
      <c r="M323" s="39"/>
      <c r="N323" s="36">
        <v>28569819</v>
      </c>
      <c r="O323" s="36">
        <v>16208458</v>
      </c>
      <c r="P323" s="36">
        <v>0</v>
      </c>
      <c r="Q323" s="36">
        <f>Q322*1936.27</f>
        <v>33868159.435641997</v>
      </c>
      <c r="R323" s="7"/>
      <c r="S323" s="7"/>
      <c r="T323" s="7"/>
      <c r="U323" s="7"/>
      <c r="V323" s="7"/>
      <c r="W323" s="7"/>
      <c r="X323" s="7"/>
      <c r="Y323" s="7"/>
      <c r="Z323" s="7"/>
    </row>
    <row r="324" spans="1:26" ht="12.75" customHeight="1" x14ac:dyDescent="0.2">
      <c r="A324" s="95"/>
      <c r="B324" s="95"/>
      <c r="C324" s="40" t="s">
        <v>36</v>
      </c>
      <c r="D324" s="41">
        <v>11</v>
      </c>
      <c r="E324" s="42">
        <v>7837.98</v>
      </c>
      <c r="F324" s="42">
        <v>811.87</v>
      </c>
      <c r="G324" s="42">
        <v>123.95</v>
      </c>
      <c r="H324" s="42">
        <v>6384.11</v>
      </c>
      <c r="I324" s="42">
        <v>0</v>
      </c>
      <c r="J324" s="42">
        <v>1263.1600000000001</v>
      </c>
      <c r="K324" s="43">
        <v>15157.91</v>
      </c>
      <c r="L324" s="122">
        <v>16421.07</v>
      </c>
      <c r="M324" s="33"/>
      <c r="N324" s="30">
        <v>15157.91</v>
      </c>
      <c r="O324" s="30">
        <v>8773.7999999999993</v>
      </c>
      <c r="P324" s="30"/>
      <c r="Q324" s="30">
        <f>(N324+O324*0.18+J324)+(IF((P324-O324*0.18)&gt;0,(P324-O324*0.18),0))</f>
        <v>18000.353999999999</v>
      </c>
      <c r="R324" s="7"/>
      <c r="S324" s="7"/>
      <c r="T324" s="7"/>
      <c r="U324" s="7"/>
      <c r="V324" s="7"/>
      <c r="W324" s="7"/>
      <c r="X324" s="7"/>
      <c r="Y324" s="7"/>
      <c r="Z324" s="7"/>
    </row>
    <row r="325" spans="1:26" ht="9" customHeight="1" x14ac:dyDescent="0.2">
      <c r="A325" s="95"/>
      <c r="B325" s="95"/>
      <c r="C325" s="34" t="s">
        <v>37</v>
      </c>
      <c r="D325" s="35">
        <v>12</v>
      </c>
      <c r="E325" s="36">
        <v>15176446</v>
      </c>
      <c r="F325" s="36">
        <v>1572000</v>
      </c>
      <c r="G325" s="36">
        <v>240001</v>
      </c>
      <c r="H325" s="36">
        <v>12361361</v>
      </c>
      <c r="I325" s="36">
        <v>0</v>
      </c>
      <c r="J325" s="37">
        <v>2445819</v>
      </c>
      <c r="K325" s="36">
        <v>29349806</v>
      </c>
      <c r="L325" s="121">
        <v>31795625</v>
      </c>
      <c r="M325" s="39"/>
      <c r="N325" s="36">
        <v>29349806</v>
      </c>
      <c r="O325" s="36">
        <v>16988446</v>
      </c>
      <c r="P325" s="36">
        <v>0</v>
      </c>
      <c r="Q325" s="36">
        <f>Q324*1936.27</f>
        <v>34853545.439580001</v>
      </c>
      <c r="R325" s="7"/>
      <c r="S325" s="7"/>
      <c r="T325" s="7"/>
      <c r="U325" s="7"/>
      <c r="V325" s="7"/>
      <c r="W325" s="7"/>
      <c r="X325" s="7"/>
      <c r="Y325" s="7"/>
      <c r="Z325" s="7"/>
    </row>
    <row r="326" spans="1:26" ht="12.75" customHeight="1" x14ac:dyDescent="0.2">
      <c r="A326" s="95"/>
      <c r="B326" s="95"/>
      <c r="C326" s="40" t="s">
        <v>36</v>
      </c>
      <c r="D326" s="41">
        <v>13</v>
      </c>
      <c r="E326" s="42">
        <v>8191.24</v>
      </c>
      <c r="F326" s="42">
        <v>849.06</v>
      </c>
      <c r="G326" s="42">
        <v>123.95</v>
      </c>
      <c r="H326" s="42">
        <v>6384.11</v>
      </c>
      <c r="I326" s="42">
        <v>0</v>
      </c>
      <c r="J326" s="42">
        <v>1295.7</v>
      </c>
      <c r="K326" s="43">
        <v>15548.36</v>
      </c>
      <c r="L326" s="122">
        <v>16844.060000000001</v>
      </c>
      <c r="M326" s="33"/>
      <c r="N326" s="30">
        <v>15548.36</v>
      </c>
      <c r="O326" s="30">
        <v>9164.25</v>
      </c>
      <c r="P326" s="30"/>
      <c r="Q326" s="30">
        <f>(N326+O326*0.18+J326)+(IF((P326-O326*0.18)&gt;0,(P326-O326*0.18),0))</f>
        <v>18493.625</v>
      </c>
      <c r="R326" s="7"/>
      <c r="S326" s="7"/>
      <c r="T326" s="7"/>
      <c r="U326" s="7"/>
      <c r="V326" s="7"/>
      <c r="W326" s="7"/>
      <c r="X326" s="7"/>
      <c r="Y326" s="7"/>
      <c r="Z326" s="7"/>
    </row>
    <row r="327" spans="1:26" ht="9" customHeight="1" x14ac:dyDescent="0.2">
      <c r="A327" s="95"/>
      <c r="B327" s="95"/>
      <c r="C327" s="34" t="s">
        <v>37</v>
      </c>
      <c r="D327" s="35">
        <v>14</v>
      </c>
      <c r="E327" s="36">
        <v>15860452</v>
      </c>
      <c r="F327" s="36">
        <v>1644009</v>
      </c>
      <c r="G327" s="36">
        <v>240001</v>
      </c>
      <c r="H327" s="36">
        <v>12361361</v>
      </c>
      <c r="I327" s="36">
        <v>0</v>
      </c>
      <c r="J327" s="37">
        <v>2508825</v>
      </c>
      <c r="K327" s="36">
        <v>30105823</v>
      </c>
      <c r="L327" s="121">
        <v>32614648</v>
      </c>
      <c r="M327" s="39"/>
      <c r="N327" s="36">
        <v>30105823</v>
      </c>
      <c r="O327" s="36">
        <v>17744462</v>
      </c>
      <c r="P327" s="36">
        <v>0</v>
      </c>
      <c r="Q327" s="36">
        <f>Q326*1936.27</f>
        <v>35808651.278750002</v>
      </c>
      <c r="R327" s="7"/>
      <c r="S327" s="7"/>
      <c r="T327" s="7"/>
      <c r="U327" s="7"/>
      <c r="V327" s="7"/>
      <c r="W327" s="7"/>
      <c r="X327" s="7"/>
      <c r="Y327" s="7"/>
      <c r="Z327" s="7"/>
    </row>
    <row r="328" spans="1:26" ht="12.75" customHeight="1" x14ac:dyDescent="0.2">
      <c r="A328" s="95"/>
      <c r="B328" s="95"/>
      <c r="C328" s="40" t="s">
        <v>36</v>
      </c>
      <c r="D328" s="41">
        <v>15</v>
      </c>
      <c r="E328" s="42">
        <v>8645.9</v>
      </c>
      <c r="F328" s="42">
        <v>892.44</v>
      </c>
      <c r="G328" s="42">
        <v>123.95</v>
      </c>
      <c r="H328" s="42">
        <v>6384.11</v>
      </c>
      <c r="I328" s="42">
        <v>0</v>
      </c>
      <c r="J328" s="42">
        <v>1337.2</v>
      </c>
      <c r="K328" s="43">
        <v>16046.4</v>
      </c>
      <c r="L328" s="122">
        <v>17383.599999999999</v>
      </c>
      <c r="M328" s="33"/>
      <c r="N328" s="30">
        <v>16046.4</v>
      </c>
      <c r="O328" s="30">
        <v>9662.2900000000009</v>
      </c>
      <c r="P328" s="30"/>
      <c r="Q328" s="30">
        <f>(N328+O328*0.18+J328)+(IF((P328-O328*0.18)&gt;0,(P328-O328*0.18),0))</f>
        <v>19122.8122</v>
      </c>
      <c r="R328" s="7"/>
      <c r="S328" s="7"/>
      <c r="T328" s="7"/>
      <c r="U328" s="7"/>
      <c r="V328" s="7"/>
      <c r="W328" s="7"/>
      <c r="X328" s="7"/>
      <c r="Y328" s="7"/>
      <c r="Z328" s="7"/>
    </row>
    <row r="329" spans="1:26" ht="9" customHeight="1" x14ac:dyDescent="0.2">
      <c r="A329" s="95"/>
      <c r="B329" s="95"/>
      <c r="C329" s="34" t="s">
        <v>37</v>
      </c>
      <c r="D329" s="35">
        <v>16</v>
      </c>
      <c r="E329" s="36">
        <v>16740797</v>
      </c>
      <c r="F329" s="36">
        <v>1728005</v>
      </c>
      <c r="G329" s="36">
        <v>240001</v>
      </c>
      <c r="H329" s="36">
        <v>12361361</v>
      </c>
      <c r="I329" s="36">
        <v>0</v>
      </c>
      <c r="J329" s="37">
        <v>2589180</v>
      </c>
      <c r="K329" s="36">
        <v>31070163</v>
      </c>
      <c r="L329" s="121">
        <v>33659343</v>
      </c>
      <c r="M329" s="39"/>
      <c r="N329" s="36">
        <v>31070163</v>
      </c>
      <c r="O329" s="36">
        <v>18708802</v>
      </c>
      <c r="P329" s="36">
        <v>0</v>
      </c>
      <c r="Q329" s="36">
        <f>Q328*1936.27</f>
        <v>37026927.578493997</v>
      </c>
      <c r="R329" s="7"/>
      <c r="S329" s="7"/>
      <c r="T329" s="7"/>
      <c r="U329" s="7"/>
      <c r="V329" s="7"/>
      <c r="W329" s="7"/>
      <c r="X329" s="7"/>
      <c r="Y329" s="7"/>
      <c r="Z329" s="7"/>
    </row>
    <row r="330" spans="1:26" ht="12.75" customHeight="1" x14ac:dyDescent="0.2">
      <c r="A330" s="95"/>
      <c r="B330" s="95"/>
      <c r="C330" s="40" t="s">
        <v>36</v>
      </c>
      <c r="D330" s="41">
        <v>17</v>
      </c>
      <c r="E330" s="42">
        <v>9061.14</v>
      </c>
      <c r="F330" s="42">
        <v>942.02</v>
      </c>
      <c r="G330" s="42">
        <v>123.95</v>
      </c>
      <c r="H330" s="42">
        <v>6384.11</v>
      </c>
      <c r="I330" s="42">
        <v>0</v>
      </c>
      <c r="J330" s="42">
        <v>1375.94</v>
      </c>
      <c r="K330" s="43">
        <v>16511.22</v>
      </c>
      <c r="L330" s="122">
        <v>17887.16</v>
      </c>
      <c r="M330" s="33"/>
      <c r="N330" s="30">
        <v>16511.22</v>
      </c>
      <c r="O330" s="30">
        <v>10127.11</v>
      </c>
      <c r="P330" s="30"/>
      <c r="Q330" s="30">
        <f>(N330+O330*0.18+J330)+(IF((P330-O330*0.18)&gt;0,(P330-O330*0.18),0))</f>
        <v>19710.039799999999</v>
      </c>
      <c r="R330" s="7"/>
      <c r="S330" s="7"/>
      <c r="T330" s="7"/>
      <c r="U330" s="7"/>
      <c r="V330" s="7"/>
      <c r="W330" s="7"/>
      <c r="X330" s="7"/>
      <c r="Y330" s="7"/>
      <c r="Z330" s="7"/>
    </row>
    <row r="331" spans="1:26" ht="9" customHeight="1" x14ac:dyDescent="0.2">
      <c r="A331" s="95"/>
      <c r="B331" s="95"/>
      <c r="C331" s="34" t="s">
        <v>37</v>
      </c>
      <c r="D331" s="35">
        <v>18</v>
      </c>
      <c r="E331" s="36">
        <v>17544814</v>
      </c>
      <c r="F331" s="36">
        <v>1824005</v>
      </c>
      <c r="G331" s="36">
        <v>240001</v>
      </c>
      <c r="H331" s="36">
        <v>12361361</v>
      </c>
      <c r="I331" s="36">
        <v>0</v>
      </c>
      <c r="J331" s="37">
        <v>2664191</v>
      </c>
      <c r="K331" s="36">
        <v>31970180</v>
      </c>
      <c r="L331" s="121">
        <v>34634371</v>
      </c>
      <c r="M331" s="39"/>
      <c r="N331" s="36">
        <v>31970180</v>
      </c>
      <c r="O331" s="36">
        <v>19608819</v>
      </c>
      <c r="P331" s="36">
        <v>0</v>
      </c>
      <c r="Q331" s="36">
        <f>Q330*1936.27</f>
        <v>38163958.763545997</v>
      </c>
      <c r="R331" s="7"/>
      <c r="S331" s="7"/>
      <c r="T331" s="7"/>
      <c r="U331" s="7"/>
      <c r="V331" s="7"/>
      <c r="W331" s="7"/>
      <c r="X331" s="7"/>
      <c r="Y331" s="7"/>
      <c r="Z331" s="7"/>
    </row>
    <row r="332" spans="1:26" ht="12.75" customHeight="1" x14ac:dyDescent="0.2">
      <c r="A332" s="95"/>
      <c r="B332" s="95"/>
      <c r="C332" s="40" t="s">
        <v>36</v>
      </c>
      <c r="D332" s="41">
        <v>19</v>
      </c>
      <c r="E332" s="42">
        <v>9470.17</v>
      </c>
      <c r="F332" s="42">
        <v>985.4</v>
      </c>
      <c r="G332" s="42">
        <v>123.95</v>
      </c>
      <c r="H332" s="42">
        <v>6384.11</v>
      </c>
      <c r="I332" s="42">
        <v>0</v>
      </c>
      <c r="J332" s="42">
        <v>1413.64</v>
      </c>
      <c r="K332" s="43">
        <v>16963.63</v>
      </c>
      <c r="L332" s="122">
        <v>18377.27</v>
      </c>
      <c r="M332" s="33"/>
      <c r="N332" s="30">
        <v>16963.63</v>
      </c>
      <c r="O332" s="30">
        <v>10579.52</v>
      </c>
      <c r="P332" s="30"/>
      <c r="Q332" s="30">
        <f>(N332+O332*0.18+J332)+(IF((P332-O332*0.18)&gt;0,(P332-O332*0.18),0))</f>
        <v>20281.583600000002</v>
      </c>
      <c r="R332" s="7"/>
      <c r="S332" s="7"/>
      <c r="T332" s="7"/>
      <c r="U332" s="7"/>
      <c r="V332" s="7"/>
      <c r="W332" s="7"/>
      <c r="X332" s="7"/>
      <c r="Y332" s="7"/>
      <c r="Z332" s="7"/>
    </row>
    <row r="333" spans="1:26" ht="9" customHeight="1" x14ac:dyDescent="0.2">
      <c r="A333" s="95"/>
      <c r="B333" s="95"/>
      <c r="C333" s="34" t="s">
        <v>37</v>
      </c>
      <c r="D333" s="35">
        <v>20</v>
      </c>
      <c r="E333" s="36">
        <v>18336806</v>
      </c>
      <c r="F333" s="36">
        <v>1908000</v>
      </c>
      <c r="G333" s="36">
        <v>240001</v>
      </c>
      <c r="H333" s="36">
        <v>12361361</v>
      </c>
      <c r="I333" s="36">
        <v>0</v>
      </c>
      <c r="J333" s="37">
        <v>2737189</v>
      </c>
      <c r="K333" s="36">
        <v>32846168</v>
      </c>
      <c r="L333" s="121">
        <v>35583357</v>
      </c>
      <c r="M333" s="39"/>
      <c r="N333" s="36">
        <v>32846168</v>
      </c>
      <c r="O333" s="36">
        <v>20484807</v>
      </c>
      <c r="P333" s="36">
        <v>0</v>
      </c>
      <c r="Q333" s="36">
        <f>Q332*1936.27</f>
        <v>39270621.877172001</v>
      </c>
      <c r="R333" s="7"/>
      <c r="S333" s="7"/>
      <c r="T333" s="7"/>
      <c r="U333" s="7"/>
      <c r="V333" s="7"/>
      <c r="W333" s="7"/>
      <c r="X333" s="7"/>
      <c r="Y333" s="7"/>
      <c r="Z333" s="7"/>
    </row>
    <row r="334" spans="1:26" ht="12.75" customHeight="1" x14ac:dyDescent="0.2">
      <c r="A334" s="95"/>
      <c r="B334" s="95"/>
      <c r="C334" s="40" t="s">
        <v>36</v>
      </c>
      <c r="D334" s="41">
        <v>21</v>
      </c>
      <c r="E334" s="42">
        <v>9781.32</v>
      </c>
      <c r="F334" s="42">
        <v>1016.39</v>
      </c>
      <c r="G334" s="42">
        <v>123.95</v>
      </c>
      <c r="H334" s="42">
        <v>6384.11</v>
      </c>
      <c r="I334" s="42">
        <v>0</v>
      </c>
      <c r="J334" s="42">
        <v>1442.15</v>
      </c>
      <c r="K334" s="43">
        <v>17305.77</v>
      </c>
      <c r="L334" s="122">
        <v>18747.919999999998</v>
      </c>
      <c r="M334" s="33"/>
      <c r="N334" s="30">
        <v>17305.77</v>
      </c>
      <c r="O334" s="30">
        <v>10921.66</v>
      </c>
      <c r="P334" s="30"/>
      <c r="Q334" s="30">
        <f>(N334+O334*0.18+J334)+(IF((P334-O334*0.18)&gt;0,(P334-O334*0.18),0))</f>
        <v>20713.818800000001</v>
      </c>
      <c r="R334" s="7"/>
      <c r="S334" s="7"/>
      <c r="T334" s="7"/>
      <c r="U334" s="7"/>
      <c r="V334" s="7"/>
      <c r="W334" s="7"/>
      <c r="X334" s="7"/>
      <c r="Y334" s="7"/>
      <c r="Z334" s="7"/>
    </row>
    <row r="335" spans="1:26" ht="9" customHeight="1" x14ac:dyDescent="0.2">
      <c r="A335" s="95"/>
      <c r="B335" s="95"/>
      <c r="C335" s="34" t="s">
        <v>37</v>
      </c>
      <c r="D335" s="35">
        <v>22</v>
      </c>
      <c r="E335" s="36">
        <v>18939276</v>
      </c>
      <c r="F335" s="36">
        <v>1968005</v>
      </c>
      <c r="G335" s="36">
        <v>240001</v>
      </c>
      <c r="H335" s="36">
        <v>12361361</v>
      </c>
      <c r="I335" s="36">
        <v>0</v>
      </c>
      <c r="J335" s="37">
        <v>2792392</v>
      </c>
      <c r="K335" s="36">
        <v>33508643</v>
      </c>
      <c r="L335" s="121">
        <v>36301035</v>
      </c>
      <c r="M335" s="39"/>
      <c r="N335" s="36">
        <v>33508643</v>
      </c>
      <c r="O335" s="36">
        <v>21147283</v>
      </c>
      <c r="P335" s="36">
        <v>0</v>
      </c>
      <c r="Q335" s="36">
        <f>Q334*1936.27</f>
        <v>40107545.927876003</v>
      </c>
      <c r="R335" s="7"/>
      <c r="S335" s="7"/>
      <c r="T335" s="7"/>
      <c r="U335" s="7"/>
      <c r="V335" s="7"/>
      <c r="W335" s="7"/>
      <c r="X335" s="7"/>
      <c r="Y335" s="7"/>
      <c r="Z335" s="7"/>
    </row>
    <row r="336" spans="1:26" ht="12.75" customHeight="1" x14ac:dyDescent="0.2">
      <c r="A336" s="95"/>
      <c r="B336" s="95"/>
      <c r="C336" s="40" t="s">
        <v>36</v>
      </c>
      <c r="D336" s="41">
        <v>23</v>
      </c>
      <c r="E336" s="42">
        <v>10047.81</v>
      </c>
      <c r="F336" s="42">
        <v>1047.3699999999999</v>
      </c>
      <c r="G336" s="42">
        <v>123.95</v>
      </c>
      <c r="H336" s="42">
        <v>6384.11</v>
      </c>
      <c r="I336" s="42">
        <v>0</v>
      </c>
      <c r="J336" s="42">
        <v>1466.94</v>
      </c>
      <c r="K336" s="43">
        <v>17603.240000000002</v>
      </c>
      <c r="L336" s="122">
        <v>19070.18</v>
      </c>
      <c r="M336" s="33"/>
      <c r="N336" s="30">
        <v>17603.240000000002</v>
      </c>
      <c r="O336" s="30">
        <v>11219.13</v>
      </c>
      <c r="P336" s="30"/>
      <c r="Q336" s="30">
        <f>(N336+O336*0.18+J336)+(IF((P336-O336*0.18)&gt;0,(P336-O336*0.18),0))</f>
        <v>21089.6234</v>
      </c>
      <c r="R336" s="7"/>
      <c r="S336" s="7"/>
      <c r="T336" s="7"/>
      <c r="U336" s="7"/>
      <c r="V336" s="7"/>
      <c r="W336" s="7"/>
      <c r="X336" s="7"/>
      <c r="Y336" s="7"/>
      <c r="Z336" s="7"/>
    </row>
    <row r="337" spans="1:26" ht="9" customHeight="1" x14ac:dyDescent="0.2">
      <c r="A337" s="95"/>
      <c r="B337" s="95"/>
      <c r="C337" s="34" t="s">
        <v>37</v>
      </c>
      <c r="D337" s="35">
        <v>23</v>
      </c>
      <c r="E337" s="36">
        <v>19455273</v>
      </c>
      <c r="F337" s="36">
        <v>2027991</v>
      </c>
      <c r="G337" s="36">
        <v>240001</v>
      </c>
      <c r="H337" s="36">
        <v>12361361</v>
      </c>
      <c r="I337" s="36">
        <v>0</v>
      </c>
      <c r="J337" s="37">
        <v>2840392</v>
      </c>
      <c r="K337" s="36">
        <v>34084626</v>
      </c>
      <c r="L337" s="121">
        <v>36925017</v>
      </c>
      <c r="M337" s="39"/>
      <c r="N337" s="36">
        <v>34084626</v>
      </c>
      <c r="O337" s="36">
        <v>21723265</v>
      </c>
      <c r="P337" s="36">
        <v>0</v>
      </c>
      <c r="Q337" s="36">
        <f>Q336*1936.27</f>
        <v>40835205.100717999</v>
      </c>
      <c r="R337" s="7"/>
      <c r="S337" s="7"/>
      <c r="T337" s="7"/>
      <c r="U337" s="7"/>
      <c r="V337" s="7"/>
      <c r="W337" s="7"/>
      <c r="X337" s="7"/>
      <c r="Y337" s="7"/>
      <c r="Z337" s="7"/>
    </row>
    <row r="338" spans="1:26" ht="12.75" customHeight="1" x14ac:dyDescent="0.2">
      <c r="A338" s="95"/>
      <c r="B338" s="95"/>
      <c r="C338" s="40" t="s">
        <v>36</v>
      </c>
      <c r="D338" s="41">
        <v>24</v>
      </c>
      <c r="E338" s="42">
        <v>10320.5</v>
      </c>
      <c r="F338" s="42">
        <v>1072.1600000000001</v>
      </c>
      <c r="G338" s="42">
        <v>123.95</v>
      </c>
      <c r="H338" s="42">
        <v>6384.11</v>
      </c>
      <c r="I338" s="42">
        <v>0</v>
      </c>
      <c r="J338" s="42">
        <v>1491.73</v>
      </c>
      <c r="K338" s="43">
        <v>17900.72</v>
      </c>
      <c r="L338" s="122">
        <v>19392.45</v>
      </c>
      <c r="M338" s="33"/>
      <c r="N338" s="30">
        <v>17900.72</v>
      </c>
      <c r="O338" s="30">
        <v>11516.61</v>
      </c>
      <c r="P338" s="30"/>
      <c r="Q338" s="30">
        <f>(N338+O338*0.18+J338)+(IF((P338-O338*0.18)&gt;0,(P338-O338*0.18),0))</f>
        <v>21465.4398</v>
      </c>
      <c r="R338" s="7"/>
      <c r="S338" s="7"/>
      <c r="T338" s="7"/>
      <c r="U338" s="7"/>
      <c r="V338" s="7"/>
      <c r="W338" s="7"/>
      <c r="X338" s="7"/>
      <c r="Y338" s="7"/>
      <c r="Z338" s="7"/>
    </row>
    <row r="339" spans="1:26" ht="9" customHeight="1" x14ac:dyDescent="0.2">
      <c r="A339" s="95"/>
      <c r="B339" s="95"/>
      <c r="C339" s="34" t="s">
        <v>37</v>
      </c>
      <c r="D339" s="35">
        <v>25</v>
      </c>
      <c r="E339" s="36">
        <v>19983275</v>
      </c>
      <c r="F339" s="36">
        <v>2075991</v>
      </c>
      <c r="G339" s="36">
        <v>240001</v>
      </c>
      <c r="H339" s="36">
        <v>12361361</v>
      </c>
      <c r="I339" s="36">
        <v>0</v>
      </c>
      <c r="J339" s="37">
        <v>2888392</v>
      </c>
      <c r="K339" s="36">
        <v>34660627</v>
      </c>
      <c r="L339" s="121">
        <v>37549019</v>
      </c>
      <c r="M339" s="39"/>
      <c r="N339" s="36">
        <v>34660627</v>
      </c>
      <c r="O339" s="36">
        <v>22299266</v>
      </c>
      <c r="P339" s="36">
        <v>0</v>
      </c>
      <c r="Q339" s="36">
        <f>Q338*1936.27</f>
        <v>41562887.121546</v>
      </c>
      <c r="R339" s="7"/>
      <c r="S339" s="7"/>
      <c r="T339" s="7"/>
      <c r="U339" s="7"/>
      <c r="V339" s="7"/>
      <c r="W339" s="7"/>
      <c r="X339" s="7"/>
      <c r="Y339" s="7"/>
      <c r="Z339" s="7"/>
    </row>
    <row r="340" spans="1:26" ht="12.75" customHeight="1" x14ac:dyDescent="0.2">
      <c r="A340" s="95"/>
      <c r="B340" s="95"/>
      <c r="C340" s="40" t="s">
        <v>36</v>
      </c>
      <c r="D340" s="41">
        <v>26</v>
      </c>
      <c r="E340" s="42">
        <v>10586.99</v>
      </c>
      <c r="F340" s="42">
        <v>1103.1500000000001</v>
      </c>
      <c r="G340" s="42">
        <v>123.95</v>
      </c>
      <c r="H340" s="42">
        <v>6384.11</v>
      </c>
      <c r="I340" s="42">
        <v>0</v>
      </c>
      <c r="J340" s="42">
        <v>1516.52</v>
      </c>
      <c r="K340" s="43">
        <v>18198.2</v>
      </c>
      <c r="L340" s="122">
        <v>19714.72</v>
      </c>
      <c r="M340" s="33"/>
      <c r="N340" s="30">
        <v>18198.2</v>
      </c>
      <c r="O340" s="30">
        <v>11814.09</v>
      </c>
      <c r="P340" s="30"/>
      <c r="Q340" s="30">
        <f>(N340+O340*0.18+J340)+(IF((P340-O340*0.18)&gt;0,(P340-O340*0.18),0))</f>
        <v>21841.2562</v>
      </c>
      <c r="R340" s="7"/>
      <c r="S340" s="7"/>
      <c r="T340" s="7"/>
      <c r="U340" s="7"/>
      <c r="V340" s="7"/>
      <c r="W340" s="7"/>
      <c r="X340" s="7"/>
      <c r="Y340" s="7"/>
      <c r="Z340" s="7"/>
    </row>
    <row r="341" spans="1:26" ht="9" customHeight="1" x14ac:dyDescent="0.2">
      <c r="A341" s="95"/>
      <c r="B341" s="95"/>
      <c r="C341" s="34" t="s">
        <v>37</v>
      </c>
      <c r="D341" s="35">
        <v>27</v>
      </c>
      <c r="E341" s="36">
        <v>20499271</v>
      </c>
      <c r="F341" s="36">
        <v>2135996</v>
      </c>
      <c r="G341" s="36">
        <v>240001</v>
      </c>
      <c r="H341" s="36">
        <v>12361361</v>
      </c>
      <c r="I341" s="36">
        <v>0</v>
      </c>
      <c r="J341" s="37">
        <v>2936392</v>
      </c>
      <c r="K341" s="36">
        <v>35236629</v>
      </c>
      <c r="L341" s="121">
        <v>38173021</v>
      </c>
      <c r="M341" s="39"/>
      <c r="N341" s="36">
        <v>35236629</v>
      </c>
      <c r="O341" s="36">
        <v>22875268</v>
      </c>
      <c r="P341" s="36">
        <v>0</v>
      </c>
      <c r="Q341" s="36">
        <f>Q340*1936.27</f>
        <v>42290569.142374001</v>
      </c>
      <c r="R341" s="7"/>
      <c r="S341" s="7"/>
      <c r="T341" s="7"/>
      <c r="U341" s="7"/>
      <c r="V341" s="7"/>
      <c r="W341" s="7"/>
      <c r="X341" s="7"/>
      <c r="Y341" s="7"/>
      <c r="Z341" s="7"/>
    </row>
    <row r="342" spans="1:26" ht="12.75" customHeight="1" x14ac:dyDescent="0.2">
      <c r="A342" s="95"/>
      <c r="B342" s="95"/>
      <c r="C342" s="40" t="s">
        <v>36</v>
      </c>
      <c r="D342" s="41">
        <v>28</v>
      </c>
      <c r="E342" s="42">
        <v>10897.36</v>
      </c>
      <c r="F342" s="42">
        <v>1134.1400000000001</v>
      </c>
      <c r="G342" s="42">
        <v>123.95</v>
      </c>
      <c r="H342" s="42">
        <v>6384.11</v>
      </c>
      <c r="I342" s="42">
        <v>0</v>
      </c>
      <c r="J342" s="42">
        <v>1544.96</v>
      </c>
      <c r="K342" s="43">
        <v>18539.560000000001</v>
      </c>
      <c r="L342" s="122">
        <v>20084.52</v>
      </c>
      <c r="M342" s="33"/>
      <c r="N342" s="30">
        <v>18539.560000000001</v>
      </c>
      <c r="O342" s="30">
        <v>12155.45</v>
      </c>
      <c r="P342" s="30"/>
      <c r="Q342" s="30">
        <f>(N342+O342*0.18+J342)+(IF((P342-O342*0.18)&gt;0,(P342-O342*0.18),0))</f>
        <v>22272.501</v>
      </c>
      <c r="R342" s="7"/>
      <c r="S342" s="7"/>
      <c r="T342" s="7"/>
      <c r="U342" s="7"/>
      <c r="V342" s="7"/>
      <c r="W342" s="7"/>
      <c r="X342" s="7"/>
      <c r="Y342" s="7"/>
      <c r="Z342" s="7"/>
    </row>
    <row r="343" spans="1:26" ht="9" customHeight="1" x14ac:dyDescent="0.2">
      <c r="A343" s="95"/>
      <c r="B343" s="95"/>
      <c r="C343" s="34" t="s">
        <v>37</v>
      </c>
      <c r="D343" s="35">
        <v>29</v>
      </c>
      <c r="E343" s="36">
        <v>21100231</v>
      </c>
      <c r="F343" s="36">
        <v>2196001</v>
      </c>
      <c r="G343" s="36">
        <v>240001</v>
      </c>
      <c r="H343" s="36">
        <v>12361361</v>
      </c>
      <c r="I343" s="36">
        <v>0</v>
      </c>
      <c r="J343" s="37">
        <v>2991460</v>
      </c>
      <c r="K343" s="36">
        <v>35897594</v>
      </c>
      <c r="L343" s="121">
        <v>38889054</v>
      </c>
      <c r="M343" s="39"/>
      <c r="N343" s="36">
        <v>35897594</v>
      </c>
      <c r="O343" s="36">
        <v>23536233</v>
      </c>
      <c r="P343" s="36">
        <v>0</v>
      </c>
      <c r="Q343" s="36">
        <f>Q342*1936.27</f>
        <v>43125575.511270002</v>
      </c>
      <c r="R343" s="7"/>
      <c r="S343" s="7"/>
      <c r="T343" s="7"/>
      <c r="U343" s="7"/>
      <c r="V343" s="7"/>
      <c r="W343" s="7"/>
      <c r="X343" s="7"/>
      <c r="Y343" s="7"/>
      <c r="Z343" s="7"/>
    </row>
    <row r="344" spans="1:26" ht="12.75" customHeight="1" x14ac:dyDescent="0.2">
      <c r="A344" s="95"/>
      <c r="B344" s="95"/>
      <c r="C344" s="40" t="s">
        <v>36</v>
      </c>
      <c r="D344" s="41">
        <v>30</v>
      </c>
      <c r="E344" s="42">
        <v>11170.05</v>
      </c>
      <c r="F344" s="42">
        <v>1165.1300000000001</v>
      </c>
      <c r="G344" s="42">
        <v>123.95</v>
      </c>
      <c r="H344" s="42">
        <v>6384.11</v>
      </c>
      <c r="I344" s="42">
        <v>0</v>
      </c>
      <c r="J344" s="42">
        <v>1570.27</v>
      </c>
      <c r="K344" s="43">
        <v>18843.240000000002</v>
      </c>
      <c r="L344" s="122">
        <v>20413.509999999998</v>
      </c>
      <c r="M344" s="33"/>
      <c r="N344" s="30">
        <v>18843.240000000002</v>
      </c>
      <c r="O344" s="30">
        <v>12459.13</v>
      </c>
      <c r="P344" s="30"/>
      <c r="Q344" s="30">
        <f>(N344+O344*0.18+J344)+(IF((P344-O344*0.18)&gt;0,(P344-O344*0.18),0))</f>
        <v>22656.153400000003</v>
      </c>
      <c r="R344" s="7"/>
      <c r="S344" s="7"/>
      <c r="T344" s="7"/>
      <c r="U344" s="7"/>
      <c r="V344" s="7"/>
      <c r="W344" s="7"/>
      <c r="X344" s="7"/>
      <c r="Y344" s="7"/>
      <c r="Z344" s="7"/>
    </row>
    <row r="345" spans="1:26" ht="9" customHeight="1" x14ac:dyDescent="0.2">
      <c r="A345" s="95"/>
      <c r="B345" s="95"/>
      <c r="C345" s="34" t="s">
        <v>37</v>
      </c>
      <c r="D345" s="35">
        <v>31</v>
      </c>
      <c r="E345" s="36">
        <v>21628233</v>
      </c>
      <c r="F345" s="36">
        <v>2256006</v>
      </c>
      <c r="G345" s="36">
        <v>240001</v>
      </c>
      <c r="H345" s="36">
        <v>12361361</v>
      </c>
      <c r="I345" s="36">
        <v>0</v>
      </c>
      <c r="J345" s="37">
        <v>3040467</v>
      </c>
      <c r="K345" s="36">
        <v>36485600</v>
      </c>
      <c r="L345" s="121">
        <v>39526067</v>
      </c>
      <c r="M345" s="39"/>
      <c r="N345" s="36">
        <v>36485600</v>
      </c>
      <c r="O345" s="36">
        <v>24124240</v>
      </c>
      <c r="P345" s="36">
        <v>0</v>
      </c>
      <c r="Q345" s="36">
        <f>Q344*1936.27</f>
        <v>43868430.143818006</v>
      </c>
      <c r="R345" s="7"/>
      <c r="S345" s="7"/>
      <c r="T345" s="7"/>
      <c r="U345" s="7"/>
      <c r="V345" s="7"/>
      <c r="W345" s="7"/>
      <c r="X345" s="7"/>
      <c r="Y345" s="7"/>
      <c r="Z345" s="7"/>
    </row>
    <row r="346" spans="1:26" ht="12.75" customHeight="1" x14ac:dyDescent="0.2">
      <c r="A346" s="95"/>
      <c r="B346" s="95"/>
      <c r="C346" s="40" t="s">
        <v>36</v>
      </c>
      <c r="D346" s="41">
        <v>32</v>
      </c>
      <c r="E346" s="42">
        <v>11436.54</v>
      </c>
      <c r="F346" s="42">
        <v>1189.92</v>
      </c>
      <c r="G346" s="42">
        <v>123.95</v>
      </c>
      <c r="H346" s="42">
        <v>6384.11</v>
      </c>
      <c r="I346" s="42">
        <v>0</v>
      </c>
      <c r="J346" s="42">
        <v>1594.54</v>
      </c>
      <c r="K346" s="43">
        <v>19134.52</v>
      </c>
      <c r="L346" s="122">
        <v>20729.060000000001</v>
      </c>
      <c r="M346" s="33"/>
      <c r="N346" s="30">
        <v>19134.52</v>
      </c>
      <c r="O346" s="30">
        <v>12750.41</v>
      </c>
      <c r="P346" s="30"/>
      <c r="Q346" s="30">
        <f>(N346+O346*0.18+J346)+(IF((P346-O346*0.18)&gt;0,(P346-O346*0.18),0))</f>
        <v>23024.1338</v>
      </c>
      <c r="R346" s="7"/>
      <c r="S346" s="7"/>
      <c r="T346" s="7"/>
      <c r="U346" s="7"/>
      <c r="V346" s="7"/>
      <c r="W346" s="7"/>
      <c r="X346" s="7"/>
      <c r="Y346" s="7"/>
      <c r="Z346" s="7"/>
    </row>
    <row r="347" spans="1:26" ht="9" customHeight="1" x14ac:dyDescent="0.2">
      <c r="A347" s="95"/>
      <c r="B347" s="95"/>
      <c r="C347" s="34" t="s">
        <v>37</v>
      </c>
      <c r="D347" s="35">
        <v>33</v>
      </c>
      <c r="E347" s="36">
        <v>22144229</v>
      </c>
      <c r="F347" s="36">
        <v>2304006</v>
      </c>
      <c r="G347" s="36">
        <v>240001</v>
      </c>
      <c r="H347" s="36">
        <v>12361361</v>
      </c>
      <c r="I347" s="36">
        <v>0</v>
      </c>
      <c r="J347" s="37">
        <v>3087460</v>
      </c>
      <c r="K347" s="36">
        <v>37049597</v>
      </c>
      <c r="L347" s="121">
        <v>40137057</v>
      </c>
      <c r="M347" s="39"/>
      <c r="N347" s="36">
        <v>37049597</v>
      </c>
      <c r="O347" s="36">
        <v>24688236</v>
      </c>
      <c r="P347" s="36">
        <v>0</v>
      </c>
      <c r="Q347" s="36">
        <f>Q346*1936.27</f>
        <v>44580939.552925996</v>
      </c>
      <c r="R347" s="7"/>
      <c r="S347" s="7"/>
      <c r="T347" s="7"/>
      <c r="U347" s="7"/>
      <c r="V347" s="7"/>
      <c r="W347" s="7"/>
      <c r="X347" s="7"/>
      <c r="Y347" s="7"/>
      <c r="Z347" s="7"/>
    </row>
    <row r="348" spans="1:26" ht="12.75" customHeight="1" x14ac:dyDescent="0.2">
      <c r="A348" s="95"/>
      <c r="B348" s="95"/>
      <c r="C348" s="40" t="s">
        <v>36</v>
      </c>
      <c r="D348" s="41">
        <v>34</v>
      </c>
      <c r="E348" s="42">
        <v>11703.03</v>
      </c>
      <c r="F348" s="42">
        <v>1220.9000000000001</v>
      </c>
      <c r="G348" s="42">
        <v>123.95</v>
      </c>
      <c r="H348" s="42">
        <v>6384.11</v>
      </c>
      <c r="I348" s="42">
        <v>0</v>
      </c>
      <c r="J348" s="42">
        <v>1619.33</v>
      </c>
      <c r="K348" s="43">
        <v>19431.990000000002</v>
      </c>
      <c r="L348" s="122">
        <v>21051.32</v>
      </c>
      <c r="M348" s="33"/>
      <c r="N348" s="30">
        <v>19431.990000000002</v>
      </c>
      <c r="O348" s="30">
        <v>13047.88</v>
      </c>
      <c r="P348" s="30"/>
      <c r="Q348" s="30">
        <f>(N348+O348*0.18+J348)+(IF((P348-O348*0.18)&gt;0,(P348-O348*0.18),0))</f>
        <v>23399.938399999999</v>
      </c>
      <c r="R348" s="7"/>
      <c r="S348" s="7"/>
      <c r="T348" s="7"/>
      <c r="U348" s="7"/>
      <c r="V348" s="7"/>
      <c r="W348" s="7"/>
      <c r="X348" s="7"/>
      <c r="Y348" s="7"/>
      <c r="Z348" s="7"/>
    </row>
    <row r="349" spans="1:26" ht="9" customHeight="1" x14ac:dyDescent="0.2">
      <c r="A349" s="95"/>
      <c r="B349" s="95"/>
      <c r="C349" s="34" t="s">
        <v>37</v>
      </c>
      <c r="D349" s="35">
        <v>35</v>
      </c>
      <c r="E349" s="36">
        <v>22660226</v>
      </c>
      <c r="F349" s="36">
        <v>2363992</v>
      </c>
      <c r="G349" s="36">
        <v>240001</v>
      </c>
      <c r="H349" s="36">
        <v>12361361</v>
      </c>
      <c r="I349" s="36">
        <v>0</v>
      </c>
      <c r="J349" s="37">
        <v>3135460</v>
      </c>
      <c r="K349" s="36">
        <v>37625579</v>
      </c>
      <c r="L349" s="121">
        <v>40761039</v>
      </c>
      <c r="M349" s="39"/>
      <c r="N349" s="36">
        <v>37625579</v>
      </c>
      <c r="O349" s="36">
        <v>25264219</v>
      </c>
      <c r="P349" s="36">
        <v>0</v>
      </c>
      <c r="Q349" s="36">
        <f>Q348*1936.27</f>
        <v>45308598.725768</v>
      </c>
      <c r="R349" s="7"/>
      <c r="S349" s="7"/>
      <c r="T349" s="7"/>
      <c r="U349" s="7"/>
      <c r="V349" s="7"/>
      <c r="W349" s="7"/>
      <c r="X349" s="7"/>
      <c r="Y349" s="7"/>
      <c r="Z349" s="7"/>
    </row>
    <row r="350" spans="1:26" ht="12.75" customHeight="1" x14ac:dyDescent="0.2">
      <c r="A350" s="95"/>
      <c r="B350" s="95"/>
      <c r="C350" s="40" t="s">
        <v>36</v>
      </c>
      <c r="D350" s="41">
        <v>36</v>
      </c>
      <c r="E350" s="42">
        <v>12003.83</v>
      </c>
      <c r="F350" s="42">
        <v>1251.8900000000001</v>
      </c>
      <c r="G350" s="42">
        <v>123.95</v>
      </c>
      <c r="H350" s="42">
        <v>6384.11</v>
      </c>
      <c r="I350" s="42">
        <v>0</v>
      </c>
      <c r="J350" s="42">
        <v>1646.98</v>
      </c>
      <c r="K350" s="43">
        <v>19763.78</v>
      </c>
      <c r="L350" s="122">
        <v>21410.76</v>
      </c>
      <c r="M350" s="33"/>
      <c r="N350" s="30">
        <v>19763.78</v>
      </c>
      <c r="O350" s="30">
        <v>13379.67</v>
      </c>
      <c r="P350" s="30"/>
      <c r="Q350" s="30">
        <f>(N350+O350*0.18+J350)+(IF((P350-O350*0.18)&gt;0,(P350-O350*0.18),0))</f>
        <v>23819.100599999998</v>
      </c>
      <c r="R350" s="7"/>
      <c r="S350" s="7"/>
      <c r="T350" s="7"/>
      <c r="U350" s="7"/>
      <c r="V350" s="7"/>
      <c r="W350" s="7"/>
      <c r="X350" s="7"/>
      <c r="Y350" s="7"/>
      <c r="Z350" s="7"/>
    </row>
    <row r="351" spans="1:26" ht="9" customHeight="1" x14ac:dyDescent="0.2">
      <c r="A351" s="95"/>
      <c r="B351" s="95"/>
      <c r="C351" s="34" t="s">
        <v>37</v>
      </c>
      <c r="D351" s="35">
        <v>37</v>
      </c>
      <c r="E351" s="36">
        <v>23242656</v>
      </c>
      <c r="F351" s="36">
        <v>2423997</v>
      </c>
      <c r="G351" s="36">
        <v>240001</v>
      </c>
      <c r="H351" s="36">
        <v>12361361</v>
      </c>
      <c r="I351" s="36">
        <v>0</v>
      </c>
      <c r="J351" s="37">
        <v>3188998</v>
      </c>
      <c r="K351" s="36">
        <v>38268014</v>
      </c>
      <c r="L351" s="121">
        <v>41457012</v>
      </c>
      <c r="M351" s="39"/>
      <c r="N351" s="36">
        <v>38268014</v>
      </c>
      <c r="O351" s="36">
        <v>25906654</v>
      </c>
      <c r="P351" s="36">
        <v>0</v>
      </c>
      <c r="Q351" s="36">
        <f>Q350*1936.27</f>
        <v>46120209.918761998</v>
      </c>
      <c r="R351" s="7"/>
      <c r="S351" s="7"/>
      <c r="T351" s="7"/>
      <c r="U351" s="7"/>
      <c r="V351" s="7"/>
      <c r="W351" s="7"/>
      <c r="X351" s="7"/>
      <c r="Y351" s="7"/>
      <c r="Z351" s="7"/>
    </row>
    <row r="352" spans="1:26" ht="12.75" customHeight="1" x14ac:dyDescent="0.2">
      <c r="A352" s="95"/>
      <c r="B352" s="95"/>
      <c r="C352" s="40" t="s">
        <v>36</v>
      </c>
      <c r="D352" s="41">
        <v>38</v>
      </c>
      <c r="E352" s="42">
        <v>12270.32</v>
      </c>
      <c r="F352" s="42">
        <v>1282.8800000000001</v>
      </c>
      <c r="G352" s="42">
        <v>123.95</v>
      </c>
      <c r="H352" s="42">
        <v>6384.11</v>
      </c>
      <c r="I352" s="42">
        <v>0</v>
      </c>
      <c r="J352" s="42">
        <v>1671.77</v>
      </c>
      <c r="K352" s="43">
        <v>20061.259999999998</v>
      </c>
      <c r="L352" s="122">
        <v>21733.03</v>
      </c>
      <c r="M352" s="33"/>
      <c r="N352" s="30">
        <v>20061.259999999998</v>
      </c>
      <c r="O352" s="30">
        <v>13677.15</v>
      </c>
      <c r="P352" s="30"/>
      <c r="Q352" s="30">
        <f>(N352+O352*0.18+J352)+(IF((P352-O352*0.18)&gt;0,(P352-O352*0.18),0))</f>
        <v>24194.916999999998</v>
      </c>
      <c r="R352" s="7"/>
      <c r="S352" s="7"/>
      <c r="T352" s="7"/>
      <c r="U352" s="7"/>
      <c r="V352" s="7"/>
      <c r="W352" s="7"/>
      <c r="X352" s="7"/>
      <c r="Y352" s="7"/>
      <c r="Z352" s="7"/>
    </row>
    <row r="353" spans="1:26" ht="9" customHeight="1" x14ac:dyDescent="0.2">
      <c r="A353" s="95"/>
      <c r="B353" s="95"/>
      <c r="C353" s="34" t="s">
        <v>37</v>
      </c>
      <c r="D353" s="35">
        <v>39</v>
      </c>
      <c r="E353" s="36">
        <v>23758653</v>
      </c>
      <c r="F353" s="36">
        <v>2484002</v>
      </c>
      <c r="G353" s="36">
        <v>240001</v>
      </c>
      <c r="H353" s="36">
        <v>12361361</v>
      </c>
      <c r="I353" s="36">
        <v>0</v>
      </c>
      <c r="J353" s="37">
        <v>3236998</v>
      </c>
      <c r="K353" s="36">
        <v>38844016</v>
      </c>
      <c r="L353" s="121">
        <v>42081014</v>
      </c>
      <c r="M353" s="39"/>
      <c r="N353" s="36">
        <v>38844016</v>
      </c>
      <c r="O353" s="36">
        <v>26482655</v>
      </c>
      <c r="P353" s="36">
        <v>0</v>
      </c>
      <c r="Q353" s="36">
        <f>Q352*1936.27</f>
        <v>46847891.939589992</v>
      </c>
      <c r="R353" s="7"/>
      <c r="S353" s="7"/>
      <c r="T353" s="7"/>
      <c r="U353" s="7"/>
      <c r="V353" s="7"/>
      <c r="W353" s="7"/>
      <c r="X353" s="7"/>
      <c r="Y353" s="7"/>
      <c r="Z353" s="7"/>
    </row>
    <row r="354" spans="1:26" ht="9" customHeight="1" x14ac:dyDescent="0.2">
      <c r="A354" s="95"/>
      <c r="B354" s="95"/>
      <c r="C354" s="44"/>
      <c r="D354" s="45"/>
      <c r="E354" s="96"/>
      <c r="F354" s="96"/>
      <c r="G354" s="96"/>
      <c r="H354" s="96"/>
      <c r="I354" s="96"/>
      <c r="J354" s="54"/>
      <c r="K354" s="96"/>
      <c r="L354" s="121"/>
      <c r="M354" s="39"/>
      <c r="N354" s="96"/>
      <c r="O354" s="96"/>
      <c r="P354" s="96"/>
      <c r="Q354" s="96"/>
      <c r="R354" s="7"/>
      <c r="S354" s="7"/>
      <c r="T354" s="7"/>
      <c r="U354" s="7"/>
      <c r="V354" s="7"/>
      <c r="W354" s="7"/>
      <c r="X354" s="7"/>
      <c r="Y354" s="7"/>
      <c r="Z354" s="7"/>
    </row>
    <row r="355" spans="1:26" ht="9" customHeight="1" x14ac:dyDescent="0.2">
      <c r="A355" s="95"/>
      <c r="B355" s="95"/>
      <c r="C355" s="44"/>
      <c r="D355" s="45"/>
      <c r="E355" s="96"/>
      <c r="F355" s="96"/>
      <c r="G355" s="96"/>
      <c r="H355" s="96"/>
      <c r="I355" s="96"/>
      <c r="J355" s="54"/>
      <c r="K355" s="96"/>
      <c r="L355" s="121"/>
      <c r="M355" s="39"/>
      <c r="N355" s="96"/>
      <c r="O355" s="96"/>
      <c r="P355" s="96"/>
      <c r="Q355" s="96"/>
      <c r="R355" s="7"/>
      <c r="S355" s="7"/>
      <c r="T355" s="7"/>
      <c r="U355" s="7"/>
      <c r="V355" s="7"/>
      <c r="W355" s="7"/>
      <c r="X355" s="7"/>
      <c r="Y355" s="7"/>
      <c r="Z355" s="7"/>
    </row>
    <row r="356" spans="1:26" ht="12.75" customHeight="1" x14ac:dyDescent="0.2">
      <c r="A356" s="95"/>
      <c r="B356" s="95"/>
      <c r="C356" s="40" t="s">
        <v>36</v>
      </c>
      <c r="D356" s="41">
        <v>40</v>
      </c>
      <c r="E356" s="42">
        <v>12543.01</v>
      </c>
      <c r="F356" s="42">
        <v>1313.87</v>
      </c>
      <c r="G356" s="42">
        <v>123.95</v>
      </c>
      <c r="H356" s="42">
        <v>6384.11</v>
      </c>
      <c r="I356" s="42">
        <v>0</v>
      </c>
      <c r="J356" s="42">
        <v>1697.08</v>
      </c>
      <c r="K356" s="43">
        <v>20364.939999999999</v>
      </c>
      <c r="L356" s="122">
        <v>22062.02</v>
      </c>
      <c r="M356" s="33"/>
      <c r="N356" s="30">
        <v>20364.939999999999</v>
      </c>
      <c r="O356" s="30">
        <v>13980.83</v>
      </c>
      <c r="P356" s="30"/>
      <c r="Q356" s="30">
        <f>(N356+O356*0.18+J356)+(IF((P356-O356*0.18)&gt;0,(P356-O356*0.18),0))</f>
        <v>24578.5694</v>
      </c>
      <c r="R356" s="7"/>
      <c r="S356" s="7"/>
      <c r="T356" s="7"/>
      <c r="U356" s="7"/>
      <c r="V356" s="7"/>
      <c r="W356" s="7"/>
      <c r="X356" s="7"/>
      <c r="Y356" s="7"/>
      <c r="Z356" s="7"/>
    </row>
    <row r="357" spans="1:26" ht="9" customHeight="1" x14ac:dyDescent="0.2">
      <c r="A357" s="110"/>
      <c r="B357" s="110"/>
      <c r="C357" s="47"/>
      <c r="D357" s="48"/>
      <c r="E357" s="46">
        <v>24286654</v>
      </c>
      <c r="F357" s="46">
        <v>2544007</v>
      </c>
      <c r="G357" s="46">
        <v>240001</v>
      </c>
      <c r="H357" s="46">
        <v>12361361</v>
      </c>
      <c r="I357" s="46">
        <v>0</v>
      </c>
      <c r="J357" s="49">
        <v>3286005</v>
      </c>
      <c r="K357" s="46">
        <v>39432022</v>
      </c>
      <c r="L357" s="124">
        <v>42718027</v>
      </c>
      <c r="M357" s="39"/>
      <c r="N357" s="36">
        <v>39432022</v>
      </c>
      <c r="O357" s="36">
        <v>27070662</v>
      </c>
      <c r="P357" s="36">
        <v>0</v>
      </c>
      <c r="Q357" s="36">
        <f>Q356*1936.27</f>
        <v>47590746.572137997</v>
      </c>
      <c r="R357" s="7"/>
      <c r="S357" s="7"/>
      <c r="T357" s="7"/>
      <c r="U357" s="7"/>
      <c r="V357" s="7"/>
      <c r="W357" s="7"/>
      <c r="X357" s="7"/>
      <c r="Y357" s="7"/>
      <c r="Z357" s="7"/>
    </row>
    <row r="358" spans="1:26" ht="12.75" customHeight="1" x14ac:dyDescent="0.2">
      <c r="A358" s="98">
        <v>35034</v>
      </c>
      <c r="B358" s="98">
        <v>35064</v>
      </c>
      <c r="C358" s="28" t="s">
        <v>36</v>
      </c>
      <c r="D358" s="29">
        <v>0</v>
      </c>
      <c r="E358" s="30">
        <v>6648.69</v>
      </c>
      <c r="F358" s="30">
        <v>632.14</v>
      </c>
      <c r="G358" s="30">
        <v>0</v>
      </c>
      <c r="H358" s="30">
        <v>6384.11</v>
      </c>
      <c r="I358" s="30">
        <v>0</v>
      </c>
      <c r="J358" s="30">
        <v>1138.75</v>
      </c>
      <c r="K358" s="31">
        <v>13664.94</v>
      </c>
      <c r="L358" s="32">
        <v>14803.69</v>
      </c>
      <c r="M358" s="33"/>
      <c r="N358" s="30">
        <v>13664.94</v>
      </c>
      <c r="O358" s="30">
        <v>7280.83</v>
      </c>
      <c r="P358" s="30"/>
      <c r="Q358" s="30">
        <f>(N358+O358*0.18+J358)+(IF((P358-O358*0.18)&gt;0,(P358-O358*0.18),0))</f>
        <v>16114.2394</v>
      </c>
      <c r="R358" s="7"/>
      <c r="S358" s="7"/>
      <c r="T358" s="7"/>
      <c r="U358" s="7"/>
      <c r="V358" s="7"/>
      <c r="W358" s="7"/>
      <c r="X358" s="7"/>
      <c r="Y358" s="7"/>
      <c r="Z358" s="7"/>
    </row>
    <row r="359" spans="1:26" ht="9" customHeight="1" x14ac:dyDescent="0.2">
      <c r="A359" s="95"/>
      <c r="B359" s="95"/>
      <c r="C359" s="34" t="s">
        <v>37</v>
      </c>
      <c r="D359" s="35">
        <v>2</v>
      </c>
      <c r="E359" s="36">
        <v>12873659</v>
      </c>
      <c r="F359" s="36">
        <v>1223994</v>
      </c>
      <c r="G359" s="36">
        <v>0</v>
      </c>
      <c r="H359" s="36">
        <v>12361361</v>
      </c>
      <c r="I359" s="36">
        <v>0</v>
      </c>
      <c r="J359" s="37">
        <v>2204927</v>
      </c>
      <c r="K359" s="36">
        <v>26459013</v>
      </c>
      <c r="L359" s="38">
        <v>28663941</v>
      </c>
      <c r="M359" s="39"/>
      <c r="N359" s="36">
        <v>26459013</v>
      </c>
      <c r="O359" s="36">
        <v>14097653</v>
      </c>
      <c r="P359" s="36">
        <v>0</v>
      </c>
      <c r="Q359" s="36">
        <f>Q358*1936.27</f>
        <v>31201518.323038001</v>
      </c>
      <c r="R359" s="7"/>
      <c r="S359" s="7"/>
      <c r="T359" s="7"/>
      <c r="U359" s="7"/>
      <c r="V359" s="7"/>
      <c r="W359" s="7"/>
      <c r="X359" s="7"/>
      <c r="Y359" s="7"/>
      <c r="Z359" s="7"/>
    </row>
    <row r="360" spans="1:26" ht="12.75" customHeight="1" x14ac:dyDescent="0.2">
      <c r="A360" s="155">
        <v>35034</v>
      </c>
      <c r="B360" s="155">
        <v>35064</v>
      </c>
      <c r="C360" s="40" t="s">
        <v>36</v>
      </c>
      <c r="D360" s="41">
        <v>3</v>
      </c>
      <c r="E360" s="42">
        <v>6979.02</v>
      </c>
      <c r="F360" s="42">
        <v>663.13</v>
      </c>
      <c r="G360" s="42">
        <v>0</v>
      </c>
      <c r="H360" s="42">
        <v>6384.11</v>
      </c>
      <c r="I360" s="42">
        <v>0</v>
      </c>
      <c r="J360" s="42">
        <v>1168.8599999999999</v>
      </c>
      <c r="K360" s="43">
        <v>14026.26</v>
      </c>
      <c r="L360" s="32">
        <v>15195.12</v>
      </c>
      <c r="M360" s="33"/>
      <c r="N360" s="30">
        <v>14026.26</v>
      </c>
      <c r="O360" s="30">
        <v>7642.15</v>
      </c>
      <c r="P360" s="30"/>
      <c r="Q360" s="30">
        <f>(N360+O360*0.18+J360)+(IF((P360-O360*0.18)&gt;0,(P360-O360*0.18),0))</f>
        <v>16570.706999999999</v>
      </c>
      <c r="R360" s="7"/>
      <c r="S360" s="7"/>
      <c r="T360" s="7"/>
      <c r="U360" s="7"/>
      <c r="V360" s="7"/>
      <c r="W360" s="7"/>
      <c r="X360" s="7"/>
      <c r="Y360" s="7"/>
      <c r="Z360" s="7"/>
    </row>
    <row r="361" spans="1:26" ht="9" customHeight="1" x14ac:dyDescent="0.2">
      <c r="A361" s="95"/>
      <c r="B361" s="95"/>
      <c r="C361" s="34" t="s">
        <v>37</v>
      </c>
      <c r="D361" s="35">
        <v>4</v>
      </c>
      <c r="E361" s="36">
        <v>13513267</v>
      </c>
      <c r="F361" s="36">
        <v>1283999</v>
      </c>
      <c r="G361" s="36">
        <v>0</v>
      </c>
      <c r="H361" s="36">
        <v>12361361</v>
      </c>
      <c r="I361" s="36">
        <v>0</v>
      </c>
      <c r="J361" s="37">
        <v>2263229</v>
      </c>
      <c r="K361" s="36">
        <v>27158626</v>
      </c>
      <c r="L361" s="38">
        <v>29421855</v>
      </c>
      <c r="M361" s="39"/>
      <c r="N361" s="36">
        <v>27158626</v>
      </c>
      <c r="O361" s="36">
        <v>14797266</v>
      </c>
      <c r="P361" s="36">
        <v>0</v>
      </c>
      <c r="Q361" s="36">
        <f>Q360*1936.27</f>
        <v>32085362.842889998</v>
      </c>
      <c r="R361" s="7"/>
      <c r="S361" s="7"/>
      <c r="T361" s="7"/>
      <c r="U361" s="7"/>
      <c r="V361" s="7"/>
      <c r="W361" s="7"/>
      <c r="X361" s="7"/>
      <c r="Y361" s="7"/>
      <c r="Z361" s="7"/>
    </row>
    <row r="362" spans="1:26" ht="12.75" customHeight="1" x14ac:dyDescent="0.2">
      <c r="A362" s="95"/>
      <c r="B362" s="95"/>
      <c r="C362" s="40" t="s">
        <v>36</v>
      </c>
      <c r="D362" s="41">
        <v>5</v>
      </c>
      <c r="E362" s="42">
        <v>7288.89</v>
      </c>
      <c r="F362" s="42">
        <v>700.32</v>
      </c>
      <c r="G362" s="42">
        <v>0</v>
      </c>
      <c r="H362" s="42">
        <v>6384.11</v>
      </c>
      <c r="I362" s="42">
        <v>0</v>
      </c>
      <c r="J362" s="42">
        <v>1197.78</v>
      </c>
      <c r="K362" s="43">
        <v>14373.32</v>
      </c>
      <c r="L362" s="32">
        <v>15571.1</v>
      </c>
      <c r="M362" s="33"/>
      <c r="N362" s="30">
        <v>14373.32</v>
      </c>
      <c r="O362" s="30">
        <v>7989.21</v>
      </c>
      <c r="P362" s="30"/>
      <c r="Q362" s="30">
        <f>(N362+O362*0.18+J362)+(IF((P362-O362*0.18)&gt;0,(P362-O362*0.18),0))</f>
        <v>17009.157800000001</v>
      </c>
      <c r="R362" s="7"/>
      <c r="S362" s="7"/>
      <c r="T362" s="7"/>
      <c r="U362" s="7"/>
      <c r="V362" s="7"/>
      <c r="W362" s="7"/>
      <c r="X362" s="7"/>
      <c r="Y362" s="7"/>
      <c r="Z362" s="7"/>
    </row>
    <row r="363" spans="1:26" ht="9" customHeight="1" x14ac:dyDescent="0.2">
      <c r="A363" s="95"/>
      <c r="B363" s="95"/>
      <c r="C363" s="34" t="s">
        <v>37</v>
      </c>
      <c r="D363" s="35">
        <v>6</v>
      </c>
      <c r="E363" s="36">
        <v>14113259</v>
      </c>
      <c r="F363" s="36">
        <v>1356009</v>
      </c>
      <c r="G363" s="36">
        <v>0</v>
      </c>
      <c r="H363" s="36">
        <v>12361361</v>
      </c>
      <c r="I363" s="36">
        <v>0</v>
      </c>
      <c r="J363" s="37">
        <v>2319225</v>
      </c>
      <c r="K363" s="36">
        <v>27830628</v>
      </c>
      <c r="L363" s="38">
        <v>30149854</v>
      </c>
      <c r="M363" s="39"/>
      <c r="N363" s="36">
        <v>27830628</v>
      </c>
      <c r="O363" s="36">
        <v>15469268</v>
      </c>
      <c r="P363" s="36">
        <v>0</v>
      </c>
      <c r="Q363" s="36">
        <f>Q362*1936.27</f>
        <v>32934321.973406002</v>
      </c>
      <c r="R363" s="7"/>
      <c r="S363" s="7"/>
      <c r="T363" s="7"/>
      <c r="U363" s="7"/>
      <c r="V363" s="7"/>
      <c r="W363" s="7"/>
      <c r="X363" s="7"/>
      <c r="Y363" s="7"/>
      <c r="Z363" s="7"/>
    </row>
    <row r="364" spans="1:26" ht="12.75" customHeight="1" x14ac:dyDescent="0.2">
      <c r="A364" s="95"/>
      <c r="B364" s="95"/>
      <c r="C364" s="40" t="s">
        <v>36</v>
      </c>
      <c r="D364" s="41">
        <v>7</v>
      </c>
      <c r="E364" s="42">
        <v>7592.57</v>
      </c>
      <c r="F364" s="42">
        <v>731.3</v>
      </c>
      <c r="G364" s="42">
        <v>0</v>
      </c>
      <c r="H364" s="42">
        <v>6384.11</v>
      </c>
      <c r="I364" s="42">
        <v>0</v>
      </c>
      <c r="J364" s="42">
        <v>1225.67</v>
      </c>
      <c r="K364" s="43">
        <v>14707.98</v>
      </c>
      <c r="L364" s="32">
        <v>15933.65</v>
      </c>
      <c r="M364" s="33"/>
      <c r="N364" s="30">
        <v>14707.98</v>
      </c>
      <c r="O364" s="30">
        <v>8323.8700000000008</v>
      </c>
      <c r="P364" s="30"/>
      <c r="Q364" s="30">
        <f>(N364+O364*0.18+J364)+(IF((P364-O364*0.18)&gt;0,(P364-O364*0.18),0))</f>
        <v>17431.946599999999</v>
      </c>
      <c r="R364" s="7"/>
      <c r="S364" s="7"/>
      <c r="T364" s="7"/>
      <c r="U364" s="7"/>
      <c r="V364" s="7"/>
      <c r="W364" s="7"/>
      <c r="X364" s="7"/>
      <c r="Y364" s="7"/>
      <c r="Z364" s="7"/>
    </row>
    <row r="365" spans="1:26" ht="9" customHeight="1" x14ac:dyDescent="0.2">
      <c r="A365" s="95"/>
      <c r="B365" s="95"/>
      <c r="C365" s="34" t="s">
        <v>37</v>
      </c>
      <c r="D365" s="35">
        <v>8</v>
      </c>
      <c r="E365" s="36">
        <v>14701266</v>
      </c>
      <c r="F365" s="36">
        <v>1415994</v>
      </c>
      <c r="G365" s="36">
        <v>0</v>
      </c>
      <c r="H365" s="36">
        <v>12361361</v>
      </c>
      <c r="I365" s="36">
        <v>0</v>
      </c>
      <c r="J365" s="37">
        <v>2373228</v>
      </c>
      <c r="K365" s="36">
        <v>28478620</v>
      </c>
      <c r="L365" s="38">
        <v>30851848</v>
      </c>
      <c r="M365" s="39"/>
      <c r="N365" s="36">
        <v>28478620</v>
      </c>
      <c r="O365" s="36">
        <v>16117260</v>
      </c>
      <c r="P365" s="36">
        <v>0</v>
      </c>
      <c r="Q365" s="36">
        <f>Q364*1936.27</f>
        <v>33752955.243181996</v>
      </c>
      <c r="R365" s="7"/>
      <c r="S365" s="7"/>
      <c r="T365" s="7"/>
      <c r="U365" s="7"/>
      <c r="V365" s="7"/>
      <c r="W365" s="7"/>
      <c r="X365" s="7"/>
      <c r="Y365" s="7"/>
      <c r="Z365" s="7"/>
    </row>
    <row r="366" spans="1:26" ht="12.75" customHeight="1" x14ac:dyDescent="0.2">
      <c r="A366" s="95"/>
      <c r="B366" s="95"/>
      <c r="C366" s="40" t="s">
        <v>36</v>
      </c>
      <c r="D366" s="41">
        <v>9</v>
      </c>
      <c r="E366" s="42">
        <v>8010.15</v>
      </c>
      <c r="F366" s="42">
        <v>768.49</v>
      </c>
      <c r="G366" s="42">
        <v>0</v>
      </c>
      <c r="H366" s="42">
        <v>6384.11</v>
      </c>
      <c r="I366" s="42">
        <v>0</v>
      </c>
      <c r="J366" s="42">
        <v>1263.56</v>
      </c>
      <c r="K366" s="43">
        <v>15162.75</v>
      </c>
      <c r="L366" s="32">
        <v>16426.310000000001</v>
      </c>
      <c r="M366" s="33"/>
      <c r="N366" s="30">
        <v>15162.75</v>
      </c>
      <c r="O366" s="30">
        <v>8778.64</v>
      </c>
      <c r="P366" s="30"/>
      <c r="Q366" s="30">
        <f>(N366+O366*0.18+J366)+(IF((P366-O366*0.18)&gt;0,(P366-O366*0.18),0))</f>
        <v>18006.465200000002</v>
      </c>
      <c r="R366" s="7"/>
      <c r="S366" s="7"/>
      <c r="T366" s="7"/>
      <c r="U366" s="7"/>
      <c r="V366" s="7"/>
      <c r="W366" s="7"/>
      <c r="X366" s="7"/>
      <c r="Y366" s="7"/>
      <c r="Z366" s="7"/>
    </row>
    <row r="367" spans="1:26" ht="9" customHeight="1" x14ac:dyDescent="0.2">
      <c r="A367" s="95"/>
      <c r="B367" s="95"/>
      <c r="C367" s="34" t="s">
        <v>37</v>
      </c>
      <c r="D367" s="35">
        <v>10</v>
      </c>
      <c r="E367" s="36">
        <v>15509813</v>
      </c>
      <c r="F367" s="36">
        <v>1488004</v>
      </c>
      <c r="G367" s="36">
        <v>0</v>
      </c>
      <c r="H367" s="36">
        <v>12361361</v>
      </c>
      <c r="I367" s="36">
        <v>0</v>
      </c>
      <c r="J367" s="37">
        <v>2446593</v>
      </c>
      <c r="K367" s="36">
        <v>29359178</v>
      </c>
      <c r="L367" s="38">
        <v>31805771</v>
      </c>
      <c r="M367" s="39"/>
      <c r="N367" s="36">
        <v>29359178</v>
      </c>
      <c r="O367" s="36">
        <v>16997817</v>
      </c>
      <c r="P367" s="36">
        <v>0</v>
      </c>
      <c r="Q367" s="36">
        <f>Q366*1936.27</f>
        <v>34865378.372804001</v>
      </c>
      <c r="R367" s="7"/>
      <c r="S367" s="7"/>
      <c r="T367" s="7"/>
      <c r="U367" s="7"/>
      <c r="V367" s="7"/>
      <c r="W367" s="7"/>
      <c r="X367" s="7"/>
      <c r="Y367" s="7"/>
      <c r="Z367" s="7"/>
    </row>
    <row r="368" spans="1:26" ht="12.75" customHeight="1" x14ac:dyDescent="0.2">
      <c r="A368" s="95"/>
      <c r="B368" s="95"/>
      <c r="C368" s="40" t="s">
        <v>36</v>
      </c>
      <c r="D368" s="41">
        <v>11</v>
      </c>
      <c r="E368" s="42">
        <v>8369.61</v>
      </c>
      <c r="F368" s="42">
        <v>811.87</v>
      </c>
      <c r="G368" s="42">
        <v>0</v>
      </c>
      <c r="H368" s="42">
        <v>6384.11</v>
      </c>
      <c r="I368" s="42">
        <v>0</v>
      </c>
      <c r="J368" s="42">
        <v>1297.1300000000001</v>
      </c>
      <c r="K368" s="43">
        <v>15565.59</v>
      </c>
      <c r="L368" s="32">
        <v>16862.72</v>
      </c>
      <c r="M368" s="33"/>
      <c r="N368" s="30">
        <v>15565.59</v>
      </c>
      <c r="O368" s="30">
        <v>9181.48</v>
      </c>
      <c r="P368" s="30"/>
      <c r="Q368" s="30">
        <f>(N368+O368*0.18+J368)+(IF((P368-O368*0.18)&gt;0,(P368-O368*0.18),0))</f>
        <v>18515.386399999999</v>
      </c>
      <c r="R368" s="7"/>
      <c r="S368" s="7"/>
      <c r="T368" s="7"/>
      <c r="U368" s="7"/>
      <c r="V368" s="7"/>
      <c r="W368" s="7"/>
      <c r="X368" s="7"/>
      <c r="Y368" s="7"/>
      <c r="Z368" s="7"/>
    </row>
    <row r="369" spans="1:26" ht="9" customHeight="1" x14ac:dyDescent="0.2">
      <c r="A369" s="95"/>
      <c r="B369" s="95"/>
      <c r="C369" s="34" t="s">
        <v>37</v>
      </c>
      <c r="D369" s="35">
        <v>12</v>
      </c>
      <c r="E369" s="36">
        <v>16205825</v>
      </c>
      <c r="F369" s="36">
        <v>1572000</v>
      </c>
      <c r="G369" s="36">
        <v>0</v>
      </c>
      <c r="H369" s="36">
        <v>12361361</v>
      </c>
      <c r="I369" s="36">
        <v>0</v>
      </c>
      <c r="J369" s="37">
        <v>2511594</v>
      </c>
      <c r="K369" s="36">
        <v>30139185</v>
      </c>
      <c r="L369" s="38">
        <v>32650779</v>
      </c>
      <c r="M369" s="39"/>
      <c r="N369" s="36">
        <v>30139185</v>
      </c>
      <c r="O369" s="36">
        <v>17777824</v>
      </c>
      <c r="P369" s="36">
        <v>0</v>
      </c>
      <c r="Q369" s="36">
        <f>Q368*1936.27</f>
        <v>35850787.224727996</v>
      </c>
      <c r="R369" s="7"/>
      <c r="S369" s="7"/>
      <c r="T369" s="7"/>
      <c r="U369" s="7"/>
      <c r="V369" s="7"/>
      <c r="W369" s="7"/>
      <c r="X369" s="7"/>
      <c r="Y369" s="7"/>
      <c r="Z369" s="7"/>
    </row>
    <row r="370" spans="1:26" ht="12.75" customHeight="1" x14ac:dyDescent="0.2">
      <c r="A370" s="95"/>
      <c r="B370" s="95"/>
      <c r="C370" s="40" t="s">
        <v>36</v>
      </c>
      <c r="D370" s="41">
        <v>13</v>
      </c>
      <c r="E370" s="42">
        <v>8722.86</v>
      </c>
      <c r="F370" s="42">
        <v>849.06</v>
      </c>
      <c r="G370" s="42">
        <v>0</v>
      </c>
      <c r="H370" s="42">
        <v>6384.11</v>
      </c>
      <c r="I370" s="42">
        <v>0</v>
      </c>
      <c r="J370" s="42">
        <v>1329.67</v>
      </c>
      <c r="K370" s="43">
        <v>15956.03</v>
      </c>
      <c r="L370" s="32">
        <v>17285.7</v>
      </c>
      <c r="M370" s="33"/>
      <c r="N370" s="30">
        <v>15956.03</v>
      </c>
      <c r="O370" s="30">
        <v>9571.92</v>
      </c>
      <c r="P370" s="30"/>
      <c r="Q370" s="30">
        <f>(N370+O370*0.18+J370)+(IF((P370-O370*0.18)&gt;0,(P370-O370*0.18),0))</f>
        <v>19008.645600000003</v>
      </c>
      <c r="R370" s="7"/>
      <c r="S370" s="7"/>
      <c r="T370" s="7"/>
      <c r="U370" s="7"/>
      <c r="V370" s="7"/>
      <c r="W370" s="7"/>
      <c r="X370" s="7"/>
      <c r="Y370" s="7"/>
      <c r="Z370" s="7"/>
    </row>
    <row r="371" spans="1:26" ht="9" customHeight="1" x14ac:dyDescent="0.2">
      <c r="A371" s="95"/>
      <c r="B371" s="95"/>
      <c r="C371" s="34" t="s">
        <v>37</v>
      </c>
      <c r="D371" s="35">
        <v>14</v>
      </c>
      <c r="E371" s="36">
        <v>16889812</v>
      </c>
      <c r="F371" s="36">
        <v>1644009</v>
      </c>
      <c r="G371" s="36">
        <v>0</v>
      </c>
      <c r="H371" s="36">
        <v>12361361</v>
      </c>
      <c r="I371" s="36">
        <v>0</v>
      </c>
      <c r="J371" s="37">
        <v>2574600</v>
      </c>
      <c r="K371" s="36">
        <v>30895182</v>
      </c>
      <c r="L371" s="38">
        <v>33469782</v>
      </c>
      <c r="M371" s="39"/>
      <c r="N371" s="36">
        <v>30895182</v>
      </c>
      <c r="O371" s="36">
        <v>18533822</v>
      </c>
      <c r="P371" s="36">
        <v>0</v>
      </c>
      <c r="Q371" s="36">
        <f>Q370*1936.27</f>
        <v>36805870.215912007</v>
      </c>
      <c r="R371" s="7"/>
      <c r="S371" s="7"/>
      <c r="T371" s="7"/>
      <c r="U371" s="7"/>
      <c r="V371" s="7"/>
      <c r="W371" s="7"/>
      <c r="X371" s="7"/>
      <c r="Y371" s="7"/>
      <c r="Z371" s="7"/>
    </row>
    <row r="372" spans="1:26" ht="12.75" customHeight="1" x14ac:dyDescent="0.2">
      <c r="A372" s="95"/>
      <c r="B372" s="95"/>
      <c r="C372" s="40" t="s">
        <v>36</v>
      </c>
      <c r="D372" s="41">
        <v>15</v>
      </c>
      <c r="E372" s="42">
        <v>9213.2099999999991</v>
      </c>
      <c r="F372" s="42">
        <v>892.44</v>
      </c>
      <c r="G372" s="42">
        <v>0</v>
      </c>
      <c r="H372" s="42">
        <v>6384.11</v>
      </c>
      <c r="I372" s="42">
        <v>0</v>
      </c>
      <c r="J372" s="42">
        <v>1374.15</v>
      </c>
      <c r="K372" s="43">
        <v>16489.759999999998</v>
      </c>
      <c r="L372" s="32">
        <v>17863.91</v>
      </c>
      <c r="M372" s="33"/>
      <c r="N372" s="30">
        <v>16489.759999999998</v>
      </c>
      <c r="O372" s="30">
        <v>10105.65</v>
      </c>
      <c r="P372" s="30"/>
      <c r="Q372" s="30">
        <f>(N372+O372*0.18+J372)+(IF((P372-O372*0.18)&gt;0,(P372-O372*0.18),0))</f>
        <v>19682.927</v>
      </c>
      <c r="R372" s="7"/>
      <c r="S372" s="7"/>
      <c r="T372" s="7"/>
      <c r="U372" s="7"/>
      <c r="V372" s="7"/>
      <c r="W372" s="7"/>
      <c r="X372" s="7"/>
      <c r="Y372" s="7"/>
      <c r="Z372" s="7"/>
    </row>
    <row r="373" spans="1:26" ht="9" customHeight="1" x14ac:dyDescent="0.2">
      <c r="A373" s="95"/>
      <c r="B373" s="95"/>
      <c r="C373" s="34" t="s">
        <v>37</v>
      </c>
      <c r="D373" s="35">
        <v>16</v>
      </c>
      <c r="E373" s="36">
        <v>17839262</v>
      </c>
      <c r="F373" s="36">
        <v>1728005</v>
      </c>
      <c r="G373" s="36">
        <v>0</v>
      </c>
      <c r="H373" s="36">
        <v>12361361</v>
      </c>
      <c r="I373" s="36">
        <v>0</v>
      </c>
      <c r="J373" s="37">
        <v>2660725</v>
      </c>
      <c r="K373" s="36">
        <v>31928628</v>
      </c>
      <c r="L373" s="38">
        <v>34589353</v>
      </c>
      <c r="M373" s="39"/>
      <c r="N373" s="36">
        <v>31928628</v>
      </c>
      <c r="O373" s="36">
        <v>19567267</v>
      </c>
      <c r="P373" s="36">
        <v>0</v>
      </c>
      <c r="Q373" s="36">
        <f>Q372*1936.27</f>
        <v>38111461.062289998</v>
      </c>
      <c r="R373" s="7"/>
      <c r="S373" s="7"/>
      <c r="T373" s="7"/>
      <c r="U373" s="7"/>
      <c r="V373" s="7"/>
      <c r="W373" s="7"/>
      <c r="X373" s="7"/>
      <c r="Y373" s="7"/>
      <c r="Z373" s="7"/>
    </row>
    <row r="374" spans="1:26" ht="12.75" customHeight="1" x14ac:dyDescent="0.2">
      <c r="A374" s="95"/>
      <c r="B374" s="95"/>
      <c r="C374" s="40" t="s">
        <v>36</v>
      </c>
      <c r="D374" s="41">
        <v>17</v>
      </c>
      <c r="E374" s="42">
        <v>9628.44</v>
      </c>
      <c r="F374" s="42">
        <v>942.02</v>
      </c>
      <c r="G374" s="42">
        <v>0</v>
      </c>
      <c r="H374" s="42">
        <v>6384.11</v>
      </c>
      <c r="I374" s="42">
        <v>0</v>
      </c>
      <c r="J374" s="42">
        <v>1412.88</v>
      </c>
      <c r="K374" s="43">
        <v>16954.57</v>
      </c>
      <c r="L374" s="32">
        <v>18367.45</v>
      </c>
      <c r="M374" s="33"/>
      <c r="N374" s="30">
        <v>16954.57</v>
      </c>
      <c r="O374" s="30">
        <v>10570.46</v>
      </c>
      <c r="P374" s="30"/>
      <c r="Q374" s="30">
        <f>(N374+O374*0.18+J374)+(IF((P374-O374*0.18)&gt;0,(P374-O374*0.18),0))</f>
        <v>20270.132799999999</v>
      </c>
      <c r="R374" s="7"/>
      <c r="S374" s="7"/>
      <c r="T374" s="7"/>
      <c r="U374" s="7"/>
      <c r="V374" s="7"/>
      <c r="W374" s="7"/>
      <c r="X374" s="7"/>
      <c r="Y374" s="7"/>
      <c r="Z374" s="7"/>
    </row>
    <row r="375" spans="1:26" ht="9" customHeight="1" x14ac:dyDescent="0.2">
      <c r="A375" s="95"/>
      <c r="B375" s="95"/>
      <c r="C375" s="34" t="s">
        <v>37</v>
      </c>
      <c r="D375" s="35">
        <v>18</v>
      </c>
      <c r="E375" s="36">
        <v>18643260</v>
      </c>
      <c r="F375" s="36">
        <v>1824005</v>
      </c>
      <c r="G375" s="36">
        <v>0</v>
      </c>
      <c r="H375" s="36">
        <v>12361361</v>
      </c>
      <c r="I375" s="36">
        <v>0</v>
      </c>
      <c r="J375" s="37">
        <v>2735717</v>
      </c>
      <c r="K375" s="36">
        <v>32828625</v>
      </c>
      <c r="L375" s="38">
        <v>35564342</v>
      </c>
      <c r="M375" s="39"/>
      <c r="N375" s="36">
        <v>32828625</v>
      </c>
      <c r="O375" s="36">
        <v>20467265</v>
      </c>
      <c r="P375" s="36">
        <v>0</v>
      </c>
      <c r="Q375" s="36">
        <f>Q374*1936.27</f>
        <v>39248450.036656</v>
      </c>
      <c r="R375" s="7"/>
      <c r="S375" s="7"/>
      <c r="T375" s="7"/>
      <c r="U375" s="7"/>
      <c r="V375" s="7"/>
      <c r="W375" s="7"/>
      <c r="X375" s="7"/>
      <c r="Y375" s="7"/>
      <c r="Z375" s="7"/>
    </row>
    <row r="376" spans="1:26" ht="12.75" customHeight="1" x14ac:dyDescent="0.2">
      <c r="A376" s="95"/>
      <c r="B376" s="95"/>
      <c r="C376" s="40" t="s">
        <v>36</v>
      </c>
      <c r="D376" s="41">
        <v>19</v>
      </c>
      <c r="E376" s="42">
        <v>10037.469999999999</v>
      </c>
      <c r="F376" s="42">
        <v>985.4</v>
      </c>
      <c r="G376" s="42">
        <v>0</v>
      </c>
      <c r="H376" s="42">
        <v>6384.11</v>
      </c>
      <c r="I376" s="42">
        <v>0</v>
      </c>
      <c r="J376" s="42">
        <v>1450.58</v>
      </c>
      <c r="K376" s="43">
        <v>17406.98</v>
      </c>
      <c r="L376" s="32">
        <v>18857.560000000001</v>
      </c>
      <c r="M376" s="33"/>
      <c r="N376" s="30">
        <v>17406.98</v>
      </c>
      <c r="O376" s="30">
        <v>11022.87</v>
      </c>
      <c r="P376" s="30"/>
      <c r="Q376" s="30">
        <f>(N376+O376*0.18+J376)+(IF((P376-O376*0.18)&gt;0,(P376-O376*0.18),0))</f>
        <v>20841.676599999999</v>
      </c>
      <c r="R376" s="7"/>
      <c r="S376" s="7"/>
      <c r="T376" s="7"/>
      <c r="U376" s="7"/>
      <c r="V376" s="7"/>
      <c r="W376" s="7"/>
      <c r="X376" s="7"/>
      <c r="Y376" s="7"/>
      <c r="Z376" s="7"/>
    </row>
    <row r="377" spans="1:26" ht="9" customHeight="1" x14ac:dyDescent="0.2">
      <c r="A377" s="95"/>
      <c r="B377" s="95"/>
      <c r="C377" s="34" t="s">
        <v>37</v>
      </c>
      <c r="D377" s="35">
        <v>20</v>
      </c>
      <c r="E377" s="36">
        <v>19435252</v>
      </c>
      <c r="F377" s="36">
        <v>1908000</v>
      </c>
      <c r="G377" s="36">
        <v>0</v>
      </c>
      <c r="H377" s="36">
        <v>12361361</v>
      </c>
      <c r="I377" s="36">
        <v>0</v>
      </c>
      <c r="J377" s="37">
        <v>2808715</v>
      </c>
      <c r="K377" s="36">
        <v>33704613</v>
      </c>
      <c r="L377" s="38">
        <v>36513328</v>
      </c>
      <c r="M377" s="39"/>
      <c r="N377" s="36">
        <v>33704613</v>
      </c>
      <c r="O377" s="36">
        <v>21343252</v>
      </c>
      <c r="P377" s="36">
        <v>0</v>
      </c>
      <c r="Q377" s="36">
        <f>Q376*1936.27</f>
        <v>40355113.150281996</v>
      </c>
      <c r="R377" s="7"/>
      <c r="S377" s="7"/>
      <c r="T377" s="7"/>
      <c r="U377" s="7"/>
      <c r="V377" s="7"/>
      <c r="W377" s="7"/>
      <c r="X377" s="7"/>
      <c r="Y377" s="7"/>
      <c r="Z377" s="7"/>
    </row>
    <row r="378" spans="1:26" ht="12.75" customHeight="1" x14ac:dyDescent="0.2">
      <c r="A378" s="95"/>
      <c r="B378" s="95"/>
      <c r="C378" s="40" t="s">
        <v>36</v>
      </c>
      <c r="D378" s="41">
        <v>21</v>
      </c>
      <c r="E378" s="42">
        <v>10383.42</v>
      </c>
      <c r="F378" s="42">
        <v>1016.39</v>
      </c>
      <c r="G378" s="42">
        <v>0</v>
      </c>
      <c r="H378" s="42">
        <v>6384.11</v>
      </c>
      <c r="I378" s="42">
        <v>0</v>
      </c>
      <c r="J378" s="42">
        <v>1481.99</v>
      </c>
      <c r="K378" s="43">
        <v>17783.919999999998</v>
      </c>
      <c r="L378" s="32">
        <v>19265.91</v>
      </c>
      <c r="M378" s="33"/>
      <c r="N378" s="30">
        <v>17783.919999999998</v>
      </c>
      <c r="O378" s="30">
        <v>11399.81</v>
      </c>
      <c r="P378" s="30"/>
      <c r="Q378" s="30">
        <f>(N378+O378*0.18+J378)+(IF((P378-O378*0.18)&gt;0,(P378-O378*0.18),0))</f>
        <v>21317.875799999998</v>
      </c>
      <c r="R378" s="7"/>
      <c r="S378" s="7"/>
      <c r="T378" s="7"/>
      <c r="U378" s="7"/>
      <c r="V378" s="7"/>
      <c r="W378" s="7"/>
      <c r="X378" s="7"/>
      <c r="Y378" s="7"/>
      <c r="Z378" s="7"/>
    </row>
    <row r="379" spans="1:26" ht="9" customHeight="1" x14ac:dyDescent="0.2">
      <c r="A379" s="95"/>
      <c r="B379" s="95"/>
      <c r="C379" s="34" t="s">
        <v>37</v>
      </c>
      <c r="D379" s="35">
        <v>22</v>
      </c>
      <c r="E379" s="36">
        <v>20105105</v>
      </c>
      <c r="F379" s="36">
        <v>1968005</v>
      </c>
      <c r="G379" s="36">
        <v>0</v>
      </c>
      <c r="H379" s="36">
        <v>12361361</v>
      </c>
      <c r="I379" s="36">
        <v>0</v>
      </c>
      <c r="J379" s="37">
        <v>2869533</v>
      </c>
      <c r="K379" s="36">
        <v>34434471</v>
      </c>
      <c r="L379" s="38">
        <v>37304004</v>
      </c>
      <c r="M379" s="39"/>
      <c r="N379" s="36">
        <v>34434471</v>
      </c>
      <c r="O379" s="36">
        <v>22073110</v>
      </c>
      <c r="P379" s="36">
        <v>0</v>
      </c>
      <c r="Q379" s="36">
        <f>Q378*1936.27</f>
        <v>41277163.375265993</v>
      </c>
      <c r="R379" s="7"/>
      <c r="S379" s="7"/>
      <c r="T379" s="7"/>
      <c r="U379" s="7"/>
      <c r="V379" s="7"/>
      <c r="W379" s="7"/>
      <c r="X379" s="7"/>
      <c r="Y379" s="7"/>
      <c r="Z379" s="7"/>
    </row>
    <row r="380" spans="1:26" ht="12.75" customHeight="1" x14ac:dyDescent="0.2">
      <c r="A380" s="95"/>
      <c r="B380" s="95"/>
      <c r="C380" s="40" t="s">
        <v>36</v>
      </c>
      <c r="D380" s="41">
        <v>23</v>
      </c>
      <c r="E380" s="42">
        <v>10649.91</v>
      </c>
      <c r="F380" s="42">
        <v>1047.3699999999999</v>
      </c>
      <c r="G380" s="42">
        <v>0</v>
      </c>
      <c r="H380" s="42">
        <v>6384.11</v>
      </c>
      <c r="I380" s="42">
        <v>0</v>
      </c>
      <c r="J380" s="42">
        <v>1506.78</v>
      </c>
      <c r="K380" s="43">
        <v>18081.39</v>
      </c>
      <c r="L380" s="32">
        <v>19588.169999999998</v>
      </c>
      <c r="M380" s="33"/>
      <c r="N380" s="30">
        <v>18081.39</v>
      </c>
      <c r="O380" s="30">
        <v>11697.28</v>
      </c>
      <c r="P380" s="30"/>
      <c r="Q380" s="30">
        <f>(N380+O380*0.18+J380)+(IF((P380-O380*0.18)&gt;0,(P380-O380*0.18),0))</f>
        <v>21693.680399999997</v>
      </c>
      <c r="R380" s="7"/>
      <c r="S380" s="7"/>
      <c r="T380" s="7"/>
      <c r="U380" s="7"/>
      <c r="V380" s="7"/>
      <c r="W380" s="7"/>
      <c r="X380" s="7"/>
      <c r="Y380" s="7"/>
      <c r="Z380" s="7"/>
    </row>
    <row r="381" spans="1:26" ht="9" customHeight="1" x14ac:dyDescent="0.2">
      <c r="A381" s="95"/>
      <c r="B381" s="95"/>
      <c r="C381" s="34" t="s">
        <v>37</v>
      </c>
      <c r="D381" s="35">
        <v>23</v>
      </c>
      <c r="E381" s="36">
        <v>20621101</v>
      </c>
      <c r="F381" s="36">
        <v>2027991</v>
      </c>
      <c r="G381" s="36">
        <v>0</v>
      </c>
      <c r="H381" s="36">
        <v>12361361</v>
      </c>
      <c r="I381" s="36">
        <v>0</v>
      </c>
      <c r="J381" s="37">
        <v>2917533</v>
      </c>
      <c r="K381" s="36">
        <v>35010453</v>
      </c>
      <c r="L381" s="38">
        <v>37927986</v>
      </c>
      <c r="M381" s="39"/>
      <c r="N381" s="36">
        <v>35010453</v>
      </c>
      <c r="O381" s="36">
        <v>22649092</v>
      </c>
      <c r="P381" s="36">
        <v>0</v>
      </c>
      <c r="Q381" s="36">
        <f>Q380*1936.27</f>
        <v>42004822.548107997</v>
      </c>
      <c r="R381" s="7"/>
      <c r="S381" s="7"/>
      <c r="T381" s="7"/>
      <c r="U381" s="7"/>
      <c r="V381" s="7"/>
      <c r="W381" s="7"/>
      <c r="X381" s="7"/>
      <c r="Y381" s="7"/>
      <c r="Z381" s="7"/>
    </row>
    <row r="382" spans="1:26" ht="12.75" customHeight="1" x14ac:dyDescent="0.2">
      <c r="A382" s="95"/>
      <c r="B382" s="95"/>
      <c r="C382" s="40" t="s">
        <v>36</v>
      </c>
      <c r="D382" s="41">
        <v>24</v>
      </c>
      <c r="E382" s="42">
        <v>10922.6</v>
      </c>
      <c r="F382" s="42">
        <v>1072.1600000000001</v>
      </c>
      <c r="G382" s="42">
        <v>0</v>
      </c>
      <c r="H382" s="42">
        <v>6384.11</v>
      </c>
      <c r="I382" s="42">
        <v>0</v>
      </c>
      <c r="J382" s="42">
        <v>1531.57</v>
      </c>
      <c r="K382" s="43">
        <v>18378.87</v>
      </c>
      <c r="L382" s="32">
        <v>19910.439999999999</v>
      </c>
      <c r="M382" s="33"/>
      <c r="N382" s="30">
        <v>18378.87</v>
      </c>
      <c r="O382" s="30">
        <v>11994.76</v>
      </c>
      <c r="P382" s="30"/>
      <c r="Q382" s="30">
        <f>(N382+O382*0.18+J382)+(IF((P382-O382*0.18)&gt;0,(P382-O382*0.18),0))</f>
        <v>22069.496799999997</v>
      </c>
      <c r="R382" s="7"/>
      <c r="S382" s="7"/>
      <c r="T382" s="7"/>
      <c r="U382" s="7"/>
      <c r="V382" s="7"/>
      <c r="W382" s="7"/>
      <c r="X382" s="7"/>
      <c r="Y382" s="7"/>
      <c r="Z382" s="7"/>
    </row>
    <row r="383" spans="1:26" ht="9" customHeight="1" x14ac:dyDescent="0.2">
      <c r="A383" s="95"/>
      <c r="B383" s="95"/>
      <c r="C383" s="34" t="s">
        <v>37</v>
      </c>
      <c r="D383" s="35">
        <v>25</v>
      </c>
      <c r="E383" s="36">
        <v>21149103</v>
      </c>
      <c r="F383" s="36">
        <v>2075991</v>
      </c>
      <c r="G383" s="36">
        <v>0</v>
      </c>
      <c r="H383" s="36">
        <v>12361361</v>
      </c>
      <c r="I383" s="36">
        <v>0</v>
      </c>
      <c r="J383" s="37">
        <v>2965533</v>
      </c>
      <c r="K383" s="36">
        <v>35586455</v>
      </c>
      <c r="L383" s="38">
        <v>38551988</v>
      </c>
      <c r="M383" s="39"/>
      <c r="N383" s="36">
        <v>35586455</v>
      </c>
      <c r="O383" s="36">
        <v>23225094</v>
      </c>
      <c r="P383" s="36">
        <v>0</v>
      </c>
      <c r="Q383" s="36">
        <f>Q382*1936.27</f>
        <v>42732504.568935998</v>
      </c>
      <c r="R383" s="7"/>
      <c r="S383" s="7"/>
      <c r="T383" s="7"/>
      <c r="U383" s="7"/>
      <c r="V383" s="7"/>
      <c r="W383" s="7"/>
      <c r="X383" s="7"/>
      <c r="Y383" s="7"/>
      <c r="Z383" s="7"/>
    </row>
    <row r="384" spans="1:26" ht="12.75" customHeight="1" x14ac:dyDescent="0.2">
      <c r="A384" s="95"/>
      <c r="B384" s="95"/>
      <c r="C384" s="40" t="s">
        <v>36</v>
      </c>
      <c r="D384" s="41">
        <v>26</v>
      </c>
      <c r="E384" s="42">
        <v>11189.09</v>
      </c>
      <c r="F384" s="42">
        <v>1103.1500000000001</v>
      </c>
      <c r="G384" s="42">
        <v>0</v>
      </c>
      <c r="H384" s="42">
        <v>6384.11</v>
      </c>
      <c r="I384" s="42">
        <v>0</v>
      </c>
      <c r="J384" s="42">
        <v>1556.36</v>
      </c>
      <c r="K384" s="43">
        <v>18676.349999999999</v>
      </c>
      <c r="L384" s="32">
        <v>20232.71</v>
      </c>
      <c r="M384" s="33"/>
      <c r="N384" s="30">
        <v>18676.349999999999</v>
      </c>
      <c r="O384" s="30">
        <v>12292.24</v>
      </c>
      <c r="P384" s="30"/>
      <c r="Q384" s="30">
        <f>(N384+O384*0.18+J384)+(IF((P384-O384*0.18)&gt;0,(P384-O384*0.18),0))</f>
        <v>22445.313200000001</v>
      </c>
      <c r="R384" s="7"/>
      <c r="S384" s="7"/>
      <c r="T384" s="7"/>
      <c r="U384" s="7"/>
      <c r="V384" s="7"/>
      <c r="W384" s="7"/>
      <c r="X384" s="7"/>
      <c r="Y384" s="7"/>
      <c r="Z384" s="7"/>
    </row>
    <row r="385" spans="1:26" ht="9" customHeight="1" x14ac:dyDescent="0.2">
      <c r="A385" s="95"/>
      <c r="B385" s="95"/>
      <c r="C385" s="34" t="s">
        <v>37</v>
      </c>
      <c r="D385" s="35">
        <v>27</v>
      </c>
      <c r="E385" s="36">
        <v>21665099</v>
      </c>
      <c r="F385" s="36">
        <v>2135996</v>
      </c>
      <c r="G385" s="36">
        <v>0</v>
      </c>
      <c r="H385" s="36">
        <v>12361361</v>
      </c>
      <c r="I385" s="36">
        <v>0</v>
      </c>
      <c r="J385" s="37">
        <v>3013533</v>
      </c>
      <c r="K385" s="36">
        <v>36162456</v>
      </c>
      <c r="L385" s="38">
        <v>39175989</v>
      </c>
      <c r="M385" s="39"/>
      <c r="N385" s="36">
        <v>36162456</v>
      </c>
      <c r="O385" s="36">
        <v>23801096</v>
      </c>
      <c r="P385" s="36">
        <v>0</v>
      </c>
      <c r="Q385" s="36">
        <f>Q384*1936.27</f>
        <v>43460186.589763999</v>
      </c>
      <c r="R385" s="7"/>
      <c r="S385" s="7"/>
      <c r="T385" s="7"/>
      <c r="U385" s="7"/>
      <c r="V385" s="7"/>
      <c r="W385" s="7"/>
      <c r="X385" s="7"/>
      <c r="Y385" s="7"/>
      <c r="Z385" s="7"/>
    </row>
    <row r="386" spans="1:26" ht="12.75" customHeight="1" x14ac:dyDescent="0.2">
      <c r="A386" s="95"/>
      <c r="B386" s="95"/>
      <c r="C386" s="40" t="s">
        <v>36</v>
      </c>
      <c r="D386" s="41">
        <v>28</v>
      </c>
      <c r="E386" s="42">
        <v>11533.55</v>
      </c>
      <c r="F386" s="42">
        <v>1134.1400000000001</v>
      </c>
      <c r="G386" s="42">
        <v>0</v>
      </c>
      <c r="H386" s="42">
        <v>6384.11</v>
      </c>
      <c r="I386" s="42">
        <v>0</v>
      </c>
      <c r="J386" s="42">
        <v>1587.65</v>
      </c>
      <c r="K386" s="43">
        <v>19051.8</v>
      </c>
      <c r="L386" s="32">
        <v>20639.45</v>
      </c>
      <c r="M386" s="33"/>
      <c r="N386" s="30">
        <v>19051.8</v>
      </c>
      <c r="O386" s="30">
        <v>12667.69</v>
      </c>
      <c r="P386" s="30"/>
      <c r="Q386" s="30">
        <f>(N386+O386*0.18+J386)+(IF((P386-O386*0.18)&gt;0,(P386-O386*0.18),0))</f>
        <v>22919.6342</v>
      </c>
      <c r="R386" s="7"/>
      <c r="S386" s="7"/>
      <c r="T386" s="7"/>
      <c r="U386" s="7"/>
      <c r="V386" s="7"/>
      <c r="W386" s="7"/>
      <c r="X386" s="7"/>
      <c r="Y386" s="7"/>
      <c r="Z386" s="7"/>
    </row>
    <row r="387" spans="1:26" ht="9" customHeight="1" x14ac:dyDescent="0.2">
      <c r="A387" s="95"/>
      <c r="B387" s="95"/>
      <c r="C387" s="34" t="s">
        <v>37</v>
      </c>
      <c r="D387" s="35">
        <v>29</v>
      </c>
      <c r="E387" s="36">
        <v>22332067</v>
      </c>
      <c r="F387" s="36">
        <v>2196001</v>
      </c>
      <c r="G387" s="36">
        <v>0</v>
      </c>
      <c r="H387" s="36">
        <v>12361361</v>
      </c>
      <c r="I387" s="36">
        <v>0</v>
      </c>
      <c r="J387" s="37">
        <v>3074119</v>
      </c>
      <c r="K387" s="36">
        <v>36889429</v>
      </c>
      <c r="L387" s="38">
        <v>39963548</v>
      </c>
      <c r="M387" s="39"/>
      <c r="N387" s="36">
        <v>36889429</v>
      </c>
      <c r="O387" s="36">
        <v>24528068</v>
      </c>
      <c r="P387" s="36">
        <v>0</v>
      </c>
      <c r="Q387" s="36">
        <f>Q386*1936.27</f>
        <v>44378600.112434</v>
      </c>
      <c r="R387" s="7"/>
      <c r="S387" s="7"/>
      <c r="T387" s="7"/>
      <c r="U387" s="7"/>
      <c r="V387" s="7"/>
      <c r="W387" s="7"/>
      <c r="X387" s="7"/>
      <c r="Y387" s="7"/>
      <c r="Z387" s="7"/>
    </row>
    <row r="388" spans="1:26" ht="12.75" customHeight="1" x14ac:dyDescent="0.2">
      <c r="A388" s="95"/>
      <c r="B388" s="95"/>
      <c r="C388" s="40" t="s">
        <v>36</v>
      </c>
      <c r="D388" s="41">
        <v>30</v>
      </c>
      <c r="E388" s="42">
        <v>11806.24</v>
      </c>
      <c r="F388" s="42">
        <v>1165.1300000000001</v>
      </c>
      <c r="G388" s="42">
        <v>0</v>
      </c>
      <c r="H388" s="42">
        <v>6384.11</v>
      </c>
      <c r="I388" s="42">
        <v>0</v>
      </c>
      <c r="J388" s="42">
        <v>1612.96</v>
      </c>
      <c r="K388" s="43">
        <v>19355.48</v>
      </c>
      <c r="L388" s="32">
        <v>20968.439999999999</v>
      </c>
      <c r="M388" s="33"/>
      <c r="N388" s="30">
        <v>19355.48</v>
      </c>
      <c r="O388" s="30">
        <v>12971.37</v>
      </c>
      <c r="P388" s="30"/>
      <c r="Q388" s="30">
        <f>(N388+O388*0.18+J388)+(IF((P388-O388*0.18)&gt;0,(P388-O388*0.18),0))</f>
        <v>23303.286599999999</v>
      </c>
      <c r="R388" s="7"/>
      <c r="S388" s="7"/>
      <c r="T388" s="7"/>
      <c r="U388" s="7"/>
      <c r="V388" s="7"/>
      <c r="W388" s="7"/>
      <c r="X388" s="7"/>
      <c r="Y388" s="7"/>
      <c r="Z388" s="7"/>
    </row>
    <row r="389" spans="1:26" ht="9" customHeight="1" x14ac:dyDescent="0.2">
      <c r="A389" s="95"/>
      <c r="B389" s="95"/>
      <c r="C389" s="34" t="s">
        <v>37</v>
      </c>
      <c r="D389" s="35">
        <v>31</v>
      </c>
      <c r="E389" s="36">
        <v>22860068</v>
      </c>
      <c r="F389" s="36">
        <v>2256006</v>
      </c>
      <c r="G389" s="36">
        <v>0</v>
      </c>
      <c r="H389" s="36">
        <v>12361361</v>
      </c>
      <c r="I389" s="36">
        <v>0</v>
      </c>
      <c r="J389" s="37">
        <v>3123126</v>
      </c>
      <c r="K389" s="36">
        <v>37477435</v>
      </c>
      <c r="L389" s="38">
        <v>40600561</v>
      </c>
      <c r="M389" s="39"/>
      <c r="N389" s="36">
        <v>37477435</v>
      </c>
      <c r="O389" s="36">
        <v>25116075</v>
      </c>
      <c r="P389" s="36">
        <v>0</v>
      </c>
      <c r="Q389" s="36">
        <f>Q388*1936.27</f>
        <v>45121454.744981997</v>
      </c>
      <c r="R389" s="7"/>
      <c r="S389" s="7"/>
      <c r="T389" s="7"/>
      <c r="U389" s="7"/>
      <c r="V389" s="7"/>
      <c r="W389" s="7"/>
      <c r="X389" s="7"/>
      <c r="Y389" s="7"/>
      <c r="Z389" s="7"/>
    </row>
    <row r="390" spans="1:26" ht="12.75" customHeight="1" x14ac:dyDescent="0.2">
      <c r="A390" s="95"/>
      <c r="B390" s="95"/>
      <c r="C390" s="40" t="s">
        <v>36</v>
      </c>
      <c r="D390" s="41">
        <v>32</v>
      </c>
      <c r="E390" s="42">
        <v>12072.73</v>
      </c>
      <c r="F390" s="42">
        <v>1189.92</v>
      </c>
      <c r="G390" s="42">
        <v>0</v>
      </c>
      <c r="H390" s="42">
        <v>6384.11</v>
      </c>
      <c r="I390" s="42">
        <v>0</v>
      </c>
      <c r="J390" s="42">
        <v>1637.23</v>
      </c>
      <c r="K390" s="43">
        <v>19646.759999999998</v>
      </c>
      <c r="L390" s="32">
        <v>21283.99</v>
      </c>
      <c r="M390" s="33"/>
      <c r="N390" s="30">
        <v>19646.759999999998</v>
      </c>
      <c r="O390" s="30">
        <v>13262.65</v>
      </c>
      <c r="P390" s="30"/>
      <c r="Q390" s="30">
        <f>(N390+O390*0.18+J390)+(IF((P390-O390*0.18)&gt;0,(P390-O390*0.18),0))</f>
        <v>23671.266999999996</v>
      </c>
      <c r="R390" s="7"/>
      <c r="S390" s="7"/>
      <c r="T390" s="7"/>
      <c r="U390" s="7"/>
      <c r="V390" s="7"/>
      <c r="W390" s="7"/>
      <c r="X390" s="7"/>
      <c r="Y390" s="7"/>
      <c r="Z390" s="7"/>
    </row>
    <row r="391" spans="1:26" ht="9" customHeight="1" x14ac:dyDescent="0.2">
      <c r="A391" s="95"/>
      <c r="B391" s="95"/>
      <c r="C391" s="34" t="s">
        <v>37</v>
      </c>
      <c r="D391" s="35">
        <v>33</v>
      </c>
      <c r="E391" s="36">
        <v>23376065</v>
      </c>
      <c r="F391" s="36">
        <v>2304006</v>
      </c>
      <c r="G391" s="36">
        <v>0</v>
      </c>
      <c r="H391" s="36">
        <v>12361361</v>
      </c>
      <c r="I391" s="36">
        <v>0</v>
      </c>
      <c r="J391" s="37">
        <v>3170119</v>
      </c>
      <c r="K391" s="36">
        <v>38041432</v>
      </c>
      <c r="L391" s="38">
        <v>41211551</v>
      </c>
      <c r="M391" s="39"/>
      <c r="N391" s="36">
        <v>38041432</v>
      </c>
      <c r="O391" s="36">
        <v>25680071</v>
      </c>
      <c r="P391" s="36">
        <v>0</v>
      </c>
      <c r="Q391" s="36">
        <f>Q390*1936.27</f>
        <v>45833964.154089995</v>
      </c>
      <c r="R391" s="7"/>
      <c r="S391" s="7"/>
      <c r="T391" s="7"/>
      <c r="U391" s="7"/>
      <c r="V391" s="7"/>
      <c r="W391" s="7"/>
      <c r="X391" s="7"/>
      <c r="Y391" s="7"/>
      <c r="Z391" s="7"/>
    </row>
    <row r="392" spans="1:26" ht="12.75" customHeight="1" x14ac:dyDescent="0.2">
      <c r="A392" s="95"/>
      <c r="B392" s="95"/>
      <c r="C392" s="40" t="s">
        <v>36</v>
      </c>
      <c r="D392" s="41">
        <v>34</v>
      </c>
      <c r="E392" s="42">
        <v>12339.22</v>
      </c>
      <c r="F392" s="42">
        <v>1220.9000000000001</v>
      </c>
      <c r="G392" s="42">
        <v>0</v>
      </c>
      <c r="H392" s="42">
        <v>6384.11</v>
      </c>
      <c r="I392" s="42">
        <v>0</v>
      </c>
      <c r="J392" s="42">
        <v>1662.02</v>
      </c>
      <c r="K392" s="43">
        <v>19944.23</v>
      </c>
      <c r="L392" s="32">
        <v>21606.25</v>
      </c>
      <c r="M392" s="33"/>
      <c r="N392" s="30">
        <v>19944.23</v>
      </c>
      <c r="O392" s="30">
        <v>13560.12</v>
      </c>
      <c r="P392" s="30"/>
      <c r="Q392" s="30">
        <f>(N392+O392*0.18+J392)+(IF((P392-O392*0.18)&gt;0,(P392-O392*0.18),0))</f>
        <v>24047.071599999999</v>
      </c>
      <c r="R392" s="7"/>
      <c r="S392" s="7"/>
      <c r="T392" s="7"/>
      <c r="U392" s="7"/>
      <c r="V392" s="7"/>
      <c r="W392" s="7"/>
      <c r="X392" s="7"/>
      <c r="Y392" s="7"/>
      <c r="Z392" s="7"/>
    </row>
    <row r="393" spans="1:26" ht="9" customHeight="1" x14ac:dyDescent="0.2">
      <c r="A393" s="95"/>
      <c r="B393" s="95"/>
      <c r="C393" s="34" t="s">
        <v>37</v>
      </c>
      <c r="D393" s="35">
        <v>35</v>
      </c>
      <c r="E393" s="36">
        <v>23892062</v>
      </c>
      <c r="F393" s="36">
        <v>2363992</v>
      </c>
      <c r="G393" s="36">
        <v>0</v>
      </c>
      <c r="H393" s="36">
        <v>12361361</v>
      </c>
      <c r="I393" s="36">
        <v>0</v>
      </c>
      <c r="J393" s="37">
        <v>3218119</v>
      </c>
      <c r="K393" s="36">
        <v>38617414</v>
      </c>
      <c r="L393" s="38">
        <v>41835534</v>
      </c>
      <c r="M393" s="39"/>
      <c r="N393" s="36">
        <v>38617414</v>
      </c>
      <c r="O393" s="36">
        <v>26256054</v>
      </c>
      <c r="P393" s="36">
        <v>0</v>
      </c>
      <c r="Q393" s="36">
        <f>Q392*1936.27</f>
        <v>46561623.326931998</v>
      </c>
      <c r="R393" s="7"/>
      <c r="S393" s="7"/>
      <c r="T393" s="7"/>
      <c r="U393" s="7"/>
      <c r="V393" s="7"/>
      <c r="W393" s="7"/>
      <c r="X393" s="7"/>
      <c r="Y393" s="7"/>
      <c r="Z393" s="7"/>
    </row>
    <row r="394" spans="1:26" ht="12.75" customHeight="1" x14ac:dyDescent="0.2">
      <c r="A394" s="95"/>
      <c r="B394" s="95"/>
      <c r="C394" s="40" t="s">
        <v>36</v>
      </c>
      <c r="D394" s="41">
        <v>36</v>
      </c>
      <c r="E394" s="42">
        <v>12665.45</v>
      </c>
      <c r="F394" s="42">
        <v>1251.8900000000001</v>
      </c>
      <c r="G394" s="42">
        <v>0</v>
      </c>
      <c r="H394" s="42">
        <v>6384.11</v>
      </c>
      <c r="I394" s="42">
        <v>0</v>
      </c>
      <c r="J394" s="42">
        <v>1691.79</v>
      </c>
      <c r="K394" s="43">
        <v>20301.45</v>
      </c>
      <c r="L394" s="32">
        <v>21993.24</v>
      </c>
      <c r="M394" s="33"/>
      <c r="N394" s="30">
        <v>20301.45</v>
      </c>
      <c r="O394" s="30">
        <v>13917.34</v>
      </c>
      <c r="P394" s="30"/>
      <c r="Q394" s="30">
        <f>(N394+O394*0.18+J394)+(IF((P394-O394*0.18)&gt;0,(P394-O394*0.18),0))</f>
        <v>24498.361200000003</v>
      </c>
      <c r="R394" s="7"/>
      <c r="S394" s="7"/>
      <c r="T394" s="7"/>
      <c r="U394" s="7"/>
      <c r="V394" s="7"/>
      <c r="W394" s="7"/>
      <c r="X394" s="7"/>
      <c r="Y394" s="7"/>
      <c r="Z394" s="7"/>
    </row>
    <row r="395" spans="1:26" ht="9" customHeight="1" x14ac:dyDescent="0.2">
      <c r="A395" s="95"/>
      <c r="B395" s="95"/>
      <c r="C395" s="34" t="s">
        <v>37</v>
      </c>
      <c r="D395" s="35">
        <v>37</v>
      </c>
      <c r="E395" s="36">
        <v>24523731</v>
      </c>
      <c r="F395" s="36">
        <v>2423997</v>
      </c>
      <c r="G395" s="36">
        <v>0</v>
      </c>
      <c r="H395" s="36">
        <v>12361361</v>
      </c>
      <c r="I395" s="36">
        <v>0</v>
      </c>
      <c r="J395" s="37">
        <v>3275762</v>
      </c>
      <c r="K395" s="36">
        <v>39309089</v>
      </c>
      <c r="L395" s="38">
        <v>42584851</v>
      </c>
      <c r="M395" s="39"/>
      <c r="N395" s="36">
        <v>39309089</v>
      </c>
      <c r="O395" s="36">
        <v>26947728</v>
      </c>
      <c r="P395" s="36">
        <v>0</v>
      </c>
      <c r="Q395" s="36">
        <f>Q394*1936.27</f>
        <v>47435441.840724006</v>
      </c>
      <c r="R395" s="7"/>
      <c r="S395" s="7"/>
      <c r="T395" s="7"/>
      <c r="U395" s="7"/>
      <c r="V395" s="7"/>
      <c r="W395" s="7"/>
      <c r="X395" s="7"/>
      <c r="Y395" s="7"/>
      <c r="Z395" s="7"/>
    </row>
    <row r="396" spans="1:26" ht="12.75" customHeight="1" x14ac:dyDescent="0.2">
      <c r="A396" s="95"/>
      <c r="B396" s="95"/>
      <c r="C396" s="40" t="s">
        <v>36</v>
      </c>
      <c r="D396" s="41">
        <v>38</v>
      </c>
      <c r="E396" s="42">
        <v>12931.95</v>
      </c>
      <c r="F396" s="42">
        <v>1282.8800000000001</v>
      </c>
      <c r="G396" s="42">
        <v>0</v>
      </c>
      <c r="H396" s="42">
        <v>6384.11</v>
      </c>
      <c r="I396" s="42">
        <v>0</v>
      </c>
      <c r="J396" s="42">
        <v>1716.58</v>
      </c>
      <c r="K396" s="43">
        <v>20598.939999999999</v>
      </c>
      <c r="L396" s="32">
        <v>22315.52</v>
      </c>
      <c r="M396" s="33"/>
      <c r="N396" s="30">
        <v>20598.939999999999</v>
      </c>
      <c r="O396" s="30">
        <v>14214.83</v>
      </c>
      <c r="P396" s="30"/>
      <c r="Q396" s="30">
        <f>(N396+O396*0.18+J396)+(IF((P396-O396*0.18)&gt;0,(P396-O396*0.18),0))</f>
        <v>24874.189399999996</v>
      </c>
      <c r="R396" s="7"/>
      <c r="S396" s="7"/>
      <c r="T396" s="7"/>
      <c r="U396" s="7"/>
      <c r="V396" s="7"/>
      <c r="W396" s="7"/>
      <c r="X396" s="7"/>
      <c r="Y396" s="7"/>
      <c r="Z396" s="7"/>
    </row>
    <row r="397" spans="1:26" ht="9" customHeight="1" x14ac:dyDescent="0.2">
      <c r="A397" s="95"/>
      <c r="B397" s="95"/>
      <c r="C397" s="34" t="s">
        <v>37</v>
      </c>
      <c r="D397" s="35">
        <v>39</v>
      </c>
      <c r="E397" s="36">
        <v>25039747</v>
      </c>
      <c r="F397" s="36">
        <v>2484002</v>
      </c>
      <c r="G397" s="36">
        <v>0</v>
      </c>
      <c r="H397" s="36">
        <v>12361361</v>
      </c>
      <c r="I397" s="36">
        <v>0</v>
      </c>
      <c r="J397" s="37">
        <v>3323762</v>
      </c>
      <c r="K397" s="36">
        <v>39885110</v>
      </c>
      <c r="L397" s="38">
        <v>43208872</v>
      </c>
      <c r="M397" s="39"/>
      <c r="N397" s="36">
        <v>39885110</v>
      </c>
      <c r="O397" s="36">
        <v>27523749</v>
      </c>
      <c r="P397" s="36">
        <v>0</v>
      </c>
      <c r="Q397" s="36">
        <f>Q396*1936.27</f>
        <v>48163146.70953799</v>
      </c>
      <c r="R397" s="7"/>
      <c r="S397" s="7"/>
      <c r="T397" s="7"/>
      <c r="U397" s="7"/>
      <c r="V397" s="7"/>
      <c r="W397" s="7"/>
      <c r="X397" s="7"/>
      <c r="Y397" s="7"/>
      <c r="Z397" s="7"/>
    </row>
    <row r="398" spans="1:26" ht="9" customHeight="1" x14ac:dyDescent="0.2">
      <c r="A398" s="95"/>
      <c r="B398" s="95"/>
      <c r="C398" s="44"/>
      <c r="D398" s="45"/>
      <c r="E398" s="96"/>
      <c r="F398" s="96"/>
      <c r="G398" s="96"/>
      <c r="H398" s="96"/>
      <c r="I398" s="96"/>
      <c r="J398" s="54"/>
      <c r="K398" s="96"/>
      <c r="L398" s="96"/>
      <c r="M398" s="39"/>
      <c r="N398" s="96"/>
      <c r="O398" s="96"/>
      <c r="P398" s="96"/>
      <c r="Q398" s="96"/>
      <c r="R398" s="7"/>
      <c r="S398" s="7"/>
      <c r="T398" s="7"/>
      <c r="U398" s="7"/>
      <c r="V398" s="7"/>
      <c r="W398" s="7"/>
      <c r="X398" s="7"/>
      <c r="Y398" s="7"/>
      <c r="Z398" s="7"/>
    </row>
    <row r="399" spans="1:26" ht="9" customHeight="1" x14ac:dyDescent="0.2">
      <c r="A399" s="95"/>
      <c r="B399" s="95"/>
      <c r="C399" s="44"/>
      <c r="D399" s="45"/>
      <c r="E399" s="96"/>
      <c r="F399" s="96"/>
      <c r="G399" s="96"/>
      <c r="H399" s="96"/>
      <c r="I399" s="96"/>
      <c r="J399" s="54"/>
      <c r="K399" s="96"/>
      <c r="L399" s="96"/>
      <c r="M399" s="39"/>
      <c r="N399" s="96"/>
      <c r="O399" s="96"/>
      <c r="P399" s="96"/>
      <c r="Q399" s="96"/>
      <c r="R399" s="7"/>
      <c r="S399" s="7"/>
      <c r="T399" s="7"/>
      <c r="U399" s="7"/>
      <c r="V399" s="7"/>
      <c r="W399" s="7"/>
      <c r="X399" s="7"/>
      <c r="Y399" s="7"/>
      <c r="Z399" s="7"/>
    </row>
    <row r="400" spans="1:26" ht="12.75" customHeight="1" x14ac:dyDescent="0.2">
      <c r="A400" s="95"/>
      <c r="B400" s="95"/>
      <c r="C400" s="40" t="s">
        <v>36</v>
      </c>
      <c r="D400" s="41">
        <v>40</v>
      </c>
      <c r="E400" s="42">
        <v>13204.64</v>
      </c>
      <c r="F400" s="42">
        <v>1313.87</v>
      </c>
      <c r="G400" s="42">
        <v>0</v>
      </c>
      <c r="H400" s="42">
        <v>6384.11</v>
      </c>
      <c r="I400" s="42">
        <v>0</v>
      </c>
      <c r="J400" s="42">
        <v>1741.89</v>
      </c>
      <c r="K400" s="43">
        <v>20902.62</v>
      </c>
      <c r="L400" s="32">
        <v>22644.51</v>
      </c>
      <c r="M400" s="33"/>
      <c r="N400" s="30">
        <v>20902.62</v>
      </c>
      <c r="O400" s="30">
        <v>14518.51</v>
      </c>
      <c r="P400" s="30"/>
      <c r="Q400" s="30">
        <f>(N400+O400*0.18+J400)+(IF((P400-O400*0.18)&gt;0,(P400-O400*0.18),0))</f>
        <v>25257.841799999998</v>
      </c>
      <c r="R400" s="7"/>
      <c r="S400" s="7"/>
      <c r="T400" s="7"/>
      <c r="U400" s="7"/>
      <c r="V400" s="7"/>
      <c r="W400" s="7"/>
      <c r="X400" s="7"/>
      <c r="Y400" s="7"/>
      <c r="Z400" s="7"/>
    </row>
    <row r="401" spans="1:26" ht="9" customHeight="1" x14ac:dyDescent="0.2">
      <c r="A401" s="110"/>
      <c r="B401" s="110"/>
      <c r="C401" s="47"/>
      <c r="D401" s="48"/>
      <c r="E401" s="46">
        <v>25567748</v>
      </c>
      <c r="F401" s="46">
        <v>2544007</v>
      </c>
      <c r="G401" s="46">
        <v>0</v>
      </c>
      <c r="H401" s="46">
        <v>12361361</v>
      </c>
      <c r="I401" s="46">
        <v>0</v>
      </c>
      <c r="J401" s="49">
        <v>3372769</v>
      </c>
      <c r="K401" s="46">
        <v>40473116</v>
      </c>
      <c r="L401" s="38">
        <v>43845885</v>
      </c>
      <c r="M401" s="39"/>
      <c r="N401" s="36">
        <v>40473116</v>
      </c>
      <c r="O401" s="36">
        <v>28111755</v>
      </c>
      <c r="P401" s="36">
        <v>0</v>
      </c>
      <c r="Q401" s="36">
        <f>Q400*1936.27</f>
        <v>48906001.342085995</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98">
        <v>35065</v>
      </c>
      <c r="B420" s="98">
        <v>35369</v>
      </c>
      <c r="C420" s="28" t="s">
        <v>36</v>
      </c>
      <c r="D420" s="29">
        <v>0</v>
      </c>
      <c r="E420" s="30">
        <v>7621.87</v>
      </c>
      <c r="F420" s="30">
        <v>0</v>
      </c>
      <c r="G420" s="30">
        <v>0</v>
      </c>
      <c r="H420" s="30">
        <v>6384.11</v>
      </c>
      <c r="I420" s="30">
        <v>0</v>
      </c>
      <c r="J420" s="30">
        <v>1167.17</v>
      </c>
      <c r="K420" s="31">
        <v>14005.98</v>
      </c>
      <c r="L420" s="32">
        <v>15173.15</v>
      </c>
      <c r="M420" s="33"/>
      <c r="N420" s="30">
        <v>14005.98</v>
      </c>
      <c r="O420" s="30">
        <v>7621.87</v>
      </c>
      <c r="P420" s="30"/>
      <c r="Q420" s="30">
        <f>(N420+O420*0.18+J420)+(IF((P420-O420*0.18)&gt;0,(P420-O420*0.18),0))</f>
        <v>16545.086600000002</v>
      </c>
      <c r="R420" s="7"/>
      <c r="S420" s="7"/>
      <c r="T420" s="7"/>
      <c r="U420" s="7"/>
      <c r="V420" s="7"/>
      <c r="W420" s="7"/>
      <c r="X420" s="7"/>
      <c r="Y420" s="7"/>
      <c r="Z420" s="7"/>
    </row>
    <row r="421" spans="1:26" ht="9" customHeight="1" x14ac:dyDescent="0.2">
      <c r="A421" s="95"/>
      <c r="B421" s="95"/>
      <c r="C421" s="34" t="s">
        <v>37</v>
      </c>
      <c r="D421" s="35">
        <v>2</v>
      </c>
      <c r="E421" s="36">
        <v>14757998</v>
      </c>
      <c r="F421" s="36">
        <v>0</v>
      </c>
      <c r="G421" s="36">
        <v>0</v>
      </c>
      <c r="H421" s="36">
        <v>12361361</v>
      </c>
      <c r="I421" s="36">
        <v>0</v>
      </c>
      <c r="J421" s="37">
        <v>2259956</v>
      </c>
      <c r="K421" s="36">
        <v>27119359</v>
      </c>
      <c r="L421" s="38">
        <v>29379315</v>
      </c>
      <c r="M421" s="39"/>
      <c r="N421" s="36">
        <v>27119359</v>
      </c>
      <c r="O421" s="36">
        <v>14757998</v>
      </c>
      <c r="P421" s="36">
        <v>0</v>
      </c>
      <c r="Q421" s="36">
        <f>Q420*1936.27</f>
        <v>32035754.830982003</v>
      </c>
      <c r="R421" s="7"/>
      <c r="S421" s="7"/>
      <c r="T421" s="7"/>
      <c r="U421" s="7"/>
      <c r="V421" s="7"/>
      <c r="W421" s="7"/>
      <c r="X421" s="7"/>
      <c r="Y421" s="7"/>
      <c r="Z421" s="7"/>
    </row>
    <row r="422" spans="1:26" ht="12.75" customHeight="1" x14ac:dyDescent="0.2">
      <c r="A422" s="156">
        <v>35065</v>
      </c>
      <c r="B422" s="156">
        <v>35369</v>
      </c>
      <c r="C422" s="40" t="s">
        <v>36</v>
      </c>
      <c r="D422" s="41">
        <v>3</v>
      </c>
      <c r="E422" s="42">
        <v>7995.27</v>
      </c>
      <c r="F422" s="42">
        <v>0</v>
      </c>
      <c r="G422" s="42">
        <v>0</v>
      </c>
      <c r="H422" s="42">
        <v>6384.11</v>
      </c>
      <c r="I422" s="42">
        <v>0</v>
      </c>
      <c r="J422" s="42">
        <v>1198.28</v>
      </c>
      <c r="K422" s="43">
        <v>14379.38</v>
      </c>
      <c r="L422" s="32">
        <v>15577.66</v>
      </c>
      <c r="M422" s="33"/>
      <c r="N422" s="30">
        <v>14379.38</v>
      </c>
      <c r="O422" s="30">
        <v>7995.27</v>
      </c>
      <c r="P422" s="30"/>
      <c r="Q422" s="30">
        <f>(N422+O422*0.18+J422)+(IF((P422-O422*0.18)&gt;0,(P422-O422*0.18),0))</f>
        <v>17016.8086</v>
      </c>
      <c r="R422" s="7"/>
      <c r="S422" s="7"/>
      <c r="T422" s="7"/>
      <c r="U422" s="7"/>
      <c r="V422" s="7"/>
      <c r="W422" s="7"/>
      <c r="X422" s="7"/>
      <c r="Y422" s="7"/>
      <c r="Z422" s="7"/>
    </row>
    <row r="423" spans="1:26" ht="9" customHeight="1" x14ac:dyDescent="0.2">
      <c r="A423" s="95"/>
      <c r="B423" s="95"/>
      <c r="C423" s="34" t="s">
        <v>37</v>
      </c>
      <c r="D423" s="35">
        <v>8</v>
      </c>
      <c r="E423" s="36">
        <v>15481001</v>
      </c>
      <c r="F423" s="36">
        <v>0</v>
      </c>
      <c r="G423" s="36">
        <v>0</v>
      </c>
      <c r="H423" s="36">
        <v>12361361</v>
      </c>
      <c r="I423" s="36">
        <v>0</v>
      </c>
      <c r="J423" s="37">
        <v>2320194</v>
      </c>
      <c r="K423" s="36">
        <v>27842362</v>
      </c>
      <c r="L423" s="38">
        <v>30162556</v>
      </c>
      <c r="M423" s="39"/>
      <c r="N423" s="36">
        <v>27842362</v>
      </c>
      <c r="O423" s="36">
        <v>15481001</v>
      </c>
      <c r="P423" s="36">
        <v>0</v>
      </c>
      <c r="Q423" s="36">
        <f>Q422*1936.27</f>
        <v>32949135.987922002</v>
      </c>
      <c r="R423" s="7"/>
      <c r="S423" s="7"/>
      <c r="T423" s="7"/>
      <c r="U423" s="7"/>
      <c r="V423" s="7"/>
      <c r="W423" s="7"/>
      <c r="X423" s="7"/>
      <c r="Y423" s="7"/>
      <c r="Z423" s="7"/>
    </row>
    <row r="424" spans="1:26" ht="12.75" customHeight="1" x14ac:dyDescent="0.2">
      <c r="A424" s="95"/>
      <c r="B424" s="95"/>
      <c r="C424" s="40" t="s">
        <v>36</v>
      </c>
      <c r="D424" s="41">
        <v>9</v>
      </c>
      <c r="E424" s="42">
        <v>9156.26</v>
      </c>
      <c r="F424" s="42">
        <v>0</v>
      </c>
      <c r="G424" s="42">
        <v>0</v>
      </c>
      <c r="H424" s="42">
        <v>6384.11</v>
      </c>
      <c r="I424" s="42">
        <v>0</v>
      </c>
      <c r="J424" s="42">
        <v>1295.03</v>
      </c>
      <c r="K424" s="43">
        <v>15540.37</v>
      </c>
      <c r="L424" s="32">
        <v>16835.400000000001</v>
      </c>
      <c r="M424" s="33"/>
      <c r="N424" s="30">
        <v>15540.37</v>
      </c>
      <c r="O424" s="30">
        <v>9156.26</v>
      </c>
      <c r="P424" s="30"/>
      <c r="Q424" s="30">
        <f>(N424+O424*0.18+J424)+(IF((P424-O424*0.18)&gt;0,(P424-O424*0.18),0))</f>
        <v>18483.5268</v>
      </c>
      <c r="R424" s="7"/>
      <c r="S424" s="7"/>
      <c r="T424" s="7"/>
      <c r="U424" s="7"/>
      <c r="V424" s="7"/>
      <c r="W424" s="7"/>
      <c r="X424" s="7"/>
      <c r="Y424" s="7"/>
      <c r="Z424" s="7"/>
    </row>
    <row r="425" spans="1:26" ht="9" customHeight="1" x14ac:dyDescent="0.2">
      <c r="A425" s="95"/>
      <c r="B425" s="95"/>
      <c r="C425" s="34" t="s">
        <v>37</v>
      </c>
      <c r="D425" s="35">
        <v>14</v>
      </c>
      <c r="E425" s="36">
        <v>17728992</v>
      </c>
      <c r="F425" s="36">
        <v>0</v>
      </c>
      <c r="G425" s="36">
        <v>0</v>
      </c>
      <c r="H425" s="36">
        <v>12361361</v>
      </c>
      <c r="I425" s="36">
        <v>0</v>
      </c>
      <c r="J425" s="37">
        <v>2507528</v>
      </c>
      <c r="K425" s="36">
        <v>30090352</v>
      </c>
      <c r="L425" s="38">
        <v>32597880</v>
      </c>
      <c r="M425" s="39"/>
      <c r="N425" s="36">
        <v>30090352</v>
      </c>
      <c r="O425" s="36">
        <v>17728992</v>
      </c>
      <c r="P425" s="36">
        <v>0</v>
      </c>
      <c r="Q425" s="36">
        <f>Q424*1936.27</f>
        <v>35789098.437036</v>
      </c>
      <c r="R425" s="7"/>
      <c r="S425" s="7"/>
      <c r="T425" s="7"/>
      <c r="U425" s="7"/>
      <c r="V425" s="7"/>
      <c r="W425" s="7"/>
      <c r="X425" s="7"/>
      <c r="Y425" s="7"/>
      <c r="Z425" s="7"/>
    </row>
    <row r="426" spans="1:26" ht="12.75" customHeight="1" x14ac:dyDescent="0.2">
      <c r="A426" s="95"/>
      <c r="B426" s="95"/>
      <c r="C426" s="40" t="s">
        <v>36</v>
      </c>
      <c r="D426" s="41">
        <v>15</v>
      </c>
      <c r="E426" s="42">
        <v>10520.74</v>
      </c>
      <c r="F426" s="42">
        <v>0</v>
      </c>
      <c r="G426" s="42">
        <v>0</v>
      </c>
      <c r="H426" s="42">
        <v>6384.11</v>
      </c>
      <c r="I426" s="42">
        <v>0</v>
      </c>
      <c r="J426" s="42">
        <v>1408.74</v>
      </c>
      <c r="K426" s="43">
        <v>16904.849999999999</v>
      </c>
      <c r="L426" s="32">
        <v>18313.59</v>
      </c>
      <c r="M426" s="33"/>
      <c r="N426" s="30">
        <v>16904.849999999999</v>
      </c>
      <c r="O426" s="30">
        <v>10520.74</v>
      </c>
      <c r="P426" s="30"/>
      <c r="Q426" s="30">
        <f>(N426+O426*0.18+J426)+(IF((P426-O426*0.18)&gt;0,(P426-O426*0.18),0))</f>
        <v>20207.323199999999</v>
      </c>
      <c r="R426" s="7"/>
      <c r="S426" s="7"/>
      <c r="T426" s="7"/>
      <c r="U426" s="7"/>
      <c r="V426" s="7"/>
      <c r="W426" s="7"/>
      <c r="X426" s="7"/>
      <c r="Y426" s="7"/>
      <c r="Z426" s="7"/>
    </row>
    <row r="427" spans="1:26" ht="9" customHeight="1" x14ac:dyDescent="0.2">
      <c r="A427" s="95"/>
      <c r="B427" s="95"/>
      <c r="C427" s="34" t="s">
        <v>37</v>
      </c>
      <c r="D427" s="35">
        <v>20</v>
      </c>
      <c r="E427" s="36">
        <v>20370993</v>
      </c>
      <c r="F427" s="36">
        <v>0</v>
      </c>
      <c r="G427" s="36">
        <v>0</v>
      </c>
      <c r="H427" s="36">
        <v>12361361</v>
      </c>
      <c r="I427" s="36">
        <v>0</v>
      </c>
      <c r="J427" s="37">
        <v>2727701</v>
      </c>
      <c r="K427" s="36">
        <v>32732354</v>
      </c>
      <c r="L427" s="38">
        <v>35460055</v>
      </c>
      <c r="M427" s="39"/>
      <c r="N427" s="36">
        <v>32732354</v>
      </c>
      <c r="O427" s="36">
        <v>20370993</v>
      </c>
      <c r="P427" s="36">
        <v>0</v>
      </c>
      <c r="Q427" s="36">
        <f>Q426*1936.27</f>
        <v>39126833.692463994</v>
      </c>
      <c r="R427" s="7"/>
      <c r="S427" s="7"/>
      <c r="T427" s="7"/>
      <c r="U427" s="7"/>
      <c r="V427" s="7"/>
      <c r="W427" s="7"/>
      <c r="X427" s="7"/>
      <c r="Y427" s="7"/>
      <c r="Z427" s="7"/>
    </row>
    <row r="428" spans="1:26" ht="12.75" customHeight="1" x14ac:dyDescent="0.2">
      <c r="A428" s="95"/>
      <c r="B428" s="95"/>
      <c r="C428" s="40" t="s">
        <v>36</v>
      </c>
      <c r="D428" s="41">
        <v>21</v>
      </c>
      <c r="E428" s="42">
        <v>11845.97</v>
      </c>
      <c r="F428" s="42">
        <v>0</v>
      </c>
      <c r="G428" s="42">
        <v>0</v>
      </c>
      <c r="H428" s="42">
        <v>6384.11</v>
      </c>
      <c r="I428" s="42">
        <v>0</v>
      </c>
      <c r="J428" s="42">
        <v>1519.17</v>
      </c>
      <c r="K428" s="43">
        <v>18230.080000000002</v>
      </c>
      <c r="L428" s="32">
        <v>19749.25</v>
      </c>
      <c r="M428" s="33"/>
      <c r="N428" s="30">
        <v>18230.080000000002</v>
      </c>
      <c r="O428" s="30">
        <v>11845.97</v>
      </c>
      <c r="P428" s="30"/>
      <c r="Q428" s="30">
        <f>(N428+O428*0.18+J428)+(IF((P428-O428*0.18)&gt;0,(P428-O428*0.18),0))</f>
        <v>21881.524600000004</v>
      </c>
      <c r="R428" s="7"/>
      <c r="S428" s="7"/>
      <c r="T428" s="7"/>
      <c r="U428" s="7"/>
      <c r="V428" s="7"/>
      <c r="W428" s="7"/>
      <c r="X428" s="7"/>
      <c r="Y428" s="7"/>
      <c r="Z428" s="7"/>
    </row>
    <row r="429" spans="1:26" ht="9" customHeight="1" x14ac:dyDescent="0.2">
      <c r="A429" s="95"/>
      <c r="B429" s="95"/>
      <c r="C429" s="34" t="s">
        <v>37</v>
      </c>
      <c r="D429" s="35">
        <v>27</v>
      </c>
      <c r="E429" s="36">
        <v>22936996</v>
      </c>
      <c r="F429" s="36">
        <v>0</v>
      </c>
      <c r="G429" s="36">
        <v>0</v>
      </c>
      <c r="H429" s="36">
        <v>12361361</v>
      </c>
      <c r="I429" s="36">
        <v>0</v>
      </c>
      <c r="J429" s="37">
        <v>2941523</v>
      </c>
      <c r="K429" s="36">
        <v>35298357</v>
      </c>
      <c r="L429" s="38">
        <v>38239880</v>
      </c>
      <c r="M429" s="39"/>
      <c r="N429" s="36">
        <v>35298357</v>
      </c>
      <c r="O429" s="36">
        <v>22936996</v>
      </c>
      <c r="P429" s="36">
        <v>0</v>
      </c>
      <c r="Q429" s="36">
        <f>Q428*1936.27</f>
        <v>42368539.637242004</v>
      </c>
      <c r="R429" s="7"/>
      <c r="S429" s="7"/>
      <c r="T429" s="7"/>
      <c r="U429" s="7"/>
      <c r="V429" s="7"/>
      <c r="W429" s="7"/>
      <c r="X429" s="7"/>
      <c r="Y429" s="7"/>
      <c r="Z429" s="7"/>
    </row>
    <row r="430" spans="1:26" ht="12.75" customHeight="1" x14ac:dyDescent="0.2">
      <c r="A430" s="95"/>
      <c r="B430" s="95"/>
      <c r="C430" s="40" t="s">
        <v>36</v>
      </c>
      <c r="D430" s="41">
        <v>28</v>
      </c>
      <c r="E430" s="42">
        <v>13144.86</v>
      </c>
      <c r="F430" s="42">
        <v>0</v>
      </c>
      <c r="G430" s="42">
        <v>0</v>
      </c>
      <c r="H430" s="42">
        <v>6384.11</v>
      </c>
      <c r="I430" s="42">
        <v>0</v>
      </c>
      <c r="J430" s="42">
        <v>1627.41</v>
      </c>
      <c r="K430" s="43">
        <v>19528.97</v>
      </c>
      <c r="L430" s="32">
        <v>21156.38</v>
      </c>
      <c r="M430" s="33"/>
      <c r="N430" s="30">
        <v>19528.97</v>
      </c>
      <c r="O430" s="30">
        <v>13144.86</v>
      </c>
      <c r="P430" s="30"/>
      <c r="Q430" s="30">
        <f>(N430+O430*0.18+J430)+(IF((P430-O430*0.18)&gt;0,(P430-O430*0.18),0))</f>
        <v>23522.4548</v>
      </c>
      <c r="R430" s="7"/>
      <c r="S430" s="7"/>
      <c r="T430" s="7"/>
      <c r="U430" s="7"/>
      <c r="V430" s="7"/>
      <c r="W430" s="7"/>
      <c r="X430" s="7"/>
      <c r="Y430" s="7"/>
      <c r="Z430" s="7"/>
    </row>
    <row r="431" spans="1:26" ht="9" customHeight="1" x14ac:dyDescent="0.2">
      <c r="A431" s="95"/>
      <c r="B431" s="95"/>
      <c r="C431" s="34" t="s">
        <v>37</v>
      </c>
      <c r="D431" s="35">
        <v>34</v>
      </c>
      <c r="E431" s="36">
        <v>25451998</v>
      </c>
      <c r="F431" s="36">
        <v>0</v>
      </c>
      <c r="G431" s="36">
        <v>0</v>
      </c>
      <c r="H431" s="36">
        <v>12361361</v>
      </c>
      <c r="I431" s="36">
        <v>0</v>
      </c>
      <c r="J431" s="37">
        <v>3151105</v>
      </c>
      <c r="K431" s="36">
        <v>37813359</v>
      </c>
      <c r="L431" s="38">
        <v>40964464</v>
      </c>
      <c r="M431" s="39"/>
      <c r="N431" s="36">
        <v>37813359</v>
      </c>
      <c r="O431" s="36">
        <v>25451998</v>
      </c>
      <c r="P431" s="36">
        <v>0</v>
      </c>
      <c r="Q431" s="36">
        <f>Q430*1936.27</f>
        <v>45545823.555596001</v>
      </c>
      <c r="R431" s="7"/>
      <c r="S431" s="7"/>
      <c r="T431" s="7"/>
      <c r="U431" s="7"/>
      <c r="V431" s="7"/>
      <c r="W431" s="7"/>
      <c r="X431" s="7"/>
      <c r="Y431" s="7"/>
      <c r="Z431" s="7"/>
    </row>
    <row r="432" spans="1:26" ht="12.75" customHeight="1" x14ac:dyDescent="0.2">
      <c r="A432" s="95"/>
      <c r="B432" s="95"/>
      <c r="C432" s="40" t="s">
        <v>36</v>
      </c>
      <c r="D432" s="41">
        <v>35</v>
      </c>
      <c r="E432" s="42">
        <v>14115.8</v>
      </c>
      <c r="F432" s="42">
        <v>0</v>
      </c>
      <c r="G432" s="42">
        <v>0</v>
      </c>
      <c r="H432" s="42">
        <v>6384.11</v>
      </c>
      <c r="I432" s="42">
        <v>0</v>
      </c>
      <c r="J432" s="42">
        <v>1708.33</v>
      </c>
      <c r="K432" s="43">
        <v>20499.91</v>
      </c>
      <c r="L432" s="32">
        <v>22208.240000000002</v>
      </c>
      <c r="M432" s="33"/>
      <c r="N432" s="30">
        <v>20499.91</v>
      </c>
      <c r="O432" s="30">
        <v>14115.8</v>
      </c>
      <c r="P432" s="30"/>
      <c r="Q432" s="30">
        <f>(N432+O432*0.18+J432)+(IF((P432-O432*0.18)&gt;0,(P432-O432*0.18),0))</f>
        <v>24749.084000000003</v>
      </c>
      <c r="R432" s="7"/>
      <c r="S432" s="7"/>
      <c r="T432" s="7"/>
      <c r="U432" s="7"/>
      <c r="V432" s="7"/>
      <c r="W432" s="7"/>
      <c r="X432" s="7"/>
      <c r="Y432" s="7"/>
      <c r="Z432" s="7"/>
    </row>
    <row r="433" spans="1:26" ht="9" customHeight="1" x14ac:dyDescent="0.2">
      <c r="A433" s="110"/>
      <c r="B433" s="110"/>
      <c r="C433" s="47" t="s">
        <v>37</v>
      </c>
      <c r="D433" s="48"/>
      <c r="E433" s="46">
        <v>27332000</v>
      </c>
      <c r="F433" s="46">
        <v>0</v>
      </c>
      <c r="G433" s="46">
        <v>0</v>
      </c>
      <c r="H433" s="46">
        <v>12361361</v>
      </c>
      <c r="I433" s="46">
        <v>0</v>
      </c>
      <c r="J433" s="49">
        <v>3307788</v>
      </c>
      <c r="K433" s="46">
        <v>39693361</v>
      </c>
      <c r="L433" s="38">
        <v>43001149</v>
      </c>
      <c r="M433" s="39"/>
      <c r="N433" s="36">
        <v>39693361</v>
      </c>
      <c r="O433" s="36">
        <v>27332000</v>
      </c>
      <c r="P433" s="36">
        <v>0</v>
      </c>
      <c r="Q433" s="36">
        <f>Q432*1936.27</f>
        <v>47920908.876680002</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6"/>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6"/>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6"/>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6"/>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6"/>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6"/>
      <c r="M439" s="39"/>
      <c r="N439" s="96"/>
      <c r="O439" s="96"/>
      <c r="P439" s="96"/>
      <c r="Q439" s="96"/>
      <c r="R439" s="7"/>
      <c r="S439" s="7"/>
      <c r="T439" s="7"/>
      <c r="U439" s="7"/>
      <c r="V439" s="7"/>
      <c r="W439" s="7"/>
      <c r="X439" s="7"/>
      <c r="Y439" s="7"/>
      <c r="Z439" s="7"/>
    </row>
    <row r="440" spans="1:26" ht="12.75" customHeight="1" x14ac:dyDescent="0.2">
      <c r="A440" s="98">
        <v>35370</v>
      </c>
      <c r="B440" s="98">
        <v>35611</v>
      </c>
      <c r="C440" s="28" t="s">
        <v>36</v>
      </c>
      <c r="D440" s="29">
        <v>0</v>
      </c>
      <c r="E440" s="30">
        <v>8099.08</v>
      </c>
      <c r="F440" s="30">
        <v>0</v>
      </c>
      <c r="G440" s="30">
        <v>0</v>
      </c>
      <c r="H440" s="30">
        <v>6384.11</v>
      </c>
      <c r="I440" s="30">
        <v>0</v>
      </c>
      <c r="J440" s="30">
        <v>1206.93</v>
      </c>
      <c r="K440" s="31">
        <v>14483.19</v>
      </c>
      <c r="L440" s="32">
        <v>15690.12</v>
      </c>
      <c r="M440" s="33"/>
      <c r="N440" s="30">
        <v>14483.19</v>
      </c>
      <c r="O440" s="30">
        <v>8099.08</v>
      </c>
      <c r="P440" s="30"/>
      <c r="Q440" s="30">
        <f>(N440+O440*0.18+J440)+(IF((P440-O440*0.18)&gt;0,(P440-O440*0.18),0))</f>
        <v>17147.954399999999</v>
      </c>
      <c r="R440" s="7"/>
      <c r="S440" s="7"/>
      <c r="T440" s="7"/>
      <c r="U440" s="7"/>
      <c r="V440" s="7"/>
      <c r="W440" s="7"/>
      <c r="X440" s="7"/>
      <c r="Y440" s="7"/>
      <c r="Z440" s="7"/>
    </row>
    <row r="441" spans="1:26" ht="9" customHeight="1" x14ac:dyDescent="0.2">
      <c r="A441" s="99"/>
      <c r="B441" s="99"/>
      <c r="C441" s="34" t="s">
        <v>37</v>
      </c>
      <c r="D441" s="35">
        <v>2</v>
      </c>
      <c r="E441" s="36">
        <v>15682006</v>
      </c>
      <c r="F441" s="36">
        <v>0</v>
      </c>
      <c r="G441" s="36">
        <v>0</v>
      </c>
      <c r="H441" s="36">
        <v>12361361</v>
      </c>
      <c r="I441" s="36">
        <v>0</v>
      </c>
      <c r="J441" s="37">
        <v>2336942</v>
      </c>
      <c r="K441" s="36">
        <v>28043366</v>
      </c>
      <c r="L441" s="38">
        <v>30380309</v>
      </c>
      <c r="M441" s="39"/>
      <c r="N441" s="36">
        <v>28043366</v>
      </c>
      <c r="O441" s="36">
        <v>15682006</v>
      </c>
      <c r="P441" s="36">
        <v>0</v>
      </c>
      <c r="Q441" s="36">
        <f>Q440*1936.27</f>
        <v>33203069.666087996</v>
      </c>
      <c r="R441" s="7"/>
      <c r="S441" s="7"/>
      <c r="T441" s="7"/>
      <c r="U441" s="7"/>
      <c r="V441" s="7"/>
      <c r="W441" s="7"/>
      <c r="X441" s="7"/>
      <c r="Y441" s="7"/>
      <c r="Z441" s="7"/>
    </row>
    <row r="442" spans="1:26" ht="12.75" customHeight="1" x14ac:dyDescent="0.2">
      <c r="A442" s="156">
        <v>35370</v>
      </c>
      <c r="B442" s="156">
        <v>35611</v>
      </c>
      <c r="C442" s="40" t="s">
        <v>36</v>
      </c>
      <c r="D442" s="41">
        <v>3</v>
      </c>
      <c r="E442" s="42">
        <v>8484.8700000000008</v>
      </c>
      <c r="F442" s="42">
        <v>0</v>
      </c>
      <c r="G442" s="42">
        <v>0</v>
      </c>
      <c r="H442" s="42">
        <v>6384.11</v>
      </c>
      <c r="I442" s="42">
        <v>0</v>
      </c>
      <c r="J442" s="42">
        <v>1239.08</v>
      </c>
      <c r="K442" s="43">
        <v>14868.98</v>
      </c>
      <c r="L442" s="32">
        <v>16108.06</v>
      </c>
      <c r="M442" s="33"/>
      <c r="N442" s="30">
        <v>14868.98</v>
      </c>
      <c r="O442" s="30">
        <v>8484.8700000000008</v>
      </c>
      <c r="P442" s="30"/>
      <c r="Q442" s="30">
        <f>(N442+O442*0.18+J442)+(IF((P442-O442*0.18)&gt;0,(P442-O442*0.18),0))</f>
        <v>17635.336600000002</v>
      </c>
      <c r="R442" s="7"/>
      <c r="S442" s="7"/>
      <c r="T442" s="7"/>
      <c r="U442" s="7"/>
      <c r="V442" s="7"/>
      <c r="W442" s="7"/>
      <c r="X442" s="7"/>
      <c r="Y442" s="7"/>
      <c r="Z442" s="7"/>
    </row>
    <row r="443" spans="1:26" ht="9" customHeight="1" x14ac:dyDescent="0.2">
      <c r="A443" s="156"/>
      <c r="B443" s="156"/>
      <c r="C443" s="34" t="s">
        <v>37</v>
      </c>
      <c r="D443" s="35">
        <v>8</v>
      </c>
      <c r="E443" s="36">
        <v>16428999</v>
      </c>
      <c r="F443" s="36">
        <v>0</v>
      </c>
      <c r="G443" s="36">
        <v>0</v>
      </c>
      <c r="H443" s="36">
        <v>12361361</v>
      </c>
      <c r="I443" s="36">
        <v>0</v>
      </c>
      <c r="J443" s="37">
        <v>2399193</v>
      </c>
      <c r="K443" s="36">
        <v>28790360</v>
      </c>
      <c r="L443" s="38">
        <v>31189553</v>
      </c>
      <c r="M443" s="39"/>
      <c r="N443" s="36">
        <v>28790360</v>
      </c>
      <c r="O443" s="36">
        <v>16428999</v>
      </c>
      <c r="P443" s="36">
        <v>0</v>
      </c>
      <c r="Q443" s="36">
        <f>Q442*1936.27</f>
        <v>34146773.198482007</v>
      </c>
      <c r="R443" s="7"/>
      <c r="S443" s="7"/>
      <c r="T443" s="7"/>
      <c r="U443" s="7"/>
      <c r="V443" s="7"/>
      <c r="W443" s="7"/>
      <c r="X443" s="7"/>
      <c r="Y443" s="7"/>
      <c r="Z443" s="7"/>
    </row>
    <row r="444" spans="1:26" ht="12.75" customHeight="1" x14ac:dyDescent="0.2">
      <c r="A444" s="156"/>
      <c r="B444" s="156"/>
      <c r="C444" s="40" t="s">
        <v>36</v>
      </c>
      <c r="D444" s="41">
        <v>9</v>
      </c>
      <c r="E444" s="42">
        <v>9689.25</v>
      </c>
      <c r="F444" s="42">
        <v>0</v>
      </c>
      <c r="G444" s="42">
        <v>0</v>
      </c>
      <c r="H444" s="42">
        <v>6384.11</v>
      </c>
      <c r="I444" s="42">
        <v>0</v>
      </c>
      <c r="J444" s="42">
        <v>1339.45</v>
      </c>
      <c r="K444" s="43">
        <v>16073.36</v>
      </c>
      <c r="L444" s="32">
        <v>17412.810000000001</v>
      </c>
      <c r="M444" s="33"/>
      <c r="N444" s="30">
        <v>16073.36</v>
      </c>
      <c r="O444" s="30">
        <v>9689.25</v>
      </c>
      <c r="P444" s="30"/>
      <c r="Q444" s="30">
        <f>(N444+O444*0.18+J444)+(IF((P444-O444*0.18)&gt;0,(P444-O444*0.18),0))</f>
        <v>19156.875</v>
      </c>
      <c r="R444" s="7"/>
      <c r="S444" s="7"/>
      <c r="T444" s="7"/>
      <c r="U444" s="7"/>
      <c r="V444" s="7"/>
      <c r="W444" s="7"/>
      <c r="X444" s="7"/>
      <c r="Y444" s="7"/>
      <c r="Z444" s="7"/>
    </row>
    <row r="445" spans="1:26" ht="9" customHeight="1" x14ac:dyDescent="0.2">
      <c r="A445" s="156"/>
      <c r="B445" s="156"/>
      <c r="C445" s="34" t="s">
        <v>37</v>
      </c>
      <c r="D445" s="35">
        <v>14</v>
      </c>
      <c r="E445" s="36">
        <v>18761004</v>
      </c>
      <c r="F445" s="36">
        <v>0</v>
      </c>
      <c r="G445" s="36">
        <v>0</v>
      </c>
      <c r="H445" s="36">
        <v>12361361</v>
      </c>
      <c r="I445" s="36">
        <v>0</v>
      </c>
      <c r="J445" s="37">
        <v>2593537</v>
      </c>
      <c r="K445" s="36">
        <v>31122365</v>
      </c>
      <c r="L445" s="38">
        <v>33715902</v>
      </c>
      <c r="M445" s="39"/>
      <c r="N445" s="36">
        <v>31122365</v>
      </c>
      <c r="O445" s="36">
        <v>18761004</v>
      </c>
      <c r="P445" s="36">
        <v>0</v>
      </c>
      <c r="Q445" s="36">
        <f>Q444*1936.27</f>
        <v>37092882.356250003</v>
      </c>
      <c r="R445" s="7"/>
      <c r="S445" s="7"/>
      <c r="T445" s="7"/>
      <c r="U445" s="7"/>
      <c r="V445" s="7"/>
      <c r="W445" s="7"/>
      <c r="X445" s="7"/>
      <c r="Y445" s="7"/>
      <c r="Z445" s="7"/>
    </row>
    <row r="446" spans="1:26" ht="12.75" customHeight="1" x14ac:dyDescent="0.2">
      <c r="A446" s="156"/>
      <c r="B446" s="156"/>
      <c r="C446" s="40" t="s">
        <v>36</v>
      </c>
      <c r="D446" s="41">
        <v>15</v>
      </c>
      <c r="E446" s="42">
        <v>11097.11</v>
      </c>
      <c r="F446" s="42">
        <v>0</v>
      </c>
      <c r="G446" s="42">
        <v>0</v>
      </c>
      <c r="H446" s="42">
        <v>6384.11</v>
      </c>
      <c r="I446" s="42">
        <v>0</v>
      </c>
      <c r="J446" s="42">
        <v>1456.77</v>
      </c>
      <c r="K446" s="43">
        <v>17481.22</v>
      </c>
      <c r="L446" s="32">
        <v>18937.990000000002</v>
      </c>
      <c r="M446" s="33"/>
      <c r="N446" s="30">
        <v>17481.22</v>
      </c>
      <c r="O446" s="30">
        <v>11097.11</v>
      </c>
      <c r="P446" s="30"/>
      <c r="Q446" s="30">
        <f>(N446+O446*0.18+J446)+(IF((P446-O446*0.18)&gt;0,(P446-O446*0.18),0))</f>
        <v>20935.469800000003</v>
      </c>
      <c r="R446" s="7"/>
      <c r="S446" s="7"/>
      <c r="T446" s="7"/>
      <c r="U446" s="7"/>
      <c r="V446" s="7"/>
      <c r="W446" s="7"/>
      <c r="X446" s="7"/>
      <c r="Y446" s="7"/>
      <c r="Z446" s="7"/>
    </row>
    <row r="447" spans="1:26" ht="9" customHeight="1" x14ac:dyDescent="0.2">
      <c r="A447" s="156"/>
      <c r="B447" s="156"/>
      <c r="C447" s="34" t="s">
        <v>37</v>
      </c>
      <c r="D447" s="35">
        <v>20</v>
      </c>
      <c r="E447" s="36">
        <v>21487001</v>
      </c>
      <c r="F447" s="36">
        <v>0</v>
      </c>
      <c r="G447" s="36">
        <v>0</v>
      </c>
      <c r="H447" s="36">
        <v>12361361</v>
      </c>
      <c r="I447" s="36">
        <v>0</v>
      </c>
      <c r="J447" s="37">
        <v>2820700</v>
      </c>
      <c r="K447" s="36">
        <v>33848362</v>
      </c>
      <c r="L447" s="38">
        <v>36669062</v>
      </c>
      <c r="M447" s="39"/>
      <c r="N447" s="36">
        <v>33848362</v>
      </c>
      <c r="O447" s="36">
        <v>21487001</v>
      </c>
      <c r="P447" s="36">
        <v>0</v>
      </c>
      <c r="Q447" s="36">
        <f>Q446*1936.27</f>
        <v>40536722.109646007</v>
      </c>
      <c r="R447" s="7"/>
      <c r="S447" s="7"/>
      <c r="T447" s="7"/>
      <c r="U447" s="7"/>
      <c r="V447" s="7"/>
      <c r="W447" s="7"/>
      <c r="X447" s="7"/>
      <c r="Y447" s="7"/>
      <c r="Z447" s="7"/>
    </row>
    <row r="448" spans="1:26" ht="12.75" customHeight="1" x14ac:dyDescent="0.2">
      <c r="A448" s="156"/>
      <c r="B448" s="156"/>
      <c r="C448" s="40" t="s">
        <v>36</v>
      </c>
      <c r="D448" s="41">
        <v>21</v>
      </c>
      <c r="E448" s="42">
        <v>12465.72</v>
      </c>
      <c r="F448" s="42">
        <v>0</v>
      </c>
      <c r="G448" s="42">
        <v>0</v>
      </c>
      <c r="H448" s="42">
        <v>6384.11</v>
      </c>
      <c r="I448" s="42">
        <v>0</v>
      </c>
      <c r="J448" s="42">
        <v>1570.82</v>
      </c>
      <c r="K448" s="43">
        <v>18849.830000000002</v>
      </c>
      <c r="L448" s="32">
        <v>20420.650000000001</v>
      </c>
      <c r="M448" s="33"/>
      <c r="N448" s="30">
        <v>18849.830000000002</v>
      </c>
      <c r="O448" s="30">
        <v>12465.72</v>
      </c>
      <c r="P448" s="30"/>
      <c r="Q448" s="30">
        <f>(N448+O448*0.18+J448)+(IF((P448-O448*0.18)&gt;0,(P448-O448*0.18),0))</f>
        <v>22664.479600000002</v>
      </c>
      <c r="R448" s="7"/>
      <c r="S448" s="7"/>
      <c r="T448" s="7"/>
      <c r="U448" s="7"/>
      <c r="V448" s="7"/>
      <c r="W448" s="7"/>
      <c r="X448" s="7"/>
      <c r="Y448" s="7"/>
      <c r="Z448" s="7"/>
    </row>
    <row r="449" spans="1:26" ht="9" customHeight="1" x14ac:dyDescent="0.2">
      <c r="A449" s="156"/>
      <c r="B449" s="156"/>
      <c r="C449" s="34" t="s">
        <v>37</v>
      </c>
      <c r="D449" s="35">
        <v>27</v>
      </c>
      <c r="E449" s="36">
        <v>24137000</v>
      </c>
      <c r="F449" s="36">
        <v>0</v>
      </c>
      <c r="G449" s="36">
        <v>0</v>
      </c>
      <c r="H449" s="36">
        <v>12361361</v>
      </c>
      <c r="I449" s="36">
        <v>0</v>
      </c>
      <c r="J449" s="37">
        <v>3041532</v>
      </c>
      <c r="K449" s="36">
        <v>36498360</v>
      </c>
      <c r="L449" s="38">
        <v>39539892</v>
      </c>
      <c r="M449" s="39"/>
      <c r="N449" s="36">
        <v>36498360</v>
      </c>
      <c r="O449" s="36">
        <v>24137000</v>
      </c>
      <c r="P449" s="36">
        <v>0</v>
      </c>
      <c r="Q449" s="36">
        <f>Q448*1936.27</f>
        <v>43884551.915092006</v>
      </c>
      <c r="R449" s="7"/>
      <c r="S449" s="7"/>
      <c r="T449" s="7"/>
      <c r="U449" s="7"/>
      <c r="V449" s="7"/>
      <c r="W449" s="7"/>
      <c r="X449" s="7"/>
      <c r="Y449" s="7"/>
      <c r="Z449" s="7"/>
    </row>
    <row r="450" spans="1:26" ht="12.75" customHeight="1" x14ac:dyDescent="0.2">
      <c r="A450" s="156"/>
      <c r="B450" s="156"/>
      <c r="C450" s="40" t="s">
        <v>36</v>
      </c>
      <c r="D450" s="41">
        <v>28</v>
      </c>
      <c r="E450" s="42">
        <v>13814.19</v>
      </c>
      <c r="F450" s="42">
        <v>0</v>
      </c>
      <c r="G450" s="42">
        <v>0</v>
      </c>
      <c r="H450" s="42">
        <v>6384.11</v>
      </c>
      <c r="I450" s="42">
        <v>0</v>
      </c>
      <c r="J450" s="42">
        <v>1683.19</v>
      </c>
      <c r="K450" s="43">
        <v>20198.3</v>
      </c>
      <c r="L450" s="32">
        <v>21881.49</v>
      </c>
      <c r="M450" s="33"/>
      <c r="N450" s="30">
        <v>20198.3</v>
      </c>
      <c r="O450" s="30">
        <v>13814.19</v>
      </c>
      <c r="P450" s="30"/>
      <c r="Q450" s="30">
        <f>(N450+O450*0.18+J450)+(IF((P450-O450*0.18)&gt;0,(P450-O450*0.18),0))</f>
        <v>24368.044199999997</v>
      </c>
      <c r="R450" s="7"/>
      <c r="S450" s="7"/>
      <c r="T450" s="7"/>
      <c r="U450" s="7"/>
      <c r="V450" s="7"/>
      <c r="W450" s="7"/>
      <c r="X450" s="7"/>
      <c r="Y450" s="7"/>
      <c r="Z450" s="7"/>
    </row>
    <row r="451" spans="1:26" ht="9" customHeight="1" x14ac:dyDescent="0.2">
      <c r="A451" s="156"/>
      <c r="B451" s="156"/>
      <c r="C451" s="34" t="s">
        <v>37</v>
      </c>
      <c r="D451" s="35">
        <v>34</v>
      </c>
      <c r="E451" s="36">
        <v>26748002</v>
      </c>
      <c r="F451" s="36">
        <v>0</v>
      </c>
      <c r="G451" s="36">
        <v>0</v>
      </c>
      <c r="H451" s="36">
        <v>12361361</v>
      </c>
      <c r="I451" s="36">
        <v>0</v>
      </c>
      <c r="J451" s="37">
        <v>3259110</v>
      </c>
      <c r="K451" s="36">
        <v>39109362</v>
      </c>
      <c r="L451" s="38">
        <v>42368473</v>
      </c>
      <c r="M451" s="39"/>
      <c r="N451" s="36">
        <v>39109362</v>
      </c>
      <c r="O451" s="36">
        <v>26748002</v>
      </c>
      <c r="P451" s="36">
        <v>0</v>
      </c>
      <c r="Q451" s="36">
        <f>Q450*1936.27</f>
        <v>47183112.943133995</v>
      </c>
      <c r="R451" s="7"/>
      <c r="S451" s="7"/>
      <c r="T451" s="7"/>
      <c r="U451" s="7"/>
      <c r="V451" s="7"/>
      <c r="W451" s="7"/>
      <c r="X451" s="7"/>
      <c r="Y451" s="7"/>
      <c r="Z451" s="7"/>
    </row>
    <row r="452" spans="1:26" ht="12.75" customHeight="1" x14ac:dyDescent="0.2">
      <c r="A452" s="156"/>
      <c r="B452" s="156"/>
      <c r="C452" s="40" t="s">
        <v>36</v>
      </c>
      <c r="D452" s="41">
        <v>35</v>
      </c>
      <c r="E452" s="42">
        <v>14816.12</v>
      </c>
      <c r="F452" s="42">
        <v>0</v>
      </c>
      <c r="G452" s="42">
        <v>0</v>
      </c>
      <c r="H452" s="42">
        <v>6384.11</v>
      </c>
      <c r="I452" s="42">
        <v>0</v>
      </c>
      <c r="J452" s="42">
        <v>1766.69</v>
      </c>
      <c r="K452" s="43">
        <v>21200.23</v>
      </c>
      <c r="L452" s="32">
        <v>22966.92</v>
      </c>
      <c r="M452" s="33"/>
      <c r="N452" s="30">
        <v>21200.23</v>
      </c>
      <c r="O452" s="30">
        <v>14816.12</v>
      </c>
      <c r="P452" s="30"/>
      <c r="Q452" s="30">
        <f>(N452+O452*0.18+J452)+(IF((P452-O452*0.18)&gt;0,(P452-O452*0.18),0))</f>
        <v>25633.821599999999</v>
      </c>
      <c r="R452" s="7"/>
      <c r="S452" s="7"/>
      <c r="T452" s="7"/>
      <c r="U452" s="7"/>
      <c r="V452" s="7"/>
      <c r="W452" s="7"/>
      <c r="X452" s="7"/>
      <c r="Y452" s="7"/>
      <c r="Z452" s="7"/>
    </row>
    <row r="453" spans="1:26" ht="9" customHeight="1" x14ac:dyDescent="0.2">
      <c r="A453" s="183"/>
      <c r="B453" s="183"/>
      <c r="C453" s="47" t="s">
        <v>37</v>
      </c>
      <c r="D453" s="48"/>
      <c r="E453" s="46">
        <v>28688009</v>
      </c>
      <c r="F453" s="46">
        <v>0</v>
      </c>
      <c r="G453" s="46">
        <v>0</v>
      </c>
      <c r="H453" s="46">
        <v>12361361</v>
      </c>
      <c r="I453" s="46">
        <v>0</v>
      </c>
      <c r="J453" s="49">
        <v>3420789</v>
      </c>
      <c r="K453" s="46">
        <v>41049369</v>
      </c>
      <c r="L453" s="38">
        <v>44470158</v>
      </c>
      <c r="M453" s="39"/>
      <c r="N453" s="36">
        <v>41049369</v>
      </c>
      <c r="O453" s="36">
        <v>28688009</v>
      </c>
      <c r="P453" s="36">
        <v>0</v>
      </c>
      <c r="Q453" s="36">
        <f>Q452*1936.27</f>
        <v>49633999.749431998</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6"/>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6"/>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6"/>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6"/>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6"/>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6"/>
      <c r="M459" s="39"/>
      <c r="N459" s="96"/>
      <c r="O459" s="96"/>
      <c r="P459" s="96"/>
      <c r="Q459" s="96"/>
      <c r="R459" s="7"/>
      <c r="S459" s="7"/>
      <c r="T459" s="7"/>
      <c r="U459" s="7"/>
      <c r="V459" s="7"/>
      <c r="W459" s="7"/>
      <c r="X459" s="7"/>
      <c r="Y459" s="7"/>
      <c r="Z459" s="7"/>
    </row>
    <row r="460" spans="1:26" ht="12.75" customHeight="1" x14ac:dyDescent="0.2">
      <c r="A460" s="98">
        <v>35612</v>
      </c>
      <c r="B460" s="98">
        <v>36099</v>
      </c>
      <c r="C460" s="28" t="s">
        <v>36</v>
      </c>
      <c r="D460" s="29">
        <v>0</v>
      </c>
      <c r="E460" s="30">
        <v>8520.51</v>
      </c>
      <c r="F460" s="30">
        <v>0</v>
      </c>
      <c r="G460" s="30">
        <v>0</v>
      </c>
      <c r="H460" s="30">
        <v>6384.11</v>
      </c>
      <c r="I460" s="30">
        <v>0</v>
      </c>
      <c r="J460" s="30">
        <v>1242.05</v>
      </c>
      <c r="K460" s="31">
        <v>14904.62</v>
      </c>
      <c r="L460" s="32">
        <v>16146.67</v>
      </c>
      <c r="M460" s="33"/>
      <c r="N460" s="30">
        <v>14904.62</v>
      </c>
      <c r="O460" s="30">
        <v>8520.51</v>
      </c>
      <c r="P460" s="30"/>
      <c r="Q460" s="30">
        <f>(N460+O460*0.18+J460)+(IF((P460-O460*0.18)&gt;0,(P460-O460*0.18),0))</f>
        <v>17680.361799999999</v>
      </c>
      <c r="R460" s="7"/>
      <c r="S460" s="7"/>
      <c r="T460" s="7"/>
      <c r="U460" s="7"/>
      <c r="V460" s="7"/>
      <c r="W460" s="7"/>
      <c r="X460" s="7"/>
      <c r="Y460" s="7"/>
      <c r="Z460" s="7"/>
    </row>
    <row r="461" spans="1:26" ht="9" customHeight="1" x14ac:dyDescent="0.2">
      <c r="A461" s="99"/>
      <c r="B461" s="99"/>
      <c r="C461" s="34" t="s">
        <v>37</v>
      </c>
      <c r="D461" s="35">
        <v>2</v>
      </c>
      <c r="E461" s="36">
        <v>16498008</v>
      </c>
      <c r="F461" s="36">
        <v>0</v>
      </c>
      <c r="G461" s="36">
        <v>0</v>
      </c>
      <c r="H461" s="36">
        <v>12361361</v>
      </c>
      <c r="I461" s="36">
        <v>0</v>
      </c>
      <c r="J461" s="37">
        <v>2404944</v>
      </c>
      <c r="K461" s="36">
        <v>28859369</v>
      </c>
      <c r="L461" s="38">
        <v>31264313</v>
      </c>
      <c r="M461" s="39"/>
      <c r="N461" s="36">
        <v>28859369</v>
      </c>
      <c r="O461" s="36">
        <v>16498008</v>
      </c>
      <c r="P461" s="36">
        <v>0</v>
      </c>
      <c r="Q461" s="36">
        <f>Q460*1936.27</f>
        <v>34233954.142485999</v>
      </c>
      <c r="R461" s="7"/>
      <c r="S461" s="7"/>
      <c r="T461" s="7"/>
      <c r="U461" s="7"/>
      <c r="V461" s="7"/>
      <c r="W461" s="7"/>
      <c r="X461" s="7"/>
      <c r="Y461" s="7"/>
      <c r="Z461" s="7"/>
    </row>
    <row r="462" spans="1:26" ht="12.75" customHeight="1" x14ac:dyDescent="0.2">
      <c r="A462" s="156">
        <v>35612</v>
      </c>
      <c r="B462" s="156">
        <v>36099</v>
      </c>
      <c r="C462" s="40" t="s">
        <v>36</v>
      </c>
      <c r="D462" s="41">
        <v>3</v>
      </c>
      <c r="E462" s="42">
        <v>8918.69</v>
      </c>
      <c r="F462" s="42">
        <v>0</v>
      </c>
      <c r="G462" s="42">
        <v>0</v>
      </c>
      <c r="H462" s="42">
        <v>6384.11</v>
      </c>
      <c r="I462" s="42">
        <v>0</v>
      </c>
      <c r="J462" s="42">
        <v>1275.23</v>
      </c>
      <c r="K462" s="43">
        <v>15302.8</v>
      </c>
      <c r="L462" s="32">
        <v>16578.03</v>
      </c>
      <c r="M462" s="33"/>
      <c r="N462" s="30">
        <v>15302.8</v>
      </c>
      <c r="O462" s="30">
        <v>8918.69</v>
      </c>
      <c r="P462" s="30"/>
      <c r="Q462" s="30">
        <f>(N462+O462*0.18+J462)+(IF((P462-O462*0.18)&gt;0,(P462-O462*0.18),0))</f>
        <v>18183.394199999999</v>
      </c>
      <c r="R462" s="7"/>
      <c r="S462" s="7"/>
      <c r="T462" s="7"/>
      <c r="U462" s="7"/>
      <c r="V462" s="7"/>
      <c r="W462" s="7"/>
      <c r="X462" s="7"/>
      <c r="Y462" s="7"/>
      <c r="Z462" s="7"/>
    </row>
    <row r="463" spans="1:26" ht="9" customHeight="1" x14ac:dyDescent="0.2">
      <c r="A463" s="95"/>
      <c r="B463" s="95"/>
      <c r="C463" s="34" t="s">
        <v>37</v>
      </c>
      <c r="D463" s="35">
        <v>8</v>
      </c>
      <c r="E463" s="36">
        <v>17268992</v>
      </c>
      <c r="F463" s="36">
        <v>0</v>
      </c>
      <c r="G463" s="36">
        <v>0</v>
      </c>
      <c r="H463" s="36">
        <v>12361361</v>
      </c>
      <c r="I463" s="36">
        <v>0</v>
      </c>
      <c r="J463" s="37">
        <v>2469190</v>
      </c>
      <c r="K463" s="36">
        <v>29630353</v>
      </c>
      <c r="L463" s="38">
        <v>32099542</v>
      </c>
      <c r="M463" s="39"/>
      <c r="N463" s="36">
        <v>29630353</v>
      </c>
      <c r="O463" s="36">
        <v>17268992</v>
      </c>
      <c r="P463" s="36">
        <v>0</v>
      </c>
      <c r="Q463" s="36">
        <f>Q462*1936.27</f>
        <v>35207960.687633999</v>
      </c>
      <c r="R463" s="7"/>
      <c r="S463" s="7"/>
      <c r="T463" s="7"/>
      <c r="U463" s="7"/>
      <c r="V463" s="7"/>
      <c r="W463" s="7"/>
      <c r="X463" s="7"/>
      <c r="Y463" s="7"/>
      <c r="Z463" s="7"/>
    </row>
    <row r="464" spans="1:26" ht="12.75" customHeight="1" x14ac:dyDescent="0.2">
      <c r="A464" s="95"/>
      <c r="B464" s="95"/>
      <c r="C464" s="40" t="s">
        <v>36</v>
      </c>
      <c r="D464" s="41">
        <v>9</v>
      </c>
      <c r="E464" s="42">
        <v>10160.26</v>
      </c>
      <c r="F464" s="42">
        <v>0</v>
      </c>
      <c r="G464" s="42">
        <v>0</v>
      </c>
      <c r="H464" s="42">
        <v>6384.11</v>
      </c>
      <c r="I464" s="42">
        <v>0</v>
      </c>
      <c r="J464" s="42">
        <v>1378.7</v>
      </c>
      <c r="K464" s="43">
        <v>16544.37</v>
      </c>
      <c r="L464" s="32">
        <v>17923.07</v>
      </c>
      <c r="M464" s="33"/>
      <c r="N464" s="30">
        <v>16544.37</v>
      </c>
      <c r="O464" s="30">
        <v>10160.26</v>
      </c>
      <c r="P464" s="30"/>
      <c r="Q464" s="30">
        <f>(N464+O464*0.18+J464)+(IF((P464-O464*0.18)&gt;0,(P464-O464*0.18),0))</f>
        <v>19751.916799999999</v>
      </c>
      <c r="R464" s="7"/>
      <c r="S464" s="7"/>
      <c r="T464" s="7"/>
      <c r="U464" s="7"/>
      <c r="V464" s="7"/>
      <c r="W464" s="7"/>
      <c r="X464" s="7"/>
      <c r="Y464" s="7"/>
      <c r="Z464" s="7"/>
    </row>
    <row r="465" spans="1:26" ht="9" customHeight="1" x14ac:dyDescent="0.2">
      <c r="A465" s="95"/>
      <c r="B465" s="95"/>
      <c r="C465" s="34" t="s">
        <v>37</v>
      </c>
      <c r="D465" s="35">
        <v>14</v>
      </c>
      <c r="E465" s="36">
        <v>19673007</v>
      </c>
      <c r="F465" s="36">
        <v>0</v>
      </c>
      <c r="G465" s="36">
        <v>0</v>
      </c>
      <c r="H465" s="36">
        <v>12361361</v>
      </c>
      <c r="I465" s="36">
        <v>0</v>
      </c>
      <c r="J465" s="37">
        <v>2669535</v>
      </c>
      <c r="K465" s="36">
        <v>32034367</v>
      </c>
      <c r="L465" s="38">
        <v>34703903</v>
      </c>
      <c r="M465" s="39"/>
      <c r="N465" s="36">
        <v>32034367</v>
      </c>
      <c r="O465" s="36">
        <v>19673007</v>
      </c>
      <c r="P465" s="36">
        <v>0</v>
      </c>
      <c r="Q465" s="36">
        <f>Q464*1936.27</f>
        <v>38245043.942336001</v>
      </c>
      <c r="R465" s="7"/>
      <c r="S465" s="7"/>
      <c r="T465" s="7"/>
      <c r="U465" s="7"/>
      <c r="V465" s="7"/>
      <c r="W465" s="7"/>
      <c r="X465" s="7"/>
      <c r="Y465" s="7"/>
      <c r="Z465" s="7"/>
    </row>
    <row r="466" spans="1:26" ht="12.75" customHeight="1" x14ac:dyDescent="0.2">
      <c r="A466" s="95"/>
      <c r="B466" s="95"/>
      <c r="C466" s="40" t="s">
        <v>36</v>
      </c>
      <c r="D466" s="41">
        <v>15</v>
      </c>
      <c r="E466" s="42">
        <v>11605.3</v>
      </c>
      <c r="F466" s="42">
        <v>0</v>
      </c>
      <c r="G466" s="42">
        <v>0</v>
      </c>
      <c r="H466" s="42">
        <v>6384.11</v>
      </c>
      <c r="I466" s="42">
        <v>0</v>
      </c>
      <c r="J466" s="42">
        <v>1499.12</v>
      </c>
      <c r="K466" s="43">
        <v>17989.41</v>
      </c>
      <c r="L466" s="32">
        <v>19488.53</v>
      </c>
      <c r="M466" s="33"/>
      <c r="N466" s="30">
        <v>17989.41</v>
      </c>
      <c r="O466" s="30">
        <v>11605.3</v>
      </c>
      <c r="P466" s="30"/>
      <c r="Q466" s="30">
        <f>(N466+O466*0.18+J466)+(IF((P466-O466*0.18)&gt;0,(P466-O466*0.18),0))</f>
        <v>21577.484</v>
      </c>
      <c r="R466" s="7"/>
      <c r="S466" s="7"/>
      <c r="T466" s="7"/>
      <c r="U466" s="7"/>
      <c r="V466" s="7"/>
      <c r="W466" s="7"/>
      <c r="X466" s="7"/>
      <c r="Y466" s="7"/>
      <c r="Z466" s="7"/>
    </row>
    <row r="467" spans="1:26" ht="9" customHeight="1" x14ac:dyDescent="0.2">
      <c r="A467" s="95"/>
      <c r="B467" s="95"/>
      <c r="C467" s="34" t="s">
        <v>37</v>
      </c>
      <c r="D467" s="35">
        <v>20</v>
      </c>
      <c r="E467" s="36">
        <v>22470994</v>
      </c>
      <c r="F467" s="36">
        <v>0</v>
      </c>
      <c r="G467" s="36">
        <v>0</v>
      </c>
      <c r="H467" s="36">
        <v>12361361</v>
      </c>
      <c r="I467" s="36">
        <v>0</v>
      </c>
      <c r="J467" s="37">
        <v>2902701</v>
      </c>
      <c r="K467" s="36">
        <v>34832355</v>
      </c>
      <c r="L467" s="38">
        <v>37735056</v>
      </c>
      <c r="M467" s="39"/>
      <c r="N467" s="36">
        <v>34832355</v>
      </c>
      <c r="O467" s="36">
        <v>22470994</v>
      </c>
      <c r="P467" s="36">
        <v>0</v>
      </c>
      <c r="Q467" s="36">
        <f>Q466*1936.27</f>
        <v>41779834.944679998</v>
      </c>
      <c r="R467" s="7"/>
      <c r="S467" s="7"/>
      <c r="T467" s="7"/>
      <c r="U467" s="7"/>
      <c r="V467" s="7"/>
      <c r="W467" s="7"/>
      <c r="X467" s="7"/>
      <c r="Y467" s="7"/>
      <c r="Z467" s="7"/>
    </row>
    <row r="468" spans="1:26" ht="12.75" customHeight="1" x14ac:dyDescent="0.2">
      <c r="A468" s="95"/>
      <c r="B468" s="95"/>
      <c r="C468" s="40" t="s">
        <v>36</v>
      </c>
      <c r="D468" s="41">
        <v>21</v>
      </c>
      <c r="E468" s="42">
        <v>13017.3</v>
      </c>
      <c r="F468" s="42">
        <v>0</v>
      </c>
      <c r="G468" s="42">
        <v>0</v>
      </c>
      <c r="H468" s="42">
        <v>6384.11</v>
      </c>
      <c r="I468" s="42">
        <v>0</v>
      </c>
      <c r="J468" s="42">
        <v>1616.78</v>
      </c>
      <c r="K468" s="43">
        <v>19401.41</v>
      </c>
      <c r="L468" s="32">
        <v>21018.19</v>
      </c>
      <c r="M468" s="33"/>
      <c r="N468" s="30">
        <v>19401.41</v>
      </c>
      <c r="O468" s="30">
        <v>13017.3</v>
      </c>
      <c r="P468" s="30"/>
      <c r="Q468" s="30">
        <f>(N468+O468*0.18+J468)+(IF((P468-O468*0.18)&gt;0,(P468-O468*0.18),0))</f>
        <v>23361.303999999996</v>
      </c>
      <c r="R468" s="7"/>
      <c r="S468" s="7"/>
      <c r="T468" s="7"/>
      <c r="U468" s="7"/>
      <c r="V468" s="7"/>
      <c r="W468" s="7"/>
      <c r="X468" s="7"/>
      <c r="Y468" s="7"/>
      <c r="Z468" s="7"/>
    </row>
    <row r="469" spans="1:26" ht="9" customHeight="1" x14ac:dyDescent="0.2">
      <c r="A469" s="95"/>
      <c r="B469" s="95"/>
      <c r="C469" s="34" t="s">
        <v>37</v>
      </c>
      <c r="D469" s="35">
        <v>27</v>
      </c>
      <c r="E469" s="36">
        <v>25205007</v>
      </c>
      <c r="F469" s="36">
        <v>0</v>
      </c>
      <c r="G469" s="36">
        <v>0</v>
      </c>
      <c r="H469" s="36">
        <v>12361361</v>
      </c>
      <c r="I469" s="36">
        <v>0</v>
      </c>
      <c r="J469" s="37">
        <v>3130523</v>
      </c>
      <c r="K469" s="36">
        <v>37566368</v>
      </c>
      <c r="L469" s="38">
        <v>40696891</v>
      </c>
      <c r="M469" s="39"/>
      <c r="N469" s="36">
        <v>37566368</v>
      </c>
      <c r="O469" s="36">
        <v>25205007</v>
      </c>
      <c r="P469" s="36">
        <v>0</v>
      </c>
      <c r="Q469" s="36">
        <f>Q468*1936.27</f>
        <v>45233792.09607999</v>
      </c>
      <c r="R469" s="7"/>
      <c r="S469" s="7"/>
      <c r="T469" s="7"/>
      <c r="U469" s="7"/>
      <c r="V469" s="7"/>
      <c r="W469" s="7"/>
      <c r="X469" s="7"/>
      <c r="Y469" s="7"/>
      <c r="Z469" s="7"/>
    </row>
    <row r="470" spans="1:26" ht="12.75" customHeight="1" x14ac:dyDescent="0.2">
      <c r="A470" s="95"/>
      <c r="B470" s="95"/>
      <c r="C470" s="40" t="s">
        <v>36</v>
      </c>
      <c r="D470" s="41">
        <v>28</v>
      </c>
      <c r="E470" s="42">
        <v>14402.95</v>
      </c>
      <c r="F470" s="42">
        <v>0</v>
      </c>
      <c r="G470" s="42">
        <v>0</v>
      </c>
      <c r="H470" s="42">
        <v>6384.11</v>
      </c>
      <c r="I470" s="42">
        <v>0</v>
      </c>
      <c r="J470" s="42">
        <v>1732.26</v>
      </c>
      <c r="K470" s="43">
        <v>20787.060000000001</v>
      </c>
      <c r="L470" s="32">
        <v>22519.32</v>
      </c>
      <c r="M470" s="33"/>
      <c r="N470" s="30">
        <v>20787.060000000001</v>
      </c>
      <c r="O470" s="30">
        <v>14402.95</v>
      </c>
      <c r="P470" s="30"/>
      <c r="Q470" s="30">
        <f>(N470+O470*0.18+J470)+(IF((P470-O470*0.18)&gt;0,(P470-O470*0.18),0))</f>
        <v>25111.850999999999</v>
      </c>
      <c r="R470" s="7"/>
      <c r="S470" s="7"/>
      <c r="T470" s="7"/>
      <c r="U470" s="7"/>
      <c r="V470" s="7"/>
      <c r="W470" s="7"/>
      <c r="X470" s="7"/>
      <c r="Y470" s="7"/>
      <c r="Z470" s="7"/>
    </row>
    <row r="471" spans="1:26" ht="9" customHeight="1" x14ac:dyDescent="0.2">
      <c r="A471" s="95"/>
      <c r="B471" s="95"/>
      <c r="C471" s="34" t="s">
        <v>37</v>
      </c>
      <c r="D471" s="35">
        <v>34</v>
      </c>
      <c r="E471" s="36">
        <v>27888000</v>
      </c>
      <c r="F471" s="36">
        <v>0</v>
      </c>
      <c r="G471" s="36">
        <v>0</v>
      </c>
      <c r="H471" s="36">
        <v>12361361</v>
      </c>
      <c r="I471" s="36">
        <v>0</v>
      </c>
      <c r="J471" s="37">
        <v>3354123</v>
      </c>
      <c r="K471" s="36">
        <v>40249361</v>
      </c>
      <c r="L471" s="38">
        <v>43603484</v>
      </c>
      <c r="M471" s="39"/>
      <c r="N471" s="36">
        <v>40249361</v>
      </c>
      <c r="O471" s="36">
        <v>27888000</v>
      </c>
      <c r="P471" s="36">
        <v>0</v>
      </c>
      <c r="Q471" s="36">
        <f>Q470*1936.27</f>
        <v>48623323.735769995</v>
      </c>
      <c r="R471" s="7"/>
      <c r="S471" s="7"/>
      <c r="T471" s="7"/>
      <c r="U471" s="7"/>
      <c r="V471" s="7"/>
      <c r="W471" s="7"/>
      <c r="X471" s="7"/>
      <c r="Y471" s="7"/>
      <c r="Z471" s="7"/>
    </row>
    <row r="472" spans="1:26" ht="12.75" customHeight="1" x14ac:dyDescent="0.2">
      <c r="A472" s="95"/>
      <c r="B472" s="95"/>
      <c r="C472" s="40" t="s">
        <v>36</v>
      </c>
      <c r="D472" s="41">
        <v>35</v>
      </c>
      <c r="E472" s="42">
        <v>15435.86</v>
      </c>
      <c r="F472" s="42">
        <v>0</v>
      </c>
      <c r="G472" s="42">
        <v>0</v>
      </c>
      <c r="H472" s="42">
        <v>6384.11</v>
      </c>
      <c r="I472" s="42">
        <v>0</v>
      </c>
      <c r="J472" s="42">
        <v>1818.33</v>
      </c>
      <c r="K472" s="43">
        <v>21819.97</v>
      </c>
      <c r="L472" s="32">
        <v>23638.3</v>
      </c>
      <c r="M472" s="33"/>
      <c r="N472" s="30">
        <v>21819.97</v>
      </c>
      <c r="O472" s="30">
        <v>15435.86</v>
      </c>
      <c r="P472" s="30"/>
      <c r="Q472" s="30">
        <f>(N472+O472*0.18+J472)+(IF((P472-O472*0.18)&gt;0,(P472-O472*0.18),0))</f>
        <v>26416.754800000002</v>
      </c>
      <c r="R472" s="7"/>
      <c r="S472" s="7"/>
      <c r="T472" s="7"/>
      <c r="U472" s="7"/>
      <c r="V472" s="7"/>
      <c r="W472" s="7"/>
      <c r="X472" s="7"/>
      <c r="Y472" s="7"/>
      <c r="Z472" s="7"/>
    </row>
    <row r="473" spans="1:26" ht="9" customHeight="1" x14ac:dyDescent="0.2">
      <c r="A473" s="110"/>
      <c r="B473" s="110"/>
      <c r="C473" s="47" t="s">
        <v>37</v>
      </c>
      <c r="D473" s="48"/>
      <c r="E473" s="46">
        <v>29887993</v>
      </c>
      <c r="F473" s="46">
        <v>0</v>
      </c>
      <c r="G473" s="46">
        <v>0</v>
      </c>
      <c r="H473" s="46">
        <v>12361361</v>
      </c>
      <c r="I473" s="46">
        <v>0</v>
      </c>
      <c r="J473" s="49">
        <v>3520778</v>
      </c>
      <c r="K473" s="46">
        <v>42249353</v>
      </c>
      <c r="L473" s="38">
        <v>45770131</v>
      </c>
      <c r="M473" s="39"/>
      <c r="N473" s="36">
        <v>42249353</v>
      </c>
      <c r="O473" s="36">
        <v>29887993</v>
      </c>
      <c r="P473" s="36">
        <v>0</v>
      </c>
      <c r="Q473" s="36">
        <f>Q472*1936.27</f>
        <v>51149969.816596001</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6"/>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6"/>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6"/>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12.75" customHeight="1" x14ac:dyDescent="0.2">
      <c r="A480" s="98">
        <v>36100</v>
      </c>
      <c r="B480" s="98">
        <v>36311</v>
      </c>
      <c r="C480" s="28" t="s">
        <v>36</v>
      </c>
      <c r="D480" s="29">
        <v>0</v>
      </c>
      <c r="E480" s="30">
        <v>8787</v>
      </c>
      <c r="F480" s="30">
        <v>0</v>
      </c>
      <c r="G480" s="30">
        <v>0</v>
      </c>
      <c r="H480" s="30">
        <v>6384.11</v>
      </c>
      <c r="I480" s="30">
        <v>0</v>
      </c>
      <c r="J480" s="30">
        <v>1264.26</v>
      </c>
      <c r="K480" s="31">
        <v>15171.11</v>
      </c>
      <c r="L480" s="32">
        <v>16435.37</v>
      </c>
      <c r="M480" s="33"/>
      <c r="N480" s="30">
        <v>15171.11</v>
      </c>
      <c r="O480" s="30">
        <v>8787</v>
      </c>
      <c r="P480" s="30"/>
      <c r="Q480" s="30">
        <f>(N480+O480*0.18+J480)+(IF((P480-O480*0.18)&gt;0,(P480-O480*0.18),0))</f>
        <v>18017.03</v>
      </c>
      <c r="R480" s="7"/>
      <c r="S480" s="7"/>
      <c r="T480" s="7"/>
      <c r="U480" s="7"/>
      <c r="V480" s="7"/>
      <c r="W480" s="7"/>
      <c r="X480" s="7"/>
      <c r="Y480" s="7"/>
      <c r="Z480" s="7"/>
    </row>
    <row r="481" spans="1:26" ht="9" customHeight="1" x14ac:dyDescent="0.2">
      <c r="A481" s="95"/>
      <c r="B481" s="95"/>
      <c r="C481" s="34" t="s">
        <v>37</v>
      </c>
      <c r="D481" s="35">
        <v>2</v>
      </c>
      <c r="E481" s="36">
        <v>17014004</v>
      </c>
      <c r="F481" s="36">
        <v>0</v>
      </c>
      <c r="G481" s="36">
        <v>0</v>
      </c>
      <c r="H481" s="36">
        <v>12361361</v>
      </c>
      <c r="I481" s="36">
        <v>0</v>
      </c>
      <c r="J481" s="37">
        <v>2447949</v>
      </c>
      <c r="K481" s="36">
        <v>29375365</v>
      </c>
      <c r="L481" s="38">
        <v>31823314</v>
      </c>
      <c r="M481" s="39"/>
      <c r="N481" s="36">
        <v>29375365</v>
      </c>
      <c r="O481" s="36">
        <v>17014004</v>
      </c>
      <c r="P481" s="36">
        <v>0</v>
      </c>
      <c r="Q481" s="36">
        <f>Q480*1936.27</f>
        <v>34885834.678099997</v>
      </c>
      <c r="R481" s="7"/>
      <c r="S481" s="7"/>
      <c r="T481" s="7"/>
      <c r="U481" s="7"/>
      <c r="V481" s="7"/>
      <c r="W481" s="7"/>
      <c r="X481" s="7"/>
      <c r="Y481" s="7"/>
      <c r="Z481" s="7"/>
    </row>
    <row r="482" spans="1:26" ht="12.75" customHeight="1" x14ac:dyDescent="0.2">
      <c r="A482" s="156">
        <v>36100</v>
      </c>
      <c r="B482" s="156">
        <v>36311</v>
      </c>
      <c r="C482" s="40" t="s">
        <v>36</v>
      </c>
      <c r="D482" s="41">
        <v>3</v>
      </c>
      <c r="E482" s="42">
        <v>9191.3799999999992</v>
      </c>
      <c r="F482" s="42">
        <v>0</v>
      </c>
      <c r="G482" s="42">
        <v>0</v>
      </c>
      <c r="H482" s="42">
        <v>6384.11</v>
      </c>
      <c r="I482" s="42">
        <v>0</v>
      </c>
      <c r="J482" s="42">
        <v>1297.96</v>
      </c>
      <c r="K482" s="43">
        <v>15575.49</v>
      </c>
      <c r="L482" s="32">
        <v>16873.45</v>
      </c>
      <c r="M482" s="33"/>
      <c r="N482" s="30">
        <v>15575.49</v>
      </c>
      <c r="O482" s="30">
        <v>9191.3799999999992</v>
      </c>
      <c r="P482" s="30"/>
      <c r="Q482" s="30">
        <f>(N482+O482*0.18+J482)+(IF((P482-O482*0.18)&gt;0,(P482-O482*0.18),0))</f>
        <v>18527.898399999998</v>
      </c>
      <c r="R482" s="7"/>
      <c r="S482" s="7"/>
      <c r="T482" s="7"/>
      <c r="U482" s="7"/>
      <c r="V482" s="7"/>
      <c r="W482" s="7"/>
      <c r="X482" s="7"/>
      <c r="Y482" s="7"/>
      <c r="Z482" s="7"/>
    </row>
    <row r="483" spans="1:26" ht="9" customHeight="1" x14ac:dyDescent="0.2">
      <c r="A483" s="95"/>
      <c r="B483" s="95"/>
      <c r="C483" s="34" t="s">
        <v>37</v>
      </c>
      <c r="D483" s="35">
        <v>8</v>
      </c>
      <c r="E483" s="36">
        <v>17796993</v>
      </c>
      <c r="F483" s="36">
        <v>0</v>
      </c>
      <c r="G483" s="36">
        <v>0</v>
      </c>
      <c r="H483" s="36">
        <v>12361361</v>
      </c>
      <c r="I483" s="36">
        <v>0</v>
      </c>
      <c r="J483" s="37">
        <v>2513201</v>
      </c>
      <c r="K483" s="36">
        <v>30158354</v>
      </c>
      <c r="L483" s="38">
        <v>32671555</v>
      </c>
      <c r="M483" s="39"/>
      <c r="N483" s="36">
        <v>30158354</v>
      </c>
      <c r="O483" s="36">
        <v>17796993</v>
      </c>
      <c r="P483" s="36">
        <v>0</v>
      </c>
      <c r="Q483" s="36">
        <f>Q482*1936.27</f>
        <v>35875013.834967993</v>
      </c>
      <c r="R483" s="7"/>
      <c r="S483" s="7"/>
      <c r="T483" s="7"/>
      <c r="U483" s="7"/>
      <c r="V483" s="7"/>
      <c r="W483" s="7"/>
      <c r="X483" s="7"/>
      <c r="Y483" s="7"/>
      <c r="Z483" s="7"/>
    </row>
    <row r="484" spans="1:26" ht="12.75" customHeight="1" x14ac:dyDescent="0.2">
      <c r="A484" s="95"/>
      <c r="B484" s="95"/>
      <c r="C484" s="40" t="s">
        <v>36</v>
      </c>
      <c r="D484" s="41">
        <v>9</v>
      </c>
      <c r="E484" s="42">
        <v>10457.74</v>
      </c>
      <c r="F484" s="42">
        <v>0</v>
      </c>
      <c r="G484" s="42">
        <v>0</v>
      </c>
      <c r="H484" s="42">
        <v>6384.11</v>
      </c>
      <c r="I484" s="42">
        <v>0</v>
      </c>
      <c r="J484" s="42">
        <v>1403.49</v>
      </c>
      <c r="K484" s="43">
        <v>16841.849999999999</v>
      </c>
      <c r="L484" s="32">
        <v>18245.34</v>
      </c>
      <c r="M484" s="33"/>
      <c r="N484" s="30">
        <v>16841.849999999999</v>
      </c>
      <c r="O484" s="30">
        <v>10457.74</v>
      </c>
      <c r="P484" s="30"/>
      <c r="Q484" s="30">
        <f>(N484+O484*0.18+J484)+(IF((P484-O484*0.18)&gt;0,(P484-O484*0.18),0))</f>
        <v>20127.733199999999</v>
      </c>
      <c r="R484" s="7"/>
      <c r="S484" s="7"/>
      <c r="T484" s="7"/>
      <c r="U484" s="7"/>
      <c r="V484" s="7"/>
      <c r="W484" s="7"/>
      <c r="X484" s="7"/>
      <c r="Y484" s="7"/>
      <c r="Z484" s="7"/>
    </row>
    <row r="485" spans="1:26" ht="9" customHeight="1" x14ac:dyDescent="0.2">
      <c r="A485" s="95"/>
      <c r="B485" s="95"/>
      <c r="C485" s="34" t="s">
        <v>37</v>
      </c>
      <c r="D485" s="35">
        <v>14</v>
      </c>
      <c r="E485" s="36">
        <v>20249008</v>
      </c>
      <c r="F485" s="36">
        <v>0</v>
      </c>
      <c r="G485" s="36">
        <v>0</v>
      </c>
      <c r="H485" s="36">
        <v>12361361</v>
      </c>
      <c r="I485" s="36">
        <v>0</v>
      </c>
      <c r="J485" s="37">
        <v>2717536</v>
      </c>
      <c r="K485" s="36">
        <v>32610369</v>
      </c>
      <c r="L485" s="38">
        <v>35327904</v>
      </c>
      <c r="M485" s="39"/>
      <c r="N485" s="36">
        <v>32610369</v>
      </c>
      <c r="O485" s="36">
        <v>20249008</v>
      </c>
      <c r="P485" s="36">
        <v>0</v>
      </c>
      <c r="Q485" s="36">
        <f>Q484*1936.27</f>
        <v>38972725.963163994</v>
      </c>
      <c r="R485" s="7"/>
      <c r="S485" s="7"/>
      <c r="T485" s="7"/>
      <c r="U485" s="7"/>
      <c r="V485" s="7"/>
      <c r="W485" s="7"/>
      <c r="X485" s="7"/>
      <c r="Y485" s="7"/>
      <c r="Z485" s="7"/>
    </row>
    <row r="486" spans="1:26" ht="12.75" customHeight="1" x14ac:dyDescent="0.2">
      <c r="A486" s="95"/>
      <c r="B486" s="95"/>
      <c r="C486" s="40" t="s">
        <v>36</v>
      </c>
      <c r="D486" s="41">
        <v>15</v>
      </c>
      <c r="E486" s="42">
        <v>11927.57</v>
      </c>
      <c r="F486" s="42">
        <v>0</v>
      </c>
      <c r="G486" s="42">
        <v>0</v>
      </c>
      <c r="H486" s="42">
        <v>6384.11</v>
      </c>
      <c r="I486" s="42">
        <v>0</v>
      </c>
      <c r="J486" s="42">
        <v>1525.97</v>
      </c>
      <c r="K486" s="43">
        <v>18311.68</v>
      </c>
      <c r="L486" s="32">
        <v>19837.650000000001</v>
      </c>
      <c r="M486" s="33"/>
      <c r="N486" s="30">
        <v>18311.68</v>
      </c>
      <c r="O486" s="30">
        <v>11927.57</v>
      </c>
      <c r="P486" s="30"/>
      <c r="Q486" s="30">
        <f>(N486+O486*0.18+J486)+(IF((P486-O486*0.18)&gt;0,(P486-O486*0.18),0))</f>
        <v>21984.6126</v>
      </c>
      <c r="R486" s="7"/>
      <c r="S486" s="7"/>
      <c r="T486" s="7"/>
      <c r="U486" s="7"/>
      <c r="V486" s="7"/>
      <c r="W486" s="7"/>
      <c r="X486" s="7"/>
      <c r="Y486" s="7"/>
      <c r="Z486" s="7"/>
    </row>
    <row r="487" spans="1:26" ht="9" customHeight="1" x14ac:dyDescent="0.2">
      <c r="A487" s="95"/>
      <c r="B487" s="95"/>
      <c r="C487" s="34" t="s">
        <v>37</v>
      </c>
      <c r="D487" s="35">
        <v>20</v>
      </c>
      <c r="E487" s="36">
        <v>23094996</v>
      </c>
      <c r="F487" s="36">
        <v>0</v>
      </c>
      <c r="G487" s="36">
        <v>0</v>
      </c>
      <c r="H487" s="36">
        <v>12361361</v>
      </c>
      <c r="I487" s="36">
        <v>0</v>
      </c>
      <c r="J487" s="37">
        <v>2954690</v>
      </c>
      <c r="K487" s="36">
        <v>35456357</v>
      </c>
      <c r="L487" s="38">
        <v>38411047</v>
      </c>
      <c r="M487" s="39"/>
      <c r="N487" s="36">
        <v>35456357</v>
      </c>
      <c r="O487" s="36">
        <v>23094996</v>
      </c>
      <c r="P487" s="36">
        <v>0</v>
      </c>
      <c r="Q487" s="36">
        <f>Q486*1936.27</f>
        <v>42568145.839001998</v>
      </c>
      <c r="R487" s="7"/>
      <c r="S487" s="7"/>
      <c r="T487" s="7"/>
      <c r="U487" s="7"/>
      <c r="V487" s="7"/>
      <c r="W487" s="7"/>
      <c r="X487" s="7"/>
      <c r="Y487" s="7"/>
      <c r="Z487" s="7"/>
    </row>
    <row r="488" spans="1:26" ht="12.75" customHeight="1" x14ac:dyDescent="0.2">
      <c r="A488" s="95"/>
      <c r="B488" s="95"/>
      <c r="C488" s="40" t="s">
        <v>36</v>
      </c>
      <c r="D488" s="41">
        <v>21</v>
      </c>
      <c r="E488" s="42">
        <v>13364.36</v>
      </c>
      <c r="F488" s="42">
        <v>0</v>
      </c>
      <c r="G488" s="42">
        <v>0</v>
      </c>
      <c r="H488" s="42">
        <v>6384.11</v>
      </c>
      <c r="I488" s="42">
        <v>0</v>
      </c>
      <c r="J488" s="42">
        <v>1645.71</v>
      </c>
      <c r="K488" s="43">
        <v>19748.47</v>
      </c>
      <c r="L488" s="32">
        <v>21394.18</v>
      </c>
      <c r="M488" s="33"/>
      <c r="N488" s="30">
        <v>19748.47</v>
      </c>
      <c r="O488" s="30">
        <v>13364.36</v>
      </c>
      <c r="P488" s="30"/>
      <c r="Q488" s="30">
        <f>(N488+O488*0.18+J488)+(IF((P488-O488*0.18)&gt;0,(P488-O488*0.18),0))</f>
        <v>23799.764800000001</v>
      </c>
      <c r="R488" s="7"/>
      <c r="S488" s="7"/>
      <c r="T488" s="7"/>
      <c r="U488" s="7"/>
      <c r="V488" s="7"/>
      <c r="W488" s="7"/>
      <c r="X488" s="7"/>
      <c r="Y488" s="7"/>
      <c r="Z488" s="7"/>
    </row>
    <row r="489" spans="1:26" ht="9" customHeight="1" x14ac:dyDescent="0.2">
      <c r="A489" s="95"/>
      <c r="B489" s="95"/>
      <c r="C489" s="34" t="s">
        <v>37</v>
      </c>
      <c r="D489" s="35">
        <v>27</v>
      </c>
      <c r="E489" s="36">
        <v>25877009</v>
      </c>
      <c r="F489" s="36">
        <v>0</v>
      </c>
      <c r="G489" s="36">
        <v>0</v>
      </c>
      <c r="H489" s="36">
        <v>12361361</v>
      </c>
      <c r="I489" s="36">
        <v>0</v>
      </c>
      <c r="J489" s="37">
        <v>3186539</v>
      </c>
      <c r="K489" s="36">
        <v>38238370</v>
      </c>
      <c r="L489" s="38">
        <v>41424909</v>
      </c>
      <c r="M489" s="39"/>
      <c r="N489" s="36">
        <v>38238370</v>
      </c>
      <c r="O489" s="36">
        <v>25877009</v>
      </c>
      <c r="P489" s="36">
        <v>0</v>
      </c>
      <c r="Q489" s="36">
        <f>Q488*1936.27</f>
        <v>46082770.589295998</v>
      </c>
      <c r="R489" s="7"/>
      <c r="S489" s="7"/>
      <c r="T489" s="7"/>
      <c r="U489" s="7"/>
      <c r="V489" s="7"/>
      <c r="W489" s="7"/>
      <c r="X489" s="7"/>
      <c r="Y489" s="7"/>
      <c r="Z489" s="7"/>
    </row>
    <row r="490" spans="1:26" ht="12.75" customHeight="1" x14ac:dyDescent="0.2">
      <c r="A490" s="95"/>
      <c r="B490" s="95"/>
      <c r="C490" s="40" t="s">
        <v>36</v>
      </c>
      <c r="D490" s="41">
        <v>28</v>
      </c>
      <c r="E490" s="42">
        <v>14774.8</v>
      </c>
      <c r="F490" s="42">
        <v>0</v>
      </c>
      <c r="G490" s="42">
        <v>0</v>
      </c>
      <c r="H490" s="42">
        <v>6384.11</v>
      </c>
      <c r="I490" s="42">
        <v>0</v>
      </c>
      <c r="J490" s="42">
        <v>1763.24</v>
      </c>
      <c r="K490" s="43">
        <v>21158.91</v>
      </c>
      <c r="L490" s="32">
        <v>22922.15</v>
      </c>
      <c r="M490" s="33"/>
      <c r="N490" s="30">
        <v>21158.91</v>
      </c>
      <c r="O490" s="30">
        <v>14774.8</v>
      </c>
      <c r="P490" s="30"/>
      <c r="Q490" s="30">
        <f>(N490+O490*0.18+J490)+(IF((P490-O490*0.18)&gt;0,(P490-O490*0.18),0))</f>
        <v>25581.614000000001</v>
      </c>
      <c r="R490" s="7"/>
      <c r="S490" s="7"/>
      <c r="T490" s="7"/>
      <c r="U490" s="7"/>
      <c r="V490" s="7"/>
      <c r="W490" s="7"/>
      <c r="X490" s="7"/>
      <c r="Y490" s="7"/>
      <c r="Z490" s="7"/>
    </row>
    <row r="491" spans="1:26" ht="9" customHeight="1" x14ac:dyDescent="0.2">
      <c r="A491" s="95"/>
      <c r="B491" s="95"/>
      <c r="C491" s="34" t="s">
        <v>37</v>
      </c>
      <c r="D491" s="35">
        <v>34</v>
      </c>
      <c r="E491" s="36">
        <v>28608002</v>
      </c>
      <c r="F491" s="36">
        <v>0</v>
      </c>
      <c r="G491" s="36">
        <v>0</v>
      </c>
      <c r="H491" s="36">
        <v>12361361</v>
      </c>
      <c r="I491" s="36">
        <v>0</v>
      </c>
      <c r="J491" s="37">
        <v>3414109</v>
      </c>
      <c r="K491" s="36">
        <v>40969363</v>
      </c>
      <c r="L491" s="38">
        <v>44383471</v>
      </c>
      <c r="M491" s="39"/>
      <c r="N491" s="36">
        <v>40969363</v>
      </c>
      <c r="O491" s="36">
        <v>28608002</v>
      </c>
      <c r="P491" s="36">
        <v>0</v>
      </c>
      <c r="Q491" s="36">
        <f>Q490*1936.27</f>
        <v>49532911.739780001</v>
      </c>
      <c r="R491" s="7"/>
      <c r="S491" s="7"/>
      <c r="T491" s="7"/>
      <c r="U491" s="7"/>
      <c r="V491" s="7"/>
      <c r="W491" s="7"/>
      <c r="X491" s="7"/>
      <c r="Y491" s="7"/>
      <c r="Z491" s="7"/>
    </row>
    <row r="492" spans="1:26" ht="12.75" customHeight="1" x14ac:dyDescent="0.2">
      <c r="A492" s="95"/>
      <c r="B492" s="95"/>
      <c r="C492" s="40" t="s">
        <v>36</v>
      </c>
      <c r="D492" s="41">
        <v>35</v>
      </c>
      <c r="E492" s="42">
        <v>15826.31</v>
      </c>
      <c r="F492" s="42">
        <v>0</v>
      </c>
      <c r="G492" s="42">
        <v>0</v>
      </c>
      <c r="H492" s="42">
        <v>6384.11</v>
      </c>
      <c r="I492" s="42">
        <v>0</v>
      </c>
      <c r="J492" s="42">
        <v>1850.87</v>
      </c>
      <c r="K492" s="43">
        <v>22210.42</v>
      </c>
      <c r="L492" s="32">
        <v>24061.29</v>
      </c>
      <c r="M492" s="33"/>
      <c r="N492" s="30">
        <v>22210.42</v>
      </c>
      <c r="O492" s="30">
        <v>15826.31</v>
      </c>
      <c r="P492" s="30"/>
      <c r="Q492" s="30">
        <f>(N492+O492*0.18+J492)+(IF((P492-O492*0.18)&gt;0,(P492-O492*0.18),0))</f>
        <v>26910.025799999996</v>
      </c>
      <c r="R492" s="7"/>
      <c r="S492" s="7"/>
      <c r="T492" s="7"/>
      <c r="U492" s="7"/>
      <c r="V492" s="7"/>
      <c r="W492" s="7"/>
      <c r="X492" s="7"/>
      <c r="Y492" s="7"/>
      <c r="Z492" s="7"/>
    </row>
    <row r="493" spans="1:26" ht="9" customHeight="1" x14ac:dyDescent="0.2">
      <c r="A493" s="110"/>
      <c r="B493" s="110"/>
      <c r="C493" s="47" t="s">
        <v>37</v>
      </c>
      <c r="D493" s="48"/>
      <c r="E493" s="46">
        <v>30644009</v>
      </c>
      <c r="F493" s="46">
        <v>0</v>
      </c>
      <c r="G493" s="46">
        <v>0</v>
      </c>
      <c r="H493" s="46">
        <v>12361361</v>
      </c>
      <c r="I493" s="46">
        <v>0</v>
      </c>
      <c r="J493" s="49">
        <v>3583784</v>
      </c>
      <c r="K493" s="46">
        <v>43005370</v>
      </c>
      <c r="L493" s="38">
        <v>46589154</v>
      </c>
      <c r="M493" s="39"/>
      <c r="N493" s="36">
        <v>43005370</v>
      </c>
      <c r="O493" s="36">
        <v>30644009</v>
      </c>
      <c r="P493" s="36">
        <v>0</v>
      </c>
      <c r="Q493" s="36">
        <f>Q492*1936.27</f>
        <v>52105075.655765988</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12.75" customHeight="1" x14ac:dyDescent="0.2">
      <c r="A500" s="98">
        <v>36312</v>
      </c>
      <c r="B500" s="98">
        <v>36707</v>
      </c>
      <c r="C500" s="28" t="s">
        <v>36</v>
      </c>
      <c r="D500" s="29">
        <v>0</v>
      </c>
      <c r="E500" s="30">
        <v>9010.11</v>
      </c>
      <c r="F500" s="30">
        <v>0</v>
      </c>
      <c r="G500" s="30">
        <v>0</v>
      </c>
      <c r="H500" s="30">
        <v>6384.11</v>
      </c>
      <c r="I500" s="30">
        <v>0</v>
      </c>
      <c r="J500" s="30">
        <v>1282.8499999999999</v>
      </c>
      <c r="K500" s="31">
        <v>15394.22</v>
      </c>
      <c r="L500" s="32">
        <v>16677.07</v>
      </c>
      <c r="M500" s="33"/>
      <c r="N500" s="30">
        <v>15394.22</v>
      </c>
      <c r="O500" s="30">
        <v>9010.11</v>
      </c>
      <c r="P500" s="30"/>
      <c r="Q500" s="30">
        <f>(N500+O500*0.18+J500)+(IF((P500-O500*0.18)&gt;0,(P500-O500*0.18),0))</f>
        <v>18298.889799999997</v>
      </c>
      <c r="R500" s="7"/>
      <c r="S500" s="7"/>
      <c r="T500" s="7"/>
      <c r="U500" s="7"/>
      <c r="V500" s="7"/>
      <c r="W500" s="7"/>
      <c r="X500" s="7"/>
      <c r="Y500" s="7"/>
      <c r="Z500" s="7"/>
    </row>
    <row r="501" spans="1:26" ht="9" customHeight="1" x14ac:dyDescent="0.2">
      <c r="A501" s="95"/>
      <c r="B501" s="95"/>
      <c r="C501" s="34" t="s">
        <v>37</v>
      </c>
      <c r="D501" s="35">
        <v>2</v>
      </c>
      <c r="E501" s="36">
        <v>17446006</v>
      </c>
      <c r="F501" s="36">
        <v>0</v>
      </c>
      <c r="G501" s="36">
        <v>0</v>
      </c>
      <c r="H501" s="36">
        <v>12361361</v>
      </c>
      <c r="I501" s="36">
        <v>0</v>
      </c>
      <c r="J501" s="37">
        <v>2483944</v>
      </c>
      <c r="K501" s="36">
        <v>29807366</v>
      </c>
      <c r="L501" s="38">
        <v>32291310</v>
      </c>
      <c r="M501" s="39"/>
      <c r="N501" s="36">
        <v>29807366</v>
      </c>
      <c r="O501" s="36">
        <v>17446006</v>
      </c>
      <c r="P501" s="36">
        <v>0</v>
      </c>
      <c r="Q501" s="36">
        <f>Q500*1936.27</f>
        <v>35431591.353045993</v>
      </c>
      <c r="R501" s="7"/>
      <c r="S501" s="7"/>
      <c r="T501" s="7"/>
      <c r="U501" s="7"/>
      <c r="V501" s="7"/>
      <c r="W501" s="7"/>
      <c r="X501" s="7"/>
      <c r="Y501" s="7"/>
      <c r="Z501" s="7"/>
    </row>
    <row r="502" spans="1:26" ht="12.75" customHeight="1" x14ac:dyDescent="0.2">
      <c r="A502" s="156">
        <v>36312</v>
      </c>
      <c r="B502" s="156">
        <v>36707</v>
      </c>
      <c r="C502" s="40" t="s">
        <v>36</v>
      </c>
      <c r="D502" s="41">
        <v>3</v>
      </c>
      <c r="E502" s="42">
        <v>9420.69</v>
      </c>
      <c r="F502" s="42">
        <v>0</v>
      </c>
      <c r="G502" s="42">
        <v>0</v>
      </c>
      <c r="H502" s="42">
        <v>6384.11</v>
      </c>
      <c r="I502" s="42">
        <v>0</v>
      </c>
      <c r="J502" s="42">
        <v>1317.07</v>
      </c>
      <c r="K502" s="43">
        <v>15804.8</v>
      </c>
      <c r="L502" s="32">
        <v>17121.87</v>
      </c>
      <c r="M502" s="33"/>
      <c r="N502" s="30">
        <v>15804.8</v>
      </c>
      <c r="O502" s="30">
        <v>9420.69</v>
      </c>
      <c r="P502" s="30"/>
      <c r="Q502" s="30">
        <f>(N502+O502*0.18+J502)+(IF((P502-O502*0.18)&gt;0,(P502-O502*0.18),0))</f>
        <v>18817.5942</v>
      </c>
      <c r="R502" s="7"/>
      <c r="S502" s="7"/>
      <c r="T502" s="7"/>
      <c r="U502" s="7"/>
      <c r="V502" s="7"/>
      <c r="W502" s="7"/>
      <c r="X502" s="7"/>
      <c r="Y502" s="7"/>
      <c r="Z502" s="7"/>
    </row>
    <row r="503" spans="1:26" ht="9" customHeight="1" x14ac:dyDescent="0.2">
      <c r="A503" s="95"/>
      <c r="B503" s="95"/>
      <c r="C503" s="34" t="s">
        <v>37</v>
      </c>
      <c r="D503" s="35">
        <v>8</v>
      </c>
      <c r="E503" s="36">
        <v>18240999</v>
      </c>
      <c r="F503" s="36">
        <v>0</v>
      </c>
      <c r="G503" s="36">
        <v>0</v>
      </c>
      <c r="H503" s="36">
        <v>12361361</v>
      </c>
      <c r="I503" s="36">
        <v>0</v>
      </c>
      <c r="J503" s="37">
        <v>2550203</v>
      </c>
      <c r="K503" s="36">
        <v>30602360</v>
      </c>
      <c r="L503" s="38">
        <v>33152563</v>
      </c>
      <c r="M503" s="39"/>
      <c r="N503" s="36">
        <v>30602360</v>
      </c>
      <c r="O503" s="36">
        <v>18240999</v>
      </c>
      <c r="P503" s="36">
        <v>0</v>
      </c>
      <c r="Q503" s="36">
        <f>Q502*1936.27</f>
        <v>36435943.121633999</v>
      </c>
      <c r="R503" s="7"/>
      <c r="S503" s="7"/>
      <c r="T503" s="7"/>
      <c r="U503" s="7"/>
      <c r="V503" s="7"/>
      <c r="W503" s="7"/>
      <c r="X503" s="7"/>
      <c r="Y503" s="7"/>
      <c r="Z503" s="7"/>
    </row>
    <row r="504" spans="1:26" ht="12.75" customHeight="1" x14ac:dyDescent="0.2">
      <c r="A504" s="95"/>
      <c r="B504" s="95"/>
      <c r="C504" s="40" t="s">
        <v>36</v>
      </c>
      <c r="D504" s="41">
        <v>9</v>
      </c>
      <c r="E504" s="42">
        <v>10705.64</v>
      </c>
      <c r="F504" s="42">
        <v>0</v>
      </c>
      <c r="G504" s="42">
        <v>0</v>
      </c>
      <c r="H504" s="42">
        <v>6384.11</v>
      </c>
      <c r="I504" s="42">
        <v>0</v>
      </c>
      <c r="J504" s="42">
        <v>1424.15</v>
      </c>
      <c r="K504" s="43">
        <v>17089.75</v>
      </c>
      <c r="L504" s="32">
        <v>18513.900000000001</v>
      </c>
      <c r="M504" s="33"/>
      <c r="N504" s="30">
        <v>17089.75</v>
      </c>
      <c r="O504" s="30">
        <v>10705.64</v>
      </c>
      <c r="P504" s="30"/>
      <c r="Q504" s="30">
        <f>(N504+O504*0.18+J504)+(IF((P504-O504*0.18)&gt;0,(P504-O504*0.18),0))</f>
        <v>20440.915200000003</v>
      </c>
      <c r="R504" s="7"/>
      <c r="S504" s="7"/>
      <c r="T504" s="7"/>
      <c r="U504" s="7"/>
      <c r="V504" s="7"/>
      <c r="W504" s="7"/>
      <c r="X504" s="7"/>
      <c r="Y504" s="7"/>
      <c r="Z504" s="7"/>
    </row>
    <row r="505" spans="1:26" ht="9" customHeight="1" x14ac:dyDescent="0.2">
      <c r="A505" s="95"/>
      <c r="B505" s="95"/>
      <c r="C505" s="34" t="s">
        <v>37</v>
      </c>
      <c r="D505" s="35">
        <v>14</v>
      </c>
      <c r="E505" s="36">
        <v>20729010</v>
      </c>
      <c r="F505" s="36">
        <v>0</v>
      </c>
      <c r="G505" s="36">
        <v>0</v>
      </c>
      <c r="H505" s="36">
        <v>12361361</v>
      </c>
      <c r="I505" s="36">
        <v>0</v>
      </c>
      <c r="J505" s="37">
        <v>2757539</v>
      </c>
      <c r="K505" s="36">
        <v>33090370</v>
      </c>
      <c r="L505" s="38">
        <v>35847909</v>
      </c>
      <c r="M505" s="39"/>
      <c r="N505" s="36">
        <v>33090370</v>
      </c>
      <c r="O505" s="36">
        <v>20729010</v>
      </c>
      <c r="P505" s="36">
        <v>0</v>
      </c>
      <c r="Q505" s="36">
        <f>Q504*1936.27</f>
        <v>39579130.874304004</v>
      </c>
      <c r="R505" s="7"/>
      <c r="S505" s="7"/>
      <c r="T505" s="7"/>
      <c r="U505" s="7"/>
      <c r="V505" s="7"/>
      <c r="W505" s="7"/>
      <c r="X505" s="7"/>
      <c r="Y505" s="7"/>
      <c r="Z505" s="7"/>
    </row>
    <row r="506" spans="1:26" ht="12.75" customHeight="1" x14ac:dyDescent="0.2">
      <c r="A506" s="95"/>
      <c r="B506" s="95"/>
      <c r="C506" s="40" t="s">
        <v>36</v>
      </c>
      <c r="D506" s="41">
        <v>15</v>
      </c>
      <c r="E506" s="42">
        <v>12200.26</v>
      </c>
      <c r="F506" s="42">
        <v>0</v>
      </c>
      <c r="G506" s="42">
        <v>0</v>
      </c>
      <c r="H506" s="42">
        <v>6384.11</v>
      </c>
      <c r="I506" s="42">
        <v>0</v>
      </c>
      <c r="J506" s="42">
        <v>1548.7</v>
      </c>
      <c r="K506" s="43">
        <v>18584.37</v>
      </c>
      <c r="L506" s="32">
        <v>20133.07</v>
      </c>
      <c r="M506" s="33"/>
      <c r="N506" s="30">
        <v>18584.37</v>
      </c>
      <c r="O506" s="30">
        <v>12200.26</v>
      </c>
      <c r="P506" s="30"/>
      <c r="Q506" s="30">
        <f>(N506+O506*0.18+J506)+(IF((P506-O506*0.18)&gt;0,(P506-O506*0.18),0))</f>
        <v>22329.1168</v>
      </c>
      <c r="R506" s="7"/>
      <c r="S506" s="7"/>
      <c r="T506" s="7"/>
      <c r="U506" s="7"/>
      <c r="V506" s="7"/>
      <c r="W506" s="7"/>
      <c r="X506" s="7"/>
      <c r="Y506" s="7"/>
      <c r="Z506" s="7"/>
    </row>
    <row r="507" spans="1:26" ht="9" customHeight="1" x14ac:dyDescent="0.2">
      <c r="A507" s="95"/>
      <c r="B507" s="95"/>
      <c r="C507" s="34" t="s">
        <v>37</v>
      </c>
      <c r="D507" s="35">
        <v>20</v>
      </c>
      <c r="E507" s="36">
        <v>23622997</v>
      </c>
      <c r="F507" s="36">
        <v>0</v>
      </c>
      <c r="G507" s="36">
        <v>0</v>
      </c>
      <c r="H507" s="36">
        <v>12361361</v>
      </c>
      <c r="I507" s="36">
        <v>0</v>
      </c>
      <c r="J507" s="37">
        <v>2998701</v>
      </c>
      <c r="K507" s="36">
        <v>35984358</v>
      </c>
      <c r="L507" s="38">
        <v>38983059</v>
      </c>
      <c r="M507" s="39"/>
      <c r="N507" s="36">
        <v>35984358</v>
      </c>
      <c r="O507" s="36">
        <v>23622997</v>
      </c>
      <c r="P507" s="36">
        <v>0</v>
      </c>
      <c r="Q507" s="36">
        <f>Q506*1936.27</f>
        <v>43235198.986336</v>
      </c>
      <c r="R507" s="7"/>
      <c r="S507" s="7"/>
      <c r="T507" s="7"/>
      <c r="U507" s="7"/>
      <c r="V507" s="7"/>
      <c r="W507" s="7"/>
      <c r="X507" s="7"/>
      <c r="Y507" s="7"/>
      <c r="Z507" s="7"/>
    </row>
    <row r="508" spans="1:26" ht="12.75" customHeight="1" x14ac:dyDescent="0.2">
      <c r="A508" s="95"/>
      <c r="B508" s="95"/>
      <c r="C508" s="40" t="s">
        <v>36</v>
      </c>
      <c r="D508" s="41">
        <v>21</v>
      </c>
      <c r="E508" s="42">
        <v>13655.64</v>
      </c>
      <c r="F508" s="42">
        <v>0</v>
      </c>
      <c r="G508" s="42">
        <v>0</v>
      </c>
      <c r="H508" s="42">
        <v>6384.11</v>
      </c>
      <c r="I508" s="42">
        <v>0</v>
      </c>
      <c r="J508" s="42">
        <v>1669.98</v>
      </c>
      <c r="K508" s="43">
        <v>20039.75</v>
      </c>
      <c r="L508" s="32">
        <v>21709.73</v>
      </c>
      <c r="M508" s="33"/>
      <c r="N508" s="30">
        <v>20039.75</v>
      </c>
      <c r="O508" s="30">
        <v>13655.64</v>
      </c>
      <c r="P508" s="30"/>
      <c r="Q508" s="30">
        <f>(N508+O508*0.18+J508)+(IF((P508-O508*0.18)&gt;0,(P508-O508*0.18),0))</f>
        <v>24167.745200000001</v>
      </c>
      <c r="R508" s="7"/>
      <c r="S508" s="7"/>
      <c r="T508" s="7"/>
      <c r="U508" s="7"/>
      <c r="V508" s="7"/>
      <c r="W508" s="7"/>
      <c r="X508" s="7"/>
      <c r="Y508" s="7"/>
      <c r="Z508" s="7"/>
    </row>
    <row r="509" spans="1:26" ht="9" customHeight="1" x14ac:dyDescent="0.2">
      <c r="A509" s="95"/>
      <c r="B509" s="95"/>
      <c r="C509" s="34" t="s">
        <v>37</v>
      </c>
      <c r="D509" s="35">
        <v>27</v>
      </c>
      <c r="E509" s="36">
        <v>26441006</v>
      </c>
      <c r="F509" s="36">
        <v>0</v>
      </c>
      <c r="G509" s="36">
        <v>0</v>
      </c>
      <c r="H509" s="36">
        <v>12361361</v>
      </c>
      <c r="I509" s="36">
        <v>0</v>
      </c>
      <c r="J509" s="37">
        <v>3233532</v>
      </c>
      <c r="K509" s="36">
        <v>38802367</v>
      </c>
      <c r="L509" s="38">
        <v>42035899</v>
      </c>
      <c r="M509" s="39"/>
      <c r="N509" s="36">
        <v>38802367</v>
      </c>
      <c r="O509" s="36">
        <v>26441006</v>
      </c>
      <c r="P509" s="36">
        <v>0</v>
      </c>
      <c r="Q509" s="36">
        <f>Q508*1936.27</f>
        <v>46795279.998404004</v>
      </c>
      <c r="R509" s="7"/>
      <c r="S509" s="7"/>
      <c r="T509" s="7"/>
      <c r="U509" s="7"/>
      <c r="V509" s="7"/>
      <c r="W509" s="7"/>
      <c r="X509" s="7"/>
      <c r="Y509" s="7"/>
      <c r="Z509" s="7"/>
    </row>
    <row r="510" spans="1:26" ht="12.75" customHeight="1" x14ac:dyDescent="0.2">
      <c r="A510" s="95"/>
      <c r="B510" s="95"/>
      <c r="C510" s="40" t="s">
        <v>36</v>
      </c>
      <c r="D510" s="41">
        <v>28</v>
      </c>
      <c r="E510" s="42">
        <v>15084.67</v>
      </c>
      <c r="F510" s="42">
        <v>0</v>
      </c>
      <c r="G510" s="42">
        <v>0</v>
      </c>
      <c r="H510" s="42">
        <v>6384.11</v>
      </c>
      <c r="I510" s="42">
        <v>0</v>
      </c>
      <c r="J510" s="42">
        <v>1789.07</v>
      </c>
      <c r="K510" s="43">
        <v>21468.78</v>
      </c>
      <c r="L510" s="32">
        <v>23257.85</v>
      </c>
      <c r="M510" s="33"/>
      <c r="N510" s="30">
        <v>21468.78</v>
      </c>
      <c r="O510" s="30">
        <v>15084.67</v>
      </c>
      <c r="P510" s="30"/>
      <c r="Q510" s="30">
        <f>(N510+O510*0.18+J510)+(IF((P510-O510*0.18)&gt;0,(P510-O510*0.18),0))</f>
        <v>25973.0906</v>
      </c>
      <c r="R510" s="7"/>
      <c r="S510" s="7"/>
      <c r="T510" s="7"/>
      <c r="U510" s="7"/>
      <c r="V510" s="7"/>
      <c r="W510" s="7"/>
      <c r="X510" s="7"/>
      <c r="Y510" s="7"/>
      <c r="Z510" s="7"/>
    </row>
    <row r="511" spans="1:26" ht="9" customHeight="1" x14ac:dyDescent="0.2">
      <c r="A511" s="95"/>
      <c r="B511" s="95"/>
      <c r="C511" s="34" t="s">
        <v>37</v>
      </c>
      <c r="D511" s="35">
        <v>34</v>
      </c>
      <c r="E511" s="36">
        <v>29207994</v>
      </c>
      <c r="F511" s="36">
        <v>0</v>
      </c>
      <c r="G511" s="36">
        <v>0</v>
      </c>
      <c r="H511" s="36">
        <v>12361361</v>
      </c>
      <c r="I511" s="36">
        <v>0</v>
      </c>
      <c r="J511" s="37">
        <v>3464123</v>
      </c>
      <c r="K511" s="36">
        <v>41569355</v>
      </c>
      <c r="L511" s="38">
        <v>45033477</v>
      </c>
      <c r="M511" s="39"/>
      <c r="N511" s="36">
        <v>41569355</v>
      </c>
      <c r="O511" s="36">
        <v>29207994</v>
      </c>
      <c r="P511" s="36">
        <v>0</v>
      </c>
      <c r="Q511" s="36">
        <f>Q510*1936.27</f>
        <v>50290916.136061996</v>
      </c>
      <c r="R511" s="7"/>
      <c r="S511" s="7"/>
      <c r="T511" s="7"/>
      <c r="U511" s="7"/>
      <c r="V511" s="7"/>
      <c r="W511" s="7"/>
      <c r="X511" s="7"/>
      <c r="Y511" s="7"/>
      <c r="Z511" s="7"/>
    </row>
    <row r="512" spans="1:26" ht="12.75" customHeight="1" x14ac:dyDescent="0.2">
      <c r="A512" s="95"/>
      <c r="B512" s="95"/>
      <c r="C512" s="40" t="s">
        <v>36</v>
      </c>
      <c r="D512" s="41">
        <v>35</v>
      </c>
      <c r="E512" s="42">
        <v>16154.77</v>
      </c>
      <c r="F512" s="42">
        <v>0</v>
      </c>
      <c r="G512" s="42">
        <v>0</v>
      </c>
      <c r="H512" s="42">
        <v>6384.11</v>
      </c>
      <c r="I512" s="42">
        <v>0</v>
      </c>
      <c r="J512" s="42">
        <v>1878.24</v>
      </c>
      <c r="K512" s="43">
        <v>22538.880000000001</v>
      </c>
      <c r="L512" s="32">
        <v>24417.119999999999</v>
      </c>
      <c r="M512" s="33"/>
      <c r="N512" s="30">
        <v>22538.880000000001</v>
      </c>
      <c r="O512" s="30">
        <v>16154.77</v>
      </c>
      <c r="P512" s="30"/>
      <c r="Q512" s="30">
        <f>(N512+O512*0.18+J512)+(IF((P512-O512*0.18)&gt;0,(P512-O512*0.18),0))</f>
        <v>27324.978600000002</v>
      </c>
      <c r="R512" s="7"/>
      <c r="S512" s="7"/>
      <c r="T512" s="7"/>
      <c r="U512" s="7"/>
      <c r="V512" s="7"/>
      <c r="W512" s="7"/>
      <c r="X512" s="7"/>
      <c r="Y512" s="7"/>
      <c r="Z512" s="7"/>
    </row>
    <row r="513" spans="1:26" ht="9" customHeight="1" x14ac:dyDescent="0.2">
      <c r="A513" s="110"/>
      <c r="B513" s="110"/>
      <c r="C513" s="47" t="s">
        <v>37</v>
      </c>
      <c r="D513" s="48"/>
      <c r="E513" s="46">
        <v>31279997</v>
      </c>
      <c r="F513" s="46">
        <v>0</v>
      </c>
      <c r="G513" s="46">
        <v>0</v>
      </c>
      <c r="H513" s="46">
        <v>12361361</v>
      </c>
      <c r="I513" s="46">
        <v>0</v>
      </c>
      <c r="J513" s="49">
        <v>3636780</v>
      </c>
      <c r="K513" s="46">
        <v>43641357</v>
      </c>
      <c r="L513" s="38">
        <v>47278137</v>
      </c>
      <c r="M513" s="39"/>
      <c r="N513" s="36">
        <v>43641357</v>
      </c>
      <c r="O513" s="36">
        <v>31279997</v>
      </c>
      <c r="P513" s="36">
        <v>0</v>
      </c>
      <c r="Q513" s="36">
        <f>Q512*1936.27</f>
        <v>52908536.313822001</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98">
        <v>36708</v>
      </c>
      <c r="B520" s="98">
        <v>36769</v>
      </c>
      <c r="C520" s="28" t="s">
        <v>36</v>
      </c>
      <c r="D520" s="29">
        <v>0</v>
      </c>
      <c r="E520" s="30">
        <v>9196.0300000000007</v>
      </c>
      <c r="F520" s="30">
        <v>0</v>
      </c>
      <c r="G520" s="30">
        <v>0</v>
      </c>
      <c r="H520" s="30">
        <v>6384.11</v>
      </c>
      <c r="I520" s="30">
        <v>0</v>
      </c>
      <c r="J520" s="30">
        <v>1298.3499999999999</v>
      </c>
      <c r="K520" s="31">
        <v>15580.14</v>
      </c>
      <c r="L520" s="32">
        <v>16878.490000000002</v>
      </c>
      <c r="M520" s="33"/>
      <c r="N520" s="30">
        <v>15580.14</v>
      </c>
      <c r="O520" s="30">
        <v>9196.0300000000007</v>
      </c>
      <c r="P520" s="30"/>
      <c r="Q520" s="30">
        <f>(N520+O520*0.18+J520)+(IF((P520-O520*0.18)&gt;0,(P520-O520*0.18),0))</f>
        <v>18533.775399999999</v>
      </c>
      <c r="R520" s="7"/>
      <c r="S520" s="7"/>
      <c r="T520" s="7"/>
      <c r="U520" s="7"/>
      <c r="V520" s="7"/>
      <c r="W520" s="7"/>
      <c r="X520" s="7"/>
      <c r="Y520" s="7"/>
      <c r="Z520" s="7"/>
    </row>
    <row r="521" spans="1:26" ht="9" customHeight="1" x14ac:dyDescent="0.2">
      <c r="A521" s="95"/>
      <c r="B521" s="95"/>
      <c r="C521" s="34" t="s">
        <v>37</v>
      </c>
      <c r="D521" s="35">
        <v>2</v>
      </c>
      <c r="E521" s="36">
        <v>17805997</v>
      </c>
      <c r="F521" s="36">
        <v>0</v>
      </c>
      <c r="G521" s="36">
        <v>0</v>
      </c>
      <c r="H521" s="36">
        <v>12361361</v>
      </c>
      <c r="I521" s="36">
        <v>0</v>
      </c>
      <c r="J521" s="37">
        <v>2513956</v>
      </c>
      <c r="K521" s="36">
        <v>30167358</v>
      </c>
      <c r="L521" s="38">
        <v>32681314</v>
      </c>
      <c r="M521" s="39"/>
      <c r="N521" s="36">
        <v>30167358</v>
      </c>
      <c r="O521" s="36">
        <v>17805997</v>
      </c>
      <c r="P521" s="36">
        <v>0</v>
      </c>
      <c r="Q521" s="36">
        <f>Q520*1936.27</f>
        <v>35886393.293757997</v>
      </c>
      <c r="R521" s="7"/>
      <c r="S521" s="7"/>
      <c r="T521" s="7"/>
      <c r="U521" s="7"/>
      <c r="V521" s="7"/>
      <c r="W521" s="7"/>
      <c r="X521" s="7"/>
      <c r="Y521" s="7"/>
      <c r="Z521" s="7"/>
    </row>
    <row r="522" spans="1:26" ht="12.75" customHeight="1" x14ac:dyDescent="0.2">
      <c r="A522" s="156">
        <v>36708</v>
      </c>
      <c r="B522" s="156">
        <v>36769</v>
      </c>
      <c r="C522" s="40" t="s">
        <v>36</v>
      </c>
      <c r="D522" s="41">
        <v>3</v>
      </c>
      <c r="E522" s="42">
        <v>9612.81</v>
      </c>
      <c r="F522" s="42">
        <v>0</v>
      </c>
      <c r="G522" s="42">
        <v>0</v>
      </c>
      <c r="H522" s="42">
        <v>6384.11</v>
      </c>
      <c r="I522" s="42">
        <v>0</v>
      </c>
      <c r="J522" s="42">
        <v>1333.08</v>
      </c>
      <c r="K522" s="43">
        <v>15996.92</v>
      </c>
      <c r="L522" s="32">
        <v>17330</v>
      </c>
      <c r="M522" s="33"/>
      <c r="N522" s="30">
        <v>15996.92</v>
      </c>
      <c r="O522" s="30">
        <v>9612.81</v>
      </c>
      <c r="P522" s="30"/>
      <c r="Q522" s="30">
        <f>(N522+O522*0.18+J522)+(IF((P522-O522*0.18)&gt;0,(P522-O522*0.18),0))</f>
        <v>19060.305800000002</v>
      </c>
      <c r="R522" s="7"/>
      <c r="S522" s="7"/>
      <c r="T522" s="7"/>
      <c r="U522" s="7"/>
      <c r="V522" s="7"/>
      <c r="W522" s="7"/>
      <c r="X522" s="7"/>
      <c r="Y522" s="7"/>
      <c r="Z522" s="7"/>
    </row>
    <row r="523" spans="1:26" ht="9" customHeight="1" x14ac:dyDescent="0.2">
      <c r="A523" s="95"/>
      <c r="B523" s="95"/>
      <c r="C523" s="34" t="s">
        <v>37</v>
      </c>
      <c r="D523" s="35">
        <v>8</v>
      </c>
      <c r="E523" s="36">
        <v>18612996</v>
      </c>
      <c r="F523" s="36">
        <v>0</v>
      </c>
      <c r="G523" s="36">
        <v>0</v>
      </c>
      <c r="H523" s="36">
        <v>12361361</v>
      </c>
      <c r="I523" s="36">
        <v>0</v>
      </c>
      <c r="J523" s="37">
        <v>2581203</v>
      </c>
      <c r="K523" s="36">
        <v>30974356</v>
      </c>
      <c r="L523" s="38">
        <v>33555559</v>
      </c>
      <c r="M523" s="39"/>
      <c r="N523" s="36">
        <v>30974356</v>
      </c>
      <c r="O523" s="36">
        <v>18612996</v>
      </c>
      <c r="P523" s="36">
        <v>0</v>
      </c>
      <c r="Q523" s="36">
        <f>Q522*1936.27</f>
        <v>36905898.311366007</v>
      </c>
      <c r="R523" s="7"/>
      <c r="S523" s="7"/>
      <c r="T523" s="7"/>
      <c r="U523" s="7"/>
      <c r="V523" s="7"/>
      <c r="W523" s="7"/>
      <c r="X523" s="7"/>
      <c r="Y523" s="7"/>
      <c r="Z523" s="7"/>
    </row>
    <row r="524" spans="1:26" ht="12.75" customHeight="1" x14ac:dyDescent="0.2">
      <c r="A524" s="95"/>
      <c r="B524" s="95"/>
      <c r="C524" s="40" t="s">
        <v>36</v>
      </c>
      <c r="D524" s="41">
        <v>9</v>
      </c>
      <c r="E524" s="42">
        <v>10910.15</v>
      </c>
      <c r="F524" s="42">
        <v>0</v>
      </c>
      <c r="G524" s="42">
        <v>0</v>
      </c>
      <c r="H524" s="42">
        <v>6384.11</v>
      </c>
      <c r="I524" s="42">
        <v>0</v>
      </c>
      <c r="J524" s="42">
        <v>1441.19</v>
      </c>
      <c r="K524" s="43">
        <v>17294.259999999998</v>
      </c>
      <c r="L524" s="32">
        <v>18735.45</v>
      </c>
      <c r="M524" s="33"/>
      <c r="N524" s="30">
        <v>17294.259999999998</v>
      </c>
      <c r="O524" s="30">
        <v>10910.15</v>
      </c>
      <c r="P524" s="30"/>
      <c r="Q524" s="30">
        <f>(N524+O524*0.18+J524)+(IF((P524-O524*0.18)&gt;0,(P524-O524*0.18),0))</f>
        <v>20699.276999999998</v>
      </c>
      <c r="R524" s="7"/>
      <c r="S524" s="7"/>
      <c r="T524" s="7"/>
      <c r="U524" s="7"/>
      <c r="V524" s="7"/>
      <c r="W524" s="7"/>
      <c r="X524" s="7"/>
      <c r="Y524" s="7"/>
      <c r="Z524" s="7"/>
    </row>
    <row r="525" spans="1:26" ht="9" customHeight="1" x14ac:dyDescent="0.2">
      <c r="A525" s="95"/>
      <c r="B525" s="95"/>
      <c r="C525" s="34" t="s">
        <v>37</v>
      </c>
      <c r="D525" s="35">
        <v>14</v>
      </c>
      <c r="E525" s="36">
        <v>21124996</v>
      </c>
      <c r="F525" s="36">
        <v>0</v>
      </c>
      <c r="G525" s="36">
        <v>0</v>
      </c>
      <c r="H525" s="36">
        <v>12361361</v>
      </c>
      <c r="I525" s="36">
        <v>0</v>
      </c>
      <c r="J525" s="37">
        <v>2790533</v>
      </c>
      <c r="K525" s="36">
        <v>33486357</v>
      </c>
      <c r="L525" s="38">
        <v>36276890</v>
      </c>
      <c r="M525" s="39"/>
      <c r="N525" s="36">
        <v>33486357</v>
      </c>
      <c r="O525" s="36">
        <v>21124996</v>
      </c>
      <c r="P525" s="36">
        <v>0</v>
      </c>
      <c r="Q525" s="36">
        <f>Q524*1936.27</f>
        <v>40079389.076789998</v>
      </c>
      <c r="R525" s="7"/>
      <c r="S525" s="7"/>
      <c r="T525" s="7"/>
      <c r="U525" s="7"/>
      <c r="V525" s="7"/>
      <c r="W525" s="7"/>
      <c r="X525" s="7"/>
      <c r="Y525" s="7"/>
      <c r="Z525" s="7"/>
    </row>
    <row r="526" spans="1:26" ht="12.75" customHeight="1" x14ac:dyDescent="0.2">
      <c r="A526" s="95"/>
      <c r="B526" s="95"/>
      <c r="C526" s="40" t="s">
        <v>36</v>
      </c>
      <c r="D526" s="41">
        <v>15</v>
      </c>
      <c r="E526" s="42">
        <v>12423.37</v>
      </c>
      <c r="F526" s="42">
        <v>0</v>
      </c>
      <c r="G526" s="42">
        <v>0</v>
      </c>
      <c r="H526" s="42">
        <v>6384.11</v>
      </c>
      <c r="I526" s="42">
        <v>0</v>
      </c>
      <c r="J526" s="42">
        <v>1567.29</v>
      </c>
      <c r="K526" s="43">
        <v>18807.48</v>
      </c>
      <c r="L526" s="32">
        <v>20374.77</v>
      </c>
      <c r="M526" s="33"/>
      <c r="N526" s="30">
        <v>18807.48</v>
      </c>
      <c r="O526" s="30">
        <v>12423.37</v>
      </c>
      <c r="P526" s="30"/>
      <c r="Q526" s="30">
        <f>(N526+O526*0.18+J526)+(IF((P526-O526*0.18)&gt;0,(P526-O526*0.18),0))</f>
        <v>22610.976600000002</v>
      </c>
      <c r="R526" s="7"/>
      <c r="S526" s="7"/>
      <c r="T526" s="7"/>
      <c r="U526" s="7"/>
      <c r="V526" s="7"/>
      <c r="W526" s="7"/>
      <c r="X526" s="7"/>
      <c r="Y526" s="7"/>
      <c r="Z526" s="7"/>
    </row>
    <row r="527" spans="1:26" ht="9" customHeight="1" x14ac:dyDescent="0.2">
      <c r="A527" s="95"/>
      <c r="B527" s="95"/>
      <c r="C527" s="34" t="s">
        <v>37</v>
      </c>
      <c r="D527" s="35">
        <v>20</v>
      </c>
      <c r="E527" s="36">
        <v>24054999</v>
      </c>
      <c r="F527" s="36">
        <v>0</v>
      </c>
      <c r="G527" s="36">
        <v>0</v>
      </c>
      <c r="H527" s="36">
        <v>12361361</v>
      </c>
      <c r="I527" s="36">
        <v>0</v>
      </c>
      <c r="J527" s="37">
        <v>3034697</v>
      </c>
      <c r="K527" s="36">
        <v>36416359</v>
      </c>
      <c r="L527" s="38">
        <v>39451056</v>
      </c>
      <c r="M527" s="39"/>
      <c r="N527" s="36">
        <v>36416359</v>
      </c>
      <c r="O527" s="36">
        <v>24054999</v>
      </c>
      <c r="P527" s="36">
        <v>0</v>
      </c>
      <c r="Q527" s="36">
        <f>Q526*1936.27</f>
        <v>43780955.661282003</v>
      </c>
      <c r="R527" s="7"/>
      <c r="S527" s="7"/>
      <c r="T527" s="7"/>
      <c r="U527" s="7"/>
      <c r="V527" s="7"/>
      <c r="W527" s="7"/>
      <c r="X527" s="7"/>
      <c r="Y527" s="7"/>
      <c r="Z527" s="7"/>
    </row>
    <row r="528" spans="1:26" ht="12.75" customHeight="1" x14ac:dyDescent="0.2">
      <c r="A528" s="95"/>
      <c r="B528" s="95"/>
      <c r="C528" s="40" t="s">
        <v>36</v>
      </c>
      <c r="D528" s="41">
        <v>21</v>
      </c>
      <c r="E528" s="42">
        <v>13897.34</v>
      </c>
      <c r="F528" s="42">
        <v>0</v>
      </c>
      <c r="G528" s="42">
        <v>0</v>
      </c>
      <c r="H528" s="42">
        <v>6384.11</v>
      </c>
      <c r="I528" s="42">
        <v>0</v>
      </c>
      <c r="J528" s="42">
        <v>1690.12</v>
      </c>
      <c r="K528" s="43">
        <v>20281.45</v>
      </c>
      <c r="L528" s="32">
        <v>21971.57</v>
      </c>
      <c r="M528" s="33"/>
      <c r="N528" s="30">
        <v>20281.45</v>
      </c>
      <c r="O528" s="30">
        <v>13897.34</v>
      </c>
      <c r="P528" s="30"/>
      <c r="Q528" s="30">
        <f>(N528+O528*0.18+J528)+(IF((P528-O528*0.18)&gt;0,(P528-O528*0.18),0))</f>
        <v>24473.091199999999</v>
      </c>
      <c r="R528" s="7"/>
      <c r="S528" s="7"/>
      <c r="T528" s="7"/>
      <c r="U528" s="7"/>
      <c r="V528" s="7"/>
      <c r="W528" s="7"/>
      <c r="X528" s="7"/>
      <c r="Y528" s="7"/>
      <c r="Z528" s="7"/>
    </row>
    <row r="529" spans="1:26" ht="9" customHeight="1" x14ac:dyDescent="0.2">
      <c r="A529" s="95"/>
      <c r="B529" s="95"/>
      <c r="C529" s="34" t="s">
        <v>37</v>
      </c>
      <c r="D529" s="35">
        <v>27</v>
      </c>
      <c r="E529" s="36">
        <v>26909003</v>
      </c>
      <c r="F529" s="36">
        <v>0</v>
      </c>
      <c r="G529" s="36">
        <v>0</v>
      </c>
      <c r="H529" s="36">
        <v>12361361</v>
      </c>
      <c r="I529" s="36">
        <v>0</v>
      </c>
      <c r="J529" s="37">
        <v>3272529</v>
      </c>
      <c r="K529" s="36">
        <v>39270363</v>
      </c>
      <c r="L529" s="38">
        <v>42542892</v>
      </c>
      <c r="M529" s="39"/>
      <c r="N529" s="36">
        <v>39270363</v>
      </c>
      <c r="O529" s="36">
        <v>26909003</v>
      </c>
      <c r="P529" s="36">
        <v>0</v>
      </c>
      <c r="Q529" s="36">
        <f>Q528*1936.27</f>
        <v>47386512.297823995</v>
      </c>
      <c r="R529" s="7"/>
      <c r="S529" s="7"/>
      <c r="T529" s="7"/>
      <c r="U529" s="7"/>
      <c r="V529" s="7"/>
      <c r="W529" s="7"/>
      <c r="X529" s="7"/>
      <c r="Y529" s="7"/>
      <c r="Z529" s="7"/>
    </row>
    <row r="530" spans="1:26" ht="12.75" customHeight="1" x14ac:dyDescent="0.2">
      <c r="A530" s="95"/>
      <c r="B530" s="95"/>
      <c r="C530" s="40" t="s">
        <v>36</v>
      </c>
      <c r="D530" s="41">
        <v>28</v>
      </c>
      <c r="E530" s="42">
        <v>15344.97</v>
      </c>
      <c r="F530" s="42">
        <v>0</v>
      </c>
      <c r="G530" s="42">
        <v>0</v>
      </c>
      <c r="H530" s="42">
        <v>6384.11</v>
      </c>
      <c r="I530" s="42">
        <v>0</v>
      </c>
      <c r="J530" s="42">
        <v>1810.76</v>
      </c>
      <c r="K530" s="43">
        <v>21729.08</v>
      </c>
      <c r="L530" s="32">
        <v>23539.84</v>
      </c>
      <c r="M530" s="33"/>
      <c r="N530" s="30">
        <v>21729.08</v>
      </c>
      <c r="O530" s="30">
        <v>15344.97</v>
      </c>
      <c r="P530" s="30"/>
      <c r="Q530" s="30">
        <f>(N530+O530*0.18+J530)+(IF((P530-O530*0.18)&gt;0,(P530-O530*0.18),0))</f>
        <v>26301.934600000001</v>
      </c>
      <c r="R530" s="7"/>
      <c r="S530" s="7"/>
      <c r="T530" s="7"/>
      <c r="U530" s="7"/>
      <c r="V530" s="7"/>
      <c r="W530" s="7"/>
      <c r="X530" s="7"/>
      <c r="Y530" s="7"/>
      <c r="Z530" s="7"/>
    </row>
    <row r="531" spans="1:26" ht="9" customHeight="1" x14ac:dyDescent="0.2">
      <c r="A531" s="95"/>
      <c r="B531" s="95"/>
      <c r="C531" s="34" t="s">
        <v>37</v>
      </c>
      <c r="D531" s="35">
        <v>34</v>
      </c>
      <c r="E531" s="36">
        <v>29712005</v>
      </c>
      <c r="F531" s="36">
        <v>0</v>
      </c>
      <c r="G531" s="36">
        <v>0</v>
      </c>
      <c r="H531" s="36">
        <v>12361361</v>
      </c>
      <c r="I531" s="36">
        <v>0</v>
      </c>
      <c r="J531" s="37">
        <v>3506120</v>
      </c>
      <c r="K531" s="36">
        <v>42073366</v>
      </c>
      <c r="L531" s="38">
        <v>45579486</v>
      </c>
      <c r="M531" s="39"/>
      <c r="N531" s="36">
        <v>42073366</v>
      </c>
      <c r="O531" s="36">
        <v>29712005</v>
      </c>
      <c r="P531" s="36">
        <v>0</v>
      </c>
      <c r="Q531" s="36">
        <f>Q530*1936.27</f>
        <v>50927646.907941997</v>
      </c>
      <c r="R531" s="7"/>
      <c r="S531" s="7"/>
      <c r="T531" s="7"/>
      <c r="U531" s="7"/>
      <c r="V531" s="7"/>
      <c r="W531" s="7"/>
      <c r="X531" s="7"/>
      <c r="Y531" s="7"/>
      <c r="Z531" s="7"/>
    </row>
    <row r="532" spans="1:26" ht="12.75" customHeight="1" x14ac:dyDescent="0.2">
      <c r="A532" s="95"/>
      <c r="B532" s="95"/>
      <c r="C532" s="40" t="s">
        <v>36</v>
      </c>
      <c r="D532" s="41">
        <v>35</v>
      </c>
      <c r="E532" s="42">
        <v>16427.46</v>
      </c>
      <c r="F532" s="42">
        <v>0</v>
      </c>
      <c r="G532" s="42">
        <v>0</v>
      </c>
      <c r="H532" s="42">
        <v>6384.11</v>
      </c>
      <c r="I532" s="42">
        <v>0</v>
      </c>
      <c r="J532" s="42">
        <v>1900.96</v>
      </c>
      <c r="K532" s="43">
        <v>22811.57</v>
      </c>
      <c r="L532" s="32">
        <v>24712.53</v>
      </c>
      <c r="M532" s="33"/>
      <c r="N532" s="30">
        <v>22811.57</v>
      </c>
      <c r="O532" s="30">
        <v>16427.46</v>
      </c>
      <c r="P532" s="30"/>
      <c r="Q532" s="30">
        <f>(N532+O532*0.18+J532)+(IF((P532-O532*0.18)&gt;0,(P532-O532*0.18),0))</f>
        <v>27669.4728</v>
      </c>
      <c r="R532" s="7"/>
      <c r="S532" s="7"/>
      <c r="T532" s="7"/>
      <c r="U532" s="7"/>
      <c r="V532" s="7"/>
      <c r="W532" s="7"/>
      <c r="X532" s="7"/>
      <c r="Y532" s="7"/>
      <c r="Z532" s="7"/>
    </row>
    <row r="533" spans="1:26" ht="9" customHeight="1" x14ac:dyDescent="0.2">
      <c r="A533" s="110"/>
      <c r="B533" s="110"/>
      <c r="C533" s="47" t="s">
        <v>37</v>
      </c>
      <c r="D533" s="48"/>
      <c r="E533" s="46">
        <v>31807998</v>
      </c>
      <c r="F533" s="46">
        <v>0</v>
      </c>
      <c r="G533" s="46">
        <v>0</v>
      </c>
      <c r="H533" s="46">
        <v>12361361</v>
      </c>
      <c r="I533" s="46">
        <v>0</v>
      </c>
      <c r="J533" s="49">
        <v>3680772</v>
      </c>
      <c r="K533" s="46">
        <v>44169359</v>
      </c>
      <c r="L533" s="38">
        <v>47850130</v>
      </c>
      <c r="M533" s="39"/>
      <c r="N533" s="36">
        <v>44169359</v>
      </c>
      <c r="O533" s="36">
        <v>31807998</v>
      </c>
      <c r="P533" s="36">
        <v>0</v>
      </c>
      <c r="Q533" s="36">
        <f>Q532*1936.27</f>
        <v>53575570.098455995</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98">
        <v>36770</v>
      </c>
      <c r="B540" s="98">
        <v>36891</v>
      </c>
      <c r="C540" s="28" t="s">
        <v>36</v>
      </c>
      <c r="D540" s="29">
        <v>0</v>
      </c>
      <c r="E540" s="30">
        <v>9196.0300000000007</v>
      </c>
      <c r="F540" s="30"/>
      <c r="G540" s="30"/>
      <c r="H540" s="30">
        <v>6384.11</v>
      </c>
      <c r="I540" s="30">
        <v>0</v>
      </c>
      <c r="J540" s="30">
        <v>1298.3499999999999</v>
      </c>
      <c r="K540" s="31">
        <v>15580.14</v>
      </c>
      <c r="L540" s="32">
        <v>16878.490000000002</v>
      </c>
      <c r="M540" s="33"/>
      <c r="N540" s="30">
        <v>15580.14</v>
      </c>
      <c r="O540" s="30">
        <v>9196.0300000000007</v>
      </c>
      <c r="P540" s="30"/>
      <c r="Q540" s="30">
        <f>(N540+O540*0.18+J540)+(IF((P540-O540*0.18)&gt;0,(P540-O540*0.18),0))</f>
        <v>18533.775399999999</v>
      </c>
      <c r="R540" s="7"/>
      <c r="S540" s="7"/>
      <c r="T540" s="7"/>
      <c r="U540" s="7"/>
      <c r="V540" s="7"/>
      <c r="W540" s="7"/>
      <c r="X540" s="7"/>
      <c r="Y540" s="7"/>
      <c r="Z540" s="7"/>
    </row>
    <row r="541" spans="1:26" ht="9" customHeight="1" x14ac:dyDescent="0.2">
      <c r="A541" s="95"/>
      <c r="B541" s="95"/>
      <c r="C541" s="34" t="s">
        <v>37</v>
      </c>
      <c r="D541" s="35">
        <v>2</v>
      </c>
      <c r="E541" s="36">
        <v>17805997</v>
      </c>
      <c r="F541" s="36"/>
      <c r="G541" s="36"/>
      <c r="H541" s="36">
        <v>12361361</v>
      </c>
      <c r="I541" s="36">
        <v>0</v>
      </c>
      <c r="J541" s="37">
        <v>2513956</v>
      </c>
      <c r="K541" s="36">
        <v>30167358</v>
      </c>
      <c r="L541" s="38">
        <v>32681314</v>
      </c>
      <c r="M541" s="39"/>
      <c r="N541" s="36">
        <v>30167358</v>
      </c>
      <c r="O541" s="36">
        <v>17805997</v>
      </c>
      <c r="P541" s="36">
        <v>0</v>
      </c>
      <c r="Q541" s="36">
        <f>Q540*1936.27</f>
        <v>35886393.293757997</v>
      </c>
      <c r="R541" s="7"/>
      <c r="S541" s="7"/>
      <c r="T541" s="7"/>
      <c r="U541" s="7"/>
      <c r="V541" s="7"/>
      <c r="W541" s="7"/>
      <c r="X541" s="7"/>
      <c r="Y541" s="7"/>
      <c r="Z541" s="7"/>
    </row>
    <row r="542" spans="1:26" ht="12.75" customHeight="1" x14ac:dyDescent="0.2">
      <c r="A542" s="156">
        <v>36770</v>
      </c>
      <c r="B542" s="156">
        <v>36891</v>
      </c>
      <c r="C542" s="40" t="s">
        <v>36</v>
      </c>
      <c r="D542" s="41">
        <v>3</v>
      </c>
      <c r="E542" s="42">
        <v>9612.81</v>
      </c>
      <c r="F542" s="42"/>
      <c r="G542" s="42"/>
      <c r="H542" s="42">
        <v>6384.11</v>
      </c>
      <c r="I542" s="42">
        <v>0</v>
      </c>
      <c r="J542" s="42">
        <v>1333.08</v>
      </c>
      <c r="K542" s="43">
        <v>15996.92</v>
      </c>
      <c r="L542" s="32">
        <v>17330</v>
      </c>
      <c r="M542" s="33"/>
      <c r="N542" s="30">
        <v>15996.92</v>
      </c>
      <c r="O542" s="30">
        <v>9612.81</v>
      </c>
      <c r="P542" s="30"/>
      <c r="Q542" s="30">
        <f>(N542+O542*0.18+J542)+(IF((P542-O542*0.18)&gt;0,(P542-O542*0.18),0))</f>
        <v>19060.305800000002</v>
      </c>
      <c r="R542" s="7"/>
      <c r="S542" s="7"/>
      <c r="T542" s="7"/>
      <c r="U542" s="7"/>
      <c r="V542" s="7"/>
      <c r="W542" s="7"/>
      <c r="X542" s="7"/>
      <c r="Y542" s="7"/>
      <c r="Z542" s="7"/>
    </row>
    <row r="543" spans="1:26" ht="9" customHeight="1" x14ac:dyDescent="0.2">
      <c r="A543" s="95"/>
      <c r="B543" s="95"/>
      <c r="C543" s="34" t="s">
        <v>37</v>
      </c>
      <c r="D543" s="35">
        <v>8</v>
      </c>
      <c r="E543" s="36">
        <v>18612996</v>
      </c>
      <c r="F543" s="36"/>
      <c r="G543" s="36"/>
      <c r="H543" s="36">
        <v>12361361</v>
      </c>
      <c r="I543" s="36">
        <v>0</v>
      </c>
      <c r="J543" s="37">
        <v>2581203</v>
      </c>
      <c r="K543" s="36">
        <v>30974356</v>
      </c>
      <c r="L543" s="38">
        <v>33555559</v>
      </c>
      <c r="M543" s="39"/>
      <c r="N543" s="36">
        <v>30974356</v>
      </c>
      <c r="O543" s="36">
        <v>18612996</v>
      </c>
      <c r="P543" s="36">
        <v>0</v>
      </c>
      <c r="Q543" s="36">
        <f>Q542*1936.27</f>
        <v>36905898.311366007</v>
      </c>
      <c r="R543" s="7"/>
      <c r="S543" s="7"/>
      <c r="T543" s="7"/>
      <c r="U543" s="7"/>
      <c r="V543" s="7"/>
      <c r="W543" s="7"/>
      <c r="X543" s="7"/>
      <c r="Y543" s="7"/>
      <c r="Z543" s="7"/>
    </row>
    <row r="544" spans="1:26" ht="12.75" customHeight="1" x14ac:dyDescent="0.2">
      <c r="A544" s="95"/>
      <c r="B544" s="95"/>
      <c r="C544" s="40" t="s">
        <v>36</v>
      </c>
      <c r="D544" s="41">
        <v>9</v>
      </c>
      <c r="E544" s="42">
        <v>10910.15</v>
      </c>
      <c r="F544" s="42"/>
      <c r="G544" s="42"/>
      <c r="H544" s="42">
        <v>6384.11</v>
      </c>
      <c r="I544" s="42">
        <v>0</v>
      </c>
      <c r="J544" s="42">
        <v>1441.19</v>
      </c>
      <c r="K544" s="43">
        <v>17294.259999999998</v>
      </c>
      <c r="L544" s="32">
        <v>18735.45</v>
      </c>
      <c r="M544" s="33"/>
      <c r="N544" s="30">
        <v>17294.259999999998</v>
      </c>
      <c r="O544" s="30">
        <v>10910.15</v>
      </c>
      <c r="P544" s="30"/>
      <c r="Q544" s="30">
        <f>(N544+O544*0.18+J544)+(IF((P544-O544*0.18)&gt;0,(P544-O544*0.18),0))</f>
        <v>20699.276999999998</v>
      </c>
      <c r="R544" s="7"/>
      <c r="S544" s="7"/>
      <c r="T544" s="7"/>
      <c r="U544" s="7"/>
      <c r="V544" s="7"/>
      <c r="W544" s="7"/>
      <c r="X544" s="7"/>
      <c r="Y544" s="7"/>
      <c r="Z544" s="7"/>
    </row>
    <row r="545" spans="1:26" ht="9" customHeight="1" x14ac:dyDescent="0.2">
      <c r="A545" s="95"/>
      <c r="B545" s="95"/>
      <c r="C545" s="34" t="s">
        <v>37</v>
      </c>
      <c r="D545" s="35">
        <v>14</v>
      </c>
      <c r="E545" s="36">
        <v>21124996</v>
      </c>
      <c r="F545" s="36"/>
      <c r="G545" s="36"/>
      <c r="H545" s="36">
        <v>12361361</v>
      </c>
      <c r="I545" s="36">
        <v>0</v>
      </c>
      <c r="J545" s="37">
        <v>2790533</v>
      </c>
      <c r="K545" s="36">
        <v>33486357</v>
      </c>
      <c r="L545" s="38">
        <v>36276890</v>
      </c>
      <c r="M545" s="39"/>
      <c r="N545" s="36">
        <v>33486357</v>
      </c>
      <c r="O545" s="36">
        <v>21124996</v>
      </c>
      <c r="P545" s="36">
        <v>0</v>
      </c>
      <c r="Q545" s="36">
        <f>Q544*1936.27</f>
        <v>40079389.076789998</v>
      </c>
      <c r="R545" s="7"/>
      <c r="S545" s="7"/>
      <c r="T545" s="7"/>
      <c r="U545" s="7"/>
      <c r="V545" s="7"/>
      <c r="W545" s="7"/>
      <c r="X545" s="7"/>
      <c r="Y545" s="7"/>
      <c r="Z545" s="7"/>
    </row>
    <row r="546" spans="1:26" ht="12.75" customHeight="1" x14ac:dyDescent="0.2">
      <c r="A546" s="95"/>
      <c r="B546" s="95"/>
      <c r="C546" s="40" t="s">
        <v>36</v>
      </c>
      <c r="D546" s="41">
        <v>15</v>
      </c>
      <c r="E546" s="42">
        <v>12423.37</v>
      </c>
      <c r="F546" s="42"/>
      <c r="G546" s="42"/>
      <c r="H546" s="42">
        <v>6384.11</v>
      </c>
      <c r="I546" s="42">
        <v>0</v>
      </c>
      <c r="J546" s="42">
        <v>1567.29</v>
      </c>
      <c r="K546" s="43">
        <v>18807.48</v>
      </c>
      <c r="L546" s="32">
        <v>20374.77</v>
      </c>
      <c r="M546" s="33"/>
      <c r="N546" s="30">
        <v>18807.48</v>
      </c>
      <c r="O546" s="30">
        <v>12423.37</v>
      </c>
      <c r="P546" s="30"/>
      <c r="Q546" s="30">
        <f>(N546+O546*0.18+J546)+(IF((P546-O546*0.18)&gt;0,(P546-O546*0.18),0))</f>
        <v>22610.976600000002</v>
      </c>
      <c r="R546" s="7"/>
      <c r="S546" s="7"/>
      <c r="T546" s="7"/>
      <c r="U546" s="7"/>
      <c r="V546" s="7"/>
      <c r="W546" s="7"/>
      <c r="X546" s="7"/>
      <c r="Y546" s="7"/>
      <c r="Z546" s="7"/>
    </row>
    <row r="547" spans="1:26" ht="9" customHeight="1" x14ac:dyDescent="0.2">
      <c r="A547" s="95"/>
      <c r="B547" s="95"/>
      <c r="C547" s="34" t="s">
        <v>37</v>
      </c>
      <c r="D547" s="35">
        <v>20</v>
      </c>
      <c r="E547" s="36">
        <v>24054999</v>
      </c>
      <c r="F547" s="36"/>
      <c r="G547" s="36"/>
      <c r="H547" s="36">
        <v>12361361</v>
      </c>
      <c r="I547" s="36">
        <v>0</v>
      </c>
      <c r="J547" s="37">
        <v>3034697</v>
      </c>
      <c r="K547" s="36">
        <v>36416359</v>
      </c>
      <c r="L547" s="38">
        <v>39451056</v>
      </c>
      <c r="M547" s="39"/>
      <c r="N547" s="36">
        <v>36416359</v>
      </c>
      <c r="O547" s="36">
        <v>24054999</v>
      </c>
      <c r="P547" s="36">
        <v>0</v>
      </c>
      <c r="Q547" s="36">
        <f>Q546*1936.27</f>
        <v>43780955.661282003</v>
      </c>
      <c r="R547" s="7"/>
      <c r="S547" s="7"/>
      <c r="T547" s="7"/>
      <c r="U547" s="7"/>
      <c r="V547" s="7"/>
      <c r="W547" s="7"/>
      <c r="X547" s="7"/>
      <c r="Y547" s="7"/>
      <c r="Z547" s="7"/>
    </row>
    <row r="548" spans="1:26" ht="12.75" customHeight="1" x14ac:dyDescent="0.2">
      <c r="A548" s="95"/>
      <c r="B548" s="95"/>
      <c r="C548" s="40" t="s">
        <v>36</v>
      </c>
      <c r="D548" s="41">
        <v>21</v>
      </c>
      <c r="E548" s="42">
        <v>13897.34</v>
      </c>
      <c r="F548" s="42"/>
      <c r="G548" s="42"/>
      <c r="H548" s="42">
        <v>6384.11</v>
      </c>
      <c r="I548" s="42">
        <v>0</v>
      </c>
      <c r="J548" s="42">
        <v>1690.12</v>
      </c>
      <c r="K548" s="43">
        <v>20281.45</v>
      </c>
      <c r="L548" s="32">
        <v>21971.57</v>
      </c>
      <c r="M548" s="33"/>
      <c r="N548" s="30">
        <v>20281.45</v>
      </c>
      <c r="O548" s="30">
        <v>13897.34</v>
      </c>
      <c r="P548" s="30"/>
      <c r="Q548" s="30">
        <f>(N548+O548*0.18+J548)+(IF((P548-O548*0.18)&gt;0,(P548-O548*0.18),0))</f>
        <v>24473.091199999999</v>
      </c>
      <c r="R548" s="7"/>
      <c r="S548" s="7"/>
      <c r="T548" s="7"/>
      <c r="U548" s="7"/>
      <c r="V548" s="7"/>
      <c r="W548" s="7"/>
      <c r="X548" s="7"/>
      <c r="Y548" s="7"/>
      <c r="Z548" s="7"/>
    </row>
    <row r="549" spans="1:26" ht="9" customHeight="1" x14ac:dyDescent="0.2">
      <c r="A549" s="95"/>
      <c r="B549" s="95"/>
      <c r="C549" s="34" t="s">
        <v>37</v>
      </c>
      <c r="D549" s="35">
        <v>27</v>
      </c>
      <c r="E549" s="36">
        <v>26909003</v>
      </c>
      <c r="F549" s="36"/>
      <c r="G549" s="36"/>
      <c r="H549" s="36">
        <v>12361361</v>
      </c>
      <c r="I549" s="36">
        <v>0</v>
      </c>
      <c r="J549" s="37">
        <v>3272529</v>
      </c>
      <c r="K549" s="36">
        <v>39270363</v>
      </c>
      <c r="L549" s="38">
        <v>42542892</v>
      </c>
      <c r="M549" s="39"/>
      <c r="N549" s="36">
        <v>39270363</v>
      </c>
      <c r="O549" s="36">
        <v>26909003</v>
      </c>
      <c r="P549" s="36">
        <v>0</v>
      </c>
      <c r="Q549" s="36">
        <f>Q548*1936.27</f>
        <v>47386512.297823995</v>
      </c>
      <c r="R549" s="7"/>
      <c r="S549" s="7"/>
      <c r="T549" s="7"/>
      <c r="U549" s="7"/>
      <c r="V549" s="7"/>
      <c r="W549" s="7"/>
      <c r="X549" s="7"/>
      <c r="Y549" s="7"/>
      <c r="Z549" s="7"/>
    </row>
    <row r="550" spans="1:26" ht="12.75" customHeight="1" x14ac:dyDescent="0.2">
      <c r="A550" s="95"/>
      <c r="B550" s="95"/>
      <c r="C550" s="40" t="s">
        <v>36</v>
      </c>
      <c r="D550" s="41">
        <v>28</v>
      </c>
      <c r="E550" s="42">
        <v>15344.97</v>
      </c>
      <c r="F550" s="42"/>
      <c r="G550" s="42"/>
      <c r="H550" s="42">
        <v>6384.11</v>
      </c>
      <c r="I550" s="42">
        <v>0</v>
      </c>
      <c r="J550" s="42">
        <v>1810.76</v>
      </c>
      <c r="K550" s="43">
        <v>21729.08</v>
      </c>
      <c r="L550" s="32">
        <v>23539.84</v>
      </c>
      <c r="M550" s="33"/>
      <c r="N550" s="30">
        <v>21729.08</v>
      </c>
      <c r="O550" s="30">
        <v>15344.97</v>
      </c>
      <c r="P550" s="30"/>
      <c r="Q550" s="30">
        <f>(N550+O550*0.18+J550)+(IF((P550-O550*0.18)&gt;0,(P550-O550*0.18),0))</f>
        <v>26301.934600000001</v>
      </c>
      <c r="R550" s="7"/>
      <c r="S550" s="7"/>
      <c r="T550" s="7"/>
      <c r="U550" s="7"/>
      <c r="V550" s="7"/>
      <c r="W550" s="7"/>
      <c r="X550" s="7"/>
      <c r="Y550" s="7"/>
      <c r="Z550" s="7"/>
    </row>
    <row r="551" spans="1:26" ht="9" customHeight="1" x14ac:dyDescent="0.2">
      <c r="A551" s="95"/>
      <c r="B551" s="95"/>
      <c r="C551" s="34" t="s">
        <v>37</v>
      </c>
      <c r="D551" s="35">
        <v>34</v>
      </c>
      <c r="E551" s="36">
        <v>29712005</v>
      </c>
      <c r="F551" s="36"/>
      <c r="G551" s="36"/>
      <c r="H551" s="36">
        <v>12361361</v>
      </c>
      <c r="I551" s="36">
        <v>0</v>
      </c>
      <c r="J551" s="37">
        <v>3506120</v>
      </c>
      <c r="K551" s="36">
        <v>42073366</v>
      </c>
      <c r="L551" s="38">
        <v>45579486</v>
      </c>
      <c r="M551" s="39"/>
      <c r="N551" s="36">
        <v>42073366</v>
      </c>
      <c r="O551" s="36">
        <v>29712005</v>
      </c>
      <c r="P551" s="36">
        <v>0</v>
      </c>
      <c r="Q551" s="36">
        <f>Q550*1936.27</f>
        <v>50927646.907941997</v>
      </c>
      <c r="R551" s="7"/>
      <c r="S551" s="7"/>
      <c r="T551" s="7"/>
      <c r="U551" s="7"/>
      <c r="V551" s="7"/>
      <c r="W551" s="7"/>
      <c r="X551" s="7"/>
      <c r="Y551" s="7"/>
      <c r="Z551" s="7"/>
    </row>
    <row r="552" spans="1:26" ht="12.75" customHeight="1" x14ac:dyDescent="0.2">
      <c r="A552" s="95"/>
      <c r="B552" s="95"/>
      <c r="C552" s="40" t="s">
        <v>36</v>
      </c>
      <c r="D552" s="41">
        <v>35</v>
      </c>
      <c r="E552" s="42">
        <v>16427.46</v>
      </c>
      <c r="F552" s="42"/>
      <c r="G552" s="42"/>
      <c r="H552" s="42">
        <v>6384.11</v>
      </c>
      <c r="I552" s="42">
        <v>0</v>
      </c>
      <c r="J552" s="42">
        <v>1900.96</v>
      </c>
      <c r="K552" s="43">
        <v>22811.57</v>
      </c>
      <c r="L552" s="32">
        <v>24712.53</v>
      </c>
      <c r="M552" s="33"/>
      <c r="N552" s="30">
        <v>22811.57</v>
      </c>
      <c r="O552" s="30">
        <v>16427.46</v>
      </c>
      <c r="P552" s="30"/>
      <c r="Q552" s="30">
        <f>(N552+O552*0.18+J552)+(IF((P552-O552*0.18)&gt;0,(P552-O552*0.18),0))</f>
        <v>27669.4728</v>
      </c>
      <c r="R552" s="7"/>
      <c r="S552" s="7"/>
      <c r="T552" s="7"/>
      <c r="U552" s="7"/>
      <c r="V552" s="7"/>
      <c r="W552" s="7"/>
      <c r="X552" s="7"/>
      <c r="Y552" s="7"/>
      <c r="Z552" s="7"/>
    </row>
    <row r="553" spans="1:26" ht="9" customHeight="1" x14ac:dyDescent="0.2">
      <c r="A553" s="110"/>
      <c r="B553" s="110"/>
      <c r="C553" s="47" t="s">
        <v>37</v>
      </c>
      <c r="D553" s="48"/>
      <c r="E553" s="46">
        <v>31807998</v>
      </c>
      <c r="F553" s="46"/>
      <c r="G553" s="46"/>
      <c r="H553" s="46">
        <v>12361361</v>
      </c>
      <c r="I553" s="46">
        <v>0</v>
      </c>
      <c r="J553" s="49">
        <v>3680772</v>
      </c>
      <c r="K553" s="46">
        <v>44169359</v>
      </c>
      <c r="L553" s="38">
        <v>47850130</v>
      </c>
      <c r="M553" s="39"/>
      <c r="N553" s="36">
        <v>44169359</v>
      </c>
      <c r="O553" s="36">
        <v>31807998</v>
      </c>
      <c r="P553" s="36">
        <v>0</v>
      </c>
      <c r="Q553" s="36">
        <f>Q552*1936.27</f>
        <v>53575570.098455995</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98">
        <v>36892</v>
      </c>
      <c r="B560" s="98">
        <v>37256</v>
      </c>
      <c r="C560" s="28" t="s">
        <v>36</v>
      </c>
      <c r="D560" s="29">
        <v>0</v>
      </c>
      <c r="E560" s="30">
        <v>9505.91</v>
      </c>
      <c r="F560" s="30"/>
      <c r="G560" s="30"/>
      <c r="H560" s="30">
        <v>6384.11</v>
      </c>
      <c r="I560" s="30">
        <v>0</v>
      </c>
      <c r="J560" s="30">
        <v>1324.17</v>
      </c>
      <c r="K560" s="31">
        <v>15890.02</v>
      </c>
      <c r="L560" s="32">
        <v>17214.189999999999</v>
      </c>
      <c r="M560" s="33"/>
      <c r="N560" s="30">
        <v>15890.02</v>
      </c>
      <c r="O560" s="30">
        <v>9505.91</v>
      </c>
      <c r="P560" s="30">
        <v>1338.6</v>
      </c>
      <c r="Q560" s="30">
        <f>(N560+O560*0.18+J560)+(IF((P560-O560*0.18)&gt;0,(P560-O560*0.18),0))</f>
        <v>18925.253799999999</v>
      </c>
      <c r="R560" s="7"/>
      <c r="S560" s="7"/>
      <c r="T560" s="7"/>
      <c r="U560" s="7"/>
      <c r="V560" s="7"/>
      <c r="W560" s="7"/>
      <c r="X560" s="7"/>
      <c r="Y560" s="7"/>
      <c r="Z560" s="7"/>
    </row>
    <row r="561" spans="1:26" ht="9" customHeight="1" x14ac:dyDescent="0.2">
      <c r="A561" s="95"/>
      <c r="B561" s="95"/>
      <c r="C561" s="34" t="s">
        <v>37</v>
      </c>
      <c r="D561" s="35">
        <v>2</v>
      </c>
      <c r="E561" s="36">
        <v>18406008</v>
      </c>
      <c r="F561" s="36"/>
      <c r="G561" s="36"/>
      <c r="H561" s="36">
        <v>12361361</v>
      </c>
      <c r="I561" s="36">
        <v>0</v>
      </c>
      <c r="J561" s="37">
        <v>2563951</v>
      </c>
      <c r="K561" s="36">
        <v>30767369</v>
      </c>
      <c r="L561" s="38">
        <v>33331320</v>
      </c>
      <c r="M561" s="39"/>
      <c r="N561" s="36">
        <v>30767369</v>
      </c>
      <c r="O561" s="36">
        <v>18406008</v>
      </c>
      <c r="P561" s="36">
        <v>2591891</v>
      </c>
      <c r="Q561" s="36">
        <f>Q560*1936.27</f>
        <v>36644401.175325997</v>
      </c>
      <c r="R561" s="7"/>
      <c r="S561" s="7"/>
      <c r="T561" s="7"/>
      <c r="U561" s="7"/>
      <c r="V561" s="7"/>
      <c r="W561" s="7"/>
      <c r="X561" s="7"/>
      <c r="Y561" s="7"/>
      <c r="Z561" s="7"/>
    </row>
    <row r="562" spans="1:26" ht="12.75" customHeight="1" x14ac:dyDescent="0.2">
      <c r="A562" s="156">
        <v>36892</v>
      </c>
      <c r="B562" s="156">
        <v>37256</v>
      </c>
      <c r="C562" s="40" t="s">
        <v>36</v>
      </c>
      <c r="D562" s="41">
        <v>3</v>
      </c>
      <c r="E562" s="42">
        <v>9935.08</v>
      </c>
      <c r="F562" s="42"/>
      <c r="G562" s="42"/>
      <c r="H562" s="42">
        <v>6384.11</v>
      </c>
      <c r="I562" s="42">
        <v>0</v>
      </c>
      <c r="J562" s="42">
        <v>1359.93</v>
      </c>
      <c r="K562" s="43">
        <v>16319.19</v>
      </c>
      <c r="L562" s="32">
        <v>17679.12</v>
      </c>
      <c r="M562" s="33"/>
      <c r="N562" s="30">
        <v>16319.19</v>
      </c>
      <c r="O562" s="30">
        <v>9935.08</v>
      </c>
      <c r="P562" s="30">
        <v>1338.6</v>
      </c>
      <c r="Q562" s="30">
        <f>(N562+O562*0.18+J562)+(IF((P562-O562*0.18)&gt;0,(P562-O562*0.18),0))</f>
        <v>19467.434400000002</v>
      </c>
      <c r="R562" s="7"/>
      <c r="S562" s="7"/>
      <c r="T562" s="7"/>
      <c r="U562" s="7"/>
      <c r="V562" s="7"/>
      <c r="W562" s="7"/>
      <c r="X562" s="7"/>
      <c r="Y562" s="7"/>
      <c r="Z562" s="7"/>
    </row>
    <row r="563" spans="1:26" ht="9" customHeight="1" x14ac:dyDescent="0.2">
      <c r="A563" s="95"/>
      <c r="B563" s="95"/>
      <c r="C563" s="34" t="s">
        <v>37</v>
      </c>
      <c r="D563" s="35">
        <v>8</v>
      </c>
      <c r="E563" s="36">
        <v>19236997</v>
      </c>
      <c r="F563" s="36"/>
      <c r="G563" s="36"/>
      <c r="H563" s="36">
        <v>12361361</v>
      </c>
      <c r="I563" s="36">
        <v>0</v>
      </c>
      <c r="J563" s="37">
        <v>2633192</v>
      </c>
      <c r="K563" s="36">
        <v>31598358</v>
      </c>
      <c r="L563" s="38">
        <v>34231550</v>
      </c>
      <c r="M563" s="39"/>
      <c r="N563" s="36">
        <v>31598358</v>
      </c>
      <c r="O563" s="36">
        <v>19236997</v>
      </c>
      <c r="P563" s="36">
        <v>2591891</v>
      </c>
      <c r="Q563" s="36">
        <f>Q562*1936.27</f>
        <v>37694209.205688</v>
      </c>
      <c r="R563" s="7"/>
      <c r="S563" s="7"/>
      <c r="T563" s="7"/>
      <c r="U563" s="7"/>
      <c r="V563" s="7"/>
      <c r="W563" s="7"/>
      <c r="X563" s="7"/>
      <c r="Y563" s="7"/>
      <c r="Z563" s="7"/>
    </row>
    <row r="564" spans="1:26" ht="12.75" customHeight="1" x14ac:dyDescent="0.2">
      <c r="A564" s="95"/>
      <c r="B564" s="95"/>
      <c r="C564" s="40" t="s">
        <v>36</v>
      </c>
      <c r="D564" s="41">
        <v>9</v>
      </c>
      <c r="E564" s="42">
        <v>11257.21</v>
      </c>
      <c r="F564" s="42"/>
      <c r="G564" s="42"/>
      <c r="H564" s="42">
        <v>6384.11</v>
      </c>
      <c r="I564" s="42">
        <v>0</v>
      </c>
      <c r="J564" s="42">
        <v>1470.11</v>
      </c>
      <c r="K564" s="43">
        <v>17641.32</v>
      </c>
      <c r="L564" s="32">
        <v>19111.43</v>
      </c>
      <c r="M564" s="33"/>
      <c r="N564" s="30">
        <v>17641.32</v>
      </c>
      <c r="O564" s="30">
        <v>11257.21</v>
      </c>
      <c r="P564" s="30">
        <v>1338.6</v>
      </c>
      <c r="Q564" s="30">
        <f>(N564+O564*0.18+J564)+(IF((P564-O564*0.18)&gt;0,(P564-O564*0.18),0))</f>
        <v>21137.727800000001</v>
      </c>
      <c r="R564" s="7"/>
      <c r="S564" s="7"/>
      <c r="T564" s="7"/>
      <c r="U564" s="7"/>
      <c r="V564" s="7"/>
      <c r="W564" s="7"/>
      <c r="X564" s="7"/>
      <c r="Y564" s="7"/>
      <c r="Z564" s="7"/>
    </row>
    <row r="565" spans="1:26" ht="9" customHeight="1" x14ac:dyDescent="0.2">
      <c r="A565" s="95"/>
      <c r="B565" s="95"/>
      <c r="C565" s="34" t="s">
        <v>37</v>
      </c>
      <c r="D565" s="35">
        <v>14</v>
      </c>
      <c r="E565" s="36">
        <v>21796998</v>
      </c>
      <c r="F565" s="36"/>
      <c r="G565" s="36"/>
      <c r="H565" s="36">
        <v>12361361</v>
      </c>
      <c r="I565" s="36">
        <v>0</v>
      </c>
      <c r="J565" s="37">
        <v>2846530</v>
      </c>
      <c r="K565" s="36">
        <v>34158359</v>
      </c>
      <c r="L565" s="38">
        <v>37004889</v>
      </c>
      <c r="M565" s="39"/>
      <c r="N565" s="36">
        <v>34158359</v>
      </c>
      <c r="O565" s="36">
        <v>21796998</v>
      </c>
      <c r="P565" s="36">
        <v>2591891</v>
      </c>
      <c r="Q565" s="36">
        <f>Q564*1936.27</f>
        <v>40928348.207305998</v>
      </c>
      <c r="R565" s="7"/>
      <c r="S565" s="7"/>
      <c r="T565" s="7"/>
      <c r="U565" s="7"/>
      <c r="V565" s="7"/>
      <c r="W565" s="7"/>
      <c r="X565" s="7"/>
      <c r="Y565" s="7"/>
      <c r="Z565" s="7"/>
    </row>
    <row r="566" spans="1:26" ht="12.75" customHeight="1" x14ac:dyDescent="0.2">
      <c r="A566" s="95"/>
      <c r="B566" s="95"/>
      <c r="C566" s="40" t="s">
        <v>36</v>
      </c>
      <c r="D566" s="41">
        <v>15</v>
      </c>
      <c r="E566" s="42">
        <v>12801.42</v>
      </c>
      <c r="F566" s="42"/>
      <c r="G566" s="42"/>
      <c r="H566" s="42">
        <v>6384.11</v>
      </c>
      <c r="I566" s="42">
        <v>0</v>
      </c>
      <c r="J566" s="42">
        <v>1598.79</v>
      </c>
      <c r="K566" s="43">
        <v>19185.53</v>
      </c>
      <c r="L566" s="32">
        <v>20784.32</v>
      </c>
      <c r="M566" s="33"/>
      <c r="N566" s="30">
        <v>19185.53</v>
      </c>
      <c r="O566" s="30">
        <v>12801.42</v>
      </c>
      <c r="P566" s="30">
        <v>1667.16</v>
      </c>
      <c r="Q566" s="30">
        <f>(N566+O566*0.18+J566)+(IF((P566-O566*0.18)&gt;0,(P566-O566*0.18),0))</f>
        <v>23088.5756</v>
      </c>
      <c r="R566" s="7"/>
      <c r="S566" s="7"/>
      <c r="T566" s="7"/>
      <c r="U566" s="7"/>
      <c r="V566" s="7"/>
      <c r="W566" s="7"/>
      <c r="X566" s="7"/>
      <c r="Y566" s="7"/>
      <c r="Z566" s="7"/>
    </row>
    <row r="567" spans="1:26" ht="9" customHeight="1" x14ac:dyDescent="0.2">
      <c r="A567" s="95"/>
      <c r="B567" s="95"/>
      <c r="C567" s="34" t="s">
        <v>37</v>
      </c>
      <c r="D567" s="35">
        <v>20</v>
      </c>
      <c r="E567" s="36">
        <v>24787006</v>
      </c>
      <c r="F567" s="36"/>
      <c r="G567" s="36"/>
      <c r="H567" s="36">
        <v>12361361</v>
      </c>
      <c r="I567" s="36">
        <v>0</v>
      </c>
      <c r="J567" s="37">
        <v>3095689</v>
      </c>
      <c r="K567" s="36">
        <v>37148366</v>
      </c>
      <c r="L567" s="38">
        <v>40244055</v>
      </c>
      <c r="M567" s="39"/>
      <c r="N567" s="36">
        <v>37148366</v>
      </c>
      <c r="O567" s="36">
        <v>24787006</v>
      </c>
      <c r="P567" s="36">
        <v>3228072</v>
      </c>
      <c r="Q567" s="36">
        <f>Q566*1936.27</f>
        <v>44705716.277011998</v>
      </c>
      <c r="R567" s="7"/>
      <c r="S567" s="7"/>
      <c r="T567" s="7"/>
      <c r="U567" s="7"/>
      <c r="V567" s="7"/>
      <c r="W567" s="7"/>
      <c r="X567" s="7"/>
      <c r="Y567" s="7"/>
      <c r="Z567" s="7"/>
    </row>
    <row r="568" spans="1:26" ht="12.75" customHeight="1" x14ac:dyDescent="0.2">
      <c r="A568" s="95"/>
      <c r="B568" s="95"/>
      <c r="C568" s="40" t="s">
        <v>36</v>
      </c>
      <c r="D568" s="41">
        <v>21</v>
      </c>
      <c r="E568" s="42">
        <v>14300.18</v>
      </c>
      <c r="F568" s="42"/>
      <c r="G568" s="42"/>
      <c r="H568" s="42">
        <v>6384.11</v>
      </c>
      <c r="I568" s="42">
        <v>0</v>
      </c>
      <c r="J568" s="42">
        <v>1723.69</v>
      </c>
      <c r="K568" s="43">
        <v>20684.29</v>
      </c>
      <c r="L568" s="32">
        <v>22407.98</v>
      </c>
      <c r="M568" s="33"/>
      <c r="N568" s="30">
        <v>20684.29</v>
      </c>
      <c r="O568" s="30">
        <v>14300.18</v>
      </c>
      <c r="P568" s="30">
        <v>1667.16</v>
      </c>
      <c r="Q568" s="30">
        <f>(N568+O568*0.18+J568)+(IF((P568-O568*0.18)&gt;0,(P568-O568*0.18),0))</f>
        <v>24982.0124</v>
      </c>
      <c r="R568" s="7"/>
      <c r="S568" s="7"/>
      <c r="T568" s="7"/>
      <c r="U568" s="7"/>
      <c r="V568" s="7"/>
      <c r="W568" s="7"/>
      <c r="X568" s="7"/>
      <c r="Y568" s="7"/>
      <c r="Z568" s="7"/>
    </row>
    <row r="569" spans="1:26" ht="9" customHeight="1" x14ac:dyDescent="0.2">
      <c r="A569" s="95"/>
      <c r="B569" s="95"/>
      <c r="C569" s="34" t="s">
        <v>37</v>
      </c>
      <c r="D569" s="35">
        <v>27</v>
      </c>
      <c r="E569" s="36">
        <v>27689010</v>
      </c>
      <c r="F569" s="36"/>
      <c r="G569" s="36"/>
      <c r="H569" s="36">
        <v>12361361</v>
      </c>
      <c r="I569" s="36">
        <v>0</v>
      </c>
      <c r="J569" s="37">
        <v>3337529</v>
      </c>
      <c r="K569" s="36">
        <v>40050370</v>
      </c>
      <c r="L569" s="38">
        <v>43387899</v>
      </c>
      <c r="M569" s="39"/>
      <c r="N569" s="36">
        <v>40050370</v>
      </c>
      <c r="O569" s="36">
        <v>27689010</v>
      </c>
      <c r="P569" s="36">
        <v>3228072</v>
      </c>
      <c r="Q569" s="36">
        <f>Q568*1936.27</f>
        <v>48371921.149747998</v>
      </c>
      <c r="R569" s="7"/>
      <c r="S569" s="7"/>
      <c r="T569" s="7"/>
      <c r="U569" s="7"/>
      <c r="V569" s="7"/>
      <c r="W569" s="7"/>
      <c r="X569" s="7"/>
      <c r="Y569" s="7"/>
      <c r="Z569" s="7"/>
    </row>
    <row r="570" spans="1:26" ht="12.75" customHeight="1" x14ac:dyDescent="0.2">
      <c r="A570" s="95"/>
      <c r="B570" s="95"/>
      <c r="C570" s="40" t="s">
        <v>36</v>
      </c>
      <c r="D570" s="41">
        <v>28</v>
      </c>
      <c r="E570" s="42">
        <v>15778.79</v>
      </c>
      <c r="F570" s="42"/>
      <c r="G570" s="42"/>
      <c r="H570" s="42">
        <v>6384.11</v>
      </c>
      <c r="I570" s="42">
        <v>0</v>
      </c>
      <c r="J570" s="42">
        <v>1846.91</v>
      </c>
      <c r="K570" s="43">
        <v>22162.9</v>
      </c>
      <c r="L570" s="32">
        <v>24009.81</v>
      </c>
      <c r="M570" s="33"/>
      <c r="N570" s="30">
        <v>22162.9</v>
      </c>
      <c r="O570" s="30">
        <v>15778.79</v>
      </c>
      <c r="P570" s="30">
        <v>1865.4</v>
      </c>
      <c r="Q570" s="30">
        <f>(N570+O570*0.18+J570)+(IF((P570-O570*0.18)&gt;0,(P570-O570*0.18),0))</f>
        <v>26849.992200000001</v>
      </c>
      <c r="R570" s="7"/>
      <c r="S570" s="7"/>
      <c r="T570" s="7"/>
      <c r="U570" s="7"/>
      <c r="V570" s="7"/>
      <c r="W570" s="7"/>
      <c r="X570" s="7"/>
      <c r="Y570" s="7"/>
      <c r="Z570" s="7"/>
    </row>
    <row r="571" spans="1:26" ht="9" customHeight="1" x14ac:dyDescent="0.2">
      <c r="A571" s="95"/>
      <c r="B571" s="95"/>
      <c r="C571" s="34" t="s">
        <v>37</v>
      </c>
      <c r="D571" s="35">
        <v>34</v>
      </c>
      <c r="E571" s="36">
        <v>30551998</v>
      </c>
      <c r="F571" s="36"/>
      <c r="G571" s="36"/>
      <c r="H571" s="36">
        <v>12361361</v>
      </c>
      <c r="I571" s="36">
        <v>0</v>
      </c>
      <c r="J571" s="37">
        <v>3576116</v>
      </c>
      <c r="K571" s="36">
        <v>42913358</v>
      </c>
      <c r="L571" s="38">
        <v>46489475</v>
      </c>
      <c r="M571" s="39"/>
      <c r="N571" s="36">
        <v>42913358</v>
      </c>
      <c r="O571" s="36">
        <v>30551998</v>
      </c>
      <c r="P571" s="36">
        <v>3611918</v>
      </c>
      <c r="Q571" s="36">
        <f>Q570*1936.27</f>
        <v>51988834.397094004</v>
      </c>
      <c r="R571" s="7"/>
      <c r="S571" s="7"/>
      <c r="T571" s="7"/>
      <c r="U571" s="7"/>
      <c r="V571" s="7"/>
      <c r="W571" s="7"/>
      <c r="X571" s="7"/>
      <c r="Y571" s="7"/>
      <c r="Z571" s="7"/>
    </row>
    <row r="572" spans="1:26" ht="12.75" customHeight="1" x14ac:dyDescent="0.2">
      <c r="A572" s="95"/>
      <c r="B572" s="95"/>
      <c r="C572" s="40" t="s">
        <v>36</v>
      </c>
      <c r="D572" s="41">
        <v>35</v>
      </c>
      <c r="E572" s="42">
        <v>16879.88</v>
      </c>
      <c r="F572" s="42"/>
      <c r="G572" s="42"/>
      <c r="H572" s="42">
        <v>6384.11</v>
      </c>
      <c r="I572" s="42">
        <v>0</v>
      </c>
      <c r="J572" s="42">
        <v>1938.67</v>
      </c>
      <c r="K572" s="43">
        <v>23263.99</v>
      </c>
      <c r="L572" s="32">
        <v>25202.66</v>
      </c>
      <c r="M572" s="33"/>
      <c r="N572" s="30">
        <v>23263.99</v>
      </c>
      <c r="O572" s="30">
        <v>16879.88</v>
      </c>
      <c r="P572" s="30">
        <v>1865.4</v>
      </c>
      <c r="Q572" s="30">
        <f>(N572+O572*0.18+J572)+(IF((P572-O572*0.18)&gt;0,(P572-O572*0.18),0))</f>
        <v>28241.038400000005</v>
      </c>
      <c r="R572" s="7"/>
      <c r="S572" s="7"/>
      <c r="T572" s="7"/>
      <c r="U572" s="7"/>
      <c r="V572" s="7"/>
      <c r="W572" s="7"/>
      <c r="X572" s="7"/>
      <c r="Y572" s="7"/>
      <c r="Z572" s="7"/>
    </row>
    <row r="573" spans="1:26" ht="9" customHeight="1" x14ac:dyDescent="0.2">
      <c r="A573" s="110"/>
      <c r="B573" s="110"/>
      <c r="C573" s="47" t="s">
        <v>37</v>
      </c>
      <c r="D573" s="48"/>
      <c r="E573" s="46">
        <v>32684005</v>
      </c>
      <c r="F573" s="46"/>
      <c r="G573" s="46"/>
      <c r="H573" s="46">
        <v>12361361</v>
      </c>
      <c r="I573" s="46">
        <v>0</v>
      </c>
      <c r="J573" s="49">
        <v>3753789</v>
      </c>
      <c r="K573" s="46">
        <v>45045366</v>
      </c>
      <c r="L573" s="38">
        <v>48799154</v>
      </c>
      <c r="M573" s="39"/>
      <c r="N573" s="36">
        <v>45045366</v>
      </c>
      <c r="O573" s="36">
        <v>32684005</v>
      </c>
      <c r="P573" s="36">
        <v>3611918</v>
      </c>
      <c r="Q573" s="36">
        <f>Q572*1936.27</f>
        <v>54682275.422768012</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9" customHeight="1" x14ac:dyDescent="0.2">
      <c r="A580" s="95"/>
      <c r="B580" s="95"/>
      <c r="C580" s="44"/>
      <c r="D580" s="45"/>
      <c r="E580" s="96"/>
      <c r="F580" s="96"/>
      <c r="G580" s="96"/>
      <c r="H580" s="96"/>
      <c r="I580" s="96"/>
      <c r="J580" s="54"/>
      <c r="K580" s="96"/>
      <c r="L580" s="96"/>
      <c r="M580" s="39"/>
      <c r="N580" s="96"/>
      <c r="O580" s="96"/>
      <c r="P580" s="96"/>
      <c r="Q580" s="96"/>
      <c r="R580" s="7"/>
      <c r="S580" s="7"/>
      <c r="T580" s="7"/>
      <c r="U580" s="7"/>
      <c r="V580" s="7"/>
      <c r="W580" s="7"/>
      <c r="X580" s="7"/>
      <c r="Y580" s="7"/>
      <c r="Z580" s="7"/>
    </row>
    <row r="581" spans="1:26" ht="9" customHeight="1" x14ac:dyDescent="0.2">
      <c r="A581" s="95"/>
      <c r="B581" s="95"/>
      <c r="C581" s="44"/>
      <c r="D581" s="45"/>
      <c r="E581" s="96"/>
      <c r="F581" s="96"/>
      <c r="G581" s="96"/>
      <c r="H581" s="96"/>
      <c r="I581" s="96"/>
      <c r="J581" s="54"/>
      <c r="K581" s="96"/>
      <c r="L581" s="96"/>
      <c r="M581" s="39"/>
      <c r="N581" s="96"/>
      <c r="O581" s="96"/>
      <c r="P581" s="96"/>
      <c r="Q581" s="96"/>
      <c r="R581" s="7"/>
      <c r="S581" s="7"/>
      <c r="T581" s="7"/>
      <c r="U581" s="7"/>
      <c r="V581" s="7"/>
      <c r="W581" s="7"/>
      <c r="X581" s="7"/>
      <c r="Y581" s="7"/>
      <c r="Z581" s="7"/>
    </row>
    <row r="582" spans="1:26" ht="9" customHeight="1" x14ac:dyDescent="0.2">
      <c r="A582" s="95"/>
      <c r="B582" s="95"/>
      <c r="C582" s="44"/>
      <c r="D582" s="45"/>
      <c r="E582" s="96"/>
      <c r="F582" s="96"/>
      <c r="G582" s="96"/>
      <c r="H582" s="96"/>
      <c r="I582" s="96"/>
      <c r="J582" s="54"/>
      <c r="K582" s="96"/>
      <c r="L582" s="96"/>
      <c r="M582" s="39"/>
      <c r="N582" s="96"/>
      <c r="O582" s="96"/>
      <c r="P582" s="96"/>
      <c r="Q582" s="96"/>
      <c r="R582" s="7"/>
      <c r="S582" s="7"/>
      <c r="T582" s="7"/>
      <c r="U582" s="7"/>
      <c r="V582" s="7"/>
      <c r="W582" s="7"/>
      <c r="X582" s="7"/>
      <c r="Y582" s="7"/>
      <c r="Z582" s="7"/>
    </row>
    <row r="583" spans="1:26" ht="9" customHeight="1" x14ac:dyDescent="0.2">
      <c r="A583" s="95"/>
      <c r="B583" s="95"/>
      <c r="C583" s="44"/>
      <c r="D583" s="45"/>
      <c r="E583" s="96"/>
      <c r="F583" s="96"/>
      <c r="G583" s="96"/>
      <c r="H583" s="96"/>
      <c r="I583" s="96"/>
      <c r="J583" s="54"/>
      <c r="K583" s="96"/>
      <c r="L583" s="96"/>
      <c r="M583" s="39"/>
      <c r="N583" s="96"/>
      <c r="O583" s="96"/>
      <c r="P583" s="96"/>
      <c r="Q583" s="96"/>
      <c r="R583" s="7"/>
      <c r="S583" s="7"/>
      <c r="T583" s="7"/>
      <c r="U583" s="7"/>
      <c r="V583" s="7"/>
      <c r="W583" s="7"/>
      <c r="X583" s="7"/>
      <c r="Y583" s="7"/>
      <c r="Z583" s="7"/>
    </row>
    <row r="584" spans="1:26" ht="9" customHeight="1" x14ac:dyDescent="0.2">
      <c r="A584" s="95"/>
      <c r="B584" s="95"/>
      <c r="C584" s="44"/>
      <c r="D584" s="45"/>
      <c r="E584" s="96"/>
      <c r="F584" s="96"/>
      <c r="G584" s="96"/>
      <c r="H584" s="96"/>
      <c r="I584" s="96"/>
      <c r="J584" s="54"/>
      <c r="K584" s="96"/>
      <c r="L584" s="96"/>
      <c r="M584" s="39"/>
      <c r="N584" s="96"/>
      <c r="O584" s="96"/>
      <c r="P584" s="96"/>
      <c r="Q584" s="96"/>
      <c r="R584" s="7"/>
      <c r="S584" s="7"/>
      <c r="T584" s="7"/>
      <c r="U584" s="7"/>
      <c r="V584" s="7"/>
      <c r="W584" s="7"/>
      <c r="X584" s="7"/>
      <c r="Y584" s="7"/>
      <c r="Z584" s="7"/>
    </row>
    <row r="585" spans="1:26" ht="9" customHeight="1" x14ac:dyDescent="0.2">
      <c r="A585" s="95"/>
      <c r="B585" s="95"/>
      <c r="C585" s="44"/>
      <c r="D585" s="45"/>
      <c r="E585" s="96"/>
      <c r="F585" s="96"/>
      <c r="G585" s="96"/>
      <c r="H585" s="96"/>
      <c r="I585" s="96"/>
      <c r="J585" s="54"/>
      <c r="K585" s="96"/>
      <c r="L585" s="96"/>
      <c r="M585" s="39"/>
      <c r="N585" s="96"/>
      <c r="O585" s="96"/>
      <c r="P585" s="96"/>
      <c r="Q585" s="96"/>
      <c r="R585" s="7"/>
      <c r="S585" s="7"/>
      <c r="T585" s="7"/>
      <c r="U585" s="7"/>
      <c r="V585" s="7"/>
      <c r="W585" s="7"/>
      <c r="X585" s="7"/>
      <c r="Y585" s="7"/>
      <c r="Z585" s="7"/>
    </row>
    <row r="586" spans="1:26" ht="12.75" customHeight="1" x14ac:dyDescent="0.2">
      <c r="A586" s="98">
        <v>37257</v>
      </c>
      <c r="B586" s="98">
        <v>37621</v>
      </c>
      <c r="C586" s="28" t="s">
        <v>36</v>
      </c>
      <c r="D586" s="29">
        <v>0</v>
      </c>
      <c r="E586" s="30">
        <v>9907.19</v>
      </c>
      <c r="F586" s="30"/>
      <c r="G586" s="30"/>
      <c r="H586" s="30">
        <v>6384.11</v>
      </c>
      <c r="I586" s="30">
        <v>0</v>
      </c>
      <c r="J586" s="30">
        <v>1357.61</v>
      </c>
      <c r="K586" s="31">
        <v>16291.3</v>
      </c>
      <c r="L586" s="32">
        <v>17648.91</v>
      </c>
      <c r="M586" s="33"/>
      <c r="N586" s="30">
        <v>16291.3</v>
      </c>
      <c r="O586" s="30">
        <v>9907.19</v>
      </c>
      <c r="P586" s="30">
        <v>1578.6</v>
      </c>
      <c r="Q586" s="30">
        <f>(N586+O586*0.18+J586)+(IF((P586-O586*0.18)&gt;0,(P586-O586*0.18),0))</f>
        <v>19432.2042</v>
      </c>
      <c r="R586" s="7"/>
      <c r="S586" s="7"/>
      <c r="T586" s="7"/>
      <c r="U586" s="7"/>
      <c r="V586" s="7"/>
      <c r="W586" s="7"/>
      <c r="X586" s="7"/>
      <c r="Y586" s="7"/>
      <c r="Z586" s="7"/>
    </row>
    <row r="587" spans="1:26" ht="9" customHeight="1" x14ac:dyDescent="0.2">
      <c r="A587" s="95"/>
      <c r="B587" s="95"/>
      <c r="C587" s="34" t="s">
        <v>37</v>
      </c>
      <c r="D587" s="35">
        <v>2</v>
      </c>
      <c r="E587" s="36">
        <v>19182995</v>
      </c>
      <c r="F587" s="36"/>
      <c r="G587" s="36"/>
      <c r="H587" s="36">
        <v>12361361</v>
      </c>
      <c r="I587" s="36">
        <v>0</v>
      </c>
      <c r="J587" s="37">
        <v>2628700</v>
      </c>
      <c r="K587" s="36">
        <v>31544355</v>
      </c>
      <c r="L587" s="38">
        <v>34173055</v>
      </c>
      <c r="M587" s="39"/>
      <c r="N587" s="36">
        <v>31544355</v>
      </c>
      <c r="O587" s="36">
        <v>19182995</v>
      </c>
      <c r="P587" s="36">
        <v>3056596</v>
      </c>
      <c r="Q587" s="36">
        <f>Q586*1936.27</f>
        <v>37625994.026334003</v>
      </c>
      <c r="R587" s="7"/>
      <c r="S587" s="7"/>
      <c r="T587" s="7"/>
      <c r="U587" s="7"/>
      <c r="V587" s="7"/>
      <c r="W587" s="7"/>
      <c r="X587" s="7"/>
      <c r="Y587" s="7"/>
      <c r="Z587" s="7"/>
    </row>
    <row r="588" spans="1:26" ht="12.75" customHeight="1" x14ac:dyDescent="0.2">
      <c r="A588" s="156">
        <v>37257</v>
      </c>
      <c r="B588" s="156">
        <v>37621</v>
      </c>
      <c r="C588" s="40" t="s">
        <v>36</v>
      </c>
      <c r="D588" s="41">
        <v>3</v>
      </c>
      <c r="E588" s="42">
        <v>10347.280000000001</v>
      </c>
      <c r="F588" s="42"/>
      <c r="G588" s="42"/>
      <c r="H588" s="42">
        <v>6384.11</v>
      </c>
      <c r="I588" s="42">
        <v>0</v>
      </c>
      <c r="J588" s="42">
        <v>1394.28</v>
      </c>
      <c r="K588" s="43">
        <v>16731.39</v>
      </c>
      <c r="L588" s="32">
        <v>18125.669999999998</v>
      </c>
      <c r="M588" s="33"/>
      <c r="N588" s="30">
        <v>16731.39</v>
      </c>
      <c r="O588" s="30">
        <v>10347.280000000001</v>
      </c>
      <c r="P588" s="30">
        <v>1578.6</v>
      </c>
      <c r="Q588" s="30">
        <f>(N588+O588*0.18+J588)+(IF((P588-O588*0.18)&gt;0,(P588-O588*0.18),0))</f>
        <v>19988.180399999997</v>
      </c>
      <c r="R588" s="7"/>
      <c r="S588" s="7"/>
      <c r="T588" s="7"/>
      <c r="U588" s="7"/>
      <c r="V588" s="7"/>
      <c r="W588" s="7"/>
      <c r="X588" s="7"/>
      <c r="Y588" s="7"/>
      <c r="Z588" s="7"/>
    </row>
    <row r="589" spans="1:26" ht="9" customHeight="1" x14ac:dyDescent="0.2">
      <c r="A589" s="95"/>
      <c r="B589" s="95"/>
      <c r="C589" s="34" t="s">
        <v>37</v>
      </c>
      <c r="D589" s="35">
        <v>8</v>
      </c>
      <c r="E589" s="36">
        <v>20035128</v>
      </c>
      <c r="F589" s="36"/>
      <c r="G589" s="36"/>
      <c r="H589" s="36">
        <v>12361361</v>
      </c>
      <c r="I589" s="36">
        <v>0</v>
      </c>
      <c r="J589" s="37">
        <v>2699703</v>
      </c>
      <c r="K589" s="36">
        <v>32396489</v>
      </c>
      <c r="L589" s="38">
        <v>35096191</v>
      </c>
      <c r="M589" s="39"/>
      <c r="N589" s="36">
        <v>32396489</v>
      </c>
      <c r="O589" s="36">
        <v>20035128</v>
      </c>
      <c r="P589" s="36">
        <v>3056596</v>
      </c>
      <c r="Q589" s="36">
        <f>Q588*1936.27</f>
        <v>38702514.063107997</v>
      </c>
      <c r="R589" s="7"/>
      <c r="S589" s="7"/>
      <c r="T589" s="7"/>
      <c r="U589" s="7"/>
      <c r="V589" s="7"/>
      <c r="W589" s="7"/>
      <c r="X589" s="7"/>
      <c r="Y589" s="7"/>
      <c r="Z589" s="7"/>
    </row>
    <row r="590" spans="1:26" ht="12.75" customHeight="1" x14ac:dyDescent="0.2">
      <c r="A590" s="95"/>
      <c r="B590" s="95"/>
      <c r="C590" s="40" t="s">
        <v>36</v>
      </c>
      <c r="D590" s="41">
        <v>9</v>
      </c>
      <c r="E590" s="42">
        <v>11702.77</v>
      </c>
      <c r="F590" s="42"/>
      <c r="G590" s="42"/>
      <c r="H590" s="42">
        <v>6384.11</v>
      </c>
      <c r="I590" s="42">
        <v>0</v>
      </c>
      <c r="J590" s="42">
        <v>1507.24</v>
      </c>
      <c r="K590" s="43">
        <v>18086.88</v>
      </c>
      <c r="L590" s="32">
        <v>19594.12</v>
      </c>
      <c r="M590" s="33"/>
      <c r="N590" s="30">
        <v>18086.88</v>
      </c>
      <c r="O590" s="30">
        <v>11702.77</v>
      </c>
      <c r="P590" s="30">
        <v>1578.6</v>
      </c>
      <c r="Q590" s="30">
        <f>(N590+O590*0.18+J590)+(IF((P590-O590*0.18)&gt;0,(P590-O590*0.18),0))</f>
        <v>21700.618600000002</v>
      </c>
      <c r="R590" s="7"/>
      <c r="S590" s="7"/>
      <c r="T590" s="7"/>
      <c r="U590" s="7"/>
      <c r="V590" s="7"/>
      <c r="W590" s="7"/>
      <c r="X590" s="7"/>
      <c r="Y590" s="7"/>
      <c r="Z590" s="7"/>
    </row>
    <row r="591" spans="1:26" ht="9" customHeight="1" x14ac:dyDescent="0.2">
      <c r="A591" s="95"/>
      <c r="B591" s="95"/>
      <c r="C591" s="34" t="s">
        <v>37</v>
      </c>
      <c r="D591" s="35">
        <v>14</v>
      </c>
      <c r="E591" s="36">
        <v>22659722</v>
      </c>
      <c r="F591" s="36"/>
      <c r="G591" s="36"/>
      <c r="H591" s="36">
        <v>12361361</v>
      </c>
      <c r="I591" s="36">
        <v>0</v>
      </c>
      <c r="J591" s="37">
        <v>2918424</v>
      </c>
      <c r="K591" s="36">
        <v>35021083</v>
      </c>
      <c r="L591" s="38">
        <v>37939507</v>
      </c>
      <c r="M591" s="39"/>
      <c r="N591" s="36">
        <v>35021083</v>
      </c>
      <c r="O591" s="36">
        <v>22659722</v>
      </c>
      <c r="P591" s="36">
        <v>3056596</v>
      </c>
      <c r="Q591" s="36">
        <f>Q590*1936.27</f>
        <v>42018256.776622005</v>
      </c>
      <c r="R591" s="7"/>
      <c r="S591" s="7"/>
      <c r="T591" s="7"/>
      <c r="U591" s="7"/>
      <c r="V591" s="7"/>
      <c r="W591" s="7"/>
      <c r="X591" s="7"/>
      <c r="Y591" s="7"/>
      <c r="Z591" s="7"/>
    </row>
    <row r="592" spans="1:26" ht="12.75" customHeight="1" x14ac:dyDescent="0.2">
      <c r="A592" s="95"/>
      <c r="B592" s="95"/>
      <c r="C592" s="40" t="s">
        <v>36</v>
      </c>
      <c r="D592" s="41">
        <v>15</v>
      </c>
      <c r="E592" s="42">
        <v>13285.98</v>
      </c>
      <c r="F592" s="42"/>
      <c r="G592" s="42"/>
      <c r="H592" s="42">
        <v>6384.11</v>
      </c>
      <c r="I592" s="42">
        <v>0</v>
      </c>
      <c r="J592" s="42">
        <v>1639.17</v>
      </c>
      <c r="K592" s="43">
        <v>19670.09</v>
      </c>
      <c r="L592" s="32">
        <v>21309.26</v>
      </c>
      <c r="M592" s="33"/>
      <c r="N592" s="30">
        <v>19670.09</v>
      </c>
      <c r="O592" s="30">
        <v>13285.98</v>
      </c>
      <c r="P592" s="30">
        <v>1955.16</v>
      </c>
      <c r="Q592" s="30">
        <f>(N592+O592*0.18+J592)+(IF((P592-O592*0.18)&gt;0,(P592-O592*0.18),0))</f>
        <v>23700.736400000002</v>
      </c>
      <c r="R592" s="7"/>
      <c r="S592" s="7"/>
      <c r="T592" s="7"/>
      <c r="U592" s="7"/>
      <c r="V592" s="7"/>
      <c r="W592" s="7"/>
      <c r="X592" s="7"/>
      <c r="Y592" s="7"/>
      <c r="Z592" s="7"/>
    </row>
    <row r="593" spans="1:26" ht="9" customHeight="1" x14ac:dyDescent="0.2">
      <c r="A593" s="95"/>
      <c r="B593" s="95"/>
      <c r="C593" s="34" t="s">
        <v>37</v>
      </c>
      <c r="D593" s="35">
        <v>20</v>
      </c>
      <c r="E593" s="36">
        <v>25725244</v>
      </c>
      <c r="F593" s="36"/>
      <c r="G593" s="36"/>
      <c r="H593" s="36">
        <v>12361361</v>
      </c>
      <c r="I593" s="36">
        <v>0</v>
      </c>
      <c r="J593" s="37">
        <v>3173876</v>
      </c>
      <c r="K593" s="36">
        <v>38086605</v>
      </c>
      <c r="L593" s="38">
        <v>41260481</v>
      </c>
      <c r="M593" s="39"/>
      <c r="N593" s="36">
        <v>38086605</v>
      </c>
      <c r="O593" s="36">
        <v>25725244</v>
      </c>
      <c r="P593" s="36">
        <v>3785718</v>
      </c>
      <c r="Q593" s="36">
        <f>Q592*1936.27</f>
        <v>45891024.869228005</v>
      </c>
      <c r="R593" s="7"/>
      <c r="S593" s="7"/>
      <c r="T593" s="7"/>
      <c r="U593" s="7"/>
      <c r="V593" s="7"/>
      <c r="W593" s="7"/>
      <c r="X593" s="7"/>
      <c r="Y593" s="7"/>
      <c r="Z593" s="7"/>
    </row>
    <row r="594" spans="1:26" ht="12.75" customHeight="1" x14ac:dyDescent="0.2">
      <c r="A594" s="95"/>
      <c r="B594" s="95"/>
      <c r="C594" s="40" t="s">
        <v>36</v>
      </c>
      <c r="D594" s="41">
        <v>21</v>
      </c>
      <c r="E594" s="42">
        <v>14822.54</v>
      </c>
      <c r="F594" s="42"/>
      <c r="G594" s="42"/>
      <c r="H594" s="42">
        <v>6384.11</v>
      </c>
      <c r="I594" s="42">
        <v>0</v>
      </c>
      <c r="J594" s="42">
        <v>1767.22</v>
      </c>
      <c r="K594" s="43">
        <v>21206.65</v>
      </c>
      <c r="L594" s="32">
        <v>22973.87</v>
      </c>
      <c r="M594" s="33"/>
      <c r="N594" s="30">
        <v>21206.65</v>
      </c>
      <c r="O594" s="30">
        <v>14822.54</v>
      </c>
      <c r="P594" s="30">
        <v>1955.16</v>
      </c>
      <c r="Q594" s="30">
        <f>(N594+O594*0.18+J594)+(IF((P594-O594*0.18)&gt;0,(P594-O594*0.18),0))</f>
        <v>25641.927200000002</v>
      </c>
      <c r="R594" s="7"/>
      <c r="S594" s="7"/>
      <c r="T594" s="7"/>
      <c r="U594" s="7"/>
      <c r="V594" s="7"/>
      <c r="W594" s="7"/>
      <c r="X594" s="7"/>
      <c r="Y594" s="7"/>
      <c r="Z594" s="7"/>
    </row>
    <row r="595" spans="1:26" ht="9" customHeight="1" x14ac:dyDescent="0.2">
      <c r="A595" s="95"/>
      <c r="B595" s="95"/>
      <c r="C595" s="34" t="s">
        <v>37</v>
      </c>
      <c r="D595" s="35">
        <v>27</v>
      </c>
      <c r="E595" s="36">
        <v>28700440</v>
      </c>
      <c r="F595" s="36"/>
      <c r="G595" s="36"/>
      <c r="H595" s="36">
        <v>12361361</v>
      </c>
      <c r="I595" s="36">
        <v>0</v>
      </c>
      <c r="J595" s="37">
        <v>3421815</v>
      </c>
      <c r="K595" s="36">
        <v>41061800</v>
      </c>
      <c r="L595" s="38">
        <v>44483615</v>
      </c>
      <c r="M595" s="39"/>
      <c r="N595" s="36">
        <v>41061800</v>
      </c>
      <c r="O595" s="36">
        <v>28700440</v>
      </c>
      <c r="P595" s="36">
        <v>3785718</v>
      </c>
      <c r="Q595" s="36">
        <f>Q594*1936.27</f>
        <v>49649694.379544005</v>
      </c>
      <c r="R595" s="7"/>
      <c r="S595" s="7"/>
      <c r="T595" s="7"/>
      <c r="U595" s="7"/>
      <c r="V595" s="7"/>
      <c r="W595" s="7"/>
      <c r="X595" s="7"/>
      <c r="Y595" s="7"/>
      <c r="Z595" s="7"/>
    </row>
    <row r="596" spans="1:26" ht="12.75" customHeight="1" x14ac:dyDescent="0.2">
      <c r="A596" s="95"/>
      <c r="B596" s="95"/>
      <c r="C596" s="40" t="s">
        <v>36</v>
      </c>
      <c r="D596" s="41">
        <v>28</v>
      </c>
      <c r="E596" s="42">
        <v>16338.59</v>
      </c>
      <c r="F596" s="42"/>
      <c r="G596" s="42"/>
      <c r="H596" s="42">
        <v>6384.11</v>
      </c>
      <c r="I596" s="42">
        <v>0</v>
      </c>
      <c r="J596" s="42">
        <v>1893.56</v>
      </c>
      <c r="K596" s="43">
        <v>22722.7</v>
      </c>
      <c r="L596" s="32">
        <v>24616.26</v>
      </c>
      <c r="M596" s="33"/>
      <c r="N596" s="30">
        <v>22722.7</v>
      </c>
      <c r="O596" s="30">
        <v>16338.59</v>
      </c>
      <c r="P596" s="30">
        <v>2333.4</v>
      </c>
      <c r="Q596" s="30">
        <f>(N596+O596*0.18+J596)+(IF((P596-O596*0.18)&gt;0,(P596-O596*0.18),0))</f>
        <v>27557.206200000001</v>
      </c>
      <c r="R596" s="7"/>
      <c r="S596" s="7"/>
      <c r="T596" s="7"/>
      <c r="U596" s="7"/>
      <c r="V596" s="7"/>
      <c r="W596" s="7"/>
      <c r="X596" s="7"/>
      <c r="Y596" s="7"/>
      <c r="Z596" s="7"/>
    </row>
    <row r="597" spans="1:26" ht="9" customHeight="1" x14ac:dyDescent="0.2">
      <c r="A597" s="95"/>
      <c r="B597" s="95"/>
      <c r="C597" s="34" t="s">
        <v>37</v>
      </c>
      <c r="D597" s="35">
        <v>34</v>
      </c>
      <c r="E597" s="36">
        <v>31635922</v>
      </c>
      <c r="F597" s="36"/>
      <c r="G597" s="36"/>
      <c r="H597" s="36">
        <v>12361361</v>
      </c>
      <c r="I597" s="36">
        <v>0</v>
      </c>
      <c r="J597" s="37">
        <v>3666443</v>
      </c>
      <c r="K597" s="36">
        <v>43997282</v>
      </c>
      <c r="L597" s="38">
        <v>47663726</v>
      </c>
      <c r="M597" s="39"/>
      <c r="N597" s="36">
        <v>43997282</v>
      </c>
      <c r="O597" s="36">
        <v>31635922</v>
      </c>
      <c r="P597" s="36">
        <v>4518092</v>
      </c>
      <c r="Q597" s="36">
        <f>Q596*1936.27</f>
        <v>53358191.648874</v>
      </c>
      <c r="R597" s="7"/>
      <c r="S597" s="7"/>
      <c r="T597" s="7"/>
      <c r="U597" s="7"/>
      <c r="V597" s="7"/>
      <c r="W597" s="7"/>
      <c r="X597" s="7"/>
      <c r="Y597" s="7"/>
      <c r="Z597" s="7"/>
    </row>
    <row r="598" spans="1:26" ht="12.75" customHeight="1" x14ac:dyDescent="0.2">
      <c r="A598" s="95"/>
      <c r="B598" s="95"/>
      <c r="C598" s="40" t="s">
        <v>36</v>
      </c>
      <c r="D598" s="41">
        <v>35</v>
      </c>
      <c r="E598" s="42">
        <v>17467.400000000001</v>
      </c>
      <c r="F598" s="42"/>
      <c r="G598" s="42"/>
      <c r="H598" s="42">
        <v>6384.11</v>
      </c>
      <c r="I598" s="42">
        <v>0</v>
      </c>
      <c r="J598" s="42">
        <v>1987.63</v>
      </c>
      <c r="K598" s="43">
        <v>23851.51</v>
      </c>
      <c r="L598" s="32">
        <v>25839.14</v>
      </c>
      <c r="M598" s="33"/>
      <c r="N598" s="30">
        <v>23851.51</v>
      </c>
      <c r="O598" s="30">
        <v>17467.400000000001</v>
      </c>
      <c r="P598" s="30">
        <v>2333.4</v>
      </c>
      <c r="Q598" s="30">
        <f>(N598+O598*0.18+J598)+(IF((P598-O598*0.18)&gt;0,(P598-O598*0.18),0))</f>
        <v>28983.272000000001</v>
      </c>
      <c r="R598" s="7"/>
      <c r="S598" s="7"/>
      <c r="T598" s="7"/>
      <c r="U598" s="7"/>
      <c r="V598" s="7"/>
      <c r="W598" s="7"/>
      <c r="X598" s="7"/>
      <c r="Y598" s="7"/>
      <c r="Z598" s="7"/>
    </row>
    <row r="599" spans="1:26" ht="9" customHeight="1" x14ac:dyDescent="0.2">
      <c r="A599" s="110"/>
      <c r="B599" s="110"/>
      <c r="C599" s="47" t="s">
        <v>37</v>
      </c>
      <c r="D599" s="48"/>
      <c r="E599" s="46">
        <v>33821603</v>
      </c>
      <c r="F599" s="46"/>
      <c r="G599" s="46"/>
      <c r="H599" s="46">
        <v>12361361</v>
      </c>
      <c r="I599" s="46">
        <v>0</v>
      </c>
      <c r="J599" s="49">
        <v>3848588</v>
      </c>
      <c r="K599" s="46">
        <v>46182963</v>
      </c>
      <c r="L599" s="38">
        <v>50031552</v>
      </c>
      <c r="M599" s="39"/>
      <c r="N599" s="36">
        <v>46182963</v>
      </c>
      <c r="O599" s="36">
        <v>33821603</v>
      </c>
      <c r="P599" s="36">
        <v>4518092</v>
      </c>
      <c r="Q599" s="36">
        <f>Q598*1936.27</f>
        <v>56119440.075440004</v>
      </c>
      <c r="R599" s="7"/>
      <c r="S599" s="7"/>
      <c r="T599" s="7"/>
      <c r="U599" s="7"/>
      <c r="V599" s="7"/>
      <c r="W599" s="7"/>
      <c r="X599" s="7"/>
      <c r="Y599" s="7"/>
      <c r="Z599" s="7"/>
    </row>
    <row r="600" spans="1:26" ht="12.75" customHeight="1" x14ac:dyDescent="0.2">
      <c r="A600" s="98">
        <v>37622</v>
      </c>
      <c r="B600" s="98">
        <v>37986</v>
      </c>
      <c r="C600" s="28" t="s">
        <v>36</v>
      </c>
      <c r="D600" s="29">
        <v>0</v>
      </c>
      <c r="E600" s="30">
        <v>10319.39</v>
      </c>
      <c r="F600" s="30"/>
      <c r="G600" s="30"/>
      <c r="H600" s="30">
        <v>6384.11</v>
      </c>
      <c r="I600" s="30">
        <v>0</v>
      </c>
      <c r="J600" s="30">
        <v>1391.96</v>
      </c>
      <c r="K600" s="31">
        <v>16703.5</v>
      </c>
      <c r="L600" s="32">
        <v>18095.46</v>
      </c>
      <c r="M600" s="33"/>
      <c r="N600" s="30">
        <v>16703.5</v>
      </c>
      <c r="O600" s="30">
        <v>10319.39</v>
      </c>
      <c r="P600" s="30">
        <v>1710.6</v>
      </c>
      <c r="Q600" s="30">
        <f>(N600+O600*0.18+J600)+(IF((P600-O600*0.18)&gt;0,(P600-O600*0.18),0))</f>
        <v>19952.950199999999</v>
      </c>
      <c r="R600" s="7"/>
      <c r="S600" s="7"/>
      <c r="T600" s="7"/>
      <c r="U600" s="7"/>
      <c r="V600" s="7"/>
      <c r="W600" s="7"/>
      <c r="X600" s="7"/>
      <c r="Y600" s="7"/>
      <c r="Z600" s="7"/>
    </row>
    <row r="601" spans="1:26" ht="9" customHeight="1" x14ac:dyDescent="0.2">
      <c r="A601" s="95"/>
      <c r="B601" s="95"/>
      <c r="C601" s="34" t="s">
        <v>37</v>
      </c>
      <c r="D601" s="35">
        <v>2</v>
      </c>
      <c r="E601" s="36">
        <v>19981125</v>
      </c>
      <c r="F601" s="36"/>
      <c r="G601" s="36"/>
      <c r="H601" s="36">
        <v>12361361</v>
      </c>
      <c r="I601" s="36">
        <v>0</v>
      </c>
      <c r="J601" s="37">
        <v>2695210</v>
      </c>
      <c r="K601" s="36">
        <v>32342486</v>
      </c>
      <c r="L601" s="38">
        <v>35037696</v>
      </c>
      <c r="M601" s="39"/>
      <c r="N601" s="36">
        <v>32342486</v>
      </c>
      <c r="O601" s="36">
        <v>19981125</v>
      </c>
      <c r="P601" s="36">
        <v>3312183</v>
      </c>
      <c r="Q601" s="36">
        <f>Q600*1936.27</f>
        <v>38634298.883754</v>
      </c>
      <c r="R601" s="7"/>
      <c r="S601" s="7"/>
      <c r="T601" s="7"/>
      <c r="U601" s="7"/>
      <c r="V601" s="7"/>
      <c r="W601" s="7"/>
      <c r="X601" s="7"/>
      <c r="Y601" s="7"/>
      <c r="Z601" s="7"/>
    </row>
    <row r="602" spans="1:26" ht="12.75" customHeight="1" x14ac:dyDescent="0.2">
      <c r="A602" s="156">
        <v>37622</v>
      </c>
      <c r="B602" s="156">
        <v>37986</v>
      </c>
      <c r="C602" s="40" t="s">
        <v>36</v>
      </c>
      <c r="D602" s="41">
        <v>3</v>
      </c>
      <c r="E602" s="42">
        <v>10770.64</v>
      </c>
      <c r="F602" s="42"/>
      <c r="G602" s="42"/>
      <c r="H602" s="42">
        <v>6384.11</v>
      </c>
      <c r="I602" s="42">
        <v>0</v>
      </c>
      <c r="J602" s="42">
        <v>1429.56</v>
      </c>
      <c r="K602" s="43">
        <v>17154.75</v>
      </c>
      <c r="L602" s="32">
        <v>18584.310000000001</v>
      </c>
      <c r="M602" s="33"/>
      <c r="N602" s="30">
        <v>17154.75</v>
      </c>
      <c r="O602" s="30">
        <v>10770.64</v>
      </c>
      <c r="P602" s="30">
        <v>1710.6</v>
      </c>
      <c r="Q602" s="30">
        <f>(N602+O602*0.18+J602)+(IF((P602-O602*0.18)&gt;0,(P602-O602*0.18),0))</f>
        <v>20523.0252</v>
      </c>
      <c r="R602" s="7"/>
      <c r="S602" s="7"/>
      <c r="T602" s="7"/>
      <c r="U602" s="7"/>
      <c r="V602" s="7"/>
      <c r="W602" s="7"/>
      <c r="X602" s="7"/>
      <c r="Y602" s="7"/>
      <c r="Z602" s="7"/>
    </row>
    <row r="603" spans="1:26" ht="9" customHeight="1" x14ac:dyDescent="0.2">
      <c r="A603" s="95"/>
      <c r="B603" s="95"/>
      <c r="C603" s="34" t="s">
        <v>37</v>
      </c>
      <c r="D603" s="35">
        <v>8</v>
      </c>
      <c r="E603" s="36">
        <v>20854867</v>
      </c>
      <c r="F603" s="36"/>
      <c r="G603" s="36"/>
      <c r="H603" s="36">
        <v>12361361</v>
      </c>
      <c r="I603" s="36">
        <v>0</v>
      </c>
      <c r="J603" s="37">
        <v>2768014</v>
      </c>
      <c r="K603" s="36">
        <v>33216228</v>
      </c>
      <c r="L603" s="38">
        <v>35984242</v>
      </c>
      <c r="M603" s="39"/>
      <c r="N603" s="36">
        <v>33216228</v>
      </c>
      <c r="O603" s="36">
        <v>20854867</v>
      </c>
      <c r="P603" s="36">
        <v>3312183</v>
      </c>
      <c r="Q603" s="36">
        <f>Q602*1936.27</f>
        <v>39738118.004004002</v>
      </c>
      <c r="R603" s="7"/>
      <c r="S603" s="7"/>
      <c r="T603" s="7"/>
      <c r="U603" s="7"/>
      <c r="V603" s="7"/>
      <c r="W603" s="7"/>
      <c r="X603" s="7"/>
      <c r="Y603" s="7"/>
      <c r="Z603" s="7"/>
    </row>
    <row r="604" spans="1:26" ht="12.75" customHeight="1" x14ac:dyDescent="0.2">
      <c r="A604" s="95"/>
      <c r="B604" s="95"/>
      <c r="C604" s="40" t="s">
        <v>36</v>
      </c>
      <c r="D604" s="41">
        <v>9</v>
      </c>
      <c r="E604" s="42">
        <v>12160.33</v>
      </c>
      <c r="F604" s="42"/>
      <c r="G604" s="42"/>
      <c r="H604" s="42">
        <v>6384.11</v>
      </c>
      <c r="I604" s="42">
        <v>0</v>
      </c>
      <c r="J604" s="42">
        <v>1545.37</v>
      </c>
      <c r="K604" s="43">
        <v>18544.439999999999</v>
      </c>
      <c r="L604" s="32">
        <v>20089.810000000001</v>
      </c>
      <c r="M604" s="33"/>
      <c r="N604" s="30">
        <v>18544.439999999999</v>
      </c>
      <c r="O604" s="30">
        <v>12160.33</v>
      </c>
      <c r="P604" s="30">
        <v>1710.6</v>
      </c>
      <c r="Q604" s="30">
        <f>(N604+O604*0.18+J604)+(IF((P604-O604*0.18)&gt;0,(P604-O604*0.18),0))</f>
        <v>22278.669399999999</v>
      </c>
      <c r="R604" s="7"/>
      <c r="S604" s="7"/>
      <c r="T604" s="7"/>
      <c r="U604" s="7"/>
      <c r="V604" s="7"/>
      <c r="W604" s="7"/>
      <c r="X604" s="7"/>
      <c r="Y604" s="7"/>
      <c r="Z604" s="7"/>
    </row>
    <row r="605" spans="1:26" ht="9" customHeight="1" x14ac:dyDescent="0.2">
      <c r="A605" s="95"/>
      <c r="B605" s="95"/>
      <c r="C605" s="34" t="s">
        <v>37</v>
      </c>
      <c r="D605" s="35">
        <v>14</v>
      </c>
      <c r="E605" s="36">
        <v>23545682</v>
      </c>
      <c r="F605" s="36"/>
      <c r="G605" s="36"/>
      <c r="H605" s="36">
        <v>12361361</v>
      </c>
      <c r="I605" s="36">
        <v>0</v>
      </c>
      <c r="J605" s="37">
        <v>2992254</v>
      </c>
      <c r="K605" s="36">
        <v>35907043</v>
      </c>
      <c r="L605" s="38">
        <v>38899296</v>
      </c>
      <c r="M605" s="39"/>
      <c r="N605" s="36">
        <v>35907043</v>
      </c>
      <c r="O605" s="36">
        <v>23545682</v>
      </c>
      <c r="P605" s="36">
        <v>3312183</v>
      </c>
      <c r="Q605" s="36">
        <f>Q604*1936.27</f>
        <v>43137519.199138001</v>
      </c>
      <c r="R605" s="7"/>
      <c r="S605" s="7"/>
      <c r="T605" s="7"/>
      <c r="U605" s="7"/>
      <c r="V605" s="7"/>
      <c r="W605" s="7"/>
      <c r="X605" s="7"/>
      <c r="Y605" s="7"/>
      <c r="Z605" s="7"/>
    </row>
    <row r="606" spans="1:26" ht="12.75" customHeight="1" x14ac:dyDescent="0.2">
      <c r="A606" s="95"/>
      <c r="B606" s="95"/>
      <c r="C606" s="40" t="s">
        <v>36</v>
      </c>
      <c r="D606" s="41">
        <v>15</v>
      </c>
      <c r="E606" s="42">
        <v>13783.62</v>
      </c>
      <c r="F606" s="42"/>
      <c r="G606" s="42"/>
      <c r="H606" s="42">
        <v>6384.11</v>
      </c>
      <c r="I606" s="42">
        <v>0</v>
      </c>
      <c r="J606" s="42">
        <v>1680.64</v>
      </c>
      <c r="K606" s="43">
        <v>20167.73</v>
      </c>
      <c r="L606" s="32">
        <v>21848.37</v>
      </c>
      <c r="M606" s="33"/>
      <c r="N606" s="30">
        <v>20167.73</v>
      </c>
      <c r="O606" s="30">
        <v>13783.62</v>
      </c>
      <c r="P606" s="30">
        <v>2111.16</v>
      </c>
      <c r="Q606" s="30">
        <f>(N606+O606*0.18+J606)+(IF((P606-O606*0.18)&gt;0,(P606-O606*0.18),0))</f>
        <v>24329.421599999998</v>
      </c>
      <c r="R606" s="7"/>
      <c r="S606" s="7"/>
      <c r="T606" s="7"/>
      <c r="U606" s="7"/>
      <c r="V606" s="7"/>
      <c r="W606" s="7"/>
      <c r="X606" s="7"/>
      <c r="Y606" s="7"/>
      <c r="Z606" s="7"/>
    </row>
    <row r="607" spans="1:26" ht="9" customHeight="1" x14ac:dyDescent="0.2">
      <c r="A607" s="95"/>
      <c r="B607" s="95"/>
      <c r="C607" s="34" t="s">
        <v>37</v>
      </c>
      <c r="D607" s="35">
        <v>20</v>
      </c>
      <c r="E607" s="36">
        <v>26688810</v>
      </c>
      <c r="F607" s="36"/>
      <c r="G607" s="36"/>
      <c r="H607" s="36">
        <v>12361361</v>
      </c>
      <c r="I607" s="36">
        <v>0</v>
      </c>
      <c r="J607" s="37">
        <v>3254173</v>
      </c>
      <c r="K607" s="36">
        <v>39050171</v>
      </c>
      <c r="L607" s="38">
        <v>42304343</v>
      </c>
      <c r="M607" s="39"/>
      <c r="N607" s="36">
        <v>39050171</v>
      </c>
      <c r="O607" s="36">
        <v>26688810</v>
      </c>
      <c r="P607" s="36">
        <v>4087776</v>
      </c>
      <c r="Q607" s="36">
        <f>Q606*1936.27</f>
        <v>47108329.161431998</v>
      </c>
      <c r="R607" s="7"/>
      <c r="S607" s="7"/>
      <c r="T607" s="7"/>
      <c r="U607" s="7"/>
      <c r="V607" s="7"/>
      <c r="W607" s="7"/>
      <c r="X607" s="7"/>
      <c r="Y607" s="7"/>
      <c r="Z607" s="7"/>
    </row>
    <row r="608" spans="1:26" ht="12.75" customHeight="1" x14ac:dyDescent="0.2">
      <c r="A608" s="95"/>
      <c r="B608" s="95"/>
      <c r="C608" s="40" t="s">
        <v>36</v>
      </c>
      <c r="D608" s="41">
        <v>21</v>
      </c>
      <c r="E608" s="42">
        <v>15359.06</v>
      </c>
      <c r="F608" s="42"/>
      <c r="G608" s="42"/>
      <c r="H608" s="42">
        <v>6384.11</v>
      </c>
      <c r="I608" s="42">
        <v>0</v>
      </c>
      <c r="J608" s="42">
        <v>1811.93</v>
      </c>
      <c r="K608" s="43">
        <v>21743.17</v>
      </c>
      <c r="L608" s="32">
        <v>23555.1</v>
      </c>
      <c r="M608" s="33"/>
      <c r="N608" s="30">
        <v>21743.17</v>
      </c>
      <c r="O608" s="30">
        <v>15359.06</v>
      </c>
      <c r="P608" s="30">
        <v>2111.16</v>
      </c>
      <c r="Q608" s="30">
        <f>(N608+O608*0.18+J608)+(IF((P608-O608*0.18)&gt;0,(P608-O608*0.18),0))</f>
        <v>26319.730799999998</v>
      </c>
      <c r="R608" s="7"/>
      <c r="S608" s="7"/>
      <c r="T608" s="7"/>
      <c r="U608" s="7"/>
      <c r="V608" s="7"/>
      <c r="W608" s="7"/>
      <c r="X608" s="7"/>
      <c r="Y608" s="7"/>
      <c r="Z608" s="7"/>
    </row>
    <row r="609" spans="1:26" ht="9" customHeight="1" x14ac:dyDescent="0.2">
      <c r="A609" s="95"/>
      <c r="B609" s="95"/>
      <c r="C609" s="34" t="s">
        <v>37</v>
      </c>
      <c r="D609" s="35">
        <v>27</v>
      </c>
      <c r="E609" s="36">
        <v>29739287</v>
      </c>
      <c r="F609" s="36"/>
      <c r="G609" s="36"/>
      <c r="H609" s="36">
        <v>12361361</v>
      </c>
      <c r="I609" s="36">
        <v>0</v>
      </c>
      <c r="J609" s="37">
        <v>3508386</v>
      </c>
      <c r="K609" s="36">
        <v>42100648</v>
      </c>
      <c r="L609" s="38">
        <v>45609033</v>
      </c>
      <c r="M609" s="39"/>
      <c r="N609" s="36">
        <v>42100648</v>
      </c>
      <c r="O609" s="36">
        <v>29739287</v>
      </c>
      <c r="P609" s="36">
        <v>4087776</v>
      </c>
      <c r="Q609" s="36">
        <f>Q608*1936.27</f>
        <v>50962105.156115994</v>
      </c>
      <c r="R609" s="7"/>
      <c r="S609" s="7"/>
      <c r="T609" s="7"/>
      <c r="U609" s="7"/>
      <c r="V609" s="7"/>
      <c r="W609" s="7"/>
      <c r="X609" s="7"/>
      <c r="Y609" s="7"/>
      <c r="Z609" s="7"/>
    </row>
    <row r="610" spans="1:26" ht="12.75" customHeight="1" x14ac:dyDescent="0.2">
      <c r="A610" s="95"/>
      <c r="B610" s="95"/>
      <c r="C610" s="40" t="s">
        <v>36</v>
      </c>
      <c r="D610" s="41">
        <v>28</v>
      </c>
      <c r="E610" s="42">
        <v>16913.509999999998</v>
      </c>
      <c r="F610" s="42"/>
      <c r="G610" s="42"/>
      <c r="H610" s="42">
        <v>6384.11</v>
      </c>
      <c r="I610" s="42">
        <v>0</v>
      </c>
      <c r="J610" s="42">
        <v>1941.47</v>
      </c>
      <c r="K610" s="43">
        <v>23297.62</v>
      </c>
      <c r="L610" s="32">
        <v>25239.09</v>
      </c>
      <c r="M610" s="33"/>
      <c r="N610" s="30">
        <v>23297.62</v>
      </c>
      <c r="O610" s="30">
        <v>16913.509999999998</v>
      </c>
      <c r="P610" s="30">
        <v>2585.4</v>
      </c>
      <c r="Q610" s="30">
        <f>(N610+O610*0.18+J610)+(IF((P610-O610*0.18)&gt;0,(P610-O610*0.18),0))</f>
        <v>28283.521799999999</v>
      </c>
      <c r="R610" s="7"/>
      <c r="S610" s="7"/>
      <c r="T610" s="7"/>
      <c r="U610" s="7"/>
      <c r="V610" s="7"/>
      <c r="W610" s="7"/>
      <c r="X610" s="7"/>
      <c r="Y610" s="7"/>
      <c r="Z610" s="7"/>
    </row>
    <row r="611" spans="1:26" ht="9" customHeight="1" x14ac:dyDescent="0.2">
      <c r="A611" s="95"/>
      <c r="B611" s="95"/>
      <c r="C611" s="34" t="s">
        <v>37</v>
      </c>
      <c r="D611" s="35">
        <v>34</v>
      </c>
      <c r="E611" s="36">
        <v>32749122</v>
      </c>
      <c r="F611" s="36"/>
      <c r="G611" s="36"/>
      <c r="H611" s="36">
        <v>12361361</v>
      </c>
      <c r="I611" s="36">
        <v>0</v>
      </c>
      <c r="J611" s="37">
        <v>3759210</v>
      </c>
      <c r="K611" s="36">
        <v>45110483</v>
      </c>
      <c r="L611" s="38">
        <v>48869693</v>
      </c>
      <c r="M611" s="39"/>
      <c r="N611" s="36">
        <v>45110483</v>
      </c>
      <c r="O611" s="36">
        <v>32749122</v>
      </c>
      <c r="P611" s="36">
        <v>5006032</v>
      </c>
      <c r="Q611" s="36">
        <f>Q610*1936.27</f>
        <v>54764534.755686</v>
      </c>
      <c r="R611" s="7"/>
      <c r="S611" s="7"/>
      <c r="T611" s="7"/>
      <c r="U611" s="7"/>
      <c r="V611" s="7"/>
      <c r="W611" s="7"/>
      <c r="X611" s="7"/>
      <c r="Y611" s="7"/>
      <c r="Z611" s="7"/>
    </row>
    <row r="612" spans="1:26" ht="12.75" customHeight="1" x14ac:dyDescent="0.2">
      <c r="A612" s="95"/>
      <c r="B612" s="95"/>
      <c r="C612" s="40" t="s">
        <v>36</v>
      </c>
      <c r="D612" s="41">
        <v>35</v>
      </c>
      <c r="E612" s="42">
        <v>18070.88</v>
      </c>
      <c r="F612" s="42"/>
      <c r="G612" s="42"/>
      <c r="H612" s="42">
        <v>6384.11</v>
      </c>
      <c r="I612" s="42">
        <v>0</v>
      </c>
      <c r="J612" s="42">
        <v>2037.92</v>
      </c>
      <c r="K612" s="43">
        <v>24454.99</v>
      </c>
      <c r="L612" s="32">
        <v>26492.91</v>
      </c>
      <c r="M612" s="33"/>
      <c r="N612" s="30">
        <v>24454.99</v>
      </c>
      <c r="O612" s="30">
        <v>18070.88</v>
      </c>
      <c r="P612" s="30">
        <v>2585.4</v>
      </c>
      <c r="Q612" s="30">
        <f>(N612+O612*0.18+J612)+(IF((P612-O612*0.18)&gt;0,(P612-O612*0.18),0))</f>
        <v>29745.668400000002</v>
      </c>
      <c r="R612" s="7"/>
      <c r="S612" s="7"/>
      <c r="T612" s="7"/>
      <c r="U612" s="7"/>
      <c r="V612" s="7"/>
      <c r="W612" s="7"/>
      <c r="X612" s="7"/>
      <c r="Y612" s="7"/>
      <c r="Z612" s="7"/>
    </row>
    <row r="613" spans="1:26" ht="9" customHeight="1" x14ac:dyDescent="0.2">
      <c r="A613" s="110"/>
      <c r="B613" s="110"/>
      <c r="C613" s="47" t="s">
        <v>37</v>
      </c>
      <c r="D613" s="48"/>
      <c r="E613" s="46">
        <v>34990103</v>
      </c>
      <c r="F613" s="46"/>
      <c r="G613" s="46"/>
      <c r="H613" s="46">
        <v>12361361</v>
      </c>
      <c r="I613" s="46">
        <v>0</v>
      </c>
      <c r="J613" s="49">
        <v>3945963</v>
      </c>
      <c r="K613" s="46">
        <v>47351463</v>
      </c>
      <c r="L613" s="38">
        <v>51297427</v>
      </c>
      <c r="M613" s="39"/>
      <c r="N613" s="36">
        <v>47351463</v>
      </c>
      <c r="O613" s="36">
        <v>34990103</v>
      </c>
      <c r="P613" s="36">
        <v>5006032</v>
      </c>
      <c r="Q613" s="36">
        <f>Q612*1936.27</f>
        <v>57595645.352868006</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98">
        <v>37987</v>
      </c>
      <c r="B620" s="98">
        <v>38383</v>
      </c>
      <c r="C620" s="28" t="s">
        <v>36</v>
      </c>
      <c r="D620" s="29">
        <v>0</v>
      </c>
      <c r="E620" s="30">
        <v>10723.07</v>
      </c>
      <c r="F620" s="30"/>
      <c r="G620" s="30"/>
      <c r="H620" s="30">
        <v>6384.11</v>
      </c>
      <c r="I620" s="30">
        <v>0</v>
      </c>
      <c r="J620" s="30">
        <v>1425.6</v>
      </c>
      <c r="K620" s="31">
        <v>17107.18</v>
      </c>
      <c r="L620" s="32">
        <v>18532.78</v>
      </c>
      <c r="M620" s="33"/>
      <c r="N620" s="30">
        <v>17107.18</v>
      </c>
      <c r="O620" s="30">
        <v>10723.07</v>
      </c>
      <c r="P620" s="30">
        <v>1857.84</v>
      </c>
      <c r="Q620" s="30">
        <f>(N620+O620*0.18+J620)+(IF((P620-O620*0.18)&gt;0,(P620-O620*0.18),0))</f>
        <v>20462.9326</v>
      </c>
      <c r="R620" s="7"/>
      <c r="S620" s="7"/>
      <c r="T620" s="7"/>
      <c r="U620" s="7"/>
      <c r="V620" s="7"/>
      <c r="W620" s="7"/>
      <c r="X620" s="7"/>
      <c r="Y620" s="7"/>
      <c r="Z620" s="7"/>
    </row>
    <row r="621" spans="1:26" ht="9" customHeight="1" x14ac:dyDescent="0.2">
      <c r="A621" s="95"/>
      <c r="B621" s="95"/>
      <c r="C621" s="34" t="s">
        <v>37</v>
      </c>
      <c r="D621" s="35">
        <v>2</v>
      </c>
      <c r="E621" s="36">
        <v>20762759</v>
      </c>
      <c r="F621" s="36"/>
      <c r="G621" s="36"/>
      <c r="H621" s="36">
        <v>12361361</v>
      </c>
      <c r="I621" s="36">
        <v>0</v>
      </c>
      <c r="J621" s="37">
        <v>2760347</v>
      </c>
      <c r="K621" s="36">
        <v>33124119</v>
      </c>
      <c r="L621" s="38">
        <v>35884466</v>
      </c>
      <c r="M621" s="39"/>
      <c r="N621" s="36">
        <v>33124119</v>
      </c>
      <c r="O621" s="36">
        <v>20762759</v>
      </c>
      <c r="P621" s="36">
        <v>3597280</v>
      </c>
      <c r="Q621" s="36">
        <f>Q620*1936.27</f>
        <v>39621762.505401999</v>
      </c>
      <c r="R621" s="7"/>
      <c r="S621" s="7"/>
      <c r="T621" s="7"/>
      <c r="U621" s="7"/>
      <c r="V621" s="7"/>
      <c r="W621" s="7"/>
      <c r="X621" s="7"/>
      <c r="Y621" s="7"/>
      <c r="Z621" s="7"/>
    </row>
    <row r="622" spans="1:26" ht="12.75" customHeight="1" x14ac:dyDescent="0.2">
      <c r="A622" s="156">
        <v>37987</v>
      </c>
      <c r="B622" s="156">
        <v>38383</v>
      </c>
      <c r="C622" s="40" t="s">
        <v>36</v>
      </c>
      <c r="D622" s="41">
        <v>3</v>
      </c>
      <c r="E622" s="42">
        <v>11185.24</v>
      </c>
      <c r="F622" s="42"/>
      <c r="G622" s="42"/>
      <c r="H622" s="42">
        <v>6384.11</v>
      </c>
      <c r="I622" s="42">
        <v>0</v>
      </c>
      <c r="J622" s="42">
        <v>1464.11</v>
      </c>
      <c r="K622" s="43">
        <v>17569.349999999999</v>
      </c>
      <c r="L622" s="32">
        <v>19033.46</v>
      </c>
      <c r="M622" s="33"/>
      <c r="N622" s="30">
        <v>17569.349999999999</v>
      </c>
      <c r="O622" s="30">
        <v>11185.24</v>
      </c>
      <c r="P622" s="30">
        <v>1857.84</v>
      </c>
      <c r="Q622" s="30">
        <f>(N622+O622*0.18+J622)+(IF((P622-O622*0.18)&gt;0,(P622-O622*0.18),0))</f>
        <v>21046.803199999998</v>
      </c>
      <c r="R622" s="7"/>
      <c r="S622" s="7"/>
      <c r="T622" s="7"/>
      <c r="U622" s="7"/>
      <c r="V622" s="7"/>
      <c r="W622" s="7"/>
      <c r="X622" s="7"/>
      <c r="Y622" s="7"/>
      <c r="Z622" s="7"/>
    </row>
    <row r="623" spans="1:26" ht="9" customHeight="1" x14ac:dyDescent="0.2">
      <c r="A623" s="95"/>
      <c r="B623" s="95"/>
      <c r="C623" s="34" t="s">
        <v>37</v>
      </c>
      <c r="D623" s="35">
        <v>8</v>
      </c>
      <c r="E623" s="36">
        <v>21657645</v>
      </c>
      <c r="F623" s="36"/>
      <c r="G623" s="36"/>
      <c r="H623" s="36">
        <v>12361361</v>
      </c>
      <c r="I623" s="36">
        <v>0</v>
      </c>
      <c r="J623" s="37">
        <v>2834912</v>
      </c>
      <c r="K623" s="36">
        <v>34019005</v>
      </c>
      <c r="L623" s="38">
        <v>36853918</v>
      </c>
      <c r="M623" s="39"/>
      <c r="N623" s="36">
        <v>34019005</v>
      </c>
      <c r="O623" s="36">
        <v>21657645</v>
      </c>
      <c r="P623" s="36">
        <v>3597280</v>
      </c>
      <c r="Q623" s="36">
        <f>Q622*1936.27</f>
        <v>40752293.632064</v>
      </c>
      <c r="R623" s="7"/>
      <c r="S623" s="7"/>
      <c r="T623" s="7"/>
      <c r="U623" s="7"/>
      <c r="V623" s="7"/>
      <c r="W623" s="7"/>
      <c r="X623" s="7"/>
      <c r="Y623" s="7"/>
      <c r="Z623" s="7"/>
    </row>
    <row r="624" spans="1:26" ht="12.75" customHeight="1" x14ac:dyDescent="0.2">
      <c r="A624" s="95"/>
      <c r="B624" s="95"/>
      <c r="C624" s="40" t="s">
        <v>36</v>
      </c>
      <c r="D624" s="41">
        <v>9</v>
      </c>
      <c r="E624" s="42">
        <v>12608.53</v>
      </c>
      <c r="F624" s="42"/>
      <c r="G624" s="42"/>
      <c r="H624" s="42">
        <v>6384.11</v>
      </c>
      <c r="I624" s="42">
        <v>0</v>
      </c>
      <c r="J624" s="42">
        <v>1582.72</v>
      </c>
      <c r="K624" s="43">
        <v>18992.64</v>
      </c>
      <c r="L624" s="32">
        <v>20575.36</v>
      </c>
      <c r="M624" s="33"/>
      <c r="N624" s="30">
        <v>18992.64</v>
      </c>
      <c r="O624" s="30">
        <v>12608.53</v>
      </c>
      <c r="P624" s="30">
        <v>1857.84</v>
      </c>
      <c r="Q624" s="30">
        <f>(N624+O624*0.18+J624)+(IF((P624-O624*0.18)&gt;0,(P624-O624*0.18),0))</f>
        <v>22844.895400000001</v>
      </c>
      <c r="R624" s="7"/>
      <c r="S624" s="7"/>
      <c r="T624" s="7"/>
      <c r="U624" s="7"/>
      <c r="V624" s="7"/>
      <c r="W624" s="7"/>
      <c r="X624" s="7"/>
      <c r="Y624" s="7"/>
      <c r="Z624" s="7"/>
    </row>
    <row r="625" spans="1:26" ht="9" customHeight="1" x14ac:dyDescent="0.2">
      <c r="A625" s="95"/>
      <c r="B625" s="95"/>
      <c r="C625" s="34" t="s">
        <v>37</v>
      </c>
      <c r="D625" s="35">
        <v>14</v>
      </c>
      <c r="E625" s="36">
        <v>24413518</v>
      </c>
      <c r="F625" s="36"/>
      <c r="G625" s="36"/>
      <c r="H625" s="36">
        <v>12361361</v>
      </c>
      <c r="I625" s="36">
        <v>0</v>
      </c>
      <c r="J625" s="37">
        <v>3064573</v>
      </c>
      <c r="K625" s="36">
        <v>36774879</v>
      </c>
      <c r="L625" s="38">
        <v>39839452</v>
      </c>
      <c r="M625" s="39"/>
      <c r="N625" s="36">
        <v>36774879</v>
      </c>
      <c r="O625" s="36">
        <v>24413518</v>
      </c>
      <c r="P625" s="36">
        <v>3597280</v>
      </c>
      <c r="Q625" s="36">
        <f>Q624*1936.27</f>
        <v>44233885.616158001</v>
      </c>
      <c r="R625" s="7"/>
      <c r="S625" s="7"/>
      <c r="T625" s="7"/>
      <c r="U625" s="7"/>
      <c r="V625" s="7"/>
      <c r="W625" s="7"/>
      <c r="X625" s="7"/>
      <c r="Y625" s="7"/>
      <c r="Z625" s="7"/>
    </row>
    <row r="626" spans="1:26" ht="12.75" customHeight="1" x14ac:dyDescent="0.2">
      <c r="A626" s="95"/>
      <c r="B626" s="95"/>
      <c r="C626" s="40" t="s">
        <v>36</v>
      </c>
      <c r="D626" s="41">
        <v>15</v>
      </c>
      <c r="E626" s="42">
        <v>14271.06</v>
      </c>
      <c r="F626" s="42"/>
      <c r="G626" s="42"/>
      <c r="H626" s="42">
        <v>6384.11</v>
      </c>
      <c r="I626" s="42">
        <v>0</v>
      </c>
      <c r="J626" s="42">
        <v>1721.26</v>
      </c>
      <c r="K626" s="43">
        <v>20655.169999999998</v>
      </c>
      <c r="L626" s="32">
        <v>22376.43</v>
      </c>
      <c r="M626" s="33"/>
      <c r="N626" s="30">
        <v>20655.169999999998</v>
      </c>
      <c r="O626" s="30">
        <v>14271.06</v>
      </c>
      <c r="P626" s="30">
        <v>2287.8000000000002</v>
      </c>
      <c r="Q626" s="30">
        <f>(N626+O626*0.18+J626)+(IF((P626-O626*0.18)&gt;0,(P626-O626*0.18),0))</f>
        <v>24945.220799999996</v>
      </c>
      <c r="R626" s="7"/>
      <c r="S626" s="7"/>
      <c r="T626" s="7"/>
      <c r="U626" s="7"/>
      <c r="V626" s="7"/>
      <c r="W626" s="7"/>
      <c r="X626" s="7"/>
      <c r="Y626" s="7"/>
      <c r="Z626" s="7"/>
    </row>
    <row r="627" spans="1:26" ht="9" customHeight="1" x14ac:dyDescent="0.2">
      <c r="A627" s="95"/>
      <c r="B627" s="95"/>
      <c r="C627" s="34" t="s">
        <v>37</v>
      </c>
      <c r="D627" s="35">
        <v>20</v>
      </c>
      <c r="E627" s="36">
        <v>27632625</v>
      </c>
      <c r="F627" s="36"/>
      <c r="G627" s="36"/>
      <c r="H627" s="36">
        <v>12361361</v>
      </c>
      <c r="I627" s="36">
        <v>0</v>
      </c>
      <c r="J627" s="37">
        <v>3332824</v>
      </c>
      <c r="K627" s="36">
        <v>39993986</v>
      </c>
      <c r="L627" s="38">
        <v>43326810</v>
      </c>
      <c r="M627" s="39"/>
      <c r="N627" s="36">
        <v>39993986</v>
      </c>
      <c r="O627" s="36">
        <v>27632625</v>
      </c>
      <c r="P627" s="36">
        <v>4429799</v>
      </c>
      <c r="Q627" s="36">
        <f>Q626*1936.27</f>
        <v>48300682.678415991</v>
      </c>
      <c r="R627" s="7"/>
      <c r="S627" s="7"/>
      <c r="T627" s="7"/>
      <c r="U627" s="7"/>
      <c r="V627" s="7"/>
      <c r="W627" s="7"/>
      <c r="X627" s="7"/>
      <c r="Y627" s="7"/>
      <c r="Z627" s="7"/>
    </row>
    <row r="628" spans="1:26" ht="12.75" customHeight="1" x14ac:dyDescent="0.2">
      <c r="A628" s="95"/>
      <c r="B628" s="95"/>
      <c r="C628" s="40" t="s">
        <v>36</v>
      </c>
      <c r="D628" s="41">
        <v>21</v>
      </c>
      <c r="E628" s="42">
        <v>15884.54</v>
      </c>
      <c r="F628" s="42"/>
      <c r="G628" s="42"/>
      <c r="H628" s="42">
        <v>6384.11</v>
      </c>
      <c r="I628" s="42">
        <v>0</v>
      </c>
      <c r="J628" s="42">
        <v>1855.72</v>
      </c>
      <c r="K628" s="43">
        <v>22268.65</v>
      </c>
      <c r="L628" s="32">
        <v>24124.37</v>
      </c>
      <c r="M628" s="33"/>
      <c r="N628" s="30">
        <v>22268.65</v>
      </c>
      <c r="O628" s="30">
        <v>15884.54</v>
      </c>
      <c r="P628" s="30">
        <v>2287.8000000000002</v>
      </c>
      <c r="Q628" s="30">
        <f>(N628+O628*0.18+J628)+(IF((P628-O628*0.18)&gt;0,(P628-O628*0.18),0))</f>
        <v>26983.587200000002</v>
      </c>
      <c r="R628" s="7"/>
      <c r="S628" s="7"/>
      <c r="T628" s="7"/>
      <c r="U628" s="7"/>
      <c r="V628" s="7"/>
      <c r="W628" s="7"/>
      <c r="X628" s="7"/>
      <c r="Y628" s="7"/>
      <c r="Z628" s="7"/>
    </row>
    <row r="629" spans="1:26" ht="9" customHeight="1" x14ac:dyDescent="0.2">
      <c r="A629" s="95"/>
      <c r="B629" s="95"/>
      <c r="C629" s="34" t="s">
        <v>37</v>
      </c>
      <c r="D629" s="35">
        <v>27</v>
      </c>
      <c r="E629" s="36">
        <v>30756758</v>
      </c>
      <c r="F629" s="36"/>
      <c r="G629" s="36"/>
      <c r="H629" s="36">
        <v>12361361</v>
      </c>
      <c r="I629" s="36">
        <v>0</v>
      </c>
      <c r="J629" s="37">
        <v>3593175</v>
      </c>
      <c r="K629" s="36">
        <v>43118119</v>
      </c>
      <c r="L629" s="38">
        <v>46711294</v>
      </c>
      <c r="M629" s="39"/>
      <c r="N629" s="36">
        <v>43118119</v>
      </c>
      <c r="O629" s="36">
        <v>30756758</v>
      </c>
      <c r="P629" s="36">
        <v>4429799</v>
      </c>
      <c r="Q629" s="36">
        <f>Q628*1936.27</f>
        <v>52247510.387744002</v>
      </c>
      <c r="R629" s="7"/>
      <c r="S629" s="7"/>
      <c r="T629" s="7"/>
      <c r="U629" s="7"/>
      <c r="V629" s="7"/>
      <c r="W629" s="7"/>
      <c r="X629" s="7"/>
      <c r="Y629" s="7"/>
      <c r="Z629" s="7"/>
    </row>
    <row r="630" spans="1:26" ht="12.75" customHeight="1" x14ac:dyDescent="0.2">
      <c r="A630" s="95"/>
      <c r="B630" s="95"/>
      <c r="C630" s="40" t="s">
        <v>36</v>
      </c>
      <c r="D630" s="41">
        <v>28</v>
      </c>
      <c r="E630" s="42">
        <v>17476.55</v>
      </c>
      <c r="F630" s="42"/>
      <c r="G630" s="42"/>
      <c r="H630" s="42">
        <v>6384.11</v>
      </c>
      <c r="I630" s="42">
        <v>0</v>
      </c>
      <c r="J630" s="42">
        <v>1988.39</v>
      </c>
      <c r="K630" s="43">
        <v>23860.66</v>
      </c>
      <c r="L630" s="32">
        <v>25849.05</v>
      </c>
      <c r="M630" s="33"/>
      <c r="N630" s="30">
        <v>23860.66</v>
      </c>
      <c r="O630" s="30">
        <v>17476.55</v>
      </c>
      <c r="P630" s="30">
        <v>2870.04</v>
      </c>
      <c r="Q630" s="30">
        <f>(N630+O630*0.18+J630)+(IF((P630-O630*0.18)&gt;0,(P630-O630*0.18),0))</f>
        <v>28994.828999999998</v>
      </c>
      <c r="R630" s="7"/>
      <c r="S630" s="7"/>
      <c r="T630" s="7"/>
      <c r="U630" s="7"/>
      <c r="V630" s="7"/>
      <c r="W630" s="7"/>
      <c r="X630" s="7"/>
      <c r="Y630" s="7"/>
      <c r="Z630" s="7"/>
    </row>
    <row r="631" spans="1:26" ht="9" customHeight="1" x14ac:dyDescent="0.2">
      <c r="A631" s="95"/>
      <c r="B631" s="95"/>
      <c r="C631" s="34" t="s">
        <v>37</v>
      </c>
      <c r="D631" s="35">
        <v>34</v>
      </c>
      <c r="E631" s="36">
        <v>33839319</v>
      </c>
      <c r="F631" s="36"/>
      <c r="G631" s="36"/>
      <c r="H631" s="36">
        <v>12361361</v>
      </c>
      <c r="I631" s="36">
        <v>0</v>
      </c>
      <c r="J631" s="37">
        <v>3850060</v>
      </c>
      <c r="K631" s="36">
        <v>46200680</v>
      </c>
      <c r="L631" s="38">
        <v>50050740</v>
      </c>
      <c r="M631" s="39"/>
      <c r="N631" s="36">
        <v>46200680</v>
      </c>
      <c r="O631" s="36">
        <v>33839319</v>
      </c>
      <c r="P631" s="36">
        <v>5557172</v>
      </c>
      <c r="Q631" s="36">
        <f>Q630*1936.27</f>
        <v>56141817.547829993</v>
      </c>
      <c r="R631" s="7"/>
      <c r="S631" s="7"/>
      <c r="T631" s="7"/>
      <c r="U631" s="7"/>
      <c r="V631" s="7"/>
      <c r="W631" s="7"/>
      <c r="X631" s="7"/>
      <c r="Y631" s="7"/>
      <c r="Z631" s="7"/>
    </row>
    <row r="632" spans="1:26" ht="12.75" customHeight="1" x14ac:dyDescent="0.2">
      <c r="A632" s="95"/>
      <c r="B632" s="95"/>
      <c r="C632" s="40" t="s">
        <v>36</v>
      </c>
      <c r="D632" s="41">
        <v>35</v>
      </c>
      <c r="E632" s="42">
        <v>18662</v>
      </c>
      <c r="F632" s="42"/>
      <c r="G632" s="42"/>
      <c r="H632" s="42">
        <v>6384.11</v>
      </c>
      <c r="I632" s="42">
        <v>0</v>
      </c>
      <c r="J632" s="42">
        <v>2087.1799999999998</v>
      </c>
      <c r="K632" s="43">
        <v>25046.11</v>
      </c>
      <c r="L632" s="32">
        <v>27133.29</v>
      </c>
      <c r="M632" s="33"/>
      <c r="N632" s="30">
        <v>25046.11</v>
      </c>
      <c r="O632" s="30">
        <v>18662</v>
      </c>
      <c r="P632" s="30">
        <v>2870.04</v>
      </c>
      <c r="Q632" s="30">
        <f>(N632+O632*0.18+J632)+(IF((P632-O632*0.18)&gt;0,(P632-O632*0.18),0))</f>
        <v>30492.45</v>
      </c>
      <c r="R632" s="7"/>
      <c r="S632" s="7"/>
      <c r="T632" s="7"/>
      <c r="U632" s="7"/>
      <c r="V632" s="7"/>
      <c r="W632" s="7"/>
      <c r="X632" s="7"/>
      <c r="Y632" s="7"/>
      <c r="Z632" s="7"/>
    </row>
    <row r="633" spans="1:26" ht="9" customHeight="1" x14ac:dyDescent="0.2">
      <c r="A633" s="110"/>
      <c r="B633" s="110"/>
      <c r="C633" s="47" t="s">
        <v>37</v>
      </c>
      <c r="D633" s="48"/>
      <c r="E633" s="46">
        <v>36134671</v>
      </c>
      <c r="F633" s="46"/>
      <c r="G633" s="46"/>
      <c r="H633" s="46">
        <v>12361361</v>
      </c>
      <c r="I633" s="46">
        <v>0</v>
      </c>
      <c r="J633" s="49">
        <v>4041344</v>
      </c>
      <c r="K633" s="46">
        <v>48496031</v>
      </c>
      <c r="L633" s="38">
        <v>52537375</v>
      </c>
      <c r="M633" s="39"/>
      <c r="N633" s="36">
        <v>48496031</v>
      </c>
      <c r="O633" s="36">
        <v>36134671</v>
      </c>
      <c r="P633" s="36">
        <v>5557172</v>
      </c>
      <c r="Q633" s="36">
        <f>Q632*1936.27</f>
        <v>59041616.161499999</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98">
        <v>38384</v>
      </c>
      <c r="B640" s="98">
        <v>38717</v>
      </c>
      <c r="C640" s="28" t="s">
        <v>36</v>
      </c>
      <c r="D640" s="29">
        <v>0</v>
      </c>
      <c r="E640" s="30">
        <v>11198.03</v>
      </c>
      <c r="F640" s="30"/>
      <c r="G640" s="30"/>
      <c r="H640" s="30">
        <v>6384.11</v>
      </c>
      <c r="I640" s="30">
        <v>0</v>
      </c>
      <c r="J640" s="30">
        <v>1465.18</v>
      </c>
      <c r="K640" s="31">
        <v>17582.14</v>
      </c>
      <c r="L640" s="32">
        <v>19047.32</v>
      </c>
      <c r="M640" s="33"/>
      <c r="N640" s="30">
        <v>17582.14</v>
      </c>
      <c r="O640" s="30">
        <v>11198.03</v>
      </c>
      <c r="P640" s="30">
        <v>1857.84</v>
      </c>
      <c r="Q640" s="30">
        <f>(N640+O640*0.18+J640)+(IF((P640-O640*0.18)&gt;0,(P640-O640*0.18),0))</f>
        <v>21062.965400000001</v>
      </c>
      <c r="R640" s="7"/>
      <c r="S640" s="7"/>
      <c r="T640" s="7"/>
      <c r="U640" s="7"/>
      <c r="V640" s="7"/>
      <c r="W640" s="7"/>
      <c r="X640" s="7"/>
      <c r="Y640" s="7"/>
      <c r="Z640" s="7"/>
    </row>
    <row r="641" spans="1:26" ht="9" customHeight="1" x14ac:dyDescent="0.2">
      <c r="A641" s="95"/>
      <c r="B641" s="95"/>
      <c r="C641" s="34" t="s">
        <v>37</v>
      </c>
      <c r="D641" s="35">
        <v>2</v>
      </c>
      <c r="E641" s="36">
        <v>21682410</v>
      </c>
      <c r="F641" s="36"/>
      <c r="G641" s="36"/>
      <c r="H641" s="36">
        <v>12361361</v>
      </c>
      <c r="I641" s="36">
        <v>0</v>
      </c>
      <c r="J641" s="37">
        <v>2836984</v>
      </c>
      <c r="K641" s="36">
        <v>34043770</v>
      </c>
      <c r="L641" s="38">
        <v>36880754</v>
      </c>
      <c r="M641" s="39"/>
      <c r="N641" s="36">
        <v>34043770</v>
      </c>
      <c r="O641" s="36">
        <v>21682410</v>
      </c>
      <c r="P641" s="36">
        <v>3597280</v>
      </c>
      <c r="Q641" s="36">
        <f>Q640*1936.27</f>
        <v>40783588.015058003</v>
      </c>
      <c r="R641" s="7"/>
      <c r="S641" s="7"/>
      <c r="T641" s="7"/>
      <c r="U641" s="7"/>
      <c r="V641" s="7"/>
      <c r="W641" s="7"/>
      <c r="X641" s="7"/>
      <c r="Y641" s="7"/>
      <c r="Z641" s="7"/>
    </row>
    <row r="642" spans="1:26" ht="12.75" customHeight="1" x14ac:dyDescent="0.2">
      <c r="A642" s="156">
        <v>38384</v>
      </c>
      <c r="B642" s="156">
        <v>38717</v>
      </c>
      <c r="C642" s="40" t="s">
        <v>36</v>
      </c>
      <c r="D642" s="41">
        <v>3</v>
      </c>
      <c r="E642" s="42">
        <v>11673.04</v>
      </c>
      <c r="F642" s="42"/>
      <c r="G642" s="42"/>
      <c r="H642" s="42">
        <v>6384.11</v>
      </c>
      <c r="I642" s="42">
        <v>0</v>
      </c>
      <c r="J642" s="42">
        <v>1504.76</v>
      </c>
      <c r="K642" s="43">
        <v>18057.150000000001</v>
      </c>
      <c r="L642" s="32">
        <v>19561.91</v>
      </c>
      <c r="M642" s="33"/>
      <c r="N642" s="30">
        <v>18057.150000000001</v>
      </c>
      <c r="O642" s="30">
        <v>11673.04</v>
      </c>
      <c r="P642" s="30">
        <v>1857.84</v>
      </c>
      <c r="Q642" s="30">
        <f>(N642+O642*0.18+J642)+(IF((P642-O642*0.18)&gt;0,(P642-O642*0.18),0))</f>
        <v>21663.057199999999</v>
      </c>
      <c r="R642" s="7"/>
      <c r="S642" s="7"/>
      <c r="T642" s="7"/>
      <c r="U642" s="7"/>
      <c r="V642" s="7"/>
      <c r="W642" s="7"/>
      <c r="X642" s="7"/>
      <c r="Y642" s="7"/>
      <c r="Z642" s="7"/>
    </row>
    <row r="643" spans="1:26" ht="9" customHeight="1" x14ac:dyDescent="0.2">
      <c r="A643" s="95"/>
      <c r="B643" s="95"/>
      <c r="C643" s="34" t="s">
        <v>37</v>
      </c>
      <c r="D643" s="35">
        <v>8</v>
      </c>
      <c r="E643" s="36">
        <v>22602157</v>
      </c>
      <c r="F643" s="36"/>
      <c r="G643" s="36"/>
      <c r="H643" s="36">
        <v>12361361</v>
      </c>
      <c r="I643" s="36">
        <v>0</v>
      </c>
      <c r="J643" s="37">
        <v>2913622</v>
      </c>
      <c r="K643" s="36">
        <v>34963518</v>
      </c>
      <c r="L643" s="38">
        <v>37877139</v>
      </c>
      <c r="M643" s="39"/>
      <c r="N643" s="36">
        <v>34963518</v>
      </c>
      <c r="O643" s="36">
        <v>22602157</v>
      </c>
      <c r="P643" s="36">
        <v>3597280</v>
      </c>
      <c r="Q643" s="36">
        <f>Q642*1936.27</f>
        <v>41945527.764643997</v>
      </c>
      <c r="R643" s="7"/>
      <c r="S643" s="7"/>
      <c r="T643" s="7"/>
      <c r="U643" s="7"/>
      <c r="V643" s="7"/>
      <c r="W643" s="7"/>
      <c r="X643" s="7"/>
      <c r="Y643" s="7"/>
      <c r="Z643" s="7"/>
    </row>
    <row r="644" spans="1:26" ht="12.75" customHeight="1" x14ac:dyDescent="0.2">
      <c r="A644" s="95"/>
      <c r="B644" s="95"/>
      <c r="C644" s="40" t="s">
        <v>36</v>
      </c>
      <c r="D644" s="41">
        <v>9</v>
      </c>
      <c r="E644" s="42">
        <v>13135.93</v>
      </c>
      <c r="F644" s="42"/>
      <c r="G644" s="42"/>
      <c r="H644" s="42">
        <v>6384.11</v>
      </c>
      <c r="I644" s="42">
        <v>0</v>
      </c>
      <c r="J644" s="42">
        <v>1626.67</v>
      </c>
      <c r="K644" s="43">
        <v>19520.04</v>
      </c>
      <c r="L644" s="32">
        <v>21146.71</v>
      </c>
      <c r="M644" s="33"/>
      <c r="N644" s="30">
        <v>19520.04</v>
      </c>
      <c r="O644" s="30">
        <v>13135.93</v>
      </c>
      <c r="P644" s="30">
        <v>1857.84</v>
      </c>
      <c r="Q644" s="30">
        <f>(N644+O644*0.18+J644)+(IF((P644-O644*0.18)&gt;0,(P644-O644*0.18),0))</f>
        <v>23511.1774</v>
      </c>
      <c r="R644" s="7"/>
      <c r="S644" s="7"/>
      <c r="T644" s="7"/>
      <c r="U644" s="7"/>
      <c r="V644" s="7"/>
      <c r="W644" s="7"/>
      <c r="X644" s="7"/>
      <c r="Y644" s="7"/>
      <c r="Z644" s="7"/>
    </row>
    <row r="645" spans="1:26" ht="9" customHeight="1" x14ac:dyDescent="0.2">
      <c r="A645" s="95"/>
      <c r="B645" s="95"/>
      <c r="C645" s="34" t="s">
        <v>37</v>
      </c>
      <c r="D645" s="35">
        <v>14</v>
      </c>
      <c r="E645" s="36">
        <v>25434707</v>
      </c>
      <c r="F645" s="36"/>
      <c r="G645" s="36"/>
      <c r="H645" s="36">
        <v>12361361</v>
      </c>
      <c r="I645" s="36">
        <v>0</v>
      </c>
      <c r="J645" s="37">
        <v>3149672</v>
      </c>
      <c r="K645" s="36">
        <v>37796068</v>
      </c>
      <c r="L645" s="38">
        <v>40945740</v>
      </c>
      <c r="M645" s="39"/>
      <c r="N645" s="36">
        <v>37796068</v>
      </c>
      <c r="O645" s="36">
        <v>25434707</v>
      </c>
      <c r="P645" s="36">
        <v>3597280</v>
      </c>
      <c r="Q645" s="36">
        <f>Q644*1936.27</f>
        <v>45523987.464298002</v>
      </c>
      <c r="R645" s="7"/>
      <c r="S645" s="7"/>
      <c r="T645" s="7"/>
      <c r="U645" s="7"/>
      <c r="V645" s="7"/>
      <c r="W645" s="7"/>
      <c r="X645" s="7"/>
      <c r="Y645" s="7"/>
      <c r="Z645" s="7"/>
    </row>
    <row r="646" spans="1:26" ht="12.75" customHeight="1" x14ac:dyDescent="0.2">
      <c r="A646" s="95"/>
      <c r="B646" s="95"/>
      <c r="C646" s="40" t="s">
        <v>36</v>
      </c>
      <c r="D646" s="41">
        <v>15</v>
      </c>
      <c r="E646" s="42">
        <v>14844.54</v>
      </c>
      <c r="F646" s="42"/>
      <c r="G646" s="42"/>
      <c r="H646" s="42">
        <v>6384.11</v>
      </c>
      <c r="I646" s="42">
        <v>0</v>
      </c>
      <c r="J646" s="42">
        <v>1769.05</v>
      </c>
      <c r="K646" s="43">
        <v>21228.65</v>
      </c>
      <c r="L646" s="32">
        <v>22997.7</v>
      </c>
      <c r="M646" s="33"/>
      <c r="N646" s="30">
        <v>21228.65</v>
      </c>
      <c r="O646" s="30">
        <v>14844.54</v>
      </c>
      <c r="P646" s="30">
        <v>2287.8000000000002</v>
      </c>
      <c r="Q646" s="30">
        <f>(N646+O646*0.18+J646)+(IF((P646-O646*0.18)&gt;0,(P646-O646*0.18),0))</f>
        <v>25669.717200000003</v>
      </c>
      <c r="R646" s="7"/>
      <c r="S646" s="7"/>
      <c r="T646" s="7"/>
      <c r="U646" s="7"/>
      <c r="V646" s="7"/>
      <c r="W646" s="7"/>
      <c r="X646" s="7"/>
      <c r="Y646" s="7"/>
      <c r="Z646" s="7"/>
    </row>
    <row r="647" spans="1:26" ht="9" customHeight="1" x14ac:dyDescent="0.2">
      <c r="A647" s="95"/>
      <c r="B647" s="95"/>
      <c r="C647" s="34" t="s">
        <v>37</v>
      </c>
      <c r="D647" s="35">
        <v>20</v>
      </c>
      <c r="E647" s="36">
        <v>28743037</v>
      </c>
      <c r="F647" s="36"/>
      <c r="G647" s="36"/>
      <c r="H647" s="36">
        <v>12361361</v>
      </c>
      <c r="I647" s="36">
        <v>0</v>
      </c>
      <c r="J647" s="37">
        <v>3425358</v>
      </c>
      <c r="K647" s="36">
        <v>41104398</v>
      </c>
      <c r="L647" s="38">
        <v>44529757</v>
      </c>
      <c r="M647" s="39"/>
      <c r="N647" s="36">
        <v>41104398</v>
      </c>
      <c r="O647" s="36">
        <v>28743037</v>
      </c>
      <c r="P647" s="36">
        <v>4429799</v>
      </c>
      <c r="Q647" s="36">
        <f>Q646*1936.27</f>
        <v>49703503.322844006</v>
      </c>
      <c r="R647" s="7"/>
      <c r="S647" s="7"/>
      <c r="T647" s="7"/>
      <c r="U647" s="7"/>
      <c r="V647" s="7"/>
      <c r="W647" s="7"/>
      <c r="X647" s="7"/>
      <c r="Y647" s="7"/>
      <c r="Z647" s="7"/>
    </row>
    <row r="648" spans="1:26" ht="12.75" customHeight="1" x14ac:dyDescent="0.2">
      <c r="A648" s="95"/>
      <c r="B648" s="95"/>
      <c r="C648" s="40" t="s">
        <v>36</v>
      </c>
      <c r="D648" s="41">
        <v>21</v>
      </c>
      <c r="E648" s="42">
        <v>16502.900000000001</v>
      </c>
      <c r="F648" s="42"/>
      <c r="G648" s="42"/>
      <c r="H648" s="42">
        <v>6384.11</v>
      </c>
      <c r="I648" s="42">
        <v>0</v>
      </c>
      <c r="J648" s="42">
        <v>1907.25</v>
      </c>
      <c r="K648" s="43">
        <v>22887.01</v>
      </c>
      <c r="L648" s="32">
        <v>24794.26</v>
      </c>
      <c r="M648" s="33"/>
      <c r="N648" s="30">
        <v>22887.01</v>
      </c>
      <c r="O648" s="30">
        <v>16502.900000000001</v>
      </c>
      <c r="P648" s="30">
        <v>2287.8000000000002</v>
      </c>
      <c r="Q648" s="30">
        <f>(N648+O648*0.18+J648)+(IF((P648-O648*0.18)&gt;0,(P648-O648*0.18),0))</f>
        <v>27764.781999999999</v>
      </c>
      <c r="R648" s="7"/>
      <c r="S648" s="7"/>
      <c r="T648" s="7"/>
      <c r="U648" s="7"/>
      <c r="V648" s="7"/>
      <c r="W648" s="7"/>
      <c r="X648" s="7"/>
      <c r="Y648" s="7"/>
      <c r="Z648" s="7"/>
    </row>
    <row r="649" spans="1:26" ht="9" customHeight="1" x14ac:dyDescent="0.2">
      <c r="A649" s="95"/>
      <c r="B649" s="95"/>
      <c r="C649" s="34" t="s">
        <v>37</v>
      </c>
      <c r="D649" s="35">
        <v>27</v>
      </c>
      <c r="E649" s="36">
        <v>31954070</v>
      </c>
      <c r="F649" s="36"/>
      <c r="G649" s="36"/>
      <c r="H649" s="36">
        <v>12361361</v>
      </c>
      <c r="I649" s="36">
        <v>0</v>
      </c>
      <c r="J649" s="37">
        <v>3692951</v>
      </c>
      <c r="K649" s="36">
        <v>44315431</v>
      </c>
      <c r="L649" s="38">
        <v>48008382</v>
      </c>
      <c r="M649" s="39"/>
      <c r="N649" s="36">
        <v>44315431</v>
      </c>
      <c r="O649" s="36">
        <v>31954070</v>
      </c>
      <c r="P649" s="36">
        <v>4429799</v>
      </c>
      <c r="Q649" s="36">
        <f>Q648*1936.27</f>
        <v>53760114.44314</v>
      </c>
      <c r="R649" s="7"/>
      <c r="S649" s="7"/>
      <c r="T649" s="7"/>
      <c r="U649" s="7"/>
      <c r="V649" s="7"/>
      <c r="W649" s="7"/>
      <c r="X649" s="7"/>
      <c r="Y649" s="7"/>
      <c r="Z649" s="7"/>
    </row>
    <row r="650" spans="1:26" ht="12.75" customHeight="1" x14ac:dyDescent="0.2">
      <c r="A650" s="95"/>
      <c r="B650" s="95"/>
      <c r="C650" s="40" t="s">
        <v>36</v>
      </c>
      <c r="D650" s="41">
        <v>28</v>
      </c>
      <c r="E650" s="42">
        <v>18139.07</v>
      </c>
      <c r="F650" s="42"/>
      <c r="G650" s="42"/>
      <c r="H650" s="42">
        <v>6384.11</v>
      </c>
      <c r="I650" s="42">
        <v>0</v>
      </c>
      <c r="J650" s="42">
        <v>2043.6</v>
      </c>
      <c r="K650" s="43">
        <v>24523.18</v>
      </c>
      <c r="L650" s="32">
        <v>26566.78</v>
      </c>
      <c r="M650" s="33"/>
      <c r="N650" s="30">
        <v>24523.18</v>
      </c>
      <c r="O650" s="30">
        <v>18139.07</v>
      </c>
      <c r="P650" s="30">
        <v>2870.04</v>
      </c>
      <c r="Q650" s="30">
        <f>(N650+O650*0.18+J650)+(IF((P650-O650*0.18)&gt;0,(P650-O650*0.18),0))</f>
        <v>29831.812599999997</v>
      </c>
      <c r="R650" s="7"/>
      <c r="S650" s="7"/>
      <c r="T650" s="7"/>
      <c r="U650" s="7"/>
      <c r="V650" s="7"/>
      <c r="W650" s="7"/>
      <c r="X650" s="7"/>
      <c r="Y650" s="7"/>
      <c r="Z650" s="7"/>
    </row>
    <row r="651" spans="1:26" ht="9" customHeight="1" x14ac:dyDescent="0.2">
      <c r="A651" s="95"/>
      <c r="B651" s="95"/>
      <c r="C651" s="34" t="s">
        <v>37</v>
      </c>
      <c r="D651" s="35">
        <v>34</v>
      </c>
      <c r="E651" s="36">
        <v>35122137</v>
      </c>
      <c r="F651" s="36"/>
      <c r="G651" s="36"/>
      <c r="H651" s="36">
        <v>12361361</v>
      </c>
      <c r="I651" s="36">
        <v>0</v>
      </c>
      <c r="J651" s="37">
        <v>3956961</v>
      </c>
      <c r="K651" s="36">
        <v>47483498</v>
      </c>
      <c r="L651" s="38">
        <v>51440459</v>
      </c>
      <c r="M651" s="39"/>
      <c r="N651" s="36">
        <v>47483498</v>
      </c>
      <c r="O651" s="36">
        <v>35122137</v>
      </c>
      <c r="P651" s="36">
        <v>5557172</v>
      </c>
      <c r="Q651" s="36">
        <f>Q650*1936.27</f>
        <v>57762443.783001997</v>
      </c>
      <c r="R651" s="7"/>
      <c r="S651" s="7"/>
      <c r="T651" s="7"/>
      <c r="U651" s="7"/>
      <c r="V651" s="7"/>
      <c r="W651" s="7"/>
      <c r="X651" s="7"/>
      <c r="Y651" s="7"/>
      <c r="Z651" s="7"/>
    </row>
    <row r="652" spans="1:26" ht="12.75" customHeight="1" x14ac:dyDescent="0.2">
      <c r="A652" s="95"/>
      <c r="B652" s="95"/>
      <c r="C652" s="40" t="s">
        <v>36</v>
      </c>
      <c r="D652" s="41">
        <v>35</v>
      </c>
      <c r="E652" s="42">
        <v>19357.400000000001</v>
      </c>
      <c r="F652" s="42"/>
      <c r="G652" s="42"/>
      <c r="H652" s="42">
        <v>6384.11</v>
      </c>
      <c r="I652" s="42">
        <v>0</v>
      </c>
      <c r="J652" s="42">
        <v>2145.13</v>
      </c>
      <c r="K652" s="43">
        <v>25741.51</v>
      </c>
      <c r="L652" s="32">
        <v>27886.639999999999</v>
      </c>
      <c r="M652" s="33"/>
      <c r="N652" s="30">
        <v>25741.51</v>
      </c>
      <c r="O652" s="30">
        <v>19357.400000000001</v>
      </c>
      <c r="P652" s="30">
        <v>2870.04</v>
      </c>
      <c r="Q652" s="30">
        <f>(N652+O652*0.18+J652)+(IF((P652-O652*0.18)&gt;0,(P652-O652*0.18),0))</f>
        <v>31370.971999999998</v>
      </c>
      <c r="R652" s="7"/>
      <c r="S652" s="7"/>
      <c r="T652" s="7"/>
      <c r="U652" s="7"/>
      <c r="V652" s="7"/>
      <c r="W652" s="7"/>
      <c r="X652" s="7"/>
      <c r="Y652" s="7"/>
      <c r="Z652" s="7"/>
    </row>
    <row r="653" spans="1:26" ht="9" customHeight="1" x14ac:dyDescent="0.2">
      <c r="A653" s="110"/>
      <c r="B653" s="110"/>
      <c r="C653" s="47" t="s">
        <v>37</v>
      </c>
      <c r="D653" s="48"/>
      <c r="E653" s="46">
        <v>37481153</v>
      </c>
      <c r="F653" s="46"/>
      <c r="G653" s="46"/>
      <c r="H653" s="46">
        <v>12361361</v>
      </c>
      <c r="I653" s="46">
        <v>0</v>
      </c>
      <c r="J653" s="49">
        <v>4153551</v>
      </c>
      <c r="K653" s="46">
        <v>49842514</v>
      </c>
      <c r="L653" s="38">
        <v>53996064</v>
      </c>
      <c r="M653" s="39"/>
      <c r="N653" s="36">
        <v>49842514</v>
      </c>
      <c r="O653" s="36">
        <v>37481153</v>
      </c>
      <c r="P653" s="36">
        <v>5557172</v>
      </c>
      <c r="Q653" s="36">
        <f>Q652*1936.27</f>
        <v>60742671.954439998</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98">
        <v>38718</v>
      </c>
      <c r="B660" s="98">
        <v>39082</v>
      </c>
      <c r="C660" s="28" t="s">
        <v>36</v>
      </c>
      <c r="D660" s="29">
        <v>0</v>
      </c>
      <c r="E660" s="30">
        <v>11279.51</v>
      </c>
      <c r="F660" s="30"/>
      <c r="G660" s="30"/>
      <c r="H660" s="30">
        <v>6384.11</v>
      </c>
      <c r="I660" s="30">
        <v>0</v>
      </c>
      <c r="J660" s="30">
        <v>1471.97</v>
      </c>
      <c r="K660" s="31">
        <v>17663.62</v>
      </c>
      <c r="L660" s="32">
        <v>19135.59</v>
      </c>
      <c r="M660" s="33"/>
      <c r="N660" s="30">
        <v>17663.62</v>
      </c>
      <c r="O660" s="30">
        <v>11279.51</v>
      </c>
      <c r="P660" s="30">
        <v>1968</v>
      </c>
      <c r="Q660" s="30">
        <f>(N660+O660*0.18+J660)+(IF((P660-O660*0.18)&gt;0,(P660-O660*0.18),0))</f>
        <v>21165.9018</v>
      </c>
      <c r="R660" s="7"/>
      <c r="S660" s="7"/>
      <c r="T660" s="7"/>
      <c r="U660" s="7"/>
      <c r="V660" s="7"/>
      <c r="W660" s="7"/>
      <c r="X660" s="7"/>
      <c r="Y660" s="7"/>
      <c r="Z660" s="7"/>
    </row>
    <row r="661" spans="1:26" ht="9" customHeight="1" x14ac:dyDescent="0.2">
      <c r="A661" s="95"/>
      <c r="B661" s="95"/>
      <c r="C661" s="34" t="s">
        <v>37</v>
      </c>
      <c r="D661" s="35">
        <v>2</v>
      </c>
      <c r="E661" s="36">
        <v>21840177</v>
      </c>
      <c r="F661" s="36"/>
      <c r="G661" s="36"/>
      <c r="H661" s="36">
        <v>12361361</v>
      </c>
      <c r="I661" s="36">
        <v>0</v>
      </c>
      <c r="J661" s="37">
        <v>2850131</v>
      </c>
      <c r="K661" s="36">
        <v>34201537</v>
      </c>
      <c r="L661" s="50">
        <v>37051669</v>
      </c>
      <c r="M661" s="39"/>
      <c r="N661" s="36">
        <v>34201537</v>
      </c>
      <c r="O661" s="36">
        <v>21840177</v>
      </c>
      <c r="P661" s="36">
        <v>3810579</v>
      </c>
      <c r="Q661" s="36">
        <f>Q660*1936.27</f>
        <v>40982900.678286001</v>
      </c>
      <c r="R661" s="7"/>
      <c r="S661" s="7"/>
      <c r="T661" s="7"/>
      <c r="U661" s="7"/>
      <c r="V661" s="7"/>
      <c r="W661" s="7"/>
      <c r="X661" s="7"/>
      <c r="Y661" s="7"/>
      <c r="Z661" s="7"/>
    </row>
    <row r="662" spans="1:26" ht="12.75" customHeight="1" x14ac:dyDescent="0.2">
      <c r="A662" s="156">
        <v>38718</v>
      </c>
      <c r="B662" s="156">
        <v>39082</v>
      </c>
      <c r="C662" s="40" t="s">
        <v>36</v>
      </c>
      <c r="D662" s="41">
        <v>3</v>
      </c>
      <c r="E662" s="30">
        <v>11756.68</v>
      </c>
      <c r="F662" s="30"/>
      <c r="G662" s="30"/>
      <c r="H662" s="30">
        <v>6384.11</v>
      </c>
      <c r="I662" s="30">
        <v>0</v>
      </c>
      <c r="J662" s="42">
        <v>1511.73</v>
      </c>
      <c r="K662" s="43">
        <v>18140.79</v>
      </c>
      <c r="L662" s="51">
        <v>19652.52</v>
      </c>
      <c r="M662" s="33"/>
      <c r="N662" s="30">
        <v>18140.79</v>
      </c>
      <c r="O662" s="30">
        <v>11756.68</v>
      </c>
      <c r="P662" s="30">
        <v>1968</v>
      </c>
      <c r="Q662" s="30">
        <f>(N662+O662*0.18+J662)+(IF((P662-O662*0.18)&gt;0,(P662-O662*0.18),0))</f>
        <v>21768.722400000002</v>
      </c>
      <c r="R662" s="7"/>
      <c r="S662" s="7"/>
      <c r="T662" s="7"/>
      <c r="U662" s="7"/>
      <c r="V662" s="7"/>
      <c r="W662" s="7"/>
      <c r="X662" s="7"/>
      <c r="Y662" s="7"/>
      <c r="Z662" s="7"/>
    </row>
    <row r="663" spans="1:26" ht="9" customHeight="1" x14ac:dyDescent="0.2">
      <c r="A663" s="95"/>
      <c r="B663" s="95"/>
      <c r="C663" s="34" t="s">
        <v>37</v>
      </c>
      <c r="D663" s="35">
        <v>8</v>
      </c>
      <c r="E663" s="36">
        <v>22764107</v>
      </c>
      <c r="F663" s="36"/>
      <c r="G663" s="36"/>
      <c r="H663" s="36">
        <v>12361361</v>
      </c>
      <c r="I663" s="36">
        <v>0</v>
      </c>
      <c r="J663" s="37">
        <v>2927117</v>
      </c>
      <c r="K663" s="36">
        <v>35125467</v>
      </c>
      <c r="L663" s="50">
        <v>38052585</v>
      </c>
      <c r="M663" s="39"/>
      <c r="N663" s="36">
        <v>35125467</v>
      </c>
      <c r="O663" s="36">
        <v>22764107</v>
      </c>
      <c r="P663" s="36">
        <v>3810579</v>
      </c>
      <c r="Q663" s="36">
        <f>Q662*1936.27</f>
        <v>42150124.121448003</v>
      </c>
      <c r="R663" s="7"/>
      <c r="S663" s="7"/>
      <c r="T663" s="7"/>
      <c r="U663" s="7"/>
      <c r="V663" s="7"/>
      <c r="W663" s="7"/>
      <c r="X663" s="7"/>
      <c r="Y663" s="7"/>
      <c r="Z663" s="7"/>
    </row>
    <row r="664" spans="1:26" ht="12.75" customHeight="1" x14ac:dyDescent="0.2">
      <c r="A664" s="95"/>
      <c r="B664" s="95"/>
      <c r="C664" s="40" t="s">
        <v>36</v>
      </c>
      <c r="D664" s="41">
        <v>9</v>
      </c>
      <c r="E664" s="30">
        <v>13226.29</v>
      </c>
      <c r="F664" s="30"/>
      <c r="G664" s="30"/>
      <c r="H664" s="30">
        <v>6384.11</v>
      </c>
      <c r="I664" s="30">
        <v>0</v>
      </c>
      <c r="J664" s="42">
        <v>1634.2</v>
      </c>
      <c r="K664" s="43">
        <v>19610.400000000001</v>
      </c>
      <c r="L664" s="51">
        <v>21244.6</v>
      </c>
      <c r="M664" s="33"/>
      <c r="N664" s="30">
        <v>19610.400000000001</v>
      </c>
      <c r="O664" s="30">
        <v>13226.29</v>
      </c>
      <c r="P664" s="30">
        <v>1968</v>
      </c>
      <c r="Q664" s="30">
        <f>(N664+O664*0.18+J664)+(IF((P664-O664*0.18)&gt;0,(P664-O664*0.18),0))</f>
        <v>23625.332200000001</v>
      </c>
      <c r="R664" s="7"/>
      <c r="S664" s="7"/>
      <c r="T664" s="7"/>
      <c r="U664" s="7"/>
      <c r="V664" s="7"/>
      <c r="W664" s="7"/>
      <c r="X664" s="7"/>
      <c r="Y664" s="7"/>
      <c r="Z664" s="7"/>
    </row>
    <row r="665" spans="1:26" ht="9" customHeight="1" x14ac:dyDescent="0.2">
      <c r="A665" s="95"/>
      <c r="B665" s="95"/>
      <c r="C665" s="34" t="s">
        <v>37</v>
      </c>
      <c r="D665" s="35">
        <v>14</v>
      </c>
      <c r="E665" s="36">
        <v>25609669</v>
      </c>
      <c r="F665" s="36"/>
      <c r="G665" s="36"/>
      <c r="H665" s="36">
        <v>12361361</v>
      </c>
      <c r="I665" s="36">
        <v>0</v>
      </c>
      <c r="J665" s="37">
        <v>3164252</v>
      </c>
      <c r="K665" s="36">
        <v>37971029</v>
      </c>
      <c r="L665" s="50">
        <v>41135282</v>
      </c>
      <c r="M665" s="39"/>
      <c r="N665" s="36">
        <v>37971029</v>
      </c>
      <c r="O665" s="36">
        <v>25609669</v>
      </c>
      <c r="P665" s="36">
        <v>3810579</v>
      </c>
      <c r="Q665" s="36">
        <f>Q664*1936.27</f>
        <v>45745021.978894003</v>
      </c>
      <c r="R665" s="7"/>
      <c r="S665" s="7"/>
      <c r="T665" s="7"/>
      <c r="U665" s="7"/>
      <c r="V665" s="7"/>
      <c r="W665" s="7"/>
      <c r="X665" s="7"/>
      <c r="Y665" s="7"/>
      <c r="Z665" s="7"/>
    </row>
    <row r="666" spans="1:26" ht="12.75" customHeight="1" x14ac:dyDescent="0.2">
      <c r="A666" s="95"/>
      <c r="B666" s="95"/>
      <c r="C666" s="40" t="s">
        <v>36</v>
      </c>
      <c r="D666" s="41">
        <v>15</v>
      </c>
      <c r="E666" s="30">
        <v>14942.82</v>
      </c>
      <c r="F666" s="30"/>
      <c r="G666" s="30"/>
      <c r="H666" s="30">
        <v>6384.11</v>
      </c>
      <c r="I666" s="30">
        <v>0</v>
      </c>
      <c r="J666" s="42">
        <v>1777.24</v>
      </c>
      <c r="K666" s="43">
        <v>21326.93</v>
      </c>
      <c r="L666" s="51">
        <v>23104.17</v>
      </c>
      <c r="M666" s="33"/>
      <c r="N666" s="30">
        <v>21326.93</v>
      </c>
      <c r="O666" s="30">
        <v>14942.82</v>
      </c>
      <c r="P666" s="30">
        <v>2424</v>
      </c>
      <c r="Q666" s="30">
        <f>(N666+O666*0.18+J666)+(IF((P666-O666*0.18)&gt;0,(P666-O666*0.18),0))</f>
        <v>25793.877600000003</v>
      </c>
      <c r="R666" s="7"/>
      <c r="S666" s="7"/>
      <c r="T666" s="7"/>
      <c r="U666" s="7"/>
      <c r="V666" s="7"/>
      <c r="W666" s="7"/>
      <c r="X666" s="7"/>
      <c r="Y666" s="7"/>
      <c r="Z666" s="7"/>
    </row>
    <row r="667" spans="1:26" ht="9" customHeight="1" x14ac:dyDescent="0.2">
      <c r="A667" s="95"/>
      <c r="B667" s="95"/>
      <c r="C667" s="34" t="s">
        <v>37</v>
      </c>
      <c r="D667" s="35">
        <v>20</v>
      </c>
      <c r="E667" s="36">
        <v>28933334</v>
      </c>
      <c r="F667" s="36"/>
      <c r="G667" s="36"/>
      <c r="H667" s="36">
        <v>12361361</v>
      </c>
      <c r="I667" s="36">
        <v>0</v>
      </c>
      <c r="J667" s="37">
        <v>3441216</v>
      </c>
      <c r="K667" s="36">
        <v>41294695</v>
      </c>
      <c r="L667" s="50">
        <v>44735911</v>
      </c>
      <c r="M667" s="39"/>
      <c r="N667" s="36">
        <v>41294695</v>
      </c>
      <c r="O667" s="36">
        <v>28933334</v>
      </c>
      <c r="P667" s="36">
        <v>4693518</v>
      </c>
      <c r="Q667" s="36">
        <f>Q666*1936.27</f>
        <v>49943911.380552009</v>
      </c>
      <c r="R667" s="7"/>
      <c r="S667" s="7"/>
      <c r="T667" s="7"/>
      <c r="U667" s="7"/>
      <c r="V667" s="7"/>
      <c r="W667" s="7"/>
      <c r="X667" s="7"/>
      <c r="Y667" s="7"/>
      <c r="Z667" s="7"/>
    </row>
    <row r="668" spans="1:26" ht="12.75" customHeight="1" x14ac:dyDescent="0.2">
      <c r="A668" s="95"/>
      <c r="B668" s="95"/>
      <c r="C668" s="40" t="s">
        <v>36</v>
      </c>
      <c r="D668" s="41">
        <v>21</v>
      </c>
      <c r="E668" s="30">
        <v>16608.86</v>
      </c>
      <c r="F668" s="30"/>
      <c r="G668" s="30"/>
      <c r="H668" s="30">
        <v>6384.11</v>
      </c>
      <c r="I668" s="30">
        <v>0</v>
      </c>
      <c r="J668" s="42">
        <v>1916.08</v>
      </c>
      <c r="K668" s="43">
        <v>22992.97</v>
      </c>
      <c r="L668" s="51">
        <v>24909.05</v>
      </c>
      <c r="M668" s="33"/>
      <c r="N668" s="30">
        <v>22992.97</v>
      </c>
      <c r="O668" s="30">
        <v>16608.86</v>
      </c>
      <c r="P668" s="30">
        <v>2424</v>
      </c>
      <c r="Q668" s="30">
        <f>(N668+O668*0.18+J668)+(IF((P668-O668*0.18)&gt;0,(P668-O668*0.18),0))</f>
        <v>27898.644800000002</v>
      </c>
      <c r="R668" s="7"/>
      <c r="S668" s="7"/>
      <c r="T668" s="7"/>
      <c r="U668" s="7"/>
      <c r="V668" s="7"/>
      <c r="W668" s="7"/>
      <c r="X668" s="7"/>
      <c r="Y668" s="7"/>
      <c r="Z668" s="7"/>
    </row>
    <row r="669" spans="1:26" ht="9" customHeight="1" x14ac:dyDescent="0.2">
      <c r="A669" s="95"/>
      <c r="B669" s="95"/>
      <c r="C669" s="34" t="s">
        <v>37</v>
      </c>
      <c r="D669" s="35">
        <v>27</v>
      </c>
      <c r="E669" s="36">
        <v>32159237</v>
      </c>
      <c r="F669" s="36"/>
      <c r="G669" s="36"/>
      <c r="H669" s="36">
        <v>12361361</v>
      </c>
      <c r="I669" s="36">
        <v>0</v>
      </c>
      <c r="J669" s="37">
        <v>3710048</v>
      </c>
      <c r="K669" s="36">
        <v>44520598</v>
      </c>
      <c r="L669" s="50">
        <v>48230646</v>
      </c>
      <c r="M669" s="39"/>
      <c r="N669" s="36">
        <v>44520598</v>
      </c>
      <c r="O669" s="36">
        <v>32159237</v>
      </c>
      <c r="P669" s="36">
        <v>4693518</v>
      </c>
      <c r="Q669" s="36">
        <f>Q668*1936.27</f>
        <v>54019308.966896005</v>
      </c>
      <c r="R669" s="7"/>
      <c r="S669" s="7"/>
      <c r="T669" s="7"/>
      <c r="U669" s="7"/>
      <c r="V669" s="7"/>
      <c r="W669" s="7"/>
      <c r="X669" s="7"/>
      <c r="Y669" s="7"/>
      <c r="Z669" s="7"/>
    </row>
    <row r="670" spans="1:26" ht="12.75" customHeight="1" x14ac:dyDescent="0.2">
      <c r="A670" s="95"/>
      <c r="B670" s="95"/>
      <c r="C670" s="40" t="s">
        <v>36</v>
      </c>
      <c r="D670" s="41">
        <v>28</v>
      </c>
      <c r="E670" s="30">
        <v>18252.71</v>
      </c>
      <c r="F670" s="30"/>
      <c r="G670" s="30"/>
      <c r="H670" s="30">
        <v>6384.11</v>
      </c>
      <c r="I670" s="30">
        <v>0</v>
      </c>
      <c r="J670" s="42">
        <v>2053.0700000000002</v>
      </c>
      <c r="K670" s="43">
        <v>24636.82</v>
      </c>
      <c r="L670" s="51">
        <v>26689.89</v>
      </c>
      <c r="M670" s="33"/>
      <c r="N670" s="30">
        <v>24636.82</v>
      </c>
      <c r="O670" s="30">
        <v>18252.71</v>
      </c>
      <c r="P670" s="30">
        <v>3090</v>
      </c>
      <c r="Q670" s="30">
        <f>(N670+O670*0.18+J670)+(IF((P670-O670*0.18)&gt;0,(P670-O670*0.18),0))</f>
        <v>29975.377799999998</v>
      </c>
      <c r="R670" s="7"/>
      <c r="S670" s="7"/>
      <c r="T670" s="7"/>
      <c r="U670" s="7"/>
      <c r="V670" s="7"/>
      <c r="W670" s="7"/>
      <c r="X670" s="7"/>
      <c r="Y670" s="7"/>
      <c r="Z670" s="7"/>
    </row>
    <row r="671" spans="1:26" ht="9" customHeight="1" x14ac:dyDescent="0.2">
      <c r="A671" s="95"/>
      <c r="B671" s="95"/>
      <c r="C671" s="34" t="s">
        <v>37</v>
      </c>
      <c r="D671" s="35">
        <v>34</v>
      </c>
      <c r="E671" s="36">
        <v>35342175</v>
      </c>
      <c r="F671" s="36"/>
      <c r="G671" s="36"/>
      <c r="H671" s="36">
        <v>12361361</v>
      </c>
      <c r="I671" s="36">
        <v>0</v>
      </c>
      <c r="J671" s="37">
        <v>3975298</v>
      </c>
      <c r="K671" s="36">
        <v>47703535</v>
      </c>
      <c r="L671" s="50">
        <v>51678833</v>
      </c>
      <c r="M671" s="39"/>
      <c r="N671" s="36">
        <v>47703535</v>
      </c>
      <c r="O671" s="36">
        <v>35342175</v>
      </c>
      <c r="P671" s="36">
        <v>5983074</v>
      </c>
      <c r="Q671" s="36">
        <f>Q670*1936.27</f>
        <v>58040424.772805996</v>
      </c>
      <c r="R671" s="7"/>
      <c r="S671" s="7"/>
      <c r="T671" s="7"/>
      <c r="U671" s="7"/>
      <c r="V671" s="7"/>
      <c r="W671" s="7"/>
      <c r="X671" s="7"/>
      <c r="Y671" s="7"/>
      <c r="Z671" s="7"/>
    </row>
    <row r="672" spans="1:26" ht="12.75" customHeight="1" x14ac:dyDescent="0.2">
      <c r="A672" s="95"/>
      <c r="B672" s="95"/>
      <c r="C672" s="40" t="s">
        <v>36</v>
      </c>
      <c r="D672" s="41">
        <v>35</v>
      </c>
      <c r="E672" s="30">
        <v>19476.68</v>
      </c>
      <c r="F672" s="30"/>
      <c r="G672" s="30"/>
      <c r="H672" s="30">
        <v>6384.11</v>
      </c>
      <c r="I672" s="30">
        <v>0</v>
      </c>
      <c r="J672" s="42">
        <v>2155.0700000000002</v>
      </c>
      <c r="K672" s="43">
        <v>25860.79</v>
      </c>
      <c r="L672" s="51">
        <v>28015.86</v>
      </c>
      <c r="M672" s="33"/>
      <c r="N672" s="30">
        <v>25860.79</v>
      </c>
      <c r="O672" s="30">
        <v>19476.68</v>
      </c>
      <c r="P672" s="30">
        <v>3090</v>
      </c>
      <c r="Q672" s="30">
        <f>(N672+O672*0.18+J672)+(IF((P672-O672*0.18)&gt;0,(P672-O672*0.18),0))</f>
        <v>31521.662400000001</v>
      </c>
      <c r="R672" s="7"/>
      <c r="S672" s="7"/>
      <c r="T672" s="7"/>
      <c r="U672" s="7"/>
      <c r="V672" s="7"/>
      <c r="W672" s="7"/>
      <c r="X672" s="7"/>
      <c r="Y672" s="7"/>
      <c r="Z672" s="7"/>
    </row>
    <row r="673" spans="1:26" ht="9" customHeight="1" x14ac:dyDescent="0.2">
      <c r="A673" s="110"/>
      <c r="B673" s="110"/>
      <c r="C673" s="47" t="s">
        <v>37</v>
      </c>
      <c r="D673" s="48"/>
      <c r="E673" s="36">
        <v>37712111</v>
      </c>
      <c r="F673" s="36"/>
      <c r="G673" s="36"/>
      <c r="H673" s="36">
        <v>12361361</v>
      </c>
      <c r="I673" s="36">
        <v>0</v>
      </c>
      <c r="J673" s="49">
        <v>4172797</v>
      </c>
      <c r="K673" s="46">
        <v>50073472</v>
      </c>
      <c r="L673" s="52">
        <v>54246269</v>
      </c>
      <c r="M673" s="39"/>
      <c r="N673" s="36">
        <v>50073472</v>
      </c>
      <c r="O673" s="36">
        <v>37712111</v>
      </c>
      <c r="P673" s="36">
        <v>5983074</v>
      </c>
      <c r="Q673" s="36">
        <f>Q672*1936.27</f>
        <v>61034449.255248003</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6"/>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6"/>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6"/>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6"/>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6"/>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6"/>
      <c r="M679" s="39"/>
      <c r="N679" s="96"/>
      <c r="O679" s="96"/>
      <c r="P679" s="96"/>
      <c r="Q679" s="96"/>
      <c r="R679" s="7"/>
      <c r="S679" s="7"/>
      <c r="T679" s="7"/>
      <c r="U679" s="7"/>
      <c r="V679" s="7"/>
      <c r="W679" s="7"/>
      <c r="X679" s="7"/>
      <c r="Y679" s="7"/>
      <c r="Z679" s="7"/>
    </row>
    <row r="680" spans="1:26" ht="12.75" customHeight="1" x14ac:dyDescent="0.2">
      <c r="A680" s="98">
        <v>39083</v>
      </c>
      <c r="B680" s="98">
        <v>39113</v>
      </c>
      <c r="C680" s="28" t="s">
        <v>36</v>
      </c>
      <c r="D680" s="29">
        <v>0</v>
      </c>
      <c r="E680" s="30">
        <v>11615.63</v>
      </c>
      <c r="F680" s="30"/>
      <c r="G680" s="30"/>
      <c r="H680" s="30">
        <v>6384.11</v>
      </c>
      <c r="I680" s="30">
        <v>0</v>
      </c>
      <c r="J680" s="30">
        <v>1499.98</v>
      </c>
      <c r="K680" s="31">
        <v>17999.740000000002</v>
      </c>
      <c r="L680" s="32">
        <v>19499.72</v>
      </c>
      <c r="M680" s="33"/>
      <c r="N680" s="30">
        <v>17999.740000000002</v>
      </c>
      <c r="O680" s="30">
        <v>11615.63</v>
      </c>
      <c r="P680" s="30">
        <v>1968</v>
      </c>
      <c r="Q680" s="30">
        <f>(N680+O680*0.18+J680)+(IF((P680-O680*0.18)&gt;0,(P680-O680*0.18),0))</f>
        <v>21590.5334</v>
      </c>
      <c r="R680" s="7"/>
      <c r="S680" s="7"/>
      <c r="T680" s="7"/>
      <c r="U680" s="7"/>
      <c r="V680" s="7"/>
      <c r="W680" s="7"/>
      <c r="X680" s="7"/>
      <c r="Y680" s="7"/>
      <c r="Z680" s="7"/>
    </row>
    <row r="681" spans="1:26" ht="9" customHeight="1" x14ac:dyDescent="0.2">
      <c r="A681" s="95"/>
      <c r="B681" s="95"/>
      <c r="C681" s="34" t="s">
        <v>37</v>
      </c>
      <c r="D681" s="35">
        <v>2</v>
      </c>
      <c r="E681" s="36">
        <v>22490996</v>
      </c>
      <c r="F681" s="36"/>
      <c r="G681" s="36"/>
      <c r="H681" s="36">
        <v>12361361</v>
      </c>
      <c r="I681" s="36">
        <v>0</v>
      </c>
      <c r="J681" s="37">
        <v>2904366</v>
      </c>
      <c r="K681" s="36">
        <v>34852357</v>
      </c>
      <c r="L681" s="50">
        <v>37756723</v>
      </c>
      <c r="M681" s="39"/>
      <c r="N681" s="36">
        <v>34852357</v>
      </c>
      <c r="O681" s="36">
        <v>22490996</v>
      </c>
      <c r="P681" s="36">
        <v>3810579</v>
      </c>
      <c r="Q681" s="36">
        <f>Q680*1936.27</f>
        <v>41805102.106417999</v>
      </c>
      <c r="R681" s="7"/>
      <c r="S681" s="7"/>
      <c r="T681" s="7"/>
      <c r="U681" s="7"/>
      <c r="V681" s="7"/>
      <c r="W681" s="7"/>
      <c r="X681" s="7"/>
      <c r="Y681" s="7"/>
      <c r="Z681" s="7"/>
    </row>
    <row r="682" spans="1:26" ht="12.75" customHeight="1" x14ac:dyDescent="0.2">
      <c r="A682" s="156">
        <v>39083</v>
      </c>
      <c r="B682" s="156">
        <v>39113</v>
      </c>
      <c r="C682" s="40" t="s">
        <v>36</v>
      </c>
      <c r="D682" s="41">
        <v>3</v>
      </c>
      <c r="E682" s="30">
        <v>12101.92</v>
      </c>
      <c r="F682" s="30"/>
      <c r="G682" s="30"/>
      <c r="H682" s="30">
        <v>6384.11</v>
      </c>
      <c r="I682" s="30">
        <v>0</v>
      </c>
      <c r="J682" s="42">
        <v>1540.5</v>
      </c>
      <c r="K682" s="43">
        <v>18486.03</v>
      </c>
      <c r="L682" s="51">
        <v>20026.53</v>
      </c>
      <c r="M682" s="33"/>
      <c r="N682" s="30">
        <v>18486.03</v>
      </c>
      <c r="O682" s="30">
        <v>12101.92</v>
      </c>
      <c r="P682" s="30">
        <v>1968</v>
      </c>
      <c r="Q682" s="30">
        <f>(N682+O682*0.18+J682)+(IF((P682-O682*0.18)&gt;0,(P682-O682*0.18),0))</f>
        <v>22204.875599999999</v>
      </c>
      <c r="R682" s="7"/>
      <c r="S682" s="7"/>
      <c r="T682" s="7"/>
      <c r="U682" s="7"/>
      <c r="V682" s="7"/>
      <c r="W682" s="7"/>
      <c r="X682" s="7"/>
      <c r="Y682" s="7"/>
      <c r="Z682" s="7"/>
    </row>
    <row r="683" spans="1:26" ht="9" customHeight="1" x14ac:dyDescent="0.2">
      <c r="A683" s="95"/>
      <c r="B683" s="95"/>
      <c r="C683" s="34" t="s">
        <v>37</v>
      </c>
      <c r="D683" s="35">
        <v>8</v>
      </c>
      <c r="E683" s="36">
        <v>23432585</v>
      </c>
      <c r="F683" s="36"/>
      <c r="G683" s="36"/>
      <c r="H683" s="36">
        <v>12361361</v>
      </c>
      <c r="I683" s="36">
        <v>0</v>
      </c>
      <c r="J683" s="37">
        <v>2982824</v>
      </c>
      <c r="K683" s="36">
        <v>35793945</v>
      </c>
      <c r="L683" s="50">
        <v>38776769</v>
      </c>
      <c r="M683" s="39"/>
      <c r="N683" s="36">
        <v>35793945</v>
      </c>
      <c r="O683" s="36">
        <v>23432585</v>
      </c>
      <c r="P683" s="36">
        <v>3810579</v>
      </c>
      <c r="Q683" s="36">
        <f>Q682*1936.27</f>
        <v>42994634.478011996</v>
      </c>
      <c r="R683" s="7"/>
      <c r="S683" s="7"/>
      <c r="T683" s="7"/>
      <c r="U683" s="7"/>
      <c r="V683" s="7"/>
      <c r="W683" s="7"/>
      <c r="X683" s="7"/>
      <c r="Y683" s="7"/>
      <c r="Z683" s="7"/>
    </row>
    <row r="684" spans="1:26" ht="12.75" customHeight="1" x14ac:dyDescent="0.2">
      <c r="A684" s="95"/>
      <c r="B684" s="95"/>
      <c r="C684" s="40" t="s">
        <v>36</v>
      </c>
      <c r="D684" s="41">
        <v>9</v>
      </c>
      <c r="E684" s="30">
        <v>13599.61</v>
      </c>
      <c r="F684" s="30"/>
      <c r="G684" s="30"/>
      <c r="H684" s="30">
        <v>6384.11</v>
      </c>
      <c r="I684" s="30">
        <v>0</v>
      </c>
      <c r="J684" s="42">
        <v>1665.31</v>
      </c>
      <c r="K684" s="43">
        <v>19983.72</v>
      </c>
      <c r="L684" s="51">
        <v>21649.03</v>
      </c>
      <c r="M684" s="33"/>
      <c r="N684" s="30">
        <v>19983.72</v>
      </c>
      <c r="O684" s="30">
        <v>13599.61</v>
      </c>
      <c r="P684" s="30">
        <v>1968</v>
      </c>
      <c r="Q684" s="30">
        <f>(N684+O684*0.18+J684)+(IF((P684-O684*0.18)&gt;0,(P684-O684*0.18),0))</f>
        <v>24096.959800000001</v>
      </c>
      <c r="R684" s="7"/>
      <c r="S684" s="7"/>
      <c r="T684" s="7"/>
      <c r="U684" s="7"/>
      <c r="V684" s="7"/>
      <c r="W684" s="7"/>
      <c r="X684" s="7"/>
      <c r="Y684" s="7"/>
      <c r="Z684" s="7"/>
    </row>
    <row r="685" spans="1:26" ht="9" customHeight="1" x14ac:dyDescent="0.2">
      <c r="A685" s="95"/>
      <c r="B685" s="95"/>
      <c r="C685" s="34" t="s">
        <v>37</v>
      </c>
      <c r="D685" s="35">
        <v>14</v>
      </c>
      <c r="E685" s="36">
        <v>26332517</v>
      </c>
      <c r="F685" s="36"/>
      <c r="G685" s="36"/>
      <c r="H685" s="36">
        <v>12361361</v>
      </c>
      <c r="I685" s="36">
        <v>0</v>
      </c>
      <c r="J685" s="37">
        <v>3224490</v>
      </c>
      <c r="K685" s="36">
        <v>38693878</v>
      </c>
      <c r="L685" s="50">
        <v>41918367</v>
      </c>
      <c r="M685" s="39"/>
      <c r="N685" s="36">
        <v>38693878</v>
      </c>
      <c r="O685" s="36">
        <v>26332517</v>
      </c>
      <c r="P685" s="36">
        <v>3810579</v>
      </c>
      <c r="Q685" s="36">
        <f>Q684*1936.27</f>
        <v>46658220.351946004</v>
      </c>
      <c r="R685" s="7"/>
      <c r="S685" s="7"/>
      <c r="T685" s="7"/>
      <c r="U685" s="7"/>
      <c r="V685" s="7"/>
      <c r="W685" s="7"/>
      <c r="X685" s="7"/>
      <c r="Y685" s="7"/>
      <c r="Z685" s="7"/>
    </row>
    <row r="686" spans="1:26" ht="12.75" customHeight="1" x14ac:dyDescent="0.2">
      <c r="A686" s="95"/>
      <c r="B686" s="95"/>
      <c r="C686" s="40" t="s">
        <v>36</v>
      </c>
      <c r="D686" s="41">
        <v>15</v>
      </c>
      <c r="E686" s="30">
        <v>15348.78</v>
      </c>
      <c r="F686" s="30"/>
      <c r="G686" s="30"/>
      <c r="H686" s="30">
        <v>6384.11</v>
      </c>
      <c r="I686" s="30">
        <v>0</v>
      </c>
      <c r="J686" s="42">
        <v>1811.07</v>
      </c>
      <c r="K686" s="43">
        <v>21732.89</v>
      </c>
      <c r="L686" s="51">
        <v>23543.96</v>
      </c>
      <c r="M686" s="33"/>
      <c r="N686" s="30">
        <v>21732.89</v>
      </c>
      <c r="O686" s="30">
        <v>15348.78</v>
      </c>
      <c r="P686" s="30">
        <v>2424</v>
      </c>
      <c r="Q686" s="30">
        <f>(N686+O686*0.18+J686)+(IF((P686-O686*0.18)&gt;0,(P686-O686*0.18),0))</f>
        <v>26306.740399999999</v>
      </c>
      <c r="R686" s="7"/>
      <c r="S686" s="7"/>
      <c r="T686" s="7"/>
      <c r="U686" s="7"/>
      <c r="V686" s="7"/>
      <c r="W686" s="7"/>
      <c r="X686" s="7"/>
      <c r="Y686" s="7"/>
      <c r="Z686" s="7"/>
    </row>
    <row r="687" spans="1:26" ht="9" customHeight="1" x14ac:dyDescent="0.2">
      <c r="A687" s="95"/>
      <c r="B687" s="95"/>
      <c r="C687" s="34" t="s">
        <v>37</v>
      </c>
      <c r="D687" s="35">
        <v>20</v>
      </c>
      <c r="E687" s="36">
        <v>29719382</v>
      </c>
      <c r="F687" s="36"/>
      <c r="G687" s="36"/>
      <c r="H687" s="36">
        <v>12361361</v>
      </c>
      <c r="I687" s="36">
        <v>0</v>
      </c>
      <c r="J687" s="37">
        <v>3506721</v>
      </c>
      <c r="K687" s="36">
        <v>42080743</v>
      </c>
      <c r="L687" s="50">
        <v>45587463</v>
      </c>
      <c r="M687" s="39"/>
      <c r="N687" s="36">
        <v>42080743</v>
      </c>
      <c r="O687" s="36">
        <v>29719382</v>
      </c>
      <c r="P687" s="36">
        <v>4693518</v>
      </c>
      <c r="Q687" s="36">
        <f>Q686*1936.27</f>
        <v>50936952.234307997</v>
      </c>
      <c r="R687" s="7"/>
      <c r="S687" s="7"/>
      <c r="T687" s="7"/>
      <c r="U687" s="7"/>
      <c r="V687" s="7"/>
      <c r="W687" s="7"/>
      <c r="X687" s="7"/>
      <c r="Y687" s="7"/>
      <c r="Z687" s="7"/>
    </row>
    <row r="688" spans="1:26" ht="12.75" customHeight="1" x14ac:dyDescent="0.2">
      <c r="A688" s="95"/>
      <c r="B688" s="95"/>
      <c r="C688" s="40" t="s">
        <v>36</v>
      </c>
      <c r="D688" s="41">
        <v>21</v>
      </c>
      <c r="E688" s="30">
        <v>17046.5</v>
      </c>
      <c r="F688" s="30"/>
      <c r="G688" s="30"/>
      <c r="H688" s="30">
        <v>6384.11</v>
      </c>
      <c r="I688" s="30">
        <v>0</v>
      </c>
      <c r="J688" s="42">
        <v>1952.55</v>
      </c>
      <c r="K688" s="43">
        <v>23430.61</v>
      </c>
      <c r="L688" s="51">
        <v>25383.16</v>
      </c>
      <c r="M688" s="33"/>
      <c r="N688" s="30">
        <v>23430.61</v>
      </c>
      <c r="O688" s="30">
        <v>17046.5</v>
      </c>
      <c r="P688" s="30">
        <v>2424</v>
      </c>
      <c r="Q688" s="30">
        <f>(N688+O688*0.18+J688)+(IF((P688-O688*0.18)&gt;0,(P688-O688*0.18),0))</f>
        <v>28451.53</v>
      </c>
      <c r="R688" s="7"/>
      <c r="S688" s="7"/>
      <c r="T688" s="7"/>
      <c r="U688" s="7"/>
      <c r="V688" s="7"/>
      <c r="W688" s="7"/>
      <c r="X688" s="7"/>
      <c r="Y688" s="7"/>
      <c r="Z688" s="7"/>
    </row>
    <row r="689" spans="1:26" ht="9" customHeight="1" x14ac:dyDescent="0.2">
      <c r="A689" s="95"/>
      <c r="B689" s="95"/>
      <c r="C689" s="34" t="s">
        <v>37</v>
      </c>
      <c r="D689" s="35">
        <v>27</v>
      </c>
      <c r="E689" s="36">
        <v>33006627</v>
      </c>
      <c r="F689" s="36"/>
      <c r="G689" s="36"/>
      <c r="H689" s="36">
        <v>12361361</v>
      </c>
      <c r="I689" s="36">
        <v>0</v>
      </c>
      <c r="J689" s="37">
        <v>3780664</v>
      </c>
      <c r="K689" s="36">
        <v>45367987</v>
      </c>
      <c r="L689" s="50">
        <v>49148651</v>
      </c>
      <c r="M689" s="39"/>
      <c r="N689" s="36">
        <v>45367987</v>
      </c>
      <c r="O689" s="36">
        <v>33006627</v>
      </c>
      <c r="P689" s="36">
        <v>4693518</v>
      </c>
      <c r="Q689" s="36">
        <f>Q688*1936.27</f>
        <v>55089843.993099995</v>
      </c>
      <c r="R689" s="7"/>
      <c r="S689" s="7"/>
      <c r="T689" s="7"/>
      <c r="U689" s="7"/>
      <c r="V689" s="7"/>
      <c r="W689" s="7"/>
      <c r="X689" s="7"/>
      <c r="Y689" s="7"/>
      <c r="Z689" s="7"/>
    </row>
    <row r="690" spans="1:26" ht="12.75" customHeight="1" x14ac:dyDescent="0.2">
      <c r="A690" s="95"/>
      <c r="B690" s="95"/>
      <c r="C690" s="40" t="s">
        <v>36</v>
      </c>
      <c r="D690" s="41">
        <v>28</v>
      </c>
      <c r="E690" s="30">
        <v>18721.55</v>
      </c>
      <c r="F690" s="30"/>
      <c r="G690" s="30"/>
      <c r="H690" s="30">
        <v>6384.11</v>
      </c>
      <c r="I690" s="30">
        <v>0</v>
      </c>
      <c r="J690" s="42">
        <v>2092.14</v>
      </c>
      <c r="K690" s="43">
        <v>25105.66</v>
      </c>
      <c r="L690" s="51">
        <v>27197.8</v>
      </c>
      <c r="M690" s="33"/>
      <c r="N690" s="30">
        <v>25105.66</v>
      </c>
      <c r="O690" s="30">
        <v>18721.55</v>
      </c>
      <c r="P690" s="30">
        <v>3090</v>
      </c>
      <c r="Q690" s="30">
        <f>(N690+O690*0.18+J690)+(IF((P690-O690*0.18)&gt;0,(P690-O690*0.18),0))</f>
        <v>30567.679</v>
      </c>
      <c r="R690" s="7"/>
      <c r="S690" s="7"/>
      <c r="T690" s="7"/>
      <c r="U690" s="7"/>
      <c r="V690" s="7"/>
      <c r="W690" s="7"/>
      <c r="X690" s="7"/>
      <c r="Y690" s="7"/>
      <c r="Z690" s="7"/>
    </row>
    <row r="691" spans="1:26" ht="9" customHeight="1" x14ac:dyDescent="0.2">
      <c r="A691" s="95"/>
      <c r="B691" s="95"/>
      <c r="C691" s="34" t="s">
        <v>37</v>
      </c>
      <c r="D691" s="35">
        <v>34</v>
      </c>
      <c r="E691" s="36">
        <v>36249976</v>
      </c>
      <c r="F691" s="36"/>
      <c r="G691" s="36"/>
      <c r="H691" s="36">
        <v>12361361</v>
      </c>
      <c r="I691" s="36">
        <v>0</v>
      </c>
      <c r="J691" s="37">
        <v>4050948</v>
      </c>
      <c r="K691" s="36">
        <v>48611336</v>
      </c>
      <c r="L691" s="50">
        <v>52662284</v>
      </c>
      <c r="M691" s="39"/>
      <c r="N691" s="36">
        <v>48611336</v>
      </c>
      <c r="O691" s="36">
        <v>36249976</v>
      </c>
      <c r="P691" s="36">
        <v>5983074</v>
      </c>
      <c r="Q691" s="36">
        <f>Q690*1936.27</f>
        <v>59187279.817330003</v>
      </c>
      <c r="R691" s="7"/>
      <c r="S691" s="7"/>
      <c r="T691" s="7"/>
      <c r="U691" s="7"/>
      <c r="V691" s="7"/>
      <c r="W691" s="7"/>
      <c r="X691" s="7"/>
      <c r="Y691" s="7"/>
      <c r="Z691" s="7"/>
    </row>
    <row r="692" spans="1:26" ht="12.75" customHeight="1" x14ac:dyDescent="0.2">
      <c r="A692" s="95"/>
      <c r="B692" s="95"/>
      <c r="C692" s="40" t="s">
        <v>36</v>
      </c>
      <c r="D692" s="41">
        <v>35</v>
      </c>
      <c r="E692" s="30">
        <v>19968.8</v>
      </c>
      <c r="F692" s="30"/>
      <c r="G692" s="30"/>
      <c r="H692" s="30">
        <v>6384.11</v>
      </c>
      <c r="I692" s="30">
        <v>0</v>
      </c>
      <c r="J692" s="42">
        <v>2196.08</v>
      </c>
      <c r="K692" s="43">
        <v>26352.91</v>
      </c>
      <c r="L692" s="51">
        <v>28548.99</v>
      </c>
      <c r="M692" s="33"/>
      <c r="N692" s="30">
        <v>26352.91</v>
      </c>
      <c r="O692" s="30">
        <v>19968.8</v>
      </c>
      <c r="P692" s="30">
        <v>3090</v>
      </c>
      <c r="Q692" s="30">
        <f>(N692+O692*0.18+J692)+(IF((P692-O692*0.18)&gt;0,(P692-O692*0.18),0))</f>
        <v>32143.373999999996</v>
      </c>
      <c r="R692" s="7"/>
      <c r="S692" s="7"/>
      <c r="T692" s="7"/>
      <c r="U692" s="7"/>
      <c r="V692" s="7"/>
      <c r="W692" s="7"/>
      <c r="X692" s="7"/>
      <c r="Y692" s="7"/>
      <c r="Z692" s="7"/>
    </row>
    <row r="693" spans="1:26" ht="9" customHeight="1" x14ac:dyDescent="0.2">
      <c r="A693" s="110"/>
      <c r="B693" s="110"/>
      <c r="C693" s="47" t="s">
        <v>37</v>
      </c>
      <c r="D693" s="48"/>
      <c r="E693" s="36">
        <v>38664988</v>
      </c>
      <c r="F693" s="36"/>
      <c r="G693" s="36"/>
      <c r="H693" s="36">
        <v>12361361</v>
      </c>
      <c r="I693" s="36">
        <v>0</v>
      </c>
      <c r="J693" s="49">
        <v>4252204</v>
      </c>
      <c r="K693" s="46">
        <v>51026349</v>
      </c>
      <c r="L693" s="52">
        <v>55278553</v>
      </c>
      <c r="M693" s="39"/>
      <c r="N693" s="36">
        <v>51026349</v>
      </c>
      <c r="O693" s="36">
        <v>38664988</v>
      </c>
      <c r="P693" s="36">
        <v>5983074</v>
      </c>
      <c r="Q693" s="36">
        <f>Q692*1936.27</f>
        <v>62238250.774979994</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6"/>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6"/>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6"/>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6"/>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6"/>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6"/>
      <c r="M699" s="39"/>
      <c r="N699" s="96"/>
      <c r="O699" s="96"/>
      <c r="P699" s="96"/>
      <c r="Q699" s="96"/>
      <c r="R699" s="7"/>
      <c r="S699" s="7"/>
      <c r="T699" s="7"/>
      <c r="U699" s="7"/>
      <c r="V699" s="7"/>
      <c r="W699" s="7"/>
      <c r="X699" s="7"/>
      <c r="Y699" s="7"/>
      <c r="Z699" s="7"/>
    </row>
    <row r="700" spans="1:26" ht="12.75" customHeight="1" x14ac:dyDescent="0.2">
      <c r="A700" s="98">
        <v>39114</v>
      </c>
      <c r="B700" s="98">
        <v>39446</v>
      </c>
      <c r="C700" s="28" t="s">
        <v>36</v>
      </c>
      <c r="D700" s="29">
        <v>0</v>
      </c>
      <c r="E700" s="30">
        <v>12106.43</v>
      </c>
      <c r="F700" s="30"/>
      <c r="G700" s="30"/>
      <c r="H700" s="30">
        <v>6384.11</v>
      </c>
      <c r="I700" s="30">
        <v>0</v>
      </c>
      <c r="J700" s="30">
        <v>1540.88</v>
      </c>
      <c r="K700" s="31">
        <v>18490.54</v>
      </c>
      <c r="L700" s="32">
        <v>20031.419999999998</v>
      </c>
      <c r="M700" s="33"/>
      <c r="N700" s="30">
        <v>18490.54</v>
      </c>
      <c r="O700" s="30">
        <v>12106.43</v>
      </c>
      <c r="P700" s="30">
        <v>1968</v>
      </c>
      <c r="Q700" s="30">
        <f>(N700+O700*0.18+J700)+(IF((P700-O700*0.18)&gt;0,(P700-O700*0.18),0))</f>
        <v>22210.577400000002</v>
      </c>
      <c r="R700" s="7"/>
      <c r="S700" s="7"/>
      <c r="T700" s="7"/>
      <c r="U700" s="7"/>
      <c r="V700" s="7"/>
      <c r="W700" s="7"/>
      <c r="X700" s="7"/>
      <c r="Y700" s="7"/>
      <c r="Z700" s="7"/>
    </row>
    <row r="701" spans="1:26" ht="9" customHeight="1" x14ac:dyDescent="0.2">
      <c r="A701" s="95"/>
      <c r="B701" s="95"/>
      <c r="C701" s="34" t="s">
        <v>37</v>
      </c>
      <c r="D701" s="35">
        <v>2</v>
      </c>
      <c r="E701" s="36">
        <v>23441317</v>
      </c>
      <c r="F701" s="36"/>
      <c r="G701" s="36"/>
      <c r="H701" s="36">
        <v>12361361</v>
      </c>
      <c r="I701" s="36">
        <v>0</v>
      </c>
      <c r="J701" s="37">
        <v>2983560</v>
      </c>
      <c r="K701" s="36">
        <v>35802678</v>
      </c>
      <c r="L701" s="50">
        <v>38786238</v>
      </c>
      <c r="M701" s="39"/>
      <c r="N701" s="36">
        <v>35802678</v>
      </c>
      <c r="O701" s="36">
        <v>23441317</v>
      </c>
      <c r="P701" s="36">
        <v>3810579</v>
      </c>
      <c r="Q701" s="36">
        <f>Q700*1936.27</f>
        <v>43005674.702298</v>
      </c>
      <c r="R701" s="7"/>
      <c r="S701" s="7"/>
      <c r="T701" s="7"/>
      <c r="U701" s="7"/>
      <c r="V701" s="7"/>
      <c r="W701" s="7"/>
      <c r="X701" s="7"/>
      <c r="Y701" s="7"/>
      <c r="Z701" s="7"/>
    </row>
    <row r="702" spans="1:26" ht="12.75" customHeight="1" x14ac:dyDescent="0.2">
      <c r="A702" s="156">
        <v>39114</v>
      </c>
      <c r="B702" s="156">
        <v>39446</v>
      </c>
      <c r="C702" s="40" t="s">
        <v>36</v>
      </c>
      <c r="D702" s="41">
        <v>3</v>
      </c>
      <c r="E702" s="30">
        <v>12605.92</v>
      </c>
      <c r="F702" s="30"/>
      <c r="G702" s="30"/>
      <c r="H702" s="30">
        <v>6384.11</v>
      </c>
      <c r="I702" s="30">
        <v>0</v>
      </c>
      <c r="J702" s="42">
        <v>1582.5</v>
      </c>
      <c r="K702" s="43">
        <v>18990.03</v>
      </c>
      <c r="L702" s="51">
        <v>20572.53</v>
      </c>
      <c r="M702" s="33"/>
      <c r="N702" s="30">
        <v>18990.03</v>
      </c>
      <c r="O702" s="30">
        <v>12605.92</v>
      </c>
      <c r="P702" s="30">
        <v>1968</v>
      </c>
      <c r="Q702" s="30">
        <f>(N702+O702*0.18+J702)+(IF((P702-O702*0.18)&gt;0,(P702-O702*0.18),0))</f>
        <v>22841.595600000001</v>
      </c>
      <c r="R702" s="7"/>
      <c r="S702" s="7"/>
      <c r="T702" s="7"/>
      <c r="U702" s="7"/>
      <c r="V702" s="7"/>
      <c r="W702" s="7"/>
      <c r="X702" s="7"/>
      <c r="Y702" s="7"/>
      <c r="Z702" s="7"/>
    </row>
    <row r="703" spans="1:26" ht="9" customHeight="1" x14ac:dyDescent="0.2">
      <c r="A703" s="95"/>
      <c r="B703" s="95"/>
      <c r="C703" s="34" t="s">
        <v>37</v>
      </c>
      <c r="D703" s="35">
        <v>8</v>
      </c>
      <c r="E703" s="36">
        <v>24408465</v>
      </c>
      <c r="F703" s="36"/>
      <c r="G703" s="36"/>
      <c r="H703" s="36">
        <v>12361361</v>
      </c>
      <c r="I703" s="36">
        <v>0</v>
      </c>
      <c r="J703" s="37">
        <v>3064147</v>
      </c>
      <c r="K703" s="36">
        <v>36769825</v>
      </c>
      <c r="L703" s="50">
        <v>39833973</v>
      </c>
      <c r="M703" s="39"/>
      <c r="N703" s="36">
        <v>36769825</v>
      </c>
      <c r="O703" s="36">
        <v>24408465</v>
      </c>
      <c r="P703" s="36">
        <v>3810579</v>
      </c>
      <c r="Q703" s="36">
        <f>Q702*1936.27</f>
        <v>44227496.312412001</v>
      </c>
      <c r="R703" s="7"/>
      <c r="S703" s="7"/>
      <c r="T703" s="7"/>
      <c r="U703" s="7"/>
      <c r="V703" s="7"/>
      <c r="W703" s="7"/>
      <c r="X703" s="7"/>
      <c r="Y703" s="7"/>
      <c r="Z703" s="7"/>
    </row>
    <row r="704" spans="1:26" ht="12.75" customHeight="1" x14ac:dyDescent="0.2">
      <c r="A704" s="95"/>
      <c r="B704" s="95"/>
      <c r="C704" s="40" t="s">
        <v>36</v>
      </c>
      <c r="D704" s="41">
        <v>9</v>
      </c>
      <c r="E704" s="30">
        <v>14144.41</v>
      </c>
      <c r="F704" s="30"/>
      <c r="G704" s="30"/>
      <c r="H704" s="30">
        <v>6384.11</v>
      </c>
      <c r="I704" s="30">
        <v>0</v>
      </c>
      <c r="J704" s="42">
        <v>1710.71</v>
      </c>
      <c r="K704" s="43">
        <v>20528.52</v>
      </c>
      <c r="L704" s="51">
        <v>22239.23</v>
      </c>
      <c r="M704" s="33"/>
      <c r="N704" s="30">
        <v>20528.52</v>
      </c>
      <c r="O704" s="30">
        <v>14144.41</v>
      </c>
      <c r="P704" s="30">
        <v>1968</v>
      </c>
      <c r="Q704" s="30">
        <f>(N704+O704*0.18+J704)+(IF((P704-O704*0.18)&gt;0,(P704-O704*0.18),0))</f>
        <v>24785.2238</v>
      </c>
      <c r="R704" s="7"/>
      <c r="S704" s="7"/>
      <c r="T704" s="7"/>
      <c r="U704" s="7"/>
      <c r="V704" s="7"/>
      <c r="W704" s="7"/>
      <c r="X704" s="7"/>
      <c r="Y704" s="7"/>
      <c r="Z704" s="7"/>
    </row>
    <row r="705" spans="1:26" ht="9" customHeight="1" x14ac:dyDescent="0.2">
      <c r="A705" s="95"/>
      <c r="B705" s="95"/>
      <c r="C705" s="34" t="s">
        <v>37</v>
      </c>
      <c r="D705" s="35">
        <v>14</v>
      </c>
      <c r="E705" s="36">
        <v>27387397</v>
      </c>
      <c r="F705" s="36"/>
      <c r="G705" s="36"/>
      <c r="H705" s="36">
        <v>12361361</v>
      </c>
      <c r="I705" s="36">
        <v>0</v>
      </c>
      <c r="J705" s="37">
        <v>3312396</v>
      </c>
      <c r="K705" s="36">
        <v>39748757</v>
      </c>
      <c r="L705" s="50">
        <v>43061154</v>
      </c>
      <c r="M705" s="39"/>
      <c r="N705" s="36">
        <v>39748757</v>
      </c>
      <c r="O705" s="36">
        <v>27387397</v>
      </c>
      <c r="P705" s="36">
        <v>3810579</v>
      </c>
      <c r="Q705" s="36">
        <f>Q704*1936.27</f>
        <v>47990885.287225999</v>
      </c>
      <c r="R705" s="7"/>
      <c r="S705" s="7"/>
      <c r="T705" s="7"/>
      <c r="U705" s="7"/>
      <c r="V705" s="7"/>
      <c r="W705" s="7"/>
      <c r="X705" s="7"/>
      <c r="Y705" s="7"/>
      <c r="Z705" s="7"/>
    </row>
    <row r="706" spans="1:26" ht="12.75" customHeight="1" x14ac:dyDescent="0.2">
      <c r="A706" s="95"/>
      <c r="B706" s="95"/>
      <c r="C706" s="40" t="s">
        <v>36</v>
      </c>
      <c r="D706" s="41">
        <v>15</v>
      </c>
      <c r="E706" s="30">
        <v>15941.34</v>
      </c>
      <c r="F706" s="30"/>
      <c r="G706" s="30"/>
      <c r="H706" s="30">
        <v>6384.11</v>
      </c>
      <c r="I706" s="30">
        <v>0</v>
      </c>
      <c r="J706" s="42">
        <v>1860.45</v>
      </c>
      <c r="K706" s="43">
        <v>22325.45</v>
      </c>
      <c r="L706" s="51">
        <v>24185.9</v>
      </c>
      <c r="M706" s="33"/>
      <c r="N706" s="30">
        <v>22325.45</v>
      </c>
      <c r="O706" s="30">
        <v>15941.34</v>
      </c>
      <c r="P706" s="30">
        <v>2424</v>
      </c>
      <c r="Q706" s="30">
        <f>(N706+O706*0.18+J706)+(IF((P706-O706*0.18)&gt;0,(P706-O706*0.18),0))</f>
        <v>27055.341200000003</v>
      </c>
      <c r="R706" s="7"/>
      <c r="S706" s="7"/>
      <c r="T706" s="7"/>
      <c r="U706" s="7"/>
      <c r="V706" s="7"/>
      <c r="W706" s="7"/>
      <c r="X706" s="7"/>
      <c r="Y706" s="7"/>
      <c r="Z706" s="7"/>
    </row>
    <row r="707" spans="1:26" ht="9" customHeight="1" x14ac:dyDescent="0.2">
      <c r="A707" s="95"/>
      <c r="B707" s="95"/>
      <c r="C707" s="34" t="s">
        <v>37</v>
      </c>
      <c r="D707" s="35">
        <v>20</v>
      </c>
      <c r="E707" s="36">
        <v>30866738</v>
      </c>
      <c r="F707" s="36"/>
      <c r="G707" s="36"/>
      <c r="H707" s="36">
        <v>12361361</v>
      </c>
      <c r="I707" s="36">
        <v>0</v>
      </c>
      <c r="J707" s="37">
        <v>3602334</v>
      </c>
      <c r="K707" s="36">
        <v>43228099</v>
      </c>
      <c r="L707" s="50">
        <v>46830433</v>
      </c>
      <c r="M707" s="39"/>
      <c r="N707" s="36">
        <v>43228099</v>
      </c>
      <c r="O707" s="36">
        <v>30866738</v>
      </c>
      <c r="P707" s="36">
        <v>4693518</v>
      </c>
      <c r="Q707" s="36">
        <f>Q706*1936.27</f>
        <v>52386445.505324006</v>
      </c>
      <c r="R707" s="7"/>
      <c r="S707" s="7"/>
      <c r="T707" s="7"/>
      <c r="U707" s="7"/>
      <c r="V707" s="7"/>
      <c r="W707" s="7"/>
      <c r="X707" s="7"/>
      <c r="Y707" s="7"/>
      <c r="Z707" s="7"/>
    </row>
    <row r="708" spans="1:26" ht="12.75" customHeight="1" x14ac:dyDescent="0.2">
      <c r="A708" s="95"/>
      <c r="B708" s="95"/>
      <c r="C708" s="40" t="s">
        <v>36</v>
      </c>
      <c r="D708" s="41">
        <v>21</v>
      </c>
      <c r="E708" s="30">
        <v>17685.38</v>
      </c>
      <c r="F708" s="30"/>
      <c r="G708" s="30"/>
      <c r="H708" s="30">
        <v>6384.11</v>
      </c>
      <c r="I708" s="30">
        <v>0</v>
      </c>
      <c r="J708" s="42">
        <v>2005.79</v>
      </c>
      <c r="K708" s="43">
        <v>24069.49</v>
      </c>
      <c r="L708" s="51">
        <v>26075.279999999999</v>
      </c>
      <c r="M708" s="33"/>
      <c r="N708" s="30">
        <v>24069.49</v>
      </c>
      <c r="O708" s="30">
        <v>17685.38</v>
      </c>
      <c r="P708" s="30">
        <v>2424</v>
      </c>
      <c r="Q708" s="30">
        <f>(N708+O708*0.18+J708)+(IF((P708-O708*0.18)&gt;0,(P708-O708*0.18),0))</f>
        <v>29258.648400000002</v>
      </c>
      <c r="R708" s="7"/>
      <c r="S708" s="7"/>
      <c r="T708" s="7"/>
      <c r="U708" s="7"/>
      <c r="V708" s="7"/>
      <c r="W708" s="7"/>
      <c r="X708" s="7"/>
      <c r="Y708" s="7"/>
      <c r="Z708" s="7"/>
    </row>
    <row r="709" spans="1:26" ht="9" customHeight="1" x14ac:dyDescent="0.2">
      <c r="A709" s="95"/>
      <c r="B709" s="95"/>
      <c r="C709" s="34" t="s">
        <v>37</v>
      </c>
      <c r="D709" s="35">
        <v>27</v>
      </c>
      <c r="E709" s="36">
        <v>34243671</v>
      </c>
      <c r="F709" s="36"/>
      <c r="G709" s="36"/>
      <c r="H709" s="36">
        <v>12361361</v>
      </c>
      <c r="I709" s="36">
        <v>0</v>
      </c>
      <c r="J709" s="37">
        <v>3883751</v>
      </c>
      <c r="K709" s="36">
        <v>46605031</v>
      </c>
      <c r="L709" s="50">
        <v>50488782</v>
      </c>
      <c r="M709" s="39"/>
      <c r="N709" s="36">
        <v>46605031</v>
      </c>
      <c r="O709" s="36">
        <v>34243671</v>
      </c>
      <c r="P709" s="36">
        <v>4693518</v>
      </c>
      <c r="Q709" s="36">
        <f>Q708*1936.27</f>
        <v>56652643.137468003</v>
      </c>
      <c r="R709" s="7"/>
      <c r="S709" s="7"/>
      <c r="T709" s="7"/>
      <c r="U709" s="7"/>
      <c r="V709" s="7"/>
      <c r="W709" s="7"/>
      <c r="X709" s="7"/>
      <c r="Y709" s="7"/>
      <c r="Z709" s="7"/>
    </row>
    <row r="710" spans="1:26" ht="12.75" customHeight="1" x14ac:dyDescent="0.2">
      <c r="A710" s="95"/>
      <c r="B710" s="95"/>
      <c r="C710" s="40" t="s">
        <v>36</v>
      </c>
      <c r="D710" s="41">
        <v>28</v>
      </c>
      <c r="E710" s="30">
        <v>19406.03</v>
      </c>
      <c r="F710" s="30"/>
      <c r="G710" s="30"/>
      <c r="H710" s="30">
        <v>6384.11</v>
      </c>
      <c r="I710" s="30">
        <v>0</v>
      </c>
      <c r="J710" s="42">
        <v>2149.1799999999998</v>
      </c>
      <c r="K710" s="43">
        <v>25790.14</v>
      </c>
      <c r="L710" s="51">
        <v>27939.32</v>
      </c>
      <c r="M710" s="33"/>
      <c r="N710" s="30">
        <v>25790.14</v>
      </c>
      <c r="O710" s="30">
        <v>19406.03</v>
      </c>
      <c r="P710" s="30">
        <v>3090</v>
      </c>
      <c r="Q710" s="30">
        <f>(N710+O710*0.18+J710)+(IF((P710-O710*0.18)&gt;0,(P710-O710*0.18),0))</f>
        <v>31432.4054</v>
      </c>
      <c r="R710" s="7"/>
      <c r="S710" s="7"/>
      <c r="T710" s="7"/>
      <c r="U710" s="7"/>
      <c r="V710" s="7"/>
      <c r="W710" s="7"/>
      <c r="X710" s="7"/>
      <c r="Y710" s="7"/>
      <c r="Z710" s="7"/>
    </row>
    <row r="711" spans="1:26" ht="9" customHeight="1" x14ac:dyDescent="0.2">
      <c r="A711" s="95"/>
      <c r="B711" s="95"/>
      <c r="C711" s="34" t="s">
        <v>37</v>
      </c>
      <c r="D711" s="35">
        <v>34</v>
      </c>
      <c r="E711" s="36">
        <v>37575314</v>
      </c>
      <c r="F711" s="36"/>
      <c r="G711" s="36"/>
      <c r="H711" s="36">
        <v>12361361</v>
      </c>
      <c r="I711" s="36">
        <v>0</v>
      </c>
      <c r="J711" s="37">
        <v>4161393</v>
      </c>
      <c r="K711" s="36">
        <v>49936674</v>
      </c>
      <c r="L711" s="50">
        <v>54098067</v>
      </c>
      <c r="M711" s="39"/>
      <c r="N711" s="36">
        <v>49936674</v>
      </c>
      <c r="O711" s="36">
        <v>37575314</v>
      </c>
      <c r="P711" s="36">
        <v>5983074</v>
      </c>
      <c r="Q711" s="36">
        <f>Q710*1936.27</f>
        <v>60861623.603858002</v>
      </c>
      <c r="R711" s="7"/>
      <c r="S711" s="7"/>
      <c r="T711" s="7"/>
      <c r="U711" s="7"/>
      <c r="V711" s="7"/>
      <c r="W711" s="7"/>
      <c r="X711" s="7"/>
      <c r="Y711" s="7"/>
      <c r="Z711" s="7"/>
    </row>
    <row r="712" spans="1:26" ht="12.75" customHeight="1" x14ac:dyDescent="0.2">
      <c r="A712" s="95"/>
      <c r="B712" s="95"/>
      <c r="C712" s="40" t="s">
        <v>36</v>
      </c>
      <c r="D712" s="41">
        <v>35</v>
      </c>
      <c r="E712" s="30">
        <v>20687.36</v>
      </c>
      <c r="F712" s="30"/>
      <c r="G712" s="30"/>
      <c r="H712" s="30">
        <v>6384.11</v>
      </c>
      <c r="I712" s="30">
        <v>0</v>
      </c>
      <c r="J712" s="42">
        <v>2255.96</v>
      </c>
      <c r="K712" s="43">
        <v>27071.47</v>
      </c>
      <c r="L712" s="51">
        <v>29327.43</v>
      </c>
      <c r="M712" s="33"/>
      <c r="N712" s="30">
        <v>27071.47</v>
      </c>
      <c r="O712" s="30">
        <v>20687.36</v>
      </c>
      <c r="P712" s="30">
        <v>3090</v>
      </c>
      <c r="Q712" s="30">
        <f>(N712+O712*0.18+J712)+(IF((P712-O712*0.18)&gt;0,(P712-O712*0.18),0))</f>
        <v>33051.154800000004</v>
      </c>
      <c r="R712" s="7"/>
      <c r="S712" s="7"/>
      <c r="T712" s="7"/>
      <c r="U712" s="7"/>
      <c r="V712" s="7"/>
      <c r="W712" s="7"/>
      <c r="X712" s="7"/>
      <c r="Y712" s="7"/>
      <c r="Z712" s="7"/>
    </row>
    <row r="713" spans="1:26" ht="9" customHeight="1" x14ac:dyDescent="0.2">
      <c r="A713" s="110"/>
      <c r="B713" s="110"/>
      <c r="C713" s="47" t="s">
        <v>37</v>
      </c>
      <c r="D713" s="48"/>
      <c r="E713" s="46">
        <v>40056315</v>
      </c>
      <c r="F713" s="46"/>
      <c r="G713" s="46"/>
      <c r="H713" s="46">
        <v>12361361</v>
      </c>
      <c r="I713" s="46">
        <v>0</v>
      </c>
      <c r="J713" s="49">
        <v>4368148</v>
      </c>
      <c r="K713" s="46">
        <v>52417675</v>
      </c>
      <c r="L713" s="52">
        <v>56785823</v>
      </c>
      <c r="M713" s="39"/>
      <c r="N713" s="36">
        <v>52417675</v>
      </c>
      <c r="O713" s="36">
        <v>40056315</v>
      </c>
      <c r="P713" s="36">
        <v>5983074</v>
      </c>
      <c r="Q713" s="36">
        <f>Q712*1936.27</f>
        <v>63995959.50459601</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6"/>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6"/>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6"/>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6"/>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6"/>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6"/>
      <c r="M719" s="39"/>
      <c r="N719" s="96"/>
      <c r="O719" s="96"/>
      <c r="P719" s="96"/>
      <c r="Q719" s="96"/>
      <c r="R719" s="7"/>
      <c r="S719" s="7"/>
      <c r="T719" s="7"/>
      <c r="U719" s="7"/>
      <c r="V719" s="7"/>
      <c r="W719" s="7"/>
      <c r="X719" s="7"/>
      <c r="Y719" s="7"/>
      <c r="Z719" s="7"/>
    </row>
    <row r="720" spans="1:26" ht="12.75" customHeight="1" x14ac:dyDescent="0.2">
      <c r="A720" s="98">
        <v>39447</v>
      </c>
      <c r="B720" s="98">
        <v>39538</v>
      </c>
      <c r="C720" s="28" t="s">
        <v>36</v>
      </c>
      <c r="D720" s="29">
        <v>0</v>
      </c>
      <c r="E720" s="30">
        <v>12225.23</v>
      </c>
      <c r="F720" s="30"/>
      <c r="G720" s="30"/>
      <c r="H720" s="30">
        <v>6384.11</v>
      </c>
      <c r="I720" s="30">
        <v>0</v>
      </c>
      <c r="J720" s="30">
        <v>1550.78</v>
      </c>
      <c r="K720" s="31">
        <v>18609.34</v>
      </c>
      <c r="L720" s="32">
        <v>20160.12</v>
      </c>
      <c r="M720" s="33"/>
      <c r="N720" s="30">
        <v>18609.34</v>
      </c>
      <c r="O720" s="30">
        <v>12225.23</v>
      </c>
      <c r="P720" s="30">
        <v>1968</v>
      </c>
      <c r="Q720" s="30">
        <f>(N720+O720*0.18+J720)+(IF((P720-O720*0.18)&gt;0,(P720-O720*0.18),0))</f>
        <v>22360.661399999997</v>
      </c>
      <c r="R720" s="7"/>
      <c r="S720" s="7"/>
      <c r="T720" s="7"/>
      <c r="U720" s="7"/>
      <c r="V720" s="7"/>
      <c r="W720" s="7"/>
      <c r="X720" s="7"/>
      <c r="Y720" s="7"/>
      <c r="Z720" s="7"/>
    </row>
    <row r="721" spans="1:26" ht="9" customHeight="1" x14ac:dyDescent="0.2">
      <c r="A721" s="95"/>
      <c r="B721" s="95"/>
      <c r="C721" s="34" t="s">
        <v>37</v>
      </c>
      <c r="D721" s="35">
        <v>2</v>
      </c>
      <c r="E721" s="36">
        <v>23671346</v>
      </c>
      <c r="F721" s="36"/>
      <c r="G721" s="36"/>
      <c r="H721" s="36">
        <v>12361361</v>
      </c>
      <c r="I721" s="36">
        <v>0</v>
      </c>
      <c r="J721" s="37">
        <v>3002729</v>
      </c>
      <c r="K721" s="36">
        <v>36032707</v>
      </c>
      <c r="L721" s="50">
        <v>39035436</v>
      </c>
      <c r="M721" s="39"/>
      <c r="N721" s="36">
        <v>36032707</v>
      </c>
      <c r="O721" s="36">
        <v>23671346</v>
      </c>
      <c r="P721" s="36">
        <v>3810579</v>
      </c>
      <c r="Q721" s="36">
        <f>Q720*1936.27</f>
        <v>43296277.848977998</v>
      </c>
      <c r="R721" s="7"/>
      <c r="S721" s="7"/>
      <c r="T721" s="7"/>
      <c r="U721" s="7"/>
      <c r="V721" s="7"/>
      <c r="W721" s="7"/>
      <c r="X721" s="7"/>
      <c r="Y721" s="7"/>
      <c r="Z721" s="7"/>
    </row>
    <row r="722" spans="1:26" ht="12.75" customHeight="1" x14ac:dyDescent="0.2">
      <c r="A722" s="156">
        <v>39447</v>
      </c>
      <c r="B722" s="156">
        <v>39538</v>
      </c>
      <c r="C722" s="40" t="s">
        <v>36</v>
      </c>
      <c r="D722" s="41">
        <v>3</v>
      </c>
      <c r="E722" s="30">
        <v>12727.96</v>
      </c>
      <c r="F722" s="30"/>
      <c r="G722" s="30"/>
      <c r="H722" s="30">
        <v>6384.11</v>
      </c>
      <c r="I722" s="30">
        <v>0</v>
      </c>
      <c r="J722" s="42">
        <v>1592.67</v>
      </c>
      <c r="K722" s="43">
        <v>19112.07</v>
      </c>
      <c r="L722" s="51">
        <v>20704.740000000002</v>
      </c>
      <c r="M722" s="33"/>
      <c r="N722" s="30">
        <v>19112.07</v>
      </c>
      <c r="O722" s="30">
        <v>12727.96</v>
      </c>
      <c r="P722" s="30">
        <v>1968</v>
      </c>
      <c r="Q722" s="30">
        <f>(N722+O722*0.18+J722)+(IF((P722-O722*0.18)&gt;0,(P722-O722*0.18),0))</f>
        <v>22995.772799999999</v>
      </c>
      <c r="R722" s="7"/>
      <c r="S722" s="7"/>
      <c r="T722" s="7"/>
      <c r="U722" s="7"/>
      <c r="V722" s="7"/>
      <c r="W722" s="7"/>
      <c r="X722" s="7"/>
      <c r="Y722" s="7"/>
      <c r="Z722" s="7"/>
    </row>
    <row r="723" spans="1:26" ht="9" customHeight="1" x14ac:dyDescent="0.2">
      <c r="A723" s="95"/>
      <c r="B723" s="95"/>
      <c r="C723" s="34" t="s">
        <v>37</v>
      </c>
      <c r="D723" s="35">
        <v>8</v>
      </c>
      <c r="E723" s="36">
        <v>24644767</v>
      </c>
      <c r="F723" s="36"/>
      <c r="G723" s="36"/>
      <c r="H723" s="36">
        <v>12361361</v>
      </c>
      <c r="I723" s="36">
        <v>0</v>
      </c>
      <c r="J723" s="37">
        <v>3083839</v>
      </c>
      <c r="K723" s="36">
        <v>37006128</v>
      </c>
      <c r="L723" s="50">
        <v>40089967</v>
      </c>
      <c r="M723" s="39"/>
      <c r="N723" s="36">
        <v>37006128</v>
      </c>
      <c r="O723" s="36">
        <v>24644767</v>
      </c>
      <c r="P723" s="36">
        <v>3810579</v>
      </c>
      <c r="Q723" s="36">
        <f>Q722*1936.27</f>
        <v>44526024.999455996</v>
      </c>
      <c r="R723" s="7"/>
      <c r="S723" s="7"/>
      <c r="T723" s="7"/>
      <c r="U723" s="7"/>
      <c r="V723" s="7"/>
      <c r="W723" s="7"/>
      <c r="X723" s="7"/>
      <c r="Y723" s="7"/>
      <c r="Z723" s="7"/>
    </row>
    <row r="724" spans="1:26" ht="12.75" customHeight="1" x14ac:dyDescent="0.2">
      <c r="A724" s="95"/>
      <c r="B724" s="95"/>
      <c r="C724" s="40" t="s">
        <v>36</v>
      </c>
      <c r="D724" s="41">
        <v>9</v>
      </c>
      <c r="E724" s="30">
        <v>14276.17</v>
      </c>
      <c r="F724" s="30"/>
      <c r="G724" s="30"/>
      <c r="H724" s="30">
        <v>6384.11</v>
      </c>
      <c r="I724" s="30">
        <v>0</v>
      </c>
      <c r="J724" s="42">
        <v>1721.69</v>
      </c>
      <c r="K724" s="43">
        <v>20660.28</v>
      </c>
      <c r="L724" s="51">
        <v>22381.97</v>
      </c>
      <c r="M724" s="33"/>
      <c r="N724" s="30">
        <v>20660.28</v>
      </c>
      <c r="O724" s="30">
        <v>14276.17</v>
      </c>
      <c r="P724" s="30">
        <v>1968</v>
      </c>
      <c r="Q724" s="30">
        <f>(N724+O724*0.18+J724)+(IF((P724-O724*0.18)&gt;0,(P724-O724*0.18),0))</f>
        <v>24951.680599999996</v>
      </c>
      <c r="R724" s="7"/>
      <c r="S724" s="7"/>
      <c r="T724" s="7"/>
      <c r="U724" s="7"/>
      <c r="V724" s="7"/>
      <c r="W724" s="7"/>
      <c r="X724" s="7"/>
      <c r="Y724" s="7"/>
      <c r="Z724" s="7"/>
    </row>
    <row r="725" spans="1:26" ht="9" customHeight="1" x14ac:dyDescent="0.2">
      <c r="A725" s="95"/>
      <c r="B725" s="95"/>
      <c r="C725" s="34" t="s">
        <v>37</v>
      </c>
      <c r="D725" s="35">
        <v>14</v>
      </c>
      <c r="E725" s="36">
        <v>27642520</v>
      </c>
      <c r="F725" s="36"/>
      <c r="G725" s="36"/>
      <c r="H725" s="36">
        <v>12361361</v>
      </c>
      <c r="I725" s="36">
        <v>0</v>
      </c>
      <c r="J725" s="37">
        <v>3333657</v>
      </c>
      <c r="K725" s="36">
        <v>40003880</v>
      </c>
      <c r="L725" s="50">
        <v>43337537</v>
      </c>
      <c r="M725" s="39"/>
      <c r="N725" s="36">
        <v>40003880</v>
      </c>
      <c r="O725" s="36">
        <v>27642520</v>
      </c>
      <c r="P725" s="36">
        <v>3810579</v>
      </c>
      <c r="Q725" s="36">
        <f>Q724*1936.27</f>
        <v>48313190.595361993</v>
      </c>
      <c r="R725" s="7"/>
      <c r="S725" s="7"/>
      <c r="T725" s="7"/>
      <c r="U725" s="7"/>
      <c r="V725" s="7"/>
      <c r="W725" s="7"/>
      <c r="X725" s="7"/>
      <c r="Y725" s="7"/>
      <c r="Z725" s="7"/>
    </row>
    <row r="726" spans="1:26" ht="12.75" customHeight="1" x14ac:dyDescent="0.2">
      <c r="A726" s="95"/>
      <c r="B726" s="95"/>
      <c r="C726" s="40" t="s">
        <v>36</v>
      </c>
      <c r="D726" s="41">
        <v>15</v>
      </c>
      <c r="E726" s="30">
        <v>16084.62</v>
      </c>
      <c r="F726" s="30"/>
      <c r="G726" s="30"/>
      <c r="H726" s="30">
        <v>6384.11</v>
      </c>
      <c r="I726" s="30">
        <v>0</v>
      </c>
      <c r="J726" s="42">
        <v>1872.39</v>
      </c>
      <c r="K726" s="43">
        <v>22468.73</v>
      </c>
      <c r="L726" s="51">
        <v>24341.119999999999</v>
      </c>
      <c r="M726" s="33"/>
      <c r="N726" s="30">
        <v>22468.73</v>
      </c>
      <c r="O726" s="30">
        <v>16084.62</v>
      </c>
      <c r="P726" s="30">
        <v>2424</v>
      </c>
      <c r="Q726" s="30">
        <f>(N726+O726*0.18+J726)+(IF((P726-O726*0.18)&gt;0,(P726-O726*0.18),0))</f>
        <v>27236.351599999998</v>
      </c>
      <c r="R726" s="7"/>
      <c r="S726" s="7"/>
      <c r="T726" s="7"/>
      <c r="U726" s="7"/>
      <c r="V726" s="7"/>
      <c r="W726" s="7"/>
      <c r="X726" s="7"/>
      <c r="Y726" s="7"/>
      <c r="Z726" s="7"/>
    </row>
    <row r="727" spans="1:26" ht="9" customHeight="1" x14ac:dyDescent="0.2">
      <c r="A727" s="95"/>
      <c r="B727" s="95"/>
      <c r="C727" s="34" t="s">
        <v>37</v>
      </c>
      <c r="D727" s="35">
        <v>20</v>
      </c>
      <c r="E727" s="36">
        <v>31144167</v>
      </c>
      <c r="F727" s="36"/>
      <c r="G727" s="36"/>
      <c r="H727" s="36">
        <v>12361361</v>
      </c>
      <c r="I727" s="36">
        <v>0</v>
      </c>
      <c r="J727" s="37">
        <v>3625453</v>
      </c>
      <c r="K727" s="36">
        <v>43505528</v>
      </c>
      <c r="L727" s="50">
        <v>47130980</v>
      </c>
      <c r="M727" s="39"/>
      <c r="N727" s="36">
        <v>43505528</v>
      </c>
      <c r="O727" s="36">
        <v>31144167</v>
      </c>
      <c r="P727" s="36">
        <v>4693518</v>
      </c>
      <c r="Q727" s="36">
        <f>Q726*1936.27</f>
        <v>52736930.512531996</v>
      </c>
      <c r="R727" s="7"/>
      <c r="S727" s="7"/>
      <c r="T727" s="7"/>
      <c r="U727" s="7"/>
      <c r="V727" s="7"/>
      <c r="W727" s="7"/>
      <c r="X727" s="7"/>
      <c r="Y727" s="7"/>
      <c r="Z727" s="7"/>
    </row>
    <row r="728" spans="1:26" ht="12.75" customHeight="1" x14ac:dyDescent="0.2">
      <c r="A728" s="95"/>
      <c r="B728" s="95"/>
      <c r="C728" s="40" t="s">
        <v>36</v>
      </c>
      <c r="D728" s="41">
        <v>21</v>
      </c>
      <c r="E728" s="30">
        <v>17839.82</v>
      </c>
      <c r="F728" s="30"/>
      <c r="G728" s="30"/>
      <c r="H728" s="30">
        <v>6384.11</v>
      </c>
      <c r="I728" s="30">
        <v>0</v>
      </c>
      <c r="J728" s="42">
        <v>2018.66</v>
      </c>
      <c r="K728" s="43">
        <v>24223.93</v>
      </c>
      <c r="L728" s="51">
        <v>26242.59</v>
      </c>
      <c r="M728" s="33"/>
      <c r="N728" s="30">
        <v>24223.93</v>
      </c>
      <c r="O728" s="30">
        <v>17839.82</v>
      </c>
      <c r="P728" s="30">
        <v>2424</v>
      </c>
      <c r="Q728" s="30">
        <f>(N728+O728*0.18+J728)+(IF((P728-O728*0.18)&gt;0,(P728-O728*0.18),0))</f>
        <v>29453.757600000001</v>
      </c>
      <c r="R728" s="7"/>
      <c r="S728" s="7"/>
      <c r="T728" s="7"/>
      <c r="U728" s="7"/>
      <c r="V728" s="7"/>
      <c r="W728" s="7"/>
      <c r="X728" s="7"/>
      <c r="Y728" s="7"/>
      <c r="Z728" s="7"/>
    </row>
    <row r="729" spans="1:26" ht="9" customHeight="1" x14ac:dyDescent="0.2">
      <c r="A729" s="95"/>
      <c r="B729" s="95"/>
      <c r="C729" s="34" t="s">
        <v>37</v>
      </c>
      <c r="D729" s="35">
        <v>27</v>
      </c>
      <c r="E729" s="36">
        <v>34542708</v>
      </c>
      <c r="F729" s="36"/>
      <c r="G729" s="36"/>
      <c r="H729" s="36">
        <v>12361361</v>
      </c>
      <c r="I729" s="36">
        <v>0</v>
      </c>
      <c r="J729" s="37">
        <v>3908671</v>
      </c>
      <c r="K729" s="36">
        <v>46904069</v>
      </c>
      <c r="L729" s="50">
        <v>50812740</v>
      </c>
      <c r="M729" s="39"/>
      <c r="N729" s="36">
        <v>46904069</v>
      </c>
      <c r="O729" s="36">
        <v>34542708</v>
      </c>
      <c r="P729" s="36">
        <v>4693518</v>
      </c>
      <c r="Q729" s="36">
        <f>Q728*1936.27</f>
        <v>57030427.228151999</v>
      </c>
      <c r="R729" s="7"/>
      <c r="S729" s="7"/>
      <c r="T729" s="7"/>
      <c r="U729" s="7"/>
      <c r="V729" s="7"/>
      <c r="W729" s="7"/>
      <c r="X729" s="7"/>
      <c r="Y729" s="7"/>
      <c r="Z729" s="7"/>
    </row>
    <row r="730" spans="1:26" ht="12.75" customHeight="1" x14ac:dyDescent="0.2">
      <c r="A730" s="95"/>
      <c r="B730" s="95"/>
      <c r="C730" s="40" t="s">
        <v>36</v>
      </c>
      <c r="D730" s="41">
        <v>28</v>
      </c>
      <c r="E730" s="30">
        <v>19571.63</v>
      </c>
      <c r="F730" s="30"/>
      <c r="G730" s="30"/>
      <c r="H730" s="30">
        <v>6384.11</v>
      </c>
      <c r="I730" s="30">
        <v>0</v>
      </c>
      <c r="J730" s="42">
        <v>2162.98</v>
      </c>
      <c r="K730" s="43">
        <v>25955.74</v>
      </c>
      <c r="L730" s="51">
        <v>28118.720000000001</v>
      </c>
      <c r="M730" s="33"/>
      <c r="N730" s="30">
        <v>25955.74</v>
      </c>
      <c r="O730" s="30">
        <v>19571.63</v>
      </c>
      <c r="P730" s="30">
        <v>3090</v>
      </c>
      <c r="Q730" s="30">
        <f>(N730+O730*0.18+J730)+(IF((P730-O730*0.18)&gt;0,(P730-O730*0.18),0))</f>
        <v>31641.613400000002</v>
      </c>
      <c r="R730" s="7"/>
      <c r="S730" s="7"/>
      <c r="T730" s="7"/>
      <c r="U730" s="7"/>
      <c r="V730" s="7"/>
      <c r="W730" s="7"/>
      <c r="X730" s="7"/>
      <c r="Y730" s="7"/>
      <c r="Z730" s="7"/>
    </row>
    <row r="731" spans="1:26" ht="9" customHeight="1" x14ac:dyDescent="0.2">
      <c r="A731" s="95"/>
      <c r="B731" s="95"/>
      <c r="C731" s="34" t="s">
        <v>37</v>
      </c>
      <c r="D731" s="35">
        <v>34</v>
      </c>
      <c r="E731" s="36">
        <v>37895960</v>
      </c>
      <c r="F731" s="36"/>
      <c r="G731" s="36"/>
      <c r="H731" s="36">
        <v>12361361</v>
      </c>
      <c r="I731" s="36">
        <v>0</v>
      </c>
      <c r="J731" s="37">
        <v>4188113</v>
      </c>
      <c r="K731" s="36">
        <v>50257321</v>
      </c>
      <c r="L731" s="50">
        <v>54445434</v>
      </c>
      <c r="M731" s="39"/>
      <c r="N731" s="36">
        <v>50257321</v>
      </c>
      <c r="O731" s="36">
        <v>37895960</v>
      </c>
      <c r="P731" s="36">
        <v>5983074</v>
      </c>
      <c r="Q731" s="36">
        <f>Q730*1936.27</f>
        <v>61266706.778018005</v>
      </c>
      <c r="R731" s="7"/>
      <c r="S731" s="7"/>
      <c r="T731" s="7"/>
      <c r="U731" s="7"/>
      <c r="V731" s="7"/>
      <c r="W731" s="7"/>
      <c r="X731" s="7"/>
      <c r="Y731" s="7"/>
      <c r="Z731" s="7"/>
    </row>
    <row r="732" spans="1:26" ht="12.75" customHeight="1" x14ac:dyDescent="0.2">
      <c r="A732" s="95"/>
      <c r="B732" s="95"/>
      <c r="C732" s="40" t="s">
        <v>36</v>
      </c>
      <c r="D732" s="41">
        <v>35</v>
      </c>
      <c r="E732" s="30">
        <v>20861.12</v>
      </c>
      <c r="F732" s="30"/>
      <c r="G732" s="30"/>
      <c r="H732" s="30">
        <v>6384.11</v>
      </c>
      <c r="I732" s="30">
        <v>0</v>
      </c>
      <c r="J732" s="42">
        <v>2270.44</v>
      </c>
      <c r="K732" s="43">
        <v>27245.23</v>
      </c>
      <c r="L732" s="51">
        <v>29515.67</v>
      </c>
      <c r="M732" s="33"/>
      <c r="N732" s="30">
        <v>27245.23</v>
      </c>
      <c r="O732" s="30">
        <v>20861.12</v>
      </c>
      <c r="P732" s="30">
        <v>3090</v>
      </c>
      <c r="Q732" s="30">
        <f>(N732+O732*0.18+J732)+(IF((P732-O732*0.18)&gt;0,(P732-O732*0.18),0))</f>
        <v>33270.671600000001</v>
      </c>
      <c r="R732" s="7"/>
      <c r="S732" s="7"/>
      <c r="T732" s="7"/>
      <c r="U732" s="7"/>
      <c r="V732" s="7"/>
      <c r="W732" s="7"/>
      <c r="X732" s="7"/>
      <c r="Y732" s="7"/>
      <c r="Z732" s="7"/>
    </row>
    <row r="733" spans="1:26" ht="9" customHeight="1" x14ac:dyDescent="0.2">
      <c r="A733" s="110"/>
      <c r="B733" s="110"/>
      <c r="C733" s="47" t="s">
        <v>37</v>
      </c>
      <c r="D733" s="48"/>
      <c r="E733" s="46">
        <v>40392761</v>
      </c>
      <c r="F733" s="46"/>
      <c r="G733" s="46"/>
      <c r="H733" s="46">
        <v>12361361</v>
      </c>
      <c r="I733" s="46">
        <v>0</v>
      </c>
      <c r="J733" s="49">
        <v>4396185</v>
      </c>
      <c r="K733" s="46">
        <v>52754121</v>
      </c>
      <c r="L733" s="52">
        <v>57150306</v>
      </c>
      <c r="M733" s="39"/>
      <c r="N733" s="36">
        <v>52754121</v>
      </c>
      <c r="O733" s="36">
        <v>40392761</v>
      </c>
      <c r="P733" s="36">
        <v>5983074</v>
      </c>
      <c r="Q733" s="36">
        <f>Q732*1936.27</f>
        <v>64421003.298932001</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6"/>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6"/>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6"/>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6"/>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6"/>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6"/>
      <c r="M739" s="39"/>
      <c r="N739" s="96"/>
      <c r="O739" s="96"/>
      <c r="P739" s="96"/>
      <c r="Q739" s="96"/>
      <c r="R739" s="7"/>
      <c r="S739" s="7"/>
      <c r="T739" s="7"/>
      <c r="U739" s="7"/>
      <c r="V739" s="7"/>
      <c r="W739" s="7"/>
      <c r="X739" s="7"/>
      <c r="Y739" s="7"/>
      <c r="Z739" s="7"/>
    </row>
    <row r="740" spans="1:26" ht="12.75" customHeight="1" x14ac:dyDescent="0.2">
      <c r="A740" s="98">
        <v>39539</v>
      </c>
      <c r="B740" s="98">
        <v>39629</v>
      </c>
      <c r="C740" s="28" t="s">
        <v>36</v>
      </c>
      <c r="D740" s="29">
        <v>0</v>
      </c>
      <c r="E740" s="30">
        <v>12320.15</v>
      </c>
      <c r="F740" s="30"/>
      <c r="G740" s="30"/>
      <c r="H740" s="30">
        <v>6384.11</v>
      </c>
      <c r="I740" s="30">
        <v>0</v>
      </c>
      <c r="J740" s="30">
        <v>1558.69</v>
      </c>
      <c r="K740" s="31">
        <v>18704.259999999998</v>
      </c>
      <c r="L740" s="32">
        <v>20262.95</v>
      </c>
      <c r="M740" s="33"/>
      <c r="N740" s="30">
        <v>18704.259999999998</v>
      </c>
      <c r="O740" s="30">
        <v>12320.15</v>
      </c>
      <c r="P740" s="30">
        <v>1968</v>
      </c>
      <c r="Q740" s="30">
        <f>(N740+O740*0.18+J740)+(IF((P740-O740*0.18)&gt;0,(P740-O740*0.18),0))</f>
        <v>22480.576999999997</v>
      </c>
      <c r="R740" s="7"/>
      <c r="S740" s="7"/>
      <c r="T740" s="7"/>
      <c r="U740" s="7"/>
      <c r="V740" s="7"/>
      <c r="W740" s="7"/>
      <c r="X740" s="7"/>
      <c r="Y740" s="7"/>
      <c r="Z740" s="7"/>
    </row>
    <row r="741" spans="1:26" ht="9" customHeight="1" x14ac:dyDescent="0.2">
      <c r="A741" s="95"/>
      <c r="B741" s="95"/>
      <c r="C741" s="34" t="s">
        <v>37</v>
      </c>
      <c r="D741" s="35">
        <v>2</v>
      </c>
      <c r="E741" s="36">
        <v>23855137</v>
      </c>
      <c r="F741" s="36"/>
      <c r="G741" s="36"/>
      <c r="H741" s="36">
        <v>12361361</v>
      </c>
      <c r="I741" s="36">
        <v>0</v>
      </c>
      <c r="J741" s="37">
        <v>3018045</v>
      </c>
      <c r="K741" s="36">
        <v>36216498</v>
      </c>
      <c r="L741" s="50">
        <v>39234542</v>
      </c>
      <c r="M741" s="39"/>
      <c r="N741" s="36">
        <v>36216498</v>
      </c>
      <c r="O741" s="36">
        <v>23855137</v>
      </c>
      <c r="P741" s="36">
        <v>3810579</v>
      </c>
      <c r="Q741" s="36">
        <f>Q740*1936.27</f>
        <v>43528466.827789992</v>
      </c>
      <c r="R741" s="7"/>
      <c r="S741" s="7"/>
      <c r="T741" s="7"/>
      <c r="U741" s="7"/>
      <c r="V741" s="7"/>
      <c r="W741" s="7"/>
      <c r="X741" s="7"/>
      <c r="Y741" s="7"/>
      <c r="Z741" s="7"/>
    </row>
    <row r="742" spans="1:26" ht="12.75" customHeight="1" x14ac:dyDescent="0.2">
      <c r="A742" s="156">
        <v>39539</v>
      </c>
      <c r="B742" s="156">
        <v>39629</v>
      </c>
      <c r="C742" s="40" t="s">
        <v>36</v>
      </c>
      <c r="D742" s="41">
        <v>3</v>
      </c>
      <c r="E742" s="30">
        <v>12822.88</v>
      </c>
      <c r="F742" s="30"/>
      <c r="G742" s="30"/>
      <c r="H742" s="30">
        <v>6384.11</v>
      </c>
      <c r="I742" s="30">
        <v>0</v>
      </c>
      <c r="J742" s="42">
        <v>1600.58</v>
      </c>
      <c r="K742" s="43">
        <v>19206.990000000002</v>
      </c>
      <c r="L742" s="51">
        <v>20807.57</v>
      </c>
      <c r="M742" s="33"/>
      <c r="N742" s="30">
        <v>19206.990000000002</v>
      </c>
      <c r="O742" s="30">
        <v>12822.88</v>
      </c>
      <c r="P742" s="30">
        <v>1968</v>
      </c>
      <c r="Q742" s="30">
        <f>(N742+O742*0.18+J742)+(IF((P742-O742*0.18)&gt;0,(P742-O742*0.18),0))</f>
        <v>23115.688399999999</v>
      </c>
      <c r="R742" s="7"/>
      <c r="S742" s="7"/>
      <c r="T742" s="7"/>
      <c r="U742" s="7"/>
      <c r="V742" s="7"/>
      <c r="W742" s="7"/>
      <c r="X742" s="7"/>
      <c r="Y742" s="7"/>
      <c r="Z742" s="7"/>
    </row>
    <row r="743" spans="1:26" ht="9" customHeight="1" x14ac:dyDescent="0.2">
      <c r="A743" s="95"/>
      <c r="B743" s="95"/>
      <c r="C743" s="34" t="s">
        <v>37</v>
      </c>
      <c r="D743" s="35">
        <v>8</v>
      </c>
      <c r="E743" s="36">
        <v>24828558</v>
      </c>
      <c r="F743" s="36"/>
      <c r="G743" s="36"/>
      <c r="H743" s="36">
        <v>12361361</v>
      </c>
      <c r="I743" s="36">
        <v>0</v>
      </c>
      <c r="J743" s="37">
        <v>3099155</v>
      </c>
      <c r="K743" s="36">
        <v>37189919</v>
      </c>
      <c r="L743" s="50">
        <v>40289074</v>
      </c>
      <c r="M743" s="39"/>
      <c r="N743" s="36">
        <v>37189919</v>
      </c>
      <c r="O743" s="36">
        <v>24828558</v>
      </c>
      <c r="P743" s="36">
        <v>3810579</v>
      </c>
      <c r="Q743" s="36">
        <f>Q742*1936.27</f>
        <v>44758213.978267998</v>
      </c>
      <c r="R743" s="7"/>
      <c r="S743" s="7"/>
      <c r="T743" s="7"/>
      <c r="U743" s="7"/>
      <c r="V743" s="7"/>
      <c r="W743" s="7"/>
      <c r="X743" s="7"/>
      <c r="Y743" s="7"/>
      <c r="Z743" s="7"/>
    </row>
    <row r="744" spans="1:26" ht="12.75" customHeight="1" x14ac:dyDescent="0.2">
      <c r="A744" s="95"/>
      <c r="B744" s="95"/>
      <c r="C744" s="40" t="s">
        <v>36</v>
      </c>
      <c r="D744" s="41">
        <v>9</v>
      </c>
      <c r="E744" s="30">
        <v>14371.09</v>
      </c>
      <c r="F744" s="30"/>
      <c r="G744" s="30"/>
      <c r="H744" s="30">
        <v>6384.11</v>
      </c>
      <c r="I744" s="30">
        <v>0</v>
      </c>
      <c r="J744" s="42">
        <v>1729.6</v>
      </c>
      <c r="K744" s="43">
        <v>20755.2</v>
      </c>
      <c r="L744" s="51">
        <v>22484.799999999999</v>
      </c>
      <c r="M744" s="33"/>
      <c r="N744" s="30">
        <v>20755.2</v>
      </c>
      <c r="O744" s="30">
        <v>14371.09</v>
      </c>
      <c r="P744" s="30">
        <v>1968</v>
      </c>
      <c r="Q744" s="30">
        <f>(N744+O744*0.18+J744)+(IF((P744-O744*0.18)&gt;0,(P744-O744*0.18),0))</f>
        <v>25071.5962</v>
      </c>
      <c r="R744" s="7"/>
      <c r="S744" s="7"/>
      <c r="T744" s="7"/>
      <c r="U744" s="7"/>
      <c r="V744" s="7"/>
      <c r="W744" s="7"/>
      <c r="X744" s="7"/>
      <c r="Y744" s="7"/>
      <c r="Z744" s="7"/>
    </row>
    <row r="745" spans="1:26" ht="9" customHeight="1" x14ac:dyDescent="0.2">
      <c r="A745" s="95"/>
      <c r="B745" s="95"/>
      <c r="C745" s="34" t="s">
        <v>37</v>
      </c>
      <c r="D745" s="35">
        <v>14</v>
      </c>
      <c r="E745" s="36">
        <v>27826310</v>
      </c>
      <c r="F745" s="36"/>
      <c r="G745" s="36"/>
      <c r="H745" s="36">
        <v>12361361</v>
      </c>
      <c r="I745" s="36">
        <v>0</v>
      </c>
      <c r="J745" s="37">
        <v>3348973</v>
      </c>
      <c r="K745" s="36">
        <v>40187671</v>
      </c>
      <c r="L745" s="50">
        <v>43536644</v>
      </c>
      <c r="M745" s="39"/>
      <c r="N745" s="36">
        <v>40187671</v>
      </c>
      <c r="O745" s="36">
        <v>27826310</v>
      </c>
      <c r="P745" s="36">
        <v>3810579</v>
      </c>
      <c r="Q745" s="36">
        <f>Q744*1936.27</f>
        <v>48545379.574174002</v>
      </c>
      <c r="R745" s="7"/>
      <c r="S745" s="7"/>
      <c r="T745" s="7"/>
      <c r="U745" s="7"/>
      <c r="V745" s="7"/>
      <c r="W745" s="7"/>
      <c r="X745" s="7"/>
      <c r="Y745" s="7"/>
      <c r="Z745" s="7"/>
    </row>
    <row r="746" spans="1:26" ht="12.75" customHeight="1" x14ac:dyDescent="0.2">
      <c r="A746" s="95"/>
      <c r="B746" s="95"/>
      <c r="C746" s="40" t="s">
        <v>36</v>
      </c>
      <c r="D746" s="41">
        <v>15</v>
      </c>
      <c r="E746" s="30">
        <v>16179.54</v>
      </c>
      <c r="F746" s="30"/>
      <c r="G746" s="30"/>
      <c r="H746" s="30">
        <v>6384.11</v>
      </c>
      <c r="I746" s="30">
        <v>0</v>
      </c>
      <c r="J746" s="42">
        <v>1880.3</v>
      </c>
      <c r="K746" s="43">
        <v>22563.65</v>
      </c>
      <c r="L746" s="51">
        <v>24443.95</v>
      </c>
      <c r="M746" s="33"/>
      <c r="N746" s="30">
        <v>22563.65</v>
      </c>
      <c r="O746" s="30">
        <v>16179.54</v>
      </c>
      <c r="P746" s="30">
        <v>2424</v>
      </c>
      <c r="Q746" s="30">
        <f>(N746+O746*0.18+J746)+(IF((P746-O746*0.18)&gt;0,(P746-O746*0.18),0))</f>
        <v>27356.267200000002</v>
      </c>
      <c r="R746" s="7"/>
      <c r="S746" s="7"/>
      <c r="T746" s="7"/>
      <c r="U746" s="7"/>
      <c r="V746" s="7"/>
      <c r="W746" s="7"/>
      <c r="X746" s="7"/>
      <c r="Y746" s="7"/>
      <c r="Z746" s="7"/>
    </row>
    <row r="747" spans="1:26" ht="9" customHeight="1" x14ac:dyDescent="0.2">
      <c r="A747" s="95"/>
      <c r="B747" s="95"/>
      <c r="C747" s="34" t="s">
        <v>37</v>
      </c>
      <c r="D747" s="35">
        <v>20</v>
      </c>
      <c r="E747" s="36">
        <v>31327958</v>
      </c>
      <c r="F747" s="36"/>
      <c r="G747" s="36"/>
      <c r="H747" s="36">
        <v>12361361</v>
      </c>
      <c r="I747" s="36">
        <v>0</v>
      </c>
      <c r="J747" s="37">
        <v>3640768</v>
      </c>
      <c r="K747" s="36">
        <v>43689319</v>
      </c>
      <c r="L747" s="50">
        <v>47330087</v>
      </c>
      <c r="M747" s="39"/>
      <c r="N747" s="36">
        <v>43689319</v>
      </c>
      <c r="O747" s="36">
        <v>31327958</v>
      </c>
      <c r="P747" s="36">
        <v>4693518</v>
      </c>
      <c r="Q747" s="36">
        <f>Q746*1936.27</f>
        <v>52969119.491344005</v>
      </c>
      <c r="R747" s="7"/>
      <c r="S747" s="7"/>
      <c r="T747" s="7"/>
      <c r="U747" s="7"/>
      <c r="V747" s="7"/>
      <c r="W747" s="7"/>
      <c r="X747" s="7"/>
      <c r="Y747" s="7"/>
      <c r="Z747" s="7"/>
    </row>
    <row r="748" spans="1:26" ht="12.75" customHeight="1" x14ac:dyDescent="0.2">
      <c r="A748" s="95"/>
      <c r="B748" s="95"/>
      <c r="C748" s="40" t="s">
        <v>36</v>
      </c>
      <c r="D748" s="41">
        <v>21</v>
      </c>
      <c r="E748" s="30">
        <v>17934.740000000002</v>
      </c>
      <c r="F748" s="30"/>
      <c r="G748" s="30"/>
      <c r="H748" s="30">
        <v>6384.11</v>
      </c>
      <c r="I748" s="30">
        <v>0</v>
      </c>
      <c r="J748" s="42">
        <v>2026.57</v>
      </c>
      <c r="K748" s="43">
        <v>24318.85</v>
      </c>
      <c r="L748" s="51">
        <v>26345.42</v>
      </c>
      <c r="M748" s="33"/>
      <c r="N748" s="30">
        <v>24318.85</v>
      </c>
      <c r="O748" s="30">
        <v>17934.740000000002</v>
      </c>
      <c r="P748" s="30">
        <v>2424</v>
      </c>
      <c r="Q748" s="30">
        <f>(N748+O748*0.18+J748)+(IF((P748-O748*0.18)&gt;0,(P748-O748*0.18),0))</f>
        <v>29573.673199999997</v>
      </c>
      <c r="R748" s="7"/>
      <c r="S748" s="7"/>
      <c r="T748" s="7"/>
      <c r="U748" s="7"/>
      <c r="V748" s="7"/>
      <c r="W748" s="7"/>
      <c r="X748" s="7"/>
      <c r="Y748" s="7"/>
      <c r="Z748" s="7"/>
    </row>
    <row r="749" spans="1:26" ht="9" customHeight="1" x14ac:dyDescent="0.2">
      <c r="A749" s="95"/>
      <c r="B749" s="95"/>
      <c r="C749" s="34" t="s">
        <v>37</v>
      </c>
      <c r="D749" s="35">
        <v>27</v>
      </c>
      <c r="E749" s="36">
        <v>34726499</v>
      </c>
      <c r="F749" s="36"/>
      <c r="G749" s="36"/>
      <c r="H749" s="36">
        <v>12361361</v>
      </c>
      <c r="I749" s="36">
        <v>0</v>
      </c>
      <c r="J749" s="37">
        <v>3923987</v>
      </c>
      <c r="K749" s="36">
        <v>47087860</v>
      </c>
      <c r="L749" s="50">
        <v>51011846</v>
      </c>
      <c r="M749" s="39"/>
      <c r="N749" s="36">
        <v>47087860</v>
      </c>
      <c r="O749" s="36">
        <v>34726499</v>
      </c>
      <c r="P749" s="36">
        <v>4693518</v>
      </c>
      <c r="Q749" s="36">
        <f>Q748*1936.27</f>
        <v>57262616.206963994</v>
      </c>
      <c r="R749" s="7"/>
      <c r="S749" s="7"/>
      <c r="T749" s="7"/>
      <c r="U749" s="7"/>
      <c r="V749" s="7"/>
      <c r="W749" s="7"/>
      <c r="X749" s="7"/>
      <c r="Y749" s="7"/>
      <c r="Z749" s="7"/>
    </row>
    <row r="750" spans="1:26" ht="12.75" customHeight="1" x14ac:dyDescent="0.2">
      <c r="A750" s="95"/>
      <c r="B750" s="95"/>
      <c r="C750" s="40" t="s">
        <v>36</v>
      </c>
      <c r="D750" s="41">
        <v>28</v>
      </c>
      <c r="E750" s="30">
        <v>19666.55</v>
      </c>
      <c r="F750" s="30"/>
      <c r="G750" s="30"/>
      <c r="H750" s="30">
        <v>6384.11</v>
      </c>
      <c r="I750" s="30">
        <v>0</v>
      </c>
      <c r="J750" s="42">
        <v>2170.89</v>
      </c>
      <c r="K750" s="43">
        <v>26050.66</v>
      </c>
      <c r="L750" s="51">
        <v>28221.55</v>
      </c>
      <c r="M750" s="33"/>
      <c r="N750" s="30">
        <v>26050.66</v>
      </c>
      <c r="O750" s="30">
        <v>19666.55</v>
      </c>
      <c r="P750" s="30">
        <v>3090</v>
      </c>
      <c r="Q750" s="30">
        <f>(N750+O750*0.18+J750)+(IF((P750-O750*0.18)&gt;0,(P750-O750*0.18),0))</f>
        <v>31761.528999999999</v>
      </c>
      <c r="R750" s="7"/>
      <c r="S750" s="7"/>
      <c r="T750" s="7"/>
      <c r="U750" s="7"/>
      <c r="V750" s="7"/>
      <c r="W750" s="7"/>
      <c r="X750" s="7"/>
      <c r="Y750" s="7"/>
      <c r="Z750" s="7"/>
    </row>
    <row r="751" spans="1:26" ht="9" customHeight="1" x14ac:dyDescent="0.2">
      <c r="A751" s="95"/>
      <c r="B751" s="95"/>
      <c r="C751" s="34" t="s">
        <v>37</v>
      </c>
      <c r="D751" s="35">
        <v>34</v>
      </c>
      <c r="E751" s="36">
        <v>38079751</v>
      </c>
      <c r="F751" s="36"/>
      <c r="G751" s="36"/>
      <c r="H751" s="36">
        <v>12361361</v>
      </c>
      <c r="I751" s="36">
        <v>0</v>
      </c>
      <c r="J751" s="37">
        <v>4203429</v>
      </c>
      <c r="K751" s="36">
        <v>50441111</v>
      </c>
      <c r="L751" s="50">
        <v>54644541</v>
      </c>
      <c r="M751" s="39"/>
      <c r="N751" s="36">
        <v>50441111</v>
      </c>
      <c r="O751" s="36">
        <v>38079751</v>
      </c>
      <c r="P751" s="36">
        <v>5983074</v>
      </c>
      <c r="Q751" s="36">
        <f>Q750*1936.27</f>
        <v>61498895.756829999</v>
      </c>
      <c r="R751" s="7"/>
      <c r="S751" s="7"/>
      <c r="T751" s="7"/>
      <c r="U751" s="7"/>
      <c r="V751" s="7"/>
      <c r="W751" s="7"/>
      <c r="X751" s="7"/>
      <c r="Y751" s="7"/>
      <c r="Z751" s="7"/>
    </row>
    <row r="752" spans="1:26" ht="12.75" customHeight="1" x14ac:dyDescent="0.2">
      <c r="A752" s="95"/>
      <c r="B752" s="95"/>
      <c r="C752" s="40" t="s">
        <v>36</v>
      </c>
      <c r="D752" s="41">
        <v>35</v>
      </c>
      <c r="E752" s="30">
        <v>20956.04</v>
      </c>
      <c r="F752" s="30"/>
      <c r="G752" s="30"/>
      <c r="H752" s="30">
        <v>6384.11</v>
      </c>
      <c r="I752" s="30">
        <v>0</v>
      </c>
      <c r="J752" s="42">
        <v>2278.35</v>
      </c>
      <c r="K752" s="43">
        <v>27340.15</v>
      </c>
      <c r="L752" s="51">
        <v>29618.5</v>
      </c>
      <c r="M752" s="33"/>
      <c r="N752" s="30">
        <v>27340.15</v>
      </c>
      <c r="O752" s="30">
        <v>20956.04</v>
      </c>
      <c r="P752" s="30">
        <v>3090</v>
      </c>
      <c r="Q752" s="30">
        <f>(N752+O752*0.18+J752)+(IF((P752-O752*0.18)&gt;0,(P752-O752*0.18),0))</f>
        <v>33390.587200000002</v>
      </c>
      <c r="R752" s="7"/>
      <c r="S752" s="7"/>
      <c r="T752" s="7"/>
      <c r="U752" s="7"/>
      <c r="V752" s="7"/>
      <c r="W752" s="7"/>
      <c r="X752" s="7"/>
      <c r="Y752" s="7"/>
      <c r="Z752" s="7"/>
    </row>
    <row r="753" spans="1:26" ht="9" customHeight="1" x14ac:dyDescent="0.2">
      <c r="A753" s="110"/>
      <c r="B753" s="110"/>
      <c r="C753" s="47" t="s">
        <v>37</v>
      </c>
      <c r="D753" s="48"/>
      <c r="E753" s="36">
        <v>40576552</v>
      </c>
      <c r="F753" s="36"/>
      <c r="G753" s="36"/>
      <c r="H753" s="36">
        <v>12361361</v>
      </c>
      <c r="I753" s="36">
        <v>0</v>
      </c>
      <c r="J753" s="49">
        <v>4411501</v>
      </c>
      <c r="K753" s="46">
        <v>52937912</v>
      </c>
      <c r="L753" s="52">
        <v>57349413</v>
      </c>
      <c r="M753" s="39"/>
      <c r="N753" s="36">
        <v>52937912</v>
      </c>
      <c r="O753" s="36">
        <v>40576552</v>
      </c>
      <c r="P753" s="36">
        <v>5983074</v>
      </c>
      <c r="Q753" s="36">
        <f>Q752*1936.27</f>
        <v>64653192.277744003</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6"/>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6"/>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6"/>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6"/>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6"/>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6"/>
      <c r="M759" s="39"/>
      <c r="N759" s="96"/>
      <c r="O759" s="96"/>
      <c r="P759" s="96"/>
      <c r="Q759" s="96"/>
      <c r="R759" s="7"/>
      <c r="S759" s="7"/>
      <c r="T759" s="7"/>
      <c r="U759" s="7"/>
      <c r="V759" s="7"/>
      <c r="W759" s="7"/>
      <c r="X759" s="7"/>
      <c r="Y759" s="7"/>
      <c r="Z759" s="7"/>
    </row>
    <row r="760" spans="1:26" ht="12.75" customHeight="1" x14ac:dyDescent="0.2">
      <c r="A760" s="98">
        <v>39630</v>
      </c>
      <c r="B760" s="98">
        <v>39813</v>
      </c>
      <c r="C760" s="28" t="s">
        <v>36</v>
      </c>
      <c r="D760" s="29">
        <v>0</v>
      </c>
      <c r="E760" s="30">
        <v>12383.39</v>
      </c>
      <c r="F760" s="30"/>
      <c r="G760" s="30"/>
      <c r="H760" s="30">
        <v>6384.11</v>
      </c>
      <c r="I760" s="30">
        <v>0</v>
      </c>
      <c r="J760" s="30">
        <v>1563.96</v>
      </c>
      <c r="K760" s="31">
        <v>18767.5</v>
      </c>
      <c r="L760" s="32">
        <v>20331.46</v>
      </c>
      <c r="M760" s="33"/>
      <c r="N760" s="30">
        <v>18767.5</v>
      </c>
      <c r="O760" s="30">
        <v>12383.39</v>
      </c>
      <c r="P760" s="30">
        <v>1968</v>
      </c>
      <c r="Q760" s="30">
        <f>(N760+O760*0.18+J760)+(IF((P760-O760*0.18)&gt;0,(P760-O760*0.18),0))</f>
        <v>22560.4702</v>
      </c>
      <c r="R760" s="7"/>
      <c r="S760" s="7"/>
      <c r="T760" s="7"/>
      <c r="U760" s="7"/>
      <c r="V760" s="7"/>
      <c r="W760" s="7"/>
      <c r="X760" s="7"/>
      <c r="Y760" s="7"/>
      <c r="Z760" s="7"/>
    </row>
    <row r="761" spans="1:26" ht="9" customHeight="1" x14ac:dyDescent="0.2">
      <c r="A761" s="95"/>
      <c r="B761" s="95"/>
      <c r="C761" s="34" t="s">
        <v>37</v>
      </c>
      <c r="D761" s="35">
        <v>2</v>
      </c>
      <c r="E761" s="36">
        <v>23977587</v>
      </c>
      <c r="F761" s="36"/>
      <c r="G761" s="36"/>
      <c r="H761" s="36">
        <v>12361361</v>
      </c>
      <c r="I761" s="36">
        <v>0</v>
      </c>
      <c r="J761" s="37">
        <v>3028249</v>
      </c>
      <c r="K761" s="36">
        <v>36338947</v>
      </c>
      <c r="L761" s="50">
        <v>39367196</v>
      </c>
      <c r="M761" s="39"/>
      <c r="N761" s="36">
        <v>36338947</v>
      </c>
      <c r="O761" s="36">
        <v>23977587</v>
      </c>
      <c r="P761" s="36">
        <v>3810579</v>
      </c>
      <c r="Q761" s="36">
        <f>Q760*1936.27</f>
        <v>43683161.634153999</v>
      </c>
      <c r="R761" s="7"/>
      <c r="S761" s="7"/>
      <c r="T761" s="7"/>
      <c r="U761" s="7"/>
      <c r="V761" s="7"/>
      <c r="W761" s="7"/>
      <c r="X761" s="7"/>
      <c r="Y761" s="7"/>
      <c r="Z761" s="7"/>
    </row>
    <row r="762" spans="1:26" ht="12.75" customHeight="1" x14ac:dyDescent="0.2">
      <c r="A762" s="156">
        <v>39630</v>
      </c>
      <c r="B762" s="156">
        <v>39813</v>
      </c>
      <c r="C762" s="40" t="s">
        <v>36</v>
      </c>
      <c r="D762" s="41">
        <v>3</v>
      </c>
      <c r="E762" s="30">
        <v>12886.12</v>
      </c>
      <c r="F762" s="30"/>
      <c r="G762" s="30"/>
      <c r="H762" s="30">
        <v>6384.11</v>
      </c>
      <c r="I762" s="30">
        <v>0</v>
      </c>
      <c r="J762" s="42">
        <v>1605.85</v>
      </c>
      <c r="K762" s="43">
        <v>19270.23</v>
      </c>
      <c r="L762" s="51">
        <v>20876.080000000002</v>
      </c>
      <c r="M762" s="33"/>
      <c r="N762" s="30">
        <v>19270.23</v>
      </c>
      <c r="O762" s="30">
        <v>12886.12</v>
      </c>
      <c r="P762" s="30">
        <v>1968</v>
      </c>
      <c r="Q762" s="30">
        <f>(N762+O762*0.18+J762)+(IF((P762-O762*0.18)&gt;0,(P762-O762*0.18),0))</f>
        <v>23195.581599999998</v>
      </c>
      <c r="R762" s="7"/>
      <c r="S762" s="7"/>
      <c r="T762" s="7"/>
      <c r="U762" s="7"/>
      <c r="V762" s="7"/>
      <c r="W762" s="7"/>
      <c r="X762" s="7"/>
      <c r="Y762" s="7"/>
      <c r="Z762" s="7"/>
    </row>
    <row r="763" spans="1:26" ht="9" customHeight="1" x14ac:dyDescent="0.2">
      <c r="A763" s="95"/>
      <c r="B763" s="95"/>
      <c r="C763" s="34" t="s">
        <v>37</v>
      </c>
      <c r="D763" s="35">
        <v>8</v>
      </c>
      <c r="E763" s="36">
        <v>24951008</v>
      </c>
      <c r="F763" s="36"/>
      <c r="G763" s="36"/>
      <c r="H763" s="36">
        <v>12361361</v>
      </c>
      <c r="I763" s="36">
        <v>0</v>
      </c>
      <c r="J763" s="37">
        <v>3109359</v>
      </c>
      <c r="K763" s="36">
        <v>37312368</v>
      </c>
      <c r="L763" s="50">
        <v>40421727</v>
      </c>
      <c r="M763" s="39"/>
      <c r="N763" s="36">
        <v>37312368</v>
      </c>
      <c r="O763" s="36">
        <v>24951008</v>
      </c>
      <c r="P763" s="36">
        <v>3810579</v>
      </c>
      <c r="Q763" s="36">
        <f>Q762*1936.27</f>
        <v>44912908.784631997</v>
      </c>
      <c r="R763" s="7"/>
      <c r="S763" s="7"/>
      <c r="T763" s="7"/>
      <c r="U763" s="7"/>
      <c r="V763" s="7"/>
      <c r="W763" s="7"/>
      <c r="X763" s="7"/>
      <c r="Y763" s="7"/>
      <c r="Z763" s="7"/>
    </row>
    <row r="764" spans="1:26" ht="12.75" customHeight="1" x14ac:dyDescent="0.2">
      <c r="A764" s="95"/>
      <c r="B764" s="95"/>
      <c r="C764" s="40" t="s">
        <v>36</v>
      </c>
      <c r="D764" s="41">
        <v>9</v>
      </c>
      <c r="E764" s="30">
        <v>14434.33</v>
      </c>
      <c r="F764" s="30"/>
      <c r="G764" s="30"/>
      <c r="H764" s="30">
        <v>6384.11</v>
      </c>
      <c r="I764" s="30">
        <v>0</v>
      </c>
      <c r="J764" s="42">
        <v>1734.87</v>
      </c>
      <c r="K764" s="43">
        <v>20818.439999999999</v>
      </c>
      <c r="L764" s="51">
        <v>22553.31</v>
      </c>
      <c r="M764" s="33"/>
      <c r="N764" s="30">
        <v>20818.439999999999</v>
      </c>
      <c r="O764" s="30">
        <v>14434.33</v>
      </c>
      <c r="P764" s="30">
        <v>1968</v>
      </c>
      <c r="Q764" s="30">
        <f>(N764+O764*0.18+J764)+(IF((P764-O764*0.18)&gt;0,(P764-O764*0.18),0))</f>
        <v>25151.489399999999</v>
      </c>
      <c r="R764" s="7"/>
      <c r="S764" s="7"/>
      <c r="T764" s="7"/>
      <c r="U764" s="7"/>
      <c r="V764" s="7"/>
      <c r="W764" s="7"/>
      <c r="X764" s="7"/>
      <c r="Y764" s="7"/>
      <c r="Z764" s="7"/>
    </row>
    <row r="765" spans="1:26" ht="9" customHeight="1" x14ac:dyDescent="0.2">
      <c r="A765" s="95"/>
      <c r="B765" s="95"/>
      <c r="C765" s="34" t="s">
        <v>37</v>
      </c>
      <c r="D765" s="35">
        <v>14</v>
      </c>
      <c r="E765" s="36">
        <v>27948760</v>
      </c>
      <c r="F765" s="36"/>
      <c r="G765" s="36"/>
      <c r="H765" s="36">
        <v>12361361</v>
      </c>
      <c r="I765" s="36">
        <v>0</v>
      </c>
      <c r="J765" s="37">
        <v>3359177</v>
      </c>
      <c r="K765" s="36">
        <v>40310121</v>
      </c>
      <c r="L765" s="50">
        <v>43669298</v>
      </c>
      <c r="M765" s="39"/>
      <c r="N765" s="36">
        <v>40310121</v>
      </c>
      <c r="O765" s="36">
        <v>27948760</v>
      </c>
      <c r="P765" s="36">
        <v>3810579</v>
      </c>
      <c r="Q765" s="36">
        <f>Q764*1936.27</f>
        <v>48700074.380537994</v>
      </c>
      <c r="R765" s="7"/>
      <c r="S765" s="7"/>
      <c r="T765" s="7"/>
      <c r="U765" s="7"/>
      <c r="V765" s="7"/>
      <c r="W765" s="7"/>
      <c r="X765" s="7"/>
      <c r="Y765" s="7"/>
      <c r="Z765" s="7"/>
    </row>
    <row r="766" spans="1:26" ht="12.75" customHeight="1" x14ac:dyDescent="0.2">
      <c r="A766" s="95"/>
      <c r="B766" s="95"/>
      <c r="C766" s="40" t="s">
        <v>36</v>
      </c>
      <c r="D766" s="41">
        <v>15</v>
      </c>
      <c r="E766" s="30">
        <v>16242.78</v>
      </c>
      <c r="F766" s="30"/>
      <c r="G766" s="30"/>
      <c r="H766" s="30">
        <v>6384.11</v>
      </c>
      <c r="I766" s="30">
        <v>0</v>
      </c>
      <c r="J766" s="42">
        <v>1885.57</v>
      </c>
      <c r="K766" s="43">
        <v>22626.89</v>
      </c>
      <c r="L766" s="51">
        <v>24512.46</v>
      </c>
      <c r="M766" s="33"/>
      <c r="N766" s="30">
        <v>22626.89</v>
      </c>
      <c r="O766" s="30">
        <v>16242.78</v>
      </c>
      <c r="P766" s="30">
        <v>2424</v>
      </c>
      <c r="Q766" s="30">
        <f>(N766+O766*0.18+J766)+(IF((P766-O766*0.18)&gt;0,(P766-O766*0.18),0))</f>
        <v>27436.160400000001</v>
      </c>
      <c r="R766" s="7"/>
      <c r="S766" s="7"/>
      <c r="T766" s="7"/>
      <c r="U766" s="7"/>
      <c r="V766" s="7"/>
      <c r="W766" s="7"/>
      <c r="X766" s="7"/>
      <c r="Y766" s="7"/>
      <c r="Z766" s="7"/>
    </row>
    <row r="767" spans="1:26" ht="9" customHeight="1" x14ac:dyDescent="0.2">
      <c r="A767" s="95"/>
      <c r="B767" s="95"/>
      <c r="C767" s="34" t="s">
        <v>37</v>
      </c>
      <c r="D767" s="35">
        <v>20</v>
      </c>
      <c r="E767" s="36">
        <v>31450408</v>
      </c>
      <c r="F767" s="36"/>
      <c r="G767" s="36"/>
      <c r="H767" s="36">
        <v>12361361</v>
      </c>
      <c r="I767" s="36">
        <v>0</v>
      </c>
      <c r="J767" s="37">
        <v>3650973</v>
      </c>
      <c r="K767" s="36">
        <v>43811768</v>
      </c>
      <c r="L767" s="50">
        <v>47462741</v>
      </c>
      <c r="M767" s="39"/>
      <c r="N767" s="36">
        <v>43811768</v>
      </c>
      <c r="O767" s="36">
        <v>31450408</v>
      </c>
      <c r="P767" s="36">
        <v>4693518</v>
      </c>
      <c r="Q767" s="36">
        <f>Q766*1936.27</f>
        <v>53123814.297707997</v>
      </c>
      <c r="R767" s="7"/>
      <c r="S767" s="7"/>
      <c r="T767" s="7"/>
      <c r="U767" s="7"/>
      <c r="V767" s="7"/>
      <c r="W767" s="7"/>
      <c r="X767" s="7"/>
      <c r="Y767" s="7"/>
      <c r="Z767" s="7"/>
    </row>
    <row r="768" spans="1:26" ht="12.75" customHeight="1" x14ac:dyDescent="0.2">
      <c r="A768" s="95"/>
      <c r="B768" s="95"/>
      <c r="C768" s="40" t="s">
        <v>36</v>
      </c>
      <c r="D768" s="41">
        <v>21</v>
      </c>
      <c r="E768" s="30">
        <v>17997.98</v>
      </c>
      <c r="F768" s="30"/>
      <c r="G768" s="30"/>
      <c r="H768" s="30">
        <v>6384.11</v>
      </c>
      <c r="I768" s="30">
        <v>0</v>
      </c>
      <c r="J768" s="42">
        <v>2031.84</v>
      </c>
      <c r="K768" s="43">
        <v>24382.09</v>
      </c>
      <c r="L768" s="51">
        <v>26413.93</v>
      </c>
      <c r="M768" s="33"/>
      <c r="N768" s="30">
        <v>24382.09</v>
      </c>
      <c r="O768" s="30">
        <v>17997.98</v>
      </c>
      <c r="P768" s="30">
        <v>2424</v>
      </c>
      <c r="Q768" s="30">
        <f>(N768+O768*0.18+J768)+(IF((P768-O768*0.18)&gt;0,(P768-O768*0.18),0))</f>
        <v>29653.5664</v>
      </c>
      <c r="R768" s="7"/>
      <c r="S768" s="7"/>
      <c r="T768" s="7"/>
      <c r="U768" s="7"/>
      <c r="V768" s="7"/>
      <c r="W768" s="7"/>
      <c r="X768" s="7"/>
      <c r="Y768" s="7"/>
      <c r="Z768" s="7"/>
    </row>
    <row r="769" spans="1:26" ht="9" customHeight="1" x14ac:dyDescent="0.2">
      <c r="A769" s="95"/>
      <c r="B769" s="95"/>
      <c r="C769" s="34" t="s">
        <v>37</v>
      </c>
      <c r="D769" s="35">
        <v>27</v>
      </c>
      <c r="E769" s="36">
        <v>34848949</v>
      </c>
      <c r="F769" s="36"/>
      <c r="G769" s="36"/>
      <c r="H769" s="36">
        <v>12361361</v>
      </c>
      <c r="I769" s="36">
        <v>0</v>
      </c>
      <c r="J769" s="37">
        <v>3934191</v>
      </c>
      <c r="K769" s="36">
        <v>47210309</v>
      </c>
      <c r="L769" s="50">
        <v>51144500</v>
      </c>
      <c r="M769" s="39"/>
      <c r="N769" s="36">
        <v>47210309</v>
      </c>
      <c r="O769" s="36">
        <v>34848949</v>
      </c>
      <c r="P769" s="36">
        <v>4693518</v>
      </c>
      <c r="Q769" s="36">
        <f>Q768*1936.27</f>
        <v>57417311.013328001</v>
      </c>
      <c r="R769" s="7"/>
      <c r="S769" s="7"/>
      <c r="T769" s="7"/>
      <c r="U769" s="7"/>
      <c r="V769" s="7"/>
      <c r="W769" s="7"/>
      <c r="X769" s="7"/>
      <c r="Y769" s="7"/>
      <c r="Z769" s="7"/>
    </row>
    <row r="770" spans="1:26" ht="12.75" customHeight="1" x14ac:dyDescent="0.2">
      <c r="A770" s="95"/>
      <c r="B770" s="95"/>
      <c r="C770" s="40" t="s">
        <v>36</v>
      </c>
      <c r="D770" s="41">
        <v>28</v>
      </c>
      <c r="E770" s="30">
        <v>19729.79</v>
      </c>
      <c r="F770" s="30"/>
      <c r="G770" s="30"/>
      <c r="H770" s="30">
        <v>6384.11</v>
      </c>
      <c r="I770" s="30">
        <v>0</v>
      </c>
      <c r="J770" s="42">
        <v>2176.16</v>
      </c>
      <c r="K770" s="43">
        <v>26113.9</v>
      </c>
      <c r="L770" s="51">
        <v>28290.06</v>
      </c>
      <c r="M770" s="33"/>
      <c r="N770" s="30">
        <v>26113.9</v>
      </c>
      <c r="O770" s="30">
        <v>19729.79</v>
      </c>
      <c r="P770" s="30">
        <v>3090</v>
      </c>
      <c r="Q770" s="30">
        <f>(N770+O770*0.18+J770)+(IF((P770-O770*0.18)&gt;0,(P770-O770*0.18),0))</f>
        <v>31841.422200000001</v>
      </c>
      <c r="R770" s="7"/>
      <c r="S770" s="7"/>
      <c r="T770" s="7"/>
      <c r="U770" s="7"/>
      <c r="V770" s="7"/>
      <c r="W770" s="7"/>
      <c r="X770" s="7"/>
      <c r="Y770" s="7"/>
      <c r="Z770" s="7"/>
    </row>
    <row r="771" spans="1:26" ht="9" customHeight="1" x14ac:dyDescent="0.2">
      <c r="A771" s="95"/>
      <c r="B771" s="95"/>
      <c r="C771" s="34" t="s">
        <v>37</v>
      </c>
      <c r="D771" s="35">
        <v>34</v>
      </c>
      <c r="E771" s="36">
        <v>38202200</v>
      </c>
      <c r="F771" s="36"/>
      <c r="G771" s="36"/>
      <c r="H771" s="36">
        <v>12361361</v>
      </c>
      <c r="I771" s="36">
        <v>0</v>
      </c>
      <c r="J771" s="37">
        <v>4213633</v>
      </c>
      <c r="K771" s="36">
        <v>50563561</v>
      </c>
      <c r="L771" s="50">
        <v>54777194</v>
      </c>
      <c r="M771" s="39"/>
      <c r="N771" s="36">
        <v>50563561</v>
      </c>
      <c r="O771" s="36">
        <v>38202200</v>
      </c>
      <c r="P771" s="36">
        <v>5983074</v>
      </c>
      <c r="Q771" s="36">
        <f>Q770*1936.27</f>
        <v>61653590.563193999</v>
      </c>
      <c r="R771" s="7"/>
      <c r="S771" s="7"/>
      <c r="T771" s="7"/>
      <c r="U771" s="7"/>
      <c r="V771" s="7"/>
      <c r="W771" s="7"/>
      <c r="X771" s="7"/>
      <c r="Y771" s="7"/>
      <c r="Z771" s="7"/>
    </row>
    <row r="772" spans="1:26" ht="12.75" customHeight="1" x14ac:dyDescent="0.2">
      <c r="A772" s="95"/>
      <c r="B772" s="95"/>
      <c r="C772" s="40" t="s">
        <v>36</v>
      </c>
      <c r="D772" s="41">
        <v>35</v>
      </c>
      <c r="E772" s="30">
        <v>21019.279999999999</v>
      </c>
      <c r="F772" s="30"/>
      <c r="G772" s="30"/>
      <c r="H772" s="30">
        <v>6384.11</v>
      </c>
      <c r="I772" s="30">
        <v>0</v>
      </c>
      <c r="J772" s="42">
        <v>2283.62</v>
      </c>
      <c r="K772" s="43">
        <v>27403.39</v>
      </c>
      <c r="L772" s="51">
        <v>29687.01</v>
      </c>
      <c r="M772" s="33"/>
      <c r="N772" s="30">
        <v>27403.39</v>
      </c>
      <c r="O772" s="30">
        <v>21019.279999999999</v>
      </c>
      <c r="P772" s="30">
        <v>3090</v>
      </c>
      <c r="Q772" s="30">
        <f>(N772+O772*0.18+J772)+(IF((P772-O772*0.18)&gt;0,(P772-O772*0.18),0))</f>
        <v>33470.4804</v>
      </c>
      <c r="R772" s="7"/>
      <c r="S772" s="7"/>
      <c r="T772" s="7"/>
      <c r="U772" s="7"/>
      <c r="V772" s="7"/>
      <c r="W772" s="7"/>
      <c r="X772" s="7"/>
      <c r="Y772" s="7"/>
      <c r="Z772" s="7"/>
    </row>
    <row r="773" spans="1:26" ht="9" customHeight="1" x14ac:dyDescent="0.2">
      <c r="A773" s="110"/>
      <c r="B773" s="110"/>
      <c r="C773" s="47" t="s">
        <v>37</v>
      </c>
      <c r="D773" s="48"/>
      <c r="E773" s="36">
        <v>40699001</v>
      </c>
      <c r="F773" s="36"/>
      <c r="G773" s="36"/>
      <c r="H773" s="36">
        <v>12361361</v>
      </c>
      <c r="I773" s="36">
        <v>0</v>
      </c>
      <c r="J773" s="49">
        <v>4421705</v>
      </c>
      <c r="K773" s="46">
        <v>53060362</v>
      </c>
      <c r="L773" s="52">
        <v>57482067</v>
      </c>
      <c r="M773" s="39"/>
      <c r="N773" s="36">
        <v>53060362</v>
      </c>
      <c r="O773" s="36">
        <v>40699001</v>
      </c>
      <c r="P773" s="36">
        <v>5983074</v>
      </c>
      <c r="Q773" s="36">
        <f>Q772*1936.27</f>
        <v>64807887.084108002</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6"/>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6"/>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6"/>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6"/>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6"/>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6"/>
      <c r="M779" s="39"/>
      <c r="N779" s="96"/>
      <c r="O779" s="96"/>
      <c r="P779" s="96"/>
      <c r="Q779" s="96"/>
      <c r="R779" s="7"/>
      <c r="S779" s="7"/>
      <c r="T779" s="7"/>
      <c r="U779" s="7"/>
      <c r="V779" s="7"/>
      <c r="W779" s="7"/>
      <c r="X779" s="7"/>
      <c r="Y779" s="7"/>
      <c r="Z779" s="7"/>
    </row>
    <row r="780" spans="1:26" ht="12.75" customHeight="1" x14ac:dyDescent="0.2">
      <c r="A780" s="98">
        <v>39814</v>
      </c>
      <c r="B780" s="98">
        <v>40268</v>
      </c>
      <c r="C780" s="28" t="s">
        <v>36</v>
      </c>
      <c r="D780" s="29">
        <v>0</v>
      </c>
      <c r="E780" s="30">
        <v>12940.19</v>
      </c>
      <c r="F780" s="30"/>
      <c r="G780" s="30"/>
      <c r="H780" s="30">
        <v>6384.11</v>
      </c>
      <c r="I780" s="30">
        <v>0</v>
      </c>
      <c r="J780" s="30">
        <v>1610.36</v>
      </c>
      <c r="K780" s="31">
        <v>19324.3</v>
      </c>
      <c r="L780" s="32">
        <v>20934.66</v>
      </c>
      <c r="M780" s="33"/>
      <c r="N780" s="30">
        <v>19324.3</v>
      </c>
      <c r="O780" s="30">
        <v>12940.19</v>
      </c>
      <c r="P780" s="30">
        <v>1968</v>
      </c>
      <c r="Q780" s="30">
        <f>(N780+O780*0.18+J780)+(IF((P780-O780*0.18)&gt;0,(P780-O780*0.18),0))</f>
        <v>23263.894199999999</v>
      </c>
      <c r="R780" s="7"/>
      <c r="S780" s="7"/>
      <c r="T780" s="7"/>
      <c r="U780" s="7"/>
      <c r="V780" s="7"/>
      <c r="W780" s="7"/>
      <c r="X780" s="7"/>
      <c r="Y780" s="7"/>
      <c r="Z780" s="7"/>
    </row>
    <row r="781" spans="1:26" ht="9" customHeight="1" x14ac:dyDescent="0.2">
      <c r="A781" s="95"/>
      <c r="B781" s="95"/>
      <c r="C781" s="34" t="s">
        <v>37</v>
      </c>
      <c r="D781" s="35">
        <v>2</v>
      </c>
      <c r="E781" s="36">
        <v>25055702</v>
      </c>
      <c r="F781" s="36"/>
      <c r="G781" s="36"/>
      <c r="H781" s="36">
        <v>12361361</v>
      </c>
      <c r="I781" s="36">
        <v>0</v>
      </c>
      <c r="J781" s="37">
        <v>3118092</v>
      </c>
      <c r="K781" s="36">
        <v>37417062</v>
      </c>
      <c r="L781" s="50">
        <v>40535154</v>
      </c>
      <c r="M781" s="39"/>
      <c r="N781" s="36">
        <v>37417062</v>
      </c>
      <c r="O781" s="36">
        <v>25055702</v>
      </c>
      <c r="P781" s="36">
        <v>3810579</v>
      </c>
      <c r="Q781" s="36">
        <f>Q780*1936.27</f>
        <v>45045180.422633998</v>
      </c>
      <c r="R781" s="7"/>
      <c r="S781" s="7"/>
      <c r="T781" s="7"/>
      <c r="U781" s="7"/>
      <c r="V781" s="7"/>
      <c r="W781" s="7"/>
      <c r="X781" s="7"/>
      <c r="Y781" s="7"/>
      <c r="Z781" s="7"/>
    </row>
    <row r="782" spans="1:26" ht="12.75" customHeight="1" x14ac:dyDescent="0.2">
      <c r="A782" s="156">
        <v>39814</v>
      </c>
      <c r="B782" s="156">
        <v>40268</v>
      </c>
      <c r="C782" s="40" t="s">
        <v>36</v>
      </c>
      <c r="D782" s="41">
        <v>3</v>
      </c>
      <c r="E782" s="30">
        <v>13462.24</v>
      </c>
      <c r="F782" s="30"/>
      <c r="G782" s="30"/>
      <c r="H782" s="30">
        <v>6384.11</v>
      </c>
      <c r="I782" s="30">
        <v>0</v>
      </c>
      <c r="J782" s="42">
        <v>1653.86</v>
      </c>
      <c r="K782" s="43">
        <v>19846.349999999999</v>
      </c>
      <c r="L782" s="51">
        <v>21500.21</v>
      </c>
      <c r="M782" s="33"/>
      <c r="N782" s="30">
        <v>19846.349999999999</v>
      </c>
      <c r="O782" s="30">
        <v>13462.24</v>
      </c>
      <c r="P782" s="30">
        <v>1968</v>
      </c>
      <c r="Q782" s="30">
        <f>(N782+O782*0.18+J782)+(IF((P782-O782*0.18)&gt;0,(P782-O782*0.18),0))</f>
        <v>23923.413199999999</v>
      </c>
      <c r="R782" s="7"/>
      <c r="S782" s="7"/>
      <c r="T782" s="7"/>
      <c r="U782" s="7"/>
      <c r="V782" s="7"/>
      <c r="W782" s="7"/>
      <c r="X782" s="7"/>
      <c r="Y782" s="7"/>
      <c r="Z782" s="7"/>
    </row>
    <row r="783" spans="1:26" ht="9" customHeight="1" x14ac:dyDescent="0.2">
      <c r="A783" s="95"/>
      <c r="B783" s="95"/>
      <c r="C783" s="34" t="s">
        <v>37</v>
      </c>
      <c r="D783" s="35">
        <v>8</v>
      </c>
      <c r="E783" s="36">
        <v>26066531</v>
      </c>
      <c r="F783" s="36"/>
      <c r="G783" s="36"/>
      <c r="H783" s="36">
        <v>12361361</v>
      </c>
      <c r="I783" s="36">
        <v>0</v>
      </c>
      <c r="J783" s="37">
        <v>3202320</v>
      </c>
      <c r="K783" s="36">
        <v>38427892</v>
      </c>
      <c r="L783" s="50">
        <v>41630212</v>
      </c>
      <c r="M783" s="39"/>
      <c r="N783" s="36">
        <v>38427892</v>
      </c>
      <c r="O783" s="36">
        <v>26066531</v>
      </c>
      <c r="P783" s="36">
        <v>3810579</v>
      </c>
      <c r="Q783" s="36">
        <f>Q782*1936.27</f>
        <v>46322187.276763998</v>
      </c>
      <c r="R783" s="7"/>
      <c r="S783" s="7"/>
      <c r="T783" s="7"/>
      <c r="U783" s="7"/>
      <c r="V783" s="7"/>
      <c r="W783" s="7"/>
      <c r="X783" s="7"/>
      <c r="Y783" s="7"/>
      <c r="Z783" s="7"/>
    </row>
    <row r="784" spans="1:26" ht="12.75" customHeight="1" x14ac:dyDescent="0.2">
      <c r="A784" s="95"/>
      <c r="B784" s="95"/>
      <c r="C784" s="40" t="s">
        <v>36</v>
      </c>
      <c r="D784" s="41">
        <v>9</v>
      </c>
      <c r="E784" s="30">
        <v>15069.97</v>
      </c>
      <c r="F784" s="30"/>
      <c r="G784" s="30"/>
      <c r="H784" s="30">
        <v>6384.11</v>
      </c>
      <c r="I784" s="30">
        <v>0</v>
      </c>
      <c r="J784" s="42">
        <v>1787.84</v>
      </c>
      <c r="K784" s="43">
        <v>21454.080000000002</v>
      </c>
      <c r="L784" s="51">
        <v>23241.919999999998</v>
      </c>
      <c r="M784" s="33"/>
      <c r="N784" s="30">
        <v>21454.080000000002</v>
      </c>
      <c r="O784" s="30">
        <v>15069.97</v>
      </c>
      <c r="P784" s="30">
        <v>1968</v>
      </c>
      <c r="Q784" s="30">
        <f>(N784+O784*0.18+J784)+(IF((P784-O784*0.18)&gt;0,(P784-O784*0.18),0))</f>
        <v>25954.514600000002</v>
      </c>
      <c r="R784" s="7"/>
      <c r="S784" s="7"/>
      <c r="T784" s="7"/>
      <c r="U784" s="7"/>
      <c r="V784" s="7"/>
      <c r="W784" s="7"/>
      <c r="X784" s="7"/>
      <c r="Y784" s="7"/>
      <c r="Z784" s="7"/>
    </row>
    <row r="785" spans="1:26" ht="9" customHeight="1" x14ac:dyDescent="0.2">
      <c r="A785" s="95"/>
      <c r="B785" s="95"/>
      <c r="C785" s="34" t="s">
        <v>37</v>
      </c>
      <c r="D785" s="35">
        <v>14</v>
      </c>
      <c r="E785" s="36">
        <v>29179531</v>
      </c>
      <c r="F785" s="36"/>
      <c r="G785" s="36"/>
      <c r="H785" s="36">
        <v>12361361</v>
      </c>
      <c r="I785" s="36">
        <v>0</v>
      </c>
      <c r="J785" s="37">
        <v>3461741</v>
      </c>
      <c r="K785" s="36">
        <v>41540891</v>
      </c>
      <c r="L785" s="50">
        <v>45002632</v>
      </c>
      <c r="M785" s="39"/>
      <c r="N785" s="36">
        <v>41540891</v>
      </c>
      <c r="O785" s="36">
        <v>29179531</v>
      </c>
      <c r="P785" s="36">
        <v>3810579</v>
      </c>
      <c r="Q785" s="36">
        <f>Q784*1936.27</f>
        <v>50254947.984542005</v>
      </c>
      <c r="R785" s="7"/>
      <c r="S785" s="7"/>
      <c r="T785" s="7"/>
      <c r="U785" s="7"/>
      <c r="V785" s="7"/>
      <c r="W785" s="7"/>
      <c r="X785" s="7"/>
      <c r="Y785" s="7"/>
      <c r="Z785" s="7"/>
    </row>
    <row r="786" spans="1:26" ht="12.75" customHeight="1" x14ac:dyDescent="0.2">
      <c r="A786" s="95"/>
      <c r="B786" s="95"/>
      <c r="C786" s="40" t="s">
        <v>36</v>
      </c>
      <c r="D786" s="41">
        <v>15</v>
      </c>
      <c r="E786" s="30">
        <v>16947.900000000001</v>
      </c>
      <c r="F786" s="30"/>
      <c r="G786" s="30"/>
      <c r="H786" s="30">
        <v>6384.11</v>
      </c>
      <c r="I786" s="30">
        <v>0</v>
      </c>
      <c r="J786" s="42">
        <v>1944.33</v>
      </c>
      <c r="K786" s="43">
        <v>23332.01</v>
      </c>
      <c r="L786" s="51">
        <v>25276.34</v>
      </c>
      <c r="M786" s="33"/>
      <c r="N786" s="30">
        <v>23332.01</v>
      </c>
      <c r="O786" s="30">
        <v>16947.900000000001</v>
      </c>
      <c r="P786" s="30">
        <v>2424</v>
      </c>
      <c r="Q786" s="30">
        <f>(N786+O786*0.18+J786)+(IF((P786-O786*0.18)&gt;0,(P786-O786*0.18),0))</f>
        <v>28326.962</v>
      </c>
      <c r="R786" s="7"/>
      <c r="S786" s="7"/>
      <c r="T786" s="7"/>
      <c r="U786" s="7"/>
      <c r="V786" s="7"/>
      <c r="W786" s="7"/>
      <c r="X786" s="7"/>
      <c r="Y786" s="7"/>
      <c r="Z786" s="7"/>
    </row>
    <row r="787" spans="1:26" ht="9" customHeight="1" x14ac:dyDescent="0.2">
      <c r="A787" s="95"/>
      <c r="B787" s="95"/>
      <c r="C787" s="34" t="s">
        <v>37</v>
      </c>
      <c r="D787" s="35">
        <v>20</v>
      </c>
      <c r="E787" s="36">
        <v>32815710</v>
      </c>
      <c r="F787" s="36"/>
      <c r="G787" s="36"/>
      <c r="H787" s="36">
        <v>12361361</v>
      </c>
      <c r="I787" s="36">
        <v>0</v>
      </c>
      <c r="J787" s="37">
        <v>3764748</v>
      </c>
      <c r="K787" s="36">
        <v>45177071</v>
      </c>
      <c r="L787" s="50">
        <v>48941819</v>
      </c>
      <c r="M787" s="39"/>
      <c r="N787" s="36">
        <v>45177071</v>
      </c>
      <c r="O787" s="36">
        <v>32815710</v>
      </c>
      <c r="P787" s="36">
        <v>4693518</v>
      </c>
      <c r="Q787" s="36">
        <f>Q786*1936.27</f>
        <v>54848646.711740002</v>
      </c>
      <c r="R787" s="7"/>
      <c r="S787" s="7"/>
      <c r="T787" s="7"/>
      <c r="U787" s="7"/>
      <c r="V787" s="7"/>
      <c r="W787" s="7"/>
      <c r="X787" s="7"/>
      <c r="Y787" s="7"/>
      <c r="Z787" s="7"/>
    </row>
    <row r="788" spans="1:26" ht="12.75" customHeight="1" x14ac:dyDescent="0.2">
      <c r="A788" s="95"/>
      <c r="B788" s="95"/>
      <c r="C788" s="40" t="s">
        <v>36</v>
      </c>
      <c r="D788" s="41">
        <v>21</v>
      </c>
      <c r="E788" s="30">
        <v>18770.54</v>
      </c>
      <c r="F788" s="30"/>
      <c r="G788" s="30"/>
      <c r="H788" s="30">
        <v>6384.11</v>
      </c>
      <c r="I788" s="30">
        <v>0</v>
      </c>
      <c r="J788" s="42">
        <v>2096.2199999999998</v>
      </c>
      <c r="K788" s="43">
        <v>25154.65</v>
      </c>
      <c r="L788" s="51">
        <v>27250.87</v>
      </c>
      <c r="M788" s="33"/>
      <c r="N788" s="30">
        <v>25154.65</v>
      </c>
      <c r="O788" s="30">
        <v>18770.54</v>
      </c>
      <c r="P788" s="30">
        <v>2424</v>
      </c>
      <c r="Q788" s="30">
        <f>(N788+O788*0.18+J788)+(IF((P788-O788*0.18)&gt;0,(P788-O788*0.18),0))</f>
        <v>30629.567200000001</v>
      </c>
      <c r="R788" s="7"/>
      <c r="S788" s="7"/>
      <c r="T788" s="7"/>
      <c r="U788" s="7"/>
      <c r="V788" s="7"/>
      <c r="W788" s="7"/>
      <c r="X788" s="7"/>
      <c r="Y788" s="7"/>
      <c r="Z788" s="7"/>
    </row>
    <row r="789" spans="1:26" ht="9" customHeight="1" x14ac:dyDescent="0.2">
      <c r="A789" s="95"/>
      <c r="B789" s="95"/>
      <c r="C789" s="34" t="s">
        <v>37</v>
      </c>
      <c r="D789" s="35">
        <v>27</v>
      </c>
      <c r="E789" s="36">
        <v>36344833</v>
      </c>
      <c r="F789" s="36"/>
      <c r="G789" s="36"/>
      <c r="H789" s="36">
        <v>12361361</v>
      </c>
      <c r="I789" s="36">
        <v>0</v>
      </c>
      <c r="J789" s="37">
        <v>4058848</v>
      </c>
      <c r="K789" s="36">
        <v>48706194</v>
      </c>
      <c r="L789" s="50">
        <v>52765042</v>
      </c>
      <c r="M789" s="39"/>
      <c r="N789" s="36">
        <v>48706194</v>
      </c>
      <c r="O789" s="36">
        <v>36344833</v>
      </c>
      <c r="P789" s="36">
        <v>4693518</v>
      </c>
      <c r="Q789" s="36">
        <f>Q788*1936.27</f>
        <v>59307112.082344003</v>
      </c>
      <c r="R789" s="7"/>
      <c r="S789" s="7"/>
      <c r="T789" s="7"/>
      <c r="U789" s="7"/>
      <c r="V789" s="7"/>
      <c r="W789" s="7"/>
      <c r="X789" s="7"/>
      <c r="Y789" s="7"/>
      <c r="Z789" s="7"/>
    </row>
    <row r="790" spans="1:26" ht="12.75" customHeight="1" x14ac:dyDescent="0.2">
      <c r="A790" s="95"/>
      <c r="B790" s="95"/>
      <c r="C790" s="40" t="s">
        <v>36</v>
      </c>
      <c r="D790" s="41">
        <v>28</v>
      </c>
      <c r="E790" s="30">
        <v>20568.830000000002</v>
      </c>
      <c r="F790" s="30"/>
      <c r="G790" s="30"/>
      <c r="H790" s="30">
        <v>6384.11</v>
      </c>
      <c r="I790" s="30">
        <v>0</v>
      </c>
      <c r="J790" s="42">
        <v>2246.08</v>
      </c>
      <c r="K790" s="43">
        <v>26952.94</v>
      </c>
      <c r="L790" s="51">
        <v>29199.02</v>
      </c>
      <c r="M790" s="33"/>
      <c r="N790" s="30">
        <v>26952.94</v>
      </c>
      <c r="O790" s="30">
        <v>20568.830000000002</v>
      </c>
      <c r="P790" s="30">
        <v>3090</v>
      </c>
      <c r="Q790" s="30">
        <f>(N790+O790*0.18+J790)+(IF((P790-O790*0.18)&gt;0,(P790-O790*0.18),0))</f>
        <v>32901.409399999997</v>
      </c>
      <c r="R790" s="7"/>
      <c r="S790" s="7"/>
      <c r="T790" s="7"/>
      <c r="U790" s="7"/>
      <c r="V790" s="7"/>
      <c r="W790" s="7"/>
      <c r="X790" s="7"/>
      <c r="Y790" s="7"/>
      <c r="Z790" s="7"/>
    </row>
    <row r="791" spans="1:26" ht="9" customHeight="1" x14ac:dyDescent="0.2">
      <c r="A791" s="95"/>
      <c r="B791" s="95"/>
      <c r="C791" s="34" t="s">
        <v>37</v>
      </c>
      <c r="D791" s="35">
        <v>34</v>
      </c>
      <c r="E791" s="36">
        <v>39826808</v>
      </c>
      <c r="F791" s="36"/>
      <c r="G791" s="36"/>
      <c r="H791" s="36">
        <v>12361361</v>
      </c>
      <c r="I791" s="36">
        <v>0</v>
      </c>
      <c r="J791" s="37">
        <v>4349017</v>
      </c>
      <c r="K791" s="36">
        <v>52188169</v>
      </c>
      <c r="L791" s="50">
        <v>56537186</v>
      </c>
      <c r="M791" s="39"/>
      <c r="N791" s="36">
        <v>52188169</v>
      </c>
      <c r="O791" s="36">
        <v>39826808</v>
      </c>
      <c r="P791" s="36">
        <v>5983074</v>
      </c>
      <c r="Q791" s="36">
        <f>Q790*1936.27</f>
        <v>63706011.978937991</v>
      </c>
      <c r="R791" s="7"/>
      <c r="S791" s="7"/>
      <c r="T791" s="7"/>
      <c r="U791" s="7"/>
      <c r="V791" s="7"/>
      <c r="W791" s="7"/>
      <c r="X791" s="7"/>
      <c r="Y791" s="7"/>
      <c r="Z791" s="7"/>
    </row>
    <row r="792" spans="1:26" ht="12.75" customHeight="1" x14ac:dyDescent="0.2">
      <c r="A792" s="95"/>
      <c r="B792" s="95"/>
      <c r="C792" s="40" t="s">
        <v>36</v>
      </c>
      <c r="D792" s="41">
        <v>35</v>
      </c>
      <c r="E792" s="30">
        <v>21907.88</v>
      </c>
      <c r="F792" s="30"/>
      <c r="G792" s="30"/>
      <c r="H792" s="30">
        <v>6384.11</v>
      </c>
      <c r="I792" s="30">
        <v>0</v>
      </c>
      <c r="J792" s="42">
        <v>2357.67</v>
      </c>
      <c r="K792" s="43">
        <v>28291.99</v>
      </c>
      <c r="L792" s="51">
        <v>30649.66</v>
      </c>
      <c r="M792" s="33"/>
      <c r="N792" s="30">
        <v>28291.99</v>
      </c>
      <c r="O792" s="30">
        <v>21907.88</v>
      </c>
      <c r="P792" s="30">
        <v>3090</v>
      </c>
      <c r="Q792" s="30">
        <f>(N792+O792*0.18+J792)+(IF((P792-O792*0.18)&gt;0,(P792-O792*0.18),0))</f>
        <v>34593.078399999999</v>
      </c>
      <c r="R792" s="7"/>
      <c r="S792" s="7"/>
      <c r="T792" s="7"/>
      <c r="U792" s="7"/>
      <c r="V792" s="7"/>
      <c r="W792" s="7"/>
      <c r="X792" s="7"/>
      <c r="Y792" s="7"/>
      <c r="Z792" s="7"/>
    </row>
    <row r="793" spans="1:26" ht="9" customHeight="1" x14ac:dyDescent="0.2">
      <c r="A793" s="110"/>
      <c r="B793" s="110"/>
      <c r="C793" s="47" t="s">
        <v>37</v>
      </c>
      <c r="D793" s="48"/>
      <c r="E793" s="46">
        <v>42419571</v>
      </c>
      <c r="F793" s="46"/>
      <c r="G793" s="46"/>
      <c r="H793" s="46">
        <v>12361361</v>
      </c>
      <c r="I793" s="46">
        <v>0</v>
      </c>
      <c r="J793" s="49">
        <v>4565086</v>
      </c>
      <c r="K793" s="46">
        <v>54780931</v>
      </c>
      <c r="L793" s="52">
        <v>59346017</v>
      </c>
      <c r="M793" s="39"/>
      <c r="N793" s="36">
        <v>54780931</v>
      </c>
      <c r="O793" s="36">
        <v>42419571</v>
      </c>
      <c r="P793" s="36">
        <v>5983074</v>
      </c>
      <c r="Q793" s="36">
        <f>Q792*1936.27</f>
        <v>66981539.913567998</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6"/>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6"/>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6"/>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6"/>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6"/>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6"/>
      <c r="M799" s="39"/>
      <c r="N799" s="96"/>
      <c r="O799" s="96"/>
      <c r="P799" s="96"/>
      <c r="Q799" s="96"/>
      <c r="R799" s="7"/>
      <c r="S799" s="7"/>
      <c r="T799" s="7"/>
      <c r="U799" s="7"/>
      <c r="V799" s="7"/>
      <c r="W799" s="7"/>
      <c r="X799" s="7"/>
      <c r="Y799" s="7"/>
      <c r="Z799" s="7"/>
    </row>
    <row r="800" spans="1:26" ht="12.75" customHeight="1" x14ac:dyDescent="0.2">
      <c r="A800" s="98">
        <v>40269</v>
      </c>
      <c r="B800" s="98">
        <v>40359</v>
      </c>
      <c r="C800" s="28" t="s">
        <v>36</v>
      </c>
      <c r="D800" s="29">
        <v>0</v>
      </c>
      <c r="E800" s="30">
        <v>12940.19</v>
      </c>
      <c r="F800" s="30"/>
      <c r="G800" s="30"/>
      <c r="H800" s="30">
        <v>6384.11</v>
      </c>
      <c r="I800" s="30">
        <v>86.96</v>
      </c>
      <c r="J800" s="30">
        <v>1610.36</v>
      </c>
      <c r="K800" s="31">
        <v>19411.259999999998</v>
      </c>
      <c r="L800" s="32">
        <v>21021.62</v>
      </c>
      <c r="M800" s="33"/>
      <c r="N800" s="30">
        <v>19411.259999999998</v>
      </c>
      <c r="O800" s="30">
        <v>13027.15</v>
      </c>
      <c r="P800" s="30">
        <v>1968</v>
      </c>
      <c r="Q800" s="30">
        <f>(N800+O800*0.18+J800)+(IF((P800-O800*0.18)&gt;0,(P800-O800*0.18),0))</f>
        <v>23366.506999999998</v>
      </c>
      <c r="R800" s="7"/>
      <c r="S800" s="7"/>
      <c r="T800" s="7"/>
      <c r="U800" s="7"/>
      <c r="V800" s="7"/>
      <c r="W800" s="7"/>
      <c r="X800" s="7"/>
      <c r="Y800" s="7"/>
      <c r="Z800" s="7"/>
    </row>
    <row r="801" spans="1:26" ht="9" customHeight="1" x14ac:dyDescent="0.2">
      <c r="A801" s="95"/>
      <c r="B801" s="95"/>
      <c r="C801" s="34" t="s">
        <v>37</v>
      </c>
      <c r="D801" s="35">
        <v>2</v>
      </c>
      <c r="E801" s="36">
        <v>25055702</v>
      </c>
      <c r="F801" s="36"/>
      <c r="G801" s="36"/>
      <c r="H801" s="36">
        <v>12361361</v>
      </c>
      <c r="I801" s="36">
        <v>168378</v>
      </c>
      <c r="J801" s="37">
        <v>3118092</v>
      </c>
      <c r="K801" s="36">
        <v>37585440</v>
      </c>
      <c r="L801" s="50">
        <v>40703532</v>
      </c>
      <c r="M801" s="39"/>
      <c r="N801" s="36">
        <v>37585440</v>
      </c>
      <c r="O801" s="36">
        <v>25224080</v>
      </c>
      <c r="P801" s="36">
        <v>3810579</v>
      </c>
      <c r="Q801" s="36">
        <f>Q800*1936.27</f>
        <v>45243866.508889996</v>
      </c>
      <c r="R801" s="7"/>
      <c r="S801" s="7"/>
      <c r="T801" s="7"/>
      <c r="U801" s="7"/>
      <c r="V801" s="7"/>
      <c r="W801" s="7"/>
      <c r="X801" s="7"/>
      <c r="Y801" s="7"/>
      <c r="Z801" s="7"/>
    </row>
    <row r="802" spans="1:26" ht="12.75" customHeight="1" x14ac:dyDescent="0.2">
      <c r="A802" s="156">
        <v>40269</v>
      </c>
      <c r="B802" s="156">
        <v>40359</v>
      </c>
      <c r="C802" s="40" t="s">
        <v>36</v>
      </c>
      <c r="D802" s="41">
        <v>3</v>
      </c>
      <c r="E802" s="30">
        <v>13462.24</v>
      </c>
      <c r="F802" s="30"/>
      <c r="G802" s="30"/>
      <c r="H802" s="30">
        <v>6384.11</v>
      </c>
      <c r="I802" s="30">
        <v>86.96</v>
      </c>
      <c r="J802" s="42">
        <v>1653.86</v>
      </c>
      <c r="K802" s="43">
        <v>19933.310000000001</v>
      </c>
      <c r="L802" s="51">
        <v>21587.17</v>
      </c>
      <c r="M802" s="33"/>
      <c r="N802" s="30">
        <v>19933.310000000001</v>
      </c>
      <c r="O802" s="30">
        <v>13549.2</v>
      </c>
      <c r="P802" s="30">
        <v>1968</v>
      </c>
      <c r="Q802" s="30">
        <f>(N802+O802*0.18+J802)+(IF((P802-O802*0.18)&gt;0,(P802-O802*0.18),0))</f>
        <v>24026.026000000002</v>
      </c>
      <c r="R802" s="7"/>
      <c r="S802" s="7"/>
      <c r="T802" s="7"/>
      <c r="U802" s="7"/>
      <c r="V802" s="7"/>
      <c r="W802" s="7"/>
      <c r="X802" s="7"/>
      <c r="Y802" s="7"/>
      <c r="Z802" s="7"/>
    </row>
    <row r="803" spans="1:26" ht="9" customHeight="1" x14ac:dyDescent="0.2">
      <c r="A803" s="95"/>
      <c r="B803" s="95"/>
      <c r="C803" s="34" t="s">
        <v>37</v>
      </c>
      <c r="D803" s="35">
        <v>8</v>
      </c>
      <c r="E803" s="36">
        <v>26066531</v>
      </c>
      <c r="F803" s="36"/>
      <c r="G803" s="36"/>
      <c r="H803" s="36">
        <v>12361361</v>
      </c>
      <c r="I803" s="36">
        <v>168378</v>
      </c>
      <c r="J803" s="37">
        <v>3202320</v>
      </c>
      <c r="K803" s="36">
        <v>38596270</v>
      </c>
      <c r="L803" s="50">
        <v>41798590</v>
      </c>
      <c r="M803" s="39"/>
      <c r="N803" s="36">
        <v>38596270</v>
      </c>
      <c r="O803" s="36">
        <v>26234909</v>
      </c>
      <c r="P803" s="36">
        <v>3810579</v>
      </c>
      <c r="Q803" s="36">
        <f>Q802*1936.27</f>
        <v>46520873.363020003</v>
      </c>
      <c r="R803" s="7"/>
      <c r="S803" s="7"/>
      <c r="T803" s="7"/>
      <c r="U803" s="7"/>
      <c r="V803" s="7"/>
      <c r="W803" s="7"/>
      <c r="X803" s="7"/>
      <c r="Y803" s="7"/>
      <c r="Z803" s="7"/>
    </row>
    <row r="804" spans="1:26" ht="12.75" customHeight="1" x14ac:dyDescent="0.2">
      <c r="A804" s="95"/>
      <c r="B804" s="95"/>
      <c r="C804" s="40" t="s">
        <v>36</v>
      </c>
      <c r="D804" s="41">
        <v>9</v>
      </c>
      <c r="E804" s="30">
        <v>15069.97</v>
      </c>
      <c r="F804" s="30"/>
      <c r="G804" s="30"/>
      <c r="H804" s="30">
        <v>6384.11</v>
      </c>
      <c r="I804" s="30">
        <v>86.96</v>
      </c>
      <c r="J804" s="42">
        <v>1787.84</v>
      </c>
      <c r="K804" s="43">
        <v>21541.040000000001</v>
      </c>
      <c r="L804" s="51">
        <v>23328.880000000001</v>
      </c>
      <c r="M804" s="33"/>
      <c r="N804" s="30">
        <v>21541.040000000001</v>
      </c>
      <c r="O804" s="30">
        <v>15156.93</v>
      </c>
      <c r="P804" s="30">
        <v>1968</v>
      </c>
      <c r="Q804" s="30">
        <f>(N804+O804*0.18+J804)+(IF((P804-O804*0.18)&gt;0,(P804-O804*0.18),0))</f>
        <v>26057.127400000001</v>
      </c>
      <c r="R804" s="7"/>
      <c r="S804" s="7"/>
      <c r="T804" s="7"/>
      <c r="U804" s="7"/>
      <c r="V804" s="7"/>
      <c r="W804" s="7"/>
      <c r="X804" s="7"/>
      <c r="Y804" s="7"/>
      <c r="Z804" s="7"/>
    </row>
    <row r="805" spans="1:26" ht="9" customHeight="1" x14ac:dyDescent="0.2">
      <c r="A805" s="95"/>
      <c r="B805" s="95"/>
      <c r="C805" s="34" t="s">
        <v>37</v>
      </c>
      <c r="D805" s="35">
        <v>14</v>
      </c>
      <c r="E805" s="36">
        <v>29179531</v>
      </c>
      <c r="F805" s="36"/>
      <c r="G805" s="36"/>
      <c r="H805" s="36">
        <v>12361361</v>
      </c>
      <c r="I805" s="36">
        <v>168378</v>
      </c>
      <c r="J805" s="37">
        <v>3461741</v>
      </c>
      <c r="K805" s="36">
        <v>41709270</v>
      </c>
      <c r="L805" s="50">
        <v>45171010</v>
      </c>
      <c r="M805" s="39"/>
      <c r="N805" s="36">
        <v>41709270</v>
      </c>
      <c r="O805" s="36">
        <v>29347909</v>
      </c>
      <c r="P805" s="36">
        <v>3810579</v>
      </c>
      <c r="Q805" s="36">
        <f>Q804*1936.27</f>
        <v>50453634.070798002</v>
      </c>
      <c r="R805" s="7"/>
      <c r="S805" s="7"/>
      <c r="T805" s="7"/>
      <c r="U805" s="7"/>
      <c r="V805" s="7"/>
      <c r="W805" s="7"/>
      <c r="X805" s="7"/>
      <c r="Y805" s="7"/>
      <c r="Z805" s="7"/>
    </row>
    <row r="806" spans="1:26" ht="12.75" customHeight="1" x14ac:dyDescent="0.2">
      <c r="A806" s="95"/>
      <c r="B806" s="95"/>
      <c r="C806" s="40" t="s">
        <v>36</v>
      </c>
      <c r="D806" s="41">
        <v>15</v>
      </c>
      <c r="E806" s="30">
        <v>16947.900000000001</v>
      </c>
      <c r="F806" s="30"/>
      <c r="G806" s="30"/>
      <c r="H806" s="30">
        <v>6384.11</v>
      </c>
      <c r="I806" s="30">
        <v>86.96</v>
      </c>
      <c r="J806" s="42">
        <v>1944.33</v>
      </c>
      <c r="K806" s="43">
        <v>23418.97</v>
      </c>
      <c r="L806" s="51">
        <v>25363.3</v>
      </c>
      <c r="M806" s="33"/>
      <c r="N806" s="30">
        <v>23418.97</v>
      </c>
      <c r="O806" s="30">
        <v>17034.86</v>
      </c>
      <c r="P806" s="30">
        <v>2424</v>
      </c>
      <c r="Q806" s="30">
        <f>(N806+O806*0.18+J806)+(IF((P806-O806*0.18)&gt;0,(P806-O806*0.18),0))</f>
        <v>28429.574800000002</v>
      </c>
      <c r="R806" s="7"/>
      <c r="S806" s="7"/>
      <c r="T806" s="7"/>
      <c r="U806" s="7"/>
      <c r="V806" s="7"/>
      <c r="W806" s="7"/>
      <c r="X806" s="7"/>
      <c r="Y806" s="7"/>
      <c r="Z806" s="7"/>
    </row>
    <row r="807" spans="1:26" ht="9" customHeight="1" x14ac:dyDescent="0.2">
      <c r="A807" s="95"/>
      <c r="B807" s="95"/>
      <c r="C807" s="34" t="s">
        <v>37</v>
      </c>
      <c r="D807" s="35">
        <v>20</v>
      </c>
      <c r="E807" s="36">
        <v>32815710</v>
      </c>
      <c r="F807" s="36"/>
      <c r="G807" s="36"/>
      <c r="H807" s="36">
        <v>12361361</v>
      </c>
      <c r="I807" s="36">
        <v>168378</v>
      </c>
      <c r="J807" s="37">
        <v>3764748</v>
      </c>
      <c r="K807" s="36">
        <v>45345449</v>
      </c>
      <c r="L807" s="50">
        <v>49110197</v>
      </c>
      <c r="M807" s="39"/>
      <c r="N807" s="36">
        <v>45345449</v>
      </c>
      <c r="O807" s="36">
        <v>32984088</v>
      </c>
      <c r="P807" s="36">
        <v>4693518</v>
      </c>
      <c r="Q807" s="36">
        <f>Q806*1936.27</f>
        <v>55047332.797996007</v>
      </c>
      <c r="R807" s="7"/>
      <c r="S807" s="7"/>
      <c r="T807" s="7"/>
      <c r="U807" s="7"/>
      <c r="V807" s="7"/>
      <c r="W807" s="7"/>
      <c r="X807" s="7"/>
      <c r="Y807" s="7"/>
      <c r="Z807" s="7"/>
    </row>
    <row r="808" spans="1:26" ht="12.75" customHeight="1" x14ac:dyDescent="0.2">
      <c r="A808" s="95"/>
      <c r="B808" s="95"/>
      <c r="C808" s="40" t="s">
        <v>36</v>
      </c>
      <c r="D808" s="41">
        <v>21</v>
      </c>
      <c r="E808" s="30">
        <v>18770.54</v>
      </c>
      <c r="F808" s="30"/>
      <c r="G808" s="30"/>
      <c r="H808" s="30">
        <v>6384.11</v>
      </c>
      <c r="I808" s="30">
        <v>86.96</v>
      </c>
      <c r="J808" s="42">
        <v>2096.2199999999998</v>
      </c>
      <c r="K808" s="43">
        <v>25241.61</v>
      </c>
      <c r="L808" s="51">
        <v>27337.83</v>
      </c>
      <c r="M808" s="33"/>
      <c r="N808" s="30">
        <v>25241.61</v>
      </c>
      <c r="O808" s="30">
        <v>18857.5</v>
      </c>
      <c r="P808" s="30">
        <v>2424</v>
      </c>
      <c r="Q808" s="30">
        <f>(N808+O808*0.18+J808)+(IF((P808-O808*0.18)&gt;0,(P808-O808*0.18),0))</f>
        <v>30732.18</v>
      </c>
      <c r="R808" s="7"/>
      <c r="S808" s="7"/>
      <c r="T808" s="7"/>
      <c r="U808" s="7"/>
      <c r="V808" s="7"/>
      <c r="W808" s="7"/>
      <c r="X808" s="7"/>
      <c r="Y808" s="7"/>
      <c r="Z808" s="7"/>
    </row>
    <row r="809" spans="1:26" ht="9" customHeight="1" x14ac:dyDescent="0.2">
      <c r="A809" s="95"/>
      <c r="B809" s="95"/>
      <c r="C809" s="34" t="s">
        <v>37</v>
      </c>
      <c r="D809" s="35">
        <v>27</v>
      </c>
      <c r="E809" s="36">
        <v>36344833</v>
      </c>
      <c r="F809" s="36"/>
      <c r="G809" s="36"/>
      <c r="H809" s="36">
        <v>12361361</v>
      </c>
      <c r="I809" s="36">
        <v>168378</v>
      </c>
      <c r="J809" s="37">
        <v>4058848</v>
      </c>
      <c r="K809" s="36">
        <v>48874572</v>
      </c>
      <c r="L809" s="50">
        <v>52933420</v>
      </c>
      <c r="M809" s="39"/>
      <c r="N809" s="36">
        <v>48874572</v>
      </c>
      <c r="O809" s="36">
        <v>36513212</v>
      </c>
      <c r="P809" s="36">
        <v>4693518</v>
      </c>
      <c r="Q809" s="36">
        <f>Q808*1936.27</f>
        <v>59505798.1686</v>
      </c>
      <c r="R809" s="7"/>
      <c r="S809" s="7"/>
      <c r="T809" s="7"/>
      <c r="U809" s="7"/>
      <c r="V809" s="7"/>
      <c r="W809" s="7"/>
      <c r="X809" s="7"/>
      <c r="Y809" s="7"/>
      <c r="Z809" s="7"/>
    </row>
    <row r="810" spans="1:26" ht="12.75" customHeight="1" x14ac:dyDescent="0.2">
      <c r="A810" s="95"/>
      <c r="B810" s="95"/>
      <c r="C810" s="40" t="s">
        <v>36</v>
      </c>
      <c r="D810" s="41">
        <v>28</v>
      </c>
      <c r="E810" s="30">
        <v>20568.830000000002</v>
      </c>
      <c r="F810" s="30"/>
      <c r="G810" s="30"/>
      <c r="H810" s="30">
        <v>6384.11</v>
      </c>
      <c r="I810" s="30">
        <v>86.96</v>
      </c>
      <c r="J810" s="42">
        <v>2246.08</v>
      </c>
      <c r="K810" s="43">
        <v>27039.9</v>
      </c>
      <c r="L810" s="51">
        <v>29285.98</v>
      </c>
      <c r="M810" s="33"/>
      <c r="N810" s="30">
        <v>27039.9</v>
      </c>
      <c r="O810" s="30">
        <v>20655.79</v>
      </c>
      <c r="P810" s="30">
        <v>3090</v>
      </c>
      <c r="Q810" s="30">
        <f>(N810+O810*0.18+J810)+(IF((P810-O810*0.18)&gt;0,(P810-O810*0.18),0))</f>
        <v>33004.022199999999</v>
      </c>
      <c r="R810" s="7"/>
      <c r="S810" s="7"/>
      <c r="T810" s="7"/>
      <c r="U810" s="7"/>
      <c r="V810" s="7"/>
      <c r="W810" s="7"/>
      <c r="X810" s="7"/>
      <c r="Y810" s="7"/>
      <c r="Z810" s="7"/>
    </row>
    <row r="811" spans="1:26" ht="9" customHeight="1" x14ac:dyDescent="0.2">
      <c r="A811" s="95"/>
      <c r="B811" s="95"/>
      <c r="C811" s="34" t="s">
        <v>37</v>
      </c>
      <c r="D811" s="35">
        <v>34</v>
      </c>
      <c r="E811" s="36">
        <v>39826808</v>
      </c>
      <c r="F811" s="36"/>
      <c r="G811" s="36"/>
      <c r="H811" s="36">
        <v>12361361</v>
      </c>
      <c r="I811" s="36">
        <v>168378</v>
      </c>
      <c r="J811" s="37">
        <v>4349017</v>
      </c>
      <c r="K811" s="36">
        <v>52356547</v>
      </c>
      <c r="L811" s="50">
        <v>56705564</v>
      </c>
      <c r="M811" s="39"/>
      <c r="N811" s="36">
        <v>52356547</v>
      </c>
      <c r="O811" s="36">
        <v>39995187</v>
      </c>
      <c r="P811" s="36">
        <v>5983074</v>
      </c>
      <c r="Q811" s="36">
        <f>Q810*1936.27</f>
        <v>63904698.065193996</v>
      </c>
      <c r="R811" s="7"/>
      <c r="S811" s="7"/>
      <c r="T811" s="7"/>
      <c r="U811" s="7"/>
      <c r="V811" s="7"/>
      <c r="W811" s="7"/>
      <c r="X811" s="7"/>
      <c r="Y811" s="7"/>
      <c r="Z811" s="7"/>
    </row>
    <row r="812" spans="1:26" ht="12.75" customHeight="1" x14ac:dyDescent="0.2">
      <c r="A812" s="95"/>
      <c r="B812" s="95"/>
      <c r="C812" s="40" t="s">
        <v>36</v>
      </c>
      <c r="D812" s="41">
        <v>35</v>
      </c>
      <c r="E812" s="30">
        <v>21907.88</v>
      </c>
      <c r="F812" s="30"/>
      <c r="G812" s="30"/>
      <c r="H812" s="30">
        <v>6384.11</v>
      </c>
      <c r="I812" s="30">
        <v>86.96</v>
      </c>
      <c r="J812" s="42">
        <v>2357.67</v>
      </c>
      <c r="K812" s="43">
        <v>28378.95</v>
      </c>
      <c r="L812" s="51">
        <v>30736.62</v>
      </c>
      <c r="M812" s="33"/>
      <c r="N812" s="30">
        <v>28378.95</v>
      </c>
      <c r="O812" s="30">
        <v>21994.84</v>
      </c>
      <c r="P812" s="30">
        <v>3090</v>
      </c>
      <c r="Q812" s="30">
        <f>(N812+O812*0.18+J812)+(IF((P812-O812*0.18)&gt;0,(P812-O812*0.18),0))</f>
        <v>34695.691200000001</v>
      </c>
      <c r="R812" s="7"/>
      <c r="S812" s="7"/>
      <c r="T812" s="7"/>
      <c r="U812" s="7"/>
      <c r="V812" s="7"/>
      <c r="W812" s="7"/>
      <c r="X812" s="7"/>
      <c r="Y812" s="7"/>
      <c r="Z812" s="7"/>
    </row>
    <row r="813" spans="1:26" ht="9" customHeight="1" x14ac:dyDescent="0.2">
      <c r="A813" s="110"/>
      <c r="B813" s="110"/>
      <c r="C813" s="47" t="s">
        <v>37</v>
      </c>
      <c r="D813" s="48"/>
      <c r="E813" s="36">
        <v>42419571</v>
      </c>
      <c r="F813" s="36"/>
      <c r="G813" s="36"/>
      <c r="H813" s="36">
        <v>12361361</v>
      </c>
      <c r="I813" s="36">
        <v>168378</v>
      </c>
      <c r="J813" s="49">
        <v>4565086</v>
      </c>
      <c r="K813" s="46">
        <v>54949310</v>
      </c>
      <c r="L813" s="52">
        <v>59514395</v>
      </c>
      <c r="M813" s="39"/>
      <c r="N813" s="46">
        <v>54949310</v>
      </c>
      <c r="O813" s="46">
        <v>42587949</v>
      </c>
      <c r="P813" s="36">
        <v>5983074</v>
      </c>
      <c r="Q813" s="46">
        <f>Q812*1936.27</f>
        <v>67180225.999824002</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6"/>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6"/>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6"/>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6"/>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6"/>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6"/>
      <c r="M819" s="39"/>
      <c r="N819" s="96"/>
      <c r="O819" s="96"/>
      <c r="P819" s="96"/>
      <c r="Q819" s="96"/>
      <c r="R819" s="7"/>
      <c r="S819" s="7"/>
      <c r="T819" s="7"/>
      <c r="U819" s="7"/>
      <c r="V819" s="7"/>
      <c r="W819" s="7"/>
      <c r="X819" s="7"/>
      <c r="Y819" s="7"/>
      <c r="Z819" s="7"/>
    </row>
    <row r="820" spans="1:26" ht="12.75" customHeight="1" x14ac:dyDescent="0.2">
      <c r="A820" s="98">
        <v>40360</v>
      </c>
      <c r="B820" s="98">
        <v>40421</v>
      </c>
      <c r="C820" s="28" t="s">
        <v>36</v>
      </c>
      <c r="D820" s="29">
        <v>0</v>
      </c>
      <c r="E820" s="30">
        <v>12940.19</v>
      </c>
      <c r="F820" s="30"/>
      <c r="G820" s="30"/>
      <c r="H820" s="30">
        <v>6384.11</v>
      </c>
      <c r="I820" s="30">
        <v>144.93</v>
      </c>
      <c r="J820" s="30">
        <v>1610.36</v>
      </c>
      <c r="K820" s="31">
        <v>19469.23</v>
      </c>
      <c r="L820" s="32">
        <v>21079.59</v>
      </c>
      <c r="M820" s="54"/>
      <c r="N820" s="30">
        <v>19469.23</v>
      </c>
      <c r="O820" s="30">
        <v>13085.12</v>
      </c>
      <c r="P820" s="30">
        <v>1968</v>
      </c>
      <c r="Q820" s="30">
        <f>(N820+O820*0.18+J820)+(IF((P820-O820*0.18)&gt;0,(P820-O820*0.18),0))</f>
        <v>23434.911599999999</v>
      </c>
      <c r="R820" s="7"/>
      <c r="S820" s="7"/>
      <c r="T820" s="7"/>
      <c r="U820" s="7"/>
      <c r="V820" s="7"/>
      <c r="W820" s="7"/>
      <c r="X820" s="7"/>
      <c r="Y820" s="7"/>
      <c r="Z820" s="7"/>
    </row>
    <row r="821" spans="1:26" ht="9" customHeight="1" x14ac:dyDescent="0.2">
      <c r="A821" s="95"/>
      <c r="B821" s="95"/>
      <c r="C821" s="34" t="s">
        <v>37</v>
      </c>
      <c r="D821" s="35">
        <v>2</v>
      </c>
      <c r="E821" s="36">
        <v>25055702</v>
      </c>
      <c r="F821" s="36"/>
      <c r="G821" s="36"/>
      <c r="H821" s="36">
        <v>12361361</v>
      </c>
      <c r="I821" s="36">
        <v>280624</v>
      </c>
      <c r="J821" s="37">
        <v>3118092</v>
      </c>
      <c r="K821" s="36">
        <v>37697686</v>
      </c>
      <c r="L821" s="50">
        <v>40815778</v>
      </c>
      <c r="M821" s="54"/>
      <c r="N821" s="36">
        <v>37697686</v>
      </c>
      <c r="O821" s="36">
        <v>25336325</v>
      </c>
      <c r="P821" s="36">
        <v>3810579</v>
      </c>
      <c r="Q821" s="46">
        <f>Q820*1936.27</f>
        <v>45376316.283731997</v>
      </c>
      <c r="R821" s="7"/>
      <c r="S821" s="7"/>
      <c r="T821" s="7"/>
      <c r="U821" s="7"/>
      <c r="V821" s="7"/>
      <c r="W821" s="7"/>
      <c r="X821" s="7"/>
      <c r="Y821" s="7"/>
      <c r="Z821" s="7"/>
    </row>
    <row r="822" spans="1:26" ht="12.75" customHeight="1" x14ac:dyDescent="0.2">
      <c r="A822" s="156">
        <v>40360</v>
      </c>
      <c r="B822" s="156">
        <v>40421</v>
      </c>
      <c r="C822" s="40" t="s">
        <v>36</v>
      </c>
      <c r="D822" s="41">
        <v>3</v>
      </c>
      <c r="E822" s="30">
        <v>13462.24</v>
      </c>
      <c r="F822" s="30"/>
      <c r="G822" s="30"/>
      <c r="H822" s="30">
        <v>6384.11</v>
      </c>
      <c r="I822" s="30">
        <v>144.93</v>
      </c>
      <c r="J822" s="42">
        <v>1653.86</v>
      </c>
      <c r="K822" s="43">
        <v>19991.28</v>
      </c>
      <c r="L822" s="51">
        <v>21645.14</v>
      </c>
      <c r="M822" s="54"/>
      <c r="N822" s="30">
        <v>19991.28</v>
      </c>
      <c r="O822" s="30">
        <v>13607.17</v>
      </c>
      <c r="P822" s="30">
        <v>1968</v>
      </c>
      <c r="Q822" s="30">
        <f>(N822+O822*0.18+J822)+(IF((P822-O822*0.18)&gt;0,(P822-O822*0.18),0))</f>
        <v>24094.4306</v>
      </c>
      <c r="R822" s="7"/>
      <c r="S822" s="7"/>
      <c r="T822" s="7"/>
      <c r="U822" s="7"/>
      <c r="V822" s="7"/>
      <c r="W822" s="7"/>
      <c r="X822" s="7"/>
      <c r="Y822" s="7"/>
      <c r="Z822" s="7"/>
    </row>
    <row r="823" spans="1:26" ht="9" customHeight="1" x14ac:dyDescent="0.2">
      <c r="A823" s="95"/>
      <c r="B823" s="95"/>
      <c r="C823" s="34" t="s">
        <v>37</v>
      </c>
      <c r="D823" s="35">
        <v>8</v>
      </c>
      <c r="E823" s="36">
        <v>25055702</v>
      </c>
      <c r="F823" s="36"/>
      <c r="G823" s="36"/>
      <c r="H823" s="36">
        <v>12361361</v>
      </c>
      <c r="I823" s="36">
        <v>280624</v>
      </c>
      <c r="J823" s="37">
        <v>3202320</v>
      </c>
      <c r="K823" s="36">
        <v>38708516</v>
      </c>
      <c r="L823" s="50">
        <v>41910835</v>
      </c>
      <c r="M823" s="54"/>
      <c r="N823" s="36">
        <v>38708516</v>
      </c>
      <c r="O823" s="36">
        <v>26347155</v>
      </c>
      <c r="P823" s="36">
        <v>3810579</v>
      </c>
      <c r="Q823" s="46">
        <f>Q822*1936.27</f>
        <v>46653323.137861997</v>
      </c>
      <c r="R823" s="7"/>
      <c r="S823" s="7"/>
      <c r="T823" s="7"/>
      <c r="U823" s="7"/>
      <c r="V823" s="7"/>
      <c r="W823" s="7"/>
      <c r="X823" s="7"/>
      <c r="Y823" s="7"/>
      <c r="Z823" s="7"/>
    </row>
    <row r="824" spans="1:26" ht="12.75" customHeight="1" x14ac:dyDescent="0.2">
      <c r="A824" s="95"/>
      <c r="B824" s="95"/>
      <c r="C824" s="40" t="s">
        <v>36</v>
      </c>
      <c r="D824" s="41">
        <v>9</v>
      </c>
      <c r="E824" s="30">
        <v>15069.97</v>
      </c>
      <c r="F824" s="30"/>
      <c r="G824" s="30"/>
      <c r="H824" s="30">
        <v>6384.11</v>
      </c>
      <c r="I824" s="30">
        <v>144.93</v>
      </c>
      <c r="J824" s="42">
        <v>1787.84</v>
      </c>
      <c r="K824" s="43">
        <v>21599.01</v>
      </c>
      <c r="L824" s="51">
        <v>23386.85</v>
      </c>
      <c r="M824" s="7"/>
      <c r="N824" s="30">
        <v>21599.01</v>
      </c>
      <c r="O824" s="30">
        <v>15214.9</v>
      </c>
      <c r="P824" s="30">
        <v>1968</v>
      </c>
      <c r="Q824" s="30">
        <f>(N824+O824*0.18+J824)+(IF((P824-O824*0.18)&gt;0,(P824-O824*0.18),0))</f>
        <v>26125.531999999999</v>
      </c>
      <c r="R824" s="7"/>
      <c r="S824" s="7"/>
      <c r="T824" s="7"/>
      <c r="U824" s="7"/>
      <c r="V824" s="7"/>
      <c r="W824" s="7"/>
      <c r="X824" s="7"/>
      <c r="Y824" s="7"/>
      <c r="Z824" s="7"/>
    </row>
    <row r="825" spans="1:26" ht="9" customHeight="1" x14ac:dyDescent="0.2">
      <c r="A825" s="95"/>
      <c r="B825" s="95"/>
      <c r="C825" s="34" t="s">
        <v>37</v>
      </c>
      <c r="D825" s="35">
        <v>14</v>
      </c>
      <c r="E825" s="36">
        <v>29179531</v>
      </c>
      <c r="F825" s="36"/>
      <c r="G825" s="36"/>
      <c r="H825" s="36">
        <v>12361361</v>
      </c>
      <c r="I825" s="36">
        <v>280624</v>
      </c>
      <c r="J825" s="37">
        <v>3461741</v>
      </c>
      <c r="K825" s="36">
        <v>41821515</v>
      </c>
      <c r="L825" s="50">
        <v>45283256</v>
      </c>
      <c r="M825" s="55"/>
      <c r="N825" s="36">
        <v>41821515</v>
      </c>
      <c r="O825" s="36">
        <v>29460154</v>
      </c>
      <c r="P825" s="36">
        <v>3810579</v>
      </c>
      <c r="Q825" s="46">
        <f>Q824*1936.27</f>
        <v>50586083.845639996</v>
      </c>
      <c r="R825" s="7"/>
      <c r="S825" s="7"/>
      <c r="T825" s="7"/>
      <c r="U825" s="7"/>
      <c r="V825" s="7"/>
      <c r="W825" s="7"/>
      <c r="X825" s="7"/>
      <c r="Y825" s="7"/>
      <c r="Z825" s="7"/>
    </row>
    <row r="826" spans="1:26" ht="12.75" customHeight="1" x14ac:dyDescent="0.2">
      <c r="A826" s="95"/>
      <c r="B826" s="95"/>
      <c r="C826" s="40" t="s">
        <v>36</v>
      </c>
      <c r="D826" s="41">
        <v>15</v>
      </c>
      <c r="E826" s="30">
        <v>16947.900000000001</v>
      </c>
      <c r="F826" s="30"/>
      <c r="G826" s="30"/>
      <c r="H826" s="30">
        <v>6384.11</v>
      </c>
      <c r="I826" s="30">
        <v>144.93</v>
      </c>
      <c r="J826" s="42">
        <v>1944.33</v>
      </c>
      <c r="K826" s="43">
        <v>23476.94</v>
      </c>
      <c r="L826" s="51">
        <v>25421.27</v>
      </c>
      <c r="M826" s="7"/>
      <c r="N826" s="30">
        <v>23476.94</v>
      </c>
      <c r="O826" s="30">
        <v>17092.830000000002</v>
      </c>
      <c r="P826" s="30">
        <v>2424</v>
      </c>
      <c r="Q826" s="30">
        <f>(N826+O826*0.18+J826)+(IF((P826-O826*0.18)&gt;0,(P826-O826*0.18),0))</f>
        <v>28497.979399999997</v>
      </c>
      <c r="R826" s="7"/>
      <c r="S826" s="7"/>
      <c r="T826" s="7"/>
      <c r="U826" s="7"/>
      <c r="V826" s="7"/>
      <c r="W826" s="7"/>
      <c r="X826" s="7"/>
      <c r="Y826" s="7"/>
      <c r="Z826" s="7"/>
    </row>
    <row r="827" spans="1:26" ht="9" customHeight="1" x14ac:dyDescent="0.2">
      <c r="A827" s="95"/>
      <c r="B827" s="95"/>
      <c r="C827" s="34" t="s">
        <v>37</v>
      </c>
      <c r="D827" s="35">
        <v>20</v>
      </c>
      <c r="E827" s="36">
        <v>32815710</v>
      </c>
      <c r="F827" s="36"/>
      <c r="G827" s="36"/>
      <c r="H827" s="36">
        <v>12361361</v>
      </c>
      <c r="I827" s="36">
        <v>280624</v>
      </c>
      <c r="J827" s="37">
        <v>3764748</v>
      </c>
      <c r="K827" s="36">
        <v>45457695</v>
      </c>
      <c r="L827" s="50">
        <v>49222442</v>
      </c>
      <c r="M827" s="7"/>
      <c r="N827" s="36">
        <v>45457695</v>
      </c>
      <c r="O827" s="36">
        <v>33096334</v>
      </c>
      <c r="P827" s="36">
        <v>4693518</v>
      </c>
      <c r="Q827" s="46">
        <f>Q826*1936.27</f>
        <v>55179782.572837994</v>
      </c>
      <c r="R827" s="7"/>
      <c r="S827" s="7"/>
      <c r="T827" s="7"/>
      <c r="U827" s="7"/>
      <c r="V827" s="7"/>
      <c r="W827" s="7"/>
      <c r="X827" s="7"/>
      <c r="Y827" s="7"/>
      <c r="Z827" s="7"/>
    </row>
    <row r="828" spans="1:26" ht="12.75" customHeight="1" x14ac:dyDescent="0.2">
      <c r="A828" s="95"/>
      <c r="B828" s="95"/>
      <c r="C828" s="40" t="s">
        <v>36</v>
      </c>
      <c r="D828" s="41">
        <v>21</v>
      </c>
      <c r="E828" s="30">
        <v>18770.54</v>
      </c>
      <c r="F828" s="30"/>
      <c r="G828" s="30"/>
      <c r="H828" s="30">
        <v>6384.11</v>
      </c>
      <c r="I828" s="30">
        <v>144.93</v>
      </c>
      <c r="J828" s="42">
        <v>2096.2199999999998</v>
      </c>
      <c r="K828" s="43">
        <v>25299.58</v>
      </c>
      <c r="L828" s="51">
        <v>27395.8</v>
      </c>
      <c r="M828" s="7"/>
      <c r="N828" s="30">
        <v>25299.58</v>
      </c>
      <c r="O828" s="30">
        <v>18915.47</v>
      </c>
      <c r="P828" s="30">
        <v>2424</v>
      </c>
      <c r="Q828" s="30">
        <f>(N828+O828*0.18+J828)+(IF((P828-O828*0.18)&gt;0,(P828-O828*0.18),0))</f>
        <v>30800.584600000002</v>
      </c>
      <c r="R828" s="7"/>
      <c r="S828" s="7"/>
      <c r="T828" s="7"/>
      <c r="U828" s="7"/>
      <c r="V828" s="7"/>
      <c r="W828" s="7"/>
      <c r="X828" s="7"/>
      <c r="Y828" s="7"/>
      <c r="Z828" s="7"/>
    </row>
    <row r="829" spans="1:26" ht="9" customHeight="1" x14ac:dyDescent="0.2">
      <c r="A829" s="95"/>
      <c r="B829" s="95"/>
      <c r="C829" s="34" t="s">
        <v>37</v>
      </c>
      <c r="D829" s="35">
        <v>27</v>
      </c>
      <c r="E829" s="36">
        <v>36344833</v>
      </c>
      <c r="F829" s="36"/>
      <c r="G829" s="36"/>
      <c r="H829" s="36">
        <v>12361361</v>
      </c>
      <c r="I829" s="36">
        <v>280624</v>
      </c>
      <c r="J829" s="37">
        <v>4058848</v>
      </c>
      <c r="K829" s="36">
        <v>48986818</v>
      </c>
      <c r="L829" s="50">
        <v>53045666</v>
      </c>
      <c r="M829" s="7"/>
      <c r="N829" s="36">
        <v>48986818</v>
      </c>
      <c r="O829" s="36">
        <v>36625457</v>
      </c>
      <c r="P829" s="36">
        <v>4693518</v>
      </c>
      <c r="Q829" s="46">
        <f>Q828*1936.27</f>
        <v>59638247.943442002</v>
      </c>
      <c r="R829" s="7"/>
      <c r="S829" s="7"/>
      <c r="T829" s="7"/>
      <c r="U829" s="7"/>
      <c r="V829" s="7"/>
      <c r="W829" s="7"/>
      <c r="X829" s="7"/>
      <c r="Y829" s="7"/>
      <c r="Z829" s="7"/>
    </row>
    <row r="830" spans="1:26" ht="12.75" customHeight="1" x14ac:dyDescent="0.2">
      <c r="A830" s="95"/>
      <c r="B830" s="95"/>
      <c r="C830" s="40" t="s">
        <v>36</v>
      </c>
      <c r="D830" s="41">
        <v>28</v>
      </c>
      <c r="E830" s="30">
        <v>20568.830000000002</v>
      </c>
      <c r="F830" s="30"/>
      <c r="G830" s="30"/>
      <c r="H830" s="30">
        <v>6384.11</v>
      </c>
      <c r="I830" s="30">
        <v>144.93</v>
      </c>
      <c r="J830" s="42">
        <v>2246.08</v>
      </c>
      <c r="K830" s="43">
        <v>27097.87</v>
      </c>
      <c r="L830" s="51">
        <v>29343.95</v>
      </c>
      <c r="M830" s="7"/>
      <c r="N830" s="30">
        <v>27097.87</v>
      </c>
      <c r="O830" s="30">
        <v>20713.759999999998</v>
      </c>
      <c r="P830" s="30">
        <v>3090</v>
      </c>
      <c r="Q830" s="30">
        <f>(N830+O830*0.18+J830)+(IF((P830-O830*0.18)&gt;0,(P830-O830*0.18),0))</f>
        <v>33072.426800000001</v>
      </c>
      <c r="R830" s="7"/>
      <c r="S830" s="7"/>
      <c r="T830" s="7"/>
      <c r="U830" s="7"/>
      <c r="V830" s="7"/>
      <c r="W830" s="7"/>
      <c r="X830" s="7"/>
      <c r="Y830" s="7"/>
      <c r="Z830" s="7"/>
    </row>
    <row r="831" spans="1:26" ht="9" customHeight="1" x14ac:dyDescent="0.2">
      <c r="A831" s="95"/>
      <c r="B831" s="95"/>
      <c r="C831" s="34" t="s">
        <v>37</v>
      </c>
      <c r="D831" s="35">
        <v>34</v>
      </c>
      <c r="E831" s="36">
        <v>39826808</v>
      </c>
      <c r="F831" s="36"/>
      <c r="G831" s="36"/>
      <c r="H831" s="36">
        <v>12361361</v>
      </c>
      <c r="I831" s="36">
        <v>280624</v>
      </c>
      <c r="J831" s="37">
        <v>4349017</v>
      </c>
      <c r="K831" s="36">
        <v>52468793</v>
      </c>
      <c r="L831" s="50">
        <v>56817810</v>
      </c>
      <c r="M831" s="7"/>
      <c r="N831" s="36">
        <v>52468793</v>
      </c>
      <c r="O831" s="36">
        <v>40107432</v>
      </c>
      <c r="P831" s="36">
        <v>5983074</v>
      </c>
      <c r="Q831" s="46">
        <f>Q830*1936.27</f>
        <v>64037147.840036005</v>
      </c>
      <c r="R831" s="7"/>
      <c r="S831" s="7"/>
      <c r="T831" s="7"/>
      <c r="U831" s="7"/>
      <c r="V831" s="7"/>
      <c r="W831" s="7"/>
      <c r="X831" s="7"/>
      <c r="Y831" s="7"/>
      <c r="Z831" s="7"/>
    </row>
    <row r="832" spans="1:26" ht="12.75" customHeight="1" x14ac:dyDescent="0.2">
      <c r="A832" s="95"/>
      <c r="B832" s="95"/>
      <c r="C832" s="40" t="s">
        <v>36</v>
      </c>
      <c r="D832" s="41">
        <v>35</v>
      </c>
      <c r="E832" s="30">
        <v>21907.88</v>
      </c>
      <c r="F832" s="30"/>
      <c r="G832" s="30"/>
      <c r="H832" s="30">
        <v>6384.11</v>
      </c>
      <c r="I832" s="30">
        <v>144.93</v>
      </c>
      <c r="J832" s="42">
        <v>2357.67</v>
      </c>
      <c r="K832" s="43">
        <v>28436.92</v>
      </c>
      <c r="L832" s="51">
        <v>30794.59</v>
      </c>
      <c r="M832" s="7"/>
      <c r="N832" s="30">
        <v>28436.92</v>
      </c>
      <c r="O832" s="30">
        <v>22052.81</v>
      </c>
      <c r="P832" s="30">
        <v>3090</v>
      </c>
      <c r="Q832" s="30">
        <f>(N832+O832*0.18+J832)+(IF((P832-O832*0.18)&gt;0,(P832-O832*0.18),0))</f>
        <v>34764.095799999996</v>
      </c>
      <c r="R832" s="7"/>
      <c r="S832" s="7"/>
      <c r="T832" s="7"/>
      <c r="U832" s="7"/>
      <c r="V832" s="7"/>
      <c r="W832" s="7"/>
      <c r="X832" s="7"/>
      <c r="Y832" s="7"/>
      <c r="Z832" s="7"/>
    </row>
    <row r="833" spans="1:26" ht="9" customHeight="1" x14ac:dyDescent="0.2">
      <c r="A833" s="110"/>
      <c r="B833" s="110"/>
      <c r="C833" s="47" t="s">
        <v>37</v>
      </c>
      <c r="D833" s="48"/>
      <c r="E833" s="46">
        <v>42419571</v>
      </c>
      <c r="F833" s="46"/>
      <c r="G833" s="46"/>
      <c r="H833" s="46">
        <v>12361361</v>
      </c>
      <c r="I833" s="46">
        <v>280624</v>
      </c>
      <c r="J833" s="49">
        <v>4565086</v>
      </c>
      <c r="K833" s="46">
        <v>55061555</v>
      </c>
      <c r="L833" s="52">
        <v>59626641</v>
      </c>
      <c r="M833" s="7"/>
      <c r="N833" s="46">
        <v>55061555</v>
      </c>
      <c r="O833" s="46">
        <v>42700194</v>
      </c>
      <c r="P833" s="46">
        <v>5983074</v>
      </c>
      <c r="Q833" s="46">
        <f>Q832*1936.27</f>
        <v>67312675.774665996</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6"/>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6"/>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6"/>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6"/>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6"/>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6"/>
      <c r="M839" s="39"/>
      <c r="N839" s="96"/>
      <c r="O839" s="96"/>
      <c r="P839" s="96"/>
      <c r="Q839" s="96"/>
      <c r="R839" s="7"/>
      <c r="S839" s="7"/>
      <c r="T839" s="7"/>
      <c r="U839" s="7"/>
      <c r="V839" s="7"/>
      <c r="W839" s="7"/>
      <c r="X839" s="7"/>
      <c r="Y839" s="7"/>
      <c r="Z839" s="7"/>
    </row>
    <row r="840" spans="1:26" ht="12.75" customHeight="1" x14ac:dyDescent="0.2">
      <c r="A840" s="98">
        <v>40422</v>
      </c>
      <c r="B840" s="98">
        <v>40543</v>
      </c>
      <c r="C840" s="28" t="s">
        <v>36</v>
      </c>
      <c r="D840" s="29">
        <v>0</v>
      </c>
      <c r="E840" s="30">
        <v>12940.19</v>
      </c>
      <c r="F840" s="30"/>
      <c r="G840" s="30"/>
      <c r="H840" s="30">
        <v>6384.11</v>
      </c>
      <c r="I840" s="30">
        <v>144.93</v>
      </c>
      <c r="J840" s="30">
        <v>1610.36</v>
      </c>
      <c r="K840" s="31">
        <v>19469.23</v>
      </c>
      <c r="L840" s="32">
        <v>21079.59</v>
      </c>
      <c r="M840" s="54"/>
      <c r="N840" s="30">
        <v>19469.23</v>
      </c>
      <c r="O840" s="30">
        <v>13085.12</v>
      </c>
      <c r="P840" s="30">
        <v>1968</v>
      </c>
      <c r="Q840" s="30">
        <f>(N840+O840*0.18+J840)+(IF((P840-O840*0.18)&gt;0,(P840-O840*0.18),0))</f>
        <v>23434.911599999999</v>
      </c>
      <c r="R840" s="7"/>
      <c r="S840" s="7"/>
      <c r="T840" s="7"/>
      <c r="U840" s="7"/>
      <c r="V840" s="7"/>
      <c r="W840" s="7"/>
      <c r="X840" s="7"/>
      <c r="Y840" s="7"/>
      <c r="Z840" s="7"/>
    </row>
    <row r="841" spans="1:26" ht="9" customHeight="1" x14ac:dyDescent="0.2">
      <c r="A841" s="95"/>
      <c r="B841" s="95"/>
      <c r="C841" s="34" t="s">
        <v>37</v>
      </c>
      <c r="D841" s="35">
        <v>2</v>
      </c>
      <c r="E841" s="36">
        <v>25055702</v>
      </c>
      <c r="F841" s="36"/>
      <c r="G841" s="36"/>
      <c r="H841" s="36">
        <v>12361361</v>
      </c>
      <c r="I841" s="36">
        <v>280624</v>
      </c>
      <c r="J841" s="37">
        <v>3118092</v>
      </c>
      <c r="K841" s="36">
        <v>37697686</v>
      </c>
      <c r="L841" s="50">
        <v>40815778</v>
      </c>
      <c r="M841" s="54"/>
      <c r="N841" s="36">
        <v>37697686</v>
      </c>
      <c r="O841" s="36">
        <v>25336325</v>
      </c>
      <c r="P841" s="36">
        <v>3810579</v>
      </c>
      <c r="Q841" s="46">
        <f>Q840*1936.27</f>
        <v>45376316.283731997</v>
      </c>
      <c r="R841" s="7"/>
      <c r="S841" s="7"/>
      <c r="T841" s="7"/>
      <c r="U841" s="7"/>
      <c r="V841" s="7"/>
      <c r="W841" s="7"/>
      <c r="X841" s="7"/>
      <c r="Y841" s="7"/>
      <c r="Z841" s="7"/>
    </row>
    <row r="842" spans="1:26" ht="12.75" customHeight="1" x14ac:dyDescent="0.2">
      <c r="A842" s="156">
        <v>40422</v>
      </c>
      <c r="B842" s="156">
        <v>40543</v>
      </c>
      <c r="C842" s="40" t="s">
        <v>36</v>
      </c>
      <c r="D842" s="41">
        <v>3</v>
      </c>
      <c r="E842" s="30">
        <v>12940.19</v>
      </c>
      <c r="F842" s="30"/>
      <c r="G842" s="30"/>
      <c r="H842" s="30">
        <v>6384.11</v>
      </c>
      <c r="I842" s="30">
        <v>144.93</v>
      </c>
      <c r="J842" s="42">
        <v>1653.86</v>
      </c>
      <c r="K842" s="43">
        <v>19991.28</v>
      </c>
      <c r="L842" s="51">
        <v>21645.14</v>
      </c>
      <c r="M842" s="54"/>
      <c r="N842" s="30">
        <v>19991.28</v>
      </c>
      <c r="O842" s="30">
        <v>13607.17</v>
      </c>
      <c r="P842" s="30">
        <v>1968</v>
      </c>
      <c r="Q842" s="30">
        <f>(N842+O842*0.18+J842)+(IF((P842-O842*0.18)&gt;0,(P842-O842*0.18),0))</f>
        <v>24094.4306</v>
      </c>
      <c r="R842" s="7"/>
      <c r="S842" s="7"/>
      <c r="T842" s="7"/>
      <c r="U842" s="7"/>
      <c r="V842" s="7"/>
      <c r="W842" s="7"/>
      <c r="X842" s="7"/>
      <c r="Y842" s="7"/>
      <c r="Z842" s="7"/>
    </row>
    <row r="843" spans="1:26" ht="9" customHeight="1" x14ac:dyDescent="0.2">
      <c r="A843" s="95"/>
      <c r="B843" s="95"/>
      <c r="C843" s="34" t="s">
        <v>37</v>
      </c>
      <c r="D843" s="35">
        <v>8</v>
      </c>
      <c r="E843" s="36">
        <v>25055702</v>
      </c>
      <c r="F843" s="36"/>
      <c r="G843" s="36"/>
      <c r="H843" s="36">
        <v>12361361</v>
      </c>
      <c r="I843" s="36">
        <v>280624</v>
      </c>
      <c r="J843" s="37">
        <v>3202320</v>
      </c>
      <c r="K843" s="36">
        <v>38708516</v>
      </c>
      <c r="L843" s="50">
        <v>41910835</v>
      </c>
      <c r="M843" s="54"/>
      <c r="N843" s="36">
        <v>38708516</v>
      </c>
      <c r="O843" s="36">
        <v>26347155</v>
      </c>
      <c r="P843" s="36">
        <v>3810579</v>
      </c>
      <c r="Q843" s="46">
        <f>Q842*1936.27</f>
        <v>46653323.137861997</v>
      </c>
      <c r="R843" s="7"/>
      <c r="S843" s="7"/>
      <c r="T843" s="7"/>
      <c r="U843" s="7"/>
      <c r="V843" s="7"/>
      <c r="W843" s="7"/>
      <c r="X843" s="7"/>
      <c r="Y843" s="7"/>
      <c r="Z843" s="7"/>
    </row>
    <row r="844" spans="1:26" ht="12.75" customHeight="1" x14ac:dyDescent="0.2">
      <c r="A844" s="95"/>
      <c r="B844" s="95"/>
      <c r="C844" s="40" t="s">
        <v>36</v>
      </c>
      <c r="D844" s="41">
        <v>9</v>
      </c>
      <c r="E844" s="30">
        <v>15069.97</v>
      </c>
      <c r="F844" s="30"/>
      <c r="G844" s="30"/>
      <c r="H844" s="30">
        <v>6384.11</v>
      </c>
      <c r="I844" s="30">
        <v>144.93</v>
      </c>
      <c r="J844" s="42">
        <v>1787.84</v>
      </c>
      <c r="K844" s="43">
        <v>21599.01</v>
      </c>
      <c r="L844" s="51">
        <v>23386.85</v>
      </c>
      <c r="M844" s="7"/>
      <c r="N844" s="30">
        <v>21599.01</v>
      </c>
      <c r="O844" s="30">
        <v>15214.9</v>
      </c>
      <c r="P844" s="30">
        <v>1968</v>
      </c>
      <c r="Q844" s="30">
        <f>(N844+O844*0.18+J844)+(IF((P844-O844*0.18)&gt;0,(P844-O844*0.18),0))</f>
        <v>26125.531999999999</v>
      </c>
      <c r="R844" s="7"/>
      <c r="S844" s="7"/>
      <c r="T844" s="7"/>
      <c r="U844" s="7"/>
      <c r="V844" s="7"/>
      <c r="W844" s="7"/>
      <c r="X844" s="7"/>
      <c r="Y844" s="7"/>
      <c r="Z844" s="7"/>
    </row>
    <row r="845" spans="1:26" ht="9" customHeight="1" x14ac:dyDescent="0.2">
      <c r="A845" s="95"/>
      <c r="B845" s="95"/>
      <c r="C845" s="34" t="s">
        <v>37</v>
      </c>
      <c r="D845" s="35">
        <v>14</v>
      </c>
      <c r="E845" s="36">
        <v>29179531</v>
      </c>
      <c r="F845" s="36"/>
      <c r="G845" s="36"/>
      <c r="H845" s="36">
        <v>12361361</v>
      </c>
      <c r="I845" s="36">
        <v>280624</v>
      </c>
      <c r="J845" s="37">
        <v>3461741</v>
      </c>
      <c r="K845" s="36">
        <v>41821515</v>
      </c>
      <c r="L845" s="50">
        <v>45283256</v>
      </c>
      <c r="M845" s="55"/>
      <c r="N845" s="36">
        <v>41821515</v>
      </c>
      <c r="O845" s="36">
        <v>29460154</v>
      </c>
      <c r="P845" s="36">
        <v>3810579</v>
      </c>
      <c r="Q845" s="46">
        <f>Q844*1936.27</f>
        <v>50586083.845639996</v>
      </c>
      <c r="R845" s="7"/>
      <c r="S845" s="7"/>
      <c r="T845" s="7"/>
      <c r="U845" s="7"/>
      <c r="V845" s="7"/>
      <c r="W845" s="7"/>
      <c r="X845" s="7"/>
      <c r="Y845" s="7"/>
      <c r="Z845" s="7"/>
    </row>
    <row r="846" spans="1:26" ht="12.75" customHeight="1" x14ac:dyDescent="0.2">
      <c r="A846" s="95"/>
      <c r="B846" s="95"/>
      <c r="C846" s="40" t="s">
        <v>36</v>
      </c>
      <c r="D846" s="41">
        <v>15</v>
      </c>
      <c r="E846" s="30">
        <v>16947.900000000001</v>
      </c>
      <c r="F846" s="30"/>
      <c r="G846" s="30"/>
      <c r="H846" s="30">
        <v>6384.11</v>
      </c>
      <c r="I846" s="30">
        <v>144.93</v>
      </c>
      <c r="J846" s="42">
        <v>1944.33</v>
      </c>
      <c r="K846" s="43">
        <v>23476.94</v>
      </c>
      <c r="L846" s="51">
        <v>25421.27</v>
      </c>
      <c r="M846" s="7"/>
      <c r="N846" s="30">
        <v>23476.94</v>
      </c>
      <c r="O846" s="30">
        <v>17092.830000000002</v>
      </c>
      <c r="P846" s="30">
        <v>2424</v>
      </c>
      <c r="Q846" s="30">
        <f>(N846+O846*0.18+J846)+(IF((P846-O846*0.18)&gt;0,(P846-O846*0.18),0))</f>
        <v>28497.979399999997</v>
      </c>
      <c r="R846" s="7"/>
      <c r="S846" s="7"/>
      <c r="T846" s="7"/>
      <c r="U846" s="7"/>
      <c r="V846" s="7"/>
      <c r="W846" s="7"/>
      <c r="X846" s="7"/>
      <c r="Y846" s="7"/>
      <c r="Z846" s="7"/>
    </row>
    <row r="847" spans="1:26" ht="9" customHeight="1" x14ac:dyDescent="0.2">
      <c r="A847" s="95"/>
      <c r="B847" s="95"/>
      <c r="C847" s="34" t="s">
        <v>37</v>
      </c>
      <c r="D847" s="35">
        <v>20</v>
      </c>
      <c r="E847" s="36">
        <v>32815710</v>
      </c>
      <c r="F847" s="36"/>
      <c r="G847" s="36"/>
      <c r="H847" s="36">
        <v>12361361</v>
      </c>
      <c r="I847" s="36">
        <v>280624</v>
      </c>
      <c r="J847" s="37">
        <v>3764748</v>
      </c>
      <c r="K847" s="36">
        <v>45457695</v>
      </c>
      <c r="L847" s="50">
        <v>49222442</v>
      </c>
      <c r="M847" s="7"/>
      <c r="N847" s="36">
        <v>45457695</v>
      </c>
      <c r="O847" s="36">
        <v>33096334</v>
      </c>
      <c r="P847" s="36">
        <v>4693518</v>
      </c>
      <c r="Q847" s="46">
        <f>Q846*1936.27</f>
        <v>55179782.572837994</v>
      </c>
      <c r="R847" s="7"/>
      <c r="S847" s="7"/>
      <c r="T847" s="7"/>
      <c r="U847" s="7"/>
      <c r="V847" s="7"/>
      <c r="W847" s="7"/>
      <c r="X847" s="7"/>
      <c r="Y847" s="7"/>
      <c r="Z847" s="7"/>
    </row>
    <row r="848" spans="1:26" ht="12.75" customHeight="1" x14ac:dyDescent="0.2">
      <c r="A848" s="95"/>
      <c r="B848" s="95"/>
      <c r="C848" s="40" t="s">
        <v>36</v>
      </c>
      <c r="D848" s="41">
        <v>21</v>
      </c>
      <c r="E848" s="30">
        <v>18770.54</v>
      </c>
      <c r="F848" s="30"/>
      <c r="G848" s="30"/>
      <c r="H848" s="30">
        <v>6384.11</v>
      </c>
      <c r="I848" s="30">
        <v>144.93</v>
      </c>
      <c r="J848" s="42">
        <v>2096.2199999999998</v>
      </c>
      <c r="K848" s="43">
        <v>25299.58</v>
      </c>
      <c r="L848" s="51">
        <v>27395.8</v>
      </c>
      <c r="M848" s="7"/>
      <c r="N848" s="30">
        <v>25299.58</v>
      </c>
      <c r="O848" s="30">
        <v>18915.47</v>
      </c>
      <c r="P848" s="30">
        <v>2424</v>
      </c>
      <c r="Q848" s="30">
        <f>(N848+O848*0.18+J848)+(IF((P848-O848*0.18)&gt;0,(P848-O848*0.18),0))</f>
        <v>30800.584600000002</v>
      </c>
      <c r="R848" s="7"/>
      <c r="S848" s="7"/>
      <c r="T848" s="7"/>
      <c r="U848" s="7"/>
      <c r="V848" s="7"/>
      <c r="W848" s="7"/>
      <c r="X848" s="7"/>
      <c r="Y848" s="7"/>
      <c r="Z848" s="7"/>
    </row>
    <row r="849" spans="1:26" ht="9" customHeight="1" x14ac:dyDescent="0.2">
      <c r="A849" s="95"/>
      <c r="B849" s="95"/>
      <c r="C849" s="34" t="s">
        <v>37</v>
      </c>
      <c r="D849" s="35">
        <v>27</v>
      </c>
      <c r="E849" s="36">
        <v>36344833</v>
      </c>
      <c r="F849" s="36"/>
      <c r="G849" s="36"/>
      <c r="H849" s="36">
        <v>12361361</v>
      </c>
      <c r="I849" s="36">
        <v>280624</v>
      </c>
      <c r="J849" s="37">
        <v>4058848</v>
      </c>
      <c r="K849" s="36">
        <v>48986818</v>
      </c>
      <c r="L849" s="50">
        <v>53045666</v>
      </c>
      <c r="M849" s="7"/>
      <c r="N849" s="36">
        <v>48986818</v>
      </c>
      <c r="O849" s="36">
        <v>36625457</v>
      </c>
      <c r="P849" s="36">
        <v>4693518</v>
      </c>
      <c r="Q849" s="46">
        <f>Q848*1936.27</f>
        <v>59638247.943442002</v>
      </c>
      <c r="R849" s="7"/>
      <c r="S849" s="7"/>
      <c r="T849" s="7"/>
      <c r="U849" s="7"/>
      <c r="V849" s="7"/>
      <c r="W849" s="7"/>
      <c r="X849" s="7"/>
      <c r="Y849" s="7"/>
      <c r="Z849" s="7"/>
    </row>
    <row r="850" spans="1:26" ht="12.75" customHeight="1" x14ac:dyDescent="0.2">
      <c r="A850" s="95"/>
      <c r="B850" s="95"/>
      <c r="C850" s="40" t="s">
        <v>36</v>
      </c>
      <c r="D850" s="41">
        <v>28</v>
      </c>
      <c r="E850" s="30">
        <v>20568.830000000002</v>
      </c>
      <c r="F850" s="30"/>
      <c r="G850" s="30"/>
      <c r="H850" s="30">
        <v>6384.11</v>
      </c>
      <c r="I850" s="30">
        <v>144.93</v>
      </c>
      <c r="J850" s="42">
        <v>2246.08</v>
      </c>
      <c r="K850" s="43">
        <v>27097.87</v>
      </c>
      <c r="L850" s="51">
        <v>29343.95</v>
      </c>
      <c r="M850" s="7"/>
      <c r="N850" s="30">
        <v>27097.87</v>
      </c>
      <c r="O850" s="30">
        <v>20713.759999999998</v>
      </c>
      <c r="P850" s="30">
        <v>3090</v>
      </c>
      <c r="Q850" s="30">
        <f>(N850+O850*0.18+J850)+(IF((P850-O850*0.18)&gt;0,(P850-O850*0.18),0))</f>
        <v>33072.426800000001</v>
      </c>
      <c r="R850" s="7"/>
      <c r="S850" s="7"/>
      <c r="T850" s="7"/>
      <c r="U850" s="7"/>
      <c r="V850" s="7"/>
      <c r="W850" s="7"/>
      <c r="X850" s="7"/>
      <c r="Y850" s="7"/>
      <c r="Z850" s="7"/>
    </row>
    <row r="851" spans="1:26" ht="9" customHeight="1" x14ac:dyDescent="0.2">
      <c r="A851" s="95"/>
      <c r="B851" s="95"/>
      <c r="C851" s="34" t="s">
        <v>37</v>
      </c>
      <c r="D851" s="35">
        <v>34</v>
      </c>
      <c r="E851" s="36">
        <v>39826808</v>
      </c>
      <c r="F851" s="36"/>
      <c r="G851" s="36"/>
      <c r="H851" s="36">
        <v>12361361</v>
      </c>
      <c r="I851" s="36">
        <v>280624</v>
      </c>
      <c r="J851" s="37">
        <v>4349017</v>
      </c>
      <c r="K851" s="36">
        <v>52468793</v>
      </c>
      <c r="L851" s="50">
        <v>56817810</v>
      </c>
      <c r="M851" s="7"/>
      <c r="N851" s="36">
        <v>52468793</v>
      </c>
      <c r="O851" s="36">
        <v>40107432</v>
      </c>
      <c r="P851" s="36">
        <v>5983074</v>
      </c>
      <c r="Q851" s="46">
        <f>Q850*1936.27</f>
        <v>64037147.840036005</v>
      </c>
      <c r="R851" s="7"/>
      <c r="S851" s="7"/>
      <c r="T851" s="7"/>
      <c r="U851" s="7"/>
      <c r="V851" s="7"/>
      <c r="W851" s="7"/>
      <c r="X851" s="7"/>
      <c r="Y851" s="7"/>
      <c r="Z851" s="7"/>
    </row>
    <row r="852" spans="1:26" ht="12.75" customHeight="1" x14ac:dyDescent="0.2">
      <c r="A852" s="95"/>
      <c r="B852" s="95"/>
      <c r="C852" s="40" t="s">
        <v>36</v>
      </c>
      <c r="D852" s="41">
        <v>35</v>
      </c>
      <c r="E852" s="30">
        <v>21907.88</v>
      </c>
      <c r="F852" s="30"/>
      <c r="G852" s="30"/>
      <c r="H852" s="30">
        <v>6384.11</v>
      </c>
      <c r="I852" s="30">
        <v>144.93</v>
      </c>
      <c r="J852" s="42">
        <v>2357.67</v>
      </c>
      <c r="K852" s="43">
        <v>28436.92</v>
      </c>
      <c r="L852" s="51">
        <v>30794.59</v>
      </c>
      <c r="M852" s="7"/>
      <c r="N852" s="30">
        <v>28436.92</v>
      </c>
      <c r="O852" s="30">
        <v>22052.81</v>
      </c>
      <c r="P852" s="30">
        <v>3090</v>
      </c>
      <c r="Q852" s="30">
        <f>(N852+O852*0.18+J852)+(IF((P852-O852*0.18)&gt;0,(P852-O852*0.18),0))</f>
        <v>34764.095799999996</v>
      </c>
      <c r="R852" s="7"/>
      <c r="S852" s="7"/>
      <c r="T852" s="7"/>
      <c r="U852" s="7"/>
      <c r="V852" s="7"/>
      <c r="W852" s="7"/>
      <c r="X852" s="7"/>
      <c r="Y852" s="7"/>
      <c r="Z852" s="7"/>
    </row>
    <row r="853" spans="1:26" ht="9" customHeight="1" x14ac:dyDescent="0.2">
      <c r="A853" s="110"/>
      <c r="B853" s="110"/>
      <c r="C853" s="47" t="s">
        <v>37</v>
      </c>
      <c r="D853" s="48"/>
      <c r="E853" s="46">
        <v>42419571</v>
      </c>
      <c r="F853" s="46"/>
      <c r="G853" s="46"/>
      <c r="H853" s="46">
        <v>12361361</v>
      </c>
      <c r="I853" s="46">
        <v>280624</v>
      </c>
      <c r="J853" s="49">
        <v>4565086</v>
      </c>
      <c r="K853" s="46">
        <v>55061555</v>
      </c>
      <c r="L853" s="52">
        <v>59626641</v>
      </c>
      <c r="M853" s="7"/>
      <c r="N853" s="46">
        <v>55061555</v>
      </c>
      <c r="O853" s="46">
        <v>42700194</v>
      </c>
      <c r="P853" s="46">
        <v>5983074</v>
      </c>
      <c r="Q853" s="46">
        <f>Q852*1936.27</f>
        <v>67312675.774665996</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6"/>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6"/>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6"/>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6"/>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6"/>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6"/>
      <c r="M859" s="39"/>
      <c r="N859" s="96"/>
      <c r="O859" s="96"/>
      <c r="P859" s="96"/>
      <c r="Q859" s="96"/>
      <c r="R859" s="7"/>
      <c r="S859" s="7"/>
      <c r="T859" s="7"/>
      <c r="U859" s="7"/>
      <c r="V859" s="7"/>
      <c r="W859" s="7"/>
      <c r="X859" s="7"/>
      <c r="Y859" s="7"/>
      <c r="Z859" s="7"/>
    </row>
    <row r="860" spans="1:26" ht="12.75" customHeight="1" x14ac:dyDescent="0.2">
      <c r="A860" s="98">
        <v>40544</v>
      </c>
      <c r="B860" s="98">
        <v>42369</v>
      </c>
      <c r="C860" s="28" t="s">
        <v>36</v>
      </c>
      <c r="D860" s="29">
        <v>0</v>
      </c>
      <c r="E860" s="30">
        <v>12940.19</v>
      </c>
      <c r="F860" s="30"/>
      <c r="G860" s="30"/>
      <c r="H860" s="30">
        <v>6384.11</v>
      </c>
      <c r="I860" s="30">
        <v>144.93</v>
      </c>
      <c r="J860" s="30">
        <v>1622.44</v>
      </c>
      <c r="K860" s="30">
        <v>19469.23</v>
      </c>
      <c r="L860" s="32">
        <v>21091.67</v>
      </c>
      <c r="M860" s="33"/>
      <c r="N860" s="30">
        <v>19469.23</v>
      </c>
      <c r="O860" s="30">
        <v>13085.12</v>
      </c>
      <c r="P860" s="30">
        <v>1968</v>
      </c>
      <c r="Q860" s="30">
        <v>23446.99</v>
      </c>
      <c r="R860" s="7"/>
      <c r="S860" s="7"/>
      <c r="T860" s="7"/>
      <c r="U860" s="7"/>
      <c r="V860" s="7"/>
      <c r="W860" s="7"/>
      <c r="X860" s="7"/>
      <c r="Y860" s="7"/>
      <c r="Z860" s="7"/>
    </row>
    <row r="861" spans="1:26" ht="9" customHeight="1" x14ac:dyDescent="0.2">
      <c r="A861" s="95"/>
      <c r="B861" s="95"/>
      <c r="C861" s="34" t="s">
        <v>37</v>
      </c>
      <c r="D861" s="35">
        <v>2</v>
      </c>
      <c r="E861" s="46">
        <v>25055702</v>
      </c>
      <c r="F861" s="36"/>
      <c r="G861" s="36"/>
      <c r="H861" s="46">
        <v>12361361</v>
      </c>
      <c r="I861" s="46">
        <v>280624</v>
      </c>
      <c r="J861" s="37">
        <v>3141482</v>
      </c>
      <c r="K861" s="46">
        <v>37697686</v>
      </c>
      <c r="L861" s="46">
        <v>40839168</v>
      </c>
      <c r="M861" s="39"/>
      <c r="N861" s="36">
        <v>37697686</v>
      </c>
      <c r="O861" s="36">
        <v>25336325</v>
      </c>
      <c r="P861" s="46">
        <v>3810579</v>
      </c>
      <c r="Q861" s="36">
        <v>45399703</v>
      </c>
      <c r="R861" s="7"/>
      <c r="S861" s="7"/>
      <c r="T861" s="7"/>
      <c r="U861" s="7"/>
      <c r="V861" s="7"/>
      <c r="W861" s="7"/>
      <c r="X861" s="7"/>
      <c r="Y861" s="7"/>
      <c r="Z861" s="7"/>
    </row>
    <row r="862" spans="1:26" ht="12.75" customHeight="1" x14ac:dyDescent="0.2">
      <c r="A862" s="156">
        <v>40544</v>
      </c>
      <c r="B862" s="156">
        <v>42369</v>
      </c>
      <c r="C862" s="40" t="s">
        <v>36</v>
      </c>
      <c r="D862" s="41">
        <v>3</v>
      </c>
      <c r="E862" s="30">
        <v>12940.19</v>
      </c>
      <c r="F862" s="30"/>
      <c r="G862" s="30"/>
      <c r="H862" s="30">
        <v>6384.11</v>
      </c>
      <c r="I862" s="30">
        <v>144.93</v>
      </c>
      <c r="J862" s="30">
        <v>1665.94</v>
      </c>
      <c r="K862" s="30">
        <v>19991.28</v>
      </c>
      <c r="L862" s="32">
        <v>21657.22</v>
      </c>
      <c r="M862" s="33"/>
      <c r="N862" s="30">
        <v>19991.28</v>
      </c>
      <c r="O862" s="30">
        <v>13607.17</v>
      </c>
      <c r="P862" s="30">
        <v>1968</v>
      </c>
      <c r="Q862" s="30">
        <v>24106.51</v>
      </c>
      <c r="R862" s="7"/>
      <c r="S862" s="7"/>
      <c r="T862" s="7"/>
      <c r="U862" s="7"/>
      <c r="V862" s="7"/>
      <c r="W862" s="7"/>
      <c r="X862" s="7"/>
      <c r="Y862" s="7"/>
      <c r="Z862" s="7"/>
    </row>
    <row r="863" spans="1:26" ht="9" customHeight="1" x14ac:dyDescent="0.2">
      <c r="A863" s="95"/>
      <c r="B863" s="95"/>
      <c r="C863" s="34" t="s">
        <v>37</v>
      </c>
      <c r="D863" s="35">
        <v>8</v>
      </c>
      <c r="E863" s="36">
        <v>25055702</v>
      </c>
      <c r="F863" s="36"/>
      <c r="G863" s="36"/>
      <c r="H863" s="46">
        <v>12361361</v>
      </c>
      <c r="I863" s="46">
        <v>280624</v>
      </c>
      <c r="J863" s="37">
        <v>3225710</v>
      </c>
      <c r="K863" s="46">
        <v>38708516</v>
      </c>
      <c r="L863" s="46">
        <v>41934225</v>
      </c>
      <c r="M863" s="39"/>
      <c r="N863" s="36">
        <v>38708516</v>
      </c>
      <c r="O863" s="36">
        <v>26347155</v>
      </c>
      <c r="P863" s="46">
        <v>3810579</v>
      </c>
      <c r="Q863" s="36">
        <v>46676712</v>
      </c>
      <c r="R863" s="7"/>
      <c r="S863" s="7"/>
      <c r="T863" s="7"/>
      <c r="U863" s="7"/>
      <c r="V863" s="7"/>
      <c r="W863" s="7"/>
      <c r="X863" s="7"/>
      <c r="Y863" s="7"/>
      <c r="Z863" s="7"/>
    </row>
    <row r="864" spans="1:26" ht="12.75" customHeight="1" x14ac:dyDescent="0.2">
      <c r="A864" s="95"/>
      <c r="B864" s="95"/>
      <c r="C864" s="40" t="s">
        <v>36</v>
      </c>
      <c r="D864" s="41">
        <v>9</v>
      </c>
      <c r="E864" s="30">
        <v>15069.97</v>
      </c>
      <c r="F864" s="30"/>
      <c r="G864" s="30"/>
      <c r="H864" s="30">
        <v>6384.11</v>
      </c>
      <c r="I864" s="30">
        <v>144.93</v>
      </c>
      <c r="J864" s="30">
        <v>1799.92</v>
      </c>
      <c r="K864" s="30">
        <v>21599.01</v>
      </c>
      <c r="L864" s="32">
        <v>23398.93</v>
      </c>
      <c r="M864" s="33"/>
      <c r="N864" s="30">
        <v>21599.01</v>
      </c>
      <c r="O864" s="30">
        <v>15214.9</v>
      </c>
      <c r="P864" s="30">
        <v>1968</v>
      </c>
      <c r="Q864" s="30">
        <v>26137.61</v>
      </c>
      <c r="R864" s="7"/>
      <c r="S864" s="7"/>
      <c r="T864" s="7"/>
      <c r="U864" s="7"/>
      <c r="V864" s="7"/>
      <c r="W864" s="7"/>
      <c r="X864" s="7"/>
      <c r="Y864" s="7"/>
      <c r="Z864" s="7"/>
    </row>
    <row r="865" spans="1:26" ht="9" customHeight="1" x14ac:dyDescent="0.2">
      <c r="A865" s="95"/>
      <c r="B865" s="95"/>
      <c r="C865" s="34" t="s">
        <v>37</v>
      </c>
      <c r="D865" s="35">
        <v>14</v>
      </c>
      <c r="E865" s="46">
        <v>29179531</v>
      </c>
      <c r="F865" s="36"/>
      <c r="G865" s="36"/>
      <c r="H865" s="46">
        <v>12361361</v>
      </c>
      <c r="I865" s="46">
        <v>280624</v>
      </c>
      <c r="J865" s="37">
        <v>3485131</v>
      </c>
      <c r="K865" s="46">
        <v>41821515</v>
      </c>
      <c r="L865" s="46">
        <v>45306646</v>
      </c>
      <c r="M865" s="39"/>
      <c r="N865" s="36">
        <v>41821515</v>
      </c>
      <c r="O865" s="36">
        <v>29460154</v>
      </c>
      <c r="P865" s="46">
        <v>3810579</v>
      </c>
      <c r="Q865" s="36">
        <v>50609470</v>
      </c>
      <c r="R865" s="7"/>
      <c r="S865" s="7"/>
      <c r="T865" s="7"/>
      <c r="U865" s="7"/>
      <c r="V865" s="7"/>
      <c r="W865" s="7"/>
      <c r="X865" s="7"/>
      <c r="Y865" s="7"/>
      <c r="Z865" s="7"/>
    </row>
    <row r="866" spans="1:26" ht="12.75" customHeight="1" x14ac:dyDescent="0.2">
      <c r="A866" s="95"/>
      <c r="B866" s="95"/>
      <c r="C866" s="40" t="s">
        <v>36</v>
      </c>
      <c r="D866" s="41">
        <v>15</v>
      </c>
      <c r="E866" s="30">
        <v>16947.900000000001</v>
      </c>
      <c r="F866" s="30"/>
      <c r="G866" s="30"/>
      <c r="H866" s="30">
        <v>6384.11</v>
      </c>
      <c r="I866" s="30">
        <v>144.93</v>
      </c>
      <c r="J866" s="30">
        <v>1956.41</v>
      </c>
      <c r="K866" s="30">
        <v>23476.94</v>
      </c>
      <c r="L866" s="32">
        <v>25433.35</v>
      </c>
      <c r="M866" s="33"/>
      <c r="N866" s="30">
        <v>23476.94</v>
      </c>
      <c r="O866" s="30">
        <v>17092.830000000002</v>
      </c>
      <c r="P866" s="30">
        <v>2424</v>
      </c>
      <c r="Q866" s="30">
        <v>28510.06</v>
      </c>
      <c r="R866" s="7"/>
      <c r="S866" s="7"/>
      <c r="T866" s="7"/>
      <c r="U866" s="7"/>
      <c r="V866" s="7"/>
      <c r="W866" s="7"/>
      <c r="X866" s="7"/>
      <c r="Y866" s="7"/>
      <c r="Z866" s="7"/>
    </row>
    <row r="867" spans="1:26" ht="9" customHeight="1" x14ac:dyDescent="0.2">
      <c r="A867" s="95"/>
      <c r="B867" s="95"/>
      <c r="C867" s="34" t="s">
        <v>37</v>
      </c>
      <c r="D867" s="35">
        <v>20</v>
      </c>
      <c r="E867" s="46">
        <v>32815710</v>
      </c>
      <c r="F867" s="36"/>
      <c r="G867" s="36"/>
      <c r="H867" s="46">
        <v>12361361</v>
      </c>
      <c r="I867" s="46">
        <v>280624</v>
      </c>
      <c r="J867" s="37">
        <v>3788138</v>
      </c>
      <c r="K867" s="46">
        <v>45457695</v>
      </c>
      <c r="L867" s="46">
        <v>49245833</v>
      </c>
      <c r="M867" s="39"/>
      <c r="N867" s="36">
        <v>45457695</v>
      </c>
      <c r="O867" s="36">
        <v>33096334</v>
      </c>
      <c r="P867" s="46">
        <v>4693518</v>
      </c>
      <c r="Q867" s="36">
        <v>55203174</v>
      </c>
      <c r="R867" s="7"/>
      <c r="S867" s="7"/>
      <c r="T867" s="7"/>
      <c r="U867" s="7"/>
      <c r="V867" s="7"/>
      <c r="W867" s="7"/>
      <c r="X867" s="7"/>
      <c r="Y867" s="7"/>
      <c r="Z867" s="7"/>
    </row>
    <row r="868" spans="1:26" ht="12.75" customHeight="1" x14ac:dyDescent="0.2">
      <c r="A868" s="95"/>
      <c r="B868" s="95"/>
      <c r="C868" s="40" t="s">
        <v>36</v>
      </c>
      <c r="D868" s="41">
        <v>21</v>
      </c>
      <c r="E868" s="30">
        <v>18770.54</v>
      </c>
      <c r="F868" s="30"/>
      <c r="G868" s="30"/>
      <c r="H868" s="30">
        <v>6384.11</v>
      </c>
      <c r="I868" s="30">
        <v>144.93</v>
      </c>
      <c r="J868" s="30">
        <v>2108.3000000000002</v>
      </c>
      <c r="K868" s="30">
        <v>25299.58</v>
      </c>
      <c r="L868" s="32">
        <v>27407.88</v>
      </c>
      <c r="M868" s="33"/>
      <c r="N868" s="30">
        <v>25299.58</v>
      </c>
      <c r="O868" s="30">
        <v>18915.47</v>
      </c>
      <c r="P868" s="30">
        <v>2424</v>
      </c>
      <c r="Q868" s="30">
        <v>30812.66</v>
      </c>
      <c r="R868" s="7"/>
      <c r="S868" s="7"/>
      <c r="T868" s="7"/>
      <c r="U868" s="7"/>
      <c r="V868" s="7"/>
      <c r="W868" s="7"/>
      <c r="X868" s="7"/>
      <c r="Y868" s="7"/>
      <c r="Z868" s="7"/>
    </row>
    <row r="869" spans="1:26" ht="9" customHeight="1" x14ac:dyDescent="0.2">
      <c r="A869" s="95"/>
      <c r="B869" s="95"/>
      <c r="C869" s="34" t="s">
        <v>37</v>
      </c>
      <c r="D869" s="35">
        <v>27</v>
      </c>
      <c r="E869" s="46">
        <v>36344833</v>
      </c>
      <c r="F869" s="36"/>
      <c r="G869" s="36"/>
      <c r="H869" s="46">
        <v>12361361</v>
      </c>
      <c r="I869" s="46">
        <v>280624</v>
      </c>
      <c r="J869" s="37">
        <v>4082238</v>
      </c>
      <c r="K869" s="46">
        <v>48986818</v>
      </c>
      <c r="L869" s="46">
        <v>53069056</v>
      </c>
      <c r="M869" s="39"/>
      <c r="N869" s="36">
        <v>48986818</v>
      </c>
      <c r="O869" s="36">
        <v>36625457</v>
      </c>
      <c r="P869" s="46">
        <v>4693518</v>
      </c>
      <c r="Q869" s="36">
        <v>59661629</v>
      </c>
      <c r="R869" s="7"/>
      <c r="S869" s="7"/>
      <c r="T869" s="7"/>
      <c r="U869" s="7"/>
      <c r="V869" s="7"/>
      <c r="W869" s="7"/>
      <c r="X869" s="7"/>
      <c r="Y869" s="7"/>
      <c r="Z869" s="7"/>
    </row>
    <row r="870" spans="1:26" ht="12.75" customHeight="1" x14ac:dyDescent="0.2">
      <c r="A870" s="95"/>
      <c r="B870" s="95"/>
      <c r="C870" s="40" t="s">
        <v>36</v>
      </c>
      <c r="D870" s="41">
        <v>28</v>
      </c>
      <c r="E870" s="30">
        <v>20568.830000000002</v>
      </c>
      <c r="F870" s="30"/>
      <c r="G870" s="30"/>
      <c r="H870" s="30">
        <v>6384.11</v>
      </c>
      <c r="I870" s="30">
        <v>144.93</v>
      </c>
      <c r="J870" s="30">
        <v>2258.16</v>
      </c>
      <c r="K870" s="30">
        <v>27097.87</v>
      </c>
      <c r="L870" s="32">
        <v>29356.03</v>
      </c>
      <c r="M870" s="33"/>
      <c r="N870" s="30">
        <v>27097.87</v>
      </c>
      <c r="O870" s="30">
        <v>20713.759999999998</v>
      </c>
      <c r="P870" s="30">
        <v>3090</v>
      </c>
      <c r="Q870" s="30">
        <v>33084.51</v>
      </c>
      <c r="R870" s="7"/>
      <c r="S870" s="7"/>
      <c r="T870" s="7"/>
      <c r="U870" s="7"/>
      <c r="V870" s="7"/>
      <c r="W870" s="7"/>
      <c r="X870" s="7"/>
      <c r="Y870" s="7"/>
      <c r="Z870" s="7"/>
    </row>
    <row r="871" spans="1:26" ht="9" customHeight="1" x14ac:dyDescent="0.2">
      <c r="A871" s="95"/>
      <c r="B871" s="95"/>
      <c r="C871" s="34" t="s">
        <v>37</v>
      </c>
      <c r="D871" s="35">
        <v>34</v>
      </c>
      <c r="E871" s="46">
        <v>39826808</v>
      </c>
      <c r="F871" s="36"/>
      <c r="G871" s="36"/>
      <c r="H871" s="46">
        <v>12361361</v>
      </c>
      <c r="I871" s="46">
        <v>280624</v>
      </c>
      <c r="J871" s="37">
        <v>4372407</v>
      </c>
      <c r="K871" s="46">
        <v>52468793</v>
      </c>
      <c r="L871" s="46">
        <v>56841200</v>
      </c>
      <c r="M871" s="39"/>
      <c r="N871" s="36">
        <v>52468793</v>
      </c>
      <c r="O871" s="36">
        <v>40107432</v>
      </c>
      <c r="P871" s="46">
        <v>5983074</v>
      </c>
      <c r="Q871" s="36">
        <v>64060544</v>
      </c>
      <c r="R871" s="7"/>
      <c r="S871" s="7"/>
      <c r="T871" s="7"/>
      <c r="U871" s="7"/>
      <c r="V871" s="7"/>
      <c r="W871" s="7"/>
      <c r="X871" s="7"/>
      <c r="Y871" s="7"/>
      <c r="Z871" s="7"/>
    </row>
    <row r="872" spans="1:26" ht="12.75" customHeight="1" x14ac:dyDescent="0.2">
      <c r="A872" s="95"/>
      <c r="B872" s="95"/>
      <c r="C872" s="40" t="s">
        <v>36</v>
      </c>
      <c r="D872" s="41">
        <v>35</v>
      </c>
      <c r="E872" s="30">
        <v>21907.88</v>
      </c>
      <c r="F872" s="30"/>
      <c r="G872" s="30"/>
      <c r="H872" s="30">
        <v>6384.11</v>
      </c>
      <c r="I872" s="30">
        <v>144.93</v>
      </c>
      <c r="J872" s="30">
        <v>2369.7399999999998</v>
      </c>
      <c r="K872" s="30">
        <v>28436.92</v>
      </c>
      <c r="L872" s="32">
        <v>30806.66</v>
      </c>
      <c r="M872" s="33"/>
      <c r="N872" s="30">
        <v>28436.92</v>
      </c>
      <c r="O872" s="30">
        <v>22052.81</v>
      </c>
      <c r="P872" s="30">
        <v>3090</v>
      </c>
      <c r="Q872" s="30">
        <v>34776.17</v>
      </c>
      <c r="R872" s="7"/>
      <c r="S872" s="7"/>
      <c r="T872" s="7"/>
      <c r="U872" s="7"/>
      <c r="V872" s="7"/>
      <c r="W872" s="7"/>
      <c r="X872" s="7"/>
      <c r="Y872" s="7"/>
      <c r="Z872" s="7"/>
    </row>
    <row r="873" spans="1:26" ht="9" customHeight="1" x14ac:dyDescent="0.2">
      <c r="A873" s="110"/>
      <c r="B873" s="110"/>
      <c r="C873" s="47" t="s">
        <v>37</v>
      </c>
      <c r="D873" s="48"/>
      <c r="E873" s="46">
        <v>42419571</v>
      </c>
      <c r="F873" s="46"/>
      <c r="G873" s="46"/>
      <c r="H873" s="46">
        <v>12361361</v>
      </c>
      <c r="I873" s="46">
        <v>280624</v>
      </c>
      <c r="J873" s="46">
        <v>4588456</v>
      </c>
      <c r="K873" s="46">
        <v>55061555</v>
      </c>
      <c r="L873" s="46">
        <v>59650012</v>
      </c>
      <c r="M873" s="39"/>
      <c r="N873" s="46">
        <v>55061555</v>
      </c>
      <c r="O873" s="46">
        <v>42700194</v>
      </c>
      <c r="P873" s="46">
        <v>5983074</v>
      </c>
      <c r="Q873" s="46">
        <v>67336055</v>
      </c>
      <c r="R873" s="7"/>
      <c r="S873" s="7"/>
      <c r="T873" s="7"/>
      <c r="U873" s="7"/>
      <c r="V873" s="7"/>
      <c r="W873" s="7"/>
      <c r="X873" s="7"/>
      <c r="Y873" s="7"/>
      <c r="Z873" s="7"/>
    </row>
    <row r="874" spans="1:26" ht="9" customHeight="1" x14ac:dyDescent="0.2">
      <c r="A874" s="95"/>
      <c r="B874" s="95"/>
      <c r="C874" s="44"/>
      <c r="D874" s="45"/>
      <c r="E874" s="96"/>
      <c r="F874" s="96"/>
      <c r="G874" s="96"/>
      <c r="H874" s="96"/>
      <c r="I874" s="96"/>
      <c r="J874" s="54"/>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54"/>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54"/>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54"/>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54"/>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54"/>
      <c r="K879" s="96"/>
      <c r="L879" s="96"/>
      <c r="M879" s="39"/>
      <c r="N879" s="96"/>
      <c r="O879" s="96"/>
      <c r="P879" s="96"/>
      <c r="Q879" s="96"/>
      <c r="R879" s="7"/>
      <c r="S879" s="7"/>
      <c r="T879" s="7"/>
      <c r="U879" s="7"/>
      <c r="V879" s="7"/>
      <c r="W879" s="7"/>
      <c r="X879" s="7"/>
      <c r="Y879" s="7"/>
      <c r="Z879" s="7"/>
    </row>
    <row r="880" spans="1:26" ht="12.75" customHeight="1" x14ac:dyDescent="0.2">
      <c r="A880" s="98">
        <v>42370</v>
      </c>
      <c r="B880" s="98">
        <v>42735</v>
      </c>
      <c r="C880" s="28" t="s">
        <v>36</v>
      </c>
      <c r="D880" s="29">
        <v>0</v>
      </c>
      <c r="E880" s="30">
        <v>13015.79</v>
      </c>
      <c r="F880" s="30"/>
      <c r="G880" s="30"/>
      <c r="H880" s="30">
        <v>6384.11</v>
      </c>
      <c r="I880" s="30">
        <v>144.93</v>
      </c>
      <c r="J880" s="30">
        <v>1628.74</v>
      </c>
      <c r="K880" s="30">
        <v>19544.830000000002</v>
      </c>
      <c r="L880" s="32">
        <v>21173.57</v>
      </c>
      <c r="M880" s="33"/>
      <c r="N880" s="30">
        <v>19544.830000000002</v>
      </c>
      <c r="O880" s="30">
        <v>13160.72</v>
      </c>
      <c r="P880" s="30">
        <v>1968</v>
      </c>
      <c r="Q880" s="30">
        <v>23542.5</v>
      </c>
      <c r="R880" s="7"/>
      <c r="S880" s="7"/>
      <c r="T880" s="7"/>
      <c r="U880" s="7"/>
      <c r="V880" s="7"/>
      <c r="W880" s="7"/>
      <c r="X880" s="7"/>
      <c r="Y880" s="7"/>
      <c r="Z880" s="7"/>
    </row>
    <row r="881" spans="1:26" ht="9" customHeight="1" x14ac:dyDescent="0.2">
      <c r="A881" s="95"/>
      <c r="B881" s="95"/>
      <c r="C881" s="34" t="s">
        <v>37</v>
      </c>
      <c r="D881" s="35">
        <v>8</v>
      </c>
      <c r="E881" s="46">
        <v>25202084</v>
      </c>
      <c r="F881" s="36"/>
      <c r="G881" s="36"/>
      <c r="H881" s="46">
        <v>12361361</v>
      </c>
      <c r="I881" s="46">
        <v>280624</v>
      </c>
      <c r="J881" s="37">
        <v>3153680</v>
      </c>
      <c r="K881" s="46">
        <v>37844068</v>
      </c>
      <c r="L881" s="46">
        <v>40997748</v>
      </c>
      <c r="M881" s="39"/>
      <c r="N881" s="36">
        <v>37844068</v>
      </c>
      <c r="O881" s="36">
        <v>25482707</v>
      </c>
      <c r="P881" s="46">
        <v>3810579</v>
      </c>
      <c r="Q881" s="36">
        <v>45584636</v>
      </c>
      <c r="R881" s="7"/>
      <c r="S881" s="7"/>
      <c r="T881" s="7"/>
      <c r="U881" s="7"/>
      <c r="V881" s="7"/>
      <c r="W881" s="7"/>
      <c r="X881" s="7"/>
      <c r="Y881" s="7"/>
      <c r="Z881" s="7"/>
    </row>
    <row r="882" spans="1:26" ht="12.75" customHeight="1" x14ac:dyDescent="0.2">
      <c r="A882" s="157">
        <v>42370</v>
      </c>
      <c r="B882" s="157">
        <v>42735</v>
      </c>
      <c r="C882" s="40" t="s">
        <v>36</v>
      </c>
      <c r="D882" s="41">
        <v>9</v>
      </c>
      <c r="E882" s="30">
        <v>15153.97</v>
      </c>
      <c r="F882" s="30"/>
      <c r="G882" s="30"/>
      <c r="H882" s="30">
        <v>6384.11</v>
      </c>
      <c r="I882" s="30">
        <v>144.93</v>
      </c>
      <c r="J882" s="30">
        <v>1806.92</v>
      </c>
      <c r="K882" s="30">
        <v>21683.01</v>
      </c>
      <c r="L882" s="32">
        <v>23489.93</v>
      </c>
      <c r="M882" s="33"/>
      <c r="N882" s="30">
        <v>21683.01</v>
      </c>
      <c r="O882" s="30">
        <v>15298.9</v>
      </c>
      <c r="P882" s="30">
        <v>1968</v>
      </c>
      <c r="Q882" s="30">
        <v>26243.73</v>
      </c>
      <c r="R882" s="7"/>
      <c r="S882" s="7"/>
      <c r="T882" s="7"/>
      <c r="U882" s="7"/>
      <c r="V882" s="7"/>
      <c r="W882" s="7"/>
      <c r="X882" s="7"/>
      <c r="Y882" s="7"/>
      <c r="Z882" s="7"/>
    </row>
    <row r="883" spans="1:26" ht="9" customHeight="1" x14ac:dyDescent="0.2">
      <c r="A883" s="95"/>
      <c r="B883" s="95"/>
      <c r="C883" s="34" t="s">
        <v>37</v>
      </c>
      <c r="D883" s="35">
        <v>14</v>
      </c>
      <c r="E883" s="46">
        <v>29342177</v>
      </c>
      <c r="F883" s="36"/>
      <c r="G883" s="36"/>
      <c r="H883" s="46">
        <v>12361361</v>
      </c>
      <c r="I883" s="46">
        <v>280624</v>
      </c>
      <c r="J883" s="37">
        <v>3498685</v>
      </c>
      <c r="K883" s="46">
        <v>41984162</v>
      </c>
      <c r="L883" s="46">
        <v>45482847</v>
      </c>
      <c r="M883" s="39"/>
      <c r="N883" s="36">
        <v>41984162</v>
      </c>
      <c r="O883" s="36">
        <v>29622801</v>
      </c>
      <c r="P883" s="46">
        <v>3810579</v>
      </c>
      <c r="Q883" s="36">
        <v>50814947</v>
      </c>
      <c r="R883" s="7"/>
      <c r="S883" s="7"/>
      <c r="T883" s="7"/>
      <c r="U883" s="7"/>
      <c r="V883" s="7"/>
      <c r="W883" s="7"/>
      <c r="X883" s="7"/>
      <c r="Y883" s="7"/>
      <c r="Z883" s="7"/>
    </row>
    <row r="884" spans="1:26" ht="12.75" customHeight="1" x14ac:dyDescent="0.2">
      <c r="A884" s="95"/>
      <c r="B884" s="95"/>
      <c r="C884" s="40" t="s">
        <v>36</v>
      </c>
      <c r="D884" s="41">
        <v>15</v>
      </c>
      <c r="E884" s="30">
        <v>17040.3</v>
      </c>
      <c r="F884" s="30"/>
      <c r="G884" s="30"/>
      <c r="H884" s="30">
        <v>6384.11</v>
      </c>
      <c r="I884" s="30">
        <v>144.93</v>
      </c>
      <c r="J884" s="30">
        <v>1964.11</v>
      </c>
      <c r="K884" s="30">
        <v>23569.34</v>
      </c>
      <c r="L884" s="32">
        <v>25533.45</v>
      </c>
      <c r="M884" s="33"/>
      <c r="N884" s="30">
        <v>23569.34</v>
      </c>
      <c r="O884" s="30">
        <v>17185.23</v>
      </c>
      <c r="P884" s="30">
        <v>2424</v>
      </c>
      <c r="Q884" s="30">
        <v>28626.79</v>
      </c>
      <c r="R884" s="7"/>
      <c r="S884" s="7"/>
      <c r="T884" s="7"/>
      <c r="U884" s="7"/>
      <c r="V884" s="7"/>
      <c r="W884" s="7"/>
      <c r="X884" s="7"/>
      <c r="Y884" s="7"/>
      <c r="Z884" s="7"/>
    </row>
    <row r="885" spans="1:26" ht="9" customHeight="1" x14ac:dyDescent="0.2">
      <c r="A885" s="95"/>
      <c r="B885" s="95"/>
      <c r="C885" s="34" t="s">
        <v>37</v>
      </c>
      <c r="D885" s="35">
        <v>20</v>
      </c>
      <c r="E885" s="46">
        <v>32994622</v>
      </c>
      <c r="F885" s="36"/>
      <c r="G885" s="36"/>
      <c r="H885" s="46">
        <v>12361361</v>
      </c>
      <c r="I885" s="46">
        <v>280624</v>
      </c>
      <c r="J885" s="37">
        <v>3803047</v>
      </c>
      <c r="K885" s="46">
        <v>45636606</v>
      </c>
      <c r="L885" s="46">
        <v>49439653</v>
      </c>
      <c r="M885" s="39"/>
      <c r="N885" s="36">
        <v>45636606</v>
      </c>
      <c r="O885" s="36">
        <v>33275245</v>
      </c>
      <c r="P885" s="46">
        <v>4693518</v>
      </c>
      <c r="Q885" s="36">
        <v>55429195</v>
      </c>
      <c r="R885" s="7"/>
      <c r="S885" s="7"/>
      <c r="T885" s="7"/>
      <c r="U885" s="7"/>
      <c r="V885" s="7"/>
      <c r="W885" s="7"/>
      <c r="X885" s="7"/>
      <c r="Y885" s="7"/>
      <c r="Z885" s="7"/>
    </row>
    <row r="886" spans="1:26" ht="12.75" customHeight="1" x14ac:dyDescent="0.2">
      <c r="A886" s="95"/>
      <c r="B886" s="95"/>
      <c r="C886" s="40" t="s">
        <v>36</v>
      </c>
      <c r="D886" s="41">
        <v>21</v>
      </c>
      <c r="E886" s="30">
        <v>18870.14</v>
      </c>
      <c r="F886" s="30"/>
      <c r="G886" s="30"/>
      <c r="H886" s="30">
        <v>6384.11</v>
      </c>
      <c r="I886" s="30">
        <v>144.93</v>
      </c>
      <c r="J886" s="30">
        <v>2116.6</v>
      </c>
      <c r="K886" s="30">
        <v>25399.18</v>
      </c>
      <c r="L886" s="32">
        <v>27515.78</v>
      </c>
      <c r="M886" s="33"/>
      <c r="N886" s="30">
        <v>25399.18</v>
      </c>
      <c r="O886" s="30">
        <v>19015.07</v>
      </c>
      <c r="P886" s="30">
        <v>2424</v>
      </c>
      <c r="Q886" s="30">
        <v>30938.49</v>
      </c>
      <c r="R886" s="7"/>
      <c r="S886" s="7"/>
      <c r="T886" s="7"/>
      <c r="U886" s="7"/>
      <c r="V886" s="7"/>
      <c r="W886" s="7"/>
      <c r="X886" s="7"/>
      <c r="Y886" s="7"/>
      <c r="Z886" s="7"/>
    </row>
    <row r="887" spans="1:26" ht="9" customHeight="1" x14ac:dyDescent="0.2">
      <c r="A887" s="95"/>
      <c r="B887" s="95"/>
      <c r="C887" s="34" t="s">
        <v>37</v>
      </c>
      <c r="D887" s="35">
        <v>27</v>
      </c>
      <c r="E887" s="46">
        <v>36537686</v>
      </c>
      <c r="F887" s="36"/>
      <c r="G887" s="36"/>
      <c r="H887" s="46">
        <v>12361361</v>
      </c>
      <c r="I887" s="46">
        <v>280624</v>
      </c>
      <c r="J887" s="37">
        <v>4098309</v>
      </c>
      <c r="K887" s="46">
        <v>49179670</v>
      </c>
      <c r="L887" s="46">
        <v>53277979</v>
      </c>
      <c r="M887" s="39"/>
      <c r="N887" s="36">
        <v>49179670</v>
      </c>
      <c r="O887" s="36">
        <v>36818310</v>
      </c>
      <c r="P887" s="46">
        <v>4693518</v>
      </c>
      <c r="Q887" s="36">
        <v>59905270</v>
      </c>
      <c r="R887" s="7"/>
      <c r="S887" s="7"/>
      <c r="T887" s="7"/>
      <c r="U887" s="7"/>
      <c r="V887" s="7"/>
      <c r="W887" s="7"/>
      <c r="X887" s="7"/>
      <c r="Y887" s="7"/>
      <c r="Z887" s="7"/>
    </row>
    <row r="888" spans="1:26" ht="12.75" customHeight="1" x14ac:dyDescent="0.2">
      <c r="A888" s="95"/>
      <c r="B888" s="95"/>
      <c r="C888" s="40" t="s">
        <v>36</v>
      </c>
      <c r="D888" s="41">
        <v>28</v>
      </c>
      <c r="E888" s="30">
        <v>20674.43</v>
      </c>
      <c r="F888" s="30"/>
      <c r="G888" s="30"/>
      <c r="H888" s="30">
        <v>6384.11</v>
      </c>
      <c r="I888" s="30">
        <v>144.93</v>
      </c>
      <c r="J888" s="30">
        <v>2266.96</v>
      </c>
      <c r="K888" s="30">
        <v>27203.47</v>
      </c>
      <c r="L888" s="32">
        <v>29470.43</v>
      </c>
      <c r="M888" s="33"/>
      <c r="N888" s="30">
        <v>27203.47</v>
      </c>
      <c r="O888" s="30">
        <v>20819.36</v>
      </c>
      <c r="P888" s="30">
        <v>3090</v>
      </c>
      <c r="Q888" s="30">
        <v>33217.910000000003</v>
      </c>
      <c r="R888" s="7"/>
      <c r="S888" s="7"/>
      <c r="T888" s="7"/>
      <c r="U888" s="7"/>
      <c r="V888" s="7"/>
      <c r="W888" s="7"/>
      <c r="X888" s="7"/>
      <c r="Y888" s="7"/>
      <c r="Z888" s="7"/>
    </row>
    <row r="889" spans="1:26" ht="9" customHeight="1" x14ac:dyDescent="0.2">
      <c r="A889" s="95"/>
      <c r="B889" s="95"/>
      <c r="C889" s="34" t="s">
        <v>37</v>
      </c>
      <c r="D889" s="35">
        <v>34</v>
      </c>
      <c r="E889" s="46">
        <v>40031279</v>
      </c>
      <c r="F889" s="36"/>
      <c r="G889" s="36"/>
      <c r="H889" s="46">
        <v>12361361</v>
      </c>
      <c r="I889" s="46">
        <v>280624</v>
      </c>
      <c r="J889" s="37">
        <v>4389447</v>
      </c>
      <c r="K889" s="46">
        <v>52673263</v>
      </c>
      <c r="L889" s="46">
        <v>57062709</v>
      </c>
      <c r="M889" s="39"/>
      <c r="N889" s="36">
        <v>52673263</v>
      </c>
      <c r="O889" s="36">
        <v>40311902</v>
      </c>
      <c r="P889" s="46">
        <v>5983074</v>
      </c>
      <c r="Q889" s="36">
        <v>64318843</v>
      </c>
      <c r="R889" s="7"/>
      <c r="S889" s="7"/>
      <c r="T889" s="7"/>
      <c r="U889" s="7"/>
      <c r="V889" s="7"/>
      <c r="W889" s="7"/>
      <c r="X889" s="7"/>
      <c r="Y889" s="7"/>
      <c r="Z889" s="7"/>
    </row>
    <row r="890" spans="1:26" ht="12.75" customHeight="1" x14ac:dyDescent="0.2">
      <c r="A890" s="95"/>
      <c r="B890" s="95"/>
      <c r="C890" s="40" t="s">
        <v>36</v>
      </c>
      <c r="D890" s="41">
        <v>35</v>
      </c>
      <c r="E890" s="30">
        <v>22019.48</v>
      </c>
      <c r="F890" s="30"/>
      <c r="G890" s="30"/>
      <c r="H890" s="30">
        <v>6384.11</v>
      </c>
      <c r="I890" s="30">
        <v>144.93</v>
      </c>
      <c r="J890" s="30">
        <v>2379.04</v>
      </c>
      <c r="K890" s="30">
        <v>28548.52</v>
      </c>
      <c r="L890" s="32">
        <v>30927.56</v>
      </c>
      <c r="M890" s="33"/>
      <c r="N890" s="30">
        <v>28548.52</v>
      </c>
      <c r="O890" s="30">
        <v>22164.41</v>
      </c>
      <c r="P890" s="30">
        <v>3090</v>
      </c>
      <c r="Q890" s="30">
        <v>34917.15</v>
      </c>
      <c r="R890" s="7"/>
      <c r="S890" s="7"/>
      <c r="T890" s="7"/>
      <c r="U890" s="7"/>
      <c r="V890" s="7"/>
      <c r="W890" s="7"/>
      <c r="X890" s="7"/>
      <c r="Y890" s="7"/>
      <c r="Z890" s="7"/>
    </row>
    <row r="891" spans="1:26" ht="9" customHeight="1" x14ac:dyDescent="0.2">
      <c r="A891" s="110"/>
      <c r="B891" s="110"/>
      <c r="C891" s="47" t="s">
        <v>37</v>
      </c>
      <c r="D891" s="48"/>
      <c r="E891" s="46">
        <v>42635659</v>
      </c>
      <c r="F891" s="36"/>
      <c r="G891" s="36"/>
      <c r="H891" s="46">
        <v>12361361</v>
      </c>
      <c r="I891" s="46">
        <v>280624</v>
      </c>
      <c r="J891" s="46">
        <v>4606464</v>
      </c>
      <c r="K891" s="46">
        <v>55277643</v>
      </c>
      <c r="L891" s="46">
        <v>59884107</v>
      </c>
      <c r="M891" s="39"/>
      <c r="N891" s="46">
        <v>55277643</v>
      </c>
      <c r="O891" s="46">
        <v>42916282</v>
      </c>
      <c r="P891" s="46">
        <v>5983074</v>
      </c>
      <c r="Q891" s="46">
        <v>67609030</v>
      </c>
      <c r="R891" s="7"/>
      <c r="S891" s="7"/>
      <c r="T891" s="7"/>
      <c r="U891" s="7"/>
      <c r="V891" s="7"/>
      <c r="W891" s="7"/>
      <c r="X891" s="7"/>
      <c r="Y891" s="7"/>
      <c r="Z891" s="7"/>
    </row>
    <row r="892" spans="1:26" ht="9" customHeight="1" x14ac:dyDescent="0.2">
      <c r="A892" s="95"/>
      <c r="B892" s="95"/>
      <c r="C892" s="44"/>
      <c r="D892" s="45"/>
      <c r="E892" s="96"/>
      <c r="F892" s="96"/>
      <c r="G892" s="96"/>
      <c r="H892" s="96"/>
      <c r="I892" s="96"/>
      <c r="J892" s="54"/>
      <c r="K892" s="96"/>
      <c r="L892" s="96"/>
      <c r="M892" s="39"/>
      <c r="N892" s="96"/>
      <c r="O892" s="96"/>
      <c r="P892" s="96"/>
      <c r="Q892" s="96"/>
      <c r="R892" s="7"/>
      <c r="S892" s="7"/>
      <c r="T892" s="7"/>
      <c r="U892" s="7"/>
      <c r="V892" s="7"/>
      <c r="W892" s="7"/>
      <c r="X892" s="7"/>
      <c r="Y892" s="7"/>
      <c r="Z892" s="7"/>
    </row>
    <row r="893" spans="1:26" ht="9" customHeight="1" x14ac:dyDescent="0.2">
      <c r="A893" s="95"/>
      <c r="B893" s="95"/>
      <c r="C893" s="44"/>
      <c r="D893" s="45"/>
      <c r="E893" s="96"/>
      <c r="F893" s="96"/>
      <c r="G893" s="96"/>
      <c r="H893" s="96"/>
      <c r="I893" s="96"/>
      <c r="J893" s="54"/>
      <c r="K893" s="96"/>
      <c r="L893" s="96"/>
      <c r="M893" s="39"/>
      <c r="N893" s="96"/>
      <c r="O893" s="96"/>
      <c r="P893" s="96"/>
      <c r="Q893" s="96"/>
      <c r="R893" s="7"/>
      <c r="S893" s="7"/>
      <c r="T893" s="7"/>
      <c r="U893" s="7"/>
      <c r="V893" s="7"/>
      <c r="W893" s="7"/>
      <c r="X893" s="7"/>
      <c r="Y893" s="7"/>
      <c r="Z893" s="7"/>
    </row>
    <row r="894" spans="1:26" ht="9" customHeight="1" x14ac:dyDescent="0.2">
      <c r="A894" s="95"/>
      <c r="B894" s="95"/>
      <c r="C894" s="44"/>
      <c r="D894" s="45"/>
      <c r="E894" s="96"/>
      <c r="F894" s="96"/>
      <c r="G894" s="96"/>
      <c r="H894" s="96"/>
      <c r="I894" s="96"/>
      <c r="J894" s="54"/>
      <c r="K894" s="96"/>
      <c r="L894" s="96"/>
      <c r="M894" s="39"/>
      <c r="N894" s="96"/>
      <c r="O894" s="96"/>
      <c r="P894" s="96"/>
      <c r="Q894" s="96"/>
      <c r="R894" s="7"/>
      <c r="S894" s="7"/>
      <c r="T894" s="7"/>
      <c r="U894" s="7"/>
      <c r="V894" s="7"/>
      <c r="W894" s="7"/>
      <c r="X894" s="7"/>
      <c r="Y894" s="7"/>
      <c r="Z894" s="7"/>
    </row>
    <row r="895" spans="1:26" ht="9" customHeight="1" x14ac:dyDescent="0.2">
      <c r="A895" s="95"/>
      <c r="B895" s="95"/>
      <c r="C895" s="44"/>
      <c r="D895" s="45"/>
      <c r="E895" s="96"/>
      <c r="F895" s="96"/>
      <c r="G895" s="96"/>
      <c r="H895" s="96"/>
      <c r="I895" s="96"/>
      <c r="J895" s="54"/>
      <c r="K895" s="96"/>
      <c r="L895" s="96"/>
      <c r="M895" s="39"/>
      <c r="N895" s="96"/>
      <c r="O895" s="96"/>
      <c r="P895" s="96"/>
      <c r="Q895" s="96"/>
      <c r="R895" s="7"/>
      <c r="S895" s="7"/>
      <c r="T895" s="7"/>
      <c r="U895" s="7"/>
      <c r="V895" s="7"/>
      <c r="W895" s="7"/>
      <c r="X895" s="7"/>
      <c r="Y895" s="7"/>
      <c r="Z895" s="7"/>
    </row>
    <row r="896" spans="1:26" ht="9" customHeight="1" x14ac:dyDescent="0.2">
      <c r="A896" s="95"/>
      <c r="B896" s="95"/>
      <c r="C896" s="44"/>
      <c r="D896" s="45"/>
      <c r="E896" s="96"/>
      <c r="F896" s="96"/>
      <c r="G896" s="96"/>
      <c r="H896" s="96"/>
      <c r="I896" s="96"/>
      <c r="J896" s="54"/>
      <c r="K896" s="96"/>
      <c r="L896" s="96"/>
      <c r="M896" s="39"/>
      <c r="N896" s="96"/>
      <c r="O896" s="96"/>
      <c r="P896" s="96"/>
      <c r="Q896" s="96"/>
      <c r="R896" s="7"/>
      <c r="S896" s="7"/>
      <c r="T896" s="7"/>
      <c r="U896" s="7"/>
      <c r="V896" s="7"/>
      <c r="W896" s="7"/>
      <c r="X896" s="7"/>
      <c r="Y896" s="7"/>
      <c r="Z896" s="7"/>
    </row>
    <row r="897" spans="1:26" ht="9" customHeight="1" x14ac:dyDescent="0.2">
      <c r="A897" s="95"/>
      <c r="B897" s="95"/>
      <c r="C897" s="44"/>
      <c r="D897" s="45"/>
      <c r="E897" s="96"/>
      <c r="F897" s="96"/>
      <c r="G897" s="96"/>
      <c r="H897" s="96"/>
      <c r="I897" s="96"/>
      <c r="J897" s="54"/>
      <c r="K897" s="96"/>
      <c r="L897" s="96"/>
      <c r="M897" s="39"/>
      <c r="N897" s="96"/>
      <c r="O897" s="96"/>
      <c r="P897" s="96"/>
      <c r="Q897" s="96"/>
      <c r="R897" s="7"/>
      <c r="S897" s="7"/>
      <c r="T897" s="7"/>
      <c r="U897" s="7"/>
      <c r="V897" s="7"/>
      <c r="W897" s="7"/>
      <c r="X897" s="7"/>
      <c r="Y897" s="7"/>
      <c r="Z897" s="7"/>
    </row>
    <row r="898" spans="1:26" ht="9" customHeight="1" x14ac:dyDescent="0.2">
      <c r="A898" s="95"/>
      <c r="B898" s="95"/>
      <c r="C898" s="44"/>
      <c r="D898" s="45"/>
      <c r="E898" s="96"/>
      <c r="F898" s="96"/>
      <c r="G898" s="96"/>
      <c r="H898" s="96"/>
      <c r="I898" s="96"/>
      <c r="J898" s="54"/>
      <c r="K898" s="96"/>
      <c r="L898" s="96"/>
      <c r="M898" s="39"/>
      <c r="N898" s="96"/>
      <c r="O898" s="96"/>
      <c r="P898" s="96"/>
      <c r="Q898" s="96"/>
      <c r="R898" s="7"/>
      <c r="S898" s="7"/>
      <c r="T898" s="7"/>
      <c r="U898" s="7"/>
      <c r="V898" s="7"/>
      <c r="W898" s="7"/>
      <c r="X898" s="7"/>
      <c r="Y898" s="7"/>
      <c r="Z898" s="7"/>
    </row>
    <row r="899" spans="1:26" ht="9" customHeight="1" x14ac:dyDescent="0.2">
      <c r="A899" s="95"/>
      <c r="B899" s="95"/>
      <c r="C899" s="44"/>
      <c r="D899" s="45"/>
      <c r="E899" s="96"/>
      <c r="F899" s="96"/>
      <c r="G899" s="96"/>
      <c r="H899" s="96"/>
      <c r="I899" s="96"/>
      <c r="J899" s="54"/>
      <c r="K899" s="96"/>
      <c r="L899" s="96"/>
      <c r="M899" s="39"/>
      <c r="N899" s="96"/>
      <c r="O899" s="96"/>
      <c r="P899" s="96"/>
      <c r="Q899" s="96"/>
      <c r="R899" s="7"/>
      <c r="S899" s="7"/>
      <c r="T899" s="7"/>
      <c r="U899" s="7"/>
      <c r="V899" s="7"/>
      <c r="W899" s="7"/>
      <c r="X899" s="7"/>
      <c r="Y899" s="7"/>
      <c r="Z899" s="7"/>
    </row>
    <row r="900" spans="1:26" s="7" customFormat="1" ht="12.75" customHeight="1" x14ac:dyDescent="0.2">
      <c r="A900" s="56">
        <v>42736</v>
      </c>
      <c r="B900" s="56">
        <v>43159</v>
      </c>
      <c r="C900" s="57" t="s">
        <v>36</v>
      </c>
      <c r="D900" s="58">
        <v>0</v>
      </c>
      <c r="E900" s="59">
        <v>13170.59</v>
      </c>
      <c r="F900" s="59"/>
      <c r="G900" s="59"/>
      <c r="H900" s="59">
        <v>6384.11</v>
      </c>
      <c r="I900" s="59">
        <v>144.93</v>
      </c>
      <c r="J900" s="59">
        <v>1641.64</v>
      </c>
      <c r="K900" s="59">
        <v>19699.63</v>
      </c>
      <c r="L900" s="60">
        <v>21341.27</v>
      </c>
      <c r="M900" s="33"/>
      <c r="N900" s="59">
        <v>19699.63</v>
      </c>
      <c r="O900" s="59">
        <v>13315.52</v>
      </c>
      <c r="P900" s="59">
        <v>1968</v>
      </c>
      <c r="Q900" s="59">
        <v>23738.06</v>
      </c>
      <c r="R900" s="59">
        <v>22096.42</v>
      </c>
    </row>
    <row r="901" spans="1:26" s="7" customFormat="1" ht="9" customHeight="1" x14ac:dyDescent="0.2">
      <c r="A901" s="61"/>
      <c r="B901" s="61"/>
      <c r="C901" s="62" t="s">
        <v>37</v>
      </c>
      <c r="D901" s="63">
        <v>8</v>
      </c>
      <c r="E901" s="64">
        <v>25501818</v>
      </c>
      <c r="F901" s="65"/>
      <c r="G901" s="65"/>
      <c r="H901" s="64">
        <v>12361361</v>
      </c>
      <c r="I901" s="64">
        <v>280624</v>
      </c>
      <c r="J901" s="66">
        <v>3178658</v>
      </c>
      <c r="K901" s="64">
        <v>38143803</v>
      </c>
      <c r="L901" s="64">
        <v>41322461</v>
      </c>
      <c r="M901" s="39"/>
      <c r="N901" s="65">
        <v>38143803</v>
      </c>
      <c r="O901" s="65">
        <v>25782442</v>
      </c>
      <c r="P901" s="64">
        <v>3810579</v>
      </c>
      <c r="Q901" s="65">
        <v>45963293</v>
      </c>
      <c r="R901" s="65">
        <v>42784635</v>
      </c>
    </row>
    <row r="902" spans="1:26" s="7" customFormat="1" ht="12.75" customHeight="1" x14ac:dyDescent="0.2">
      <c r="A902" s="67">
        <v>42736</v>
      </c>
      <c r="B902" s="67">
        <v>43159</v>
      </c>
      <c r="C902" s="68" t="s">
        <v>36</v>
      </c>
      <c r="D902" s="69">
        <v>9</v>
      </c>
      <c r="E902" s="59">
        <v>15325.57</v>
      </c>
      <c r="F902" s="59"/>
      <c r="G902" s="59"/>
      <c r="H902" s="59">
        <v>6384.11</v>
      </c>
      <c r="I902" s="59">
        <v>144.93</v>
      </c>
      <c r="J902" s="59">
        <v>1821.22</v>
      </c>
      <c r="K902" s="59">
        <v>21854.61</v>
      </c>
      <c r="L902" s="60">
        <v>23675.83</v>
      </c>
      <c r="M902" s="33"/>
      <c r="N902" s="59">
        <v>21854.61</v>
      </c>
      <c r="O902" s="59">
        <v>15470.5</v>
      </c>
      <c r="P902" s="59">
        <v>1968</v>
      </c>
      <c r="Q902" s="59">
        <v>26460.52</v>
      </c>
      <c r="R902" s="59">
        <v>24639.3</v>
      </c>
    </row>
    <row r="903" spans="1:26" s="7" customFormat="1" ht="9" customHeight="1" x14ac:dyDescent="0.2">
      <c r="A903" s="67"/>
      <c r="B903" s="67"/>
      <c r="C903" s="62" t="s">
        <v>37</v>
      </c>
      <c r="D903" s="63">
        <v>14</v>
      </c>
      <c r="E903" s="64">
        <v>29674441</v>
      </c>
      <c r="F903" s="65"/>
      <c r="G903" s="65"/>
      <c r="H903" s="64">
        <v>12361361</v>
      </c>
      <c r="I903" s="64">
        <v>280624</v>
      </c>
      <c r="J903" s="66">
        <v>3526374</v>
      </c>
      <c r="K903" s="64">
        <v>42316426</v>
      </c>
      <c r="L903" s="64">
        <v>45842799</v>
      </c>
      <c r="M903" s="39"/>
      <c r="N903" s="65">
        <v>42316426</v>
      </c>
      <c r="O903" s="65">
        <v>29955065</v>
      </c>
      <c r="P903" s="64">
        <v>3810579</v>
      </c>
      <c r="Q903" s="65">
        <v>51234711</v>
      </c>
      <c r="R903" s="65">
        <v>47708337</v>
      </c>
    </row>
    <row r="904" spans="1:26" s="7" customFormat="1" ht="12.75" customHeight="1" x14ac:dyDescent="0.2">
      <c r="A904" s="67"/>
      <c r="B904" s="67"/>
      <c r="C904" s="68" t="s">
        <v>36</v>
      </c>
      <c r="D904" s="69">
        <v>15</v>
      </c>
      <c r="E904" s="59">
        <v>17225.099999999999</v>
      </c>
      <c r="F904" s="59"/>
      <c r="G904" s="59"/>
      <c r="H904" s="59">
        <v>6384.11</v>
      </c>
      <c r="I904" s="59">
        <v>144.93</v>
      </c>
      <c r="J904" s="59">
        <v>1979.51</v>
      </c>
      <c r="K904" s="59">
        <v>23754.14</v>
      </c>
      <c r="L904" s="60">
        <v>25733.65</v>
      </c>
      <c r="M904" s="33"/>
      <c r="N904" s="59">
        <v>23754.14</v>
      </c>
      <c r="O904" s="59">
        <v>17370.03</v>
      </c>
      <c r="P904" s="59">
        <v>2424</v>
      </c>
      <c r="Q904" s="59">
        <v>28860.26</v>
      </c>
      <c r="R904" s="59">
        <v>26880.75</v>
      </c>
    </row>
    <row r="905" spans="1:26" s="7" customFormat="1" ht="9" customHeight="1" x14ac:dyDescent="0.2">
      <c r="A905" s="67"/>
      <c r="B905" s="67"/>
      <c r="C905" s="62" t="s">
        <v>37</v>
      </c>
      <c r="D905" s="63">
        <v>20</v>
      </c>
      <c r="E905" s="64">
        <v>33352444</v>
      </c>
      <c r="F905" s="65"/>
      <c r="G905" s="65"/>
      <c r="H905" s="64">
        <v>12361361</v>
      </c>
      <c r="I905" s="64">
        <v>280624</v>
      </c>
      <c r="J905" s="66">
        <v>3832866</v>
      </c>
      <c r="K905" s="64">
        <v>45994429</v>
      </c>
      <c r="L905" s="64">
        <v>49827294</v>
      </c>
      <c r="M905" s="39"/>
      <c r="N905" s="65">
        <v>45994429</v>
      </c>
      <c r="O905" s="65">
        <v>33633068</v>
      </c>
      <c r="P905" s="64">
        <v>4693518</v>
      </c>
      <c r="Q905" s="65">
        <v>55881256</v>
      </c>
      <c r="R905" s="65">
        <v>52048390</v>
      </c>
    </row>
    <row r="906" spans="1:26" s="7" customFormat="1" ht="12.75" customHeight="1" x14ac:dyDescent="0.2">
      <c r="A906" s="67"/>
      <c r="B906" s="67"/>
      <c r="C906" s="68" t="s">
        <v>36</v>
      </c>
      <c r="D906" s="69">
        <v>21</v>
      </c>
      <c r="E906" s="59">
        <v>19070.54</v>
      </c>
      <c r="F906" s="59"/>
      <c r="G906" s="59"/>
      <c r="H906" s="59">
        <v>6384.11</v>
      </c>
      <c r="I906" s="59">
        <v>144.93</v>
      </c>
      <c r="J906" s="59">
        <v>2133.3000000000002</v>
      </c>
      <c r="K906" s="59">
        <v>25599.58</v>
      </c>
      <c r="L906" s="60">
        <v>27732.880000000001</v>
      </c>
      <c r="M906" s="33"/>
      <c r="N906" s="59">
        <v>25599.58</v>
      </c>
      <c r="O906" s="59">
        <v>19215.47</v>
      </c>
      <c r="P906" s="59">
        <v>2424</v>
      </c>
      <c r="Q906" s="59">
        <v>31191.66</v>
      </c>
      <c r="R906" s="59">
        <v>29058.36</v>
      </c>
    </row>
    <row r="907" spans="1:26" s="7" customFormat="1" ht="9" customHeight="1" x14ac:dyDescent="0.2">
      <c r="A907" s="67"/>
      <c r="B907" s="67"/>
      <c r="C907" s="62" t="s">
        <v>37</v>
      </c>
      <c r="D907" s="63">
        <v>27</v>
      </c>
      <c r="E907" s="64">
        <v>36925714</v>
      </c>
      <c r="F907" s="65"/>
      <c r="G907" s="65"/>
      <c r="H907" s="64">
        <v>12361361</v>
      </c>
      <c r="I907" s="64">
        <v>280624</v>
      </c>
      <c r="J907" s="66">
        <v>4130645</v>
      </c>
      <c r="K907" s="64">
        <v>49567699</v>
      </c>
      <c r="L907" s="64">
        <v>53698344</v>
      </c>
      <c r="M907" s="39"/>
      <c r="N907" s="65">
        <v>49567699</v>
      </c>
      <c r="O907" s="65">
        <v>37206338</v>
      </c>
      <c r="P907" s="64">
        <v>4693518</v>
      </c>
      <c r="Q907" s="65">
        <v>60395476</v>
      </c>
      <c r="R907" s="65">
        <v>56264831</v>
      </c>
    </row>
    <row r="908" spans="1:26" s="7" customFormat="1" ht="12.75" customHeight="1" x14ac:dyDescent="0.2">
      <c r="A908" s="67"/>
      <c r="B908" s="67"/>
      <c r="C908" s="68" t="s">
        <v>36</v>
      </c>
      <c r="D908" s="69">
        <v>28</v>
      </c>
      <c r="E908" s="59">
        <v>20889.23</v>
      </c>
      <c r="F908" s="30"/>
      <c r="G908" s="30"/>
      <c r="H908" s="59">
        <v>6384.11</v>
      </c>
      <c r="I908" s="59">
        <v>144.93</v>
      </c>
      <c r="J908" s="59">
        <v>2284.86</v>
      </c>
      <c r="K908" s="59">
        <v>27418.27</v>
      </c>
      <c r="L908" s="60">
        <v>29703.13</v>
      </c>
      <c r="M908" s="33"/>
      <c r="N908" s="59">
        <v>27418.27</v>
      </c>
      <c r="O908" s="59">
        <v>21034.16</v>
      </c>
      <c r="P908" s="59">
        <v>3090</v>
      </c>
      <c r="Q908" s="59">
        <v>33489.279999999999</v>
      </c>
      <c r="R908" s="59">
        <v>31204.42</v>
      </c>
    </row>
    <row r="909" spans="1:26" s="7" customFormat="1" ht="9" customHeight="1" x14ac:dyDescent="0.2">
      <c r="A909" s="67"/>
      <c r="B909" s="67"/>
      <c r="C909" s="62" t="s">
        <v>37</v>
      </c>
      <c r="D909" s="63">
        <v>34</v>
      </c>
      <c r="E909" s="64">
        <v>40447189</v>
      </c>
      <c r="F909" s="65"/>
      <c r="G909" s="65"/>
      <c r="H909" s="64">
        <v>12361361</v>
      </c>
      <c r="I909" s="64">
        <v>280624</v>
      </c>
      <c r="J909" s="66">
        <v>4424106</v>
      </c>
      <c r="K909" s="64">
        <v>53089174</v>
      </c>
      <c r="L909" s="64">
        <v>57513280</v>
      </c>
      <c r="M909" s="39"/>
      <c r="N909" s="65">
        <v>53089174</v>
      </c>
      <c r="O909" s="65">
        <v>40727813</v>
      </c>
      <c r="P909" s="64">
        <v>5983074</v>
      </c>
      <c r="Q909" s="65">
        <v>64844288</v>
      </c>
      <c r="R909" s="65">
        <v>60420182</v>
      </c>
    </row>
    <row r="910" spans="1:26" s="7" customFormat="1" ht="12.75" customHeight="1" x14ac:dyDescent="0.2">
      <c r="A910" s="67"/>
      <c r="B910" s="67"/>
      <c r="C910" s="68" t="s">
        <v>36</v>
      </c>
      <c r="D910" s="69">
        <v>35</v>
      </c>
      <c r="E910" s="59">
        <v>22245.08</v>
      </c>
      <c r="F910" s="59"/>
      <c r="G910" s="59"/>
      <c r="H910" s="59">
        <v>6384.11</v>
      </c>
      <c r="I910" s="59">
        <v>144.93</v>
      </c>
      <c r="J910" s="59">
        <v>2397.84</v>
      </c>
      <c r="K910" s="59">
        <v>28774.12</v>
      </c>
      <c r="L910" s="60">
        <v>31171.96</v>
      </c>
      <c r="M910" s="33"/>
      <c r="N910" s="59">
        <v>28774.12</v>
      </c>
      <c r="O910" s="59">
        <v>22390.01</v>
      </c>
      <c r="P910" s="59">
        <v>3090</v>
      </c>
      <c r="Q910" s="59">
        <v>35202.160000000003</v>
      </c>
      <c r="R910" s="59">
        <v>32804.32</v>
      </c>
    </row>
    <row r="911" spans="1:26" s="7" customFormat="1" ht="9" customHeight="1" x14ac:dyDescent="0.2">
      <c r="A911" s="70"/>
      <c r="B911" s="70"/>
      <c r="C911" s="71" t="s">
        <v>37</v>
      </c>
      <c r="D911" s="72"/>
      <c r="E911" s="64">
        <v>43072481</v>
      </c>
      <c r="F911" s="64"/>
      <c r="G911" s="64"/>
      <c r="H911" s="64">
        <v>12361361</v>
      </c>
      <c r="I911" s="64">
        <v>280624</v>
      </c>
      <c r="J911" s="64">
        <v>4642866</v>
      </c>
      <c r="K911" s="64">
        <v>55714465</v>
      </c>
      <c r="L911" s="64">
        <v>60357331</v>
      </c>
      <c r="M911" s="39"/>
      <c r="N911" s="64">
        <v>55714465</v>
      </c>
      <c r="O911" s="64">
        <v>43353105</v>
      </c>
      <c r="P911" s="64">
        <v>5983074</v>
      </c>
      <c r="Q911" s="64">
        <v>68160886</v>
      </c>
      <c r="R911" s="65">
        <v>63518021</v>
      </c>
    </row>
    <row r="912" spans="1:26" ht="9" customHeight="1" x14ac:dyDescent="0.2">
      <c r="A912" s="95"/>
      <c r="B912" s="95"/>
      <c r="C912" s="44"/>
      <c r="D912" s="45"/>
      <c r="E912" s="96"/>
      <c r="F912" s="96"/>
      <c r="G912" s="96"/>
      <c r="H912" s="96"/>
      <c r="I912" s="96"/>
      <c r="J912" s="54"/>
      <c r="K912" s="96"/>
      <c r="L912" s="96"/>
      <c r="M912" s="39"/>
      <c r="N912" s="96"/>
      <c r="O912" s="96"/>
      <c r="P912" s="96"/>
      <c r="Q912" s="96"/>
      <c r="R912" s="7"/>
      <c r="S912" s="7"/>
      <c r="T912" s="7"/>
      <c r="U912" s="7"/>
      <c r="V912" s="7"/>
      <c r="W912" s="7"/>
      <c r="X912" s="7"/>
      <c r="Y912" s="7"/>
      <c r="Z912" s="7"/>
    </row>
    <row r="913" spans="1:26" ht="9" customHeight="1" x14ac:dyDescent="0.2">
      <c r="A913" s="95"/>
      <c r="B913" s="95"/>
      <c r="C913" s="44"/>
      <c r="D913" s="45"/>
      <c r="E913" s="96"/>
      <c r="F913" s="96"/>
      <c r="G913" s="96"/>
      <c r="H913" s="96"/>
      <c r="I913" s="96"/>
      <c r="J913" s="54"/>
      <c r="K913" s="96"/>
      <c r="L913" s="96"/>
      <c r="M913" s="39"/>
      <c r="N913" s="96"/>
      <c r="O913" s="96"/>
      <c r="P913" s="96"/>
      <c r="Q913" s="96"/>
      <c r="R913" s="7"/>
      <c r="S913" s="7"/>
      <c r="T913" s="7"/>
      <c r="U913" s="7"/>
      <c r="V913" s="7"/>
      <c r="W913" s="7"/>
      <c r="X913" s="7"/>
      <c r="Y913" s="7"/>
      <c r="Z913" s="7"/>
    </row>
    <row r="914" spans="1:26" ht="9" customHeight="1" x14ac:dyDescent="0.2">
      <c r="A914" s="95"/>
      <c r="B914" s="95"/>
      <c r="C914" s="44"/>
      <c r="D914" s="45"/>
      <c r="E914" s="96"/>
      <c r="F914" s="96"/>
      <c r="G914" s="96"/>
      <c r="H914" s="96"/>
      <c r="I914" s="96"/>
      <c r="J914" s="54"/>
      <c r="K914" s="96"/>
      <c r="L914" s="96"/>
      <c r="M914" s="39"/>
      <c r="N914" s="96"/>
      <c r="O914" s="96"/>
      <c r="P914" s="96"/>
      <c r="Q914" s="96"/>
      <c r="R914" s="7"/>
      <c r="S914" s="7"/>
      <c r="T914" s="7"/>
      <c r="U914" s="7"/>
      <c r="V914" s="7"/>
      <c r="W914" s="7"/>
      <c r="X914" s="7"/>
      <c r="Y914" s="7"/>
      <c r="Z914" s="7"/>
    </row>
    <row r="915" spans="1:26" ht="9" customHeight="1" x14ac:dyDescent="0.2">
      <c r="A915" s="95"/>
      <c r="B915" s="95"/>
      <c r="C915" s="44"/>
      <c r="D915" s="45"/>
      <c r="E915" s="96"/>
      <c r="F915" s="96"/>
      <c r="G915" s="96"/>
      <c r="H915" s="96"/>
      <c r="I915" s="96"/>
      <c r="J915" s="54"/>
      <c r="K915" s="96"/>
      <c r="L915" s="96"/>
      <c r="M915" s="39"/>
      <c r="N915" s="96"/>
      <c r="O915" s="96"/>
      <c r="P915" s="96"/>
      <c r="Q915" s="96"/>
      <c r="R915" s="7"/>
      <c r="S915" s="7"/>
      <c r="T915" s="7"/>
      <c r="U915" s="7"/>
      <c r="V915" s="7"/>
      <c r="W915" s="7"/>
      <c r="X915" s="7"/>
      <c r="Y915" s="7"/>
      <c r="Z915" s="7"/>
    </row>
    <row r="916" spans="1:26" ht="9" customHeight="1" x14ac:dyDescent="0.2">
      <c r="A916" s="95"/>
      <c r="B916" s="95"/>
      <c r="C916" s="44"/>
      <c r="D916" s="45"/>
      <c r="E916" s="96"/>
      <c r="F916" s="96"/>
      <c r="G916" s="96"/>
      <c r="H916" s="96"/>
      <c r="I916" s="96"/>
      <c r="J916" s="54"/>
      <c r="K916" s="96"/>
      <c r="L916" s="96"/>
      <c r="M916" s="39"/>
      <c r="N916" s="96"/>
      <c r="O916" s="96"/>
      <c r="P916" s="96"/>
      <c r="Q916" s="96"/>
      <c r="R916" s="7"/>
      <c r="S916" s="7"/>
      <c r="T916" s="7"/>
      <c r="U916" s="7"/>
      <c r="V916" s="7"/>
      <c r="W916" s="7"/>
      <c r="X916" s="7"/>
      <c r="Y916" s="7"/>
      <c r="Z916" s="7"/>
    </row>
    <row r="917" spans="1:26" ht="9" customHeight="1" x14ac:dyDescent="0.2">
      <c r="A917" s="95"/>
      <c r="B917" s="95"/>
      <c r="C917" s="44"/>
      <c r="D917" s="45"/>
      <c r="E917" s="96"/>
      <c r="F917" s="96"/>
      <c r="G917" s="96"/>
      <c r="H917" s="96"/>
      <c r="I917" s="96"/>
      <c r="J917" s="54"/>
      <c r="K917" s="96"/>
      <c r="L917" s="96"/>
      <c r="M917" s="39"/>
      <c r="N917" s="96"/>
      <c r="O917" s="96"/>
      <c r="P917" s="96"/>
      <c r="Q917" s="96"/>
      <c r="R917" s="7"/>
      <c r="S917" s="7"/>
      <c r="T917" s="7"/>
      <c r="U917" s="7"/>
      <c r="V917" s="7"/>
      <c r="W917" s="7"/>
      <c r="X917" s="7"/>
      <c r="Y917" s="7"/>
      <c r="Z917" s="7"/>
    </row>
    <row r="918" spans="1:26" ht="9" customHeight="1" x14ac:dyDescent="0.2">
      <c r="A918" s="95"/>
      <c r="B918" s="95"/>
      <c r="C918" s="44"/>
      <c r="D918" s="45"/>
      <c r="E918" s="96"/>
      <c r="F918" s="96"/>
      <c r="G918" s="96"/>
      <c r="H918" s="96"/>
      <c r="I918" s="96"/>
      <c r="J918" s="54"/>
      <c r="K918" s="96"/>
      <c r="L918" s="96"/>
      <c r="M918" s="39"/>
      <c r="N918" s="96"/>
      <c r="O918" s="96"/>
      <c r="P918" s="96"/>
      <c r="Q918" s="96"/>
      <c r="R918" s="7"/>
      <c r="S918" s="7"/>
      <c r="T918" s="7"/>
      <c r="U918" s="7"/>
      <c r="V918" s="7"/>
      <c r="W918" s="7"/>
      <c r="X918" s="7"/>
      <c r="Y918" s="7"/>
      <c r="Z918" s="7"/>
    </row>
    <row r="919" spans="1:26" ht="9" customHeight="1" x14ac:dyDescent="0.2">
      <c r="A919" s="95"/>
      <c r="B919" s="95"/>
      <c r="C919" s="44"/>
      <c r="D919" s="45"/>
      <c r="E919" s="96"/>
      <c r="F919" s="96"/>
      <c r="G919" s="96"/>
      <c r="H919" s="96"/>
      <c r="I919" s="96"/>
      <c r="J919" s="54"/>
      <c r="K919" s="96"/>
      <c r="L919" s="96"/>
      <c r="M919" s="39"/>
      <c r="N919" s="96"/>
      <c r="O919" s="96"/>
      <c r="P919" s="96"/>
      <c r="Q919" s="96"/>
      <c r="R919" s="7"/>
      <c r="S919" s="7"/>
      <c r="T919" s="7"/>
      <c r="U919" s="7"/>
      <c r="V919" s="7"/>
      <c r="W919" s="7"/>
      <c r="X919" s="7"/>
      <c r="Y919" s="7"/>
      <c r="Z919" s="7"/>
    </row>
    <row r="920" spans="1:26" s="7" customFormat="1" ht="12.75" customHeight="1" x14ac:dyDescent="0.2">
      <c r="A920" s="56">
        <v>43160</v>
      </c>
      <c r="B920" s="56">
        <v>43190</v>
      </c>
      <c r="C920" s="57" t="s">
        <v>36</v>
      </c>
      <c r="D920" s="58">
        <v>0</v>
      </c>
      <c r="E920" s="59">
        <v>13612.19</v>
      </c>
      <c r="F920" s="59"/>
      <c r="G920" s="59"/>
      <c r="H920" s="59">
        <v>6384.11</v>
      </c>
      <c r="I920" s="59">
        <v>144.93</v>
      </c>
      <c r="J920" s="59">
        <v>1678.44</v>
      </c>
      <c r="K920" s="59">
        <v>20141.23</v>
      </c>
      <c r="L920" s="60">
        <v>21819.67</v>
      </c>
      <c r="M920" s="33"/>
      <c r="N920" s="59">
        <v>20141.23</v>
      </c>
      <c r="O920" s="59">
        <v>13757.12</v>
      </c>
      <c r="P920" s="59">
        <v>2094</v>
      </c>
      <c r="Q920" s="59">
        <v>24295.95</v>
      </c>
      <c r="R920" s="59">
        <v>22617.51</v>
      </c>
    </row>
    <row r="921" spans="1:26" s="7" customFormat="1" ht="9" customHeight="1" x14ac:dyDescent="0.2">
      <c r="A921" s="61"/>
      <c r="B921" s="61"/>
      <c r="C921" s="62" t="s">
        <v>37</v>
      </c>
      <c r="D921" s="63">
        <v>8</v>
      </c>
      <c r="E921" s="64">
        <v>26356875</v>
      </c>
      <c r="F921" s="65"/>
      <c r="G921" s="65"/>
      <c r="H921" s="64">
        <v>12361361</v>
      </c>
      <c r="I921" s="64">
        <v>280624</v>
      </c>
      <c r="J921" s="66">
        <v>3249913</v>
      </c>
      <c r="K921" s="64">
        <v>38998859</v>
      </c>
      <c r="L921" s="64">
        <v>42248772</v>
      </c>
      <c r="M921" s="39"/>
      <c r="N921" s="65">
        <v>38998859</v>
      </c>
      <c r="O921" s="65">
        <v>26637499</v>
      </c>
      <c r="P921" s="64">
        <v>4054549</v>
      </c>
      <c r="Q921" s="65">
        <v>47043519</v>
      </c>
      <c r="R921" s="65">
        <v>43793606</v>
      </c>
    </row>
    <row r="922" spans="1:26" s="7" customFormat="1" ht="12.75" customHeight="1" x14ac:dyDescent="0.2">
      <c r="A922" s="73">
        <v>43160</v>
      </c>
      <c r="B922" s="73">
        <v>43190</v>
      </c>
      <c r="C922" s="68" t="s">
        <v>36</v>
      </c>
      <c r="D922" s="69">
        <v>9</v>
      </c>
      <c r="E922" s="59">
        <v>15813.97</v>
      </c>
      <c r="F922" s="59"/>
      <c r="G922" s="59"/>
      <c r="H922" s="59">
        <v>6384.11</v>
      </c>
      <c r="I922" s="59">
        <v>144.93</v>
      </c>
      <c r="J922" s="59">
        <v>1861.92</v>
      </c>
      <c r="K922" s="59">
        <v>22343.01</v>
      </c>
      <c r="L922" s="60">
        <v>24204.93</v>
      </c>
      <c r="M922" s="33"/>
      <c r="N922" s="59">
        <v>22343.01</v>
      </c>
      <c r="O922" s="59">
        <v>15958.9</v>
      </c>
      <c r="P922" s="59">
        <v>2094</v>
      </c>
      <c r="Q922" s="59">
        <v>27077.53</v>
      </c>
      <c r="R922" s="59">
        <v>25215.61</v>
      </c>
    </row>
    <row r="923" spans="1:26" s="7" customFormat="1" ht="9" customHeight="1" x14ac:dyDescent="0.2">
      <c r="A923" s="73"/>
      <c r="B923" s="73"/>
      <c r="C923" s="62" t="s">
        <v>37</v>
      </c>
      <c r="D923" s="63">
        <v>14</v>
      </c>
      <c r="E923" s="64">
        <v>30620116</v>
      </c>
      <c r="F923" s="65"/>
      <c r="G923" s="65"/>
      <c r="H923" s="64">
        <v>12361361</v>
      </c>
      <c r="I923" s="64">
        <v>280624</v>
      </c>
      <c r="J923" s="66">
        <v>3605180</v>
      </c>
      <c r="K923" s="64">
        <v>43262100</v>
      </c>
      <c r="L923" s="64">
        <v>46867280</v>
      </c>
      <c r="M923" s="39"/>
      <c r="N923" s="65">
        <v>43262100</v>
      </c>
      <c r="O923" s="65">
        <v>30900739</v>
      </c>
      <c r="P923" s="64">
        <v>4054549</v>
      </c>
      <c r="Q923" s="65">
        <v>52429409</v>
      </c>
      <c r="R923" s="65">
        <v>48824229</v>
      </c>
    </row>
    <row r="924" spans="1:26" s="7" customFormat="1" ht="12.75" customHeight="1" x14ac:dyDescent="0.2">
      <c r="A924" s="73"/>
      <c r="B924" s="73"/>
      <c r="C924" s="68" t="s">
        <v>36</v>
      </c>
      <c r="D924" s="69">
        <v>15</v>
      </c>
      <c r="E924" s="59">
        <v>17751.900000000001</v>
      </c>
      <c r="F924" s="59"/>
      <c r="G924" s="59"/>
      <c r="H924" s="59">
        <v>6384.11</v>
      </c>
      <c r="I924" s="59">
        <v>144.93</v>
      </c>
      <c r="J924" s="59">
        <v>2023.41</v>
      </c>
      <c r="K924" s="59">
        <v>24280.94</v>
      </c>
      <c r="L924" s="60">
        <v>26304.35</v>
      </c>
      <c r="M924" s="33"/>
      <c r="N924" s="59">
        <v>24280.94</v>
      </c>
      <c r="O924" s="59">
        <v>17896.830000000002</v>
      </c>
      <c r="P924" s="59">
        <v>2577.6</v>
      </c>
      <c r="Q924" s="59">
        <v>29525.78</v>
      </c>
      <c r="R924" s="59">
        <v>27502.37</v>
      </c>
    </row>
    <row r="925" spans="1:26" s="7" customFormat="1" ht="9" customHeight="1" x14ac:dyDescent="0.2">
      <c r="A925" s="73"/>
      <c r="B925" s="73"/>
      <c r="C925" s="62" t="s">
        <v>37</v>
      </c>
      <c r="D925" s="63">
        <v>20</v>
      </c>
      <c r="E925" s="64">
        <v>34372471</v>
      </c>
      <c r="F925" s="65"/>
      <c r="G925" s="65"/>
      <c r="H925" s="64">
        <v>12361361</v>
      </c>
      <c r="I925" s="64">
        <v>280624</v>
      </c>
      <c r="J925" s="66">
        <v>3917868</v>
      </c>
      <c r="K925" s="64">
        <v>47014456</v>
      </c>
      <c r="L925" s="64">
        <v>50932324</v>
      </c>
      <c r="M925" s="39"/>
      <c r="N925" s="65">
        <v>47014456</v>
      </c>
      <c r="O925" s="65">
        <v>34653095</v>
      </c>
      <c r="P925" s="64">
        <v>4990930</v>
      </c>
      <c r="Q925" s="65">
        <v>57169882</v>
      </c>
      <c r="R925" s="65">
        <v>53252014</v>
      </c>
    </row>
    <row r="926" spans="1:26" s="7" customFormat="1" ht="12.75" customHeight="1" x14ac:dyDescent="0.2">
      <c r="A926" s="73"/>
      <c r="B926" s="73"/>
      <c r="C926" s="68" t="s">
        <v>36</v>
      </c>
      <c r="D926" s="69">
        <v>21</v>
      </c>
      <c r="E926" s="59">
        <v>19646.54</v>
      </c>
      <c r="F926" s="59"/>
      <c r="G926" s="59"/>
      <c r="H926" s="59">
        <v>6384.11</v>
      </c>
      <c r="I926" s="59">
        <v>144.93</v>
      </c>
      <c r="J926" s="59">
        <v>2181.3000000000002</v>
      </c>
      <c r="K926" s="59">
        <v>26175.58</v>
      </c>
      <c r="L926" s="60">
        <v>28356.880000000001</v>
      </c>
      <c r="M926" s="33"/>
      <c r="N926" s="59">
        <v>26175.58</v>
      </c>
      <c r="O926" s="59">
        <v>19791.47</v>
      </c>
      <c r="P926" s="59">
        <v>2577.6</v>
      </c>
      <c r="Q926" s="59">
        <v>31919.34</v>
      </c>
      <c r="R926" s="59">
        <v>29738.04</v>
      </c>
    </row>
    <row r="927" spans="1:26" s="7" customFormat="1" ht="9" customHeight="1" x14ac:dyDescent="0.2">
      <c r="A927" s="73"/>
      <c r="B927" s="73"/>
      <c r="C927" s="62" t="s">
        <v>37</v>
      </c>
      <c r="D927" s="63">
        <v>27</v>
      </c>
      <c r="E927" s="64">
        <v>38041006</v>
      </c>
      <c r="F927" s="65"/>
      <c r="G927" s="65"/>
      <c r="H927" s="64">
        <v>12361361</v>
      </c>
      <c r="I927" s="64">
        <v>280624</v>
      </c>
      <c r="J927" s="66">
        <v>4223586</v>
      </c>
      <c r="K927" s="64">
        <v>50682990</v>
      </c>
      <c r="L927" s="64">
        <v>54906576</v>
      </c>
      <c r="M927" s="39"/>
      <c r="N927" s="65">
        <v>50682990</v>
      </c>
      <c r="O927" s="65">
        <v>38321630</v>
      </c>
      <c r="P927" s="64">
        <v>4990930</v>
      </c>
      <c r="Q927" s="65">
        <v>61804460</v>
      </c>
      <c r="R927" s="65">
        <v>57580875</v>
      </c>
    </row>
    <row r="928" spans="1:26" s="7" customFormat="1" ht="12.75" customHeight="1" x14ac:dyDescent="0.2">
      <c r="A928" s="73"/>
      <c r="B928" s="73"/>
      <c r="C928" s="68" t="s">
        <v>36</v>
      </c>
      <c r="D928" s="69">
        <v>28</v>
      </c>
      <c r="E928" s="59">
        <v>21504.83</v>
      </c>
      <c r="F928" s="30"/>
      <c r="G928" s="30"/>
      <c r="H928" s="59">
        <v>6384.11</v>
      </c>
      <c r="I928" s="59">
        <v>144.93</v>
      </c>
      <c r="J928" s="59">
        <v>2336.16</v>
      </c>
      <c r="K928" s="59">
        <v>28033.87</v>
      </c>
      <c r="L928" s="60">
        <v>30370.03</v>
      </c>
      <c r="M928" s="33"/>
      <c r="N928" s="59">
        <v>28033.87</v>
      </c>
      <c r="O928" s="59">
        <v>21649.759999999998</v>
      </c>
      <c r="P928" s="59">
        <v>3278.4</v>
      </c>
      <c r="Q928" s="59">
        <v>34266.99</v>
      </c>
      <c r="R928" s="59">
        <v>31930.83</v>
      </c>
    </row>
    <row r="929" spans="1:18" s="7" customFormat="1" ht="9" customHeight="1" x14ac:dyDescent="0.2">
      <c r="A929" s="73"/>
      <c r="B929" s="73"/>
      <c r="C929" s="62" t="s">
        <v>37</v>
      </c>
      <c r="D929" s="63">
        <v>34</v>
      </c>
      <c r="E929" s="64">
        <v>41639157</v>
      </c>
      <c r="F929" s="65"/>
      <c r="G929" s="65"/>
      <c r="H929" s="64">
        <v>12361361</v>
      </c>
      <c r="I929" s="64">
        <v>280624</v>
      </c>
      <c r="J929" s="66">
        <v>4523437</v>
      </c>
      <c r="K929" s="64">
        <v>54281141</v>
      </c>
      <c r="L929" s="64">
        <v>58804578</v>
      </c>
      <c r="M929" s="39"/>
      <c r="N929" s="65">
        <v>54281141</v>
      </c>
      <c r="O929" s="65">
        <v>41919781</v>
      </c>
      <c r="P929" s="64">
        <v>6347868</v>
      </c>
      <c r="Q929" s="65">
        <v>66350145</v>
      </c>
      <c r="R929" s="65">
        <v>61826708</v>
      </c>
    </row>
    <row r="930" spans="1:18" s="7" customFormat="1" ht="12.75" customHeight="1" x14ac:dyDescent="0.2">
      <c r="A930" s="73"/>
      <c r="B930" s="73"/>
      <c r="C930" s="68" t="s">
        <v>36</v>
      </c>
      <c r="D930" s="69">
        <v>35</v>
      </c>
      <c r="E930" s="59">
        <v>22891.88</v>
      </c>
      <c r="F930" s="59"/>
      <c r="G930" s="59"/>
      <c r="H930" s="59">
        <v>6384.11</v>
      </c>
      <c r="I930" s="59">
        <v>144.93</v>
      </c>
      <c r="J930" s="59">
        <v>2451.7399999999998</v>
      </c>
      <c r="K930" s="59">
        <v>29420.92</v>
      </c>
      <c r="L930" s="60">
        <v>31872.66</v>
      </c>
      <c r="M930" s="33"/>
      <c r="N930" s="59">
        <v>29420.92</v>
      </c>
      <c r="O930" s="59">
        <v>23036.81</v>
      </c>
      <c r="P930" s="59">
        <v>3278.4</v>
      </c>
      <c r="Q930" s="59">
        <v>36019.29</v>
      </c>
      <c r="R930" s="59">
        <v>33567.550000000003</v>
      </c>
    </row>
    <row r="931" spans="1:18" s="7" customFormat="1" ht="9" customHeight="1" x14ac:dyDescent="0.2">
      <c r="A931" s="74"/>
      <c r="B931" s="74"/>
      <c r="C931" s="71" t="s">
        <v>37</v>
      </c>
      <c r="D931" s="72"/>
      <c r="E931" s="64">
        <v>44324860</v>
      </c>
      <c r="F931" s="64"/>
      <c r="G931" s="64"/>
      <c r="H931" s="64">
        <v>12361361</v>
      </c>
      <c r="I931" s="64">
        <v>280624</v>
      </c>
      <c r="J931" s="64">
        <v>4747231</v>
      </c>
      <c r="K931" s="64">
        <v>56966845</v>
      </c>
      <c r="L931" s="64">
        <v>61714075</v>
      </c>
      <c r="M931" s="39"/>
      <c r="N931" s="64">
        <v>56966845</v>
      </c>
      <c r="O931" s="64">
        <v>44605484</v>
      </c>
      <c r="P931" s="64">
        <v>6347868</v>
      </c>
      <c r="Q931" s="64">
        <v>69743071</v>
      </c>
      <c r="R931" s="65">
        <v>64995840</v>
      </c>
    </row>
    <row r="932" spans="1:18" s="7" customFormat="1" ht="9" customHeight="1" x14ac:dyDescent="0.2">
      <c r="A932" s="73"/>
      <c r="B932" s="73"/>
      <c r="C932" s="184"/>
      <c r="D932" s="45"/>
      <c r="E932" s="185"/>
      <c r="F932" s="185"/>
      <c r="G932" s="185"/>
      <c r="H932" s="185"/>
      <c r="I932" s="185"/>
      <c r="J932" s="185"/>
      <c r="K932" s="185"/>
      <c r="L932" s="185"/>
      <c r="M932" s="39"/>
      <c r="N932" s="185"/>
      <c r="O932" s="185"/>
      <c r="P932" s="185"/>
      <c r="Q932" s="185"/>
      <c r="R932" s="185"/>
    </row>
    <row r="933" spans="1:18" s="7" customFormat="1" ht="9" customHeight="1" x14ac:dyDescent="0.2">
      <c r="A933" s="73"/>
      <c r="B933" s="73"/>
      <c r="C933" s="184"/>
      <c r="D933" s="45"/>
      <c r="E933" s="185"/>
      <c r="F933" s="185"/>
      <c r="G933" s="185"/>
      <c r="H933" s="185"/>
      <c r="I933" s="185"/>
      <c r="J933" s="185"/>
      <c r="K933" s="185"/>
      <c r="L933" s="185"/>
      <c r="M933" s="39"/>
      <c r="N933" s="185"/>
      <c r="O933" s="185"/>
      <c r="P933" s="185"/>
      <c r="Q933" s="185"/>
      <c r="R933" s="185"/>
    </row>
    <row r="934" spans="1:18" s="7" customFormat="1" ht="9" customHeight="1" x14ac:dyDescent="0.2">
      <c r="A934" s="73"/>
      <c r="B934" s="73"/>
      <c r="C934" s="184"/>
      <c r="D934" s="45"/>
      <c r="E934" s="185"/>
      <c r="F934" s="185"/>
      <c r="G934" s="185"/>
      <c r="H934" s="185"/>
      <c r="I934" s="185"/>
      <c r="J934" s="185"/>
      <c r="K934" s="185"/>
      <c r="L934" s="185"/>
      <c r="M934" s="39"/>
      <c r="N934" s="185"/>
      <c r="O934" s="185"/>
      <c r="P934" s="185"/>
      <c r="Q934" s="185"/>
      <c r="R934" s="185"/>
    </row>
    <row r="935" spans="1:18" s="7" customFormat="1" ht="9" customHeight="1" x14ac:dyDescent="0.2">
      <c r="A935" s="73"/>
      <c r="B935" s="73"/>
      <c r="C935" s="184"/>
      <c r="D935" s="45"/>
      <c r="E935" s="185"/>
      <c r="F935" s="185"/>
      <c r="G935" s="185"/>
      <c r="H935" s="185"/>
      <c r="I935" s="185"/>
      <c r="J935" s="185"/>
      <c r="K935" s="185"/>
      <c r="L935" s="185"/>
      <c r="M935" s="39"/>
      <c r="N935" s="185"/>
      <c r="O935" s="185"/>
      <c r="P935" s="185"/>
      <c r="Q935" s="185"/>
      <c r="R935" s="185"/>
    </row>
    <row r="936" spans="1:18" s="7" customFormat="1" ht="9" customHeight="1" x14ac:dyDescent="0.2">
      <c r="A936" s="73"/>
      <c r="B936" s="73"/>
      <c r="C936" s="184"/>
      <c r="D936" s="45"/>
      <c r="E936" s="185"/>
      <c r="F936" s="185"/>
      <c r="G936" s="185"/>
      <c r="H936" s="185"/>
      <c r="I936" s="185"/>
      <c r="J936" s="185"/>
      <c r="K936" s="185"/>
      <c r="L936" s="185"/>
      <c r="M936" s="39"/>
      <c r="N936" s="185"/>
      <c r="O936" s="185"/>
      <c r="P936" s="185"/>
      <c r="Q936" s="185"/>
      <c r="R936" s="185"/>
    </row>
    <row r="937" spans="1:18" s="7" customFormat="1" ht="9" customHeight="1" x14ac:dyDescent="0.2">
      <c r="A937" s="73"/>
      <c r="B937" s="73"/>
      <c r="C937" s="184"/>
      <c r="D937" s="45"/>
      <c r="E937" s="185"/>
      <c r="F937" s="185"/>
      <c r="G937" s="185"/>
      <c r="H937" s="185"/>
      <c r="I937" s="185"/>
      <c r="J937" s="185"/>
      <c r="K937" s="185"/>
      <c r="L937" s="185"/>
      <c r="M937" s="39"/>
      <c r="N937" s="185"/>
      <c r="O937" s="185"/>
      <c r="P937" s="185"/>
      <c r="Q937" s="185"/>
      <c r="R937" s="185"/>
    </row>
    <row r="938" spans="1:18" s="7" customFormat="1" ht="9" customHeight="1" x14ac:dyDescent="0.2">
      <c r="A938" s="73"/>
      <c r="B938" s="73"/>
      <c r="C938" s="184"/>
      <c r="D938" s="45"/>
      <c r="E938" s="185"/>
      <c r="F938" s="185"/>
      <c r="G938" s="185"/>
      <c r="H938" s="185"/>
      <c r="I938" s="185"/>
      <c r="J938" s="185"/>
      <c r="K938" s="185"/>
      <c r="L938" s="185"/>
      <c r="M938" s="39"/>
      <c r="N938" s="185"/>
      <c r="O938" s="185"/>
      <c r="P938" s="185"/>
      <c r="Q938" s="185"/>
      <c r="R938" s="185"/>
    </row>
    <row r="939" spans="1:18" s="7" customFormat="1" ht="9" customHeight="1" x14ac:dyDescent="0.2">
      <c r="A939" s="73"/>
      <c r="B939" s="73"/>
      <c r="C939" s="184"/>
      <c r="D939" s="45"/>
      <c r="E939" s="185"/>
      <c r="F939" s="185"/>
      <c r="G939" s="185"/>
      <c r="H939" s="185"/>
      <c r="I939" s="185"/>
      <c r="J939" s="185"/>
      <c r="K939" s="185"/>
      <c r="L939" s="185"/>
      <c r="M939" s="39"/>
      <c r="N939" s="185"/>
      <c r="O939" s="185"/>
      <c r="P939" s="185"/>
      <c r="Q939" s="185"/>
      <c r="R939" s="185"/>
    </row>
    <row r="940" spans="1:18" s="7" customFormat="1" ht="12.75" customHeight="1" x14ac:dyDescent="0.2">
      <c r="A940" s="56">
        <v>43191</v>
      </c>
      <c r="B940" s="56">
        <v>43465</v>
      </c>
      <c r="C940" s="57" t="s">
        <v>36</v>
      </c>
      <c r="D940" s="58">
        <v>0</v>
      </c>
      <c r="E940" s="59">
        <v>13757.12</v>
      </c>
      <c r="F940" s="59"/>
      <c r="G940" s="59"/>
      <c r="H940" s="59">
        <v>6384.11</v>
      </c>
      <c r="I940" s="59"/>
      <c r="J940" s="59">
        <v>1678.44</v>
      </c>
      <c r="K940" s="59">
        <v>20141.23</v>
      </c>
      <c r="L940" s="60">
        <v>21819.67</v>
      </c>
      <c r="M940" s="33"/>
      <c r="N940" s="59">
        <v>20141.23</v>
      </c>
      <c r="O940" s="59">
        <v>13757.12</v>
      </c>
      <c r="P940" s="59">
        <v>2094</v>
      </c>
      <c r="Q940" s="59">
        <v>24295.95</v>
      </c>
      <c r="R940" s="59">
        <v>22617.51</v>
      </c>
    </row>
    <row r="941" spans="1:18" s="7" customFormat="1" ht="9" customHeight="1" x14ac:dyDescent="0.2">
      <c r="A941" s="61"/>
      <c r="B941" s="61"/>
      <c r="C941" s="62" t="s">
        <v>37</v>
      </c>
      <c r="D941" s="63">
        <v>8</v>
      </c>
      <c r="E941" s="64">
        <v>26637499</v>
      </c>
      <c r="F941" s="65"/>
      <c r="G941" s="65"/>
      <c r="H941" s="64">
        <v>12361361</v>
      </c>
      <c r="I941" s="64"/>
      <c r="J941" s="66">
        <v>3249913</v>
      </c>
      <c r="K941" s="64">
        <v>38998859</v>
      </c>
      <c r="L941" s="64">
        <v>42248772</v>
      </c>
      <c r="M941" s="39"/>
      <c r="N941" s="65">
        <v>38998859</v>
      </c>
      <c r="O941" s="65">
        <v>26637499</v>
      </c>
      <c r="P941" s="64">
        <v>4054549</v>
      </c>
      <c r="Q941" s="65">
        <v>47043519</v>
      </c>
      <c r="R941" s="65">
        <v>43793606</v>
      </c>
    </row>
    <row r="942" spans="1:18" s="7" customFormat="1" ht="12.75" customHeight="1" x14ac:dyDescent="0.2">
      <c r="A942" s="73">
        <f>A940</f>
        <v>43191</v>
      </c>
      <c r="B942" s="73">
        <f>B940</f>
        <v>43465</v>
      </c>
      <c r="C942" s="68" t="s">
        <v>36</v>
      </c>
      <c r="D942" s="69">
        <v>9</v>
      </c>
      <c r="E942" s="59">
        <v>15958.9</v>
      </c>
      <c r="F942" s="59"/>
      <c r="G942" s="59"/>
      <c r="H942" s="59">
        <v>6384.11</v>
      </c>
      <c r="I942" s="59"/>
      <c r="J942" s="59">
        <v>1861.92</v>
      </c>
      <c r="K942" s="59">
        <v>22343.01</v>
      </c>
      <c r="L942" s="60">
        <v>24204.93</v>
      </c>
      <c r="M942" s="33"/>
      <c r="N942" s="59">
        <v>22343.01</v>
      </c>
      <c r="O942" s="59">
        <v>15958.9</v>
      </c>
      <c r="P942" s="59">
        <v>2094</v>
      </c>
      <c r="Q942" s="59">
        <v>27077.53</v>
      </c>
      <c r="R942" s="59">
        <v>25215.61</v>
      </c>
    </row>
    <row r="943" spans="1:18" s="7" customFormat="1" ht="9" customHeight="1" x14ac:dyDescent="0.2">
      <c r="A943" s="73"/>
      <c r="B943" s="73"/>
      <c r="C943" s="62" t="s">
        <v>37</v>
      </c>
      <c r="D943" s="63">
        <v>14</v>
      </c>
      <c r="E943" s="64">
        <v>30900739</v>
      </c>
      <c r="F943" s="65"/>
      <c r="G943" s="65"/>
      <c r="H943" s="64">
        <v>12361361</v>
      </c>
      <c r="I943" s="64"/>
      <c r="J943" s="66">
        <v>3605180</v>
      </c>
      <c r="K943" s="64">
        <v>43262100</v>
      </c>
      <c r="L943" s="64">
        <v>46867280</v>
      </c>
      <c r="M943" s="39"/>
      <c r="N943" s="65">
        <v>43262100</v>
      </c>
      <c r="O943" s="65">
        <v>30900739</v>
      </c>
      <c r="P943" s="64">
        <v>4054549</v>
      </c>
      <c r="Q943" s="65">
        <v>52429409</v>
      </c>
      <c r="R943" s="65">
        <v>48824229</v>
      </c>
    </row>
    <row r="944" spans="1:18" s="7" customFormat="1" ht="12.75" customHeight="1" x14ac:dyDescent="0.2">
      <c r="A944" s="73"/>
      <c r="B944" s="73"/>
      <c r="C944" s="68" t="s">
        <v>36</v>
      </c>
      <c r="D944" s="69">
        <v>15</v>
      </c>
      <c r="E944" s="59">
        <v>17896.830000000002</v>
      </c>
      <c r="F944" s="59"/>
      <c r="G944" s="59"/>
      <c r="H944" s="59">
        <v>6384.11</v>
      </c>
      <c r="I944" s="59"/>
      <c r="J944" s="59">
        <v>2023.41</v>
      </c>
      <c r="K944" s="59">
        <v>24280.94</v>
      </c>
      <c r="L944" s="60">
        <v>26304.35</v>
      </c>
      <c r="M944" s="33"/>
      <c r="N944" s="59">
        <v>24280.94</v>
      </c>
      <c r="O944" s="59">
        <v>17896.830000000002</v>
      </c>
      <c r="P944" s="59">
        <v>2577.6</v>
      </c>
      <c r="Q944" s="59">
        <v>29525.78</v>
      </c>
      <c r="R944" s="59">
        <v>27502.37</v>
      </c>
    </row>
    <row r="945" spans="1:18" s="7" customFormat="1" ht="9" customHeight="1" x14ac:dyDescent="0.2">
      <c r="A945" s="73"/>
      <c r="B945" s="73"/>
      <c r="C945" s="62" t="s">
        <v>37</v>
      </c>
      <c r="D945" s="63">
        <v>20</v>
      </c>
      <c r="E945" s="64">
        <v>34653095</v>
      </c>
      <c r="F945" s="65"/>
      <c r="G945" s="65"/>
      <c r="H945" s="64">
        <v>12361361</v>
      </c>
      <c r="I945" s="64"/>
      <c r="J945" s="66">
        <v>3917868</v>
      </c>
      <c r="K945" s="64">
        <v>47014456</v>
      </c>
      <c r="L945" s="64">
        <v>50932324</v>
      </c>
      <c r="M945" s="39"/>
      <c r="N945" s="65">
        <v>47014456</v>
      </c>
      <c r="O945" s="65">
        <v>34653095</v>
      </c>
      <c r="P945" s="64">
        <v>4990930</v>
      </c>
      <c r="Q945" s="65">
        <v>57169882</v>
      </c>
      <c r="R945" s="65">
        <v>53252014</v>
      </c>
    </row>
    <row r="946" spans="1:18" s="7" customFormat="1" ht="12.75" customHeight="1" x14ac:dyDescent="0.2">
      <c r="A946" s="73"/>
      <c r="B946" s="73"/>
      <c r="C946" s="68" t="s">
        <v>36</v>
      </c>
      <c r="D946" s="69">
        <v>21</v>
      </c>
      <c r="E946" s="59">
        <v>19791.47</v>
      </c>
      <c r="F946" s="59"/>
      <c r="G946" s="59"/>
      <c r="H946" s="59">
        <v>6384.11</v>
      </c>
      <c r="I946" s="59"/>
      <c r="J946" s="59">
        <v>2181.3000000000002</v>
      </c>
      <c r="K946" s="59">
        <v>26175.58</v>
      </c>
      <c r="L946" s="60">
        <v>28356.880000000001</v>
      </c>
      <c r="M946" s="33"/>
      <c r="N946" s="59">
        <v>26175.58</v>
      </c>
      <c r="O946" s="59">
        <v>19791.47</v>
      </c>
      <c r="P946" s="59">
        <v>2577.6</v>
      </c>
      <c r="Q946" s="59">
        <v>31919.34</v>
      </c>
      <c r="R946" s="59">
        <v>29738.04</v>
      </c>
    </row>
    <row r="947" spans="1:18" s="7" customFormat="1" ht="9" customHeight="1" x14ac:dyDescent="0.2">
      <c r="A947" s="73"/>
      <c r="B947" s="73"/>
      <c r="C947" s="62" t="s">
        <v>37</v>
      </c>
      <c r="D947" s="63">
        <v>27</v>
      </c>
      <c r="E947" s="64">
        <v>38321630</v>
      </c>
      <c r="F947" s="65"/>
      <c r="G947" s="65"/>
      <c r="H947" s="64">
        <v>12361361</v>
      </c>
      <c r="I947" s="64"/>
      <c r="J947" s="66">
        <v>4223586</v>
      </c>
      <c r="K947" s="64">
        <v>50682990</v>
      </c>
      <c r="L947" s="64">
        <v>54906576</v>
      </c>
      <c r="M947" s="39"/>
      <c r="N947" s="65">
        <v>50682990</v>
      </c>
      <c r="O947" s="65">
        <v>38321630</v>
      </c>
      <c r="P947" s="64">
        <v>4990930</v>
      </c>
      <c r="Q947" s="65">
        <v>61804460</v>
      </c>
      <c r="R947" s="65">
        <v>57580875</v>
      </c>
    </row>
    <row r="948" spans="1:18" s="7" customFormat="1" ht="12.75" customHeight="1" x14ac:dyDescent="0.2">
      <c r="A948" s="73"/>
      <c r="B948" s="73"/>
      <c r="C948" s="68" t="s">
        <v>36</v>
      </c>
      <c r="D948" s="69">
        <v>28</v>
      </c>
      <c r="E948" s="59">
        <v>21649.759999999998</v>
      </c>
      <c r="F948" s="30"/>
      <c r="G948" s="30"/>
      <c r="H948" s="59">
        <v>6384.11</v>
      </c>
      <c r="I948" s="59"/>
      <c r="J948" s="59">
        <v>2336.16</v>
      </c>
      <c r="K948" s="59">
        <v>28033.87</v>
      </c>
      <c r="L948" s="60">
        <v>30370.03</v>
      </c>
      <c r="M948" s="33"/>
      <c r="N948" s="59">
        <v>28033.87</v>
      </c>
      <c r="O948" s="59">
        <v>21649.759999999998</v>
      </c>
      <c r="P948" s="59">
        <v>3278.4</v>
      </c>
      <c r="Q948" s="59">
        <v>34266.99</v>
      </c>
      <c r="R948" s="59">
        <v>31930.83</v>
      </c>
    </row>
    <row r="949" spans="1:18" s="7" customFormat="1" ht="9" customHeight="1" x14ac:dyDescent="0.2">
      <c r="A949" s="73"/>
      <c r="B949" s="73"/>
      <c r="C949" s="62" t="s">
        <v>37</v>
      </c>
      <c r="D949" s="63">
        <v>34</v>
      </c>
      <c r="E949" s="64">
        <v>41919781</v>
      </c>
      <c r="F949" s="65"/>
      <c r="G949" s="65"/>
      <c r="H949" s="64">
        <v>12361361</v>
      </c>
      <c r="I949" s="64"/>
      <c r="J949" s="66">
        <v>4523437</v>
      </c>
      <c r="K949" s="64">
        <v>54281141</v>
      </c>
      <c r="L949" s="64">
        <v>58804578</v>
      </c>
      <c r="M949" s="39"/>
      <c r="N949" s="65">
        <v>54281141</v>
      </c>
      <c r="O949" s="65">
        <v>41919781</v>
      </c>
      <c r="P949" s="64">
        <v>6347868</v>
      </c>
      <c r="Q949" s="65">
        <v>66350145</v>
      </c>
      <c r="R949" s="65">
        <v>61826708</v>
      </c>
    </row>
    <row r="950" spans="1:18" s="7" customFormat="1" ht="12.75" customHeight="1" x14ac:dyDescent="0.2">
      <c r="A950" s="73"/>
      <c r="B950" s="73"/>
      <c r="C950" s="68" t="s">
        <v>36</v>
      </c>
      <c r="D950" s="69">
        <v>35</v>
      </c>
      <c r="E950" s="59">
        <v>23036.81</v>
      </c>
      <c r="F950" s="59"/>
      <c r="G950" s="59"/>
      <c r="H950" s="59">
        <v>6384.11</v>
      </c>
      <c r="I950" s="59"/>
      <c r="J950" s="59">
        <v>2451.7399999999998</v>
      </c>
      <c r="K950" s="59">
        <v>29420.92</v>
      </c>
      <c r="L950" s="60">
        <v>31872.66</v>
      </c>
      <c r="M950" s="33"/>
      <c r="N950" s="59">
        <v>29420.92</v>
      </c>
      <c r="O950" s="59">
        <v>23036.81</v>
      </c>
      <c r="P950" s="59">
        <v>3278.4</v>
      </c>
      <c r="Q950" s="59">
        <v>36019.29</v>
      </c>
      <c r="R950" s="59">
        <v>33567.550000000003</v>
      </c>
    </row>
    <row r="951" spans="1:18" s="7" customFormat="1" ht="9" customHeight="1" x14ac:dyDescent="0.2">
      <c r="A951" s="74"/>
      <c r="B951" s="74"/>
      <c r="C951" s="71" t="s">
        <v>37</v>
      </c>
      <c r="D951" s="72"/>
      <c r="E951" s="64">
        <v>44605484</v>
      </c>
      <c r="F951" s="64"/>
      <c r="G951" s="64"/>
      <c r="H951" s="64">
        <v>12361361</v>
      </c>
      <c r="I951" s="64"/>
      <c r="J951" s="64">
        <v>4747231</v>
      </c>
      <c r="K951" s="64">
        <v>56966845</v>
      </c>
      <c r="L951" s="64">
        <v>61714075</v>
      </c>
      <c r="M951" s="39"/>
      <c r="N951" s="64">
        <v>56966845</v>
      </c>
      <c r="O951" s="64">
        <v>44605484</v>
      </c>
      <c r="P951" s="64">
        <v>6347868</v>
      </c>
      <c r="Q951" s="64">
        <v>69743071</v>
      </c>
      <c r="R951" s="65">
        <v>64995840</v>
      </c>
    </row>
    <row r="952" spans="1:18" s="7" customFormat="1" ht="9" customHeight="1" x14ac:dyDescent="0.2">
      <c r="A952" s="73"/>
      <c r="B952" s="73"/>
      <c r="C952" s="184"/>
      <c r="D952" s="45"/>
      <c r="E952" s="185"/>
      <c r="F952" s="185"/>
      <c r="G952" s="185"/>
      <c r="H952" s="185"/>
      <c r="I952" s="185"/>
      <c r="J952" s="185"/>
      <c r="K952" s="185"/>
      <c r="L952" s="185"/>
      <c r="M952" s="39"/>
      <c r="N952" s="185"/>
      <c r="O952" s="185"/>
      <c r="P952" s="185"/>
      <c r="Q952" s="185"/>
      <c r="R952" s="185"/>
    </row>
    <row r="953" spans="1:18" s="7" customFormat="1" ht="9" customHeight="1" x14ac:dyDescent="0.2">
      <c r="A953" s="73"/>
      <c r="B953" s="73"/>
      <c r="C953" s="184"/>
      <c r="D953" s="45"/>
      <c r="E953" s="185"/>
      <c r="F953" s="185"/>
      <c r="G953" s="185"/>
      <c r="H953" s="185"/>
      <c r="I953" s="185"/>
      <c r="J953" s="185"/>
      <c r="K953" s="185"/>
      <c r="L953" s="185"/>
      <c r="M953" s="39"/>
      <c r="N953" s="185"/>
      <c r="O953" s="185"/>
      <c r="P953" s="185"/>
      <c r="Q953" s="185"/>
      <c r="R953" s="185"/>
    </row>
    <row r="954" spans="1:18" s="7" customFormat="1" ht="9" customHeight="1" x14ac:dyDescent="0.2">
      <c r="A954" s="73"/>
      <c r="B954" s="73"/>
      <c r="C954" s="184"/>
      <c r="D954" s="45"/>
      <c r="E954" s="185"/>
      <c r="F954" s="185"/>
      <c r="G954" s="185"/>
      <c r="H954" s="185"/>
      <c r="I954" s="185"/>
      <c r="J954" s="185"/>
      <c r="K954" s="185"/>
      <c r="L954" s="185"/>
      <c r="M954" s="39"/>
      <c r="N954" s="185"/>
      <c r="O954" s="185"/>
      <c r="P954" s="185"/>
      <c r="Q954" s="185"/>
      <c r="R954" s="185"/>
    </row>
    <row r="955" spans="1:18" s="7" customFormat="1" ht="9" customHeight="1" x14ac:dyDescent="0.2">
      <c r="A955" s="73"/>
      <c r="B955" s="73"/>
      <c r="C955" s="184"/>
      <c r="D955" s="45"/>
      <c r="E955" s="185"/>
      <c r="F955" s="185"/>
      <c r="G955" s="185"/>
      <c r="H955" s="185"/>
      <c r="I955" s="185"/>
      <c r="J955" s="185"/>
      <c r="K955" s="185"/>
      <c r="L955" s="185"/>
      <c r="M955" s="39"/>
      <c r="N955" s="185"/>
      <c r="O955" s="185"/>
      <c r="P955" s="185"/>
      <c r="Q955" s="185"/>
      <c r="R955" s="185"/>
    </row>
    <row r="956" spans="1:18" s="7" customFormat="1" ht="9" customHeight="1" x14ac:dyDescent="0.2">
      <c r="A956" s="73"/>
      <c r="B956" s="73"/>
      <c r="C956" s="184"/>
      <c r="D956" s="45"/>
      <c r="E956" s="185"/>
      <c r="F956" s="185"/>
      <c r="G956" s="185"/>
      <c r="H956" s="185"/>
      <c r="I956" s="185"/>
      <c r="J956" s="185"/>
      <c r="K956" s="185"/>
      <c r="L956" s="185"/>
      <c r="M956" s="39"/>
      <c r="N956" s="185"/>
      <c r="O956" s="185"/>
      <c r="P956" s="185"/>
      <c r="Q956" s="185"/>
      <c r="R956" s="185"/>
    </row>
    <row r="957" spans="1:18" s="7" customFormat="1" ht="9" customHeight="1" x14ac:dyDescent="0.2">
      <c r="A957" s="73"/>
      <c r="B957" s="73"/>
      <c r="C957" s="184"/>
      <c r="D957" s="45"/>
      <c r="E957" s="185"/>
      <c r="F957" s="185"/>
      <c r="G957" s="185"/>
      <c r="H957" s="185"/>
      <c r="I957" s="185"/>
      <c r="J957" s="185"/>
      <c r="K957" s="185"/>
      <c r="L957" s="185"/>
      <c r="M957" s="39"/>
      <c r="N957" s="185"/>
      <c r="O957" s="185"/>
      <c r="P957" s="185"/>
      <c r="Q957" s="185"/>
      <c r="R957" s="185"/>
    </row>
    <row r="958" spans="1:18" s="7" customFormat="1" ht="9" customHeight="1" x14ac:dyDescent="0.2">
      <c r="A958" s="73"/>
      <c r="B958" s="73"/>
      <c r="C958" s="184"/>
      <c r="D958" s="45"/>
      <c r="E958" s="185"/>
      <c r="F958" s="185"/>
      <c r="G958" s="185"/>
      <c r="H958" s="185"/>
      <c r="I958" s="185"/>
      <c r="J958" s="185"/>
      <c r="K958" s="185"/>
      <c r="L958" s="185"/>
      <c r="M958" s="39"/>
      <c r="N958" s="185"/>
      <c r="O958" s="185"/>
      <c r="P958" s="185"/>
      <c r="Q958" s="185"/>
      <c r="R958" s="185"/>
    </row>
    <row r="959" spans="1:18" s="7" customFormat="1" ht="9" customHeight="1" x14ac:dyDescent="0.2">
      <c r="A959" s="73"/>
      <c r="B959" s="73"/>
      <c r="C959" s="184"/>
      <c r="D959" s="45"/>
      <c r="E959" s="185"/>
      <c r="F959" s="185"/>
      <c r="G959" s="185"/>
      <c r="H959" s="185"/>
      <c r="I959" s="185"/>
      <c r="J959" s="185"/>
      <c r="K959" s="185"/>
      <c r="L959" s="185"/>
      <c r="M959" s="39"/>
      <c r="N959" s="185"/>
      <c r="O959" s="185"/>
      <c r="P959" s="185"/>
      <c r="Q959" s="185"/>
      <c r="R959" s="185"/>
    </row>
    <row r="960" spans="1:18" s="7" customFormat="1" ht="12.75" customHeight="1" x14ac:dyDescent="0.2">
      <c r="A960" s="56">
        <v>43466</v>
      </c>
      <c r="B960" s="56">
        <v>43830</v>
      </c>
      <c r="C960" s="57" t="s">
        <v>36</v>
      </c>
      <c r="D960" s="58">
        <v>0</v>
      </c>
      <c r="E960" s="59">
        <v>13944.29</v>
      </c>
      <c r="F960" s="59"/>
      <c r="G960" s="59"/>
      <c r="H960" s="59">
        <v>6384.11</v>
      </c>
      <c r="I960" s="59"/>
      <c r="J960" s="59">
        <v>1685.49</v>
      </c>
      <c r="K960" s="59">
        <v>20225.830000000002</v>
      </c>
      <c r="L960" s="60">
        <v>21911.32</v>
      </c>
      <c r="M960" s="33"/>
      <c r="N960" s="59">
        <v>20225.830000000002</v>
      </c>
      <c r="O960" s="59">
        <v>13841.72</v>
      </c>
      <c r="P960" s="59">
        <v>2094</v>
      </c>
      <c r="Q960" s="59">
        <v>24402.83</v>
      </c>
      <c r="R960" s="59">
        <v>22717.34</v>
      </c>
    </row>
    <row r="961" spans="1:18" s="7" customFormat="1" ht="9" customHeight="1" x14ac:dyDescent="0.2">
      <c r="A961" s="61"/>
      <c r="B961" s="61"/>
      <c r="C961" s="62" t="s">
        <v>37</v>
      </c>
      <c r="D961" s="63">
        <v>8</v>
      </c>
      <c r="E961" s="64">
        <v>26637499</v>
      </c>
      <c r="F961" s="65"/>
      <c r="G961" s="65"/>
      <c r="H961" s="64">
        <v>12361361</v>
      </c>
      <c r="I961" s="64"/>
      <c r="J961" s="66">
        <v>3263564</v>
      </c>
      <c r="K961" s="66">
        <v>39162668</v>
      </c>
      <c r="L961" s="64">
        <v>42426232</v>
      </c>
      <c r="M961" s="39"/>
      <c r="N961" s="65">
        <v>39162668</v>
      </c>
      <c r="O961" s="65">
        <v>26801307</v>
      </c>
      <c r="P961" s="65">
        <v>4054549</v>
      </c>
      <c r="Q961" s="65">
        <v>47250468</v>
      </c>
      <c r="R961" s="65">
        <v>43986904</v>
      </c>
    </row>
    <row r="962" spans="1:18" s="7" customFormat="1" ht="12.75" customHeight="1" x14ac:dyDescent="0.2">
      <c r="A962" s="73">
        <f>A960</f>
        <v>43466</v>
      </c>
      <c r="B962" s="73">
        <f>B960</f>
        <v>43830</v>
      </c>
      <c r="C962" s="68" t="s">
        <v>36</v>
      </c>
      <c r="D962" s="69">
        <v>9</v>
      </c>
      <c r="E962" s="59">
        <v>16166.48</v>
      </c>
      <c r="F962" s="59"/>
      <c r="G962" s="59"/>
      <c r="H962" s="59">
        <v>6384.11</v>
      </c>
      <c r="I962" s="59"/>
      <c r="J962" s="59">
        <v>1869.74</v>
      </c>
      <c r="K962" s="59">
        <v>16918.52</v>
      </c>
      <c r="L962" s="60">
        <v>18788.259999999998</v>
      </c>
      <c r="M962" s="33"/>
      <c r="N962" s="59">
        <v>22436.85</v>
      </c>
      <c r="O962" s="59">
        <v>16052.74</v>
      </c>
      <c r="P962" s="59">
        <v>2094</v>
      </c>
      <c r="Q962" s="59">
        <v>27196.080000000002</v>
      </c>
      <c r="R962" s="59">
        <v>25326.34</v>
      </c>
    </row>
    <row r="963" spans="1:18" s="7" customFormat="1" ht="9" customHeight="1" x14ac:dyDescent="0.2">
      <c r="A963" s="73"/>
      <c r="B963" s="73"/>
      <c r="C963" s="62" t="s">
        <v>37</v>
      </c>
      <c r="D963" s="63">
        <v>14</v>
      </c>
      <c r="E963" s="64">
        <v>26637499</v>
      </c>
      <c r="F963" s="65"/>
      <c r="G963" s="65"/>
      <c r="H963" s="64">
        <v>12361361</v>
      </c>
      <c r="I963" s="64"/>
      <c r="J963" s="66">
        <v>3620321</v>
      </c>
      <c r="K963" s="64">
        <v>32758823</v>
      </c>
      <c r="L963" s="64">
        <v>36379144</v>
      </c>
      <c r="M963" s="39"/>
      <c r="N963" s="65">
        <v>43443800</v>
      </c>
      <c r="O963" s="65">
        <v>31082439</v>
      </c>
      <c r="P963" s="65">
        <v>4054549</v>
      </c>
      <c r="Q963" s="65">
        <v>52658954</v>
      </c>
      <c r="R963" s="65">
        <v>49038632</v>
      </c>
    </row>
    <row r="964" spans="1:18" s="7" customFormat="1" ht="12.75" customHeight="1" x14ac:dyDescent="0.2">
      <c r="A964" s="73"/>
      <c r="B964" s="73"/>
      <c r="C964" s="68" t="s">
        <v>36</v>
      </c>
      <c r="D964" s="69">
        <v>15</v>
      </c>
      <c r="E964" s="59">
        <v>18122.38</v>
      </c>
      <c r="F964" s="59"/>
      <c r="G964" s="59"/>
      <c r="H964" s="59">
        <v>6384.11</v>
      </c>
      <c r="I964" s="59"/>
      <c r="J964" s="59">
        <v>2031.91</v>
      </c>
      <c r="K964" s="59">
        <v>17933.73</v>
      </c>
      <c r="L964" s="60">
        <v>19965.64</v>
      </c>
      <c r="M964" s="33"/>
      <c r="N964" s="59">
        <v>24382.94</v>
      </c>
      <c r="O964" s="59">
        <v>17998.830000000002</v>
      </c>
      <c r="P964" s="59">
        <v>2577.6</v>
      </c>
      <c r="Q964" s="59">
        <v>29654.639999999999</v>
      </c>
      <c r="R964" s="59">
        <v>27622.73</v>
      </c>
    </row>
    <row r="965" spans="1:18" s="7" customFormat="1" ht="9" customHeight="1" x14ac:dyDescent="0.2">
      <c r="A965" s="73"/>
      <c r="B965" s="73"/>
      <c r="C965" s="62" t="s">
        <v>37</v>
      </c>
      <c r="D965" s="63">
        <v>20</v>
      </c>
      <c r="E965" s="64">
        <v>26637499</v>
      </c>
      <c r="F965" s="65"/>
      <c r="G965" s="65"/>
      <c r="H965" s="64">
        <v>12361361</v>
      </c>
      <c r="I965" s="64"/>
      <c r="J965" s="66">
        <v>3934326</v>
      </c>
      <c r="K965" s="64">
        <v>34724543</v>
      </c>
      <c r="L965" s="64">
        <v>38658870</v>
      </c>
      <c r="M965" s="39"/>
      <c r="N965" s="65">
        <v>47211955</v>
      </c>
      <c r="O965" s="65">
        <v>34850595</v>
      </c>
      <c r="P965" s="65">
        <v>4990930</v>
      </c>
      <c r="Q965" s="65">
        <v>57419390</v>
      </c>
      <c r="R965" s="65">
        <v>53485063</v>
      </c>
    </row>
    <row r="966" spans="1:18" s="7" customFormat="1" ht="12.75" customHeight="1" x14ac:dyDescent="0.2">
      <c r="A966" s="73"/>
      <c r="B966" s="73"/>
      <c r="C966" s="68" t="s">
        <v>36</v>
      </c>
      <c r="D966" s="69">
        <v>21</v>
      </c>
      <c r="E966" s="59">
        <v>20035.079999999998</v>
      </c>
      <c r="F966" s="59"/>
      <c r="G966" s="59"/>
      <c r="H966" s="59">
        <v>6384.11</v>
      </c>
      <c r="I966" s="59"/>
      <c r="J966" s="59">
        <v>2190.46</v>
      </c>
      <c r="K966" s="59">
        <v>18921.79</v>
      </c>
      <c r="L966" s="60">
        <v>21112.25</v>
      </c>
      <c r="M966" s="33"/>
      <c r="N966" s="59">
        <v>26285.5</v>
      </c>
      <c r="O966" s="59">
        <v>19901.39</v>
      </c>
      <c r="P966" s="59">
        <v>2577.6</v>
      </c>
      <c r="Q966" s="59">
        <v>32058.21</v>
      </c>
      <c r="R966" s="59">
        <v>29867.75</v>
      </c>
    </row>
    <row r="967" spans="1:18" s="7" customFormat="1" ht="9" customHeight="1" x14ac:dyDescent="0.2">
      <c r="A967" s="73"/>
      <c r="B967" s="73"/>
      <c r="C967" s="62" t="s">
        <v>37</v>
      </c>
      <c r="D967" s="63">
        <v>27</v>
      </c>
      <c r="E967" s="64">
        <v>26637499</v>
      </c>
      <c r="F967" s="65"/>
      <c r="G967" s="65"/>
      <c r="H967" s="64">
        <v>12361361</v>
      </c>
      <c r="I967" s="64"/>
      <c r="J967" s="66">
        <v>4241322</v>
      </c>
      <c r="K967" s="64">
        <v>36637694</v>
      </c>
      <c r="L967" s="64">
        <v>40879016</v>
      </c>
      <c r="M967" s="39"/>
      <c r="N967" s="65">
        <v>50895825</v>
      </c>
      <c r="O967" s="65">
        <v>38534464</v>
      </c>
      <c r="P967" s="65">
        <v>4990930</v>
      </c>
      <c r="Q967" s="65">
        <v>62073350</v>
      </c>
      <c r="R967" s="65">
        <v>57832028</v>
      </c>
    </row>
    <row r="968" spans="1:18" s="7" customFormat="1" ht="12.75" customHeight="1" x14ac:dyDescent="0.2">
      <c r="A968" s="73"/>
      <c r="B968" s="73"/>
      <c r="C968" s="68" t="s">
        <v>36</v>
      </c>
      <c r="D968" s="69">
        <v>28</v>
      </c>
      <c r="E968" s="59">
        <v>21910.11</v>
      </c>
      <c r="F968" s="30"/>
      <c r="G968" s="30"/>
      <c r="H968" s="59">
        <v>6384.11</v>
      </c>
      <c r="I968" s="59"/>
      <c r="J968" s="59">
        <v>2345.9699999999998</v>
      </c>
      <c r="K968" s="59">
        <v>19673.080000000002</v>
      </c>
      <c r="L968" s="60">
        <v>22019.05</v>
      </c>
      <c r="M968" s="33"/>
      <c r="N968" s="59">
        <v>28151.59</v>
      </c>
      <c r="O968" s="59">
        <v>21767.48</v>
      </c>
      <c r="P968" s="59">
        <v>3278.4</v>
      </c>
      <c r="Q968" s="59">
        <v>34415.71</v>
      </c>
      <c r="R968" s="59">
        <v>32069.74</v>
      </c>
    </row>
    <row r="969" spans="1:18" s="7" customFormat="1" ht="9" customHeight="1" x14ac:dyDescent="0.2">
      <c r="A969" s="73"/>
      <c r="B969" s="73"/>
      <c r="C969" s="62" t="s">
        <v>37</v>
      </c>
      <c r="D969" s="63">
        <v>34</v>
      </c>
      <c r="E969" s="64">
        <v>26637499</v>
      </c>
      <c r="F969" s="65"/>
      <c r="G969" s="65"/>
      <c r="H969" s="64">
        <v>12361361</v>
      </c>
      <c r="I969" s="64"/>
      <c r="J969" s="66">
        <v>4542431</v>
      </c>
      <c r="K969" s="64">
        <v>38092395</v>
      </c>
      <c r="L969" s="64">
        <v>42634826</v>
      </c>
      <c r="M969" s="39"/>
      <c r="N969" s="65">
        <v>54509079</v>
      </c>
      <c r="O969" s="65">
        <v>42147718</v>
      </c>
      <c r="P969" s="65">
        <v>6347868</v>
      </c>
      <c r="Q969" s="65">
        <v>66638107</v>
      </c>
      <c r="R969" s="64">
        <v>62095675</v>
      </c>
    </row>
    <row r="970" spans="1:18" s="7" customFormat="1" ht="12.75" customHeight="1" x14ac:dyDescent="0.2">
      <c r="A970" s="73"/>
      <c r="B970" s="73"/>
      <c r="C970" s="68" t="s">
        <v>36</v>
      </c>
      <c r="D970" s="69">
        <v>35</v>
      </c>
      <c r="E970" s="59">
        <v>23310.41</v>
      </c>
      <c r="F970" s="59"/>
      <c r="G970" s="59"/>
      <c r="H970" s="59">
        <v>6384.11</v>
      </c>
      <c r="I970" s="59"/>
      <c r="J970" s="59">
        <v>2462.04</v>
      </c>
      <c r="K970" s="59">
        <v>20206.89</v>
      </c>
      <c r="L970" s="60">
        <v>22668.93</v>
      </c>
      <c r="M970" s="33"/>
      <c r="N970" s="59">
        <v>29544.52</v>
      </c>
      <c r="O970" s="59">
        <v>23160.41</v>
      </c>
      <c r="P970" s="59">
        <v>3278.4</v>
      </c>
      <c r="Q970" s="59">
        <v>36175.43</v>
      </c>
      <c r="R970" s="59">
        <v>33713.39</v>
      </c>
    </row>
    <row r="971" spans="1:18" s="7" customFormat="1" ht="9" customHeight="1" x14ac:dyDescent="0.2">
      <c r="A971" s="74"/>
      <c r="B971" s="74"/>
      <c r="C971" s="71" t="s">
        <v>37</v>
      </c>
      <c r="D971" s="72"/>
      <c r="E971" s="64">
        <v>26637499</v>
      </c>
      <c r="F971" s="64"/>
      <c r="G971" s="64"/>
      <c r="H971" s="64">
        <v>12361361</v>
      </c>
      <c r="I971" s="64"/>
      <c r="J971" s="64">
        <v>4767174</v>
      </c>
      <c r="K971" s="64">
        <v>39125995</v>
      </c>
      <c r="L971" s="64">
        <v>43893169</v>
      </c>
      <c r="M971" s="39"/>
      <c r="N971" s="64">
        <v>57206168</v>
      </c>
      <c r="O971" s="65">
        <v>44844807</v>
      </c>
      <c r="P971" s="64">
        <v>6347868</v>
      </c>
      <c r="Q971" s="64">
        <v>70045400</v>
      </c>
      <c r="R971" s="64">
        <v>65278226</v>
      </c>
    </row>
    <row r="972" spans="1:18" s="7" customFormat="1" ht="9" customHeight="1" x14ac:dyDescent="0.2">
      <c r="A972" s="73"/>
      <c r="B972" s="73"/>
      <c r="C972" s="184"/>
      <c r="D972" s="45"/>
      <c r="E972" s="185"/>
      <c r="F972" s="185"/>
      <c r="G972" s="185"/>
      <c r="H972" s="185"/>
      <c r="I972" s="185"/>
      <c r="J972" s="185"/>
      <c r="K972" s="185"/>
      <c r="L972" s="185"/>
      <c r="M972" s="39"/>
      <c r="N972" s="185"/>
      <c r="O972" s="185"/>
      <c r="P972" s="185"/>
      <c r="Q972" s="185"/>
      <c r="R972" s="185"/>
    </row>
    <row r="973" spans="1:18" s="7" customFormat="1" ht="9" customHeight="1" x14ac:dyDescent="0.2">
      <c r="A973" s="73"/>
      <c r="B973" s="73"/>
      <c r="C973" s="184"/>
      <c r="D973" s="45"/>
      <c r="E973" s="185"/>
      <c r="F973" s="185"/>
      <c r="G973" s="185"/>
      <c r="H973" s="185"/>
      <c r="I973" s="185"/>
      <c r="J973" s="185"/>
      <c r="K973" s="185"/>
      <c r="L973" s="185"/>
      <c r="M973" s="39"/>
      <c r="N973" s="185"/>
      <c r="O973" s="185"/>
      <c r="P973" s="185"/>
      <c r="Q973" s="185"/>
      <c r="R973" s="185"/>
    </row>
    <row r="974" spans="1:18" s="7" customFormat="1" ht="9" customHeight="1" x14ac:dyDescent="0.2">
      <c r="A974" s="73"/>
      <c r="B974" s="73"/>
      <c r="C974" s="184"/>
      <c r="D974" s="45"/>
      <c r="E974" s="185"/>
      <c r="F974" s="185"/>
      <c r="G974" s="185"/>
      <c r="H974" s="185"/>
      <c r="I974" s="185"/>
      <c r="J974" s="185"/>
      <c r="K974" s="185"/>
      <c r="L974" s="185"/>
      <c r="M974" s="39"/>
      <c r="N974" s="185"/>
      <c r="O974" s="185"/>
      <c r="P974" s="185"/>
      <c r="Q974" s="185"/>
      <c r="R974" s="185"/>
    </row>
    <row r="975" spans="1:18" s="7" customFormat="1" ht="9" customHeight="1" x14ac:dyDescent="0.2">
      <c r="A975" s="73"/>
      <c r="B975" s="73"/>
      <c r="C975" s="184"/>
      <c r="D975" s="45"/>
      <c r="E975" s="185"/>
      <c r="F975" s="185"/>
      <c r="G975" s="185"/>
      <c r="H975" s="185"/>
      <c r="I975" s="185"/>
      <c r="J975" s="185"/>
      <c r="K975" s="185"/>
      <c r="L975" s="185"/>
      <c r="M975" s="39"/>
      <c r="N975" s="185"/>
      <c r="O975" s="185"/>
      <c r="P975" s="185"/>
      <c r="Q975" s="185"/>
      <c r="R975" s="185"/>
    </row>
    <row r="976" spans="1:18" s="7" customFormat="1" ht="9" customHeight="1" x14ac:dyDescent="0.2">
      <c r="A976" s="73"/>
      <c r="B976" s="73"/>
      <c r="C976" s="184"/>
      <c r="D976" s="45"/>
      <c r="E976" s="185"/>
      <c r="F976" s="185"/>
      <c r="G976" s="185"/>
      <c r="H976" s="185"/>
      <c r="I976" s="185"/>
      <c r="J976" s="185"/>
      <c r="K976" s="185"/>
      <c r="L976" s="185"/>
      <c r="M976" s="39"/>
      <c r="N976" s="185"/>
      <c r="O976" s="185"/>
      <c r="P976" s="185"/>
      <c r="Q976" s="185"/>
      <c r="R976" s="185"/>
    </row>
    <row r="977" spans="1:18" s="7" customFormat="1" ht="9" customHeight="1" x14ac:dyDescent="0.2">
      <c r="A977" s="73"/>
      <c r="B977" s="73"/>
      <c r="C977" s="184"/>
      <c r="D977" s="45"/>
      <c r="E977" s="185"/>
      <c r="F977" s="185"/>
      <c r="G977" s="185"/>
      <c r="H977" s="185"/>
      <c r="I977" s="185"/>
      <c r="J977" s="185"/>
      <c r="K977" s="185"/>
      <c r="L977" s="185"/>
      <c r="M977" s="39"/>
      <c r="N977" s="185"/>
      <c r="O977" s="185"/>
      <c r="P977" s="185"/>
      <c r="Q977" s="185"/>
      <c r="R977" s="185"/>
    </row>
    <row r="978" spans="1:18" s="7" customFormat="1" ht="9" customHeight="1" x14ac:dyDescent="0.2">
      <c r="A978" s="73"/>
      <c r="B978" s="73"/>
      <c r="C978" s="184"/>
      <c r="D978" s="45"/>
      <c r="E978" s="185"/>
      <c r="F978" s="185"/>
      <c r="G978" s="185"/>
      <c r="H978" s="185"/>
      <c r="I978" s="185"/>
      <c r="J978" s="185"/>
      <c r="K978" s="185"/>
      <c r="L978" s="185"/>
      <c r="M978" s="39"/>
      <c r="N978" s="185"/>
      <c r="O978" s="185"/>
      <c r="P978" s="185"/>
      <c r="Q978" s="185"/>
      <c r="R978" s="185"/>
    </row>
    <row r="979" spans="1:18" s="7" customFormat="1" ht="9" customHeight="1" x14ac:dyDescent="0.2">
      <c r="A979" s="73"/>
      <c r="B979" s="73"/>
      <c r="C979" s="184"/>
      <c r="D979" s="45"/>
      <c r="E979" s="185"/>
      <c r="F979" s="185"/>
      <c r="G979" s="185"/>
      <c r="H979" s="185"/>
      <c r="I979" s="185"/>
      <c r="J979" s="185"/>
      <c r="K979" s="185"/>
      <c r="L979" s="185"/>
      <c r="M979" s="39"/>
      <c r="N979" s="185"/>
      <c r="O979" s="185"/>
      <c r="P979" s="185"/>
      <c r="Q979" s="185"/>
      <c r="R979" s="185"/>
    </row>
    <row r="980" spans="1:18" s="7" customFormat="1" ht="12.75" customHeight="1" x14ac:dyDescent="0.2">
      <c r="A980" s="56">
        <v>43831</v>
      </c>
      <c r="B980" s="56">
        <v>44196</v>
      </c>
      <c r="C980" s="57" t="s">
        <v>36</v>
      </c>
      <c r="D980" s="58">
        <v>0</v>
      </c>
      <c r="E980" s="59">
        <v>14101.489999999998</v>
      </c>
      <c r="F980" s="59"/>
      <c r="G980" s="59"/>
      <c r="H980" s="59">
        <v>6384.11</v>
      </c>
      <c r="I980" s="59"/>
      <c r="J980" s="59">
        <v>1690.19</v>
      </c>
      <c r="K980" s="59">
        <v>20282.23</v>
      </c>
      <c r="L980" s="60">
        <v>21972.42</v>
      </c>
      <c r="M980" s="33"/>
      <c r="N980" s="59">
        <v>20282.23</v>
      </c>
      <c r="O980" s="59">
        <v>13898.12</v>
      </c>
      <c r="P980" s="59">
        <v>2094</v>
      </c>
      <c r="Q980" s="59">
        <v>24474.080000000002</v>
      </c>
      <c r="R980" s="59">
        <v>22783.89</v>
      </c>
    </row>
    <row r="981" spans="1:18" s="7" customFormat="1" ht="9" customHeight="1" x14ac:dyDescent="0.2">
      <c r="A981" s="61"/>
      <c r="B981" s="61"/>
      <c r="C981" s="62" t="s">
        <v>37</v>
      </c>
      <c r="D981" s="63">
        <v>8</v>
      </c>
      <c r="E981" s="64">
        <v>26637499</v>
      </c>
      <c r="F981" s="65"/>
      <c r="G981" s="65"/>
      <c r="H981" s="64">
        <v>12361361</v>
      </c>
      <c r="I981" s="64"/>
      <c r="J981" s="66">
        <v>3272664</v>
      </c>
      <c r="K981" s="66">
        <v>39271873</v>
      </c>
      <c r="L981" s="64">
        <v>42544538</v>
      </c>
      <c r="M981" s="39"/>
      <c r="N981" s="65">
        <v>39271873</v>
      </c>
      <c r="O981" s="65">
        <v>26910513</v>
      </c>
      <c r="P981" s="65">
        <v>4054549</v>
      </c>
      <c r="Q981" s="65">
        <v>47388427</v>
      </c>
      <c r="R981" s="64">
        <v>44115763</v>
      </c>
    </row>
    <row r="982" spans="1:18" s="7" customFormat="1" ht="12.75" customHeight="1" x14ac:dyDescent="0.2">
      <c r="A982" s="73">
        <f>A980</f>
        <v>43831</v>
      </c>
      <c r="B982" s="73">
        <f>B980</f>
        <v>44196</v>
      </c>
      <c r="C982" s="68" t="s">
        <v>36</v>
      </c>
      <c r="D982" s="69">
        <v>9</v>
      </c>
      <c r="E982" s="59">
        <v>16341.68</v>
      </c>
      <c r="F982" s="59"/>
      <c r="G982" s="59"/>
      <c r="H982" s="59">
        <v>6384.11</v>
      </c>
      <c r="I982" s="59"/>
      <c r="J982" s="59">
        <v>1874.95</v>
      </c>
      <c r="K982" s="59">
        <v>16918.52</v>
      </c>
      <c r="L982" s="60">
        <v>18793.47</v>
      </c>
      <c r="M982" s="33"/>
      <c r="N982" s="59">
        <v>22499.37</v>
      </c>
      <c r="O982" s="59">
        <v>16115.26</v>
      </c>
      <c r="P982" s="59">
        <v>2094</v>
      </c>
      <c r="Q982" s="59">
        <v>27275.07</v>
      </c>
      <c r="R982" s="59">
        <v>25400.12</v>
      </c>
    </row>
    <row r="983" spans="1:18" s="7" customFormat="1" ht="9" customHeight="1" x14ac:dyDescent="0.2">
      <c r="A983" s="73"/>
      <c r="B983" s="73"/>
      <c r="C983" s="62" t="s">
        <v>37</v>
      </c>
      <c r="D983" s="63">
        <v>14</v>
      </c>
      <c r="E983" s="64">
        <v>26637499</v>
      </c>
      <c r="F983" s="65"/>
      <c r="G983" s="65"/>
      <c r="H983" s="64">
        <v>12361361</v>
      </c>
      <c r="I983" s="64"/>
      <c r="J983" s="66">
        <v>3630409</v>
      </c>
      <c r="K983" s="64">
        <v>32758823</v>
      </c>
      <c r="L983" s="64">
        <v>36389232</v>
      </c>
      <c r="M983" s="39"/>
      <c r="N983" s="65">
        <v>43564855</v>
      </c>
      <c r="O983" s="65">
        <v>31203494</v>
      </c>
      <c r="P983" s="65">
        <v>4054549</v>
      </c>
      <c r="Q983" s="65">
        <v>52811900</v>
      </c>
      <c r="R983" s="64">
        <v>49181490</v>
      </c>
    </row>
    <row r="984" spans="1:18" s="7" customFormat="1" ht="12.75" customHeight="1" x14ac:dyDescent="0.2">
      <c r="A984" s="73"/>
      <c r="B984" s="73"/>
      <c r="C984" s="68" t="s">
        <v>36</v>
      </c>
      <c r="D984" s="69">
        <v>15</v>
      </c>
      <c r="E984" s="59">
        <v>18312.079999999998</v>
      </c>
      <c r="F984" s="59"/>
      <c r="G984" s="59"/>
      <c r="H984" s="59">
        <v>6384.11</v>
      </c>
      <c r="I984" s="59"/>
      <c r="J984" s="59">
        <v>2037.57</v>
      </c>
      <c r="K984" s="59">
        <v>17933.73</v>
      </c>
      <c r="L984" s="60">
        <v>19971.3</v>
      </c>
      <c r="M984" s="33"/>
      <c r="N984" s="59">
        <v>24450.86</v>
      </c>
      <c r="O984" s="59">
        <v>18066.75</v>
      </c>
      <c r="P984" s="59">
        <v>2577.6</v>
      </c>
      <c r="Q984" s="59">
        <v>29740.45</v>
      </c>
      <c r="R984" s="59">
        <v>27702.880000000001</v>
      </c>
    </row>
    <row r="985" spans="1:18" s="7" customFormat="1" ht="9" customHeight="1" x14ac:dyDescent="0.2">
      <c r="A985" s="73"/>
      <c r="B985" s="73"/>
      <c r="C985" s="62" t="s">
        <v>37</v>
      </c>
      <c r="D985" s="63">
        <v>20</v>
      </c>
      <c r="E985" s="64">
        <v>26637499</v>
      </c>
      <c r="F985" s="65"/>
      <c r="G985" s="65"/>
      <c r="H985" s="64">
        <v>12361361</v>
      </c>
      <c r="I985" s="64"/>
      <c r="J985" s="66">
        <v>3945286</v>
      </c>
      <c r="K985" s="64">
        <v>34724543</v>
      </c>
      <c r="L985" s="64">
        <v>38669829</v>
      </c>
      <c r="M985" s="39"/>
      <c r="N985" s="65">
        <v>47343467</v>
      </c>
      <c r="O985" s="65">
        <v>34982106</v>
      </c>
      <c r="P985" s="65">
        <v>4990930</v>
      </c>
      <c r="Q985" s="65">
        <v>57585541</v>
      </c>
      <c r="R985" s="64">
        <v>53640255</v>
      </c>
    </row>
    <row r="986" spans="1:18" s="7" customFormat="1" ht="12.75" customHeight="1" x14ac:dyDescent="0.2">
      <c r="A986" s="73"/>
      <c r="B986" s="73"/>
      <c r="C986" s="68" t="s">
        <v>36</v>
      </c>
      <c r="D986" s="69">
        <v>21</v>
      </c>
      <c r="E986" s="59">
        <v>20239.079999999998</v>
      </c>
      <c r="F986" s="59"/>
      <c r="G986" s="59"/>
      <c r="H986" s="59">
        <v>6384.11</v>
      </c>
      <c r="I986" s="59"/>
      <c r="J986" s="59">
        <v>2196.5700000000002</v>
      </c>
      <c r="K986" s="59">
        <v>18921.79</v>
      </c>
      <c r="L986" s="60">
        <v>21118.36</v>
      </c>
      <c r="M986" s="33"/>
      <c r="N986" s="59">
        <v>26358.82</v>
      </c>
      <c r="O986" s="59">
        <v>19974.71</v>
      </c>
      <c r="P986" s="59">
        <v>2577.6</v>
      </c>
      <c r="Q986" s="59">
        <v>32150.84</v>
      </c>
      <c r="R986" s="59">
        <v>29954.27</v>
      </c>
    </row>
    <row r="987" spans="1:18" s="7" customFormat="1" ht="9" customHeight="1" x14ac:dyDescent="0.2">
      <c r="A987" s="73"/>
      <c r="B987" s="73"/>
      <c r="C987" s="62" t="s">
        <v>37</v>
      </c>
      <c r="D987" s="63">
        <v>27</v>
      </c>
      <c r="E987" s="64">
        <v>26637499</v>
      </c>
      <c r="F987" s="65"/>
      <c r="G987" s="65"/>
      <c r="H987" s="64">
        <v>12361361</v>
      </c>
      <c r="I987" s="64"/>
      <c r="J987" s="66">
        <v>4253153</v>
      </c>
      <c r="K987" s="64">
        <v>36637694</v>
      </c>
      <c r="L987" s="64">
        <v>40890847</v>
      </c>
      <c r="M987" s="39"/>
      <c r="N987" s="65">
        <v>51037792</v>
      </c>
      <c r="O987" s="65">
        <v>38676432</v>
      </c>
      <c r="P987" s="65">
        <v>4990930</v>
      </c>
      <c r="Q987" s="65">
        <v>62252707</v>
      </c>
      <c r="R987" s="64">
        <v>57999554</v>
      </c>
    </row>
    <row r="988" spans="1:18" s="7" customFormat="1" ht="12.75" customHeight="1" x14ac:dyDescent="0.2">
      <c r="A988" s="73"/>
      <c r="B988" s="73"/>
      <c r="C988" s="68" t="s">
        <v>36</v>
      </c>
      <c r="D988" s="69">
        <v>28</v>
      </c>
      <c r="E988" s="59">
        <v>22129.71</v>
      </c>
      <c r="F988" s="30"/>
      <c r="G988" s="30"/>
      <c r="H988" s="59">
        <v>6384.11</v>
      </c>
      <c r="I988" s="59"/>
      <c r="J988" s="59">
        <v>2352.5100000000002</v>
      </c>
      <c r="K988" s="59">
        <v>19673.080000000002</v>
      </c>
      <c r="L988" s="60">
        <v>22025.59</v>
      </c>
      <c r="M988" s="33"/>
      <c r="N988" s="59">
        <v>28230.07</v>
      </c>
      <c r="O988" s="59">
        <v>21845.96</v>
      </c>
      <c r="P988" s="59">
        <v>3278.4</v>
      </c>
      <c r="Q988" s="59">
        <v>34514.85</v>
      </c>
      <c r="R988" s="59">
        <v>32162.34</v>
      </c>
    </row>
    <row r="989" spans="1:18" s="7" customFormat="1" ht="9" customHeight="1" x14ac:dyDescent="0.2">
      <c r="A989" s="73"/>
      <c r="B989" s="73"/>
      <c r="C989" s="62" t="s">
        <v>37</v>
      </c>
      <c r="D989" s="63">
        <v>34</v>
      </c>
      <c r="E989" s="64">
        <v>26637499</v>
      </c>
      <c r="F989" s="65"/>
      <c r="G989" s="65"/>
      <c r="H989" s="64">
        <v>12361361</v>
      </c>
      <c r="I989" s="64"/>
      <c r="J989" s="66">
        <v>4555095</v>
      </c>
      <c r="K989" s="64">
        <v>38092395</v>
      </c>
      <c r="L989" s="64">
        <v>42647489</v>
      </c>
      <c r="M989" s="39"/>
      <c r="N989" s="65">
        <v>54661038</v>
      </c>
      <c r="O989" s="65">
        <v>42299677</v>
      </c>
      <c r="P989" s="65">
        <v>6347868</v>
      </c>
      <c r="Q989" s="65">
        <v>66830069</v>
      </c>
      <c r="R989" s="64">
        <v>62274974</v>
      </c>
    </row>
    <row r="990" spans="1:18" s="7" customFormat="1" ht="12.75" customHeight="1" x14ac:dyDescent="0.2">
      <c r="A990" s="73"/>
      <c r="B990" s="73"/>
      <c r="C990" s="68" t="s">
        <v>36</v>
      </c>
      <c r="D990" s="69">
        <v>35</v>
      </c>
      <c r="E990" s="59">
        <v>23539.61</v>
      </c>
      <c r="F990" s="59"/>
      <c r="G990" s="59"/>
      <c r="H990" s="59">
        <v>6384.11</v>
      </c>
      <c r="I990" s="59"/>
      <c r="J990" s="59">
        <v>2468.9</v>
      </c>
      <c r="K990" s="59">
        <v>20206.89</v>
      </c>
      <c r="L990" s="60">
        <v>22675.79</v>
      </c>
      <c r="M990" s="33"/>
      <c r="N990" s="59">
        <v>29626.84</v>
      </c>
      <c r="O990" s="59">
        <v>23242.73</v>
      </c>
      <c r="P990" s="59">
        <v>3278.4</v>
      </c>
      <c r="Q990" s="59">
        <v>36279.43</v>
      </c>
      <c r="R990" s="59">
        <v>33810.53</v>
      </c>
    </row>
    <row r="991" spans="1:18" s="7" customFormat="1" ht="9" customHeight="1" x14ac:dyDescent="0.2">
      <c r="A991" s="74"/>
      <c r="B991" s="74"/>
      <c r="C991" s="71" t="s">
        <v>37</v>
      </c>
      <c r="D991" s="72"/>
      <c r="E991" s="64">
        <v>26637499</v>
      </c>
      <c r="F991" s="64"/>
      <c r="G991" s="64"/>
      <c r="H991" s="64">
        <v>12361361</v>
      </c>
      <c r="I991" s="64"/>
      <c r="J991" s="64">
        <v>4780457</v>
      </c>
      <c r="K991" s="64">
        <v>39125995</v>
      </c>
      <c r="L991" s="64">
        <v>43906452</v>
      </c>
      <c r="M991" s="39"/>
      <c r="N991" s="64">
        <v>57365561</v>
      </c>
      <c r="O991" s="64">
        <v>45004201</v>
      </c>
      <c r="P991" s="64">
        <v>6347868</v>
      </c>
      <c r="Q991" s="64">
        <v>70246772</v>
      </c>
      <c r="R991" s="64">
        <v>65466315</v>
      </c>
    </row>
    <row r="992" spans="1:18" s="7" customFormat="1" ht="9" customHeight="1" x14ac:dyDescent="0.2">
      <c r="A992" s="73"/>
      <c r="B992" s="73"/>
      <c r="C992" s="184"/>
      <c r="D992" s="45"/>
      <c r="E992" s="185"/>
      <c r="F992" s="185"/>
      <c r="G992" s="185"/>
      <c r="H992" s="185"/>
      <c r="I992" s="185"/>
      <c r="J992" s="185"/>
      <c r="K992" s="185"/>
      <c r="L992" s="185"/>
      <c r="M992" s="39"/>
      <c r="N992" s="185"/>
      <c r="O992" s="185"/>
      <c r="P992" s="185"/>
      <c r="Q992" s="185"/>
      <c r="R992" s="185"/>
    </row>
    <row r="993" spans="1:18" s="7" customFormat="1" ht="9" customHeight="1" x14ac:dyDescent="0.2">
      <c r="A993" s="73"/>
      <c r="B993" s="73"/>
      <c r="C993" s="184"/>
      <c r="D993" s="45"/>
      <c r="E993" s="185"/>
      <c r="F993" s="185"/>
      <c r="G993" s="185"/>
      <c r="H993" s="185"/>
      <c r="I993" s="185"/>
      <c r="J993" s="185"/>
      <c r="K993" s="185"/>
      <c r="L993" s="185"/>
      <c r="M993" s="39"/>
      <c r="N993" s="185"/>
      <c r="O993" s="185"/>
      <c r="P993" s="185"/>
      <c r="Q993" s="185"/>
      <c r="R993" s="185"/>
    </row>
    <row r="994" spans="1:18" s="7" customFormat="1" ht="9" customHeight="1" x14ac:dyDescent="0.2">
      <c r="A994" s="73"/>
      <c r="B994" s="73"/>
      <c r="C994" s="184"/>
      <c r="D994" s="45"/>
      <c r="E994" s="185"/>
      <c r="F994" s="185"/>
      <c r="G994" s="185"/>
      <c r="H994" s="185"/>
      <c r="I994" s="185"/>
      <c r="J994" s="185"/>
      <c r="K994" s="185"/>
      <c r="L994" s="185"/>
      <c r="M994" s="39"/>
      <c r="N994" s="185"/>
      <c r="O994" s="185"/>
      <c r="P994" s="185"/>
      <c r="Q994" s="185"/>
      <c r="R994" s="185"/>
    </row>
    <row r="995" spans="1:18" s="7" customFormat="1" ht="9" customHeight="1" x14ac:dyDescent="0.2">
      <c r="A995" s="73"/>
      <c r="B995" s="73"/>
      <c r="C995" s="184"/>
      <c r="D995" s="45"/>
      <c r="E995" s="185"/>
      <c r="F995" s="185"/>
      <c r="G995" s="185"/>
      <c r="H995" s="185"/>
      <c r="I995" s="185"/>
      <c r="J995" s="185"/>
      <c r="K995" s="185"/>
      <c r="L995" s="185"/>
      <c r="M995" s="39"/>
      <c r="N995" s="185"/>
      <c r="O995" s="185"/>
      <c r="P995" s="185"/>
      <c r="Q995" s="185"/>
      <c r="R995" s="185"/>
    </row>
    <row r="996" spans="1:18" s="7" customFormat="1" ht="9" customHeight="1" x14ac:dyDescent="0.2">
      <c r="A996" s="73"/>
      <c r="B996" s="73"/>
      <c r="C996" s="184"/>
      <c r="D996" s="45"/>
      <c r="E996" s="185"/>
      <c r="F996" s="185"/>
      <c r="G996" s="185"/>
      <c r="H996" s="185"/>
      <c r="I996" s="185"/>
      <c r="J996" s="185"/>
      <c r="K996" s="185"/>
      <c r="L996" s="185"/>
      <c r="M996" s="39"/>
      <c r="N996" s="185"/>
      <c r="O996" s="185"/>
      <c r="P996" s="185"/>
      <c r="Q996" s="185"/>
      <c r="R996" s="185"/>
    </row>
    <row r="997" spans="1:18" s="7" customFormat="1" ht="9" customHeight="1" x14ac:dyDescent="0.2">
      <c r="A997" s="73"/>
      <c r="B997" s="73"/>
      <c r="C997" s="184"/>
      <c r="D997" s="45"/>
      <c r="E997" s="185"/>
      <c r="F997" s="185"/>
      <c r="G997" s="185"/>
      <c r="H997" s="185"/>
      <c r="I997" s="185"/>
      <c r="J997" s="185"/>
      <c r="K997" s="185"/>
      <c r="L997" s="185"/>
      <c r="M997" s="39"/>
      <c r="N997" s="185"/>
      <c r="O997" s="185"/>
      <c r="P997" s="185"/>
      <c r="Q997" s="185"/>
      <c r="R997" s="185"/>
    </row>
    <row r="998" spans="1:18" s="7" customFormat="1" ht="9" customHeight="1" x14ac:dyDescent="0.2">
      <c r="A998" s="73"/>
      <c r="B998" s="73"/>
      <c r="C998" s="184"/>
      <c r="D998" s="45"/>
      <c r="E998" s="185"/>
      <c r="F998" s="185"/>
      <c r="G998" s="185"/>
      <c r="H998" s="185"/>
      <c r="I998" s="185"/>
      <c r="J998" s="185"/>
      <c r="K998" s="185"/>
      <c r="L998" s="185"/>
      <c r="M998" s="39"/>
      <c r="N998" s="185"/>
      <c r="O998" s="185"/>
      <c r="P998" s="185"/>
      <c r="Q998" s="185"/>
      <c r="R998" s="185"/>
    </row>
    <row r="999" spans="1:18" s="7" customFormat="1" ht="9" customHeight="1" x14ac:dyDescent="0.2">
      <c r="A999" s="73"/>
      <c r="B999" s="73"/>
      <c r="C999" s="184"/>
      <c r="D999" s="45"/>
      <c r="E999" s="185"/>
      <c r="F999" s="185"/>
      <c r="G999" s="185"/>
      <c r="H999" s="185"/>
      <c r="I999" s="185"/>
      <c r="J999" s="185"/>
      <c r="K999" s="185"/>
      <c r="L999" s="185"/>
      <c r="M999" s="39"/>
      <c r="N999" s="185"/>
      <c r="O999" s="185"/>
      <c r="P999" s="185"/>
      <c r="Q999" s="185"/>
      <c r="R999" s="185"/>
    </row>
    <row r="1000" spans="1:18" s="7" customFormat="1" ht="12.75" customHeight="1" x14ac:dyDescent="0.2">
      <c r="A1000" s="56">
        <v>44197</v>
      </c>
      <c r="B1000" s="56">
        <v>44561</v>
      </c>
      <c r="C1000" s="57" t="s">
        <v>36</v>
      </c>
      <c r="D1000" s="58">
        <v>0</v>
      </c>
      <c r="E1000" s="59">
        <v>14513.09</v>
      </c>
      <c r="F1000" s="59"/>
      <c r="G1000" s="59"/>
      <c r="H1000" s="59">
        <v>6384.11</v>
      </c>
      <c r="I1000" s="59"/>
      <c r="J1000" s="59">
        <v>1690.19</v>
      </c>
      <c r="K1000" s="59">
        <v>20282.23</v>
      </c>
      <c r="L1000" s="60">
        <v>21972.42</v>
      </c>
      <c r="M1000" s="33"/>
      <c r="N1000" s="59">
        <v>20282.23</v>
      </c>
      <c r="O1000" s="59">
        <v>13898.12</v>
      </c>
      <c r="P1000" s="59">
        <v>2094</v>
      </c>
      <c r="Q1000" s="59">
        <v>24474.080000000002</v>
      </c>
      <c r="R1000" s="59">
        <v>22783.89</v>
      </c>
    </row>
    <row r="1001" spans="1:18" s="7" customFormat="1" ht="9" customHeight="1" x14ac:dyDescent="0.2">
      <c r="A1001" s="61"/>
      <c r="B1001" s="61"/>
      <c r="C1001" s="62" t="s">
        <v>37</v>
      </c>
      <c r="D1001" s="63">
        <v>8</v>
      </c>
      <c r="E1001" s="64">
        <v>26637499</v>
      </c>
      <c r="F1001" s="65"/>
      <c r="G1001" s="65"/>
      <c r="H1001" s="64">
        <v>12361361</v>
      </c>
      <c r="I1001" s="64"/>
      <c r="J1001" s="66">
        <v>3272664</v>
      </c>
      <c r="K1001" s="66">
        <v>39271873</v>
      </c>
      <c r="L1001" s="64">
        <v>42544538</v>
      </c>
      <c r="M1001" s="39"/>
      <c r="N1001" s="65">
        <v>39271873</v>
      </c>
      <c r="O1001" s="65">
        <v>26910513</v>
      </c>
      <c r="P1001" s="65">
        <v>4054549</v>
      </c>
      <c r="Q1001" s="65">
        <v>47388427</v>
      </c>
      <c r="R1001" s="64">
        <v>44115763</v>
      </c>
    </row>
    <row r="1002" spans="1:18" s="7" customFormat="1" ht="12.75" customHeight="1" x14ac:dyDescent="0.2">
      <c r="A1002" s="73">
        <f>A1000</f>
        <v>44197</v>
      </c>
      <c r="B1002" s="73">
        <f>B1000</f>
        <v>44561</v>
      </c>
      <c r="C1002" s="68" t="s">
        <v>36</v>
      </c>
      <c r="D1002" s="69">
        <v>9</v>
      </c>
      <c r="E1002" s="59">
        <v>16798.88</v>
      </c>
      <c r="F1002" s="59"/>
      <c r="G1002" s="59"/>
      <c r="H1002" s="59">
        <v>6384.11</v>
      </c>
      <c r="I1002" s="59"/>
      <c r="J1002" s="59">
        <v>1874.95</v>
      </c>
      <c r="K1002" s="59">
        <v>16918.52</v>
      </c>
      <c r="L1002" s="60">
        <v>18793.47</v>
      </c>
      <c r="M1002" s="33"/>
      <c r="N1002" s="59">
        <v>22499.37</v>
      </c>
      <c r="O1002" s="59">
        <v>16115.26</v>
      </c>
      <c r="P1002" s="59">
        <v>2094</v>
      </c>
      <c r="Q1002" s="59">
        <v>27275.07</v>
      </c>
      <c r="R1002" s="59">
        <v>25400.12</v>
      </c>
    </row>
    <row r="1003" spans="1:18" s="7" customFormat="1" ht="9" customHeight="1" x14ac:dyDescent="0.2">
      <c r="A1003" s="73"/>
      <c r="B1003" s="73"/>
      <c r="C1003" s="62" t="s">
        <v>37</v>
      </c>
      <c r="D1003" s="63">
        <v>14</v>
      </c>
      <c r="E1003" s="64">
        <v>26637499</v>
      </c>
      <c r="F1003" s="65"/>
      <c r="G1003" s="65"/>
      <c r="H1003" s="64">
        <v>12361361</v>
      </c>
      <c r="I1003" s="64"/>
      <c r="J1003" s="66">
        <v>3630409</v>
      </c>
      <c r="K1003" s="64">
        <v>32758823</v>
      </c>
      <c r="L1003" s="64">
        <v>36389232</v>
      </c>
      <c r="M1003" s="39"/>
      <c r="N1003" s="65">
        <v>43564855</v>
      </c>
      <c r="O1003" s="65">
        <v>31203494</v>
      </c>
      <c r="P1003" s="65">
        <v>4054549</v>
      </c>
      <c r="Q1003" s="65">
        <v>52811900</v>
      </c>
      <c r="R1003" s="64">
        <v>49181490</v>
      </c>
    </row>
    <row r="1004" spans="1:18" s="7" customFormat="1" ht="12.75" customHeight="1" x14ac:dyDescent="0.2">
      <c r="A1004" s="73"/>
      <c r="B1004" s="73"/>
      <c r="C1004" s="68" t="s">
        <v>36</v>
      </c>
      <c r="D1004" s="69">
        <v>15</v>
      </c>
      <c r="E1004" s="59">
        <v>18820.88</v>
      </c>
      <c r="F1004" s="59"/>
      <c r="G1004" s="59"/>
      <c r="H1004" s="59">
        <v>6384.11</v>
      </c>
      <c r="I1004" s="59"/>
      <c r="J1004" s="59">
        <v>2037.57</v>
      </c>
      <c r="K1004" s="59">
        <v>17933.73</v>
      </c>
      <c r="L1004" s="60">
        <v>19971.3</v>
      </c>
      <c r="M1004" s="33"/>
      <c r="N1004" s="59">
        <v>24450.86</v>
      </c>
      <c r="O1004" s="59">
        <v>18066.75</v>
      </c>
      <c r="P1004" s="59">
        <v>2577.6</v>
      </c>
      <c r="Q1004" s="59">
        <v>29740.45</v>
      </c>
      <c r="R1004" s="59">
        <v>27702.880000000001</v>
      </c>
    </row>
    <row r="1005" spans="1:18" s="7" customFormat="1" ht="9" customHeight="1" x14ac:dyDescent="0.2">
      <c r="A1005" s="73"/>
      <c r="B1005" s="73"/>
      <c r="C1005" s="62" t="s">
        <v>37</v>
      </c>
      <c r="D1005" s="63">
        <v>20</v>
      </c>
      <c r="E1005" s="64">
        <v>26637499</v>
      </c>
      <c r="F1005" s="65"/>
      <c r="G1005" s="65"/>
      <c r="H1005" s="64">
        <v>12361361</v>
      </c>
      <c r="I1005" s="64"/>
      <c r="J1005" s="66">
        <v>3945286</v>
      </c>
      <c r="K1005" s="64">
        <v>34724543</v>
      </c>
      <c r="L1005" s="64">
        <v>38669829</v>
      </c>
      <c r="M1005" s="39"/>
      <c r="N1005" s="65">
        <v>47343467</v>
      </c>
      <c r="O1005" s="65">
        <v>34982106</v>
      </c>
      <c r="P1005" s="65">
        <v>4990930</v>
      </c>
      <c r="Q1005" s="65">
        <v>57585541</v>
      </c>
      <c r="R1005" s="64">
        <v>53640255</v>
      </c>
    </row>
    <row r="1006" spans="1:18" s="7" customFormat="1" ht="12.75" customHeight="1" x14ac:dyDescent="0.2">
      <c r="A1006" s="73"/>
      <c r="B1006" s="73"/>
      <c r="C1006" s="68" t="s">
        <v>36</v>
      </c>
      <c r="D1006" s="69">
        <v>21</v>
      </c>
      <c r="E1006" s="59">
        <v>20787.48</v>
      </c>
      <c r="F1006" s="59"/>
      <c r="G1006" s="59"/>
      <c r="H1006" s="59">
        <v>6384.11</v>
      </c>
      <c r="I1006" s="59"/>
      <c r="J1006" s="59">
        <v>2196.5700000000002</v>
      </c>
      <c r="K1006" s="59">
        <v>18921.79</v>
      </c>
      <c r="L1006" s="60">
        <v>21118.36</v>
      </c>
      <c r="M1006" s="33"/>
      <c r="N1006" s="59">
        <v>26358.82</v>
      </c>
      <c r="O1006" s="59">
        <v>19974.71</v>
      </c>
      <c r="P1006" s="59">
        <v>2577.6</v>
      </c>
      <c r="Q1006" s="59">
        <v>32150.84</v>
      </c>
      <c r="R1006" s="59">
        <v>29954.27</v>
      </c>
    </row>
    <row r="1007" spans="1:18" s="7" customFormat="1" ht="9" customHeight="1" x14ac:dyDescent="0.2">
      <c r="A1007" s="73"/>
      <c r="B1007" s="73"/>
      <c r="C1007" s="62" t="s">
        <v>37</v>
      </c>
      <c r="D1007" s="63">
        <v>27</v>
      </c>
      <c r="E1007" s="64">
        <v>26637499</v>
      </c>
      <c r="F1007" s="65"/>
      <c r="G1007" s="65"/>
      <c r="H1007" s="64">
        <v>12361361</v>
      </c>
      <c r="I1007" s="64"/>
      <c r="J1007" s="66">
        <v>4253153</v>
      </c>
      <c r="K1007" s="64">
        <v>36637694</v>
      </c>
      <c r="L1007" s="64">
        <v>40890847</v>
      </c>
      <c r="M1007" s="39"/>
      <c r="N1007" s="65">
        <v>51037792</v>
      </c>
      <c r="O1007" s="65">
        <v>38676432</v>
      </c>
      <c r="P1007" s="65">
        <v>4990930</v>
      </c>
      <c r="Q1007" s="65">
        <v>62252707</v>
      </c>
      <c r="R1007" s="64">
        <v>57999554</v>
      </c>
    </row>
    <row r="1008" spans="1:18" s="7" customFormat="1" ht="12.75" customHeight="1" x14ac:dyDescent="0.2">
      <c r="A1008" s="73"/>
      <c r="B1008" s="73"/>
      <c r="C1008" s="68" t="s">
        <v>36</v>
      </c>
      <c r="D1008" s="69">
        <v>28</v>
      </c>
      <c r="E1008" s="59">
        <v>22717.71</v>
      </c>
      <c r="F1008" s="30"/>
      <c r="G1008" s="30"/>
      <c r="H1008" s="59">
        <v>6384.11</v>
      </c>
      <c r="I1008" s="59"/>
      <c r="J1008" s="59">
        <v>2352.5100000000002</v>
      </c>
      <c r="K1008" s="59">
        <v>19673.080000000002</v>
      </c>
      <c r="L1008" s="60">
        <v>22025.59</v>
      </c>
      <c r="M1008" s="33"/>
      <c r="N1008" s="59">
        <v>28230.07</v>
      </c>
      <c r="O1008" s="59">
        <v>21845.96</v>
      </c>
      <c r="P1008" s="59">
        <v>3278.4</v>
      </c>
      <c r="Q1008" s="59">
        <v>34514.85</v>
      </c>
      <c r="R1008" s="59">
        <v>32162.34</v>
      </c>
    </row>
    <row r="1009" spans="1:22" s="7" customFormat="1" ht="9" customHeight="1" x14ac:dyDescent="0.2">
      <c r="A1009" s="73"/>
      <c r="B1009" s="73"/>
      <c r="C1009" s="62" t="s">
        <v>37</v>
      </c>
      <c r="D1009" s="63">
        <v>34</v>
      </c>
      <c r="E1009" s="64">
        <v>26637499</v>
      </c>
      <c r="F1009" s="65"/>
      <c r="G1009" s="65"/>
      <c r="H1009" s="64">
        <v>12361361</v>
      </c>
      <c r="I1009" s="64"/>
      <c r="J1009" s="66">
        <v>4555095</v>
      </c>
      <c r="K1009" s="64">
        <v>38092395</v>
      </c>
      <c r="L1009" s="64">
        <v>42647489</v>
      </c>
      <c r="M1009" s="39"/>
      <c r="N1009" s="65">
        <v>54661038</v>
      </c>
      <c r="O1009" s="65">
        <v>42299677</v>
      </c>
      <c r="P1009" s="65">
        <v>6347868</v>
      </c>
      <c r="Q1009" s="65">
        <v>66830069</v>
      </c>
      <c r="R1009" s="64">
        <v>62274974</v>
      </c>
    </row>
    <row r="1010" spans="1:22" s="7" customFormat="1" ht="12.75" customHeight="1" x14ac:dyDescent="0.2">
      <c r="A1010" s="73"/>
      <c r="B1010" s="73"/>
      <c r="C1010" s="68" t="s">
        <v>36</v>
      </c>
      <c r="D1010" s="69">
        <v>35</v>
      </c>
      <c r="E1010" s="59">
        <v>24152.809999999998</v>
      </c>
      <c r="F1010" s="59"/>
      <c r="G1010" s="59"/>
      <c r="H1010" s="59">
        <v>6384.11</v>
      </c>
      <c r="I1010" s="59"/>
      <c r="J1010" s="59">
        <v>2468.9</v>
      </c>
      <c r="K1010" s="59">
        <v>20206.89</v>
      </c>
      <c r="L1010" s="60">
        <v>22675.79</v>
      </c>
      <c r="M1010" s="33"/>
      <c r="N1010" s="59">
        <v>29626.84</v>
      </c>
      <c r="O1010" s="59">
        <v>23242.73</v>
      </c>
      <c r="P1010" s="59">
        <v>3278.4</v>
      </c>
      <c r="Q1010" s="59">
        <v>36279.43</v>
      </c>
      <c r="R1010" s="59">
        <v>33810.53</v>
      </c>
    </row>
    <row r="1011" spans="1:22" s="7" customFormat="1" ht="9" customHeight="1" x14ac:dyDescent="0.2">
      <c r="A1011" s="74"/>
      <c r="B1011" s="74"/>
      <c r="C1011" s="71" t="s">
        <v>37</v>
      </c>
      <c r="D1011" s="72"/>
      <c r="E1011" s="64">
        <v>26637499</v>
      </c>
      <c r="F1011" s="64"/>
      <c r="G1011" s="64"/>
      <c r="H1011" s="64">
        <v>12361361</v>
      </c>
      <c r="I1011" s="64"/>
      <c r="J1011" s="64">
        <v>4780457</v>
      </c>
      <c r="K1011" s="64">
        <v>39125995</v>
      </c>
      <c r="L1011" s="64">
        <v>43906452</v>
      </c>
      <c r="M1011" s="39"/>
      <c r="N1011" s="64">
        <v>57365561</v>
      </c>
      <c r="O1011" s="64">
        <v>45004201</v>
      </c>
      <c r="P1011" s="64">
        <v>6347868</v>
      </c>
      <c r="Q1011" s="64">
        <v>70246772</v>
      </c>
      <c r="R1011" s="64">
        <v>65466315</v>
      </c>
    </row>
    <row r="1012" spans="1:22" s="7" customFormat="1" ht="9" customHeight="1" x14ac:dyDescent="0.2">
      <c r="A1012" s="73"/>
      <c r="B1012" s="73"/>
      <c r="C1012" s="184"/>
      <c r="D1012" s="45"/>
      <c r="E1012" s="185"/>
      <c r="F1012" s="185"/>
      <c r="G1012" s="185"/>
      <c r="H1012" s="185"/>
      <c r="I1012" s="185"/>
      <c r="J1012" s="185"/>
      <c r="K1012" s="185"/>
      <c r="L1012" s="185"/>
      <c r="M1012" s="39"/>
      <c r="N1012" s="185"/>
      <c r="O1012" s="185"/>
      <c r="P1012" s="185"/>
      <c r="Q1012" s="185"/>
      <c r="R1012" s="185"/>
    </row>
    <row r="1013" spans="1:22" s="7" customFormat="1" ht="9" customHeight="1" x14ac:dyDescent="0.2">
      <c r="A1013" s="73"/>
      <c r="B1013" s="73"/>
      <c r="C1013" s="184"/>
      <c r="D1013" s="45"/>
      <c r="E1013" s="185"/>
      <c r="F1013" s="185"/>
      <c r="G1013" s="185"/>
      <c r="H1013" s="185"/>
      <c r="I1013" s="185"/>
      <c r="J1013" s="185"/>
      <c r="K1013" s="185"/>
      <c r="L1013" s="185"/>
      <c r="M1013" s="39"/>
      <c r="N1013" s="185"/>
      <c r="O1013" s="185"/>
      <c r="P1013" s="185"/>
      <c r="Q1013" s="185"/>
      <c r="R1013" s="185"/>
    </row>
    <row r="1014" spans="1:22" s="7" customFormat="1" ht="9" customHeight="1" x14ac:dyDescent="0.2">
      <c r="A1014" s="73"/>
      <c r="B1014" s="73"/>
      <c r="C1014" s="184"/>
      <c r="D1014" s="45"/>
      <c r="E1014" s="185"/>
      <c r="F1014" s="185"/>
      <c r="G1014" s="185"/>
      <c r="H1014" s="185"/>
      <c r="I1014" s="185"/>
      <c r="J1014" s="185"/>
      <c r="K1014" s="185"/>
      <c r="L1014" s="185"/>
      <c r="M1014" s="39"/>
      <c r="N1014" s="185"/>
      <c r="O1014" s="185"/>
      <c r="P1014" s="185"/>
      <c r="Q1014" s="185"/>
      <c r="R1014" s="185"/>
    </row>
    <row r="1015" spans="1:22" s="7" customFormat="1" ht="9" customHeight="1" x14ac:dyDescent="0.2">
      <c r="A1015" s="73"/>
      <c r="B1015" s="73"/>
      <c r="C1015" s="184"/>
      <c r="D1015" s="45"/>
      <c r="E1015" s="185"/>
      <c r="F1015" s="185"/>
      <c r="G1015" s="185"/>
      <c r="H1015" s="185"/>
      <c r="I1015" s="185"/>
      <c r="J1015" s="185"/>
      <c r="K1015" s="185"/>
      <c r="L1015" s="185"/>
      <c r="M1015" s="39"/>
      <c r="N1015" s="185"/>
      <c r="O1015" s="185"/>
      <c r="P1015" s="185"/>
      <c r="Q1015" s="185"/>
      <c r="R1015" s="185"/>
    </row>
    <row r="1016" spans="1:22" s="7" customFormat="1" ht="9" customHeight="1" x14ac:dyDescent="0.2">
      <c r="A1016" s="73"/>
      <c r="B1016" s="73"/>
      <c r="C1016" s="184"/>
      <c r="D1016" s="45"/>
      <c r="E1016" s="185"/>
      <c r="F1016" s="185"/>
      <c r="G1016" s="185"/>
      <c r="H1016" s="185"/>
      <c r="I1016" s="185"/>
      <c r="J1016" s="185"/>
      <c r="K1016" s="185"/>
      <c r="L1016" s="185"/>
      <c r="M1016" s="39"/>
      <c r="N1016" s="185"/>
      <c r="O1016" s="185"/>
      <c r="P1016" s="185"/>
      <c r="Q1016" s="185"/>
      <c r="R1016" s="185"/>
    </row>
    <row r="1017" spans="1:22" s="7" customFormat="1" ht="9" customHeight="1" x14ac:dyDescent="0.2">
      <c r="A1017" s="73"/>
      <c r="B1017" s="73"/>
      <c r="C1017" s="184"/>
      <c r="D1017" s="45"/>
      <c r="E1017" s="185"/>
      <c r="F1017" s="185"/>
      <c r="G1017" s="185"/>
      <c r="H1017" s="185"/>
      <c r="I1017" s="185"/>
      <c r="J1017" s="185"/>
      <c r="K1017" s="185"/>
      <c r="L1017" s="185"/>
      <c r="M1017" s="39"/>
      <c r="N1017" s="185"/>
      <c r="O1017" s="185"/>
      <c r="P1017" s="185"/>
      <c r="Q1017" s="185"/>
      <c r="R1017" s="185"/>
    </row>
    <row r="1018" spans="1:22" s="7" customFormat="1" ht="9" customHeight="1" x14ac:dyDescent="0.2">
      <c r="A1018" s="73"/>
      <c r="B1018" s="73"/>
      <c r="C1018" s="184"/>
      <c r="D1018" s="45"/>
      <c r="E1018" s="185"/>
      <c r="F1018" s="185"/>
      <c r="G1018" s="185"/>
      <c r="H1018" s="185"/>
      <c r="I1018" s="185"/>
      <c r="J1018" s="185"/>
      <c r="K1018" s="185"/>
      <c r="L1018" s="185"/>
      <c r="M1018" s="39"/>
      <c r="N1018" s="185"/>
      <c r="O1018" s="185"/>
      <c r="P1018" s="185"/>
      <c r="Q1018" s="185"/>
      <c r="R1018" s="185"/>
    </row>
    <row r="1019" spans="1:22" s="7" customFormat="1" ht="9" customHeight="1" x14ac:dyDescent="0.2">
      <c r="A1019" s="73"/>
      <c r="B1019" s="73"/>
      <c r="C1019" s="184"/>
      <c r="D1019" s="45"/>
      <c r="E1019" s="185"/>
      <c r="F1019" s="185"/>
      <c r="G1019" s="185"/>
      <c r="H1019" s="185"/>
      <c r="I1019" s="185"/>
      <c r="J1019" s="185"/>
      <c r="K1019" s="185"/>
      <c r="L1019" s="185"/>
      <c r="M1019" s="39"/>
      <c r="N1019" s="185"/>
      <c r="O1019" s="185"/>
      <c r="P1019" s="185"/>
      <c r="Q1019" s="185"/>
      <c r="R1019" s="185"/>
    </row>
    <row r="1020" spans="1:22" s="7" customFormat="1" ht="12.75" customHeight="1" x14ac:dyDescent="0.2">
      <c r="A1020" s="522">
        <v>44562</v>
      </c>
      <c r="B1020" s="522">
        <v>44652</v>
      </c>
      <c r="C1020" s="57" t="s">
        <v>36</v>
      </c>
      <c r="D1020" s="58">
        <v>0</v>
      </c>
      <c r="E1020" s="59">
        <v>14513.09</v>
      </c>
      <c r="F1020" s="59"/>
      <c r="G1020" s="59"/>
      <c r="H1020" s="59">
        <v>6384.11</v>
      </c>
      <c r="I1020" s="59"/>
      <c r="J1020" s="59">
        <v>1690.19</v>
      </c>
      <c r="K1020" s="59">
        <v>20282.23</v>
      </c>
      <c r="L1020" s="60">
        <v>21972.42</v>
      </c>
      <c r="M1020" s="33"/>
      <c r="N1020" s="59">
        <v>20282.23</v>
      </c>
      <c r="O1020" s="59">
        <v>13898.12</v>
      </c>
      <c r="P1020" s="59">
        <v>2214</v>
      </c>
      <c r="Q1020" s="59">
        <v>24474.080000000002</v>
      </c>
      <c r="R1020" s="59">
        <v>22783.89</v>
      </c>
      <c r="S1020" s="75"/>
      <c r="T1020" s="75">
        <f>10*12</f>
        <v>120</v>
      </c>
      <c r="U1020" s="75"/>
      <c r="V1020" s="76">
        <f>P1020+T1020</f>
        <v>2334</v>
      </c>
    </row>
    <row r="1021" spans="1:22" s="7" customFormat="1" ht="9" customHeight="1" x14ac:dyDescent="0.2">
      <c r="A1021" s="523"/>
      <c r="B1021" s="523"/>
      <c r="C1021" s="62" t="s">
        <v>37</v>
      </c>
      <c r="D1021" s="63">
        <v>8</v>
      </c>
      <c r="E1021" s="64">
        <v>26637499</v>
      </c>
      <c r="F1021" s="65"/>
      <c r="G1021" s="65"/>
      <c r="H1021" s="64">
        <v>12361361</v>
      </c>
      <c r="I1021" s="64"/>
      <c r="J1021" s="66">
        <v>3272664</v>
      </c>
      <c r="K1021" s="66">
        <v>39271873</v>
      </c>
      <c r="L1021" s="64">
        <v>42544538</v>
      </c>
      <c r="M1021" s="39"/>
      <c r="N1021" s="65">
        <v>39271873</v>
      </c>
      <c r="O1021" s="65">
        <v>26910513</v>
      </c>
      <c r="P1021" s="65"/>
      <c r="Q1021" s="65">
        <v>47388427</v>
      </c>
      <c r="R1021" s="64">
        <v>44115763</v>
      </c>
      <c r="S1021" s="75"/>
      <c r="T1021" s="75"/>
      <c r="U1021" s="75"/>
      <c r="V1021" s="76"/>
    </row>
    <row r="1022" spans="1:22" s="7" customFormat="1" ht="12.75" customHeight="1" x14ac:dyDescent="0.2">
      <c r="A1022" s="520">
        <f>A1020</f>
        <v>44562</v>
      </c>
      <c r="B1022" s="520">
        <v>44651</v>
      </c>
      <c r="C1022" s="68" t="s">
        <v>36</v>
      </c>
      <c r="D1022" s="69">
        <v>9</v>
      </c>
      <c r="E1022" s="59">
        <v>16798.88</v>
      </c>
      <c r="F1022" s="59"/>
      <c r="G1022" s="59"/>
      <c r="H1022" s="59">
        <v>6384.11</v>
      </c>
      <c r="I1022" s="59"/>
      <c r="J1022" s="59">
        <v>1874.95</v>
      </c>
      <c r="K1022" s="59">
        <v>16918.52</v>
      </c>
      <c r="L1022" s="60">
        <v>18793.47</v>
      </c>
      <c r="M1022" s="33"/>
      <c r="N1022" s="59">
        <v>22499.37</v>
      </c>
      <c r="O1022" s="59">
        <v>16115.26</v>
      </c>
      <c r="P1022" s="59">
        <v>2214</v>
      </c>
      <c r="Q1022" s="59">
        <v>27275.07</v>
      </c>
      <c r="R1022" s="59">
        <v>25400.12</v>
      </c>
      <c r="S1022" s="75"/>
      <c r="T1022" s="75">
        <f>10*12</f>
        <v>120</v>
      </c>
      <c r="U1022" s="75"/>
      <c r="V1022" s="76">
        <f>P1022+T1022</f>
        <v>2334</v>
      </c>
    </row>
    <row r="1023" spans="1:22" s="7" customFormat="1" ht="9" customHeight="1" x14ac:dyDescent="0.2">
      <c r="A1023" s="520"/>
      <c r="B1023" s="520"/>
      <c r="C1023" s="62" t="s">
        <v>37</v>
      </c>
      <c r="D1023" s="63">
        <v>14</v>
      </c>
      <c r="E1023" s="64">
        <v>26637499</v>
      </c>
      <c r="F1023" s="65"/>
      <c r="G1023" s="65"/>
      <c r="H1023" s="64">
        <v>12361361</v>
      </c>
      <c r="I1023" s="64"/>
      <c r="J1023" s="66">
        <v>3630409</v>
      </c>
      <c r="K1023" s="64">
        <v>32758823</v>
      </c>
      <c r="L1023" s="64">
        <v>36389232</v>
      </c>
      <c r="M1023" s="39"/>
      <c r="N1023" s="65">
        <v>43564855</v>
      </c>
      <c r="O1023" s="65">
        <v>31203494</v>
      </c>
      <c r="P1023" s="65"/>
      <c r="Q1023" s="65">
        <v>52811900</v>
      </c>
      <c r="R1023" s="64">
        <v>49181490</v>
      </c>
      <c r="S1023" s="75"/>
      <c r="T1023" s="75"/>
      <c r="U1023" s="75"/>
      <c r="V1023" s="76"/>
    </row>
    <row r="1024" spans="1:22" s="7" customFormat="1" ht="12.75" customHeight="1" x14ac:dyDescent="0.2">
      <c r="A1024" s="520"/>
      <c r="B1024" s="520"/>
      <c r="C1024" s="68" t="s">
        <v>36</v>
      </c>
      <c r="D1024" s="69">
        <v>15</v>
      </c>
      <c r="E1024" s="59">
        <v>18820.88</v>
      </c>
      <c r="F1024" s="59"/>
      <c r="G1024" s="59"/>
      <c r="H1024" s="59">
        <v>6384.11</v>
      </c>
      <c r="I1024" s="59"/>
      <c r="J1024" s="59">
        <v>2037.57</v>
      </c>
      <c r="K1024" s="59">
        <v>17933.73</v>
      </c>
      <c r="L1024" s="60">
        <v>19971.3</v>
      </c>
      <c r="M1024" s="33"/>
      <c r="N1024" s="59">
        <v>24450.86</v>
      </c>
      <c r="O1024" s="59">
        <v>18066.75</v>
      </c>
      <c r="P1024" s="59">
        <v>2721.6</v>
      </c>
      <c r="Q1024" s="59">
        <v>29740.45</v>
      </c>
      <c r="R1024" s="59">
        <v>27702.880000000001</v>
      </c>
      <c r="S1024" s="75"/>
      <c r="T1024" s="75">
        <f>12*12</f>
        <v>144</v>
      </c>
      <c r="U1024" s="75"/>
      <c r="V1024" s="76">
        <f>P1024+T1024</f>
        <v>2865.6</v>
      </c>
    </row>
    <row r="1025" spans="1:22" s="7" customFormat="1" ht="9" customHeight="1" x14ac:dyDescent="0.2">
      <c r="A1025" s="520"/>
      <c r="B1025" s="520"/>
      <c r="C1025" s="62" t="s">
        <v>37</v>
      </c>
      <c r="D1025" s="63">
        <v>20</v>
      </c>
      <c r="E1025" s="64">
        <v>26637499</v>
      </c>
      <c r="F1025" s="65"/>
      <c r="G1025" s="65"/>
      <c r="H1025" s="64">
        <v>12361361</v>
      </c>
      <c r="I1025" s="64"/>
      <c r="J1025" s="66">
        <v>3945286</v>
      </c>
      <c r="K1025" s="64">
        <v>34724543</v>
      </c>
      <c r="L1025" s="64">
        <v>38669829</v>
      </c>
      <c r="M1025" s="39"/>
      <c r="N1025" s="65">
        <v>47343467</v>
      </c>
      <c r="O1025" s="65">
        <v>34982106</v>
      </c>
      <c r="P1025" s="65"/>
      <c r="Q1025" s="65">
        <v>57585541</v>
      </c>
      <c r="R1025" s="64">
        <v>53640255</v>
      </c>
      <c r="S1025" s="75"/>
      <c r="T1025" s="75"/>
      <c r="U1025" s="75"/>
      <c r="V1025" s="76"/>
    </row>
    <row r="1026" spans="1:22" s="7" customFormat="1" ht="12.75" customHeight="1" x14ac:dyDescent="0.2">
      <c r="A1026" s="520"/>
      <c r="B1026" s="520"/>
      <c r="C1026" s="68" t="s">
        <v>36</v>
      </c>
      <c r="D1026" s="69">
        <v>21</v>
      </c>
      <c r="E1026" s="59">
        <v>20787.48</v>
      </c>
      <c r="F1026" s="59"/>
      <c r="G1026" s="59"/>
      <c r="H1026" s="59">
        <v>6384.11</v>
      </c>
      <c r="I1026" s="59"/>
      <c r="J1026" s="59">
        <v>2196.5700000000002</v>
      </c>
      <c r="K1026" s="59">
        <v>18921.79</v>
      </c>
      <c r="L1026" s="60">
        <v>21118.36</v>
      </c>
      <c r="M1026" s="33"/>
      <c r="N1026" s="59">
        <v>26358.82</v>
      </c>
      <c r="O1026" s="59">
        <v>19974.71</v>
      </c>
      <c r="P1026" s="59">
        <v>2721.6</v>
      </c>
      <c r="Q1026" s="59">
        <v>32150.84</v>
      </c>
      <c r="R1026" s="59">
        <v>29954.27</v>
      </c>
      <c r="S1026" s="75"/>
      <c r="T1026" s="75">
        <f>12*12</f>
        <v>144</v>
      </c>
      <c r="U1026" s="75"/>
      <c r="V1026" s="76">
        <f>P1026+T1026</f>
        <v>2865.6</v>
      </c>
    </row>
    <row r="1027" spans="1:22" s="7" customFormat="1" ht="9" customHeight="1" x14ac:dyDescent="0.2">
      <c r="A1027" s="520"/>
      <c r="B1027" s="520"/>
      <c r="C1027" s="62" t="s">
        <v>37</v>
      </c>
      <c r="D1027" s="63">
        <v>27</v>
      </c>
      <c r="E1027" s="64">
        <v>26637499</v>
      </c>
      <c r="F1027" s="65"/>
      <c r="G1027" s="65"/>
      <c r="H1027" s="64">
        <v>12361361</v>
      </c>
      <c r="I1027" s="64"/>
      <c r="J1027" s="66">
        <v>4253153</v>
      </c>
      <c r="K1027" s="64">
        <v>36637694</v>
      </c>
      <c r="L1027" s="64">
        <v>40890847</v>
      </c>
      <c r="M1027" s="39"/>
      <c r="N1027" s="65">
        <v>51037792</v>
      </c>
      <c r="O1027" s="65">
        <v>38676432</v>
      </c>
      <c r="P1027" s="65"/>
      <c r="Q1027" s="65">
        <v>62252707</v>
      </c>
      <c r="R1027" s="64">
        <v>57999554</v>
      </c>
      <c r="S1027" s="75"/>
      <c r="T1027" s="75"/>
      <c r="U1027" s="75"/>
      <c r="V1027" s="76"/>
    </row>
    <row r="1028" spans="1:22" s="7" customFormat="1" ht="12.75" customHeight="1" x14ac:dyDescent="0.2">
      <c r="A1028" s="520"/>
      <c r="B1028" s="520"/>
      <c r="C1028" s="68" t="s">
        <v>36</v>
      </c>
      <c r="D1028" s="69">
        <v>28</v>
      </c>
      <c r="E1028" s="59">
        <v>22717.71</v>
      </c>
      <c r="F1028" s="30"/>
      <c r="G1028" s="30"/>
      <c r="H1028" s="59">
        <v>6384.11</v>
      </c>
      <c r="I1028" s="59"/>
      <c r="J1028" s="59">
        <v>2352.5100000000002</v>
      </c>
      <c r="K1028" s="59">
        <v>19673.080000000002</v>
      </c>
      <c r="L1028" s="60">
        <v>22025.59</v>
      </c>
      <c r="M1028" s="33"/>
      <c r="N1028" s="59">
        <v>28230.07</v>
      </c>
      <c r="O1028" s="59">
        <v>21845.96</v>
      </c>
      <c r="P1028" s="59">
        <v>3458.4</v>
      </c>
      <c r="Q1028" s="59">
        <v>34514.85</v>
      </c>
      <c r="R1028" s="59">
        <v>32162.34</v>
      </c>
      <c r="S1028" s="75"/>
      <c r="T1028" s="75">
        <f>15*12</f>
        <v>180</v>
      </c>
      <c r="U1028" s="75"/>
      <c r="V1028" s="76">
        <f>P1028+T1028</f>
        <v>3638.4</v>
      </c>
    </row>
    <row r="1029" spans="1:22" s="7" customFormat="1" ht="9" customHeight="1" x14ac:dyDescent="0.2">
      <c r="A1029" s="520"/>
      <c r="B1029" s="520"/>
      <c r="C1029" s="62" t="s">
        <v>37</v>
      </c>
      <c r="D1029" s="63">
        <v>34</v>
      </c>
      <c r="E1029" s="64">
        <v>26637499</v>
      </c>
      <c r="F1029" s="65"/>
      <c r="G1029" s="65"/>
      <c r="H1029" s="64">
        <v>12361361</v>
      </c>
      <c r="I1029" s="64"/>
      <c r="J1029" s="66">
        <v>4555095</v>
      </c>
      <c r="K1029" s="64">
        <v>38092395</v>
      </c>
      <c r="L1029" s="64">
        <v>42647489</v>
      </c>
      <c r="M1029" s="39"/>
      <c r="N1029" s="65">
        <v>54661038</v>
      </c>
      <c r="O1029" s="65">
        <v>42299677</v>
      </c>
      <c r="P1029" s="65"/>
      <c r="Q1029" s="65">
        <v>66830069</v>
      </c>
      <c r="R1029" s="64">
        <v>62274974</v>
      </c>
      <c r="S1029" s="75"/>
      <c r="T1029" s="75"/>
      <c r="U1029" s="75"/>
      <c r="V1029" s="76"/>
    </row>
    <row r="1030" spans="1:22" s="7" customFormat="1" ht="12.75" customHeight="1" x14ac:dyDescent="0.2">
      <c r="A1030" s="520"/>
      <c r="B1030" s="520"/>
      <c r="C1030" s="68" t="s">
        <v>36</v>
      </c>
      <c r="D1030" s="69">
        <v>35</v>
      </c>
      <c r="E1030" s="59">
        <v>24152.809999999998</v>
      </c>
      <c r="F1030" s="59"/>
      <c r="G1030" s="59"/>
      <c r="H1030" s="59">
        <v>6384.11</v>
      </c>
      <c r="I1030" s="59"/>
      <c r="J1030" s="59">
        <v>2468.9</v>
      </c>
      <c r="K1030" s="59">
        <v>20206.89</v>
      </c>
      <c r="L1030" s="60">
        <v>22675.79</v>
      </c>
      <c r="M1030" s="33"/>
      <c r="N1030" s="59">
        <v>29626.84</v>
      </c>
      <c r="O1030" s="59">
        <v>23242.73</v>
      </c>
      <c r="P1030" s="59">
        <v>3458.4</v>
      </c>
      <c r="Q1030" s="59">
        <v>36279.43</v>
      </c>
      <c r="R1030" s="59">
        <v>33810.53</v>
      </c>
      <c r="S1030" s="75"/>
      <c r="T1030" s="75">
        <f>15*12</f>
        <v>180</v>
      </c>
      <c r="U1030" s="75"/>
      <c r="V1030" s="76">
        <f>P1030+T1030</f>
        <v>3638.4</v>
      </c>
    </row>
    <row r="1031" spans="1:22" s="7" customFormat="1" ht="9" customHeight="1" x14ac:dyDescent="0.2">
      <c r="A1031" s="521"/>
      <c r="B1031" s="521"/>
      <c r="C1031" s="71" t="s">
        <v>37</v>
      </c>
      <c r="D1031" s="72"/>
      <c r="E1031" s="64">
        <v>26637499</v>
      </c>
      <c r="F1031" s="64"/>
      <c r="G1031" s="64"/>
      <c r="H1031" s="64">
        <v>12361361</v>
      </c>
      <c r="I1031" s="64"/>
      <c r="J1031" s="64">
        <v>4780457</v>
      </c>
      <c r="K1031" s="64">
        <v>39125995</v>
      </c>
      <c r="L1031" s="64">
        <v>43906452</v>
      </c>
      <c r="M1031" s="39"/>
      <c r="N1031" s="64">
        <v>57365561</v>
      </c>
      <c r="O1031" s="64">
        <v>45004201</v>
      </c>
      <c r="P1031" s="64">
        <v>6347868</v>
      </c>
      <c r="Q1031" s="64">
        <v>70246772</v>
      </c>
      <c r="R1031" s="64">
        <v>65466315</v>
      </c>
      <c r="S1031" s="75"/>
      <c r="T1031" s="75"/>
      <c r="U1031" s="75"/>
      <c r="V1031" s="76"/>
    </row>
    <row r="1032" spans="1:22" s="7" customFormat="1" ht="9" customHeight="1" x14ac:dyDescent="0.2">
      <c r="A1032" s="95"/>
      <c r="B1032" s="95"/>
      <c r="C1032" s="184"/>
      <c r="D1032" s="45"/>
      <c r="E1032" s="185"/>
      <c r="F1032" s="185"/>
      <c r="G1032" s="185"/>
      <c r="H1032" s="185"/>
      <c r="I1032" s="185"/>
      <c r="J1032" s="185"/>
      <c r="K1032" s="185"/>
      <c r="L1032" s="185"/>
      <c r="M1032" s="39"/>
      <c r="N1032" s="185"/>
      <c r="O1032" s="185"/>
      <c r="P1032" s="185"/>
      <c r="Q1032" s="185"/>
      <c r="R1032" s="185"/>
    </row>
    <row r="1033" spans="1:22" s="7" customFormat="1" ht="9" customHeight="1" x14ac:dyDescent="0.2">
      <c r="A1033" s="95"/>
      <c r="B1033" s="95"/>
      <c r="C1033" s="184"/>
      <c r="D1033" s="45"/>
      <c r="E1033" s="185"/>
      <c r="F1033" s="185"/>
      <c r="G1033" s="185"/>
      <c r="H1033" s="185"/>
      <c r="I1033" s="185"/>
      <c r="J1033" s="185"/>
      <c r="K1033" s="185"/>
      <c r="L1033" s="185"/>
      <c r="M1033" s="39"/>
      <c r="N1033" s="185"/>
      <c r="O1033" s="185"/>
      <c r="P1033" s="185"/>
      <c r="Q1033" s="185"/>
      <c r="R1033" s="185"/>
    </row>
    <row r="1034" spans="1:22" s="7" customFormat="1" ht="9" customHeight="1" x14ac:dyDescent="0.2">
      <c r="A1034" s="95"/>
      <c r="B1034" s="95"/>
      <c r="C1034" s="184"/>
      <c r="D1034" s="45"/>
      <c r="E1034" s="185"/>
      <c r="F1034" s="185"/>
      <c r="G1034" s="185"/>
      <c r="H1034" s="185"/>
      <c r="I1034" s="185"/>
      <c r="J1034" s="185"/>
      <c r="K1034" s="185"/>
      <c r="L1034" s="185"/>
      <c r="M1034" s="39"/>
      <c r="N1034" s="185"/>
      <c r="O1034" s="185"/>
      <c r="P1034" s="185"/>
      <c r="Q1034" s="185"/>
      <c r="R1034" s="185"/>
    </row>
    <row r="1035" spans="1:22" s="7" customFormat="1" ht="9" customHeight="1" x14ac:dyDescent="0.2">
      <c r="A1035" s="95"/>
      <c r="B1035" s="95"/>
      <c r="C1035" s="184"/>
      <c r="D1035" s="45"/>
      <c r="E1035" s="185"/>
      <c r="F1035" s="185"/>
      <c r="G1035" s="185"/>
      <c r="H1035" s="185"/>
      <c r="I1035" s="185"/>
      <c r="J1035" s="185"/>
      <c r="K1035" s="185"/>
      <c r="L1035" s="185"/>
      <c r="M1035" s="39"/>
      <c r="N1035" s="185"/>
      <c r="O1035" s="185"/>
      <c r="P1035" s="185"/>
      <c r="Q1035" s="185"/>
      <c r="R1035" s="185"/>
    </row>
    <row r="1036" spans="1:22" s="7" customFormat="1" ht="9" customHeight="1" x14ac:dyDescent="0.2">
      <c r="A1036" s="95"/>
      <c r="B1036" s="95"/>
      <c r="C1036" s="184"/>
      <c r="D1036" s="45"/>
      <c r="E1036" s="185"/>
      <c r="F1036" s="185"/>
      <c r="G1036" s="185"/>
      <c r="H1036" s="185"/>
      <c r="I1036" s="185"/>
      <c r="J1036" s="185"/>
      <c r="K1036" s="185"/>
      <c r="L1036" s="185"/>
      <c r="M1036" s="39"/>
      <c r="N1036" s="185"/>
      <c r="O1036" s="185"/>
      <c r="P1036" s="185"/>
      <c r="Q1036" s="185"/>
      <c r="R1036" s="185"/>
    </row>
    <row r="1037" spans="1:22" s="7" customFormat="1" ht="9" customHeight="1" x14ac:dyDescent="0.2">
      <c r="A1037" s="95"/>
      <c r="B1037" s="95"/>
      <c r="C1037" s="184"/>
      <c r="D1037" s="45"/>
      <c r="E1037" s="185"/>
      <c r="F1037" s="185"/>
      <c r="G1037" s="185"/>
      <c r="H1037" s="185"/>
      <c r="I1037" s="185"/>
      <c r="J1037" s="185"/>
      <c r="K1037" s="185"/>
      <c r="L1037" s="185"/>
      <c r="M1037" s="39"/>
      <c r="N1037" s="185"/>
      <c r="O1037" s="185"/>
      <c r="P1037" s="185"/>
      <c r="Q1037" s="185"/>
      <c r="R1037" s="185"/>
    </row>
    <row r="1038" spans="1:22" s="7" customFormat="1" ht="9" customHeight="1" x14ac:dyDescent="0.2">
      <c r="A1038" s="95"/>
      <c r="B1038" s="95"/>
      <c r="C1038" s="184"/>
      <c r="D1038" s="45"/>
      <c r="E1038" s="185"/>
      <c r="F1038" s="185"/>
      <c r="G1038" s="185"/>
      <c r="H1038" s="185"/>
      <c r="I1038" s="185"/>
      <c r="J1038" s="185"/>
      <c r="K1038" s="185"/>
      <c r="L1038" s="185"/>
      <c r="M1038" s="39"/>
      <c r="N1038" s="185"/>
      <c r="O1038" s="185"/>
      <c r="P1038" s="185"/>
      <c r="Q1038" s="185"/>
      <c r="R1038" s="185"/>
    </row>
    <row r="1039" spans="1:22" s="7" customFormat="1" ht="9" customHeight="1" x14ac:dyDescent="0.2">
      <c r="A1039" s="95"/>
      <c r="B1039" s="95"/>
      <c r="C1039" s="184"/>
      <c r="D1039" s="45"/>
      <c r="E1039" s="185"/>
      <c r="F1039" s="185"/>
      <c r="G1039" s="185"/>
      <c r="H1039" s="185"/>
      <c r="I1039" s="185"/>
      <c r="J1039" s="185"/>
      <c r="K1039" s="185"/>
      <c r="L1039" s="185"/>
      <c r="M1039" s="39"/>
      <c r="N1039" s="185"/>
      <c r="O1039" s="185"/>
      <c r="P1039" s="185"/>
      <c r="Q1039" s="185"/>
      <c r="R1039" s="185"/>
    </row>
    <row r="1040" spans="1:22" s="7" customFormat="1" ht="12.75" customHeight="1" x14ac:dyDescent="0.2">
      <c r="A1040" s="522">
        <v>44652</v>
      </c>
      <c r="B1040" s="522">
        <v>44742</v>
      </c>
      <c r="C1040" s="57" t="s">
        <v>36</v>
      </c>
      <c r="D1040" s="58">
        <v>0</v>
      </c>
      <c r="E1040" s="59">
        <v>14513.09</v>
      </c>
      <c r="F1040" s="59"/>
      <c r="G1040" s="59"/>
      <c r="H1040" s="59">
        <v>6384.11</v>
      </c>
      <c r="I1040" s="59">
        <f>ROUND(           (  E1040+H1040) *0.003,2)</f>
        <v>62.69</v>
      </c>
      <c r="J1040" s="59">
        <v>1690.19</v>
      </c>
      <c r="K1040" s="59">
        <v>20282.23</v>
      </c>
      <c r="L1040" s="60">
        <v>21972.42</v>
      </c>
      <c r="M1040" s="33"/>
      <c r="N1040" s="59">
        <v>20282.23</v>
      </c>
      <c r="O1040" s="59">
        <v>13898.12</v>
      </c>
      <c r="P1040" s="59">
        <v>2214</v>
      </c>
      <c r="Q1040" s="59">
        <v>24474.080000000002</v>
      </c>
      <c r="R1040" s="59">
        <v>22783.89</v>
      </c>
      <c r="S1040" s="75"/>
      <c r="T1040" s="75">
        <f>10*12</f>
        <v>120</v>
      </c>
      <c r="U1040" s="75"/>
      <c r="V1040" s="76">
        <f>P1040+T1040</f>
        <v>2334</v>
      </c>
    </row>
    <row r="1041" spans="1:22" s="7" customFormat="1" ht="9" customHeight="1" x14ac:dyDescent="0.2">
      <c r="A1041" s="523"/>
      <c r="B1041" s="523"/>
      <c r="C1041" s="62" t="s">
        <v>37</v>
      </c>
      <c r="D1041" s="63">
        <v>8</v>
      </c>
      <c r="E1041" s="64">
        <v>26637499</v>
      </c>
      <c r="F1041" s="65"/>
      <c r="G1041" s="65"/>
      <c r="H1041" s="64">
        <v>12361361</v>
      </c>
      <c r="I1041" s="64"/>
      <c r="J1041" s="66">
        <v>3272664</v>
      </c>
      <c r="K1041" s="66">
        <v>39271873</v>
      </c>
      <c r="L1041" s="64">
        <v>42544538</v>
      </c>
      <c r="M1041" s="39"/>
      <c r="N1041" s="65">
        <v>39271873</v>
      </c>
      <c r="O1041" s="65">
        <v>26910513</v>
      </c>
      <c r="P1041" s="65"/>
      <c r="Q1041" s="65">
        <v>47388427</v>
      </c>
      <c r="R1041" s="64">
        <v>44115763</v>
      </c>
      <c r="S1041" s="75"/>
      <c r="T1041" s="75"/>
      <c r="U1041" s="75"/>
      <c r="V1041" s="76"/>
    </row>
    <row r="1042" spans="1:22" s="7" customFormat="1" ht="12.75" customHeight="1" x14ac:dyDescent="0.2">
      <c r="A1042" s="520">
        <f>A1040</f>
        <v>44652</v>
      </c>
      <c r="B1042" s="520">
        <f>B1040</f>
        <v>44742</v>
      </c>
      <c r="C1042" s="68" t="s">
        <v>36</v>
      </c>
      <c r="D1042" s="69">
        <v>9</v>
      </c>
      <c r="E1042" s="59">
        <v>16798.88</v>
      </c>
      <c r="F1042" s="59"/>
      <c r="G1042" s="59"/>
      <c r="H1042" s="59">
        <v>6384.11</v>
      </c>
      <c r="I1042" s="59">
        <f>ROUND(           (  E1042+H1042) *0.003,2)</f>
        <v>69.55</v>
      </c>
      <c r="J1042" s="59">
        <v>1874.95</v>
      </c>
      <c r="K1042" s="59">
        <v>16918.52</v>
      </c>
      <c r="L1042" s="60">
        <v>18793.47</v>
      </c>
      <c r="M1042" s="33"/>
      <c r="N1042" s="59">
        <v>22499.37</v>
      </c>
      <c r="O1042" s="59">
        <v>16115.26</v>
      </c>
      <c r="P1042" s="59">
        <v>2214</v>
      </c>
      <c r="Q1042" s="59">
        <v>27275.07</v>
      </c>
      <c r="R1042" s="59">
        <v>25400.12</v>
      </c>
      <c r="S1042" s="75"/>
      <c r="T1042" s="75">
        <f>10*12</f>
        <v>120</v>
      </c>
      <c r="U1042" s="75"/>
      <c r="V1042" s="76">
        <f>P1042+T1042</f>
        <v>2334</v>
      </c>
    </row>
    <row r="1043" spans="1:22" s="7" customFormat="1" ht="9" customHeight="1" x14ac:dyDescent="0.2">
      <c r="A1043" s="520"/>
      <c r="B1043" s="520"/>
      <c r="C1043" s="62" t="s">
        <v>37</v>
      </c>
      <c r="D1043" s="63">
        <v>14</v>
      </c>
      <c r="E1043" s="64">
        <v>26637499</v>
      </c>
      <c r="F1043" s="65"/>
      <c r="G1043" s="65"/>
      <c r="H1043" s="64">
        <v>12361361</v>
      </c>
      <c r="I1043" s="64"/>
      <c r="J1043" s="66">
        <v>3630409</v>
      </c>
      <c r="K1043" s="64">
        <v>32758823</v>
      </c>
      <c r="L1043" s="64">
        <v>36389232</v>
      </c>
      <c r="M1043" s="39"/>
      <c r="N1043" s="65">
        <v>43564855</v>
      </c>
      <c r="O1043" s="65">
        <v>31203494</v>
      </c>
      <c r="P1043" s="65"/>
      <c r="Q1043" s="65">
        <v>52811900</v>
      </c>
      <c r="R1043" s="64">
        <v>49181490</v>
      </c>
      <c r="S1043" s="75"/>
      <c r="T1043" s="75"/>
      <c r="U1043" s="75"/>
      <c r="V1043" s="76"/>
    </row>
    <row r="1044" spans="1:22" s="7" customFormat="1" ht="12.75" customHeight="1" x14ac:dyDescent="0.2">
      <c r="A1044" s="520"/>
      <c r="B1044" s="520"/>
      <c r="C1044" s="68" t="s">
        <v>36</v>
      </c>
      <c r="D1044" s="69">
        <v>15</v>
      </c>
      <c r="E1044" s="59">
        <v>18820.88</v>
      </c>
      <c r="F1044" s="59"/>
      <c r="G1044" s="59"/>
      <c r="H1044" s="59">
        <v>6384.11</v>
      </c>
      <c r="I1044" s="59">
        <f>ROUND(           (  E1044+H1044) *0.003,2)</f>
        <v>75.61</v>
      </c>
      <c r="J1044" s="59">
        <v>2037.57</v>
      </c>
      <c r="K1044" s="59">
        <v>17933.73</v>
      </c>
      <c r="L1044" s="60">
        <v>19971.3</v>
      </c>
      <c r="M1044" s="33"/>
      <c r="N1044" s="59">
        <v>24450.86</v>
      </c>
      <c r="O1044" s="59">
        <v>18066.75</v>
      </c>
      <c r="P1044" s="59">
        <v>2721.6</v>
      </c>
      <c r="Q1044" s="59">
        <v>29740.45</v>
      </c>
      <c r="R1044" s="59">
        <v>27702.880000000001</v>
      </c>
      <c r="S1044" s="75"/>
      <c r="T1044" s="75">
        <f>12*12</f>
        <v>144</v>
      </c>
      <c r="U1044" s="75"/>
      <c r="V1044" s="76">
        <f>P1044+T1044</f>
        <v>2865.6</v>
      </c>
    </row>
    <row r="1045" spans="1:22" s="7" customFormat="1" ht="9" customHeight="1" x14ac:dyDescent="0.2">
      <c r="A1045" s="520"/>
      <c r="B1045" s="520"/>
      <c r="C1045" s="62" t="s">
        <v>37</v>
      </c>
      <c r="D1045" s="63">
        <v>20</v>
      </c>
      <c r="E1045" s="64">
        <v>26637499</v>
      </c>
      <c r="F1045" s="65"/>
      <c r="G1045" s="65"/>
      <c r="H1045" s="64">
        <v>12361361</v>
      </c>
      <c r="I1045" s="64"/>
      <c r="J1045" s="66">
        <v>3945286</v>
      </c>
      <c r="K1045" s="64">
        <v>34724543</v>
      </c>
      <c r="L1045" s="64">
        <v>38669829</v>
      </c>
      <c r="M1045" s="39"/>
      <c r="N1045" s="65">
        <v>47343467</v>
      </c>
      <c r="O1045" s="65">
        <v>34982106</v>
      </c>
      <c r="P1045" s="65"/>
      <c r="Q1045" s="65">
        <v>57585541</v>
      </c>
      <c r="R1045" s="64">
        <v>53640255</v>
      </c>
      <c r="S1045" s="75"/>
      <c r="T1045" s="75"/>
      <c r="U1045" s="75"/>
      <c r="V1045" s="76"/>
    </row>
    <row r="1046" spans="1:22" s="7" customFormat="1" ht="12.75" customHeight="1" x14ac:dyDescent="0.2">
      <c r="A1046" s="520"/>
      <c r="B1046" s="520"/>
      <c r="C1046" s="68" t="s">
        <v>36</v>
      </c>
      <c r="D1046" s="69">
        <v>21</v>
      </c>
      <c r="E1046" s="59">
        <v>20787.48</v>
      </c>
      <c r="F1046" s="59"/>
      <c r="G1046" s="59"/>
      <c r="H1046" s="59">
        <v>6384.11</v>
      </c>
      <c r="I1046" s="59">
        <f>ROUND(           (  E1046+H1046) *0.003,2)</f>
        <v>81.510000000000005</v>
      </c>
      <c r="J1046" s="59">
        <v>2196.5700000000002</v>
      </c>
      <c r="K1046" s="59">
        <v>18921.79</v>
      </c>
      <c r="L1046" s="60">
        <v>21118.36</v>
      </c>
      <c r="M1046" s="33"/>
      <c r="N1046" s="59">
        <v>26358.82</v>
      </c>
      <c r="O1046" s="59">
        <v>19974.71</v>
      </c>
      <c r="P1046" s="59">
        <v>2721.6</v>
      </c>
      <c r="Q1046" s="59">
        <v>32150.84</v>
      </c>
      <c r="R1046" s="59">
        <v>29954.27</v>
      </c>
      <c r="S1046" s="75"/>
      <c r="T1046" s="75">
        <f>12*12</f>
        <v>144</v>
      </c>
      <c r="U1046" s="75"/>
      <c r="V1046" s="76">
        <f>P1046+T1046</f>
        <v>2865.6</v>
      </c>
    </row>
    <row r="1047" spans="1:22" s="7" customFormat="1" ht="9" customHeight="1" x14ac:dyDescent="0.2">
      <c r="A1047" s="520"/>
      <c r="B1047" s="520"/>
      <c r="C1047" s="62" t="s">
        <v>37</v>
      </c>
      <c r="D1047" s="63">
        <v>27</v>
      </c>
      <c r="E1047" s="64">
        <v>26637499</v>
      </c>
      <c r="F1047" s="65"/>
      <c r="G1047" s="65"/>
      <c r="H1047" s="64">
        <v>12361361</v>
      </c>
      <c r="I1047" s="64"/>
      <c r="J1047" s="66">
        <v>4253153</v>
      </c>
      <c r="K1047" s="64">
        <v>36637694</v>
      </c>
      <c r="L1047" s="64">
        <v>40890847</v>
      </c>
      <c r="M1047" s="39"/>
      <c r="N1047" s="65">
        <v>51037792</v>
      </c>
      <c r="O1047" s="65">
        <v>38676432</v>
      </c>
      <c r="P1047" s="65"/>
      <c r="Q1047" s="65">
        <v>62252707</v>
      </c>
      <c r="R1047" s="64">
        <v>57999554</v>
      </c>
      <c r="S1047" s="75"/>
      <c r="T1047" s="75"/>
      <c r="U1047" s="75"/>
      <c r="V1047" s="76"/>
    </row>
    <row r="1048" spans="1:22" s="7" customFormat="1" ht="12.75" customHeight="1" x14ac:dyDescent="0.2">
      <c r="A1048" s="520"/>
      <c r="B1048" s="520"/>
      <c r="C1048" s="68" t="s">
        <v>36</v>
      </c>
      <c r="D1048" s="69">
        <v>28</v>
      </c>
      <c r="E1048" s="59">
        <v>22717.71</v>
      </c>
      <c r="F1048" s="30"/>
      <c r="G1048" s="30"/>
      <c r="H1048" s="59">
        <v>6384.11</v>
      </c>
      <c r="I1048" s="59">
        <f>ROUND(           (  E1048+H1048) *0.003,2)</f>
        <v>87.31</v>
      </c>
      <c r="J1048" s="59">
        <v>2352.5100000000002</v>
      </c>
      <c r="K1048" s="59">
        <v>19673.080000000002</v>
      </c>
      <c r="L1048" s="60">
        <v>22025.59</v>
      </c>
      <c r="M1048" s="33"/>
      <c r="N1048" s="59">
        <v>28230.07</v>
      </c>
      <c r="O1048" s="59">
        <v>21845.96</v>
      </c>
      <c r="P1048" s="59">
        <v>3458.4</v>
      </c>
      <c r="Q1048" s="59">
        <v>34514.85</v>
      </c>
      <c r="R1048" s="59">
        <v>32162.34</v>
      </c>
      <c r="S1048" s="75"/>
      <c r="T1048" s="75">
        <f>15*12</f>
        <v>180</v>
      </c>
      <c r="U1048" s="75"/>
      <c r="V1048" s="76">
        <f>P1048+T1048</f>
        <v>3638.4</v>
      </c>
    </row>
    <row r="1049" spans="1:22" s="7" customFormat="1" ht="9" customHeight="1" x14ac:dyDescent="0.2">
      <c r="A1049" s="520"/>
      <c r="B1049" s="520"/>
      <c r="C1049" s="62" t="s">
        <v>37</v>
      </c>
      <c r="D1049" s="63">
        <v>34</v>
      </c>
      <c r="E1049" s="64">
        <v>26637499</v>
      </c>
      <c r="F1049" s="65"/>
      <c r="G1049" s="65"/>
      <c r="H1049" s="64">
        <v>12361361</v>
      </c>
      <c r="I1049" s="64"/>
      <c r="J1049" s="66">
        <v>4555095</v>
      </c>
      <c r="K1049" s="64">
        <v>38092395</v>
      </c>
      <c r="L1049" s="64">
        <v>42647489</v>
      </c>
      <c r="M1049" s="39"/>
      <c r="N1049" s="65">
        <v>54661038</v>
      </c>
      <c r="O1049" s="65">
        <v>42299677</v>
      </c>
      <c r="P1049" s="65"/>
      <c r="Q1049" s="65">
        <v>66830069</v>
      </c>
      <c r="R1049" s="64">
        <v>62274974</v>
      </c>
      <c r="S1049" s="75"/>
      <c r="T1049" s="75"/>
      <c r="U1049" s="75"/>
      <c r="V1049" s="76"/>
    </row>
    <row r="1050" spans="1:22" s="7" customFormat="1" ht="12.75" customHeight="1" x14ac:dyDescent="0.2">
      <c r="A1050" s="520"/>
      <c r="B1050" s="520"/>
      <c r="C1050" s="68" t="s">
        <v>36</v>
      </c>
      <c r="D1050" s="69">
        <v>35</v>
      </c>
      <c r="E1050" s="59">
        <v>24152.809999999998</v>
      </c>
      <c r="F1050" s="59"/>
      <c r="G1050" s="59"/>
      <c r="H1050" s="59">
        <v>6384.11</v>
      </c>
      <c r="I1050" s="59">
        <f>ROUND(           (  E1050+H1050) *0.003,2)</f>
        <v>91.61</v>
      </c>
      <c r="J1050" s="59">
        <v>2468.9</v>
      </c>
      <c r="K1050" s="59">
        <v>20206.89</v>
      </c>
      <c r="L1050" s="60">
        <v>22675.79</v>
      </c>
      <c r="M1050" s="33"/>
      <c r="N1050" s="59">
        <v>29626.84</v>
      </c>
      <c r="O1050" s="59">
        <v>23242.73</v>
      </c>
      <c r="P1050" s="59">
        <v>3458.4</v>
      </c>
      <c r="Q1050" s="59">
        <v>36279.43</v>
      </c>
      <c r="R1050" s="59">
        <v>33810.53</v>
      </c>
      <c r="S1050" s="75"/>
      <c r="T1050" s="75">
        <f>15*12</f>
        <v>180</v>
      </c>
      <c r="U1050" s="75"/>
      <c r="V1050" s="76">
        <f>P1050+T1050</f>
        <v>3638.4</v>
      </c>
    </row>
    <row r="1051" spans="1:22" s="7" customFormat="1" ht="9" customHeight="1" x14ac:dyDescent="0.2">
      <c r="A1051" s="521"/>
      <c r="B1051" s="521"/>
      <c r="C1051" s="71" t="s">
        <v>37</v>
      </c>
      <c r="D1051" s="72"/>
      <c r="E1051" s="64">
        <v>26637499</v>
      </c>
      <c r="F1051" s="64"/>
      <c r="G1051" s="64"/>
      <c r="H1051" s="64">
        <v>12361361</v>
      </c>
      <c r="I1051" s="64"/>
      <c r="J1051" s="64">
        <v>4780457</v>
      </c>
      <c r="K1051" s="64">
        <v>39125995</v>
      </c>
      <c r="L1051" s="64">
        <v>43906452</v>
      </c>
      <c r="M1051" s="39"/>
      <c r="N1051" s="64">
        <v>57365561</v>
      </c>
      <c r="O1051" s="64">
        <v>45004201</v>
      </c>
      <c r="P1051" s="64">
        <v>6347868</v>
      </c>
      <c r="Q1051" s="64">
        <v>70246772</v>
      </c>
      <c r="R1051" s="64">
        <v>65466315</v>
      </c>
      <c r="S1051" s="75"/>
      <c r="T1051" s="75"/>
      <c r="U1051" s="75"/>
      <c r="V1051" s="76"/>
    </row>
    <row r="1052" spans="1:22" s="7" customFormat="1" ht="9" customHeight="1" x14ac:dyDescent="0.2">
      <c r="A1052" s="95"/>
      <c r="B1052" s="95"/>
      <c r="C1052" s="184"/>
      <c r="D1052" s="45"/>
      <c r="E1052" s="185"/>
      <c r="F1052" s="185"/>
      <c r="G1052" s="185"/>
      <c r="H1052" s="185"/>
      <c r="I1052" s="96"/>
      <c r="J1052" s="185"/>
      <c r="K1052" s="185"/>
      <c r="L1052" s="185"/>
      <c r="M1052" s="39"/>
      <c r="N1052" s="185"/>
      <c r="O1052" s="185"/>
      <c r="P1052" s="185"/>
      <c r="Q1052" s="185"/>
      <c r="R1052" s="185"/>
    </row>
    <row r="1053" spans="1:22" s="7" customFormat="1" ht="9" customHeight="1" x14ac:dyDescent="0.2">
      <c r="A1053" s="95"/>
      <c r="B1053" s="95"/>
      <c r="C1053" s="184"/>
      <c r="D1053" s="45"/>
      <c r="E1053" s="185"/>
      <c r="F1053" s="185"/>
      <c r="G1053" s="185"/>
      <c r="H1053" s="185"/>
      <c r="I1053" s="96"/>
      <c r="J1053" s="185"/>
      <c r="K1053" s="185"/>
      <c r="L1053" s="185"/>
      <c r="M1053" s="39"/>
      <c r="N1053" s="185"/>
      <c r="O1053" s="185"/>
      <c r="P1053" s="185"/>
      <c r="Q1053" s="185"/>
      <c r="R1053" s="185"/>
    </row>
    <row r="1054" spans="1:22" s="7" customFormat="1" ht="9" customHeight="1" x14ac:dyDescent="0.2">
      <c r="A1054" s="95"/>
      <c r="B1054" s="95"/>
      <c r="C1054" s="184"/>
      <c r="D1054" s="45"/>
      <c r="E1054" s="185"/>
      <c r="F1054" s="185"/>
      <c r="G1054" s="185"/>
      <c r="H1054" s="185"/>
      <c r="I1054" s="96"/>
      <c r="J1054" s="185"/>
      <c r="K1054" s="185"/>
      <c r="L1054" s="185"/>
      <c r="M1054" s="39"/>
      <c r="N1054" s="185"/>
      <c r="O1054" s="185"/>
      <c r="P1054" s="185"/>
      <c r="Q1054" s="185"/>
      <c r="R1054" s="185"/>
    </row>
    <row r="1055" spans="1:22" s="7" customFormat="1" ht="9" customHeight="1" x14ac:dyDescent="0.2">
      <c r="A1055" s="95"/>
      <c r="B1055" s="95"/>
      <c r="C1055" s="184"/>
      <c r="D1055" s="45"/>
      <c r="E1055" s="185"/>
      <c r="F1055" s="185"/>
      <c r="G1055" s="185"/>
      <c r="H1055" s="185"/>
      <c r="I1055" s="96"/>
      <c r="J1055" s="185"/>
      <c r="K1055" s="185"/>
      <c r="L1055" s="185"/>
      <c r="M1055" s="39"/>
      <c r="N1055" s="185"/>
      <c r="O1055" s="185"/>
      <c r="P1055" s="185"/>
      <c r="Q1055" s="185"/>
      <c r="R1055" s="185"/>
    </row>
    <row r="1056" spans="1:22" s="7" customFormat="1" ht="9" customHeight="1" x14ac:dyDescent="0.2">
      <c r="A1056" s="95"/>
      <c r="B1056" s="95"/>
      <c r="C1056" s="184"/>
      <c r="D1056" s="45"/>
      <c r="E1056" s="185"/>
      <c r="F1056" s="185"/>
      <c r="G1056" s="185"/>
      <c r="H1056" s="185"/>
      <c r="I1056" s="96"/>
      <c r="J1056" s="185"/>
      <c r="K1056" s="185"/>
      <c r="L1056" s="185"/>
      <c r="M1056" s="39"/>
      <c r="N1056" s="185"/>
      <c r="O1056" s="185"/>
      <c r="P1056" s="185"/>
      <c r="Q1056" s="185"/>
      <c r="R1056" s="185"/>
    </row>
    <row r="1057" spans="1:22" s="7" customFormat="1" ht="9" customHeight="1" x14ac:dyDescent="0.2">
      <c r="A1057" s="95"/>
      <c r="B1057" s="95"/>
      <c r="C1057" s="184"/>
      <c r="D1057" s="45"/>
      <c r="E1057" s="185"/>
      <c r="F1057" s="185"/>
      <c r="G1057" s="185"/>
      <c r="H1057" s="185"/>
      <c r="I1057" s="96"/>
      <c r="J1057" s="185"/>
      <c r="K1057" s="185"/>
      <c r="L1057" s="185"/>
      <c r="M1057" s="39"/>
      <c r="N1057" s="185"/>
      <c r="O1057" s="185"/>
      <c r="P1057" s="185"/>
      <c r="Q1057" s="185"/>
      <c r="R1057" s="185"/>
    </row>
    <row r="1058" spans="1:22" s="7" customFormat="1" ht="9" customHeight="1" x14ac:dyDescent="0.2">
      <c r="A1058" s="95"/>
      <c r="B1058" s="95"/>
      <c r="C1058" s="184"/>
      <c r="D1058" s="45"/>
      <c r="E1058" s="185"/>
      <c r="F1058" s="185"/>
      <c r="G1058" s="185"/>
      <c r="H1058" s="185"/>
      <c r="I1058" s="96"/>
      <c r="J1058" s="185"/>
      <c r="K1058" s="185"/>
      <c r="L1058" s="185"/>
      <c r="M1058" s="39"/>
      <c r="N1058" s="185"/>
      <c r="O1058" s="185"/>
      <c r="P1058" s="185"/>
      <c r="Q1058" s="185"/>
      <c r="R1058" s="185"/>
    </row>
    <row r="1059" spans="1:22" s="7" customFormat="1" ht="9" customHeight="1" x14ac:dyDescent="0.2">
      <c r="A1059" s="95"/>
      <c r="B1059" s="95"/>
      <c r="C1059" s="184"/>
      <c r="D1059" s="45"/>
      <c r="E1059" s="185"/>
      <c r="F1059" s="185"/>
      <c r="G1059" s="185"/>
      <c r="H1059" s="185"/>
      <c r="I1059" s="96"/>
      <c r="J1059" s="185"/>
      <c r="K1059" s="185"/>
      <c r="L1059" s="185"/>
      <c r="M1059" s="39"/>
      <c r="N1059" s="185"/>
      <c r="O1059" s="185"/>
      <c r="P1059" s="185"/>
      <c r="Q1059" s="185"/>
      <c r="R1059" s="185"/>
    </row>
    <row r="1060" spans="1:22" s="7" customFormat="1" ht="12.75" customHeight="1" x14ac:dyDescent="0.2">
      <c r="A1060" s="522">
        <v>44743</v>
      </c>
      <c r="B1060" s="522">
        <v>45291</v>
      </c>
      <c r="C1060" s="57" t="s">
        <v>36</v>
      </c>
      <c r="D1060" s="58">
        <v>0</v>
      </c>
      <c r="E1060" s="59">
        <v>14513.09</v>
      </c>
      <c r="F1060" s="59"/>
      <c r="G1060" s="59"/>
      <c r="H1060" s="59">
        <v>6384.11</v>
      </c>
      <c r="I1060" s="59">
        <f>ROUND(           (  E1060+H1060) *0.005,2)</f>
        <v>104.49</v>
      </c>
      <c r="J1060" s="59">
        <v>1690.19</v>
      </c>
      <c r="K1060" s="59">
        <v>20282.23</v>
      </c>
      <c r="L1060" s="60">
        <v>21972.42</v>
      </c>
      <c r="M1060" s="33"/>
      <c r="N1060" s="59">
        <v>20282.23</v>
      </c>
      <c r="O1060" s="59">
        <v>13898.12</v>
      </c>
      <c r="P1060" s="59">
        <v>2214</v>
      </c>
      <c r="Q1060" s="59">
        <v>24474.080000000002</v>
      </c>
      <c r="R1060" s="59">
        <v>22783.89</v>
      </c>
      <c r="S1060" s="75"/>
      <c r="T1060" s="75">
        <f>10*12</f>
        <v>120</v>
      </c>
      <c r="U1060" s="75"/>
      <c r="V1060" s="76">
        <f>P1060+T1060</f>
        <v>2334</v>
      </c>
    </row>
    <row r="1061" spans="1:22" s="7" customFormat="1" ht="9" customHeight="1" x14ac:dyDescent="0.2">
      <c r="A1061" s="523"/>
      <c r="B1061" s="523"/>
      <c r="C1061" s="62" t="s">
        <v>37</v>
      </c>
      <c r="D1061" s="63">
        <v>8</v>
      </c>
      <c r="E1061" s="64">
        <v>26637499</v>
      </c>
      <c r="F1061" s="65"/>
      <c r="G1061" s="65"/>
      <c r="H1061" s="64">
        <v>12361361</v>
      </c>
      <c r="I1061" s="64"/>
      <c r="J1061" s="66">
        <v>3272664</v>
      </c>
      <c r="K1061" s="66">
        <v>39271873</v>
      </c>
      <c r="L1061" s="64">
        <v>42544538</v>
      </c>
      <c r="M1061" s="39"/>
      <c r="N1061" s="65">
        <v>39271873</v>
      </c>
      <c r="O1061" s="65">
        <v>26910513</v>
      </c>
      <c r="P1061" s="65"/>
      <c r="Q1061" s="65">
        <v>47388427</v>
      </c>
      <c r="R1061" s="64">
        <v>44115763</v>
      </c>
      <c r="S1061" s="75"/>
      <c r="T1061" s="75"/>
      <c r="U1061" s="75"/>
      <c r="V1061" s="76"/>
    </row>
    <row r="1062" spans="1:22" s="7" customFormat="1" ht="12.75" customHeight="1" x14ac:dyDescent="0.2">
      <c r="A1062" s="520">
        <f>A1060</f>
        <v>44743</v>
      </c>
      <c r="B1062" s="520">
        <f>B1060</f>
        <v>45291</v>
      </c>
      <c r="C1062" s="68" t="s">
        <v>36</v>
      </c>
      <c r="D1062" s="69">
        <v>9</v>
      </c>
      <c r="E1062" s="59">
        <v>16798.88</v>
      </c>
      <c r="F1062" s="59"/>
      <c r="G1062" s="59"/>
      <c r="H1062" s="59">
        <v>6384.11</v>
      </c>
      <c r="I1062" s="59">
        <f>ROUND(           (  E1062+H1062) *0.005,2)</f>
        <v>115.91</v>
      </c>
      <c r="J1062" s="59">
        <v>1874.95</v>
      </c>
      <c r="K1062" s="59">
        <v>16918.52</v>
      </c>
      <c r="L1062" s="60">
        <v>18793.47</v>
      </c>
      <c r="M1062" s="33"/>
      <c r="N1062" s="59">
        <v>22499.37</v>
      </c>
      <c r="O1062" s="59">
        <v>16115.26</v>
      </c>
      <c r="P1062" s="59">
        <v>2214</v>
      </c>
      <c r="Q1062" s="59">
        <v>27275.07</v>
      </c>
      <c r="R1062" s="59">
        <v>25400.12</v>
      </c>
      <c r="S1062" s="75"/>
      <c r="T1062" s="75">
        <f>10*12</f>
        <v>120</v>
      </c>
      <c r="U1062" s="75"/>
      <c r="V1062" s="76">
        <f>P1062+T1062</f>
        <v>2334</v>
      </c>
    </row>
    <row r="1063" spans="1:22" s="7" customFormat="1" ht="9" customHeight="1" x14ac:dyDescent="0.2">
      <c r="A1063" s="520"/>
      <c r="B1063" s="520"/>
      <c r="C1063" s="62" t="s">
        <v>37</v>
      </c>
      <c r="D1063" s="63">
        <v>14</v>
      </c>
      <c r="E1063" s="64">
        <v>26637499</v>
      </c>
      <c r="F1063" s="65"/>
      <c r="G1063" s="65"/>
      <c r="H1063" s="64">
        <v>12361361</v>
      </c>
      <c r="I1063" s="64"/>
      <c r="J1063" s="66">
        <v>3630409</v>
      </c>
      <c r="K1063" s="64">
        <v>32758823</v>
      </c>
      <c r="L1063" s="64">
        <v>36389232</v>
      </c>
      <c r="M1063" s="39"/>
      <c r="N1063" s="65">
        <v>43564855</v>
      </c>
      <c r="O1063" s="65">
        <v>31203494</v>
      </c>
      <c r="P1063" s="65"/>
      <c r="Q1063" s="65">
        <v>52811900</v>
      </c>
      <c r="R1063" s="64">
        <v>49181490</v>
      </c>
      <c r="S1063" s="75"/>
      <c r="T1063" s="75"/>
      <c r="U1063" s="75"/>
      <c r="V1063" s="76"/>
    </row>
    <row r="1064" spans="1:22" s="7" customFormat="1" ht="12.75" customHeight="1" x14ac:dyDescent="0.2">
      <c r="A1064" s="520"/>
      <c r="B1064" s="520"/>
      <c r="C1064" s="68" t="s">
        <v>36</v>
      </c>
      <c r="D1064" s="69">
        <v>15</v>
      </c>
      <c r="E1064" s="59">
        <v>18820.88</v>
      </c>
      <c r="F1064" s="59"/>
      <c r="G1064" s="59"/>
      <c r="H1064" s="59">
        <v>6384.11</v>
      </c>
      <c r="I1064" s="59">
        <f>ROUND(           (  E1064+H1064) *0.005,2)</f>
        <v>126.02</v>
      </c>
      <c r="J1064" s="59">
        <v>2037.57</v>
      </c>
      <c r="K1064" s="59">
        <v>17933.73</v>
      </c>
      <c r="L1064" s="60">
        <v>19971.3</v>
      </c>
      <c r="M1064" s="33"/>
      <c r="N1064" s="59">
        <v>24450.86</v>
      </c>
      <c r="O1064" s="59">
        <v>18066.75</v>
      </c>
      <c r="P1064" s="59">
        <v>2721.6</v>
      </c>
      <c r="Q1064" s="59">
        <v>29740.45</v>
      </c>
      <c r="R1064" s="59">
        <v>27702.880000000001</v>
      </c>
      <c r="S1064" s="75"/>
      <c r="T1064" s="75">
        <f>12*12</f>
        <v>144</v>
      </c>
      <c r="U1064" s="75"/>
      <c r="V1064" s="76">
        <f>P1064+T1064</f>
        <v>2865.6</v>
      </c>
    </row>
    <row r="1065" spans="1:22" s="7" customFormat="1" ht="9" customHeight="1" x14ac:dyDescent="0.2">
      <c r="A1065" s="520"/>
      <c r="B1065" s="520"/>
      <c r="C1065" s="62" t="s">
        <v>37</v>
      </c>
      <c r="D1065" s="63">
        <v>20</v>
      </c>
      <c r="E1065" s="64">
        <v>26637499</v>
      </c>
      <c r="F1065" s="65"/>
      <c r="G1065" s="65"/>
      <c r="H1065" s="64">
        <v>12361361</v>
      </c>
      <c r="I1065" s="64"/>
      <c r="J1065" s="66">
        <v>3945286</v>
      </c>
      <c r="K1065" s="64">
        <v>34724543</v>
      </c>
      <c r="L1065" s="64">
        <v>38669829</v>
      </c>
      <c r="M1065" s="39"/>
      <c r="N1065" s="65">
        <v>47343467</v>
      </c>
      <c r="O1065" s="65">
        <v>34982106</v>
      </c>
      <c r="P1065" s="65"/>
      <c r="Q1065" s="65">
        <v>57585541</v>
      </c>
      <c r="R1065" s="64">
        <v>53640255</v>
      </c>
      <c r="S1065" s="75"/>
      <c r="T1065" s="75"/>
      <c r="U1065" s="75"/>
      <c r="V1065" s="76"/>
    </row>
    <row r="1066" spans="1:22" s="7" customFormat="1" ht="12.75" customHeight="1" x14ac:dyDescent="0.2">
      <c r="A1066" s="520"/>
      <c r="B1066" s="520"/>
      <c r="C1066" s="68" t="s">
        <v>36</v>
      </c>
      <c r="D1066" s="69">
        <v>21</v>
      </c>
      <c r="E1066" s="59">
        <v>20787.48</v>
      </c>
      <c r="F1066" s="59"/>
      <c r="G1066" s="59"/>
      <c r="H1066" s="59">
        <v>6384.11</v>
      </c>
      <c r="I1066" s="59">
        <f>ROUND(           (  E1066+H1066) *0.005,2)</f>
        <v>135.86000000000001</v>
      </c>
      <c r="J1066" s="59">
        <v>2196.5700000000002</v>
      </c>
      <c r="K1066" s="59">
        <v>18921.79</v>
      </c>
      <c r="L1066" s="60">
        <v>21118.36</v>
      </c>
      <c r="M1066" s="33"/>
      <c r="N1066" s="59">
        <v>26358.82</v>
      </c>
      <c r="O1066" s="59">
        <v>19974.71</v>
      </c>
      <c r="P1066" s="59">
        <v>2721.6</v>
      </c>
      <c r="Q1066" s="59">
        <v>32150.84</v>
      </c>
      <c r="R1066" s="59">
        <v>29954.27</v>
      </c>
      <c r="S1066" s="75"/>
      <c r="T1066" s="75">
        <f>12*12</f>
        <v>144</v>
      </c>
      <c r="U1066" s="75"/>
      <c r="V1066" s="76">
        <f>P1066+T1066</f>
        <v>2865.6</v>
      </c>
    </row>
    <row r="1067" spans="1:22" s="7" customFormat="1" ht="9" customHeight="1" x14ac:dyDescent="0.2">
      <c r="A1067" s="520"/>
      <c r="B1067" s="520"/>
      <c r="C1067" s="62" t="s">
        <v>37</v>
      </c>
      <c r="D1067" s="63">
        <v>27</v>
      </c>
      <c r="E1067" s="64">
        <v>26637499</v>
      </c>
      <c r="F1067" s="65"/>
      <c r="G1067" s="65"/>
      <c r="H1067" s="64">
        <v>12361361</v>
      </c>
      <c r="I1067" s="64"/>
      <c r="J1067" s="66">
        <v>4253153</v>
      </c>
      <c r="K1067" s="64">
        <v>36637694</v>
      </c>
      <c r="L1067" s="64">
        <v>40890847</v>
      </c>
      <c r="M1067" s="39"/>
      <c r="N1067" s="65">
        <v>51037792</v>
      </c>
      <c r="O1067" s="65">
        <v>38676432</v>
      </c>
      <c r="P1067" s="65"/>
      <c r="Q1067" s="65">
        <v>62252707</v>
      </c>
      <c r="R1067" s="64">
        <v>57999554</v>
      </c>
      <c r="S1067" s="75"/>
      <c r="T1067" s="75"/>
      <c r="U1067" s="75"/>
      <c r="V1067" s="76"/>
    </row>
    <row r="1068" spans="1:22" s="7" customFormat="1" ht="12.75" customHeight="1" x14ac:dyDescent="0.2">
      <c r="A1068" s="520"/>
      <c r="B1068" s="520"/>
      <c r="C1068" s="68" t="s">
        <v>36</v>
      </c>
      <c r="D1068" s="69">
        <v>28</v>
      </c>
      <c r="E1068" s="59">
        <v>22717.71</v>
      </c>
      <c r="F1068" s="30"/>
      <c r="G1068" s="30"/>
      <c r="H1068" s="59">
        <v>6384.11</v>
      </c>
      <c r="I1068" s="59">
        <f>ROUND(           (  E1068+H1068) *0.005,2)</f>
        <v>145.51</v>
      </c>
      <c r="J1068" s="59">
        <v>2352.5100000000002</v>
      </c>
      <c r="K1068" s="59">
        <v>19673.080000000002</v>
      </c>
      <c r="L1068" s="60">
        <v>22025.59</v>
      </c>
      <c r="M1068" s="33"/>
      <c r="N1068" s="59">
        <v>28230.07</v>
      </c>
      <c r="O1068" s="59">
        <v>21845.96</v>
      </c>
      <c r="P1068" s="59">
        <v>3458.4</v>
      </c>
      <c r="Q1068" s="59">
        <v>34514.85</v>
      </c>
      <c r="R1068" s="59">
        <v>32162.34</v>
      </c>
      <c r="S1068" s="75"/>
      <c r="T1068" s="75">
        <f>15*12</f>
        <v>180</v>
      </c>
      <c r="U1068" s="75"/>
      <c r="V1068" s="76">
        <f>P1068+T1068</f>
        <v>3638.4</v>
      </c>
    </row>
    <row r="1069" spans="1:22" s="7" customFormat="1" ht="9" customHeight="1" x14ac:dyDescent="0.2">
      <c r="A1069" s="520"/>
      <c r="B1069" s="520"/>
      <c r="C1069" s="62" t="s">
        <v>37</v>
      </c>
      <c r="D1069" s="63">
        <v>34</v>
      </c>
      <c r="E1069" s="64">
        <v>26637499</v>
      </c>
      <c r="F1069" s="65"/>
      <c r="G1069" s="65"/>
      <c r="H1069" s="64">
        <v>12361361</v>
      </c>
      <c r="I1069" s="64"/>
      <c r="J1069" s="66">
        <v>4555095</v>
      </c>
      <c r="K1069" s="64">
        <v>38092395</v>
      </c>
      <c r="L1069" s="64">
        <v>42647489</v>
      </c>
      <c r="M1069" s="39"/>
      <c r="N1069" s="65">
        <v>54661038</v>
      </c>
      <c r="O1069" s="65">
        <v>42299677</v>
      </c>
      <c r="P1069" s="65"/>
      <c r="Q1069" s="65">
        <v>66830069</v>
      </c>
      <c r="R1069" s="64">
        <v>62274974</v>
      </c>
      <c r="S1069" s="75"/>
      <c r="T1069" s="75"/>
      <c r="U1069" s="75"/>
      <c r="V1069" s="76"/>
    </row>
    <row r="1070" spans="1:22" s="7" customFormat="1" ht="12.75" customHeight="1" x14ac:dyDescent="0.2">
      <c r="A1070" s="520"/>
      <c r="B1070" s="520"/>
      <c r="C1070" s="68" t="s">
        <v>36</v>
      </c>
      <c r="D1070" s="69">
        <v>35</v>
      </c>
      <c r="E1070" s="59">
        <v>24152.809999999998</v>
      </c>
      <c r="F1070" s="59"/>
      <c r="G1070" s="59"/>
      <c r="H1070" s="59">
        <v>6384.11</v>
      </c>
      <c r="I1070" s="59">
        <f>ROUND(           (  E1070+H1070) *0.005,2)</f>
        <v>152.68</v>
      </c>
      <c r="J1070" s="59">
        <v>2468.9</v>
      </c>
      <c r="K1070" s="59">
        <v>20206.89</v>
      </c>
      <c r="L1070" s="60">
        <v>22675.79</v>
      </c>
      <c r="M1070" s="33"/>
      <c r="N1070" s="59">
        <v>29626.84</v>
      </c>
      <c r="O1070" s="59">
        <v>23242.73</v>
      </c>
      <c r="P1070" s="59">
        <v>3458.4</v>
      </c>
      <c r="Q1070" s="59">
        <v>36279.43</v>
      </c>
      <c r="R1070" s="59">
        <v>33810.53</v>
      </c>
      <c r="S1070" s="75"/>
      <c r="T1070" s="75">
        <f>15*12</f>
        <v>180</v>
      </c>
      <c r="U1070" s="75"/>
      <c r="V1070" s="76">
        <f>P1070+T1070</f>
        <v>3638.4</v>
      </c>
    </row>
    <row r="1071" spans="1:22" s="7" customFormat="1" ht="9" customHeight="1" x14ac:dyDescent="0.2">
      <c r="A1071" s="521"/>
      <c r="B1071" s="521"/>
      <c r="C1071" s="71" t="s">
        <v>37</v>
      </c>
      <c r="D1071" s="72"/>
      <c r="E1071" s="64">
        <v>26637499</v>
      </c>
      <c r="F1071" s="64"/>
      <c r="G1071" s="64"/>
      <c r="H1071" s="64">
        <v>12361361</v>
      </c>
      <c r="I1071" s="64"/>
      <c r="J1071" s="64">
        <v>4780457</v>
      </c>
      <c r="K1071" s="64">
        <v>39125995</v>
      </c>
      <c r="L1071" s="64">
        <v>43906452</v>
      </c>
      <c r="M1071" s="39"/>
      <c r="N1071" s="64">
        <v>57365561</v>
      </c>
      <c r="O1071" s="64">
        <v>45004201</v>
      </c>
      <c r="P1071" s="64">
        <v>6347868</v>
      </c>
      <c r="Q1071" s="64">
        <v>70246772</v>
      </c>
      <c r="R1071" s="64">
        <v>65466315</v>
      </c>
      <c r="S1071" s="75"/>
      <c r="T1071" s="75"/>
      <c r="U1071" s="75"/>
      <c r="V1071" s="76"/>
    </row>
    <row r="1072" spans="1:22" s="7" customFormat="1" ht="9" customHeight="1" x14ac:dyDescent="0.2">
      <c r="A1072" s="73"/>
      <c r="B1072" s="73"/>
      <c r="C1072" s="184"/>
      <c r="D1072" s="45"/>
      <c r="E1072" s="185"/>
      <c r="F1072" s="185"/>
      <c r="G1072" s="185"/>
      <c r="H1072" s="185"/>
      <c r="I1072" s="185"/>
      <c r="J1072" s="185"/>
      <c r="K1072" s="185"/>
      <c r="L1072" s="185"/>
      <c r="M1072" s="39"/>
      <c r="N1072" s="185"/>
      <c r="O1072" s="185"/>
      <c r="P1072" s="185"/>
      <c r="Q1072" s="185"/>
      <c r="R1072" s="185"/>
    </row>
    <row r="1073" spans="1:22" s="7" customFormat="1" ht="9" customHeight="1" x14ac:dyDescent="0.2">
      <c r="A1073" s="73"/>
      <c r="B1073" s="73"/>
      <c r="C1073" s="184"/>
      <c r="D1073" s="45"/>
      <c r="E1073" s="185"/>
      <c r="F1073" s="185"/>
      <c r="G1073" s="185"/>
      <c r="H1073" s="185"/>
      <c r="I1073" s="185"/>
      <c r="J1073" s="185"/>
      <c r="K1073" s="185"/>
      <c r="L1073" s="185"/>
      <c r="M1073" s="39"/>
      <c r="N1073" s="185"/>
      <c r="O1073" s="185"/>
      <c r="P1073" s="185"/>
      <c r="Q1073" s="185"/>
      <c r="R1073" s="185"/>
    </row>
    <row r="1074" spans="1:22" s="7" customFormat="1" ht="9" customHeight="1" x14ac:dyDescent="0.2">
      <c r="A1074" s="73"/>
      <c r="B1074" s="73"/>
      <c r="C1074" s="184"/>
      <c r="D1074" s="45"/>
      <c r="E1074" s="185"/>
      <c r="F1074" s="185"/>
      <c r="G1074" s="185"/>
      <c r="H1074" s="185"/>
      <c r="I1074" s="185"/>
      <c r="J1074" s="185"/>
      <c r="K1074" s="185"/>
      <c r="L1074" s="185"/>
      <c r="M1074" s="39"/>
      <c r="N1074" s="185"/>
      <c r="O1074" s="185"/>
      <c r="P1074" s="185"/>
      <c r="Q1074" s="185"/>
      <c r="R1074" s="185"/>
    </row>
    <row r="1075" spans="1:22" s="7" customFormat="1" ht="9" customHeight="1" x14ac:dyDescent="0.2">
      <c r="A1075" s="73"/>
      <c r="B1075" s="73"/>
      <c r="C1075" s="184"/>
      <c r="D1075" s="45"/>
      <c r="E1075" s="185"/>
      <c r="F1075" s="185"/>
      <c r="G1075" s="185"/>
      <c r="H1075" s="185"/>
      <c r="I1075" s="185"/>
      <c r="J1075" s="185"/>
      <c r="K1075" s="185"/>
      <c r="L1075" s="185"/>
      <c r="M1075" s="39"/>
      <c r="N1075" s="185"/>
      <c r="O1075" s="185"/>
      <c r="P1075" s="185"/>
      <c r="Q1075" s="185"/>
      <c r="R1075" s="185"/>
    </row>
    <row r="1076" spans="1:22" s="7" customFormat="1" ht="9" customHeight="1" x14ac:dyDescent="0.2">
      <c r="A1076" s="73"/>
      <c r="B1076" s="73"/>
      <c r="C1076" s="184"/>
      <c r="D1076" s="45"/>
      <c r="E1076" s="185"/>
      <c r="F1076" s="185"/>
      <c r="G1076" s="185"/>
      <c r="H1076" s="185"/>
      <c r="I1076" s="185"/>
      <c r="J1076" s="185"/>
      <c r="K1076" s="185"/>
      <c r="L1076" s="185"/>
      <c r="M1076" s="39"/>
      <c r="N1076" s="185"/>
      <c r="O1076" s="185"/>
      <c r="P1076" s="185"/>
      <c r="Q1076" s="185"/>
      <c r="R1076" s="185"/>
    </row>
    <row r="1077" spans="1:22" s="7" customFormat="1" ht="9" customHeight="1" x14ac:dyDescent="0.2">
      <c r="A1077" s="73"/>
      <c r="B1077" s="73"/>
      <c r="C1077" s="184"/>
      <c r="D1077" s="45"/>
      <c r="E1077" s="185"/>
      <c r="F1077" s="185"/>
      <c r="G1077" s="185"/>
      <c r="H1077" s="185"/>
      <c r="I1077" s="185"/>
      <c r="J1077" s="185"/>
      <c r="K1077" s="185"/>
      <c r="L1077" s="185"/>
      <c r="M1077" s="39"/>
      <c r="N1077" s="185"/>
      <c r="O1077" s="185"/>
      <c r="P1077" s="185"/>
      <c r="Q1077" s="185"/>
      <c r="R1077" s="185"/>
    </row>
    <row r="1078" spans="1:22" s="7" customFormat="1" ht="9" customHeight="1" x14ac:dyDescent="0.2">
      <c r="A1078" s="73"/>
      <c r="B1078" s="73"/>
      <c r="C1078" s="184"/>
      <c r="D1078" s="45"/>
      <c r="E1078" s="185"/>
      <c r="F1078" s="185"/>
      <c r="G1078" s="185"/>
      <c r="H1078" s="185"/>
      <c r="I1078" s="185"/>
      <c r="J1078" s="185"/>
      <c r="K1078" s="185"/>
      <c r="L1078" s="185"/>
      <c r="M1078" s="39"/>
      <c r="N1078" s="185"/>
      <c r="O1078" s="185"/>
      <c r="P1078" s="185"/>
      <c r="Q1078" s="185"/>
      <c r="R1078" s="185"/>
    </row>
    <row r="1079" spans="1:22" s="7" customFormat="1" ht="9" customHeight="1" x14ac:dyDescent="0.2">
      <c r="A1079" s="73"/>
      <c r="B1079" s="73"/>
      <c r="C1079" s="184"/>
      <c r="D1079" s="45"/>
      <c r="E1079" s="185"/>
      <c r="F1079" s="185"/>
      <c r="G1079" s="185"/>
      <c r="H1079" s="185"/>
      <c r="I1079" s="185"/>
      <c r="J1079" s="185"/>
      <c r="K1079" s="185"/>
      <c r="L1079" s="185"/>
      <c r="M1079" s="39"/>
      <c r="N1079" s="185"/>
      <c r="O1079" s="185"/>
      <c r="P1079" s="185"/>
      <c r="Q1079" s="185"/>
      <c r="R1079" s="185"/>
    </row>
    <row r="1080" spans="1:22" s="7" customFormat="1" ht="12.75" customHeight="1" x14ac:dyDescent="0.2">
      <c r="A1080" s="56">
        <v>45292</v>
      </c>
      <c r="B1080" s="56">
        <v>45657</v>
      </c>
      <c r="C1080" s="57" t="s">
        <v>36</v>
      </c>
      <c r="D1080" s="58">
        <v>0</v>
      </c>
      <c r="E1080" s="59">
        <v>14513.09</v>
      </c>
      <c r="F1080" s="59"/>
      <c r="G1080" s="59"/>
      <c r="H1080" s="59">
        <v>6384.11</v>
      </c>
      <c r="I1080" s="59"/>
      <c r="J1080" s="59">
        <v>1690.19</v>
      </c>
      <c r="K1080" s="59">
        <v>20282.23</v>
      </c>
      <c r="L1080" s="60">
        <v>21972.42</v>
      </c>
      <c r="M1080" s="33"/>
      <c r="N1080" s="59">
        <v>20282.23</v>
      </c>
      <c r="O1080" s="59">
        <v>13898.12</v>
      </c>
      <c r="P1080" s="59">
        <v>2214</v>
      </c>
      <c r="Q1080" s="59">
        <v>24474.080000000002</v>
      </c>
      <c r="R1080" s="59">
        <v>22783.89</v>
      </c>
      <c r="S1080" s="75"/>
      <c r="T1080" s="75">
        <f>10*12</f>
        <v>120</v>
      </c>
      <c r="U1080" s="75"/>
      <c r="V1080" s="76">
        <f>P1080+T1080</f>
        <v>2334</v>
      </c>
    </row>
    <row r="1081" spans="1:22" s="7" customFormat="1" ht="9" customHeight="1" x14ac:dyDescent="0.2">
      <c r="A1081" s="61"/>
      <c r="B1081" s="61"/>
      <c r="C1081" s="62" t="s">
        <v>37</v>
      </c>
      <c r="D1081" s="63">
        <v>8</v>
      </c>
      <c r="E1081" s="64">
        <v>26637499</v>
      </c>
      <c r="F1081" s="65"/>
      <c r="G1081" s="65"/>
      <c r="H1081" s="64">
        <v>12361361</v>
      </c>
      <c r="I1081" s="64"/>
      <c r="J1081" s="66">
        <v>3272664</v>
      </c>
      <c r="K1081" s="66">
        <v>39271873</v>
      </c>
      <c r="L1081" s="64">
        <v>42544538</v>
      </c>
      <c r="M1081" s="39"/>
      <c r="N1081" s="65">
        <v>39271873</v>
      </c>
      <c r="O1081" s="65">
        <v>26910513</v>
      </c>
      <c r="P1081" s="65"/>
      <c r="Q1081" s="65">
        <v>47388427</v>
      </c>
      <c r="R1081" s="64">
        <v>44115763</v>
      </c>
      <c r="S1081" s="75"/>
      <c r="T1081" s="75"/>
      <c r="U1081" s="75"/>
      <c r="V1081" s="76"/>
    </row>
    <row r="1082" spans="1:22" s="7" customFormat="1" ht="12.75" customHeight="1" x14ac:dyDescent="0.2">
      <c r="A1082" s="73">
        <f>A1080</f>
        <v>45292</v>
      </c>
      <c r="B1082" s="73">
        <f>B1080</f>
        <v>45657</v>
      </c>
      <c r="C1082" s="68" t="s">
        <v>36</v>
      </c>
      <c r="D1082" s="69">
        <v>9</v>
      </c>
      <c r="E1082" s="59">
        <v>16798.88</v>
      </c>
      <c r="F1082" s="59"/>
      <c r="G1082" s="59"/>
      <c r="H1082" s="59">
        <v>6384.11</v>
      </c>
      <c r="I1082" s="59"/>
      <c r="J1082" s="59">
        <v>1874.95</v>
      </c>
      <c r="K1082" s="59">
        <v>16918.52</v>
      </c>
      <c r="L1082" s="60">
        <v>18793.47</v>
      </c>
      <c r="M1082" s="33"/>
      <c r="N1082" s="59">
        <v>22499.37</v>
      </c>
      <c r="O1082" s="59">
        <v>16115.26</v>
      </c>
      <c r="P1082" s="59">
        <v>2214</v>
      </c>
      <c r="Q1082" s="59">
        <v>27275.07</v>
      </c>
      <c r="R1082" s="59">
        <v>25400.12</v>
      </c>
      <c r="S1082" s="75"/>
      <c r="T1082" s="75">
        <f>10*12</f>
        <v>120</v>
      </c>
      <c r="U1082" s="75"/>
      <c r="V1082" s="76">
        <f>P1082+T1082</f>
        <v>2334</v>
      </c>
    </row>
    <row r="1083" spans="1:22" s="7" customFormat="1" ht="9" customHeight="1" x14ac:dyDescent="0.2">
      <c r="A1083" s="73"/>
      <c r="B1083" s="73"/>
      <c r="C1083" s="62" t="s">
        <v>37</v>
      </c>
      <c r="D1083" s="63">
        <v>14</v>
      </c>
      <c r="E1083" s="64">
        <v>26637499</v>
      </c>
      <c r="F1083" s="65"/>
      <c r="G1083" s="65"/>
      <c r="H1083" s="64">
        <v>12361361</v>
      </c>
      <c r="I1083" s="64"/>
      <c r="J1083" s="66">
        <v>3630409</v>
      </c>
      <c r="K1083" s="64">
        <v>32758823</v>
      </c>
      <c r="L1083" s="64">
        <v>36389232</v>
      </c>
      <c r="M1083" s="39"/>
      <c r="N1083" s="65">
        <v>43564855</v>
      </c>
      <c r="O1083" s="65">
        <v>31203494</v>
      </c>
      <c r="P1083" s="65"/>
      <c r="Q1083" s="65">
        <v>52811900</v>
      </c>
      <c r="R1083" s="64">
        <v>49181490</v>
      </c>
      <c r="S1083" s="75"/>
      <c r="T1083" s="75"/>
      <c r="U1083" s="75"/>
      <c r="V1083" s="76"/>
    </row>
    <row r="1084" spans="1:22" s="7" customFormat="1" ht="12.75" customHeight="1" x14ac:dyDescent="0.2">
      <c r="A1084" s="73"/>
      <c r="B1084" s="73"/>
      <c r="C1084" s="68" t="s">
        <v>36</v>
      </c>
      <c r="D1084" s="69">
        <v>15</v>
      </c>
      <c r="E1084" s="59">
        <v>18820.88</v>
      </c>
      <c r="F1084" s="59"/>
      <c r="G1084" s="59"/>
      <c r="H1084" s="59">
        <v>6384.11</v>
      </c>
      <c r="I1084" s="59"/>
      <c r="J1084" s="59">
        <v>2037.57</v>
      </c>
      <c r="K1084" s="59">
        <v>17933.73</v>
      </c>
      <c r="L1084" s="60">
        <v>19971.3</v>
      </c>
      <c r="M1084" s="33"/>
      <c r="N1084" s="59">
        <v>24450.86</v>
      </c>
      <c r="O1084" s="59">
        <v>18066.75</v>
      </c>
      <c r="P1084" s="59">
        <v>2721.6</v>
      </c>
      <c r="Q1084" s="59">
        <v>29740.45</v>
      </c>
      <c r="R1084" s="59">
        <v>27702.880000000001</v>
      </c>
      <c r="S1084" s="75"/>
      <c r="T1084" s="75">
        <f>12*12</f>
        <v>144</v>
      </c>
      <c r="U1084" s="75"/>
      <c r="V1084" s="76">
        <f>P1084+T1084</f>
        <v>2865.6</v>
      </c>
    </row>
    <row r="1085" spans="1:22" s="7" customFormat="1" ht="9" customHeight="1" x14ac:dyDescent="0.2">
      <c r="A1085" s="73"/>
      <c r="B1085" s="73"/>
      <c r="C1085" s="62" t="s">
        <v>37</v>
      </c>
      <c r="D1085" s="63">
        <v>20</v>
      </c>
      <c r="E1085" s="64">
        <v>26637499</v>
      </c>
      <c r="F1085" s="65"/>
      <c r="G1085" s="65"/>
      <c r="H1085" s="64">
        <v>12361361</v>
      </c>
      <c r="I1085" s="64"/>
      <c r="J1085" s="66">
        <v>3945286</v>
      </c>
      <c r="K1085" s="64">
        <v>34724543</v>
      </c>
      <c r="L1085" s="64">
        <v>38669829</v>
      </c>
      <c r="M1085" s="39"/>
      <c r="N1085" s="65">
        <v>47343467</v>
      </c>
      <c r="O1085" s="65">
        <v>34982106</v>
      </c>
      <c r="P1085" s="65"/>
      <c r="Q1085" s="65">
        <v>57585541</v>
      </c>
      <c r="R1085" s="64">
        <v>53640255</v>
      </c>
      <c r="S1085" s="75"/>
      <c r="T1085" s="75"/>
      <c r="U1085" s="75"/>
      <c r="V1085" s="76"/>
    </row>
    <row r="1086" spans="1:22" s="7" customFormat="1" ht="12.75" customHeight="1" x14ac:dyDescent="0.2">
      <c r="A1086" s="73"/>
      <c r="B1086" s="73"/>
      <c r="C1086" s="68" t="s">
        <v>36</v>
      </c>
      <c r="D1086" s="69">
        <v>21</v>
      </c>
      <c r="E1086" s="59">
        <v>20787.48</v>
      </c>
      <c r="F1086" s="59"/>
      <c r="G1086" s="59"/>
      <c r="H1086" s="59">
        <v>6384.11</v>
      </c>
      <c r="I1086" s="59"/>
      <c r="J1086" s="59">
        <v>2196.5700000000002</v>
      </c>
      <c r="K1086" s="59">
        <v>18921.79</v>
      </c>
      <c r="L1086" s="60">
        <v>21118.36</v>
      </c>
      <c r="M1086" s="33"/>
      <c r="N1086" s="59">
        <v>26358.82</v>
      </c>
      <c r="O1086" s="59">
        <v>19974.71</v>
      </c>
      <c r="P1086" s="59">
        <v>2721.6</v>
      </c>
      <c r="Q1086" s="59">
        <v>32150.84</v>
      </c>
      <c r="R1086" s="59">
        <v>29954.27</v>
      </c>
      <c r="S1086" s="75"/>
      <c r="T1086" s="75">
        <f>12*12</f>
        <v>144</v>
      </c>
      <c r="U1086" s="75"/>
      <c r="V1086" s="76">
        <f>P1086+T1086</f>
        <v>2865.6</v>
      </c>
    </row>
    <row r="1087" spans="1:22" s="7" customFormat="1" ht="9" customHeight="1" x14ac:dyDescent="0.2">
      <c r="A1087" s="73"/>
      <c r="B1087" s="73"/>
      <c r="C1087" s="62" t="s">
        <v>37</v>
      </c>
      <c r="D1087" s="63">
        <v>27</v>
      </c>
      <c r="E1087" s="64">
        <v>26637499</v>
      </c>
      <c r="F1087" s="65"/>
      <c r="G1087" s="65"/>
      <c r="H1087" s="64">
        <v>12361361</v>
      </c>
      <c r="I1087" s="64"/>
      <c r="J1087" s="66">
        <v>4253153</v>
      </c>
      <c r="K1087" s="64">
        <v>36637694</v>
      </c>
      <c r="L1087" s="64">
        <v>40890847</v>
      </c>
      <c r="M1087" s="39"/>
      <c r="N1087" s="65">
        <v>51037792</v>
      </c>
      <c r="O1087" s="65">
        <v>38676432</v>
      </c>
      <c r="P1087" s="65"/>
      <c r="Q1087" s="65">
        <v>62252707</v>
      </c>
      <c r="R1087" s="64">
        <v>57999554</v>
      </c>
      <c r="S1087" s="75"/>
      <c r="T1087" s="75"/>
      <c r="U1087" s="75"/>
      <c r="V1087" s="76"/>
    </row>
    <row r="1088" spans="1:22" s="7" customFormat="1" ht="12.75" customHeight="1" x14ac:dyDescent="0.2">
      <c r="A1088" s="73"/>
      <c r="B1088" s="73"/>
      <c r="C1088" s="68" t="s">
        <v>36</v>
      </c>
      <c r="D1088" s="69">
        <v>28</v>
      </c>
      <c r="E1088" s="59">
        <v>22717.71</v>
      </c>
      <c r="F1088" s="30"/>
      <c r="G1088" s="30"/>
      <c r="H1088" s="59">
        <v>6384.11</v>
      </c>
      <c r="I1088" s="59"/>
      <c r="J1088" s="59">
        <v>2352.5100000000002</v>
      </c>
      <c r="K1088" s="59">
        <v>19673.080000000002</v>
      </c>
      <c r="L1088" s="60">
        <v>22025.59</v>
      </c>
      <c r="M1088" s="33"/>
      <c r="N1088" s="59">
        <v>28230.07</v>
      </c>
      <c r="O1088" s="59">
        <v>21845.96</v>
      </c>
      <c r="P1088" s="59">
        <v>3458.4</v>
      </c>
      <c r="Q1088" s="59">
        <v>34514.85</v>
      </c>
      <c r="R1088" s="59">
        <v>32162.34</v>
      </c>
      <c r="S1088" s="75"/>
      <c r="T1088" s="75">
        <f>15*12</f>
        <v>180</v>
      </c>
      <c r="U1088" s="75"/>
      <c r="V1088" s="76">
        <f>P1088+T1088</f>
        <v>3638.4</v>
      </c>
    </row>
    <row r="1089" spans="1:22" s="7" customFormat="1" ht="9" customHeight="1" x14ac:dyDescent="0.2">
      <c r="A1089" s="73"/>
      <c r="B1089" s="73"/>
      <c r="C1089" s="62" t="s">
        <v>37</v>
      </c>
      <c r="D1089" s="63">
        <v>34</v>
      </c>
      <c r="E1089" s="64">
        <v>26637499</v>
      </c>
      <c r="F1089" s="65"/>
      <c r="G1089" s="65"/>
      <c r="H1089" s="64">
        <v>12361361</v>
      </c>
      <c r="I1089" s="64"/>
      <c r="J1089" s="66">
        <v>4555095</v>
      </c>
      <c r="K1089" s="64">
        <v>38092395</v>
      </c>
      <c r="L1089" s="64">
        <v>42647489</v>
      </c>
      <c r="M1089" s="39"/>
      <c r="N1089" s="65">
        <v>54661038</v>
      </c>
      <c r="O1089" s="65">
        <v>42299677</v>
      </c>
      <c r="P1089" s="65"/>
      <c r="Q1089" s="65">
        <v>66830069</v>
      </c>
      <c r="R1089" s="64">
        <v>62274974</v>
      </c>
      <c r="S1089" s="75"/>
      <c r="T1089" s="75"/>
      <c r="U1089" s="75"/>
      <c r="V1089" s="76"/>
    </row>
    <row r="1090" spans="1:22" s="7" customFormat="1" ht="12.75" customHeight="1" x14ac:dyDescent="0.2">
      <c r="A1090" s="73"/>
      <c r="B1090" s="73"/>
      <c r="C1090" s="68" t="s">
        <v>36</v>
      </c>
      <c r="D1090" s="69">
        <v>35</v>
      </c>
      <c r="E1090" s="59">
        <v>24152.809999999998</v>
      </c>
      <c r="F1090" s="59"/>
      <c r="G1090" s="59"/>
      <c r="H1090" s="59">
        <v>6384.11</v>
      </c>
      <c r="I1090" s="59"/>
      <c r="J1090" s="59">
        <v>2468.9</v>
      </c>
      <c r="K1090" s="59">
        <v>20206.89</v>
      </c>
      <c r="L1090" s="60">
        <v>22675.79</v>
      </c>
      <c r="M1090" s="33"/>
      <c r="N1090" s="59">
        <v>29626.84</v>
      </c>
      <c r="O1090" s="59">
        <v>23242.73</v>
      </c>
      <c r="P1090" s="59">
        <v>3458.4</v>
      </c>
      <c r="Q1090" s="59">
        <v>36279.43</v>
      </c>
      <c r="R1090" s="59">
        <v>33810.53</v>
      </c>
      <c r="S1090" s="75"/>
      <c r="T1090" s="75">
        <f>15*12</f>
        <v>180</v>
      </c>
      <c r="U1090" s="75"/>
      <c r="V1090" s="76">
        <f>P1090+T1090</f>
        <v>3638.4</v>
      </c>
    </row>
    <row r="1091" spans="1:22" s="7" customFormat="1" ht="9" customHeight="1" x14ac:dyDescent="0.2">
      <c r="A1091" s="74"/>
      <c r="B1091" s="74"/>
      <c r="C1091" s="71" t="s">
        <v>37</v>
      </c>
      <c r="D1091" s="72"/>
      <c r="E1091" s="64">
        <v>26637499</v>
      </c>
      <c r="F1091" s="64"/>
      <c r="G1091" s="64"/>
      <c r="H1091" s="64">
        <v>12361361</v>
      </c>
      <c r="I1091" s="64"/>
      <c r="J1091" s="64">
        <v>4780457</v>
      </c>
      <c r="K1091" s="64">
        <v>39125995</v>
      </c>
      <c r="L1091" s="64">
        <v>43906452</v>
      </c>
      <c r="M1091" s="39"/>
      <c r="N1091" s="64">
        <v>57365561</v>
      </c>
      <c r="O1091" s="64">
        <v>45004201</v>
      </c>
      <c r="P1091" s="64">
        <v>6347868</v>
      </c>
      <c r="Q1091" s="64">
        <v>70246772</v>
      </c>
      <c r="R1091" s="64">
        <v>65466315</v>
      </c>
      <c r="S1091" s="75"/>
      <c r="T1091" s="75"/>
      <c r="U1091" s="75"/>
      <c r="V1091" s="76"/>
    </row>
    <row r="1092" spans="1:22" s="7" customFormat="1" ht="9" customHeight="1" x14ac:dyDescent="0.2">
      <c r="A1092" s="267"/>
      <c r="B1092" s="267"/>
      <c r="C1092" s="45"/>
      <c r="D1092" s="45"/>
      <c r="E1092" s="54"/>
      <c r="F1092" s="54"/>
      <c r="G1092" s="54"/>
      <c r="H1092" s="54"/>
      <c r="I1092" s="54"/>
      <c r="J1092" s="54"/>
      <c r="K1092" s="54"/>
      <c r="L1092" s="54"/>
      <c r="M1092" s="39"/>
      <c r="N1092" s="54"/>
      <c r="O1092" s="54"/>
      <c r="P1092" s="54"/>
      <c r="Q1092" s="54"/>
      <c r="R1092" s="54"/>
      <c r="S1092" s="75"/>
      <c r="T1092" s="75"/>
      <c r="U1092" s="75"/>
      <c r="V1092" s="76"/>
    </row>
    <row r="1093" spans="1:22" s="7" customFormat="1" ht="9" customHeight="1" x14ac:dyDescent="0.2">
      <c r="A1093" s="267"/>
      <c r="B1093" s="267"/>
      <c r="C1093" s="45"/>
      <c r="D1093" s="45"/>
      <c r="E1093" s="54"/>
      <c r="F1093" s="54"/>
      <c r="G1093" s="54"/>
      <c r="H1093" s="54"/>
      <c r="I1093" s="54"/>
      <c r="J1093" s="54"/>
      <c r="K1093" s="54"/>
      <c r="L1093" s="54"/>
      <c r="M1093" s="39"/>
      <c r="N1093" s="54"/>
      <c r="O1093" s="54"/>
      <c r="P1093" s="54"/>
      <c r="Q1093" s="54"/>
      <c r="R1093" s="54"/>
      <c r="S1093" s="75"/>
      <c r="T1093" s="75"/>
      <c r="U1093" s="75"/>
      <c r="V1093" s="76"/>
    </row>
    <row r="1094" spans="1:22" s="7" customFormat="1" ht="9" customHeight="1" x14ac:dyDescent="0.2">
      <c r="A1094" s="267"/>
      <c r="B1094" s="267"/>
      <c r="C1094" s="45"/>
      <c r="D1094" s="45"/>
      <c r="E1094" s="54"/>
      <c r="F1094" s="54"/>
      <c r="G1094" s="54"/>
      <c r="H1094" s="54"/>
      <c r="I1094" s="54"/>
      <c r="J1094" s="54"/>
      <c r="K1094" s="54"/>
      <c r="L1094" s="54"/>
      <c r="M1094" s="39"/>
      <c r="N1094" s="54"/>
      <c r="O1094" s="54"/>
      <c r="P1094" s="54"/>
      <c r="Q1094" s="54"/>
      <c r="R1094" s="54"/>
      <c r="S1094" s="75"/>
      <c r="T1094" s="75"/>
      <c r="U1094" s="75"/>
      <c r="V1094" s="76"/>
    </row>
    <row r="1095" spans="1:22" s="7" customFormat="1" ht="9" customHeight="1" x14ac:dyDescent="0.2">
      <c r="A1095" s="267"/>
      <c r="B1095" s="267"/>
      <c r="C1095" s="45"/>
      <c r="D1095" s="45"/>
      <c r="E1095" s="54"/>
      <c r="F1095" s="54"/>
      <c r="G1095" s="54"/>
      <c r="H1095" s="54"/>
      <c r="I1095" s="54"/>
      <c r="J1095" s="54"/>
      <c r="K1095" s="54"/>
      <c r="L1095" s="54"/>
      <c r="M1095" s="39"/>
      <c r="N1095" s="54"/>
      <c r="O1095" s="54"/>
      <c r="P1095" s="54"/>
      <c r="Q1095" s="54"/>
      <c r="R1095" s="54"/>
      <c r="S1095" s="75"/>
      <c r="T1095" s="75"/>
      <c r="U1095" s="75"/>
      <c r="V1095" s="76"/>
    </row>
    <row r="1096" spans="1:22" s="7" customFormat="1" ht="9" customHeight="1" x14ac:dyDescent="0.2">
      <c r="A1096" s="267"/>
      <c r="B1096" s="267"/>
      <c r="C1096" s="45"/>
      <c r="D1096" s="45"/>
      <c r="E1096" s="54"/>
      <c r="F1096" s="54"/>
      <c r="G1096" s="54"/>
      <c r="H1096" s="54"/>
      <c r="I1096" s="54"/>
      <c r="J1096" s="54"/>
      <c r="K1096" s="54"/>
      <c r="L1096" s="54"/>
      <c r="M1096" s="39"/>
      <c r="N1096" s="54"/>
      <c r="O1096" s="54"/>
      <c r="P1096" s="54"/>
      <c r="Q1096" s="54"/>
      <c r="R1096" s="54"/>
      <c r="S1096" s="75"/>
      <c r="T1096" s="75"/>
      <c r="U1096" s="75"/>
      <c r="V1096" s="76"/>
    </row>
    <row r="1097" spans="1:22" s="7" customFormat="1" ht="9" customHeight="1" x14ac:dyDescent="0.2">
      <c r="A1097" s="267"/>
      <c r="B1097" s="267"/>
      <c r="C1097" s="45"/>
      <c r="D1097" s="45"/>
      <c r="E1097" s="54"/>
      <c r="F1097" s="54"/>
      <c r="G1097" s="54"/>
      <c r="H1097" s="54"/>
      <c r="I1097" s="54"/>
      <c r="J1097" s="54"/>
      <c r="K1097" s="54"/>
      <c r="L1097" s="54"/>
      <c r="M1097" s="39"/>
      <c r="N1097" s="54"/>
      <c r="O1097" s="54"/>
      <c r="P1097" s="54"/>
      <c r="Q1097" s="54"/>
      <c r="R1097" s="54"/>
      <c r="S1097" s="75"/>
      <c r="T1097" s="75"/>
      <c r="U1097" s="75"/>
      <c r="V1097" s="76"/>
    </row>
    <row r="1098" spans="1:22" s="7" customFormat="1" ht="9" customHeight="1" x14ac:dyDescent="0.2">
      <c r="A1098" s="267"/>
      <c r="B1098" s="267"/>
      <c r="C1098" s="45"/>
      <c r="D1098" s="45"/>
      <c r="E1098" s="54"/>
      <c r="F1098" s="54"/>
      <c r="G1098" s="54"/>
      <c r="H1098" s="54"/>
      <c r="I1098" s="54"/>
      <c r="J1098" s="54"/>
      <c r="K1098" s="54"/>
      <c r="L1098" s="54"/>
      <c r="M1098" s="39"/>
      <c r="N1098" s="54"/>
      <c r="O1098" s="54"/>
      <c r="P1098" s="54"/>
      <c r="Q1098" s="54"/>
      <c r="R1098" s="54"/>
      <c r="S1098" s="75"/>
      <c r="T1098" s="75"/>
      <c r="U1098" s="75"/>
      <c r="V1098" s="76"/>
    </row>
    <row r="1099" spans="1:22" s="7" customFormat="1" ht="9" customHeight="1" x14ac:dyDescent="0.2">
      <c r="A1099" s="267"/>
      <c r="B1099" s="267"/>
      <c r="C1099" s="45"/>
      <c r="D1099" s="45"/>
      <c r="E1099" s="54"/>
      <c r="F1099" s="54"/>
      <c r="G1099" s="54"/>
      <c r="H1099" s="54"/>
      <c r="I1099" s="54"/>
      <c r="J1099" s="54"/>
      <c r="K1099" s="54"/>
      <c r="L1099" s="54"/>
      <c r="M1099" s="39"/>
      <c r="N1099" s="54"/>
      <c r="O1099" s="54"/>
      <c r="P1099" s="54"/>
      <c r="Q1099" s="54"/>
      <c r="R1099" s="54"/>
      <c r="S1099" s="75"/>
      <c r="T1099" s="75"/>
      <c r="U1099" s="75"/>
      <c r="V1099" s="76"/>
    </row>
    <row r="1100" spans="1:22" s="7" customFormat="1" ht="9" customHeight="1" x14ac:dyDescent="0.2">
      <c r="A1100" s="267"/>
      <c r="B1100" s="267"/>
      <c r="C1100" s="45"/>
      <c r="D1100" s="45"/>
      <c r="E1100" s="54"/>
      <c r="F1100" s="54"/>
      <c r="G1100" s="54"/>
      <c r="H1100" s="54"/>
      <c r="I1100" s="54"/>
      <c r="J1100" s="54"/>
      <c r="K1100" s="54"/>
      <c r="L1100" s="54"/>
      <c r="M1100" s="39"/>
      <c r="N1100" s="54"/>
      <c r="O1100" s="54"/>
      <c r="P1100" s="54"/>
      <c r="Q1100" s="54"/>
      <c r="R1100" s="54"/>
      <c r="S1100" s="75"/>
      <c r="T1100" s="75"/>
      <c r="U1100" s="75"/>
      <c r="V1100" s="76"/>
    </row>
    <row r="1101" spans="1:22" s="7" customFormat="1" ht="9" customHeight="1" x14ac:dyDescent="0.2">
      <c r="A1101" s="267"/>
      <c r="B1101" s="267"/>
      <c r="C1101" s="45"/>
      <c r="D1101" s="45"/>
      <c r="E1101" s="54"/>
      <c r="F1101" s="54"/>
      <c r="G1101" s="54"/>
      <c r="H1101" s="54"/>
      <c r="I1101" s="54"/>
      <c r="J1101" s="54"/>
      <c r="K1101" s="54"/>
      <c r="L1101" s="54"/>
      <c r="M1101" s="39"/>
      <c r="N1101" s="54"/>
      <c r="O1101" s="54"/>
      <c r="P1101" s="54"/>
      <c r="Q1101" s="54"/>
      <c r="R1101" s="54"/>
      <c r="S1101" s="75"/>
      <c r="T1101" s="75"/>
      <c r="U1101" s="75"/>
      <c r="V1101" s="76"/>
    </row>
    <row r="1102" spans="1:22" s="7" customFormat="1" ht="9" customHeight="1" x14ac:dyDescent="0.2">
      <c r="A1102" s="267"/>
      <c r="B1102" s="267"/>
      <c r="C1102" s="45"/>
      <c r="D1102" s="45"/>
      <c r="E1102" s="54"/>
      <c r="F1102" s="54"/>
      <c r="G1102" s="54"/>
      <c r="H1102" s="54"/>
      <c r="I1102" s="54"/>
      <c r="J1102" s="54"/>
      <c r="K1102" s="54"/>
      <c r="L1102" s="54"/>
      <c r="M1102" s="39"/>
      <c r="N1102" s="54"/>
      <c r="O1102" s="54"/>
      <c r="P1102" s="54"/>
      <c r="Q1102" s="54"/>
      <c r="R1102" s="54"/>
      <c r="S1102" s="75"/>
      <c r="T1102" s="75"/>
      <c r="U1102" s="75"/>
      <c r="V1102" s="76"/>
    </row>
    <row r="1103" spans="1:22" s="7" customFormat="1" ht="9" customHeight="1" x14ac:dyDescent="0.2">
      <c r="A1103" s="267"/>
      <c r="B1103" s="267"/>
      <c r="C1103" s="45"/>
      <c r="D1103" s="45"/>
      <c r="E1103" s="54"/>
      <c r="F1103" s="54"/>
      <c r="G1103" s="54"/>
      <c r="H1103" s="54"/>
      <c r="I1103" s="54"/>
      <c r="J1103" s="54"/>
      <c r="K1103" s="54"/>
      <c r="L1103" s="54"/>
      <c r="M1103" s="39"/>
      <c r="N1103" s="54"/>
      <c r="O1103" s="54"/>
      <c r="P1103" s="54"/>
      <c r="Q1103" s="54"/>
      <c r="R1103" s="54"/>
      <c r="S1103" s="75"/>
      <c r="T1103" s="75"/>
      <c r="U1103" s="75"/>
      <c r="V1103" s="76"/>
    </row>
    <row r="1104" spans="1:22" s="7" customFormat="1" ht="9" customHeight="1" x14ac:dyDescent="0.2">
      <c r="A1104" s="267"/>
      <c r="B1104" s="267"/>
      <c r="C1104" s="45"/>
      <c r="D1104" s="45"/>
      <c r="E1104" s="54"/>
      <c r="F1104" s="54"/>
      <c r="G1104" s="54"/>
      <c r="H1104" s="54"/>
      <c r="I1104" s="54"/>
      <c r="J1104" s="54"/>
      <c r="K1104" s="54"/>
      <c r="L1104" s="54"/>
      <c r="M1104" s="39"/>
      <c r="N1104" s="54"/>
      <c r="O1104" s="54"/>
      <c r="P1104" s="54"/>
      <c r="Q1104" s="54"/>
      <c r="R1104" s="54"/>
      <c r="S1104" s="75"/>
      <c r="T1104" s="75"/>
      <c r="U1104" s="75"/>
      <c r="V1104" s="76"/>
    </row>
    <row r="1105" spans="1:22" s="7" customFormat="1" ht="9" customHeight="1" x14ac:dyDescent="0.2">
      <c r="A1105" s="267"/>
      <c r="B1105" s="267"/>
      <c r="C1105" s="45"/>
      <c r="D1105" s="45"/>
      <c r="E1105" s="54"/>
      <c r="F1105" s="54"/>
      <c r="G1105" s="54"/>
      <c r="H1105" s="54"/>
      <c r="I1105" s="54"/>
      <c r="J1105" s="54"/>
      <c r="K1105" s="54"/>
      <c r="L1105" s="54"/>
      <c r="M1105" s="39"/>
      <c r="N1105" s="54"/>
      <c r="O1105" s="54"/>
      <c r="P1105" s="54"/>
      <c r="Q1105" s="54"/>
      <c r="R1105" s="54"/>
      <c r="S1105" s="75"/>
      <c r="T1105" s="75"/>
      <c r="U1105" s="75"/>
      <c r="V1105" s="76"/>
    </row>
    <row r="1106" spans="1:22" s="7" customFormat="1" ht="9" customHeight="1" x14ac:dyDescent="0.2">
      <c r="A1106" s="267"/>
      <c r="B1106" s="267"/>
      <c r="C1106" s="45"/>
      <c r="D1106" s="45"/>
      <c r="E1106" s="54"/>
      <c r="F1106" s="54"/>
      <c r="G1106" s="54"/>
      <c r="H1106" s="54"/>
      <c r="I1106" s="54"/>
      <c r="J1106" s="54"/>
      <c r="K1106" s="54"/>
      <c r="L1106" s="54"/>
      <c r="M1106" s="39"/>
      <c r="N1106" s="54"/>
      <c r="O1106" s="54"/>
      <c r="P1106" s="54"/>
      <c r="Q1106" s="54"/>
      <c r="R1106" s="54"/>
      <c r="S1106" s="75"/>
      <c r="T1106" s="75"/>
      <c r="U1106" s="75"/>
      <c r="V1106" s="76"/>
    </row>
    <row r="1107" spans="1:22" s="7" customFormat="1" ht="9" customHeight="1" x14ac:dyDescent="0.2">
      <c r="A1107" s="267"/>
      <c r="B1107" s="267"/>
      <c r="C1107" s="45"/>
      <c r="D1107" s="45"/>
      <c r="E1107" s="54"/>
      <c r="F1107" s="54"/>
      <c r="G1107" s="54"/>
      <c r="H1107" s="54"/>
      <c r="I1107" s="54"/>
      <c r="J1107" s="54"/>
      <c r="K1107" s="54"/>
      <c r="L1107" s="54"/>
      <c r="M1107" s="39"/>
      <c r="N1107" s="54"/>
      <c r="O1107" s="54"/>
      <c r="P1107" s="54"/>
      <c r="Q1107" s="54"/>
      <c r="R1107" s="54"/>
      <c r="S1107" s="75"/>
      <c r="T1107" s="75"/>
      <c r="U1107" s="75"/>
      <c r="V1107" s="76"/>
    </row>
    <row r="1108" spans="1:22" s="7" customFormat="1" ht="9" customHeight="1" x14ac:dyDescent="0.2">
      <c r="A1108" s="267"/>
      <c r="B1108" s="267"/>
      <c r="C1108" s="45"/>
      <c r="D1108" s="45"/>
      <c r="E1108" s="54"/>
      <c r="F1108" s="54"/>
      <c r="G1108" s="54"/>
      <c r="H1108" s="54"/>
      <c r="I1108" s="54"/>
      <c r="J1108" s="54"/>
      <c r="K1108" s="54"/>
      <c r="L1108" s="54"/>
      <c r="M1108" s="39"/>
      <c r="N1108" s="54"/>
      <c r="O1108" s="54"/>
      <c r="P1108" s="54"/>
      <c r="Q1108" s="54"/>
      <c r="R1108" s="54"/>
      <c r="S1108" s="75"/>
      <c r="T1108" s="75"/>
      <c r="U1108" s="75"/>
      <c r="V1108" s="76"/>
    </row>
    <row r="1109" spans="1:22" s="7" customFormat="1" ht="9" customHeight="1" x14ac:dyDescent="0.2">
      <c r="A1109" s="267"/>
      <c r="B1109" s="267"/>
      <c r="C1109" s="45"/>
      <c r="D1109" s="45"/>
      <c r="E1109" s="54"/>
      <c r="F1109" s="54"/>
      <c r="G1109" s="54"/>
      <c r="H1109" s="54"/>
      <c r="I1109" s="54"/>
      <c r="J1109" s="54"/>
      <c r="K1109" s="54"/>
      <c r="L1109" s="54"/>
      <c r="M1109" s="39"/>
      <c r="N1109" s="54"/>
      <c r="O1109" s="54"/>
      <c r="P1109" s="54"/>
      <c r="Q1109" s="54"/>
      <c r="R1109" s="54"/>
      <c r="S1109" s="75"/>
      <c r="T1109" s="75"/>
      <c r="U1109" s="75"/>
      <c r="V1109" s="76"/>
    </row>
    <row r="1110" spans="1:22" s="7" customFormat="1" ht="9" customHeight="1" x14ac:dyDescent="0.2">
      <c r="A1110" s="267"/>
      <c r="B1110" s="267"/>
      <c r="C1110" s="45"/>
      <c r="D1110" s="45"/>
      <c r="E1110" s="54"/>
      <c r="F1110" s="54"/>
      <c r="G1110" s="54"/>
      <c r="H1110" s="54"/>
      <c r="I1110" s="54"/>
      <c r="J1110" s="54"/>
      <c r="K1110" s="54"/>
      <c r="L1110" s="54"/>
      <c r="M1110" s="39"/>
      <c r="N1110" s="54"/>
      <c r="O1110" s="54"/>
      <c r="P1110" s="54"/>
      <c r="Q1110" s="54"/>
      <c r="R1110" s="54"/>
      <c r="S1110" s="75"/>
      <c r="T1110" s="75"/>
      <c r="U1110" s="75"/>
      <c r="V1110" s="76"/>
    </row>
    <row r="1111" spans="1:22" s="7" customFormat="1" ht="9" customHeight="1" x14ac:dyDescent="0.2">
      <c r="A1111" s="267"/>
      <c r="B1111" s="267"/>
      <c r="C1111" s="45"/>
      <c r="D1111" s="45"/>
      <c r="E1111" s="54"/>
      <c r="F1111" s="54"/>
      <c r="G1111" s="54"/>
      <c r="H1111" s="54"/>
      <c r="I1111" s="54"/>
      <c r="J1111" s="54"/>
      <c r="K1111" s="54"/>
      <c r="L1111" s="54"/>
      <c r="M1111" s="39"/>
      <c r="N1111" s="54"/>
      <c r="O1111" s="54"/>
      <c r="P1111" s="54"/>
      <c r="Q1111" s="54"/>
      <c r="R1111" s="54"/>
      <c r="S1111" s="75"/>
      <c r="T1111" s="75"/>
      <c r="U1111" s="75"/>
      <c r="V1111" s="76"/>
    </row>
    <row r="1112" spans="1:22" s="7" customFormat="1" ht="9" customHeight="1" x14ac:dyDescent="0.2">
      <c r="A1112" s="267"/>
      <c r="B1112" s="267"/>
      <c r="C1112" s="45"/>
      <c r="D1112" s="45"/>
      <c r="E1112" s="54"/>
      <c r="F1112" s="54"/>
      <c r="G1112" s="54"/>
      <c r="H1112" s="54"/>
      <c r="I1112" s="54"/>
      <c r="J1112" s="54"/>
      <c r="K1112" s="54"/>
      <c r="L1112" s="54"/>
      <c r="M1112" s="39"/>
      <c r="N1112" s="54"/>
      <c r="O1112" s="54"/>
      <c r="P1112" s="54"/>
      <c r="Q1112" s="54"/>
      <c r="R1112" s="54"/>
      <c r="S1112" s="75"/>
      <c r="T1112" s="75"/>
      <c r="U1112" s="75"/>
      <c r="V1112" s="76"/>
    </row>
    <row r="1113" spans="1:22" s="7" customFormat="1" ht="9" customHeight="1" x14ac:dyDescent="0.2">
      <c r="A1113" s="267"/>
      <c r="B1113" s="267"/>
      <c r="C1113" s="45"/>
      <c r="D1113" s="45"/>
      <c r="E1113" s="54"/>
      <c r="F1113" s="54"/>
      <c r="G1113" s="54"/>
      <c r="H1113" s="54"/>
      <c r="I1113" s="54"/>
      <c r="J1113" s="54"/>
      <c r="K1113" s="54"/>
      <c r="L1113" s="54"/>
      <c r="M1113" s="39"/>
      <c r="N1113" s="54"/>
      <c r="O1113" s="54"/>
      <c r="P1113" s="54"/>
      <c r="Q1113" s="54"/>
      <c r="R1113" s="54"/>
      <c r="S1113" s="75"/>
      <c r="T1113" s="75"/>
      <c r="U1113" s="75"/>
      <c r="V1113" s="76"/>
    </row>
    <row r="1114" spans="1:22" s="7" customFormat="1" ht="9" customHeight="1" x14ac:dyDescent="0.2">
      <c r="A1114" s="267"/>
      <c r="B1114" s="267"/>
      <c r="C1114" s="45"/>
      <c r="D1114" s="45"/>
      <c r="E1114" s="54"/>
      <c r="F1114" s="54"/>
      <c r="G1114" s="54"/>
      <c r="H1114" s="54"/>
      <c r="I1114" s="54"/>
      <c r="J1114" s="54"/>
      <c r="K1114" s="54"/>
      <c r="L1114" s="54"/>
      <c r="M1114" s="39"/>
      <c r="N1114" s="54"/>
      <c r="O1114" s="54"/>
      <c r="P1114" s="54"/>
      <c r="Q1114" s="54"/>
      <c r="R1114" s="54"/>
      <c r="S1114" s="75"/>
      <c r="T1114" s="75"/>
      <c r="U1114" s="75"/>
      <c r="V1114" s="76"/>
    </row>
    <row r="1115" spans="1:22" s="7" customFormat="1" ht="9" customHeight="1" x14ac:dyDescent="0.2">
      <c r="A1115" s="267"/>
      <c r="B1115" s="267"/>
      <c r="C1115" s="45"/>
      <c r="D1115" s="45"/>
      <c r="E1115" s="54"/>
      <c r="F1115" s="54"/>
      <c r="G1115" s="54"/>
      <c r="H1115" s="54"/>
      <c r="I1115" s="54"/>
      <c r="J1115" s="54"/>
      <c r="K1115" s="54"/>
      <c r="L1115" s="54"/>
      <c r="M1115" s="39"/>
      <c r="N1115" s="54"/>
      <c r="O1115" s="54"/>
      <c r="P1115" s="54"/>
      <c r="Q1115" s="54"/>
      <c r="R1115" s="54"/>
      <c r="S1115" s="75"/>
      <c r="T1115" s="75"/>
      <c r="U1115" s="75"/>
      <c r="V1115" s="76"/>
    </row>
    <row r="1116" spans="1:22" s="7" customFormat="1" ht="9" customHeight="1" x14ac:dyDescent="0.2">
      <c r="A1116" s="267"/>
      <c r="B1116" s="267"/>
      <c r="C1116" s="45"/>
      <c r="D1116" s="45"/>
      <c r="E1116" s="54"/>
      <c r="F1116" s="54"/>
      <c r="G1116" s="54"/>
      <c r="H1116" s="54"/>
      <c r="I1116" s="54"/>
      <c r="J1116" s="54"/>
      <c r="K1116" s="54"/>
      <c r="L1116" s="54"/>
      <c r="M1116" s="39"/>
      <c r="N1116" s="54"/>
      <c r="O1116" s="54"/>
      <c r="P1116" s="54"/>
      <c r="Q1116" s="54"/>
      <c r="R1116" s="54"/>
      <c r="S1116" s="75"/>
      <c r="T1116" s="75"/>
      <c r="U1116" s="75"/>
      <c r="V1116" s="76"/>
    </row>
    <row r="1117" spans="1:22" s="7" customFormat="1" ht="9" customHeight="1" x14ac:dyDescent="0.2">
      <c r="A1117" s="267"/>
      <c r="B1117" s="267"/>
      <c r="C1117" s="45"/>
      <c r="D1117" s="45"/>
      <c r="E1117" s="54"/>
      <c r="F1117" s="54"/>
      <c r="G1117" s="54"/>
      <c r="H1117" s="54"/>
      <c r="I1117" s="54"/>
      <c r="J1117" s="54"/>
      <c r="K1117" s="54"/>
      <c r="L1117" s="54"/>
      <c r="M1117" s="39"/>
      <c r="N1117" s="54"/>
      <c r="O1117" s="54"/>
      <c r="P1117" s="54"/>
      <c r="Q1117" s="54"/>
      <c r="R1117" s="54"/>
      <c r="S1117" s="75"/>
      <c r="T1117" s="75"/>
      <c r="U1117" s="75"/>
      <c r="V1117" s="76"/>
    </row>
    <row r="1118" spans="1:22" s="7" customFormat="1" ht="9" customHeight="1" x14ac:dyDescent="0.2">
      <c r="A1118" s="267"/>
      <c r="B1118" s="267"/>
      <c r="C1118" s="45"/>
      <c r="D1118" s="45"/>
      <c r="E1118" s="54"/>
      <c r="F1118" s="54"/>
      <c r="G1118" s="54"/>
      <c r="H1118" s="54"/>
      <c r="I1118" s="54"/>
      <c r="J1118" s="54"/>
      <c r="K1118" s="54"/>
      <c r="L1118" s="54"/>
      <c r="M1118" s="39"/>
      <c r="N1118" s="54"/>
      <c r="O1118" s="54"/>
      <c r="P1118" s="54"/>
      <c r="Q1118" s="54"/>
      <c r="R1118" s="54"/>
      <c r="S1118" s="75"/>
      <c r="T1118" s="75"/>
      <c r="U1118" s="75"/>
      <c r="V1118" s="76"/>
    </row>
    <row r="1119" spans="1:22" s="7" customFormat="1" ht="9" customHeight="1" x14ac:dyDescent="0.2">
      <c r="A1119" s="267"/>
      <c r="B1119" s="267"/>
      <c r="C1119" s="45"/>
      <c r="D1119" s="45"/>
      <c r="E1119" s="54"/>
      <c r="F1119" s="54"/>
      <c r="G1119" s="54"/>
      <c r="H1119" s="54"/>
      <c r="I1119" s="54"/>
      <c r="J1119" s="54"/>
      <c r="K1119" s="54"/>
      <c r="L1119" s="54"/>
      <c r="M1119" s="39"/>
      <c r="N1119" s="54"/>
      <c r="O1119" s="54"/>
      <c r="P1119" s="54"/>
      <c r="Q1119" s="54"/>
      <c r="R1119" s="54"/>
      <c r="S1119" s="75"/>
      <c r="T1119" s="75"/>
      <c r="U1119" s="75"/>
      <c r="V1119" s="76"/>
    </row>
    <row r="1120" spans="1:22" s="7" customFormat="1" ht="9" customHeight="1" x14ac:dyDescent="0.2">
      <c r="A1120" s="267"/>
      <c r="B1120" s="267"/>
      <c r="C1120" s="45"/>
      <c r="D1120" s="45"/>
      <c r="E1120" s="54"/>
      <c r="F1120" s="54"/>
      <c r="G1120" s="54"/>
      <c r="H1120" s="54"/>
      <c r="I1120" s="54"/>
      <c r="J1120" s="54"/>
      <c r="K1120" s="54"/>
      <c r="L1120" s="54"/>
      <c r="M1120" s="39"/>
      <c r="N1120" s="54"/>
      <c r="O1120" s="54"/>
      <c r="P1120" s="54"/>
      <c r="Q1120" s="54"/>
      <c r="R1120" s="54"/>
      <c r="S1120" s="75"/>
      <c r="T1120" s="75"/>
      <c r="U1120" s="75"/>
      <c r="V1120" s="76"/>
    </row>
    <row r="1121" spans="1:22" s="7" customFormat="1" ht="9" customHeight="1" x14ac:dyDescent="0.2">
      <c r="A1121" s="267"/>
      <c r="B1121" s="267"/>
      <c r="C1121" s="45"/>
      <c r="D1121" s="45"/>
      <c r="E1121" s="54"/>
      <c r="F1121" s="54"/>
      <c r="G1121" s="54"/>
      <c r="H1121" s="54"/>
      <c r="I1121" s="54"/>
      <c r="J1121" s="54"/>
      <c r="K1121" s="54"/>
      <c r="L1121" s="54"/>
      <c r="M1121" s="39"/>
      <c r="N1121" s="54"/>
      <c r="O1121" s="54"/>
      <c r="P1121" s="54"/>
      <c r="Q1121" s="54"/>
      <c r="R1121" s="54"/>
      <c r="S1121" s="75"/>
      <c r="T1121" s="75"/>
      <c r="U1121" s="75"/>
      <c r="V1121" s="76"/>
    </row>
    <row r="1122" spans="1:22" s="7" customFormat="1" ht="9" customHeight="1" x14ac:dyDescent="0.2">
      <c r="A1122" s="267"/>
      <c r="B1122" s="267"/>
      <c r="C1122" s="45"/>
      <c r="D1122" s="45"/>
      <c r="E1122" s="54"/>
      <c r="F1122" s="54"/>
      <c r="G1122" s="54"/>
      <c r="H1122" s="54"/>
      <c r="I1122" s="54"/>
      <c r="J1122" s="54"/>
      <c r="K1122" s="54"/>
      <c r="L1122" s="54"/>
      <c r="M1122" s="39"/>
      <c r="N1122" s="54"/>
      <c r="O1122" s="54"/>
      <c r="P1122" s="54"/>
      <c r="Q1122" s="54"/>
      <c r="R1122" s="54"/>
      <c r="S1122" s="75"/>
      <c r="T1122" s="75"/>
      <c r="U1122" s="75"/>
      <c r="V1122" s="76"/>
    </row>
    <row r="1123" spans="1:22" s="7" customFormat="1" ht="9" customHeight="1" x14ac:dyDescent="0.2">
      <c r="A1123" s="267"/>
      <c r="B1123" s="267"/>
      <c r="C1123" s="45"/>
      <c r="D1123" s="45"/>
      <c r="E1123" s="54"/>
      <c r="F1123" s="54"/>
      <c r="G1123" s="54"/>
      <c r="H1123" s="54"/>
      <c r="I1123" s="54"/>
      <c r="J1123" s="54"/>
      <c r="K1123" s="54"/>
      <c r="L1123" s="54"/>
      <c r="M1123" s="39"/>
      <c r="N1123" s="54"/>
      <c r="O1123" s="54"/>
      <c r="P1123" s="54"/>
      <c r="Q1123" s="54"/>
      <c r="R1123" s="54"/>
      <c r="S1123" s="75"/>
      <c r="T1123" s="75"/>
      <c r="U1123" s="75"/>
      <c r="V1123" s="76"/>
    </row>
    <row r="1124" spans="1:22" s="7" customFormat="1" ht="9" customHeight="1" x14ac:dyDescent="0.2">
      <c r="A1124" s="267"/>
      <c r="B1124" s="267"/>
      <c r="C1124" s="45"/>
      <c r="D1124" s="45"/>
      <c r="E1124" s="54"/>
      <c r="F1124" s="54"/>
      <c r="G1124" s="54"/>
      <c r="H1124" s="54"/>
      <c r="I1124" s="54"/>
      <c r="J1124" s="54"/>
      <c r="K1124" s="54"/>
      <c r="L1124" s="54"/>
      <c r="M1124" s="39"/>
      <c r="N1124" s="54"/>
      <c r="O1124" s="54"/>
      <c r="P1124" s="54"/>
      <c r="Q1124" s="54"/>
      <c r="R1124" s="54"/>
      <c r="S1124" s="75"/>
      <c r="T1124" s="75"/>
      <c r="U1124" s="75"/>
      <c r="V1124" s="76"/>
    </row>
    <row r="1125" spans="1:22" s="7" customFormat="1" ht="9" customHeight="1" x14ac:dyDescent="0.2">
      <c r="A1125" s="267"/>
      <c r="B1125" s="267"/>
      <c r="C1125" s="45"/>
      <c r="D1125" s="45"/>
      <c r="E1125" s="54"/>
      <c r="F1125" s="54"/>
      <c r="G1125" s="54"/>
      <c r="H1125" s="54"/>
      <c r="I1125" s="54"/>
      <c r="J1125" s="54"/>
      <c r="K1125" s="54"/>
      <c r="L1125" s="54"/>
      <c r="M1125" s="39"/>
      <c r="N1125" s="54"/>
      <c r="O1125" s="54"/>
      <c r="P1125" s="54"/>
      <c r="Q1125" s="54"/>
      <c r="R1125" s="54"/>
      <c r="S1125" s="75"/>
      <c r="T1125" s="75"/>
      <c r="U1125" s="75"/>
      <c r="V1125" s="76"/>
    </row>
    <row r="1126" spans="1:22" s="7" customFormat="1" ht="9" customHeight="1" x14ac:dyDescent="0.2">
      <c r="A1126" s="267"/>
      <c r="B1126" s="267"/>
      <c r="C1126" s="45"/>
      <c r="D1126" s="45"/>
      <c r="E1126" s="54"/>
      <c r="F1126" s="54"/>
      <c r="G1126" s="54"/>
      <c r="H1126" s="54"/>
      <c r="I1126" s="54"/>
      <c r="J1126" s="54"/>
      <c r="K1126" s="54"/>
      <c r="L1126" s="54"/>
      <c r="M1126" s="39"/>
      <c r="N1126" s="54"/>
      <c r="O1126" s="54"/>
      <c r="P1126" s="54"/>
      <c r="Q1126" s="54"/>
      <c r="R1126" s="54"/>
      <c r="S1126" s="75"/>
      <c r="T1126" s="75"/>
      <c r="U1126" s="75"/>
      <c r="V1126" s="76"/>
    </row>
    <row r="1127" spans="1:22" s="7" customFormat="1" ht="9" customHeight="1" x14ac:dyDescent="0.2">
      <c r="A1127" s="267"/>
      <c r="B1127" s="267"/>
      <c r="C1127" s="45"/>
      <c r="D1127" s="45"/>
      <c r="E1127" s="54"/>
      <c r="F1127" s="54"/>
      <c r="G1127" s="54"/>
      <c r="H1127" s="54"/>
      <c r="I1127" s="54"/>
      <c r="J1127" s="54"/>
      <c r="K1127" s="54"/>
      <c r="L1127" s="54"/>
      <c r="M1127" s="39"/>
      <c r="N1127" s="54"/>
      <c r="O1127" s="54"/>
      <c r="P1127" s="54"/>
      <c r="Q1127" s="54"/>
      <c r="R1127" s="54"/>
      <c r="S1127" s="75"/>
      <c r="T1127" s="75"/>
      <c r="U1127" s="75"/>
      <c r="V1127" s="76"/>
    </row>
    <row r="1128" spans="1:22" s="7" customFormat="1" ht="9" customHeight="1" x14ac:dyDescent="0.2">
      <c r="A1128" s="267"/>
      <c r="B1128" s="267"/>
      <c r="C1128" s="45"/>
      <c r="D1128" s="45"/>
      <c r="E1128" s="54"/>
      <c r="F1128" s="54"/>
      <c r="G1128" s="54"/>
      <c r="H1128" s="54"/>
      <c r="I1128" s="54"/>
      <c r="J1128" s="54"/>
      <c r="K1128" s="54"/>
      <c r="L1128" s="54"/>
      <c r="M1128" s="39"/>
      <c r="N1128" s="54"/>
      <c r="O1128" s="54"/>
      <c r="P1128" s="54"/>
      <c r="Q1128" s="54"/>
      <c r="R1128" s="54"/>
      <c r="S1128" s="75"/>
      <c r="T1128" s="75"/>
      <c r="U1128" s="75"/>
      <c r="V1128" s="76"/>
    </row>
    <row r="1129" spans="1:22" s="7" customFormat="1" ht="9" customHeight="1" x14ac:dyDescent="0.2">
      <c r="A1129" s="267"/>
      <c r="B1129" s="267"/>
      <c r="C1129" s="45"/>
      <c r="D1129" s="45"/>
      <c r="E1129" s="54"/>
      <c r="F1129" s="54"/>
      <c r="G1129" s="54"/>
      <c r="H1129" s="54"/>
      <c r="I1129" s="54"/>
      <c r="J1129" s="54"/>
      <c r="K1129" s="54"/>
      <c r="L1129" s="54"/>
      <c r="M1129" s="39"/>
      <c r="N1129" s="54"/>
      <c r="O1129" s="54"/>
      <c r="P1129" s="54"/>
      <c r="Q1129" s="54"/>
      <c r="R1129" s="54"/>
      <c r="S1129" s="75"/>
      <c r="T1129" s="75"/>
      <c r="U1129" s="75"/>
      <c r="V1129" s="76"/>
    </row>
    <row r="1130" spans="1:22" s="7" customFormat="1" ht="9" customHeight="1" x14ac:dyDescent="0.2">
      <c r="A1130" s="267"/>
      <c r="B1130" s="267"/>
      <c r="C1130" s="45"/>
      <c r="D1130" s="45"/>
      <c r="E1130" s="54"/>
      <c r="F1130" s="54"/>
      <c r="G1130" s="54"/>
      <c r="H1130" s="54"/>
      <c r="I1130" s="54"/>
      <c r="J1130" s="54"/>
      <c r="K1130" s="54"/>
      <c r="L1130" s="54"/>
      <c r="M1130" s="39"/>
      <c r="N1130" s="54"/>
      <c r="O1130" s="54"/>
      <c r="P1130" s="54"/>
      <c r="Q1130" s="54"/>
      <c r="R1130" s="54"/>
      <c r="S1130" s="75"/>
      <c r="T1130" s="75"/>
      <c r="U1130" s="75"/>
      <c r="V1130" s="76"/>
    </row>
    <row r="1131" spans="1:22" s="7" customFormat="1" ht="9" customHeight="1" x14ac:dyDescent="0.2">
      <c r="A1131" s="267"/>
      <c r="B1131" s="267"/>
      <c r="C1131" s="45"/>
      <c r="D1131" s="45"/>
      <c r="E1131" s="54"/>
      <c r="F1131" s="54"/>
      <c r="G1131" s="54"/>
      <c r="H1131" s="54"/>
      <c r="I1131" s="54"/>
      <c r="J1131" s="54"/>
      <c r="K1131" s="54"/>
      <c r="L1131" s="54"/>
      <c r="M1131" s="39"/>
      <c r="N1131" s="54"/>
      <c r="O1131" s="54"/>
      <c r="P1131" s="54"/>
      <c r="Q1131" s="54"/>
      <c r="R1131" s="54"/>
      <c r="S1131" s="75"/>
      <c r="T1131" s="75"/>
      <c r="U1131" s="75"/>
      <c r="V1131" s="76"/>
    </row>
    <row r="1132" spans="1:22" s="7" customFormat="1" ht="9" customHeight="1" x14ac:dyDescent="0.2">
      <c r="A1132" s="267"/>
      <c r="B1132" s="267"/>
      <c r="C1132" s="45"/>
      <c r="D1132" s="45"/>
      <c r="E1132" s="54"/>
      <c r="F1132" s="54"/>
      <c r="G1132" s="54"/>
      <c r="H1132" s="54"/>
      <c r="I1132" s="54"/>
      <c r="J1132" s="54"/>
      <c r="K1132" s="54"/>
      <c r="L1132" s="54"/>
      <c r="M1132" s="39"/>
      <c r="N1132" s="54"/>
      <c r="O1132" s="54"/>
      <c r="P1132" s="54"/>
      <c r="Q1132" s="54"/>
      <c r="R1132" s="54"/>
      <c r="S1132" s="75"/>
      <c r="T1132" s="75"/>
      <c r="U1132" s="75"/>
      <c r="V1132" s="76"/>
    </row>
    <row r="1133" spans="1:22" s="7" customFormat="1" ht="9" customHeight="1" x14ac:dyDescent="0.2">
      <c r="A1133" s="267"/>
      <c r="B1133" s="267"/>
      <c r="C1133" s="45"/>
      <c r="D1133" s="45"/>
      <c r="E1133" s="54"/>
      <c r="F1133" s="54"/>
      <c r="G1133" s="54"/>
      <c r="H1133" s="54"/>
      <c r="I1133" s="54"/>
      <c r="J1133" s="54"/>
      <c r="K1133" s="54"/>
      <c r="L1133" s="54"/>
      <c r="M1133" s="39"/>
      <c r="N1133" s="54"/>
      <c r="O1133" s="54"/>
      <c r="P1133" s="54"/>
      <c r="Q1133" s="54"/>
      <c r="R1133" s="54"/>
      <c r="S1133" s="75"/>
      <c r="T1133" s="75"/>
      <c r="U1133" s="75"/>
      <c r="V1133" s="76"/>
    </row>
    <row r="1134" spans="1:22" s="7" customFormat="1" ht="9" customHeight="1" x14ac:dyDescent="0.2">
      <c r="A1134" s="267"/>
      <c r="B1134" s="267"/>
      <c r="C1134" s="45"/>
      <c r="D1134" s="45"/>
      <c r="E1134" s="54"/>
      <c r="F1134" s="54"/>
      <c r="G1134" s="54"/>
      <c r="H1134" s="54"/>
      <c r="I1134" s="54"/>
      <c r="J1134" s="54"/>
      <c r="K1134" s="54"/>
      <c r="L1134" s="54"/>
      <c r="M1134" s="39"/>
      <c r="N1134" s="54"/>
      <c r="O1134" s="54"/>
      <c r="P1134" s="54"/>
      <c r="Q1134" s="54"/>
      <c r="R1134" s="54"/>
      <c r="S1134" s="75"/>
      <c r="T1134" s="75"/>
      <c r="U1134" s="75"/>
      <c r="V1134" s="76"/>
    </row>
    <row r="1135" spans="1:22" s="7" customFormat="1" ht="9" customHeight="1" x14ac:dyDescent="0.2">
      <c r="A1135" s="267"/>
      <c r="B1135" s="267"/>
      <c r="C1135" s="45"/>
      <c r="D1135" s="45"/>
      <c r="E1135" s="54"/>
      <c r="F1135" s="54"/>
      <c r="G1135" s="54"/>
      <c r="H1135" s="54"/>
      <c r="I1135" s="54"/>
      <c r="J1135" s="54"/>
      <c r="K1135" s="54"/>
      <c r="L1135" s="54"/>
      <c r="M1135" s="39"/>
      <c r="N1135" s="54"/>
      <c r="O1135" s="54"/>
      <c r="P1135" s="54"/>
      <c r="Q1135" s="54"/>
      <c r="R1135" s="54"/>
      <c r="S1135" s="75"/>
      <c r="T1135" s="75"/>
      <c r="U1135" s="75"/>
      <c r="V1135" s="76"/>
    </row>
    <row r="1136" spans="1:22" s="7" customFormat="1" ht="9" customHeight="1" x14ac:dyDescent="0.2">
      <c r="A1136" s="77"/>
      <c r="B1136" s="77"/>
      <c r="C1136" s="45"/>
      <c r="D1136" s="45"/>
      <c r="E1136" s="54"/>
      <c r="F1136" s="54"/>
      <c r="G1136" s="54" t="s">
        <v>65</v>
      </c>
      <c r="H1136" s="54"/>
      <c r="I1136" s="54"/>
      <c r="J1136" s="54"/>
      <c r="K1136" s="54"/>
    </row>
    <row r="1137" spans="1:26" s="7" customFormat="1" ht="9" customHeight="1" x14ac:dyDescent="0.2">
      <c r="A1137" s="77"/>
      <c r="B1137" s="77"/>
      <c r="C1137" s="45"/>
      <c r="D1137" s="45"/>
      <c r="E1137" s="54"/>
      <c r="F1137" s="54"/>
      <c r="G1137" s="54"/>
      <c r="H1137" s="54"/>
      <c r="I1137" s="54"/>
      <c r="J1137" s="54"/>
      <c r="K1137" s="54"/>
    </row>
    <row r="1138" spans="1:26" s="7" customFormat="1" ht="9" customHeight="1" x14ac:dyDescent="0.2">
      <c r="A1138" s="77"/>
      <c r="B1138" s="77"/>
      <c r="C1138" s="45"/>
      <c r="D1138" s="45"/>
      <c r="E1138" s="54"/>
      <c r="F1138" s="54"/>
      <c r="G1138" s="54"/>
      <c r="H1138" s="54"/>
      <c r="I1138" s="54"/>
      <c r="J1138" s="54"/>
      <c r="K1138" s="54"/>
    </row>
    <row r="1139" spans="1:26" s="7" customFormat="1" ht="12.75" x14ac:dyDescent="0.2"/>
    <row r="1140" spans="1:26" s="7" customFormat="1" ht="24.75" customHeight="1" x14ac:dyDescent="0.2">
      <c r="B1140" s="78" t="s">
        <v>38</v>
      </c>
      <c r="C1140" s="79"/>
      <c r="D1140" s="79"/>
      <c r="E1140" s="79"/>
      <c r="F1140" s="79"/>
      <c r="G1140" s="79"/>
      <c r="H1140" s="79"/>
      <c r="I1140" s="79"/>
      <c r="J1140" s="80"/>
    </row>
    <row r="1141" spans="1:26" s="7" customFormat="1" ht="19.5" customHeight="1" x14ac:dyDescent="0.2">
      <c r="B1141" s="81" t="s">
        <v>5</v>
      </c>
      <c r="C1141" s="82"/>
      <c r="D1141" s="83"/>
      <c r="E1141" s="84">
        <v>36892</v>
      </c>
      <c r="F1141" s="84">
        <v>37257</v>
      </c>
      <c r="G1141" s="84">
        <v>37622</v>
      </c>
      <c r="H1141" s="84">
        <v>37987</v>
      </c>
      <c r="I1141" s="85">
        <v>38718</v>
      </c>
      <c r="J1141" s="86">
        <v>43160</v>
      </c>
      <c r="K1141" s="87">
        <v>44562</v>
      </c>
    </row>
    <row r="1142" spans="1:26" s="7" customFormat="1" ht="57.75" x14ac:dyDescent="0.2">
      <c r="B1142" s="88" t="s">
        <v>6</v>
      </c>
      <c r="C1142" s="89" t="s">
        <v>36</v>
      </c>
      <c r="D1142" s="90">
        <v>0</v>
      </c>
      <c r="E1142" s="59">
        <v>1338.6</v>
      </c>
      <c r="F1142" s="59">
        <v>1578.6</v>
      </c>
      <c r="G1142" s="59">
        <v>1710.6</v>
      </c>
      <c r="H1142" s="59">
        <v>1857.84</v>
      </c>
      <c r="I1142" s="59">
        <v>1968</v>
      </c>
      <c r="J1142" s="59">
        <v>2094</v>
      </c>
      <c r="K1142" s="7">
        <v>2214</v>
      </c>
    </row>
    <row r="1143" spans="1:26" s="7" customFormat="1" ht="12.75" x14ac:dyDescent="0.2">
      <c r="B1143" s="91"/>
      <c r="C1143" s="72" t="s">
        <v>37</v>
      </c>
      <c r="D1143" s="92">
        <v>14</v>
      </c>
      <c r="E1143" s="93">
        <v>2591891</v>
      </c>
      <c r="F1143" s="93">
        <v>3056596</v>
      </c>
      <c r="G1143" s="93">
        <v>3312183</v>
      </c>
      <c r="H1143" s="93">
        <v>3597280</v>
      </c>
      <c r="I1143" s="93">
        <v>3810579</v>
      </c>
      <c r="J1143" s="93">
        <v>4054549</v>
      </c>
    </row>
    <row r="1144" spans="1:26" s="7" customFormat="1" ht="12.75" x14ac:dyDescent="0.2">
      <c r="B1144" s="91"/>
      <c r="C1144" s="89" t="s">
        <v>36</v>
      </c>
      <c r="D1144" s="90">
        <v>15</v>
      </c>
      <c r="E1144" s="59">
        <v>1667.16</v>
      </c>
      <c r="F1144" s="59">
        <v>1955.16</v>
      </c>
      <c r="G1144" s="59">
        <v>2111.16</v>
      </c>
      <c r="H1144" s="59">
        <v>2287.8000000000002</v>
      </c>
      <c r="I1144" s="59">
        <v>2424</v>
      </c>
      <c r="J1144" s="59">
        <v>2577.6</v>
      </c>
      <c r="K1144" s="7">
        <v>2721.6</v>
      </c>
    </row>
    <row r="1145" spans="1:26" s="7" customFormat="1" ht="12.75" x14ac:dyDescent="0.2">
      <c r="B1145" s="91"/>
      <c r="C1145" s="72" t="s">
        <v>37</v>
      </c>
      <c r="D1145" s="92">
        <v>27</v>
      </c>
      <c r="E1145" s="93">
        <v>3228072</v>
      </c>
      <c r="F1145" s="93">
        <v>3785718</v>
      </c>
      <c r="G1145" s="93">
        <v>4087776</v>
      </c>
      <c r="H1145" s="93">
        <v>4429799</v>
      </c>
      <c r="I1145" s="93">
        <v>4693518</v>
      </c>
      <c r="J1145" s="93">
        <v>4990930</v>
      </c>
    </row>
    <row r="1146" spans="1:26" s="7" customFormat="1" ht="12.75" x14ac:dyDescent="0.2">
      <c r="B1146" s="91"/>
      <c r="C1146" s="89" t="s">
        <v>36</v>
      </c>
      <c r="D1146" s="90">
        <v>28</v>
      </c>
      <c r="E1146" s="59">
        <v>1865.4</v>
      </c>
      <c r="F1146" s="59">
        <v>2333.4</v>
      </c>
      <c r="G1146" s="59">
        <v>2585.4</v>
      </c>
      <c r="H1146" s="59">
        <v>2870.04</v>
      </c>
      <c r="I1146" s="59">
        <v>3090</v>
      </c>
      <c r="J1146" s="59">
        <v>3278.4</v>
      </c>
      <c r="K1146" s="7">
        <v>3458.4</v>
      </c>
    </row>
    <row r="1147" spans="1:26" s="7" customFormat="1" ht="12.75" x14ac:dyDescent="0.2">
      <c r="B1147" s="94"/>
      <c r="C1147" s="72" t="s">
        <v>37</v>
      </c>
      <c r="D1147" s="92"/>
      <c r="E1147" s="93">
        <v>3611918</v>
      </c>
      <c r="F1147" s="93">
        <v>4518092</v>
      </c>
      <c r="G1147" s="93">
        <v>5006032</v>
      </c>
      <c r="H1147" s="93">
        <v>5557172</v>
      </c>
      <c r="I1147" s="93">
        <v>5983074</v>
      </c>
      <c r="J1147" s="93">
        <v>6347868</v>
      </c>
    </row>
    <row r="1148" spans="1:26" s="7" customFormat="1" ht="12.75" x14ac:dyDescent="0.2">
      <c r="B1148" s="7" t="s">
        <v>39</v>
      </c>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row r="1345" spans="1:26" ht="12.75" customHeight="1"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row>
    <row r="1346" spans="1:26" ht="12.75" customHeight="1"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row>
    <row r="1347" spans="1:26" ht="12.75" customHeight="1"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row>
    <row r="1348" spans="1:26" ht="12.75" customHeight="1"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row>
    <row r="1349" spans="1:26" ht="12.75" customHeight="1"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row>
    <row r="1350" spans="1:26" ht="12.75" customHeight="1"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row>
    <row r="1351" spans="1:26" ht="12.75" customHeight="1"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row>
    <row r="1352" spans="1:26" ht="12.75" customHeight="1"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row>
    <row r="1353" spans="1:26" ht="12.75" customHeight="1" x14ac:dyDescent="0.2">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row>
    <row r="1354" spans="1:26" ht="12.75" customHeight="1" x14ac:dyDescent="0.2">
      <c r="A1354" s="7"/>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row>
    <row r="1355" spans="1:26" ht="12.75" customHeight="1" x14ac:dyDescent="0.2">
      <c r="A1355" s="7"/>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row>
    <row r="1356" spans="1:26" ht="12.75" customHeight="1" x14ac:dyDescent="0.2">
      <c r="A1356" s="7"/>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row>
    <row r="1357" spans="1:26" ht="12.75" customHeight="1" x14ac:dyDescent="0.2">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row>
    <row r="1358" spans="1:26" ht="12.75" customHeight="1" x14ac:dyDescent="0.2">
      <c r="A1358" s="7"/>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row>
    <row r="1359" spans="1:26" ht="12.75" customHeight="1" x14ac:dyDescent="0.2">
      <c r="A1359" s="7"/>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row>
    <row r="1360" spans="1:26" ht="12.75" customHeight="1" x14ac:dyDescent="0.2">
      <c r="A1360" s="7"/>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row>
    <row r="1361" spans="1:26" ht="12.75" customHeight="1" x14ac:dyDescent="0.2">
      <c r="A1361" s="7"/>
      <c r="B1361" s="7"/>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row>
    <row r="1362" spans="1:26" ht="12.75" customHeight="1" x14ac:dyDescent="0.2">
      <c r="A1362" s="7"/>
      <c r="B1362" s="7"/>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row>
    <row r="1363" spans="1:26" ht="12.75" customHeight="1" x14ac:dyDescent="0.2">
      <c r="A1363" s="7"/>
      <c r="B1363" s="7"/>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row>
    <row r="1364" spans="1:26" ht="12.75" customHeight="1" x14ac:dyDescent="0.2">
      <c r="A1364" s="7"/>
      <c r="B1364" s="7"/>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row>
    <row r="1365" spans="1:26" ht="12.75" customHeight="1" x14ac:dyDescent="0.2">
      <c r="A1365" s="7"/>
      <c r="B1365" s="7"/>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row>
    <row r="1366" spans="1:26" ht="12.75" customHeight="1" x14ac:dyDescent="0.2">
      <c r="A1366" s="7"/>
      <c r="B1366" s="7"/>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row>
    <row r="1367" spans="1:26" ht="12.75" customHeight="1" x14ac:dyDescent="0.2">
      <c r="A1367" s="7"/>
      <c r="B1367" s="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row>
    <row r="1368" spans="1:26" ht="12.75" customHeight="1" x14ac:dyDescent="0.2">
      <c r="A1368" s="7"/>
      <c r="B1368" s="7"/>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row>
    <row r="1369" spans="1:26" ht="12.75" customHeight="1" x14ac:dyDescent="0.2">
      <c r="A1369" s="7"/>
      <c r="B1369" s="7"/>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row>
    <row r="1370" spans="1:26" ht="12.75" customHeight="1" x14ac:dyDescent="0.2">
      <c r="A1370" s="7"/>
      <c r="B1370" s="7"/>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row>
    <row r="1371" spans="1:26" ht="12.75" customHeight="1" x14ac:dyDescent="0.2">
      <c r="A1371" s="7"/>
      <c r="B1371" s="7"/>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row>
    <row r="1372" spans="1:26" ht="12.75" customHeight="1" x14ac:dyDescent="0.2">
      <c r="A1372" s="7"/>
      <c r="B1372" s="7"/>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row>
  </sheetData>
  <mergeCells count="12">
    <mergeCell ref="A1020:A1021"/>
    <mergeCell ref="B1020:B1021"/>
    <mergeCell ref="A1022:A1031"/>
    <mergeCell ref="B1022:B1031"/>
    <mergeCell ref="A1040:A1041"/>
    <mergeCell ref="B1040:B1041"/>
    <mergeCell ref="A1042:A1051"/>
    <mergeCell ref="B1042:B1051"/>
    <mergeCell ref="A1060:A1061"/>
    <mergeCell ref="B1060:B1061"/>
    <mergeCell ref="A1062:A1071"/>
    <mergeCell ref="B1062:B1071"/>
  </mergeCells>
  <conditionalFormatting sqref="E900:E911">
    <cfRule type="cellIs" dxfId="400" priority="323" stopIfTrue="1" operator="equal">
      <formula>0</formula>
    </cfRule>
  </conditionalFormatting>
  <conditionalFormatting sqref="E920:E1091">
    <cfRule type="cellIs" dxfId="399" priority="17" stopIfTrue="1" operator="equal">
      <formula>0</formula>
    </cfRule>
  </conditionalFormatting>
  <conditionalFormatting sqref="E1092:R1135">
    <cfRule type="cellIs" dxfId="398" priority="181" stopIfTrue="1" operator="equal">
      <formula>0</formula>
    </cfRule>
  </conditionalFormatting>
  <conditionalFormatting sqref="F908:G908">
    <cfRule type="cellIs" dxfId="397" priority="250" stopIfTrue="1" operator="equal">
      <formula>0</formula>
    </cfRule>
  </conditionalFormatting>
  <conditionalFormatting sqref="F928:G928">
    <cfRule type="cellIs" dxfId="396" priority="243" stopIfTrue="1" operator="equal">
      <formula>0</formula>
    </cfRule>
  </conditionalFormatting>
  <conditionalFormatting sqref="F948:G948">
    <cfRule type="cellIs" dxfId="395" priority="245" stopIfTrue="1" operator="equal">
      <formula>0</formula>
    </cfRule>
  </conditionalFormatting>
  <conditionalFormatting sqref="F968:G968">
    <cfRule type="cellIs" dxfId="394" priority="246" stopIfTrue="1" operator="equal">
      <formula>0</formula>
    </cfRule>
  </conditionalFormatting>
  <conditionalFormatting sqref="F988:G988">
    <cfRule type="cellIs" dxfId="393" priority="247" stopIfTrue="1" operator="equal">
      <formula>0</formula>
    </cfRule>
  </conditionalFormatting>
  <conditionalFormatting sqref="F1008:G1008">
    <cfRule type="cellIs" dxfId="392" priority="213" stopIfTrue="1" operator="equal">
      <formula>0</formula>
    </cfRule>
  </conditionalFormatting>
  <conditionalFormatting sqref="F1020:G1027">
    <cfRule type="cellIs" dxfId="391" priority="4" stopIfTrue="1" operator="equal">
      <formula>0</formula>
    </cfRule>
  </conditionalFormatting>
  <conditionalFormatting sqref="F1028:G1028">
    <cfRule type="cellIs" dxfId="390" priority="182" stopIfTrue="1" operator="equal">
      <formula>0</formula>
    </cfRule>
  </conditionalFormatting>
  <conditionalFormatting sqref="F1040:G1047">
    <cfRule type="cellIs" dxfId="389" priority="3" stopIfTrue="1" operator="equal">
      <formula>0</formula>
    </cfRule>
  </conditionalFormatting>
  <conditionalFormatting sqref="F1048:G1048">
    <cfRule type="cellIs" dxfId="388" priority="98" stopIfTrue="1" operator="equal">
      <formula>0</formula>
    </cfRule>
  </conditionalFormatting>
  <conditionalFormatting sqref="F1049:G1051">
    <cfRule type="cellIs" dxfId="387" priority="127" stopIfTrue="1" operator="equal">
      <formula>0</formula>
    </cfRule>
  </conditionalFormatting>
  <conditionalFormatting sqref="F1060:G1067 F1069:G1071">
    <cfRule type="cellIs" dxfId="386" priority="89" stopIfTrue="1" operator="equal">
      <formula>0</formula>
    </cfRule>
  </conditionalFormatting>
  <conditionalFormatting sqref="F1068:G1068">
    <cfRule type="cellIs" dxfId="385" priority="60" stopIfTrue="1" operator="equal">
      <formula>0</formula>
    </cfRule>
  </conditionalFormatting>
  <conditionalFormatting sqref="F1088:G1088">
    <cfRule type="cellIs" dxfId="384" priority="22" stopIfTrue="1" operator="equal">
      <formula>0</formula>
    </cfRule>
  </conditionalFormatting>
  <conditionalFormatting sqref="F920:H927 H928 F929:H939">
    <cfRule type="cellIs" dxfId="383" priority="329" stopIfTrue="1" operator="equal">
      <formula>0</formula>
    </cfRule>
  </conditionalFormatting>
  <conditionalFormatting sqref="F952:H959 J952:O959 Q952:Q959">
    <cfRule type="cellIs" dxfId="382" priority="154" stopIfTrue="1" operator="equal">
      <formula>0</formula>
    </cfRule>
  </conditionalFormatting>
  <conditionalFormatting sqref="F972:H979 J972:O979">
    <cfRule type="cellIs" dxfId="381" priority="147" stopIfTrue="1" operator="equal">
      <formula>0</formula>
    </cfRule>
  </conditionalFormatting>
  <conditionalFormatting sqref="F992:H999 J992:O999">
    <cfRule type="cellIs" dxfId="380" priority="140" stopIfTrue="1" operator="equal">
      <formula>0</formula>
    </cfRule>
  </conditionalFormatting>
  <conditionalFormatting sqref="F1012:H1019 J1012:O1019">
    <cfRule type="cellIs" dxfId="379" priority="133" stopIfTrue="1" operator="equal">
      <formula>0</formula>
    </cfRule>
  </conditionalFormatting>
  <conditionalFormatting sqref="F1052:H1059 J1052:O1059">
    <cfRule type="cellIs" dxfId="378" priority="57" stopIfTrue="1" operator="equal">
      <formula>0</formula>
    </cfRule>
  </conditionalFormatting>
  <conditionalFormatting sqref="F1072:H1079 J1072:O1079">
    <cfRule type="cellIs" dxfId="377" priority="19" stopIfTrue="1" operator="equal">
      <formula>0</formula>
    </cfRule>
  </conditionalFormatting>
  <conditionalFormatting sqref="F1032:O1039">
    <cfRule type="cellIs" dxfId="376" priority="94" stopIfTrue="1" operator="equal">
      <formula>0</formula>
    </cfRule>
  </conditionalFormatting>
  <conditionalFormatting sqref="H960:H971">
    <cfRule type="cellIs" dxfId="375" priority="315" stopIfTrue="1" operator="equal">
      <formula>0</formula>
    </cfRule>
  </conditionalFormatting>
  <conditionalFormatting sqref="H980:H991">
    <cfRule type="cellIs" dxfId="374" priority="295" stopIfTrue="1" operator="equal">
      <formula>0</formula>
    </cfRule>
  </conditionalFormatting>
  <conditionalFormatting sqref="H1000:H1011">
    <cfRule type="cellIs" dxfId="373" priority="238" stopIfTrue="1" operator="equal">
      <formula>0</formula>
    </cfRule>
  </conditionalFormatting>
  <conditionalFormatting sqref="H1020:H1031">
    <cfRule type="cellIs" dxfId="372" priority="207" stopIfTrue="1" operator="equal">
      <formula>0</formula>
    </cfRule>
  </conditionalFormatting>
  <conditionalFormatting sqref="H1060:H1071">
    <cfRule type="cellIs" dxfId="371" priority="85" stopIfTrue="1" operator="equal">
      <formula>0</formula>
    </cfRule>
  </conditionalFormatting>
  <conditionalFormatting sqref="H1080:H1091">
    <cfRule type="cellIs" dxfId="370" priority="47" stopIfTrue="1" operator="equal">
      <formula>0</formula>
    </cfRule>
  </conditionalFormatting>
  <conditionalFormatting sqref="H1040:I1051">
    <cfRule type="cellIs" dxfId="369" priority="5" stopIfTrue="1" operator="equal">
      <formula>0</formula>
    </cfRule>
  </conditionalFormatting>
  <conditionalFormatting sqref="I952:I961">
    <cfRule type="cellIs" dxfId="368" priority="153" stopIfTrue="1" operator="equal">
      <formula>0</formula>
    </cfRule>
  </conditionalFormatting>
  <conditionalFormatting sqref="I972:I981">
    <cfRule type="cellIs" dxfId="367" priority="146" stopIfTrue="1" operator="equal">
      <formula>0</formula>
    </cfRule>
  </conditionalFormatting>
  <conditionalFormatting sqref="I992:I1001">
    <cfRule type="cellIs" dxfId="366" priority="139" stopIfTrue="1" operator="equal">
      <formula>0</formula>
    </cfRule>
  </conditionalFormatting>
  <conditionalFormatting sqref="I1012:I1021">
    <cfRule type="cellIs" dxfId="365" priority="132" stopIfTrue="1" operator="equal">
      <formula>0</formula>
    </cfRule>
  </conditionalFormatting>
  <conditionalFormatting sqref="I1052:I1053">
    <cfRule type="cellIs" dxfId="364" priority="12" stopIfTrue="1" operator="equal">
      <formula>0</formula>
    </cfRule>
  </conditionalFormatting>
  <conditionalFormatting sqref="I1060:I1081">
    <cfRule type="cellIs" dxfId="363" priority="1" stopIfTrue="1" operator="equal">
      <formula>0</formula>
    </cfRule>
  </conditionalFormatting>
  <conditionalFormatting sqref="I982:N991">
    <cfRule type="cellIs" dxfId="362" priority="280" stopIfTrue="1" operator="equal">
      <formula>0</formula>
    </cfRule>
  </conditionalFormatting>
  <conditionalFormatting sqref="I1002:N1011">
    <cfRule type="cellIs" dxfId="361" priority="223" stopIfTrue="1" operator="equal">
      <formula>0</formula>
    </cfRule>
  </conditionalFormatting>
  <conditionalFormatting sqref="I1022:N1031">
    <cfRule type="cellIs" dxfId="360" priority="192" stopIfTrue="1" operator="equal">
      <formula>0</formula>
    </cfRule>
  </conditionalFormatting>
  <conditionalFormatting sqref="I1082:N1091">
    <cfRule type="cellIs" dxfId="359" priority="32" stopIfTrue="1" operator="equal">
      <formula>0</formula>
    </cfRule>
  </conditionalFormatting>
  <conditionalFormatting sqref="I900:O911 I920:O939">
    <cfRule type="cellIs" dxfId="358" priority="325" stopIfTrue="1" operator="equal">
      <formula>0</formula>
    </cfRule>
  </conditionalFormatting>
  <conditionalFormatting sqref="I962:O971 O980:O991">
    <cfRule type="cellIs" dxfId="357" priority="279" stopIfTrue="1" operator="equal">
      <formula>0</formula>
    </cfRule>
  </conditionalFormatting>
  <conditionalFormatting sqref="J980:N981 F980:G987 F989:G991">
    <cfRule type="cellIs" dxfId="356" priority="299" stopIfTrue="1" operator="equal">
      <formula>0</formula>
    </cfRule>
  </conditionalFormatting>
  <conditionalFormatting sqref="J1000:N1001 F1000:G1007 F1009:G1011">
    <cfRule type="cellIs" dxfId="355" priority="242" stopIfTrue="1" operator="equal">
      <formula>0</formula>
    </cfRule>
  </conditionalFormatting>
  <conditionalFormatting sqref="J1020:N1021 F1029:G1031">
    <cfRule type="cellIs" dxfId="354" priority="211" stopIfTrue="1" operator="equal">
      <formula>0</formula>
    </cfRule>
  </conditionalFormatting>
  <conditionalFormatting sqref="J1080:N1081 F1080:G1087 F1089:G1091">
    <cfRule type="cellIs" dxfId="353" priority="51" stopIfTrue="1" operator="equal">
      <formula>0</formula>
    </cfRule>
  </conditionalFormatting>
  <conditionalFormatting sqref="J960:O961 F960:G967 F969:G971">
    <cfRule type="cellIs" dxfId="352" priority="320" stopIfTrue="1" operator="equal">
      <formula>0</formula>
    </cfRule>
  </conditionalFormatting>
  <conditionalFormatting sqref="J1040:O1051">
    <cfRule type="cellIs" dxfId="351" priority="107" stopIfTrue="1" operator="equal">
      <formula>0</formula>
    </cfRule>
  </conditionalFormatting>
  <conditionalFormatting sqref="J1060:O1071">
    <cfRule type="cellIs" dxfId="350" priority="69" stopIfTrue="1" operator="equal">
      <formula>0</formula>
    </cfRule>
  </conditionalFormatting>
  <conditionalFormatting sqref="N900:R900 N902:R902 N904:R904 N906:R906 N908:R908 N910:R910 N920:R920 N922:R922 N924:R924 N926:R926 N928:R928 N930:R930 N940:R940 N942:R942 N944:R944 N946:R946 N948:R948 N950:R950 N960:R960 N962:R962 N964:R964 N966:R966 N968:R968">
    <cfRule type="cellIs" dxfId="349" priority="277" stopIfTrue="1" operator="equal">
      <formula>0</formula>
    </cfRule>
  </conditionalFormatting>
  <conditionalFormatting sqref="N970:R970 N980:R980 N982:R982 N984:R984 N986:R986 N988:R988 N990:R990">
    <cfRule type="cellIs" dxfId="348" priority="257" stopIfTrue="1" operator="equal">
      <formula>0</formula>
    </cfRule>
  </conditionalFormatting>
  <conditionalFormatting sqref="N1000:R1000 N1002:R1002 N1004:R1004 N1006:R1006 N1008:R1008 N1010:R1010">
    <cfRule type="cellIs" dxfId="347" priority="220" stopIfTrue="1" operator="equal">
      <formula>0</formula>
    </cfRule>
  </conditionalFormatting>
  <conditionalFormatting sqref="N1020:R1020 N1022:R1022 N1024:R1024 N1026:R1026 N1028:R1028 N1030:R1030">
    <cfRule type="cellIs" dxfId="346" priority="189" stopIfTrue="1" operator="equal">
      <formula>0</formula>
    </cfRule>
  </conditionalFormatting>
  <conditionalFormatting sqref="N1040:R1040 N1042:R1042 N1044:R1044 N1046:R1046 N1048:R1048 N1050:R1050">
    <cfRule type="cellIs" dxfId="345" priority="105" stopIfTrue="1" operator="equal">
      <formula>0</formula>
    </cfRule>
  </conditionalFormatting>
  <conditionalFormatting sqref="N1060:R1060 N1062:R1062 N1064:R1064 N1066:R1066 N1068:R1068 N1070:R1070">
    <cfRule type="cellIs" dxfId="344" priority="67" stopIfTrue="1" operator="equal">
      <formula>0</formula>
    </cfRule>
  </conditionalFormatting>
  <conditionalFormatting sqref="N1080:R1080 N1082:R1082 N1084:R1084 N1086:R1086 N1088:R1088 N1090:R1090">
    <cfRule type="cellIs" dxfId="343" priority="29" stopIfTrue="1" operator="equal">
      <formula>0</formula>
    </cfRule>
  </conditionalFormatting>
  <conditionalFormatting sqref="O1000:O1011">
    <cfRule type="cellIs" dxfId="342" priority="222" stopIfTrue="1" operator="equal">
      <formula>0</formula>
    </cfRule>
  </conditionalFormatting>
  <conditionalFormatting sqref="O1020:O1031">
    <cfRule type="cellIs" dxfId="341" priority="191" stopIfTrue="1" operator="equal">
      <formula>0</formula>
    </cfRule>
  </conditionalFormatting>
  <conditionalFormatting sqref="O1080:O1091">
    <cfRule type="cellIs" dxfId="340" priority="31" stopIfTrue="1" operator="equal">
      <formula>0</formula>
    </cfRule>
  </conditionalFormatting>
  <conditionalFormatting sqref="P860 E860:E861 F860:O873 P862 P864 E864:E873 P866 P868 P870 P872 P880 E880:O891 P882 P884 P886 P888 P890">
    <cfRule type="cellIs" dxfId="339" priority="333" stopIfTrue="1" operator="equal">
      <formula>0</formula>
    </cfRule>
  </conditionalFormatting>
  <conditionalFormatting sqref="P960:Q962 P964:Q964 P966:Q966 P968:Q968 P970:Q970">
    <cfRule type="cellIs" dxfId="338" priority="309" stopIfTrue="1" operator="equal">
      <formula>0</formula>
    </cfRule>
  </conditionalFormatting>
  <conditionalFormatting sqref="P980:Q982 P984:Q984 P986:Q986 P988:Q988 P990:Q990">
    <cfRule type="cellIs" dxfId="337" priority="289" stopIfTrue="1" operator="equal">
      <formula>0</formula>
    </cfRule>
  </conditionalFormatting>
  <conditionalFormatting sqref="P1000:Q1002 P1004:Q1004 P1006:Q1006 P1008:Q1008 P1010:Q1010">
    <cfRule type="cellIs" dxfId="336" priority="232" stopIfTrue="1" operator="equal">
      <formula>0</formula>
    </cfRule>
  </conditionalFormatting>
  <conditionalFormatting sqref="P1020:Q1022 P1024:Q1024 P1026:Q1026 P1028:Q1028 P1030:Q1030">
    <cfRule type="cellIs" dxfId="335" priority="201" stopIfTrue="1" operator="equal">
      <formula>0</formula>
    </cfRule>
  </conditionalFormatting>
  <conditionalFormatting sqref="P1040:Q1042 P1044:Q1044 P1046:Q1046 P1048:Q1048 P1050:Q1050">
    <cfRule type="cellIs" dxfId="334" priority="117" stopIfTrue="1" operator="equal">
      <formula>0</formula>
    </cfRule>
  </conditionalFormatting>
  <conditionalFormatting sqref="P1060:Q1062 P1064:Q1064 P1066:Q1066 P1068:Q1068 P1070:Q1070">
    <cfRule type="cellIs" dxfId="333" priority="79" stopIfTrue="1" operator="equal">
      <formula>0</formula>
    </cfRule>
  </conditionalFormatting>
  <conditionalFormatting sqref="P1080:Q1082 P1084:Q1084 P1086:Q1086 P1088:Q1088 P1090:Q1090">
    <cfRule type="cellIs" dxfId="332" priority="41" stopIfTrue="1" operator="equal">
      <formula>0</formula>
    </cfRule>
  </conditionalFormatting>
  <conditionalFormatting sqref="P971:R971 R981 P983:R983 P985:R985 P987:R987 P989:R989 P991:R991">
    <cfRule type="cellIs" dxfId="331" priority="251" stopIfTrue="1" operator="equal">
      <formula>0</formula>
    </cfRule>
  </conditionalFormatting>
  <conditionalFormatting sqref="Q6:Q899">
    <cfRule type="cellIs" dxfId="330" priority="157" stopIfTrue="1" operator="equal">
      <formula>0</formula>
    </cfRule>
  </conditionalFormatting>
  <conditionalFormatting sqref="Q900:Q911 F900:H907 H908 F909:H911">
    <cfRule type="cellIs" dxfId="329" priority="331" stopIfTrue="1" operator="equal">
      <formula>0</formula>
    </cfRule>
  </conditionalFormatting>
  <conditionalFormatting sqref="Q912:Q919">
    <cfRule type="cellIs" dxfId="328" priority="156" stopIfTrue="1" operator="equal">
      <formula>0</formula>
    </cfRule>
  </conditionalFormatting>
  <conditionalFormatting sqref="Q920:Q951 F940:O947 H948:O948 F949:O951">
    <cfRule type="cellIs" dxfId="327" priority="327" stopIfTrue="1" operator="equal">
      <formula>0</formula>
    </cfRule>
  </conditionalFormatting>
  <conditionalFormatting sqref="Q972:R979">
    <cfRule type="cellIs" dxfId="326" priority="142" stopIfTrue="1" operator="equal">
      <formula>0</formula>
    </cfRule>
  </conditionalFormatting>
  <conditionalFormatting sqref="Q992:R999">
    <cfRule type="cellIs" dxfId="325" priority="135" stopIfTrue="1" operator="equal">
      <formula>0</formula>
    </cfRule>
  </conditionalFormatting>
  <conditionalFormatting sqref="Q1012:R1019">
    <cfRule type="cellIs" dxfId="324" priority="128" stopIfTrue="1" operator="equal">
      <formula>0</formula>
    </cfRule>
  </conditionalFormatting>
  <conditionalFormatting sqref="Q1032:R1039">
    <cfRule type="cellIs" dxfId="323" priority="90" stopIfTrue="1" operator="equal">
      <formula>0</formula>
    </cfRule>
  </conditionalFormatting>
  <conditionalFormatting sqref="Q1052:R1059">
    <cfRule type="cellIs" dxfId="322" priority="52" stopIfTrue="1" operator="equal">
      <formula>0</formula>
    </cfRule>
  </conditionalFormatting>
  <conditionalFormatting sqref="Q1072:R1079">
    <cfRule type="cellIs" dxfId="321" priority="14" stopIfTrue="1" operator="equal">
      <formula>0</formula>
    </cfRule>
  </conditionalFormatting>
  <conditionalFormatting sqref="R900 R902 R904 R906 R908 R910 R920 R922 R924 R926 R928 R930 R940 R942 R944 R946 R948 R950 R960 R962 R964 R966 R968">
    <cfRule type="cellIs" dxfId="320" priority="274" stopIfTrue="1" operator="equal">
      <formula>0</formula>
    </cfRule>
  </conditionalFormatting>
  <conditionalFormatting sqref="R900 R902 R904 R906 R908">
    <cfRule type="cellIs" dxfId="319" priority="272" stopIfTrue="1" operator="equal">
      <formula>0</formula>
    </cfRule>
  </conditionalFormatting>
  <conditionalFormatting sqref="R900:R909">
    <cfRule type="cellIs" dxfId="318" priority="273" stopIfTrue="1" operator="equal">
      <formula>0</formula>
    </cfRule>
  </conditionalFormatting>
  <conditionalFormatting sqref="R900:R911 R920:R951 R960:R969">
    <cfRule type="cellIs" dxfId="317" priority="275" stopIfTrue="1" operator="equal">
      <formula>0</formula>
    </cfRule>
  </conditionalFormatting>
  <conditionalFormatting sqref="R910 R920 R922 R924 R926 R928">
    <cfRule type="cellIs" dxfId="316" priority="270" stopIfTrue="1" operator="equal">
      <formula>0</formula>
    </cfRule>
  </conditionalFormatting>
  <conditionalFormatting sqref="R910:R911 R920:R929">
    <cfRule type="cellIs" dxfId="315" priority="271" stopIfTrue="1" operator="equal">
      <formula>0</formula>
    </cfRule>
  </conditionalFormatting>
  <conditionalFormatting sqref="R930">
    <cfRule type="cellIs" dxfId="314" priority="269" stopIfTrue="1" operator="equal">
      <formula>0</formula>
    </cfRule>
    <cfRule type="cellIs" dxfId="313" priority="268" stopIfTrue="1" operator="equal">
      <formula>0</formula>
    </cfRule>
  </conditionalFormatting>
  <conditionalFormatting sqref="R931:R940 R942 R944 R946 R948">
    <cfRule type="cellIs" dxfId="312" priority="266" stopIfTrue="1" operator="equal">
      <formula>0</formula>
    </cfRule>
  </conditionalFormatting>
  <conditionalFormatting sqref="R940 R942 R944 R946 R948">
    <cfRule type="cellIs" dxfId="311" priority="265" stopIfTrue="1" operator="equal">
      <formula>0</formula>
    </cfRule>
  </conditionalFormatting>
  <conditionalFormatting sqref="R941 R943 R945 R947">
    <cfRule type="cellIs" dxfId="310" priority="264" stopIfTrue="1" operator="equal">
      <formula>0</formula>
    </cfRule>
  </conditionalFormatting>
  <conditionalFormatting sqref="R949:R950">
    <cfRule type="cellIs" dxfId="309" priority="263" stopIfTrue="1" operator="equal">
      <formula>0</formula>
    </cfRule>
  </conditionalFormatting>
  <conditionalFormatting sqref="R950">
    <cfRule type="cellIs" dxfId="308" priority="262" stopIfTrue="1" operator="equal">
      <formula>0</formula>
    </cfRule>
  </conditionalFormatting>
  <conditionalFormatting sqref="R951:R959">
    <cfRule type="cellIs" dxfId="307" priority="149" stopIfTrue="1" operator="equal">
      <formula>0</formula>
    </cfRule>
  </conditionalFormatting>
  <conditionalFormatting sqref="R960 R962 R964 R966 R968">
    <cfRule type="cellIs" dxfId="306" priority="259" stopIfTrue="1" operator="equal">
      <formula>0</formula>
    </cfRule>
    <cfRule type="cellIs" dxfId="305" priority="260" stopIfTrue="1" operator="equal">
      <formula>0</formula>
    </cfRule>
  </conditionalFormatting>
  <conditionalFormatting sqref="R961 P963:R963 P965:R965 P967:R967 P969:R969">
    <cfRule type="cellIs" dxfId="304" priority="258" stopIfTrue="1" operator="equal">
      <formula>0</formula>
    </cfRule>
  </conditionalFormatting>
  <conditionalFormatting sqref="R970 R980 R982 R984 R986 R988 R990">
    <cfRule type="cellIs" dxfId="303" priority="252" stopIfTrue="1" operator="equal">
      <formula>0</formula>
    </cfRule>
    <cfRule type="cellIs" dxfId="302" priority="253" stopIfTrue="1" operator="equal">
      <formula>0</formula>
    </cfRule>
    <cfRule type="cellIs" dxfId="301" priority="254" stopIfTrue="1" operator="equal">
      <formula>0</formula>
    </cfRule>
  </conditionalFormatting>
  <conditionalFormatting sqref="R970:R971 R980:R991">
    <cfRule type="cellIs" dxfId="300" priority="255" stopIfTrue="1" operator="equal">
      <formula>0</formula>
    </cfRule>
  </conditionalFormatting>
  <conditionalFormatting sqref="R1000 R1002 R1004 R1006 R1008 R1010">
    <cfRule type="cellIs" dxfId="299" priority="217" stopIfTrue="1" operator="equal">
      <formula>0</formula>
    </cfRule>
    <cfRule type="cellIs" dxfId="298" priority="215" stopIfTrue="1" operator="equal">
      <formula>0</formula>
    </cfRule>
    <cfRule type="cellIs" dxfId="297" priority="216" stopIfTrue="1" operator="equal">
      <formula>0</formula>
    </cfRule>
  </conditionalFormatting>
  <conditionalFormatting sqref="R1000:R1011">
    <cfRule type="cellIs" dxfId="296" priority="218" stopIfTrue="1" operator="equal">
      <formula>0</formula>
    </cfRule>
  </conditionalFormatting>
  <conditionalFormatting sqref="R1001 P1003:R1003 P1005:R1005 P1007:R1007 P1009:R1009 P1011:R1011">
    <cfRule type="cellIs" dxfId="295" priority="214" stopIfTrue="1" operator="equal">
      <formula>0</formula>
    </cfRule>
  </conditionalFormatting>
  <conditionalFormatting sqref="R1020 R1022 R1024 R1026 R1028 R1030">
    <cfRule type="cellIs" dxfId="294" priority="184" stopIfTrue="1" operator="equal">
      <formula>0</formula>
    </cfRule>
    <cfRule type="cellIs" dxfId="293" priority="186" stopIfTrue="1" operator="equal">
      <formula>0</formula>
    </cfRule>
    <cfRule type="cellIs" dxfId="292" priority="185" stopIfTrue="1" operator="equal">
      <formula>0</formula>
    </cfRule>
  </conditionalFormatting>
  <conditionalFormatting sqref="R1020:R1031">
    <cfRule type="cellIs" dxfId="291" priority="187" stopIfTrue="1" operator="equal">
      <formula>0</formula>
    </cfRule>
  </conditionalFormatting>
  <conditionalFormatting sqref="R1021 P1023:R1023 P1025:R1025 P1027:R1027 P1029:R1029 P1031:R1031">
    <cfRule type="cellIs" dxfId="290" priority="183" stopIfTrue="1" operator="equal">
      <formula>0</formula>
    </cfRule>
  </conditionalFormatting>
  <conditionalFormatting sqref="R1040 R1042 R1044 R1046 R1048 R1050">
    <cfRule type="cellIs" dxfId="289" priority="100" stopIfTrue="1" operator="equal">
      <formula>0</formula>
    </cfRule>
    <cfRule type="cellIs" dxfId="288" priority="102" stopIfTrue="1" operator="equal">
      <formula>0</formula>
    </cfRule>
    <cfRule type="cellIs" dxfId="287" priority="101" stopIfTrue="1" operator="equal">
      <formula>0</formula>
    </cfRule>
  </conditionalFormatting>
  <conditionalFormatting sqref="R1040:R1051">
    <cfRule type="cellIs" dxfId="286" priority="103" stopIfTrue="1" operator="equal">
      <formula>0</formula>
    </cfRule>
  </conditionalFormatting>
  <conditionalFormatting sqref="R1041 P1043:R1043 P1045:R1045 P1047:R1047 P1049:R1049 P1051:R1051">
    <cfRule type="cellIs" dxfId="285" priority="99" stopIfTrue="1" operator="equal">
      <formula>0</formula>
    </cfRule>
  </conditionalFormatting>
  <conditionalFormatting sqref="R1060 R1062 R1064 R1066 R1068 R1070">
    <cfRule type="cellIs" dxfId="284" priority="64" stopIfTrue="1" operator="equal">
      <formula>0</formula>
    </cfRule>
    <cfRule type="cellIs" dxfId="283" priority="62" stopIfTrue="1" operator="equal">
      <formula>0</formula>
    </cfRule>
    <cfRule type="cellIs" dxfId="282" priority="63" stopIfTrue="1" operator="equal">
      <formula>0</formula>
    </cfRule>
  </conditionalFormatting>
  <conditionalFormatting sqref="R1060:R1071">
    <cfRule type="cellIs" dxfId="281" priority="65" stopIfTrue="1" operator="equal">
      <formula>0</formula>
    </cfRule>
  </conditionalFormatting>
  <conditionalFormatting sqref="R1061 P1063:R1063 P1065:R1065 P1067:R1067 P1069:R1069 P1071:R1071">
    <cfRule type="cellIs" dxfId="280" priority="61" stopIfTrue="1" operator="equal">
      <formula>0</formula>
    </cfRule>
  </conditionalFormatting>
  <conditionalFormatting sqref="R1080 R1082 R1084 R1086 R1088 R1090">
    <cfRule type="cellIs" dxfId="279" priority="25" stopIfTrue="1" operator="equal">
      <formula>0</formula>
    </cfRule>
    <cfRule type="cellIs" dxfId="278" priority="26" stopIfTrue="1" operator="equal">
      <formula>0</formula>
    </cfRule>
    <cfRule type="cellIs" dxfId="277" priority="24" stopIfTrue="1" operator="equal">
      <formula>0</formula>
    </cfRule>
  </conditionalFormatting>
  <conditionalFormatting sqref="R1080:R1091">
    <cfRule type="cellIs" dxfId="276" priority="27" stopIfTrue="1" operator="equal">
      <formula>0</formula>
    </cfRule>
  </conditionalFormatting>
  <conditionalFormatting sqref="R1081 P1083:R1083 P1085:R1085 P1087:R1087 P1089:R1089 P1091:R1091">
    <cfRule type="cellIs" dxfId="275" priority="23"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6"/>
  <dimension ref="A1:Z1353"/>
  <sheetViews>
    <sheetView showGridLines="0" zoomScale="85" zoomScaleNormal="85" workbookViewId="0">
      <pane ySplit="5" topLeftCell="A1054" activePane="bottomLeft" state="frozen"/>
      <selection activeCell="O831" sqref="O831"/>
      <selection pane="bottomLeft" activeCell="I1060" sqref="I1060:I1071"/>
    </sheetView>
  </sheetViews>
  <sheetFormatPr defaultColWidth="14.42578125" defaultRowHeight="15" customHeight="1" x14ac:dyDescent="0.2"/>
  <cols>
    <col min="1" max="1" width="6" style="8" customWidth="1"/>
    <col min="2"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19" width="9.5703125" style="8" customWidth="1"/>
    <col min="20" max="21" width="8.7109375" style="8" customWidth="1"/>
    <col min="22" max="22" width="12.28515625" style="8" customWidth="1"/>
    <col min="23" max="26" width="8.7109375" style="8" customWidth="1"/>
    <col min="27" max="16384" width="14.42578125" style="8"/>
  </cols>
  <sheetData>
    <row r="1" spans="1:26" ht="16.5" customHeight="1" x14ac:dyDescent="0.2">
      <c r="A1" s="544" t="s">
        <v>0</v>
      </c>
      <c r="B1" s="545"/>
      <c r="C1" s="556" t="s">
        <v>61</v>
      </c>
      <c r="D1" s="545"/>
      <c r="E1" s="545"/>
      <c r="F1" s="545"/>
      <c r="G1" s="545"/>
      <c r="H1" s="545"/>
      <c r="I1" s="545"/>
      <c r="J1" s="545"/>
      <c r="K1" s="545"/>
      <c r="L1" s="547"/>
      <c r="M1" s="4"/>
      <c r="N1" s="546" t="s">
        <v>2</v>
      </c>
      <c r="O1" s="545"/>
      <c r="P1" s="547"/>
      <c r="Q1" s="5" t="s">
        <v>3</v>
      </c>
      <c r="R1" s="6">
        <v>32</v>
      </c>
      <c r="S1" s="7"/>
      <c r="T1" s="7"/>
      <c r="U1" s="7"/>
      <c r="V1" s="7"/>
      <c r="W1" s="7"/>
      <c r="X1" s="7"/>
      <c r="Y1" s="7"/>
      <c r="Z1" s="7"/>
    </row>
    <row r="2" spans="1:26" ht="12" customHeight="1" x14ac:dyDescent="0.2">
      <c r="A2" s="9">
        <v>8</v>
      </c>
      <c r="B2" s="10"/>
      <c r="C2" s="549"/>
      <c r="D2" s="549"/>
      <c r="E2" s="549"/>
      <c r="F2" s="549"/>
      <c r="G2" s="549"/>
      <c r="H2" s="549"/>
      <c r="I2" s="549"/>
      <c r="J2" s="549"/>
      <c r="K2" s="549"/>
      <c r="L2" s="550"/>
      <c r="M2" s="13"/>
      <c r="N2" s="548"/>
      <c r="O2" s="549"/>
      <c r="P2" s="550"/>
      <c r="Q2" s="14" t="s">
        <v>4</v>
      </c>
      <c r="R2" s="6"/>
      <c r="S2" s="7"/>
      <c r="T2" s="7"/>
      <c r="U2" s="7"/>
      <c r="V2" s="7"/>
      <c r="W2" s="7"/>
      <c r="X2" s="7"/>
      <c r="Y2" s="7"/>
      <c r="Z2" s="7"/>
    </row>
    <row r="3" spans="1:26" ht="12.75" customHeight="1" x14ac:dyDescent="0.2">
      <c r="A3" s="551" t="s">
        <v>5</v>
      </c>
      <c r="B3" s="543"/>
      <c r="C3" s="552" t="s">
        <v>6</v>
      </c>
      <c r="D3" s="547"/>
      <c r="E3" s="551" t="s">
        <v>7</v>
      </c>
      <c r="F3" s="553"/>
      <c r="G3" s="553"/>
      <c r="H3" s="553"/>
      <c r="I3" s="553"/>
      <c r="J3" s="543"/>
      <c r="K3" s="554" t="s">
        <v>8</v>
      </c>
      <c r="L3" s="554" t="s">
        <v>9</v>
      </c>
      <c r="M3" s="15"/>
      <c r="N3" s="555" t="s">
        <v>10</v>
      </c>
      <c r="O3" s="555" t="s">
        <v>11</v>
      </c>
      <c r="P3" s="16" t="s">
        <v>12</v>
      </c>
      <c r="Q3" s="541" t="s">
        <v>13</v>
      </c>
      <c r="R3" s="17"/>
      <c r="S3" s="17"/>
      <c r="T3" s="7"/>
      <c r="U3" s="7"/>
      <c r="V3" s="7"/>
      <c r="W3" s="7"/>
      <c r="X3" s="7"/>
      <c r="Y3" s="7"/>
      <c r="Z3" s="7"/>
    </row>
    <row r="4" spans="1:26" ht="34.5" customHeight="1" x14ac:dyDescent="0.2">
      <c r="A4" s="18" t="s">
        <v>14</v>
      </c>
      <c r="B4" s="18" t="s">
        <v>15</v>
      </c>
      <c r="C4" s="549"/>
      <c r="D4" s="550"/>
      <c r="E4" s="19" t="s">
        <v>16</v>
      </c>
      <c r="F4" s="19" t="s">
        <v>17</v>
      </c>
      <c r="G4" s="19" t="s">
        <v>18</v>
      </c>
      <c r="H4" s="19" t="s">
        <v>19</v>
      </c>
      <c r="I4" s="19" t="s">
        <v>20</v>
      </c>
      <c r="J4" s="19" t="s">
        <v>21</v>
      </c>
      <c r="K4" s="535"/>
      <c r="L4" s="535"/>
      <c r="M4" s="4"/>
      <c r="N4" s="535"/>
      <c r="O4" s="535"/>
      <c r="P4" s="20" t="s">
        <v>22</v>
      </c>
      <c r="Q4" s="535"/>
      <c r="R4" s="7"/>
      <c r="S4" s="7"/>
      <c r="T4" s="7"/>
      <c r="U4" s="7"/>
      <c r="V4" s="7"/>
      <c r="W4" s="7"/>
      <c r="X4" s="7"/>
      <c r="Y4" s="7"/>
      <c r="Z4" s="7"/>
    </row>
    <row r="5" spans="1:26" ht="10.5" customHeight="1" x14ac:dyDescent="0.2">
      <c r="A5" s="21" t="s">
        <v>23</v>
      </c>
      <c r="B5" s="22" t="s">
        <v>24</v>
      </c>
      <c r="C5" s="542" t="s">
        <v>25</v>
      </c>
      <c r="D5" s="543"/>
      <c r="E5" s="21" t="s">
        <v>26</v>
      </c>
      <c r="F5" s="21" t="s">
        <v>27</v>
      </c>
      <c r="G5" s="21" t="s">
        <v>28</v>
      </c>
      <c r="H5" s="21" t="s">
        <v>29</v>
      </c>
      <c r="I5" s="21" t="s">
        <v>30</v>
      </c>
      <c r="J5" s="21" t="s">
        <v>31</v>
      </c>
      <c r="K5" s="21" t="s">
        <v>32</v>
      </c>
      <c r="L5" s="23" t="s">
        <v>33</v>
      </c>
      <c r="M5" s="24"/>
      <c r="N5" s="25" t="s">
        <v>34</v>
      </c>
      <c r="O5" s="25" t="s">
        <v>35</v>
      </c>
      <c r="P5" s="21"/>
      <c r="Q5" s="21"/>
      <c r="R5" s="26"/>
      <c r="S5" s="27"/>
      <c r="T5" s="27"/>
      <c r="U5" s="27"/>
      <c r="V5" s="27"/>
      <c r="W5" s="27"/>
      <c r="X5" s="27"/>
      <c r="Y5" s="27"/>
      <c r="Z5" s="27"/>
    </row>
    <row r="6" spans="1:26" ht="12.75" customHeight="1" x14ac:dyDescent="0.2">
      <c r="A6" s="538">
        <v>32994</v>
      </c>
      <c r="B6" s="538">
        <v>33177</v>
      </c>
      <c r="C6" s="28" t="s">
        <v>36</v>
      </c>
      <c r="D6" s="29">
        <v>0</v>
      </c>
      <c r="E6" s="30">
        <v>5751.26</v>
      </c>
      <c r="F6" s="30">
        <v>632.14</v>
      </c>
      <c r="G6" s="30">
        <v>0</v>
      </c>
      <c r="H6" s="30">
        <v>5652.58</v>
      </c>
      <c r="I6" s="30">
        <v>0</v>
      </c>
      <c r="J6" s="30">
        <v>1003</v>
      </c>
      <c r="K6" s="31">
        <v>12035.98</v>
      </c>
      <c r="L6" s="32">
        <v>13038.98</v>
      </c>
      <c r="M6" s="33"/>
      <c r="N6" s="30">
        <v>12035.98</v>
      </c>
      <c r="O6" s="30">
        <v>6383.4</v>
      </c>
      <c r="P6" s="30"/>
      <c r="Q6" s="30">
        <f>(N6+O6*0.18+J6)+(IF((P6-O6*0.18)&gt;0,(P6-O6*0.18),0))</f>
        <v>14187.992</v>
      </c>
      <c r="R6" s="7"/>
      <c r="S6" s="7"/>
      <c r="T6" s="7"/>
      <c r="U6" s="7"/>
      <c r="V6" s="7"/>
      <c r="W6" s="7"/>
      <c r="X6" s="7"/>
      <c r="Y6" s="7"/>
      <c r="Z6" s="7"/>
    </row>
    <row r="7" spans="1:26" ht="9" customHeight="1" x14ac:dyDescent="0.2">
      <c r="A7" s="534"/>
      <c r="B7" s="534"/>
      <c r="C7" s="34" t="s">
        <v>37</v>
      </c>
      <c r="D7" s="35">
        <v>2</v>
      </c>
      <c r="E7" s="36">
        <v>11135992</v>
      </c>
      <c r="F7" s="36">
        <v>1223994</v>
      </c>
      <c r="G7" s="36">
        <v>0</v>
      </c>
      <c r="H7" s="36">
        <v>10944921</v>
      </c>
      <c r="I7" s="36">
        <v>0</v>
      </c>
      <c r="J7" s="37">
        <v>1942079</v>
      </c>
      <c r="K7" s="36">
        <v>23304907</v>
      </c>
      <c r="L7" s="38">
        <v>25246986</v>
      </c>
      <c r="M7" s="39"/>
      <c r="N7" s="36">
        <v>23304907</v>
      </c>
      <c r="O7" s="36">
        <v>12359986</v>
      </c>
      <c r="P7" s="36">
        <v>0</v>
      </c>
      <c r="Q7" s="36">
        <f>Q6*1936.27</f>
        <v>27471783.269839998</v>
      </c>
      <c r="R7" s="7"/>
      <c r="S7" s="7"/>
      <c r="T7" s="7"/>
      <c r="U7" s="7"/>
      <c r="V7" s="7"/>
      <c r="W7" s="7"/>
      <c r="X7" s="7"/>
      <c r="Y7" s="7"/>
      <c r="Z7" s="7"/>
    </row>
    <row r="8" spans="1:26" ht="12.75" customHeight="1" x14ac:dyDescent="0.2">
      <c r="A8" s="540">
        <v>32994</v>
      </c>
      <c r="B8" s="540">
        <v>33177</v>
      </c>
      <c r="C8" s="40" t="s">
        <v>36</v>
      </c>
      <c r="D8" s="41">
        <v>3</v>
      </c>
      <c r="E8" s="42">
        <v>6061.14</v>
      </c>
      <c r="F8" s="42">
        <v>663.13</v>
      </c>
      <c r="G8" s="42">
        <v>0</v>
      </c>
      <c r="H8" s="42">
        <v>5652.58</v>
      </c>
      <c r="I8" s="42">
        <v>0</v>
      </c>
      <c r="J8" s="42">
        <v>1031.4000000000001</v>
      </c>
      <c r="K8" s="43">
        <v>12376.85</v>
      </c>
      <c r="L8" s="32">
        <v>13408.25</v>
      </c>
      <c r="M8" s="33"/>
      <c r="N8" s="30">
        <v>12376.85</v>
      </c>
      <c r="O8" s="30">
        <v>6724.27</v>
      </c>
      <c r="P8" s="30"/>
      <c r="Q8" s="30">
        <f>(N8+O8*0.18+J8)+(IF((P8-O8*0.18)&gt;0,(P8-O8*0.18),0))</f>
        <v>14618.6186</v>
      </c>
      <c r="R8" s="7"/>
      <c r="S8" s="7"/>
      <c r="T8" s="7"/>
      <c r="U8" s="7"/>
      <c r="V8" s="7"/>
      <c r="W8" s="7"/>
      <c r="X8" s="7"/>
      <c r="Y8" s="7"/>
      <c r="Z8" s="7"/>
    </row>
    <row r="9" spans="1:26" ht="9" customHeight="1" x14ac:dyDescent="0.2">
      <c r="A9" s="534"/>
      <c r="B9" s="534"/>
      <c r="C9" s="34" t="s">
        <v>37</v>
      </c>
      <c r="D9" s="35">
        <v>4</v>
      </c>
      <c r="E9" s="36">
        <v>11736004</v>
      </c>
      <c r="F9" s="36">
        <v>1283999</v>
      </c>
      <c r="G9" s="36">
        <v>0</v>
      </c>
      <c r="H9" s="36">
        <v>10944921</v>
      </c>
      <c r="I9" s="36">
        <v>0</v>
      </c>
      <c r="J9" s="37">
        <v>1997069</v>
      </c>
      <c r="K9" s="36">
        <v>23964923</v>
      </c>
      <c r="L9" s="38">
        <v>25961992</v>
      </c>
      <c r="M9" s="39"/>
      <c r="N9" s="36">
        <v>23964923</v>
      </c>
      <c r="O9" s="36">
        <v>13020002</v>
      </c>
      <c r="P9" s="36">
        <v>0</v>
      </c>
      <c r="Q9" s="36">
        <f>Q8*1936.27</f>
        <v>28305592.636622</v>
      </c>
      <c r="R9" s="7"/>
      <c r="S9" s="7"/>
      <c r="T9" s="7"/>
      <c r="U9" s="7"/>
      <c r="V9" s="7"/>
      <c r="W9" s="7"/>
      <c r="X9" s="7"/>
      <c r="Y9" s="7"/>
      <c r="Z9" s="7"/>
    </row>
    <row r="10" spans="1:26" ht="12.75" customHeight="1" x14ac:dyDescent="0.2">
      <c r="A10" s="534"/>
      <c r="B10" s="534"/>
      <c r="C10" s="40" t="s">
        <v>36</v>
      </c>
      <c r="D10" s="41">
        <v>5</v>
      </c>
      <c r="E10" s="42">
        <v>6371.01</v>
      </c>
      <c r="F10" s="42">
        <v>700.32</v>
      </c>
      <c r="G10" s="42">
        <v>0</v>
      </c>
      <c r="H10" s="42">
        <v>5652.58</v>
      </c>
      <c r="I10" s="42">
        <v>0</v>
      </c>
      <c r="J10" s="42">
        <v>1060.33</v>
      </c>
      <c r="K10" s="43">
        <v>12723.91</v>
      </c>
      <c r="L10" s="32">
        <v>13784.24</v>
      </c>
      <c r="M10" s="33"/>
      <c r="N10" s="30">
        <v>12723.91</v>
      </c>
      <c r="O10" s="30">
        <v>7071.33</v>
      </c>
      <c r="P10" s="30"/>
      <c r="Q10" s="30">
        <f>(N10+O10*0.18+J10)+(IF((P10-O10*0.18)&gt;0,(P10-O10*0.18),0))</f>
        <v>15057.079400000001</v>
      </c>
      <c r="R10" s="7"/>
      <c r="S10" s="7"/>
      <c r="T10" s="7"/>
      <c r="U10" s="7"/>
      <c r="V10" s="7"/>
      <c r="W10" s="7"/>
      <c r="X10" s="7"/>
      <c r="Y10" s="7"/>
      <c r="Z10" s="7"/>
    </row>
    <row r="11" spans="1:26" ht="9" customHeight="1" x14ac:dyDescent="0.2">
      <c r="A11" s="534"/>
      <c r="B11" s="534"/>
      <c r="C11" s="34" t="s">
        <v>37</v>
      </c>
      <c r="D11" s="35">
        <v>6</v>
      </c>
      <c r="E11" s="36">
        <v>12335996</v>
      </c>
      <c r="F11" s="36">
        <v>1356009</v>
      </c>
      <c r="G11" s="36">
        <v>0</v>
      </c>
      <c r="H11" s="36">
        <v>10944921</v>
      </c>
      <c r="I11" s="36">
        <v>0</v>
      </c>
      <c r="J11" s="37">
        <v>2053085</v>
      </c>
      <c r="K11" s="36">
        <v>24636925</v>
      </c>
      <c r="L11" s="38">
        <v>26690010</v>
      </c>
      <c r="M11" s="39"/>
      <c r="N11" s="36">
        <v>24636925</v>
      </c>
      <c r="O11" s="36">
        <v>13692004</v>
      </c>
      <c r="P11" s="36">
        <v>0</v>
      </c>
      <c r="Q11" s="36">
        <f>Q10*1936.27</f>
        <v>29154571.129838001</v>
      </c>
      <c r="R11" s="7"/>
      <c r="S11" s="7"/>
      <c r="T11" s="7"/>
      <c r="U11" s="7"/>
      <c r="V11" s="7"/>
      <c r="W11" s="7"/>
      <c r="X11" s="7"/>
      <c r="Y11" s="7"/>
      <c r="Z11" s="7"/>
    </row>
    <row r="12" spans="1:26" ht="12.75" customHeight="1" x14ac:dyDescent="0.2">
      <c r="A12" s="534"/>
      <c r="B12" s="534"/>
      <c r="C12" s="40" t="s">
        <v>36</v>
      </c>
      <c r="D12" s="41">
        <v>7</v>
      </c>
      <c r="E12" s="42">
        <v>6674.69</v>
      </c>
      <c r="F12" s="42">
        <v>731.3</v>
      </c>
      <c r="G12" s="42">
        <v>0</v>
      </c>
      <c r="H12" s="42">
        <v>5652.58</v>
      </c>
      <c r="I12" s="42">
        <v>0</v>
      </c>
      <c r="J12" s="42">
        <v>1088.21</v>
      </c>
      <c r="K12" s="43">
        <v>13058.57</v>
      </c>
      <c r="L12" s="32">
        <v>14146.78</v>
      </c>
      <c r="M12" s="33"/>
      <c r="N12" s="30">
        <v>13058.57</v>
      </c>
      <c r="O12" s="30">
        <v>7405.99</v>
      </c>
      <c r="P12" s="30"/>
      <c r="Q12" s="30">
        <f>(N12+O12*0.18+J12)+(IF((P12-O12*0.18)&gt;0,(P12-O12*0.18),0))</f>
        <v>15479.858199999999</v>
      </c>
      <c r="R12" s="7"/>
      <c r="S12" s="7"/>
      <c r="T12" s="7"/>
      <c r="U12" s="7"/>
      <c r="V12" s="7"/>
      <c r="W12" s="7"/>
      <c r="X12" s="7"/>
      <c r="Y12" s="7"/>
      <c r="Z12" s="7"/>
    </row>
    <row r="13" spans="1:26" ht="9" customHeight="1" x14ac:dyDescent="0.2">
      <c r="A13" s="534"/>
      <c r="B13" s="534"/>
      <c r="C13" s="34" t="s">
        <v>37</v>
      </c>
      <c r="D13" s="35">
        <v>8</v>
      </c>
      <c r="E13" s="36">
        <v>12924002</v>
      </c>
      <c r="F13" s="36">
        <v>1415994</v>
      </c>
      <c r="G13" s="36">
        <v>0</v>
      </c>
      <c r="H13" s="36">
        <v>10944921</v>
      </c>
      <c r="I13" s="36">
        <v>0</v>
      </c>
      <c r="J13" s="37">
        <v>2107068</v>
      </c>
      <c r="K13" s="36">
        <v>25284917</v>
      </c>
      <c r="L13" s="38">
        <v>27391986</v>
      </c>
      <c r="M13" s="39"/>
      <c r="N13" s="36">
        <v>25284917</v>
      </c>
      <c r="O13" s="36">
        <v>14339996</v>
      </c>
      <c r="P13" s="36">
        <v>0</v>
      </c>
      <c r="Q13" s="36">
        <f>Q12*1936.27</f>
        <v>29973185.036913998</v>
      </c>
      <c r="R13" s="7"/>
      <c r="S13" s="7"/>
      <c r="T13" s="7"/>
      <c r="U13" s="7"/>
      <c r="V13" s="7"/>
      <c r="W13" s="7"/>
      <c r="X13" s="7"/>
      <c r="Y13" s="7"/>
      <c r="Z13" s="7"/>
    </row>
    <row r="14" spans="1:26" ht="12.75" customHeight="1" x14ac:dyDescent="0.2">
      <c r="A14" s="534"/>
      <c r="B14" s="534"/>
      <c r="C14" s="40" t="s">
        <v>36</v>
      </c>
      <c r="D14" s="41">
        <v>9</v>
      </c>
      <c r="E14" s="42">
        <v>7027.95</v>
      </c>
      <c r="F14" s="42">
        <v>768.49</v>
      </c>
      <c r="G14" s="42">
        <v>0</v>
      </c>
      <c r="H14" s="42">
        <v>5652.58</v>
      </c>
      <c r="I14" s="42">
        <v>0</v>
      </c>
      <c r="J14" s="42">
        <v>1120.75</v>
      </c>
      <c r="K14" s="43">
        <v>13449.02</v>
      </c>
      <c r="L14" s="32">
        <v>14569.77</v>
      </c>
      <c r="M14" s="33"/>
      <c r="N14" s="30">
        <v>13449.02</v>
      </c>
      <c r="O14" s="30">
        <v>7796.44</v>
      </c>
      <c r="P14" s="30"/>
      <c r="Q14" s="30">
        <f>(N14+O14*0.18+J14)+(IF((P14-O14*0.18)&gt;0,(P14-O14*0.18),0))</f>
        <v>15973.129199999999</v>
      </c>
      <c r="R14" s="7"/>
      <c r="S14" s="7"/>
      <c r="T14" s="7"/>
      <c r="U14" s="7"/>
      <c r="V14" s="7"/>
      <c r="W14" s="7"/>
      <c r="X14" s="7"/>
      <c r="Y14" s="7"/>
      <c r="Z14" s="7"/>
    </row>
    <row r="15" spans="1:26" ht="9" customHeight="1" x14ac:dyDescent="0.2">
      <c r="A15" s="534"/>
      <c r="B15" s="534"/>
      <c r="C15" s="34" t="s">
        <v>37</v>
      </c>
      <c r="D15" s="35">
        <v>10</v>
      </c>
      <c r="E15" s="36">
        <v>13608009</v>
      </c>
      <c r="F15" s="36">
        <v>1488004</v>
      </c>
      <c r="G15" s="36">
        <v>0</v>
      </c>
      <c r="H15" s="36">
        <v>10944921</v>
      </c>
      <c r="I15" s="36">
        <v>0</v>
      </c>
      <c r="J15" s="37">
        <v>2170075</v>
      </c>
      <c r="K15" s="36">
        <v>26040934</v>
      </c>
      <c r="L15" s="38">
        <v>28211009</v>
      </c>
      <c r="M15" s="39"/>
      <c r="N15" s="36">
        <v>26040934</v>
      </c>
      <c r="O15" s="36">
        <v>15096013</v>
      </c>
      <c r="P15" s="36">
        <v>0</v>
      </c>
      <c r="Q15" s="36">
        <f>Q14*1936.27</f>
        <v>30928290.876084</v>
      </c>
      <c r="R15" s="7"/>
      <c r="S15" s="7"/>
      <c r="T15" s="7"/>
      <c r="U15" s="7"/>
      <c r="V15" s="7"/>
      <c r="W15" s="7"/>
      <c r="X15" s="7"/>
      <c r="Y15" s="7"/>
      <c r="Z15" s="7"/>
    </row>
    <row r="16" spans="1:26" ht="12.75" customHeight="1" x14ac:dyDescent="0.2">
      <c r="A16" s="534"/>
      <c r="B16" s="534"/>
      <c r="C16" s="40" t="s">
        <v>36</v>
      </c>
      <c r="D16" s="41">
        <v>11</v>
      </c>
      <c r="E16" s="42">
        <v>7387.4</v>
      </c>
      <c r="F16" s="42">
        <v>811.87</v>
      </c>
      <c r="G16" s="42">
        <v>0</v>
      </c>
      <c r="H16" s="42">
        <v>5652.58</v>
      </c>
      <c r="I16" s="42">
        <v>0</v>
      </c>
      <c r="J16" s="42">
        <v>1154.32</v>
      </c>
      <c r="K16" s="43">
        <v>13851.85</v>
      </c>
      <c r="L16" s="32">
        <v>15006.17</v>
      </c>
      <c r="M16" s="33"/>
      <c r="N16" s="30">
        <v>13851.85</v>
      </c>
      <c r="O16" s="30">
        <v>8199.27</v>
      </c>
      <c r="P16" s="30"/>
      <c r="Q16" s="30">
        <f>(N16+O16*0.18+J16)+(IF((P16-O16*0.18)&gt;0,(P16-O16*0.18),0))</f>
        <v>16482.0386</v>
      </c>
      <c r="R16" s="7"/>
      <c r="S16" s="7"/>
      <c r="T16" s="7"/>
      <c r="U16" s="7"/>
      <c r="V16" s="7"/>
      <c r="W16" s="7"/>
      <c r="X16" s="7"/>
      <c r="Y16" s="7"/>
      <c r="Z16" s="7"/>
    </row>
    <row r="17" spans="1:26" ht="9" customHeight="1" x14ac:dyDescent="0.2">
      <c r="A17" s="534"/>
      <c r="B17" s="534"/>
      <c r="C17" s="34" t="s">
        <v>37</v>
      </c>
      <c r="D17" s="35">
        <v>12</v>
      </c>
      <c r="E17" s="36">
        <v>14304001</v>
      </c>
      <c r="F17" s="36">
        <v>1572000</v>
      </c>
      <c r="G17" s="36">
        <v>0</v>
      </c>
      <c r="H17" s="36">
        <v>10944921</v>
      </c>
      <c r="I17" s="36">
        <v>0</v>
      </c>
      <c r="J17" s="37">
        <v>2235075</v>
      </c>
      <c r="K17" s="36">
        <v>26820922</v>
      </c>
      <c r="L17" s="38">
        <v>29055997</v>
      </c>
      <c r="M17" s="39"/>
      <c r="N17" s="36">
        <v>26820922</v>
      </c>
      <c r="O17" s="36">
        <v>15876001</v>
      </c>
      <c r="P17" s="36">
        <v>0</v>
      </c>
      <c r="Q17" s="36">
        <f>Q16*1936.27</f>
        <v>31913676.880022001</v>
      </c>
      <c r="R17" s="7"/>
      <c r="S17" s="7"/>
      <c r="T17" s="7"/>
      <c r="U17" s="7"/>
      <c r="V17" s="7"/>
      <c r="W17" s="7"/>
      <c r="X17" s="7"/>
      <c r="Y17" s="7"/>
      <c r="Z17" s="7"/>
    </row>
    <row r="18" spans="1:26" ht="12.75" customHeight="1" x14ac:dyDescent="0.2">
      <c r="A18" s="534"/>
      <c r="B18" s="534"/>
      <c r="C18" s="40" t="s">
        <v>36</v>
      </c>
      <c r="D18" s="41">
        <v>13</v>
      </c>
      <c r="E18" s="42">
        <v>7740.66</v>
      </c>
      <c r="F18" s="42">
        <v>849.06</v>
      </c>
      <c r="G18" s="42">
        <v>0</v>
      </c>
      <c r="H18" s="42">
        <v>5652.58</v>
      </c>
      <c r="I18" s="42">
        <v>0</v>
      </c>
      <c r="J18" s="42">
        <v>1186.8599999999999</v>
      </c>
      <c r="K18" s="43">
        <v>14242.3</v>
      </c>
      <c r="L18" s="32">
        <v>15429.16</v>
      </c>
      <c r="M18" s="33"/>
      <c r="N18" s="30">
        <v>14242.3</v>
      </c>
      <c r="O18" s="30">
        <v>8589.7199999999993</v>
      </c>
      <c r="P18" s="30"/>
      <c r="Q18" s="30">
        <f>(N18+O18*0.18+J18)+(IF((P18-O18*0.18)&gt;0,(P18-O18*0.18),0))</f>
        <v>16975.309600000001</v>
      </c>
      <c r="R18" s="7"/>
      <c r="S18" s="7"/>
      <c r="T18" s="7"/>
      <c r="U18" s="7"/>
      <c r="V18" s="7"/>
      <c r="W18" s="7"/>
      <c r="X18" s="7"/>
      <c r="Y18" s="7"/>
      <c r="Z18" s="7"/>
    </row>
    <row r="19" spans="1:26" ht="9" customHeight="1" x14ac:dyDescent="0.2">
      <c r="A19" s="534"/>
      <c r="B19" s="534"/>
      <c r="C19" s="34" t="s">
        <v>37</v>
      </c>
      <c r="D19" s="35">
        <v>14</v>
      </c>
      <c r="E19" s="36">
        <v>14988008</v>
      </c>
      <c r="F19" s="36">
        <v>1644009</v>
      </c>
      <c r="G19" s="36">
        <v>0</v>
      </c>
      <c r="H19" s="36">
        <v>10944921</v>
      </c>
      <c r="I19" s="36">
        <v>0</v>
      </c>
      <c r="J19" s="37">
        <v>2298081</v>
      </c>
      <c r="K19" s="36">
        <v>27576938</v>
      </c>
      <c r="L19" s="38">
        <v>29875020</v>
      </c>
      <c r="M19" s="39"/>
      <c r="N19" s="36">
        <v>27576938</v>
      </c>
      <c r="O19" s="36">
        <v>16632017</v>
      </c>
      <c r="P19" s="36">
        <v>0</v>
      </c>
      <c r="Q19" s="36">
        <f>Q18*1936.27</f>
        <v>32868782.719192002</v>
      </c>
      <c r="R19" s="7"/>
      <c r="S19" s="7"/>
      <c r="T19" s="7"/>
      <c r="U19" s="7"/>
      <c r="V19" s="7"/>
      <c r="W19" s="7"/>
      <c r="X19" s="7"/>
      <c r="Y19" s="7"/>
      <c r="Z19" s="7"/>
    </row>
    <row r="20" spans="1:26" ht="12.75" customHeight="1" x14ac:dyDescent="0.2">
      <c r="A20" s="534"/>
      <c r="B20" s="534"/>
      <c r="C20" s="40" t="s">
        <v>36</v>
      </c>
      <c r="D20" s="41">
        <v>15</v>
      </c>
      <c r="E20" s="42">
        <v>8155.89</v>
      </c>
      <c r="F20" s="42">
        <v>892.44</v>
      </c>
      <c r="G20" s="42">
        <v>0</v>
      </c>
      <c r="H20" s="42">
        <v>5652.58</v>
      </c>
      <c r="I20" s="42">
        <v>0</v>
      </c>
      <c r="J20" s="42">
        <v>1225.08</v>
      </c>
      <c r="K20" s="43">
        <v>14700.91</v>
      </c>
      <c r="L20" s="32">
        <v>15925.99</v>
      </c>
      <c r="M20" s="33"/>
      <c r="N20" s="30">
        <v>14700.91</v>
      </c>
      <c r="O20" s="30">
        <v>9048.33</v>
      </c>
      <c r="P20" s="30"/>
      <c r="Q20" s="30">
        <f>(N20+O20*0.18+J20)+(IF((P20-O20*0.18)&gt;0,(P20-O20*0.18),0))</f>
        <v>17554.689399999999</v>
      </c>
      <c r="R20" s="7"/>
      <c r="S20" s="7"/>
      <c r="T20" s="7"/>
      <c r="U20" s="7"/>
      <c r="V20" s="7"/>
      <c r="W20" s="7"/>
      <c r="X20" s="7"/>
      <c r="Y20" s="7"/>
      <c r="Z20" s="7"/>
    </row>
    <row r="21" spans="1:26" ht="9" customHeight="1" x14ac:dyDescent="0.2">
      <c r="A21" s="534"/>
      <c r="B21" s="534"/>
      <c r="C21" s="34" t="s">
        <v>37</v>
      </c>
      <c r="D21" s="35">
        <v>16</v>
      </c>
      <c r="E21" s="36">
        <v>15792005</v>
      </c>
      <c r="F21" s="36">
        <v>1728005</v>
      </c>
      <c r="G21" s="36">
        <v>0</v>
      </c>
      <c r="H21" s="36">
        <v>10944921</v>
      </c>
      <c r="I21" s="36">
        <v>0</v>
      </c>
      <c r="J21" s="37">
        <v>2372086</v>
      </c>
      <c r="K21" s="36">
        <v>28464931</v>
      </c>
      <c r="L21" s="38">
        <v>30837017</v>
      </c>
      <c r="M21" s="39"/>
      <c r="N21" s="36">
        <v>28464931</v>
      </c>
      <c r="O21" s="36">
        <v>17520010</v>
      </c>
      <c r="P21" s="36">
        <v>0</v>
      </c>
      <c r="Q21" s="36">
        <f>Q20*1936.27</f>
        <v>33990618.444537997</v>
      </c>
      <c r="R21" s="7"/>
      <c r="S21" s="7"/>
      <c r="T21" s="7"/>
      <c r="U21" s="7"/>
      <c r="V21" s="7"/>
      <c r="W21" s="7"/>
      <c r="X21" s="7"/>
      <c r="Y21" s="7"/>
      <c r="Z21" s="7"/>
    </row>
    <row r="22" spans="1:26" ht="12.75" customHeight="1" x14ac:dyDescent="0.2">
      <c r="A22" s="534"/>
      <c r="B22" s="534"/>
      <c r="C22" s="40" t="s">
        <v>36</v>
      </c>
      <c r="D22" s="41">
        <v>17</v>
      </c>
      <c r="E22" s="42">
        <v>8571.1200000000008</v>
      </c>
      <c r="F22" s="42">
        <v>942.02</v>
      </c>
      <c r="G22" s="42">
        <v>0</v>
      </c>
      <c r="H22" s="42">
        <v>5652.58</v>
      </c>
      <c r="I22" s="42">
        <v>0</v>
      </c>
      <c r="J22" s="42">
        <v>1263.81</v>
      </c>
      <c r="K22" s="43">
        <v>15165.72</v>
      </c>
      <c r="L22" s="32">
        <v>16429.53</v>
      </c>
      <c r="M22" s="33"/>
      <c r="N22" s="30">
        <v>15165.72</v>
      </c>
      <c r="O22" s="30">
        <v>9513.14</v>
      </c>
      <c r="P22" s="30"/>
      <c r="Q22" s="30">
        <f>(N22+O22*0.18+J22)+(IF((P22-O22*0.18)&gt;0,(P22-O22*0.18),0))</f>
        <v>18141.895199999999</v>
      </c>
      <c r="R22" s="7"/>
      <c r="S22" s="7"/>
      <c r="T22" s="7"/>
      <c r="U22" s="7"/>
      <c r="V22" s="7"/>
      <c r="W22" s="7"/>
      <c r="X22" s="7"/>
      <c r="Y22" s="7"/>
      <c r="Z22" s="7"/>
    </row>
    <row r="23" spans="1:26" ht="9" customHeight="1" x14ac:dyDescent="0.2">
      <c r="A23" s="534"/>
      <c r="B23" s="534"/>
      <c r="C23" s="34" t="s">
        <v>37</v>
      </c>
      <c r="D23" s="35">
        <v>18</v>
      </c>
      <c r="E23" s="36">
        <v>16596003</v>
      </c>
      <c r="F23" s="36">
        <v>1824005</v>
      </c>
      <c r="G23" s="36">
        <v>0</v>
      </c>
      <c r="H23" s="36">
        <v>10944921</v>
      </c>
      <c r="I23" s="36">
        <v>0</v>
      </c>
      <c r="J23" s="37">
        <v>2447077</v>
      </c>
      <c r="K23" s="36">
        <v>29364929</v>
      </c>
      <c r="L23" s="38">
        <v>31812006</v>
      </c>
      <c r="M23" s="39"/>
      <c r="N23" s="36">
        <v>29364929</v>
      </c>
      <c r="O23" s="36">
        <v>18420008</v>
      </c>
      <c r="P23" s="36">
        <v>0</v>
      </c>
      <c r="Q23" s="36">
        <f>Q22*1936.27</f>
        <v>35127607.418903999</v>
      </c>
      <c r="R23" s="7"/>
      <c r="S23" s="7"/>
      <c r="T23" s="7"/>
      <c r="U23" s="7"/>
      <c r="V23" s="7"/>
      <c r="W23" s="7"/>
      <c r="X23" s="7"/>
      <c r="Y23" s="7"/>
      <c r="Z23" s="7"/>
    </row>
    <row r="24" spans="1:26" ht="12.75" customHeight="1" x14ac:dyDescent="0.2">
      <c r="A24" s="534"/>
      <c r="B24" s="534"/>
      <c r="C24" s="40" t="s">
        <v>36</v>
      </c>
      <c r="D24" s="41">
        <v>19</v>
      </c>
      <c r="E24" s="42">
        <v>8980.15</v>
      </c>
      <c r="F24" s="42">
        <v>985.4</v>
      </c>
      <c r="G24" s="42">
        <v>0</v>
      </c>
      <c r="H24" s="42">
        <v>5652.58</v>
      </c>
      <c r="I24" s="42">
        <v>0</v>
      </c>
      <c r="J24" s="42">
        <v>1301.51</v>
      </c>
      <c r="K24" s="43">
        <v>15618.13</v>
      </c>
      <c r="L24" s="32">
        <v>16919.64</v>
      </c>
      <c r="M24" s="33"/>
      <c r="N24" s="30">
        <v>15618.13</v>
      </c>
      <c r="O24" s="30">
        <v>9965.5499999999993</v>
      </c>
      <c r="P24" s="30"/>
      <c r="Q24" s="30">
        <f>(N24+O24*0.18+J24)+(IF((P24-O24*0.18)&gt;0,(P24-O24*0.18),0))</f>
        <v>18713.438999999998</v>
      </c>
      <c r="R24" s="7"/>
      <c r="S24" s="7"/>
      <c r="T24" s="7"/>
      <c r="U24" s="7"/>
      <c r="V24" s="7"/>
      <c r="W24" s="7"/>
      <c r="X24" s="7"/>
      <c r="Y24" s="7"/>
      <c r="Z24" s="7"/>
    </row>
    <row r="25" spans="1:26" ht="9" customHeight="1" x14ac:dyDescent="0.2">
      <c r="A25" s="534"/>
      <c r="B25" s="534"/>
      <c r="C25" s="34" t="s">
        <v>37</v>
      </c>
      <c r="D25" s="35">
        <v>19</v>
      </c>
      <c r="E25" s="36">
        <v>17387995</v>
      </c>
      <c r="F25" s="36">
        <v>1908000</v>
      </c>
      <c r="G25" s="36">
        <v>0</v>
      </c>
      <c r="H25" s="36">
        <v>10944921</v>
      </c>
      <c r="I25" s="36">
        <v>0</v>
      </c>
      <c r="J25" s="37">
        <v>2520075</v>
      </c>
      <c r="K25" s="36">
        <v>30240917</v>
      </c>
      <c r="L25" s="38">
        <v>32760991</v>
      </c>
      <c r="M25" s="39"/>
      <c r="N25" s="36">
        <v>30240917</v>
      </c>
      <c r="O25" s="36">
        <v>19295995</v>
      </c>
      <c r="P25" s="36">
        <v>0</v>
      </c>
      <c r="Q25" s="36">
        <f>Q24*1936.27</f>
        <v>36234270.532529995</v>
      </c>
      <c r="R25" s="7"/>
      <c r="S25" s="7"/>
      <c r="T25" s="7"/>
      <c r="U25" s="7"/>
      <c r="V25" s="7"/>
      <c r="W25" s="7"/>
      <c r="X25" s="7"/>
      <c r="Y25" s="7"/>
      <c r="Z25" s="7"/>
    </row>
    <row r="26" spans="1:26" ht="12.75" customHeight="1" x14ac:dyDescent="0.2">
      <c r="A26" s="534"/>
      <c r="B26" s="534"/>
      <c r="C26" s="40" t="s">
        <v>36</v>
      </c>
      <c r="D26" s="41">
        <v>20</v>
      </c>
      <c r="E26" s="42">
        <v>9792.02</v>
      </c>
      <c r="F26" s="42">
        <v>1072.1600000000001</v>
      </c>
      <c r="G26" s="42">
        <v>0</v>
      </c>
      <c r="H26" s="42">
        <v>5652.58</v>
      </c>
      <c r="I26" s="42">
        <v>0</v>
      </c>
      <c r="J26" s="42">
        <v>1376.4</v>
      </c>
      <c r="K26" s="43">
        <v>16516.759999999998</v>
      </c>
      <c r="L26" s="32">
        <v>17893.16</v>
      </c>
      <c r="M26" s="33"/>
      <c r="N26" s="30">
        <v>16516.759999999998</v>
      </c>
      <c r="O26" s="30">
        <v>10864.18</v>
      </c>
      <c r="P26" s="30"/>
      <c r="Q26" s="30">
        <f>(N26+O26*0.18+J26)+(IF((P26-O26*0.18)&gt;0,(P26-O26*0.18),0))</f>
        <v>19848.7124</v>
      </c>
      <c r="R26" s="7"/>
      <c r="S26" s="7"/>
      <c r="T26" s="7"/>
      <c r="U26" s="7"/>
      <c r="V26" s="7"/>
      <c r="W26" s="7"/>
      <c r="X26" s="7"/>
      <c r="Y26" s="7"/>
      <c r="Z26" s="7"/>
    </row>
    <row r="27" spans="1:26" ht="9" customHeight="1" x14ac:dyDescent="0.2">
      <c r="A27" s="534"/>
      <c r="B27" s="534"/>
      <c r="C27" s="34" t="s">
        <v>37</v>
      </c>
      <c r="D27" s="35">
        <v>21</v>
      </c>
      <c r="E27" s="36">
        <v>18959995</v>
      </c>
      <c r="F27" s="36">
        <v>2075991</v>
      </c>
      <c r="G27" s="36">
        <v>0</v>
      </c>
      <c r="H27" s="36">
        <v>10944921</v>
      </c>
      <c r="I27" s="36">
        <v>0</v>
      </c>
      <c r="J27" s="37">
        <v>2665082</v>
      </c>
      <c r="K27" s="36">
        <v>31980907</v>
      </c>
      <c r="L27" s="38">
        <v>34645989</v>
      </c>
      <c r="M27" s="39"/>
      <c r="N27" s="36">
        <v>31980907</v>
      </c>
      <c r="O27" s="36">
        <v>21035986</v>
      </c>
      <c r="P27" s="36">
        <v>0</v>
      </c>
      <c r="Q27" s="36">
        <f>Q26*1936.27</f>
        <v>38432466.358748004</v>
      </c>
      <c r="R27" s="7"/>
      <c r="S27" s="7"/>
      <c r="T27" s="7"/>
      <c r="U27" s="7"/>
      <c r="V27" s="7"/>
      <c r="W27" s="7"/>
      <c r="X27" s="7"/>
      <c r="Y27" s="7"/>
      <c r="Z27" s="7"/>
    </row>
    <row r="28" spans="1:26" ht="12.75" customHeight="1" x14ac:dyDescent="0.2">
      <c r="A28" s="534"/>
      <c r="B28" s="534"/>
      <c r="C28" s="40" t="s">
        <v>36</v>
      </c>
      <c r="D28" s="41">
        <v>22</v>
      </c>
      <c r="E28" s="42">
        <v>10058.51</v>
      </c>
      <c r="F28" s="42">
        <v>1103.1500000000001</v>
      </c>
      <c r="G28" s="42">
        <v>0</v>
      </c>
      <c r="H28" s="42">
        <v>5652.58</v>
      </c>
      <c r="I28" s="42">
        <v>0</v>
      </c>
      <c r="J28" s="42">
        <v>1401.19</v>
      </c>
      <c r="K28" s="43">
        <v>16814.240000000002</v>
      </c>
      <c r="L28" s="32">
        <v>18215.43</v>
      </c>
      <c r="M28" s="33"/>
      <c r="N28" s="30">
        <v>16814.240000000002</v>
      </c>
      <c r="O28" s="30">
        <v>11161.66</v>
      </c>
      <c r="P28" s="30"/>
      <c r="Q28" s="30">
        <f>(N28+O28*0.18+J28)+(IF((P28-O28*0.18)&gt;0,(P28-O28*0.18),0))</f>
        <v>20224.5288</v>
      </c>
      <c r="R28" s="7"/>
      <c r="S28" s="7"/>
      <c r="T28" s="7"/>
      <c r="U28" s="7"/>
      <c r="V28" s="7"/>
      <c r="W28" s="7"/>
      <c r="X28" s="7"/>
      <c r="Y28" s="7"/>
      <c r="Z28" s="7"/>
    </row>
    <row r="29" spans="1:26" ht="9" customHeight="1" x14ac:dyDescent="0.2">
      <c r="A29" s="534"/>
      <c r="B29" s="534"/>
      <c r="C29" s="34" t="s">
        <v>37</v>
      </c>
      <c r="D29" s="35">
        <v>23</v>
      </c>
      <c r="E29" s="36">
        <v>19475991</v>
      </c>
      <c r="F29" s="36">
        <v>2135996</v>
      </c>
      <c r="G29" s="36">
        <v>0</v>
      </c>
      <c r="H29" s="36">
        <v>10944921</v>
      </c>
      <c r="I29" s="36">
        <v>0</v>
      </c>
      <c r="J29" s="37">
        <v>2713082</v>
      </c>
      <c r="K29" s="36">
        <v>32556908</v>
      </c>
      <c r="L29" s="38">
        <v>35269991</v>
      </c>
      <c r="M29" s="39"/>
      <c r="N29" s="36">
        <v>32556908</v>
      </c>
      <c r="O29" s="36">
        <v>21611987</v>
      </c>
      <c r="P29" s="36">
        <v>0</v>
      </c>
      <c r="Q29" s="36">
        <f>Q28*1936.27</f>
        <v>39160148.379575998</v>
      </c>
      <c r="R29" s="7"/>
      <c r="S29" s="7"/>
      <c r="T29" s="7"/>
      <c r="U29" s="7"/>
      <c r="V29" s="7"/>
      <c r="W29" s="7"/>
      <c r="X29" s="7"/>
      <c r="Y29" s="7"/>
      <c r="Z29" s="7"/>
    </row>
    <row r="30" spans="1:26" ht="12.75" customHeight="1" x14ac:dyDescent="0.2">
      <c r="A30" s="534"/>
      <c r="B30" s="534"/>
      <c r="C30" s="40" t="s">
        <v>36</v>
      </c>
      <c r="D30" s="41">
        <v>24</v>
      </c>
      <c r="E30" s="42">
        <v>10331.200000000001</v>
      </c>
      <c r="F30" s="42">
        <v>1134.1400000000001</v>
      </c>
      <c r="G30" s="42">
        <v>0</v>
      </c>
      <c r="H30" s="42">
        <v>5652.58</v>
      </c>
      <c r="I30" s="42">
        <v>0</v>
      </c>
      <c r="J30" s="42">
        <v>1426.49</v>
      </c>
      <c r="K30" s="43">
        <v>17117.919999999998</v>
      </c>
      <c r="L30" s="32">
        <v>18544.41</v>
      </c>
      <c r="M30" s="33"/>
      <c r="N30" s="30">
        <v>17117.919999999998</v>
      </c>
      <c r="O30" s="30">
        <v>11465.34</v>
      </c>
      <c r="P30" s="30"/>
      <c r="Q30" s="30">
        <f>(N30+O30*0.18+J30)+(IF((P30-O30*0.18)&gt;0,(P30-O30*0.18),0))</f>
        <v>20608.171200000001</v>
      </c>
      <c r="R30" s="7"/>
      <c r="S30" s="7"/>
      <c r="T30" s="7"/>
      <c r="U30" s="7"/>
      <c r="V30" s="7"/>
      <c r="W30" s="7"/>
      <c r="X30" s="7"/>
      <c r="Y30" s="7"/>
      <c r="Z30" s="7"/>
    </row>
    <row r="31" spans="1:26" ht="9" customHeight="1" x14ac:dyDescent="0.2">
      <c r="A31" s="534"/>
      <c r="B31" s="534"/>
      <c r="C31" s="34" t="s">
        <v>37</v>
      </c>
      <c r="D31" s="35">
        <v>25</v>
      </c>
      <c r="E31" s="36">
        <v>20003993</v>
      </c>
      <c r="F31" s="36">
        <v>2196001</v>
      </c>
      <c r="G31" s="36">
        <v>0</v>
      </c>
      <c r="H31" s="36">
        <v>10944921</v>
      </c>
      <c r="I31" s="36">
        <v>0</v>
      </c>
      <c r="J31" s="37">
        <v>2762070</v>
      </c>
      <c r="K31" s="36">
        <v>33144915</v>
      </c>
      <c r="L31" s="38">
        <v>35906985</v>
      </c>
      <c r="M31" s="39"/>
      <c r="N31" s="36">
        <v>33144915</v>
      </c>
      <c r="O31" s="36">
        <v>22199994</v>
      </c>
      <c r="P31" s="36">
        <v>0</v>
      </c>
      <c r="Q31" s="36">
        <f>Q30*1936.27</f>
        <v>39902983.649424002</v>
      </c>
      <c r="R31" s="7"/>
      <c r="S31" s="7"/>
      <c r="T31" s="7"/>
      <c r="U31" s="7"/>
      <c r="V31" s="7"/>
      <c r="W31" s="7"/>
      <c r="X31" s="7"/>
      <c r="Y31" s="7"/>
      <c r="Z31" s="7"/>
    </row>
    <row r="32" spans="1:26" ht="12.75" customHeight="1" x14ac:dyDescent="0.2">
      <c r="A32" s="534"/>
      <c r="B32" s="534"/>
      <c r="C32" s="40" t="s">
        <v>36</v>
      </c>
      <c r="D32" s="41">
        <v>26</v>
      </c>
      <c r="E32" s="42">
        <v>10603.89</v>
      </c>
      <c r="F32" s="42">
        <v>1165.1300000000001</v>
      </c>
      <c r="G32" s="42">
        <v>0</v>
      </c>
      <c r="H32" s="42">
        <v>5652.58</v>
      </c>
      <c r="I32" s="42">
        <v>0</v>
      </c>
      <c r="J32" s="42">
        <v>1451.8</v>
      </c>
      <c r="K32" s="43">
        <v>17421.599999999999</v>
      </c>
      <c r="L32" s="32">
        <v>18873.400000000001</v>
      </c>
      <c r="M32" s="33"/>
      <c r="N32" s="30">
        <v>17421.599999999999</v>
      </c>
      <c r="O32" s="30">
        <v>11769.02</v>
      </c>
      <c r="P32" s="30"/>
      <c r="Q32" s="30">
        <f>(N32+O32*0.18+J32)+(IF((P32-O32*0.18)&gt;0,(P32-O32*0.18),0))</f>
        <v>20991.8236</v>
      </c>
      <c r="R32" s="7"/>
      <c r="S32" s="7"/>
      <c r="T32" s="7"/>
      <c r="U32" s="7"/>
      <c r="V32" s="7"/>
      <c r="W32" s="7"/>
      <c r="X32" s="7"/>
      <c r="Y32" s="7"/>
      <c r="Z32" s="7"/>
    </row>
    <row r="33" spans="1:26" ht="9" customHeight="1" x14ac:dyDescent="0.2">
      <c r="A33" s="534"/>
      <c r="B33" s="534"/>
      <c r="C33" s="34" t="s">
        <v>37</v>
      </c>
      <c r="D33" s="35">
        <v>27</v>
      </c>
      <c r="E33" s="36">
        <v>20531994</v>
      </c>
      <c r="F33" s="36">
        <v>2256006</v>
      </c>
      <c r="G33" s="36">
        <v>0</v>
      </c>
      <c r="H33" s="36">
        <v>10944921</v>
      </c>
      <c r="I33" s="36">
        <v>0</v>
      </c>
      <c r="J33" s="37">
        <v>2811077</v>
      </c>
      <c r="K33" s="36">
        <v>33732921</v>
      </c>
      <c r="L33" s="38">
        <v>36543998</v>
      </c>
      <c r="M33" s="39"/>
      <c r="N33" s="36">
        <v>33732921</v>
      </c>
      <c r="O33" s="36">
        <v>22788000</v>
      </c>
      <c r="P33" s="36">
        <v>0</v>
      </c>
      <c r="Q33" s="36">
        <f>Q32*1936.27</f>
        <v>40645838.281971999</v>
      </c>
      <c r="R33" s="7"/>
      <c r="S33" s="7"/>
      <c r="T33" s="7"/>
      <c r="U33" s="7"/>
      <c r="V33" s="7"/>
      <c r="W33" s="7"/>
      <c r="X33" s="7"/>
      <c r="Y33" s="7"/>
      <c r="Z33" s="7"/>
    </row>
    <row r="34" spans="1:26" ht="12.75" customHeight="1" x14ac:dyDescent="0.2">
      <c r="A34" s="534"/>
      <c r="B34" s="534"/>
      <c r="C34" s="40" t="s">
        <v>36</v>
      </c>
      <c r="D34" s="41">
        <v>28</v>
      </c>
      <c r="E34" s="42">
        <v>10870.38</v>
      </c>
      <c r="F34" s="42">
        <v>1189.92</v>
      </c>
      <c r="G34" s="42">
        <v>0</v>
      </c>
      <c r="H34" s="42">
        <v>5652.58</v>
      </c>
      <c r="I34" s="42">
        <v>0</v>
      </c>
      <c r="J34" s="42">
        <v>1476.07</v>
      </c>
      <c r="K34" s="43">
        <v>17712.88</v>
      </c>
      <c r="L34" s="32">
        <v>19188.95</v>
      </c>
      <c r="M34" s="33"/>
      <c r="N34" s="30">
        <v>17712.88</v>
      </c>
      <c r="O34" s="30">
        <v>12060.3</v>
      </c>
      <c r="P34" s="30"/>
      <c r="Q34" s="30">
        <f>(N34+O34*0.18+J34)+(IF((P34-O34*0.18)&gt;0,(P34-O34*0.18),0))</f>
        <v>21359.804</v>
      </c>
      <c r="R34" s="7"/>
      <c r="S34" s="7"/>
      <c r="T34" s="7"/>
      <c r="U34" s="7"/>
      <c r="V34" s="7"/>
      <c r="W34" s="7"/>
      <c r="X34" s="7"/>
      <c r="Y34" s="7"/>
      <c r="Z34" s="7"/>
    </row>
    <row r="35" spans="1:26" ht="9" customHeight="1" x14ac:dyDescent="0.2">
      <c r="A35" s="534"/>
      <c r="B35" s="534"/>
      <c r="C35" s="34" t="s">
        <v>37</v>
      </c>
      <c r="D35" s="35">
        <v>29</v>
      </c>
      <c r="E35" s="36">
        <v>21047991</v>
      </c>
      <c r="F35" s="36">
        <v>2304006</v>
      </c>
      <c r="G35" s="36">
        <v>0</v>
      </c>
      <c r="H35" s="36">
        <v>10944921</v>
      </c>
      <c r="I35" s="36">
        <v>0</v>
      </c>
      <c r="J35" s="37">
        <v>2858070</v>
      </c>
      <c r="K35" s="36">
        <v>34296918</v>
      </c>
      <c r="L35" s="38">
        <v>37154988</v>
      </c>
      <c r="M35" s="39"/>
      <c r="N35" s="36">
        <v>34296918</v>
      </c>
      <c r="O35" s="36">
        <v>23351997</v>
      </c>
      <c r="P35" s="36">
        <v>0</v>
      </c>
      <c r="Q35" s="36">
        <f>Q34*1936.27</f>
        <v>41358347.691079997</v>
      </c>
      <c r="R35" s="7"/>
      <c r="S35" s="7"/>
      <c r="T35" s="7"/>
      <c r="U35" s="7"/>
      <c r="V35" s="7"/>
      <c r="W35" s="7"/>
      <c r="X35" s="7"/>
      <c r="Y35" s="7"/>
      <c r="Z35" s="7"/>
    </row>
    <row r="36" spans="1:26" ht="12.75" customHeight="1" x14ac:dyDescent="0.2">
      <c r="A36" s="534"/>
      <c r="B36" s="534"/>
      <c r="C36" s="40" t="s">
        <v>36</v>
      </c>
      <c r="D36" s="41">
        <v>30</v>
      </c>
      <c r="E36" s="42">
        <v>11136.88</v>
      </c>
      <c r="F36" s="42">
        <v>1220.9000000000001</v>
      </c>
      <c r="G36" s="42">
        <v>0</v>
      </c>
      <c r="H36" s="42">
        <v>5652.58</v>
      </c>
      <c r="I36" s="42">
        <v>0</v>
      </c>
      <c r="J36" s="42">
        <v>1500.86</v>
      </c>
      <c r="K36" s="43">
        <v>18010.36</v>
      </c>
      <c r="L36" s="32">
        <v>19511.22</v>
      </c>
      <c r="M36" s="33"/>
      <c r="N36" s="30">
        <v>18010.36</v>
      </c>
      <c r="O36" s="30">
        <v>12357.78</v>
      </c>
      <c r="P36" s="30"/>
      <c r="Q36" s="30">
        <f>(N36+O36*0.18+J36)+(IF((P36-O36*0.18)&gt;0,(P36-O36*0.18),0))</f>
        <v>21735.6204</v>
      </c>
      <c r="R36" s="7"/>
      <c r="S36" s="7"/>
      <c r="T36" s="7"/>
      <c r="U36" s="7"/>
      <c r="V36" s="7"/>
      <c r="W36" s="7"/>
      <c r="X36" s="7"/>
      <c r="Y36" s="7"/>
      <c r="Z36" s="7"/>
    </row>
    <row r="37" spans="1:26" ht="9" customHeight="1" x14ac:dyDescent="0.2">
      <c r="A37" s="534"/>
      <c r="B37" s="534"/>
      <c r="C37" s="34" t="s">
        <v>37</v>
      </c>
      <c r="D37" s="35">
        <v>31</v>
      </c>
      <c r="E37" s="36">
        <v>21564007</v>
      </c>
      <c r="F37" s="36">
        <v>2363992</v>
      </c>
      <c r="G37" s="36">
        <v>0</v>
      </c>
      <c r="H37" s="36">
        <v>10944921</v>
      </c>
      <c r="I37" s="36">
        <v>0</v>
      </c>
      <c r="J37" s="37">
        <v>2906070</v>
      </c>
      <c r="K37" s="36">
        <v>34872920</v>
      </c>
      <c r="L37" s="38">
        <v>37778990</v>
      </c>
      <c r="M37" s="39"/>
      <c r="N37" s="36">
        <v>34872920</v>
      </c>
      <c r="O37" s="36">
        <v>23927999</v>
      </c>
      <c r="P37" s="36">
        <v>0</v>
      </c>
      <c r="Q37" s="36">
        <f>Q36*1936.27</f>
        <v>42086029.711907998</v>
      </c>
      <c r="R37" s="7"/>
      <c r="S37" s="7"/>
      <c r="T37" s="7"/>
      <c r="U37" s="7"/>
      <c r="V37" s="7"/>
      <c r="W37" s="7"/>
      <c r="X37" s="7"/>
      <c r="Y37" s="7"/>
      <c r="Z37" s="7"/>
    </row>
    <row r="38" spans="1:26" ht="12.75" customHeight="1" x14ac:dyDescent="0.2">
      <c r="A38" s="534"/>
      <c r="B38" s="534"/>
      <c r="C38" s="40" t="s">
        <v>36</v>
      </c>
      <c r="D38" s="41">
        <v>32</v>
      </c>
      <c r="E38" s="42">
        <v>11409.57</v>
      </c>
      <c r="F38" s="42">
        <v>1251.8900000000001</v>
      </c>
      <c r="G38" s="42">
        <v>0</v>
      </c>
      <c r="H38" s="42">
        <v>5652.58</v>
      </c>
      <c r="I38" s="42">
        <v>0</v>
      </c>
      <c r="J38" s="42">
        <v>1526.17</v>
      </c>
      <c r="K38" s="43">
        <v>18314.04</v>
      </c>
      <c r="L38" s="32">
        <v>19840.21</v>
      </c>
      <c r="M38" s="33"/>
      <c r="N38" s="30">
        <v>18314.04</v>
      </c>
      <c r="O38" s="30">
        <v>12661.46</v>
      </c>
      <c r="P38" s="30"/>
      <c r="Q38" s="30">
        <f>(N38+O38*0.18+J38)+(IF((P38-O38*0.18)&gt;0,(P38-O38*0.18),0))</f>
        <v>22119.272799999999</v>
      </c>
      <c r="R38" s="7"/>
      <c r="S38" s="7"/>
      <c r="T38" s="7"/>
      <c r="U38" s="7"/>
      <c r="V38" s="7"/>
      <c r="W38" s="7"/>
      <c r="X38" s="7"/>
      <c r="Y38" s="7"/>
      <c r="Z38" s="7"/>
    </row>
    <row r="39" spans="1:26" ht="9" customHeight="1" x14ac:dyDescent="0.2">
      <c r="A39" s="534"/>
      <c r="B39" s="534"/>
      <c r="C39" s="34" t="s">
        <v>37</v>
      </c>
      <c r="D39" s="35">
        <v>33</v>
      </c>
      <c r="E39" s="36">
        <v>22092008</v>
      </c>
      <c r="F39" s="36">
        <v>2423997</v>
      </c>
      <c r="G39" s="36">
        <v>0</v>
      </c>
      <c r="H39" s="36">
        <v>10944921</v>
      </c>
      <c r="I39" s="36">
        <v>0</v>
      </c>
      <c r="J39" s="37">
        <v>2955077</v>
      </c>
      <c r="K39" s="36">
        <v>35460926</v>
      </c>
      <c r="L39" s="38">
        <v>38416003</v>
      </c>
      <c r="M39" s="39"/>
      <c r="N39" s="36">
        <v>35460926</v>
      </c>
      <c r="O39" s="36">
        <v>24516005</v>
      </c>
      <c r="P39" s="36">
        <v>0</v>
      </c>
      <c r="Q39" s="36">
        <f>Q38*1936.27</f>
        <v>42828884.344455995</v>
      </c>
      <c r="R39" s="7"/>
      <c r="S39" s="7"/>
      <c r="T39" s="7"/>
      <c r="U39" s="7"/>
      <c r="V39" s="7"/>
      <c r="W39" s="7"/>
      <c r="X39" s="7"/>
      <c r="Y39" s="7"/>
      <c r="Z39" s="7"/>
    </row>
    <row r="40" spans="1:26" ht="12.75" customHeight="1" x14ac:dyDescent="0.2">
      <c r="A40" s="534"/>
      <c r="B40" s="534"/>
      <c r="C40" s="40" t="s">
        <v>36</v>
      </c>
      <c r="D40" s="41">
        <v>34</v>
      </c>
      <c r="E40" s="42">
        <v>11676.06</v>
      </c>
      <c r="F40" s="42">
        <v>1282.8800000000001</v>
      </c>
      <c r="G40" s="42">
        <v>0</v>
      </c>
      <c r="H40" s="42">
        <v>5652.58</v>
      </c>
      <c r="I40" s="42">
        <v>0</v>
      </c>
      <c r="J40" s="42">
        <v>1550.96</v>
      </c>
      <c r="K40" s="43">
        <v>18611.52</v>
      </c>
      <c r="L40" s="32">
        <v>20162.48</v>
      </c>
      <c r="M40" s="33"/>
      <c r="N40" s="30">
        <v>18611.52</v>
      </c>
      <c r="O40" s="30">
        <v>12958.94</v>
      </c>
      <c r="P40" s="30"/>
      <c r="Q40" s="30">
        <f>(N40+O40*0.18+J40)+(IF((P40-O40*0.18)&gt;0,(P40-O40*0.18),0))</f>
        <v>22495.089199999999</v>
      </c>
      <c r="R40" s="7"/>
      <c r="S40" s="7"/>
      <c r="T40" s="7"/>
      <c r="U40" s="7"/>
      <c r="V40" s="7"/>
      <c r="W40" s="7"/>
      <c r="X40" s="7"/>
      <c r="Y40" s="7"/>
      <c r="Z40" s="7"/>
    </row>
    <row r="41" spans="1:26" ht="9" customHeight="1" x14ac:dyDescent="0.2">
      <c r="A41" s="534"/>
      <c r="B41" s="534"/>
      <c r="C41" s="34" t="s">
        <v>37</v>
      </c>
      <c r="D41" s="35">
        <v>35</v>
      </c>
      <c r="E41" s="36">
        <v>22608005</v>
      </c>
      <c r="F41" s="36">
        <v>2484002</v>
      </c>
      <c r="G41" s="36">
        <v>0</v>
      </c>
      <c r="H41" s="36">
        <v>10944921</v>
      </c>
      <c r="I41" s="36">
        <v>0</v>
      </c>
      <c r="J41" s="37">
        <v>3003077</v>
      </c>
      <c r="K41" s="36">
        <v>36036928</v>
      </c>
      <c r="L41" s="38">
        <v>39040005</v>
      </c>
      <c r="M41" s="39"/>
      <c r="N41" s="36">
        <v>36036928</v>
      </c>
      <c r="O41" s="36">
        <v>25092007</v>
      </c>
      <c r="P41" s="36">
        <v>0</v>
      </c>
      <c r="Q41" s="36">
        <f>Q40*1936.27</f>
        <v>43556566.365283996</v>
      </c>
      <c r="R41" s="7"/>
      <c r="S41" s="7"/>
      <c r="T41" s="7"/>
      <c r="U41" s="7"/>
      <c r="V41" s="7"/>
      <c r="W41" s="7"/>
      <c r="X41" s="7"/>
      <c r="Y41" s="7"/>
      <c r="Z41" s="7"/>
    </row>
    <row r="42" spans="1:26" ht="12.75" customHeight="1" x14ac:dyDescent="0.2">
      <c r="A42" s="534"/>
      <c r="B42" s="534"/>
      <c r="C42" s="40" t="s">
        <v>36</v>
      </c>
      <c r="D42" s="41">
        <v>36</v>
      </c>
      <c r="E42" s="42">
        <v>11948.75</v>
      </c>
      <c r="F42" s="42">
        <v>1313.87</v>
      </c>
      <c r="G42" s="42">
        <v>0</v>
      </c>
      <c r="H42" s="42">
        <v>5652.58</v>
      </c>
      <c r="I42" s="42">
        <v>0</v>
      </c>
      <c r="J42" s="42">
        <v>1576.27</v>
      </c>
      <c r="K42" s="43">
        <v>18915.2</v>
      </c>
      <c r="L42" s="32">
        <v>20491.47</v>
      </c>
      <c r="M42" s="33"/>
      <c r="N42" s="30">
        <v>18915.2</v>
      </c>
      <c r="O42" s="30">
        <v>13262.62</v>
      </c>
      <c r="P42" s="30"/>
      <c r="Q42" s="30">
        <f>(N42+O42*0.18+J42)+(IF((P42-O42*0.18)&gt;0,(P42-O42*0.18),0))</f>
        <v>22878.741600000001</v>
      </c>
      <c r="R42" s="7"/>
      <c r="S42" s="7"/>
      <c r="T42" s="7"/>
      <c r="U42" s="7"/>
      <c r="V42" s="7"/>
      <c r="W42" s="7"/>
      <c r="X42" s="7"/>
      <c r="Y42" s="7"/>
      <c r="Z42" s="7"/>
    </row>
    <row r="43" spans="1:26" ht="9" customHeight="1" x14ac:dyDescent="0.2">
      <c r="A43" s="534"/>
      <c r="B43" s="534"/>
      <c r="C43" s="34" t="s">
        <v>37</v>
      </c>
      <c r="D43" s="35">
        <v>37</v>
      </c>
      <c r="E43" s="36">
        <v>23136006</v>
      </c>
      <c r="F43" s="36">
        <v>2544007</v>
      </c>
      <c r="G43" s="36">
        <v>0</v>
      </c>
      <c r="H43" s="36">
        <v>10944921</v>
      </c>
      <c r="I43" s="36">
        <v>0</v>
      </c>
      <c r="J43" s="37">
        <v>3052084</v>
      </c>
      <c r="K43" s="36">
        <v>36624934</v>
      </c>
      <c r="L43" s="38">
        <v>39677019</v>
      </c>
      <c r="M43" s="39"/>
      <c r="N43" s="36">
        <v>36624934</v>
      </c>
      <c r="O43" s="36">
        <v>25680013</v>
      </c>
      <c r="P43" s="36">
        <v>0</v>
      </c>
      <c r="Q43" s="36">
        <f>Q42*1936.27</f>
        <v>44299420.997832</v>
      </c>
      <c r="R43" s="7"/>
      <c r="S43" s="7"/>
      <c r="T43" s="7"/>
      <c r="U43" s="7"/>
      <c r="V43" s="7"/>
      <c r="W43" s="7"/>
      <c r="X43" s="7"/>
      <c r="Y43" s="7"/>
      <c r="Z43" s="7"/>
    </row>
    <row r="44" spans="1:26" ht="12.75" customHeight="1" x14ac:dyDescent="0.2">
      <c r="A44" s="534"/>
      <c r="B44" s="534"/>
      <c r="C44" s="40" t="s">
        <v>36</v>
      </c>
      <c r="D44" s="41">
        <v>38</v>
      </c>
      <c r="E44" s="42">
        <v>12215.24</v>
      </c>
      <c r="F44" s="42">
        <v>1338.66</v>
      </c>
      <c r="G44" s="42">
        <v>0</v>
      </c>
      <c r="H44" s="42">
        <v>5652.58</v>
      </c>
      <c r="I44" s="42">
        <v>0</v>
      </c>
      <c r="J44" s="42">
        <v>1600.54</v>
      </c>
      <c r="K44" s="43">
        <v>19206.48</v>
      </c>
      <c r="L44" s="32">
        <v>20807.02</v>
      </c>
      <c r="M44" s="33"/>
      <c r="N44" s="30">
        <v>19206.48</v>
      </c>
      <c r="O44" s="30">
        <v>13553.9</v>
      </c>
      <c r="P44" s="30"/>
      <c r="Q44" s="30">
        <f>(N44+O44*0.18+J44)+(IF((P44-O44*0.18)&gt;0,(P44-O44*0.18),0))</f>
        <v>23246.722000000002</v>
      </c>
      <c r="R44" s="7"/>
      <c r="S44" s="7"/>
      <c r="T44" s="7"/>
      <c r="U44" s="7"/>
      <c r="V44" s="7"/>
      <c r="W44" s="7"/>
      <c r="X44" s="7"/>
      <c r="Y44" s="7"/>
      <c r="Z44" s="7"/>
    </row>
    <row r="45" spans="1:26" ht="9" customHeight="1" x14ac:dyDescent="0.2">
      <c r="A45" s="534"/>
      <c r="B45" s="534"/>
      <c r="C45" s="34" t="s">
        <v>37</v>
      </c>
      <c r="D45" s="35">
        <v>39</v>
      </c>
      <c r="E45" s="36">
        <v>23652003</v>
      </c>
      <c r="F45" s="36">
        <v>2592007</v>
      </c>
      <c r="G45" s="36">
        <v>0</v>
      </c>
      <c r="H45" s="36">
        <v>10944921</v>
      </c>
      <c r="I45" s="36">
        <v>0</v>
      </c>
      <c r="J45" s="37">
        <v>3099078</v>
      </c>
      <c r="K45" s="36">
        <v>37188931</v>
      </c>
      <c r="L45" s="38">
        <v>40288009</v>
      </c>
      <c r="M45" s="39"/>
      <c r="N45" s="36">
        <v>37188931</v>
      </c>
      <c r="O45" s="36">
        <v>26244010</v>
      </c>
      <c r="P45" s="36">
        <v>0</v>
      </c>
      <c r="Q45" s="36">
        <f>Q44*1936.27</f>
        <v>45011930.406940006</v>
      </c>
      <c r="R45" s="7"/>
      <c r="S45" s="7"/>
      <c r="T45" s="7"/>
      <c r="U45" s="7"/>
      <c r="V45" s="7"/>
      <c r="W45" s="7"/>
      <c r="X45" s="7"/>
      <c r="Y45" s="7"/>
      <c r="Z45" s="7"/>
    </row>
    <row r="46" spans="1:26" ht="12.75" customHeight="1" x14ac:dyDescent="0.2">
      <c r="A46" s="534"/>
      <c r="B46" s="534"/>
      <c r="C46" s="40" t="s">
        <v>36</v>
      </c>
      <c r="D46" s="41">
        <v>40</v>
      </c>
      <c r="E46" s="42">
        <v>12487.93</v>
      </c>
      <c r="F46" s="42">
        <v>1369.64</v>
      </c>
      <c r="G46" s="42">
        <v>0</v>
      </c>
      <c r="H46" s="42">
        <v>5652.58</v>
      </c>
      <c r="I46" s="42">
        <v>0</v>
      </c>
      <c r="J46" s="42">
        <v>1625.85</v>
      </c>
      <c r="K46" s="43">
        <v>19510.150000000001</v>
      </c>
      <c r="L46" s="32">
        <v>21136</v>
      </c>
      <c r="M46" s="33"/>
      <c r="N46" s="30">
        <v>19510.150000000001</v>
      </c>
      <c r="O46" s="30">
        <v>13857.57</v>
      </c>
      <c r="P46" s="30"/>
      <c r="Q46" s="30">
        <f>(N46+O46*0.18+J46)+(IF((P46-O46*0.18)&gt;0,(P46-O46*0.18),0))</f>
        <v>23630.3626</v>
      </c>
      <c r="R46" s="7"/>
      <c r="S46" s="7"/>
      <c r="T46" s="7"/>
      <c r="U46" s="7"/>
      <c r="V46" s="7"/>
      <c r="W46" s="7"/>
      <c r="X46" s="7"/>
      <c r="Y46" s="7"/>
      <c r="Z46" s="7"/>
    </row>
    <row r="47" spans="1:26" ht="12.75" customHeight="1" x14ac:dyDescent="0.2">
      <c r="A47" s="534"/>
      <c r="B47" s="534"/>
      <c r="C47" s="115"/>
      <c r="D47" s="45"/>
      <c r="E47" s="116"/>
      <c r="F47" s="116"/>
      <c r="G47" s="116"/>
      <c r="H47" s="116"/>
      <c r="I47" s="116"/>
      <c r="J47" s="117"/>
      <c r="K47" s="118"/>
      <c r="L47" s="119"/>
      <c r="M47" s="33"/>
      <c r="N47" s="116"/>
      <c r="O47" s="116"/>
      <c r="P47" s="116"/>
      <c r="Q47" s="116"/>
      <c r="R47" s="7"/>
      <c r="S47" s="7"/>
      <c r="T47" s="7"/>
      <c r="U47" s="7"/>
      <c r="V47" s="7"/>
      <c r="W47" s="7"/>
      <c r="X47" s="7"/>
      <c r="Y47" s="7"/>
      <c r="Z47" s="7"/>
    </row>
    <row r="48" spans="1:26" ht="12.75" customHeight="1" x14ac:dyDescent="0.2">
      <c r="A48" s="534"/>
      <c r="B48" s="534"/>
      <c r="C48" s="115"/>
      <c r="D48" s="45"/>
      <c r="E48" s="116"/>
      <c r="F48" s="116"/>
      <c r="G48" s="116"/>
      <c r="H48" s="116"/>
      <c r="I48" s="116"/>
      <c r="J48" s="117"/>
      <c r="K48" s="118"/>
      <c r="L48" s="119"/>
      <c r="M48" s="33"/>
      <c r="N48" s="116"/>
      <c r="O48" s="116"/>
      <c r="P48" s="116"/>
      <c r="Q48" s="116"/>
      <c r="R48" s="7"/>
      <c r="S48" s="7"/>
      <c r="T48" s="7"/>
      <c r="U48" s="7"/>
      <c r="V48" s="7"/>
      <c r="W48" s="7"/>
      <c r="X48" s="7"/>
      <c r="Y48" s="7"/>
      <c r="Z48" s="7"/>
    </row>
    <row r="49" spans="1:26" ht="9" customHeight="1" x14ac:dyDescent="0.2">
      <c r="A49" s="535"/>
      <c r="B49" s="535"/>
      <c r="C49" s="47"/>
      <c r="D49" s="48"/>
      <c r="E49" s="46">
        <v>24180004</v>
      </c>
      <c r="F49" s="46">
        <v>2651993</v>
      </c>
      <c r="G49" s="46">
        <v>0</v>
      </c>
      <c r="H49" s="46">
        <v>10944921</v>
      </c>
      <c r="I49" s="46">
        <v>0</v>
      </c>
      <c r="J49" s="49">
        <v>3148085</v>
      </c>
      <c r="K49" s="46">
        <v>37776918</v>
      </c>
      <c r="L49" s="38">
        <v>40925003</v>
      </c>
      <c r="M49" s="39"/>
      <c r="N49" s="46">
        <v>37776918</v>
      </c>
      <c r="O49" s="46">
        <v>26831997</v>
      </c>
      <c r="P49" s="46">
        <v>0</v>
      </c>
      <c r="Q49" s="36">
        <f>Q46*1936.27</f>
        <v>45754762.191501997</v>
      </c>
      <c r="R49" s="7"/>
      <c r="S49" s="7"/>
      <c r="T49" s="7"/>
      <c r="U49" s="7"/>
      <c r="V49" s="7"/>
      <c r="W49" s="7"/>
      <c r="X49" s="7"/>
      <c r="Y49" s="7"/>
      <c r="Z49" s="7"/>
    </row>
    <row r="50" spans="1:26" ht="12.75" customHeight="1" x14ac:dyDescent="0.2">
      <c r="A50" s="538">
        <v>33178</v>
      </c>
      <c r="B50" s="538">
        <v>33358</v>
      </c>
      <c r="C50" s="28" t="s">
        <v>36</v>
      </c>
      <c r="D50" s="29">
        <v>0</v>
      </c>
      <c r="E50" s="30">
        <v>5751.26</v>
      </c>
      <c r="F50" s="30">
        <v>632.14</v>
      </c>
      <c r="G50" s="30">
        <v>0</v>
      </c>
      <c r="H50" s="30">
        <v>5865</v>
      </c>
      <c r="I50" s="30">
        <v>0</v>
      </c>
      <c r="J50" s="30">
        <v>1020.7</v>
      </c>
      <c r="K50" s="31">
        <v>12248.4</v>
      </c>
      <c r="L50" s="32">
        <v>13269.1</v>
      </c>
      <c r="M50" s="33"/>
      <c r="N50" s="30">
        <v>12248.4</v>
      </c>
      <c r="O50" s="30">
        <v>6383.4</v>
      </c>
      <c r="P50" s="30"/>
      <c r="Q50" s="30">
        <f>(N50+O50*0.18+J50)+(IF((P50-O50*0.18)&gt;0,(P50-O50*0.18),0))</f>
        <v>14418.112000000001</v>
      </c>
      <c r="R50" s="7"/>
      <c r="S50" s="7"/>
      <c r="T50" s="7"/>
      <c r="U50" s="7"/>
      <c r="V50" s="7"/>
      <c r="W50" s="7"/>
      <c r="X50" s="7"/>
      <c r="Y50" s="7"/>
      <c r="Z50" s="7"/>
    </row>
    <row r="51" spans="1:26" ht="9" customHeight="1" x14ac:dyDescent="0.2">
      <c r="A51" s="534"/>
      <c r="B51" s="534"/>
      <c r="C51" s="34" t="s">
        <v>37</v>
      </c>
      <c r="D51" s="35">
        <v>2</v>
      </c>
      <c r="E51" s="36">
        <v>11135992</v>
      </c>
      <c r="F51" s="36">
        <v>1223994</v>
      </c>
      <c r="G51" s="36">
        <v>0</v>
      </c>
      <c r="H51" s="36">
        <v>11356224</v>
      </c>
      <c r="I51" s="36">
        <v>0</v>
      </c>
      <c r="J51" s="37">
        <v>1976351</v>
      </c>
      <c r="K51" s="36">
        <v>23716209</v>
      </c>
      <c r="L51" s="38">
        <v>25692560</v>
      </c>
      <c r="M51" s="39"/>
      <c r="N51" s="36">
        <v>23716209</v>
      </c>
      <c r="O51" s="36">
        <v>12359986</v>
      </c>
      <c r="P51" s="36">
        <v>0</v>
      </c>
      <c r="Q51" s="36">
        <f>Q50*1936.27</f>
        <v>27917357.722240001</v>
      </c>
      <c r="R51" s="7"/>
      <c r="S51" s="7"/>
      <c r="T51" s="7"/>
      <c r="U51" s="7"/>
      <c r="V51" s="7"/>
      <c r="W51" s="7"/>
      <c r="X51" s="7"/>
      <c r="Y51" s="7"/>
      <c r="Z51" s="7"/>
    </row>
    <row r="52" spans="1:26" ht="12.75" customHeight="1" x14ac:dyDescent="0.2">
      <c r="A52" s="540">
        <v>33178</v>
      </c>
      <c r="B52" s="540">
        <v>33358</v>
      </c>
      <c r="C52" s="40" t="s">
        <v>36</v>
      </c>
      <c r="D52" s="41">
        <v>3</v>
      </c>
      <c r="E52" s="42">
        <v>6061.14</v>
      </c>
      <c r="F52" s="42">
        <v>663.13</v>
      </c>
      <c r="G52" s="42">
        <v>0</v>
      </c>
      <c r="H52" s="42">
        <v>5865</v>
      </c>
      <c r="I52" s="42">
        <v>0</v>
      </c>
      <c r="J52" s="42">
        <v>1049.1099999999999</v>
      </c>
      <c r="K52" s="43">
        <v>12589.27</v>
      </c>
      <c r="L52" s="32">
        <v>13638.38</v>
      </c>
      <c r="M52" s="33"/>
      <c r="N52" s="30">
        <v>12589.27</v>
      </c>
      <c r="O52" s="30">
        <v>6724.27</v>
      </c>
      <c r="P52" s="30"/>
      <c r="Q52" s="30">
        <f>(N52+O52*0.18+J52)+(IF((P52-O52*0.18)&gt;0,(P52-O52*0.18),0))</f>
        <v>14848.748600000001</v>
      </c>
      <c r="R52" s="7"/>
      <c r="S52" s="7"/>
      <c r="T52" s="7"/>
      <c r="U52" s="7"/>
      <c r="V52" s="7"/>
      <c r="W52" s="7"/>
      <c r="X52" s="7"/>
      <c r="Y52" s="7"/>
      <c r="Z52" s="7"/>
    </row>
    <row r="53" spans="1:26" ht="9" customHeight="1" x14ac:dyDescent="0.2">
      <c r="A53" s="534"/>
      <c r="B53" s="534"/>
      <c r="C53" s="34" t="s">
        <v>37</v>
      </c>
      <c r="D53" s="35">
        <v>4</v>
      </c>
      <c r="E53" s="36">
        <v>11736004</v>
      </c>
      <c r="F53" s="36">
        <v>1283999</v>
      </c>
      <c r="G53" s="36">
        <v>0</v>
      </c>
      <c r="H53" s="36">
        <v>11356224</v>
      </c>
      <c r="I53" s="36">
        <v>0</v>
      </c>
      <c r="J53" s="37">
        <v>2031360</v>
      </c>
      <c r="K53" s="36">
        <v>24376226</v>
      </c>
      <c r="L53" s="38">
        <v>26407586</v>
      </c>
      <c r="M53" s="39"/>
      <c r="N53" s="36">
        <v>24376226</v>
      </c>
      <c r="O53" s="36">
        <v>13020002</v>
      </c>
      <c r="P53" s="36">
        <v>0</v>
      </c>
      <c r="Q53" s="36">
        <f>Q52*1936.27</f>
        <v>28751186.451722</v>
      </c>
      <c r="R53" s="7"/>
      <c r="S53" s="7"/>
      <c r="T53" s="7"/>
      <c r="U53" s="7"/>
      <c r="V53" s="7"/>
      <c r="W53" s="7"/>
      <c r="X53" s="7"/>
      <c r="Y53" s="7"/>
      <c r="Z53" s="7"/>
    </row>
    <row r="54" spans="1:26" ht="12.75" customHeight="1" x14ac:dyDescent="0.2">
      <c r="A54" s="534"/>
      <c r="B54" s="534"/>
      <c r="C54" s="40" t="s">
        <v>36</v>
      </c>
      <c r="D54" s="41">
        <v>5</v>
      </c>
      <c r="E54" s="42">
        <v>6371.01</v>
      </c>
      <c r="F54" s="42">
        <v>700.32</v>
      </c>
      <c r="G54" s="42">
        <v>0</v>
      </c>
      <c r="H54" s="42">
        <v>5865</v>
      </c>
      <c r="I54" s="42">
        <v>0</v>
      </c>
      <c r="J54" s="42">
        <v>1078.03</v>
      </c>
      <c r="K54" s="43">
        <v>12936.33</v>
      </c>
      <c r="L54" s="32">
        <v>14014.36</v>
      </c>
      <c r="M54" s="33"/>
      <c r="N54" s="30">
        <v>12936.33</v>
      </c>
      <c r="O54" s="30">
        <v>7071.33</v>
      </c>
      <c r="P54" s="30"/>
      <c r="Q54" s="30">
        <f>(N54+O54*0.18+J54)+(IF((P54-O54*0.18)&gt;0,(P54-O54*0.18),0))</f>
        <v>15287.1994</v>
      </c>
      <c r="R54" s="7"/>
      <c r="S54" s="7"/>
      <c r="T54" s="7"/>
      <c r="U54" s="7"/>
      <c r="V54" s="7"/>
      <c r="W54" s="7"/>
      <c r="X54" s="7"/>
      <c r="Y54" s="7"/>
      <c r="Z54" s="7"/>
    </row>
    <row r="55" spans="1:26" ht="9" customHeight="1" x14ac:dyDescent="0.2">
      <c r="A55" s="534"/>
      <c r="B55" s="534"/>
      <c r="C55" s="34" t="s">
        <v>37</v>
      </c>
      <c r="D55" s="35">
        <v>6</v>
      </c>
      <c r="E55" s="36">
        <v>12335996</v>
      </c>
      <c r="F55" s="36">
        <v>1356009</v>
      </c>
      <c r="G55" s="36">
        <v>0</v>
      </c>
      <c r="H55" s="36">
        <v>11356224</v>
      </c>
      <c r="I55" s="36">
        <v>0</v>
      </c>
      <c r="J55" s="37">
        <v>2087357</v>
      </c>
      <c r="K55" s="36">
        <v>25048228</v>
      </c>
      <c r="L55" s="38">
        <v>27135585</v>
      </c>
      <c r="M55" s="39"/>
      <c r="N55" s="36">
        <v>25048228</v>
      </c>
      <c r="O55" s="36">
        <v>13692004</v>
      </c>
      <c r="P55" s="36">
        <v>0</v>
      </c>
      <c r="Q55" s="36">
        <f>Q54*1936.27</f>
        <v>29600145.582238</v>
      </c>
      <c r="R55" s="7"/>
      <c r="S55" s="7"/>
      <c r="T55" s="7"/>
      <c r="U55" s="7"/>
      <c r="V55" s="7"/>
      <c r="W55" s="7"/>
      <c r="X55" s="7"/>
      <c r="Y55" s="7"/>
      <c r="Z55" s="7"/>
    </row>
    <row r="56" spans="1:26" ht="12.75" customHeight="1" x14ac:dyDescent="0.2">
      <c r="A56" s="534"/>
      <c r="B56" s="534"/>
      <c r="C56" s="40" t="s">
        <v>36</v>
      </c>
      <c r="D56" s="41">
        <v>7</v>
      </c>
      <c r="E56" s="42">
        <v>6674.69</v>
      </c>
      <c r="F56" s="42">
        <v>731.3</v>
      </c>
      <c r="G56" s="42">
        <v>0</v>
      </c>
      <c r="H56" s="42">
        <v>5865</v>
      </c>
      <c r="I56" s="42">
        <v>0</v>
      </c>
      <c r="J56" s="42">
        <v>1105.92</v>
      </c>
      <c r="K56" s="43">
        <v>13270.99</v>
      </c>
      <c r="L56" s="32">
        <v>14376.91</v>
      </c>
      <c r="M56" s="33"/>
      <c r="N56" s="30">
        <v>13270.99</v>
      </c>
      <c r="O56" s="30">
        <v>7405.99</v>
      </c>
      <c r="P56" s="30"/>
      <c r="Q56" s="30">
        <f>(N56+O56*0.18+J56)+(IF((P56-O56*0.18)&gt;0,(P56-O56*0.18),0))</f>
        <v>15709.9882</v>
      </c>
      <c r="R56" s="7"/>
      <c r="S56" s="7"/>
      <c r="T56" s="7"/>
      <c r="U56" s="7"/>
      <c r="V56" s="7"/>
      <c r="W56" s="7"/>
      <c r="X56" s="7"/>
      <c r="Y56" s="7"/>
      <c r="Z56" s="7"/>
    </row>
    <row r="57" spans="1:26" ht="9" customHeight="1" x14ac:dyDescent="0.2">
      <c r="A57" s="534"/>
      <c r="B57" s="534"/>
      <c r="C57" s="34" t="s">
        <v>37</v>
      </c>
      <c r="D57" s="35">
        <v>8</v>
      </c>
      <c r="E57" s="36">
        <v>12924002</v>
      </c>
      <c r="F57" s="36">
        <v>1415994</v>
      </c>
      <c r="G57" s="36">
        <v>0</v>
      </c>
      <c r="H57" s="36">
        <v>11356224</v>
      </c>
      <c r="I57" s="36">
        <v>0</v>
      </c>
      <c r="J57" s="37">
        <v>2141360</v>
      </c>
      <c r="K57" s="36">
        <v>25696220</v>
      </c>
      <c r="L57" s="38">
        <v>27837580</v>
      </c>
      <c r="M57" s="39"/>
      <c r="N57" s="36">
        <v>25696220</v>
      </c>
      <c r="O57" s="36">
        <v>14339996</v>
      </c>
      <c r="P57" s="36">
        <v>0</v>
      </c>
      <c r="Q57" s="36">
        <f>Q56*1936.27</f>
        <v>30418778.852013998</v>
      </c>
      <c r="R57" s="7"/>
      <c r="S57" s="7"/>
      <c r="T57" s="7"/>
      <c r="U57" s="7"/>
      <c r="V57" s="7"/>
      <c r="W57" s="7"/>
      <c r="X57" s="7"/>
      <c r="Y57" s="7"/>
      <c r="Z57" s="7"/>
    </row>
    <row r="58" spans="1:26" ht="12.75" customHeight="1" x14ac:dyDescent="0.2">
      <c r="A58" s="534"/>
      <c r="B58" s="534"/>
      <c r="C58" s="40" t="s">
        <v>36</v>
      </c>
      <c r="D58" s="41">
        <v>9</v>
      </c>
      <c r="E58" s="42">
        <v>7027.95</v>
      </c>
      <c r="F58" s="42">
        <v>768.49</v>
      </c>
      <c r="G58" s="42">
        <v>0</v>
      </c>
      <c r="H58" s="42">
        <v>5865</v>
      </c>
      <c r="I58" s="42">
        <v>0</v>
      </c>
      <c r="J58" s="42">
        <v>1138.45</v>
      </c>
      <c r="K58" s="43">
        <v>13661.44</v>
      </c>
      <c r="L58" s="32">
        <v>14799.89</v>
      </c>
      <c r="M58" s="33"/>
      <c r="N58" s="30">
        <v>13661.44</v>
      </c>
      <c r="O58" s="30">
        <v>7796.44</v>
      </c>
      <c r="P58" s="30"/>
      <c r="Q58" s="30">
        <f>(N58+O58*0.18+J58)+(IF((P58-O58*0.18)&gt;0,(P58-O58*0.18),0))</f>
        <v>16203.249200000002</v>
      </c>
      <c r="R58" s="7"/>
      <c r="S58" s="7"/>
      <c r="T58" s="7"/>
      <c r="U58" s="7"/>
      <c r="V58" s="7"/>
      <c r="W58" s="7"/>
      <c r="X58" s="7"/>
      <c r="Y58" s="7"/>
      <c r="Z58" s="7"/>
    </row>
    <row r="59" spans="1:26" ht="9" customHeight="1" x14ac:dyDescent="0.2">
      <c r="A59" s="534"/>
      <c r="B59" s="534"/>
      <c r="C59" s="34" t="s">
        <v>37</v>
      </c>
      <c r="D59" s="35">
        <v>10</v>
      </c>
      <c r="E59" s="36">
        <v>13608009</v>
      </c>
      <c r="F59" s="36">
        <v>1488004</v>
      </c>
      <c r="G59" s="36">
        <v>0</v>
      </c>
      <c r="H59" s="36">
        <v>11356224</v>
      </c>
      <c r="I59" s="36">
        <v>0</v>
      </c>
      <c r="J59" s="37">
        <v>2204347</v>
      </c>
      <c r="K59" s="36">
        <v>26452236</v>
      </c>
      <c r="L59" s="38">
        <v>28656583</v>
      </c>
      <c r="M59" s="39"/>
      <c r="N59" s="36">
        <v>26452236</v>
      </c>
      <c r="O59" s="36">
        <v>15096013</v>
      </c>
      <c r="P59" s="36">
        <v>0</v>
      </c>
      <c r="Q59" s="36">
        <f>Q58*1936.27</f>
        <v>31373865.328484003</v>
      </c>
      <c r="R59" s="7"/>
      <c r="S59" s="7"/>
      <c r="T59" s="7"/>
      <c r="U59" s="7"/>
      <c r="V59" s="7"/>
      <c r="W59" s="7"/>
      <c r="X59" s="7"/>
      <c r="Y59" s="7"/>
      <c r="Z59" s="7"/>
    </row>
    <row r="60" spans="1:26" ht="12.75" customHeight="1" x14ac:dyDescent="0.2">
      <c r="A60" s="534"/>
      <c r="B60" s="534"/>
      <c r="C60" s="40" t="s">
        <v>36</v>
      </c>
      <c r="D60" s="41">
        <v>11</v>
      </c>
      <c r="E60" s="42">
        <v>7387.4</v>
      </c>
      <c r="F60" s="42">
        <v>811.87</v>
      </c>
      <c r="G60" s="42">
        <v>0</v>
      </c>
      <c r="H60" s="42">
        <v>5865</v>
      </c>
      <c r="I60" s="42">
        <v>0</v>
      </c>
      <c r="J60" s="42">
        <v>1172.02</v>
      </c>
      <c r="K60" s="43">
        <v>14064.27</v>
      </c>
      <c r="L60" s="32">
        <v>15236.29</v>
      </c>
      <c r="M60" s="33"/>
      <c r="N60" s="30">
        <v>14064.27</v>
      </c>
      <c r="O60" s="30">
        <v>8199.27</v>
      </c>
      <c r="P60" s="30"/>
      <c r="Q60" s="30">
        <f>(N60+O60*0.18+J60)+(IF((P60-O60*0.18)&gt;0,(P60-O60*0.18),0))</f>
        <v>16712.158599999999</v>
      </c>
      <c r="R60" s="7"/>
      <c r="S60" s="7"/>
      <c r="T60" s="7"/>
      <c r="U60" s="7"/>
      <c r="V60" s="7"/>
      <c r="W60" s="7"/>
      <c r="X60" s="7"/>
      <c r="Y60" s="7"/>
      <c r="Z60" s="7"/>
    </row>
    <row r="61" spans="1:26" ht="9" customHeight="1" x14ac:dyDescent="0.2">
      <c r="A61" s="534"/>
      <c r="B61" s="534"/>
      <c r="C61" s="34" t="s">
        <v>37</v>
      </c>
      <c r="D61" s="35">
        <v>12</v>
      </c>
      <c r="E61" s="36">
        <v>14304001</v>
      </c>
      <c r="F61" s="36">
        <v>1572000</v>
      </c>
      <c r="G61" s="36">
        <v>0</v>
      </c>
      <c r="H61" s="36">
        <v>11356224</v>
      </c>
      <c r="I61" s="36">
        <v>0</v>
      </c>
      <c r="J61" s="37">
        <v>2269347</v>
      </c>
      <c r="K61" s="36">
        <v>27232224</v>
      </c>
      <c r="L61" s="38">
        <v>29501571</v>
      </c>
      <c r="M61" s="39"/>
      <c r="N61" s="36">
        <v>27232224</v>
      </c>
      <c r="O61" s="36">
        <v>15876001</v>
      </c>
      <c r="P61" s="36">
        <v>0</v>
      </c>
      <c r="Q61" s="36">
        <f>Q60*1936.27</f>
        <v>32359251.332421996</v>
      </c>
      <c r="R61" s="7"/>
      <c r="S61" s="7"/>
      <c r="T61" s="7"/>
      <c r="U61" s="7"/>
      <c r="V61" s="7"/>
      <c r="W61" s="7"/>
      <c r="X61" s="7"/>
      <c r="Y61" s="7"/>
      <c r="Z61" s="7"/>
    </row>
    <row r="62" spans="1:26" ht="12.75" customHeight="1" x14ac:dyDescent="0.2">
      <c r="A62" s="534"/>
      <c r="B62" s="534"/>
      <c r="C62" s="40" t="s">
        <v>36</v>
      </c>
      <c r="D62" s="41">
        <v>13</v>
      </c>
      <c r="E62" s="42">
        <v>7740.66</v>
      </c>
      <c r="F62" s="42">
        <v>849.06</v>
      </c>
      <c r="G62" s="42">
        <v>0</v>
      </c>
      <c r="H62" s="42">
        <v>5865</v>
      </c>
      <c r="I62" s="42">
        <v>0</v>
      </c>
      <c r="J62" s="42">
        <v>1204.56</v>
      </c>
      <c r="K62" s="43">
        <v>14454.72</v>
      </c>
      <c r="L62" s="32">
        <v>15659.28</v>
      </c>
      <c r="M62" s="33"/>
      <c r="N62" s="30">
        <v>14454.72</v>
      </c>
      <c r="O62" s="30">
        <v>8589.7199999999993</v>
      </c>
      <c r="P62" s="30"/>
      <c r="Q62" s="30">
        <f>(N62+O62*0.18+J62)+(IF((P62-O62*0.18)&gt;0,(P62-O62*0.18),0))</f>
        <v>17205.429599999999</v>
      </c>
      <c r="R62" s="7"/>
      <c r="S62" s="7"/>
      <c r="T62" s="7"/>
      <c r="U62" s="7"/>
      <c r="V62" s="7"/>
      <c r="W62" s="7"/>
      <c r="X62" s="7"/>
      <c r="Y62" s="7"/>
      <c r="Z62" s="7"/>
    </row>
    <row r="63" spans="1:26" ht="9" customHeight="1" x14ac:dyDescent="0.2">
      <c r="A63" s="534"/>
      <c r="B63" s="534"/>
      <c r="C63" s="34" t="s">
        <v>37</v>
      </c>
      <c r="D63" s="35">
        <v>14</v>
      </c>
      <c r="E63" s="36">
        <v>14988008</v>
      </c>
      <c r="F63" s="36">
        <v>1644009</v>
      </c>
      <c r="G63" s="36">
        <v>0</v>
      </c>
      <c r="H63" s="36">
        <v>11356224</v>
      </c>
      <c r="I63" s="36">
        <v>0</v>
      </c>
      <c r="J63" s="37">
        <v>2332353</v>
      </c>
      <c r="K63" s="36">
        <v>27988241</v>
      </c>
      <c r="L63" s="38">
        <v>30320594</v>
      </c>
      <c r="M63" s="39"/>
      <c r="N63" s="36">
        <v>27988241</v>
      </c>
      <c r="O63" s="36">
        <v>16632017</v>
      </c>
      <c r="P63" s="36">
        <v>0</v>
      </c>
      <c r="Q63" s="36">
        <f>Q62*1936.27</f>
        <v>33314357.171591997</v>
      </c>
      <c r="R63" s="7"/>
      <c r="S63" s="7"/>
      <c r="T63" s="7"/>
      <c r="U63" s="7"/>
      <c r="V63" s="7"/>
      <c r="W63" s="7"/>
      <c r="X63" s="7"/>
      <c r="Y63" s="7"/>
      <c r="Z63" s="7"/>
    </row>
    <row r="64" spans="1:26" ht="12.75" customHeight="1" x14ac:dyDescent="0.2">
      <c r="A64" s="534"/>
      <c r="B64" s="534"/>
      <c r="C64" s="40" t="s">
        <v>36</v>
      </c>
      <c r="D64" s="41">
        <v>15</v>
      </c>
      <c r="E64" s="42">
        <v>8155.89</v>
      </c>
      <c r="F64" s="42">
        <v>892.44</v>
      </c>
      <c r="G64" s="42">
        <v>0</v>
      </c>
      <c r="H64" s="42">
        <v>5865</v>
      </c>
      <c r="I64" s="42">
        <v>0</v>
      </c>
      <c r="J64" s="42">
        <v>1242.78</v>
      </c>
      <c r="K64" s="43">
        <v>14913.33</v>
      </c>
      <c r="L64" s="32">
        <v>16156.11</v>
      </c>
      <c r="M64" s="33"/>
      <c r="N64" s="30">
        <v>14913.33</v>
      </c>
      <c r="O64" s="30">
        <v>9048.33</v>
      </c>
      <c r="P64" s="30"/>
      <c r="Q64" s="30">
        <f>(N64+O64*0.18+J64)+(IF((P64-O64*0.18)&gt;0,(P64-O64*0.18),0))</f>
        <v>17784.809399999998</v>
      </c>
      <c r="R64" s="7"/>
      <c r="S64" s="7"/>
      <c r="T64" s="7"/>
      <c r="U64" s="7"/>
      <c r="V64" s="7"/>
      <c r="W64" s="7"/>
      <c r="X64" s="7"/>
      <c r="Y64" s="7"/>
      <c r="Z64" s="7"/>
    </row>
    <row r="65" spans="1:26" ht="9" customHeight="1" x14ac:dyDescent="0.2">
      <c r="A65" s="534"/>
      <c r="B65" s="534"/>
      <c r="C65" s="34" t="s">
        <v>37</v>
      </c>
      <c r="D65" s="35">
        <v>16</v>
      </c>
      <c r="E65" s="36">
        <v>15792005</v>
      </c>
      <c r="F65" s="36">
        <v>1728005</v>
      </c>
      <c r="G65" s="36">
        <v>0</v>
      </c>
      <c r="H65" s="36">
        <v>11356224</v>
      </c>
      <c r="I65" s="36">
        <v>0</v>
      </c>
      <c r="J65" s="37">
        <v>2406358</v>
      </c>
      <c r="K65" s="36">
        <v>28876233</v>
      </c>
      <c r="L65" s="38">
        <v>31282591</v>
      </c>
      <c r="M65" s="39"/>
      <c r="N65" s="36">
        <v>28876233</v>
      </c>
      <c r="O65" s="36">
        <v>17520010</v>
      </c>
      <c r="P65" s="36">
        <v>0</v>
      </c>
      <c r="Q65" s="36">
        <f>Q64*1936.27</f>
        <v>34436192.896937996</v>
      </c>
      <c r="R65" s="7"/>
      <c r="S65" s="7"/>
      <c r="T65" s="7"/>
      <c r="U65" s="7"/>
      <c r="V65" s="7"/>
      <c r="W65" s="7"/>
      <c r="X65" s="7"/>
      <c r="Y65" s="7"/>
      <c r="Z65" s="7"/>
    </row>
    <row r="66" spans="1:26" ht="12.75" customHeight="1" x14ac:dyDescent="0.2">
      <c r="A66" s="534"/>
      <c r="B66" s="534"/>
      <c r="C66" s="40" t="s">
        <v>36</v>
      </c>
      <c r="D66" s="41">
        <v>17</v>
      </c>
      <c r="E66" s="42">
        <v>8571.1200000000008</v>
      </c>
      <c r="F66" s="42">
        <v>942.02</v>
      </c>
      <c r="G66" s="42">
        <v>0</v>
      </c>
      <c r="H66" s="42">
        <v>5865</v>
      </c>
      <c r="I66" s="42">
        <v>0</v>
      </c>
      <c r="J66" s="42">
        <v>1281.51</v>
      </c>
      <c r="K66" s="43">
        <v>15378.14</v>
      </c>
      <c r="L66" s="32">
        <v>16659.650000000001</v>
      </c>
      <c r="M66" s="33"/>
      <c r="N66" s="30">
        <v>15378.14</v>
      </c>
      <c r="O66" s="30">
        <v>9513.14</v>
      </c>
      <c r="P66" s="30"/>
      <c r="Q66" s="30">
        <f>(N66+O66*0.18+J66)+(IF((P66-O66*0.18)&gt;0,(P66-O66*0.18),0))</f>
        <v>18372.015199999998</v>
      </c>
      <c r="R66" s="7"/>
      <c r="S66" s="7"/>
      <c r="T66" s="7"/>
      <c r="U66" s="7"/>
      <c r="V66" s="7"/>
      <c r="W66" s="7"/>
      <c r="X66" s="7"/>
      <c r="Y66" s="7"/>
      <c r="Z66" s="7"/>
    </row>
    <row r="67" spans="1:26" ht="9" customHeight="1" x14ac:dyDescent="0.2">
      <c r="A67" s="534"/>
      <c r="B67" s="534"/>
      <c r="C67" s="34" t="s">
        <v>37</v>
      </c>
      <c r="D67" s="35">
        <v>18</v>
      </c>
      <c r="E67" s="36">
        <v>16596003</v>
      </c>
      <c r="F67" s="36">
        <v>1824005</v>
      </c>
      <c r="G67" s="36">
        <v>0</v>
      </c>
      <c r="H67" s="36">
        <v>11356224</v>
      </c>
      <c r="I67" s="36">
        <v>0</v>
      </c>
      <c r="J67" s="37">
        <v>2481349</v>
      </c>
      <c r="K67" s="36">
        <v>29776231</v>
      </c>
      <c r="L67" s="38">
        <v>32257581</v>
      </c>
      <c r="M67" s="39"/>
      <c r="N67" s="36">
        <v>29776231</v>
      </c>
      <c r="O67" s="36">
        <v>18420008</v>
      </c>
      <c r="P67" s="36">
        <v>0</v>
      </c>
      <c r="Q67" s="36">
        <f>Q66*1936.27</f>
        <v>35573181.871303998</v>
      </c>
      <c r="R67" s="7"/>
      <c r="S67" s="7"/>
      <c r="T67" s="7"/>
      <c r="U67" s="7"/>
      <c r="V67" s="7"/>
      <c r="W67" s="7"/>
      <c r="X67" s="7"/>
      <c r="Y67" s="7"/>
      <c r="Z67" s="7"/>
    </row>
    <row r="68" spans="1:26" ht="12.75" customHeight="1" x14ac:dyDescent="0.2">
      <c r="A68" s="534"/>
      <c r="B68" s="534"/>
      <c r="C68" s="40" t="s">
        <v>36</v>
      </c>
      <c r="D68" s="41">
        <v>19</v>
      </c>
      <c r="E68" s="42">
        <v>8980.15</v>
      </c>
      <c r="F68" s="42">
        <v>985.4</v>
      </c>
      <c r="G68" s="42">
        <v>0</v>
      </c>
      <c r="H68" s="42">
        <v>5865</v>
      </c>
      <c r="I68" s="42">
        <v>0</v>
      </c>
      <c r="J68" s="42">
        <v>1319.21</v>
      </c>
      <c r="K68" s="43">
        <v>15830.55</v>
      </c>
      <c r="L68" s="32">
        <v>17149.759999999998</v>
      </c>
      <c r="M68" s="33"/>
      <c r="N68" s="30">
        <v>15830.55</v>
      </c>
      <c r="O68" s="30">
        <v>9965.5499999999993</v>
      </c>
      <c r="P68" s="30"/>
      <c r="Q68" s="30">
        <f>(N68+O68*0.18+J68)+(IF((P68-O68*0.18)&gt;0,(P68-O68*0.18),0))</f>
        <v>18943.558999999997</v>
      </c>
      <c r="R68" s="7"/>
      <c r="S68" s="7"/>
      <c r="T68" s="7"/>
      <c r="U68" s="7"/>
      <c r="V68" s="7"/>
      <c r="W68" s="7"/>
      <c r="X68" s="7"/>
      <c r="Y68" s="7"/>
      <c r="Z68" s="7"/>
    </row>
    <row r="69" spans="1:26" ht="9" customHeight="1" x14ac:dyDescent="0.2">
      <c r="A69" s="534"/>
      <c r="B69" s="534"/>
      <c r="C69" s="34" t="s">
        <v>37</v>
      </c>
      <c r="D69" s="35">
        <v>19</v>
      </c>
      <c r="E69" s="36">
        <v>17387995</v>
      </c>
      <c r="F69" s="36">
        <v>1908000</v>
      </c>
      <c r="G69" s="36">
        <v>0</v>
      </c>
      <c r="H69" s="36">
        <v>11356224</v>
      </c>
      <c r="I69" s="36">
        <v>0</v>
      </c>
      <c r="J69" s="37">
        <v>2554347</v>
      </c>
      <c r="K69" s="36">
        <v>30652219</v>
      </c>
      <c r="L69" s="38">
        <v>33206566</v>
      </c>
      <c r="M69" s="39"/>
      <c r="N69" s="36">
        <v>30652219</v>
      </c>
      <c r="O69" s="36">
        <v>19295995</v>
      </c>
      <c r="P69" s="36">
        <v>0</v>
      </c>
      <c r="Q69" s="36">
        <f>Q68*1936.27</f>
        <v>36679844.984929994</v>
      </c>
      <c r="R69" s="7"/>
      <c r="S69" s="7"/>
      <c r="T69" s="7"/>
      <c r="U69" s="7"/>
      <c r="V69" s="7"/>
      <c r="W69" s="7"/>
      <c r="X69" s="7"/>
      <c r="Y69" s="7"/>
      <c r="Z69" s="7"/>
    </row>
    <row r="70" spans="1:26" ht="12.75" customHeight="1" x14ac:dyDescent="0.2">
      <c r="A70" s="534"/>
      <c r="B70" s="534"/>
      <c r="C70" s="40" t="s">
        <v>36</v>
      </c>
      <c r="D70" s="41">
        <v>20</v>
      </c>
      <c r="E70" s="42">
        <v>9792.02</v>
      </c>
      <c r="F70" s="42">
        <v>1072.1600000000001</v>
      </c>
      <c r="G70" s="42">
        <v>0</v>
      </c>
      <c r="H70" s="42">
        <v>5865</v>
      </c>
      <c r="I70" s="42">
        <v>0</v>
      </c>
      <c r="J70" s="42">
        <v>1394.1</v>
      </c>
      <c r="K70" s="43">
        <v>16729.18</v>
      </c>
      <c r="L70" s="32">
        <v>18123.28</v>
      </c>
      <c r="M70" s="33"/>
      <c r="N70" s="30">
        <v>16729.18</v>
      </c>
      <c r="O70" s="30">
        <v>10864.18</v>
      </c>
      <c r="P70" s="30"/>
      <c r="Q70" s="30">
        <f>(N70+O70*0.18+J70)+(IF((P70-O70*0.18)&gt;0,(P70-O70*0.18),0))</f>
        <v>20078.832399999999</v>
      </c>
      <c r="R70" s="7"/>
      <c r="S70" s="7"/>
      <c r="T70" s="7"/>
      <c r="U70" s="7"/>
      <c r="V70" s="7"/>
      <c r="W70" s="7"/>
      <c r="X70" s="7"/>
      <c r="Y70" s="7"/>
      <c r="Z70" s="7"/>
    </row>
    <row r="71" spans="1:26" ht="9" customHeight="1" x14ac:dyDescent="0.2">
      <c r="A71" s="534"/>
      <c r="B71" s="534"/>
      <c r="C71" s="34" t="s">
        <v>37</v>
      </c>
      <c r="D71" s="35">
        <v>21</v>
      </c>
      <c r="E71" s="36">
        <v>18959995</v>
      </c>
      <c r="F71" s="36">
        <v>2075991</v>
      </c>
      <c r="G71" s="36">
        <v>0</v>
      </c>
      <c r="H71" s="36">
        <v>11356224</v>
      </c>
      <c r="I71" s="36">
        <v>0</v>
      </c>
      <c r="J71" s="37">
        <v>2699354</v>
      </c>
      <c r="K71" s="36">
        <v>32392209</v>
      </c>
      <c r="L71" s="38">
        <v>35091563</v>
      </c>
      <c r="M71" s="39"/>
      <c r="N71" s="36">
        <v>32392209</v>
      </c>
      <c r="O71" s="36">
        <v>21035986</v>
      </c>
      <c r="P71" s="36">
        <v>0</v>
      </c>
      <c r="Q71" s="36">
        <f>Q70*1936.27</f>
        <v>38878040.811147995</v>
      </c>
      <c r="R71" s="7"/>
      <c r="S71" s="7"/>
      <c r="T71" s="7"/>
      <c r="U71" s="7"/>
      <c r="V71" s="7"/>
      <c r="W71" s="7"/>
      <c r="X71" s="7"/>
      <c r="Y71" s="7"/>
      <c r="Z71" s="7"/>
    </row>
    <row r="72" spans="1:26" ht="12.75" customHeight="1" x14ac:dyDescent="0.2">
      <c r="A72" s="534"/>
      <c r="B72" s="534"/>
      <c r="C72" s="40" t="s">
        <v>36</v>
      </c>
      <c r="D72" s="41">
        <v>22</v>
      </c>
      <c r="E72" s="42">
        <v>10058.51</v>
      </c>
      <c r="F72" s="42">
        <v>1103.1500000000001</v>
      </c>
      <c r="G72" s="42">
        <v>0</v>
      </c>
      <c r="H72" s="42">
        <v>5865</v>
      </c>
      <c r="I72" s="42">
        <v>0</v>
      </c>
      <c r="J72" s="42">
        <v>1418.89</v>
      </c>
      <c r="K72" s="43">
        <v>17026.66</v>
      </c>
      <c r="L72" s="32">
        <v>18445.55</v>
      </c>
      <c r="M72" s="33"/>
      <c r="N72" s="30">
        <v>17026.66</v>
      </c>
      <c r="O72" s="30">
        <v>11161.66</v>
      </c>
      <c r="P72" s="30"/>
      <c r="Q72" s="30">
        <f>(N72+O72*0.18+J72)+(IF((P72-O72*0.18)&gt;0,(P72-O72*0.18),0))</f>
        <v>20454.648799999999</v>
      </c>
      <c r="R72" s="7"/>
      <c r="S72" s="7"/>
      <c r="T72" s="7"/>
      <c r="U72" s="7"/>
      <c r="V72" s="7"/>
      <c r="W72" s="7"/>
      <c r="X72" s="7"/>
      <c r="Y72" s="7"/>
      <c r="Z72" s="7"/>
    </row>
    <row r="73" spans="1:26" ht="9" customHeight="1" x14ac:dyDescent="0.2">
      <c r="A73" s="534"/>
      <c r="B73" s="534"/>
      <c r="C73" s="34" t="s">
        <v>37</v>
      </c>
      <c r="D73" s="35">
        <v>23</v>
      </c>
      <c r="E73" s="36">
        <v>19475991</v>
      </c>
      <c r="F73" s="36">
        <v>2135996</v>
      </c>
      <c r="G73" s="36">
        <v>0</v>
      </c>
      <c r="H73" s="36">
        <v>11356224</v>
      </c>
      <c r="I73" s="36">
        <v>0</v>
      </c>
      <c r="J73" s="37">
        <v>2747354</v>
      </c>
      <c r="K73" s="36">
        <v>32968211</v>
      </c>
      <c r="L73" s="38">
        <v>35715565</v>
      </c>
      <c r="M73" s="39"/>
      <c r="N73" s="36">
        <v>32968211</v>
      </c>
      <c r="O73" s="36">
        <v>21611987</v>
      </c>
      <c r="P73" s="36">
        <v>0</v>
      </c>
      <c r="Q73" s="36">
        <f>Q72*1936.27</f>
        <v>39605722.831975996</v>
      </c>
      <c r="R73" s="7"/>
      <c r="S73" s="7"/>
      <c r="T73" s="7"/>
      <c r="U73" s="7"/>
      <c r="V73" s="7"/>
      <c r="W73" s="7"/>
      <c r="X73" s="7"/>
      <c r="Y73" s="7"/>
      <c r="Z73" s="7"/>
    </row>
    <row r="74" spans="1:26" ht="12.75" customHeight="1" x14ac:dyDescent="0.2">
      <c r="A74" s="534"/>
      <c r="B74" s="534"/>
      <c r="C74" s="40" t="s">
        <v>36</v>
      </c>
      <c r="D74" s="41">
        <v>24</v>
      </c>
      <c r="E74" s="42">
        <v>10331.200000000001</v>
      </c>
      <c r="F74" s="42">
        <v>1134.1400000000001</v>
      </c>
      <c r="G74" s="42">
        <v>0</v>
      </c>
      <c r="H74" s="42">
        <v>5865</v>
      </c>
      <c r="I74" s="42">
        <v>0</v>
      </c>
      <c r="J74" s="42">
        <v>1444.2</v>
      </c>
      <c r="K74" s="43">
        <v>17330.34</v>
      </c>
      <c r="L74" s="32">
        <v>18774.54</v>
      </c>
      <c r="M74" s="33"/>
      <c r="N74" s="30">
        <v>17330.34</v>
      </c>
      <c r="O74" s="30">
        <v>11465.34</v>
      </c>
      <c r="P74" s="30"/>
      <c r="Q74" s="30">
        <f>(N74+O74*0.18+J74)+(IF((P74-O74*0.18)&gt;0,(P74-O74*0.18),0))</f>
        <v>20838.301200000002</v>
      </c>
      <c r="R74" s="7"/>
      <c r="S74" s="7"/>
      <c r="T74" s="7"/>
      <c r="U74" s="7"/>
      <c r="V74" s="7"/>
      <c r="W74" s="7"/>
      <c r="X74" s="7"/>
      <c r="Y74" s="7"/>
      <c r="Z74" s="7"/>
    </row>
    <row r="75" spans="1:26" ht="9" customHeight="1" x14ac:dyDescent="0.2">
      <c r="A75" s="534"/>
      <c r="B75" s="534"/>
      <c r="C75" s="34" t="s">
        <v>37</v>
      </c>
      <c r="D75" s="35">
        <v>25</v>
      </c>
      <c r="E75" s="36">
        <v>20003993</v>
      </c>
      <c r="F75" s="36">
        <v>2196001</v>
      </c>
      <c r="G75" s="36">
        <v>0</v>
      </c>
      <c r="H75" s="36">
        <v>11356224</v>
      </c>
      <c r="I75" s="36">
        <v>0</v>
      </c>
      <c r="J75" s="37">
        <v>2796361</v>
      </c>
      <c r="K75" s="36">
        <v>33556217</v>
      </c>
      <c r="L75" s="38">
        <v>36352579</v>
      </c>
      <c r="M75" s="39"/>
      <c r="N75" s="36">
        <v>33556217</v>
      </c>
      <c r="O75" s="36">
        <v>22199994</v>
      </c>
      <c r="P75" s="36">
        <v>0</v>
      </c>
      <c r="Q75" s="36">
        <f>Q74*1936.27</f>
        <v>40348577.464524001</v>
      </c>
      <c r="R75" s="7"/>
      <c r="S75" s="7"/>
      <c r="T75" s="7"/>
      <c r="U75" s="7"/>
      <c r="V75" s="7"/>
      <c r="W75" s="7"/>
      <c r="X75" s="7"/>
      <c r="Y75" s="7"/>
      <c r="Z75" s="7"/>
    </row>
    <row r="76" spans="1:26" ht="12.75" customHeight="1" x14ac:dyDescent="0.2">
      <c r="A76" s="534"/>
      <c r="B76" s="534"/>
      <c r="C76" s="40" t="s">
        <v>36</v>
      </c>
      <c r="D76" s="41">
        <v>26</v>
      </c>
      <c r="E76" s="42">
        <v>10603.89</v>
      </c>
      <c r="F76" s="42">
        <v>1165.1300000000001</v>
      </c>
      <c r="G76" s="42">
        <v>0</v>
      </c>
      <c r="H76" s="42">
        <v>5865</v>
      </c>
      <c r="I76" s="42">
        <v>0</v>
      </c>
      <c r="J76" s="42">
        <v>1469.5</v>
      </c>
      <c r="K76" s="43">
        <v>17634.02</v>
      </c>
      <c r="L76" s="32">
        <v>19103.52</v>
      </c>
      <c r="M76" s="33"/>
      <c r="N76" s="30">
        <v>17634.02</v>
      </c>
      <c r="O76" s="30">
        <v>11769.02</v>
      </c>
      <c r="P76" s="30"/>
      <c r="Q76" s="30">
        <f>(N76+O76*0.18+J76)+(IF((P76-O76*0.18)&gt;0,(P76-O76*0.18),0))</f>
        <v>21221.943599999999</v>
      </c>
      <c r="R76" s="7"/>
      <c r="S76" s="7"/>
      <c r="T76" s="7"/>
      <c r="U76" s="7"/>
      <c r="V76" s="7"/>
      <c r="W76" s="7"/>
      <c r="X76" s="7"/>
      <c r="Y76" s="7"/>
      <c r="Z76" s="7"/>
    </row>
    <row r="77" spans="1:26" ht="9" customHeight="1" x14ac:dyDescent="0.2">
      <c r="A77" s="534"/>
      <c r="B77" s="534"/>
      <c r="C77" s="34" t="s">
        <v>37</v>
      </c>
      <c r="D77" s="35">
        <v>27</v>
      </c>
      <c r="E77" s="36">
        <v>20531994</v>
      </c>
      <c r="F77" s="36">
        <v>2256006</v>
      </c>
      <c r="G77" s="36">
        <v>0</v>
      </c>
      <c r="H77" s="36">
        <v>11356224</v>
      </c>
      <c r="I77" s="36">
        <v>0</v>
      </c>
      <c r="J77" s="37">
        <v>2845349</v>
      </c>
      <c r="K77" s="36">
        <v>34144224</v>
      </c>
      <c r="L77" s="38">
        <v>36989573</v>
      </c>
      <c r="M77" s="39"/>
      <c r="N77" s="36">
        <v>34144224</v>
      </c>
      <c r="O77" s="36">
        <v>22788000</v>
      </c>
      <c r="P77" s="36">
        <v>0</v>
      </c>
      <c r="Q77" s="36">
        <f>Q76*1936.27</f>
        <v>41091412.734371997</v>
      </c>
      <c r="R77" s="7"/>
      <c r="S77" s="7"/>
      <c r="T77" s="7"/>
      <c r="U77" s="7"/>
      <c r="V77" s="7"/>
      <c r="W77" s="7"/>
      <c r="X77" s="7"/>
      <c r="Y77" s="7"/>
      <c r="Z77" s="7"/>
    </row>
    <row r="78" spans="1:26" ht="12.75" customHeight="1" x14ac:dyDescent="0.2">
      <c r="A78" s="534"/>
      <c r="B78" s="534"/>
      <c r="C78" s="40" t="s">
        <v>36</v>
      </c>
      <c r="D78" s="41">
        <v>28</v>
      </c>
      <c r="E78" s="42">
        <v>10870.38</v>
      </c>
      <c r="F78" s="42">
        <v>1189.92</v>
      </c>
      <c r="G78" s="42">
        <v>0</v>
      </c>
      <c r="H78" s="42">
        <v>5865</v>
      </c>
      <c r="I78" s="42">
        <v>0</v>
      </c>
      <c r="J78" s="42">
        <v>1493.78</v>
      </c>
      <c r="K78" s="43">
        <v>17925.3</v>
      </c>
      <c r="L78" s="32">
        <v>19419.080000000002</v>
      </c>
      <c r="M78" s="33"/>
      <c r="N78" s="30">
        <v>17925.3</v>
      </c>
      <c r="O78" s="30">
        <v>12060.3</v>
      </c>
      <c r="P78" s="30"/>
      <c r="Q78" s="30">
        <f>(N78+O78*0.18+J78)+(IF((P78-O78*0.18)&gt;0,(P78-O78*0.18),0))</f>
        <v>21589.933999999997</v>
      </c>
      <c r="R78" s="7"/>
      <c r="S78" s="7"/>
      <c r="T78" s="7"/>
      <c r="U78" s="7"/>
      <c r="V78" s="7"/>
      <c r="W78" s="7"/>
      <c r="X78" s="7"/>
      <c r="Y78" s="7"/>
      <c r="Z78" s="7"/>
    </row>
    <row r="79" spans="1:26" ht="9" customHeight="1" x14ac:dyDescent="0.2">
      <c r="A79" s="534"/>
      <c r="B79" s="534"/>
      <c r="C79" s="34" t="s">
        <v>37</v>
      </c>
      <c r="D79" s="35">
        <v>29</v>
      </c>
      <c r="E79" s="36">
        <v>21047991</v>
      </c>
      <c r="F79" s="36">
        <v>2304006</v>
      </c>
      <c r="G79" s="36">
        <v>0</v>
      </c>
      <c r="H79" s="36">
        <v>11356224</v>
      </c>
      <c r="I79" s="36">
        <v>0</v>
      </c>
      <c r="J79" s="37">
        <v>2892361</v>
      </c>
      <c r="K79" s="36">
        <v>34708221</v>
      </c>
      <c r="L79" s="38">
        <v>37600582</v>
      </c>
      <c r="M79" s="39"/>
      <c r="N79" s="36">
        <v>34708221</v>
      </c>
      <c r="O79" s="36">
        <v>23351997</v>
      </c>
      <c r="P79" s="36">
        <v>0</v>
      </c>
      <c r="Q79" s="36">
        <f>Q78*1936.27</f>
        <v>41803941.506179996</v>
      </c>
      <c r="R79" s="7"/>
      <c r="S79" s="7"/>
      <c r="T79" s="7"/>
      <c r="U79" s="7"/>
      <c r="V79" s="7"/>
      <c r="W79" s="7"/>
      <c r="X79" s="7"/>
      <c r="Y79" s="7"/>
      <c r="Z79" s="7"/>
    </row>
    <row r="80" spans="1:26" ht="12.75" customHeight="1" x14ac:dyDescent="0.2">
      <c r="A80" s="534"/>
      <c r="B80" s="534"/>
      <c r="C80" s="40" t="s">
        <v>36</v>
      </c>
      <c r="D80" s="41">
        <v>30</v>
      </c>
      <c r="E80" s="42">
        <v>11136.88</v>
      </c>
      <c r="F80" s="42">
        <v>1220.9000000000001</v>
      </c>
      <c r="G80" s="42">
        <v>0</v>
      </c>
      <c r="H80" s="42">
        <v>5865</v>
      </c>
      <c r="I80" s="42">
        <v>0</v>
      </c>
      <c r="J80" s="42">
        <v>1518.57</v>
      </c>
      <c r="K80" s="43">
        <v>18222.78</v>
      </c>
      <c r="L80" s="32">
        <v>19741.349999999999</v>
      </c>
      <c r="M80" s="33"/>
      <c r="N80" s="30">
        <v>18222.78</v>
      </c>
      <c r="O80" s="30">
        <v>12357.78</v>
      </c>
      <c r="P80" s="30"/>
      <c r="Q80" s="30">
        <f>(N80+O80*0.18+J80)+(IF((P80-O80*0.18)&gt;0,(P80-O80*0.18),0))</f>
        <v>21965.750399999997</v>
      </c>
      <c r="R80" s="7"/>
      <c r="S80" s="7"/>
      <c r="T80" s="7"/>
      <c r="U80" s="7"/>
      <c r="V80" s="7"/>
      <c r="W80" s="7"/>
      <c r="X80" s="7"/>
      <c r="Y80" s="7"/>
      <c r="Z80" s="7"/>
    </row>
    <row r="81" spans="1:26" ht="9" customHeight="1" x14ac:dyDescent="0.2">
      <c r="A81" s="534"/>
      <c r="B81" s="534"/>
      <c r="C81" s="34" t="s">
        <v>37</v>
      </c>
      <c r="D81" s="35">
        <v>31</v>
      </c>
      <c r="E81" s="36">
        <v>21564007</v>
      </c>
      <c r="F81" s="36">
        <v>2363992</v>
      </c>
      <c r="G81" s="36">
        <v>0</v>
      </c>
      <c r="H81" s="36">
        <v>11356224</v>
      </c>
      <c r="I81" s="36">
        <v>0</v>
      </c>
      <c r="J81" s="37">
        <v>2940362</v>
      </c>
      <c r="K81" s="36">
        <v>35284222</v>
      </c>
      <c r="L81" s="38">
        <v>38224584</v>
      </c>
      <c r="M81" s="39"/>
      <c r="N81" s="36">
        <v>35284222</v>
      </c>
      <c r="O81" s="36">
        <v>23927999</v>
      </c>
      <c r="P81" s="36">
        <v>0</v>
      </c>
      <c r="Q81" s="36">
        <f>Q80*1936.27</f>
        <v>42531623.527007997</v>
      </c>
      <c r="R81" s="7"/>
      <c r="S81" s="7"/>
      <c r="T81" s="7"/>
      <c r="U81" s="7"/>
      <c r="V81" s="7"/>
      <c r="W81" s="7"/>
      <c r="X81" s="7"/>
      <c r="Y81" s="7"/>
      <c r="Z81" s="7"/>
    </row>
    <row r="82" spans="1:26" ht="12.75" customHeight="1" x14ac:dyDescent="0.2">
      <c r="A82" s="534"/>
      <c r="B82" s="534"/>
      <c r="C82" s="40" t="s">
        <v>36</v>
      </c>
      <c r="D82" s="41">
        <v>32</v>
      </c>
      <c r="E82" s="42">
        <v>11409.57</v>
      </c>
      <c r="F82" s="42">
        <v>1251.8900000000001</v>
      </c>
      <c r="G82" s="42">
        <v>0</v>
      </c>
      <c r="H82" s="42">
        <v>5865</v>
      </c>
      <c r="I82" s="42">
        <v>0</v>
      </c>
      <c r="J82" s="42">
        <v>1543.87</v>
      </c>
      <c r="K82" s="43">
        <v>18526.46</v>
      </c>
      <c r="L82" s="32">
        <v>20070.330000000002</v>
      </c>
      <c r="M82" s="33"/>
      <c r="N82" s="30">
        <v>18526.46</v>
      </c>
      <c r="O82" s="30">
        <v>12661.46</v>
      </c>
      <c r="P82" s="30"/>
      <c r="Q82" s="30">
        <f>(N82+O82*0.18+J82)+(IF((P82-O82*0.18)&gt;0,(P82-O82*0.18),0))</f>
        <v>22349.392799999998</v>
      </c>
      <c r="R82" s="7"/>
      <c r="S82" s="7"/>
      <c r="T82" s="7"/>
      <c r="U82" s="7"/>
      <c r="V82" s="7"/>
      <c r="W82" s="7"/>
      <c r="X82" s="7"/>
      <c r="Y82" s="7"/>
      <c r="Z82" s="7"/>
    </row>
    <row r="83" spans="1:26" ht="9" customHeight="1" x14ac:dyDescent="0.2">
      <c r="A83" s="534"/>
      <c r="B83" s="534"/>
      <c r="C83" s="34" t="s">
        <v>37</v>
      </c>
      <c r="D83" s="35">
        <v>33</v>
      </c>
      <c r="E83" s="36">
        <v>22092008</v>
      </c>
      <c r="F83" s="36">
        <v>2423997</v>
      </c>
      <c r="G83" s="36">
        <v>0</v>
      </c>
      <c r="H83" s="36">
        <v>11356224</v>
      </c>
      <c r="I83" s="36">
        <v>0</v>
      </c>
      <c r="J83" s="37">
        <v>2989349</v>
      </c>
      <c r="K83" s="36">
        <v>35872229</v>
      </c>
      <c r="L83" s="38">
        <v>38861578</v>
      </c>
      <c r="M83" s="39"/>
      <c r="N83" s="36">
        <v>35872229</v>
      </c>
      <c r="O83" s="36">
        <v>24516005</v>
      </c>
      <c r="P83" s="36">
        <v>0</v>
      </c>
      <c r="Q83" s="36">
        <f>Q82*1936.27</f>
        <v>43274458.796855994</v>
      </c>
      <c r="R83" s="7"/>
      <c r="S83" s="7"/>
      <c r="T83" s="7"/>
      <c r="U83" s="7"/>
      <c r="V83" s="7"/>
      <c r="W83" s="7"/>
      <c r="X83" s="7"/>
      <c r="Y83" s="7"/>
      <c r="Z83" s="7"/>
    </row>
    <row r="84" spans="1:26" ht="12.75" customHeight="1" x14ac:dyDescent="0.2">
      <c r="A84" s="534"/>
      <c r="B84" s="534"/>
      <c r="C84" s="40" t="s">
        <v>36</v>
      </c>
      <c r="D84" s="41">
        <v>34</v>
      </c>
      <c r="E84" s="42">
        <v>11676.06</v>
      </c>
      <c r="F84" s="42">
        <v>1282.8800000000001</v>
      </c>
      <c r="G84" s="42">
        <v>0</v>
      </c>
      <c r="H84" s="42">
        <v>5865</v>
      </c>
      <c r="I84" s="42">
        <v>0</v>
      </c>
      <c r="J84" s="42">
        <v>1568.66</v>
      </c>
      <c r="K84" s="43">
        <v>18823.939999999999</v>
      </c>
      <c r="L84" s="32">
        <v>20392.599999999999</v>
      </c>
      <c r="M84" s="33"/>
      <c r="N84" s="30">
        <v>18823.939999999999</v>
      </c>
      <c r="O84" s="30">
        <v>12958.94</v>
      </c>
      <c r="P84" s="30"/>
      <c r="Q84" s="30">
        <f>(N84+O84*0.18+J84)+(IF((P84-O84*0.18)&gt;0,(P84-O84*0.18),0))</f>
        <v>22725.209199999998</v>
      </c>
      <c r="R84" s="7"/>
      <c r="S84" s="7"/>
      <c r="T84" s="7"/>
      <c r="U84" s="7"/>
      <c r="V84" s="7"/>
      <c r="W84" s="7"/>
      <c r="X84" s="7"/>
      <c r="Y84" s="7"/>
      <c r="Z84" s="7"/>
    </row>
    <row r="85" spans="1:26" ht="9" customHeight="1" x14ac:dyDescent="0.2">
      <c r="A85" s="534"/>
      <c r="B85" s="534"/>
      <c r="C85" s="34" t="s">
        <v>37</v>
      </c>
      <c r="D85" s="35">
        <v>35</v>
      </c>
      <c r="E85" s="36">
        <v>22608005</v>
      </c>
      <c r="F85" s="36">
        <v>2484002</v>
      </c>
      <c r="G85" s="36">
        <v>0</v>
      </c>
      <c r="H85" s="36">
        <v>11356224</v>
      </c>
      <c r="I85" s="36">
        <v>0</v>
      </c>
      <c r="J85" s="37">
        <v>3037349</v>
      </c>
      <c r="K85" s="36">
        <v>36448230</v>
      </c>
      <c r="L85" s="38">
        <v>39485580</v>
      </c>
      <c r="M85" s="39"/>
      <c r="N85" s="36">
        <v>36448230</v>
      </c>
      <c r="O85" s="36">
        <v>25092007</v>
      </c>
      <c r="P85" s="36">
        <v>0</v>
      </c>
      <c r="Q85" s="36">
        <f>Q84*1936.27</f>
        <v>44002140.817683995</v>
      </c>
      <c r="R85" s="7"/>
      <c r="S85" s="7"/>
      <c r="T85" s="7"/>
      <c r="U85" s="7"/>
      <c r="V85" s="7"/>
      <c r="W85" s="7"/>
      <c r="X85" s="7"/>
      <c r="Y85" s="7"/>
      <c r="Z85" s="7"/>
    </row>
    <row r="86" spans="1:26" ht="12.75" customHeight="1" x14ac:dyDescent="0.2">
      <c r="A86" s="534"/>
      <c r="B86" s="534"/>
      <c r="C86" s="40" t="s">
        <v>36</v>
      </c>
      <c r="D86" s="41">
        <v>36</v>
      </c>
      <c r="E86" s="42">
        <v>11948.75</v>
      </c>
      <c r="F86" s="42">
        <v>1313.87</v>
      </c>
      <c r="G86" s="42">
        <v>0</v>
      </c>
      <c r="H86" s="42">
        <v>5865</v>
      </c>
      <c r="I86" s="42">
        <v>0</v>
      </c>
      <c r="J86" s="42">
        <v>1593.97</v>
      </c>
      <c r="K86" s="43">
        <v>19127.62</v>
      </c>
      <c r="L86" s="32">
        <v>20721.59</v>
      </c>
      <c r="M86" s="33"/>
      <c r="N86" s="30">
        <v>19127.62</v>
      </c>
      <c r="O86" s="30">
        <v>13262.62</v>
      </c>
      <c r="P86" s="30"/>
      <c r="Q86" s="30">
        <f>(N86+O86*0.18+J86)+(IF((P86-O86*0.18)&gt;0,(P86-O86*0.18),0))</f>
        <v>23108.8616</v>
      </c>
      <c r="R86" s="7"/>
      <c r="S86" s="7"/>
      <c r="T86" s="7"/>
      <c r="U86" s="7"/>
      <c r="V86" s="7"/>
      <c r="W86" s="7"/>
      <c r="X86" s="7"/>
      <c r="Y86" s="7"/>
      <c r="Z86" s="7"/>
    </row>
    <row r="87" spans="1:26" ht="9" customHeight="1" x14ac:dyDescent="0.2">
      <c r="A87" s="534"/>
      <c r="B87" s="534"/>
      <c r="C87" s="34" t="s">
        <v>37</v>
      </c>
      <c r="D87" s="35">
        <v>37</v>
      </c>
      <c r="E87" s="36">
        <v>23136006</v>
      </c>
      <c r="F87" s="36">
        <v>2544007</v>
      </c>
      <c r="G87" s="36">
        <v>0</v>
      </c>
      <c r="H87" s="36">
        <v>11356224</v>
      </c>
      <c r="I87" s="36">
        <v>0</v>
      </c>
      <c r="J87" s="37">
        <v>3086356</v>
      </c>
      <c r="K87" s="36">
        <v>37036237</v>
      </c>
      <c r="L87" s="38">
        <v>40122593</v>
      </c>
      <c r="M87" s="39"/>
      <c r="N87" s="36">
        <v>37036237</v>
      </c>
      <c r="O87" s="36">
        <v>25680013</v>
      </c>
      <c r="P87" s="36">
        <v>0</v>
      </c>
      <c r="Q87" s="36">
        <f>Q86*1936.27</f>
        <v>44744995.450231999</v>
      </c>
      <c r="R87" s="7"/>
      <c r="S87" s="7"/>
      <c r="T87" s="7"/>
      <c r="U87" s="7"/>
      <c r="V87" s="7"/>
      <c r="W87" s="7"/>
      <c r="X87" s="7"/>
      <c r="Y87" s="7"/>
      <c r="Z87" s="7"/>
    </row>
    <row r="88" spans="1:26" ht="12.75" customHeight="1" x14ac:dyDescent="0.2">
      <c r="A88" s="534"/>
      <c r="B88" s="534"/>
      <c r="C88" s="40" t="s">
        <v>36</v>
      </c>
      <c r="D88" s="41">
        <v>38</v>
      </c>
      <c r="E88" s="42">
        <v>12215.24</v>
      </c>
      <c r="F88" s="42">
        <v>1338.66</v>
      </c>
      <c r="G88" s="42">
        <v>0</v>
      </c>
      <c r="H88" s="42">
        <v>5865</v>
      </c>
      <c r="I88" s="42">
        <v>0</v>
      </c>
      <c r="J88" s="42">
        <v>1618.24</v>
      </c>
      <c r="K88" s="43">
        <v>19418.900000000001</v>
      </c>
      <c r="L88" s="32">
        <v>21037.14</v>
      </c>
      <c r="M88" s="33"/>
      <c r="N88" s="30">
        <v>19418.900000000001</v>
      </c>
      <c r="O88" s="30">
        <v>13553.9</v>
      </c>
      <c r="P88" s="30"/>
      <c r="Q88" s="30">
        <f>(N88+O88*0.18+J88)+(IF((P88-O88*0.18)&gt;0,(P88-O88*0.18),0))</f>
        <v>23476.842000000004</v>
      </c>
      <c r="R88" s="7"/>
      <c r="S88" s="7"/>
      <c r="T88" s="7"/>
      <c r="U88" s="7"/>
      <c r="V88" s="7"/>
      <c r="W88" s="7"/>
      <c r="X88" s="7"/>
      <c r="Y88" s="7"/>
      <c r="Z88" s="7"/>
    </row>
    <row r="89" spans="1:26" ht="9" customHeight="1" x14ac:dyDescent="0.2">
      <c r="A89" s="534"/>
      <c r="B89" s="534"/>
      <c r="C89" s="34" t="s">
        <v>37</v>
      </c>
      <c r="D89" s="35">
        <v>39</v>
      </c>
      <c r="E89" s="36">
        <v>23652003</v>
      </c>
      <c r="F89" s="36">
        <v>2592007</v>
      </c>
      <c r="G89" s="36">
        <v>0</v>
      </c>
      <c r="H89" s="36">
        <v>11356224</v>
      </c>
      <c r="I89" s="36">
        <v>0</v>
      </c>
      <c r="J89" s="37">
        <v>3133350</v>
      </c>
      <c r="K89" s="36">
        <v>37600234</v>
      </c>
      <c r="L89" s="38">
        <v>40733583</v>
      </c>
      <c r="M89" s="39"/>
      <c r="N89" s="36">
        <v>37600234</v>
      </c>
      <c r="O89" s="36">
        <v>26244010</v>
      </c>
      <c r="P89" s="36">
        <v>0</v>
      </c>
      <c r="Q89" s="36">
        <f>Q88*1936.27</f>
        <v>45457504.859340005</v>
      </c>
      <c r="R89" s="7"/>
      <c r="S89" s="7"/>
      <c r="T89" s="7"/>
      <c r="U89" s="7"/>
      <c r="V89" s="7"/>
      <c r="W89" s="7"/>
      <c r="X89" s="7"/>
      <c r="Y89" s="7"/>
      <c r="Z89" s="7"/>
    </row>
    <row r="90" spans="1:26" ht="12.75" customHeight="1" x14ac:dyDescent="0.2">
      <c r="A90" s="534"/>
      <c r="B90" s="534"/>
      <c r="C90" s="40" t="s">
        <v>36</v>
      </c>
      <c r="D90" s="41">
        <v>40</v>
      </c>
      <c r="E90" s="42">
        <v>12487.93</v>
      </c>
      <c r="F90" s="42">
        <v>1369.64</v>
      </c>
      <c r="G90" s="42">
        <v>0</v>
      </c>
      <c r="H90" s="42">
        <v>5865</v>
      </c>
      <c r="I90" s="42">
        <v>0</v>
      </c>
      <c r="J90" s="42">
        <v>1643.55</v>
      </c>
      <c r="K90" s="43">
        <v>19722.57</v>
      </c>
      <c r="L90" s="32">
        <v>21366.12</v>
      </c>
      <c r="M90" s="33"/>
      <c r="N90" s="30">
        <v>19722.57</v>
      </c>
      <c r="O90" s="30">
        <v>13857.57</v>
      </c>
      <c r="P90" s="30"/>
      <c r="Q90" s="30">
        <f>(N90+O90*0.18+J90)+(IF((P90-O90*0.18)&gt;0,(P90-O90*0.18),0))</f>
        <v>23860.482599999999</v>
      </c>
      <c r="R90" s="7"/>
      <c r="S90" s="7"/>
      <c r="T90" s="7"/>
      <c r="U90" s="7"/>
      <c r="V90" s="7"/>
      <c r="W90" s="7"/>
      <c r="X90" s="7"/>
      <c r="Y90" s="7"/>
      <c r="Z90" s="7"/>
    </row>
    <row r="91" spans="1:26" ht="12.75" customHeight="1" x14ac:dyDescent="0.2">
      <c r="A91" s="534"/>
      <c r="B91" s="534"/>
      <c r="C91" s="115"/>
      <c r="D91" s="45"/>
      <c r="E91" s="116"/>
      <c r="F91" s="116"/>
      <c r="G91" s="116"/>
      <c r="H91" s="116"/>
      <c r="I91" s="116"/>
      <c r="J91" s="117"/>
      <c r="K91" s="118"/>
      <c r="L91" s="119"/>
      <c r="M91" s="33"/>
      <c r="N91" s="116"/>
      <c r="O91" s="116"/>
      <c r="P91" s="116"/>
      <c r="Q91" s="116"/>
      <c r="R91" s="7"/>
      <c r="S91" s="7"/>
      <c r="T91" s="7"/>
      <c r="U91" s="7"/>
      <c r="V91" s="7"/>
      <c r="W91" s="7"/>
      <c r="X91" s="7"/>
      <c r="Y91" s="7"/>
      <c r="Z91" s="7"/>
    </row>
    <row r="92" spans="1:26" ht="9" customHeight="1" x14ac:dyDescent="0.2">
      <c r="A92" s="534"/>
      <c r="B92" s="534"/>
      <c r="C92" s="47"/>
      <c r="D92" s="48"/>
      <c r="E92" s="46">
        <v>24180004</v>
      </c>
      <c r="F92" s="46">
        <v>2651993</v>
      </c>
      <c r="G92" s="46">
        <v>0</v>
      </c>
      <c r="H92" s="46">
        <v>10944921</v>
      </c>
      <c r="I92" s="46">
        <v>0</v>
      </c>
      <c r="J92" s="49">
        <v>3148085</v>
      </c>
      <c r="K92" s="46">
        <v>37776918</v>
      </c>
      <c r="L92" s="38">
        <v>40925003</v>
      </c>
      <c r="M92" s="39"/>
      <c r="N92" s="46">
        <v>37776918</v>
      </c>
      <c r="O92" s="46">
        <v>26831997</v>
      </c>
      <c r="P92" s="46">
        <v>0</v>
      </c>
      <c r="Q92" s="36">
        <f>Q89*1936.27</f>
        <v>88018002933.994263</v>
      </c>
      <c r="R92" s="7"/>
      <c r="S92" s="7"/>
      <c r="T92" s="7"/>
      <c r="U92" s="7"/>
      <c r="V92" s="7"/>
      <c r="W92" s="7"/>
      <c r="X92" s="7"/>
      <c r="Y92" s="7"/>
      <c r="Z92" s="7"/>
    </row>
    <row r="93" spans="1:26" ht="9" customHeight="1" x14ac:dyDescent="0.2">
      <c r="A93" s="535"/>
      <c r="B93" s="535"/>
      <c r="C93" s="47"/>
      <c r="D93" s="48"/>
      <c r="E93" s="46">
        <v>24180004</v>
      </c>
      <c r="F93" s="46">
        <v>2651993</v>
      </c>
      <c r="G93" s="46">
        <v>0</v>
      </c>
      <c r="H93" s="46">
        <v>11356224</v>
      </c>
      <c r="I93" s="46">
        <v>0</v>
      </c>
      <c r="J93" s="49">
        <v>3182357</v>
      </c>
      <c r="K93" s="46">
        <v>38188221</v>
      </c>
      <c r="L93" s="38">
        <v>41370577</v>
      </c>
      <c r="M93" s="39"/>
      <c r="N93" s="36">
        <v>38188221</v>
      </c>
      <c r="O93" s="36">
        <v>26831997</v>
      </c>
      <c r="P93" s="36">
        <v>0</v>
      </c>
      <c r="Q93" s="36">
        <f>Q90*1936.27</f>
        <v>46200336.643901996</v>
      </c>
      <c r="R93" s="7"/>
      <c r="S93" s="7"/>
      <c r="T93" s="7"/>
      <c r="U93" s="7"/>
      <c r="V93" s="7"/>
      <c r="W93" s="7"/>
      <c r="X93" s="7"/>
      <c r="Y93" s="7"/>
      <c r="Z93" s="7"/>
    </row>
    <row r="94" spans="1:26" ht="12.75" customHeight="1" x14ac:dyDescent="0.2">
      <c r="A94" s="538">
        <v>33359</v>
      </c>
      <c r="B94" s="538">
        <v>33542</v>
      </c>
      <c r="C94" s="28" t="s">
        <v>36</v>
      </c>
      <c r="D94" s="29">
        <v>0</v>
      </c>
      <c r="E94" s="30">
        <v>5751.26</v>
      </c>
      <c r="F94" s="30">
        <v>632.14</v>
      </c>
      <c r="G94" s="30">
        <v>0</v>
      </c>
      <c r="H94" s="30">
        <v>6147.58</v>
      </c>
      <c r="I94" s="30">
        <v>0</v>
      </c>
      <c r="J94" s="30">
        <v>1044.25</v>
      </c>
      <c r="K94" s="31">
        <v>12530.98</v>
      </c>
      <c r="L94" s="32">
        <v>13575.23</v>
      </c>
      <c r="M94" s="33"/>
      <c r="N94" s="30">
        <v>12530.98</v>
      </c>
      <c r="O94" s="30">
        <v>6383.4</v>
      </c>
      <c r="P94" s="30"/>
      <c r="Q94" s="30">
        <f>(N94+O94*0.18+J94)+(IF((P94-O94*0.18)&gt;0,(P94-O94*0.18),0))</f>
        <v>14724.242</v>
      </c>
      <c r="R94" s="7"/>
      <c r="S94" s="7"/>
      <c r="T94" s="7"/>
      <c r="U94" s="7"/>
      <c r="V94" s="7"/>
      <c r="W94" s="7"/>
      <c r="X94" s="7"/>
      <c r="Y94" s="7"/>
      <c r="Z94" s="7"/>
    </row>
    <row r="95" spans="1:26" ht="9" customHeight="1" x14ac:dyDescent="0.2">
      <c r="A95" s="534"/>
      <c r="B95" s="534"/>
      <c r="C95" s="34" t="s">
        <v>37</v>
      </c>
      <c r="D95" s="35">
        <v>2</v>
      </c>
      <c r="E95" s="36">
        <v>11135992</v>
      </c>
      <c r="F95" s="36">
        <v>1223994</v>
      </c>
      <c r="G95" s="36">
        <v>0</v>
      </c>
      <c r="H95" s="36">
        <v>11903375</v>
      </c>
      <c r="I95" s="36">
        <v>0</v>
      </c>
      <c r="J95" s="37">
        <v>2021950</v>
      </c>
      <c r="K95" s="36">
        <v>24263361</v>
      </c>
      <c r="L95" s="38">
        <v>26285311</v>
      </c>
      <c r="M95" s="39"/>
      <c r="N95" s="36">
        <v>24263361</v>
      </c>
      <c r="O95" s="36">
        <v>12359986</v>
      </c>
      <c r="P95" s="36">
        <v>0</v>
      </c>
      <c r="Q95" s="36">
        <f>Q94*1936.27</f>
        <v>28510108.05734</v>
      </c>
      <c r="R95" s="7"/>
      <c r="S95" s="7"/>
      <c r="T95" s="7"/>
      <c r="U95" s="7"/>
      <c r="V95" s="7"/>
      <c r="W95" s="7"/>
      <c r="X95" s="7"/>
      <c r="Y95" s="7"/>
      <c r="Z95" s="7"/>
    </row>
    <row r="96" spans="1:26" ht="12.75" customHeight="1" x14ac:dyDescent="0.2">
      <c r="A96" s="540">
        <v>33359</v>
      </c>
      <c r="B96" s="540">
        <v>33542</v>
      </c>
      <c r="C96" s="40" t="s">
        <v>36</v>
      </c>
      <c r="D96" s="41">
        <v>3</v>
      </c>
      <c r="E96" s="42">
        <v>6061.14</v>
      </c>
      <c r="F96" s="42">
        <v>663.13</v>
      </c>
      <c r="G96" s="42">
        <v>0</v>
      </c>
      <c r="H96" s="42">
        <v>6147.58</v>
      </c>
      <c r="I96" s="42">
        <v>0</v>
      </c>
      <c r="J96" s="42">
        <v>1072.6500000000001</v>
      </c>
      <c r="K96" s="43">
        <v>12871.85</v>
      </c>
      <c r="L96" s="32">
        <v>13944.5</v>
      </c>
      <c r="M96" s="33"/>
      <c r="N96" s="30">
        <v>12871.85</v>
      </c>
      <c r="O96" s="30">
        <v>6724.27</v>
      </c>
      <c r="P96" s="30"/>
      <c r="Q96" s="30">
        <f>(N96+O96*0.18+J96)+(IF((P96-O96*0.18)&gt;0,(P96-O96*0.18),0))</f>
        <v>15154.8686</v>
      </c>
      <c r="R96" s="7"/>
      <c r="S96" s="7"/>
      <c r="T96" s="7"/>
      <c r="U96" s="7"/>
      <c r="V96" s="7"/>
      <c r="W96" s="7"/>
      <c r="X96" s="7"/>
      <c r="Y96" s="7"/>
      <c r="Z96" s="7"/>
    </row>
    <row r="97" spans="1:26" ht="9" customHeight="1" x14ac:dyDescent="0.2">
      <c r="A97" s="534"/>
      <c r="B97" s="534"/>
      <c r="C97" s="34" t="s">
        <v>37</v>
      </c>
      <c r="D97" s="35">
        <v>4</v>
      </c>
      <c r="E97" s="36">
        <v>11736004</v>
      </c>
      <c r="F97" s="36">
        <v>1283999</v>
      </c>
      <c r="G97" s="36">
        <v>0</v>
      </c>
      <c r="H97" s="36">
        <v>11903375</v>
      </c>
      <c r="I97" s="36">
        <v>0</v>
      </c>
      <c r="J97" s="37">
        <v>2076940</v>
      </c>
      <c r="K97" s="36">
        <v>24923377</v>
      </c>
      <c r="L97" s="38">
        <v>27000317</v>
      </c>
      <c r="M97" s="39"/>
      <c r="N97" s="36">
        <v>24923377</v>
      </c>
      <c r="O97" s="36">
        <v>13020002</v>
      </c>
      <c r="P97" s="36">
        <v>0</v>
      </c>
      <c r="Q97" s="36">
        <f>Q96*1936.27</f>
        <v>29343917.424121998</v>
      </c>
      <c r="R97" s="7"/>
      <c r="S97" s="7"/>
      <c r="T97" s="7"/>
      <c r="U97" s="7"/>
      <c r="V97" s="7"/>
      <c r="W97" s="7"/>
      <c r="X97" s="7"/>
      <c r="Y97" s="7"/>
      <c r="Z97" s="7"/>
    </row>
    <row r="98" spans="1:26" ht="12.75" customHeight="1" x14ac:dyDescent="0.2">
      <c r="A98" s="534"/>
      <c r="B98" s="534"/>
      <c r="C98" s="40" t="s">
        <v>36</v>
      </c>
      <c r="D98" s="41">
        <v>5</v>
      </c>
      <c r="E98" s="42">
        <v>6371.01</v>
      </c>
      <c r="F98" s="42">
        <v>700.32</v>
      </c>
      <c r="G98" s="42">
        <v>0</v>
      </c>
      <c r="H98" s="42">
        <v>6147.58</v>
      </c>
      <c r="I98" s="42">
        <v>0</v>
      </c>
      <c r="J98" s="42">
        <v>1101.58</v>
      </c>
      <c r="K98" s="43">
        <v>13218.91</v>
      </c>
      <c r="L98" s="32">
        <v>14320.49</v>
      </c>
      <c r="M98" s="33"/>
      <c r="N98" s="30">
        <v>13218.91</v>
      </c>
      <c r="O98" s="30">
        <v>7071.33</v>
      </c>
      <c r="P98" s="30"/>
      <c r="Q98" s="30">
        <f>(N98+O98*0.18+J98)+(IF((P98-O98*0.18)&gt;0,(P98-O98*0.18),0))</f>
        <v>15593.329400000001</v>
      </c>
      <c r="R98" s="7"/>
      <c r="S98" s="7"/>
      <c r="T98" s="7"/>
      <c r="U98" s="7"/>
      <c r="V98" s="7"/>
      <c r="W98" s="7"/>
      <c r="X98" s="7"/>
      <c r="Y98" s="7"/>
      <c r="Z98" s="7"/>
    </row>
    <row r="99" spans="1:26" ht="9" customHeight="1" x14ac:dyDescent="0.2">
      <c r="A99" s="534"/>
      <c r="B99" s="534"/>
      <c r="C99" s="34" t="s">
        <v>37</v>
      </c>
      <c r="D99" s="35">
        <v>6</v>
      </c>
      <c r="E99" s="36">
        <v>12335996</v>
      </c>
      <c r="F99" s="36">
        <v>1356009</v>
      </c>
      <c r="G99" s="36">
        <v>0</v>
      </c>
      <c r="H99" s="36">
        <v>11903375</v>
      </c>
      <c r="I99" s="36">
        <v>0</v>
      </c>
      <c r="J99" s="37">
        <v>2132956</v>
      </c>
      <c r="K99" s="36">
        <v>25595379</v>
      </c>
      <c r="L99" s="38">
        <v>27728335</v>
      </c>
      <c r="M99" s="39"/>
      <c r="N99" s="36">
        <v>25595379</v>
      </c>
      <c r="O99" s="36">
        <v>13692004</v>
      </c>
      <c r="P99" s="36">
        <v>0</v>
      </c>
      <c r="Q99" s="36">
        <f>Q98*1936.27</f>
        <v>30192895.917338002</v>
      </c>
      <c r="R99" s="7"/>
      <c r="S99" s="7"/>
      <c r="T99" s="7"/>
      <c r="U99" s="7"/>
      <c r="V99" s="7"/>
      <c r="W99" s="7"/>
      <c r="X99" s="7"/>
      <c r="Y99" s="7"/>
      <c r="Z99" s="7"/>
    </row>
    <row r="100" spans="1:26" ht="12.75" customHeight="1" x14ac:dyDescent="0.2">
      <c r="A100" s="534"/>
      <c r="B100" s="534"/>
      <c r="C100" s="40" t="s">
        <v>36</v>
      </c>
      <c r="D100" s="41">
        <v>7</v>
      </c>
      <c r="E100" s="42">
        <v>6674.69</v>
      </c>
      <c r="F100" s="42">
        <v>731.3</v>
      </c>
      <c r="G100" s="42">
        <v>0</v>
      </c>
      <c r="H100" s="42">
        <v>6147.58</v>
      </c>
      <c r="I100" s="42">
        <v>0</v>
      </c>
      <c r="J100" s="42">
        <v>1129.46</v>
      </c>
      <c r="K100" s="43">
        <v>13553.57</v>
      </c>
      <c r="L100" s="32">
        <v>14683.03</v>
      </c>
      <c r="M100" s="33"/>
      <c r="N100" s="30">
        <v>13553.57</v>
      </c>
      <c r="O100" s="30">
        <v>7405.99</v>
      </c>
      <c r="P100" s="30"/>
      <c r="Q100" s="30">
        <f>(N100+O100*0.18+J100)+(IF((P100-O100*0.18)&gt;0,(P100-O100*0.18),0))</f>
        <v>16016.108199999999</v>
      </c>
      <c r="R100" s="7"/>
      <c r="S100" s="7"/>
      <c r="T100" s="7"/>
      <c r="U100" s="7"/>
      <c r="V100" s="7"/>
      <c r="W100" s="7"/>
      <c r="X100" s="7"/>
      <c r="Y100" s="7"/>
      <c r="Z100" s="7"/>
    </row>
    <row r="101" spans="1:26" ht="9" customHeight="1" x14ac:dyDescent="0.2">
      <c r="A101" s="534"/>
      <c r="B101" s="534"/>
      <c r="C101" s="34" t="s">
        <v>37</v>
      </c>
      <c r="D101" s="35">
        <v>8</v>
      </c>
      <c r="E101" s="36">
        <v>12924002</v>
      </c>
      <c r="F101" s="36">
        <v>1415994</v>
      </c>
      <c r="G101" s="36">
        <v>0</v>
      </c>
      <c r="H101" s="36">
        <v>11903375</v>
      </c>
      <c r="I101" s="36">
        <v>0</v>
      </c>
      <c r="J101" s="37">
        <v>2186940</v>
      </c>
      <c r="K101" s="36">
        <v>26243371</v>
      </c>
      <c r="L101" s="38">
        <v>28430310</v>
      </c>
      <c r="M101" s="39"/>
      <c r="N101" s="36">
        <v>26243371</v>
      </c>
      <c r="O101" s="36">
        <v>14339996</v>
      </c>
      <c r="P101" s="36">
        <v>0</v>
      </c>
      <c r="Q101" s="36">
        <f>Q100*1936.27</f>
        <v>31011509.824413996</v>
      </c>
      <c r="R101" s="7"/>
      <c r="S101" s="7"/>
      <c r="T101" s="7"/>
      <c r="U101" s="7"/>
      <c r="V101" s="7"/>
      <c r="W101" s="7"/>
      <c r="X101" s="7"/>
      <c r="Y101" s="7"/>
      <c r="Z101" s="7"/>
    </row>
    <row r="102" spans="1:26" ht="12.75" customHeight="1" x14ac:dyDescent="0.2">
      <c r="A102" s="534"/>
      <c r="B102" s="534"/>
      <c r="C102" s="40" t="s">
        <v>36</v>
      </c>
      <c r="D102" s="41">
        <v>9</v>
      </c>
      <c r="E102" s="42">
        <v>7027.95</v>
      </c>
      <c r="F102" s="42">
        <v>768.49</v>
      </c>
      <c r="G102" s="42">
        <v>0</v>
      </c>
      <c r="H102" s="42">
        <v>6147.58</v>
      </c>
      <c r="I102" s="42">
        <v>0</v>
      </c>
      <c r="J102" s="42">
        <v>1162</v>
      </c>
      <c r="K102" s="43">
        <v>13944.02</v>
      </c>
      <c r="L102" s="32">
        <v>15106.02</v>
      </c>
      <c r="M102" s="33"/>
      <c r="N102" s="30">
        <v>13944.02</v>
      </c>
      <c r="O102" s="30">
        <v>7796.44</v>
      </c>
      <c r="P102" s="30"/>
      <c r="Q102" s="30">
        <f>(N102+O102*0.18+J102)+(IF((P102-O102*0.18)&gt;0,(P102-O102*0.18),0))</f>
        <v>16509.379199999999</v>
      </c>
      <c r="R102" s="7"/>
      <c r="S102" s="7"/>
      <c r="T102" s="7"/>
      <c r="U102" s="7"/>
      <c r="V102" s="7"/>
      <c r="W102" s="7"/>
      <c r="X102" s="7"/>
      <c r="Y102" s="7"/>
      <c r="Z102" s="7"/>
    </row>
    <row r="103" spans="1:26" ht="9" customHeight="1" x14ac:dyDescent="0.2">
      <c r="A103" s="534"/>
      <c r="B103" s="534"/>
      <c r="C103" s="34" t="s">
        <v>37</v>
      </c>
      <c r="D103" s="35">
        <v>10</v>
      </c>
      <c r="E103" s="36">
        <v>13608009</v>
      </c>
      <c r="F103" s="36">
        <v>1488004</v>
      </c>
      <c r="G103" s="36">
        <v>0</v>
      </c>
      <c r="H103" s="36">
        <v>11903375</v>
      </c>
      <c r="I103" s="36">
        <v>0</v>
      </c>
      <c r="J103" s="37">
        <v>2249946</v>
      </c>
      <c r="K103" s="36">
        <v>26999388</v>
      </c>
      <c r="L103" s="38">
        <v>29249333</v>
      </c>
      <c r="M103" s="39"/>
      <c r="N103" s="36">
        <v>26999388</v>
      </c>
      <c r="O103" s="36">
        <v>15096013</v>
      </c>
      <c r="P103" s="36">
        <v>0</v>
      </c>
      <c r="Q103" s="36">
        <f>Q102*1936.27</f>
        <v>31966615.663583998</v>
      </c>
      <c r="R103" s="7"/>
      <c r="S103" s="7"/>
      <c r="T103" s="7"/>
      <c r="U103" s="7"/>
      <c r="V103" s="7"/>
      <c r="W103" s="7"/>
      <c r="X103" s="7"/>
      <c r="Y103" s="7"/>
      <c r="Z103" s="7"/>
    </row>
    <row r="104" spans="1:26" ht="12.75" customHeight="1" x14ac:dyDescent="0.2">
      <c r="A104" s="534"/>
      <c r="B104" s="534"/>
      <c r="C104" s="40" t="s">
        <v>36</v>
      </c>
      <c r="D104" s="41">
        <v>11</v>
      </c>
      <c r="E104" s="42">
        <v>7387.4</v>
      </c>
      <c r="F104" s="42">
        <v>811.87</v>
      </c>
      <c r="G104" s="42">
        <v>0</v>
      </c>
      <c r="H104" s="42">
        <v>6147.58</v>
      </c>
      <c r="I104" s="42">
        <v>0</v>
      </c>
      <c r="J104" s="42">
        <v>1195.57</v>
      </c>
      <c r="K104" s="43">
        <v>14346.85</v>
      </c>
      <c r="L104" s="32">
        <v>15542.42</v>
      </c>
      <c r="M104" s="33"/>
      <c r="N104" s="30">
        <v>14346.85</v>
      </c>
      <c r="O104" s="30">
        <v>8199.27</v>
      </c>
      <c r="P104" s="30"/>
      <c r="Q104" s="30">
        <f>(N104+O104*0.18+J104)+(IF((P104-O104*0.18)&gt;0,(P104-O104*0.18),0))</f>
        <v>17018.2886</v>
      </c>
      <c r="R104" s="7"/>
      <c r="S104" s="7"/>
      <c r="T104" s="7"/>
      <c r="U104" s="7"/>
      <c r="V104" s="7"/>
      <c r="W104" s="7"/>
      <c r="X104" s="7"/>
      <c r="Y104" s="7"/>
      <c r="Z104" s="7"/>
    </row>
    <row r="105" spans="1:26" ht="9" customHeight="1" x14ac:dyDescent="0.2">
      <c r="A105" s="534"/>
      <c r="B105" s="534"/>
      <c r="C105" s="34" t="s">
        <v>37</v>
      </c>
      <c r="D105" s="35">
        <v>12</v>
      </c>
      <c r="E105" s="36">
        <v>14304001</v>
      </c>
      <c r="F105" s="36">
        <v>1572000</v>
      </c>
      <c r="G105" s="36">
        <v>0</v>
      </c>
      <c r="H105" s="36">
        <v>11903375</v>
      </c>
      <c r="I105" s="36">
        <v>0</v>
      </c>
      <c r="J105" s="37">
        <v>2314946</v>
      </c>
      <c r="K105" s="36">
        <v>27779375</v>
      </c>
      <c r="L105" s="38">
        <v>30094322</v>
      </c>
      <c r="M105" s="39"/>
      <c r="N105" s="36">
        <v>27779375</v>
      </c>
      <c r="O105" s="36">
        <v>15876001</v>
      </c>
      <c r="P105" s="36">
        <v>0</v>
      </c>
      <c r="Q105" s="36">
        <f>Q104*1936.27</f>
        <v>32952001.667521998</v>
      </c>
      <c r="R105" s="7"/>
      <c r="S105" s="7"/>
      <c r="T105" s="7"/>
      <c r="U105" s="7"/>
      <c r="V105" s="7"/>
      <c r="W105" s="7"/>
      <c r="X105" s="7"/>
      <c r="Y105" s="7"/>
      <c r="Z105" s="7"/>
    </row>
    <row r="106" spans="1:26" ht="12.75" customHeight="1" x14ac:dyDescent="0.2">
      <c r="A106" s="534"/>
      <c r="B106" s="534"/>
      <c r="C106" s="40" t="s">
        <v>36</v>
      </c>
      <c r="D106" s="41">
        <v>13</v>
      </c>
      <c r="E106" s="42">
        <v>7740.66</v>
      </c>
      <c r="F106" s="42">
        <v>849.06</v>
      </c>
      <c r="G106" s="42">
        <v>0</v>
      </c>
      <c r="H106" s="42">
        <v>6147.58</v>
      </c>
      <c r="I106" s="42">
        <v>0</v>
      </c>
      <c r="J106" s="42">
        <v>1228.1099999999999</v>
      </c>
      <c r="K106" s="43">
        <v>14737.3</v>
      </c>
      <c r="L106" s="32">
        <v>15965.41</v>
      </c>
      <c r="M106" s="33"/>
      <c r="N106" s="30">
        <v>14737.3</v>
      </c>
      <c r="O106" s="30">
        <v>8589.7199999999993</v>
      </c>
      <c r="P106" s="30"/>
      <c r="Q106" s="30">
        <f>(N106+O106*0.18+J106)+(IF((P106-O106*0.18)&gt;0,(P106-O106*0.18),0))</f>
        <v>17511.559600000001</v>
      </c>
      <c r="R106" s="7"/>
      <c r="S106" s="7"/>
      <c r="T106" s="7"/>
      <c r="U106" s="7"/>
      <c r="V106" s="7"/>
      <c r="W106" s="7"/>
      <c r="X106" s="7"/>
      <c r="Y106" s="7"/>
      <c r="Z106" s="7"/>
    </row>
    <row r="107" spans="1:26" ht="9" customHeight="1" x14ac:dyDescent="0.2">
      <c r="A107" s="534"/>
      <c r="B107" s="534"/>
      <c r="C107" s="34" t="s">
        <v>37</v>
      </c>
      <c r="D107" s="35">
        <v>14</v>
      </c>
      <c r="E107" s="36">
        <v>14988008</v>
      </c>
      <c r="F107" s="36">
        <v>1644009</v>
      </c>
      <c r="G107" s="36">
        <v>0</v>
      </c>
      <c r="H107" s="36">
        <v>11903375</v>
      </c>
      <c r="I107" s="36">
        <v>0</v>
      </c>
      <c r="J107" s="37">
        <v>2377953</v>
      </c>
      <c r="K107" s="36">
        <v>28535392</v>
      </c>
      <c r="L107" s="38">
        <v>30913344</v>
      </c>
      <c r="M107" s="39"/>
      <c r="N107" s="36">
        <v>28535392</v>
      </c>
      <c r="O107" s="36">
        <v>16632017</v>
      </c>
      <c r="P107" s="36">
        <v>0</v>
      </c>
      <c r="Q107" s="36">
        <f>Q106*1936.27</f>
        <v>33907107.506692</v>
      </c>
      <c r="R107" s="7"/>
      <c r="S107" s="7"/>
      <c r="T107" s="7"/>
      <c r="U107" s="7"/>
      <c r="V107" s="7"/>
      <c r="W107" s="7"/>
      <c r="X107" s="7"/>
      <c r="Y107" s="7"/>
      <c r="Z107" s="7"/>
    </row>
    <row r="108" spans="1:26" ht="12.75" customHeight="1" x14ac:dyDescent="0.2">
      <c r="A108" s="534"/>
      <c r="B108" s="534"/>
      <c r="C108" s="40" t="s">
        <v>36</v>
      </c>
      <c r="D108" s="41">
        <v>15</v>
      </c>
      <c r="E108" s="42">
        <v>8155.89</v>
      </c>
      <c r="F108" s="42">
        <v>892.44</v>
      </c>
      <c r="G108" s="42">
        <v>0</v>
      </c>
      <c r="H108" s="42">
        <v>6147.58</v>
      </c>
      <c r="I108" s="42">
        <v>0</v>
      </c>
      <c r="J108" s="42">
        <v>1266.33</v>
      </c>
      <c r="K108" s="43">
        <v>15195.91</v>
      </c>
      <c r="L108" s="32">
        <v>16462.240000000002</v>
      </c>
      <c r="M108" s="33"/>
      <c r="N108" s="30">
        <v>15195.91</v>
      </c>
      <c r="O108" s="30">
        <v>9048.33</v>
      </c>
      <c r="P108" s="30"/>
      <c r="Q108" s="30">
        <f>(N108+O108*0.18+J108)+(IF((P108-O108*0.18)&gt;0,(P108-O108*0.18),0))</f>
        <v>18090.939400000003</v>
      </c>
      <c r="R108" s="7"/>
      <c r="S108" s="7"/>
      <c r="T108" s="7"/>
      <c r="U108" s="7"/>
      <c r="V108" s="7"/>
      <c r="W108" s="7"/>
      <c r="X108" s="7"/>
      <c r="Y108" s="7"/>
      <c r="Z108" s="7"/>
    </row>
    <row r="109" spans="1:26" ht="9" customHeight="1" x14ac:dyDescent="0.2">
      <c r="A109" s="534"/>
      <c r="B109" s="534"/>
      <c r="C109" s="34" t="s">
        <v>37</v>
      </c>
      <c r="D109" s="35">
        <v>16</v>
      </c>
      <c r="E109" s="36">
        <v>15792005</v>
      </c>
      <c r="F109" s="36">
        <v>1728005</v>
      </c>
      <c r="G109" s="36">
        <v>0</v>
      </c>
      <c r="H109" s="36">
        <v>11903375</v>
      </c>
      <c r="I109" s="36">
        <v>0</v>
      </c>
      <c r="J109" s="37">
        <v>2451957</v>
      </c>
      <c r="K109" s="36">
        <v>29423385</v>
      </c>
      <c r="L109" s="38">
        <v>31875341</v>
      </c>
      <c r="M109" s="39"/>
      <c r="N109" s="36">
        <v>29423385</v>
      </c>
      <c r="O109" s="36">
        <v>17520010</v>
      </c>
      <c r="P109" s="36">
        <v>0</v>
      </c>
      <c r="Q109" s="36">
        <f>Q108*1936.27</f>
        <v>35028943.232038006</v>
      </c>
      <c r="R109" s="7"/>
      <c r="S109" s="7"/>
      <c r="T109" s="7"/>
      <c r="U109" s="7"/>
      <c r="V109" s="7"/>
      <c r="W109" s="7"/>
      <c r="X109" s="7"/>
      <c r="Y109" s="7"/>
      <c r="Z109" s="7"/>
    </row>
    <row r="110" spans="1:26" ht="12.75" customHeight="1" x14ac:dyDescent="0.2">
      <c r="A110" s="534"/>
      <c r="B110" s="534"/>
      <c r="C110" s="40" t="s">
        <v>36</v>
      </c>
      <c r="D110" s="41">
        <v>17</v>
      </c>
      <c r="E110" s="42">
        <v>8571.1200000000008</v>
      </c>
      <c r="F110" s="42">
        <v>942.02</v>
      </c>
      <c r="G110" s="42">
        <v>0</v>
      </c>
      <c r="H110" s="42">
        <v>6147.58</v>
      </c>
      <c r="I110" s="42">
        <v>0</v>
      </c>
      <c r="J110" s="42">
        <v>1305.06</v>
      </c>
      <c r="K110" s="43">
        <v>15660.72</v>
      </c>
      <c r="L110" s="32">
        <v>16965.78</v>
      </c>
      <c r="M110" s="33"/>
      <c r="N110" s="30">
        <v>15660.72</v>
      </c>
      <c r="O110" s="30">
        <v>9513.14</v>
      </c>
      <c r="P110" s="30"/>
      <c r="Q110" s="30">
        <f>(N110+O110*0.18+J110)+(IF((P110-O110*0.18)&gt;0,(P110-O110*0.18),0))</f>
        <v>18678.145199999999</v>
      </c>
      <c r="R110" s="7"/>
      <c r="S110" s="7"/>
      <c r="T110" s="7"/>
      <c r="U110" s="7"/>
      <c r="V110" s="7"/>
      <c r="W110" s="7"/>
      <c r="X110" s="7"/>
      <c r="Y110" s="7"/>
      <c r="Z110" s="7"/>
    </row>
    <row r="111" spans="1:26" ht="9" customHeight="1" x14ac:dyDescent="0.2">
      <c r="A111" s="534"/>
      <c r="B111" s="534"/>
      <c r="C111" s="34" t="s">
        <v>37</v>
      </c>
      <c r="D111" s="35">
        <v>18</v>
      </c>
      <c r="E111" s="36">
        <v>16596003</v>
      </c>
      <c r="F111" s="36">
        <v>1824005</v>
      </c>
      <c r="G111" s="36">
        <v>0</v>
      </c>
      <c r="H111" s="36">
        <v>11903375</v>
      </c>
      <c r="I111" s="36">
        <v>0</v>
      </c>
      <c r="J111" s="37">
        <v>2526949</v>
      </c>
      <c r="K111" s="36">
        <v>30323382</v>
      </c>
      <c r="L111" s="38">
        <v>32850331</v>
      </c>
      <c r="M111" s="39"/>
      <c r="N111" s="36">
        <v>30323382</v>
      </c>
      <c r="O111" s="36">
        <v>18420008</v>
      </c>
      <c r="P111" s="36">
        <v>0</v>
      </c>
      <c r="Q111" s="36">
        <f>Q110*1936.27</f>
        <v>36165932.206404001</v>
      </c>
      <c r="R111" s="7"/>
      <c r="S111" s="7"/>
      <c r="T111" s="7"/>
      <c r="U111" s="7"/>
      <c r="V111" s="7"/>
      <c r="W111" s="7"/>
      <c r="X111" s="7"/>
      <c r="Y111" s="7"/>
      <c r="Z111" s="7"/>
    </row>
    <row r="112" spans="1:26" ht="12.75" customHeight="1" x14ac:dyDescent="0.2">
      <c r="A112" s="534"/>
      <c r="B112" s="534"/>
      <c r="C112" s="40" t="s">
        <v>36</v>
      </c>
      <c r="D112" s="41">
        <v>19</v>
      </c>
      <c r="E112" s="42">
        <v>8980.15</v>
      </c>
      <c r="F112" s="42">
        <v>985.4</v>
      </c>
      <c r="G112" s="42">
        <v>0</v>
      </c>
      <c r="H112" s="42">
        <v>6147.58</v>
      </c>
      <c r="I112" s="42">
        <v>0</v>
      </c>
      <c r="J112" s="42">
        <v>1342.76</v>
      </c>
      <c r="K112" s="43">
        <v>16113.13</v>
      </c>
      <c r="L112" s="32">
        <v>17455.89</v>
      </c>
      <c r="M112" s="33"/>
      <c r="N112" s="30">
        <v>16113.13</v>
      </c>
      <c r="O112" s="30">
        <v>9965.5499999999993</v>
      </c>
      <c r="P112" s="30"/>
      <c r="Q112" s="30">
        <f>(N112+O112*0.18+J112)+(IF((P112-O112*0.18)&gt;0,(P112-O112*0.18),0))</f>
        <v>19249.688999999998</v>
      </c>
      <c r="R112" s="7"/>
      <c r="S112" s="7"/>
      <c r="T112" s="7"/>
      <c r="U112" s="7"/>
      <c r="V112" s="7"/>
      <c r="W112" s="7"/>
      <c r="X112" s="7"/>
      <c r="Y112" s="7"/>
      <c r="Z112" s="7"/>
    </row>
    <row r="113" spans="1:26" ht="9" customHeight="1" x14ac:dyDescent="0.2">
      <c r="A113" s="534"/>
      <c r="B113" s="534"/>
      <c r="C113" s="34" t="s">
        <v>37</v>
      </c>
      <c r="D113" s="35">
        <v>19</v>
      </c>
      <c r="E113" s="36">
        <v>17387995</v>
      </c>
      <c r="F113" s="36">
        <v>1908000</v>
      </c>
      <c r="G113" s="36">
        <v>0</v>
      </c>
      <c r="H113" s="36">
        <v>11903375</v>
      </c>
      <c r="I113" s="36">
        <v>0</v>
      </c>
      <c r="J113" s="37">
        <v>2599946</v>
      </c>
      <c r="K113" s="36">
        <v>31199370</v>
      </c>
      <c r="L113" s="38">
        <v>33799316</v>
      </c>
      <c r="M113" s="39"/>
      <c r="N113" s="36">
        <v>31199370</v>
      </c>
      <c r="O113" s="36">
        <v>19295995</v>
      </c>
      <c r="P113" s="36">
        <v>0</v>
      </c>
      <c r="Q113" s="36">
        <f>Q112*1936.27</f>
        <v>37272595.320029996</v>
      </c>
      <c r="R113" s="7"/>
      <c r="S113" s="7"/>
      <c r="T113" s="7"/>
      <c r="U113" s="7"/>
      <c r="V113" s="7"/>
      <c r="W113" s="7"/>
      <c r="X113" s="7"/>
      <c r="Y113" s="7"/>
      <c r="Z113" s="7"/>
    </row>
    <row r="114" spans="1:26" ht="12.75" customHeight="1" x14ac:dyDescent="0.2">
      <c r="A114" s="534"/>
      <c r="B114" s="534"/>
      <c r="C114" s="40" t="s">
        <v>36</v>
      </c>
      <c r="D114" s="41">
        <v>20</v>
      </c>
      <c r="E114" s="42">
        <v>9792.02</v>
      </c>
      <c r="F114" s="42">
        <v>1072.1600000000001</v>
      </c>
      <c r="G114" s="42">
        <v>0</v>
      </c>
      <c r="H114" s="42">
        <v>6147.58</v>
      </c>
      <c r="I114" s="42">
        <v>0</v>
      </c>
      <c r="J114" s="42">
        <v>1417.65</v>
      </c>
      <c r="K114" s="43">
        <v>17011.759999999998</v>
      </c>
      <c r="L114" s="32">
        <v>18429.41</v>
      </c>
      <c r="M114" s="33"/>
      <c r="N114" s="30">
        <v>17011.759999999998</v>
      </c>
      <c r="O114" s="30">
        <v>10864.18</v>
      </c>
      <c r="P114" s="30"/>
      <c r="Q114" s="30">
        <f>(N114+O114*0.18+J114)+(IF((P114-O114*0.18)&gt;0,(P114-O114*0.18),0))</f>
        <v>20384.9624</v>
      </c>
      <c r="R114" s="7"/>
      <c r="S114" s="7"/>
      <c r="T114" s="7"/>
      <c r="U114" s="7"/>
      <c r="V114" s="7"/>
      <c r="W114" s="7"/>
      <c r="X114" s="7"/>
      <c r="Y114" s="7"/>
      <c r="Z114" s="7"/>
    </row>
    <row r="115" spans="1:26" ht="9" customHeight="1" x14ac:dyDescent="0.2">
      <c r="A115" s="534"/>
      <c r="B115" s="534"/>
      <c r="C115" s="34" t="s">
        <v>37</v>
      </c>
      <c r="D115" s="35">
        <v>21</v>
      </c>
      <c r="E115" s="36">
        <v>18959995</v>
      </c>
      <c r="F115" s="36">
        <v>2075991</v>
      </c>
      <c r="G115" s="36">
        <v>0</v>
      </c>
      <c r="H115" s="36">
        <v>11903375</v>
      </c>
      <c r="I115" s="36">
        <v>0</v>
      </c>
      <c r="J115" s="37">
        <v>2744953</v>
      </c>
      <c r="K115" s="36">
        <v>32939361</v>
      </c>
      <c r="L115" s="38">
        <v>35684314</v>
      </c>
      <c r="M115" s="39"/>
      <c r="N115" s="36">
        <v>32939361</v>
      </c>
      <c r="O115" s="36">
        <v>21035986</v>
      </c>
      <c r="P115" s="36">
        <v>0</v>
      </c>
      <c r="Q115" s="36">
        <f>Q114*1936.27</f>
        <v>39470791.146247998</v>
      </c>
      <c r="R115" s="7"/>
      <c r="S115" s="7"/>
      <c r="T115" s="7"/>
      <c r="U115" s="7"/>
      <c r="V115" s="7"/>
      <c r="W115" s="7"/>
      <c r="X115" s="7"/>
      <c r="Y115" s="7"/>
      <c r="Z115" s="7"/>
    </row>
    <row r="116" spans="1:26" ht="12.75" customHeight="1" x14ac:dyDescent="0.2">
      <c r="A116" s="534"/>
      <c r="B116" s="534"/>
      <c r="C116" s="40" t="s">
        <v>36</v>
      </c>
      <c r="D116" s="41">
        <v>22</v>
      </c>
      <c r="E116" s="42">
        <v>10058.51</v>
      </c>
      <c r="F116" s="42">
        <v>1103.1500000000001</v>
      </c>
      <c r="G116" s="42">
        <v>0</v>
      </c>
      <c r="H116" s="42">
        <v>6147.58</v>
      </c>
      <c r="I116" s="42">
        <v>0</v>
      </c>
      <c r="J116" s="42">
        <v>1442.44</v>
      </c>
      <c r="K116" s="43">
        <v>17309.240000000002</v>
      </c>
      <c r="L116" s="32">
        <v>18751.68</v>
      </c>
      <c r="M116" s="33"/>
      <c r="N116" s="30">
        <v>17309.240000000002</v>
      </c>
      <c r="O116" s="30">
        <v>11161.66</v>
      </c>
      <c r="P116" s="30"/>
      <c r="Q116" s="30">
        <f>(N116+O116*0.18+J116)+(IF((P116-O116*0.18)&gt;0,(P116-O116*0.18),0))</f>
        <v>20760.7788</v>
      </c>
      <c r="R116" s="7"/>
      <c r="S116" s="7"/>
      <c r="T116" s="7"/>
      <c r="U116" s="7"/>
      <c r="V116" s="7"/>
      <c r="W116" s="7"/>
      <c r="X116" s="7"/>
      <c r="Y116" s="7"/>
      <c r="Z116" s="7"/>
    </row>
    <row r="117" spans="1:26" ht="9" customHeight="1" x14ac:dyDescent="0.2">
      <c r="A117" s="534"/>
      <c r="B117" s="534"/>
      <c r="C117" s="34" t="s">
        <v>37</v>
      </c>
      <c r="D117" s="35">
        <v>23</v>
      </c>
      <c r="E117" s="36">
        <v>19475991</v>
      </c>
      <c r="F117" s="36">
        <v>2135996</v>
      </c>
      <c r="G117" s="36">
        <v>0</v>
      </c>
      <c r="H117" s="36">
        <v>11903375</v>
      </c>
      <c r="I117" s="36">
        <v>0</v>
      </c>
      <c r="J117" s="37">
        <v>2792953</v>
      </c>
      <c r="K117" s="36">
        <v>33515362</v>
      </c>
      <c r="L117" s="38">
        <v>36308315</v>
      </c>
      <c r="M117" s="39"/>
      <c r="N117" s="36">
        <v>33515362</v>
      </c>
      <c r="O117" s="36">
        <v>21611987</v>
      </c>
      <c r="P117" s="36">
        <v>0</v>
      </c>
      <c r="Q117" s="36">
        <f>Q116*1936.27</f>
        <v>40198473.167075999</v>
      </c>
      <c r="R117" s="7"/>
      <c r="S117" s="7"/>
      <c r="T117" s="7"/>
      <c r="U117" s="7"/>
      <c r="V117" s="7"/>
      <c r="W117" s="7"/>
      <c r="X117" s="7"/>
      <c r="Y117" s="7"/>
      <c r="Z117" s="7"/>
    </row>
    <row r="118" spans="1:26" ht="12.75" customHeight="1" x14ac:dyDescent="0.2">
      <c r="A118" s="534"/>
      <c r="B118" s="534"/>
      <c r="C118" s="40" t="s">
        <v>36</v>
      </c>
      <c r="D118" s="41">
        <v>24</v>
      </c>
      <c r="E118" s="42">
        <v>10331.200000000001</v>
      </c>
      <c r="F118" s="42">
        <v>1134.1400000000001</v>
      </c>
      <c r="G118" s="42">
        <v>0</v>
      </c>
      <c r="H118" s="42">
        <v>6147.58</v>
      </c>
      <c r="I118" s="42">
        <v>0</v>
      </c>
      <c r="J118" s="42">
        <v>1467.74</v>
      </c>
      <c r="K118" s="43">
        <v>17612.919999999998</v>
      </c>
      <c r="L118" s="32">
        <v>19080.66</v>
      </c>
      <c r="M118" s="33"/>
      <c r="N118" s="30">
        <v>17612.919999999998</v>
      </c>
      <c r="O118" s="30">
        <v>11465.34</v>
      </c>
      <c r="P118" s="30"/>
      <c r="Q118" s="30">
        <f>(N118+O118*0.18+J118)+(IF((P118-O118*0.18)&gt;0,(P118-O118*0.18),0))</f>
        <v>21144.421200000001</v>
      </c>
      <c r="R118" s="7"/>
      <c r="S118" s="7"/>
      <c r="T118" s="7"/>
      <c r="U118" s="7"/>
      <c r="V118" s="7"/>
      <c r="W118" s="7"/>
      <c r="X118" s="7"/>
      <c r="Y118" s="7"/>
      <c r="Z118" s="7"/>
    </row>
    <row r="119" spans="1:26" ht="9" customHeight="1" x14ac:dyDescent="0.2">
      <c r="A119" s="534"/>
      <c r="B119" s="534"/>
      <c r="C119" s="34" t="s">
        <v>37</v>
      </c>
      <c r="D119" s="35">
        <v>25</v>
      </c>
      <c r="E119" s="36">
        <v>20003993</v>
      </c>
      <c r="F119" s="36">
        <v>2196001</v>
      </c>
      <c r="G119" s="36">
        <v>0</v>
      </c>
      <c r="H119" s="36">
        <v>11903375</v>
      </c>
      <c r="I119" s="36">
        <v>0</v>
      </c>
      <c r="J119" s="37">
        <v>2841941</v>
      </c>
      <c r="K119" s="36">
        <v>34103369</v>
      </c>
      <c r="L119" s="38">
        <v>36945310</v>
      </c>
      <c r="M119" s="39"/>
      <c r="N119" s="36">
        <v>34103369</v>
      </c>
      <c r="O119" s="36">
        <v>22199994</v>
      </c>
      <c r="P119" s="36">
        <v>0</v>
      </c>
      <c r="Q119" s="36">
        <f>Q118*1936.27</f>
        <v>40941308.436924003</v>
      </c>
      <c r="R119" s="7"/>
      <c r="S119" s="7"/>
      <c r="T119" s="7"/>
      <c r="U119" s="7"/>
      <c r="V119" s="7"/>
      <c r="W119" s="7"/>
      <c r="X119" s="7"/>
      <c r="Y119" s="7"/>
      <c r="Z119" s="7"/>
    </row>
    <row r="120" spans="1:26" ht="12.75" customHeight="1" x14ac:dyDescent="0.2">
      <c r="A120" s="534"/>
      <c r="B120" s="534"/>
      <c r="C120" s="40" t="s">
        <v>36</v>
      </c>
      <c r="D120" s="41">
        <v>26</v>
      </c>
      <c r="E120" s="42">
        <v>10603.89</v>
      </c>
      <c r="F120" s="42">
        <v>1165.1300000000001</v>
      </c>
      <c r="G120" s="42">
        <v>0</v>
      </c>
      <c r="H120" s="42">
        <v>6147.58</v>
      </c>
      <c r="I120" s="42">
        <v>0</v>
      </c>
      <c r="J120" s="42">
        <v>1493.05</v>
      </c>
      <c r="K120" s="43">
        <v>17916.599999999999</v>
      </c>
      <c r="L120" s="32">
        <v>19409.650000000001</v>
      </c>
      <c r="M120" s="33"/>
      <c r="N120" s="30">
        <v>17916.599999999999</v>
      </c>
      <c r="O120" s="30">
        <v>11769.02</v>
      </c>
      <c r="P120" s="30"/>
      <c r="Q120" s="30">
        <f>(N120+O120*0.18+J120)+(IF((P120-O120*0.18)&gt;0,(P120-O120*0.18),0))</f>
        <v>21528.0736</v>
      </c>
      <c r="R120" s="7"/>
      <c r="S120" s="7"/>
      <c r="T120" s="7"/>
      <c r="U120" s="7"/>
      <c r="V120" s="7"/>
      <c r="W120" s="7"/>
      <c r="X120" s="7"/>
      <c r="Y120" s="7"/>
      <c r="Z120" s="7"/>
    </row>
    <row r="121" spans="1:26" ht="9" customHeight="1" x14ac:dyDescent="0.2">
      <c r="A121" s="534"/>
      <c r="B121" s="534"/>
      <c r="C121" s="34" t="s">
        <v>37</v>
      </c>
      <c r="D121" s="35">
        <v>27</v>
      </c>
      <c r="E121" s="36">
        <v>20531994</v>
      </c>
      <c r="F121" s="36">
        <v>2256006</v>
      </c>
      <c r="G121" s="36">
        <v>0</v>
      </c>
      <c r="H121" s="36">
        <v>11903375</v>
      </c>
      <c r="I121" s="36">
        <v>0</v>
      </c>
      <c r="J121" s="37">
        <v>2890948</v>
      </c>
      <c r="K121" s="36">
        <v>34691375</v>
      </c>
      <c r="L121" s="38">
        <v>37582323</v>
      </c>
      <c r="M121" s="39"/>
      <c r="N121" s="36">
        <v>34691375</v>
      </c>
      <c r="O121" s="36">
        <v>22788000</v>
      </c>
      <c r="P121" s="36">
        <v>0</v>
      </c>
      <c r="Q121" s="36">
        <f>Q120*1936.27</f>
        <v>41684163.069472</v>
      </c>
      <c r="R121" s="7"/>
      <c r="S121" s="7"/>
      <c r="T121" s="7"/>
      <c r="U121" s="7"/>
      <c r="V121" s="7"/>
      <c r="W121" s="7"/>
      <c r="X121" s="7"/>
      <c r="Y121" s="7"/>
      <c r="Z121" s="7"/>
    </row>
    <row r="122" spans="1:26" ht="12.75" customHeight="1" x14ac:dyDescent="0.2">
      <c r="A122" s="534"/>
      <c r="B122" s="534"/>
      <c r="C122" s="40" t="s">
        <v>36</v>
      </c>
      <c r="D122" s="41">
        <v>28</v>
      </c>
      <c r="E122" s="42">
        <v>10870.38</v>
      </c>
      <c r="F122" s="42">
        <v>1189.92</v>
      </c>
      <c r="G122" s="42">
        <v>0</v>
      </c>
      <c r="H122" s="42">
        <v>6147.58</v>
      </c>
      <c r="I122" s="42">
        <v>0</v>
      </c>
      <c r="J122" s="42">
        <v>1517.32</v>
      </c>
      <c r="K122" s="43">
        <v>18207.88</v>
      </c>
      <c r="L122" s="32">
        <v>19725.2</v>
      </c>
      <c r="M122" s="33"/>
      <c r="N122" s="30">
        <v>18207.88</v>
      </c>
      <c r="O122" s="30">
        <v>12060.3</v>
      </c>
      <c r="P122" s="30"/>
      <c r="Q122" s="30">
        <f>(N122+O122*0.18+J122)+(IF((P122-O122*0.18)&gt;0,(P122-O122*0.18),0))</f>
        <v>21896.054</v>
      </c>
      <c r="R122" s="7"/>
      <c r="S122" s="7"/>
      <c r="T122" s="7"/>
      <c r="U122" s="7"/>
      <c r="V122" s="7"/>
      <c r="W122" s="7"/>
      <c r="X122" s="7"/>
      <c r="Y122" s="7"/>
      <c r="Z122" s="7"/>
    </row>
    <row r="123" spans="1:26" ht="9" customHeight="1" x14ac:dyDescent="0.2">
      <c r="A123" s="534"/>
      <c r="B123" s="534"/>
      <c r="C123" s="34" t="s">
        <v>37</v>
      </c>
      <c r="D123" s="35">
        <v>29</v>
      </c>
      <c r="E123" s="36">
        <v>21047991</v>
      </c>
      <c r="F123" s="36">
        <v>2304006</v>
      </c>
      <c r="G123" s="36">
        <v>0</v>
      </c>
      <c r="H123" s="36">
        <v>11903375</v>
      </c>
      <c r="I123" s="36">
        <v>0</v>
      </c>
      <c r="J123" s="37">
        <v>2937941</v>
      </c>
      <c r="K123" s="36">
        <v>35255372</v>
      </c>
      <c r="L123" s="38">
        <v>38193313</v>
      </c>
      <c r="M123" s="39"/>
      <c r="N123" s="36">
        <v>35255372</v>
      </c>
      <c r="O123" s="36">
        <v>23351997</v>
      </c>
      <c r="P123" s="36">
        <v>0</v>
      </c>
      <c r="Q123" s="36">
        <f>Q122*1936.27</f>
        <v>42396672.478579998</v>
      </c>
      <c r="R123" s="7"/>
      <c r="S123" s="7"/>
      <c r="T123" s="7"/>
      <c r="U123" s="7"/>
      <c r="V123" s="7"/>
      <c r="W123" s="7"/>
      <c r="X123" s="7"/>
      <c r="Y123" s="7"/>
      <c r="Z123" s="7"/>
    </row>
    <row r="124" spans="1:26" ht="12.75" customHeight="1" x14ac:dyDescent="0.2">
      <c r="A124" s="534"/>
      <c r="B124" s="534"/>
      <c r="C124" s="40" t="s">
        <v>36</v>
      </c>
      <c r="D124" s="41">
        <v>30</v>
      </c>
      <c r="E124" s="42">
        <v>11136.88</v>
      </c>
      <c r="F124" s="42">
        <v>1220.9000000000001</v>
      </c>
      <c r="G124" s="42">
        <v>0</v>
      </c>
      <c r="H124" s="42">
        <v>6147.58</v>
      </c>
      <c r="I124" s="42">
        <v>0</v>
      </c>
      <c r="J124" s="42">
        <v>1542.11</v>
      </c>
      <c r="K124" s="43">
        <v>18505.36</v>
      </c>
      <c r="L124" s="32">
        <v>20047.47</v>
      </c>
      <c r="M124" s="33"/>
      <c r="N124" s="30">
        <v>18505.36</v>
      </c>
      <c r="O124" s="30">
        <v>12357.78</v>
      </c>
      <c r="P124" s="30"/>
      <c r="Q124" s="30">
        <f>(N124+O124*0.18+J124)+(IF((P124-O124*0.18)&gt;0,(P124-O124*0.18),0))</f>
        <v>22271.8704</v>
      </c>
      <c r="R124" s="7"/>
      <c r="S124" s="7"/>
      <c r="T124" s="7"/>
      <c r="U124" s="7"/>
      <c r="V124" s="7"/>
      <c r="W124" s="7"/>
      <c r="X124" s="7"/>
      <c r="Y124" s="7"/>
      <c r="Z124" s="7"/>
    </row>
    <row r="125" spans="1:26" ht="9" customHeight="1" x14ac:dyDescent="0.2">
      <c r="A125" s="534"/>
      <c r="B125" s="534"/>
      <c r="C125" s="34" t="s">
        <v>37</v>
      </c>
      <c r="D125" s="35">
        <v>31</v>
      </c>
      <c r="E125" s="36">
        <v>21564007</v>
      </c>
      <c r="F125" s="36">
        <v>2363992</v>
      </c>
      <c r="G125" s="36">
        <v>0</v>
      </c>
      <c r="H125" s="36">
        <v>11903375</v>
      </c>
      <c r="I125" s="36">
        <v>0</v>
      </c>
      <c r="J125" s="37">
        <v>2985941</v>
      </c>
      <c r="K125" s="36">
        <v>35831373</v>
      </c>
      <c r="L125" s="38">
        <v>38817315</v>
      </c>
      <c r="M125" s="39"/>
      <c r="N125" s="36">
        <v>35831373</v>
      </c>
      <c r="O125" s="36">
        <v>23927999</v>
      </c>
      <c r="P125" s="36">
        <v>0</v>
      </c>
      <c r="Q125" s="36">
        <f>Q124*1936.27</f>
        <v>43124354.499407999</v>
      </c>
      <c r="R125" s="7"/>
      <c r="S125" s="7"/>
      <c r="T125" s="7"/>
      <c r="U125" s="7"/>
      <c r="V125" s="7"/>
      <c r="W125" s="7"/>
      <c r="X125" s="7"/>
      <c r="Y125" s="7"/>
      <c r="Z125" s="7"/>
    </row>
    <row r="126" spans="1:26" ht="12.75" customHeight="1" x14ac:dyDescent="0.2">
      <c r="A126" s="534"/>
      <c r="B126" s="534"/>
      <c r="C126" s="40" t="s">
        <v>36</v>
      </c>
      <c r="D126" s="41">
        <v>32</v>
      </c>
      <c r="E126" s="42">
        <v>11409.57</v>
      </c>
      <c r="F126" s="42">
        <v>1251.8900000000001</v>
      </c>
      <c r="G126" s="42">
        <v>0</v>
      </c>
      <c r="H126" s="42">
        <v>6147.58</v>
      </c>
      <c r="I126" s="42">
        <v>0</v>
      </c>
      <c r="J126" s="42">
        <v>1567.42</v>
      </c>
      <c r="K126" s="43">
        <v>18809.04</v>
      </c>
      <c r="L126" s="32">
        <v>20376.46</v>
      </c>
      <c r="M126" s="33"/>
      <c r="N126" s="30">
        <v>18809.04</v>
      </c>
      <c r="O126" s="30">
        <v>12661.46</v>
      </c>
      <c r="P126" s="30"/>
      <c r="Q126" s="30">
        <f>(N126+O126*0.18+J126)+(IF((P126-O126*0.18)&gt;0,(P126-O126*0.18),0))</f>
        <v>22655.522799999999</v>
      </c>
      <c r="R126" s="7"/>
      <c r="S126" s="7"/>
      <c r="T126" s="7"/>
      <c r="U126" s="7"/>
      <c r="V126" s="7"/>
      <c r="W126" s="7"/>
      <c r="X126" s="7"/>
      <c r="Y126" s="7"/>
      <c r="Z126" s="7"/>
    </row>
    <row r="127" spans="1:26" ht="9" customHeight="1" x14ac:dyDescent="0.2">
      <c r="A127" s="534"/>
      <c r="B127" s="534"/>
      <c r="C127" s="34" t="s">
        <v>37</v>
      </c>
      <c r="D127" s="35">
        <v>33</v>
      </c>
      <c r="E127" s="36">
        <v>22092008</v>
      </c>
      <c r="F127" s="36">
        <v>2423997</v>
      </c>
      <c r="G127" s="36">
        <v>0</v>
      </c>
      <c r="H127" s="36">
        <v>11903375</v>
      </c>
      <c r="I127" s="36">
        <v>0</v>
      </c>
      <c r="J127" s="37">
        <v>3034948</v>
      </c>
      <c r="K127" s="36">
        <v>36419380</v>
      </c>
      <c r="L127" s="38">
        <v>39454328</v>
      </c>
      <c r="M127" s="39"/>
      <c r="N127" s="36">
        <v>36419380</v>
      </c>
      <c r="O127" s="36">
        <v>24516005</v>
      </c>
      <c r="P127" s="36">
        <v>0</v>
      </c>
      <c r="Q127" s="36">
        <f>Q126*1936.27</f>
        <v>43867209.131955996</v>
      </c>
      <c r="R127" s="7"/>
      <c r="S127" s="7"/>
      <c r="T127" s="7"/>
      <c r="U127" s="7"/>
      <c r="V127" s="7"/>
      <c r="W127" s="7"/>
      <c r="X127" s="7"/>
      <c r="Y127" s="7"/>
      <c r="Z127" s="7"/>
    </row>
    <row r="128" spans="1:26" ht="12.75" customHeight="1" x14ac:dyDescent="0.2">
      <c r="A128" s="534"/>
      <c r="B128" s="534"/>
      <c r="C128" s="40" t="s">
        <v>36</v>
      </c>
      <c r="D128" s="41">
        <v>34</v>
      </c>
      <c r="E128" s="42">
        <v>11676.06</v>
      </c>
      <c r="F128" s="42">
        <v>1282.8800000000001</v>
      </c>
      <c r="G128" s="42">
        <v>0</v>
      </c>
      <c r="H128" s="42">
        <v>6147.58</v>
      </c>
      <c r="I128" s="42">
        <v>0</v>
      </c>
      <c r="J128" s="42">
        <v>1592.21</v>
      </c>
      <c r="K128" s="43">
        <v>19106.52</v>
      </c>
      <c r="L128" s="32">
        <v>20698.73</v>
      </c>
      <c r="M128" s="33"/>
      <c r="N128" s="30">
        <v>19106.52</v>
      </c>
      <c r="O128" s="30">
        <v>12958.94</v>
      </c>
      <c r="P128" s="30"/>
      <c r="Q128" s="30">
        <f>(N128+O128*0.18+J128)+(IF((P128-O128*0.18)&gt;0,(P128-O128*0.18),0))</f>
        <v>23031.339199999999</v>
      </c>
      <c r="R128" s="7"/>
      <c r="S128" s="7"/>
      <c r="T128" s="7"/>
      <c r="U128" s="7"/>
      <c r="V128" s="7"/>
      <c r="W128" s="7"/>
      <c r="X128" s="7"/>
      <c r="Y128" s="7"/>
      <c r="Z128" s="7"/>
    </row>
    <row r="129" spans="1:26" ht="9" customHeight="1" x14ac:dyDescent="0.2">
      <c r="A129" s="534"/>
      <c r="B129" s="534"/>
      <c r="C129" s="34" t="s">
        <v>37</v>
      </c>
      <c r="D129" s="35">
        <v>35</v>
      </c>
      <c r="E129" s="36">
        <v>22608005</v>
      </c>
      <c r="F129" s="36">
        <v>2484002</v>
      </c>
      <c r="G129" s="36">
        <v>0</v>
      </c>
      <c r="H129" s="36">
        <v>11903375</v>
      </c>
      <c r="I129" s="36">
        <v>0</v>
      </c>
      <c r="J129" s="37">
        <v>3082948</v>
      </c>
      <c r="K129" s="36">
        <v>36995381</v>
      </c>
      <c r="L129" s="38">
        <v>40078330</v>
      </c>
      <c r="M129" s="39"/>
      <c r="N129" s="36">
        <v>36995381</v>
      </c>
      <c r="O129" s="36">
        <v>25092007</v>
      </c>
      <c r="P129" s="36">
        <v>0</v>
      </c>
      <c r="Q129" s="36">
        <f>Q128*1936.27</f>
        <v>44594891.152783997</v>
      </c>
      <c r="R129" s="7"/>
      <c r="S129" s="7"/>
      <c r="T129" s="7"/>
      <c r="U129" s="7"/>
      <c r="V129" s="7"/>
      <c r="W129" s="7"/>
      <c r="X129" s="7"/>
      <c r="Y129" s="7"/>
      <c r="Z129" s="7"/>
    </row>
    <row r="130" spans="1:26" ht="12.75" customHeight="1" x14ac:dyDescent="0.2">
      <c r="A130" s="534"/>
      <c r="B130" s="534"/>
      <c r="C130" s="40" t="s">
        <v>36</v>
      </c>
      <c r="D130" s="41">
        <v>36</v>
      </c>
      <c r="E130" s="42">
        <v>11948.75</v>
      </c>
      <c r="F130" s="42">
        <v>1313.87</v>
      </c>
      <c r="G130" s="42">
        <v>0</v>
      </c>
      <c r="H130" s="42">
        <v>6147.58</v>
      </c>
      <c r="I130" s="42">
        <v>0</v>
      </c>
      <c r="J130" s="42">
        <v>1617.52</v>
      </c>
      <c r="K130" s="43">
        <v>19410.2</v>
      </c>
      <c r="L130" s="32">
        <v>21027.72</v>
      </c>
      <c r="M130" s="33"/>
      <c r="N130" s="30">
        <v>19410.2</v>
      </c>
      <c r="O130" s="30">
        <v>13262.62</v>
      </c>
      <c r="P130" s="30"/>
      <c r="Q130" s="30">
        <f>(N130+O130*0.18+J130)+(IF((P130-O130*0.18)&gt;0,(P130-O130*0.18),0))</f>
        <v>23414.991600000001</v>
      </c>
      <c r="R130" s="7"/>
      <c r="S130" s="7"/>
      <c r="T130" s="7"/>
      <c r="U130" s="7"/>
      <c r="V130" s="7"/>
      <c r="W130" s="7"/>
      <c r="X130" s="7"/>
      <c r="Y130" s="7"/>
      <c r="Z130" s="7"/>
    </row>
    <row r="131" spans="1:26" ht="9" customHeight="1" x14ac:dyDescent="0.2">
      <c r="A131" s="534"/>
      <c r="B131" s="534"/>
      <c r="C131" s="34" t="s">
        <v>37</v>
      </c>
      <c r="D131" s="35">
        <v>37</v>
      </c>
      <c r="E131" s="36">
        <v>23136006</v>
      </c>
      <c r="F131" s="36">
        <v>2544007</v>
      </c>
      <c r="G131" s="36">
        <v>0</v>
      </c>
      <c r="H131" s="36">
        <v>11903375</v>
      </c>
      <c r="I131" s="36">
        <v>0</v>
      </c>
      <c r="J131" s="37">
        <v>3131955</v>
      </c>
      <c r="K131" s="36">
        <v>37583388</v>
      </c>
      <c r="L131" s="38">
        <v>40715343</v>
      </c>
      <c r="M131" s="39"/>
      <c r="N131" s="36">
        <v>37583388</v>
      </c>
      <c r="O131" s="36">
        <v>25680013</v>
      </c>
      <c r="P131" s="36">
        <v>0</v>
      </c>
      <c r="Q131" s="36">
        <f>Q130*1936.27</f>
        <v>45337745.785332002</v>
      </c>
      <c r="R131" s="7"/>
      <c r="S131" s="7"/>
      <c r="T131" s="7"/>
      <c r="U131" s="7"/>
      <c r="V131" s="7"/>
      <c r="W131" s="7"/>
      <c r="X131" s="7"/>
      <c r="Y131" s="7"/>
      <c r="Z131" s="7"/>
    </row>
    <row r="132" spans="1:26" ht="12.75" customHeight="1" x14ac:dyDescent="0.2">
      <c r="A132" s="534"/>
      <c r="B132" s="534"/>
      <c r="C132" s="40" t="s">
        <v>36</v>
      </c>
      <c r="D132" s="41">
        <v>38</v>
      </c>
      <c r="E132" s="42">
        <v>12215.24</v>
      </c>
      <c r="F132" s="42">
        <v>1338.66</v>
      </c>
      <c r="G132" s="42">
        <v>0</v>
      </c>
      <c r="H132" s="42">
        <v>6147.58</v>
      </c>
      <c r="I132" s="42">
        <v>0</v>
      </c>
      <c r="J132" s="42">
        <v>1641.79</v>
      </c>
      <c r="K132" s="43">
        <v>19701.48</v>
      </c>
      <c r="L132" s="32">
        <v>21343.27</v>
      </c>
      <c r="M132" s="33"/>
      <c r="N132" s="30">
        <v>19701.48</v>
      </c>
      <c r="O132" s="30">
        <v>13553.9</v>
      </c>
      <c r="P132" s="30"/>
      <c r="Q132" s="30">
        <f>(N132+O132*0.18+J132)+(IF((P132-O132*0.18)&gt;0,(P132-O132*0.18),0))</f>
        <v>23782.972000000002</v>
      </c>
      <c r="R132" s="7"/>
      <c r="S132" s="7"/>
      <c r="T132" s="7"/>
      <c r="U132" s="7"/>
      <c r="V132" s="7"/>
      <c r="W132" s="7"/>
      <c r="X132" s="7"/>
      <c r="Y132" s="7"/>
      <c r="Z132" s="7"/>
    </row>
    <row r="133" spans="1:26" ht="9" customHeight="1" x14ac:dyDescent="0.2">
      <c r="A133" s="534"/>
      <c r="B133" s="534"/>
      <c r="C133" s="34" t="s">
        <v>37</v>
      </c>
      <c r="D133" s="35">
        <v>39</v>
      </c>
      <c r="E133" s="36">
        <v>23652003</v>
      </c>
      <c r="F133" s="36">
        <v>2592007</v>
      </c>
      <c r="G133" s="36">
        <v>0</v>
      </c>
      <c r="H133" s="36">
        <v>11903375</v>
      </c>
      <c r="I133" s="36">
        <v>0</v>
      </c>
      <c r="J133" s="37">
        <v>3178949</v>
      </c>
      <c r="K133" s="36">
        <v>38147385</v>
      </c>
      <c r="L133" s="38">
        <v>41326333</v>
      </c>
      <c r="M133" s="39"/>
      <c r="N133" s="36">
        <v>38147385</v>
      </c>
      <c r="O133" s="36">
        <v>26244010</v>
      </c>
      <c r="P133" s="36">
        <v>0</v>
      </c>
      <c r="Q133" s="36">
        <f>Q132*1936.27</f>
        <v>46050255.19444</v>
      </c>
      <c r="R133" s="7"/>
      <c r="S133" s="7"/>
      <c r="T133" s="7"/>
      <c r="U133" s="7"/>
      <c r="V133" s="7"/>
      <c r="W133" s="7"/>
      <c r="X133" s="7"/>
      <c r="Y133" s="7"/>
      <c r="Z133" s="7"/>
    </row>
    <row r="134" spans="1:26" ht="12.75" customHeight="1" x14ac:dyDescent="0.2">
      <c r="A134" s="534"/>
      <c r="B134" s="534"/>
      <c r="C134" s="40" t="s">
        <v>36</v>
      </c>
      <c r="D134" s="41">
        <v>40</v>
      </c>
      <c r="E134" s="42">
        <v>12487.93</v>
      </c>
      <c r="F134" s="42">
        <v>1369.64</v>
      </c>
      <c r="G134" s="42">
        <v>0</v>
      </c>
      <c r="H134" s="42">
        <v>6147.58</v>
      </c>
      <c r="I134" s="42">
        <v>0</v>
      </c>
      <c r="J134" s="42">
        <v>1667.1</v>
      </c>
      <c r="K134" s="43">
        <v>20005.150000000001</v>
      </c>
      <c r="L134" s="32">
        <v>21672.25</v>
      </c>
      <c r="M134" s="33"/>
      <c r="N134" s="30">
        <v>20005.150000000001</v>
      </c>
      <c r="O134" s="30">
        <v>13857.57</v>
      </c>
      <c r="P134" s="30"/>
      <c r="Q134" s="30">
        <f>(N134+O134*0.18+J134)+(IF((P134-O134*0.18)&gt;0,(P134-O134*0.18),0))</f>
        <v>24166.6126</v>
      </c>
      <c r="R134" s="7"/>
      <c r="S134" s="7"/>
      <c r="T134" s="7"/>
      <c r="U134" s="7"/>
      <c r="V134" s="7"/>
      <c r="W134" s="7"/>
      <c r="X134" s="7"/>
      <c r="Y134" s="7"/>
      <c r="Z134" s="7"/>
    </row>
    <row r="135" spans="1:26" ht="12.75" customHeight="1" x14ac:dyDescent="0.2">
      <c r="A135" s="534"/>
      <c r="B135" s="534"/>
      <c r="C135" s="115"/>
      <c r="D135" s="45"/>
      <c r="E135" s="116"/>
      <c r="F135" s="116"/>
      <c r="G135" s="116"/>
      <c r="H135" s="116"/>
      <c r="I135" s="116"/>
      <c r="J135" s="117"/>
      <c r="K135" s="118"/>
      <c r="L135" s="119"/>
      <c r="M135" s="33"/>
      <c r="N135" s="116"/>
      <c r="O135" s="116"/>
      <c r="P135" s="116"/>
      <c r="Q135" s="116"/>
      <c r="R135" s="7"/>
      <c r="S135" s="7"/>
      <c r="T135" s="7"/>
      <c r="U135" s="7"/>
      <c r="V135" s="7"/>
      <c r="W135" s="7"/>
      <c r="X135" s="7"/>
      <c r="Y135" s="7"/>
      <c r="Z135" s="7"/>
    </row>
    <row r="136" spans="1:26" ht="12.75" customHeight="1" x14ac:dyDescent="0.2">
      <c r="A136" s="534"/>
      <c r="B136" s="534"/>
      <c r="C136" s="115"/>
      <c r="D136" s="45"/>
      <c r="E136" s="116"/>
      <c r="F136" s="116"/>
      <c r="G136" s="116"/>
      <c r="H136" s="116"/>
      <c r="I136" s="116"/>
      <c r="J136" s="117"/>
      <c r="K136" s="118"/>
      <c r="L136" s="119"/>
      <c r="M136" s="33"/>
      <c r="N136" s="116"/>
      <c r="O136" s="116"/>
      <c r="P136" s="116"/>
      <c r="Q136" s="116"/>
      <c r="R136" s="7"/>
      <c r="S136" s="7"/>
      <c r="T136" s="7"/>
      <c r="U136" s="7"/>
      <c r="V136" s="7"/>
      <c r="W136" s="7"/>
      <c r="X136" s="7"/>
      <c r="Y136" s="7"/>
      <c r="Z136" s="7"/>
    </row>
    <row r="137" spans="1:26" ht="9" customHeight="1" x14ac:dyDescent="0.2">
      <c r="A137" s="535"/>
      <c r="B137" s="535"/>
      <c r="C137" s="47"/>
      <c r="D137" s="48"/>
      <c r="E137" s="46">
        <v>24180004</v>
      </c>
      <c r="F137" s="46">
        <v>2651993</v>
      </c>
      <c r="G137" s="46">
        <v>0</v>
      </c>
      <c r="H137" s="46">
        <v>11903375</v>
      </c>
      <c r="I137" s="46">
        <v>0</v>
      </c>
      <c r="J137" s="49">
        <v>3227956</v>
      </c>
      <c r="K137" s="46">
        <v>38735372</v>
      </c>
      <c r="L137" s="38">
        <v>41963328</v>
      </c>
      <c r="M137" s="39"/>
      <c r="N137" s="36">
        <v>38735372</v>
      </c>
      <c r="O137" s="36">
        <v>26831997</v>
      </c>
      <c r="P137" s="36">
        <v>0</v>
      </c>
      <c r="Q137" s="36">
        <f>Q134*1936.27</f>
        <v>46793086.979001999</v>
      </c>
      <c r="R137" s="7"/>
      <c r="S137" s="7"/>
      <c r="T137" s="7"/>
      <c r="U137" s="7"/>
      <c r="V137" s="7"/>
      <c r="W137" s="7"/>
      <c r="X137" s="7"/>
      <c r="Y137" s="7"/>
      <c r="Z137" s="7"/>
    </row>
    <row r="138" spans="1:26" ht="12.75" customHeight="1" x14ac:dyDescent="0.2">
      <c r="A138" s="538">
        <v>33543</v>
      </c>
      <c r="B138" s="538">
        <v>33969</v>
      </c>
      <c r="C138" s="28" t="s">
        <v>36</v>
      </c>
      <c r="D138" s="29">
        <v>0</v>
      </c>
      <c r="E138" s="30">
        <v>5751.26</v>
      </c>
      <c r="F138" s="30">
        <v>632.14</v>
      </c>
      <c r="G138" s="30">
        <v>0</v>
      </c>
      <c r="H138" s="30">
        <v>6384.11</v>
      </c>
      <c r="I138" s="30">
        <v>0</v>
      </c>
      <c r="J138" s="30">
        <v>1063.96</v>
      </c>
      <c r="K138" s="31">
        <v>12767.51</v>
      </c>
      <c r="L138" s="32">
        <v>13831.47</v>
      </c>
      <c r="M138" s="33"/>
      <c r="N138" s="30">
        <v>12767.51</v>
      </c>
      <c r="O138" s="30">
        <v>6383.4</v>
      </c>
      <c r="P138" s="30"/>
      <c r="Q138" s="30">
        <f>(N138+O138*0.18+J138)+(IF((P138-O138*0.18)&gt;0,(P138-O138*0.18),0))</f>
        <v>14980.482</v>
      </c>
      <c r="R138" s="7"/>
      <c r="S138" s="7"/>
      <c r="T138" s="7"/>
      <c r="U138" s="7"/>
      <c r="V138" s="7"/>
      <c r="W138" s="7"/>
      <c r="X138" s="7"/>
      <c r="Y138" s="7"/>
      <c r="Z138" s="7"/>
    </row>
    <row r="139" spans="1:26" ht="9" customHeight="1" x14ac:dyDescent="0.2">
      <c r="A139" s="534"/>
      <c r="B139" s="534"/>
      <c r="C139" s="34" t="s">
        <v>37</v>
      </c>
      <c r="D139" s="35">
        <v>2</v>
      </c>
      <c r="E139" s="36">
        <v>11135992</v>
      </c>
      <c r="F139" s="36">
        <v>1223994</v>
      </c>
      <c r="G139" s="36">
        <v>0</v>
      </c>
      <c r="H139" s="36">
        <v>12361361</v>
      </c>
      <c r="I139" s="36">
        <v>0</v>
      </c>
      <c r="J139" s="37">
        <v>2060114</v>
      </c>
      <c r="K139" s="36">
        <v>24721347</v>
      </c>
      <c r="L139" s="38">
        <v>26781460</v>
      </c>
      <c r="M139" s="39"/>
      <c r="N139" s="36">
        <v>24721347</v>
      </c>
      <c r="O139" s="36">
        <v>12359986</v>
      </c>
      <c r="P139" s="36">
        <v>0</v>
      </c>
      <c r="Q139" s="36">
        <f>Q138*1936.27</f>
        <v>29006257.882139999</v>
      </c>
      <c r="R139" s="7"/>
      <c r="S139" s="7"/>
      <c r="T139" s="7"/>
      <c r="U139" s="7"/>
      <c r="V139" s="7"/>
      <c r="W139" s="7"/>
      <c r="X139" s="7"/>
      <c r="Y139" s="7"/>
      <c r="Z139" s="7"/>
    </row>
    <row r="140" spans="1:26" ht="12.75" customHeight="1" x14ac:dyDescent="0.2">
      <c r="A140" s="540">
        <v>33543</v>
      </c>
      <c r="B140" s="540">
        <v>33969</v>
      </c>
      <c r="C140" s="40" t="s">
        <v>36</v>
      </c>
      <c r="D140" s="41">
        <v>3</v>
      </c>
      <c r="E140" s="42">
        <v>6061.14</v>
      </c>
      <c r="F140" s="42">
        <v>663.13</v>
      </c>
      <c r="G140" s="42">
        <v>0</v>
      </c>
      <c r="H140" s="42">
        <v>6384.11</v>
      </c>
      <c r="I140" s="42">
        <v>0</v>
      </c>
      <c r="J140" s="42">
        <v>1092.3699999999999</v>
      </c>
      <c r="K140" s="43">
        <v>13108.38</v>
      </c>
      <c r="L140" s="32">
        <v>14200.75</v>
      </c>
      <c r="M140" s="33"/>
      <c r="N140" s="30">
        <v>13108.38</v>
      </c>
      <c r="O140" s="30">
        <v>6724.27</v>
      </c>
      <c r="P140" s="30"/>
      <c r="Q140" s="30">
        <f>(N140+O140*0.18+J140)+(IF((P140-O140*0.18)&gt;0,(P140-O140*0.18),0))</f>
        <v>15411.118599999998</v>
      </c>
      <c r="R140" s="7"/>
      <c r="S140" s="7"/>
      <c r="T140" s="7"/>
      <c r="U140" s="7"/>
      <c r="V140" s="7"/>
      <c r="W140" s="7"/>
      <c r="X140" s="7"/>
      <c r="Y140" s="7"/>
      <c r="Z140" s="7"/>
    </row>
    <row r="141" spans="1:26" ht="9" customHeight="1" x14ac:dyDescent="0.2">
      <c r="A141" s="534"/>
      <c r="B141" s="534"/>
      <c r="C141" s="34" t="s">
        <v>37</v>
      </c>
      <c r="D141" s="35">
        <v>4</v>
      </c>
      <c r="E141" s="36">
        <v>11736004</v>
      </c>
      <c r="F141" s="36">
        <v>1283999</v>
      </c>
      <c r="G141" s="36">
        <v>0</v>
      </c>
      <c r="H141" s="36">
        <v>12361361</v>
      </c>
      <c r="I141" s="36">
        <v>0</v>
      </c>
      <c r="J141" s="37">
        <v>2115123</v>
      </c>
      <c r="K141" s="36">
        <v>25381363</v>
      </c>
      <c r="L141" s="38">
        <v>27496486</v>
      </c>
      <c r="M141" s="39"/>
      <c r="N141" s="36">
        <v>25381363</v>
      </c>
      <c r="O141" s="36">
        <v>13020002</v>
      </c>
      <c r="P141" s="36">
        <v>0</v>
      </c>
      <c r="Q141" s="36">
        <f>Q140*1936.27</f>
        <v>29840086.611621995</v>
      </c>
      <c r="R141" s="7"/>
      <c r="S141" s="7"/>
      <c r="T141" s="7"/>
      <c r="U141" s="7"/>
      <c r="V141" s="7"/>
      <c r="W141" s="7"/>
      <c r="X141" s="7"/>
      <c r="Y141" s="7"/>
      <c r="Z141" s="7"/>
    </row>
    <row r="142" spans="1:26" ht="12.75" customHeight="1" x14ac:dyDescent="0.2">
      <c r="A142" s="534"/>
      <c r="B142" s="534"/>
      <c r="C142" s="40" t="s">
        <v>36</v>
      </c>
      <c r="D142" s="41">
        <v>5</v>
      </c>
      <c r="E142" s="42">
        <v>6371.01</v>
      </c>
      <c r="F142" s="42">
        <v>700.32</v>
      </c>
      <c r="G142" s="42">
        <v>0</v>
      </c>
      <c r="H142" s="42">
        <v>6384.11</v>
      </c>
      <c r="I142" s="42">
        <v>0</v>
      </c>
      <c r="J142" s="42">
        <v>1121.29</v>
      </c>
      <c r="K142" s="43">
        <v>13455.44</v>
      </c>
      <c r="L142" s="32">
        <v>14576.73</v>
      </c>
      <c r="M142" s="33"/>
      <c r="N142" s="30">
        <v>13455.44</v>
      </c>
      <c r="O142" s="30">
        <v>7071.33</v>
      </c>
      <c r="P142" s="30"/>
      <c r="Q142" s="30">
        <f>(N142+O142*0.18+J142)+(IF((P142-O142*0.18)&gt;0,(P142-O142*0.18),0))</f>
        <v>15849.5694</v>
      </c>
      <c r="R142" s="7"/>
      <c r="S142" s="7"/>
      <c r="T142" s="7"/>
      <c r="U142" s="7"/>
      <c r="V142" s="7"/>
      <c r="W142" s="7"/>
      <c r="X142" s="7"/>
      <c r="Y142" s="7"/>
      <c r="Z142" s="7"/>
    </row>
    <row r="143" spans="1:26" ht="9" customHeight="1" x14ac:dyDescent="0.2">
      <c r="A143" s="534"/>
      <c r="B143" s="534"/>
      <c r="C143" s="34" t="s">
        <v>37</v>
      </c>
      <c r="D143" s="35">
        <v>6</v>
      </c>
      <c r="E143" s="36">
        <v>12335996</v>
      </c>
      <c r="F143" s="36">
        <v>1356009</v>
      </c>
      <c r="G143" s="36">
        <v>0</v>
      </c>
      <c r="H143" s="36">
        <v>12361361</v>
      </c>
      <c r="I143" s="36">
        <v>0</v>
      </c>
      <c r="J143" s="37">
        <v>2171120</v>
      </c>
      <c r="K143" s="36">
        <v>26053365</v>
      </c>
      <c r="L143" s="38">
        <v>28224485</v>
      </c>
      <c r="M143" s="39"/>
      <c r="N143" s="36">
        <v>26053365</v>
      </c>
      <c r="O143" s="36">
        <v>13692004</v>
      </c>
      <c r="P143" s="36">
        <v>0</v>
      </c>
      <c r="Q143" s="36">
        <f>Q142*1936.27</f>
        <v>30689045.742138002</v>
      </c>
      <c r="R143" s="7"/>
      <c r="S143" s="7"/>
      <c r="T143" s="7"/>
      <c r="U143" s="7"/>
      <c r="V143" s="7"/>
      <c r="W143" s="7"/>
      <c r="X143" s="7"/>
      <c r="Y143" s="7"/>
      <c r="Z143" s="7"/>
    </row>
    <row r="144" spans="1:26" ht="12.75" customHeight="1" x14ac:dyDescent="0.2">
      <c r="A144" s="534"/>
      <c r="B144" s="534"/>
      <c r="C144" s="40" t="s">
        <v>36</v>
      </c>
      <c r="D144" s="41">
        <v>7</v>
      </c>
      <c r="E144" s="42">
        <v>6674.69</v>
      </c>
      <c r="F144" s="42">
        <v>731.3</v>
      </c>
      <c r="G144" s="42">
        <v>0</v>
      </c>
      <c r="H144" s="42">
        <v>6384.11</v>
      </c>
      <c r="I144" s="42">
        <v>0</v>
      </c>
      <c r="J144" s="42">
        <v>1149.18</v>
      </c>
      <c r="K144" s="43">
        <v>13790.1</v>
      </c>
      <c r="L144" s="32">
        <v>14939.28</v>
      </c>
      <c r="M144" s="33"/>
      <c r="N144" s="30">
        <v>13790.1</v>
      </c>
      <c r="O144" s="30">
        <v>7405.99</v>
      </c>
      <c r="P144" s="30"/>
      <c r="Q144" s="30">
        <f>(N144+O144*0.18+J144)+(IF((P144-O144*0.18)&gt;0,(P144-O144*0.18),0))</f>
        <v>16272.358200000001</v>
      </c>
      <c r="R144" s="7"/>
      <c r="S144" s="7"/>
      <c r="T144" s="7"/>
      <c r="U144" s="7"/>
      <c r="V144" s="7"/>
      <c r="W144" s="7"/>
      <c r="X144" s="7"/>
      <c r="Y144" s="7"/>
      <c r="Z144" s="7"/>
    </row>
    <row r="145" spans="1:26" ht="9" customHeight="1" x14ac:dyDescent="0.2">
      <c r="A145" s="534"/>
      <c r="B145" s="534"/>
      <c r="C145" s="34" t="s">
        <v>37</v>
      </c>
      <c r="D145" s="35">
        <v>8</v>
      </c>
      <c r="E145" s="36">
        <v>12924002</v>
      </c>
      <c r="F145" s="36">
        <v>1415994</v>
      </c>
      <c r="G145" s="36">
        <v>0</v>
      </c>
      <c r="H145" s="36">
        <v>12361361</v>
      </c>
      <c r="I145" s="36">
        <v>0</v>
      </c>
      <c r="J145" s="37">
        <v>2225123</v>
      </c>
      <c r="K145" s="36">
        <v>26701357</v>
      </c>
      <c r="L145" s="38">
        <v>28926480</v>
      </c>
      <c r="M145" s="39"/>
      <c r="N145" s="36">
        <v>26701357</v>
      </c>
      <c r="O145" s="36">
        <v>14339996</v>
      </c>
      <c r="P145" s="36">
        <v>0</v>
      </c>
      <c r="Q145" s="36">
        <f>Q144*1936.27</f>
        <v>31507679.011914</v>
      </c>
      <c r="R145" s="7"/>
      <c r="S145" s="7"/>
      <c r="T145" s="7"/>
      <c r="U145" s="7"/>
      <c r="V145" s="7"/>
      <c r="W145" s="7"/>
      <c r="X145" s="7"/>
      <c r="Y145" s="7"/>
      <c r="Z145" s="7"/>
    </row>
    <row r="146" spans="1:26" ht="12.75" customHeight="1" x14ac:dyDescent="0.2">
      <c r="A146" s="534"/>
      <c r="B146" s="534"/>
      <c r="C146" s="40" t="s">
        <v>36</v>
      </c>
      <c r="D146" s="41">
        <v>9</v>
      </c>
      <c r="E146" s="42">
        <v>7027.95</v>
      </c>
      <c r="F146" s="42">
        <v>768.49</v>
      </c>
      <c r="G146" s="42">
        <v>0</v>
      </c>
      <c r="H146" s="42">
        <v>6384.11</v>
      </c>
      <c r="I146" s="42">
        <v>0</v>
      </c>
      <c r="J146" s="42">
        <v>1181.71</v>
      </c>
      <c r="K146" s="43">
        <v>14180.55</v>
      </c>
      <c r="L146" s="32">
        <v>15362.26</v>
      </c>
      <c r="M146" s="33"/>
      <c r="N146" s="30">
        <v>14180.55</v>
      </c>
      <c r="O146" s="30">
        <v>7796.44</v>
      </c>
      <c r="P146" s="30"/>
      <c r="Q146" s="30">
        <f>(N146+O146*0.18+J146)+(IF((P146-O146*0.18)&gt;0,(P146-O146*0.18),0))</f>
        <v>16765.619199999997</v>
      </c>
      <c r="R146" s="7"/>
      <c r="S146" s="7"/>
      <c r="T146" s="7"/>
      <c r="U146" s="7"/>
      <c r="V146" s="7"/>
      <c r="W146" s="7"/>
      <c r="X146" s="7"/>
      <c r="Y146" s="7"/>
      <c r="Z146" s="7"/>
    </row>
    <row r="147" spans="1:26" ht="9" customHeight="1" x14ac:dyDescent="0.2">
      <c r="A147" s="534"/>
      <c r="B147" s="534"/>
      <c r="C147" s="34" t="s">
        <v>37</v>
      </c>
      <c r="D147" s="35">
        <v>10</v>
      </c>
      <c r="E147" s="36">
        <v>13608009</v>
      </c>
      <c r="F147" s="36">
        <v>1488004</v>
      </c>
      <c r="G147" s="36">
        <v>0</v>
      </c>
      <c r="H147" s="36">
        <v>12361361</v>
      </c>
      <c r="I147" s="36">
        <v>0</v>
      </c>
      <c r="J147" s="37">
        <v>2288110</v>
      </c>
      <c r="K147" s="36">
        <v>27457374</v>
      </c>
      <c r="L147" s="38">
        <v>29745483</v>
      </c>
      <c r="M147" s="39"/>
      <c r="N147" s="36">
        <v>27457374</v>
      </c>
      <c r="O147" s="36">
        <v>15096013</v>
      </c>
      <c r="P147" s="36">
        <v>0</v>
      </c>
      <c r="Q147" s="36">
        <f>Q146*1936.27</f>
        <v>32462765.488383994</v>
      </c>
      <c r="R147" s="7"/>
      <c r="S147" s="7"/>
      <c r="T147" s="7"/>
      <c r="U147" s="7"/>
      <c r="V147" s="7"/>
      <c r="W147" s="7"/>
      <c r="X147" s="7"/>
      <c r="Y147" s="7"/>
      <c r="Z147" s="7"/>
    </row>
    <row r="148" spans="1:26" ht="12.75" customHeight="1" x14ac:dyDescent="0.2">
      <c r="A148" s="534"/>
      <c r="B148" s="534"/>
      <c r="C148" s="40" t="s">
        <v>36</v>
      </c>
      <c r="D148" s="41">
        <v>11</v>
      </c>
      <c r="E148" s="42">
        <v>7387.4</v>
      </c>
      <c r="F148" s="42">
        <v>811.87</v>
      </c>
      <c r="G148" s="42">
        <v>0</v>
      </c>
      <c r="H148" s="42">
        <v>6384.11</v>
      </c>
      <c r="I148" s="42">
        <v>0</v>
      </c>
      <c r="J148" s="42">
        <v>1215.28</v>
      </c>
      <c r="K148" s="43">
        <v>14583.38</v>
      </c>
      <c r="L148" s="32">
        <v>15798.66</v>
      </c>
      <c r="M148" s="33"/>
      <c r="N148" s="30">
        <v>14583.38</v>
      </c>
      <c r="O148" s="30">
        <v>8199.27</v>
      </c>
      <c r="P148" s="30"/>
      <c r="Q148" s="30">
        <f>(N148+O148*0.18+J148)+(IF((P148-O148*0.18)&gt;0,(P148-O148*0.18),0))</f>
        <v>17274.528599999998</v>
      </c>
      <c r="R148" s="7"/>
      <c r="S148" s="7"/>
      <c r="T148" s="7"/>
      <c r="U148" s="7"/>
      <c r="V148" s="7"/>
      <c r="W148" s="7"/>
      <c r="X148" s="7"/>
      <c r="Y148" s="7"/>
      <c r="Z148" s="7"/>
    </row>
    <row r="149" spans="1:26" ht="9" customHeight="1" x14ac:dyDescent="0.2">
      <c r="A149" s="534"/>
      <c r="B149" s="534"/>
      <c r="C149" s="34" t="s">
        <v>37</v>
      </c>
      <c r="D149" s="35">
        <v>12</v>
      </c>
      <c r="E149" s="36">
        <v>14304001</v>
      </c>
      <c r="F149" s="36">
        <v>1572000</v>
      </c>
      <c r="G149" s="36">
        <v>0</v>
      </c>
      <c r="H149" s="36">
        <v>12361361</v>
      </c>
      <c r="I149" s="36">
        <v>0</v>
      </c>
      <c r="J149" s="37">
        <v>2353110</v>
      </c>
      <c r="K149" s="36">
        <v>28237361</v>
      </c>
      <c r="L149" s="38">
        <v>30590471</v>
      </c>
      <c r="M149" s="39"/>
      <c r="N149" s="36">
        <v>28237361</v>
      </c>
      <c r="O149" s="36">
        <v>15876001</v>
      </c>
      <c r="P149" s="36">
        <v>0</v>
      </c>
      <c r="Q149" s="36">
        <f>Q148*1936.27</f>
        <v>33448151.492321994</v>
      </c>
      <c r="R149" s="7"/>
      <c r="S149" s="7"/>
      <c r="T149" s="7"/>
      <c r="U149" s="7"/>
      <c r="V149" s="7"/>
      <c r="W149" s="7"/>
      <c r="X149" s="7"/>
      <c r="Y149" s="7"/>
      <c r="Z149" s="7"/>
    </row>
    <row r="150" spans="1:26" ht="12.75" customHeight="1" x14ac:dyDescent="0.2">
      <c r="A150" s="534"/>
      <c r="B150" s="534"/>
      <c r="C150" s="40" t="s">
        <v>36</v>
      </c>
      <c r="D150" s="41">
        <v>13</v>
      </c>
      <c r="E150" s="42">
        <v>7740.66</v>
      </c>
      <c r="F150" s="42">
        <v>849.06</v>
      </c>
      <c r="G150" s="42">
        <v>0</v>
      </c>
      <c r="H150" s="42">
        <v>6384.11</v>
      </c>
      <c r="I150" s="42">
        <v>0</v>
      </c>
      <c r="J150" s="42">
        <v>1247.82</v>
      </c>
      <c r="K150" s="43">
        <v>14973.83</v>
      </c>
      <c r="L150" s="32">
        <v>16221.65</v>
      </c>
      <c r="M150" s="33"/>
      <c r="N150" s="30">
        <v>14973.83</v>
      </c>
      <c r="O150" s="30">
        <v>8589.7199999999993</v>
      </c>
      <c r="P150" s="30"/>
      <c r="Q150" s="30">
        <f>(N150+O150*0.18+J150)+(IF((P150-O150*0.18)&gt;0,(P150-O150*0.18),0))</f>
        <v>17767.799599999998</v>
      </c>
      <c r="R150" s="7"/>
      <c r="S150" s="7"/>
      <c r="T150" s="7"/>
      <c r="U150" s="7"/>
      <c r="V150" s="7"/>
      <c r="W150" s="7"/>
      <c r="X150" s="7"/>
      <c r="Y150" s="7"/>
      <c r="Z150" s="7"/>
    </row>
    <row r="151" spans="1:26" ht="9" customHeight="1" x14ac:dyDescent="0.2">
      <c r="A151" s="534"/>
      <c r="B151" s="534"/>
      <c r="C151" s="34" t="s">
        <v>37</v>
      </c>
      <c r="D151" s="35">
        <v>14</v>
      </c>
      <c r="E151" s="36">
        <v>14988008</v>
      </c>
      <c r="F151" s="36">
        <v>1644009</v>
      </c>
      <c r="G151" s="36">
        <v>0</v>
      </c>
      <c r="H151" s="36">
        <v>12361361</v>
      </c>
      <c r="I151" s="36">
        <v>0</v>
      </c>
      <c r="J151" s="37">
        <v>2416116</v>
      </c>
      <c r="K151" s="36">
        <v>28993378</v>
      </c>
      <c r="L151" s="38">
        <v>31409494</v>
      </c>
      <c r="M151" s="39"/>
      <c r="N151" s="36">
        <v>28993378</v>
      </c>
      <c r="O151" s="36">
        <v>16632017</v>
      </c>
      <c r="P151" s="36">
        <v>0</v>
      </c>
      <c r="Q151" s="36">
        <f>Q150*1936.27</f>
        <v>34403257.331491999</v>
      </c>
      <c r="R151" s="7"/>
      <c r="S151" s="7"/>
      <c r="T151" s="7"/>
      <c r="U151" s="7"/>
      <c r="V151" s="7"/>
      <c r="W151" s="7"/>
      <c r="X151" s="7"/>
      <c r="Y151" s="7"/>
      <c r="Z151" s="7"/>
    </row>
    <row r="152" spans="1:26" ht="12.75" customHeight="1" x14ac:dyDescent="0.2">
      <c r="A152" s="534"/>
      <c r="B152" s="534"/>
      <c r="C152" s="40" t="s">
        <v>36</v>
      </c>
      <c r="D152" s="41">
        <v>15</v>
      </c>
      <c r="E152" s="42">
        <v>8155.89</v>
      </c>
      <c r="F152" s="42">
        <v>892.44</v>
      </c>
      <c r="G152" s="42">
        <v>0</v>
      </c>
      <c r="H152" s="42">
        <v>6384.11</v>
      </c>
      <c r="I152" s="42">
        <v>0</v>
      </c>
      <c r="J152" s="42">
        <v>1286.04</v>
      </c>
      <c r="K152" s="43">
        <v>15432.44</v>
      </c>
      <c r="L152" s="32">
        <v>16718.48</v>
      </c>
      <c r="M152" s="33"/>
      <c r="N152" s="30">
        <v>15432.44</v>
      </c>
      <c r="O152" s="30">
        <v>9048.33</v>
      </c>
      <c r="P152" s="30"/>
      <c r="Q152" s="30">
        <f>(N152+O152*0.18+J152)+(IF((P152-O152*0.18)&gt;0,(P152-O152*0.18),0))</f>
        <v>18347.179400000001</v>
      </c>
      <c r="R152" s="7"/>
      <c r="S152" s="7"/>
      <c r="T152" s="7"/>
      <c r="U152" s="7"/>
      <c r="V152" s="7"/>
      <c r="W152" s="7"/>
      <c r="X152" s="7"/>
      <c r="Y152" s="7"/>
      <c r="Z152" s="7"/>
    </row>
    <row r="153" spans="1:26" ht="9" customHeight="1" x14ac:dyDescent="0.2">
      <c r="A153" s="534"/>
      <c r="B153" s="534"/>
      <c r="C153" s="34" t="s">
        <v>37</v>
      </c>
      <c r="D153" s="35">
        <v>16</v>
      </c>
      <c r="E153" s="36">
        <v>15792005</v>
      </c>
      <c r="F153" s="36">
        <v>1728005</v>
      </c>
      <c r="G153" s="36">
        <v>0</v>
      </c>
      <c r="H153" s="36">
        <v>12361361</v>
      </c>
      <c r="I153" s="36">
        <v>0</v>
      </c>
      <c r="J153" s="37">
        <v>2490121</v>
      </c>
      <c r="K153" s="36">
        <v>29881371</v>
      </c>
      <c r="L153" s="38">
        <v>32371491</v>
      </c>
      <c r="M153" s="39"/>
      <c r="N153" s="36">
        <v>29881371</v>
      </c>
      <c r="O153" s="36">
        <v>17520010</v>
      </c>
      <c r="P153" s="36">
        <v>0</v>
      </c>
      <c r="Q153" s="36">
        <f>Q152*1936.27</f>
        <v>35525093.056837998</v>
      </c>
      <c r="R153" s="7"/>
      <c r="S153" s="7"/>
      <c r="T153" s="7"/>
      <c r="U153" s="7"/>
      <c r="V153" s="7"/>
      <c r="W153" s="7"/>
      <c r="X153" s="7"/>
      <c r="Y153" s="7"/>
      <c r="Z153" s="7"/>
    </row>
    <row r="154" spans="1:26" ht="12.75" customHeight="1" x14ac:dyDescent="0.2">
      <c r="A154" s="534"/>
      <c r="B154" s="534"/>
      <c r="C154" s="40" t="s">
        <v>36</v>
      </c>
      <c r="D154" s="41">
        <v>17</v>
      </c>
      <c r="E154" s="42">
        <v>8571.1200000000008</v>
      </c>
      <c r="F154" s="42">
        <v>942.02</v>
      </c>
      <c r="G154" s="42">
        <v>0</v>
      </c>
      <c r="H154" s="42">
        <v>6384.11</v>
      </c>
      <c r="I154" s="42">
        <v>0</v>
      </c>
      <c r="J154" s="42">
        <v>1324.77</v>
      </c>
      <c r="K154" s="43">
        <v>15897.25</v>
      </c>
      <c r="L154" s="32">
        <v>17222.02</v>
      </c>
      <c r="M154" s="33"/>
      <c r="N154" s="30">
        <v>15897.25</v>
      </c>
      <c r="O154" s="30">
        <v>9513.14</v>
      </c>
      <c r="P154" s="30"/>
      <c r="Q154" s="30">
        <f>(N154+O154*0.18+J154)+(IF((P154-O154*0.18)&gt;0,(P154-O154*0.18),0))</f>
        <v>18934.385200000001</v>
      </c>
      <c r="R154" s="7"/>
      <c r="S154" s="7"/>
      <c r="T154" s="7"/>
      <c r="U154" s="7"/>
      <c r="V154" s="7"/>
      <c r="W154" s="7"/>
      <c r="X154" s="7"/>
      <c r="Y154" s="7"/>
      <c r="Z154" s="7"/>
    </row>
    <row r="155" spans="1:26" ht="9" customHeight="1" x14ac:dyDescent="0.2">
      <c r="A155" s="534"/>
      <c r="B155" s="534"/>
      <c r="C155" s="34" t="s">
        <v>37</v>
      </c>
      <c r="D155" s="35">
        <v>18</v>
      </c>
      <c r="E155" s="36">
        <v>16596003</v>
      </c>
      <c r="F155" s="36">
        <v>1824005</v>
      </c>
      <c r="G155" s="36">
        <v>0</v>
      </c>
      <c r="H155" s="36">
        <v>12361361</v>
      </c>
      <c r="I155" s="36">
        <v>0</v>
      </c>
      <c r="J155" s="37">
        <v>2565112</v>
      </c>
      <c r="K155" s="36">
        <v>30781368</v>
      </c>
      <c r="L155" s="38">
        <v>33346481</v>
      </c>
      <c r="M155" s="39"/>
      <c r="N155" s="36">
        <v>30781368</v>
      </c>
      <c r="O155" s="36">
        <v>18420008</v>
      </c>
      <c r="P155" s="36">
        <v>0</v>
      </c>
      <c r="Q155" s="36">
        <f>Q154*1936.27</f>
        <v>36662082.031204</v>
      </c>
      <c r="R155" s="7"/>
      <c r="S155" s="7"/>
      <c r="T155" s="7"/>
      <c r="U155" s="7"/>
      <c r="V155" s="7"/>
      <c r="W155" s="7"/>
      <c r="X155" s="7"/>
      <c r="Y155" s="7"/>
      <c r="Z155" s="7"/>
    </row>
    <row r="156" spans="1:26" ht="12.75" customHeight="1" x14ac:dyDescent="0.2">
      <c r="A156" s="534"/>
      <c r="B156" s="534"/>
      <c r="C156" s="40" t="s">
        <v>36</v>
      </c>
      <c r="D156" s="41">
        <v>19</v>
      </c>
      <c r="E156" s="42">
        <v>8980.15</v>
      </c>
      <c r="F156" s="42">
        <v>985.4</v>
      </c>
      <c r="G156" s="42">
        <v>0</v>
      </c>
      <c r="H156" s="42">
        <v>6384.11</v>
      </c>
      <c r="I156" s="42">
        <v>0</v>
      </c>
      <c r="J156" s="42">
        <v>1362.47</v>
      </c>
      <c r="K156" s="43">
        <v>16349.66</v>
      </c>
      <c r="L156" s="32">
        <v>17712.13</v>
      </c>
      <c r="M156" s="33"/>
      <c r="N156" s="30">
        <v>16349.66</v>
      </c>
      <c r="O156" s="30">
        <v>9965.5499999999993</v>
      </c>
      <c r="P156" s="30"/>
      <c r="Q156" s="30">
        <f>(N156+O156*0.18+J156)+(IF((P156-O156*0.18)&gt;0,(P156-O156*0.18),0))</f>
        <v>19505.929</v>
      </c>
      <c r="R156" s="7"/>
      <c r="S156" s="7"/>
      <c r="T156" s="7"/>
      <c r="U156" s="7"/>
      <c r="V156" s="7"/>
      <c r="W156" s="7"/>
      <c r="X156" s="7"/>
      <c r="Y156" s="7"/>
      <c r="Z156" s="7"/>
    </row>
    <row r="157" spans="1:26" ht="9" customHeight="1" x14ac:dyDescent="0.2">
      <c r="A157" s="534"/>
      <c r="B157" s="534"/>
      <c r="C157" s="34" t="s">
        <v>37</v>
      </c>
      <c r="D157" s="35">
        <v>19</v>
      </c>
      <c r="E157" s="36">
        <v>17387995</v>
      </c>
      <c r="F157" s="36">
        <v>1908000</v>
      </c>
      <c r="G157" s="36">
        <v>0</v>
      </c>
      <c r="H157" s="36">
        <v>12361361</v>
      </c>
      <c r="I157" s="36">
        <v>0</v>
      </c>
      <c r="J157" s="37">
        <v>2638110</v>
      </c>
      <c r="K157" s="36">
        <v>31657356</v>
      </c>
      <c r="L157" s="38">
        <v>34295466</v>
      </c>
      <c r="M157" s="39"/>
      <c r="N157" s="36">
        <v>31657356</v>
      </c>
      <c r="O157" s="36">
        <v>19295995</v>
      </c>
      <c r="P157" s="36">
        <v>0</v>
      </c>
      <c r="Q157" s="36">
        <f>Q156*1936.27</f>
        <v>37768745.144830003</v>
      </c>
      <c r="R157" s="7"/>
      <c r="S157" s="7"/>
      <c r="T157" s="7"/>
      <c r="U157" s="7"/>
      <c r="V157" s="7"/>
      <c r="W157" s="7"/>
      <c r="X157" s="7"/>
      <c r="Y157" s="7"/>
      <c r="Z157" s="7"/>
    </row>
    <row r="158" spans="1:26" ht="12.75" customHeight="1" x14ac:dyDescent="0.2">
      <c r="A158" s="534"/>
      <c r="B158" s="534"/>
      <c r="C158" s="40" t="s">
        <v>36</v>
      </c>
      <c r="D158" s="41">
        <v>20</v>
      </c>
      <c r="E158" s="42">
        <v>9792.02</v>
      </c>
      <c r="F158" s="42">
        <v>1072.1600000000001</v>
      </c>
      <c r="G158" s="42">
        <v>0</v>
      </c>
      <c r="H158" s="42">
        <v>6384.11</v>
      </c>
      <c r="I158" s="42">
        <v>0</v>
      </c>
      <c r="J158" s="42">
        <v>1437.36</v>
      </c>
      <c r="K158" s="43">
        <v>17248.29</v>
      </c>
      <c r="L158" s="32">
        <v>18685.650000000001</v>
      </c>
      <c r="M158" s="33"/>
      <c r="N158" s="30">
        <v>17248.29</v>
      </c>
      <c r="O158" s="30">
        <v>10864.18</v>
      </c>
      <c r="P158" s="30"/>
      <c r="Q158" s="30">
        <f>(N158+O158*0.18+J158)+(IF((P158-O158*0.18)&gt;0,(P158-O158*0.18),0))</f>
        <v>20641.202400000002</v>
      </c>
      <c r="R158" s="7"/>
      <c r="S158" s="7"/>
      <c r="T158" s="7"/>
      <c r="U158" s="7"/>
      <c r="V158" s="7"/>
      <c r="W158" s="7"/>
      <c r="X158" s="7"/>
      <c r="Y158" s="7"/>
      <c r="Z158" s="7"/>
    </row>
    <row r="159" spans="1:26" ht="9" customHeight="1" x14ac:dyDescent="0.2">
      <c r="A159" s="534"/>
      <c r="B159" s="534"/>
      <c r="C159" s="34" t="s">
        <v>37</v>
      </c>
      <c r="D159" s="35">
        <v>21</v>
      </c>
      <c r="E159" s="36">
        <v>18959995</v>
      </c>
      <c r="F159" s="36">
        <v>2075991</v>
      </c>
      <c r="G159" s="36">
        <v>0</v>
      </c>
      <c r="H159" s="36">
        <v>12361361</v>
      </c>
      <c r="I159" s="36">
        <v>0</v>
      </c>
      <c r="J159" s="37">
        <v>2783117</v>
      </c>
      <c r="K159" s="36">
        <v>33397346</v>
      </c>
      <c r="L159" s="38">
        <v>36180464</v>
      </c>
      <c r="M159" s="39"/>
      <c r="N159" s="36">
        <v>33397346</v>
      </c>
      <c r="O159" s="36">
        <v>21035986</v>
      </c>
      <c r="P159" s="36">
        <v>0</v>
      </c>
      <c r="Q159" s="36">
        <f>Q158*1936.27</f>
        <v>39966940.971048005</v>
      </c>
      <c r="R159" s="7"/>
      <c r="S159" s="7"/>
      <c r="T159" s="7"/>
      <c r="U159" s="7"/>
      <c r="V159" s="7"/>
      <c r="W159" s="7"/>
      <c r="X159" s="7"/>
      <c r="Y159" s="7"/>
      <c r="Z159" s="7"/>
    </row>
    <row r="160" spans="1:26" ht="12.75" customHeight="1" x14ac:dyDescent="0.2">
      <c r="A160" s="534"/>
      <c r="B160" s="534"/>
      <c r="C160" s="40" t="s">
        <v>36</v>
      </c>
      <c r="D160" s="41">
        <v>22</v>
      </c>
      <c r="E160" s="42">
        <v>10058.51</v>
      </c>
      <c r="F160" s="42">
        <v>1103.1500000000001</v>
      </c>
      <c r="G160" s="42">
        <v>0</v>
      </c>
      <c r="H160" s="42">
        <v>6384.11</v>
      </c>
      <c r="I160" s="42">
        <v>0</v>
      </c>
      <c r="J160" s="42">
        <v>1462.15</v>
      </c>
      <c r="K160" s="43">
        <v>17545.77</v>
      </c>
      <c r="L160" s="32">
        <v>19007.919999999998</v>
      </c>
      <c r="M160" s="33"/>
      <c r="N160" s="30">
        <v>17545.77</v>
      </c>
      <c r="O160" s="30">
        <v>11161.66</v>
      </c>
      <c r="P160" s="30"/>
      <c r="Q160" s="30">
        <f>(N160+O160*0.18+J160)+(IF((P160-O160*0.18)&gt;0,(P160-O160*0.18),0))</f>
        <v>21017.018800000002</v>
      </c>
      <c r="R160" s="7"/>
      <c r="S160" s="7"/>
      <c r="T160" s="7"/>
      <c r="U160" s="7"/>
      <c r="V160" s="7"/>
      <c r="W160" s="7"/>
      <c r="X160" s="7"/>
      <c r="Y160" s="7"/>
      <c r="Z160" s="7"/>
    </row>
    <row r="161" spans="1:26" ht="9" customHeight="1" x14ac:dyDescent="0.2">
      <c r="A161" s="534"/>
      <c r="B161" s="534"/>
      <c r="C161" s="34" t="s">
        <v>37</v>
      </c>
      <c r="D161" s="35">
        <v>23</v>
      </c>
      <c r="E161" s="36">
        <v>19475991</v>
      </c>
      <c r="F161" s="36">
        <v>2135996</v>
      </c>
      <c r="G161" s="36">
        <v>0</v>
      </c>
      <c r="H161" s="36">
        <v>12361361</v>
      </c>
      <c r="I161" s="36">
        <v>0</v>
      </c>
      <c r="J161" s="37">
        <v>2831117</v>
      </c>
      <c r="K161" s="36">
        <v>33973348</v>
      </c>
      <c r="L161" s="38">
        <v>36804465</v>
      </c>
      <c r="M161" s="39"/>
      <c r="N161" s="36">
        <v>33973348</v>
      </c>
      <c r="O161" s="36">
        <v>21611987</v>
      </c>
      <c r="P161" s="36">
        <v>0</v>
      </c>
      <c r="Q161" s="36">
        <f>Q160*1936.27</f>
        <v>40694622.991876006</v>
      </c>
      <c r="R161" s="7"/>
      <c r="S161" s="7"/>
      <c r="T161" s="7"/>
      <c r="U161" s="7"/>
      <c r="V161" s="7"/>
      <c r="W161" s="7"/>
      <c r="X161" s="7"/>
      <c r="Y161" s="7"/>
      <c r="Z161" s="7"/>
    </row>
    <row r="162" spans="1:26" ht="12.75" customHeight="1" x14ac:dyDescent="0.2">
      <c r="A162" s="534"/>
      <c r="B162" s="534"/>
      <c r="C162" s="40" t="s">
        <v>36</v>
      </c>
      <c r="D162" s="41">
        <v>24</v>
      </c>
      <c r="E162" s="42">
        <v>10331.200000000001</v>
      </c>
      <c r="F162" s="42">
        <v>1134.1400000000001</v>
      </c>
      <c r="G162" s="42">
        <v>0</v>
      </c>
      <c r="H162" s="42">
        <v>6384.11</v>
      </c>
      <c r="I162" s="42">
        <v>0</v>
      </c>
      <c r="J162" s="42">
        <v>1487.45</v>
      </c>
      <c r="K162" s="43">
        <v>17849.45</v>
      </c>
      <c r="L162" s="32">
        <v>19336.900000000001</v>
      </c>
      <c r="M162" s="33"/>
      <c r="N162" s="30">
        <v>17849.45</v>
      </c>
      <c r="O162" s="30">
        <v>11465.34</v>
      </c>
      <c r="P162" s="30"/>
      <c r="Q162" s="30">
        <f>(N162+O162*0.18+J162)+(IF((P162-O162*0.18)&gt;0,(P162-O162*0.18),0))</f>
        <v>21400.661200000002</v>
      </c>
      <c r="R162" s="7"/>
      <c r="S162" s="7"/>
      <c r="T162" s="7"/>
      <c r="U162" s="7"/>
      <c r="V162" s="7"/>
      <c r="W162" s="7"/>
      <c r="X162" s="7"/>
      <c r="Y162" s="7"/>
      <c r="Z162" s="7"/>
    </row>
    <row r="163" spans="1:26" ht="9" customHeight="1" x14ac:dyDescent="0.2">
      <c r="A163" s="534"/>
      <c r="B163" s="534"/>
      <c r="C163" s="34" t="s">
        <v>37</v>
      </c>
      <c r="D163" s="35">
        <v>25</v>
      </c>
      <c r="E163" s="36">
        <v>20003993</v>
      </c>
      <c r="F163" s="36">
        <v>2196001</v>
      </c>
      <c r="G163" s="36">
        <v>0</v>
      </c>
      <c r="H163" s="36">
        <v>12361361</v>
      </c>
      <c r="I163" s="36">
        <v>0</v>
      </c>
      <c r="J163" s="37">
        <v>2880105</v>
      </c>
      <c r="K163" s="36">
        <v>34561355</v>
      </c>
      <c r="L163" s="38">
        <v>37441459</v>
      </c>
      <c r="M163" s="39"/>
      <c r="N163" s="36">
        <v>34561355</v>
      </c>
      <c r="O163" s="36">
        <v>22199994</v>
      </c>
      <c r="P163" s="36">
        <v>0</v>
      </c>
      <c r="Q163" s="36">
        <f>Q162*1936.27</f>
        <v>41437458.261724003</v>
      </c>
      <c r="R163" s="7"/>
      <c r="S163" s="7"/>
      <c r="T163" s="7"/>
      <c r="U163" s="7"/>
      <c r="V163" s="7"/>
      <c r="W163" s="7"/>
      <c r="X163" s="7"/>
      <c r="Y163" s="7"/>
      <c r="Z163" s="7"/>
    </row>
    <row r="164" spans="1:26" ht="12.75" customHeight="1" x14ac:dyDescent="0.2">
      <c r="A164" s="534"/>
      <c r="B164" s="534"/>
      <c r="C164" s="40" t="s">
        <v>36</v>
      </c>
      <c r="D164" s="41">
        <v>26</v>
      </c>
      <c r="E164" s="42">
        <v>10603.89</v>
      </c>
      <c r="F164" s="42">
        <v>1165.1300000000001</v>
      </c>
      <c r="G164" s="42">
        <v>0</v>
      </c>
      <c r="H164" s="42">
        <v>6384.11</v>
      </c>
      <c r="I164" s="42">
        <v>0</v>
      </c>
      <c r="J164" s="42">
        <v>1512.76</v>
      </c>
      <c r="K164" s="43">
        <v>18153.13</v>
      </c>
      <c r="L164" s="32">
        <v>19665.89</v>
      </c>
      <c r="M164" s="33"/>
      <c r="N164" s="30">
        <v>18153.13</v>
      </c>
      <c r="O164" s="30">
        <v>11769.02</v>
      </c>
      <c r="P164" s="30"/>
      <c r="Q164" s="30">
        <f>(N164+O164*0.18+J164)+(IF((P164-O164*0.18)&gt;0,(P164-O164*0.18),0))</f>
        <v>21784.313599999998</v>
      </c>
      <c r="R164" s="7"/>
      <c r="S164" s="7"/>
      <c r="T164" s="7"/>
      <c r="U164" s="7"/>
      <c r="V164" s="7"/>
      <c r="W164" s="7"/>
      <c r="X164" s="7"/>
      <c r="Y164" s="7"/>
      <c r="Z164" s="7"/>
    </row>
    <row r="165" spans="1:26" ht="9" customHeight="1" x14ac:dyDescent="0.2">
      <c r="A165" s="534"/>
      <c r="B165" s="534"/>
      <c r="C165" s="34" t="s">
        <v>37</v>
      </c>
      <c r="D165" s="35">
        <v>27</v>
      </c>
      <c r="E165" s="36">
        <v>20531994</v>
      </c>
      <c r="F165" s="36">
        <v>2256006</v>
      </c>
      <c r="G165" s="36">
        <v>0</v>
      </c>
      <c r="H165" s="36">
        <v>12361361</v>
      </c>
      <c r="I165" s="36">
        <v>0</v>
      </c>
      <c r="J165" s="37">
        <v>2929112</v>
      </c>
      <c r="K165" s="36">
        <v>35149361</v>
      </c>
      <c r="L165" s="38">
        <v>38078473</v>
      </c>
      <c r="M165" s="39"/>
      <c r="N165" s="36">
        <v>35149361</v>
      </c>
      <c r="O165" s="36">
        <v>22788000</v>
      </c>
      <c r="P165" s="36">
        <v>0</v>
      </c>
      <c r="Q165" s="36">
        <f>Q164*1936.27</f>
        <v>42180312.894271992</v>
      </c>
      <c r="R165" s="7"/>
      <c r="S165" s="7"/>
      <c r="T165" s="7"/>
      <c r="U165" s="7"/>
      <c r="V165" s="7"/>
      <c r="W165" s="7"/>
      <c r="X165" s="7"/>
      <c r="Y165" s="7"/>
      <c r="Z165" s="7"/>
    </row>
    <row r="166" spans="1:26" ht="12.75" customHeight="1" x14ac:dyDescent="0.2">
      <c r="A166" s="534"/>
      <c r="B166" s="534"/>
      <c r="C166" s="40" t="s">
        <v>36</v>
      </c>
      <c r="D166" s="41">
        <v>28</v>
      </c>
      <c r="E166" s="42">
        <v>10870.38</v>
      </c>
      <c r="F166" s="42">
        <v>1189.92</v>
      </c>
      <c r="G166" s="42">
        <v>0</v>
      </c>
      <c r="H166" s="42">
        <v>6384.11</v>
      </c>
      <c r="I166" s="42">
        <v>0</v>
      </c>
      <c r="J166" s="42">
        <v>1537.03</v>
      </c>
      <c r="K166" s="43">
        <v>18444.41</v>
      </c>
      <c r="L166" s="32">
        <v>19981.439999999999</v>
      </c>
      <c r="M166" s="33"/>
      <c r="N166" s="30">
        <v>18444.41</v>
      </c>
      <c r="O166" s="30">
        <v>12060.3</v>
      </c>
      <c r="P166" s="30"/>
      <c r="Q166" s="30">
        <f>(N166+O166*0.18+J166)+(IF((P166-O166*0.18)&gt;0,(P166-O166*0.18),0))</f>
        <v>22152.293999999998</v>
      </c>
      <c r="R166" s="7"/>
      <c r="S166" s="7"/>
      <c r="T166" s="7"/>
      <c r="U166" s="7"/>
      <c r="V166" s="7"/>
      <c r="W166" s="7"/>
      <c r="X166" s="7"/>
      <c r="Y166" s="7"/>
      <c r="Z166" s="7"/>
    </row>
    <row r="167" spans="1:26" ht="9" customHeight="1" x14ac:dyDescent="0.2">
      <c r="A167" s="534"/>
      <c r="B167" s="534"/>
      <c r="C167" s="34" t="s">
        <v>37</v>
      </c>
      <c r="D167" s="35">
        <v>29</v>
      </c>
      <c r="E167" s="36">
        <v>21047991</v>
      </c>
      <c r="F167" s="36">
        <v>2304006</v>
      </c>
      <c r="G167" s="36">
        <v>0</v>
      </c>
      <c r="H167" s="36">
        <v>12361361</v>
      </c>
      <c r="I167" s="36">
        <v>0</v>
      </c>
      <c r="J167" s="37">
        <v>2976105</v>
      </c>
      <c r="K167" s="36">
        <v>35713358</v>
      </c>
      <c r="L167" s="38">
        <v>38689463</v>
      </c>
      <c r="M167" s="39"/>
      <c r="N167" s="36">
        <v>35713358</v>
      </c>
      <c r="O167" s="36">
        <v>23351997</v>
      </c>
      <c r="P167" s="36">
        <v>0</v>
      </c>
      <c r="Q167" s="36">
        <f>Q166*1936.27</f>
        <v>42892822.303379998</v>
      </c>
      <c r="R167" s="7"/>
      <c r="S167" s="7"/>
      <c r="T167" s="7"/>
      <c r="U167" s="7"/>
      <c r="V167" s="7"/>
      <c r="W167" s="7"/>
      <c r="X167" s="7"/>
      <c r="Y167" s="7"/>
      <c r="Z167" s="7"/>
    </row>
    <row r="168" spans="1:26" ht="12.75" customHeight="1" x14ac:dyDescent="0.2">
      <c r="A168" s="534"/>
      <c r="B168" s="534"/>
      <c r="C168" s="40" t="s">
        <v>36</v>
      </c>
      <c r="D168" s="41">
        <v>30</v>
      </c>
      <c r="E168" s="42">
        <v>11136.88</v>
      </c>
      <c r="F168" s="42">
        <v>1220.9000000000001</v>
      </c>
      <c r="G168" s="42">
        <v>0</v>
      </c>
      <c r="H168" s="42">
        <v>6384.11</v>
      </c>
      <c r="I168" s="42">
        <v>0</v>
      </c>
      <c r="J168" s="42">
        <v>1561.82</v>
      </c>
      <c r="K168" s="43">
        <v>18741.89</v>
      </c>
      <c r="L168" s="32">
        <v>20303.71</v>
      </c>
      <c r="M168" s="33"/>
      <c r="N168" s="30">
        <v>18741.89</v>
      </c>
      <c r="O168" s="30">
        <v>12357.78</v>
      </c>
      <c r="P168" s="30"/>
      <c r="Q168" s="30">
        <f>(N168+O168*0.18+J168)+(IF((P168-O168*0.18)&gt;0,(P168-O168*0.18),0))</f>
        <v>22528.110399999998</v>
      </c>
      <c r="R168" s="7"/>
      <c r="S168" s="7"/>
      <c r="T168" s="7"/>
      <c r="U168" s="7"/>
      <c r="V168" s="7"/>
      <c r="W168" s="7"/>
      <c r="X168" s="7"/>
      <c r="Y168" s="7"/>
      <c r="Z168" s="7"/>
    </row>
    <row r="169" spans="1:26" ht="9" customHeight="1" x14ac:dyDescent="0.2">
      <c r="A169" s="534"/>
      <c r="B169" s="534"/>
      <c r="C169" s="34" t="s">
        <v>37</v>
      </c>
      <c r="D169" s="35">
        <v>31</v>
      </c>
      <c r="E169" s="36">
        <v>21564007</v>
      </c>
      <c r="F169" s="36">
        <v>2363992</v>
      </c>
      <c r="G169" s="36">
        <v>0</v>
      </c>
      <c r="H169" s="36">
        <v>12361361</v>
      </c>
      <c r="I169" s="36">
        <v>0</v>
      </c>
      <c r="J169" s="37">
        <v>3024105</v>
      </c>
      <c r="K169" s="36">
        <v>36289359</v>
      </c>
      <c r="L169" s="38">
        <v>39313465</v>
      </c>
      <c r="M169" s="39"/>
      <c r="N169" s="36">
        <v>36289359</v>
      </c>
      <c r="O169" s="36">
        <v>23927999</v>
      </c>
      <c r="P169" s="36">
        <v>0</v>
      </c>
      <c r="Q169" s="36">
        <f>Q168*1936.27</f>
        <v>43620504.324207999</v>
      </c>
      <c r="R169" s="7"/>
      <c r="S169" s="7"/>
      <c r="T169" s="7"/>
      <c r="U169" s="7"/>
      <c r="V169" s="7"/>
      <c r="W169" s="7"/>
      <c r="X169" s="7"/>
      <c r="Y169" s="7"/>
      <c r="Z169" s="7"/>
    </row>
    <row r="170" spans="1:26" ht="12.75" customHeight="1" x14ac:dyDescent="0.2">
      <c r="A170" s="534"/>
      <c r="B170" s="534"/>
      <c r="C170" s="40" t="s">
        <v>36</v>
      </c>
      <c r="D170" s="41">
        <v>32</v>
      </c>
      <c r="E170" s="42">
        <v>11409.57</v>
      </c>
      <c r="F170" s="42">
        <v>1251.8900000000001</v>
      </c>
      <c r="G170" s="42">
        <v>0</v>
      </c>
      <c r="H170" s="42">
        <v>6384.11</v>
      </c>
      <c r="I170" s="42">
        <v>0</v>
      </c>
      <c r="J170" s="42">
        <v>1587.13</v>
      </c>
      <c r="K170" s="43">
        <v>19045.57</v>
      </c>
      <c r="L170" s="32">
        <v>20632.7</v>
      </c>
      <c r="M170" s="33"/>
      <c r="N170" s="30">
        <v>19045.57</v>
      </c>
      <c r="O170" s="30">
        <v>12661.46</v>
      </c>
      <c r="P170" s="30"/>
      <c r="Q170" s="30">
        <f>(N170+O170*0.18+J170)+(IF((P170-O170*0.18)&gt;0,(P170-O170*0.18),0))</f>
        <v>22911.7628</v>
      </c>
      <c r="R170" s="7"/>
      <c r="S170" s="7"/>
      <c r="T170" s="7"/>
      <c r="U170" s="7"/>
      <c r="V170" s="7"/>
      <c r="W170" s="7"/>
      <c r="X170" s="7"/>
      <c r="Y170" s="7"/>
      <c r="Z170" s="7"/>
    </row>
    <row r="171" spans="1:26" ht="9" customHeight="1" x14ac:dyDescent="0.2">
      <c r="A171" s="534"/>
      <c r="B171" s="534"/>
      <c r="C171" s="34" t="s">
        <v>37</v>
      </c>
      <c r="D171" s="35">
        <v>33</v>
      </c>
      <c r="E171" s="36">
        <v>22092008</v>
      </c>
      <c r="F171" s="36">
        <v>2423997</v>
      </c>
      <c r="G171" s="36">
        <v>0</v>
      </c>
      <c r="H171" s="36">
        <v>12361361</v>
      </c>
      <c r="I171" s="36">
        <v>0</v>
      </c>
      <c r="J171" s="37">
        <v>3073112</v>
      </c>
      <c r="K171" s="36">
        <v>36877366</v>
      </c>
      <c r="L171" s="38">
        <v>39950478</v>
      </c>
      <c r="M171" s="39"/>
      <c r="N171" s="36">
        <v>36877366</v>
      </c>
      <c r="O171" s="36">
        <v>24516005</v>
      </c>
      <c r="P171" s="36">
        <v>0</v>
      </c>
      <c r="Q171" s="36">
        <f>Q170*1936.27</f>
        <v>44363358.956756003</v>
      </c>
      <c r="R171" s="7"/>
      <c r="S171" s="7"/>
      <c r="T171" s="7"/>
      <c r="U171" s="7"/>
      <c r="V171" s="7"/>
      <c r="W171" s="7"/>
      <c r="X171" s="7"/>
      <c r="Y171" s="7"/>
      <c r="Z171" s="7"/>
    </row>
    <row r="172" spans="1:26" ht="12.75" customHeight="1" x14ac:dyDescent="0.2">
      <c r="A172" s="534"/>
      <c r="B172" s="534"/>
      <c r="C172" s="40" t="s">
        <v>36</v>
      </c>
      <c r="D172" s="41">
        <v>34</v>
      </c>
      <c r="E172" s="42">
        <v>11676.06</v>
      </c>
      <c r="F172" s="42">
        <v>1282.8800000000001</v>
      </c>
      <c r="G172" s="42">
        <v>0</v>
      </c>
      <c r="H172" s="42">
        <v>6384.11</v>
      </c>
      <c r="I172" s="42">
        <v>0</v>
      </c>
      <c r="J172" s="42">
        <v>1611.92</v>
      </c>
      <c r="K172" s="43">
        <v>19343.05</v>
      </c>
      <c r="L172" s="32">
        <v>20954.97</v>
      </c>
      <c r="M172" s="33"/>
      <c r="N172" s="30">
        <v>19343.05</v>
      </c>
      <c r="O172" s="30">
        <v>12958.94</v>
      </c>
      <c r="P172" s="30"/>
      <c r="Q172" s="30">
        <f>(N172+O172*0.18+J172)+(IF((P172-O172*0.18)&gt;0,(P172-O172*0.18),0))</f>
        <v>23287.5792</v>
      </c>
      <c r="R172" s="7"/>
      <c r="S172" s="7"/>
      <c r="T172" s="7"/>
      <c r="U172" s="7"/>
      <c r="V172" s="7"/>
      <c r="W172" s="7"/>
      <c r="X172" s="7"/>
      <c r="Y172" s="7"/>
      <c r="Z172" s="7"/>
    </row>
    <row r="173" spans="1:26" ht="9" customHeight="1" x14ac:dyDescent="0.2">
      <c r="A173" s="534"/>
      <c r="B173" s="534"/>
      <c r="C173" s="34" t="s">
        <v>37</v>
      </c>
      <c r="D173" s="35">
        <v>35</v>
      </c>
      <c r="E173" s="36">
        <v>22608005</v>
      </c>
      <c r="F173" s="36">
        <v>2484002</v>
      </c>
      <c r="G173" s="36">
        <v>0</v>
      </c>
      <c r="H173" s="36">
        <v>12361361</v>
      </c>
      <c r="I173" s="36">
        <v>0</v>
      </c>
      <c r="J173" s="37">
        <v>3121112</v>
      </c>
      <c r="K173" s="36">
        <v>37453367</v>
      </c>
      <c r="L173" s="38">
        <v>40574480</v>
      </c>
      <c r="M173" s="39"/>
      <c r="N173" s="36">
        <v>37453367</v>
      </c>
      <c r="O173" s="36">
        <v>25092007</v>
      </c>
      <c r="P173" s="36">
        <v>0</v>
      </c>
      <c r="Q173" s="36">
        <f>Q172*1936.27</f>
        <v>45091040.977583997</v>
      </c>
      <c r="R173" s="7"/>
      <c r="S173" s="7"/>
      <c r="T173" s="7"/>
      <c r="U173" s="7"/>
      <c r="V173" s="7"/>
      <c r="W173" s="7"/>
      <c r="X173" s="7"/>
      <c r="Y173" s="7"/>
      <c r="Z173" s="7"/>
    </row>
    <row r="174" spans="1:26" ht="12.75" customHeight="1" x14ac:dyDescent="0.2">
      <c r="A174" s="534"/>
      <c r="B174" s="534"/>
      <c r="C174" s="40" t="s">
        <v>36</v>
      </c>
      <c r="D174" s="41">
        <v>36</v>
      </c>
      <c r="E174" s="42">
        <v>11948.75</v>
      </c>
      <c r="F174" s="42">
        <v>1313.87</v>
      </c>
      <c r="G174" s="42">
        <v>0</v>
      </c>
      <c r="H174" s="42">
        <v>6384.11</v>
      </c>
      <c r="I174" s="42">
        <v>0</v>
      </c>
      <c r="J174" s="42">
        <v>1637.23</v>
      </c>
      <c r="K174" s="43">
        <v>19646.73</v>
      </c>
      <c r="L174" s="32">
        <v>21283.96</v>
      </c>
      <c r="M174" s="33"/>
      <c r="N174" s="30">
        <v>19646.73</v>
      </c>
      <c r="O174" s="30">
        <v>13262.62</v>
      </c>
      <c r="P174" s="30"/>
      <c r="Q174" s="30">
        <f>(N174+O174*0.18+J174)+(IF((P174-O174*0.18)&gt;0,(P174-O174*0.18),0))</f>
        <v>23671.231599999999</v>
      </c>
      <c r="R174" s="7"/>
      <c r="S174" s="7"/>
      <c r="T174" s="7"/>
      <c r="U174" s="7"/>
      <c r="V174" s="7"/>
      <c r="W174" s="7"/>
      <c r="X174" s="7"/>
      <c r="Y174" s="7"/>
      <c r="Z174" s="7"/>
    </row>
    <row r="175" spans="1:26" ht="9" customHeight="1" x14ac:dyDescent="0.2">
      <c r="A175" s="534"/>
      <c r="B175" s="534"/>
      <c r="C175" s="34" t="s">
        <v>37</v>
      </c>
      <c r="D175" s="35">
        <v>37</v>
      </c>
      <c r="E175" s="36">
        <v>23136006</v>
      </c>
      <c r="F175" s="36">
        <v>2544007</v>
      </c>
      <c r="G175" s="36">
        <v>0</v>
      </c>
      <c r="H175" s="36">
        <v>12361361</v>
      </c>
      <c r="I175" s="36">
        <v>0</v>
      </c>
      <c r="J175" s="37">
        <v>3170119</v>
      </c>
      <c r="K175" s="36">
        <v>38041374</v>
      </c>
      <c r="L175" s="38">
        <v>41211493</v>
      </c>
      <c r="M175" s="39"/>
      <c r="N175" s="36">
        <v>38041374</v>
      </c>
      <c r="O175" s="36">
        <v>25680013</v>
      </c>
      <c r="P175" s="36">
        <v>0</v>
      </c>
      <c r="Q175" s="36">
        <f>Q174*1936.27</f>
        <v>45833895.610132001</v>
      </c>
      <c r="R175" s="7"/>
      <c r="S175" s="7"/>
      <c r="T175" s="7"/>
      <c r="U175" s="7"/>
      <c r="V175" s="7"/>
      <c r="W175" s="7"/>
      <c r="X175" s="7"/>
      <c r="Y175" s="7"/>
      <c r="Z175" s="7"/>
    </row>
    <row r="176" spans="1:26" ht="12.75" customHeight="1" x14ac:dyDescent="0.2">
      <c r="A176" s="534"/>
      <c r="B176" s="534"/>
      <c r="C176" s="40" t="s">
        <v>36</v>
      </c>
      <c r="D176" s="41">
        <v>38</v>
      </c>
      <c r="E176" s="42">
        <v>12215.24</v>
      </c>
      <c r="F176" s="42">
        <v>1338.66</v>
      </c>
      <c r="G176" s="42">
        <v>0</v>
      </c>
      <c r="H176" s="42">
        <v>6384.11</v>
      </c>
      <c r="I176" s="42">
        <v>0</v>
      </c>
      <c r="J176" s="42">
        <v>1661.5</v>
      </c>
      <c r="K176" s="43">
        <v>19938.009999999998</v>
      </c>
      <c r="L176" s="32">
        <v>21599.51</v>
      </c>
      <c r="M176" s="33"/>
      <c r="N176" s="30">
        <v>19938.009999999998</v>
      </c>
      <c r="O176" s="30">
        <v>13553.9</v>
      </c>
      <c r="P176" s="30"/>
      <c r="Q176" s="30">
        <f>(N176+O176*0.18+J176)+(IF((P176-O176*0.18)&gt;0,(P176-O176*0.18),0))</f>
        <v>24039.212</v>
      </c>
      <c r="R176" s="7"/>
      <c r="S176" s="7"/>
      <c r="T176" s="7"/>
      <c r="U176" s="7"/>
      <c r="V176" s="7"/>
      <c r="W176" s="7"/>
      <c r="X176" s="7"/>
      <c r="Y176" s="7"/>
      <c r="Z176" s="7"/>
    </row>
    <row r="177" spans="1:26" ht="9" customHeight="1" x14ac:dyDescent="0.2">
      <c r="A177" s="534"/>
      <c r="B177" s="534"/>
      <c r="C177" s="34" t="s">
        <v>37</v>
      </c>
      <c r="D177" s="35">
        <v>39</v>
      </c>
      <c r="E177" s="36">
        <v>23652003</v>
      </c>
      <c r="F177" s="36">
        <v>2592007</v>
      </c>
      <c r="G177" s="36">
        <v>0</v>
      </c>
      <c r="H177" s="36">
        <v>12361361</v>
      </c>
      <c r="I177" s="36">
        <v>0</v>
      </c>
      <c r="J177" s="37">
        <v>3217113</v>
      </c>
      <c r="K177" s="36">
        <v>38605371</v>
      </c>
      <c r="L177" s="38">
        <v>41822483</v>
      </c>
      <c r="M177" s="39"/>
      <c r="N177" s="36">
        <v>38605371</v>
      </c>
      <c r="O177" s="36">
        <v>26244010</v>
      </c>
      <c r="P177" s="36">
        <v>0</v>
      </c>
      <c r="Q177" s="36">
        <f>Q176*1936.27</f>
        <v>46546405.019239999</v>
      </c>
      <c r="R177" s="7"/>
      <c r="S177" s="7"/>
      <c r="T177" s="7"/>
      <c r="U177" s="7"/>
      <c r="V177" s="7"/>
      <c r="W177" s="7"/>
      <c r="X177" s="7"/>
      <c r="Y177" s="7"/>
      <c r="Z177" s="7"/>
    </row>
    <row r="178" spans="1:26" ht="12.75" customHeight="1" x14ac:dyDescent="0.2">
      <c r="A178" s="534"/>
      <c r="B178" s="534"/>
      <c r="C178" s="40" t="s">
        <v>36</v>
      </c>
      <c r="D178" s="41">
        <v>40</v>
      </c>
      <c r="E178" s="42">
        <v>12487.93</v>
      </c>
      <c r="F178" s="42">
        <v>1369.64</v>
      </c>
      <c r="G178" s="42">
        <v>0</v>
      </c>
      <c r="H178" s="42">
        <v>6384.11</v>
      </c>
      <c r="I178" s="42">
        <v>0</v>
      </c>
      <c r="J178" s="42">
        <v>1686.81</v>
      </c>
      <c r="K178" s="43">
        <v>20241.68</v>
      </c>
      <c r="L178" s="32">
        <v>21928.49</v>
      </c>
      <c r="M178" s="33"/>
      <c r="N178" s="30">
        <v>20241.68</v>
      </c>
      <c r="O178" s="30">
        <v>13857.57</v>
      </c>
      <c r="P178" s="30"/>
      <c r="Q178" s="30">
        <f>(N178+O178*0.18+J178)+(IF((P178-O178*0.18)&gt;0,(P178-O178*0.18),0))</f>
        <v>24422.852600000002</v>
      </c>
      <c r="R178" s="7"/>
      <c r="S178" s="7"/>
      <c r="T178" s="7"/>
      <c r="U178" s="7"/>
      <c r="V178" s="7"/>
      <c r="W178" s="7"/>
      <c r="X178" s="7"/>
      <c r="Y178" s="7"/>
      <c r="Z178" s="7"/>
    </row>
    <row r="179" spans="1:26" ht="12.75" customHeight="1" x14ac:dyDescent="0.2">
      <c r="A179" s="534"/>
      <c r="B179" s="534"/>
      <c r="C179" s="115"/>
      <c r="D179" s="45"/>
      <c r="E179" s="116"/>
      <c r="F179" s="116"/>
      <c r="G179" s="116"/>
      <c r="H179" s="116"/>
      <c r="I179" s="116"/>
      <c r="J179" s="117"/>
      <c r="K179" s="118"/>
      <c r="L179" s="119"/>
      <c r="M179" s="33"/>
      <c r="N179" s="116"/>
      <c r="O179" s="116"/>
      <c r="P179" s="116"/>
      <c r="Q179" s="116"/>
      <c r="R179" s="7"/>
      <c r="S179" s="7"/>
      <c r="T179" s="7"/>
      <c r="U179" s="7"/>
      <c r="V179" s="7"/>
      <c r="W179" s="7"/>
      <c r="X179" s="7"/>
      <c r="Y179" s="7"/>
      <c r="Z179" s="7"/>
    </row>
    <row r="180" spans="1:26" ht="12.75" customHeight="1" x14ac:dyDescent="0.2">
      <c r="A180" s="534"/>
      <c r="B180" s="534"/>
      <c r="C180" s="115"/>
      <c r="D180" s="45"/>
      <c r="E180" s="116"/>
      <c r="F180" s="116"/>
      <c r="G180" s="116"/>
      <c r="H180" s="116"/>
      <c r="I180" s="116"/>
      <c r="J180" s="117"/>
      <c r="K180" s="118"/>
      <c r="L180" s="119"/>
      <c r="M180" s="33"/>
      <c r="N180" s="116"/>
      <c r="O180" s="116"/>
      <c r="P180" s="116"/>
      <c r="Q180" s="116"/>
      <c r="R180" s="7"/>
      <c r="S180" s="7"/>
      <c r="T180" s="7"/>
      <c r="U180" s="7"/>
      <c r="V180" s="7"/>
      <c r="W180" s="7"/>
      <c r="X180" s="7"/>
      <c r="Y180" s="7"/>
      <c r="Z180" s="7"/>
    </row>
    <row r="181" spans="1:26" ht="9" customHeight="1" x14ac:dyDescent="0.2">
      <c r="A181" s="535"/>
      <c r="B181" s="535"/>
      <c r="C181" s="47"/>
      <c r="D181" s="48"/>
      <c r="E181" s="46">
        <v>24180004</v>
      </c>
      <c r="F181" s="46">
        <v>2651993</v>
      </c>
      <c r="G181" s="46">
        <v>0</v>
      </c>
      <c r="H181" s="46">
        <v>12361361</v>
      </c>
      <c r="I181" s="46">
        <v>0</v>
      </c>
      <c r="J181" s="49">
        <v>3266120</v>
      </c>
      <c r="K181" s="46">
        <v>39193358</v>
      </c>
      <c r="L181" s="38">
        <v>42459477</v>
      </c>
      <c r="M181" s="39"/>
      <c r="N181" s="36">
        <v>39193358</v>
      </c>
      <c r="O181" s="36">
        <v>26831997</v>
      </c>
      <c r="P181" s="36">
        <v>0</v>
      </c>
      <c r="Q181" s="36">
        <f>Q178*1936.27</f>
        <v>47289236.803802006</v>
      </c>
      <c r="R181" s="7"/>
      <c r="S181" s="7"/>
      <c r="T181" s="7"/>
      <c r="U181" s="7"/>
      <c r="V181" s="7"/>
      <c r="W181" s="7"/>
      <c r="X181" s="7"/>
      <c r="Y181" s="7"/>
      <c r="Z181" s="7"/>
    </row>
    <row r="182" spans="1:26" ht="12.75" customHeight="1" x14ac:dyDescent="0.2">
      <c r="A182" s="538">
        <v>33970</v>
      </c>
      <c r="B182" s="538">
        <v>34424</v>
      </c>
      <c r="C182" s="28" t="s">
        <v>36</v>
      </c>
      <c r="D182" s="29">
        <v>0</v>
      </c>
      <c r="E182" s="30">
        <v>5751.26</v>
      </c>
      <c r="F182" s="30">
        <v>632.14</v>
      </c>
      <c r="G182" s="30">
        <v>123.95</v>
      </c>
      <c r="H182" s="30">
        <v>6384.11</v>
      </c>
      <c r="I182" s="30">
        <v>0</v>
      </c>
      <c r="J182" s="30">
        <v>1074.29</v>
      </c>
      <c r="K182" s="31">
        <v>12891.46</v>
      </c>
      <c r="L182" s="32">
        <v>13965.75</v>
      </c>
      <c r="M182" s="33"/>
      <c r="N182" s="30">
        <v>12891.46</v>
      </c>
      <c r="O182" s="30">
        <v>6507.35</v>
      </c>
      <c r="P182" s="30"/>
      <c r="Q182" s="30">
        <f>(N182+O182*0.18+J182)+(IF((P182-O182*0.18)&gt;0,(P182-O182*0.18),0))</f>
        <v>15137.073</v>
      </c>
      <c r="R182" s="7"/>
      <c r="S182" s="7"/>
      <c r="T182" s="7"/>
      <c r="U182" s="7"/>
      <c r="V182" s="7"/>
      <c r="W182" s="7"/>
      <c r="X182" s="7"/>
      <c r="Y182" s="7"/>
      <c r="Z182" s="7"/>
    </row>
    <row r="183" spans="1:26" ht="9" customHeight="1" x14ac:dyDescent="0.2">
      <c r="A183" s="534"/>
      <c r="B183" s="534"/>
      <c r="C183" s="34" t="s">
        <v>37</v>
      </c>
      <c r="D183" s="35">
        <v>2</v>
      </c>
      <c r="E183" s="36">
        <v>11135992</v>
      </c>
      <c r="F183" s="36">
        <v>1223994</v>
      </c>
      <c r="G183" s="36">
        <v>240001</v>
      </c>
      <c r="H183" s="36">
        <v>12361361</v>
      </c>
      <c r="I183" s="36">
        <v>0</v>
      </c>
      <c r="J183" s="37">
        <v>2080115</v>
      </c>
      <c r="K183" s="36">
        <v>24961347</v>
      </c>
      <c r="L183" s="38">
        <v>27041463</v>
      </c>
      <c r="M183" s="39"/>
      <c r="N183" s="36">
        <v>24961347</v>
      </c>
      <c r="O183" s="36">
        <v>12599987</v>
      </c>
      <c r="P183" s="36">
        <v>0</v>
      </c>
      <c r="Q183" s="36">
        <f>Q182*1936.27</f>
        <v>29309460.337710001</v>
      </c>
      <c r="R183" s="7"/>
      <c r="S183" s="7"/>
      <c r="T183" s="7"/>
      <c r="U183" s="7"/>
      <c r="V183" s="7"/>
      <c r="W183" s="7"/>
      <c r="X183" s="7"/>
      <c r="Y183" s="7"/>
      <c r="Z183" s="7"/>
    </row>
    <row r="184" spans="1:26" ht="12.75" customHeight="1" x14ac:dyDescent="0.2">
      <c r="A184" s="540">
        <v>33970</v>
      </c>
      <c r="B184" s="540">
        <v>34424</v>
      </c>
      <c r="C184" s="40" t="s">
        <v>36</v>
      </c>
      <c r="D184" s="41">
        <v>3</v>
      </c>
      <c r="E184" s="42">
        <v>6061.14</v>
      </c>
      <c r="F184" s="42">
        <v>663.13</v>
      </c>
      <c r="G184" s="42">
        <v>123.95</v>
      </c>
      <c r="H184" s="42">
        <v>6384.11</v>
      </c>
      <c r="I184" s="42">
        <v>0</v>
      </c>
      <c r="J184" s="42">
        <v>1102.69</v>
      </c>
      <c r="K184" s="43">
        <v>13232.33</v>
      </c>
      <c r="L184" s="32">
        <v>14335.02</v>
      </c>
      <c r="M184" s="33"/>
      <c r="N184" s="30">
        <v>13232.33</v>
      </c>
      <c r="O184" s="30">
        <v>6848.22</v>
      </c>
      <c r="P184" s="30"/>
      <c r="Q184" s="30">
        <f>(N184+O184*0.18+J184)+(IF((P184-O184*0.18)&gt;0,(P184-O184*0.18),0))</f>
        <v>15567.6996</v>
      </c>
      <c r="R184" s="7"/>
      <c r="S184" s="7"/>
      <c r="T184" s="7"/>
      <c r="U184" s="7"/>
      <c r="V184" s="7"/>
      <c r="W184" s="7"/>
      <c r="X184" s="7"/>
      <c r="Y184" s="7"/>
      <c r="Z184" s="7"/>
    </row>
    <row r="185" spans="1:26" ht="9" customHeight="1" x14ac:dyDescent="0.2">
      <c r="A185" s="534"/>
      <c r="B185" s="534"/>
      <c r="C185" s="34" t="s">
        <v>37</v>
      </c>
      <c r="D185" s="35">
        <v>4</v>
      </c>
      <c r="E185" s="36">
        <v>11736004</v>
      </c>
      <c r="F185" s="36">
        <v>1283999</v>
      </c>
      <c r="G185" s="36">
        <v>240001</v>
      </c>
      <c r="H185" s="36">
        <v>12361361</v>
      </c>
      <c r="I185" s="36">
        <v>0</v>
      </c>
      <c r="J185" s="37">
        <v>2135106</v>
      </c>
      <c r="K185" s="36">
        <v>25621364</v>
      </c>
      <c r="L185" s="38">
        <v>27756469</v>
      </c>
      <c r="M185" s="39"/>
      <c r="N185" s="36">
        <v>25621364</v>
      </c>
      <c r="O185" s="36">
        <v>13260003</v>
      </c>
      <c r="P185" s="36">
        <v>0</v>
      </c>
      <c r="Q185" s="36">
        <f>Q184*1936.27</f>
        <v>30143269.704491999</v>
      </c>
      <c r="R185" s="7"/>
      <c r="S185" s="7"/>
      <c r="T185" s="7"/>
      <c r="U185" s="7"/>
      <c r="V185" s="7"/>
      <c r="W185" s="7"/>
      <c r="X185" s="7"/>
      <c r="Y185" s="7"/>
      <c r="Z185" s="7"/>
    </row>
    <row r="186" spans="1:26" ht="12.75" customHeight="1" x14ac:dyDescent="0.2">
      <c r="A186" s="534"/>
      <c r="B186" s="534"/>
      <c r="C186" s="40" t="s">
        <v>36</v>
      </c>
      <c r="D186" s="41">
        <v>5</v>
      </c>
      <c r="E186" s="42">
        <v>6371.01</v>
      </c>
      <c r="F186" s="42">
        <v>700.32</v>
      </c>
      <c r="G186" s="42">
        <v>123.95</v>
      </c>
      <c r="H186" s="42">
        <v>6384.11</v>
      </c>
      <c r="I186" s="42">
        <v>0</v>
      </c>
      <c r="J186" s="42">
        <v>1131.6199999999999</v>
      </c>
      <c r="K186" s="43">
        <v>13579.39</v>
      </c>
      <c r="L186" s="32">
        <v>14711.01</v>
      </c>
      <c r="M186" s="33"/>
      <c r="N186" s="30">
        <v>13579.39</v>
      </c>
      <c r="O186" s="30">
        <v>7195.28</v>
      </c>
      <c r="P186" s="30"/>
      <c r="Q186" s="30">
        <f>(N186+O186*0.18+J186)+(IF((P186-O186*0.18)&gt;0,(P186-O186*0.18),0))</f>
        <v>16006.160400000001</v>
      </c>
      <c r="R186" s="7"/>
      <c r="S186" s="7"/>
      <c r="T186" s="7"/>
      <c r="U186" s="7"/>
      <c r="V186" s="7"/>
      <c r="W186" s="7"/>
      <c r="X186" s="7"/>
      <c r="Y186" s="7"/>
      <c r="Z186" s="7"/>
    </row>
    <row r="187" spans="1:26" ht="9" customHeight="1" x14ac:dyDescent="0.2">
      <c r="A187" s="534"/>
      <c r="B187" s="534"/>
      <c r="C187" s="34" t="s">
        <v>37</v>
      </c>
      <c r="D187" s="35">
        <v>6</v>
      </c>
      <c r="E187" s="36">
        <v>12335996</v>
      </c>
      <c r="F187" s="36">
        <v>1356009</v>
      </c>
      <c r="G187" s="36">
        <v>240001</v>
      </c>
      <c r="H187" s="36">
        <v>12361361</v>
      </c>
      <c r="I187" s="36">
        <v>0</v>
      </c>
      <c r="J187" s="37">
        <v>2191122</v>
      </c>
      <c r="K187" s="36">
        <v>26293365</v>
      </c>
      <c r="L187" s="38">
        <v>28484487</v>
      </c>
      <c r="M187" s="39"/>
      <c r="N187" s="36">
        <v>26293365</v>
      </c>
      <c r="O187" s="36">
        <v>13932005</v>
      </c>
      <c r="P187" s="36">
        <v>0</v>
      </c>
      <c r="Q187" s="36">
        <f>Q186*1936.27</f>
        <v>30992248.197707999</v>
      </c>
      <c r="R187" s="7"/>
      <c r="S187" s="7"/>
      <c r="T187" s="7"/>
      <c r="U187" s="7"/>
      <c r="V187" s="7"/>
      <c r="W187" s="7"/>
      <c r="X187" s="7"/>
      <c r="Y187" s="7"/>
      <c r="Z187" s="7"/>
    </row>
    <row r="188" spans="1:26" ht="12.75" customHeight="1" x14ac:dyDescent="0.2">
      <c r="A188" s="534"/>
      <c r="B188" s="534"/>
      <c r="C188" s="40" t="s">
        <v>36</v>
      </c>
      <c r="D188" s="41">
        <v>7</v>
      </c>
      <c r="E188" s="42">
        <v>6674.69</v>
      </c>
      <c r="F188" s="42">
        <v>731.3</v>
      </c>
      <c r="G188" s="42">
        <v>123.95</v>
      </c>
      <c r="H188" s="42">
        <v>6384.11</v>
      </c>
      <c r="I188" s="42">
        <v>0</v>
      </c>
      <c r="J188" s="42">
        <v>1159.5</v>
      </c>
      <c r="K188" s="43">
        <v>13914.05</v>
      </c>
      <c r="L188" s="32">
        <v>15073.55</v>
      </c>
      <c r="M188" s="33"/>
      <c r="N188" s="30">
        <v>13914.05</v>
      </c>
      <c r="O188" s="30">
        <v>7529.94</v>
      </c>
      <c r="P188" s="30"/>
      <c r="Q188" s="30">
        <f>(N188+O188*0.18+J188)+(IF((P188-O188*0.18)&gt;0,(P188-O188*0.18),0))</f>
        <v>16428.939200000001</v>
      </c>
      <c r="R188" s="7"/>
      <c r="S188" s="7"/>
      <c r="T188" s="7"/>
      <c r="U188" s="7"/>
      <c r="V188" s="7"/>
      <c r="W188" s="7"/>
      <c r="X188" s="7"/>
      <c r="Y188" s="7"/>
      <c r="Z188" s="7"/>
    </row>
    <row r="189" spans="1:26" ht="9" customHeight="1" x14ac:dyDescent="0.2">
      <c r="A189" s="534"/>
      <c r="B189" s="534"/>
      <c r="C189" s="34" t="s">
        <v>37</v>
      </c>
      <c r="D189" s="35">
        <v>8</v>
      </c>
      <c r="E189" s="36">
        <v>12924002</v>
      </c>
      <c r="F189" s="36">
        <v>1415994</v>
      </c>
      <c r="G189" s="36">
        <v>240001</v>
      </c>
      <c r="H189" s="36">
        <v>12361361</v>
      </c>
      <c r="I189" s="36">
        <v>0</v>
      </c>
      <c r="J189" s="37">
        <v>2245105</v>
      </c>
      <c r="K189" s="36">
        <v>26941358</v>
      </c>
      <c r="L189" s="38">
        <v>29186463</v>
      </c>
      <c r="M189" s="39"/>
      <c r="N189" s="36">
        <v>26941358</v>
      </c>
      <c r="O189" s="36">
        <v>14579997</v>
      </c>
      <c r="P189" s="36">
        <v>0</v>
      </c>
      <c r="Q189" s="36">
        <f>Q188*1936.27</f>
        <v>31810862.104784001</v>
      </c>
      <c r="R189" s="7"/>
      <c r="S189" s="7"/>
      <c r="T189" s="7"/>
      <c r="U189" s="7"/>
      <c r="V189" s="7"/>
      <c r="W189" s="7"/>
      <c r="X189" s="7"/>
      <c r="Y189" s="7"/>
      <c r="Z189" s="7"/>
    </row>
    <row r="190" spans="1:26" ht="12.75" customHeight="1" x14ac:dyDescent="0.2">
      <c r="A190" s="534"/>
      <c r="B190" s="534"/>
      <c r="C190" s="40" t="s">
        <v>36</v>
      </c>
      <c r="D190" s="41">
        <v>9</v>
      </c>
      <c r="E190" s="42">
        <v>7027.95</v>
      </c>
      <c r="F190" s="42">
        <v>768.49</v>
      </c>
      <c r="G190" s="42">
        <v>123.95</v>
      </c>
      <c r="H190" s="42">
        <v>6384.11</v>
      </c>
      <c r="I190" s="42">
        <v>0</v>
      </c>
      <c r="J190" s="42">
        <v>1192.04</v>
      </c>
      <c r="K190" s="43">
        <v>14304.5</v>
      </c>
      <c r="L190" s="32">
        <v>15496.54</v>
      </c>
      <c r="M190" s="33"/>
      <c r="N190" s="30">
        <v>14304.5</v>
      </c>
      <c r="O190" s="30">
        <v>7920.39</v>
      </c>
      <c r="P190" s="30"/>
      <c r="Q190" s="30">
        <f>(N190+O190*0.18+J190)+(IF((P190-O190*0.18)&gt;0,(P190-O190*0.18),0))</f>
        <v>16922.210200000001</v>
      </c>
      <c r="R190" s="7"/>
      <c r="S190" s="7"/>
      <c r="T190" s="7"/>
      <c r="U190" s="7"/>
      <c r="V190" s="7"/>
      <c r="W190" s="7"/>
      <c r="X190" s="7"/>
      <c r="Y190" s="7"/>
      <c r="Z190" s="7"/>
    </row>
    <row r="191" spans="1:26" ht="9" customHeight="1" x14ac:dyDescent="0.2">
      <c r="A191" s="534"/>
      <c r="B191" s="534"/>
      <c r="C191" s="34" t="s">
        <v>37</v>
      </c>
      <c r="D191" s="35">
        <v>10</v>
      </c>
      <c r="E191" s="36">
        <v>13608009</v>
      </c>
      <c r="F191" s="36">
        <v>1488004</v>
      </c>
      <c r="G191" s="36">
        <v>240001</v>
      </c>
      <c r="H191" s="36">
        <v>12361361</v>
      </c>
      <c r="I191" s="36">
        <v>0</v>
      </c>
      <c r="J191" s="37">
        <v>2308111</v>
      </c>
      <c r="K191" s="36">
        <v>27697374</v>
      </c>
      <c r="L191" s="38">
        <v>30005486</v>
      </c>
      <c r="M191" s="39"/>
      <c r="N191" s="36">
        <v>27697374</v>
      </c>
      <c r="O191" s="36">
        <v>15336014</v>
      </c>
      <c r="P191" s="36">
        <v>0</v>
      </c>
      <c r="Q191" s="36">
        <f>Q190*1936.27</f>
        <v>32765967.943954002</v>
      </c>
      <c r="R191" s="7"/>
      <c r="S191" s="7"/>
      <c r="T191" s="7"/>
      <c r="U191" s="7"/>
      <c r="V191" s="7"/>
      <c r="W191" s="7"/>
      <c r="X191" s="7"/>
      <c r="Y191" s="7"/>
      <c r="Z191" s="7"/>
    </row>
    <row r="192" spans="1:26" ht="12.75" customHeight="1" x14ac:dyDescent="0.2">
      <c r="A192" s="534"/>
      <c r="B192" s="534"/>
      <c r="C192" s="40" t="s">
        <v>36</v>
      </c>
      <c r="D192" s="41">
        <v>11</v>
      </c>
      <c r="E192" s="42">
        <v>7387.4</v>
      </c>
      <c r="F192" s="42">
        <v>811.87</v>
      </c>
      <c r="G192" s="42">
        <v>123.95</v>
      </c>
      <c r="H192" s="42">
        <v>6384.11</v>
      </c>
      <c r="I192" s="42">
        <v>0</v>
      </c>
      <c r="J192" s="42">
        <v>1225.6099999999999</v>
      </c>
      <c r="K192" s="43">
        <v>14707.33</v>
      </c>
      <c r="L192" s="32">
        <v>15932.94</v>
      </c>
      <c r="M192" s="33"/>
      <c r="N192" s="30">
        <v>14707.33</v>
      </c>
      <c r="O192" s="30">
        <v>8323.2199999999993</v>
      </c>
      <c r="P192" s="30"/>
      <c r="Q192" s="30">
        <f>(N192+O192*0.18+J192)+(IF((P192-O192*0.18)&gt;0,(P192-O192*0.18),0))</f>
        <v>17431.119599999998</v>
      </c>
      <c r="R192" s="7"/>
      <c r="S192" s="7"/>
      <c r="T192" s="7"/>
      <c r="U192" s="7"/>
      <c r="V192" s="7"/>
      <c r="W192" s="7"/>
      <c r="X192" s="7"/>
      <c r="Y192" s="7"/>
      <c r="Z192" s="7"/>
    </row>
    <row r="193" spans="1:26" ht="9" customHeight="1" x14ac:dyDescent="0.2">
      <c r="A193" s="534"/>
      <c r="B193" s="534"/>
      <c r="C193" s="34" t="s">
        <v>37</v>
      </c>
      <c r="D193" s="35">
        <v>12</v>
      </c>
      <c r="E193" s="36">
        <v>14304001</v>
      </c>
      <c r="F193" s="36">
        <v>1572000</v>
      </c>
      <c r="G193" s="36">
        <v>240001</v>
      </c>
      <c r="H193" s="36">
        <v>12361361</v>
      </c>
      <c r="I193" s="36">
        <v>0</v>
      </c>
      <c r="J193" s="37">
        <v>2373112</v>
      </c>
      <c r="K193" s="36">
        <v>28477362</v>
      </c>
      <c r="L193" s="38">
        <v>30850474</v>
      </c>
      <c r="M193" s="39"/>
      <c r="N193" s="36">
        <v>28477362</v>
      </c>
      <c r="O193" s="36">
        <v>16116001</v>
      </c>
      <c r="P193" s="36">
        <v>0</v>
      </c>
      <c r="Q193" s="36">
        <f>Q192*1936.27</f>
        <v>33751353.947891995</v>
      </c>
      <c r="R193" s="7"/>
      <c r="S193" s="7"/>
      <c r="T193" s="7"/>
      <c r="U193" s="7"/>
      <c r="V193" s="7"/>
      <c r="W193" s="7"/>
      <c r="X193" s="7"/>
      <c r="Y193" s="7"/>
      <c r="Z193" s="7"/>
    </row>
    <row r="194" spans="1:26" ht="12.75" customHeight="1" x14ac:dyDescent="0.2">
      <c r="A194" s="534"/>
      <c r="B194" s="534"/>
      <c r="C194" s="40" t="s">
        <v>36</v>
      </c>
      <c r="D194" s="41">
        <v>13</v>
      </c>
      <c r="E194" s="42">
        <v>7740.66</v>
      </c>
      <c r="F194" s="42">
        <v>849.06</v>
      </c>
      <c r="G194" s="42">
        <v>123.95</v>
      </c>
      <c r="H194" s="42">
        <v>6384.11</v>
      </c>
      <c r="I194" s="42">
        <v>0</v>
      </c>
      <c r="J194" s="42">
        <v>1258.1500000000001</v>
      </c>
      <c r="K194" s="43">
        <v>15097.78</v>
      </c>
      <c r="L194" s="32">
        <v>16355.93</v>
      </c>
      <c r="M194" s="33"/>
      <c r="N194" s="30">
        <v>15097.78</v>
      </c>
      <c r="O194" s="30">
        <v>8713.67</v>
      </c>
      <c r="P194" s="30"/>
      <c r="Q194" s="30">
        <f>(N194+O194*0.18+J194)+(IF((P194-O194*0.18)&gt;0,(P194-O194*0.18),0))</f>
        <v>17924.390600000002</v>
      </c>
      <c r="R194" s="7"/>
      <c r="S194" s="7"/>
      <c r="T194" s="7"/>
      <c r="U194" s="7"/>
      <c r="V194" s="7"/>
      <c r="W194" s="7"/>
      <c r="X194" s="7"/>
      <c r="Y194" s="7"/>
      <c r="Z194" s="7"/>
    </row>
    <row r="195" spans="1:26" ht="9" customHeight="1" x14ac:dyDescent="0.2">
      <c r="A195" s="534"/>
      <c r="B195" s="534"/>
      <c r="C195" s="34" t="s">
        <v>37</v>
      </c>
      <c r="D195" s="35">
        <v>14</v>
      </c>
      <c r="E195" s="36">
        <v>14988008</v>
      </c>
      <c r="F195" s="36">
        <v>1644009</v>
      </c>
      <c r="G195" s="36">
        <v>240001</v>
      </c>
      <c r="H195" s="36">
        <v>12361361</v>
      </c>
      <c r="I195" s="36">
        <v>0</v>
      </c>
      <c r="J195" s="37">
        <v>2436118</v>
      </c>
      <c r="K195" s="36">
        <v>29233378</v>
      </c>
      <c r="L195" s="38">
        <v>31669497</v>
      </c>
      <c r="M195" s="39"/>
      <c r="N195" s="36">
        <v>29233378</v>
      </c>
      <c r="O195" s="36">
        <v>16872018</v>
      </c>
      <c r="P195" s="36">
        <v>0</v>
      </c>
      <c r="Q195" s="36">
        <f>Q194*1936.27</f>
        <v>34706459.787062004</v>
      </c>
      <c r="R195" s="7"/>
      <c r="S195" s="7"/>
      <c r="T195" s="7"/>
      <c r="U195" s="7"/>
      <c r="V195" s="7"/>
      <c r="W195" s="7"/>
      <c r="X195" s="7"/>
      <c r="Y195" s="7"/>
      <c r="Z195" s="7"/>
    </row>
    <row r="196" spans="1:26" ht="12.75" customHeight="1" x14ac:dyDescent="0.2">
      <c r="A196" s="534"/>
      <c r="B196" s="534"/>
      <c r="C196" s="40" t="s">
        <v>36</v>
      </c>
      <c r="D196" s="41">
        <v>15</v>
      </c>
      <c r="E196" s="42">
        <v>8155.89</v>
      </c>
      <c r="F196" s="42">
        <v>892.44</v>
      </c>
      <c r="G196" s="42">
        <v>123.95</v>
      </c>
      <c r="H196" s="42">
        <v>6384.11</v>
      </c>
      <c r="I196" s="42">
        <v>0</v>
      </c>
      <c r="J196" s="42">
        <v>1296.3699999999999</v>
      </c>
      <c r="K196" s="43">
        <v>15556.39</v>
      </c>
      <c r="L196" s="32">
        <v>16852.759999999998</v>
      </c>
      <c r="M196" s="33"/>
      <c r="N196" s="30">
        <v>15556.39</v>
      </c>
      <c r="O196" s="30">
        <v>9172.2800000000007</v>
      </c>
      <c r="P196" s="30"/>
      <c r="Q196" s="30">
        <f>(N196+O196*0.18+J196)+(IF((P196-O196*0.18)&gt;0,(P196-O196*0.18),0))</f>
        <v>18503.770399999998</v>
      </c>
      <c r="R196" s="7"/>
      <c r="S196" s="7"/>
      <c r="T196" s="7"/>
      <c r="U196" s="7"/>
      <c r="V196" s="7"/>
      <c r="W196" s="7"/>
      <c r="X196" s="7"/>
      <c r="Y196" s="7"/>
      <c r="Z196" s="7"/>
    </row>
    <row r="197" spans="1:26" ht="9" customHeight="1" x14ac:dyDescent="0.2">
      <c r="A197" s="534"/>
      <c r="B197" s="534"/>
      <c r="C197" s="34" t="s">
        <v>37</v>
      </c>
      <c r="D197" s="35">
        <v>16</v>
      </c>
      <c r="E197" s="36">
        <v>15792005</v>
      </c>
      <c r="F197" s="36">
        <v>1728005</v>
      </c>
      <c r="G197" s="36">
        <v>240001</v>
      </c>
      <c r="H197" s="36">
        <v>12361361</v>
      </c>
      <c r="I197" s="36">
        <v>0</v>
      </c>
      <c r="J197" s="37">
        <v>2510122</v>
      </c>
      <c r="K197" s="36">
        <v>30121371</v>
      </c>
      <c r="L197" s="38">
        <v>32631494</v>
      </c>
      <c r="M197" s="39"/>
      <c r="N197" s="36">
        <v>30121371</v>
      </c>
      <c r="O197" s="36">
        <v>17760011</v>
      </c>
      <c r="P197" s="36">
        <v>0</v>
      </c>
      <c r="Q197" s="36">
        <f>Q196*1936.27</f>
        <v>35828295.512407996</v>
      </c>
      <c r="R197" s="7"/>
      <c r="S197" s="7"/>
      <c r="T197" s="7"/>
      <c r="U197" s="7"/>
      <c r="V197" s="7"/>
      <c r="W197" s="7"/>
      <c r="X197" s="7"/>
      <c r="Y197" s="7"/>
      <c r="Z197" s="7"/>
    </row>
    <row r="198" spans="1:26" ht="12.75" customHeight="1" x14ac:dyDescent="0.2">
      <c r="A198" s="534"/>
      <c r="B198" s="534"/>
      <c r="C198" s="40" t="s">
        <v>36</v>
      </c>
      <c r="D198" s="41">
        <v>17</v>
      </c>
      <c r="E198" s="42">
        <v>8571.1200000000008</v>
      </c>
      <c r="F198" s="42">
        <v>942.02</v>
      </c>
      <c r="G198" s="42">
        <v>123.95</v>
      </c>
      <c r="H198" s="42">
        <v>6384.11</v>
      </c>
      <c r="I198" s="42">
        <v>0</v>
      </c>
      <c r="J198" s="42">
        <v>1335.1</v>
      </c>
      <c r="K198" s="43">
        <v>16021.2</v>
      </c>
      <c r="L198" s="32">
        <v>17356.3</v>
      </c>
      <c r="M198" s="33"/>
      <c r="N198" s="30">
        <v>16021.2</v>
      </c>
      <c r="O198" s="30">
        <v>9637.09</v>
      </c>
      <c r="P198" s="30"/>
      <c r="Q198" s="30">
        <f>(N198+O198*0.18+J198)+(IF((P198-O198*0.18)&gt;0,(P198-O198*0.18),0))</f>
        <v>19090.976199999997</v>
      </c>
      <c r="R198" s="7"/>
      <c r="S198" s="7"/>
      <c r="T198" s="7"/>
      <c r="U198" s="7"/>
      <c r="V198" s="7"/>
      <c r="W198" s="7"/>
      <c r="X198" s="7"/>
      <c r="Y198" s="7"/>
      <c r="Z198" s="7"/>
    </row>
    <row r="199" spans="1:26" ht="9" customHeight="1" x14ac:dyDescent="0.2">
      <c r="A199" s="534"/>
      <c r="B199" s="534"/>
      <c r="C199" s="34" t="s">
        <v>37</v>
      </c>
      <c r="D199" s="35">
        <v>18</v>
      </c>
      <c r="E199" s="36">
        <v>16596003</v>
      </c>
      <c r="F199" s="36">
        <v>1824005</v>
      </c>
      <c r="G199" s="36">
        <v>240001</v>
      </c>
      <c r="H199" s="36">
        <v>12361361</v>
      </c>
      <c r="I199" s="36">
        <v>0</v>
      </c>
      <c r="J199" s="37">
        <v>2585114</v>
      </c>
      <c r="K199" s="36">
        <v>31021369</v>
      </c>
      <c r="L199" s="38">
        <v>33606483</v>
      </c>
      <c r="M199" s="39"/>
      <c r="N199" s="36">
        <v>31021369</v>
      </c>
      <c r="O199" s="36">
        <v>18660008</v>
      </c>
      <c r="P199" s="36">
        <v>0</v>
      </c>
      <c r="Q199" s="36">
        <f>Q198*1936.27</f>
        <v>36965284.486773998</v>
      </c>
      <c r="R199" s="7"/>
      <c r="S199" s="7"/>
      <c r="T199" s="7"/>
      <c r="U199" s="7"/>
      <c r="V199" s="7"/>
      <c r="W199" s="7"/>
      <c r="X199" s="7"/>
      <c r="Y199" s="7"/>
      <c r="Z199" s="7"/>
    </row>
    <row r="200" spans="1:26" ht="12.75" customHeight="1" x14ac:dyDescent="0.2">
      <c r="A200" s="534"/>
      <c r="B200" s="534"/>
      <c r="C200" s="40" t="s">
        <v>36</v>
      </c>
      <c r="D200" s="41">
        <v>19</v>
      </c>
      <c r="E200" s="42">
        <v>8980.15</v>
      </c>
      <c r="F200" s="42">
        <v>985.4</v>
      </c>
      <c r="G200" s="42">
        <v>123.95</v>
      </c>
      <c r="H200" s="42">
        <v>6384.11</v>
      </c>
      <c r="I200" s="42">
        <v>0</v>
      </c>
      <c r="J200" s="42">
        <v>1372.8</v>
      </c>
      <c r="K200" s="43">
        <v>16473.61</v>
      </c>
      <c r="L200" s="32">
        <v>17846.41</v>
      </c>
      <c r="M200" s="33"/>
      <c r="N200" s="30">
        <v>16473.61</v>
      </c>
      <c r="O200" s="30">
        <v>10089.5</v>
      </c>
      <c r="P200" s="30"/>
      <c r="Q200" s="30">
        <f>(N200+O200*0.18+J200)+(IF((P200-O200*0.18)&gt;0,(P200-O200*0.18),0))</f>
        <v>19662.52</v>
      </c>
      <c r="R200" s="7"/>
      <c r="S200" s="7"/>
      <c r="T200" s="7"/>
      <c r="U200" s="7"/>
      <c r="V200" s="7"/>
      <c r="W200" s="7"/>
      <c r="X200" s="7"/>
      <c r="Y200" s="7"/>
      <c r="Z200" s="7"/>
    </row>
    <row r="201" spans="1:26" ht="9" customHeight="1" x14ac:dyDescent="0.2">
      <c r="A201" s="534"/>
      <c r="B201" s="534"/>
      <c r="C201" s="34" t="s">
        <v>37</v>
      </c>
      <c r="D201" s="35">
        <v>19</v>
      </c>
      <c r="E201" s="36">
        <v>17387995</v>
      </c>
      <c r="F201" s="36">
        <v>1908000</v>
      </c>
      <c r="G201" s="36">
        <v>240001</v>
      </c>
      <c r="H201" s="36">
        <v>12361361</v>
      </c>
      <c r="I201" s="36">
        <v>0</v>
      </c>
      <c r="J201" s="37">
        <v>2658111</v>
      </c>
      <c r="K201" s="36">
        <v>31897357</v>
      </c>
      <c r="L201" s="38">
        <v>34555468</v>
      </c>
      <c r="M201" s="39"/>
      <c r="N201" s="36">
        <v>31897357</v>
      </c>
      <c r="O201" s="36">
        <v>19535996</v>
      </c>
      <c r="P201" s="36">
        <v>0</v>
      </c>
      <c r="Q201" s="36">
        <f>Q200*1936.27</f>
        <v>38071947.600400001</v>
      </c>
      <c r="R201" s="7"/>
      <c r="S201" s="7"/>
      <c r="T201" s="7"/>
      <c r="U201" s="7"/>
      <c r="V201" s="7"/>
      <c r="W201" s="7"/>
      <c r="X201" s="7"/>
      <c r="Y201" s="7"/>
      <c r="Z201" s="7"/>
    </row>
    <row r="202" spans="1:26" ht="12.75" customHeight="1" x14ac:dyDescent="0.2">
      <c r="A202" s="534"/>
      <c r="B202" s="534"/>
      <c r="C202" s="40" t="s">
        <v>36</v>
      </c>
      <c r="D202" s="41">
        <v>20</v>
      </c>
      <c r="E202" s="42">
        <v>9792.02</v>
      </c>
      <c r="F202" s="42">
        <v>1072.1600000000001</v>
      </c>
      <c r="G202" s="42">
        <v>123.95</v>
      </c>
      <c r="H202" s="42">
        <v>6384.11</v>
      </c>
      <c r="I202" s="42">
        <v>0</v>
      </c>
      <c r="J202" s="42">
        <v>1447.69</v>
      </c>
      <c r="K202" s="43">
        <v>17372.240000000002</v>
      </c>
      <c r="L202" s="32">
        <v>18819.93</v>
      </c>
      <c r="M202" s="33"/>
      <c r="N202" s="30">
        <v>17372.240000000002</v>
      </c>
      <c r="O202" s="30">
        <v>10988.13</v>
      </c>
      <c r="P202" s="30"/>
      <c r="Q202" s="30">
        <f>(N202+O202*0.18+J202)+(IF((P202-O202*0.18)&gt;0,(P202-O202*0.18),0))</f>
        <v>20797.793399999999</v>
      </c>
      <c r="R202" s="7"/>
      <c r="S202" s="7"/>
      <c r="T202" s="7"/>
      <c r="U202" s="7"/>
      <c r="V202" s="7"/>
      <c r="W202" s="7"/>
      <c r="X202" s="7"/>
      <c r="Y202" s="7"/>
      <c r="Z202" s="7"/>
    </row>
    <row r="203" spans="1:26" ht="9" customHeight="1" x14ac:dyDescent="0.2">
      <c r="A203" s="534"/>
      <c r="B203" s="534"/>
      <c r="C203" s="34" t="s">
        <v>37</v>
      </c>
      <c r="D203" s="35">
        <v>21</v>
      </c>
      <c r="E203" s="36">
        <v>18959995</v>
      </c>
      <c r="F203" s="36">
        <v>2075991</v>
      </c>
      <c r="G203" s="36">
        <v>240001</v>
      </c>
      <c r="H203" s="36">
        <v>12361361</v>
      </c>
      <c r="I203" s="36">
        <v>0</v>
      </c>
      <c r="J203" s="37">
        <v>2803119</v>
      </c>
      <c r="K203" s="36">
        <v>33637347</v>
      </c>
      <c r="L203" s="38">
        <v>36440466</v>
      </c>
      <c r="M203" s="39"/>
      <c r="N203" s="36">
        <v>33637347</v>
      </c>
      <c r="O203" s="36">
        <v>21275986</v>
      </c>
      <c r="P203" s="36">
        <v>0</v>
      </c>
      <c r="Q203" s="36">
        <f>Q202*1936.27</f>
        <v>40270143.426617995</v>
      </c>
      <c r="R203" s="7"/>
      <c r="S203" s="7"/>
      <c r="T203" s="7"/>
      <c r="U203" s="7"/>
      <c r="V203" s="7"/>
      <c r="W203" s="7"/>
      <c r="X203" s="7"/>
      <c r="Y203" s="7"/>
      <c r="Z203" s="7"/>
    </row>
    <row r="204" spans="1:26" ht="12.75" customHeight="1" x14ac:dyDescent="0.2">
      <c r="A204" s="534"/>
      <c r="B204" s="534"/>
      <c r="C204" s="40" t="s">
        <v>36</v>
      </c>
      <c r="D204" s="41">
        <v>22</v>
      </c>
      <c r="E204" s="42">
        <v>10058.51</v>
      </c>
      <c r="F204" s="42">
        <v>1103.1500000000001</v>
      </c>
      <c r="G204" s="42">
        <v>123.95</v>
      </c>
      <c r="H204" s="42">
        <v>6384.11</v>
      </c>
      <c r="I204" s="42">
        <v>0</v>
      </c>
      <c r="J204" s="42">
        <v>1472.48</v>
      </c>
      <c r="K204" s="43">
        <v>17669.72</v>
      </c>
      <c r="L204" s="32">
        <v>19142.2</v>
      </c>
      <c r="M204" s="33"/>
      <c r="N204" s="30">
        <v>17669.72</v>
      </c>
      <c r="O204" s="30">
        <v>11285.61</v>
      </c>
      <c r="P204" s="30"/>
      <c r="Q204" s="30">
        <f>(N204+O204*0.18+J204)+(IF((P204-O204*0.18)&gt;0,(P204-O204*0.18),0))</f>
        <v>21173.609800000002</v>
      </c>
      <c r="R204" s="7"/>
      <c r="S204" s="7"/>
      <c r="T204" s="7"/>
      <c r="U204" s="7"/>
      <c r="V204" s="7"/>
      <c r="W204" s="7"/>
      <c r="X204" s="7"/>
      <c r="Y204" s="7"/>
      <c r="Z204" s="7"/>
    </row>
    <row r="205" spans="1:26" ht="9" customHeight="1" x14ac:dyDescent="0.2">
      <c r="A205" s="534"/>
      <c r="B205" s="534"/>
      <c r="C205" s="34" t="s">
        <v>37</v>
      </c>
      <c r="D205" s="35">
        <v>23</v>
      </c>
      <c r="E205" s="36">
        <v>19475991</v>
      </c>
      <c r="F205" s="36">
        <v>2135996</v>
      </c>
      <c r="G205" s="36">
        <v>240001</v>
      </c>
      <c r="H205" s="36">
        <v>12361361</v>
      </c>
      <c r="I205" s="36">
        <v>0</v>
      </c>
      <c r="J205" s="37">
        <v>2851119</v>
      </c>
      <c r="K205" s="36">
        <v>34213349</v>
      </c>
      <c r="L205" s="38">
        <v>37064468</v>
      </c>
      <c r="M205" s="39"/>
      <c r="N205" s="36">
        <v>34213349</v>
      </c>
      <c r="O205" s="36">
        <v>21851988</v>
      </c>
      <c r="P205" s="36">
        <v>0</v>
      </c>
      <c r="Q205" s="36">
        <f>Q204*1936.27</f>
        <v>40997825.447446004</v>
      </c>
      <c r="R205" s="7"/>
      <c r="S205" s="7"/>
      <c r="T205" s="7"/>
      <c r="U205" s="7"/>
      <c r="V205" s="7"/>
      <c r="W205" s="7"/>
      <c r="X205" s="7"/>
      <c r="Y205" s="7"/>
      <c r="Z205" s="7"/>
    </row>
    <row r="206" spans="1:26" ht="12.75" customHeight="1" x14ac:dyDescent="0.2">
      <c r="A206" s="534"/>
      <c r="B206" s="534"/>
      <c r="C206" s="40" t="s">
        <v>36</v>
      </c>
      <c r="D206" s="41">
        <v>24</v>
      </c>
      <c r="E206" s="42">
        <v>10331.200000000001</v>
      </c>
      <c r="F206" s="42">
        <v>1134.1400000000001</v>
      </c>
      <c r="G206" s="42">
        <v>123.95</v>
      </c>
      <c r="H206" s="42">
        <v>6384.11</v>
      </c>
      <c r="I206" s="42">
        <v>0</v>
      </c>
      <c r="J206" s="42">
        <v>1497.78</v>
      </c>
      <c r="K206" s="43">
        <v>17973.400000000001</v>
      </c>
      <c r="L206" s="32">
        <v>19471.18</v>
      </c>
      <c r="M206" s="33"/>
      <c r="N206" s="30">
        <v>17973.400000000001</v>
      </c>
      <c r="O206" s="30">
        <v>11589.29</v>
      </c>
      <c r="P206" s="30"/>
      <c r="Q206" s="30">
        <f>(N206+O206*0.18+J206)+(IF((P206-O206*0.18)&gt;0,(P206-O206*0.18),0))</f>
        <v>21557.252199999999</v>
      </c>
      <c r="R206" s="7"/>
      <c r="S206" s="7"/>
      <c r="T206" s="7"/>
      <c r="U206" s="7"/>
      <c r="V206" s="7"/>
      <c r="W206" s="7"/>
      <c r="X206" s="7"/>
      <c r="Y206" s="7"/>
      <c r="Z206" s="7"/>
    </row>
    <row r="207" spans="1:26" ht="9" customHeight="1" x14ac:dyDescent="0.2">
      <c r="A207" s="534"/>
      <c r="B207" s="534"/>
      <c r="C207" s="34" t="s">
        <v>37</v>
      </c>
      <c r="D207" s="35">
        <v>25</v>
      </c>
      <c r="E207" s="36">
        <v>20003993</v>
      </c>
      <c r="F207" s="36">
        <v>2196001</v>
      </c>
      <c r="G207" s="36">
        <v>240001</v>
      </c>
      <c r="H207" s="36">
        <v>12361361</v>
      </c>
      <c r="I207" s="36">
        <v>0</v>
      </c>
      <c r="J207" s="37">
        <v>2900106</v>
      </c>
      <c r="K207" s="36">
        <v>34801355</v>
      </c>
      <c r="L207" s="38">
        <v>37701462</v>
      </c>
      <c r="M207" s="39"/>
      <c r="N207" s="36">
        <v>34801355</v>
      </c>
      <c r="O207" s="36">
        <v>22439995</v>
      </c>
      <c r="P207" s="36">
        <v>0</v>
      </c>
      <c r="Q207" s="36">
        <f>Q206*1936.27</f>
        <v>41740660.717294</v>
      </c>
      <c r="R207" s="7"/>
      <c r="S207" s="7"/>
      <c r="T207" s="7"/>
      <c r="U207" s="7"/>
      <c r="V207" s="7"/>
      <c r="W207" s="7"/>
      <c r="X207" s="7"/>
      <c r="Y207" s="7"/>
      <c r="Z207" s="7"/>
    </row>
    <row r="208" spans="1:26" ht="12.75" customHeight="1" x14ac:dyDescent="0.2">
      <c r="A208" s="534"/>
      <c r="B208" s="534"/>
      <c r="C208" s="40" t="s">
        <v>36</v>
      </c>
      <c r="D208" s="41">
        <v>26</v>
      </c>
      <c r="E208" s="42">
        <v>10603.89</v>
      </c>
      <c r="F208" s="42">
        <v>1165.1300000000001</v>
      </c>
      <c r="G208" s="42">
        <v>123.95</v>
      </c>
      <c r="H208" s="42">
        <v>6384.11</v>
      </c>
      <c r="I208" s="42">
        <v>0</v>
      </c>
      <c r="J208" s="42">
        <v>1523.09</v>
      </c>
      <c r="K208" s="43">
        <v>18277.080000000002</v>
      </c>
      <c r="L208" s="32">
        <v>19800.169999999998</v>
      </c>
      <c r="M208" s="33"/>
      <c r="N208" s="30">
        <v>18277.080000000002</v>
      </c>
      <c r="O208" s="30">
        <v>11892.97</v>
      </c>
      <c r="P208" s="30"/>
      <c r="Q208" s="30">
        <f>(N208+O208*0.18+J208)+(IF((P208-O208*0.18)&gt;0,(P208-O208*0.18),0))</f>
        <v>21940.904600000002</v>
      </c>
      <c r="R208" s="7"/>
      <c r="S208" s="7"/>
      <c r="T208" s="7"/>
      <c r="U208" s="7"/>
      <c r="V208" s="7"/>
      <c r="W208" s="7"/>
      <c r="X208" s="7"/>
      <c r="Y208" s="7"/>
      <c r="Z208" s="7"/>
    </row>
    <row r="209" spans="1:26" ht="9" customHeight="1" x14ac:dyDescent="0.2">
      <c r="A209" s="534"/>
      <c r="B209" s="534"/>
      <c r="C209" s="34" t="s">
        <v>37</v>
      </c>
      <c r="D209" s="35">
        <v>27</v>
      </c>
      <c r="E209" s="36">
        <v>20531994</v>
      </c>
      <c r="F209" s="36">
        <v>2256006</v>
      </c>
      <c r="G209" s="36">
        <v>240001</v>
      </c>
      <c r="H209" s="36">
        <v>12361361</v>
      </c>
      <c r="I209" s="36">
        <v>0</v>
      </c>
      <c r="J209" s="37">
        <v>2949113</v>
      </c>
      <c r="K209" s="36">
        <v>35389362</v>
      </c>
      <c r="L209" s="38">
        <v>38338475</v>
      </c>
      <c r="M209" s="39"/>
      <c r="N209" s="36">
        <v>35389362</v>
      </c>
      <c r="O209" s="36">
        <v>23028001</v>
      </c>
      <c r="P209" s="36">
        <v>0</v>
      </c>
      <c r="Q209" s="36">
        <f>Q208*1936.27</f>
        <v>42483515.349842004</v>
      </c>
      <c r="R209" s="7"/>
      <c r="S209" s="7"/>
      <c r="T209" s="7"/>
      <c r="U209" s="7"/>
      <c r="V209" s="7"/>
      <c r="W209" s="7"/>
      <c r="X209" s="7"/>
      <c r="Y209" s="7"/>
      <c r="Z209" s="7"/>
    </row>
    <row r="210" spans="1:26" ht="12.75" customHeight="1" x14ac:dyDescent="0.2">
      <c r="A210" s="534"/>
      <c r="B210" s="534"/>
      <c r="C210" s="40" t="s">
        <v>36</v>
      </c>
      <c r="D210" s="41">
        <v>28</v>
      </c>
      <c r="E210" s="42">
        <v>10870.38</v>
      </c>
      <c r="F210" s="42">
        <v>1189.92</v>
      </c>
      <c r="G210" s="42">
        <v>123.95</v>
      </c>
      <c r="H210" s="42">
        <v>6384.11</v>
      </c>
      <c r="I210" s="42">
        <v>0</v>
      </c>
      <c r="J210" s="42">
        <v>1547.36</v>
      </c>
      <c r="K210" s="43">
        <v>18568.36</v>
      </c>
      <c r="L210" s="32">
        <v>20115.72</v>
      </c>
      <c r="M210" s="33"/>
      <c r="N210" s="30">
        <v>18568.36</v>
      </c>
      <c r="O210" s="30">
        <v>12184.25</v>
      </c>
      <c r="P210" s="30"/>
      <c r="Q210" s="30">
        <f>(N210+O210*0.18+J210)+(IF((P210-O210*0.18)&gt;0,(P210-O210*0.18),0))</f>
        <v>22308.885000000002</v>
      </c>
      <c r="R210" s="7"/>
      <c r="S210" s="7"/>
      <c r="T210" s="7"/>
      <c r="U210" s="7"/>
      <c r="V210" s="7"/>
      <c r="W210" s="7"/>
      <c r="X210" s="7"/>
      <c r="Y210" s="7"/>
      <c r="Z210" s="7"/>
    </row>
    <row r="211" spans="1:26" ht="9" customHeight="1" x14ac:dyDescent="0.2">
      <c r="A211" s="534"/>
      <c r="B211" s="534"/>
      <c r="C211" s="34" t="s">
        <v>37</v>
      </c>
      <c r="D211" s="35">
        <v>29</v>
      </c>
      <c r="E211" s="36">
        <v>21047991</v>
      </c>
      <c r="F211" s="36">
        <v>2304006</v>
      </c>
      <c r="G211" s="36">
        <v>240001</v>
      </c>
      <c r="H211" s="36">
        <v>12361361</v>
      </c>
      <c r="I211" s="36">
        <v>0</v>
      </c>
      <c r="J211" s="37">
        <v>2996107</v>
      </c>
      <c r="K211" s="36">
        <v>35953358</v>
      </c>
      <c r="L211" s="38">
        <v>38949465</v>
      </c>
      <c r="M211" s="39"/>
      <c r="N211" s="36">
        <v>35953358</v>
      </c>
      <c r="O211" s="36">
        <v>23591998</v>
      </c>
      <c r="P211" s="36">
        <v>0</v>
      </c>
      <c r="Q211" s="36">
        <f>Q210*1936.27</f>
        <v>43196024.758950002</v>
      </c>
      <c r="R211" s="7"/>
      <c r="S211" s="7"/>
      <c r="T211" s="7"/>
      <c r="U211" s="7"/>
      <c r="V211" s="7"/>
      <c r="W211" s="7"/>
      <c r="X211" s="7"/>
      <c r="Y211" s="7"/>
      <c r="Z211" s="7"/>
    </row>
    <row r="212" spans="1:26" ht="12.75" customHeight="1" x14ac:dyDescent="0.2">
      <c r="A212" s="534"/>
      <c r="B212" s="534"/>
      <c r="C212" s="40" t="s">
        <v>36</v>
      </c>
      <c r="D212" s="41">
        <v>30</v>
      </c>
      <c r="E212" s="42">
        <v>11136.88</v>
      </c>
      <c r="F212" s="42">
        <v>1220.9000000000001</v>
      </c>
      <c r="G212" s="42">
        <v>123.95</v>
      </c>
      <c r="H212" s="42">
        <v>6384.11</v>
      </c>
      <c r="I212" s="42">
        <v>0</v>
      </c>
      <c r="J212" s="42">
        <v>1572.15</v>
      </c>
      <c r="K212" s="43">
        <v>18865.84</v>
      </c>
      <c r="L212" s="32">
        <v>20437.990000000002</v>
      </c>
      <c r="M212" s="33"/>
      <c r="N212" s="30">
        <v>18865.84</v>
      </c>
      <c r="O212" s="30">
        <v>12481.73</v>
      </c>
      <c r="P212" s="30"/>
      <c r="Q212" s="30">
        <f>(N212+O212*0.18+J212)+(IF((P212-O212*0.18)&gt;0,(P212-O212*0.18),0))</f>
        <v>22684.701400000002</v>
      </c>
      <c r="R212" s="7"/>
      <c r="S212" s="7"/>
      <c r="T212" s="7"/>
      <c r="U212" s="7"/>
      <c r="V212" s="7"/>
      <c r="W212" s="7"/>
      <c r="X212" s="7"/>
      <c r="Y212" s="7"/>
      <c r="Z212" s="7"/>
    </row>
    <row r="213" spans="1:26" ht="9" customHeight="1" x14ac:dyDescent="0.2">
      <c r="A213" s="534"/>
      <c r="B213" s="534"/>
      <c r="C213" s="34" t="s">
        <v>37</v>
      </c>
      <c r="D213" s="35">
        <v>31</v>
      </c>
      <c r="E213" s="36">
        <v>21564007</v>
      </c>
      <c r="F213" s="36">
        <v>2363992</v>
      </c>
      <c r="G213" s="36">
        <v>240001</v>
      </c>
      <c r="H213" s="36">
        <v>12361361</v>
      </c>
      <c r="I213" s="36">
        <v>0</v>
      </c>
      <c r="J213" s="37">
        <v>3044107</v>
      </c>
      <c r="K213" s="36">
        <v>36529360</v>
      </c>
      <c r="L213" s="38">
        <v>39573467</v>
      </c>
      <c r="M213" s="39"/>
      <c r="N213" s="36">
        <v>36529360</v>
      </c>
      <c r="O213" s="36">
        <v>24167999</v>
      </c>
      <c r="P213" s="36">
        <v>0</v>
      </c>
      <c r="Q213" s="36">
        <f>Q212*1936.27</f>
        <v>43923706.779778004</v>
      </c>
      <c r="R213" s="7"/>
      <c r="S213" s="7"/>
      <c r="T213" s="7"/>
      <c r="U213" s="7"/>
      <c r="V213" s="7"/>
      <c r="W213" s="7"/>
      <c r="X213" s="7"/>
      <c r="Y213" s="7"/>
      <c r="Z213" s="7"/>
    </row>
    <row r="214" spans="1:26" ht="12.75" customHeight="1" x14ac:dyDescent="0.2">
      <c r="A214" s="534"/>
      <c r="B214" s="534"/>
      <c r="C214" s="40" t="s">
        <v>36</v>
      </c>
      <c r="D214" s="41">
        <v>32</v>
      </c>
      <c r="E214" s="42">
        <v>11409.57</v>
      </c>
      <c r="F214" s="42">
        <v>1251.8900000000001</v>
      </c>
      <c r="G214" s="42">
        <v>123.95</v>
      </c>
      <c r="H214" s="42">
        <v>6384.11</v>
      </c>
      <c r="I214" s="42">
        <v>0</v>
      </c>
      <c r="J214" s="42">
        <v>1597.46</v>
      </c>
      <c r="K214" s="43">
        <v>19169.52</v>
      </c>
      <c r="L214" s="32">
        <v>20766.98</v>
      </c>
      <c r="M214" s="33"/>
      <c r="N214" s="30">
        <v>19169.52</v>
      </c>
      <c r="O214" s="30">
        <v>12785.41</v>
      </c>
      <c r="P214" s="30"/>
      <c r="Q214" s="30">
        <f>(N214+O214*0.18+J214)+(IF((P214-O214*0.18)&gt;0,(P214-O214*0.18),0))</f>
        <v>23068.353800000001</v>
      </c>
      <c r="R214" s="7"/>
      <c r="S214" s="7"/>
      <c r="T214" s="7"/>
      <c r="U214" s="7"/>
      <c r="V214" s="7"/>
      <c r="W214" s="7"/>
      <c r="X214" s="7"/>
      <c r="Y214" s="7"/>
      <c r="Z214" s="7"/>
    </row>
    <row r="215" spans="1:26" ht="9" customHeight="1" x14ac:dyDescent="0.2">
      <c r="A215" s="534"/>
      <c r="B215" s="534"/>
      <c r="C215" s="34" t="s">
        <v>37</v>
      </c>
      <c r="D215" s="35">
        <v>33</v>
      </c>
      <c r="E215" s="36">
        <v>22092008</v>
      </c>
      <c r="F215" s="36">
        <v>2423997</v>
      </c>
      <c r="G215" s="36">
        <v>240001</v>
      </c>
      <c r="H215" s="36">
        <v>12361361</v>
      </c>
      <c r="I215" s="36">
        <v>0</v>
      </c>
      <c r="J215" s="37">
        <v>3093114</v>
      </c>
      <c r="K215" s="36">
        <v>37117366</v>
      </c>
      <c r="L215" s="38">
        <v>40210480</v>
      </c>
      <c r="M215" s="39"/>
      <c r="N215" s="36">
        <v>37117366</v>
      </c>
      <c r="O215" s="36">
        <v>24756006</v>
      </c>
      <c r="P215" s="36">
        <v>0</v>
      </c>
      <c r="Q215" s="36">
        <f>Q214*1936.27</f>
        <v>44666561.412326001</v>
      </c>
      <c r="R215" s="7"/>
      <c r="S215" s="7"/>
      <c r="T215" s="7"/>
      <c r="U215" s="7"/>
      <c r="V215" s="7"/>
      <c r="W215" s="7"/>
      <c r="X215" s="7"/>
      <c r="Y215" s="7"/>
      <c r="Z215" s="7"/>
    </row>
    <row r="216" spans="1:26" ht="12.75" customHeight="1" x14ac:dyDescent="0.2">
      <c r="A216" s="534"/>
      <c r="B216" s="534"/>
      <c r="C216" s="40" t="s">
        <v>36</v>
      </c>
      <c r="D216" s="41">
        <v>34</v>
      </c>
      <c r="E216" s="42">
        <v>11676.06</v>
      </c>
      <c r="F216" s="42">
        <v>1282.8800000000001</v>
      </c>
      <c r="G216" s="42">
        <v>123.95</v>
      </c>
      <c r="H216" s="42">
        <v>6384.11</v>
      </c>
      <c r="I216" s="42">
        <v>0</v>
      </c>
      <c r="J216" s="42">
        <v>1622.25</v>
      </c>
      <c r="K216" s="43">
        <v>19467</v>
      </c>
      <c r="L216" s="32">
        <v>21089.25</v>
      </c>
      <c r="M216" s="33"/>
      <c r="N216" s="30">
        <v>19467</v>
      </c>
      <c r="O216" s="30">
        <v>13082.89</v>
      </c>
      <c r="P216" s="30"/>
      <c r="Q216" s="30">
        <f>(N216+O216*0.18+J216)+(IF((P216-O216*0.18)&gt;0,(P216-O216*0.18),0))</f>
        <v>23444.1702</v>
      </c>
      <c r="R216" s="7"/>
      <c r="S216" s="7"/>
      <c r="T216" s="7"/>
      <c r="U216" s="7"/>
      <c r="V216" s="7"/>
      <c r="W216" s="7"/>
      <c r="X216" s="7"/>
      <c r="Y216" s="7"/>
      <c r="Z216" s="7"/>
    </row>
    <row r="217" spans="1:26" ht="9" customHeight="1" x14ac:dyDescent="0.2">
      <c r="A217" s="534"/>
      <c r="B217" s="534"/>
      <c r="C217" s="34" t="s">
        <v>37</v>
      </c>
      <c r="D217" s="35">
        <v>35</v>
      </c>
      <c r="E217" s="36">
        <v>22608005</v>
      </c>
      <c r="F217" s="36">
        <v>2484002</v>
      </c>
      <c r="G217" s="36">
        <v>240001</v>
      </c>
      <c r="H217" s="36">
        <v>12361361</v>
      </c>
      <c r="I217" s="36">
        <v>0</v>
      </c>
      <c r="J217" s="37">
        <v>3141114</v>
      </c>
      <c r="K217" s="36">
        <v>37693368</v>
      </c>
      <c r="L217" s="38">
        <v>40834482</v>
      </c>
      <c r="M217" s="39"/>
      <c r="N217" s="36">
        <v>37693368</v>
      </c>
      <c r="O217" s="36">
        <v>25332007</v>
      </c>
      <c r="P217" s="36">
        <v>0</v>
      </c>
      <c r="Q217" s="36">
        <f>Q216*1936.27</f>
        <v>45394243.433154002</v>
      </c>
      <c r="R217" s="7"/>
      <c r="S217" s="7"/>
      <c r="T217" s="7"/>
      <c r="U217" s="7"/>
      <c r="V217" s="7"/>
      <c r="W217" s="7"/>
      <c r="X217" s="7"/>
      <c r="Y217" s="7"/>
      <c r="Z217" s="7"/>
    </row>
    <row r="218" spans="1:26" ht="12.75" customHeight="1" x14ac:dyDescent="0.2">
      <c r="A218" s="534"/>
      <c r="B218" s="534"/>
      <c r="C218" s="40" t="s">
        <v>36</v>
      </c>
      <c r="D218" s="41">
        <v>36</v>
      </c>
      <c r="E218" s="42">
        <v>11948.75</v>
      </c>
      <c r="F218" s="42">
        <v>1313.87</v>
      </c>
      <c r="G218" s="42">
        <v>123.95</v>
      </c>
      <c r="H218" s="42">
        <v>6384.11</v>
      </c>
      <c r="I218" s="42">
        <v>0</v>
      </c>
      <c r="J218" s="42">
        <v>1647.56</v>
      </c>
      <c r="K218" s="43">
        <v>19770.68</v>
      </c>
      <c r="L218" s="32">
        <v>21418.240000000002</v>
      </c>
      <c r="M218" s="33"/>
      <c r="N218" s="30">
        <v>19770.68</v>
      </c>
      <c r="O218" s="30">
        <v>13386.57</v>
      </c>
      <c r="P218" s="30"/>
      <c r="Q218" s="30">
        <f>(N218+O218*0.18+J218)+(IF((P218-O218*0.18)&gt;0,(P218-O218*0.18),0))</f>
        <v>23827.822600000003</v>
      </c>
      <c r="R218" s="7"/>
      <c r="S218" s="7"/>
      <c r="T218" s="7"/>
      <c r="U218" s="7"/>
      <c r="V218" s="7"/>
      <c r="W218" s="7"/>
      <c r="X218" s="7"/>
      <c r="Y218" s="7"/>
      <c r="Z218" s="7"/>
    </row>
    <row r="219" spans="1:26" ht="9" customHeight="1" x14ac:dyDescent="0.2">
      <c r="A219" s="534"/>
      <c r="B219" s="534"/>
      <c r="C219" s="34" t="s">
        <v>37</v>
      </c>
      <c r="D219" s="35">
        <v>37</v>
      </c>
      <c r="E219" s="36">
        <v>23136006</v>
      </c>
      <c r="F219" s="36">
        <v>2544007</v>
      </c>
      <c r="G219" s="36">
        <v>240001</v>
      </c>
      <c r="H219" s="36">
        <v>12361361</v>
      </c>
      <c r="I219" s="36">
        <v>0</v>
      </c>
      <c r="J219" s="37">
        <v>3190121</v>
      </c>
      <c r="K219" s="36">
        <v>38281375</v>
      </c>
      <c r="L219" s="38">
        <v>41471496</v>
      </c>
      <c r="M219" s="39"/>
      <c r="N219" s="36">
        <v>38281375</v>
      </c>
      <c r="O219" s="36">
        <v>25920014</v>
      </c>
      <c r="P219" s="36">
        <v>0</v>
      </c>
      <c r="Q219" s="36">
        <f>Q218*1936.27</f>
        <v>46137098.065702006</v>
      </c>
      <c r="R219" s="7"/>
      <c r="S219" s="7"/>
      <c r="T219" s="7"/>
      <c r="U219" s="7"/>
      <c r="V219" s="7"/>
      <c r="W219" s="7"/>
      <c r="X219" s="7"/>
      <c r="Y219" s="7"/>
      <c r="Z219" s="7"/>
    </row>
    <row r="220" spans="1:26" ht="12.75" customHeight="1" x14ac:dyDescent="0.2">
      <c r="A220" s="534"/>
      <c r="B220" s="534"/>
      <c r="C220" s="40" t="s">
        <v>36</v>
      </c>
      <c r="D220" s="41">
        <v>38</v>
      </c>
      <c r="E220" s="42">
        <v>12215.24</v>
      </c>
      <c r="F220" s="42">
        <v>1338.66</v>
      </c>
      <c r="G220" s="42">
        <v>123.95</v>
      </c>
      <c r="H220" s="42">
        <v>6384.11</v>
      </c>
      <c r="I220" s="42">
        <v>0</v>
      </c>
      <c r="J220" s="42">
        <v>1671.83</v>
      </c>
      <c r="K220" s="43">
        <v>20061.96</v>
      </c>
      <c r="L220" s="32">
        <v>21733.79</v>
      </c>
      <c r="M220" s="33"/>
      <c r="N220" s="30">
        <v>20061.96</v>
      </c>
      <c r="O220" s="30">
        <v>13677.85</v>
      </c>
      <c r="P220" s="30"/>
      <c r="Q220" s="30">
        <f>(N220+O220*0.18+J220)+(IF((P220-O220*0.18)&gt;0,(P220-O220*0.18),0))</f>
        <v>24195.803</v>
      </c>
      <c r="R220" s="7"/>
      <c r="S220" s="7"/>
      <c r="T220" s="7"/>
      <c r="U220" s="7"/>
      <c r="V220" s="7"/>
      <c r="W220" s="7"/>
      <c r="X220" s="7"/>
      <c r="Y220" s="7"/>
      <c r="Z220" s="7"/>
    </row>
    <row r="221" spans="1:26" ht="9" customHeight="1" x14ac:dyDescent="0.2">
      <c r="A221" s="534"/>
      <c r="B221" s="534"/>
      <c r="C221" s="34" t="s">
        <v>37</v>
      </c>
      <c r="D221" s="35">
        <v>39</v>
      </c>
      <c r="E221" s="36">
        <v>23652003</v>
      </c>
      <c r="F221" s="36">
        <v>2592007</v>
      </c>
      <c r="G221" s="36">
        <v>240001</v>
      </c>
      <c r="H221" s="36">
        <v>12361361</v>
      </c>
      <c r="I221" s="36">
        <v>0</v>
      </c>
      <c r="J221" s="37">
        <v>3237114</v>
      </c>
      <c r="K221" s="36">
        <v>38845371</v>
      </c>
      <c r="L221" s="38">
        <v>42082486</v>
      </c>
      <c r="M221" s="39"/>
      <c r="N221" s="36">
        <v>38845371</v>
      </c>
      <c r="O221" s="36">
        <v>26484011</v>
      </c>
      <c r="P221" s="36">
        <v>0</v>
      </c>
      <c r="Q221" s="36">
        <f>Q220*1936.27</f>
        <v>46849607.474809997</v>
      </c>
      <c r="R221" s="7"/>
      <c r="S221" s="7"/>
      <c r="T221" s="7"/>
      <c r="U221" s="7"/>
      <c r="V221" s="7"/>
      <c r="W221" s="7"/>
      <c r="X221" s="7"/>
      <c r="Y221" s="7"/>
      <c r="Z221" s="7"/>
    </row>
    <row r="222" spans="1:26" ht="12.75" customHeight="1" x14ac:dyDescent="0.2">
      <c r="A222" s="534"/>
      <c r="B222" s="534"/>
      <c r="C222" s="40" t="s">
        <v>36</v>
      </c>
      <c r="D222" s="41">
        <v>40</v>
      </c>
      <c r="E222" s="42">
        <v>12487.93</v>
      </c>
      <c r="F222" s="42">
        <v>1369.64</v>
      </c>
      <c r="G222" s="42">
        <v>123.95</v>
      </c>
      <c r="H222" s="42">
        <v>6384.11</v>
      </c>
      <c r="I222" s="42">
        <v>0</v>
      </c>
      <c r="J222" s="42">
        <v>1697.14</v>
      </c>
      <c r="K222" s="43">
        <v>20365.63</v>
      </c>
      <c r="L222" s="32">
        <v>22062.77</v>
      </c>
      <c r="M222" s="33"/>
      <c r="N222" s="30">
        <v>20365.63</v>
      </c>
      <c r="O222" s="30">
        <v>13981.52</v>
      </c>
      <c r="P222" s="30"/>
      <c r="Q222" s="30">
        <f>(N222+O222*0.18+J222)+(IF((P222-O222*0.18)&gt;0,(P222-O222*0.18),0))</f>
        <v>24579.443599999999</v>
      </c>
      <c r="R222" s="7"/>
      <c r="S222" s="7"/>
      <c r="T222" s="7"/>
      <c r="U222" s="7"/>
      <c r="V222" s="7"/>
      <c r="W222" s="7"/>
      <c r="X222" s="7"/>
      <c r="Y222" s="7"/>
      <c r="Z222" s="7"/>
    </row>
    <row r="223" spans="1:26" ht="12.75" customHeight="1" x14ac:dyDescent="0.2">
      <c r="A223" s="534"/>
      <c r="B223" s="534"/>
      <c r="C223" s="115"/>
      <c r="D223" s="45"/>
      <c r="E223" s="116"/>
      <c r="F223" s="116"/>
      <c r="G223" s="116"/>
      <c r="H223" s="116"/>
      <c r="I223" s="116"/>
      <c r="J223" s="117"/>
      <c r="K223" s="118"/>
      <c r="L223" s="119"/>
      <c r="M223" s="33"/>
      <c r="N223" s="116"/>
      <c r="O223" s="116"/>
      <c r="P223" s="116"/>
      <c r="Q223" s="116"/>
      <c r="R223" s="7"/>
      <c r="S223" s="7"/>
      <c r="T223" s="7"/>
      <c r="U223" s="7"/>
      <c r="V223" s="7"/>
      <c r="W223" s="7"/>
      <c r="X223" s="7"/>
      <c r="Y223" s="7"/>
      <c r="Z223" s="7"/>
    </row>
    <row r="224" spans="1:26" ht="12.75" customHeight="1" x14ac:dyDescent="0.2">
      <c r="A224" s="534"/>
      <c r="B224" s="534"/>
      <c r="C224" s="115"/>
      <c r="D224" s="45"/>
      <c r="E224" s="116"/>
      <c r="F224" s="116"/>
      <c r="G224" s="116"/>
      <c r="H224" s="116"/>
      <c r="I224" s="116"/>
      <c r="J224" s="117"/>
      <c r="K224" s="118"/>
      <c r="L224" s="119"/>
      <c r="M224" s="33"/>
      <c r="N224" s="116"/>
      <c r="O224" s="116"/>
      <c r="P224" s="116"/>
      <c r="Q224" s="116"/>
      <c r="R224" s="7"/>
      <c r="S224" s="7"/>
      <c r="T224" s="7"/>
      <c r="U224" s="7"/>
      <c r="V224" s="7"/>
      <c r="W224" s="7"/>
      <c r="X224" s="7"/>
      <c r="Y224" s="7"/>
      <c r="Z224" s="7"/>
    </row>
    <row r="225" spans="1:26" ht="9" customHeight="1" x14ac:dyDescent="0.2">
      <c r="A225" s="535"/>
      <c r="B225" s="535"/>
      <c r="C225" s="47"/>
      <c r="D225" s="48"/>
      <c r="E225" s="46">
        <v>24180004</v>
      </c>
      <c r="F225" s="46">
        <v>2651993</v>
      </c>
      <c r="G225" s="46">
        <v>240001</v>
      </c>
      <c r="H225" s="46">
        <v>12361361</v>
      </c>
      <c r="I225" s="46">
        <v>0</v>
      </c>
      <c r="J225" s="49">
        <v>3286121</v>
      </c>
      <c r="K225" s="46">
        <v>39433358</v>
      </c>
      <c r="L225" s="38">
        <v>42719480</v>
      </c>
      <c r="M225" s="39"/>
      <c r="N225" s="36">
        <v>39433358</v>
      </c>
      <c r="O225" s="36">
        <v>27071998</v>
      </c>
      <c r="P225" s="36">
        <v>0</v>
      </c>
      <c r="Q225" s="36">
        <f>Q222*1936.27</f>
        <v>47592439.259371996</v>
      </c>
      <c r="R225" s="7"/>
      <c r="S225" s="7"/>
      <c r="T225" s="7"/>
      <c r="U225" s="7"/>
      <c r="V225" s="7"/>
      <c r="W225" s="7"/>
      <c r="X225" s="7"/>
      <c r="Y225" s="7"/>
      <c r="Z225" s="7"/>
    </row>
    <row r="226" spans="1:26" ht="12.75" customHeight="1" x14ac:dyDescent="0.2">
      <c r="A226" s="538">
        <v>34425</v>
      </c>
      <c r="B226" s="538">
        <v>34515</v>
      </c>
      <c r="C226" s="28" t="s">
        <v>36</v>
      </c>
      <c r="D226" s="29">
        <v>0</v>
      </c>
      <c r="E226" s="30">
        <v>5751.26</v>
      </c>
      <c r="F226" s="30">
        <v>632.14</v>
      </c>
      <c r="G226" s="30">
        <v>123.95</v>
      </c>
      <c r="H226" s="30">
        <v>6384.11</v>
      </c>
      <c r="I226" s="30">
        <v>127.42</v>
      </c>
      <c r="J226" s="30">
        <v>1074.29</v>
      </c>
      <c r="K226" s="31">
        <v>13018.88</v>
      </c>
      <c r="L226" s="32">
        <v>14093.17</v>
      </c>
      <c r="M226" s="33"/>
      <c r="N226" s="30">
        <v>13018.88</v>
      </c>
      <c r="O226" s="30">
        <v>6634.77</v>
      </c>
      <c r="P226" s="30"/>
      <c r="Q226" s="30">
        <f>(N226+O226*0.18+J226)+(IF((P226-O226*0.18)&gt;0,(P226-O226*0.18),0))</f>
        <v>15287.428599999999</v>
      </c>
      <c r="R226" s="7"/>
      <c r="S226" s="7"/>
      <c r="T226" s="7"/>
      <c r="U226" s="7"/>
      <c r="V226" s="7"/>
      <c r="W226" s="7"/>
      <c r="X226" s="7"/>
      <c r="Y226" s="7"/>
      <c r="Z226" s="7"/>
    </row>
    <row r="227" spans="1:26" ht="9" customHeight="1" x14ac:dyDescent="0.2">
      <c r="A227" s="534"/>
      <c r="B227" s="534"/>
      <c r="C227" s="34" t="s">
        <v>37</v>
      </c>
      <c r="D227" s="35">
        <v>2</v>
      </c>
      <c r="E227" s="36">
        <v>11135992</v>
      </c>
      <c r="F227" s="36">
        <v>1223994</v>
      </c>
      <c r="G227" s="36">
        <v>240001</v>
      </c>
      <c r="H227" s="36">
        <v>12361361</v>
      </c>
      <c r="I227" s="36">
        <v>246720</v>
      </c>
      <c r="J227" s="37">
        <v>2080115</v>
      </c>
      <c r="K227" s="36">
        <v>25208067</v>
      </c>
      <c r="L227" s="38">
        <v>27288182</v>
      </c>
      <c r="M227" s="39"/>
      <c r="N227" s="36">
        <v>25208067</v>
      </c>
      <c r="O227" s="36">
        <v>12846706</v>
      </c>
      <c r="P227" s="36">
        <v>0</v>
      </c>
      <c r="Q227" s="36">
        <f>Q226*1936.27</f>
        <v>29600589.375321999</v>
      </c>
      <c r="R227" s="7"/>
      <c r="S227" s="7"/>
      <c r="T227" s="7"/>
      <c r="U227" s="7"/>
      <c r="V227" s="7"/>
      <c r="W227" s="7"/>
      <c r="X227" s="7"/>
      <c r="Y227" s="7"/>
      <c r="Z227" s="7"/>
    </row>
    <row r="228" spans="1:26" ht="12.75" customHeight="1" x14ac:dyDescent="0.2">
      <c r="A228" s="540">
        <v>34425</v>
      </c>
      <c r="B228" s="540">
        <v>34515</v>
      </c>
      <c r="C228" s="40" t="s">
        <v>36</v>
      </c>
      <c r="D228" s="41">
        <v>3</v>
      </c>
      <c r="E228" s="42">
        <v>6061.14</v>
      </c>
      <c r="F228" s="42">
        <v>663.13</v>
      </c>
      <c r="G228" s="42">
        <v>123.95</v>
      </c>
      <c r="H228" s="42">
        <v>6384.11</v>
      </c>
      <c r="I228" s="42">
        <v>127.42</v>
      </c>
      <c r="J228" s="42">
        <v>1102.69</v>
      </c>
      <c r="K228" s="43">
        <v>13359.75</v>
      </c>
      <c r="L228" s="32">
        <v>14462.44</v>
      </c>
      <c r="M228" s="33"/>
      <c r="N228" s="30">
        <v>13359.75</v>
      </c>
      <c r="O228" s="30">
        <v>6975.64</v>
      </c>
      <c r="P228" s="30"/>
      <c r="Q228" s="30">
        <f>(N228+O228*0.18+J228)+(IF((P228-O228*0.18)&gt;0,(P228-O228*0.18),0))</f>
        <v>15718.055200000001</v>
      </c>
      <c r="R228" s="7"/>
      <c r="S228" s="7"/>
      <c r="T228" s="7"/>
      <c r="U228" s="7"/>
      <c r="V228" s="7"/>
      <c r="W228" s="7"/>
      <c r="X228" s="7"/>
      <c r="Y228" s="7"/>
      <c r="Z228" s="7"/>
    </row>
    <row r="229" spans="1:26" ht="9" customHeight="1" x14ac:dyDescent="0.2">
      <c r="A229" s="534"/>
      <c r="B229" s="534"/>
      <c r="C229" s="34" t="s">
        <v>37</v>
      </c>
      <c r="D229" s="35">
        <v>4</v>
      </c>
      <c r="E229" s="36">
        <v>11736004</v>
      </c>
      <c r="F229" s="36">
        <v>1283999</v>
      </c>
      <c r="G229" s="36">
        <v>240001</v>
      </c>
      <c r="H229" s="36">
        <v>12361361</v>
      </c>
      <c r="I229" s="36">
        <v>246720</v>
      </c>
      <c r="J229" s="37">
        <v>2135106</v>
      </c>
      <c r="K229" s="36">
        <v>25868083</v>
      </c>
      <c r="L229" s="38">
        <v>28003189</v>
      </c>
      <c r="M229" s="39"/>
      <c r="N229" s="36">
        <v>25868083</v>
      </c>
      <c r="O229" s="36">
        <v>13506722</v>
      </c>
      <c r="P229" s="36">
        <v>0</v>
      </c>
      <c r="Q229" s="36">
        <f>Q228*1936.27</f>
        <v>30434398.742104001</v>
      </c>
      <c r="R229" s="7"/>
      <c r="S229" s="7"/>
      <c r="T229" s="7"/>
      <c r="U229" s="7"/>
      <c r="V229" s="7"/>
      <c r="W229" s="7"/>
      <c r="X229" s="7"/>
      <c r="Y229" s="7"/>
      <c r="Z229" s="7"/>
    </row>
    <row r="230" spans="1:26" ht="12.75" customHeight="1" x14ac:dyDescent="0.2">
      <c r="A230" s="534"/>
      <c r="B230" s="534"/>
      <c r="C230" s="40" t="s">
        <v>36</v>
      </c>
      <c r="D230" s="41">
        <v>5</v>
      </c>
      <c r="E230" s="42">
        <v>6371.01</v>
      </c>
      <c r="F230" s="42">
        <v>700.32</v>
      </c>
      <c r="G230" s="42">
        <v>123.95</v>
      </c>
      <c r="H230" s="42">
        <v>6384.11</v>
      </c>
      <c r="I230" s="42">
        <v>127.42</v>
      </c>
      <c r="J230" s="42">
        <v>1131.6199999999999</v>
      </c>
      <c r="K230" s="43">
        <v>13706.81</v>
      </c>
      <c r="L230" s="32">
        <v>14838.43</v>
      </c>
      <c r="M230" s="33"/>
      <c r="N230" s="30">
        <v>13706.81</v>
      </c>
      <c r="O230" s="30">
        <v>7322.7</v>
      </c>
      <c r="P230" s="30"/>
      <c r="Q230" s="30">
        <f>(N230+O230*0.18+J230)+(IF((P230-O230*0.18)&gt;0,(P230-O230*0.18),0))</f>
        <v>16156.516</v>
      </c>
      <c r="R230" s="7"/>
      <c r="S230" s="7"/>
      <c r="T230" s="7"/>
      <c r="U230" s="7"/>
      <c r="V230" s="7"/>
      <c r="W230" s="7"/>
      <c r="X230" s="7"/>
      <c r="Y230" s="7"/>
      <c r="Z230" s="7"/>
    </row>
    <row r="231" spans="1:26" ht="9" customHeight="1" x14ac:dyDescent="0.2">
      <c r="A231" s="534"/>
      <c r="B231" s="534"/>
      <c r="C231" s="34" t="s">
        <v>37</v>
      </c>
      <c r="D231" s="35">
        <v>6</v>
      </c>
      <c r="E231" s="36">
        <v>12335996</v>
      </c>
      <c r="F231" s="36">
        <v>1356009</v>
      </c>
      <c r="G231" s="36">
        <v>240001</v>
      </c>
      <c r="H231" s="36">
        <v>12361361</v>
      </c>
      <c r="I231" s="36">
        <v>246720</v>
      </c>
      <c r="J231" s="37">
        <v>2191122</v>
      </c>
      <c r="K231" s="36">
        <v>26540085</v>
      </c>
      <c r="L231" s="38">
        <v>28731207</v>
      </c>
      <c r="M231" s="39"/>
      <c r="N231" s="36">
        <v>26540085</v>
      </c>
      <c r="O231" s="36">
        <v>14178724</v>
      </c>
      <c r="P231" s="36">
        <v>0</v>
      </c>
      <c r="Q231" s="36">
        <f>Q230*1936.27</f>
        <v>31283377.235319998</v>
      </c>
      <c r="R231" s="7"/>
      <c r="S231" s="7"/>
      <c r="T231" s="7"/>
      <c r="U231" s="7"/>
      <c r="V231" s="7"/>
      <c r="W231" s="7"/>
      <c r="X231" s="7"/>
      <c r="Y231" s="7"/>
      <c r="Z231" s="7"/>
    </row>
    <row r="232" spans="1:26" ht="12.75" customHeight="1" x14ac:dyDescent="0.2">
      <c r="A232" s="534"/>
      <c r="B232" s="534"/>
      <c r="C232" s="40" t="s">
        <v>36</v>
      </c>
      <c r="D232" s="41">
        <v>7</v>
      </c>
      <c r="E232" s="42">
        <v>6674.69</v>
      </c>
      <c r="F232" s="42">
        <v>731.3</v>
      </c>
      <c r="G232" s="42">
        <v>123.95</v>
      </c>
      <c r="H232" s="42">
        <v>6384.11</v>
      </c>
      <c r="I232" s="42">
        <v>127.42</v>
      </c>
      <c r="J232" s="42">
        <v>1159.5</v>
      </c>
      <c r="K232" s="43">
        <v>14041.47</v>
      </c>
      <c r="L232" s="32">
        <v>15200.97</v>
      </c>
      <c r="M232" s="33"/>
      <c r="N232" s="30">
        <v>14041.47</v>
      </c>
      <c r="O232" s="30">
        <v>7657.36</v>
      </c>
      <c r="P232" s="30"/>
      <c r="Q232" s="30">
        <f>(N232+O232*0.18+J232)+(IF((P232-O232*0.18)&gt;0,(P232-O232*0.18),0))</f>
        <v>16579.2948</v>
      </c>
      <c r="R232" s="7"/>
      <c r="S232" s="7"/>
      <c r="T232" s="7"/>
      <c r="U232" s="7"/>
      <c r="V232" s="7"/>
      <c r="W232" s="7"/>
      <c r="X232" s="7"/>
      <c r="Y232" s="7"/>
      <c r="Z232" s="7"/>
    </row>
    <row r="233" spans="1:26" ht="9" customHeight="1" x14ac:dyDescent="0.2">
      <c r="A233" s="534"/>
      <c r="B233" s="534"/>
      <c r="C233" s="34" t="s">
        <v>37</v>
      </c>
      <c r="D233" s="35">
        <v>8</v>
      </c>
      <c r="E233" s="36">
        <v>12924002</v>
      </c>
      <c r="F233" s="36">
        <v>1415994</v>
      </c>
      <c r="G233" s="36">
        <v>240001</v>
      </c>
      <c r="H233" s="36">
        <v>12361361</v>
      </c>
      <c r="I233" s="36">
        <v>246720</v>
      </c>
      <c r="J233" s="37">
        <v>2245105</v>
      </c>
      <c r="K233" s="36">
        <v>27188077</v>
      </c>
      <c r="L233" s="38">
        <v>29433182</v>
      </c>
      <c r="M233" s="39"/>
      <c r="N233" s="36">
        <v>27188077</v>
      </c>
      <c r="O233" s="36">
        <v>14826716</v>
      </c>
      <c r="P233" s="36">
        <v>0</v>
      </c>
      <c r="Q233" s="36">
        <f>Q232*1936.27</f>
        <v>32101991.142395999</v>
      </c>
      <c r="R233" s="7"/>
      <c r="S233" s="7"/>
      <c r="T233" s="7"/>
      <c r="U233" s="7"/>
      <c r="V233" s="7"/>
      <c r="W233" s="7"/>
      <c r="X233" s="7"/>
      <c r="Y233" s="7"/>
      <c r="Z233" s="7"/>
    </row>
    <row r="234" spans="1:26" ht="12.75" customHeight="1" x14ac:dyDescent="0.2">
      <c r="A234" s="534"/>
      <c r="B234" s="534"/>
      <c r="C234" s="40" t="s">
        <v>36</v>
      </c>
      <c r="D234" s="41">
        <v>9</v>
      </c>
      <c r="E234" s="42">
        <v>7027.95</v>
      </c>
      <c r="F234" s="42">
        <v>768.49</v>
      </c>
      <c r="G234" s="42">
        <v>123.95</v>
      </c>
      <c r="H234" s="42">
        <v>6384.11</v>
      </c>
      <c r="I234" s="42">
        <v>127.42</v>
      </c>
      <c r="J234" s="42">
        <v>1192.04</v>
      </c>
      <c r="K234" s="43">
        <v>14431.92</v>
      </c>
      <c r="L234" s="32">
        <v>15623.96</v>
      </c>
      <c r="M234" s="33"/>
      <c r="N234" s="30">
        <v>14431.92</v>
      </c>
      <c r="O234" s="30">
        <v>8047.81</v>
      </c>
      <c r="P234" s="30"/>
      <c r="Q234" s="30">
        <f>(N234+O234*0.18+J234)+(IF((P234-O234*0.18)&gt;0,(P234-O234*0.18),0))</f>
        <v>17072.5658</v>
      </c>
      <c r="R234" s="7"/>
      <c r="S234" s="7"/>
      <c r="T234" s="7"/>
      <c r="U234" s="7"/>
      <c r="V234" s="7"/>
      <c r="W234" s="7"/>
      <c r="X234" s="7"/>
      <c r="Y234" s="7"/>
      <c r="Z234" s="7"/>
    </row>
    <row r="235" spans="1:26" ht="9" customHeight="1" x14ac:dyDescent="0.2">
      <c r="A235" s="534"/>
      <c r="B235" s="534"/>
      <c r="C235" s="34" t="s">
        <v>37</v>
      </c>
      <c r="D235" s="35">
        <v>10</v>
      </c>
      <c r="E235" s="36">
        <v>13608009</v>
      </c>
      <c r="F235" s="36">
        <v>1488004</v>
      </c>
      <c r="G235" s="36">
        <v>240001</v>
      </c>
      <c r="H235" s="36">
        <v>12361361</v>
      </c>
      <c r="I235" s="36">
        <v>246720</v>
      </c>
      <c r="J235" s="37">
        <v>2308111</v>
      </c>
      <c r="K235" s="36">
        <v>27944094</v>
      </c>
      <c r="L235" s="38">
        <v>30252205</v>
      </c>
      <c r="M235" s="39"/>
      <c r="N235" s="36">
        <v>27944094</v>
      </c>
      <c r="O235" s="36">
        <v>15582733</v>
      </c>
      <c r="P235" s="36">
        <v>0</v>
      </c>
      <c r="Q235" s="36">
        <f>Q234*1936.27</f>
        <v>33057096.981566001</v>
      </c>
      <c r="R235" s="7"/>
      <c r="S235" s="7"/>
      <c r="T235" s="7"/>
      <c r="U235" s="7"/>
      <c r="V235" s="7"/>
      <c r="W235" s="7"/>
      <c r="X235" s="7"/>
      <c r="Y235" s="7"/>
      <c r="Z235" s="7"/>
    </row>
    <row r="236" spans="1:26" ht="12.75" customHeight="1" x14ac:dyDescent="0.2">
      <c r="A236" s="534"/>
      <c r="B236" s="534"/>
      <c r="C236" s="40" t="s">
        <v>36</v>
      </c>
      <c r="D236" s="41">
        <v>11</v>
      </c>
      <c r="E236" s="42">
        <v>7387.4</v>
      </c>
      <c r="F236" s="42">
        <v>811.87</v>
      </c>
      <c r="G236" s="42">
        <v>123.95</v>
      </c>
      <c r="H236" s="42">
        <v>6384.11</v>
      </c>
      <c r="I236" s="42">
        <v>127.42</v>
      </c>
      <c r="J236" s="42">
        <v>1225.6099999999999</v>
      </c>
      <c r="K236" s="43">
        <v>14834.75</v>
      </c>
      <c r="L236" s="32">
        <v>16060.36</v>
      </c>
      <c r="M236" s="33"/>
      <c r="N236" s="30">
        <v>14834.75</v>
      </c>
      <c r="O236" s="30">
        <v>8450.64</v>
      </c>
      <c r="P236" s="30"/>
      <c r="Q236" s="30">
        <f>(N236+O236*0.18+J236)+(IF((P236-O236*0.18)&gt;0,(P236-O236*0.18),0))</f>
        <v>17581.475200000001</v>
      </c>
      <c r="R236" s="7"/>
      <c r="S236" s="7"/>
      <c r="T236" s="7"/>
      <c r="U236" s="7"/>
      <c r="V236" s="7"/>
      <c r="W236" s="7"/>
      <c r="X236" s="7"/>
      <c r="Y236" s="7"/>
      <c r="Z236" s="7"/>
    </row>
    <row r="237" spans="1:26" ht="9" customHeight="1" x14ac:dyDescent="0.2">
      <c r="A237" s="534"/>
      <c r="B237" s="534"/>
      <c r="C237" s="34" t="s">
        <v>37</v>
      </c>
      <c r="D237" s="35">
        <v>12</v>
      </c>
      <c r="E237" s="36">
        <v>14304001</v>
      </c>
      <c r="F237" s="36">
        <v>1572000</v>
      </c>
      <c r="G237" s="36">
        <v>240001</v>
      </c>
      <c r="H237" s="36">
        <v>12361361</v>
      </c>
      <c r="I237" s="36">
        <v>246720</v>
      </c>
      <c r="J237" s="37">
        <v>2373112</v>
      </c>
      <c r="K237" s="36">
        <v>28724081</v>
      </c>
      <c r="L237" s="38">
        <v>31097193</v>
      </c>
      <c r="M237" s="39"/>
      <c r="N237" s="36">
        <v>28724081</v>
      </c>
      <c r="O237" s="36">
        <v>16362721</v>
      </c>
      <c r="P237" s="36">
        <v>0</v>
      </c>
      <c r="Q237" s="36">
        <f>Q236*1936.27</f>
        <v>34042482.985504001</v>
      </c>
      <c r="R237" s="7"/>
      <c r="S237" s="7"/>
      <c r="T237" s="7"/>
      <c r="U237" s="7"/>
      <c r="V237" s="7"/>
      <c r="W237" s="7"/>
      <c r="X237" s="7"/>
      <c r="Y237" s="7"/>
      <c r="Z237" s="7"/>
    </row>
    <row r="238" spans="1:26" ht="12.75" customHeight="1" x14ac:dyDescent="0.2">
      <c r="A238" s="534"/>
      <c r="B238" s="534"/>
      <c r="C238" s="40" t="s">
        <v>36</v>
      </c>
      <c r="D238" s="41">
        <v>13</v>
      </c>
      <c r="E238" s="42">
        <v>7740.66</v>
      </c>
      <c r="F238" s="42">
        <v>849.06</v>
      </c>
      <c r="G238" s="42">
        <v>123.95</v>
      </c>
      <c r="H238" s="42">
        <v>6384.11</v>
      </c>
      <c r="I238" s="42">
        <v>127.42</v>
      </c>
      <c r="J238" s="42">
        <v>1258.1500000000001</v>
      </c>
      <c r="K238" s="43">
        <v>15225.2</v>
      </c>
      <c r="L238" s="32">
        <v>16483.349999999999</v>
      </c>
      <c r="M238" s="33"/>
      <c r="N238" s="30">
        <v>15225.2</v>
      </c>
      <c r="O238" s="30">
        <v>8841.09</v>
      </c>
      <c r="P238" s="30"/>
      <c r="Q238" s="30">
        <f>(N238+O238*0.18+J238)+(IF((P238-O238*0.18)&gt;0,(P238-O238*0.18),0))</f>
        <v>18074.746200000001</v>
      </c>
      <c r="R238" s="7"/>
      <c r="S238" s="7"/>
      <c r="T238" s="7"/>
      <c r="U238" s="7"/>
      <c r="V238" s="7"/>
      <c r="W238" s="7"/>
      <c r="X238" s="7"/>
      <c r="Y238" s="7"/>
      <c r="Z238" s="7"/>
    </row>
    <row r="239" spans="1:26" ht="9" customHeight="1" x14ac:dyDescent="0.2">
      <c r="A239" s="534"/>
      <c r="B239" s="534"/>
      <c r="C239" s="34" t="s">
        <v>37</v>
      </c>
      <c r="D239" s="35">
        <v>14</v>
      </c>
      <c r="E239" s="36">
        <v>14988008</v>
      </c>
      <c r="F239" s="36">
        <v>1644009</v>
      </c>
      <c r="G239" s="36">
        <v>240001</v>
      </c>
      <c r="H239" s="36">
        <v>12361361</v>
      </c>
      <c r="I239" s="36">
        <v>246720</v>
      </c>
      <c r="J239" s="37">
        <v>2436118</v>
      </c>
      <c r="K239" s="36">
        <v>29480098</v>
      </c>
      <c r="L239" s="38">
        <v>31916216</v>
      </c>
      <c r="M239" s="39"/>
      <c r="N239" s="36">
        <v>29480098</v>
      </c>
      <c r="O239" s="36">
        <v>17118737</v>
      </c>
      <c r="P239" s="36">
        <v>0</v>
      </c>
      <c r="Q239" s="36">
        <f>Q238*1936.27</f>
        <v>34997588.824674003</v>
      </c>
      <c r="R239" s="7"/>
      <c r="S239" s="7"/>
      <c r="T239" s="7"/>
      <c r="U239" s="7"/>
      <c r="V239" s="7"/>
      <c r="W239" s="7"/>
      <c r="X239" s="7"/>
      <c r="Y239" s="7"/>
      <c r="Z239" s="7"/>
    </row>
    <row r="240" spans="1:26" ht="12.75" customHeight="1" x14ac:dyDescent="0.2">
      <c r="A240" s="534"/>
      <c r="B240" s="534"/>
      <c r="C240" s="40" t="s">
        <v>36</v>
      </c>
      <c r="D240" s="41">
        <v>15</v>
      </c>
      <c r="E240" s="42">
        <v>8155.89</v>
      </c>
      <c r="F240" s="42">
        <v>892.44</v>
      </c>
      <c r="G240" s="42">
        <v>123.95</v>
      </c>
      <c r="H240" s="42">
        <v>6384.11</v>
      </c>
      <c r="I240" s="42">
        <v>127.42</v>
      </c>
      <c r="J240" s="42">
        <v>1296.3699999999999</v>
      </c>
      <c r="K240" s="43">
        <v>15683.81</v>
      </c>
      <c r="L240" s="32">
        <v>16980.18</v>
      </c>
      <c r="M240" s="33"/>
      <c r="N240" s="30">
        <v>15683.81</v>
      </c>
      <c r="O240" s="30">
        <v>9299.7000000000007</v>
      </c>
      <c r="P240" s="30"/>
      <c r="Q240" s="30">
        <f>(N240+O240*0.18+J240)+(IF((P240-O240*0.18)&gt;0,(P240-O240*0.18),0))</f>
        <v>18654.126</v>
      </c>
      <c r="R240" s="7"/>
      <c r="S240" s="7"/>
      <c r="T240" s="7"/>
      <c r="U240" s="7"/>
      <c r="V240" s="7"/>
      <c r="W240" s="7"/>
      <c r="X240" s="7"/>
      <c r="Y240" s="7"/>
      <c r="Z240" s="7"/>
    </row>
    <row r="241" spans="1:26" ht="9" customHeight="1" x14ac:dyDescent="0.2">
      <c r="A241" s="534"/>
      <c r="B241" s="534"/>
      <c r="C241" s="34" t="s">
        <v>37</v>
      </c>
      <c r="D241" s="35">
        <v>16</v>
      </c>
      <c r="E241" s="36">
        <v>15792005</v>
      </c>
      <c r="F241" s="36">
        <v>1728005</v>
      </c>
      <c r="G241" s="36">
        <v>240001</v>
      </c>
      <c r="H241" s="36">
        <v>12361361</v>
      </c>
      <c r="I241" s="36">
        <v>246720</v>
      </c>
      <c r="J241" s="37">
        <v>2510122</v>
      </c>
      <c r="K241" s="36">
        <v>30368091</v>
      </c>
      <c r="L241" s="38">
        <v>32878213</v>
      </c>
      <c r="M241" s="39"/>
      <c r="N241" s="36">
        <v>30368091</v>
      </c>
      <c r="O241" s="36">
        <v>18006730</v>
      </c>
      <c r="P241" s="36">
        <v>0</v>
      </c>
      <c r="Q241" s="36">
        <f>Q240*1936.27</f>
        <v>36119424.550020002</v>
      </c>
      <c r="R241" s="7"/>
      <c r="S241" s="7"/>
      <c r="T241" s="7"/>
      <c r="U241" s="7"/>
      <c r="V241" s="7"/>
      <c r="W241" s="7"/>
      <c r="X241" s="7"/>
      <c r="Y241" s="7"/>
      <c r="Z241" s="7"/>
    </row>
    <row r="242" spans="1:26" ht="12.75" customHeight="1" x14ac:dyDescent="0.2">
      <c r="A242" s="534"/>
      <c r="B242" s="534"/>
      <c r="C242" s="40" t="s">
        <v>36</v>
      </c>
      <c r="D242" s="41">
        <v>17</v>
      </c>
      <c r="E242" s="42">
        <v>8571.1200000000008</v>
      </c>
      <c r="F242" s="42">
        <v>942.02</v>
      </c>
      <c r="G242" s="42">
        <v>123.95</v>
      </c>
      <c r="H242" s="42">
        <v>6384.11</v>
      </c>
      <c r="I242" s="42">
        <v>127.42</v>
      </c>
      <c r="J242" s="42">
        <v>1335.1</v>
      </c>
      <c r="K242" s="43">
        <v>16148.62</v>
      </c>
      <c r="L242" s="32">
        <v>17483.72</v>
      </c>
      <c r="M242" s="33"/>
      <c r="N242" s="30">
        <v>16148.62</v>
      </c>
      <c r="O242" s="30">
        <v>9764.51</v>
      </c>
      <c r="P242" s="30"/>
      <c r="Q242" s="30">
        <f>(N242+O242*0.18+J242)+(IF((P242-O242*0.18)&gt;0,(P242-O242*0.18),0))</f>
        <v>19241.3318</v>
      </c>
      <c r="R242" s="7"/>
      <c r="S242" s="7"/>
      <c r="T242" s="7"/>
      <c r="U242" s="7"/>
      <c r="V242" s="7"/>
      <c r="W242" s="7"/>
      <c r="X242" s="7"/>
      <c r="Y242" s="7"/>
      <c r="Z242" s="7"/>
    </row>
    <row r="243" spans="1:26" ht="9" customHeight="1" x14ac:dyDescent="0.2">
      <c r="A243" s="534"/>
      <c r="B243" s="534"/>
      <c r="C243" s="34" t="s">
        <v>37</v>
      </c>
      <c r="D243" s="35">
        <v>18</v>
      </c>
      <c r="E243" s="36">
        <v>16596003</v>
      </c>
      <c r="F243" s="36">
        <v>1824005</v>
      </c>
      <c r="G243" s="36">
        <v>240001</v>
      </c>
      <c r="H243" s="36">
        <v>12361361</v>
      </c>
      <c r="I243" s="36">
        <v>246720</v>
      </c>
      <c r="J243" s="37">
        <v>2585114</v>
      </c>
      <c r="K243" s="36">
        <v>31268088</v>
      </c>
      <c r="L243" s="38">
        <v>33853203</v>
      </c>
      <c r="M243" s="39"/>
      <c r="N243" s="36">
        <v>31268088</v>
      </c>
      <c r="O243" s="36">
        <v>18906728</v>
      </c>
      <c r="P243" s="36">
        <v>0</v>
      </c>
      <c r="Q243" s="36">
        <f>Q242*1936.27</f>
        <v>37256413.524385996</v>
      </c>
      <c r="R243" s="7"/>
      <c r="S243" s="7"/>
      <c r="T243" s="7"/>
      <c r="U243" s="7"/>
      <c r="V243" s="7"/>
      <c r="W243" s="7"/>
      <c r="X243" s="7"/>
      <c r="Y243" s="7"/>
      <c r="Z243" s="7"/>
    </row>
    <row r="244" spans="1:26" ht="12.75" customHeight="1" x14ac:dyDescent="0.2">
      <c r="A244" s="534"/>
      <c r="B244" s="534"/>
      <c r="C244" s="40" t="s">
        <v>36</v>
      </c>
      <c r="D244" s="41">
        <v>19</v>
      </c>
      <c r="E244" s="42">
        <v>8980.15</v>
      </c>
      <c r="F244" s="42">
        <v>985.4</v>
      </c>
      <c r="G244" s="42">
        <v>123.95</v>
      </c>
      <c r="H244" s="42">
        <v>6384.11</v>
      </c>
      <c r="I244" s="42">
        <v>127.42</v>
      </c>
      <c r="J244" s="42">
        <v>1372.8</v>
      </c>
      <c r="K244" s="43">
        <v>16601.03</v>
      </c>
      <c r="L244" s="32">
        <v>17973.830000000002</v>
      </c>
      <c r="M244" s="33"/>
      <c r="N244" s="30">
        <v>16601.03</v>
      </c>
      <c r="O244" s="30">
        <v>10216.92</v>
      </c>
      <c r="P244" s="30"/>
      <c r="Q244" s="30">
        <f>(N244+O244*0.18+J244)+(IF((P244-O244*0.18)&gt;0,(P244-O244*0.18),0))</f>
        <v>19812.875599999999</v>
      </c>
      <c r="R244" s="7"/>
      <c r="S244" s="7"/>
      <c r="T244" s="7"/>
      <c r="U244" s="7"/>
      <c r="V244" s="7"/>
      <c r="W244" s="7"/>
      <c r="X244" s="7"/>
      <c r="Y244" s="7"/>
      <c r="Z244" s="7"/>
    </row>
    <row r="245" spans="1:26" ht="9" customHeight="1" x14ac:dyDescent="0.2">
      <c r="A245" s="534"/>
      <c r="B245" s="534"/>
      <c r="C245" s="34" t="s">
        <v>37</v>
      </c>
      <c r="D245" s="35">
        <v>19</v>
      </c>
      <c r="E245" s="36">
        <v>17387995</v>
      </c>
      <c r="F245" s="36">
        <v>1908000</v>
      </c>
      <c r="G245" s="36">
        <v>240001</v>
      </c>
      <c r="H245" s="36">
        <v>12361361</v>
      </c>
      <c r="I245" s="36">
        <v>246720</v>
      </c>
      <c r="J245" s="37">
        <v>2658111</v>
      </c>
      <c r="K245" s="36">
        <v>32144076</v>
      </c>
      <c r="L245" s="38">
        <v>34802188</v>
      </c>
      <c r="M245" s="39"/>
      <c r="N245" s="36">
        <v>32144076</v>
      </c>
      <c r="O245" s="36">
        <v>19782716</v>
      </c>
      <c r="P245" s="36">
        <v>0</v>
      </c>
      <c r="Q245" s="36">
        <f>Q244*1936.27</f>
        <v>38363076.638011999</v>
      </c>
      <c r="R245" s="7"/>
      <c r="S245" s="7"/>
      <c r="T245" s="7"/>
      <c r="U245" s="7"/>
      <c r="V245" s="7"/>
      <c r="W245" s="7"/>
      <c r="X245" s="7"/>
      <c r="Y245" s="7"/>
      <c r="Z245" s="7"/>
    </row>
    <row r="246" spans="1:26" ht="12.75" customHeight="1" x14ac:dyDescent="0.2">
      <c r="A246" s="534"/>
      <c r="B246" s="534"/>
      <c r="C246" s="40" t="s">
        <v>36</v>
      </c>
      <c r="D246" s="41">
        <v>20</v>
      </c>
      <c r="E246" s="42">
        <v>9792.02</v>
      </c>
      <c r="F246" s="42">
        <v>1072.1600000000001</v>
      </c>
      <c r="G246" s="42">
        <v>123.95</v>
      </c>
      <c r="H246" s="42">
        <v>6384.11</v>
      </c>
      <c r="I246" s="42">
        <v>127.42</v>
      </c>
      <c r="J246" s="42">
        <v>1447.69</v>
      </c>
      <c r="K246" s="43">
        <v>17499.66</v>
      </c>
      <c r="L246" s="32">
        <v>18947.349999999999</v>
      </c>
      <c r="M246" s="33"/>
      <c r="N246" s="30">
        <v>17499.66</v>
      </c>
      <c r="O246" s="30">
        <v>11115.55</v>
      </c>
      <c r="P246" s="30"/>
      <c r="Q246" s="30">
        <f>(N246+O246*0.18+J246)+(IF((P246-O246*0.18)&gt;0,(P246-O246*0.18),0))</f>
        <v>20948.148999999998</v>
      </c>
      <c r="R246" s="7"/>
      <c r="S246" s="7"/>
      <c r="T246" s="7"/>
      <c r="U246" s="7"/>
      <c r="V246" s="7"/>
      <c r="W246" s="7"/>
      <c r="X246" s="7"/>
      <c r="Y246" s="7"/>
      <c r="Z246" s="7"/>
    </row>
    <row r="247" spans="1:26" ht="9" customHeight="1" x14ac:dyDescent="0.2">
      <c r="A247" s="534"/>
      <c r="B247" s="534"/>
      <c r="C247" s="34" t="s">
        <v>37</v>
      </c>
      <c r="D247" s="35">
        <v>21</v>
      </c>
      <c r="E247" s="36">
        <v>18959995</v>
      </c>
      <c r="F247" s="36">
        <v>2075991</v>
      </c>
      <c r="G247" s="36">
        <v>240001</v>
      </c>
      <c r="H247" s="36">
        <v>12361361</v>
      </c>
      <c r="I247" s="36">
        <v>246720</v>
      </c>
      <c r="J247" s="37">
        <v>2803119</v>
      </c>
      <c r="K247" s="36">
        <v>33884067</v>
      </c>
      <c r="L247" s="38">
        <v>36687185</v>
      </c>
      <c r="M247" s="39"/>
      <c r="N247" s="36">
        <v>33884067</v>
      </c>
      <c r="O247" s="36">
        <v>21522706</v>
      </c>
      <c r="P247" s="36">
        <v>0</v>
      </c>
      <c r="Q247" s="36">
        <f>Q246*1936.27</f>
        <v>40561272.464229994</v>
      </c>
      <c r="R247" s="7"/>
      <c r="S247" s="7"/>
      <c r="T247" s="7"/>
      <c r="U247" s="7"/>
      <c r="V247" s="7"/>
      <c r="W247" s="7"/>
      <c r="X247" s="7"/>
      <c r="Y247" s="7"/>
      <c r="Z247" s="7"/>
    </row>
    <row r="248" spans="1:26" ht="12.75" customHeight="1" x14ac:dyDescent="0.2">
      <c r="A248" s="534"/>
      <c r="B248" s="534"/>
      <c r="C248" s="40" t="s">
        <v>36</v>
      </c>
      <c r="D248" s="41">
        <v>22</v>
      </c>
      <c r="E248" s="42">
        <v>10058.51</v>
      </c>
      <c r="F248" s="42">
        <v>1103.1500000000001</v>
      </c>
      <c r="G248" s="42">
        <v>123.95</v>
      </c>
      <c r="H248" s="42">
        <v>6384.11</v>
      </c>
      <c r="I248" s="42">
        <v>127.42</v>
      </c>
      <c r="J248" s="42">
        <v>1472.48</v>
      </c>
      <c r="K248" s="43">
        <v>17797.14</v>
      </c>
      <c r="L248" s="32">
        <v>19269.62</v>
      </c>
      <c r="M248" s="33"/>
      <c r="N248" s="30">
        <v>17797.14</v>
      </c>
      <c r="O248" s="30">
        <v>11413.03</v>
      </c>
      <c r="P248" s="30"/>
      <c r="Q248" s="30">
        <f>(N248+O248*0.18+J248)+(IF((P248-O248*0.18)&gt;0,(P248-O248*0.18),0))</f>
        <v>21323.965399999997</v>
      </c>
      <c r="R248" s="7"/>
      <c r="S248" s="7"/>
      <c r="T248" s="7"/>
      <c r="U248" s="7"/>
      <c r="V248" s="7"/>
      <c r="W248" s="7"/>
      <c r="X248" s="7"/>
      <c r="Y248" s="7"/>
      <c r="Z248" s="7"/>
    </row>
    <row r="249" spans="1:26" ht="9" customHeight="1" x14ac:dyDescent="0.2">
      <c r="A249" s="534"/>
      <c r="B249" s="534"/>
      <c r="C249" s="34" t="s">
        <v>37</v>
      </c>
      <c r="D249" s="35">
        <v>23</v>
      </c>
      <c r="E249" s="36">
        <v>19475991</v>
      </c>
      <c r="F249" s="36">
        <v>2135996</v>
      </c>
      <c r="G249" s="36">
        <v>240001</v>
      </c>
      <c r="H249" s="36">
        <v>12361361</v>
      </c>
      <c r="I249" s="36">
        <v>246720</v>
      </c>
      <c r="J249" s="37">
        <v>2851119</v>
      </c>
      <c r="K249" s="36">
        <v>34460068</v>
      </c>
      <c r="L249" s="38">
        <v>37311187</v>
      </c>
      <c r="M249" s="39"/>
      <c r="N249" s="36">
        <v>34460068</v>
      </c>
      <c r="O249" s="36">
        <v>22098708</v>
      </c>
      <c r="P249" s="36">
        <v>0</v>
      </c>
      <c r="Q249" s="36">
        <f>Q248*1936.27</f>
        <v>41288954.485057995</v>
      </c>
      <c r="R249" s="7"/>
      <c r="S249" s="7"/>
      <c r="T249" s="7"/>
      <c r="U249" s="7"/>
      <c r="V249" s="7"/>
      <c r="W249" s="7"/>
      <c r="X249" s="7"/>
      <c r="Y249" s="7"/>
      <c r="Z249" s="7"/>
    </row>
    <row r="250" spans="1:26" ht="12.75" customHeight="1" x14ac:dyDescent="0.2">
      <c r="A250" s="534"/>
      <c r="B250" s="534"/>
      <c r="C250" s="40" t="s">
        <v>36</v>
      </c>
      <c r="D250" s="41">
        <v>24</v>
      </c>
      <c r="E250" s="42">
        <v>10331.200000000001</v>
      </c>
      <c r="F250" s="42">
        <v>1134.1400000000001</v>
      </c>
      <c r="G250" s="42">
        <v>123.95</v>
      </c>
      <c r="H250" s="42">
        <v>6384.11</v>
      </c>
      <c r="I250" s="42">
        <v>127.42</v>
      </c>
      <c r="J250" s="42">
        <v>1497.78</v>
      </c>
      <c r="K250" s="43">
        <v>18100.82</v>
      </c>
      <c r="L250" s="32">
        <v>19598.599999999999</v>
      </c>
      <c r="M250" s="33"/>
      <c r="N250" s="30">
        <v>18100.82</v>
      </c>
      <c r="O250" s="30">
        <v>11716.71</v>
      </c>
      <c r="P250" s="30"/>
      <c r="Q250" s="30">
        <f>(N250+O250*0.18+J250)+(IF((P250-O250*0.18)&gt;0,(P250-O250*0.18),0))</f>
        <v>21707.607799999998</v>
      </c>
      <c r="R250" s="7"/>
      <c r="S250" s="7"/>
      <c r="T250" s="7"/>
      <c r="U250" s="7"/>
      <c r="V250" s="7"/>
      <c r="W250" s="7"/>
      <c r="X250" s="7"/>
      <c r="Y250" s="7"/>
      <c r="Z250" s="7"/>
    </row>
    <row r="251" spans="1:26" ht="9" customHeight="1" x14ac:dyDescent="0.2">
      <c r="A251" s="534"/>
      <c r="B251" s="534"/>
      <c r="C251" s="34" t="s">
        <v>37</v>
      </c>
      <c r="D251" s="35">
        <v>25</v>
      </c>
      <c r="E251" s="36">
        <v>20003993</v>
      </c>
      <c r="F251" s="36">
        <v>2196001</v>
      </c>
      <c r="G251" s="36">
        <v>240001</v>
      </c>
      <c r="H251" s="36">
        <v>12361361</v>
      </c>
      <c r="I251" s="36">
        <v>246720</v>
      </c>
      <c r="J251" s="37">
        <v>2900106</v>
      </c>
      <c r="K251" s="36">
        <v>35048075</v>
      </c>
      <c r="L251" s="38">
        <v>37948181</v>
      </c>
      <c r="M251" s="39"/>
      <c r="N251" s="36">
        <v>35048075</v>
      </c>
      <c r="O251" s="36">
        <v>22686714</v>
      </c>
      <c r="P251" s="36">
        <v>0</v>
      </c>
      <c r="Q251" s="36">
        <f>Q250*1936.27</f>
        <v>42031789.754905999</v>
      </c>
      <c r="R251" s="7"/>
      <c r="S251" s="7"/>
      <c r="T251" s="7"/>
      <c r="U251" s="7"/>
      <c r="V251" s="7"/>
      <c r="W251" s="7"/>
      <c r="X251" s="7"/>
      <c r="Y251" s="7"/>
      <c r="Z251" s="7"/>
    </row>
    <row r="252" spans="1:26" ht="12.75" customHeight="1" x14ac:dyDescent="0.2">
      <c r="A252" s="534"/>
      <c r="B252" s="534"/>
      <c r="C252" s="40" t="s">
        <v>36</v>
      </c>
      <c r="D252" s="41">
        <v>26</v>
      </c>
      <c r="E252" s="42">
        <v>10603.89</v>
      </c>
      <c r="F252" s="42">
        <v>1165.1300000000001</v>
      </c>
      <c r="G252" s="42">
        <v>123.95</v>
      </c>
      <c r="H252" s="42">
        <v>6384.11</v>
      </c>
      <c r="I252" s="42">
        <v>127.42</v>
      </c>
      <c r="J252" s="42">
        <v>1523.09</v>
      </c>
      <c r="K252" s="43">
        <v>18404.5</v>
      </c>
      <c r="L252" s="32">
        <v>19927.59</v>
      </c>
      <c r="M252" s="33"/>
      <c r="N252" s="30">
        <v>18404.5</v>
      </c>
      <c r="O252" s="30">
        <v>12020.39</v>
      </c>
      <c r="P252" s="30"/>
      <c r="Q252" s="30">
        <f>(N252+O252*0.18+J252)+(IF((P252-O252*0.18)&gt;0,(P252-O252*0.18),0))</f>
        <v>22091.260200000001</v>
      </c>
      <c r="R252" s="7"/>
      <c r="S252" s="7"/>
      <c r="T252" s="7"/>
      <c r="U252" s="7"/>
      <c r="V252" s="7"/>
      <c r="W252" s="7"/>
      <c r="X252" s="7"/>
      <c r="Y252" s="7"/>
      <c r="Z252" s="7"/>
    </row>
    <row r="253" spans="1:26" ht="9" customHeight="1" x14ac:dyDescent="0.2">
      <c r="A253" s="534"/>
      <c r="B253" s="534"/>
      <c r="C253" s="34" t="s">
        <v>37</v>
      </c>
      <c r="D253" s="35">
        <v>27</v>
      </c>
      <c r="E253" s="36">
        <v>20531994</v>
      </c>
      <c r="F253" s="36">
        <v>2256006</v>
      </c>
      <c r="G253" s="36">
        <v>240001</v>
      </c>
      <c r="H253" s="36">
        <v>12361361</v>
      </c>
      <c r="I253" s="36">
        <v>246720</v>
      </c>
      <c r="J253" s="37">
        <v>2949113</v>
      </c>
      <c r="K253" s="36">
        <v>35636081</v>
      </c>
      <c r="L253" s="38">
        <v>38585195</v>
      </c>
      <c r="M253" s="39"/>
      <c r="N253" s="36">
        <v>35636081</v>
      </c>
      <c r="O253" s="36">
        <v>23274721</v>
      </c>
      <c r="P253" s="36">
        <v>0</v>
      </c>
      <c r="Q253" s="36">
        <f>Q252*1936.27</f>
        <v>42774644.387454003</v>
      </c>
      <c r="R253" s="7"/>
      <c r="S253" s="7"/>
      <c r="T253" s="7"/>
      <c r="U253" s="7"/>
      <c r="V253" s="7"/>
      <c r="W253" s="7"/>
      <c r="X253" s="7"/>
      <c r="Y253" s="7"/>
      <c r="Z253" s="7"/>
    </row>
    <row r="254" spans="1:26" ht="12.75" customHeight="1" x14ac:dyDescent="0.2">
      <c r="A254" s="534"/>
      <c r="B254" s="534"/>
      <c r="C254" s="40" t="s">
        <v>36</v>
      </c>
      <c r="D254" s="41">
        <v>28</v>
      </c>
      <c r="E254" s="42">
        <v>10870.38</v>
      </c>
      <c r="F254" s="42">
        <v>1189.92</v>
      </c>
      <c r="G254" s="42">
        <v>123.95</v>
      </c>
      <c r="H254" s="42">
        <v>6384.11</v>
      </c>
      <c r="I254" s="42">
        <v>127.42</v>
      </c>
      <c r="J254" s="42">
        <v>1547.36</v>
      </c>
      <c r="K254" s="43">
        <v>18695.78</v>
      </c>
      <c r="L254" s="32">
        <v>20243.14</v>
      </c>
      <c r="M254" s="33"/>
      <c r="N254" s="30">
        <v>18695.78</v>
      </c>
      <c r="O254" s="30">
        <v>12311.67</v>
      </c>
      <c r="P254" s="30"/>
      <c r="Q254" s="30">
        <f>(N254+O254*0.18+J254)+(IF((P254-O254*0.18)&gt;0,(P254-O254*0.18),0))</f>
        <v>22459.240599999997</v>
      </c>
      <c r="R254" s="7"/>
      <c r="S254" s="7"/>
      <c r="T254" s="7"/>
      <c r="U254" s="7"/>
      <c r="V254" s="7"/>
      <c r="W254" s="7"/>
      <c r="X254" s="7"/>
      <c r="Y254" s="7"/>
      <c r="Z254" s="7"/>
    </row>
    <row r="255" spans="1:26" ht="9" customHeight="1" x14ac:dyDescent="0.2">
      <c r="A255" s="534"/>
      <c r="B255" s="534"/>
      <c r="C255" s="34" t="s">
        <v>37</v>
      </c>
      <c r="D255" s="35">
        <v>29</v>
      </c>
      <c r="E255" s="36">
        <v>21047991</v>
      </c>
      <c r="F255" s="36">
        <v>2304006</v>
      </c>
      <c r="G255" s="36">
        <v>240001</v>
      </c>
      <c r="H255" s="36">
        <v>12361361</v>
      </c>
      <c r="I255" s="36">
        <v>246720</v>
      </c>
      <c r="J255" s="37">
        <v>2996107</v>
      </c>
      <c r="K255" s="36">
        <v>36200078</v>
      </c>
      <c r="L255" s="38">
        <v>39196185</v>
      </c>
      <c r="M255" s="39"/>
      <c r="N255" s="36">
        <v>36200078</v>
      </c>
      <c r="O255" s="36">
        <v>23838717</v>
      </c>
      <c r="P255" s="36">
        <v>0</v>
      </c>
      <c r="Q255" s="36">
        <f>Q254*1936.27</f>
        <v>43487153.796561994</v>
      </c>
      <c r="R255" s="7"/>
      <c r="S255" s="7"/>
      <c r="T255" s="7"/>
      <c r="U255" s="7"/>
      <c r="V255" s="7"/>
      <c r="W255" s="7"/>
      <c r="X255" s="7"/>
      <c r="Y255" s="7"/>
      <c r="Z255" s="7"/>
    </row>
    <row r="256" spans="1:26" ht="12.75" customHeight="1" x14ac:dyDescent="0.2">
      <c r="A256" s="534"/>
      <c r="B256" s="534"/>
      <c r="C256" s="40" t="s">
        <v>36</v>
      </c>
      <c r="D256" s="41">
        <v>30</v>
      </c>
      <c r="E256" s="42">
        <v>11136.88</v>
      </c>
      <c r="F256" s="42">
        <v>1220.9000000000001</v>
      </c>
      <c r="G256" s="42">
        <v>123.95</v>
      </c>
      <c r="H256" s="42">
        <v>6384.11</v>
      </c>
      <c r="I256" s="42">
        <v>127.42</v>
      </c>
      <c r="J256" s="42">
        <v>1572.15</v>
      </c>
      <c r="K256" s="43">
        <v>18993.259999999998</v>
      </c>
      <c r="L256" s="32">
        <v>20565.41</v>
      </c>
      <c r="M256" s="33"/>
      <c r="N256" s="30">
        <v>18993.259999999998</v>
      </c>
      <c r="O256" s="30">
        <v>12609.15</v>
      </c>
      <c r="P256" s="30"/>
      <c r="Q256" s="30">
        <f>(N256+O256*0.18+J256)+(IF((P256-O256*0.18)&gt;0,(P256-O256*0.18),0))</f>
        <v>22835.057000000001</v>
      </c>
      <c r="R256" s="7"/>
      <c r="S256" s="7"/>
      <c r="T256" s="7"/>
      <c r="U256" s="7"/>
      <c r="V256" s="7"/>
      <c r="W256" s="7"/>
      <c r="X256" s="7"/>
      <c r="Y256" s="7"/>
      <c r="Z256" s="7"/>
    </row>
    <row r="257" spans="1:26" ht="9" customHeight="1" x14ac:dyDescent="0.2">
      <c r="A257" s="534"/>
      <c r="B257" s="534"/>
      <c r="C257" s="34" t="s">
        <v>37</v>
      </c>
      <c r="D257" s="35">
        <v>31</v>
      </c>
      <c r="E257" s="36">
        <v>21564007</v>
      </c>
      <c r="F257" s="36">
        <v>2363992</v>
      </c>
      <c r="G257" s="36">
        <v>240001</v>
      </c>
      <c r="H257" s="36">
        <v>12361361</v>
      </c>
      <c r="I257" s="36">
        <v>246720</v>
      </c>
      <c r="J257" s="37">
        <v>3044107</v>
      </c>
      <c r="K257" s="36">
        <v>36776080</v>
      </c>
      <c r="L257" s="38">
        <v>39820186</v>
      </c>
      <c r="M257" s="39"/>
      <c r="N257" s="36">
        <v>36776080</v>
      </c>
      <c r="O257" s="36">
        <v>24414719</v>
      </c>
      <c r="P257" s="36">
        <v>0</v>
      </c>
      <c r="Q257" s="36">
        <f>Q256*1936.27</f>
        <v>44214835.817390002</v>
      </c>
      <c r="R257" s="7"/>
      <c r="S257" s="7"/>
      <c r="T257" s="7"/>
      <c r="U257" s="7"/>
      <c r="V257" s="7"/>
      <c r="W257" s="7"/>
      <c r="X257" s="7"/>
      <c r="Y257" s="7"/>
      <c r="Z257" s="7"/>
    </row>
    <row r="258" spans="1:26" ht="12.75" customHeight="1" x14ac:dyDescent="0.2">
      <c r="A258" s="534"/>
      <c r="B258" s="534"/>
      <c r="C258" s="40" t="s">
        <v>36</v>
      </c>
      <c r="D258" s="41">
        <v>32</v>
      </c>
      <c r="E258" s="42">
        <v>11409.57</v>
      </c>
      <c r="F258" s="42">
        <v>1251.8900000000001</v>
      </c>
      <c r="G258" s="42">
        <v>123.95</v>
      </c>
      <c r="H258" s="42">
        <v>6384.11</v>
      </c>
      <c r="I258" s="42">
        <v>127.42</v>
      </c>
      <c r="J258" s="42">
        <v>1597.46</v>
      </c>
      <c r="K258" s="43">
        <v>19296.939999999999</v>
      </c>
      <c r="L258" s="32">
        <v>20894.400000000001</v>
      </c>
      <c r="M258" s="33"/>
      <c r="N258" s="30">
        <v>19296.939999999999</v>
      </c>
      <c r="O258" s="30">
        <v>12912.83</v>
      </c>
      <c r="P258" s="30"/>
      <c r="Q258" s="30">
        <f>(N258+O258*0.18+J258)+(IF((P258-O258*0.18)&gt;0,(P258-O258*0.18),0))</f>
        <v>23218.7094</v>
      </c>
      <c r="R258" s="7"/>
      <c r="S258" s="7"/>
      <c r="T258" s="7"/>
      <c r="U258" s="7"/>
      <c r="V258" s="7"/>
      <c r="W258" s="7"/>
      <c r="X258" s="7"/>
      <c r="Y258" s="7"/>
      <c r="Z258" s="7"/>
    </row>
    <row r="259" spans="1:26" ht="9" customHeight="1" x14ac:dyDescent="0.2">
      <c r="A259" s="534"/>
      <c r="B259" s="534"/>
      <c r="C259" s="34" t="s">
        <v>37</v>
      </c>
      <c r="D259" s="35">
        <v>33</v>
      </c>
      <c r="E259" s="36">
        <v>22092008</v>
      </c>
      <c r="F259" s="36">
        <v>2423997</v>
      </c>
      <c r="G259" s="36">
        <v>240001</v>
      </c>
      <c r="H259" s="36">
        <v>12361361</v>
      </c>
      <c r="I259" s="36">
        <v>246720</v>
      </c>
      <c r="J259" s="37">
        <v>3093114</v>
      </c>
      <c r="K259" s="36">
        <v>37364086</v>
      </c>
      <c r="L259" s="38">
        <v>40457200</v>
      </c>
      <c r="M259" s="39"/>
      <c r="N259" s="36">
        <v>37364086</v>
      </c>
      <c r="O259" s="36">
        <v>25002725</v>
      </c>
      <c r="P259" s="36">
        <v>0</v>
      </c>
      <c r="Q259" s="36">
        <f>Q258*1936.27</f>
        <v>44957690.449937999</v>
      </c>
      <c r="R259" s="7"/>
      <c r="S259" s="7"/>
      <c r="T259" s="7"/>
      <c r="U259" s="7"/>
      <c r="V259" s="7"/>
      <c r="W259" s="7"/>
      <c r="X259" s="7"/>
      <c r="Y259" s="7"/>
      <c r="Z259" s="7"/>
    </row>
    <row r="260" spans="1:26" ht="12.75" customHeight="1" x14ac:dyDescent="0.2">
      <c r="A260" s="534"/>
      <c r="B260" s="534"/>
      <c r="C260" s="40" t="s">
        <v>36</v>
      </c>
      <c r="D260" s="41">
        <v>34</v>
      </c>
      <c r="E260" s="42">
        <v>11676.06</v>
      </c>
      <c r="F260" s="42">
        <v>1282.8800000000001</v>
      </c>
      <c r="G260" s="42">
        <v>123.95</v>
      </c>
      <c r="H260" s="42">
        <v>6384.11</v>
      </c>
      <c r="I260" s="42">
        <v>127.42</v>
      </c>
      <c r="J260" s="42">
        <v>1622.25</v>
      </c>
      <c r="K260" s="43">
        <v>19594.419999999998</v>
      </c>
      <c r="L260" s="32">
        <v>21216.67</v>
      </c>
      <c r="M260" s="33"/>
      <c r="N260" s="30">
        <v>19594.419999999998</v>
      </c>
      <c r="O260" s="30">
        <v>13210.31</v>
      </c>
      <c r="P260" s="30"/>
      <c r="Q260" s="30">
        <f>(N260+O260*0.18+J260)+(IF((P260-O260*0.18)&gt;0,(P260-O260*0.18),0))</f>
        <v>23594.525799999999</v>
      </c>
      <c r="R260" s="7"/>
      <c r="S260" s="7"/>
      <c r="T260" s="7"/>
      <c r="U260" s="7"/>
      <c r="V260" s="7"/>
      <c r="W260" s="7"/>
      <c r="X260" s="7"/>
      <c r="Y260" s="7"/>
      <c r="Z260" s="7"/>
    </row>
    <row r="261" spans="1:26" ht="9" customHeight="1" x14ac:dyDescent="0.2">
      <c r="A261" s="534"/>
      <c r="B261" s="534"/>
      <c r="C261" s="34" t="s">
        <v>37</v>
      </c>
      <c r="D261" s="35">
        <v>35</v>
      </c>
      <c r="E261" s="36">
        <v>22608005</v>
      </c>
      <c r="F261" s="36">
        <v>2484002</v>
      </c>
      <c r="G261" s="36">
        <v>240001</v>
      </c>
      <c r="H261" s="36">
        <v>12361361</v>
      </c>
      <c r="I261" s="36">
        <v>246720</v>
      </c>
      <c r="J261" s="37">
        <v>3141114</v>
      </c>
      <c r="K261" s="36">
        <v>37940088</v>
      </c>
      <c r="L261" s="38">
        <v>41081202</v>
      </c>
      <c r="M261" s="39"/>
      <c r="N261" s="36">
        <v>37940088</v>
      </c>
      <c r="O261" s="36">
        <v>25578727</v>
      </c>
      <c r="P261" s="36">
        <v>0</v>
      </c>
      <c r="Q261" s="36">
        <f>Q260*1936.27</f>
        <v>45685372.470766</v>
      </c>
      <c r="R261" s="7"/>
      <c r="S261" s="7"/>
      <c r="T261" s="7"/>
      <c r="U261" s="7"/>
      <c r="V261" s="7"/>
      <c r="W261" s="7"/>
      <c r="X261" s="7"/>
      <c r="Y261" s="7"/>
      <c r="Z261" s="7"/>
    </row>
    <row r="262" spans="1:26" ht="12.75" customHeight="1" x14ac:dyDescent="0.2">
      <c r="A262" s="534"/>
      <c r="B262" s="534"/>
      <c r="C262" s="40" t="s">
        <v>36</v>
      </c>
      <c r="D262" s="41">
        <v>36</v>
      </c>
      <c r="E262" s="42">
        <v>11948.75</v>
      </c>
      <c r="F262" s="42">
        <v>1313.87</v>
      </c>
      <c r="G262" s="42">
        <v>123.95</v>
      </c>
      <c r="H262" s="42">
        <v>6384.11</v>
      </c>
      <c r="I262" s="42">
        <v>127.42</v>
      </c>
      <c r="J262" s="42">
        <v>1647.56</v>
      </c>
      <c r="K262" s="43">
        <v>19898.099999999999</v>
      </c>
      <c r="L262" s="32">
        <v>21545.66</v>
      </c>
      <c r="M262" s="33"/>
      <c r="N262" s="30">
        <v>19898.099999999999</v>
      </c>
      <c r="O262" s="30">
        <v>13513.99</v>
      </c>
      <c r="P262" s="30"/>
      <c r="Q262" s="30">
        <f>(N262+O262*0.18+J262)+(IF((P262-O262*0.18)&gt;0,(P262-O262*0.18),0))</f>
        <v>23978.178199999998</v>
      </c>
      <c r="R262" s="7"/>
      <c r="S262" s="7"/>
      <c r="T262" s="7"/>
      <c r="U262" s="7"/>
      <c r="V262" s="7"/>
      <c r="W262" s="7"/>
      <c r="X262" s="7"/>
      <c r="Y262" s="7"/>
      <c r="Z262" s="7"/>
    </row>
    <row r="263" spans="1:26" ht="9" customHeight="1" x14ac:dyDescent="0.2">
      <c r="A263" s="534"/>
      <c r="B263" s="534"/>
      <c r="C263" s="34" t="s">
        <v>37</v>
      </c>
      <c r="D263" s="35">
        <v>37</v>
      </c>
      <c r="E263" s="36">
        <v>23136006</v>
      </c>
      <c r="F263" s="36">
        <v>2544007</v>
      </c>
      <c r="G263" s="36">
        <v>240001</v>
      </c>
      <c r="H263" s="36">
        <v>12361361</v>
      </c>
      <c r="I263" s="36">
        <v>246720</v>
      </c>
      <c r="J263" s="37">
        <v>3190121</v>
      </c>
      <c r="K263" s="36">
        <v>38528094</v>
      </c>
      <c r="L263" s="38">
        <v>41718215</v>
      </c>
      <c r="M263" s="39"/>
      <c r="N263" s="36">
        <v>38528094</v>
      </c>
      <c r="O263" s="36">
        <v>26166733</v>
      </c>
      <c r="P263" s="36">
        <v>0</v>
      </c>
      <c r="Q263" s="36">
        <f>Q262*1936.27</f>
        <v>46428227.103313997</v>
      </c>
      <c r="R263" s="7"/>
      <c r="S263" s="7"/>
      <c r="T263" s="7"/>
      <c r="U263" s="7"/>
      <c r="V263" s="7"/>
      <c r="W263" s="7"/>
      <c r="X263" s="7"/>
      <c r="Y263" s="7"/>
      <c r="Z263" s="7"/>
    </row>
    <row r="264" spans="1:26" ht="12.75" customHeight="1" x14ac:dyDescent="0.2">
      <c r="A264" s="534"/>
      <c r="B264" s="534"/>
      <c r="C264" s="40" t="s">
        <v>36</v>
      </c>
      <c r="D264" s="41">
        <v>38</v>
      </c>
      <c r="E264" s="42">
        <v>12215.24</v>
      </c>
      <c r="F264" s="42">
        <v>1338.66</v>
      </c>
      <c r="G264" s="42">
        <v>123.95</v>
      </c>
      <c r="H264" s="42">
        <v>6384.11</v>
      </c>
      <c r="I264" s="42">
        <v>127.42</v>
      </c>
      <c r="J264" s="42">
        <v>1671.83</v>
      </c>
      <c r="K264" s="43">
        <v>20189.38</v>
      </c>
      <c r="L264" s="32">
        <v>21861.21</v>
      </c>
      <c r="M264" s="33"/>
      <c r="N264" s="30">
        <v>20189.38</v>
      </c>
      <c r="O264" s="30">
        <v>13805.27</v>
      </c>
      <c r="P264" s="30"/>
      <c r="Q264" s="30">
        <f>(N264+O264*0.18+J264)+(IF((P264-O264*0.18)&gt;0,(P264-O264*0.18),0))</f>
        <v>24346.158600000002</v>
      </c>
      <c r="R264" s="7"/>
      <c r="S264" s="7"/>
      <c r="T264" s="7"/>
      <c r="U264" s="7"/>
      <c r="V264" s="7"/>
      <c r="W264" s="7"/>
      <c r="X264" s="7"/>
      <c r="Y264" s="7"/>
      <c r="Z264" s="7"/>
    </row>
    <row r="265" spans="1:26" ht="9" customHeight="1" x14ac:dyDescent="0.2">
      <c r="A265" s="534"/>
      <c r="B265" s="534"/>
      <c r="C265" s="34" t="s">
        <v>37</v>
      </c>
      <c r="D265" s="35">
        <v>39</v>
      </c>
      <c r="E265" s="36">
        <v>23652003</v>
      </c>
      <c r="F265" s="36">
        <v>2592007</v>
      </c>
      <c r="G265" s="36">
        <v>240001</v>
      </c>
      <c r="H265" s="36">
        <v>12361361</v>
      </c>
      <c r="I265" s="36">
        <v>246720</v>
      </c>
      <c r="J265" s="37">
        <v>3237114</v>
      </c>
      <c r="K265" s="36">
        <v>39092091</v>
      </c>
      <c r="L265" s="38">
        <v>42329205</v>
      </c>
      <c r="M265" s="39"/>
      <c r="N265" s="36">
        <v>39092091</v>
      </c>
      <c r="O265" s="36">
        <v>26730730</v>
      </c>
      <c r="P265" s="36">
        <v>0</v>
      </c>
      <c r="Q265" s="36">
        <f>Q264*1936.27</f>
        <v>47140736.512422003</v>
      </c>
      <c r="R265" s="7"/>
      <c r="S265" s="7"/>
      <c r="T265" s="7"/>
      <c r="U265" s="7"/>
      <c r="V265" s="7"/>
      <c r="W265" s="7"/>
      <c r="X265" s="7"/>
      <c r="Y265" s="7"/>
      <c r="Z265" s="7"/>
    </row>
    <row r="266" spans="1:26" ht="12.75" customHeight="1" x14ac:dyDescent="0.2">
      <c r="A266" s="534"/>
      <c r="B266" s="534"/>
      <c r="C266" s="40" t="s">
        <v>36</v>
      </c>
      <c r="D266" s="41">
        <v>40</v>
      </c>
      <c r="E266" s="42">
        <v>12487.93</v>
      </c>
      <c r="F266" s="42">
        <v>1369.64</v>
      </c>
      <c r="G266" s="42">
        <v>123.95</v>
      </c>
      <c r="H266" s="42">
        <v>6384.11</v>
      </c>
      <c r="I266" s="42">
        <v>127.42</v>
      </c>
      <c r="J266" s="42">
        <v>1697.14</v>
      </c>
      <c r="K266" s="43">
        <v>20493.05</v>
      </c>
      <c r="L266" s="32">
        <v>22190.19</v>
      </c>
      <c r="M266" s="33"/>
      <c r="N266" s="30">
        <v>20493.05</v>
      </c>
      <c r="O266" s="30">
        <v>14108.94</v>
      </c>
      <c r="P266" s="30"/>
      <c r="Q266" s="30">
        <f>(N266+O266*0.18+J266)+(IF((P266-O266*0.18)&gt;0,(P266-O266*0.18),0))</f>
        <v>24729.799199999998</v>
      </c>
      <c r="R266" s="7"/>
      <c r="S266" s="7"/>
      <c r="T266" s="7"/>
      <c r="U266" s="7"/>
      <c r="V266" s="7"/>
      <c r="W266" s="7"/>
      <c r="X266" s="7"/>
      <c r="Y266" s="7"/>
      <c r="Z266" s="7"/>
    </row>
    <row r="267" spans="1:26" ht="12.75" customHeight="1" x14ac:dyDescent="0.2">
      <c r="A267" s="534"/>
      <c r="B267" s="534"/>
      <c r="C267" s="115"/>
      <c r="D267" s="45"/>
      <c r="E267" s="116"/>
      <c r="F267" s="116"/>
      <c r="G267" s="116"/>
      <c r="H267" s="116"/>
      <c r="I267" s="116"/>
      <c r="J267" s="117"/>
      <c r="K267" s="118"/>
      <c r="L267" s="119"/>
      <c r="M267" s="33"/>
      <c r="N267" s="116"/>
      <c r="O267" s="116"/>
      <c r="P267" s="116"/>
      <c r="Q267" s="116"/>
      <c r="R267" s="7"/>
      <c r="S267" s="7"/>
      <c r="T267" s="7"/>
      <c r="U267" s="7"/>
      <c r="V267" s="7"/>
      <c r="W267" s="7"/>
      <c r="X267" s="7"/>
      <c r="Y267" s="7"/>
      <c r="Z267" s="7"/>
    </row>
    <row r="268" spans="1:26" ht="12.75" customHeight="1" x14ac:dyDescent="0.2">
      <c r="A268" s="534"/>
      <c r="B268" s="534"/>
      <c r="C268" s="115"/>
      <c r="D268" s="45"/>
      <c r="E268" s="116"/>
      <c r="F268" s="116"/>
      <c r="G268" s="116"/>
      <c r="H268" s="116"/>
      <c r="I268" s="116"/>
      <c r="J268" s="117"/>
      <c r="K268" s="118"/>
      <c r="L268" s="119"/>
      <c r="M268" s="33"/>
      <c r="N268" s="116"/>
      <c r="O268" s="116"/>
      <c r="P268" s="116"/>
      <c r="Q268" s="116"/>
      <c r="R268" s="7"/>
      <c r="S268" s="7"/>
      <c r="T268" s="7"/>
      <c r="U268" s="7"/>
      <c r="V268" s="7"/>
      <c r="W268" s="7"/>
      <c r="X268" s="7"/>
      <c r="Y268" s="7"/>
      <c r="Z268" s="7"/>
    </row>
    <row r="269" spans="1:26" ht="9" customHeight="1" x14ac:dyDescent="0.2">
      <c r="A269" s="535"/>
      <c r="B269" s="535"/>
      <c r="C269" s="47"/>
      <c r="D269" s="48"/>
      <c r="E269" s="46">
        <v>24180004</v>
      </c>
      <c r="F269" s="46">
        <v>2651993</v>
      </c>
      <c r="G269" s="46">
        <v>240001</v>
      </c>
      <c r="H269" s="46">
        <v>12361361</v>
      </c>
      <c r="I269" s="46">
        <v>246720</v>
      </c>
      <c r="J269" s="49">
        <v>3286121</v>
      </c>
      <c r="K269" s="46">
        <v>39680078</v>
      </c>
      <c r="L269" s="38">
        <v>42966199</v>
      </c>
      <c r="M269" s="39"/>
      <c r="N269" s="36">
        <v>39680078</v>
      </c>
      <c r="O269" s="36">
        <v>27318717</v>
      </c>
      <c r="P269" s="36">
        <v>0</v>
      </c>
      <c r="Q269" s="36">
        <f>Q266*1936.27</f>
        <v>47883568.296983995</v>
      </c>
      <c r="R269" s="7"/>
      <c r="S269" s="7"/>
      <c r="T269" s="7"/>
      <c r="U269" s="7"/>
      <c r="V269" s="7"/>
      <c r="W269" s="7"/>
      <c r="X269" s="7"/>
      <c r="Y269" s="7"/>
      <c r="Z269" s="7"/>
    </row>
    <row r="270" spans="1:26" ht="12.75" customHeight="1" x14ac:dyDescent="0.2">
      <c r="A270" s="538">
        <v>34516</v>
      </c>
      <c r="B270" s="538">
        <v>34699</v>
      </c>
      <c r="C270" s="28" t="s">
        <v>36</v>
      </c>
      <c r="D270" s="29">
        <v>0</v>
      </c>
      <c r="E270" s="30">
        <v>5751.26</v>
      </c>
      <c r="F270" s="30">
        <v>632.14</v>
      </c>
      <c r="G270" s="30">
        <v>123.95</v>
      </c>
      <c r="H270" s="30">
        <v>6384.11</v>
      </c>
      <c r="I270" s="30">
        <v>212.37</v>
      </c>
      <c r="J270" s="30">
        <v>1074.29</v>
      </c>
      <c r="K270" s="31">
        <v>13103.83</v>
      </c>
      <c r="L270" s="32">
        <v>14178.12</v>
      </c>
      <c r="M270" s="33"/>
      <c r="N270" s="30">
        <v>13103.83</v>
      </c>
      <c r="O270" s="30">
        <v>6719.72</v>
      </c>
      <c r="P270" s="30"/>
      <c r="Q270" s="30">
        <f>(N270+O270*0.18+J270)+(IF((P270-O270*0.18)&gt;0,(P270-O270*0.18),0))</f>
        <v>15387.669600000001</v>
      </c>
      <c r="R270" s="7"/>
      <c r="S270" s="7"/>
      <c r="T270" s="7"/>
      <c r="U270" s="7"/>
      <c r="V270" s="7"/>
      <c r="W270" s="7"/>
      <c r="X270" s="7"/>
      <c r="Y270" s="7"/>
      <c r="Z270" s="7"/>
    </row>
    <row r="271" spans="1:26" ht="9" customHeight="1" x14ac:dyDescent="0.2">
      <c r="A271" s="534"/>
      <c r="B271" s="534"/>
      <c r="C271" s="34" t="s">
        <v>37</v>
      </c>
      <c r="D271" s="35">
        <v>2</v>
      </c>
      <c r="E271" s="36">
        <v>11135992</v>
      </c>
      <c r="F271" s="36">
        <v>1223994</v>
      </c>
      <c r="G271" s="36">
        <v>240001</v>
      </c>
      <c r="H271" s="36">
        <v>12361361</v>
      </c>
      <c r="I271" s="36">
        <v>411206</v>
      </c>
      <c r="J271" s="37">
        <v>2080115</v>
      </c>
      <c r="K271" s="36">
        <v>25372553</v>
      </c>
      <c r="L271" s="38">
        <v>27452668</v>
      </c>
      <c r="M271" s="39"/>
      <c r="N271" s="36">
        <v>25372553</v>
      </c>
      <c r="O271" s="36">
        <v>13011192</v>
      </c>
      <c r="P271" s="36">
        <v>0</v>
      </c>
      <c r="Q271" s="36">
        <f>Q270*1936.27</f>
        <v>29794683.016392</v>
      </c>
      <c r="R271" s="7"/>
      <c r="S271" s="7"/>
      <c r="T271" s="7"/>
      <c r="U271" s="7"/>
      <c r="V271" s="7"/>
      <c r="W271" s="7"/>
      <c r="X271" s="7"/>
      <c r="Y271" s="7"/>
      <c r="Z271" s="7"/>
    </row>
    <row r="272" spans="1:26" ht="12.75" customHeight="1" x14ac:dyDescent="0.2">
      <c r="A272" s="540">
        <v>34516</v>
      </c>
      <c r="B272" s="540">
        <v>34699</v>
      </c>
      <c r="C272" s="40" t="s">
        <v>36</v>
      </c>
      <c r="D272" s="41">
        <v>3</v>
      </c>
      <c r="E272" s="42">
        <v>6061.14</v>
      </c>
      <c r="F272" s="42">
        <v>663.13</v>
      </c>
      <c r="G272" s="42">
        <v>123.95</v>
      </c>
      <c r="H272" s="42">
        <v>6384.11</v>
      </c>
      <c r="I272" s="42">
        <v>212.37</v>
      </c>
      <c r="J272" s="42">
        <v>1102.69</v>
      </c>
      <c r="K272" s="43">
        <v>13444.7</v>
      </c>
      <c r="L272" s="32">
        <v>14547.39</v>
      </c>
      <c r="M272" s="33"/>
      <c r="N272" s="30">
        <v>13444.7</v>
      </c>
      <c r="O272" s="30">
        <v>7060.59</v>
      </c>
      <c r="P272" s="30"/>
      <c r="Q272" s="30">
        <f>(N272+O272*0.18+J272)+(IF((P272-O272*0.18)&gt;0,(P272-O272*0.18),0))</f>
        <v>15818.296200000001</v>
      </c>
      <c r="R272" s="7"/>
      <c r="S272" s="7"/>
      <c r="T272" s="7"/>
      <c r="U272" s="7"/>
      <c r="V272" s="7"/>
      <c r="W272" s="7"/>
      <c r="X272" s="7"/>
      <c r="Y272" s="7"/>
      <c r="Z272" s="7"/>
    </row>
    <row r="273" spans="1:26" ht="9" customHeight="1" x14ac:dyDescent="0.2">
      <c r="A273" s="534"/>
      <c r="B273" s="534"/>
      <c r="C273" s="34" t="s">
        <v>37</v>
      </c>
      <c r="D273" s="35">
        <v>4</v>
      </c>
      <c r="E273" s="36">
        <v>11736004</v>
      </c>
      <c r="F273" s="36">
        <v>1283999</v>
      </c>
      <c r="G273" s="36">
        <v>240001</v>
      </c>
      <c r="H273" s="36">
        <v>12361361</v>
      </c>
      <c r="I273" s="36">
        <v>411206</v>
      </c>
      <c r="J273" s="37">
        <v>2135106</v>
      </c>
      <c r="K273" s="36">
        <v>26032569</v>
      </c>
      <c r="L273" s="38">
        <v>28167675</v>
      </c>
      <c r="M273" s="39"/>
      <c r="N273" s="36">
        <v>26032569</v>
      </c>
      <c r="O273" s="36">
        <v>13671209</v>
      </c>
      <c r="P273" s="36">
        <v>0</v>
      </c>
      <c r="Q273" s="36">
        <f>Q272*1936.27</f>
        <v>30628492.383174002</v>
      </c>
      <c r="R273" s="7"/>
      <c r="S273" s="7"/>
      <c r="T273" s="7"/>
      <c r="U273" s="7"/>
      <c r="V273" s="7"/>
      <c r="W273" s="7"/>
      <c r="X273" s="7"/>
      <c r="Y273" s="7"/>
      <c r="Z273" s="7"/>
    </row>
    <row r="274" spans="1:26" ht="12.75" customHeight="1" x14ac:dyDescent="0.2">
      <c r="A274" s="534"/>
      <c r="B274" s="534"/>
      <c r="C274" s="40" t="s">
        <v>36</v>
      </c>
      <c r="D274" s="41">
        <v>5</v>
      </c>
      <c r="E274" s="42">
        <v>6371.01</v>
      </c>
      <c r="F274" s="42">
        <v>700.32</v>
      </c>
      <c r="G274" s="42">
        <v>123.95</v>
      </c>
      <c r="H274" s="42">
        <v>6384.11</v>
      </c>
      <c r="I274" s="42">
        <v>212.37</v>
      </c>
      <c r="J274" s="42">
        <v>1131.6199999999999</v>
      </c>
      <c r="K274" s="43">
        <v>13791.76</v>
      </c>
      <c r="L274" s="32">
        <v>14923.38</v>
      </c>
      <c r="M274" s="33"/>
      <c r="N274" s="30">
        <v>13791.76</v>
      </c>
      <c r="O274" s="30">
        <v>7407.65</v>
      </c>
      <c r="P274" s="30"/>
      <c r="Q274" s="30">
        <f>(N274+O274*0.18+J274)+(IF((P274-O274*0.18)&gt;0,(P274-O274*0.18),0))</f>
        <v>16256.757000000001</v>
      </c>
      <c r="R274" s="7"/>
      <c r="S274" s="7"/>
      <c r="T274" s="7"/>
      <c r="U274" s="7"/>
      <c r="V274" s="7"/>
      <c r="W274" s="7"/>
      <c r="X274" s="7"/>
      <c r="Y274" s="7"/>
      <c r="Z274" s="7"/>
    </row>
    <row r="275" spans="1:26" ht="9" customHeight="1" x14ac:dyDescent="0.2">
      <c r="A275" s="534"/>
      <c r="B275" s="534"/>
      <c r="C275" s="34" t="s">
        <v>37</v>
      </c>
      <c r="D275" s="35">
        <v>6</v>
      </c>
      <c r="E275" s="36">
        <v>12335996</v>
      </c>
      <c r="F275" s="36">
        <v>1356009</v>
      </c>
      <c r="G275" s="36">
        <v>240001</v>
      </c>
      <c r="H275" s="36">
        <v>12361361</v>
      </c>
      <c r="I275" s="36">
        <v>411206</v>
      </c>
      <c r="J275" s="37">
        <v>2191122</v>
      </c>
      <c r="K275" s="36">
        <v>26704571</v>
      </c>
      <c r="L275" s="38">
        <v>28895693</v>
      </c>
      <c r="M275" s="39"/>
      <c r="N275" s="36">
        <v>26704571</v>
      </c>
      <c r="O275" s="36">
        <v>14343210</v>
      </c>
      <c r="P275" s="36">
        <v>0</v>
      </c>
      <c r="Q275" s="36">
        <f>Q274*1936.27</f>
        <v>31477470.876390003</v>
      </c>
      <c r="R275" s="7"/>
      <c r="S275" s="7"/>
      <c r="T275" s="7"/>
      <c r="U275" s="7"/>
      <c r="V275" s="7"/>
      <c r="W275" s="7"/>
      <c r="X275" s="7"/>
      <c r="Y275" s="7"/>
      <c r="Z275" s="7"/>
    </row>
    <row r="276" spans="1:26" ht="12.75" customHeight="1" x14ac:dyDescent="0.2">
      <c r="A276" s="534"/>
      <c r="B276" s="534"/>
      <c r="C276" s="40" t="s">
        <v>36</v>
      </c>
      <c r="D276" s="41">
        <v>7</v>
      </c>
      <c r="E276" s="42">
        <v>6674.69</v>
      </c>
      <c r="F276" s="42">
        <v>731.3</v>
      </c>
      <c r="G276" s="42">
        <v>123.95</v>
      </c>
      <c r="H276" s="42">
        <v>6384.11</v>
      </c>
      <c r="I276" s="42">
        <v>212.37</v>
      </c>
      <c r="J276" s="42">
        <v>1159.5</v>
      </c>
      <c r="K276" s="43">
        <v>14126.42</v>
      </c>
      <c r="L276" s="32">
        <v>15285.92</v>
      </c>
      <c r="M276" s="33"/>
      <c r="N276" s="30">
        <v>14126.42</v>
      </c>
      <c r="O276" s="30">
        <v>7742.31</v>
      </c>
      <c r="P276" s="30"/>
      <c r="Q276" s="30">
        <f>(N276+O276*0.18+J276)+(IF((P276-O276*0.18)&gt;0,(P276-O276*0.18),0))</f>
        <v>16679.535799999998</v>
      </c>
      <c r="R276" s="7"/>
      <c r="S276" s="7"/>
      <c r="T276" s="7"/>
      <c r="U276" s="7"/>
      <c r="V276" s="7"/>
      <c r="W276" s="7"/>
      <c r="X276" s="7"/>
      <c r="Y276" s="7"/>
      <c r="Z276" s="7"/>
    </row>
    <row r="277" spans="1:26" ht="9" customHeight="1" x14ac:dyDescent="0.2">
      <c r="A277" s="534"/>
      <c r="B277" s="534"/>
      <c r="C277" s="34" t="s">
        <v>37</v>
      </c>
      <c r="D277" s="35">
        <v>8</v>
      </c>
      <c r="E277" s="36">
        <v>12924002</v>
      </c>
      <c r="F277" s="36">
        <v>1415994</v>
      </c>
      <c r="G277" s="36">
        <v>240001</v>
      </c>
      <c r="H277" s="36">
        <v>12361361</v>
      </c>
      <c r="I277" s="36">
        <v>411206</v>
      </c>
      <c r="J277" s="37">
        <v>2245105</v>
      </c>
      <c r="K277" s="36">
        <v>27352563</v>
      </c>
      <c r="L277" s="38">
        <v>29597668</v>
      </c>
      <c r="M277" s="39"/>
      <c r="N277" s="36">
        <v>27352563</v>
      </c>
      <c r="O277" s="36">
        <v>14991203</v>
      </c>
      <c r="P277" s="36">
        <v>0</v>
      </c>
      <c r="Q277" s="36">
        <f>Q276*1936.27</f>
        <v>32296084.783465996</v>
      </c>
      <c r="R277" s="7"/>
      <c r="S277" s="7"/>
      <c r="T277" s="7"/>
      <c r="U277" s="7"/>
      <c r="V277" s="7"/>
      <c r="W277" s="7"/>
      <c r="X277" s="7"/>
      <c r="Y277" s="7"/>
      <c r="Z277" s="7"/>
    </row>
    <row r="278" spans="1:26" ht="12.75" customHeight="1" x14ac:dyDescent="0.2">
      <c r="A278" s="534"/>
      <c r="B278" s="534"/>
      <c r="C278" s="40" t="s">
        <v>36</v>
      </c>
      <c r="D278" s="41">
        <v>9</v>
      </c>
      <c r="E278" s="42">
        <v>7027.95</v>
      </c>
      <c r="F278" s="42">
        <v>768.49</v>
      </c>
      <c r="G278" s="42">
        <v>123.95</v>
      </c>
      <c r="H278" s="42">
        <v>6384.11</v>
      </c>
      <c r="I278" s="42">
        <v>212.37</v>
      </c>
      <c r="J278" s="42">
        <v>1192.04</v>
      </c>
      <c r="K278" s="43">
        <v>14516.87</v>
      </c>
      <c r="L278" s="32">
        <v>15708.91</v>
      </c>
      <c r="M278" s="33"/>
      <c r="N278" s="30">
        <v>14516.87</v>
      </c>
      <c r="O278" s="30">
        <v>8132.76</v>
      </c>
      <c r="P278" s="30"/>
      <c r="Q278" s="30">
        <f>(N278+O278*0.18+J278)+(IF((P278-O278*0.18)&gt;0,(P278-O278*0.18),0))</f>
        <v>17172.806800000002</v>
      </c>
      <c r="R278" s="7"/>
      <c r="S278" s="7"/>
      <c r="T278" s="7"/>
      <c r="U278" s="7"/>
      <c r="V278" s="7"/>
      <c r="W278" s="7"/>
      <c r="X278" s="7"/>
      <c r="Y278" s="7"/>
      <c r="Z278" s="7"/>
    </row>
    <row r="279" spans="1:26" ht="9" customHeight="1" x14ac:dyDescent="0.2">
      <c r="A279" s="534"/>
      <c r="B279" s="534"/>
      <c r="C279" s="34" t="s">
        <v>37</v>
      </c>
      <c r="D279" s="35">
        <v>10</v>
      </c>
      <c r="E279" s="36">
        <v>13608009</v>
      </c>
      <c r="F279" s="36">
        <v>1488004</v>
      </c>
      <c r="G279" s="36">
        <v>240001</v>
      </c>
      <c r="H279" s="36">
        <v>12361361</v>
      </c>
      <c r="I279" s="36">
        <v>411206</v>
      </c>
      <c r="J279" s="37">
        <v>2308111</v>
      </c>
      <c r="K279" s="36">
        <v>28108580</v>
      </c>
      <c r="L279" s="38">
        <v>30416691</v>
      </c>
      <c r="M279" s="39"/>
      <c r="N279" s="36">
        <v>28108580</v>
      </c>
      <c r="O279" s="36">
        <v>15747219</v>
      </c>
      <c r="P279" s="36">
        <v>0</v>
      </c>
      <c r="Q279" s="36">
        <f>Q278*1936.27</f>
        <v>33251190.622636005</v>
      </c>
      <c r="R279" s="7"/>
      <c r="S279" s="7"/>
      <c r="T279" s="7"/>
      <c r="U279" s="7"/>
      <c r="V279" s="7"/>
      <c r="W279" s="7"/>
      <c r="X279" s="7"/>
      <c r="Y279" s="7"/>
      <c r="Z279" s="7"/>
    </row>
    <row r="280" spans="1:26" ht="12.75" customHeight="1" x14ac:dyDescent="0.2">
      <c r="A280" s="534"/>
      <c r="B280" s="534"/>
      <c r="C280" s="40" t="s">
        <v>36</v>
      </c>
      <c r="D280" s="41">
        <v>11</v>
      </c>
      <c r="E280" s="42">
        <v>7387.4</v>
      </c>
      <c r="F280" s="42">
        <v>811.87</v>
      </c>
      <c r="G280" s="42">
        <v>123.95</v>
      </c>
      <c r="H280" s="42">
        <v>6384.11</v>
      </c>
      <c r="I280" s="42">
        <v>212.37</v>
      </c>
      <c r="J280" s="42">
        <v>1225.6099999999999</v>
      </c>
      <c r="K280" s="43">
        <v>14919.7</v>
      </c>
      <c r="L280" s="32">
        <v>16145.31</v>
      </c>
      <c r="M280" s="33"/>
      <c r="N280" s="30">
        <v>14919.7</v>
      </c>
      <c r="O280" s="30">
        <v>8535.59</v>
      </c>
      <c r="P280" s="30"/>
      <c r="Q280" s="30">
        <f>(N280+O280*0.18+J280)+(IF((P280-O280*0.18)&gt;0,(P280-O280*0.18),0))</f>
        <v>17681.716200000003</v>
      </c>
      <c r="R280" s="7"/>
      <c r="S280" s="7"/>
      <c r="T280" s="7"/>
      <c r="U280" s="7"/>
      <c r="V280" s="7"/>
      <c r="W280" s="7"/>
      <c r="X280" s="7"/>
      <c r="Y280" s="7"/>
      <c r="Z280" s="7"/>
    </row>
    <row r="281" spans="1:26" ht="9" customHeight="1" x14ac:dyDescent="0.2">
      <c r="A281" s="534"/>
      <c r="B281" s="534"/>
      <c r="C281" s="34" t="s">
        <v>37</v>
      </c>
      <c r="D281" s="35">
        <v>12</v>
      </c>
      <c r="E281" s="36">
        <v>14304001</v>
      </c>
      <c r="F281" s="36">
        <v>1572000</v>
      </c>
      <c r="G281" s="36">
        <v>240001</v>
      </c>
      <c r="H281" s="36">
        <v>12361361</v>
      </c>
      <c r="I281" s="36">
        <v>411206</v>
      </c>
      <c r="J281" s="37">
        <v>2373112</v>
      </c>
      <c r="K281" s="36">
        <v>28888568</v>
      </c>
      <c r="L281" s="38">
        <v>31261679</v>
      </c>
      <c r="M281" s="39"/>
      <c r="N281" s="36">
        <v>28888568</v>
      </c>
      <c r="O281" s="36">
        <v>16527207</v>
      </c>
      <c r="P281" s="36">
        <v>0</v>
      </c>
      <c r="Q281" s="36">
        <f>Q280*1936.27</f>
        <v>34236576.626574002</v>
      </c>
      <c r="R281" s="7"/>
      <c r="S281" s="7"/>
      <c r="T281" s="7"/>
      <c r="U281" s="7"/>
      <c r="V281" s="7"/>
      <c r="W281" s="7"/>
      <c r="X281" s="7"/>
      <c r="Y281" s="7"/>
      <c r="Z281" s="7"/>
    </row>
    <row r="282" spans="1:26" ht="12.75" customHeight="1" x14ac:dyDescent="0.2">
      <c r="A282" s="534"/>
      <c r="B282" s="534"/>
      <c r="C282" s="40" t="s">
        <v>36</v>
      </c>
      <c r="D282" s="41">
        <v>13</v>
      </c>
      <c r="E282" s="42">
        <v>7740.66</v>
      </c>
      <c r="F282" s="42">
        <v>849.06</v>
      </c>
      <c r="G282" s="42">
        <v>123.95</v>
      </c>
      <c r="H282" s="42">
        <v>6384.11</v>
      </c>
      <c r="I282" s="42">
        <v>212.37</v>
      </c>
      <c r="J282" s="42">
        <v>1258.1500000000001</v>
      </c>
      <c r="K282" s="43">
        <v>15310.15</v>
      </c>
      <c r="L282" s="32">
        <v>16568.3</v>
      </c>
      <c r="M282" s="33"/>
      <c r="N282" s="30">
        <v>15310.15</v>
      </c>
      <c r="O282" s="30">
        <v>8926.0400000000009</v>
      </c>
      <c r="P282" s="30"/>
      <c r="Q282" s="30">
        <f>(N282+O282*0.18+J282)+(IF((P282-O282*0.18)&gt;0,(P282-O282*0.18),0))</f>
        <v>18174.9872</v>
      </c>
      <c r="R282" s="7"/>
      <c r="S282" s="7"/>
      <c r="T282" s="7"/>
      <c r="U282" s="7"/>
      <c r="V282" s="7"/>
      <c r="W282" s="7"/>
      <c r="X282" s="7"/>
      <c r="Y282" s="7"/>
      <c r="Z282" s="7"/>
    </row>
    <row r="283" spans="1:26" ht="9" customHeight="1" x14ac:dyDescent="0.2">
      <c r="A283" s="534"/>
      <c r="B283" s="534"/>
      <c r="C283" s="34" t="s">
        <v>37</v>
      </c>
      <c r="D283" s="35">
        <v>14</v>
      </c>
      <c r="E283" s="36">
        <v>14988008</v>
      </c>
      <c r="F283" s="36">
        <v>1644009</v>
      </c>
      <c r="G283" s="36">
        <v>240001</v>
      </c>
      <c r="H283" s="36">
        <v>12361361</v>
      </c>
      <c r="I283" s="36">
        <v>411206</v>
      </c>
      <c r="J283" s="37">
        <v>2436118</v>
      </c>
      <c r="K283" s="36">
        <v>29644584</v>
      </c>
      <c r="L283" s="38">
        <v>32080702</v>
      </c>
      <c r="M283" s="39"/>
      <c r="N283" s="36">
        <v>29644584</v>
      </c>
      <c r="O283" s="36">
        <v>17283223</v>
      </c>
      <c r="P283" s="36">
        <v>0</v>
      </c>
      <c r="Q283" s="36">
        <f>Q282*1936.27</f>
        <v>35191682.465743996</v>
      </c>
      <c r="R283" s="7"/>
      <c r="S283" s="7"/>
      <c r="T283" s="7"/>
      <c r="U283" s="7"/>
      <c r="V283" s="7"/>
      <c r="W283" s="7"/>
      <c r="X283" s="7"/>
      <c r="Y283" s="7"/>
      <c r="Z283" s="7"/>
    </row>
    <row r="284" spans="1:26" ht="12.75" customHeight="1" x14ac:dyDescent="0.2">
      <c r="A284" s="534"/>
      <c r="B284" s="534"/>
      <c r="C284" s="40" t="s">
        <v>36</v>
      </c>
      <c r="D284" s="41">
        <v>15</v>
      </c>
      <c r="E284" s="42">
        <v>8155.89</v>
      </c>
      <c r="F284" s="42">
        <v>892.44</v>
      </c>
      <c r="G284" s="42">
        <v>123.95</v>
      </c>
      <c r="H284" s="42">
        <v>6384.11</v>
      </c>
      <c r="I284" s="42">
        <v>212.37</v>
      </c>
      <c r="J284" s="42">
        <v>1296.3699999999999</v>
      </c>
      <c r="K284" s="43">
        <v>15768.76</v>
      </c>
      <c r="L284" s="32">
        <v>17065.13</v>
      </c>
      <c r="M284" s="33"/>
      <c r="N284" s="30">
        <v>15768.76</v>
      </c>
      <c r="O284" s="30">
        <v>9384.65</v>
      </c>
      <c r="P284" s="30"/>
      <c r="Q284" s="30">
        <f>(N284+O284*0.18+J284)+(IF((P284-O284*0.18)&gt;0,(P284-O284*0.18),0))</f>
        <v>18754.366999999998</v>
      </c>
      <c r="R284" s="7"/>
      <c r="S284" s="7"/>
      <c r="T284" s="7"/>
      <c r="U284" s="7"/>
      <c r="V284" s="7"/>
      <c r="W284" s="7"/>
      <c r="X284" s="7"/>
      <c r="Y284" s="7"/>
      <c r="Z284" s="7"/>
    </row>
    <row r="285" spans="1:26" ht="9" customHeight="1" x14ac:dyDescent="0.2">
      <c r="A285" s="534"/>
      <c r="B285" s="534"/>
      <c r="C285" s="34" t="s">
        <v>37</v>
      </c>
      <c r="D285" s="35">
        <v>16</v>
      </c>
      <c r="E285" s="36">
        <v>15792005</v>
      </c>
      <c r="F285" s="36">
        <v>1728005</v>
      </c>
      <c r="G285" s="36">
        <v>240001</v>
      </c>
      <c r="H285" s="36">
        <v>12361361</v>
      </c>
      <c r="I285" s="36">
        <v>411206</v>
      </c>
      <c r="J285" s="37">
        <v>2510122</v>
      </c>
      <c r="K285" s="36">
        <v>30532577</v>
      </c>
      <c r="L285" s="38">
        <v>33042699</v>
      </c>
      <c r="M285" s="39"/>
      <c r="N285" s="36">
        <v>30532577</v>
      </c>
      <c r="O285" s="36">
        <v>18171216</v>
      </c>
      <c r="P285" s="36">
        <v>0</v>
      </c>
      <c r="Q285" s="36">
        <f>Q284*1936.27</f>
        <v>36313518.191089995</v>
      </c>
      <c r="R285" s="7"/>
      <c r="S285" s="7"/>
      <c r="T285" s="7"/>
      <c r="U285" s="7"/>
      <c r="V285" s="7"/>
      <c r="W285" s="7"/>
      <c r="X285" s="7"/>
      <c r="Y285" s="7"/>
      <c r="Z285" s="7"/>
    </row>
    <row r="286" spans="1:26" ht="12.75" customHeight="1" x14ac:dyDescent="0.2">
      <c r="A286" s="534"/>
      <c r="B286" s="534"/>
      <c r="C286" s="40" t="s">
        <v>36</v>
      </c>
      <c r="D286" s="41">
        <v>17</v>
      </c>
      <c r="E286" s="42">
        <v>8571.1200000000008</v>
      </c>
      <c r="F286" s="42">
        <v>942.02</v>
      </c>
      <c r="G286" s="42">
        <v>123.95</v>
      </c>
      <c r="H286" s="42">
        <v>6384.11</v>
      </c>
      <c r="I286" s="42">
        <v>212.37</v>
      </c>
      <c r="J286" s="42">
        <v>1335.1</v>
      </c>
      <c r="K286" s="43">
        <v>16233.57</v>
      </c>
      <c r="L286" s="32">
        <v>17568.669999999998</v>
      </c>
      <c r="M286" s="33"/>
      <c r="N286" s="30">
        <v>16233.57</v>
      </c>
      <c r="O286" s="30">
        <v>9849.4599999999991</v>
      </c>
      <c r="P286" s="30"/>
      <c r="Q286" s="30">
        <f>(N286+O286*0.18+J286)+(IF((P286-O286*0.18)&gt;0,(P286-O286*0.18),0))</f>
        <v>19341.572799999998</v>
      </c>
      <c r="R286" s="7"/>
      <c r="S286" s="7"/>
      <c r="T286" s="7"/>
      <c r="U286" s="7"/>
      <c r="V286" s="7"/>
      <c r="W286" s="7"/>
      <c r="X286" s="7"/>
      <c r="Y286" s="7"/>
      <c r="Z286" s="7"/>
    </row>
    <row r="287" spans="1:26" ht="9" customHeight="1" x14ac:dyDescent="0.2">
      <c r="A287" s="534"/>
      <c r="B287" s="534"/>
      <c r="C287" s="34" t="s">
        <v>37</v>
      </c>
      <c r="D287" s="35">
        <v>18</v>
      </c>
      <c r="E287" s="36">
        <v>16596003</v>
      </c>
      <c r="F287" s="36">
        <v>1824005</v>
      </c>
      <c r="G287" s="36">
        <v>240001</v>
      </c>
      <c r="H287" s="36">
        <v>12361361</v>
      </c>
      <c r="I287" s="36">
        <v>411206</v>
      </c>
      <c r="J287" s="37">
        <v>2585114</v>
      </c>
      <c r="K287" s="36">
        <v>31432575</v>
      </c>
      <c r="L287" s="38">
        <v>34017689</v>
      </c>
      <c r="M287" s="39"/>
      <c r="N287" s="36">
        <v>31432575</v>
      </c>
      <c r="O287" s="36">
        <v>19071214</v>
      </c>
      <c r="P287" s="36">
        <v>0</v>
      </c>
      <c r="Q287" s="36">
        <f>Q286*1936.27</f>
        <v>37450507.165455997</v>
      </c>
      <c r="R287" s="7"/>
      <c r="S287" s="7"/>
      <c r="T287" s="7"/>
      <c r="U287" s="7"/>
      <c r="V287" s="7"/>
      <c r="W287" s="7"/>
      <c r="X287" s="7"/>
      <c r="Y287" s="7"/>
      <c r="Z287" s="7"/>
    </row>
    <row r="288" spans="1:26" ht="12.75" customHeight="1" x14ac:dyDescent="0.2">
      <c r="A288" s="534"/>
      <c r="B288" s="534"/>
      <c r="C288" s="40" t="s">
        <v>36</v>
      </c>
      <c r="D288" s="41">
        <v>19</v>
      </c>
      <c r="E288" s="42">
        <v>8980.15</v>
      </c>
      <c r="F288" s="42">
        <v>985.4</v>
      </c>
      <c r="G288" s="42">
        <v>123.95</v>
      </c>
      <c r="H288" s="42">
        <v>6384.11</v>
      </c>
      <c r="I288" s="42">
        <v>212.37</v>
      </c>
      <c r="J288" s="42">
        <v>1372.8</v>
      </c>
      <c r="K288" s="43">
        <v>16685.98</v>
      </c>
      <c r="L288" s="32">
        <v>18058.78</v>
      </c>
      <c r="M288" s="33"/>
      <c r="N288" s="30">
        <v>16685.98</v>
      </c>
      <c r="O288" s="30">
        <v>10301.870000000001</v>
      </c>
      <c r="P288" s="30"/>
      <c r="Q288" s="30">
        <f>(N288+O288*0.18+J288)+(IF((P288-O288*0.18)&gt;0,(P288-O288*0.18),0))</f>
        <v>19913.116599999998</v>
      </c>
      <c r="R288" s="7"/>
      <c r="S288" s="7"/>
      <c r="T288" s="7"/>
      <c r="U288" s="7"/>
      <c r="V288" s="7"/>
      <c r="W288" s="7"/>
      <c r="X288" s="7"/>
      <c r="Y288" s="7"/>
      <c r="Z288" s="7"/>
    </row>
    <row r="289" spans="1:26" ht="9" customHeight="1" x14ac:dyDescent="0.2">
      <c r="A289" s="534"/>
      <c r="B289" s="534"/>
      <c r="C289" s="34" t="s">
        <v>37</v>
      </c>
      <c r="D289" s="35">
        <v>19</v>
      </c>
      <c r="E289" s="36">
        <v>17387995</v>
      </c>
      <c r="F289" s="36">
        <v>1908000</v>
      </c>
      <c r="G289" s="36">
        <v>240001</v>
      </c>
      <c r="H289" s="36">
        <v>12361361</v>
      </c>
      <c r="I289" s="36">
        <v>411206</v>
      </c>
      <c r="J289" s="37">
        <v>2658111</v>
      </c>
      <c r="K289" s="36">
        <v>32308562</v>
      </c>
      <c r="L289" s="38">
        <v>34966674</v>
      </c>
      <c r="M289" s="39"/>
      <c r="N289" s="36">
        <v>32308562</v>
      </c>
      <c r="O289" s="36">
        <v>19947202</v>
      </c>
      <c r="P289" s="36">
        <v>0</v>
      </c>
      <c r="Q289" s="36">
        <f>Q288*1936.27</f>
        <v>38557170.279081993</v>
      </c>
      <c r="R289" s="7"/>
      <c r="S289" s="7"/>
      <c r="T289" s="7"/>
      <c r="U289" s="7"/>
      <c r="V289" s="7"/>
      <c r="W289" s="7"/>
      <c r="X289" s="7"/>
      <c r="Y289" s="7"/>
      <c r="Z289" s="7"/>
    </row>
    <row r="290" spans="1:26" ht="12.75" customHeight="1" x14ac:dyDescent="0.2">
      <c r="A290" s="534"/>
      <c r="B290" s="534"/>
      <c r="C290" s="40" t="s">
        <v>36</v>
      </c>
      <c r="D290" s="41">
        <v>20</v>
      </c>
      <c r="E290" s="42">
        <v>9792.02</v>
      </c>
      <c r="F290" s="42">
        <v>1072.1600000000001</v>
      </c>
      <c r="G290" s="42">
        <v>123.95</v>
      </c>
      <c r="H290" s="42">
        <v>6384.11</v>
      </c>
      <c r="I290" s="42">
        <v>212.37</v>
      </c>
      <c r="J290" s="42">
        <v>1447.69</v>
      </c>
      <c r="K290" s="43">
        <v>17584.61</v>
      </c>
      <c r="L290" s="32">
        <v>19032.3</v>
      </c>
      <c r="M290" s="33"/>
      <c r="N290" s="30">
        <v>17584.61</v>
      </c>
      <c r="O290" s="30">
        <v>11200.5</v>
      </c>
      <c r="P290" s="30"/>
      <c r="Q290" s="30">
        <f>(N290+O290*0.18+J290)+(IF((P290-O290*0.18)&gt;0,(P290-O290*0.18),0))</f>
        <v>21048.39</v>
      </c>
      <c r="R290" s="7"/>
      <c r="S290" s="7"/>
      <c r="T290" s="7"/>
      <c r="U290" s="7"/>
      <c r="V290" s="7"/>
      <c r="W290" s="7"/>
      <c r="X290" s="7"/>
      <c r="Y290" s="7"/>
      <c r="Z290" s="7"/>
    </row>
    <row r="291" spans="1:26" ht="9" customHeight="1" x14ac:dyDescent="0.2">
      <c r="A291" s="534"/>
      <c r="B291" s="534"/>
      <c r="C291" s="34" t="s">
        <v>37</v>
      </c>
      <c r="D291" s="35">
        <v>21</v>
      </c>
      <c r="E291" s="36">
        <v>18959995</v>
      </c>
      <c r="F291" s="36">
        <v>2075991</v>
      </c>
      <c r="G291" s="36">
        <v>240001</v>
      </c>
      <c r="H291" s="36">
        <v>12361361</v>
      </c>
      <c r="I291" s="36">
        <v>411206</v>
      </c>
      <c r="J291" s="37">
        <v>2803119</v>
      </c>
      <c r="K291" s="36">
        <v>34048553</v>
      </c>
      <c r="L291" s="38">
        <v>36851672</v>
      </c>
      <c r="M291" s="39"/>
      <c r="N291" s="36">
        <v>34048553</v>
      </c>
      <c r="O291" s="36">
        <v>21687192</v>
      </c>
      <c r="P291" s="36">
        <v>0</v>
      </c>
      <c r="Q291" s="36">
        <f>Q290*1936.27</f>
        <v>40755366.105300002</v>
      </c>
      <c r="R291" s="7"/>
      <c r="S291" s="7"/>
      <c r="T291" s="7"/>
      <c r="U291" s="7"/>
      <c r="V291" s="7"/>
      <c r="W291" s="7"/>
      <c r="X291" s="7"/>
      <c r="Y291" s="7"/>
      <c r="Z291" s="7"/>
    </row>
    <row r="292" spans="1:26" ht="12.75" customHeight="1" x14ac:dyDescent="0.2">
      <c r="A292" s="534"/>
      <c r="B292" s="534"/>
      <c r="C292" s="40" t="s">
        <v>36</v>
      </c>
      <c r="D292" s="41">
        <v>22</v>
      </c>
      <c r="E292" s="42">
        <v>10058.51</v>
      </c>
      <c r="F292" s="42">
        <v>1103.1500000000001</v>
      </c>
      <c r="G292" s="42">
        <v>123.95</v>
      </c>
      <c r="H292" s="42">
        <v>6384.11</v>
      </c>
      <c r="I292" s="42">
        <v>212.37</v>
      </c>
      <c r="J292" s="42">
        <v>1472.48</v>
      </c>
      <c r="K292" s="43">
        <v>17882.09</v>
      </c>
      <c r="L292" s="32">
        <v>19354.57</v>
      </c>
      <c r="M292" s="33"/>
      <c r="N292" s="30">
        <v>17882.09</v>
      </c>
      <c r="O292" s="30">
        <v>11497.98</v>
      </c>
      <c r="P292" s="30"/>
      <c r="Q292" s="30">
        <f>(N292+O292*0.18+J292)+(IF((P292-O292*0.18)&gt;0,(P292-O292*0.18),0))</f>
        <v>21424.206399999999</v>
      </c>
      <c r="R292" s="7"/>
      <c r="S292" s="7"/>
      <c r="T292" s="7"/>
      <c r="U292" s="7"/>
      <c r="V292" s="7"/>
      <c r="W292" s="7"/>
      <c r="X292" s="7"/>
      <c r="Y292" s="7"/>
      <c r="Z292" s="7"/>
    </row>
    <row r="293" spans="1:26" ht="9" customHeight="1" x14ac:dyDescent="0.2">
      <c r="A293" s="534"/>
      <c r="B293" s="534"/>
      <c r="C293" s="34" t="s">
        <v>37</v>
      </c>
      <c r="D293" s="35">
        <v>23</v>
      </c>
      <c r="E293" s="36">
        <v>19475991</v>
      </c>
      <c r="F293" s="36">
        <v>2135996</v>
      </c>
      <c r="G293" s="36">
        <v>240001</v>
      </c>
      <c r="H293" s="36">
        <v>12361361</v>
      </c>
      <c r="I293" s="36">
        <v>411206</v>
      </c>
      <c r="J293" s="37">
        <v>2851119</v>
      </c>
      <c r="K293" s="36">
        <v>34624554</v>
      </c>
      <c r="L293" s="38">
        <v>37475673</v>
      </c>
      <c r="M293" s="39"/>
      <c r="N293" s="36">
        <v>34624554</v>
      </c>
      <c r="O293" s="36">
        <v>22263194</v>
      </c>
      <c r="P293" s="36">
        <v>0</v>
      </c>
      <c r="Q293" s="36">
        <f>Q292*1936.27</f>
        <v>41483048.126127996</v>
      </c>
      <c r="R293" s="7"/>
      <c r="S293" s="7"/>
      <c r="T293" s="7"/>
      <c r="U293" s="7"/>
      <c r="V293" s="7"/>
      <c r="W293" s="7"/>
      <c r="X293" s="7"/>
      <c r="Y293" s="7"/>
      <c r="Z293" s="7"/>
    </row>
    <row r="294" spans="1:26" ht="12.75" customHeight="1" x14ac:dyDescent="0.2">
      <c r="A294" s="534"/>
      <c r="B294" s="534"/>
      <c r="C294" s="40" t="s">
        <v>36</v>
      </c>
      <c r="D294" s="41">
        <v>24</v>
      </c>
      <c r="E294" s="42">
        <v>10331.200000000001</v>
      </c>
      <c r="F294" s="42">
        <v>1134.1400000000001</v>
      </c>
      <c r="G294" s="42">
        <v>123.95</v>
      </c>
      <c r="H294" s="42">
        <v>6384.11</v>
      </c>
      <c r="I294" s="42">
        <v>212.37</v>
      </c>
      <c r="J294" s="42">
        <v>1497.78</v>
      </c>
      <c r="K294" s="43">
        <v>18185.77</v>
      </c>
      <c r="L294" s="32">
        <v>19683.55</v>
      </c>
      <c r="M294" s="33"/>
      <c r="N294" s="30">
        <v>18185.77</v>
      </c>
      <c r="O294" s="30">
        <v>11801.66</v>
      </c>
      <c r="P294" s="30"/>
      <c r="Q294" s="30">
        <f>(N294+O294*0.18+J294)+(IF((P294-O294*0.18)&gt;0,(P294-O294*0.18),0))</f>
        <v>21807.8488</v>
      </c>
      <c r="R294" s="7"/>
      <c r="S294" s="7"/>
      <c r="T294" s="7"/>
      <c r="U294" s="7"/>
      <c r="V294" s="7"/>
      <c r="W294" s="7"/>
      <c r="X294" s="7"/>
      <c r="Y294" s="7"/>
      <c r="Z294" s="7"/>
    </row>
    <row r="295" spans="1:26" ht="9" customHeight="1" x14ac:dyDescent="0.2">
      <c r="A295" s="534"/>
      <c r="B295" s="534"/>
      <c r="C295" s="34" t="s">
        <v>37</v>
      </c>
      <c r="D295" s="35">
        <v>25</v>
      </c>
      <c r="E295" s="36">
        <v>20003993</v>
      </c>
      <c r="F295" s="36">
        <v>2196001</v>
      </c>
      <c r="G295" s="36">
        <v>240001</v>
      </c>
      <c r="H295" s="36">
        <v>12361361</v>
      </c>
      <c r="I295" s="36">
        <v>411206</v>
      </c>
      <c r="J295" s="37">
        <v>2900106</v>
      </c>
      <c r="K295" s="36">
        <v>35212561</v>
      </c>
      <c r="L295" s="38">
        <v>38112667</v>
      </c>
      <c r="M295" s="39"/>
      <c r="N295" s="36">
        <v>35212561</v>
      </c>
      <c r="O295" s="36">
        <v>22851200</v>
      </c>
      <c r="P295" s="36">
        <v>0</v>
      </c>
      <c r="Q295" s="36">
        <f>Q294*1936.27</f>
        <v>42225883.395976</v>
      </c>
      <c r="R295" s="7"/>
      <c r="S295" s="7"/>
      <c r="T295" s="7"/>
      <c r="U295" s="7"/>
      <c r="V295" s="7"/>
      <c r="W295" s="7"/>
      <c r="X295" s="7"/>
      <c r="Y295" s="7"/>
      <c r="Z295" s="7"/>
    </row>
    <row r="296" spans="1:26" ht="12.75" customHeight="1" x14ac:dyDescent="0.2">
      <c r="A296" s="534"/>
      <c r="B296" s="534"/>
      <c r="C296" s="40" t="s">
        <v>36</v>
      </c>
      <c r="D296" s="41">
        <v>26</v>
      </c>
      <c r="E296" s="42">
        <v>10603.89</v>
      </c>
      <c r="F296" s="42">
        <v>1165.1300000000001</v>
      </c>
      <c r="G296" s="42">
        <v>123.95</v>
      </c>
      <c r="H296" s="42">
        <v>6384.11</v>
      </c>
      <c r="I296" s="42">
        <v>212.37</v>
      </c>
      <c r="J296" s="42">
        <v>1523.09</v>
      </c>
      <c r="K296" s="43">
        <v>18489.45</v>
      </c>
      <c r="L296" s="32">
        <v>20012.54</v>
      </c>
      <c r="M296" s="33"/>
      <c r="N296" s="30">
        <v>18489.45</v>
      </c>
      <c r="O296" s="30">
        <v>12105.34</v>
      </c>
      <c r="P296" s="30"/>
      <c r="Q296" s="30">
        <f>(N296+O296*0.18+J296)+(IF((P296-O296*0.18)&gt;0,(P296-O296*0.18),0))</f>
        <v>22191.501200000002</v>
      </c>
      <c r="R296" s="7"/>
      <c r="S296" s="7"/>
      <c r="T296" s="7"/>
      <c r="U296" s="7"/>
      <c r="V296" s="7"/>
      <c r="W296" s="7"/>
      <c r="X296" s="7"/>
      <c r="Y296" s="7"/>
      <c r="Z296" s="7"/>
    </row>
    <row r="297" spans="1:26" ht="9" customHeight="1" x14ac:dyDescent="0.2">
      <c r="A297" s="534"/>
      <c r="B297" s="534"/>
      <c r="C297" s="34" t="s">
        <v>37</v>
      </c>
      <c r="D297" s="35">
        <v>27</v>
      </c>
      <c r="E297" s="36">
        <v>20531994</v>
      </c>
      <c r="F297" s="36">
        <v>2256006</v>
      </c>
      <c r="G297" s="36">
        <v>240001</v>
      </c>
      <c r="H297" s="36">
        <v>12361361</v>
      </c>
      <c r="I297" s="36">
        <v>411206</v>
      </c>
      <c r="J297" s="37">
        <v>2949113</v>
      </c>
      <c r="K297" s="36">
        <v>35800567</v>
      </c>
      <c r="L297" s="38">
        <v>38749681</v>
      </c>
      <c r="M297" s="39"/>
      <c r="N297" s="36">
        <v>35800567</v>
      </c>
      <c r="O297" s="36">
        <v>23439207</v>
      </c>
      <c r="P297" s="36">
        <v>0</v>
      </c>
      <c r="Q297" s="36">
        <f>Q296*1936.27</f>
        <v>42968738.028524004</v>
      </c>
      <c r="R297" s="7"/>
      <c r="S297" s="7"/>
      <c r="T297" s="7"/>
      <c r="U297" s="7"/>
      <c r="V297" s="7"/>
      <c r="W297" s="7"/>
      <c r="X297" s="7"/>
      <c r="Y297" s="7"/>
      <c r="Z297" s="7"/>
    </row>
    <row r="298" spans="1:26" ht="12.75" customHeight="1" x14ac:dyDescent="0.2">
      <c r="A298" s="534"/>
      <c r="B298" s="534"/>
      <c r="C298" s="40" t="s">
        <v>36</v>
      </c>
      <c r="D298" s="41">
        <v>28</v>
      </c>
      <c r="E298" s="42">
        <v>10870.38</v>
      </c>
      <c r="F298" s="42">
        <v>1189.92</v>
      </c>
      <c r="G298" s="42">
        <v>123.95</v>
      </c>
      <c r="H298" s="42">
        <v>6384.11</v>
      </c>
      <c r="I298" s="42">
        <v>212.37</v>
      </c>
      <c r="J298" s="42">
        <v>1547.36</v>
      </c>
      <c r="K298" s="43">
        <v>18780.73</v>
      </c>
      <c r="L298" s="32">
        <v>20328.09</v>
      </c>
      <c r="M298" s="33"/>
      <c r="N298" s="30">
        <v>18780.73</v>
      </c>
      <c r="O298" s="30">
        <v>12396.62</v>
      </c>
      <c r="P298" s="30"/>
      <c r="Q298" s="30">
        <f>(N298+O298*0.18+J298)+(IF((P298-O298*0.18)&gt;0,(P298-O298*0.18),0))</f>
        <v>22559.481599999999</v>
      </c>
      <c r="R298" s="7"/>
      <c r="S298" s="7"/>
      <c r="T298" s="7"/>
      <c r="U298" s="7"/>
      <c r="V298" s="7"/>
      <c r="W298" s="7"/>
      <c r="X298" s="7"/>
      <c r="Y298" s="7"/>
      <c r="Z298" s="7"/>
    </row>
    <row r="299" spans="1:26" ht="9" customHeight="1" x14ac:dyDescent="0.2">
      <c r="A299" s="534"/>
      <c r="B299" s="534"/>
      <c r="C299" s="34" t="s">
        <v>37</v>
      </c>
      <c r="D299" s="35">
        <v>29</v>
      </c>
      <c r="E299" s="36">
        <v>21047991</v>
      </c>
      <c r="F299" s="36">
        <v>2304006</v>
      </c>
      <c r="G299" s="36">
        <v>240001</v>
      </c>
      <c r="H299" s="36">
        <v>12361361</v>
      </c>
      <c r="I299" s="36">
        <v>411206</v>
      </c>
      <c r="J299" s="37">
        <v>2996107</v>
      </c>
      <c r="K299" s="36">
        <v>36364564</v>
      </c>
      <c r="L299" s="38">
        <v>39360671</v>
      </c>
      <c r="M299" s="39"/>
      <c r="N299" s="36">
        <v>36364564</v>
      </c>
      <c r="O299" s="36">
        <v>24003203</v>
      </c>
      <c r="P299" s="36">
        <v>0</v>
      </c>
      <c r="Q299" s="36">
        <f>Q298*1936.27</f>
        <v>43681247.437631994</v>
      </c>
      <c r="R299" s="7"/>
      <c r="S299" s="7"/>
      <c r="T299" s="7"/>
      <c r="U299" s="7"/>
      <c r="V299" s="7"/>
      <c r="W299" s="7"/>
      <c r="X299" s="7"/>
      <c r="Y299" s="7"/>
      <c r="Z299" s="7"/>
    </row>
    <row r="300" spans="1:26" ht="12.75" customHeight="1" x14ac:dyDescent="0.2">
      <c r="A300" s="534"/>
      <c r="B300" s="534"/>
      <c r="C300" s="40" t="s">
        <v>36</v>
      </c>
      <c r="D300" s="41">
        <v>30</v>
      </c>
      <c r="E300" s="42">
        <v>11136.88</v>
      </c>
      <c r="F300" s="42">
        <v>1220.9000000000001</v>
      </c>
      <c r="G300" s="42">
        <v>123.95</v>
      </c>
      <c r="H300" s="42">
        <v>6384.11</v>
      </c>
      <c r="I300" s="42">
        <v>212.37</v>
      </c>
      <c r="J300" s="42">
        <v>1572.15</v>
      </c>
      <c r="K300" s="43">
        <v>19078.21</v>
      </c>
      <c r="L300" s="32">
        <v>20650.36</v>
      </c>
      <c r="M300" s="33"/>
      <c r="N300" s="30">
        <v>19078.21</v>
      </c>
      <c r="O300" s="30">
        <v>12694.1</v>
      </c>
      <c r="P300" s="30"/>
      <c r="Q300" s="30">
        <f>(N300+O300*0.18+J300)+(IF((P300-O300*0.18)&gt;0,(P300-O300*0.18),0))</f>
        <v>22935.298000000003</v>
      </c>
      <c r="R300" s="7"/>
      <c r="S300" s="7"/>
      <c r="T300" s="7"/>
      <c r="U300" s="7"/>
      <c r="V300" s="7"/>
      <c r="W300" s="7"/>
      <c r="X300" s="7"/>
      <c r="Y300" s="7"/>
      <c r="Z300" s="7"/>
    </row>
    <row r="301" spans="1:26" ht="9" customHeight="1" x14ac:dyDescent="0.2">
      <c r="A301" s="534"/>
      <c r="B301" s="534"/>
      <c r="C301" s="34" t="s">
        <v>37</v>
      </c>
      <c r="D301" s="35">
        <v>31</v>
      </c>
      <c r="E301" s="36">
        <v>21564007</v>
      </c>
      <c r="F301" s="36">
        <v>2363992</v>
      </c>
      <c r="G301" s="36">
        <v>240001</v>
      </c>
      <c r="H301" s="36">
        <v>12361361</v>
      </c>
      <c r="I301" s="36">
        <v>411206</v>
      </c>
      <c r="J301" s="37">
        <v>3044107</v>
      </c>
      <c r="K301" s="36">
        <v>36940566</v>
      </c>
      <c r="L301" s="38">
        <v>39984673</v>
      </c>
      <c r="M301" s="39"/>
      <c r="N301" s="36">
        <v>36940566</v>
      </c>
      <c r="O301" s="36">
        <v>24579205</v>
      </c>
      <c r="P301" s="36">
        <v>0</v>
      </c>
      <c r="Q301" s="36">
        <f>Q300*1936.27</f>
        <v>44408929.458460003</v>
      </c>
      <c r="R301" s="7"/>
      <c r="S301" s="7"/>
      <c r="T301" s="7"/>
      <c r="U301" s="7"/>
      <c r="V301" s="7"/>
      <c r="W301" s="7"/>
      <c r="X301" s="7"/>
      <c r="Y301" s="7"/>
      <c r="Z301" s="7"/>
    </row>
    <row r="302" spans="1:26" ht="12.75" customHeight="1" x14ac:dyDescent="0.2">
      <c r="A302" s="534"/>
      <c r="B302" s="534"/>
      <c r="C302" s="40" t="s">
        <v>36</v>
      </c>
      <c r="D302" s="41">
        <v>32</v>
      </c>
      <c r="E302" s="42">
        <v>11409.57</v>
      </c>
      <c r="F302" s="42">
        <v>1251.8900000000001</v>
      </c>
      <c r="G302" s="42">
        <v>123.95</v>
      </c>
      <c r="H302" s="42">
        <v>6384.11</v>
      </c>
      <c r="I302" s="42">
        <v>212.37</v>
      </c>
      <c r="J302" s="42">
        <v>1597.46</v>
      </c>
      <c r="K302" s="43">
        <v>19381.89</v>
      </c>
      <c r="L302" s="32">
        <v>20979.35</v>
      </c>
      <c r="M302" s="33"/>
      <c r="N302" s="30">
        <v>19381.89</v>
      </c>
      <c r="O302" s="30">
        <v>12997.78</v>
      </c>
      <c r="P302" s="30"/>
      <c r="Q302" s="30">
        <f>(N302+O302*0.18+J302)+(IF((P302-O302*0.18)&gt;0,(P302-O302*0.18),0))</f>
        <v>23318.950399999998</v>
      </c>
      <c r="R302" s="7"/>
      <c r="S302" s="7"/>
      <c r="T302" s="7"/>
      <c r="U302" s="7"/>
      <c r="V302" s="7"/>
      <c r="W302" s="7"/>
      <c r="X302" s="7"/>
      <c r="Y302" s="7"/>
      <c r="Z302" s="7"/>
    </row>
    <row r="303" spans="1:26" ht="9" customHeight="1" x14ac:dyDescent="0.2">
      <c r="A303" s="534"/>
      <c r="B303" s="534"/>
      <c r="C303" s="34" t="s">
        <v>37</v>
      </c>
      <c r="D303" s="35">
        <v>33</v>
      </c>
      <c r="E303" s="36">
        <v>22092008</v>
      </c>
      <c r="F303" s="36">
        <v>2423997</v>
      </c>
      <c r="G303" s="36">
        <v>240001</v>
      </c>
      <c r="H303" s="36">
        <v>12361361</v>
      </c>
      <c r="I303" s="36">
        <v>411206</v>
      </c>
      <c r="J303" s="37">
        <v>3093114</v>
      </c>
      <c r="K303" s="36">
        <v>37528572</v>
      </c>
      <c r="L303" s="38">
        <v>40621686</v>
      </c>
      <c r="M303" s="39"/>
      <c r="N303" s="36">
        <v>37528572</v>
      </c>
      <c r="O303" s="36">
        <v>25167211</v>
      </c>
      <c r="P303" s="36">
        <v>0</v>
      </c>
      <c r="Q303" s="36">
        <f>Q302*1936.27</f>
        <v>45151784.091007993</v>
      </c>
      <c r="R303" s="7"/>
      <c r="S303" s="7"/>
      <c r="T303" s="7"/>
      <c r="U303" s="7"/>
      <c r="V303" s="7"/>
      <c r="W303" s="7"/>
      <c r="X303" s="7"/>
      <c r="Y303" s="7"/>
      <c r="Z303" s="7"/>
    </row>
    <row r="304" spans="1:26" ht="12.75" customHeight="1" x14ac:dyDescent="0.2">
      <c r="A304" s="534"/>
      <c r="B304" s="534"/>
      <c r="C304" s="40" t="s">
        <v>36</v>
      </c>
      <c r="D304" s="41">
        <v>34</v>
      </c>
      <c r="E304" s="42">
        <v>11676.06</v>
      </c>
      <c r="F304" s="42">
        <v>1282.8800000000001</v>
      </c>
      <c r="G304" s="42">
        <v>123.95</v>
      </c>
      <c r="H304" s="42">
        <v>6384.11</v>
      </c>
      <c r="I304" s="42">
        <v>212.37</v>
      </c>
      <c r="J304" s="42">
        <v>1622.25</v>
      </c>
      <c r="K304" s="43">
        <v>19679.37</v>
      </c>
      <c r="L304" s="32">
        <v>21301.62</v>
      </c>
      <c r="M304" s="33"/>
      <c r="N304" s="30">
        <v>19679.37</v>
      </c>
      <c r="O304" s="30">
        <v>13295.26</v>
      </c>
      <c r="P304" s="30"/>
      <c r="Q304" s="30">
        <f>(N304+O304*0.18+J304)+(IF((P304-O304*0.18)&gt;0,(P304-O304*0.18),0))</f>
        <v>23694.766799999998</v>
      </c>
      <c r="R304" s="7"/>
      <c r="S304" s="7"/>
      <c r="T304" s="7"/>
      <c r="U304" s="7"/>
      <c r="V304" s="7"/>
      <c r="W304" s="7"/>
      <c r="X304" s="7"/>
      <c r="Y304" s="7"/>
      <c r="Z304" s="7"/>
    </row>
    <row r="305" spans="1:26" ht="9" customHeight="1" x14ac:dyDescent="0.2">
      <c r="A305" s="534"/>
      <c r="B305" s="534"/>
      <c r="C305" s="34" t="s">
        <v>37</v>
      </c>
      <c r="D305" s="35">
        <v>35</v>
      </c>
      <c r="E305" s="36">
        <v>22608005</v>
      </c>
      <c r="F305" s="36">
        <v>2484002</v>
      </c>
      <c r="G305" s="36">
        <v>240001</v>
      </c>
      <c r="H305" s="36">
        <v>12361361</v>
      </c>
      <c r="I305" s="36">
        <v>411206</v>
      </c>
      <c r="J305" s="37">
        <v>3141114</v>
      </c>
      <c r="K305" s="36">
        <v>38104574</v>
      </c>
      <c r="L305" s="38">
        <v>41245688</v>
      </c>
      <c r="M305" s="39"/>
      <c r="N305" s="36">
        <v>38104574</v>
      </c>
      <c r="O305" s="36">
        <v>25743213</v>
      </c>
      <c r="P305" s="36">
        <v>0</v>
      </c>
      <c r="Q305" s="36">
        <f>Q304*1936.27</f>
        <v>45879466.111835994</v>
      </c>
      <c r="R305" s="7"/>
      <c r="S305" s="7"/>
      <c r="T305" s="7"/>
      <c r="U305" s="7"/>
      <c r="V305" s="7"/>
      <c r="W305" s="7"/>
      <c r="X305" s="7"/>
      <c r="Y305" s="7"/>
      <c r="Z305" s="7"/>
    </row>
    <row r="306" spans="1:26" ht="12.75" customHeight="1" x14ac:dyDescent="0.2">
      <c r="A306" s="534"/>
      <c r="B306" s="534"/>
      <c r="C306" s="40" t="s">
        <v>36</v>
      </c>
      <c r="D306" s="41">
        <v>36</v>
      </c>
      <c r="E306" s="42">
        <v>11948.75</v>
      </c>
      <c r="F306" s="42">
        <v>1313.87</v>
      </c>
      <c r="G306" s="42">
        <v>123.95</v>
      </c>
      <c r="H306" s="42">
        <v>6384.11</v>
      </c>
      <c r="I306" s="42">
        <v>212.37</v>
      </c>
      <c r="J306" s="42">
        <v>1647.56</v>
      </c>
      <c r="K306" s="43">
        <v>19983.05</v>
      </c>
      <c r="L306" s="32">
        <v>21630.61</v>
      </c>
      <c r="M306" s="33"/>
      <c r="N306" s="30">
        <v>19983.05</v>
      </c>
      <c r="O306" s="30">
        <v>13598.94</v>
      </c>
      <c r="P306" s="30"/>
      <c r="Q306" s="30">
        <f>(N306+O306*0.18+J306)+(IF((P306-O306*0.18)&gt;0,(P306-O306*0.18),0))</f>
        <v>24078.4192</v>
      </c>
      <c r="R306" s="7"/>
      <c r="S306" s="7"/>
      <c r="T306" s="7"/>
      <c r="U306" s="7"/>
      <c r="V306" s="7"/>
      <c r="W306" s="7"/>
      <c r="X306" s="7"/>
      <c r="Y306" s="7"/>
      <c r="Z306" s="7"/>
    </row>
    <row r="307" spans="1:26" ht="9" customHeight="1" x14ac:dyDescent="0.2">
      <c r="A307" s="534"/>
      <c r="B307" s="534"/>
      <c r="C307" s="34" t="s">
        <v>37</v>
      </c>
      <c r="D307" s="35">
        <v>37</v>
      </c>
      <c r="E307" s="36">
        <v>23136006</v>
      </c>
      <c r="F307" s="36">
        <v>2544007</v>
      </c>
      <c r="G307" s="36">
        <v>240001</v>
      </c>
      <c r="H307" s="36">
        <v>12361361</v>
      </c>
      <c r="I307" s="36">
        <v>411206</v>
      </c>
      <c r="J307" s="37">
        <v>3190121</v>
      </c>
      <c r="K307" s="36">
        <v>38692580</v>
      </c>
      <c r="L307" s="38">
        <v>41882701</v>
      </c>
      <c r="M307" s="39"/>
      <c r="N307" s="36">
        <v>38692580</v>
      </c>
      <c r="O307" s="36">
        <v>26331220</v>
      </c>
      <c r="P307" s="36">
        <v>0</v>
      </c>
      <c r="Q307" s="36">
        <f>Q306*1936.27</f>
        <v>46622320.744383998</v>
      </c>
      <c r="R307" s="7"/>
      <c r="S307" s="7"/>
      <c r="T307" s="7"/>
      <c r="U307" s="7"/>
      <c r="V307" s="7"/>
      <c r="W307" s="7"/>
      <c r="X307" s="7"/>
      <c r="Y307" s="7"/>
      <c r="Z307" s="7"/>
    </row>
    <row r="308" spans="1:26" ht="12.75" customHeight="1" x14ac:dyDescent="0.2">
      <c r="A308" s="534"/>
      <c r="B308" s="534"/>
      <c r="C308" s="40" t="s">
        <v>36</v>
      </c>
      <c r="D308" s="41">
        <v>38</v>
      </c>
      <c r="E308" s="42">
        <v>12215.24</v>
      </c>
      <c r="F308" s="42">
        <v>1338.66</v>
      </c>
      <c r="G308" s="42">
        <v>123.95</v>
      </c>
      <c r="H308" s="42">
        <v>6384.11</v>
      </c>
      <c r="I308" s="42">
        <v>212.37</v>
      </c>
      <c r="J308" s="42">
        <v>1671.83</v>
      </c>
      <c r="K308" s="43">
        <v>20274.330000000002</v>
      </c>
      <c r="L308" s="32">
        <v>21946.16</v>
      </c>
      <c r="M308" s="33"/>
      <c r="N308" s="30">
        <v>20274.330000000002</v>
      </c>
      <c r="O308" s="30">
        <v>13890.22</v>
      </c>
      <c r="P308" s="30"/>
      <c r="Q308" s="30">
        <f>(N308+O308*0.18+J308)+(IF((P308-O308*0.18)&gt;0,(P308-O308*0.18),0))</f>
        <v>24446.399600000004</v>
      </c>
      <c r="R308" s="7"/>
      <c r="S308" s="7"/>
      <c r="T308" s="7"/>
      <c r="U308" s="7"/>
      <c r="V308" s="7"/>
      <c r="W308" s="7"/>
      <c r="X308" s="7"/>
      <c r="Y308" s="7"/>
      <c r="Z308" s="7"/>
    </row>
    <row r="309" spans="1:26" ht="9" customHeight="1" x14ac:dyDescent="0.2">
      <c r="A309" s="534"/>
      <c r="B309" s="534"/>
      <c r="C309" s="34" t="s">
        <v>37</v>
      </c>
      <c r="D309" s="35">
        <v>39</v>
      </c>
      <c r="E309" s="36">
        <v>23652003</v>
      </c>
      <c r="F309" s="36">
        <v>2592007</v>
      </c>
      <c r="G309" s="36">
        <v>240001</v>
      </c>
      <c r="H309" s="36">
        <v>12361361</v>
      </c>
      <c r="I309" s="36">
        <v>411206</v>
      </c>
      <c r="J309" s="37">
        <v>3237114</v>
      </c>
      <c r="K309" s="36">
        <v>39256577</v>
      </c>
      <c r="L309" s="38">
        <v>42493691</v>
      </c>
      <c r="M309" s="39"/>
      <c r="N309" s="36">
        <v>39256577</v>
      </c>
      <c r="O309" s="36">
        <v>26895216</v>
      </c>
      <c r="P309" s="36">
        <v>0</v>
      </c>
      <c r="Q309" s="36">
        <f>Q308*1936.27</f>
        <v>47334830.153492011</v>
      </c>
      <c r="R309" s="7"/>
      <c r="S309" s="7"/>
      <c r="T309" s="7"/>
      <c r="U309" s="7"/>
      <c r="V309" s="7"/>
      <c r="W309" s="7"/>
      <c r="X309" s="7"/>
      <c r="Y309" s="7"/>
      <c r="Z309" s="7"/>
    </row>
    <row r="310" spans="1:26" ht="12.75" customHeight="1" x14ac:dyDescent="0.2">
      <c r="A310" s="534"/>
      <c r="B310" s="534"/>
      <c r="C310" s="40" t="s">
        <v>36</v>
      </c>
      <c r="D310" s="41">
        <v>40</v>
      </c>
      <c r="E310" s="42">
        <v>12487.93</v>
      </c>
      <c r="F310" s="42">
        <v>1369.64</v>
      </c>
      <c r="G310" s="42">
        <v>123.95</v>
      </c>
      <c r="H310" s="42">
        <v>6384.11</v>
      </c>
      <c r="I310" s="42">
        <v>212.37</v>
      </c>
      <c r="J310" s="42">
        <v>1697.14</v>
      </c>
      <c r="K310" s="43">
        <v>20578</v>
      </c>
      <c r="L310" s="32">
        <v>22275.14</v>
      </c>
      <c r="M310" s="33"/>
      <c r="N310" s="30">
        <v>20578</v>
      </c>
      <c r="O310" s="30">
        <v>14193.89</v>
      </c>
      <c r="P310" s="30"/>
      <c r="Q310" s="30">
        <f>(N310+O310*0.18+J310)+(IF((P310-O310*0.18)&gt;0,(P310-O310*0.18),0))</f>
        <v>24830.040199999999</v>
      </c>
      <c r="R310" s="7"/>
      <c r="S310" s="7"/>
      <c r="T310" s="7"/>
      <c r="U310" s="7"/>
      <c r="V310" s="7"/>
      <c r="W310" s="7"/>
      <c r="X310" s="7"/>
      <c r="Y310" s="7"/>
      <c r="Z310" s="7"/>
    </row>
    <row r="311" spans="1:26" ht="12.75" customHeight="1" x14ac:dyDescent="0.2">
      <c r="A311" s="534"/>
      <c r="B311" s="534"/>
      <c r="C311" s="115"/>
      <c r="D311" s="45"/>
      <c r="E311" s="116"/>
      <c r="F311" s="116"/>
      <c r="G311" s="116"/>
      <c r="H311" s="116"/>
      <c r="I311" s="116"/>
      <c r="J311" s="117"/>
      <c r="K311" s="118"/>
      <c r="L311" s="119"/>
      <c r="M311" s="33"/>
      <c r="N311" s="116"/>
      <c r="O311" s="116"/>
      <c r="P311" s="116"/>
      <c r="Q311" s="116"/>
      <c r="R311" s="7"/>
      <c r="S311" s="7"/>
      <c r="T311" s="7"/>
      <c r="U311" s="7"/>
      <c r="V311" s="7"/>
      <c r="W311" s="7"/>
      <c r="X311" s="7"/>
      <c r="Y311" s="7"/>
      <c r="Z311" s="7"/>
    </row>
    <row r="312" spans="1:26" ht="12.75" customHeight="1" x14ac:dyDescent="0.2">
      <c r="A312" s="534"/>
      <c r="B312" s="534"/>
      <c r="C312" s="115"/>
      <c r="D312" s="45"/>
      <c r="E312" s="116"/>
      <c r="F312" s="116"/>
      <c r="G312" s="116"/>
      <c r="H312" s="116"/>
      <c r="I312" s="116"/>
      <c r="J312" s="117"/>
      <c r="K312" s="118"/>
      <c r="L312" s="119"/>
      <c r="M312" s="33"/>
      <c r="N312" s="116"/>
      <c r="O312" s="116"/>
      <c r="P312" s="116"/>
      <c r="Q312" s="116"/>
      <c r="R312" s="7"/>
      <c r="S312" s="7"/>
      <c r="T312" s="7"/>
      <c r="U312" s="7"/>
      <c r="V312" s="7"/>
      <c r="W312" s="7"/>
      <c r="X312" s="7"/>
      <c r="Y312" s="7"/>
      <c r="Z312" s="7"/>
    </row>
    <row r="313" spans="1:26" ht="9" customHeight="1" x14ac:dyDescent="0.2">
      <c r="A313" s="535"/>
      <c r="B313" s="535"/>
      <c r="C313" s="47"/>
      <c r="D313" s="48"/>
      <c r="E313" s="46">
        <v>24180004</v>
      </c>
      <c r="F313" s="46">
        <v>2651993</v>
      </c>
      <c r="G313" s="46">
        <v>240001</v>
      </c>
      <c r="H313" s="46">
        <v>12361361</v>
      </c>
      <c r="I313" s="46">
        <v>411206</v>
      </c>
      <c r="J313" s="49">
        <v>3286121</v>
      </c>
      <c r="K313" s="46">
        <v>39844564</v>
      </c>
      <c r="L313" s="38">
        <v>43130685</v>
      </c>
      <c r="M313" s="39"/>
      <c r="N313" s="36">
        <v>39844564</v>
      </c>
      <c r="O313" s="36">
        <v>27483203</v>
      </c>
      <c r="P313" s="36">
        <v>0</v>
      </c>
      <c r="Q313" s="36">
        <f>Q310*1936.27</f>
        <v>48077661.938053995</v>
      </c>
      <c r="R313" s="7"/>
      <c r="S313" s="7"/>
      <c r="T313" s="7"/>
      <c r="U313" s="7"/>
      <c r="V313" s="7"/>
      <c r="W313" s="7"/>
      <c r="X313" s="7"/>
      <c r="Y313" s="7"/>
      <c r="Z313" s="7"/>
    </row>
    <row r="314" spans="1:26" ht="12.75" customHeight="1" x14ac:dyDescent="0.2">
      <c r="A314" s="538">
        <v>34700</v>
      </c>
      <c r="B314" s="538">
        <v>35033</v>
      </c>
      <c r="C314" s="28" t="s">
        <v>36</v>
      </c>
      <c r="D314" s="29">
        <v>0</v>
      </c>
      <c r="E314" s="30">
        <v>6157.34</v>
      </c>
      <c r="F314" s="30">
        <v>632.14</v>
      </c>
      <c r="G314" s="30">
        <v>123.95</v>
      </c>
      <c r="H314" s="30">
        <v>6384.11</v>
      </c>
      <c r="I314" s="30">
        <v>0</v>
      </c>
      <c r="J314" s="30">
        <v>1108.1300000000001</v>
      </c>
      <c r="K314" s="31">
        <v>13297.54</v>
      </c>
      <c r="L314" s="120">
        <v>14405.67</v>
      </c>
      <c r="M314" s="33"/>
      <c r="N314" s="30">
        <v>13297.54</v>
      </c>
      <c r="O314" s="30">
        <v>6913.43</v>
      </c>
      <c r="P314" s="30"/>
      <c r="Q314" s="30">
        <f>(N314+O314*0.18+J314)+(IF((P314-O314*0.18)&gt;0,(P314-O314*0.18),0))</f>
        <v>15650.0874</v>
      </c>
      <c r="R314" s="7"/>
      <c r="S314" s="7"/>
      <c r="T314" s="7"/>
      <c r="U314" s="7"/>
      <c r="V314" s="7"/>
      <c r="W314" s="7"/>
      <c r="X314" s="7"/>
      <c r="Y314" s="7"/>
      <c r="Z314" s="7"/>
    </row>
    <row r="315" spans="1:26" ht="9" customHeight="1" x14ac:dyDescent="0.2">
      <c r="A315" s="534"/>
      <c r="B315" s="534"/>
      <c r="C315" s="34" t="s">
        <v>37</v>
      </c>
      <c r="D315" s="35">
        <v>2</v>
      </c>
      <c r="E315" s="36">
        <v>11922273</v>
      </c>
      <c r="F315" s="36">
        <v>1223994</v>
      </c>
      <c r="G315" s="36">
        <v>240001</v>
      </c>
      <c r="H315" s="36">
        <v>12361361</v>
      </c>
      <c r="I315" s="36">
        <v>0</v>
      </c>
      <c r="J315" s="37">
        <v>2145639</v>
      </c>
      <c r="K315" s="36">
        <v>25747628</v>
      </c>
      <c r="L315" s="121">
        <v>27893267</v>
      </c>
      <c r="M315" s="39"/>
      <c r="N315" s="36">
        <v>25747628</v>
      </c>
      <c r="O315" s="36">
        <v>13386267</v>
      </c>
      <c r="P315" s="36">
        <v>0</v>
      </c>
      <c r="Q315" s="36">
        <f>Q314*1936.27</f>
        <v>30302794.729998</v>
      </c>
      <c r="R315" s="7"/>
      <c r="S315" s="7"/>
      <c r="T315" s="7"/>
      <c r="U315" s="7"/>
      <c r="V315" s="7"/>
      <c r="W315" s="7"/>
      <c r="X315" s="7"/>
      <c r="Y315" s="7"/>
      <c r="Z315" s="7"/>
    </row>
    <row r="316" spans="1:26" ht="12.75" customHeight="1" x14ac:dyDescent="0.2">
      <c r="A316" s="540">
        <v>34700</v>
      </c>
      <c r="B316" s="540">
        <v>35033</v>
      </c>
      <c r="C316" s="40" t="s">
        <v>36</v>
      </c>
      <c r="D316" s="41">
        <v>3</v>
      </c>
      <c r="E316" s="42">
        <v>6477.95</v>
      </c>
      <c r="F316" s="42">
        <v>663.13</v>
      </c>
      <c r="G316" s="42">
        <v>123.95</v>
      </c>
      <c r="H316" s="42">
        <v>6384.11</v>
      </c>
      <c r="I316" s="42">
        <v>0</v>
      </c>
      <c r="J316" s="42">
        <v>1137.43</v>
      </c>
      <c r="K316" s="43">
        <v>13649.14</v>
      </c>
      <c r="L316" s="122">
        <v>14786.57</v>
      </c>
      <c r="M316" s="33"/>
      <c r="N316" s="30">
        <v>13649.14</v>
      </c>
      <c r="O316" s="30">
        <v>7265.03</v>
      </c>
      <c r="P316" s="30"/>
      <c r="Q316" s="30">
        <f>(N316+O316*0.18+J316)+(IF((P316-O316*0.18)&gt;0,(P316-O316*0.18),0))</f>
        <v>16094.275399999999</v>
      </c>
      <c r="R316" s="7"/>
      <c r="S316" s="7"/>
      <c r="T316" s="7"/>
      <c r="U316" s="7"/>
      <c r="V316" s="7"/>
      <c r="W316" s="7"/>
      <c r="X316" s="7"/>
      <c r="Y316" s="7"/>
      <c r="Z316" s="7"/>
    </row>
    <row r="317" spans="1:26" ht="9" customHeight="1" x14ac:dyDescent="0.2">
      <c r="A317" s="534"/>
      <c r="B317" s="534"/>
      <c r="C317" s="34" t="s">
        <v>37</v>
      </c>
      <c r="D317" s="35">
        <v>4</v>
      </c>
      <c r="E317" s="36">
        <v>12543060</v>
      </c>
      <c r="F317" s="36">
        <v>1283999</v>
      </c>
      <c r="G317" s="36">
        <v>240001</v>
      </c>
      <c r="H317" s="36">
        <v>12361361</v>
      </c>
      <c r="I317" s="36">
        <v>0</v>
      </c>
      <c r="J317" s="37">
        <v>2202372</v>
      </c>
      <c r="K317" s="36">
        <v>26428420</v>
      </c>
      <c r="L317" s="121">
        <v>28630792</v>
      </c>
      <c r="M317" s="39"/>
      <c r="N317" s="36">
        <v>26428420</v>
      </c>
      <c r="O317" s="36">
        <v>14067060</v>
      </c>
      <c r="P317" s="36">
        <v>0</v>
      </c>
      <c r="Q317" s="36">
        <f>Q316*1936.27</f>
        <v>31162862.628757998</v>
      </c>
      <c r="R317" s="7"/>
      <c r="S317" s="7"/>
      <c r="T317" s="7"/>
      <c r="U317" s="7"/>
      <c r="V317" s="7"/>
      <c r="W317" s="7"/>
      <c r="X317" s="7"/>
      <c r="Y317" s="7"/>
      <c r="Z317" s="7"/>
    </row>
    <row r="318" spans="1:26" ht="12.75" customHeight="1" x14ac:dyDescent="0.2">
      <c r="A318" s="534"/>
      <c r="B318" s="534"/>
      <c r="C318" s="40" t="s">
        <v>36</v>
      </c>
      <c r="D318" s="41">
        <v>5</v>
      </c>
      <c r="E318" s="42">
        <v>6787.82</v>
      </c>
      <c r="F318" s="42">
        <v>700.32</v>
      </c>
      <c r="G318" s="42">
        <v>123.95</v>
      </c>
      <c r="H318" s="42">
        <v>6384.11</v>
      </c>
      <c r="I318" s="42">
        <v>0</v>
      </c>
      <c r="J318" s="42">
        <v>1166.3499999999999</v>
      </c>
      <c r="K318" s="43">
        <v>13996.2</v>
      </c>
      <c r="L318" s="122">
        <v>15162.55</v>
      </c>
      <c r="M318" s="33"/>
      <c r="N318" s="30">
        <v>13996.2</v>
      </c>
      <c r="O318" s="30">
        <v>7612.09</v>
      </c>
      <c r="P318" s="30"/>
      <c r="Q318" s="30">
        <f>(N318+O318*0.18+J318)+(IF((P318-O318*0.18)&gt;0,(P318-O318*0.18),0))</f>
        <v>16532.726200000001</v>
      </c>
      <c r="R318" s="7"/>
      <c r="S318" s="7"/>
      <c r="T318" s="7"/>
      <c r="U318" s="7"/>
      <c r="V318" s="7"/>
      <c r="W318" s="7"/>
      <c r="X318" s="7"/>
      <c r="Y318" s="7"/>
      <c r="Z318" s="7"/>
    </row>
    <row r="319" spans="1:26" ht="9" customHeight="1" x14ac:dyDescent="0.2">
      <c r="A319" s="534"/>
      <c r="B319" s="534"/>
      <c r="C319" s="34" t="s">
        <v>37</v>
      </c>
      <c r="D319" s="35">
        <v>6</v>
      </c>
      <c r="E319" s="36">
        <v>13143052</v>
      </c>
      <c r="F319" s="36">
        <v>1356009</v>
      </c>
      <c r="G319" s="36">
        <v>240001</v>
      </c>
      <c r="H319" s="36">
        <v>12361361</v>
      </c>
      <c r="I319" s="36">
        <v>0</v>
      </c>
      <c r="J319" s="37">
        <v>2258369</v>
      </c>
      <c r="K319" s="36">
        <v>27100422</v>
      </c>
      <c r="L319" s="121">
        <v>29358791</v>
      </c>
      <c r="M319" s="39"/>
      <c r="N319" s="36">
        <v>27100422</v>
      </c>
      <c r="O319" s="36">
        <v>14739062</v>
      </c>
      <c r="P319" s="36">
        <v>0</v>
      </c>
      <c r="Q319" s="36">
        <f>Q318*1936.27</f>
        <v>32011821.759274002</v>
      </c>
      <c r="R319" s="7"/>
      <c r="S319" s="7"/>
      <c r="T319" s="7"/>
      <c r="U319" s="7"/>
      <c r="V319" s="7"/>
      <c r="W319" s="7"/>
      <c r="X319" s="7"/>
      <c r="Y319" s="7"/>
      <c r="Z319" s="7"/>
    </row>
    <row r="320" spans="1:26" ht="12.75" customHeight="1" x14ac:dyDescent="0.2">
      <c r="A320" s="534"/>
      <c r="B320" s="534"/>
      <c r="C320" s="40" t="s">
        <v>36</v>
      </c>
      <c r="D320" s="41">
        <v>7</v>
      </c>
      <c r="E320" s="42">
        <v>7091.5</v>
      </c>
      <c r="F320" s="42">
        <v>731.3</v>
      </c>
      <c r="G320" s="42">
        <v>123.95</v>
      </c>
      <c r="H320" s="42">
        <v>6384.11</v>
      </c>
      <c r="I320" s="42">
        <v>0</v>
      </c>
      <c r="J320" s="42">
        <v>1194.24</v>
      </c>
      <c r="K320" s="43">
        <v>14330.86</v>
      </c>
      <c r="L320" s="122">
        <v>15525.1</v>
      </c>
      <c r="M320" s="33"/>
      <c r="N320" s="30">
        <v>14330.86</v>
      </c>
      <c r="O320" s="30">
        <v>7946.75</v>
      </c>
      <c r="P320" s="30"/>
      <c r="Q320" s="30">
        <f>(N320+O320*0.18+J320)+(IF((P320-O320*0.18)&gt;0,(P320-O320*0.18),0))</f>
        <v>16955.515000000003</v>
      </c>
      <c r="R320" s="7"/>
      <c r="S320" s="7"/>
      <c r="T320" s="7"/>
      <c r="U320" s="7"/>
      <c r="V320" s="7"/>
      <c r="W320" s="7"/>
      <c r="X320" s="7"/>
      <c r="Y320" s="7"/>
      <c r="Z320" s="7"/>
    </row>
    <row r="321" spans="1:26" ht="9" customHeight="1" x14ac:dyDescent="0.2">
      <c r="A321" s="534"/>
      <c r="B321" s="534"/>
      <c r="C321" s="34" t="s">
        <v>37</v>
      </c>
      <c r="D321" s="35">
        <v>8</v>
      </c>
      <c r="E321" s="36">
        <v>13731059</v>
      </c>
      <c r="F321" s="36">
        <v>1415994</v>
      </c>
      <c r="G321" s="36">
        <v>240001</v>
      </c>
      <c r="H321" s="36">
        <v>12361361</v>
      </c>
      <c r="I321" s="36">
        <v>0</v>
      </c>
      <c r="J321" s="37">
        <v>2312371</v>
      </c>
      <c r="K321" s="36">
        <v>27748414</v>
      </c>
      <c r="L321" s="121">
        <v>30060785</v>
      </c>
      <c r="M321" s="39"/>
      <c r="N321" s="36">
        <v>27748414</v>
      </c>
      <c r="O321" s="36">
        <v>15387054</v>
      </c>
      <c r="P321" s="36">
        <v>0</v>
      </c>
      <c r="Q321" s="36">
        <f>Q320*1936.27</f>
        <v>32830455.029050007</v>
      </c>
      <c r="R321" s="7"/>
      <c r="S321" s="7"/>
      <c r="T321" s="7"/>
      <c r="U321" s="7"/>
      <c r="V321" s="7"/>
      <c r="W321" s="7"/>
      <c r="X321" s="7"/>
      <c r="Y321" s="7"/>
      <c r="Z321" s="7"/>
    </row>
    <row r="322" spans="1:26" ht="12.75" customHeight="1" x14ac:dyDescent="0.2">
      <c r="A322" s="534"/>
      <c r="B322" s="534"/>
      <c r="C322" s="40" t="s">
        <v>36</v>
      </c>
      <c r="D322" s="41">
        <v>9</v>
      </c>
      <c r="E322" s="42">
        <v>7478.53</v>
      </c>
      <c r="F322" s="42">
        <v>768.49</v>
      </c>
      <c r="G322" s="42">
        <v>123.95</v>
      </c>
      <c r="H322" s="42">
        <v>6384.11</v>
      </c>
      <c r="I322" s="42">
        <v>0</v>
      </c>
      <c r="J322" s="42">
        <v>1229.5899999999999</v>
      </c>
      <c r="K322" s="43">
        <v>14755.08</v>
      </c>
      <c r="L322" s="122">
        <v>15984.67</v>
      </c>
      <c r="M322" s="33"/>
      <c r="N322" s="30">
        <v>14755.08</v>
      </c>
      <c r="O322" s="30">
        <v>8370.9699999999993</v>
      </c>
      <c r="P322" s="30"/>
      <c r="Q322" s="30">
        <f>(N322+O322*0.18+J322)+(IF((P322-O322*0.18)&gt;0,(P322-O322*0.18),0))</f>
        <v>17491.444599999999</v>
      </c>
      <c r="R322" s="7"/>
      <c r="S322" s="7"/>
      <c r="T322" s="7"/>
      <c r="U322" s="7"/>
      <c r="V322" s="7"/>
      <c r="W322" s="7"/>
      <c r="X322" s="7"/>
      <c r="Y322" s="7"/>
      <c r="Z322" s="7"/>
    </row>
    <row r="323" spans="1:26" ht="9" customHeight="1" x14ac:dyDescent="0.2">
      <c r="A323" s="534"/>
      <c r="B323" s="534"/>
      <c r="C323" s="34" t="s">
        <v>37</v>
      </c>
      <c r="D323" s="35">
        <v>10</v>
      </c>
      <c r="E323" s="36">
        <v>14480453</v>
      </c>
      <c r="F323" s="36">
        <v>1488004</v>
      </c>
      <c r="G323" s="36">
        <v>240001</v>
      </c>
      <c r="H323" s="36">
        <v>12361361</v>
      </c>
      <c r="I323" s="36">
        <v>0</v>
      </c>
      <c r="J323" s="37">
        <v>2380818</v>
      </c>
      <c r="K323" s="36">
        <v>28569819</v>
      </c>
      <c r="L323" s="121">
        <v>30950637</v>
      </c>
      <c r="M323" s="39"/>
      <c r="N323" s="36">
        <v>28569819</v>
      </c>
      <c r="O323" s="36">
        <v>16208458</v>
      </c>
      <c r="P323" s="36">
        <v>0</v>
      </c>
      <c r="Q323" s="36">
        <f>Q322*1936.27</f>
        <v>33868159.435641997</v>
      </c>
      <c r="R323" s="7"/>
      <c r="S323" s="7"/>
      <c r="T323" s="7"/>
      <c r="U323" s="7"/>
      <c r="V323" s="7"/>
      <c r="W323" s="7"/>
      <c r="X323" s="7"/>
      <c r="Y323" s="7"/>
      <c r="Z323" s="7"/>
    </row>
    <row r="324" spans="1:26" ht="12.75" customHeight="1" x14ac:dyDescent="0.2">
      <c r="A324" s="534"/>
      <c r="B324" s="534"/>
      <c r="C324" s="40" t="s">
        <v>36</v>
      </c>
      <c r="D324" s="41">
        <v>11</v>
      </c>
      <c r="E324" s="42">
        <v>7837.98</v>
      </c>
      <c r="F324" s="42">
        <v>811.87</v>
      </c>
      <c r="G324" s="42">
        <v>123.95</v>
      </c>
      <c r="H324" s="42">
        <v>6384.11</v>
      </c>
      <c r="I324" s="42">
        <v>0</v>
      </c>
      <c r="J324" s="42">
        <v>1263.1600000000001</v>
      </c>
      <c r="K324" s="43">
        <v>15157.91</v>
      </c>
      <c r="L324" s="122">
        <v>16421.07</v>
      </c>
      <c r="M324" s="33"/>
      <c r="N324" s="30">
        <v>15157.91</v>
      </c>
      <c r="O324" s="30">
        <v>8773.7999999999993</v>
      </c>
      <c r="P324" s="30"/>
      <c r="Q324" s="30">
        <f>(N324+O324*0.18+J324)+(IF((P324-O324*0.18)&gt;0,(P324-O324*0.18),0))</f>
        <v>18000.353999999999</v>
      </c>
      <c r="R324" s="7"/>
      <c r="S324" s="7"/>
      <c r="T324" s="7"/>
      <c r="U324" s="7"/>
      <c r="V324" s="7"/>
      <c r="W324" s="7"/>
      <c r="X324" s="7"/>
      <c r="Y324" s="7"/>
      <c r="Z324" s="7"/>
    </row>
    <row r="325" spans="1:26" ht="9" customHeight="1" x14ac:dyDescent="0.2">
      <c r="A325" s="534"/>
      <c r="B325" s="534"/>
      <c r="C325" s="34" t="s">
        <v>37</v>
      </c>
      <c r="D325" s="35">
        <v>12</v>
      </c>
      <c r="E325" s="36">
        <v>15176446</v>
      </c>
      <c r="F325" s="36">
        <v>1572000</v>
      </c>
      <c r="G325" s="36">
        <v>240001</v>
      </c>
      <c r="H325" s="36">
        <v>12361361</v>
      </c>
      <c r="I325" s="36">
        <v>0</v>
      </c>
      <c r="J325" s="37">
        <v>2445819</v>
      </c>
      <c r="K325" s="36">
        <v>29349806</v>
      </c>
      <c r="L325" s="121">
        <v>31795625</v>
      </c>
      <c r="M325" s="39"/>
      <c r="N325" s="36">
        <v>29349806</v>
      </c>
      <c r="O325" s="36">
        <v>16988446</v>
      </c>
      <c r="P325" s="36">
        <v>0</v>
      </c>
      <c r="Q325" s="36">
        <f>Q324*1936.27</f>
        <v>34853545.439580001</v>
      </c>
      <c r="R325" s="7"/>
      <c r="S325" s="7"/>
      <c r="T325" s="7"/>
      <c r="U325" s="7"/>
      <c r="V325" s="7"/>
      <c r="W325" s="7"/>
      <c r="X325" s="7"/>
      <c r="Y325" s="7"/>
      <c r="Z325" s="7"/>
    </row>
    <row r="326" spans="1:26" ht="12.75" customHeight="1" x14ac:dyDescent="0.2">
      <c r="A326" s="534"/>
      <c r="B326" s="534"/>
      <c r="C326" s="40" t="s">
        <v>36</v>
      </c>
      <c r="D326" s="41">
        <v>13</v>
      </c>
      <c r="E326" s="42">
        <v>8191.24</v>
      </c>
      <c r="F326" s="42">
        <v>849.06</v>
      </c>
      <c r="G326" s="42">
        <v>123.95</v>
      </c>
      <c r="H326" s="42">
        <v>6384.11</v>
      </c>
      <c r="I326" s="42">
        <v>0</v>
      </c>
      <c r="J326" s="42">
        <v>1295.7</v>
      </c>
      <c r="K326" s="43">
        <v>15548.36</v>
      </c>
      <c r="L326" s="122">
        <v>16844.060000000001</v>
      </c>
      <c r="M326" s="33"/>
      <c r="N326" s="30">
        <v>15548.36</v>
      </c>
      <c r="O326" s="30">
        <v>9164.25</v>
      </c>
      <c r="P326" s="30"/>
      <c r="Q326" s="30">
        <f>(N326+O326*0.18+J326)+(IF((P326-O326*0.18)&gt;0,(P326-O326*0.18),0))</f>
        <v>18493.625</v>
      </c>
      <c r="R326" s="7"/>
      <c r="S326" s="7"/>
      <c r="T326" s="7"/>
      <c r="U326" s="7"/>
      <c r="V326" s="7"/>
      <c r="W326" s="7"/>
      <c r="X326" s="7"/>
      <c r="Y326" s="7"/>
      <c r="Z326" s="7"/>
    </row>
    <row r="327" spans="1:26" ht="9" customHeight="1" x14ac:dyDescent="0.2">
      <c r="A327" s="534"/>
      <c r="B327" s="534"/>
      <c r="C327" s="34" t="s">
        <v>37</v>
      </c>
      <c r="D327" s="35">
        <v>14</v>
      </c>
      <c r="E327" s="36">
        <v>15860452</v>
      </c>
      <c r="F327" s="36">
        <v>1644009</v>
      </c>
      <c r="G327" s="36">
        <v>240001</v>
      </c>
      <c r="H327" s="36">
        <v>12361361</v>
      </c>
      <c r="I327" s="36">
        <v>0</v>
      </c>
      <c r="J327" s="37">
        <v>2508825</v>
      </c>
      <c r="K327" s="36">
        <v>30105823</v>
      </c>
      <c r="L327" s="121">
        <v>32614648</v>
      </c>
      <c r="M327" s="39"/>
      <c r="N327" s="36">
        <v>30105823</v>
      </c>
      <c r="O327" s="36">
        <v>17744462</v>
      </c>
      <c r="P327" s="36">
        <v>0</v>
      </c>
      <c r="Q327" s="36">
        <f>Q326*1936.27</f>
        <v>35808651.278750002</v>
      </c>
      <c r="R327" s="7"/>
      <c r="S327" s="7"/>
      <c r="T327" s="7"/>
      <c r="U327" s="7"/>
      <c r="V327" s="7"/>
      <c r="W327" s="7"/>
      <c r="X327" s="7"/>
      <c r="Y327" s="7"/>
      <c r="Z327" s="7"/>
    </row>
    <row r="328" spans="1:26" ht="12.75" customHeight="1" x14ac:dyDescent="0.2">
      <c r="A328" s="534"/>
      <c r="B328" s="534"/>
      <c r="C328" s="40" t="s">
        <v>36</v>
      </c>
      <c r="D328" s="41">
        <v>15</v>
      </c>
      <c r="E328" s="42">
        <v>8645.9</v>
      </c>
      <c r="F328" s="42">
        <v>892.44</v>
      </c>
      <c r="G328" s="42">
        <v>123.95</v>
      </c>
      <c r="H328" s="42">
        <v>6384.11</v>
      </c>
      <c r="I328" s="42">
        <v>0</v>
      </c>
      <c r="J328" s="42">
        <v>1337.2</v>
      </c>
      <c r="K328" s="43">
        <v>16046.4</v>
      </c>
      <c r="L328" s="122">
        <v>17383.599999999999</v>
      </c>
      <c r="M328" s="33"/>
      <c r="N328" s="30">
        <v>16046.4</v>
      </c>
      <c r="O328" s="30">
        <v>9662.2900000000009</v>
      </c>
      <c r="P328" s="30"/>
      <c r="Q328" s="30">
        <f>(N328+O328*0.18+J328)+(IF((P328-O328*0.18)&gt;0,(P328-O328*0.18),0))</f>
        <v>19122.8122</v>
      </c>
      <c r="R328" s="7"/>
      <c r="S328" s="7"/>
      <c r="T328" s="7"/>
      <c r="U328" s="7"/>
      <c r="V328" s="7"/>
      <c r="W328" s="7"/>
      <c r="X328" s="7"/>
      <c r="Y328" s="7"/>
      <c r="Z328" s="7"/>
    </row>
    <row r="329" spans="1:26" ht="9" customHeight="1" x14ac:dyDescent="0.2">
      <c r="A329" s="534"/>
      <c r="B329" s="534"/>
      <c r="C329" s="34" t="s">
        <v>37</v>
      </c>
      <c r="D329" s="35">
        <v>16</v>
      </c>
      <c r="E329" s="36">
        <v>16740797</v>
      </c>
      <c r="F329" s="36">
        <v>1728005</v>
      </c>
      <c r="G329" s="36">
        <v>240001</v>
      </c>
      <c r="H329" s="36">
        <v>12361361</v>
      </c>
      <c r="I329" s="36">
        <v>0</v>
      </c>
      <c r="J329" s="37">
        <v>2589180</v>
      </c>
      <c r="K329" s="36">
        <v>31070163</v>
      </c>
      <c r="L329" s="121">
        <v>33659343</v>
      </c>
      <c r="M329" s="39"/>
      <c r="N329" s="36">
        <v>31070163</v>
      </c>
      <c r="O329" s="36">
        <v>18708802</v>
      </c>
      <c r="P329" s="36">
        <v>0</v>
      </c>
      <c r="Q329" s="36">
        <f>Q328*1936.27</f>
        <v>37026927.578493997</v>
      </c>
      <c r="R329" s="7"/>
      <c r="S329" s="7"/>
      <c r="T329" s="7"/>
      <c r="U329" s="7"/>
      <c r="V329" s="7"/>
      <c r="W329" s="7"/>
      <c r="X329" s="7"/>
      <c r="Y329" s="7"/>
      <c r="Z329" s="7"/>
    </row>
    <row r="330" spans="1:26" ht="12.75" customHeight="1" x14ac:dyDescent="0.2">
      <c r="A330" s="534"/>
      <c r="B330" s="534"/>
      <c r="C330" s="40" t="s">
        <v>36</v>
      </c>
      <c r="D330" s="41">
        <v>17</v>
      </c>
      <c r="E330" s="42">
        <v>9061.14</v>
      </c>
      <c r="F330" s="42">
        <v>942.02</v>
      </c>
      <c r="G330" s="42">
        <v>123.95</v>
      </c>
      <c r="H330" s="42">
        <v>6384.11</v>
      </c>
      <c r="I330" s="42">
        <v>0</v>
      </c>
      <c r="J330" s="42">
        <v>1375.94</v>
      </c>
      <c r="K330" s="43">
        <v>16511.22</v>
      </c>
      <c r="L330" s="122">
        <v>17887.16</v>
      </c>
      <c r="M330" s="33"/>
      <c r="N330" s="30">
        <v>16511.22</v>
      </c>
      <c r="O330" s="30">
        <v>10127.11</v>
      </c>
      <c r="P330" s="30"/>
      <c r="Q330" s="30">
        <f>(N330+O330*0.18+J330)+(IF((P330-O330*0.18)&gt;0,(P330-O330*0.18),0))</f>
        <v>19710.039799999999</v>
      </c>
      <c r="R330" s="7"/>
      <c r="S330" s="7"/>
      <c r="T330" s="7"/>
      <c r="U330" s="7"/>
      <c r="V330" s="7"/>
      <c r="W330" s="7"/>
      <c r="X330" s="7"/>
      <c r="Y330" s="7"/>
      <c r="Z330" s="7"/>
    </row>
    <row r="331" spans="1:26" ht="9" customHeight="1" x14ac:dyDescent="0.2">
      <c r="A331" s="534"/>
      <c r="B331" s="534"/>
      <c r="C331" s="34" t="s">
        <v>37</v>
      </c>
      <c r="D331" s="35">
        <v>18</v>
      </c>
      <c r="E331" s="36">
        <v>17544814</v>
      </c>
      <c r="F331" s="36">
        <v>1824005</v>
      </c>
      <c r="G331" s="36">
        <v>240001</v>
      </c>
      <c r="H331" s="36">
        <v>12361361</v>
      </c>
      <c r="I331" s="36">
        <v>0</v>
      </c>
      <c r="J331" s="37">
        <v>2664191</v>
      </c>
      <c r="K331" s="36">
        <v>31970180</v>
      </c>
      <c r="L331" s="121">
        <v>34634371</v>
      </c>
      <c r="M331" s="39"/>
      <c r="N331" s="36">
        <v>31970180</v>
      </c>
      <c r="O331" s="36">
        <v>19608819</v>
      </c>
      <c r="P331" s="36">
        <v>0</v>
      </c>
      <c r="Q331" s="36">
        <f>Q330*1936.27</f>
        <v>38163958.763545997</v>
      </c>
      <c r="R331" s="7"/>
      <c r="S331" s="7"/>
      <c r="T331" s="7"/>
      <c r="U331" s="7"/>
      <c r="V331" s="7"/>
      <c r="W331" s="7"/>
      <c r="X331" s="7"/>
      <c r="Y331" s="7"/>
      <c r="Z331" s="7"/>
    </row>
    <row r="332" spans="1:26" ht="12.75" customHeight="1" x14ac:dyDescent="0.2">
      <c r="A332" s="534"/>
      <c r="B332" s="534"/>
      <c r="C332" s="40" t="s">
        <v>36</v>
      </c>
      <c r="D332" s="41">
        <v>19</v>
      </c>
      <c r="E332" s="42">
        <v>9470.17</v>
      </c>
      <c r="F332" s="42">
        <v>985.4</v>
      </c>
      <c r="G332" s="42">
        <v>123.95</v>
      </c>
      <c r="H332" s="42">
        <v>6384.11</v>
      </c>
      <c r="I332" s="42">
        <v>0</v>
      </c>
      <c r="J332" s="42">
        <v>1413.64</v>
      </c>
      <c r="K332" s="43">
        <v>16963.63</v>
      </c>
      <c r="L332" s="122">
        <v>18377.27</v>
      </c>
      <c r="M332" s="33"/>
      <c r="N332" s="30">
        <v>16963.63</v>
      </c>
      <c r="O332" s="30">
        <v>10579.52</v>
      </c>
      <c r="P332" s="30"/>
      <c r="Q332" s="30">
        <f>(N332+O332*0.18+J332)+(IF((P332-O332*0.18)&gt;0,(P332-O332*0.18),0))</f>
        <v>20281.583600000002</v>
      </c>
      <c r="R332" s="7"/>
      <c r="S332" s="7"/>
      <c r="T332" s="7"/>
      <c r="U332" s="7"/>
      <c r="V332" s="7"/>
      <c r="W332" s="7"/>
      <c r="X332" s="7"/>
      <c r="Y332" s="7"/>
      <c r="Z332" s="7"/>
    </row>
    <row r="333" spans="1:26" ht="9" customHeight="1" x14ac:dyDescent="0.2">
      <c r="A333" s="534"/>
      <c r="B333" s="534"/>
      <c r="C333" s="34" t="s">
        <v>37</v>
      </c>
      <c r="D333" s="35">
        <v>19</v>
      </c>
      <c r="E333" s="36">
        <v>18336806</v>
      </c>
      <c r="F333" s="36">
        <v>1908000</v>
      </c>
      <c r="G333" s="36">
        <v>240001</v>
      </c>
      <c r="H333" s="36">
        <v>12361361</v>
      </c>
      <c r="I333" s="36">
        <v>0</v>
      </c>
      <c r="J333" s="37">
        <v>2737189</v>
      </c>
      <c r="K333" s="36">
        <v>32846168</v>
      </c>
      <c r="L333" s="121">
        <v>35583357</v>
      </c>
      <c r="M333" s="39"/>
      <c r="N333" s="36">
        <v>32846168</v>
      </c>
      <c r="O333" s="36">
        <v>20484807</v>
      </c>
      <c r="P333" s="36">
        <v>0</v>
      </c>
      <c r="Q333" s="36">
        <f>Q332*1936.27</f>
        <v>39270621.877172001</v>
      </c>
      <c r="R333" s="7"/>
      <c r="S333" s="7"/>
      <c r="T333" s="7"/>
      <c r="U333" s="7"/>
      <c r="V333" s="7"/>
      <c r="W333" s="7"/>
      <c r="X333" s="7"/>
      <c r="Y333" s="7"/>
      <c r="Z333" s="7"/>
    </row>
    <row r="334" spans="1:26" ht="12.75" customHeight="1" x14ac:dyDescent="0.2">
      <c r="A334" s="534"/>
      <c r="B334" s="534"/>
      <c r="C334" s="40" t="s">
        <v>36</v>
      </c>
      <c r="D334" s="41">
        <v>20</v>
      </c>
      <c r="E334" s="42">
        <v>10282.040000000001</v>
      </c>
      <c r="F334" s="42">
        <v>1072.1600000000001</v>
      </c>
      <c r="G334" s="42">
        <v>123.95</v>
      </c>
      <c r="H334" s="42">
        <v>6384.11</v>
      </c>
      <c r="I334" s="42">
        <v>0</v>
      </c>
      <c r="J334" s="42">
        <v>1488.52</v>
      </c>
      <c r="K334" s="43">
        <v>17862.259999999998</v>
      </c>
      <c r="L334" s="122">
        <v>19350.78</v>
      </c>
      <c r="M334" s="33"/>
      <c r="N334" s="30">
        <v>17862.259999999998</v>
      </c>
      <c r="O334" s="30">
        <v>11478.15</v>
      </c>
      <c r="P334" s="30"/>
      <c r="Q334" s="30">
        <f>(N334+O334*0.18+J334)+(IF((P334-O334*0.18)&gt;0,(P334-O334*0.18),0))</f>
        <v>21416.846999999998</v>
      </c>
      <c r="R334" s="7"/>
      <c r="S334" s="7"/>
      <c r="T334" s="7"/>
      <c r="U334" s="7"/>
      <c r="V334" s="7"/>
      <c r="W334" s="7"/>
      <c r="X334" s="7"/>
      <c r="Y334" s="7"/>
      <c r="Z334" s="7"/>
    </row>
    <row r="335" spans="1:26" ht="9" customHeight="1" x14ac:dyDescent="0.2">
      <c r="A335" s="534"/>
      <c r="B335" s="534"/>
      <c r="C335" s="34" t="s">
        <v>37</v>
      </c>
      <c r="D335" s="35">
        <v>21</v>
      </c>
      <c r="E335" s="36">
        <v>19908806</v>
      </c>
      <c r="F335" s="36">
        <v>2075991</v>
      </c>
      <c r="G335" s="36">
        <v>240001</v>
      </c>
      <c r="H335" s="36">
        <v>12361361</v>
      </c>
      <c r="I335" s="36">
        <v>0</v>
      </c>
      <c r="J335" s="37">
        <v>2882177</v>
      </c>
      <c r="K335" s="36">
        <v>34586158</v>
      </c>
      <c r="L335" s="121">
        <v>37468335</v>
      </c>
      <c r="M335" s="39"/>
      <c r="N335" s="36">
        <v>34586158</v>
      </c>
      <c r="O335" s="36">
        <v>22224798</v>
      </c>
      <c r="P335" s="36">
        <v>0</v>
      </c>
      <c r="Q335" s="36">
        <f>Q334*1936.27</f>
        <v>41468798.340689994</v>
      </c>
      <c r="R335" s="7"/>
      <c r="S335" s="7"/>
      <c r="T335" s="7"/>
      <c r="U335" s="7"/>
      <c r="V335" s="7"/>
      <c r="W335" s="7"/>
      <c r="X335" s="7"/>
      <c r="Y335" s="7"/>
      <c r="Z335" s="7"/>
    </row>
    <row r="336" spans="1:26" ht="12.75" customHeight="1" x14ac:dyDescent="0.2">
      <c r="A336" s="534"/>
      <c r="B336" s="534"/>
      <c r="C336" s="40" t="s">
        <v>36</v>
      </c>
      <c r="D336" s="41">
        <v>22</v>
      </c>
      <c r="E336" s="42">
        <v>10605.73</v>
      </c>
      <c r="F336" s="42">
        <v>1103.1500000000001</v>
      </c>
      <c r="G336" s="42">
        <v>123.95</v>
      </c>
      <c r="H336" s="42">
        <v>6384.11</v>
      </c>
      <c r="I336" s="42">
        <v>0</v>
      </c>
      <c r="J336" s="42">
        <v>1518.08</v>
      </c>
      <c r="K336" s="43">
        <v>18216.939999999999</v>
      </c>
      <c r="L336" s="122">
        <v>19735.02</v>
      </c>
      <c r="M336" s="33"/>
      <c r="N336" s="30">
        <v>18216.939999999999</v>
      </c>
      <c r="O336" s="30">
        <v>11832.83</v>
      </c>
      <c r="P336" s="30"/>
      <c r="Q336" s="30">
        <f>(N336+O336*0.18+J336)+(IF((P336-O336*0.18)&gt;0,(P336-O336*0.18),0))</f>
        <v>21864.929400000001</v>
      </c>
      <c r="R336" s="7"/>
      <c r="S336" s="7"/>
      <c r="T336" s="7"/>
      <c r="U336" s="7"/>
      <c r="V336" s="7"/>
      <c r="W336" s="7"/>
      <c r="X336" s="7"/>
      <c r="Y336" s="7"/>
      <c r="Z336" s="7"/>
    </row>
    <row r="337" spans="1:26" ht="9" customHeight="1" x14ac:dyDescent="0.2">
      <c r="A337" s="534"/>
      <c r="B337" s="534"/>
      <c r="C337" s="34" t="s">
        <v>37</v>
      </c>
      <c r="D337" s="35">
        <v>23</v>
      </c>
      <c r="E337" s="36">
        <v>20535557</v>
      </c>
      <c r="F337" s="36">
        <v>2135996</v>
      </c>
      <c r="G337" s="36">
        <v>240001</v>
      </c>
      <c r="H337" s="36">
        <v>12361361</v>
      </c>
      <c r="I337" s="36">
        <v>0</v>
      </c>
      <c r="J337" s="37">
        <v>2939413</v>
      </c>
      <c r="K337" s="36">
        <v>35272914</v>
      </c>
      <c r="L337" s="121">
        <v>38212327</v>
      </c>
      <c r="M337" s="39"/>
      <c r="N337" s="36">
        <v>35272914</v>
      </c>
      <c r="O337" s="36">
        <v>22911554</v>
      </c>
      <c r="P337" s="36">
        <v>0</v>
      </c>
      <c r="Q337" s="36">
        <f>Q336*1936.27</f>
        <v>42336406.849338003</v>
      </c>
      <c r="R337" s="7"/>
      <c r="S337" s="7"/>
      <c r="T337" s="7"/>
      <c r="U337" s="7"/>
      <c r="V337" s="7"/>
      <c r="W337" s="7"/>
      <c r="X337" s="7"/>
      <c r="Y337" s="7"/>
      <c r="Z337" s="7"/>
    </row>
    <row r="338" spans="1:26" ht="12.75" customHeight="1" x14ac:dyDescent="0.2">
      <c r="A338" s="534"/>
      <c r="B338" s="534"/>
      <c r="C338" s="40" t="s">
        <v>36</v>
      </c>
      <c r="D338" s="41">
        <v>24</v>
      </c>
      <c r="E338" s="42">
        <v>10878.42</v>
      </c>
      <c r="F338" s="42">
        <v>1134.1400000000001</v>
      </c>
      <c r="G338" s="42">
        <v>123.95</v>
      </c>
      <c r="H338" s="42">
        <v>6384.11</v>
      </c>
      <c r="I338" s="42">
        <v>0</v>
      </c>
      <c r="J338" s="42">
        <v>1543.39</v>
      </c>
      <c r="K338" s="43">
        <v>18520.62</v>
      </c>
      <c r="L338" s="122">
        <v>20064.009999999998</v>
      </c>
      <c r="M338" s="33"/>
      <c r="N338" s="30">
        <v>18520.62</v>
      </c>
      <c r="O338" s="30">
        <v>12136.51</v>
      </c>
      <c r="P338" s="30"/>
      <c r="Q338" s="30">
        <f>(N338+O338*0.18+J338)+(IF((P338-O338*0.18)&gt;0,(P338-O338*0.18),0))</f>
        <v>22248.5818</v>
      </c>
      <c r="R338" s="7"/>
      <c r="S338" s="7"/>
      <c r="T338" s="7"/>
      <c r="U338" s="7"/>
      <c r="V338" s="7"/>
      <c r="W338" s="7"/>
      <c r="X338" s="7"/>
      <c r="Y338" s="7"/>
      <c r="Z338" s="7"/>
    </row>
    <row r="339" spans="1:26" ht="9" customHeight="1" x14ac:dyDescent="0.2">
      <c r="A339" s="534"/>
      <c r="B339" s="534"/>
      <c r="C339" s="34" t="s">
        <v>37</v>
      </c>
      <c r="D339" s="35">
        <v>25</v>
      </c>
      <c r="E339" s="36">
        <v>21063558</v>
      </c>
      <c r="F339" s="36">
        <v>2196001</v>
      </c>
      <c r="G339" s="36">
        <v>240001</v>
      </c>
      <c r="H339" s="36">
        <v>12361361</v>
      </c>
      <c r="I339" s="36">
        <v>0</v>
      </c>
      <c r="J339" s="37">
        <v>2988420</v>
      </c>
      <c r="K339" s="36">
        <v>35860921</v>
      </c>
      <c r="L339" s="121">
        <v>38849341</v>
      </c>
      <c r="M339" s="39"/>
      <c r="N339" s="36">
        <v>35860921</v>
      </c>
      <c r="O339" s="36">
        <v>23499560</v>
      </c>
      <c r="P339" s="36">
        <v>0</v>
      </c>
      <c r="Q339" s="36">
        <f>Q338*1936.27</f>
        <v>43079261.481885999</v>
      </c>
      <c r="R339" s="7"/>
      <c r="S339" s="7"/>
      <c r="T339" s="7"/>
      <c r="U339" s="7"/>
      <c r="V339" s="7"/>
      <c r="W339" s="7"/>
      <c r="X339" s="7"/>
      <c r="Y339" s="7"/>
      <c r="Z339" s="7"/>
    </row>
    <row r="340" spans="1:26" ht="12.75" customHeight="1" x14ac:dyDescent="0.2">
      <c r="A340" s="534"/>
      <c r="B340" s="534"/>
      <c r="C340" s="40" t="s">
        <v>36</v>
      </c>
      <c r="D340" s="41">
        <v>26</v>
      </c>
      <c r="E340" s="42">
        <v>11151.11</v>
      </c>
      <c r="F340" s="42">
        <v>1165.1300000000001</v>
      </c>
      <c r="G340" s="42">
        <v>123.95</v>
      </c>
      <c r="H340" s="42">
        <v>6384.11</v>
      </c>
      <c r="I340" s="42">
        <v>0</v>
      </c>
      <c r="J340" s="42">
        <v>1568.69</v>
      </c>
      <c r="K340" s="43">
        <v>18824.3</v>
      </c>
      <c r="L340" s="122">
        <v>20392.990000000002</v>
      </c>
      <c r="M340" s="33"/>
      <c r="N340" s="30">
        <v>18824.3</v>
      </c>
      <c r="O340" s="30">
        <v>12440.19</v>
      </c>
      <c r="P340" s="30"/>
      <c r="Q340" s="30">
        <f>(N340+O340*0.18+J340)+(IF((P340-O340*0.18)&gt;0,(P340-O340*0.18),0))</f>
        <v>22632.224199999997</v>
      </c>
      <c r="R340" s="7"/>
      <c r="S340" s="7"/>
      <c r="T340" s="7"/>
      <c r="U340" s="7"/>
      <c r="V340" s="7"/>
      <c r="W340" s="7"/>
      <c r="X340" s="7"/>
      <c r="Y340" s="7"/>
      <c r="Z340" s="7"/>
    </row>
    <row r="341" spans="1:26" ht="9" customHeight="1" x14ac:dyDescent="0.2">
      <c r="A341" s="534"/>
      <c r="B341" s="534"/>
      <c r="C341" s="34" t="s">
        <v>37</v>
      </c>
      <c r="D341" s="35">
        <v>27</v>
      </c>
      <c r="E341" s="36">
        <v>21591560</v>
      </c>
      <c r="F341" s="36">
        <v>2256006</v>
      </c>
      <c r="G341" s="36">
        <v>240001</v>
      </c>
      <c r="H341" s="36">
        <v>12361361</v>
      </c>
      <c r="I341" s="36">
        <v>0</v>
      </c>
      <c r="J341" s="37">
        <v>3037407</v>
      </c>
      <c r="K341" s="36">
        <v>36448927</v>
      </c>
      <c r="L341" s="121">
        <v>39486335</v>
      </c>
      <c r="M341" s="39"/>
      <c r="N341" s="36">
        <v>36448927</v>
      </c>
      <c r="O341" s="36">
        <v>24087567</v>
      </c>
      <c r="P341" s="36">
        <v>0</v>
      </c>
      <c r="Q341" s="36">
        <f>Q340*1936.27</f>
        <v>43822096.751733996</v>
      </c>
      <c r="R341" s="7"/>
      <c r="S341" s="7"/>
      <c r="T341" s="7"/>
      <c r="U341" s="7"/>
      <c r="V341" s="7"/>
      <c r="W341" s="7"/>
      <c r="X341" s="7"/>
      <c r="Y341" s="7"/>
      <c r="Z341" s="7"/>
    </row>
    <row r="342" spans="1:26" ht="12.75" customHeight="1" x14ac:dyDescent="0.2">
      <c r="A342" s="534"/>
      <c r="B342" s="534"/>
      <c r="C342" s="40" t="s">
        <v>36</v>
      </c>
      <c r="D342" s="41">
        <v>28</v>
      </c>
      <c r="E342" s="42">
        <v>11455.28</v>
      </c>
      <c r="F342" s="42">
        <v>1189.92</v>
      </c>
      <c r="G342" s="42">
        <v>123.95</v>
      </c>
      <c r="H342" s="42">
        <v>6384.11</v>
      </c>
      <c r="I342" s="42">
        <v>0</v>
      </c>
      <c r="J342" s="42">
        <v>1596.11</v>
      </c>
      <c r="K342" s="43">
        <v>19153.259999999998</v>
      </c>
      <c r="L342" s="122">
        <v>20749.37</v>
      </c>
      <c r="M342" s="33"/>
      <c r="N342" s="30">
        <v>19153.259999999998</v>
      </c>
      <c r="O342" s="30">
        <v>12769.15</v>
      </c>
      <c r="P342" s="30"/>
      <c r="Q342" s="30">
        <f>(N342+O342*0.18+J342)+(IF((P342-O342*0.18)&gt;0,(P342-O342*0.18),0))</f>
        <v>23047.816999999999</v>
      </c>
      <c r="R342" s="7"/>
      <c r="S342" s="7"/>
      <c r="T342" s="7"/>
      <c r="U342" s="7"/>
      <c r="V342" s="7"/>
      <c r="W342" s="7"/>
      <c r="X342" s="7"/>
      <c r="Y342" s="7"/>
      <c r="Z342" s="7"/>
    </row>
    <row r="343" spans="1:26" ht="9" customHeight="1" x14ac:dyDescent="0.2">
      <c r="A343" s="534"/>
      <c r="B343" s="534"/>
      <c r="C343" s="34" t="s">
        <v>37</v>
      </c>
      <c r="D343" s="35">
        <v>29</v>
      </c>
      <c r="E343" s="36">
        <v>22180515</v>
      </c>
      <c r="F343" s="36">
        <v>2304006</v>
      </c>
      <c r="G343" s="36">
        <v>240001</v>
      </c>
      <c r="H343" s="36">
        <v>12361361</v>
      </c>
      <c r="I343" s="36">
        <v>0</v>
      </c>
      <c r="J343" s="37">
        <v>3090500</v>
      </c>
      <c r="K343" s="36">
        <v>37085883</v>
      </c>
      <c r="L343" s="121">
        <v>40176383</v>
      </c>
      <c r="M343" s="39"/>
      <c r="N343" s="36">
        <v>37085883</v>
      </c>
      <c r="O343" s="36">
        <v>24724522</v>
      </c>
      <c r="P343" s="36">
        <v>0</v>
      </c>
      <c r="Q343" s="36">
        <f>Q342*1936.27</f>
        <v>44626796.622589998</v>
      </c>
      <c r="R343" s="7"/>
      <c r="S343" s="7"/>
      <c r="T343" s="7"/>
      <c r="U343" s="7"/>
      <c r="V343" s="7"/>
      <c r="W343" s="7"/>
      <c r="X343" s="7"/>
      <c r="Y343" s="7"/>
      <c r="Z343" s="7"/>
    </row>
    <row r="344" spans="1:26" ht="12.75" customHeight="1" x14ac:dyDescent="0.2">
      <c r="A344" s="534"/>
      <c r="B344" s="534"/>
      <c r="C344" s="40" t="s">
        <v>36</v>
      </c>
      <c r="D344" s="41">
        <v>30</v>
      </c>
      <c r="E344" s="42">
        <v>11721.77</v>
      </c>
      <c r="F344" s="42">
        <v>1220.9000000000001</v>
      </c>
      <c r="G344" s="42">
        <v>123.95</v>
      </c>
      <c r="H344" s="42">
        <v>6384.11</v>
      </c>
      <c r="I344" s="42">
        <v>0</v>
      </c>
      <c r="J344" s="42">
        <v>1620.89</v>
      </c>
      <c r="K344" s="43">
        <v>19450.73</v>
      </c>
      <c r="L344" s="122">
        <v>21071.62</v>
      </c>
      <c r="M344" s="33"/>
      <c r="N344" s="30">
        <v>19450.73</v>
      </c>
      <c r="O344" s="30">
        <v>13066.62</v>
      </c>
      <c r="P344" s="30"/>
      <c r="Q344" s="30">
        <f>(N344+O344*0.18+J344)+(IF((P344-O344*0.18)&gt;0,(P344-O344*0.18),0))</f>
        <v>23423.6116</v>
      </c>
      <c r="R344" s="7"/>
      <c r="S344" s="7"/>
      <c r="T344" s="7"/>
      <c r="U344" s="7"/>
      <c r="V344" s="7"/>
      <c r="W344" s="7"/>
      <c r="X344" s="7"/>
      <c r="Y344" s="7"/>
      <c r="Z344" s="7"/>
    </row>
    <row r="345" spans="1:26" ht="9" customHeight="1" x14ac:dyDescent="0.2">
      <c r="A345" s="534"/>
      <c r="B345" s="534"/>
      <c r="C345" s="34" t="s">
        <v>37</v>
      </c>
      <c r="D345" s="35">
        <v>31</v>
      </c>
      <c r="E345" s="36">
        <v>22696512</v>
      </c>
      <c r="F345" s="36">
        <v>2363992</v>
      </c>
      <c r="G345" s="36">
        <v>240001</v>
      </c>
      <c r="H345" s="36">
        <v>12361361</v>
      </c>
      <c r="I345" s="36">
        <v>0</v>
      </c>
      <c r="J345" s="37">
        <v>3138481</v>
      </c>
      <c r="K345" s="36">
        <v>37661865</v>
      </c>
      <c r="L345" s="121">
        <v>40800346</v>
      </c>
      <c r="M345" s="39"/>
      <c r="N345" s="36">
        <v>37661865</v>
      </c>
      <c r="O345" s="36">
        <v>25300504</v>
      </c>
      <c r="P345" s="36">
        <v>0</v>
      </c>
      <c r="Q345" s="36">
        <f>Q344*1936.27</f>
        <v>45354436.432732001</v>
      </c>
      <c r="R345" s="7"/>
      <c r="S345" s="7"/>
      <c r="T345" s="7"/>
      <c r="U345" s="7"/>
      <c r="V345" s="7"/>
      <c r="W345" s="7"/>
      <c r="X345" s="7"/>
      <c r="Y345" s="7"/>
      <c r="Z345" s="7"/>
    </row>
    <row r="346" spans="1:26" ht="12.75" customHeight="1" x14ac:dyDescent="0.2">
      <c r="A346" s="534"/>
      <c r="B346" s="534"/>
      <c r="C346" s="40" t="s">
        <v>36</v>
      </c>
      <c r="D346" s="41">
        <v>32</v>
      </c>
      <c r="E346" s="42">
        <v>11994.46</v>
      </c>
      <c r="F346" s="42">
        <v>1251.8900000000001</v>
      </c>
      <c r="G346" s="42">
        <v>123.95</v>
      </c>
      <c r="H346" s="42">
        <v>6384.11</v>
      </c>
      <c r="I346" s="42">
        <v>0</v>
      </c>
      <c r="J346" s="42">
        <v>1646.2</v>
      </c>
      <c r="K346" s="43">
        <v>19754.41</v>
      </c>
      <c r="L346" s="122">
        <v>21400.61</v>
      </c>
      <c r="M346" s="33"/>
      <c r="N346" s="30">
        <v>19754.41</v>
      </c>
      <c r="O346" s="30">
        <v>13370.3</v>
      </c>
      <c r="P346" s="30"/>
      <c r="Q346" s="30">
        <f>(N346+O346*0.18+J346)+(IF((P346-O346*0.18)&gt;0,(P346-O346*0.18),0))</f>
        <v>23807.263999999999</v>
      </c>
      <c r="R346" s="7"/>
      <c r="S346" s="7"/>
      <c r="T346" s="7"/>
      <c r="U346" s="7"/>
      <c r="V346" s="7"/>
      <c r="W346" s="7"/>
      <c r="X346" s="7"/>
      <c r="Y346" s="7"/>
      <c r="Z346" s="7"/>
    </row>
    <row r="347" spans="1:26" ht="9" customHeight="1" x14ac:dyDescent="0.2">
      <c r="A347" s="534"/>
      <c r="B347" s="534"/>
      <c r="C347" s="34" t="s">
        <v>37</v>
      </c>
      <c r="D347" s="35">
        <v>33</v>
      </c>
      <c r="E347" s="36">
        <v>23224513</v>
      </c>
      <c r="F347" s="36">
        <v>2423997</v>
      </c>
      <c r="G347" s="36">
        <v>240001</v>
      </c>
      <c r="H347" s="36">
        <v>12361361</v>
      </c>
      <c r="I347" s="36">
        <v>0</v>
      </c>
      <c r="J347" s="37">
        <v>3187488</v>
      </c>
      <c r="K347" s="36">
        <v>38249871</v>
      </c>
      <c r="L347" s="121">
        <v>41437359</v>
      </c>
      <c r="M347" s="39"/>
      <c r="N347" s="36">
        <v>38249871</v>
      </c>
      <c r="O347" s="36">
        <v>25888511</v>
      </c>
      <c r="P347" s="36">
        <v>0</v>
      </c>
      <c r="Q347" s="36">
        <f>Q346*1936.27</f>
        <v>46097291.065279998</v>
      </c>
      <c r="R347" s="7"/>
      <c r="S347" s="7"/>
      <c r="T347" s="7"/>
      <c r="U347" s="7"/>
      <c r="V347" s="7"/>
      <c r="W347" s="7"/>
      <c r="X347" s="7"/>
      <c r="Y347" s="7"/>
      <c r="Z347" s="7"/>
    </row>
    <row r="348" spans="1:26" ht="12.75" customHeight="1" x14ac:dyDescent="0.2">
      <c r="A348" s="534"/>
      <c r="B348" s="534"/>
      <c r="C348" s="40" t="s">
        <v>36</v>
      </c>
      <c r="D348" s="41">
        <v>34</v>
      </c>
      <c r="E348" s="42">
        <v>12260.95</v>
      </c>
      <c r="F348" s="42">
        <v>1282.8800000000001</v>
      </c>
      <c r="G348" s="42">
        <v>123.95</v>
      </c>
      <c r="H348" s="42">
        <v>6384.11</v>
      </c>
      <c r="I348" s="42">
        <v>0</v>
      </c>
      <c r="J348" s="42">
        <v>1670.99</v>
      </c>
      <c r="K348" s="43">
        <v>20051.89</v>
      </c>
      <c r="L348" s="122">
        <v>21722.880000000001</v>
      </c>
      <c r="M348" s="33"/>
      <c r="N348" s="30">
        <v>20051.89</v>
      </c>
      <c r="O348" s="30">
        <v>13667.78</v>
      </c>
      <c r="P348" s="30"/>
      <c r="Q348" s="30">
        <f>(N348+O348*0.18+J348)+(IF((P348-O348*0.18)&gt;0,(P348-O348*0.18),0))</f>
        <v>24183.080400000003</v>
      </c>
      <c r="R348" s="7"/>
      <c r="S348" s="7"/>
      <c r="T348" s="7"/>
      <c r="U348" s="7"/>
      <c r="V348" s="7"/>
      <c r="W348" s="7"/>
      <c r="X348" s="7"/>
      <c r="Y348" s="7"/>
      <c r="Z348" s="7"/>
    </row>
    <row r="349" spans="1:26" ht="9" customHeight="1" x14ac:dyDescent="0.2">
      <c r="A349" s="534"/>
      <c r="B349" s="534"/>
      <c r="C349" s="34" t="s">
        <v>37</v>
      </c>
      <c r="D349" s="35">
        <v>35</v>
      </c>
      <c r="E349" s="36">
        <v>23740510</v>
      </c>
      <c r="F349" s="36">
        <v>2484002</v>
      </c>
      <c r="G349" s="36">
        <v>240001</v>
      </c>
      <c r="H349" s="36">
        <v>12361361</v>
      </c>
      <c r="I349" s="36">
        <v>0</v>
      </c>
      <c r="J349" s="37">
        <v>3235488</v>
      </c>
      <c r="K349" s="36">
        <v>38825873</v>
      </c>
      <c r="L349" s="121">
        <v>42061361</v>
      </c>
      <c r="M349" s="39"/>
      <c r="N349" s="36">
        <v>38825873</v>
      </c>
      <c r="O349" s="36">
        <v>26464512</v>
      </c>
      <c r="P349" s="36">
        <v>0</v>
      </c>
      <c r="Q349" s="36">
        <f>Q348*1936.27</f>
        <v>46824973.086108007</v>
      </c>
      <c r="R349" s="7"/>
      <c r="S349" s="7"/>
      <c r="T349" s="7"/>
      <c r="U349" s="7"/>
      <c r="V349" s="7"/>
      <c r="W349" s="7"/>
      <c r="X349" s="7"/>
      <c r="Y349" s="7"/>
      <c r="Z349" s="7"/>
    </row>
    <row r="350" spans="1:26" ht="12.75" customHeight="1" x14ac:dyDescent="0.2">
      <c r="A350" s="534"/>
      <c r="B350" s="534"/>
      <c r="C350" s="40" t="s">
        <v>36</v>
      </c>
      <c r="D350" s="41">
        <v>36</v>
      </c>
      <c r="E350" s="42">
        <v>12561.95</v>
      </c>
      <c r="F350" s="42">
        <v>1313.87</v>
      </c>
      <c r="G350" s="42">
        <v>123.95</v>
      </c>
      <c r="H350" s="42">
        <v>6384.11</v>
      </c>
      <c r="I350" s="42">
        <v>0</v>
      </c>
      <c r="J350" s="42">
        <v>1698.66</v>
      </c>
      <c r="K350" s="43">
        <v>20383.88</v>
      </c>
      <c r="L350" s="122">
        <v>22082.54</v>
      </c>
      <c r="M350" s="33"/>
      <c r="N350" s="30">
        <v>20383.88</v>
      </c>
      <c r="O350" s="30">
        <v>13999.77</v>
      </c>
      <c r="P350" s="30"/>
      <c r="Q350" s="30">
        <f>(N350+O350*0.18+J350)+(IF((P350-O350*0.18)&gt;0,(P350-O350*0.18),0))</f>
        <v>24602.498600000003</v>
      </c>
      <c r="R350" s="7"/>
      <c r="S350" s="7"/>
      <c r="T350" s="7"/>
      <c r="U350" s="7"/>
      <c r="V350" s="7"/>
      <c r="W350" s="7"/>
      <c r="X350" s="7"/>
      <c r="Y350" s="7"/>
      <c r="Z350" s="7"/>
    </row>
    <row r="351" spans="1:26" ht="9" customHeight="1" x14ac:dyDescent="0.2">
      <c r="A351" s="534"/>
      <c r="B351" s="534"/>
      <c r="C351" s="34" t="s">
        <v>37</v>
      </c>
      <c r="D351" s="35">
        <v>37</v>
      </c>
      <c r="E351" s="36">
        <v>24323327</v>
      </c>
      <c r="F351" s="36">
        <v>2544007</v>
      </c>
      <c r="G351" s="36">
        <v>240001</v>
      </c>
      <c r="H351" s="36">
        <v>12361361</v>
      </c>
      <c r="I351" s="36">
        <v>0</v>
      </c>
      <c r="J351" s="37">
        <v>3289064</v>
      </c>
      <c r="K351" s="36">
        <v>39468695</v>
      </c>
      <c r="L351" s="121">
        <v>42757760</v>
      </c>
      <c r="M351" s="39"/>
      <c r="N351" s="36">
        <v>39468695</v>
      </c>
      <c r="O351" s="36">
        <v>27107335</v>
      </c>
      <c r="P351" s="36">
        <v>0</v>
      </c>
      <c r="Q351" s="36">
        <f>Q350*1936.27</f>
        <v>47637079.964222006</v>
      </c>
      <c r="R351" s="7"/>
      <c r="S351" s="7"/>
      <c r="T351" s="7"/>
      <c r="U351" s="7"/>
      <c r="V351" s="7"/>
      <c r="W351" s="7"/>
      <c r="X351" s="7"/>
      <c r="Y351" s="7"/>
      <c r="Z351" s="7"/>
    </row>
    <row r="352" spans="1:26" ht="12.75" customHeight="1" x14ac:dyDescent="0.2">
      <c r="A352" s="534"/>
      <c r="B352" s="534"/>
      <c r="C352" s="40" t="s">
        <v>36</v>
      </c>
      <c r="D352" s="41">
        <v>38</v>
      </c>
      <c r="E352" s="42">
        <v>12828.44</v>
      </c>
      <c r="F352" s="42">
        <v>1338.66</v>
      </c>
      <c r="G352" s="42">
        <v>123.95</v>
      </c>
      <c r="H352" s="42">
        <v>6384.11</v>
      </c>
      <c r="I352" s="42">
        <v>0</v>
      </c>
      <c r="J352" s="42">
        <v>1722.93</v>
      </c>
      <c r="K352" s="43">
        <v>20675.16</v>
      </c>
      <c r="L352" s="122">
        <v>22398.09</v>
      </c>
      <c r="M352" s="33"/>
      <c r="N352" s="30">
        <v>20675.16</v>
      </c>
      <c r="O352" s="30">
        <v>14291.05</v>
      </c>
      <c r="P352" s="30"/>
      <c r="Q352" s="30">
        <f>(N352+O352*0.18+J352)+(IF((P352-O352*0.18)&gt;0,(P352-O352*0.18),0))</f>
        <v>24970.478999999999</v>
      </c>
      <c r="R352" s="7"/>
      <c r="S352" s="7"/>
      <c r="T352" s="7"/>
      <c r="U352" s="7"/>
      <c r="V352" s="7"/>
      <c r="W352" s="7"/>
      <c r="X352" s="7"/>
      <c r="Y352" s="7"/>
      <c r="Z352" s="7"/>
    </row>
    <row r="353" spans="1:26" ht="9" customHeight="1" x14ac:dyDescent="0.2">
      <c r="A353" s="534"/>
      <c r="B353" s="534"/>
      <c r="C353" s="34" t="s">
        <v>37</v>
      </c>
      <c r="D353" s="35">
        <v>39</v>
      </c>
      <c r="E353" s="36">
        <v>24839324</v>
      </c>
      <c r="F353" s="36">
        <v>2592007</v>
      </c>
      <c r="G353" s="36">
        <v>240001</v>
      </c>
      <c r="H353" s="36">
        <v>12361361</v>
      </c>
      <c r="I353" s="36">
        <v>0</v>
      </c>
      <c r="J353" s="37">
        <v>3336058</v>
      </c>
      <c r="K353" s="36">
        <v>40032692</v>
      </c>
      <c r="L353" s="121">
        <v>43368750</v>
      </c>
      <c r="M353" s="39"/>
      <c r="N353" s="36">
        <v>40032692</v>
      </c>
      <c r="O353" s="36">
        <v>27671331</v>
      </c>
      <c r="P353" s="36">
        <v>0</v>
      </c>
      <c r="Q353" s="36">
        <f>Q352*1936.27</f>
        <v>48349589.373329997</v>
      </c>
      <c r="R353" s="7"/>
      <c r="S353" s="7"/>
      <c r="T353" s="7"/>
      <c r="U353" s="7"/>
      <c r="V353" s="7"/>
      <c r="W353" s="7"/>
      <c r="X353" s="7"/>
      <c r="Y353" s="7"/>
      <c r="Z353" s="7"/>
    </row>
    <row r="354" spans="1:26" ht="12.75" customHeight="1" x14ac:dyDescent="0.2">
      <c r="A354" s="534"/>
      <c r="B354" s="534"/>
      <c r="C354" s="40" t="s">
        <v>36</v>
      </c>
      <c r="D354" s="41">
        <v>40</v>
      </c>
      <c r="E354" s="42">
        <v>13101.13</v>
      </c>
      <c r="F354" s="42">
        <v>1369.64</v>
      </c>
      <c r="G354" s="42">
        <v>123.95</v>
      </c>
      <c r="H354" s="42">
        <v>6384.11</v>
      </c>
      <c r="I354" s="42">
        <v>0</v>
      </c>
      <c r="J354" s="42">
        <v>1748.24</v>
      </c>
      <c r="K354" s="43">
        <v>20978.83</v>
      </c>
      <c r="L354" s="122">
        <v>22727.07</v>
      </c>
      <c r="M354" s="33"/>
      <c r="N354" s="30">
        <v>20978.83</v>
      </c>
      <c r="O354" s="30">
        <v>14594.72</v>
      </c>
      <c r="P354" s="30"/>
      <c r="Q354" s="30">
        <f>(N354+O354*0.18+J354)+(IF((P354-O354*0.18)&gt;0,(P354-O354*0.18),0))</f>
        <v>25354.119600000002</v>
      </c>
      <c r="R354" s="7"/>
      <c r="S354" s="7"/>
      <c r="T354" s="7"/>
      <c r="U354" s="7"/>
      <c r="V354" s="7"/>
      <c r="W354" s="7"/>
      <c r="X354" s="7"/>
      <c r="Y354" s="7"/>
      <c r="Z354" s="7"/>
    </row>
    <row r="355" spans="1:26" ht="12.75" customHeight="1" x14ac:dyDescent="0.2">
      <c r="A355" s="534"/>
      <c r="B355" s="534"/>
      <c r="C355" s="115"/>
      <c r="D355" s="45"/>
      <c r="E355" s="116"/>
      <c r="F355" s="116"/>
      <c r="G355" s="116"/>
      <c r="H355" s="116"/>
      <c r="I355" s="116"/>
      <c r="J355" s="117"/>
      <c r="K355" s="118"/>
      <c r="L355" s="123"/>
      <c r="M355" s="33"/>
      <c r="N355" s="116"/>
      <c r="O355" s="116"/>
      <c r="P355" s="116"/>
      <c r="Q355" s="116"/>
      <c r="R355" s="7"/>
      <c r="S355" s="7"/>
      <c r="T355" s="7"/>
      <c r="U355" s="7"/>
      <c r="V355" s="7"/>
      <c r="W355" s="7"/>
      <c r="X355" s="7"/>
      <c r="Y355" s="7"/>
      <c r="Z355" s="7"/>
    </row>
    <row r="356" spans="1:26" ht="12.75" customHeight="1" x14ac:dyDescent="0.2">
      <c r="A356" s="534"/>
      <c r="B356" s="534"/>
      <c r="C356" s="115"/>
      <c r="D356" s="45"/>
      <c r="E356" s="116"/>
      <c r="F356" s="116"/>
      <c r="G356" s="116"/>
      <c r="H356" s="116"/>
      <c r="I356" s="116"/>
      <c r="J356" s="117"/>
      <c r="K356" s="118"/>
      <c r="L356" s="123"/>
      <c r="M356" s="33"/>
      <c r="N356" s="116"/>
      <c r="O356" s="116"/>
      <c r="P356" s="116"/>
      <c r="Q356" s="116"/>
      <c r="R356" s="7"/>
      <c r="S356" s="7"/>
      <c r="T356" s="7"/>
      <c r="U356" s="7"/>
      <c r="V356" s="7"/>
      <c r="W356" s="7"/>
      <c r="X356" s="7"/>
      <c r="Y356" s="7"/>
      <c r="Z356" s="7"/>
    </row>
    <row r="357" spans="1:26" ht="9" customHeight="1" x14ac:dyDescent="0.2">
      <c r="A357" s="535"/>
      <c r="B357" s="535"/>
      <c r="C357" s="47"/>
      <c r="D357" s="48"/>
      <c r="E357" s="46">
        <v>25367325</v>
      </c>
      <c r="F357" s="46">
        <v>2651993</v>
      </c>
      <c r="G357" s="46">
        <v>240001</v>
      </c>
      <c r="H357" s="46">
        <v>12361361</v>
      </c>
      <c r="I357" s="46">
        <v>0</v>
      </c>
      <c r="J357" s="49">
        <v>3385065</v>
      </c>
      <c r="K357" s="46">
        <v>40620679</v>
      </c>
      <c r="L357" s="124">
        <v>44005744</v>
      </c>
      <c r="M357" s="39"/>
      <c r="N357" s="36">
        <v>40620679</v>
      </c>
      <c r="O357" s="36">
        <v>28259318</v>
      </c>
      <c r="P357" s="36">
        <v>0</v>
      </c>
      <c r="Q357" s="36">
        <f>Q354*1936.27</f>
        <v>49092421.157892004</v>
      </c>
      <c r="R357" s="7"/>
      <c r="S357" s="7"/>
      <c r="T357" s="7"/>
      <c r="U357" s="7"/>
      <c r="V357" s="7"/>
      <c r="W357" s="7"/>
      <c r="X357" s="7"/>
      <c r="Y357" s="7"/>
      <c r="Z357" s="7"/>
    </row>
    <row r="358" spans="1:26" ht="12.75" customHeight="1" x14ac:dyDescent="0.2">
      <c r="A358" s="538">
        <v>35034</v>
      </c>
      <c r="B358" s="538">
        <v>35064</v>
      </c>
      <c r="C358" s="28" t="s">
        <v>36</v>
      </c>
      <c r="D358" s="29">
        <v>0</v>
      </c>
      <c r="E358" s="30">
        <v>6648.69</v>
      </c>
      <c r="F358" s="30">
        <v>632.14</v>
      </c>
      <c r="G358" s="30">
        <v>0</v>
      </c>
      <c r="H358" s="30">
        <v>6384.11</v>
      </c>
      <c r="I358" s="30">
        <v>0</v>
      </c>
      <c r="J358" s="30">
        <v>1138.75</v>
      </c>
      <c r="K358" s="31">
        <v>13664.94</v>
      </c>
      <c r="L358" s="32">
        <v>14803.69</v>
      </c>
      <c r="M358" s="33"/>
      <c r="N358" s="30">
        <v>13664.94</v>
      </c>
      <c r="O358" s="30">
        <v>7280.83</v>
      </c>
      <c r="P358" s="30"/>
      <c r="Q358" s="30">
        <f>(N358+O358*0.18+J358)+(IF((P358-O358*0.18)&gt;0,(P358-O358*0.18),0))</f>
        <v>16114.2394</v>
      </c>
      <c r="R358" s="7"/>
      <c r="S358" s="7"/>
      <c r="T358" s="7"/>
      <c r="U358" s="7"/>
      <c r="V358" s="7"/>
      <c r="W358" s="7"/>
      <c r="X358" s="7"/>
      <c r="Y358" s="7"/>
      <c r="Z358" s="7"/>
    </row>
    <row r="359" spans="1:26" ht="9" customHeight="1" x14ac:dyDescent="0.2">
      <c r="A359" s="534"/>
      <c r="B359" s="534"/>
      <c r="C359" s="34" t="s">
        <v>37</v>
      </c>
      <c r="D359" s="35">
        <v>2</v>
      </c>
      <c r="E359" s="36">
        <v>12873659</v>
      </c>
      <c r="F359" s="36">
        <v>1223994</v>
      </c>
      <c r="G359" s="36">
        <v>0</v>
      </c>
      <c r="H359" s="36">
        <v>12361361</v>
      </c>
      <c r="I359" s="36">
        <v>0</v>
      </c>
      <c r="J359" s="37">
        <v>2204927</v>
      </c>
      <c r="K359" s="36">
        <v>26459013</v>
      </c>
      <c r="L359" s="38">
        <v>28663941</v>
      </c>
      <c r="M359" s="39"/>
      <c r="N359" s="36">
        <v>26459013</v>
      </c>
      <c r="O359" s="36">
        <v>14097653</v>
      </c>
      <c r="P359" s="36">
        <v>0</v>
      </c>
      <c r="Q359" s="36">
        <f>Q358*1936.27</f>
        <v>31201518.323038001</v>
      </c>
      <c r="R359" s="7"/>
      <c r="S359" s="7"/>
      <c r="T359" s="7"/>
      <c r="U359" s="7"/>
      <c r="V359" s="7"/>
      <c r="W359" s="7"/>
      <c r="X359" s="7"/>
      <c r="Y359" s="7"/>
      <c r="Z359" s="7"/>
    </row>
    <row r="360" spans="1:26" ht="12.75" customHeight="1" x14ac:dyDescent="0.2">
      <c r="A360" s="540">
        <v>35034</v>
      </c>
      <c r="B360" s="540">
        <v>35064</v>
      </c>
      <c r="C360" s="40" t="s">
        <v>36</v>
      </c>
      <c r="D360" s="41">
        <v>3</v>
      </c>
      <c r="E360" s="42">
        <v>6979.02</v>
      </c>
      <c r="F360" s="42">
        <v>663.13</v>
      </c>
      <c r="G360" s="42">
        <v>0</v>
      </c>
      <c r="H360" s="42">
        <v>6384.11</v>
      </c>
      <c r="I360" s="42">
        <v>0</v>
      </c>
      <c r="J360" s="42">
        <v>1168.8599999999999</v>
      </c>
      <c r="K360" s="43">
        <v>14026.26</v>
      </c>
      <c r="L360" s="32">
        <v>15195.12</v>
      </c>
      <c r="M360" s="33"/>
      <c r="N360" s="30">
        <v>14026.26</v>
      </c>
      <c r="O360" s="30">
        <v>7642.15</v>
      </c>
      <c r="P360" s="30"/>
      <c r="Q360" s="30">
        <f>(N360+O360*0.18+J360)+(IF((P360-O360*0.18)&gt;0,(P360-O360*0.18),0))</f>
        <v>16570.706999999999</v>
      </c>
      <c r="R360" s="7"/>
      <c r="S360" s="7"/>
      <c r="T360" s="7"/>
      <c r="U360" s="7"/>
      <c r="V360" s="7"/>
      <c r="W360" s="7"/>
      <c r="X360" s="7"/>
      <c r="Y360" s="7"/>
      <c r="Z360" s="7"/>
    </row>
    <row r="361" spans="1:26" ht="9" customHeight="1" x14ac:dyDescent="0.2">
      <c r="A361" s="534"/>
      <c r="B361" s="534"/>
      <c r="C361" s="34" t="s">
        <v>37</v>
      </c>
      <c r="D361" s="35">
        <v>4</v>
      </c>
      <c r="E361" s="36">
        <v>13513267</v>
      </c>
      <c r="F361" s="36">
        <v>1283999</v>
      </c>
      <c r="G361" s="36">
        <v>0</v>
      </c>
      <c r="H361" s="36">
        <v>12361361</v>
      </c>
      <c r="I361" s="36">
        <v>0</v>
      </c>
      <c r="J361" s="37">
        <v>2263229</v>
      </c>
      <c r="K361" s="36">
        <v>27158626</v>
      </c>
      <c r="L361" s="38">
        <v>29421855</v>
      </c>
      <c r="M361" s="39"/>
      <c r="N361" s="36">
        <v>27158626</v>
      </c>
      <c r="O361" s="36">
        <v>14797266</v>
      </c>
      <c r="P361" s="36">
        <v>0</v>
      </c>
      <c r="Q361" s="36">
        <f>Q360*1936.27</f>
        <v>32085362.842889998</v>
      </c>
      <c r="R361" s="7"/>
      <c r="S361" s="7"/>
      <c r="T361" s="7"/>
      <c r="U361" s="7"/>
      <c r="V361" s="7"/>
      <c r="W361" s="7"/>
      <c r="X361" s="7"/>
      <c r="Y361" s="7"/>
      <c r="Z361" s="7"/>
    </row>
    <row r="362" spans="1:26" ht="12.75" customHeight="1" x14ac:dyDescent="0.2">
      <c r="A362" s="534"/>
      <c r="B362" s="534"/>
      <c r="C362" s="40" t="s">
        <v>36</v>
      </c>
      <c r="D362" s="41">
        <v>5</v>
      </c>
      <c r="E362" s="42">
        <v>7288.89</v>
      </c>
      <c r="F362" s="42">
        <v>700.32</v>
      </c>
      <c r="G362" s="42">
        <v>0</v>
      </c>
      <c r="H362" s="42">
        <v>6384.11</v>
      </c>
      <c r="I362" s="42">
        <v>0</v>
      </c>
      <c r="J362" s="42">
        <v>1197.78</v>
      </c>
      <c r="K362" s="43">
        <v>14373.32</v>
      </c>
      <c r="L362" s="32">
        <v>15571.1</v>
      </c>
      <c r="M362" s="33"/>
      <c r="N362" s="30">
        <v>14373.32</v>
      </c>
      <c r="O362" s="30">
        <v>7989.21</v>
      </c>
      <c r="P362" s="30"/>
      <c r="Q362" s="30">
        <f>(N362+O362*0.18+J362)+(IF((P362-O362*0.18)&gt;0,(P362-O362*0.18),0))</f>
        <v>17009.157800000001</v>
      </c>
      <c r="R362" s="7"/>
      <c r="S362" s="7"/>
      <c r="T362" s="7"/>
      <c r="U362" s="7"/>
      <c r="V362" s="7"/>
      <c r="W362" s="7"/>
      <c r="X362" s="7"/>
      <c r="Y362" s="7"/>
      <c r="Z362" s="7"/>
    </row>
    <row r="363" spans="1:26" ht="9" customHeight="1" x14ac:dyDescent="0.2">
      <c r="A363" s="534"/>
      <c r="B363" s="534"/>
      <c r="C363" s="34" t="s">
        <v>37</v>
      </c>
      <c r="D363" s="35">
        <v>6</v>
      </c>
      <c r="E363" s="36">
        <v>14113259</v>
      </c>
      <c r="F363" s="36">
        <v>1356009</v>
      </c>
      <c r="G363" s="36">
        <v>0</v>
      </c>
      <c r="H363" s="36">
        <v>12361361</v>
      </c>
      <c r="I363" s="36">
        <v>0</v>
      </c>
      <c r="J363" s="37">
        <v>2319225</v>
      </c>
      <c r="K363" s="36">
        <v>27830628</v>
      </c>
      <c r="L363" s="38">
        <v>30149854</v>
      </c>
      <c r="M363" s="39"/>
      <c r="N363" s="36">
        <v>27830628</v>
      </c>
      <c r="O363" s="36">
        <v>15469268</v>
      </c>
      <c r="P363" s="36">
        <v>0</v>
      </c>
      <c r="Q363" s="36">
        <f>Q362*1936.27</f>
        <v>32934321.973406002</v>
      </c>
      <c r="R363" s="7"/>
      <c r="S363" s="7"/>
      <c r="T363" s="7"/>
      <c r="U363" s="7"/>
      <c r="V363" s="7"/>
      <c r="W363" s="7"/>
      <c r="X363" s="7"/>
      <c r="Y363" s="7"/>
      <c r="Z363" s="7"/>
    </row>
    <row r="364" spans="1:26" ht="12.75" customHeight="1" x14ac:dyDescent="0.2">
      <c r="A364" s="534"/>
      <c r="B364" s="534"/>
      <c r="C364" s="40" t="s">
        <v>36</v>
      </c>
      <c r="D364" s="41">
        <v>7</v>
      </c>
      <c r="E364" s="42">
        <v>7592.57</v>
      </c>
      <c r="F364" s="42">
        <v>731.3</v>
      </c>
      <c r="G364" s="42">
        <v>0</v>
      </c>
      <c r="H364" s="42">
        <v>6384.11</v>
      </c>
      <c r="I364" s="42">
        <v>0</v>
      </c>
      <c r="J364" s="42">
        <v>1225.67</v>
      </c>
      <c r="K364" s="43">
        <v>14707.98</v>
      </c>
      <c r="L364" s="32">
        <v>15933.65</v>
      </c>
      <c r="M364" s="33"/>
      <c r="N364" s="30">
        <v>14707.98</v>
      </c>
      <c r="O364" s="30">
        <v>8323.8700000000008</v>
      </c>
      <c r="P364" s="30"/>
      <c r="Q364" s="30">
        <f>(N364+O364*0.18+J364)+(IF((P364-O364*0.18)&gt;0,(P364-O364*0.18),0))</f>
        <v>17431.946599999999</v>
      </c>
      <c r="R364" s="7"/>
      <c r="S364" s="7"/>
      <c r="T364" s="7"/>
      <c r="U364" s="7"/>
      <c r="V364" s="7"/>
      <c r="W364" s="7"/>
      <c r="X364" s="7"/>
      <c r="Y364" s="7"/>
      <c r="Z364" s="7"/>
    </row>
    <row r="365" spans="1:26" ht="9" customHeight="1" x14ac:dyDescent="0.2">
      <c r="A365" s="534"/>
      <c r="B365" s="534"/>
      <c r="C365" s="34" t="s">
        <v>37</v>
      </c>
      <c r="D365" s="35">
        <v>8</v>
      </c>
      <c r="E365" s="36">
        <v>14701266</v>
      </c>
      <c r="F365" s="36">
        <v>1415994</v>
      </c>
      <c r="G365" s="36">
        <v>0</v>
      </c>
      <c r="H365" s="36">
        <v>12361361</v>
      </c>
      <c r="I365" s="36">
        <v>0</v>
      </c>
      <c r="J365" s="37">
        <v>2373228</v>
      </c>
      <c r="K365" s="36">
        <v>28478620</v>
      </c>
      <c r="L365" s="38">
        <v>30851848</v>
      </c>
      <c r="M365" s="39"/>
      <c r="N365" s="36">
        <v>28478620</v>
      </c>
      <c r="O365" s="36">
        <v>16117260</v>
      </c>
      <c r="P365" s="36">
        <v>0</v>
      </c>
      <c r="Q365" s="36">
        <f>Q364*1936.27</f>
        <v>33752955.243181996</v>
      </c>
      <c r="R365" s="7"/>
      <c r="S365" s="7"/>
      <c r="T365" s="7"/>
      <c r="U365" s="7"/>
      <c r="V365" s="7"/>
      <c r="W365" s="7"/>
      <c r="X365" s="7"/>
      <c r="Y365" s="7"/>
      <c r="Z365" s="7"/>
    </row>
    <row r="366" spans="1:26" ht="12.75" customHeight="1" x14ac:dyDescent="0.2">
      <c r="A366" s="534"/>
      <c r="B366" s="534"/>
      <c r="C366" s="40" t="s">
        <v>36</v>
      </c>
      <c r="D366" s="41">
        <v>9</v>
      </c>
      <c r="E366" s="42">
        <v>8010.15</v>
      </c>
      <c r="F366" s="42">
        <v>768.49</v>
      </c>
      <c r="G366" s="42">
        <v>0</v>
      </c>
      <c r="H366" s="42">
        <v>6384.11</v>
      </c>
      <c r="I366" s="42">
        <v>0</v>
      </c>
      <c r="J366" s="42">
        <v>1263.56</v>
      </c>
      <c r="K366" s="43">
        <v>15162.75</v>
      </c>
      <c r="L366" s="32">
        <v>16426.310000000001</v>
      </c>
      <c r="M366" s="33"/>
      <c r="N366" s="30">
        <v>15162.75</v>
      </c>
      <c r="O366" s="30">
        <v>8778.64</v>
      </c>
      <c r="P366" s="30"/>
      <c r="Q366" s="30">
        <f>(N366+O366*0.18+J366)+(IF((P366-O366*0.18)&gt;0,(P366-O366*0.18),0))</f>
        <v>18006.465200000002</v>
      </c>
      <c r="R366" s="7"/>
      <c r="S366" s="7"/>
      <c r="T366" s="7"/>
      <c r="U366" s="7"/>
      <c r="V366" s="7"/>
      <c r="W366" s="7"/>
      <c r="X366" s="7"/>
      <c r="Y366" s="7"/>
      <c r="Z366" s="7"/>
    </row>
    <row r="367" spans="1:26" ht="9" customHeight="1" x14ac:dyDescent="0.2">
      <c r="A367" s="534"/>
      <c r="B367" s="534"/>
      <c r="C367" s="34" t="s">
        <v>37</v>
      </c>
      <c r="D367" s="35">
        <v>10</v>
      </c>
      <c r="E367" s="36">
        <v>15509813</v>
      </c>
      <c r="F367" s="36">
        <v>1488004</v>
      </c>
      <c r="G367" s="36">
        <v>0</v>
      </c>
      <c r="H367" s="36">
        <v>12361361</v>
      </c>
      <c r="I367" s="36">
        <v>0</v>
      </c>
      <c r="J367" s="37">
        <v>2446593</v>
      </c>
      <c r="K367" s="36">
        <v>29359178</v>
      </c>
      <c r="L367" s="38">
        <v>31805771</v>
      </c>
      <c r="M367" s="39"/>
      <c r="N367" s="36">
        <v>29359178</v>
      </c>
      <c r="O367" s="36">
        <v>16997817</v>
      </c>
      <c r="P367" s="36">
        <v>0</v>
      </c>
      <c r="Q367" s="36">
        <f>Q366*1936.27</f>
        <v>34865378.372804001</v>
      </c>
      <c r="R367" s="7"/>
      <c r="S367" s="7"/>
      <c r="T367" s="7"/>
      <c r="U367" s="7"/>
      <c r="V367" s="7"/>
      <c r="W367" s="7"/>
      <c r="X367" s="7"/>
      <c r="Y367" s="7"/>
      <c r="Z367" s="7"/>
    </row>
    <row r="368" spans="1:26" ht="12.75" customHeight="1" x14ac:dyDescent="0.2">
      <c r="A368" s="534"/>
      <c r="B368" s="534"/>
      <c r="C368" s="40" t="s">
        <v>36</v>
      </c>
      <c r="D368" s="41">
        <v>11</v>
      </c>
      <c r="E368" s="42">
        <v>8369.61</v>
      </c>
      <c r="F368" s="42">
        <v>811.87</v>
      </c>
      <c r="G368" s="42">
        <v>0</v>
      </c>
      <c r="H368" s="42">
        <v>6384.11</v>
      </c>
      <c r="I368" s="42">
        <v>0</v>
      </c>
      <c r="J368" s="42">
        <v>1297.1300000000001</v>
      </c>
      <c r="K368" s="43">
        <v>15565.59</v>
      </c>
      <c r="L368" s="32">
        <v>16862.72</v>
      </c>
      <c r="M368" s="33"/>
      <c r="N368" s="30">
        <v>15565.59</v>
      </c>
      <c r="O368" s="30">
        <v>9181.48</v>
      </c>
      <c r="P368" s="30"/>
      <c r="Q368" s="30">
        <f>(N368+O368*0.18+J368)+(IF((P368-O368*0.18)&gt;0,(P368-O368*0.18),0))</f>
        <v>18515.386399999999</v>
      </c>
      <c r="R368" s="7"/>
      <c r="S368" s="7"/>
      <c r="T368" s="7"/>
      <c r="U368" s="7"/>
      <c r="V368" s="7"/>
      <c r="W368" s="7"/>
      <c r="X368" s="7"/>
      <c r="Y368" s="7"/>
      <c r="Z368" s="7"/>
    </row>
    <row r="369" spans="1:26" ht="9" customHeight="1" x14ac:dyDescent="0.2">
      <c r="A369" s="534"/>
      <c r="B369" s="534"/>
      <c r="C369" s="34" t="s">
        <v>37</v>
      </c>
      <c r="D369" s="35">
        <v>12</v>
      </c>
      <c r="E369" s="36">
        <v>16205825</v>
      </c>
      <c r="F369" s="36">
        <v>1572000</v>
      </c>
      <c r="G369" s="36">
        <v>0</v>
      </c>
      <c r="H369" s="36">
        <v>12361361</v>
      </c>
      <c r="I369" s="36">
        <v>0</v>
      </c>
      <c r="J369" s="37">
        <v>2511594</v>
      </c>
      <c r="K369" s="36">
        <v>30139185</v>
      </c>
      <c r="L369" s="38">
        <v>32650779</v>
      </c>
      <c r="M369" s="39"/>
      <c r="N369" s="36">
        <v>30139185</v>
      </c>
      <c r="O369" s="36">
        <v>17777824</v>
      </c>
      <c r="P369" s="36">
        <v>0</v>
      </c>
      <c r="Q369" s="36">
        <f>Q368*1936.27</f>
        <v>35850787.224727996</v>
      </c>
      <c r="R369" s="7"/>
      <c r="S369" s="7"/>
      <c r="T369" s="7"/>
      <c r="U369" s="7"/>
      <c r="V369" s="7"/>
      <c r="W369" s="7"/>
      <c r="X369" s="7"/>
      <c r="Y369" s="7"/>
      <c r="Z369" s="7"/>
    </row>
    <row r="370" spans="1:26" ht="12.75" customHeight="1" x14ac:dyDescent="0.2">
      <c r="A370" s="534"/>
      <c r="B370" s="534"/>
      <c r="C370" s="40" t="s">
        <v>36</v>
      </c>
      <c r="D370" s="41">
        <v>13</v>
      </c>
      <c r="E370" s="42">
        <v>8722.86</v>
      </c>
      <c r="F370" s="42">
        <v>849.06</v>
      </c>
      <c r="G370" s="42">
        <v>0</v>
      </c>
      <c r="H370" s="42">
        <v>6384.11</v>
      </c>
      <c r="I370" s="42">
        <v>0</v>
      </c>
      <c r="J370" s="42">
        <v>1329.67</v>
      </c>
      <c r="K370" s="43">
        <v>15956.03</v>
      </c>
      <c r="L370" s="32">
        <v>17285.7</v>
      </c>
      <c r="M370" s="33"/>
      <c r="N370" s="30">
        <v>15956.03</v>
      </c>
      <c r="O370" s="30">
        <v>9571.92</v>
      </c>
      <c r="P370" s="30"/>
      <c r="Q370" s="30">
        <f>(N370+O370*0.18+J370)+(IF((P370-O370*0.18)&gt;0,(P370-O370*0.18),0))</f>
        <v>19008.645600000003</v>
      </c>
      <c r="R370" s="7"/>
      <c r="S370" s="7"/>
      <c r="T370" s="7"/>
      <c r="U370" s="7"/>
      <c r="V370" s="7"/>
      <c r="W370" s="7"/>
      <c r="X370" s="7"/>
      <c r="Y370" s="7"/>
      <c r="Z370" s="7"/>
    </row>
    <row r="371" spans="1:26" ht="9" customHeight="1" x14ac:dyDescent="0.2">
      <c r="A371" s="534"/>
      <c r="B371" s="534"/>
      <c r="C371" s="34" t="s">
        <v>37</v>
      </c>
      <c r="D371" s="35">
        <v>14</v>
      </c>
      <c r="E371" s="36">
        <v>16889812</v>
      </c>
      <c r="F371" s="36">
        <v>1644009</v>
      </c>
      <c r="G371" s="36">
        <v>0</v>
      </c>
      <c r="H371" s="36">
        <v>12361361</v>
      </c>
      <c r="I371" s="36">
        <v>0</v>
      </c>
      <c r="J371" s="37">
        <v>2574600</v>
      </c>
      <c r="K371" s="36">
        <v>30895182</v>
      </c>
      <c r="L371" s="38">
        <v>33469782</v>
      </c>
      <c r="M371" s="39"/>
      <c r="N371" s="36">
        <v>30895182</v>
      </c>
      <c r="O371" s="36">
        <v>18533822</v>
      </c>
      <c r="P371" s="36">
        <v>0</v>
      </c>
      <c r="Q371" s="36">
        <f>Q370*1936.27</f>
        <v>36805870.215912007</v>
      </c>
      <c r="R371" s="7"/>
      <c r="S371" s="7"/>
      <c r="T371" s="7"/>
      <c r="U371" s="7"/>
      <c r="V371" s="7"/>
      <c r="W371" s="7"/>
      <c r="X371" s="7"/>
      <c r="Y371" s="7"/>
      <c r="Z371" s="7"/>
    </row>
    <row r="372" spans="1:26" ht="12.75" customHeight="1" x14ac:dyDescent="0.2">
      <c r="A372" s="534"/>
      <c r="B372" s="534"/>
      <c r="C372" s="40" t="s">
        <v>36</v>
      </c>
      <c r="D372" s="41">
        <v>15</v>
      </c>
      <c r="E372" s="42">
        <v>9213.2099999999991</v>
      </c>
      <c r="F372" s="42">
        <v>892.44</v>
      </c>
      <c r="G372" s="42">
        <v>0</v>
      </c>
      <c r="H372" s="42">
        <v>6384.11</v>
      </c>
      <c r="I372" s="42">
        <v>0</v>
      </c>
      <c r="J372" s="42">
        <v>1374.15</v>
      </c>
      <c r="K372" s="43">
        <v>16489.759999999998</v>
      </c>
      <c r="L372" s="32">
        <v>17863.91</v>
      </c>
      <c r="M372" s="33"/>
      <c r="N372" s="30">
        <v>16489.759999999998</v>
      </c>
      <c r="O372" s="30">
        <v>10105.65</v>
      </c>
      <c r="P372" s="30"/>
      <c r="Q372" s="30">
        <f>(N372+O372*0.18+J372)+(IF((P372-O372*0.18)&gt;0,(P372-O372*0.18),0))</f>
        <v>19682.927</v>
      </c>
      <c r="R372" s="7"/>
      <c r="S372" s="7"/>
      <c r="T372" s="7"/>
      <c r="U372" s="7"/>
      <c r="V372" s="7"/>
      <c r="W372" s="7"/>
      <c r="X372" s="7"/>
      <c r="Y372" s="7"/>
      <c r="Z372" s="7"/>
    </row>
    <row r="373" spans="1:26" ht="9" customHeight="1" x14ac:dyDescent="0.2">
      <c r="A373" s="534"/>
      <c r="B373" s="534"/>
      <c r="C373" s="34" t="s">
        <v>37</v>
      </c>
      <c r="D373" s="35">
        <v>16</v>
      </c>
      <c r="E373" s="36">
        <v>17839262</v>
      </c>
      <c r="F373" s="36">
        <v>1728005</v>
      </c>
      <c r="G373" s="36">
        <v>0</v>
      </c>
      <c r="H373" s="36">
        <v>12361361</v>
      </c>
      <c r="I373" s="36">
        <v>0</v>
      </c>
      <c r="J373" s="37">
        <v>2660725</v>
      </c>
      <c r="K373" s="36">
        <v>31928628</v>
      </c>
      <c r="L373" s="38">
        <v>34589353</v>
      </c>
      <c r="M373" s="39"/>
      <c r="N373" s="36">
        <v>31928628</v>
      </c>
      <c r="O373" s="36">
        <v>19567267</v>
      </c>
      <c r="P373" s="36">
        <v>0</v>
      </c>
      <c r="Q373" s="36">
        <f>Q372*1936.27</f>
        <v>38111461.062289998</v>
      </c>
      <c r="R373" s="7"/>
      <c r="S373" s="7"/>
      <c r="T373" s="7"/>
      <c r="U373" s="7"/>
      <c r="V373" s="7"/>
      <c r="W373" s="7"/>
      <c r="X373" s="7"/>
      <c r="Y373" s="7"/>
      <c r="Z373" s="7"/>
    </row>
    <row r="374" spans="1:26" ht="12.75" customHeight="1" x14ac:dyDescent="0.2">
      <c r="A374" s="534"/>
      <c r="B374" s="534"/>
      <c r="C374" s="40" t="s">
        <v>36</v>
      </c>
      <c r="D374" s="41">
        <v>17</v>
      </c>
      <c r="E374" s="42">
        <v>9628.44</v>
      </c>
      <c r="F374" s="42">
        <v>942.02</v>
      </c>
      <c r="G374" s="42">
        <v>0</v>
      </c>
      <c r="H374" s="42">
        <v>6384.11</v>
      </c>
      <c r="I374" s="42">
        <v>0</v>
      </c>
      <c r="J374" s="42">
        <v>1412.88</v>
      </c>
      <c r="K374" s="43">
        <v>16954.57</v>
      </c>
      <c r="L374" s="32">
        <v>18367.45</v>
      </c>
      <c r="M374" s="33"/>
      <c r="N374" s="30">
        <v>16954.57</v>
      </c>
      <c r="O374" s="30">
        <v>10570.46</v>
      </c>
      <c r="P374" s="30"/>
      <c r="Q374" s="30">
        <f>(N374+O374*0.18+J374)+(IF((P374-O374*0.18)&gt;0,(P374-O374*0.18),0))</f>
        <v>20270.132799999999</v>
      </c>
      <c r="R374" s="7"/>
      <c r="S374" s="7"/>
      <c r="T374" s="7"/>
      <c r="U374" s="7"/>
      <c r="V374" s="7"/>
      <c r="W374" s="7"/>
      <c r="X374" s="7"/>
      <c r="Y374" s="7"/>
      <c r="Z374" s="7"/>
    </row>
    <row r="375" spans="1:26" ht="9" customHeight="1" x14ac:dyDescent="0.2">
      <c r="A375" s="534"/>
      <c r="B375" s="534"/>
      <c r="C375" s="34" t="s">
        <v>37</v>
      </c>
      <c r="D375" s="35">
        <v>18</v>
      </c>
      <c r="E375" s="36">
        <v>18643260</v>
      </c>
      <c r="F375" s="36">
        <v>1824005</v>
      </c>
      <c r="G375" s="36">
        <v>0</v>
      </c>
      <c r="H375" s="36">
        <v>12361361</v>
      </c>
      <c r="I375" s="36">
        <v>0</v>
      </c>
      <c r="J375" s="37">
        <v>2735717</v>
      </c>
      <c r="K375" s="36">
        <v>32828625</v>
      </c>
      <c r="L375" s="38">
        <v>35564342</v>
      </c>
      <c r="M375" s="39"/>
      <c r="N375" s="36">
        <v>32828625</v>
      </c>
      <c r="O375" s="36">
        <v>20467265</v>
      </c>
      <c r="P375" s="36">
        <v>0</v>
      </c>
      <c r="Q375" s="36">
        <f>Q374*1936.27</f>
        <v>39248450.036656</v>
      </c>
      <c r="R375" s="7"/>
      <c r="S375" s="7"/>
      <c r="T375" s="7"/>
      <c r="U375" s="7"/>
      <c r="V375" s="7"/>
      <c r="W375" s="7"/>
      <c r="X375" s="7"/>
      <c r="Y375" s="7"/>
      <c r="Z375" s="7"/>
    </row>
    <row r="376" spans="1:26" ht="12.75" customHeight="1" x14ac:dyDescent="0.2">
      <c r="A376" s="534"/>
      <c r="B376" s="534"/>
      <c r="C376" s="40" t="s">
        <v>36</v>
      </c>
      <c r="D376" s="41">
        <v>19</v>
      </c>
      <c r="E376" s="42">
        <v>10037.469999999999</v>
      </c>
      <c r="F376" s="42">
        <v>985.4</v>
      </c>
      <c r="G376" s="42">
        <v>0</v>
      </c>
      <c r="H376" s="42">
        <v>6384.11</v>
      </c>
      <c r="I376" s="42">
        <v>0</v>
      </c>
      <c r="J376" s="42">
        <v>1450.58</v>
      </c>
      <c r="K376" s="43">
        <v>17406.98</v>
      </c>
      <c r="L376" s="32">
        <v>18857.560000000001</v>
      </c>
      <c r="M376" s="33"/>
      <c r="N376" s="30">
        <v>17406.98</v>
      </c>
      <c r="O376" s="30">
        <v>11022.87</v>
      </c>
      <c r="P376" s="30"/>
      <c r="Q376" s="30">
        <f>(N376+O376*0.18+J376)+(IF((P376-O376*0.18)&gt;0,(P376-O376*0.18),0))</f>
        <v>20841.676599999999</v>
      </c>
      <c r="R376" s="7"/>
      <c r="S376" s="7"/>
      <c r="T376" s="7"/>
      <c r="U376" s="7"/>
      <c r="V376" s="7"/>
      <c r="W376" s="7"/>
      <c r="X376" s="7"/>
      <c r="Y376" s="7"/>
      <c r="Z376" s="7"/>
    </row>
    <row r="377" spans="1:26" ht="9" customHeight="1" x14ac:dyDescent="0.2">
      <c r="A377" s="534"/>
      <c r="B377" s="534"/>
      <c r="C377" s="34" t="s">
        <v>37</v>
      </c>
      <c r="D377" s="35">
        <v>19</v>
      </c>
      <c r="E377" s="36">
        <v>19435252</v>
      </c>
      <c r="F377" s="36">
        <v>1908000</v>
      </c>
      <c r="G377" s="36">
        <v>0</v>
      </c>
      <c r="H377" s="36">
        <v>12361361</v>
      </c>
      <c r="I377" s="36">
        <v>0</v>
      </c>
      <c r="J377" s="37">
        <v>2808715</v>
      </c>
      <c r="K377" s="36">
        <v>33704613</v>
      </c>
      <c r="L377" s="38">
        <v>36513328</v>
      </c>
      <c r="M377" s="39"/>
      <c r="N377" s="36">
        <v>33704613</v>
      </c>
      <c r="O377" s="36">
        <v>21343252</v>
      </c>
      <c r="P377" s="36">
        <v>0</v>
      </c>
      <c r="Q377" s="36">
        <f>Q376*1936.27</f>
        <v>40355113.150281996</v>
      </c>
      <c r="R377" s="7"/>
      <c r="S377" s="7"/>
      <c r="T377" s="7"/>
      <c r="U377" s="7"/>
      <c r="V377" s="7"/>
      <c r="W377" s="7"/>
      <c r="X377" s="7"/>
      <c r="Y377" s="7"/>
      <c r="Z377" s="7"/>
    </row>
    <row r="378" spans="1:26" ht="12.75" customHeight="1" x14ac:dyDescent="0.2">
      <c r="A378" s="534"/>
      <c r="B378" s="534"/>
      <c r="C378" s="40" t="s">
        <v>36</v>
      </c>
      <c r="D378" s="41">
        <v>20</v>
      </c>
      <c r="E378" s="42">
        <v>10849.34</v>
      </c>
      <c r="F378" s="42">
        <v>1072.1600000000001</v>
      </c>
      <c r="G378" s="42">
        <v>0</v>
      </c>
      <c r="H378" s="42">
        <v>6384.11</v>
      </c>
      <c r="I378" s="42">
        <v>0</v>
      </c>
      <c r="J378" s="42">
        <v>1525.47</v>
      </c>
      <c r="K378" s="43">
        <v>18305.61</v>
      </c>
      <c r="L378" s="32">
        <v>19831.080000000002</v>
      </c>
      <c r="M378" s="33"/>
      <c r="N378" s="30">
        <v>18305.61</v>
      </c>
      <c r="O378" s="30">
        <v>11921.5</v>
      </c>
      <c r="P378" s="30"/>
      <c r="Q378" s="30">
        <f>(N378+O378*0.18+J378)+(IF((P378-O378*0.18)&gt;0,(P378-O378*0.18),0))</f>
        <v>21976.95</v>
      </c>
      <c r="R378" s="7"/>
      <c r="S378" s="7"/>
      <c r="T378" s="7"/>
      <c r="U378" s="7"/>
      <c r="V378" s="7"/>
      <c r="W378" s="7"/>
      <c r="X378" s="7"/>
      <c r="Y378" s="7"/>
      <c r="Z378" s="7"/>
    </row>
    <row r="379" spans="1:26" ht="9" customHeight="1" x14ac:dyDescent="0.2">
      <c r="A379" s="534"/>
      <c r="B379" s="534"/>
      <c r="C379" s="34" t="s">
        <v>37</v>
      </c>
      <c r="D379" s="35">
        <v>21</v>
      </c>
      <c r="E379" s="36">
        <v>21007252</v>
      </c>
      <c r="F379" s="36">
        <v>2075991</v>
      </c>
      <c r="G379" s="36">
        <v>0</v>
      </c>
      <c r="H379" s="36">
        <v>12361361</v>
      </c>
      <c r="I379" s="36">
        <v>0</v>
      </c>
      <c r="J379" s="37">
        <v>2953722</v>
      </c>
      <c r="K379" s="36">
        <v>35444603</v>
      </c>
      <c r="L379" s="38">
        <v>38398325</v>
      </c>
      <c r="M379" s="39"/>
      <c r="N379" s="36">
        <v>35444603</v>
      </c>
      <c r="O379" s="36">
        <v>23083243</v>
      </c>
      <c r="P379" s="36">
        <v>0</v>
      </c>
      <c r="Q379" s="36">
        <f>Q378*1936.27</f>
        <v>42553308.976500005</v>
      </c>
      <c r="R379" s="7"/>
      <c r="S379" s="7"/>
      <c r="T379" s="7"/>
      <c r="U379" s="7"/>
      <c r="V379" s="7"/>
      <c r="W379" s="7"/>
      <c r="X379" s="7"/>
      <c r="Y379" s="7"/>
      <c r="Z379" s="7"/>
    </row>
    <row r="380" spans="1:26" ht="12.75" customHeight="1" x14ac:dyDescent="0.2">
      <c r="A380" s="534"/>
      <c r="B380" s="534"/>
      <c r="C380" s="40" t="s">
        <v>36</v>
      </c>
      <c r="D380" s="41">
        <v>22</v>
      </c>
      <c r="E380" s="42">
        <v>11224.79</v>
      </c>
      <c r="F380" s="42">
        <v>1103.1500000000001</v>
      </c>
      <c r="G380" s="42">
        <v>0</v>
      </c>
      <c r="H380" s="42">
        <v>6384.11</v>
      </c>
      <c r="I380" s="42">
        <v>0</v>
      </c>
      <c r="J380" s="42">
        <v>1559.34</v>
      </c>
      <c r="K380" s="43">
        <v>18712.05</v>
      </c>
      <c r="L380" s="32">
        <v>20271.39</v>
      </c>
      <c r="M380" s="33"/>
      <c r="N380" s="30">
        <v>18712.05</v>
      </c>
      <c r="O380" s="30">
        <v>12327.94</v>
      </c>
      <c r="P380" s="30"/>
      <c r="Q380" s="30">
        <f>(N380+O380*0.18+J380)+(IF((P380-O380*0.18)&gt;0,(P380-O380*0.18),0))</f>
        <v>22490.4192</v>
      </c>
      <c r="R380" s="7"/>
      <c r="S380" s="7"/>
      <c r="T380" s="7"/>
      <c r="U380" s="7"/>
      <c r="V380" s="7"/>
      <c r="W380" s="7"/>
      <c r="X380" s="7"/>
      <c r="Y380" s="7"/>
      <c r="Z380" s="7"/>
    </row>
    <row r="381" spans="1:26" ht="9" customHeight="1" x14ac:dyDescent="0.2">
      <c r="A381" s="534"/>
      <c r="B381" s="534"/>
      <c r="C381" s="34" t="s">
        <v>37</v>
      </c>
      <c r="D381" s="35">
        <v>23</v>
      </c>
      <c r="E381" s="36">
        <v>21734224</v>
      </c>
      <c r="F381" s="36">
        <v>2135996</v>
      </c>
      <c r="G381" s="36">
        <v>0</v>
      </c>
      <c r="H381" s="36">
        <v>12361361</v>
      </c>
      <c r="I381" s="36">
        <v>0</v>
      </c>
      <c r="J381" s="37">
        <v>3019303</v>
      </c>
      <c r="K381" s="36">
        <v>36231581</v>
      </c>
      <c r="L381" s="38">
        <v>39250884</v>
      </c>
      <c r="M381" s="39"/>
      <c r="N381" s="36">
        <v>36231581</v>
      </c>
      <c r="O381" s="36">
        <v>23870220</v>
      </c>
      <c r="P381" s="36">
        <v>0</v>
      </c>
      <c r="Q381" s="36">
        <f>Q380*1936.27</f>
        <v>43547523.984384</v>
      </c>
      <c r="R381" s="7"/>
      <c r="S381" s="7"/>
      <c r="T381" s="7"/>
      <c r="U381" s="7"/>
      <c r="V381" s="7"/>
      <c r="W381" s="7"/>
      <c r="X381" s="7"/>
      <c r="Y381" s="7"/>
      <c r="Z381" s="7"/>
    </row>
    <row r="382" spans="1:26" ht="12.75" customHeight="1" x14ac:dyDescent="0.2">
      <c r="A382" s="534"/>
      <c r="B382" s="534"/>
      <c r="C382" s="40" t="s">
        <v>36</v>
      </c>
      <c r="D382" s="41">
        <v>24</v>
      </c>
      <c r="E382" s="42">
        <v>11497.48</v>
      </c>
      <c r="F382" s="42">
        <v>1134.1400000000001</v>
      </c>
      <c r="G382" s="42">
        <v>0</v>
      </c>
      <c r="H382" s="42">
        <v>6384.11</v>
      </c>
      <c r="I382" s="42">
        <v>0</v>
      </c>
      <c r="J382" s="42">
        <v>1584.64</v>
      </c>
      <c r="K382" s="43">
        <v>19015.73</v>
      </c>
      <c r="L382" s="32">
        <v>20600.37</v>
      </c>
      <c r="M382" s="33"/>
      <c r="N382" s="30">
        <v>19015.73</v>
      </c>
      <c r="O382" s="30">
        <v>12631.62</v>
      </c>
      <c r="P382" s="30"/>
      <c r="Q382" s="30">
        <f>(N382+O382*0.18+J382)+(IF((P382-O382*0.18)&gt;0,(P382-O382*0.18),0))</f>
        <v>22874.061600000001</v>
      </c>
      <c r="R382" s="7"/>
      <c r="S382" s="7"/>
      <c r="T382" s="7"/>
      <c r="U382" s="7"/>
      <c r="V382" s="7"/>
      <c r="W382" s="7"/>
      <c r="X382" s="7"/>
      <c r="Y382" s="7"/>
      <c r="Z382" s="7"/>
    </row>
    <row r="383" spans="1:26" ht="9" customHeight="1" x14ac:dyDescent="0.2">
      <c r="A383" s="534"/>
      <c r="B383" s="534"/>
      <c r="C383" s="34" t="s">
        <v>37</v>
      </c>
      <c r="D383" s="35">
        <v>25</v>
      </c>
      <c r="E383" s="36">
        <v>22262226</v>
      </c>
      <c r="F383" s="36">
        <v>2196001</v>
      </c>
      <c r="G383" s="36">
        <v>0</v>
      </c>
      <c r="H383" s="36">
        <v>12361361</v>
      </c>
      <c r="I383" s="36">
        <v>0</v>
      </c>
      <c r="J383" s="37">
        <v>3068291</v>
      </c>
      <c r="K383" s="36">
        <v>36819588</v>
      </c>
      <c r="L383" s="38">
        <v>39887878</v>
      </c>
      <c r="M383" s="39"/>
      <c r="N383" s="36">
        <v>36819588</v>
      </c>
      <c r="O383" s="36">
        <v>24458227</v>
      </c>
      <c r="P383" s="36">
        <v>0</v>
      </c>
      <c r="Q383" s="36">
        <f>Q382*1936.27</f>
        <v>44290359.254232004</v>
      </c>
      <c r="R383" s="7"/>
      <c r="S383" s="7"/>
      <c r="T383" s="7"/>
      <c r="U383" s="7"/>
      <c r="V383" s="7"/>
      <c r="W383" s="7"/>
      <c r="X383" s="7"/>
      <c r="Y383" s="7"/>
      <c r="Z383" s="7"/>
    </row>
    <row r="384" spans="1:26" ht="12.75" customHeight="1" x14ac:dyDescent="0.2">
      <c r="A384" s="534"/>
      <c r="B384" s="534"/>
      <c r="C384" s="40" t="s">
        <v>36</v>
      </c>
      <c r="D384" s="41">
        <v>26</v>
      </c>
      <c r="E384" s="42">
        <v>11770.17</v>
      </c>
      <c r="F384" s="42">
        <v>1165.1300000000001</v>
      </c>
      <c r="G384" s="42">
        <v>0</v>
      </c>
      <c r="H384" s="42">
        <v>6384.11</v>
      </c>
      <c r="I384" s="42">
        <v>0</v>
      </c>
      <c r="J384" s="42">
        <v>1609.95</v>
      </c>
      <c r="K384" s="43">
        <v>19319.41</v>
      </c>
      <c r="L384" s="32">
        <v>20929.36</v>
      </c>
      <c r="M384" s="33"/>
      <c r="N384" s="30">
        <v>19319.41</v>
      </c>
      <c r="O384" s="30">
        <v>12935.3</v>
      </c>
      <c r="P384" s="30"/>
      <c r="Q384" s="30">
        <f>(N384+O384*0.18+J384)+(IF((P384-O384*0.18)&gt;0,(P384-O384*0.18),0))</f>
        <v>23257.714</v>
      </c>
      <c r="R384" s="7"/>
      <c r="S384" s="7"/>
      <c r="T384" s="7"/>
      <c r="U384" s="7"/>
      <c r="V384" s="7"/>
      <c r="W384" s="7"/>
      <c r="X384" s="7"/>
      <c r="Y384" s="7"/>
      <c r="Z384" s="7"/>
    </row>
    <row r="385" spans="1:26" ht="9" customHeight="1" x14ac:dyDescent="0.2">
      <c r="A385" s="534"/>
      <c r="B385" s="534"/>
      <c r="C385" s="34" t="s">
        <v>37</v>
      </c>
      <c r="D385" s="35">
        <v>27</v>
      </c>
      <c r="E385" s="36">
        <v>22790227</v>
      </c>
      <c r="F385" s="36">
        <v>2256006</v>
      </c>
      <c r="G385" s="36">
        <v>0</v>
      </c>
      <c r="H385" s="36">
        <v>12361361</v>
      </c>
      <c r="I385" s="36">
        <v>0</v>
      </c>
      <c r="J385" s="37">
        <v>3117298</v>
      </c>
      <c r="K385" s="36">
        <v>37407594</v>
      </c>
      <c r="L385" s="38">
        <v>40524892</v>
      </c>
      <c r="M385" s="39"/>
      <c r="N385" s="36">
        <v>37407594</v>
      </c>
      <c r="O385" s="36">
        <v>25046233</v>
      </c>
      <c r="P385" s="36">
        <v>0</v>
      </c>
      <c r="Q385" s="36">
        <f>Q384*1936.27</f>
        <v>45033213.886780001</v>
      </c>
      <c r="R385" s="7"/>
      <c r="S385" s="7"/>
      <c r="T385" s="7"/>
      <c r="U385" s="7"/>
      <c r="V385" s="7"/>
      <c r="W385" s="7"/>
      <c r="X385" s="7"/>
      <c r="Y385" s="7"/>
      <c r="Z385" s="7"/>
    </row>
    <row r="386" spans="1:26" ht="12.75" customHeight="1" x14ac:dyDescent="0.2">
      <c r="A386" s="534"/>
      <c r="B386" s="534"/>
      <c r="C386" s="40" t="s">
        <v>36</v>
      </c>
      <c r="D386" s="41">
        <v>28</v>
      </c>
      <c r="E386" s="42">
        <v>12108.42</v>
      </c>
      <c r="F386" s="42">
        <v>1189.92</v>
      </c>
      <c r="G386" s="42">
        <v>0</v>
      </c>
      <c r="H386" s="42">
        <v>6384.11</v>
      </c>
      <c r="I386" s="42">
        <v>0</v>
      </c>
      <c r="J386" s="42">
        <v>1640.2</v>
      </c>
      <c r="K386" s="43">
        <v>19682.45</v>
      </c>
      <c r="L386" s="32">
        <v>21322.65</v>
      </c>
      <c r="M386" s="33"/>
      <c r="N386" s="30">
        <v>19682.45</v>
      </c>
      <c r="O386" s="30">
        <v>13298.34</v>
      </c>
      <c r="P386" s="30"/>
      <c r="Q386" s="30">
        <f>(N386+O386*0.18+J386)+(IF((P386-O386*0.18)&gt;0,(P386-O386*0.18),0))</f>
        <v>23716.351200000001</v>
      </c>
      <c r="R386" s="7"/>
      <c r="S386" s="7"/>
      <c r="T386" s="7"/>
      <c r="U386" s="7"/>
      <c r="V386" s="7"/>
      <c r="W386" s="7"/>
      <c r="X386" s="7"/>
      <c r="Y386" s="7"/>
      <c r="Z386" s="7"/>
    </row>
    <row r="387" spans="1:26" ht="9" customHeight="1" x14ac:dyDescent="0.2">
      <c r="A387" s="534"/>
      <c r="B387" s="534"/>
      <c r="C387" s="34" t="s">
        <v>37</v>
      </c>
      <c r="D387" s="35">
        <v>29</v>
      </c>
      <c r="E387" s="36">
        <v>23445170</v>
      </c>
      <c r="F387" s="36">
        <v>2304006</v>
      </c>
      <c r="G387" s="36">
        <v>0</v>
      </c>
      <c r="H387" s="36">
        <v>12361361</v>
      </c>
      <c r="I387" s="36">
        <v>0</v>
      </c>
      <c r="J387" s="37">
        <v>3175870</v>
      </c>
      <c r="K387" s="36">
        <v>38110537</v>
      </c>
      <c r="L387" s="38">
        <v>41286408</v>
      </c>
      <c r="M387" s="39"/>
      <c r="N387" s="36">
        <v>38110537</v>
      </c>
      <c r="O387" s="36">
        <v>25749177</v>
      </c>
      <c r="P387" s="36">
        <v>0</v>
      </c>
      <c r="Q387" s="36">
        <f>Q386*1936.27</f>
        <v>45921259.338023998</v>
      </c>
      <c r="R387" s="7"/>
      <c r="S387" s="7"/>
      <c r="T387" s="7"/>
      <c r="U387" s="7"/>
      <c r="V387" s="7"/>
      <c r="W387" s="7"/>
      <c r="X387" s="7"/>
      <c r="Y387" s="7"/>
      <c r="Z387" s="7"/>
    </row>
    <row r="388" spans="1:26" ht="12.75" customHeight="1" x14ac:dyDescent="0.2">
      <c r="A388" s="534"/>
      <c r="B388" s="534"/>
      <c r="C388" s="40" t="s">
        <v>36</v>
      </c>
      <c r="D388" s="41">
        <v>30</v>
      </c>
      <c r="E388" s="42">
        <v>12374.92</v>
      </c>
      <c r="F388" s="42">
        <v>1220.9000000000001</v>
      </c>
      <c r="G388" s="42">
        <v>0</v>
      </c>
      <c r="H388" s="42">
        <v>6384.11</v>
      </c>
      <c r="I388" s="42">
        <v>0</v>
      </c>
      <c r="J388" s="42">
        <v>1664.99</v>
      </c>
      <c r="K388" s="43">
        <v>19979.93</v>
      </c>
      <c r="L388" s="32">
        <v>21644.92</v>
      </c>
      <c r="M388" s="33"/>
      <c r="N388" s="30">
        <v>19979.93</v>
      </c>
      <c r="O388" s="30">
        <v>13595.82</v>
      </c>
      <c r="P388" s="30"/>
      <c r="Q388" s="30">
        <f>(N388+O388*0.18+J388)+(IF((P388-O388*0.18)&gt;0,(P388-O388*0.18),0))</f>
        <v>24092.167600000001</v>
      </c>
      <c r="R388" s="7"/>
      <c r="S388" s="7"/>
      <c r="T388" s="7"/>
      <c r="U388" s="7"/>
      <c r="V388" s="7"/>
      <c r="W388" s="7"/>
      <c r="X388" s="7"/>
      <c r="Y388" s="7"/>
      <c r="Z388" s="7"/>
    </row>
    <row r="389" spans="1:26" ht="9" customHeight="1" x14ac:dyDescent="0.2">
      <c r="A389" s="534"/>
      <c r="B389" s="534"/>
      <c r="C389" s="34" t="s">
        <v>37</v>
      </c>
      <c r="D389" s="35">
        <v>31</v>
      </c>
      <c r="E389" s="36">
        <v>23961186</v>
      </c>
      <c r="F389" s="36">
        <v>2363992</v>
      </c>
      <c r="G389" s="36">
        <v>0</v>
      </c>
      <c r="H389" s="36">
        <v>12361361</v>
      </c>
      <c r="I389" s="36">
        <v>0</v>
      </c>
      <c r="J389" s="37">
        <v>3223870</v>
      </c>
      <c r="K389" s="36">
        <v>38686539</v>
      </c>
      <c r="L389" s="38">
        <v>41910409</v>
      </c>
      <c r="M389" s="39"/>
      <c r="N389" s="36">
        <v>38686539</v>
      </c>
      <c r="O389" s="36">
        <v>26325178</v>
      </c>
      <c r="P389" s="36">
        <v>0</v>
      </c>
      <c r="Q389" s="36">
        <f>Q388*1936.27</f>
        <v>46648941.358851999</v>
      </c>
      <c r="R389" s="7"/>
      <c r="S389" s="7"/>
      <c r="T389" s="7"/>
      <c r="U389" s="7"/>
      <c r="V389" s="7"/>
      <c r="W389" s="7"/>
      <c r="X389" s="7"/>
      <c r="Y389" s="7"/>
      <c r="Z389" s="7"/>
    </row>
    <row r="390" spans="1:26" ht="12.75" customHeight="1" x14ac:dyDescent="0.2">
      <c r="A390" s="534"/>
      <c r="B390" s="534"/>
      <c r="C390" s="40" t="s">
        <v>36</v>
      </c>
      <c r="D390" s="41">
        <v>32</v>
      </c>
      <c r="E390" s="42">
        <v>12647.61</v>
      </c>
      <c r="F390" s="42">
        <v>1251.8900000000001</v>
      </c>
      <c r="G390" s="42">
        <v>0</v>
      </c>
      <c r="H390" s="42">
        <v>6384.11</v>
      </c>
      <c r="I390" s="42">
        <v>0</v>
      </c>
      <c r="J390" s="42">
        <v>1690.3</v>
      </c>
      <c r="K390" s="43">
        <v>20283.61</v>
      </c>
      <c r="L390" s="32">
        <v>21973.91</v>
      </c>
      <c r="M390" s="33"/>
      <c r="N390" s="30">
        <v>20283.61</v>
      </c>
      <c r="O390" s="30">
        <v>13899.5</v>
      </c>
      <c r="P390" s="30"/>
      <c r="Q390" s="30">
        <f>(N390+O390*0.18+J390)+(IF((P390-O390*0.18)&gt;0,(P390-O390*0.18),0))</f>
        <v>24475.82</v>
      </c>
      <c r="R390" s="7"/>
      <c r="S390" s="7"/>
      <c r="T390" s="7"/>
      <c r="U390" s="7"/>
      <c r="V390" s="7"/>
      <c r="W390" s="7"/>
      <c r="X390" s="7"/>
      <c r="Y390" s="7"/>
      <c r="Z390" s="7"/>
    </row>
    <row r="391" spans="1:26" ht="9" customHeight="1" x14ac:dyDescent="0.2">
      <c r="A391" s="534"/>
      <c r="B391" s="534"/>
      <c r="C391" s="34" t="s">
        <v>37</v>
      </c>
      <c r="D391" s="35">
        <v>33</v>
      </c>
      <c r="E391" s="36">
        <v>24489188</v>
      </c>
      <c r="F391" s="36">
        <v>2423997</v>
      </c>
      <c r="G391" s="36">
        <v>0</v>
      </c>
      <c r="H391" s="36">
        <v>12361361</v>
      </c>
      <c r="I391" s="36">
        <v>0</v>
      </c>
      <c r="J391" s="37">
        <v>3272877</v>
      </c>
      <c r="K391" s="36">
        <v>39274546</v>
      </c>
      <c r="L391" s="38">
        <v>42547423</v>
      </c>
      <c r="M391" s="39"/>
      <c r="N391" s="36">
        <v>39274546</v>
      </c>
      <c r="O391" s="36">
        <v>26913185</v>
      </c>
      <c r="P391" s="36">
        <v>0</v>
      </c>
      <c r="Q391" s="36">
        <f>Q390*1936.27</f>
        <v>47391795.991399996</v>
      </c>
      <c r="R391" s="7"/>
      <c r="S391" s="7"/>
      <c r="T391" s="7"/>
      <c r="U391" s="7"/>
      <c r="V391" s="7"/>
      <c r="W391" s="7"/>
      <c r="X391" s="7"/>
      <c r="Y391" s="7"/>
      <c r="Z391" s="7"/>
    </row>
    <row r="392" spans="1:26" ht="12.75" customHeight="1" x14ac:dyDescent="0.2">
      <c r="A392" s="534"/>
      <c r="B392" s="534"/>
      <c r="C392" s="40" t="s">
        <v>36</v>
      </c>
      <c r="D392" s="41">
        <v>34</v>
      </c>
      <c r="E392" s="42">
        <v>12914.1</v>
      </c>
      <c r="F392" s="42">
        <v>1282.8800000000001</v>
      </c>
      <c r="G392" s="42">
        <v>0</v>
      </c>
      <c r="H392" s="42">
        <v>6384.11</v>
      </c>
      <c r="I392" s="42">
        <v>0</v>
      </c>
      <c r="J392" s="42">
        <v>1715.09</v>
      </c>
      <c r="K392" s="43">
        <v>20581.09</v>
      </c>
      <c r="L392" s="32">
        <v>22296.18</v>
      </c>
      <c r="M392" s="33"/>
      <c r="N392" s="30">
        <v>20581.09</v>
      </c>
      <c r="O392" s="30">
        <v>14196.98</v>
      </c>
      <c r="P392" s="30"/>
      <c r="Q392" s="30">
        <f>(N392+O392*0.18+J392)+(IF((P392-O392*0.18)&gt;0,(P392-O392*0.18),0))</f>
        <v>24851.636399999999</v>
      </c>
      <c r="R392" s="7"/>
      <c r="S392" s="7"/>
      <c r="T392" s="7"/>
      <c r="U392" s="7"/>
      <c r="V392" s="7"/>
      <c r="W392" s="7"/>
      <c r="X392" s="7"/>
      <c r="Y392" s="7"/>
      <c r="Z392" s="7"/>
    </row>
    <row r="393" spans="1:26" ht="9" customHeight="1" x14ac:dyDescent="0.2">
      <c r="A393" s="534"/>
      <c r="B393" s="534"/>
      <c r="C393" s="34" t="s">
        <v>37</v>
      </c>
      <c r="D393" s="35">
        <v>35</v>
      </c>
      <c r="E393" s="36">
        <v>25005184</v>
      </c>
      <c r="F393" s="36">
        <v>2484002</v>
      </c>
      <c r="G393" s="36">
        <v>0</v>
      </c>
      <c r="H393" s="36">
        <v>12361361</v>
      </c>
      <c r="I393" s="36">
        <v>0</v>
      </c>
      <c r="J393" s="37">
        <v>3320877</v>
      </c>
      <c r="K393" s="36">
        <v>39850547</v>
      </c>
      <c r="L393" s="38">
        <v>43171424</v>
      </c>
      <c r="M393" s="39"/>
      <c r="N393" s="36">
        <v>39850547</v>
      </c>
      <c r="O393" s="36">
        <v>27489186</v>
      </c>
      <c r="P393" s="36">
        <v>0</v>
      </c>
      <c r="Q393" s="36">
        <f>Q392*1936.27</f>
        <v>48119478.012227997</v>
      </c>
      <c r="R393" s="7"/>
      <c r="S393" s="7"/>
      <c r="T393" s="7"/>
      <c r="U393" s="7"/>
      <c r="V393" s="7"/>
      <c r="W393" s="7"/>
      <c r="X393" s="7"/>
      <c r="Y393" s="7"/>
      <c r="Z393" s="7"/>
    </row>
    <row r="394" spans="1:26" ht="12.75" customHeight="1" x14ac:dyDescent="0.2">
      <c r="A394" s="534"/>
      <c r="B394" s="534"/>
      <c r="C394" s="40" t="s">
        <v>36</v>
      </c>
      <c r="D394" s="41">
        <v>36</v>
      </c>
      <c r="E394" s="42">
        <v>13240.71</v>
      </c>
      <c r="F394" s="42">
        <v>1313.87</v>
      </c>
      <c r="G394" s="42">
        <v>0</v>
      </c>
      <c r="H394" s="42">
        <v>6384.11</v>
      </c>
      <c r="I394" s="42">
        <v>0</v>
      </c>
      <c r="J394" s="42">
        <v>1744.89</v>
      </c>
      <c r="K394" s="43">
        <v>20938.689999999999</v>
      </c>
      <c r="L394" s="32">
        <v>22683.58</v>
      </c>
      <c r="M394" s="33"/>
      <c r="N394" s="30">
        <v>20938.689999999999</v>
      </c>
      <c r="O394" s="30">
        <v>14554.58</v>
      </c>
      <c r="P394" s="30"/>
      <c r="Q394" s="30">
        <f>(N394+O394*0.18+J394)+(IF((P394-O394*0.18)&gt;0,(P394-O394*0.18),0))</f>
        <v>25303.404399999999</v>
      </c>
      <c r="R394" s="7"/>
      <c r="S394" s="7"/>
      <c r="T394" s="7"/>
      <c r="U394" s="7"/>
      <c r="V394" s="7"/>
      <c r="W394" s="7"/>
      <c r="X394" s="7"/>
      <c r="Y394" s="7"/>
      <c r="Z394" s="7"/>
    </row>
    <row r="395" spans="1:26" ht="9" customHeight="1" x14ac:dyDescent="0.2">
      <c r="A395" s="534"/>
      <c r="B395" s="534"/>
      <c r="C395" s="34" t="s">
        <v>37</v>
      </c>
      <c r="D395" s="35">
        <v>37</v>
      </c>
      <c r="E395" s="36">
        <v>25637590</v>
      </c>
      <c r="F395" s="36">
        <v>2544007</v>
      </c>
      <c r="G395" s="36">
        <v>0</v>
      </c>
      <c r="H395" s="36">
        <v>12361361</v>
      </c>
      <c r="I395" s="36">
        <v>0</v>
      </c>
      <c r="J395" s="37">
        <v>3378578</v>
      </c>
      <c r="K395" s="36">
        <v>40542957</v>
      </c>
      <c r="L395" s="38">
        <v>43921535</v>
      </c>
      <c r="M395" s="39"/>
      <c r="N395" s="36">
        <v>40542957</v>
      </c>
      <c r="O395" s="36">
        <v>28181597</v>
      </c>
      <c r="P395" s="36">
        <v>0</v>
      </c>
      <c r="Q395" s="36">
        <f>Q394*1936.27</f>
        <v>48994222.837587997</v>
      </c>
      <c r="R395" s="7"/>
      <c r="S395" s="7"/>
      <c r="T395" s="7"/>
      <c r="U395" s="7"/>
      <c r="V395" s="7"/>
      <c r="W395" s="7"/>
      <c r="X395" s="7"/>
      <c r="Y395" s="7"/>
      <c r="Z395" s="7"/>
    </row>
    <row r="396" spans="1:26" ht="12.75" customHeight="1" x14ac:dyDescent="0.2">
      <c r="A396" s="534"/>
      <c r="B396" s="534"/>
      <c r="C396" s="40" t="s">
        <v>36</v>
      </c>
      <c r="D396" s="41">
        <v>38</v>
      </c>
      <c r="E396" s="42">
        <v>13507.2</v>
      </c>
      <c r="F396" s="42">
        <v>1338.66</v>
      </c>
      <c r="G396" s="42">
        <v>0</v>
      </c>
      <c r="H396" s="42">
        <v>6384.11</v>
      </c>
      <c r="I396" s="42">
        <v>0</v>
      </c>
      <c r="J396" s="42">
        <v>1769.16</v>
      </c>
      <c r="K396" s="43">
        <v>21229.97</v>
      </c>
      <c r="L396" s="32">
        <v>22999.13</v>
      </c>
      <c r="M396" s="33"/>
      <c r="N396" s="30">
        <v>21229.97</v>
      </c>
      <c r="O396" s="30">
        <v>14845.86</v>
      </c>
      <c r="P396" s="30"/>
      <c r="Q396" s="30">
        <f>(N396+O396*0.18+J396)+(IF((P396-O396*0.18)&gt;0,(P396-O396*0.18),0))</f>
        <v>25671.3848</v>
      </c>
      <c r="R396" s="7"/>
      <c r="S396" s="7"/>
      <c r="T396" s="7"/>
      <c r="U396" s="7"/>
      <c r="V396" s="7"/>
      <c r="W396" s="7"/>
      <c r="X396" s="7"/>
      <c r="Y396" s="7"/>
      <c r="Z396" s="7"/>
    </row>
    <row r="397" spans="1:26" ht="9" customHeight="1" x14ac:dyDescent="0.2">
      <c r="A397" s="534"/>
      <c r="B397" s="534"/>
      <c r="C397" s="34" t="s">
        <v>37</v>
      </c>
      <c r="D397" s="35">
        <v>39</v>
      </c>
      <c r="E397" s="36">
        <v>26153586</v>
      </c>
      <c r="F397" s="36">
        <v>2592007</v>
      </c>
      <c r="G397" s="36">
        <v>0</v>
      </c>
      <c r="H397" s="36">
        <v>12361361</v>
      </c>
      <c r="I397" s="36">
        <v>0</v>
      </c>
      <c r="J397" s="37">
        <v>3425571</v>
      </c>
      <c r="K397" s="36">
        <v>41106954</v>
      </c>
      <c r="L397" s="38">
        <v>44532525</v>
      </c>
      <c r="M397" s="39"/>
      <c r="N397" s="36">
        <v>41106954</v>
      </c>
      <c r="O397" s="36">
        <v>28745593</v>
      </c>
      <c r="P397" s="36">
        <v>0</v>
      </c>
      <c r="Q397" s="36">
        <f>Q396*1936.27</f>
        <v>49706732.246696003</v>
      </c>
      <c r="R397" s="7"/>
      <c r="S397" s="7"/>
      <c r="T397" s="7"/>
      <c r="U397" s="7"/>
      <c r="V397" s="7"/>
      <c r="W397" s="7"/>
      <c r="X397" s="7"/>
      <c r="Y397" s="7"/>
      <c r="Z397" s="7"/>
    </row>
    <row r="398" spans="1:26" ht="12.75" customHeight="1" x14ac:dyDescent="0.2">
      <c r="A398" s="534"/>
      <c r="B398" s="534"/>
      <c r="C398" s="40" t="s">
        <v>36</v>
      </c>
      <c r="D398" s="41">
        <v>40</v>
      </c>
      <c r="E398" s="42">
        <v>13779.89</v>
      </c>
      <c r="F398" s="42">
        <v>1369.64</v>
      </c>
      <c r="G398" s="42">
        <v>0</v>
      </c>
      <c r="H398" s="42">
        <v>6384.11</v>
      </c>
      <c r="I398" s="42">
        <v>0</v>
      </c>
      <c r="J398" s="42">
        <v>1794.47</v>
      </c>
      <c r="K398" s="43">
        <v>21533.64</v>
      </c>
      <c r="L398" s="32">
        <v>23328.11</v>
      </c>
      <c r="M398" s="33"/>
      <c r="N398" s="30">
        <v>21533.64</v>
      </c>
      <c r="O398" s="30">
        <v>15149.53</v>
      </c>
      <c r="P398" s="30"/>
      <c r="Q398" s="30">
        <f>(N398+O398*0.18+J398)+(IF((P398-O398*0.18)&gt;0,(P398-O398*0.18),0))</f>
        <v>26055.025399999999</v>
      </c>
      <c r="R398" s="7"/>
      <c r="S398" s="7"/>
      <c r="T398" s="7"/>
      <c r="U398" s="7"/>
      <c r="V398" s="7"/>
      <c r="W398" s="7"/>
      <c r="X398" s="7"/>
      <c r="Y398" s="7"/>
      <c r="Z398" s="7"/>
    </row>
    <row r="399" spans="1:26" ht="12.75" customHeight="1" x14ac:dyDescent="0.2">
      <c r="A399" s="534"/>
      <c r="B399" s="534"/>
      <c r="C399" s="115"/>
      <c r="D399" s="45"/>
      <c r="E399" s="116"/>
      <c r="F399" s="116"/>
      <c r="G399" s="116"/>
      <c r="H399" s="116"/>
      <c r="I399" s="116"/>
      <c r="J399" s="117"/>
      <c r="K399" s="118"/>
      <c r="L399" s="119"/>
      <c r="M399" s="33"/>
      <c r="N399" s="116"/>
      <c r="O399" s="116"/>
      <c r="P399" s="116"/>
      <c r="Q399" s="116"/>
      <c r="R399" s="7"/>
      <c r="S399" s="7"/>
      <c r="T399" s="7"/>
      <c r="U399" s="7"/>
      <c r="V399" s="7"/>
      <c r="W399" s="7"/>
      <c r="X399" s="7"/>
      <c r="Y399" s="7"/>
      <c r="Z399" s="7"/>
    </row>
    <row r="400" spans="1:26" ht="12.75" customHeight="1" x14ac:dyDescent="0.2">
      <c r="A400" s="534"/>
      <c r="B400" s="534"/>
      <c r="C400" s="115"/>
      <c r="D400" s="45"/>
      <c r="E400" s="116"/>
      <c r="F400" s="116"/>
      <c r="G400" s="116"/>
      <c r="H400" s="116"/>
      <c r="I400" s="116"/>
      <c r="J400" s="117"/>
      <c r="K400" s="118"/>
      <c r="L400" s="119"/>
      <c r="M400" s="33"/>
      <c r="N400" s="116"/>
      <c r="O400" s="116"/>
      <c r="P400" s="116"/>
      <c r="Q400" s="116"/>
      <c r="R400" s="7"/>
      <c r="S400" s="7"/>
      <c r="T400" s="7"/>
      <c r="U400" s="7"/>
      <c r="V400" s="7"/>
      <c r="W400" s="7"/>
      <c r="X400" s="7"/>
      <c r="Y400" s="7"/>
      <c r="Z400" s="7"/>
    </row>
    <row r="401" spans="1:26" ht="9" customHeight="1" x14ac:dyDescent="0.2">
      <c r="A401" s="535"/>
      <c r="B401" s="535"/>
      <c r="C401" s="47"/>
      <c r="D401" s="48"/>
      <c r="E401" s="46">
        <v>26681588</v>
      </c>
      <c r="F401" s="46">
        <v>2651993</v>
      </c>
      <c r="G401" s="46">
        <v>0</v>
      </c>
      <c r="H401" s="46">
        <v>12361361</v>
      </c>
      <c r="I401" s="46">
        <v>0</v>
      </c>
      <c r="J401" s="49">
        <v>3474578</v>
      </c>
      <c r="K401" s="46">
        <v>41694941</v>
      </c>
      <c r="L401" s="38">
        <v>45169520</v>
      </c>
      <c r="M401" s="39"/>
      <c r="N401" s="36">
        <v>41694941</v>
      </c>
      <c r="O401" s="36">
        <v>29333580</v>
      </c>
      <c r="P401" s="36">
        <v>0</v>
      </c>
      <c r="Q401" s="36">
        <f>Q398*1936.27</f>
        <v>50449564.031257994</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538">
        <v>35065</v>
      </c>
      <c r="B420" s="538">
        <v>35369</v>
      </c>
      <c r="C420" s="28" t="s">
        <v>36</v>
      </c>
      <c r="D420" s="29">
        <v>0</v>
      </c>
      <c r="E420" s="30">
        <v>7621.87</v>
      </c>
      <c r="F420" s="30">
        <v>0</v>
      </c>
      <c r="G420" s="30">
        <v>0</v>
      </c>
      <c r="H420" s="30">
        <v>6384.11</v>
      </c>
      <c r="I420" s="30">
        <v>0</v>
      </c>
      <c r="J420" s="30">
        <v>1167.17</v>
      </c>
      <c r="K420" s="31">
        <v>14005.98</v>
      </c>
      <c r="L420" s="32">
        <v>15173.15</v>
      </c>
      <c r="M420" s="33"/>
      <c r="N420" s="30">
        <v>14005.98</v>
      </c>
      <c r="O420" s="30">
        <v>7621.87</v>
      </c>
      <c r="P420" s="30"/>
      <c r="Q420" s="30">
        <f>(N420+O420*0.18+J420)+(IF((P420-O420*0.18)&gt;0,(P420-O420*0.18),0))</f>
        <v>16545.086600000002</v>
      </c>
      <c r="R420" s="7"/>
      <c r="S420" s="7"/>
      <c r="T420" s="7"/>
      <c r="U420" s="7"/>
      <c r="V420" s="7"/>
      <c r="W420" s="7"/>
      <c r="X420" s="7"/>
      <c r="Y420" s="7"/>
      <c r="Z420" s="7"/>
    </row>
    <row r="421" spans="1:26" ht="9" customHeight="1" x14ac:dyDescent="0.2">
      <c r="A421" s="534"/>
      <c r="B421" s="534"/>
      <c r="C421" s="34" t="s">
        <v>37</v>
      </c>
      <c r="D421" s="35">
        <v>2</v>
      </c>
      <c r="E421" s="36">
        <v>14757998</v>
      </c>
      <c r="F421" s="36">
        <v>0</v>
      </c>
      <c r="G421" s="36">
        <v>0</v>
      </c>
      <c r="H421" s="36">
        <v>12361361</v>
      </c>
      <c r="I421" s="36">
        <v>0</v>
      </c>
      <c r="J421" s="37">
        <v>2259956</v>
      </c>
      <c r="K421" s="36">
        <v>27119359</v>
      </c>
      <c r="L421" s="38">
        <v>29379315</v>
      </c>
      <c r="M421" s="39"/>
      <c r="N421" s="36">
        <v>27119359</v>
      </c>
      <c r="O421" s="36">
        <v>14757998</v>
      </c>
      <c r="P421" s="36">
        <v>0</v>
      </c>
      <c r="Q421" s="36">
        <f>Q420*1936.27</f>
        <v>32035754.830982003</v>
      </c>
      <c r="R421" s="7"/>
      <c r="S421" s="7"/>
      <c r="T421" s="7"/>
      <c r="U421" s="7"/>
      <c r="V421" s="7"/>
      <c r="W421" s="7"/>
      <c r="X421" s="7"/>
      <c r="Y421" s="7"/>
      <c r="Z421" s="7"/>
    </row>
    <row r="422" spans="1:26" ht="12.75" customHeight="1" x14ac:dyDescent="0.2">
      <c r="A422" s="539">
        <v>35065</v>
      </c>
      <c r="B422" s="539">
        <v>35369</v>
      </c>
      <c r="C422" s="40" t="s">
        <v>36</v>
      </c>
      <c r="D422" s="41">
        <v>3</v>
      </c>
      <c r="E422" s="42">
        <v>7995.27</v>
      </c>
      <c r="F422" s="42">
        <v>0</v>
      </c>
      <c r="G422" s="42">
        <v>0</v>
      </c>
      <c r="H422" s="42">
        <v>6384.11</v>
      </c>
      <c r="I422" s="42">
        <v>0</v>
      </c>
      <c r="J422" s="42">
        <v>1198.28</v>
      </c>
      <c r="K422" s="43">
        <v>14379.38</v>
      </c>
      <c r="L422" s="32">
        <v>15577.66</v>
      </c>
      <c r="M422" s="33"/>
      <c r="N422" s="30">
        <v>14379.38</v>
      </c>
      <c r="O422" s="30">
        <v>7995.27</v>
      </c>
      <c r="P422" s="30"/>
      <c r="Q422" s="30">
        <f>(N422+O422*0.18+J422)+(IF((P422-O422*0.18)&gt;0,(P422-O422*0.18),0))</f>
        <v>17016.8086</v>
      </c>
      <c r="R422" s="7"/>
      <c r="S422" s="7"/>
      <c r="T422" s="7"/>
      <c r="U422" s="7"/>
      <c r="V422" s="7"/>
      <c r="W422" s="7"/>
      <c r="X422" s="7"/>
      <c r="Y422" s="7"/>
      <c r="Z422" s="7"/>
    </row>
    <row r="423" spans="1:26" ht="9" customHeight="1" x14ac:dyDescent="0.2">
      <c r="A423" s="534"/>
      <c r="B423" s="534"/>
      <c r="C423" s="34" t="s">
        <v>37</v>
      </c>
      <c r="D423" s="35">
        <v>8</v>
      </c>
      <c r="E423" s="36">
        <v>15481001</v>
      </c>
      <c r="F423" s="36">
        <v>0</v>
      </c>
      <c r="G423" s="36">
        <v>0</v>
      </c>
      <c r="H423" s="36">
        <v>12361361</v>
      </c>
      <c r="I423" s="36">
        <v>0</v>
      </c>
      <c r="J423" s="37">
        <v>2320194</v>
      </c>
      <c r="K423" s="36">
        <v>27842362</v>
      </c>
      <c r="L423" s="38">
        <v>30162556</v>
      </c>
      <c r="M423" s="39"/>
      <c r="N423" s="36">
        <v>27842362</v>
      </c>
      <c r="O423" s="36">
        <v>15481001</v>
      </c>
      <c r="P423" s="36">
        <v>0</v>
      </c>
      <c r="Q423" s="36">
        <f>Q422*1936.27</f>
        <v>32949135.987922002</v>
      </c>
      <c r="R423" s="7"/>
      <c r="S423" s="7"/>
      <c r="T423" s="7"/>
      <c r="U423" s="7"/>
      <c r="V423" s="7"/>
      <c r="W423" s="7"/>
      <c r="X423" s="7"/>
      <c r="Y423" s="7"/>
      <c r="Z423" s="7"/>
    </row>
    <row r="424" spans="1:26" ht="12.75" customHeight="1" x14ac:dyDescent="0.2">
      <c r="A424" s="534"/>
      <c r="B424" s="534"/>
      <c r="C424" s="40" t="s">
        <v>36</v>
      </c>
      <c r="D424" s="41">
        <v>9</v>
      </c>
      <c r="E424" s="42">
        <v>9156.26</v>
      </c>
      <c r="F424" s="42">
        <v>0</v>
      </c>
      <c r="G424" s="42">
        <v>0</v>
      </c>
      <c r="H424" s="42">
        <v>6384.11</v>
      </c>
      <c r="I424" s="42">
        <v>0</v>
      </c>
      <c r="J424" s="42">
        <v>1295.03</v>
      </c>
      <c r="K424" s="43">
        <v>15540.37</v>
      </c>
      <c r="L424" s="32">
        <v>16835.400000000001</v>
      </c>
      <c r="M424" s="33"/>
      <c r="N424" s="30">
        <v>15540.37</v>
      </c>
      <c r="O424" s="30">
        <v>9156.26</v>
      </c>
      <c r="P424" s="30"/>
      <c r="Q424" s="30">
        <f>(N424+O424*0.18+J424)+(IF((P424-O424*0.18)&gt;0,(P424-O424*0.18),0))</f>
        <v>18483.5268</v>
      </c>
      <c r="R424" s="7"/>
      <c r="S424" s="7"/>
      <c r="T424" s="7"/>
      <c r="U424" s="7"/>
      <c r="V424" s="7"/>
      <c r="W424" s="7"/>
      <c r="X424" s="7"/>
      <c r="Y424" s="7"/>
      <c r="Z424" s="7"/>
    </row>
    <row r="425" spans="1:26" ht="9" customHeight="1" x14ac:dyDescent="0.2">
      <c r="A425" s="534"/>
      <c r="B425" s="534"/>
      <c r="C425" s="34" t="s">
        <v>37</v>
      </c>
      <c r="D425" s="35">
        <v>14</v>
      </c>
      <c r="E425" s="36">
        <v>17728992</v>
      </c>
      <c r="F425" s="36">
        <v>0</v>
      </c>
      <c r="G425" s="36">
        <v>0</v>
      </c>
      <c r="H425" s="36">
        <v>12361361</v>
      </c>
      <c r="I425" s="36">
        <v>0</v>
      </c>
      <c r="J425" s="37">
        <v>2507528</v>
      </c>
      <c r="K425" s="36">
        <v>30090352</v>
      </c>
      <c r="L425" s="38">
        <v>32597880</v>
      </c>
      <c r="M425" s="39"/>
      <c r="N425" s="36">
        <v>30090352</v>
      </c>
      <c r="O425" s="36">
        <v>17728992</v>
      </c>
      <c r="P425" s="36">
        <v>0</v>
      </c>
      <c r="Q425" s="36">
        <f>Q424*1936.27</f>
        <v>35789098.437036</v>
      </c>
      <c r="R425" s="7"/>
      <c r="S425" s="7"/>
      <c r="T425" s="7"/>
      <c r="U425" s="7"/>
      <c r="V425" s="7"/>
      <c r="W425" s="7"/>
      <c r="X425" s="7"/>
      <c r="Y425" s="7"/>
      <c r="Z425" s="7"/>
    </row>
    <row r="426" spans="1:26" ht="12.75" customHeight="1" x14ac:dyDescent="0.2">
      <c r="A426" s="534"/>
      <c r="B426" s="534"/>
      <c r="C426" s="40" t="s">
        <v>36</v>
      </c>
      <c r="D426" s="41">
        <v>15</v>
      </c>
      <c r="E426" s="42">
        <v>10520.74</v>
      </c>
      <c r="F426" s="42">
        <v>0</v>
      </c>
      <c r="G426" s="42">
        <v>0</v>
      </c>
      <c r="H426" s="42">
        <v>6384.11</v>
      </c>
      <c r="I426" s="42">
        <v>0</v>
      </c>
      <c r="J426" s="42">
        <v>1408.74</v>
      </c>
      <c r="K426" s="43">
        <v>16904.849999999999</v>
      </c>
      <c r="L426" s="32">
        <v>18313.59</v>
      </c>
      <c r="M426" s="33"/>
      <c r="N426" s="30">
        <v>16904.849999999999</v>
      </c>
      <c r="O426" s="30">
        <v>10520.74</v>
      </c>
      <c r="P426" s="30"/>
      <c r="Q426" s="30">
        <f>(N426+O426*0.18+J426)+(IF((P426-O426*0.18)&gt;0,(P426-O426*0.18),0))</f>
        <v>20207.323199999999</v>
      </c>
      <c r="R426" s="7"/>
      <c r="S426" s="7"/>
      <c r="T426" s="7"/>
      <c r="U426" s="7"/>
      <c r="V426" s="7"/>
      <c r="W426" s="7"/>
      <c r="X426" s="7"/>
      <c r="Y426" s="7"/>
      <c r="Z426" s="7"/>
    </row>
    <row r="427" spans="1:26" ht="9" customHeight="1" x14ac:dyDescent="0.2">
      <c r="A427" s="534"/>
      <c r="B427" s="534"/>
      <c r="C427" s="34" t="s">
        <v>37</v>
      </c>
      <c r="D427" s="35">
        <v>20</v>
      </c>
      <c r="E427" s="36">
        <v>20370993</v>
      </c>
      <c r="F427" s="36">
        <v>0</v>
      </c>
      <c r="G427" s="36">
        <v>0</v>
      </c>
      <c r="H427" s="36">
        <v>12361361</v>
      </c>
      <c r="I427" s="36">
        <v>0</v>
      </c>
      <c r="J427" s="37">
        <v>2727701</v>
      </c>
      <c r="K427" s="36">
        <v>32732354</v>
      </c>
      <c r="L427" s="38">
        <v>35460055</v>
      </c>
      <c r="M427" s="39"/>
      <c r="N427" s="36">
        <v>32732354</v>
      </c>
      <c r="O427" s="36">
        <v>20370993</v>
      </c>
      <c r="P427" s="36">
        <v>0</v>
      </c>
      <c r="Q427" s="36">
        <f>Q426*1936.27</f>
        <v>39126833.692463994</v>
      </c>
      <c r="R427" s="7"/>
      <c r="S427" s="7"/>
      <c r="T427" s="7"/>
      <c r="U427" s="7"/>
      <c r="V427" s="7"/>
      <c r="W427" s="7"/>
      <c r="X427" s="7"/>
      <c r="Y427" s="7"/>
      <c r="Z427" s="7"/>
    </row>
    <row r="428" spans="1:26" ht="12.75" customHeight="1" x14ac:dyDescent="0.2">
      <c r="A428" s="534"/>
      <c r="B428" s="534"/>
      <c r="C428" s="40" t="s">
        <v>36</v>
      </c>
      <c r="D428" s="41">
        <v>21</v>
      </c>
      <c r="E428" s="42">
        <v>12488.96</v>
      </c>
      <c r="F428" s="42">
        <v>0</v>
      </c>
      <c r="G428" s="42">
        <v>0</v>
      </c>
      <c r="H428" s="42">
        <v>6384.11</v>
      </c>
      <c r="I428" s="42">
        <v>0</v>
      </c>
      <c r="J428" s="42">
        <v>1572.76</v>
      </c>
      <c r="K428" s="43">
        <v>18873.07</v>
      </c>
      <c r="L428" s="32">
        <v>20445.830000000002</v>
      </c>
      <c r="M428" s="33"/>
      <c r="N428" s="30">
        <v>18873.07</v>
      </c>
      <c r="O428" s="30">
        <v>12488.96</v>
      </c>
      <c r="P428" s="30"/>
      <c r="Q428" s="30">
        <f>(N428+O428*0.18+J428)+(IF((P428-O428*0.18)&gt;0,(P428-O428*0.18),0))</f>
        <v>22693.842799999999</v>
      </c>
      <c r="R428" s="7"/>
      <c r="S428" s="7"/>
      <c r="T428" s="7"/>
      <c r="U428" s="7"/>
      <c r="V428" s="7"/>
      <c r="W428" s="7"/>
      <c r="X428" s="7"/>
      <c r="Y428" s="7"/>
      <c r="Z428" s="7"/>
    </row>
    <row r="429" spans="1:26" ht="9" customHeight="1" x14ac:dyDescent="0.2">
      <c r="A429" s="534"/>
      <c r="B429" s="534"/>
      <c r="C429" s="34" t="s">
        <v>37</v>
      </c>
      <c r="D429" s="35">
        <v>27</v>
      </c>
      <c r="E429" s="36">
        <v>24181999</v>
      </c>
      <c r="F429" s="36">
        <v>0</v>
      </c>
      <c r="G429" s="36">
        <v>0</v>
      </c>
      <c r="H429" s="36">
        <v>12361361</v>
      </c>
      <c r="I429" s="36">
        <v>0</v>
      </c>
      <c r="J429" s="37">
        <v>3045288</v>
      </c>
      <c r="K429" s="36">
        <v>36543359</v>
      </c>
      <c r="L429" s="38">
        <v>39588647</v>
      </c>
      <c r="M429" s="39"/>
      <c r="N429" s="36">
        <v>36543359</v>
      </c>
      <c r="O429" s="36">
        <v>24181999</v>
      </c>
      <c r="P429" s="36">
        <v>0</v>
      </c>
      <c r="Q429" s="36">
        <f>Q428*1936.27</f>
        <v>43941406.998356</v>
      </c>
      <c r="R429" s="7"/>
      <c r="S429" s="7"/>
      <c r="T429" s="7"/>
      <c r="U429" s="7"/>
      <c r="V429" s="7"/>
      <c r="W429" s="7"/>
      <c r="X429" s="7"/>
      <c r="Y429" s="7"/>
      <c r="Z429" s="7"/>
    </row>
    <row r="430" spans="1:26" ht="12.75" customHeight="1" x14ac:dyDescent="0.2">
      <c r="A430" s="534"/>
      <c r="B430" s="534"/>
      <c r="C430" s="40" t="s">
        <v>36</v>
      </c>
      <c r="D430" s="41">
        <v>28</v>
      </c>
      <c r="E430" s="42">
        <v>13787.85</v>
      </c>
      <c r="F430" s="42">
        <v>0</v>
      </c>
      <c r="G430" s="42">
        <v>0</v>
      </c>
      <c r="H430" s="42">
        <v>6384.11</v>
      </c>
      <c r="I430" s="42">
        <v>0</v>
      </c>
      <c r="J430" s="42">
        <v>1681</v>
      </c>
      <c r="K430" s="43">
        <v>20171.96</v>
      </c>
      <c r="L430" s="32">
        <v>21852.959999999999</v>
      </c>
      <c r="M430" s="33"/>
      <c r="N430" s="30">
        <v>20171.96</v>
      </c>
      <c r="O430" s="30">
        <v>13787.85</v>
      </c>
      <c r="P430" s="30"/>
      <c r="Q430" s="30">
        <f>(N430+O430*0.18+J430)+(IF((P430-O430*0.18)&gt;0,(P430-O430*0.18),0))</f>
        <v>24334.773000000001</v>
      </c>
      <c r="R430" s="7"/>
      <c r="S430" s="7"/>
      <c r="T430" s="7"/>
      <c r="U430" s="7"/>
      <c r="V430" s="7"/>
      <c r="W430" s="7"/>
      <c r="X430" s="7"/>
      <c r="Y430" s="7"/>
      <c r="Z430" s="7"/>
    </row>
    <row r="431" spans="1:26" ht="9" customHeight="1" x14ac:dyDescent="0.2">
      <c r="A431" s="534"/>
      <c r="B431" s="534"/>
      <c r="C431" s="34" t="s">
        <v>37</v>
      </c>
      <c r="D431" s="35">
        <v>34</v>
      </c>
      <c r="E431" s="36">
        <v>26697000</v>
      </c>
      <c r="F431" s="36">
        <v>0</v>
      </c>
      <c r="G431" s="36">
        <v>0</v>
      </c>
      <c r="H431" s="36">
        <v>12361361</v>
      </c>
      <c r="I431" s="36">
        <v>0</v>
      </c>
      <c r="J431" s="37">
        <v>3254870</v>
      </c>
      <c r="K431" s="36">
        <v>39058361</v>
      </c>
      <c r="L431" s="38">
        <v>42313231</v>
      </c>
      <c r="M431" s="39"/>
      <c r="N431" s="36">
        <v>39058361</v>
      </c>
      <c r="O431" s="36">
        <v>26697000</v>
      </c>
      <c r="P431" s="36">
        <v>0</v>
      </c>
      <c r="Q431" s="36">
        <f>Q430*1936.27</f>
        <v>47118690.916710004</v>
      </c>
      <c r="R431" s="7"/>
      <c r="S431" s="7"/>
      <c r="T431" s="7"/>
      <c r="U431" s="7"/>
      <c r="V431" s="7"/>
      <c r="W431" s="7"/>
      <c r="X431" s="7"/>
      <c r="Y431" s="7"/>
      <c r="Z431" s="7"/>
    </row>
    <row r="432" spans="1:26" ht="12.75" customHeight="1" x14ac:dyDescent="0.2">
      <c r="A432" s="534"/>
      <c r="B432" s="534"/>
      <c r="C432" s="40" t="s">
        <v>36</v>
      </c>
      <c r="D432" s="41">
        <v>35</v>
      </c>
      <c r="E432" s="42">
        <v>14765.5</v>
      </c>
      <c r="F432" s="42">
        <v>0</v>
      </c>
      <c r="G432" s="42">
        <v>0</v>
      </c>
      <c r="H432" s="42">
        <v>6384.11</v>
      </c>
      <c r="I432" s="42">
        <v>0</v>
      </c>
      <c r="J432" s="42">
        <v>1762.47</v>
      </c>
      <c r="K432" s="43">
        <v>21149.61</v>
      </c>
      <c r="L432" s="32">
        <v>22912.080000000002</v>
      </c>
      <c r="M432" s="33"/>
      <c r="N432" s="30">
        <v>21149.61</v>
      </c>
      <c r="O432" s="30">
        <v>14765.5</v>
      </c>
      <c r="P432" s="30"/>
      <c r="Q432" s="30">
        <f>(N432+O432*0.18+J432)+(IF((P432-O432*0.18)&gt;0,(P432-O432*0.18),0))</f>
        <v>25569.870000000003</v>
      </c>
      <c r="R432" s="7"/>
      <c r="S432" s="7"/>
      <c r="T432" s="7"/>
      <c r="U432" s="7"/>
      <c r="V432" s="7"/>
      <c r="W432" s="7"/>
      <c r="X432" s="7"/>
      <c r="Y432" s="7"/>
      <c r="Z432" s="7"/>
    </row>
    <row r="433" spans="1:26" ht="9" customHeight="1" x14ac:dyDescent="0.2">
      <c r="A433" s="535"/>
      <c r="B433" s="535"/>
      <c r="C433" s="47" t="s">
        <v>37</v>
      </c>
      <c r="D433" s="48"/>
      <c r="E433" s="46">
        <v>28589995</v>
      </c>
      <c r="F433" s="46">
        <v>0</v>
      </c>
      <c r="G433" s="46">
        <v>0</v>
      </c>
      <c r="H433" s="46">
        <v>12361361</v>
      </c>
      <c r="I433" s="46">
        <v>0</v>
      </c>
      <c r="J433" s="49">
        <v>3412618</v>
      </c>
      <c r="K433" s="46">
        <v>40951355</v>
      </c>
      <c r="L433" s="38">
        <v>44363973</v>
      </c>
      <c r="M433" s="39"/>
      <c r="N433" s="36">
        <v>40951355</v>
      </c>
      <c r="O433" s="36">
        <v>28589995</v>
      </c>
      <c r="P433" s="36">
        <v>0</v>
      </c>
      <c r="Q433" s="36">
        <f>Q432*1936.27</f>
        <v>49510172.184900008</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6"/>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6"/>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6"/>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6"/>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6"/>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6"/>
      <c r="M439" s="39"/>
      <c r="N439" s="96"/>
      <c r="O439" s="96"/>
      <c r="P439" s="96"/>
      <c r="Q439" s="96"/>
      <c r="R439" s="7"/>
      <c r="S439" s="7"/>
      <c r="T439" s="7"/>
      <c r="U439" s="7"/>
      <c r="V439" s="7"/>
      <c r="W439" s="7"/>
      <c r="X439" s="7"/>
      <c r="Y439" s="7"/>
      <c r="Z439" s="7"/>
    </row>
    <row r="440" spans="1:26" ht="12.75" customHeight="1" x14ac:dyDescent="0.2">
      <c r="A440" s="538">
        <v>35370</v>
      </c>
      <c r="B440" s="538">
        <v>35611</v>
      </c>
      <c r="C440" s="28" t="s">
        <v>36</v>
      </c>
      <c r="D440" s="29">
        <v>0</v>
      </c>
      <c r="E440" s="30">
        <v>8099.08</v>
      </c>
      <c r="F440" s="30">
        <v>0</v>
      </c>
      <c r="G440" s="30">
        <v>0</v>
      </c>
      <c r="H440" s="30">
        <v>6384.11</v>
      </c>
      <c r="I440" s="30">
        <v>0</v>
      </c>
      <c r="J440" s="30">
        <v>1206.93</v>
      </c>
      <c r="K440" s="31">
        <v>14483.19</v>
      </c>
      <c r="L440" s="32">
        <v>15690.12</v>
      </c>
      <c r="M440" s="33"/>
      <c r="N440" s="30">
        <v>14483.19</v>
      </c>
      <c r="O440" s="30">
        <v>8099.08</v>
      </c>
      <c r="P440" s="30"/>
      <c r="Q440" s="30">
        <f>(N440+O440*0.18+J440)+(IF((P440-O440*0.18)&gt;0,(P440-O440*0.18),0))</f>
        <v>17147.954399999999</v>
      </c>
      <c r="R440" s="7"/>
      <c r="S440" s="7"/>
      <c r="T440" s="7"/>
      <c r="U440" s="7"/>
      <c r="V440" s="7"/>
      <c r="W440" s="7"/>
      <c r="X440" s="7"/>
      <c r="Y440" s="7"/>
      <c r="Z440" s="7"/>
    </row>
    <row r="441" spans="1:26" ht="9" customHeight="1" x14ac:dyDescent="0.2">
      <c r="A441" s="534"/>
      <c r="B441" s="534"/>
      <c r="C441" s="34" t="s">
        <v>37</v>
      </c>
      <c r="D441" s="35">
        <v>2</v>
      </c>
      <c r="E441" s="36">
        <v>15682006</v>
      </c>
      <c r="F441" s="36">
        <v>0</v>
      </c>
      <c r="G441" s="36">
        <v>0</v>
      </c>
      <c r="H441" s="36">
        <v>12361361</v>
      </c>
      <c r="I441" s="36">
        <v>0</v>
      </c>
      <c r="J441" s="37">
        <v>2336942</v>
      </c>
      <c r="K441" s="36">
        <v>28043366</v>
      </c>
      <c r="L441" s="38">
        <v>30380309</v>
      </c>
      <c r="M441" s="39"/>
      <c r="N441" s="36">
        <v>28043366</v>
      </c>
      <c r="O441" s="36">
        <v>15682006</v>
      </c>
      <c r="P441" s="36">
        <v>0</v>
      </c>
      <c r="Q441" s="36">
        <f>Q440*1936.27</f>
        <v>33203069.666087996</v>
      </c>
      <c r="R441" s="7"/>
      <c r="S441" s="7"/>
      <c r="T441" s="7"/>
      <c r="U441" s="7"/>
      <c r="V441" s="7"/>
      <c r="W441" s="7"/>
      <c r="X441" s="7"/>
      <c r="Y441" s="7"/>
      <c r="Z441" s="7"/>
    </row>
    <row r="442" spans="1:26" ht="12.75" customHeight="1" x14ac:dyDescent="0.2">
      <c r="A442" s="539">
        <v>35370</v>
      </c>
      <c r="B442" s="539">
        <v>35611</v>
      </c>
      <c r="C442" s="40" t="s">
        <v>36</v>
      </c>
      <c r="D442" s="41">
        <v>3</v>
      </c>
      <c r="E442" s="42">
        <v>8484.8700000000008</v>
      </c>
      <c r="F442" s="42">
        <v>0</v>
      </c>
      <c r="G442" s="42">
        <v>0</v>
      </c>
      <c r="H442" s="42">
        <v>6384.11</v>
      </c>
      <c r="I442" s="42">
        <v>0</v>
      </c>
      <c r="J442" s="42">
        <v>1239.08</v>
      </c>
      <c r="K442" s="43">
        <v>14868.98</v>
      </c>
      <c r="L442" s="32">
        <v>16108.06</v>
      </c>
      <c r="M442" s="33"/>
      <c r="N442" s="30">
        <v>14868.98</v>
      </c>
      <c r="O442" s="30">
        <v>8484.8700000000008</v>
      </c>
      <c r="P442" s="30"/>
      <c r="Q442" s="30">
        <f>(N442+O442*0.18+J442)+(IF((P442-O442*0.18)&gt;0,(P442-O442*0.18),0))</f>
        <v>17635.336600000002</v>
      </c>
      <c r="R442" s="7"/>
      <c r="S442" s="7"/>
      <c r="T442" s="7"/>
      <c r="U442" s="7"/>
      <c r="V442" s="7"/>
      <c r="W442" s="7"/>
      <c r="X442" s="7"/>
      <c r="Y442" s="7"/>
      <c r="Z442" s="7"/>
    </row>
    <row r="443" spans="1:26" ht="9" customHeight="1" x14ac:dyDescent="0.2">
      <c r="A443" s="534"/>
      <c r="B443" s="534"/>
      <c r="C443" s="34" t="s">
        <v>37</v>
      </c>
      <c r="D443" s="35">
        <v>8</v>
      </c>
      <c r="E443" s="36">
        <v>16428999</v>
      </c>
      <c r="F443" s="36">
        <v>0</v>
      </c>
      <c r="G443" s="36">
        <v>0</v>
      </c>
      <c r="H443" s="36">
        <v>12361361</v>
      </c>
      <c r="I443" s="36">
        <v>0</v>
      </c>
      <c r="J443" s="37">
        <v>2399193</v>
      </c>
      <c r="K443" s="36">
        <v>28790360</v>
      </c>
      <c r="L443" s="38">
        <v>31189553</v>
      </c>
      <c r="M443" s="39"/>
      <c r="N443" s="36">
        <v>28790360</v>
      </c>
      <c r="O443" s="36">
        <v>16428999</v>
      </c>
      <c r="P443" s="36">
        <v>0</v>
      </c>
      <c r="Q443" s="36">
        <f>Q442*1936.27</f>
        <v>34146773.198482007</v>
      </c>
      <c r="R443" s="7"/>
      <c r="S443" s="7"/>
      <c r="T443" s="7"/>
      <c r="U443" s="7"/>
      <c r="V443" s="7"/>
      <c r="W443" s="7"/>
      <c r="X443" s="7"/>
      <c r="Y443" s="7"/>
      <c r="Z443" s="7"/>
    </row>
    <row r="444" spans="1:26" ht="12.75" customHeight="1" x14ac:dyDescent="0.2">
      <c r="A444" s="534"/>
      <c r="B444" s="534"/>
      <c r="C444" s="40" t="s">
        <v>36</v>
      </c>
      <c r="D444" s="41">
        <v>9</v>
      </c>
      <c r="E444" s="42">
        <v>9689.25</v>
      </c>
      <c r="F444" s="42"/>
      <c r="G444" s="42"/>
      <c r="H444" s="42">
        <v>6384.11</v>
      </c>
      <c r="I444" s="42">
        <v>0</v>
      </c>
      <c r="J444" s="42">
        <v>1339.45</v>
      </c>
      <c r="K444" s="43">
        <v>16073.36</v>
      </c>
      <c r="L444" s="32">
        <v>17412.810000000001</v>
      </c>
      <c r="M444" s="33"/>
      <c r="N444" s="30">
        <v>16073.36</v>
      </c>
      <c r="O444" s="30">
        <v>9689.25</v>
      </c>
      <c r="P444" s="30"/>
      <c r="Q444" s="30">
        <f>(N444+O444*0.18+J444)+(IF((P444-O444*0.18)&gt;0,(P444-O444*0.18),0))</f>
        <v>19156.875</v>
      </c>
      <c r="R444" s="7"/>
      <c r="S444" s="7"/>
      <c r="T444" s="7"/>
      <c r="U444" s="7"/>
      <c r="V444" s="7"/>
      <c r="W444" s="7"/>
      <c r="X444" s="7"/>
      <c r="Y444" s="7"/>
      <c r="Z444" s="7"/>
    </row>
    <row r="445" spans="1:26" ht="9" customHeight="1" x14ac:dyDescent="0.2">
      <c r="A445" s="534"/>
      <c r="B445" s="534"/>
      <c r="C445" s="34" t="s">
        <v>37</v>
      </c>
      <c r="D445" s="35">
        <v>14</v>
      </c>
      <c r="E445" s="36">
        <v>18761004</v>
      </c>
      <c r="F445" s="36"/>
      <c r="G445" s="36"/>
      <c r="H445" s="36">
        <v>12361361</v>
      </c>
      <c r="I445" s="36">
        <v>0</v>
      </c>
      <c r="J445" s="37">
        <v>2593537</v>
      </c>
      <c r="K445" s="36">
        <v>31122365</v>
      </c>
      <c r="L445" s="38">
        <v>33715902</v>
      </c>
      <c r="M445" s="39"/>
      <c r="N445" s="36">
        <v>31122365</v>
      </c>
      <c r="O445" s="36">
        <v>18761004</v>
      </c>
      <c r="P445" s="36">
        <v>0</v>
      </c>
      <c r="Q445" s="36">
        <f>Q444*1936.27</f>
        <v>37092882.356250003</v>
      </c>
      <c r="R445" s="7"/>
      <c r="S445" s="7"/>
      <c r="T445" s="7"/>
      <c r="U445" s="7"/>
      <c r="V445" s="7"/>
      <c r="W445" s="7"/>
      <c r="X445" s="7"/>
      <c r="Y445" s="7"/>
      <c r="Z445" s="7"/>
    </row>
    <row r="446" spans="1:26" ht="12.75" customHeight="1" x14ac:dyDescent="0.2">
      <c r="A446" s="534"/>
      <c r="B446" s="534"/>
      <c r="C446" s="40" t="s">
        <v>36</v>
      </c>
      <c r="D446" s="41">
        <v>15</v>
      </c>
      <c r="E446" s="42">
        <v>11097.11</v>
      </c>
      <c r="F446" s="42"/>
      <c r="G446" s="42"/>
      <c r="H446" s="42">
        <v>6384.11</v>
      </c>
      <c r="I446" s="42">
        <v>0</v>
      </c>
      <c r="J446" s="42">
        <v>1456.77</v>
      </c>
      <c r="K446" s="43">
        <v>17481.22</v>
      </c>
      <c r="L446" s="32">
        <v>18937.990000000002</v>
      </c>
      <c r="M446" s="33"/>
      <c r="N446" s="30">
        <v>17481.22</v>
      </c>
      <c r="O446" s="30">
        <v>11097.11</v>
      </c>
      <c r="P446" s="30"/>
      <c r="Q446" s="30">
        <f>(N446+O446*0.18+J446)+(IF((P446-O446*0.18)&gt;0,(P446-O446*0.18),0))</f>
        <v>20935.469800000003</v>
      </c>
      <c r="R446" s="7"/>
      <c r="S446" s="7"/>
      <c r="T446" s="7"/>
      <c r="U446" s="7"/>
      <c r="V446" s="7"/>
      <c r="W446" s="7"/>
      <c r="X446" s="7"/>
      <c r="Y446" s="7"/>
      <c r="Z446" s="7"/>
    </row>
    <row r="447" spans="1:26" ht="9" customHeight="1" x14ac:dyDescent="0.2">
      <c r="A447" s="534"/>
      <c r="B447" s="534"/>
      <c r="C447" s="34" t="s">
        <v>37</v>
      </c>
      <c r="D447" s="35">
        <v>20</v>
      </c>
      <c r="E447" s="36">
        <v>21487001</v>
      </c>
      <c r="F447" s="36"/>
      <c r="G447" s="36"/>
      <c r="H447" s="36">
        <v>12361361</v>
      </c>
      <c r="I447" s="36">
        <v>0</v>
      </c>
      <c r="J447" s="37">
        <v>2820700</v>
      </c>
      <c r="K447" s="36">
        <v>33848362</v>
      </c>
      <c r="L447" s="38">
        <v>36669062</v>
      </c>
      <c r="M447" s="39"/>
      <c r="N447" s="36">
        <v>33848362</v>
      </c>
      <c r="O447" s="36">
        <v>21487001</v>
      </c>
      <c r="P447" s="36">
        <v>0</v>
      </c>
      <c r="Q447" s="36">
        <f>Q446*1936.27</f>
        <v>40536722.109646007</v>
      </c>
      <c r="R447" s="7"/>
      <c r="S447" s="7"/>
      <c r="T447" s="7"/>
      <c r="U447" s="7"/>
      <c r="V447" s="7"/>
      <c r="W447" s="7"/>
      <c r="X447" s="7"/>
      <c r="Y447" s="7"/>
      <c r="Z447" s="7"/>
    </row>
    <row r="448" spans="1:26" ht="12.75" customHeight="1" x14ac:dyDescent="0.2">
      <c r="A448" s="534"/>
      <c r="B448" s="534"/>
      <c r="C448" s="40" t="s">
        <v>36</v>
      </c>
      <c r="D448" s="41">
        <v>21</v>
      </c>
      <c r="E448" s="42">
        <v>13133.5</v>
      </c>
      <c r="F448" s="42"/>
      <c r="G448" s="42"/>
      <c r="H448" s="42">
        <v>6384.11</v>
      </c>
      <c r="I448" s="42">
        <v>0</v>
      </c>
      <c r="J448" s="42">
        <v>1626.47</v>
      </c>
      <c r="K448" s="43">
        <v>19517.61</v>
      </c>
      <c r="L448" s="32">
        <v>21144.080000000002</v>
      </c>
      <c r="M448" s="33"/>
      <c r="N448" s="30">
        <v>19517.61</v>
      </c>
      <c r="O448" s="30">
        <v>13133.5</v>
      </c>
      <c r="P448" s="30"/>
      <c r="Q448" s="30">
        <f>(N448+O448*0.18+J448)+(IF((P448-O448*0.18)&gt;0,(P448-O448*0.18),0))</f>
        <v>23508.11</v>
      </c>
      <c r="R448" s="7"/>
      <c r="S448" s="7"/>
      <c r="T448" s="7"/>
      <c r="U448" s="7"/>
      <c r="V448" s="7"/>
      <c r="W448" s="7"/>
      <c r="X448" s="7"/>
      <c r="Y448" s="7"/>
      <c r="Z448" s="7"/>
    </row>
    <row r="449" spans="1:26" ht="9" customHeight="1" x14ac:dyDescent="0.2">
      <c r="A449" s="534"/>
      <c r="B449" s="534"/>
      <c r="C449" s="34" t="s">
        <v>37</v>
      </c>
      <c r="D449" s="35">
        <v>27</v>
      </c>
      <c r="E449" s="36">
        <v>25430002</v>
      </c>
      <c r="F449" s="36"/>
      <c r="G449" s="36"/>
      <c r="H449" s="36">
        <v>12361361</v>
      </c>
      <c r="I449" s="36">
        <v>0</v>
      </c>
      <c r="J449" s="37">
        <v>3149285</v>
      </c>
      <c r="K449" s="36">
        <v>37791363</v>
      </c>
      <c r="L449" s="38">
        <v>40940648</v>
      </c>
      <c r="M449" s="39"/>
      <c r="N449" s="36">
        <v>37791363</v>
      </c>
      <c r="O449" s="36">
        <v>25430002</v>
      </c>
      <c r="P449" s="36">
        <v>0</v>
      </c>
      <c r="Q449" s="36">
        <f>Q448*1936.27</f>
        <v>45518048.149700001</v>
      </c>
      <c r="R449" s="7"/>
      <c r="S449" s="7"/>
      <c r="T449" s="7"/>
      <c r="U449" s="7"/>
      <c r="V449" s="7"/>
      <c r="W449" s="7"/>
      <c r="X449" s="7"/>
      <c r="Y449" s="7"/>
      <c r="Z449" s="7"/>
    </row>
    <row r="450" spans="1:26" ht="12.75" customHeight="1" x14ac:dyDescent="0.2">
      <c r="A450" s="534"/>
      <c r="B450" s="534"/>
      <c r="C450" s="40" t="s">
        <v>36</v>
      </c>
      <c r="D450" s="41">
        <v>28</v>
      </c>
      <c r="E450" s="42">
        <v>14475.77</v>
      </c>
      <c r="F450" s="42"/>
      <c r="G450" s="42"/>
      <c r="H450" s="42">
        <v>6384.11</v>
      </c>
      <c r="I450" s="42">
        <v>0</v>
      </c>
      <c r="J450" s="42">
        <v>1738.32</v>
      </c>
      <c r="K450" s="43">
        <v>20859.88</v>
      </c>
      <c r="L450" s="32">
        <v>22598.2</v>
      </c>
      <c r="M450" s="33"/>
      <c r="N450" s="30">
        <v>20859.88</v>
      </c>
      <c r="O450" s="30">
        <v>14475.77</v>
      </c>
      <c r="P450" s="30"/>
      <c r="Q450" s="30">
        <f>(N450+O450*0.18+J450)+(IF((P450-O450*0.18)&gt;0,(P450-O450*0.18),0))</f>
        <v>25203.838599999999</v>
      </c>
      <c r="R450" s="7"/>
      <c r="S450" s="7"/>
      <c r="T450" s="7"/>
      <c r="U450" s="7"/>
      <c r="V450" s="7"/>
      <c r="W450" s="7"/>
      <c r="X450" s="7"/>
      <c r="Y450" s="7"/>
      <c r="Z450" s="7"/>
    </row>
    <row r="451" spans="1:26" ht="9" customHeight="1" x14ac:dyDescent="0.2">
      <c r="A451" s="534"/>
      <c r="B451" s="534"/>
      <c r="C451" s="34" t="s">
        <v>37</v>
      </c>
      <c r="D451" s="35">
        <v>34</v>
      </c>
      <c r="E451" s="36">
        <v>28028999</v>
      </c>
      <c r="F451" s="36"/>
      <c r="G451" s="36"/>
      <c r="H451" s="36">
        <v>12361361</v>
      </c>
      <c r="I451" s="36">
        <v>0</v>
      </c>
      <c r="J451" s="37">
        <v>3365857</v>
      </c>
      <c r="K451" s="36">
        <v>40390360</v>
      </c>
      <c r="L451" s="38">
        <v>43756217</v>
      </c>
      <c r="M451" s="39"/>
      <c r="N451" s="36">
        <v>40390360</v>
      </c>
      <c r="O451" s="36">
        <v>28028999</v>
      </c>
      <c r="P451" s="36">
        <v>0</v>
      </c>
      <c r="Q451" s="36">
        <f>Q450*1936.27</f>
        <v>48801436.566022001</v>
      </c>
      <c r="R451" s="7"/>
      <c r="S451" s="7"/>
      <c r="T451" s="7"/>
      <c r="U451" s="7"/>
      <c r="V451" s="7"/>
      <c r="W451" s="7"/>
      <c r="X451" s="7"/>
      <c r="Y451" s="7"/>
      <c r="Z451" s="7"/>
    </row>
    <row r="452" spans="1:26" ht="12.75" customHeight="1" x14ac:dyDescent="0.2">
      <c r="A452" s="534"/>
      <c r="B452" s="534"/>
      <c r="C452" s="40" t="s">
        <v>36</v>
      </c>
      <c r="D452" s="41">
        <v>35</v>
      </c>
      <c r="E452" s="42">
        <v>15490.61</v>
      </c>
      <c r="F452" s="42"/>
      <c r="G452" s="42"/>
      <c r="H452" s="42">
        <v>6384.11</v>
      </c>
      <c r="I452" s="42">
        <v>0</v>
      </c>
      <c r="J452" s="42">
        <v>1822.89</v>
      </c>
      <c r="K452" s="43">
        <v>21874.720000000001</v>
      </c>
      <c r="L452" s="32">
        <v>23697.61</v>
      </c>
      <c r="M452" s="33"/>
      <c r="N452" s="30">
        <v>21874.720000000001</v>
      </c>
      <c r="O452" s="30">
        <v>15490.61</v>
      </c>
      <c r="P452" s="30"/>
      <c r="Q452" s="30">
        <f>(N452+O452*0.18+J452)+(IF((P452-O452*0.18)&gt;0,(P452-O452*0.18),0))</f>
        <v>26485.9198</v>
      </c>
      <c r="R452" s="7"/>
      <c r="S452" s="7"/>
      <c r="T452" s="7"/>
      <c r="U452" s="7"/>
      <c r="V452" s="7"/>
      <c r="W452" s="7"/>
      <c r="X452" s="7"/>
      <c r="Y452" s="7"/>
      <c r="Z452" s="7"/>
    </row>
    <row r="453" spans="1:26" ht="9" customHeight="1" x14ac:dyDescent="0.2">
      <c r="A453" s="535"/>
      <c r="B453" s="535"/>
      <c r="C453" s="47" t="s">
        <v>37</v>
      </c>
      <c r="D453" s="48"/>
      <c r="E453" s="46">
        <v>29994003</v>
      </c>
      <c r="F453" s="46"/>
      <c r="G453" s="46"/>
      <c r="H453" s="46">
        <v>12361361</v>
      </c>
      <c r="I453" s="46">
        <v>0</v>
      </c>
      <c r="J453" s="49">
        <v>3529607</v>
      </c>
      <c r="K453" s="46">
        <v>42355364</v>
      </c>
      <c r="L453" s="38">
        <v>45884971</v>
      </c>
      <c r="M453" s="39"/>
      <c r="N453" s="36">
        <v>42355364</v>
      </c>
      <c r="O453" s="36">
        <v>29994003</v>
      </c>
      <c r="P453" s="36">
        <v>0</v>
      </c>
      <c r="Q453" s="36">
        <f>Q452*1936.27</f>
        <v>51283891.931145996</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6"/>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6"/>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6"/>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6"/>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6"/>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6"/>
      <c r="M459" s="39"/>
      <c r="N459" s="96"/>
      <c r="O459" s="96"/>
      <c r="P459" s="96"/>
      <c r="Q459" s="96"/>
      <c r="R459" s="7"/>
      <c r="S459" s="7"/>
      <c r="T459" s="7"/>
      <c r="U459" s="7"/>
      <c r="V459" s="7"/>
      <c r="W459" s="7"/>
      <c r="X459" s="7"/>
      <c r="Y459" s="7"/>
      <c r="Z459" s="7"/>
    </row>
    <row r="460" spans="1:26" ht="12.75" customHeight="1" x14ac:dyDescent="0.2">
      <c r="A460" s="538">
        <v>35612</v>
      </c>
      <c r="B460" s="538">
        <v>36099</v>
      </c>
      <c r="C460" s="28" t="s">
        <v>36</v>
      </c>
      <c r="D460" s="29">
        <v>0</v>
      </c>
      <c r="E460" s="30">
        <v>8520.51</v>
      </c>
      <c r="F460" s="30"/>
      <c r="G460" s="30"/>
      <c r="H460" s="30">
        <v>6384.11</v>
      </c>
      <c r="I460" s="30">
        <v>0</v>
      </c>
      <c r="J460" s="30">
        <v>1242.05</v>
      </c>
      <c r="K460" s="31">
        <v>14904.62</v>
      </c>
      <c r="L460" s="32">
        <v>16146.67</v>
      </c>
      <c r="M460" s="33"/>
      <c r="N460" s="30">
        <v>14904.62</v>
      </c>
      <c r="O460" s="30">
        <v>8520.51</v>
      </c>
      <c r="P460" s="30"/>
      <c r="Q460" s="30">
        <f>(N460+O460*0.18+J460)+(IF((P460-O460*0.18)&gt;0,(P460-O460*0.18),0))</f>
        <v>17680.361799999999</v>
      </c>
      <c r="R460" s="7"/>
      <c r="S460" s="7"/>
      <c r="T460" s="7"/>
      <c r="U460" s="7"/>
      <c r="V460" s="7"/>
      <c r="W460" s="7"/>
      <c r="X460" s="7"/>
      <c r="Y460" s="7"/>
      <c r="Z460" s="7"/>
    </row>
    <row r="461" spans="1:26" ht="9" customHeight="1" x14ac:dyDescent="0.2">
      <c r="A461" s="534"/>
      <c r="B461" s="534"/>
      <c r="C461" s="34" t="s">
        <v>37</v>
      </c>
      <c r="D461" s="35">
        <v>2</v>
      </c>
      <c r="E461" s="36">
        <v>16498008</v>
      </c>
      <c r="F461" s="36"/>
      <c r="G461" s="36"/>
      <c r="H461" s="36">
        <v>12361361</v>
      </c>
      <c r="I461" s="36">
        <v>0</v>
      </c>
      <c r="J461" s="37">
        <v>2404944</v>
      </c>
      <c r="K461" s="36">
        <v>28859369</v>
      </c>
      <c r="L461" s="38">
        <v>31264313</v>
      </c>
      <c r="M461" s="39"/>
      <c r="N461" s="36">
        <v>28859369</v>
      </c>
      <c r="O461" s="36">
        <v>16498008</v>
      </c>
      <c r="P461" s="36">
        <v>0</v>
      </c>
      <c r="Q461" s="36">
        <f>Q460*1936.27</f>
        <v>34233954.142485999</v>
      </c>
      <c r="R461" s="7"/>
      <c r="S461" s="7"/>
      <c r="T461" s="7"/>
      <c r="U461" s="7"/>
      <c r="V461" s="7"/>
      <c r="W461" s="7"/>
      <c r="X461" s="7"/>
      <c r="Y461" s="7"/>
      <c r="Z461" s="7"/>
    </row>
    <row r="462" spans="1:26" ht="12.75" customHeight="1" x14ac:dyDescent="0.2">
      <c r="A462" s="539">
        <v>35612</v>
      </c>
      <c r="B462" s="539">
        <v>36099</v>
      </c>
      <c r="C462" s="40" t="s">
        <v>36</v>
      </c>
      <c r="D462" s="41">
        <v>3</v>
      </c>
      <c r="E462" s="42">
        <v>8918.69</v>
      </c>
      <c r="F462" s="42"/>
      <c r="G462" s="42"/>
      <c r="H462" s="42">
        <v>6384.11</v>
      </c>
      <c r="I462" s="42">
        <v>0</v>
      </c>
      <c r="J462" s="42">
        <v>1275.23</v>
      </c>
      <c r="K462" s="43">
        <v>15302.8</v>
      </c>
      <c r="L462" s="32">
        <v>16578.03</v>
      </c>
      <c r="M462" s="33"/>
      <c r="N462" s="30">
        <v>15302.8</v>
      </c>
      <c r="O462" s="30">
        <v>8918.69</v>
      </c>
      <c r="P462" s="30"/>
      <c r="Q462" s="30">
        <f>(N462+O462*0.18+J462)+(IF((P462-O462*0.18)&gt;0,(P462-O462*0.18),0))</f>
        <v>18183.394199999999</v>
      </c>
      <c r="R462" s="7"/>
      <c r="S462" s="7"/>
      <c r="T462" s="7"/>
      <c r="U462" s="7"/>
      <c r="V462" s="7"/>
      <c r="W462" s="7"/>
      <c r="X462" s="7"/>
      <c r="Y462" s="7"/>
      <c r="Z462" s="7"/>
    </row>
    <row r="463" spans="1:26" ht="9" customHeight="1" x14ac:dyDescent="0.2">
      <c r="A463" s="534"/>
      <c r="B463" s="534"/>
      <c r="C463" s="34" t="s">
        <v>37</v>
      </c>
      <c r="D463" s="35">
        <v>8</v>
      </c>
      <c r="E463" s="36">
        <v>17268992</v>
      </c>
      <c r="F463" s="36"/>
      <c r="G463" s="36"/>
      <c r="H463" s="36">
        <v>12361361</v>
      </c>
      <c r="I463" s="36">
        <v>0</v>
      </c>
      <c r="J463" s="37">
        <v>2469190</v>
      </c>
      <c r="K463" s="36">
        <v>29630353</v>
      </c>
      <c r="L463" s="38">
        <v>32099542</v>
      </c>
      <c r="M463" s="39"/>
      <c r="N463" s="36">
        <v>29630353</v>
      </c>
      <c r="O463" s="36">
        <v>17268992</v>
      </c>
      <c r="P463" s="36">
        <v>0</v>
      </c>
      <c r="Q463" s="36">
        <f>Q462*1936.27</f>
        <v>35207960.687633999</v>
      </c>
      <c r="R463" s="7"/>
      <c r="S463" s="7"/>
      <c r="T463" s="7"/>
      <c r="U463" s="7"/>
      <c r="V463" s="7"/>
      <c r="W463" s="7"/>
      <c r="X463" s="7"/>
      <c r="Y463" s="7"/>
      <c r="Z463" s="7"/>
    </row>
    <row r="464" spans="1:26" ht="12.75" customHeight="1" x14ac:dyDescent="0.2">
      <c r="A464" s="534"/>
      <c r="B464" s="534"/>
      <c r="C464" s="40" t="s">
        <v>36</v>
      </c>
      <c r="D464" s="41">
        <v>9</v>
      </c>
      <c r="E464" s="42">
        <v>10160.26</v>
      </c>
      <c r="F464" s="42"/>
      <c r="G464" s="42"/>
      <c r="H464" s="42">
        <v>6384.11</v>
      </c>
      <c r="I464" s="42">
        <v>0</v>
      </c>
      <c r="J464" s="42">
        <v>1378.7</v>
      </c>
      <c r="K464" s="43">
        <v>16544.37</v>
      </c>
      <c r="L464" s="32">
        <v>17923.07</v>
      </c>
      <c r="M464" s="33"/>
      <c r="N464" s="30">
        <v>16544.37</v>
      </c>
      <c r="O464" s="30">
        <v>10160.26</v>
      </c>
      <c r="P464" s="30"/>
      <c r="Q464" s="30">
        <f>(N464+O464*0.18+J464)+(IF((P464-O464*0.18)&gt;0,(P464-O464*0.18),0))</f>
        <v>19751.916799999999</v>
      </c>
      <c r="R464" s="7"/>
      <c r="S464" s="7"/>
      <c r="T464" s="7"/>
      <c r="U464" s="7"/>
      <c r="V464" s="7"/>
      <c r="W464" s="7"/>
      <c r="X464" s="7"/>
      <c r="Y464" s="7"/>
      <c r="Z464" s="7"/>
    </row>
    <row r="465" spans="1:26" ht="9" customHeight="1" x14ac:dyDescent="0.2">
      <c r="A465" s="534"/>
      <c r="B465" s="534"/>
      <c r="C465" s="34" t="s">
        <v>37</v>
      </c>
      <c r="D465" s="35">
        <v>14</v>
      </c>
      <c r="E465" s="36">
        <v>19673007</v>
      </c>
      <c r="F465" s="36"/>
      <c r="G465" s="36"/>
      <c r="H465" s="36">
        <v>12361361</v>
      </c>
      <c r="I465" s="36">
        <v>0</v>
      </c>
      <c r="J465" s="37">
        <v>2669535</v>
      </c>
      <c r="K465" s="36">
        <v>32034367</v>
      </c>
      <c r="L465" s="38">
        <v>34703903</v>
      </c>
      <c r="M465" s="39"/>
      <c r="N465" s="36">
        <v>32034367</v>
      </c>
      <c r="O465" s="36">
        <v>19673007</v>
      </c>
      <c r="P465" s="36">
        <v>0</v>
      </c>
      <c r="Q465" s="36">
        <f>Q464*1936.27</f>
        <v>38245043.942336001</v>
      </c>
      <c r="R465" s="7"/>
      <c r="S465" s="7"/>
      <c r="T465" s="7"/>
      <c r="U465" s="7"/>
      <c r="V465" s="7"/>
      <c r="W465" s="7"/>
      <c r="X465" s="7"/>
      <c r="Y465" s="7"/>
      <c r="Z465" s="7"/>
    </row>
    <row r="466" spans="1:26" ht="12.75" customHeight="1" x14ac:dyDescent="0.2">
      <c r="A466" s="534"/>
      <c r="B466" s="534"/>
      <c r="C466" s="40" t="s">
        <v>36</v>
      </c>
      <c r="D466" s="41">
        <v>15</v>
      </c>
      <c r="E466" s="42">
        <v>11605.3</v>
      </c>
      <c r="F466" s="42"/>
      <c r="G466" s="42"/>
      <c r="H466" s="42">
        <v>6384.11</v>
      </c>
      <c r="I466" s="42">
        <v>0</v>
      </c>
      <c r="J466" s="42">
        <v>1499.12</v>
      </c>
      <c r="K466" s="43">
        <v>17989.41</v>
      </c>
      <c r="L466" s="32">
        <v>19488.53</v>
      </c>
      <c r="M466" s="33"/>
      <c r="N466" s="30">
        <v>17989.41</v>
      </c>
      <c r="O466" s="30">
        <v>11605.3</v>
      </c>
      <c r="P466" s="30"/>
      <c r="Q466" s="30">
        <f>(N466+O466*0.18+J466)+(IF((P466-O466*0.18)&gt;0,(P466-O466*0.18),0))</f>
        <v>21577.484</v>
      </c>
      <c r="R466" s="7"/>
      <c r="S466" s="7"/>
      <c r="T466" s="7"/>
      <c r="U466" s="7"/>
      <c r="V466" s="7"/>
      <c r="W466" s="7"/>
      <c r="X466" s="7"/>
      <c r="Y466" s="7"/>
      <c r="Z466" s="7"/>
    </row>
    <row r="467" spans="1:26" ht="9" customHeight="1" x14ac:dyDescent="0.2">
      <c r="A467" s="534"/>
      <c r="B467" s="534"/>
      <c r="C467" s="34" t="s">
        <v>37</v>
      </c>
      <c r="D467" s="35">
        <v>20</v>
      </c>
      <c r="E467" s="36">
        <v>22470994</v>
      </c>
      <c r="F467" s="36"/>
      <c r="G467" s="36"/>
      <c r="H467" s="36">
        <v>12361361</v>
      </c>
      <c r="I467" s="36">
        <v>0</v>
      </c>
      <c r="J467" s="37">
        <v>2902701</v>
      </c>
      <c r="K467" s="36">
        <v>34832355</v>
      </c>
      <c r="L467" s="38">
        <v>37735056</v>
      </c>
      <c r="M467" s="39"/>
      <c r="N467" s="36">
        <v>34832355</v>
      </c>
      <c r="O467" s="36">
        <v>22470994</v>
      </c>
      <c r="P467" s="36">
        <v>0</v>
      </c>
      <c r="Q467" s="36">
        <f>Q466*1936.27</f>
        <v>41779834.944679998</v>
      </c>
      <c r="R467" s="7"/>
      <c r="S467" s="7"/>
      <c r="T467" s="7"/>
      <c r="U467" s="7"/>
      <c r="V467" s="7"/>
      <c r="W467" s="7"/>
      <c r="X467" s="7"/>
      <c r="Y467" s="7"/>
      <c r="Z467" s="7"/>
    </row>
    <row r="468" spans="1:26" ht="12.75" customHeight="1" x14ac:dyDescent="0.2">
      <c r="A468" s="534"/>
      <c r="B468" s="534"/>
      <c r="C468" s="40" t="s">
        <v>36</v>
      </c>
      <c r="D468" s="41">
        <v>21</v>
      </c>
      <c r="E468" s="42">
        <v>13703.67</v>
      </c>
      <c r="F468" s="42"/>
      <c r="G468" s="42"/>
      <c r="H468" s="42">
        <v>6384.11</v>
      </c>
      <c r="I468" s="42">
        <v>0</v>
      </c>
      <c r="J468" s="42">
        <v>1673.98</v>
      </c>
      <c r="K468" s="43">
        <v>20087.78</v>
      </c>
      <c r="L468" s="32">
        <v>21761.759999999998</v>
      </c>
      <c r="M468" s="33"/>
      <c r="N468" s="30">
        <v>20087.78</v>
      </c>
      <c r="O468" s="30">
        <v>13703.67</v>
      </c>
      <c r="P468" s="30"/>
      <c r="Q468" s="30">
        <f>(N468+O468*0.18+J468)+(IF((P468-O468*0.18)&gt;0,(P468-O468*0.18),0))</f>
        <v>24228.420599999998</v>
      </c>
      <c r="R468" s="7"/>
      <c r="S468" s="7"/>
      <c r="T468" s="7"/>
      <c r="U468" s="7"/>
      <c r="V468" s="7"/>
      <c r="W468" s="7"/>
      <c r="X468" s="7"/>
      <c r="Y468" s="7"/>
      <c r="Z468" s="7"/>
    </row>
    <row r="469" spans="1:26" ht="9" customHeight="1" x14ac:dyDescent="0.2">
      <c r="A469" s="534"/>
      <c r="B469" s="534"/>
      <c r="C469" s="34" t="s">
        <v>37</v>
      </c>
      <c r="D469" s="35">
        <v>27</v>
      </c>
      <c r="E469" s="36">
        <v>26534005</v>
      </c>
      <c r="F469" s="36"/>
      <c r="G469" s="36"/>
      <c r="H469" s="36">
        <v>12361361</v>
      </c>
      <c r="I469" s="36">
        <v>0</v>
      </c>
      <c r="J469" s="37">
        <v>3241277</v>
      </c>
      <c r="K469" s="36">
        <v>38895366</v>
      </c>
      <c r="L469" s="38">
        <v>42136643</v>
      </c>
      <c r="M469" s="39"/>
      <c r="N469" s="36">
        <v>38895366</v>
      </c>
      <c r="O469" s="36">
        <v>26534005</v>
      </c>
      <c r="P469" s="36">
        <v>0</v>
      </c>
      <c r="Q469" s="36">
        <f>Q468*1936.27</f>
        <v>46912763.955161996</v>
      </c>
      <c r="R469" s="7"/>
      <c r="S469" s="7"/>
      <c r="T469" s="7"/>
      <c r="U469" s="7"/>
      <c r="V469" s="7"/>
      <c r="W469" s="7"/>
      <c r="X469" s="7"/>
      <c r="Y469" s="7"/>
      <c r="Z469" s="7"/>
    </row>
    <row r="470" spans="1:26" ht="12.75" customHeight="1" x14ac:dyDescent="0.2">
      <c r="A470" s="534"/>
      <c r="B470" s="534"/>
      <c r="C470" s="40" t="s">
        <v>36</v>
      </c>
      <c r="D470" s="41">
        <v>28</v>
      </c>
      <c r="E470" s="42">
        <v>15083.12</v>
      </c>
      <c r="F470" s="42"/>
      <c r="G470" s="42"/>
      <c r="H470" s="42">
        <v>6384.11</v>
      </c>
      <c r="I470" s="42">
        <v>0</v>
      </c>
      <c r="J470" s="42">
        <v>1788.94</v>
      </c>
      <c r="K470" s="43">
        <v>21467.23</v>
      </c>
      <c r="L470" s="32">
        <v>23256.17</v>
      </c>
      <c r="M470" s="33"/>
      <c r="N470" s="30">
        <v>21467.23</v>
      </c>
      <c r="O470" s="30">
        <v>15083.12</v>
      </c>
      <c r="P470" s="30"/>
      <c r="Q470" s="30">
        <f>(N470+O470*0.18+J470)+(IF((P470-O470*0.18)&gt;0,(P470-O470*0.18),0))</f>
        <v>25971.131599999997</v>
      </c>
      <c r="R470" s="7"/>
      <c r="S470" s="7"/>
      <c r="T470" s="7"/>
      <c r="U470" s="7"/>
      <c r="V470" s="7"/>
      <c r="W470" s="7"/>
      <c r="X470" s="7"/>
      <c r="Y470" s="7"/>
      <c r="Z470" s="7"/>
    </row>
    <row r="471" spans="1:26" ht="9" customHeight="1" x14ac:dyDescent="0.2">
      <c r="A471" s="534"/>
      <c r="B471" s="534"/>
      <c r="C471" s="34" t="s">
        <v>37</v>
      </c>
      <c r="D471" s="35">
        <v>34</v>
      </c>
      <c r="E471" s="36">
        <v>29204993</v>
      </c>
      <c r="F471" s="36"/>
      <c r="G471" s="36"/>
      <c r="H471" s="36">
        <v>12361361</v>
      </c>
      <c r="I471" s="36">
        <v>0</v>
      </c>
      <c r="J471" s="37">
        <v>3463871</v>
      </c>
      <c r="K471" s="36">
        <v>41566353</v>
      </c>
      <c r="L471" s="38">
        <v>45030224</v>
      </c>
      <c r="M471" s="39"/>
      <c r="N471" s="36">
        <v>41566353</v>
      </c>
      <c r="O471" s="36">
        <v>29204993</v>
      </c>
      <c r="P471" s="36">
        <v>0</v>
      </c>
      <c r="Q471" s="36">
        <f>Q470*1936.27</f>
        <v>50287122.983131997</v>
      </c>
      <c r="R471" s="7"/>
      <c r="S471" s="7"/>
      <c r="T471" s="7"/>
      <c r="U471" s="7"/>
      <c r="V471" s="7"/>
      <c r="W471" s="7"/>
      <c r="X471" s="7"/>
      <c r="Y471" s="7"/>
      <c r="Z471" s="7"/>
    </row>
    <row r="472" spans="1:26" ht="12.75" customHeight="1" x14ac:dyDescent="0.2">
      <c r="A472" s="534"/>
      <c r="B472" s="534"/>
      <c r="C472" s="40" t="s">
        <v>36</v>
      </c>
      <c r="D472" s="41">
        <v>35</v>
      </c>
      <c r="E472" s="42">
        <v>16128.95</v>
      </c>
      <c r="F472" s="42"/>
      <c r="G472" s="42"/>
      <c r="H472" s="42">
        <v>6384.11</v>
      </c>
      <c r="I472" s="42">
        <v>0</v>
      </c>
      <c r="J472" s="42">
        <v>1876.09</v>
      </c>
      <c r="K472" s="43">
        <v>22513.06</v>
      </c>
      <c r="L472" s="32">
        <v>24389.15</v>
      </c>
      <c r="M472" s="33"/>
      <c r="N472" s="30">
        <v>22513.06</v>
      </c>
      <c r="O472" s="30">
        <v>16128.95</v>
      </c>
      <c r="P472" s="30"/>
      <c r="Q472" s="30">
        <f>(N472+O472*0.18+J472)+(IF((P472-O472*0.18)&gt;0,(P472-O472*0.18),0))</f>
        <v>27292.361000000001</v>
      </c>
      <c r="R472" s="7"/>
      <c r="S472" s="7"/>
      <c r="T472" s="7"/>
      <c r="U472" s="7"/>
      <c r="V472" s="7"/>
      <c r="W472" s="7"/>
      <c r="X472" s="7"/>
      <c r="Y472" s="7"/>
      <c r="Z472" s="7"/>
    </row>
    <row r="473" spans="1:26" ht="9" customHeight="1" x14ac:dyDescent="0.2">
      <c r="A473" s="535"/>
      <c r="B473" s="535"/>
      <c r="C473" s="47" t="s">
        <v>37</v>
      </c>
      <c r="D473" s="48"/>
      <c r="E473" s="46">
        <v>31230002</v>
      </c>
      <c r="F473" s="46"/>
      <c r="G473" s="46"/>
      <c r="H473" s="46">
        <v>12361361</v>
      </c>
      <c r="I473" s="46">
        <v>0</v>
      </c>
      <c r="J473" s="49">
        <v>3632617</v>
      </c>
      <c r="K473" s="46">
        <v>43591363</v>
      </c>
      <c r="L473" s="38">
        <v>47223979</v>
      </c>
      <c r="M473" s="39"/>
      <c r="N473" s="36">
        <v>43591363</v>
      </c>
      <c r="O473" s="36">
        <v>31230002</v>
      </c>
      <c r="P473" s="36">
        <v>0</v>
      </c>
      <c r="Q473" s="36">
        <f>Q472*1936.27</f>
        <v>52845379.833470002</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6"/>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6"/>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6"/>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12.75" customHeight="1" x14ac:dyDescent="0.2">
      <c r="A480" s="538">
        <v>36100</v>
      </c>
      <c r="B480" s="538">
        <v>36311</v>
      </c>
      <c r="C480" s="28" t="s">
        <v>36</v>
      </c>
      <c r="D480" s="29">
        <v>0</v>
      </c>
      <c r="E480" s="30">
        <v>8787</v>
      </c>
      <c r="F480" s="30"/>
      <c r="G480" s="30"/>
      <c r="H480" s="30">
        <v>6384.11</v>
      </c>
      <c r="I480" s="30">
        <v>0</v>
      </c>
      <c r="J480" s="30">
        <v>1264.26</v>
      </c>
      <c r="K480" s="31">
        <v>15171.11</v>
      </c>
      <c r="L480" s="32">
        <v>16435.37</v>
      </c>
      <c r="M480" s="33"/>
      <c r="N480" s="30">
        <v>15171.11</v>
      </c>
      <c r="O480" s="30">
        <v>8787</v>
      </c>
      <c r="P480" s="30"/>
      <c r="Q480" s="30">
        <f>(N480+O480*0.18+J480)+(IF((P480-O480*0.18)&gt;0,(P480-O480*0.18),0))</f>
        <v>18017.03</v>
      </c>
      <c r="R480" s="7"/>
      <c r="S480" s="7"/>
      <c r="T480" s="7"/>
      <c r="U480" s="7"/>
      <c r="V480" s="7"/>
      <c r="W480" s="7"/>
      <c r="X480" s="7"/>
      <c r="Y480" s="7"/>
      <c r="Z480" s="7"/>
    </row>
    <row r="481" spans="1:26" ht="9" customHeight="1" x14ac:dyDescent="0.2">
      <c r="A481" s="534"/>
      <c r="B481" s="534"/>
      <c r="C481" s="34" t="s">
        <v>37</v>
      </c>
      <c r="D481" s="35">
        <v>2</v>
      </c>
      <c r="E481" s="36">
        <v>17014004</v>
      </c>
      <c r="F481" s="36"/>
      <c r="G481" s="36"/>
      <c r="H481" s="36">
        <v>12361361</v>
      </c>
      <c r="I481" s="36">
        <v>0</v>
      </c>
      <c r="J481" s="37">
        <v>2447949</v>
      </c>
      <c r="K481" s="36">
        <v>29375365</v>
      </c>
      <c r="L481" s="38">
        <v>31823314</v>
      </c>
      <c r="M481" s="39"/>
      <c r="N481" s="36">
        <v>29375365</v>
      </c>
      <c r="O481" s="36">
        <v>17014004</v>
      </c>
      <c r="P481" s="36">
        <v>0</v>
      </c>
      <c r="Q481" s="36">
        <f>Q480*1936.27</f>
        <v>34885834.678099997</v>
      </c>
      <c r="R481" s="7"/>
      <c r="S481" s="7"/>
      <c r="T481" s="7"/>
      <c r="U481" s="7"/>
      <c r="V481" s="7"/>
      <c r="W481" s="7"/>
      <c r="X481" s="7"/>
      <c r="Y481" s="7"/>
      <c r="Z481" s="7"/>
    </row>
    <row r="482" spans="1:26" ht="12.75" customHeight="1" x14ac:dyDescent="0.2">
      <c r="A482" s="539">
        <v>36100</v>
      </c>
      <c r="B482" s="539">
        <v>36311</v>
      </c>
      <c r="C482" s="40" t="s">
        <v>36</v>
      </c>
      <c r="D482" s="41">
        <v>3</v>
      </c>
      <c r="E482" s="42">
        <v>9191.3799999999992</v>
      </c>
      <c r="F482" s="42"/>
      <c r="G482" s="42"/>
      <c r="H482" s="42">
        <v>6384.11</v>
      </c>
      <c r="I482" s="42">
        <v>0</v>
      </c>
      <c r="J482" s="42">
        <v>1297.96</v>
      </c>
      <c r="K482" s="43">
        <v>15575.49</v>
      </c>
      <c r="L482" s="32">
        <v>16873.45</v>
      </c>
      <c r="M482" s="33"/>
      <c r="N482" s="30">
        <v>15575.49</v>
      </c>
      <c r="O482" s="30">
        <v>9191.3799999999992</v>
      </c>
      <c r="P482" s="30"/>
      <c r="Q482" s="30">
        <f>(N482+O482*0.18+J482)+(IF((P482-O482*0.18)&gt;0,(P482-O482*0.18),0))</f>
        <v>18527.898399999998</v>
      </c>
      <c r="R482" s="7"/>
      <c r="S482" s="7"/>
      <c r="T482" s="7"/>
      <c r="U482" s="7"/>
      <c r="V482" s="7"/>
      <c r="W482" s="7"/>
      <c r="X482" s="7"/>
      <c r="Y482" s="7"/>
      <c r="Z482" s="7"/>
    </row>
    <row r="483" spans="1:26" ht="9" customHeight="1" x14ac:dyDescent="0.2">
      <c r="A483" s="534"/>
      <c r="B483" s="534"/>
      <c r="C483" s="34" t="s">
        <v>37</v>
      </c>
      <c r="D483" s="35">
        <v>8</v>
      </c>
      <c r="E483" s="36">
        <v>17796993</v>
      </c>
      <c r="F483" s="36"/>
      <c r="G483" s="36"/>
      <c r="H483" s="36">
        <v>12361361</v>
      </c>
      <c r="I483" s="36">
        <v>0</v>
      </c>
      <c r="J483" s="37">
        <v>2513201</v>
      </c>
      <c r="K483" s="36">
        <v>30158354</v>
      </c>
      <c r="L483" s="38">
        <v>32671555</v>
      </c>
      <c r="M483" s="39"/>
      <c r="N483" s="36">
        <v>30158354</v>
      </c>
      <c r="O483" s="36">
        <v>17796993</v>
      </c>
      <c r="P483" s="36">
        <v>0</v>
      </c>
      <c r="Q483" s="36">
        <f>Q482*1936.27</f>
        <v>35875013.834967993</v>
      </c>
      <c r="R483" s="7"/>
      <c r="S483" s="7"/>
      <c r="T483" s="7"/>
      <c r="U483" s="7"/>
      <c r="V483" s="7"/>
      <c r="W483" s="7"/>
      <c r="X483" s="7"/>
      <c r="Y483" s="7"/>
      <c r="Z483" s="7"/>
    </row>
    <row r="484" spans="1:26" ht="12.75" customHeight="1" x14ac:dyDescent="0.2">
      <c r="A484" s="534"/>
      <c r="B484" s="534"/>
      <c r="C484" s="40" t="s">
        <v>36</v>
      </c>
      <c r="D484" s="41">
        <v>9</v>
      </c>
      <c r="E484" s="42">
        <v>10457.74</v>
      </c>
      <c r="F484" s="42"/>
      <c r="G484" s="42"/>
      <c r="H484" s="42">
        <v>6384.11</v>
      </c>
      <c r="I484" s="42">
        <v>0</v>
      </c>
      <c r="J484" s="42">
        <v>1403.49</v>
      </c>
      <c r="K484" s="43">
        <v>16841.849999999999</v>
      </c>
      <c r="L484" s="32">
        <v>18245.34</v>
      </c>
      <c r="M484" s="33"/>
      <c r="N484" s="30">
        <v>16841.849999999999</v>
      </c>
      <c r="O484" s="30">
        <v>10457.74</v>
      </c>
      <c r="P484" s="30"/>
      <c r="Q484" s="30">
        <f>(N484+O484*0.18+J484)+(IF((P484-O484*0.18)&gt;0,(P484-O484*0.18),0))</f>
        <v>20127.733199999999</v>
      </c>
      <c r="R484" s="7"/>
      <c r="S484" s="7"/>
      <c r="T484" s="7"/>
      <c r="U484" s="7"/>
      <c r="V484" s="7"/>
      <c r="W484" s="7"/>
      <c r="X484" s="7"/>
      <c r="Y484" s="7"/>
      <c r="Z484" s="7"/>
    </row>
    <row r="485" spans="1:26" ht="9" customHeight="1" x14ac:dyDescent="0.2">
      <c r="A485" s="534"/>
      <c r="B485" s="534"/>
      <c r="C485" s="34" t="s">
        <v>37</v>
      </c>
      <c r="D485" s="35">
        <v>14</v>
      </c>
      <c r="E485" s="36">
        <v>20249008</v>
      </c>
      <c r="F485" s="36"/>
      <c r="G485" s="36"/>
      <c r="H485" s="36">
        <v>12361361</v>
      </c>
      <c r="I485" s="36">
        <v>0</v>
      </c>
      <c r="J485" s="37">
        <v>2717536</v>
      </c>
      <c r="K485" s="36">
        <v>32610369</v>
      </c>
      <c r="L485" s="38">
        <v>35327904</v>
      </c>
      <c r="M485" s="39"/>
      <c r="N485" s="36">
        <v>32610369</v>
      </c>
      <c r="O485" s="36">
        <v>20249008</v>
      </c>
      <c r="P485" s="36">
        <v>0</v>
      </c>
      <c r="Q485" s="36">
        <f>Q484*1936.27</f>
        <v>38972725.963163994</v>
      </c>
      <c r="R485" s="7"/>
      <c r="S485" s="7"/>
      <c r="T485" s="7"/>
      <c r="U485" s="7"/>
      <c r="V485" s="7"/>
      <c r="W485" s="7"/>
      <c r="X485" s="7"/>
      <c r="Y485" s="7"/>
      <c r="Z485" s="7"/>
    </row>
    <row r="486" spans="1:26" ht="12.75" customHeight="1" x14ac:dyDescent="0.2">
      <c r="A486" s="534"/>
      <c r="B486" s="534"/>
      <c r="C486" s="40" t="s">
        <v>36</v>
      </c>
      <c r="D486" s="41">
        <v>15</v>
      </c>
      <c r="E486" s="42">
        <v>11927.57</v>
      </c>
      <c r="F486" s="42"/>
      <c r="G486" s="42"/>
      <c r="H486" s="42">
        <v>6384.11</v>
      </c>
      <c r="I486" s="42">
        <v>0</v>
      </c>
      <c r="J486" s="42">
        <v>1525.97</v>
      </c>
      <c r="K486" s="43">
        <v>18311.68</v>
      </c>
      <c r="L486" s="32">
        <v>19837.650000000001</v>
      </c>
      <c r="M486" s="33"/>
      <c r="N486" s="30">
        <v>18311.68</v>
      </c>
      <c r="O486" s="30">
        <v>11927.57</v>
      </c>
      <c r="P486" s="30"/>
      <c r="Q486" s="30">
        <f>(N486+O486*0.18+J486)+(IF((P486-O486*0.18)&gt;0,(P486-O486*0.18),0))</f>
        <v>21984.6126</v>
      </c>
      <c r="R486" s="7"/>
      <c r="S486" s="7"/>
      <c r="T486" s="7"/>
      <c r="U486" s="7"/>
      <c r="V486" s="7"/>
      <c r="W486" s="7"/>
      <c r="X486" s="7"/>
      <c r="Y486" s="7"/>
      <c r="Z486" s="7"/>
    </row>
    <row r="487" spans="1:26" ht="9" customHeight="1" x14ac:dyDescent="0.2">
      <c r="A487" s="534"/>
      <c r="B487" s="534"/>
      <c r="C487" s="34" t="s">
        <v>37</v>
      </c>
      <c r="D487" s="35">
        <v>20</v>
      </c>
      <c r="E487" s="36">
        <v>23094996</v>
      </c>
      <c r="F487" s="36"/>
      <c r="G487" s="36"/>
      <c r="H487" s="36">
        <v>12361361</v>
      </c>
      <c r="I487" s="36">
        <v>0</v>
      </c>
      <c r="J487" s="37">
        <v>2954690</v>
      </c>
      <c r="K487" s="36">
        <v>35456357</v>
      </c>
      <c r="L487" s="38">
        <v>38411047</v>
      </c>
      <c r="M487" s="39"/>
      <c r="N487" s="36">
        <v>35456357</v>
      </c>
      <c r="O487" s="36">
        <v>23094996</v>
      </c>
      <c r="P487" s="36">
        <v>0</v>
      </c>
      <c r="Q487" s="36">
        <f>Q486*1936.27</f>
        <v>42568145.839001998</v>
      </c>
      <c r="R487" s="7"/>
      <c r="S487" s="7"/>
      <c r="T487" s="7"/>
      <c r="U487" s="7"/>
      <c r="V487" s="7"/>
      <c r="W487" s="7"/>
      <c r="X487" s="7"/>
      <c r="Y487" s="7"/>
      <c r="Z487" s="7"/>
    </row>
    <row r="488" spans="1:26" ht="12.75" customHeight="1" x14ac:dyDescent="0.2">
      <c r="A488" s="534"/>
      <c r="B488" s="534"/>
      <c r="C488" s="40" t="s">
        <v>36</v>
      </c>
      <c r="D488" s="41">
        <v>21</v>
      </c>
      <c r="E488" s="42">
        <v>14063.12</v>
      </c>
      <c r="F488" s="42"/>
      <c r="G488" s="42"/>
      <c r="H488" s="42">
        <v>6384.11</v>
      </c>
      <c r="I488" s="42">
        <v>0</v>
      </c>
      <c r="J488" s="42">
        <v>1703.94</v>
      </c>
      <c r="K488" s="43">
        <v>20447.23</v>
      </c>
      <c r="L488" s="32">
        <v>22151.17</v>
      </c>
      <c r="M488" s="33"/>
      <c r="N488" s="30">
        <v>20447.23</v>
      </c>
      <c r="O488" s="30">
        <v>14063.12</v>
      </c>
      <c r="P488" s="30"/>
      <c r="Q488" s="30">
        <f>(N488+O488*0.18+J488)+(IF((P488-O488*0.18)&gt;0,(P488-O488*0.18),0))</f>
        <v>24682.531599999998</v>
      </c>
      <c r="R488" s="7"/>
      <c r="S488" s="7"/>
      <c r="T488" s="7"/>
      <c r="U488" s="7"/>
      <c r="V488" s="7"/>
      <c r="W488" s="7"/>
      <c r="X488" s="7"/>
      <c r="Y488" s="7"/>
      <c r="Z488" s="7"/>
    </row>
    <row r="489" spans="1:26" ht="9" customHeight="1" x14ac:dyDescent="0.2">
      <c r="A489" s="534"/>
      <c r="B489" s="534"/>
      <c r="C489" s="34" t="s">
        <v>37</v>
      </c>
      <c r="D489" s="35">
        <v>27</v>
      </c>
      <c r="E489" s="36">
        <v>27229997</v>
      </c>
      <c r="F489" s="36"/>
      <c r="G489" s="36"/>
      <c r="H489" s="36">
        <v>12361361</v>
      </c>
      <c r="I489" s="36">
        <v>0</v>
      </c>
      <c r="J489" s="37">
        <v>3299288</v>
      </c>
      <c r="K489" s="36">
        <v>39591358</v>
      </c>
      <c r="L489" s="38">
        <v>42890646</v>
      </c>
      <c r="M489" s="39"/>
      <c r="N489" s="36">
        <v>39591358</v>
      </c>
      <c r="O489" s="36">
        <v>27229997</v>
      </c>
      <c r="P489" s="36">
        <v>0</v>
      </c>
      <c r="Q489" s="36">
        <f>Q488*1936.27</f>
        <v>47792045.461131997</v>
      </c>
      <c r="R489" s="7"/>
      <c r="S489" s="7"/>
      <c r="T489" s="7"/>
      <c r="U489" s="7"/>
      <c r="V489" s="7"/>
      <c r="W489" s="7"/>
      <c r="X489" s="7"/>
      <c r="Y489" s="7"/>
      <c r="Z489" s="7"/>
    </row>
    <row r="490" spans="1:26" ht="12.75" customHeight="1" x14ac:dyDescent="0.2">
      <c r="A490" s="534"/>
      <c r="B490" s="534"/>
      <c r="C490" s="40" t="s">
        <v>36</v>
      </c>
      <c r="D490" s="41">
        <v>28</v>
      </c>
      <c r="E490" s="42">
        <v>15467.37</v>
      </c>
      <c r="F490" s="42"/>
      <c r="G490" s="42"/>
      <c r="H490" s="42">
        <v>6384.11</v>
      </c>
      <c r="I490" s="42">
        <v>0</v>
      </c>
      <c r="J490" s="42">
        <v>1820.96</v>
      </c>
      <c r="K490" s="43">
        <v>21851.48</v>
      </c>
      <c r="L490" s="32">
        <v>23672.44</v>
      </c>
      <c r="M490" s="33"/>
      <c r="N490" s="30">
        <v>21851.48</v>
      </c>
      <c r="O490" s="30">
        <v>15467.37</v>
      </c>
      <c r="P490" s="30"/>
      <c r="Q490" s="30">
        <f>(N490+O490*0.18+J490)+(IF((P490-O490*0.18)&gt;0,(P490-O490*0.18),0))</f>
        <v>26456.566599999998</v>
      </c>
      <c r="R490" s="7"/>
      <c r="S490" s="7"/>
      <c r="T490" s="7"/>
      <c r="U490" s="7"/>
      <c r="V490" s="7"/>
      <c r="W490" s="7"/>
      <c r="X490" s="7"/>
      <c r="Y490" s="7"/>
      <c r="Z490" s="7"/>
    </row>
    <row r="491" spans="1:26" ht="9" customHeight="1" x14ac:dyDescent="0.2">
      <c r="A491" s="534"/>
      <c r="B491" s="534"/>
      <c r="C491" s="34" t="s">
        <v>37</v>
      </c>
      <c r="D491" s="35">
        <v>34</v>
      </c>
      <c r="E491" s="36">
        <v>29949005</v>
      </c>
      <c r="F491" s="36"/>
      <c r="G491" s="36"/>
      <c r="H491" s="36">
        <v>12361361</v>
      </c>
      <c r="I491" s="36">
        <v>0</v>
      </c>
      <c r="J491" s="37">
        <v>3525870</v>
      </c>
      <c r="K491" s="36">
        <v>42310365</v>
      </c>
      <c r="L491" s="38">
        <v>45836235</v>
      </c>
      <c r="M491" s="39"/>
      <c r="N491" s="36">
        <v>42310365</v>
      </c>
      <c r="O491" s="36">
        <v>29949005</v>
      </c>
      <c r="P491" s="36">
        <v>0</v>
      </c>
      <c r="Q491" s="36">
        <f>Q490*1936.27</f>
        <v>51227056.210581996</v>
      </c>
      <c r="R491" s="7"/>
      <c r="S491" s="7"/>
      <c r="T491" s="7"/>
      <c r="U491" s="7"/>
      <c r="V491" s="7"/>
      <c r="W491" s="7"/>
      <c r="X491" s="7"/>
      <c r="Y491" s="7"/>
      <c r="Z491" s="7"/>
    </row>
    <row r="492" spans="1:26" ht="12.75" customHeight="1" x14ac:dyDescent="0.2">
      <c r="A492" s="534"/>
      <c r="B492" s="534"/>
      <c r="C492" s="40" t="s">
        <v>36</v>
      </c>
      <c r="D492" s="41">
        <v>35</v>
      </c>
      <c r="E492" s="42">
        <v>16531.79</v>
      </c>
      <c r="F492" s="42"/>
      <c r="G492" s="42"/>
      <c r="H492" s="42">
        <v>6384.11</v>
      </c>
      <c r="I492" s="42">
        <v>0</v>
      </c>
      <c r="J492" s="42">
        <v>1909.66</v>
      </c>
      <c r="K492" s="43">
        <v>22915.9</v>
      </c>
      <c r="L492" s="32">
        <v>24825.56</v>
      </c>
      <c r="M492" s="33"/>
      <c r="N492" s="30">
        <v>22915.9</v>
      </c>
      <c r="O492" s="30">
        <v>16531.79</v>
      </c>
      <c r="P492" s="30"/>
      <c r="Q492" s="30">
        <f>(N492+O492*0.18+J492)+(IF((P492-O492*0.18)&gt;0,(P492-O492*0.18),0))</f>
        <v>27801.282200000001</v>
      </c>
      <c r="R492" s="7"/>
      <c r="S492" s="7"/>
      <c r="T492" s="7"/>
      <c r="U492" s="7"/>
      <c r="V492" s="7"/>
      <c r="W492" s="7"/>
      <c r="X492" s="7"/>
      <c r="Y492" s="7"/>
      <c r="Z492" s="7"/>
    </row>
    <row r="493" spans="1:26" ht="9" customHeight="1" x14ac:dyDescent="0.2">
      <c r="A493" s="535"/>
      <c r="B493" s="535"/>
      <c r="C493" s="47" t="s">
        <v>37</v>
      </c>
      <c r="D493" s="48"/>
      <c r="E493" s="46">
        <v>32010009</v>
      </c>
      <c r="F493" s="46"/>
      <c r="G493" s="46"/>
      <c r="H493" s="46">
        <v>12361361</v>
      </c>
      <c r="I493" s="46">
        <v>0</v>
      </c>
      <c r="J493" s="49">
        <v>3697617</v>
      </c>
      <c r="K493" s="46">
        <v>44371370</v>
      </c>
      <c r="L493" s="38">
        <v>48068987</v>
      </c>
      <c r="M493" s="39"/>
      <c r="N493" s="36">
        <v>44371370</v>
      </c>
      <c r="O493" s="36">
        <v>32010009</v>
      </c>
      <c r="P493" s="36">
        <v>0</v>
      </c>
      <c r="Q493" s="36">
        <f>Q492*1936.27</f>
        <v>53830788.685394004</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12.75" customHeight="1" x14ac:dyDescent="0.2">
      <c r="A500" s="538">
        <v>36312</v>
      </c>
      <c r="B500" s="538">
        <v>36707</v>
      </c>
      <c r="C500" s="28" t="s">
        <v>36</v>
      </c>
      <c r="D500" s="29">
        <v>0</v>
      </c>
      <c r="E500" s="30">
        <v>9010.11</v>
      </c>
      <c r="F500" s="30"/>
      <c r="G500" s="30"/>
      <c r="H500" s="30">
        <v>6384.11</v>
      </c>
      <c r="I500" s="30">
        <v>0</v>
      </c>
      <c r="J500" s="30">
        <v>1282.8499999999999</v>
      </c>
      <c r="K500" s="31">
        <v>15394.22</v>
      </c>
      <c r="L500" s="32">
        <v>16677.07</v>
      </c>
      <c r="M500" s="33"/>
      <c r="N500" s="30">
        <v>15394.22</v>
      </c>
      <c r="O500" s="30">
        <v>9010.11</v>
      </c>
      <c r="P500" s="30"/>
      <c r="Q500" s="30">
        <f>(N500+O500*0.18+J500)+(IF((P500-O500*0.18)&gt;0,(P500-O500*0.18),0))</f>
        <v>18298.889799999997</v>
      </c>
      <c r="R500" s="7"/>
      <c r="S500" s="7"/>
      <c r="T500" s="7"/>
      <c r="U500" s="7"/>
      <c r="V500" s="7"/>
      <c r="W500" s="7"/>
      <c r="X500" s="7"/>
      <c r="Y500" s="7"/>
      <c r="Z500" s="7"/>
    </row>
    <row r="501" spans="1:26" ht="9" customHeight="1" x14ac:dyDescent="0.2">
      <c r="A501" s="534"/>
      <c r="B501" s="534"/>
      <c r="C501" s="34" t="s">
        <v>37</v>
      </c>
      <c r="D501" s="35">
        <v>2</v>
      </c>
      <c r="E501" s="36">
        <v>17446006</v>
      </c>
      <c r="F501" s="36"/>
      <c r="G501" s="36"/>
      <c r="H501" s="36">
        <v>12361361</v>
      </c>
      <c r="I501" s="36">
        <v>0</v>
      </c>
      <c r="J501" s="37">
        <v>2483944</v>
      </c>
      <c r="K501" s="36">
        <v>29807366</v>
      </c>
      <c r="L501" s="38">
        <v>32291310</v>
      </c>
      <c r="M501" s="39"/>
      <c r="N501" s="36">
        <v>29807366</v>
      </c>
      <c r="O501" s="36">
        <v>17446006</v>
      </c>
      <c r="P501" s="36">
        <v>0</v>
      </c>
      <c r="Q501" s="36">
        <f>Q500*1936.27</f>
        <v>35431591.353045993</v>
      </c>
      <c r="R501" s="7"/>
      <c r="S501" s="7"/>
      <c r="T501" s="7"/>
      <c r="U501" s="7"/>
      <c r="V501" s="7"/>
      <c r="W501" s="7"/>
      <c r="X501" s="7"/>
      <c r="Y501" s="7"/>
      <c r="Z501" s="7"/>
    </row>
    <row r="502" spans="1:26" ht="12.75" customHeight="1" x14ac:dyDescent="0.2">
      <c r="A502" s="539">
        <v>36312</v>
      </c>
      <c r="B502" s="539">
        <v>36707</v>
      </c>
      <c r="C502" s="40" t="s">
        <v>36</v>
      </c>
      <c r="D502" s="41">
        <v>3</v>
      </c>
      <c r="E502" s="42">
        <v>9420.69</v>
      </c>
      <c r="F502" s="42"/>
      <c r="G502" s="42"/>
      <c r="H502" s="42">
        <v>6384.11</v>
      </c>
      <c r="I502" s="42">
        <v>0</v>
      </c>
      <c r="J502" s="42">
        <v>1317.07</v>
      </c>
      <c r="K502" s="43">
        <v>15804.8</v>
      </c>
      <c r="L502" s="32">
        <v>17121.87</v>
      </c>
      <c r="M502" s="33"/>
      <c r="N502" s="30">
        <v>15804.8</v>
      </c>
      <c r="O502" s="30">
        <v>9420.69</v>
      </c>
      <c r="P502" s="30"/>
      <c r="Q502" s="30">
        <f>(N502+O502*0.18+J502)+(IF((P502-O502*0.18)&gt;0,(P502-O502*0.18),0))</f>
        <v>18817.5942</v>
      </c>
      <c r="R502" s="7"/>
      <c r="S502" s="7"/>
      <c r="T502" s="7"/>
      <c r="U502" s="7"/>
      <c r="V502" s="7"/>
      <c r="W502" s="7"/>
      <c r="X502" s="7"/>
      <c r="Y502" s="7"/>
      <c r="Z502" s="7"/>
    </row>
    <row r="503" spans="1:26" ht="9" customHeight="1" x14ac:dyDescent="0.2">
      <c r="A503" s="534"/>
      <c r="B503" s="534"/>
      <c r="C503" s="34" t="s">
        <v>37</v>
      </c>
      <c r="D503" s="35">
        <v>8</v>
      </c>
      <c r="E503" s="36">
        <v>18240999</v>
      </c>
      <c r="F503" s="36"/>
      <c r="G503" s="36"/>
      <c r="H503" s="36">
        <v>12361361</v>
      </c>
      <c r="I503" s="36">
        <v>0</v>
      </c>
      <c r="J503" s="37">
        <v>2550203</v>
      </c>
      <c r="K503" s="36">
        <v>30602360</v>
      </c>
      <c r="L503" s="38">
        <v>33152563</v>
      </c>
      <c r="M503" s="39"/>
      <c r="N503" s="36">
        <v>30602360</v>
      </c>
      <c r="O503" s="36">
        <v>18240999</v>
      </c>
      <c r="P503" s="36">
        <v>0</v>
      </c>
      <c r="Q503" s="36">
        <f>Q502*1936.27</f>
        <v>36435943.121633999</v>
      </c>
      <c r="R503" s="7"/>
      <c r="S503" s="7"/>
      <c r="T503" s="7"/>
      <c r="U503" s="7"/>
      <c r="V503" s="7"/>
      <c r="W503" s="7"/>
      <c r="X503" s="7"/>
      <c r="Y503" s="7"/>
      <c r="Z503" s="7"/>
    </row>
    <row r="504" spans="1:26" ht="12.75" customHeight="1" x14ac:dyDescent="0.2">
      <c r="A504" s="534"/>
      <c r="B504" s="534"/>
      <c r="C504" s="40" t="s">
        <v>36</v>
      </c>
      <c r="D504" s="41">
        <v>9</v>
      </c>
      <c r="E504" s="42">
        <v>10705.64</v>
      </c>
      <c r="F504" s="42"/>
      <c r="G504" s="42"/>
      <c r="H504" s="42">
        <v>6384.11</v>
      </c>
      <c r="I504" s="42">
        <v>0</v>
      </c>
      <c r="J504" s="42">
        <v>1424.15</v>
      </c>
      <c r="K504" s="43">
        <v>17089.75</v>
      </c>
      <c r="L504" s="32">
        <v>18513.900000000001</v>
      </c>
      <c r="M504" s="33"/>
      <c r="N504" s="30">
        <v>17089.75</v>
      </c>
      <c r="O504" s="30">
        <v>10705.64</v>
      </c>
      <c r="P504" s="30"/>
      <c r="Q504" s="30">
        <f>(N504+O504*0.18+J504)+(IF((P504-O504*0.18)&gt;0,(P504-O504*0.18),0))</f>
        <v>20440.915200000003</v>
      </c>
      <c r="R504" s="7"/>
      <c r="S504" s="7"/>
      <c r="T504" s="7"/>
      <c r="U504" s="7"/>
      <c r="V504" s="7"/>
      <c r="W504" s="7"/>
      <c r="X504" s="7"/>
      <c r="Y504" s="7"/>
      <c r="Z504" s="7"/>
    </row>
    <row r="505" spans="1:26" ht="9" customHeight="1" x14ac:dyDescent="0.2">
      <c r="A505" s="534"/>
      <c r="B505" s="534"/>
      <c r="C505" s="34" t="s">
        <v>37</v>
      </c>
      <c r="D505" s="35">
        <v>14</v>
      </c>
      <c r="E505" s="36">
        <v>20729010</v>
      </c>
      <c r="F505" s="36"/>
      <c r="G505" s="36"/>
      <c r="H505" s="36">
        <v>12361361</v>
      </c>
      <c r="I505" s="36">
        <v>0</v>
      </c>
      <c r="J505" s="37">
        <v>2757539</v>
      </c>
      <c r="K505" s="36">
        <v>33090370</v>
      </c>
      <c r="L505" s="38">
        <v>35847909</v>
      </c>
      <c r="M505" s="39"/>
      <c r="N505" s="36">
        <v>33090370</v>
      </c>
      <c r="O505" s="36">
        <v>20729010</v>
      </c>
      <c r="P505" s="36">
        <v>0</v>
      </c>
      <c r="Q505" s="36">
        <f>Q504*1936.27</f>
        <v>39579130.874304004</v>
      </c>
      <c r="R505" s="7"/>
      <c r="S505" s="7"/>
      <c r="T505" s="7"/>
      <c r="U505" s="7"/>
      <c r="V505" s="7"/>
      <c r="W505" s="7"/>
      <c r="X505" s="7"/>
      <c r="Y505" s="7"/>
      <c r="Z505" s="7"/>
    </row>
    <row r="506" spans="1:26" ht="12.75" customHeight="1" x14ac:dyDescent="0.2">
      <c r="A506" s="534"/>
      <c r="B506" s="534"/>
      <c r="C506" s="40" t="s">
        <v>36</v>
      </c>
      <c r="D506" s="41">
        <v>15</v>
      </c>
      <c r="E506" s="42">
        <v>12200.26</v>
      </c>
      <c r="F506" s="42"/>
      <c r="G506" s="42"/>
      <c r="H506" s="42">
        <v>6384.11</v>
      </c>
      <c r="I506" s="42">
        <v>0</v>
      </c>
      <c r="J506" s="42">
        <v>1548.7</v>
      </c>
      <c r="K506" s="43">
        <v>18584.37</v>
      </c>
      <c r="L506" s="32">
        <v>20133.07</v>
      </c>
      <c r="M506" s="33"/>
      <c r="N506" s="30">
        <v>18584.37</v>
      </c>
      <c r="O506" s="30">
        <v>12200.26</v>
      </c>
      <c r="P506" s="30"/>
      <c r="Q506" s="30">
        <f>(N506+O506*0.18+J506)+(IF((P506-O506*0.18)&gt;0,(P506-O506*0.18),0))</f>
        <v>22329.1168</v>
      </c>
      <c r="R506" s="7"/>
      <c r="S506" s="7"/>
      <c r="T506" s="7"/>
      <c r="U506" s="7"/>
      <c r="V506" s="7"/>
      <c r="W506" s="7"/>
      <c r="X506" s="7"/>
      <c r="Y506" s="7"/>
      <c r="Z506" s="7"/>
    </row>
    <row r="507" spans="1:26" ht="9" customHeight="1" x14ac:dyDescent="0.2">
      <c r="A507" s="534"/>
      <c r="B507" s="534"/>
      <c r="C507" s="34" t="s">
        <v>37</v>
      </c>
      <c r="D507" s="35">
        <v>20</v>
      </c>
      <c r="E507" s="36">
        <v>23622997</v>
      </c>
      <c r="F507" s="36"/>
      <c r="G507" s="36"/>
      <c r="H507" s="36">
        <v>12361361</v>
      </c>
      <c r="I507" s="36">
        <v>0</v>
      </c>
      <c r="J507" s="37">
        <v>2998701</v>
      </c>
      <c r="K507" s="36">
        <v>35984358</v>
      </c>
      <c r="L507" s="38">
        <v>38983059</v>
      </c>
      <c r="M507" s="39"/>
      <c r="N507" s="36">
        <v>35984358</v>
      </c>
      <c r="O507" s="36">
        <v>23622997</v>
      </c>
      <c r="P507" s="36">
        <v>0</v>
      </c>
      <c r="Q507" s="36">
        <f>Q506*1936.27</f>
        <v>43235198.986336</v>
      </c>
      <c r="R507" s="7"/>
      <c r="S507" s="7"/>
      <c r="T507" s="7"/>
      <c r="U507" s="7"/>
      <c r="V507" s="7"/>
      <c r="W507" s="7"/>
      <c r="X507" s="7"/>
      <c r="Y507" s="7"/>
      <c r="Z507" s="7"/>
    </row>
    <row r="508" spans="1:26" ht="12.75" customHeight="1" x14ac:dyDescent="0.2">
      <c r="A508" s="534"/>
      <c r="B508" s="534"/>
      <c r="C508" s="40" t="s">
        <v>36</v>
      </c>
      <c r="D508" s="41">
        <v>21</v>
      </c>
      <c r="E508" s="42">
        <v>14366.8</v>
      </c>
      <c r="F508" s="42"/>
      <c r="G508" s="42"/>
      <c r="H508" s="42">
        <v>6384.11</v>
      </c>
      <c r="I508" s="42">
        <v>0</v>
      </c>
      <c r="J508" s="42">
        <v>1729.24</v>
      </c>
      <c r="K508" s="43">
        <v>20750.91</v>
      </c>
      <c r="L508" s="32">
        <v>22480.15</v>
      </c>
      <c r="M508" s="33"/>
      <c r="N508" s="30">
        <v>20750.91</v>
      </c>
      <c r="O508" s="30">
        <v>14366.8</v>
      </c>
      <c r="P508" s="30"/>
      <c r="Q508" s="30">
        <f>(N508+O508*0.18+J508)+(IF((P508-O508*0.18)&gt;0,(P508-O508*0.18),0))</f>
        <v>25066.174000000003</v>
      </c>
      <c r="R508" s="7"/>
      <c r="S508" s="7"/>
      <c r="T508" s="7"/>
      <c r="U508" s="7"/>
      <c r="V508" s="7"/>
      <c r="W508" s="7"/>
      <c r="X508" s="7"/>
      <c r="Y508" s="7"/>
      <c r="Z508" s="7"/>
    </row>
    <row r="509" spans="1:26" ht="9" customHeight="1" x14ac:dyDescent="0.2">
      <c r="A509" s="534"/>
      <c r="B509" s="534"/>
      <c r="C509" s="34" t="s">
        <v>37</v>
      </c>
      <c r="D509" s="35">
        <v>27</v>
      </c>
      <c r="E509" s="36">
        <v>27818004</v>
      </c>
      <c r="F509" s="36"/>
      <c r="G509" s="36"/>
      <c r="H509" s="36">
        <v>12361361</v>
      </c>
      <c r="I509" s="36">
        <v>0</v>
      </c>
      <c r="J509" s="37">
        <v>3348276</v>
      </c>
      <c r="K509" s="36">
        <v>40179365</v>
      </c>
      <c r="L509" s="38">
        <v>43527640</v>
      </c>
      <c r="M509" s="39"/>
      <c r="N509" s="36">
        <v>40179365</v>
      </c>
      <c r="O509" s="36">
        <v>27818004</v>
      </c>
      <c r="P509" s="36">
        <v>0</v>
      </c>
      <c r="Q509" s="36">
        <f>Q508*1936.27</f>
        <v>48534880.730980001</v>
      </c>
      <c r="R509" s="7"/>
      <c r="S509" s="7"/>
      <c r="T509" s="7"/>
      <c r="U509" s="7"/>
      <c r="V509" s="7"/>
      <c r="W509" s="7"/>
      <c r="X509" s="7"/>
      <c r="Y509" s="7"/>
      <c r="Z509" s="7"/>
    </row>
    <row r="510" spans="1:26" ht="12.75" customHeight="1" x14ac:dyDescent="0.2">
      <c r="A510" s="534"/>
      <c r="B510" s="534"/>
      <c r="C510" s="40" t="s">
        <v>36</v>
      </c>
      <c r="D510" s="41">
        <v>28</v>
      </c>
      <c r="E510" s="42">
        <v>15789.64</v>
      </c>
      <c r="F510" s="42"/>
      <c r="G510" s="42"/>
      <c r="H510" s="42">
        <v>6384.11</v>
      </c>
      <c r="I510" s="42">
        <v>0</v>
      </c>
      <c r="J510" s="42">
        <v>1847.81</v>
      </c>
      <c r="K510" s="43">
        <v>22173.75</v>
      </c>
      <c r="L510" s="32">
        <v>24021.56</v>
      </c>
      <c r="M510" s="33"/>
      <c r="N510" s="30">
        <v>22173.75</v>
      </c>
      <c r="O510" s="30">
        <v>15789.64</v>
      </c>
      <c r="P510" s="30"/>
      <c r="Q510" s="30">
        <f>(N510+O510*0.18+J510)+(IF((P510-O510*0.18)&gt;0,(P510-O510*0.18),0))</f>
        <v>26863.695200000002</v>
      </c>
      <c r="R510" s="7"/>
      <c r="S510" s="7"/>
      <c r="T510" s="7"/>
      <c r="U510" s="7"/>
      <c r="V510" s="7"/>
      <c r="W510" s="7"/>
      <c r="X510" s="7"/>
      <c r="Y510" s="7"/>
      <c r="Z510" s="7"/>
    </row>
    <row r="511" spans="1:26" ht="9" customHeight="1" x14ac:dyDescent="0.2">
      <c r="A511" s="534"/>
      <c r="B511" s="534"/>
      <c r="C511" s="34" t="s">
        <v>37</v>
      </c>
      <c r="D511" s="35">
        <v>34</v>
      </c>
      <c r="E511" s="36">
        <v>30573006</v>
      </c>
      <c r="F511" s="36"/>
      <c r="G511" s="36"/>
      <c r="H511" s="36">
        <v>12361361</v>
      </c>
      <c r="I511" s="36">
        <v>0</v>
      </c>
      <c r="J511" s="37">
        <v>3577859</v>
      </c>
      <c r="K511" s="36">
        <v>42934367</v>
      </c>
      <c r="L511" s="38">
        <v>46512226</v>
      </c>
      <c r="M511" s="39"/>
      <c r="N511" s="36">
        <v>42934367</v>
      </c>
      <c r="O511" s="36">
        <v>30573006</v>
      </c>
      <c r="P511" s="36">
        <v>0</v>
      </c>
      <c r="Q511" s="36">
        <f>Q510*1936.27</f>
        <v>52015367.104904003</v>
      </c>
      <c r="R511" s="7"/>
      <c r="S511" s="7"/>
      <c r="T511" s="7"/>
      <c r="U511" s="7"/>
      <c r="V511" s="7"/>
      <c r="W511" s="7"/>
      <c r="X511" s="7"/>
      <c r="Y511" s="7"/>
      <c r="Z511" s="7"/>
    </row>
    <row r="512" spans="1:26" ht="12.75" customHeight="1" x14ac:dyDescent="0.2">
      <c r="A512" s="534"/>
      <c r="B512" s="534"/>
      <c r="C512" s="40" t="s">
        <v>36</v>
      </c>
      <c r="D512" s="41">
        <v>35</v>
      </c>
      <c r="E512" s="42">
        <v>16866.45</v>
      </c>
      <c r="F512" s="42"/>
      <c r="G512" s="42"/>
      <c r="H512" s="42">
        <v>6384.11</v>
      </c>
      <c r="I512" s="42">
        <v>0</v>
      </c>
      <c r="J512" s="42">
        <v>1937.55</v>
      </c>
      <c r="K512" s="43">
        <v>23250.560000000001</v>
      </c>
      <c r="L512" s="32">
        <v>25188.11</v>
      </c>
      <c r="M512" s="33"/>
      <c r="N512" s="30">
        <v>23250.560000000001</v>
      </c>
      <c r="O512" s="30">
        <v>16866.45</v>
      </c>
      <c r="P512" s="30"/>
      <c r="Q512" s="30">
        <f>(N512+O512*0.18+J512)+(IF((P512-O512*0.18)&gt;0,(P512-O512*0.18),0))</f>
        <v>28224.071</v>
      </c>
      <c r="R512" s="7"/>
      <c r="S512" s="7"/>
      <c r="T512" s="7"/>
      <c r="U512" s="7"/>
      <c r="V512" s="7"/>
      <c r="W512" s="7"/>
      <c r="X512" s="7"/>
      <c r="Y512" s="7"/>
      <c r="Z512" s="7"/>
    </row>
    <row r="513" spans="1:26" ht="9" customHeight="1" x14ac:dyDescent="0.2">
      <c r="A513" s="535"/>
      <c r="B513" s="535"/>
      <c r="C513" s="47" t="s">
        <v>37</v>
      </c>
      <c r="D513" s="48"/>
      <c r="E513" s="46">
        <v>32658001</v>
      </c>
      <c r="F513" s="46"/>
      <c r="G513" s="46"/>
      <c r="H513" s="46">
        <v>12361361</v>
      </c>
      <c r="I513" s="46">
        <v>0</v>
      </c>
      <c r="J513" s="49">
        <v>3751620</v>
      </c>
      <c r="K513" s="46">
        <v>45019362</v>
      </c>
      <c r="L513" s="38">
        <v>48770982</v>
      </c>
      <c r="M513" s="39"/>
      <c r="N513" s="36">
        <v>45019362</v>
      </c>
      <c r="O513" s="36">
        <v>32658001</v>
      </c>
      <c r="P513" s="36">
        <v>0</v>
      </c>
      <c r="Q513" s="36">
        <f>Q512*1936.27</f>
        <v>54649421.955169998</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538">
        <v>36708</v>
      </c>
      <c r="B520" s="538">
        <v>36769</v>
      </c>
      <c r="C520" s="28" t="s">
        <v>36</v>
      </c>
      <c r="D520" s="29">
        <v>0</v>
      </c>
      <c r="E520" s="30">
        <v>9196.0300000000007</v>
      </c>
      <c r="F520" s="30"/>
      <c r="G520" s="30"/>
      <c r="H520" s="30">
        <v>6384.11</v>
      </c>
      <c r="I520" s="30">
        <v>0</v>
      </c>
      <c r="J520" s="30">
        <v>1298.3499999999999</v>
      </c>
      <c r="K520" s="31">
        <v>15580.14</v>
      </c>
      <c r="L520" s="32">
        <v>16878.490000000002</v>
      </c>
      <c r="M520" s="33"/>
      <c r="N520" s="30">
        <v>15580.14</v>
      </c>
      <c r="O520" s="30">
        <v>9196.0300000000007</v>
      </c>
      <c r="P520" s="30"/>
      <c r="Q520" s="30">
        <f>(N520+O520*0.18+J520)+(IF((P520-O520*0.18)&gt;0,(P520-O520*0.18),0))</f>
        <v>18533.775399999999</v>
      </c>
      <c r="R520" s="7"/>
      <c r="S520" s="7"/>
      <c r="T520" s="7"/>
      <c r="U520" s="7"/>
      <c r="V520" s="7"/>
      <c r="W520" s="7"/>
      <c r="X520" s="7"/>
      <c r="Y520" s="7"/>
      <c r="Z520" s="7"/>
    </row>
    <row r="521" spans="1:26" ht="9" customHeight="1" x14ac:dyDescent="0.2">
      <c r="A521" s="534"/>
      <c r="B521" s="534"/>
      <c r="C521" s="34" t="s">
        <v>37</v>
      </c>
      <c r="D521" s="35">
        <v>2</v>
      </c>
      <c r="E521" s="36">
        <v>17805997</v>
      </c>
      <c r="F521" s="36"/>
      <c r="G521" s="36"/>
      <c r="H521" s="36">
        <v>12361361</v>
      </c>
      <c r="I521" s="36">
        <v>0</v>
      </c>
      <c r="J521" s="37">
        <v>2513956</v>
      </c>
      <c r="K521" s="36">
        <v>30167358</v>
      </c>
      <c r="L521" s="38">
        <v>32681314</v>
      </c>
      <c r="M521" s="39"/>
      <c r="N521" s="36">
        <v>30167358</v>
      </c>
      <c r="O521" s="36">
        <v>17805997</v>
      </c>
      <c r="P521" s="36">
        <v>0</v>
      </c>
      <c r="Q521" s="36">
        <f>Q520*1936.27</f>
        <v>35886393.293757997</v>
      </c>
      <c r="R521" s="7"/>
      <c r="S521" s="7"/>
      <c r="T521" s="7"/>
      <c r="U521" s="7"/>
      <c r="V521" s="7"/>
      <c r="W521" s="7"/>
      <c r="X521" s="7"/>
      <c r="Y521" s="7"/>
      <c r="Z521" s="7"/>
    </row>
    <row r="522" spans="1:26" ht="12.75" customHeight="1" x14ac:dyDescent="0.2">
      <c r="A522" s="539">
        <v>36708</v>
      </c>
      <c r="B522" s="539">
        <v>36769</v>
      </c>
      <c r="C522" s="40" t="s">
        <v>36</v>
      </c>
      <c r="D522" s="41">
        <v>3</v>
      </c>
      <c r="E522" s="42">
        <v>9612.81</v>
      </c>
      <c r="F522" s="42"/>
      <c r="G522" s="42"/>
      <c r="H522" s="42">
        <v>6384.11</v>
      </c>
      <c r="I522" s="42">
        <v>0</v>
      </c>
      <c r="J522" s="42">
        <v>1333.08</v>
      </c>
      <c r="K522" s="43">
        <v>15996.92</v>
      </c>
      <c r="L522" s="32">
        <v>17330</v>
      </c>
      <c r="M522" s="33"/>
      <c r="N522" s="30">
        <v>15996.92</v>
      </c>
      <c r="O522" s="30">
        <v>9612.81</v>
      </c>
      <c r="P522" s="30"/>
      <c r="Q522" s="30">
        <f>(N522+O522*0.18+J522)+(IF((P522-O522*0.18)&gt;0,(P522-O522*0.18),0))</f>
        <v>19060.305800000002</v>
      </c>
      <c r="R522" s="7"/>
      <c r="S522" s="7"/>
      <c r="T522" s="7"/>
      <c r="U522" s="7"/>
      <c r="V522" s="7"/>
      <c r="W522" s="7"/>
      <c r="X522" s="7"/>
      <c r="Y522" s="7"/>
      <c r="Z522" s="7"/>
    </row>
    <row r="523" spans="1:26" ht="9" customHeight="1" x14ac:dyDescent="0.2">
      <c r="A523" s="534"/>
      <c r="B523" s="534"/>
      <c r="C523" s="34" t="s">
        <v>37</v>
      </c>
      <c r="D523" s="35">
        <v>8</v>
      </c>
      <c r="E523" s="36">
        <v>18612996</v>
      </c>
      <c r="F523" s="36"/>
      <c r="G523" s="36"/>
      <c r="H523" s="36">
        <v>12361361</v>
      </c>
      <c r="I523" s="36">
        <v>0</v>
      </c>
      <c r="J523" s="37">
        <v>2581203</v>
      </c>
      <c r="K523" s="36">
        <v>30974356</v>
      </c>
      <c r="L523" s="38">
        <v>33555559</v>
      </c>
      <c r="M523" s="39"/>
      <c r="N523" s="36">
        <v>30974356</v>
      </c>
      <c r="O523" s="36">
        <v>18612996</v>
      </c>
      <c r="P523" s="36">
        <v>0</v>
      </c>
      <c r="Q523" s="36">
        <f>Q522*1936.27</f>
        <v>36905898.311366007</v>
      </c>
      <c r="R523" s="7"/>
      <c r="S523" s="7"/>
      <c r="T523" s="7"/>
      <c r="U523" s="7"/>
      <c r="V523" s="7"/>
      <c r="W523" s="7"/>
      <c r="X523" s="7"/>
      <c r="Y523" s="7"/>
      <c r="Z523" s="7"/>
    </row>
    <row r="524" spans="1:26" ht="12.75" customHeight="1" x14ac:dyDescent="0.2">
      <c r="A524" s="534"/>
      <c r="B524" s="534"/>
      <c r="C524" s="40" t="s">
        <v>36</v>
      </c>
      <c r="D524" s="41">
        <v>9</v>
      </c>
      <c r="E524" s="42">
        <v>10910.15</v>
      </c>
      <c r="F524" s="42"/>
      <c r="G524" s="42"/>
      <c r="H524" s="42">
        <v>6384.11</v>
      </c>
      <c r="I524" s="42">
        <v>0</v>
      </c>
      <c r="J524" s="42">
        <v>1441.19</v>
      </c>
      <c r="K524" s="43">
        <v>17294.259999999998</v>
      </c>
      <c r="L524" s="32">
        <v>18735.45</v>
      </c>
      <c r="M524" s="33"/>
      <c r="N524" s="30">
        <v>17294.259999999998</v>
      </c>
      <c r="O524" s="30">
        <v>10910.15</v>
      </c>
      <c r="P524" s="30"/>
      <c r="Q524" s="30">
        <f>(N524+O524*0.18+J524)+(IF((P524-O524*0.18)&gt;0,(P524-O524*0.18),0))</f>
        <v>20699.276999999998</v>
      </c>
      <c r="R524" s="7"/>
      <c r="S524" s="7"/>
      <c r="T524" s="7"/>
      <c r="U524" s="7"/>
      <c r="V524" s="7"/>
      <c r="W524" s="7"/>
      <c r="X524" s="7"/>
      <c r="Y524" s="7"/>
      <c r="Z524" s="7"/>
    </row>
    <row r="525" spans="1:26" ht="9" customHeight="1" x14ac:dyDescent="0.2">
      <c r="A525" s="534"/>
      <c r="B525" s="534"/>
      <c r="C525" s="34" t="s">
        <v>37</v>
      </c>
      <c r="D525" s="35">
        <v>14</v>
      </c>
      <c r="E525" s="36">
        <v>21124996</v>
      </c>
      <c r="F525" s="36"/>
      <c r="G525" s="36"/>
      <c r="H525" s="36">
        <v>12361361</v>
      </c>
      <c r="I525" s="36">
        <v>0</v>
      </c>
      <c r="J525" s="37">
        <v>2790533</v>
      </c>
      <c r="K525" s="36">
        <v>33486357</v>
      </c>
      <c r="L525" s="38">
        <v>36276890</v>
      </c>
      <c r="M525" s="39"/>
      <c r="N525" s="36">
        <v>33486357</v>
      </c>
      <c r="O525" s="36">
        <v>21124996</v>
      </c>
      <c r="P525" s="36">
        <v>0</v>
      </c>
      <c r="Q525" s="36">
        <f>Q524*1936.27</f>
        <v>40079389.076789998</v>
      </c>
      <c r="R525" s="7"/>
      <c r="S525" s="7"/>
      <c r="T525" s="7"/>
      <c r="U525" s="7"/>
      <c r="V525" s="7"/>
      <c r="W525" s="7"/>
      <c r="X525" s="7"/>
      <c r="Y525" s="7"/>
      <c r="Z525" s="7"/>
    </row>
    <row r="526" spans="1:26" ht="12.75" customHeight="1" x14ac:dyDescent="0.2">
      <c r="A526" s="534"/>
      <c r="B526" s="534"/>
      <c r="C526" s="40" t="s">
        <v>36</v>
      </c>
      <c r="D526" s="41">
        <v>15</v>
      </c>
      <c r="E526" s="42">
        <v>12423.37</v>
      </c>
      <c r="F526" s="42"/>
      <c r="G526" s="42"/>
      <c r="H526" s="42">
        <v>6384.11</v>
      </c>
      <c r="I526" s="42">
        <v>0</v>
      </c>
      <c r="J526" s="42">
        <v>1567.29</v>
      </c>
      <c r="K526" s="43">
        <v>18807.48</v>
      </c>
      <c r="L526" s="32">
        <v>20374.77</v>
      </c>
      <c r="M526" s="33"/>
      <c r="N526" s="30">
        <v>18807.48</v>
      </c>
      <c r="O526" s="30">
        <v>12423.37</v>
      </c>
      <c r="P526" s="30"/>
      <c r="Q526" s="30">
        <f>(N526+O526*0.18+J526)+(IF((P526-O526*0.18)&gt;0,(P526-O526*0.18),0))</f>
        <v>22610.976600000002</v>
      </c>
      <c r="R526" s="7"/>
      <c r="S526" s="7"/>
      <c r="T526" s="7"/>
      <c r="U526" s="7"/>
      <c r="V526" s="7"/>
      <c r="W526" s="7"/>
      <c r="X526" s="7"/>
      <c r="Y526" s="7"/>
      <c r="Z526" s="7"/>
    </row>
    <row r="527" spans="1:26" ht="9" customHeight="1" x14ac:dyDescent="0.2">
      <c r="A527" s="534"/>
      <c r="B527" s="534"/>
      <c r="C527" s="34" t="s">
        <v>37</v>
      </c>
      <c r="D527" s="35">
        <v>20</v>
      </c>
      <c r="E527" s="36">
        <v>24054999</v>
      </c>
      <c r="F527" s="36"/>
      <c r="G527" s="36"/>
      <c r="H527" s="36">
        <v>12361361</v>
      </c>
      <c r="I527" s="36">
        <v>0</v>
      </c>
      <c r="J527" s="37">
        <v>3034697</v>
      </c>
      <c r="K527" s="36">
        <v>36416359</v>
      </c>
      <c r="L527" s="38">
        <v>39451056</v>
      </c>
      <c r="M527" s="39"/>
      <c r="N527" s="36">
        <v>36416359</v>
      </c>
      <c r="O527" s="36">
        <v>24054999</v>
      </c>
      <c r="P527" s="36">
        <v>0</v>
      </c>
      <c r="Q527" s="36">
        <f>Q526*1936.27</f>
        <v>43780955.661282003</v>
      </c>
      <c r="R527" s="7"/>
      <c r="S527" s="7"/>
      <c r="T527" s="7"/>
      <c r="U527" s="7"/>
      <c r="V527" s="7"/>
      <c r="W527" s="7"/>
      <c r="X527" s="7"/>
      <c r="Y527" s="7"/>
      <c r="Z527" s="7"/>
    </row>
    <row r="528" spans="1:26" ht="12.75" customHeight="1" x14ac:dyDescent="0.2">
      <c r="A528" s="534"/>
      <c r="B528" s="534"/>
      <c r="C528" s="40" t="s">
        <v>36</v>
      </c>
      <c r="D528" s="41">
        <v>21</v>
      </c>
      <c r="E528" s="42">
        <v>14614.7</v>
      </c>
      <c r="F528" s="42"/>
      <c r="G528" s="42"/>
      <c r="H528" s="42">
        <v>6384.11</v>
      </c>
      <c r="I528" s="42">
        <v>0</v>
      </c>
      <c r="J528" s="42">
        <v>1749.9</v>
      </c>
      <c r="K528" s="43">
        <v>20998.81</v>
      </c>
      <c r="L528" s="32">
        <v>22748.71</v>
      </c>
      <c r="M528" s="33"/>
      <c r="N528" s="30">
        <v>20998.81</v>
      </c>
      <c r="O528" s="30">
        <v>14614.7</v>
      </c>
      <c r="P528" s="30"/>
      <c r="Q528" s="30">
        <f>(N528+O528*0.18+J528)+(IF((P528-O528*0.18)&gt;0,(P528-O528*0.18),0))</f>
        <v>25379.356000000003</v>
      </c>
      <c r="R528" s="7"/>
      <c r="S528" s="7"/>
      <c r="T528" s="7"/>
      <c r="U528" s="7"/>
      <c r="V528" s="7"/>
      <c r="W528" s="7"/>
      <c r="X528" s="7"/>
      <c r="Y528" s="7"/>
      <c r="Z528" s="7"/>
    </row>
    <row r="529" spans="1:26" ht="9" customHeight="1" x14ac:dyDescent="0.2">
      <c r="A529" s="534"/>
      <c r="B529" s="534"/>
      <c r="C529" s="34" t="s">
        <v>37</v>
      </c>
      <c r="D529" s="35">
        <v>27</v>
      </c>
      <c r="E529" s="36">
        <v>28298005</v>
      </c>
      <c r="F529" s="36"/>
      <c r="G529" s="36"/>
      <c r="H529" s="36">
        <v>12361361</v>
      </c>
      <c r="I529" s="36">
        <v>0</v>
      </c>
      <c r="J529" s="37">
        <v>3388279</v>
      </c>
      <c r="K529" s="36">
        <v>40659366</v>
      </c>
      <c r="L529" s="38">
        <v>44047645</v>
      </c>
      <c r="M529" s="39"/>
      <c r="N529" s="36">
        <v>40659366</v>
      </c>
      <c r="O529" s="36">
        <v>28298005</v>
      </c>
      <c r="P529" s="36">
        <v>0</v>
      </c>
      <c r="Q529" s="36">
        <f>Q528*1936.27</f>
        <v>49141285.642120004</v>
      </c>
      <c r="R529" s="7"/>
      <c r="S529" s="7"/>
      <c r="T529" s="7"/>
      <c r="U529" s="7"/>
      <c r="V529" s="7"/>
      <c r="W529" s="7"/>
      <c r="X529" s="7"/>
      <c r="Y529" s="7"/>
      <c r="Z529" s="7"/>
    </row>
    <row r="530" spans="1:26" ht="12.75" customHeight="1" x14ac:dyDescent="0.2">
      <c r="A530" s="534"/>
      <c r="B530" s="534"/>
      <c r="C530" s="40" t="s">
        <v>36</v>
      </c>
      <c r="D530" s="41">
        <v>28</v>
      </c>
      <c r="E530" s="42">
        <v>16056.13</v>
      </c>
      <c r="F530" s="42"/>
      <c r="G530" s="42"/>
      <c r="H530" s="42">
        <v>6384.11</v>
      </c>
      <c r="I530" s="42">
        <v>0</v>
      </c>
      <c r="J530" s="42">
        <v>1870.02</v>
      </c>
      <c r="K530" s="43">
        <v>22440.240000000002</v>
      </c>
      <c r="L530" s="32">
        <v>24310.26</v>
      </c>
      <c r="M530" s="33"/>
      <c r="N530" s="30">
        <v>22440.240000000002</v>
      </c>
      <c r="O530" s="30">
        <v>16056.13</v>
      </c>
      <c r="P530" s="30"/>
      <c r="Q530" s="30">
        <f>(N530+O530*0.18+J530)+(IF((P530-O530*0.18)&gt;0,(P530-O530*0.18),0))</f>
        <v>27200.363400000002</v>
      </c>
      <c r="R530" s="7"/>
      <c r="S530" s="7"/>
      <c r="T530" s="7"/>
      <c r="U530" s="7"/>
      <c r="V530" s="7"/>
      <c r="W530" s="7"/>
      <c r="X530" s="7"/>
      <c r="Y530" s="7"/>
      <c r="Z530" s="7"/>
    </row>
    <row r="531" spans="1:26" ht="9" customHeight="1" x14ac:dyDescent="0.2">
      <c r="A531" s="534"/>
      <c r="B531" s="534"/>
      <c r="C531" s="34" t="s">
        <v>37</v>
      </c>
      <c r="D531" s="35">
        <v>34</v>
      </c>
      <c r="E531" s="36">
        <v>31089003</v>
      </c>
      <c r="F531" s="36"/>
      <c r="G531" s="36"/>
      <c r="H531" s="36">
        <v>12361361</v>
      </c>
      <c r="I531" s="36">
        <v>0</v>
      </c>
      <c r="J531" s="37">
        <v>3620864</v>
      </c>
      <c r="K531" s="36">
        <v>43450364</v>
      </c>
      <c r="L531" s="38">
        <v>47071227</v>
      </c>
      <c r="M531" s="39"/>
      <c r="N531" s="36">
        <v>43450364</v>
      </c>
      <c r="O531" s="36">
        <v>31089003</v>
      </c>
      <c r="P531" s="36">
        <v>0</v>
      </c>
      <c r="Q531" s="36">
        <f>Q530*1936.27</f>
        <v>52667247.640518002</v>
      </c>
      <c r="R531" s="7"/>
      <c r="S531" s="7"/>
      <c r="T531" s="7"/>
      <c r="U531" s="7"/>
      <c r="V531" s="7"/>
      <c r="W531" s="7"/>
      <c r="X531" s="7"/>
      <c r="Y531" s="7"/>
      <c r="Z531" s="7"/>
    </row>
    <row r="532" spans="1:26" ht="12.75" customHeight="1" x14ac:dyDescent="0.2">
      <c r="A532" s="534"/>
      <c r="B532" s="534"/>
      <c r="C532" s="40" t="s">
        <v>36</v>
      </c>
      <c r="D532" s="41">
        <v>35</v>
      </c>
      <c r="E532" s="42">
        <v>17145.34</v>
      </c>
      <c r="F532" s="42"/>
      <c r="G532" s="42"/>
      <c r="H532" s="42">
        <v>6384.11</v>
      </c>
      <c r="I532" s="42">
        <v>0</v>
      </c>
      <c r="J532" s="42">
        <v>1960.79</v>
      </c>
      <c r="K532" s="43">
        <v>23529.45</v>
      </c>
      <c r="L532" s="32">
        <v>25490.240000000002</v>
      </c>
      <c r="M532" s="33"/>
      <c r="N532" s="30">
        <v>23529.45</v>
      </c>
      <c r="O532" s="30">
        <v>17145.34</v>
      </c>
      <c r="P532" s="30"/>
      <c r="Q532" s="30">
        <f>(N532+O532*0.18+J532)+(IF((P532-O532*0.18)&gt;0,(P532-O532*0.18),0))</f>
        <v>28576.4012</v>
      </c>
      <c r="R532" s="7"/>
      <c r="S532" s="7"/>
      <c r="T532" s="7"/>
      <c r="U532" s="7"/>
      <c r="V532" s="7"/>
      <c r="W532" s="7"/>
      <c r="X532" s="7"/>
      <c r="Y532" s="7"/>
      <c r="Z532" s="7"/>
    </row>
    <row r="533" spans="1:26" ht="9" customHeight="1" x14ac:dyDescent="0.2">
      <c r="A533" s="535"/>
      <c r="B533" s="535"/>
      <c r="C533" s="47" t="s">
        <v>37</v>
      </c>
      <c r="D533" s="48"/>
      <c r="E533" s="46">
        <v>33198007</v>
      </c>
      <c r="F533" s="46"/>
      <c r="G533" s="46"/>
      <c r="H533" s="46">
        <v>12361361</v>
      </c>
      <c r="I533" s="46">
        <v>0</v>
      </c>
      <c r="J533" s="49">
        <v>3796619</v>
      </c>
      <c r="K533" s="46">
        <v>45559368</v>
      </c>
      <c r="L533" s="38">
        <v>49355987</v>
      </c>
      <c r="M533" s="39"/>
      <c r="N533" s="36">
        <v>45559368</v>
      </c>
      <c r="O533" s="36">
        <v>33198007</v>
      </c>
      <c r="P533" s="36">
        <v>0</v>
      </c>
      <c r="Q533" s="36">
        <f>Q532*1936.27</f>
        <v>55331628.351524003</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538">
        <v>36770</v>
      </c>
      <c r="B540" s="538">
        <v>36891</v>
      </c>
      <c r="C540" s="28" t="s">
        <v>36</v>
      </c>
      <c r="D540" s="29">
        <v>0</v>
      </c>
      <c r="E540" s="30">
        <v>9196.0300000000007</v>
      </c>
      <c r="F540" s="30"/>
      <c r="G540" s="30"/>
      <c r="H540" s="30">
        <v>6384.11</v>
      </c>
      <c r="I540" s="30">
        <v>0</v>
      </c>
      <c r="J540" s="30">
        <v>1298.3499999999999</v>
      </c>
      <c r="K540" s="31">
        <v>15580.14</v>
      </c>
      <c r="L540" s="32">
        <v>16878.490000000002</v>
      </c>
      <c r="M540" s="33"/>
      <c r="N540" s="30">
        <v>15580.14</v>
      </c>
      <c r="O540" s="30">
        <v>9196.0300000000007</v>
      </c>
      <c r="P540" s="30"/>
      <c r="Q540" s="30">
        <f>(N540+O540*0.18+J540)+(IF((P540-O540*0.18)&gt;0,(P540-O540*0.18),0))</f>
        <v>18533.775399999999</v>
      </c>
      <c r="R540" s="7"/>
      <c r="S540" s="7"/>
      <c r="T540" s="7"/>
      <c r="U540" s="7"/>
      <c r="V540" s="7"/>
      <c r="W540" s="7"/>
      <c r="X540" s="7"/>
      <c r="Y540" s="7"/>
      <c r="Z540" s="7"/>
    </row>
    <row r="541" spans="1:26" ht="9" customHeight="1" x14ac:dyDescent="0.2">
      <c r="A541" s="534"/>
      <c r="B541" s="534"/>
      <c r="C541" s="34" t="s">
        <v>37</v>
      </c>
      <c r="D541" s="35">
        <v>2</v>
      </c>
      <c r="E541" s="36">
        <v>17805997</v>
      </c>
      <c r="F541" s="36"/>
      <c r="G541" s="36"/>
      <c r="H541" s="36">
        <v>12361361</v>
      </c>
      <c r="I541" s="36">
        <v>0</v>
      </c>
      <c r="J541" s="37">
        <v>2513956</v>
      </c>
      <c r="K541" s="36">
        <v>30167358</v>
      </c>
      <c r="L541" s="38">
        <v>32681314</v>
      </c>
      <c r="M541" s="39"/>
      <c r="N541" s="36">
        <v>30167358</v>
      </c>
      <c r="O541" s="36">
        <v>17805997</v>
      </c>
      <c r="P541" s="36">
        <v>0</v>
      </c>
      <c r="Q541" s="36">
        <f>Q540*1936.27</f>
        <v>35886393.293757997</v>
      </c>
      <c r="R541" s="7"/>
      <c r="S541" s="7"/>
      <c r="T541" s="7"/>
      <c r="U541" s="7"/>
      <c r="V541" s="7"/>
      <c r="W541" s="7"/>
      <c r="X541" s="7"/>
      <c r="Y541" s="7"/>
      <c r="Z541" s="7"/>
    </row>
    <row r="542" spans="1:26" ht="12.75" customHeight="1" x14ac:dyDescent="0.2">
      <c r="A542" s="539">
        <v>36770</v>
      </c>
      <c r="B542" s="539">
        <v>36891</v>
      </c>
      <c r="C542" s="40" t="s">
        <v>36</v>
      </c>
      <c r="D542" s="41">
        <v>3</v>
      </c>
      <c r="E542" s="42">
        <v>9612.81</v>
      </c>
      <c r="F542" s="42"/>
      <c r="G542" s="42"/>
      <c r="H542" s="42">
        <v>6384.11</v>
      </c>
      <c r="I542" s="42">
        <v>0</v>
      </c>
      <c r="J542" s="42">
        <v>1333.08</v>
      </c>
      <c r="K542" s="43">
        <v>15996.92</v>
      </c>
      <c r="L542" s="32">
        <v>17330</v>
      </c>
      <c r="M542" s="33"/>
      <c r="N542" s="30">
        <v>15996.92</v>
      </c>
      <c r="O542" s="30">
        <v>9612.81</v>
      </c>
      <c r="P542" s="30"/>
      <c r="Q542" s="30">
        <f>(N542+O542*0.18+J542)+(IF((P542-O542*0.18)&gt;0,(P542-O542*0.18),0))</f>
        <v>19060.305800000002</v>
      </c>
      <c r="R542" s="7"/>
      <c r="S542" s="7"/>
      <c r="T542" s="7"/>
      <c r="U542" s="7"/>
      <c r="V542" s="7"/>
      <c r="W542" s="7"/>
      <c r="X542" s="7"/>
      <c r="Y542" s="7"/>
      <c r="Z542" s="7"/>
    </row>
    <row r="543" spans="1:26" ht="9" customHeight="1" x14ac:dyDescent="0.2">
      <c r="A543" s="534"/>
      <c r="B543" s="534"/>
      <c r="C543" s="34" t="s">
        <v>37</v>
      </c>
      <c r="D543" s="35">
        <v>8</v>
      </c>
      <c r="E543" s="36">
        <v>18612996</v>
      </c>
      <c r="F543" s="36"/>
      <c r="G543" s="36"/>
      <c r="H543" s="36">
        <v>12361361</v>
      </c>
      <c r="I543" s="36">
        <v>0</v>
      </c>
      <c r="J543" s="37">
        <v>2581203</v>
      </c>
      <c r="K543" s="36">
        <v>30974356</v>
      </c>
      <c r="L543" s="38">
        <v>33555559</v>
      </c>
      <c r="M543" s="39"/>
      <c r="N543" s="36">
        <v>30974356</v>
      </c>
      <c r="O543" s="36">
        <v>18612996</v>
      </c>
      <c r="P543" s="36">
        <v>0</v>
      </c>
      <c r="Q543" s="36">
        <f>Q542*1936.27</f>
        <v>36905898.311366007</v>
      </c>
      <c r="R543" s="7"/>
      <c r="S543" s="7"/>
      <c r="T543" s="7"/>
      <c r="U543" s="7"/>
      <c r="V543" s="7"/>
      <c r="W543" s="7"/>
      <c r="X543" s="7"/>
      <c r="Y543" s="7"/>
      <c r="Z543" s="7"/>
    </row>
    <row r="544" spans="1:26" ht="12.75" customHeight="1" x14ac:dyDescent="0.2">
      <c r="A544" s="534"/>
      <c r="B544" s="534"/>
      <c r="C544" s="40" t="s">
        <v>36</v>
      </c>
      <c r="D544" s="41">
        <v>9</v>
      </c>
      <c r="E544" s="42">
        <v>10910.15</v>
      </c>
      <c r="F544" s="42"/>
      <c r="G544" s="42"/>
      <c r="H544" s="42">
        <v>6384.11</v>
      </c>
      <c r="I544" s="42">
        <v>0</v>
      </c>
      <c r="J544" s="42">
        <v>1441.19</v>
      </c>
      <c r="K544" s="43">
        <v>17294.259999999998</v>
      </c>
      <c r="L544" s="32">
        <v>18735.45</v>
      </c>
      <c r="M544" s="33"/>
      <c r="N544" s="30">
        <v>17294.259999999998</v>
      </c>
      <c r="O544" s="30">
        <v>10910.15</v>
      </c>
      <c r="P544" s="30"/>
      <c r="Q544" s="30">
        <f>(N544+O544*0.18+J544)+(IF((P544-O544*0.18)&gt;0,(P544-O544*0.18),0))</f>
        <v>20699.276999999998</v>
      </c>
      <c r="R544" s="7"/>
      <c r="S544" s="7"/>
      <c r="T544" s="7"/>
      <c r="U544" s="7"/>
      <c r="V544" s="7"/>
      <c r="W544" s="7"/>
      <c r="X544" s="7"/>
      <c r="Y544" s="7"/>
      <c r="Z544" s="7"/>
    </row>
    <row r="545" spans="1:26" ht="9" customHeight="1" x14ac:dyDescent="0.2">
      <c r="A545" s="534"/>
      <c r="B545" s="534"/>
      <c r="C545" s="34" t="s">
        <v>37</v>
      </c>
      <c r="D545" s="35">
        <v>14</v>
      </c>
      <c r="E545" s="36">
        <v>21124996</v>
      </c>
      <c r="F545" s="36"/>
      <c r="G545" s="36"/>
      <c r="H545" s="36">
        <v>12361361</v>
      </c>
      <c r="I545" s="36">
        <v>0</v>
      </c>
      <c r="J545" s="37">
        <v>2790533</v>
      </c>
      <c r="K545" s="36">
        <v>33486357</v>
      </c>
      <c r="L545" s="38">
        <v>36276890</v>
      </c>
      <c r="M545" s="39"/>
      <c r="N545" s="36">
        <v>33486357</v>
      </c>
      <c r="O545" s="36">
        <v>21124996</v>
      </c>
      <c r="P545" s="36">
        <v>0</v>
      </c>
      <c r="Q545" s="36">
        <f>Q544*1936.27</f>
        <v>40079389.076789998</v>
      </c>
      <c r="R545" s="7"/>
      <c r="S545" s="7"/>
      <c r="T545" s="7"/>
      <c r="U545" s="7"/>
      <c r="V545" s="7"/>
      <c r="W545" s="7"/>
      <c r="X545" s="7"/>
      <c r="Y545" s="7"/>
      <c r="Z545" s="7"/>
    </row>
    <row r="546" spans="1:26" ht="12.75" customHeight="1" x14ac:dyDescent="0.2">
      <c r="A546" s="534"/>
      <c r="B546" s="534"/>
      <c r="C546" s="40" t="s">
        <v>36</v>
      </c>
      <c r="D546" s="41">
        <v>15</v>
      </c>
      <c r="E546" s="42">
        <v>12423.37</v>
      </c>
      <c r="F546" s="42"/>
      <c r="G546" s="42"/>
      <c r="H546" s="42">
        <v>6384.11</v>
      </c>
      <c r="I546" s="42">
        <v>0</v>
      </c>
      <c r="J546" s="42">
        <v>1567.29</v>
      </c>
      <c r="K546" s="43">
        <v>18807.48</v>
      </c>
      <c r="L546" s="32">
        <v>20374.77</v>
      </c>
      <c r="M546" s="33"/>
      <c r="N546" s="30">
        <v>18807.48</v>
      </c>
      <c r="O546" s="30">
        <v>12423.37</v>
      </c>
      <c r="P546" s="30"/>
      <c r="Q546" s="30">
        <f>(N546+O546*0.18+J546)+(IF((P546-O546*0.18)&gt;0,(P546-O546*0.18),0))</f>
        <v>22610.976600000002</v>
      </c>
      <c r="R546" s="7"/>
      <c r="S546" s="7"/>
      <c r="T546" s="7"/>
      <c r="U546" s="7"/>
      <c r="V546" s="7"/>
      <c r="W546" s="7"/>
      <c r="X546" s="7"/>
      <c r="Y546" s="7"/>
      <c r="Z546" s="7"/>
    </row>
    <row r="547" spans="1:26" ht="9" customHeight="1" x14ac:dyDescent="0.2">
      <c r="A547" s="534"/>
      <c r="B547" s="534"/>
      <c r="C547" s="34" t="s">
        <v>37</v>
      </c>
      <c r="D547" s="35">
        <v>20</v>
      </c>
      <c r="E547" s="36">
        <v>24054999</v>
      </c>
      <c r="F547" s="36"/>
      <c r="G547" s="36"/>
      <c r="H547" s="36">
        <v>12361361</v>
      </c>
      <c r="I547" s="36">
        <v>0</v>
      </c>
      <c r="J547" s="37">
        <v>3034697</v>
      </c>
      <c r="K547" s="36">
        <v>36416359</v>
      </c>
      <c r="L547" s="38">
        <v>39451056</v>
      </c>
      <c r="M547" s="39"/>
      <c r="N547" s="36">
        <v>36416359</v>
      </c>
      <c r="O547" s="36">
        <v>24054999</v>
      </c>
      <c r="P547" s="36">
        <v>0</v>
      </c>
      <c r="Q547" s="36">
        <f>Q546*1936.27</f>
        <v>43780955.661282003</v>
      </c>
      <c r="R547" s="7"/>
      <c r="S547" s="7"/>
      <c r="T547" s="7"/>
      <c r="U547" s="7"/>
      <c r="V547" s="7"/>
      <c r="W547" s="7"/>
      <c r="X547" s="7"/>
      <c r="Y547" s="7"/>
      <c r="Z547" s="7"/>
    </row>
    <row r="548" spans="1:26" ht="12.75" customHeight="1" x14ac:dyDescent="0.2">
      <c r="A548" s="534"/>
      <c r="B548" s="534"/>
      <c r="C548" s="40" t="s">
        <v>36</v>
      </c>
      <c r="D548" s="41">
        <v>21</v>
      </c>
      <c r="E548" s="42">
        <v>14614.7</v>
      </c>
      <c r="F548" s="42"/>
      <c r="G548" s="42"/>
      <c r="H548" s="42">
        <v>6384.11</v>
      </c>
      <c r="I548" s="42">
        <v>0</v>
      </c>
      <c r="J548" s="42">
        <v>1749.9</v>
      </c>
      <c r="K548" s="43">
        <v>20998.81</v>
      </c>
      <c r="L548" s="32">
        <v>22748.71</v>
      </c>
      <c r="M548" s="33"/>
      <c r="N548" s="30">
        <v>20998.81</v>
      </c>
      <c r="O548" s="30">
        <v>14614.7</v>
      </c>
      <c r="P548" s="30"/>
      <c r="Q548" s="30">
        <f>(N548+O548*0.18+J548)+(IF((P548-O548*0.18)&gt;0,(P548-O548*0.18),0))</f>
        <v>25379.356000000003</v>
      </c>
      <c r="R548" s="7"/>
      <c r="S548" s="7"/>
      <c r="T548" s="7"/>
      <c r="U548" s="7"/>
      <c r="V548" s="7"/>
      <c r="W548" s="7"/>
      <c r="X548" s="7"/>
      <c r="Y548" s="7"/>
      <c r="Z548" s="7"/>
    </row>
    <row r="549" spans="1:26" ht="9" customHeight="1" x14ac:dyDescent="0.2">
      <c r="A549" s="534"/>
      <c r="B549" s="534"/>
      <c r="C549" s="34" t="s">
        <v>37</v>
      </c>
      <c r="D549" s="35">
        <v>27</v>
      </c>
      <c r="E549" s="36">
        <v>28298005</v>
      </c>
      <c r="F549" s="36"/>
      <c r="G549" s="36"/>
      <c r="H549" s="36">
        <v>12361361</v>
      </c>
      <c r="I549" s="36">
        <v>0</v>
      </c>
      <c r="J549" s="37">
        <v>3388279</v>
      </c>
      <c r="K549" s="36">
        <v>40659366</v>
      </c>
      <c r="L549" s="38">
        <v>44047645</v>
      </c>
      <c r="M549" s="39"/>
      <c r="N549" s="36">
        <v>40659366</v>
      </c>
      <c r="O549" s="36">
        <v>28298005</v>
      </c>
      <c r="P549" s="36">
        <v>0</v>
      </c>
      <c r="Q549" s="36">
        <f>Q548*1936.27</f>
        <v>49141285.642120004</v>
      </c>
      <c r="R549" s="7"/>
      <c r="S549" s="7"/>
      <c r="T549" s="7"/>
      <c r="U549" s="7"/>
      <c r="V549" s="7"/>
      <c r="W549" s="7"/>
      <c r="X549" s="7"/>
      <c r="Y549" s="7"/>
      <c r="Z549" s="7"/>
    </row>
    <row r="550" spans="1:26" ht="12.75" customHeight="1" x14ac:dyDescent="0.2">
      <c r="A550" s="534"/>
      <c r="B550" s="534"/>
      <c r="C550" s="40" t="s">
        <v>36</v>
      </c>
      <c r="D550" s="41">
        <v>28</v>
      </c>
      <c r="E550" s="42">
        <v>16056.13</v>
      </c>
      <c r="F550" s="42"/>
      <c r="G550" s="42"/>
      <c r="H550" s="42">
        <v>6384.11</v>
      </c>
      <c r="I550" s="42">
        <v>0</v>
      </c>
      <c r="J550" s="42">
        <v>1870.02</v>
      </c>
      <c r="K550" s="43">
        <v>22440.240000000002</v>
      </c>
      <c r="L550" s="32">
        <v>24310.26</v>
      </c>
      <c r="M550" s="33"/>
      <c r="N550" s="30">
        <v>22440.240000000002</v>
      </c>
      <c r="O550" s="30">
        <v>16056.13</v>
      </c>
      <c r="P550" s="30"/>
      <c r="Q550" s="30">
        <f>(N550+O550*0.18+J550)+(IF((P550-O550*0.18)&gt;0,(P550-O550*0.18),0))</f>
        <v>27200.363400000002</v>
      </c>
      <c r="R550" s="7"/>
      <c r="S550" s="7"/>
      <c r="T550" s="7"/>
      <c r="U550" s="7"/>
      <c r="V550" s="7"/>
      <c r="W550" s="7"/>
      <c r="X550" s="7"/>
      <c r="Y550" s="7"/>
      <c r="Z550" s="7"/>
    </row>
    <row r="551" spans="1:26" ht="9" customHeight="1" x14ac:dyDescent="0.2">
      <c r="A551" s="534"/>
      <c r="B551" s="534"/>
      <c r="C551" s="34" t="s">
        <v>37</v>
      </c>
      <c r="D551" s="35">
        <v>34</v>
      </c>
      <c r="E551" s="36">
        <v>31089003</v>
      </c>
      <c r="F551" s="36"/>
      <c r="G551" s="36"/>
      <c r="H551" s="36">
        <v>12361361</v>
      </c>
      <c r="I551" s="36">
        <v>0</v>
      </c>
      <c r="J551" s="37">
        <v>3620864</v>
      </c>
      <c r="K551" s="36">
        <v>43450364</v>
      </c>
      <c r="L551" s="38">
        <v>47071227</v>
      </c>
      <c r="M551" s="39"/>
      <c r="N551" s="36">
        <v>43450364</v>
      </c>
      <c r="O551" s="36">
        <v>31089003</v>
      </c>
      <c r="P551" s="36">
        <v>0</v>
      </c>
      <c r="Q551" s="36">
        <f>Q550*1936.27</f>
        <v>52667247.640518002</v>
      </c>
      <c r="R551" s="7"/>
      <c r="S551" s="7"/>
      <c r="T551" s="7"/>
      <c r="U551" s="7"/>
      <c r="V551" s="7"/>
      <c r="W551" s="7"/>
      <c r="X551" s="7"/>
      <c r="Y551" s="7"/>
      <c r="Z551" s="7"/>
    </row>
    <row r="552" spans="1:26" ht="12.75" customHeight="1" x14ac:dyDescent="0.2">
      <c r="A552" s="534"/>
      <c r="B552" s="534"/>
      <c r="C552" s="40" t="s">
        <v>36</v>
      </c>
      <c r="D552" s="41">
        <v>35</v>
      </c>
      <c r="E552" s="42">
        <v>17145.34</v>
      </c>
      <c r="F552" s="42"/>
      <c r="G552" s="42"/>
      <c r="H552" s="42">
        <v>6384.11</v>
      </c>
      <c r="I552" s="42">
        <v>0</v>
      </c>
      <c r="J552" s="42">
        <v>1960.79</v>
      </c>
      <c r="K552" s="43">
        <v>23529.45</v>
      </c>
      <c r="L552" s="32">
        <v>25490.240000000002</v>
      </c>
      <c r="M552" s="33"/>
      <c r="N552" s="30">
        <v>23529.45</v>
      </c>
      <c r="O552" s="30">
        <v>17145.34</v>
      </c>
      <c r="P552" s="30"/>
      <c r="Q552" s="30">
        <f>(N552+O552*0.18+J552)+(IF((P552-O552*0.18)&gt;0,(P552-O552*0.18),0))</f>
        <v>28576.4012</v>
      </c>
      <c r="R552" s="7"/>
      <c r="S552" s="7"/>
      <c r="T552" s="7"/>
      <c r="U552" s="7"/>
      <c r="V552" s="7"/>
      <c r="W552" s="7"/>
      <c r="X552" s="7"/>
      <c r="Y552" s="7"/>
      <c r="Z552" s="7"/>
    </row>
    <row r="553" spans="1:26" ht="9" customHeight="1" x14ac:dyDescent="0.2">
      <c r="A553" s="535"/>
      <c r="B553" s="535"/>
      <c r="C553" s="47" t="s">
        <v>37</v>
      </c>
      <c r="D553" s="48"/>
      <c r="E553" s="46">
        <v>33198007</v>
      </c>
      <c r="F553" s="46"/>
      <c r="G553" s="46"/>
      <c r="H553" s="46">
        <v>12361361</v>
      </c>
      <c r="I553" s="46">
        <v>0</v>
      </c>
      <c r="J553" s="49">
        <v>3796619</v>
      </c>
      <c r="K553" s="46">
        <v>45559368</v>
      </c>
      <c r="L553" s="38">
        <v>49355987</v>
      </c>
      <c r="M553" s="39"/>
      <c r="N553" s="36">
        <v>45559368</v>
      </c>
      <c r="O553" s="36">
        <v>33198007</v>
      </c>
      <c r="P553" s="36">
        <v>0</v>
      </c>
      <c r="Q553" s="36">
        <f>Q552*1936.27</f>
        <v>55331628.351524003</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538">
        <v>36892</v>
      </c>
      <c r="B560" s="538">
        <v>37256</v>
      </c>
      <c r="C560" s="28" t="s">
        <v>36</v>
      </c>
      <c r="D560" s="29">
        <v>0</v>
      </c>
      <c r="E560" s="30">
        <v>9505.91</v>
      </c>
      <c r="F560" s="30"/>
      <c r="G560" s="30"/>
      <c r="H560" s="30">
        <v>6384.11</v>
      </c>
      <c r="I560" s="30">
        <v>0</v>
      </c>
      <c r="J560" s="30">
        <v>1324.17</v>
      </c>
      <c r="K560" s="31">
        <v>15890.02</v>
      </c>
      <c r="L560" s="32">
        <v>17214.189999999999</v>
      </c>
      <c r="M560" s="33"/>
      <c r="N560" s="30">
        <v>15890.02</v>
      </c>
      <c r="O560" s="30">
        <v>9505.91</v>
      </c>
      <c r="P560" s="30">
        <v>1338.6</v>
      </c>
      <c r="Q560" s="30">
        <f>(N560+O560*0.18+J560)+(IF((P560-O560*0.18)&gt;0,(P560-O560*0.18),0))</f>
        <v>18925.253799999999</v>
      </c>
      <c r="R560" s="7"/>
      <c r="S560" s="7"/>
      <c r="T560" s="7"/>
      <c r="U560" s="7"/>
      <c r="V560" s="7"/>
      <c r="W560" s="7"/>
      <c r="X560" s="7"/>
      <c r="Y560" s="7"/>
      <c r="Z560" s="7"/>
    </row>
    <row r="561" spans="1:26" ht="9" customHeight="1" x14ac:dyDescent="0.2">
      <c r="A561" s="534"/>
      <c r="B561" s="534"/>
      <c r="C561" s="34" t="s">
        <v>37</v>
      </c>
      <c r="D561" s="35">
        <v>2</v>
      </c>
      <c r="E561" s="36">
        <v>18406008</v>
      </c>
      <c r="F561" s="36"/>
      <c r="G561" s="36"/>
      <c r="H561" s="36">
        <v>12361361</v>
      </c>
      <c r="I561" s="36">
        <v>0</v>
      </c>
      <c r="J561" s="37">
        <v>2563951</v>
      </c>
      <c r="K561" s="36">
        <v>30767369</v>
      </c>
      <c r="L561" s="38">
        <v>33331320</v>
      </c>
      <c r="M561" s="39"/>
      <c r="N561" s="36">
        <v>30767369</v>
      </c>
      <c r="O561" s="36">
        <v>18406008</v>
      </c>
      <c r="P561" s="36">
        <v>2591891</v>
      </c>
      <c r="Q561" s="36">
        <f>Q560*1936.27</f>
        <v>36644401.175325997</v>
      </c>
      <c r="R561" s="7"/>
      <c r="S561" s="7"/>
      <c r="T561" s="7"/>
      <c r="U561" s="7"/>
      <c r="V561" s="7"/>
      <c r="W561" s="7"/>
      <c r="X561" s="7"/>
      <c r="Y561" s="7"/>
      <c r="Z561" s="7"/>
    </row>
    <row r="562" spans="1:26" ht="12.75" customHeight="1" x14ac:dyDescent="0.2">
      <c r="A562" s="539">
        <v>36892</v>
      </c>
      <c r="B562" s="539">
        <v>37256</v>
      </c>
      <c r="C562" s="40" t="s">
        <v>36</v>
      </c>
      <c r="D562" s="41">
        <v>3</v>
      </c>
      <c r="E562" s="42">
        <v>9935.08</v>
      </c>
      <c r="F562" s="42"/>
      <c r="G562" s="42"/>
      <c r="H562" s="42">
        <v>6384.11</v>
      </c>
      <c r="I562" s="42">
        <v>0</v>
      </c>
      <c r="J562" s="42">
        <v>1359.93</v>
      </c>
      <c r="K562" s="43">
        <v>16319.19</v>
      </c>
      <c r="L562" s="32">
        <v>17679.12</v>
      </c>
      <c r="M562" s="33"/>
      <c r="N562" s="30">
        <v>16319.19</v>
      </c>
      <c r="O562" s="30">
        <v>9935.08</v>
      </c>
      <c r="P562" s="30">
        <v>1338.6</v>
      </c>
      <c r="Q562" s="30">
        <f>(N562+O562*0.18+J562)+(IF((P562-O562*0.18)&gt;0,(P562-O562*0.18),0))</f>
        <v>19467.434400000002</v>
      </c>
      <c r="R562" s="7"/>
      <c r="S562" s="7"/>
      <c r="T562" s="7"/>
      <c r="U562" s="7"/>
      <c r="V562" s="7"/>
      <c r="W562" s="7"/>
      <c r="X562" s="7"/>
      <c r="Y562" s="7"/>
      <c r="Z562" s="7"/>
    </row>
    <row r="563" spans="1:26" ht="9" customHeight="1" x14ac:dyDescent="0.2">
      <c r="A563" s="534"/>
      <c r="B563" s="534"/>
      <c r="C563" s="34" t="s">
        <v>37</v>
      </c>
      <c r="D563" s="35">
        <v>8</v>
      </c>
      <c r="E563" s="36">
        <v>19236997</v>
      </c>
      <c r="F563" s="36"/>
      <c r="G563" s="36"/>
      <c r="H563" s="36">
        <v>12361361</v>
      </c>
      <c r="I563" s="36">
        <v>0</v>
      </c>
      <c r="J563" s="37">
        <v>2633192</v>
      </c>
      <c r="K563" s="36">
        <v>31598358</v>
      </c>
      <c r="L563" s="38">
        <v>34231550</v>
      </c>
      <c r="M563" s="39"/>
      <c r="N563" s="36">
        <v>31598358</v>
      </c>
      <c r="O563" s="36">
        <v>19236997</v>
      </c>
      <c r="P563" s="36">
        <v>2591891</v>
      </c>
      <c r="Q563" s="36">
        <f>Q562*1936.27</f>
        <v>37694209.205688</v>
      </c>
      <c r="R563" s="7"/>
      <c r="S563" s="7"/>
      <c r="T563" s="7"/>
      <c r="U563" s="7"/>
      <c r="V563" s="7"/>
      <c r="W563" s="7"/>
      <c r="X563" s="7"/>
      <c r="Y563" s="7"/>
      <c r="Z563" s="7"/>
    </row>
    <row r="564" spans="1:26" ht="12.75" customHeight="1" x14ac:dyDescent="0.2">
      <c r="A564" s="534"/>
      <c r="B564" s="534"/>
      <c r="C564" s="40" t="s">
        <v>36</v>
      </c>
      <c r="D564" s="41">
        <v>9</v>
      </c>
      <c r="E564" s="42">
        <v>11257.21</v>
      </c>
      <c r="F564" s="42"/>
      <c r="G564" s="42"/>
      <c r="H564" s="42">
        <v>6384.11</v>
      </c>
      <c r="I564" s="42">
        <v>0</v>
      </c>
      <c r="J564" s="42">
        <v>1470.11</v>
      </c>
      <c r="K564" s="43">
        <v>17641.32</v>
      </c>
      <c r="L564" s="32">
        <v>19111.43</v>
      </c>
      <c r="M564" s="33"/>
      <c r="N564" s="30">
        <v>17641.32</v>
      </c>
      <c r="O564" s="30">
        <v>11257.21</v>
      </c>
      <c r="P564" s="30">
        <v>1338.6</v>
      </c>
      <c r="Q564" s="30">
        <f>(N564+O564*0.18+J564)+(IF((P564-O564*0.18)&gt;0,(P564-O564*0.18),0))</f>
        <v>21137.727800000001</v>
      </c>
      <c r="R564" s="7"/>
      <c r="S564" s="7"/>
      <c r="T564" s="7"/>
      <c r="U564" s="7"/>
      <c r="V564" s="7"/>
      <c r="W564" s="7"/>
      <c r="X564" s="7"/>
      <c r="Y564" s="7"/>
      <c r="Z564" s="7"/>
    </row>
    <row r="565" spans="1:26" ht="9" customHeight="1" x14ac:dyDescent="0.2">
      <c r="A565" s="534"/>
      <c r="B565" s="534"/>
      <c r="C565" s="34" t="s">
        <v>37</v>
      </c>
      <c r="D565" s="35">
        <v>14</v>
      </c>
      <c r="E565" s="36">
        <v>21796998</v>
      </c>
      <c r="F565" s="36"/>
      <c r="G565" s="36"/>
      <c r="H565" s="36">
        <v>12361361</v>
      </c>
      <c r="I565" s="36">
        <v>0</v>
      </c>
      <c r="J565" s="37">
        <v>2846530</v>
      </c>
      <c r="K565" s="36">
        <v>34158359</v>
      </c>
      <c r="L565" s="38">
        <v>37004889</v>
      </c>
      <c r="M565" s="39"/>
      <c r="N565" s="36">
        <v>34158359</v>
      </c>
      <c r="O565" s="36">
        <v>21796998</v>
      </c>
      <c r="P565" s="36">
        <v>2591891</v>
      </c>
      <c r="Q565" s="36">
        <f>Q564*1936.27</f>
        <v>40928348.207305998</v>
      </c>
      <c r="R565" s="7"/>
      <c r="S565" s="7"/>
      <c r="T565" s="7"/>
      <c r="U565" s="7"/>
      <c r="V565" s="7"/>
      <c r="W565" s="7"/>
      <c r="X565" s="7"/>
      <c r="Y565" s="7"/>
      <c r="Z565" s="7"/>
    </row>
    <row r="566" spans="1:26" ht="12.75" customHeight="1" x14ac:dyDescent="0.2">
      <c r="A566" s="534"/>
      <c r="B566" s="534"/>
      <c r="C566" s="40" t="s">
        <v>36</v>
      </c>
      <c r="D566" s="41">
        <v>15</v>
      </c>
      <c r="E566" s="42">
        <v>12801.42</v>
      </c>
      <c r="F566" s="42"/>
      <c r="G566" s="42"/>
      <c r="H566" s="42">
        <v>6384.11</v>
      </c>
      <c r="I566" s="42">
        <v>0</v>
      </c>
      <c r="J566" s="42">
        <v>1598.79</v>
      </c>
      <c r="K566" s="43">
        <v>19185.53</v>
      </c>
      <c r="L566" s="32">
        <v>20784.32</v>
      </c>
      <c r="M566" s="33"/>
      <c r="N566" s="30">
        <v>19185.53</v>
      </c>
      <c r="O566" s="30">
        <v>12801.42</v>
      </c>
      <c r="P566" s="30">
        <v>1667.16</v>
      </c>
      <c r="Q566" s="30">
        <f>(N566+O566*0.18+J566)+(IF((P566-O566*0.18)&gt;0,(P566-O566*0.18),0))</f>
        <v>23088.5756</v>
      </c>
      <c r="R566" s="7"/>
      <c r="S566" s="7"/>
      <c r="T566" s="7"/>
      <c r="U566" s="7"/>
      <c r="V566" s="7"/>
      <c r="W566" s="7"/>
      <c r="X566" s="7"/>
      <c r="Y566" s="7"/>
      <c r="Z566" s="7"/>
    </row>
    <row r="567" spans="1:26" ht="9" customHeight="1" x14ac:dyDescent="0.2">
      <c r="A567" s="534"/>
      <c r="B567" s="534"/>
      <c r="C567" s="34" t="s">
        <v>37</v>
      </c>
      <c r="D567" s="35">
        <v>20</v>
      </c>
      <c r="E567" s="36">
        <v>24787006</v>
      </c>
      <c r="F567" s="36"/>
      <c r="G567" s="36"/>
      <c r="H567" s="36">
        <v>12361361</v>
      </c>
      <c r="I567" s="36">
        <v>0</v>
      </c>
      <c r="J567" s="37">
        <v>3095689</v>
      </c>
      <c r="K567" s="36">
        <v>37148366</v>
      </c>
      <c r="L567" s="38">
        <v>40244055</v>
      </c>
      <c r="M567" s="39"/>
      <c r="N567" s="36">
        <v>37148366</v>
      </c>
      <c r="O567" s="36">
        <v>24787006</v>
      </c>
      <c r="P567" s="36">
        <v>3228072</v>
      </c>
      <c r="Q567" s="36">
        <f>Q566*1936.27</f>
        <v>44705716.277011998</v>
      </c>
      <c r="R567" s="7"/>
      <c r="S567" s="7"/>
      <c r="T567" s="7"/>
      <c r="U567" s="7"/>
      <c r="V567" s="7"/>
      <c r="W567" s="7"/>
      <c r="X567" s="7"/>
      <c r="Y567" s="7"/>
      <c r="Z567" s="7"/>
    </row>
    <row r="568" spans="1:26" ht="12.75" customHeight="1" x14ac:dyDescent="0.2">
      <c r="A568" s="534"/>
      <c r="B568" s="534"/>
      <c r="C568" s="40" t="s">
        <v>36</v>
      </c>
      <c r="D568" s="41">
        <v>21</v>
      </c>
      <c r="E568" s="42">
        <v>15036.13</v>
      </c>
      <c r="F568" s="42"/>
      <c r="G568" s="42"/>
      <c r="H568" s="42">
        <v>6384.11</v>
      </c>
      <c r="I568" s="42">
        <v>0</v>
      </c>
      <c r="J568" s="42">
        <v>1785.02</v>
      </c>
      <c r="K568" s="43">
        <v>21420.240000000002</v>
      </c>
      <c r="L568" s="32">
        <v>23205.26</v>
      </c>
      <c r="M568" s="33"/>
      <c r="N568" s="30">
        <v>21420.240000000002</v>
      </c>
      <c r="O568" s="30">
        <v>15036.13</v>
      </c>
      <c r="P568" s="30">
        <v>1667.16</v>
      </c>
      <c r="Q568" s="30">
        <f>(N568+O568*0.18+J568)+(IF((P568-O568*0.18)&gt;0,(P568-O568*0.18),0))</f>
        <v>25911.7634</v>
      </c>
      <c r="R568" s="7"/>
      <c r="S568" s="7"/>
      <c r="T568" s="7"/>
      <c r="U568" s="7"/>
      <c r="V568" s="7"/>
      <c r="W568" s="7"/>
      <c r="X568" s="7"/>
      <c r="Y568" s="7"/>
      <c r="Z568" s="7"/>
    </row>
    <row r="569" spans="1:26" ht="9" customHeight="1" x14ac:dyDescent="0.2">
      <c r="A569" s="534"/>
      <c r="B569" s="534"/>
      <c r="C569" s="34" t="s">
        <v>37</v>
      </c>
      <c r="D569" s="35">
        <v>27</v>
      </c>
      <c r="E569" s="36">
        <v>29114007</v>
      </c>
      <c r="F569" s="36"/>
      <c r="G569" s="36"/>
      <c r="H569" s="36">
        <v>12361361</v>
      </c>
      <c r="I569" s="36">
        <v>0</v>
      </c>
      <c r="J569" s="37">
        <v>3456281</v>
      </c>
      <c r="K569" s="36">
        <v>41475368</v>
      </c>
      <c r="L569" s="38">
        <v>44931649</v>
      </c>
      <c r="M569" s="39"/>
      <c r="N569" s="36">
        <v>41475368</v>
      </c>
      <c r="O569" s="36">
        <v>29114007</v>
      </c>
      <c r="P569" s="36">
        <v>3228072</v>
      </c>
      <c r="Q569" s="36">
        <f>Q568*1936.27</f>
        <v>50172170.118518002</v>
      </c>
      <c r="R569" s="7"/>
      <c r="S569" s="7"/>
      <c r="T569" s="7"/>
      <c r="U569" s="7"/>
      <c r="V569" s="7"/>
      <c r="W569" s="7"/>
      <c r="X569" s="7"/>
      <c r="Y569" s="7"/>
      <c r="Z569" s="7"/>
    </row>
    <row r="570" spans="1:26" ht="12.75" customHeight="1" x14ac:dyDescent="0.2">
      <c r="A570" s="534"/>
      <c r="B570" s="534"/>
      <c r="C570" s="40" t="s">
        <v>36</v>
      </c>
      <c r="D570" s="41">
        <v>28</v>
      </c>
      <c r="E570" s="42">
        <v>16502.349999999999</v>
      </c>
      <c r="F570" s="42"/>
      <c r="G570" s="42"/>
      <c r="H570" s="42">
        <v>6384.11</v>
      </c>
      <c r="I570" s="42">
        <v>0</v>
      </c>
      <c r="J570" s="42">
        <v>1907.21</v>
      </c>
      <c r="K570" s="43">
        <v>22886.46</v>
      </c>
      <c r="L570" s="32">
        <v>24793.67</v>
      </c>
      <c r="M570" s="33"/>
      <c r="N570" s="30">
        <v>22886.46</v>
      </c>
      <c r="O570" s="30">
        <v>16502.349999999999</v>
      </c>
      <c r="P570" s="30">
        <v>1865.4</v>
      </c>
      <c r="Q570" s="30">
        <f>(N570+O570*0.18+J570)+(IF((P570-O570*0.18)&gt;0,(P570-O570*0.18),0))</f>
        <v>27764.092999999997</v>
      </c>
      <c r="R570" s="7"/>
      <c r="S570" s="7"/>
      <c r="T570" s="7"/>
      <c r="U570" s="7"/>
      <c r="V570" s="7"/>
      <c r="W570" s="7"/>
      <c r="X570" s="7"/>
      <c r="Y570" s="7"/>
      <c r="Z570" s="7"/>
    </row>
    <row r="571" spans="1:26" ht="9" customHeight="1" x14ac:dyDescent="0.2">
      <c r="A571" s="534"/>
      <c r="B571" s="534"/>
      <c r="C571" s="34" t="s">
        <v>37</v>
      </c>
      <c r="D571" s="35">
        <v>34</v>
      </c>
      <c r="E571" s="36">
        <v>31953005</v>
      </c>
      <c r="F571" s="36"/>
      <c r="G571" s="36"/>
      <c r="H571" s="36">
        <v>12361361</v>
      </c>
      <c r="I571" s="36">
        <v>0</v>
      </c>
      <c r="J571" s="37">
        <v>3692874</v>
      </c>
      <c r="K571" s="36">
        <v>44314366</v>
      </c>
      <c r="L571" s="38">
        <v>48007239</v>
      </c>
      <c r="M571" s="39"/>
      <c r="N571" s="36">
        <v>44314366</v>
      </c>
      <c r="O571" s="36">
        <v>31953005</v>
      </c>
      <c r="P571" s="36">
        <v>3611918</v>
      </c>
      <c r="Q571" s="36">
        <f>Q570*1936.27</f>
        <v>53758780.353109993</v>
      </c>
      <c r="R571" s="7"/>
      <c r="S571" s="7"/>
      <c r="T571" s="7"/>
      <c r="U571" s="7"/>
      <c r="V571" s="7"/>
      <c r="W571" s="7"/>
      <c r="X571" s="7"/>
      <c r="Y571" s="7"/>
      <c r="Z571" s="7"/>
    </row>
    <row r="572" spans="1:26" ht="12.75" customHeight="1" x14ac:dyDescent="0.2">
      <c r="A572" s="534"/>
      <c r="B572" s="534"/>
      <c r="C572" s="40" t="s">
        <v>36</v>
      </c>
      <c r="D572" s="41">
        <v>35</v>
      </c>
      <c r="E572" s="42">
        <v>17616.34</v>
      </c>
      <c r="F572" s="42"/>
      <c r="G572" s="42"/>
      <c r="H572" s="42">
        <v>6384.11</v>
      </c>
      <c r="I572" s="42">
        <v>0</v>
      </c>
      <c r="J572" s="42">
        <v>2000.04</v>
      </c>
      <c r="K572" s="43">
        <v>24000.45</v>
      </c>
      <c r="L572" s="32">
        <v>26000.49</v>
      </c>
      <c r="M572" s="33"/>
      <c r="N572" s="30">
        <v>24000.45</v>
      </c>
      <c r="O572" s="30">
        <v>17616.34</v>
      </c>
      <c r="P572" s="30">
        <v>1865.4</v>
      </c>
      <c r="Q572" s="30">
        <f>(N572+O572*0.18+J572)+(IF((P572-O572*0.18)&gt;0,(P572-O572*0.18),0))</f>
        <v>29171.431200000003</v>
      </c>
      <c r="R572" s="7"/>
      <c r="S572" s="7"/>
      <c r="T572" s="7"/>
      <c r="U572" s="7"/>
      <c r="V572" s="7"/>
      <c r="W572" s="7"/>
      <c r="X572" s="7"/>
      <c r="Y572" s="7"/>
      <c r="Z572" s="7"/>
    </row>
    <row r="573" spans="1:26" ht="9" customHeight="1" x14ac:dyDescent="0.2">
      <c r="A573" s="535"/>
      <c r="B573" s="535"/>
      <c r="C573" s="47" t="s">
        <v>37</v>
      </c>
      <c r="D573" s="48"/>
      <c r="E573" s="46">
        <v>34109991</v>
      </c>
      <c r="F573" s="46"/>
      <c r="G573" s="46"/>
      <c r="H573" s="46">
        <v>12361361</v>
      </c>
      <c r="I573" s="46">
        <v>0</v>
      </c>
      <c r="J573" s="49">
        <v>3872617</v>
      </c>
      <c r="K573" s="46">
        <v>46471351</v>
      </c>
      <c r="L573" s="38">
        <v>50343969</v>
      </c>
      <c r="M573" s="39"/>
      <c r="N573" s="36">
        <v>46471351</v>
      </c>
      <c r="O573" s="36">
        <v>34109991</v>
      </c>
      <c r="P573" s="36">
        <v>3611918</v>
      </c>
      <c r="Q573" s="36">
        <f>Q572*1936.27</f>
        <v>56483767.089624003</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12.75" customHeight="1" x14ac:dyDescent="0.2">
      <c r="A580" s="538">
        <v>37257</v>
      </c>
      <c r="B580" s="538">
        <v>37621</v>
      </c>
      <c r="C580" s="28" t="s">
        <v>36</v>
      </c>
      <c r="D580" s="29">
        <v>0</v>
      </c>
      <c r="E580" s="30">
        <v>9907.19</v>
      </c>
      <c r="F580" s="30"/>
      <c r="G580" s="30"/>
      <c r="H580" s="30">
        <v>6384.11</v>
      </c>
      <c r="I580" s="30">
        <v>0</v>
      </c>
      <c r="J580" s="30">
        <v>1357.61</v>
      </c>
      <c r="K580" s="31">
        <v>16291.3</v>
      </c>
      <c r="L580" s="32">
        <v>17648.91</v>
      </c>
      <c r="M580" s="33"/>
      <c r="N580" s="30">
        <v>16291.3</v>
      </c>
      <c r="O580" s="30">
        <v>9907.19</v>
      </c>
      <c r="P580" s="30">
        <v>1578.6</v>
      </c>
      <c r="Q580" s="30">
        <f>(N580+O580*0.18+J580)+(IF((P580-O580*0.18)&gt;0,(P580-O580*0.18),0))</f>
        <v>19432.2042</v>
      </c>
      <c r="R580" s="7"/>
      <c r="S580" s="7"/>
      <c r="T580" s="7"/>
      <c r="U580" s="7"/>
      <c r="V580" s="7"/>
      <c r="W580" s="7"/>
      <c r="X580" s="7"/>
      <c r="Y580" s="7"/>
      <c r="Z580" s="7"/>
    </row>
    <row r="581" spans="1:26" ht="9" customHeight="1" x14ac:dyDescent="0.2">
      <c r="A581" s="534"/>
      <c r="B581" s="534"/>
      <c r="C581" s="34" t="s">
        <v>37</v>
      </c>
      <c r="D581" s="35">
        <v>2</v>
      </c>
      <c r="E581" s="36">
        <v>19182995</v>
      </c>
      <c r="F581" s="36"/>
      <c r="G581" s="36"/>
      <c r="H581" s="36">
        <v>12361361</v>
      </c>
      <c r="I581" s="36">
        <v>0</v>
      </c>
      <c r="J581" s="37">
        <v>2628700</v>
      </c>
      <c r="K581" s="36">
        <v>31544355</v>
      </c>
      <c r="L581" s="38">
        <v>34173055</v>
      </c>
      <c r="M581" s="39"/>
      <c r="N581" s="36">
        <v>31544355</v>
      </c>
      <c r="O581" s="36">
        <v>19182995</v>
      </c>
      <c r="P581" s="36">
        <v>3056596</v>
      </c>
      <c r="Q581" s="36">
        <f>Q580*1936.27</f>
        <v>37625994.026334003</v>
      </c>
      <c r="R581" s="7"/>
      <c r="S581" s="7"/>
      <c r="T581" s="7"/>
      <c r="U581" s="7"/>
      <c r="V581" s="7"/>
      <c r="W581" s="7"/>
      <c r="X581" s="7"/>
      <c r="Y581" s="7"/>
      <c r="Z581" s="7"/>
    </row>
    <row r="582" spans="1:26" ht="12.75" customHeight="1" x14ac:dyDescent="0.2">
      <c r="A582" s="539">
        <v>37257</v>
      </c>
      <c r="B582" s="539">
        <v>37621</v>
      </c>
      <c r="C582" s="40" t="s">
        <v>36</v>
      </c>
      <c r="D582" s="41">
        <v>3</v>
      </c>
      <c r="E582" s="42">
        <v>10347.280000000001</v>
      </c>
      <c r="F582" s="42"/>
      <c r="G582" s="42"/>
      <c r="H582" s="42">
        <v>6384.11</v>
      </c>
      <c r="I582" s="42">
        <v>0</v>
      </c>
      <c r="J582" s="42">
        <v>1394.28</v>
      </c>
      <c r="K582" s="43">
        <v>16731.39</v>
      </c>
      <c r="L582" s="32">
        <v>18125.669999999998</v>
      </c>
      <c r="M582" s="33"/>
      <c r="N582" s="30">
        <v>16731.39</v>
      </c>
      <c r="O582" s="30">
        <v>10347.280000000001</v>
      </c>
      <c r="P582" s="30">
        <v>1578.6</v>
      </c>
      <c r="Q582" s="30">
        <f>(N582+O582*0.18+J582)+(IF((P582-O582*0.18)&gt;0,(P582-O582*0.18),0))</f>
        <v>19988.180399999997</v>
      </c>
      <c r="R582" s="7"/>
      <c r="S582" s="7"/>
      <c r="T582" s="7"/>
      <c r="U582" s="7"/>
      <c r="V582" s="7"/>
      <c r="W582" s="7"/>
      <c r="X582" s="7"/>
      <c r="Y582" s="7"/>
      <c r="Z582" s="7"/>
    </row>
    <row r="583" spans="1:26" ht="9" customHeight="1" x14ac:dyDescent="0.2">
      <c r="A583" s="534"/>
      <c r="B583" s="534"/>
      <c r="C583" s="34" t="s">
        <v>37</v>
      </c>
      <c r="D583" s="35">
        <v>8</v>
      </c>
      <c r="E583" s="36">
        <v>20035128</v>
      </c>
      <c r="F583" s="36"/>
      <c r="G583" s="36"/>
      <c r="H583" s="36">
        <v>12361361</v>
      </c>
      <c r="I583" s="36">
        <v>0</v>
      </c>
      <c r="J583" s="37">
        <v>2699703</v>
      </c>
      <c r="K583" s="36">
        <v>32396489</v>
      </c>
      <c r="L583" s="38">
        <v>35096191</v>
      </c>
      <c r="M583" s="39"/>
      <c r="N583" s="36">
        <v>32396489</v>
      </c>
      <c r="O583" s="36">
        <v>20035128</v>
      </c>
      <c r="P583" s="36">
        <v>3056596</v>
      </c>
      <c r="Q583" s="36">
        <f>Q582*1936.27</f>
        <v>38702514.063107997</v>
      </c>
      <c r="R583" s="7"/>
      <c r="S583" s="7"/>
      <c r="T583" s="7"/>
      <c r="U583" s="7"/>
      <c r="V583" s="7"/>
      <c r="W583" s="7"/>
      <c r="X583" s="7"/>
      <c r="Y583" s="7"/>
      <c r="Z583" s="7"/>
    </row>
    <row r="584" spans="1:26" ht="12.75" customHeight="1" x14ac:dyDescent="0.2">
      <c r="A584" s="534"/>
      <c r="B584" s="534"/>
      <c r="C584" s="40" t="s">
        <v>36</v>
      </c>
      <c r="D584" s="41">
        <v>9</v>
      </c>
      <c r="E584" s="42">
        <v>11702.77</v>
      </c>
      <c r="F584" s="42"/>
      <c r="G584" s="42"/>
      <c r="H584" s="42">
        <v>6384.11</v>
      </c>
      <c r="I584" s="42">
        <v>0</v>
      </c>
      <c r="J584" s="42">
        <v>1507.24</v>
      </c>
      <c r="K584" s="43">
        <v>18086.88</v>
      </c>
      <c r="L584" s="32">
        <v>19594.12</v>
      </c>
      <c r="M584" s="33"/>
      <c r="N584" s="30">
        <v>18086.88</v>
      </c>
      <c r="O584" s="30">
        <v>11702.77</v>
      </c>
      <c r="P584" s="30">
        <v>1578.6</v>
      </c>
      <c r="Q584" s="30">
        <f>(N584+O584*0.18+J584)+(IF((P584-O584*0.18)&gt;0,(P584-O584*0.18),0))</f>
        <v>21700.618600000002</v>
      </c>
      <c r="R584" s="7"/>
      <c r="S584" s="7"/>
      <c r="T584" s="7"/>
      <c r="U584" s="7"/>
      <c r="V584" s="7"/>
      <c r="W584" s="7"/>
      <c r="X584" s="7"/>
      <c r="Y584" s="7"/>
      <c r="Z584" s="7"/>
    </row>
    <row r="585" spans="1:26" ht="9" customHeight="1" x14ac:dyDescent="0.2">
      <c r="A585" s="534"/>
      <c r="B585" s="534"/>
      <c r="C585" s="34" t="s">
        <v>37</v>
      </c>
      <c r="D585" s="35">
        <v>14</v>
      </c>
      <c r="E585" s="36">
        <v>22659722</v>
      </c>
      <c r="F585" s="36"/>
      <c r="G585" s="36"/>
      <c r="H585" s="36">
        <v>12361361</v>
      </c>
      <c r="I585" s="36">
        <v>0</v>
      </c>
      <c r="J585" s="37">
        <v>2918424</v>
      </c>
      <c r="K585" s="36">
        <v>35021083</v>
      </c>
      <c r="L585" s="38">
        <v>37939507</v>
      </c>
      <c r="M585" s="39"/>
      <c r="N585" s="36">
        <v>35021083</v>
      </c>
      <c r="O585" s="36">
        <v>22659722</v>
      </c>
      <c r="P585" s="36">
        <v>3056596</v>
      </c>
      <c r="Q585" s="36">
        <f>Q584*1936.27</f>
        <v>42018256.776622005</v>
      </c>
      <c r="R585" s="7"/>
      <c r="S585" s="7"/>
      <c r="T585" s="7"/>
      <c r="U585" s="7"/>
      <c r="V585" s="7"/>
      <c r="W585" s="7"/>
      <c r="X585" s="7"/>
      <c r="Y585" s="7"/>
      <c r="Z585" s="7"/>
    </row>
    <row r="586" spans="1:26" ht="12.75" customHeight="1" x14ac:dyDescent="0.2">
      <c r="A586" s="534"/>
      <c r="B586" s="534"/>
      <c r="C586" s="40" t="s">
        <v>36</v>
      </c>
      <c r="D586" s="41">
        <v>15</v>
      </c>
      <c r="E586" s="42">
        <v>13285.98</v>
      </c>
      <c r="F586" s="42"/>
      <c r="G586" s="42"/>
      <c r="H586" s="42">
        <v>6384.11</v>
      </c>
      <c r="I586" s="42">
        <v>0</v>
      </c>
      <c r="J586" s="42">
        <v>1639.17</v>
      </c>
      <c r="K586" s="43">
        <v>19670.09</v>
      </c>
      <c r="L586" s="32">
        <v>21309.26</v>
      </c>
      <c r="M586" s="33"/>
      <c r="N586" s="30">
        <v>19670.09</v>
      </c>
      <c r="O586" s="30">
        <v>13285.98</v>
      </c>
      <c r="P586" s="30">
        <v>1955.16</v>
      </c>
      <c r="Q586" s="30">
        <f>(N586+O586*0.18+J586)+(IF((P586-O586*0.18)&gt;0,(P586-O586*0.18),0))</f>
        <v>23700.736400000002</v>
      </c>
      <c r="R586" s="7"/>
      <c r="S586" s="7"/>
      <c r="T586" s="7"/>
      <c r="U586" s="7"/>
      <c r="V586" s="7"/>
      <c r="W586" s="7"/>
      <c r="X586" s="7"/>
      <c r="Y586" s="7"/>
      <c r="Z586" s="7"/>
    </row>
    <row r="587" spans="1:26" ht="9" customHeight="1" x14ac:dyDescent="0.2">
      <c r="A587" s="534"/>
      <c r="B587" s="534"/>
      <c r="C587" s="34" t="s">
        <v>37</v>
      </c>
      <c r="D587" s="35">
        <v>20</v>
      </c>
      <c r="E587" s="36">
        <v>25725244</v>
      </c>
      <c r="F587" s="36"/>
      <c r="G587" s="36"/>
      <c r="H587" s="36">
        <v>12361361</v>
      </c>
      <c r="I587" s="36">
        <v>0</v>
      </c>
      <c r="J587" s="37">
        <v>3173876</v>
      </c>
      <c r="K587" s="36">
        <v>38086605</v>
      </c>
      <c r="L587" s="38">
        <v>41260481</v>
      </c>
      <c r="M587" s="39"/>
      <c r="N587" s="36">
        <v>38086605</v>
      </c>
      <c r="O587" s="36">
        <v>25725244</v>
      </c>
      <c r="P587" s="36">
        <v>3785718</v>
      </c>
      <c r="Q587" s="36">
        <f>Q586*1936.27</f>
        <v>45891024.869228005</v>
      </c>
      <c r="R587" s="7"/>
      <c r="S587" s="7"/>
      <c r="T587" s="7"/>
      <c r="U587" s="7"/>
      <c r="V587" s="7"/>
      <c r="W587" s="7"/>
      <c r="X587" s="7"/>
      <c r="Y587" s="7"/>
      <c r="Z587" s="7"/>
    </row>
    <row r="588" spans="1:26" ht="12.75" customHeight="1" x14ac:dyDescent="0.2">
      <c r="A588" s="534"/>
      <c r="B588" s="534"/>
      <c r="C588" s="40" t="s">
        <v>36</v>
      </c>
      <c r="D588" s="41">
        <v>21</v>
      </c>
      <c r="E588" s="42">
        <v>15577.09</v>
      </c>
      <c r="F588" s="42"/>
      <c r="G588" s="42"/>
      <c r="H588" s="42">
        <v>6384.11</v>
      </c>
      <c r="I588" s="42">
        <v>0</v>
      </c>
      <c r="J588" s="42">
        <v>1830.1</v>
      </c>
      <c r="K588" s="43">
        <v>21961.200000000001</v>
      </c>
      <c r="L588" s="32">
        <v>23791.3</v>
      </c>
      <c r="M588" s="33"/>
      <c r="N588" s="30">
        <v>21961.200000000001</v>
      </c>
      <c r="O588" s="30">
        <v>15577.09</v>
      </c>
      <c r="P588" s="30">
        <v>1955.16</v>
      </c>
      <c r="Q588" s="30">
        <f>(N588+O588*0.18+J588)+(IF((P588-O588*0.18)&gt;0,(P588-O588*0.18),0))</f>
        <v>26595.176199999998</v>
      </c>
      <c r="R588" s="7"/>
      <c r="S588" s="7"/>
      <c r="T588" s="7"/>
      <c r="U588" s="7"/>
      <c r="V588" s="7"/>
      <c r="W588" s="7"/>
      <c r="X588" s="7"/>
      <c r="Y588" s="7"/>
      <c r="Z588" s="7"/>
    </row>
    <row r="589" spans="1:26" ht="9" customHeight="1" x14ac:dyDescent="0.2">
      <c r="A589" s="534"/>
      <c r="B589" s="534"/>
      <c r="C589" s="34" t="s">
        <v>37</v>
      </c>
      <c r="D589" s="35">
        <v>27</v>
      </c>
      <c r="E589" s="36">
        <v>30161452</v>
      </c>
      <c r="F589" s="36"/>
      <c r="G589" s="36"/>
      <c r="H589" s="36">
        <v>12361361</v>
      </c>
      <c r="I589" s="36">
        <v>0</v>
      </c>
      <c r="J589" s="37">
        <v>3543568</v>
      </c>
      <c r="K589" s="36">
        <v>42522813</v>
      </c>
      <c r="L589" s="38">
        <v>46066380</v>
      </c>
      <c r="M589" s="39"/>
      <c r="N589" s="36">
        <v>42522813</v>
      </c>
      <c r="O589" s="36">
        <v>30161452</v>
      </c>
      <c r="P589" s="36">
        <v>3785718</v>
      </c>
      <c r="Q589" s="36">
        <f>Q588*1936.27</f>
        <v>51495441.820773996</v>
      </c>
      <c r="R589" s="7"/>
      <c r="S589" s="7"/>
      <c r="T589" s="7"/>
      <c r="U589" s="7"/>
      <c r="V589" s="7"/>
      <c r="W589" s="7"/>
      <c r="X589" s="7"/>
      <c r="Y589" s="7"/>
      <c r="Z589" s="7"/>
    </row>
    <row r="590" spans="1:26" ht="12.75" customHeight="1" x14ac:dyDescent="0.2">
      <c r="A590" s="534"/>
      <c r="B590" s="534"/>
      <c r="C590" s="40" t="s">
        <v>36</v>
      </c>
      <c r="D590" s="41">
        <v>28</v>
      </c>
      <c r="E590" s="42">
        <v>17080.39</v>
      </c>
      <c r="F590" s="42"/>
      <c r="G590" s="42"/>
      <c r="H590" s="42">
        <v>6384.11</v>
      </c>
      <c r="I590" s="42">
        <v>0</v>
      </c>
      <c r="J590" s="42">
        <v>1955.38</v>
      </c>
      <c r="K590" s="43">
        <v>23464.5</v>
      </c>
      <c r="L590" s="32">
        <v>25419.88</v>
      </c>
      <c r="M590" s="33"/>
      <c r="N590" s="30">
        <v>23464.5</v>
      </c>
      <c r="O590" s="30">
        <v>17080.39</v>
      </c>
      <c r="P590" s="30">
        <v>2333.4</v>
      </c>
      <c r="Q590" s="30">
        <f>(N590+O590*0.18+J590)+(IF((P590-O590*0.18)&gt;0,(P590-O590*0.18),0))</f>
        <v>28494.350200000001</v>
      </c>
      <c r="R590" s="7"/>
      <c r="S590" s="7"/>
      <c r="T590" s="7"/>
      <c r="U590" s="7"/>
      <c r="V590" s="7"/>
      <c r="W590" s="7"/>
      <c r="X590" s="7"/>
      <c r="Y590" s="7"/>
      <c r="Z590" s="7"/>
    </row>
    <row r="591" spans="1:26" ht="9" customHeight="1" x14ac:dyDescent="0.2">
      <c r="A591" s="534"/>
      <c r="B591" s="534"/>
      <c r="C591" s="34" t="s">
        <v>37</v>
      </c>
      <c r="D591" s="35">
        <v>34</v>
      </c>
      <c r="E591" s="36">
        <v>33072247</v>
      </c>
      <c r="F591" s="36"/>
      <c r="G591" s="36"/>
      <c r="H591" s="36">
        <v>12361361</v>
      </c>
      <c r="I591" s="36">
        <v>0</v>
      </c>
      <c r="J591" s="37">
        <v>3786144</v>
      </c>
      <c r="K591" s="36">
        <v>45433607</v>
      </c>
      <c r="L591" s="38">
        <v>49219751</v>
      </c>
      <c r="M591" s="39"/>
      <c r="N591" s="36">
        <v>45433607</v>
      </c>
      <c r="O591" s="36">
        <v>33072247</v>
      </c>
      <c r="P591" s="36">
        <v>4518092</v>
      </c>
      <c r="Q591" s="36">
        <f>Q590*1936.27</f>
        <v>55172755.461754002</v>
      </c>
      <c r="R591" s="7"/>
      <c r="S591" s="7"/>
      <c r="T591" s="7"/>
      <c r="U591" s="7"/>
      <c r="V591" s="7"/>
      <c r="W591" s="7"/>
      <c r="X591" s="7"/>
      <c r="Y591" s="7"/>
      <c r="Z591" s="7"/>
    </row>
    <row r="592" spans="1:26" ht="12.75" customHeight="1" x14ac:dyDescent="0.2">
      <c r="A592" s="534"/>
      <c r="B592" s="534"/>
      <c r="C592" s="40" t="s">
        <v>36</v>
      </c>
      <c r="D592" s="41">
        <v>35</v>
      </c>
      <c r="E592" s="42">
        <v>18222.46</v>
      </c>
      <c r="F592" s="42"/>
      <c r="G592" s="42"/>
      <c r="H592" s="42">
        <v>6384.11</v>
      </c>
      <c r="I592" s="42">
        <v>0</v>
      </c>
      <c r="J592" s="42">
        <v>2050.5500000000002</v>
      </c>
      <c r="K592" s="43">
        <v>24606.57</v>
      </c>
      <c r="L592" s="32">
        <v>26657.119999999999</v>
      </c>
      <c r="M592" s="33"/>
      <c r="N592" s="30">
        <v>24606.57</v>
      </c>
      <c r="O592" s="30">
        <v>18222.46</v>
      </c>
      <c r="P592" s="30">
        <v>2333.4</v>
      </c>
      <c r="Q592" s="30">
        <f>(N592+O592*0.18+J592)+(IF((P592-O592*0.18)&gt;0,(P592-O592*0.18),0))</f>
        <v>29937.162799999998</v>
      </c>
      <c r="R592" s="7"/>
      <c r="S592" s="7"/>
      <c r="T592" s="7"/>
      <c r="U592" s="7"/>
      <c r="V592" s="7"/>
      <c r="W592" s="7"/>
      <c r="X592" s="7"/>
      <c r="Y592" s="7"/>
      <c r="Z592" s="7"/>
    </row>
    <row r="593" spans="1:26" ht="9" customHeight="1" x14ac:dyDescent="0.2">
      <c r="A593" s="535"/>
      <c r="B593" s="535"/>
      <c r="C593" s="47" t="s">
        <v>37</v>
      </c>
      <c r="D593" s="48"/>
      <c r="E593" s="46">
        <v>35283603</v>
      </c>
      <c r="F593" s="46"/>
      <c r="G593" s="46"/>
      <c r="H593" s="46">
        <v>12361361</v>
      </c>
      <c r="I593" s="46">
        <v>0</v>
      </c>
      <c r="J593" s="49">
        <v>3970418</v>
      </c>
      <c r="K593" s="46">
        <v>47644963</v>
      </c>
      <c r="L593" s="38">
        <v>51615382</v>
      </c>
      <c r="M593" s="39"/>
      <c r="N593" s="36">
        <v>47644963</v>
      </c>
      <c r="O593" s="36">
        <v>35283603</v>
      </c>
      <c r="P593" s="36">
        <v>4518092</v>
      </c>
      <c r="Q593" s="36">
        <f>Q592*1936.27</f>
        <v>57966430.214755997</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96"/>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96"/>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96"/>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96"/>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96"/>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96"/>
      <c r="Q599" s="96"/>
      <c r="R599" s="7"/>
      <c r="S599" s="7"/>
      <c r="T599" s="7"/>
      <c r="U599" s="7"/>
      <c r="V599" s="7"/>
      <c r="W599" s="7"/>
      <c r="X599" s="7"/>
      <c r="Y599" s="7"/>
      <c r="Z599" s="7"/>
    </row>
    <row r="600" spans="1:26" ht="12.75" customHeight="1" x14ac:dyDescent="0.2">
      <c r="A600" s="538">
        <v>37622</v>
      </c>
      <c r="B600" s="538">
        <v>37986</v>
      </c>
      <c r="C600" s="28" t="s">
        <v>36</v>
      </c>
      <c r="D600" s="29">
        <v>0</v>
      </c>
      <c r="E600" s="30">
        <v>10319.39</v>
      </c>
      <c r="F600" s="30"/>
      <c r="G600" s="30"/>
      <c r="H600" s="30">
        <v>6384.11</v>
      </c>
      <c r="I600" s="30">
        <v>0</v>
      </c>
      <c r="J600" s="30">
        <v>1391.96</v>
      </c>
      <c r="K600" s="31">
        <v>16703.5</v>
      </c>
      <c r="L600" s="32">
        <v>18095.46</v>
      </c>
      <c r="M600" s="33"/>
      <c r="N600" s="30">
        <v>16703.5</v>
      </c>
      <c r="O600" s="30">
        <v>10319.39</v>
      </c>
      <c r="P600" s="30">
        <v>1710.6</v>
      </c>
      <c r="Q600" s="30">
        <f>(N600+O600*0.18+J600)+(IF((P600-O600*0.18)&gt;0,(P600-O600*0.18),0))</f>
        <v>19952.950199999999</v>
      </c>
      <c r="R600" s="7"/>
      <c r="S600" s="7"/>
      <c r="T600" s="7"/>
      <c r="U600" s="7"/>
      <c r="V600" s="7"/>
      <c r="W600" s="7"/>
      <c r="X600" s="7"/>
      <c r="Y600" s="7"/>
      <c r="Z600" s="7"/>
    </row>
    <row r="601" spans="1:26" ht="9" customHeight="1" x14ac:dyDescent="0.2">
      <c r="A601" s="534"/>
      <c r="B601" s="534"/>
      <c r="C601" s="34" t="s">
        <v>37</v>
      </c>
      <c r="D601" s="35">
        <v>2</v>
      </c>
      <c r="E601" s="36">
        <v>19981125</v>
      </c>
      <c r="F601" s="36"/>
      <c r="G601" s="36"/>
      <c r="H601" s="36">
        <v>12361361</v>
      </c>
      <c r="I601" s="36">
        <v>0</v>
      </c>
      <c r="J601" s="37">
        <v>2695210</v>
      </c>
      <c r="K601" s="36">
        <v>32342486</v>
      </c>
      <c r="L601" s="38">
        <v>35037696</v>
      </c>
      <c r="M601" s="39"/>
      <c r="N601" s="36">
        <v>32342486</v>
      </c>
      <c r="O601" s="36">
        <v>19981125</v>
      </c>
      <c r="P601" s="36">
        <v>3312183</v>
      </c>
      <c r="Q601" s="36">
        <f>Q600*1936.27</f>
        <v>38634298.883754</v>
      </c>
      <c r="R601" s="7"/>
      <c r="S601" s="7"/>
      <c r="T601" s="7"/>
      <c r="U601" s="7"/>
      <c r="V601" s="7"/>
      <c r="W601" s="7"/>
      <c r="X601" s="7"/>
      <c r="Y601" s="7"/>
      <c r="Z601" s="7"/>
    </row>
    <row r="602" spans="1:26" ht="12.75" customHeight="1" x14ac:dyDescent="0.2">
      <c r="A602" s="539">
        <v>37622</v>
      </c>
      <c r="B602" s="539">
        <v>37986</v>
      </c>
      <c r="C602" s="40" t="s">
        <v>36</v>
      </c>
      <c r="D602" s="41">
        <v>3</v>
      </c>
      <c r="E602" s="42">
        <v>10770.64</v>
      </c>
      <c r="F602" s="42"/>
      <c r="G602" s="42"/>
      <c r="H602" s="42">
        <v>6384.11</v>
      </c>
      <c r="I602" s="42">
        <v>0</v>
      </c>
      <c r="J602" s="42">
        <v>1429.56</v>
      </c>
      <c r="K602" s="43">
        <v>17154.75</v>
      </c>
      <c r="L602" s="32">
        <v>18584.310000000001</v>
      </c>
      <c r="M602" s="33"/>
      <c r="N602" s="30">
        <v>17154.75</v>
      </c>
      <c r="O602" s="30">
        <v>10770.64</v>
      </c>
      <c r="P602" s="30">
        <v>1710.6</v>
      </c>
      <c r="Q602" s="30">
        <f>(N602+O602*0.18+J602)+(IF((P602-O602*0.18)&gt;0,(P602-O602*0.18),0))</f>
        <v>20523.0252</v>
      </c>
      <c r="R602" s="7"/>
      <c r="S602" s="7"/>
      <c r="T602" s="7"/>
      <c r="U602" s="7"/>
      <c r="V602" s="7"/>
      <c r="W602" s="7"/>
      <c r="X602" s="7"/>
      <c r="Y602" s="7"/>
      <c r="Z602" s="7"/>
    </row>
    <row r="603" spans="1:26" ht="9" customHeight="1" x14ac:dyDescent="0.2">
      <c r="A603" s="534"/>
      <c r="B603" s="534"/>
      <c r="C603" s="34" t="s">
        <v>37</v>
      </c>
      <c r="D603" s="35">
        <v>8</v>
      </c>
      <c r="E603" s="36">
        <v>20854867</v>
      </c>
      <c r="F603" s="36"/>
      <c r="G603" s="36"/>
      <c r="H603" s="36">
        <v>12361361</v>
      </c>
      <c r="I603" s="36">
        <v>0</v>
      </c>
      <c r="J603" s="37">
        <v>2768014</v>
      </c>
      <c r="K603" s="36">
        <v>33216228</v>
      </c>
      <c r="L603" s="38">
        <v>35984242</v>
      </c>
      <c r="M603" s="39"/>
      <c r="N603" s="36">
        <v>33216228</v>
      </c>
      <c r="O603" s="36">
        <v>20854867</v>
      </c>
      <c r="P603" s="36">
        <v>3312183</v>
      </c>
      <c r="Q603" s="36">
        <f>Q602*1936.27</f>
        <v>39738118.004004002</v>
      </c>
      <c r="R603" s="7"/>
      <c r="S603" s="7"/>
      <c r="T603" s="7"/>
      <c r="U603" s="7"/>
      <c r="V603" s="7"/>
      <c r="W603" s="7"/>
      <c r="X603" s="7"/>
      <c r="Y603" s="7"/>
      <c r="Z603" s="7"/>
    </row>
    <row r="604" spans="1:26" ht="12.75" customHeight="1" x14ac:dyDescent="0.2">
      <c r="A604" s="534"/>
      <c r="B604" s="534"/>
      <c r="C604" s="40" t="s">
        <v>36</v>
      </c>
      <c r="D604" s="41">
        <v>9</v>
      </c>
      <c r="E604" s="42">
        <v>12160.33</v>
      </c>
      <c r="F604" s="42"/>
      <c r="G604" s="42"/>
      <c r="H604" s="42">
        <v>6384.11</v>
      </c>
      <c r="I604" s="42">
        <v>0</v>
      </c>
      <c r="J604" s="42">
        <v>1545.37</v>
      </c>
      <c r="K604" s="43">
        <v>18544.439999999999</v>
      </c>
      <c r="L604" s="32">
        <v>20089.810000000001</v>
      </c>
      <c r="M604" s="33"/>
      <c r="N604" s="30">
        <v>18544.439999999999</v>
      </c>
      <c r="O604" s="30">
        <v>12160.33</v>
      </c>
      <c r="P604" s="30">
        <v>1710.6</v>
      </c>
      <c r="Q604" s="30">
        <f>(N604+O604*0.18+J604)+(IF((P604-O604*0.18)&gt;0,(P604-O604*0.18),0))</f>
        <v>22278.669399999999</v>
      </c>
      <c r="R604" s="7"/>
      <c r="S604" s="7"/>
      <c r="T604" s="7"/>
      <c r="U604" s="7"/>
      <c r="V604" s="7"/>
      <c r="W604" s="7"/>
      <c r="X604" s="7"/>
      <c r="Y604" s="7"/>
      <c r="Z604" s="7"/>
    </row>
    <row r="605" spans="1:26" ht="9" customHeight="1" x14ac:dyDescent="0.2">
      <c r="A605" s="534"/>
      <c r="B605" s="534"/>
      <c r="C605" s="34" t="s">
        <v>37</v>
      </c>
      <c r="D605" s="35">
        <v>14</v>
      </c>
      <c r="E605" s="36">
        <v>23545682</v>
      </c>
      <c r="F605" s="36"/>
      <c r="G605" s="36"/>
      <c r="H605" s="36">
        <v>12361361</v>
      </c>
      <c r="I605" s="36">
        <v>0</v>
      </c>
      <c r="J605" s="37">
        <v>2992254</v>
      </c>
      <c r="K605" s="36">
        <v>35907043</v>
      </c>
      <c r="L605" s="38">
        <v>38899296</v>
      </c>
      <c r="M605" s="39"/>
      <c r="N605" s="36">
        <v>35907043</v>
      </c>
      <c r="O605" s="36">
        <v>23545682</v>
      </c>
      <c r="P605" s="36">
        <v>3312183</v>
      </c>
      <c r="Q605" s="36">
        <f>Q604*1936.27</f>
        <v>43137519.199138001</v>
      </c>
      <c r="R605" s="7"/>
      <c r="S605" s="7"/>
      <c r="T605" s="7"/>
      <c r="U605" s="7"/>
      <c r="V605" s="7"/>
      <c r="W605" s="7"/>
      <c r="X605" s="7"/>
      <c r="Y605" s="7"/>
      <c r="Z605" s="7"/>
    </row>
    <row r="606" spans="1:26" ht="12.75" customHeight="1" x14ac:dyDescent="0.2">
      <c r="A606" s="534"/>
      <c r="B606" s="534"/>
      <c r="C606" s="40" t="s">
        <v>36</v>
      </c>
      <c r="D606" s="41">
        <v>15</v>
      </c>
      <c r="E606" s="42">
        <v>13783.62</v>
      </c>
      <c r="F606" s="42"/>
      <c r="G606" s="42"/>
      <c r="H606" s="42">
        <v>6384.11</v>
      </c>
      <c r="I606" s="42">
        <v>0</v>
      </c>
      <c r="J606" s="42">
        <v>1680.64</v>
      </c>
      <c r="K606" s="43">
        <v>20167.73</v>
      </c>
      <c r="L606" s="32">
        <v>21848.37</v>
      </c>
      <c r="M606" s="33"/>
      <c r="N606" s="30">
        <v>20167.73</v>
      </c>
      <c r="O606" s="30">
        <v>13783.62</v>
      </c>
      <c r="P606" s="30">
        <v>2111.16</v>
      </c>
      <c r="Q606" s="30">
        <f>(N606+O606*0.18+J606)+(IF((P606-O606*0.18)&gt;0,(P606-O606*0.18),0))</f>
        <v>24329.421599999998</v>
      </c>
      <c r="R606" s="7"/>
      <c r="S606" s="7"/>
      <c r="T606" s="7"/>
      <c r="U606" s="7"/>
      <c r="V606" s="7"/>
      <c r="W606" s="7"/>
      <c r="X606" s="7"/>
      <c r="Y606" s="7"/>
      <c r="Z606" s="7"/>
    </row>
    <row r="607" spans="1:26" ht="9" customHeight="1" x14ac:dyDescent="0.2">
      <c r="A607" s="534"/>
      <c r="B607" s="534"/>
      <c r="C607" s="34" t="s">
        <v>37</v>
      </c>
      <c r="D607" s="35">
        <v>20</v>
      </c>
      <c r="E607" s="36">
        <v>26688810</v>
      </c>
      <c r="F607" s="36"/>
      <c r="G607" s="36"/>
      <c r="H607" s="36">
        <v>12361361</v>
      </c>
      <c r="I607" s="36">
        <v>0</v>
      </c>
      <c r="J607" s="37">
        <v>3254173</v>
      </c>
      <c r="K607" s="36">
        <v>39050171</v>
      </c>
      <c r="L607" s="38">
        <v>42304343</v>
      </c>
      <c r="M607" s="39"/>
      <c r="N607" s="36">
        <v>39050171</v>
      </c>
      <c r="O607" s="36">
        <v>26688810</v>
      </c>
      <c r="P607" s="36">
        <v>4087776</v>
      </c>
      <c r="Q607" s="36">
        <f>Q606*1936.27</f>
        <v>47108329.161431998</v>
      </c>
      <c r="R607" s="7"/>
      <c r="S607" s="7"/>
      <c r="T607" s="7"/>
      <c r="U607" s="7"/>
      <c r="V607" s="7"/>
      <c r="W607" s="7"/>
      <c r="X607" s="7"/>
      <c r="Y607" s="7"/>
      <c r="Z607" s="7"/>
    </row>
    <row r="608" spans="1:26" ht="12.75" customHeight="1" x14ac:dyDescent="0.2">
      <c r="A608" s="534"/>
      <c r="B608" s="534"/>
      <c r="C608" s="40" t="s">
        <v>36</v>
      </c>
      <c r="D608" s="41">
        <v>21</v>
      </c>
      <c r="E608" s="42">
        <v>16132.69</v>
      </c>
      <c r="F608" s="42"/>
      <c r="G608" s="42"/>
      <c r="H608" s="42">
        <v>6384.11</v>
      </c>
      <c r="I608" s="42">
        <v>0</v>
      </c>
      <c r="J608" s="42">
        <v>1876.4</v>
      </c>
      <c r="K608" s="43">
        <v>22516.799999999999</v>
      </c>
      <c r="L608" s="32">
        <v>24393.200000000001</v>
      </c>
      <c r="M608" s="33"/>
      <c r="N608" s="30">
        <v>22516.799999999999</v>
      </c>
      <c r="O608" s="30">
        <v>16132.69</v>
      </c>
      <c r="P608" s="30">
        <v>2111.16</v>
      </c>
      <c r="Q608" s="30">
        <f>(N608+O608*0.18+J608)+(IF((P608-O608*0.18)&gt;0,(P608-O608*0.18),0))</f>
        <v>27297.084200000001</v>
      </c>
      <c r="R608" s="7"/>
      <c r="S608" s="7"/>
      <c r="T608" s="7"/>
      <c r="U608" s="7"/>
      <c r="V608" s="7"/>
      <c r="W608" s="7"/>
      <c r="X608" s="7"/>
      <c r="Y608" s="7"/>
      <c r="Z608" s="7"/>
    </row>
    <row r="609" spans="1:26" ht="9" customHeight="1" x14ac:dyDescent="0.2">
      <c r="A609" s="534"/>
      <c r="B609" s="534"/>
      <c r="C609" s="34" t="s">
        <v>37</v>
      </c>
      <c r="D609" s="35">
        <v>27</v>
      </c>
      <c r="E609" s="36">
        <v>31237244</v>
      </c>
      <c r="F609" s="36"/>
      <c r="G609" s="36"/>
      <c r="H609" s="36">
        <v>12361361</v>
      </c>
      <c r="I609" s="36">
        <v>0</v>
      </c>
      <c r="J609" s="37">
        <v>3633217</v>
      </c>
      <c r="K609" s="36">
        <v>43598604</v>
      </c>
      <c r="L609" s="38">
        <v>47231821</v>
      </c>
      <c r="M609" s="39"/>
      <c r="N609" s="36">
        <v>43598604</v>
      </c>
      <c r="O609" s="36">
        <v>31237244</v>
      </c>
      <c r="P609" s="36">
        <v>4087776</v>
      </c>
      <c r="Q609" s="36">
        <f>Q608*1936.27</f>
        <v>52854525.223934002</v>
      </c>
      <c r="R609" s="7"/>
      <c r="S609" s="7"/>
      <c r="T609" s="7"/>
      <c r="U609" s="7"/>
      <c r="V609" s="7"/>
      <c r="W609" s="7"/>
      <c r="X609" s="7"/>
      <c r="Y609" s="7"/>
      <c r="Z609" s="7"/>
    </row>
    <row r="610" spans="1:26" ht="12.75" customHeight="1" x14ac:dyDescent="0.2">
      <c r="A610" s="534"/>
      <c r="B610" s="534"/>
      <c r="C610" s="40" t="s">
        <v>36</v>
      </c>
      <c r="D610" s="41">
        <v>28</v>
      </c>
      <c r="E610" s="42">
        <v>17674.03</v>
      </c>
      <c r="F610" s="42"/>
      <c r="G610" s="42"/>
      <c r="H610" s="42">
        <v>6384.11</v>
      </c>
      <c r="I610" s="42">
        <v>0</v>
      </c>
      <c r="J610" s="42">
        <v>2004.85</v>
      </c>
      <c r="K610" s="43">
        <v>24058.14</v>
      </c>
      <c r="L610" s="32">
        <v>26062.99</v>
      </c>
      <c r="M610" s="33"/>
      <c r="N610" s="30">
        <v>24058.14</v>
      </c>
      <c r="O610" s="30">
        <v>17674.03</v>
      </c>
      <c r="P610" s="30">
        <v>2585.4</v>
      </c>
      <c r="Q610" s="30">
        <f>(N610+O610*0.18+J610)+(IF((P610-O610*0.18)&gt;0,(P610-O610*0.18),0))</f>
        <v>29244.315399999999</v>
      </c>
      <c r="R610" s="7"/>
      <c r="S610" s="7"/>
      <c r="T610" s="7"/>
      <c r="U610" s="7"/>
      <c r="V610" s="7"/>
      <c r="W610" s="7"/>
      <c r="X610" s="7"/>
      <c r="Y610" s="7"/>
      <c r="Z610" s="7"/>
    </row>
    <row r="611" spans="1:26" ht="9" customHeight="1" x14ac:dyDescent="0.2">
      <c r="A611" s="534"/>
      <c r="B611" s="534"/>
      <c r="C611" s="34" t="s">
        <v>37</v>
      </c>
      <c r="D611" s="35">
        <v>34</v>
      </c>
      <c r="E611" s="36">
        <v>34221694</v>
      </c>
      <c r="F611" s="36"/>
      <c r="G611" s="36"/>
      <c r="H611" s="36">
        <v>12361361</v>
      </c>
      <c r="I611" s="36">
        <v>0</v>
      </c>
      <c r="J611" s="37">
        <v>3881931</v>
      </c>
      <c r="K611" s="36">
        <v>46583055</v>
      </c>
      <c r="L611" s="38">
        <v>50464986</v>
      </c>
      <c r="M611" s="39"/>
      <c r="N611" s="36">
        <v>46583055</v>
      </c>
      <c r="O611" s="36">
        <v>34221694</v>
      </c>
      <c r="P611" s="36">
        <v>5006032</v>
      </c>
      <c r="Q611" s="36">
        <f>Q610*1936.27</f>
        <v>56624890.579558</v>
      </c>
      <c r="R611" s="7"/>
      <c r="S611" s="7"/>
      <c r="T611" s="7"/>
      <c r="U611" s="7"/>
      <c r="V611" s="7"/>
      <c r="W611" s="7"/>
      <c r="X611" s="7"/>
      <c r="Y611" s="7"/>
      <c r="Z611" s="7"/>
    </row>
    <row r="612" spans="1:26" ht="12.75" customHeight="1" x14ac:dyDescent="0.2">
      <c r="A612" s="534"/>
      <c r="B612" s="534"/>
      <c r="C612" s="40" t="s">
        <v>36</v>
      </c>
      <c r="D612" s="41">
        <v>35</v>
      </c>
      <c r="E612" s="42">
        <v>18845.02</v>
      </c>
      <c r="F612" s="42"/>
      <c r="G612" s="42"/>
      <c r="H612" s="42">
        <v>6384.11</v>
      </c>
      <c r="I612" s="42">
        <v>0</v>
      </c>
      <c r="J612" s="42">
        <v>2102.4299999999998</v>
      </c>
      <c r="K612" s="43">
        <v>25229.13</v>
      </c>
      <c r="L612" s="32">
        <v>27331.56</v>
      </c>
      <c r="M612" s="33"/>
      <c r="N612" s="30">
        <v>25229.13</v>
      </c>
      <c r="O612" s="30">
        <v>18845.02</v>
      </c>
      <c r="P612" s="30">
        <v>2585.4</v>
      </c>
      <c r="Q612" s="30">
        <f>(N612+O612*0.18+J612)+(IF((P612-O612*0.18)&gt;0,(P612-O612*0.18),0))</f>
        <v>30723.6636</v>
      </c>
      <c r="R612" s="7"/>
      <c r="S612" s="7"/>
      <c r="T612" s="7"/>
      <c r="U612" s="7"/>
      <c r="V612" s="7"/>
      <c r="W612" s="7"/>
      <c r="X612" s="7"/>
      <c r="Y612" s="7"/>
      <c r="Z612" s="7"/>
    </row>
    <row r="613" spans="1:26" ht="9" customHeight="1" x14ac:dyDescent="0.2">
      <c r="A613" s="535"/>
      <c r="B613" s="535"/>
      <c r="C613" s="47" t="s">
        <v>37</v>
      </c>
      <c r="D613" s="48"/>
      <c r="E613" s="46">
        <v>36489047</v>
      </c>
      <c r="F613" s="46"/>
      <c r="G613" s="46"/>
      <c r="H613" s="46">
        <v>12361361</v>
      </c>
      <c r="I613" s="46">
        <v>0</v>
      </c>
      <c r="J613" s="49">
        <v>4070872</v>
      </c>
      <c r="K613" s="46">
        <v>48850408</v>
      </c>
      <c r="L613" s="38">
        <v>52921280</v>
      </c>
      <c r="M613" s="39"/>
      <c r="N613" s="36">
        <v>48850408</v>
      </c>
      <c r="O613" s="36">
        <v>36489047</v>
      </c>
      <c r="P613" s="36">
        <v>5006032</v>
      </c>
      <c r="Q613" s="36">
        <f>Q612*1936.27</f>
        <v>59489308.118772</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538">
        <v>37987</v>
      </c>
      <c r="B620" s="538">
        <v>38383</v>
      </c>
      <c r="C620" s="28" t="s">
        <v>36</v>
      </c>
      <c r="D620" s="29">
        <v>0</v>
      </c>
      <c r="E620" s="30">
        <v>10723.07</v>
      </c>
      <c r="F620" s="30"/>
      <c r="G620" s="30"/>
      <c r="H620" s="30">
        <v>6384.11</v>
      </c>
      <c r="I620" s="30">
        <v>0</v>
      </c>
      <c r="J620" s="30">
        <v>1425.6</v>
      </c>
      <c r="K620" s="31">
        <v>17107.18</v>
      </c>
      <c r="L620" s="32">
        <v>18532.78</v>
      </c>
      <c r="M620" s="33"/>
      <c r="N620" s="30">
        <v>17107.18</v>
      </c>
      <c r="O620" s="30">
        <v>10723.07</v>
      </c>
      <c r="P620" s="30">
        <v>1857.84</v>
      </c>
      <c r="Q620" s="30">
        <f>(N620+O620*0.18+J620)+(IF((P620-O620*0.18)&gt;0,(P620-O620*0.18),0))</f>
        <v>20462.9326</v>
      </c>
      <c r="R620" s="7"/>
      <c r="S620" s="7"/>
      <c r="T620" s="7"/>
      <c r="U620" s="7"/>
      <c r="V620" s="7"/>
      <c r="W620" s="7"/>
      <c r="X620" s="7"/>
      <c r="Y620" s="7"/>
      <c r="Z620" s="7"/>
    </row>
    <row r="621" spans="1:26" ht="9" customHeight="1" x14ac:dyDescent="0.2">
      <c r="A621" s="534"/>
      <c r="B621" s="534"/>
      <c r="C621" s="34" t="s">
        <v>37</v>
      </c>
      <c r="D621" s="35">
        <v>2</v>
      </c>
      <c r="E621" s="36">
        <v>20762759</v>
      </c>
      <c r="F621" s="36"/>
      <c r="G621" s="36"/>
      <c r="H621" s="36">
        <v>12361361</v>
      </c>
      <c r="I621" s="36">
        <v>0</v>
      </c>
      <c r="J621" s="37">
        <v>2760347</v>
      </c>
      <c r="K621" s="36">
        <v>33124119</v>
      </c>
      <c r="L621" s="38">
        <v>35884466</v>
      </c>
      <c r="M621" s="39"/>
      <c r="N621" s="36">
        <v>33124119</v>
      </c>
      <c r="O621" s="36">
        <v>20762759</v>
      </c>
      <c r="P621" s="36">
        <v>3597280</v>
      </c>
      <c r="Q621" s="36">
        <f>Q620*1936.27</f>
        <v>39621762.505401999</v>
      </c>
      <c r="R621" s="7"/>
      <c r="S621" s="7"/>
      <c r="T621" s="7"/>
      <c r="U621" s="7"/>
      <c r="V621" s="7"/>
      <c r="W621" s="7"/>
      <c r="X621" s="7"/>
      <c r="Y621" s="7"/>
      <c r="Z621" s="7"/>
    </row>
    <row r="622" spans="1:26" ht="12.75" customHeight="1" x14ac:dyDescent="0.2">
      <c r="A622" s="539">
        <v>37987</v>
      </c>
      <c r="B622" s="539">
        <v>38383</v>
      </c>
      <c r="C622" s="40" t="s">
        <v>36</v>
      </c>
      <c r="D622" s="41">
        <v>3</v>
      </c>
      <c r="E622" s="42">
        <v>11185.24</v>
      </c>
      <c r="F622" s="42"/>
      <c r="G622" s="42"/>
      <c r="H622" s="42">
        <v>6384.11</v>
      </c>
      <c r="I622" s="42">
        <v>0</v>
      </c>
      <c r="J622" s="42">
        <v>1464.11</v>
      </c>
      <c r="K622" s="43">
        <v>17569.349999999999</v>
      </c>
      <c r="L622" s="32">
        <v>19033.46</v>
      </c>
      <c r="M622" s="33"/>
      <c r="N622" s="30">
        <v>17569.349999999999</v>
      </c>
      <c r="O622" s="30">
        <v>11185.24</v>
      </c>
      <c r="P622" s="30">
        <v>1857.84</v>
      </c>
      <c r="Q622" s="30">
        <f>(N622+O622*0.18+J622)+(IF((P622-O622*0.18)&gt;0,(P622-O622*0.18),0))</f>
        <v>21046.803199999998</v>
      </c>
      <c r="R622" s="7"/>
      <c r="S622" s="7"/>
      <c r="T622" s="7"/>
      <c r="U622" s="7"/>
      <c r="V622" s="7"/>
      <c r="W622" s="7"/>
      <c r="X622" s="7"/>
      <c r="Y622" s="7"/>
      <c r="Z622" s="7"/>
    </row>
    <row r="623" spans="1:26" ht="9" customHeight="1" x14ac:dyDescent="0.2">
      <c r="A623" s="534"/>
      <c r="B623" s="534"/>
      <c r="C623" s="34" t="s">
        <v>37</v>
      </c>
      <c r="D623" s="35">
        <v>8</v>
      </c>
      <c r="E623" s="36">
        <v>21657645</v>
      </c>
      <c r="F623" s="36"/>
      <c r="G623" s="36"/>
      <c r="H623" s="36">
        <v>12361361</v>
      </c>
      <c r="I623" s="36">
        <v>0</v>
      </c>
      <c r="J623" s="37">
        <v>2834912</v>
      </c>
      <c r="K623" s="36">
        <v>34019005</v>
      </c>
      <c r="L623" s="38">
        <v>36853918</v>
      </c>
      <c r="M623" s="39"/>
      <c r="N623" s="36">
        <v>34019005</v>
      </c>
      <c r="O623" s="36">
        <v>21657645</v>
      </c>
      <c r="P623" s="36">
        <v>3597280</v>
      </c>
      <c r="Q623" s="36">
        <f>Q622*1936.27</f>
        <v>40752293.632064</v>
      </c>
      <c r="R623" s="7"/>
      <c r="S623" s="7"/>
      <c r="T623" s="7"/>
      <c r="U623" s="7"/>
      <c r="V623" s="7"/>
      <c r="W623" s="7"/>
      <c r="X623" s="7"/>
      <c r="Y623" s="7"/>
      <c r="Z623" s="7"/>
    </row>
    <row r="624" spans="1:26" ht="12.75" customHeight="1" x14ac:dyDescent="0.2">
      <c r="A624" s="534"/>
      <c r="B624" s="534"/>
      <c r="C624" s="40" t="s">
        <v>36</v>
      </c>
      <c r="D624" s="41">
        <v>9</v>
      </c>
      <c r="E624" s="42">
        <v>12608.53</v>
      </c>
      <c r="F624" s="42"/>
      <c r="G624" s="42"/>
      <c r="H624" s="42">
        <v>6384.11</v>
      </c>
      <c r="I624" s="42">
        <v>0</v>
      </c>
      <c r="J624" s="42">
        <v>1582.72</v>
      </c>
      <c r="K624" s="43">
        <v>18992.64</v>
      </c>
      <c r="L624" s="32">
        <v>20575.36</v>
      </c>
      <c r="M624" s="33"/>
      <c r="N624" s="30">
        <v>18992.64</v>
      </c>
      <c r="O624" s="30">
        <v>12608.53</v>
      </c>
      <c r="P624" s="30">
        <v>1857.84</v>
      </c>
      <c r="Q624" s="30">
        <f>(N624+O624*0.18+J624)+(IF((P624-O624*0.18)&gt;0,(P624-O624*0.18),0))</f>
        <v>22844.895400000001</v>
      </c>
      <c r="R624" s="7"/>
      <c r="S624" s="7"/>
      <c r="T624" s="7"/>
      <c r="U624" s="7"/>
      <c r="V624" s="7"/>
      <c r="W624" s="7"/>
      <c r="X624" s="7"/>
      <c r="Y624" s="7"/>
      <c r="Z624" s="7"/>
    </row>
    <row r="625" spans="1:26" ht="9" customHeight="1" x14ac:dyDescent="0.2">
      <c r="A625" s="534"/>
      <c r="B625" s="534"/>
      <c r="C625" s="34" t="s">
        <v>37</v>
      </c>
      <c r="D625" s="35">
        <v>14</v>
      </c>
      <c r="E625" s="36">
        <v>24413518</v>
      </c>
      <c r="F625" s="36"/>
      <c r="G625" s="36"/>
      <c r="H625" s="36">
        <v>12361361</v>
      </c>
      <c r="I625" s="36">
        <v>0</v>
      </c>
      <c r="J625" s="37">
        <v>3064573</v>
      </c>
      <c r="K625" s="36">
        <v>36774879</v>
      </c>
      <c r="L625" s="38">
        <v>39839452</v>
      </c>
      <c r="M625" s="39"/>
      <c r="N625" s="36">
        <v>36774879</v>
      </c>
      <c r="O625" s="36">
        <v>24413518</v>
      </c>
      <c r="P625" s="36">
        <v>3597280</v>
      </c>
      <c r="Q625" s="36">
        <f>Q624*1936.27</f>
        <v>44233885.616158001</v>
      </c>
      <c r="R625" s="7"/>
      <c r="S625" s="7"/>
      <c r="T625" s="7"/>
      <c r="U625" s="7"/>
      <c r="V625" s="7"/>
      <c r="W625" s="7"/>
      <c r="X625" s="7"/>
      <c r="Y625" s="7"/>
      <c r="Z625" s="7"/>
    </row>
    <row r="626" spans="1:26" ht="12.75" customHeight="1" x14ac:dyDescent="0.2">
      <c r="A626" s="534"/>
      <c r="B626" s="534"/>
      <c r="C626" s="40" t="s">
        <v>36</v>
      </c>
      <c r="D626" s="41">
        <v>15</v>
      </c>
      <c r="E626" s="42">
        <v>14271.06</v>
      </c>
      <c r="F626" s="42"/>
      <c r="G626" s="42"/>
      <c r="H626" s="42">
        <v>6384.11</v>
      </c>
      <c r="I626" s="42">
        <v>0</v>
      </c>
      <c r="J626" s="42">
        <v>1721.26</v>
      </c>
      <c r="K626" s="43">
        <v>20655.169999999998</v>
      </c>
      <c r="L626" s="32">
        <v>22376.43</v>
      </c>
      <c r="M626" s="33"/>
      <c r="N626" s="30">
        <v>20655.169999999998</v>
      </c>
      <c r="O626" s="30">
        <v>14271.06</v>
      </c>
      <c r="P626" s="30">
        <v>2287.8000000000002</v>
      </c>
      <c r="Q626" s="30">
        <f>(N626+O626*0.18+J626)+(IF((P626-O626*0.18)&gt;0,(P626-O626*0.18),0))</f>
        <v>24945.220799999996</v>
      </c>
      <c r="R626" s="7"/>
      <c r="S626" s="7"/>
      <c r="T626" s="7"/>
      <c r="U626" s="7"/>
      <c r="V626" s="7"/>
      <c r="W626" s="7"/>
      <c r="X626" s="7"/>
      <c r="Y626" s="7"/>
      <c r="Z626" s="7"/>
    </row>
    <row r="627" spans="1:26" ht="9" customHeight="1" x14ac:dyDescent="0.2">
      <c r="A627" s="534"/>
      <c r="B627" s="534"/>
      <c r="C627" s="34" t="s">
        <v>37</v>
      </c>
      <c r="D627" s="35">
        <v>20</v>
      </c>
      <c r="E627" s="36">
        <v>27632625</v>
      </c>
      <c r="F627" s="36"/>
      <c r="G627" s="36"/>
      <c r="H627" s="36">
        <v>12361361</v>
      </c>
      <c r="I627" s="36">
        <v>0</v>
      </c>
      <c r="J627" s="37">
        <v>3332824</v>
      </c>
      <c r="K627" s="36">
        <v>39993986</v>
      </c>
      <c r="L627" s="38">
        <v>43326810</v>
      </c>
      <c r="M627" s="39"/>
      <c r="N627" s="36">
        <v>39993986</v>
      </c>
      <c r="O627" s="36">
        <v>27632625</v>
      </c>
      <c r="P627" s="36">
        <v>4429799</v>
      </c>
      <c r="Q627" s="36">
        <f>Q626*1936.27</f>
        <v>48300682.678415991</v>
      </c>
      <c r="R627" s="7"/>
      <c r="S627" s="7"/>
      <c r="T627" s="7"/>
      <c r="U627" s="7"/>
      <c r="V627" s="7"/>
      <c r="W627" s="7"/>
      <c r="X627" s="7"/>
      <c r="Y627" s="7"/>
      <c r="Z627" s="7"/>
    </row>
    <row r="628" spans="1:26" ht="12.75" customHeight="1" x14ac:dyDescent="0.2">
      <c r="A628" s="534"/>
      <c r="B628" s="534"/>
      <c r="C628" s="40" t="s">
        <v>36</v>
      </c>
      <c r="D628" s="41">
        <v>21</v>
      </c>
      <c r="E628" s="42">
        <v>16676.89</v>
      </c>
      <c r="F628" s="42"/>
      <c r="G628" s="42"/>
      <c r="H628" s="42">
        <v>6384.11</v>
      </c>
      <c r="I628" s="42">
        <v>0</v>
      </c>
      <c r="J628" s="42">
        <v>1921.75</v>
      </c>
      <c r="K628" s="43">
        <v>23061</v>
      </c>
      <c r="L628" s="32">
        <v>24982.75</v>
      </c>
      <c r="M628" s="33"/>
      <c r="N628" s="30">
        <v>23061</v>
      </c>
      <c r="O628" s="30">
        <v>16676.89</v>
      </c>
      <c r="P628" s="30">
        <v>2287.8000000000002</v>
      </c>
      <c r="Q628" s="30">
        <f>(N628+O628*0.18+J628)+(IF((P628-O628*0.18)&gt;0,(P628-O628*0.18),0))</f>
        <v>27984.590199999999</v>
      </c>
      <c r="R628" s="7"/>
      <c r="S628" s="7"/>
      <c r="T628" s="7"/>
      <c r="U628" s="7"/>
      <c r="V628" s="7"/>
      <c r="W628" s="7"/>
      <c r="X628" s="7"/>
      <c r="Y628" s="7"/>
      <c r="Z628" s="7"/>
    </row>
    <row r="629" spans="1:26" ht="9" customHeight="1" x14ac:dyDescent="0.2">
      <c r="A629" s="534"/>
      <c r="B629" s="534"/>
      <c r="C629" s="34" t="s">
        <v>37</v>
      </c>
      <c r="D629" s="35">
        <v>27</v>
      </c>
      <c r="E629" s="36">
        <v>32290962</v>
      </c>
      <c r="F629" s="36"/>
      <c r="G629" s="36"/>
      <c r="H629" s="36">
        <v>12361361</v>
      </c>
      <c r="I629" s="36">
        <v>0</v>
      </c>
      <c r="J629" s="37">
        <v>3721027</v>
      </c>
      <c r="K629" s="36">
        <v>44652322</v>
      </c>
      <c r="L629" s="38">
        <v>48373349</v>
      </c>
      <c r="M629" s="39"/>
      <c r="N629" s="36">
        <v>44652322</v>
      </c>
      <c r="O629" s="36">
        <v>32290962</v>
      </c>
      <c r="P629" s="36">
        <v>4429799</v>
      </c>
      <c r="Q629" s="36">
        <f>Q628*1936.27</f>
        <v>54185722.466553994</v>
      </c>
      <c r="R629" s="7"/>
      <c r="S629" s="7"/>
      <c r="T629" s="7"/>
      <c r="U629" s="7"/>
      <c r="V629" s="7"/>
      <c r="W629" s="7"/>
      <c r="X629" s="7"/>
      <c r="Y629" s="7"/>
      <c r="Z629" s="7"/>
    </row>
    <row r="630" spans="1:26" ht="12.75" customHeight="1" x14ac:dyDescent="0.2">
      <c r="A630" s="534"/>
      <c r="B630" s="534"/>
      <c r="C630" s="40" t="s">
        <v>36</v>
      </c>
      <c r="D630" s="41">
        <v>28</v>
      </c>
      <c r="E630" s="42">
        <v>18255.55</v>
      </c>
      <c r="F630" s="42"/>
      <c r="G630" s="42"/>
      <c r="H630" s="42">
        <v>6384.11</v>
      </c>
      <c r="I630" s="42">
        <v>0</v>
      </c>
      <c r="J630" s="42">
        <v>2053.31</v>
      </c>
      <c r="K630" s="43">
        <v>24639.66</v>
      </c>
      <c r="L630" s="32">
        <v>26692.97</v>
      </c>
      <c r="M630" s="33"/>
      <c r="N630" s="30">
        <v>24639.66</v>
      </c>
      <c r="O630" s="30">
        <v>18255.55</v>
      </c>
      <c r="P630" s="30">
        <v>2870.04</v>
      </c>
      <c r="Q630" s="30">
        <f>(N630+O630*0.18+J630)+(IF((P630-O630*0.18)&gt;0,(P630-O630*0.18),0))</f>
        <v>29978.969000000001</v>
      </c>
      <c r="R630" s="7"/>
      <c r="S630" s="7"/>
      <c r="T630" s="7"/>
      <c r="U630" s="7"/>
      <c r="V630" s="7"/>
      <c r="W630" s="7"/>
      <c r="X630" s="7"/>
      <c r="Y630" s="7"/>
      <c r="Z630" s="7"/>
    </row>
    <row r="631" spans="1:26" ht="9" customHeight="1" x14ac:dyDescent="0.2">
      <c r="A631" s="534"/>
      <c r="B631" s="534"/>
      <c r="C631" s="34" t="s">
        <v>37</v>
      </c>
      <c r="D631" s="35">
        <v>34</v>
      </c>
      <c r="E631" s="36">
        <v>35347674</v>
      </c>
      <c r="F631" s="36"/>
      <c r="G631" s="36"/>
      <c r="H631" s="36">
        <v>12361361</v>
      </c>
      <c r="I631" s="36">
        <v>0</v>
      </c>
      <c r="J631" s="37">
        <v>3975763</v>
      </c>
      <c r="K631" s="36">
        <v>47709034</v>
      </c>
      <c r="L631" s="38">
        <v>51684797</v>
      </c>
      <c r="M631" s="39"/>
      <c r="N631" s="36">
        <v>47709034</v>
      </c>
      <c r="O631" s="36">
        <v>35347674</v>
      </c>
      <c r="P631" s="36">
        <v>5557172</v>
      </c>
      <c r="Q631" s="36">
        <f>Q630*1936.27</f>
        <v>58047378.305629998</v>
      </c>
      <c r="R631" s="7"/>
      <c r="S631" s="7"/>
      <c r="T631" s="7"/>
      <c r="U631" s="7"/>
      <c r="V631" s="7"/>
      <c r="W631" s="7"/>
      <c r="X631" s="7"/>
      <c r="Y631" s="7"/>
      <c r="Z631" s="7"/>
    </row>
    <row r="632" spans="1:26" ht="12.75" customHeight="1" x14ac:dyDescent="0.2">
      <c r="A632" s="534"/>
      <c r="B632" s="534"/>
      <c r="C632" s="40" t="s">
        <v>36</v>
      </c>
      <c r="D632" s="41">
        <v>35</v>
      </c>
      <c r="E632" s="42">
        <v>19454.740000000002</v>
      </c>
      <c r="F632" s="42"/>
      <c r="G632" s="42"/>
      <c r="H632" s="42">
        <v>6384.11</v>
      </c>
      <c r="I632" s="42">
        <v>0</v>
      </c>
      <c r="J632" s="42">
        <v>2153.2399999999998</v>
      </c>
      <c r="K632" s="43">
        <v>25838.85</v>
      </c>
      <c r="L632" s="32">
        <v>27992.09</v>
      </c>
      <c r="M632" s="33"/>
      <c r="N632" s="30">
        <v>25838.85</v>
      </c>
      <c r="O632" s="30">
        <v>19454.740000000002</v>
      </c>
      <c r="P632" s="30">
        <v>2870.04</v>
      </c>
      <c r="Q632" s="30">
        <f>(N632+O632*0.18+J632)+(IF((P632-O632*0.18)&gt;0,(P632-O632*0.18),0))</f>
        <v>31493.943200000002</v>
      </c>
      <c r="R632" s="7"/>
      <c r="S632" s="7"/>
      <c r="T632" s="7"/>
      <c r="U632" s="7"/>
      <c r="V632" s="7"/>
      <c r="W632" s="7"/>
      <c r="X632" s="7"/>
      <c r="Y632" s="7"/>
      <c r="Z632" s="7"/>
    </row>
    <row r="633" spans="1:26" ht="9" customHeight="1" x14ac:dyDescent="0.2">
      <c r="A633" s="535"/>
      <c r="B633" s="535"/>
      <c r="C633" s="47" t="s">
        <v>37</v>
      </c>
      <c r="D633" s="48"/>
      <c r="E633" s="46">
        <v>37669629</v>
      </c>
      <c r="F633" s="46"/>
      <c r="G633" s="46"/>
      <c r="H633" s="46">
        <v>12361361</v>
      </c>
      <c r="I633" s="46">
        <v>0</v>
      </c>
      <c r="J633" s="49">
        <v>4169254</v>
      </c>
      <c r="K633" s="46">
        <v>50030990</v>
      </c>
      <c r="L633" s="38">
        <v>54200244</v>
      </c>
      <c r="M633" s="39"/>
      <c r="N633" s="36">
        <v>50030990</v>
      </c>
      <c r="O633" s="36">
        <v>37669629</v>
      </c>
      <c r="P633" s="36">
        <v>5557172</v>
      </c>
      <c r="Q633" s="36">
        <f>Q632*1936.27</f>
        <v>60980777.399864003</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538">
        <v>38384</v>
      </c>
      <c r="B640" s="538">
        <v>38717</v>
      </c>
      <c r="C640" s="28" t="s">
        <v>36</v>
      </c>
      <c r="D640" s="29">
        <v>0</v>
      </c>
      <c r="E640" s="30">
        <v>11198.03</v>
      </c>
      <c r="F640" s="30"/>
      <c r="G640" s="30"/>
      <c r="H640" s="30">
        <v>6384.11</v>
      </c>
      <c r="I640" s="30">
        <v>0</v>
      </c>
      <c r="J640" s="30">
        <v>1465.18</v>
      </c>
      <c r="K640" s="31">
        <v>17582.14</v>
      </c>
      <c r="L640" s="32">
        <v>19047.32</v>
      </c>
      <c r="M640" s="33"/>
      <c r="N640" s="30">
        <v>17582.14</v>
      </c>
      <c r="O640" s="30">
        <v>11198.03</v>
      </c>
      <c r="P640" s="30">
        <v>1857.84</v>
      </c>
      <c r="Q640" s="30">
        <f>(N640+O640*0.18+J640)+(IF((P640-O640*0.18)&gt;0,(P640-O640*0.18),0))</f>
        <v>21062.965400000001</v>
      </c>
      <c r="R640" s="7"/>
      <c r="S640" s="7"/>
      <c r="T640" s="7"/>
      <c r="U640" s="7"/>
      <c r="V640" s="7"/>
      <c r="W640" s="7"/>
      <c r="X640" s="7"/>
      <c r="Y640" s="7"/>
      <c r="Z640" s="7"/>
    </row>
    <row r="641" spans="1:26" ht="9" customHeight="1" x14ac:dyDescent="0.2">
      <c r="A641" s="557"/>
      <c r="B641" s="557"/>
      <c r="C641" s="34" t="s">
        <v>37</v>
      </c>
      <c r="D641" s="35">
        <v>2</v>
      </c>
      <c r="E641" s="36">
        <v>21682410</v>
      </c>
      <c r="F641" s="36"/>
      <c r="G641" s="36"/>
      <c r="H641" s="36">
        <v>12361361</v>
      </c>
      <c r="I641" s="36">
        <v>0</v>
      </c>
      <c r="J641" s="37">
        <v>2836984</v>
      </c>
      <c r="K641" s="36">
        <v>34043770</v>
      </c>
      <c r="L641" s="38">
        <v>36880754</v>
      </c>
      <c r="M641" s="39"/>
      <c r="N641" s="36">
        <v>34043770</v>
      </c>
      <c r="O641" s="36">
        <v>21682410</v>
      </c>
      <c r="P641" s="36">
        <v>3597280</v>
      </c>
      <c r="Q641" s="36">
        <f>Q640*1936.27</f>
        <v>40783588.015058003</v>
      </c>
      <c r="R641" s="7"/>
      <c r="S641" s="7"/>
      <c r="T641" s="7"/>
      <c r="U641" s="7"/>
      <c r="V641" s="7"/>
      <c r="W641" s="7"/>
      <c r="X641" s="7"/>
      <c r="Y641" s="7"/>
      <c r="Z641" s="7"/>
    </row>
    <row r="642" spans="1:26" ht="12.75" customHeight="1" x14ac:dyDescent="0.2">
      <c r="A642" s="539">
        <v>38384</v>
      </c>
      <c r="B642" s="539">
        <v>38717</v>
      </c>
      <c r="C642" s="40" t="s">
        <v>36</v>
      </c>
      <c r="D642" s="41">
        <v>3</v>
      </c>
      <c r="E642" s="42">
        <v>11673.04</v>
      </c>
      <c r="F642" s="42"/>
      <c r="G642" s="42"/>
      <c r="H642" s="42">
        <v>6384.11</v>
      </c>
      <c r="I642" s="42">
        <v>0</v>
      </c>
      <c r="J642" s="42">
        <v>1504.76</v>
      </c>
      <c r="K642" s="43">
        <v>18057.150000000001</v>
      </c>
      <c r="L642" s="32">
        <v>19561.91</v>
      </c>
      <c r="M642" s="33"/>
      <c r="N642" s="30">
        <v>18057.150000000001</v>
      </c>
      <c r="O642" s="30">
        <v>11673.04</v>
      </c>
      <c r="P642" s="30">
        <v>1857.84</v>
      </c>
      <c r="Q642" s="30">
        <f>(N642+O642*0.18+J642)+(IF((P642-O642*0.18)&gt;0,(P642-O642*0.18),0))</f>
        <v>21663.057199999999</v>
      </c>
      <c r="R642" s="7"/>
      <c r="S642" s="7"/>
      <c r="T642" s="7"/>
      <c r="U642" s="7"/>
      <c r="V642" s="7"/>
      <c r="W642" s="7"/>
      <c r="X642" s="7"/>
      <c r="Y642" s="7"/>
      <c r="Z642" s="7"/>
    </row>
    <row r="643" spans="1:26" ht="9" customHeight="1" x14ac:dyDescent="0.2">
      <c r="A643" s="534"/>
      <c r="B643" s="534"/>
      <c r="C643" s="34" t="s">
        <v>37</v>
      </c>
      <c r="D643" s="35">
        <v>8</v>
      </c>
      <c r="E643" s="36">
        <v>22602157</v>
      </c>
      <c r="F643" s="36"/>
      <c r="G643" s="36"/>
      <c r="H643" s="36">
        <v>12361361</v>
      </c>
      <c r="I643" s="36">
        <v>0</v>
      </c>
      <c r="J643" s="37">
        <v>2913622</v>
      </c>
      <c r="K643" s="36">
        <v>34963518</v>
      </c>
      <c r="L643" s="38">
        <v>37877139</v>
      </c>
      <c r="M643" s="39"/>
      <c r="N643" s="36">
        <v>34963518</v>
      </c>
      <c r="O643" s="36">
        <v>22602157</v>
      </c>
      <c r="P643" s="36">
        <v>3597280</v>
      </c>
      <c r="Q643" s="36">
        <f>Q642*1936.27</f>
        <v>41945527.764643997</v>
      </c>
      <c r="R643" s="7"/>
      <c r="S643" s="7"/>
      <c r="T643" s="7"/>
      <c r="U643" s="7"/>
      <c r="V643" s="7"/>
      <c r="W643" s="7"/>
      <c r="X643" s="7"/>
      <c r="Y643" s="7"/>
      <c r="Z643" s="7"/>
    </row>
    <row r="644" spans="1:26" ht="12.75" customHeight="1" x14ac:dyDescent="0.2">
      <c r="A644" s="534"/>
      <c r="B644" s="534"/>
      <c r="C644" s="40" t="s">
        <v>36</v>
      </c>
      <c r="D644" s="41">
        <v>9</v>
      </c>
      <c r="E644" s="42">
        <v>13135.93</v>
      </c>
      <c r="F644" s="42"/>
      <c r="G644" s="42"/>
      <c r="H644" s="42">
        <v>6384.11</v>
      </c>
      <c r="I644" s="42">
        <v>0</v>
      </c>
      <c r="J644" s="42">
        <v>1626.67</v>
      </c>
      <c r="K644" s="43">
        <v>19520.04</v>
      </c>
      <c r="L644" s="32">
        <v>21146.71</v>
      </c>
      <c r="M644" s="33"/>
      <c r="N644" s="30">
        <v>19520.04</v>
      </c>
      <c r="O644" s="30">
        <v>13135.93</v>
      </c>
      <c r="P644" s="30">
        <v>1857.84</v>
      </c>
      <c r="Q644" s="30">
        <f>(N644+O644*0.18+J644)+(IF((P644-O644*0.18)&gt;0,(P644-O644*0.18),0))</f>
        <v>23511.1774</v>
      </c>
      <c r="R644" s="7"/>
      <c r="S644" s="7"/>
      <c r="T644" s="7"/>
      <c r="U644" s="7"/>
      <c r="V644" s="7"/>
      <c r="W644" s="7"/>
      <c r="X644" s="7"/>
      <c r="Y644" s="7"/>
      <c r="Z644" s="7"/>
    </row>
    <row r="645" spans="1:26" ht="9" customHeight="1" x14ac:dyDescent="0.2">
      <c r="A645" s="534"/>
      <c r="B645" s="534"/>
      <c r="C645" s="34" t="s">
        <v>37</v>
      </c>
      <c r="D645" s="35">
        <v>14</v>
      </c>
      <c r="E645" s="36">
        <v>25434707</v>
      </c>
      <c r="F645" s="36"/>
      <c r="G645" s="36"/>
      <c r="H645" s="36">
        <v>12361361</v>
      </c>
      <c r="I645" s="36">
        <v>0</v>
      </c>
      <c r="J645" s="37">
        <v>3149672</v>
      </c>
      <c r="K645" s="36">
        <v>37796068</v>
      </c>
      <c r="L645" s="38">
        <v>40945740</v>
      </c>
      <c r="M645" s="39"/>
      <c r="N645" s="36">
        <v>37796068</v>
      </c>
      <c r="O645" s="36">
        <v>25434707</v>
      </c>
      <c r="P645" s="36">
        <v>3597280</v>
      </c>
      <c r="Q645" s="36">
        <f>Q644*1936.27</f>
        <v>45523987.464298002</v>
      </c>
      <c r="R645" s="7"/>
      <c r="S645" s="7"/>
      <c r="T645" s="7"/>
      <c r="U645" s="7"/>
      <c r="V645" s="7"/>
      <c r="W645" s="7"/>
      <c r="X645" s="7"/>
      <c r="Y645" s="7"/>
      <c r="Z645" s="7"/>
    </row>
    <row r="646" spans="1:26" ht="12.75" customHeight="1" x14ac:dyDescent="0.2">
      <c r="A646" s="534"/>
      <c r="B646" s="534"/>
      <c r="C646" s="40" t="s">
        <v>36</v>
      </c>
      <c r="D646" s="41">
        <v>15</v>
      </c>
      <c r="E646" s="42">
        <v>14844.54</v>
      </c>
      <c r="F646" s="42"/>
      <c r="G646" s="42"/>
      <c r="H646" s="42">
        <v>6384.11</v>
      </c>
      <c r="I646" s="42">
        <v>0</v>
      </c>
      <c r="J646" s="42">
        <v>1769.05</v>
      </c>
      <c r="K646" s="43">
        <v>21228.65</v>
      </c>
      <c r="L646" s="32">
        <v>22997.7</v>
      </c>
      <c r="M646" s="33"/>
      <c r="N646" s="30">
        <v>21228.65</v>
      </c>
      <c r="O646" s="30">
        <v>14844.54</v>
      </c>
      <c r="P646" s="30">
        <v>2287.8000000000002</v>
      </c>
      <c r="Q646" s="30">
        <f>(N646+O646*0.18+J646)+(IF((P646-O646*0.18)&gt;0,(P646-O646*0.18),0))</f>
        <v>25669.717200000003</v>
      </c>
      <c r="R646" s="7"/>
      <c r="S646" s="7"/>
      <c r="T646" s="7"/>
      <c r="U646" s="7"/>
      <c r="V646" s="7"/>
      <c r="W646" s="7"/>
      <c r="X646" s="7"/>
      <c r="Y646" s="7"/>
      <c r="Z646" s="7"/>
    </row>
    <row r="647" spans="1:26" ht="9" customHeight="1" x14ac:dyDescent="0.2">
      <c r="A647" s="534"/>
      <c r="B647" s="534"/>
      <c r="C647" s="34" t="s">
        <v>37</v>
      </c>
      <c r="D647" s="35">
        <v>20</v>
      </c>
      <c r="E647" s="36">
        <v>28743037</v>
      </c>
      <c r="F647" s="36"/>
      <c r="G647" s="36"/>
      <c r="H647" s="36">
        <v>12361361</v>
      </c>
      <c r="I647" s="36">
        <v>0</v>
      </c>
      <c r="J647" s="37">
        <v>3425358</v>
      </c>
      <c r="K647" s="36">
        <v>41104398</v>
      </c>
      <c r="L647" s="38">
        <v>44529757</v>
      </c>
      <c r="M647" s="39"/>
      <c r="N647" s="36">
        <v>41104398</v>
      </c>
      <c r="O647" s="36">
        <v>28743037</v>
      </c>
      <c r="P647" s="36">
        <v>4429799</v>
      </c>
      <c r="Q647" s="36">
        <f>Q646*1936.27</f>
        <v>49703503.322844006</v>
      </c>
      <c r="R647" s="7"/>
      <c r="S647" s="7"/>
      <c r="T647" s="7"/>
      <c r="U647" s="7"/>
      <c r="V647" s="7"/>
      <c r="W647" s="7"/>
      <c r="X647" s="7"/>
      <c r="Y647" s="7"/>
      <c r="Z647" s="7"/>
    </row>
    <row r="648" spans="1:26" ht="12.75" customHeight="1" x14ac:dyDescent="0.2">
      <c r="A648" s="534"/>
      <c r="B648" s="534"/>
      <c r="C648" s="40" t="s">
        <v>36</v>
      </c>
      <c r="D648" s="41">
        <v>21</v>
      </c>
      <c r="E648" s="42">
        <v>17317.21</v>
      </c>
      <c r="F648" s="42"/>
      <c r="G648" s="42"/>
      <c r="H648" s="42">
        <v>6384.11</v>
      </c>
      <c r="I648" s="42">
        <v>0</v>
      </c>
      <c r="J648" s="42">
        <v>1975.11</v>
      </c>
      <c r="K648" s="43">
        <v>23701.32</v>
      </c>
      <c r="L648" s="32">
        <v>25676.43</v>
      </c>
      <c r="M648" s="33"/>
      <c r="N648" s="30">
        <v>23701.32</v>
      </c>
      <c r="O648" s="30">
        <v>17317.21</v>
      </c>
      <c r="P648" s="30">
        <v>2287.8000000000002</v>
      </c>
      <c r="Q648" s="30">
        <f>(N648+O648*0.18+J648)+(IF((P648-O648*0.18)&gt;0,(P648-O648*0.18),0))</f>
        <v>28793.5278</v>
      </c>
      <c r="R648" s="7"/>
      <c r="S648" s="7"/>
      <c r="T648" s="7"/>
      <c r="U648" s="7"/>
      <c r="V648" s="7"/>
      <c r="W648" s="7"/>
      <c r="X648" s="7"/>
      <c r="Y648" s="7"/>
      <c r="Z648" s="7"/>
    </row>
    <row r="649" spans="1:26" ht="9" customHeight="1" x14ac:dyDescent="0.2">
      <c r="A649" s="534"/>
      <c r="B649" s="534"/>
      <c r="C649" s="34" t="s">
        <v>37</v>
      </c>
      <c r="D649" s="35">
        <v>27</v>
      </c>
      <c r="E649" s="36">
        <v>33530794</v>
      </c>
      <c r="F649" s="36"/>
      <c r="G649" s="36"/>
      <c r="H649" s="36">
        <v>12361361</v>
      </c>
      <c r="I649" s="36">
        <v>0</v>
      </c>
      <c r="J649" s="37">
        <v>3824346</v>
      </c>
      <c r="K649" s="36">
        <v>45892155</v>
      </c>
      <c r="L649" s="38">
        <v>49716501</v>
      </c>
      <c r="M649" s="39"/>
      <c r="N649" s="36">
        <v>45892155</v>
      </c>
      <c r="O649" s="36">
        <v>33530794</v>
      </c>
      <c r="P649" s="36">
        <v>4429799</v>
      </c>
      <c r="Q649" s="36">
        <f>Q648*1936.27</f>
        <v>55752044.073306002</v>
      </c>
      <c r="R649" s="7"/>
      <c r="S649" s="7"/>
      <c r="T649" s="7"/>
      <c r="U649" s="7"/>
      <c r="V649" s="7"/>
      <c r="W649" s="7"/>
      <c r="X649" s="7"/>
      <c r="Y649" s="7"/>
      <c r="Z649" s="7"/>
    </row>
    <row r="650" spans="1:26" ht="12.75" customHeight="1" x14ac:dyDescent="0.2">
      <c r="A650" s="534"/>
      <c r="B650" s="534"/>
      <c r="C650" s="40" t="s">
        <v>36</v>
      </c>
      <c r="D650" s="41">
        <v>28</v>
      </c>
      <c r="E650" s="42">
        <v>18939.669999999998</v>
      </c>
      <c r="F650" s="42"/>
      <c r="G650" s="42"/>
      <c r="H650" s="42">
        <v>6384.11</v>
      </c>
      <c r="I650" s="42">
        <v>0</v>
      </c>
      <c r="J650" s="42">
        <v>2110.3200000000002</v>
      </c>
      <c r="K650" s="43">
        <v>25323.78</v>
      </c>
      <c r="L650" s="32">
        <v>27434.1</v>
      </c>
      <c r="M650" s="33"/>
      <c r="N650" s="30">
        <v>25323.78</v>
      </c>
      <c r="O650" s="30">
        <v>18939.669999999998</v>
      </c>
      <c r="P650" s="30">
        <v>2870.04</v>
      </c>
      <c r="Q650" s="30">
        <f>(N650+O650*0.18+J650)+(IF((P650-O650*0.18)&gt;0,(P650-O650*0.18),0))</f>
        <v>30843.240599999997</v>
      </c>
      <c r="R650" s="7"/>
      <c r="S650" s="7"/>
      <c r="T650" s="7"/>
      <c r="U650" s="7"/>
      <c r="V650" s="7"/>
      <c r="W650" s="7"/>
      <c r="X650" s="7"/>
      <c r="Y650" s="7"/>
      <c r="Z650" s="7"/>
    </row>
    <row r="651" spans="1:26" ht="9" customHeight="1" x14ac:dyDescent="0.2">
      <c r="A651" s="534"/>
      <c r="B651" s="534"/>
      <c r="C651" s="34" t="s">
        <v>37</v>
      </c>
      <c r="D651" s="35">
        <v>34</v>
      </c>
      <c r="E651" s="36">
        <v>36672315</v>
      </c>
      <c r="F651" s="36"/>
      <c r="G651" s="36"/>
      <c r="H651" s="36">
        <v>12361361</v>
      </c>
      <c r="I651" s="36">
        <v>0</v>
      </c>
      <c r="J651" s="37">
        <v>4086149</v>
      </c>
      <c r="K651" s="36">
        <v>49033676</v>
      </c>
      <c r="L651" s="38">
        <v>53119825</v>
      </c>
      <c r="M651" s="39"/>
      <c r="N651" s="36">
        <v>49033676</v>
      </c>
      <c r="O651" s="36">
        <v>36672315</v>
      </c>
      <c r="P651" s="36">
        <v>5557172</v>
      </c>
      <c r="Q651" s="36">
        <f>Q650*1936.27</f>
        <v>59720841.476561993</v>
      </c>
      <c r="R651" s="7"/>
      <c r="S651" s="7"/>
      <c r="T651" s="7"/>
      <c r="U651" s="7"/>
      <c r="V651" s="7"/>
      <c r="W651" s="7"/>
      <c r="X651" s="7"/>
      <c r="Y651" s="7"/>
      <c r="Z651" s="7"/>
    </row>
    <row r="652" spans="1:26" ht="12.75" customHeight="1" x14ac:dyDescent="0.2">
      <c r="A652" s="534"/>
      <c r="B652" s="534"/>
      <c r="C652" s="40" t="s">
        <v>36</v>
      </c>
      <c r="D652" s="41">
        <v>35</v>
      </c>
      <c r="E652" s="42">
        <v>20172.22</v>
      </c>
      <c r="F652" s="42"/>
      <c r="G652" s="42"/>
      <c r="H652" s="42">
        <v>6384.11</v>
      </c>
      <c r="I652" s="42">
        <v>0</v>
      </c>
      <c r="J652" s="42">
        <v>2213.0300000000002</v>
      </c>
      <c r="K652" s="43">
        <v>26556.33</v>
      </c>
      <c r="L652" s="32">
        <v>28769.360000000001</v>
      </c>
      <c r="M652" s="33"/>
      <c r="N652" s="30">
        <v>26556.33</v>
      </c>
      <c r="O652" s="30">
        <v>20172.22</v>
      </c>
      <c r="P652" s="30">
        <v>2870.04</v>
      </c>
      <c r="Q652" s="30">
        <f>(N652+O652*0.18+J652)+(IF((P652-O652*0.18)&gt;0,(P652-O652*0.18),0))</f>
        <v>32400.3596</v>
      </c>
      <c r="R652" s="7"/>
      <c r="S652" s="7"/>
      <c r="T652" s="7"/>
      <c r="U652" s="7"/>
      <c r="V652" s="7"/>
      <c r="W652" s="7"/>
      <c r="X652" s="7"/>
      <c r="Y652" s="7"/>
      <c r="Z652" s="7"/>
    </row>
    <row r="653" spans="1:26" ht="9" customHeight="1" x14ac:dyDescent="0.2">
      <c r="A653" s="535"/>
      <c r="B653" s="535"/>
      <c r="C653" s="47" t="s">
        <v>37</v>
      </c>
      <c r="D653" s="48"/>
      <c r="E653" s="46">
        <v>39058864</v>
      </c>
      <c r="F653" s="46"/>
      <c r="G653" s="46"/>
      <c r="H653" s="46">
        <v>12361361</v>
      </c>
      <c r="I653" s="46">
        <v>0</v>
      </c>
      <c r="J653" s="49">
        <v>4285024</v>
      </c>
      <c r="K653" s="46">
        <v>51420225</v>
      </c>
      <c r="L653" s="38">
        <v>55705249</v>
      </c>
      <c r="M653" s="39"/>
      <c r="N653" s="36">
        <v>51420225</v>
      </c>
      <c r="O653" s="36">
        <v>39058864</v>
      </c>
      <c r="P653" s="36">
        <v>5557172</v>
      </c>
      <c r="Q653" s="36">
        <f>Q652*1936.27</f>
        <v>62735844.282692</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538">
        <v>38718</v>
      </c>
      <c r="B660" s="538">
        <v>39082</v>
      </c>
      <c r="C660" s="28" t="s">
        <v>36</v>
      </c>
      <c r="D660" s="29">
        <v>0</v>
      </c>
      <c r="E660" s="30">
        <v>11279.51</v>
      </c>
      <c r="F660" s="30"/>
      <c r="G660" s="30"/>
      <c r="H660" s="30">
        <v>6384.11</v>
      </c>
      <c r="I660" s="30">
        <v>0</v>
      </c>
      <c r="J660" s="30">
        <v>1471.97</v>
      </c>
      <c r="K660" s="31">
        <v>17663.62</v>
      </c>
      <c r="L660" s="32">
        <v>19135.59</v>
      </c>
      <c r="M660" s="33"/>
      <c r="N660" s="30">
        <v>17663.62</v>
      </c>
      <c r="O660" s="30">
        <v>11279.51</v>
      </c>
      <c r="P660" s="30">
        <v>1968</v>
      </c>
      <c r="Q660" s="30">
        <f>(N660+O660*0.18+J660)+(IF((P660-O660*0.18)&gt;0,(P660-O660*0.18),0))</f>
        <v>21165.9018</v>
      </c>
      <c r="R660" s="7"/>
      <c r="S660" s="7"/>
      <c r="T660" s="7"/>
      <c r="U660" s="7"/>
      <c r="V660" s="7"/>
      <c r="W660" s="7"/>
      <c r="X660" s="7"/>
      <c r="Y660" s="7"/>
      <c r="Z660" s="7"/>
    </row>
    <row r="661" spans="1:26" ht="9" customHeight="1" x14ac:dyDescent="0.2">
      <c r="A661" s="534"/>
      <c r="B661" s="534"/>
      <c r="C661" s="34" t="s">
        <v>37</v>
      </c>
      <c r="D661" s="35">
        <v>2</v>
      </c>
      <c r="E661" s="36">
        <v>21840177</v>
      </c>
      <c r="F661" s="36"/>
      <c r="G661" s="36"/>
      <c r="H661" s="36">
        <v>12361361</v>
      </c>
      <c r="I661" s="36">
        <v>0</v>
      </c>
      <c r="J661" s="37">
        <v>2850131</v>
      </c>
      <c r="K661" s="36">
        <v>34201537</v>
      </c>
      <c r="L661" s="50">
        <v>37051669</v>
      </c>
      <c r="M661" s="39"/>
      <c r="N661" s="36">
        <v>34201537</v>
      </c>
      <c r="O661" s="36">
        <v>21840177</v>
      </c>
      <c r="P661" s="36">
        <v>3810579</v>
      </c>
      <c r="Q661" s="36">
        <f>Q660*1936.27</f>
        <v>40982900.678286001</v>
      </c>
      <c r="R661" s="7"/>
      <c r="S661" s="7"/>
      <c r="T661" s="7"/>
      <c r="U661" s="7"/>
      <c r="V661" s="7"/>
      <c r="W661" s="7"/>
      <c r="X661" s="7"/>
      <c r="Y661" s="7"/>
      <c r="Z661" s="7"/>
    </row>
    <row r="662" spans="1:26" ht="12.75" customHeight="1" x14ac:dyDescent="0.2">
      <c r="A662" s="539">
        <v>38718</v>
      </c>
      <c r="B662" s="539">
        <v>39082</v>
      </c>
      <c r="C662" s="40" t="s">
        <v>36</v>
      </c>
      <c r="D662" s="41">
        <v>3</v>
      </c>
      <c r="E662" s="30">
        <v>11756.68</v>
      </c>
      <c r="F662" s="30"/>
      <c r="G662" s="30"/>
      <c r="H662" s="30">
        <v>6384.11</v>
      </c>
      <c r="I662" s="30">
        <v>0</v>
      </c>
      <c r="J662" s="42">
        <v>1511.73</v>
      </c>
      <c r="K662" s="43">
        <v>18140.79</v>
      </c>
      <c r="L662" s="51">
        <v>19652.52</v>
      </c>
      <c r="M662" s="33"/>
      <c r="N662" s="30">
        <v>18140.79</v>
      </c>
      <c r="O662" s="30">
        <v>11756.68</v>
      </c>
      <c r="P662" s="30">
        <v>1968</v>
      </c>
      <c r="Q662" s="30">
        <f>(N662+O662*0.18+J662)+(IF((P662-O662*0.18)&gt;0,(P662-O662*0.18),0))</f>
        <v>21768.722400000002</v>
      </c>
      <c r="R662" s="7"/>
      <c r="S662" s="7"/>
      <c r="T662" s="7"/>
      <c r="U662" s="7"/>
      <c r="V662" s="7"/>
      <c r="W662" s="7"/>
      <c r="X662" s="7"/>
      <c r="Y662" s="7"/>
      <c r="Z662" s="7"/>
    </row>
    <row r="663" spans="1:26" ht="9" customHeight="1" x14ac:dyDescent="0.2">
      <c r="A663" s="534"/>
      <c r="B663" s="534"/>
      <c r="C663" s="34" t="s">
        <v>37</v>
      </c>
      <c r="D663" s="35">
        <v>8</v>
      </c>
      <c r="E663" s="36">
        <v>22764107</v>
      </c>
      <c r="F663" s="36"/>
      <c r="G663" s="36"/>
      <c r="H663" s="36">
        <v>12361361</v>
      </c>
      <c r="I663" s="36">
        <v>0</v>
      </c>
      <c r="J663" s="37">
        <v>2927117</v>
      </c>
      <c r="K663" s="36">
        <v>35125467</v>
      </c>
      <c r="L663" s="50">
        <v>38052585</v>
      </c>
      <c r="M663" s="39"/>
      <c r="N663" s="36">
        <v>35125467</v>
      </c>
      <c r="O663" s="36">
        <v>22764107</v>
      </c>
      <c r="P663" s="36">
        <v>3810579</v>
      </c>
      <c r="Q663" s="36">
        <f>Q662*1936.27</f>
        <v>42150124.121448003</v>
      </c>
      <c r="R663" s="7"/>
      <c r="S663" s="7"/>
      <c r="T663" s="7"/>
      <c r="U663" s="7"/>
      <c r="V663" s="7"/>
      <c r="W663" s="7"/>
      <c r="X663" s="7"/>
      <c r="Y663" s="7"/>
      <c r="Z663" s="7"/>
    </row>
    <row r="664" spans="1:26" ht="12.75" customHeight="1" x14ac:dyDescent="0.2">
      <c r="A664" s="534"/>
      <c r="B664" s="534"/>
      <c r="C664" s="40" t="s">
        <v>36</v>
      </c>
      <c r="D664" s="41">
        <v>9</v>
      </c>
      <c r="E664" s="30">
        <v>13226.29</v>
      </c>
      <c r="F664" s="30"/>
      <c r="G664" s="30"/>
      <c r="H664" s="30">
        <v>6384.11</v>
      </c>
      <c r="I664" s="30">
        <v>0</v>
      </c>
      <c r="J664" s="42">
        <v>1634.2</v>
      </c>
      <c r="K664" s="43">
        <v>19610.400000000001</v>
      </c>
      <c r="L664" s="51">
        <v>21244.6</v>
      </c>
      <c r="M664" s="33"/>
      <c r="N664" s="30">
        <v>19610.400000000001</v>
      </c>
      <c r="O664" s="30">
        <v>13226.29</v>
      </c>
      <c r="P664" s="30">
        <v>1968</v>
      </c>
      <c r="Q664" s="30">
        <f>(N664+O664*0.18+J664)+(IF((P664-O664*0.18)&gt;0,(P664-O664*0.18),0))</f>
        <v>23625.332200000001</v>
      </c>
      <c r="R664" s="7"/>
      <c r="S664" s="7"/>
      <c r="T664" s="7"/>
      <c r="U664" s="7"/>
      <c r="V664" s="7"/>
      <c r="W664" s="7"/>
      <c r="X664" s="7"/>
      <c r="Y664" s="7"/>
      <c r="Z664" s="7"/>
    </row>
    <row r="665" spans="1:26" ht="9" customHeight="1" x14ac:dyDescent="0.2">
      <c r="A665" s="534"/>
      <c r="B665" s="534"/>
      <c r="C665" s="34" t="s">
        <v>37</v>
      </c>
      <c r="D665" s="35">
        <v>14</v>
      </c>
      <c r="E665" s="36">
        <v>25609669</v>
      </c>
      <c r="F665" s="36"/>
      <c r="G665" s="36"/>
      <c r="H665" s="36">
        <v>12361361</v>
      </c>
      <c r="I665" s="36">
        <v>0</v>
      </c>
      <c r="J665" s="37">
        <v>3164252</v>
      </c>
      <c r="K665" s="36">
        <v>37971029</v>
      </c>
      <c r="L665" s="50">
        <v>41135282</v>
      </c>
      <c r="M665" s="39"/>
      <c r="N665" s="36">
        <v>37971029</v>
      </c>
      <c r="O665" s="36">
        <v>25609669</v>
      </c>
      <c r="P665" s="36">
        <v>3810579</v>
      </c>
      <c r="Q665" s="36">
        <f>Q664*1936.27</f>
        <v>45745021.978894003</v>
      </c>
      <c r="R665" s="7"/>
      <c r="S665" s="7"/>
      <c r="T665" s="7"/>
      <c r="U665" s="7"/>
      <c r="V665" s="7"/>
      <c r="W665" s="7"/>
      <c r="X665" s="7"/>
      <c r="Y665" s="7"/>
      <c r="Z665" s="7"/>
    </row>
    <row r="666" spans="1:26" ht="12.75" customHeight="1" x14ac:dyDescent="0.2">
      <c r="A666" s="534"/>
      <c r="B666" s="534"/>
      <c r="C666" s="40" t="s">
        <v>36</v>
      </c>
      <c r="D666" s="41">
        <v>15</v>
      </c>
      <c r="E666" s="30">
        <v>14942.82</v>
      </c>
      <c r="F666" s="30"/>
      <c r="G666" s="30"/>
      <c r="H666" s="30">
        <v>6384.11</v>
      </c>
      <c r="I666" s="30">
        <v>0</v>
      </c>
      <c r="J666" s="42">
        <v>1777.24</v>
      </c>
      <c r="K666" s="43">
        <v>21326.93</v>
      </c>
      <c r="L666" s="51">
        <v>23104.17</v>
      </c>
      <c r="M666" s="33"/>
      <c r="N666" s="30">
        <v>21326.93</v>
      </c>
      <c r="O666" s="30">
        <v>14942.82</v>
      </c>
      <c r="P666" s="30">
        <v>2424</v>
      </c>
      <c r="Q666" s="30">
        <f>(N666+O666*0.18+J666)+(IF((P666-O666*0.18)&gt;0,(P666-O666*0.18),0))</f>
        <v>25793.877600000003</v>
      </c>
      <c r="R666" s="7"/>
      <c r="S666" s="7"/>
      <c r="T666" s="7"/>
      <c r="U666" s="7"/>
      <c r="V666" s="7"/>
      <c r="W666" s="7"/>
      <c r="X666" s="7"/>
      <c r="Y666" s="7"/>
      <c r="Z666" s="7"/>
    </row>
    <row r="667" spans="1:26" ht="9" customHeight="1" x14ac:dyDescent="0.2">
      <c r="A667" s="534"/>
      <c r="B667" s="534"/>
      <c r="C667" s="34" t="s">
        <v>37</v>
      </c>
      <c r="D667" s="35">
        <v>20</v>
      </c>
      <c r="E667" s="36">
        <v>28933334</v>
      </c>
      <c r="F667" s="36"/>
      <c r="G667" s="36"/>
      <c r="H667" s="36">
        <v>12361361</v>
      </c>
      <c r="I667" s="36">
        <v>0</v>
      </c>
      <c r="J667" s="37">
        <v>3441216</v>
      </c>
      <c r="K667" s="36">
        <v>41294695</v>
      </c>
      <c r="L667" s="50">
        <v>44735911</v>
      </c>
      <c r="M667" s="39"/>
      <c r="N667" s="36">
        <v>41294695</v>
      </c>
      <c r="O667" s="36">
        <v>28933334</v>
      </c>
      <c r="P667" s="36">
        <v>4693518</v>
      </c>
      <c r="Q667" s="36">
        <f>Q666*1936.27</f>
        <v>49943911.380552009</v>
      </c>
      <c r="R667" s="7"/>
      <c r="S667" s="7"/>
      <c r="T667" s="7"/>
      <c r="U667" s="7"/>
      <c r="V667" s="7"/>
      <c r="W667" s="7"/>
      <c r="X667" s="7"/>
      <c r="Y667" s="7"/>
      <c r="Z667" s="7"/>
    </row>
    <row r="668" spans="1:26" ht="12.75" customHeight="1" x14ac:dyDescent="0.2">
      <c r="A668" s="534"/>
      <c r="B668" s="534"/>
      <c r="C668" s="40" t="s">
        <v>36</v>
      </c>
      <c r="D668" s="41">
        <v>21</v>
      </c>
      <c r="E668" s="30">
        <v>17427.009999999998</v>
      </c>
      <c r="F668" s="30"/>
      <c r="G668" s="30"/>
      <c r="H668" s="30">
        <v>6384.11</v>
      </c>
      <c r="I668" s="30">
        <v>0</v>
      </c>
      <c r="J668" s="42">
        <v>1984.26</v>
      </c>
      <c r="K668" s="43">
        <v>23811.119999999999</v>
      </c>
      <c r="L668" s="51">
        <v>25795.38</v>
      </c>
      <c r="M668" s="33"/>
      <c r="N668" s="30">
        <v>23811.119999999999</v>
      </c>
      <c r="O668" s="30">
        <v>17427.009999999998</v>
      </c>
      <c r="P668" s="30">
        <v>2424</v>
      </c>
      <c r="Q668" s="30">
        <f>(N668+O668*0.18+J668)+(IF((P668-O668*0.18)&gt;0,(P668-O668*0.18),0))</f>
        <v>28932.241799999996</v>
      </c>
      <c r="R668" s="7"/>
      <c r="S668" s="7"/>
      <c r="T668" s="7"/>
      <c r="U668" s="7"/>
      <c r="V668" s="7"/>
      <c r="W668" s="7"/>
      <c r="X668" s="7"/>
      <c r="Y668" s="7"/>
      <c r="Z668" s="7"/>
    </row>
    <row r="669" spans="1:26" ht="9" customHeight="1" x14ac:dyDescent="0.2">
      <c r="A669" s="534"/>
      <c r="B669" s="534"/>
      <c r="C669" s="34" t="s">
        <v>37</v>
      </c>
      <c r="D669" s="35">
        <v>27</v>
      </c>
      <c r="E669" s="36">
        <v>33743397</v>
      </c>
      <c r="F669" s="36"/>
      <c r="G669" s="36"/>
      <c r="H669" s="36">
        <v>12361361</v>
      </c>
      <c r="I669" s="36">
        <v>0</v>
      </c>
      <c r="J669" s="37">
        <v>3842063</v>
      </c>
      <c r="K669" s="36">
        <v>46104757</v>
      </c>
      <c r="L669" s="50">
        <v>49946820</v>
      </c>
      <c r="M669" s="39"/>
      <c r="N669" s="36">
        <v>46104757</v>
      </c>
      <c r="O669" s="36">
        <v>33743397</v>
      </c>
      <c r="P669" s="36">
        <v>4693518</v>
      </c>
      <c r="Q669" s="36">
        <f>Q668*1936.27</f>
        <v>56020631.830085993</v>
      </c>
      <c r="R669" s="7"/>
      <c r="S669" s="7"/>
      <c r="T669" s="7"/>
      <c r="U669" s="7"/>
      <c r="V669" s="7"/>
      <c r="W669" s="7"/>
      <c r="X669" s="7"/>
      <c r="Y669" s="7"/>
      <c r="Z669" s="7"/>
    </row>
    <row r="670" spans="1:26" ht="12.75" customHeight="1" x14ac:dyDescent="0.2">
      <c r="A670" s="534"/>
      <c r="B670" s="534"/>
      <c r="C670" s="40" t="s">
        <v>36</v>
      </c>
      <c r="D670" s="41">
        <v>28</v>
      </c>
      <c r="E670" s="30">
        <v>19056.91</v>
      </c>
      <c r="F670" s="30"/>
      <c r="G670" s="30"/>
      <c r="H670" s="30">
        <v>6384.11</v>
      </c>
      <c r="I670" s="30">
        <v>0</v>
      </c>
      <c r="J670" s="42">
        <v>2120.09</v>
      </c>
      <c r="K670" s="43">
        <v>25441.02</v>
      </c>
      <c r="L670" s="51">
        <v>27561.11</v>
      </c>
      <c r="M670" s="33"/>
      <c r="N670" s="30">
        <v>25441.02</v>
      </c>
      <c r="O670" s="30">
        <v>19056.91</v>
      </c>
      <c r="P670" s="30">
        <v>3090</v>
      </c>
      <c r="Q670" s="30">
        <f>(N670+O670*0.18+J670)+(IF((P670-O670*0.18)&gt;0,(P670-O670*0.18),0))</f>
        <v>30991.353800000001</v>
      </c>
      <c r="R670" s="7"/>
      <c r="S670" s="7"/>
      <c r="T670" s="7"/>
      <c r="U670" s="7"/>
      <c r="V670" s="7"/>
      <c r="W670" s="7"/>
      <c r="X670" s="7"/>
      <c r="Y670" s="7"/>
      <c r="Z670" s="7"/>
    </row>
    <row r="671" spans="1:26" ht="9" customHeight="1" x14ac:dyDescent="0.2">
      <c r="A671" s="534"/>
      <c r="B671" s="534"/>
      <c r="C671" s="34" t="s">
        <v>37</v>
      </c>
      <c r="D671" s="35">
        <v>34</v>
      </c>
      <c r="E671" s="36">
        <v>36899323</v>
      </c>
      <c r="F671" s="36"/>
      <c r="G671" s="36"/>
      <c r="H671" s="36">
        <v>12361361</v>
      </c>
      <c r="I671" s="36">
        <v>0</v>
      </c>
      <c r="J671" s="37">
        <v>4105067</v>
      </c>
      <c r="K671" s="36">
        <v>49260684</v>
      </c>
      <c r="L671" s="50">
        <v>53365750</v>
      </c>
      <c r="M671" s="39"/>
      <c r="N671" s="36">
        <v>49260684</v>
      </c>
      <c r="O671" s="36">
        <v>36899323</v>
      </c>
      <c r="P671" s="36">
        <v>5983074</v>
      </c>
      <c r="Q671" s="36">
        <f>Q670*1936.27</f>
        <v>60007628.622326002</v>
      </c>
      <c r="R671" s="7"/>
      <c r="S671" s="7"/>
      <c r="T671" s="7"/>
      <c r="U671" s="7"/>
      <c r="V671" s="7"/>
      <c r="W671" s="7"/>
      <c r="X671" s="7"/>
      <c r="Y671" s="7"/>
      <c r="Z671" s="7"/>
    </row>
    <row r="672" spans="1:26" ht="12.75" customHeight="1" x14ac:dyDescent="0.2">
      <c r="A672" s="534"/>
      <c r="B672" s="534"/>
      <c r="C672" s="40" t="s">
        <v>36</v>
      </c>
      <c r="D672" s="41">
        <v>35</v>
      </c>
      <c r="E672" s="30">
        <v>20295.22</v>
      </c>
      <c r="F672" s="30"/>
      <c r="G672" s="30"/>
      <c r="H672" s="30">
        <v>6384.11</v>
      </c>
      <c r="I672" s="30">
        <v>0</v>
      </c>
      <c r="J672" s="42">
        <v>2223.2800000000002</v>
      </c>
      <c r="K672" s="43">
        <v>26679.33</v>
      </c>
      <c r="L672" s="51">
        <v>28902.61</v>
      </c>
      <c r="M672" s="33"/>
      <c r="N672" s="30">
        <v>26679.33</v>
      </c>
      <c r="O672" s="30">
        <v>20295.22</v>
      </c>
      <c r="P672" s="30">
        <v>3090</v>
      </c>
      <c r="Q672" s="30">
        <f>(N672+O672*0.18+J672)+(IF((P672-O672*0.18)&gt;0,(P672-O672*0.18),0))</f>
        <v>32555.749599999999</v>
      </c>
      <c r="R672" s="7"/>
      <c r="S672" s="7"/>
      <c r="T672" s="7"/>
      <c r="U672" s="7"/>
      <c r="V672" s="7"/>
      <c r="W672" s="7"/>
      <c r="X672" s="7"/>
      <c r="Y672" s="7"/>
      <c r="Z672" s="7"/>
    </row>
    <row r="673" spans="1:26" ht="9" customHeight="1" x14ac:dyDescent="0.2">
      <c r="A673" s="535"/>
      <c r="B673" s="535"/>
      <c r="C673" s="47" t="s">
        <v>37</v>
      </c>
      <c r="D673" s="48"/>
      <c r="E673" s="36">
        <v>39297026</v>
      </c>
      <c r="F673" s="36"/>
      <c r="G673" s="36"/>
      <c r="H673" s="36">
        <v>12361361</v>
      </c>
      <c r="I673" s="36">
        <v>0</v>
      </c>
      <c r="J673" s="49">
        <v>4304870</v>
      </c>
      <c r="K673" s="46">
        <v>51658386</v>
      </c>
      <c r="L673" s="52">
        <v>55963257</v>
      </c>
      <c r="M673" s="39"/>
      <c r="N673" s="36">
        <v>51658386</v>
      </c>
      <c r="O673" s="36">
        <v>39297026</v>
      </c>
      <c r="P673" s="36">
        <v>5983074</v>
      </c>
      <c r="Q673" s="36">
        <f>Q672*1936.27</f>
        <v>63036721.277991995</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6"/>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6"/>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6"/>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6"/>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6"/>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6"/>
      <c r="M679" s="39"/>
      <c r="N679" s="96"/>
      <c r="O679" s="96"/>
      <c r="P679" s="96"/>
      <c r="Q679" s="96"/>
      <c r="R679" s="7"/>
      <c r="S679" s="7"/>
      <c r="T679" s="7"/>
      <c r="U679" s="7"/>
      <c r="V679" s="7"/>
      <c r="W679" s="7"/>
      <c r="X679" s="7"/>
      <c r="Y679" s="7"/>
      <c r="Z679" s="7"/>
    </row>
    <row r="680" spans="1:26" ht="12.75" customHeight="1" x14ac:dyDescent="0.2">
      <c r="A680" s="538">
        <v>39083</v>
      </c>
      <c r="B680" s="538">
        <v>39113</v>
      </c>
      <c r="C680" s="28" t="s">
        <v>36</v>
      </c>
      <c r="D680" s="29">
        <v>0</v>
      </c>
      <c r="E680" s="30">
        <v>11615.63</v>
      </c>
      <c r="F680" s="30"/>
      <c r="G680" s="30"/>
      <c r="H680" s="30">
        <v>6384.11</v>
      </c>
      <c r="I680" s="30">
        <v>0</v>
      </c>
      <c r="J680" s="30">
        <v>1499.98</v>
      </c>
      <c r="K680" s="31">
        <v>17999.740000000002</v>
      </c>
      <c r="L680" s="32">
        <v>19499.72</v>
      </c>
      <c r="M680" s="33"/>
      <c r="N680" s="30">
        <v>17999.740000000002</v>
      </c>
      <c r="O680" s="30">
        <v>11615.63</v>
      </c>
      <c r="P680" s="30">
        <v>1968</v>
      </c>
      <c r="Q680" s="30">
        <f>(N680+O680*0.18+J680)+(IF((P680-O680*0.18)&gt;0,(P680-O680*0.18),0))</f>
        <v>21590.5334</v>
      </c>
      <c r="R680" s="7"/>
      <c r="S680" s="7"/>
      <c r="T680" s="7"/>
      <c r="U680" s="7"/>
      <c r="V680" s="7"/>
      <c r="W680" s="7"/>
      <c r="X680" s="7"/>
      <c r="Y680" s="7"/>
      <c r="Z680" s="7"/>
    </row>
    <row r="681" spans="1:26" ht="9" customHeight="1" x14ac:dyDescent="0.2">
      <c r="A681" s="534"/>
      <c r="B681" s="534"/>
      <c r="C681" s="34" t="s">
        <v>37</v>
      </c>
      <c r="D681" s="35">
        <v>2</v>
      </c>
      <c r="E681" s="36">
        <v>22490996</v>
      </c>
      <c r="F681" s="36"/>
      <c r="G681" s="36"/>
      <c r="H681" s="36">
        <v>12361361</v>
      </c>
      <c r="I681" s="36">
        <v>0</v>
      </c>
      <c r="J681" s="37">
        <v>2904366</v>
      </c>
      <c r="K681" s="36">
        <v>34852357</v>
      </c>
      <c r="L681" s="50">
        <v>37756723</v>
      </c>
      <c r="M681" s="39"/>
      <c r="N681" s="36">
        <v>34852357</v>
      </c>
      <c r="O681" s="36">
        <v>22490996</v>
      </c>
      <c r="P681" s="36">
        <v>3810579</v>
      </c>
      <c r="Q681" s="36">
        <f>Q680*1936.27</f>
        <v>41805102.106417999</v>
      </c>
      <c r="R681" s="7"/>
      <c r="S681" s="7"/>
      <c r="T681" s="7"/>
      <c r="U681" s="7"/>
      <c r="V681" s="7"/>
      <c r="W681" s="7"/>
      <c r="X681" s="7"/>
      <c r="Y681" s="7"/>
      <c r="Z681" s="7"/>
    </row>
    <row r="682" spans="1:26" ht="12.75" customHeight="1" x14ac:dyDescent="0.2">
      <c r="A682" s="539">
        <v>39083</v>
      </c>
      <c r="B682" s="539">
        <v>39113</v>
      </c>
      <c r="C682" s="40" t="s">
        <v>36</v>
      </c>
      <c r="D682" s="41">
        <v>3</v>
      </c>
      <c r="E682" s="30">
        <v>12101.92</v>
      </c>
      <c r="F682" s="30"/>
      <c r="G682" s="30"/>
      <c r="H682" s="30">
        <v>6384.11</v>
      </c>
      <c r="I682" s="30">
        <v>0</v>
      </c>
      <c r="J682" s="42">
        <v>1540.5</v>
      </c>
      <c r="K682" s="43">
        <v>18486.03</v>
      </c>
      <c r="L682" s="51">
        <v>20026.53</v>
      </c>
      <c r="M682" s="33"/>
      <c r="N682" s="30">
        <v>18486.03</v>
      </c>
      <c r="O682" s="30">
        <v>12101.92</v>
      </c>
      <c r="P682" s="30">
        <v>1968</v>
      </c>
      <c r="Q682" s="30">
        <f>(N682+O682*0.18+J682)+(IF((P682-O682*0.18)&gt;0,(P682-O682*0.18),0))</f>
        <v>22204.875599999999</v>
      </c>
      <c r="R682" s="7"/>
      <c r="S682" s="7"/>
      <c r="T682" s="7"/>
      <c r="U682" s="7"/>
      <c r="V682" s="7"/>
      <c r="W682" s="7"/>
      <c r="X682" s="7"/>
      <c r="Y682" s="7"/>
      <c r="Z682" s="7"/>
    </row>
    <row r="683" spans="1:26" ht="9" customHeight="1" x14ac:dyDescent="0.2">
      <c r="A683" s="534"/>
      <c r="B683" s="534"/>
      <c r="C683" s="34" t="s">
        <v>37</v>
      </c>
      <c r="D683" s="35">
        <v>8</v>
      </c>
      <c r="E683" s="36">
        <v>23432585</v>
      </c>
      <c r="F683" s="36"/>
      <c r="G683" s="36"/>
      <c r="H683" s="36">
        <v>12361361</v>
      </c>
      <c r="I683" s="36">
        <v>0</v>
      </c>
      <c r="J683" s="37">
        <v>2982824</v>
      </c>
      <c r="K683" s="36">
        <v>35793945</v>
      </c>
      <c r="L683" s="50">
        <v>38776769</v>
      </c>
      <c r="M683" s="39"/>
      <c r="N683" s="36">
        <v>35793945</v>
      </c>
      <c r="O683" s="36">
        <v>23432585</v>
      </c>
      <c r="P683" s="36">
        <v>3810579</v>
      </c>
      <c r="Q683" s="36">
        <f>Q682*1936.27</f>
        <v>42994634.478011996</v>
      </c>
      <c r="R683" s="7"/>
      <c r="S683" s="7"/>
      <c r="T683" s="7"/>
      <c r="U683" s="7"/>
      <c r="V683" s="7"/>
      <c r="W683" s="7"/>
      <c r="X683" s="7"/>
      <c r="Y683" s="7"/>
      <c r="Z683" s="7"/>
    </row>
    <row r="684" spans="1:26" ht="12.75" customHeight="1" x14ac:dyDescent="0.2">
      <c r="A684" s="534"/>
      <c r="B684" s="534"/>
      <c r="C684" s="40" t="s">
        <v>36</v>
      </c>
      <c r="D684" s="41">
        <v>9</v>
      </c>
      <c r="E684" s="30">
        <v>13599.61</v>
      </c>
      <c r="F684" s="30"/>
      <c r="G684" s="30"/>
      <c r="H684" s="30">
        <v>6384.11</v>
      </c>
      <c r="I684" s="30">
        <v>0</v>
      </c>
      <c r="J684" s="42">
        <v>1665.31</v>
      </c>
      <c r="K684" s="43">
        <v>19983.72</v>
      </c>
      <c r="L684" s="51">
        <v>21649.03</v>
      </c>
      <c r="M684" s="33"/>
      <c r="N684" s="30">
        <v>19983.72</v>
      </c>
      <c r="O684" s="30">
        <v>13599.61</v>
      </c>
      <c r="P684" s="30">
        <v>1968</v>
      </c>
      <c r="Q684" s="30">
        <f>(N684+O684*0.18+J684)+(IF((P684-O684*0.18)&gt;0,(P684-O684*0.18),0))</f>
        <v>24096.959800000001</v>
      </c>
      <c r="R684" s="7"/>
      <c r="S684" s="7"/>
      <c r="T684" s="7"/>
      <c r="U684" s="7"/>
      <c r="V684" s="7"/>
      <c r="W684" s="7"/>
      <c r="X684" s="7"/>
      <c r="Y684" s="7"/>
      <c r="Z684" s="7"/>
    </row>
    <row r="685" spans="1:26" ht="9" customHeight="1" x14ac:dyDescent="0.2">
      <c r="A685" s="534"/>
      <c r="B685" s="534"/>
      <c r="C685" s="34" t="s">
        <v>37</v>
      </c>
      <c r="D685" s="35">
        <v>14</v>
      </c>
      <c r="E685" s="36">
        <v>26332517</v>
      </c>
      <c r="F685" s="36"/>
      <c r="G685" s="36"/>
      <c r="H685" s="36">
        <v>12361361</v>
      </c>
      <c r="I685" s="36">
        <v>0</v>
      </c>
      <c r="J685" s="37">
        <v>3224490</v>
      </c>
      <c r="K685" s="36">
        <v>38693878</v>
      </c>
      <c r="L685" s="50">
        <v>41918367</v>
      </c>
      <c r="M685" s="39"/>
      <c r="N685" s="36">
        <v>38693878</v>
      </c>
      <c r="O685" s="36">
        <v>26332517</v>
      </c>
      <c r="P685" s="36">
        <v>3810579</v>
      </c>
      <c r="Q685" s="36">
        <f>Q684*1936.27</f>
        <v>46658220.351946004</v>
      </c>
      <c r="R685" s="7"/>
      <c r="S685" s="7"/>
      <c r="T685" s="7"/>
      <c r="U685" s="7"/>
      <c r="V685" s="7"/>
      <c r="W685" s="7"/>
      <c r="X685" s="7"/>
      <c r="Y685" s="7"/>
      <c r="Z685" s="7"/>
    </row>
    <row r="686" spans="1:26" ht="12.75" customHeight="1" x14ac:dyDescent="0.2">
      <c r="A686" s="534"/>
      <c r="B686" s="534"/>
      <c r="C686" s="40" t="s">
        <v>36</v>
      </c>
      <c r="D686" s="41">
        <v>15</v>
      </c>
      <c r="E686" s="30">
        <v>15348.78</v>
      </c>
      <c r="F686" s="30"/>
      <c r="G686" s="30"/>
      <c r="H686" s="30">
        <v>6384.11</v>
      </c>
      <c r="I686" s="30">
        <v>0</v>
      </c>
      <c r="J686" s="42">
        <v>1811.07</v>
      </c>
      <c r="K686" s="43">
        <v>21732.89</v>
      </c>
      <c r="L686" s="51">
        <v>23543.96</v>
      </c>
      <c r="M686" s="33"/>
      <c r="N686" s="30">
        <v>21732.89</v>
      </c>
      <c r="O686" s="30">
        <v>15348.78</v>
      </c>
      <c r="P686" s="30">
        <v>2424</v>
      </c>
      <c r="Q686" s="30">
        <f>(N686+O686*0.18+J686)+(IF((P686-O686*0.18)&gt;0,(P686-O686*0.18),0))</f>
        <v>26306.740399999999</v>
      </c>
      <c r="R686" s="7"/>
      <c r="S686" s="7"/>
      <c r="T686" s="7"/>
      <c r="U686" s="7"/>
      <c r="V686" s="7"/>
      <c r="W686" s="7"/>
      <c r="X686" s="7"/>
      <c r="Y686" s="7"/>
      <c r="Z686" s="7"/>
    </row>
    <row r="687" spans="1:26" ht="9" customHeight="1" x14ac:dyDescent="0.2">
      <c r="A687" s="534"/>
      <c r="B687" s="534"/>
      <c r="C687" s="34" t="s">
        <v>37</v>
      </c>
      <c r="D687" s="35">
        <v>20</v>
      </c>
      <c r="E687" s="36">
        <v>29719382</v>
      </c>
      <c r="F687" s="36"/>
      <c r="G687" s="36"/>
      <c r="H687" s="36">
        <v>12361361</v>
      </c>
      <c r="I687" s="36">
        <v>0</v>
      </c>
      <c r="J687" s="37">
        <v>3506721</v>
      </c>
      <c r="K687" s="36">
        <v>42080743</v>
      </c>
      <c r="L687" s="50">
        <v>45587463</v>
      </c>
      <c r="M687" s="39"/>
      <c r="N687" s="36">
        <v>42080743</v>
      </c>
      <c r="O687" s="36">
        <v>29719382</v>
      </c>
      <c r="P687" s="36">
        <v>4693518</v>
      </c>
      <c r="Q687" s="36">
        <f>Q686*1936.27</f>
        <v>50936952.234307997</v>
      </c>
      <c r="R687" s="7"/>
      <c r="S687" s="7"/>
      <c r="T687" s="7"/>
      <c r="U687" s="7"/>
      <c r="V687" s="7"/>
      <c r="W687" s="7"/>
      <c r="X687" s="7"/>
      <c r="Y687" s="7"/>
      <c r="Z687" s="7"/>
    </row>
    <row r="688" spans="1:26" ht="12.75" customHeight="1" x14ac:dyDescent="0.2">
      <c r="A688" s="534"/>
      <c r="B688" s="534"/>
      <c r="C688" s="40" t="s">
        <v>36</v>
      </c>
      <c r="D688" s="41">
        <v>21</v>
      </c>
      <c r="E688" s="30">
        <v>17880.25</v>
      </c>
      <c r="F688" s="30"/>
      <c r="G688" s="30"/>
      <c r="H688" s="30">
        <v>6384.11</v>
      </c>
      <c r="I688" s="30">
        <v>0</v>
      </c>
      <c r="J688" s="42">
        <v>2022.03</v>
      </c>
      <c r="K688" s="43">
        <v>24264.36</v>
      </c>
      <c r="L688" s="51">
        <v>26286.39</v>
      </c>
      <c r="M688" s="33"/>
      <c r="N688" s="30">
        <v>24264.36</v>
      </c>
      <c r="O688" s="30">
        <v>17880.25</v>
      </c>
      <c r="P688" s="30">
        <v>2424</v>
      </c>
      <c r="Q688" s="30">
        <f>(N688+O688*0.18+J688)+(IF((P688-O688*0.18)&gt;0,(P688-O688*0.18),0))</f>
        <v>29504.834999999999</v>
      </c>
      <c r="R688" s="7"/>
      <c r="S688" s="7"/>
      <c r="T688" s="7"/>
      <c r="U688" s="7"/>
      <c r="V688" s="7"/>
      <c r="W688" s="7"/>
      <c r="X688" s="7"/>
      <c r="Y688" s="7"/>
      <c r="Z688" s="7"/>
    </row>
    <row r="689" spans="1:26" ht="9" customHeight="1" x14ac:dyDescent="0.2">
      <c r="A689" s="534"/>
      <c r="B689" s="534"/>
      <c r="C689" s="34" t="s">
        <v>37</v>
      </c>
      <c r="D689" s="35">
        <v>27</v>
      </c>
      <c r="E689" s="36">
        <v>34620992</v>
      </c>
      <c r="F689" s="36"/>
      <c r="G689" s="36"/>
      <c r="H689" s="36">
        <v>12361361</v>
      </c>
      <c r="I689" s="36">
        <v>0</v>
      </c>
      <c r="J689" s="37">
        <v>3915196</v>
      </c>
      <c r="K689" s="36">
        <v>46982352</v>
      </c>
      <c r="L689" s="50">
        <v>50897548</v>
      </c>
      <c r="M689" s="39"/>
      <c r="N689" s="36">
        <v>46982352</v>
      </c>
      <c r="O689" s="36">
        <v>34620992</v>
      </c>
      <c r="P689" s="36">
        <v>4693518</v>
      </c>
      <c r="Q689" s="36">
        <f>Q688*1936.27</f>
        <v>57129326.865449995</v>
      </c>
      <c r="R689" s="7"/>
      <c r="S689" s="7"/>
      <c r="T689" s="7"/>
      <c r="U689" s="7"/>
      <c r="V689" s="7"/>
      <c r="W689" s="7"/>
      <c r="X689" s="7"/>
      <c r="Y689" s="7"/>
      <c r="Z689" s="7"/>
    </row>
    <row r="690" spans="1:26" ht="12.75" customHeight="1" x14ac:dyDescent="0.2">
      <c r="A690" s="534"/>
      <c r="B690" s="534"/>
      <c r="C690" s="40" t="s">
        <v>36</v>
      </c>
      <c r="D690" s="41">
        <v>28</v>
      </c>
      <c r="E690" s="30">
        <v>19541.23</v>
      </c>
      <c r="F690" s="30"/>
      <c r="G690" s="30"/>
      <c r="H690" s="30">
        <v>6384.11</v>
      </c>
      <c r="I690" s="30">
        <v>0</v>
      </c>
      <c r="J690" s="42">
        <v>2160.4499999999998</v>
      </c>
      <c r="K690" s="43">
        <v>25925.34</v>
      </c>
      <c r="L690" s="51">
        <v>28085.79</v>
      </c>
      <c r="M690" s="33"/>
      <c r="N690" s="30">
        <v>25925.34</v>
      </c>
      <c r="O690" s="30">
        <v>19541.23</v>
      </c>
      <c r="P690" s="30">
        <v>3090</v>
      </c>
      <c r="Q690" s="30">
        <f>(N690+O690*0.18+J690)+(IF((P690-O690*0.18)&gt;0,(P690-O690*0.18),0))</f>
        <v>31603.2114</v>
      </c>
      <c r="R690" s="7"/>
      <c r="S690" s="7"/>
      <c r="T690" s="7"/>
      <c r="U690" s="7"/>
      <c r="V690" s="7"/>
      <c r="W690" s="7"/>
      <c r="X690" s="7"/>
      <c r="Y690" s="7"/>
      <c r="Z690" s="7"/>
    </row>
    <row r="691" spans="1:26" ht="9" customHeight="1" x14ac:dyDescent="0.2">
      <c r="A691" s="534"/>
      <c r="B691" s="534"/>
      <c r="C691" s="34" t="s">
        <v>37</v>
      </c>
      <c r="D691" s="35">
        <v>34</v>
      </c>
      <c r="E691" s="36">
        <v>37837097</v>
      </c>
      <c r="F691" s="36"/>
      <c r="G691" s="36"/>
      <c r="H691" s="36">
        <v>12361361</v>
      </c>
      <c r="I691" s="36">
        <v>0</v>
      </c>
      <c r="J691" s="37">
        <v>4183215</v>
      </c>
      <c r="K691" s="36">
        <v>50198458</v>
      </c>
      <c r="L691" s="50">
        <v>54381673</v>
      </c>
      <c r="M691" s="39"/>
      <c r="N691" s="36">
        <v>50198458</v>
      </c>
      <c r="O691" s="36">
        <v>37837097</v>
      </c>
      <c r="P691" s="36">
        <v>5983074</v>
      </c>
      <c r="Q691" s="36">
        <f>Q690*1936.27</f>
        <v>61192350.137478001</v>
      </c>
      <c r="R691" s="7"/>
      <c r="S691" s="7"/>
      <c r="T691" s="7"/>
      <c r="U691" s="7"/>
      <c r="V691" s="7"/>
      <c r="W691" s="7"/>
      <c r="X691" s="7"/>
      <c r="Y691" s="7"/>
      <c r="Z691" s="7"/>
    </row>
    <row r="692" spans="1:26" ht="12.75" customHeight="1" x14ac:dyDescent="0.2">
      <c r="A692" s="534"/>
      <c r="B692" s="534"/>
      <c r="C692" s="40" t="s">
        <v>36</v>
      </c>
      <c r="D692" s="41">
        <v>35</v>
      </c>
      <c r="E692" s="30">
        <v>20803.060000000001</v>
      </c>
      <c r="F692" s="30"/>
      <c r="G692" s="30"/>
      <c r="H692" s="30">
        <v>6384.11</v>
      </c>
      <c r="I692" s="30">
        <v>0</v>
      </c>
      <c r="J692" s="42">
        <v>2265.6</v>
      </c>
      <c r="K692" s="43">
        <v>27187.17</v>
      </c>
      <c r="L692" s="51">
        <v>29452.77</v>
      </c>
      <c r="M692" s="33"/>
      <c r="N692" s="30">
        <v>27187.17</v>
      </c>
      <c r="O692" s="30">
        <v>20803.060000000001</v>
      </c>
      <c r="P692" s="30">
        <v>3090</v>
      </c>
      <c r="Q692" s="30">
        <f>(N692+O692*0.18+J692)+(IF((P692-O692*0.18)&gt;0,(P692-O692*0.18),0))</f>
        <v>33197.320800000001</v>
      </c>
      <c r="R692" s="7"/>
      <c r="S692" s="7"/>
      <c r="T692" s="7"/>
      <c r="U692" s="7"/>
      <c r="V692" s="7"/>
      <c r="W692" s="7"/>
      <c r="X692" s="7"/>
      <c r="Y692" s="7"/>
      <c r="Z692" s="7"/>
    </row>
    <row r="693" spans="1:26" ht="9" customHeight="1" x14ac:dyDescent="0.2">
      <c r="A693" s="535"/>
      <c r="B693" s="535"/>
      <c r="C693" s="47" t="s">
        <v>37</v>
      </c>
      <c r="D693" s="48"/>
      <c r="E693" s="36">
        <v>40280341</v>
      </c>
      <c r="F693" s="36"/>
      <c r="G693" s="36"/>
      <c r="H693" s="36">
        <v>12361361</v>
      </c>
      <c r="I693" s="36">
        <v>0</v>
      </c>
      <c r="J693" s="49">
        <v>4386813</v>
      </c>
      <c r="K693" s="46">
        <v>52641702</v>
      </c>
      <c r="L693" s="52">
        <v>57028515</v>
      </c>
      <c r="M693" s="39"/>
      <c r="N693" s="36">
        <v>52641702</v>
      </c>
      <c r="O693" s="36">
        <v>40280341</v>
      </c>
      <c r="P693" s="36">
        <v>5983074</v>
      </c>
      <c r="Q693" s="36">
        <f>Q692*1936.27</f>
        <v>64278976.345416002</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6"/>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6"/>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6"/>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6"/>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6"/>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6"/>
      <c r="M699" s="39"/>
      <c r="N699" s="96"/>
      <c r="O699" s="96"/>
      <c r="P699" s="96"/>
      <c r="Q699" s="96"/>
      <c r="R699" s="7"/>
      <c r="S699" s="7"/>
      <c r="T699" s="7"/>
      <c r="U699" s="7"/>
      <c r="V699" s="7"/>
      <c r="W699" s="7"/>
      <c r="X699" s="7"/>
      <c r="Y699" s="7"/>
      <c r="Z699" s="7"/>
    </row>
    <row r="700" spans="1:26" ht="12.75" customHeight="1" x14ac:dyDescent="0.2">
      <c r="A700" s="538">
        <v>39114</v>
      </c>
      <c r="B700" s="538">
        <v>39446</v>
      </c>
      <c r="C700" s="28" t="s">
        <v>36</v>
      </c>
      <c r="D700" s="29">
        <v>0</v>
      </c>
      <c r="E700" s="30">
        <v>12106.43</v>
      </c>
      <c r="F700" s="30"/>
      <c r="G700" s="30"/>
      <c r="H700" s="30">
        <v>6384.11</v>
      </c>
      <c r="I700" s="30">
        <v>0</v>
      </c>
      <c r="J700" s="30">
        <v>1540.88</v>
      </c>
      <c r="K700" s="31">
        <v>18490.54</v>
      </c>
      <c r="L700" s="32">
        <v>20031.419999999998</v>
      </c>
      <c r="M700" s="33"/>
      <c r="N700" s="30">
        <v>18490.54</v>
      </c>
      <c r="O700" s="30">
        <v>12106.43</v>
      </c>
      <c r="P700" s="30">
        <v>1968</v>
      </c>
      <c r="Q700" s="30">
        <f>(N700+O700*0.18+J700)+(IF((P700-O700*0.18)&gt;0,(P700-O700*0.18),0))</f>
        <v>22210.577400000002</v>
      </c>
      <c r="R700" s="7"/>
      <c r="S700" s="7"/>
      <c r="T700" s="7"/>
      <c r="U700" s="7"/>
      <c r="V700" s="7"/>
      <c r="W700" s="7"/>
      <c r="X700" s="7"/>
      <c r="Y700" s="7"/>
      <c r="Z700" s="7"/>
    </row>
    <row r="701" spans="1:26" ht="9" customHeight="1" x14ac:dyDescent="0.2">
      <c r="A701" s="534"/>
      <c r="B701" s="534"/>
      <c r="C701" s="34" t="s">
        <v>37</v>
      </c>
      <c r="D701" s="35">
        <v>2</v>
      </c>
      <c r="E701" s="36">
        <v>23441317</v>
      </c>
      <c r="F701" s="36"/>
      <c r="G701" s="36"/>
      <c r="H701" s="36">
        <v>12361361</v>
      </c>
      <c r="I701" s="36">
        <v>0</v>
      </c>
      <c r="J701" s="37">
        <v>2983560</v>
      </c>
      <c r="K701" s="36">
        <v>35802678</v>
      </c>
      <c r="L701" s="50">
        <v>38786238</v>
      </c>
      <c r="M701" s="39"/>
      <c r="N701" s="36">
        <v>35802678</v>
      </c>
      <c r="O701" s="36">
        <v>23441317</v>
      </c>
      <c r="P701" s="36">
        <v>3810579</v>
      </c>
      <c r="Q701" s="36">
        <f>Q700*1936.27</f>
        <v>43005674.702298</v>
      </c>
      <c r="R701" s="7"/>
      <c r="S701" s="7"/>
      <c r="T701" s="7"/>
      <c r="U701" s="7"/>
      <c r="V701" s="7"/>
      <c r="W701" s="7"/>
      <c r="X701" s="7"/>
      <c r="Y701" s="7"/>
      <c r="Z701" s="7"/>
    </row>
    <row r="702" spans="1:26" ht="12.75" customHeight="1" x14ac:dyDescent="0.2">
      <c r="A702" s="539">
        <v>39114</v>
      </c>
      <c r="B702" s="539">
        <v>39446</v>
      </c>
      <c r="C702" s="40" t="s">
        <v>36</v>
      </c>
      <c r="D702" s="41">
        <v>3</v>
      </c>
      <c r="E702" s="30">
        <v>12605.92</v>
      </c>
      <c r="F702" s="30"/>
      <c r="G702" s="30"/>
      <c r="H702" s="30">
        <v>6384.11</v>
      </c>
      <c r="I702" s="30">
        <v>0</v>
      </c>
      <c r="J702" s="42">
        <v>1582.5</v>
      </c>
      <c r="K702" s="43">
        <v>18990.03</v>
      </c>
      <c r="L702" s="51">
        <v>20572.53</v>
      </c>
      <c r="M702" s="33"/>
      <c r="N702" s="30">
        <v>18990.03</v>
      </c>
      <c r="O702" s="30">
        <v>12605.92</v>
      </c>
      <c r="P702" s="30">
        <v>1968</v>
      </c>
      <c r="Q702" s="30">
        <f>(N702+O702*0.18+J702)+(IF((P702-O702*0.18)&gt;0,(P702-O702*0.18),0))</f>
        <v>22841.595600000001</v>
      </c>
      <c r="R702" s="7"/>
      <c r="S702" s="7"/>
      <c r="T702" s="7"/>
      <c r="U702" s="7"/>
      <c r="V702" s="7"/>
      <c r="W702" s="7"/>
      <c r="X702" s="7"/>
      <c r="Y702" s="7"/>
      <c r="Z702" s="7"/>
    </row>
    <row r="703" spans="1:26" ht="9" customHeight="1" x14ac:dyDescent="0.2">
      <c r="A703" s="534"/>
      <c r="B703" s="534"/>
      <c r="C703" s="34" t="s">
        <v>37</v>
      </c>
      <c r="D703" s="35">
        <v>8</v>
      </c>
      <c r="E703" s="36">
        <v>24408465</v>
      </c>
      <c r="F703" s="36"/>
      <c r="G703" s="36"/>
      <c r="H703" s="36">
        <v>12361361</v>
      </c>
      <c r="I703" s="36">
        <v>0</v>
      </c>
      <c r="J703" s="37">
        <v>3064147</v>
      </c>
      <c r="K703" s="36">
        <v>36769825</v>
      </c>
      <c r="L703" s="50">
        <v>39833973</v>
      </c>
      <c r="M703" s="39"/>
      <c r="N703" s="36">
        <v>36769825</v>
      </c>
      <c r="O703" s="36">
        <v>24408465</v>
      </c>
      <c r="P703" s="36">
        <v>3810579</v>
      </c>
      <c r="Q703" s="36">
        <f>Q702*1936.27</f>
        <v>44227496.312412001</v>
      </c>
      <c r="R703" s="7"/>
      <c r="S703" s="7"/>
      <c r="T703" s="7"/>
      <c r="U703" s="7"/>
      <c r="V703" s="7"/>
      <c r="W703" s="7"/>
      <c r="X703" s="7"/>
      <c r="Y703" s="7"/>
      <c r="Z703" s="7"/>
    </row>
    <row r="704" spans="1:26" ht="12.75" customHeight="1" x14ac:dyDescent="0.2">
      <c r="A704" s="534"/>
      <c r="B704" s="534"/>
      <c r="C704" s="40" t="s">
        <v>36</v>
      </c>
      <c r="D704" s="41">
        <v>9</v>
      </c>
      <c r="E704" s="30">
        <v>14144.41</v>
      </c>
      <c r="F704" s="30"/>
      <c r="G704" s="30"/>
      <c r="H704" s="30">
        <v>6384.11</v>
      </c>
      <c r="I704" s="30">
        <v>0</v>
      </c>
      <c r="J704" s="42">
        <v>1710.71</v>
      </c>
      <c r="K704" s="43">
        <v>20528.52</v>
      </c>
      <c r="L704" s="51">
        <v>22239.23</v>
      </c>
      <c r="M704" s="33"/>
      <c r="N704" s="30">
        <v>20528.52</v>
      </c>
      <c r="O704" s="30">
        <v>14144.41</v>
      </c>
      <c r="P704" s="30">
        <v>1968</v>
      </c>
      <c r="Q704" s="30">
        <f>(N704+O704*0.18+J704)+(IF((P704-O704*0.18)&gt;0,(P704-O704*0.18),0))</f>
        <v>24785.2238</v>
      </c>
      <c r="R704" s="7"/>
      <c r="S704" s="7"/>
      <c r="T704" s="7"/>
      <c r="U704" s="7"/>
      <c r="V704" s="7"/>
      <c r="W704" s="7"/>
      <c r="X704" s="7"/>
      <c r="Y704" s="7"/>
      <c r="Z704" s="7"/>
    </row>
    <row r="705" spans="1:26" ht="9" customHeight="1" x14ac:dyDescent="0.2">
      <c r="A705" s="534"/>
      <c r="B705" s="534"/>
      <c r="C705" s="34" t="s">
        <v>37</v>
      </c>
      <c r="D705" s="35">
        <v>14</v>
      </c>
      <c r="E705" s="36">
        <v>27387397</v>
      </c>
      <c r="F705" s="36"/>
      <c r="G705" s="36"/>
      <c r="H705" s="36">
        <v>12361361</v>
      </c>
      <c r="I705" s="36">
        <v>0</v>
      </c>
      <c r="J705" s="37">
        <v>3312396</v>
      </c>
      <c r="K705" s="36">
        <v>39748757</v>
      </c>
      <c r="L705" s="50">
        <v>43061154</v>
      </c>
      <c r="M705" s="39"/>
      <c r="N705" s="36">
        <v>39748757</v>
      </c>
      <c r="O705" s="36">
        <v>27387397</v>
      </c>
      <c r="P705" s="36">
        <v>3810579</v>
      </c>
      <c r="Q705" s="36">
        <f>Q704*1936.27</f>
        <v>47990885.287225999</v>
      </c>
      <c r="R705" s="7"/>
      <c r="S705" s="7"/>
      <c r="T705" s="7"/>
      <c r="U705" s="7"/>
      <c r="V705" s="7"/>
      <c r="W705" s="7"/>
      <c r="X705" s="7"/>
      <c r="Y705" s="7"/>
      <c r="Z705" s="7"/>
    </row>
    <row r="706" spans="1:26" ht="12.75" customHeight="1" x14ac:dyDescent="0.2">
      <c r="A706" s="534"/>
      <c r="B706" s="534"/>
      <c r="C706" s="40" t="s">
        <v>36</v>
      </c>
      <c r="D706" s="41">
        <v>15</v>
      </c>
      <c r="E706" s="30">
        <v>15941.34</v>
      </c>
      <c r="F706" s="30"/>
      <c r="G706" s="30"/>
      <c r="H706" s="30">
        <v>6384.11</v>
      </c>
      <c r="I706" s="30">
        <v>0</v>
      </c>
      <c r="J706" s="42">
        <v>1860.45</v>
      </c>
      <c r="K706" s="43">
        <v>22325.45</v>
      </c>
      <c r="L706" s="51">
        <v>24185.9</v>
      </c>
      <c r="M706" s="33"/>
      <c r="N706" s="30">
        <v>22325.45</v>
      </c>
      <c r="O706" s="30">
        <v>15941.34</v>
      </c>
      <c r="P706" s="30">
        <v>2424</v>
      </c>
      <c r="Q706" s="30">
        <f>(N706+O706*0.18+J706)+(IF((P706-O706*0.18)&gt;0,(P706-O706*0.18),0))</f>
        <v>27055.341200000003</v>
      </c>
      <c r="R706" s="7"/>
      <c r="S706" s="7"/>
      <c r="T706" s="7"/>
      <c r="U706" s="7"/>
      <c r="V706" s="7"/>
      <c r="W706" s="7"/>
      <c r="X706" s="7"/>
      <c r="Y706" s="7"/>
      <c r="Z706" s="7"/>
    </row>
    <row r="707" spans="1:26" ht="9" customHeight="1" x14ac:dyDescent="0.2">
      <c r="A707" s="534"/>
      <c r="B707" s="534"/>
      <c r="C707" s="34" t="s">
        <v>37</v>
      </c>
      <c r="D707" s="35">
        <v>20</v>
      </c>
      <c r="E707" s="36">
        <v>30866738</v>
      </c>
      <c r="F707" s="36"/>
      <c r="G707" s="36"/>
      <c r="H707" s="36">
        <v>12361361</v>
      </c>
      <c r="I707" s="36">
        <v>0</v>
      </c>
      <c r="J707" s="37">
        <v>3602334</v>
      </c>
      <c r="K707" s="36">
        <v>43228099</v>
      </c>
      <c r="L707" s="50">
        <v>46830433</v>
      </c>
      <c r="M707" s="39"/>
      <c r="N707" s="36">
        <v>43228099</v>
      </c>
      <c r="O707" s="36">
        <v>30866738</v>
      </c>
      <c r="P707" s="36">
        <v>4693518</v>
      </c>
      <c r="Q707" s="36">
        <f>Q706*1936.27</f>
        <v>52386445.505324006</v>
      </c>
      <c r="R707" s="7"/>
      <c r="S707" s="7"/>
      <c r="T707" s="7"/>
      <c r="U707" s="7"/>
      <c r="V707" s="7"/>
      <c r="W707" s="7"/>
      <c r="X707" s="7"/>
      <c r="Y707" s="7"/>
      <c r="Z707" s="7"/>
    </row>
    <row r="708" spans="1:26" ht="12.75" customHeight="1" x14ac:dyDescent="0.2">
      <c r="A708" s="534"/>
      <c r="B708" s="534"/>
      <c r="C708" s="40" t="s">
        <v>36</v>
      </c>
      <c r="D708" s="41">
        <v>21</v>
      </c>
      <c r="E708" s="30">
        <v>18541.689999999999</v>
      </c>
      <c r="F708" s="30"/>
      <c r="G708" s="30"/>
      <c r="H708" s="30">
        <v>6384.11</v>
      </c>
      <c r="I708" s="30">
        <v>0</v>
      </c>
      <c r="J708" s="42">
        <v>2077.15</v>
      </c>
      <c r="K708" s="43">
        <v>24925.8</v>
      </c>
      <c r="L708" s="51">
        <v>27002.95</v>
      </c>
      <c r="M708" s="33"/>
      <c r="N708" s="30">
        <v>24925.8</v>
      </c>
      <c r="O708" s="30">
        <v>18541.689999999999</v>
      </c>
      <c r="P708" s="30">
        <v>2424</v>
      </c>
      <c r="Q708" s="30">
        <f>(N708+O708*0.18+J708)+(IF((P708-O708*0.18)&gt;0,(P708-O708*0.18),0))</f>
        <v>30340.4542</v>
      </c>
      <c r="R708" s="7"/>
      <c r="S708" s="7"/>
      <c r="T708" s="7"/>
      <c r="U708" s="7"/>
      <c r="V708" s="7"/>
      <c r="W708" s="7"/>
      <c r="X708" s="7"/>
      <c r="Y708" s="7"/>
      <c r="Z708" s="7"/>
    </row>
    <row r="709" spans="1:26" ht="9" customHeight="1" x14ac:dyDescent="0.2">
      <c r="A709" s="534"/>
      <c r="B709" s="534"/>
      <c r="C709" s="34" t="s">
        <v>37</v>
      </c>
      <c r="D709" s="35">
        <v>27</v>
      </c>
      <c r="E709" s="36">
        <v>35901718</v>
      </c>
      <c r="F709" s="36"/>
      <c r="G709" s="36"/>
      <c r="H709" s="36">
        <v>12361361</v>
      </c>
      <c r="I709" s="36">
        <v>0</v>
      </c>
      <c r="J709" s="37">
        <v>4021923</v>
      </c>
      <c r="K709" s="36">
        <v>48263079</v>
      </c>
      <c r="L709" s="50">
        <v>52285002</v>
      </c>
      <c r="M709" s="39"/>
      <c r="N709" s="36">
        <v>48263079</v>
      </c>
      <c r="O709" s="36">
        <v>35901718</v>
      </c>
      <c r="P709" s="36">
        <v>4693518</v>
      </c>
      <c r="Q709" s="36">
        <f>Q708*1936.27</f>
        <v>58747311.253834002</v>
      </c>
      <c r="R709" s="7"/>
      <c r="S709" s="7"/>
      <c r="T709" s="7"/>
      <c r="U709" s="7"/>
      <c r="V709" s="7"/>
      <c r="W709" s="7"/>
      <c r="X709" s="7"/>
      <c r="Y709" s="7"/>
      <c r="Z709" s="7"/>
    </row>
    <row r="710" spans="1:26" ht="12.75" customHeight="1" x14ac:dyDescent="0.2">
      <c r="A710" s="534"/>
      <c r="B710" s="534"/>
      <c r="C710" s="40" t="s">
        <v>36</v>
      </c>
      <c r="D710" s="41">
        <v>28</v>
      </c>
      <c r="E710" s="30">
        <v>20248.03</v>
      </c>
      <c r="F710" s="30"/>
      <c r="G710" s="30"/>
      <c r="H710" s="30">
        <v>6384.11</v>
      </c>
      <c r="I710" s="30">
        <v>0</v>
      </c>
      <c r="J710" s="42">
        <v>2219.35</v>
      </c>
      <c r="K710" s="43">
        <v>26632.14</v>
      </c>
      <c r="L710" s="51">
        <v>28851.49</v>
      </c>
      <c r="M710" s="33"/>
      <c r="N710" s="30">
        <v>26632.14</v>
      </c>
      <c r="O710" s="30">
        <v>20248.03</v>
      </c>
      <c r="P710" s="30">
        <v>3090</v>
      </c>
      <c r="Q710" s="30">
        <f>(N710+O710*0.18+J710)+(IF((P710-O710*0.18)&gt;0,(P710-O710*0.18),0))</f>
        <v>32496.135399999999</v>
      </c>
      <c r="R710" s="7"/>
      <c r="S710" s="7"/>
      <c r="T710" s="7"/>
      <c r="U710" s="7"/>
      <c r="V710" s="7"/>
      <c r="W710" s="7"/>
      <c r="X710" s="7"/>
      <c r="Y710" s="7"/>
      <c r="Z710" s="7"/>
    </row>
    <row r="711" spans="1:26" ht="9" customHeight="1" x14ac:dyDescent="0.2">
      <c r="A711" s="534"/>
      <c r="B711" s="534"/>
      <c r="C711" s="34" t="s">
        <v>37</v>
      </c>
      <c r="D711" s="35">
        <v>34</v>
      </c>
      <c r="E711" s="36">
        <v>39205653</v>
      </c>
      <c r="F711" s="36"/>
      <c r="G711" s="36"/>
      <c r="H711" s="36">
        <v>12361361</v>
      </c>
      <c r="I711" s="36">
        <v>0</v>
      </c>
      <c r="J711" s="37">
        <v>4297261</v>
      </c>
      <c r="K711" s="36">
        <v>51567014</v>
      </c>
      <c r="L711" s="50">
        <v>55864275</v>
      </c>
      <c r="M711" s="39"/>
      <c r="N711" s="36">
        <v>51567014</v>
      </c>
      <c r="O711" s="36">
        <v>39205653</v>
      </c>
      <c r="P711" s="36">
        <v>5983074</v>
      </c>
      <c r="Q711" s="36">
        <f>Q710*1936.27</f>
        <v>62921292.090957999</v>
      </c>
      <c r="R711" s="7"/>
      <c r="S711" s="7"/>
      <c r="T711" s="7"/>
      <c r="U711" s="7"/>
      <c r="V711" s="7"/>
      <c r="W711" s="7"/>
      <c r="X711" s="7"/>
      <c r="Y711" s="7"/>
      <c r="Z711" s="7"/>
    </row>
    <row r="712" spans="1:26" ht="12.75" customHeight="1" x14ac:dyDescent="0.2">
      <c r="A712" s="534"/>
      <c r="B712" s="534"/>
      <c r="C712" s="40" t="s">
        <v>36</v>
      </c>
      <c r="D712" s="41">
        <v>35</v>
      </c>
      <c r="E712" s="30">
        <v>21544.18</v>
      </c>
      <c r="F712" s="30"/>
      <c r="G712" s="30"/>
      <c r="H712" s="30">
        <v>6384.11</v>
      </c>
      <c r="I712" s="30">
        <v>0</v>
      </c>
      <c r="J712" s="42">
        <v>2327.36</v>
      </c>
      <c r="K712" s="43">
        <v>27928.29</v>
      </c>
      <c r="L712" s="51">
        <v>30255.65</v>
      </c>
      <c r="M712" s="33"/>
      <c r="N712" s="30">
        <v>27928.29</v>
      </c>
      <c r="O712" s="30">
        <v>21544.18</v>
      </c>
      <c r="P712" s="30">
        <v>3090</v>
      </c>
      <c r="Q712" s="30">
        <f>(N712+O712*0.18+J712)+(IF((P712-O712*0.18)&gt;0,(P712-O712*0.18),0))</f>
        <v>34133.602400000003</v>
      </c>
      <c r="R712" s="7"/>
      <c r="S712" s="7"/>
      <c r="T712" s="7"/>
      <c r="U712" s="7"/>
      <c r="V712" s="7"/>
      <c r="W712" s="7"/>
      <c r="X712" s="7"/>
      <c r="Y712" s="7"/>
      <c r="Z712" s="7"/>
    </row>
    <row r="713" spans="1:26" ht="9" customHeight="1" x14ac:dyDescent="0.2">
      <c r="A713" s="535"/>
      <c r="B713" s="535"/>
      <c r="C713" s="47" t="s">
        <v>37</v>
      </c>
      <c r="D713" s="48"/>
      <c r="E713" s="46">
        <v>41715349</v>
      </c>
      <c r="F713" s="46"/>
      <c r="G713" s="46"/>
      <c r="H713" s="46">
        <v>12361361</v>
      </c>
      <c r="I713" s="46">
        <v>0</v>
      </c>
      <c r="J713" s="49">
        <v>4506397</v>
      </c>
      <c r="K713" s="46">
        <v>54076710</v>
      </c>
      <c r="L713" s="52">
        <v>58583107</v>
      </c>
      <c r="M713" s="39"/>
      <c r="N713" s="36">
        <v>54076710</v>
      </c>
      <c r="O713" s="36">
        <v>41715349</v>
      </c>
      <c r="P713" s="36">
        <v>5983074</v>
      </c>
      <c r="Q713" s="36">
        <f>Q712*1936.27</f>
        <v>66091870.319048002</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6"/>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6"/>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6"/>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6"/>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6"/>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6"/>
      <c r="M719" s="39"/>
      <c r="N719" s="96"/>
      <c r="O719" s="96"/>
      <c r="P719" s="96"/>
      <c r="Q719" s="96"/>
      <c r="R719" s="7"/>
      <c r="S719" s="7"/>
      <c r="T719" s="7"/>
      <c r="U719" s="7"/>
      <c r="V719" s="7"/>
      <c r="W719" s="7"/>
      <c r="X719" s="7"/>
      <c r="Y719" s="7"/>
      <c r="Z719" s="7"/>
    </row>
    <row r="720" spans="1:26" ht="12.75" customHeight="1" x14ac:dyDescent="0.2">
      <c r="A720" s="538">
        <v>39447</v>
      </c>
      <c r="B720" s="538">
        <v>39538</v>
      </c>
      <c r="C720" s="28" t="s">
        <v>36</v>
      </c>
      <c r="D720" s="29">
        <v>0</v>
      </c>
      <c r="E720" s="30">
        <v>12225.23</v>
      </c>
      <c r="F720" s="30"/>
      <c r="G720" s="30"/>
      <c r="H720" s="30">
        <v>6384.11</v>
      </c>
      <c r="I720" s="30">
        <v>0</v>
      </c>
      <c r="J720" s="30">
        <v>1550.78</v>
      </c>
      <c r="K720" s="31">
        <v>18609.34</v>
      </c>
      <c r="L720" s="32">
        <v>20160.12</v>
      </c>
      <c r="M720" s="33"/>
      <c r="N720" s="30">
        <v>18609.34</v>
      </c>
      <c r="O720" s="30">
        <v>12225.23</v>
      </c>
      <c r="P720" s="30">
        <v>1968</v>
      </c>
      <c r="Q720" s="30">
        <f>(N720+O720*0.18+J720)+(IF((P720-O720*0.18)&gt;0,(P720-O720*0.18),0))</f>
        <v>22360.661399999997</v>
      </c>
      <c r="R720" s="7"/>
      <c r="S720" s="7"/>
      <c r="T720" s="7"/>
      <c r="U720" s="7"/>
      <c r="V720" s="7"/>
      <c r="W720" s="7"/>
      <c r="X720" s="7"/>
      <c r="Y720" s="7"/>
      <c r="Z720" s="7"/>
    </row>
    <row r="721" spans="1:26" ht="9" customHeight="1" x14ac:dyDescent="0.2">
      <c r="A721" s="534"/>
      <c r="B721" s="534"/>
      <c r="C721" s="34" t="s">
        <v>37</v>
      </c>
      <c r="D721" s="35">
        <v>2</v>
      </c>
      <c r="E721" s="36">
        <v>23671346</v>
      </c>
      <c r="F721" s="36"/>
      <c r="G721" s="36"/>
      <c r="H721" s="36">
        <v>12361361</v>
      </c>
      <c r="I721" s="36">
        <v>0</v>
      </c>
      <c r="J721" s="37">
        <v>3002729</v>
      </c>
      <c r="K721" s="36">
        <v>36032707</v>
      </c>
      <c r="L721" s="50">
        <v>39035436</v>
      </c>
      <c r="M721" s="39"/>
      <c r="N721" s="36">
        <v>36032707</v>
      </c>
      <c r="O721" s="36">
        <v>23671346</v>
      </c>
      <c r="P721" s="36">
        <v>3810579</v>
      </c>
      <c r="Q721" s="36">
        <f>Q720*1936.27</f>
        <v>43296277.848977998</v>
      </c>
      <c r="R721" s="7"/>
      <c r="S721" s="7"/>
      <c r="T721" s="7"/>
      <c r="U721" s="7"/>
      <c r="V721" s="7"/>
      <c r="W721" s="7"/>
      <c r="X721" s="7"/>
      <c r="Y721" s="7"/>
      <c r="Z721" s="7"/>
    </row>
    <row r="722" spans="1:26" ht="12.75" customHeight="1" x14ac:dyDescent="0.2">
      <c r="A722" s="539">
        <v>39447</v>
      </c>
      <c r="B722" s="539">
        <v>39538</v>
      </c>
      <c r="C722" s="40" t="s">
        <v>36</v>
      </c>
      <c r="D722" s="41">
        <v>3</v>
      </c>
      <c r="E722" s="30">
        <v>12727.96</v>
      </c>
      <c r="F722" s="30"/>
      <c r="G722" s="30"/>
      <c r="H722" s="30">
        <v>6384.11</v>
      </c>
      <c r="I722" s="30">
        <v>0</v>
      </c>
      <c r="J722" s="42">
        <v>1592.67</v>
      </c>
      <c r="K722" s="43">
        <v>19112.07</v>
      </c>
      <c r="L722" s="51">
        <v>20704.740000000002</v>
      </c>
      <c r="M722" s="33"/>
      <c r="N722" s="30">
        <v>19112.07</v>
      </c>
      <c r="O722" s="30">
        <v>12727.96</v>
      </c>
      <c r="P722" s="30">
        <v>1968</v>
      </c>
      <c r="Q722" s="30">
        <f>(N722+O722*0.18+J722)+(IF((P722-O722*0.18)&gt;0,(P722-O722*0.18),0))</f>
        <v>22995.772799999999</v>
      </c>
      <c r="R722" s="7"/>
      <c r="S722" s="7"/>
      <c r="T722" s="7"/>
      <c r="U722" s="7"/>
      <c r="V722" s="7"/>
      <c r="W722" s="7"/>
      <c r="X722" s="7"/>
      <c r="Y722" s="7"/>
      <c r="Z722" s="7"/>
    </row>
    <row r="723" spans="1:26" ht="9" customHeight="1" x14ac:dyDescent="0.2">
      <c r="A723" s="534"/>
      <c r="B723" s="534"/>
      <c r="C723" s="34" t="s">
        <v>37</v>
      </c>
      <c r="D723" s="35">
        <v>8</v>
      </c>
      <c r="E723" s="36">
        <v>24644767</v>
      </c>
      <c r="F723" s="36"/>
      <c r="G723" s="36"/>
      <c r="H723" s="36">
        <v>12361361</v>
      </c>
      <c r="I723" s="36">
        <v>0</v>
      </c>
      <c r="J723" s="37">
        <v>3083839</v>
      </c>
      <c r="K723" s="36">
        <v>37006128</v>
      </c>
      <c r="L723" s="50">
        <v>40089967</v>
      </c>
      <c r="M723" s="39"/>
      <c r="N723" s="36">
        <v>37006128</v>
      </c>
      <c r="O723" s="36">
        <v>24644767</v>
      </c>
      <c r="P723" s="36">
        <v>3810579</v>
      </c>
      <c r="Q723" s="36">
        <f>Q722*1936.27</f>
        <v>44526024.999455996</v>
      </c>
      <c r="R723" s="7"/>
      <c r="S723" s="7"/>
      <c r="T723" s="7"/>
      <c r="U723" s="7"/>
      <c r="V723" s="7"/>
      <c r="W723" s="7"/>
      <c r="X723" s="7"/>
      <c r="Y723" s="7"/>
      <c r="Z723" s="7"/>
    </row>
    <row r="724" spans="1:26" ht="12.75" customHeight="1" x14ac:dyDescent="0.2">
      <c r="A724" s="534"/>
      <c r="B724" s="534"/>
      <c r="C724" s="40" t="s">
        <v>36</v>
      </c>
      <c r="D724" s="41">
        <v>9</v>
      </c>
      <c r="E724" s="30">
        <v>14276.17</v>
      </c>
      <c r="F724" s="30"/>
      <c r="G724" s="30"/>
      <c r="H724" s="30">
        <v>6384.11</v>
      </c>
      <c r="I724" s="30">
        <v>0</v>
      </c>
      <c r="J724" s="42">
        <v>1721.69</v>
      </c>
      <c r="K724" s="43">
        <v>20660.28</v>
      </c>
      <c r="L724" s="51">
        <v>22381.97</v>
      </c>
      <c r="M724" s="33"/>
      <c r="N724" s="30">
        <v>20660.28</v>
      </c>
      <c r="O724" s="30">
        <v>14276.17</v>
      </c>
      <c r="P724" s="30">
        <v>1968</v>
      </c>
      <c r="Q724" s="30">
        <f>(N724+O724*0.18+J724)+(IF((P724-O724*0.18)&gt;0,(P724-O724*0.18),0))</f>
        <v>24951.680599999996</v>
      </c>
      <c r="R724" s="7"/>
      <c r="S724" s="7"/>
      <c r="T724" s="7"/>
      <c r="U724" s="7"/>
      <c r="V724" s="7"/>
      <c r="W724" s="7"/>
      <c r="X724" s="7"/>
      <c r="Y724" s="7"/>
      <c r="Z724" s="7"/>
    </row>
    <row r="725" spans="1:26" ht="9" customHeight="1" x14ac:dyDescent="0.2">
      <c r="A725" s="534"/>
      <c r="B725" s="534"/>
      <c r="C725" s="34" t="s">
        <v>37</v>
      </c>
      <c r="D725" s="35">
        <v>14</v>
      </c>
      <c r="E725" s="36">
        <v>27642520</v>
      </c>
      <c r="F725" s="36"/>
      <c r="G725" s="36"/>
      <c r="H725" s="36">
        <v>12361361</v>
      </c>
      <c r="I725" s="36">
        <v>0</v>
      </c>
      <c r="J725" s="37">
        <v>3333657</v>
      </c>
      <c r="K725" s="36">
        <v>40003880</v>
      </c>
      <c r="L725" s="50">
        <v>43337537</v>
      </c>
      <c r="M725" s="39"/>
      <c r="N725" s="36">
        <v>40003880</v>
      </c>
      <c r="O725" s="36">
        <v>27642520</v>
      </c>
      <c r="P725" s="36">
        <v>3810579</v>
      </c>
      <c r="Q725" s="36">
        <f>Q724*1936.27</f>
        <v>48313190.595361993</v>
      </c>
      <c r="R725" s="7"/>
      <c r="S725" s="7"/>
      <c r="T725" s="7"/>
      <c r="U725" s="7"/>
      <c r="V725" s="7"/>
      <c r="W725" s="7"/>
      <c r="X725" s="7"/>
      <c r="Y725" s="7"/>
      <c r="Z725" s="7"/>
    </row>
    <row r="726" spans="1:26" ht="12.75" customHeight="1" x14ac:dyDescent="0.2">
      <c r="A726" s="534"/>
      <c r="B726" s="534"/>
      <c r="C726" s="40" t="s">
        <v>36</v>
      </c>
      <c r="D726" s="41">
        <v>15</v>
      </c>
      <c r="E726" s="30">
        <v>16084.62</v>
      </c>
      <c r="F726" s="30"/>
      <c r="G726" s="30"/>
      <c r="H726" s="30">
        <v>6384.11</v>
      </c>
      <c r="I726" s="30">
        <v>0</v>
      </c>
      <c r="J726" s="42">
        <v>1872.39</v>
      </c>
      <c r="K726" s="43">
        <v>22468.73</v>
      </c>
      <c r="L726" s="51">
        <v>24341.119999999999</v>
      </c>
      <c r="M726" s="33"/>
      <c r="N726" s="30">
        <v>22468.73</v>
      </c>
      <c r="O726" s="30">
        <v>16084.62</v>
      </c>
      <c r="P726" s="30">
        <v>2424</v>
      </c>
      <c r="Q726" s="30">
        <f>(N726+O726*0.18+J726)+(IF((P726-O726*0.18)&gt;0,(P726-O726*0.18),0))</f>
        <v>27236.351599999998</v>
      </c>
      <c r="R726" s="7"/>
      <c r="S726" s="7"/>
      <c r="T726" s="7"/>
      <c r="U726" s="7"/>
      <c r="V726" s="7"/>
      <c r="W726" s="7"/>
      <c r="X726" s="7"/>
      <c r="Y726" s="7"/>
      <c r="Z726" s="7"/>
    </row>
    <row r="727" spans="1:26" ht="9" customHeight="1" x14ac:dyDescent="0.2">
      <c r="A727" s="534"/>
      <c r="B727" s="534"/>
      <c r="C727" s="34" t="s">
        <v>37</v>
      </c>
      <c r="D727" s="35">
        <v>20</v>
      </c>
      <c r="E727" s="36">
        <v>31144167</v>
      </c>
      <c r="F727" s="36"/>
      <c r="G727" s="36"/>
      <c r="H727" s="36">
        <v>12361361</v>
      </c>
      <c r="I727" s="36">
        <v>0</v>
      </c>
      <c r="J727" s="37">
        <v>3625453</v>
      </c>
      <c r="K727" s="36">
        <v>43505528</v>
      </c>
      <c r="L727" s="50">
        <v>47130980</v>
      </c>
      <c r="M727" s="39"/>
      <c r="N727" s="36">
        <v>43505528</v>
      </c>
      <c r="O727" s="36">
        <v>31144167</v>
      </c>
      <c r="P727" s="36">
        <v>4693518</v>
      </c>
      <c r="Q727" s="36">
        <f>Q726*1936.27</f>
        <v>52736930.512531996</v>
      </c>
      <c r="R727" s="7"/>
      <c r="S727" s="7"/>
      <c r="T727" s="7"/>
      <c r="U727" s="7"/>
      <c r="V727" s="7"/>
      <c r="W727" s="7"/>
      <c r="X727" s="7"/>
      <c r="Y727" s="7"/>
      <c r="Z727" s="7"/>
    </row>
    <row r="728" spans="1:26" ht="12.75" customHeight="1" x14ac:dyDescent="0.2">
      <c r="A728" s="534"/>
      <c r="B728" s="534"/>
      <c r="C728" s="40" t="s">
        <v>36</v>
      </c>
      <c r="D728" s="41">
        <v>21</v>
      </c>
      <c r="E728" s="30">
        <v>18701.650000000001</v>
      </c>
      <c r="F728" s="30"/>
      <c r="G728" s="30"/>
      <c r="H728" s="30">
        <v>6384.11</v>
      </c>
      <c r="I728" s="30">
        <v>0</v>
      </c>
      <c r="J728" s="42">
        <v>2090.48</v>
      </c>
      <c r="K728" s="43">
        <v>25085.759999999998</v>
      </c>
      <c r="L728" s="51">
        <v>27176.240000000002</v>
      </c>
      <c r="M728" s="33"/>
      <c r="N728" s="30">
        <v>25085.759999999998</v>
      </c>
      <c r="O728" s="30">
        <v>18701.650000000001</v>
      </c>
      <c r="P728" s="30">
        <v>2424</v>
      </c>
      <c r="Q728" s="30">
        <f>(N728+O728*0.18+J728)+(IF((P728-O728*0.18)&gt;0,(P728-O728*0.18),0))</f>
        <v>30542.536999999997</v>
      </c>
      <c r="R728" s="7"/>
      <c r="S728" s="7"/>
      <c r="T728" s="7"/>
      <c r="U728" s="7"/>
      <c r="V728" s="7"/>
      <c r="W728" s="7"/>
      <c r="X728" s="7"/>
      <c r="Y728" s="7"/>
      <c r="Z728" s="7"/>
    </row>
    <row r="729" spans="1:26" ht="9" customHeight="1" x14ac:dyDescent="0.2">
      <c r="A729" s="534"/>
      <c r="B729" s="534"/>
      <c r="C729" s="34" t="s">
        <v>37</v>
      </c>
      <c r="D729" s="35">
        <v>27</v>
      </c>
      <c r="E729" s="36">
        <v>36211444</v>
      </c>
      <c r="F729" s="36"/>
      <c r="G729" s="36"/>
      <c r="H729" s="36">
        <v>12361361</v>
      </c>
      <c r="I729" s="36">
        <v>0</v>
      </c>
      <c r="J729" s="37">
        <v>4047734</v>
      </c>
      <c r="K729" s="36">
        <v>48572805</v>
      </c>
      <c r="L729" s="50">
        <v>52620538</v>
      </c>
      <c r="M729" s="39"/>
      <c r="N729" s="36">
        <v>48572805</v>
      </c>
      <c r="O729" s="36">
        <v>36211444</v>
      </c>
      <c r="P729" s="36">
        <v>4693518</v>
      </c>
      <c r="Q729" s="36">
        <f>Q728*1936.27</f>
        <v>59138598.116989993</v>
      </c>
      <c r="R729" s="7"/>
      <c r="S729" s="7"/>
      <c r="T729" s="7"/>
      <c r="U729" s="7"/>
      <c r="V729" s="7"/>
      <c r="W729" s="7"/>
      <c r="X729" s="7"/>
      <c r="Y729" s="7"/>
      <c r="Z729" s="7"/>
    </row>
    <row r="730" spans="1:26" ht="12.75" customHeight="1" x14ac:dyDescent="0.2">
      <c r="A730" s="534"/>
      <c r="B730" s="534"/>
      <c r="C730" s="40" t="s">
        <v>36</v>
      </c>
      <c r="D730" s="41">
        <v>28</v>
      </c>
      <c r="E730" s="30">
        <v>20418.91</v>
      </c>
      <c r="F730" s="30"/>
      <c r="G730" s="30"/>
      <c r="H730" s="30">
        <v>6384.11</v>
      </c>
      <c r="I730" s="30">
        <v>0</v>
      </c>
      <c r="J730" s="42">
        <v>2233.59</v>
      </c>
      <c r="K730" s="43">
        <v>26803.02</v>
      </c>
      <c r="L730" s="51">
        <v>29036.61</v>
      </c>
      <c r="M730" s="33"/>
      <c r="N730" s="30">
        <v>26803.02</v>
      </c>
      <c r="O730" s="30">
        <v>20418.91</v>
      </c>
      <c r="P730" s="30">
        <v>3090</v>
      </c>
      <c r="Q730" s="30">
        <f>(N730+O730*0.18+J730)+(IF((P730-O730*0.18)&gt;0,(P730-O730*0.18),0))</f>
        <v>32712.013800000001</v>
      </c>
      <c r="R730" s="7"/>
      <c r="S730" s="7"/>
      <c r="T730" s="7"/>
      <c r="U730" s="7"/>
      <c r="V730" s="7"/>
      <c r="W730" s="7"/>
      <c r="X730" s="7"/>
      <c r="Y730" s="7"/>
      <c r="Z730" s="7"/>
    </row>
    <row r="731" spans="1:26" ht="9" customHeight="1" x14ac:dyDescent="0.2">
      <c r="A731" s="534"/>
      <c r="B731" s="534"/>
      <c r="C731" s="34" t="s">
        <v>37</v>
      </c>
      <c r="D731" s="35">
        <v>34</v>
      </c>
      <c r="E731" s="36">
        <v>39536523</v>
      </c>
      <c r="F731" s="36"/>
      <c r="G731" s="36"/>
      <c r="H731" s="36">
        <v>12361361</v>
      </c>
      <c r="I731" s="36">
        <v>0</v>
      </c>
      <c r="J731" s="37">
        <v>4324833</v>
      </c>
      <c r="K731" s="36">
        <v>51897884</v>
      </c>
      <c r="L731" s="50">
        <v>56222717</v>
      </c>
      <c r="M731" s="39"/>
      <c r="N731" s="36">
        <v>51897884</v>
      </c>
      <c r="O731" s="36">
        <v>39536523</v>
      </c>
      <c r="P731" s="36">
        <v>5983074</v>
      </c>
      <c r="Q731" s="36">
        <f>Q730*1936.27</f>
        <v>63339290.960525997</v>
      </c>
      <c r="R731" s="7"/>
      <c r="S731" s="7"/>
      <c r="T731" s="7"/>
      <c r="U731" s="7"/>
      <c r="V731" s="7"/>
      <c r="W731" s="7"/>
      <c r="X731" s="7"/>
      <c r="Y731" s="7"/>
      <c r="Z731" s="7"/>
    </row>
    <row r="732" spans="1:26" ht="12.75" customHeight="1" x14ac:dyDescent="0.2">
      <c r="A732" s="534"/>
      <c r="B732" s="534"/>
      <c r="C732" s="40" t="s">
        <v>36</v>
      </c>
      <c r="D732" s="41">
        <v>35</v>
      </c>
      <c r="E732" s="30">
        <v>21723.46</v>
      </c>
      <c r="F732" s="30"/>
      <c r="G732" s="30"/>
      <c r="H732" s="30">
        <v>6384.11</v>
      </c>
      <c r="I732" s="30">
        <v>0</v>
      </c>
      <c r="J732" s="42">
        <v>2342.3000000000002</v>
      </c>
      <c r="K732" s="43">
        <v>28107.57</v>
      </c>
      <c r="L732" s="51">
        <v>30449.87</v>
      </c>
      <c r="M732" s="33"/>
      <c r="N732" s="30">
        <v>28107.57</v>
      </c>
      <c r="O732" s="30">
        <v>21723.46</v>
      </c>
      <c r="P732" s="30">
        <v>3090</v>
      </c>
      <c r="Q732" s="30">
        <f>(N732+O732*0.18+J732)+(IF((P732-O732*0.18)&gt;0,(P732-O732*0.18),0))</f>
        <v>34360.092799999999</v>
      </c>
      <c r="R732" s="7"/>
      <c r="S732" s="7"/>
      <c r="T732" s="7"/>
      <c r="U732" s="7"/>
      <c r="V732" s="7"/>
      <c r="W732" s="7"/>
      <c r="X732" s="7"/>
      <c r="Y732" s="7"/>
      <c r="Z732" s="7"/>
    </row>
    <row r="733" spans="1:26" ht="9" customHeight="1" x14ac:dyDescent="0.2">
      <c r="A733" s="535"/>
      <c r="B733" s="535"/>
      <c r="C733" s="47" t="s">
        <v>37</v>
      </c>
      <c r="D733" s="48"/>
      <c r="E733" s="46">
        <v>42062484</v>
      </c>
      <c r="F733" s="46"/>
      <c r="G733" s="46"/>
      <c r="H733" s="46">
        <v>12361361</v>
      </c>
      <c r="I733" s="46">
        <v>0</v>
      </c>
      <c r="J733" s="49">
        <v>4535325</v>
      </c>
      <c r="K733" s="46">
        <v>54423845</v>
      </c>
      <c r="L733" s="52">
        <v>58959170</v>
      </c>
      <c r="M733" s="39"/>
      <c r="N733" s="36">
        <v>54423845</v>
      </c>
      <c r="O733" s="36">
        <v>42062484</v>
      </c>
      <c r="P733" s="36">
        <v>5983074</v>
      </c>
      <c r="Q733" s="36">
        <f>Q732*1936.27</f>
        <v>66530416.885855995</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6"/>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6"/>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6"/>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6"/>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6"/>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6"/>
      <c r="M739" s="39"/>
      <c r="N739" s="96"/>
      <c r="O739" s="96"/>
      <c r="P739" s="96"/>
      <c r="Q739" s="96"/>
      <c r="R739" s="7"/>
      <c r="S739" s="7"/>
      <c r="T739" s="7"/>
      <c r="U739" s="7"/>
      <c r="V739" s="7"/>
      <c r="W739" s="7"/>
      <c r="X739" s="7"/>
      <c r="Y739" s="7"/>
      <c r="Z739" s="7"/>
    </row>
    <row r="740" spans="1:26" ht="12.75" customHeight="1" x14ac:dyDescent="0.2">
      <c r="A740" s="538">
        <v>39539</v>
      </c>
      <c r="B740" s="538">
        <v>39629</v>
      </c>
      <c r="C740" s="28" t="s">
        <v>36</v>
      </c>
      <c r="D740" s="29">
        <v>0</v>
      </c>
      <c r="E740" s="30">
        <v>12320.15</v>
      </c>
      <c r="F740" s="30"/>
      <c r="G740" s="30"/>
      <c r="H740" s="30">
        <v>6384.11</v>
      </c>
      <c r="I740" s="30">
        <v>0</v>
      </c>
      <c r="J740" s="30">
        <v>1558.69</v>
      </c>
      <c r="K740" s="31">
        <v>18704.259999999998</v>
      </c>
      <c r="L740" s="32">
        <v>20262.95</v>
      </c>
      <c r="M740" s="33"/>
      <c r="N740" s="30">
        <v>18704.259999999998</v>
      </c>
      <c r="O740" s="30">
        <v>12320.15</v>
      </c>
      <c r="P740" s="30">
        <v>1968</v>
      </c>
      <c r="Q740" s="30">
        <f>(N740+O740*0.18+J740)+(IF((P740-O740*0.18)&gt;0,(P740-O740*0.18),0))</f>
        <v>22480.576999999997</v>
      </c>
      <c r="R740" s="7"/>
      <c r="S740" s="7"/>
      <c r="T740" s="7"/>
      <c r="U740" s="7"/>
      <c r="V740" s="7"/>
      <c r="W740" s="7"/>
      <c r="X740" s="7"/>
      <c r="Y740" s="7"/>
      <c r="Z740" s="7"/>
    </row>
    <row r="741" spans="1:26" ht="9" customHeight="1" x14ac:dyDescent="0.2">
      <c r="A741" s="534"/>
      <c r="B741" s="534"/>
      <c r="C741" s="34" t="s">
        <v>37</v>
      </c>
      <c r="D741" s="35">
        <v>2</v>
      </c>
      <c r="E741" s="36">
        <v>23855137</v>
      </c>
      <c r="F741" s="36"/>
      <c r="G741" s="36"/>
      <c r="H741" s="36">
        <v>12361361</v>
      </c>
      <c r="I741" s="36">
        <v>0</v>
      </c>
      <c r="J741" s="37">
        <v>3018045</v>
      </c>
      <c r="K741" s="36">
        <v>36216498</v>
      </c>
      <c r="L741" s="50">
        <v>39234542</v>
      </c>
      <c r="M741" s="39"/>
      <c r="N741" s="36">
        <v>36216498</v>
      </c>
      <c r="O741" s="36">
        <v>23855137</v>
      </c>
      <c r="P741" s="36">
        <v>3810579</v>
      </c>
      <c r="Q741" s="36">
        <f>Q740*1936.27</f>
        <v>43528466.827789992</v>
      </c>
      <c r="R741" s="7"/>
      <c r="S741" s="7"/>
      <c r="T741" s="7"/>
      <c r="U741" s="7"/>
      <c r="V741" s="7"/>
      <c r="W741" s="7"/>
      <c r="X741" s="7"/>
      <c r="Y741" s="7"/>
      <c r="Z741" s="7"/>
    </row>
    <row r="742" spans="1:26" ht="12.75" customHeight="1" x14ac:dyDescent="0.2">
      <c r="A742" s="539">
        <v>39539</v>
      </c>
      <c r="B742" s="539">
        <v>39629</v>
      </c>
      <c r="C742" s="40" t="s">
        <v>36</v>
      </c>
      <c r="D742" s="41">
        <v>3</v>
      </c>
      <c r="E742" s="30">
        <v>12822.88</v>
      </c>
      <c r="F742" s="30"/>
      <c r="G742" s="30"/>
      <c r="H742" s="30">
        <v>6384.11</v>
      </c>
      <c r="I742" s="30">
        <v>0</v>
      </c>
      <c r="J742" s="42">
        <v>1600.58</v>
      </c>
      <c r="K742" s="43">
        <v>19206.990000000002</v>
      </c>
      <c r="L742" s="51">
        <v>20807.57</v>
      </c>
      <c r="M742" s="33"/>
      <c r="N742" s="30">
        <v>19206.990000000002</v>
      </c>
      <c r="O742" s="30">
        <v>12822.88</v>
      </c>
      <c r="P742" s="30">
        <v>1968</v>
      </c>
      <c r="Q742" s="30">
        <f>(N742+O742*0.18+J742)+(IF((P742-O742*0.18)&gt;0,(P742-O742*0.18),0))</f>
        <v>23115.688399999999</v>
      </c>
      <c r="R742" s="7"/>
      <c r="S742" s="7"/>
      <c r="T742" s="7"/>
      <c r="U742" s="7"/>
      <c r="V742" s="7"/>
      <c r="W742" s="7"/>
      <c r="X742" s="7"/>
      <c r="Y742" s="7"/>
      <c r="Z742" s="7"/>
    </row>
    <row r="743" spans="1:26" ht="9" customHeight="1" x14ac:dyDescent="0.2">
      <c r="A743" s="534"/>
      <c r="B743" s="534"/>
      <c r="C743" s="34" t="s">
        <v>37</v>
      </c>
      <c r="D743" s="35">
        <v>8</v>
      </c>
      <c r="E743" s="36">
        <v>24828558</v>
      </c>
      <c r="F743" s="36"/>
      <c r="G743" s="36"/>
      <c r="H743" s="36">
        <v>12361361</v>
      </c>
      <c r="I743" s="36">
        <v>0</v>
      </c>
      <c r="J743" s="37">
        <v>3099155</v>
      </c>
      <c r="K743" s="36">
        <v>37189919</v>
      </c>
      <c r="L743" s="50">
        <v>40289074</v>
      </c>
      <c r="M743" s="39"/>
      <c r="N743" s="36">
        <v>37189919</v>
      </c>
      <c r="O743" s="36">
        <v>24828558</v>
      </c>
      <c r="P743" s="36">
        <v>3810579</v>
      </c>
      <c r="Q743" s="36">
        <f>Q742*1936.27</f>
        <v>44758213.978267998</v>
      </c>
      <c r="R743" s="7"/>
      <c r="S743" s="7"/>
      <c r="T743" s="7"/>
      <c r="U743" s="7"/>
      <c r="V743" s="7"/>
      <c r="W743" s="7"/>
      <c r="X743" s="7"/>
      <c r="Y743" s="7"/>
      <c r="Z743" s="7"/>
    </row>
    <row r="744" spans="1:26" ht="12.75" customHeight="1" x14ac:dyDescent="0.2">
      <c r="A744" s="534"/>
      <c r="B744" s="534"/>
      <c r="C744" s="40" t="s">
        <v>36</v>
      </c>
      <c r="D744" s="41">
        <v>9</v>
      </c>
      <c r="E744" s="30">
        <v>14371.09</v>
      </c>
      <c r="F744" s="30"/>
      <c r="G744" s="30"/>
      <c r="H744" s="30">
        <v>6384.11</v>
      </c>
      <c r="I744" s="30">
        <v>0</v>
      </c>
      <c r="J744" s="42">
        <v>1729.6</v>
      </c>
      <c r="K744" s="43">
        <v>20755.2</v>
      </c>
      <c r="L744" s="51">
        <v>22484.799999999999</v>
      </c>
      <c r="M744" s="33"/>
      <c r="N744" s="30">
        <v>20755.2</v>
      </c>
      <c r="O744" s="30">
        <v>14371.09</v>
      </c>
      <c r="P744" s="30">
        <v>1968</v>
      </c>
      <c r="Q744" s="30">
        <f>(N744+O744*0.18+J744)+(IF((P744-O744*0.18)&gt;0,(P744-O744*0.18),0))</f>
        <v>25071.5962</v>
      </c>
      <c r="R744" s="7"/>
      <c r="S744" s="7"/>
      <c r="T744" s="7"/>
      <c r="U744" s="7"/>
      <c r="V744" s="7"/>
      <c r="W744" s="7"/>
      <c r="X744" s="7"/>
      <c r="Y744" s="7"/>
      <c r="Z744" s="7"/>
    </row>
    <row r="745" spans="1:26" ht="9" customHeight="1" x14ac:dyDescent="0.2">
      <c r="A745" s="534"/>
      <c r="B745" s="534"/>
      <c r="C745" s="34" t="s">
        <v>37</v>
      </c>
      <c r="D745" s="35">
        <v>14</v>
      </c>
      <c r="E745" s="36">
        <v>27826310</v>
      </c>
      <c r="F745" s="36"/>
      <c r="G745" s="36"/>
      <c r="H745" s="36">
        <v>12361361</v>
      </c>
      <c r="I745" s="36">
        <v>0</v>
      </c>
      <c r="J745" s="37">
        <v>3348973</v>
      </c>
      <c r="K745" s="36">
        <v>40187671</v>
      </c>
      <c r="L745" s="50">
        <v>43536644</v>
      </c>
      <c r="M745" s="39"/>
      <c r="N745" s="36">
        <v>40187671</v>
      </c>
      <c r="O745" s="36">
        <v>27826310</v>
      </c>
      <c r="P745" s="36">
        <v>3810579</v>
      </c>
      <c r="Q745" s="36">
        <f>Q744*1936.27</f>
        <v>48545379.574174002</v>
      </c>
      <c r="R745" s="7"/>
      <c r="S745" s="7"/>
      <c r="T745" s="7"/>
      <c r="U745" s="7"/>
      <c r="V745" s="7"/>
      <c r="W745" s="7"/>
      <c r="X745" s="7"/>
      <c r="Y745" s="7"/>
      <c r="Z745" s="7"/>
    </row>
    <row r="746" spans="1:26" ht="12.75" customHeight="1" x14ac:dyDescent="0.2">
      <c r="A746" s="534"/>
      <c r="B746" s="534"/>
      <c r="C746" s="40" t="s">
        <v>36</v>
      </c>
      <c r="D746" s="41">
        <v>15</v>
      </c>
      <c r="E746" s="30">
        <v>16179.54</v>
      </c>
      <c r="F746" s="30"/>
      <c r="G746" s="30"/>
      <c r="H746" s="30">
        <v>6384.11</v>
      </c>
      <c r="I746" s="30">
        <v>0</v>
      </c>
      <c r="J746" s="42">
        <v>1880.3</v>
      </c>
      <c r="K746" s="43">
        <v>22563.65</v>
      </c>
      <c r="L746" s="51">
        <v>24443.95</v>
      </c>
      <c r="M746" s="33"/>
      <c r="N746" s="30">
        <v>22563.65</v>
      </c>
      <c r="O746" s="30">
        <v>16179.54</v>
      </c>
      <c r="P746" s="30">
        <v>2424</v>
      </c>
      <c r="Q746" s="30">
        <f>(N746+O746*0.18+J746)+(IF((P746-O746*0.18)&gt;0,(P746-O746*0.18),0))</f>
        <v>27356.267200000002</v>
      </c>
      <c r="R746" s="7"/>
      <c r="S746" s="7"/>
      <c r="T746" s="7"/>
      <c r="U746" s="7"/>
      <c r="V746" s="7"/>
      <c r="W746" s="7"/>
      <c r="X746" s="7"/>
      <c r="Y746" s="7"/>
      <c r="Z746" s="7"/>
    </row>
    <row r="747" spans="1:26" ht="9" customHeight="1" x14ac:dyDescent="0.2">
      <c r="A747" s="534"/>
      <c r="B747" s="534"/>
      <c r="C747" s="34" t="s">
        <v>37</v>
      </c>
      <c r="D747" s="35">
        <v>20</v>
      </c>
      <c r="E747" s="36">
        <v>31327958</v>
      </c>
      <c r="F747" s="36"/>
      <c r="G747" s="36"/>
      <c r="H747" s="36">
        <v>12361361</v>
      </c>
      <c r="I747" s="36">
        <v>0</v>
      </c>
      <c r="J747" s="37">
        <v>3640768</v>
      </c>
      <c r="K747" s="36">
        <v>43689319</v>
      </c>
      <c r="L747" s="50">
        <v>47330087</v>
      </c>
      <c r="M747" s="39"/>
      <c r="N747" s="36">
        <v>43689319</v>
      </c>
      <c r="O747" s="36">
        <v>31327958</v>
      </c>
      <c r="P747" s="36">
        <v>4693518</v>
      </c>
      <c r="Q747" s="36">
        <f>Q746*1936.27</f>
        <v>52969119.491344005</v>
      </c>
      <c r="R747" s="7"/>
      <c r="S747" s="7"/>
      <c r="T747" s="7"/>
      <c r="U747" s="7"/>
      <c r="V747" s="7"/>
      <c r="W747" s="7"/>
      <c r="X747" s="7"/>
      <c r="Y747" s="7"/>
      <c r="Z747" s="7"/>
    </row>
    <row r="748" spans="1:26" ht="12.75" customHeight="1" x14ac:dyDescent="0.2">
      <c r="A748" s="534"/>
      <c r="B748" s="534"/>
      <c r="C748" s="40" t="s">
        <v>36</v>
      </c>
      <c r="D748" s="41">
        <v>21</v>
      </c>
      <c r="E748" s="30">
        <v>18796.57</v>
      </c>
      <c r="F748" s="30"/>
      <c r="G748" s="30"/>
      <c r="H748" s="30">
        <v>6384.11</v>
      </c>
      <c r="I748" s="30">
        <v>0</v>
      </c>
      <c r="J748" s="42">
        <v>2098.39</v>
      </c>
      <c r="K748" s="43">
        <v>25180.68</v>
      </c>
      <c r="L748" s="51">
        <v>27279.07</v>
      </c>
      <c r="M748" s="33"/>
      <c r="N748" s="30">
        <v>25180.68</v>
      </c>
      <c r="O748" s="30">
        <v>18796.57</v>
      </c>
      <c r="P748" s="30">
        <v>2424</v>
      </c>
      <c r="Q748" s="30">
        <f>(N748+O748*0.18+J748)+(IF((P748-O748*0.18)&gt;0,(P748-O748*0.18),0))</f>
        <v>30662.452600000001</v>
      </c>
      <c r="R748" s="7"/>
      <c r="S748" s="7"/>
      <c r="T748" s="7"/>
      <c r="U748" s="7"/>
      <c r="V748" s="7"/>
      <c r="W748" s="7"/>
      <c r="X748" s="7"/>
      <c r="Y748" s="7"/>
      <c r="Z748" s="7"/>
    </row>
    <row r="749" spans="1:26" ht="9" customHeight="1" x14ac:dyDescent="0.2">
      <c r="A749" s="534"/>
      <c r="B749" s="534"/>
      <c r="C749" s="34" t="s">
        <v>37</v>
      </c>
      <c r="D749" s="35">
        <v>27</v>
      </c>
      <c r="E749" s="36">
        <v>36395235</v>
      </c>
      <c r="F749" s="36"/>
      <c r="G749" s="36"/>
      <c r="H749" s="36">
        <v>12361361</v>
      </c>
      <c r="I749" s="36">
        <v>0</v>
      </c>
      <c r="J749" s="37">
        <v>4063050</v>
      </c>
      <c r="K749" s="36">
        <v>48756595</v>
      </c>
      <c r="L749" s="50">
        <v>52819645</v>
      </c>
      <c r="M749" s="39"/>
      <c r="N749" s="36">
        <v>48756595</v>
      </c>
      <c r="O749" s="36">
        <v>36395235</v>
      </c>
      <c r="P749" s="36">
        <v>4693518</v>
      </c>
      <c r="Q749" s="36">
        <f>Q748*1936.27</f>
        <v>59370787.095802002</v>
      </c>
      <c r="R749" s="7"/>
      <c r="S749" s="7"/>
      <c r="T749" s="7"/>
      <c r="U749" s="7"/>
      <c r="V749" s="7"/>
      <c r="W749" s="7"/>
      <c r="X749" s="7"/>
      <c r="Y749" s="7"/>
      <c r="Z749" s="7"/>
    </row>
    <row r="750" spans="1:26" ht="12.75" customHeight="1" x14ac:dyDescent="0.2">
      <c r="A750" s="534"/>
      <c r="B750" s="534"/>
      <c r="C750" s="40" t="s">
        <v>36</v>
      </c>
      <c r="D750" s="41">
        <v>28</v>
      </c>
      <c r="E750" s="30">
        <v>20513.830000000002</v>
      </c>
      <c r="F750" s="30"/>
      <c r="G750" s="30"/>
      <c r="H750" s="30">
        <v>6384.11</v>
      </c>
      <c r="I750" s="30">
        <v>0</v>
      </c>
      <c r="J750" s="42">
        <v>2241.5</v>
      </c>
      <c r="K750" s="43">
        <v>26897.94</v>
      </c>
      <c r="L750" s="51">
        <v>29139.439999999999</v>
      </c>
      <c r="M750" s="33"/>
      <c r="N750" s="30">
        <v>26897.94</v>
      </c>
      <c r="O750" s="30">
        <v>20513.830000000002</v>
      </c>
      <c r="P750" s="30">
        <v>3090</v>
      </c>
      <c r="Q750" s="30">
        <f>(N750+O750*0.18+J750)+(IF((P750-O750*0.18)&gt;0,(P750-O750*0.18),0))</f>
        <v>32831.929400000001</v>
      </c>
      <c r="R750" s="7"/>
      <c r="S750" s="7"/>
      <c r="T750" s="7"/>
      <c r="U750" s="7"/>
      <c r="V750" s="7"/>
      <c r="W750" s="7"/>
      <c r="X750" s="7"/>
      <c r="Y750" s="7"/>
      <c r="Z750" s="7"/>
    </row>
    <row r="751" spans="1:26" ht="9" customHeight="1" x14ac:dyDescent="0.2">
      <c r="A751" s="534"/>
      <c r="B751" s="534"/>
      <c r="C751" s="34" t="s">
        <v>37</v>
      </c>
      <c r="D751" s="35">
        <v>34</v>
      </c>
      <c r="E751" s="36">
        <v>39720314</v>
      </c>
      <c r="F751" s="36"/>
      <c r="G751" s="36"/>
      <c r="H751" s="36">
        <v>12361361</v>
      </c>
      <c r="I751" s="36">
        <v>0</v>
      </c>
      <c r="J751" s="37">
        <v>4340149</v>
      </c>
      <c r="K751" s="36">
        <v>52081674</v>
      </c>
      <c r="L751" s="50">
        <v>56421823</v>
      </c>
      <c r="M751" s="39"/>
      <c r="N751" s="36">
        <v>52081674</v>
      </c>
      <c r="O751" s="36">
        <v>39720314</v>
      </c>
      <c r="P751" s="36">
        <v>5983074</v>
      </c>
      <c r="Q751" s="36">
        <f>Q750*1936.27</f>
        <v>63571479.939337999</v>
      </c>
      <c r="R751" s="7"/>
      <c r="S751" s="7"/>
      <c r="T751" s="7"/>
      <c r="U751" s="7"/>
      <c r="V751" s="7"/>
      <c r="W751" s="7"/>
      <c r="X751" s="7"/>
      <c r="Y751" s="7"/>
      <c r="Z751" s="7"/>
    </row>
    <row r="752" spans="1:26" ht="12.75" customHeight="1" x14ac:dyDescent="0.2">
      <c r="A752" s="534"/>
      <c r="B752" s="534"/>
      <c r="C752" s="40" t="s">
        <v>36</v>
      </c>
      <c r="D752" s="41">
        <v>35</v>
      </c>
      <c r="E752" s="30">
        <v>21818.38</v>
      </c>
      <c r="F752" s="30"/>
      <c r="G752" s="30"/>
      <c r="H752" s="30">
        <v>6384.11</v>
      </c>
      <c r="I752" s="30">
        <v>0</v>
      </c>
      <c r="J752" s="42">
        <v>2350.21</v>
      </c>
      <c r="K752" s="43">
        <v>28202.49</v>
      </c>
      <c r="L752" s="51">
        <v>30552.7</v>
      </c>
      <c r="M752" s="33"/>
      <c r="N752" s="30">
        <v>28202.49</v>
      </c>
      <c r="O752" s="30">
        <v>21818.38</v>
      </c>
      <c r="P752" s="30">
        <v>3090</v>
      </c>
      <c r="Q752" s="30">
        <f>(N752+O752*0.18+J752)+(IF((P752-O752*0.18)&gt;0,(P752-O752*0.18),0))</f>
        <v>34480.008399999999</v>
      </c>
      <c r="R752" s="7"/>
      <c r="S752" s="7"/>
      <c r="T752" s="7"/>
      <c r="U752" s="7"/>
      <c r="V752" s="7"/>
      <c r="W752" s="7"/>
      <c r="X752" s="7"/>
      <c r="Y752" s="7"/>
      <c r="Z752" s="7"/>
    </row>
    <row r="753" spans="1:26" ht="9" customHeight="1" x14ac:dyDescent="0.2">
      <c r="A753" s="535"/>
      <c r="B753" s="535"/>
      <c r="C753" s="47" t="s">
        <v>37</v>
      </c>
      <c r="D753" s="48"/>
      <c r="E753" s="36">
        <v>42246275</v>
      </c>
      <c r="F753" s="36"/>
      <c r="G753" s="36"/>
      <c r="H753" s="36">
        <v>12361361</v>
      </c>
      <c r="I753" s="36">
        <v>0</v>
      </c>
      <c r="J753" s="49">
        <v>4550641</v>
      </c>
      <c r="K753" s="46">
        <v>54607635</v>
      </c>
      <c r="L753" s="52">
        <v>59158276</v>
      </c>
      <c r="M753" s="39"/>
      <c r="N753" s="36">
        <v>54607635</v>
      </c>
      <c r="O753" s="36">
        <v>42246275</v>
      </c>
      <c r="P753" s="36">
        <v>5983074</v>
      </c>
      <c r="Q753" s="36">
        <f>Q752*1936.27</f>
        <v>66762605.864667997</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6"/>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6"/>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6"/>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6"/>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6"/>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6"/>
      <c r="M759" s="39"/>
      <c r="N759" s="96"/>
      <c r="O759" s="96"/>
      <c r="P759" s="96"/>
      <c r="Q759" s="96"/>
      <c r="R759" s="7"/>
      <c r="S759" s="7"/>
      <c r="T759" s="7"/>
      <c r="U759" s="7"/>
      <c r="V759" s="7"/>
      <c r="W759" s="7"/>
      <c r="X759" s="7"/>
      <c r="Y759" s="7"/>
      <c r="Z759" s="7"/>
    </row>
    <row r="760" spans="1:26" ht="12.75" customHeight="1" x14ac:dyDescent="0.2">
      <c r="A760" s="538">
        <v>39630</v>
      </c>
      <c r="B760" s="538">
        <v>39813</v>
      </c>
      <c r="C760" s="28" t="s">
        <v>36</v>
      </c>
      <c r="D760" s="29">
        <v>0</v>
      </c>
      <c r="E760" s="30">
        <v>12383.39</v>
      </c>
      <c r="F760" s="30"/>
      <c r="G760" s="30"/>
      <c r="H760" s="30">
        <v>6384.11</v>
      </c>
      <c r="I760" s="30">
        <v>0</v>
      </c>
      <c r="J760" s="30">
        <v>1563.96</v>
      </c>
      <c r="K760" s="31">
        <v>18767.5</v>
      </c>
      <c r="L760" s="32">
        <v>20331.46</v>
      </c>
      <c r="M760" s="33"/>
      <c r="N760" s="30">
        <v>18767.5</v>
      </c>
      <c r="O760" s="30">
        <v>12383.39</v>
      </c>
      <c r="P760" s="30">
        <v>1968</v>
      </c>
      <c r="Q760" s="30">
        <f>(N760+O760*0.18+J760)+(IF((P760-O760*0.18)&gt;0,(P760-O760*0.18),0))</f>
        <v>22560.4702</v>
      </c>
      <c r="R760" s="7"/>
      <c r="S760" s="7"/>
      <c r="T760" s="7"/>
      <c r="U760" s="7"/>
      <c r="V760" s="7"/>
      <c r="W760" s="7"/>
      <c r="X760" s="7"/>
      <c r="Y760" s="7"/>
      <c r="Z760" s="7"/>
    </row>
    <row r="761" spans="1:26" ht="9" customHeight="1" x14ac:dyDescent="0.2">
      <c r="A761" s="534"/>
      <c r="B761" s="534"/>
      <c r="C761" s="34" t="s">
        <v>37</v>
      </c>
      <c r="D761" s="35">
        <v>2</v>
      </c>
      <c r="E761" s="36">
        <v>23977587</v>
      </c>
      <c r="F761" s="36"/>
      <c r="G761" s="36"/>
      <c r="H761" s="36">
        <v>12361361</v>
      </c>
      <c r="I761" s="36">
        <v>0</v>
      </c>
      <c r="J761" s="37">
        <v>3028249</v>
      </c>
      <c r="K761" s="36">
        <v>36338947</v>
      </c>
      <c r="L761" s="50">
        <v>39367196</v>
      </c>
      <c r="M761" s="39"/>
      <c r="N761" s="36">
        <v>36338947</v>
      </c>
      <c r="O761" s="36">
        <v>23977587</v>
      </c>
      <c r="P761" s="36">
        <v>3810579</v>
      </c>
      <c r="Q761" s="36">
        <f>Q760*1936.27</f>
        <v>43683161.634153999</v>
      </c>
      <c r="R761" s="7"/>
      <c r="S761" s="7"/>
      <c r="T761" s="7"/>
      <c r="U761" s="7"/>
      <c r="V761" s="7"/>
      <c r="W761" s="7"/>
      <c r="X761" s="7"/>
      <c r="Y761" s="7"/>
      <c r="Z761" s="7"/>
    </row>
    <row r="762" spans="1:26" ht="12.75" customHeight="1" x14ac:dyDescent="0.2">
      <c r="A762" s="539">
        <v>39630</v>
      </c>
      <c r="B762" s="539">
        <v>39813</v>
      </c>
      <c r="C762" s="40" t="s">
        <v>36</v>
      </c>
      <c r="D762" s="41">
        <v>3</v>
      </c>
      <c r="E762" s="30">
        <v>12886.12</v>
      </c>
      <c r="F762" s="30"/>
      <c r="G762" s="30"/>
      <c r="H762" s="30">
        <v>6384.11</v>
      </c>
      <c r="I762" s="30">
        <v>0</v>
      </c>
      <c r="J762" s="42">
        <v>1605.85</v>
      </c>
      <c r="K762" s="43">
        <v>19270.23</v>
      </c>
      <c r="L762" s="51">
        <v>20876.080000000002</v>
      </c>
      <c r="M762" s="33"/>
      <c r="N762" s="30">
        <v>19270.23</v>
      </c>
      <c r="O762" s="30">
        <v>12886.12</v>
      </c>
      <c r="P762" s="30">
        <v>1968</v>
      </c>
      <c r="Q762" s="30">
        <f>(N762+O762*0.18+J762)+(IF((P762-O762*0.18)&gt;0,(P762-O762*0.18),0))</f>
        <v>23195.581599999998</v>
      </c>
      <c r="R762" s="7"/>
      <c r="S762" s="7"/>
      <c r="T762" s="7"/>
      <c r="U762" s="7"/>
      <c r="V762" s="7"/>
      <c r="W762" s="7"/>
      <c r="X762" s="7"/>
      <c r="Y762" s="7"/>
      <c r="Z762" s="7"/>
    </row>
    <row r="763" spans="1:26" ht="9" customHeight="1" x14ac:dyDescent="0.2">
      <c r="A763" s="534"/>
      <c r="B763" s="534"/>
      <c r="C763" s="34" t="s">
        <v>37</v>
      </c>
      <c r="D763" s="35">
        <v>8</v>
      </c>
      <c r="E763" s="36">
        <v>24951008</v>
      </c>
      <c r="F763" s="36"/>
      <c r="G763" s="36"/>
      <c r="H763" s="36">
        <v>12361361</v>
      </c>
      <c r="I763" s="36">
        <v>0</v>
      </c>
      <c r="J763" s="37">
        <v>3109359</v>
      </c>
      <c r="K763" s="36">
        <v>37312368</v>
      </c>
      <c r="L763" s="50">
        <v>40421727</v>
      </c>
      <c r="M763" s="39"/>
      <c r="N763" s="36">
        <v>37312368</v>
      </c>
      <c r="O763" s="36">
        <v>24951008</v>
      </c>
      <c r="P763" s="36">
        <v>3810579</v>
      </c>
      <c r="Q763" s="36">
        <f>Q762*1936.27</f>
        <v>44912908.784631997</v>
      </c>
      <c r="R763" s="7"/>
      <c r="S763" s="7"/>
      <c r="T763" s="7"/>
      <c r="U763" s="7"/>
      <c r="V763" s="7"/>
      <c r="W763" s="7"/>
      <c r="X763" s="7"/>
      <c r="Y763" s="7"/>
      <c r="Z763" s="7"/>
    </row>
    <row r="764" spans="1:26" ht="12.75" customHeight="1" x14ac:dyDescent="0.2">
      <c r="A764" s="534"/>
      <c r="B764" s="534"/>
      <c r="C764" s="40" t="s">
        <v>36</v>
      </c>
      <c r="D764" s="41">
        <v>9</v>
      </c>
      <c r="E764" s="30">
        <v>14434.33</v>
      </c>
      <c r="F764" s="30"/>
      <c r="G764" s="30"/>
      <c r="H764" s="30">
        <v>6384.11</v>
      </c>
      <c r="I764" s="30">
        <v>0</v>
      </c>
      <c r="J764" s="42">
        <v>1734.87</v>
      </c>
      <c r="K764" s="43">
        <v>20818.439999999999</v>
      </c>
      <c r="L764" s="51">
        <v>22553.31</v>
      </c>
      <c r="M764" s="33"/>
      <c r="N764" s="30">
        <v>20818.439999999999</v>
      </c>
      <c r="O764" s="30">
        <v>14434.33</v>
      </c>
      <c r="P764" s="30">
        <v>1968</v>
      </c>
      <c r="Q764" s="30">
        <f>(N764+O764*0.18+J764)+(IF((P764-O764*0.18)&gt;0,(P764-O764*0.18),0))</f>
        <v>25151.489399999999</v>
      </c>
      <c r="R764" s="7"/>
      <c r="S764" s="7"/>
      <c r="T764" s="7"/>
      <c r="U764" s="7"/>
      <c r="V764" s="7"/>
      <c r="W764" s="7"/>
      <c r="X764" s="7"/>
      <c r="Y764" s="7"/>
      <c r="Z764" s="7"/>
    </row>
    <row r="765" spans="1:26" ht="9" customHeight="1" x14ac:dyDescent="0.2">
      <c r="A765" s="534"/>
      <c r="B765" s="534"/>
      <c r="C765" s="34" t="s">
        <v>37</v>
      </c>
      <c r="D765" s="35">
        <v>14</v>
      </c>
      <c r="E765" s="36">
        <v>27948760</v>
      </c>
      <c r="F765" s="36"/>
      <c r="G765" s="36"/>
      <c r="H765" s="36">
        <v>12361361</v>
      </c>
      <c r="I765" s="36">
        <v>0</v>
      </c>
      <c r="J765" s="37">
        <v>3359177</v>
      </c>
      <c r="K765" s="36">
        <v>40310121</v>
      </c>
      <c r="L765" s="50">
        <v>43669298</v>
      </c>
      <c r="M765" s="39"/>
      <c r="N765" s="36">
        <v>40310121</v>
      </c>
      <c r="O765" s="36">
        <v>27948760</v>
      </c>
      <c r="P765" s="36">
        <v>3810579</v>
      </c>
      <c r="Q765" s="36">
        <f>Q764*1936.27</f>
        <v>48700074.380537994</v>
      </c>
      <c r="R765" s="7"/>
      <c r="S765" s="7"/>
      <c r="T765" s="7"/>
      <c r="U765" s="7"/>
      <c r="V765" s="7"/>
      <c r="W765" s="7"/>
      <c r="X765" s="7"/>
      <c r="Y765" s="7"/>
      <c r="Z765" s="7"/>
    </row>
    <row r="766" spans="1:26" ht="12.75" customHeight="1" x14ac:dyDescent="0.2">
      <c r="A766" s="534"/>
      <c r="B766" s="534"/>
      <c r="C766" s="40" t="s">
        <v>36</v>
      </c>
      <c r="D766" s="41">
        <v>15</v>
      </c>
      <c r="E766" s="30">
        <v>16242.78</v>
      </c>
      <c r="F766" s="30"/>
      <c r="G766" s="30"/>
      <c r="H766" s="30">
        <v>6384.11</v>
      </c>
      <c r="I766" s="30">
        <v>0</v>
      </c>
      <c r="J766" s="42">
        <v>1885.57</v>
      </c>
      <c r="K766" s="43">
        <v>22626.89</v>
      </c>
      <c r="L766" s="51">
        <v>24512.46</v>
      </c>
      <c r="M766" s="33"/>
      <c r="N766" s="30">
        <v>22626.89</v>
      </c>
      <c r="O766" s="30">
        <v>16242.78</v>
      </c>
      <c r="P766" s="30">
        <v>2424</v>
      </c>
      <c r="Q766" s="30">
        <f>(N766+O766*0.18+J766)+(IF((P766-O766*0.18)&gt;0,(P766-O766*0.18),0))</f>
        <v>27436.160400000001</v>
      </c>
      <c r="R766" s="7"/>
      <c r="S766" s="7"/>
      <c r="T766" s="7"/>
      <c r="U766" s="7"/>
      <c r="V766" s="7"/>
      <c r="W766" s="7"/>
      <c r="X766" s="7"/>
      <c r="Y766" s="7"/>
      <c r="Z766" s="7"/>
    </row>
    <row r="767" spans="1:26" ht="9" customHeight="1" x14ac:dyDescent="0.2">
      <c r="A767" s="534"/>
      <c r="B767" s="534"/>
      <c r="C767" s="34" t="s">
        <v>37</v>
      </c>
      <c r="D767" s="35">
        <v>20</v>
      </c>
      <c r="E767" s="36">
        <v>31450408</v>
      </c>
      <c r="F767" s="36"/>
      <c r="G767" s="36"/>
      <c r="H767" s="36">
        <v>12361361</v>
      </c>
      <c r="I767" s="36">
        <v>0</v>
      </c>
      <c r="J767" s="37">
        <v>3650973</v>
      </c>
      <c r="K767" s="36">
        <v>43811768</v>
      </c>
      <c r="L767" s="50">
        <v>47462741</v>
      </c>
      <c r="M767" s="39"/>
      <c r="N767" s="36">
        <v>43811768</v>
      </c>
      <c r="O767" s="36">
        <v>31450408</v>
      </c>
      <c r="P767" s="36">
        <v>4693518</v>
      </c>
      <c r="Q767" s="36">
        <f>Q766*1936.27</f>
        <v>53123814.297707997</v>
      </c>
      <c r="R767" s="7"/>
      <c r="S767" s="7"/>
      <c r="T767" s="7"/>
      <c r="U767" s="7"/>
      <c r="V767" s="7"/>
      <c r="W767" s="7"/>
      <c r="X767" s="7"/>
      <c r="Y767" s="7"/>
      <c r="Z767" s="7"/>
    </row>
    <row r="768" spans="1:26" ht="12.75" customHeight="1" x14ac:dyDescent="0.2">
      <c r="A768" s="534"/>
      <c r="B768" s="534"/>
      <c r="C768" s="40" t="s">
        <v>36</v>
      </c>
      <c r="D768" s="41">
        <v>21</v>
      </c>
      <c r="E768" s="30">
        <v>18859.810000000001</v>
      </c>
      <c r="F768" s="30"/>
      <c r="G768" s="30"/>
      <c r="H768" s="30">
        <v>6384.11</v>
      </c>
      <c r="I768" s="30">
        <v>0</v>
      </c>
      <c r="J768" s="42">
        <v>2103.66</v>
      </c>
      <c r="K768" s="43">
        <v>25243.919999999998</v>
      </c>
      <c r="L768" s="51">
        <v>27347.58</v>
      </c>
      <c r="M768" s="33"/>
      <c r="N768" s="30">
        <v>25243.919999999998</v>
      </c>
      <c r="O768" s="30">
        <v>18859.810000000001</v>
      </c>
      <c r="P768" s="30">
        <v>2424</v>
      </c>
      <c r="Q768" s="30">
        <f>(N768+O768*0.18+J768)+(IF((P768-O768*0.18)&gt;0,(P768-O768*0.18),0))</f>
        <v>30742.345799999999</v>
      </c>
      <c r="R768" s="7"/>
      <c r="S768" s="7"/>
      <c r="T768" s="7"/>
      <c r="U768" s="7"/>
      <c r="V768" s="7"/>
      <c r="W768" s="7"/>
      <c r="X768" s="7"/>
      <c r="Y768" s="7"/>
      <c r="Z768" s="7"/>
    </row>
    <row r="769" spans="1:26" ht="9" customHeight="1" x14ac:dyDescent="0.2">
      <c r="A769" s="534"/>
      <c r="B769" s="534"/>
      <c r="C769" s="34" t="s">
        <v>37</v>
      </c>
      <c r="D769" s="35">
        <v>27</v>
      </c>
      <c r="E769" s="36">
        <v>36517684</v>
      </c>
      <c r="F769" s="36"/>
      <c r="G769" s="36"/>
      <c r="H769" s="36">
        <v>12361361</v>
      </c>
      <c r="I769" s="36">
        <v>0</v>
      </c>
      <c r="J769" s="37">
        <v>4073254</v>
      </c>
      <c r="K769" s="36">
        <v>48879045</v>
      </c>
      <c r="L769" s="50">
        <v>52952299</v>
      </c>
      <c r="M769" s="39"/>
      <c r="N769" s="36">
        <v>48879045</v>
      </c>
      <c r="O769" s="36">
        <v>36517684</v>
      </c>
      <c r="P769" s="36">
        <v>4693518</v>
      </c>
      <c r="Q769" s="36">
        <f>Q768*1936.27</f>
        <v>59525481.902166001</v>
      </c>
      <c r="R769" s="7"/>
      <c r="S769" s="7"/>
      <c r="T769" s="7"/>
      <c r="U769" s="7"/>
      <c r="V769" s="7"/>
      <c r="W769" s="7"/>
      <c r="X769" s="7"/>
      <c r="Y769" s="7"/>
      <c r="Z769" s="7"/>
    </row>
    <row r="770" spans="1:26" ht="12.75" customHeight="1" x14ac:dyDescent="0.2">
      <c r="A770" s="534"/>
      <c r="B770" s="534"/>
      <c r="C770" s="40" t="s">
        <v>36</v>
      </c>
      <c r="D770" s="41">
        <v>28</v>
      </c>
      <c r="E770" s="30">
        <v>20577.07</v>
      </c>
      <c r="F770" s="30"/>
      <c r="G770" s="30"/>
      <c r="H770" s="30">
        <v>6384.11</v>
      </c>
      <c r="I770" s="30">
        <v>0</v>
      </c>
      <c r="J770" s="42">
        <v>2246.77</v>
      </c>
      <c r="K770" s="43">
        <v>26961.18</v>
      </c>
      <c r="L770" s="51">
        <v>29207.95</v>
      </c>
      <c r="M770" s="33"/>
      <c r="N770" s="30">
        <v>26961.18</v>
      </c>
      <c r="O770" s="30">
        <v>20577.07</v>
      </c>
      <c r="P770" s="30">
        <v>3090</v>
      </c>
      <c r="Q770" s="30">
        <f>(N770+O770*0.18+J770)+(IF((P770-O770*0.18)&gt;0,(P770-O770*0.18),0))</f>
        <v>32911.8226</v>
      </c>
      <c r="R770" s="7"/>
      <c r="S770" s="7"/>
      <c r="T770" s="7"/>
      <c r="U770" s="7"/>
      <c r="V770" s="7"/>
      <c r="W770" s="7"/>
      <c r="X770" s="7"/>
      <c r="Y770" s="7"/>
      <c r="Z770" s="7"/>
    </row>
    <row r="771" spans="1:26" ht="9" customHeight="1" x14ac:dyDescent="0.2">
      <c r="A771" s="534"/>
      <c r="B771" s="534"/>
      <c r="C771" s="34" t="s">
        <v>37</v>
      </c>
      <c r="D771" s="35">
        <v>34</v>
      </c>
      <c r="E771" s="36">
        <v>39842763</v>
      </c>
      <c r="F771" s="36"/>
      <c r="G771" s="36"/>
      <c r="H771" s="36">
        <v>12361361</v>
      </c>
      <c r="I771" s="36">
        <v>0</v>
      </c>
      <c r="J771" s="37">
        <v>4350353</v>
      </c>
      <c r="K771" s="36">
        <v>52204124</v>
      </c>
      <c r="L771" s="50">
        <v>56554477</v>
      </c>
      <c r="M771" s="39"/>
      <c r="N771" s="36">
        <v>52204124</v>
      </c>
      <c r="O771" s="36">
        <v>39842763</v>
      </c>
      <c r="P771" s="36">
        <v>5983074</v>
      </c>
      <c r="Q771" s="36">
        <f>Q770*1936.27</f>
        <v>63726174.745701998</v>
      </c>
      <c r="R771" s="7"/>
      <c r="S771" s="7"/>
      <c r="T771" s="7"/>
      <c r="U771" s="7"/>
      <c r="V771" s="7"/>
      <c r="W771" s="7"/>
      <c r="X771" s="7"/>
      <c r="Y771" s="7"/>
      <c r="Z771" s="7"/>
    </row>
    <row r="772" spans="1:26" ht="12.75" customHeight="1" x14ac:dyDescent="0.2">
      <c r="A772" s="534"/>
      <c r="B772" s="534"/>
      <c r="C772" s="40" t="s">
        <v>36</v>
      </c>
      <c r="D772" s="41">
        <v>35</v>
      </c>
      <c r="E772" s="30">
        <v>21881.62</v>
      </c>
      <c r="F772" s="30"/>
      <c r="G772" s="30"/>
      <c r="H772" s="30">
        <v>6384.11</v>
      </c>
      <c r="I772" s="30">
        <v>0</v>
      </c>
      <c r="J772" s="42">
        <v>2355.48</v>
      </c>
      <c r="K772" s="43">
        <v>28265.73</v>
      </c>
      <c r="L772" s="51">
        <v>30621.21</v>
      </c>
      <c r="M772" s="33"/>
      <c r="N772" s="30">
        <v>28265.73</v>
      </c>
      <c r="O772" s="30">
        <v>21881.62</v>
      </c>
      <c r="P772" s="30">
        <v>3090</v>
      </c>
      <c r="Q772" s="30">
        <f>(N772+O772*0.18+J772)+(IF((P772-O772*0.18)&gt;0,(P772-O772*0.18),0))</f>
        <v>34559.901599999997</v>
      </c>
      <c r="R772" s="7"/>
      <c r="S772" s="7"/>
      <c r="T772" s="7"/>
      <c r="U772" s="7"/>
      <c r="V772" s="7"/>
      <c r="W772" s="7"/>
      <c r="X772" s="7"/>
      <c r="Y772" s="7"/>
      <c r="Z772" s="7"/>
    </row>
    <row r="773" spans="1:26" ht="9" customHeight="1" x14ac:dyDescent="0.2">
      <c r="A773" s="535"/>
      <c r="B773" s="535"/>
      <c r="C773" s="47" t="s">
        <v>37</v>
      </c>
      <c r="D773" s="48"/>
      <c r="E773" s="36">
        <v>42368724</v>
      </c>
      <c r="F773" s="36"/>
      <c r="G773" s="36"/>
      <c r="H773" s="36">
        <v>12361361</v>
      </c>
      <c r="I773" s="36">
        <v>0</v>
      </c>
      <c r="J773" s="49">
        <v>4560845</v>
      </c>
      <c r="K773" s="46">
        <v>54730085</v>
      </c>
      <c r="L773" s="52">
        <v>59290930</v>
      </c>
      <c r="M773" s="39"/>
      <c r="N773" s="36">
        <v>54730085</v>
      </c>
      <c r="O773" s="36">
        <v>42368724</v>
      </c>
      <c r="P773" s="36">
        <v>5983074</v>
      </c>
      <c r="Q773" s="36">
        <f>Q772*1936.27</f>
        <v>66917300.671031997</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6"/>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6"/>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6"/>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6"/>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6"/>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6"/>
      <c r="M779" s="39"/>
      <c r="N779" s="96"/>
      <c r="O779" s="96"/>
      <c r="P779" s="96"/>
      <c r="Q779" s="96"/>
      <c r="R779" s="7"/>
      <c r="S779" s="7"/>
      <c r="T779" s="7"/>
      <c r="U779" s="7"/>
      <c r="V779" s="7"/>
      <c r="W779" s="7"/>
      <c r="X779" s="7"/>
      <c r="Y779" s="7"/>
      <c r="Z779" s="7"/>
    </row>
    <row r="780" spans="1:26" ht="12.75" customHeight="1" x14ac:dyDescent="0.2">
      <c r="A780" s="538">
        <v>39814</v>
      </c>
      <c r="B780" s="538">
        <v>40268</v>
      </c>
      <c r="C780" s="28" t="s">
        <v>36</v>
      </c>
      <c r="D780" s="29">
        <v>0</v>
      </c>
      <c r="E780" s="30">
        <v>12940.19</v>
      </c>
      <c r="F780" s="30"/>
      <c r="G780" s="30"/>
      <c r="H780" s="30">
        <v>6384.11</v>
      </c>
      <c r="I780" s="30">
        <v>0</v>
      </c>
      <c r="J780" s="30">
        <v>1610.36</v>
      </c>
      <c r="K780" s="31">
        <v>19324.3</v>
      </c>
      <c r="L780" s="32">
        <v>20934.66</v>
      </c>
      <c r="M780" s="33"/>
      <c r="N780" s="30">
        <v>19324.3</v>
      </c>
      <c r="O780" s="30">
        <v>12940.19</v>
      </c>
      <c r="P780" s="30">
        <v>1968</v>
      </c>
      <c r="Q780" s="30">
        <f>(N780+O780*0.18+J780)+(IF((P780-O780*0.18)&gt;0,(P780-O780*0.18),0))</f>
        <v>23263.894199999999</v>
      </c>
      <c r="R780" s="7"/>
      <c r="S780" s="7"/>
      <c r="T780" s="7"/>
      <c r="U780" s="7"/>
      <c r="V780" s="7"/>
      <c r="W780" s="7"/>
      <c r="X780" s="7"/>
      <c r="Y780" s="7"/>
      <c r="Z780" s="7"/>
    </row>
    <row r="781" spans="1:26" ht="9" customHeight="1" x14ac:dyDescent="0.2">
      <c r="A781" s="534"/>
      <c r="B781" s="534"/>
      <c r="C781" s="34" t="s">
        <v>37</v>
      </c>
      <c r="D781" s="35">
        <v>2</v>
      </c>
      <c r="E781" s="36">
        <v>25055702</v>
      </c>
      <c r="F781" s="36"/>
      <c r="G781" s="36"/>
      <c r="H781" s="36">
        <v>12361361</v>
      </c>
      <c r="I781" s="36">
        <v>0</v>
      </c>
      <c r="J781" s="37">
        <v>3118092</v>
      </c>
      <c r="K781" s="36">
        <v>37417062</v>
      </c>
      <c r="L781" s="50">
        <v>40535154</v>
      </c>
      <c r="M781" s="39"/>
      <c r="N781" s="36">
        <v>37417062</v>
      </c>
      <c r="O781" s="36">
        <v>25055702</v>
      </c>
      <c r="P781" s="36">
        <v>3810579</v>
      </c>
      <c r="Q781" s="36">
        <f>Q780*1936.27</f>
        <v>45045180.422633998</v>
      </c>
      <c r="R781" s="7"/>
      <c r="S781" s="7"/>
      <c r="T781" s="7"/>
      <c r="U781" s="7"/>
      <c r="V781" s="7"/>
      <c r="W781" s="7"/>
      <c r="X781" s="7"/>
      <c r="Y781" s="7"/>
      <c r="Z781" s="7"/>
    </row>
    <row r="782" spans="1:26" ht="12.75" customHeight="1" x14ac:dyDescent="0.2">
      <c r="A782" s="539">
        <v>39814</v>
      </c>
      <c r="B782" s="539">
        <v>40268</v>
      </c>
      <c r="C782" s="40" t="s">
        <v>36</v>
      </c>
      <c r="D782" s="41">
        <v>3</v>
      </c>
      <c r="E782" s="30">
        <v>13462.24</v>
      </c>
      <c r="F782" s="30"/>
      <c r="G782" s="30"/>
      <c r="H782" s="30">
        <v>6384.11</v>
      </c>
      <c r="I782" s="30">
        <v>0</v>
      </c>
      <c r="J782" s="42">
        <v>1653.86</v>
      </c>
      <c r="K782" s="43">
        <v>19846.349999999999</v>
      </c>
      <c r="L782" s="51">
        <v>21500.21</v>
      </c>
      <c r="M782" s="33"/>
      <c r="N782" s="30">
        <v>19846.349999999999</v>
      </c>
      <c r="O782" s="30">
        <v>13462.24</v>
      </c>
      <c r="P782" s="30">
        <v>1968</v>
      </c>
      <c r="Q782" s="30">
        <f>(N782+O782*0.18+J782)+(IF((P782-O782*0.18)&gt;0,(P782-O782*0.18),0))</f>
        <v>23923.413199999999</v>
      </c>
      <c r="R782" s="7"/>
      <c r="S782" s="7"/>
      <c r="T782" s="7"/>
      <c r="U782" s="7"/>
      <c r="V782" s="7"/>
      <c r="W782" s="7"/>
      <c r="X782" s="7"/>
      <c r="Y782" s="7"/>
      <c r="Z782" s="7"/>
    </row>
    <row r="783" spans="1:26" ht="9" customHeight="1" x14ac:dyDescent="0.2">
      <c r="A783" s="534"/>
      <c r="B783" s="534"/>
      <c r="C783" s="34" t="s">
        <v>37</v>
      </c>
      <c r="D783" s="35">
        <v>8</v>
      </c>
      <c r="E783" s="36">
        <v>26066531</v>
      </c>
      <c r="F783" s="36"/>
      <c r="G783" s="36"/>
      <c r="H783" s="36">
        <v>12361361</v>
      </c>
      <c r="I783" s="36">
        <v>0</v>
      </c>
      <c r="J783" s="37">
        <v>3202320</v>
      </c>
      <c r="K783" s="36">
        <v>38427892</v>
      </c>
      <c r="L783" s="50">
        <v>41630212</v>
      </c>
      <c r="M783" s="39"/>
      <c r="N783" s="36">
        <v>38427892</v>
      </c>
      <c r="O783" s="36">
        <v>26066531</v>
      </c>
      <c r="P783" s="36">
        <v>3810579</v>
      </c>
      <c r="Q783" s="36">
        <f>Q782*1936.27</f>
        <v>46322187.276763998</v>
      </c>
      <c r="R783" s="7"/>
      <c r="S783" s="7"/>
      <c r="T783" s="7"/>
      <c r="U783" s="7"/>
      <c r="V783" s="7"/>
      <c r="W783" s="7"/>
      <c r="X783" s="7"/>
      <c r="Y783" s="7"/>
      <c r="Z783" s="7"/>
    </row>
    <row r="784" spans="1:26" ht="12.75" customHeight="1" x14ac:dyDescent="0.2">
      <c r="A784" s="534"/>
      <c r="B784" s="534"/>
      <c r="C784" s="40" t="s">
        <v>36</v>
      </c>
      <c r="D784" s="41">
        <v>9</v>
      </c>
      <c r="E784" s="30">
        <v>15069.97</v>
      </c>
      <c r="F784" s="30"/>
      <c r="G784" s="30"/>
      <c r="H784" s="30">
        <v>6384.11</v>
      </c>
      <c r="I784" s="30">
        <v>0</v>
      </c>
      <c r="J784" s="42">
        <v>1787.84</v>
      </c>
      <c r="K784" s="43">
        <v>21454.080000000002</v>
      </c>
      <c r="L784" s="51">
        <v>23241.919999999998</v>
      </c>
      <c r="M784" s="33"/>
      <c r="N784" s="30">
        <v>21454.080000000002</v>
      </c>
      <c r="O784" s="30">
        <v>15069.97</v>
      </c>
      <c r="P784" s="30">
        <v>1968</v>
      </c>
      <c r="Q784" s="30">
        <f>(N784+O784*0.18+J784)+(IF((P784-O784*0.18)&gt;0,(P784-O784*0.18),0))</f>
        <v>25954.514600000002</v>
      </c>
      <c r="R784" s="7"/>
      <c r="S784" s="7"/>
      <c r="T784" s="7"/>
      <c r="U784" s="7"/>
      <c r="V784" s="7"/>
      <c r="W784" s="7"/>
      <c r="X784" s="7"/>
      <c r="Y784" s="7"/>
      <c r="Z784" s="7"/>
    </row>
    <row r="785" spans="1:26" ht="9" customHeight="1" x14ac:dyDescent="0.2">
      <c r="A785" s="534"/>
      <c r="B785" s="534"/>
      <c r="C785" s="34" t="s">
        <v>37</v>
      </c>
      <c r="D785" s="35">
        <v>14</v>
      </c>
      <c r="E785" s="36">
        <v>29179531</v>
      </c>
      <c r="F785" s="36"/>
      <c r="G785" s="36"/>
      <c r="H785" s="36">
        <v>12361361</v>
      </c>
      <c r="I785" s="36">
        <v>0</v>
      </c>
      <c r="J785" s="37">
        <v>3461741</v>
      </c>
      <c r="K785" s="36">
        <v>41540891</v>
      </c>
      <c r="L785" s="50">
        <v>45002632</v>
      </c>
      <c r="M785" s="39"/>
      <c r="N785" s="36">
        <v>41540891</v>
      </c>
      <c r="O785" s="36">
        <v>29179531</v>
      </c>
      <c r="P785" s="36">
        <v>3810579</v>
      </c>
      <c r="Q785" s="36">
        <f>Q784*1936.27</f>
        <v>50254947.984542005</v>
      </c>
      <c r="R785" s="7"/>
      <c r="S785" s="7"/>
      <c r="T785" s="7"/>
      <c r="U785" s="7"/>
      <c r="V785" s="7"/>
      <c r="W785" s="7"/>
      <c r="X785" s="7"/>
      <c r="Y785" s="7"/>
      <c r="Z785" s="7"/>
    </row>
    <row r="786" spans="1:26" ht="12.75" customHeight="1" x14ac:dyDescent="0.2">
      <c r="A786" s="534"/>
      <c r="B786" s="534"/>
      <c r="C786" s="40" t="s">
        <v>36</v>
      </c>
      <c r="D786" s="41">
        <v>15</v>
      </c>
      <c r="E786" s="30">
        <v>16947.900000000001</v>
      </c>
      <c r="F786" s="30"/>
      <c r="G786" s="30"/>
      <c r="H786" s="30">
        <v>6384.11</v>
      </c>
      <c r="I786" s="30">
        <v>0</v>
      </c>
      <c r="J786" s="42">
        <v>1944.33</v>
      </c>
      <c r="K786" s="43">
        <v>23332.01</v>
      </c>
      <c r="L786" s="51">
        <v>25276.34</v>
      </c>
      <c r="M786" s="33"/>
      <c r="N786" s="30">
        <v>23332.01</v>
      </c>
      <c r="O786" s="30">
        <v>16947.900000000001</v>
      </c>
      <c r="P786" s="30">
        <v>2424</v>
      </c>
      <c r="Q786" s="30">
        <f>(N786+O786*0.18+J786)+(IF((P786-O786*0.18)&gt;0,(P786-O786*0.18),0))</f>
        <v>28326.962</v>
      </c>
      <c r="R786" s="7"/>
      <c r="S786" s="7"/>
      <c r="T786" s="7"/>
      <c r="U786" s="7"/>
      <c r="V786" s="7"/>
      <c r="W786" s="7"/>
      <c r="X786" s="7"/>
      <c r="Y786" s="7"/>
      <c r="Z786" s="7"/>
    </row>
    <row r="787" spans="1:26" ht="9" customHeight="1" x14ac:dyDescent="0.2">
      <c r="A787" s="534"/>
      <c r="B787" s="534"/>
      <c r="C787" s="34" t="s">
        <v>37</v>
      </c>
      <c r="D787" s="35">
        <v>20</v>
      </c>
      <c r="E787" s="36">
        <v>32815710</v>
      </c>
      <c r="F787" s="36"/>
      <c r="G787" s="36"/>
      <c r="H787" s="36">
        <v>12361361</v>
      </c>
      <c r="I787" s="36">
        <v>0</v>
      </c>
      <c r="J787" s="37">
        <v>3764748</v>
      </c>
      <c r="K787" s="36">
        <v>45177071</v>
      </c>
      <c r="L787" s="50">
        <v>48941819</v>
      </c>
      <c r="M787" s="39"/>
      <c r="N787" s="36">
        <v>45177071</v>
      </c>
      <c r="O787" s="36">
        <v>32815710</v>
      </c>
      <c r="P787" s="36">
        <v>4693518</v>
      </c>
      <c r="Q787" s="36">
        <f>Q786*1936.27</f>
        <v>54848646.711740002</v>
      </c>
      <c r="R787" s="7"/>
      <c r="S787" s="7"/>
      <c r="T787" s="7"/>
      <c r="U787" s="7"/>
      <c r="V787" s="7"/>
      <c r="W787" s="7"/>
      <c r="X787" s="7"/>
      <c r="Y787" s="7"/>
      <c r="Z787" s="7"/>
    </row>
    <row r="788" spans="1:26" ht="12.75" customHeight="1" x14ac:dyDescent="0.2">
      <c r="A788" s="534"/>
      <c r="B788" s="534"/>
      <c r="C788" s="40" t="s">
        <v>36</v>
      </c>
      <c r="D788" s="41">
        <v>21</v>
      </c>
      <c r="E788" s="30">
        <v>19665.490000000002</v>
      </c>
      <c r="F788" s="30"/>
      <c r="G788" s="30"/>
      <c r="H788" s="30">
        <v>6384.11</v>
      </c>
      <c r="I788" s="30">
        <v>0</v>
      </c>
      <c r="J788" s="42">
        <v>2170.8000000000002</v>
      </c>
      <c r="K788" s="43">
        <v>26049.599999999999</v>
      </c>
      <c r="L788" s="51">
        <v>28220.400000000001</v>
      </c>
      <c r="M788" s="33"/>
      <c r="N788" s="30">
        <v>26049.599999999999</v>
      </c>
      <c r="O788" s="30">
        <v>19665.490000000002</v>
      </c>
      <c r="P788" s="30">
        <v>2424</v>
      </c>
      <c r="Q788" s="30">
        <f>(N788+O788*0.18+J788)+(IF((P788-O788*0.18)&gt;0,(P788-O788*0.18),0))</f>
        <v>31760.188199999997</v>
      </c>
      <c r="R788" s="7"/>
      <c r="S788" s="7"/>
      <c r="T788" s="7"/>
      <c r="U788" s="7"/>
      <c r="V788" s="7"/>
      <c r="W788" s="7"/>
      <c r="X788" s="7"/>
      <c r="Y788" s="7"/>
      <c r="Z788" s="7"/>
    </row>
    <row r="789" spans="1:26" ht="9" customHeight="1" x14ac:dyDescent="0.2">
      <c r="A789" s="534"/>
      <c r="B789" s="534"/>
      <c r="C789" s="34" t="s">
        <v>37</v>
      </c>
      <c r="D789" s="35">
        <v>27</v>
      </c>
      <c r="E789" s="36">
        <v>38077698</v>
      </c>
      <c r="F789" s="36"/>
      <c r="G789" s="36"/>
      <c r="H789" s="36">
        <v>12361361</v>
      </c>
      <c r="I789" s="36">
        <v>0</v>
      </c>
      <c r="J789" s="37">
        <v>4203255</v>
      </c>
      <c r="K789" s="36">
        <v>50439059</v>
      </c>
      <c r="L789" s="50">
        <v>54642314</v>
      </c>
      <c r="M789" s="39"/>
      <c r="N789" s="36">
        <v>50439059</v>
      </c>
      <c r="O789" s="36">
        <v>38077698</v>
      </c>
      <c r="P789" s="36">
        <v>4693518</v>
      </c>
      <c r="Q789" s="36">
        <f>Q788*1936.27</f>
        <v>61496299.606013991</v>
      </c>
      <c r="R789" s="7"/>
      <c r="S789" s="7"/>
      <c r="T789" s="7"/>
      <c r="U789" s="7"/>
      <c r="V789" s="7"/>
      <c r="W789" s="7"/>
      <c r="X789" s="7"/>
      <c r="Y789" s="7"/>
      <c r="Z789" s="7"/>
    </row>
    <row r="790" spans="1:26" ht="12.75" customHeight="1" x14ac:dyDescent="0.2">
      <c r="A790" s="534"/>
      <c r="B790" s="534"/>
      <c r="C790" s="40" t="s">
        <v>36</v>
      </c>
      <c r="D790" s="41">
        <v>28</v>
      </c>
      <c r="E790" s="30">
        <v>21448.75</v>
      </c>
      <c r="F790" s="30"/>
      <c r="G790" s="30"/>
      <c r="H790" s="30">
        <v>6384.11</v>
      </c>
      <c r="I790" s="30">
        <v>0</v>
      </c>
      <c r="J790" s="42">
        <v>2319.41</v>
      </c>
      <c r="K790" s="43">
        <v>27832.86</v>
      </c>
      <c r="L790" s="51">
        <v>30152.27</v>
      </c>
      <c r="M790" s="33"/>
      <c r="N790" s="30">
        <v>27832.86</v>
      </c>
      <c r="O790" s="30">
        <v>21448.75</v>
      </c>
      <c r="P790" s="30">
        <v>3090</v>
      </c>
      <c r="Q790" s="30">
        <f>(N790+O790*0.18+J790)+(IF((P790-O790*0.18)&gt;0,(P790-O790*0.18),0))</f>
        <v>34013.044999999998</v>
      </c>
      <c r="R790" s="7"/>
      <c r="S790" s="7"/>
      <c r="T790" s="7"/>
      <c r="U790" s="7"/>
      <c r="V790" s="7"/>
      <c r="W790" s="7"/>
      <c r="X790" s="7"/>
      <c r="Y790" s="7"/>
      <c r="Z790" s="7"/>
    </row>
    <row r="791" spans="1:26" ht="9" customHeight="1" x14ac:dyDescent="0.2">
      <c r="A791" s="534"/>
      <c r="B791" s="534"/>
      <c r="C791" s="34" t="s">
        <v>37</v>
      </c>
      <c r="D791" s="35">
        <v>34</v>
      </c>
      <c r="E791" s="36">
        <v>41530571</v>
      </c>
      <c r="F791" s="36"/>
      <c r="G791" s="36"/>
      <c r="H791" s="36">
        <v>12361361</v>
      </c>
      <c r="I791" s="36">
        <v>0</v>
      </c>
      <c r="J791" s="37">
        <v>4491004</v>
      </c>
      <c r="K791" s="36">
        <v>53891932</v>
      </c>
      <c r="L791" s="50">
        <v>58382936</v>
      </c>
      <c r="M791" s="39"/>
      <c r="N791" s="36">
        <v>53891932</v>
      </c>
      <c r="O791" s="36">
        <v>41530571</v>
      </c>
      <c r="P791" s="36">
        <v>5983074</v>
      </c>
      <c r="Q791" s="36">
        <f>Q790*1936.27</f>
        <v>65858438.642149992</v>
      </c>
      <c r="R791" s="7"/>
      <c r="S791" s="7"/>
      <c r="T791" s="7"/>
      <c r="U791" s="7"/>
      <c r="V791" s="7"/>
      <c r="W791" s="7"/>
      <c r="X791" s="7"/>
      <c r="Y791" s="7"/>
      <c r="Z791" s="7"/>
    </row>
    <row r="792" spans="1:26" ht="12.75" customHeight="1" x14ac:dyDescent="0.2">
      <c r="A792" s="534"/>
      <c r="B792" s="534"/>
      <c r="C792" s="40" t="s">
        <v>36</v>
      </c>
      <c r="D792" s="41">
        <v>35</v>
      </c>
      <c r="E792" s="30">
        <v>22803.34</v>
      </c>
      <c r="F792" s="30"/>
      <c r="G792" s="30"/>
      <c r="H792" s="30">
        <v>6384.11</v>
      </c>
      <c r="I792" s="30">
        <v>0</v>
      </c>
      <c r="J792" s="42">
        <v>2432.29</v>
      </c>
      <c r="K792" s="43">
        <v>29187.45</v>
      </c>
      <c r="L792" s="51">
        <v>31619.74</v>
      </c>
      <c r="M792" s="33"/>
      <c r="N792" s="30">
        <v>29187.45</v>
      </c>
      <c r="O792" s="30">
        <v>22803.34</v>
      </c>
      <c r="P792" s="30">
        <v>3090</v>
      </c>
      <c r="Q792" s="30">
        <f>(N792+O792*0.18+J792)+(IF((P792-O792*0.18)&gt;0,(P792-O792*0.18),0))</f>
        <v>35724.341200000003</v>
      </c>
      <c r="R792" s="7"/>
      <c r="S792" s="7"/>
      <c r="T792" s="7"/>
      <c r="U792" s="7"/>
      <c r="V792" s="7"/>
      <c r="W792" s="7"/>
      <c r="X792" s="7"/>
      <c r="Y792" s="7"/>
      <c r="Z792" s="7"/>
    </row>
    <row r="793" spans="1:26" ht="9" customHeight="1" x14ac:dyDescent="0.2">
      <c r="A793" s="535"/>
      <c r="B793" s="535"/>
      <c r="C793" s="47" t="s">
        <v>37</v>
      </c>
      <c r="D793" s="48"/>
      <c r="E793" s="46">
        <v>44153423</v>
      </c>
      <c r="F793" s="46"/>
      <c r="G793" s="46"/>
      <c r="H793" s="46">
        <v>12361361</v>
      </c>
      <c r="I793" s="46">
        <v>0</v>
      </c>
      <c r="J793" s="49">
        <v>4709570</v>
      </c>
      <c r="K793" s="46">
        <v>56514784</v>
      </c>
      <c r="L793" s="52">
        <v>61224354</v>
      </c>
      <c r="M793" s="39"/>
      <c r="N793" s="36">
        <v>56514784</v>
      </c>
      <c r="O793" s="36">
        <v>44153423</v>
      </c>
      <c r="P793" s="36">
        <v>5983074</v>
      </c>
      <c r="Q793" s="36">
        <f>Q792*1936.27</f>
        <v>69171970.135324001</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6"/>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6"/>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6"/>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6"/>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6"/>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6"/>
      <c r="M799" s="39"/>
      <c r="N799" s="96"/>
      <c r="O799" s="96"/>
      <c r="P799" s="96"/>
      <c r="Q799" s="96"/>
      <c r="R799" s="7"/>
      <c r="S799" s="7"/>
      <c r="T799" s="7"/>
      <c r="U799" s="7"/>
      <c r="V799" s="7"/>
      <c r="W799" s="7"/>
      <c r="X799" s="7"/>
      <c r="Y799" s="7"/>
      <c r="Z799" s="7"/>
    </row>
    <row r="800" spans="1:26" ht="12.75" customHeight="1" x14ac:dyDescent="0.2">
      <c r="A800" s="538">
        <v>40269</v>
      </c>
      <c r="B800" s="538">
        <v>40359</v>
      </c>
      <c r="C800" s="28" t="s">
        <v>36</v>
      </c>
      <c r="D800" s="29">
        <v>0</v>
      </c>
      <c r="E800" s="30">
        <v>12940.19</v>
      </c>
      <c r="F800" s="30"/>
      <c r="G800" s="30"/>
      <c r="H800" s="30">
        <v>6384.11</v>
      </c>
      <c r="I800" s="30">
        <v>86.96</v>
      </c>
      <c r="J800" s="30">
        <v>1610.36</v>
      </c>
      <c r="K800" s="31">
        <v>19411.259999999998</v>
      </c>
      <c r="L800" s="32">
        <v>21021.62</v>
      </c>
      <c r="M800" s="33"/>
      <c r="N800" s="30">
        <v>19411.259999999998</v>
      </c>
      <c r="O800" s="30">
        <v>13027.15</v>
      </c>
      <c r="P800" s="30">
        <v>1968</v>
      </c>
      <c r="Q800" s="30">
        <f>(N800+O800*0.18+J800)+(IF((P800-O800*0.18)&gt;0,(P800-O800*0.18),0))</f>
        <v>23366.506999999998</v>
      </c>
      <c r="R800" s="7"/>
      <c r="S800" s="7"/>
      <c r="T800" s="7"/>
      <c r="U800" s="7"/>
      <c r="V800" s="7"/>
      <c r="W800" s="7"/>
      <c r="X800" s="7"/>
      <c r="Y800" s="7"/>
      <c r="Z800" s="7"/>
    </row>
    <row r="801" spans="1:26" ht="9" customHeight="1" x14ac:dyDescent="0.2">
      <c r="A801" s="534"/>
      <c r="B801" s="534"/>
      <c r="C801" s="34" t="s">
        <v>37</v>
      </c>
      <c r="D801" s="35">
        <v>2</v>
      </c>
      <c r="E801" s="36">
        <v>25055702</v>
      </c>
      <c r="F801" s="36"/>
      <c r="G801" s="36"/>
      <c r="H801" s="36">
        <v>12361361</v>
      </c>
      <c r="I801" s="36">
        <v>168378</v>
      </c>
      <c r="J801" s="37">
        <v>3118092</v>
      </c>
      <c r="K801" s="36">
        <v>37585440</v>
      </c>
      <c r="L801" s="50">
        <v>40703532</v>
      </c>
      <c r="M801" s="39"/>
      <c r="N801" s="36">
        <v>37585440</v>
      </c>
      <c r="O801" s="36">
        <v>25224080</v>
      </c>
      <c r="P801" s="36">
        <v>3810579</v>
      </c>
      <c r="Q801" s="36">
        <f>Q800*1936.27</f>
        <v>45243866.508889996</v>
      </c>
      <c r="R801" s="7"/>
      <c r="S801" s="7"/>
      <c r="T801" s="7"/>
      <c r="U801" s="7"/>
      <c r="V801" s="7"/>
      <c r="W801" s="7"/>
      <c r="X801" s="7"/>
      <c r="Y801" s="7"/>
      <c r="Z801" s="7"/>
    </row>
    <row r="802" spans="1:26" ht="12.75" customHeight="1" x14ac:dyDescent="0.2">
      <c r="A802" s="539">
        <v>40269</v>
      </c>
      <c r="B802" s="539">
        <v>40359</v>
      </c>
      <c r="C802" s="40" t="s">
        <v>36</v>
      </c>
      <c r="D802" s="41">
        <v>3</v>
      </c>
      <c r="E802" s="30">
        <v>13462.24</v>
      </c>
      <c r="F802" s="30"/>
      <c r="G802" s="30"/>
      <c r="H802" s="30">
        <v>6384.11</v>
      </c>
      <c r="I802" s="30">
        <v>86.96</v>
      </c>
      <c r="J802" s="42">
        <v>1653.86</v>
      </c>
      <c r="K802" s="43">
        <v>19933.310000000001</v>
      </c>
      <c r="L802" s="51">
        <v>21587.17</v>
      </c>
      <c r="M802" s="33"/>
      <c r="N802" s="30">
        <v>19933.310000000001</v>
      </c>
      <c r="O802" s="30">
        <v>13549.2</v>
      </c>
      <c r="P802" s="30">
        <v>1968</v>
      </c>
      <c r="Q802" s="30">
        <f>(N802+O802*0.18+J802)+(IF((P802-O802*0.18)&gt;0,(P802-O802*0.18),0))</f>
        <v>24026.026000000002</v>
      </c>
      <c r="R802" s="7"/>
      <c r="S802" s="7"/>
      <c r="T802" s="7"/>
      <c r="U802" s="7"/>
      <c r="V802" s="7"/>
      <c r="W802" s="7"/>
      <c r="X802" s="7"/>
      <c r="Y802" s="7"/>
      <c r="Z802" s="7"/>
    </row>
    <row r="803" spans="1:26" ht="9" customHeight="1" x14ac:dyDescent="0.2">
      <c r="A803" s="534"/>
      <c r="B803" s="534"/>
      <c r="C803" s="34" t="s">
        <v>37</v>
      </c>
      <c r="D803" s="35">
        <v>8</v>
      </c>
      <c r="E803" s="36">
        <v>26066531</v>
      </c>
      <c r="F803" s="36"/>
      <c r="G803" s="36"/>
      <c r="H803" s="36">
        <v>12361361</v>
      </c>
      <c r="I803" s="36">
        <v>168378</v>
      </c>
      <c r="J803" s="37">
        <v>3202320</v>
      </c>
      <c r="K803" s="36">
        <v>38596270</v>
      </c>
      <c r="L803" s="50">
        <v>41798590</v>
      </c>
      <c r="M803" s="39"/>
      <c r="N803" s="36">
        <v>38596270</v>
      </c>
      <c r="O803" s="36">
        <v>26234909</v>
      </c>
      <c r="P803" s="36">
        <v>3810579</v>
      </c>
      <c r="Q803" s="36">
        <f>Q802*1936.27</f>
        <v>46520873.363020003</v>
      </c>
      <c r="R803" s="7"/>
      <c r="S803" s="7"/>
      <c r="T803" s="7"/>
      <c r="U803" s="7"/>
      <c r="V803" s="7"/>
      <c r="W803" s="7"/>
      <c r="X803" s="7"/>
      <c r="Y803" s="7"/>
      <c r="Z803" s="7"/>
    </row>
    <row r="804" spans="1:26" ht="12.75" customHeight="1" x14ac:dyDescent="0.2">
      <c r="A804" s="534"/>
      <c r="B804" s="534"/>
      <c r="C804" s="40" t="s">
        <v>36</v>
      </c>
      <c r="D804" s="41">
        <v>9</v>
      </c>
      <c r="E804" s="30">
        <v>15069.97</v>
      </c>
      <c r="F804" s="30"/>
      <c r="G804" s="30"/>
      <c r="H804" s="30">
        <v>6384.11</v>
      </c>
      <c r="I804" s="30">
        <v>86.96</v>
      </c>
      <c r="J804" s="42">
        <v>1787.84</v>
      </c>
      <c r="K804" s="43">
        <v>21541.040000000001</v>
      </c>
      <c r="L804" s="51">
        <v>23328.880000000001</v>
      </c>
      <c r="M804" s="33"/>
      <c r="N804" s="30">
        <v>21541.040000000001</v>
      </c>
      <c r="O804" s="30">
        <v>15156.93</v>
      </c>
      <c r="P804" s="30">
        <v>1968</v>
      </c>
      <c r="Q804" s="30">
        <f>(N804+O804*0.18+J804)+(IF((P804-O804*0.18)&gt;0,(P804-O804*0.18),0))</f>
        <v>26057.127400000001</v>
      </c>
      <c r="R804" s="7"/>
      <c r="S804" s="7"/>
      <c r="T804" s="7"/>
      <c r="U804" s="7"/>
      <c r="V804" s="7"/>
      <c r="W804" s="7"/>
      <c r="X804" s="7"/>
      <c r="Y804" s="7"/>
      <c r="Z804" s="7"/>
    </row>
    <row r="805" spans="1:26" ht="9" customHeight="1" x14ac:dyDescent="0.2">
      <c r="A805" s="534"/>
      <c r="B805" s="534"/>
      <c r="C805" s="34" t="s">
        <v>37</v>
      </c>
      <c r="D805" s="35">
        <v>14</v>
      </c>
      <c r="E805" s="36">
        <v>29179531</v>
      </c>
      <c r="F805" s="36"/>
      <c r="G805" s="36"/>
      <c r="H805" s="36">
        <v>12361361</v>
      </c>
      <c r="I805" s="36">
        <v>168378</v>
      </c>
      <c r="J805" s="37">
        <v>3461741</v>
      </c>
      <c r="K805" s="36">
        <v>41709270</v>
      </c>
      <c r="L805" s="50">
        <v>45171010</v>
      </c>
      <c r="M805" s="39"/>
      <c r="N805" s="36">
        <v>41709270</v>
      </c>
      <c r="O805" s="36">
        <v>29347909</v>
      </c>
      <c r="P805" s="36">
        <v>3810579</v>
      </c>
      <c r="Q805" s="36">
        <f>Q804*1936.27</f>
        <v>50453634.070798002</v>
      </c>
      <c r="R805" s="7"/>
      <c r="S805" s="7"/>
      <c r="T805" s="7"/>
      <c r="U805" s="7"/>
      <c r="V805" s="7"/>
      <c r="W805" s="7"/>
      <c r="X805" s="7"/>
      <c r="Y805" s="7"/>
      <c r="Z805" s="7"/>
    </row>
    <row r="806" spans="1:26" ht="12.75" customHeight="1" x14ac:dyDescent="0.2">
      <c r="A806" s="534"/>
      <c r="B806" s="534"/>
      <c r="C806" s="40" t="s">
        <v>36</v>
      </c>
      <c r="D806" s="41">
        <v>15</v>
      </c>
      <c r="E806" s="30">
        <v>16947.900000000001</v>
      </c>
      <c r="F806" s="30"/>
      <c r="G806" s="30"/>
      <c r="H806" s="30">
        <v>6384.11</v>
      </c>
      <c r="I806" s="30">
        <v>86.96</v>
      </c>
      <c r="J806" s="42">
        <v>1944.33</v>
      </c>
      <c r="K806" s="43">
        <v>23418.97</v>
      </c>
      <c r="L806" s="51">
        <v>25363.3</v>
      </c>
      <c r="M806" s="33"/>
      <c r="N806" s="30">
        <v>23418.97</v>
      </c>
      <c r="O806" s="30">
        <v>17034.86</v>
      </c>
      <c r="P806" s="30">
        <v>2424</v>
      </c>
      <c r="Q806" s="30">
        <f>(N806+O806*0.18+J806)+(IF((P806-O806*0.18)&gt;0,(P806-O806*0.18),0))</f>
        <v>28429.574800000002</v>
      </c>
      <c r="R806" s="7"/>
      <c r="S806" s="7"/>
      <c r="T806" s="7"/>
      <c r="U806" s="7"/>
      <c r="V806" s="7"/>
      <c r="W806" s="7"/>
      <c r="X806" s="7"/>
      <c r="Y806" s="7"/>
      <c r="Z806" s="7"/>
    </row>
    <row r="807" spans="1:26" ht="9" customHeight="1" x14ac:dyDescent="0.2">
      <c r="A807" s="534"/>
      <c r="B807" s="534"/>
      <c r="C807" s="34" t="s">
        <v>37</v>
      </c>
      <c r="D807" s="35">
        <v>20</v>
      </c>
      <c r="E807" s="36">
        <v>32815710</v>
      </c>
      <c r="F807" s="36"/>
      <c r="G807" s="36"/>
      <c r="H807" s="36">
        <v>12361361</v>
      </c>
      <c r="I807" s="36">
        <v>168378</v>
      </c>
      <c r="J807" s="37">
        <v>3764748</v>
      </c>
      <c r="K807" s="36">
        <v>45345449</v>
      </c>
      <c r="L807" s="50">
        <v>49110197</v>
      </c>
      <c r="M807" s="39"/>
      <c r="N807" s="36">
        <v>45345449</v>
      </c>
      <c r="O807" s="36">
        <v>32984088</v>
      </c>
      <c r="P807" s="36">
        <v>4693518</v>
      </c>
      <c r="Q807" s="36">
        <f>Q806*1936.27</f>
        <v>55047332.797996007</v>
      </c>
      <c r="R807" s="7"/>
      <c r="S807" s="7"/>
      <c r="T807" s="7"/>
      <c r="U807" s="7"/>
      <c r="V807" s="7"/>
      <c r="W807" s="7"/>
      <c r="X807" s="7"/>
      <c r="Y807" s="7"/>
      <c r="Z807" s="7"/>
    </row>
    <row r="808" spans="1:26" ht="12.75" customHeight="1" x14ac:dyDescent="0.2">
      <c r="A808" s="534"/>
      <c r="B808" s="534"/>
      <c r="C808" s="40" t="s">
        <v>36</v>
      </c>
      <c r="D808" s="41">
        <v>21</v>
      </c>
      <c r="E808" s="30">
        <v>19665.490000000002</v>
      </c>
      <c r="F808" s="30"/>
      <c r="G808" s="30"/>
      <c r="H808" s="30">
        <v>6384.11</v>
      </c>
      <c r="I808" s="30">
        <v>86.96</v>
      </c>
      <c r="J808" s="42">
        <v>2170.8000000000002</v>
      </c>
      <c r="K808" s="43">
        <v>26136.560000000001</v>
      </c>
      <c r="L808" s="51">
        <v>28307.360000000001</v>
      </c>
      <c r="M808" s="33"/>
      <c r="N808" s="30">
        <v>26136.560000000001</v>
      </c>
      <c r="O808" s="30">
        <v>19752.45</v>
      </c>
      <c r="P808" s="30">
        <v>2424</v>
      </c>
      <c r="Q808" s="30">
        <f>(N808+O808*0.18+J808)+(IF((P808-O808*0.18)&gt;0,(P808-O808*0.18),0))</f>
        <v>31862.800999999999</v>
      </c>
      <c r="R808" s="7"/>
      <c r="S808" s="7"/>
      <c r="T808" s="7"/>
      <c r="U808" s="7"/>
      <c r="V808" s="7"/>
      <c r="W808" s="7"/>
      <c r="X808" s="7"/>
      <c r="Y808" s="7"/>
      <c r="Z808" s="7"/>
    </row>
    <row r="809" spans="1:26" ht="9" customHeight="1" x14ac:dyDescent="0.2">
      <c r="A809" s="534"/>
      <c r="B809" s="534"/>
      <c r="C809" s="34" t="s">
        <v>37</v>
      </c>
      <c r="D809" s="35">
        <v>27</v>
      </c>
      <c r="E809" s="36">
        <v>38077698</v>
      </c>
      <c r="F809" s="36"/>
      <c r="G809" s="36"/>
      <c r="H809" s="36">
        <v>12361361</v>
      </c>
      <c r="I809" s="36">
        <v>168378</v>
      </c>
      <c r="J809" s="37">
        <v>4203255</v>
      </c>
      <c r="K809" s="36">
        <v>50607437</v>
      </c>
      <c r="L809" s="50">
        <v>54810692</v>
      </c>
      <c r="M809" s="39"/>
      <c r="N809" s="36">
        <v>50607437</v>
      </c>
      <c r="O809" s="36">
        <v>38246076</v>
      </c>
      <c r="P809" s="36">
        <v>4693518</v>
      </c>
      <c r="Q809" s="36">
        <f>Q808*1936.27</f>
        <v>61694985.692269996</v>
      </c>
      <c r="R809" s="7"/>
      <c r="S809" s="7"/>
      <c r="T809" s="7"/>
      <c r="U809" s="7"/>
      <c r="V809" s="7"/>
      <c r="W809" s="7"/>
      <c r="X809" s="7"/>
      <c r="Y809" s="7"/>
      <c r="Z809" s="7"/>
    </row>
    <row r="810" spans="1:26" ht="12.75" customHeight="1" x14ac:dyDescent="0.2">
      <c r="A810" s="534"/>
      <c r="B810" s="534"/>
      <c r="C810" s="40" t="s">
        <v>36</v>
      </c>
      <c r="D810" s="41">
        <v>28</v>
      </c>
      <c r="E810" s="30">
        <v>21448.75</v>
      </c>
      <c r="F810" s="30"/>
      <c r="G810" s="30"/>
      <c r="H810" s="30">
        <v>6384.11</v>
      </c>
      <c r="I810" s="30">
        <v>86.96</v>
      </c>
      <c r="J810" s="42">
        <v>2319.41</v>
      </c>
      <c r="K810" s="43">
        <v>27919.82</v>
      </c>
      <c r="L810" s="51">
        <v>30239.23</v>
      </c>
      <c r="M810" s="33"/>
      <c r="N810" s="30">
        <v>27919.82</v>
      </c>
      <c r="O810" s="30">
        <v>21535.71</v>
      </c>
      <c r="P810" s="30">
        <v>3090</v>
      </c>
      <c r="Q810" s="30">
        <f>(N810+O810*0.18+J810)+(IF((P810-O810*0.18)&gt;0,(P810-O810*0.18),0))</f>
        <v>34115.657800000001</v>
      </c>
      <c r="R810" s="7"/>
      <c r="S810" s="7"/>
      <c r="T810" s="7"/>
      <c r="U810" s="7"/>
      <c r="V810" s="7"/>
      <c r="W810" s="7"/>
      <c r="X810" s="7"/>
      <c r="Y810" s="7"/>
      <c r="Z810" s="7"/>
    </row>
    <row r="811" spans="1:26" ht="9" customHeight="1" x14ac:dyDescent="0.2">
      <c r="A811" s="534"/>
      <c r="B811" s="534"/>
      <c r="C811" s="34" t="s">
        <v>37</v>
      </c>
      <c r="D811" s="35">
        <v>34</v>
      </c>
      <c r="E811" s="36">
        <v>41530571</v>
      </c>
      <c r="F811" s="36"/>
      <c r="G811" s="36"/>
      <c r="H811" s="36">
        <v>12361361</v>
      </c>
      <c r="I811" s="36">
        <v>168378</v>
      </c>
      <c r="J811" s="37">
        <v>4491004</v>
      </c>
      <c r="K811" s="36">
        <v>54060310</v>
      </c>
      <c r="L811" s="50">
        <v>58551314</v>
      </c>
      <c r="M811" s="39"/>
      <c r="N811" s="36">
        <v>54060310</v>
      </c>
      <c r="O811" s="36">
        <v>41698949</v>
      </c>
      <c r="P811" s="36">
        <v>5983074</v>
      </c>
      <c r="Q811" s="36">
        <f>Q810*1936.27</f>
        <v>66057124.728406005</v>
      </c>
      <c r="R811" s="7"/>
      <c r="S811" s="7"/>
      <c r="T811" s="7"/>
      <c r="U811" s="7"/>
      <c r="V811" s="7"/>
      <c r="W811" s="7"/>
      <c r="X811" s="7"/>
      <c r="Y811" s="7"/>
      <c r="Z811" s="7"/>
    </row>
    <row r="812" spans="1:26" ht="12.75" customHeight="1" x14ac:dyDescent="0.2">
      <c r="A812" s="534"/>
      <c r="B812" s="534"/>
      <c r="C812" s="40" t="s">
        <v>36</v>
      </c>
      <c r="D812" s="41">
        <v>35</v>
      </c>
      <c r="E812" s="30">
        <v>22803.34</v>
      </c>
      <c r="F812" s="30"/>
      <c r="G812" s="30"/>
      <c r="H812" s="30">
        <v>6384.11</v>
      </c>
      <c r="I812" s="30">
        <v>86.96</v>
      </c>
      <c r="J812" s="42">
        <v>2432.29</v>
      </c>
      <c r="K812" s="43">
        <v>29274.41</v>
      </c>
      <c r="L812" s="51">
        <v>31706.7</v>
      </c>
      <c r="M812" s="33"/>
      <c r="N812" s="30">
        <v>29274.41</v>
      </c>
      <c r="O812" s="30">
        <v>22890.3</v>
      </c>
      <c r="P812" s="30">
        <v>3090</v>
      </c>
      <c r="Q812" s="30">
        <f>(N812+O812*0.18+J812)+(IF((P812-O812*0.18)&gt;0,(P812-O812*0.18),0))</f>
        <v>35826.953999999998</v>
      </c>
      <c r="R812" s="7"/>
      <c r="S812" s="7"/>
      <c r="T812" s="7"/>
      <c r="U812" s="7"/>
      <c r="V812" s="7"/>
      <c r="W812" s="7"/>
      <c r="X812" s="7"/>
      <c r="Y812" s="7"/>
      <c r="Z812" s="7"/>
    </row>
    <row r="813" spans="1:26" ht="9" customHeight="1" x14ac:dyDescent="0.2">
      <c r="A813" s="535"/>
      <c r="B813" s="535"/>
      <c r="C813" s="47" t="s">
        <v>37</v>
      </c>
      <c r="D813" s="48"/>
      <c r="E813" s="36">
        <v>44153423</v>
      </c>
      <c r="F813" s="36"/>
      <c r="G813" s="36"/>
      <c r="H813" s="36">
        <v>12361361</v>
      </c>
      <c r="I813" s="36">
        <v>168378</v>
      </c>
      <c r="J813" s="49">
        <v>4709570</v>
      </c>
      <c r="K813" s="46">
        <v>56683162</v>
      </c>
      <c r="L813" s="52">
        <v>61392732</v>
      </c>
      <c r="M813" s="39"/>
      <c r="N813" s="46">
        <v>56683162</v>
      </c>
      <c r="O813" s="46">
        <v>44321801</v>
      </c>
      <c r="P813" s="36">
        <v>5983074</v>
      </c>
      <c r="Q813" s="46">
        <f>Q812*1936.27</f>
        <v>69370656.221579999</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6"/>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6"/>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6"/>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6"/>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6"/>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6"/>
      <c r="M819" s="39"/>
      <c r="N819" s="96"/>
      <c r="O819" s="96"/>
      <c r="P819" s="96"/>
      <c r="Q819" s="96"/>
      <c r="R819" s="7"/>
      <c r="S819" s="7"/>
      <c r="T819" s="7"/>
      <c r="U819" s="7"/>
      <c r="V819" s="7"/>
      <c r="W819" s="7"/>
      <c r="X819" s="7"/>
      <c r="Y819" s="7"/>
      <c r="Z819" s="7"/>
    </row>
    <row r="820" spans="1:26" ht="12.75" customHeight="1" x14ac:dyDescent="0.2">
      <c r="A820" s="538">
        <v>40360</v>
      </c>
      <c r="B820" s="538">
        <v>40421</v>
      </c>
      <c r="C820" s="28" t="s">
        <v>36</v>
      </c>
      <c r="D820" s="29">
        <v>0</v>
      </c>
      <c r="E820" s="30">
        <v>12940.19</v>
      </c>
      <c r="F820" s="30"/>
      <c r="G820" s="30"/>
      <c r="H820" s="30">
        <v>6384.11</v>
      </c>
      <c r="I820" s="30">
        <v>144.93</v>
      </c>
      <c r="J820" s="30">
        <v>1610.36</v>
      </c>
      <c r="K820" s="31">
        <v>19469.23</v>
      </c>
      <c r="L820" s="32">
        <v>21079.59</v>
      </c>
      <c r="M820" s="54"/>
      <c r="N820" s="30">
        <v>19469.23</v>
      </c>
      <c r="O820" s="30">
        <v>13085.12</v>
      </c>
      <c r="P820" s="30">
        <v>1968</v>
      </c>
      <c r="Q820" s="30">
        <f>(N820+O820*0.18+J820)+(IF((P820-O820*0.18)&gt;0,(P820-O820*0.18),0))</f>
        <v>23434.911599999999</v>
      </c>
      <c r="R820" s="7"/>
      <c r="S820" s="7"/>
      <c r="T820" s="7"/>
      <c r="U820" s="7"/>
      <c r="V820" s="7"/>
      <c r="W820" s="7"/>
      <c r="X820" s="7"/>
      <c r="Y820" s="7"/>
      <c r="Z820" s="7"/>
    </row>
    <row r="821" spans="1:26" ht="9" customHeight="1" x14ac:dyDescent="0.2">
      <c r="A821" s="534"/>
      <c r="B821" s="534"/>
      <c r="C821" s="34" t="s">
        <v>37</v>
      </c>
      <c r="D821" s="35">
        <v>2</v>
      </c>
      <c r="E821" s="36">
        <v>25055702</v>
      </c>
      <c r="F821" s="36"/>
      <c r="G821" s="36"/>
      <c r="H821" s="36">
        <v>12361361</v>
      </c>
      <c r="I821" s="36">
        <v>280624</v>
      </c>
      <c r="J821" s="37">
        <v>3118092</v>
      </c>
      <c r="K821" s="36">
        <v>37697686</v>
      </c>
      <c r="L821" s="50">
        <v>40815778</v>
      </c>
      <c r="M821" s="54"/>
      <c r="N821" s="36">
        <v>37697686</v>
      </c>
      <c r="O821" s="36">
        <v>25336325</v>
      </c>
      <c r="P821" s="36">
        <v>3810579</v>
      </c>
      <c r="Q821" s="46">
        <f>Q820*1936.27</f>
        <v>45376316.283731997</v>
      </c>
      <c r="R821" s="7"/>
      <c r="S821" s="7"/>
      <c r="T821" s="7"/>
      <c r="U821" s="7"/>
      <c r="V821" s="7"/>
      <c r="W821" s="7"/>
      <c r="X821" s="7"/>
      <c r="Y821" s="7"/>
      <c r="Z821" s="7"/>
    </row>
    <row r="822" spans="1:26" ht="12.75" customHeight="1" x14ac:dyDescent="0.2">
      <c r="A822" s="539">
        <v>40360</v>
      </c>
      <c r="B822" s="539">
        <v>40421</v>
      </c>
      <c r="C822" s="40" t="s">
        <v>36</v>
      </c>
      <c r="D822" s="41">
        <v>3</v>
      </c>
      <c r="E822" s="30">
        <v>13462.24</v>
      </c>
      <c r="F822" s="30"/>
      <c r="G822" s="30"/>
      <c r="H822" s="30">
        <v>6384.11</v>
      </c>
      <c r="I822" s="30">
        <v>144.93</v>
      </c>
      <c r="J822" s="42">
        <v>1653.86</v>
      </c>
      <c r="K822" s="43">
        <v>19991.28</v>
      </c>
      <c r="L822" s="51">
        <v>21645.14</v>
      </c>
      <c r="M822" s="54"/>
      <c r="N822" s="30">
        <v>19991.28</v>
      </c>
      <c r="O822" s="30">
        <v>13607.17</v>
      </c>
      <c r="P822" s="30">
        <v>1968</v>
      </c>
      <c r="Q822" s="30">
        <f>(N822+O822*0.18+J822)+(IF((P822-O822*0.18)&gt;0,(P822-O822*0.18),0))</f>
        <v>24094.4306</v>
      </c>
      <c r="R822" s="7"/>
      <c r="S822" s="7"/>
      <c r="T822" s="7"/>
      <c r="U822" s="7"/>
      <c r="V822" s="7"/>
      <c r="W822" s="7"/>
      <c r="X822" s="7"/>
      <c r="Y822" s="7"/>
      <c r="Z822" s="7"/>
    </row>
    <row r="823" spans="1:26" ht="9" customHeight="1" x14ac:dyDescent="0.2">
      <c r="A823" s="534"/>
      <c r="B823" s="534"/>
      <c r="C823" s="34" t="s">
        <v>37</v>
      </c>
      <c r="D823" s="35">
        <v>8</v>
      </c>
      <c r="E823" s="36">
        <v>26066531</v>
      </c>
      <c r="F823" s="36"/>
      <c r="G823" s="36"/>
      <c r="H823" s="36">
        <v>12361361</v>
      </c>
      <c r="I823" s="36">
        <v>280624</v>
      </c>
      <c r="J823" s="37">
        <v>3202320</v>
      </c>
      <c r="K823" s="36">
        <v>38708516</v>
      </c>
      <c r="L823" s="50">
        <v>41910835</v>
      </c>
      <c r="M823" s="54"/>
      <c r="N823" s="36">
        <v>38708516</v>
      </c>
      <c r="O823" s="36">
        <v>26347155</v>
      </c>
      <c r="P823" s="36">
        <v>3810579</v>
      </c>
      <c r="Q823" s="46">
        <f>Q822*1936.27</f>
        <v>46653323.137861997</v>
      </c>
      <c r="R823" s="7"/>
      <c r="S823" s="7"/>
      <c r="T823" s="7"/>
      <c r="U823" s="7"/>
      <c r="V823" s="7"/>
      <c r="W823" s="7"/>
      <c r="X823" s="7"/>
      <c r="Y823" s="7"/>
      <c r="Z823" s="7"/>
    </row>
    <row r="824" spans="1:26" ht="12.75" customHeight="1" x14ac:dyDescent="0.2">
      <c r="A824" s="534"/>
      <c r="B824" s="534"/>
      <c r="C824" s="40" t="s">
        <v>36</v>
      </c>
      <c r="D824" s="41">
        <v>9</v>
      </c>
      <c r="E824" s="30">
        <v>15069.97</v>
      </c>
      <c r="F824" s="30"/>
      <c r="G824" s="30"/>
      <c r="H824" s="30">
        <v>6384.11</v>
      </c>
      <c r="I824" s="30">
        <v>144.93</v>
      </c>
      <c r="J824" s="42">
        <v>1787.84</v>
      </c>
      <c r="K824" s="43">
        <v>21599.01</v>
      </c>
      <c r="L824" s="51">
        <v>23386.85</v>
      </c>
      <c r="M824" s="7"/>
      <c r="N824" s="30">
        <v>21599.01</v>
      </c>
      <c r="O824" s="30">
        <v>15214.9</v>
      </c>
      <c r="P824" s="30">
        <v>1968</v>
      </c>
      <c r="Q824" s="30">
        <f>(N824+O824*0.18+J824)+(IF((P824-O824*0.18)&gt;0,(P824-O824*0.18),0))</f>
        <v>26125.531999999999</v>
      </c>
      <c r="R824" s="7"/>
      <c r="S824" s="7"/>
      <c r="T824" s="7"/>
      <c r="U824" s="7"/>
      <c r="V824" s="7"/>
      <c r="W824" s="7"/>
      <c r="X824" s="7"/>
      <c r="Y824" s="7"/>
      <c r="Z824" s="7"/>
    </row>
    <row r="825" spans="1:26" ht="9" customHeight="1" x14ac:dyDescent="0.2">
      <c r="A825" s="534"/>
      <c r="B825" s="534"/>
      <c r="C825" s="34" t="s">
        <v>37</v>
      </c>
      <c r="D825" s="35">
        <v>14</v>
      </c>
      <c r="E825" s="36">
        <v>29179531</v>
      </c>
      <c r="F825" s="36"/>
      <c r="G825" s="36"/>
      <c r="H825" s="36">
        <v>12361361</v>
      </c>
      <c r="I825" s="36">
        <v>280624</v>
      </c>
      <c r="J825" s="37">
        <v>3461741</v>
      </c>
      <c r="K825" s="36">
        <v>41821515</v>
      </c>
      <c r="L825" s="50">
        <v>45283256</v>
      </c>
      <c r="M825" s="55"/>
      <c r="N825" s="36">
        <v>41821515</v>
      </c>
      <c r="O825" s="36">
        <v>29460154</v>
      </c>
      <c r="P825" s="36">
        <v>3810579</v>
      </c>
      <c r="Q825" s="46">
        <f>Q824*1936.27</f>
        <v>50586083.845639996</v>
      </c>
      <c r="R825" s="7"/>
      <c r="S825" s="7"/>
      <c r="T825" s="7"/>
      <c r="U825" s="7"/>
      <c r="V825" s="7"/>
      <c r="W825" s="7"/>
      <c r="X825" s="7"/>
      <c r="Y825" s="7"/>
      <c r="Z825" s="7"/>
    </row>
    <row r="826" spans="1:26" ht="12.75" customHeight="1" x14ac:dyDescent="0.2">
      <c r="A826" s="534"/>
      <c r="B826" s="534"/>
      <c r="C826" s="40" t="s">
        <v>36</v>
      </c>
      <c r="D826" s="41">
        <v>15</v>
      </c>
      <c r="E826" s="30">
        <v>16947.900000000001</v>
      </c>
      <c r="F826" s="30"/>
      <c r="G826" s="30"/>
      <c r="H826" s="30">
        <v>6384.11</v>
      </c>
      <c r="I826" s="30">
        <v>144.93</v>
      </c>
      <c r="J826" s="42">
        <v>1944.33</v>
      </c>
      <c r="K826" s="43">
        <v>23476.94</v>
      </c>
      <c r="L826" s="51">
        <v>25421.27</v>
      </c>
      <c r="M826" s="7"/>
      <c r="N826" s="30">
        <v>23476.94</v>
      </c>
      <c r="O826" s="30">
        <v>17092.830000000002</v>
      </c>
      <c r="P826" s="30">
        <v>2424</v>
      </c>
      <c r="Q826" s="30">
        <f>(N826+O826*0.18+J826)+(IF((P826-O826*0.18)&gt;0,(P826-O826*0.18),0))</f>
        <v>28497.979399999997</v>
      </c>
      <c r="R826" s="7"/>
      <c r="S826" s="7"/>
      <c r="T826" s="7"/>
      <c r="U826" s="7"/>
      <c r="V826" s="7"/>
      <c r="W826" s="7"/>
      <c r="X826" s="7"/>
      <c r="Y826" s="7"/>
      <c r="Z826" s="7"/>
    </row>
    <row r="827" spans="1:26" ht="9" customHeight="1" x14ac:dyDescent="0.2">
      <c r="A827" s="534"/>
      <c r="B827" s="534"/>
      <c r="C827" s="34" t="s">
        <v>37</v>
      </c>
      <c r="D827" s="35">
        <v>20</v>
      </c>
      <c r="E827" s="36">
        <v>32815710</v>
      </c>
      <c r="F827" s="36"/>
      <c r="G827" s="36"/>
      <c r="H827" s="36">
        <v>12361361</v>
      </c>
      <c r="I827" s="36">
        <v>280624</v>
      </c>
      <c r="J827" s="37">
        <v>3764748</v>
      </c>
      <c r="K827" s="36">
        <v>45457695</v>
      </c>
      <c r="L827" s="50">
        <v>49222442</v>
      </c>
      <c r="M827" s="7"/>
      <c r="N827" s="36">
        <v>45457695</v>
      </c>
      <c r="O827" s="36">
        <v>33096334</v>
      </c>
      <c r="P827" s="36">
        <v>4693518</v>
      </c>
      <c r="Q827" s="46">
        <f>Q826*1936.27</f>
        <v>55179782.572837994</v>
      </c>
      <c r="R827" s="7"/>
      <c r="S827" s="7"/>
      <c r="T827" s="7"/>
      <c r="U827" s="7"/>
      <c r="V827" s="7"/>
      <c r="W827" s="7"/>
      <c r="X827" s="7"/>
      <c r="Y827" s="7"/>
      <c r="Z827" s="7"/>
    </row>
    <row r="828" spans="1:26" ht="12.75" customHeight="1" x14ac:dyDescent="0.2">
      <c r="A828" s="534"/>
      <c r="B828" s="534"/>
      <c r="C828" s="40" t="s">
        <v>36</v>
      </c>
      <c r="D828" s="41">
        <v>21</v>
      </c>
      <c r="E828" s="30">
        <v>19665.490000000002</v>
      </c>
      <c r="F828" s="30"/>
      <c r="G828" s="30"/>
      <c r="H828" s="30">
        <v>6384.11</v>
      </c>
      <c r="I828" s="30">
        <v>144.93</v>
      </c>
      <c r="J828" s="42">
        <v>2170.8000000000002</v>
      </c>
      <c r="K828" s="43">
        <v>26194.53</v>
      </c>
      <c r="L828" s="51">
        <v>28365.33</v>
      </c>
      <c r="M828" s="7"/>
      <c r="N828" s="30">
        <v>26194.53</v>
      </c>
      <c r="O828" s="30">
        <v>19810.419999999998</v>
      </c>
      <c r="P828" s="30">
        <v>2424</v>
      </c>
      <c r="Q828" s="30">
        <f>(N828+O828*0.18+J828)+(IF((P828-O828*0.18)&gt;0,(P828-O828*0.18),0))</f>
        <v>31931.205599999998</v>
      </c>
      <c r="R828" s="7"/>
      <c r="S828" s="7"/>
      <c r="T828" s="7"/>
      <c r="U828" s="7"/>
      <c r="V828" s="7"/>
      <c r="W828" s="7"/>
      <c r="X828" s="7"/>
      <c r="Y828" s="7"/>
      <c r="Z828" s="7"/>
    </row>
    <row r="829" spans="1:26" ht="9" customHeight="1" x14ac:dyDescent="0.2">
      <c r="A829" s="534"/>
      <c r="B829" s="534"/>
      <c r="C829" s="34" t="s">
        <v>37</v>
      </c>
      <c r="D829" s="35">
        <v>27</v>
      </c>
      <c r="E829" s="36">
        <v>38077698</v>
      </c>
      <c r="F829" s="36"/>
      <c r="G829" s="36"/>
      <c r="H829" s="36">
        <v>12361361</v>
      </c>
      <c r="I829" s="36">
        <v>280624</v>
      </c>
      <c r="J829" s="37">
        <v>4203255</v>
      </c>
      <c r="K829" s="36">
        <v>50719683</v>
      </c>
      <c r="L829" s="50">
        <v>54922938</v>
      </c>
      <c r="M829" s="7"/>
      <c r="N829" s="36">
        <v>50719683</v>
      </c>
      <c r="O829" s="36">
        <v>38358322</v>
      </c>
      <c r="P829" s="36">
        <v>4693518</v>
      </c>
      <c r="Q829" s="46">
        <f>Q828*1936.27</f>
        <v>61827435.467111997</v>
      </c>
      <c r="R829" s="7"/>
      <c r="S829" s="7"/>
      <c r="T829" s="7"/>
      <c r="U829" s="7"/>
      <c r="V829" s="7"/>
      <c r="W829" s="7"/>
      <c r="X829" s="7"/>
      <c r="Y829" s="7"/>
      <c r="Z829" s="7"/>
    </row>
    <row r="830" spans="1:26" ht="12.75" customHeight="1" x14ac:dyDescent="0.2">
      <c r="A830" s="534"/>
      <c r="B830" s="534"/>
      <c r="C830" s="40" t="s">
        <v>36</v>
      </c>
      <c r="D830" s="41">
        <v>28</v>
      </c>
      <c r="E830" s="30">
        <v>21448.75</v>
      </c>
      <c r="F830" s="30"/>
      <c r="G830" s="30"/>
      <c r="H830" s="30">
        <v>6384.11</v>
      </c>
      <c r="I830" s="30">
        <v>144.93</v>
      </c>
      <c r="J830" s="42">
        <v>2319.41</v>
      </c>
      <c r="K830" s="43">
        <v>27977.79</v>
      </c>
      <c r="L830" s="51">
        <v>30297.200000000001</v>
      </c>
      <c r="M830" s="7"/>
      <c r="N830" s="30">
        <v>27977.79</v>
      </c>
      <c r="O830" s="30">
        <v>21593.68</v>
      </c>
      <c r="P830" s="30">
        <v>3090</v>
      </c>
      <c r="Q830" s="30">
        <f>(N830+O830*0.18+J830)+(IF((P830-O830*0.18)&gt;0,(P830-O830*0.18),0))</f>
        <v>34184.062399999995</v>
      </c>
      <c r="R830" s="7"/>
      <c r="S830" s="7"/>
      <c r="T830" s="7"/>
      <c r="U830" s="7"/>
      <c r="V830" s="7"/>
      <c r="W830" s="7"/>
      <c r="X830" s="7"/>
      <c r="Y830" s="7"/>
      <c r="Z830" s="7"/>
    </row>
    <row r="831" spans="1:26" ht="9" customHeight="1" x14ac:dyDescent="0.2">
      <c r="A831" s="534"/>
      <c r="B831" s="534"/>
      <c r="C831" s="34" t="s">
        <v>37</v>
      </c>
      <c r="D831" s="35">
        <v>34</v>
      </c>
      <c r="E831" s="36">
        <v>41530571</v>
      </c>
      <c r="F831" s="36"/>
      <c r="G831" s="36"/>
      <c r="H831" s="36">
        <v>12361361</v>
      </c>
      <c r="I831" s="36">
        <v>280624</v>
      </c>
      <c r="J831" s="37">
        <v>4491004</v>
      </c>
      <c r="K831" s="36">
        <v>54172555</v>
      </c>
      <c r="L831" s="50">
        <v>58663559</v>
      </c>
      <c r="M831" s="7"/>
      <c r="N831" s="36">
        <v>54172555</v>
      </c>
      <c r="O831" s="36">
        <v>41811195</v>
      </c>
      <c r="P831" s="36">
        <v>5983074</v>
      </c>
      <c r="Q831" s="46">
        <f>Q830*1936.27</f>
        <v>66189574.503247991</v>
      </c>
      <c r="R831" s="7"/>
      <c r="S831" s="7"/>
      <c r="T831" s="7"/>
      <c r="U831" s="7"/>
      <c r="V831" s="7"/>
      <c r="W831" s="7"/>
      <c r="X831" s="7"/>
      <c r="Y831" s="7"/>
      <c r="Z831" s="7"/>
    </row>
    <row r="832" spans="1:26" ht="12.75" customHeight="1" x14ac:dyDescent="0.2">
      <c r="A832" s="534"/>
      <c r="B832" s="534"/>
      <c r="C832" s="40" t="s">
        <v>36</v>
      </c>
      <c r="D832" s="41">
        <v>35</v>
      </c>
      <c r="E832" s="30">
        <v>22803.34</v>
      </c>
      <c r="F832" s="30"/>
      <c r="G832" s="30"/>
      <c r="H832" s="30">
        <v>6384.11</v>
      </c>
      <c r="I832" s="30">
        <v>144.93</v>
      </c>
      <c r="J832" s="42">
        <v>2432.29</v>
      </c>
      <c r="K832" s="43">
        <v>29332.38</v>
      </c>
      <c r="L832" s="51">
        <v>31764.67</v>
      </c>
      <c r="M832" s="7"/>
      <c r="N832" s="30">
        <v>29332.38</v>
      </c>
      <c r="O832" s="30">
        <v>22948.27</v>
      </c>
      <c r="P832" s="30">
        <v>3090</v>
      </c>
      <c r="Q832" s="30">
        <f>(N832+O832*0.18+J832)+(IF((P832-O832*0.18)&gt;0,(P832-O832*0.18),0))</f>
        <v>35895.3586</v>
      </c>
      <c r="R832" s="7"/>
      <c r="S832" s="7"/>
      <c r="T832" s="7"/>
      <c r="U832" s="7"/>
      <c r="V832" s="7"/>
      <c r="W832" s="7"/>
      <c r="X832" s="7"/>
      <c r="Y832" s="7"/>
      <c r="Z832" s="7"/>
    </row>
    <row r="833" spans="1:26" ht="9" customHeight="1" x14ac:dyDescent="0.2">
      <c r="A833" s="535"/>
      <c r="B833" s="535"/>
      <c r="C833" s="47" t="s">
        <v>37</v>
      </c>
      <c r="D833" s="48"/>
      <c r="E833" s="46">
        <v>44153423</v>
      </c>
      <c r="F833" s="46"/>
      <c r="G833" s="46"/>
      <c r="H833" s="46">
        <v>12361361</v>
      </c>
      <c r="I833" s="46">
        <v>280624</v>
      </c>
      <c r="J833" s="49">
        <v>4709570</v>
      </c>
      <c r="K833" s="46">
        <v>56795407</v>
      </c>
      <c r="L833" s="52">
        <v>61504978</v>
      </c>
      <c r="M833" s="7"/>
      <c r="N833" s="46">
        <v>56795407</v>
      </c>
      <c r="O833" s="46">
        <v>44434047</v>
      </c>
      <c r="P833" s="46">
        <v>5983074</v>
      </c>
      <c r="Q833" s="46">
        <f>Q832*1936.27</f>
        <v>69503105.996421993</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6"/>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6"/>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6"/>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6"/>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6"/>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6"/>
      <c r="M839" s="39"/>
      <c r="N839" s="96"/>
      <c r="O839" s="96"/>
      <c r="P839" s="96"/>
      <c r="Q839" s="96"/>
      <c r="R839" s="7"/>
      <c r="S839" s="7"/>
      <c r="T839" s="7"/>
      <c r="U839" s="7"/>
      <c r="V839" s="7"/>
      <c r="W839" s="7"/>
      <c r="X839" s="7"/>
      <c r="Y839" s="7"/>
      <c r="Z839" s="7"/>
    </row>
    <row r="840" spans="1:26" ht="12.75" customHeight="1" x14ac:dyDescent="0.2">
      <c r="A840" s="538">
        <v>40422</v>
      </c>
      <c r="B840" s="538">
        <v>40543</v>
      </c>
      <c r="C840" s="28" t="s">
        <v>36</v>
      </c>
      <c r="D840" s="29">
        <v>0</v>
      </c>
      <c r="E840" s="30">
        <v>12940.19</v>
      </c>
      <c r="F840" s="30"/>
      <c r="G840" s="30"/>
      <c r="H840" s="30">
        <v>6384.11</v>
      </c>
      <c r="I840" s="30">
        <v>144.93</v>
      </c>
      <c r="J840" s="30">
        <v>1610.36</v>
      </c>
      <c r="K840" s="31">
        <v>19469.23</v>
      </c>
      <c r="L840" s="32">
        <v>21079.59</v>
      </c>
      <c r="M840" s="54"/>
      <c r="N840" s="30">
        <v>19469.23</v>
      </c>
      <c r="O840" s="30">
        <v>13085.12</v>
      </c>
      <c r="P840" s="30">
        <v>1968</v>
      </c>
      <c r="Q840" s="30">
        <f>(N840+O840*0.18+J840)+(IF((P840-O840*0.18)&gt;0,(P840-O840*0.18),0))</f>
        <v>23434.911599999999</v>
      </c>
      <c r="R840" s="7"/>
      <c r="S840" s="7"/>
      <c r="T840" s="7"/>
      <c r="U840" s="7"/>
      <c r="V840" s="7"/>
      <c r="W840" s="7"/>
      <c r="X840" s="7"/>
      <c r="Y840" s="7"/>
      <c r="Z840" s="7"/>
    </row>
    <row r="841" spans="1:26" ht="9" customHeight="1" x14ac:dyDescent="0.2">
      <c r="A841" s="534"/>
      <c r="B841" s="534"/>
      <c r="C841" s="34" t="s">
        <v>37</v>
      </c>
      <c r="D841" s="35">
        <v>2</v>
      </c>
      <c r="E841" s="36">
        <v>25055702</v>
      </c>
      <c r="F841" s="36"/>
      <c r="G841" s="36"/>
      <c r="H841" s="36">
        <v>12361361</v>
      </c>
      <c r="I841" s="36">
        <v>280624</v>
      </c>
      <c r="J841" s="37">
        <v>3118092</v>
      </c>
      <c r="K841" s="36">
        <v>37697686</v>
      </c>
      <c r="L841" s="50">
        <v>40815778</v>
      </c>
      <c r="M841" s="54"/>
      <c r="N841" s="36">
        <v>37697686</v>
      </c>
      <c r="O841" s="36">
        <v>25336325</v>
      </c>
      <c r="P841" s="36">
        <v>3810579</v>
      </c>
      <c r="Q841" s="46">
        <f>Q840*1936.27</f>
        <v>45376316.283731997</v>
      </c>
      <c r="R841" s="7"/>
      <c r="S841" s="7"/>
      <c r="T841" s="7"/>
      <c r="U841" s="7"/>
      <c r="V841" s="7"/>
      <c r="W841" s="7"/>
      <c r="X841" s="7"/>
      <c r="Y841" s="7"/>
      <c r="Z841" s="7"/>
    </row>
    <row r="842" spans="1:26" ht="12.75" customHeight="1" x14ac:dyDescent="0.2">
      <c r="A842" s="539">
        <v>40422</v>
      </c>
      <c r="B842" s="539">
        <v>40543</v>
      </c>
      <c r="C842" s="40" t="s">
        <v>36</v>
      </c>
      <c r="D842" s="41">
        <v>3</v>
      </c>
      <c r="E842" s="30">
        <v>12940.19</v>
      </c>
      <c r="F842" s="30"/>
      <c r="G842" s="30"/>
      <c r="H842" s="30">
        <v>6384.11</v>
      </c>
      <c r="I842" s="30">
        <v>144.93</v>
      </c>
      <c r="J842" s="42">
        <v>1653.86</v>
      </c>
      <c r="K842" s="43">
        <v>19991.28</v>
      </c>
      <c r="L842" s="51">
        <v>21645.14</v>
      </c>
      <c r="M842" s="54"/>
      <c r="N842" s="30">
        <v>19991.28</v>
      </c>
      <c r="O842" s="30">
        <v>13607.17</v>
      </c>
      <c r="P842" s="30">
        <v>1968</v>
      </c>
      <c r="Q842" s="30">
        <f>(N842+O842*0.18+J842)+(IF((P842-O842*0.18)&gt;0,(P842-O842*0.18),0))</f>
        <v>24094.4306</v>
      </c>
      <c r="R842" s="7"/>
      <c r="S842" s="7"/>
      <c r="T842" s="7"/>
      <c r="U842" s="7"/>
      <c r="V842" s="7"/>
      <c r="W842" s="7"/>
      <c r="X842" s="7"/>
      <c r="Y842" s="7"/>
      <c r="Z842" s="7"/>
    </row>
    <row r="843" spans="1:26" ht="9" customHeight="1" x14ac:dyDescent="0.2">
      <c r="A843" s="534"/>
      <c r="B843" s="534"/>
      <c r="C843" s="34" t="s">
        <v>37</v>
      </c>
      <c r="D843" s="35">
        <v>8</v>
      </c>
      <c r="E843" s="36">
        <v>25055702</v>
      </c>
      <c r="F843" s="36"/>
      <c r="G843" s="36"/>
      <c r="H843" s="36">
        <v>12361361</v>
      </c>
      <c r="I843" s="36">
        <v>280624</v>
      </c>
      <c r="J843" s="37">
        <v>3202320</v>
      </c>
      <c r="K843" s="36">
        <v>38708516</v>
      </c>
      <c r="L843" s="50">
        <v>41910835</v>
      </c>
      <c r="M843" s="54"/>
      <c r="N843" s="36">
        <v>38708516</v>
      </c>
      <c r="O843" s="36">
        <v>26347155</v>
      </c>
      <c r="P843" s="36">
        <v>3810579</v>
      </c>
      <c r="Q843" s="46">
        <f>Q842*1936.27</f>
        <v>46653323.137861997</v>
      </c>
      <c r="R843" s="7"/>
      <c r="S843" s="7"/>
      <c r="T843" s="7"/>
      <c r="U843" s="7"/>
      <c r="V843" s="7"/>
      <c r="W843" s="7"/>
      <c r="X843" s="7"/>
      <c r="Y843" s="7"/>
      <c r="Z843" s="7"/>
    </row>
    <row r="844" spans="1:26" ht="12.75" customHeight="1" x14ac:dyDescent="0.2">
      <c r="A844" s="534"/>
      <c r="B844" s="534"/>
      <c r="C844" s="40" t="s">
        <v>36</v>
      </c>
      <c r="D844" s="41">
        <v>9</v>
      </c>
      <c r="E844" s="30">
        <v>15069.97</v>
      </c>
      <c r="F844" s="30"/>
      <c r="G844" s="30"/>
      <c r="H844" s="30">
        <v>6384.11</v>
      </c>
      <c r="I844" s="30">
        <v>144.93</v>
      </c>
      <c r="J844" s="42">
        <v>1787.84</v>
      </c>
      <c r="K844" s="43">
        <v>21599.01</v>
      </c>
      <c r="L844" s="51">
        <v>23386.85</v>
      </c>
      <c r="M844" s="7"/>
      <c r="N844" s="30">
        <v>21599.01</v>
      </c>
      <c r="O844" s="30">
        <v>15214.9</v>
      </c>
      <c r="P844" s="30">
        <v>1968</v>
      </c>
      <c r="Q844" s="30">
        <f>(N844+O844*0.18+J844)+(IF((P844-O844*0.18)&gt;0,(P844-O844*0.18),0))</f>
        <v>26125.531999999999</v>
      </c>
      <c r="R844" s="7"/>
      <c r="S844" s="7"/>
      <c r="T844" s="7"/>
      <c r="U844" s="7"/>
      <c r="V844" s="7"/>
      <c r="W844" s="7"/>
      <c r="X844" s="7"/>
      <c r="Y844" s="7"/>
      <c r="Z844" s="7"/>
    </row>
    <row r="845" spans="1:26" ht="9" customHeight="1" x14ac:dyDescent="0.2">
      <c r="A845" s="534"/>
      <c r="B845" s="534"/>
      <c r="C845" s="34" t="s">
        <v>37</v>
      </c>
      <c r="D845" s="35">
        <v>14</v>
      </c>
      <c r="E845" s="36">
        <v>29179531</v>
      </c>
      <c r="F845" s="36"/>
      <c r="G845" s="36"/>
      <c r="H845" s="36">
        <v>12361361</v>
      </c>
      <c r="I845" s="36">
        <v>280624</v>
      </c>
      <c r="J845" s="37">
        <v>3461741</v>
      </c>
      <c r="K845" s="36">
        <v>41821515</v>
      </c>
      <c r="L845" s="50">
        <v>45283256</v>
      </c>
      <c r="M845" s="55"/>
      <c r="N845" s="36">
        <v>41821515</v>
      </c>
      <c r="O845" s="36">
        <v>29460154</v>
      </c>
      <c r="P845" s="36">
        <v>3810579</v>
      </c>
      <c r="Q845" s="46">
        <f>Q844*1936.27</f>
        <v>50586083.845639996</v>
      </c>
      <c r="R845" s="7"/>
      <c r="S845" s="7"/>
      <c r="T845" s="7"/>
      <c r="U845" s="7"/>
      <c r="V845" s="7"/>
      <c r="W845" s="7"/>
      <c r="X845" s="7"/>
      <c r="Y845" s="7"/>
      <c r="Z845" s="7"/>
    </row>
    <row r="846" spans="1:26" ht="12.75" customHeight="1" x14ac:dyDescent="0.2">
      <c r="A846" s="534"/>
      <c r="B846" s="534"/>
      <c r="C846" s="40" t="s">
        <v>36</v>
      </c>
      <c r="D846" s="41">
        <v>15</v>
      </c>
      <c r="E846" s="30">
        <v>16947.900000000001</v>
      </c>
      <c r="F846" s="30"/>
      <c r="G846" s="30"/>
      <c r="H846" s="30">
        <v>6384.11</v>
      </c>
      <c r="I846" s="30">
        <v>144.93</v>
      </c>
      <c r="J846" s="42">
        <v>1944.33</v>
      </c>
      <c r="K846" s="43">
        <v>23476.94</v>
      </c>
      <c r="L846" s="51">
        <v>25421.27</v>
      </c>
      <c r="M846" s="7"/>
      <c r="N846" s="30">
        <v>23476.94</v>
      </c>
      <c r="O846" s="30">
        <v>17092.830000000002</v>
      </c>
      <c r="P846" s="30">
        <v>2424</v>
      </c>
      <c r="Q846" s="30">
        <f>(N846+O846*0.18+J846)+(IF((P846-O846*0.18)&gt;0,(P846-O846*0.18),0))</f>
        <v>28497.979399999997</v>
      </c>
      <c r="R846" s="7"/>
      <c r="S846" s="7"/>
      <c r="T846" s="7"/>
      <c r="U846" s="7"/>
      <c r="V846" s="7"/>
      <c r="W846" s="7"/>
      <c r="X846" s="7"/>
      <c r="Y846" s="7"/>
      <c r="Z846" s="7"/>
    </row>
    <row r="847" spans="1:26" ht="9" customHeight="1" x14ac:dyDescent="0.2">
      <c r="A847" s="534"/>
      <c r="B847" s="534"/>
      <c r="C847" s="34" t="s">
        <v>37</v>
      </c>
      <c r="D847" s="35">
        <v>20</v>
      </c>
      <c r="E847" s="36">
        <v>32815710</v>
      </c>
      <c r="F847" s="36"/>
      <c r="G847" s="36"/>
      <c r="H847" s="36">
        <v>12361361</v>
      </c>
      <c r="I847" s="36">
        <v>280624</v>
      </c>
      <c r="J847" s="37">
        <v>3764748</v>
      </c>
      <c r="K847" s="36">
        <v>45457695</v>
      </c>
      <c r="L847" s="50">
        <v>49222442</v>
      </c>
      <c r="M847" s="7"/>
      <c r="N847" s="36">
        <v>45457695</v>
      </c>
      <c r="O847" s="36">
        <v>33096334</v>
      </c>
      <c r="P847" s="36">
        <v>4693518</v>
      </c>
      <c r="Q847" s="46">
        <f>Q846*1936.27</f>
        <v>55179782.572837994</v>
      </c>
      <c r="R847" s="7"/>
      <c r="S847" s="7"/>
      <c r="T847" s="7"/>
      <c r="U847" s="7"/>
      <c r="V847" s="7"/>
      <c r="W847" s="7"/>
      <c r="X847" s="7"/>
      <c r="Y847" s="7"/>
      <c r="Z847" s="7"/>
    </row>
    <row r="848" spans="1:26" ht="12.75" customHeight="1" x14ac:dyDescent="0.2">
      <c r="A848" s="534"/>
      <c r="B848" s="534"/>
      <c r="C848" s="40" t="s">
        <v>36</v>
      </c>
      <c r="D848" s="41">
        <v>21</v>
      </c>
      <c r="E848" s="30">
        <v>19665.490000000002</v>
      </c>
      <c r="F848" s="30"/>
      <c r="G848" s="30"/>
      <c r="H848" s="30">
        <v>6384.11</v>
      </c>
      <c r="I848" s="30">
        <v>144.93</v>
      </c>
      <c r="J848" s="42">
        <v>2170.8000000000002</v>
      </c>
      <c r="K848" s="43">
        <v>26194.53</v>
      </c>
      <c r="L848" s="51">
        <v>28365.33</v>
      </c>
      <c r="M848" s="7"/>
      <c r="N848" s="30">
        <v>26194.53</v>
      </c>
      <c r="O848" s="30">
        <v>19810.419999999998</v>
      </c>
      <c r="P848" s="30">
        <v>2424</v>
      </c>
      <c r="Q848" s="30">
        <f>(N848+O848*0.18+J848)+(IF((P848-O848*0.18)&gt;0,(P848-O848*0.18),0))</f>
        <v>31931.205599999998</v>
      </c>
      <c r="R848" s="7"/>
      <c r="S848" s="7"/>
      <c r="T848" s="7"/>
      <c r="U848" s="7"/>
      <c r="V848" s="7"/>
      <c r="W848" s="7"/>
      <c r="X848" s="7"/>
      <c r="Y848" s="7"/>
      <c r="Z848" s="7"/>
    </row>
    <row r="849" spans="1:26" ht="9" customHeight="1" x14ac:dyDescent="0.2">
      <c r="A849" s="534"/>
      <c r="B849" s="534"/>
      <c r="C849" s="34" t="s">
        <v>37</v>
      </c>
      <c r="D849" s="35">
        <v>27</v>
      </c>
      <c r="E849" s="36">
        <v>38077698</v>
      </c>
      <c r="F849" s="36"/>
      <c r="G849" s="36"/>
      <c r="H849" s="36">
        <v>12361361</v>
      </c>
      <c r="I849" s="36">
        <v>280624</v>
      </c>
      <c r="J849" s="37">
        <v>4203255</v>
      </c>
      <c r="K849" s="36">
        <v>50719683</v>
      </c>
      <c r="L849" s="50">
        <v>54922938</v>
      </c>
      <c r="M849" s="7"/>
      <c r="N849" s="36">
        <v>50719683</v>
      </c>
      <c r="O849" s="36">
        <v>38358322</v>
      </c>
      <c r="P849" s="36">
        <v>4693518</v>
      </c>
      <c r="Q849" s="46">
        <f>Q848*1936.27</f>
        <v>61827435.467111997</v>
      </c>
      <c r="R849" s="7"/>
      <c r="S849" s="7"/>
      <c r="T849" s="7"/>
      <c r="U849" s="7"/>
      <c r="V849" s="7"/>
      <c r="W849" s="7"/>
      <c r="X849" s="7"/>
      <c r="Y849" s="7"/>
      <c r="Z849" s="7"/>
    </row>
    <row r="850" spans="1:26" ht="12.75" customHeight="1" x14ac:dyDescent="0.2">
      <c r="A850" s="534"/>
      <c r="B850" s="534"/>
      <c r="C850" s="40" t="s">
        <v>36</v>
      </c>
      <c r="D850" s="41">
        <v>28</v>
      </c>
      <c r="E850" s="30">
        <v>21448.75</v>
      </c>
      <c r="F850" s="30"/>
      <c r="G850" s="30"/>
      <c r="H850" s="30">
        <v>6384.11</v>
      </c>
      <c r="I850" s="30">
        <v>144.93</v>
      </c>
      <c r="J850" s="42">
        <v>2319.41</v>
      </c>
      <c r="K850" s="43">
        <v>27977.79</v>
      </c>
      <c r="L850" s="51">
        <v>30297.200000000001</v>
      </c>
      <c r="M850" s="7"/>
      <c r="N850" s="30">
        <v>27977.79</v>
      </c>
      <c r="O850" s="30">
        <v>21593.68</v>
      </c>
      <c r="P850" s="30">
        <v>3090</v>
      </c>
      <c r="Q850" s="30">
        <f>(N850+O850*0.18+J850)+(IF((P850-O850*0.18)&gt;0,(P850-O850*0.18),0))</f>
        <v>34184.062399999995</v>
      </c>
      <c r="R850" s="7"/>
      <c r="S850" s="7"/>
      <c r="T850" s="7"/>
      <c r="U850" s="7"/>
      <c r="V850" s="7"/>
      <c r="W850" s="7"/>
      <c r="X850" s="7"/>
      <c r="Y850" s="7"/>
      <c r="Z850" s="7"/>
    </row>
    <row r="851" spans="1:26" ht="9" customHeight="1" x14ac:dyDescent="0.2">
      <c r="A851" s="534"/>
      <c r="B851" s="534"/>
      <c r="C851" s="34" t="s">
        <v>37</v>
      </c>
      <c r="D851" s="35">
        <v>34</v>
      </c>
      <c r="E851" s="36">
        <v>41530571</v>
      </c>
      <c r="F851" s="36"/>
      <c r="G851" s="36"/>
      <c r="H851" s="36">
        <v>12361361</v>
      </c>
      <c r="I851" s="36">
        <v>280624</v>
      </c>
      <c r="J851" s="37">
        <v>4491004</v>
      </c>
      <c r="K851" s="36">
        <v>54172555</v>
      </c>
      <c r="L851" s="50">
        <v>58663559</v>
      </c>
      <c r="M851" s="7"/>
      <c r="N851" s="36">
        <v>54172555</v>
      </c>
      <c r="O851" s="36">
        <v>41811195</v>
      </c>
      <c r="P851" s="36">
        <v>5983074</v>
      </c>
      <c r="Q851" s="46">
        <f>Q850*1936.27</f>
        <v>66189574.503247991</v>
      </c>
      <c r="R851" s="7"/>
      <c r="S851" s="7"/>
      <c r="T851" s="7"/>
      <c r="U851" s="7"/>
      <c r="V851" s="7"/>
      <c r="W851" s="7"/>
      <c r="X851" s="7"/>
      <c r="Y851" s="7"/>
      <c r="Z851" s="7"/>
    </row>
    <row r="852" spans="1:26" ht="12.75" customHeight="1" x14ac:dyDescent="0.2">
      <c r="A852" s="534"/>
      <c r="B852" s="534"/>
      <c r="C852" s="40" t="s">
        <v>36</v>
      </c>
      <c r="D852" s="41">
        <v>35</v>
      </c>
      <c r="E852" s="30">
        <v>22803.34</v>
      </c>
      <c r="F852" s="30"/>
      <c r="G852" s="30"/>
      <c r="H852" s="30">
        <v>6384.11</v>
      </c>
      <c r="I852" s="30">
        <v>144.93</v>
      </c>
      <c r="J852" s="42">
        <v>2432.29</v>
      </c>
      <c r="K852" s="43">
        <v>29332.38</v>
      </c>
      <c r="L852" s="51">
        <v>31764.67</v>
      </c>
      <c r="M852" s="7"/>
      <c r="N852" s="30">
        <v>29332.38</v>
      </c>
      <c r="O852" s="30">
        <v>22948.27</v>
      </c>
      <c r="P852" s="30">
        <v>3090</v>
      </c>
      <c r="Q852" s="30">
        <f>(N852+O852*0.18+J852)+(IF((P852-O852*0.18)&gt;0,(P852-O852*0.18),0))</f>
        <v>35895.3586</v>
      </c>
      <c r="R852" s="7"/>
      <c r="S852" s="7"/>
      <c r="T852" s="7"/>
      <c r="U852" s="7"/>
      <c r="V852" s="7"/>
      <c r="W852" s="7"/>
      <c r="X852" s="7"/>
      <c r="Y852" s="7"/>
      <c r="Z852" s="7"/>
    </row>
    <row r="853" spans="1:26" ht="9" customHeight="1" x14ac:dyDescent="0.2">
      <c r="A853" s="535"/>
      <c r="B853" s="535"/>
      <c r="C853" s="47" t="s">
        <v>37</v>
      </c>
      <c r="D853" s="48"/>
      <c r="E853" s="46">
        <v>44153423</v>
      </c>
      <c r="F853" s="46"/>
      <c r="G853" s="46"/>
      <c r="H853" s="46">
        <v>12361361</v>
      </c>
      <c r="I853" s="46">
        <v>280624</v>
      </c>
      <c r="J853" s="49">
        <v>4709570</v>
      </c>
      <c r="K853" s="46">
        <v>56795407</v>
      </c>
      <c r="L853" s="52">
        <v>61504978</v>
      </c>
      <c r="M853" s="7"/>
      <c r="N853" s="46">
        <v>56795407</v>
      </c>
      <c r="O853" s="46">
        <v>44434047</v>
      </c>
      <c r="P853" s="46">
        <v>5983074</v>
      </c>
      <c r="Q853" s="46">
        <f>Q852*1936.27</f>
        <v>69503105.996421993</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6"/>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6"/>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6"/>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6"/>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6"/>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6"/>
      <c r="M859" s="39"/>
      <c r="N859" s="96"/>
      <c r="O859" s="96"/>
      <c r="P859" s="96"/>
      <c r="Q859" s="96"/>
      <c r="R859" s="7"/>
      <c r="S859" s="7"/>
      <c r="T859" s="7"/>
      <c r="U859" s="7"/>
      <c r="V859" s="7"/>
      <c r="W859" s="7"/>
      <c r="X859" s="7"/>
      <c r="Y859" s="7"/>
      <c r="Z859" s="7"/>
    </row>
    <row r="860" spans="1:26" ht="12.75" customHeight="1" x14ac:dyDescent="0.25">
      <c r="A860" s="538">
        <v>40544</v>
      </c>
      <c r="B860" s="538">
        <v>42369</v>
      </c>
      <c r="C860" s="28" t="s">
        <v>36</v>
      </c>
      <c r="D860" s="29">
        <v>0</v>
      </c>
      <c r="E860" s="30">
        <v>12940.19</v>
      </c>
      <c r="F860" s="30"/>
      <c r="G860" s="182"/>
      <c r="H860" s="30">
        <v>6384.11</v>
      </c>
      <c r="I860" s="30">
        <v>144.93</v>
      </c>
      <c r="J860" s="30">
        <v>1622.44</v>
      </c>
      <c r="K860" s="30">
        <v>19469.23</v>
      </c>
      <c r="L860" s="32">
        <v>21091.67</v>
      </c>
      <c r="M860" s="33"/>
      <c r="N860" s="30">
        <v>19469.23</v>
      </c>
      <c r="O860" s="30">
        <v>13085.12</v>
      </c>
      <c r="P860" s="30">
        <v>1968</v>
      </c>
      <c r="Q860" s="30">
        <v>23446.99</v>
      </c>
      <c r="R860" s="7"/>
      <c r="S860" s="7"/>
      <c r="T860" s="7"/>
      <c r="U860" s="7"/>
      <c r="V860" s="7"/>
      <c r="W860" s="7"/>
      <c r="X860" s="7"/>
      <c r="Y860" s="7"/>
      <c r="Z860" s="7"/>
    </row>
    <row r="861" spans="1:26" ht="9" customHeight="1" x14ac:dyDescent="0.2">
      <c r="A861" s="534"/>
      <c r="B861" s="534"/>
      <c r="C861" s="34" t="s">
        <v>37</v>
      </c>
      <c r="D861" s="35">
        <v>2</v>
      </c>
      <c r="E861" s="46">
        <v>25055702</v>
      </c>
      <c r="F861" s="36"/>
      <c r="G861" s="36"/>
      <c r="H861" s="46">
        <v>12361361</v>
      </c>
      <c r="I861" s="46">
        <v>280624</v>
      </c>
      <c r="J861" s="37">
        <v>3141482</v>
      </c>
      <c r="K861" s="46">
        <v>37697686</v>
      </c>
      <c r="L861" s="46">
        <v>40839168</v>
      </c>
      <c r="M861" s="39"/>
      <c r="N861" s="36">
        <v>37697686</v>
      </c>
      <c r="O861" s="36">
        <v>25336325</v>
      </c>
      <c r="P861" s="46">
        <v>3810579</v>
      </c>
      <c r="Q861" s="36">
        <v>45399703</v>
      </c>
      <c r="R861" s="7"/>
      <c r="S861" s="7"/>
      <c r="T861" s="7"/>
      <c r="U861" s="7"/>
      <c r="V861" s="7"/>
      <c r="W861" s="7"/>
      <c r="X861" s="7"/>
      <c r="Y861" s="7"/>
      <c r="Z861" s="7"/>
    </row>
    <row r="862" spans="1:26" ht="12.75" customHeight="1" x14ac:dyDescent="0.2">
      <c r="A862" s="539">
        <v>40544</v>
      </c>
      <c r="B862" s="539">
        <v>42369</v>
      </c>
      <c r="C862" s="40" t="s">
        <v>36</v>
      </c>
      <c r="D862" s="41">
        <v>3</v>
      </c>
      <c r="E862" s="30">
        <v>12940.19</v>
      </c>
      <c r="F862" s="30"/>
      <c r="G862" s="30"/>
      <c r="H862" s="30">
        <v>6384.11</v>
      </c>
      <c r="I862" s="30">
        <v>144.93</v>
      </c>
      <c r="J862" s="30">
        <v>1665.94</v>
      </c>
      <c r="K862" s="30">
        <v>19991.28</v>
      </c>
      <c r="L862" s="32">
        <v>21657.22</v>
      </c>
      <c r="M862" s="33"/>
      <c r="N862" s="30">
        <v>19991.28</v>
      </c>
      <c r="O862" s="30">
        <v>13607.17</v>
      </c>
      <c r="P862" s="30">
        <v>1968</v>
      </c>
      <c r="Q862" s="30">
        <v>24106.51</v>
      </c>
      <c r="R862" s="7"/>
      <c r="S862" s="7"/>
      <c r="T862" s="7"/>
      <c r="U862" s="7"/>
      <c r="V862" s="7"/>
      <c r="W862" s="7"/>
      <c r="X862" s="7"/>
      <c r="Y862" s="7"/>
      <c r="Z862" s="7"/>
    </row>
    <row r="863" spans="1:26" ht="9" customHeight="1" x14ac:dyDescent="0.2">
      <c r="A863" s="534"/>
      <c r="B863" s="534"/>
      <c r="C863" s="34" t="s">
        <v>37</v>
      </c>
      <c r="D863" s="35">
        <v>8</v>
      </c>
      <c r="E863" s="36">
        <v>25055702</v>
      </c>
      <c r="F863" s="36"/>
      <c r="G863" s="36"/>
      <c r="H863" s="46">
        <v>12361361</v>
      </c>
      <c r="I863" s="46">
        <v>280624</v>
      </c>
      <c r="J863" s="37">
        <v>3225710</v>
      </c>
      <c r="K863" s="46">
        <v>38708516</v>
      </c>
      <c r="L863" s="46">
        <v>41934225</v>
      </c>
      <c r="M863" s="39"/>
      <c r="N863" s="36">
        <v>38708516</v>
      </c>
      <c r="O863" s="36">
        <v>26347155</v>
      </c>
      <c r="P863" s="46">
        <v>3810579</v>
      </c>
      <c r="Q863" s="36">
        <v>46676712</v>
      </c>
      <c r="R863" s="7"/>
      <c r="S863" s="7"/>
      <c r="T863" s="7"/>
      <c r="U863" s="7"/>
      <c r="V863" s="7"/>
      <c r="W863" s="7"/>
      <c r="X863" s="7"/>
      <c r="Y863" s="7"/>
      <c r="Z863" s="7"/>
    </row>
    <row r="864" spans="1:26" ht="12.75" customHeight="1" x14ac:dyDescent="0.2">
      <c r="A864" s="534"/>
      <c r="B864" s="534"/>
      <c r="C864" s="40" t="s">
        <v>36</v>
      </c>
      <c r="D864" s="41">
        <v>9</v>
      </c>
      <c r="E864" s="30">
        <v>15069.97</v>
      </c>
      <c r="F864" s="30"/>
      <c r="G864" s="30"/>
      <c r="H864" s="30">
        <v>6384.11</v>
      </c>
      <c r="I864" s="30">
        <v>144.93</v>
      </c>
      <c r="J864" s="30">
        <v>1799.92</v>
      </c>
      <c r="K864" s="30">
        <v>21599.01</v>
      </c>
      <c r="L864" s="32">
        <v>23398.93</v>
      </c>
      <c r="M864" s="33"/>
      <c r="N864" s="30">
        <v>21599.01</v>
      </c>
      <c r="O864" s="30">
        <v>15214.9</v>
      </c>
      <c r="P864" s="30">
        <v>1968</v>
      </c>
      <c r="Q864" s="30">
        <v>26137.61</v>
      </c>
      <c r="R864" s="7"/>
      <c r="S864" s="7"/>
      <c r="T864" s="7"/>
      <c r="U864" s="7"/>
      <c r="V864" s="7"/>
      <c r="W864" s="7"/>
      <c r="X864" s="7"/>
      <c r="Y864" s="7"/>
      <c r="Z864" s="7"/>
    </row>
    <row r="865" spans="1:26" ht="9" customHeight="1" x14ac:dyDescent="0.2">
      <c r="A865" s="534"/>
      <c r="B865" s="534"/>
      <c r="C865" s="34" t="s">
        <v>37</v>
      </c>
      <c r="D865" s="35">
        <v>14</v>
      </c>
      <c r="E865" s="46">
        <v>29179531</v>
      </c>
      <c r="F865" s="36"/>
      <c r="G865" s="36"/>
      <c r="H865" s="46">
        <v>12361361</v>
      </c>
      <c r="I865" s="46">
        <v>280624</v>
      </c>
      <c r="J865" s="37">
        <v>3485131</v>
      </c>
      <c r="K865" s="46">
        <v>41821515</v>
      </c>
      <c r="L865" s="46">
        <v>45306646</v>
      </c>
      <c r="M865" s="39"/>
      <c r="N865" s="36">
        <v>41821515</v>
      </c>
      <c r="O865" s="36">
        <v>29460154</v>
      </c>
      <c r="P865" s="46">
        <v>3810579</v>
      </c>
      <c r="Q865" s="36">
        <v>50609470</v>
      </c>
      <c r="R865" s="7"/>
      <c r="S865" s="7"/>
      <c r="T865" s="7"/>
      <c r="U865" s="7"/>
      <c r="V865" s="7"/>
      <c r="W865" s="7"/>
      <c r="X865" s="7"/>
      <c r="Y865" s="7"/>
      <c r="Z865" s="7"/>
    </row>
    <row r="866" spans="1:26" ht="12.75" customHeight="1" x14ac:dyDescent="0.2">
      <c r="A866" s="534"/>
      <c r="B866" s="534"/>
      <c r="C866" s="40" t="s">
        <v>36</v>
      </c>
      <c r="D866" s="41">
        <v>15</v>
      </c>
      <c r="E866" s="30">
        <v>16947.900000000001</v>
      </c>
      <c r="F866" s="30"/>
      <c r="G866" s="30"/>
      <c r="H866" s="30">
        <v>6384.11</v>
      </c>
      <c r="I866" s="30">
        <v>144.93</v>
      </c>
      <c r="J866" s="30">
        <v>1956.41</v>
      </c>
      <c r="K866" s="30">
        <v>23476.94</v>
      </c>
      <c r="L866" s="32">
        <v>25433.35</v>
      </c>
      <c r="M866" s="33"/>
      <c r="N866" s="30">
        <v>23476.94</v>
      </c>
      <c r="O866" s="30">
        <v>17092.830000000002</v>
      </c>
      <c r="P866" s="30">
        <v>2424</v>
      </c>
      <c r="Q866" s="30">
        <v>28510.06</v>
      </c>
      <c r="R866" s="7"/>
      <c r="S866" s="7"/>
      <c r="T866" s="7"/>
      <c r="U866" s="7"/>
      <c r="V866" s="7"/>
      <c r="W866" s="7"/>
      <c r="X866" s="7"/>
      <c r="Y866" s="7"/>
      <c r="Z866" s="7"/>
    </row>
    <row r="867" spans="1:26" ht="9" customHeight="1" x14ac:dyDescent="0.2">
      <c r="A867" s="534"/>
      <c r="B867" s="534"/>
      <c r="C867" s="34" t="s">
        <v>37</v>
      </c>
      <c r="D867" s="35">
        <v>20</v>
      </c>
      <c r="E867" s="46">
        <v>32815710</v>
      </c>
      <c r="F867" s="36"/>
      <c r="G867" s="36"/>
      <c r="H867" s="46">
        <v>12361361</v>
      </c>
      <c r="I867" s="46">
        <v>280624</v>
      </c>
      <c r="J867" s="37">
        <v>3788138</v>
      </c>
      <c r="K867" s="46">
        <v>45457695</v>
      </c>
      <c r="L867" s="46">
        <v>49245833</v>
      </c>
      <c r="M867" s="39"/>
      <c r="N867" s="36">
        <v>45457695</v>
      </c>
      <c r="O867" s="36">
        <v>33096334</v>
      </c>
      <c r="P867" s="46">
        <v>4693518</v>
      </c>
      <c r="Q867" s="36">
        <v>55203174</v>
      </c>
      <c r="R867" s="7"/>
      <c r="S867" s="7"/>
      <c r="T867" s="7"/>
      <c r="U867" s="7"/>
      <c r="V867" s="7"/>
      <c r="W867" s="7"/>
      <c r="X867" s="7"/>
      <c r="Y867" s="7"/>
      <c r="Z867" s="7"/>
    </row>
    <row r="868" spans="1:26" ht="12.75" customHeight="1" x14ac:dyDescent="0.2">
      <c r="A868" s="534"/>
      <c r="B868" s="534"/>
      <c r="C868" s="40" t="s">
        <v>36</v>
      </c>
      <c r="D868" s="41">
        <v>21</v>
      </c>
      <c r="E868" s="30">
        <v>19665.490000000002</v>
      </c>
      <c r="F868" s="30"/>
      <c r="G868" s="30"/>
      <c r="H868" s="30">
        <v>6384.11</v>
      </c>
      <c r="I868" s="30">
        <v>144.93</v>
      </c>
      <c r="J868" s="30">
        <v>2182.88</v>
      </c>
      <c r="K868" s="30">
        <v>26194.53</v>
      </c>
      <c r="L868" s="32">
        <v>28377.41</v>
      </c>
      <c r="M868" s="33"/>
      <c r="N868" s="30">
        <v>26194.53</v>
      </c>
      <c r="O868" s="30">
        <v>19810.419999999998</v>
      </c>
      <c r="P868" s="30">
        <v>2424</v>
      </c>
      <c r="Q868" s="30">
        <v>31943.29</v>
      </c>
      <c r="R868" s="7"/>
      <c r="S868" s="7"/>
      <c r="T868" s="7"/>
      <c r="U868" s="7"/>
      <c r="V868" s="7"/>
      <c r="W868" s="7"/>
      <c r="X868" s="7"/>
      <c r="Y868" s="7"/>
      <c r="Z868" s="7"/>
    </row>
    <row r="869" spans="1:26" ht="9" customHeight="1" x14ac:dyDescent="0.2">
      <c r="A869" s="534"/>
      <c r="B869" s="534"/>
      <c r="C869" s="34" t="s">
        <v>37</v>
      </c>
      <c r="D869" s="35">
        <v>27</v>
      </c>
      <c r="E869" s="46">
        <v>38077698</v>
      </c>
      <c r="F869" s="36"/>
      <c r="G869" s="36"/>
      <c r="H869" s="46">
        <v>12361361</v>
      </c>
      <c r="I869" s="46">
        <v>280624</v>
      </c>
      <c r="J869" s="37">
        <v>4226645</v>
      </c>
      <c r="K869" s="46">
        <v>50719683</v>
      </c>
      <c r="L869" s="46">
        <v>54946328</v>
      </c>
      <c r="M869" s="39"/>
      <c r="N869" s="36">
        <v>50719683</v>
      </c>
      <c r="O869" s="36">
        <v>38358322</v>
      </c>
      <c r="P869" s="46">
        <v>4693518</v>
      </c>
      <c r="Q869" s="36">
        <v>61850834</v>
      </c>
      <c r="R869" s="7"/>
      <c r="S869" s="7"/>
      <c r="T869" s="7"/>
      <c r="U869" s="7"/>
      <c r="V869" s="7"/>
      <c r="W869" s="7"/>
      <c r="X869" s="7"/>
      <c r="Y869" s="7"/>
      <c r="Z869" s="7"/>
    </row>
    <row r="870" spans="1:26" ht="12.75" customHeight="1" x14ac:dyDescent="0.2">
      <c r="A870" s="534"/>
      <c r="B870" s="534"/>
      <c r="C870" s="40" t="s">
        <v>36</v>
      </c>
      <c r="D870" s="41">
        <v>28</v>
      </c>
      <c r="E870" s="30">
        <v>21448.75</v>
      </c>
      <c r="F870" s="30"/>
      <c r="G870" s="30"/>
      <c r="H870" s="30">
        <v>6384.11</v>
      </c>
      <c r="I870" s="30">
        <v>144.93</v>
      </c>
      <c r="J870" s="30">
        <v>2331.48</v>
      </c>
      <c r="K870" s="30">
        <v>27977.79</v>
      </c>
      <c r="L870" s="32">
        <v>30309.27</v>
      </c>
      <c r="M870" s="33"/>
      <c r="N870" s="30">
        <v>27977.79</v>
      </c>
      <c r="O870" s="30">
        <v>21593.68</v>
      </c>
      <c r="P870" s="30">
        <v>3090</v>
      </c>
      <c r="Q870" s="30">
        <v>34196.129999999997</v>
      </c>
      <c r="R870" s="7"/>
      <c r="S870" s="7"/>
      <c r="T870" s="7"/>
      <c r="U870" s="7"/>
      <c r="V870" s="7"/>
      <c r="W870" s="7"/>
      <c r="X870" s="7"/>
      <c r="Y870" s="7"/>
      <c r="Z870" s="7"/>
    </row>
    <row r="871" spans="1:26" ht="9" customHeight="1" x14ac:dyDescent="0.2">
      <c r="A871" s="534"/>
      <c r="B871" s="534"/>
      <c r="C871" s="34" t="s">
        <v>37</v>
      </c>
      <c r="D871" s="35">
        <v>34</v>
      </c>
      <c r="E871" s="46">
        <v>41530571</v>
      </c>
      <c r="F871" s="36"/>
      <c r="G871" s="36"/>
      <c r="H871" s="46">
        <v>12361361</v>
      </c>
      <c r="I871" s="46">
        <v>280624</v>
      </c>
      <c r="J871" s="37">
        <v>4514375</v>
      </c>
      <c r="K871" s="46">
        <v>54172555</v>
      </c>
      <c r="L871" s="46">
        <v>58686930</v>
      </c>
      <c r="M871" s="39"/>
      <c r="N871" s="36">
        <v>54172555</v>
      </c>
      <c r="O871" s="36">
        <v>41811195</v>
      </c>
      <c r="P871" s="46">
        <v>5983074</v>
      </c>
      <c r="Q871" s="36">
        <v>66212941</v>
      </c>
      <c r="R871" s="7"/>
      <c r="S871" s="7"/>
      <c r="T871" s="7"/>
      <c r="U871" s="7"/>
      <c r="V871" s="7"/>
      <c r="W871" s="7"/>
      <c r="X871" s="7"/>
      <c r="Y871" s="7"/>
      <c r="Z871" s="7"/>
    </row>
    <row r="872" spans="1:26" ht="12.75" customHeight="1" x14ac:dyDescent="0.2">
      <c r="A872" s="534"/>
      <c r="B872" s="534"/>
      <c r="C872" s="40" t="s">
        <v>36</v>
      </c>
      <c r="D872" s="41">
        <v>35</v>
      </c>
      <c r="E872" s="30">
        <v>22803.34</v>
      </c>
      <c r="F872" s="30"/>
      <c r="G872" s="30"/>
      <c r="H872" s="30">
        <v>6384.11</v>
      </c>
      <c r="I872" s="30">
        <v>144.93</v>
      </c>
      <c r="J872" s="30">
        <v>2444.37</v>
      </c>
      <c r="K872" s="30">
        <v>29332.38</v>
      </c>
      <c r="L872" s="32">
        <v>31776.75</v>
      </c>
      <c r="M872" s="33"/>
      <c r="N872" s="30">
        <v>29332.38</v>
      </c>
      <c r="O872" s="30">
        <v>22948.27</v>
      </c>
      <c r="P872" s="30">
        <v>3090</v>
      </c>
      <c r="Q872" s="30">
        <v>35907.440000000002</v>
      </c>
      <c r="R872" s="7"/>
      <c r="S872" s="7"/>
      <c r="T872" s="7"/>
      <c r="U872" s="7"/>
      <c r="V872" s="7"/>
      <c r="W872" s="7"/>
      <c r="X872" s="7"/>
      <c r="Y872" s="7"/>
      <c r="Z872" s="7"/>
    </row>
    <row r="873" spans="1:26" ht="9" customHeight="1" x14ac:dyDescent="0.2">
      <c r="A873" s="535"/>
      <c r="B873" s="535"/>
      <c r="C873" s="47" t="s">
        <v>37</v>
      </c>
      <c r="D873" s="48"/>
      <c r="E873" s="46">
        <v>44153423</v>
      </c>
      <c r="F873" s="46"/>
      <c r="G873" s="46"/>
      <c r="H873" s="46">
        <v>12361361</v>
      </c>
      <c r="I873" s="46">
        <v>280624</v>
      </c>
      <c r="J873" s="46">
        <v>4732960</v>
      </c>
      <c r="K873" s="46">
        <v>56795407</v>
      </c>
      <c r="L873" s="46">
        <v>61528368</v>
      </c>
      <c r="M873" s="39"/>
      <c r="N873" s="46">
        <v>56795407</v>
      </c>
      <c r="O873" s="46">
        <v>44434047</v>
      </c>
      <c r="P873" s="46">
        <v>5983074</v>
      </c>
      <c r="Q873" s="46">
        <v>69526499</v>
      </c>
      <c r="R873" s="7"/>
      <c r="S873" s="7"/>
      <c r="T873" s="7"/>
      <c r="U873" s="7"/>
      <c r="V873" s="7"/>
      <c r="W873" s="7"/>
      <c r="X873" s="7"/>
      <c r="Y873" s="7"/>
      <c r="Z873" s="7"/>
    </row>
    <row r="874" spans="1:26" ht="9" customHeight="1" x14ac:dyDescent="0.2">
      <c r="A874" s="95"/>
      <c r="B874" s="95"/>
      <c r="C874" s="44"/>
      <c r="D874" s="45"/>
      <c r="E874" s="96"/>
      <c r="F874" s="96"/>
      <c r="G874" s="96"/>
      <c r="H874" s="96"/>
      <c r="I874" s="96"/>
      <c r="J874" s="54"/>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54"/>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54"/>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54"/>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54"/>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54"/>
      <c r="K879" s="96"/>
      <c r="L879" s="96"/>
      <c r="M879" s="39"/>
      <c r="N879" s="96"/>
      <c r="O879" s="96"/>
      <c r="P879" s="96"/>
      <c r="Q879" s="96"/>
      <c r="R879" s="7"/>
      <c r="S879" s="7"/>
      <c r="T879" s="7"/>
      <c r="U879" s="7"/>
      <c r="V879" s="7"/>
      <c r="W879" s="7"/>
      <c r="X879" s="7"/>
      <c r="Y879" s="7"/>
      <c r="Z879" s="7"/>
    </row>
    <row r="880" spans="1:26" ht="12.75" customHeight="1" x14ac:dyDescent="0.2">
      <c r="A880" s="538">
        <v>42370</v>
      </c>
      <c r="B880" s="538">
        <v>42735</v>
      </c>
      <c r="C880" s="28" t="s">
        <v>36</v>
      </c>
      <c r="D880" s="29">
        <v>0</v>
      </c>
      <c r="E880" s="30">
        <v>13015.79</v>
      </c>
      <c r="F880" s="30"/>
      <c r="G880" s="30"/>
      <c r="H880" s="30">
        <v>6384.11</v>
      </c>
      <c r="I880" s="30">
        <v>144.93</v>
      </c>
      <c r="J880" s="30">
        <v>1628.74</v>
      </c>
      <c r="K880" s="30">
        <v>19544.830000000002</v>
      </c>
      <c r="L880" s="32">
        <v>21173.57</v>
      </c>
      <c r="M880" s="33"/>
      <c r="N880" s="30">
        <v>19544.830000000002</v>
      </c>
      <c r="O880" s="30">
        <v>13160.72</v>
      </c>
      <c r="P880" s="30">
        <v>1968</v>
      </c>
      <c r="Q880" s="30">
        <v>23542.5</v>
      </c>
      <c r="R880" s="7"/>
      <c r="S880" s="7"/>
      <c r="T880" s="7"/>
      <c r="U880" s="7"/>
      <c r="V880" s="7"/>
      <c r="W880" s="7"/>
      <c r="X880" s="7"/>
      <c r="Y880" s="7"/>
      <c r="Z880" s="7"/>
    </row>
    <row r="881" spans="1:26" ht="9" customHeight="1" x14ac:dyDescent="0.2">
      <c r="A881" s="534"/>
      <c r="B881" s="534"/>
      <c r="C881" s="34" t="s">
        <v>37</v>
      </c>
      <c r="D881" s="35">
        <v>8</v>
      </c>
      <c r="E881" s="46">
        <v>25202084</v>
      </c>
      <c r="F881" s="36"/>
      <c r="G881" s="36"/>
      <c r="H881" s="46">
        <v>12361361</v>
      </c>
      <c r="I881" s="46">
        <v>280624</v>
      </c>
      <c r="J881" s="37">
        <v>3153680</v>
      </c>
      <c r="K881" s="46">
        <v>37844068</v>
      </c>
      <c r="L881" s="46">
        <v>40997748</v>
      </c>
      <c r="M881" s="39"/>
      <c r="N881" s="36">
        <v>37844068</v>
      </c>
      <c r="O881" s="36">
        <v>25482707</v>
      </c>
      <c r="P881" s="46">
        <v>3810579</v>
      </c>
      <c r="Q881" s="36">
        <v>45584636</v>
      </c>
      <c r="R881" s="7"/>
      <c r="S881" s="7"/>
      <c r="T881" s="7"/>
      <c r="U881" s="7"/>
      <c r="V881" s="7"/>
      <c r="W881" s="7"/>
      <c r="X881" s="7"/>
      <c r="Y881" s="7"/>
      <c r="Z881" s="7"/>
    </row>
    <row r="882" spans="1:26" ht="12.75" customHeight="1" x14ac:dyDescent="0.2">
      <c r="A882" s="533">
        <v>42370</v>
      </c>
      <c r="B882" s="533">
        <v>42735</v>
      </c>
      <c r="C882" s="40" t="s">
        <v>36</v>
      </c>
      <c r="D882" s="41">
        <v>9</v>
      </c>
      <c r="E882" s="30">
        <v>15153.97</v>
      </c>
      <c r="F882" s="30"/>
      <c r="G882" s="30"/>
      <c r="H882" s="30">
        <v>6384.11</v>
      </c>
      <c r="I882" s="30">
        <v>144.93</v>
      </c>
      <c r="J882" s="30">
        <v>1806.92</v>
      </c>
      <c r="K882" s="30">
        <v>21683.01</v>
      </c>
      <c r="L882" s="32">
        <v>23489.93</v>
      </c>
      <c r="M882" s="33"/>
      <c r="N882" s="30">
        <v>21683.01</v>
      </c>
      <c r="O882" s="30">
        <v>15298.9</v>
      </c>
      <c r="P882" s="30">
        <v>1968</v>
      </c>
      <c r="Q882" s="30">
        <v>26243.73</v>
      </c>
      <c r="R882" s="7"/>
      <c r="S882" s="7"/>
      <c r="T882" s="7"/>
      <c r="U882" s="7"/>
      <c r="V882" s="7"/>
      <c r="W882" s="7"/>
      <c r="X882" s="7"/>
      <c r="Y882" s="7"/>
      <c r="Z882" s="7"/>
    </row>
    <row r="883" spans="1:26" ht="9" customHeight="1" x14ac:dyDescent="0.2">
      <c r="A883" s="534"/>
      <c r="B883" s="534"/>
      <c r="C883" s="34" t="s">
        <v>37</v>
      </c>
      <c r="D883" s="35">
        <v>14</v>
      </c>
      <c r="E883" s="46">
        <v>29342177</v>
      </c>
      <c r="F883" s="36"/>
      <c r="G883" s="36"/>
      <c r="H883" s="46">
        <v>12361361</v>
      </c>
      <c r="I883" s="46">
        <v>280624</v>
      </c>
      <c r="J883" s="37">
        <v>3498685</v>
      </c>
      <c r="K883" s="46">
        <v>41984162</v>
      </c>
      <c r="L883" s="46">
        <v>45482847</v>
      </c>
      <c r="M883" s="39"/>
      <c r="N883" s="36">
        <v>41984162</v>
      </c>
      <c r="O883" s="36">
        <v>29622801</v>
      </c>
      <c r="P883" s="46">
        <v>3810579</v>
      </c>
      <c r="Q883" s="36">
        <v>50814947</v>
      </c>
      <c r="R883" s="7"/>
      <c r="S883" s="7"/>
      <c r="T883" s="7"/>
      <c r="U883" s="7"/>
      <c r="V883" s="7"/>
      <c r="W883" s="7"/>
      <c r="X883" s="7"/>
      <c r="Y883" s="7"/>
      <c r="Z883" s="7"/>
    </row>
    <row r="884" spans="1:26" ht="12.75" customHeight="1" x14ac:dyDescent="0.2">
      <c r="A884" s="534"/>
      <c r="B884" s="534"/>
      <c r="C884" s="40" t="s">
        <v>36</v>
      </c>
      <c r="D884" s="41">
        <v>15</v>
      </c>
      <c r="E884" s="30">
        <v>17040.3</v>
      </c>
      <c r="F884" s="30"/>
      <c r="G884" s="30"/>
      <c r="H884" s="30">
        <v>6384.11</v>
      </c>
      <c r="I884" s="30">
        <v>144.93</v>
      </c>
      <c r="J884" s="30">
        <v>1964.11</v>
      </c>
      <c r="K884" s="30">
        <v>23569.34</v>
      </c>
      <c r="L884" s="32">
        <v>25533.45</v>
      </c>
      <c r="M884" s="33"/>
      <c r="N884" s="30">
        <v>23569.34</v>
      </c>
      <c r="O884" s="30">
        <v>17185.23</v>
      </c>
      <c r="P884" s="30">
        <v>2424</v>
      </c>
      <c r="Q884" s="30">
        <v>28626.79</v>
      </c>
      <c r="R884" s="7"/>
      <c r="S884" s="7"/>
      <c r="T884" s="7"/>
      <c r="U884" s="7"/>
      <c r="V884" s="7"/>
      <c r="W884" s="7"/>
      <c r="X884" s="7"/>
      <c r="Y884" s="7"/>
      <c r="Z884" s="7"/>
    </row>
    <row r="885" spans="1:26" ht="9" customHeight="1" x14ac:dyDescent="0.2">
      <c r="A885" s="534"/>
      <c r="B885" s="534"/>
      <c r="C885" s="34" t="s">
        <v>37</v>
      </c>
      <c r="D885" s="35">
        <v>20</v>
      </c>
      <c r="E885" s="46">
        <v>32994622</v>
      </c>
      <c r="F885" s="36"/>
      <c r="G885" s="36"/>
      <c r="H885" s="46">
        <v>12361361</v>
      </c>
      <c r="I885" s="46">
        <v>280624</v>
      </c>
      <c r="J885" s="37">
        <v>3803047</v>
      </c>
      <c r="K885" s="46">
        <v>45636606</v>
      </c>
      <c r="L885" s="46">
        <v>49439653</v>
      </c>
      <c r="M885" s="39"/>
      <c r="N885" s="36">
        <v>45636606</v>
      </c>
      <c r="O885" s="36">
        <v>33275245</v>
      </c>
      <c r="P885" s="46">
        <v>4693518</v>
      </c>
      <c r="Q885" s="36">
        <v>55429195</v>
      </c>
      <c r="R885" s="7"/>
      <c r="S885" s="7"/>
      <c r="T885" s="7"/>
      <c r="U885" s="7"/>
      <c r="V885" s="7"/>
      <c r="W885" s="7"/>
      <c r="X885" s="7"/>
      <c r="Y885" s="7"/>
      <c r="Z885" s="7"/>
    </row>
    <row r="886" spans="1:26" ht="12.75" customHeight="1" x14ac:dyDescent="0.2">
      <c r="A886" s="534"/>
      <c r="B886" s="534"/>
      <c r="C886" s="40" t="s">
        <v>36</v>
      </c>
      <c r="D886" s="41">
        <v>21</v>
      </c>
      <c r="E886" s="30">
        <v>19767.490000000002</v>
      </c>
      <c r="F886" s="30"/>
      <c r="G886" s="30"/>
      <c r="H886" s="30">
        <v>6384.11</v>
      </c>
      <c r="I886" s="30">
        <v>144.93</v>
      </c>
      <c r="J886" s="30">
        <v>2191.38</v>
      </c>
      <c r="K886" s="30">
        <v>26296.53</v>
      </c>
      <c r="L886" s="32">
        <v>28487.91</v>
      </c>
      <c r="M886" s="33"/>
      <c r="N886" s="30">
        <v>26296.53</v>
      </c>
      <c r="O886" s="30">
        <v>19912.419999999998</v>
      </c>
      <c r="P886" s="30">
        <v>2424</v>
      </c>
      <c r="Q886" s="30">
        <v>32072.15</v>
      </c>
      <c r="R886" s="7"/>
      <c r="S886" s="7"/>
      <c r="T886" s="7"/>
      <c r="U886" s="7"/>
      <c r="V886" s="7"/>
      <c r="W886" s="7"/>
      <c r="X886" s="7"/>
      <c r="Y886" s="7"/>
      <c r="Z886" s="7"/>
    </row>
    <row r="887" spans="1:26" ht="9" customHeight="1" x14ac:dyDescent="0.2">
      <c r="A887" s="534"/>
      <c r="B887" s="534"/>
      <c r="C887" s="34" t="s">
        <v>37</v>
      </c>
      <c r="D887" s="35">
        <v>27</v>
      </c>
      <c r="E887" s="46">
        <v>38275198</v>
      </c>
      <c r="F887" s="36"/>
      <c r="G887" s="36"/>
      <c r="H887" s="46">
        <v>12361361</v>
      </c>
      <c r="I887" s="46">
        <v>280624</v>
      </c>
      <c r="J887" s="37">
        <v>4243103</v>
      </c>
      <c r="K887" s="46">
        <v>50917182</v>
      </c>
      <c r="L887" s="46">
        <v>55160285</v>
      </c>
      <c r="M887" s="39"/>
      <c r="N887" s="36">
        <v>50917182</v>
      </c>
      <c r="O887" s="36">
        <v>38555821</v>
      </c>
      <c r="P887" s="46">
        <v>4693518</v>
      </c>
      <c r="Q887" s="36">
        <v>62100342</v>
      </c>
      <c r="R887" s="7"/>
      <c r="S887" s="7"/>
      <c r="T887" s="7"/>
      <c r="U887" s="7"/>
      <c r="V887" s="7"/>
      <c r="W887" s="7"/>
      <c r="X887" s="7"/>
      <c r="Y887" s="7"/>
      <c r="Z887" s="7"/>
    </row>
    <row r="888" spans="1:26" ht="12.75" customHeight="1" x14ac:dyDescent="0.2">
      <c r="A888" s="534"/>
      <c r="B888" s="534"/>
      <c r="C888" s="40" t="s">
        <v>36</v>
      </c>
      <c r="D888" s="41">
        <v>28</v>
      </c>
      <c r="E888" s="30">
        <v>21557.95</v>
      </c>
      <c r="F888" s="30"/>
      <c r="G888" s="30"/>
      <c r="H888" s="30">
        <v>6384.11</v>
      </c>
      <c r="I888" s="30">
        <v>144.93</v>
      </c>
      <c r="J888" s="30">
        <v>2340.58</v>
      </c>
      <c r="K888" s="30">
        <v>28086.99</v>
      </c>
      <c r="L888" s="32">
        <v>30427.57</v>
      </c>
      <c r="M888" s="33"/>
      <c r="N888" s="30">
        <v>28086.99</v>
      </c>
      <c r="O888" s="30">
        <v>21702.880000000001</v>
      </c>
      <c r="P888" s="30">
        <v>3090</v>
      </c>
      <c r="Q888" s="30">
        <v>34334.089999999997</v>
      </c>
      <c r="R888" s="7"/>
      <c r="S888" s="7"/>
      <c r="T888" s="7"/>
      <c r="U888" s="7"/>
      <c r="V888" s="7"/>
      <c r="W888" s="7"/>
      <c r="X888" s="7"/>
      <c r="Y888" s="7"/>
      <c r="Z888" s="7"/>
    </row>
    <row r="889" spans="1:26" ht="9" customHeight="1" x14ac:dyDescent="0.2">
      <c r="A889" s="534"/>
      <c r="B889" s="534"/>
      <c r="C889" s="34" t="s">
        <v>37</v>
      </c>
      <c r="D889" s="35">
        <v>34</v>
      </c>
      <c r="E889" s="46">
        <v>41742012</v>
      </c>
      <c r="F889" s="36"/>
      <c r="G889" s="36"/>
      <c r="H889" s="46">
        <v>12361361</v>
      </c>
      <c r="I889" s="46">
        <v>280624</v>
      </c>
      <c r="J889" s="37">
        <v>4531995</v>
      </c>
      <c r="K889" s="46">
        <v>54383996</v>
      </c>
      <c r="L889" s="46">
        <v>58915991</v>
      </c>
      <c r="M889" s="39"/>
      <c r="N889" s="36">
        <v>54383996</v>
      </c>
      <c r="O889" s="36">
        <v>42022635</v>
      </c>
      <c r="P889" s="46">
        <v>5983074</v>
      </c>
      <c r="Q889" s="36">
        <v>66480068</v>
      </c>
      <c r="R889" s="7"/>
      <c r="S889" s="7"/>
      <c r="T889" s="7"/>
      <c r="U889" s="7"/>
      <c r="V889" s="7"/>
      <c r="W889" s="7"/>
      <c r="X889" s="7"/>
      <c r="Y889" s="7"/>
      <c r="Z889" s="7"/>
    </row>
    <row r="890" spans="1:26" ht="12.75" customHeight="1" x14ac:dyDescent="0.2">
      <c r="A890" s="534"/>
      <c r="B890" s="534"/>
      <c r="C890" s="40" t="s">
        <v>36</v>
      </c>
      <c r="D890" s="41">
        <v>35</v>
      </c>
      <c r="E890" s="30">
        <v>22918.54</v>
      </c>
      <c r="F890" s="30"/>
      <c r="G890" s="30"/>
      <c r="H890" s="30">
        <v>6384.11</v>
      </c>
      <c r="I890" s="30">
        <v>144.93</v>
      </c>
      <c r="J890" s="30">
        <v>2453.9699999999998</v>
      </c>
      <c r="K890" s="30">
        <v>29447.58</v>
      </c>
      <c r="L890" s="32">
        <v>31901.55</v>
      </c>
      <c r="M890" s="33"/>
      <c r="N890" s="30">
        <v>29447.58</v>
      </c>
      <c r="O890" s="30">
        <v>23063.47</v>
      </c>
      <c r="P890" s="30">
        <v>3090</v>
      </c>
      <c r="Q890" s="30">
        <v>36052.97</v>
      </c>
      <c r="R890" s="7"/>
      <c r="S890" s="7"/>
      <c r="T890" s="7"/>
      <c r="U890" s="7"/>
      <c r="V890" s="7"/>
      <c r="W890" s="7"/>
      <c r="X890" s="7"/>
      <c r="Y890" s="7"/>
      <c r="Z890" s="7"/>
    </row>
    <row r="891" spans="1:26" ht="9" customHeight="1" x14ac:dyDescent="0.2">
      <c r="A891" s="535"/>
      <c r="B891" s="535"/>
      <c r="C891" s="47" t="s">
        <v>37</v>
      </c>
      <c r="D891" s="48"/>
      <c r="E891" s="46">
        <v>44376481</v>
      </c>
      <c r="F891" s="36"/>
      <c r="G891" s="36"/>
      <c r="H891" s="46">
        <v>12361361</v>
      </c>
      <c r="I891" s="46">
        <v>280624</v>
      </c>
      <c r="J891" s="46">
        <v>4751548</v>
      </c>
      <c r="K891" s="46">
        <v>57018466</v>
      </c>
      <c r="L891" s="46">
        <v>61770014</v>
      </c>
      <c r="M891" s="39"/>
      <c r="N891" s="46">
        <v>57018466</v>
      </c>
      <c r="O891" s="46">
        <v>44657105</v>
      </c>
      <c r="P891" s="46">
        <v>5983074</v>
      </c>
      <c r="Q891" s="46">
        <v>69808284</v>
      </c>
      <c r="R891" s="7"/>
      <c r="S891" s="7"/>
      <c r="T891" s="7"/>
      <c r="U891" s="7"/>
      <c r="V891" s="7"/>
      <c r="W891" s="7"/>
      <c r="X891" s="7"/>
      <c r="Y891" s="7"/>
      <c r="Z891" s="7"/>
    </row>
    <row r="892" spans="1:26" ht="9" customHeight="1" x14ac:dyDescent="0.2">
      <c r="A892" s="95"/>
      <c r="B892" s="95"/>
      <c r="C892" s="44"/>
      <c r="D892" s="45"/>
      <c r="E892" s="96"/>
      <c r="F892" s="96"/>
      <c r="G892" s="96"/>
      <c r="H892" s="96"/>
      <c r="I892" s="96"/>
      <c r="J892" s="54"/>
      <c r="K892" s="96"/>
      <c r="L892" s="96"/>
      <c r="M892" s="39"/>
      <c r="N892" s="96"/>
      <c r="O892" s="96"/>
      <c r="P892" s="96"/>
      <c r="Q892" s="96"/>
      <c r="R892" s="7"/>
      <c r="S892" s="7"/>
      <c r="T892" s="7"/>
      <c r="U892" s="7"/>
      <c r="V892" s="7"/>
      <c r="W892" s="7"/>
      <c r="X892" s="7"/>
      <c r="Y892" s="7"/>
      <c r="Z892" s="7"/>
    </row>
    <row r="893" spans="1:26" ht="9" customHeight="1" x14ac:dyDescent="0.2">
      <c r="A893" s="95"/>
      <c r="B893" s="95"/>
      <c r="C893" s="44"/>
      <c r="D893" s="45"/>
      <c r="E893" s="96"/>
      <c r="F893" s="96"/>
      <c r="G893" s="96"/>
      <c r="H893" s="96"/>
      <c r="I893" s="96"/>
      <c r="J893" s="54"/>
      <c r="K893" s="96"/>
      <c r="L893" s="96"/>
      <c r="M893" s="39"/>
      <c r="N893" s="96"/>
      <c r="O893" s="96"/>
      <c r="P893" s="96"/>
      <c r="Q893" s="96"/>
      <c r="R893" s="7"/>
      <c r="S893" s="7"/>
      <c r="T893" s="7"/>
      <c r="U893" s="7"/>
      <c r="V893" s="7"/>
      <c r="W893" s="7"/>
      <c r="X893" s="7"/>
      <c r="Y893" s="7"/>
      <c r="Z893" s="7"/>
    </row>
    <row r="894" spans="1:26" ht="9" customHeight="1" x14ac:dyDescent="0.2">
      <c r="A894" s="95"/>
      <c r="B894" s="95"/>
      <c r="C894" s="44"/>
      <c r="D894" s="45"/>
      <c r="E894" s="96"/>
      <c r="F894" s="96"/>
      <c r="G894" s="96"/>
      <c r="H894" s="96"/>
      <c r="I894" s="96"/>
      <c r="J894" s="54"/>
      <c r="K894" s="96"/>
      <c r="L894" s="96"/>
      <c r="M894" s="39"/>
      <c r="N894" s="96"/>
      <c r="O894" s="96"/>
      <c r="P894" s="96"/>
      <c r="Q894" s="96"/>
      <c r="R894" s="7"/>
      <c r="S894" s="7"/>
      <c r="T894" s="7"/>
      <c r="U894" s="7"/>
      <c r="V894" s="7"/>
      <c r="W894" s="7"/>
      <c r="X894" s="7"/>
      <c r="Y894" s="7"/>
      <c r="Z894" s="7"/>
    </row>
    <row r="895" spans="1:26" ht="9" customHeight="1" x14ac:dyDescent="0.2">
      <c r="A895" s="95"/>
      <c r="B895" s="95"/>
      <c r="C895" s="44"/>
      <c r="D895" s="45"/>
      <c r="E895" s="96"/>
      <c r="F895" s="96"/>
      <c r="G895" s="96"/>
      <c r="H895" s="96"/>
      <c r="I895" s="96"/>
      <c r="J895" s="54"/>
      <c r="K895" s="96"/>
      <c r="L895" s="96"/>
      <c r="M895" s="39"/>
      <c r="N895" s="96"/>
      <c r="O895" s="96"/>
      <c r="P895" s="96"/>
      <c r="Q895" s="96"/>
      <c r="R895" s="7"/>
      <c r="S895" s="7"/>
      <c r="T895" s="7"/>
      <c r="U895" s="7"/>
      <c r="V895" s="7"/>
      <c r="W895" s="7"/>
      <c r="X895" s="7"/>
      <c r="Y895" s="7"/>
      <c r="Z895" s="7"/>
    </row>
    <row r="896" spans="1:26" ht="9" customHeight="1" x14ac:dyDescent="0.2">
      <c r="A896" s="95"/>
      <c r="B896" s="95"/>
      <c r="C896" s="44"/>
      <c r="D896" s="45"/>
      <c r="E896" s="96"/>
      <c r="F896" s="96"/>
      <c r="G896" s="96"/>
      <c r="H896" s="96"/>
      <c r="I896" s="96"/>
      <c r="J896" s="54"/>
      <c r="K896" s="96"/>
      <c r="L896" s="96"/>
      <c r="M896" s="39"/>
      <c r="N896" s="96"/>
      <c r="O896" s="96"/>
      <c r="P896" s="96"/>
      <c r="Q896" s="96"/>
      <c r="R896" s="7"/>
      <c r="S896" s="7"/>
      <c r="T896" s="7"/>
      <c r="U896" s="7"/>
      <c r="V896" s="7"/>
      <c r="W896" s="7"/>
      <c r="X896" s="7"/>
      <c r="Y896" s="7"/>
      <c r="Z896" s="7"/>
    </row>
    <row r="897" spans="1:26" ht="9" customHeight="1" x14ac:dyDescent="0.2">
      <c r="A897" s="95"/>
      <c r="B897" s="95"/>
      <c r="C897" s="44"/>
      <c r="D897" s="45"/>
      <c r="E897" s="96"/>
      <c r="F897" s="96"/>
      <c r="G897" s="96"/>
      <c r="H897" s="96"/>
      <c r="I897" s="96"/>
      <c r="J897" s="54"/>
      <c r="K897" s="96"/>
      <c r="L897" s="96"/>
      <c r="M897" s="39"/>
      <c r="N897" s="96"/>
      <c r="O897" s="96"/>
      <c r="P897" s="96"/>
      <c r="Q897" s="96"/>
      <c r="R897" s="7"/>
      <c r="S897" s="7"/>
      <c r="T897" s="7"/>
      <c r="U897" s="7"/>
      <c r="V897" s="7"/>
      <c r="W897" s="7"/>
      <c r="X897" s="7"/>
      <c r="Y897" s="7"/>
      <c r="Z897" s="7"/>
    </row>
    <row r="898" spans="1:26" ht="9" customHeight="1" x14ac:dyDescent="0.2">
      <c r="A898" s="95"/>
      <c r="B898" s="95"/>
      <c r="C898" s="44"/>
      <c r="D898" s="45"/>
      <c r="E898" s="96"/>
      <c r="F898" s="96"/>
      <c r="G898" s="96"/>
      <c r="H898" s="96"/>
      <c r="I898" s="96"/>
      <c r="J898" s="54"/>
      <c r="K898" s="96"/>
      <c r="L898" s="96"/>
      <c r="M898" s="39"/>
      <c r="N898" s="96"/>
      <c r="O898" s="96"/>
      <c r="P898" s="96"/>
      <c r="Q898" s="96"/>
      <c r="R898" s="7"/>
      <c r="S898" s="7"/>
      <c r="T898" s="7"/>
      <c r="U898" s="7"/>
      <c r="V898" s="7"/>
      <c r="W898" s="7"/>
      <c r="X898" s="7"/>
      <c r="Y898" s="7"/>
      <c r="Z898" s="7"/>
    </row>
    <row r="899" spans="1:26" ht="9" customHeight="1" x14ac:dyDescent="0.2">
      <c r="A899" s="95"/>
      <c r="B899" s="95"/>
      <c r="C899" s="44"/>
      <c r="D899" s="45"/>
      <c r="E899" s="96"/>
      <c r="F899" s="96"/>
      <c r="G899" s="96"/>
      <c r="H899" s="96"/>
      <c r="I899" s="96"/>
      <c r="J899" s="54"/>
      <c r="K899" s="96"/>
      <c r="L899" s="96"/>
      <c r="M899" s="39"/>
      <c r="N899" s="96"/>
      <c r="O899" s="96"/>
      <c r="P899" s="96"/>
      <c r="Q899" s="96"/>
      <c r="R899" s="7"/>
      <c r="S899" s="7"/>
      <c r="T899" s="7"/>
      <c r="U899" s="7"/>
      <c r="V899" s="7"/>
      <c r="W899" s="7"/>
      <c r="X899" s="7"/>
      <c r="Y899" s="7"/>
      <c r="Z899" s="7"/>
    </row>
    <row r="900" spans="1:26" s="7" customFormat="1" ht="12.75" customHeight="1" x14ac:dyDescent="0.2">
      <c r="A900" s="522">
        <v>42736</v>
      </c>
      <c r="B900" s="522">
        <v>43159</v>
      </c>
      <c r="C900" s="57" t="s">
        <v>36</v>
      </c>
      <c r="D900" s="58">
        <v>0</v>
      </c>
      <c r="E900" s="59">
        <v>13170.59</v>
      </c>
      <c r="F900" s="59"/>
      <c r="G900" s="59"/>
      <c r="H900" s="59">
        <v>6384.11</v>
      </c>
      <c r="I900" s="59">
        <v>144.93</v>
      </c>
      <c r="J900" s="59">
        <v>1641.64</v>
      </c>
      <c r="K900" s="59">
        <v>19699.63</v>
      </c>
      <c r="L900" s="60">
        <v>21341.27</v>
      </c>
      <c r="M900" s="33"/>
      <c r="N900" s="59">
        <v>19699.63</v>
      </c>
      <c r="O900" s="59">
        <v>13315.52</v>
      </c>
      <c r="P900" s="59">
        <v>1968</v>
      </c>
      <c r="Q900" s="59">
        <v>23738.06</v>
      </c>
      <c r="R900" s="59">
        <v>22096.42</v>
      </c>
    </row>
    <row r="901" spans="1:26" s="7" customFormat="1" ht="9" customHeight="1" x14ac:dyDescent="0.2">
      <c r="A901" s="523"/>
      <c r="B901" s="523"/>
      <c r="C901" s="62" t="s">
        <v>37</v>
      </c>
      <c r="D901" s="63">
        <v>8</v>
      </c>
      <c r="E901" s="64">
        <v>25501818</v>
      </c>
      <c r="F901" s="65"/>
      <c r="G901" s="65"/>
      <c r="H901" s="64">
        <v>12361361</v>
      </c>
      <c r="I901" s="64">
        <v>280624</v>
      </c>
      <c r="J901" s="66">
        <v>3178658</v>
      </c>
      <c r="K901" s="64">
        <v>38143803</v>
      </c>
      <c r="L901" s="64">
        <v>41322461</v>
      </c>
      <c r="M901" s="39"/>
      <c r="N901" s="65">
        <v>38143803</v>
      </c>
      <c r="O901" s="65">
        <v>25782442</v>
      </c>
      <c r="P901" s="64">
        <v>3810579</v>
      </c>
      <c r="Q901" s="65">
        <v>45963293</v>
      </c>
      <c r="R901" s="65">
        <v>42784635</v>
      </c>
    </row>
    <row r="902" spans="1:26" s="7" customFormat="1" ht="12.75" customHeight="1" x14ac:dyDescent="0.2">
      <c r="A902" s="536">
        <v>42736</v>
      </c>
      <c r="B902" s="536">
        <v>43159</v>
      </c>
      <c r="C902" s="68" t="s">
        <v>36</v>
      </c>
      <c r="D902" s="69">
        <v>9</v>
      </c>
      <c r="E902" s="59">
        <v>15325.57</v>
      </c>
      <c r="F902" s="59"/>
      <c r="G902" s="59"/>
      <c r="H902" s="59">
        <v>6384.11</v>
      </c>
      <c r="I902" s="59">
        <v>144.93</v>
      </c>
      <c r="J902" s="59">
        <v>1821.22</v>
      </c>
      <c r="K902" s="59">
        <v>21854.61</v>
      </c>
      <c r="L902" s="60">
        <v>23675.83</v>
      </c>
      <c r="M902" s="33"/>
      <c r="N902" s="59">
        <v>21854.61</v>
      </c>
      <c r="O902" s="59">
        <v>15470.5</v>
      </c>
      <c r="P902" s="59">
        <v>1968</v>
      </c>
      <c r="Q902" s="59">
        <v>26460.52</v>
      </c>
      <c r="R902" s="59">
        <v>24639.3</v>
      </c>
    </row>
    <row r="903" spans="1:26" s="7" customFormat="1" ht="9" customHeight="1" x14ac:dyDescent="0.2">
      <c r="A903" s="536"/>
      <c r="B903" s="536"/>
      <c r="C903" s="62" t="s">
        <v>37</v>
      </c>
      <c r="D903" s="63">
        <v>14</v>
      </c>
      <c r="E903" s="64">
        <v>29674441</v>
      </c>
      <c r="F903" s="65"/>
      <c r="G903" s="65"/>
      <c r="H903" s="64">
        <v>12361361</v>
      </c>
      <c r="I903" s="64">
        <v>280624</v>
      </c>
      <c r="J903" s="66">
        <v>3526374</v>
      </c>
      <c r="K903" s="64">
        <v>42316426</v>
      </c>
      <c r="L903" s="64">
        <v>45842799</v>
      </c>
      <c r="M903" s="39"/>
      <c r="N903" s="65">
        <v>42316426</v>
      </c>
      <c r="O903" s="65">
        <v>29955065</v>
      </c>
      <c r="P903" s="64">
        <v>3810579</v>
      </c>
      <c r="Q903" s="65">
        <v>51234711</v>
      </c>
      <c r="R903" s="65">
        <v>47708337</v>
      </c>
    </row>
    <row r="904" spans="1:26" s="7" customFormat="1" ht="12.75" customHeight="1" x14ac:dyDescent="0.2">
      <c r="A904" s="536"/>
      <c r="B904" s="536"/>
      <c r="C904" s="68" t="s">
        <v>36</v>
      </c>
      <c r="D904" s="69">
        <v>15</v>
      </c>
      <c r="E904" s="59">
        <v>17225.099999999999</v>
      </c>
      <c r="F904" s="59"/>
      <c r="G904" s="59"/>
      <c r="H904" s="59">
        <v>6384.11</v>
      </c>
      <c r="I904" s="59">
        <v>144.93</v>
      </c>
      <c r="J904" s="59">
        <v>1979.51</v>
      </c>
      <c r="K904" s="59">
        <v>23754.14</v>
      </c>
      <c r="L904" s="60">
        <v>25733.65</v>
      </c>
      <c r="M904" s="33"/>
      <c r="N904" s="59">
        <v>23754.14</v>
      </c>
      <c r="O904" s="59">
        <v>17370.03</v>
      </c>
      <c r="P904" s="59">
        <v>2424</v>
      </c>
      <c r="Q904" s="59">
        <v>28860.26</v>
      </c>
      <c r="R904" s="59">
        <v>26880.75</v>
      </c>
    </row>
    <row r="905" spans="1:26" s="7" customFormat="1" ht="9" customHeight="1" x14ac:dyDescent="0.2">
      <c r="A905" s="536"/>
      <c r="B905" s="536"/>
      <c r="C905" s="62" t="s">
        <v>37</v>
      </c>
      <c r="D905" s="63">
        <v>20</v>
      </c>
      <c r="E905" s="64">
        <v>33352444</v>
      </c>
      <c r="F905" s="65"/>
      <c r="G905" s="65"/>
      <c r="H905" s="64">
        <v>12361361</v>
      </c>
      <c r="I905" s="64">
        <v>280624</v>
      </c>
      <c r="J905" s="66">
        <v>3832866</v>
      </c>
      <c r="K905" s="64">
        <v>45994429</v>
      </c>
      <c r="L905" s="64">
        <v>49827294</v>
      </c>
      <c r="M905" s="39"/>
      <c r="N905" s="65">
        <v>45994429</v>
      </c>
      <c r="O905" s="65">
        <v>33633068</v>
      </c>
      <c r="P905" s="64">
        <v>4693518</v>
      </c>
      <c r="Q905" s="65">
        <v>55881256</v>
      </c>
      <c r="R905" s="65">
        <v>52048390</v>
      </c>
    </row>
    <row r="906" spans="1:26" s="7" customFormat="1" ht="12.75" customHeight="1" x14ac:dyDescent="0.2">
      <c r="A906" s="536"/>
      <c r="B906" s="536"/>
      <c r="C906" s="68" t="s">
        <v>36</v>
      </c>
      <c r="D906" s="69">
        <v>21</v>
      </c>
      <c r="E906" s="59">
        <v>19975.09</v>
      </c>
      <c r="F906" s="59"/>
      <c r="G906" s="59"/>
      <c r="H906" s="59">
        <v>6384.11</v>
      </c>
      <c r="I906" s="59">
        <v>144.93</v>
      </c>
      <c r="J906" s="59">
        <v>2208.6799999999998</v>
      </c>
      <c r="K906" s="59">
        <v>26504.13</v>
      </c>
      <c r="L906" s="60">
        <v>28712.81</v>
      </c>
      <c r="M906" s="33"/>
      <c r="N906" s="59">
        <v>26504.13</v>
      </c>
      <c r="O906" s="59">
        <v>20120.02</v>
      </c>
      <c r="P906" s="59">
        <v>2424</v>
      </c>
      <c r="Q906" s="59">
        <v>32334.41</v>
      </c>
      <c r="R906" s="59">
        <v>30125.73</v>
      </c>
    </row>
    <row r="907" spans="1:26" s="7" customFormat="1" ht="9" customHeight="1" x14ac:dyDescent="0.2">
      <c r="A907" s="536"/>
      <c r="B907" s="536"/>
      <c r="C907" s="62" t="s">
        <v>37</v>
      </c>
      <c r="D907" s="63">
        <v>27</v>
      </c>
      <c r="E907" s="64">
        <v>38677168</v>
      </c>
      <c r="F907" s="65"/>
      <c r="G907" s="65"/>
      <c r="H907" s="64">
        <v>12361361</v>
      </c>
      <c r="I907" s="64">
        <v>280624</v>
      </c>
      <c r="J907" s="66">
        <v>4276601</v>
      </c>
      <c r="K907" s="64">
        <v>51319152</v>
      </c>
      <c r="L907" s="64">
        <v>55595753</v>
      </c>
      <c r="M907" s="39"/>
      <c r="N907" s="65">
        <v>51319152</v>
      </c>
      <c r="O907" s="65">
        <v>38957791</v>
      </c>
      <c r="P907" s="64">
        <v>4693518</v>
      </c>
      <c r="Q907" s="65">
        <v>62608148</v>
      </c>
      <c r="R907" s="65">
        <v>58331547</v>
      </c>
    </row>
    <row r="908" spans="1:26" s="7" customFormat="1" ht="12.75" customHeight="1" x14ac:dyDescent="0.2">
      <c r="A908" s="536"/>
      <c r="B908" s="536"/>
      <c r="C908" s="68" t="s">
        <v>36</v>
      </c>
      <c r="D908" s="69">
        <v>28</v>
      </c>
      <c r="E908" s="59">
        <v>21779.95</v>
      </c>
      <c r="F908" s="59"/>
      <c r="G908" s="59"/>
      <c r="H908" s="59">
        <v>6384.11</v>
      </c>
      <c r="I908" s="59">
        <v>144.93</v>
      </c>
      <c r="J908" s="59">
        <v>2359.08</v>
      </c>
      <c r="K908" s="59">
        <v>28308.99</v>
      </c>
      <c r="L908" s="60">
        <v>30668.07</v>
      </c>
      <c r="M908" s="33"/>
      <c r="N908" s="59">
        <v>28308.99</v>
      </c>
      <c r="O908" s="59">
        <v>21924.880000000001</v>
      </c>
      <c r="P908" s="59">
        <v>3090</v>
      </c>
      <c r="Q908" s="59">
        <v>34614.550000000003</v>
      </c>
      <c r="R908" s="59">
        <v>32255.47</v>
      </c>
    </row>
    <row r="909" spans="1:26" s="7" customFormat="1" ht="9" customHeight="1" x14ac:dyDescent="0.2">
      <c r="A909" s="536"/>
      <c r="B909" s="536"/>
      <c r="C909" s="62" t="s">
        <v>37</v>
      </c>
      <c r="D909" s="63">
        <v>34</v>
      </c>
      <c r="E909" s="64">
        <v>42171864</v>
      </c>
      <c r="F909" s="65"/>
      <c r="G909" s="65"/>
      <c r="H909" s="64">
        <v>12361361</v>
      </c>
      <c r="I909" s="64">
        <v>280624</v>
      </c>
      <c r="J909" s="66">
        <v>4567816</v>
      </c>
      <c r="K909" s="64">
        <v>54813848</v>
      </c>
      <c r="L909" s="64">
        <v>59381664</v>
      </c>
      <c r="M909" s="39"/>
      <c r="N909" s="65">
        <v>54813848</v>
      </c>
      <c r="O909" s="65">
        <v>42452487</v>
      </c>
      <c r="P909" s="64">
        <v>5983074</v>
      </c>
      <c r="Q909" s="65">
        <v>67023115</v>
      </c>
      <c r="R909" s="65">
        <v>62455299</v>
      </c>
    </row>
    <row r="910" spans="1:26" s="7" customFormat="1" ht="12.75" customHeight="1" x14ac:dyDescent="0.2">
      <c r="A910" s="536"/>
      <c r="B910" s="536"/>
      <c r="C910" s="68" t="s">
        <v>36</v>
      </c>
      <c r="D910" s="69">
        <v>35</v>
      </c>
      <c r="E910" s="59">
        <v>23151.34</v>
      </c>
      <c r="F910" s="59"/>
      <c r="G910" s="59"/>
      <c r="H910" s="59">
        <v>6384.11</v>
      </c>
      <c r="I910" s="59">
        <v>144.93</v>
      </c>
      <c r="J910" s="59">
        <v>2473.37</v>
      </c>
      <c r="K910" s="59">
        <v>29680.38</v>
      </c>
      <c r="L910" s="60">
        <v>32153.75</v>
      </c>
      <c r="M910" s="33"/>
      <c r="N910" s="59">
        <v>29680.38</v>
      </c>
      <c r="O910" s="59">
        <v>23296.27</v>
      </c>
      <c r="P910" s="59">
        <v>3090</v>
      </c>
      <c r="Q910" s="59">
        <v>36347.08</v>
      </c>
      <c r="R910" s="59">
        <v>33873.71</v>
      </c>
    </row>
    <row r="911" spans="1:26" s="7" customFormat="1" ht="9" customHeight="1" x14ac:dyDescent="0.2">
      <c r="A911" s="537"/>
      <c r="B911" s="537"/>
      <c r="C911" s="71" t="s">
        <v>37</v>
      </c>
      <c r="D911" s="72"/>
      <c r="E911" s="64">
        <v>44827245</v>
      </c>
      <c r="F911" s="64"/>
      <c r="G911" s="64"/>
      <c r="H911" s="64">
        <v>12361361</v>
      </c>
      <c r="I911" s="64">
        <v>280624</v>
      </c>
      <c r="J911" s="64">
        <v>4789112</v>
      </c>
      <c r="K911" s="64">
        <v>57469229</v>
      </c>
      <c r="L911" s="64">
        <v>62258342</v>
      </c>
      <c r="M911" s="39"/>
      <c r="N911" s="64">
        <v>57469229</v>
      </c>
      <c r="O911" s="64">
        <v>45107869</v>
      </c>
      <c r="P911" s="64">
        <v>5983074</v>
      </c>
      <c r="Q911" s="64">
        <v>70377761</v>
      </c>
      <c r="R911" s="65">
        <v>65588648</v>
      </c>
    </row>
    <row r="912" spans="1:26" ht="9" customHeight="1" x14ac:dyDescent="0.2">
      <c r="A912" s="95"/>
      <c r="B912" s="95"/>
      <c r="C912" s="44"/>
      <c r="D912" s="45"/>
      <c r="E912" s="96"/>
      <c r="F912" s="96"/>
      <c r="G912" s="96"/>
      <c r="H912" s="96"/>
      <c r="I912" s="96"/>
      <c r="J912" s="54"/>
      <c r="K912" s="96"/>
      <c r="L912" s="96"/>
      <c r="M912" s="39"/>
      <c r="N912" s="96"/>
      <c r="O912" s="96"/>
      <c r="P912" s="96"/>
      <c r="Q912" s="96"/>
      <c r="R912" s="7"/>
      <c r="S912" s="7"/>
      <c r="T912" s="7"/>
      <c r="U912" s="7"/>
      <c r="V912" s="7"/>
      <c r="W912" s="7"/>
      <c r="X912" s="7"/>
      <c r="Y912" s="7"/>
      <c r="Z912" s="7"/>
    </row>
    <row r="913" spans="1:26" ht="9" customHeight="1" x14ac:dyDescent="0.2">
      <c r="A913" s="95"/>
      <c r="B913" s="95"/>
      <c r="C913" s="44"/>
      <c r="D913" s="45"/>
      <c r="E913" s="96"/>
      <c r="F913" s="96"/>
      <c r="G913" s="96"/>
      <c r="H913" s="96"/>
      <c r="I913" s="96"/>
      <c r="J913" s="54"/>
      <c r="K913" s="96"/>
      <c r="L913" s="96"/>
      <c r="M913" s="39"/>
      <c r="N913" s="96"/>
      <c r="O913" s="96"/>
      <c r="P913" s="96"/>
      <c r="Q913" s="96"/>
      <c r="R913" s="7"/>
      <c r="S913" s="7"/>
      <c r="T913" s="7"/>
      <c r="U913" s="7"/>
      <c r="V913" s="7"/>
      <c r="W913" s="7"/>
      <c r="X913" s="7"/>
      <c r="Y913" s="7"/>
      <c r="Z913" s="7"/>
    </row>
    <row r="914" spans="1:26" ht="9" customHeight="1" x14ac:dyDescent="0.2">
      <c r="A914" s="95"/>
      <c r="B914" s="95"/>
      <c r="C914" s="44"/>
      <c r="D914" s="45"/>
      <c r="E914" s="96"/>
      <c r="F914" s="96"/>
      <c r="G914" s="96"/>
      <c r="H914" s="96"/>
      <c r="I914" s="96"/>
      <c r="J914" s="54"/>
      <c r="K914" s="96"/>
      <c r="L914" s="96"/>
      <c r="M914" s="39"/>
      <c r="N914" s="96"/>
      <c r="O914" s="96"/>
      <c r="P914" s="96"/>
      <c r="Q914" s="96"/>
      <c r="R914" s="7"/>
      <c r="S914" s="7"/>
      <c r="T914" s="7"/>
      <c r="U914" s="7"/>
      <c r="V914" s="7"/>
      <c r="W914" s="7"/>
      <c r="X914" s="7"/>
      <c r="Y914" s="7"/>
      <c r="Z914" s="7"/>
    </row>
    <row r="915" spans="1:26" ht="9" customHeight="1" x14ac:dyDescent="0.2">
      <c r="A915" s="95"/>
      <c r="B915" s="95"/>
      <c r="C915" s="44"/>
      <c r="D915" s="45"/>
      <c r="E915" s="96"/>
      <c r="F915" s="96"/>
      <c r="G915" s="96"/>
      <c r="H915" s="96"/>
      <c r="I915" s="96"/>
      <c r="J915" s="54"/>
      <c r="K915" s="96"/>
      <c r="L915" s="96"/>
      <c r="M915" s="39"/>
      <c r="N915" s="96"/>
      <c r="O915" s="96"/>
      <c r="P915" s="96"/>
      <c r="Q915" s="96"/>
      <c r="R915" s="7"/>
      <c r="S915" s="7"/>
      <c r="T915" s="7"/>
      <c r="U915" s="7"/>
      <c r="V915" s="7"/>
      <c r="W915" s="7"/>
      <c r="X915" s="7"/>
      <c r="Y915" s="7"/>
      <c r="Z915" s="7"/>
    </row>
    <row r="916" spans="1:26" ht="9" customHeight="1" x14ac:dyDescent="0.2">
      <c r="A916" s="95"/>
      <c r="B916" s="95"/>
      <c r="C916" s="44"/>
      <c r="D916" s="45"/>
      <c r="E916" s="96"/>
      <c r="F916" s="96"/>
      <c r="G916" s="96"/>
      <c r="H916" s="96"/>
      <c r="I916" s="96"/>
      <c r="J916" s="54"/>
      <c r="K916" s="96"/>
      <c r="L916" s="96"/>
      <c r="M916" s="39"/>
      <c r="N916" s="96"/>
      <c r="O916" s="96"/>
      <c r="P916" s="96"/>
      <c r="Q916" s="96"/>
      <c r="R916" s="7"/>
      <c r="S916" s="7"/>
      <c r="T916" s="7"/>
      <c r="U916" s="7"/>
      <c r="V916" s="7"/>
      <c r="W916" s="7"/>
      <c r="X916" s="7"/>
      <c r="Y916" s="7"/>
      <c r="Z916" s="7"/>
    </row>
    <row r="917" spans="1:26" ht="9" customHeight="1" x14ac:dyDescent="0.2">
      <c r="A917" s="95"/>
      <c r="B917" s="95"/>
      <c r="C917" s="44"/>
      <c r="D917" s="45"/>
      <c r="E917" s="96"/>
      <c r="F917" s="96"/>
      <c r="G917" s="96"/>
      <c r="H917" s="96"/>
      <c r="I917" s="96"/>
      <c r="J917" s="54"/>
      <c r="K917" s="96"/>
      <c r="L917" s="96"/>
      <c r="M917" s="39"/>
      <c r="N917" s="96"/>
      <c r="O917" s="96"/>
      <c r="P917" s="96"/>
      <c r="Q917" s="96"/>
      <c r="R917" s="7"/>
      <c r="S917" s="7"/>
      <c r="T917" s="7"/>
      <c r="U917" s="7"/>
      <c r="V917" s="7"/>
      <c r="W917" s="7"/>
      <c r="X917" s="7"/>
      <c r="Y917" s="7"/>
      <c r="Z917" s="7"/>
    </row>
    <row r="918" spans="1:26" ht="9" customHeight="1" x14ac:dyDescent="0.2">
      <c r="A918" s="95"/>
      <c r="B918" s="95"/>
      <c r="C918" s="44"/>
      <c r="D918" s="45"/>
      <c r="E918" s="96"/>
      <c r="F918" s="96"/>
      <c r="G918" s="96"/>
      <c r="H918" s="96"/>
      <c r="I918" s="96"/>
      <c r="J918" s="54"/>
      <c r="K918" s="96"/>
      <c r="L918" s="96"/>
      <c r="M918" s="39"/>
      <c r="N918" s="96"/>
      <c r="O918" s="96"/>
      <c r="P918" s="96"/>
      <c r="Q918" s="96"/>
      <c r="R918" s="7"/>
      <c r="S918" s="7"/>
      <c r="T918" s="7"/>
      <c r="U918" s="7"/>
      <c r="V918" s="7"/>
      <c r="W918" s="7"/>
      <c r="X918" s="7"/>
      <c r="Y918" s="7"/>
      <c r="Z918" s="7"/>
    </row>
    <row r="919" spans="1:26" ht="9" customHeight="1" x14ac:dyDescent="0.2">
      <c r="A919" s="95"/>
      <c r="B919" s="95"/>
      <c r="C919" s="44"/>
      <c r="D919" s="45"/>
      <c r="E919" s="96"/>
      <c r="F919" s="96"/>
      <c r="G919" s="96"/>
      <c r="H919" s="96"/>
      <c r="I919" s="96"/>
      <c r="J919" s="54"/>
      <c r="K919" s="96"/>
      <c r="L919" s="96"/>
      <c r="M919" s="39"/>
      <c r="N919" s="96"/>
      <c r="O919" s="96"/>
      <c r="P919" s="96"/>
      <c r="Q919" s="96"/>
      <c r="R919" s="7"/>
      <c r="S919" s="7"/>
      <c r="T919" s="7"/>
      <c r="U919" s="7"/>
      <c r="V919" s="7"/>
      <c r="W919" s="7"/>
      <c r="X919" s="7"/>
      <c r="Y919" s="7"/>
      <c r="Z919" s="7"/>
    </row>
    <row r="920" spans="1:26" s="7" customFormat="1" ht="12.75" customHeight="1" x14ac:dyDescent="0.2">
      <c r="A920" s="522">
        <v>43160</v>
      </c>
      <c r="B920" s="522">
        <v>43190</v>
      </c>
      <c r="C920" s="57" t="s">
        <v>36</v>
      </c>
      <c r="D920" s="58">
        <v>0</v>
      </c>
      <c r="E920" s="59">
        <v>13612.19</v>
      </c>
      <c r="F920" s="59"/>
      <c r="G920" s="59"/>
      <c r="H920" s="59">
        <v>6384.11</v>
      </c>
      <c r="I920" s="59">
        <v>144.93</v>
      </c>
      <c r="J920" s="59">
        <v>1678.44</v>
      </c>
      <c r="K920" s="59">
        <v>20141.23</v>
      </c>
      <c r="L920" s="60">
        <v>21819.67</v>
      </c>
      <c r="M920" s="33"/>
      <c r="N920" s="59">
        <v>20141.23</v>
      </c>
      <c r="O920" s="59">
        <v>13757.12</v>
      </c>
      <c r="P920" s="59">
        <v>2094</v>
      </c>
      <c r="Q920" s="59">
        <v>24295.95</v>
      </c>
      <c r="R920" s="59">
        <v>22617.51</v>
      </c>
    </row>
    <row r="921" spans="1:26" s="7" customFormat="1" ht="9" customHeight="1" x14ac:dyDescent="0.2">
      <c r="A921" s="523"/>
      <c r="B921" s="523"/>
      <c r="C921" s="62" t="s">
        <v>37</v>
      </c>
      <c r="D921" s="63">
        <v>8</v>
      </c>
      <c r="E921" s="64">
        <v>26356875</v>
      </c>
      <c r="F921" s="65"/>
      <c r="G921" s="65"/>
      <c r="H921" s="64">
        <v>12361361</v>
      </c>
      <c r="I921" s="64">
        <v>280624</v>
      </c>
      <c r="J921" s="66">
        <v>3249913</v>
      </c>
      <c r="K921" s="64">
        <v>38998859</v>
      </c>
      <c r="L921" s="64">
        <v>42248772</v>
      </c>
      <c r="M921" s="39"/>
      <c r="N921" s="65">
        <v>38998859</v>
      </c>
      <c r="O921" s="65">
        <v>26637499</v>
      </c>
      <c r="P921" s="64">
        <v>4054549</v>
      </c>
      <c r="Q921" s="65">
        <v>47043519</v>
      </c>
      <c r="R921" s="65">
        <v>43793606</v>
      </c>
    </row>
    <row r="922" spans="1:26" s="7" customFormat="1" ht="12.75" customHeight="1" x14ac:dyDescent="0.2">
      <c r="A922" s="520">
        <v>43160</v>
      </c>
      <c r="B922" s="520">
        <v>43190</v>
      </c>
      <c r="C922" s="68" t="s">
        <v>36</v>
      </c>
      <c r="D922" s="69">
        <v>9</v>
      </c>
      <c r="E922" s="59">
        <v>15813.97</v>
      </c>
      <c r="F922" s="59"/>
      <c r="G922" s="59"/>
      <c r="H922" s="59">
        <v>6384.11</v>
      </c>
      <c r="I922" s="59">
        <v>144.93</v>
      </c>
      <c r="J922" s="59">
        <v>1861.92</v>
      </c>
      <c r="K922" s="59">
        <v>22343.01</v>
      </c>
      <c r="L922" s="60">
        <v>24204.93</v>
      </c>
      <c r="M922" s="33"/>
      <c r="N922" s="59">
        <v>22343.01</v>
      </c>
      <c r="O922" s="59">
        <v>15958.9</v>
      </c>
      <c r="P922" s="59">
        <v>2094</v>
      </c>
      <c r="Q922" s="59">
        <v>27077.53</v>
      </c>
      <c r="R922" s="59">
        <v>25215.61</v>
      </c>
    </row>
    <row r="923" spans="1:26" s="7" customFormat="1" ht="9" customHeight="1" x14ac:dyDescent="0.2">
      <c r="A923" s="520"/>
      <c r="B923" s="520"/>
      <c r="C923" s="62" t="s">
        <v>37</v>
      </c>
      <c r="D923" s="63">
        <v>14</v>
      </c>
      <c r="E923" s="64">
        <v>30620116</v>
      </c>
      <c r="F923" s="65"/>
      <c r="G923" s="65"/>
      <c r="H923" s="64">
        <v>12361361</v>
      </c>
      <c r="I923" s="64">
        <v>280624</v>
      </c>
      <c r="J923" s="66">
        <v>3605180</v>
      </c>
      <c r="K923" s="64">
        <v>43262100</v>
      </c>
      <c r="L923" s="64">
        <v>46867280</v>
      </c>
      <c r="M923" s="39"/>
      <c r="N923" s="65">
        <v>43262100</v>
      </c>
      <c r="O923" s="65">
        <v>30900739</v>
      </c>
      <c r="P923" s="64">
        <v>4054549</v>
      </c>
      <c r="Q923" s="65">
        <v>52429409</v>
      </c>
      <c r="R923" s="65">
        <v>48824229</v>
      </c>
    </row>
    <row r="924" spans="1:26" s="7" customFormat="1" ht="12.75" customHeight="1" x14ac:dyDescent="0.2">
      <c r="A924" s="520"/>
      <c r="B924" s="520"/>
      <c r="C924" s="68" t="s">
        <v>36</v>
      </c>
      <c r="D924" s="69">
        <v>15</v>
      </c>
      <c r="E924" s="59">
        <v>17751.900000000001</v>
      </c>
      <c r="F924" s="59"/>
      <c r="G924" s="59"/>
      <c r="H924" s="59">
        <v>6384.11</v>
      </c>
      <c r="I924" s="59">
        <v>144.93</v>
      </c>
      <c r="J924" s="59">
        <v>2023.41</v>
      </c>
      <c r="K924" s="59">
        <v>24280.94</v>
      </c>
      <c r="L924" s="60">
        <v>26304.35</v>
      </c>
      <c r="M924" s="33"/>
      <c r="N924" s="59">
        <v>24280.94</v>
      </c>
      <c r="O924" s="59">
        <v>17896.830000000002</v>
      </c>
      <c r="P924" s="59">
        <v>2577.6</v>
      </c>
      <c r="Q924" s="59">
        <v>29525.78</v>
      </c>
      <c r="R924" s="59">
        <v>27502.37</v>
      </c>
    </row>
    <row r="925" spans="1:26" s="7" customFormat="1" ht="9" customHeight="1" x14ac:dyDescent="0.2">
      <c r="A925" s="520"/>
      <c r="B925" s="520"/>
      <c r="C925" s="62" t="s">
        <v>37</v>
      </c>
      <c r="D925" s="63">
        <v>20</v>
      </c>
      <c r="E925" s="64">
        <v>34372471</v>
      </c>
      <c r="F925" s="65"/>
      <c r="G925" s="65"/>
      <c r="H925" s="64">
        <v>12361361</v>
      </c>
      <c r="I925" s="64">
        <v>280624</v>
      </c>
      <c r="J925" s="66">
        <v>3917868</v>
      </c>
      <c r="K925" s="64">
        <v>47014456</v>
      </c>
      <c r="L925" s="64">
        <v>50932324</v>
      </c>
      <c r="M925" s="39"/>
      <c r="N925" s="65">
        <v>47014456</v>
      </c>
      <c r="O925" s="65">
        <v>34653095</v>
      </c>
      <c r="P925" s="64">
        <v>4990930</v>
      </c>
      <c r="Q925" s="65">
        <v>57169882</v>
      </c>
      <c r="R925" s="65">
        <v>53252014</v>
      </c>
    </row>
    <row r="926" spans="1:26" s="7" customFormat="1" ht="12.75" customHeight="1" x14ac:dyDescent="0.2">
      <c r="A926" s="520"/>
      <c r="B926" s="520"/>
      <c r="C926" s="68" t="s">
        <v>36</v>
      </c>
      <c r="D926" s="69">
        <v>21</v>
      </c>
      <c r="E926" s="59">
        <v>20565.490000000002</v>
      </c>
      <c r="F926" s="59"/>
      <c r="G926" s="59"/>
      <c r="H926" s="59">
        <v>6384.11</v>
      </c>
      <c r="I926" s="59">
        <v>144.93</v>
      </c>
      <c r="J926" s="59">
        <v>2257.88</v>
      </c>
      <c r="K926" s="59">
        <v>27094.53</v>
      </c>
      <c r="L926" s="60">
        <v>29352.41</v>
      </c>
      <c r="M926" s="33"/>
      <c r="N926" s="59">
        <v>27094.53</v>
      </c>
      <c r="O926" s="59">
        <v>20710.419999999998</v>
      </c>
      <c r="P926" s="59">
        <v>2577.6</v>
      </c>
      <c r="Q926" s="59">
        <v>33080.29</v>
      </c>
      <c r="R926" s="59">
        <v>30822.41</v>
      </c>
    </row>
    <row r="927" spans="1:26" s="7" customFormat="1" ht="9" customHeight="1" x14ac:dyDescent="0.2">
      <c r="A927" s="520"/>
      <c r="B927" s="520"/>
      <c r="C927" s="62" t="s">
        <v>37</v>
      </c>
      <c r="D927" s="63">
        <v>27</v>
      </c>
      <c r="E927" s="64">
        <v>39820341</v>
      </c>
      <c r="F927" s="65"/>
      <c r="G927" s="65"/>
      <c r="H927" s="64">
        <v>12361361</v>
      </c>
      <c r="I927" s="64">
        <v>280624</v>
      </c>
      <c r="J927" s="66">
        <v>4371865</v>
      </c>
      <c r="K927" s="64">
        <v>52462326</v>
      </c>
      <c r="L927" s="64">
        <v>56834191</v>
      </c>
      <c r="M927" s="39"/>
      <c r="N927" s="65">
        <v>52462326</v>
      </c>
      <c r="O927" s="65">
        <v>40100965</v>
      </c>
      <c r="P927" s="64">
        <v>4990930</v>
      </c>
      <c r="Q927" s="65">
        <v>64052373</v>
      </c>
      <c r="R927" s="65">
        <v>59680508</v>
      </c>
    </row>
    <row r="928" spans="1:26" s="7" customFormat="1" ht="12.75" customHeight="1" x14ac:dyDescent="0.2">
      <c r="A928" s="520"/>
      <c r="B928" s="520"/>
      <c r="C928" s="68" t="s">
        <v>36</v>
      </c>
      <c r="D928" s="69">
        <v>28</v>
      </c>
      <c r="E928" s="59">
        <v>22408.75</v>
      </c>
      <c r="F928" s="59"/>
      <c r="G928" s="59"/>
      <c r="H928" s="59">
        <v>6384.11</v>
      </c>
      <c r="I928" s="59">
        <v>144.93</v>
      </c>
      <c r="J928" s="59">
        <v>2411.48</v>
      </c>
      <c r="K928" s="59">
        <v>28937.79</v>
      </c>
      <c r="L928" s="60">
        <v>31349.27</v>
      </c>
      <c r="M928" s="33"/>
      <c r="N928" s="59">
        <v>28937.79</v>
      </c>
      <c r="O928" s="59">
        <v>22553.68</v>
      </c>
      <c r="P928" s="59">
        <v>3278.4</v>
      </c>
      <c r="Q928" s="59">
        <v>35408.93</v>
      </c>
      <c r="R928" s="59">
        <v>32997.449999999997</v>
      </c>
    </row>
    <row r="929" spans="1:26" s="7" customFormat="1" ht="9" customHeight="1" x14ac:dyDescent="0.2">
      <c r="A929" s="520"/>
      <c r="B929" s="520"/>
      <c r="C929" s="62" t="s">
        <v>37</v>
      </c>
      <c r="D929" s="63">
        <v>34</v>
      </c>
      <c r="E929" s="64">
        <v>43389390</v>
      </c>
      <c r="F929" s="65"/>
      <c r="G929" s="65"/>
      <c r="H929" s="64">
        <v>12361361</v>
      </c>
      <c r="I929" s="64">
        <v>280624</v>
      </c>
      <c r="J929" s="66">
        <v>4669276</v>
      </c>
      <c r="K929" s="64">
        <v>56031375</v>
      </c>
      <c r="L929" s="64">
        <v>60700651</v>
      </c>
      <c r="M929" s="39"/>
      <c r="N929" s="65">
        <v>56031375</v>
      </c>
      <c r="O929" s="65">
        <v>43670014</v>
      </c>
      <c r="P929" s="64">
        <v>6347868</v>
      </c>
      <c r="Q929" s="65">
        <v>68561249</v>
      </c>
      <c r="R929" s="65">
        <v>63891973</v>
      </c>
    </row>
    <row r="930" spans="1:26" s="7" customFormat="1" ht="12.75" customHeight="1" x14ac:dyDescent="0.2">
      <c r="A930" s="520"/>
      <c r="B930" s="520"/>
      <c r="C930" s="68" t="s">
        <v>36</v>
      </c>
      <c r="D930" s="69">
        <v>35</v>
      </c>
      <c r="E930" s="59">
        <v>23811.34</v>
      </c>
      <c r="F930" s="59"/>
      <c r="G930" s="59"/>
      <c r="H930" s="59">
        <v>6384.11</v>
      </c>
      <c r="I930" s="59">
        <v>144.93</v>
      </c>
      <c r="J930" s="59">
        <v>2528.37</v>
      </c>
      <c r="K930" s="59">
        <v>30340.38</v>
      </c>
      <c r="L930" s="60">
        <v>32868.75</v>
      </c>
      <c r="M930" s="33"/>
      <c r="N930" s="59">
        <v>30340.38</v>
      </c>
      <c r="O930" s="59">
        <v>23956.27</v>
      </c>
      <c r="P930" s="59">
        <v>3278.4</v>
      </c>
      <c r="Q930" s="59">
        <v>37180.879999999997</v>
      </c>
      <c r="R930" s="59">
        <v>34652.51</v>
      </c>
    </row>
    <row r="931" spans="1:26" s="7" customFormat="1" ht="9" customHeight="1" x14ac:dyDescent="0.2">
      <c r="A931" s="521"/>
      <c r="B931" s="521"/>
      <c r="C931" s="71" t="s">
        <v>37</v>
      </c>
      <c r="D931" s="72"/>
      <c r="E931" s="64">
        <v>46105183</v>
      </c>
      <c r="F931" s="64"/>
      <c r="G931" s="64"/>
      <c r="H931" s="64">
        <v>12361361</v>
      </c>
      <c r="I931" s="64">
        <v>280624</v>
      </c>
      <c r="J931" s="64">
        <v>4895607</v>
      </c>
      <c r="K931" s="64">
        <v>58747168</v>
      </c>
      <c r="L931" s="64">
        <v>63642775</v>
      </c>
      <c r="M931" s="39"/>
      <c r="N931" s="64">
        <v>58747168</v>
      </c>
      <c r="O931" s="64">
        <v>46385807</v>
      </c>
      <c r="P931" s="64">
        <v>6347868</v>
      </c>
      <c r="Q931" s="64">
        <v>71992223</v>
      </c>
      <c r="R931" s="65">
        <v>67096616</v>
      </c>
    </row>
    <row r="932" spans="1:26" ht="9" customHeight="1" x14ac:dyDescent="0.2">
      <c r="A932" s="95"/>
      <c r="B932" s="95"/>
      <c r="C932" s="44"/>
      <c r="D932" s="45"/>
      <c r="E932" s="96"/>
      <c r="F932" s="96"/>
      <c r="G932" s="96"/>
      <c r="H932" s="96"/>
      <c r="I932" s="96"/>
      <c r="J932" s="54"/>
      <c r="K932" s="96"/>
      <c r="L932" s="96"/>
      <c r="M932" s="39"/>
      <c r="N932" s="96"/>
      <c r="O932" s="96"/>
      <c r="P932" s="96"/>
      <c r="Q932" s="96"/>
      <c r="R932" s="7"/>
      <c r="S932" s="7"/>
      <c r="T932" s="7"/>
      <c r="U932" s="7"/>
      <c r="V932" s="7"/>
      <c r="W932" s="7"/>
      <c r="X932" s="7"/>
      <c r="Y932" s="7"/>
      <c r="Z932" s="7"/>
    </row>
    <row r="933" spans="1:26" ht="9" customHeight="1" x14ac:dyDescent="0.2">
      <c r="A933" s="95"/>
      <c r="B933" s="95"/>
      <c r="C933" s="44"/>
      <c r="D933" s="45"/>
      <c r="E933" s="96"/>
      <c r="F933" s="96"/>
      <c r="G933" s="96"/>
      <c r="H933" s="96"/>
      <c r="I933" s="96"/>
      <c r="J933" s="54"/>
      <c r="K933" s="96"/>
      <c r="L933" s="96"/>
      <c r="M933" s="39"/>
      <c r="N933" s="96"/>
      <c r="O933" s="96"/>
      <c r="P933" s="96"/>
      <c r="Q933" s="96"/>
      <c r="R933" s="7"/>
      <c r="S933" s="7"/>
      <c r="T933" s="7"/>
      <c r="U933" s="7"/>
      <c r="V933" s="7"/>
      <c r="W933" s="7"/>
      <c r="X933" s="7"/>
      <c r="Y933" s="7"/>
      <c r="Z933" s="7"/>
    </row>
    <row r="934" spans="1:26" ht="9" customHeight="1" x14ac:dyDescent="0.2">
      <c r="A934" s="95"/>
      <c r="B934" s="95"/>
      <c r="C934" s="44"/>
      <c r="D934" s="45"/>
      <c r="E934" s="96"/>
      <c r="F934" s="96"/>
      <c r="G934" s="96"/>
      <c r="H934" s="96"/>
      <c r="I934" s="96"/>
      <c r="J934" s="54"/>
      <c r="K934" s="96"/>
      <c r="L934" s="96"/>
      <c r="M934" s="39"/>
      <c r="N934" s="96"/>
      <c r="O934" s="96"/>
      <c r="P934" s="96"/>
      <c r="Q934" s="96"/>
      <c r="R934" s="7"/>
      <c r="S934" s="7"/>
      <c r="T934" s="7"/>
      <c r="U934" s="7"/>
      <c r="V934" s="7"/>
      <c r="W934" s="7"/>
      <c r="X934" s="7"/>
      <c r="Y934" s="7"/>
      <c r="Z934" s="7"/>
    </row>
    <row r="935" spans="1:26" ht="9" customHeight="1" x14ac:dyDescent="0.2">
      <c r="A935" s="95"/>
      <c r="B935" s="95"/>
      <c r="C935" s="44"/>
      <c r="D935" s="45"/>
      <c r="E935" s="96"/>
      <c r="F935" s="96"/>
      <c r="G935" s="96"/>
      <c r="H935" s="96"/>
      <c r="I935" s="96"/>
      <c r="J935" s="54"/>
      <c r="K935" s="96"/>
      <c r="L935" s="96"/>
      <c r="M935" s="39"/>
      <c r="N935" s="96"/>
      <c r="O935" s="96"/>
      <c r="P935" s="96"/>
      <c r="Q935" s="96"/>
      <c r="R935" s="7"/>
      <c r="S935" s="7"/>
      <c r="T935" s="7"/>
      <c r="U935" s="7"/>
      <c r="V935" s="7"/>
      <c r="W935" s="7"/>
      <c r="X935" s="7"/>
      <c r="Y935" s="7"/>
      <c r="Z935" s="7"/>
    </row>
    <row r="936" spans="1:26" ht="9" customHeight="1" x14ac:dyDescent="0.2">
      <c r="A936" s="95"/>
      <c r="B936" s="95"/>
      <c r="C936" s="44"/>
      <c r="D936" s="45"/>
      <c r="E936" s="96"/>
      <c r="F936" s="96"/>
      <c r="G936" s="96"/>
      <c r="H936" s="96"/>
      <c r="I936" s="96"/>
      <c r="J936" s="54"/>
      <c r="K936" s="96"/>
      <c r="L936" s="96"/>
      <c r="M936" s="39"/>
      <c r="N936" s="96"/>
      <c r="O936" s="96"/>
      <c r="P936" s="96"/>
      <c r="Q936" s="96"/>
      <c r="R936" s="7"/>
      <c r="S936" s="7"/>
      <c r="T936" s="7"/>
      <c r="U936" s="7"/>
      <c r="V936" s="7"/>
      <c r="W936" s="7"/>
      <c r="X936" s="7"/>
      <c r="Y936" s="7"/>
      <c r="Z936" s="7"/>
    </row>
    <row r="937" spans="1:26" ht="9" customHeight="1" x14ac:dyDescent="0.2">
      <c r="A937" s="95"/>
      <c r="B937" s="95"/>
      <c r="C937" s="44"/>
      <c r="D937" s="45"/>
      <c r="E937" s="96"/>
      <c r="F937" s="96"/>
      <c r="G937" s="96"/>
      <c r="H937" s="96"/>
      <c r="I937" s="96"/>
      <c r="J937" s="54"/>
      <c r="K937" s="96"/>
      <c r="L937" s="96"/>
      <c r="M937" s="39"/>
      <c r="N937" s="96"/>
      <c r="O937" s="96"/>
      <c r="P937" s="96"/>
      <c r="Q937" s="96"/>
      <c r="R937" s="7"/>
      <c r="S937" s="7"/>
      <c r="T937" s="7"/>
      <c r="U937" s="7"/>
      <c r="V937" s="7"/>
      <c r="W937" s="7"/>
      <c r="X937" s="7"/>
      <c r="Y937" s="7"/>
      <c r="Z937" s="7"/>
    </row>
    <row r="938" spans="1:26" ht="9" customHeight="1" x14ac:dyDescent="0.2">
      <c r="A938" s="95"/>
      <c r="B938" s="95"/>
      <c r="C938" s="44"/>
      <c r="D938" s="45"/>
      <c r="E938" s="96"/>
      <c r="F938" s="96"/>
      <c r="G938" s="96"/>
      <c r="H938" s="96"/>
      <c r="I938" s="96"/>
      <c r="J938" s="54"/>
      <c r="K938" s="96"/>
      <c r="L938" s="96"/>
      <c r="M938" s="39"/>
      <c r="N938" s="96"/>
      <c r="O938" s="96"/>
      <c r="P938" s="96"/>
      <c r="Q938" s="96"/>
      <c r="R938" s="7"/>
      <c r="S938" s="7"/>
      <c r="T938" s="7"/>
      <c r="U938" s="7"/>
      <c r="V938" s="7"/>
      <c r="W938" s="7"/>
      <c r="X938" s="7"/>
      <c r="Y938" s="7"/>
      <c r="Z938" s="7"/>
    </row>
    <row r="939" spans="1:26" ht="9" customHeight="1" x14ac:dyDescent="0.2">
      <c r="A939" s="95"/>
      <c r="B939" s="95"/>
      <c r="C939" s="44"/>
      <c r="D939" s="45"/>
      <c r="E939" s="96"/>
      <c r="F939" s="96"/>
      <c r="G939" s="96"/>
      <c r="H939" s="96"/>
      <c r="I939" s="96"/>
      <c r="J939" s="54"/>
      <c r="K939" s="96"/>
      <c r="L939" s="96"/>
      <c r="M939" s="39"/>
      <c r="N939" s="96"/>
      <c r="O939" s="96"/>
      <c r="P939" s="96"/>
      <c r="Q939" s="96"/>
      <c r="R939" s="7"/>
      <c r="S939" s="7"/>
      <c r="T939" s="7"/>
      <c r="U939" s="7"/>
      <c r="V939" s="7"/>
      <c r="W939" s="7"/>
      <c r="X939" s="7"/>
      <c r="Y939" s="7"/>
      <c r="Z939" s="7"/>
    </row>
    <row r="940" spans="1:26" s="7" customFormat="1" ht="12.75" customHeight="1" x14ac:dyDescent="0.2">
      <c r="A940" s="522">
        <v>43191</v>
      </c>
      <c r="B940" s="522">
        <v>43465</v>
      </c>
      <c r="C940" s="57" t="s">
        <v>36</v>
      </c>
      <c r="D940" s="58">
        <v>0</v>
      </c>
      <c r="E940" s="59">
        <v>13757.12</v>
      </c>
      <c r="F940" s="59"/>
      <c r="G940" s="59"/>
      <c r="H940" s="59">
        <v>6384.11</v>
      </c>
      <c r="I940" s="59"/>
      <c r="J940" s="59">
        <v>1678.44</v>
      </c>
      <c r="K940" s="59">
        <v>20141.23</v>
      </c>
      <c r="L940" s="60">
        <v>21819.67</v>
      </c>
      <c r="M940" s="33"/>
      <c r="N940" s="59">
        <v>20141.23</v>
      </c>
      <c r="O940" s="59">
        <v>13757.12</v>
      </c>
      <c r="P940" s="59">
        <v>2094</v>
      </c>
      <c r="Q940" s="59">
        <v>24295.95</v>
      </c>
      <c r="R940" s="59">
        <v>22617.51</v>
      </c>
    </row>
    <row r="941" spans="1:26" s="7" customFormat="1" ht="9" customHeight="1" x14ac:dyDescent="0.2">
      <c r="A941" s="523"/>
      <c r="B941" s="523"/>
      <c r="C941" s="62" t="s">
        <v>37</v>
      </c>
      <c r="D941" s="63">
        <v>8</v>
      </c>
      <c r="E941" s="64">
        <v>26637499</v>
      </c>
      <c r="F941" s="65"/>
      <c r="G941" s="65"/>
      <c r="H941" s="64">
        <v>12361361</v>
      </c>
      <c r="I941" s="64"/>
      <c r="J941" s="66">
        <v>3249913</v>
      </c>
      <c r="K941" s="64">
        <v>38998859</v>
      </c>
      <c r="L941" s="64">
        <v>42248772</v>
      </c>
      <c r="M941" s="39"/>
      <c r="N941" s="65">
        <v>38998859</v>
      </c>
      <c r="O941" s="65">
        <v>26637499</v>
      </c>
      <c r="P941" s="64">
        <v>4054549</v>
      </c>
      <c r="Q941" s="65">
        <v>47043519</v>
      </c>
      <c r="R941" s="65">
        <v>43793606</v>
      </c>
    </row>
    <row r="942" spans="1:26" s="7" customFormat="1" ht="12.75" customHeight="1" x14ac:dyDescent="0.2">
      <c r="A942" s="520">
        <v>43191</v>
      </c>
      <c r="B942" s="520">
        <f>B940</f>
        <v>43465</v>
      </c>
      <c r="C942" s="68" t="s">
        <v>36</v>
      </c>
      <c r="D942" s="69">
        <v>9</v>
      </c>
      <c r="E942" s="59">
        <v>15958.9</v>
      </c>
      <c r="F942" s="59"/>
      <c r="G942" s="59"/>
      <c r="H942" s="59">
        <v>6384.11</v>
      </c>
      <c r="I942" s="59"/>
      <c r="J942" s="59">
        <v>1861.92</v>
      </c>
      <c r="K942" s="59">
        <v>22343.01</v>
      </c>
      <c r="L942" s="60">
        <v>24204.93</v>
      </c>
      <c r="M942" s="33"/>
      <c r="N942" s="59">
        <v>22343.01</v>
      </c>
      <c r="O942" s="59">
        <v>15958.9</v>
      </c>
      <c r="P942" s="59">
        <v>2094</v>
      </c>
      <c r="Q942" s="59">
        <v>27077.53</v>
      </c>
      <c r="R942" s="59">
        <v>25215.61</v>
      </c>
    </row>
    <row r="943" spans="1:26" s="7" customFormat="1" ht="9" customHeight="1" x14ac:dyDescent="0.2">
      <c r="A943" s="520"/>
      <c r="B943" s="520"/>
      <c r="C943" s="62" t="s">
        <v>37</v>
      </c>
      <c r="D943" s="63">
        <v>14</v>
      </c>
      <c r="E943" s="64">
        <v>30900739</v>
      </c>
      <c r="F943" s="65"/>
      <c r="G943" s="65"/>
      <c r="H943" s="64">
        <v>12361361</v>
      </c>
      <c r="I943" s="64"/>
      <c r="J943" s="66">
        <v>3605180</v>
      </c>
      <c r="K943" s="64">
        <v>43262100</v>
      </c>
      <c r="L943" s="64">
        <v>46867280</v>
      </c>
      <c r="M943" s="39"/>
      <c r="N943" s="65">
        <v>43262100</v>
      </c>
      <c r="O943" s="65">
        <v>30900739</v>
      </c>
      <c r="P943" s="64">
        <v>4054549</v>
      </c>
      <c r="Q943" s="65">
        <v>52429409</v>
      </c>
      <c r="R943" s="65">
        <v>48824229</v>
      </c>
    </row>
    <row r="944" spans="1:26" s="7" customFormat="1" ht="12.75" customHeight="1" x14ac:dyDescent="0.2">
      <c r="A944" s="520"/>
      <c r="B944" s="520"/>
      <c r="C944" s="68" t="s">
        <v>36</v>
      </c>
      <c r="D944" s="69">
        <v>15</v>
      </c>
      <c r="E944" s="59">
        <v>17896.830000000002</v>
      </c>
      <c r="F944" s="59"/>
      <c r="G944" s="59"/>
      <c r="H944" s="59">
        <v>6384.11</v>
      </c>
      <c r="I944" s="59"/>
      <c r="J944" s="59">
        <v>2023.41</v>
      </c>
      <c r="K944" s="59">
        <v>24280.94</v>
      </c>
      <c r="L944" s="60">
        <v>26304.35</v>
      </c>
      <c r="M944" s="33"/>
      <c r="N944" s="59">
        <v>24280.94</v>
      </c>
      <c r="O944" s="59">
        <v>17896.830000000002</v>
      </c>
      <c r="P944" s="59">
        <v>2577.6</v>
      </c>
      <c r="Q944" s="59">
        <v>29525.78</v>
      </c>
      <c r="R944" s="59">
        <v>27502.37</v>
      </c>
    </row>
    <row r="945" spans="1:26" s="7" customFormat="1" ht="9" customHeight="1" x14ac:dyDescent="0.2">
      <c r="A945" s="520"/>
      <c r="B945" s="520"/>
      <c r="C945" s="62" t="s">
        <v>37</v>
      </c>
      <c r="D945" s="63">
        <v>20</v>
      </c>
      <c r="E945" s="64">
        <v>34653095</v>
      </c>
      <c r="F945" s="65"/>
      <c r="G945" s="65"/>
      <c r="H945" s="64">
        <v>12361361</v>
      </c>
      <c r="I945" s="64"/>
      <c r="J945" s="66">
        <v>3917868</v>
      </c>
      <c r="K945" s="64">
        <v>47014456</v>
      </c>
      <c r="L945" s="64">
        <v>50932324</v>
      </c>
      <c r="M945" s="39"/>
      <c r="N945" s="65">
        <v>47014456</v>
      </c>
      <c r="O945" s="65">
        <v>34653095</v>
      </c>
      <c r="P945" s="64">
        <v>4990930</v>
      </c>
      <c r="Q945" s="65">
        <v>57169882</v>
      </c>
      <c r="R945" s="65">
        <v>53252014</v>
      </c>
    </row>
    <row r="946" spans="1:26" s="7" customFormat="1" ht="12.75" customHeight="1" x14ac:dyDescent="0.2">
      <c r="A946" s="520"/>
      <c r="B946" s="520"/>
      <c r="C946" s="68" t="s">
        <v>36</v>
      </c>
      <c r="D946" s="69">
        <v>21</v>
      </c>
      <c r="E946" s="59">
        <v>20710.419999999998</v>
      </c>
      <c r="F946" s="59"/>
      <c r="G946" s="59"/>
      <c r="H946" s="59">
        <v>6384.11</v>
      </c>
      <c r="I946" s="59"/>
      <c r="J946" s="59">
        <v>2257.88</v>
      </c>
      <c r="K946" s="59">
        <v>27094.53</v>
      </c>
      <c r="L946" s="60">
        <v>29352.41</v>
      </c>
      <c r="M946" s="33"/>
      <c r="N946" s="59">
        <v>27094.53</v>
      </c>
      <c r="O946" s="59">
        <v>20710.419999999998</v>
      </c>
      <c r="P946" s="59">
        <v>2577.6</v>
      </c>
      <c r="Q946" s="59">
        <v>33080.29</v>
      </c>
      <c r="R946" s="59">
        <v>30822.41</v>
      </c>
    </row>
    <row r="947" spans="1:26" s="7" customFormat="1" ht="9" customHeight="1" x14ac:dyDescent="0.2">
      <c r="A947" s="520"/>
      <c r="B947" s="520"/>
      <c r="C947" s="62" t="s">
        <v>37</v>
      </c>
      <c r="D947" s="63">
        <v>27</v>
      </c>
      <c r="E947" s="64">
        <v>40100965</v>
      </c>
      <c r="F947" s="65"/>
      <c r="G947" s="65"/>
      <c r="H947" s="64">
        <v>12361361</v>
      </c>
      <c r="I947" s="64"/>
      <c r="J947" s="66">
        <v>4371865</v>
      </c>
      <c r="K947" s="64">
        <v>52462326</v>
      </c>
      <c r="L947" s="64">
        <v>56834191</v>
      </c>
      <c r="M947" s="39"/>
      <c r="N947" s="65">
        <v>52462326</v>
      </c>
      <c r="O947" s="65">
        <v>40100965</v>
      </c>
      <c r="P947" s="64">
        <v>4990930</v>
      </c>
      <c r="Q947" s="65">
        <v>64052373</v>
      </c>
      <c r="R947" s="65">
        <v>59680508</v>
      </c>
    </row>
    <row r="948" spans="1:26" s="7" customFormat="1" ht="12.75" customHeight="1" x14ac:dyDescent="0.2">
      <c r="A948" s="520"/>
      <c r="B948" s="520"/>
      <c r="C948" s="68" t="s">
        <v>36</v>
      </c>
      <c r="D948" s="69">
        <v>28</v>
      </c>
      <c r="E948" s="59">
        <v>22553.68</v>
      </c>
      <c r="F948" s="59"/>
      <c r="G948" s="59"/>
      <c r="H948" s="59">
        <v>6384.11</v>
      </c>
      <c r="I948" s="59"/>
      <c r="J948" s="59">
        <v>2411.48</v>
      </c>
      <c r="K948" s="59">
        <v>28937.79</v>
      </c>
      <c r="L948" s="60">
        <v>31349.27</v>
      </c>
      <c r="M948" s="33"/>
      <c r="N948" s="59">
        <v>28937.79</v>
      </c>
      <c r="O948" s="59">
        <v>22553.68</v>
      </c>
      <c r="P948" s="59">
        <v>3278.4</v>
      </c>
      <c r="Q948" s="59">
        <v>35408.93</v>
      </c>
      <c r="R948" s="59">
        <v>32997.449999999997</v>
      </c>
    </row>
    <row r="949" spans="1:26" s="7" customFormat="1" ht="9" customHeight="1" x14ac:dyDescent="0.2">
      <c r="A949" s="520"/>
      <c r="B949" s="520"/>
      <c r="C949" s="62" t="s">
        <v>37</v>
      </c>
      <c r="D949" s="63">
        <v>34</v>
      </c>
      <c r="E949" s="64">
        <v>43670014</v>
      </c>
      <c r="F949" s="65"/>
      <c r="G949" s="65"/>
      <c r="H949" s="64">
        <v>12361361</v>
      </c>
      <c r="I949" s="64"/>
      <c r="J949" s="66">
        <v>4669276</v>
      </c>
      <c r="K949" s="64">
        <v>56031375</v>
      </c>
      <c r="L949" s="64">
        <v>60700651</v>
      </c>
      <c r="M949" s="39"/>
      <c r="N949" s="65">
        <v>56031375</v>
      </c>
      <c r="O949" s="65">
        <v>43670014</v>
      </c>
      <c r="P949" s="64">
        <v>6347868</v>
      </c>
      <c r="Q949" s="65">
        <v>68561249</v>
      </c>
      <c r="R949" s="65">
        <v>63891973</v>
      </c>
    </row>
    <row r="950" spans="1:26" s="7" customFormat="1" ht="12.75" customHeight="1" x14ac:dyDescent="0.2">
      <c r="A950" s="520"/>
      <c r="B950" s="520"/>
      <c r="C950" s="68" t="s">
        <v>36</v>
      </c>
      <c r="D950" s="69">
        <v>35</v>
      </c>
      <c r="E950" s="59">
        <v>23956.27</v>
      </c>
      <c r="F950" s="59"/>
      <c r="G950" s="59"/>
      <c r="H950" s="59">
        <v>6384.11</v>
      </c>
      <c r="I950" s="59"/>
      <c r="J950" s="59">
        <v>2528.37</v>
      </c>
      <c r="K950" s="59">
        <v>30340.38</v>
      </c>
      <c r="L950" s="60">
        <v>32868.75</v>
      </c>
      <c r="M950" s="33"/>
      <c r="N950" s="59">
        <v>30340.38</v>
      </c>
      <c r="O950" s="59">
        <v>23956.27</v>
      </c>
      <c r="P950" s="59">
        <v>3278.4</v>
      </c>
      <c r="Q950" s="59">
        <v>37180.879999999997</v>
      </c>
      <c r="R950" s="59">
        <v>34652.51</v>
      </c>
    </row>
    <row r="951" spans="1:26" s="7" customFormat="1" ht="9" customHeight="1" x14ac:dyDescent="0.2">
      <c r="A951" s="521"/>
      <c r="B951" s="521"/>
      <c r="C951" s="71" t="s">
        <v>37</v>
      </c>
      <c r="D951" s="72"/>
      <c r="E951" s="64">
        <v>46385807</v>
      </c>
      <c r="F951" s="64"/>
      <c r="G951" s="64"/>
      <c r="H951" s="64">
        <v>12361361</v>
      </c>
      <c r="I951" s="64"/>
      <c r="J951" s="64">
        <v>4895607</v>
      </c>
      <c r="K951" s="64">
        <v>58747168</v>
      </c>
      <c r="L951" s="64">
        <v>63642775</v>
      </c>
      <c r="M951" s="39"/>
      <c r="N951" s="64">
        <v>58747168</v>
      </c>
      <c r="O951" s="64">
        <v>46385807</v>
      </c>
      <c r="P951" s="64">
        <v>6347868</v>
      </c>
      <c r="Q951" s="64">
        <v>71992223</v>
      </c>
      <c r="R951" s="65">
        <v>67096616</v>
      </c>
    </row>
    <row r="952" spans="1:26" ht="9" customHeight="1" x14ac:dyDescent="0.2">
      <c r="A952" s="95"/>
      <c r="B952" s="95"/>
      <c r="C952" s="44"/>
      <c r="D952" s="45"/>
      <c r="E952" s="96"/>
      <c r="F952" s="96"/>
      <c r="G952" s="96"/>
      <c r="H952" s="96"/>
      <c r="I952" s="96"/>
      <c r="J952" s="54"/>
      <c r="K952" s="96"/>
      <c r="L952" s="96"/>
      <c r="M952" s="39"/>
      <c r="N952" s="96"/>
      <c r="O952" s="96"/>
      <c r="P952" s="96"/>
      <c r="Q952" s="96"/>
      <c r="R952" s="7"/>
      <c r="S952" s="7"/>
      <c r="T952" s="7"/>
      <c r="U952" s="7"/>
      <c r="V952" s="7"/>
      <c r="W952" s="7"/>
      <c r="X952" s="7"/>
      <c r="Y952" s="7"/>
      <c r="Z952" s="7"/>
    </row>
    <row r="953" spans="1:26" ht="9" customHeight="1" x14ac:dyDescent="0.2">
      <c r="A953" s="95"/>
      <c r="B953" s="95"/>
      <c r="C953" s="44"/>
      <c r="D953" s="45"/>
      <c r="E953" s="96"/>
      <c r="F953" s="96"/>
      <c r="G953" s="96"/>
      <c r="H953" s="96"/>
      <c r="I953" s="96"/>
      <c r="J953" s="54"/>
      <c r="K953" s="96"/>
      <c r="L953" s="96"/>
      <c r="M953" s="39"/>
      <c r="N953" s="96"/>
      <c r="O953" s="96"/>
      <c r="P953" s="96"/>
      <c r="Q953" s="96"/>
      <c r="R953" s="7"/>
      <c r="S953" s="7"/>
      <c r="T953" s="7"/>
      <c r="U953" s="7"/>
      <c r="V953" s="7"/>
      <c r="W953" s="7"/>
      <c r="X953" s="7"/>
      <c r="Y953" s="7"/>
      <c r="Z953" s="7"/>
    </row>
    <row r="954" spans="1:26" ht="9" customHeight="1" x14ac:dyDescent="0.2">
      <c r="A954" s="95"/>
      <c r="B954" s="95"/>
      <c r="C954" s="44"/>
      <c r="D954" s="45"/>
      <c r="E954" s="96"/>
      <c r="F954" s="96"/>
      <c r="G954" s="96"/>
      <c r="H954" s="96"/>
      <c r="I954" s="96"/>
      <c r="J954" s="54"/>
      <c r="K954" s="96"/>
      <c r="L954" s="96"/>
      <c r="M954" s="39"/>
      <c r="N954" s="96"/>
      <c r="O954" s="96"/>
      <c r="P954" s="96"/>
      <c r="Q954" s="96"/>
      <c r="R954" s="7"/>
      <c r="S954" s="7"/>
      <c r="T954" s="7"/>
      <c r="U954" s="7"/>
      <c r="V954" s="7"/>
      <c r="W954" s="7"/>
      <c r="X954" s="7"/>
      <c r="Y954" s="7"/>
      <c r="Z954" s="7"/>
    </row>
    <row r="955" spans="1:26" ht="9" customHeight="1" x14ac:dyDescent="0.2">
      <c r="A955" s="95"/>
      <c r="B955" s="95"/>
      <c r="C955" s="44"/>
      <c r="D955" s="45"/>
      <c r="E955" s="96"/>
      <c r="F955" s="96"/>
      <c r="G955" s="96"/>
      <c r="H955" s="96"/>
      <c r="I955" s="96"/>
      <c r="J955" s="54"/>
      <c r="K955" s="96"/>
      <c r="L955" s="96"/>
      <c r="M955" s="39"/>
      <c r="N955" s="96"/>
      <c r="O955" s="96"/>
      <c r="P955" s="96"/>
      <c r="Q955" s="96"/>
      <c r="R955" s="7"/>
      <c r="S955" s="7"/>
      <c r="T955" s="7"/>
      <c r="U955" s="7"/>
      <c r="V955" s="7"/>
      <c r="W955" s="7"/>
      <c r="X955" s="7"/>
      <c r="Y955" s="7"/>
      <c r="Z955" s="7"/>
    </row>
    <row r="956" spans="1:26" ht="9" customHeight="1" x14ac:dyDescent="0.2">
      <c r="A956" s="95"/>
      <c r="B956" s="95"/>
      <c r="C956" s="44"/>
      <c r="D956" s="45"/>
      <c r="E956" s="96"/>
      <c r="F956" s="96"/>
      <c r="G956" s="96"/>
      <c r="H956" s="96"/>
      <c r="I956" s="96"/>
      <c r="J956" s="54"/>
      <c r="K956" s="96"/>
      <c r="L956" s="96"/>
      <c r="M956" s="39"/>
      <c r="N956" s="96"/>
      <c r="O956" s="96"/>
      <c r="P956" s="96"/>
      <c r="Q956" s="96"/>
      <c r="R956" s="7"/>
      <c r="S956" s="7"/>
      <c r="T956" s="7"/>
      <c r="U956" s="7"/>
      <c r="V956" s="7"/>
      <c r="W956" s="7"/>
      <c r="X956" s="7"/>
      <c r="Y956" s="7"/>
      <c r="Z956" s="7"/>
    </row>
    <row r="957" spans="1:26" ht="9" customHeight="1" x14ac:dyDescent="0.2">
      <c r="A957" s="95"/>
      <c r="B957" s="95"/>
      <c r="C957" s="44"/>
      <c r="D957" s="45"/>
      <c r="E957" s="96"/>
      <c r="F957" s="96"/>
      <c r="G957" s="96"/>
      <c r="H957" s="96"/>
      <c r="I957" s="96"/>
      <c r="J957" s="54"/>
      <c r="K957" s="96"/>
      <c r="L957" s="96"/>
      <c r="M957" s="39"/>
      <c r="N957" s="96"/>
      <c r="O957" s="96"/>
      <c r="P957" s="96"/>
      <c r="Q957" s="96"/>
      <c r="R957" s="7"/>
      <c r="S957" s="7"/>
      <c r="T957" s="7"/>
      <c r="U957" s="7"/>
      <c r="V957" s="7"/>
      <c r="W957" s="7"/>
      <c r="X957" s="7"/>
      <c r="Y957" s="7"/>
      <c r="Z957" s="7"/>
    </row>
    <row r="958" spans="1:26" ht="9" customHeight="1" x14ac:dyDescent="0.2">
      <c r="A958" s="95"/>
      <c r="B958" s="95"/>
      <c r="C958" s="44"/>
      <c r="D958" s="45"/>
      <c r="E958" s="96"/>
      <c r="F958" s="96"/>
      <c r="G958" s="96"/>
      <c r="H958" s="96"/>
      <c r="I958" s="96"/>
      <c r="J958" s="54"/>
      <c r="K958" s="96"/>
      <c r="L958" s="96"/>
      <c r="M958" s="39"/>
      <c r="N958" s="96"/>
      <c r="O958" s="96"/>
      <c r="P958" s="96"/>
      <c r="Q958" s="96"/>
      <c r="R958" s="7"/>
      <c r="S958" s="7"/>
      <c r="T958" s="7"/>
      <c r="U958" s="7"/>
      <c r="V958" s="7"/>
      <c r="W958" s="7"/>
      <c r="X958" s="7"/>
      <c r="Y958" s="7"/>
      <c r="Z958" s="7"/>
    </row>
    <row r="959" spans="1:26" ht="9" customHeight="1" x14ac:dyDescent="0.2">
      <c r="A959" s="95"/>
      <c r="B959" s="95"/>
      <c r="C959" s="44"/>
      <c r="D959" s="45"/>
      <c r="E959" s="96"/>
      <c r="F959" s="96"/>
      <c r="G959" s="96"/>
      <c r="H959" s="96"/>
      <c r="I959" s="96"/>
      <c r="J959" s="54"/>
      <c r="K959" s="96"/>
      <c r="L959" s="96"/>
      <c r="M959" s="39"/>
      <c r="N959" s="96"/>
      <c r="O959" s="96"/>
      <c r="P959" s="96"/>
      <c r="Q959" s="96"/>
      <c r="R959" s="7"/>
      <c r="S959" s="7"/>
      <c r="T959" s="7"/>
      <c r="U959" s="7"/>
      <c r="V959" s="7"/>
      <c r="W959" s="7"/>
      <c r="X959" s="7"/>
      <c r="Y959" s="7"/>
      <c r="Z959" s="7"/>
    </row>
    <row r="960" spans="1:26" s="7" customFormat="1" ht="12.75" customHeight="1" x14ac:dyDescent="0.2">
      <c r="A960" s="522">
        <v>43466</v>
      </c>
      <c r="B960" s="522">
        <v>43830</v>
      </c>
      <c r="C960" s="57" t="s">
        <v>36</v>
      </c>
      <c r="D960" s="58">
        <v>0</v>
      </c>
      <c r="E960" s="59">
        <v>13944.29</v>
      </c>
      <c r="F960" s="59"/>
      <c r="G960" s="59"/>
      <c r="H960" s="59">
        <v>6384.11</v>
      </c>
      <c r="I960" s="59"/>
      <c r="J960" s="59">
        <v>1685.49</v>
      </c>
      <c r="K960" s="59">
        <v>20225.830000000002</v>
      </c>
      <c r="L960" s="60">
        <v>21911.32</v>
      </c>
      <c r="M960" s="33"/>
      <c r="N960" s="59">
        <v>20225.830000000002</v>
      </c>
      <c r="O960" s="59">
        <v>13841.72</v>
      </c>
      <c r="P960" s="59">
        <v>2094</v>
      </c>
      <c r="Q960" s="59">
        <v>24402.83</v>
      </c>
      <c r="R960" s="59">
        <v>22717.34</v>
      </c>
    </row>
    <row r="961" spans="1:26" s="7" customFormat="1" ht="9" customHeight="1" x14ac:dyDescent="0.2">
      <c r="A961" s="523"/>
      <c r="B961" s="523"/>
      <c r="C961" s="62" t="s">
        <v>37</v>
      </c>
      <c r="D961" s="63">
        <v>8</v>
      </c>
      <c r="E961" s="64">
        <v>26637499</v>
      </c>
      <c r="F961" s="65"/>
      <c r="G961" s="65"/>
      <c r="H961" s="64">
        <v>12361361</v>
      </c>
      <c r="I961" s="64"/>
      <c r="J961" s="66">
        <v>3263564</v>
      </c>
      <c r="K961" s="66">
        <v>39162668</v>
      </c>
      <c r="L961" s="64">
        <v>42426232</v>
      </c>
      <c r="M961" s="39"/>
      <c r="N961" s="65">
        <v>39162668</v>
      </c>
      <c r="O961" s="65">
        <v>26801307</v>
      </c>
      <c r="P961" s="65">
        <v>4054549</v>
      </c>
      <c r="Q961" s="65">
        <v>47250468</v>
      </c>
      <c r="R961" s="65">
        <v>43986904</v>
      </c>
    </row>
    <row r="962" spans="1:26" s="7" customFormat="1" ht="12.75" customHeight="1" x14ac:dyDescent="0.2">
      <c r="A962" s="520">
        <f>A960</f>
        <v>43466</v>
      </c>
      <c r="B962" s="520">
        <f>B960</f>
        <v>43830</v>
      </c>
      <c r="C962" s="68" t="s">
        <v>36</v>
      </c>
      <c r="D962" s="69">
        <v>9</v>
      </c>
      <c r="E962" s="59">
        <v>16166.48</v>
      </c>
      <c r="F962" s="59"/>
      <c r="G962" s="59"/>
      <c r="H962" s="59">
        <v>6384.11</v>
      </c>
      <c r="I962" s="59"/>
      <c r="J962" s="59">
        <v>1869.74</v>
      </c>
      <c r="K962" s="59">
        <v>16918.52</v>
      </c>
      <c r="L962" s="60">
        <v>18788.259999999998</v>
      </c>
      <c r="M962" s="33"/>
      <c r="N962" s="59">
        <v>22436.85</v>
      </c>
      <c r="O962" s="59">
        <v>16052.74</v>
      </c>
      <c r="P962" s="59">
        <v>2094</v>
      </c>
      <c r="Q962" s="59">
        <v>27196.080000000002</v>
      </c>
      <c r="R962" s="59">
        <v>25326.34</v>
      </c>
    </row>
    <row r="963" spans="1:26" s="7" customFormat="1" ht="9" customHeight="1" x14ac:dyDescent="0.2">
      <c r="A963" s="520"/>
      <c r="B963" s="520"/>
      <c r="C963" s="62" t="s">
        <v>37</v>
      </c>
      <c r="D963" s="63">
        <v>14</v>
      </c>
      <c r="E963" s="64">
        <v>26637499</v>
      </c>
      <c r="F963" s="65"/>
      <c r="G963" s="65"/>
      <c r="H963" s="64">
        <v>12361361</v>
      </c>
      <c r="I963" s="64"/>
      <c r="J963" s="66">
        <v>3620321</v>
      </c>
      <c r="K963" s="64">
        <v>32758823</v>
      </c>
      <c r="L963" s="64">
        <v>36379144</v>
      </c>
      <c r="M963" s="39"/>
      <c r="N963" s="65">
        <v>43443800</v>
      </c>
      <c r="O963" s="65">
        <v>31082439</v>
      </c>
      <c r="P963" s="65">
        <v>4054549</v>
      </c>
      <c r="Q963" s="65">
        <v>52658954</v>
      </c>
      <c r="R963" s="65">
        <v>49038632</v>
      </c>
    </row>
    <row r="964" spans="1:26" s="7" customFormat="1" ht="12.75" customHeight="1" x14ac:dyDescent="0.2">
      <c r="A964" s="520"/>
      <c r="B964" s="520"/>
      <c r="C964" s="68" t="s">
        <v>36</v>
      </c>
      <c r="D964" s="69">
        <v>15</v>
      </c>
      <c r="E964" s="59">
        <v>18122.48</v>
      </c>
      <c r="F964" s="59"/>
      <c r="G964" s="59"/>
      <c r="H964" s="59">
        <v>6384.11</v>
      </c>
      <c r="I964" s="59"/>
      <c r="J964" s="59">
        <v>2031.91</v>
      </c>
      <c r="K964" s="59">
        <v>17933.73</v>
      </c>
      <c r="L964" s="60">
        <v>19965.64</v>
      </c>
      <c r="M964" s="33"/>
      <c r="N964" s="59">
        <v>24382.94</v>
      </c>
      <c r="O964" s="59">
        <v>17998.830000000002</v>
      </c>
      <c r="P964" s="59">
        <v>2577.6</v>
      </c>
      <c r="Q964" s="59">
        <v>29654.639999999999</v>
      </c>
      <c r="R964" s="59">
        <v>27622.73</v>
      </c>
    </row>
    <row r="965" spans="1:26" s="7" customFormat="1" ht="9" customHeight="1" x14ac:dyDescent="0.2">
      <c r="A965" s="520"/>
      <c r="B965" s="520"/>
      <c r="C965" s="62" t="s">
        <v>37</v>
      </c>
      <c r="D965" s="63">
        <v>20</v>
      </c>
      <c r="E965" s="64">
        <v>26637499</v>
      </c>
      <c r="F965" s="65"/>
      <c r="G965" s="65"/>
      <c r="H965" s="64">
        <v>12361361</v>
      </c>
      <c r="I965" s="64"/>
      <c r="J965" s="66">
        <v>3934326</v>
      </c>
      <c r="K965" s="64">
        <v>34724543</v>
      </c>
      <c r="L965" s="64">
        <v>38658870</v>
      </c>
      <c r="M965" s="39"/>
      <c r="N965" s="65">
        <v>47211955</v>
      </c>
      <c r="O965" s="65">
        <v>34850595</v>
      </c>
      <c r="P965" s="65">
        <v>4990930</v>
      </c>
      <c r="Q965" s="65">
        <v>57419390</v>
      </c>
      <c r="R965" s="65">
        <v>53485063</v>
      </c>
    </row>
    <row r="966" spans="1:26" s="7" customFormat="1" ht="12.75" customHeight="1" x14ac:dyDescent="0.2">
      <c r="A966" s="520"/>
      <c r="B966" s="520"/>
      <c r="C966" s="68" t="s">
        <v>36</v>
      </c>
      <c r="D966" s="69">
        <v>21</v>
      </c>
      <c r="E966" s="59">
        <v>20962.45</v>
      </c>
      <c r="F966" s="59"/>
      <c r="G966" s="59"/>
      <c r="H966" s="59">
        <v>6384.11</v>
      </c>
      <c r="I966" s="59"/>
      <c r="J966" s="59">
        <v>2267.36</v>
      </c>
      <c r="K966" s="59">
        <v>18921.79</v>
      </c>
      <c r="L966" s="60">
        <v>21189.15</v>
      </c>
      <c r="M966" s="33"/>
      <c r="N966" s="59">
        <v>27208.29</v>
      </c>
      <c r="O966" s="59">
        <v>20824.18</v>
      </c>
      <c r="P966" s="59">
        <v>2577.6</v>
      </c>
      <c r="Q966" s="59">
        <v>33224</v>
      </c>
      <c r="R966" s="59">
        <v>30956.639999999999</v>
      </c>
    </row>
    <row r="967" spans="1:26" s="7" customFormat="1" ht="9" customHeight="1" x14ac:dyDescent="0.2">
      <c r="A967" s="520"/>
      <c r="B967" s="520"/>
      <c r="C967" s="62" t="s">
        <v>37</v>
      </c>
      <c r="D967" s="63">
        <v>27</v>
      </c>
      <c r="E967" s="64">
        <v>26637499</v>
      </c>
      <c r="F967" s="65"/>
      <c r="G967" s="65"/>
      <c r="H967" s="64">
        <v>12361361</v>
      </c>
      <c r="I967" s="64"/>
      <c r="J967" s="66">
        <v>4390221</v>
      </c>
      <c r="K967" s="64">
        <v>36637694</v>
      </c>
      <c r="L967" s="64">
        <v>41027915</v>
      </c>
      <c r="M967" s="39"/>
      <c r="N967" s="65">
        <v>52682596</v>
      </c>
      <c r="O967" s="65">
        <v>40321235</v>
      </c>
      <c r="P967" s="65">
        <v>4990930</v>
      </c>
      <c r="Q967" s="65">
        <v>64330634</v>
      </c>
      <c r="R967" s="65">
        <v>59940413</v>
      </c>
    </row>
    <row r="968" spans="1:26" s="7" customFormat="1" ht="12.75" customHeight="1" x14ac:dyDescent="0.2">
      <c r="A968" s="520"/>
      <c r="B968" s="520"/>
      <c r="C968" s="68" t="s">
        <v>36</v>
      </c>
      <c r="D968" s="69">
        <v>28</v>
      </c>
      <c r="E968" s="59">
        <v>22822.48</v>
      </c>
      <c r="F968" s="59"/>
      <c r="G968" s="59"/>
      <c r="H968" s="59">
        <v>6384.11</v>
      </c>
      <c r="I968" s="59"/>
      <c r="J968" s="59">
        <v>2421.61</v>
      </c>
      <c r="K968" s="59">
        <v>19673.080000000002</v>
      </c>
      <c r="L968" s="60">
        <v>22094.69</v>
      </c>
      <c r="M968" s="33"/>
      <c r="N968" s="59">
        <v>29059.35</v>
      </c>
      <c r="O968" s="59">
        <v>22675.24</v>
      </c>
      <c r="P968" s="59">
        <v>3278.4</v>
      </c>
      <c r="Q968" s="59">
        <v>35562.5</v>
      </c>
      <c r="R968" s="59">
        <v>33140.89</v>
      </c>
    </row>
    <row r="969" spans="1:26" s="7" customFormat="1" ht="9" customHeight="1" x14ac:dyDescent="0.2">
      <c r="A969" s="520"/>
      <c r="B969" s="520"/>
      <c r="C969" s="62" t="s">
        <v>37</v>
      </c>
      <c r="D969" s="63">
        <v>34</v>
      </c>
      <c r="E969" s="64">
        <v>26637499</v>
      </c>
      <c r="F969" s="65"/>
      <c r="G969" s="65"/>
      <c r="H969" s="64">
        <v>12361361</v>
      </c>
      <c r="I969" s="64"/>
      <c r="J969" s="66">
        <v>4688891</v>
      </c>
      <c r="K969" s="64">
        <v>38092395</v>
      </c>
      <c r="L969" s="64">
        <v>42781285</v>
      </c>
      <c r="M969" s="39"/>
      <c r="N969" s="65">
        <v>56266748</v>
      </c>
      <c r="O969" s="65">
        <v>43905387</v>
      </c>
      <c r="P969" s="65">
        <v>6347868</v>
      </c>
      <c r="Q969" s="65">
        <v>68858602</v>
      </c>
      <c r="R969" s="64">
        <v>64169711</v>
      </c>
    </row>
    <row r="970" spans="1:26" s="7" customFormat="1" ht="12.75" customHeight="1" x14ac:dyDescent="0.2">
      <c r="A970" s="520"/>
      <c r="B970" s="520"/>
      <c r="C970" s="68" t="s">
        <v>36</v>
      </c>
      <c r="D970" s="69">
        <v>35</v>
      </c>
      <c r="E970" s="59">
        <v>24238.309999999998</v>
      </c>
      <c r="F970" s="59"/>
      <c r="G970" s="59"/>
      <c r="H970" s="59">
        <v>6384.11</v>
      </c>
      <c r="I970" s="59"/>
      <c r="J970" s="59">
        <v>2538.9899999999998</v>
      </c>
      <c r="K970" s="59">
        <v>20206.89</v>
      </c>
      <c r="L970" s="60">
        <v>22745.88</v>
      </c>
      <c r="M970" s="33"/>
      <c r="N970" s="59">
        <v>30467.82</v>
      </c>
      <c r="O970" s="59">
        <v>24083.71</v>
      </c>
      <c r="P970" s="59">
        <v>3278.4</v>
      </c>
      <c r="Q970" s="59">
        <v>37341.879999999997</v>
      </c>
      <c r="R970" s="59">
        <v>34802.89</v>
      </c>
    </row>
    <row r="971" spans="1:26" s="7" customFormat="1" ht="9" customHeight="1" x14ac:dyDescent="0.2">
      <c r="A971" s="521"/>
      <c r="B971" s="521"/>
      <c r="C971" s="71" t="s">
        <v>37</v>
      </c>
      <c r="D971" s="72"/>
      <c r="E971" s="64">
        <v>26637499</v>
      </c>
      <c r="F971" s="64"/>
      <c r="G971" s="64"/>
      <c r="H971" s="64">
        <v>12361361</v>
      </c>
      <c r="I971" s="64"/>
      <c r="J971" s="64">
        <v>4916170</v>
      </c>
      <c r="K971" s="64">
        <v>39125995</v>
      </c>
      <c r="L971" s="64">
        <v>44042165</v>
      </c>
      <c r="M971" s="39"/>
      <c r="N971" s="64">
        <v>58993926</v>
      </c>
      <c r="O971" s="65">
        <v>46632565</v>
      </c>
      <c r="P971" s="64">
        <v>6347868</v>
      </c>
      <c r="Q971" s="64">
        <v>72303962</v>
      </c>
      <c r="R971" s="64">
        <v>67387792</v>
      </c>
    </row>
    <row r="972" spans="1:26" ht="9" customHeight="1" x14ac:dyDescent="0.2">
      <c r="A972" s="95"/>
      <c r="B972" s="95"/>
      <c r="C972" s="44"/>
      <c r="D972" s="45"/>
      <c r="E972" s="96"/>
      <c r="F972" s="96"/>
      <c r="G972" s="96"/>
      <c r="H972" s="96"/>
      <c r="I972" s="96"/>
      <c r="J972" s="54"/>
      <c r="K972" s="96"/>
      <c r="L972" s="96"/>
      <c r="M972" s="39"/>
      <c r="N972" s="96"/>
      <c r="O972" s="96"/>
      <c r="P972" s="96"/>
      <c r="Q972" s="96"/>
      <c r="R972" s="7"/>
      <c r="S972" s="7"/>
      <c r="T972" s="7"/>
      <c r="U972" s="7"/>
      <c r="V972" s="7"/>
      <c r="W972" s="7"/>
      <c r="X972" s="7"/>
      <c r="Y972" s="7"/>
      <c r="Z972" s="7"/>
    </row>
    <row r="973" spans="1:26" ht="9" customHeight="1" x14ac:dyDescent="0.2">
      <c r="A973" s="95"/>
      <c r="B973" s="95"/>
      <c r="C973" s="44"/>
      <c r="D973" s="45"/>
      <c r="E973" s="96"/>
      <c r="F973" s="96"/>
      <c r="G973" s="96"/>
      <c r="H973" s="96"/>
      <c r="I973" s="96"/>
      <c r="J973" s="54"/>
      <c r="K973" s="96"/>
      <c r="L973" s="96"/>
      <c r="M973" s="39"/>
      <c r="N973" s="96"/>
      <c r="O973" s="96"/>
      <c r="P973" s="96"/>
      <c r="Q973" s="96"/>
      <c r="R973" s="7"/>
      <c r="S973" s="7"/>
      <c r="T973" s="7"/>
      <c r="U973" s="7"/>
      <c r="V973" s="7"/>
      <c r="W973" s="7"/>
      <c r="X973" s="7"/>
      <c r="Y973" s="7"/>
      <c r="Z973" s="7"/>
    </row>
    <row r="974" spans="1:26" ht="9" customHeight="1" x14ac:dyDescent="0.2">
      <c r="A974" s="95"/>
      <c r="B974" s="95"/>
      <c r="C974" s="44"/>
      <c r="D974" s="45"/>
      <c r="E974" s="96"/>
      <c r="F974" s="96"/>
      <c r="G974" s="96"/>
      <c r="H974" s="96"/>
      <c r="I974" s="96"/>
      <c r="J974" s="54"/>
      <c r="K974" s="96"/>
      <c r="L974" s="96"/>
      <c r="M974" s="39"/>
      <c r="N974" s="96"/>
      <c r="O974" s="96"/>
      <c r="P974" s="96"/>
      <c r="Q974" s="96"/>
      <c r="R974" s="7"/>
      <c r="S974" s="7"/>
      <c r="T974" s="7"/>
      <c r="U974" s="7"/>
      <c r="V974" s="7"/>
      <c r="W974" s="7"/>
      <c r="X974" s="7"/>
      <c r="Y974" s="7"/>
      <c r="Z974" s="7"/>
    </row>
    <row r="975" spans="1:26" ht="9" customHeight="1" x14ac:dyDescent="0.2">
      <c r="A975" s="95"/>
      <c r="B975" s="95"/>
      <c r="C975" s="44"/>
      <c r="D975" s="45"/>
      <c r="E975" s="96"/>
      <c r="F975" s="96"/>
      <c r="G975" s="96"/>
      <c r="H975" s="96"/>
      <c r="I975" s="96"/>
      <c r="J975" s="54"/>
      <c r="K975" s="96"/>
      <c r="L975" s="96"/>
      <c r="M975" s="39"/>
      <c r="N975" s="96"/>
      <c r="O975" s="96"/>
      <c r="P975" s="96"/>
      <c r="Q975" s="96"/>
      <c r="R975" s="7"/>
      <c r="S975" s="7"/>
      <c r="T975" s="7"/>
      <c r="U975" s="7"/>
      <c r="V975" s="7"/>
      <c r="W975" s="7"/>
      <c r="X975" s="7"/>
      <c r="Y975" s="7"/>
      <c r="Z975" s="7"/>
    </row>
    <row r="976" spans="1:26" ht="9" customHeight="1" x14ac:dyDescent="0.2">
      <c r="A976" s="95"/>
      <c r="B976" s="95"/>
      <c r="C976" s="44"/>
      <c r="D976" s="45"/>
      <c r="E976" s="96"/>
      <c r="F976" s="96"/>
      <c r="G976" s="96"/>
      <c r="H976" s="96"/>
      <c r="I976" s="96"/>
      <c r="J976" s="54"/>
      <c r="K976" s="96"/>
      <c r="L976" s="96"/>
      <c r="M976" s="39"/>
      <c r="N976" s="96"/>
      <c r="O976" s="96"/>
      <c r="P976" s="96"/>
      <c r="Q976" s="96"/>
      <c r="R976" s="7"/>
      <c r="S976" s="7"/>
      <c r="T976" s="7"/>
      <c r="U976" s="7"/>
      <c r="V976" s="7"/>
      <c r="W976" s="7"/>
      <c r="X976" s="7"/>
      <c r="Y976" s="7"/>
      <c r="Z976" s="7"/>
    </row>
    <row r="977" spans="1:26" ht="9" customHeight="1" x14ac:dyDescent="0.2">
      <c r="A977" s="95"/>
      <c r="B977" s="95"/>
      <c r="C977" s="44"/>
      <c r="D977" s="45"/>
      <c r="E977" s="96"/>
      <c r="F977" s="96"/>
      <c r="G977" s="96"/>
      <c r="H977" s="96"/>
      <c r="I977" s="96"/>
      <c r="J977" s="54"/>
      <c r="K977" s="96"/>
      <c r="L977" s="96"/>
      <c r="M977" s="39"/>
      <c r="N977" s="96"/>
      <c r="O977" s="96"/>
      <c r="P977" s="96"/>
      <c r="Q977" s="96"/>
      <c r="R977" s="7"/>
      <c r="S977" s="7"/>
      <c r="T977" s="7"/>
      <c r="U977" s="7"/>
      <c r="V977" s="7"/>
      <c r="W977" s="7"/>
      <c r="X977" s="7"/>
      <c r="Y977" s="7"/>
      <c r="Z977" s="7"/>
    </row>
    <row r="978" spans="1:26" ht="9" customHeight="1" x14ac:dyDescent="0.2">
      <c r="A978" s="95"/>
      <c r="B978" s="95"/>
      <c r="C978" s="44"/>
      <c r="D978" s="45"/>
      <c r="E978" s="96"/>
      <c r="F978" s="96"/>
      <c r="G978" s="96"/>
      <c r="H978" s="96"/>
      <c r="I978" s="96"/>
      <c r="J978" s="54"/>
      <c r="K978" s="96"/>
      <c r="L978" s="96"/>
      <c r="M978" s="39"/>
      <c r="N978" s="96"/>
      <c r="O978" s="96"/>
      <c r="P978" s="96"/>
      <c r="Q978" s="96"/>
      <c r="R978" s="7"/>
      <c r="S978" s="7"/>
      <c r="T978" s="7"/>
      <c r="U978" s="7"/>
      <c r="V978" s="7"/>
      <c r="W978" s="7"/>
      <c r="X978" s="7"/>
      <c r="Y978" s="7"/>
      <c r="Z978" s="7"/>
    </row>
    <row r="979" spans="1:26" ht="9" customHeight="1" x14ac:dyDescent="0.2">
      <c r="A979" s="95"/>
      <c r="B979" s="95"/>
      <c r="C979" s="44"/>
      <c r="D979" s="45"/>
      <c r="E979" s="96"/>
      <c r="F979" s="96"/>
      <c r="G979" s="96"/>
      <c r="H979" s="96"/>
      <c r="I979" s="96"/>
      <c r="J979" s="54"/>
      <c r="K979" s="96"/>
      <c r="L979" s="96"/>
      <c r="M979" s="39"/>
      <c r="N979" s="96"/>
      <c r="O979" s="96"/>
      <c r="P979" s="96"/>
      <c r="Q979" s="96"/>
      <c r="R979" s="7"/>
      <c r="S979" s="7"/>
      <c r="T979" s="7"/>
      <c r="U979" s="7"/>
      <c r="V979" s="7"/>
      <c r="W979" s="7"/>
      <c r="X979" s="7"/>
      <c r="Y979" s="7"/>
      <c r="Z979" s="7"/>
    </row>
    <row r="980" spans="1:26" s="7" customFormat="1" ht="12.75" customHeight="1" x14ac:dyDescent="0.2">
      <c r="A980" s="522">
        <v>43831</v>
      </c>
      <c r="B980" s="522">
        <v>44196</v>
      </c>
      <c r="C980" s="57" t="s">
        <v>36</v>
      </c>
      <c r="D980" s="58">
        <v>0</v>
      </c>
      <c r="E980" s="59">
        <v>14101.489999999998</v>
      </c>
      <c r="F980" s="59"/>
      <c r="G980" s="59"/>
      <c r="H980" s="59">
        <v>6384.11</v>
      </c>
      <c r="I980" s="59"/>
      <c r="J980" s="59">
        <v>1690.19</v>
      </c>
      <c r="K980" s="59">
        <v>20282.23</v>
      </c>
      <c r="L980" s="60">
        <v>21972.42</v>
      </c>
      <c r="M980" s="33"/>
      <c r="N980" s="59">
        <v>20282.23</v>
      </c>
      <c r="O980" s="59">
        <v>13898.12</v>
      </c>
      <c r="P980" s="59">
        <v>2094</v>
      </c>
      <c r="Q980" s="59">
        <v>24474.080000000002</v>
      </c>
      <c r="R980" s="59">
        <v>22783.89</v>
      </c>
    </row>
    <row r="981" spans="1:26" s="7" customFormat="1" ht="9" customHeight="1" x14ac:dyDescent="0.2">
      <c r="A981" s="523"/>
      <c r="B981" s="523"/>
      <c r="C981" s="62" t="s">
        <v>37</v>
      </c>
      <c r="D981" s="63">
        <v>8</v>
      </c>
      <c r="E981" s="64">
        <v>26637499</v>
      </c>
      <c r="F981" s="65"/>
      <c r="G981" s="65"/>
      <c r="H981" s="64">
        <v>12361361</v>
      </c>
      <c r="I981" s="64"/>
      <c r="J981" s="66">
        <v>3272664</v>
      </c>
      <c r="K981" s="66">
        <v>39271873</v>
      </c>
      <c r="L981" s="64">
        <v>42544538</v>
      </c>
      <c r="M981" s="39"/>
      <c r="N981" s="65">
        <v>39271873</v>
      </c>
      <c r="O981" s="65">
        <v>26910513</v>
      </c>
      <c r="P981" s="65">
        <v>4054549</v>
      </c>
      <c r="Q981" s="65">
        <v>47388427</v>
      </c>
      <c r="R981" s="64">
        <v>44115763</v>
      </c>
    </row>
    <row r="982" spans="1:26" s="7" customFormat="1" ht="12.75" customHeight="1" x14ac:dyDescent="0.2">
      <c r="A982" s="520">
        <f>A980</f>
        <v>43831</v>
      </c>
      <c r="B982" s="520">
        <f>B980</f>
        <v>44196</v>
      </c>
      <c r="C982" s="68" t="s">
        <v>36</v>
      </c>
      <c r="D982" s="69">
        <v>9</v>
      </c>
      <c r="E982" s="59">
        <v>16341.68</v>
      </c>
      <c r="F982" s="59"/>
      <c r="G982" s="59"/>
      <c r="H982" s="59">
        <v>6384.11</v>
      </c>
      <c r="I982" s="59"/>
      <c r="J982" s="59">
        <v>1874.95</v>
      </c>
      <c r="K982" s="59">
        <v>16918.52</v>
      </c>
      <c r="L982" s="60">
        <v>18793.47</v>
      </c>
      <c r="M982" s="33"/>
      <c r="N982" s="59">
        <v>22499.37</v>
      </c>
      <c r="O982" s="59">
        <v>16115.26</v>
      </c>
      <c r="P982" s="59">
        <v>2094</v>
      </c>
      <c r="Q982" s="59">
        <v>27275.07</v>
      </c>
      <c r="R982" s="59">
        <v>25400.12</v>
      </c>
    </row>
    <row r="983" spans="1:26" s="7" customFormat="1" ht="9" customHeight="1" x14ac:dyDescent="0.2">
      <c r="A983" s="520"/>
      <c r="B983" s="520"/>
      <c r="C983" s="62" t="s">
        <v>37</v>
      </c>
      <c r="D983" s="63">
        <v>14</v>
      </c>
      <c r="E983" s="64">
        <v>26637499</v>
      </c>
      <c r="F983" s="65"/>
      <c r="G983" s="65"/>
      <c r="H983" s="64">
        <v>12361361</v>
      </c>
      <c r="I983" s="64"/>
      <c r="J983" s="66">
        <v>3630409</v>
      </c>
      <c r="K983" s="64">
        <v>32758823</v>
      </c>
      <c r="L983" s="64">
        <v>36389232</v>
      </c>
      <c r="M983" s="39"/>
      <c r="N983" s="65">
        <v>43564855</v>
      </c>
      <c r="O983" s="65">
        <v>31203494</v>
      </c>
      <c r="P983" s="65">
        <v>4054549</v>
      </c>
      <c r="Q983" s="65">
        <v>52811900</v>
      </c>
      <c r="R983" s="64">
        <v>49181490</v>
      </c>
    </row>
    <row r="984" spans="1:26" s="7" customFormat="1" ht="12.75" customHeight="1" x14ac:dyDescent="0.2">
      <c r="A984" s="520"/>
      <c r="B984" s="520"/>
      <c r="C984" s="68" t="s">
        <v>36</v>
      </c>
      <c r="D984" s="69">
        <v>15</v>
      </c>
      <c r="E984" s="59">
        <v>18312.079999999998</v>
      </c>
      <c r="F984" s="59"/>
      <c r="G984" s="59"/>
      <c r="H984" s="59">
        <v>6384.11</v>
      </c>
      <c r="I984" s="59"/>
      <c r="J984" s="59">
        <v>2037.57</v>
      </c>
      <c r="K984" s="59">
        <v>17933.73</v>
      </c>
      <c r="L984" s="60">
        <v>19971.3</v>
      </c>
      <c r="M984" s="33"/>
      <c r="N984" s="59">
        <v>24450.86</v>
      </c>
      <c r="O984" s="59">
        <v>18066.75</v>
      </c>
      <c r="P984" s="59">
        <v>2577.6</v>
      </c>
      <c r="Q984" s="59">
        <v>29740.45</v>
      </c>
      <c r="R984" s="59">
        <v>27702.880000000001</v>
      </c>
    </row>
    <row r="985" spans="1:26" s="7" customFormat="1" ht="9" customHeight="1" x14ac:dyDescent="0.2">
      <c r="A985" s="520"/>
      <c r="B985" s="520"/>
      <c r="C985" s="62" t="s">
        <v>37</v>
      </c>
      <c r="D985" s="63">
        <v>20</v>
      </c>
      <c r="E985" s="64">
        <v>26637499</v>
      </c>
      <c r="F985" s="65"/>
      <c r="G985" s="65"/>
      <c r="H985" s="64">
        <v>12361361</v>
      </c>
      <c r="I985" s="64"/>
      <c r="J985" s="66">
        <v>3945286</v>
      </c>
      <c r="K985" s="64">
        <v>34724543</v>
      </c>
      <c r="L985" s="64">
        <v>38669829</v>
      </c>
      <c r="M985" s="39"/>
      <c r="N985" s="65">
        <v>47343467</v>
      </c>
      <c r="O985" s="65">
        <v>34982106</v>
      </c>
      <c r="P985" s="65">
        <v>4990930</v>
      </c>
      <c r="Q985" s="65">
        <v>57585541</v>
      </c>
      <c r="R985" s="64">
        <v>53640255</v>
      </c>
    </row>
    <row r="986" spans="1:26" s="7" customFormat="1" ht="12.75" customHeight="1" x14ac:dyDescent="0.2">
      <c r="A986" s="520"/>
      <c r="B986" s="520"/>
      <c r="C986" s="68" t="s">
        <v>36</v>
      </c>
      <c r="D986" s="69">
        <v>21</v>
      </c>
      <c r="E986" s="59">
        <v>21173.649999999998</v>
      </c>
      <c r="F986" s="59"/>
      <c r="G986" s="59"/>
      <c r="H986" s="59">
        <v>6384.11</v>
      </c>
      <c r="I986" s="59"/>
      <c r="J986" s="59">
        <v>2273.69</v>
      </c>
      <c r="K986" s="59">
        <v>18921.79</v>
      </c>
      <c r="L986" s="60">
        <v>21195.48</v>
      </c>
      <c r="M986" s="33"/>
      <c r="N986" s="59">
        <v>27284.25</v>
      </c>
      <c r="O986" s="59">
        <v>20900.14</v>
      </c>
      <c r="P986" s="59">
        <v>2577.6</v>
      </c>
      <c r="Q986" s="59">
        <v>33319.97</v>
      </c>
      <c r="R986" s="59">
        <v>31046.28</v>
      </c>
    </row>
    <row r="987" spans="1:26" s="7" customFormat="1" ht="9" customHeight="1" x14ac:dyDescent="0.2">
      <c r="A987" s="520"/>
      <c r="B987" s="520"/>
      <c r="C987" s="62" t="s">
        <v>37</v>
      </c>
      <c r="D987" s="63">
        <v>27</v>
      </c>
      <c r="E987" s="64">
        <v>26637499</v>
      </c>
      <c r="F987" s="65"/>
      <c r="G987" s="65"/>
      <c r="H987" s="64">
        <v>12361361</v>
      </c>
      <c r="I987" s="64"/>
      <c r="J987" s="66">
        <v>4402478</v>
      </c>
      <c r="K987" s="64">
        <v>36637694</v>
      </c>
      <c r="L987" s="64">
        <v>41040172</v>
      </c>
      <c r="M987" s="39"/>
      <c r="N987" s="65">
        <v>52829675</v>
      </c>
      <c r="O987" s="65">
        <v>40468314</v>
      </c>
      <c r="P987" s="65">
        <v>4990930</v>
      </c>
      <c r="Q987" s="65">
        <v>64516458</v>
      </c>
      <c r="R987" s="64">
        <v>60113981</v>
      </c>
    </row>
    <row r="988" spans="1:26" s="7" customFormat="1" ht="12.75" customHeight="1" x14ac:dyDescent="0.2">
      <c r="A988" s="520"/>
      <c r="B988" s="520"/>
      <c r="C988" s="68" t="s">
        <v>36</v>
      </c>
      <c r="D988" s="69">
        <v>28</v>
      </c>
      <c r="E988" s="59">
        <v>23049.279999999999</v>
      </c>
      <c r="F988" s="59"/>
      <c r="G988" s="59"/>
      <c r="H988" s="59">
        <v>6384.11</v>
      </c>
      <c r="I988" s="59"/>
      <c r="J988" s="59">
        <v>2428.36</v>
      </c>
      <c r="K988" s="59">
        <v>19673.080000000002</v>
      </c>
      <c r="L988" s="60">
        <v>22101.439999999999</v>
      </c>
      <c r="M988" s="33"/>
      <c r="N988" s="59">
        <v>29140.35</v>
      </c>
      <c r="O988" s="59">
        <v>22756.240000000002</v>
      </c>
      <c r="P988" s="59">
        <v>3278.4</v>
      </c>
      <c r="Q988" s="59">
        <v>35664.83</v>
      </c>
      <c r="R988" s="59">
        <v>33236.47</v>
      </c>
    </row>
    <row r="989" spans="1:26" s="7" customFormat="1" ht="9" customHeight="1" x14ac:dyDescent="0.2">
      <c r="A989" s="520"/>
      <c r="B989" s="520"/>
      <c r="C989" s="62" t="s">
        <v>37</v>
      </c>
      <c r="D989" s="63">
        <v>34</v>
      </c>
      <c r="E989" s="64">
        <v>26637499</v>
      </c>
      <c r="F989" s="65"/>
      <c r="G989" s="65"/>
      <c r="H989" s="64">
        <v>12361361</v>
      </c>
      <c r="I989" s="64"/>
      <c r="J989" s="66">
        <v>4701961</v>
      </c>
      <c r="K989" s="64">
        <v>38092395</v>
      </c>
      <c r="L989" s="64">
        <v>42794355</v>
      </c>
      <c r="M989" s="39"/>
      <c r="N989" s="65">
        <v>56423585</v>
      </c>
      <c r="O989" s="65">
        <v>44062225</v>
      </c>
      <c r="P989" s="65">
        <v>6347868</v>
      </c>
      <c r="Q989" s="65">
        <v>69056740</v>
      </c>
      <c r="R989" s="64">
        <v>64354780</v>
      </c>
    </row>
    <row r="990" spans="1:26" s="7" customFormat="1" ht="12.75" customHeight="1" x14ac:dyDescent="0.2">
      <c r="A990" s="520"/>
      <c r="B990" s="520"/>
      <c r="C990" s="68" t="s">
        <v>36</v>
      </c>
      <c r="D990" s="69">
        <v>35</v>
      </c>
      <c r="E990" s="59">
        <v>24475.91</v>
      </c>
      <c r="F990" s="59"/>
      <c r="G990" s="59"/>
      <c r="H990" s="59">
        <v>6384.11</v>
      </c>
      <c r="I990" s="59"/>
      <c r="J990" s="59">
        <v>2546.0700000000002</v>
      </c>
      <c r="K990" s="59">
        <v>20206.89</v>
      </c>
      <c r="L990" s="60">
        <v>22752.959999999999</v>
      </c>
      <c r="M990" s="33"/>
      <c r="N990" s="59">
        <v>30552.78</v>
      </c>
      <c r="O990" s="59">
        <v>24168.67</v>
      </c>
      <c r="P990" s="59">
        <v>3278.4</v>
      </c>
      <c r="Q990" s="59">
        <v>37449.21</v>
      </c>
      <c r="R990" s="59">
        <v>34903.14</v>
      </c>
    </row>
    <row r="991" spans="1:26" s="7" customFormat="1" ht="9" customHeight="1" x14ac:dyDescent="0.2">
      <c r="A991" s="521"/>
      <c r="B991" s="521"/>
      <c r="C991" s="71" t="s">
        <v>37</v>
      </c>
      <c r="D991" s="72"/>
      <c r="E991" s="64">
        <v>26637499</v>
      </c>
      <c r="F991" s="64">
        <v>0</v>
      </c>
      <c r="G991" s="64"/>
      <c r="H991" s="64">
        <v>12361361</v>
      </c>
      <c r="I991" s="64"/>
      <c r="J991" s="64">
        <v>4929879</v>
      </c>
      <c r="K991" s="64">
        <v>39125995</v>
      </c>
      <c r="L991" s="64">
        <v>44055874</v>
      </c>
      <c r="M991" s="39"/>
      <c r="N991" s="64">
        <v>59158431</v>
      </c>
      <c r="O991" s="64">
        <v>46797071</v>
      </c>
      <c r="P991" s="64">
        <v>6347868</v>
      </c>
      <c r="Q991" s="64">
        <v>72511782</v>
      </c>
      <c r="R991" s="64">
        <v>67581903</v>
      </c>
    </row>
    <row r="992" spans="1:26" ht="9" customHeight="1" x14ac:dyDescent="0.2">
      <c r="A992" s="95"/>
      <c r="B992" s="95"/>
      <c r="C992" s="44"/>
      <c r="D992" s="45"/>
      <c r="E992" s="96"/>
      <c r="F992" s="96"/>
      <c r="G992" s="96"/>
      <c r="H992" s="96"/>
      <c r="I992" s="96"/>
      <c r="J992" s="54"/>
      <c r="K992" s="96"/>
      <c r="L992" s="96"/>
      <c r="M992" s="39"/>
      <c r="N992" s="96"/>
      <c r="O992" s="96"/>
      <c r="P992" s="96"/>
      <c r="Q992" s="96"/>
      <c r="R992" s="7"/>
      <c r="S992" s="7"/>
      <c r="T992" s="7"/>
      <c r="U992" s="7"/>
      <c r="V992" s="7"/>
      <c r="W992" s="7"/>
      <c r="X992" s="7"/>
      <c r="Y992" s="7"/>
      <c r="Z992" s="7"/>
    </row>
    <row r="993" spans="1:26" ht="9" customHeight="1" x14ac:dyDescent="0.2">
      <c r="A993" s="95"/>
      <c r="B993" s="95"/>
      <c r="C993" s="44"/>
      <c r="D993" s="45"/>
      <c r="E993" s="96"/>
      <c r="F993" s="96"/>
      <c r="G993" s="96"/>
      <c r="H993" s="96"/>
      <c r="I993" s="96"/>
      <c r="J993" s="54"/>
      <c r="K993" s="96"/>
      <c r="L993" s="96"/>
      <c r="M993" s="39"/>
      <c r="N993" s="96"/>
      <c r="O993" s="96"/>
      <c r="P993" s="96"/>
      <c r="Q993" s="96"/>
      <c r="R993" s="7"/>
      <c r="S993" s="7"/>
      <c r="T993" s="7"/>
      <c r="U993" s="7"/>
      <c r="V993" s="7"/>
      <c r="W993" s="7"/>
      <c r="X993" s="7"/>
      <c r="Y993" s="7"/>
      <c r="Z993" s="7"/>
    </row>
    <row r="994" spans="1:26" ht="9" customHeight="1" x14ac:dyDescent="0.2">
      <c r="A994" s="95"/>
      <c r="B994" s="95"/>
      <c r="C994" s="44"/>
      <c r="D994" s="45"/>
      <c r="E994" s="96"/>
      <c r="F994" s="96"/>
      <c r="G994" s="96"/>
      <c r="H994" s="96"/>
      <c r="I994" s="96"/>
      <c r="J994" s="54"/>
      <c r="K994" s="96"/>
      <c r="L994" s="96"/>
      <c r="M994" s="39"/>
      <c r="N994" s="96"/>
      <c r="O994" s="96"/>
      <c r="P994" s="96"/>
      <c r="Q994" s="96"/>
      <c r="R994" s="7"/>
      <c r="S994" s="7"/>
      <c r="T994" s="7"/>
      <c r="U994" s="7"/>
      <c r="V994" s="7"/>
      <c r="W994" s="7"/>
      <c r="X994" s="7"/>
      <c r="Y994" s="7"/>
      <c r="Z994" s="7"/>
    </row>
    <row r="995" spans="1:26" ht="9" customHeight="1" x14ac:dyDescent="0.2">
      <c r="A995" s="95"/>
      <c r="B995" s="95"/>
      <c r="C995" s="44"/>
      <c r="D995" s="45"/>
      <c r="E995" s="96"/>
      <c r="F995" s="96"/>
      <c r="G995" s="96"/>
      <c r="H995" s="96"/>
      <c r="I995" s="96"/>
      <c r="J995" s="54"/>
      <c r="K995" s="96"/>
      <c r="L995" s="96"/>
      <c r="M995" s="39"/>
      <c r="N995" s="96"/>
      <c r="O995" s="96"/>
      <c r="P995" s="96"/>
      <c r="Q995" s="96"/>
      <c r="R995" s="7"/>
      <c r="S995" s="7"/>
      <c r="T995" s="7"/>
      <c r="U995" s="7"/>
      <c r="V995" s="7"/>
      <c r="W995" s="7"/>
      <c r="X995" s="7"/>
      <c r="Y995" s="7"/>
      <c r="Z995" s="7"/>
    </row>
    <row r="996" spans="1:26" ht="9" customHeight="1" x14ac:dyDescent="0.2">
      <c r="A996" s="95"/>
      <c r="B996" s="95"/>
      <c r="C996" s="44"/>
      <c r="D996" s="45"/>
      <c r="E996" s="96"/>
      <c r="F996" s="96"/>
      <c r="G996" s="96"/>
      <c r="H996" s="96"/>
      <c r="I996" s="96"/>
      <c r="J996" s="54"/>
      <c r="K996" s="96"/>
      <c r="L996" s="96"/>
      <c r="M996" s="39"/>
      <c r="N996" s="96"/>
      <c r="O996" s="96"/>
      <c r="P996" s="96"/>
      <c r="Q996" s="96"/>
      <c r="R996" s="7"/>
      <c r="S996" s="7"/>
      <c r="T996" s="7"/>
      <c r="U996" s="7"/>
      <c r="V996" s="7"/>
      <c r="W996" s="7"/>
      <c r="X996" s="7"/>
      <c r="Y996" s="7"/>
      <c r="Z996" s="7"/>
    </row>
    <row r="997" spans="1:26" ht="9" customHeight="1" x14ac:dyDescent="0.2">
      <c r="A997" s="95"/>
      <c r="B997" s="95"/>
      <c r="C997" s="44"/>
      <c r="D997" s="45"/>
      <c r="E997" s="96"/>
      <c r="F997" s="96"/>
      <c r="G997" s="96"/>
      <c r="H997" s="96"/>
      <c r="I997" s="96"/>
      <c r="J997" s="54"/>
      <c r="K997" s="96"/>
      <c r="L997" s="96"/>
      <c r="M997" s="39"/>
      <c r="N997" s="96"/>
      <c r="O997" s="96"/>
      <c r="P997" s="96"/>
      <c r="Q997" s="96"/>
      <c r="R997" s="7"/>
      <c r="S997" s="7"/>
      <c r="T997" s="7"/>
      <c r="U997" s="7"/>
      <c r="V997" s="7"/>
      <c r="W997" s="7"/>
      <c r="X997" s="7"/>
      <c r="Y997" s="7"/>
      <c r="Z997" s="7"/>
    </row>
    <row r="998" spans="1:26" ht="9" customHeight="1" x14ac:dyDescent="0.2">
      <c r="A998" s="95"/>
      <c r="B998" s="95"/>
      <c r="C998" s="44"/>
      <c r="D998" s="45"/>
      <c r="E998" s="96"/>
      <c r="F998" s="96"/>
      <c r="G998" s="96"/>
      <c r="H998" s="96"/>
      <c r="I998" s="96"/>
      <c r="J998" s="54"/>
      <c r="K998" s="96"/>
      <c r="L998" s="96"/>
      <c r="M998" s="39"/>
      <c r="N998" s="96"/>
      <c r="O998" s="96"/>
      <c r="P998" s="96"/>
      <c r="Q998" s="96"/>
      <c r="R998" s="7"/>
      <c r="S998" s="7"/>
      <c r="T998" s="7"/>
      <c r="U998" s="7"/>
      <c r="V998" s="7"/>
      <c r="W998" s="7"/>
      <c r="X998" s="7"/>
      <c r="Y998" s="7"/>
      <c r="Z998" s="7"/>
    </row>
    <row r="999" spans="1:26" ht="9" customHeight="1" x14ac:dyDescent="0.2">
      <c r="A999" s="95"/>
      <c r="B999" s="95"/>
      <c r="C999" s="44"/>
      <c r="D999" s="45"/>
      <c r="E999" s="96"/>
      <c r="F999" s="96"/>
      <c r="G999" s="96"/>
      <c r="H999" s="96"/>
      <c r="I999" s="96"/>
      <c r="J999" s="54"/>
      <c r="K999" s="96"/>
      <c r="L999" s="96"/>
      <c r="M999" s="39"/>
      <c r="N999" s="96"/>
      <c r="O999" s="96"/>
      <c r="P999" s="96"/>
      <c r="Q999" s="96"/>
      <c r="R999" s="7"/>
      <c r="S999" s="7"/>
      <c r="T999" s="7"/>
      <c r="U999" s="7"/>
      <c r="V999" s="7"/>
      <c r="W999" s="7"/>
      <c r="X999" s="7"/>
      <c r="Y999" s="7"/>
      <c r="Z999" s="7"/>
    </row>
    <row r="1000" spans="1:26" s="7" customFormat="1" ht="12.75" customHeight="1" x14ac:dyDescent="0.2">
      <c r="A1000" s="522">
        <v>44197</v>
      </c>
      <c r="B1000" s="522">
        <v>44561</v>
      </c>
      <c r="C1000" s="57" t="s">
        <v>36</v>
      </c>
      <c r="D1000" s="58">
        <v>0</v>
      </c>
      <c r="E1000" s="59">
        <v>14513.09</v>
      </c>
      <c r="F1000" s="59"/>
      <c r="G1000" s="59"/>
      <c r="H1000" s="59">
        <v>6384.11</v>
      </c>
      <c r="I1000" s="59"/>
      <c r="J1000" s="59">
        <v>1690.19</v>
      </c>
      <c r="K1000" s="59">
        <v>20282.23</v>
      </c>
      <c r="L1000" s="60">
        <v>21972.42</v>
      </c>
      <c r="M1000" s="33"/>
      <c r="N1000" s="59">
        <v>20282.23</v>
      </c>
      <c r="O1000" s="59">
        <v>13898.12</v>
      </c>
      <c r="P1000" s="59">
        <v>2094</v>
      </c>
      <c r="Q1000" s="59">
        <v>24474.080000000002</v>
      </c>
      <c r="R1000" s="59">
        <v>22783.89</v>
      </c>
    </row>
    <row r="1001" spans="1:26" s="7" customFormat="1" ht="9" customHeight="1" x14ac:dyDescent="0.2">
      <c r="A1001" s="523"/>
      <c r="B1001" s="523"/>
      <c r="C1001" s="62" t="s">
        <v>37</v>
      </c>
      <c r="D1001" s="63">
        <v>8</v>
      </c>
      <c r="E1001" s="64">
        <v>26637499</v>
      </c>
      <c r="F1001" s="65"/>
      <c r="G1001" s="65"/>
      <c r="H1001" s="64">
        <v>12361361</v>
      </c>
      <c r="I1001" s="64"/>
      <c r="J1001" s="66">
        <v>3272664</v>
      </c>
      <c r="K1001" s="66">
        <v>39271873</v>
      </c>
      <c r="L1001" s="64">
        <v>42544538</v>
      </c>
      <c r="M1001" s="39"/>
      <c r="N1001" s="65">
        <v>39271873</v>
      </c>
      <c r="O1001" s="65">
        <v>26910513</v>
      </c>
      <c r="P1001" s="65">
        <v>4054549</v>
      </c>
      <c r="Q1001" s="65">
        <v>47388427</v>
      </c>
      <c r="R1001" s="64">
        <v>44115763</v>
      </c>
    </row>
    <row r="1002" spans="1:26" s="7" customFormat="1" ht="12.75" customHeight="1" x14ac:dyDescent="0.2">
      <c r="A1002" s="520">
        <f>A1000</f>
        <v>44197</v>
      </c>
      <c r="B1002" s="520">
        <f>B1000</f>
        <v>44561</v>
      </c>
      <c r="C1002" s="68" t="s">
        <v>36</v>
      </c>
      <c r="D1002" s="69">
        <v>9</v>
      </c>
      <c r="E1002" s="59">
        <v>16798.88</v>
      </c>
      <c r="F1002" s="59"/>
      <c r="G1002" s="59"/>
      <c r="H1002" s="59">
        <v>6384.11</v>
      </c>
      <c r="I1002" s="59"/>
      <c r="J1002" s="59">
        <v>1874.95</v>
      </c>
      <c r="K1002" s="59">
        <v>16918.52</v>
      </c>
      <c r="L1002" s="60">
        <v>18793.47</v>
      </c>
      <c r="M1002" s="33"/>
      <c r="N1002" s="59">
        <v>22499.37</v>
      </c>
      <c r="O1002" s="59">
        <v>16115.26</v>
      </c>
      <c r="P1002" s="59">
        <v>2094</v>
      </c>
      <c r="Q1002" s="59">
        <v>27275.07</v>
      </c>
      <c r="R1002" s="59">
        <v>25400.12</v>
      </c>
    </row>
    <row r="1003" spans="1:26" s="7" customFormat="1" ht="9" customHeight="1" x14ac:dyDescent="0.2">
      <c r="A1003" s="520"/>
      <c r="B1003" s="520"/>
      <c r="C1003" s="62" t="s">
        <v>37</v>
      </c>
      <c r="D1003" s="63">
        <v>14</v>
      </c>
      <c r="E1003" s="64">
        <v>26637499</v>
      </c>
      <c r="F1003" s="65"/>
      <c r="G1003" s="65"/>
      <c r="H1003" s="64">
        <v>12361361</v>
      </c>
      <c r="I1003" s="64"/>
      <c r="J1003" s="66">
        <v>3630409</v>
      </c>
      <c r="K1003" s="64">
        <v>32758823</v>
      </c>
      <c r="L1003" s="64">
        <v>36389232</v>
      </c>
      <c r="M1003" s="39"/>
      <c r="N1003" s="65">
        <v>43564855</v>
      </c>
      <c r="O1003" s="65">
        <v>31203494</v>
      </c>
      <c r="P1003" s="65">
        <v>4054549</v>
      </c>
      <c r="Q1003" s="65">
        <v>52811900</v>
      </c>
      <c r="R1003" s="64">
        <v>49181490</v>
      </c>
    </row>
    <row r="1004" spans="1:26" s="7" customFormat="1" ht="12.75" customHeight="1" x14ac:dyDescent="0.2">
      <c r="A1004" s="520"/>
      <c r="B1004" s="520"/>
      <c r="C1004" s="68" t="s">
        <v>36</v>
      </c>
      <c r="D1004" s="69">
        <v>15</v>
      </c>
      <c r="E1004" s="59">
        <v>18820.88</v>
      </c>
      <c r="F1004" s="59"/>
      <c r="G1004" s="59"/>
      <c r="H1004" s="59">
        <v>6384.11</v>
      </c>
      <c r="I1004" s="59"/>
      <c r="J1004" s="59">
        <v>2037.57</v>
      </c>
      <c r="K1004" s="59">
        <v>17933.73</v>
      </c>
      <c r="L1004" s="60">
        <v>19971.3</v>
      </c>
      <c r="M1004" s="33"/>
      <c r="N1004" s="59">
        <v>24450.86</v>
      </c>
      <c r="O1004" s="59">
        <v>18066.75</v>
      </c>
      <c r="P1004" s="59">
        <v>2577.6</v>
      </c>
      <c r="Q1004" s="59">
        <v>29740.45</v>
      </c>
      <c r="R1004" s="59">
        <v>27702.880000000001</v>
      </c>
    </row>
    <row r="1005" spans="1:26" s="7" customFormat="1" ht="9" customHeight="1" x14ac:dyDescent="0.2">
      <c r="A1005" s="520"/>
      <c r="B1005" s="520"/>
      <c r="C1005" s="62" t="s">
        <v>37</v>
      </c>
      <c r="D1005" s="63">
        <v>20</v>
      </c>
      <c r="E1005" s="64">
        <v>26637499</v>
      </c>
      <c r="F1005" s="65"/>
      <c r="G1005" s="65"/>
      <c r="H1005" s="64">
        <v>12361361</v>
      </c>
      <c r="I1005" s="64"/>
      <c r="J1005" s="66">
        <v>3945286</v>
      </c>
      <c r="K1005" s="64">
        <v>34724543</v>
      </c>
      <c r="L1005" s="64">
        <v>38669829</v>
      </c>
      <c r="M1005" s="39"/>
      <c r="N1005" s="65">
        <v>47343467</v>
      </c>
      <c r="O1005" s="65">
        <v>34982106</v>
      </c>
      <c r="P1005" s="65">
        <v>4990930</v>
      </c>
      <c r="Q1005" s="65">
        <v>57585541</v>
      </c>
      <c r="R1005" s="64">
        <v>53640255</v>
      </c>
    </row>
    <row r="1006" spans="1:26" s="7" customFormat="1" ht="12.75" customHeight="1" x14ac:dyDescent="0.2">
      <c r="A1006" s="520"/>
      <c r="B1006" s="520"/>
      <c r="C1006" s="68" t="s">
        <v>36</v>
      </c>
      <c r="D1006" s="69">
        <v>21</v>
      </c>
      <c r="E1006" s="59">
        <v>21742.45</v>
      </c>
      <c r="F1006" s="59"/>
      <c r="G1006" s="59"/>
      <c r="H1006" s="59">
        <v>6384.11</v>
      </c>
      <c r="I1006" s="59"/>
      <c r="J1006" s="59">
        <v>2273.69</v>
      </c>
      <c r="K1006" s="59">
        <v>18921.79</v>
      </c>
      <c r="L1006" s="60">
        <v>21195.48</v>
      </c>
      <c r="M1006" s="33"/>
      <c r="N1006" s="59">
        <v>27284.25</v>
      </c>
      <c r="O1006" s="59">
        <v>20900.14</v>
      </c>
      <c r="P1006" s="59">
        <v>2577.6</v>
      </c>
      <c r="Q1006" s="59">
        <v>33319.97</v>
      </c>
      <c r="R1006" s="59">
        <v>31046.28</v>
      </c>
    </row>
    <row r="1007" spans="1:26" s="7" customFormat="1" ht="9" customHeight="1" x14ac:dyDescent="0.2">
      <c r="A1007" s="520"/>
      <c r="B1007" s="520"/>
      <c r="C1007" s="62" t="s">
        <v>37</v>
      </c>
      <c r="D1007" s="63">
        <v>27</v>
      </c>
      <c r="E1007" s="64">
        <v>26637499</v>
      </c>
      <c r="F1007" s="65"/>
      <c r="G1007" s="65"/>
      <c r="H1007" s="64">
        <v>12361361</v>
      </c>
      <c r="I1007" s="64"/>
      <c r="J1007" s="66">
        <v>4402478</v>
      </c>
      <c r="K1007" s="64">
        <v>36637694</v>
      </c>
      <c r="L1007" s="64">
        <v>41040172</v>
      </c>
      <c r="M1007" s="39"/>
      <c r="N1007" s="65">
        <v>52829675</v>
      </c>
      <c r="O1007" s="65">
        <v>40468314</v>
      </c>
      <c r="P1007" s="65">
        <v>4990930</v>
      </c>
      <c r="Q1007" s="65">
        <v>64516458</v>
      </c>
      <c r="R1007" s="64">
        <v>60113981</v>
      </c>
    </row>
    <row r="1008" spans="1:26" s="7" customFormat="1" ht="12.75" customHeight="1" x14ac:dyDescent="0.2">
      <c r="A1008" s="520"/>
      <c r="B1008" s="520"/>
      <c r="C1008" s="68" t="s">
        <v>36</v>
      </c>
      <c r="D1008" s="69">
        <v>28</v>
      </c>
      <c r="E1008" s="59">
        <v>23645.68</v>
      </c>
      <c r="F1008" s="59"/>
      <c r="G1008" s="59"/>
      <c r="H1008" s="59">
        <v>6384.11</v>
      </c>
      <c r="I1008" s="59"/>
      <c r="J1008" s="59">
        <v>2428.36</v>
      </c>
      <c r="K1008" s="59">
        <v>19673.080000000002</v>
      </c>
      <c r="L1008" s="60">
        <v>22101.439999999999</v>
      </c>
      <c r="M1008" s="33"/>
      <c r="N1008" s="59">
        <v>29140.35</v>
      </c>
      <c r="O1008" s="59">
        <v>22756.240000000002</v>
      </c>
      <c r="P1008" s="59">
        <v>3278.4</v>
      </c>
      <c r="Q1008" s="59">
        <v>35664.83</v>
      </c>
      <c r="R1008" s="59">
        <v>33236.47</v>
      </c>
    </row>
    <row r="1009" spans="1:26" s="7" customFormat="1" ht="9" customHeight="1" x14ac:dyDescent="0.2">
      <c r="A1009" s="520"/>
      <c r="B1009" s="520"/>
      <c r="C1009" s="62" t="s">
        <v>37</v>
      </c>
      <c r="D1009" s="63">
        <v>34</v>
      </c>
      <c r="E1009" s="64">
        <v>26637499</v>
      </c>
      <c r="F1009" s="65"/>
      <c r="G1009" s="65"/>
      <c r="H1009" s="64">
        <v>12361361</v>
      </c>
      <c r="I1009" s="64"/>
      <c r="J1009" s="66">
        <v>4701961</v>
      </c>
      <c r="K1009" s="64">
        <v>38092395</v>
      </c>
      <c r="L1009" s="64">
        <v>42794355</v>
      </c>
      <c r="M1009" s="39"/>
      <c r="N1009" s="65">
        <v>56423585</v>
      </c>
      <c r="O1009" s="65">
        <v>44062225</v>
      </c>
      <c r="P1009" s="65">
        <v>6347868</v>
      </c>
      <c r="Q1009" s="65">
        <v>69056740</v>
      </c>
      <c r="R1009" s="64">
        <v>64354780</v>
      </c>
    </row>
    <row r="1010" spans="1:26" s="7" customFormat="1" ht="12.75" customHeight="1" x14ac:dyDescent="0.2">
      <c r="A1010" s="520"/>
      <c r="B1010" s="520"/>
      <c r="C1010" s="68" t="s">
        <v>36</v>
      </c>
      <c r="D1010" s="69">
        <v>35</v>
      </c>
      <c r="E1010" s="59">
        <v>25108.309999999998</v>
      </c>
      <c r="F1010" s="59"/>
      <c r="G1010" s="59"/>
      <c r="H1010" s="59">
        <v>6384.11</v>
      </c>
      <c r="I1010" s="59"/>
      <c r="J1010" s="59">
        <v>2546.0700000000002</v>
      </c>
      <c r="K1010" s="59">
        <v>20206.89</v>
      </c>
      <c r="L1010" s="60">
        <v>22752.959999999999</v>
      </c>
      <c r="M1010" s="33"/>
      <c r="N1010" s="59">
        <v>30552.78</v>
      </c>
      <c r="O1010" s="59">
        <v>24168.67</v>
      </c>
      <c r="P1010" s="59">
        <v>3278.4</v>
      </c>
      <c r="Q1010" s="59">
        <v>37449.21</v>
      </c>
      <c r="R1010" s="59">
        <v>34903.14</v>
      </c>
    </row>
    <row r="1011" spans="1:26" s="7" customFormat="1" ht="9" customHeight="1" x14ac:dyDescent="0.2">
      <c r="A1011" s="521"/>
      <c r="B1011" s="521"/>
      <c r="C1011" s="71" t="s">
        <v>37</v>
      </c>
      <c r="D1011" s="72"/>
      <c r="E1011" s="64">
        <v>26637499</v>
      </c>
      <c r="F1011" s="64">
        <v>0</v>
      </c>
      <c r="G1011" s="64"/>
      <c r="H1011" s="64">
        <v>12361361</v>
      </c>
      <c r="I1011" s="64"/>
      <c r="J1011" s="64">
        <v>4929879</v>
      </c>
      <c r="K1011" s="64">
        <v>39125995</v>
      </c>
      <c r="L1011" s="64">
        <v>44055874</v>
      </c>
      <c r="M1011" s="39"/>
      <c r="N1011" s="64">
        <v>59158431</v>
      </c>
      <c r="O1011" s="64">
        <v>46797071</v>
      </c>
      <c r="P1011" s="64">
        <v>6347868</v>
      </c>
      <c r="Q1011" s="64">
        <v>72511782</v>
      </c>
      <c r="R1011" s="64">
        <v>67581903</v>
      </c>
    </row>
    <row r="1012" spans="1:26" ht="9" customHeight="1" x14ac:dyDescent="0.2">
      <c r="A1012" s="95"/>
      <c r="B1012" s="95"/>
      <c r="C1012" s="44" t="s">
        <v>62</v>
      </c>
      <c r="D1012" s="45"/>
      <c r="E1012" s="96"/>
      <c r="F1012" s="96"/>
      <c r="G1012" s="96"/>
      <c r="H1012" s="96"/>
      <c r="I1012" s="96"/>
      <c r="J1012" s="54"/>
      <c r="K1012" s="96"/>
      <c r="L1012" s="96"/>
      <c r="M1012" s="39"/>
      <c r="N1012" s="96"/>
      <c r="O1012" s="96"/>
      <c r="P1012" s="96"/>
      <c r="Q1012" s="96"/>
      <c r="R1012" s="7"/>
      <c r="S1012" s="7"/>
      <c r="T1012" s="7"/>
      <c r="U1012" s="7"/>
      <c r="V1012" s="7"/>
      <c r="W1012" s="7"/>
      <c r="X1012" s="7"/>
      <c r="Y1012" s="7"/>
      <c r="Z1012" s="7"/>
    </row>
    <row r="1013" spans="1:26" ht="9" customHeight="1" x14ac:dyDescent="0.2">
      <c r="A1013" s="95"/>
      <c r="B1013" s="95"/>
      <c r="C1013" s="44"/>
      <c r="D1013" s="45"/>
      <c r="E1013" s="96"/>
      <c r="F1013" s="96"/>
      <c r="G1013" s="96"/>
      <c r="H1013" s="96"/>
      <c r="I1013" s="96"/>
      <c r="J1013" s="54"/>
      <c r="K1013" s="96"/>
      <c r="L1013" s="96"/>
      <c r="M1013" s="39"/>
      <c r="N1013" s="96"/>
      <c r="O1013" s="96"/>
      <c r="P1013" s="96"/>
      <c r="Q1013" s="96"/>
      <c r="R1013" s="7"/>
      <c r="S1013" s="7"/>
      <c r="T1013" s="7"/>
      <c r="U1013" s="7"/>
      <c r="V1013" s="7"/>
      <c r="W1013" s="7"/>
      <c r="X1013" s="7"/>
      <c r="Y1013" s="7"/>
      <c r="Z1013" s="7"/>
    </row>
    <row r="1014" spans="1:26" ht="9" customHeight="1" x14ac:dyDescent="0.2">
      <c r="A1014" s="95"/>
      <c r="B1014" s="95"/>
      <c r="C1014" s="44"/>
      <c r="D1014" s="45"/>
      <c r="E1014" s="96"/>
      <c r="F1014" s="96"/>
      <c r="G1014" s="96"/>
      <c r="H1014" s="96"/>
      <c r="I1014" s="96"/>
      <c r="J1014" s="54"/>
      <c r="K1014" s="96"/>
      <c r="L1014" s="96"/>
      <c r="M1014" s="39"/>
      <c r="N1014" s="96"/>
      <c r="O1014" s="96"/>
      <c r="P1014" s="96"/>
      <c r="Q1014" s="96"/>
      <c r="R1014" s="7"/>
      <c r="S1014" s="7"/>
      <c r="T1014" s="7"/>
      <c r="U1014" s="7"/>
      <c r="V1014" s="7"/>
      <c r="W1014" s="7"/>
      <c r="X1014" s="7"/>
      <c r="Y1014" s="7"/>
      <c r="Z1014" s="7"/>
    </row>
    <row r="1015" spans="1:26" ht="9" customHeight="1" x14ac:dyDescent="0.2">
      <c r="A1015" s="95"/>
      <c r="B1015" s="95"/>
      <c r="C1015" s="44"/>
      <c r="D1015" s="45"/>
      <c r="E1015" s="96"/>
      <c r="F1015" s="96"/>
      <c r="G1015" s="96"/>
      <c r="H1015" s="96"/>
      <c r="I1015" s="96"/>
      <c r="J1015" s="54"/>
      <c r="K1015" s="96"/>
      <c r="L1015" s="96"/>
      <c r="M1015" s="39"/>
      <c r="N1015" s="96"/>
      <c r="O1015" s="96"/>
      <c r="P1015" s="96"/>
      <c r="Q1015" s="96"/>
      <c r="R1015" s="7"/>
      <c r="S1015" s="7"/>
      <c r="T1015" s="7"/>
      <c r="U1015" s="7"/>
      <c r="V1015" s="7"/>
      <c r="W1015" s="7"/>
      <c r="X1015" s="7"/>
      <c r="Y1015" s="7"/>
      <c r="Z1015" s="7"/>
    </row>
    <row r="1016" spans="1:26" ht="9" customHeight="1" x14ac:dyDescent="0.2">
      <c r="A1016" s="95"/>
      <c r="B1016" s="95"/>
      <c r="C1016" s="44"/>
      <c r="D1016" s="45"/>
      <c r="E1016" s="96"/>
      <c r="F1016" s="96"/>
      <c r="G1016" s="96"/>
      <c r="H1016" s="96"/>
      <c r="I1016" s="96"/>
      <c r="J1016" s="54"/>
      <c r="K1016" s="96"/>
      <c r="L1016" s="96"/>
      <c r="M1016" s="39"/>
      <c r="N1016" s="96"/>
      <c r="O1016" s="96"/>
      <c r="P1016" s="96"/>
      <c r="Q1016" s="96"/>
      <c r="R1016" s="7"/>
      <c r="S1016" s="7"/>
      <c r="T1016" s="7"/>
      <c r="U1016" s="7"/>
      <c r="V1016" s="7"/>
      <c r="W1016" s="7"/>
      <c r="X1016" s="7"/>
      <c r="Y1016" s="7"/>
      <c r="Z1016" s="7"/>
    </row>
    <row r="1017" spans="1:26" ht="9" customHeight="1" x14ac:dyDescent="0.2">
      <c r="A1017" s="95"/>
      <c r="B1017" s="95"/>
      <c r="C1017" s="44"/>
      <c r="D1017" s="45"/>
      <c r="E1017" s="96"/>
      <c r="F1017" s="96"/>
      <c r="G1017" s="96"/>
      <c r="H1017" s="96"/>
      <c r="I1017" s="96"/>
      <c r="J1017" s="54"/>
      <c r="K1017" s="96"/>
      <c r="L1017" s="96"/>
      <c r="M1017" s="39"/>
      <c r="N1017" s="96"/>
      <c r="O1017" s="96"/>
      <c r="P1017" s="96"/>
      <c r="Q1017" s="96"/>
      <c r="R1017" s="7"/>
      <c r="S1017" s="7"/>
      <c r="T1017" s="7"/>
      <c r="U1017" s="7"/>
      <c r="V1017" s="7"/>
      <c r="W1017" s="7"/>
      <c r="X1017" s="7"/>
      <c r="Y1017" s="7"/>
      <c r="Z1017" s="7"/>
    </row>
    <row r="1018" spans="1:26" ht="9" customHeight="1" x14ac:dyDescent="0.2">
      <c r="A1018" s="95"/>
      <c r="B1018" s="95"/>
      <c r="C1018" s="44"/>
      <c r="D1018" s="45"/>
      <c r="E1018" s="96"/>
      <c r="F1018" s="96"/>
      <c r="G1018" s="96"/>
      <c r="H1018" s="96"/>
      <c r="I1018" s="96"/>
      <c r="J1018" s="54"/>
      <c r="K1018" s="96"/>
      <c r="L1018" s="96"/>
      <c r="M1018" s="39"/>
      <c r="N1018" s="96"/>
      <c r="O1018" s="96"/>
      <c r="P1018" s="96"/>
      <c r="Q1018" s="96"/>
      <c r="R1018" s="7"/>
      <c r="S1018" s="7"/>
      <c r="T1018" s="7"/>
      <c r="U1018" s="7"/>
      <c r="V1018" s="7"/>
      <c r="W1018" s="7"/>
      <c r="X1018" s="7"/>
      <c r="Y1018" s="7"/>
      <c r="Z1018" s="7"/>
    </row>
    <row r="1019" spans="1:26" ht="9" customHeight="1" x14ac:dyDescent="0.2">
      <c r="A1019" s="95"/>
      <c r="B1019" s="95"/>
      <c r="C1019" s="44"/>
      <c r="D1019" s="45"/>
      <c r="E1019" s="96"/>
      <c r="F1019" s="96"/>
      <c r="G1019" s="96"/>
      <c r="H1019" s="96"/>
      <c r="I1019" s="96"/>
      <c r="J1019" s="54"/>
      <c r="K1019" s="96"/>
      <c r="L1019" s="96"/>
      <c r="M1019" s="39"/>
      <c r="N1019" s="96"/>
      <c r="O1019" s="96"/>
      <c r="P1019" s="96"/>
      <c r="Q1019" s="96"/>
      <c r="R1019" s="7"/>
      <c r="S1019" s="7"/>
      <c r="T1019" s="7"/>
      <c r="U1019" s="7"/>
      <c r="V1019" s="7"/>
      <c r="W1019" s="7"/>
      <c r="X1019" s="7"/>
      <c r="Y1019" s="7"/>
      <c r="Z1019" s="7"/>
    </row>
    <row r="1020" spans="1:26" s="7" customFormat="1" ht="12.75" customHeight="1" x14ac:dyDescent="0.2">
      <c r="A1020" s="522">
        <v>44562</v>
      </c>
      <c r="B1020" s="522">
        <v>44652</v>
      </c>
      <c r="C1020" s="57" t="s">
        <v>36</v>
      </c>
      <c r="D1020" s="58">
        <v>0</v>
      </c>
      <c r="E1020" s="59">
        <v>14513.09</v>
      </c>
      <c r="F1020" s="59"/>
      <c r="G1020" s="59"/>
      <c r="H1020" s="59">
        <v>6384.11</v>
      </c>
      <c r="I1020" s="59"/>
      <c r="J1020" s="59">
        <v>1690.19</v>
      </c>
      <c r="K1020" s="59">
        <v>20282.23</v>
      </c>
      <c r="L1020" s="60">
        <v>21972.42</v>
      </c>
      <c r="M1020" s="33"/>
      <c r="N1020" s="59">
        <v>20282.23</v>
      </c>
      <c r="O1020" s="59">
        <v>13898.12</v>
      </c>
      <c r="P1020" s="59">
        <v>2214</v>
      </c>
      <c r="Q1020" s="59">
        <v>24474.080000000002</v>
      </c>
      <c r="R1020" s="59">
        <v>22783.89</v>
      </c>
      <c r="S1020" s="75"/>
      <c r="T1020" s="75">
        <f>10*12</f>
        <v>120</v>
      </c>
      <c r="U1020" s="75"/>
      <c r="V1020" s="76">
        <f>P1020+T1020</f>
        <v>2334</v>
      </c>
    </row>
    <row r="1021" spans="1:26" s="7" customFormat="1" ht="9" customHeight="1" x14ac:dyDescent="0.2">
      <c r="A1021" s="523"/>
      <c r="B1021" s="523"/>
      <c r="C1021" s="62" t="s">
        <v>37</v>
      </c>
      <c r="D1021" s="63">
        <v>8</v>
      </c>
      <c r="E1021" s="64">
        <v>26637499</v>
      </c>
      <c r="F1021" s="65"/>
      <c r="G1021" s="65"/>
      <c r="H1021" s="64">
        <v>12361361</v>
      </c>
      <c r="I1021" s="64"/>
      <c r="J1021" s="66">
        <v>3272664</v>
      </c>
      <c r="K1021" s="66">
        <v>39271873</v>
      </c>
      <c r="L1021" s="64">
        <v>42544538</v>
      </c>
      <c r="M1021" s="39"/>
      <c r="N1021" s="65">
        <v>39271873</v>
      </c>
      <c r="O1021" s="65">
        <v>26910513</v>
      </c>
      <c r="P1021" s="65"/>
      <c r="Q1021" s="65">
        <v>47388427</v>
      </c>
      <c r="R1021" s="64">
        <v>44115763</v>
      </c>
      <c r="S1021" s="75"/>
      <c r="T1021" s="75"/>
      <c r="U1021" s="75"/>
      <c r="V1021" s="76"/>
    </row>
    <row r="1022" spans="1:26" s="7" customFormat="1" ht="12.75" customHeight="1" x14ac:dyDescent="0.2">
      <c r="A1022" s="520">
        <f>A1020</f>
        <v>44562</v>
      </c>
      <c r="B1022" s="520">
        <v>44651</v>
      </c>
      <c r="C1022" s="68" t="s">
        <v>36</v>
      </c>
      <c r="D1022" s="69">
        <v>9</v>
      </c>
      <c r="E1022" s="59">
        <v>16798.88</v>
      </c>
      <c r="F1022" s="59"/>
      <c r="G1022" s="59"/>
      <c r="H1022" s="59">
        <v>6384.11</v>
      </c>
      <c r="I1022" s="59"/>
      <c r="J1022" s="59">
        <v>1874.95</v>
      </c>
      <c r="K1022" s="59">
        <v>16918.52</v>
      </c>
      <c r="L1022" s="60">
        <v>18793.47</v>
      </c>
      <c r="M1022" s="33"/>
      <c r="N1022" s="59">
        <v>22499.37</v>
      </c>
      <c r="O1022" s="59">
        <v>16115.26</v>
      </c>
      <c r="P1022" s="59">
        <v>2214</v>
      </c>
      <c r="Q1022" s="59">
        <v>27275.07</v>
      </c>
      <c r="R1022" s="59">
        <v>25400.12</v>
      </c>
      <c r="S1022" s="75"/>
      <c r="T1022" s="75">
        <f>10*12</f>
        <v>120</v>
      </c>
      <c r="U1022" s="75"/>
      <c r="V1022" s="76">
        <f>P1022+T1022</f>
        <v>2334</v>
      </c>
    </row>
    <row r="1023" spans="1:26" s="7" customFormat="1" ht="9" customHeight="1" x14ac:dyDescent="0.2">
      <c r="A1023" s="520"/>
      <c r="B1023" s="520"/>
      <c r="C1023" s="62" t="s">
        <v>37</v>
      </c>
      <c r="D1023" s="63">
        <v>14</v>
      </c>
      <c r="E1023" s="64">
        <v>26637499</v>
      </c>
      <c r="F1023" s="65"/>
      <c r="G1023" s="65"/>
      <c r="H1023" s="64">
        <v>12361361</v>
      </c>
      <c r="I1023" s="64"/>
      <c r="J1023" s="66">
        <v>3630409</v>
      </c>
      <c r="K1023" s="64">
        <v>32758823</v>
      </c>
      <c r="L1023" s="64">
        <v>36389232</v>
      </c>
      <c r="M1023" s="39"/>
      <c r="N1023" s="65">
        <v>43564855</v>
      </c>
      <c r="O1023" s="65">
        <v>31203494</v>
      </c>
      <c r="P1023" s="65"/>
      <c r="Q1023" s="65">
        <v>52811900</v>
      </c>
      <c r="R1023" s="64">
        <v>49181490</v>
      </c>
      <c r="S1023" s="75"/>
      <c r="T1023" s="75"/>
      <c r="U1023" s="75"/>
      <c r="V1023" s="76"/>
    </row>
    <row r="1024" spans="1:26" s="7" customFormat="1" ht="12.75" customHeight="1" x14ac:dyDescent="0.2">
      <c r="A1024" s="520"/>
      <c r="B1024" s="520"/>
      <c r="C1024" s="68" t="s">
        <v>36</v>
      </c>
      <c r="D1024" s="69">
        <v>15</v>
      </c>
      <c r="E1024" s="59">
        <v>18820.88</v>
      </c>
      <c r="F1024" s="59"/>
      <c r="G1024" s="59"/>
      <c r="H1024" s="59">
        <v>6384.11</v>
      </c>
      <c r="I1024" s="59"/>
      <c r="J1024" s="59">
        <v>2037.57</v>
      </c>
      <c r="K1024" s="59">
        <v>17933.73</v>
      </c>
      <c r="L1024" s="60">
        <v>19971.3</v>
      </c>
      <c r="M1024" s="33"/>
      <c r="N1024" s="59">
        <v>24450.86</v>
      </c>
      <c r="O1024" s="59">
        <v>18066.75</v>
      </c>
      <c r="P1024" s="59">
        <v>2721.6</v>
      </c>
      <c r="Q1024" s="59">
        <v>29740.45</v>
      </c>
      <c r="R1024" s="59">
        <v>27702.880000000001</v>
      </c>
      <c r="S1024" s="75"/>
      <c r="T1024" s="75">
        <f>12*12</f>
        <v>144</v>
      </c>
      <c r="U1024" s="75"/>
      <c r="V1024" s="76">
        <f>P1024+T1024</f>
        <v>2865.6</v>
      </c>
    </row>
    <row r="1025" spans="1:26" s="7" customFormat="1" ht="9" customHeight="1" x14ac:dyDescent="0.2">
      <c r="A1025" s="520"/>
      <c r="B1025" s="520"/>
      <c r="C1025" s="62" t="s">
        <v>37</v>
      </c>
      <c r="D1025" s="63">
        <v>20</v>
      </c>
      <c r="E1025" s="64">
        <v>26637499</v>
      </c>
      <c r="F1025" s="65"/>
      <c r="G1025" s="65"/>
      <c r="H1025" s="64">
        <v>12361361</v>
      </c>
      <c r="I1025" s="64"/>
      <c r="J1025" s="66">
        <v>3945286</v>
      </c>
      <c r="K1025" s="64">
        <v>34724543</v>
      </c>
      <c r="L1025" s="64">
        <v>38669829</v>
      </c>
      <c r="M1025" s="39"/>
      <c r="N1025" s="65">
        <v>47343467</v>
      </c>
      <c r="O1025" s="65">
        <v>34982106</v>
      </c>
      <c r="P1025" s="65"/>
      <c r="Q1025" s="65">
        <v>57585541</v>
      </c>
      <c r="R1025" s="64">
        <v>53640255</v>
      </c>
      <c r="S1025" s="75"/>
      <c r="T1025" s="75"/>
      <c r="U1025" s="75"/>
      <c r="V1025" s="76"/>
    </row>
    <row r="1026" spans="1:26" s="7" customFormat="1" ht="12.75" customHeight="1" x14ac:dyDescent="0.2">
      <c r="A1026" s="520"/>
      <c r="B1026" s="520"/>
      <c r="C1026" s="68" t="s">
        <v>36</v>
      </c>
      <c r="D1026" s="69">
        <v>21</v>
      </c>
      <c r="E1026" s="59">
        <v>21742.45</v>
      </c>
      <c r="F1026" s="59"/>
      <c r="G1026" s="59"/>
      <c r="H1026" s="59">
        <v>6384.11</v>
      </c>
      <c r="I1026" s="59"/>
      <c r="J1026" s="59">
        <v>2273.69</v>
      </c>
      <c r="K1026" s="59">
        <v>18921.79</v>
      </c>
      <c r="L1026" s="60">
        <v>21195.48</v>
      </c>
      <c r="M1026" s="33"/>
      <c r="N1026" s="59">
        <v>27284.25</v>
      </c>
      <c r="O1026" s="59">
        <v>20900.14</v>
      </c>
      <c r="P1026" s="59">
        <v>2721.6</v>
      </c>
      <c r="Q1026" s="59">
        <v>33319.97</v>
      </c>
      <c r="R1026" s="59">
        <v>31046.28</v>
      </c>
      <c r="S1026" s="75"/>
      <c r="T1026" s="75">
        <f>12*12</f>
        <v>144</v>
      </c>
      <c r="U1026" s="75"/>
      <c r="V1026" s="76">
        <f>P1026+T1026</f>
        <v>2865.6</v>
      </c>
    </row>
    <row r="1027" spans="1:26" s="7" customFormat="1" ht="9" customHeight="1" x14ac:dyDescent="0.2">
      <c r="A1027" s="520"/>
      <c r="B1027" s="520"/>
      <c r="C1027" s="62" t="s">
        <v>37</v>
      </c>
      <c r="D1027" s="63">
        <v>27</v>
      </c>
      <c r="E1027" s="64">
        <v>26637499</v>
      </c>
      <c r="F1027" s="65"/>
      <c r="G1027" s="65"/>
      <c r="H1027" s="64">
        <v>12361361</v>
      </c>
      <c r="I1027" s="64"/>
      <c r="J1027" s="66">
        <v>4402478</v>
      </c>
      <c r="K1027" s="64">
        <v>36637694</v>
      </c>
      <c r="L1027" s="64">
        <v>41040172</v>
      </c>
      <c r="M1027" s="39"/>
      <c r="N1027" s="65">
        <v>52829675</v>
      </c>
      <c r="O1027" s="65">
        <v>40468314</v>
      </c>
      <c r="P1027" s="65"/>
      <c r="Q1027" s="65">
        <v>64516458</v>
      </c>
      <c r="R1027" s="64">
        <v>60113981</v>
      </c>
      <c r="S1027" s="75"/>
      <c r="T1027" s="75"/>
      <c r="U1027" s="75"/>
      <c r="V1027" s="76"/>
    </row>
    <row r="1028" spans="1:26" s="7" customFormat="1" ht="12.75" customHeight="1" x14ac:dyDescent="0.2">
      <c r="A1028" s="520"/>
      <c r="B1028" s="520"/>
      <c r="C1028" s="68" t="s">
        <v>36</v>
      </c>
      <c r="D1028" s="69">
        <v>28</v>
      </c>
      <c r="E1028" s="59">
        <v>23645.68</v>
      </c>
      <c r="F1028" s="59"/>
      <c r="G1028" s="59"/>
      <c r="H1028" s="59">
        <v>6384.11</v>
      </c>
      <c r="I1028" s="59"/>
      <c r="J1028" s="59">
        <v>2428.36</v>
      </c>
      <c r="K1028" s="59">
        <v>19673.080000000002</v>
      </c>
      <c r="L1028" s="60">
        <v>22101.439999999999</v>
      </c>
      <c r="M1028" s="33"/>
      <c r="N1028" s="59">
        <v>29140.35</v>
      </c>
      <c r="O1028" s="59">
        <v>22756.240000000002</v>
      </c>
      <c r="P1028" s="59">
        <v>3458.4</v>
      </c>
      <c r="Q1028" s="59">
        <v>35664.83</v>
      </c>
      <c r="R1028" s="59">
        <v>33236.47</v>
      </c>
      <c r="S1028" s="75"/>
      <c r="T1028" s="75">
        <f>15*12</f>
        <v>180</v>
      </c>
      <c r="U1028" s="75"/>
      <c r="V1028" s="76">
        <f>P1028+T1028</f>
        <v>3638.4</v>
      </c>
    </row>
    <row r="1029" spans="1:26" s="7" customFormat="1" ht="9" customHeight="1" x14ac:dyDescent="0.2">
      <c r="A1029" s="520"/>
      <c r="B1029" s="520"/>
      <c r="C1029" s="62" t="s">
        <v>37</v>
      </c>
      <c r="D1029" s="63">
        <v>34</v>
      </c>
      <c r="E1029" s="64">
        <v>26637499</v>
      </c>
      <c r="F1029" s="65"/>
      <c r="G1029" s="65"/>
      <c r="H1029" s="64">
        <v>12361361</v>
      </c>
      <c r="I1029" s="64"/>
      <c r="J1029" s="66">
        <v>4701961</v>
      </c>
      <c r="K1029" s="64">
        <v>38092395</v>
      </c>
      <c r="L1029" s="64">
        <v>42794355</v>
      </c>
      <c r="M1029" s="39"/>
      <c r="N1029" s="65">
        <v>56423585</v>
      </c>
      <c r="O1029" s="65">
        <v>44062225</v>
      </c>
      <c r="P1029" s="65"/>
      <c r="Q1029" s="65">
        <v>69056740</v>
      </c>
      <c r="R1029" s="64">
        <v>64354780</v>
      </c>
      <c r="S1029" s="75"/>
      <c r="T1029" s="75"/>
      <c r="U1029" s="75"/>
      <c r="V1029" s="76"/>
    </row>
    <row r="1030" spans="1:26" s="7" customFormat="1" ht="12.75" customHeight="1" x14ac:dyDescent="0.2">
      <c r="A1030" s="520"/>
      <c r="B1030" s="520"/>
      <c r="C1030" s="68" t="s">
        <v>36</v>
      </c>
      <c r="D1030" s="69">
        <v>35</v>
      </c>
      <c r="E1030" s="59">
        <v>25108.309999999998</v>
      </c>
      <c r="F1030" s="59"/>
      <c r="G1030" s="59"/>
      <c r="H1030" s="59">
        <v>6384.11</v>
      </c>
      <c r="I1030" s="59"/>
      <c r="J1030" s="59">
        <v>2546.0700000000002</v>
      </c>
      <c r="K1030" s="59">
        <v>20206.89</v>
      </c>
      <c r="L1030" s="60">
        <v>22752.959999999999</v>
      </c>
      <c r="M1030" s="33"/>
      <c r="N1030" s="59">
        <v>30552.78</v>
      </c>
      <c r="O1030" s="59">
        <v>24168.67</v>
      </c>
      <c r="P1030" s="59">
        <v>3458.4</v>
      </c>
      <c r="Q1030" s="59">
        <v>37449.21</v>
      </c>
      <c r="R1030" s="59">
        <v>34903.14</v>
      </c>
      <c r="S1030" s="75"/>
      <c r="T1030" s="75">
        <f>15*12</f>
        <v>180</v>
      </c>
      <c r="U1030" s="75"/>
      <c r="V1030" s="76">
        <f>P1030+T1030</f>
        <v>3638.4</v>
      </c>
    </row>
    <row r="1031" spans="1:26" s="7" customFormat="1" ht="9" customHeight="1" x14ac:dyDescent="0.2">
      <c r="A1031" s="521"/>
      <c r="B1031" s="521"/>
      <c r="C1031" s="71" t="s">
        <v>37</v>
      </c>
      <c r="D1031" s="72"/>
      <c r="E1031" s="64">
        <v>26637499</v>
      </c>
      <c r="F1031" s="64">
        <v>0</v>
      </c>
      <c r="G1031" s="64"/>
      <c r="H1031" s="64">
        <v>12361361</v>
      </c>
      <c r="I1031" s="64"/>
      <c r="J1031" s="64">
        <v>4929879</v>
      </c>
      <c r="K1031" s="64">
        <v>39125995</v>
      </c>
      <c r="L1031" s="64">
        <v>44055874</v>
      </c>
      <c r="M1031" s="39"/>
      <c r="N1031" s="64">
        <v>59158431</v>
      </c>
      <c r="O1031" s="64">
        <v>46797071</v>
      </c>
      <c r="P1031" s="64">
        <v>6347868</v>
      </c>
      <c r="Q1031" s="64">
        <v>72511782</v>
      </c>
      <c r="R1031" s="64">
        <v>67581903</v>
      </c>
      <c r="S1031" s="75"/>
      <c r="T1031" s="75"/>
      <c r="U1031" s="75"/>
      <c r="V1031" s="76"/>
    </row>
    <row r="1032" spans="1:26" ht="9" customHeight="1" x14ac:dyDescent="0.2">
      <c r="A1032" s="95"/>
      <c r="B1032" s="95"/>
      <c r="C1032" s="44" t="s">
        <v>62</v>
      </c>
      <c r="D1032" s="45"/>
      <c r="E1032" s="96"/>
      <c r="F1032" s="96"/>
      <c r="G1032" s="96"/>
      <c r="H1032" s="96"/>
      <c r="I1032" s="96"/>
      <c r="J1032" s="54"/>
      <c r="K1032" s="96"/>
      <c r="L1032" s="96"/>
      <c r="M1032" s="39"/>
      <c r="N1032" s="96"/>
      <c r="O1032" s="96"/>
      <c r="P1032" s="96"/>
      <c r="Q1032" s="96"/>
      <c r="R1032" s="7"/>
      <c r="S1032" s="7"/>
      <c r="T1032" s="7"/>
      <c r="U1032" s="7"/>
      <c r="V1032" s="7"/>
      <c r="W1032" s="7"/>
      <c r="X1032" s="7"/>
      <c r="Y1032" s="7"/>
      <c r="Z1032" s="7"/>
    </row>
    <row r="1033" spans="1:26" ht="9" customHeight="1" x14ac:dyDescent="0.2">
      <c r="A1033" s="95"/>
      <c r="B1033" s="95"/>
      <c r="C1033" s="44"/>
      <c r="D1033" s="45"/>
      <c r="E1033" s="96"/>
      <c r="F1033" s="96"/>
      <c r="G1033" s="96"/>
      <c r="H1033" s="96"/>
      <c r="I1033" s="96"/>
      <c r="J1033" s="54"/>
      <c r="K1033" s="96"/>
      <c r="L1033" s="96"/>
      <c r="M1033" s="39"/>
      <c r="N1033" s="96"/>
      <c r="O1033" s="96"/>
      <c r="P1033" s="96"/>
      <c r="Q1033" s="96"/>
      <c r="R1033" s="7"/>
      <c r="S1033" s="7"/>
      <c r="T1033" s="7"/>
      <c r="U1033" s="7"/>
      <c r="V1033" s="7"/>
      <c r="W1033" s="7"/>
      <c r="X1033" s="7"/>
      <c r="Y1033" s="7"/>
      <c r="Z1033" s="7"/>
    </row>
    <row r="1034" spans="1:26" ht="9" customHeight="1" x14ac:dyDescent="0.2">
      <c r="A1034" s="95"/>
      <c r="B1034" s="95"/>
      <c r="C1034" s="44"/>
      <c r="D1034" s="45"/>
      <c r="E1034" s="96"/>
      <c r="F1034" s="96"/>
      <c r="G1034" s="96"/>
      <c r="H1034" s="96"/>
      <c r="I1034" s="96"/>
      <c r="J1034" s="54"/>
      <c r="K1034" s="96"/>
      <c r="L1034" s="96"/>
      <c r="M1034" s="39"/>
      <c r="N1034" s="96"/>
      <c r="O1034" s="96"/>
      <c r="P1034" s="96"/>
      <c r="Q1034" s="96"/>
      <c r="R1034" s="7"/>
      <c r="S1034" s="7"/>
      <c r="T1034" s="7"/>
      <c r="U1034" s="7"/>
      <c r="V1034" s="7"/>
      <c r="W1034" s="7"/>
      <c r="X1034" s="7"/>
      <c r="Y1034" s="7"/>
      <c r="Z1034" s="7"/>
    </row>
    <row r="1035" spans="1:26" ht="9" customHeight="1" x14ac:dyDescent="0.2">
      <c r="A1035" s="95"/>
      <c r="B1035" s="95"/>
      <c r="C1035" s="44"/>
      <c r="D1035" s="45"/>
      <c r="E1035" s="96"/>
      <c r="F1035" s="96"/>
      <c r="G1035" s="96"/>
      <c r="H1035" s="96"/>
      <c r="I1035" s="96"/>
      <c r="J1035" s="54"/>
      <c r="K1035" s="96"/>
      <c r="L1035" s="96"/>
      <c r="M1035" s="39"/>
      <c r="N1035" s="96"/>
      <c r="O1035" s="96"/>
      <c r="P1035" s="96"/>
      <c r="Q1035" s="96"/>
      <c r="R1035" s="7"/>
      <c r="S1035" s="7"/>
      <c r="T1035" s="7"/>
      <c r="U1035" s="7"/>
      <c r="V1035" s="7"/>
      <c r="W1035" s="7"/>
      <c r="X1035" s="7"/>
      <c r="Y1035" s="7"/>
      <c r="Z1035" s="7"/>
    </row>
    <row r="1036" spans="1:26" ht="9" customHeight="1" x14ac:dyDescent="0.2">
      <c r="A1036" s="95"/>
      <c r="B1036" s="95"/>
      <c r="C1036" s="44"/>
      <c r="D1036" s="45"/>
      <c r="E1036" s="96"/>
      <c r="F1036" s="96"/>
      <c r="G1036" s="96"/>
      <c r="H1036" s="96"/>
      <c r="I1036" s="96"/>
      <c r="J1036" s="54"/>
      <c r="K1036" s="96"/>
      <c r="L1036" s="96"/>
      <c r="M1036" s="39"/>
      <c r="N1036" s="96"/>
      <c r="O1036" s="96"/>
      <c r="P1036" s="96"/>
      <c r="Q1036" s="96"/>
      <c r="R1036" s="7"/>
      <c r="S1036" s="7"/>
      <c r="T1036" s="7"/>
      <c r="U1036" s="7"/>
      <c r="V1036" s="7"/>
      <c r="W1036" s="7"/>
      <c r="X1036" s="7"/>
      <c r="Y1036" s="7"/>
      <c r="Z1036" s="7"/>
    </row>
    <row r="1037" spans="1:26" ht="9" customHeight="1" x14ac:dyDescent="0.2">
      <c r="A1037" s="95"/>
      <c r="B1037" s="95"/>
      <c r="C1037" s="44"/>
      <c r="D1037" s="45"/>
      <c r="E1037" s="96"/>
      <c r="F1037" s="96"/>
      <c r="G1037" s="96"/>
      <c r="H1037" s="96"/>
      <c r="I1037" s="96"/>
      <c r="J1037" s="54"/>
      <c r="K1037" s="96"/>
      <c r="L1037" s="96"/>
      <c r="M1037" s="39"/>
      <c r="N1037" s="96"/>
      <c r="O1037" s="96"/>
      <c r="P1037" s="96"/>
      <c r="Q1037" s="96"/>
      <c r="R1037" s="7"/>
      <c r="S1037" s="7"/>
      <c r="T1037" s="7"/>
      <c r="U1037" s="7"/>
      <c r="V1037" s="7"/>
      <c r="W1037" s="7"/>
      <c r="X1037" s="7"/>
      <c r="Y1037" s="7"/>
      <c r="Z1037" s="7"/>
    </row>
    <row r="1038" spans="1:26" ht="9" customHeight="1" x14ac:dyDescent="0.2">
      <c r="A1038" s="95"/>
      <c r="B1038" s="95"/>
      <c r="C1038" s="44"/>
      <c r="D1038" s="45"/>
      <c r="E1038" s="96"/>
      <c r="F1038" s="96"/>
      <c r="G1038" s="96"/>
      <c r="H1038" s="96"/>
      <c r="I1038" s="96"/>
      <c r="J1038" s="54"/>
      <c r="K1038" s="96"/>
      <c r="L1038" s="96"/>
      <c r="M1038" s="39"/>
      <c r="N1038" s="96"/>
      <c r="O1038" s="96"/>
      <c r="P1038" s="96"/>
      <c r="Q1038" s="96"/>
      <c r="R1038" s="7"/>
      <c r="S1038" s="7"/>
      <c r="T1038" s="7"/>
      <c r="U1038" s="7"/>
      <c r="V1038" s="7"/>
      <c r="W1038" s="7"/>
      <c r="X1038" s="7"/>
      <c r="Y1038" s="7"/>
      <c r="Z1038" s="7"/>
    </row>
    <row r="1039" spans="1:26" ht="9" customHeight="1" x14ac:dyDescent="0.2">
      <c r="A1039" s="95"/>
      <c r="B1039" s="95"/>
      <c r="C1039" s="44"/>
      <c r="D1039" s="45"/>
      <c r="E1039" s="96"/>
      <c r="F1039" s="96"/>
      <c r="G1039" s="96"/>
      <c r="H1039" s="96"/>
      <c r="I1039" s="96"/>
      <c r="J1039" s="54"/>
      <c r="K1039" s="96"/>
      <c r="L1039" s="96"/>
      <c r="M1039" s="39"/>
      <c r="N1039" s="96"/>
      <c r="O1039" s="96"/>
      <c r="P1039" s="96"/>
      <c r="Q1039" s="96"/>
      <c r="R1039" s="7"/>
      <c r="S1039" s="7"/>
      <c r="T1039" s="7"/>
      <c r="U1039" s="7"/>
      <c r="V1039" s="7"/>
      <c r="W1039" s="7"/>
      <c r="X1039" s="7"/>
      <c r="Y1039" s="7"/>
      <c r="Z1039" s="7"/>
    </row>
    <row r="1040" spans="1:26" s="7" customFormat="1" ht="12.75" customHeight="1" x14ac:dyDescent="0.2">
      <c r="A1040" s="522">
        <v>44652</v>
      </c>
      <c r="B1040" s="522">
        <v>44742</v>
      </c>
      <c r="C1040" s="57" t="s">
        <v>36</v>
      </c>
      <c r="D1040" s="58">
        <v>0</v>
      </c>
      <c r="E1040" s="59">
        <v>14513.09</v>
      </c>
      <c r="F1040" s="59"/>
      <c r="G1040" s="59"/>
      <c r="H1040" s="59">
        <v>6384.11</v>
      </c>
      <c r="I1040" s="59">
        <f>ROUND(           (  E1040+H1040) *0.003,2)</f>
        <v>62.69</v>
      </c>
      <c r="J1040" s="59">
        <v>1690.19</v>
      </c>
      <c r="K1040" s="59">
        <v>20282.23</v>
      </c>
      <c r="L1040" s="60">
        <v>21972.42</v>
      </c>
      <c r="M1040" s="33"/>
      <c r="N1040" s="59">
        <v>20282.23</v>
      </c>
      <c r="O1040" s="59">
        <v>13898.12</v>
      </c>
      <c r="P1040" s="59">
        <v>2214</v>
      </c>
      <c r="Q1040" s="59">
        <v>24474.080000000002</v>
      </c>
      <c r="R1040" s="59">
        <v>22783.89</v>
      </c>
      <c r="S1040" s="75"/>
      <c r="T1040" s="75">
        <f>10*12</f>
        <v>120</v>
      </c>
      <c r="U1040" s="75"/>
      <c r="V1040" s="76">
        <f>P1040+T1040</f>
        <v>2334</v>
      </c>
    </row>
    <row r="1041" spans="1:26" s="7" customFormat="1" ht="9" customHeight="1" x14ac:dyDescent="0.2">
      <c r="A1041" s="523"/>
      <c r="B1041" s="523"/>
      <c r="C1041" s="62" t="s">
        <v>37</v>
      </c>
      <c r="D1041" s="63">
        <v>8</v>
      </c>
      <c r="E1041" s="64">
        <v>26637499</v>
      </c>
      <c r="F1041" s="65"/>
      <c r="G1041" s="65"/>
      <c r="H1041" s="64">
        <v>12361361</v>
      </c>
      <c r="I1041" s="64"/>
      <c r="J1041" s="66">
        <v>3272664</v>
      </c>
      <c r="K1041" s="66">
        <v>39271873</v>
      </c>
      <c r="L1041" s="64">
        <v>42544538</v>
      </c>
      <c r="M1041" s="39"/>
      <c r="N1041" s="65">
        <v>39271873</v>
      </c>
      <c r="O1041" s="65">
        <v>26910513</v>
      </c>
      <c r="P1041" s="65"/>
      <c r="Q1041" s="65">
        <v>47388427</v>
      </c>
      <c r="R1041" s="64">
        <v>44115763</v>
      </c>
      <c r="S1041" s="75"/>
      <c r="T1041" s="75"/>
      <c r="U1041" s="75"/>
      <c r="V1041" s="76"/>
    </row>
    <row r="1042" spans="1:26" s="7" customFormat="1" ht="12.75" customHeight="1" x14ac:dyDescent="0.2">
      <c r="A1042" s="520">
        <f>A1040</f>
        <v>44652</v>
      </c>
      <c r="B1042" s="520">
        <f>B1040</f>
        <v>44742</v>
      </c>
      <c r="C1042" s="68" t="s">
        <v>36</v>
      </c>
      <c r="D1042" s="69">
        <v>9</v>
      </c>
      <c r="E1042" s="59">
        <v>16798.88</v>
      </c>
      <c r="F1042" s="59"/>
      <c r="G1042" s="59"/>
      <c r="H1042" s="59">
        <v>6384.11</v>
      </c>
      <c r="I1042" s="59">
        <f>ROUND(           (  E1042+H1042) *0.003,2)</f>
        <v>69.55</v>
      </c>
      <c r="J1042" s="59">
        <v>1874.95</v>
      </c>
      <c r="K1042" s="59">
        <v>16918.52</v>
      </c>
      <c r="L1042" s="60">
        <v>18793.47</v>
      </c>
      <c r="M1042" s="33"/>
      <c r="N1042" s="59">
        <v>22499.37</v>
      </c>
      <c r="O1042" s="59">
        <v>16115.26</v>
      </c>
      <c r="P1042" s="59">
        <v>2214</v>
      </c>
      <c r="Q1042" s="59">
        <v>27275.07</v>
      </c>
      <c r="R1042" s="59">
        <v>25400.12</v>
      </c>
      <c r="S1042" s="75"/>
      <c r="T1042" s="75">
        <f>10*12</f>
        <v>120</v>
      </c>
      <c r="U1042" s="75"/>
      <c r="V1042" s="76">
        <f>P1042+T1042</f>
        <v>2334</v>
      </c>
    </row>
    <row r="1043" spans="1:26" s="7" customFormat="1" ht="9" customHeight="1" x14ac:dyDescent="0.2">
      <c r="A1043" s="520"/>
      <c r="B1043" s="520"/>
      <c r="C1043" s="62" t="s">
        <v>37</v>
      </c>
      <c r="D1043" s="63">
        <v>14</v>
      </c>
      <c r="E1043" s="64">
        <v>26637499</v>
      </c>
      <c r="F1043" s="65"/>
      <c r="G1043" s="65"/>
      <c r="H1043" s="64">
        <v>12361361</v>
      </c>
      <c r="I1043" s="64"/>
      <c r="J1043" s="66">
        <v>3630409</v>
      </c>
      <c r="K1043" s="64">
        <v>32758823</v>
      </c>
      <c r="L1043" s="64">
        <v>36389232</v>
      </c>
      <c r="M1043" s="39"/>
      <c r="N1043" s="65">
        <v>43564855</v>
      </c>
      <c r="O1043" s="65">
        <v>31203494</v>
      </c>
      <c r="P1043" s="65"/>
      <c r="Q1043" s="65">
        <v>52811900</v>
      </c>
      <c r="R1043" s="64">
        <v>49181490</v>
      </c>
      <c r="S1043" s="75"/>
      <c r="T1043" s="75"/>
      <c r="U1043" s="75"/>
      <c r="V1043" s="76"/>
    </row>
    <row r="1044" spans="1:26" s="7" customFormat="1" ht="12.75" customHeight="1" x14ac:dyDescent="0.2">
      <c r="A1044" s="520"/>
      <c r="B1044" s="520"/>
      <c r="C1044" s="68" t="s">
        <v>36</v>
      </c>
      <c r="D1044" s="69">
        <v>15</v>
      </c>
      <c r="E1044" s="59">
        <v>18820.88</v>
      </c>
      <c r="F1044" s="59"/>
      <c r="G1044" s="59"/>
      <c r="H1044" s="59">
        <v>6384.11</v>
      </c>
      <c r="I1044" s="59">
        <f>ROUND(           (  E1044+H1044) *0.003,2)</f>
        <v>75.61</v>
      </c>
      <c r="J1044" s="59">
        <v>2037.57</v>
      </c>
      <c r="K1044" s="59">
        <v>17933.73</v>
      </c>
      <c r="L1044" s="60">
        <v>19971.3</v>
      </c>
      <c r="M1044" s="33"/>
      <c r="N1044" s="59">
        <v>24450.86</v>
      </c>
      <c r="O1044" s="59">
        <v>18066.75</v>
      </c>
      <c r="P1044" s="59">
        <v>2721.6</v>
      </c>
      <c r="Q1044" s="59">
        <v>29740.45</v>
      </c>
      <c r="R1044" s="59">
        <v>27702.880000000001</v>
      </c>
      <c r="S1044" s="75"/>
      <c r="T1044" s="75">
        <f>12*12</f>
        <v>144</v>
      </c>
      <c r="U1044" s="75"/>
      <c r="V1044" s="76">
        <f>P1044+T1044</f>
        <v>2865.6</v>
      </c>
    </row>
    <row r="1045" spans="1:26" s="7" customFormat="1" ht="9" customHeight="1" x14ac:dyDescent="0.2">
      <c r="A1045" s="520"/>
      <c r="B1045" s="520"/>
      <c r="C1045" s="62" t="s">
        <v>37</v>
      </c>
      <c r="D1045" s="63">
        <v>20</v>
      </c>
      <c r="E1045" s="64">
        <v>26637499</v>
      </c>
      <c r="F1045" s="65"/>
      <c r="G1045" s="65"/>
      <c r="H1045" s="64">
        <v>12361361</v>
      </c>
      <c r="I1045" s="64"/>
      <c r="J1045" s="66">
        <v>3945286</v>
      </c>
      <c r="K1045" s="64">
        <v>34724543</v>
      </c>
      <c r="L1045" s="64">
        <v>38669829</v>
      </c>
      <c r="M1045" s="39"/>
      <c r="N1045" s="65">
        <v>47343467</v>
      </c>
      <c r="O1045" s="65">
        <v>34982106</v>
      </c>
      <c r="P1045" s="65"/>
      <c r="Q1045" s="65">
        <v>57585541</v>
      </c>
      <c r="R1045" s="64">
        <v>53640255</v>
      </c>
      <c r="S1045" s="75"/>
      <c r="T1045" s="75"/>
      <c r="U1045" s="75"/>
      <c r="V1045" s="76"/>
    </row>
    <row r="1046" spans="1:26" s="7" customFormat="1" ht="12.75" customHeight="1" x14ac:dyDescent="0.2">
      <c r="A1046" s="520"/>
      <c r="B1046" s="520"/>
      <c r="C1046" s="68" t="s">
        <v>36</v>
      </c>
      <c r="D1046" s="69">
        <v>21</v>
      </c>
      <c r="E1046" s="59">
        <v>21742.45</v>
      </c>
      <c r="F1046" s="59"/>
      <c r="G1046" s="59"/>
      <c r="H1046" s="59">
        <v>6384.11</v>
      </c>
      <c r="I1046" s="59">
        <f>ROUND(           (  E1046+H1046) *0.003,2)</f>
        <v>84.38</v>
      </c>
      <c r="J1046" s="59">
        <v>2273.69</v>
      </c>
      <c r="K1046" s="59">
        <v>18921.79</v>
      </c>
      <c r="L1046" s="60">
        <v>21195.48</v>
      </c>
      <c r="M1046" s="33"/>
      <c r="N1046" s="59">
        <v>27284.25</v>
      </c>
      <c r="O1046" s="59">
        <v>20900.14</v>
      </c>
      <c r="P1046" s="59">
        <v>2721.6</v>
      </c>
      <c r="Q1046" s="59">
        <v>33319.97</v>
      </c>
      <c r="R1046" s="59">
        <v>31046.28</v>
      </c>
      <c r="S1046" s="75"/>
      <c r="T1046" s="75">
        <f>12*12</f>
        <v>144</v>
      </c>
      <c r="U1046" s="75"/>
      <c r="V1046" s="76">
        <f>P1046+T1046</f>
        <v>2865.6</v>
      </c>
    </row>
    <row r="1047" spans="1:26" s="7" customFormat="1" ht="9" customHeight="1" x14ac:dyDescent="0.2">
      <c r="A1047" s="520"/>
      <c r="B1047" s="520"/>
      <c r="C1047" s="62" t="s">
        <v>37</v>
      </c>
      <c r="D1047" s="63">
        <v>27</v>
      </c>
      <c r="E1047" s="64">
        <v>26637499</v>
      </c>
      <c r="F1047" s="65"/>
      <c r="G1047" s="65"/>
      <c r="H1047" s="64">
        <v>12361361</v>
      </c>
      <c r="I1047" s="64"/>
      <c r="J1047" s="66">
        <v>4402478</v>
      </c>
      <c r="K1047" s="64">
        <v>36637694</v>
      </c>
      <c r="L1047" s="64">
        <v>41040172</v>
      </c>
      <c r="M1047" s="39"/>
      <c r="N1047" s="65">
        <v>52829675</v>
      </c>
      <c r="O1047" s="65">
        <v>40468314</v>
      </c>
      <c r="P1047" s="65"/>
      <c r="Q1047" s="65">
        <v>64516458</v>
      </c>
      <c r="R1047" s="64">
        <v>60113981</v>
      </c>
      <c r="S1047" s="75"/>
      <c r="T1047" s="75"/>
      <c r="U1047" s="75"/>
      <c r="V1047" s="76"/>
    </row>
    <row r="1048" spans="1:26" s="7" customFormat="1" ht="12.75" customHeight="1" x14ac:dyDescent="0.2">
      <c r="A1048" s="520"/>
      <c r="B1048" s="520"/>
      <c r="C1048" s="68" t="s">
        <v>36</v>
      </c>
      <c r="D1048" s="69">
        <v>28</v>
      </c>
      <c r="E1048" s="59">
        <v>23645.68</v>
      </c>
      <c r="F1048" s="59"/>
      <c r="G1048" s="59"/>
      <c r="H1048" s="59">
        <v>6384.11</v>
      </c>
      <c r="I1048" s="59">
        <f>ROUND(           (  E1048+H1048) *0.003,2)</f>
        <v>90.09</v>
      </c>
      <c r="J1048" s="59">
        <v>2428.36</v>
      </c>
      <c r="K1048" s="59">
        <v>19673.080000000002</v>
      </c>
      <c r="L1048" s="60">
        <v>22101.439999999999</v>
      </c>
      <c r="M1048" s="33"/>
      <c r="N1048" s="59">
        <v>29140.35</v>
      </c>
      <c r="O1048" s="59">
        <v>22756.240000000002</v>
      </c>
      <c r="P1048" s="59">
        <v>3458.4</v>
      </c>
      <c r="Q1048" s="59">
        <v>35664.83</v>
      </c>
      <c r="R1048" s="59">
        <v>33236.47</v>
      </c>
      <c r="S1048" s="75"/>
      <c r="T1048" s="75">
        <f>15*12</f>
        <v>180</v>
      </c>
      <c r="U1048" s="75"/>
      <c r="V1048" s="76">
        <f>P1048+T1048</f>
        <v>3638.4</v>
      </c>
    </row>
    <row r="1049" spans="1:26" s="7" customFormat="1" ht="9" customHeight="1" x14ac:dyDescent="0.2">
      <c r="A1049" s="520"/>
      <c r="B1049" s="520"/>
      <c r="C1049" s="62" t="s">
        <v>37</v>
      </c>
      <c r="D1049" s="63">
        <v>34</v>
      </c>
      <c r="E1049" s="64">
        <v>26637499</v>
      </c>
      <c r="F1049" s="65"/>
      <c r="G1049" s="65"/>
      <c r="H1049" s="64">
        <v>12361361</v>
      </c>
      <c r="I1049" s="64"/>
      <c r="J1049" s="66">
        <v>4701961</v>
      </c>
      <c r="K1049" s="64">
        <v>38092395</v>
      </c>
      <c r="L1049" s="64">
        <v>42794355</v>
      </c>
      <c r="M1049" s="39"/>
      <c r="N1049" s="65">
        <v>56423585</v>
      </c>
      <c r="O1049" s="65">
        <v>44062225</v>
      </c>
      <c r="P1049" s="65"/>
      <c r="Q1049" s="65">
        <v>69056740</v>
      </c>
      <c r="R1049" s="64">
        <v>64354780</v>
      </c>
      <c r="S1049" s="75"/>
      <c r="T1049" s="75"/>
      <c r="U1049" s="75"/>
      <c r="V1049" s="76"/>
    </row>
    <row r="1050" spans="1:26" s="7" customFormat="1" ht="12.75" customHeight="1" x14ac:dyDescent="0.2">
      <c r="A1050" s="520"/>
      <c r="B1050" s="520"/>
      <c r="C1050" s="68" t="s">
        <v>36</v>
      </c>
      <c r="D1050" s="69">
        <v>35</v>
      </c>
      <c r="E1050" s="59">
        <v>25108.309999999998</v>
      </c>
      <c r="F1050" s="59"/>
      <c r="G1050" s="59"/>
      <c r="H1050" s="59">
        <v>6384.11</v>
      </c>
      <c r="I1050" s="59">
        <f>ROUND(           (  E1050+H1050) *0.003,2)</f>
        <v>94.48</v>
      </c>
      <c r="J1050" s="59">
        <v>2546.0700000000002</v>
      </c>
      <c r="K1050" s="59">
        <v>20206.89</v>
      </c>
      <c r="L1050" s="60">
        <v>22752.959999999999</v>
      </c>
      <c r="M1050" s="33"/>
      <c r="N1050" s="59">
        <v>30552.78</v>
      </c>
      <c r="O1050" s="59">
        <v>24168.67</v>
      </c>
      <c r="P1050" s="59">
        <v>3458.4</v>
      </c>
      <c r="Q1050" s="59">
        <v>37449.21</v>
      </c>
      <c r="R1050" s="59">
        <v>34903.14</v>
      </c>
      <c r="S1050" s="75"/>
      <c r="T1050" s="75">
        <f>15*12</f>
        <v>180</v>
      </c>
      <c r="U1050" s="75"/>
      <c r="V1050" s="76">
        <f>P1050+T1050</f>
        <v>3638.4</v>
      </c>
    </row>
    <row r="1051" spans="1:26" s="7" customFormat="1" ht="9" customHeight="1" x14ac:dyDescent="0.2">
      <c r="A1051" s="521"/>
      <c r="B1051" s="521"/>
      <c r="C1051" s="71" t="s">
        <v>37</v>
      </c>
      <c r="D1051" s="72"/>
      <c r="E1051" s="64">
        <v>26637499</v>
      </c>
      <c r="F1051" s="64">
        <v>0</v>
      </c>
      <c r="G1051" s="64"/>
      <c r="H1051" s="64">
        <v>12361361</v>
      </c>
      <c r="I1051" s="64"/>
      <c r="J1051" s="64">
        <v>4929879</v>
      </c>
      <c r="K1051" s="64">
        <v>39125995</v>
      </c>
      <c r="L1051" s="64">
        <v>44055874</v>
      </c>
      <c r="M1051" s="39"/>
      <c r="N1051" s="64">
        <v>59158431</v>
      </c>
      <c r="O1051" s="64">
        <v>46797071</v>
      </c>
      <c r="P1051" s="64">
        <v>6347868</v>
      </c>
      <c r="Q1051" s="64">
        <v>72511782</v>
      </c>
      <c r="R1051" s="64">
        <v>67581903</v>
      </c>
      <c r="S1051" s="75"/>
      <c r="T1051" s="75"/>
      <c r="U1051" s="75"/>
      <c r="V1051" s="76"/>
    </row>
    <row r="1052" spans="1:26" ht="9" customHeight="1" x14ac:dyDescent="0.2">
      <c r="A1052" s="95"/>
      <c r="B1052" s="95"/>
      <c r="C1052" s="44" t="s">
        <v>62</v>
      </c>
      <c r="D1052" s="45"/>
      <c r="E1052" s="96"/>
      <c r="F1052" s="96"/>
      <c r="G1052" s="96"/>
      <c r="H1052" s="96"/>
      <c r="I1052" s="96"/>
      <c r="J1052" s="54"/>
      <c r="K1052" s="96"/>
      <c r="L1052" s="96"/>
      <c r="M1052" s="39"/>
      <c r="N1052" s="96"/>
      <c r="O1052" s="96"/>
      <c r="P1052" s="96"/>
      <c r="Q1052" s="96"/>
      <c r="R1052" s="7"/>
      <c r="S1052" s="7"/>
      <c r="T1052" s="7"/>
      <c r="U1052" s="7"/>
      <c r="V1052" s="7"/>
      <c r="W1052" s="7"/>
      <c r="X1052" s="7"/>
      <c r="Y1052" s="7"/>
      <c r="Z1052" s="7"/>
    </row>
    <row r="1053" spans="1:26" ht="9" customHeight="1" x14ac:dyDescent="0.2">
      <c r="A1053" s="95"/>
      <c r="B1053" s="95"/>
      <c r="C1053" s="44"/>
      <c r="D1053" s="45"/>
      <c r="E1053" s="96"/>
      <c r="F1053" s="96"/>
      <c r="G1053" s="96"/>
      <c r="H1053" s="96"/>
      <c r="I1053" s="96"/>
      <c r="J1053" s="54"/>
      <c r="K1053" s="96"/>
      <c r="L1053" s="96"/>
      <c r="M1053" s="39"/>
      <c r="N1053" s="96"/>
      <c r="O1053" s="96"/>
      <c r="P1053" s="96"/>
      <c r="Q1053" s="96"/>
      <c r="R1053" s="7"/>
      <c r="S1053" s="7"/>
      <c r="T1053" s="7"/>
      <c r="U1053" s="7"/>
      <c r="V1053" s="7"/>
      <c r="W1053" s="7"/>
      <c r="X1053" s="7"/>
      <c r="Y1053" s="7"/>
      <c r="Z1053" s="7"/>
    </row>
    <row r="1054" spans="1:26" ht="9" customHeight="1" x14ac:dyDescent="0.2">
      <c r="A1054" s="95"/>
      <c r="B1054" s="95"/>
      <c r="C1054" s="44"/>
      <c r="D1054" s="45"/>
      <c r="E1054" s="96"/>
      <c r="F1054" s="96"/>
      <c r="G1054" s="96"/>
      <c r="H1054" s="96"/>
      <c r="I1054" s="96"/>
      <c r="J1054" s="54"/>
      <c r="K1054" s="96"/>
      <c r="L1054" s="96"/>
      <c r="M1054" s="39"/>
      <c r="N1054" s="96"/>
      <c r="O1054" s="96"/>
      <c r="P1054" s="96"/>
      <c r="Q1054" s="96"/>
      <c r="R1054" s="7"/>
      <c r="S1054" s="7"/>
      <c r="T1054" s="7"/>
      <c r="U1054" s="7"/>
      <c r="V1054" s="7"/>
      <c r="W1054" s="7"/>
      <c r="X1054" s="7"/>
      <c r="Y1054" s="7"/>
      <c r="Z1054" s="7"/>
    </row>
    <row r="1055" spans="1:26" ht="9" customHeight="1" x14ac:dyDescent="0.2">
      <c r="A1055" s="95"/>
      <c r="B1055" s="95"/>
      <c r="C1055" s="44"/>
      <c r="D1055" s="45"/>
      <c r="E1055" s="96"/>
      <c r="F1055" s="96"/>
      <c r="G1055" s="96"/>
      <c r="H1055" s="96"/>
      <c r="I1055" s="96"/>
      <c r="J1055" s="54"/>
      <c r="K1055" s="96"/>
      <c r="L1055" s="96"/>
      <c r="M1055" s="39"/>
      <c r="N1055" s="96"/>
      <c r="O1055" s="96"/>
      <c r="P1055" s="96"/>
      <c r="Q1055" s="96"/>
      <c r="R1055" s="7"/>
      <c r="S1055" s="7"/>
      <c r="T1055" s="7"/>
      <c r="U1055" s="7"/>
      <c r="V1055" s="7"/>
      <c r="W1055" s="7"/>
      <c r="X1055" s="7"/>
      <c r="Y1055" s="7"/>
      <c r="Z1055" s="7"/>
    </row>
    <row r="1056" spans="1:26" ht="9" customHeight="1" x14ac:dyDescent="0.2">
      <c r="A1056" s="95"/>
      <c r="B1056" s="95"/>
      <c r="C1056" s="44"/>
      <c r="D1056" s="45"/>
      <c r="E1056" s="96"/>
      <c r="F1056" s="96"/>
      <c r="G1056" s="96"/>
      <c r="H1056" s="96"/>
      <c r="I1056" s="96"/>
      <c r="J1056" s="54"/>
      <c r="K1056" s="96"/>
      <c r="L1056" s="96"/>
      <c r="M1056" s="39"/>
      <c r="N1056" s="96"/>
      <c r="O1056" s="96"/>
      <c r="P1056" s="96"/>
      <c r="Q1056" s="96"/>
      <c r="R1056" s="7"/>
      <c r="S1056" s="7"/>
      <c r="T1056" s="7"/>
      <c r="U1056" s="7"/>
      <c r="V1056" s="7"/>
      <c r="W1056" s="7"/>
      <c r="X1056" s="7"/>
      <c r="Y1056" s="7"/>
      <c r="Z1056" s="7"/>
    </row>
    <row r="1057" spans="1:26" ht="9" customHeight="1" x14ac:dyDescent="0.2">
      <c r="A1057" s="95"/>
      <c r="B1057" s="95"/>
      <c r="C1057" s="44"/>
      <c r="D1057" s="45"/>
      <c r="E1057" s="96"/>
      <c r="F1057" s="96"/>
      <c r="G1057" s="96"/>
      <c r="H1057" s="96"/>
      <c r="I1057" s="96"/>
      <c r="J1057" s="54"/>
      <c r="K1057" s="96"/>
      <c r="L1057" s="96"/>
      <c r="M1057" s="39"/>
      <c r="N1057" s="96"/>
      <c r="O1057" s="96"/>
      <c r="P1057" s="96"/>
      <c r="Q1057" s="96"/>
      <c r="R1057" s="7"/>
      <c r="S1057" s="7"/>
      <c r="T1057" s="7"/>
      <c r="U1057" s="7"/>
      <c r="V1057" s="7"/>
      <c r="W1057" s="7"/>
      <c r="X1057" s="7"/>
      <c r="Y1057" s="7"/>
      <c r="Z1057" s="7"/>
    </row>
    <row r="1058" spans="1:26" ht="9" customHeight="1" x14ac:dyDescent="0.2">
      <c r="A1058" s="95"/>
      <c r="B1058" s="95"/>
      <c r="C1058" s="44"/>
      <c r="D1058" s="45"/>
      <c r="E1058" s="96"/>
      <c r="F1058" s="96"/>
      <c r="G1058" s="96"/>
      <c r="H1058" s="96"/>
      <c r="I1058" s="96"/>
      <c r="J1058" s="54"/>
      <c r="K1058" s="96"/>
      <c r="L1058" s="96"/>
      <c r="M1058" s="39"/>
      <c r="N1058" s="96"/>
      <c r="O1058" s="96"/>
      <c r="P1058" s="96"/>
      <c r="Q1058" s="96"/>
      <c r="R1058" s="7"/>
      <c r="S1058" s="7"/>
      <c r="T1058" s="7"/>
      <c r="U1058" s="7"/>
      <c r="V1058" s="7"/>
      <c r="W1058" s="7"/>
      <c r="X1058" s="7"/>
      <c r="Y1058" s="7"/>
      <c r="Z1058" s="7"/>
    </row>
    <row r="1059" spans="1:26" ht="9" customHeight="1" x14ac:dyDescent="0.2">
      <c r="A1059" s="95"/>
      <c r="B1059" s="95"/>
      <c r="C1059" s="44"/>
      <c r="D1059" s="45"/>
      <c r="E1059" s="96"/>
      <c r="F1059" s="96"/>
      <c r="G1059" s="96"/>
      <c r="H1059" s="96"/>
      <c r="I1059" s="96"/>
      <c r="J1059" s="54"/>
      <c r="K1059" s="96"/>
      <c r="L1059" s="96"/>
      <c r="M1059" s="39"/>
      <c r="N1059" s="96"/>
      <c r="O1059" s="96"/>
      <c r="P1059" s="96"/>
      <c r="Q1059" s="96"/>
      <c r="R1059" s="7"/>
      <c r="S1059" s="7"/>
      <c r="T1059" s="7"/>
      <c r="U1059" s="7"/>
      <c r="V1059" s="7"/>
      <c r="W1059" s="7"/>
      <c r="X1059" s="7"/>
      <c r="Y1059" s="7"/>
      <c r="Z1059" s="7"/>
    </row>
    <row r="1060" spans="1:26" s="7" customFormat="1" ht="12.75" customHeight="1" x14ac:dyDescent="0.2">
      <c r="A1060" s="522">
        <v>44743</v>
      </c>
      <c r="B1060" s="522">
        <v>45291</v>
      </c>
      <c r="C1060" s="57" t="s">
        <v>36</v>
      </c>
      <c r="D1060" s="58">
        <v>0</v>
      </c>
      <c r="E1060" s="59">
        <v>14513.09</v>
      </c>
      <c r="F1060" s="59"/>
      <c r="G1060" s="59"/>
      <c r="H1060" s="59">
        <v>6384.11</v>
      </c>
      <c r="I1060" s="59">
        <f>ROUND(           (  E1060+H1060) *0.005,2)</f>
        <v>104.49</v>
      </c>
      <c r="J1060" s="59">
        <v>1690.19</v>
      </c>
      <c r="K1060" s="59">
        <v>20282.23</v>
      </c>
      <c r="L1060" s="60">
        <v>21972.42</v>
      </c>
      <c r="M1060" s="33"/>
      <c r="N1060" s="59">
        <v>20282.23</v>
      </c>
      <c r="O1060" s="59">
        <v>13898.12</v>
      </c>
      <c r="P1060" s="59">
        <v>2214</v>
      </c>
      <c r="Q1060" s="59">
        <v>24474.080000000002</v>
      </c>
      <c r="R1060" s="59">
        <v>22783.89</v>
      </c>
      <c r="S1060" s="75"/>
      <c r="T1060" s="75">
        <f>10*12</f>
        <v>120</v>
      </c>
      <c r="U1060" s="75"/>
      <c r="V1060" s="76">
        <f>P1060+T1060</f>
        <v>2334</v>
      </c>
    </row>
    <row r="1061" spans="1:26" s="7" customFormat="1" ht="9" customHeight="1" x14ac:dyDescent="0.2">
      <c r="A1061" s="523"/>
      <c r="B1061" s="523"/>
      <c r="C1061" s="62" t="s">
        <v>37</v>
      </c>
      <c r="D1061" s="63">
        <v>8</v>
      </c>
      <c r="E1061" s="64">
        <v>26637499</v>
      </c>
      <c r="F1061" s="65"/>
      <c r="G1061" s="65"/>
      <c r="H1061" s="64">
        <v>12361361</v>
      </c>
      <c r="I1061" s="64"/>
      <c r="J1061" s="66">
        <v>3272664</v>
      </c>
      <c r="K1061" s="66">
        <v>39271873</v>
      </c>
      <c r="L1061" s="64">
        <v>42544538</v>
      </c>
      <c r="M1061" s="39"/>
      <c r="N1061" s="65">
        <v>39271873</v>
      </c>
      <c r="O1061" s="65">
        <v>26910513</v>
      </c>
      <c r="P1061" s="65"/>
      <c r="Q1061" s="65">
        <v>47388427</v>
      </c>
      <c r="R1061" s="64">
        <v>44115763</v>
      </c>
      <c r="S1061" s="75"/>
      <c r="T1061" s="75"/>
      <c r="U1061" s="75"/>
      <c r="V1061" s="76"/>
    </row>
    <row r="1062" spans="1:26" s="7" customFormat="1" ht="12.75" customHeight="1" x14ac:dyDescent="0.2">
      <c r="A1062" s="520">
        <f>A1060</f>
        <v>44743</v>
      </c>
      <c r="B1062" s="520">
        <f>B1060</f>
        <v>45291</v>
      </c>
      <c r="C1062" s="68" t="s">
        <v>36</v>
      </c>
      <c r="D1062" s="69">
        <v>9</v>
      </c>
      <c r="E1062" s="59">
        <v>16798.88</v>
      </c>
      <c r="F1062" s="59"/>
      <c r="G1062" s="59"/>
      <c r="H1062" s="59">
        <v>6384.11</v>
      </c>
      <c r="I1062" s="59">
        <f>ROUND(           (  E1062+H1062) *0.005,2)</f>
        <v>115.91</v>
      </c>
      <c r="J1062" s="59">
        <v>1874.95</v>
      </c>
      <c r="K1062" s="59">
        <v>16918.52</v>
      </c>
      <c r="L1062" s="60">
        <v>18793.47</v>
      </c>
      <c r="M1062" s="33"/>
      <c r="N1062" s="59">
        <v>22499.37</v>
      </c>
      <c r="O1062" s="59">
        <v>16115.26</v>
      </c>
      <c r="P1062" s="59">
        <v>2214</v>
      </c>
      <c r="Q1062" s="59">
        <v>27275.07</v>
      </c>
      <c r="R1062" s="59">
        <v>25400.12</v>
      </c>
      <c r="S1062" s="75"/>
      <c r="T1062" s="75">
        <f>10*12</f>
        <v>120</v>
      </c>
      <c r="U1062" s="75"/>
      <c r="V1062" s="76">
        <f>P1062+T1062</f>
        <v>2334</v>
      </c>
    </row>
    <row r="1063" spans="1:26" s="7" customFormat="1" ht="9" customHeight="1" x14ac:dyDescent="0.2">
      <c r="A1063" s="520"/>
      <c r="B1063" s="520"/>
      <c r="C1063" s="62" t="s">
        <v>37</v>
      </c>
      <c r="D1063" s="63">
        <v>14</v>
      </c>
      <c r="E1063" s="64">
        <v>26637499</v>
      </c>
      <c r="F1063" s="65"/>
      <c r="G1063" s="65"/>
      <c r="H1063" s="64">
        <v>12361361</v>
      </c>
      <c r="I1063" s="64"/>
      <c r="J1063" s="66">
        <v>3630409</v>
      </c>
      <c r="K1063" s="64">
        <v>32758823</v>
      </c>
      <c r="L1063" s="64">
        <v>36389232</v>
      </c>
      <c r="M1063" s="39"/>
      <c r="N1063" s="65">
        <v>43564855</v>
      </c>
      <c r="O1063" s="65">
        <v>31203494</v>
      </c>
      <c r="P1063" s="65"/>
      <c r="Q1063" s="65">
        <v>52811900</v>
      </c>
      <c r="R1063" s="64">
        <v>49181490</v>
      </c>
      <c r="S1063" s="75"/>
      <c r="T1063" s="75"/>
      <c r="U1063" s="75"/>
      <c r="V1063" s="76"/>
    </row>
    <row r="1064" spans="1:26" s="7" customFormat="1" ht="12.75" customHeight="1" x14ac:dyDescent="0.2">
      <c r="A1064" s="520"/>
      <c r="B1064" s="520"/>
      <c r="C1064" s="68" t="s">
        <v>36</v>
      </c>
      <c r="D1064" s="69">
        <v>15</v>
      </c>
      <c r="E1064" s="59">
        <v>18820.88</v>
      </c>
      <c r="F1064" s="59"/>
      <c r="G1064" s="59"/>
      <c r="H1064" s="59">
        <v>6384.11</v>
      </c>
      <c r="I1064" s="59">
        <f>ROUND(           (  E1064+H1064) *0.005,2)</f>
        <v>126.02</v>
      </c>
      <c r="J1064" s="59">
        <v>2037.57</v>
      </c>
      <c r="K1064" s="59">
        <v>17933.73</v>
      </c>
      <c r="L1064" s="60">
        <v>19971.3</v>
      </c>
      <c r="M1064" s="33"/>
      <c r="N1064" s="59">
        <v>24450.86</v>
      </c>
      <c r="O1064" s="59">
        <v>18066.75</v>
      </c>
      <c r="P1064" s="59">
        <v>2721.6</v>
      </c>
      <c r="Q1064" s="59">
        <v>29740.45</v>
      </c>
      <c r="R1064" s="59">
        <v>27702.880000000001</v>
      </c>
      <c r="S1064" s="75"/>
      <c r="T1064" s="75">
        <f>12*12</f>
        <v>144</v>
      </c>
      <c r="U1064" s="75"/>
      <c r="V1064" s="76">
        <f>P1064+T1064</f>
        <v>2865.6</v>
      </c>
    </row>
    <row r="1065" spans="1:26" s="7" customFormat="1" ht="9" customHeight="1" x14ac:dyDescent="0.2">
      <c r="A1065" s="520"/>
      <c r="B1065" s="520"/>
      <c r="C1065" s="62" t="s">
        <v>37</v>
      </c>
      <c r="D1065" s="63">
        <v>20</v>
      </c>
      <c r="E1065" s="64">
        <v>26637499</v>
      </c>
      <c r="F1065" s="65"/>
      <c r="G1065" s="65"/>
      <c r="H1065" s="64">
        <v>12361361</v>
      </c>
      <c r="I1065" s="64"/>
      <c r="J1065" s="66">
        <v>3945286</v>
      </c>
      <c r="K1065" s="64">
        <v>34724543</v>
      </c>
      <c r="L1065" s="64">
        <v>38669829</v>
      </c>
      <c r="M1065" s="39"/>
      <c r="N1065" s="65">
        <v>47343467</v>
      </c>
      <c r="O1065" s="65">
        <v>34982106</v>
      </c>
      <c r="P1065" s="65"/>
      <c r="Q1065" s="65">
        <v>57585541</v>
      </c>
      <c r="R1065" s="64">
        <v>53640255</v>
      </c>
      <c r="S1065" s="75"/>
      <c r="T1065" s="75"/>
      <c r="U1065" s="75"/>
      <c r="V1065" s="76"/>
    </row>
    <row r="1066" spans="1:26" s="7" customFormat="1" ht="12.75" customHeight="1" x14ac:dyDescent="0.2">
      <c r="A1066" s="520"/>
      <c r="B1066" s="520"/>
      <c r="C1066" s="68" t="s">
        <v>36</v>
      </c>
      <c r="D1066" s="69">
        <v>21</v>
      </c>
      <c r="E1066" s="59">
        <v>21742.45</v>
      </c>
      <c r="F1066" s="59"/>
      <c r="G1066" s="59"/>
      <c r="H1066" s="59">
        <v>6384.11</v>
      </c>
      <c r="I1066" s="59">
        <f>ROUND(           (  E1066+H1066) *0.005,2)</f>
        <v>140.63</v>
      </c>
      <c r="J1066" s="59">
        <v>2273.69</v>
      </c>
      <c r="K1066" s="59">
        <v>18921.79</v>
      </c>
      <c r="L1066" s="60">
        <v>21195.48</v>
      </c>
      <c r="M1066" s="33"/>
      <c r="N1066" s="59">
        <v>27284.25</v>
      </c>
      <c r="O1066" s="59">
        <v>20900.14</v>
      </c>
      <c r="P1066" s="59">
        <v>2721.6</v>
      </c>
      <c r="Q1066" s="59">
        <v>33319.97</v>
      </c>
      <c r="R1066" s="59">
        <v>31046.28</v>
      </c>
      <c r="S1066" s="75"/>
      <c r="T1066" s="75">
        <f>12*12</f>
        <v>144</v>
      </c>
      <c r="U1066" s="75"/>
      <c r="V1066" s="76">
        <f>P1066+T1066</f>
        <v>2865.6</v>
      </c>
    </row>
    <row r="1067" spans="1:26" s="7" customFormat="1" ht="9" customHeight="1" x14ac:dyDescent="0.2">
      <c r="A1067" s="520"/>
      <c r="B1067" s="520"/>
      <c r="C1067" s="62" t="s">
        <v>37</v>
      </c>
      <c r="D1067" s="63">
        <v>27</v>
      </c>
      <c r="E1067" s="64">
        <v>26637499</v>
      </c>
      <c r="F1067" s="65"/>
      <c r="G1067" s="65"/>
      <c r="H1067" s="64">
        <v>12361361</v>
      </c>
      <c r="I1067" s="64"/>
      <c r="J1067" s="66">
        <v>4402478</v>
      </c>
      <c r="K1067" s="64">
        <v>36637694</v>
      </c>
      <c r="L1067" s="64">
        <v>41040172</v>
      </c>
      <c r="M1067" s="39"/>
      <c r="N1067" s="65">
        <v>52829675</v>
      </c>
      <c r="O1067" s="65">
        <v>40468314</v>
      </c>
      <c r="P1067" s="65"/>
      <c r="Q1067" s="65">
        <v>64516458</v>
      </c>
      <c r="R1067" s="64">
        <v>60113981</v>
      </c>
      <c r="S1067" s="75"/>
      <c r="T1067" s="75"/>
      <c r="U1067" s="75"/>
      <c r="V1067" s="76"/>
    </row>
    <row r="1068" spans="1:26" s="7" customFormat="1" ht="12.75" customHeight="1" x14ac:dyDescent="0.2">
      <c r="A1068" s="520"/>
      <c r="B1068" s="520"/>
      <c r="C1068" s="68" t="s">
        <v>36</v>
      </c>
      <c r="D1068" s="69">
        <v>28</v>
      </c>
      <c r="E1068" s="59">
        <v>23645.68</v>
      </c>
      <c r="F1068" s="59"/>
      <c r="G1068" s="59"/>
      <c r="H1068" s="59">
        <v>6384.11</v>
      </c>
      <c r="I1068" s="59">
        <f>ROUND(           (  E1068+H1068) *0.005,2)</f>
        <v>150.15</v>
      </c>
      <c r="J1068" s="59">
        <v>2428.36</v>
      </c>
      <c r="K1068" s="59">
        <v>19673.080000000002</v>
      </c>
      <c r="L1068" s="60">
        <v>22101.439999999999</v>
      </c>
      <c r="M1068" s="33"/>
      <c r="N1068" s="59">
        <v>29140.35</v>
      </c>
      <c r="O1068" s="59">
        <v>22756.240000000002</v>
      </c>
      <c r="P1068" s="59">
        <v>3458.4</v>
      </c>
      <c r="Q1068" s="59">
        <v>35664.83</v>
      </c>
      <c r="R1068" s="59">
        <v>33236.47</v>
      </c>
      <c r="S1068" s="75"/>
      <c r="T1068" s="75">
        <f>15*12</f>
        <v>180</v>
      </c>
      <c r="U1068" s="75"/>
      <c r="V1068" s="76">
        <f>P1068+T1068</f>
        <v>3638.4</v>
      </c>
    </row>
    <row r="1069" spans="1:26" s="7" customFormat="1" ht="9" customHeight="1" x14ac:dyDescent="0.2">
      <c r="A1069" s="520"/>
      <c r="B1069" s="520"/>
      <c r="C1069" s="62" t="s">
        <v>37</v>
      </c>
      <c r="D1069" s="63">
        <v>34</v>
      </c>
      <c r="E1069" s="64">
        <v>26637499</v>
      </c>
      <c r="F1069" s="65"/>
      <c r="G1069" s="65"/>
      <c r="H1069" s="64">
        <v>12361361</v>
      </c>
      <c r="I1069" s="64"/>
      <c r="J1069" s="66">
        <v>4701961</v>
      </c>
      <c r="K1069" s="64">
        <v>38092395</v>
      </c>
      <c r="L1069" s="64">
        <v>42794355</v>
      </c>
      <c r="M1069" s="39"/>
      <c r="N1069" s="65">
        <v>56423585</v>
      </c>
      <c r="O1069" s="65">
        <v>44062225</v>
      </c>
      <c r="P1069" s="65"/>
      <c r="Q1069" s="65">
        <v>69056740</v>
      </c>
      <c r="R1069" s="64">
        <v>64354780</v>
      </c>
      <c r="S1069" s="75"/>
      <c r="T1069" s="75"/>
      <c r="U1069" s="75"/>
      <c r="V1069" s="76"/>
    </row>
    <row r="1070" spans="1:26" s="7" customFormat="1" ht="12.75" customHeight="1" x14ac:dyDescent="0.2">
      <c r="A1070" s="520"/>
      <c r="B1070" s="520"/>
      <c r="C1070" s="68" t="s">
        <v>36</v>
      </c>
      <c r="D1070" s="69">
        <v>35</v>
      </c>
      <c r="E1070" s="59">
        <v>25108.309999999998</v>
      </c>
      <c r="F1070" s="59"/>
      <c r="G1070" s="59"/>
      <c r="H1070" s="59">
        <v>6384.11</v>
      </c>
      <c r="I1070" s="59">
        <f>ROUND(           (  E1070+H1070) *0.005,2)</f>
        <v>157.46</v>
      </c>
      <c r="J1070" s="59">
        <v>2546.0700000000002</v>
      </c>
      <c r="K1070" s="59">
        <v>20206.89</v>
      </c>
      <c r="L1070" s="60">
        <v>22752.959999999999</v>
      </c>
      <c r="M1070" s="33"/>
      <c r="N1070" s="59">
        <v>30552.78</v>
      </c>
      <c r="O1070" s="59">
        <v>24168.67</v>
      </c>
      <c r="P1070" s="59">
        <v>3458.4</v>
      </c>
      <c r="Q1070" s="59">
        <v>37449.21</v>
      </c>
      <c r="R1070" s="59">
        <v>34903.14</v>
      </c>
      <c r="S1070" s="75"/>
      <c r="T1070" s="75">
        <f>15*12</f>
        <v>180</v>
      </c>
      <c r="U1070" s="75"/>
      <c r="V1070" s="76">
        <f>P1070+T1070</f>
        <v>3638.4</v>
      </c>
    </row>
    <row r="1071" spans="1:26" s="7" customFormat="1" ht="9" customHeight="1" x14ac:dyDescent="0.2">
      <c r="A1071" s="521"/>
      <c r="B1071" s="521"/>
      <c r="C1071" s="71" t="s">
        <v>37</v>
      </c>
      <c r="D1071" s="72"/>
      <c r="E1071" s="64">
        <v>26637499</v>
      </c>
      <c r="F1071" s="64">
        <v>0</v>
      </c>
      <c r="G1071" s="64"/>
      <c r="H1071" s="64">
        <v>12361361</v>
      </c>
      <c r="I1071" s="64"/>
      <c r="J1071" s="64">
        <v>4929879</v>
      </c>
      <c r="K1071" s="64">
        <v>39125995</v>
      </c>
      <c r="L1071" s="64">
        <v>44055874</v>
      </c>
      <c r="M1071" s="39"/>
      <c r="N1071" s="64">
        <v>59158431</v>
      </c>
      <c r="O1071" s="64">
        <v>46797071</v>
      </c>
      <c r="P1071" s="64">
        <v>6347868</v>
      </c>
      <c r="Q1071" s="64">
        <v>72511782</v>
      </c>
      <c r="R1071" s="64">
        <v>67581903</v>
      </c>
      <c r="S1071" s="75"/>
      <c r="T1071" s="75"/>
      <c r="U1071" s="75"/>
      <c r="V1071" s="76"/>
    </row>
    <row r="1072" spans="1:26" ht="9" customHeight="1" x14ac:dyDescent="0.2">
      <c r="A1072" s="95"/>
      <c r="B1072" s="95"/>
      <c r="C1072" s="44" t="s">
        <v>62</v>
      </c>
      <c r="D1072" s="45"/>
      <c r="E1072" s="96"/>
      <c r="F1072" s="96"/>
      <c r="G1072" s="96"/>
      <c r="H1072" s="96"/>
      <c r="I1072" s="96"/>
      <c r="J1072" s="54"/>
      <c r="K1072" s="96"/>
      <c r="L1072" s="96"/>
      <c r="M1072" s="39"/>
      <c r="N1072" s="96"/>
      <c r="O1072" s="96"/>
      <c r="P1072" s="96"/>
      <c r="Q1072" s="96"/>
      <c r="R1072" s="7"/>
      <c r="S1072" s="7"/>
      <c r="T1072" s="7"/>
      <c r="U1072" s="7"/>
      <c r="V1072" s="7"/>
      <c r="W1072" s="7"/>
      <c r="X1072" s="7"/>
      <c r="Y1072" s="7"/>
      <c r="Z1072" s="7"/>
    </row>
    <row r="1073" spans="1:26" ht="9" customHeight="1" x14ac:dyDescent="0.2">
      <c r="A1073" s="95"/>
      <c r="B1073" s="95"/>
      <c r="C1073" s="44"/>
      <c r="D1073" s="45"/>
      <c r="E1073" s="96"/>
      <c r="F1073" s="96"/>
      <c r="G1073" s="96"/>
      <c r="H1073" s="96"/>
      <c r="I1073" s="96"/>
      <c r="J1073" s="54"/>
      <c r="K1073" s="96"/>
      <c r="L1073" s="96"/>
      <c r="M1073" s="39"/>
      <c r="N1073" s="96"/>
      <c r="O1073" s="96"/>
      <c r="P1073" s="96"/>
      <c r="Q1073" s="96"/>
      <c r="R1073" s="7"/>
      <c r="S1073" s="7"/>
      <c r="T1073" s="7"/>
      <c r="U1073" s="7"/>
      <c r="V1073" s="7"/>
      <c r="W1073" s="7"/>
      <c r="X1073" s="7"/>
      <c r="Y1073" s="7"/>
      <c r="Z1073" s="7"/>
    </row>
    <row r="1074" spans="1:26" ht="9" customHeight="1" x14ac:dyDescent="0.2">
      <c r="A1074" s="95"/>
      <c r="B1074" s="95"/>
      <c r="C1074" s="44"/>
      <c r="D1074" s="45"/>
      <c r="E1074" s="96"/>
      <c r="F1074" s="96"/>
      <c r="G1074" s="96"/>
      <c r="H1074" s="96"/>
      <c r="I1074" s="96"/>
      <c r="J1074" s="54"/>
      <c r="K1074" s="96"/>
      <c r="L1074" s="96"/>
      <c r="M1074" s="39"/>
      <c r="N1074" s="96"/>
      <c r="O1074" s="96"/>
      <c r="P1074" s="96"/>
      <c r="Q1074" s="96"/>
      <c r="R1074" s="7"/>
      <c r="S1074" s="7"/>
      <c r="T1074" s="7"/>
      <c r="U1074" s="7"/>
      <c r="V1074" s="7"/>
      <c r="W1074" s="7"/>
      <c r="X1074" s="7"/>
      <c r="Y1074" s="7"/>
      <c r="Z1074" s="7"/>
    </row>
    <row r="1075" spans="1:26" ht="9" customHeight="1" x14ac:dyDescent="0.2">
      <c r="A1075" s="95"/>
      <c r="B1075" s="95"/>
      <c r="C1075" s="44"/>
      <c r="D1075" s="45"/>
      <c r="E1075" s="96"/>
      <c r="F1075" s="96"/>
      <c r="G1075" s="96"/>
      <c r="H1075" s="96"/>
      <c r="I1075" s="96"/>
      <c r="J1075" s="54"/>
      <c r="K1075" s="96"/>
      <c r="L1075" s="96"/>
      <c r="M1075" s="39"/>
      <c r="N1075" s="96"/>
      <c r="O1075" s="96"/>
      <c r="P1075" s="96"/>
      <c r="Q1075" s="96"/>
      <c r="R1075" s="7"/>
      <c r="S1075" s="7"/>
      <c r="T1075" s="7"/>
      <c r="U1075" s="7"/>
      <c r="V1075" s="7"/>
      <c r="W1075" s="7"/>
      <c r="X1075" s="7"/>
      <c r="Y1075" s="7"/>
      <c r="Z1075" s="7"/>
    </row>
    <row r="1076" spans="1:26" ht="9" customHeight="1" x14ac:dyDescent="0.2">
      <c r="A1076" s="95"/>
      <c r="B1076" s="95"/>
      <c r="C1076" s="44"/>
      <c r="D1076" s="45"/>
      <c r="E1076" s="96"/>
      <c r="F1076" s="96"/>
      <c r="G1076" s="96"/>
      <c r="H1076" s="96"/>
      <c r="I1076" s="96"/>
      <c r="J1076" s="54"/>
      <c r="K1076" s="96"/>
      <c r="L1076" s="96"/>
      <c r="M1076" s="39"/>
      <c r="N1076" s="96"/>
      <c r="O1076" s="96"/>
      <c r="P1076" s="96"/>
      <c r="Q1076" s="96"/>
      <c r="R1076" s="7"/>
      <c r="S1076" s="7"/>
      <c r="T1076" s="7"/>
      <c r="U1076" s="7"/>
      <c r="V1076" s="7"/>
      <c r="W1076" s="7"/>
      <c r="X1076" s="7"/>
      <c r="Y1076" s="7"/>
      <c r="Z1076" s="7"/>
    </row>
    <row r="1077" spans="1:26" ht="9" customHeight="1" x14ac:dyDescent="0.2">
      <c r="A1077" s="95"/>
      <c r="B1077" s="95"/>
      <c r="C1077" s="44"/>
      <c r="D1077" s="45"/>
      <c r="E1077" s="96"/>
      <c r="F1077" s="96"/>
      <c r="G1077" s="96"/>
      <c r="H1077" s="96"/>
      <c r="I1077" s="96"/>
      <c r="J1077" s="54"/>
      <c r="K1077" s="96"/>
      <c r="L1077" s="96"/>
      <c r="M1077" s="39"/>
      <c r="N1077" s="96"/>
      <c r="O1077" s="96"/>
      <c r="P1077" s="96"/>
      <c r="Q1077" s="96"/>
      <c r="R1077" s="7"/>
      <c r="S1077" s="7"/>
      <c r="T1077" s="7"/>
      <c r="U1077" s="7"/>
      <c r="V1077" s="7"/>
      <c r="W1077" s="7"/>
      <c r="X1077" s="7"/>
      <c r="Y1077" s="7"/>
      <c r="Z1077" s="7"/>
    </row>
    <row r="1078" spans="1:26" ht="9" customHeight="1" x14ac:dyDescent="0.2">
      <c r="A1078" s="95"/>
      <c r="B1078" s="95"/>
      <c r="C1078" s="44"/>
      <c r="D1078" s="45"/>
      <c r="E1078" s="96"/>
      <c r="F1078" s="96"/>
      <c r="G1078" s="96"/>
      <c r="H1078" s="96"/>
      <c r="I1078" s="96"/>
      <c r="J1078" s="54"/>
      <c r="K1078" s="96"/>
      <c r="L1078" s="96"/>
      <c r="M1078" s="39"/>
      <c r="N1078" s="96"/>
      <c r="O1078" s="96"/>
      <c r="P1078" s="96"/>
      <c r="Q1078" s="96"/>
      <c r="R1078" s="7"/>
      <c r="S1078" s="7"/>
      <c r="T1078" s="7"/>
      <c r="U1078" s="7"/>
      <c r="V1078" s="7"/>
      <c r="W1078" s="7"/>
      <c r="X1078" s="7"/>
      <c r="Y1078" s="7"/>
      <c r="Z1078" s="7"/>
    </row>
    <row r="1079" spans="1:26" ht="9" customHeight="1" x14ac:dyDescent="0.2">
      <c r="A1079" s="95"/>
      <c r="B1079" s="95"/>
      <c r="C1079" s="44"/>
      <c r="D1079" s="45"/>
      <c r="E1079" s="96"/>
      <c r="F1079" s="96"/>
      <c r="G1079" s="96"/>
      <c r="H1079" s="96"/>
      <c r="I1079" s="96"/>
      <c r="J1079" s="54"/>
      <c r="K1079" s="96"/>
      <c r="L1079" s="96"/>
      <c r="M1079" s="39"/>
      <c r="N1079" s="96"/>
      <c r="O1079" s="96"/>
      <c r="P1079" s="96"/>
      <c r="Q1079" s="96"/>
      <c r="R1079" s="7"/>
      <c r="S1079" s="7"/>
      <c r="T1079" s="7"/>
      <c r="U1079" s="7"/>
      <c r="V1079" s="7"/>
      <c r="W1079" s="7"/>
      <c r="X1079" s="7"/>
      <c r="Y1079" s="7"/>
      <c r="Z1079" s="7"/>
    </row>
    <row r="1080" spans="1:26" s="7" customFormat="1" ht="12.75" customHeight="1" x14ac:dyDescent="0.2">
      <c r="A1080" s="522">
        <v>45292</v>
      </c>
      <c r="B1080" s="522">
        <v>45657</v>
      </c>
      <c r="C1080" s="57" t="s">
        <v>36</v>
      </c>
      <c r="D1080" s="58">
        <v>0</v>
      </c>
      <c r="E1080" s="59">
        <v>14513.09</v>
      </c>
      <c r="F1080" s="59"/>
      <c r="G1080" s="59"/>
      <c r="H1080" s="59">
        <v>6384.11</v>
      </c>
      <c r="I1080" s="59"/>
      <c r="J1080" s="59">
        <v>1690.19</v>
      </c>
      <c r="K1080" s="59">
        <v>20282.23</v>
      </c>
      <c r="L1080" s="60">
        <v>21972.42</v>
      </c>
      <c r="M1080" s="33"/>
      <c r="N1080" s="59">
        <v>20282.23</v>
      </c>
      <c r="O1080" s="59">
        <v>13898.12</v>
      </c>
      <c r="P1080" s="59">
        <v>2214</v>
      </c>
      <c r="Q1080" s="59">
        <v>24474.080000000002</v>
      </c>
      <c r="R1080" s="59">
        <v>22783.89</v>
      </c>
      <c r="S1080" s="75"/>
      <c r="T1080" s="75">
        <f>10*12</f>
        <v>120</v>
      </c>
      <c r="U1080" s="75"/>
      <c r="V1080" s="76">
        <f>P1080+T1080</f>
        <v>2334</v>
      </c>
    </row>
    <row r="1081" spans="1:26" s="7" customFormat="1" ht="9" customHeight="1" x14ac:dyDescent="0.2">
      <c r="A1081" s="523"/>
      <c r="B1081" s="523"/>
      <c r="C1081" s="62" t="s">
        <v>37</v>
      </c>
      <c r="D1081" s="63">
        <v>8</v>
      </c>
      <c r="E1081" s="64">
        <v>26637499</v>
      </c>
      <c r="F1081" s="65"/>
      <c r="G1081" s="65"/>
      <c r="H1081" s="64">
        <v>12361361</v>
      </c>
      <c r="I1081" s="64"/>
      <c r="J1081" s="66">
        <v>3272664</v>
      </c>
      <c r="K1081" s="66">
        <v>39271873</v>
      </c>
      <c r="L1081" s="64">
        <v>42544538</v>
      </c>
      <c r="M1081" s="39"/>
      <c r="N1081" s="65">
        <v>39271873</v>
      </c>
      <c r="O1081" s="65">
        <v>26910513</v>
      </c>
      <c r="P1081" s="65"/>
      <c r="Q1081" s="65">
        <v>47388427</v>
      </c>
      <c r="R1081" s="64">
        <v>44115763</v>
      </c>
      <c r="S1081" s="75"/>
      <c r="T1081" s="75"/>
      <c r="U1081" s="75"/>
      <c r="V1081" s="76"/>
    </row>
    <row r="1082" spans="1:26" s="7" customFormat="1" ht="12.75" customHeight="1" x14ac:dyDescent="0.2">
      <c r="A1082" s="520">
        <f>A1080</f>
        <v>45292</v>
      </c>
      <c r="B1082" s="520">
        <f>B1080</f>
        <v>45657</v>
      </c>
      <c r="C1082" s="68" t="s">
        <v>36</v>
      </c>
      <c r="D1082" s="69">
        <v>9</v>
      </c>
      <c r="E1082" s="59">
        <v>16798.88</v>
      </c>
      <c r="F1082" s="59"/>
      <c r="G1082" s="59"/>
      <c r="H1082" s="59">
        <v>6384.11</v>
      </c>
      <c r="I1082" s="59"/>
      <c r="J1082" s="59">
        <v>1874.95</v>
      </c>
      <c r="K1082" s="59">
        <v>16918.52</v>
      </c>
      <c r="L1082" s="60">
        <v>18793.47</v>
      </c>
      <c r="M1082" s="33"/>
      <c r="N1082" s="59">
        <v>22499.37</v>
      </c>
      <c r="O1082" s="59">
        <v>16115.26</v>
      </c>
      <c r="P1082" s="59">
        <v>2214</v>
      </c>
      <c r="Q1082" s="59">
        <v>27275.07</v>
      </c>
      <c r="R1082" s="59">
        <v>25400.12</v>
      </c>
      <c r="S1082" s="75"/>
      <c r="T1082" s="75">
        <f>10*12</f>
        <v>120</v>
      </c>
      <c r="U1082" s="75"/>
      <c r="V1082" s="76">
        <f>P1082+T1082</f>
        <v>2334</v>
      </c>
    </row>
    <row r="1083" spans="1:26" s="7" customFormat="1" ht="9" customHeight="1" x14ac:dyDescent="0.2">
      <c r="A1083" s="520"/>
      <c r="B1083" s="520"/>
      <c r="C1083" s="62" t="s">
        <v>37</v>
      </c>
      <c r="D1083" s="63">
        <v>14</v>
      </c>
      <c r="E1083" s="64">
        <v>26637499</v>
      </c>
      <c r="F1083" s="65"/>
      <c r="G1083" s="65"/>
      <c r="H1083" s="64">
        <v>12361361</v>
      </c>
      <c r="I1083" s="64"/>
      <c r="J1083" s="66">
        <v>3630409</v>
      </c>
      <c r="K1083" s="64">
        <v>32758823</v>
      </c>
      <c r="L1083" s="64">
        <v>36389232</v>
      </c>
      <c r="M1083" s="39"/>
      <c r="N1083" s="65">
        <v>43564855</v>
      </c>
      <c r="O1083" s="65">
        <v>31203494</v>
      </c>
      <c r="P1083" s="65"/>
      <c r="Q1083" s="65">
        <v>52811900</v>
      </c>
      <c r="R1083" s="64">
        <v>49181490</v>
      </c>
      <c r="S1083" s="75"/>
      <c r="T1083" s="75"/>
      <c r="U1083" s="75"/>
      <c r="V1083" s="76"/>
    </row>
    <row r="1084" spans="1:26" s="7" customFormat="1" ht="12.75" customHeight="1" x14ac:dyDescent="0.2">
      <c r="A1084" s="520"/>
      <c r="B1084" s="520"/>
      <c r="C1084" s="68" t="s">
        <v>36</v>
      </c>
      <c r="D1084" s="69">
        <v>15</v>
      </c>
      <c r="E1084" s="59">
        <v>18820.88</v>
      </c>
      <c r="F1084" s="59"/>
      <c r="G1084" s="59"/>
      <c r="H1084" s="59">
        <v>6384.11</v>
      </c>
      <c r="I1084" s="59"/>
      <c r="J1084" s="59">
        <v>2037.57</v>
      </c>
      <c r="K1084" s="59">
        <v>17933.73</v>
      </c>
      <c r="L1084" s="60">
        <v>19971.3</v>
      </c>
      <c r="M1084" s="33"/>
      <c r="N1084" s="59">
        <v>24450.86</v>
      </c>
      <c r="O1084" s="59">
        <v>18066.75</v>
      </c>
      <c r="P1084" s="59">
        <v>2721.6</v>
      </c>
      <c r="Q1084" s="59">
        <v>29740.45</v>
      </c>
      <c r="R1084" s="59">
        <v>27702.880000000001</v>
      </c>
      <c r="S1084" s="75"/>
      <c r="T1084" s="75">
        <f>12*12</f>
        <v>144</v>
      </c>
      <c r="U1084" s="75"/>
      <c r="V1084" s="76">
        <f>P1084+T1084</f>
        <v>2865.6</v>
      </c>
    </row>
    <row r="1085" spans="1:26" s="7" customFormat="1" ht="9" customHeight="1" x14ac:dyDescent="0.2">
      <c r="A1085" s="520"/>
      <c r="B1085" s="520"/>
      <c r="C1085" s="62" t="s">
        <v>37</v>
      </c>
      <c r="D1085" s="63">
        <v>20</v>
      </c>
      <c r="E1085" s="64">
        <v>26637499</v>
      </c>
      <c r="F1085" s="65"/>
      <c r="G1085" s="65"/>
      <c r="H1085" s="64">
        <v>12361361</v>
      </c>
      <c r="I1085" s="64"/>
      <c r="J1085" s="66">
        <v>3945286</v>
      </c>
      <c r="K1085" s="64">
        <v>34724543</v>
      </c>
      <c r="L1085" s="64">
        <v>38669829</v>
      </c>
      <c r="M1085" s="39"/>
      <c r="N1085" s="65">
        <v>47343467</v>
      </c>
      <c r="O1085" s="65">
        <v>34982106</v>
      </c>
      <c r="P1085" s="65"/>
      <c r="Q1085" s="65">
        <v>57585541</v>
      </c>
      <c r="R1085" s="64">
        <v>53640255</v>
      </c>
      <c r="S1085" s="75"/>
      <c r="T1085" s="75"/>
      <c r="U1085" s="75"/>
      <c r="V1085" s="76"/>
    </row>
    <row r="1086" spans="1:26" s="7" customFormat="1" ht="12.75" customHeight="1" x14ac:dyDescent="0.2">
      <c r="A1086" s="520"/>
      <c r="B1086" s="520"/>
      <c r="C1086" s="68" t="s">
        <v>36</v>
      </c>
      <c r="D1086" s="69">
        <v>21</v>
      </c>
      <c r="E1086" s="59">
        <v>21742.45</v>
      </c>
      <c r="F1086" s="59"/>
      <c r="G1086" s="59"/>
      <c r="H1086" s="59">
        <v>6384.11</v>
      </c>
      <c r="I1086" s="59"/>
      <c r="J1086" s="59">
        <v>2273.69</v>
      </c>
      <c r="K1086" s="59">
        <v>18921.79</v>
      </c>
      <c r="L1086" s="60">
        <v>21195.48</v>
      </c>
      <c r="M1086" s="33"/>
      <c r="N1086" s="59">
        <v>27284.25</v>
      </c>
      <c r="O1086" s="59">
        <v>20900.14</v>
      </c>
      <c r="P1086" s="59">
        <v>2721.6</v>
      </c>
      <c r="Q1086" s="59">
        <v>33319.97</v>
      </c>
      <c r="R1086" s="59">
        <v>31046.28</v>
      </c>
      <c r="S1086" s="75"/>
      <c r="T1086" s="75">
        <f>12*12</f>
        <v>144</v>
      </c>
      <c r="U1086" s="75"/>
      <c r="V1086" s="76">
        <f>P1086+T1086</f>
        <v>2865.6</v>
      </c>
    </row>
    <row r="1087" spans="1:26" s="7" customFormat="1" ht="9" customHeight="1" x14ac:dyDescent="0.2">
      <c r="A1087" s="520"/>
      <c r="B1087" s="520"/>
      <c r="C1087" s="62" t="s">
        <v>37</v>
      </c>
      <c r="D1087" s="63">
        <v>27</v>
      </c>
      <c r="E1087" s="64">
        <v>26637499</v>
      </c>
      <c r="F1087" s="65"/>
      <c r="G1087" s="65"/>
      <c r="H1087" s="64">
        <v>12361361</v>
      </c>
      <c r="I1087" s="64"/>
      <c r="J1087" s="66">
        <v>4402478</v>
      </c>
      <c r="K1087" s="64">
        <v>36637694</v>
      </c>
      <c r="L1087" s="64">
        <v>41040172</v>
      </c>
      <c r="M1087" s="39"/>
      <c r="N1087" s="65">
        <v>52829675</v>
      </c>
      <c r="O1087" s="65">
        <v>40468314</v>
      </c>
      <c r="P1087" s="65"/>
      <c r="Q1087" s="65">
        <v>64516458</v>
      </c>
      <c r="R1087" s="64">
        <v>60113981</v>
      </c>
      <c r="S1087" s="75"/>
      <c r="T1087" s="75"/>
      <c r="U1087" s="75"/>
      <c r="V1087" s="76"/>
    </row>
    <row r="1088" spans="1:26" s="7" customFormat="1" ht="12.75" customHeight="1" x14ac:dyDescent="0.2">
      <c r="A1088" s="520"/>
      <c r="B1088" s="520"/>
      <c r="C1088" s="68" t="s">
        <v>36</v>
      </c>
      <c r="D1088" s="69">
        <v>28</v>
      </c>
      <c r="E1088" s="59">
        <v>23645.68</v>
      </c>
      <c r="F1088" s="59"/>
      <c r="G1088" s="59"/>
      <c r="H1088" s="59">
        <v>6384.11</v>
      </c>
      <c r="I1088" s="59"/>
      <c r="J1088" s="59">
        <v>2428.36</v>
      </c>
      <c r="K1088" s="59">
        <v>19673.080000000002</v>
      </c>
      <c r="L1088" s="60">
        <v>22101.439999999999</v>
      </c>
      <c r="M1088" s="33"/>
      <c r="N1088" s="59">
        <v>29140.35</v>
      </c>
      <c r="O1088" s="59">
        <v>22756.240000000002</v>
      </c>
      <c r="P1088" s="59">
        <v>3458.4</v>
      </c>
      <c r="Q1088" s="59">
        <v>35664.83</v>
      </c>
      <c r="R1088" s="59">
        <v>33236.47</v>
      </c>
      <c r="S1088" s="75"/>
      <c r="T1088" s="75">
        <f>15*12</f>
        <v>180</v>
      </c>
      <c r="U1088" s="75"/>
      <c r="V1088" s="76">
        <f>P1088+T1088</f>
        <v>3638.4</v>
      </c>
    </row>
    <row r="1089" spans="1:22" s="7" customFormat="1" ht="9" customHeight="1" x14ac:dyDescent="0.2">
      <c r="A1089" s="520"/>
      <c r="B1089" s="520"/>
      <c r="C1089" s="62" t="s">
        <v>37</v>
      </c>
      <c r="D1089" s="63">
        <v>34</v>
      </c>
      <c r="E1089" s="64">
        <v>26637499</v>
      </c>
      <c r="F1089" s="65"/>
      <c r="G1089" s="65"/>
      <c r="H1089" s="64">
        <v>12361361</v>
      </c>
      <c r="I1089" s="64"/>
      <c r="J1089" s="66">
        <v>4701961</v>
      </c>
      <c r="K1089" s="64">
        <v>38092395</v>
      </c>
      <c r="L1089" s="64">
        <v>42794355</v>
      </c>
      <c r="M1089" s="39"/>
      <c r="N1089" s="65">
        <v>56423585</v>
      </c>
      <c r="O1089" s="65">
        <v>44062225</v>
      </c>
      <c r="P1089" s="65"/>
      <c r="Q1089" s="65">
        <v>69056740</v>
      </c>
      <c r="R1089" s="64">
        <v>64354780</v>
      </c>
      <c r="S1089" s="75"/>
      <c r="T1089" s="75"/>
      <c r="U1089" s="75"/>
      <c r="V1089" s="76"/>
    </row>
    <row r="1090" spans="1:22" s="7" customFormat="1" ht="12.75" customHeight="1" x14ac:dyDescent="0.2">
      <c r="A1090" s="520"/>
      <c r="B1090" s="520"/>
      <c r="C1090" s="68" t="s">
        <v>36</v>
      </c>
      <c r="D1090" s="69">
        <v>35</v>
      </c>
      <c r="E1090" s="59">
        <v>25108.309999999998</v>
      </c>
      <c r="F1090" s="59"/>
      <c r="G1090" s="59"/>
      <c r="H1090" s="59">
        <v>6384.11</v>
      </c>
      <c r="I1090" s="59"/>
      <c r="J1090" s="59">
        <v>2546.0700000000002</v>
      </c>
      <c r="K1090" s="59">
        <v>20206.89</v>
      </c>
      <c r="L1090" s="60">
        <v>22752.959999999999</v>
      </c>
      <c r="M1090" s="33"/>
      <c r="N1090" s="59">
        <v>30552.78</v>
      </c>
      <c r="O1090" s="59">
        <v>24168.67</v>
      </c>
      <c r="P1090" s="59">
        <v>3458.4</v>
      </c>
      <c r="Q1090" s="59">
        <v>37449.21</v>
      </c>
      <c r="R1090" s="59">
        <v>34903.14</v>
      </c>
      <c r="S1090" s="75"/>
      <c r="T1090" s="75">
        <f>15*12</f>
        <v>180</v>
      </c>
      <c r="U1090" s="75"/>
      <c r="V1090" s="76">
        <f>P1090+T1090</f>
        <v>3638.4</v>
      </c>
    </row>
    <row r="1091" spans="1:22" s="7" customFormat="1" ht="9" customHeight="1" x14ac:dyDescent="0.2">
      <c r="A1091" s="521"/>
      <c r="B1091" s="521"/>
      <c r="C1091" s="71" t="s">
        <v>37</v>
      </c>
      <c r="D1091" s="72"/>
      <c r="E1091" s="64">
        <v>26637499</v>
      </c>
      <c r="F1091" s="64">
        <v>0</v>
      </c>
      <c r="G1091" s="64"/>
      <c r="H1091" s="64">
        <v>12361361</v>
      </c>
      <c r="I1091" s="64"/>
      <c r="J1091" s="64">
        <v>4929879</v>
      </c>
      <c r="K1091" s="64">
        <v>39125995</v>
      </c>
      <c r="L1091" s="64">
        <v>44055874</v>
      </c>
      <c r="M1091" s="39"/>
      <c r="N1091" s="64">
        <v>59158431</v>
      </c>
      <c r="O1091" s="64">
        <v>46797071</v>
      </c>
      <c r="P1091" s="64">
        <v>6347868</v>
      </c>
      <c r="Q1091" s="64">
        <v>72511782</v>
      </c>
      <c r="R1091" s="64">
        <v>67581903</v>
      </c>
      <c r="S1091" s="75"/>
      <c r="T1091" s="75"/>
      <c r="U1091" s="75"/>
      <c r="V1091" s="76"/>
    </row>
    <row r="1092" spans="1:22" s="7" customFormat="1" ht="9" customHeight="1" x14ac:dyDescent="0.2">
      <c r="A1092" s="77"/>
      <c r="B1092" s="77"/>
      <c r="C1092" s="45"/>
      <c r="D1092" s="45"/>
      <c r="E1092" s="54"/>
      <c r="F1092" s="54"/>
      <c r="G1092" s="54"/>
      <c r="H1092" s="54"/>
      <c r="I1092" s="54"/>
      <c r="J1092" s="54"/>
      <c r="K1092" s="54"/>
    </row>
    <row r="1093" spans="1:22" s="7" customFormat="1" ht="9" customHeight="1" x14ac:dyDescent="0.2">
      <c r="A1093" s="77"/>
      <c r="B1093" s="77"/>
      <c r="C1093" s="45"/>
      <c r="D1093" s="45"/>
      <c r="E1093" s="54"/>
      <c r="F1093" s="54"/>
      <c r="G1093" s="54"/>
      <c r="H1093" s="54"/>
      <c r="I1093" s="54"/>
      <c r="J1093" s="54"/>
      <c r="K1093" s="54"/>
    </row>
    <row r="1094" spans="1:22" s="7" customFormat="1" ht="9" customHeight="1" x14ac:dyDescent="0.2">
      <c r="A1094" s="77"/>
      <c r="B1094" s="77"/>
      <c r="C1094" s="45"/>
      <c r="D1094" s="45"/>
      <c r="E1094" s="54"/>
      <c r="F1094" s="54"/>
      <c r="G1094" s="54"/>
      <c r="H1094" s="54"/>
      <c r="I1094" s="54"/>
      <c r="J1094" s="54"/>
      <c r="K1094" s="54"/>
    </row>
    <row r="1095" spans="1:22" s="7" customFormat="1" ht="9" customHeight="1" x14ac:dyDescent="0.2">
      <c r="A1095" s="77"/>
      <c r="B1095" s="77"/>
      <c r="C1095" s="45"/>
      <c r="D1095" s="45"/>
      <c r="E1095" s="54"/>
      <c r="F1095" s="54"/>
      <c r="G1095" s="54"/>
      <c r="H1095" s="54"/>
      <c r="I1095" s="54"/>
      <c r="J1095" s="54"/>
      <c r="K1095" s="54"/>
    </row>
    <row r="1096" spans="1:22" s="7" customFormat="1" ht="9" customHeight="1" x14ac:dyDescent="0.2">
      <c r="A1096" s="77"/>
      <c r="B1096" s="77"/>
      <c r="C1096" s="45"/>
      <c r="D1096" s="45"/>
      <c r="E1096" s="54"/>
      <c r="F1096" s="54"/>
      <c r="G1096" s="54"/>
      <c r="H1096" s="54"/>
      <c r="I1096" s="54"/>
      <c r="J1096" s="54"/>
      <c r="K1096" s="54"/>
    </row>
    <row r="1097" spans="1:22" s="7" customFormat="1" ht="9" customHeight="1" x14ac:dyDescent="0.2">
      <c r="A1097" s="77"/>
      <c r="B1097" s="77"/>
      <c r="C1097" s="45"/>
      <c r="D1097" s="45"/>
      <c r="E1097" s="54"/>
      <c r="F1097" s="54"/>
      <c r="G1097" s="54"/>
      <c r="H1097" s="54"/>
      <c r="I1097" s="54"/>
      <c r="J1097" s="54"/>
      <c r="K1097" s="54"/>
    </row>
    <row r="1098" spans="1:22" s="7" customFormat="1" ht="9" customHeight="1" x14ac:dyDescent="0.2">
      <c r="A1098" s="77"/>
      <c r="B1098" s="77"/>
      <c r="C1098" s="45"/>
      <c r="D1098" s="45"/>
      <c r="E1098" s="54"/>
      <c r="F1098" s="54"/>
      <c r="G1098" s="54"/>
      <c r="H1098" s="54"/>
      <c r="I1098" s="54"/>
      <c r="J1098" s="54"/>
      <c r="K1098" s="54"/>
    </row>
    <row r="1099" spans="1:22" s="7" customFormat="1" ht="9" customHeight="1" x14ac:dyDescent="0.2">
      <c r="A1099" s="77"/>
      <c r="B1099" s="77"/>
      <c r="C1099" s="45"/>
      <c r="D1099" s="45"/>
      <c r="E1099" s="54"/>
      <c r="F1099" s="54"/>
      <c r="G1099" s="54"/>
      <c r="H1099" s="54"/>
      <c r="I1099" s="54"/>
      <c r="J1099" s="54"/>
      <c r="K1099" s="54"/>
    </row>
    <row r="1100" spans="1:22" s="7" customFormat="1" ht="9" customHeight="1" x14ac:dyDescent="0.2">
      <c r="A1100" s="77"/>
      <c r="B1100" s="77"/>
      <c r="C1100" s="45"/>
      <c r="D1100" s="45"/>
      <c r="E1100" s="54"/>
      <c r="F1100" s="54"/>
      <c r="G1100" s="54"/>
      <c r="H1100" s="54"/>
      <c r="I1100" s="54"/>
      <c r="J1100" s="54"/>
      <c r="K1100" s="54"/>
    </row>
    <row r="1101" spans="1:22" s="7" customFormat="1" ht="9" customHeight="1" x14ac:dyDescent="0.2">
      <c r="A1101" s="77"/>
      <c r="B1101" s="77"/>
      <c r="C1101" s="45"/>
      <c r="D1101" s="45"/>
      <c r="E1101" s="54"/>
      <c r="F1101" s="54"/>
      <c r="G1101" s="54"/>
      <c r="H1101" s="54"/>
      <c r="I1101" s="54"/>
      <c r="J1101" s="54"/>
      <c r="K1101" s="54"/>
    </row>
    <row r="1102" spans="1:22" s="7" customFormat="1" ht="9" customHeight="1" x14ac:dyDescent="0.2">
      <c r="A1102" s="77"/>
      <c r="B1102" s="77"/>
      <c r="C1102" s="45"/>
      <c r="D1102" s="45"/>
      <c r="E1102" s="54"/>
      <c r="F1102" s="54"/>
      <c r="G1102" s="54"/>
      <c r="H1102" s="54"/>
      <c r="I1102" s="54"/>
      <c r="J1102" s="54"/>
      <c r="K1102" s="54"/>
    </row>
    <row r="1103" spans="1:22" s="7" customFormat="1" ht="9" customHeight="1" x14ac:dyDescent="0.2">
      <c r="A1103" s="77"/>
      <c r="B1103" s="77"/>
      <c r="C1103" s="45"/>
      <c r="D1103" s="45"/>
      <c r="E1103" s="54"/>
      <c r="F1103" s="54"/>
      <c r="G1103" s="54"/>
      <c r="H1103" s="54"/>
      <c r="I1103" s="54"/>
      <c r="J1103" s="54"/>
      <c r="K1103" s="54"/>
    </row>
    <row r="1104" spans="1:22" s="7" customFormat="1" ht="9" customHeight="1" x14ac:dyDescent="0.2">
      <c r="A1104" s="77"/>
      <c r="B1104" s="77"/>
      <c r="C1104" s="45"/>
      <c r="D1104" s="45"/>
      <c r="E1104" s="54"/>
      <c r="F1104" s="54"/>
      <c r="G1104" s="54"/>
      <c r="H1104" s="54"/>
      <c r="I1104" s="54"/>
      <c r="J1104" s="54"/>
      <c r="K1104" s="54"/>
    </row>
    <row r="1105" spans="1:11" s="7" customFormat="1" ht="9" customHeight="1" x14ac:dyDescent="0.2">
      <c r="A1105" s="77"/>
      <c r="B1105" s="77"/>
      <c r="C1105" s="45"/>
      <c r="D1105" s="45"/>
      <c r="E1105" s="54"/>
      <c r="F1105" s="54"/>
      <c r="G1105" s="54"/>
      <c r="H1105" s="54"/>
      <c r="I1105" s="54"/>
      <c r="J1105" s="54"/>
      <c r="K1105" s="54"/>
    </row>
    <row r="1106" spans="1:11" s="7" customFormat="1" ht="9" customHeight="1" x14ac:dyDescent="0.2">
      <c r="A1106" s="77"/>
      <c r="B1106" s="77"/>
      <c r="C1106" s="45"/>
      <c r="D1106" s="45"/>
      <c r="E1106" s="54"/>
      <c r="F1106" s="54"/>
      <c r="G1106" s="54"/>
      <c r="H1106" s="54"/>
      <c r="I1106" s="54"/>
      <c r="J1106" s="54"/>
      <c r="K1106" s="54"/>
    </row>
    <row r="1107" spans="1:11" s="7" customFormat="1" ht="9" customHeight="1" x14ac:dyDescent="0.2">
      <c r="A1107" s="77"/>
      <c r="B1107" s="77"/>
      <c r="C1107" s="45"/>
      <c r="D1107" s="45"/>
      <c r="E1107" s="54"/>
      <c r="F1107" s="54"/>
      <c r="G1107" s="54"/>
      <c r="H1107" s="54"/>
      <c r="I1107" s="54"/>
      <c r="J1107" s="54"/>
      <c r="K1107" s="54"/>
    </row>
    <row r="1108" spans="1:11" s="7" customFormat="1" ht="9" customHeight="1" x14ac:dyDescent="0.2">
      <c r="A1108" s="77"/>
      <c r="B1108" s="77"/>
      <c r="C1108" s="45"/>
      <c r="D1108" s="45"/>
      <c r="E1108" s="54"/>
      <c r="F1108" s="54"/>
      <c r="G1108" s="54"/>
      <c r="H1108" s="54"/>
      <c r="I1108" s="54"/>
      <c r="J1108" s="54"/>
      <c r="K1108" s="54"/>
    </row>
    <row r="1109" spans="1:11" s="7" customFormat="1" ht="9" customHeight="1" x14ac:dyDescent="0.2">
      <c r="A1109" s="77"/>
      <c r="B1109" s="77"/>
      <c r="C1109" s="45"/>
      <c r="D1109" s="45"/>
      <c r="E1109" s="54"/>
      <c r="F1109" s="54"/>
      <c r="G1109" s="54"/>
      <c r="H1109" s="54"/>
      <c r="I1109" s="54"/>
      <c r="J1109" s="54"/>
      <c r="K1109" s="54"/>
    </row>
    <row r="1110" spans="1:11" s="7" customFormat="1" ht="9" customHeight="1" x14ac:dyDescent="0.2">
      <c r="A1110" s="77"/>
      <c r="B1110" s="77"/>
      <c r="C1110" s="45"/>
      <c r="D1110" s="45"/>
      <c r="E1110" s="54"/>
      <c r="F1110" s="54"/>
      <c r="G1110" s="54"/>
      <c r="H1110" s="54"/>
      <c r="I1110" s="54"/>
      <c r="J1110" s="54"/>
      <c r="K1110" s="54"/>
    </row>
    <row r="1111" spans="1:11" s="7" customFormat="1" ht="9" customHeight="1" x14ac:dyDescent="0.2">
      <c r="A1111" s="77"/>
      <c r="B1111" s="77"/>
      <c r="C1111" s="45"/>
      <c r="D1111" s="45"/>
      <c r="E1111" s="54"/>
      <c r="F1111" s="54"/>
      <c r="G1111" s="54"/>
      <c r="H1111" s="54"/>
      <c r="I1111" s="54"/>
      <c r="J1111" s="54"/>
      <c r="K1111" s="54"/>
    </row>
    <row r="1112" spans="1:11" s="7" customFormat="1" ht="9" customHeight="1" x14ac:dyDescent="0.2">
      <c r="A1112" s="77"/>
      <c r="B1112" s="77"/>
      <c r="C1112" s="45"/>
      <c r="D1112" s="45"/>
      <c r="E1112" s="54"/>
      <c r="F1112" s="54"/>
      <c r="G1112" s="54"/>
      <c r="H1112" s="54"/>
      <c r="I1112" s="54"/>
      <c r="J1112" s="54"/>
      <c r="K1112" s="54"/>
    </row>
    <row r="1113" spans="1:11" s="7" customFormat="1" ht="9" customHeight="1" x14ac:dyDescent="0.2">
      <c r="A1113" s="77"/>
      <c r="B1113" s="77"/>
      <c r="C1113" s="45"/>
      <c r="D1113" s="45"/>
      <c r="E1113" s="54"/>
      <c r="F1113" s="54"/>
      <c r="G1113" s="54"/>
      <c r="H1113" s="54"/>
      <c r="I1113" s="54"/>
      <c r="J1113" s="54"/>
      <c r="K1113" s="54"/>
    </row>
    <row r="1114" spans="1:11" s="7" customFormat="1" ht="9" customHeight="1" x14ac:dyDescent="0.2">
      <c r="A1114" s="77"/>
      <c r="B1114" s="77"/>
      <c r="C1114" s="45"/>
      <c r="D1114" s="45"/>
      <c r="E1114" s="54"/>
      <c r="F1114" s="54"/>
      <c r="G1114" s="54"/>
      <c r="H1114" s="54"/>
      <c r="I1114" s="54"/>
      <c r="J1114" s="54"/>
      <c r="K1114" s="54"/>
    </row>
    <row r="1115" spans="1:11" s="7" customFormat="1" ht="9" customHeight="1" x14ac:dyDescent="0.2">
      <c r="A1115" s="77"/>
      <c r="B1115" s="77"/>
      <c r="C1115" s="45"/>
      <c r="D1115" s="45"/>
      <c r="E1115" s="54"/>
      <c r="F1115" s="54"/>
      <c r="G1115" s="54"/>
      <c r="H1115" s="54"/>
      <c r="I1115" s="54"/>
      <c r="J1115" s="54"/>
      <c r="K1115" s="54"/>
    </row>
    <row r="1116" spans="1:11" s="7" customFormat="1" ht="9" customHeight="1" x14ac:dyDescent="0.2">
      <c r="A1116" s="77"/>
      <c r="B1116" s="77"/>
      <c r="C1116" s="45"/>
      <c r="D1116" s="45"/>
      <c r="E1116" s="54"/>
      <c r="F1116" s="54"/>
      <c r="G1116" s="54"/>
      <c r="H1116" s="54"/>
      <c r="I1116" s="54"/>
      <c r="J1116" s="54"/>
      <c r="K1116" s="54"/>
    </row>
    <row r="1117" spans="1:11" s="7" customFormat="1" ht="9" customHeight="1" x14ac:dyDescent="0.2">
      <c r="A1117" s="77"/>
      <c r="B1117" s="77"/>
      <c r="C1117" s="45"/>
      <c r="D1117" s="45"/>
      <c r="E1117" s="54"/>
      <c r="F1117" s="54"/>
      <c r="G1117" s="54"/>
      <c r="H1117" s="54"/>
      <c r="I1117" s="54"/>
      <c r="J1117" s="54"/>
      <c r="K1117" s="54"/>
    </row>
    <row r="1118" spans="1:11" s="7" customFormat="1" ht="9" customHeight="1" x14ac:dyDescent="0.2">
      <c r="A1118" s="77"/>
      <c r="B1118" s="77"/>
      <c r="C1118" s="45"/>
      <c r="D1118" s="45"/>
      <c r="E1118" s="54"/>
      <c r="F1118" s="54"/>
      <c r="G1118" s="54"/>
      <c r="H1118" s="54"/>
      <c r="I1118" s="54"/>
      <c r="J1118" s="54"/>
      <c r="K1118" s="54"/>
    </row>
    <row r="1119" spans="1:11" s="7" customFormat="1" ht="9" customHeight="1" x14ac:dyDescent="0.2">
      <c r="A1119" s="77"/>
      <c r="B1119" s="77"/>
      <c r="C1119" s="45"/>
      <c r="D1119" s="45"/>
      <c r="E1119" s="54"/>
      <c r="F1119" s="54"/>
      <c r="G1119" s="54"/>
      <c r="H1119" s="54"/>
      <c r="I1119" s="54"/>
      <c r="J1119" s="54"/>
      <c r="K1119" s="54"/>
    </row>
    <row r="1120" spans="1:11" s="7" customFormat="1" ht="12.75" x14ac:dyDescent="0.2"/>
    <row r="1121" spans="1:26" s="7" customFormat="1" ht="24.75" customHeight="1" x14ac:dyDescent="0.2">
      <c r="B1121" s="558" t="s">
        <v>38</v>
      </c>
      <c r="C1121" s="559"/>
      <c r="D1121" s="559"/>
      <c r="E1121" s="559"/>
      <c r="F1121" s="559"/>
      <c r="G1121" s="559"/>
      <c r="H1121" s="559"/>
      <c r="I1121" s="559"/>
      <c r="J1121" s="560"/>
    </row>
    <row r="1122" spans="1:26" s="7" customFormat="1" ht="19.5" customHeight="1" x14ac:dyDescent="0.2">
      <c r="B1122" s="81" t="s">
        <v>5</v>
      </c>
      <c r="C1122" s="82"/>
      <c r="D1122" s="83"/>
      <c r="E1122" s="84">
        <v>36892</v>
      </c>
      <c r="F1122" s="84">
        <v>37257</v>
      </c>
      <c r="G1122" s="84">
        <v>37622</v>
      </c>
      <c r="H1122" s="84">
        <v>37987</v>
      </c>
      <c r="I1122" s="85">
        <v>38718</v>
      </c>
      <c r="J1122" s="86">
        <v>43160</v>
      </c>
      <c r="K1122" s="87">
        <v>44562</v>
      </c>
    </row>
    <row r="1123" spans="1:26" s="7" customFormat="1" ht="12.75" x14ac:dyDescent="0.2">
      <c r="B1123" s="561" t="s">
        <v>6</v>
      </c>
      <c r="C1123" s="89" t="s">
        <v>36</v>
      </c>
      <c r="D1123" s="90">
        <v>0</v>
      </c>
      <c r="E1123" s="59">
        <v>1338.6</v>
      </c>
      <c r="F1123" s="59">
        <v>1578.6</v>
      </c>
      <c r="G1123" s="59">
        <v>1710.6</v>
      </c>
      <c r="H1123" s="59">
        <v>1857.84</v>
      </c>
      <c r="I1123" s="59">
        <v>1968</v>
      </c>
      <c r="J1123" s="59">
        <v>2094</v>
      </c>
      <c r="K1123" s="7">
        <v>2334</v>
      </c>
    </row>
    <row r="1124" spans="1:26" s="7" customFormat="1" ht="12.75" x14ac:dyDescent="0.2">
      <c r="B1124" s="562"/>
      <c r="C1124" s="72" t="s">
        <v>37</v>
      </c>
      <c r="D1124" s="92">
        <v>14</v>
      </c>
      <c r="E1124" s="93">
        <v>2591891</v>
      </c>
      <c r="F1124" s="93">
        <v>3056596</v>
      </c>
      <c r="G1124" s="93">
        <v>3312183</v>
      </c>
      <c r="H1124" s="93">
        <v>3597280</v>
      </c>
      <c r="I1124" s="93">
        <v>3810579</v>
      </c>
      <c r="J1124" s="93">
        <v>4054549</v>
      </c>
    </row>
    <row r="1125" spans="1:26" s="7" customFormat="1" ht="12.75" x14ac:dyDescent="0.2">
      <c r="B1125" s="562"/>
      <c r="C1125" s="89" t="s">
        <v>36</v>
      </c>
      <c r="D1125" s="90">
        <v>15</v>
      </c>
      <c r="E1125" s="59">
        <v>1667.16</v>
      </c>
      <c r="F1125" s="59">
        <v>1955.16</v>
      </c>
      <c r="G1125" s="59">
        <v>2111.16</v>
      </c>
      <c r="H1125" s="59">
        <v>2287.8000000000002</v>
      </c>
      <c r="I1125" s="59">
        <v>2424</v>
      </c>
      <c r="J1125" s="59">
        <v>2577.6</v>
      </c>
      <c r="K1125" s="7">
        <v>2865.6</v>
      </c>
    </row>
    <row r="1126" spans="1:26" s="7" customFormat="1" ht="12.75" x14ac:dyDescent="0.2">
      <c r="B1126" s="562"/>
      <c r="C1126" s="72" t="s">
        <v>37</v>
      </c>
      <c r="D1126" s="92">
        <v>27</v>
      </c>
      <c r="E1126" s="93">
        <v>3228072</v>
      </c>
      <c r="F1126" s="93">
        <v>3785718</v>
      </c>
      <c r="G1126" s="93">
        <v>4087776</v>
      </c>
      <c r="H1126" s="93">
        <v>4429799</v>
      </c>
      <c r="I1126" s="93">
        <v>4693518</v>
      </c>
      <c r="J1126" s="93">
        <v>4990930</v>
      </c>
    </row>
    <row r="1127" spans="1:26" s="7" customFormat="1" ht="12.75" x14ac:dyDescent="0.2">
      <c r="B1127" s="562"/>
      <c r="C1127" s="89" t="s">
        <v>36</v>
      </c>
      <c r="D1127" s="90">
        <v>28</v>
      </c>
      <c r="E1127" s="59">
        <v>1865.4</v>
      </c>
      <c r="F1127" s="59">
        <v>2333.4</v>
      </c>
      <c r="G1127" s="59">
        <v>2585.4</v>
      </c>
      <c r="H1127" s="59">
        <v>2870.04</v>
      </c>
      <c r="I1127" s="59">
        <v>3090</v>
      </c>
      <c r="J1127" s="59">
        <v>3278.4</v>
      </c>
      <c r="K1127" s="7">
        <v>3638.4</v>
      </c>
    </row>
    <row r="1128" spans="1:26" s="7" customFormat="1" ht="12.75" x14ac:dyDescent="0.2">
      <c r="B1128" s="563"/>
      <c r="C1128" s="72" t="s">
        <v>37</v>
      </c>
      <c r="D1128" s="92"/>
      <c r="E1128" s="93">
        <v>3611918</v>
      </c>
      <c r="F1128" s="93">
        <v>4518092</v>
      </c>
      <c r="G1128" s="93">
        <v>5006032</v>
      </c>
      <c r="H1128" s="93">
        <v>5557172</v>
      </c>
      <c r="I1128" s="93">
        <v>5983074</v>
      </c>
      <c r="J1128" s="93">
        <v>6347868</v>
      </c>
    </row>
    <row r="1129" spans="1:26" s="7" customFormat="1" ht="12.75" x14ac:dyDescent="0.2">
      <c r="B1129" s="7" t="s">
        <v>39</v>
      </c>
    </row>
    <row r="1130" spans="1:26" s="7" customFormat="1" ht="12.75" x14ac:dyDescent="0.2"/>
    <row r="1131" spans="1:26" s="7" customFormat="1" ht="12.75" x14ac:dyDescent="0.2"/>
    <row r="1132" spans="1:26" s="7" customFormat="1" ht="12.75" x14ac:dyDescent="0.2"/>
    <row r="1133" spans="1:26" s="7" customFormat="1" ht="12.75" x14ac:dyDescent="0.2"/>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row r="1345" spans="1:26" ht="12.75" customHeight="1"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row>
    <row r="1346" spans="1:26" ht="12.75" customHeight="1"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row>
    <row r="1347" spans="1:26" ht="12.75" customHeight="1"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row>
    <row r="1348" spans="1:26" ht="12.75" customHeight="1"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row>
    <row r="1349" spans="1:26" ht="12.75" customHeight="1"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row>
    <row r="1350" spans="1:26" ht="12.75" customHeight="1"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row>
    <row r="1351" spans="1:26" ht="12.75" customHeight="1"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row>
    <row r="1352" spans="1:26" ht="12.75" customHeight="1"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row>
    <row r="1353" spans="1:26" ht="12.75" customHeight="1" x14ac:dyDescent="0.2">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row>
  </sheetData>
  <mergeCells count="186">
    <mergeCell ref="B982:B991"/>
    <mergeCell ref="B1121:J1121"/>
    <mergeCell ref="A882:A891"/>
    <mergeCell ref="B882:B891"/>
    <mergeCell ref="A900:A901"/>
    <mergeCell ref="B900:B901"/>
    <mergeCell ref="B1123:B1128"/>
    <mergeCell ref="A1000:A1001"/>
    <mergeCell ref="B1000:B1001"/>
    <mergeCell ref="A1002:A1011"/>
    <mergeCell ref="B1002:B1011"/>
    <mergeCell ref="A920:A921"/>
    <mergeCell ref="B920:B921"/>
    <mergeCell ref="A922:A931"/>
    <mergeCell ref="B922:B931"/>
    <mergeCell ref="A940:A941"/>
    <mergeCell ref="B940:B941"/>
    <mergeCell ref="A942:A951"/>
    <mergeCell ref="B942:B951"/>
    <mergeCell ref="A960:A961"/>
    <mergeCell ref="B960:B961"/>
    <mergeCell ref="A962:A971"/>
    <mergeCell ref="B962:B971"/>
    <mergeCell ref="A1020:A1021"/>
    <mergeCell ref="B1020:B1021"/>
    <mergeCell ref="A1022:A1031"/>
    <mergeCell ref="B1022:B1031"/>
    <mergeCell ref="A980:A981"/>
    <mergeCell ref="B980:B981"/>
    <mergeCell ref="A982:A991"/>
    <mergeCell ref="A762:A773"/>
    <mergeCell ref="B762:B773"/>
    <mergeCell ref="A780:A781"/>
    <mergeCell ref="B780:B781"/>
    <mergeCell ref="A902:A911"/>
    <mergeCell ref="B902:B911"/>
    <mergeCell ref="A800:A801"/>
    <mergeCell ref="B800:B801"/>
    <mergeCell ref="A802:A813"/>
    <mergeCell ref="B802:B813"/>
    <mergeCell ref="A820:A821"/>
    <mergeCell ref="B820:B821"/>
    <mergeCell ref="A822:A833"/>
    <mergeCell ref="B822:B833"/>
    <mergeCell ref="A840:A841"/>
    <mergeCell ref="B840:B841"/>
    <mergeCell ref="A842:A853"/>
    <mergeCell ref="B842:B853"/>
    <mergeCell ref="A860:A861"/>
    <mergeCell ref="B860:B861"/>
    <mergeCell ref="A862:A873"/>
    <mergeCell ref="B862:B873"/>
    <mergeCell ref="A880:A881"/>
    <mergeCell ref="B880:B881"/>
    <mergeCell ref="A642:A653"/>
    <mergeCell ref="B642:B653"/>
    <mergeCell ref="A660:A661"/>
    <mergeCell ref="B660:B661"/>
    <mergeCell ref="A782:A793"/>
    <mergeCell ref="B782:B793"/>
    <mergeCell ref="A680:A681"/>
    <mergeCell ref="B680:B681"/>
    <mergeCell ref="A682:A693"/>
    <mergeCell ref="B682:B693"/>
    <mergeCell ref="A700:A701"/>
    <mergeCell ref="B700:B701"/>
    <mergeCell ref="A702:A713"/>
    <mergeCell ref="B702:B713"/>
    <mergeCell ref="A720:A721"/>
    <mergeCell ref="B720:B721"/>
    <mergeCell ref="A722:A733"/>
    <mergeCell ref="B722:B733"/>
    <mergeCell ref="A740:A741"/>
    <mergeCell ref="B740:B741"/>
    <mergeCell ref="A742:A753"/>
    <mergeCell ref="B742:B753"/>
    <mergeCell ref="A760:A761"/>
    <mergeCell ref="B760:B761"/>
    <mergeCell ref="A522:A533"/>
    <mergeCell ref="B522:B533"/>
    <mergeCell ref="A540:A541"/>
    <mergeCell ref="B540:B541"/>
    <mergeCell ref="A662:A673"/>
    <mergeCell ref="B662:B673"/>
    <mergeCell ref="A560:A561"/>
    <mergeCell ref="B560:B561"/>
    <mergeCell ref="A562:A573"/>
    <mergeCell ref="B562:B573"/>
    <mergeCell ref="A580:A581"/>
    <mergeCell ref="B580:B581"/>
    <mergeCell ref="A582:A593"/>
    <mergeCell ref="B582:B593"/>
    <mergeCell ref="A600:A601"/>
    <mergeCell ref="B600:B601"/>
    <mergeCell ref="A602:A613"/>
    <mergeCell ref="B602:B613"/>
    <mergeCell ref="A620:A621"/>
    <mergeCell ref="B620:B621"/>
    <mergeCell ref="A622:A633"/>
    <mergeCell ref="B622:B633"/>
    <mergeCell ref="A640:A641"/>
    <mergeCell ref="B640:B641"/>
    <mergeCell ref="A360:A401"/>
    <mergeCell ref="B360:B401"/>
    <mergeCell ref="A420:A421"/>
    <mergeCell ref="B420:B421"/>
    <mergeCell ref="A542:A553"/>
    <mergeCell ref="B542:B553"/>
    <mergeCell ref="A440:A441"/>
    <mergeCell ref="B440:B441"/>
    <mergeCell ref="A442:A453"/>
    <mergeCell ref="B442:B453"/>
    <mergeCell ref="A460:A461"/>
    <mergeCell ref="B460:B461"/>
    <mergeCell ref="A462:A473"/>
    <mergeCell ref="B462:B473"/>
    <mergeCell ref="A480:A481"/>
    <mergeCell ref="B480:B481"/>
    <mergeCell ref="A482:A493"/>
    <mergeCell ref="B482:B493"/>
    <mergeCell ref="A500:A501"/>
    <mergeCell ref="B500:B501"/>
    <mergeCell ref="A502:A513"/>
    <mergeCell ref="B502:B513"/>
    <mergeCell ref="A520:A521"/>
    <mergeCell ref="B520:B521"/>
    <mergeCell ref="A96:A137"/>
    <mergeCell ref="B96:B137"/>
    <mergeCell ref="A138:A139"/>
    <mergeCell ref="B138:B139"/>
    <mergeCell ref="A422:A433"/>
    <mergeCell ref="B422:B433"/>
    <mergeCell ref="A182:A183"/>
    <mergeCell ref="B182:B183"/>
    <mergeCell ref="A184:A225"/>
    <mergeCell ref="B184:B225"/>
    <mergeCell ref="A226:A227"/>
    <mergeCell ref="B226:B227"/>
    <mergeCell ref="A228:A269"/>
    <mergeCell ref="B228:B269"/>
    <mergeCell ref="A270:A271"/>
    <mergeCell ref="B270:B271"/>
    <mergeCell ref="A272:A313"/>
    <mergeCell ref="B272:B313"/>
    <mergeCell ref="A314:A315"/>
    <mergeCell ref="B314:B315"/>
    <mergeCell ref="A316:A357"/>
    <mergeCell ref="B316:B357"/>
    <mergeCell ref="A358:A359"/>
    <mergeCell ref="B358:B359"/>
    <mergeCell ref="Q3:Q4"/>
    <mergeCell ref="C5:D5"/>
    <mergeCell ref="A6:A7"/>
    <mergeCell ref="B6:B7"/>
    <mergeCell ref="A8:A49"/>
    <mergeCell ref="B8:B49"/>
    <mergeCell ref="A140:A181"/>
    <mergeCell ref="B140:B181"/>
    <mergeCell ref="A50:A51"/>
    <mergeCell ref="B50:B51"/>
    <mergeCell ref="A52:A93"/>
    <mergeCell ref="B52:B93"/>
    <mergeCell ref="A94:A95"/>
    <mergeCell ref="B94:B95"/>
    <mergeCell ref="A1:B1"/>
    <mergeCell ref="C1:L2"/>
    <mergeCell ref="N1:P2"/>
    <mergeCell ref="A3:B3"/>
    <mergeCell ref="C3:D4"/>
    <mergeCell ref="E3:J3"/>
    <mergeCell ref="K3:K4"/>
    <mergeCell ref="L3:L4"/>
    <mergeCell ref="N3:N4"/>
    <mergeCell ref="O3:O4"/>
    <mergeCell ref="A1082:A1091"/>
    <mergeCell ref="B1082:B1091"/>
    <mergeCell ref="A1040:A1041"/>
    <mergeCell ref="B1040:B1041"/>
    <mergeCell ref="A1042:A1051"/>
    <mergeCell ref="B1042:B1051"/>
    <mergeCell ref="A1060:A1061"/>
    <mergeCell ref="B1060:B1061"/>
    <mergeCell ref="A1062:A1071"/>
    <mergeCell ref="B1062:B1071"/>
    <mergeCell ref="A1080:A1081"/>
    <mergeCell ref="B1080:B1081"/>
  </mergeCells>
  <conditionalFormatting sqref="E960:H971 E980:H991 E1000:H1011">
    <cfRule type="cellIs" dxfId="274" priority="164" stopIfTrue="1" operator="equal">
      <formula>0</formula>
    </cfRule>
  </conditionalFormatting>
  <conditionalFormatting sqref="E1020:H1031">
    <cfRule type="cellIs" dxfId="273" priority="134" stopIfTrue="1" operator="equal">
      <formula>0</formula>
    </cfRule>
  </conditionalFormatting>
  <conditionalFormatting sqref="E1080:H1091">
    <cfRule type="cellIs" dxfId="272" priority="13" stopIfTrue="1" operator="equal">
      <formula>0</formula>
    </cfRule>
  </conditionalFormatting>
  <conditionalFormatting sqref="E1040:I1051">
    <cfRule type="cellIs" dxfId="271" priority="3" stopIfTrue="1" operator="equal">
      <formula>0</formula>
    </cfRule>
  </conditionalFormatting>
  <conditionalFormatting sqref="E1060:I1071">
    <cfRule type="cellIs" dxfId="270" priority="1" stopIfTrue="1" operator="equal">
      <formula>0</formula>
    </cfRule>
  </conditionalFormatting>
  <conditionalFormatting sqref="E900:O911 E920:O931">
    <cfRule type="cellIs" dxfId="269" priority="266" stopIfTrue="1" operator="equal">
      <formula>0</formula>
    </cfRule>
  </conditionalFormatting>
  <conditionalFormatting sqref="E940:O951">
    <cfRule type="cellIs" dxfId="268" priority="267" stopIfTrue="1" operator="equal">
      <formula>0</formula>
    </cfRule>
  </conditionalFormatting>
  <conditionalFormatting sqref="E1092:Q1118">
    <cfRule type="cellIs" dxfId="267" priority="276" stopIfTrue="1" operator="equal">
      <formula>0</formula>
    </cfRule>
  </conditionalFormatting>
  <conditionalFormatting sqref="F860 H860:P860 E860:E861 F861:O873 P862 P864 E864:E873 P866 P868 P870 P872 P880 E880:O891 P882 P884 P886 P888 P890">
    <cfRule type="cellIs" dxfId="266" priority="277" stopIfTrue="1" operator="equal">
      <formula>0</formula>
    </cfRule>
  </conditionalFormatting>
  <conditionalFormatting sqref="I1052:I1053">
    <cfRule type="cellIs" dxfId="265" priority="10" stopIfTrue="1" operator="equal">
      <formula>0</formula>
    </cfRule>
  </conditionalFormatting>
  <conditionalFormatting sqref="I960:O971 I980:O991">
    <cfRule type="cellIs" dxfId="264" priority="222" stopIfTrue="1" operator="equal">
      <formula>0</formula>
    </cfRule>
  </conditionalFormatting>
  <conditionalFormatting sqref="I1000:O1011">
    <cfRule type="cellIs" dxfId="263" priority="173" stopIfTrue="1" operator="equal">
      <formula>0</formula>
    </cfRule>
  </conditionalFormatting>
  <conditionalFormatting sqref="I1020:O1031">
    <cfRule type="cellIs" dxfId="262" priority="143" stopIfTrue="1" operator="equal">
      <formula>0</formula>
    </cfRule>
  </conditionalFormatting>
  <conditionalFormatting sqref="I1080:O1091">
    <cfRule type="cellIs" dxfId="261" priority="22" stopIfTrue="1" operator="equal">
      <formula>0</formula>
    </cfRule>
  </conditionalFormatting>
  <conditionalFormatting sqref="J1040:O1051">
    <cfRule type="cellIs" dxfId="260" priority="84" stopIfTrue="1" operator="equal">
      <formula>0</formula>
    </cfRule>
  </conditionalFormatting>
  <conditionalFormatting sqref="J1060:O1071">
    <cfRule type="cellIs" dxfId="259" priority="53" stopIfTrue="1" operator="equal">
      <formula>0</formula>
    </cfRule>
  </conditionalFormatting>
  <conditionalFormatting sqref="N900:R900 N902:R902 N904:R904 N906:R906 N908:R908 N910:R910 N920:R920 N922:R922 N924:R924 N926:R926 N928:R928 N930:R930 N940:R940 N942:R942 N944:R944 N946:R946 N948:R948 N950:R950 N960:R960 N962:R962 N964:R964 N966:R966 N968:R968">
    <cfRule type="cellIs" dxfId="258" priority="220" stopIfTrue="1" operator="equal">
      <formula>0</formula>
    </cfRule>
  </conditionalFormatting>
  <conditionalFormatting sqref="N970:R970 N980:R980 N982:R982 N984:R984 N986:R986 N988:R988 N990:R990">
    <cfRule type="cellIs" dxfId="257" priority="200" stopIfTrue="1" operator="equal">
      <formula>0</formula>
    </cfRule>
  </conditionalFormatting>
  <conditionalFormatting sqref="N1000:R1000 N1002:R1002 N1004:R1004 N1006:R1006 N1008:R1008 N1010:R1010">
    <cfRule type="cellIs" dxfId="256" priority="171" stopIfTrue="1" operator="equal">
      <formula>0</formula>
    </cfRule>
  </conditionalFormatting>
  <conditionalFormatting sqref="N1020:R1020 N1022:R1022 N1024:R1024 N1026:R1026 N1028:R1028 N1030:R1030">
    <cfRule type="cellIs" dxfId="255" priority="141" stopIfTrue="1" operator="equal">
      <formula>0</formula>
    </cfRule>
  </conditionalFormatting>
  <conditionalFormatting sqref="N1040:R1040 N1042:R1042 N1044:R1044 N1046:R1046 N1048:R1048 N1050:R1050">
    <cfRule type="cellIs" dxfId="254" priority="82" stopIfTrue="1" operator="equal">
      <formula>0</formula>
    </cfRule>
  </conditionalFormatting>
  <conditionalFormatting sqref="N1060:R1060 N1062:R1062 N1064:R1064 N1066:R1066 N1068:R1068 N1070:R1070">
    <cfRule type="cellIs" dxfId="253" priority="51" stopIfTrue="1" operator="equal">
      <formula>0</formula>
    </cfRule>
  </conditionalFormatting>
  <conditionalFormatting sqref="N1080:R1080 N1082:R1082 N1084:R1084 N1086:R1086 N1088:R1088 N1090:R1090">
    <cfRule type="cellIs" dxfId="252" priority="20" stopIfTrue="1" operator="equal">
      <formula>0</formula>
    </cfRule>
  </conditionalFormatting>
  <conditionalFormatting sqref="P960:Q962 P964:Q964 P966:Q966 P968:Q968 P970:Q970">
    <cfRule type="cellIs" dxfId="251" priority="252" stopIfTrue="1" operator="equal">
      <formula>0</formula>
    </cfRule>
  </conditionalFormatting>
  <conditionalFormatting sqref="P980:Q982 P984:Q984 P986:Q986 P988:Q988 P990:Q990">
    <cfRule type="cellIs" dxfId="250" priority="232" stopIfTrue="1" operator="equal">
      <formula>0</formula>
    </cfRule>
  </conditionalFormatting>
  <conditionalFormatting sqref="P1000:Q1002 P1004:Q1004 P1006:Q1006 P1008:Q1008 P1010:Q1010">
    <cfRule type="cellIs" dxfId="249" priority="183" stopIfTrue="1" operator="equal">
      <formula>0</formula>
    </cfRule>
  </conditionalFormatting>
  <conditionalFormatting sqref="P1020:Q1022 P1024:Q1024 P1026:Q1026 P1028:Q1028 P1030:Q1030">
    <cfRule type="cellIs" dxfId="248" priority="153" stopIfTrue="1" operator="equal">
      <formula>0</formula>
    </cfRule>
  </conditionalFormatting>
  <conditionalFormatting sqref="P1040:Q1042 P1044:Q1044 P1046:Q1046 P1048:Q1048 P1050:Q1050">
    <cfRule type="cellIs" dxfId="247" priority="94" stopIfTrue="1" operator="equal">
      <formula>0</formula>
    </cfRule>
  </conditionalFormatting>
  <conditionalFormatting sqref="P1060:Q1062 P1064:Q1064 P1066:Q1066 P1068:Q1068 P1070:Q1070">
    <cfRule type="cellIs" dxfId="246" priority="63" stopIfTrue="1" operator="equal">
      <formula>0</formula>
    </cfRule>
  </conditionalFormatting>
  <conditionalFormatting sqref="P1080:Q1082 P1084:Q1084 P1086:Q1086 P1088:Q1088 P1090:Q1090">
    <cfRule type="cellIs" dxfId="245" priority="32" stopIfTrue="1" operator="equal">
      <formula>0</formula>
    </cfRule>
  </conditionalFormatting>
  <conditionalFormatting sqref="P971:R971 R981 P983:R983 P985:R985 P987:R987 P989:R989 P991:R991">
    <cfRule type="cellIs" dxfId="244" priority="194" stopIfTrue="1" operator="equal">
      <formula>0</formula>
    </cfRule>
  </conditionalFormatting>
  <conditionalFormatting sqref="Q6:Q899">
    <cfRule type="cellIs" dxfId="243" priority="111" stopIfTrue="1" operator="equal">
      <formula>0</formula>
    </cfRule>
  </conditionalFormatting>
  <conditionalFormatting sqref="Q900:Q911">
    <cfRule type="cellIs" dxfId="242" priority="274" stopIfTrue="1" operator="equal">
      <formula>0</formula>
    </cfRule>
  </conditionalFormatting>
  <conditionalFormatting sqref="Q912:Q919">
    <cfRule type="cellIs" dxfId="241" priority="110" stopIfTrue="1" operator="equal">
      <formula>0</formula>
    </cfRule>
  </conditionalFormatting>
  <conditionalFormatting sqref="Q920:Q931">
    <cfRule type="cellIs" dxfId="240" priority="272" stopIfTrue="1" operator="equal">
      <formula>0</formula>
    </cfRule>
  </conditionalFormatting>
  <conditionalFormatting sqref="Q932:Q939">
    <cfRule type="cellIs" dxfId="239" priority="109" stopIfTrue="1" operator="equal">
      <formula>0</formula>
    </cfRule>
  </conditionalFormatting>
  <conditionalFormatting sqref="Q940:Q951">
    <cfRule type="cellIs" dxfId="238" priority="270" stopIfTrue="1" operator="equal">
      <formula>0</formula>
    </cfRule>
  </conditionalFormatting>
  <conditionalFormatting sqref="Q952:Q959">
    <cfRule type="cellIs" dxfId="237" priority="108" stopIfTrue="1" operator="equal">
      <formula>0</formula>
    </cfRule>
  </conditionalFormatting>
  <conditionalFormatting sqref="Q972:Q979">
    <cfRule type="cellIs" dxfId="236" priority="107" stopIfTrue="1" operator="equal">
      <formula>0</formula>
    </cfRule>
  </conditionalFormatting>
  <conditionalFormatting sqref="Q992:Q999">
    <cfRule type="cellIs" dxfId="235" priority="106" stopIfTrue="1" operator="equal">
      <formula>0</formula>
    </cfRule>
  </conditionalFormatting>
  <conditionalFormatting sqref="Q1012:Q1019">
    <cfRule type="cellIs" dxfId="234" priority="105" stopIfTrue="1" operator="equal">
      <formula>0</formula>
    </cfRule>
  </conditionalFormatting>
  <conditionalFormatting sqref="Q1032:Q1039">
    <cfRule type="cellIs" dxfId="233" priority="74" stopIfTrue="1" operator="equal">
      <formula>0</formula>
    </cfRule>
  </conditionalFormatting>
  <conditionalFormatting sqref="Q1052:Q1059">
    <cfRule type="cellIs" dxfId="232" priority="43" stopIfTrue="1" operator="equal">
      <formula>0</formula>
    </cfRule>
  </conditionalFormatting>
  <conditionalFormatting sqref="Q1072:Q1079">
    <cfRule type="cellIs" dxfId="231" priority="12" stopIfTrue="1" operator="equal">
      <formula>0</formula>
    </cfRule>
  </conditionalFormatting>
  <conditionalFormatting sqref="R900 R902 R904 R906 R908 R910 R920 R922 R924 R926 R928 R930 R940 R942 R944 R946 R948 R950 R960 R962 R964 R966 R968">
    <cfRule type="cellIs" dxfId="230" priority="217" stopIfTrue="1" operator="equal">
      <formula>0</formula>
    </cfRule>
  </conditionalFormatting>
  <conditionalFormatting sqref="R900 R902 R904 R906 R908">
    <cfRule type="cellIs" dxfId="229" priority="215" stopIfTrue="1" operator="equal">
      <formula>0</formula>
    </cfRule>
  </conditionalFormatting>
  <conditionalFormatting sqref="R900:R909">
    <cfRule type="cellIs" dxfId="228" priority="216" stopIfTrue="1" operator="equal">
      <formula>0</formula>
    </cfRule>
  </conditionalFormatting>
  <conditionalFormatting sqref="R900:R911 R920:R931 R940:R951 R960:R969">
    <cfRule type="cellIs" dxfId="227" priority="218" stopIfTrue="1" operator="equal">
      <formula>0</formula>
    </cfRule>
  </conditionalFormatting>
  <conditionalFormatting sqref="R910 R920 R922 R924 R926 R928">
    <cfRule type="cellIs" dxfId="226" priority="213" stopIfTrue="1" operator="equal">
      <formula>0</formula>
    </cfRule>
  </conditionalFormatting>
  <conditionalFormatting sqref="R910:R911 R920:R929">
    <cfRule type="cellIs" dxfId="225" priority="214" stopIfTrue="1" operator="equal">
      <formula>0</formula>
    </cfRule>
  </conditionalFormatting>
  <conditionalFormatting sqref="R930">
    <cfRule type="cellIs" dxfId="224" priority="212" stopIfTrue="1" operator="equal">
      <formula>0</formula>
    </cfRule>
    <cfRule type="cellIs" dxfId="223" priority="211" stopIfTrue="1" operator="equal">
      <formula>0</formula>
    </cfRule>
  </conditionalFormatting>
  <conditionalFormatting sqref="R931">
    <cfRule type="cellIs" dxfId="222" priority="210" stopIfTrue="1" operator="equal">
      <formula>0</formula>
    </cfRule>
  </conditionalFormatting>
  <conditionalFormatting sqref="R940 R942 R944 R946 R948">
    <cfRule type="cellIs" dxfId="221" priority="209" stopIfTrue="1" operator="equal">
      <formula>0</formula>
    </cfRule>
    <cfRule type="cellIs" dxfId="220" priority="208" stopIfTrue="1" operator="equal">
      <formula>0</formula>
    </cfRule>
  </conditionalFormatting>
  <conditionalFormatting sqref="R941 R943 R945 R947">
    <cfRule type="cellIs" dxfId="219" priority="207" stopIfTrue="1" operator="equal">
      <formula>0</formula>
    </cfRule>
  </conditionalFormatting>
  <conditionalFormatting sqref="R949:R950">
    <cfRule type="cellIs" dxfId="218" priority="206" stopIfTrue="1" operator="equal">
      <formula>0</formula>
    </cfRule>
  </conditionalFormatting>
  <conditionalFormatting sqref="R950">
    <cfRule type="cellIs" dxfId="217" priority="205" stopIfTrue="1" operator="equal">
      <formula>0</formula>
    </cfRule>
  </conditionalFormatting>
  <conditionalFormatting sqref="R951">
    <cfRule type="cellIs" dxfId="216" priority="204" stopIfTrue="1" operator="equal">
      <formula>0</formula>
    </cfRule>
  </conditionalFormatting>
  <conditionalFormatting sqref="R960 R962 R964 R966 R968">
    <cfRule type="cellIs" dxfId="215" priority="203" stopIfTrue="1" operator="equal">
      <formula>0</formula>
    </cfRule>
    <cfRule type="cellIs" dxfId="214" priority="202" stopIfTrue="1" operator="equal">
      <formula>0</formula>
    </cfRule>
  </conditionalFormatting>
  <conditionalFormatting sqref="R961 P963:R963 P965:R965 P967:R967 P969:R969">
    <cfRule type="cellIs" dxfId="213" priority="201" stopIfTrue="1" operator="equal">
      <formula>0</formula>
    </cfRule>
  </conditionalFormatting>
  <conditionalFormatting sqref="R970 R980 R982 R984 R986 R988 R990">
    <cfRule type="cellIs" dxfId="212" priority="196" stopIfTrue="1" operator="equal">
      <formula>0</formula>
    </cfRule>
    <cfRule type="cellIs" dxfId="211" priority="197" stopIfTrue="1" operator="equal">
      <formula>0</formula>
    </cfRule>
    <cfRule type="cellIs" dxfId="210" priority="195" stopIfTrue="1" operator="equal">
      <formula>0</formula>
    </cfRule>
  </conditionalFormatting>
  <conditionalFormatting sqref="R970:R971 R980:R991">
    <cfRule type="cellIs" dxfId="209" priority="198" stopIfTrue="1" operator="equal">
      <formula>0</formula>
    </cfRule>
  </conditionalFormatting>
  <conditionalFormatting sqref="R1000 R1002 R1004 R1006 R1008 R1010">
    <cfRule type="cellIs" dxfId="208" priority="167" stopIfTrue="1" operator="equal">
      <formula>0</formula>
    </cfRule>
    <cfRule type="cellIs" dxfId="207" priority="166" stopIfTrue="1" operator="equal">
      <formula>0</formula>
    </cfRule>
    <cfRule type="cellIs" dxfId="206" priority="168" stopIfTrue="1" operator="equal">
      <formula>0</formula>
    </cfRule>
  </conditionalFormatting>
  <conditionalFormatting sqref="R1000:R1011">
    <cfRule type="cellIs" dxfId="205" priority="169" stopIfTrue="1" operator="equal">
      <formula>0</formula>
    </cfRule>
  </conditionalFormatting>
  <conditionalFormatting sqref="R1001 P1003:R1003 P1005:R1005 P1007:R1007 P1009:R1009 P1011:R1011">
    <cfRule type="cellIs" dxfId="204" priority="165" stopIfTrue="1" operator="equal">
      <formula>0</formula>
    </cfRule>
  </conditionalFormatting>
  <conditionalFormatting sqref="R1020 R1022 R1024 R1026 R1028 R1030">
    <cfRule type="cellIs" dxfId="203" priority="138" stopIfTrue="1" operator="equal">
      <formula>0</formula>
    </cfRule>
    <cfRule type="cellIs" dxfId="202" priority="136" stopIfTrue="1" operator="equal">
      <formula>0</formula>
    </cfRule>
    <cfRule type="cellIs" dxfId="201" priority="137" stopIfTrue="1" operator="equal">
      <formula>0</formula>
    </cfRule>
  </conditionalFormatting>
  <conditionalFormatting sqref="R1020:R1031">
    <cfRule type="cellIs" dxfId="200" priority="139" stopIfTrue="1" operator="equal">
      <formula>0</formula>
    </cfRule>
  </conditionalFormatting>
  <conditionalFormatting sqref="R1021 P1023:R1023 P1025:R1025 P1027:R1027 P1029:R1029 P1031:R1031">
    <cfRule type="cellIs" dxfId="199" priority="135" stopIfTrue="1" operator="equal">
      <formula>0</formula>
    </cfRule>
  </conditionalFormatting>
  <conditionalFormatting sqref="R1040 R1042 R1044 R1046 R1048 R1050">
    <cfRule type="cellIs" dxfId="198" priority="77" stopIfTrue="1" operator="equal">
      <formula>0</formula>
    </cfRule>
    <cfRule type="cellIs" dxfId="197" priority="78" stopIfTrue="1" operator="equal">
      <formula>0</formula>
    </cfRule>
    <cfRule type="cellIs" dxfId="196" priority="79" stopIfTrue="1" operator="equal">
      <formula>0</formula>
    </cfRule>
  </conditionalFormatting>
  <conditionalFormatting sqref="R1040:R1051">
    <cfRule type="cellIs" dxfId="195" priority="80" stopIfTrue="1" operator="equal">
      <formula>0</formula>
    </cfRule>
  </conditionalFormatting>
  <conditionalFormatting sqref="R1041 P1043:R1043 P1045:R1045 P1047:R1047 P1049:R1049 P1051:R1051">
    <cfRule type="cellIs" dxfId="194" priority="76" stopIfTrue="1" operator="equal">
      <formula>0</formula>
    </cfRule>
  </conditionalFormatting>
  <conditionalFormatting sqref="R1060 R1062 R1064 R1066 R1068 R1070">
    <cfRule type="cellIs" dxfId="193" priority="46" stopIfTrue="1" operator="equal">
      <formula>0</formula>
    </cfRule>
    <cfRule type="cellIs" dxfId="192" priority="47" stopIfTrue="1" operator="equal">
      <formula>0</formula>
    </cfRule>
    <cfRule type="cellIs" dxfId="191" priority="48" stopIfTrue="1" operator="equal">
      <formula>0</formula>
    </cfRule>
  </conditionalFormatting>
  <conditionalFormatting sqref="R1060:R1071">
    <cfRule type="cellIs" dxfId="190" priority="49" stopIfTrue="1" operator="equal">
      <formula>0</formula>
    </cfRule>
  </conditionalFormatting>
  <conditionalFormatting sqref="R1061 P1063:R1063 P1065:R1065 P1067:R1067 P1069:R1069 P1071:R1071">
    <cfRule type="cellIs" dxfId="189" priority="45" stopIfTrue="1" operator="equal">
      <formula>0</formula>
    </cfRule>
  </conditionalFormatting>
  <conditionalFormatting sqref="R1080 R1082 R1084 R1086 R1088 R1090">
    <cfRule type="cellIs" dxfId="188" priority="15" stopIfTrue="1" operator="equal">
      <formula>0</formula>
    </cfRule>
    <cfRule type="cellIs" dxfId="187" priority="16" stopIfTrue="1" operator="equal">
      <formula>0</formula>
    </cfRule>
    <cfRule type="cellIs" dxfId="186" priority="17" stopIfTrue="1" operator="equal">
      <formula>0</formula>
    </cfRule>
  </conditionalFormatting>
  <conditionalFormatting sqref="R1080:R1091">
    <cfRule type="cellIs" dxfId="185" priority="18" stopIfTrue="1" operator="equal">
      <formula>0</formula>
    </cfRule>
  </conditionalFormatting>
  <conditionalFormatting sqref="R1081 P1083:R1083 P1085:R1085 P1087:R1087 P1089:R1089 P1091:R1091">
    <cfRule type="cellIs" dxfId="184" priority="14"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0"/>
  <dimension ref="A1:Z1351"/>
  <sheetViews>
    <sheetView showGridLines="0" zoomScaleNormal="100" workbookViewId="0">
      <pane ySplit="5" topLeftCell="A575" activePane="bottomLeft" state="frozen"/>
      <selection activeCell="O831" sqref="O831"/>
      <selection pane="bottomLeft" activeCell="F582" sqref="F582"/>
    </sheetView>
  </sheetViews>
  <sheetFormatPr defaultColWidth="14.42578125" defaultRowHeight="15" customHeight="1" x14ac:dyDescent="0.2"/>
  <cols>
    <col min="1" max="1" width="6" style="8" customWidth="1"/>
    <col min="2"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19" width="9.5703125" style="8" customWidth="1"/>
    <col min="20" max="21" width="8.7109375" style="8" customWidth="1"/>
    <col min="22" max="22" width="12" style="8" customWidth="1"/>
    <col min="23" max="26" width="8.7109375" style="8" customWidth="1"/>
    <col min="27" max="16384" width="14.42578125" style="8"/>
  </cols>
  <sheetData>
    <row r="1" spans="1:26" ht="16.5" customHeight="1" x14ac:dyDescent="0.2">
      <c r="A1" s="152" t="s">
        <v>0</v>
      </c>
      <c r="B1" s="168"/>
      <c r="C1" s="153" t="s">
        <v>59</v>
      </c>
      <c r="D1" s="168"/>
      <c r="E1" s="168"/>
      <c r="F1" s="168"/>
      <c r="G1" s="168"/>
      <c r="H1" s="168"/>
      <c r="I1" s="168"/>
      <c r="J1" s="168"/>
      <c r="K1" s="168"/>
      <c r="L1" s="106"/>
      <c r="M1" s="4"/>
      <c r="N1" s="154" t="s">
        <v>2</v>
      </c>
      <c r="O1" s="168"/>
      <c r="P1" s="106"/>
      <c r="Q1" s="5" t="s">
        <v>3</v>
      </c>
      <c r="R1" s="6">
        <v>37</v>
      </c>
      <c r="S1" s="7"/>
      <c r="T1" s="7"/>
      <c r="U1" s="7"/>
      <c r="V1" s="7"/>
      <c r="W1" s="7"/>
      <c r="X1" s="7"/>
      <c r="Y1" s="7"/>
      <c r="Z1" s="7"/>
    </row>
    <row r="2" spans="1:26" ht="12" customHeight="1" x14ac:dyDescent="0.2">
      <c r="A2" s="9">
        <v>9</v>
      </c>
      <c r="B2" s="10"/>
      <c r="C2" s="108"/>
      <c r="D2" s="108"/>
      <c r="E2" s="108"/>
      <c r="F2" s="108"/>
      <c r="G2" s="108"/>
      <c r="H2" s="108"/>
      <c r="I2" s="108"/>
      <c r="J2" s="108"/>
      <c r="K2" s="108"/>
      <c r="L2" s="109"/>
      <c r="M2" s="13"/>
      <c r="N2" s="169"/>
      <c r="O2" s="108"/>
      <c r="P2" s="109"/>
      <c r="Q2" s="14" t="s">
        <v>4</v>
      </c>
      <c r="R2" s="6"/>
      <c r="S2" s="7"/>
      <c r="T2" s="7"/>
      <c r="U2" s="7"/>
      <c r="V2" s="7"/>
      <c r="W2" s="7"/>
      <c r="X2" s="7"/>
      <c r="Y2" s="7"/>
      <c r="Z2" s="7"/>
    </row>
    <row r="3" spans="1:26" ht="12.75" customHeight="1" x14ac:dyDescent="0.2">
      <c r="A3" s="100" t="s">
        <v>5</v>
      </c>
      <c r="B3" s="105"/>
      <c r="C3" s="101" t="s">
        <v>6</v>
      </c>
      <c r="D3" s="106"/>
      <c r="E3" s="100" t="s">
        <v>7</v>
      </c>
      <c r="F3" s="107"/>
      <c r="G3" s="107"/>
      <c r="H3" s="107"/>
      <c r="I3" s="107"/>
      <c r="J3" s="105"/>
      <c r="K3" s="102" t="s">
        <v>8</v>
      </c>
      <c r="L3" s="102" t="s">
        <v>9</v>
      </c>
      <c r="M3" s="15"/>
      <c r="N3" s="103" t="s">
        <v>10</v>
      </c>
      <c r="O3" s="103" t="s">
        <v>11</v>
      </c>
      <c r="P3" s="16" t="s">
        <v>12</v>
      </c>
      <c r="Q3" s="104" t="s">
        <v>13</v>
      </c>
      <c r="R3" s="17"/>
      <c r="S3" s="17"/>
      <c r="T3" s="7"/>
      <c r="U3" s="7"/>
      <c r="V3" s="7"/>
      <c r="W3" s="7"/>
      <c r="X3" s="7"/>
      <c r="Y3" s="7"/>
      <c r="Z3" s="7"/>
    </row>
    <row r="4" spans="1:26" ht="34.5" customHeight="1" x14ac:dyDescent="0.2">
      <c r="A4" s="18" t="s">
        <v>14</v>
      </c>
      <c r="B4" s="18" t="s">
        <v>15</v>
      </c>
      <c r="C4" s="108"/>
      <c r="D4" s="109"/>
      <c r="E4" s="19" t="s">
        <v>16</v>
      </c>
      <c r="F4" s="19" t="s">
        <v>17</v>
      </c>
      <c r="G4" s="19" t="s">
        <v>18</v>
      </c>
      <c r="H4" s="19" t="s">
        <v>19</v>
      </c>
      <c r="I4" s="19" t="s">
        <v>20</v>
      </c>
      <c r="J4" s="19" t="s">
        <v>21</v>
      </c>
      <c r="K4" s="110"/>
      <c r="L4" s="110"/>
      <c r="M4" s="4"/>
      <c r="N4" s="110"/>
      <c r="O4" s="110"/>
      <c r="P4" s="20" t="s">
        <v>22</v>
      </c>
      <c r="Q4" s="110"/>
      <c r="R4" s="7"/>
      <c r="S4" s="7"/>
      <c r="T4" s="7"/>
      <c r="U4" s="7"/>
      <c r="V4" s="7"/>
      <c r="W4" s="7"/>
      <c r="X4" s="7"/>
      <c r="Y4" s="7"/>
      <c r="Z4" s="7"/>
    </row>
    <row r="5" spans="1:26" ht="10.5" customHeight="1" x14ac:dyDescent="0.2">
      <c r="A5" s="21" t="s">
        <v>23</v>
      </c>
      <c r="B5" s="22" t="s">
        <v>24</v>
      </c>
      <c r="C5" s="22" t="s">
        <v>25</v>
      </c>
      <c r="D5" s="105"/>
      <c r="E5" s="21" t="s">
        <v>26</v>
      </c>
      <c r="F5" s="21" t="s">
        <v>27</v>
      </c>
      <c r="G5" s="21" t="s">
        <v>28</v>
      </c>
      <c r="H5" s="21" t="s">
        <v>29</v>
      </c>
      <c r="I5" s="21" t="s">
        <v>30</v>
      </c>
      <c r="J5" s="21" t="s">
        <v>31</v>
      </c>
      <c r="K5" s="21" t="s">
        <v>32</v>
      </c>
      <c r="L5" s="23" t="s">
        <v>33</v>
      </c>
      <c r="M5" s="24"/>
      <c r="N5" s="25" t="s">
        <v>34</v>
      </c>
      <c r="O5" s="25" t="s">
        <v>35</v>
      </c>
      <c r="P5" s="21"/>
      <c r="Q5" s="21"/>
      <c r="R5" s="26"/>
      <c r="S5" s="27"/>
      <c r="T5" s="27"/>
      <c r="U5" s="27"/>
      <c r="V5" s="27"/>
      <c r="W5" s="27"/>
      <c r="X5" s="27"/>
      <c r="Y5" s="27"/>
      <c r="Z5" s="27"/>
    </row>
    <row r="6" spans="1:26" ht="12.75" customHeight="1" x14ac:dyDescent="0.2">
      <c r="A6" s="98">
        <v>32994</v>
      </c>
      <c r="B6" s="98">
        <v>33177</v>
      </c>
      <c r="C6" s="28" t="s">
        <v>36</v>
      </c>
      <c r="D6" s="29">
        <v>0</v>
      </c>
      <c r="E6" s="30">
        <v>6674.69</v>
      </c>
      <c r="F6" s="30">
        <v>731.3</v>
      </c>
      <c r="G6" s="30">
        <v>0</v>
      </c>
      <c r="H6" s="30">
        <v>5700.66</v>
      </c>
      <c r="I6" s="30">
        <v>0</v>
      </c>
      <c r="J6" s="30">
        <v>1092.22</v>
      </c>
      <c r="K6" s="31">
        <v>13106.65</v>
      </c>
      <c r="L6" s="32">
        <v>14198.87</v>
      </c>
      <c r="M6" s="33"/>
      <c r="N6" s="30">
        <v>13106.65</v>
      </c>
      <c r="O6" s="30">
        <v>7405.99</v>
      </c>
      <c r="P6" s="30"/>
      <c r="Q6" s="30">
        <f>(N6+O6*0.18+J6)+(IF((P6-O6*0.18)&gt;0,(P6-O6*0.18),0))</f>
        <v>15531.948199999999</v>
      </c>
      <c r="R6" s="7"/>
      <c r="S6" s="7"/>
      <c r="T6" s="7"/>
      <c r="U6" s="7"/>
      <c r="V6" s="7"/>
      <c r="W6" s="7"/>
      <c r="X6" s="7"/>
      <c r="Y6" s="7"/>
      <c r="Z6" s="7"/>
    </row>
    <row r="7" spans="1:26" ht="9" customHeight="1" x14ac:dyDescent="0.2">
      <c r="A7" s="95"/>
      <c r="B7" s="95"/>
      <c r="C7" s="34" t="s">
        <v>37</v>
      </c>
      <c r="D7" s="35">
        <v>2</v>
      </c>
      <c r="E7" s="36">
        <v>12924002</v>
      </c>
      <c r="F7" s="36">
        <v>1415994</v>
      </c>
      <c r="G7" s="36">
        <v>0</v>
      </c>
      <c r="H7" s="36">
        <v>11038017</v>
      </c>
      <c r="I7" s="36">
        <v>0</v>
      </c>
      <c r="J7" s="37">
        <v>2114833</v>
      </c>
      <c r="K7" s="36">
        <v>25378013</v>
      </c>
      <c r="L7" s="38">
        <v>27492846</v>
      </c>
      <c r="M7" s="39"/>
      <c r="N7" s="36">
        <v>25378013</v>
      </c>
      <c r="O7" s="36">
        <v>14339996</v>
      </c>
      <c r="P7" s="36">
        <v>0</v>
      </c>
      <c r="Q7" s="36">
        <f>Q6*1936.27</f>
        <v>30074045.341213997</v>
      </c>
      <c r="R7" s="7"/>
      <c r="S7" s="7"/>
      <c r="T7" s="7"/>
      <c r="U7" s="7"/>
      <c r="V7" s="7"/>
      <c r="W7" s="7"/>
      <c r="X7" s="7"/>
      <c r="Y7" s="7"/>
      <c r="Z7" s="7"/>
    </row>
    <row r="8" spans="1:26" ht="12.75" customHeight="1" x14ac:dyDescent="0.2">
      <c r="A8" s="155">
        <v>32994</v>
      </c>
      <c r="B8" s="155">
        <v>33177</v>
      </c>
      <c r="C8" s="40" t="s">
        <v>36</v>
      </c>
      <c r="D8" s="41">
        <v>3</v>
      </c>
      <c r="E8" s="42">
        <v>7027.95</v>
      </c>
      <c r="F8" s="42">
        <v>768.49</v>
      </c>
      <c r="G8" s="42">
        <v>0</v>
      </c>
      <c r="H8" s="42">
        <v>5700.66</v>
      </c>
      <c r="I8" s="42">
        <v>0</v>
      </c>
      <c r="J8" s="42">
        <v>1124.76</v>
      </c>
      <c r="K8" s="43">
        <v>13497.1</v>
      </c>
      <c r="L8" s="32">
        <v>14621.86</v>
      </c>
      <c r="M8" s="33"/>
      <c r="N8" s="30">
        <v>13497.1</v>
      </c>
      <c r="O8" s="30">
        <v>7796.44</v>
      </c>
      <c r="P8" s="30"/>
      <c r="Q8" s="30">
        <f>(N8+O8*0.18+J8)+(IF((P8-O8*0.18)&gt;0,(P8-O8*0.18),0))</f>
        <v>16025.219200000001</v>
      </c>
      <c r="R8" s="7"/>
      <c r="S8" s="7"/>
      <c r="T8" s="7"/>
      <c r="U8" s="7"/>
      <c r="V8" s="7"/>
      <c r="W8" s="7"/>
      <c r="X8" s="7"/>
      <c r="Y8" s="7"/>
      <c r="Z8" s="7"/>
    </row>
    <row r="9" spans="1:26" ht="9" customHeight="1" x14ac:dyDescent="0.2">
      <c r="A9" s="95"/>
      <c r="B9" s="95"/>
      <c r="C9" s="34" t="s">
        <v>37</v>
      </c>
      <c r="D9" s="35">
        <v>4</v>
      </c>
      <c r="E9" s="36">
        <v>13608009</v>
      </c>
      <c r="F9" s="36">
        <v>1488004</v>
      </c>
      <c r="G9" s="36">
        <v>0</v>
      </c>
      <c r="H9" s="36">
        <v>11038017</v>
      </c>
      <c r="I9" s="36">
        <v>0</v>
      </c>
      <c r="J9" s="37">
        <v>2177839</v>
      </c>
      <c r="K9" s="36">
        <v>26134030</v>
      </c>
      <c r="L9" s="38">
        <v>28311869</v>
      </c>
      <c r="M9" s="39"/>
      <c r="N9" s="36">
        <v>26134030</v>
      </c>
      <c r="O9" s="36">
        <v>15096013</v>
      </c>
      <c r="P9" s="36">
        <v>0</v>
      </c>
      <c r="Q9" s="36">
        <f>Q8*1936.27</f>
        <v>31029151.180384003</v>
      </c>
      <c r="R9" s="7"/>
      <c r="S9" s="7"/>
      <c r="T9" s="7"/>
      <c r="U9" s="7"/>
      <c r="V9" s="7"/>
      <c r="W9" s="7"/>
      <c r="X9" s="7"/>
      <c r="Y9" s="7"/>
      <c r="Z9" s="7"/>
    </row>
    <row r="10" spans="1:26" ht="12.75" customHeight="1" x14ac:dyDescent="0.2">
      <c r="A10" s="95"/>
      <c r="B10" s="95"/>
      <c r="C10" s="40" t="s">
        <v>36</v>
      </c>
      <c r="D10" s="41">
        <v>5</v>
      </c>
      <c r="E10" s="42">
        <v>7387.4</v>
      </c>
      <c r="F10" s="42">
        <v>811.87</v>
      </c>
      <c r="G10" s="42">
        <v>0</v>
      </c>
      <c r="H10" s="42">
        <v>5700.66</v>
      </c>
      <c r="I10" s="42">
        <v>0</v>
      </c>
      <c r="J10" s="42">
        <v>1158.33</v>
      </c>
      <c r="K10" s="43">
        <v>13899.93</v>
      </c>
      <c r="L10" s="32">
        <v>15058.26</v>
      </c>
      <c r="M10" s="33"/>
      <c r="N10" s="30">
        <v>13899.93</v>
      </c>
      <c r="O10" s="30">
        <v>8199.27</v>
      </c>
      <c r="P10" s="30"/>
      <c r="Q10" s="30">
        <f>(N10+O10*0.18+J10)+(IF((P10-O10*0.18)&gt;0,(P10-O10*0.18),0))</f>
        <v>16534.1286</v>
      </c>
      <c r="R10" s="7"/>
      <c r="S10" s="7"/>
      <c r="T10" s="7"/>
      <c r="U10" s="7"/>
      <c r="V10" s="7"/>
      <c r="W10" s="7"/>
      <c r="X10" s="7"/>
      <c r="Y10" s="7"/>
      <c r="Z10" s="7"/>
    </row>
    <row r="11" spans="1:26" ht="9" customHeight="1" x14ac:dyDescent="0.2">
      <c r="A11" s="95"/>
      <c r="B11" s="95"/>
      <c r="C11" s="34" t="s">
        <v>37</v>
      </c>
      <c r="D11" s="35">
        <v>6</v>
      </c>
      <c r="E11" s="36">
        <v>14304001</v>
      </c>
      <c r="F11" s="36">
        <v>1572000</v>
      </c>
      <c r="G11" s="36">
        <v>0</v>
      </c>
      <c r="H11" s="36">
        <v>11038017</v>
      </c>
      <c r="I11" s="36">
        <v>0</v>
      </c>
      <c r="J11" s="37">
        <v>2242840</v>
      </c>
      <c r="K11" s="36">
        <v>26914017</v>
      </c>
      <c r="L11" s="38">
        <v>29156857</v>
      </c>
      <c r="M11" s="39"/>
      <c r="N11" s="36">
        <v>26914017</v>
      </c>
      <c r="O11" s="36">
        <v>15876001</v>
      </c>
      <c r="P11" s="36">
        <v>0</v>
      </c>
      <c r="Q11" s="36">
        <f>Q10*1936.27</f>
        <v>32014537.184322</v>
      </c>
      <c r="R11" s="7"/>
      <c r="S11" s="7"/>
      <c r="T11" s="7"/>
      <c r="U11" s="7"/>
      <c r="V11" s="7"/>
      <c r="W11" s="7"/>
      <c r="X11" s="7"/>
      <c r="Y11" s="7"/>
      <c r="Z11" s="7"/>
    </row>
    <row r="12" spans="1:26" ht="12.75" customHeight="1" x14ac:dyDescent="0.2">
      <c r="A12" s="95"/>
      <c r="B12" s="95"/>
      <c r="C12" s="40" t="s">
        <v>36</v>
      </c>
      <c r="D12" s="41">
        <v>7</v>
      </c>
      <c r="E12" s="42">
        <v>7740.66</v>
      </c>
      <c r="F12" s="42">
        <v>849.06</v>
      </c>
      <c r="G12" s="42">
        <v>0</v>
      </c>
      <c r="H12" s="42">
        <v>5700.66</v>
      </c>
      <c r="I12" s="42">
        <v>0</v>
      </c>
      <c r="J12" s="42">
        <v>1190.8699999999999</v>
      </c>
      <c r="K12" s="43">
        <v>14290.38</v>
      </c>
      <c r="L12" s="32">
        <v>15481.25</v>
      </c>
      <c r="M12" s="33"/>
      <c r="N12" s="30">
        <v>14290.38</v>
      </c>
      <c r="O12" s="30">
        <v>8589.7199999999993</v>
      </c>
      <c r="P12" s="30"/>
      <c r="Q12" s="30">
        <f>(N12+O12*0.18+J12)+(IF((P12-O12*0.18)&gt;0,(P12-O12*0.18),0))</f>
        <v>17027.399599999997</v>
      </c>
      <c r="R12" s="7"/>
      <c r="S12" s="7"/>
      <c r="T12" s="7"/>
      <c r="U12" s="7"/>
      <c r="V12" s="7"/>
      <c r="W12" s="7"/>
      <c r="X12" s="7"/>
      <c r="Y12" s="7"/>
      <c r="Z12" s="7"/>
    </row>
    <row r="13" spans="1:26" ht="9" customHeight="1" x14ac:dyDescent="0.2">
      <c r="A13" s="95"/>
      <c r="B13" s="95"/>
      <c r="C13" s="34" t="s">
        <v>37</v>
      </c>
      <c r="D13" s="35">
        <v>8</v>
      </c>
      <c r="E13" s="36">
        <v>14988008</v>
      </c>
      <c r="F13" s="36">
        <v>1644009</v>
      </c>
      <c r="G13" s="36">
        <v>0</v>
      </c>
      <c r="H13" s="36">
        <v>11038017</v>
      </c>
      <c r="I13" s="36">
        <v>0</v>
      </c>
      <c r="J13" s="37">
        <v>2305846</v>
      </c>
      <c r="K13" s="36">
        <v>27670034</v>
      </c>
      <c r="L13" s="38">
        <v>29975880</v>
      </c>
      <c r="M13" s="39"/>
      <c r="N13" s="36">
        <v>27670034</v>
      </c>
      <c r="O13" s="36">
        <v>16632017</v>
      </c>
      <c r="P13" s="36">
        <v>0</v>
      </c>
      <c r="Q13" s="36">
        <f>Q12*1936.27</f>
        <v>32969643.023491994</v>
      </c>
      <c r="R13" s="7"/>
      <c r="S13" s="7"/>
      <c r="T13" s="7"/>
      <c r="U13" s="7"/>
      <c r="V13" s="7"/>
      <c r="W13" s="7"/>
      <c r="X13" s="7"/>
      <c r="Y13" s="7"/>
      <c r="Z13" s="7"/>
    </row>
    <row r="14" spans="1:26" ht="12.75" customHeight="1" x14ac:dyDescent="0.2">
      <c r="A14" s="95"/>
      <c r="B14" s="95"/>
      <c r="C14" s="40" t="s">
        <v>36</v>
      </c>
      <c r="D14" s="41">
        <v>9</v>
      </c>
      <c r="E14" s="42">
        <v>8155.89</v>
      </c>
      <c r="F14" s="42">
        <v>892.44</v>
      </c>
      <c r="G14" s="42">
        <v>0</v>
      </c>
      <c r="H14" s="42">
        <v>5700.66</v>
      </c>
      <c r="I14" s="42">
        <v>0</v>
      </c>
      <c r="J14" s="42">
        <v>1229.08</v>
      </c>
      <c r="K14" s="43">
        <v>14748.99</v>
      </c>
      <c r="L14" s="32">
        <v>15978.07</v>
      </c>
      <c r="M14" s="33"/>
      <c r="N14" s="30">
        <v>14748.99</v>
      </c>
      <c r="O14" s="30">
        <v>9048.33</v>
      </c>
      <c r="P14" s="30"/>
      <c r="Q14" s="30">
        <f>(N14+O14*0.18+J14)+(IF((P14-O14*0.18)&gt;0,(P14-O14*0.18),0))</f>
        <v>17606.769399999997</v>
      </c>
      <c r="R14" s="7"/>
      <c r="S14" s="7"/>
      <c r="T14" s="7"/>
      <c r="U14" s="7"/>
      <c r="V14" s="7"/>
      <c r="W14" s="7"/>
      <c r="X14" s="7"/>
      <c r="Y14" s="7"/>
      <c r="Z14" s="7"/>
    </row>
    <row r="15" spans="1:26" ht="9" customHeight="1" x14ac:dyDescent="0.2">
      <c r="A15" s="95"/>
      <c r="B15" s="95"/>
      <c r="C15" s="34" t="s">
        <v>37</v>
      </c>
      <c r="D15" s="35">
        <v>10</v>
      </c>
      <c r="E15" s="36">
        <v>15792005</v>
      </c>
      <c r="F15" s="36">
        <v>1728005</v>
      </c>
      <c r="G15" s="36">
        <v>0</v>
      </c>
      <c r="H15" s="36">
        <v>11038017</v>
      </c>
      <c r="I15" s="36">
        <v>0</v>
      </c>
      <c r="J15" s="37">
        <v>2379831</v>
      </c>
      <c r="K15" s="36">
        <v>28558027</v>
      </c>
      <c r="L15" s="38">
        <v>30937858</v>
      </c>
      <c r="M15" s="39"/>
      <c r="N15" s="36">
        <v>28558027</v>
      </c>
      <c r="O15" s="36">
        <v>17520010</v>
      </c>
      <c r="P15" s="36">
        <v>0</v>
      </c>
      <c r="Q15" s="36">
        <f>Q14*1936.27</f>
        <v>34091459.386137992</v>
      </c>
      <c r="R15" s="7"/>
      <c r="S15" s="7"/>
      <c r="T15" s="7"/>
      <c r="U15" s="7"/>
      <c r="V15" s="7"/>
      <c r="W15" s="7"/>
      <c r="X15" s="7"/>
      <c r="Y15" s="7"/>
      <c r="Z15" s="7"/>
    </row>
    <row r="16" spans="1:26" ht="12.75" customHeight="1" x14ac:dyDescent="0.2">
      <c r="A16" s="95"/>
      <c r="B16" s="95"/>
      <c r="C16" s="40" t="s">
        <v>36</v>
      </c>
      <c r="D16" s="41">
        <v>11</v>
      </c>
      <c r="E16" s="42">
        <v>8527.74</v>
      </c>
      <c r="F16" s="42">
        <v>935.82</v>
      </c>
      <c r="G16" s="42">
        <v>0</v>
      </c>
      <c r="H16" s="42">
        <v>5700.66</v>
      </c>
      <c r="I16" s="42">
        <v>0</v>
      </c>
      <c r="J16" s="42">
        <v>1263.69</v>
      </c>
      <c r="K16" s="43">
        <v>15164.22</v>
      </c>
      <c r="L16" s="32">
        <v>16427.91</v>
      </c>
      <c r="M16" s="33"/>
      <c r="N16" s="30">
        <v>15164.22</v>
      </c>
      <c r="O16" s="30">
        <v>9463.56</v>
      </c>
      <c r="P16" s="30"/>
      <c r="Q16" s="30">
        <f>(N16+O16*0.18+J16)+(IF((P16-O16*0.18)&gt;0,(P16-O16*0.18),0))</f>
        <v>18131.350799999997</v>
      </c>
      <c r="R16" s="7"/>
      <c r="S16" s="7"/>
      <c r="T16" s="7"/>
      <c r="U16" s="7"/>
      <c r="V16" s="7"/>
      <c r="W16" s="7"/>
      <c r="X16" s="7"/>
      <c r="Y16" s="7"/>
      <c r="Z16" s="7"/>
    </row>
    <row r="17" spans="1:26" ht="9" customHeight="1" x14ac:dyDescent="0.2">
      <c r="A17" s="95"/>
      <c r="B17" s="95"/>
      <c r="C17" s="34" t="s">
        <v>37</v>
      </c>
      <c r="D17" s="35">
        <v>12</v>
      </c>
      <c r="E17" s="36">
        <v>16512007</v>
      </c>
      <c r="F17" s="36">
        <v>1812000</v>
      </c>
      <c r="G17" s="36">
        <v>0</v>
      </c>
      <c r="H17" s="36">
        <v>11038017</v>
      </c>
      <c r="I17" s="36">
        <v>0</v>
      </c>
      <c r="J17" s="37">
        <v>2446845</v>
      </c>
      <c r="K17" s="36">
        <v>29362024</v>
      </c>
      <c r="L17" s="38">
        <v>31808869</v>
      </c>
      <c r="M17" s="39"/>
      <c r="N17" s="36">
        <v>29362024</v>
      </c>
      <c r="O17" s="36">
        <v>18324007</v>
      </c>
      <c r="P17" s="36">
        <v>0</v>
      </c>
      <c r="Q17" s="36">
        <f>Q16*1936.27</f>
        <v>35107190.613515995</v>
      </c>
      <c r="R17" s="7"/>
      <c r="S17" s="7"/>
      <c r="T17" s="7"/>
      <c r="U17" s="7"/>
      <c r="V17" s="7"/>
      <c r="W17" s="7"/>
      <c r="X17" s="7"/>
      <c r="Y17" s="7"/>
      <c r="Z17" s="7"/>
    </row>
    <row r="18" spans="1:26" ht="12.75" customHeight="1" x14ac:dyDescent="0.2">
      <c r="A18" s="95"/>
      <c r="B18" s="95"/>
      <c r="C18" s="40" t="s">
        <v>36</v>
      </c>
      <c r="D18" s="41">
        <v>13</v>
      </c>
      <c r="E18" s="42">
        <v>8980.15</v>
      </c>
      <c r="F18" s="42">
        <v>985.4</v>
      </c>
      <c r="G18" s="42">
        <v>0</v>
      </c>
      <c r="H18" s="42">
        <v>5700.66</v>
      </c>
      <c r="I18" s="42">
        <v>0</v>
      </c>
      <c r="J18" s="42">
        <v>1305.52</v>
      </c>
      <c r="K18" s="43">
        <v>15666.21</v>
      </c>
      <c r="L18" s="32">
        <v>16971.73</v>
      </c>
      <c r="M18" s="33"/>
      <c r="N18" s="30">
        <v>15666.21</v>
      </c>
      <c r="O18" s="30">
        <v>9965.5499999999993</v>
      </c>
      <c r="P18" s="30"/>
      <c r="Q18" s="30">
        <f>(N18+O18*0.18+J18)+(IF((P18-O18*0.18)&gt;0,(P18-O18*0.18),0))</f>
        <v>18765.528999999999</v>
      </c>
      <c r="R18" s="7"/>
      <c r="S18" s="7"/>
      <c r="T18" s="7"/>
      <c r="U18" s="7"/>
      <c r="V18" s="7"/>
      <c r="W18" s="7"/>
      <c r="X18" s="7"/>
      <c r="Y18" s="7"/>
      <c r="Z18" s="7"/>
    </row>
    <row r="19" spans="1:26" ht="9" customHeight="1" x14ac:dyDescent="0.2">
      <c r="A19" s="95"/>
      <c r="B19" s="95"/>
      <c r="C19" s="34" t="s">
        <v>37</v>
      </c>
      <c r="D19" s="35">
        <v>14</v>
      </c>
      <c r="E19" s="36">
        <v>17387995</v>
      </c>
      <c r="F19" s="36">
        <v>1908000</v>
      </c>
      <c r="G19" s="36">
        <v>0</v>
      </c>
      <c r="H19" s="36">
        <v>11038017</v>
      </c>
      <c r="I19" s="36">
        <v>0</v>
      </c>
      <c r="J19" s="37">
        <v>2527839</v>
      </c>
      <c r="K19" s="36">
        <v>30334012</v>
      </c>
      <c r="L19" s="38">
        <v>32861852</v>
      </c>
      <c r="M19" s="39"/>
      <c r="N19" s="36">
        <v>30334012</v>
      </c>
      <c r="O19" s="36">
        <v>19295995</v>
      </c>
      <c r="P19" s="36">
        <v>0</v>
      </c>
      <c r="Q19" s="36">
        <f>Q18*1936.27</f>
        <v>36335130.836829998</v>
      </c>
      <c r="R19" s="7"/>
      <c r="S19" s="7"/>
      <c r="T19" s="7"/>
      <c r="U19" s="7"/>
      <c r="V19" s="7"/>
      <c r="W19" s="7"/>
      <c r="X19" s="7"/>
      <c r="Y19" s="7"/>
      <c r="Z19" s="7"/>
    </row>
    <row r="20" spans="1:26" ht="12.75" customHeight="1" x14ac:dyDescent="0.2">
      <c r="A20" s="95"/>
      <c r="B20" s="95"/>
      <c r="C20" s="40" t="s">
        <v>36</v>
      </c>
      <c r="D20" s="41">
        <v>15</v>
      </c>
      <c r="E20" s="42">
        <v>9463.56</v>
      </c>
      <c r="F20" s="42">
        <v>1034.98</v>
      </c>
      <c r="G20" s="42">
        <v>0</v>
      </c>
      <c r="H20" s="42">
        <v>5700.66</v>
      </c>
      <c r="I20" s="42">
        <v>0</v>
      </c>
      <c r="J20" s="42">
        <v>1349.93</v>
      </c>
      <c r="K20" s="43">
        <v>16199.2</v>
      </c>
      <c r="L20" s="32">
        <v>17549.13</v>
      </c>
      <c r="M20" s="33"/>
      <c r="N20" s="30">
        <v>16199.2</v>
      </c>
      <c r="O20" s="30">
        <v>10498.54</v>
      </c>
      <c r="P20" s="30"/>
      <c r="Q20" s="30">
        <f>(N20+O20*0.18+J20)+(IF((P20-O20*0.18)&gt;0,(P20-O20*0.18),0))</f>
        <v>19438.867200000001</v>
      </c>
      <c r="R20" s="7"/>
      <c r="S20" s="7"/>
      <c r="T20" s="7"/>
      <c r="U20" s="7"/>
      <c r="V20" s="7"/>
      <c r="W20" s="7"/>
      <c r="X20" s="7"/>
      <c r="Y20" s="7"/>
      <c r="Z20" s="7"/>
    </row>
    <row r="21" spans="1:26" ht="9" customHeight="1" x14ac:dyDescent="0.2">
      <c r="A21" s="95"/>
      <c r="B21" s="95"/>
      <c r="C21" s="34" t="s">
        <v>37</v>
      </c>
      <c r="D21" s="35">
        <v>16</v>
      </c>
      <c r="E21" s="36">
        <v>18324007</v>
      </c>
      <c r="F21" s="36">
        <v>2004001</v>
      </c>
      <c r="G21" s="36">
        <v>0</v>
      </c>
      <c r="H21" s="36">
        <v>11038017</v>
      </c>
      <c r="I21" s="36">
        <v>0</v>
      </c>
      <c r="J21" s="37">
        <v>2613829</v>
      </c>
      <c r="K21" s="36">
        <v>31366025</v>
      </c>
      <c r="L21" s="38">
        <v>33979854</v>
      </c>
      <c r="M21" s="39"/>
      <c r="N21" s="36">
        <v>31366025</v>
      </c>
      <c r="O21" s="36">
        <v>20328008</v>
      </c>
      <c r="P21" s="36">
        <v>0</v>
      </c>
      <c r="Q21" s="36">
        <f>Q20*1936.27</f>
        <v>37638895.393344</v>
      </c>
      <c r="R21" s="7"/>
      <c r="S21" s="7"/>
      <c r="T21" s="7"/>
      <c r="U21" s="7"/>
      <c r="V21" s="7"/>
      <c r="W21" s="7"/>
      <c r="X21" s="7"/>
      <c r="Y21" s="7"/>
      <c r="Z21" s="7"/>
    </row>
    <row r="22" spans="1:26" ht="12.75" customHeight="1" x14ac:dyDescent="0.2">
      <c r="A22" s="95"/>
      <c r="B22" s="95"/>
      <c r="C22" s="40" t="s">
        <v>36</v>
      </c>
      <c r="D22" s="41">
        <v>17</v>
      </c>
      <c r="E22" s="42">
        <v>9940.76</v>
      </c>
      <c r="F22" s="42">
        <v>1090.76</v>
      </c>
      <c r="G22" s="42">
        <v>0</v>
      </c>
      <c r="H22" s="42">
        <v>5700.66</v>
      </c>
      <c r="I22" s="42">
        <v>0</v>
      </c>
      <c r="J22" s="42">
        <v>1394.35</v>
      </c>
      <c r="K22" s="43">
        <v>16732.18</v>
      </c>
      <c r="L22" s="32">
        <v>18126.53</v>
      </c>
      <c r="M22" s="33"/>
      <c r="N22" s="30">
        <v>16732.18</v>
      </c>
      <c r="O22" s="30">
        <v>11031.52</v>
      </c>
      <c r="P22" s="30"/>
      <c r="Q22" s="30">
        <f>(N22+O22*0.18+J22)+(IF((P22-O22*0.18)&gt;0,(P22-O22*0.18),0))</f>
        <v>20112.203600000001</v>
      </c>
      <c r="R22" s="7"/>
      <c r="S22" s="7"/>
      <c r="T22" s="7"/>
      <c r="U22" s="7"/>
      <c r="V22" s="7"/>
      <c r="W22" s="7"/>
      <c r="X22" s="7"/>
      <c r="Y22" s="7"/>
      <c r="Z22" s="7"/>
    </row>
    <row r="23" spans="1:26" ht="9" customHeight="1" x14ac:dyDescent="0.2">
      <c r="A23" s="95"/>
      <c r="B23" s="95"/>
      <c r="C23" s="34" t="s">
        <v>37</v>
      </c>
      <c r="D23" s="35">
        <v>17</v>
      </c>
      <c r="E23" s="36">
        <v>19247995</v>
      </c>
      <c r="F23" s="36">
        <v>2112006</v>
      </c>
      <c r="G23" s="36">
        <v>0</v>
      </c>
      <c r="H23" s="36">
        <v>11038017</v>
      </c>
      <c r="I23" s="36">
        <v>0</v>
      </c>
      <c r="J23" s="37">
        <v>2699838</v>
      </c>
      <c r="K23" s="36">
        <v>32398018</v>
      </c>
      <c r="L23" s="38">
        <v>35097856</v>
      </c>
      <c r="M23" s="39"/>
      <c r="N23" s="36">
        <v>32398018</v>
      </c>
      <c r="O23" s="36">
        <v>21360001</v>
      </c>
      <c r="P23" s="36">
        <v>0</v>
      </c>
      <c r="Q23" s="36">
        <f>Q22*1936.27</f>
        <v>38942656.464571998</v>
      </c>
      <c r="R23" s="7"/>
      <c r="S23" s="7"/>
      <c r="T23" s="7"/>
      <c r="U23" s="7"/>
      <c r="V23" s="7"/>
      <c r="W23" s="7"/>
      <c r="X23" s="7"/>
      <c r="Y23" s="7"/>
      <c r="Z23" s="7"/>
    </row>
    <row r="24" spans="1:26" ht="12.75" customHeight="1" x14ac:dyDescent="0.2">
      <c r="A24" s="95"/>
      <c r="B24" s="95"/>
      <c r="C24" s="40" t="s">
        <v>36</v>
      </c>
      <c r="D24" s="41">
        <v>18</v>
      </c>
      <c r="E24" s="42">
        <v>10417.969999999999</v>
      </c>
      <c r="F24" s="42">
        <v>1146.53</v>
      </c>
      <c r="G24" s="42">
        <v>0</v>
      </c>
      <c r="H24" s="42">
        <v>5700.66</v>
      </c>
      <c r="I24" s="42">
        <v>0</v>
      </c>
      <c r="J24" s="42">
        <v>1438.76</v>
      </c>
      <c r="K24" s="43">
        <v>17265.16</v>
      </c>
      <c r="L24" s="32">
        <v>18703.919999999998</v>
      </c>
      <c r="M24" s="33"/>
      <c r="N24" s="30">
        <v>17265.16</v>
      </c>
      <c r="O24" s="30">
        <v>11564.5</v>
      </c>
      <c r="P24" s="30"/>
      <c r="Q24" s="30">
        <f>(N24+O24*0.18+J24)+(IF((P24-O24*0.18)&gt;0,(P24-O24*0.18),0))</f>
        <v>20785.53</v>
      </c>
      <c r="R24" s="7"/>
      <c r="S24" s="7"/>
      <c r="T24" s="7"/>
      <c r="U24" s="7"/>
      <c r="V24" s="7"/>
      <c r="W24" s="7"/>
      <c r="X24" s="7"/>
      <c r="Y24" s="7"/>
      <c r="Z24" s="7"/>
    </row>
    <row r="25" spans="1:26" ht="9" customHeight="1" x14ac:dyDescent="0.2">
      <c r="A25" s="95"/>
      <c r="B25" s="95"/>
      <c r="C25" s="34" t="s">
        <v>37</v>
      </c>
      <c r="D25" s="35">
        <v>19</v>
      </c>
      <c r="E25" s="36">
        <v>20172003</v>
      </c>
      <c r="F25" s="36">
        <v>2219992</v>
      </c>
      <c r="G25" s="36">
        <v>0</v>
      </c>
      <c r="H25" s="36">
        <v>11038017</v>
      </c>
      <c r="I25" s="36">
        <v>0</v>
      </c>
      <c r="J25" s="37">
        <v>2785828</v>
      </c>
      <c r="K25" s="36">
        <v>33430011</v>
      </c>
      <c r="L25" s="38">
        <v>36215839</v>
      </c>
      <c r="M25" s="39"/>
      <c r="N25" s="36">
        <v>33430011</v>
      </c>
      <c r="O25" s="36">
        <v>22391994</v>
      </c>
      <c r="P25" s="36">
        <v>0</v>
      </c>
      <c r="Q25" s="36">
        <f>Q24*1936.27</f>
        <v>40246398.173099995</v>
      </c>
      <c r="R25" s="7"/>
      <c r="S25" s="7"/>
      <c r="T25" s="7"/>
      <c r="U25" s="7"/>
      <c r="V25" s="7"/>
      <c r="W25" s="7"/>
      <c r="X25" s="7"/>
      <c r="Y25" s="7"/>
      <c r="Z25" s="7"/>
    </row>
    <row r="26" spans="1:26" ht="12.75" customHeight="1" x14ac:dyDescent="0.2">
      <c r="A26" s="95"/>
      <c r="B26" s="95"/>
      <c r="C26" s="40" t="s">
        <v>36</v>
      </c>
      <c r="D26" s="41">
        <v>20</v>
      </c>
      <c r="E26" s="42">
        <v>10734.04</v>
      </c>
      <c r="F26" s="42">
        <v>1177.52</v>
      </c>
      <c r="G26" s="42">
        <v>0</v>
      </c>
      <c r="H26" s="42">
        <v>5700.66</v>
      </c>
      <c r="I26" s="42">
        <v>0</v>
      </c>
      <c r="J26" s="42">
        <v>1467.69</v>
      </c>
      <c r="K26" s="43">
        <v>17612.22</v>
      </c>
      <c r="L26" s="32">
        <v>19079.91</v>
      </c>
      <c r="M26" s="33"/>
      <c r="N26" s="30">
        <v>17612.22</v>
      </c>
      <c r="O26" s="30">
        <v>11911.56</v>
      </c>
      <c r="P26" s="30"/>
      <c r="Q26" s="30">
        <f>(N26+O26*0.18+J26)+(IF((P26-O26*0.18)&gt;0,(P26-O26*0.18),0))</f>
        <v>21223.9908</v>
      </c>
      <c r="R26" s="7"/>
      <c r="S26" s="7"/>
      <c r="T26" s="7"/>
      <c r="U26" s="7"/>
      <c r="V26" s="7"/>
      <c r="W26" s="7"/>
      <c r="X26" s="7"/>
      <c r="Y26" s="7"/>
      <c r="Z26" s="7"/>
    </row>
    <row r="27" spans="1:26" ht="9" customHeight="1" x14ac:dyDescent="0.2">
      <c r="A27" s="95"/>
      <c r="B27" s="95"/>
      <c r="C27" s="34" t="s">
        <v>37</v>
      </c>
      <c r="D27" s="35">
        <v>21</v>
      </c>
      <c r="E27" s="36">
        <v>20784000</v>
      </c>
      <c r="F27" s="36">
        <v>2279997</v>
      </c>
      <c r="G27" s="36">
        <v>0</v>
      </c>
      <c r="H27" s="36">
        <v>11038017</v>
      </c>
      <c r="I27" s="36">
        <v>0</v>
      </c>
      <c r="J27" s="37">
        <v>2841844</v>
      </c>
      <c r="K27" s="36">
        <v>34102013</v>
      </c>
      <c r="L27" s="38">
        <v>36943857</v>
      </c>
      <c r="M27" s="39"/>
      <c r="N27" s="36">
        <v>34102013</v>
      </c>
      <c r="O27" s="36">
        <v>23063996</v>
      </c>
      <c r="P27" s="36">
        <v>0</v>
      </c>
      <c r="Q27" s="36">
        <f>Q26*1936.27</f>
        <v>41095376.666315995</v>
      </c>
      <c r="R27" s="7"/>
      <c r="S27" s="7"/>
      <c r="T27" s="7"/>
      <c r="U27" s="7"/>
      <c r="V27" s="7"/>
      <c r="W27" s="7"/>
      <c r="X27" s="7"/>
      <c r="Y27" s="7"/>
      <c r="Z27" s="7"/>
    </row>
    <row r="28" spans="1:26" ht="12.75" customHeight="1" x14ac:dyDescent="0.2">
      <c r="A28" s="95"/>
      <c r="B28" s="95"/>
      <c r="C28" s="40" t="s">
        <v>36</v>
      </c>
      <c r="D28" s="41">
        <v>22</v>
      </c>
      <c r="E28" s="42">
        <v>11037.72</v>
      </c>
      <c r="F28" s="42">
        <v>1214.71</v>
      </c>
      <c r="G28" s="42">
        <v>0</v>
      </c>
      <c r="H28" s="42">
        <v>5700.66</v>
      </c>
      <c r="I28" s="42">
        <v>0</v>
      </c>
      <c r="J28" s="42">
        <v>1496.09</v>
      </c>
      <c r="K28" s="43">
        <v>17953.09</v>
      </c>
      <c r="L28" s="32">
        <v>19449.18</v>
      </c>
      <c r="M28" s="33"/>
      <c r="N28" s="30">
        <v>17953.09</v>
      </c>
      <c r="O28" s="30">
        <v>12252.43</v>
      </c>
      <c r="P28" s="30"/>
      <c r="Q28" s="30">
        <f>(N28+O28*0.18+J28)+(IF((P28-O28*0.18)&gt;0,(P28-O28*0.18),0))</f>
        <v>21654.617399999999</v>
      </c>
      <c r="R28" s="7"/>
      <c r="S28" s="7"/>
      <c r="T28" s="7"/>
      <c r="U28" s="7"/>
      <c r="V28" s="7"/>
      <c r="W28" s="7"/>
      <c r="X28" s="7"/>
      <c r="Y28" s="7"/>
      <c r="Z28" s="7"/>
    </row>
    <row r="29" spans="1:26" ht="9" customHeight="1" x14ac:dyDescent="0.2">
      <c r="A29" s="95"/>
      <c r="B29" s="95"/>
      <c r="C29" s="34" t="s">
        <v>37</v>
      </c>
      <c r="D29" s="35">
        <v>23</v>
      </c>
      <c r="E29" s="36">
        <v>21372006</v>
      </c>
      <c r="F29" s="36">
        <v>2352007</v>
      </c>
      <c r="G29" s="36">
        <v>0</v>
      </c>
      <c r="H29" s="36">
        <v>11038017</v>
      </c>
      <c r="I29" s="36">
        <v>0</v>
      </c>
      <c r="J29" s="37">
        <v>2896834</v>
      </c>
      <c r="K29" s="36">
        <v>34762030</v>
      </c>
      <c r="L29" s="38">
        <v>37658864</v>
      </c>
      <c r="M29" s="39"/>
      <c r="N29" s="36">
        <v>34762030</v>
      </c>
      <c r="O29" s="36">
        <v>23724013</v>
      </c>
      <c r="P29" s="36">
        <v>0</v>
      </c>
      <c r="Q29" s="36">
        <f>Q28*1936.27</f>
        <v>41929186.033097997</v>
      </c>
      <c r="R29" s="7"/>
      <c r="S29" s="7"/>
      <c r="T29" s="7"/>
      <c r="U29" s="7"/>
      <c r="V29" s="7"/>
      <c r="W29" s="7"/>
      <c r="X29" s="7"/>
      <c r="Y29" s="7"/>
      <c r="Z29" s="7"/>
    </row>
    <row r="30" spans="1:26" ht="12.75" customHeight="1" x14ac:dyDescent="0.2">
      <c r="A30" s="95"/>
      <c r="B30" s="95"/>
      <c r="C30" s="40" t="s">
        <v>36</v>
      </c>
      <c r="D30" s="41">
        <v>24</v>
      </c>
      <c r="E30" s="42">
        <v>11347.59</v>
      </c>
      <c r="F30" s="42">
        <v>1245.69</v>
      </c>
      <c r="G30" s="42">
        <v>0</v>
      </c>
      <c r="H30" s="42">
        <v>5700.66</v>
      </c>
      <c r="I30" s="42">
        <v>0</v>
      </c>
      <c r="J30" s="42">
        <v>1524.5</v>
      </c>
      <c r="K30" s="43">
        <v>18293.939999999999</v>
      </c>
      <c r="L30" s="32">
        <v>19818.439999999999</v>
      </c>
      <c r="M30" s="33"/>
      <c r="N30" s="30">
        <v>18293.939999999999</v>
      </c>
      <c r="O30" s="30">
        <v>12593.28</v>
      </c>
      <c r="P30" s="30"/>
      <c r="Q30" s="30">
        <f>(N30+O30*0.18+J30)+(IF((P30-O30*0.18)&gt;0,(P30-O30*0.18),0))</f>
        <v>22085.2304</v>
      </c>
      <c r="R30" s="7"/>
      <c r="S30" s="7"/>
      <c r="T30" s="7"/>
      <c r="U30" s="7"/>
      <c r="V30" s="7"/>
      <c r="W30" s="7"/>
      <c r="X30" s="7"/>
      <c r="Y30" s="7"/>
      <c r="Z30" s="7"/>
    </row>
    <row r="31" spans="1:26" ht="9" customHeight="1" x14ac:dyDescent="0.2">
      <c r="A31" s="95"/>
      <c r="B31" s="95"/>
      <c r="C31" s="34" t="s">
        <v>37</v>
      </c>
      <c r="D31" s="35">
        <v>25</v>
      </c>
      <c r="E31" s="36">
        <v>21971998</v>
      </c>
      <c r="F31" s="36">
        <v>2411992</v>
      </c>
      <c r="G31" s="36">
        <v>0</v>
      </c>
      <c r="H31" s="36">
        <v>11038017</v>
      </c>
      <c r="I31" s="36">
        <v>0</v>
      </c>
      <c r="J31" s="37">
        <v>2951844</v>
      </c>
      <c r="K31" s="36">
        <v>35422007</v>
      </c>
      <c r="L31" s="38">
        <v>38373851</v>
      </c>
      <c r="M31" s="39"/>
      <c r="N31" s="36">
        <v>35422007</v>
      </c>
      <c r="O31" s="36">
        <v>24383990</v>
      </c>
      <c r="P31" s="36">
        <v>0</v>
      </c>
      <c r="Q31" s="36">
        <f>Q30*1936.27</f>
        <v>42762969.066607997</v>
      </c>
      <c r="R31" s="7"/>
      <c r="S31" s="7"/>
      <c r="T31" s="7"/>
      <c r="U31" s="7"/>
      <c r="V31" s="7"/>
      <c r="W31" s="7"/>
      <c r="X31" s="7"/>
      <c r="Y31" s="7"/>
      <c r="Z31" s="7"/>
    </row>
    <row r="32" spans="1:26" ht="12.75" customHeight="1" x14ac:dyDescent="0.2">
      <c r="A32" s="95"/>
      <c r="B32" s="95"/>
      <c r="C32" s="40" t="s">
        <v>36</v>
      </c>
      <c r="D32" s="41">
        <v>26</v>
      </c>
      <c r="E32" s="42">
        <v>11731.83</v>
      </c>
      <c r="F32" s="42">
        <v>1289.08</v>
      </c>
      <c r="G32" s="42">
        <v>0</v>
      </c>
      <c r="H32" s="42">
        <v>5700.66</v>
      </c>
      <c r="I32" s="42">
        <v>0</v>
      </c>
      <c r="J32" s="42">
        <v>1560.13</v>
      </c>
      <c r="K32" s="43">
        <v>18721.57</v>
      </c>
      <c r="L32" s="32">
        <v>20281.7</v>
      </c>
      <c r="M32" s="33"/>
      <c r="N32" s="30">
        <v>18721.57</v>
      </c>
      <c r="O32" s="30">
        <v>13020.91</v>
      </c>
      <c r="P32" s="30"/>
      <c r="Q32" s="30">
        <f>(N32+O32*0.18+J32)+(IF((P32-O32*0.18)&gt;0,(P32-O32*0.18),0))</f>
        <v>22625.463800000001</v>
      </c>
      <c r="R32" s="7"/>
      <c r="S32" s="7"/>
      <c r="T32" s="7"/>
      <c r="U32" s="7"/>
      <c r="V32" s="7"/>
      <c r="W32" s="7"/>
      <c r="X32" s="7"/>
      <c r="Y32" s="7"/>
      <c r="Z32" s="7"/>
    </row>
    <row r="33" spans="1:26" ht="9" customHeight="1" x14ac:dyDescent="0.2">
      <c r="A33" s="95"/>
      <c r="B33" s="95"/>
      <c r="C33" s="34" t="s">
        <v>37</v>
      </c>
      <c r="D33" s="35">
        <v>27</v>
      </c>
      <c r="E33" s="36">
        <v>22715990</v>
      </c>
      <c r="F33" s="36">
        <v>2496007</v>
      </c>
      <c r="G33" s="36">
        <v>0</v>
      </c>
      <c r="H33" s="36">
        <v>11038017</v>
      </c>
      <c r="I33" s="36">
        <v>0</v>
      </c>
      <c r="J33" s="37">
        <v>3020833</v>
      </c>
      <c r="K33" s="36">
        <v>36250014</v>
      </c>
      <c r="L33" s="38">
        <v>39270847</v>
      </c>
      <c r="M33" s="39"/>
      <c r="N33" s="36">
        <v>36250014</v>
      </c>
      <c r="O33" s="36">
        <v>25211997</v>
      </c>
      <c r="P33" s="36">
        <v>0</v>
      </c>
      <c r="Q33" s="36">
        <f>Q32*1936.27</f>
        <v>43809006.792026006</v>
      </c>
      <c r="R33" s="7"/>
      <c r="S33" s="7"/>
      <c r="T33" s="7"/>
      <c r="U33" s="7"/>
      <c r="V33" s="7"/>
      <c r="W33" s="7"/>
      <c r="X33" s="7"/>
      <c r="Y33" s="7"/>
      <c r="Z33" s="7"/>
    </row>
    <row r="34" spans="1:26" ht="12.75" customHeight="1" x14ac:dyDescent="0.2">
      <c r="A34" s="95"/>
      <c r="B34" s="95"/>
      <c r="C34" s="40" t="s">
        <v>36</v>
      </c>
      <c r="D34" s="41">
        <v>28</v>
      </c>
      <c r="E34" s="42">
        <v>11979.73</v>
      </c>
      <c r="F34" s="42">
        <v>1313.87</v>
      </c>
      <c r="G34" s="42">
        <v>0</v>
      </c>
      <c r="H34" s="42">
        <v>5700.66</v>
      </c>
      <c r="I34" s="42">
        <v>0</v>
      </c>
      <c r="J34" s="42">
        <v>1582.86</v>
      </c>
      <c r="K34" s="43">
        <v>18994.259999999998</v>
      </c>
      <c r="L34" s="32">
        <v>20577.12</v>
      </c>
      <c r="M34" s="33"/>
      <c r="N34" s="30">
        <v>18994.259999999998</v>
      </c>
      <c r="O34" s="30">
        <v>13293.6</v>
      </c>
      <c r="P34" s="30"/>
      <c r="Q34" s="30">
        <f>(N34+O34*0.18+J34)+(IF((P34-O34*0.18)&gt;0,(P34-O34*0.18),0))</f>
        <v>22969.968000000001</v>
      </c>
      <c r="R34" s="7"/>
      <c r="S34" s="7"/>
      <c r="T34" s="7"/>
      <c r="U34" s="7"/>
      <c r="V34" s="7"/>
      <c r="W34" s="7"/>
      <c r="X34" s="7"/>
      <c r="Y34" s="7"/>
      <c r="Z34" s="7"/>
    </row>
    <row r="35" spans="1:26" ht="9" customHeight="1" x14ac:dyDescent="0.2">
      <c r="A35" s="95"/>
      <c r="B35" s="95"/>
      <c r="C35" s="34" t="s">
        <v>37</v>
      </c>
      <c r="D35" s="35">
        <v>29</v>
      </c>
      <c r="E35" s="36">
        <v>23195992</v>
      </c>
      <c r="F35" s="36">
        <v>2544007</v>
      </c>
      <c r="G35" s="36">
        <v>0</v>
      </c>
      <c r="H35" s="36">
        <v>11038017</v>
      </c>
      <c r="I35" s="36">
        <v>0</v>
      </c>
      <c r="J35" s="37">
        <v>3064844</v>
      </c>
      <c r="K35" s="36">
        <v>36778016</v>
      </c>
      <c r="L35" s="38">
        <v>39842860</v>
      </c>
      <c r="M35" s="39"/>
      <c r="N35" s="36">
        <v>36778016</v>
      </c>
      <c r="O35" s="36">
        <v>25739999</v>
      </c>
      <c r="P35" s="36">
        <v>0</v>
      </c>
      <c r="Q35" s="36">
        <f>Q34*1936.27</f>
        <v>44476059.93936</v>
      </c>
      <c r="R35" s="7"/>
      <c r="S35" s="7"/>
      <c r="T35" s="7"/>
      <c r="U35" s="7"/>
      <c r="V35" s="7"/>
      <c r="W35" s="7"/>
      <c r="X35" s="7"/>
      <c r="Y35" s="7"/>
      <c r="Z35" s="7"/>
    </row>
    <row r="36" spans="1:26" ht="12.75" customHeight="1" x14ac:dyDescent="0.2">
      <c r="A36" s="95"/>
      <c r="B36" s="95"/>
      <c r="C36" s="40" t="s">
        <v>36</v>
      </c>
      <c r="D36" s="41">
        <v>30</v>
      </c>
      <c r="E36" s="42">
        <v>12295.81</v>
      </c>
      <c r="F36" s="42">
        <v>1351.05</v>
      </c>
      <c r="G36" s="42">
        <v>0</v>
      </c>
      <c r="H36" s="42">
        <v>5700.66</v>
      </c>
      <c r="I36" s="42">
        <v>0</v>
      </c>
      <c r="J36" s="42">
        <v>1612.29</v>
      </c>
      <c r="K36" s="43">
        <v>19347.52</v>
      </c>
      <c r="L36" s="32">
        <v>20959.810000000001</v>
      </c>
      <c r="M36" s="33"/>
      <c r="N36" s="30">
        <v>19347.52</v>
      </c>
      <c r="O36" s="30">
        <v>13646.86</v>
      </c>
      <c r="P36" s="30"/>
      <c r="Q36" s="30">
        <f>(N36+O36*0.18+J36)+(IF((P36-O36*0.18)&gt;0,(P36-O36*0.18),0))</f>
        <v>23416.2448</v>
      </c>
      <c r="R36" s="7"/>
      <c r="S36" s="7"/>
      <c r="T36" s="7"/>
      <c r="U36" s="7"/>
      <c r="V36" s="7"/>
      <c r="W36" s="7"/>
      <c r="X36" s="7"/>
      <c r="Y36" s="7"/>
      <c r="Z36" s="7"/>
    </row>
    <row r="37" spans="1:26" ht="9" customHeight="1" x14ac:dyDescent="0.2">
      <c r="A37" s="95"/>
      <c r="B37" s="95"/>
      <c r="C37" s="34" t="s">
        <v>37</v>
      </c>
      <c r="D37" s="35">
        <v>31</v>
      </c>
      <c r="E37" s="36">
        <v>23808008</v>
      </c>
      <c r="F37" s="36">
        <v>2615998</v>
      </c>
      <c r="G37" s="36">
        <v>0</v>
      </c>
      <c r="H37" s="36">
        <v>11038017</v>
      </c>
      <c r="I37" s="36">
        <v>0</v>
      </c>
      <c r="J37" s="37">
        <v>3121829</v>
      </c>
      <c r="K37" s="36">
        <v>37462023</v>
      </c>
      <c r="L37" s="38">
        <v>40583851</v>
      </c>
      <c r="M37" s="39"/>
      <c r="N37" s="36">
        <v>37462023</v>
      </c>
      <c r="O37" s="36">
        <v>26424006</v>
      </c>
      <c r="P37" s="36">
        <v>0</v>
      </c>
      <c r="Q37" s="36">
        <f>Q36*1936.27</f>
        <v>45340172.318896003</v>
      </c>
      <c r="R37" s="7"/>
      <c r="S37" s="7"/>
      <c r="T37" s="7"/>
      <c r="U37" s="7"/>
      <c r="V37" s="7"/>
      <c r="W37" s="7"/>
      <c r="X37" s="7"/>
      <c r="Y37" s="7"/>
      <c r="Z37" s="7"/>
    </row>
    <row r="38" spans="1:26" ht="12.75" customHeight="1" x14ac:dyDescent="0.2">
      <c r="A38" s="95"/>
      <c r="B38" s="95"/>
      <c r="C38" s="40" t="s">
        <v>36</v>
      </c>
      <c r="D38" s="41">
        <v>32</v>
      </c>
      <c r="E38" s="42">
        <v>12605.68</v>
      </c>
      <c r="F38" s="42">
        <v>1382.04</v>
      </c>
      <c r="G38" s="42">
        <v>0</v>
      </c>
      <c r="H38" s="42">
        <v>5700.66</v>
      </c>
      <c r="I38" s="42">
        <v>0</v>
      </c>
      <c r="J38" s="42">
        <v>1640.7</v>
      </c>
      <c r="K38" s="43">
        <v>19688.38</v>
      </c>
      <c r="L38" s="32">
        <v>21329.08</v>
      </c>
      <c r="M38" s="33"/>
      <c r="N38" s="30">
        <v>19688.38</v>
      </c>
      <c r="O38" s="30">
        <v>13987.72</v>
      </c>
      <c r="P38" s="30"/>
      <c r="Q38" s="30">
        <f>(N38+O38*0.18+J38)+(IF((P38-O38*0.18)&gt;0,(P38-O38*0.18),0))</f>
        <v>23846.869600000002</v>
      </c>
      <c r="R38" s="7"/>
      <c r="S38" s="7"/>
      <c r="T38" s="7"/>
      <c r="U38" s="7"/>
      <c r="V38" s="7"/>
      <c r="W38" s="7"/>
      <c r="X38" s="7"/>
      <c r="Y38" s="7"/>
      <c r="Z38" s="7"/>
    </row>
    <row r="39" spans="1:26" ht="9" customHeight="1" x14ac:dyDescent="0.2">
      <c r="A39" s="95"/>
      <c r="B39" s="95"/>
      <c r="C39" s="34" t="s">
        <v>37</v>
      </c>
      <c r="D39" s="35">
        <v>33</v>
      </c>
      <c r="E39" s="36">
        <v>24408000</v>
      </c>
      <c r="F39" s="36">
        <v>2676003</v>
      </c>
      <c r="G39" s="36">
        <v>0</v>
      </c>
      <c r="H39" s="36">
        <v>11038017</v>
      </c>
      <c r="I39" s="36">
        <v>0</v>
      </c>
      <c r="J39" s="37">
        <v>3176838</v>
      </c>
      <c r="K39" s="36">
        <v>38122020</v>
      </c>
      <c r="L39" s="38">
        <v>41298858</v>
      </c>
      <c r="M39" s="39"/>
      <c r="N39" s="36">
        <v>38122020</v>
      </c>
      <c r="O39" s="36">
        <v>27084003</v>
      </c>
      <c r="P39" s="36">
        <v>0</v>
      </c>
      <c r="Q39" s="36">
        <f>Q38*1936.27</f>
        <v>46173978.200392</v>
      </c>
      <c r="R39" s="7"/>
      <c r="S39" s="7"/>
      <c r="T39" s="7"/>
      <c r="U39" s="7"/>
      <c r="V39" s="7"/>
      <c r="W39" s="7"/>
      <c r="X39" s="7"/>
      <c r="Y39" s="7"/>
      <c r="Z39" s="7"/>
    </row>
    <row r="40" spans="1:26" ht="12.75" customHeight="1" x14ac:dyDescent="0.2">
      <c r="A40" s="95"/>
      <c r="B40" s="95"/>
      <c r="C40" s="40" t="s">
        <v>36</v>
      </c>
      <c r="D40" s="41">
        <v>34</v>
      </c>
      <c r="E40" s="42">
        <v>12909.36</v>
      </c>
      <c r="F40" s="42">
        <v>1419.22</v>
      </c>
      <c r="G40" s="42">
        <v>0</v>
      </c>
      <c r="H40" s="42">
        <v>5700.66</v>
      </c>
      <c r="I40" s="42">
        <v>0</v>
      </c>
      <c r="J40" s="42">
        <v>1669.1</v>
      </c>
      <c r="K40" s="43">
        <v>20029.240000000002</v>
      </c>
      <c r="L40" s="32">
        <v>21698.34</v>
      </c>
      <c r="M40" s="33"/>
      <c r="N40" s="30">
        <v>20029.240000000002</v>
      </c>
      <c r="O40" s="30">
        <v>14328.58</v>
      </c>
      <c r="P40" s="30"/>
      <c r="Q40" s="30">
        <f>(N40+O40*0.18+J40)+(IF((P40-O40*0.18)&gt;0,(P40-O40*0.18),0))</f>
        <v>24277.484400000001</v>
      </c>
      <c r="R40" s="7"/>
      <c r="S40" s="7"/>
      <c r="T40" s="7"/>
      <c r="U40" s="7"/>
      <c r="V40" s="7"/>
      <c r="W40" s="7"/>
      <c r="X40" s="7"/>
      <c r="Y40" s="7"/>
      <c r="Z40" s="7"/>
    </row>
    <row r="41" spans="1:26" ht="9" customHeight="1" x14ac:dyDescent="0.2">
      <c r="A41" s="95"/>
      <c r="B41" s="95"/>
      <c r="C41" s="34" t="s">
        <v>37</v>
      </c>
      <c r="D41" s="35">
        <v>35</v>
      </c>
      <c r="E41" s="36">
        <v>24996006</v>
      </c>
      <c r="F41" s="36">
        <v>2747993</v>
      </c>
      <c r="G41" s="36">
        <v>0</v>
      </c>
      <c r="H41" s="36">
        <v>11038017</v>
      </c>
      <c r="I41" s="36">
        <v>0</v>
      </c>
      <c r="J41" s="37">
        <v>3231828</v>
      </c>
      <c r="K41" s="36">
        <v>38782017</v>
      </c>
      <c r="L41" s="38">
        <v>42013845</v>
      </c>
      <c r="M41" s="39"/>
      <c r="N41" s="36">
        <v>38782017</v>
      </c>
      <c r="O41" s="36">
        <v>27744000</v>
      </c>
      <c r="P41" s="36">
        <v>0</v>
      </c>
      <c r="Q41" s="36">
        <f>Q40*1936.27</f>
        <v>47007764.719188005</v>
      </c>
      <c r="R41" s="7"/>
      <c r="S41" s="7"/>
      <c r="T41" s="7"/>
      <c r="U41" s="7"/>
      <c r="V41" s="7"/>
      <c r="W41" s="7"/>
      <c r="X41" s="7"/>
      <c r="Y41" s="7"/>
      <c r="Z41" s="7"/>
    </row>
    <row r="42" spans="1:26" ht="12.75" customHeight="1" x14ac:dyDescent="0.2">
      <c r="A42" s="95"/>
      <c r="B42" s="95"/>
      <c r="C42" s="40" t="s">
        <v>36</v>
      </c>
      <c r="D42" s="41">
        <v>36</v>
      </c>
      <c r="E42" s="42">
        <v>13225.43</v>
      </c>
      <c r="F42" s="42">
        <v>1450.21</v>
      </c>
      <c r="G42" s="42">
        <v>0</v>
      </c>
      <c r="H42" s="42">
        <v>5700.66</v>
      </c>
      <c r="I42" s="42">
        <v>0</v>
      </c>
      <c r="J42" s="42">
        <v>1698.03</v>
      </c>
      <c r="K42" s="43">
        <v>20376.3</v>
      </c>
      <c r="L42" s="32">
        <v>22074.33</v>
      </c>
      <c r="M42" s="33"/>
      <c r="N42" s="30">
        <v>20376.3</v>
      </c>
      <c r="O42" s="30">
        <v>14675.64</v>
      </c>
      <c r="P42" s="30"/>
      <c r="Q42" s="30">
        <f>(N42+O42*0.18+J42)+(IF((P42-O42*0.18)&gt;0,(P42-O42*0.18),0))</f>
        <v>24715.945199999998</v>
      </c>
      <c r="R42" s="7"/>
      <c r="S42" s="7"/>
      <c r="T42" s="7"/>
      <c r="U42" s="7"/>
      <c r="V42" s="7"/>
      <c r="W42" s="7"/>
      <c r="X42" s="7"/>
      <c r="Y42" s="7"/>
      <c r="Z42" s="7"/>
    </row>
    <row r="43" spans="1:26" ht="9" customHeight="1" x14ac:dyDescent="0.2">
      <c r="A43" s="95"/>
      <c r="B43" s="95"/>
      <c r="C43" s="34" t="s">
        <v>37</v>
      </c>
      <c r="D43" s="35">
        <v>37</v>
      </c>
      <c r="E43" s="36">
        <v>25608003</v>
      </c>
      <c r="F43" s="36">
        <v>2807998</v>
      </c>
      <c r="G43" s="36">
        <v>0</v>
      </c>
      <c r="H43" s="36">
        <v>11038017</v>
      </c>
      <c r="I43" s="36">
        <v>0</v>
      </c>
      <c r="J43" s="37">
        <v>3287845</v>
      </c>
      <c r="K43" s="36">
        <v>39454018</v>
      </c>
      <c r="L43" s="38">
        <v>42741863</v>
      </c>
      <c r="M43" s="39"/>
      <c r="N43" s="36">
        <v>39454018</v>
      </c>
      <c r="O43" s="36">
        <v>28416001</v>
      </c>
      <c r="P43" s="36">
        <v>0</v>
      </c>
      <c r="Q43" s="36">
        <f>Q42*1936.27</f>
        <v>47856743.212403998</v>
      </c>
      <c r="R43" s="7"/>
      <c r="S43" s="7"/>
      <c r="T43" s="7"/>
      <c r="U43" s="7"/>
      <c r="V43" s="7"/>
      <c r="W43" s="7"/>
      <c r="X43" s="7"/>
      <c r="Y43" s="7"/>
      <c r="Z43" s="7"/>
    </row>
    <row r="44" spans="1:26" ht="12.75" customHeight="1" x14ac:dyDescent="0.2">
      <c r="A44" s="95"/>
      <c r="B44" s="95"/>
      <c r="C44" s="40" t="s">
        <v>36</v>
      </c>
      <c r="D44" s="41">
        <v>38</v>
      </c>
      <c r="E44" s="42">
        <v>13535.3</v>
      </c>
      <c r="F44" s="42">
        <v>1487.4</v>
      </c>
      <c r="G44" s="42">
        <v>0</v>
      </c>
      <c r="H44" s="42">
        <v>5700.66</v>
      </c>
      <c r="I44" s="42">
        <v>0</v>
      </c>
      <c r="J44" s="42">
        <v>1726.95</v>
      </c>
      <c r="K44" s="43">
        <v>20723.36</v>
      </c>
      <c r="L44" s="32">
        <v>22450.31</v>
      </c>
      <c r="M44" s="33"/>
      <c r="N44" s="30">
        <v>20723.36</v>
      </c>
      <c r="O44" s="30">
        <v>15022.7</v>
      </c>
      <c r="P44" s="30"/>
      <c r="Q44" s="30">
        <f>(N44+O44*0.18+J44)+(IF((P44-O44*0.18)&gt;0,(P44-O44*0.18),0))</f>
        <v>25154.396000000001</v>
      </c>
      <c r="R44" s="7"/>
      <c r="S44" s="7"/>
      <c r="T44" s="7"/>
      <c r="U44" s="7"/>
      <c r="V44" s="7"/>
      <c r="W44" s="7"/>
      <c r="X44" s="7"/>
      <c r="Y44" s="7"/>
      <c r="Z44" s="7"/>
    </row>
    <row r="45" spans="1:26" ht="9" customHeight="1" x14ac:dyDescent="0.2">
      <c r="A45" s="95"/>
      <c r="B45" s="95"/>
      <c r="C45" s="34" t="s">
        <v>37</v>
      </c>
      <c r="D45" s="35">
        <v>39</v>
      </c>
      <c r="E45" s="36">
        <v>26207995</v>
      </c>
      <c r="F45" s="36">
        <v>2880008</v>
      </c>
      <c r="G45" s="36">
        <v>0</v>
      </c>
      <c r="H45" s="36">
        <v>11038017</v>
      </c>
      <c r="I45" s="36">
        <v>0</v>
      </c>
      <c r="J45" s="37">
        <v>3343841</v>
      </c>
      <c r="K45" s="36">
        <v>40126020</v>
      </c>
      <c r="L45" s="38">
        <v>43469862</v>
      </c>
      <c r="M45" s="39"/>
      <c r="N45" s="36">
        <v>40126020</v>
      </c>
      <c r="O45" s="36">
        <v>29088003</v>
      </c>
      <c r="P45" s="36">
        <v>0</v>
      </c>
      <c r="Q45" s="36">
        <f>Q44*1936.27</f>
        <v>48705702.342919998</v>
      </c>
      <c r="R45" s="7"/>
      <c r="S45" s="7"/>
      <c r="T45" s="7"/>
      <c r="U45" s="7"/>
      <c r="V45" s="7"/>
      <c r="W45" s="7"/>
      <c r="X45" s="7"/>
      <c r="Y45" s="7"/>
      <c r="Z45" s="7"/>
    </row>
    <row r="46" spans="1:26" ht="12.75" customHeight="1" x14ac:dyDescent="0.2">
      <c r="A46" s="95"/>
      <c r="B46" s="95"/>
      <c r="C46" s="40" t="s">
        <v>36</v>
      </c>
      <c r="D46" s="41">
        <v>40</v>
      </c>
      <c r="E46" s="42">
        <v>13851.37</v>
      </c>
      <c r="F46" s="42">
        <v>1518.38</v>
      </c>
      <c r="G46" s="42">
        <v>0</v>
      </c>
      <c r="H46" s="42">
        <v>5700.66</v>
      </c>
      <c r="I46" s="42">
        <v>0</v>
      </c>
      <c r="J46" s="42">
        <v>1755.87</v>
      </c>
      <c r="K46" s="43">
        <v>21070.41</v>
      </c>
      <c r="L46" s="32">
        <v>22826.28</v>
      </c>
      <c r="M46" s="33"/>
      <c r="N46" s="30">
        <v>21070.41</v>
      </c>
      <c r="O46" s="30">
        <v>15369.75</v>
      </c>
      <c r="P46" s="30"/>
      <c r="Q46" s="30">
        <f>(N46+O46*0.18+J46)+(IF((P46-O46*0.18)&gt;0,(P46-O46*0.18),0))</f>
        <v>25592.834999999999</v>
      </c>
      <c r="R46" s="7"/>
      <c r="S46" s="7"/>
      <c r="T46" s="7"/>
      <c r="U46" s="7"/>
      <c r="V46" s="7"/>
      <c r="W46" s="7"/>
      <c r="X46" s="7"/>
      <c r="Y46" s="7"/>
      <c r="Z46" s="7"/>
    </row>
    <row r="47" spans="1:26" ht="12.75" customHeight="1" x14ac:dyDescent="0.2">
      <c r="A47" s="95"/>
      <c r="B47" s="95"/>
      <c r="C47" s="115"/>
      <c r="D47" s="45"/>
      <c r="E47" s="116"/>
      <c r="F47" s="116"/>
      <c r="G47" s="116"/>
      <c r="H47" s="116"/>
      <c r="I47" s="116"/>
      <c r="J47" s="117"/>
      <c r="K47" s="118"/>
      <c r="L47" s="119"/>
      <c r="M47" s="33"/>
      <c r="N47" s="116"/>
      <c r="O47" s="116"/>
      <c r="P47" s="116"/>
      <c r="Q47" s="116"/>
      <c r="R47" s="7"/>
      <c r="S47" s="7"/>
      <c r="T47" s="7"/>
      <c r="U47" s="7"/>
      <c r="V47" s="7"/>
      <c r="W47" s="7"/>
      <c r="X47" s="7"/>
      <c r="Y47" s="7"/>
      <c r="Z47" s="7"/>
    </row>
    <row r="48" spans="1:26" ht="12.75" customHeight="1" x14ac:dyDescent="0.2">
      <c r="A48" s="95"/>
      <c r="B48" s="95"/>
      <c r="C48" s="115"/>
      <c r="D48" s="45"/>
      <c r="E48" s="116"/>
      <c r="F48" s="116"/>
      <c r="G48" s="116"/>
      <c r="H48" s="116"/>
      <c r="I48" s="116"/>
      <c r="J48" s="117"/>
      <c r="K48" s="118"/>
      <c r="L48" s="119"/>
      <c r="M48" s="33"/>
      <c r="N48" s="116"/>
      <c r="O48" s="116"/>
      <c r="P48" s="116"/>
      <c r="Q48" s="116"/>
      <c r="R48" s="7"/>
      <c r="S48" s="7"/>
      <c r="T48" s="7"/>
      <c r="U48" s="7"/>
      <c r="V48" s="7"/>
      <c r="W48" s="7"/>
      <c r="X48" s="7"/>
      <c r="Y48" s="7"/>
      <c r="Z48" s="7"/>
    </row>
    <row r="49" spans="1:26" ht="9" customHeight="1" x14ac:dyDescent="0.2">
      <c r="A49" s="110"/>
      <c r="B49" s="110"/>
      <c r="C49" s="47"/>
      <c r="D49" s="48"/>
      <c r="E49" s="46">
        <v>26819992</v>
      </c>
      <c r="F49" s="46">
        <v>2939994</v>
      </c>
      <c r="G49" s="46">
        <v>0</v>
      </c>
      <c r="H49" s="46">
        <v>11038017</v>
      </c>
      <c r="I49" s="46">
        <v>0</v>
      </c>
      <c r="J49" s="49">
        <v>3399838</v>
      </c>
      <c r="K49" s="46">
        <v>40798003</v>
      </c>
      <c r="L49" s="38">
        <v>44197841</v>
      </c>
      <c r="M49" s="39"/>
      <c r="N49" s="46">
        <v>40798003</v>
      </c>
      <c r="O49" s="46">
        <v>29759986</v>
      </c>
      <c r="P49" s="46">
        <v>0</v>
      </c>
      <c r="Q49" s="36">
        <f>Q46*1936.27</f>
        <v>49554638.62545</v>
      </c>
      <c r="R49" s="7"/>
      <c r="S49" s="7"/>
      <c r="T49" s="7"/>
      <c r="U49" s="7"/>
      <c r="V49" s="7"/>
      <c r="W49" s="7"/>
      <c r="X49" s="7"/>
      <c r="Y49" s="7"/>
      <c r="Z49" s="7"/>
    </row>
    <row r="50" spans="1:26" ht="12.75" customHeight="1" x14ac:dyDescent="0.2">
      <c r="A50" s="98">
        <v>33178</v>
      </c>
      <c r="B50" s="98">
        <v>33358</v>
      </c>
      <c r="C50" s="28" t="s">
        <v>36</v>
      </c>
      <c r="D50" s="29">
        <v>0</v>
      </c>
      <c r="E50" s="30">
        <v>6674.69</v>
      </c>
      <c r="F50" s="30">
        <v>731.3</v>
      </c>
      <c r="G50" s="30">
        <v>0</v>
      </c>
      <c r="H50" s="30">
        <v>5921.22</v>
      </c>
      <c r="I50" s="30">
        <v>0</v>
      </c>
      <c r="J50" s="30">
        <v>1110.5999999999999</v>
      </c>
      <c r="K50" s="31">
        <v>13327.21</v>
      </c>
      <c r="L50" s="32">
        <v>14437.81</v>
      </c>
      <c r="M50" s="33"/>
      <c r="N50" s="30">
        <v>13327.21</v>
      </c>
      <c r="O50" s="30">
        <v>7405.99</v>
      </c>
      <c r="P50" s="30"/>
      <c r="Q50" s="30">
        <f>(N50+O50*0.18+J50)+(IF((P50-O50*0.18)&gt;0,(P50-O50*0.18),0))</f>
        <v>15770.888199999999</v>
      </c>
      <c r="R50" s="7"/>
      <c r="S50" s="7"/>
      <c r="T50" s="7"/>
      <c r="U50" s="7"/>
      <c r="V50" s="7"/>
      <c r="W50" s="7"/>
      <c r="X50" s="7"/>
      <c r="Y50" s="7"/>
      <c r="Z50" s="7"/>
    </row>
    <row r="51" spans="1:26" ht="9" customHeight="1" x14ac:dyDescent="0.2">
      <c r="A51" s="95"/>
      <c r="B51" s="95"/>
      <c r="C51" s="34" t="s">
        <v>37</v>
      </c>
      <c r="D51" s="35">
        <v>2</v>
      </c>
      <c r="E51" s="36">
        <v>12924002</v>
      </c>
      <c r="F51" s="36">
        <v>1415994</v>
      </c>
      <c r="G51" s="36">
        <v>0</v>
      </c>
      <c r="H51" s="36">
        <v>11465081</v>
      </c>
      <c r="I51" s="36">
        <v>0</v>
      </c>
      <c r="J51" s="37">
        <v>2150421</v>
      </c>
      <c r="K51" s="36">
        <v>25805077</v>
      </c>
      <c r="L51" s="38">
        <v>27955498</v>
      </c>
      <c r="M51" s="39"/>
      <c r="N51" s="36">
        <v>25805077</v>
      </c>
      <c r="O51" s="36">
        <v>14339996</v>
      </c>
      <c r="P51" s="36">
        <v>0</v>
      </c>
      <c r="Q51" s="36">
        <f>Q50*1936.27</f>
        <v>30536697.695014</v>
      </c>
      <c r="R51" s="7"/>
      <c r="S51" s="7"/>
      <c r="T51" s="7"/>
      <c r="U51" s="7"/>
      <c r="V51" s="7"/>
      <c r="W51" s="7"/>
      <c r="X51" s="7"/>
      <c r="Y51" s="7"/>
      <c r="Z51" s="7"/>
    </row>
    <row r="52" spans="1:26" ht="12.75" customHeight="1" x14ac:dyDescent="0.2">
      <c r="A52" s="155">
        <v>33178</v>
      </c>
      <c r="B52" s="155">
        <v>33358</v>
      </c>
      <c r="C52" s="40" t="s">
        <v>36</v>
      </c>
      <c r="D52" s="41">
        <v>3</v>
      </c>
      <c r="E52" s="42">
        <v>7027.95</v>
      </c>
      <c r="F52" s="42">
        <v>768.49</v>
      </c>
      <c r="G52" s="42">
        <v>0</v>
      </c>
      <c r="H52" s="42">
        <v>5921.22</v>
      </c>
      <c r="I52" s="42">
        <v>0</v>
      </c>
      <c r="J52" s="42">
        <v>1143.1400000000001</v>
      </c>
      <c r="K52" s="43">
        <v>13717.66</v>
      </c>
      <c r="L52" s="32">
        <v>14860.8</v>
      </c>
      <c r="M52" s="33"/>
      <c r="N52" s="30">
        <v>13717.66</v>
      </c>
      <c r="O52" s="30">
        <v>7796.44</v>
      </c>
      <c r="P52" s="30"/>
      <c r="Q52" s="30">
        <f>(N52+O52*0.18+J52)+(IF((P52-O52*0.18)&gt;0,(P52-O52*0.18),0))</f>
        <v>16264.159199999998</v>
      </c>
      <c r="R52" s="7"/>
      <c r="S52" s="7"/>
      <c r="T52" s="7"/>
      <c r="U52" s="7"/>
      <c r="V52" s="7"/>
      <c r="W52" s="7"/>
      <c r="X52" s="7"/>
      <c r="Y52" s="7"/>
      <c r="Z52" s="7"/>
    </row>
    <row r="53" spans="1:26" ht="9" customHeight="1" x14ac:dyDescent="0.2">
      <c r="A53" s="95"/>
      <c r="B53" s="95"/>
      <c r="C53" s="34" t="s">
        <v>37</v>
      </c>
      <c r="D53" s="35">
        <v>4</v>
      </c>
      <c r="E53" s="36">
        <v>13608009</v>
      </c>
      <c r="F53" s="36">
        <v>1488004</v>
      </c>
      <c r="G53" s="36">
        <v>0</v>
      </c>
      <c r="H53" s="36">
        <v>11465081</v>
      </c>
      <c r="I53" s="36">
        <v>0</v>
      </c>
      <c r="J53" s="37">
        <v>2213428</v>
      </c>
      <c r="K53" s="36">
        <v>26561094</v>
      </c>
      <c r="L53" s="38">
        <v>28774521</v>
      </c>
      <c r="M53" s="39"/>
      <c r="N53" s="36">
        <v>26561094</v>
      </c>
      <c r="O53" s="36">
        <v>15096013</v>
      </c>
      <c r="P53" s="36">
        <v>0</v>
      </c>
      <c r="Q53" s="36">
        <f>Q52*1936.27</f>
        <v>31491803.534183998</v>
      </c>
      <c r="R53" s="7"/>
      <c r="S53" s="7"/>
      <c r="T53" s="7"/>
      <c r="U53" s="7"/>
      <c r="V53" s="7"/>
      <c r="W53" s="7"/>
      <c r="X53" s="7"/>
      <c r="Y53" s="7"/>
      <c r="Z53" s="7"/>
    </row>
    <row r="54" spans="1:26" ht="12.75" customHeight="1" x14ac:dyDescent="0.2">
      <c r="A54" s="95"/>
      <c r="B54" s="95"/>
      <c r="C54" s="40" t="s">
        <v>36</v>
      </c>
      <c r="D54" s="41">
        <v>5</v>
      </c>
      <c r="E54" s="42">
        <v>7387.4</v>
      </c>
      <c r="F54" s="42">
        <v>811.87</v>
      </c>
      <c r="G54" s="42">
        <v>0</v>
      </c>
      <c r="H54" s="42">
        <v>5921.22</v>
      </c>
      <c r="I54" s="42">
        <v>0</v>
      </c>
      <c r="J54" s="42">
        <v>1176.71</v>
      </c>
      <c r="K54" s="43">
        <v>14120.49</v>
      </c>
      <c r="L54" s="32">
        <v>15297.2</v>
      </c>
      <c r="M54" s="33"/>
      <c r="N54" s="30">
        <v>14120.49</v>
      </c>
      <c r="O54" s="30">
        <v>8199.27</v>
      </c>
      <c r="P54" s="30"/>
      <c r="Q54" s="30">
        <f>(N54+O54*0.18+J54)+(IF((P54-O54*0.18)&gt;0,(P54-O54*0.18),0))</f>
        <v>16773.068599999999</v>
      </c>
      <c r="R54" s="7"/>
      <c r="S54" s="7"/>
      <c r="T54" s="7"/>
      <c r="U54" s="7"/>
      <c r="V54" s="7"/>
      <c r="W54" s="7"/>
      <c r="X54" s="7"/>
      <c r="Y54" s="7"/>
      <c r="Z54" s="7"/>
    </row>
    <row r="55" spans="1:26" ht="9" customHeight="1" x14ac:dyDescent="0.2">
      <c r="A55" s="95"/>
      <c r="B55" s="95"/>
      <c r="C55" s="34" t="s">
        <v>37</v>
      </c>
      <c r="D55" s="35">
        <v>6</v>
      </c>
      <c r="E55" s="36">
        <v>14304001</v>
      </c>
      <c r="F55" s="36">
        <v>1572000</v>
      </c>
      <c r="G55" s="36">
        <v>0</v>
      </c>
      <c r="H55" s="36">
        <v>11465081</v>
      </c>
      <c r="I55" s="36">
        <v>0</v>
      </c>
      <c r="J55" s="37">
        <v>2278428</v>
      </c>
      <c r="K55" s="36">
        <v>27341081</v>
      </c>
      <c r="L55" s="38">
        <v>29619509</v>
      </c>
      <c r="M55" s="39"/>
      <c r="N55" s="36">
        <v>27341081</v>
      </c>
      <c r="O55" s="36"/>
      <c r="P55" s="36">
        <v>0</v>
      </c>
      <c r="Q55" s="36">
        <f>Q54*1936.27</f>
        <v>32477189.538121998</v>
      </c>
      <c r="R55" s="7"/>
      <c r="S55" s="7"/>
      <c r="T55" s="7"/>
      <c r="U55" s="7"/>
      <c r="V55" s="7"/>
      <c r="W55" s="7"/>
      <c r="X55" s="7"/>
      <c r="Y55" s="7"/>
      <c r="Z55" s="7"/>
    </row>
    <row r="56" spans="1:26" ht="12.75" customHeight="1" x14ac:dyDescent="0.2">
      <c r="A56" s="95"/>
      <c r="B56" s="95"/>
      <c r="C56" s="40" t="s">
        <v>36</v>
      </c>
      <c r="D56" s="41">
        <v>7</v>
      </c>
      <c r="E56" s="42">
        <v>7740.66</v>
      </c>
      <c r="F56" s="42">
        <v>849.06</v>
      </c>
      <c r="G56" s="42">
        <v>0</v>
      </c>
      <c r="H56" s="42">
        <v>5921.22</v>
      </c>
      <c r="I56" s="42">
        <v>0</v>
      </c>
      <c r="J56" s="42">
        <v>1209.25</v>
      </c>
      <c r="K56" s="43">
        <v>14510.94</v>
      </c>
      <c r="L56" s="32">
        <v>15720.19</v>
      </c>
      <c r="M56" s="33"/>
      <c r="N56" s="30">
        <v>14510.94</v>
      </c>
      <c r="O56" s="30"/>
      <c r="P56" s="30"/>
      <c r="Q56" s="30">
        <f>(N56+O56*0.18+J56)+(IF((P56-O56*0.18)&gt;0,(P56-O56*0.18),0))</f>
        <v>15720.19</v>
      </c>
      <c r="R56" s="7"/>
      <c r="S56" s="7"/>
      <c r="T56" s="7"/>
      <c r="U56" s="7"/>
      <c r="V56" s="7"/>
      <c r="W56" s="7"/>
      <c r="X56" s="7"/>
      <c r="Y56" s="7"/>
      <c r="Z56" s="7"/>
    </row>
    <row r="57" spans="1:26" ht="9" customHeight="1" x14ac:dyDescent="0.2">
      <c r="A57" s="95"/>
      <c r="B57" s="95"/>
      <c r="C57" s="34" t="s">
        <v>37</v>
      </c>
      <c r="D57" s="35">
        <v>8</v>
      </c>
      <c r="E57" s="36">
        <v>14988008</v>
      </c>
      <c r="F57" s="36">
        <v>1644009</v>
      </c>
      <c r="G57" s="36">
        <v>0</v>
      </c>
      <c r="H57" s="36">
        <v>11465081</v>
      </c>
      <c r="I57" s="36">
        <v>0</v>
      </c>
      <c r="J57" s="37">
        <v>2341434</v>
      </c>
      <c r="K57" s="36">
        <v>28097098</v>
      </c>
      <c r="L57" s="38">
        <v>30438532</v>
      </c>
      <c r="M57" s="39"/>
      <c r="N57" s="36">
        <v>28097098</v>
      </c>
      <c r="O57" s="36"/>
      <c r="P57" s="36">
        <v>0</v>
      </c>
      <c r="Q57" s="36">
        <f>Q56*1936.27</f>
        <v>30438532.291300002</v>
      </c>
      <c r="R57" s="7"/>
      <c r="S57" s="7"/>
      <c r="T57" s="7"/>
      <c r="U57" s="7"/>
      <c r="V57" s="7"/>
      <c r="W57" s="7"/>
      <c r="X57" s="7"/>
      <c r="Y57" s="7"/>
      <c r="Z57" s="7"/>
    </row>
    <row r="58" spans="1:26" ht="12.75" customHeight="1" x14ac:dyDescent="0.2">
      <c r="A58" s="95"/>
      <c r="B58" s="95"/>
      <c r="C58" s="40" t="s">
        <v>36</v>
      </c>
      <c r="D58" s="41">
        <v>9</v>
      </c>
      <c r="E58" s="42">
        <v>8155.89</v>
      </c>
      <c r="F58" s="42">
        <v>892.44</v>
      </c>
      <c r="G58" s="42">
        <v>0</v>
      </c>
      <c r="H58" s="42">
        <v>5921.22</v>
      </c>
      <c r="I58" s="42">
        <v>0</v>
      </c>
      <c r="J58" s="42">
        <v>1247.46</v>
      </c>
      <c r="K58" s="43">
        <v>14969.55</v>
      </c>
      <c r="L58" s="32">
        <v>16217.01</v>
      </c>
      <c r="M58" s="33"/>
      <c r="N58" s="30">
        <v>14969.55</v>
      </c>
      <c r="O58" s="30"/>
      <c r="P58" s="30"/>
      <c r="Q58" s="30">
        <f>(N58+O58*0.18+J58)+(IF((P58-O58*0.18)&gt;0,(P58-O58*0.18),0))</f>
        <v>16217.009999999998</v>
      </c>
      <c r="R58" s="7"/>
      <c r="S58" s="7"/>
      <c r="T58" s="7"/>
      <c r="U58" s="7"/>
      <c r="V58" s="7"/>
      <c r="W58" s="7"/>
      <c r="X58" s="7"/>
      <c r="Y58" s="7"/>
      <c r="Z58" s="7"/>
    </row>
    <row r="59" spans="1:26" ht="9" customHeight="1" x14ac:dyDescent="0.2">
      <c r="A59" s="95"/>
      <c r="B59" s="95"/>
      <c r="C59" s="34" t="s">
        <v>37</v>
      </c>
      <c r="D59" s="35">
        <v>10</v>
      </c>
      <c r="E59" s="36">
        <v>15792005</v>
      </c>
      <c r="F59" s="36">
        <v>1728005</v>
      </c>
      <c r="G59" s="36">
        <v>0</v>
      </c>
      <c r="H59" s="36">
        <v>11465081</v>
      </c>
      <c r="I59" s="36">
        <v>0</v>
      </c>
      <c r="J59" s="37">
        <v>2415419</v>
      </c>
      <c r="K59" s="36">
        <v>28985091</v>
      </c>
      <c r="L59" s="38">
        <v>31400510</v>
      </c>
      <c r="M59" s="39"/>
      <c r="N59" s="36">
        <v>28985091</v>
      </c>
      <c r="O59" s="36">
        <v>17520010</v>
      </c>
      <c r="P59" s="36">
        <v>0</v>
      </c>
      <c r="Q59" s="36">
        <f>Q58*1936.27</f>
        <v>31400509.952699997</v>
      </c>
      <c r="R59" s="7"/>
      <c r="S59" s="7"/>
      <c r="T59" s="7"/>
      <c r="U59" s="7"/>
      <c r="V59" s="7"/>
      <c r="W59" s="7"/>
      <c r="X59" s="7"/>
      <c r="Y59" s="7"/>
      <c r="Z59" s="7"/>
    </row>
    <row r="60" spans="1:26" ht="12.75" customHeight="1" x14ac:dyDescent="0.2">
      <c r="A60" s="95"/>
      <c r="B60" s="95"/>
      <c r="C60" s="40" t="s">
        <v>36</v>
      </c>
      <c r="D60" s="41">
        <v>11</v>
      </c>
      <c r="E60" s="42">
        <v>8527.74</v>
      </c>
      <c r="F60" s="42">
        <v>935.82</v>
      </c>
      <c r="G60" s="42">
        <v>0</v>
      </c>
      <c r="H60" s="42">
        <v>5921.22</v>
      </c>
      <c r="I60" s="42">
        <v>0</v>
      </c>
      <c r="J60" s="42">
        <v>1282.07</v>
      </c>
      <c r="K60" s="43">
        <v>15384.78</v>
      </c>
      <c r="L60" s="32">
        <v>16666.849999999999</v>
      </c>
      <c r="M60" s="33"/>
      <c r="N60" s="30">
        <v>15384.78</v>
      </c>
      <c r="O60" s="30">
        <v>9463.56</v>
      </c>
      <c r="P60" s="30"/>
      <c r="Q60" s="30">
        <f>(N60+O60*0.18+J60)+(IF((P60-O60*0.18)&gt;0,(P60-O60*0.18),0))</f>
        <v>18370.290799999999</v>
      </c>
      <c r="R60" s="7"/>
      <c r="S60" s="7"/>
      <c r="T60" s="7"/>
      <c r="U60" s="7"/>
      <c r="V60" s="7"/>
      <c r="W60" s="7"/>
      <c r="X60" s="7"/>
      <c r="Y60" s="7"/>
      <c r="Z60" s="7"/>
    </row>
    <row r="61" spans="1:26" ht="9" customHeight="1" x14ac:dyDescent="0.2">
      <c r="A61" s="95"/>
      <c r="B61" s="95"/>
      <c r="C61" s="34" t="s">
        <v>37</v>
      </c>
      <c r="D61" s="35">
        <v>12</v>
      </c>
      <c r="E61" s="36">
        <v>16512007</v>
      </c>
      <c r="F61" s="36">
        <v>1812000</v>
      </c>
      <c r="G61" s="36">
        <v>0</v>
      </c>
      <c r="H61" s="36">
        <v>11465081</v>
      </c>
      <c r="I61" s="36">
        <v>0</v>
      </c>
      <c r="J61" s="37">
        <v>2482434</v>
      </c>
      <c r="K61" s="36">
        <v>29789088</v>
      </c>
      <c r="L61" s="38">
        <v>32271522</v>
      </c>
      <c r="M61" s="39"/>
      <c r="N61" s="36">
        <v>29789088</v>
      </c>
      <c r="O61" s="36">
        <v>18324007</v>
      </c>
      <c r="P61" s="36">
        <v>0</v>
      </c>
      <c r="Q61" s="36">
        <f>Q60*1936.27</f>
        <v>35569842.967315994</v>
      </c>
      <c r="R61" s="7"/>
      <c r="S61" s="7"/>
      <c r="T61" s="7"/>
      <c r="U61" s="7"/>
      <c r="V61" s="7"/>
      <c r="W61" s="7"/>
      <c r="X61" s="7"/>
      <c r="Y61" s="7"/>
      <c r="Z61" s="7"/>
    </row>
    <row r="62" spans="1:26" ht="12.75" customHeight="1" x14ac:dyDescent="0.2">
      <c r="A62" s="95"/>
      <c r="B62" s="95"/>
      <c r="C62" s="40" t="s">
        <v>36</v>
      </c>
      <c r="D62" s="41">
        <v>13</v>
      </c>
      <c r="E62" s="42">
        <v>8980.15</v>
      </c>
      <c r="F62" s="42">
        <v>985.4</v>
      </c>
      <c r="G62" s="42">
        <v>0</v>
      </c>
      <c r="H62" s="42">
        <v>5921.22</v>
      </c>
      <c r="I62" s="42">
        <v>0</v>
      </c>
      <c r="J62" s="42">
        <v>1323.9</v>
      </c>
      <c r="K62" s="43">
        <v>15886.77</v>
      </c>
      <c r="L62" s="32">
        <v>17210.669999999998</v>
      </c>
      <c r="M62" s="33"/>
      <c r="N62" s="30">
        <v>15886.77</v>
      </c>
      <c r="O62" s="30">
        <v>9965.5499999999993</v>
      </c>
      <c r="P62" s="30"/>
      <c r="Q62" s="30">
        <f>(N62+O62*0.18+J62)+(IF((P62-O62*0.18)&gt;0,(P62-O62*0.18),0))</f>
        <v>19004.469000000001</v>
      </c>
      <c r="R62" s="7"/>
      <c r="S62" s="7"/>
      <c r="T62" s="7"/>
      <c r="U62" s="7"/>
      <c r="V62" s="7"/>
      <c r="W62" s="7"/>
      <c r="X62" s="7"/>
      <c r="Y62" s="7"/>
      <c r="Z62" s="7"/>
    </row>
    <row r="63" spans="1:26" ht="9" customHeight="1" x14ac:dyDescent="0.2">
      <c r="A63" s="95"/>
      <c r="B63" s="95"/>
      <c r="C63" s="34" t="s">
        <v>37</v>
      </c>
      <c r="D63" s="35">
        <v>14</v>
      </c>
      <c r="E63" s="36">
        <v>17387995</v>
      </c>
      <c r="F63" s="36">
        <v>1908000</v>
      </c>
      <c r="G63" s="36">
        <v>0</v>
      </c>
      <c r="H63" s="36">
        <v>11465081</v>
      </c>
      <c r="I63" s="36">
        <v>0</v>
      </c>
      <c r="J63" s="37">
        <v>2563428</v>
      </c>
      <c r="K63" s="36">
        <v>30761076</v>
      </c>
      <c r="L63" s="38">
        <v>33324504</v>
      </c>
      <c r="M63" s="39"/>
      <c r="N63" s="36">
        <v>30761076</v>
      </c>
      <c r="O63" s="36">
        <v>19295995</v>
      </c>
      <c r="P63" s="36">
        <v>0</v>
      </c>
      <c r="Q63" s="36">
        <f>Q62*1936.27</f>
        <v>36797783.190630004</v>
      </c>
      <c r="R63" s="7"/>
      <c r="S63" s="7"/>
      <c r="T63" s="7"/>
      <c r="U63" s="7"/>
      <c r="V63" s="7"/>
      <c r="W63" s="7"/>
      <c r="X63" s="7"/>
      <c r="Y63" s="7"/>
      <c r="Z63" s="7"/>
    </row>
    <row r="64" spans="1:26" ht="12.75" customHeight="1" x14ac:dyDescent="0.2">
      <c r="A64" s="95"/>
      <c r="B64" s="95"/>
      <c r="C64" s="40" t="s">
        <v>36</v>
      </c>
      <c r="D64" s="41">
        <v>15</v>
      </c>
      <c r="E64" s="42">
        <v>9463.56</v>
      </c>
      <c r="F64" s="42">
        <v>1034.98</v>
      </c>
      <c r="G64" s="42">
        <v>0</v>
      </c>
      <c r="H64" s="42">
        <v>5921.22</v>
      </c>
      <c r="I64" s="42">
        <v>0</v>
      </c>
      <c r="J64" s="42">
        <v>1368.31</v>
      </c>
      <c r="K64" s="43">
        <v>16419.759999999998</v>
      </c>
      <c r="L64" s="32">
        <v>17788.07</v>
      </c>
      <c r="M64" s="33"/>
      <c r="N64" s="30">
        <v>16419.759999999998</v>
      </c>
      <c r="O64" s="30">
        <v>10498.54</v>
      </c>
      <c r="P64" s="30"/>
      <c r="Q64" s="30">
        <f>(N64+O64*0.18+J64)+(IF((P64-O64*0.18)&gt;0,(P64-O64*0.18),0))</f>
        <v>19677.807199999999</v>
      </c>
      <c r="R64" s="7"/>
      <c r="S64" s="7"/>
      <c r="T64" s="7"/>
      <c r="U64" s="7"/>
      <c r="V64" s="7"/>
      <c r="W64" s="7"/>
      <c r="X64" s="7"/>
      <c r="Y64" s="7"/>
      <c r="Z64" s="7"/>
    </row>
    <row r="65" spans="1:26" ht="9" customHeight="1" x14ac:dyDescent="0.2">
      <c r="A65" s="95"/>
      <c r="B65" s="95"/>
      <c r="C65" s="34" t="s">
        <v>37</v>
      </c>
      <c r="D65" s="35">
        <v>16</v>
      </c>
      <c r="E65" s="36">
        <v>18324007</v>
      </c>
      <c r="F65" s="36">
        <v>2004001</v>
      </c>
      <c r="G65" s="36">
        <v>0</v>
      </c>
      <c r="H65" s="36">
        <v>11465081</v>
      </c>
      <c r="I65" s="36">
        <v>0</v>
      </c>
      <c r="J65" s="37">
        <v>2649418</v>
      </c>
      <c r="K65" s="36">
        <v>31793089</v>
      </c>
      <c r="L65" s="38">
        <v>34442506</v>
      </c>
      <c r="M65" s="39"/>
      <c r="N65" s="36">
        <v>31793089</v>
      </c>
      <c r="O65" s="36">
        <v>20328008</v>
      </c>
      <c r="P65" s="36">
        <v>0</v>
      </c>
      <c r="Q65" s="36">
        <f>Q64*1936.27</f>
        <v>38101547.747143999</v>
      </c>
      <c r="R65" s="7"/>
      <c r="S65" s="7"/>
      <c r="T65" s="7"/>
      <c r="U65" s="7"/>
      <c r="V65" s="7"/>
      <c r="W65" s="7"/>
      <c r="X65" s="7"/>
      <c r="Y65" s="7"/>
      <c r="Z65" s="7"/>
    </row>
    <row r="66" spans="1:26" ht="12.75" customHeight="1" x14ac:dyDescent="0.2">
      <c r="A66" s="95"/>
      <c r="B66" s="95"/>
      <c r="C66" s="40" t="s">
        <v>36</v>
      </c>
      <c r="D66" s="41">
        <v>17</v>
      </c>
      <c r="E66" s="42">
        <v>9940.76</v>
      </c>
      <c r="F66" s="42">
        <v>1090.76</v>
      </c>
      <c r="G66" s="42">
        <v>0</v>
      </c>
      <c r="H66" s="42">
        <v>5921.22</v>
      </c>
      <c r="I66" s="42">
        <v>0</v>
      </c>
      <c r="J66" s="42">
        <v>1412.73</v>
      </c>
      <c r="K66" s="43">
        <v>16952.740000000002</v>
      </c>
      <c r="L66" s="32">
        <v>18365.47</v>
      </c>
      <c r="M66" s="33"/>
      <c r="N66" s="30">
        <v>16952.740000000002</v>
      </c>
      <c r="O66" s="30">
        <v>11031.52</v>
      </c>
      <c r="P66" s="30"/>
      <c r="Q66" s="30">
        <f>(N66+O66*0.18+J66)+(IF((P66-O66*0.18)&gt;0,(P66-O66*0.18),0))</f>
        <v>20351.143599999999</v>
      </c>
      <c r="R66" s="7"/>
      <c r="S66" s="7"/>
      <c r="T66" s="7"/>
      <c r="U66" s="7"/>
      <c r="V66" s="7"/>
      <c r="W66" s="7"/>
      <c r="X66" s="7"/>
      <c r="Y66" s="7"/>
      <c r="Z66" s="7"/>
    </row>
    <row r="67" spans="1:26" ht="9" customHeight="1" x14ac:dyDescent="0.2">
      <c r="A67" s="95"/>
      <c r="B67" s="95"/>
      <c r="C67" s="34" t="s">
        <v>37</v>
      </c>
      <c r="D67" s="35">
        <v>17</v>
      </c>
      <c r="E67" s="36">
        <v>19247995</v>
      </c>
      <c r="F67" s="36">
        <v>2112006</v>
      </c>
      <c r="G67" s="36">
        <v>0</v>
      </c>
      <c r="H67" s="36">
        <v>11465081</v>
      </c>
      <c r="I67" s="36">
        <v>0</v>
      </c>
      <c r="J67" s="37">
        <v>2735427</v>
      </c>
      <c r="K67" s="36">
        <v>32825082</v>
      </c>
      <c r="L67" s="38">
        <v>35560509</v>
      </c>
      <c r="M67" s="39"/>
      <c r="N67" s="36">
        <v>32825082</v>
      </c>
      <c r="O67" s="36">
        <v>21360001</v>
      </c>
      <c r="P67" s="36">
        <v>0</v>
      </c>
      <c r="Q67" s="36">
        <f>Q66*1936.27</f>
        <v>39405308.818371996</v>
      </c>
      <c r="R67" s="7"/>
      <c r="S67" s="7"/>
      <c r="T67" s="7"/>
      <c r="U67" s="7"/>
      <c r="V67" s="7"/>
      <c r="W67" s="7"/>
      <c r="X67" s="7"/>
      <c r="Y67" s="7"/>
      <c r="Z67" s="7"/>
    </row>
    <row r="68" spans="1:26" ht="12.75" customHeight="1" x14ac:dyDescent="0.2">
      <c r="A68" s="95"/>
      <c r="B68" s="95"/>
      <c r="C68" s="40" t="s">
        <v>36</v>
      </c>
      <c r="D68" s="41">
        <v>18</v>
      </c>
      <c r="E68" s="42">
        <v>10417.969999999999</v>
      </c>
      <c r="F68" s="42">
        <v>1146.53</v>
      </c>
      <c r="G68" s="42">
        <v>0</v>
      </c>
      <c r="H68" s="42">
        <v>5921.22</v>
      </c>
      <c r="I68" s="42">
        <v>0</v>
      </c>
      <c r="J68" s="42">
        <v>1457.14</v>
      </c>
      <c r="K68" s="43">
        <v>17485.72</v>
      </c>
      <c r="L68" s="32">
        <v>18942.86</v>
      </c>
      <c r="M68" s="33"/>
      <c r="N68" s="30">
        <v>17485.72</v>
      </c>
      <c r="O68" s="30">
        <v>11564.5</v>
      </c>
      <c r="P68" s="30"/>
      <c r="Q68" s="30">
        <f>(N68+O68*0.18+J68)+(IF((P68-O68*0.18)&gt;0,(P68-O68*0.18),0))</f>
        <v>21024.47</v>
      </c>
      <c r="R68" s="7"/>
      <c r="S68" s="7"/>
      <c r="T68" s="7"/>
      <c r="U68" s="7"/>
      <c r="V68" s="7"/>
      <c r="W68" s="7"/>
      <c r="X68" s="7"/>
      <c r="Y68" s="7"/>
      <c r="Z68" s="7"/>
    </row>
    <row r="69" spans="1:26" ht="9" customHeight="1" x14ac:dyDescent="0.2">
      <c r="A69" s="95"/>
      <c r="B69" s="95"/>
      <c r="C69" s="34" t="s">
        <v>37</v>
      </c>
      <c r="D69" s="35">
        <v>19</v>
      </c>
      <c r="E69" s="36">
        <v>20172003</v>
      </c>
      <c r="F69" s="36">
        <v>2219992</v>
      </c>
      <c r="G69" s="36">
        <v>0</v>
      </c>
      <c r="H69" s="36">
        <v>11465081</v>
      </c>
      <c r="I69" s="36">
        <v>0</v>
      </c>
      <c r="J69" s="37">
        <v>2821416</v>
      </c>
      <c r="K69" s="36">
        <v>33857075</v>
      </c>
      <c r="L69" s="38">
        <v>36678492</v>
      </c>
      <c r="M69" s="39"/>
      <c r="N69" s="36">
        <v>33857075</v>
      </c>
      <c r="O69" s="36">
        <v>22391994</v>
      </c>
      <c r="P69" s="36">
        <v>0</v>
      </c>
      <c r="Q69" s="36">
        <f>Q68*1936.27</f>
        <v>40709050.526900001</v>
      </c>
      <c r="R69" s="7"/>
      <c r="S69" s="7"/>
      <c r="T69" s="7"/>
      <c r="U69" s="7"/>
      <c r="V69" s="7"/>
      <c r="W69" s="7"/>
      <c r="X69" s="7"/>
      <c r="Y69" s="7"/>
      <c r="Z69" s="7"/>
    </row>
    <row r="70" spans="1:26" ht="12.75" customHeight="1" x14ac:dyDescent="0.2">
      <c r="A70" s="95"/>
      <c r="B70" s="95"/>
      <c r="C70" s="40" t="s">
        <v>36</v>
      </c>
      <c r="D70" s="41">
        <v>20</v>
      </c>
      <c r="E70" s="42">
        <v>10734.04</v>
      </c>
      <c r="F70" s="42">
        <v>1177.52</v>
      </c>
      <c r="G70" s="42">
        <v>0</v>
      </c>
      <c r="H70" s="42">
        <v>5921.22</v>
      </c>
      <c r="I70" s="42">
        <v>0</v>
      </c>
      <c r="J70" s="42">
        <v>1486.07</v>
      </c>
      <c r="K70" s="43">
        <v>17832.78</v>
      </c>
      <c r="L70" s="32">
        <v>19318.849999999999</v>
      </c>
      <c r="M70" s="33"/>
      <c r="N70" s="30">
        <v>17832.78</v>
      </c>
      <c r="O70" s="30">
        <v>11911.56</v>
      </c>
      <c r="P70" s="30"/>
      <c r="Q70" s="30">
        <f>(N70+O70*0.18+J70)+(IF((P70-O70*0.18)&gt;0,(P70-O70*0.18),0))</f>
        <v>21462.930799999998</v>
      </c>
      <c r="R70" s="7"/>
      <c r="S70" s="7"/>
      <c r="T70" s="7"/>
      <c r="U70" s="7"/>
      <c r="V70" s="7"/>
      <c r="W70" s="7"/>
      <c r="X70" s="7"/>
      <c r="Y70" s="7"/>
      <c r="Z70" s="7"/>
    </row>
    <row r="71" spans="1:26" ht="9" customHeight="1" x14ac:dyDescent="0.2">
      <c r="A71" s="95"/>
      <c r="B71" s="95"/>
      <c r="C71" s="34" t="s">
        <v>37</v>
      </c>
      <c r="D71" s="35">
        <v>21</v>
      </c>
      <c r="E71" s="36">
        <v>20784000</v>
      </c>
      <c r="F71" s="36">
        <v>2279997</v>
      </c>
      <c r="G71" s="36">
        <v>0</v>
      </c>
      <c r="H71" s="36">
        <v>11465081</v>
      </c>
      <c r="I71" s="36">
        <v>0</v>
      </c>
      <c r="J71" s="37">
        <v>2877433</v>
      </c>
      <c r="K71" s="36">
        <v>34529077</v>
      </c>
      <c r="L71" s="38">
        <v>37406510</v>
      </c>
      <c r="M71" s="39"/>
      <c r="N71" s="36">
        <v>34529077</v>
      </c>
      <c r="O71" s="36">
        <v>23063996</v>
      </c>
      <c r="P71" s="36">
        <v>0</v>
      </c>
      <c r="Q71" s="36">
        <f>Q70*1936.27</f>
        <v>41558029.020115994</v>
      </c>
      <c r="R71" s="7"/>
      <c r="S71" s="7"/>
      <c r="T71" s="7"/>
      <c r="U71" s="7"/>
      <c r="V71" s="7"/>
      <c r="W71" s="7"/>
      <c r="X71" s="7"/>
      <c r="Y71" s="7"/>
      <c r="Z71" s="7"/>
    </row>
    <row r="72" spans="1:26" ht="12.75" customHeight="1" x14ac:dyDescent="0.2">
      <c r="A72" s="95"/>
      <c r="B72" s="95"/>
      <c r="C72" s="40" t="s">
        <v>36</v>
      </c>
      <c r="D72" s="41">
        <v>22</v>
      </c>
      <c r="E72" s="42">
        <v>11037.72</v>
      </c>
      <c r="F72" s="42">
        <v>1214.71</v>
      </c>
      <c r="G72" s="42">
        <v>0</v>
      </c>
      <c r="H72" s="42">
        <v>5921.22</v>
      </c>
      <c r="I72" s="42">
        <v>0</v>
      </c>
      <c r="J72" s="42">
        <v>1514.47</v>
      </c>
      <c r="K72" s="43">
        <v>18173.650000000001</v>
      </c>
      <c r="L72" s="32">
        <v>19688.12</v>
      </c>
      <c r="M72" s="33"/>
      <c r="N72" s="30">
        <v>18173.650000000001</v>
      </c>
      <c r="O72" s="30">
        <v>12252.43</v>
      </c>
      <c r="P72" s="30"/>
      <c r="Q72" s="30">
        <f>(N72+O72*0.18+J72)+(IF((P72-O72*0.18)&gt;0,(P72-O72*0.18),0))</f>
        <v>21893.557400000002</v>
      </c>
      <c r="R72" s="7"/>
      <c r="S72" s="7"/>
      <c r="T72" s="7"/>
      <c r="U72" s="7"/>
      <c r="V72" s="7"/>
      <c r="W72" s="7"/>
      <c r="X72" s="7"/>
      <c r="Y72" s="7"/>
      <c r="Z72" s="7"/>
    </row>
    <row r="73" spans="1:26" ht="9" customHeight="1" x14ac:dyDescent="0.2">
      <c r="A73" s="95"/>
      <c r="B73" s="95"/>
      <c r="C73" s="34" t="s">
        <v>37</v>
      </c>
      <c r="D73" s="35">
        <v>23</v>
      </c>
      <c r="E73" s="36">
        <v>21372006</v>
      </c>
      <c r="F73" s="36">
        <v>2352007</v>
      </c>
      <c r="G73" s="36">
        <v>0</v>
      </c>
      <c r="H73" s="36">
        <v>11465081</v>
      </c>
      <c r="I73" s="36">
        <v>0</v>
      </c>
      <c r="J73" s="37">
        <v>2932423</v>
      </c>
      <c r="K73" s="36">
        <v>35189093</v>
      </c>
      <c r="L73" s="38">
        <v>38121516</v>
      </c>
      <c r="M73" s="39"/>
      <c r="N73" s="36">
        <v>35189093</v>
      </c>
      <c r="O73" s="36">
        <v>23724013</v>
      </c>
      <c r="P73" s="36">
        <v>0</v>
      </c>
      <c r="Q73" s="36">
        <f>Q72*1936.27</f>
        <v>42391838.386898004</v>
      </c>
      <c r="R73" s="7"/>
      <c r="S73" s="7"/>
      <c r="T73" s="7"/>
      <c r="U73" s="7"/>
      <c r="V73" s="7"/>
      <c r="W73" s="7"/>
      <c r="X73" s="7"/>
      <c r="Y73" s="7"/>
      <c r="Z73" s="7"/>
    </row>
    <row r="74" spans="1:26" ht="12.75" customHeight="1" x14ac:dyDescent="0.2">
      <c r="A74" s="95"/>
      <c r="B74" s="95"/>
      <c r="C74" s="40" t="s">
        <v>36</v>
      </c>
      <c r="D74" s="41">
        <v>24</v>
      </c>
      <c r="E74" s="42">
        <v>11347.59</v>
      </c>
      <c r="F74" s="42">
        <v>1245.69</v>
      </c>
      <c r="G74" s="42">
        <v>0</v>
      </c>
      <c r="H74" s="42">
        <v>5921.22</v>
      </c>
      <c r="I74" s="42">
        <v>0</v>
      </c>
      <c r="J74" s="42">
        <v>1542.88</v>
      </c>
      <c r="K74" s="43">
        <v>18514.5</v>
      </c>
      <c r="L74" s="32">
        <v>20057.38</v>
      </c>
      <c r="M74" s="33"/>
      <c r="N74" s="30">
        <v>18514.5</v>
      </c>
      <c r="O74" s="30">
        <v>12593.28</v>
      </c>
      <c r="P74" s="30"/>
      <c r="Q74" s="30">
        <f>(N74+O74*0.18+J74)+(IF((P74-O74*0.18)&gt;0,(P74-O74*0.18),0))</f>
        <v>22324.170399999999</v>
      </c>
      <c r="R74" s="7"/>
      <c r="S74" s="7"/>
      <c r="T74" s="7"/>
      <c r="U74" s="7"/>
      <c r="V74" s="7"/>
      <c r="W74" s="7"/>
      <c r="X74" s="7"/>
      <c r="Y74" s="7"/>
      <c r="Z74" s="7"/>
    </row>
    <row r="75" spans="1:26" ht="9" customHeight="1" x14ac:dyDescent="0.2">
      <c r="A75" s="95"/>
      <c r="B75" s="95"/>
      <c r="C75" s="34" t="s">
        <v>37</v>
      </c>
      <c r="D75" s="35">
        <v>25</v>
      </c>
      <c r="E75" s="36">
        <v>21971998</v>
      </c>
      <c r="F75" s="36">
        <v>2411992</v>
      </c>
      <c r="G75" s="36">
        <v>0</v>
      </c>
      <c r="H75" s="36">
        <v>11465081</v>
      </c>
      <c r="I75" s="36">
        <v>0</v>
      </c>
      <c r="J75" s="37">
        <v>2987432</v>
      </c>
      <c r="K75" s="36">
        <v>35849071</v>
      </c>
      <c r="L75" s="38">
        <v>38836503</v>
      </c>
      <c r="M75" s="39"/>
      <c r="N75" s="36">
        <v>35849071</v>
      </c>
      <c r="O75" s="36">
        <v>24383990</v>
      </c>
      <c r="P75" s="36">
        <v>0</v>
      </c>
      <c r="Q75" s="36">
        <f>Q74*1936.27</f>
        <v>43225621.420407996</v>
      </c>
      <c r="R75" s="7"/>
      <c r="S75" s="7"/>
      <c r="T75" s="7"/>
      <c r="U75" s="7"/>
      <c r="V75" s="7"/>
      <c r="W75" s="7"/>
      <c r="X75" s="7"/>
      <c r="Y75" s="7"/>
      <c r="Z75" s="7"/>
    </row>
    <row r="76" spans="1:26" ht="12.75" customHeight="1" x14ac:dyDescent="0.2">
      <c r="A76" s="95"/>
      <c r="B76" s="95"/>
      <c r="C76" s="40" t="s">
        <v>36</v>
      </c>
      <c r="D76" s="41">
        <v>26</v>
      </c>
      <c r="E76" s="42">
        <v>11731.83</v>
      </c>
      <c r="F76" s="42">
        <v>1289.08</v>
      </c>
      <c r="G76" s="42">
        <v>0</v>
      </c>
      <c r="H76" s="42">
        <v>5921.22</v>
      </c>
      <c r="I76" s="42">
        <v>0</v>
      </c>
      <c r="J76" s="42">
        <v>1578.51</v>
      </c>
      <c r="K76" s="43">
        <v>18942.13</v>
      </c>
      <c r="L76" s="32">
        <v>20520.64</v>
      </c>
      <c r="M76" s="33"/>
      <c r="N76" s="30">
        <v>18942.13</v>
      </c>
      <c r="O76" s="30">
        <v>13020.91</v>
      </c>
      <c r="P76" s="30"/>
      <c r="Q76" s="30">
        <f>(N76+O76*0.18+J76)+(IF((P76-O76*0.18)&gt;0,(P76-O76*0.18),0))</f>
        <v>22864.4038</v>
      </c>
      <c r="R76" s="7"/>
      <c r="S76" s="7"/>
      <c r="T76" s="7"/>
      <c r="U76" s="7"/>
      <c r="V76" s="7"/>
      <c r="W76" s="7"/>
      <c r="X76" s="7"/>
      <c r="Y76" s="7"/>
      <c r="Z76" s="7"/>
    </row>
    <row r="77" spans="1:26" ht="9" customHeight="1" x14ac:dyDescent="0.2">
      <c r="A77" s="95"/>
      <c r="B77" s="95"/>
      <c r="C77" s="34" t="s">
        <v>37</v>
      </c>
      <c r="D77" s="35">
        <v>27</v>
      </c>
      <c r="E77" s="36">
        <v>22715990</v>
      </c>
      <c r="F77" s="36">
        <v>2496007</v>
      </c>
      <c r="G77" s="36">
        <v>0</v>
      </c>
      <c r="H77" s="36">
        <v>11465081</v>
      </c>
      <c r="I77" s="36">
        <v>0</v>
      </c>
      <c r="J77" s="37">
        <v>3056422</v>
      </c>
      <c r="K77" s="36">
        <v>36677078</v>
      </c>
      <c r="L77" s="38">
        <v>39733500</v>
      </c>
      <c r="M77" s="39"/>
      <c r="N77" s="36">
        <v>36677078</v>
      </c>
      <c r="O77" s="36">
        <v>25211997</v>
      </c>
      <c r="P77" s="36">
        <v>0</v>
      </c>
      <c r="Q77" s="36">
        <f>Q76*1936.27</f>
        <v>44271659.145825997</v>
      </c>
      <c r="R77" s="7"/>
      <c r="S77" s="7"/>
      <c r="T77" s="7"/>
      <c r="U77" s="7"/>
      <c r="V77" s="7"/>
      <c r="W77" s="7"/>
      <c r="X77" s="7"/>
      <c r="Y77" s="7"/>
      <c r="Z77" s="7"/>
    </row>
    <row r="78" spans="1:26" ht="12.75" customHeight="1" x14ac:dyDescent="0.2">
      <c r="A78" s="95"/>
      <c r="B78" s="95"/>
      <c r="C78" s="40" t="s">
        <v>36</v>
      </c>
      <c r="D78" s="41">
        <v>28</v>
      </c>
      <c r="E78" s="42">
        <v>11979.73</v>
      </c>
      <c r="F78" s="42">
        <v>1313.87</v>
      </c>
      <c r="G78" s="42">
        <v>0</v>
      </c>
      <c r="H78" s="42">
        <v>5921.22</v>
      </c>
      <c r="I78" s="42">
        <v>0</v>
      </c>
      <c r="J78" s="42">
        <v>1601.24</v>
      </c>
      <c r="K78" s="43">
        <v>19214.82</v>
      </c>
      <c r="L78" s="32">
        <v>20816.060000000001</v>
      </c>
      <c r="M78" s="33"/>
      <c r="N78" s="30">
        <v>19214.82</v>
      </c>
      <c r="O78" s="30">
        <v>13293.6</v>
      </c>
      <c r="P78" s="30"/>
      <c r="Q78" s="30">
        <f>(N78+O78*0.18+J78)+(IF((P78-O78*0.18)&gt;0,(P78-O78*0.18),0))</f>
        <v>23208.907999999999</v>
      </c>
      <c r="R78" s="7"/>
      <c r="S78" s="7"/>
      <c r="T78" s="7"/>
      <c r="U78" s="7"/>
      <c r="V78" s="7"/>
      <c r="W78" s="7"/>
      <c r="X78" s="7"/>
      <c r="Y78" s="7"/>
      <c r="Z78" s="7"/>
    </row>
    <row r="79" spans="1:26" ht="9" customHeight="1" x14ac:dyDescent="0.2">
      <c r="A79" s="95"/>
      <c r="B79" s="95"/>
      <c r="C79" s="34" t="s">
        <v>37</v>
      </c>
      <c r="D79" s="35">
        <v>29</v>
      </c>
      <c r="E79" s="36">
        <v>23195992</v>
      </c>
      <c r="F79" s="36">
        <v>2544007</v>
      </c>
      <c r="G79" s="36">
        <v>0</v>
      </c>
      <c r="H79" s="36">
        <v>11465081</v>
      </c>
      <c r="I79" s="36">
        <v>0</v>
      </c>
      <c r="J79" s="37">
        <v>3100433</v>
      </c>
      <c r="K79" s="36">
        <v>37205080</v>
      </c>
      <c r="L79" s="38">
        <v>40305512</v>
      </c>
      <c r="M79" s="39"/>
      <c r="N79" s="36">
        <v>37205080</v>
      </c>
      <c r="O79" s="36">
        <v>25739999</v>
      </c>
      <c r="P79" s="36">
        <v>0</v>
      </c>
      <c r="Q79" s="36">
        <f>Q78*1936.27</f>
        <v>44938712.293159999</v>
      </c>
      <c r="R79" s="7"/>
      <c r="S79" s="7"/>
      <c r="T79" s="7"/>
      <c r="U79" s="7"/>
      <c r="V79" s="7"/>
      <c r="W79" s="7"/>
      <c r="X79" s="7"/>
      <c r="Y79" s="7"/>
      <c r="Z79" s="7"/>
    </row>
    <row r="80" spans="1:26" ht="12.75" customHeight="1" x14ac:dyDescent="0.2">
      <c r="A80" s="95"/>
      <c r="B80" s="95"/>
      <c r="C80" s="40" t="s">
        <v>36</v>
      </c>
      <c r="D80" s="41">
        <v>30</v>
      </c>
      <c r="E80" s="42">
        <v>12295.81</v>
      </c>
      <c r="F80" s="42">
        <v>1351.05</v>
      </c>
      <c r="G80" s="42">
        <v>0</v>
      </c>
      <c r="H80" s="42">
        <v>5921.22</v>
      </c>
      <c r="I80" s="42">
        <v>0</v>
      </c>
      <c r="J80" s="42">
        <v>1630.67</v>
      </c>
      <c r="K80" s="43">
        <v>19568.080000000002</v>
      </c>
      <c r="L80" s="32">
        <v>21198.75</v>
      </c>
      <c r="M80" s="33"/>
      <c r="N80" s="30">
        <v>19568.080000000002</v>
      </c>
      <c r="O80" s="30">
        <v>13646.86</v>
      </c>
      <c r="P80" s="30"/>
      <c r="Q80" s="30">
        <f>(N80+O80*0.18+J80)+(IF((P80-O80*0.18)&gt;0,(P80-O80*0.18),0))</f>
        <v>23655.184800000003</v>
      </c>
      <c r="R80" s="7"/>
      <c r="S80" s="7"/>
      <c r="T80" s="7"/>
      <c r="U80" s="7"/>
      <c r="V80" s="7"/>
      <c r="W80" s="7"/>
      <c r="X80" s="7"/>
      <c r="Y80" s="7"/>
      <c r="Z80" s="7"/>
    </row>
    <row r="81" spans="1:26" ht="9" customHeight="1" x14ac:dyDescent="0.2">
      <c r="A81" s="95"/>
      <c r="B81" s="95"/>
      <c r="C81" s="34" t="s">
        <v>37</v>
      </c>
      <c r="D81" s="35">
        <v>31</v>
      </c>
      <c r="E81" s="36">
        <v>23808008</v>
      </c>
      <c r="F81" s="36">
        <v>2615998</v>
      </c>
      <c r="G81" s="36">
        <v>0</v>
      </c>
      <c r="H81" s="36">
        <v>11465081</v>
      </c>
      <c r="I81" s="36">
        <v>0</v>
      </c>
      <c r="J81" s="37">
        <v>3157417</v>
      </c>
      <c r="K81" s="36">
        <v>37889086</v>
      </c>
      <c r="L81" s="38">
        <v>41046504</v>
      </c>
      <c r="M81" s="39"/>
      <c r="N81" s="36">
        <v>37889086</v>
      </c>
      <c r="O81" s="36">
        <v>26424006</v>
      </c>
      <c r="P81" s="36">
        <v>0</v>
      </c>
      <c r="Q81" s="36">
        <f>Q80*1936.27</f>
        <v>45802824.672696002</v>
      </c>
      <c r="R81" s="7"/>
      <c r="S81" s="7"/>
      <c r="T81" s="7"/>
      <c r="U81" s="7"/>
      <c r="V81" s="7"/>
      <c r="W81" s="7"/>
      <c r="X81" s="7"/>
      <c r="Y81" s="7"/>
      <c r="Z81" s="7"/>
    </row>
    <row r="82" spans="1:26" ht="12.75" customHeight="1" x14ac:dyDescent="0.2">
      <c r="A82" s="95"/>
      <c r="B82" s="95"/>
      <c r="C82" s="40" t="s">
        <v>36</v>
      </c>
      <c r="D82" s="41">
        <v>32</v>
      </c>
      <c r="E82" s="42">
        <v>12605.68</v>
      </c>
      <c r="F82" s="42">
        <v>1382.04</v>
      </c>
      <c r="G82" s="42">
        <v>0</v>
      </c>
      <c r="H82" s="42">
        <v>5921.22</v>
      </c>
      <c r="I82" s="42">
        <v>0</v>
      </c>
      <c r="J82" s="42">
        <v>1659.08</v>
      </c>
      <c r="K82" s="43">
        <v>19908.939999999999</v>
      </c>
      <c r="L82" s="32">
        <v>21568.02</v>
      </c>
      <c r="M82" s="33"/>
      <c r="N82" s="30">
        <v>19908.939999999999</v>
      </c>
      <c r="O82" s="30">
        <v>13987.72</v>
      </c>
      <c r="P82" s="30"/>
      <c r="Q82" s="30">
        <f>(N82+O82*0.18+J82)+(IF((P82-O82*0.18)&gt;0,(P82-O82*0.18),0))</f>
        <v>24085.809600000001</v>
      </c>
      <c r="R82" s="7"/>
      <c r="S82" s="7"/>
      <c r="T82" s="7"/>
      <c r="U82" s="7"/>
      <c r="V82" s="7"/>
      <c r="W82" s="7"/>
      <c r="X82" s="7"/>
      <c r="Y82" s="7"/>
      <c r="Z82" s="7"/>
    </row>
    <row r="83" spans="1:26" ht="9" customHeight="1" x14ac:dyDescent="0.2">
      <c r="A83" s="95"/>
      <c r="B83" s="95"/>
      <c r="C83" s="34" t="s">
        <v>37</v>
      </c>
      <c r="D83" s="35">
        <v>33</v>
      </c>
      <c r="E83" s="36">
        <v>24408000</v>
      </c>
      <c r="F83" s="36">
        <v>2676003</v>
      </c>
      <c r="G83" s="36">
        <v>0</v>
      </c>
      <c r="H83" s="36">
        <v>11465081</v>
      </c>
      <c r="I83" s="36">
        <v>0</v>
      </c>
      <c r="J83" s="37">
        <v>3212427</v>
      </c>
      <c r="K83" s="36">
        <v>38549083</v>
      </c>
      <c r="L83" s="38">
        <v>41761510</v>
      </c>
      <c r="M83" s="39"/>
      <c r="N83" s="36">
        <v>38549083</v>
      </c>
      <c r="O83" s="36">
        <v>27084003</v>
      </c>
      <c r="P83" s="36">
        <v>0</v>
      </c>
      <c r="Q83" s="36">
        <f>Q82*1936.27</f>
        <v>46636630.554191999</v>
      </c>
      <c r="R83" s="7"/>
      <c r="S83" s="7"/>
      <c r="T83" s="7"/>
      <c r="U83" s="7"/>
      <c r="V83" s="7"/>
      <c r="W83" s="7"/>
      <c r="X83" s="7"/>
      <c r="Y83" s="7"/>
      <c r="Z83" s="7"/>
    </row>
    <row r="84" spans="1:26" ht="12.75" customHeight="1" x14ac:dyDescent="0.2">
      <c r="A84" s="95"/>
      <c r="B84" s="95"/>
      <c r="C84" s="40" t="s">
        <v>36</v>
      </c>
      <c r="D84" s="41">
        <v>34</v>
      </c>
      <c r="E84" s="42">
        <v>12909.36</v>
      </c>
      <c r="F84" s="42">
        <v>1419.22</v>
      </c>
      <c r="G84" s="42">
        <v>0</v>
      </c>
      <c r="H84" s="42">
        <v>5921.22</v>
      </c>
      <c r="I84" s="42">
        <v>0</v>
      </c>
      <c r="J84" s="42">
        <v>1687.48</v>
      </c>
      <c r="K84" s="43">
        <v>20249.8</v>
      </c>
      <c r="L84" s="32">
        <v>21937.279999999999</v>
      </c>
      <c r="M84" s="33"/>
      <c r="N84" s="30">
        <v>20249.8</v>
      </c>
      <c r="O84" s="30">
        <v>14328.58</v>
      </c>
      <c r="P84" s="30"/>
      <c r="Q84" s="30">
        <f>(N84+O84*0.18+J84)+(IF((P84-O84*0.18)&gt;0,(P84-O84*0.18),0))</f>
        <v>24516.4244</v>
      </c>
      <c r="R84" s="7"/>
      <c r="S84" s="7"/>
      <c r="T84" s="7"/>
      <c r="U84" s="7"/>
      <c r="V84" s="7"/>
      <c r="W84" s="7"/>
      <c r="X84" s="7"/>
      <c r="Y84" s="7"/>
      <c r="Z84" s="7"/>
    </row>
    <row r="85" spans="1:26" ht="9" customHeight="1" x14ac:dyDescent="0.2">
      <c r="A85" s="95"/>
      <c r="B85" s="95"/>
      <c r="C85" s="34" t="s">
        <v>37</v>
      </c>
      <c r="D85" s="35">
        <v>35</v>
      </c>
      <c r="E85" s="36">
        <v>24996006</v>
      </c>
      <c r="F85" s="36">
        <v>2747993</v>
      </c>
      <c r="G85" s="36">
        <v>0</v>
      </c>
      <c r="H85" s="36">
        <v>11465081</v>
      </c>
      <c r="I85" s="36">
        <v>0</v>
      </c>
      <c r="J85" s="37">
        <v>3267417</v>
      </c>
      <c r="K85" s="36">
        <v>39209080</v>
      </c>
      <c r="L85" s="38">
        <v>42476497</v>
      </c>
      <c r="M85" s="39"/>
      <c r="N85" s="36">
        <v>39209080</v>
      </c>
      <c r="O85" s="36">
        <v>27744000</v>
      </c>
      <c r="P85" s="36">
        <v>0</v>
      </c>
      <c r="Q85" s="36">
        <f>Q84*1936.27</f>
        <v>47470417.072987996</v>
      </c>
      <c r="R85" s="7"/>
      <c r="S85" s="7"/>
      <c r="T85" s="7"/>
      <c r="U85" s="7"/>
      <c r="V85" s="7"/>
      <c r="W85" s="7"/>
      <c r="X85" s="7"/>
      <c r="Y85" s="7"/>
      <c r="Z85" s="7"/>
    </row>
    <row r="86" spans="1:26" ht="12.75" customHeight="1" x14ac:dyDescent="0.2">
      <c r="A86" s="95"/>
      <c r="B86" s="95"/>
      <c r="C86" s="40" t="s">
        <v>36</v>
      </c>
      <c r="D86" s="41">
        <v>36</v>
      </c>
      <c r="E86" s="42">
        <v>13225.43</v>
      </c>
      <c r="F86" s="42">
        <v>1450.21</v>
      </c>
      <c r="G86" s="42">
        <v>0</v>
      </c>
      <c r="H86" s="42">
        <v>5921.22</v>
      </c>
      <c r="I86" s="42">
        <v>0</v>
      </c>
      <c r="J86" s="42">
        <v>1716.41</v>
      </c>
      <c r="K86" s="43">
        <v>20596.86</v>
      </c>
      <c r="L86" s="32">
        <v>22313.27</v>
      </c>
      <c r="M86" s="33"/>
      <c r="N86" s="30">
        <v>20596.86</v>
      </c>
      <c r="O86" s="30">
        <v>14675.64</v>
      </c>
      <c r="P86" s="30"/>
      <c r="Q86" s="30">
        <f>(N86+O86*0.18+J86)+(IF((P86-O86*0.18)&gt;0,(P86-O86*0.18),0))</f>
        <v>24954.885200000001</v>
      </c>
      <c r="R86" s="7"/>
      <c r="S86" s="7"/>
      <c r="T86" s="7"/>
      <c r="U86" s="7"/>
      <c r="V86" s="7"/>
      <c r="W86" s="7"/>
      <c r="X86" s="7"/>
      <c r="Y86" s="7"/>
      <c r="Z86" s="7"/>
    </row>
    <row r="87" spans="1:26" ht="9" customHeight="1" x14ac:dyDescent="0.2">
      <c r="A87" s="95"/>
      <c r="B87" s="95"/>
      <c r="C87" s="34" t="s">
        <v>37</v>
      </c>
      <c r="D87" s="35">
        <v>37</v>
      </c>
      <c r="E87" s="36">
        <v>25608003</v>
      </c>
      <c r="F87" s="36">
        <v>2807998</v>
      </c>
      <c r="G87" s="36">
        <v>0</v>
      </c>
      <c r="H87" s="36">
        <v>11465081</v>
      </c>
      <c r="I87" s="36">
        <v>0</v>
      </c>
      <c r="J87" s="37">
        <v>3323433</v>
      </c>
      <c r="K87" s="36">
        <v>39881082</v>
      </c>
      <c r="L87" s="38">
        <v>43204515</v>
      </c>
      <c r="M87" s="39"/>
      <c r="N87" s="36">
        <v>39881082</v>
      </c>
      <c r="O87" s="36">
        <v>28416001</v>
      </c>
      <c r="P87" s="36">
        <v>0</v>
      </c>
      <c r="Q87" s="36">
        <f>Q86*1936.27</f>
        <v>48319395.566204004</v>
      </c>
      <c r="R87" s="7"/>
      <c r="S87" s="7"/>
      <c r="T87" s="7"/>
      <c r="U87" s="7"/>
      <c r="V87" s="7"/>
      <c r="W87" s="7"/>
      <c r="X87" s="7"/>
      <c r="Y87" s="7"/>
      <c r="Z87" s="7"/>
    </row>
    <row r="88" spans="1:26" ht="12.75" customHeight="1" x14ac:dyDescent="0.2">
      <c r="A88" s="95"/>
      <c r="B88" s="95"/>
      <c r="C88" s="40" t="s">
        <v>36</v>
      </c>
      <c r="D88" s="41">
        <v>38</v>
      </c>
      <c r="E88" s="42">
        <v>13535.3</v>
      </c>
      <c r="F88" s="42">
        <v>1487.4</v>
      </c>
      <c r="G88" s="42">
        <v>0</v>
      </c>
      <c r="H88" s="42">
        <v>5921.22</v>
      </c>
      <c r="I88" s="42">
        <v>0</v>
      </c>
      <c r="J88" s="42">
        <v>1745.33</v>
      </c>
      <c r="K88" s="43">
        <v>20943.919999999998</v>
      </c>
      <c r="L88" s="32">
        <v>22689.25</v>
      </c>
      <c r="M88" s="33"/>
      <c r="N88" s="30">
        <v>20943.919999999998</v>
      </c>
      <c r="O88" s="30">
        <v>15022.7</v>
      </c>
      <c r="P88" s="30"/>
      <c r="Q88" s="30">
        <f>(N88+O88*0.18+J88)+(IF((P88-O88*0.18)&gt;0,(P88-O88*0.18),0))</f>
        <v>25393.335999999996</v>
      </c>
      <c r="R88" s="7"/>
      <c r="S88" s="7"/>
      <c r="T88" s="7"/>
      <c r="U88" s="7"/>
      <c r="V88" s="7"/>
      <c r="W88" s="7"/>
      <c r="X88" s="7"/>
      <c r="Y88" s="7"/>
      <c r="Z88" s="7"/>
    </row>
    <row r="89" spans="1:26" ht="9" customHeight="1" x14ac:dyDescent="0.2">
      <c r="A89" s="95"/>
      <c r="B89" s="95"/>
      <c r="C89" s="34" t="s">
        <v>37</v>
      </c>
      <c r="D89" s="35">
        <v>39</v>
      </c>
      <c r="E89" s="36">
        <v>26207995</v>
      </c>
      <c r="F89" s="36">
        <v>2880008</v>
      </c>
      <c r="G89" s="36">
        <v>0</v>
      </c>
      <c r="H89" s="36">
        <v>11465081</v>
      </c>
      <c r="I89" s="36">
        <v>0</v>
      </c>
      <c r="J89" s="37">
        <v>3379430</v>
      </c>
      <c r="K89" s="36">
        <v>40553084</v>
      </c>
      <c r="L89" s="38">
        <v>43932514</v>
      </c>
      <c r="M89" s="39"/>
      <c r="N89" s="36">
        <v>40553084</v>
      </c>
      <c r="O89" s="36">
        <v>29088003</v>
      </c>
      <c r="P89" s="36">
        <v>0</v>
      </c>
      <c r="Q89" s="36">
        <f>Q88*1936.27</f>
        <v>49168354.696719989</v>
      </c>
      <c r="R89" s="7"/>
      <c r="S89" s="7"/>
      <c r="T89" s="7"/>
      <c r="U89" s="7"/>
      <c r="V89" s="7"/>
      <c r="W89" s="7"/>
      <c r="X89" s="7"/>
      <c r="Y89" s="7"/>
      <c r="Z89" s="7"/>
    </row>
    <row r="90" spans="1:26" ht="12.75" customHeight="1" x14ac:dyDescent="0.2">
      <c r="A90" s="95"/>
      <c r="B90" s="95"/>
      <c r="C90" s="40" t="s">
        <v>36</v>
      </c>
      <c r="D90" s="41">
        <v>40</v>
      </c>
      <c r="E90" s="42">
        <v>13851.37</v>
      </c>
      <c r="F90" s="42">
        <v>1518.38</v>
      </c>
      <c r="G90" s="42">
        <v>0</v>
      </c>
      <c r="H90" s="42">
        <v>5921.22</v>
      </c>
      <c r="I90" s="42">
        <v>0</v>
      </c>
      <c r="J90" s="42">
        <v>1774.25</v>
      </c>
      <c r="K90" s="43">
        <v>21290.97</v>
      </c>
      <c r="L90" s="32">
        <v>23065.22</v>
      </c>
      <c r="M90" s="33"/>
      <c r="N90" s="30">
        <v>21290.97</v>
      </c>
      <c r="O90" s="30">
        <v>15369.75</v>
      </c>
      <c r="P90" s="30"/>
      <c r="Q90" s="30">
        <f>(N90+O90*0.18+J90)+(IF((P90-O90*0.18)&gt;0,(P90-O90*0.18),0))</f>
        <v>25831.775000000001</v>
      </c>
      <c r="R90" s="7"/>
      <c r="S90" s="7"/>
      <c r="T90" s="7"/>
      <c r="U90" s="7"/>
      <c r="V90" s="7"/>
      <c r="W90" s="7"/>
      <c r="X90" s="7"/>
      <c r="Y90" s="7"/>
      <c r="Z90" s="7"/>
    </row>
    <row r="91" spans="1:26" ht="12.75" customHeight="1" x14ac:dyDescent="0.2">
      <c r="A91" s="95"/>
      <c r="B91" s="95"/>
      <c r="C91" s="115"/>
      <c r="D91" s="45"/>
      <c r="E91" s="116"/>
      <c r="F91" s="116"/>
      <c r="G91" s="116"/>
      <c r="H91" s="116"/>
      <c r="I91" s="116"/>
      <c r="J91" s="117"/>
      <c r="K91" s="118"/>
      <c r="L91" s="119"/>
      <c r="M91" s="33"/>
      <c r="N91" s="116"/>
      <c r="O91" s="116"/>
      <c r="P91" s="116"/>
      <c r="Q91" s="116"/>
      <c r="R91" s="7"/>
      <c r="S91" s="7"/>
      <c r="T91" s="7"/>
      <c r="U91" s="7"/>
      <c r="V91" s="7"/>
      <c r="W91" s="7"/>
      <c r="X91" s="7"/>
      <c r="Y91" s="7"/>
      <c r="Z91" s="7"/>
    </row>
    <row r="92" spans="1:26" ht="12.75" customHeight="1" x14ac:dyDescent="0.2">
      <c r="A92" s="95"/>
      <c r="B92" s="95"/>
      <c r="C92" s="115"/>
      <c r="D92" s="45"/>
      <c r="E92" s="116"/>
      <c r="F92" s="116"/>
      <c r="G92" s="116"/>
      <c r="H92" s="116"/>
      <c r="I92" s="116"/>
      <c r="J92" s="117"/>
      <c r="K92" s="118"/>
      <c r="L92" s="119"/>
      <c r="M92" s="33"/>
      <c r="N92" s="116"/>
      <c r="O92" s="116"/>
      <c r="P92" s="116"/>
      <c r="Q92" s="116"/>
      <c r="R92" s="7"/>
      <c r="S92" s="7"/>
      <c r="T92" s="7"/>
      <c r="U92" s="7"/>
      <c r="V92" s="7"/>
      <c r="W92" s="7"/>
      <c r="X92" s="7"/>
      <c r="Y92" s="7"/>
      <c r="Z92" s="7"/>
    </row>
    <row r="93" spans="1:26" ht="9" customHeight="1" x14ac:dyDescent="0.2">
      <c r="A93" s="110"/>
      <c r="B93" s="110"/>
      <c r="C93" s="47"/>
      <c r="D93" s="48"/>
      <c r="E93" s="46">
        <v>26819992</v>
      </c>
      <c r="F93" s="46">
        <v>2939994</v>
      </c>
      <c r="G93" s="46">
        <v>0</v>
      </c>
      <c r="H93" s="46">
        <v>11465081</v>
      </c>
      <c r="I93" s="46">
        <v>0</v>
      </c>
      <c r="J93" s="49">
        <v>3435427</v>
      </c>
      <c r="K93" s="46">
        <v>41225066</v>
      </c>
      <c r="L93" s="38">
        <v>44660494</v>
      </c>
      <c r="M93" s="39"/>
      <c r="N93" s="36">
        <v>41225066</v>
      </c>
      <c r="O93" s="36">
        <v>29759986</v>
      </c>
      <c r="P93" s="36">
        <v>0</v>
      </c>
      <c r="Q93" s="36">
        <f>Q90*1936.27</f>
        <v>50017290.979249999</v>
      </c>
      <c r="R93" s="7"/>
      <c r="S93" s="7"/>
      <c r="T93" s="7"/>
      <c r="U93" s="7"/>
      <c r="V93" s="7"/>
      <c r="W93" s="7"/>
      <c r="X93" s="7"/>
      <c r="Y93" s="7"/>
      <c r="Z93" s="7"/>
    </row>
    <row r="94" spans="1:26" ht="12.75" customHeight="1" x14ac:dyDescent="0.2">
      <c r="A94" s="98">
        <v>33359</v>
      </c>
      <c r="B94" s="98">
        <v>33542</v>
      </c>
      <c r="C94" s="28" t="s">
        <v>36</v>
      </c>
      <c r="D94" s="29">
        <v>0</v>
      </c>
      <c r="E94" s="30">
        <v>6674.69</v>
      </c>
      <c r="F94" s="30">
        <v>731.3</v>
      </c>
      <c r="G94" s="30">
        <v>0</v>
      </c>
      <c r="H94" s="30">
        <v>6214.43</v>
      </c>
      <c r="I94" s="30">
        <v>0</v>
      </c>
      <c r="J94" s="30">
        <v>1135.04</v>
      </c>
      <c r="K94" s="31">
        <v>13620.42</v>
      </c>
      <c r="L94" s="32">
        <v>14755.46</v>
      </c>
      <c r="M94" s="33"/>
      <c r="N94" s="30">
        <v>13620.42</v>
      </c>
      <c r="O94" s="30">
        <v>7405.99</v>
      </c>
      <c r="P94" s="30"/>
      <c r="Q94" s="30">
        <f>(N94+O94*0.18+J94)+(IF((P94-O94*0.18)&gt;0,(P94-O94*0.18),0))</f>
        <v>16088.538199999999</v>
      </c>
      <c r="R94" s="7"/>
      <c r="S94" s="7"/>
      <c r="T94" s="7"/>
      <c r="U94" s="7"/>
      <c r="V94" s="7"/>
      <c r="W94" s="7"/>
      <c r="X94" s="7"/>
      <c r="Y94" s="7"/>
      <c r="Z94" s="7"/>
    </row>
    <row r="95" spans="1:26" ht="9" customHeight="1" x14ac:dyDescent="0.2">
      <c r="A95" s="95"/>
      <c r="B95" s="95"/>
      <c r="C95" s="34" t="s">
        <v>37</v>
      </c>
      <c r="D95" s="35">
        <v>2</v>
      </c>
      <c r="E95" s="36">
        <v>12924002</v>
      </c>
      <c r="F95" s="36">
        <v>1415994</v>
      </c>
      <c r="G95" s="36">
        <v>0</v>
      </c>
      <c r="H95" s="36">
        <v>12032814</v>
      </c>
      <c r="I95" s="36">
        <v>0</v>
      </c>
      <c r="J95" s="37">
        <v>2197744</v>
      </c>
      <c r="K95" s="36">
        <v>26372811</v>
      </c>
      <c r="L95" s="38">
        <v>28570555</v>
      </c>
      <c r="M95" s="39"/>
      <c r="N95" s="36">
        <v>26372811</v>
      </c>
      <c r="O95" s="36">
        <v>14339996</v>
      </c>
      <c r="P95" s="36">
        <v>0</v>
      </c>
      <c r="Q95" s="36">
        <f>Q94*1936.27</f>
        <v>31151753.860513996</v>
      </c>
      <c r="R95" s="7"/>
      <c r="S95" s="7"/>
      <c r="T95" s="7"/>
      <c r="U95" s="7"/>
      <c r="V95" s="7"/>
      <c r="W95" s="7"/>
      <c r="X95" s="7"/>
      <c r="Y95" s="7"/>
      <c r="Z95" s="7"/>
    </row>
    <row r="96" spans="1:26" ht="12.75" customHeight="1" x14ac:dyDescent="0.2">
      <c r="A96" s="155">
        <v>33359</v>
      </c>
      <c r="B96" s="155">
        <v>33542</v>
      </c>
      <c r="C96" s="40" t="s">
        <v>36</v>
      </c>
      <c r="D96" s="41">
        <v>3</v>
      </c>
      <c r="E96" s="42">
        <v>7027.95</v>
      </c>
      <c r="F96" s="42">
        <v>768.49</v>
      </c>
      <c r="G96" s="42">
        <v>0</v>
      </c>
      <c r="H96" s="42">
        <v>6214.43</v>
      </c>
      <c r="I96" s="42">
        <v>0</v>
      </c>
      <c r="J96" s="42">
        <v>1167.57</v>
      </c>
      <c r="K96" s="43">
        <v>14010.87</v>
      </c>
      <c r="L96" s="32">
        <v>15178.44</v>
      </c>
      <c r="M96" s="33"/>
      <c r="N96" s="30">
        <v>14010.87</v>
      </c>
      <c r="O96" s="30">
        <v>7796.44</v>
      </c>
      <c r="P96" s="30"/>
      <c r="Q96" s="30">
        <f>(N96+O96*0.18+J96)+(IF((P96-O96*0.18)&gt;0,(P96-O96*0.18),0))</f>
        <v>16581.799200000001</v>
      </c>
      <c r="R96" s="7"/>
      <c r="S96" s="7"/>
      <c r="T96" s="7"/>
      <c r="U96" s="7"/>
      <c r="V96" s="7"/>
      <c r="W96" s="7"/>
      <c r="X96" s="7"/>
      <c r="Y96" s="7"/>
      <c r="Z96" s="7"/>
    </row>
    <row r="97" spans="1:26" ht="9" customHeight="1" x14ac:dyDescent="0.2">
      <c r="A97" s="95"/>
      <c r="B97" s="95"/>
      <c r="C97" s="34" t="s">
        <v>37</v>
      </c>
      <c r="D97" s="35">
        <v>4</v>
      </c>
      <c r="E97" s="36">
        <v>13608009</v>
      </c>
      <c r="F97" s="36">
        <v>1488004</v>
      </c>
      <c r="G97" s="36">
        <v>0</v>
      </c>
      <c r="H97" s="36">
        <v>12032814</v>
      </c>
      <c r="I97" s="36">
        <v>0</v>
      </c>
      <c r="J97" s="37">
        <v>2260731</v>
      </c>
      <c r="K97" s="36">
        <v>27128827</v>
      </c>
      <c r="L97" s="38">
        <v>29389558</v>
      </c>
      <c r="M97" s="39"/>
      <c r="N97" s="36">
        <v>27128827</v>
      </c>
      <c r="O97" s="36">
        <v>15096013</v>
      </c>
      <c r="P97" s="36">
        <v>0</v>
      </c>
      <c r="Q97" s="36">
        <f>Q96*1936.27</f>
        <v>32106840.336984001</v>
      </c>
      <c r="R97" s="7"/>
      <c r="S97" s="7"/>
      <c r="T97" s="7"/>
      <c r="U97" s="7"/>
      <c r="V97" s="7"/>
      <c r="W97" s="7"/>
      <c r="X97" s="7"/>
      <c r="Y97" s="7"/>
      <c r="Z97" s="7"/>
    </row>
    <row r="98" spans="1:26" ht="12.75" customHeight="1" x14ac:dyDescent="0.2">
      <c r="A98" s="95"/>
      <c r="B98" s="95"/>
      <c r="C98" s="40" t="s">
        <v>36</v>
      </c>
      <c r="D98" s="41">
        <v>5</v>
      </c>
      <c r="E98" s="42">
        <v>7387.4</v>
      </c>
      <c r="F98" s="42">
        <v>811.87</v>
      </c>
      <c r="G98" s="42">
        <v>0</v>
      </c>
      <c r="H98" s="42">
        <v>6214.43</v>
      </c>
      <c r="I98" s="42">
        <v>0</v>
      </c>
      <c r="J98" s="42">
        <v>1201.1400000000001</v>
      </c>
      <c r="K98" s="43">
        <v>14413.7</v>
      </c>
      <c r="L98" s="32">
        <v>15614.84</v>
      </c>
      <c r="M98" s="33"/>
      <c r="N98" s="30">
        <v>14413.7</v>
      </c>
      <c r="O98" s="30">
        <v>8199.27</v>
      </c>
      <c r="P98" s="30"/>
      <c r="Q98" s="30">
        <f>(N98+O98*0.18+J98)+(IF((P98-O98*0.18)&gt;0,(P98-O98*0.18),0))</f>
        <v>17090.708600000002</v>
      </c>
      <c r="R98" s="7"/>
      <c r="S98" s="7"/>
      <c r="T98" s="7"/>
      <c r="U98" s="7"/>
      <c r="V98" s="7"/>
      <c r="W98" s="7"/>
      <c r="X98" s="7"/>
      <c r="Y98" s="7"/>
      <c r="Z98" s="7"/>
    </row>
    <row r="99" spans="1:26" ht="9" customHeight="1" x14ac:dyDescent="0.2">
      <c r="A99" s="95"/>
      <c r="B99" s="95"/>
      <c r="C99" s="34" t="s">
        <v>37</v>
      </c>
      <c r="D99" s="35">
        <v>6</v>
      </c>
      <c r="E99" s="36">
        <v>14304001</v>
      </c>
      <c r="F99" s="36">
        <v>1572000</v>
      </c>
      <c r="G99" s="36">
        <v>0</v>
      </c>
      <c r="H99" s="36">
        <v>12032814</v>
      </c>
      <c r="I99" s="36">
        <v>0</v>
      </c>
      <c r="J99" s="37">
        <v>2325731</v>
      </c>
      <c r="K99" s="36">
        <v>27908815</v>
      </c>
      <c r="L99" s="38">
        <v>30234546</v>
      </c>
      <c r="M99" s="39"/>
      <c r="N99" s="36">
        <v>27908815</v>
      </c>
      <c r="O99" s="36">
        <v>15876001</v>
      </c>
      <c r="P99" s="36">
        <v>0</v>
      </c>
      <c r="Q99" s="36">
        <f>Q98*1936.27</f>
        <v>33092226.340922002</v>
      </c>
      <c r="R99" s="7"/>
      <c r="S99" s="7"/>
      <c r="T99" s="7"/>
      <c r="U99" s="7"/>
      <c r="V99" s="7"/>
      <c r="W99" s="7"/>
      <c r="X99" s="7"/>
      <c r="Y99" s="7"/>
      <c r="Z99" s="7"/>
    </row>
    <row r="100" spans="1:26" ht="12.75" customHeight="1" x14ac:dyDescent="0.2">
      <c r="A100" s="95"/>
      <c r="B100" s="95"/>
      <c r="C100" s="40" t="s">
        <v>36</v>
      </c>
      <c r="D100" s="41">
        <v>7</v>
      </c>
      <c r="E100" s="42">
        <v>7740.66</v>
      </c>
      <c r="F100" s="42">
        <v>849.06</v>
      </c>
      <c r="G100" s="42">
        <v>0</v>
      </c>
      <c r="H100" s="42">
        <v>6214.43</v>
      </c>
      <c r="I100" s="42">
        <v>0</v>
      </c>
      <c r="J100" s="42">
        <v>1233.68</v>
      </c>
      <c r="K100" s="43">
        <v>14804.15</v>
      </c>
      <c r="L100" s="32">
        <v>16037.83</v>
      </c>
      <c r="M100" s="33"/>
      <c r="N100" s="30">
        <v>14804.15</v>
      </c>
      <c r="O100" s="30">
        <v>8589.7199999999993</v>
      </c>
      <c r="P100" s="30"/>
      <c r="Q100" s="30">
        <f>(N100+O100*0.18+J100)+(IF((P100-O100*0.18)&gt;0,(P100-O100*0.18),0))</f>
        <v>17583.979599999999</v>
      </c>
      <c r="R100" s="7"/>
      <c r="S100" s="7"/>
      <c r="T100" s="7"/>
      <c r="U100" s="7"/>
      <c r="V100" s="7"/>
      <c r="W100" s="7"/>
      <c r="X100" s="7"/>
      <c r="Y100" s="7"/>
      <c r="Z100" s="7"/>
    </row>
    <row r="101" spans="1:26" ht="9" customHeight="1" x14ac:dyDescent="0.2">
      <c r="A101" s="95"/>
      <c r="B101" s="95"/>
      <c r="C101" s="34" t="s">
        <v>37</v>
      </c>
      <c r="D101" s="35">
        <v>8</v>
      </c>
      <c r="E101" s="36">
        <v>14988008</v>
      </c>
      <c r="F101" s="36">
        <v>1644009</v>
      </c>
      <c r="G101" s="36">
        <v>0</v>
      </c>
      <c r="H101" s="36">
        <v>12032814</v>
      </c>
      <c r="I101" s="36">
        <v>0</v>
      </c>
      <c r="J101" s="37">
        <v>2388738</v>
      </c>
      <c r="K101" s="36">
        <v>28664832</v>
      </c>
      <c r="L101" s="38">
        <v>31053569</v>
      </c>
      <c r="M101" s="39"/>
      <c r="N101" s="36">
        <v>28664832</v>
      </c>
      <c r="O101" s="36">
        <v>16632017</v>
      </c>
      <c r="P101" s="36">
        <v>0</v>
      </c>
      <c r="Q101" s="36">
        <f>Q100*1936.27</f>
        <v>34047332.180091999</v>
      </c>
      <c r="R101" s="7"/>
      <c r="S101" s="7"/>
      <c r="T101" s="7"/>
      <c r="U101" s="7"/>
      <c r="V101" s="7"/>
      <c r="W101" s="7"/>
      <c r="X101" s="7"/>
      <c r="Y101" s="7"/>
      <c r="Z101" s="7"/>
    </row>
    <row r="102" spans="1:26" ht="12.75" customHeight="1" x14ac:dyDescent="0.2">
      <c r="A102" s="95"/>
      <c r="B102" s="95"/>
      <c r="C102" s="40" t="s">
        <v>36</v>
      </c>
      <c r="D102" s="41">
        <v>9</v>
      </c>
      <c r="E102" s="42">
        <v>8155.89</v>
      </c>
      <c r="F102" s="42">
        <v>892.44</v>
      </c>
      <c r="G102" s="42">
        <v>0</v>
      </c>
      <c r="H102" s="42">
        <v>6214.43</v>
      </c>
      <c r="I102" s="42">
        <v>0</v>
      </c>
      <c r="J102" s="42">
        <v>1271.9000000000001</v>
      </c>
      <c r="K102" s="43">
        <v>15262.76</v>
      </c>
      <c r="L102" s="32">
        <v>16534.66</v>
      </c>
      <c r="M102" s="33"/>
      <c r="N102" s="30">
        <v>15262.76</v>
      </c>
      <c r="O102" s="30">
        <v>9048.33</v>
      </c>
      <c r="P102" s="30"/>
      <c r="Q102" s="30">
        <f>(N102+O102*0.18+J102)+(IF((P102-O102*0.18)&gt;0,(P102-O102*0.18),0))</f>
        <v>18163.359400000001</v>
      </c>
      <c r="R102" s="7"/>
      <c r="S102" s="7"/>
      <c r="T102" s="7"/>
      <c r="U102" s="7"/>
      <c r="V102" s="7"/>
      <c r="W102" s="7"/>
      <c r="X102" s="7"/>
      <c r="Y102" s="7"/>
      <c r="Z102" s="7"/>
    </row>
    <row r="103" spans="1:26" ht="9" customHeight="1" x14ac:dyDescent="0.2">
      <c r="A103" s="95"/>
      <c r="B103" s="95"/>
      <c r="C103" s="34" t="s">
        <v>37</v>
      </c>
      <c r="D103" s="35">
        <v>10</v>
      </c>
      <c r="E103" s="36">
        <v>15792005</v>
      </c>
      <c r="F103" s="36">
        <v>1728005</v>
      </c>
      <c r="G103" s="36">
        <v>0</v>
      </c>
      <c r="H103" s="36">
        <v>12032814</v>
      </c>
      <c r="I103" s="36">
        <v>0</v>
      </c>
      <c r="J103" s="37">
        <v>2462742</v>
      </c>
      <c r="K103" s="36">
        <v>29552824</v>
      </c>
      <c r="L103" s="38">
        <v>32015566</v>
      </c>
      <c r="M103" s="39"/>
      <c r="N103" s="36">
        <v>29552824</v>
      </c>
      <c r="O103" s="36">
        <v>17520010</v>
      </c>
      <c r="P103" s="36">
        <v>0</v>
      </c>
      <c r="Q103" s="36">
        <f>Q102*1936.27</f>
        <v>35169167.905437998</v>
      </c>
      <c r="R103" s="7"/>
      <c r="S103" s="7"/>
      <c r="T103" s="7"/>
      <c r="U103" s="7"/>
      <c r="V103" s="7"/>
      <c r="W103" s="7"/>
      <c r="X103" s="7"/>
      <c r="Y103" s="7"/>
      <c r="Z103" s="7"/>
    </row>
    <row r="104" spans="1:26" ht="12.75" customHeight="1" x14ac:dyDescent="0.2">
      <c r="A104" s="95"/>
      <c r="B104" s="95"/>
      <c r="C104" s="40" t="s">
        <v>36</v>
      </c>
      <c r="D104" s="41">
        <v>11</v>
      </c>
      <c r="E104" s="42">
        <v>8527.74</v>
      </c>
      <c r="F104" s="42">
        <v>935.82</v>
      </c>
      <c r="G104" s="42">
        <v>0</v>
      </c>
      <c r="H104" s="42">
        <v>6214.43</v>
      </c>
      <c r="I104" s="42">
        <v>0</v>
      </c>
      <c r="J104" s="42">
        <v>1306.5</v>
      </c>
      <c r="K104" s="43">
        <v>15677.99</v>
      </c>
      <c r="L104" s="32">
        <v>16984.490000000002</v>
      </c>
      <c r="M104" s="33"/>
      <c r="N104" s="30">
        <v>15677.99</v>
      </c>
      <c r="O104" s="30">
        <v>9463.56</v>
      </c>
      <c r="P104" s="30"/>
      <c r="Q104" s="30">
        <f>(N104+O104*0.18+J104)+(IF((P104-O104*0.18)&gt;0,(P104-O104*0.18),0))</f>
        <v>18687.930799999998</v>
      </c>
      <c r="R104" s="7"/>
      <c r="S104" s="7"/>
      <c r="T104" s="7"/>
      <c r="U104" s="7"/>
      <c r="V104" s="7"/>
      <c r="W104" s="7"/>
      <c r="X104" s="7"/>
      <c r="Y104" s="7"/>
      <c r="Z104" s="7"/>
    </row>
    <row r="105" spans="1:26" ht="9" customHeight="1" x14ac:dyDescent="0.2">
      <c r="A105" s="95"/>
      <c r="B105" s="95"/>
      <c r="C105" s="34" t="s">
        <v>37</v>
      </c>
      <c r="D105" s="35">
        <v>12</v>
      </c>
      <c r="E105" s="36">
        <v>16512007</v>
      </c>
      <c r="F105" s="36">
        <v>1812000</v>
      </c>
      <c r="G105" s="36">
        <v>0</v>
      </c>
      <c r="H105" s="36">
        <v>12032814</v>
      </c>
      <c r="I105" s="36">
        <v>0</v>
      </c>
      <c r="J105" s="37">
        <v>2529737</v>
      </c>
      <c r="K105" s="36">
        <v>30356822</v>
      </c>
      <c r="L105" s="38">
        <v>32886558</v>
      </c>
      <c r="M105" s="39"/>
      <c r="N105" s="36">
        <v>30356822</v>
      </c>
      <c r="O105" s="36">
        <v>18324007</v>
      </c>
      <c r="P105" s="36">
        <v>0</v>
      </c>
      <c r="Q105" s="36">
        <f>Q104*1936.27</f>
        <v>36184879.770115994</v>
      </c>
      <c r="R105" s="7"/>
      <c r="S105" s="7"/>
      <c r="T105" s="7"/>
      <c r="U105" s="7"/>
      <c r="V105" s="7"/>
      <c r="W105" s="7"/>
      <c r="X105" s="7"/>
      <c r="Y105" s="7"/>
      <c r="Z105" s="7"/>
    </row>
    <row r="106" spans="1:26" ht="12.75" customHeight="1" x14ac:dyDescent="0.2">
      <c r="A106" s="95"/>
      <c r="B106" s="95"/>
      <c r="C106" s="40" t="s">
        <v>36</v>
      </c>
      <c r="D106" s="41">
        <v>13</v>
      </c>
      <c r="E106" s="42">
        <v>8980.15</v>
      </c>
      <c r="F106" s="42">
        <v>985.4</v>
      </c>
      <c r="G106" s="42">
        <v>0</v>
      </c>
      <c r="H106" s="42">
        <v>6214.43</v>
      </c>
      <c r="I106" s="42">
        <v>0</v>
      </c>
      <c r="J106" s="42">
        <v>1348.33</v>
      </c>
      <c r="K106" s="43">
        <v>16179.98</v>
      </c>
      <c r="L106" s="32">
        <v>17528.310000000001</v>
      </c>
      <c r="M106" s="33"/>
      <c r="N106" s="30">
        <v>16179.98</v>
      </c>
      <c r="O106" s="30">
        <v>9965.5499999999993</v>
      </c>
      <c r="P106" s="30"/>
      <c r="Q106" s="30">
        <f>(N106+O106*0.18+J106)+(IF((P106-O106*0.18)&gt;0,(P106-O106*0.18),0))</f>
        <v>19322.108999999997</v>
      </c>
      <c r="R106" s="7"/>
      <c r="S106" s="7"/>
      <c r="T106" s="7"/>
      <c r="U106" s="7"/>
      <c r="V106" s="7"/>
      <c r="W106" s="7"/>
      <c r="X106" s="7"/>
      <c r="Y106" s="7"/>
      <c r="Z106" s="7"/>
    </row>
    <row r="107" spans="1:26" ht="9" customHeight="1" x14ac:dyDescent="0.2">
      <c r="A107" s="95"/>
      <c r="B107" s="95"/>
      <c r="C107" s="34" t="s">
        <v>37</v>
      </c>
      <c r="D107" s="35">
        <v>14</v>
      </c>
      <c r="E107" s="36">
        <v>17387995</v>
      </c>
      <c r="F107" s="36">
        <v>1908000</v>
      </c>
      <c r="G107" s="36">
        <v>0</v>
      </c>
      <c r="H107" s="36">
        <v>12032814</v>
      </c>
      <c r="I107" s="36">
        <v>0</v>
      </c>
      <c r="J107" s="37">
        <v>2610731</v>
      </c>
      <c r="K107" s="36">
        <v>31328810</v>
      </c>
      <c r="L107" s="38">
        <v>33939541</v>
      </c>
      <c r="M107" s="39"/>
      <c r="N107" s="36">
        <v>31328810</v>
      </c>
      <c r="O107" s="36">
        <v>19295995</v>
      </c>
      <c r="P107" s="36">
        <v>0</v>
      </c>
      <c r="Q107" s="36">
        <f>Q106*1936.27</f>
        <v>37412819.993429996</v>
      </c>
      <c r="R107" s="7"/>
      <c r="S107" s="7"/>
      <c r="T107" s="7"/>
      <c r="U107" s="7"/>
      <c r="V107" s="7"/>
      <c r="W107" s="7"/>
      <c r="X107" s="7"/>
      <c r="Y107" s="7"/>
      <c r="Z107" s="7"/>
    </row>
    <row r="108" spans="1:26" ht="12.75" customHeight="1" x14ac:dyDescent="0.2">
      <c r="A108" s="95"/>
      <c r="B108" s="95"/>
      <c r="C108" s="40" t="s">
        <v>36</v>
      </c>
      <c r="D108" s="41">
        <v>15</v>
      </c>
      <c r="E108" s="42">
        <v>9463.56</v>
      </c>
      <c r="F108" s="42">
        <v>1034.98</v>
      </c>
      <c r="G108" s="42">
        <v>0</v>
      </c>
      <c r="H108" s="42">
        <v>6214.43</v>
      </c>
      <c r="I108" s="42">
        <v>0</v>
      </c>
      <c r="J108" s="42">
        <v>1392.75</v>
      </c>
      <c r="K108" s="43">
        <v>16712.97</v>
      </c>
      <c r="L108" s="32">
        <v>18105.72</v>
      </c>
      <c r="M108" s="33"/>
      <c r="N108" s="30">
        <v>16712.97</v>
      </c>
      <c r="O108" s="30">
        <v>10498.54</v>
      </c>
      <c r="P108" s="30"/>
      <c r="Q108" s="30">
        <f>(N108+O108*0.18+J108)+(IF((P108-O108*0.18)&gt;0,(P108-O108*0.18),0))</f>
        <v>19995.457200000001</v>
      </c>
      <c r="R108" s="7"/>
      <c r="S108" s="7"/>
      <c r="T108" s="7"/>
      <c r="U108" s="7"/>
      <c r="V108" s="7"/>
      <c r="W108" s="7"/>
      <c r="X108" s="7"/>
      <c r="Y108" s="7"/>
      <c r="Z108" s="7"/>
    </row>
    <row r="109" spans="1:26" ht="9" customHeight="1" x14ac:dyDescent="0.2">
      <c r="A109" s="95"/>
      <c r="B109" s="95"/>
      <c r="C109" s="34" t="s">
        <v>37</v>
      </c>
      <c r="D109" s="35">
        <v>16</v>
      </c>
      <c r="E109" s="36">
        <v>18324007</v>
      </c>
      <c r="F109" s="36">
        <v>2004001</v>
      </c>
      <c r="G109" s="36">
        <v>0</v>
      </c>
      <c r="H109" s="36">
        <v>12032814</v>
      </c>
      <c r="I109" s="36">
        <v>0</v>
      </c>
      <c r="J109" s="37">
        <v>2696740</v>
      </c>
      <c r="K109" s="36">
        <v>32360822</v>
      </c>
      <c r="L109" s="38">
        <v>35057562</v>
      </c>
      <c r="M109" s="39"/>
      <c r="N109" s="36">
        <v>32360822</v>
      </c>
      <c r="O109" s="36">
        <v>20328008</v>
      </c>
      <c r="P109" s="36">
        <v>0</v>
      </c>
      <c r="Q109" s="36">
        <f>Q108*1936.27</f>
        <v>38716603.912643999</v>
      </c>
      <c r="R109" s="7"/>
      <c r="S109" s="7"/>
      <c r="T109" s="7"/>
      <c r="U109" s="7"/>
      <c r="V109" s="7"/>
      <c r="W109" s="7"/>
      <c r="X109" s="7"/>
      <c r="Y109" s="7"/>
      <c r="Z109" s="7"/>
    </row>
    <row r="110" spans="1:26" ht="12.75" customHeight="1" x14ac:dyDescent="0.2">
      <c r="A110" s="95"/>
      <c r="B110" s="95"/>
      <c r="C110" s="40" t="s">
        <v>36</v>
      </c>
      <c r="D110" s="41">
        <v>17</v>
      </c>
      <c r="E110" s="42">
        <v>9940.76</v>
      </c>
      <c r="F110" s="42">
        <v>1090.76</v>
      </c>
      <c r="G110" s="42">
        <v>0</v>
      </c>
      <c r="H110" s="42">
        <v>6214.43</v>
      </c>
      <c r="I110" s="42">
        <v>0</v>
      </c>
      <c r="J110" s="42">
        <v>1437.16</v>
      </c>
      <c r="K110" s="43">
        <v>17245.95</v>
      </c>
      <c r="L110" s="32">
        <v>18683.11</v>
      </c>
      <c r="M110" s="33"/>
      <c r="N110" s="30">
        <v>17245.95</v>
      </c>
      <c r="O110" s="30">
        <v>11031.52</v>
      </c>
      <c r="P110" s="30"/>
      <c r="Q110" s="30">
        <f>(N110+O110*0.18+J110)+(IF((P110-O110*0.18)&gt;0,(P110-O110*0.18),0))</f>
        <v>20668.783599999999</v>
      </c>
      <c r="R110" s="7"/>
      <c r="S110" s="7"/>
      <c r="T110" s="7"/>
      <c r="U110" s="7"/>
      <c r="V110" s="7"/>
      <c r="W110" s="7"/>
      <c r="X110" s="7"/>
      <c r="Y110" s="7"/>
      <c r="Z110" s="7"/>
    </row>
    <row r="111" spans="1:26" ht="9" customHeight="1" x14ac:dyDescent="0.2">
      <c r="A111" s="95"/>
      <c r="B111" s="95"/>
      <c r="C111" s="34" t="s">
        <v>37</v>
      </c>
      <c r="D111" s="35">
        <v>17</v>
      </c>
      <c r="E111" s="36">
        <v>19247995</v>
      </c>
      <c r="F111" s="36">
        <v>2112006</v>
      </c>
      <c r="G111" s="36">
        <v>0</v>
      </c>
      <c r="H111" s="36">
        <v>12032814</v>
      </c>
      <c r="I111" s="36">
        <v>0</v>
      </c>
      <c r="J111" s="37">
        <v>2782730</v>
      </c>
      <c r="K111" s="36">
        <v>33392816</v>
      </c>
      <c r="L111" s="38">
        <v>36175545</v>
      </c>
      <c r="M111" s="39"/>
      <c r="N111" s="36">
        <v>33392816</v>
      </c>
      <c r="O111" s="36">
        <v>21360001</v>
      </c>
      <c r="P111" s="36">
        <v>0</v>
      </c>
      <c r="Q111" s="36">
        <f>Q110*1936.27</f>
        <v>40020345.621171996</v>
      </c>
      <c r="R111" s="7"/>
      <c r="S111" s="7"/>
      <c r="T111" s="7"/>
      <c r="U111" s="7"/>
      <c r="V111" s="7"/>
      <c r="W111" s="7"/>
      <c r="X111" s="7"/>
      <c r="Y111" s="7"/>
      <c r="Z111" s="7"/>
    </row>
    <row r="112" spans="1:26" ht="12.75" customHeight="1" x14ac:dyDescent="0.2">
      <c r="A112" s="95"/>
      <c r="B112" s="95"/>
      <c r="C112" s="40" t="s">
        <v>36</v>
      </c>
      <c r="D112" s="41">
        <v>18</v>
      </c>
      <c r="E112" s="42">
        <v>10417.969999999999</v>
      </c>
      <c r="F112" s="42">
        <v>1146.53</v>
      </c>
      <c r="G112" s="42">
        <v>0</v>
      </c>
      <c r="H112" s="42">
        <v>6214.43</v>
      </c>
      <c r="I112" s="42">
        <v>0</v>
      </c>
      <c r="J112" s="42">
        <v>1481.58</v>
      </c>
      <c r="K112" s="43">
        <v>17778.93</v>
      </c>
      <c r="L112" s="32">
        <v>19260.509999999998</v>
      </c>
      <c r="M112" s="33"/>
      <c r="N112" s="30">
        <v>17778.93</v>
      </c>
      <c r="O112" s="30">
        <v>11564.5</v>
      </c>
      <c r="P112" s="30"/>
      <c r="Q112" s="30">
        <f>(N112+O112*0.18+J112)+(IF((P112-O112*0.18)&gt;0,(P112-O112*0.18),0))</f>
        <v>21342.120000000003</v>
      </c>
      <c r="R112" s="7"/>
      <c r="S112" s="7"/>
      <c r="T112" s="7"/>
      <c r="U112" s="7"/>
      <c r="V112" s="7"/>
      <c r="W112" s="7"/>
      <c r="X112" s="7"/>
      <c r="Y112" s="7"/>
      <c r="Z112" s="7"/>
    </row>
    <row r="113" spans="1:26" ht="9" customHeight="1" x14ac:dyDescent="0.2">
      <c r="A113" s="95"/>
      <c r="B113" s="95"/>
      <c r="C113" s="34" t="s">
        <v>37</v>
      </c>
      <c r="D113" s="35">
        <v>19</v>
      </c>
      <c r="E113" s="36">
        <v>20172003</v>
      </c>
      <c r="F113" s="36">
        <v>2219992</v>
      </c>
      <c r="G113" s="36">
        <v>0</v>
      </c>
      <c r="H113" s="36">
        <v>12032814</v>
      </c>
      <c r="I113" s="36">
        <v>0</v>
      </c>
      <c r="J113" s="37">
        <v>2868739</v>
      </c>
      <c r="K113" s="36">
        <v>34424809</v>
      </c>
      <c r="L113" s="38">
        <v>37293548</v>
      </c>
      <c r="M113" s="39"/>
      <c r="N113" s="36">
        <v>34424809</v>
      </c>
      <c r="O113" s="36">
        <v>22391994</v>
      </c>
      <c r="P113" s="36">
        <v>0</v>
      </c>
      <c r="Q113" s="36">
        <f>Q112*1936.27</f>
        <v>41324106.692400001</v>
      </c>
      <c r="R113" s="7"/>
      <c r="S113" s="7"/>
      <c r="T113" s="7"/>
      <c r="U113" s="7"/>
      <c r="V113" s="7"/>
      <c r="W113" s="7"/>
      <c r="X113" s="7"/>
      <c r="Y113" s="7"/>
      <c r="Z113" s="7"/>
    </row>
    <row r="114" spans="1:26" ht="12.75" customHeight="1" x14ac:dyDescent="0.2">
      <c r="A114" s="95"/>
      <c r="B114" s="95"/>
      <c r="C114" s="40" t="s">
        <v>36</v>
      </c>
      <c r="D114" s="41">
        <v>20</v>
      </c>
      <c r="E114" s="42">
        <v>10734.04</v>
      </c>
      <c r="F114" s="42">
        <v>1177.52</v>
      </c>
      <c r="G114" s="42">
        <v>0</v>
      </c>
      <c r="H114" s="42">
        <v>6214.43</v>
      </c>
      <c r="I114" s="42">
        <v>0</v>
      </c>
      <c r="J114" s="42">
        <v>1510.5</v>
      </c>
      <c r="K114" s="43">
        <v>18125.990000000002</v>
      </c>
      <c r="L114" s="32">
        <v>19636.490000000002</v>
      </c>
      <c r="M114" s="33"/>
      <c r="N114" s="30">
        <v>18125.990000000002</v>
      </c>
      <c r="O114" s="30">
        <v>11911.56</v>
      </c>
      <c r="P114" s="30"/>
      <c r="Q114" s="30">
        <f>(N114+O114*0.18+J114)+(IF((P114-O114*0.18)&gt;0,(P114-O114*0.18),0))</f>
        <v>21780.570800000001</v>
      </c>
      <c r="R114" s="7"/>
      <c r="S114" s="7"/>
      <c r="T114" s="7"/>
      <c r="U114" s="7"/>
      <c r="V114" s="7"/>
      <c r="W114" s="7"/>
      <c r="X114" s="7"/>
      <c r="Y114" s="7"/>
      <c r="Z114" s="7"/>
    </row>
    <row r="115" spans="1:26" ht="9" customHeight="1" x14ac:dyDescent="0.2">
      <c r="A115" s="95"/>
      <c r="B115" s="95"/>
      <c r="C115" s="34" t="s">
        <v>37</v>
      </c>
      <c r="D115" s="35">
        <v>21</v>
      </c>
      <c r="E115" s="36">
        <v>20784000</v>
      </c>
      <c r="F115" s="36">
        <v>2279997</v>
      </c>
      <c r="G115" s="36">
        <v>0</v>
      </c>
      <c r="H115" s="36">
        <v>12032814</v>
      </c>
      <c r="I115" s="36">
        <v>0</v>
      </c>
      <c r="J115" s="37">
        <v>2924736</v>
      </c>
      <c r="K115" s="36">
        <v>35096811</v>
      </c>
      <c r="L115" s="38">
        <v>38021546</v>
      </c>
      <c r="M115" s="39"/>
      <c r="N115" s="36">
        <v>35096811</v>
      </c>
      <c r="O115" s="36">
        <v>23063996</v>
      </c>
      <c r="P115" s="36">
        <v>0</v>
      </c>
      <c r="Q115" s="36">
        <f>Q114*1936.27</f>
        <v>42173065.822916001</v>
      </c>
      <c r="R115" s="7"/>
      <c r="S115" s="7"/>
      <c r="T115" s="7"/>
      <c r="U115" s="7"/>
      <c r="V115" s="7"/>
      <c r="W115" s="7"/>
      <c r="X115" s="7"/>
      <c r="Y115" s="7"/>
      <c r="Z115" s="7"/>
    </row>
    <row r="116" spans="1:26" ht="12.75" customHeight="1" x14ac:dyDescent="0.2">
      <c r="A116" s="95"/>
      <c r="B116" s="95"/>
      <c r="C116" s="40" t="s">
        <v>36</v>
      </c>
      <c r="D116" s="41">
        <v>22</v>
      </c>
      <c r="E116" s="42">
        <v>11037.72</v>
      </c>
      <c r="F116" s="42">
        <v>1214.71</v>
      </c>
      <c r="G116" s="42">
        <v>0</v>
      </c>
      <c r="H116" s="42">
        <v>6214.43</v>
      </c>
      <c r="I116" s="42">
        <v>0</v>
      </c>
      <c r="J116" s="42">
        <v>1538.91</v>
      </c>
      <c r="K116" s="43">
        <v>18466.86</v>
      </c>
      <c r="L116" s="32">
        <v>20005.77</v>
      </c>
      <c r="M116" s="33"/>
      <c r="N116" s="30">
        <v>18466.86</v>
      </c>
      <c r="O116" s="30">
        <v>12252.43</v>
      </c>
      <c r="P116" s="30"/>
      <c r="Q116" s="30">
        <f>(N116+O116*0.18+J116)+(IF((P116-O116*0.18)&gt;0,(P116-O116*0.18),0))</f>
        <v>22211.207399999999</v>
      </c>
      <c r="R116" s="7"/>
      <c r="S116" s="7"/>
      <c r="T116" s="7"/>
      <c r="U116" s="7"/>
      <c r="V116" s="7"/>
      <c r="W116" s="7"/>
      <c r="X116" s="7"/>
      <c r="Y116" s="7"/>
      <c r="Z116" s="7"/>
    </row>
    <row r="117" spans="1:26" ht="9" customHeight="1" x14ac:dyDescent="0.2">
      <c r="A117" s="95"/>
      <c r="B117" s="95"/>
      <c r="C117" s="34" t="s">
        <v>37</v>
      </c>
      <c r="D117" s="35">
        <v>23</v>
      </c>
      <c r="E117" s="36">
        <v>21372006</v>
      </c>
      <c r="F117" s="36">
        <v>2352007</v>
      </c>
      <c r="G117" s="36">
        <v>0</v>
      </c>
      <c r="H117" s="36">
        <v>12032814</v>
      </c>
      <c r="I117" s="36">
        <v>0</v>
      </c>
      <c r="J117" s="37">
        <v>2979745</v>
      </c>
      <c r="K117" s="36">
        <v>35756827</v>
      </c>
      <c r="L117" s="38">
        <v>38736572</v>
      </c>
      <c r="M117" s="39"/>
      <c r="N117" s="36">
        <v>35756827</v>
      </c>
      <c r="O117" s="36">
        <v>23724013</v>
      </c>
      <c r="P117" s="36">
        <v>0</v>
      </c>
      <c r="Q117" s="36">
        <f>Q116*1936.27</f>
        <v>43006894.552397996</v>
      </c>
      <c r="R117" s="7"/>
      <c r="S117" s="7"/>
      <c r="T117" s="7"/>
      <c r="U117" s="7"/>
      <c r="V117" s="7"/>
      <c r="W117" s="7"/>
      <c r="X117" s="7"/>
      <c r="Y117" s="7"/>
      <c r="Z117" s="7"/>
    </row>
    <row r="118" spans="1:26" ht="12.75" customHeight="1" x14ac:dyDescent="0.2">
      <c r="A118" s="95"/>
      <c r="B118" s="95"/>
      <c r="C118" s="40" t="s">
        <v>36</v>
      </c>
      <c r="D118" s="41">
        <v>24</v>
      </c>
      <c r="E118" s="42">
        <v>11347.59</v>
      </c>
      <c r="F118" s="42">
        <v>1245.69</v>
      </c>
      <c r="G118" s="42">
        <v>0</v>
      </c>
      <c r="H118" s="42">
        <v>6214.43</v>
      </c>
      <c r="I118" s="42">
        <v>0</v>
      </c>
      <c r="J118" s="42">
        <v>1567.31</v>
      </c>
      <c r="K118" s="43">
        <v>18807.71</v>
      </c>
      <c r="L118" s="32">
        <v>20375.02</v>
      </c>
      <c r="M118" s="33"/>
      <c r="N118" s="30">
        <v>18807.71</v>
      </c>
      <c r="O118" s="30">
        <v>12593.28</v>
      </c>
      <c r="P118" s="30"/>
      <c r="Q118" s="30">
        <f>(N118+O118*0.18+J118)+(IF((P118-O118*0.18)&gt;0,(P118-O118*0.18),0))</f>
        <v>22641.810399999998</v>
      </c>
      <c r="R118" s="7"/>
      <c r="S118" s="7"/>
      <c r="T118" s="7"/>
      <c r="U118" s="7"/>
      <c r="V118" s="7"/>
      <c r="W118" s="7"/>
      <c r="X118" s="7"/>
      <c r="Y118" s="7"/>
      <c r="Z118" s="7"/>
    </row>
    <row r="119" spans="1:26" ht="9" customHeight="1" x14ac:dyDescent="0.2">
      <c r="A119" s="95"/>
      <c r="B119" s="95"/>
      <c r="C119" s="34" t="s">
        <v>37</v>
      </c>
      <c r="D119" s="35">
        <v>25</v>
      </c>
      <c r="E119" s="36">
        <v>21971998</v>
      </c>
      <c r="F119" s="36">
        <v>2411992</v>
      </c>
      <c r="G119" s="36">
        <v>0</v>
      </c>
      <c r="H119" s="36">
        <v>12032814</v>
      </c>
      <c r="I119" s="36">
        <v>0</v>
      </c>
      <c r="J119" s="37">
        <v>3034735</v>
      </c>
      <c r="K119" s="36">
        <v>36416805</v>
      </c>
      <c r="L119" s="38">
        <v>39451540</v>
      </c>
      <c r="M119" s="39"/>
      <c r="N119" s="36">
        <v>36416805</v>
      </c>
      <c r="O119" s="36">
        <v>24383990</v>
      </c>
      <c r="P119" s="36">
        <v>0</v>
      </c>
      <c r="Q119" s="36">
        <f>Q118*1936.27</f>
        <v>43840658.223207995</v>
      </c>
      <c r="R119" s="7"/>
      <c r="S119" s="7"/>
      <c r="T119" s="7"/>
      <c r="U119" s="7"/>
      <c r="V119" s="7"/>
      <c r="W119" s="7"/>
      <c r="X119" s="7"/>
      <c r="Y119" s="7"/>
      <c r="Z119" s="7"/>
    </row>
    <row r="120" spans="1:26" ht="12.75" customHeight="1" x14ac:dyDescent="0.2">
      <c r="A120" s="95"/>
      <c r="B120" s="95"/>
      <c r="C120" s="40" t="s">
        <v>36</v>
      </c>
      <c r="D120" s="41">
        <v>26</v>
      </c>
      <c r="E120" s="42">
        <v>11731.83</v>
      </c>
      <c r="F120" s="42">
        <v>1289.08</v>
      </c>
      <c r="G120" s="42">
        <v>0</v>
      </c>
      <c r="H120" s="42">
        <v>6214.43</v>
      </c>
      <c r="I120" s="42">
        <v>0</v>
      </c>
      <c r="J120" s="42">
        <v>1602.95</v>
      </c>
      <c r="K120" s="43">
        <v>19235.34</v>
      </c>
      <c r="L120" s="32">
        <v>20838.29</v>
      </c>
      <c r="M120" s="33"/>
      <c r="N120" s="30">
        <v>19235.34</v>
      </c>
      <c r="O120" s="30">
        <v>13020.91</v>
      </c>
      <c r="P120" s="30"/>
      <c r="Q120" s="30">
        <f>(N120+O120*0.18+J120)+(IF((P120-O120*0.18)&gt;0,(P120-O120*0.18),0))</f>
        <v>23182.053800000002</v>
      </c>
      <c r="R120" s="7"/>
      <c r="S120" s="7"/>
      <c r="T120" s="7"/>
      <c r="U120" s="7"/>
      <c r="V120" s="7"/>
      <c r="W120" s="7"/>
      <c r="X120" s="7"/>
      <c r="Y120" s="7"/>
      <c r="Z120" s="7"/>
    </row>
    <row r="121" spans="1:26" ht="9" customHeight="1" x14ac:dyDescent="0.2">
      <c r="A121" s="95"/>
      <c r="B121" s="95"/>
      <c r="C121" s="34" t="s">
        <v>37</v>
      </c>
      <c r="D121" s="35">
        <v>27</v>
      </c>
      <c r="E121" s="36">
        <v>22715990</v>
      </c>
      <c r="F121" s="36">
        <v>2496007</v>
      </c>
      <c r="G121" s="36">
        <v>0</v>
      </c>
      <c r="H121" s="36">
        <v>12032814</v>
      </c>
      <c r="I121" s="36">
        <v>0</v>
      </c>
      <c r="J121" s="37">
        <v>3103744</v>
      </c>
      <c r="K121" s="36">
        <v>37244812</v>
      </c>
      <c r="L121" s="38">
        <v>40348556</v>
      </c>
      <c r="M121" s="39"/>
      <c r="N121" s="36">
        <v>37244812</v>
      </c>
      <c r="O121" s="36">
        <v>25211997</v>
      </c>
      <c r="P121" s="36">
        <v>0</v>
      </c>
      <c r="Q121" s="36">
        <f>Q120*1936.27</f>
        <v>44886715.311326005</v>
      </c>
      <c r="R121" s="7"/>
      <c r="S121" s="7"/>
      <c r="T121" s="7"/>
      <c r="U121" s="7"/>
      <c r="V121" s="7"/>
      <c r="W121" s="7"/>
      <c r="X121" s="7"/>
      <c r="Y121" s="7"/>
      <c r="Z121" s="7"/>
    </row>
    <row r="122" spans="1:26" ht="12.75" customHeight="1" x14ac:dyDescent="0.2">
      <c r="A122" s="95"/>
      <c r="B122" s="95"/>
      <c r="C122" s="40" t="s">
        <v>36</v>
      </c>
      <c r="D122" s="41">
        <v>28</v>
      </c>
      <c r="E122" s="42">
        <v>11979.73</v>
      </c>
      <c r="F122" s="42">
        <v>1313.87</v>
      </c>
      <c r="G122" s="42">
        <v>0</v>
      </c>
      <c r="H122" s="42">
        <v>6214.43</v>
      </c>
      <c r="I122" s="42">
        <v>0</v>
      </c>
      <c r="J122" s="42">
        <v>1625.67</v>
      </c>
      <c r="K122" s="43">
        <v>19508.03</v>
      </c>
      <c r="L122" s="32">
        <v>21133.7</v>
      </c>
      <c r="M122" s="33"/>
      <c r="N122" s="30">
        <v>19508.03</v>
      </c>
      <c r="O122" s="30">
        <v>13293.6</v>
      </c>
      <c r="P122" s="30"/>
      <c r="Q122" s="30">
        <f>(N122+O122*0.18+J122)+(IF((P122-O122*0.18)&gt;0,(P122-O122*0.18),0))</f>
        <v>23526.547999999995</v>
      </c>
      <c r="R122" s="7"/>
      <c r="S122" s="7"/>
      <c r="T122" s="7"/>
      <c r="U122" s="7"/>
      <c r="V122" s="7"/>
      <c r="W122" s="7"/>
      <c r="X122" s="7"/>
      <c r="Y122" s="7"/>
      <c r="Z122" s="7"/>
    </row>
    <row r="123" spans="1:26" ht="9" customHeight="1" x14ac:dyDescent="0.2">
      <c r="A123" s="95"/>
      <c r="B123" s="95"/>
      <c r="C123" s="34" t="s">
        <v>37</v>
      </c>
      <c r="D123" s="35">
        <v>29</v>
      </c>
      <c r="E123" s="36">
        <v>23195992</v>
      </c>
      <c r="F123" s="36">
        <v>2544007</v>
      </c>
      <c r="G123" s="36">
        <v>0</v>
      </c>
      <c r="H123" s="36">
        <v>12032814</v>
      </c>
      <c r="I123" s="36">
        <v>0</v>
      </c>
      <c r="J123" s="37">
        <v>3147736</v>
      </c>
      <c r="K123" s="36">
        <v>37772813</v>
      </c>
      <c r="L123" s="38">
        <v>40920549</v>
      </c>
      <c r="M123" s="39"/>
      <c r="N123" s="36">
        <v>37772813</v>
      </c>
      <c r="O123" s="36">
        <v>25739999</v>
      </c>
      <c r="P123" s="36">
        <v>0</v>
      </c>
      <c r="Q123" s="36">
        <f>Q122*1936.27</f>
        <v>45553749.095959991</v>
      </c>
      <c r="R123" s="7"/>
      <c r="S123" s="7"/>
      <c r="T123" s="7"/>
      <c r="U123" s="7"/>
      <c r="V123" s="7"/>
      <c r="W123" s="7"/>
      <c r="X123" s="7"/>
      <c r="Y123" s="7"/>
      <c r="Z123" s="7"/>
    </row>
    <row r="124" spans="1:26" ht="12.75" customHeight="1" x14ac:dyDescent="0.2">
      <c r="A124" s="95"/>
      <c r="B124" s="95"/>
      <c r="C124" s="40" t="s">
        <v>36</v>
      </c>
      <c r="D124" s="41">
        <v>30</v>
      </c>
      <c r="E124" s="42">
        <v>12295.81</v>
      </c>
      <c r="F124" s="42">
        <v>1351.05</v>
      </c>
      <c r="G124" s="42">
        <v>0</v>
      </c>
      <c r="H124" s="42">
        <v>6214.43</v>
      </c>
      <c r="I124" s="42">
        <v>0</v>
      </c>
      <c r="J124" s="42">
        <v>1655.11</v>
      </c>
      <c r="K124" s="43">
        <v>19861.29</v>
      </c>
      <c r="L124" s="32">
        <v>21516.400000000001</v>
      </c>
      <c r="M124" s="33"/>
      <c r="N124" s="30">
        <v>19861.29</v>
      </c>
      <c r="O124" s="30">
        <v>13646.86</v>
      </c>
      <c r="P124" s="30"/>
      <c r="Q124" s="30">
        <f>(N124+O124*0.18+J124)+(IF((P124-O124*0.18)&gt;0,(P124-O124*0.18),0))</f>
        <v>23972.834800000001</v>
      </c>
      <c r="R124" s="7"/>
      <c r="S124" s="7"/>
      <c r="T124" s="7"/>
      <c r="U124" s="7"/>
      <c r="V124" s="7"/>
      <c r="W124" s="7"/>
      <c r="X124" s="7"/>
      <c r="Y124" s="7"/>
      <c r="Z124" s="7"/>
    </row>
    <row r="125" spans="1:26" ht="9" customHeight="1" x14ac:dyDescent="0.2">
      <c r="A125" s="95"/>
      <c r="B125" s="95"/>
      <c r="C125" s="34" t="s">
        <v>37</v>
      </c>
      <c r="D125" s="35">
        <v>31</v>
      </c>
      <c r="E125" s="36">
        <v>23808008</v>
      </c>
      <c r="F125" s="36">
        <v>2615998</v>
      </c>
      <c r="G125" s="36">
        <v>0</v>
      </c>
      <c r="H125" s="36">
        <v>12032814</v>
      </c>
      <c r="I125" s="36">
        <v>0</v>
      </c>
      <c r="J125" s="37">
        <v>3204740</v>
      </c>
      <c r="K125" s="36">
        <v>38456820</v>
      </c>
      <c r="L125" s="38">
        <v>41661560</v>
      </c>
      <c r="M125" s="39"/>
      <c r="N125" s="36">
        <v>38456820</v>
      </c>
      <c r="O125" s="36">
        <v>26424006</v>
      </c>
      <c r="P125" s="36">
        <v>0</v>
      </c>
      <c r="Q125" s="36">
        <f>Q124*1936.27</f>
        <v>46417880.838196002</v>
      </c>
      <c r="R125" s="7"/>
      <c r="S125" s="7"/>
      <c r="T125" s="7"/>
      <c r="U125" s="7"/>
      <c r="V125" s="7"/>
      <c r="W125" s="7"/>
      <c r="X125" s="7"/>
      <c r="Y125" s="7"/>
      <c r="Z125" s="7"/>
    </row>
    <row r="126" spans="1:26" ht="12.75" customHeight="1" x14ac:dyDescent="0.2">
      <c r="A126" s="95"/>
      <c r="B126" s="95"/>
      <c r="C126" s="40" t="s">
        <v>36</v>
      </c>
      <c r="D126" s="41">
        <v>32</v>
      </c>
      <c r="E126" s="42">
        <v>12605.68</v>
      </c>
      <c r="F126" s="42">
        <v>1382.04</v>
      </c>
      <c r="G126" s="42">
        <v>0</v>
      </c>
      <c r="H126" s="42">
        <v>6214.43</v>
      </c>
      <c r="I126" s="42">
        <v>0</v>
      </c>
      <c r="J126" s="42">
        <v>1683.51</v>
      </c>
      <c r="K126" s="43">
        <v>20202.150000000001</v>
      </c>
      <c r="L126" s="32">
        <v>21885.66</v>
      </c>
      <c r="M126" s="33"/>
      <c r="N126" s="30">
        <v>20202.150000000001</v>
      </c>
      <c r="O126" s="30">
        <v>13987.72</v>
      </c>
      <c r="P126" s="30"/>
      <c r="Q126" s="30">
        <f>(N126+O126*0.18+J126)+(IF((P126-O126*0.18)&gt;0,(P126-O126*0.18),0))</f>
        <v>24403.4496</v>
      </c>
      <c r="R126" s="7"/>
      <c r="S126" s="7"/>
      <c r="T126" s="7"/>
      <c r="U126" s="7"/>
      <c r="V126" s="7"/>
      <c r="W126" s="7"/>
      <c r="X126" s="7"/>
      <c r="Y126" s="7"/>
      <c r="Z126" s="7"/>
    </row>
    <row r="127" spans="1:26" ht="9" customHeight="1" x14ac:dyDescent="0.2">
      <c r="A127" s="95"/>
      <c r="B127" s="95"/>
      <c r="C127" s="34" t="s">
        <v>37</v>
      </c>
      <c r="D127" s="35">
        <v>33</v>
      </c>
      <c r="E127" s="36">
        <v>24408000</v>
      </c>
      <c r="F127" s="36">
        <v>2676003</v>
      </c>
      <c r="G127" s="36">
        <v>0</v>
      </c>
      <c r="H127" s="36">
        <v>12032814</v>
      </c>
      <c r="I127" s="36">
        <v>0</v>
      </c>
      <c r="J127" s="37">
        <v>3259730</v>
      </c>
      <c r="K127" s="36">
        <v>39116817</v>
      </c>
      <c r="L127" s="38">
        <v>42376547</v>
      </c>
      <c r="M127" s="39"/>
      <c r="N127" s="36">
        <v>39116817</v>
      </c>
      <c r="O127" s="36">
        <v>27084003</v>
      </c>
      <c r="P127" s="36">
        <v>0</v>
      </c>
      <c r="Q127" s="36">
        <f>Q126*1936.27</f>
        <v>47251667.356991999</v>
      </c>
      <c r="R127" s="7"/>
      <c r="S127" s="7"/>
      <c r="T127" s="7"/>
      <c r="U127" s="7"/>
      <c r="V127" s="7"/>
      <c r="W127" s="7"/>
      <c r="X127" s="7"/>
      <c r="Y127" s="7"/>
      <c r="Z127" s="7"/>
    </row>
    <row r="128" spans="1:26" ht="12.75" customHeight="1" x14ac:dyDescent="0.2">
      <c r="A128" s="95"/>
      <c r="B128" s="95"/>
      <c r="C128" s="40" t="s">
        <v>36</v>
      </c>
      <c r="D128" s="41">
        <v>34</v>
      </c>
      <c r="E128" s="42">
        <v>12909.36</v>
      </c>
      <c r="F128" s="42">
        <v>1419.22</v>
      </c>
      <c r="G128" s="42">
        <v>0</v>
      </c>
      <c r="H128" s="42">
        <v>6214.43</v>
      </c>
      <c r="I128" s="42">
        <v>0</v>
      </c>
      <c r="J128" s="42">
        <v>1711.92</v>
      </c>
      <c r="K128" s="43">
        <v>20543.009999999998</v>
      </c>
      <c r="L128" s="32">
        <v>22254.93</v>
      </c>
      <c r="M128" s="33"/>
      <c r="N128" s="30">
        <v>20543.009999999998</v>
      </c>
      <c r="O128" s="30">
        <v>14328.58</v>
      </c>
      <c r="P128" s="30"/>
      <c r="Q128" s="30">
        <f>(N128+O128*0.18+J128)+(IF((P128-O128*0.18)&gt;0,(P128-O128*0.18),0))</f>
        <v>24834.074399999998</v>
      </c>
      <c r="R128" s="7"/>
      <c r="S128" s="7"/>
      <c r="T128" s="7"/>
      <c r="U128" s="7"/>
      <c r="V128" s="7"/>
      <c r="W128" s="7"/>
      <c r="X128" s="7"/>
      <c r="Y128" s="7"/>
      <c r="Z128" s="7"/>
    </row>
    <row r="129" spans="1:26" ht="9" customHeight="1" x14ac:dyDescent="0.2">
      <c r="A129" s="95"/>
      <c r="B129" s="95"/>
      <c r="C129" s="34" t="s">
        <v>37</v>
      </c>
      <c r="D129" s="35">
        <v>35</v>
      </c>
      <c r="E129" s="36">
        <v>24996006</v>
      </c>
      <c r="F129" s="36">
        <v>2747993</v>
      </c>
      <c r="G129" s="36">
        <v>0</v>
      </c>
      <c r="H129" s="36">
        <v>12032814</v>
      </c>
      <c r="I129" s="36">
        <v>0</v>
      </c>
      <c r="J129" s="37">
        <v>3314739</v>
      </c>
      <c r="K129" s="36">
        <v>39776814</v>
      </c>
      <c r="L129" s="38">
        <v>43091553</v>
      </c>
      <c r="M129" s="39"/>
      <c r="N129" s="36">
        <v>39776814</v>
      </c>
      <c r="O129" s="36">
        <v>27744000</v>
      </c>
      <c r="P129" s="36">
        <v>0</v>
      </c>
      <c r="Q129" s="36">
        <f>Q128*1936.27</f>
        <v>48085473.238487996</v>
      </c>
      <c r="R129" s="7"/>
      <c r="S129" s="7"/>
      <c r="T129" s="7"/>
      <c r="U129" s="7"/>
      <c r="V129" s="7"/>
      <c r="W129" s="7"/>
      <c r="X129" s="7"/>
      <c r="Y129" s="7"/>
      <c r="Z129" s="7"/>
    </row>
    <row r="130" spans="1:26" ht="12.75" customHeight="1" x14ac:dyDescent="0.2">
      <c r="A130" s="95"/>
      <c r="B130" s="95"/>
      <c r="C130" s="40" t="s">
        <v>36</v>
      </c>
      <c r="D130" s="41">
        <v>36</v>
      </c>
      <c r="E130" s="42">
        <v>13225.43</v>
      </c>
      <c r="F130" s="42">
        <v>1450.21</v>
      </c>
      <c r="G130" s="42">
        <v>0</v>
      </c>
      <c r="H130" s="42">
        <v>6214.43</v>
      </c>
      <c r="I130" s="42">
        <v>0</v>
      </c>
      <c r="J130" s="42">
        <v>1740.84</v>
      </c>
      <c r="K130" s="43">
        <v>20890.07</v>
      </c>
      <c r="L130" s="32">
        <v>22630.91</v>
      </c>
      <c r="M130" s="33"/>
      <c r="N130" s="30">
        <v>20890.07</v>
      </c>
      <c r="O130" s="30">
        <v>14675.64</v>
      </c>
      <c r="P130" s="30"/>
      <c r="Q130" s="30">
        <f>(N130+O130*0.18+J130)+(IF((P130-O130*0.18)&gt;0,(P130-O130*0.18),0))</f>
        <v>25272.5252</v>
      </c>
      <c r="R130" s="7"/>
      <c r="S130" s="7"/>
      <c r="T130" s="7"/>
      <c r="U130" s="7"/>
      <c r="V130" s="7"/>
      <c r="W130" s="7"/>
      <c r="X130" s="7"/>
      <c r="Y130" s="7"/>
      <c r="Z130" s="7"/>
    </row>
    <row r="131" spans="1:26" ht="9" customHeight="1" x14ac:dyDescent="0.2">
      <c r="A131" s="95"/>
      <c r="B131" s="95"/>
      <c r="C131" s="34" t="s">
        <v>37</v>
      </c>
      <c r="D131" s="35">
        <v>37</v>
      </c>
      <c r="E131" s="36">
        <v>25608003</v>
      </c>
      <c r="F131" s="36">
        <v>2807998</v>
      </c>
      <c r="G131" s="36">
        <v>0</v>
      </c>
      <c r="H131" s="36">
        <v>12032814</v>
      </c>
      <c r="I131" s="36">
        <v>0</v>
      </c>
      <c r="J131" s="37">
        <v>3370736</v>
      </c>
      <c r="K131" s="36">
        <v>40448816</v>
      </c>
      <c r="L131" s="38">
        <v>43819552</v>
      </c>
      <c r="M131" s="39"/>
      <c r="N131" s="36">
        <v>40448816</v>
      </c>
      <c r="O131" s="36">
        <v>28416001</v>
      </c>
      <c r="P131" s="36">
        <v>0</v>
      </c>
      <c r="Q131" s="36">
        <f>Q130*1936.27</f>
        <v>48934432.369003996</v>
      </c>
      <c r="R131" s="7"/>
      <c r="S131" s="7"/>
      <c r="T131" s="7"/>
      <c r="U131" s="7"/>
      <c r="V131" s="7"/>
      <c r="W131" s="7"/>
      <c r="X131" s="7"/>
      <c r="Y131" s="7"/>
      <c r="Z131" s="7"/>
    </row>
    <row r="132" spans="1:26" ht="12.75" customHeight="1" x14ac:dyDescent="0.2">
      <c r="A132" s="95"/>
      <c r="B132" s="95"/>
      <c r="C132" s="40" t="s">
        <v>36</v>
      </c>
      <c r="D132" s="41">
        <v>38</v>
      </c>
      <c r="E132" s="42">
        <v>13535.3</v>
      </c>
      <c r="F132" s="42">
        <v>1487.4</v>
      </c>
      <c r="G132" s="42">
        <v>0</v>
      </c>
      <c r="H132" s="42">
        <v>6214.43</v>
      </c>
      <c r="I132" s="42">
        <v>0</v>
      </c>
      <c r="J132" s="42">
        <v>1769.76</v>
      </c>
      <c r="K132" s="43">
        <v>21237.13</v>
      </c>
      <c r="L132" s="32">
        <v>23006.89</v>
      </c>
      <c r="M132" s="33"/>
      <c r="N132" s="30">
        <v>21237.13</v>
      </c>
      <c r="O132" s="30">
        <v>15022.7</v>
      </c>
      <c r="P132" s="30"/>
      <c r="Q132" s="30">
        <f>(N132+O132*0.18+J132)+(IF((P132-O132*0.18)&gt;0,(P132-O132*0.18),0))</f>
        <v>25710.975999999999</v>
      </c>
      <c r="R132" s="7"/>
      <c r="S132" s="7"/>
      <c r="T132" s="7"/>
      <c r="U132" s="7"/>
      <c r="V132" s="7"/>
      <c r="W132" s="7"/>
      <c r="X132" s="7"/>
      <c r="Y132" s="7"/>
      <c r="Z132" s="7"/>
    </row>
    <row r="133" spans="1:26" ht="9" customHeight="1" x14ac:dyDescent="0.2">
      <c r="A133" s="95"/>
      <c r="B133" s="95"/>
      <c r="C133" s="34" t="s">
        <v>37</v>
      </c>
      <c r="D133" s="35">
        <v>39</v>
      </c>
      <c r="E133" s="36">
        <v>26207995</v>
      </c>
      <c r="F133" s="36">
        <v>2880008</v>
      </c>
      <c r="G133" s="36">
        <v>0</v>
      </c>
      <c r="H133" s="36">
        <v>12032814</v>
      </c>
      <c r="I133" s="36">
        <v>0</v>
      </c>
      <c r="J133" s="37">
        <v>3426733</v>
      </c>
      <c r="K133" s="36">
        <v>41120818</v>
      </c>
      <c r="L133" s="38">
        <v>44547551</v>
      </c>
      <c r="M133" s="39"/>
      <c r="N133" s="36">
        <v>41120818</v>
      </c>
      <c r="O133" s="36">
        <v>29088003</v>
      </c>
      <c r="P133" s="36">
        <v>0</v>
      </c>
      <c r="Q133" s="36">
        <f>Q132*1936.27</f>
        <v>49783391.499519996</v>
      </c>
      <c r="R133" s="7"/>
      <c r="S133" s="7"/>
      <c r="T133" s="7"/>
      <c r="U133" s="7"/>
      <c r="V133" s="7"/>
      <c r="W133" s="7"/>
      <c r="X133" s="7"/>
      <c r="Y133" s="7"/>
      <c r="Z133" s="7"/>
    </row>
    <row r="134" spans="1:26" ht="12.75" customHeight="1" x14ac:dyDescent="0.2">
      <c r="A134" s="95"/>
      <c r="B134" s="95"/>
      <c r="C134" s="40" t="s">
        <v>36</v>
      </c>
      <c r="D134" s="41">
        <v>40</v>
      </c>
      <c r="E134" s="42">
        <v>13851.37</v>
      </c>
      <c r="F134" s="42">
        <v>1518.38</v>
      </c>
      <c r="G134" s="42">
        <v>0</v>
      </c>
      <c r="H134" s="42">
        <v>6214.43</v>
      </c>
      <c r="I134" s="42">
        <v>0</v>
      </c>
      <c r="J134" s="42">
        <v>1798.68</v>
      </c>
      <c r="K134" s="43">
        <v>21584.18</v>
      </c>
      <c r="L134" s="32">
        <v>23382.86</v>
      </c>
      <c r="M134" s="33"/>
      <c r="N134" s="30">
        <v>21584.18</v>
      </c>
      <c r="O134" s="30">
        <v>15369.75</v>
      </c>
      <c r="P134" s="30"/>
      <c r="Q134" s="30">
        <f>(N134+O134*0.18+J134)+(IF((P134-O134*0.18)&gt;0,(P134-O134*0.18),0))</f>
        <v>26149.415000000001</v>
      </c>
      <c r="R134" s="7"/>
      <c r="S134" s="7"/>
      <c r="T134" s="7"/>
      <c r="U134" s="7"/>
      <c r="V134" s="7"/>
      <c r="W134" s="7"/>
      <c r="X134" s="7"/>
      <c r="Y134" s="7"/>
      <c r="Z134" s="7"/>
    </row>
    <row r="135" spans="1:26" ht="12.75" customHeight="1" x14ac:dyDescent="0.2">
      <c r="A135" s="95"/>
      <c r="B135" s="95"/>
      <c r="C135" s="115"/>
      <c r="D135" s="45"/>
      <c r="E135" s="116"/>
      <c r="F135" s="116"/>
      <c r="G135" s="116"/>
      <c r="H135" s="116"/>
      <c r="I135" s="116"/>
      <c r="J135" s="117"/>
      <c r="K135" s="118"/>
      <c r="L135" s="119"/>
      <c r="M135" s="33"/>
      <c r="N135" s="116"/>
      <c r="O135" s="116"/>
      <c r="P135" s="116"/>
      <c r="Q135" s="116"/>
      <c r="R135" s="7"/>
      <c r="S135" s="7"/>
      <c r="T135" s="7"/>
      <c r="U135" s="7"/>
      <c r="V135" s="7"/>
      <c r="W135" s="7"/>
      <c r="X135" s="7"/>
      <c r="Y135" s="7"/>
      <c r="Z135" s="7"/>
    </row>
    <row r="136" spans="1:26" ht="12.75" customHeight="1" x14ac:dyDescent="0.2">
      <c r="A136" s="95"/>
      <c r="B136" s="95"/>
      <c r="C136" s="115"/>
      <c r="D136" s="45"/>
      <c r="E136" s="116"/>
      <c r="F136" s="116"/>
      <c r="G136" s="116"/>
      <c r="H136" s="116"/>
      <c r="I136" s="116"/>
      <c r="J136" s="117"/>
      <c r="K136" s="118"/>
      <c r="L136" s="119"/>
      <c r="M136" s="33"/>
      <c r="N136" s="116"/>
      <c r="O136" s="116"/>
      <c r="P136" s="116"/>
      <c r="Q136" s="116"/>
      <c r="R136" s="7"/>
      <c r="S136" s="7"/>
      <c r="T136" s="7"/>
      <c r="U136" s="7"/>
      <c r="V136" s="7"/>
      <c r="W136" s="7"/>
      <c r="X136" s="7"/>
      <c r="Y136" s="7"/>
      <c r="Z136" s="7"/>
    </row>
    <row r="137" spans="1:26" ht="9" customHeight="1" x14ac:dyDescent="0.2">
      <c r="A137" s="110"/>
      <c r="B137" s="110"/>
      <c r="C137" s="47"/>
      <c r="D137" s="48"/>
      <c r="E137" s="46">
        <v>26819992</v>
      </c>
      <c r="F137" s="46">
        <v>2939994</v>
      </c>
      <c r="G137" s="46">
        <v>0</v>
      </c>
      <c r="H137" s="46">
        <v>12032814</v>
      </c>
      <c r="I137" s="46">
        <v>0</v>
      </c>
      <c r="J137" s="49">
        <v>3482730</v>
      </c>
      <c r="K137" s="46">
        <v>41792800</v>
      </c>
      <c r="L137" s="38">
        <v>45275530</v>
      </c>
      <c r="M137" s="39"/>
      <c r="N137" s="36">
        <v>41792800</v>
      </c>
      <c r="O137" s="36">
        <v>29759986</v>
      </c>
      <c r="P137" s="36">
        <v>0</v>
      </c>
      <c r="Q137" s="36">
        <f>Q134*1936.27</f>
        <v>50632327.782049999</v>
      </c>
      <c r="R137" s="7"/>
      <c r="S137" s="7"/>
      <c r="T137" s="7"/>
      <c r="U137" s="7"/>
      <c r="V137" s="7"/>
      <c r="W137" s="7"/>
      <c r="X137" s="7"/>
      <c r="Y137" s="7"/>
      <c r="Z137" s="7"/>
    </row>
    <row r="138" spans="1:26" ht="12.75" customHeight="1" x14ac:dyDescent="0.2">
      <c r="A138" s="98">
        <v>33543</v>
      </c>
      <c r="B138" s="98">
        <v>33969</v>
      </c>
      <c r="C138" s="28" t="s">
        <v>36</v>
      </c>
      <c r="D138" s="29">
        <v>0</v>
      </c>
      <c r="E138" s="30">
        <v>6674.69</v>
      </c>
      <c r="F138" s="30">
        <v>731.3</v>
      </c>
      <c r="G138" s="30">
        <v>0</v>
      </c>
      <c r="H138" s="30">
        <v>6459.63</v>
      </c>
      <c r="I138" s="30">
        <v>0</v>
      </c>
      <c r="J138" s="30">
        <v>1155.47</v>
      </c>
      <c r="K138" s="31">
        <v>13865.62</v>
      </c>
      <c r="L138" s="32">
        <v>15021.09</v>
      </c>
      <c r="M138" s="33"/>
      <c r="N138" s="30">
        <v>13865.62</v>
      </c>
      <c r="O138" s="30">
        <v>7405.99</v>
      </c>
      <c r="P138" s="30"/>
      <c r="Q138" s="30">
        <f>(N138+O138*0.18+J138)+(IF((P138-O138*0.18)&gt;0,(P138-O138*0.18),0))</f>
        <v>16354.1682</v>
      </c>
      <c r="R138" s="7"/>
      <c r="S138" s="7"/>
      <c r="T138" s="7"/>
      <c r="U138" s="7"/>
      <c r="V138" s="7"/>
      <c r="W138" s="7"/>
      <c r="X138" s="7"/>
      <c r="Y138" s="7"/>
      <c r="Z138" s="7"/>
    </row>
    <row r="139" spans="1:26" ht="9" customHeight="1" x14ac:dyDescent="0.2">
      <c r="A139" s="95"/>
      <c r="B139" s="95"/>
      <c r="C139" s="34" t="s">
        <v>37</v>
      </c>
      <c r="D139" s="35">
        <v>2</v>
      </c>
      <c r="E139" s="36">
        <v>12924002</v>
      </c>
      <c r="F139" s="36">
        <v>1415994</v>
      </c>
      <c r="G139" s="36">
        <v>0</v>
      </c>
      <c r="H139" s="36">
        <v>12507588</v>
      </c>
      <c r="I139" s="36">
        <v>0</v>
      </c>
      <c r="J139" s="37">
        <v>2237302</v>
      </c>
      <c r="K139" s="36">
        <v>26847584</v>
      </c>
      <c r="L139" s="38">
        <v>29084886</v>
      </c>
      <c r="M139" s="39"/>
      <c r="N139" s="36">
        <v>26847584</v>
      </c>
      <c r="O139" s="36">
        <v>14339996</v>
      </c>
      <c r="P139" s="36">
        <v>0</v>
      </c>
      <c r="Q139" s="36">
        <f>Q138*1936.27</f>
        <v>31666085.260614</v>
      </c>
      <c r="R139" s="7"/>
      <c r="S139" s="7"/>
      <c r="T139" s="7"/>
      <c r="U139" s="7"/>
      <c r="V139" s="7"/>
      <c r="W139" s="7"/>
      <c r="X139" s="7"/>
      <c r="Y139" s="7"/>
      <c r="Z139" s="7"/>
    </row>
    <row r="140" spans="1:26" ht="12.75" customHeight="1" x14ac:dyDescent="0.2">
      <c r="A140" s="155">
        <v>33543</v>
      </c>
      <c r="B140" s="155">
        <v>33969</v>
      </c>
      <c r="C140" s="40" t="s">
        <v>36</v>
      </c>
      <c r="D140" s="41">
        <v>3</v>
      </c>
      <c r="E140" s="42">
        <v>7027.95</v>
      </c>
      <c r="F140" s="42">
        <v>768.49</v>
      </c>
      <c r="G140" s="42">
        <v>0</v>
      </c>
      <c r="H140" s="42">
        <v>6459.63</v>
      </c>
      <c r="I140" s="42">
        <v>0</v>
      </c>
      <c r="J140" s="42">
        <v>1188.01</v>
      </c>
      <c r="K140" s="43">
        <v>14256.07</v>
      </c>
      <c r="L140" s="32">
        <v>15444.08</v>
      </c>
      <c r="M140" s="33"/>
      <c r="N140" s="30">
        <v>14256.07</v>
      </c>
      <c r="O140" s="30">
        <v>7796.44</v>
      </c>
      <c r="P140" s="30"/>
      <c r="Q140" s="30">
        <f>(N140+O140*0.18+J140)+(IF((P140-O140*0.18)&gt;0,(P140-O140*0.18),0))</f>
        <v>16847.439199999997</v>
      </c>
      <c r="R140" s="7"/>
      <c r="S140" s="7"/>
      <c r="T140" s="7"/>
      <c r="U140" s="7"/>
      <c r="V140" s="7"/>
      <c r="W140" s="7"/>
      <c r="X140" s="7"/>
      <c r="Y140" s="7"/>
      <c r="Z140" s="7"/>
    </row>
    <row r="141" spans="1:26" ht="9" customHeight="1" x14ac:dyDescent="0.2">
      <c r="A141" s="95"/>
      <c r="B141" s="95"/>
      <c r="C141" s="34" t="s">
        <v>37</v>
      </c>
      <c r="D141" s="35">
        <v>4</v>
      </c>
      <c r="E141" s="36">
        <v>13608009</v>
      </c>
      <c r="F141" s="36">
        <v>1488004</v>
      </c>
      <c r="G141" s="36">
        <v>0</v>
      </c>
      <c r="H141" s="36">
        <v>12507588</v>
      </c>
      <c r="I141" s="36">
        <v>0</v>
      </c>
      <c r="J141" s="37">
        <v>2300308</v>
      </c>
      <c r="K141" s="36">
        <v>27603601</v>
      </c>
      <c r="L141" s="38">
        <v>29903909</v>
      </c>
      <c r="M141" s="39"/>
      <c r="N141" s="36">
        <v>27603601</v>
      </c>
      <c r="O141" s="36">
        <v>15096013</v>
      </c>
      <c r="P141" s="36">
        <v>0</v>
      </c>
      <c r="Q141" s="36">
        <f>Q140*1936.27</f>
        <v>32621191.099783994</v>
      </c>
      <c r="R141" s="7"/>
      <c r="S141" s="7"/>
      <c r="T141" s="7"/>
      <c r="U141" s="7"/>
      <c r="V141" s="7"/>
      <c r="W141" s="7"/>
      <c r="X141" s="7"/>
      <c r="Y141" s="7"/>
      <c r="Z141" s="7"/>
    </row>
    <row r="142" spans="1:26" ht="12.75" customHeight="1" x14ac:dyDescent="0.2">
      <c r="A142" s="95"/>
      <c r="B142" s="95"/>
      <c r="C142" s="40" t="s">
        <v>36</v>
      </c>
      <c r="D142" s="41">
        <v>5</v>
      </c>
      <c r="E142" s="42">
        <v>7387.4</v>
      </c>
      <c r="F142" s="42">
        <v>811.87</v>
      </c>
      <c r="G142" s="42">
        <v>0</v>
      </c>
      <c r="H142" s="42">
        <v>6459.63</v>
      </c>
      <c r="I142" s="42">
        <v>0</v>
      </c>
      <c r="J142" s="42">
        <v>1221.58</v>
      </c>
      <c r="K142" s="43">
        <v>14658.9</v>
      </c>
      <c r="L142" s="32">
        <v>15880.48</v>
      </c>
      <c r="M142" s="33"/>
      <c r="N142" s="30">
        <v>14658.9</v>
      </c>
      <c r="O142" s="30">
        <v>8199.27</v>
      </c>
      <c r="P142" s="30"/>
      <c r="Q142" s="30">
        <f>(N142+O142*0.18+J142)+(IF((P142-O142*0.18)&gt;0,(P142-O142*0.18),0))</f>
        <v>17356.348599999998</v>
      </c>
      <c r="R142" s="7"/>
      <c r="S142" s="7"/>
      <c r="T142" s="7"/>
      <c r="U142" s="7"/>
      <c r="V142" s="7"/>
      <c r="W142" s="7"/>
      <c r="X142" s="7"/>
      <c r="Y142" s="7"/>
      <c r="Z142" s="7"/>
    </row>
    <row r="143" spans="1:26" ht="9" customHeight="1" x14ac:dyDescent="0.2">
      <c r="A143" s="95"/>
      <c r="B143" s="95"/>
      <c r="C143" s="34" t="s">
        <v>37</v>
      </c>
      <c r="D143" s="35">
        <v>6</v>
      </c>
      <c r="E143" s="36">
        <v>14304001</v>
      </c>
      <c r="F143" s="36">
        <v>1572000</v>
      </c>
      <c r="G143" s="36">
        <v>0</v>
      </c>
      <c r="H143" s="36">
        <v>12507588</v>
      </c>
      <c r="I143" s="36">
        <v>0</v>
      </c>
      <c r="J143" s="37">
        <v>2365309</v>
      </c>
      <c r="K143" s="36">
        <v>28383588</v>
      </c>
      <c r="L143" s="38">
        <v>30748897</v>
      </c>
      <c r="M143" s="39"/>
      <c r="N143" s="36">
        <v>28383588</v>
      </c>
      <c r="O143" s="36">
        <v>15876001</v>
      </c>
      <c r="P143" s="36">
        <v>0</v>
      </c>
      <c r="Q143" s="36">
        <f>Q142*1936.27</f>
        <v>33606577.103721991</v>
      </c>
      <c r="R143" s="7"/>
      <c r="S143" s="7"/>
      <c r="T143" s="7"/>
      <c r="U143" s="7"/>
      <c r="V143" s="7"/>
      <c r="W143" s="7"/>
      <c r="X143" s="7"/>
      <c r="Y143" s="7"/>
      <c r="Z143" s="7"/>
    </row>
    <row r="144" spans="1:26" ht="12.75" customHeight="1" x14ac:dyDescent="0.2">
      <c r="A144" s="95"/>
      <c r="B144" s="95"/>
      <c r="C144" s="40" t="s">
        <v>36</v>
      </c>
      <c r="D144" s="41">
        <v>7</v>
      </c>
      <c r="E144" s="42">
        <v>7740.66</v>
      </c>
      <c r="F144" s="42">
        <v>849.06</v>
      </c>
      <c r="G144" s="42">
        <v>0</v>
      </c>
      <c r="H144" s="42">
        <v>6459.63</v>
      </c>
      <c r="I144" s="42">
        <v>0</v>
      </c>
      <c r="J144" s="42">
        <v>1254.1099999999999</v>
      </c>
      <c r="K144" s="43">
        <v>15049.35</v>
      </c>
      <c r="L144" s="32">
        <v>16303.46</v>
      </c>
      <c r="M144" s="33"/>
      <c r="N144" s="30">
        <v>15049.35</v>
      </c>
      <c r="O144" s="30">
        <v>8589.7199999999993</v>
      </c>
      <c r="P144" s="30"/>
      <c r="Q144" s="30">
        <f>(N144+O144*0.18+J144)+(IF((P144-O144*0.18)&gt;0,(P144-O144*0.18),0))</f>
        <v>17849.6096</v>
      </c>
      <c r="R144" s="7"/>
      <c r="S144" s="7"/>
      <c r="T144" s="7"/>
      <c r="U144" s="7"/>
      <c r="V144" s="7"/>
      <c r="W144" s="7"/>
      <c r="X144" s="7"/>
      <c r="Y144" s="7"/>
      <c r="Z144" s="7"/>
    </row>
    <row r="145" spans="1:26" ht="9" customHeight="1" x14ac:dyDescent="0.2">
      <c r="A145" s="95"/>
      <c r="B145" s="95"/>
      <c r="C145" s="34" t="s">
        <v>37</v>
      </c>
      <c r="D145" s="35">
        <v>8</v>
      </c>
      <c r="E145" s="36">
        <v>14988008</v>
      </c>
      <c r="F145" s="36">
        <v>1644009</v>
      </c>
      <c r="G145" s="36">
        <v>0</v>
      </c>
      <c r="H145" s="36">
        <v>12507588</v>
      </c>
      <c r="I145" s="36">
        <v>0</v>
      </c>
      <c r="J145" s="37">
        <v>2428296</v>
      </c>
      <c r="K145" s="36">
        <v>29139605</v>
      </c>
      <c r="L145" s="38">
        <v>31567900</v>
      </c>
      <c r="M145" s="39"/>
      <c r="N145" s="36">
        <v>29139605</v>
      </c>
      <c r="O145" s="36">
        <v>16632017</v>
      </c>
      <c r="P145" s="36">
        <v>0</v>
      </c>
      <c r="Q145" s="36">
        <f>Q144*1936.27</f>
        <v>34561663.580192</v>
      </c>
      <c r="R145" s="7"/>
      <c r="S145" s="7"/>
      <c r="T145" s="7"/>
      <c r="U145" s="7"/>
      <c r="V145" s="7"/>
      <c r="W145" s="7"/>
      <c r="X145" s="7"/>
      <c r="Y145" s="7"/>
      <c r="Z145" s="7"/>
    </row>
    <row r="146" spans="1:26" ht="12.75" customHeight="1" x14ac:dyDescent="0.2">
      <c r="A146" s="95"/>
      <c r="B146" s="95"/>
      <c r="C146" s="40" t="s">
        <v>36</v>
      </c>
      <c r="D146" s="41">
        <v>9</v>
      </c>
      <c r="E146" s="42">
        <v>8155.89</v>
      </c>
      <c r="F146" s="42">
        <v>892.44</v>
      </c>
      <c r="G146" s="42">
        <v>0</v>
      </c>
      <c r="H146" s="42">
        <v>6459.63</v>
      </c>
      <c r="I146" s="42">
        <v>0</v>
      </c>
      <c r="J146" s="42">
        <v>1292.33</v>
      </c>
      <c r="K146" s="43">
        <v>15507.96</v>
      </c>
      <c r="L146" s="32">
        <v>16800.29</v>
      </c>
      <c r="M146" s="33"/>
      <c r="N146" s="30">
        <v>15507.96</v>
      </c>
      <c r="O146" s="30">
        <v>9048.33</v>
      </c>
      <c r="P146" s="30"/>
      <c r="Q146" s="30">
        <f>(N146+O146*0.18+J146)+(IF((P146-O146*0.18)&gt;0,(P146-O146*0.18),0))</f>
        <v>18428.989399999999</v>
      </c>
      <c r="R146" s="7"/>
      <c r="S146" s="7"/>
      <c r="T146" s="7"/>
      <c r="U146" s="7"/>
      <c r="V146" s="7"/>
      <c r="W146" s="7"/>
      <c r="X146" s="7"/>
      <c r="Y146" s="7"/>
      <c r="Z146" s="7"/>
    </row>
    <row r="147" spans="1:26" ht="9" customHeight="1" x14ac:dyDescent="0.2">
      <c r="A147" s="95"/>
      <c r="B147" s="95"/>
      <c r="C147" s="34" t="s">
        <v>37</v>
      </c>
      <c r="D147" s="35">
        <v>10</v>
      </c>
      <c r="E147" s="36">
        <v>15792005</v>
      </c>
      <c r="F147" s="36">
        <v>1728005</v>
      </c>
      <c r="G147" s="36">
        <v>0</v>
      </c>
      <c r="H147" s="36">
        <v>12507588</v>
      </c>
      <c r="I147" s="36">
        <v>0</v>
      </c>
      <c r="J147" s="37">
        <v>2502300</v>
      </c>
      <c r="K147" s="36">
        <v>30027598</v>
      </c>
      <c r="L147" s="38">
        <v>32529898</v>
      </c>
      <c r="M147" s="39"/>
      <c r="N147" s="36">
        <v>30027598</v>
      </c>
      <c r="O147" s="36">
        <v>17520010</v>
      </c>
      <c r="P147" s="36">
        <v>0</v>
      </c>
      <c r="Q147" s="36">
        <f>Q146*1936.27</f>
        <v>35683499.305537999</v>
      </c>
      <c r="R147" s="7"/>
      <c r="S147" s="7"/>
      <c r="T147" s="7"/>
      <c r="U147" s="7"/>
      <c r="V147" s="7"/>
      <c r="W147" s="7"/>
      <c r="X147" s="7"/>
      <c r="Y147" s="7"/>
      <c r="Z147" s="7"/>
    </row>
    <row r="148" spans="1:26" ht="12.75" customHeight="1" x14ac:dyDescent="0.2">
      <c r="A148" s="95"/>
      <c r="B148" s="95"/>
      <c r="C148" s="40" t="s">
        <v>36</v>
      </c>
      <c r="D148" s="41">
        <v>11</v>
      </c>
      <c r="E148" s="42">
        <v>8527.74</v>
      </c>
      <c r="F148" s="42">
        <v>935.82</v>
      </c>
      <c r="G148" s="42">
        <v>0</v>
      </c>
      <c r="H148" s="42">
        <v>6459.63</v>
      </c>
      <c r="I148" s="42">
        <v>0</v>
      </c>
      <c r="J148" s="42">
        <v>1326.93</v>
      </c>
      <c r="K148" s="43">
        <v>15923.19</v>
      </c>
      <c r="L148" s="32">
        <v>17250.12</v>
      </c>
      <c r="M148" s="33"/>
      <c r="N148" s="30">
        <v>15923.19</v>
      </c>
      <c r="O148" s="30">
        <v>9463.56</v>
      </c>
      <c r="P148" s="30"/>
      <c r="Q148" s="30">
        <f>(N148+O148*0.18+J148)+(IF((P148-O148*0.18)&gt;0,(P148-O148*0.18),0))</f>
        <v>18953.560799999999</v>
      </c>
      <c r="R148" s="7"/>
      <c r="S148" s="7"/>
      <c r="T148" s="7"/>
      <c r="U148" s="7"/>
      <c r="V148" s="7"/>
      <c r="W148" s="7"/>
      <c r="X148" s="7"/>
      <c r="Y148" s="7"/>
      <c r="Z148" s="7"/>
    </row>
    <row r="149" spans="1:26" ht="9" customHeight="1" x14ac:dyDescent="0.2">
      <c r="A149" s="95"/>
      <c r="B149" s="95"/>
      <c r="C149" s="34" t="s">
        <v>37</v>
      </c>
      <c r="D149" s="35">
        <v>12</v>
      </c>
      <c r="E149" s="36">
        <v>16512007</v>
      </c>
      <c r="F149" s="36">
        <v>1812000</v>
      </c>
      <c r="G149" s="36">
        <v>0</v>
      </c>
      <c r="H149" s="36">
        <v>12507588</v>
      </c>
      <c r="I149" s="36">
        <v>0</v>
      </c>
      <c r="J149" s="37">
        <v>2569295</v>
      </c>
      <c r="K149" s="36">
        <v>30831595</v>
      </c>
      <c r="L149" s="38">
        <v>33400890</v>
      </c>
      <c r="M149" s="39"/>
      <c r="N149" s="36">
        <v>30831595</v>
      </c>
      <c r="O149" s="36">
        <v>18324007</v>
      </c>
      <c r="P149" s="36">
        <v>0</v>
      </c>
      <c r="Q149" s="36">
        <f>Q148*1936.27</f>
        <v>36699211.170216002</v>
      </c>
      <c r="R149" s="7"/>
      <c r="S149" s="7"/>
      <c r="T149" s="7"/>
      <c r="U149" s="7"/>
      <c r="V149" s="7"/>
      <c r="W149" s="7"/>
      <c r="X149" s="7"/>
      <c r="Y149" s="7"/>
      <c r="Z149" s="7"/>
    </row>
    <row r="150" spans="1:26" ht="12.75" customHeight="1" x14ac:dyDescent="0.2">
      <c r="A150" s="95"/>
      <c r="B150" s="95"/>
      <c r="C150" s="40" t="s">
        <v>36</v>
      </c>
      <c r="D150" s="41">
        <v>13</v>
      </c>
      <c r="E150" s="42">
        <v>8980.15</v>
      </c>
      <c r="F150" s="42">
        <v>985.4</v>
      </c>
      <c r="G150" s="42">
        <v>0</v>
      </c>
      <c r="H150" s="42">
        <v>6459.63</v>
      </c>
      <c r="I150" s="42">
        <v>0</v>
      </c>
      <c r="J150" s="42">
        <v>1368.77</v>
      </c>
      <c r="K150" s="43">
        <v>16425.18</v>
      </c>
      <c r="L150" s="32">
        <v>17793.95</v>
      </c>
      <c r="M150" s="33"/>
      <c r="N150" s="30">
        <v>16425.18</v>
      </c>
      <c r="O150" s="30">
        <v>9965.5499999999993</v>
      </c>
      <c r="P150" s="30"/>
      <c r="Q150" s="30">
        <f>(N150+O150*0.18+J150)+(IF((P150-O150*0.18)&gt;0,(P150-O150*0.18),0))</f>
        <v>19587.749</v>
      </c>
      <c r="R150" s="7"/>
      <c r="S150" s="7"/>
      <c r="T150" s="7"/>
      <c r="U150" s="7"/>
      <c r="V150" s="7"/>
      <c r="W150" s="7"/>
      <c r="X150" s="7"/>
      <c r="Y150" s="7"/>
      <c r="Z150" s="7"/>
    </row>
    <row r="151" spans="1:26" ht="9" customHeight="1" x14ac:dyDescent="0.2">
      <c r="A151" s="95"/>
      <c r="B151" s="95"/>
      <c r="C151" s="34" t="s">
        <v>37</v>
      </c>
      <c r="D151" s="35">
        <v>14</v>
      </c>
      <c r="E151" s="36">
        <v>17387995</v>
      </c>
      <c r="F151" s="36">
        <v>1908000</v>
      </c>
      <c r="G151" s="36">
        <v>0</v>
      </c>
      <c r="H151" s="36">
        <v>12507588</v>
      </c>
      <c r="I151" s="36">
        <v>0</v>
      </c>
      <c r="J151" s="37">
        <v>2650308</v>
      </c>
      <c r="K151" s="36">
        <v>31803583</v>
      </c>
      <c r="L151" s="38">
        <v>34453892</v>
      </c>
      <c r="M151" s="39"/>
      <c r="N151" s="36">
        <v>31803583</v>
      </c>
      <c r="O151" s="36">
        <v>19295995</v>
      </c>
      <c r="P151" s="36">
        <v>0</v>
      </c>
      <c r="Q151" s="36">
        <f>Q150*1936.27</f>
        <v>37927170.756229997</v>
      </c>
      <c r="R151" s="7"/>
      <c r="S151" s="7"/>
      <c r="T151" s="7"/>
      <c r="U151" s="7"/>
      <c r="V151" s="7"/>
      <c r="W151" s="7"/>
      <c r="X151" s="7"/>
      <c r="Y151" s="7"/>
      <c r="Z151" s="7"/>
    </row>
    <row r="152" spans="1:26" ht="12.75" customHeight="1" x14ac:dyDescent="0.2">
      <c r="A152" s="95"/>
      <c r="B152" s="95"/>
      <c r="C152" s="40" t="s">
        <v>36</v>
      </c>
      <c r="D152" s="41">
        <v>15</v>
      </c>
      <c r="E152" s="42">
        <v>9463.56</v>
      </c>
      <c r="F152" s="42">
        <v>1034.98</v>
      </c>
      <c r="G152" s="42">
        <v>0</v>
      </c>
      <c r="H152" s="42">
        <v>6459.63</v>
      </c>
      <c r="I152" s="42">
        <v>0</v>
      </c>
      <c r="J152" s="42">
        <v>1413.18</v>
      </c>
      <c r="K152" s="43">
        <v>16958.169999999998</v>
      </c>
      <c r="L152" s="32">
        <v>18371.349999999999</v>
      </c>
      <c r="M152" s="33"/>
      <c r="N152" s="30">
        <v>16958.169999999998</v>
      </c>
      <c r="O152" s="30">
        <v>10498.54</v>
      </c>
      <c r="P152" s="30"/>
      <c r="Q152" s="30">
        <f>(N152+O152*0.18+J152)+(IF((P152-O152*0.18)&gt;0,(P152-O152*0.18),0))</f>
        <v>20261.087199999998</v>
      </c>
      <c r="R152" s="7"/>
      <c r="S152" s="7"/>
      <c r="T152" s="7"/>
      <c r="U152" s="7"/>
      <c r="V152" s="7"/>
      <c r="W152" s="7"/>
      <c r="X152" s="7"/>
      <c r="Y152" s="7"/>
      <c r="Z152" s="7"/>
    </row>
    <row r="153" spans="1:26" ht="9" customHeight="1" x14ac:dyDescent="0.2">
      <c r="A153" s="95"/>
      <c r="B153" s="95"/>
      <c r="C153" s="34" t="s">
        <v>37</v>
      </c>
      <c r="D153" s="35">
        <v>16</v>
      </c>
      <c r="E153" s="36">
        <v>18324007</v>
      </c>
      <c r="F153" s="36">
        <v>2004001</v>
      </c>
      <c r="G153" s="36">
        <v>0</v>
      </c>
      <c r="H153" s="36">
        <v>12507588</v>
      </c>
      <c r="I153" s="36">
        <v>0</v>
      </c>
      <c r="J153" s="37">
        <v>2736298</v>
      </c>
      <c r="K153" s="36">
        <v>32835596</v>
      </c>
      <c r="L153" s="38">
        <v>35571894</v>
      </c>
      <c r="M153" s="39"/>
      <c r="N153" s="36">
        <v>32835596</v>
      </c>
      <c r="O153" s="36">
        <v>20328008</v>
      </c>
      <c r="P153" s="36">
        <v>0</v>
      </c>
      <c r="Q153" s="36">
        <f>Q152*1936.27</f>
        <v>39230935.312743999</v>
      </c>
      <c r="R153" s="7"/>
      <c r="S153" s="7"/>
      <c r="T153" s="7"/>
      <c r="U153" s="7"/>
      <c r="V153" s="7"/>
      <c r="W153" s="7"/>
      <c r="X153" s="7"/>
      <c r="Y153" s="7"/>
      <c r="Z153" s="7"/>
    </row>
    <row r="154" spans="1:26" ht="12.75" customHeight="1" x14ac:dyDescent="0.2">
      <c r="A154" s="95"/>
      <c r="B154" s="95"/>
      <c r="C154" s="40" t="s">
        <v>36</v>
      </c>
      <c r="D154" s="41">
        <v>17</v>
      </c>
      <c r="E154" s="42">
        <v>9940.76</v>
      </c>
      <c r="F154" s="42">
        <v>1090.76</v>
      </c>
      <c r="G154" s="42">
        <v>0</v>
      </c>
      <c r="H154" s="42">
        <v>6459.63</v>
      </c>
      <c r="I154" s="42">
        <v>0</v>
      </c>
      <c r="J154" s="42">
        <v>1457.6</v>
      </c>
      <c r="K154" s="43">
        <v>17491.150000000001</v>
      </c>
      <c r="L154" s="32">
        <v>18948.75</v>
      </c>
      <c r="M154" s="33"/>
      <c r="N154" s="30">
        <v>17491.150000000001</v>
      </c>
      <c r="O154" s="30">
        <v>11031.52</v>
      </c>
      <c r="P154" s="30"/>
      <c r="Q154" s="30">
        <f>(N154+O154*0.18+J154)+(IF((P154-O154*0.18)&gt;0,(P154-O154*0.18),0))</f>
        <v>20934.423600000002</v>
      </c>
      <c r="R154" s="7"/>
      <c r="S154" s="7"/>
      <c r="T154" s="7"/>
      <c r="U154" s="7"/>
      <c r="V154" s="7"/>
      <c r="W154" s="7"/>
      <c r="X154" s="7"/>
      <c r="Y154" s="7"/>
      <c r="Z154" s="7"/>
    </row>
    <row r="155" spans="1:26" ht="9" customHeight="1" x14ac:dyDescent="0.2">
      <c r="A155" s="95"/>
      <c r="B155" s="95"/>
      <c r="C155" s="34" t="s">
        <v>37</v>
      </c>
      <c r="D155" s="35">
        <v>17</v>
      </c>
      <c r="E155" s="36">
        <v>19247995</v>
      </c>
      <c r="F155" s="36">
        <v>2112006</v>
      </c>
      <c r="G155" s="36">
        <v>0</v>
      </c>
      <c r="H155" s="36">
        <v>12507588</v>
      </c>
      <c r="I155" s="36">
        <v>0</v>
      </c>
      <c r="J155" s="37">
        <v>2822307</v>
      </c>
      <c r="K155" s="36">
        <v>33867589</v>
      </c>
      <c r="L155" s="38">
        <v>36689896</v>
      </c>
      <c r="M155" s="39"/>
      <c r="N155" s="36">
        <v>33867589</v>
      </c>
      <c r="O155" s="36">
        <v>21360001</v>
      </c>
      <c r="P155" s="36">
        <v>0</v>
      </c>
      <c r="Q155" s="36">
        <f>Q154*1936.27</f>
        <v>40534696.383972004</v>
      </c>
      <c r="R155" s="7"/>
      <c r="S155" s="7"/>
      <c r="T155" s="7"/>
      <c r="U155" s="7"/>
      <c r="V155" s="7"/>
      <c r="W155" s="7"/>
      <c r="X155" s="7"/>
      <c r="Y155" s="7"/>
      <c r="Z155" s="7"/>
    </row>
    <row r="156" spans="1:26" ht="12.75" customHeight="1" x14ac:dyDescent="0.2">
      <c r="A156" s="95"/>
      <c r="B156" s="95"/>
      <c r="C156" s="40" t="s">
        <v>36</v>
      </c>
      <c r="D156" s="41">
        <v>18</v>
      </c>
      <c r="E156" s="42">
        <v>10417.969999999999</v>
      </c>
      <c r="F156" s="42">
        <v>1146.53</v>
      </c>
      <c r="G156" s="42">
        <v>0</v>
      </c>
      <c r="H156" s="42">
        <v>6459.63</v>
      </c>
      <c r="I156" s="42">
        <v>0</v>
      </c>
      <c r="J156" s="42">
        <v>1502.01</v>
      </c>
      <c r="K156" s="43">
        <v>18024.13</v>
      </c>
      <c r="L156" s="32">
        <v>19526.14</v>
      </c>
      <c r="M156" s="33"/>
      <c r="N156" s="30">
        <v>18024.13</v>
      </c>
      <c r="O156" s="30">
        <v>11564.5</v>
      </c>
      <c r="P156" s="30"/>
      <c r="Q156" s="30">
        <f>(N156+O156*0.18+J156)+(IF((P156-O156*0.18)&gt;0,(P156-O156*0.18),0))</f>
        <v>21607.75</v>
      </c>
      <c r="R156" s="7"/>
      <c r="S156" s="7"/>
      <c r="T156" s="7"/>
      <c r="U156" s="7"/>
      <c r="V156" s="7"/>
      <c r="W156" s="7"/>
      <c r="X156" s="7"/>
      <c r="Y156" s="7"/>
      <c r="Z156" s="7"/>
    </row>
    <row r="157" spans="1:26" ht="9" customHeight="1" x14ac:dyDescent="0.2">
      <c r="A157" s="95"/>
      <c r="B157" s="95"/>
      <c r="C157" s="34" t="s">
        <v>37</v>
      </c>
      <c r="D157" s="35">
        <v>19</v>
      </c>
      <c r="E157" s="36">
        <v>20172003</v>
      </c>
      <c r="F157" s="36">
        <v>2219992</v>
      </c>
      <c r="G157" s="36">
        <v>0</v>
      </c>
      <c r="H157" s="36">
        <v>12507588</v>
      </c>
      <c r="I157" s="36">
        <v>0</v>
      </c>
      <c r="J157" s="37">
        <v>2908297</v>
      </c>
      <c r="K157" s="36">
        <v>34899582</v>
      </c>
      <c r="L157" s="38">
        <v>37807879</v>
      </c>
      <c r="M157" s="39"/>
      <c r="N157" s="36">
        <v>34899582</v>
      </c>
      <c r="O157" s="36">
        <v>22391994</v>
      </c>
      <c r="P157" s="36">
        <v>0</v>
      </c>
      <c r="Q157" s="36">
        <f>Q156*1936.27</f>
        <v>41838438.092500001</v>
      </c>
      <c r="R157" s="7"/>
      <c r="S157" s="7"/>
      <c r="T157" s="7"/>
      <c r="U157" s="7"/>
      <c r="V157" s="7"/>
      <c r="W157" s="7"/>
      <c r="X157" s="7"/>
      <c r="Y157" s="7"/>
      <c r="Z157" s="7"/>
    </row>
    <row r="158" spans="1:26" ht="12.75" customHeight="1" x14ac:dyDescent="0.2">
      <c r="A158" s="95"/>
      <c r="B158" s="95"/>
      <c r="C158" s="40" t="s">
        <v>36</v>
      </c>
      <c r="D158" s="41">
        <v>20</v>
      </c>
      <c r="E158" s="42">
        <v>10734.04</v>
      </c>
      <c r="F158" s="42">
        <v>1177.52</v>
      </c>
      <c r="G158" s="42">
        <v>0</v>
      </c>
      <c r="H158" s="42">
        <v>6459.63</v>
      </c>
      <c r="I158" s="42">
        <v>0</v>
      </c>
      <c r="J158" s="42">
        <v>1530.93</v>
      </c>
      <c r="K158" s="43">
        <v>18371.189999999999</v>
      </c>
      <c r="L158" s="32">
        <v>19902.12</v>
      </c>
      <c r="M158" s="33"/>
      <c r="N158" s="30">
        <v>18371.189999999999</v>
      </c>
      <c r="O158" s="30">
        <v>11911.56</v>
      </c>
      <c r="P158" s="30"/>
      <c r="Q158" s="30">
        <f>(N158+O158*0.18+J158)+(IF((P158-O158*0.18)&gt;0,(P158-O158*0.18),0))</f>
        <v>22046.200799999999</v>
      </c>
      <c r="R158" s="7"/>
      <c r="S158" s="7"/>
      <c r="T158" s="7"/>
      <c r="U158" s="7"/>
      <c r="V158" s="7"/>
      <c r="W158" s="7"/>
      <c r="X158" s="7"/>
      <c r="Y158" s="7"/>
      <c r="Z158" s="7"/>
    </row>
    <row r="159" spans="1:26" ht="9" customHeight="1" x14ac:dyDescent="0.2">
      <c r="A159" s="95"/>
      <c r="B159" s="95"/>
      <c r="C159" s="34" t="s">
        <v>37</v>
      </c>
      <c r="D159" s="35">
        <v>21</v>
      </c>
      <c r="E159" s="36">
        <v>20784000</v>
      </c>
      <c r="F159" s="36">
        <v>2279997</v>
      </c>
      <c r="G159" s="36">
        <v>0</v>
      </c>
      <c r="H159" s="36">
        <v>12507588</v>
      </c>
      <c r="I159" s="36">
        <v>0</v>
      </c>
      <c r="J159" s="37">
        <v>2964294</v>
      </c>
      <c r="K159" s="36">
        <v>35571584</v>
      </c>
      <c r="L159" s="38">
        <v>38535878</v>
      </c>
      <c r="M159" s="39"/>
      <c r="N159" s="36">
        <v>35571584</v>
      </c>
      <c r="O159" s="36">
        <v>23063996</v>
      </c>
      <c r="P159" s="36">
        <v>0</v>
      </c>
      <c r="Q159" s="36">
        <f>Q158*1936.27</f>
        <v>42687397.223015994</v>
      </c>
      <c r="R159" s="7"/>
      <c r="S159" s="7"/>
      <c r="T159" s="7"/>
      <c r="U159" s="7"/>
      <c r="V159" s="7"/>
      <c r="W159" s="7"/>
      <c r="X159" s="7"/>
      <c r="Y159" s="7"/>
      <c r="Z159" s="7"/>
    </row>
    <row r="160" spans="1:26" ht="12.75" customHeight="1" x14ac:dyDescent="0.2">
      <c r="A160" s="95"/>
      <c r="B160" s="95"/>
      <c r="C160" s="40" t="s">
        <v>36</v>
      </c>
      <c r="D160" s="41">
        <v>22</v>
      </c>
      <c r="E160" s="42">
        <v>11037.72</v>
      </c>
      <c r="F160" s="42">
        <v>1214.71</v>
      </c>
      <c r="G160" s="42">
        <v>0</v>
      </c>
      <c r="H160" s="42">
        <v>6459.63</v>
      </c>
      <c r="I160" s="42">
        <v>0</v>
      </c>
      <c r="J160" s="42">
        <v>1559.34</v>
      </c>
      <c r="K160" s="43">
        <v>18712.060000000001</v>
      </c>
      <c r="L160" s="32">
        <v>20271.400000000001</v>
      </c>
      <c r="M160" s="33"/>
      <c r="N160" s="30">
        <v>18712.060000000001</v>
      </c>
      <c r="O160" s="30">
        <v>12252.43</v>
      </c>
      <c r="P160" s="30"/>
      <c r="Q160" s="30">
        <f>(N160+O160*0.18+J160)+(IF((P160-O160*0.18)&gt;0,(P160-O160*0.18),0))</f>
        <v>22476.8374</v>
      </c>
      <c r="R160" s="7"/>
      <c r="S160" s="7"/>
      <c r="T160" s="7"/>
      <c r="U160" s="7"/>
      <c r="V160" s="7"/>
      <c r="W160" s="7"/>
      <c r="X160" s="7"/>
      <c r="Y160" s="7"/>
      <c r="Z160" s="7"/>
    </row>
    <row r="161" spans="1:26" ht="9" customHeight="1" x14ac:dyDescent="0.2">
      <c r="A161" s="95"/>
      <c r="B161" s="95"/>
      <c r="C161" s="34" t="s">
        <v>37</v>
      </c>
      <c r="D161" s="35">
        <v>23</v>
      </c>
      <c r="E161" s="36">
        <v>21372006</v>
      </c>
      <c r="F161" s="36">
        <v>2352007</v>
      </c>
      <c r="G161" s="36">
        <v>0</v>
      </c>
      <c r="H161" s="36">
        <v>12507588</v>
      </c>
      <c r="I161" s="36">
        <v>0</v>
      </c>
      <c r="J161" s="37">
        <v>3019303</v>
      </c>
      <c r="K161" s="36">
        <v>36231600</v>
      </c>
      <c r="L161" s="38">
        <v>39250904</v>
      </c>
      <c r="M161" s="39"/>
      <c r="N161" s="36">
        <v>36231600</v>
      </c>
      <c r="O161" s="36">
        <v>23724013</v>
      </c>
      <c r="P161" s="36">
        <v>0</v>
      </c>
      <c r="Q161" s="36">
        <f>Q160*1936.27</f>
        <v>43521225.952498004</v>
      </c>
      <c r="R161" s="7"/>
      <c r="S161" s="7"/>
      <c r="T161" s="7"/>
      <c r="U161" s="7"/>
      <c r="V161" s="7"/>
      <c r="W161" s="7"/>
      <c r="X161" s="7"/>
      <c r="Y161" s="7"/>
      <c r="Z161" s="7"/>
    </row>
    <row r="162" spans="1:26" ht="12.75" customHeight="1" x14ac:dyDescent="0.2">
      <c r="A162" s="95"/>
      <c r="B162" s="95"/>
      <c r="C162" s="40" t="s">
        <v>36</v>
      </c>
      <c r="D162" s="41">
        <v>24</v>
      </c>
      <c r="E162" s="42">
        <v>11347.59</v>
      </c>
      <c r="F162" s="42">
        <v>1245.69</v>
      </c>
      <c r="G162" s="42">
        <v>0</v>
      </c>
      <c r="H162" s="42">
        <v>6459.63</v>
      </c>
      <c r="I162" s="42">
        <v>0</v>
      </c>
      <c r="J162" s="42">
        <v>1587.74</v>
      </c>
      <c r="K162" s="43">
        <v>19052.91</v>
      </c>
      <c r="L162" s="32">
        <v>20640.650000000001</v>
      </c>
      <c r="M162" s="33"/>
      <c r="N162" s="30">
        <v>19052.91</v>
      </c>
      <c r="O162" s="30">
        <v>12593.28</v>
      </c>
      <c r="P162" s="30"/>
      <c r="Q162" s="30">
        <f>(N162+O162*0.18+J162)+(IF((P162-O162*0.18)&gt;0,(P162-O162*0.18),0))</f>
        <v>22907.440400000003</v>
      </c>
      <c r="R162" s="7"/>
      <c r="S162" s="7"/>
      <c r="T162" s="7"/>
      <c r="U162" s="7"/>
      <c r="V162" s="7"/>
      <c r="W162" s="7"/>
      <c r="X162" s="7"/>
      <c r="Y162" s="7"/>
      <c r="Z162" s="7"/>
    </row>
    <row r="163" spans="1:26" ht="9" customHeight="1" x14ac:dyDescent="0.2">
      <c r="A163" s="95"/>
      <c r="B163" s="95"/>
      <c r="C163" s="34" t="s">
        <v>37</v>
      </c>
      <c r="D163" s="35">
        <v>25</v>
      </c>
      <c r="E163" s="36">
        <v>21971998</v>
      </c>
      <c r="F163" s="36">
        <v>2411992</v>
      </c>
      <c r="G163" s="36">
        <v>0</v>
      </c>
      <c r="H163" s="36">
        <v>12507588</v>
      </c>
      <c r="I163" s="36">
        <v>0</v>
      </c>
      <c r="J163" s="37">
        <v>3074293</v>
      </c>
      <c r="K163" s="36">
        <v>36891578</v>
      </c>
      <c r="L163" s="38">
        <v>39965871</v>
      </c>
      <c r="M163" s="39"/>
      <c r="N163" s="36">
        <v>36891578</v>
      </c>
      <c r="O163" s="36">
        <v>24383990</v>
      </c>
      <c r="P163" s="36">
        <v>0</v>
      </c>
      <c r="Q163" s="36">
        <f>Q162*1936.27</f>
        <v>44354989.623308003</v>
      </c>
      <c r="R163" s="7"/>
      <c r="S163" s="7"/>
      <c r="T163" s="7"/>
      <c r="U163" s="7"/>
      <c r="V163" s="7"/>
      <c r="W163" s="7"/>
      <c r="X163" s="7"/>
      <c r="Y163" s="7"/>
      <c r="Z163" s="7"/>
    </row>
    <row r="164" spans="1:26" ht="12.75" customHeight="1" x14ac:dyDescent="0.2">
      <c r="A164" s="95"/>
      <c r="B164" s="95"/>
      <c r="C164" s="40" t="s">
        <v>36</v>
      </c>
      <c r="D164" s="41">
        <v>26</v>
      </c>
      <c r="E164" s="42">
        <v>11731.83</v>
      </c>
      <c r="F164" s="42">
        <v>1289.08</v>
      </c>
      <c r="G164" s="42">
        <v>0</v>
      </c>
      <c r="H164" s="42">
        <v>6459.63</v>
      </c>
      <c r="I164" s="42">
        <v>0</v>
      </c>
      <c r="J164" s="42">
        <v>1623.38</v>
      </c>
      <c r="K164" s="43">
        <v>19480.54</v>
      </c>
      <c r="L164" s="32">
        <v>21103.919999999998</v>
      </c>
      <c r="M164" s="33"/>
      <c r="N164" s="30">
        <v>19480.54</v>
      </c>
      <c r="O164" s="30">
        <v>13020.91</v>
      </c>
      <c r="P164" s="30"/>
      <c r="Q164" s="30">
        <f>(N164+O164*0.18+J164)+(IF((P164-O164*0.18)&gt;0,(P164-O164*0.18),0))</f>
        <v>23447.683800000003</v>
      </c>
      <c r="R164" s="7"/>
      <c r="S164" s="7"/>
      <c r="T164" s="7"/>
      <c r="U164" s="7"/>
      <c r="V164" s="7"/>
      <c r="W164" s="7"/>
      <c r="X164" s="7"/>
      <c r="Y164" s="7"/>
      <c r="Z164" s="7"/>
    </row>
    <row r="165" spans="1:26" ht="9" customHeight="1" x14ac:dyDescent="0.2">
      <c r="A165" s="95"/>
      <c r="B165" s="95"/>
      <c r="C165" s="34" t="s">
        <v>37</v>
      </c>
      <c r="D165" s="35">
        <v>27</v>
      </c>
      <c r="E165" s="36">
        <v>22715990</v>
      </c>
      <c r="F165" s="36">
        <v>2496007</v>
      </c>
      <c r="G165" s="36">
        <v>0</v>
      </c>
      <c r="H165" s="36">
        <v>12507588</v>
      </c>
      <c r="I165" s="36">
        <v>0</v>
      </c>
      <c r="J165" s="37">
        <v>3143302</v>
      </c>
      <c r="K165" s="36">
        <v>37719585</v>
      </c>
      <c r="L165" s="38">
        <v>40862887</v>
      </c>
      <c r="M165" s="39"/>
      <c r="N165" s="36">
        <v>37719585</v>
      </c>
      <c r="O165" s="36">
        <v>25211997</v>
      </c>
      <c r="P165" s="36">
        <v>0</v>
      </c>
      <c r="Q165" s="36">
        <f>Q164*1936.27</f>
        <v>45401046.711426005</v>
      </c>
      <c r="R165" s="7"/>
      <c r="S165" s="7"/>
      <c r="T165" s="7"/>
      <c r="U165" s="7"/>
      <c r="V165" s="7"/>
      <c r="W165" s="7"/>
      <c r="X165" s="7"/>
      <c r="Y165" s="7"/>
      <c r="Z165" s="7"/>
    </row>
    <row r="166" spans="1:26" ht="12.75" customHeight="1" x14ac:dyDescent="0.2">
      <c r="A166" s="95"/>
      <c r="B166" s="95"/>
      <c r="C166" s="40" t="s">
        <v>36</v>
      </c>
      <c r="D166" s="41">
        <v>28</v>
      </c>
      <c r="E166" s="42">
        <v>11979.73</v>
      </c>
      <c r="F166" s="42">
        <v>1313.87</v>
      </c>
      <c r="G166" s="42">
        <v>0</v>
      </c>
      <c r="H166" s="42">
        <v>6459.63</v>
      </c>
      <c r="I166" s="42">
        <v>0</v>
      </c>
      <c r="J166" s="42">
        <v>1646.1</v>
      </c>
      <c r="K166" s="43">
        <v>19753.23</v>
      </c>
      <c r="L166" s="32">
        <v>21399.33</v>
      </c>
      <c r="M166" s="33"/>
      <c r="N166" s="30">
        <v>19753.23</v>
      </c>
      <c r="O166" s="30">
        <v>13293.6</v>
      </c>
      <c r="P166" s="30"/>
      <c r="Q166" s="30">
        <f>(N166+O166*0.18+J166)+(IF((P166-O166*0.18)&gt;0,(P166-O166*0.18),0))</f>
        <v>23792.178</v>
      </c>
      <c r="R166" s="7"/>
      <c r="S166" s="7"/>
      <c r="T166" s="7"/>
      <c r="U166" s="7"/>
      <c r="V166" s="7"/>
      <c r="W166" s="7"/>
      <c r="X166" s="7"/>
      <c r="Y166" s="7"/>
      <c r="Z166" s="7"/>
    </row>
    <row r="167" spans="1:26" ht="9" customHeight="1" x14ac:dyDescent="0.2">
      <c r="A167" s="95"/>
      <c r="B167" s="95"/>
      <c r="C167" s="34" t="s">
        <v>37</v>
      </c>
      <c r="D167" s="35">
        <v>29</v>
      </c>
      <c r="E167" s="36">
        <v>23195992</v>
      </c>
      <c r="F167" s="36">
        <v>2544007</v>
      </c>
      <c r="G167" s="36">
        <v>0</v>
      </c>
      <c r="H167" s="36">
        <v>12507588</v>
      </c>
      <c r="I167" s="36">
        <v>0</v>
      </c>
      <c r="J167" s="37">
        <v>3187294</v>
      </c>
      <c r="K167" s="36">
        <v>38247587</v>
      </c>
      <c r="L167" s="38">
        <v>41434881</v>
      </c>
      <c r="M167" s="39"/>
      <c r="N167" s="36">
        <v>38247587</v>
      </c>
      <c r="O167" s="36">
        <v>25739999</v>
      </c>
      <c r="P167" s="36">
        <v>0</v>
      </c>
      <c r="Q167" s="36">
        <f>Q166*1936.27</f>
        <v>46068080.496059999</v>
      </c>
      <c r="R167" s="7"/>
      <c r="S167" s="7"/>
      <c r="T167" s="7"/>
      <c r="U167" s="7"/>
      <c r="V167" s="7"/>
      <c r="W167" s="7"/>
      <c r="X167" s="7"/>
      <c r="Y167" s="7"/>
      <c r="Z167" s="7"/>
    </row>
    <row r="168" spans="1:26" ht="12.75" customHeight="1" x14ac:dyDescent="0.2">
      <c r="A168" s="95"/>
      <c r="B168" s="95"/>
      <c r="C168" s="40" t="s">
        <v>36</v>
      </c>
      <c r="D168" s="41">
        <v>30</v>
      </c>
      <c r="E168" s="42">
        <v>12295.81</v>
      </c>
      <c r="F168" s="42">
        <v>1351.05</v>
      </c>
      <c r="G168" s="42">
        <v>0</v>
      </c>
      <c r="H168" s="42">
        <v>6459.63</v>
      </c>
      <c r="I168" s="42">
        <v>0</v>
      </c>
      <c r="J168" s="42">
        <v>1675.54</v>
      </c>
      <c r="K168" s="43">
        <v>20106.490000000002</v>
      </c>
      <c r="L168" s="32">
        <v>21782.03</v>
      </c>
      <c r="M168" s="33"/>
      <c r="N168" s="30">
        <v>20106.490000000002</v>
      </c>
      <c r="O168" s="30">
        <v>13646.86</v>
      </c>
      <c r="P168" s="30"/>
      <c r="Q168" s="30">
        <f>(N168+O168*0.18+J168)+(IF((P168-O168*0.18)&gt;0,(P168-O168*0.18),0))</f>
        <v>24238.464800000002</v>
      </c>
      <c r="R168" s="7"/>
      <c r="S168" s="7"/>
      <c r="T168" s="7"/>
      <c r="U168" s="7"/>
      <c r="V168" s="7"/>
      <c r="W168" s="7"/>
      <c r="X168" s="7"/>
      <c r="Y168" s="7"/>
      <c r="Z168" s="7"/>
    </row>
    <row r="169" spans="1:26" ht="9" customHeight="1" x14ac:dyDescent="0.2">
      <c r="A169" s="95"/>
      <c r="B169" s="95"/>
      <c r="C169" s="34" t="s">
        <v>37</v>
      </c>
      <c r="D169" s="35">
        <v>31</v>
      </c>
      <c r="E169" s="36">
        <v>23808008</v>
      </c>
      <c r="F169" s="36">
        <v>2615998</v>
      </c>
      <c r="G169" s="36">
        <v>0</v>
      </c>
      <c r="H169" s="36">
        <v>12507588</v>
      </c>
      <c r="I169" s="36">
        <v>0</v>
      </c>
      <c r="J169" s="37">
        <v>3244298</v>
      </c>
      <c r="K169" s="36">
        <v>38931593</v>
      </c>
      <c r="L169" s="38">
        <v>42175891</v>
      </c>
      <c r="M169" s="39"/>
      <c r="N169" s="36">
        <v>38931593</v>
      </c>
      <c r="O169" s="36">
        <v>26424006</v>
      </c>
      <c r="P169" s="36">
        <v>0</v>
      </c>
      <c r="Q169" s="36">
        <f>Q168*1936.27</f>
        <v>46932212.238296002</v>
      </c>
      <c r="R169" s="7"/>
      <c r="S169" s="7"/>
      <c r="T169" s="7"/>
      <c r="U169" s="7"/>
      <c r="V169" s="7"/>
      <c r="W169" s="7"/>
      <c r="X169" s="7"/>
      <c r="Y169" s="7"/>
      <c r="Z169" s="7"/>
    </row>
    <row r="170" spans="1:26" ht="12.75" customHeight="1" x14ac:dyDescent="0.2">
      <c r="A170" s="95"/>
      <c r="B170" s="95"/>
      <c r="C170" s="40" t="s">
        <v>36</v>
      </c>
      <c r="D170" s="41">
        <v>32</v>
      </c>
      <c r="E170" s="42">
        <v>12605.68</v>
      </c>
      <c r="F170" s="42">
        <v>1382.04</v>
      </c>
      <c r="G170" s="42">
        <v>0</v>
      </c>
      <c r="H170" s="42">
        <v>6459.63</v>
      </c>
      <c r="I170" s="42">
        <v>0</v>
      </c>
      <c r="J170" s="42">
        <v>1703.95</v>
      </c>
      <c r="K170" s="43">
        <v>20447.349999999999</v>
      </c>
      <c r="L170" s="32">
        <v>22151.3</v>
      </c>
      <c r="M170" s="33"/>
      <c r="N170" s="30">
        <v>20447.349999999999</v>
      </c>
      <c r="O170" s="30">
        <v>13987.72</v>
      </c>
      <c r="P170" s="30"/>
      <c r="Q170" s="30">
        <f>(N170+O170*0.18+J170)+(IF((P170-O170*0.18)&gt;0,(P170-O170*0.18),0))</f>
        <v>24669.089599999999</v>
      </c>
      <c r="R170" s="7"/>
      <c r="S170" s="7"/>
      <c r="T170" s="7"/>
      <c r="U170" s="7"/>
      <c r="V170" s="7"/>
      <c r="W170" s="7"/>
      <c r="X170" s="7"/>
      <c r="Y170" s="7"/>
      <c r="Z170" s="7"/>
    </row>
    <row r="171" spans="1:26" ht="9" customHeight="1" x14ac:dyDescent="0.2">
      <c r="A171" s="95"/>
      <c r="B171" s="95"/>
      <c r="C171" s="34" t="s">
        <v>37</v>
      </c>
      <c r="D171" s="35">
        <v>33</v>
      </c>
      <c r="E171" s="36">
        <v>24408000</v>
      </c>
      <c r="F171" s="36">
        <v>2676003</v>
      </c>
      <c r="G171" s="36">
        <v>0</v>
      </c>
      <c r="H171" s="36">
        <v>12507588</v>
      </c>
      <c r="I171" s="36">
        <v>0</v>
      </c>
      <c r="J171" s="37">
        <v>3299307</v>
      </c>
      <c r="K171" s="36">
        <v>39591590</v>
      </c>
      <c r="L171" s="38">
        <v>42890898</v>
      </c>
      <c r="M171" s="39"/>
      <c r="N171" s="36">
        <v>39591590</v>
      </c>
      <c r="O171" s="36">
        <v>27084003</v>
      </c>
      <c r="P171" s="36">
        <v>0</v>
      </c>
      <c r="Q171" s="36">
        <f>Q170*1936.27</f>
        <v>47766018.119791999</v>
      </c>
      <c r="R171" s="7"/>
      <c r="S171" s="7"/>
      <c r="T171" s="7"/>
      <c r="U171" s="7"/>
      <c r="V171" s="7"/>
      <c r="W171" s="7"/>
      <c r="X171" s="7"/>
      <c r="Y171" s="7"/>
      <c r="Z171" s="7"/>
    </row>
    <row r="172" spans="1:26" ht="12.75" customHeight="1" x14ac:dyDescent="0.2">
      <c r="A172" s="95"/>
      <c r="B172" s="95"/>
      <c r="C172" s="40" t="s">
        <v>36</v>
      </c>
      <c r="D172" s="41">
        <v>34</v>
      </c>
      <c r="E172" s="42">
        <v>12909.36</v>
      </c>
      <c r="F172" s="42">
        <v>1419.22</v>
      </c>
      <c r="G172" s="42">
        <v>0</v>
      </c>
      <c r="H172" s="42">
        <v>6459.63</v>
      </c>
      <c r="I172" s="42">
        <v>0</v>
      </c>
      <c r="J172" s="42">
        <v>1732.35</v>
      </c>
      <c r="K172" s="43">
        <v>20788.21</v>
      </c>
      <c r="L172" s="32">
        <v>22520.560000000001</v>
      </c>
      <c r="M172" s="33"/>
      <c r="N172" s="30">
        <v>20788.21</v>
      </c>
      <c r="O172" s="30">
        <v>14328.58</v>
      </c>
      <c r="P172" s="30"/>
      <c r="Q172" s="30">
        <f>(N172+O172*0.18+J172)+(IF((P172-O172*0.18)&gt;0,(P172-O172*0.18),0))</f>
        <v>25099.704399999999</v>
      </c>
      <c r="R172" s="7"/>
      <c r="S172" s="7"/>
      <c r="T172" s="7"/>
      <c r="U172" s="7"/>
      <c r="V172" s="7"/>
      <c r="W172" s="7"/>
      <c r="X172" s="7"/>
      <c r="Y172" s="7"/>
      <c r="Z172" s="7"/>
    </row>
    <row r="173" spans="1:26" ht="9" customHeight="1" x14ac:dyDescent="0.2">
      <c r="A173" s="95"/>
      <c r="B173" s="95"/>
      <c r="C173" s="34" t="s">
        <v>37</v>
      </c>
      <c r="D173" s="35">
        <v>35</v>
      </c>
      <c r="E173" s="36">
        <v>24996006</v>
      </c>
      <c r="F173" s="36">
        <v>2747993</v>
      </c>
      <c r="G173" s="36">
        <v>0</v>
      </c>
      <c r="H173" s="36">
        <v>12507588</v>
      </c>
      <c r="I173" s="36">
        <v>0</v>
      </c>
      <c r="J173" s="37">
        <v>3354297</v>
      </c>
      <c r="K173" s="36">
        <v>40251587</v>
      </c>
      <c r="L173" s="38">
        <v>43605885</v>
      </c>
      <c r="M173" s="39"/>
      <c r="N173" s="36">
        <v>40251587</v>
      </c>
      <c r="O173" s="36">
        <v>27744000</v>
      </c>
      <c r="P173" s="36">
        <v>0</v>
      </c>
      <c r="Q173" s="36">
        <f>Q172*1936.27</f>
        <v>48599804.638587996</v>
      </c>
      <c r="R173" s="7"/>
      <c r="S173" s="7"/>
      <c r="T173" s="7"/>
      <c r="U173" s="7"/>
      <c r="V173" s="7"/>
      <c r="W173" s="7"/>
      <c r="X173" s="7"/>
      <c r="Y173" s="7"/>
      <c r="Z173" s="7"/>
    </row>
    <row r="174" spans="1:26" ht="12.75" customHeight="1" x14ac:dyDescent="0.2">
      <c r="A174" s="95"/>
      <c r="B174" s="95"/>
      <c r="C174" s="40" t="s">
        <v>36</v>
      </c>
      <c r="D174" s="41">
        <v>36</v>
      </c>
      <c r="E174" s="42">
        <v>13225.43</v>
      </c>
      <c r="F174" s="42">
        <v>1450.21</v>
      </c>
      <c r="G174" s="42">
        <v>0</v>
      </c>
      <c r="H174" s="42">
        <v>6459.63</v>
      </c>
      <c r="I174" s="42">
        <v>0</v>
      </c>
      <c r="J174" s="42">
        <v>1761.27</v>
      </c>
      <c r="K174" s="43">
        <v>21135.27</v>
      </c>
      <c r="L174" s="32">
        <v>22896.54</v>
      </c>
      <c r="M174" s="33"/>
      <c r="N174" s="30">
        <v>21135.27</v>
      </c>
      <c r="O174" s="30">
        <v>14675.64</v>
      </c>
      <c r="P174" s="30"/>
      <c r="Q174" s="30">
        <f>(N174+O174*0.18+J174)+(IF((P174-O174*0.18)&gt;0,(P174-O174*0.18),0))</f>
        <v>25538.155200000001</v>
      </c>
      <c r="R174" s="7"/>
      <c r="S174" s="7"/>
      <c r="T174" s="7"/>
      <c r="U174" s="7"/>
      <c r="V174" s="7"/>
      <c r="W174" s="7"/>
      <c r="X174" s="7"/>
      <c r="Y174" s="7"/>
      <c r="Z174" s="7"/>
    </row>
    <row r="175" spans="1:26" ht="9" customHeight="1" x14ac:dyDescent="0.2">
      <c r="A175" s="95"/>
      <c r="B175" s="95"/>
      <c r="C175" s="34" t="s">
        <v>37</v>
      </c>
      <c r="D175" s="35">
        <v>37</v>
      </c>
      <c r="E175" s="36">
        <v>25608003</v>
      </c>
      <c r="F175" s="36">
        <v>2807998</v>
      </c>
      <c r="G175" s="36">
        <v>0</v>
      </c>
      <c r="H175" s="36">
        <v>12507588</v>
      </c>
      <c r="I175" s="36">
        <v>0</v>
      </c>
      <c r="J175" s="37">
        <v>3410294</v>
      </c>
      <c r="K175" s="36">
        <v>40923589</v>
      </c>
      <c r="L175" s="38">
        <v>44333884</v>
      </c>
      <c r="M175" s="39"/>
      <c r="N175" s="36">
        <v>40923589</v>
      </c>
      <c r="O175" s="36">
        <v>28416001</v>
      </c>
      <c r="P175" s="36">
        <v>0</v>
      </c>
      <c r="Q175" s="36">
        <f>Q174*1936.27</f>
        <v>49448763.769104004</v>
      </c>
      <c r="R175" s="7"/>
      <c r="S175" s="7"/>
      <c r="T175" s="7"/>
      <c r="U175" s="7"/>
      <c r="V175" s="7"/>
      <c r="W175" s="7"/>
      <c r="X175" s="7"/>
      <c r="Y175" s="7"/>
      <c r="Z175" s="7"/>
    </row>
    <row r="176" spans="1:26" ht="12.75" customHeight="1" x14ac:dyDescent="0.2">
      <c r="A176" s="95"/>
      <c r="B176" s="95"/>
      <c r="C176" s="40" t="s">
        <v>36</v>
      </c>
      <c r="D176" s="41">
        <v>38</v>
      </c>
      <c r="E176" s="42">
        <v>13535.3</v>
      </c>
      <c r="F176" s="42">
        <v>1487.4</v>
      </c>
      <c r="G176" s="42">
        <v>0</v>
      </c>
      <c r="H176" s="42">
        <v>6459.63</v>
      </c>
      <c r="I176" s="42">
        <v>0</v>
      </c>
      <c r="J176" s="42">
        <v>1790.19</v>
      </c>
      <c r="K176" s="43">
        <v>21482.33</v>
      </c>
      <c r="L176" s="32">
        <v>23272.52</v>
      </c>
      <c r="M176" s="33"/>
      <c r="N176" s="30">
        <v>21482.33</v>
      </c>
      <c r="O176" s="30">
        <v>15022.7</v>
      </c>
      <c r="P176" s="30"/>
      <c r="Q176" s="30">
        <f>(N176+O176*0.18+J176)+(IF((P176-O176*0.18)&gt;0,(P176-O176*0.18),0))</f>
        <v>25976.606</v>
      </c>
      <c r="R176" s="7"/>
      <c r="S176" s="7"/>
      <c r="T176" s="7"/>
      <c r="U176" s="7"/>
      <c r="V176" s="7"/>
      <c r="W176" s="7"/>
      <c r="X176" s="7"/>
      <c r="Y176" s="7"/>
      <c r="Z176" s="7"/>
    </row>
    <row r="177" spans="1:26" ht="9" customHeight="1" x14ac:dyDescent="0.2">
      <c r="A177" s="95"/>
      <c r="B177" s="95"/>
      <c r="C177" s="34" t="s">
        <v>37</v>
      </c>
      <c r="D177" s="35">
        <v>39</v>
      </c>
      <c r="E177" s="36">
        <v>26207995</v>
      </c>
      <c r="F177" s="36">
        <v>2880008</v>
      </c>
      <c r="G177" s="36">
        <v>0</v>
      </c>
      <c r="H177" s="36">
        <v>12507588</v>
      </c>
      <c r="I177" s="36">
        <v>0</v>
      </c>
      <c r="J177" s="37">
        <v>3466291</v>
      </c>
      <c r="K177" s="36">
        <v>41595591</v>
      </c>
      <c r="L177" s="38">
        <v>45061882</v>
      </c>
      <c r="M177" s="39"/>
      <c r="N177" s="36">
        <v>41595591</v>
      </c>
      <c r="O177" s="36">
        <v>29088003</v>
      </c>
      <c r="P177" s="36">
        <v>0</v>
      </c>
      <c r="Q177" s="36">
        <f>Q176*1936.27</f>
        <v>50297722.899619997</v>
      </c>
      <c r="R177" s="7"/>
      <c r="S177" s="7"/>
      <c r="T177" s="7"/>
      <c r="U177" s="7"/>
      <c r="V177" s="7"/>
      <c r="W177" s="7"/>
      <c r="X177" s="7"/>
      <c r="Y177" s="7"/>
      <c r="Z177" s="7"/>
    </row>
    <row r="178" spans="1:26" ht="12.75" customHeight="1" x14ac:dyDescent="0.2">
      <c r="A178" s="95"/>
      <c r="B178" s="95"/>
      <c r="C178" s="40" t="s">
        <v>36</v>
      </c>
      <c r="D178" s="41">
        <v>40</v>
      </c>
      <c r="E178" s="42">
        <v>13851.37</v>
      </c>
      <c r="F178" s="42">
        <v>1518.38</v>
      </c>
      <c r="G178" s="42">
        <v>0</v>
      </c>
      <c r="H178" s="42">
        <v>6459.63</v>
      </c>
      <c r="I178" s="42">
        <v>0</v>
      </c>
      <c r="J178" s="42">
        <v>1819.12</v>
      </c>
      <c r="K178" s="43">
        <v>21829.38</v>
      </c>
      <c r="L178" s="32">
        <v>23648.5</v>
      </c>
      <c r="M178" s="33"/>
      <c r="N178" s="30">
        <v>21829.38</v>
      </c>
      <c r="O178" s="30">
        <v>15369.75</v>
      </c>
      <c r="P178" s="30"/>
      <c r="Q178" s="30">
        <f>(N178+O178*0.18+J178)+(IF((P178-O178*0.18)&gt;0,(P178-O178*0.18),0))</f>
        <v>26415.055</v>
      </c>
      <c r="R178" s="7"/>
      <c r="S178" s="7"/>
      <c r="T178" s="7"/>
      <c r="U178" s="7"/>
      <c r="V178" s="7"/>
      <c r="W178" s="7"/>
      <c r="X178" s="7"/>
      <c r="Y178" s="7"/>
      <c r="Z178" s="7"/>
    </row>
    <row r="179" spans="1:26" ht="12.75" customHeight="1" x14ac:dyDescent="0.2">
      <c r="A179" s="95"/>
      <c r="B179" s="95"/>
      <c r="C179" s="115"/>
      <c r="D179" s="45"/>
      <c r="E179" s="116"/>
      <c r="F179" s="116"/>
      <c r="G179" s="116"/>
      <c r="H179" s="116"/>
      <c r="I179" s="116"/>
      <c r="J179" s="117"/>
      <c r="K179" s="118"/>
      <c r="L179" s="119"/>
      <c r="M179" s="33"/>
      <c r="N179" s="116"/>
      <c r="O179" s="116"/>
      <c r="P179" s="116"/>
      <c r="Q179" s="116"/>
      <c r="R179" s="7"/>
      <c r="S179" s="7"/>
      <c r="T179" s="7"/>
      <c r="U179" s="7"/>
      <c r="V179" s="7"/>
      <c r="W179" s="7"/>
      <c r="X179" s="7"/>
      <c r="Y179" s="7"/>
      <c r="Z179" s="7"/>
    </row>
    <row r="180" spans="1:26" ht="12.75" customHeight="1" x14ac:dyDescent="0.2">
      <c r="A180" s="95"/>
      <c r="B180" s="95"/>
      <c r="C180" s="115"/>
      <c r="D180" s="45"/>
      <c r="E180" s="116"/>
      <c r="F180" s="116"/>
      <c r="G180" s="116"/>
      <c r="H180" s="116"/>
      <c r="I180" s="116"/>
      <c r="J180" s="117"/>
      <c r="K180" s="118"/>
      <c r="L180" s="119"/>
      <c r="M180" s="33"/>
      <c r="N180" s="116"/>
      <c r="O180" s="116"/>
      <c r="P180" s="116"/>
      <c r="Q180" s="116"/>
      <c r="R180" s="7"/>
      <c r="S180" s="7"/>
      <c r="T180" s="7"/>
      <c r="U180" s="7"/>
      <c r="V180" s="7"/>
      <c r="W180" s="7"/>
      <c r="X180" s="7"/>
      <c r="Y180" s="7"/>
      <c r="Z180" s="7"/>
    </row>
    <row r="181" spans="1:26" ht="9" customHeight="1" x14ac:dyDescent="0.2">
      <c r="A181" s="110"/>
      <c r="B181" s="110"/>
      <c r="C181" s="47"/>
      <c r="D181" s="48"/>
      <c r="E181" s="46">
        <v>26819992</v>
      </c>
      <c r="F181" s="46">
        <v>2939994</v>
      </c>
      <c r="G181" s="46">
        <v>0</v>
      </c>
      <c r="H181" s="46">
        <v>12507588</v>
      </c>
      <c r="I181" s="46">
        <v>0</v>
      </c>
      <c r="J181" s="49">
        <v>3522307</v>
      </c>
      <c r="K181" s="46">
        <v>42267574</v>
      </c>
      <c r="L181" s="38">
        <v>45789881</v>
      </c>
      <c r="M181" s="39"/>
      <c r="N181" s="36">
        <v>42267574</v>
      </c>
      <c r="O181" s="36">
        <v>29759986</v>
      </c>
      <c r="P181" s="36">
        <v>0</v>
      </c>
      <c r="Q181" s="36">
        <f>Q178*1936.27</f>
        <v>51146678.544849999</v>
      </c>
      <c r="R181" s="7"/>
      <c r="S181" s="7"/>
      <c r="T181" s="7"/>
      <c r="U181" s="7"/>
      <c r="V181" s="7"/>
      <c r="W181" s="7"/>
      <c r="X181" s="7"/>
      <c r="Y181" s="7"/>
      <c r="Z181" s="7"/>
    </row>
    <row r="182" spans="1:26" ht="12.75" customHeight="1" x14ac:dyDescent="0.2">
      <c r="A182" s="98">
        <v>33970</v>
      </c>
      <c r="B182" s="98">
        <v>34424</v>
      </c>
      <c r="C182" s="28" t="s">
        <v>36</v>
      </c>
      <c r="D182" s="29">
        <v>0</v>
      </c>
      <c r="E182" s="30">
        <v>6674.69</v>
      </c>
      <c r="F182" s="30">
        <v>731.3</v>
      </c>
      <c r="G182" s="30">
        <v>123.95</v>
      </c>
      <c r="H182" s="30">
        <v>6459.63</v>
      </c>
      <c r="I182" s="30">
        <v>0</v>
      </c>
      <c r="J182" s="30">
        <v>1165.8</v>
      </c>
      <c r="K182" s="31">
        <v>13989.57</v>
      </c>
      <c r="L182" s="32">
        <v>15155.37</v>
      </c>
      <c r="M182" s="33"/>
      <c r="N182" s="30">
        <v>13989.57</v>
      </c>
      <c r="O182" s="30">
        <v>7529.94</v>
      </c>
      <c r="P182" s="30"/>
      <c r="Q182" s="30">
        <f>(N182+O182*0.18+J182)+(IF((P182-O182*0.18)&gt;0,(P182-O182*0.18),0))</f>
        <v>16510.7592</v>
      </c>
      <c r="R182" s="7"/>
      <c r="S182" s="7"/>
      <c r="T182" s="7"/>
      <c r="U182" s="7"/>
      <c r="V182" s="7"/>
      <c r="W182" s="7"/>
      <c r="X182" s="7"/>
      <c r="Y182" s="7"/>
      <c r="Z182" s="7"/>
    </row>
    <row r="183" spans="1:26" ht="9" customHeight="1" x14ac:dyDescent="0.2">
      <c r="A183" s="95"/>
      <c r="B183" s="95"/>
      <c r="C183" s="34" t="s">
        <v>37</v>
      </c>
      <c r="D183" s="35">
        <v>2</v>
      </c>
      <c r="E183" s="36">
        <v>12924002</v>
      </c>
      <c r="F183" s="36">
        <v>1415994</v>
      </c>
      <c r="G183" s="36">
        <v>240001</v>
      </c>
      <c r="H183" s="36">
        <v>12507588</v>
      </c>
      <c r="I183" s="36">
        <v>0</v>
      </c>
      <c r="J183" s="37">
        <v>2257304</v>
      </c>
      <c r="K183" s="36">
        <v>27087585</v>
      </c>
      <c r="L183" s="38">
        <v>29344888</v>
      </c>
      <c r="M183" s="39"/>
      <c r="N183" s="36">
        <v>27087585</v>
      </c>
      <c r="O183" s="36">
        <v>14579997</v>
      </c>
      <c r="P183" s="36">
        <v>0</v>
      </c>
      <c r="Q183" s="36">
        <f>Q182*1936.27</f>
        <v>31969287.716184001</v>
      </c>
      <c r="R183" s="7"/>
      <c r="S183" s="7"/>
      <c r="T183" s="7"/>
      <c r="U183" s="7"/>
      <c r="V183" s="7"/>
      <c r="W183" s="7"/>
      <c r="X183" s="7"/>
      <c r="Y183" s="7"/>
      <c r="Z183" s="7"/>
    </row>
    <row r="184" spans="1:26" ht="12.75" customHeight="1" x14ac:dyDescent="0.2">
      <c r="A184" s="155">
        <v>33970</v>
      </c>
      <c r="B184" s="155">
        <v>34424</v>
      </c>
      <c r="C184" s="40" t="s">
        <v>36</v>
      </c>
      <c r="D184" s="41">
        <v>3</v>
      </c>
      <c r="E184" s="42">
        <v>7027.95</v>
      </c>
      <c r="F184" s="42">
        <v>768.49</v>
      </c>
      <c r="G184" s="42">
        <v>123.95</v>
      </c>
      <c r="H184" s="42">
        <v>6459.63</v>
      </c>
      <c r="I184" s="42">
        <v>0</v>
      </c>
      <c r="J184" s="42">
        <v>1198.3399999999999</v>
      </c>
      <c r="K184" s="43">
        <v>14380.02</v>
      </c>
      <c r="L184" s="32">
        <v>15578.36</v>
      </c>
      <c r="M184" s="33"/>
      <c r="N184" s="30">
        <v>14380.02</v>
      </c>
      <c r="O184" s="30">
        <v>7920.39</v>
      </c>
      <c r="P184" s="30"/>
      <c r="Q184" s="30">
        <f>(N184+O184*0.18+J184)+(IF((P184-O184*0.18)&gt;0,(P184-O184*0.18),0))</f>
        <v>17004.030200000001</v>
      </c>
      <c r="R184" s="7"/>
      <c r="S184" s="7"/>
      <c r="T184" s="7"/>
      <c r="U184" s="7"/>
      <c r="V184" s="7"/>
      <c r="W184" s="7"/>
      <c r="X184" s="7"/>
      <c r="Y184" s="7"/>
      <c r="Z184" s="7"/>
    </row>
    <row r="185" spans="1:26" ht="9" customHeight="1" x14ac:dyDescent="0.2">
      <c r="A185" s="95"/>
      <c r="B185" s="95"/>
      <c r="C185" s="34" t="s">
        <v>37</v>
      </c>
      <c r="D185" s="35">
        <v>4</v>
      </c>
      <c r="E185" s="36">
        <v>13608009</v>
      </c>
      <c r="F185" s="36">
        <v>1488004</v>
      </c>
      <c r="G185" s="36">
        <v>240001</v>
      </c>
      <c r="H185" s="36">
        <v>12507588</v>
      </c>
      <c r="I185" s="36">
        <v>0</v>
      </c>
      <c r="J185" s="37">
        <v>2320310</v>
      </c>
      <c r="K185" s="36">
        <v>27843601</v>
      </c>
      <c r="L185" s="38">
        <v>30163911</v>
      </c>
      <c r="M185" s="39"/>
      <c r="N185" s="36">
        <v>27843601</v>
      </c>
      <c r="O185" s="36">
        <v>15336014</v>
      </c>
      <c r="P185" s="36">
        <v>0</v>
      </c>
      <c r="Q185" s="36">
        <f>Q184*1936.27</f>
        <v>32924393.555354003</v>
      </c>
      <c r="R185" s="7"/>
      <c r="S185" s="7"/>
      <c r="T185" s="7"/>
      <c r="U185" s="7"/>
      <c r="V185" s="7"/>
      <c r="W185" s="7"/>
      <c r="X185" s="7"/>
      <c r="Y185" s="7"/>
      <c r="Z185" s="7"/>
    </row>
    <row r="186" spans="1:26" ht="12.75" customHeight="1" x14ac:dyDescent="0.2">
      <c r="A186" s="95"/>
      <c r="B186" s="95"/>
      <c r="C186" s="40" t="s">
        <v>36</v>
      </c>
      <c r="D186" s="41">
        <v>5</v>
      </c>
      <c r="E186" s="42">
        <v>7387.4</v>
      </c>
      <c r="F186" s="42">
        <v>811.87</v>
      </c>
      <c r="G186" s="42">
        <v>123.95</v>
      </c>
      <c r="H186" s="42">
        <v>6459.63</v>
      </c>
      <c r="I186" s="42">
        <v>0</v>
      </c>
      <c r="J186" s="42">
        <v>1231.9000000000001</v>
      </c>
      <c r="K186" s="43">
        <v>14782.85</v>
      </c>
      <c r="L186" s="32">
        <v>16014.75</v>
      </c>
      <c r="M186" s="33"/>
      <c r="N186" s="30">
        <v>14782.85</v>
      </c>
      <c r="O186" s="30">
        <v>8323.2199999999993</v>
      </c>
      <c r="P186" s="30"/>
      <c r="Q186" s="30">
        <f>(N186+O186*0.18+J186)+(IF((P186-O186*0.18)&gt;0,(P186-O186*0.18),0))</f>
        <v>17512.929599999999</v>
      </c>
      <c r="R186" s="7"/>
      <c r="S186" s="7"/>
      <c r="T186" s="7"/>
      <c r="U186" s="7"/>
      <c r="V186" s="7"/>
      <c r="W186" s="7"/>
      <c r="X186" s="7"/>
      <c r="Y186" s="7"/>
      <c r="Z186" s="7"/>
    </row>
    <row r="187" spans="1:26" ht="9" customHeight="1" x14ac:dyDescent="0.2">
      <c r="A187" s="95"/>
      <c r="B187" s="95"/>
      <c r="C187" s="34" t="s">
        <v>37</v>
      </c>
      <c r="D187" s="35">
        <v>6</v>
      </c>
      <c r="E187" s="36">
        <v>14304001</v>
      </c>
      <c r="F187" s="36">
        <v>1572000</v>
      </c>
      <c r="G187" s="36">
        <v>240001</v>
      </c>
      <c r="H187" s="36">
        <v>12507588</v>
      </c>
      <c r="I187" s="36">
        <v>0</v>
      </c>
      <c r="J187" s="37">
        <v>2385291</v>
      </c>
      <c r="K187" s="36">
        <v>28623589</v>
      </c>
      <c r="L187" s="38">
        <v>31008880</v>
      </c>
      <c r="M187" s="39"/>
      <c r="N187" s="36">
        <v>28623589</v>
      </c>
      <c r="O187" s="36">
        <v>16116001</v>
      </c>
      <c r="P187" s="36">
        <v>0</v>
      </c>
      <c r="Q187" s="36">
        <f>Q186*1936.27</f>
        <v>33909760.196591996</v>
      </c>
      <c r="R187" s="7"/>
      <c r="S187" s="7"/>
      <c r="T187" s="7"/>
      <c r="U187" s="7"/>
      <c r="V187" s="7"/>
      <c r="W187" s="7"/>
      <c r="X187" s="7"/>
      <c r="Y187" s="7"/>
      <c r="Z187" s="7"/>
    </row>
    <row r="188" spans="1:26" ht="12.75" customHeight="1" x14ac:dyDescent="0.2">
      <c r="A188" s="95"/>
      <c r="B188" s="95"/>
      <c r="C188" s="40" t="s">
        <v>36</v>
      </c>
      <c r="D188" s="41">
        <v>7</v>
      </c>
      <c r="E188" s="42">
        <v>7740.66</v>
      </c>
      <c r="F188" s="42">
        <v>849.06</v>
      </c>
      <c r="G188" s="42">
        <v>123.95</v>
      </c>
      <c r="H188" s="42">
        <v>6459.63</v>
      </c>
      <c r="I188" s="42">
        <v>0</v>
      </c>
      <c r="J188" s="42">
        <v>1264.44</v>
      </c>
      <c r="K188" s="43">
        <v>15173.3</v>
      </c>
      <c r="L188" s="32">
        <v>16437.740000000002</v>
      </c>
      <c r="M188" s="33"/>
      <c r="N188" s="30">
        <v>15173.3</v>
      </c>
      <c r="O188" s="30">
        <v>8713.67</v>
      </c>
      <c r="P188" s="30"/>
      <c r="Q188" s="30">
        <f>(N188+O188*0.18+J188)+(IF((P188-O188*0.18)&gt;0,(P188-O188*0.18),0))</f>
        <v>18006.200599999996</v>
      </c>
      <c r="R188" s="7"/>
      <c r="S188" s="7"/>
      <c r="T188" s="7"/>
      <c r="U188" s="7"/>
      <c r="V188" s="7"/>
      <c r="W188" s="7"/>
      <c r="X188" s="7"/>
      <c r="Y188" s="7"/>
      <c r="Z188" s="7"/>
    </row>
    <row r="189" spans="1:26" ht="9" customHeight="1" x14ac:dyDescent="0.2">
      <c r="A189" s="95"/>
      <c r="B189" s="95"/>
      <c r="C189" s="34" t="s">
        <v>37</v>
      </c>
      <c r="D189" s="35">
        <v>8</v>
      </c>
      <c r="E189" s="36">
        <v>14988008</v>
      </c>
      <c r="F189" s="36">
        <v>1644009</v>
      </c>
      <c r="G189" s="36">
        <v>240001</v>
      </c>
      <c r="H189" s="36">
        <v>12507588</v>
      </c>
      <c r="I189" s="36">
        <v>0</v>
      </c>
      <c r="J189" s="37">
        <v>2448297</v>
      </c>
      <c r="K189" s="36">
        <v>29379606</v>
      </c>
      <c r="L189" s="38">
        <v>31827903</v>
      </c>
      <c r="M189" s="39"/>
      <c r="N189" s="36">
        <v>29379606</v>
      </c>
      <c r="O189" s="36">
        <v>16872018</v>
      </c>
      <c r="P189" s="36">
        <v>0</v>
      </c>
      <c r="Q189" s="36">
        <f>Q188*1936.27</f>
        <v>34864866.03576199</v>
      </c>
      <c r="R189" s="7"/>
      <c r="S189" s="7"/>
      <c r="T189" s="7"/>
      <c r="U189" s="7"/>
      <c r="V189" s="7"/>
      <c r="W189" s="7"/>
      <c r="X189" s="7"/>
      <c r="Y189" s="7"/>
      <c r="Z189" s="7"/>
    </row>
    <row r="190" spans="1:26" ht="12.75" customHeight="1" x14ac:dyDescent="0.2">
      <c r="A190" s="95"/>
      <c r="B190" s="95"/>
      <c r="C190" s="40" t="s">
        <v>36</v>
      </c>
      <c r="D190" s="41">
        <v>9</v>
      </c>
      <c r="E190" s="42">
        <v>8155.89</v>
      </c>
      <c r="F190" s="42">
        <v>892.44</v>
      </c>
      <c r="G190" s="42">
        <v>123.95</v>
      </c>
      <c r="H190" s="42">
        <v>6459.63</v>
      </c>
      <c r="I190" s="42">
        <v>0</v>
      </c>
      <c r="J190" s="42">
        <v>1302.6600000000001</v>
      </c>
      <c r="K190" s="43">
        <v>15631.91</v>
      </c>
      <c r="L190" s="32">
        <v>16934.57</v>
      </c>
      <c r="M190" s="33"/>
      <c r="N190" s="30">
        <v>15631.91</v>
      </c>
      <c r="O190" s="30">
        <v>9172.2800000000007</v>
      </c>
      <c r="P190" s="30"/>
      <c r="Q190" s="30">
        <f>(N190+O190*0.18+J190)+(IF((P190-O190*0.18)&gt;0,(P190-O190*0.18),0))</f>
        <v>18585.580399999999</v>
      </c>
      <c r="R190" s="7"/>
      <c r="S190" s="7"/>
      <c r="T190" s="7"/>
      <c r="U190" s="7"/>
      <c r="V190" s="7"/>
      <c r="W190" s="7"/>
      <c r="X190" s="7"/>
      <c r="Y190" s="7"/>
      <c r="Z190" s="7"/>
    </row>
    <row r="191" spans="1:26" ht="9" customHeight="1" x14ac:dyDescent="0.2">
      <c r="A191" s="95"/>
      <c r="B191" s="95"/>
      <c r="C191" s="34" t="s">
        <v>37</v>
      </c>
      <c r="D191" s="35">
        <v>10</v>
      </c>
      <c r="E191" s="36">
        <v>15792005</v>
      </c>
      <c r="F191" s="36">
        <v>1728005</v>
      </c>
      <c r="G191" s="36">
        <v>240001</v>
      </c>
      <c r="H191" s="36">
        <v>12507588</v>
      </c>
      <c r="I191" s="36">
        <v>0</v>
      </c>
      <c r="J191" s="37">
        <v>2522301</v>
      </c>
      <c r="K191" s="36">
        <v>30267598</v>
      </c>
      <c r="L191" s="38">
        <v>32789900</v>
      </c>
      <c r="M191" s="39"/>
      <c r="N191" s="36">
        <v>30267598</v>
      </c>
      <c r="O191" s="36">
        <v>17760011</v>
      </c>
      <c r="P191" s="36">
        <v>0</v>
      </c>
      <c r="Q191" s="36">
        <f>Q190*1936.27</f>
        <v>35986701.761107996</v>
      </c>
      <c r="R191" s="7"/>
      <c r="S191" s="7"/>
      <c r="T191" s="7"/>
      <c r="U191" s="7"/>
      <c r="V191" s="7"/>
      <c r="W191" s="7"/>
      <c r="X191" s="7"/>
      <c r="Y191" s="7"/>
      <c r="Z191" s="7"/>
    </row>
    <row r="192" spans="1:26" ht="12.75" customHeight="1" x14ac:dyDescent="0.2">
      <c r="A192" s="95"/>
      <c r="B192" s="95"/>
      <c r="C192" s="40" t="s">
        <v>36</v>
      </c>
      <c r="D192" s="41">
        <v>11</v>
      </c>
      <c r="E192" s="42">
        <v>8527.74</v>
      </c>
      <c r="F192" s="42">
        <v>935.82</v>
      </c>
      <c r="G192" s="42">
        <v>123.95</v>
      </c>
      <c r="H192" s="42">
        <v>6459.63</v>
      </c>
      <c r="I192" s="42">
        <v>0</v>
      </c>
      <c r="J192" s="42">
        <v>1337.26</v>
      </c>
      <c r="K192" s="43">
        <v>16047.14</v>
      </c>
      <c r="L192" s="32">
        <v>17384.400000000001</v>
      </c>
      <c r="M192" s="33"/>
      <c r="N192" s="30">
        <v>16047.14</v>
      </c>
      <c r="O192" s="30">
        <v>9587.51</v>
      </c>
      <c r="P192" s="30"/>
      <c r="Q192" s="30">
        <f>(N192+O192*0.18+J192)+(IF((P192-O192*0.18)&gt;0,(P192-O192*0.18),0))</f>
        <v>19110.151799999996</v>
      </c>
      <c r="R192" s="7"/>
      <c r="S192" s="7"/>
      <c r="T192" s="7"/>
      <c r="U192" s="7"/>
      <c r="V192" s="7"/>
      <c r="W192" s="7"/>
      <c r="X192" s="7"/>
      <c r="Y192" s="7"/>
      <c r="Z192" s="7"/>
    </row>
    <row r="193" spans="1:26" ht="9" customHeight="1" x14ac:dyDescent="0.2">
      <c r="A193" s="95"/>
      <c r="B193" s="95"/>
      <c r="C193" s="34" t="s">
        <v>37</v>
      </c>
      <c r="D193" s="35">
        <v>12</v>
      </c>
      <c r="E193" s="36">
        <v>16512007</v>
      </c>
      <c r="F193" s="36">
        <v>1812000</v>
      </c>
      <c r="G193" s="36">
        <v>240001</v>
      </c>
      <c r="H193" s="36">
        <v>12507588</v>
      </c>
      <c r="I193" s="36">
        <v>0</v>
      </c>
      <c r="J193" s="37">
        <v>2589296</v>
      </c>
      <c r="K193" s="36">
        <v>31071596</v>
      </c>
      <c r="L193" s="38">
        <v>33660892</v>
      </c>
      <c r="M193" s="39"/>
      <c r="N193" s="36">
        <v>31071596</v>
      </c>
      <c r="O193" s="36">
        <v>18564008</v>
      </c>
      <c r="P193" s="36">
        <v>0</v>
      </c>
      <c r="Q193" s="36">
        <f>Q192*1936.27</f>
        <v>37002413.625785992</v>
      </c>
      <c r="R193" s="7"/>
      <c r="S193" s="7"/>
      <c r="T193" s="7"/>
      <c r="U193" s="7"/>
      <c r="V193" s="7"/>
      <c r="W193" s="7"/>
      <c r="X193" s="7"/>
      <c r="Y193" s="7"/>
      <c r="Z193" s="7"/>
    </row>
    <row r="194" spans="1:26" ht="12.75" customHeight="1" x14ac:dyDescent="0.2">
      <c r="A194" s="95"/>
      <c r="B194" s="95"/>
      <c r="C194" s="40" t="s">
        <v>36</v>
      </c>
      <c r="D194" s="41">
        <v>13</v>
      </c>
      <c r="E194" s="42">
        <v>8980.15</v>
      </c>
      <c r="F194" s="42">
        <v>985.4</v>
      </c>
      <c r="G194" s="42">
        <v>123.95</v>
      </c>
      <c r="H194" s="42">
        <v>6459.63</v>
      </c>
      <c r="I194" s="42">
        <v>0</v>
      </c>
      <c r="J194" s="42">
        <v>1379.09</v>
      </c>
      <c r="K194" s="43">
        <v>16549.13</v>
      </c>
      <c r="L194" s="32">
        <v>17928.22</v>
      </c>
      <c r="M194" s="33"/>
      <c r="N194" s="30">
        <v>16549.13</v>
      </c>
      <c r="O194" s="30">
        <v>10089.5</v>
      </c>
      <c r="P194" s="30"/>
      <c r="Q194" s="30">
        <f>(N194+O194*0.18+J194)+(IF((P194-O194*0.18)&gt;0,(P194-O194*0.18),0))</f>
        <v>19744.330000000002</v>
      </c>
      <c r="R194" s="7"/>
      <c r="S194" s="7"/>
      <c r="T194" s="7"/>
      <c r="U194" s="7"/>
      <c r="V194" s="7"/>
      <c r="W194" s="7"/>
      <c r="X194" s="7"/>
      <c r="Y194" s="7"/>
      <c r="Z194" s="7"/>
    </row>
    <row r="195" spans="1:26" ht="9" customHeight="1" x14ac:dyDescent="0.2">
      <c r="A195" s="95"/>
      <c r="B195" s="95"/>
      <c r="C195" s="34" t="s">
        <v>37</v>
      </c>
      <c r="D195" s="35">
        <v>14</v>
      </c>
      <c r="E195" s="36">
        <v>17387995</v>
      </c>
      <c r="F195" s="36">
        <v>1908000</v>
      </c>
      <c r="G195" s="36">
        <v>240001</v>
      </c>
      <c r="H195" s="36">
        <v>12507588</v>
      </c>
      <c r="I195" s="36">
        <v>0</v>
      </c>
      <c r="J195" s="37">
        <v>2670291</v>
      </c>
      <c r="K195" s="36">
        <v>32043584</v>
      </c>
      <c r="L195" s="38">
        <v>34713875</v>
      </c>
      <c r="M195" s="39"/>
      <c r="N195" s="36">
        <v>32043584</v>
      </c>
      <c r="O195" s="36">
        <v>19535996</v>
      </c>
      <c r="P195" s="36">
        <v>0</v>
      </c>
      <c r="Q195" s="36">
        <f>Q194*1936.27</f>
        <v>38230353.849100001</v>
      </c>
      <c r="R195" s="7"/>
      <c r="S195" s="7"/>
      <c r="T195" s="7"/>
      <c r="U195" s="7"/>
      <c r="V195" s="7"/>
      <c r="W195" s="7"/>
      <c r="X195" s="7"/>
      <c r="Y195" s="7"/>
      <c r="Z195" s="7"/>
    </row>
    <row r="196" spans="1:26" ht="12.75" customHeight="1" x14ac:dyDescent="0.2">
      <c r="A196" s="95"/>
      <c r="B196" s="95"/>
      <c r="C196" s="40" t="s">
        <v>36</v>
      </c>
      <c r="D196" s="41">
        <v>15</v>
      </c>
      <c r="E196" s="42">
        <v>9463.56</v>
      </c>
      <c r="F196" s="42">
        <v>1034.98</v>
      </c>
      <c r="G196" s="42">
        <v>123.95</v>
      </c>
      <c r="H196" s="42">
        <v>6459.63</v>
      </c>
      <c r="I196" s="42">
        <v>0</v>
      </c>
      <c r="J196" s="42">
        <v>1423.51</v>
      </c>
      <c r="K196" s="43">
        <v>17082.12</v>
      </c>
      <c r="L196" s="32">
        <v>18505.63</v>
      </c>
      <c r="M196" s="33"/>
      <c r="N196" s="30">
        <v>17082.12</v>
      </c>
      <c r="O196" s="30">
        <v>10622.49</v>
      </c>
      <c r="P196" s="30"/>
      <c r="Q196" s="30">
        <f>(N196+O196*0.18+J196)+(IF((P196-O196*0.18)&gt;0,(P196-O196*0.18),0))</f>
        <v>20417.678199999998</v>
      </c>
      <c r="R196" s="7"/>
      <c r="S196" s="7"/>
      <c r="T196" s="7"/>
      <c r="U196" s="7"/>
      <c r="V196" s="7"/>
      <c r="W196" s="7"/>
      <c r="X196" s="7"/>
      <c r="Y196" s="7"/>
      <c r="Z196" s="7"/>
    </row>
    <row r="197" spans="1:26" ht="9" customHeight="1" x14ac:dyDescent="0.2">
      <c r="A197" s="95"/>
      <c r="B197" s="95"/>
      <c r="C197" s="34" t="s">
        <v>37</v>
      </c>
      <c r="D197" s="35">
        <v>16</v>
      </c>
      <c r="E197" s="36">
        <v>18324007</v>
      </c>
      <c r="F197" s="36">
        <v>2004001</v>
      </c>
      <c r="G197" s="36">
        <v>240001</v>
      </c>
      <c r="H197" s="36">
        <v>12507588</v>
      </c>
      <c r="I197" s="36">
        <v>0</v>
      </c>
      <c r="J197" s="37">
        <v>2756300</v>
      </c>
      <c r="K197" s="36">
        <v>33075596</v>
      </c>
      <c r="L197" s="38">
        <v>35831896</v>
      </c>
      <c r="M197" s="39"/>
      <c r="N197" s="36">
        <v>33075596</v>
      </c>
      <c r="O197" s="36">
        <v>20568009</v>
      </c>
      <c r="P197" s="36">
        <v>0</v>
      </c>
      <c r="Q197" s="36">
        <f>Q196*1936.27</f>
        <v>39534137.768313996</v>
      </c>
      <c r="R197" s="7"/>
      <c r="S197" s="7"/>
      <c r="T197" s="7"/>
      <c r="U197" s="7"/>
      <c r="V197" s="7"/>
      <c r="W197" s="7"/>
      <c r="X197" s="7"/>
      <c r="Y197" s="7"/>
      <c r="Z197" s="7"/>
    </row>
    <row r="198" spans="1:26" ht="12.75" customHeight="1" x14ac:dyDescent="0.2">
      <c r="A198" s="95"/>
      <c r="B198" s="95"/>
      <c r="C198" s="40" t="s">
        <v>36</v>
      </c>
      <c r="D198" s="41">
        <v>17</v>
      </c>
      <c r="E198" s="42">
        <v>9940.76</v>
      </c>
      <c r="F198" s="42">
        <v>1090.76</v>
      </c>
      <c r="G198" s="42">
        <v>123.95</v>
      </c>
      <c r="H198" s="42">
        <v>6459.63</v>
      </c>
      <c r="I198" s="42">
        <v>0</v>
      </c>
      <c r="J198" s="42">
        <v>1467.93</v>
      </c>
      <c r="K198" s="43">
        <v>17615.099999999999</v>
      </c>
      <c r="L198" s="32">
        <v>19083.03</v>
      </c>
      <c r="M198" s="33"/>
      <c r="N198" s="30">
        <v>17615.099999999999</v>
      </c>
      <c r="O198" s="30">
        <v>11155.47</v>
      </c>
      <c r="P198" s="30"/>
      <c r="Q198" s="30">
        <f>(N198+O198*0.18+J198)+(IF((P198-O198*0.18)&gt;0,(P198-O198*0.18),0))</f>
        <v>21091.014599999999</v>
      </c>
      <c r="R198" s="7"/>
      <c r="S198" s="7"/>
      <c r="T198" s="7"/>
      <c r="U198" s="7"/>
      <c r="V198" s="7"/>
      <c r="W198" s="7"/>
      <c r="X198" s="7"/>
      <c r="Y198" s="7"/>
      <c r="Z198" s="7"/>
    </row>
    <row r="199" spans="1:26" ht="9" customHeight="1" x14ac:dyDescent="0.2">
      <c r="A199" s="95"/>
      <c r="B199" s="95"/>
      <c r="C199" s="34" t="s">
        <v>37</v>
      </c>
      <c r="D199" s="35">
        <v>17</v>
      </c>
      <c r="E199" s="36">
        <v>19247995</v>
      </c>
      <c r="F199" s="36">
        <v>2112006</v>
      </c>
      <c r="G199" s="36">
        <v>240001</v>
      </c>
      <c r="H199" s="36">
        <v>12507588</v>
      </c>
      <c r="I199" s="36">
        <v>0</v>
      </c>
      <c r="J199" s="37">
        <v>2842309</v>
      </c>
      <c r="K199" s="36">
        <v>34107590</v>
      </c>
      <c r="L199" s="38">
        <v>36949898</v>
      </c>
      <c r="M199" s="39"/>
      <c r="N199" s="36">
        <v>34107590</v>
      </c>
      <c r="O199" s="36">
        <v>21600002</v>
      </c>
      <c r="P199" s="36">
        <v>0</v>
      </c>
      <c r="Q199" s="36">
        <f>Q198*1936.27</f>
        <v>40837898.839541994</v>
      </c>
      <c r="R199" s="7"/>
      <c r="S199" s="7"/>
      <c r="T199" s="7"/>
      <c r="U199" s="7"/>
      <c r="V199" s="7"/>
      <c r="W199" s="7"/>
      <c r="X199" s="7"/>
      <c r="Y199" s="7"/>
      <c r="Z199" s="7"/>
    </row>
    <row r="200" spans="1:26" ht="12.75" customHeight="1" x14ac:dyDescent="0.2">
      <c r="A200" s="95"/>
      <c r="B200" s="95"/>
      <c r="C200" s="40" t="s">
        <v>36</v>
      </c>
      <c r="D200" s="41">
        <v>18</v>
      </c>
      <c r="E200" s="42">
        <v>10417.969999999999</v>
      </c>
      <c r="F200" s="42">
        <v>1146.53</v>
      </c>
      <c r="G200" s="42">
        <v>123.95</v>
      </c>
      <c r="H200" s="42">
        <v>6459.63</v>
      </c>
      <c r="I200" s="42">
        <v>0</v>
      </c>
      <c r="J200" s="42">
        <v>1512.34</v>
      </c>
      <c r="K200" s="43">
        <v>18148.080000000002</v>
      </c>
      <c r="L200" s="32">
        <v>19660.419999999998</v>
      </c>
      <c r="M200" s="33"/>
      <c r="N200" s="30">
        <v>18148.080000000002</v>
      </c>
      <c r="O200" s="30">
        <v>11688.45</v>
      </c>
      <c r="P200" s="30"/>
      <c r="Q200" s="30">
        <f>(N200+O200*0.18+J200)+(IF((P200-O200*0.18)&gt;0,(P200-O200*0.18),0))</f>
        <v>21764.341000000004</v>
      </c>
      <c r="R200" s="7"/>
      <c r="S200" s="7"/>
      <c r="T200" s="7"/>
      <c r="U200" s="7"/>
      <c r="V200" s="7"/>
      <c r="W200" s="7"/>
      <c r="X200" s="7"/>
      <c r="Y200" s="7"/>
      <c r="Z200" s="7"/>
    </row>
    <row r="201" spans="1:26" ht="9" customHeight="1" x14ac:dyDescent="0.2">
      <c r="A201" s="95"/>
      <c r="B201" s="95"/>
      <c r="C201" s="34" t="s">
        <v>37</v>
      </c>
      <c r="D201" s="35">
        <v>19</v>
      </c>
      <c r="E201" s="36">
        <v>20172003</v>
      </c>
      <c r="F201" s="36">
        <v>2219992</v>
      </c>
      <c r="G201" s="36">
        <v>240001</v>
      </c>
      <c r="H201" s="36">
        <v>12507588</v>
      </c>
      <c r="I201" s="36">
        <v>0</v>
      </c>
      <c r="J201" s="37">
        <v>2928299</v>
      </c>
      <c r="K201" s="36">
        <v>35139583</v>
      </c>
      <c r="L201" s="38">
        <v>38067881</v>
      </c>
      <c r="M201" s="39"/>
      <c r="N201" s="36">
        <v>35139583</v>
      </c>
      <c r="O201" s="36">
        <v>22631995</v>
      </c>
      <c r="P201" s="36">
        <v>0</v>
      </c>
      <c r="Q201" s="36">
        <f>Q200*1936.27</f>
        <v>42141640.548070006</v>
      </c>
      <c r="R201" s="7"/>
      <c r="S201" s="7"/>
      <c r="T201" s="7"/>
      <c r="U201" s="7"/>
      <c r="V201" s="7"/>
      <c r="W201" s="7"/>
      <c r="X201" s="7"/>
      <c r="Y201" s="7"/>
      <c r="Z201" s="7"/>
    </row>
    <row r="202" spans="1:26" ht="12.75" customHeight="1" x14ac:dyDescent="0.2">
      <c r="A202" s="95"/>
      <c r="B202" s="95"/>
      <c r="C202" s="40" t="s">
        <v>36</v>
      </c>
      <c r="D202" s="41">
        <v>20</v>
      </c>
      <c r="E202" s="42">
        <v>10734.04</v>
      </c>
      <c r="F202" s="42">
        <v>1177.52</v>
      </c>
      <c r="G202" s="42">
        <v>123.95</v>
      </c>
      <c r="H202" s="42">
        <v>6459.63</v>
      </c>
      <c r="I202" s="42">
        <v>0</v>
      </c>
      <c r="J202" s="42">
        <v>1541.26</v>
      </c>
      <c r="K202" s="43">
        <v>18495.14</v>
      </c>
      <c r="L202" s="32">
        <v>20036.400000000001</v>
      </c>
      <c r="M202" s="33"/>
      <c r="N202" s="30">
        <v>18495.14</v>
      </c>
      <c r="O202" s="30">
        <v>12035.51</v>
      </c>
      <c r="P202" s="30"/>
      <c r="Q202" s="30">
        <f>(N202+O202*0.18+J202)+(IF((P202-O202*0.18)&gt;0,(P202-O202*0.18),0))</f>
        <v>22202.791799999999</v>
      </c>
      <c r="R202" s="7"/>
      <c r="S202" s="7"/>
      <c r="T202" s="7"/>
      <c r="U202" s="7"/>
      <c r="V202" s="7"/>
      <c r="W202" s="7"/>
      <c r="X202" s="7"/>
      <c r="Y202" s="7"/>
      <c r="Z202" s="7"/>
    </row>
    <row r="203" spans="1:26" ht="9" customHeight="1" x14ac:dyDescent="0.2">
      <c r="A203" s="95"/>
      <c r="B203" s="95"/>
      <c r="C203" s="34" t="s">
        <v>37</v>
      </c>
      <c r="D203" s="35">
        <v>21</v>
      </c>
      <c r="E203" s="36">
        <v>20784000</v>
      </c>
      <c r="F203" s="36">
        <v>2279997</v>
      </c>
      <c r="G203" s="36">
        <v>240001</v>
      </c>
      <c r="H203" s="36">
        <v>12507588</v>
      </c>
      <c r="I203" s="36">
        <v>0</v>
      </c>
      <c r="J203" s="37">
        <v>2984296</v>
      </c>
      <c r="K203" s="36">
        <v>35811585</v>
      </c>
      <c r="L203" s="38">
        <v>38795880</v>
      </c>
      <c r="M203" s="39"/>
      <c r="N203" s="36">
        <v>35811585</v>
      </c>
      <c r="O203" s="36">
        <v>23303997</v>
      </c>
      <c r="P203" s="36">
        <v>0</v>
      </c>
      <c r="Q203" s="36">
        <f>Q202*1936.27</f>
        <v>42990599.678585999</v>
      </c>
      <c r="R203" s="7"/>
      <c r="S203" s="7"/>
      <c r="T203" s="7"/>
      <c r="U203" s="7"/>
      <c r="V203" s="7"/>
      <c r="W203" s="7"/>
      <c r="X203" s="7"/>
      <c r="Y203" s="7"/>
      <c r="Z203" s="7"/>
    </row>
    <row r="204" spans="1:26" ht="12.75" customHeight="1" x14ac:dyDescent="0.2">
      <c r="A204" s="95"/>
      <c r="B204" s="95"/>
      <c r="C204" s="40" t="s">
        <v>36</v>
      </c>
      <c r="D204" s="41">
        <v>22</v>
      </c>
      <c r="E204" s="42">
        <v>11037.72</v>
      </c>
      <c r="F204" s="42">
        <v>1214.71</v>
      </c>
      <c r="G204" s="42">
        <v>123.95</v>
      </c>
      <c r="H204" s="42">
        <v>6459.63</v>
      </c>
      <c r="I204" s="42">
        <v>0</v>
      </c>
      <c r="J204" s="42">
        <v>1569.67</v>
      </c>
      <c r="K204" s="43">
        <v>18836.009999999998</v>
      </c>
      <c r="L204" s="32">
        <v>20405.68</v>
      </c>
      <c r="M204" s="33"/>
      <c r="N204" s="30">
        <v>18836.009999999998</v>
      </c>
      <c r="O204" s="30">
        <v>12376.38</v>
      </c>
      <c r="P204" s="30"/>
      <c r="Q204" s="30">
        <f>(N204+O204*0.18+J204)+(IF((P204-O204*0.18)&gt;0,(P204-O204*0.18),0))</f>
        <v>22633.428399999997</v>
      </c>
      <c r="R204" s="7"/>
      <c r="S204" s="7"/>
      <c r="T204" s="7"/>
      <c r="U204" s="7"/>
      <c r="V204" s="7"/>
      <c r="W204" s="7"/>
      <c r="X204" s="7"/>
      <c r="Y204" s="7"/>
      <c r="Z204" s="7"/>
    </row>
    <row r="205" spans="1:26" ht="9" customHeight="1" x14ac:dyDescent="0.2">
      <c r="A205" s="95"/>
      <c r="B205" s="95"/>
      <c r="C205" s="34" t="s">
        <v>37</v>
      </c>
      <c r="D205" s="35">
        <v>23</v>
      </c>
      <c r="E205" s="36">
        <v>21372006</v>
      </c>
      <c r="F205" s="36">
        <v>2352007</v>
      </c>
      <c r="G205" s="36">
        <v>240001</v>
      </c>
      <c r="H205" s="36">
        <v>12507588</v>
      </c>
      <c r="I205" s="36">
        <v>0</v>
      </c>
      <c r="J205" s="37">
        <v>3039305</v>
      </c>
      <c r="K205" s="36">
        <v>36471601</v>
      </c>
      <c r="L205" s="38">
        <v>39510906</v>
      </c>
      <c r="M205" s="39"/>
      <c r="N205" s="36">
        <v>36471601</v>
      </c>
      <c r="O205" s="36">
        <v>23964013</v>
      </c>
      <c r="P205" s="36">
        <v>0</v>
      </c>
      <c r="Q205" s="36">
        <f>Q204*1936.27</f>
        <v>43824428.408067994</v>
      </c>
      <c r="R205" s="7"/>
      <c r="S205" s="7"/>
      <c r="T205" s="7"/>
      <c r="U205" s="7"/>
      <c r="V205" s="7"/>
      <c r="W205" s="7"/>
      <c r="X205" s="7"/>
      <c r="Y205" s="7"/>
      <c r="Z205" s="7"/>
    </row>
    <row r="206" spans="1:26" ht="12.75" customHeight="1" x14ac:dyDescent="0.2">
      <c r="A206" s="95"/>
      <c r="B206" s="95"/>
      <c r="C206" s="40" t="s">
        <v>36</v>
      </c>
      <c r="D206" s="41">
        <v>24</v>
      </c>
      <c r="E206" s="42">
        <v>11347.59</v>
      </c>
      <c r="F206" s="42">
        <v>1245.69</v>
      </c>
      <c r="G206" s="42">
        <v>123.95</v>
      </c>
      <c r="H206" s="42">
        <v>6459.63</v>
      </c>
      <c r="I206" s="42">
        <v>0</v>
      </c>
      <c r="J206" s="42">
        <v>1598.07</v>
      </c>
      <c r="K206" s="43">
        <v>19176.86</v>
      </c>
      <c r="L206" s="32">
        <v>20774.93</v>
      </c>
      <c r="M206" s="33"/>
      <c r="N206" s="30">
        <v>19176.86</v>
      </c>
      <c r="O206" s="30">
        <v>12717.23</v>
      </c>
      <c r="P206" s="30"/>
      <c r="Q206" s="30">
        <f>(N206+O206*0.18+J206)+(IF((P206-O206*0.18)&gt;0,(P206-O206*0.18),0))</f>
        <v>23064.0314</v>
      </c>
      <c r="R206" s="7"/>
      <c r="S206" s="7"/>
      <c r="T206" s="7"/>
      <c r="U206" s="7"/>
      <c r="V206" s="7"/>
      <c r="W206" s="7"/>
      <c r="X206" s="7"/>
      <c r="Y206" s="7"/>
      <c r="Z206" s="7"/>
    </row>
    <row r="207" spans="1:26" ht="9" customHeight="1" x14ac:dyDescent="0.2">
      <c r="A207" s="95"/>
      <c r="B207" s="95"/>
      <c r="C207" s="34" t="s">
        <v>37</v>
      </c>
      <c r="D207" s="35">
        <v>25</v>
      </c>
      <c r="E207" s="36">
        <v>21971998</v>
      </c>
      <c r="F207" s="36">
        <v>2411992</v>
      </c>
      <c r="G207" s="36">
        <v>240001</v>
      </c>
      <c r="H207" s="36">
        <v>12507588</v>
      </c>
      <c r="I207" s="36">
        <v>0</v>
      </c>
      <c r="J207" s="37">
        <v>3094295</v>
      </c>
      <c r="K207" s="36">
        <v>37131579</v>
      </c>
      <c r="L207" s="38">
        <v>40225874</v>
      </c>
      <c r="M207" s="39"/>
      <c r="N207" s="36">
        <v>37131579</v>
      </c>
      <c r="O207" s="36">
        <v>24623991</v>
      </c>
      <c r="P207" s="36">
        <v>0</v>
      </c>
      <c r="Q207" s="36">
        <f>Q206*1936.27</f>
        <v>44658192.078878</v>
      </c>
      <c r="R207" s="7"/>
      <c r="S207" s="7"/>
      <c r="T207" s="7"/>
      <c r="U207" s="7"/>
      <c r="V207" s="7"/>
      <c r="W207" s="7"/>
      <c r="X207" s="7"/>
      <c r="Y207" s="7"/>
      <c r="Z207" s="7"/>
    </row>
    <row r="208" spans="1:26" ht="12.75" customHeight="1" x14ac:dyDescent="0.2">
      <c r="A208" s="95"/>
      <c r="B208" s="95"/>
      <c r="C208" s="40" t="s">
        <v>36</v>
      </c>
      <c r="D208" s="41">
        <v>26</v>
      </c>
      <c r="E208" s="42">
        <v>11731.83</v>
      </c>
      <c r="F208" s="42">
        <v>1289.08</v>
      </c>
      <c r="G208" s="42">
        <v>123.95</v>
      </c>
      <c r="H208" s="42">
        <v>6459.63</v>
      </c>
      <c r="I208" s="42">
        <v>0</v>
      </c>
      <c r="J208" s="42">
        <v>1633.71</v>
      </c>
      <c r="K208" s="43">
        <v>19604.490000000002</v>
      </c>
      <c r="L208" s="32">
        <v>21238.2</v>
      </c>
      <c r="M208" s="33"/>
      <c r="N208" s="30">
        <v>19604.490000000002</v>
      </c>
      <c r="O208" s="30">
        <v>13144.86</v>
      </c>
      <c r="P208" s="30"/>
      <c r="Q208" s="30">
        <f>(N208+O208*0.18+J208)+(IF((P208-O208*0.18)&gt;0,(P208-O208*0.18),0))</f>
        <v>23604.274799999999</v>
      </c>
      <c r="R208" s="7"/>
      <c r="S208" s="7"/>
      <c r="T208" s="7"/>
      <c r="U208" s="7"/>
      <c r="V208" s="7"/>
      <c r="W208" s="7"/>
      <c r="X208" s="7"/>
      <c r="Y208" s="7"/>
      <c r="Z208" s="7"/>
    </row>
    <row r="209" spans="1:26" ht="9" customHeight="1" x14ac:dyDescent="0.2">
      <c r="A209" s="95"/>
      <c r="B209" s="95"/>
      <c r="C209" s="34" t="s">
        <v>37</v>
      </c>
      <c r="D209" s="35">
        <v>27</v>
      </c>
      <c r="E209" s="36">
        <v>22715990</v>
      </c>
      <c r="F209" s="36">
        <v>2496007</v>
      </c>
      <c r="G209" s="36">
        <v>240001</v>
      </c>
      <c r="H209" s="36">
        <v>12507588</v>
      </c>
      <c r="I209" s="36">
        <v>0</v>
      </c>
      <c r="J209" s="37">
        <v>3163304</v>
      </c>
      <c r="K209" s="36">
        <v>37959586</v>
      </c>
      <c r="L209" s="38">
        <v>41122890</v>
      </c>
      <c r="M209" s="39"/>
      <c r="N209" s="36">
        <v>37959586</v>
      </c>
      <c r="O209" s="36">
        <v>25451998</v>
      </c>
      <c r="P209" s="36">
        <v>0</v>
      </c>
      <c r="Q209" s="36">
        <f>Q208*1936.27</f>
        <v>45704249.166995995</v>
      </c>
      <c r="R209" s="7"/>
      <c r="S209" s="7"/>
      <c r="T209" s="7"/>
      <c r="U209" s="7"/>
      <c r="V209" s="7"/>
      <c r="W209" s="7"/>
      <c r="X209" s="7"/>
      <c r="Y209" s="7"/>
      <c r="Z209" s="7"/>
    </row>
    <row r="210" spans="1:26" ht="12.75" customHeight="1" x14ac:dyDescent="0.2">
      <c r="A210" s="95"/>
      <c r="B210" s="95"/>
      <c r="C210" s="40" t="s">
        <v>36</v>
      </c>
      <c r="D210" s="41">
        <v>28</v>
      </c>
      <c r="E210" s="42">
        <v>11979.73</v>
      </c>
      <c r="F210" s="42">
        <v>1313.87</v>
      </c>
      <c r="G210" s="42">
        <v>123.95</v>
      </c>
      <c r="H210" s="42">
        <v>6459.63</v>
      </c>
      <c r="I210" s="42">
        <v>0</v>
      </c>
      <c r="J210" s="42">
        <v>1656.43</v>
      </c>
      <c r="K210" s="43">
        <v>19877.18</v>
      </c>
      <c r="L210" s="32">
        <v>21533.61</v>
      </c>
      <c r="M210" s="33"/>
      <c r="N210" s="30">
        <v>19877.18</v>
      </c>
      <c r="O210" s="30">
        <v>13417.55</v>
      </c>
      <c r="P210" s="30"/>
      <c r="Q210" s="30">
        <f>(N210+O210*0.18+J210)+(IF((P210-O210*0.18)&gt;0,(P210-O210*0.18),0))</f>
        <v>23948.769</v>
      </c>
      <c r="R210" s="7"/>
      <c r="S210" s="7"/>
      <c r="T210" s="7"/>
      <c r="U210" s="7"/>
      <c r="V210" s="7"/>
      <c r="W210" s="7"/>
      <c r="X210" s="7"/>
      <c r="Y210" s="7"/>
      <c r="Z210" s="7"/>
    </row>
    <row r="211" spans="1:26" ht="9" customHeight="1" x14ac:dyDescent="0.2">
      <c r="A211" s="95"/>
      <c r="B211" s="95"/>
      <c r="C211" s="34" t="s">
        <v>37</v>
      </c>
      <c r="D211" s="35">
        <v>29</v>
      </c>
      <c r="E211" s="36">
        <v>23195992</v>
      </c>
      <c r="F211" s="36">
        <v>2544007</v>
      </c>
      <c r="G211" s="36">
        <v>240001</v>
      </c>
      <c r="H211" s="36">
        <v>12507588</v>
      </c>
      <c r="I211" s="36">
        <v>0</v>
      </c>
      <c r="J211" s="37">
        <v>3207296</v>
      </c>
      <c r="K211" s="36">
        <v>38487587</v>
      </c>
      <c r="L211" s="38">
        <v>41694883</v>
      </c>
      <c r="M211" s="39"/>
      <c r="N211" s="36">
        <v>38487587</v>
      </c>
      <c r="O211" s="36">
        <v>25980000</v>
      </c>
      <c r="P211" s="36">
        <v>0</v>
      </c>
      <c r="Q211" s="36">
        <f>Q210*1936.27</f>
        <v>46371282.951629996</v>
      </c>
      <c r="R211" s="7"/>
      <c r="S211" s="7"/>
      <c r="T211" s="7"/>
      <c r="U211" s="7"/>
      <c r="V211" s="7"/>
      <c r="W211" s="7"/>
      <c r="X211" s="7"/>
      <c r="Y211" s="7"/>
      <c r="Z211" s="7"/>
    </row>
    <row r="212" spans="1:26" ht="12.75" customHeight="1" x14ac:dyDescent="0.2">
      <c r="A212" s="95"/>
      <c r="B212" s="95"/>
      <c r="C212" s="40" t="s">
        <v>36</v>
      </c>
      <c r="D212" s="41">
        <v>30</v>
      </c>
      <c r="E212" s="42">
        <v>12295.81</v>
      </c>
      <c r="F212" s="42">
        <v>1351.05</v>
      </c>
      <c r="G212" s="42">
        <v>123.95</v>
      </c>
      <c r="H212" s="42">
        <v>6459.63</v>
      </c>
      <c r="I212" s="42">
        <v>0</v>
      </c>
      <c r="J212" s="42">
        <v>1685.87</v>
      </c>
      <c r="K212" s="43">
        <v>20230.439999999999</v>
      </c>
      <c r="L212" s="32">
        <v>21916.31</v>
      </c>
      <c r="M212" s="33"/>
      <c r="N212" s="30">
        <v>20230.439999999999</v>
      </c>
      <c r="O212" s="30">
        <v>13770.81</v>
      </c>
      <c r="P212" s="30"/>
      <c r="Q212" s="30">
        <f>(N212+O212*0.18+J212)+(IF((P212-O212*0.18)&gt;0,(P212-O212*0.18),0))</f>
        <v>24395.055799999998</v>
      </c>
      <c r="R212" s="7"/>
      <c r="S212" s="7"/>
      <c r="T212" s="7"/>
      <c r="U212" s="7"/>
      <c r="V212" s="7"/>
      <c r="W212" s="7"/>
      <c r="X212" s="7"/>
      <c r="Y212" s="7"/>
      <c r="Z212" s="7"/>
    </row>
    <row r="213" spans="1:26" ht="9" customHeight="1" x14ac:dyDescent="0.2">
      <c r="A213" s="95"/>
      <c r="B213" s="95"/>
      <c r="C213" s="34" t="s">
        <v>37</v>
      </c>
      <c r="D213" s="35">
        <v>31</v>
      </c>
      <c r="E213" s="36">
        <v>23808008</v>
      </c>
      <c r="F213" s="36">
        <v>2615998</v>
      </c>
      <c r="G213" s="36">
        <v>240001</v>
      </c>
      <c r="H213" s="36">
        <v>12507588</v>
      </c>
      <c r="I213" s="36">
        <v>0</v>
      </c>
      <c r="J213" s="37">
        <v>3264300</v>
      </c>
      <c r="K213" s="36">
        <v>39171594</v>
      </c>
      <c r="L213" s="38">
        <v>42435894</v>
      </c>
      <c r="M213" s="39"/>
      <c r="N213" s="36">
        <v>39171594</v>
      </c>
      <c r="O213" s="36">
        <v>26664006</v>
      </c>
      <c r="P213" s="36">
        <v>0</v>
      </c>
      <c r="Q213" s="36">
        <f>Q212*1936.27</f>
        <v>47235414.693866</v>
      </c>
      <c r="R213" s="7"/>
      <c r="S213" s="7"/>
      <c r="T213" s="7"/>
      <c r="U213" s="7"/>
      <c r="V213" s="7"/>
      <c r="W213" s="7"/>
      <c r="X213" s="7"/>
      <c r="Y213" s="7"/>
      <c r="Z213" s="7"/>
    </row>
    <row r="214" spans="1:26" ht="12.75" customHeight="1" x14ac:dyDescent="0.2">
      <c r="A214" s="95"/>
      <c r="B214" s="95"/>
      <c r="C214" s="40" t="s">
        <v>36</v>
      </c>
      <c r="D214" s="41">
        <v>32</v>
      </c>
      <c r="E214" s="42">
        <v>12605.68</v>
      </c>
      <c r="F214" s="42">
        <v>1382.04</v>
      </c>
      <c r="G214" s="42">
        <v>123.95</v>
      </c>
      <c r="H214" s="42">
        <v>6459.63</v>
      </c>
      <c r="I214" s="42">
        <v>0</v>
      </c>
      <c r="J214" s="42">
        <v>1714.28</v>
      </c>
      <c r="K214" s="43">
        <v>20571.3</v>
      </c>
      <c r="L214" s="32">
        <v>22285.58</v>
      </c>
      <c r="M214" s="33"/>
      <c r="N214" s="30">
        <v>20571.3</v>
      </c>
      <c r="O214" s="30">
        <v>14111.67</v>
      </c>
      <c r="P214" s="30"/>
      <c r="Q214" s="30">
        <f>(N214+O214*0.18+J214)+(IF((P214-O214*0.18)&gt;0,(P214-O214*0.18),0))</f>
        <v>24825.6806</v>
      </c>
      <c r="R214" s="7"/>
      <c r="S214" s="7"/>
      <c r="T214" s="7"/>
      <c r="U214" s="7"/>
      <c r="V214" s="7"/>
      <c r="W214" s="7"/>
      <c r="X214" s="7"/>
      <c r="Y214" s="7"/>
      <c r="Z214" s="7"/>
    </row>
    <row r="215" spans="1:26" ht="9" customHeight="1" x14ac:dyDescent="0.2">
      <c r="A215" s="95"/>
      <c r="B215" s="95"/>
      <c r="C215" s="34" t="s">
        <v>37</v>
      </c>
      <c r="D215" s="35">
        <v>33</v>
      </c>
      <c r="E215" s="36">
        <v>24408000</v>
      </c>
      <c r="F215" s="36">
        <v>2676003</v>
      </c>
      <c r="G215" s="36">
        <v>240001</v>
      </c>
      <c r="H215" s="36">
        <v>12507588</v>
      </c>
      <c r="I215" s="36">
        <v>0</v>
      </c>
      <c r="J215" s="37">
        <v>3319309</v>
      </c>
      <c r="K215" s="36">
        <v>39831591</v>
      </c>
      <c r="L215" s="38">
        <v>43150900</v>
      </c>
      <c r="M215" s="39"/>
      <c r="N215" s="36">
        <v>39831591</v>
      </c>
      <c r="O215" s="36">
        <v>27324003</v>
      </c>
      <c r="P215" s="36">
        <v>0</v>
      </c>
      <c r="Q215" s="36">
        <f>Q214*1936.27</f>
        <v>48069220.575361997</v>
      </c>
      <c r="R215" s="7"/>
      <c r="S215" s="7"/>
      <c r="T215" s="7"/>
      <c r="U215" s="7"/>
      <c r="V215" s="7"/>
      <c r="W215" s="7"/>
      <c r="X215" s="7"/>
      <c r="Y215" s="7"/>
      <c r="Z215" s="7"/>
    </row>
    <row r="216" spans="1:26" ht="12.75" customHeight="1" x14ac:dyDescent="0.2">
      <c r="A216" s="95"/>
      <c r="B216" s="95"/>
      <c r="C216" s="40" t="s">
        <v>36</v>
      </c>
      <c r="D216" s="41">
        <v>34</v>
      </c>
      <c r="E216" s="42">
        <v>12909.36</v>
      </c>
      <c r="F216" s="42">
        <v>1419.22</v>
      </c>
      <c r="G216" s="42">
        <v>123.95</v>
      </c>
      <c r="H216" s="42">
        <v>6459.63</v>
      </c>
      <c r="I216" s="42">
        <v>0</v>
      </c>
      <c r="J216" s="42">
        <v>1742.68</v>
      </c>
      <c r="K216" s="43">
        <v>20912.16</v>
      </c>
      <c r="L216" s="32">
        <v>22654.84</v>
      </c>
      <c r="M216" s="33"/>
      <c r="N216" s="30">
        <v>20912.16</v>
      </c>
      <c r="O216" s="30">
        <v>14452.53</v>
      </c>
      <c r="P216" s="30"/>
      <c r="Q216" s="30">
        <f>(N216+O216*0.18+J216)+(IF((P216-O216*0.18)&gt;0,(P216-O216*0.18),0))</f>
        <v>25256.295399999999</v>
      </c>
      <c r="R216" s="7"/>
      <c r="S216" s="7"/>
      <c r="T216" s="7"/>
      <c r="U216" s="7"/>
      <c r="V216" s="7"/>
      <c r="W216" s="7"/>
      <c r="X216" s="7"/>
      <c r="Y216" s="7"/>
      <c r="Z216" s="7"/>
    </row>
    <row r="217" spans="1:26" ht="9" customHeight="1" x14ac:dyDescent="0.2">
      <c r="A217" s="95"/>
      <c r="B217" s="95"/>
      <c r="C217" s="34" t="s">
        <v>37</v>
      </c>
      <c r="D217" s="35">
        <v>35</v>
      </c>
      <c r="E217" s="36">
        <v>24996006</v>
      </c>
      <c r="F217" s="36">
        <v>2747993</v>
      </c>
      <c r="G217" s="36">
        <v>240001</v>
      </c>
      <c r="H217" s="36">
        <v>12507588</v>
      </c>
      <c r="I217" s="36">
        <v>0</v>
      </c>
      <c r="J217" s="37">
        <v>3374299</v>
      </c>
      <c r="K217" s="36">
        <v>40491588</v>
      </c>
      <c r="L217" s="38">
        <v>43865887</v>
      </c>
      <c r="M217" s="39"/>
      <c r="N217" s="36">
        <v>40491588</v>
      </c>
      <c r="O217" s="36">
        <v>27984000</v>
      </c>
      <c r="P217" s="36">
        <v>0</v>
      </c>
      <c r="Q217" s="36">
        <f>Q216*1936.27</f>
        <v>48903007.094158001</v>
      </c>
      <c r="R217" s="7"/>
      <c r="S217" s="7"/>
      <c r="T217" s="7"/>
      <c r="U217" s="7"/>
      <c r="V217" s="7"/>
      <c r="W217" s="7"/>
      <c r="X217" s="7"/>
      <c r="Y217" s="7"/>
      <c r="Z217" s="7"/>
    </row>
    <row r="218" spans="1:26" ht="12.75" customHeight="1" x14ac:dyDescent="0.2">
      <c r="A218" s="95"/>
      <c r="B218" s="95"/>
      <c r="C218" s="40" t="s">
        <v>36</v>
      </c>
      <c r="D218" s="41">
        <v>36</v>
      </c>
      <c r="E218" s="42">
        <v>13225.43</v>
      </c>
      <c r="F218" s="42">
        <v>1450.21</v>
      </c>
      <c r="G218" s="42">
        <v>123.95</v>
      </c>
      <c r="H218" s="42">
        <v>6459.63</v>
      </c>
      <c r="I218" s="42">
        <v>0</v>
      </c>
      <c r="J218" s="42">
        <v>1771.6</v>
      </c>
      <c r="K218" s="43">
        <v>21259.22</v>
      </c>
      <c r="L218" s="32">
        <v>23030.82</v>
      </c>
      <c r="M218" s="33"/>
      <c r="N218" s="30">
        <v>21259.22</v>
      </c>
      <c r="O218" s="30">
        <v>14799.59</v>
      </c>
      <c r="P218" s="30"/>
      <c r="Q218" s="30">
        <f>(N218+O218*0.18+J218)+(IF((P218-O218*0.18)&gt;0,(P218-O218*0.18),0))</f>
        <v>25694.746200000001</v>
      </c>
      <c r="R218" s="7"/>
      <c r="S218" s="7"/>
      <c r="T218" s="7"/>
      <c r="U218" s="7"/>
      <c r="V218" s="7"/>
      <c r="W218" s="7"/>
      <c r="X218" s="7"/>
      <c r="Y218" s="7"/>
      <c r="Z218" s="7"/>
    </row>
    <row r="219" spans="1:26" ht="9" customHeight="1" x14ac:dyDescent="0.2">
      <c r="A219" s="95"/>
      <c r="B219" s="95"/>
      <c r="C219" s="34" t="s">
        <v>37</v>
      </c>
      <c r="D219" s="35">
        <v>37</v>
      </c>
      <c r="E219" s="36">
        <v>25608003</v>
      </c>
      <c r="F219" s="36">
        <v>2807998</v>
      </c>
      <c r="G219" s="36">
        <v>240001</v>
      </c>
      <c r="H219" s="36">
        <v>12507588</v>
      </c>
      <c r="I219" s="36">
        <v>0</v>
      </c>
      <c r="J219" s="37">
        <v>3430296</v>
      </c>
      <c r="K219" s="36">
        <v>41163590</v>
      </c>
      <c r="L219" s="38">
        <v>44593886</v>
      </c>
      <c r="M219" s="39"/>
      <c r="N219" s="36">
        <v>41163590</v>
      </c>
      <c r="O219" s="36">
        <v>28656002</v>
      </c>
      <c r="P219" s="36">
        <v>0</v>
      </c>
      <c r="Q219" s="36">
        <f>Q218*1936.27</f>
        <v>49751966.224674001</v>
      </c>
      <c r="R219" s="7"/>
      <c r="S219" s="7"/>
      <c r="T219" s="7"/>
      <c r="U219" s="7"/>
      <c r="V219" s="7"/>
      <c r="W219" s="7"/>
      <c r="X219" s="7"/>
      <c r="Y219" s="7"/>
      <c r="Z219" s="7"/>
    </row>
    <row r="220" spans="1:26" ht="12.75" customHeight="1" x14ac:dyDescent="0.2">
      <c r="A220" s="95"/>
      <c r="B220" s="95"/>
      <c r="C220" s="40" t="s">
        <v>36</v>
      </c>
      <c r="D220" s="41">
        <v>38</v>
      </c>
      <c r="E220" s="42">
        <v>13535.3</v>
      </c>
      <c r="F220" s="42">
        <v>1487.4</v>
      </c>
      <c r="G220" s="42">
        <v>123.95</v>
      </c>
      <c r="H220" s="42">
        <v>6459.63</v>
      </c>
      <c r="I220" s="42">
        <v>0</v>
      </c>
      <c r="J220" s="42">
        <v>1800.52</v>
      </c>
      <c r="K220" s="43">
        <v>21606.28</v>
      </c>
      <c r="L220" s="32">
        <v>23406.799999999999</v>
      </c>
      <c r="M220" s="33"/>
      <c r="N220" s="30">
        <v>21606.28</v>
      </c>
      <c r="O220" s="30">
        <v>15146.65</v>
      </c>
      <c r="P220" s="30"/>
      <c r="Q220" s="30">
        <f>(N220+O220*0.18+J220)+(IF((P220-O220*0.18)&gt;0,(P220-O220*0.18),0))</f>
        <v>26133.197</v>
      </c>
      <c r="R220" s="7"/>
      <c r="S220" s="7"/>
      <c r="T220" s="7"/>
      <c r="U220" s="7"/>
      <c r="V220" s="7"/>
      <c r="W220" s="7"/>
      <c r="X220" s="7"/>
      <c r="Y220" s="7"/>
      <c r="Z220" s="7"/>
    </row>
    <row r="221" spans="1:26" ht="9" customHeight="1" x14ac:dyDescent="0.2">
      <c r="A221" s="95"/>
      <c r="B221" s="95"/>
      <c r="C221" s="34" t="s">
        <v>37</v>
      </c>
      <c r="D221" s="35">
        <v>39</v>
      </c>
      <c r="E221" s="36">
        <v>26207995</v>
      </c>
      <c r="F221" s="36">
        <v>2880008</v>
      </c>
      <c r="G221" s="36">
        <v>240001</v>
      </c>
      <c r="H221" s="36">
        <v>12507588</v>
      </c>
      <c r="I221" s="36">
        <v>0</v>
      </c>
      <c r="J221" s="37">
        <v>3486293</v>
      </c>
      <c r="K221" s="36">
        <v>41835592</v>
      </c>
      <c r="L221" s="38">
        <v>45321885</v>
      </c>
      <c r="M221" s="39"/>
      <c r="N221" s="36">
        <v>41835592</v>
      </c>
      <c r="O221" s="36">
        <v>29328004</v>
      </c>
      <c r="P221" s="36">
        <v>0</v>
      </c>
      <c r="Q221" s="36">
        <f>Q220*1936.27</f>
        <v>50600925.355190001</v>
      </c>
      <c r="R221" s="7"/>
      <c r="S221" s="7"/>
      <c r="T221" s="7"/>
      <c r="U221" s="7"/>
      <c r="V221" s="7"/>
      <c r="W221" s="7"/>
      <c r="X221" s="7"/>
      <c r="Y221" s="7"/>
      <c r="Z221" s="7"/>
    </row>
    <row r="222" spans="1:26" ht="12.75" customHeight="1" x14ac:dyDescent="0.2">
      <c r="A222" s="95"/>
      <c r="B222" s="95"/>
      <c r="C222" s="40" t="s">
        <v>36</v>
      </c>
      <c r="D222" s="41">
        <v>40</v>
      </c>
      <c r="E222" s="42">
        <v>13851.37</v>
      </c>
      <c r="F222" s="42">
        <v>1518.38</v>
      </c>
      <c r="G222" s="42">
        <v>123.95</v>
      </c>
      <c r="H222" s="42">
        <v>6459.63</v>
      </c>
      <c r="I222" s="42">
        <v>0</v>
      </c>
      <c r="J222" s="42">
        <v>1829.44</v>
      </c>
      <c r="K222" s="43">
        <v>21953.33</v>
      </c>
      <c r="L222" s="32">
        <v>23782.77</v>
      </c>
      <c r="M222" s="33"/>
      <c r="N222" s="30">
        <v>21953.33</v>
      </c>
      <c r="O222" s="30">
        <v>15493.7</v>
      </c>
      <c r="P222" s="30"/>
      <c r="Q222" s="30">
        <f>(N222+O222*0.18+J222)+(IF((P222-O222*0.18)&gt;0,(P222-O222*0.18),0))</f>
        <v>26571.636000000002</v>
      </c>
      <c r="R222" s="7"/>
      <c r="S222" s="7"/>
      <c r="T222" s="7"/>
      <c r="U222" s="7"/>
      <c r="V222" s="7"/>
      <c r="W222" s="7"/>
      <c r="X222" s="7"/>
      <c r="Y222" s="7"/>
      <c r="Z222" s="7"/>
    </row>
    <row r="223" spans="1:26" ht="12.75" customHeight="1" x14ac:dyDescent="0.2">
      <c r="A223" s="95"/>
      <c r="B223" s="95"/>
      <c r="C223" s="115"/>
      <c r="D223" s="45"/>
      <c r="E223" s="116"/>
      <c r="F223" s="116"/>
      <c r="G223" s="116"/>
      <c r="H223" s="116"/>
      <c r="I223" s="116"/>
      <c r="J223" s="117"/>
      <c r="K223" s="118"/>
      <c r="L223" s="119"/>
      <c r="M223" s="33"/>
      <c r="N223" s="116"/>
      <c r="O223" s="116"/>
      <c r="P223" s="116"/>
      <c r="Q223" s="116"/>
      <c r="R223" s="7"/>
      <c r="S223" s="7"/>
      <c r="T223" s="7"/>
      <c r="U223" s="7"/>
      <c r="V223" s="7"/>
      <c r="W223" s="7"/>
      <c r="X223" s="7"/>
      <c r="Y223" s="7"/>
      <c r="Z223" s="7"/>
    </row>
    <row r="224" spans="1:26" ht="12.75" customHeight="1" x14ac:dyDescent="0.2">
      <c r="A224" s="95"/>
      <c r="B224" s="95"/>
      <c r="C224" s="115"/>
      <c r="D224" s="45"/>
      <c r="E224" s="116"/>
      <c r="F224" s="116"/>
      <c r="G224" s="116"/>
      <c r="H224" s="116"/>
      <c r="I224" s="116"/>
      <c r="J224" s="117"/>
      <c r="K224" s="118"/>
      <c r="L224" s="119"/>
      <c r="M224" s="33"/>
      <c r="N224" s="116"/>
      <c r="O224" s="116"/>
      <c r="P224" s="116"/>
      <c r="Q224" s="116"/>
      <c r="R224" s="7"/>
      <c r="S224" s="7"/>
      <c r="T224" s="7"/>
      <c r="U224" s="7"/>
      <c r="V224" s="7"/>
      <c r="W224" s="7"/>
      <c r="X224" s="7"/>
      <c r="Y224" s="7"/>
      <c r="Z224" s="7"/>
    </row>
    <row r="225" spans="1:26" ht="9" customHeight="1" x14ac:dyDescent="0.2">
      <c r="A225" s="110"/>
      <c r="B225" s="110"/>
      <c r="C225" s="47"/>
      <c r="D225" s="48"/>
      <c r="E225" s="46">
        <v>26819992</v>
      </c>
      <c r="F225" s="46">
        <v>2939994</v>
      </c>
      <c r="G225" s="46">
        <v>240001</v>
      </c>
      <c r="H225" s="46">
        <v>12507588</v>
      </c>
      <c r="I225" s="46">
        <v>0</v>
      </c>
      <c r="J225" s="49">
        <v>3542290</v>
      </c>
      <c r="K225" s="46">
        <v>42507574</v>
      </c>
      <c r="L225" s="38">
        <v>46049864</v>
      </c>
      <c r="M225" s="39"/>
      <c r="N225" s="36">
        <v>42507574</v>
      </c>
      <c r="O225" s="36">
        <v>29999986</v>
      </c>
      <c r="P225" s="36">
        <v>0</v>
      </c>
      <c r="Q225" s="36">
        <f>Q222*1936.27</f>
        <v>51449861.637720004</v>
      </c>
      <c r="R225" s="7"/>
      <c r="S225" s="7"/>
      <c r="T225" s="7"/>
      <c r="U225" s="7"/>
      <c r="V225" s="7"/>
      <c r="W225" s="7"/>
      <c r="X225" s="7"/>
      <c r="Y225" s="7"/>
      <c r="Z225" s="7"/>
    </row>
    <row r="226" spans="1:26" ht="12.75" customHeight="1" x14ac:dyDescent="0.2">
      <c r="A226" s="98">
        <v>34425</v>
      </c>
      <c r="B226" s="98">
        <v>34515</v>
      </c>
      <c r="C226" s="28" t="s">
        <v>36</v>
      </c>
      <c r="D226" s="29">
        <v>0</v>
      </c>
      <c r="E226" s="30">
        <v>6674.69</v>
      </c>
      <c r="F226" s="30">
        <v>731.3</v>
      </c>
      <c r="G226" s="30">
        <v>123.95</v>
      </c>
      <c r="H226" s="30">
        <v>6459.63</v>
      </c>
      <c r="I226" s="30">
        <v>137.91</v>
      </c>
      <c r="J226" s="30">
        <v>1165.8</v>
      </c>
      <c r="K226" s="31">
        <v>14127.48</v>
      </c>
      <c r="L226" s="32">
        <v>15293.28</v>
      </c>
      <c r="M226" s="33"/>
      <c r="N226" s="30">
        <v>14127.48</v>
      </c>
      <c r="O226" s="30">
        <v>7667.85</v>
      </c>
      <c r="P226" s="30"/>
      <c r="Q226" s="30">
        <f>(N226+O226*0.18+J226)+(IF((P226-O226*0.18)&gt;0,(P226-O226*0.18),0))</f>
        <v>16673.492999999999</v>
      </c>
      <c r="R226" s="7"/>
      <c r="S226" s="7"/>
      <c r="T226" s="7"/>
      <c r="U226" s="7"/>
      <c r="V226" s="7"/>
      <c r="W226" s="7"/>
      <c r="X226" s="7"/>
      <c r="Y226" s="7"/>
      <c r="Z226" s="7"/>
    </row>
    <row r="227" spans="1:26" ht="9" customHeight="1" x14ac:dyDescent="0.2">
      <c r="A227" s="95"/>
      <c r="B227" s="95"/>
      <c r="C227" s="34" t="s">
        <v>37</v>
      </c>
      <c r="D227" s="35">
        <v>2</v>
      </c>
      <c r="E227" s="36">
        <v>12924002</v>
      </c>
      <c r="F227" s="36">
        <v>1415994</v>
      </c>
      <c r="G227" s="36">
        <v>240001</v>
      </c>
      <c r="H227" s="36">
        <v>12507588</v>
      </c>
      <c r="I227" s="36">
        <v>267031</v>
      </c>
      <c r="J227" s="37">
        <v>2257304</v>
      </c>
      <c r="K227" s="36">
        <v>27354616</v>
      </c>
      <c r="L227" s="38">
        <v>29611919</v>
      </c>
      <c r="M227" s="39"/>
      <c r="N227" s="36">
        <v>27354616</v>
      </c>
      <c r="O227" s="36">
        <v>14847028</v>
      </c>
      <c r="P227" s="36">
        <v>0</v>
      </c>
      <c r="Q227" s="36">
        <f>Q226*1936.27</f>
        <v>32284384.291109998</v>
      </c>
      <c r="R227" s="7"/>
      <c r="S227" s="7"/>
      <c r="T227" s="7"/>
      <c r="U227" s="7"/>
      <c r="V227" s="7"/>
      <c r="W227" s="7"/>
      <c r="X227" s="7"/>
      <c r="Y227" s="7"/>
      <c r="Z227" s="7"/>
    </row>
    <row r="228" spans="1:26" ht="12.75" customHeight="1" x14ac:dyDescent="0.2">
      <c r="A228" s="155">
        <v>34425</v>
      </c>
      <c r="B228" s="155">
        <v>34515</v>
      </c>
      <c r="C228" s="40" t="s">
        <v>36</v>
      </c>
      <c r="D228" s="41">
        <v>3</v>
      </c>
      <c r="E228" s="42">
        <v>7027.95</v>
      </c>
      <c r="F228" s="42">
        <v>768.49</v>
      </c>
      <c r="G228" s="42">
        <v>123.95</v>
      </c>
      <c r="H228" s="42">
        <v>6459.63</v>
      </c>
      <c r="I228" s="42">
        <v>137.91</v>
      </c>
      <c r="J228" s="42">
        <v>1198.3399999999999</v>
      </c>
      <c r="K228" s="43">
        <v>14517.93</v>
      </c>
      <c r="L228" s="32">
        <v>15716.27</v>
      </c>
      <c r="M228" s="33"/>
      <c r="N228" s="30">
        <v>14517.93</v>
      </c>
      <c r="O228" s="30">
        <v>8058.3</v>
      </c>
      <c r="P228" s="30"/>
      <c r="Q228" s="30">
        <f>(N228+O228*0.18+J228)+(IF((P228-O228*0.18)&gt;0,(P228-O228*0.18),0))</f>
        <v>17166.763999999999</v>
      </c>
      <c r="R228" s="7"/>
      <c r="S228" s="7"/>
      <c r="T228" s="7"/>
      <c r="U228" s="7"/>
      <c r="V228" s="7"/>
      <c r="W228" s="7"/>
      <c r="X228" s="7"/>
      <c r="Y228" s="7"/>
      <c r="Z228" s="7"/>
    </row>
    <row r="229" spans="1:26" ht="9" customHeight="1" x14ac:dyDescent="0.2">
      <c r="A229" s="95"/>
      <c r="B229" s="95"/>
      <c r="C229" s="34" t="s">
        <v>37</v>
      </c>
      <c r="D229" s="35">
        <v>4</v>
      </c>
      <c r="E229" s="36">
        <v>13608009</v>
      </c>
      <c r="F229" s="36">
        <v>1488004</v>
      </c>
      <c r="G229" s="36">
        <v>240001</v>
      </c>
      <c r="H229" s="36">
        <v>12507588</v>
      </c>
      <c r="I229" s="36">
        <v>267031</v>
      </c>
      <c r="J229" s="37">
        <v>2320310</v>
      </c>
      <c r="K229" s="36">
        <v>28110632</v>
      </c>
      <c r="L229" s="38">
        <v>30430942</v>
      </c>
      <c r="M229" s="39"/>
      <c r="N229" s="36">
        <v>28110632</v>
      </c>
      <c r="O229" s="36">
        <v>15603045</v>
      </c>
      <c r="P229" s="36">
        <v>0</v>
      </c>
      <c r="Q229" s="36">
        <f>Q228*1936.27</f>
        <v>33239490.130279999</v>
      </c>
      <c r="R229" s="7"/>
      <c r="S229" s="7"/>
      <c r="T229" s="7"/>
      <c r="U229" s="7"/>
      <c r="V229" s="7"/>
      <c r="W229" s="7"/>
      <c r="X229" s="7"/>
      <c r="Y229" s="7"/>
      <c r="Z229" s="7"/>
    </row>
    <row r="230" spans="1:26" ht="12.75" customHeight="1" x14ac:dyDescent="0.2">
      <c r="A230" s="95"/>
      <c r="B230" s="95"/>
      <c r="C230" s="40" t="s">
        <v>36</v>
      </c>
      <c r="D230" s="41">
        <v>5</v>
      </c>
      <c r="E230" s="42">
        <v>7387.4</v>
      </c>
      <c r="F230" s="42">
        <v>811.87</v>
      </c>
      <c r="G230" s="42">
        <v>123.95</v>
      </c>
      <c r="H230" s="42">
        <v>6459.63</v>
      </c>
      <c r="I230" s="42">
        <v>137.91</v>
      </c>
      <c r="J230" s="42">
        <v>1231.9000000000001</v>
      </c>
      <c r="K230" s="43">
        <v>14920.76</v>
      </c>
      <c r="L230" s="32">
        <v>16152.66</v>
      </c>
      <c r="M230" s="33"/>
      <c r="N230" s="30">
        <v>14920.76</v>
      </c>
      <c r="O230" s="30">
        <v>8461.1299999999992</v>
      </c>
      <c r="P230" s="30"/>
      <c r="Q230" s="30">
        <f>(N230+O230*0.18+J230)+(IF((P230-O230*0.18)&gt;0,(P230-O230*0.18),0))</f>
        <v>17675.663400000001</v>
      </c>
      <c r="R230" s="7"/>
      <c r="S230" s="7"/>
      <c r="T230" s="7"/>
      <c r="U230" s="7"/>
      <c r="V230" s="7"/>
      <c r="W230" s="7"/>
      <c r="X230" s="7"/>
      <c r="Y230" s="7"/>
      <c r="Z230" s="7"/>
    </row>
    <row r="231" spans="1:26" ht="9" customHeight="1" x14ac:dyDescent="0.2">
      <c r="A231" s="95"/>
      <c r="B231" s="95"/>
      <c r="C231" s="34" t="s">
        <v>37</v>
      </c>
      <c r="D231" s="35">
        <v>6</v>
      </c>
      <c r="E231" s="36">
        <v>14304001</v>
      </c>
      <c r="F231" s="36">
        <v>1572000</v>
      </c>
      <c r="G231" s="36">
        <v>240001</v>
      </c>
      <c r="H231" s="36">
        <v>12507588</v>
      </c>
      <c r="I231" s="36">
        <v>267031</v>
      </c>
      <c r="J231" s="37">
        <v>2385291</v>
      </c>
      <c r="K231" s="36">
        <v>28890620</v>
      </c>
      <c r="L231" s="38">
        <v>31275911</v>
      </c>
      <c r="M231" s="39"/>
      <c r="N231" s="36">
        <v>28890620</v>
      </c>
      <c r="O231" s="36">
        <v>16383032</v>
      </c>
      <c r="P231" s="36">
        <v>0</v>
      </c>
      <c r="Q231" s="36">
        <f>Q230*1936.27</f>
        <v>34224856.771517999</v>
      </c>
      <c r="R231" s="7"/>
      <c r="S231" s="7"/>
      <c r="T231" s="7"/>
      <c r="U231" s="7"/>
      <c r="V231" s="7"/>
      <c r="W231" s="7"/>
      <c r="X231" s="7"/>
      <c r="Y231" s="7"/>
      <c r="Z231" s="7"/>
    </row>
    <row r="232" spans="1:26" ht="12.75" customHeight="1" x14ac:dyDescent="0.2">
      <c r="A232" s="95"/>
      <c r="B232" s="95"/>
      <c r="C232" s="40" t="s">
        <v>36</v>
      </c>
      <c r="D232" s="41">
        <v>7</v>
      </c>
      <c r="E232" s="42">
        <v>7740.66</v>
      </c>
      <c r="F232" s="42">
        <v>849.06</v>
      </c>
      <c r="G232" s="42">
        <v>123.95</v>
      </c>
      <c r="H232" s="42">
        <v>6459.63</v>
      </c>
      <c r="I232" s="42">
        <v>137.91</v>
      </c>
      <c r="J232" s="42">
        <v>1264.44</v>
      </c>
      <c r="K232" s="43">
        <v>15311.21</v>
      </c>
      <c r="L232" s="32">
        <v>16575.650000000001</v>
      </c>
      <c r="M232" s="33"/>
      <c r="N232" s="30">
        <v>15311.21</v>
      </c>
      <c r="O232" s="30">
        <v>8851.58</v>
      </c>
      <c r="P232" s="30"/>
      <c r="Q232" s="30">
        <f>(N232+O232*0.18+J232)+(IF((P232-O232*0.18)&gt;0,(P232-O232*0.18),0))</f>
        <v>18168.934399999998</v>
      </c>
      <c r="R232" s="7"/>
      <c r="S232" s="7"/>
      <c r="T232" s="7"/>
      <c r="U232" s="7"/>
      <c r="V232" s="7"/>
      <c r="W232" s="7"/>
      <c r="X232" s="7"/>
      <c r="Y232" s="7"/>
      <c r="Z232" s="7"/>
    </row>
    <row r="233" spans="1:26" ht="9" customHeight="1" x14ac:dyDescent="0.2">
      <c r="A233" s="95"/>
      <c r="B233" s="95"/>
      <c r="C233" s="34" t="s">
        <v>37</v>
      </c>
      <c r="D233" s="35">
        <v>8</v>
      </c>
      <c r="E233" s="36">
        <v>14988008</v>
      </c>
      <c r="F233" s="36">
        <v>1644009</v>
      </c>
      <c r="G233" s="36">
        <v>240001</v>
      </c>
      <c r="H233" s="36">
        <v>12507588</v>
      </c>
      <c r="I233" s="36">
        <v>267031</v>
      </c>
      <c r="J233" s="37">
        <v>2448297</v>
      </c>
      <c r="K233" s="36">
        <v>29646637</v>
      </c>
      <c r="L233" s="38">
        <v>32094934</v>
      </c>
      <c r="M233" s="39"/>
      <c r="N233" s="36">
        <v>29646637</v>
      </c>
      <c r="O233" s="36">
        <v>17139049</v>
      </c>
      <c r="P233" s="36">
        <v>0</v>
      </c>
      <c r="Q233" s="36">
        <f>Q232*1936.27</f>
        <v>35179962.610687993</v>
      </c>
      <c r="R233" s="7"/>
      <c r="S233" s="7"/>
      <c r="T233" s="7"/>
      <c r="U233" s="7"/>
      <c r="V233" s="7"/>
      <c r="W233" s="7"/>
      <c r="X233" s="7"/>
      <c r="Y233" s="7"/>
      <c r="Z233" s="7"/>
    </row>
    <row r="234" spans="1:26" ht="12.75" customHeight="1" x14ac:dyDescent="0.2">
      <c r="A234" s="95"/>
      <c r="B234" s="95"/>
      <c r="C234" s="40" t="s">
        <v>36</v>
      </c>
      <c r="D234" s="41">
        <v>9</v>
      </c>
      <c r="E234" s="42">
        <v>8155.89</v>
      </c>
      <c r="F234" s="42">
        <v>892.44</v>
      </c>
      <c r="G234" s="42">
        <v>123.95</v>
      </c>
      <c r="H234" s="42">
        <v>6459.63</v>
      </c>
      <c r="I234" s="42">
        <v>137.91</v>
      </c>
      <c r="J234" s="42">
        <v>1302.6600000000001</v>
      </c>
      <c r="K234" s="43">
        <v>15769.82</v>
      </c>
      <c r="L234" s="32">
        <v>17072.48</v>
      </c>
      <c r="M234" s="33"/>
      <c r="N234" s="30">
        <v>15769.82</v>
      </c>
      <c r="O234" s="30">
        <v>9310.19</v>
      </c>
      <c r="P234" s="30"/>
      <c r="Q234" s="30">
        <f>(N234+O234*0.18+J234)+(IF((P234-O234*0.18)&gt;0,(P234-O234*0.18),0))</f>
        <v>18748.314200000001</v>
      </c>
      <c r="R234" s="7"/>
      <c r="S234" s="7"/>
      <c r="T234" s="7"/>
      <c r="U234" s="7"/>
      <c r="V234" s="7"/>
      <c r="W234" s="7"/>
      <c r="X234" s="7"/>
      <c r="Y234" s="7"/>
      <c r="Z234" s="7"/>
    </row>
    <row r="235" spans="1:26" ht="9" customHeight="1" x14ac:dyDescent="0.2">
      <c r="A235" s="95"/>
      <c r="B235" s="95"/>
      <c r="C235" s="34" t="s">
        <v>37</v>
      </c>
      <c r="D235" s="35">
        <v>10</v>
      </c>
      <c r="E235" s="36">
        <v>15792005</v>
      </c>
      <c r="F235" s="36">
        <v>1728005</v>
      </c>
      <c r="G235" s="36">
        <v>240001</v>
      </c>
      <c r="H235" s="36">
        <v>12507588</v>
      </c>
      <c r="I235" s="36">
        <v>267031</v>
      </c>
      <c r="J235" s="37">
        <v>2522301</v>
      </c>
      <c r="K235" s="36">
        <v>30534629</v>
      </c>
      <c r="L235" s="38">
        <v>33056931</v>
      </c>
      <c r="M235" s="39"/>
      <c r="N235" s="36">
        <v>30534629</v>
      </c>
      <c r="O235" s="36">
        <v>18027042</v>
      </c>
      <c r="P235" s="36">
        <v>0</v>
      </c>
      <c r="Q235" s="36">
        <f>Q234*1936.27</f>
        <v>36301798.336034</v>
      </c>
      <c r="R235" s="7"/>
      <c r="S235" s="7"/>
      <c r="T235" s="7"/>
      <c r="U235" s="7"/>
      <c r="V235" s="7"/>
      <c r="W235" s="7"/>
      <c r="X235" s="7"/>
      <c r="Y235" s="7"/>
      <c r="Z235" s="7"/>
    </row>
    <row r="236" spans="1:26" ht="12.75" customHeight="1" x14ac:dyDescent="0.2">
      <c r="A236" s="95"/>
      <c r="B236" s="95"/>
      <c r="C236" s="40" t="s">
        <v>36</v>
      </c>
      <c r="D236" s="41">
        <v>11</v>
      </c>
      <c r="E236" s="42">
        <v>8527.74</v>
      </c>
      <c r="F236" s="42">
        <v>935.82</v>
      </c>
      <c r="G236" s="42">
        <v>123.95</v>
      </c>
      <c r="H236" s="42">
        <v>6459.63</v>
      </c>
      <c r="I236" s="42">
        <v>137.91</v>
      </c>
      <c r="J236" s="42">
        <v>1337.26</v>
      </c>
      <c r="K236" s="43">
        <v>16185.05</v>
      </c>
      <c r="L236" s="32">
        <v>17522.310000000001</v>
      </c>
      <c r="M236" s="33"/>
      <c r="N236" s="30">
        <v>16185.05</v>
      </c>
      <c r="O236" s="30">
        <v>9725.42</v>
      </c>
      <c r="P236" s="30"/>
      <c r="Q236" s="30">
        <f>(N236+O236*0.18+J236)+(IF((P236-O236*0.18)&gt;0,(P236-O236*0.18),0))</f>
        <v>19272.885599999998</v>
      </c>
      <c r="R236" s="7"/>
      <c r="S236" s="7"/>
      <c r="T236" s="7"/>
      <c r="U236" s="7"/>
      <c r="V236" s="7"/>
      <c r="W236" s="7"/>
      <c r="X236" s="7"/>
      <c r="Y236" s="7"/>
      <c r="Z236" s="7"/>
    </row>
    <row r="237" spans="1:26" ht="9" customHeight="1" x14ac:dyDescent="0.2">
      <c r="A237" s="95"/>
      <c r="B237" s="95"/>
      <c r="C237" s="34" t="s">
        <v>37</v>
      </c>
      <c r="D237" s="35">
        <v>12</v>
      </c>
      <c r="E237" s="36">
        <v>16512007</v>
      </c>
      <c r="F237" s="36">
        <v>1812000</v>
      </c>
      <c r="G237" s="36">
        <v>240001</v>
      </c>
      <c r="H237" s="36">
        <v>12507588</v>
      </c>
      <c r="I237" s="36">
        <v>267031</v>
      </c>
      <c r="J237" s="37">
        <v>2589296</v>
      </c>
      <c r="K237" s="36">
        <v>31338627</v>
      </c>
      <c r="L237" s="38">
        <v>33927923</v>
      </c>
      <c r="M237" s="39"/>
      <c r="N237" s="36">
        <v>31338627</v>
      </c>
      <c r="O237" s="36">
        <v>18831039</v>
      </c>
      <c r="P237" s="36">
        <v>0</v>
      </c>
      <c r="Q237" s="36">
        <f>Q236*1936.27</f>
        <v>37317510.200711995</v>
      </c>
      <c r="R237" s="7"/>
      <c r="S237" s="7"/>
      <c r="T237" s="7"/>
      <c r="U237" s="7"/>
      <c r="V237" s="7"/>
      <c r="W237" s="7"/>
      <c r="X237" s="7"/>
      <c r="Y237" s="7"/>
      <c r="Z237" s="7"/>
    </row>
    <row r="238" spans="1:26" ht="12.75" customHeight="1" x14ac:dyDescent="0.2">
      <c r="A238" s="95"/>
      <c r="B238" s="95"/>
      <c r="C238" s="40" t="s">
        <v>36</v>
      </c>
      <c r="D238" s="41">
        <v>13</v>
      </c>
      <c r="E238" s="42">
        <v>8980.15</v>
      </c>
      <c r="F238" s="42">
        <v>985.4</v>
      </c>
      <c r="G238" s="42">
        <v>123.95</v>
      </c>
      <c r="H238" s="42">
        <v>6459.63</v>
      </c>
      <c r="I238" s="42">
        <v>137.91</v>
      </c>
      <c r="J238" s="42">
        <v>1379.09</v>
      </c>
      <c r="K238" s="43">
        <v>16687.04</v>
      </c>
      <c r="L238" s="32">
        <v>18066.13</v>
      </c>
      <c r="M238" s="33"/>
      <c r="N238" s="30">
        <v>16687.04</v>
      </c>
      <c r="O238" s="30">
        <v>10227.41</v>
      </c>
      <c r="P238" s="30"/>
      <c r="Q238" s="30">
        <f>(N238+O238*0.18+J238)+(IF((P238-O238*0.18)&gt;0,(P238-O238*0.18),0))</f>
        <v>19907.0638</v>
      </c>
      <c r="R238" s="7"/>
      <c r="S238" s="7"/>
      <c r="T238" s="7"/>
      <c r="U238" s="7"/>
      <c r="V238" s="7"/>
      <c r="W238" s="7"/>
      <c r="X238" s="7"/>
      <c r="Y238" s="7"/>
      <c r="Z238" s="7"/>
    </row>
    <row r="239" spans="1:26" ht="9" customHeight="1" x14ac:dyDescent="0.2">
      <c r="A239" s="95"/>
      <c r="B239" s="95"/>
      <c r="C239" s="34" t="s">
        <v>37</v>
      </c>
      <c r="D239" s="35">
        <v>14</v>
      </c>
      <c r="E239" s="36">
        <v>17387995</v>
      </c>
      <c r="F239" s="36">
        <v>1908000</v>
      </c>
      <c r="G239" s="36">
        <v>240001</v>
      </c>
      <c r="H239" s="36">
        <v>12507588</v>
      </c>
      <c r="I239" s="36">
        <v>267031</v>
      </c>
      <c r="J239" s="37">
        <v>2670291</v>
      </c>
      <c r="K239" s="36">
        <v>32310615</v>
      </c>
      <c r="L239" s="38">
        <v>34980906</v>
      </c>
      <c r="M239" s="39"/>
      <c r="N239" s="36">
        <v>32310615</v>
      </c>
      <c r="O239" s="36">
        <v>19803027</v>
      </c>
      <c r="P239" s="36">
        <v>0</v>
      </c>
      <c r="Q239" s="36">
        <f>Q238*1936.27</f>
        <v>38545450.424025998</v>
      </c>
      <c r="R239" s="7"/>
      <c r="S239" s="7"/>
      <c r="T239" s="7"/>
      <c r="U239" s="7"/>
      <c r="V239" s="7"/>
      <c r="W239" s="7"/>
      <c r="X239" s="7"/>
      <c r="Y239" s="7"/>
      <c r="Z239" s="7"/>
    </row>
    <row r="240" spans="1:26" ht="12.75" customHeight="1" x14ac:dyDescent="0.2">
      <c r="A240" s="95"/>
      <c r="B240" s="95"/>
      <c r="C240" s="40" t="s">
        <v>36</v>
      </c>
      <c r="D240" s="41">
        <v>15</v>
      </c>
      <c r="E240" s="42">
        <v>9463.56</v>
      </c>
      <c r="F240" s="42">
        <v>1034.98</v>
      </c>
      <c r="G240" s="42">
        <v>123.95</v>
      </c>
      <c r="H240" s="42">
        <v>6459.63</v>
      </c>
      <c r="I240" s="42">
        <v>137.91</v>
      </c>
      <c r="J240" s="42">
        <v>1423.51</v>
      </c>
      <c r="K240" s="43">
        <v>17220.03</v>
      </c>
      <c r="L240" s="32">
        <v>18643.54</v>
      </c>
      <c r="M240" s="33"/>
      <c r="N240" s="30">
        <v>17220.03</v>
      </c>
      <c r="O240" s="30">
        <v>10760.4</v>
      </c>
      <c r="P240" s="30"/>
      <c r="Q240" s="30">
        <f>(N240+O240*0.18+J240)+(IF((P240-O240*0.18)&gt;0,(P240-O240*0.18),0))</f>
        <v>20580.411999999997</v>
      </c>
      <c r="R240" s="7"/>
      <c r="S240" s="7"/>
      <c r="T240" s="7"/>
      <c r="U240" s="7"/>
      <c r="V240" s="7"/>
      <c r="W240" s="7"/>
      <c r="X240" s="7"/>
      <c r="Y240" s="7"/>
      <c r="Z240" s="7"/>
    </row>
    <row r="241" spans="1:26" ht="9" customHeight="1" x14ac:dyDescent="0.2">
      <c r="A241" s="95"/>
      <c r="B241" s="95"/>
      <c r="C241" s="34" t="s">
        <v>37</v>
      </c>
      <c r="D241" s="35">
        <v>16</v>
      </c>
      <c r="E241" s="36">
        <v>18324007</v>
      </c>
      <c r="F241" s="36">
        <v>2004001</v>
      </c>
      <c r="G241" s="36">
        <v>240001</v>
      </c>
      <c r="H241" s="36">
        <v>12507588</v>
      </c>
      <c r="I241" s="36">
        <v>267031</v>
      </c>
      <c r="J241" s="37">
        <v>2756300</v>
      </c>
      <c r="K241" s="36">
        <v>33342627</v>
      </c>
      <c r="L241" s="38">
        <v>36098927</v>
      </c>
      <c r="M241" s="39"/>
      <c r="N241" s="36">
        <v>33342627</v>
      </c>
      <c r="O241" s="36">
        <v>20835040</v>
      </c>
      <c r="P241" s="36">
        <v>0</v>
      </c>
      <c r="Q241" s="36">
        <f>Q240*1936.27</f>
        <v>39849234.343239993</v>
      </c>
      <c r="R241" s="7"/>
      <c r="S241" s="7"/>
      <c r="T241" s="7"/>
      <c r="U241" s="7"/>
      <c r="V241" s="7"/>
      <c r="W241" s="7"/>
      <c r="X241" s="7"/>
      <c r="Y241" s="7"/>
      <c r="Z241" s="7"/>
    </row>
    <row r="242" spans="1:26" ht="12.75" customHeight="1" x14ac:dyDescent="0.2">
      <c r="A242" s="95"/>
      <c r="B242" s="95"/>
      <c r="C242" s="40" t="s">
        <v>36</v>
      </c>
      <c r="D242" s="41">
        <v>17</v>
      </c>
      <c r="E242" s="42">
        <v>9940.76</v>
      </c>
      <c r="F242" s="42">
        <v>1090.76</v>
      </c>
      <c r="G242" s="42">
        <v>123.95</v>
      </c>
      <c r="H242" s="42">
        <v>6459.63</v>
      </c>
      <c r="I242" s="42">
        <v>137.91</v>
      </c>
      <c r="J242" s="42">
        <v>1467.93</v>
      </c>
      <c r="K242" s="43">
        <v>17753.009999999998</v>
      </c>
      <c r="L242" s="32">
        <v>19220.939999999999</v>
      </c>
      <c r="M242" s="33"/>
      <c r="N242" s="30">
        <v>17753.009999999998</v>
      </c>
      <c r="O242" s="30">
        <v>11293.38</v>
      </c>
      <c r="P242" s="30"/>
      <c r="Q242" s="30">
        <f>(N242+O242*0.18+J242)+(IF((P242-O242*0.18)&gt;0,(P242-O242*0.18),0))</f>
        <v>21253.748399999997</v>
      </c>
      <c r="R242" s="7"/>
      <c r="S242" s="7"/>
      <c r="T242" s="7"/>
      <c r="U242" s="7"/>
      <c r="V242" s="7"/>
      <c r="W242" s="7"/>
      <c r="X242" s="7"/>
      <c r="Y242" s="7"/>
      <c r="Z242" s="7"/>
    </row>
    <row r="243" spans="1:26" ht="9" customHeight="1" x14ac:dyDescent="0.2">
      <c r="A243" s="95"/>
      <c r="B243" s="95"/>
      <c r="C243" s="34" t="s">
        <v>37</v>
      </c>
      <c r="D243" s="35">
        <v>17</v>
      </c>
      <c r="E243" s="36">
        <v>19247995</v>
      </c>
      <c r="F243" s="36">
        <v>2112006</v>
      </c>
      <c r="G243" s="36">
        <v>240001</v>
      </c>
      <c r="H243" s="36">
        <v>12507588</v>
      </c>
      <c r="I243" s="36">
        <v>267031</v>
      </c>
      <c r="J243" s="37">
        <v>2842309</v>
      </c>
      <c r="K243" s="36">
        <v>34374621</v>
      </c>
      <c r="L243" s="38">
        <v>37216929</v>
      </c>
      <c r="M243" s="39"/>
      <c r="N243" s="36">
        <v>34374621</v>
      </c>
      <c r="O243" s="36">
        <v>21867033</v>
      </c>
      <c r="P243" s="36">
        <v>0</v>
      </c>
      <c r="Q243" s="36">
        <f>Q242*1936.27</f>
        <v>41152995.41446799</v>
      </c>
      <c r="R243" s="7"/>
      <c r="S243" s="7"/>
      <c r="T243" s="7"/>
      <c r="U243" s="7"/>
      <c r="V243" s="7"/>
      <c r="W243" s="7"/>
      <c r="X243" s="7"/>
      <c r="Y243" s="7"/>
      <c r="Z243" s="7"/>
    </row>
    <row r="244" spans="1:26" ht="12.75" customHeight="1" x14ac:dyDescent="0.2">
      <c r="A244" s="95"/>
      <c r="B244" s="95"/>
      <c r="C244" s="40" t="s">
        <v>36</v>
      </c>
      <c r="D244" s="41">
        <v>18</v>
      </c>
      <c r="E244" s="42">
        <v>10417.969999999999</v>
      </c>
      <c r="F244" s="42">
        <v>1146.53</v>
      </c>
      <c r="G244" s="42">
        <v>123.95</v>
      </c>
      <c r="H244" s="42">
        <v>6459.63</v>
      </c>
      <c r="I244" s="42">
        <v>137.91</v>
      </c>
      <c r="J244" s="42">
        <v>1512.34</v>
      </c>
      <c r="K244" s="43">
        <v>18285.990000000002</v>
      </c>
      <c r="L244" s="32">
        <v>19798.330000000002</v>
      </c>
      <c r="M244" s="33"/>
      <c r="N244" s="30">
        <v>18285.990000000002</v>
      </c>
      <c r="O244" s="30">
        <v>11826.36</v>
      </c>
      <c r="P244" s="30"/>
      <c r="Q244" s="30">
        <f>(N244+O244*0.18+J244)+(IF((P244-O244*0.18)&gt;0,(P244-O244*0.18),0))</f>
        <v>21927.074800000002</v>
      </c>
      <c r="R244" s="7"/>
      <c r="S244" s="7"/>
      <c r="T244" s="7"/>
      <c r="U244" s="7"/>
      <c r="V244" s="7"/>
      <c r="W244" s="7"/>
      <c r="X244" s="7"/>
      <c r="Y244" s="7"/>
      <c r="Z244" s="7"/>
    </row>
    <row r="245" spans="1:26" ht="9" customHeight="1" x14ac:dyDescent="0.2">
      <c r="A245" s="95"/>
      <c r="B245" s="95"/>
      <c r="C245" s="34" t="s">
        <v>37</v>
      </c>
      <c r="D245" s="35">
        <v>19</v>
      </c>
      <c r="E245" s="36">
        <v>20172003</v>
      </c>
      <c r="F245" s="36">
        <v>2219992</v>
      </c>
      <c r="G245" s="36">
        <v>240001</v>
      </c>
      <c r="H245" s="36">
        <v>12507588</v>
      </c>
      <c r="I245" s="36">
        <v>267031</v>
      </c>
      <c r="J245" s="37">
        <v>2928299</v>
      </c>
      <c r="K245" s="36">
        <v>35406614</v>
      </c>
      <c r="L245" s="38">
        <v>38334912</v>
      </c>
      <c r="M245" s="39"/>
      <c r="N245" s="36">
        <v>35406614</v>
      </c>
      <c r="O245" s="36">
        <v>22899026</v>
      </c>
      <c r="P245" s="36">
        <v>0</v>
      </c>
      <c r="Q245" s="36">
        <f>Q244*1936.27</f>
        <v>42456737.122996002</v>
      </c>
      <c r="R245" s="7"/>
      <c r="S245" s="7"/>
      <c r="T245" s="7"/>
      <c r="U245" s="7"/>
      <c r="V245" s="7"/>
      <c r="W245" s="7"/>
      <c r="X245" s="7"/>
      <c r="Y245" s="7"/>
      <c r="Z245" s="7"/>
    </row>
    <row r="246" spans="1:26" ht="12.75" customHeight="1" x14ac:dyDescent="0.2">
      <c r="A246" s="95"/>
      <c r="B246" s="95"/>
      <c r="C246" s="40" t="s">
        <v>36</v>
      </c>
      <c r="D246" s="41">
        <v>20</v>
      </c>
      <c r="E246" s="42">
        <v>10734.04</v>
      </c>
      <c r="F246" s="42">
        <v>1177.52</v>
      </c>
      <c r="G246" s="42">
        <v>123.95</v>
      </c>
      <c r="H246" s="42">
        <v>6459.63</v>
      </c>
      <c r="I246" s="42">
        <v>137.91</v>
      </c>
      <c r="J246" s="42">
        <v>1541.26</v>
      </c>
      <c r="K246" s="43">
        <v>18633.05</v>
      </c>
      <c r="L246" s="32">
        <v>20174.310000000001</v>
      </c>
      <c r="M246" s="33"/>
      <c r="N246" s="30">
        <v>18633.05</v>
      </c>
      <c r="O246" s="30">
        <v>12173.42</v>
      </c>
      <c r="P246" s="30"/>
      <c r="Q246" s="30">
        <f>(N246+O246*0.18+J246)+(IF((P246-O246*0.18)&gt;0,(P246-O246*0.18),0))</f>
        <v>22365.525599999997</v>
      </c>
      <c r="R246" s="7"/>
      <c r="S246" s="7"/>
      <c r="T246" s="7"/>
      <c r="U246" s="7"/>
      <c r="V246" s="7"/>
      <c r="W246" s="7"/>
      <c r="X246" s="7"/>
      <c r="Y246" s="7"/>
      <c r="Z246" s="7"/>
    </row>
    <row r="247" spans="1:26" ht="9" customHeight="1" x14ac:dyDescent="0.2">
      <c r="A247" s="95"/>
      <c r="B247" s="95"/>
      <c r="C247" s="34" t="s">
        <v>37</v>
      </c>
      <c r="D247" s="35">
        <v>21</v>
      </c>
      <c r="E247" s="36">
        <v>20784000</v>
      </c>
      <c r="F247" s="36">
        <v>2279997</v>
      </c>
      <c r="G247" s="36">
        <v>240001</v>
      </c>
      <c r="H247" s="36">
        <v>12507588</v>
      </c>
      <c r="I247" s="36">
        <v>267031</v>
      </c>
      <c r="J247" s="37">
        <v>2984296</v>
      </c>
      <c r="K247" s="36">
        <v>36078616</v>
      </c>
      <c r="L247" s="38">
        <v>39062911</v>
      </c>
      <c r="M247" s="39"/>
      <c r="N247" s="36">
        <v>36078616</v>
      </c>
      <c r="O247" s="36">
        <v>23571028</v>
      </c>
      <c r="P247" s="36">
        <v>0</v>
      </c>
      <c r="Q247" s="36">
        <f>Q246*1936.27</f>
        <v>43305696.253511995</v>
      </c>
      <c r="R247" s="7"/>
      <c r="S247" s="7"/>
      <c r="T247" s="7"/>
      <c r="U247" s="7"/>
      <c r="V247" s="7"/>
      <c r="W247" s="7"/>
      <c r="X247" s="7"/>
      <c r="Y247" s="7"/>
      <c r="Z247" s="7"/>
    </row>
    <row r="248" spans="1:26" ht="12.75" customHeight="1" x14ac:dyDescent="0.2">
      <c r="A248" s="95"/>
      <c r="B248" s="95"/>
      <c r="C248" s="40" t="s">
        <v>36</v>
      </c>
      <c r="D248" s="41">
        <v>22</v>
      </c>
      <c r="E248" s="42">
        <v>11037.72</v>
      </c>
      <c r="F248" s="42">
        <v>1214.71</v>
      </c>
      <c r="G248" s="42">
        <v>123.95</v>
      </c>
      <c r="H248" s="42">
        <v>6459.63</v>
      </c>
      <c r="I248" s="42">
        <v>137.91</v>
      </c>
      <c r="J248" s="42">
        <v>1569.67</v>
      </c>
      <c r="K248" s="43">
        <v>18973.919999999998</v>
      </c>
      <c r="L248" s="32">
        <v>20543.59</v>
      </c>
      <c r="M248" s="33"/>
      <c r="N248" s="30">
        <v>18973.919999999998</v>
      </c>
      <c r="O248" s="30">
        <v>12514.29</v>
      </c>
      <c r="P248" s="30"/>
      <c r="Q248" s="30">
        <f>(N248+O248*0.18+J248)+(IF((P248-O248*0.18)&gt;0,(P248-O248*0.18),0))</f>
        <v>22796.162199999999</v>
      </c>
      <c r="R248" s="7"/>
      <c r="S248" s="7"/>
      <c r="T248" s="7"/>
      <c r="U248" s="7"/>
      <c r="V248" s="7"/>
      <c r="W248" s="7"/>
      <c r="X248" s="7"/>
      <c r="Y248" s="7"/>
      <c r="Z248" s="7"/>
    </row>
    <row r="249" spans="1:26" ht="9" customHeight="1" x14ac:dyDescent="0.2">
      <c r="A249" s="95"/>
      <c r="B249" s="95"/>
      <c r="C249" s="34" t="s">
        <v>37</v>
      </c>
      <c r="D249" s="35">
        <v>23</v>
      </c>
      <c r="E249" s="36">
        <v>21372006</v>
      </c>
      <c r="F249" s="36">
        <v>2352007</v>
      </c>
      <c r="G249" s="36">
        <v>240001</v>
      </c>
      <c r="H249" s="36">
        <v>12507588</v>
      </c>
      <c r="I249" s="36">
        <v>267031</v>
      </c>
      <c r="J249" s="37">
        <v>3039305</v>
      </c>
      <c r="K249" s="36">
        <v>36738632</v>
      </c>
      <c r="L249" s="38">
        <v>39777937</v>
      </c>
      <c r="M249" s="39"/>
      <c r="N249" s="36">
        <v>36738632</v>
      </c>
      <c r="O249" s="36">
        <v>24231044</v>
      </c>
      <c r="P249" s="36">
        <v>0</v>
      </c>
      <c r="Q249" s="36">
        <f>Q248*1936.27</f>
        <v>44139524.982993998</v>
      </c>
      <c r="R249" s="7"/>
      <c r="S249" s="7"/>
      <c r="T249" s="7"/>
      <c r="U249" s="7"/>
      <c r="V249" s="7"/>
      <c r="W249" s="7"/>
      <c r="X249" s="7"/>
      <c r="Y249" s="7"/>
      <c r="Z249" s="7"/>
    </row>
    <row r="250" spans="1:26" ht="12.75" customHeight="1" x14ac:dyDescent="0.2">
      <c r="A250" s="95"/>
      <c r="B250" s="95"/>
      <c r="C250" s="40" t="s">
        <v>36</v>
      </c>
      <c r="D250" s="41">
        <v>24</v>
      </c>
      <c r="E250" s="42">
        <v>11347.59</v>
      </c>
      <c r="F250" s="42">
        <v>1245.69</v>
      </c>
      <c r="G250" s="42">
        <v>123.95</v>
      </c>
      <c r="H250" s="42">
        <v>6459.63</v>
      </c>
      <c r="I250" s="42">
        <v>137.91</v>
      </c>
      <c r="J250" s="42">
        <v>1598.07</v>
      </c>
      <c r="K250" s="43">
        <v>19314.77</v>
      </c>
      <c r="L250" s="32">
        <v>20912.84</v>
      </c>
      <c r="M250" s="33"/>
      <c r="N250" s="30">
        <v>19314.77</v>
      </c>
      <c r="O250" s="30">
        <v>12855.14</v>
      </c>
      <c r="P250" s="30"/>
      <c r="Q250" s="30">
        <f>(N250+O250*0.18+J250)+(IF((P250-O250*0.18)&gt;0,(P250-O250*0.18),0))</f>
        <v>23226.765200000002</v>
      </c>
      <c r="R250" s="7"/>
      <c r="S250" s="7"/>
      <c r="T250" s="7"/>
      <c r="U250" s="7"/>
      <c r="V250" s="7"/>
      <c r="W250" s="7"/>
      <c r="X250" s="7"/>
      <c r="Y250" s="7"/>
      <c r="Z250" s="7"/>
    </row>
    <row r="251" spans="1:26" ht="9" customHeight="1" x14ac:dyDescent="0.2">
      <c r="A251" s="95"/>
      <c r="B251" s="95"/>
      <c r="C251" s="34" t="s">
        <v>37</v>
      </c>
      <c r="D251" s="35">
        <v>25</v>
      </c>
      <c r="E251" s="36">
        <v>21971998</v>
      </c>
      <c r="F251" s="36">
        <v>2411992</v>
      </c>
      <c r="G251" s="36">
        <v>240001</v>
      </c>
      <c r="H251" s="36">
        <v>12507588</v>
      </c>
      <c r="I251" s="36">
        <v>267031</v>
      </c>
      <c r="J251" s="37">
        <v>3094295</v>
      </c>
      <c r="K251" s="36">
        <v>37398610</v>
      </c>
      <c r="L251" s="38">
        <v>40492905</v>
      </c>
      <c r="M251" s="39"/>
      <c r="N251" s="36">
        <v>37398610</v>
      </c>
      <c r="O251" s="36">
        <v>24891022</v>
      </c>
      <c r="P251" s="36">
        <v>0</v>
      </c>
      <c r="Q251" s="36">
        <f>Q250*1936.27</f>
        <v>44973288.653804004</v>
      </c>
      <c r="R251" s="7"/>
      <c r="S251" s="7"/>
      <c r="T251" s="7"/>
      <c r="U251" s="7"/>
      <c r="V251" s="7"/>
      <c r="W251" s="7"/>
      <c r="X251" s="7"/>
      <c r="Y251" s="7"/>
      <c r="Z251" s="7"/>
    </row>
    <row r="252" spans="1:26" ht="12.75" customHeight="1" x14ac:dyDescent="0.2">
      <c r="A252" s="95"/>
      <c r="B252" s="95"/>
      <c r="C252" s="40" t="s">
        <v>36</v>
      </c>
      <c r="D252" s="41">
        <v>26</v>
      </c>
      <c r="E252" s="42">
        <v>11731.83</v>
      </c>
      <c r="F252" s="42">
        <v>1289.08</v>
      </c>
      <c r="G252" s="42">
        <v>123.95</v>
      </c>
      <c r="H252" s="42">
        <v>6459.63</v>
      </c>
      <c r="I252" s="42">
        <v>137.91</v>
      </c>
      <c r="J252" s="42">
        <v>1633.71</v>
      </c>
      <c r="K252" s="43">
        <v>19742.400000000001</v>
      </c>
      <c r="L252" s="32">
        <v>21376.11</v>
      </c>
      <c r="M252" s="33"/>
      <c r="N252" s="30">
        <v>19742.400000000001</v>
      </c>
      <c r="O252" s="30">
        <v>13282.77</v>
      </c>
      <c r="P252" s="30"/>
      <c r="Q252" s="30">
        <f>(N252+O252*0.18+J252)+(IF((P252-O252*0.18)&gt;0,(P252-O252*0.18),0))</f>
        <v>23767.008600000001</v>
      </c>
      <c r="R252" s="7"/>
      <c r="S252" s="7"/>
      <c r="T252" s="7"/>
      <c r="U252" s="7"/>
      <c r="V252" s="7"/>
      <c r="W252" s="7"/>
      <c r="X252" s="7"/>
      <c r="Y252" s="7"/>
      <c r="Z252" s="7"/>
    </row>
    <row r="253" spans="1:26" ht="9" customHeight="1" x14ac:dyDescent="0.2">
      <c r="A253" s="95"/>
      <c r="B253" s="95"/>
      <c r="C253" s="34" t="s">
        <v>37</v>
      </c>
      <c r="D253" s="35">
        <v>27</v>
      </c>
      <c r="E253" s="36">
        <v>22715990</v>
      </c>
      <c r="F253" s="36">
        <v>2496007</v>
      </c>
      <c r="G253" s="36">
        <v>240001</v>
      </c>
      <c r="H253" s="36">
        <v>12507588</v>
      </c>
      <c r="I253" s="36">
        <v>267031</v>
      </c>
      <c r="J253" s="37">
        <v>3163304</v>
      </c>
      <c r="K253" s="36">
        <v>38226617</v>
      </c>
      <c r="L253" s="38">
        <v>41389921</v>
      </c>
      <c r="M253" s="39"/>
      <c r="N253" s="36">
        <v>38226617</v>
      </c>
      <c r="O253" s="36">
        <v>25719029</v>
      </c>
      <c r="P253" s="36">
        <v>0</v>
      </c>
      <c r="Q253" s="36">
        <f>Q252*1936.27</f>
        <v>46019345.741921999</v>
      </c>
      <c r="R253" s="7"/>
      <c r="S253" s="7"/>
      <c r="T253" s="7"/>
      <c r="U253" s="7"/>
      <c r="V253" s="7"/>
      <c r="W253" s="7"/>
      <c r="X253" s="7"/>
      <c r="Y253" s="7"/>
      <c r="Z253" s="7"/>
    </row>
    <row r="254" spans="1:26" ht="12.75" customHeight="1" x14ac:dyDescent="0.2">
      <c r="A254" s="95"/>
      <c r="B254" s="95"/>
      <c r="C254" s="40" t="s">
        <v>36</v>
      </c>
      <c r="D254" s="41">
        <v>28</v>
      </c>
      <c r="E254" s="42">
        <v>11979.73</v>
      </c>
      <c r="F254" s="42">
        <v>1313.87</v>
      </c>
      <c r="G254" s="42">
        <v>123.95</v>
      </c>
      <c r="H254" s="42">
        <v>6459.63</v>
      </c>
      <c r="I254" s="42">
        <v>137.91</v>
      </c>
      <c r="J254" s="42">
        <v>1656.43</v>
      </c>
      <c r="K254" s="43">
        <v>20015.09</v>
      </c>
      <c r="L254" s="32">
        <v>21671.52</v>
      </c>
      <c r="M254" s="33"/>
      <c r="N254" s="30">
        <v>20015.09</v>
      </c>
      <c r="O254" s="30">
        <v>13555.46</v>
      </c>
      <c r="P254" s="30"/>
      <c r="Q254" s="30">
        <f>(N254+O254*0.18+J254)+(IF((P254-O254*0.18)&gt;0,(P254-O254*0.18),0))</f>
        <v>24111.502800000002</v>
      </c>
      <c r="R254" s="7"/>
      <c r="S254" s="7"/>
      <c r="T254" s="7"/>
      <c r="U254" s="7"/>
      <c r="V254" s="7"/>
      <c r="W254" s="7"/>
      <c r="X254" s="7"/>
      <c r="Y254" s="7"/>
      <c r="Z254" s="7"/>
    </row>
    <row r="255" spans="1:26" ht="9" customHeight="1" x14ac:dyDescent="0.2">
      <c r="A255" s="95"/>
      <c r="B255" s="95"/>
      <c r="C255" s="34" t="s">
        <v>37</v>
      </c>
      <c r="D255" s="35">
        <v>29</v>
      </c>
      <c r="E255" s="36">
        <v>23195992</v>
      </c>
      <c r="F255" s="36">
        <v>2544007</v>
      </c>
      <c r="G255" s="36">
        <v>240001</v>
      </c>
      <c r="H255" s="36">
        <v>12507588</v>
      </c>
      <c r="I255" s="36">
        <v>267031</v>
      </c>
      <c r="J255" s="37">
        <v>3207296</v>
      </c>
      <c r="K255" s="36">
        <v>38754618</v>
      </c>
      <c r="L255" s="38">
        <v>41961914</v>
      </c>
      <c r="M255" s="39"/>
      <c r="N255" s="36">
        <v>38754618</v>
      </c>
      <c r="O255" s="36">
        <v>26247031</v>
      </c>
      <c r="P255" s="36">
        <v>0</v>
      </c>
      <c r="Q255" s="36">
        <f>Q254*1936.27</f>
        <v>46686379.526556</v>
      </c>
      <c r="R255" s="7"/>
      <c r="S255" s="7"/>
      <c r="T255" s="7"/>
      <c r="U255" s="7"/>
      <c r="V255" s="7"/>
      <c r="W255" s="7"/>
      <c r="X255" s="7"/>
      <c r="Y255" s="7"/>
      <c r="Z255" s="7"/>
    </row>
    <row r="256" spans="1:26" ht="12.75" customHeight="1" x14ac:dyDescent="0.2">
      <c r="A256" s="95"/>
      <c r="B256" s="95"/>
      <c r="C256" s="40" t="s">
        <v>36</v>
      </c>
      <c r="D256" s="41">
        <v>30</v>
      </c>
      <c r="E256" s="42">
        <v>12295.81</v>
      </c>
      <c r="F256" s="42">
        <v>1351.05</v>
      </c>
      <c r="G256" s="42">
        <v>123.95</v>
      </c>
      <c r="H256" s="42">
        <v>6459.63</v>
      </c>
      <c r="I256" s="42">
        <v>137.91</v>
      </c>
      <c r="J256" s="42">
        <v>1685.87</v>
      </c>
      <c r="K256" s="43">
        <v>20368.349999999999</v>
      </c>
      <c r="L256" s="32">
        <v>22054.22</v>
      </c>
      <c r="M256" s="33"/>
      <c r="N256" s="30">
        <v>20368.349999999999</v>
      </c>
      <c r="O256" s="30">
        <v>13908.72</v>
      </c>
      <c r="P256" s="30"/>
      <c r="Q256" s="30">
        <f>(N256+O256*0.18+J256)+(IF((P256-O256*0.18)&gt;0,(P256-O256*0.18),0))</f>
        <v>24557.789599999996</v>
      </c>
      <c r="R256" s="7"/>
      <c r="S256" s="7"/>
      <c r="T256" s="7"/>
      <c r="U256" s="7"/>
      <c r="V256" s="7"/>
      <c r="W256" s="7"/>
      <c r="X256" s="7"/>
      <c r="Y256" s="7"/>
      <c r="Z256" s="7"/>
    </row>
    <row r="257" spans="1:26" ht="9" customHeight="1" x14ac:dyDescent="0.2">
      <c r="A257" s="95"/>
      <c r="B257" s="95"/>
      <c r="C257" s="34" t="s">
        <v>37</v>
      </c>
      <c r="D257" s="35">
        <v>31</v>
      </c>
      <c r="E257" s="36">
        <v>23808008</v>
      </c>
      <c r="F257" s="36">
        <v>2615998</v>
      </c>
      <c r="G257" s="36">
        <v>240001</v>
      </c>
      <c r="H257" s="36">
        <v>12507588</v>
      </c>
      <c r="I257" s="36">
        <v>267031</v>
      </c>
      <c r="J257" s="37">
        <v>3264300</v>
      </c>
      <c r="K257" s="36">
        <v>39438625</v>
      </c>
      <c r="L257" s="38">
        <v>42702925</v>
      </c>
      <c r="M257" s="39"/>
      <c r="N257" s="36">
        <v>39438625</v>
      </c>
      <c r="O257" s="36">
        <v>26931037</v>
      </c>
      <c r="P257" s="36">
        <v>0</v>
      </c>
      <c r="Q257" s="36">
        <f>Q256*1936.27</f>
        <v>47550511.268791996</v>
      </c>
      <c r="R257" s="7"/>
      <c r="S257" s="7"/>
      <c r="T257" s="7"/>
      <c r="U257" s="7"/>
      <c r="V257" s="7"/>
      <c r="W257" s="7"/>
      <c r="X257" s="7"/>
      <c r="Y257" s="7"/>
      <c r="Z257" s="7"/>
    </row>
    <row r="258" spans="1:26" ht="12.75" customHeight="1" x14ac:dyDescent="0.2">
      <c r="A258" s="95"/>
      <c r="B258" s="95"/>
      <c r="C258" s="40" t="s">
        <v>36</v>
      </c>
      <c r="D258" s="41">
        <v>32</v>
      </c>
      <c r="E258" s="42">
        <v>12605.68</v>
      </c>
      <c r="F258" s="42">
        <v>1382.04</v>
      </c>
      <c r="G258" s="42">
        <v>123.95</v>
      </c>
      <c r="H258" s="42">
        <v>6459.63</v>
      </c>
      <c r="I258" s="42">
        <v>137.91</v>
      </c>
      <c r="J258" s="42">
        <v>1714.28</v>
      </c>
      <c r="K258" s="43">
        <v>20709.21</v>
      </c>
      <c r="L258" s="32">
        <v>22423.49</v>
      </c>
      <c r="M258" s="33"/>
      <c r="N258" s="30">
        <v>20709.21</v>
      </c>
      <c r="O258" s="30">
        <v>14249.58</v>
      </c>
      <c r="P258" s="30"/>
      <c r="Q258" s="30">
        <f>(N258+O258*0.18+J258)+(IF((P258-O258*0.18)&gt;0,(P258-O258*0.18),0))</f>
        <v>24988.414399999998</v>
      </c>
      <c r="R258" s="7"/>
      <c r="S258" s="7"/>
      <c r="T258" s="7"/>
      <c r="U258" s="7"/>
      <c r="V258" s="7"/>
      <c r="W258" s="7"/>
      <c r="X258" s="7"/>
      <c r="Y258" s="7"/>
      <c r="Z258" s="7"/>
    </row>
    <row r="259" spans="1:26" ht="9" customHeight="1" x14ac:dyDescent="0.2">
      <c r="A259" s="95"/>
      <c r="B259" s="95"/>
      <c r="C259" s="34" t="s">
        <v>37</v>
      </c>
      <c r="D259" s="35">
        <v>33</v>
      </c>
      <c r="E259" s="36">
        <v>24408000</v>
      </c>
      <c r="F259" s="36">
        <v>2676003</v>
      </c>
      <c r="G259" s="36">
        <v>240001</v>
      </c>
      <c r="H259" s="36">
        <v>12507588</v>
      </c>
      <c r="I259" s="36">
        <v>267031</v>
      </c>
      <c r="J259" s="37">
        <v>3319309</v>
      </c>
      <c r="K259" s="36">
        <v>40098622</v>
      </c>
      <c r="L259" s="38">
        <v>43417931</v>
      </c>
      <c r="M259" s="39"/>
      <c r="N259" s="36">
        <v>40098622</v>
      </c>
      <c r="O259" s="36">
        <v>27591034</v>
      </c>
      <c r="P259" s="36">
        <v>0</v>
      </c>
      <c r="Q259" s="36">
        <f>Q258*1936.27</f>
        <v>48384317.150287993</v>
      </c>
      <c r="R259" s="7"/>
      <c r="S259" s="7"/>
      <c r="T259" s="7"/>
      <c r="U259" s="7"/>
      <c r="V259" s="7"/>
      <c r="W259" s="7"/>
      <c r="X259" s="7"/>
      <c r="Y259" s="7"/>
      <c r="Z259" s="7"/>
    </row>
    <row r="260" spans="1:26" ht="12.75" customHeight="1" x14ac:dyDescent="0.2">
      <c r="A260" s="95"/>
      <c r="B260" s="95"/>
      <c r="C260" s="40" t="s">
        <v>36</v>
      </c>
      <c r="D260" s="41">
        <v>34</v>
      </c>
      <c r="E260" s="42">
        <v>12909.36</v>
      </c>
      <c r="F260" s="42">
        <v>1419.22</v>
      </c>
      <c r="G260" s="42">
        <v>123.95</v>
      </c>
      <c r="H260" s="42">
        <v>6459.63</v>
      </c>
      <c r="I260" s="42">
        <v>137.91</v>
      </c>
      <c r="J260" s="42">
        <v>1742.68</v>
      </c>
      <c r="K260" s="43">
        <v>21050.07</v>
      </c>
      <c r="L260" s="32">
        <v>22792.75</v>
      </c>
      <c r="M260" s="33"/>
      <c r="N260" s="30">
        <v>21050.07</v>
      </c>
      <c r="O260" s="30">
        <v>14590.44</v>
      </c>
      <c r="P260" s="30"/>
      <c r="Q260" s="30">
        <f>(N260+O260*0.18+J260)+(IF((P260-O260*0.18)&gt;0,(P260-O260*0.18),0))</f>
        <v>25419.029200000001</v>
      </c>
      <c r="R260" s="7"/>
      <c r="S260" s="7"/>
      <c r="T260" s="7"/>
      <c r="U260" s="7"/>
      <c r="V260" s="7"/>
      <c r="W260" s="7"/>
      <c r="X260" s="7"/>
      <c r="Y260" s="7"/>
      <c r="Z260" s="7"/>
    </row>
    <row r="261" spans="1:26" ht="9" customHeight="1" x14ac:dyDescent="0.2">
      <c r="A261" s="95"/>
      <c r="B261" s="95"/>
      <c r="C261" s="34" t="s">
        <v>37</v>
      </c>
      <c r="D261" s="35">
        <v>35</v>
      </c>
      <c r="E261" s="36">
        <v>24996006</v>
      </c>
      <c r="F261" s="36">
        <v>2747993</v>
      </c>
      <c r="G261" s="36">
        <v>240001</v>
      </c>
      <c r="H261" s="36">
        <v>12507588</v>
      </c>
      <c r="I261" s="36">
        <v>267031</v>
      </c>
      <c r="J261" s="37">
        <v>3374299</v>
      </c>
      <c r="K261" s="36">
        <v>40758619</v>
      </c>
      <c r="L261" s="38">
        <v>44132918</v>
      </c>
      <c r="M261" s="39"/>
      <c r="N261" s="36">
        <v>40758619</v>
      </c>
      <c r="O261" s="36">
        <v>28251031</v>
      </c>
      <c r="P261" s="36">
        <v>0</v>
      </c>
      <c r="Q261" s="36">
        <f>Q260*1936.27</f>
        <v>49218103.669083998</v>
      </c>
      <c r="R261" s="7"/>
      <c r="S261" s="7"/>
      <c r="T261" s="7"/>
      <c r="U261" s="7"/>
      <c r="V261" s="7"/>
      <c r="W261" s="7"/>
      <c r="X261" s="7"/>
      <c r="Y261" s="7"/>
      <c r="Z261" s="7"/>
    </row>
    <row r="262" spans="1:26" ht="12.75" customHeight="1" x14ac:dyDescent="0.2">
      <c r="A262" s="95"/>
      <c r="B262" s="95"/>
      <c r="C262" s="40" t="s">
        <v>36</v>
      </c>
      <c r="D262" s="41">
        <v>36</v>
      </c>
      <c r="E262" s="42">
        <v>13225.43</v>
      </c>
      <c r="F262" s="42">
        <v>1450.21</v>
      </c>
      <c r="G262" s="42">
        <v>123.95</v>
      </c>
      <c r="H262" s="42">
        <v>6459.63</v>
      </c>
      <c r="I262" s="42">
        <v>137.91</v>
      </c>
      <c r="J262" s="42">
        <v>1771.6</v>
      </c>
      <c r="K262" s="43">
        <v>21397.13</v>
      </c>
      <c r="L262" s="32">
        <v>23168.73</v>
      </c>
      <c r="M262" s="33"/>
      <c r="N262" s="30">
        <v>21397.13</v>
      </c>
      <c r="O262" s="30">
        <v>14937.5</v>
      </c>
      <c r="P262" s="30"/>
      <c r="Q262" s="30">
        <f>(N262+O262*0.18+J262)+(IF((P262-O262*0.18)&gt;0,(P262-O262*0.18),0))</f>
        <v>25857.48</v>
      </c>
      <c r="R262" s="7"/>
      <c r="S262" s="7"/>
      <c r="T262" s="7"/>
      <c r="U262" s="7"/>
      <c r="V262" s="7"/>
      <c r="W262" s="7"/>
      <c r="X262" s="7"/>
      <c r="Y262" s="7"/>
      <c r="Z262" s="7"/>
    </row>
    <row r="263" spans="1:26" ht="9" customHeight="1" x14ac:dyDescent="0.2">
      <c r="A263" s="95"/>
      <c r="B263" s="95"/>
      <c r="C263" s="34" t="s">
        <v>37</v>
      </c>
      <c r="D263" s="35">
        <v>37</v>
      </c>
      <c r="E263" s="36">
        <v>25608003</v>
      </c>
      <c r="F263" s="36">
        <v>2807998</v>
      </c>
      <c r="G263" s="36">
        <v>240001</v>
      </c>
      <c r="H263" s="36">
        <v>12507588</v>
      </c>
      <c r="I263" s="36">
        <v>267031</v>
      </c>
      <c r="J263" s="37">
        <v>3430296</v>
      </c>
      <c r="K263" s="36">
        <v>41430621</v>
      </c>
      <c r="L263" s="38">
        <v>44860917</v>
      </c>
      <c r="M263" s="39"/>
      <c r="N263" s="36">
        <v>41430621</v>
      </c>
      <c r="O263" s="36">
        <v>28923033</v>
      </c>
      <c r="P263" s="36">
        <v>0</v>
      </c>
      <c r="Q263" s="36">
        <f>Q262*1936.27</f>
        <v>50067062.799599998</v>
      </c>
      <c r="R263" s="7"/>
      <c r="S263" s="7"/>
      <c r="T263" s="7"/>
      <c r="U263" s="7"/>
      <c r="V263" s="7"/>
      <c r="W263" s="7"/>
      <c r="X263" s="7"/>
      <c r="Y263" s="7"/>
      <c r="Z263" s="7"/>
    </row>
    <row r="264" spans="1:26" ht="12.75" customHeight="1" x14ac:dyDescent="0.2">
      <c r="A264" s="95"/>
      <c r="B264" s="95"/>
      <c r="C264" s="40" t="s">
        <v>36</v>
      </c>
      <c r="D264" s="41">
        <v>38</v>
      </c>
      <c r="E264" s="42">
        <v>13535.3</v>
      </c>
      <c r="F264" s="42">
        <v>1487.4</v>
      </c>
      <c r="G264" s="42">
        <v>123.95</v>
      </c>
      <c r="H264" s="42">
        <v>6459.63</v>
      </c>
      <c r="I264" s="42">
        <v>137.91</v>
      </c>
      <c r="J264" s="42">
        <v>1800.52</v>
      </c>
      <c r="K264" s="43">
        <v>21744.19</v>
      </c>
      <c r="L264" s="32">
        <v>23544.71</v>
      </c>
      <c r="M264" s="33"/>
      <c r="N264" s="30">
        <v>21744.19</v>
      </c>
      <c r="O264" s="30">
        <v>15284.56</v>
      </c>
      <c r="P264" s="30"/>
      <c r="Q264" s="30">
        <f>(N264+O264*0.18+J264)+(IF((P264-O264*0.18)&gt;0,(P264-O264*0.18),0))</f>
        <v>26295.930799999998</v>
      </c>
      <c r="R264" s="7"/>
      <c r="S264" s="7"/>
      <c r="T264" s="7"/>
      <c r="U264" s="7"/>
      <c r="V264" s="7"/>
      <c r="W264" s="7"/>
      <c r="X264" s="7"/>
      <c r="Y264" s="7"/>
      <c r="Z264" s="7"/>
    </row>
    <row r="265" spans="1:26" ht="9" customHeight="1" x14ac:dyDescent="0.2">
      <c r="A265" s="95"/>
      <c r="B265" s="95"/>
      <c r="C265" s="34" t="s">
        <v>37</v>
      </c>
      <c r="D265" s="35">
        <v>39</v>
      </c>
      <c r="E265" s="36">
        <v>26207995</v>
      </c>
      <c r="F265" s="36">
        <v>2880008</v>
      </c>
      <c r="G265" s="36">
        <v>240001</v>
      </c>
      <c r="H265" s="36">
        <v>12507588</v>
      </c>
      <c r="I265" s="36">
        <v>267031</v>
      </c>
      <c r="J265" s="37">
        <v>3486293</v>
      </c>
      <c r="K265" s="36">
        <v>42102623</v>
      </c>
      <c r="L265" s="38">
        <v>45588916</v>
      </c>
      <c r="M265" s="39"/>
      <c r="N265" s="36">
        <v>42102623</v>
      </c>
      <c r="O265" s="36">
        <v>29595035</v>
      </c>
      <c r="P265" s="36">
        <v>0</v>
      </c>
      <c r="Q265" s="36">
        <f>Q264*1936.27</f>
        <v>50916021.930115998</v>
      </c>
      <c r="R265" s="7"/>
      <c r="S265" s="7"/>
      <c r="T265" s="7"/>
      <c r="U265" s="7"/>
      <c r="V265" s="7"/>
      <c r="W265" s="7"/>
      <c r="X265" s="7"/>
      <c r="Y265" s="7"/>
      <c r="Z265" s="7"/>
    </row>
    <row r="266" spans="1:26" ht="12.75" customHeight="1" x14ac:dyDescent="0.2">
      <c r="A266" s="95"/>
      <c r="B266" s="95"/>
      <c r="C266" s="40" t="s">
        <v>36</v>
      </c>
      <c r="D266" s="41">
        <v>40</v>
      </c>
      <c r="E266" s="42">
        <v>13851.37</v>
      </c>
      <c r="F266" s="42">
        <v>1518.38</v>
      </c>
      <c r="G266" s="42">
        <v>123.95</v>
      </c>
      <c r="H266" s="42">
        <v>6459.63</v>
      </c>
      <c r="I266" s="42">
        <v>137.91</v>
      </c>
      <c r="J266" s="42">
        <v>1829.44</v>
      </c>
      <c r="K266" s="43">
        <v>22091.24</v>
      </c>
      <c r="L266" s="32">
        <v>23920.68</v>
      </c>
      <c r="M266" s="33"/>
      <c r="N266" s="30">
        <v>22091.24</v>
      </c>
      <c r="O266" s="30">
        <v>15631.61</v>
      </c>
      <c r="P266" s="30"/>
      <c r="Q266" s="30">
        <f>(N266+O266*0.18+J266)+(IF((P266-O266*0.18)&gt;0,(P266-O266*0.18),0))</f>
        <v>26734.3698</v>
      </c>
      <c r="R266" s="7"/>
      <c r="S266" s="7"/>
      <c r="T266" s="7"/>
      <c r="U266" s="7"/>
      <c r="V266" s="7"/>
      <c r="W266" s="7"/>
      <c r="X266" s="7"/>
      <c r="Y266" s="7"/>
      <c r="Z266" s="7"/>
    </row>
    <row r="267" spans="1:26" ht="12.75" customHeight="1" x14ac:dyDescent="0.2">
      <c r="A267" s="95"/>
      <c r="B267" s="95"/>
      <c r="C267" s="115"/>
      <c r="D267" s="45"/>
      <c r="E267" s="116"/>
      <c r="F267" s="116"/>
      <c r="G267" s="116"/>
      <c r="H267" s="116"/>
      <c r="I267" s="116"/>
      <c r="J267" s="117"/>
      <c r="K267" s="118"/>
      <c r="L267" s="119"/>
      <c r="M267" s="33"/>
      <c r="N267" s="116"/>
      <c r="O267" s="116"/>
      <c r="P267" s="116"/>
      <c r="Q267" s="116"/>
      <c r="R267" s="7"/>
      <c r="S267" s="7"/>
      <c r="T267" s="7"/>
      <c r="U267" s="7"/>
      <c r="V267" s="7"/>
      <c r="W267" s="7"/>
      <c r="X267" s="7"/>
      <c r="Y267" s="7"/>
      <c r="Z267" s="7"/>
    </row>
    <row r="268" spans="1:26" ht="12.75" customHeight="1" x14ac:dyDescent="0.2">
      <c r="A268" s="95"/>
      <c r="B268" s="95"/>
      <c r="C268" s="115"/>
      <c r="D268" s="45"/>
      <c r="E268" s="116"/>
      <c r="F268" s="116"/>
      <c r="G268" s="116"/>
      <c r="H268" s="116"/>
      <c r="I268" s="116"/>
      <c r="J268" s="117"/>
      <c r="K268" s="118"/>
      <c r="L268" s="119"/>
      <c r="M268" s="33"/>
      <c r="N268" s="116"/>
      <c r="O268" s="116"/>
      <c r="P268" s="116"/>
      <c r="Q268" s="116"/>
      <c r="R268" s="7"/>
      <c r="S268" s="7"/>
      <c r="T268" s="7"/>
      <c r="U268" s="7"/>
      <c r="V268" s="7"/>
      <c r="W268" s="7"/>
      <c r="X268" s="7"/>
      <c r="Y268" s="7"/>
      <c r="Z268" s="7"/>
    </row>
    <row r="269" spans="1:26" ht="9" customHeight="1" x14ac:dyDescent="0.2">
      <c r="A269" s="110"/>
      <c r="B269" s="110"/>
      <c r="C269" s="47"/>
      <c r="D269" s="48"/>
      <c r="E269" s="46">
        <v>26819992</v>
      </c>
      <c r="F269" s="46">
        <v>2939994</v>
      </c>
      <c r="G269" s="46">
        <v>240001</v>
      </c>
      <c r="H269" s="46">
        <v>12507588</v>
      </c>
      <c r="I269" s="46">
        <v>267031</v>
      </c>
      <c r="J269" s="49">
        <v>3542290</v>
      </c>
      <c r="K269" s="46">
        <v>42774605</v>
      </c>
      <c r="L269" s="38">
        <v>46316895</v>
      </c>
      <c r="M269" s="39"/>
      <c r="N269" s="36">
        <v>42774605</v>
      </c>
      <c r="O269" s="36">
        <v>30267017</v>
      </c>
      <c r="P269" s="36">
        <v>0</v>
      </c>
      <c r="Q269" s="36">
        <f>Q266*1936.27</f>
        <v>51764958.212646</v>
      </c>
      <c r="R269" s="7"/>
      <c r="S269" s="7"/>
      <c r="T269" s="7"/>
      <c r="U269" s="7"/>
      <c r="V269" s="7"/>
      <c r="W269" s="7"/>
      <c r="X269" s="7"/>
      <c r="Y269" s="7"/>
      <c r="Z269" s="7"/>
    </row>
    <row r="270" spans="1:26" ht="12.75" customHeight="1" x14ac:dyDescent="0.2">
      <c r="A270" s="98">
        <v>34516</v>
      </c>
      <c r="B270" s="98">
        <v>34699</v>
      </c>
      <c r="C270" s="28" t="s">
        <v>36</v>
      </c>
      <c r="D270" s="29">
        <v>0</v>
      </c>
      <c r="E270" s="30">
        <v>6674.69</v>
      </c>
      <c r="F270" s="30">
        <v>731.3</v>
      </c>
      <c r="G270" s="30">
        <v>123.95</v>
      </c>
      <c r="H270" s="30">
        <v>6459.63</v>
      </c>
      <c r="I270" s="30">
        <v>229.85</v>
      </c>
      <c r="J270" s="30">
        <v>1165.8</v>
      </c>
      <c r="K270" s="31">
        <v>14219.42</v>
      </c>
      <c r="L270" s="32">
        <v>15385.22</v>
      </c>
      <c r="M270" s="33"/>
      <c r="N270" s="30">
        <v>14219.42</v>
      </c>
      <c r="O270" s="30">
        <v>7759.79</v>
      </c>
      <c r="P270" s="30"/>
      <c r="Q270" s="30">
        <f>(N270+O270*0.18+J270)+(IF((P270-O270*0.18)&gt;0,(P270-O270*0.18),0))</f>
        <v>16781.982199999999</v>
      </c>
      <c r="R270" s="7"/>
      <c r="S270" s="7"/>
      <c r="T270" s="7"/>
      <c r="U270" s="7"/>
      <c r="V270" s="7"/>
      <c r="W270" s="7"/>
      <c r="X270" s="7"/>
      <c r="Y270" s="7"/>
      <c r="Z270" s="7"/>
    </row>
    <row r="271" spans="1:26" ht="9" customHeight="1" x14ac:dyDescent="0.2">
      <c r="A271" s="95"/>
      <c r="B271" s="95"/>
      <c r="C271" s="34" t="s">
        <v>37</v>
      </c>
      <c r="D271" s="35">
        <v>2</v>
      </c>
      <c r="E271" s="36">
        <v>12924002</v>
      </c>
      <c r="F271" s="36">
        <v>1415994</v>
      </c>
      <c r="G271" s="36">
        <v>240001</v>
      </c>
      <c r="H271" s="36">
        <v>12507588</v>
      </c>
      <c r="I271" s="36">
        <v>445052</v>
      </c>
      <c r="J271" s="37">
        <v>2257304</v>
      </c>
      <c r="K271" s="36">
        <v>27532636</v>
      </c>
      <c r="L271" s="38">
        <v>29789940</v>
      </c>
      <c r="M271" s="39"/>
      <c r="N271" s="36">
        <v>27532636</v>
      </c>
      <c r="O271" s="36">
        <v>15025049</v>
      </c>
      <c r="P271" s="36">
        <v>0</v>
      </c>
      <c r="Q271" s="36">
        <f>Q270*1936.27</f>
        <v>32494448.674393997</v>
      </c>
      <c r="R271" s="7"/>
      <c r="S271" s="7"/>
      <c r="T271" s="7"/>
      <c r="U271" s="7"/>
      <c r="V271" s="7"/>
      <c r="W271" s="7"/>
      <c r="X271" s="7"/>
      <c r="Y271" s="7"/>
      <c r="Z271" s="7"/>
    </row>
    <row r="272" spans="1:26" ht="12.75" customHeight="1" x14ac:dyDescent="0.2">
      <c r="A272" s="155">
        <v>34516</v>
      </c>
      <c r="B272" s="155">
        <v>34699</v>
      </c>
      <c r="C272" s="40" t="s">
        <v>36</v>
      </c>
      <c r="D272" s="41">
        <v>3</v>
      </c>
      <c r="E272" s="42">
        <v>7027.95</v>
      </c>
      <c r="F272" s="42">
        <v>768.49</v>
      </c>
      <c r="G272" s="42">
        <v>123.95</v>
      </c>
      <c r="H272" s="42">
        <v>6459.63</v>
      </c>
      <c r="I272" s="42">
        <v>229.85</v>
      </c>
      <c r="J272" s="42">
        <v>1198.3399999999999</v>
      </c>
      <c r="K272" s="43">
        <v>14609.87</v>
      </c>
      <c r="L272" s="32">
        <v>15808.21</v>
      </c>
      <c r="M272" s="33"/>
      <c r="N272" s="30">
        <v>14609.87</v>
      </c>
      <c r="O272" s="30">
        <v>8150.24</v>
      </c>
      <c r="P272" s="30"/>
      <c r="Q272" s="30">
        <f>(N272+O272*0.18+J272)+(IF((P272-O272*0.18)&gt;0,(P272-O272*0.18),0))</f>
        <v>17275.253199999999</v>
      </c>
      <c r="R272" s="7"/>
      <c r="S272" s="7"/>
      <c r="T272" s="7"/>
      <c r="U272" s="7"/>
      <c r="V272" s="7"/>
      <c r="W272" s="7"/>
      <c r="X272" s="7"/>
      <c r="Y272" s="7"/>
      <c r="Z272" s="7"/>
    </row>
    <row r="273" spans="1:26" ht="9" customHeight="1" x14ac:dyDescent="0.2">
      <c r="A273" s="95"/>
      <c r="B273" s="95"/>
      <c r="C273" s="34" t="s">
        <v>37</v>
      </c>
      <c r="D273" s="35">
        <v>4</v>
      </c>
      <c r="E273" s="36">
        <v>13608009</v>
      </c>
      <c r="F273" s="36">
        <v>1488004</v>
      </c>
      <c r="G273" s="36">
        <v>240001</v>
      </c>
      <c r="H273" s="36">
        <v>12507588</v>
      </c>
      <c r="I273" s="36">
        <v>445052</v>
      </c>
      <c r="J273" s="37">
        <v>2320310</v>
      </c>
      <c r="K273" s="36">
        <v>28288653</v>
      </c>
      <c r="L273" s="38">
        <v>30608963</v>
      </c>
      <c r="M273" s="39"/>
      <c r="N273" s="36">
        <v>28288653</v>
      </c>
      <c r="O273" s="36">
        <v>15781065</v>
      </c>
      <c r="P273" s="36">
        <v>0</v>
      </c>
      <c r="Q273" s="36">
        <f>Q272*1936.27</f>
        <v>33449554.513563998</v>
      </c>
      <c r="R273" s="7"/>
      <c r="S273" s="7"/>
      <c r="T273" s="7"/>
      <c r="U273" s="7"/>
      <c r="V273" s="7"/>
      <c r="W273" s="7"/>
      <c r="X273" s="7"/>
      <c r="Y273" s="7"/>
      <c r="Z273" s="7"/>
    </row>
    <row r="274" spans="1:26" ht="12.75" customHeight="1" x14ac:dyDescent="0.2">
      <c r="A274" s="95"/>
      <c r="B274" s="95"/>
      <c r="C274" s="40" t="s">
        <v>36</v>
      </c>
      <c r="D274" s="41">
        <v>5</v>
      </c>
      <c r="E274" s="42">
        <v>7387.4</v>
      </c>
      <c r="F274" s="42">
        <v>811.87</v>
      </c>
      <c r="G274" s="42">
        <v>123.95</v>
      </c>
      <c r="H274" s="42">
        <v>6459.63</v>
      </c>
      <c r="I274" s="42">
        <v>229.85</v>
      </c>
      <c r="J274" s="42">
        <v>1231.9000000000001</v>
      </c>
      <c r="K274" s="43">
        <v>15012.7</v>
      </c>
      <c r="L274" s="32">
        <v>16244.6</v>
      </c>
      <c r="M274" s="33"/>
      <c r="N274" s="30">
        <v>15012.7</v>
      </c>
      <c r="O274" s="30">
        <v>8553.07</v>
      </c>
      <c r="P274" s="30"/>
      <c r="Q274" s="30">
        <f>(N274+O274*0.18+J274)+(IF((P274-O274*0.18)&gt;0,(P274-O274*0.18),0))</f>
        <v>17784.152600000001</v>
      </c>
      <c r="R274" s="7"/>
      <c r="S274" s="7"/>
      <c r="T274" s="7"/>
      <c r="U274" s="7"/>
      <c r="V274" s="7"/>
      <c r="W274" s="7"/>
      <c r="X274" s="7"/>
      <c r="Y274" s="7"/>
      <c r="Z274" s="7"/>
    </row>
    <row r="275" spans="1:26" ht="9" customHeight="1" x14ac:dyDescent="0.2">
      <c r="A275" s="95"/>
      <c r="B275" s="95"/>
      <c r="C275" s="34" t="s">
        <v>37</v>
      </c>
      <c r="D275" s="35">
        <v>6</v>
      </c>
      <c r="E275" s="36">
        <v>14304001</v>
      </c>
      <c r="F275" s="36">
        <v>1572000</v>
      </c>
      <c r="G275" s="36">
        <v>240001</v>
      </c>
      <c r="H275" s="36">
        <v>12507588</v>
      </c>
      <c r="I275" s="36">
        <v>445052</v>
      </c>
      <c r="J275" s="37">
        <v>2385291</v>
      </c>
      <c r="K275" s="36">
        <v>29068641</v>
      </c>
      <c r="L275" s="38">
        <v>31453932</v>
      </c>
      <c r="M275" s="39"/>
      <c r="N275" s="36">
        <v>29068641</v>
      </c>
      <c r="O275" s="36">
        <v>16561053</v>
      </c>
      <c r="P275" s="36">
        <v>0</v>
      </c>
      <c r="Q275" s="36">
        <f>Q274*1936.27</f>
        <v>34434921.154802002</v>
      </c>
      <c r="R275" s="7"/>
      <c r="S275" s="7"/>
      <c r="T275" s="7"/>
      <c r="U275" s="7"/>
      <c r="V275" s="7"/>
      <c r="W275" s="7"/>
      <c r="X275" s="7"/>
      <c r="Y275" s="7"/>
      <c r="Z275" s="7"/>
    </row>
    <row r="276" spans="1:26" ht="12.75" customHeight="1" x14ac:dyDescent="0.2">
      <c r="A276" s="95"/>
      <c r="B276" s="95"/>
      <c r="C276" s="40" t="s">
        <v>36</v>
      </c>
      <c r="D276" s="41">
        <v>7</v>
      </c>
      <c r="E276" s="42">
        <v>7740.66</v>
      </c>
      <c r="F276" s="42">
        <v>849.06</v>
      </c>
      <c r="G276" s="42">
        <v>123.95</v>
      </c>
      <c r="H276" s="42">
        <v>6459.63</v>
      </c>
      <c r="I276" s="42">
        <v>229.85</v>
      </c>
      <c r="J276" s="42">
        <v>1264.44</v>
      </c>
      <c r="K276" s="43">
        <v>15403.15</v>
      </c>
      <c r="L276" s="32">
        <v>16667.59</v>
      </c>
      <c r="M276" s="33"/>
      <c r="N276" s="30">
        <v>15403.15</v>
      </c>
      <c r="O276" s="30">
        <v>8943.52</v>
      </c>
      <c r="P276" s="30"/>
      <c r="Q276" s="30">
        <f>(N276+O276*0.18+J276)+(IF((P276-O276*0.18)&gt;0,(P276-O276*0.18),0))</f>
        <v>18277.423599999998</v>
      </c>
      <c r="R276" s="7"/>
      <c r="S276" s="7"/>
      <c r="T276" s="7"/>
      <c r="U276" s="7"/>
      <c r="V276" s="7"/>
      <c r="W276" s="7"/>
      <c r="X276" s="7"/>
      <c r="Y276" s="7"/>
      <c r="Z276" s="7"/>
    </row>
    <row r="277" spans="1:26" ht="9" customHeight="1" x14ac:dyDescent="0.2">
      <c r="A277" s="95"/>
      <c r="B277" s="95"/>
      <c r="C277" s="34" t="s">
        <v>37</v>
      </c>
      <c r="D277" s="35">
        <v>8</v>
      </c>
      <c r="E277" s="36">
        <v>14988008</v>
      </c>
      <c r="F277" s="36">
        <v>1644009</v>
      </c>
      <c r="G277" s="36">
        <v>240001</v>
      </c>
      <c r="H277" s="36">
        <v>12507588</v>
      </c>
      <c r="I277" s="36">
        <v>445052</v>
      </c>
      <c r="J277" s="37">
        <v>2448297</v>
      </c>
      <c r="K277" s="36">
        <v>29824657</v>
      </c>
      <c r="L277" s="38">
        <v>32272954</v>
      </c>
      <c r="M277" s="39"/>
      <c r="N277" s="36">
        <v>29824657</v>
      </c>
      <c r="O277" s="36">
        <v>17317069</v>
      </c>
      <c r="P277" s="36">
        <v>0</v>
      </c>
      <c r="Q277" s="36">
        <f>Q276*1936.27</f>
        <v>35390026.993971996</v>
      </c>
      <c r="R277" s="7"/>
      <c r="S277" s="7"/>
      <c r="T277" s="7"/>
      <c r="U277" s="7"/>
      <c r="V277" s="7"/>
      <c r="W277" s="7"/>
      <c r="X277" s="7"/>
      <c r="Y277" s="7"/>
      <c r="Z277" s="7"/>
    </row>
    <row r="278" spans="1:26" ht="12.75" customHeight="1" x14ac:dyDescent="0.2">
      <c r="A278" s="95"/>
      <c r="B278" s="95"/>
      <c r="C278" s="40" t="s">
        <v>36</v>
      </c>
      <c r="D278" s="41">
        <v>9</v>
      </c>
      <c r="E278" s="42">
        <v>8155.89</v>
      </c>
      <c r="F278" s="42">
        <v>892.44</v>
      </c>
      <c r="G278" s="42">
        <v>123.95</v>
      </c>
      <c r="H278" s="42">
        <v>6459.63</v>
      </c>
      <c r="I278" s="42">
        <v>229.85</v>
      </c>
      <c r="J278" s="42">
        <v>1302.6600000000001</v>
      </c>
      <c r="K278" s="43">
        <v>15861.76</v>
      </c>
      <c r="L278" s="32">
        <v>17164.419999999998</v>
      </c>
      <c r="M278" s="33"/>
      <c r="N278" s="30">
        <v>15861.76</v>
      </c>
      <c r="O278" s="30">
        <v>9402.1299999999992</v>
      </c>
      <c r="P278" s="30"/>
      <c r="Q278" s="30">
        <f>(N278+O278*0.18+J278)+(IF((P278-O278*0.18)&gt;0,(P278-O278*0.18),0))</f>
        <v>18856.803400000001</v>
      </c>
      <c r="R278" s="7"/>
      <c r="S278" s="7"/>
      <c r="T278" s="7"/>
      <c r="U278" s="7"/>
      <c r="V278" s="7"/>
      <c r="W278" s="7"/>
      <c r="X278" s="7"/>
      <c r="Y278" s="7"/>
      <c r="Z278" s="7"/>
    </row>
    <row r="279" spans="1:26" ht="9" customHeight="1" x14ac:dyDescent="0.2">
      <c r="A279" s="95"/>
      <c r="B279" s="95"/>
      <c r="C279" s="34" t="s">
        <v>37</v>
      </c>
      <c r="D279" s="35">
        <v>10</v>
      </c>
      <c r="E279" s="36">
        <v>15792005</v>
      </c>
      <c r="F279" s="36">
        <v>1728005</v>
      </c>
      <c r="G279" s="36">
        <v>240001</v>
      </c>
      <c r="H279" s="36">
        <v>12507588</v>
      </c>
      <c r="I279" s="36">
        <v>445052</v>
      </c>
      <c r="J279" s="37">
        <v>2522301</v>
      </c>
      <c r="K279" s="36">
        <v>30712650</v>
      </c>
      <c r="L279" s="38">
        <v>33234952</v>
      </c>
      <c r="M279" s="39"/>
      <c r="N279" s="36">
        <v>30712650</v>
      </c>
      <c r="O279" s="36">
        <v>18205062</v>
      </c>
      <c r="P279" s="36">
        <v>0</v>
      </c>
      <c r="Q279" s="36">
        <f>Q278*1936.27</f>
        <v>36511862.719318002</v>
      </c>
      <c r="R279" s="7"/>
      <c r="S279" s="7"/>
      <c r="T279" s="7"/>
      <c r="U279" s="7"/>
      <c r="V279" s="7"/>
      <c r="W279" s="7"/>
      <c r="X279" s="7"/>
      <c r="Y279" s="7"/>
      <c r="Z279" s="7"/>
    </row>
    <row r="280" spans="1:26" ht="12.75" customHeight="1" x14ac:dyDescent="0.2">
      <c r="A280" s="95"/>
      <c r="B280" s="95"/>
      <c r="C280" s="40" t="s">
        <v>36</v>
      </c>
      <c r="D280" s="41">
        <v>11</v>
      </c>
      <c r="E280" s="42">
        <v>8527.74</v>
      </c>
      <c r="F280" s="42">
        <v>935.82</v>
      </c>
      <c r="G280" s="42">
        <v>123.95</v>
      </c>
      <c r="H280" s="42">
        <v>6459.63</v>
      </c>
      <c r="I280" s="42">
        <v>229.85</v>
      </c>
      <c r="J280" s="42">
        <v>1337.26</v>
      </c>
      <c r="K280" s="43">
        <v>16276.99</v>
      </c>
      <c r="L280" s="32">
        <v>17614.25</v>
      </c>
      <c r="M280" s="33"/>
      <c r="N280" s="30">
        <v>16276.99</v>
      </c>
      <c r="O280" s="30">
        <v>9817.36</v>
      </c>
      <c r="P280" s="30"/>
      <c r="Q280" s="30">
        <f>(N280+O280*0.18+J280)+(IF((P280-O280*0.18)&gt;0,(P280-O280*0.18),0))</f>
        <v>19381.374799999998</v>
      </c>
      <c r="R280" s="7"/>
      <c r="S280" s="7"/>
      <c r="T280" s="7"/>
      <c r="U280" s="7"/>
      <c r="V280" s="7"/>
      <c r="W280" s="7"/>
      <c r="X280" s="7"/>
      <c r="Y280" s="7"/>
      <c r="Z280" s="7"/>
    </row>
    <row r="281" spans="1:26" ht="9" customHeight="1" x14ac:dyDescent="0.2">
      <c r="A281" s="95"/>
      <c r="B281" s="95"/>
      <c r="C281" s="34" t="s">
        <v>37</v>
      </c>
      <c r="D281" s="35">
        <v>12</v>
      </c>
      <c r="E281" s="36">
        <v>16512007</v>
      </c>
      <c r="F281" s="36">
        <v>1812000</v>
      </c>
      <c r="G281" s="36">
        <v>240001</v>
      </c>
      <c r="H281" s="36">
        <v>12507588</v>
      </c>
      <c r="I281" s="36">
        <v>445052</v>
      </c>
      <c r="J281" s="37">
        <v>2589296</v>
      </c>
      <c r="K281" s="36">
        <v>31516647</v>
      </c>
      <c r="L281" s="38">
        <v>34105944</v>
      </c>
      <c r="M281" s="39"/>
      <c r="N281" s="36">
        <v>31516647</v>
      </c>
      <c r="O281" s="36">
        <v>19009060</v>
      </c>
      <c r="P281" s="36">
        <v>0</v>
      </c>
      <c r="Q281" s="36">
        <f>Q280*1936.27</f>
        <v>37527574.583995998</v>
      </c>
      <c r="R281" s="7"/>
      <c r="S281" s="7"/>
      <c r="T281" s="7"/>
      <c r="U281" s="7"/>
      <c r="V281" s="7"/>
      <c r="W281" s="7"/>
      <c r="X281" s="7"/>
      <c r="Y281" s="7"/>
      <c r="Z281" s="7"/>
    </row>
    <row r="282" spans="1:26" ht="12.75" customHeight="1" x14ac:dyDescent="0.2">
      <c r="A282" s="95"/>
      <c r="B282" s="95"/>
      <c r="C282" s="40" t="s">
        <v>36</v>
      </c>
      <c r="D282" s="41">
        <v>13</v>
      </c>
      <c r="E282" s="42">
        <v>8980.15</v>
      </c>
      <c r="F282" s="42">
        <v>985.4</v>
      </c>
      <c r="G282" s="42">
        <v>123.95</v>
      </c>
      <c r="H282" s="42">
        <v>6459.63</v>
      </c>
      <c r="I282" s="42">
        <v>229.85</v>
      </c>
      <c r="J282" s="42">
        <v>1379.09</v>
      </c>
      <c r="K282" s="43">
        <v>16778.98</v>
      </c>
      <c r="L282" s="32">
        <v>18158.07</v>
      </c>
      <c r="M282" s="33"/>
      <c r="N282" s="30">
        <v>16778.98</v>
      </c>
      <c r="O282" s="30">
        <v>10319.35</v>
      </c>
      <c r="P282" s="30"/>
      <c r="Q282" s="30">
        <f>(N282+O282*0.18+J282)+(IF((P282-O282*0.18)&gt;0,(P282-O282*0.18),0))</f>
        <v>20015.553</v>
      </c>
      <c r="R282" s="7"/>
      <c r="S282" s="7"/>
      <c r="T282" s="7"/>
      <c r="U282" s="7"/>
      <c r="V282" s="7"/>
      <c r="W282" s="7"/>
      <c r="X282" s="7"/>
      <c r="Y282" s="7"/>
      <c r="Z282" s="7"/>
    </row>
    <row r="283" spans="1:26" ht="9" customHeight="1" x14ac:dyDescent="0.2">
      <c r="A283" s="95"/>
      <c r="B283" s="95"/>
      <c r="C283" s="34" t="s">
        <v>37</v>
      </c>
      <c r="D283" s="35">
        <v>14</v>
      </c>
      <c r="E283" s="36">
        <v>17387995</v>
      </c>
      <c r="F283" s="36">
        <v>1908000</v>
      </c>
      <c r="G283" s="36">
        <v>240001</v>
      </c>
      <c r="H283" s="36">
        <v>12507588</v>
      </c>
      <c r="I283" s="36">
        <v>445052</v>
      </c>
      <c r="J283" s="37">
        <v>2670291</v>
      </c>
      <c r="K283" s="36">
        <v>32488636</v>
      </c>
      <c r="L283" s="38">
        <v>35158926</v>
      </c>
      <c r="M283" s="39"/>
      <c r="N283" s="36">
        <v>32488636</v>
      </c>
      <c r="O283" s="36">
        <v>19981048</v>
      </c>
      <c r="P283" s="36">
        <v>0</v>
      </c>
      <c r="Q283" s="36">
        <f>Q282*1936.27</f>
        <v>38755514.80731</v>
      </c>
      <c r="R283" s="7"/>
      <c r="S283" s="7"/>
      <c r="T283" s="7"/>
      <c r="U283" s="7"/>
      <c r="V283" s="7"/>
      <c r="W283" s="7"/>
      <c r="X283" s="7"/>
      <c r="Y283" s="7"/>
      <c r="Z283" s="7"/>
    </row>
    <row r="284" spans="1:26" ht="12.75" customHeight="1" x14ac:dyDescent="0.2">
      <c r="A284" s="95"/>
      <c r="B284" s="95"/>
      <c r="C284" s="40" t="s">
        <v>36</v>
      </c>
      <c r="D284" s="41">
        <v>15</v>
      </c>
      <c r="E284" s="42">
        <v>9463.56</v>
      </c>
      <c r="F284" s="42">
        <v>1034.98</v>
      </c>
      <c r="G284" s="42">
        <v>123.95</v>
      </c>
      <c r="H284" s="42">
        <v>6459.63</v>
      </c>
      <c r="I284" s="42">
        <v>229.85</v>
      </c>
      <c r="J284" s="42">
        <v>1423.51</v>
      </c>
      <c r="K284" s="43">
        <v>17311.97</v>
      </c>
      <c r="L284" s="32">
        <v>18735.48</v>
      </c>
      <c r="M284" s="33"/>
      <c r="N284" s="30">
        <v>17311.97</v>
      </c>
      <c r="O284" s="30">
        <v>10852.34</v>
      </c>
      <c r="P284" s="30"/>
      <c r="Q284" s="30">
        <f>(N284+O284*0.18+J284)+(IF((P284-O284*0.18)&gt;0,(P284-O284*0.18),0))</f>
        <v>20688.9012</v>
      </c>
      <c r="R284" s="7"/>
      <c r="S284" s="7"/>
      <c r="T284" s="7"/>
      <c r="U284" s="7"/>
      <c r="V284" s="7"/>
      <c r="W284" s="7"/>
      <c r="X284" s="7"/>
      <c r="Y284" s="7"/>
      <c r="Z284" s="7"/>
    </row>
    <row r="285" spans="1:26" ht="9" customHeight="1" x14ac:dyDescent="0.2">
      <c r="A285" s="95"/>
      <c r="B285" s="95"/>
      <c r="C285" s="34" t="s">
        <v>37</v>
      </c>
      <c r="D285" s="35">
        <v>16</v>
      </c>
      <c r="E285" s="36">
        <v>18324007</v>
      </c>
      <c r="F285" s="36">
        <v>2004001</v>
      </c>
      <c r="G285" s="36">
        <v>240001</v>
      </c>
      <c r="H285" s="36">
        <v>12507588</v>
      </c>
      <c r="I285" s="36">
        <v>445052</v>
      </c>
      <c r="J285" s="37">
        <v>2756300</v>
      </c>
      <c r="K285" s="36">
        <v>33520648</v>
      </c>
      <c r="L285" s="38">
        <v>36276948</v>
      </c>
      <c r="M285" s="39"/>
      <c r="N285" s="36">
        <v>33520648</v>
      </c>
      <c r="O285" s="36">
        <v>21013060</v>
      </c>
      <c r="P285" s="36">
        <v>0</v>
      </c>
      <c r="Q285" s="36">
        <f>Q284*1936.27</f>
        <v>40059298.726524003</v>
      </c>
      <c r="R285" s="7"/>
      <c r="S285" s="7"/>
      <c r="T285" s="7"/>
      <c r="U285" s="7"/>
      <c r="V285" s="7"/>
      <c r="W285" s="7"/>
      <c r="X285" s="7"/>
      <c r="Y285" s="7"/>
      <c r="Z285" s="7"/>
    </row>
    <row r="286" spans="1:26" ht="12.75" customHeight="1" x14ac:dyDescent="0.2">
      <c r="A286" s="95"/>
      <c r="B286" s="95"/>
      <c r="C286" s="40" t="s">
        <v>36</v>
      </c>
      <c r="D286" s="41">
        <v>17</v>
      </c>
      <c r="E286" s="42">
        <v>9940.76</v>
      </c>
      <c r="F286" s="42">
        <v>1090.76</v>
      </c>
      <c r="G286" s="42">
        <v>123.95</v>
      </c>
      <c r="H286" s="42">
        <v>6459.63</v>
      </c>
      <c r="I286" s="42">
        <v>229.85</v>
      </c>
      <c r="J286" s="42">
        <v>1467.93</v>
      </c>
      <c r="K286" s="43">
        <v>17844.95</v>
      </c>
      <c r="L286" s="32">
        <v>19312.88</v>
      </c>
      <c r="M286" s="33"/>
      <c r="N286" s="30">
        <v>17844.95</v>
      </c>
      <c r="O286" s="30">
        <v>11385.32</v>
      </c>
      <c r="P286" s="30"/>
      <c r="Q286" s="30">
        <f>(N286+O286*0.18+J286)+(IF((P286-O286*0.18)&gt;0,(P286-O286*0.18),0))</f>
        <v>21362.2376</v>
      </c>
      <c r="R286" s="7"/>
      <c r="S286" s="7"/>
      <c r="T286" s="7"/>
      <c r="U286" s="7"/>
      <c r="V286" s="7"/>
      <c r="W286" s="7"/>
      <c r="X286" s="7"/>
      <c r="Y286" s="7"/>
      <c r="Z286" s="7"/>
    </row>
    <row r="287" spans="1:26" ht="9" customHeight="1" x14ac:dyDescent="0.2">
      <c r="A287" s="95"/>
      <c r="B287" s="95"/>
      <c r="C287" s="34" t="s">
        <v>37</v>
      </c>
      <c r="D287" s="35">
        <v>17</v>
      </c>
      <c r="E287" s="36">
        <v>19247995</v>
      </c>
      <c r="F287" s="36">
        <v>2112006</v>
      </c>
      <c r="G287" s="36">
        <v>240001</v>
      </c>
      <c r="H287" s="36">
        <v>12507588</v>
      </c>
      <c r="I287" s="36">
        <v>445052</v>
      </c>
      <c r="J287" s="37">
        <v>2842309</v>
      </c>
      <c r="K287" s="36">
        <v>34552641</v>
      </c>
      <c r="L287" s="38">
        <v>37394950</v>
      </c>
      <c r="M287" s="39"/>
      <c r="N287" s="36">
        <v>34552641</v>
      </c>
      <c r="O287" s="36">
        <v>22045054</v>
      </c>
      <c r="P287" s="36">
        <v>0</v>
      </c>
      <c r="Q287" s="36">
        <f>Q286*1936.27</f>
        <v>41363059.797752</v>
      </c>
      <c r="R287" s="7"/>
      <c r="S287" s="7"/>
      <c r="T287" s="7"/>
      <c r="U287" s="7"/>
      <c r="V287" s="7"/>
      <c r="W287" s="7"/>
      <c r="X287" s="7"/>
      <c r="Y287" s="7"/>
      <c r="Z287" s="7"/>
    </row>
    <row r="288" spans="1:26" ht="12.75" customHeight="1" x14ac:dyDescent="0.2">
      <c r="A288" s="95"/>
      <c r="B288" s="95"/>
      <c r="C288" s="40" t="s">
        <v>36</v>
      </c>
      <c r="D288" s="41">
        <v>18</v>
      </c>
      <c r="E288" s="42">
        <v>10417.969999999999</v>
      </c>
      <c r="F288" s="42">
        <v>1146.53</v>
      </c>
      <c r="G288" s="42">
        <v>123.95</v>
      </c>
      <c r="H288" s="42">
        <v>6459.63</v>
      </c>
      <c r="I288" s="42">
        <v>229.85</v>
      </c>
      <c r="J288" s="42">
        <v>1512.34</v>
      </c>
      <c r="K288" s="43">
        <v>18377.93</v>
      </c>
      <c r="L288" s="32">
        <v>19890.27</v>
      </c>
      <c r="M288" s="33"/>
      <c r="N288" s="30">
        <v>18377.93</v>
      </c>
      <c r="O288" s="30">
        <v>11918.3</v>
      </c>
      <c r="P288" s="30"/>
      <c r="Q288" s="30">
        <f>(N288+O288*0.18+J288)+(IF((P288-O288*0.18)&gt;0,(P288-O288*0.18),0))</f>
        <v>22035.564000000002</v>
      </c>
      <c r="R288" s="7"/>
      <c r="S288" s="7"/>
      <c r="T288" s="7"/>
      <c r="U288" s="7"/>
      <c r="V288" s="7"/>
      <c r="W288" s="7"/>
      <c r="X288" s="7"/>
      <c r="Y288" s="7"/>
      <c r="Z288" s="7"/>
    </row>
    <row r="289" spans="1:26" ht="9" customHeight="1" x14ac:dyDescent="0.2">
      <c r="A289" s="95"/>
      <c r="B289" s="95"/>
      <c r="C289" s="34" t="s">
        <v>37</v>
      </c>
      <c r="D289" s="35">
        <v>19</v>
      </c>
      <c r="E289" s="36">
        <v>20172003</v>
      </c>
      <c r="F289" s="36">
        <v>2219992</v>
      </c>
      <c r="G289" s="36">
        <v>240001</v>
      </c>
      <c r="H289" s="36">
        <v>12507588</v>
      </c>
      <c r="I289" s="36">
        <v>445052</v>
      </c>
      <c r="J289" s="37">
        <v>2928299</v>
      </c>
      <c r="K289" s="36">
        <v>35584635</v>
      </c>
      <c r="L289" s="38">
        <v>38512933</v>
      </c>
      <c r="M289" s="39"/>
      <c r="N289" s="36">
        <v>35584635</v>
      </c>
      <c r="O289" s="36">
        <v>23077047</v>
      </c>
      <c r="P289" s="36">
        <v>0</v>
      </c>
      <c r="Q289" s="36">
        <f>Q288*1936.27</f>
        <v>42666801.506280005</v>
      </c>
      <c r="R289" s="7"/>
      <c r="S289" s="7"/>
      <c r="T289" s="7"/>
      <c r="U289" s="7"/>
      <c r="V289" s="7"/>
      <c r="W289" s="7"/>
      <c r="X289" s="7"/>
      <c r="Y289" s="7"/>
      <c r="Z289" s="7"/>
    </row>
    <row r="290" spans="1:26" ht="12.75" customHeight="1" x14ac:dyDescent="0.2">
      <c r="A290" s="95"/>
      <c r="B290" s="95"/>
      <c r="C290" s="40" t="s">
        <v>36</v>
      </c>
      <c r="D290" s="41">
        <v>20</v>
      </c>
      <c r="E290" s="42">
        <v>10734.04</v>
      </c>
      <c r="F290" s="42">
        <v>1177.52</v>
      </c>
      <c r="G290" s="42">
        <v>123.95</v>
      </c>
      <c r="H290" s="42">
        <v>6459.63</v>
      </c>
      <c r="I290" s="42">
        <v>229.85</v>
      </c>
      <c r="J290" s="42">
        <v>1541.26</v>
      </c>
      <c r="K290" s="43">
        <v>18724.990000000002</v>
      </c>
      <c r="L290" s="32">
        <v>20266.25</v>
      </c>
      <c r="M290" s="33"/>
      <c r="N290" s="30">
        <v>18724.990000000002</v>
      </c>
      <c r="O290" s="30">
        <v>12265.36</v>
      </c>
      <c r="P290" s="30"/>
      <c r="Q290" s="30">
        <f>(N290+O290*0.18+J290)+(IF((P290-O290*0.18)&gt;0,(P290-O290*0.18),0))</f>
        <v>22474.014800000001</v>
      </c>
      <c r="R290" s="7"/>
      <c r="S290" s="7"/>
      <c r="T290" s="7"/>
      <c r="U290" s="7"/>
      <c r="V290" s="7"/>
      <c r="W290" s="7"/>
      <c r="X290" s="7"/>
      <c r="Y290" s="7"/>
      <c r="Z290" s="7"/>
    </row>
    <row r="291" spans="1:26" ht="9" customHeight="1" x14ac:dyDescent="0.2">
      <c r="A291" s="95"/>
      <c r="B291" s="95"/>
      <c r="C291" s="34" t="s">
        <v>37</v>
      </c>
      <c r="D291" s="35">
        <v>21</v>
      </c>
      <c r="E291" s="36">
        <v>20784000</v>
      </c>
      <c r="F291" s="36">
        <v>2279997</v>
      </c>
      <c r="G291" s="36">
        <v>240001</v>
      </c>
      <c r="H291" s="36">
        <v>12507588</v>
      </c>
      <c r="I291" s="36">
        <v>445052</v>
      </c>
      <c r="J291" s="37">
        <v>2984296</v>
      </c>
      <c r="K291" s="36">
        <v>36256636</v>
      </c>
      <c r="L291" s="38">
        <v>39240932</v>
      </c>
      <c r="M291" s="39"/>
      <c r="N291" s="36">
        <v>36256636</v>
      </c>
      <c r="O291" s="36">
        <v>23749049</v>
      </c>
      <c r="P291" s="36">
        <v>0</v>
      </c>
      <c r="Q291" s="36">
        <f>Q290*1936.27</f>
        <v>43515760.636795998</v>
      </c>
      <c r="R291" s="7"/>
      <c r="S291" s="7"/>
      <c r="T291" s="7"/>
      <c r="U291" s="7"/>
      <c r="V291" s="7"/>
      <c r="W291" s="7"/>
      <c r="X291" s="7"/>
      <c r="Y291" s="7"/>
      <c r="Z291" s="7"/>
    </row>
    <row r="292" spans="1:26" ht="12.75" customHeight="1" x14ac:dyDescent="0.2">
      <c r="A292" s="95"/>
      <c r="B292" s="95"/>
      <c r="C292" s="40" t="s">
        <v>36</v>
      </c>
      <c r="D292" s="41">
        <v>22</v>
      </c>
      <c r="E292" s="42">
        <v>11037.72</v>
      </c>
      <c r="F292" s="42">
        <v>1214.71</v>
      </c>
      <c r="G292" s="42">
        <v>123.95</v>
      </c>
      <c r="H292" s="42">
        <v>6459.63</v>
      </c>
      <c r="I292" s="42">
        <v>229.85</v>
      </c>
      <c r="J292" s="42">
        <v>1569.67</v>
      </c>
      <c r="K292" s="43">
        <v>19065.86</v>
      </c>
      <c r="L292" s="32">
        <v>20635.53</v>
      </c>
      <c r="M292" s="33"/>
      <c r="N292" s="30">
        <v>19065.86</v>
      </c>
      <c r="O292" s="30">
        <v>12606.23</v>
      </c>
      <c r="P292" s="30"/>
      <c r="Q292" s="30">
        <f>(N292+O292*0.18+J292)+(IF((P292-O292*0.18)&gt;0,(P292-O292*0.18),0))</f>
        <v>22904.651400000002</v>
      </c>
      <c r="R292" s="7"/>
      <c r="S292" s="7"/>
      <c r="T292" s="7"/>
      <c r="U292" s="7"/>
      <c r="V292" s="7"/>
      <c r="W292" s="7"/>
      <c r="X292" s="7"/>
      <c r="Y292" s="7"/>
      <c r="Z292" s="7"/>
    </row>
    <row r="293" spans="1:26" ht="9" customHeight="1" x14ac:dyDescent="0.2">
      <c r="A293" s="95"/>
      <c r="B293" s="95"/>
      <c r="C293" s="34" t="s">
        <v>37</v>
      </c>
      <c r="D293" s="35">
        <v>23</v>
      </c>
      <c r="E293" s="36">
        <v>21372006</v>
      </c>
      <c r="F293" s="36">
        <v>2352007</v>
      </c>
      <c r="G293" s="36">
        <v>240001</v>
      </c>
      <c r="H293" s="36">
        <v>12507588</v>
      </c>
      <c r="I293" s="36">
        <v>445052</v>
      </c>
      <c r="J293" s="37">
        <v>3039305</v>
      </c>
      <c r="K293" s="36">
        <v>36916653</v>
      </c>
      <c r="L293" s="38">
        <v>39955958</v>
      </c>
      <c r="M293" s="39"/>
      <c r="N293" s="36">
        <v>36916653</v>
      </c>
      <c r="O293" s="36">
        <v>24409065</v>
      </c>
      <c r="P293" s="36">
        <v>0</v>
      </c>
      <c r="Q293" s="36">
        <f>Q292*1936.27</f>
        <v>44349589.366278008</v>
      </c>
      <c r="R293" s="7"/>
      <c r="S293" s="7"/>
      <c r="T293" s="7"/>
      <c r="U293" s="7"/>
      <c r="V293" s="7"/>
      <c r="W293" s="7"/>
      <c r="X293" s="7"/>
      <c r="Y293" s="7"/>
      <c r="Z293" s="7"/>
    </row>
    <row r="294" spans="1:26" ht="12.75" customHeight="1" x14ac:dyDescent="0.2">
      <c r="A294" s="95"/>
      <c r="B294" s="95"/>
      <c r="C294" s="40" t="s">
        <v>36</v>
      </c>
      <c r="D294" s="41">
        <v>24</v>
      </c>
      <c r="E294" s="42">
        <v>11347.59</v>
      </c>
      <c r="F294" s="42">
        <v>1245.69</v>
      </c>
      <c r="G294" s="42">
        <v>123.95</v>
      </c>
      <c r="H294" s="42">
        <v>6459.63</v>
      </c>
      <c r="I294" s="42">
        <v>229.85</v>
      </c>
      <c r="J294" s="42">
        <v>1598.07</v>
      </c>
      <c r="K294" s="43">
        <v>19406.71</v>
      </c>
      <c r="L294" s="32">
        <v>21004.78</v>
      </c>
      <c r="M294" s="33"/>
      <c r="N294" s="30">
        <v>19406.71</v>
      </c>
      <c r="O294" s="30">
        <v>12947.08</v>
      </c>
      <c r="P294" s="30"/>
      <c r="Q294" s="30">
        <f>(N294+O294*0.18+J294)+(IF((P294-O294*0.18)&gt;0,(P294-O294*0.18),0))</f>
        <v>23335.254399999998</v>
      </c>
      <c r="R294" s="7"/>
      <c r="S294" s="7"/>
      <c r="T294" s="7"/>
      <c r="U294" s="7"/>
      <c r="V294" s="7"/>
      <c r="W294" s="7"/>
      <c r="X294" s="7"/>
      <c r="Y294" s="7"/>
      <c r="Z294" s="7"/>
    </row>
    <row r="295" spans="1:26" ht="9" customHeight="1" x14ac:dyDescent="0.2">
      <c r="A295" s="95"/>
      <c r="B295" s="95"/>
      <c r="C295" s="34" t="s">
        <v>37</v>
      </c>
      <c r="D295" s="35">
        <v>25</v>
      </c>
      <c r="E295" s="36">
        <v>21971998</v>
      </c>
      <c r="F295" s="36">
        <v>2411992</v>
      </c>
      <c r="G295" s="36">
        <v>240001</v>
      </c>
      <c r="H295" s="36">
        <v>12507588</v>
      </c>
      <c r="I295" s="36">
        <v>445052</v>
      </c>
      <c r="J295" s="37">
        <v>3094295</v>
      </c>
      <c r="K295" s="36">
        <v>37576630</v>
      </c>
      <c r="L295" s="38">
        <v>40670925</v>
      </c>
      <c r="M295" s="39"/>
      <c r="N295" s="36">
        <v>37576630</v>
      </c>
      <c r="O295" s="36">
        <v>25069043</v>
      </c>
      <c r="P295" s="36">
        <v>0</v>
      </c>
      <c r="Q295" s="36">
        <f>Q294*1936.27</f>
        <v>45183353.037087999</v>
      </c>
      <c r="R295" s="7"/>
      <c r="S295" s="7"/>
      <c r="T295" s="7"/>
      <c r="U295" s="7"/>
      <c r="V295" s="7"/>
      <c r="W295" s="7"/>
      <c r="X295" s="7"/>
      <c r="Y295" s="7"/>
      <c r="Z295" s="7"/>
    </row>
    <row r="296" spans="1:26" ht="12.75" customHeight="1" x14ac:dyDescent="0.2">
      <c r="A296" s="95"/>
      <c r="B296" s="95"/>
      <c r="C296" s="40" t="s">
        <v>36</v>
      </c>
      <c r="D296" s="41">
        <v>26</v>
      </c>
      <c r="E296" s="42">
        <v>11731.83</v>
      </c>
      <c r="F296" s="42">
        <v>1289.08</v>
      </c>
      <c r="G296" s="42">
        <v>123.95</v>
      </c>
      <c r="H296" s="42">
        <v>6459.63</v>
      </c>
      <c r="I296" s="42">
        <v>229.85</v>
      </c>
      <c r="J296" s="42">
        <v>1633.71</v>
      </c>
      <c r="K296" s="43">
        <v>19834.34</v>
      </c>
      <c r="L296" s="32">
        <v>21468.05</v>
      </c>
      <c r="M296" s="33"/>
      <c r="N296" s="30">
        <v>19834.34</v>
      </c>
      <c r="O296" s="30">
        <v>13374.71</v>
      </c>
      <c r="P296" s="30"/>
      <c r="Q296" s="30">
        <f>(N296+O296*0.18+J296)+(IF((P296-O296*0.18)&gt;0,(P296-O296*0.18),0))</f>
        <v>23875.497799999997</v>
      </c>
      <c r="R296" s="7"/>
      <c r="S296" s="7"/>
      <c r="T296" s="7"/>
      <c r="U296" s="7"/>
      <c r="V296" s="7"/>
      <c r="W296" s="7"/>
      <c r="X296" s="7"/>
      <c r="Y296" s="7"/>
      <c r="Z296" s="7"/>
    </row>
    <row r="297" spans="1:26" ht="9" customHeight="1" x14ac:dyDescent="0.2">
      <c r="A297" s="95"/>
      <c r="B297" s="95"/>
      <c r="C297" s="34" t="s">
        <v>37</v>
      </c>
      <c r="D297" s="35">
        <v>27</v>
      </c>
      <c r="E297" s="36">
        <v>22715990</v>
      </c>
      <c r="F297" s="36">
        <v>2496007</v>
      </c>
      <c r="G297" s="36">
        <v>240001</v>
      </c>
      <c r="H297" s="36">
        <v>12507588</v>
      </c>
      <c r="I297" s="36">
        <v>445052</v>
      </c>
      <c r="J297" s="37">
        <v>3163304</v>
      </c>
      <c r="K297" s="36">
        <v>38404638</v>
      </c>
      <c r="L297" s="38">
        <v>41567941</v>
      </c>
      <c r="M297" s="39"/>
      <c r="N297" s="36">
        <v>38404638</v>
      </c>
      <c r="O297" s="36">
        <v>25897050</v>
      </c>
      <c r="P297" s="36">
        <v>0</v>
      </c>
      <c r="Q297" s="36">
        <f>Q296*1936.27</f>
        <v>46229410.125205994</v>
      </c>
      <c r="R297" s="7"/>
      <c r="S297" s="7"/>
      <c r="T297" s="7"/>
      <c r="U297" s="7"/>
      <c r="V297" s="7"/>
      <c r="W297" s="7"/>
      <c r="X297" s="7"/>
      <c r="Y297" s="7"/>
      <c r="Z297" s="7"/>
    </row>
    <row r="298" spans="1:26" ht="12.75" customHeight="1" x14ac:dyDescent="0.2">
      <c r="A298" s="95"/>
      <c r="B298" s="95"/>
      <c r="C298" s="40" t="s">
        <v>36</v>
      </c>
      <c r="D298" s="41">
        <v>28</v>
      </c>
      <c r="E298" s="42">
        <v>11979.73</v>
      </c>
      <c r="F298" s="42">
        <v>1313.87</v>
      </c>
      <c r="G298" s="42">
        <v>123.95</v>
      </c>
      <c r="H298" s="42">
        <v>6459.63</v>
      </c>
      <c r="I298" s="42">
        <v>229.85</v>
      </c>
      <c r="J298" s="42">
        <v>1656.43</v>
      </c>
      <c r="K298" s="43">
        <v>20107.03</v>
      </c>
      <c r="L298" s="32">
        <v>21763.46</v>
      </c>
      <c r="M298" s="33"/>
      <c r="N298" s="30">
        <v>20107.03</v>
      </c>
      <c r="O298" s="30">
        <v>13647.4</v>
      </c>
      <c r="P298" s="30"/>
      <c r="Q298" s="30">
        <f>(N298+O298*0.18+J298)+(IF((P298-O298*0.18)&gt;0,(P298-O298*0.18),0))</f>
        <v>24219.991999999998</v>
      </c>
      <c r="R298" s="7"/>
      <c r="S298" s="7"/>
      <c r="T298" s="7"/>
      <c r="U298" s="7"/>
      <c r="V298" s="7"/>
      <c r="W298" s="7"/>
      <c r="X298" s="7"/>
      <c r="Y298" s="7"/>
      <c r="Z298" s="7"/>
    </row>
    <row r="299" spans="1:26" ht="9" customHeight="1" x14ac:dyDescent="0.2">
      <c r="A299" s="95"/>
      <c r="B299" s="95"/>
      <c r="C299" s="34" t="s">
        <v>37</v>
      </c>
      <c r="D299" s="35">
        <v>29</v>
      </c>
      <c r="E299" s="36">
        <v>23195992</v>
      </c>
      <c r="F299" s="36">
        <v>2544007</v>
      </c>
      <c r="G299" s="36">
        <v>240001</v>
      </c>
      <c r="H299" s="36">
        <v>12507588</v>
      </c>
      <c r="I299" s="36">
        <v>445052</v>
      </c>
      <c r="J299" s="37">
        <v>3207296</v>
      </c>
      <c r="K299" s="36">
        <v>38932639</v>
      </c>
      <c r="L299" s="38">
        <v>42139935</v>
      </c>
      <c r="M299" s="39"/>
      <c r="N299" s="36">
        <v>38932639</v>
      </c>
      <c r="O299" s="36">
        <v>26425051</v>
      </c>
      <c r="P299" s="36">
        <v>0</v>
      </c>
      <c r="Q299" s="36">
        <f>Q298*1936.27</f>
        <v>46896443.909839995</v>
      </c>
      <c r="R299" s="7"/>
      <c r="S299" s="7"/>
      <c r="T299" s="7"/>
      <c r="U299" s="7"/>
      <c r="V299" s="7"/>
      <c r="W299" s="7"/>
      <c r="X299" s="7"/>
      <c r="Y299" s="7"/>
      <c r="Z299" s="7"/>
    </row>
    <row r="300" spans="1:26" ht="12.75" customHeight="1" x14ac:dyDescent="0.2">
      <c r="A300" s="95"/>
      <c r="B300" s="95"/>
      <c r="C300" s="40" t="s">
        <v>36</v>
      </c>
      <c r="D300" s="41">
        <v>30</v>
      </c>
      <c r="E300" s="42">
        <v>12295.81</v>
      </c>
      <c r="F300" s="42">
        <v>1351.05</v>
      </c>
      <c r="G300" s="42">
        <v>123.95</v>
      </c>
      <c r="H300" s="42">
        <v>6459.63</v>
      </c>
      <c r="I300" s="42">
        <v>229.85</v>
      </c>
      <c r="J300" s="42">
        <v>1685.87</v>
      </c>
      <c r="K300" s="43">
        <v>20460.29</v>
      </c>
      <c r="L300" s="32">
        <v>22146.16</v>
      </c>
      <c r="M300" s="33"/>
      <c r="N300" s="30">
        <v>20460.29</v>
      </c>
      <c r="O300" s="30">
        <v>14000.66</v>
      </c>
      <c r="P300" s="30"/>
      <c r="Q300" s="30">
        <f>(N300+O300*0.18+J300)+(IF((P300-O300*0.18)&gt;0,(P300-O300*0.18),0))</f>
        <v>24666.2788</v>
      </c>
      <c r="R300" s="7"/>
      <c r="S300" s="7"/>
      <c r="T300" s="7"/>
      <c r="U300" s="7"/>
      <c r="V300" s="7"/>
      <c r="W300" s="7"/>
      <c r="X300" s="7"/>
      <c r="Y300" s="7"/>
      <c r="Z300" s="7"/>
    </row>
    <row r="301" spans="1:26" ht="9" customHeight="1" x14ac:dyDescent="0.2">
      <c r="A301" s="95"/>
      <c r="B301" s="95"/>
      <c r="C301" s="34" t="s">
        <v>37</v>
      </c>
      <c r="D301" s="35">
        <v>31</v>
      </c>
      <c r="E301" s="36">
        <v>23808008</v>
      </c>
      <c r="F301" s="36">
        <v>2615998</v>
      </c>
      <c r="G301" s="36">
        <v>240001</v>
      </c>
      <c r="H301" s="36">
        <v>12507588</v>
      </c>
      <c r="I301" s="36">
        <v>445052</v>
      </c>
      <c r="J301" s="37">
        <v>3264300</v>
      </c>
      <c r="K301" s="36">
        <v>39616646</v>
      </c>
      <c r="L301" s="38">
        <v>42880945</v>
      </c>
      <c r="M301" s="39"/>
      <c r="N301" s="36">
        <v>39616646</v>
      </c>
      <c r="O301" s="36">
        <v>27109058</v>
      </c>
      <c r="P301" s="36">
        <v>0</v>
      </c>
      <c r="Q301" s="36">
        <f>Q300*1936.27</f>
        <v>47760575.652075998</v>
      </c>
      <c r="R301" s="7"/>
      <c r="S301" s="7"/>
      <c r="T301" s="7"/>
      <c r="U301" s="7"/>
      <c r="V301" s="7"/>
      <c r="W301" s="7"/>
      <c r="X301" s="7"/>
      <c r="Y301" s="7"/>
      <c r="Z301" s="7"/>
    </row>
    <row r="302" spans="1:26" ht="12.75" customHeight="1" x14ac:dyDescent="0.2">
      <c r="A302" s="95"/>
      <c r="B302" s="95"/>
      <c r="C302" s="40" t="s">
        <v>36</v>
      </c>
      <c r="D302" s="41">
        <v>32</v>
      </c>
      <c r="E302" s="42">
        <v>12605.68</v>
      </c>
      <c r="F302" s="42">
        <v>1382.04</v>
      </c>
      <c r="G302" s="42">
        <v>123.95</v>
      </c>
      <c r="H302" s="42">
        <v>6459.63</v>
      </c>
      <c r="I302" s="42">
        <v>229.85</v>
      </c>
      <c r="J302" s="42">
        <v>1714.28</v>
      </c>
      <c r="K302" s="43">
        <v>20801.150000000001</v>
      </c>
      <c r="L302" s="32">
        <v>22515.43</v>
      </c>
      <c r="M302" s="33"/>
      <c r="N302" s="30">
        <v>20801.150000000001</v>
      </c>
      <c r="O302" s="30">
        <v>14341.52</v>
      </c>
      <c r="P302" s="30"/>
      <c r="Q302" s="30">
        <f>(N302+O302*0.18+J302)+(IF((P302-O302*0.18)&gt;0,(P302-O302*0.18),0))</f>
        <v>25096.903600000001</v>
      </c>
      <c r="R302" s="7"/>
      <c r="S302" s="7"/>
      <c r="T302" s="7"/>
      <c r="U302" s="7"/>
      <c r="V302" s="7"/>
      <c r="W302" s="7"/>
      <c r="X302" s="7"/>
      <c r="Y302" s="7"/>
      <c r="Z302" s="7"/>
    </row>
    <row r="303" spans="1:26" ht="9" customHeight="1" x14ac:dyDescent="0.2">
      <c r="A303" s="95"/>
      <c r="B303" s="95"/>
      <c r="C303" s="34" t="s">
        <v>37</v>
      </c>
      <c r="D303" s="35">
        <v>33</v>
      </c>
      <c r="E303" s="36">
        <v>24408000</v>
      </c>
      <c r="F303" s="36">
        <v>2676003</v>
      </c>
      <c r="G303" s="36">
        <v>240001</v>
      </c>
      <c r="H303" s="36">
        <v>12507588</v>
      </c>
      <c r="I303" s="36">
        <v>445052</v>
      </c>
      <c r="J303" s="37">
        <v>3319309</v>
      </c>
      <c r="K303" s="36">
        <v>40276643</v>
      </c>
      <c r="L303" s="38">
        <v>43595952</v>
      </c>
      <c r="M303" s="39"/>
      <c r="N303" s="36">
        <v>40276643</v>
      </c>
      <c r="O303" s="36">
        <v>27769055</v>
      </c>
      <c r="P303" s="36">
        <v>0</v>
      </c>
      <c r="Q303" s="36">
        <f>Q302*1936.27</f>
        <v>48594381.533572003</v>
      </c>
      <c r="R303" s="7"/>
      <c r="S303" s="7"/>
      <c r="T303" s="7"/>
      <c r="U303" s="7"/>
      <c r="V303" s="7"/>
      <c r="W303" s="7"/>
      <c r="X303" s="7"/>
      <c r="Y303" s="7"/>
      <c r="Z303" s="7"/>
    </row>
    <row r="304" spans="1:26" ht="12.75" customHeight="1" x14ac:dyDescent="0.2">
      <c r="A304" s="95"/>
      <c r="B304" s="95"/>
      <c r="C304" s="40" t="s">
        <v>36</v>
      </c>
      <c r="D304" s="41">
        <v>34</v>
      </c>
      <c r="E304" s="42">
        <v>12909.36</v>
      </c>
      <c r="F304" s="42">
        <v>1419.22</v>
      </c>
      <c r="G304" s="42">
        <v>123.95</v>
      </c>
      <c r="H304" s="42">
        <v>6459.63</v>
      </c>
      <c r="I304" s="42">
        <v>229.85</v>
      </c>
      <c r="J304" s="42">
        <v>1742.68</v>
      </c>
      <c r="K304" s="43">
        <v>21142.01</v>
      </c>
      <c r="L304" s="32">
        <v>22884.69</v>
      </c>
      <c r="M304" s="33"/>
      <c r="N304" s="30">
        <v>21142.01</v>
      </c>
      <c r="O304" s="30">
        <v>14682.38</v>
      </c>
      <c r="P304" s="30"/>
      <c r="Q304" s="30">
        <f>(N304+O304*0.18+J304)+(IF((P304-O304*0.18)&gt;0,(P304-O304*0.18),0))</f>
        <v>25527.518399999997</v>
      </c>
      <c r="R304" s="7"/>
      <c r="S304" s="7"/>
      <c r="T304" s="7"/>
      <c r="U304" s="7"/>
      <c r="V304" s="7"/>
      <c r="W304" s="7"/>
      <c r="X304" s="7"/>
      <c r="Y304" s="7"/>
      <c r="Z304" s="7"/>
    </row>
    <row r="305" spans="1:26" ht="9" customHeight="1" x14ac:dyDescent="0.2">
      <c r="A305" s="95"/>
      <c r="B305" s="95"/>
      <c r="C305" s="34" t="s">
        <v>37</v>
      </c>
      <c r="D305" s="35">
        <v>35</v>
      </c>
      <c r="E305" s="36">
        <v>24996006</v>
      </c>
      <c r="F305" s="36">
        <v>2747993</v>
      </c>
      <c r="G305" s="36">
        <v>240001</v>
      </c>
      <c r="H305" s="36">
        <v>12507588</v>
      </c>
      <c r="I305" s="36">
        <v>445052</v>
      </c>
      <c r="J305" s="37">
        <v>3374299</v>
      </c>
      <c r="K305" s="36">
        <v>40936640</v>
      </c>
      <c r="L305" s="38">
        <v>44310939</v>
      </c>
      <c r="M305" s="39"/>
      <c r="N305" s="36">
        <v>40936640</v>
      </c>
      <c r="O305" s="36">
        <v>28429052</v>
      </c>
      <c r="P305" s="36">
        <v>0</v>
      </c>
      <c r="Q305" s="36">
        <f>Q304*1936.27</f>
        <v>49428168.052367993</v>
      </c>
      <c r="R305" s="7"/>
      <c r="S305" s="7"/>
      <c r="T305" s="7"/>
      <c r="U305" s="7"/>
      <c r="V305" s="7"/>
      <c r="W305" s="7"/>
      <c r="X305" s="7"/>
      <c r="Y305" s="7"/>
      <c r="Z305" s="7"/>
    </row>
    <row r="306" spans="1:26" ht="12.75" customHeight="1" x14ac:dyDescent="0.2">
      <c r="A306" s="95"/>
      <c r="B306" s="95"/>
      <c r="C306" s="40" t="s">
        <v>36</v>
      </c>
      <c r="D306" s="41">
        <v>36</v>
      </c>
      <c r="E306" s="42">
        <v>13225.43</v>
      </c>
      <c r="F306" s="42">
        <v>1450.21</v>
      </c>
      <c r="G306" s="42">
        <v>123.95</v>
      </c>
      <c r="H306" s="42">
        <v>6459.63</v>
      </c>
      <c r="I306" s="42">
        <v>229.85</v>
      </c>
      <c r="J306" s="42">
        <v>1771.6</v>
      </c>
      <c r="K306" s="43">
        <v>21489.07</v>
      </c>
      <c r="L306" s="32">
        <v>23260.67</v>
      </c>
      <c r="M306" s="33"/>
      <c r="N306" s="30">
        <v>21489.07</v>
      </c>
      <c r="O306" s="30">
        <v>15029.44</v>
      </c>
      <c r="P306" s="30"/>
      <c r="Q306" s="30">
        <f>(N306+O306*0.18+J306)+(IF((P306-O306*0.18)&gt;0,(P306-O306*0.18),0))</f>
        <v>25965.9692</v>
      </c>
      <c r="R306" s="7"/>
      <c r="S306" s="7"/>
      <c r="T306" s="7"/>
      <c r="U306" s="7"/>
      <c r="V306" s="7"/>
      <c r="W306" s="7"/>
      <c r="X306" s="7"/>
      <c r="Y306" s="7"/>
      <c r="Z306" s="7"/>
    </row>
    <row r="307" spans="1:26" ht="9" customHeight="1" x14ac:dyDescent="0.2">
      <c r="A307" s="95"/>
      <c r="B307" s="95"/>
      <c r="C307" s="34" t="s">
        <v>37</v>
      </c>
      <c r="D307" s="35">
        <v>37</v>
      </c>
      <c r="E307" s="36">
        <v>25608003</v>
      </c>
      <c r="F307" s="36">
        <v>2807998</v>
      </c>
      <c r="G307" s="36">
        <v>240001</v>
      </c>
      <c r="H307" s="36">
        <v>12507588</v>
      </c>
      <c r="I307" s="36">
        <v>445052</v>
      </c>
      <c r="J307" s="37">
        <v>3430296</v>
      </c>
      <c r="K307" s="36">
        <v>41608642</v>
      </c>
      <c r="L307" s="38">
        <v>45038938</v>
      </c>
      <c r="M307" s="39"/>
      <c r="N307" s="36">
        <v>41608642</v>
      </c>
      <c r="O307" s="36">
        <v>29101054</v>
      </c>
      <c r="P307" s="36">
        <v>0</v>
      </c>
      <c r="Q307" s="36">
        <f>Q306*1936.27</f>
        <v>50277127.182884</v>
      </c>
      <c r="R307" s="7"/>
      <c r="S307" s="7"/>
      <c r="T307" s="7"/>
      <c r="U307" s="7"/>
      <c r="V307" s="7"/>
      <c r="W307" s="7"/>
      <c r="X307" s="7"/>
      <c r="Y307" s="7"/>
      <c r="Z307" s="7"/>
    </row>
    <row r="308" spans="1:26" ht="12.75" customHeight="1" x14ac:dyDescent="0.2">
      <c r="A308" s="95"/>
      <c r="B308" s="95"/>
      <c r="C308" s="40" t="s">
        <v>36</v>
      </c>
      <c r="D308" s="41">
        <v>38</v>
      </c>
      <c r="E308" s="42">
        <v>13535.3</v>
      </c>
      <c r="F308" s="42">
        <v>1487.4</v>
      </c>
      <c r="G308" s="42">
        <v>123.95</v>
      </c>
      <c r="H308" s="42">
        <v>6459.63</v>
      </c>
      <c r="I308" s="42">
        <v>229.85</v>
      </c>
      <c r="J308" s="42">
        <v>1800.52</v>
      </c>
      <c r="K308" s="43">
        <v>21836.13</v>
      </c>
      <c r="L308" s="32">
        <v>23636.65</v>
      </c>
      <c r="M308" s="33"/>
      <c r="N308" s="30">
        <v>21836.13</v>
      </c>
      <c r="O308" s="30">
        <v>15376.5</v>
      </c>
      <c r="P308" s="30"/>
      <c r="Q308" s="30">
        <f>(N308+O308*0.18+J308)+(IF((P308-O308*0.18)&gt;0,(P308-O308*0.18),0))</f>
        <v>26404.420000000002</v>
      </c>
      <c r="R308" s="7"/>
      <c r="S308" s="7"/>
      <c r="T308" s="7"/>
      <c r="U308" s="7"/>
      <c r="V308" s="7"/>
      <c r="W308" s="7"/>
      <c r="X308" s="7"/>
      <c r="Y308" s="7"/>
      <c r="Z308" s="7"/>
    </row>
    <row r="309" spans="1:26" ht="9" customHeight="1" x14ac:dyDescent="0.2">
      <c r="A309" s="95"/>
      <c r="B309" s="95"/>
      <c r="C309" s="34" t="s">
        <v>37</v>
      </c>
      <c r="D309" s="35">
        <v>39</v>
      </c>
      <c r="E309" s="36">
        <v>26207995</v>
      </c>
      <c r="F309" s="36">
        <v>2880008</v>
      </c>
      <c r="G309" s="36">
        <v>240001</v>
      </c>
      <c r="H309" s="36">
        <v>12507588</v>
      </c>
      <c r="I309" s="36">
        <v>445052</v>
      </c>
      <c r="J309" s="37">
        <v>3486293</v>
      </c>
      <c r="K309" s="36">
        <v>42280643</v>
      </c>
      <c r="L309" s="38">
        <v>45766936</v>
      </c>
      <c r="M309" s="39"/>
      <c r="N309" s="36">
        <v>42280643</v>
      </c>
      <c r="O309" s="36">
        <v>29773056</v>
      </c>
      <c r="P309" s="36">
        <v>0</v>
      </c>
      <c r="Q309" s="36">
        <f>Q308*1936.27</f>
        <v>51126086.3134</v>
      </c>
      <c r="R309" s="7"/>
      <c r="S309" s="7"/>
      <c r="T309" s="7"/>
      <c r="U309" s="7"/>
      <c r="V309" s="7"/>
      <c r="W309" s="7"/>
      <c r="X309" s="7"/>
      <c r="Y309" s="7"/>
      <c r="Z309" s="7"/>
    </row>
    <row r="310" spans="1:26" ht="12.75" customHeight="1" x14ac:dyDescent="0.2">
      <c r="A310" s="95"/>
      <c r="B310" s="95"/>
      <c r="C310" s="40" t="s">
        <v>36</v>
      </c>
      <c r="D310" s="41">
        <v>40</v>
      </c>
      <c r="E310" s="42">
        <v>13851.37</v>
      </c>
      <c r="F310" s="42">
        <v>1518.38</v>
      </c>
      <c r="G310" s="42">
        <v>123.95</v>
      </c>
      <c r="H310" s="42">
        <v>6459.63</v>
      </c>
      <c r="I310" s="42">
        <v>229.85</v>
      </c>
      <c r="J310" s="42">
        <v>1829.44</v>
      </c>
      <c r="K310" s="43">
        <v>22183.18</v>
      </c>
      <c r="L310" s="32">
        <v>24012.62</v>
      </c>
      <c r="M310" s="33"/>
      <c r="N310" s="30">
        <v>22183.18</v>
      </c>
      <c r="O310" s="30">
        <v>15723.55</v>
      </c>
      <c r="P310" s="30"/>
      <c r="Q310" s="30">
        <f>(N310+O310*0.18+J310)+(IF((P310-O310*0.18)&gt;0,(P310-O310*0.18),0))</f>
        <v>26842.859</v>
      </c>
      <c r="R310" s="7"/>
      <c r="S310" s="7"/>
      <c r="T310" s="7"/>
      <c r="U310" s="7"/>
      <c r="V310" s="7"/>
      <c r="W310" s="7"/>
      <c r="X310" s="7"/>
      <c r="Y310" s="7"/>
      <c r="Z310" s="7"/>
    </row>
    <row r="311" spans="1:26" ht="12.75" customHeight="1" x14ac:dyDescent="0.2">
      <c r="A311" s="95"/>
      <c r="B311" s="95"/>
      <c r="C311" s="115"/>
      <c r="D311" s="45"/>
      <c r="E311" s="116"/>
      <c r="F311" s="116"/>
      <c r="G311" s="116"/>
      <c r="H311" s="116"/>
      <c r="I311" s="116"/>
      <c r="J311" s="117"/>
      <c r="K311" s="118"/>
      <c r="L311" s="119"/>
      <c r="M311" s="33"/>
      <c r="N311" s="116"/>
      <c r="O311" s="116"/>
      <c r="P311" s="116"/>
      <c r="Q311" s="116"/>
      <c r="R311" s="7"/>
      <c r="S311" s="7"/>
      <c r="T311" s="7"/>
      <c r="U311" s="7"/>
      <c r="V311" s="7"/>
      <c r="W311" s="7"/>
      <c r="X311" s="7"/>
      <c r="Y311" s="7"/>
      <c r="Z311" s="7"/>
    </row>
    <row r="312" spans="1:26" ht="12.75" customHeight="1" x14ac:dyDescent="0.2">
      <c r="A312" s="95"/>
      <c r="B312" s="95"/>
      <c r="C312" s="115"/>
      <c r="D312" s="45"/>
      <c r="E312" s="116"/>
      <c r="F312" s="116"/>
      <c r="G312" s="116"/>
      <c r="H312" s="116"/>
      <c r="I312" s="116"/>
      <c r="J312" s="117"/>
      <c r="K312" s="118"/>
      <c r="L312" s="119"/>
      <c r="M312" s="33"/>
      <c r="N312" s="116"/>
      <c r="O312" s="116"/>
      <c r="P312" s="116"/>
      <c r="Q312" s="116"/>
      <c r="R312" s="7"/>
      <c r="S312" s="7"/>
      <c r="T312" s="7"/>
      <c r="U312" s="7"/>
      <c r="V312" s="7"/>
      <c r="W312" s="7"/>
      <c r="X312" s="7"/>
      <c r="Y312" s="7"/>
      <c r="Z312" s="7"/>
    </row>
    <row r="313" spans="1:26" ht="9" customHeight="1" x14ac:dyDescent="0.2">
      <c r="A313" s="110"/>
      <c r="B313" s="110"/>
      <c r="C313" s="47"/>
      <c r="D313" s="48"/>
      <c r="E313" s="46">
        <v>26819992</v>
      </c>
      <c r="F313" s="46">
        <v>2939994</v>
      </c>
      <c r="G313" s="46">
        <v>240001</v>
      </c>
      <c r="H313" s="46">
        <v>12507588</v>
      </c>
      <c r="I313" s="46">
        <v>445052</v>
      </c>
      <c r="J313" s="49">
        <v>3542290</v>
      </c>
      <c r="K313" s="46">
        <v>42952626</v>
      </c>
      <c r="L313" s="38">
        <v>46494916</v>
      </c>
      <c r="M313" s="39"/>
      <c r="N313" s="36">
        <v>42952626</v>
      </c>
      <c r="O313" s="36">
        <v>30445038</v>
      </c>
      <c r="P313" s="36">
        <v>0</v>
      </c>
      <c r="Q313" s="36">
        <f>Q310*1936.27</f>
        <v>51975022.595930003</v>
      </c>
      <c r="R313" s="7"/>
      <c r="S313" s="7"/>
      <c r="T313" s="7"/>
      <c r="U313" s="7"/>
      <c r="V313" s="7"/>
      <c r="W313" s="7"/>
      <c r="X313" s="7"/>
      <c r="Y313" s="7"/>
      <c r="Z313" s="7"/>
    </row>
    <row r="314" spans="1:26" ht="12.75" customHeight="1" x14ac:dyDescent="0.2">
      <c r="A314" s="98">
        <v>34700</v>
      </c>
      <c r="B314" s="98">
        <v>35033</v>
      </c>
      <c r="C314" s="28" t="s">
        <v>36</v>
      </c>
      <c r="D314" s="29">
        <v>0</v>
      </c>
      <c r="E314" s="30">
        <v>7115.36</v>
      </c>
      <c r="F314" s="30">
        <v>731.3</v>
      </c>
      <c r="G314" s="30">
        <v>123.95</v>
      </c>
      <c r="H314" s="30">
        <v>6459.63</v>
      </c>
      <c r="I314" s="30">
        <v>0</v>
      </c>
      <c r="J314" s="30">
        <v>1202.52</v>
      </c>
      <c r="K314" s="31">
        <v>14430.24</v>
      </c>
      <c r="L314" s="120">
        <v>15632.76</v>
      </c>
      <c r="M314" s="33"/>
      <c r="N314" s="30">
        <v>14430.24</v>
      </c>
      <c r="O314" s="30">
        <v>7970.61</v>
      </c>
      <c r="P314" s="30"/>
      <c r="Q314" s="30">
        <f>(N314+O314*0.18+J314)+(IF((P314-O314*0.18)&gt;0,(P314-O314*0.18),0))</f>
        <v>17067.469799999999</v>
      </c>
      <c r="R314" s="7"/>
      <c r="S314" s="7"/>
      <c r="T314" s="7"/>
      <c r="U314" s="7"/>
      <c r="V314" s="7"/>
      <c r="W314" s="7"/>
      <c r="X314" s="7"/>
      <c r="Y314" s="7"/>
      <c r="Z314" s="7"/>
    </row>
    <row r="315" spans="1:26" ht="9" customHeight="1" x14ac:dyDescent="0.2">
      <c r="A315" s="95"/>
      <c r="B315" s="95"/>
      <c r="C315" s="34" t="s">
        <v>37</v>
      </c>
      <c r="D315" s="35">
        <v>2</v>
      </c>
      <c r="E315" s="36">
        <v>13777258</v>
      </c>
      <c r="F315" s="36">
        <v>1415994</v>
      </c>
      <c r="G315" s="36">
        <v>240001</v>
      </c>
      <c r="H315" s="36">
        <v>12507588</v>
      </c>
      <c r="I315" s="36">
        <v>0</v>
      </c>
      <c r="J315" s="37">
        <v>2328403</v>
      </c>
      <c r="K315" s="36">
        <v>27940841</v>
      </c>
      <c r="L315" s="121">
        <v>30269244</v>
      </c>
      <c r="M315" s="39"/>
      <c r="N315" s="36">
        <v>27940841</v>
      </c>
      <c r="O315" s="36">
        <v>15433253</v>
      </c>
      <c r="P315" s="36">
        <v>0</v>
      </c>
      <c r="Q315" s="36">
        <f>Q314*1936.27</f>
        <v>33047229.749645997</v>
      </c>
      <c r="R315" s="7"/>
      <c r="S315" s="7"/>
      <c r="T315" s="7"/>
      <c r="U315" s="7"/>
      <c r="V315" s="7"/>
      <c r="W315" s="7"/>
      <c r="X315" s="7"/>
      <c r="Y315" s="7"/>
      <c r="Z315" s="7"/>
    </row>
    <row r="316" spans="1:26" ht="12.75" customHeight="1" x14ac:dyDescent="0.2">
      <c r="A316" s="155">
        <v>34700</v>
      </c>
      <c r="B316" s="155">
        <v>35033</v>
      </c>
      <c r="C316" s="40" t="s">
        <v>36</v>
      </c>
      <c r="D316" s="41">
        <v>3</v>
      </c>
      <c r="E316" s="42">
        <v>7480.92</v>
      </c>
      <c r="F316" s="42">
        <v>768.49</v>
      </c>
      <c r="G316" s="42">
        <v>123.95</v>
      </c>
      <c r="H316" s="42">
        <v>6459.63</v>
      </c>
      <c r="I316" s="42">
        <v>0</v>
      </c>
      <c r="J316" s="42">
        <v>1236.08</v>
      </c>
      <c r="K316" s="43">
        <v>14832.99</v>
      </c>
      <c r="L316" s="122">
        <v>16069.07</v>
      </c>
      <c r="M316" s="33"/>
      <c r="N316" s="30">
        <v>14832.99</v>
      </c>
      <c r="O316" s="30">
        <v>8373.36</v>
      </c>
      <c r="P316" s="30"/>
      <c r="Q316" s="30">
        <f>(N316+O316*0.18+J316)+(IF((P316-O316*0.18)&gt;0,(P316-O316*0.18),0))</f>
        <v>17576.274799999999</v>
      </c>
      <c r="R316" s="7"/>
      <c r="S316" s="7"/>
      <c r="T316" s="7"/>
      <c r="U316" s="7"/>
      <c r="V316" s="7"/>
      <c r="W316" s="7"/>
      <c r="X316" s="7"/>
      <c r="Y316" s="7"/>
      <c r="Z316" s="7"/>
    </row>
    <row r="317" spans="1:26" ht="9" customHeight="1" x14ac:dyDescent="0.2">
      <c r="A317" s="95"/>
      <c r="B317" s="95"/>
      <c r="C317" s="34" t="s">
        <v>37</v>
      </c>
      <c r="D317" s="35">
        <v>4</v>
      </c>
      <c r="E317" s="36">
        <v>14485081</v>
      </c>
      <c r="F317" s="36">
        <v>1488004</v>
      </c>
      <c r="G317" s="36">
        <v>240001</v>
      </c>
      <c r="H317" s="36">
        <v>12507588</v>
      </c>
      <c r="I317" s="36">
        <v>0</v>
      </c>
      <c r="J317" s="37">
        <v>2393385</v>
      </c>
      <c r="K317" s="36">
        <v>28720674</v>
      </c>
      <c r="L317" s="121">
        <v>31114058</v>
      </c>
      <c r="M317" s="39"/>
      <c r="N317" s="36">
        <v>28720674</v>
      </c>
      <c r="O317" s="36">
        <v>16213086</v>
      </c>
      <c r="P317" s="36">
        <v>0</v>
      </c>
      <c r="Q317" s="36">
        <f>Q316*1936.27</f>
        <v>34032413.606996</v>
      </c>
      <c r="R317" s="7"/>
      <c r="S317" s="7"/>
      <c r="T317" s="7"/>
      <c r="U317" s="7"/>
      <c r="V317" s="7"/>
      <c r="W317" s="7"/>
      <c r="X317" s="7"/>
      <c r="Y317" s="7"/>
      <c r="Z317" s="7"/>
    </row>
    <row r="318" spans="1:26" ht="12.75" customHeight="1" x14ac:dyDescent="0.2">
      <c r="A318" s="95"/>
      <c r="B318" s="95"/>
      <c r="C318" s="40" t="s">
        <v>36</v>
      </c>
      <c r="D318" s="41">
        <v>5</v>
      </c>
      <c r="E318" s="42">
        <v>7840.37</v>
      </c>
      <c r="F318" s="42">
        <v>811.87</v>
      </c>
      <c r="G318" s="42">
        <v>123.95</v>
      </c>
      <c r="H318" s="42">
        <v>6459.63</v>
      </c>
      <c r="I318" s="42">
        <v>0</v>
      </c>
      <c r="J318" s="42">
        <v>1269.6500000000001</v>
      </c>
      <c r="K318" s="43">
        <v>15235.82</v>
      </c>
      <c r="L318" s="122">
        <v>16505.47</v>
      </c>
      <c r="M318" s="33"/>
      <c r="N318" s="30">
        <v>15235.82</v>
      </c>
      <c r="O318" s="30">
        <v>8776.19</v>
      </c>
      <c r="P318" s="30"/>
      <c r="Q318" s="30">
        <f>(N318+O318*0.18+J318)+(IF((P318-O318*0.18)&gt;0,(P318-O318*0.18),0))</f>
        <v>18085.1842</v>
      </c>
      <c r="R318" s="7"/>
      <c r="S318" s="7"/>
      <c r="T318" s="7"/>
      <c r="U318" s="7"/>
      <c r="V318" s="7"/>
      <c r="W318" s="7"/>
      <c r="X318" s="7"/>
      <c r="Y318" s="7"/>
      <c r="Z318" s="7"/>
    </row>
    <row r="319" spans="1:26" ht="9" customHeight="1" x14ac:dyDescent="0.2">
      <c r="A319" s="95"/>
      <c r="B319" s="95"/>
      <c r="C319" s="34" t="s">
        <v>37</v>
      </c>
      <c r="D319" s="35">
        <v>6</v>
      </c>
      <c r="E319" s="36">
        <v>15181073</v>
      </c>
      <c r="F319" s="36">
        <v>1572000</v>
      </c>
      <c r="G319" s="36">
        <v>240001</v>
      </c>
      <c r="H319" s="36">
        <v>12507588</v>
      </c>
      <c r="I319" s="36">
        <v>0</v>
      </c>
      <c r="J319" s="37">
        <v>2458385</v>
      </c>
      <c r="K319" s="36">
        <v>29500661</v>
      </c>
      <c r="L319" s="121">
        <v>31959046</v>
      </c>
      <c r="M319" s="39"/>
      <c r="N319" s="36">
        <v>29500661</v>
      </c>
      <c r="O319" s="36">
        <v>16993073</v>
      </c>
      <c r="P319" s="36">
        <v>0</v>
      </c>
      <c r="Q319" s="36">
        <f>Q318*1936.27</f>
        <v>35017799.610933997</v>
      </c>
      <c r="R319" s="7"/>
      <c r="S319" s="7"/>
      <c r="T319" s="7"/>
      <c r="U319" s="7"/>
      <c r="V319" s="7"/>
      <c r="W319" s="7"/>
      <c r="X319" s="7"/>
      <c r="Y319" s="7"/>
      <c r="Z319" s="7"/>
    </row>
    <row r="320" spans="1:26" ht="12.75" customHeight="1" x14ac:dyDescent="0.2">
      <c r="A320" s="95"/>
      <c r="B320" s="95"/>
      <c r="C320" s="40" t="s">
        <v>36</v>
      </c>
      <c r="D320" s="41">
        <v>7</v>
      </c>
      <c r="E320" s="42">
        <v>8193.6299999999992</v>
      </c>
      <c r="F320" s="42">
        <v>849.06</v>
      </c>
      <c r="G320" s="42">
        <v>123.95</v>
      </c>
      <c r="H320" s="42">
        <v>6459.63</v>
      </c>
      <c r="I320" s="42">
        <v>0</v>
      </c>
      <c r="J320" s="42">
        <v>1302.19</v>
      </c>
      <c r="K320" s="43">
        <v>15626.27</v>
      </c>
      <c r="L320" s="122">
        <v>16928.46</v>
      </c>
      <c r="M320" s="33"/>
      <c r="N320" s="30">
        <v>15626.27</v>
      </c>
      <c r="O320" s="30">
        <v>9166.64</v>
      </c>
      <c r="P320" s="30"/>
      <c r="Q320" s="30">
        <f>(N320+O320*0.18+J320)+(IF((P320-O320*0.18)&gt;0,(P320-O320*0.18),0))</f>
        <v>18578.4552</v>
      </c>
      <c r="R320" s="7"/>
      <c r="S320" s="7"/>
      <c r="T320" s="7"/>
      <c r="U320" s="7"/>
      <c r="V320" s="7"/>
      <c r="W320" s="7"/>
      <c r="X320" s="7"/>
      <c r="Y320" s="7"/>
      <c r="Z320" s="7"/>
    </row>
    <row r="321" spans="1:26" ht="9" customHeight="1" x14ac:dyDescent="0.2">
      <c r="A321" s="95"/>
      <c r="B321" s="95"/>
      <c r="C321" s="34" t="s">
        <v>37</v>
      </c>
      <c r="D321" s="35">
        <v>8</v>
      </c>
      <c r="E321" s="36">
        <v>15865080</v>
      </c>
      <c r="F321" s="36">
        <v>1644009</v>
      </c>
      <c r="G321" s="36">
        <v>240001</v>
      </c>
      <c r="H321" s="36">
        <v>12507588</v>
      </c>
      <c r="I321" s="36">
        <v>0</v>
      </c>
      <c r="J321" s="37">
        <v>2521391</v>
      </c>
      <c r="K321" s="36">
        <v>30256678</v>
      </c>
      <c r="L321" s="121">
        <v>32778069</v>
      </c>
      <c r="M321" s="39"/>
      <c r="N321" s="36">
        <v>30256678</v>
      </c>
      <c r="O321" s="36">
        <v>17749090</v>
      </c>
      <c r="P321" s="36">
        <v>0</v>
      </c>
      <c r="Q321" s="36">
        <f>Q320*1936.27</f>
        <v>35972905.450103998</v>
      </c>
      <c r="R321" s="7"/>
      <c r="S321" s="7"/>
      <c r="T321" s="7"/>
      <c r="U321" s="7"/>
      <c r="V321" s="7"/>
      <c r="W321" s="7"/>
      <c r="X321" s="7"/>
      <c r="Y321" s="7"/>
      <c r="Z321" s="7"/>
    </row>
    <row r="322" spans="1:26" ht="12.75" customHeight="1" x14ac:dyDescent="0.2">
      <c r="A322" s="95"/>
      <c r="B322" s="95"/>
      <c r="C322" s="40" t="s">
        <v>36</v>
      </c>
      <c r="D322" s="41">
        <v>9</v>
      </c>
      <c r="E322" s="42">
        <v>8648.2999999999993</v>
      </c>
      <c r="F322" s="42">
        <v>892.44</v>
      </c>
      <c r="G322" s="42">
        <v>123.95</v>
      </c>
      <c r="H322" s="42">
        <v>6459.63</v>
      </c>
      <c r="I322" s="42">
        <v>0</v>
      </c>
      <c r="J322" s="42">
        <v>1343.69</v>
      </c>
      <c r="K322" s="43">
        <v>16124.32</v>
      </c>
      <c r="L322" s="122">
        <v>17468.009999999998</v>
      </c>
      <c r="M322" s="33"/>
      <c r="N322" s="30">
        <v>16124.32</v>
      </c>
      <c r="O322" s="30">
        <v>9664.69</v>
      </c>
      <c r="P322" s="30"/>
      <c r="Q322" s="30">
        <f>(N322+O322*0.18+J322)+(IF((P322-O322*0.18)&gt;0,(P322-O322*0.18),0))</f>
        <v>19207.654199999997</v>
      </c>
      <c r="R322" s="7"/>
      <c r="S322" s="7"/>
      <c r="T322" s="7"/>
      <c r="U322" s="7"/>
      <c r="V322" s="7"/>
      <c r="W322" s="7"/>
      <c r="X322" s="7"/>
      <c r="Y322" s="7"/>
      <c r="Z322" s="7"/>
    </row>
    <row r="323" spans="1:26" ht="9" customHeight="1" x14ac:dyDescent="0.2">
      <c r="A323" s="95"/>
      <c r="B323" s="95"/>
      <c r="C323" s="34" t="s">
        <v>37</v>
      </c>
      <c r="D323" s="35">
        <v>10</v>
      </c>
      <c r="E323" s="36">
        <v>16745444</v>
      </c>
      <c r="F323" s="36">
        <v>1728005</v>
      </c>
      <c r="G323" s="36">
        <v>240001</v>
      </c>
      <c r="H323" s="36">
        <v>12507588</v>
      </c>
      <c r="I323" s="36">
        <v>0</v>
      </c>
      <c r="J323" s="37">
        <v>2601747</v>
      </c>
      <c r="K323" s="36">
        <v>31221037</v>
      </c>
      <c r="L323" s="121">
        <v>33822784</v>
      </c>
      <c r="M323" s="39"/>
      <c r="N323" s="36">
        <v>31221037</v>
      </c>
      <c r="O323" s="36">
        <v>18713449</v>
      </c>
      <c r="P323" s="36">
        <v>0</v>
      </c>
      <c r="Q323" s="36">
        <f>Q322*1936.27</f>
        <v>37191204.597833991</v>
      </c>
      <c r="R323" s="7"/>
      <c r="S323" s="7"/>
      <c r="T323" s="7"/>
      <c r="U323" s="7"/>
      <c r="V323" s="7"/>
      <c r="W323" s="7"/>
      <c r="X323" s="7"/>
      <c r="Y323" s="7"/>
      <c r="Z323" s="7"/>
    </row>
    <row r="324" spans="1:26" ht="12.75" customHeight="1" x14ac:dyDescent="0.2">
      <c r="A324" s="95"/>
      <c r="B324" s="95"/>
      <c r="C324" s="40" t="s">
        <v>36</v>
      </c>
      <c r="D324" s="41">
        <v>11</v>
      </c>
      <c r="E324" s="42">
        <v>9020.14</v>
      </c>
      <c r="F324" s="42">
        <v>935.82</v>
      </c>
      <c r="G324" s="42">
        <v>123.95</v>
      </c>
      <c r="H324" s="42">
        <v>6459.63</v>
      </c>
      <c r="I324" s="42">
        <v>0</v>
      </c>
      <c r="J324" s="42">
        <v>1378.3</v>
      </c>
      <c r="K324" s="43">
        <v>16539.54</v>
      </c>
      <c r="L324" s="122">
        <v>17917.84</v>
      </c>
      <c r="M324" s="33"/>
      <c r="N324" s="30">
        <v>16539.54</v>
      </c>
      <c r="O324" s="30">
        <v>10079.91</v>
      </c>
      <c r="P324" s="30"/>
      <c r="Q324" s="30">
        <f>(N324+O324*0.18+J324)+(IF((P324-O324*0.18)&gt;0,(P324-O324*0.18),0))</f>
        <v>19732.2238</v>
      </c>
      <c r="R324" s="7"/>
      <c r="S324" s="7"/>
      <c r="T324" s="7"/>
      <c r="U324" s="7"/>
      <c r="V324" s="7"/>
      <c r="W324" s="7"/>
      <c r="X324" s="7"/>
      <c r="Y324" s="7"/>
      <c r="Z324" s="7"/>
    </row>
    <row r="325" spans="1:26" ht="9" customHeight="1" x14ac:dyDescent="0.2">
      <c r="A325" s="95"/>
      <c r="B325" s="95"/>
      <c r="C325" s="34" t="s">
        <v>37</v>
      </c>
      <c r="D325" s="35">
        <v>12</v>
      </c>
      <c r="E325" s="36">
        <v>17465426</v>
      </c>
      <c r="F325" s="36">
        <v>1812000</v>
      </c>
      <c r="G325" s="36">
        <v>240001</v>
      </c>
      <c r="H325" s="36">
        <v>12507588</v>
      </c>
      <c r="I325" s="36">
        <v>0</v>
      </c>
      <c r="J325" s="37">
        <v>2668761</v>
      </c>
      <c r="K325" s="36">
        <v>32025015</v>
      </c>
      <c r="L325" s="121">
        <v>34693776</v>
      </c>
      <c r="M325" s="39"/>
      <c r="N325" s="36">
        <v>32025015</v>
      </c>
      <c r="O325" s="36">
        <v>19517427</v>
      </c>
      <c r="P325" s="36">
        <v>0</v>
      </c>
      <c r="Q325" s="36">
        <f>Q324*1936.27</f>
        <v>38206912.977225997</v>
      </c>
      <c r="R325" s="7"/>
      <c r="S325" s="7"/>
      <c r="T325" s="7"/>
      <c r="U325" s="7"/>
      <c r="V325" s="7"/>
      <c r="W325" s="7"/>
      <c r="X325" s="7"/>
      <c r="Y325" s="7"/>
      <c r="Z325" s="7"/>
    </row>
    <row r="326" spans="1:26" ht="12.75" customHeight="1" x14ac:dyDescent="0.2">
      <c r="A326" s="95"/>
      <c r="B326" s="95"/>
      <c r="C326" s="40" t="s">
        <v>36</v>
      </c>
      <c r="D326" s="41">
        <v>13</v>
      </c>
      <c r="E326" s="42">
        <v>9472.56</v>
      </c>
      <c r="F326" s="42">
        <v>985.4</v>
      </c>
      <c r="G326" s="42">
        <v>123.95</v>
      </c>
      <c r="H326" s="42">
        <v>6459.63</v>
      </c>
      <c r="I326" s="42">
        <v>0</v>
      </c>
      <c r="J326" s="42">
        <v>1420.13</v>
      </c>
      <c r="K326" s="43">
        <v>17041.54</v>
      </c>
      <c r="L326" s="122">
        <v>18461.669999999998</v>
      </c>
      <c r="M326" s="33"/>
      <c r="N326" s="30">
        <v>17041.54</v>
      </c>
      <c r="O326" s="30">
        <v>10581.91</v>
      </c>
      <c r="P326" s="30"/>
      <c r="Q326" s="30">
        <f>(N326+O326*0.18+J326)+(IF((P326-O326*0.18)&gt;0,(P326-O326*0.18),0))</f>
        <v>20366.413800000002</v>
      </c>
      <c r="R326" s="7"/>
      <c r="S326" s="7"/>
      <c r="T326" s="7"/>
      <c r="U326" s="7"/>
      <c r="V326" s="7"/>
      <c r="W326" s="7"/>
      <c r="X326" s="7"/>
      <c r="Y326" s="7"/>
      <c r="Z326" s="7"/>
    </row>
    <row r="327" spans="1:26" ht="9" customHeight="1" x14ac:dyDescent="0.2">
      <c r="A327" s="95"/>
      <c r="B327" s="95"/>
      <c r="C327" s="34" t="s">
        <v>37</v>
      </c>
      <c r="D327" s="35">
        <v>14</v>
      </c>
      <c r="E327" s="36">
        <v>18341434</v>
      </c>
      <c r="F327" s="36">
        <v>1908000</v>
      </c>
      <c r="G327" s="36">
        <v>240001</v>
      </c>
      <c r="H327" s="36">
        <v>12507588</v>
      </c>
      <c r="I327" s="36">
        <v>0</v>
      </c>
      <c r="J327" s="37">
        <v>2749755</v>
      </c>
      <c r="K327" s="36">
        <v>32997023</v>
      </c>
      <c r="L327" s="121">
        <v>35746778</v>
      </c>
      <c r="M327" s="39"/>
      <c r="N327" s="36">
        <v>32997023</v>
      </c>
      <c r="O327" s="36">
        <v>20489435</v>
      </c>
      <c r="P327" s="36">
        <v>0</v>
      </c>
      <c r="Q327" s="36">
        <f>Q326*1936.27</f>
        <v>39434876.048526004</v>
      </c>
      <c r="R327" s="7"/>
      <c r="S327" s="7"/>
      <c r="T327" s="7"/>
      <c r="U327" s="7"/>
      <c r="V327" s="7"/>
      <c r="W327" s="7"/>
      <c r="X327" s="7"/>
      <c r="Y327" s="7"/>
      <c r="Z327" s="7"/>
    </row>
    <row r="328" spans="1:26" ht="12.75" customHeight="1" x14ac:dyDescent="0.2">
      <c r="A328" s="95"/>
      <c r="B328" s="95"/>
      <c r="C328" s="40" t="s">
        <v>36</v>
      </c>
      <c r="D328" s="41">
        <v>15</v>
      </c>
      <c r="E328" s="42">
        <v>10001.65</v>
      </c>
      <c r="F328" s="42">
        <v>1034.98</v>
      </c>
      <c r="G328" s="42">
        <v>123.95</v>
      </c>
      <c r="H328" s="42">
        <v>6459.63</v>
      </c>
      <c r="I328" s="42">
        <v>0</v>
      </c>
      <c r="J328" s="42">
        <v>1468.35</v>
      </c>
      <c r="K328" s="43">
        <v>17620.21</v>
      </c>
      <c r="L328" s="122">
        <v>19088.560000000001</v>
      </c>
      <c r="M328" s="33"/>
      <c r="N328" s="30">
        <v>17620.21</v>
      </c>
      <c r="O328" s="30">
        <v>11160.58</v>
      </c>
      <c r="P328" s="30"/>
      <c r="Q328" s="30">
        <f>(N328+O328*0.18+J328)+(IF((P328-O328*0.18)&gt;0,(P328-O328*0.18),0))</f>
        <v>21097.464399999997</v>
      </c>
      <c r="R328" s="7"/>
      <c r="S328" s="7"/>
      <c r="T328" s="7"/>
      <c r="U328" s="7"/>
      <c r="V328" s="7"/>
      <c r="W328" s="7"/>
      <c r="X328" s="7"/>
      <c r="Y328" s="7"/>
      <c r="Z328" s="7"/>
    </row>
    <row r="329" spans="1:26" ht="9" customHeight="1" x14ac:dyDescent="0.2">
      <c r="A329" s="95"/>
      <c r="B329" s="95"/>
      <c r="C329" s="34" t="s">
        <v>37</v>
      </c>
      <c r="D329" s="35">
        <v>16</v>
      </c>
      <c r="E329" s="36">
        <v>19365895</v>
      </c>
      <c r="F329" s="36">
        <v>2004001</v>
      </c>
      <c r="G329" s="36">
        <v>240001</v>
      </c>
      <c r="H329" s="36">
        <v>12507588</v>
      </c>
      <c r="I329" s="36">
        <v>0</v>
      </c>
      <c r="J329" s="37">
        <v>2843122</v>
      </c>
      <c r="K329" s="36">
        <v>34117484</v>
      </c>
      <c r="L329" s="121">
        <v>36960606</v>
      </c>
      <c r="M329" s="39"/>
      <c r="N329" s="36">
        <v>34117484</v>
      </c>
      <c r="O329" s="36">
        <v>21609896</v>
      </c>
      <c r="P329" s="36">
        <v>0</v>
      </c>
      <c r="Q329" s="36">
        <f>Q328*1936.27</f>
        <v>40850387.393787995</v>
      </c>
      <c r="R329" s="7"/>
      <c r="S329" s="7"/>
      <c r="T329" s="7"/>
      <c r="U329" s="7"/>
      <c r="V329" s="7"/>
      <c r="W329" s="7"/>
      <c r="X329" s="7"/>
      <c r="Y329" s="7"/>
      <c r="Z329" s="7"/>
    </row>
    <row r="330" spans="1:26" ht="12.75" customHeight="1" x14ac:dyDescent="0.2">
      <c r="A330" s="95"/>
      <c r="B330" s="95"/>
      <c r="C330" s="40" t="s">
        <v>36</v>
      </c>
      <c r="D330" s="41">
        <v>17</v>
      </c>
      <c r="E330" s="42">
        <v>10478.85</v>
      </c>
      <c r="F330" s="42">
        <v>1090.76</v>
      </c>
      <c r="G330" s="42">
        <v>123.95</v>
      </c>
      <c r="H330" s="42">
        <v>6459.63</v>
      </c>
      <c r="I330" s="42">
        <v>0</v>
      </c>
      <c r="J330" s="42">
        <v>1512.77</v>
      </c>
      <c r="K330" s="43">
        <v>18153.189999999999</v>
      </c>
      <c r="L330" s="122">
        <v>19665.96</v>
      </c>
      <c r="M330" s="33"/>
      <c r="N330" s="30">
        <v>18153.189999999999</v>
      </c>
      <c r="O330" s="30">
        <v>11693.56</v>
      </c>
      <c r="P330" s="30"/>
      <c r="Q330" s="30">
        <f>(N330+O330*0.18+J330)+(IF((P330-O330*0.18)&gt;0,(P330-O330*0.18),0))</f>
        <v>21770.800800000001</v>
      </c>
      <c r="R330" s="7"/>
      <c r="S330" s="7"/>
      <c r="T330" s="7"/>
      <c r="U330" s="7"/>
      <c r="V330" s="7"/>
      <c r="W330" s="7"/>
      <c r="X330" s="7"/>
      <c r="Y330" s="7"/>
      <c r="Z330" s="7"/>
    </row>
    <row r="331" spans="1:26" ht="9" customHeight="1" x14ac:dyDescent="0.2">
      <c r="A331" s="95"/>
      <c r="B331" s="95"/>
      <c r="C331" s="34" t="s">
        <v>37</v>
      </c>
      <c r="D331" s="35">
        <v>17</v>
      </c>
      <c r="E331" s="36">
        <v>20289883</v>
      </c>
      <c r="F331" s="36">
        <v>2112006</v>
      </c>
      <c r="G331" s="36">
        <v>240001</v>
      </c>
      <c r="H331" s="36">
        <v>12507588</v>
      </c>
      <c r="I331" s="36">
        <v>0</v>
      </c>
      <c r="J331" s="37">
        <v>2929131</v>
      </c>
      <c r="K331" s="36">
        <v>35149477</v>
      </c>
      <c r="L331" s="121">
        <v>38078608</v>
      </c>
      <c r="M331" s="39"/>
      <c r="N331" s="36">
        <v>35149477</v>
      </c>
      <c r="O331" s="36">
        <v>22641889</v>
      </c>
      <c r="P331" s="36">
        <v>0</v>
      </c>
      <c r="Q331" s="36">
        <f>Q330*1936.27</f>
        <v>42154148.465016</v>
      </c>
      <c r="R331" s="7"/>
      <c r="S331" s="7"/>
      <c r="T331" s="7"/>
      <c r="U331" s="7"/>
      <c r="V331" s="7"/>
      <c r="W331" s="7"/>
      <c r="X331" s="7"/>
      <c r="Y331" s="7"/>
      <c r="Z331" s="7"/>
    </row>
    <row r="332" spans="1:26" ht="12.75" customHeight="1" x14ac:dyDescent="0.2">
      <c r="A332" s="95"/>
      <c r="B332" s="95"/>
      <c r="C332" s="40" t="s">
        <v>36</v>
      </c>
      <c r="D332" s="41">
        <v>18</v>
      </c>
      <c r="E332" s="42">
        <v>10956.06</v>
      </c>
      <c r="F332" s="42">
        <v>1146.53</v>
      </c>
      <c r="G332" s="42">
        <v>123.95</v>
      </c>
      <c r="H332" s="42">
        <v>6459.63</v>
      </c>
      <c r="I332" s="42">
        <v>0</v>
      </c>
      <c r="J332" s="42">
        <v>1557.18</v>
      </c>
      <c r="K332" s="43">
        <v>18686.169999999998</v>
      </c>
      <c r="L332" s="122">
        <v>20243.349999999999</v>
      </c>
      <c r="M332" s="33"/>
      <c r="N332" s="30">
        <v>18686.169999999998</v>
      </c>
      <c r="O332" s="30">
        <v>12226.54</v>
      </c>
      <c r="P332" s="30"/>
      <c r="Q332" s="30">
        <f>(N332+O332*0.18+J332)+(IF((P332-O332*0.18)&gt;0,(P332-O332*0.18),0))</f>
        <v>22444.127199999999</v>
      </c>
      <c r="R332" s="7"/>
      <c r="S332" s="7"/>
      <c r="T332" s="7"/>
      <c r="U332" s="7"/>
      <c r="V332" s="7"/>
      <c r="W332" s="7"/>
      <c r="X332" s="7"/>
      <c r="Y332" s="7"/>
      <c r="Z332" s="7"/>
    </row>
    <row r="333" spans="1:26" ht="9" customHeight="1" x14ac:dyDescent="0.2">
      <c r="A333" s="95"/>
      <c r="B333" s="95"/>
      <c r="C333" s="34" t="s">
        <v>37</v>
      </c>
      <c r="D333" s="35">
        <v>19</v>
      </c>
      <c r="E333" s="36">
        <v>21213890</v>
      </c>
      <c r="F333" s="36">
        <v>2219992</v>
      </c>
      <c r="G333" s="36">
        <v>240001</v>
      </c>
      <c r="H333" s="36">
        <v>12507588</v>
      </c>
      <c r="I333" s="36">
        <v>0</v>
      </c>
      <c r="J333" s="37">
        <v>3015121</v>
      </c>
      <c r="K333" s="36">
        <v>36181470</v>
      </c>
      <c r="L333" s="121">
        <v>39196591</v>
      </c>
      <c r="M333" s="39"/>
      <c r="N333" s="36">
        <v>36181470</v>
      </c>
      <c r="O333" s="36">
        <v>23673883</v>
      </c>
      <c r="P333" s="36">
        <v>0</v>
      </c>
      <c r="Q333" s="36">
        <f>Q332*1936.27</f>
        <v>43457890.173543997</v>
      </c>
      <c r="R333" s="7"/>
      <c r="S333" s="7"/>
      <c r="T333" s="7"/>
      <c r="U333" s="7"/>
      <c r="V333" s="7"/>
      <c r="W333" s="7"/>
      <c r="X333" s="7"/>
      <c r="Y333" s="7"/>
      <c r="Z333" s="7"/>
    </row>
    <row r="334" spans="1:26" ht="12.75" customHeight="1" x14ac:dyDescent="0.2">
      <c r="A334" s="95"/>
      <c r="B334" s="95"/>
      <c r="C334" s="40" t="s">
        <v>36</v>
      </c>
      <c r="D334" s="41">
        <v>20</v>
      </c>
      <c r="E334" s="42">
        <v>11272.13</v>
      </c>
      <c r="F334" s="42">
        <v>1177.52</v>
      </c>
      <c r="G334" s="42">
        <v>123.95</v>
      </c>
      <c r="H334" s="42">
        <v>6459.63</v>
      </c>
      <c r="I334" s="42">
        <v>0</v>
      </c>
      <c r="J334" s="42">
        <v>1586.1</v>
      </c>
      <c r="K334" s="43">
        <v>19033.23</v>
      </c>
      <c r="L334" s="122">
        <v>20619.330000000002</v>
      </c>
      <c r="M334" s="33"/>
      <c r="N334" s="30">
        <v>19033.23</v>
      </c>
      <c r="O334" s="30">
        <v>12573.6</v>
      </c>
      <c r="P334" s="30"/>
      <c r="Q334" s="30">
        <f>(N334+O334*0.18+J334)+(IF((P334-O334*0.18)&gt;0,(P334-O334*0.18),0))</f>
        <v>22882.577999999998</v>
      </c>
      <c r="R334" s="7"/>
      <c r="S334" s="7"/>
      <c r="T334" s="7"/>
      <c r="U334" s="7"/>
      <c r="V334" s="7"/>
      <c r="W334" s="7"/>
      <c r="X334" s="7"/>
      <c r="Y334" s="7"/>
      <c r="Z334" s="7"/>
    </row>
    <row r="335" spans="1:26" ht="9" customHeight="1" x14ac:dyDescent="0.2">
      <c r="A335" s="95"/>
      <c r="B335" s="95"/>
      <c r="C335" s="34" t="s">
        <v>37</v>
      </c>
      <c r="D335" s="35">
        <v>21</v>
      </c>
      <c r="E335" s="36">
        <v>21825887</v>
      </c>
      <c r="F335" s="36">
        <v>2279997</v>
      </c>
      <c r="G335" s="36">
        <v>240001</v>
      </c>
      <c r="H335" s="36">
        <v>12507588</v>
      </c>
      <c r="I335" s="36">
        <v>0</v>
      </c>
      <c r="J335" s="37">
        <v>3071118</v>
      </c>
      <c r="K335" s="36">
        <v>36853472</v>
      </c>
      <c r="L335" s="121">
        <v>39924590</v>
      </c>
      <c r="M335" s="39"/>
      <c r="N335" s="36">
        <v>36853472</v>
      </c>
      <c r="O335" s="36">
        <v>24345884</v>
      </c>
      <c r="P335" s="36">
        <v>0</v>
      </c>
      <c r="Q335" s="36">
        <f>Q334*1936.27</f>
        <v>44306849.304059997</v>
      </c>
      <c r="R335" s="7"/>
      <c r="S335" s="7"/>
      <c r="T335" s="7"/>
      <c r="U335" s="7"/>
      <c r="V335" s="7"/>
      <c r="W335" s="7"/>
      <c r="X335" s="7"/>
      <c r="Y335" s="7"/>
      <c r="Z335" s="7"/>
    </row>
    <row r="336" spans="1:26" ht="12.75" customHeight="1" x14ac:dyDescent="0.2">
      <c r="A336" s="95"/>
      <c r="B336" s="95"/>
      <c r="C336" s="40" t="s">
        <v>36</v>
      </c>
      <c r="D336" s="41">
        <v>22</v>
      </c>
      <c r="E336" s="42">
        <v>11620.32</v>
      </c>
      <c r="F336" s="42">
        <v>1214.71</v>
      </c>
      <c r="G336" s="42">
        <v>123.95</v>
      </c>
      <c r="H336" s="42">
        <v>6459.63</v>
      </c>
      <c r="I336" s="42">
        <v>0</v>
      </c>
      <c r="J336" s="42">
        <v>1618.22</v>
      </c>
      <c r="K336" s="43">
        <v>19418.61</v>
      </c>
      <c r="L336" s="122">
        <v>21036.83</v>
      </c>
      <c r="M336" s="33"/>
      <c r="N336" s="30">
        <v>19418.61</v>
      </c>
      <c r="O336" s="30">
        <v>12958.98</v>
      </c>
      <c r="P336" s="30"/>
      <c r="Q336" s="30">
        <f>(N336+O336*0.18+J336)+(IF((P336-O336*0.18)&gt;0,(P336-O336*0.18),0))</f>
        <v>23369.446400000001</v>
      </c>
      <c r="R336" s="7"/>
      <c r="S336" s="7"/>
      <c r="T336" s="7"/>
      <c r="U336" s="7"/>
      <c r="V336" s="7"/>
      <c r="W336" s="7"/>
      <c r="X336" s="7"/>
      <c r="Y336" s="7"/>
      <c r="Z336" s="7"/>
    </row>
    <row r="337" spans="1:26" ht="9" customHeight="1" x14ac:dyDescent="0.2">
      <c r="A337" s="95"/>
      <c r="B337" s="95"/>
      <c r="C337" s="34" t="s">
        <v>37</v>
      </c>
      <c r="D337" s="35">
        <v>23</v>
      </c>
      <c r="E337" s="36">
        <v>22500077</v>
      </c>
      <c r="F337" s="36">
        <v>2352007</v>
      </c>
      <c r="G337" s="36">
        <v>240001</v>
      </c>
      <c r="H337" s="36">
        <v>12507588</v>
      </c>
      <c r="I337" s="36">
        <v>0</v>
      </c>
      <c r="J337" s="37">
        <v>3133311</v>
      </c>
      <c r="K337" s="36">
        <v>37599672</v>
      </c>
      <c r="L337" s="121">
        <v>40732983</v>
      </c>
      <c r="M337" s="39"/>
      <c r="N337" s="36">
        <v>37599672</v>
      </c>
      <c r="O337" s="36">
        <v>25092084</v>
      </c>
      <c r="P337" s="36">
        <v>0</v>
      </c>
      <c r="Q337" s="36">
        <f>Q336*1936.27</f>
        <v>45249557.980928004</v>
      </c>
      <c r="R337" s="7"/>
      <c r="S337" s="7"/>
      <c r="T337" s="7"/>
      <c r="U337" s="7"/>
      <c r="V337" s="7"/>
      <c r="W337" s="7"/>
      <c r="X337" s="7"/>
      <c r="Y337" s="7"/>
      <c r="Z337" s="7"/>
    </row>
    <row r="338" spans="1:26" ht="12.75" customHeight="1" x14ac:dyDescent="0.2">
      <c r="A338" s="95"/>
      <c r="B338" s="95"/>
      <c r="C338" s="40" t="s">
        <v>36</v>
      </c>
      <c r="D338" s="41">
        <v>24</v>
      </c>
      <c r="E338" s="42">
        <v>11930.19</v>
      </c>
      <c r="F338" s="42">
        <v>1245.69</v>
      </c>
      <c r="G338" s="42">
        <v>123.95</v>
      </c>
      <c r="H338" s="42">
        <v>6459.63</v>
      </c>
      <c r="I338" s="42">
        <v>0</v>
      </c>
      <c r="J338" s="42">
        <v>1646.62</v>
      </c>
      <c r="K338" s="43">
        <v>19759.46</v>
      </c>
      <c r="L338" s="122">
        <v>21406.080000000002</v>
      </c>
      <c r="M338" s="33"/>
      <c r="N338" s="30">
        <v>19759.46</v>
      </c>
      <c r="O338" s="30">
        <v>13299.83</v>
      </c>
      <c r="P338" s="30"/>
      <c r="Q338" s="30">
        <f>(N338+O338*0.18+J338)+(IF((P338-O338*0.18)&gt;0,(P338-O338*0.18),0))</f>
        <v>23800.0494</v>
      </c>
      <c r="R338" s="7"/>
      <c r="S338" s="7"/>
      <c r="T338" s="7"/>
      <c r="U338" s="7"/>
      <c r="V338" s="7"/>
      <c r="W338" s="7"/>
      <c r="X338" s="7"/>
      <c r="Y338" s="7"/>
      <c r="Z338" s="7"/>
    </row>
    <row r="339" spans="1:26" ht="9" customHeight="1" x14ac:dyDescent="0.2">
      <c r="A339" s="95"/>
      <c r="B339" s="95"/>
      <c r="C339" s="34" t="s">
        <v>37</v>
      </c>
      <c r="D339" s="35">
        <v>25</v>
      </c>
      <c r="E339" s="36">
        <v>23100069</v>
      </c>
      <c r="F339" s="36">
        <v>2411992</v>
      </c>
      <c r="G339" s="36">
        <v>240001</v>
      </c>
      <c r="H339" s="36">
        <v>12507588</v>
      </c>
      <c r="I339" s="36">
        <v>0</v>
      </c>
      <c r="J339" s="37">
        <v>3188301</v>
      </c>
      <c r="K339" s="36">
        <v>38259650</v>
      </c>
      <c r="L339" s="121">
        <v>41447951</v>
      </c>
      <c r="M339" s="39"/>
      <c r="N339" s="36">
        <v>38259650</v>
      </c>
      <c r="O339" s="36">
        <v>25752062</v>
      </c>
      <c r="P339" s="36">
        <v>0</v>
      </c>
      <c r="Q339" s="36">
        <f>Q338*1936.27</f>
        <v>46083321.651738003</v>
      </c>
      <c r="R339" s="7"/>
      <c r="S339" s="7"/>
      <c r="T339" s="7"/>
      <c r="U339" s="7"/>
      <c r="V339" s="7"/>
      <c r="W339" s="7"/>
      <c r="X339" s="7"/>
      <c r="Y339" s="7"/>
      <c r="Z339" s="7"/>
    </row>
    <row r="340" spans="1:26" ht="12.75" customHeight="1" x14ac:dyDescent="0.2">
      <c r="A340" s="95"/>
      <c r="B340" s="95"/>
      <c r="C340" s="40" t="s">
        <v>36</v>
      </c>
      <c r="D340" s="41">
        <v>26</v>
      </c>
      <c r="E340" s="42">
        <v>12314.44</v>
      </c>
      <c r="F340" s="42">
        <v>1289.08</v>
      </c>
      <c r="G340" s="42">
        <v>123.95</v>
      </c>
      <c r="H340" s="42">
        <v>6459.63</v>
      </c>
      <c r="I340" s="42">
        <v>0</v>
      </c>
      <c r="J340" s="42">
        <v>1682.26</v>
      </c>
      <c r="K340" s="43">
        <v>20187.099999999999</v>
      </c>
      <c r="L340" s="122">
        <v>21869.360000000001</v>
      </c>
      <c r="M340" s="33"/>
      <c r="N340" s="30">
        <v>20187.099999999999</v>
      </c>
      <c r="O340" s="30">
        <v>13727.47</v>
      </c>
      <c r="P340" s="30"/>
      <c r="Q340" s="30">
        <f>(N340+O340*0.18+J340)+(IF((P340-O340*0.18)&gt;0,(P340-O340*0.18),0))</f>
        <v>24340.304599999996</v>
      </c>
      <c r="R340" s="7"/>
      <c r="S340" s="7"/>
      <c r="T340" s="7"/>
      <c r="U340" s="7"/>
      <c r="V340" s="7"/>
      <c r="W340" s="7"/>
      <c r="X340" s="7"/>
      <c r="Y340" s="7"/>
      <c r="Z340" s="7"/>
    </row>
    <row r="341" spans="1:26" ht="9" customHeight="1" x14ac:dyDescent="0.2">
      <c r="A341" s="95"/>
      <c r="B341" s="95"/>
      <c r="C341" s="34" t="s">
        <v>37</v>
      </c>
      <c r="D341" s="35">
        <v>27</v>
      </c>
      <c r="E341" s="36">
        <v>23844081</v>
      </c>
      <c r="F341" s="36">
        <v>2496007</v>
      </c>
      <c r="G341" s="36">
        <v>240001</v>
      </c>
      <c r="H341" s="36">
        <v>12507588</v>
      </c>
      <c r="I341" s="36">
        <v>0</v>
      </c>
      <c r="J341" s="37">
        <v>3257310</v>
      </c>
      <c r="K341" s="36">
        <v>39087676</v>
      </c>
      <c r="L341" s="121">
        <v>42344986</v>
      </c>
      <c r="M341" s="39"/>
      <c r="N341" s="36">
        <v>39087676</v>
      </c>
      <c r="O341" s="36">
        <v>26580088</v>
      </c>
      <c r="P341" s="36">
        <v>0</v>
      </c>
      <c r="Q341" s="36">
        <f>Q340*1936.27</f>
        <v>47129401.587841995</v>
      </c>
      <c r="R341" s="7"/>
      <c r="S341" s="7"/>
      <c r="T341" s="7"/>
      <c r="U341" s="7"/>
      <c r="V341" s="7"/>
      <c r="W341" s="7"/>
      <c r="X341" s="7"/>
      <c r="Y341" s="7"/>
      <c r="Z341" s="7"/>
    </row>
    <row r="342" spans="1:26" ht="12.75" customHeight="1" x14ac:dyDescent="0.2">
      <c r="A342" s="95"/>
      <c r="B342" s="95"/>
      <c r="C342" s="40" t="s">
        <v>36</v>
      </c>
      <c r="D342" s="41">
        <v>28</v>
      </c>
      <c r="E342" s="42">
        <v>12605.87</v>
      </c>
      <c r="F342" s="42">
        <v>1313.87</v>
      </c>
      <c r="G342" s="42">
        <v>123.95</v>
      </c>
      <c r="H342" s="42">
        <v>6459.63</v>
      </c>
      <c r="I342" s="42">
        <v>0</v>
      </c>
      <c r="J342" s="42">
        <v>1708.61</v>
      </c>
      <c r="K342" s="43">
        <v>20503.32</v>
      </c>
      <c r="L342" s="122">
        <v>22211.93</v>
      </c>
      <c r="M342" s="33"/>
      <c r="N342" s="30">
        <v>20503.32</v>
      </c>
      <c r="O342" s="30">
        <v>14043.69</v>
      </c>
      <c r="P342" s="30"/>
      <c r="Q342" s="30">
        <f>(N342+O342*0.18+J342)+(IF((P342-O342*0.18)&gt;0,(P342-O342*0.18),0))</f>
        <v>24739.7942</v>
      </c>
      <c r="R342" s="7"/>
      <c r="S342" s="7"/>
      <c r="T342" s="7"/>
      <c r="U342" s="7"/>
      <c r="V342" s="7"/>
      <c r="W342" s="7"/>
      <c r="X342" s="7"/>
      <c r="Y342" s="7"/>
      <c r="Z342" s="7"/>
    </row>
    <row r="343" spans="1:26" ht="9" customHeight="1" x14ac:dyDescent="0.2">
      <c r="A343" s="95"/>
      <c r="B343" s="95"/>
      <c r="C343" s="34" t="s">
        <v>37</v>
      </c>
      <c r="D343" s="35">
        <v>29</v>
      </c>
      <c r="E343" s="36">
        <v>24408368</v>
      </c>
      <c r="F343" s="36">
        <v>2544007</v>
      </c>
      <c r="G343" s="36">
        <v>240001</v>
      </c>
      <c r="H343" s="36">
        <v>12507588</v>
      </c>
      <c r="I343" s="36">
        <v>0</v>
      </c>
      <c r="J343" s="37">
        <v>3308330</v>
      </c>
      <c r="K343" s="36">
        <v>39699963</v>
      </c>
      <c r="L343" s="121">
        <v>43008294</v>
      </c>
      <c r="M343" s="39"/>
      <c r="N343" s="36">
        <v>39699963</v>
      </c>
      <c r="O343" s="36">
        <v>27192376</v>
      </c>
      <c r="P343" s="36">
        <v>0</v>
      </c>
      <c r="Q343" s="36">
        <f>Q342*1936.27</f>
        <v>47902921.315633997</v>
      </c>
      <c r="R343" s="7"/>
      <c r="S343" s="7"/>
      <c r="T343" s="7"/>
      <c r="U343" s="7"/>
      <c r="V343" s="7"/>
      <c r="W343" s="7"/>
      <c r="X343" s="7"/>
      <c r="Y343" s="7"/>
      <c r="Z343" s="7"/>
    </row>
    <row r="344" spans="1:26" ht="12.75" customHeight="1" x14ac:dyDescent="0.2">
      <c r="A344" s="95"/>
      <c r="B344" s="95"/>
      <c r="C344" s="40" t="s">
        <v>36</v>
      </c>
      <c r="D344" s="41">
        <v>30</v>
      </c>
      <c r="E344" s="42">
        <v>12921.94</v>
      </c>
      <c r="F344" s="42">
        <v>1351.05</v>
      </c>
      <c r="G344" s="42">
        <v>123.95</v>
      </c>
      <c r="H344" s="42">
        <v>6459.63</v>
      </c>
      <c r="I344" s="42">
        <v>0</v>
      </c>
      <c r="J344" s="42">
        <v>1738.05</v>
      </c>
      <c r="K344" s="43">
        <v>20856.57</v>
      </c>
      <c r="L344" s="122">
        <v>22594.62</v>
      </c>
      <c r="M344" s="33"/>
      <c r="N344" s="30">
        <v>20856.57</v>
      </c>
      <c r="O344" s="30">
        <v>14396.94</v>
      </c>
      <c r="P344" s="30"/>
      <c r="Q344" s="30">
        <f>(N344+O344*0.18+J344)+(IF((P344-O344*0.18)&gt;0,(P344-O344*0.18),0))</f>
        <v>25186.069199999998</v>
      </c>
      <c r="R344" s="7"/>
      <c r="S344" s="7"/>
      <c r="T344" s="7"/>
      <c r="U344" s="7"/>
      <c r="V344" s="7"/>
      <c r="W344" s="7"/>
      <c r="X344" s="7"/>
      <c r="Y344" s="7"/>
      <c r="Z344" s="7"/>
    </row>
    <row r="345" spans="1:26" ht="9" customHeight="1" x14ac:dyDescent="0.2">
      <c r="A345" s="95"/>
      <c r="B345" s="95"/>
      <c r="C345" s="34" t="s">
        <v>37</v>
      </c>
      <c r="D345" s="35">
        <v>31</v>
      </c>
      <c r="E345" s="36">
        <v>25020365</v>
      </c>
      <c r="F345" s="36">
        <v>2615998</v>
      </c>
      <c r="G345" s="36">
        <v>240001</v>
      </c>
      <c r="H345" s="36">
        <v>12507588</v>
      </c>
      <c r="I345" s="36">
        <v>0</v>
      </c>
      <c r="J345" s="37">
        <v>3365334</v>
      </c>
      <c r="K345" s="36">
        <v>40383951</v>
      </c>
      <c r="L345" s="121">
        <v>43749285</v>
      </c>
      <c r="M345" s="39"/>
      <c r="N345" s="36">
        <v>40383951</v>
      </c>
      <c r="O345" s="36">
        <v>27876363</v>
      </c>
      <c r="P345" s="36">
        <v>0</v>
      </c>
      <c r="Q345" s="36">
        <f>Q344*1936.27</f>
        <v>48767030.209883995</v>
      </c>
      <c r="R345" s="7"/>
      <c r="S345" s="7"/>
      <c r="T345" s="7"/>
      <c r="U345" s="7"/>
      <c r="V345" s="7"/>
      <c r="W345" s="7"/>
      <c r="X345" s="7"/>
      <c r="Y345" s="7"/>
      <c r="Z345" s="7"/>
    </row>
    <row r="346" spans="1:26" ht="12.75" customHeight="1" x14ac:dyDescent="0.2">
      <c r="A346" s="95"/>
      <c r="B346" s="95"/>
      <c r="C346" s="40" t="s">
        <v>36</v>
      </c>
      <c r="D346" s="41">
        <v>32</v>
      </c>
      <c r="E346" s="42">
        <v>13231.81</v>
      </c>
      <c r="F346" s="42">
        <v>1382.04</v>
      </c>
      <c r="G346" s="42">
        <v>123.95</v>
      </c>
      <c r="H346" s="42">
        <v>6459.63</v>
      </c>
      <c r="I346" s="42">
        <v>0</v>
      </c>
      <c r="J346" s="42">
        <v>1766.45</v>
      </c>
      <c r="K346" s="43">
        <v>21197.43</v>
      </c>
      <c r="L346" s="122">
        <v>22963.88</v>
      </c>
      <c r="M346" s="33"/>
      <c r="N346" s="30">
        <v>21197.43</v>
      </c>
      <c r="O346" s="30">
        <v>14737.8</v>
      </c>
      <c r="P346" s="30"/>
      <c r="Q346" s="30">
        <f>(N346+O346*0.18+J346)+(IF((P346-O346*0.18)&gt;0,(P346-O346*0.18),0))</f>
        <v>25616.684000000001</v>
      </c>
      <c r="R346" s="7"/>
      <c r="S346" s="7"/>
      <c r="T346" s="7"/>
      <c r="U346" s="7"/>
      <c r="V346" s="7"/>
      <c r="W346" s="7"/>
      <c r="X346" s="7"/>
      <c r="Y346" s="7"/>
      <c r="Z346" s="7"/>
    </row>
    <row r="347" spans="1:26" ht="9" customHeight="1" x14ac:dyDescent="0.2">
      <c r="A347" s="95"/>
      <c r="B347" s="95"/>
      <c r="C347" s="34" t="s">
        <v>37</v>
      </c>
      <c r="D347" s="35">
        <v>33</v>
      </c>
      <c r="E347" s="36">
        <v>25620357</v>
      </c>
      <c r="F347" s="36">
        <v>2676003</v>
      </c>
      <c r="G347" s="36">
        <v>240001</v>
      </c>
      <c r="H347" s="36">
        <v>12507588</v>
      </c>
      <c r="I347" s="36">
        <v>0</v>
      </c>
      <c r="J347" s="37">
        <v>3420324</v>
      </c>
      <c r="K347" s="36">
        <v>41043948</v>
      </c>
      <c r="L347" s="121">
        <v>44464272</v>
      </c>
      <c r="M347" s="39"/>
      <c r="N347" s="36">
        <v>41043948</v>
      </c>
      <c r="O347" s="36">
        <v>28536360</v>
      </c>
      <c r="P347" s="36">
        <v>0</v>
      </c>
      <c r="Q347" s="36">
        <f>Q346*1936.27</f>
        <v>49600816.72868</v>
      </c>
      <c r="R347" s="7"/>
      <c r="S347" s="7"/>
      <c r="T347" s="7"/>
      <c r="U347" s="7"/>
      <c r="V347" s="7"/>
      <c r="W347" s="7"/>
      <c r="X347" s="7"/>
      <c r="Y347" s="7"/>
      <c r="Z347" s="7"/>
    </row>
    <row r="348" spans="1:26" ht="12.75" customHeight="1" x14ac:dyDescent="0.2">
      <c r="A348" s="95"/>
      <c r="B348" s="95"/>
      <c r="C348" s="40" t="s">
        <v>36</v>
      </c>
      <c r="D348" s="41">
        <v>34</v>
      </c>
      <c r="E348" s="42">
        <v>13535.49</v>
      </c>
      <c r="F348" s="42">
        <v>1419.22</v>
      </c>
      <c r="G348" s="42">
        <v>123.95</v>
      </c>
      <c r="H348" s="42">
        <v>6459.63</v>
      </c>
      <c r="I348" s="42">
        <v>0</v>
      </c>
      <c r="J348" s="42">
        <v>1794.86</v>
      </c>
      <c r="K348" s="43">
        <v>21538.29</v>
      </c>
      <c r="L348" s="122">
        <v>23333.15</v>
      </c>
      <c r="M348" s="33"/>
      <c r="N348" s="30">
        <v>21538.29</v>
      </c>
      <c r="O348" s="30">
        <v>15078.66</v>
      </c>
      <c r="P348" s="30"/>
      <c r="Q348" s="30">
        <f>(N348+O348*0.18+J348)+(IF((P348-O348*0.18)&gt;0,(P348-O348*0.18),0))</f>
        <v>26047.308800000003</v>
      </c>
      <c r="R348" s="7"/>
      <c r="S348" s="7"/>
      <c r="T348" s="7"/>
      <c r="U348" s="7"/>
      <c r="V348" s="7"/>
      <c r="W348" s="7"/>
      <c r="X348" s="7"/>
      <c r="Y348" s="7"/>
      <c r="Z348" s="7"/>
    </row>
    <row r="349" spans="1:26" ht="9" customHeight="1" x14ac:dyDescent="0.2">
      <c r="A349" s="95"/>
      <c r="B349" s="95"/>
      <c r="C349" s="34" t="s">
        <v>37</v>
      </c>
      <c r="D349" s="35">
        <v>35</v>
      </c>
      <c r="E349" s="36">
        <v>26208363</v>
      </c>
      <c r="F349" s="36">
        <v>2747993</v>
      </c>
      <c r="G349" s="36">
        <v>240001</v>
      </c>
      <c r="H349" s="36">
        <v>12507588</v>
      </c>
      <c r="I349" s="36">
        <v>0</v>
      </c>
      <c r="J349" s="37">
        <v>3475334</v>
      </c>
      <c r="K349" s="36">
        <v>41703945</v>
      </c>
      <c r="L349" s="121">
        <v>45179278</v>
      </c>
      <c r="M349" s="39"/>
      <c r="N349" s="36">
        <v>41703945</v>
      </c>
      <c r="O349" s="36">
        <v>29196357</v>
      </c>
      <c r="P349" s="36">
        <v>0</v>
      </c>
      <c r="Q349" s="36">
        <f>Q348*1936.27</f>
        <v>50434622.610176004</v>
      </c>
      <c r="R349" s="7"/>
      <c r="S349" s="7"/>
      <c r="T349" s="7"/>
      <c r="U349" s="7"/>
      <c r="V349" s="7"/>
      <c r="W349" s="7"/>
      <c r="X349" s="7"/>
      <c r="Y349" s="7"/>
      <c r="Z349" s="7"/>
    </row>
    <row r="350" spans="1:26" ht="12.75" customHeight="1" x14ac:dyDescent="0.2">
      <c r="A350" s="95"/>
      <c r="B350" s="95"/>
      <c r="C350" s="40" t="s">
        <v>36</v>
      </c>
      <c r="D350" s="41">
        <v>36</v>
      </c>
      <c r="E350" s="42">
        <v>13884.16</v>
      </c>
      <c r="F350" s="42">
        <v>1450.21</v>
      </c>
      <c r="G350" s="42">
        <v>123.95</v>
      </c>
      <c r="H350" s="42">
        <v>6459.63</v>
      </c>
      <c r="I350" s="42">
        <v>0</v>
      </c>
      <c r="J350" s="42">
        <v>1826.5</v>
      </c>
      <c r="K350" s="43">
        <v>21917.95</v>
      </c>
      <c r="L350" s="122">
        <v>23744.45</v>
      </c>
      <c r="M350" s="33"/>
      <c r="N350" s="30">
        <v>21917.95</v>
      </c>
      <c r="O350" s="30">
        <v>15458.32</v>
      </c>
      <c r="P350" s="30"/>
      <c r="Q350" s="30">
        <f>(N350+O350*0.18+J350)+(IF((P350-O350*0.18)&gt;0,(P350-O350*0.18),0))</f>
        <v>26526.9476</v>
      </c>
      <c r="R350" s="7"/>
      <c r="S350" s="7"/>
      <c r="T350" s="7"/>
      <c r="U350" s="7"/>
      <c r="V350" s="7"/>
      <c r="W350" s="7"/>
      <c r="X350" s="7"/>
      <c r="Y350" s="7"/>
      <c r="Z350" s="7"/>
    </row>
    <row r="351" spans="1:26" ht="9" customHeight="1" x14ac:dyDescent="0.2">
      <c r="A351" s="95"/>
      <c r="B351" s="95"/>
      <c r="C351" s="34" t="s">
        <v>37</v>
      </c>
      <c r="D351" s="35">
        <v>37</v>
      </c>
      <c r="E351" s="36">
        <v>26883482</v>
      </c>
      <c r="F351" s="36">
        <v>2807998</v>
      </c>
      <c r="G351" s="36">
        <v>240001</v>
      </c>
      <c r="H351" s="36">
        <v>12507588</v>
      </c>
      <c r="I351" s="36">
        <v>0</v>
      </c>
      <c r="J351" s="37">
        <v>3536597</v>
      </c>
      <c r="K351" s="36">
        <v>42439069</v>
      </c>
      <c r="L351" s="121">
        <v>45975666</v>
      </c>
      <c r="M351" s="39"/>
      <c r="N351" s="36">
        <v>42439069</v>
      </c>
      <c r="O351" s="36">
        <v>29931481</v>
      </c>
      <c r="P351" s="36">
        <v>0</v>
      </c>
      <c r="Q351" s="36">
        <f>Q350*1936.27</f>
        <v>51363332.829452001</v>
      </c>
      <c r="R351" s="7"/>
      <c r="S351" s="7"/>
      <c r="T351" s="7"/>
      <c r="U351" s="7"/>
      <c r="V351" s="7"/>
      <c r="W351" s="7"/>
      <c r="X351" s="7"/>
      <c r="Y351" s="7"/>
      <c r="Z351" s="7"/>
    </row>
    <row r="352" spans="1:26" ht="12.75" customHeight="1" x14ac:dyDescent="0.2">
      <c r="A352" s="95"/>
      <c r="B352" s="95"/>
      <c r="C352" s="40" t="s">
        <v>36</v>
      </c>
      <c r="D352" s="41">
        <v>38</v>
      </c>
      <c r="E352" s="42">
        <v>14194.04</v>
      </c>
      <c r="F352" s="42">
        <v>1487.4</v>
      </c>
      <c r="G352" s="42">
        <v>123.95</v>
      </c>
      <c r="H352" s="42">
        <v>6459.63</v>
      </c>
      <c r="I352" s="42">
        <v>0</v>
      </c>
      <c r="J352" s="42">
        <v>1855.42</v>
      </c>
      <c r="K352" s="43">
        <v>22265.02</v>
      </c>
      <c r="L352" s="122">
        <v>24120.44</v>
      </c>
      <c r="M352" s="33"/>
      <c r="N352" s="30">
        <v>22265.02</v>
      </c>
      <c r="O352" s="30">
        <v>15805.39</v>
      </c>
      <c r="P352" s="30"/>
      <c r="Q352" s="30">
        <f>(N352+O352*0.18+J352)+(IF((P352-O352*0.18)&gt;0,(P352-O352*0.18),0))</f>
        <v>26965.410199999998</v>
      </c>
      <c r="R352" s="7"/>
      <c r="S352" s="7"/>
      <c r="T352" s="7"/>
      <c r="U352" s="7"/>
      <c r="V352" s="7"/>
      <c r="W352" s="7"/>
      <c r="X352" s="7"/>
      <c r="Y352" s="7"/>
      <c r="Z352" s="7"/>
    </row>
    <row r="353" spans="1:26" ht="9" customHeight="1" x14ac:dyDescent="0.2">
      <c r="A353" s="95"/>
      <c r="B353" s="95"/>
      <c r="C353" s="34" t="s">
        <v>37</v>
      </c>
      <c r="D353" s="35">
        <v>39</v>
      </c>
      <c r="E353" s="36">
        <v>27483494</v>
      </c>
      <c r="F353" s="36">
        <v>2880008</v>
      </c>
      <c r="G353" s="36">
        <v>240001</v>
      </c>
      <c r="H353" s="36">
        <v>12507588</v>
      </c>
      <c r="I353" s="36">
        <v>0</v>
      </c>
      <c r="J353" s="37">
        <v>3592594</v>
      </c>
      <c r="K353" s="36">
        <v>43111090</v>
      </c>
      <c r="L353" s="121">
        <v>46703684</v>
      </c>
      <c r="M353" s="39"/>
      <c r="N353" s="36">
        <v>43111090</v>
      </c>
      <c r="O353" s="36">
        <v>30603502</v>
      </c>
      <c r="P353" s="36">
        <v>0</v>
      </c>
      <c r="Q353" s="36">
        <f>Q352*1936.27</f>
        <v>52212314.807953998</v>
      </c>
      <c r="R353" s="7"/>
      <c r="S353" s="7"/>
      <c r="T353" s="7"/>
      <c r="U353" s="7"/>
      <c r="V353" s="7"/>
      <c r="W353" s="7"/>
      <c r="X353" s="7"/>
      <c r="Y353" s="7"/>
      <c r="Z353" s="7"/>
    </row>
    <row r="354" spans="1:26" ht="12.75" customHeight="1" x14ac:dyDescent="0.2">
      <c r="A354" s="95"/>
      <c r="B354" s="95"/>
      <c r="C354" s="40" t="s">
        <v>36</v>
      </c>
      <c r="D354" s="41">
        <v>40</v>
      </c>
      <c r="E354" s="42">
        <v>14510.11</v>
      </c>
      <c r="F354" s="42">
        <v>1518.38</v>
      </c>
      <c r="G354" s="42">
        <v>123.95</v>
      </c>
      <c r="H354" s="42">
        <v>6459.63</v>
      </c>
      <c r="I354" s="42">
        <v>0</v>
      </c>
      <c r="J354" s="42">
        <v>1884.34</v>
      </c>
      <c r="K354" s="43">
        <v>22612.07</v>
      </c>
      <c r="L354" s="122">
        <v>24496.41</v>
      </c>
      <c r="M354" s="33"/>
      <c r="N354" s="30">
        <v>22612.07</v>
      </c>
      <c r="O354" s="30">
        <v>16152.44</v>
      </c>
      <c r="P354" s="30"/>
      <c r="Q354" s="30">
        <f>(N354+O354*0.18+J354)+(IF((P354-O354*0.18)&gt;0,(P354-O354*0.18),0))</f>
        <v>27403.849200000001</v>
      </c>
      <c r="R354" s="7"/>
      <c r="S354" s="7"/>
      <c r="T354" s="7"/>
      <c r="U354" s="7"/>
      <c r="V354" s="7"/>
      <c r="W354" s="7"/>
      <c r="X354" s="7"/>
      <c r="Y354" s="7"/>
      <c r="Z354" s="7"/>
    </row>
    <row r="355" spans="1:26" ht="12.75" customHeight="1" x14ac:dyDescent="0.2">
      <c r="A355" s="95"/>
      <c r="B355" s="95"/>
      <c r="C355" s="115"/>
      <c r="D355" s="45"/>
      <c r="E355" s="116"/>
      <c r="F355" s="116"/>
      <c r="G355" s="116"/>
      <c r="H355" s="116"/>
      <c r="I355" s="116"/>
      <c r="J355" s="117"/>
      <c r="K355" s="118"/>
      <c r="L355" s="123"/>
      <c r="M355" s="33"/>
      <c r="N355" s="116"/>
      <c r="O355" s="116"/>
      <c r="P355" s="116"/>
      <c r="Q355" s="116"/>
      <c r="R355" s="7"/>
      <c r="S355" s="7"/>
      <c r="T355" s="7"/>
      <c r="U355" s="7"/>
      <c r="V355" s="7"/>
      <c r="W355" s="7"/>
      <c r="X355" s="7"/>
      <c r="Y355" s="7"/>
      <c r="Z355" s="7"/>
    </row>
    <row r="356" spans="1:26" ht="12.75" customHeight="1" x14ac:dyDescent="0.2">
      <c r="A356" s="95"/>
      <c r="B356" s="95"/>
      <c r="C356" s="115"/>
      <c r="D356" s="45"/>
      <c r="E356" s="116"/>
      <c r="F356" s="116"/>
      <c r="G356" s="116"/>
      <c r="H356" s="116"/>
      <c r="I356" s="116"/>
      <c r="J356" s="117"/>
      <c r="K356" s="118"/>
      <c r="L356" s="123"/>
      <c r="M356" s="33"/>
      <c r="N356" s="116"/>
      <c r="O356" s="116"/>
      <c r="P356" s="116"/>
      <c r="Q356" s="116"/>
      <c r="R356" s="7"/>
      <c r="S356" s="7"/>
      <c r="T356" s="7"/>
      <c r="U356" s="7"/>
      <c r="V356" s="7"/>
      <c r="W356" s="7"/>
      <c r="X356" s="7"/>
      <c r="Y356" s="7"/>
      <c r="Z356" s="7"/>
    </row>
    <row r="357" spans="1:26" ht="9" customHeight="1" x14ac:dyDescent="0.2">
      <c r="A357" s="110"/>
      <c r="B357" s="110"/>
      <c r="C357" s="47"/>
      <c r="D357" s="48"/>
      <c r="E357" s="46">
        <v>28095491</v>
      </c>
      <c r="F357" s="46">
        <v>2939994</v>
      </c>
      <c r="G357" s="46">
        <v>240001</v>
      </c>
      <c r="H357" s="46">
        <v>12507588</v>
      </c>
      <c r="I357" s="46">
        <v>0</v>
      </c>
      <c r="J357" s="49">
        <v>3648591</v>
      </c>
      <c r="K357" s="46">
        <v>43783073</v>
      </c>
      <c r="L357" s="124">
        <v>47431664</v>
      </c>
      <c r="M357" s="39"/>
      <c r="N357" s="36">
        <v>43783073</v>
      </c>
      <c r="O357" s="36">
        <v>31275485</v>
      </c>
      <c r="P357" s="36">
        <v>0</v>
      </c>
      <c r="Q357" s="36">
        <f>Q354*1936.27</f>
        <v>53061251.090484001</v>
      </c>
      <c r="R357" s="7"/>
      <c r="S357" s="7"/>
      <c r="T357" s="7"/>
      <c r="U357" s="7"/>
      <c r="V357" s="7"/>
      <c r="W357" s="7"/>
      <c r="X357" s="7"/>
      <c r="Y357" s="7"/>
      <c r="Z357" s="7"/>
    </row>
    <row r="358" spans="1:26" ht="12.75" customHeight="1" x14ac:dyDescent="0.2">
      <c r="A358" s="98">
        <v>35034</v>
      </c>
      <c r="B358" s="98">
        <v>35064</v>
      </c>
      <c r="C358" s="28" t="s">
        <v>36</v>
      </c>
      <c r="D358" s="29">
        <v>0</v>
      </c>
      <c r="E358" s="30">
        <v>7638.02</v>
      </c>
      <c r="F358" s="30">
        <v>731.3</v>
      </c>
      <c r="G358" s="30">
        <v>0</v>
      </c>
      <c r="H358" s="30">
        <v>6459.63</v>
      </c>
      <c r="I358" s="30">
        <v>0</v>
      </c>
      <c r="J358" s="30">
        <v>1235.75</v>
      </c>
      <c r="K358" s="31">
        <v>14828.95</v>
      </c>
      <c r="L358" s="32">
        <v>16064.7</v>
      </c>
      <c r="M358" s="33"/>
      <c r="N358" s="30">
        <v>14828.95</v>
      </c>
      <c r="O358" s="30">
        <v>8369.32</v>
      </c>
      <c r="P358" s="30"/>
      <c r="Q358" s="30">
        <f>(N358+O358*0.18+J358)+(IF((P358-O358*0.18)&gt;0,(P358-O358*0.18),0))</f>
        <v>17571.177600000003</v>
      </c>
      <c r="R358" s="7"/>
      <c r="S358" s="7"/>
      <c r="T358" s="7"/>
      <c r="U358" s="7"/>
      <c r="V358" s="7"/>
      <c r="W358" s="7"/>
      <c r="X358" s="7"/>
      <c r="Y358" s="7"/>
      <c r="Z358" s="7"/>
    </row>
    <row r="359" spans="1:26" ht="9" customHeight="1" x14ac:dyDescent="0.2">
      <c r="A359" s="95"/>
      <c r="B359" s="95"/>
      <c r="C359" s="34" t="s">
        <v>37</v>
      </c>
      <c r="D359" s="35">
        <v>2</v>
      </c>
      <c r="E359" s="36">
        <v>14789269</v>
      </c>
      <c r="F359" s="36">
        <v>1415994</v>
      </c>
      <c r="G359" s="36">
        <v>0</v>
      </c>
      <c r="H359" s="36">
        <v>12507588</v>
      </c>
      <c r="I359" s="36">
        <v>0</v>
      </c>
      <c r="J359" s="37">
        <v>2392746</v>
      </c>
      <c r="K359" s="36">
        <v>28712851</v>
      </c>
      <c r="L359" s="38">
        <v>31105597</v>
      </c>
      <c r="M359" s="39"/>
      <c r="N359" s="36">
        <v>28712851</v>
      </c>
      <c r="O359" s="36">
        <v>16205263</v>
      </c>
      <c r="P359" s="36">
        <v>0</v>
      </c>
      <c r="Q359" s="36">
        <f>Q358*1936.27</f>
        <v>34022544.051552005</v>
      </c>
      <c r="R359" s="7"/>
      <c r="S359" s="7"/>
      <c r="T359" s="7"/>
      <c r="U359" s="7"/>
      <c r="V359" s="7"/>
      <c r="W359" s="7"/>
      <c r="X359" s="7"/>
      <c r="Y359" s="7"/>
      <c r="Z359" s="7"/>
    </row>
    <row r="360" spans="1:26" ht="12.75" customHeight="1" x14ac:dyDescent="0.2">
      <c r="A360" s="155">
        <v>35034</v>
      </c>
      <c r="B360" s="155">
        <v>35064</v>
      </c>
      <c r="C360" s="40" t="s">
        <v>36</v>
      </c>
      <c r="D360" s="41">
        <v>3</v>
      </c>
      <c r="E360" s="42">
        <v>8014.7</v>
      </c>
      <c r="F360" s="42">
        <v>768.49</v>
      </c>
      <c r="G360" s="42">
        <v>0</v>
      </c>
      <c r="H360" s="42">
        <v>6459.63</v>
      </c>
      <c r="I360" s="42">
        <v>0</v>
      </c>
      <c r="J360" s="42">
        <v>1270.24</v>
      </c>
      <c r="K360" s="43">
        <v>15242.82</v>
      </c>
      <c r="L360" s="32">
        <v>16513.060000000001</v>
      </c>
      <c r="M360" s="33"/>
      <c r="N360" s="30">
        <v>15242.82</v>
      </c>
      <c r="O360" s="30">
        <v>8783.19</v>
      </c>
      <c r="P360" s="30"/>
      <c r="Q360" s="30">
        <f>(N360+O360*0.18+J360)+(IF((P360-O360*0.18)&gt;0,(P360-O360*0.18),0))</f>
        <v>18094.034200000002</v>
      </c>
      <c r="R360" s="7"/>
      <c r="S360" s="7"/>
      <c r="T360" s="7"/>
      <c r="U360" s="7"/>
      <c r="V360" s="7"/>
      <c r="W360" s="7"/>
      <c r="X360" s="7"/>
      <c r="Y360" s="7"/>
      <c r="Z360" s="7"/>
    </row>
    <row r="361" spans="1:26" ht="9" customHeight="1" x14ac:dyDescent="0.2">
      <c r="A361" s="95"/>
      <c r="B361" s="95"/>
      <c r="C361" s="34" t="s">
        <v>37</v>
      </c>
      <c r="D361" s="35">
        <v>4</v>
      </c>
      <c r="E361" s="36">
        <v>15518623</v>
      </c>
      <c r="F361" s="36">
        <v>1488004</v>
      </c>
      <c r="G361" s="36">
        <v>0</v>
      </c>
      <c r="H361" s="36">
        <v>12507588</v>
      </c>
      <c r="I361" s="36">
        <v>0</v>
      </c>
      <c r="J361" s="37">
        <v>2459528</v>
      </c>
      <c r="K361" s="36">
        <v>29514215</v>
      </c>
      <c r="L361" s="38">
        <v>31973743</v>
      </c>
      <c r="M361" s="39"/>
      <c r="N361" s="36">
        <v>29514215</v>
      </c>
      <c r="O361" s="36">
        <v>17006627</v>
      </c>
      <c r="P361" s="36">
        <v>0</v>
      </c>
      <c r="Q361" s="36">
        <f>Q360*1936.27</f>
        <v>35034935.600434005</v>
      </c>
      <c r="R361" s="7"/>
      <c r="S361" s="7"/>
      <c r="T361" s="7"/>
      <c r="U361" s="7"/>
      <c r="V361" s="7"/>
      <c r="W361" s="7"/>
      <c r="X361" s="7"/>
      <c r="Y361" s="7"/>
      <c r="Z361" s="7"/>
    </row>
    <row r="362" spans="1:26" ht="12.75" customHeight="1" x14ac:dyDescent="0.2">
      <c r="A362" s="95"/>
      <c r="B362" s="95"/>
      <c r="C362" s="40" t="s">
        <v>36</v>
      </c>
      <c r="D362" s="41">
        <v>5</v>
      </c>
      <c r="E362" s="42">
        <v>8374.16</v>
      </c>
      <c r="F362" s="42">
        <v>811.87</v>
      </c>
      <c r="G362" s="42">
        <v>0</v>
      </c>
      <c r="H362" s="42">
        <v>6459.63</v>
      </c>
      <c r="I362" s="42">
        <v>0</v>
      </c>
      <c r="J362" s="42">
        <v>1303.81</v>
      </c>
      <c r="K362" s="43">
        <v>15645.66</v>
      </c>
      <c r="L362" s="32">
        <v>16949.47</v>
      </c>
      <c r="M362" s="33"/>
      <c r="N362" s="30">
        <v>15645.66</v>
      </c>
      <c r="O362" s="30">
        <v>9186.0300000000007</v>
      </c>
      <c r="P362" s="30"/>
      <c r="Q362" s="30">
        <f>(N362+O362*0.18+J362)+(IF((P362-O362*0.18)&gt;0,(P362-O362*0.18),0))</f>
        <v>18602.955400000003</v>
      </c>
      <c r="R362" s="7"/>
      <c r="S362" s="7"/>
      <c r="T362" s="7"/>
      <c r="U362" s="7"/>
      <c r="V362" s="7"/>
      <c r="W362" s="7"/>
      <c r="X362" s="7"/>
      <c r="Y362" s="7"/>
      <c r="Z362" s="7"/>
    </row>
    <row r="363" spans="1:26" ht="9" customHeight="1" x14ac:dyDescent="0.2">
      <c r="A363" s="95"/>
      <c r="B363" s="95"/>
      <c r="C363" s="34" t="s">
        <v>37</v>
      </c>
      <c r="D363" s="35">
        <v>6</v>
      </c>
      <c r="E363" s="36">
        <v>16214635</v>
      </c>
      <c r="F363" s="36">
        <v>1572000</v>
      </c>
      <c r="G363" s="36">
        <v>0</v>
      </c>
      <c r="H363" s="36">
        <v>12507588</v>
      </c>
      <c r="I363" s="36">
        <v>0</v>
      </c>
      <c r="J363" s="37">
        <v>2524528</v>
      </c>
      <c r="K363" s="36">
        <v>30294222</v>
      </c>
      <c r="L363" s="38">
        <v>32818750</v>
      </c>
      <c r="M363" s="39"/>
      <c r="N363" s="36">
        <v>30294222</v>
      </c>
      <c r="O363" s="36">
        <v>17786634</v>
      </c>
      <c r="P363" s="36">
        <v>0</v>
      </c>
      <c r="Q363" s="36">
        <f>Q362*1936.27</f>
        <v>36020344.452358007</v>
      </c>
      <c r="R363" s="7"/>
      <c r="S363" s="7"/>
      <c r="T363" s="7"/>
      <c r="U363" s="7"/>
      <c r="V363" s="7"/>
      <c r="W363" s="7"/>
      <c r="X363" s="7"/>
      <c r="Y363" s="7"/>
      <c r="Z363" s="7"/>
    </row>
    <row r="364" spans="1:26" ht="12.75" customHeight="1" x14ac:dyDescent="0.2">
      <c r="A364" s="95"/>
      <c r="B364" s="95"/>
      <c r="C364" s="40" t="s">
        <v>36</v>
      </c>
      <c r="D364" s="41">
        <v>7</v>
      </c>
      <c r="E364" s="42">
        <v>8727.41</v>
      </c>
      <c r="F364" s="42">
        <v>849.06</v>
      </c>
      <c r="G364" s="42">
        <v>0</v>
      </c>
      <c r="H364" s="42">
        <v>6459.63</v>
      </c>
      <c r="I364" s="42">
        <v>0</v>
      </c>
      <c r="J364" s="42">
        <v>1336.34</v>
      </c>
      <c r="K364" s="43">
        <v>16036.1</v>
      </c>
      <c r="L364" s="32">
        <v>17372.439999999999</v>
      </c>
      <c r="M364" s="33"/>
      <c r="N364" s="30">
        <v>16036.1</v>
      </c>
      <c r="O364" s="30">
        <v>9576.4699999999993</v>
      </c>
      <c r="P364" s="30"/>
      <c r="Q364" s="30">
        <f>(N364+O364*0.18+J364)+(IF((P364-O364*0.18)&gt;0,(P364-O364*0.18),0))</f>
        <v>19096.204600000001</v>
      </c>
      <c r="R364" s="7"/>
      <c r="S364" s="7"/>
      <c r="T364" s="7"/>
      <c r="U364" s="7"/>
      <c r="V364" s="7"/>
      <c r="W364" s="7"/>
      <c r="X364" s="7"/>
      <c r="Y364" s="7"/>
      <c r="Z364" s="7"/>
    </row>
    <row r="365" spans="1:26" ht="9" customHeight="1" x14ac:dyDescent="0.2">
      <c r="A365" s="95"/>
      <c r="B365" s="95"/>
      <c r="C365" s="34" t="s">
        <v>37</v>
      </c>
      <c r="D365" s="35">
        <v>8</v>
      </c>
      <c r="E365" s="36">
        <v>16898622</v>
      </c>
      <c r="F365" s="36">
        <v>1644009</v>
      </c>
      <c r="G365" s="36">
        <v>0</v>
      </c>
      <c r="H365" s="36">
        <v>12507588</v>
      </c>
      <c r="I365" s="36">
        <v>0</v>
      </c>
      <c r="J365" s="37">
        <v>2587515</v>
      </c>
      <c r="K365" s="36">
        <v>31050219</v>
      </c>
      <c r="L365" s="38">
        <v>33637734</v>
      </c>
      <c r="M365" s="39"/>
      <c r="N365" s="36">
        <v>31050219</v>
      </c>
      <c r="O365" s="36">
        <v>18542632</v>
      </c>
      <c r="P365" s="36">
        <v>0</v>
      </c>
      <c r="Q365" s="36">
        <f>Q364*1936.27</f>
        <v>36975408.080842003</v>
      </c>
      <c r="R365" s="7"/>
      <c r="S365" s="7"/>
      <c r="T365" s="7"/>
      <c r="U365" s="7"/>
      <c r="V365" s="7"/>
      <c r="W365" s="7"/>
      <c r="X365" s="7"/>
      <c r="Y365" s="7"/>
      <c r="Z365" s="7"/>
    </row>
    <row r="366" spans="1:26" ht="12.75" customHeight="1" x14ac:dyDescent="0.2">
      <c r="A366" s="95"/>
      <c r="B366" s="95"/>
      <c r="C366" s="40" t="s">
        <v>36</v>
      </c>
      <c r="D366" s="41">
        <v>9</v>
      </c>
      <c r="E366" s="42">
        <v>9217.76</v>
      </c>
      <c r="F366" s="42">
        <v>892.44</v>
      </c>
      <c r="G366" s="42">
        <v>0</v>
      </c>
      <c r="H366" s="42">
        <v>6459.63</v>
      </c>
      <c r="I366" s="42"/>
      <c r="J366" s="42">
        <v>1380.82</v>
      </c>
      <c r="K366" s="43">
        <v>16569.830000000002</v>
      </c>
      <c r="L366" s="32">
        <v>17950.650000000001</v>
      </c>
      <c r="M366" s="33"/>
      <c r="N366" s="30">
        <v>16569.830000000002</v>
      </c>
      <c r="O366" s="30">
        <v>10110.200000000001</v>
      </c>
      <c r="P366" s="30"/>
      <c r="Q366" s="30">
        <f>(N366+O366*0.18+J366)+(IF((P366-O366*0.18)&gt;0,(P366-O366*0.18),0))</f>
        <v>19770.486000000001</v>
      </c>
      <c r="R366" s="7"/>
      <c r="S366" s="7"/>
      <c r="T366" s="7"/>
      <c r="U366" s="7"/>
      <c r="V366" s="7"/>
      <c r="W366" s="7"/>
      <c r="X366" s="7"/>
      <c r="Y366" s="7"/>
      <c r="Z366" s="7"/>
    </row>
    <row r="367" spans="1:26" ht="9" customHeight="1" x14ac:dyDescent="0.2">
      <c r="A367" s="95"/>
      <c r="B367" s="95"/>
      <c r="C367" s="34" t="s">
        <v>37</v>
      </c>
      <c r="D367" s="35">
        <v>10</v>
      </c>
      <c r="E367" s="36">
        <v>17848072</v>
      </c>
      <c r="F367" s="36">
        <v>1728005</v>
      </c>
      <c r="G367" s="36">
        <v>0</v>
      </c>
      <c r="H367" s="36">
        <v>12507588</v>
      </c>
      <c r="I367" s="36"/>
      <c r="J367" s="37">
        <v>2673640</v>
      </c>
      <c r="K367" s="36">
        <v>32083665</v>
      </c>
      <c r="L367" s="38">
        <v>34757305</v>
      </c>
      <c r="M367" s="39"/>
      <c r="N367" s="36">
        <v>32083665</v>
      </c>
      <c r="O367" s="36">
        <v>19576077</v>
      </c>
      <c r="P367" s="36">
        <v>0</v>
      </c>
      <c r="Q367" s="36">
        <f>Q366*1936.27</f>
        <v>38280998.927220002</v>
      </c>
      <c r="R367" s="7"/>
      <c r="S367" s="7"/>
      <c r="T367" s="7"/>
      <c r="U367" s="7"/>
      <c r="V367" s="7"/>
      <c r="W367" s="7"/>
      <c r="X367" s="7"/>
      <c r="Y367" s="7"/>
      <c r="Z367" s="7"/>
    </row>
    <row r="368" spans="1:26" ht="12.75" customHeight="1" x14ac:dyDescent="0.2">
      <c r="A368" s="95"/>
      <c r="B368" s="95"/>
      <c r="C368" s="40" t="s">
        <v>36</v>
      </c>
      <c r="D368" s="41">
        <v>11</v>
      </c>
      <c r="E368" s="42">
        <v>9589.61</v>
      </c>
      <c r="F368" s="42">
        <v>935.82</v>
      </c>
      <c r="G368" s="42">
        <v>0</v>
      </c>
      <c r="H368" s="42">
        <v>6459.63</v>
      </c>
      <c r="I368" s="42">
        <v>0</v>
      </c>
      <c r="J368" s="42">
        <v>1415.42</v>
      </c>
      <c r="K368" s="43">
        <v>16985.060000000001</v>
      </c>
      <c r="L368" s="32">
        <v>18400.48</v>
      </c>
      <c r="M368" s="33"/>
      <c r="N368" s="30">
        <v>16985.060000000001</v>
      </c>
      <c r="O368" s="30">
        <v>10525.43</v>
      </c>
      <c r="P368" s="30"/>
      <c r="Q368" s="30">
        <f>(N368+O368*0.18+J368)+(IF((P368-O368*0.18)&gt;0,(P368-O368*0.18),0))</f>
        <v>20295.057399999998</v>
      </c>
      <c r="R368" s="7"/>
      <c r="S368" s="7"/>
      <c r="T368" s="7"/>
      <c r="U368" s="7"/>
      <c r="V368" s="7"/>
      <c r="W368" s="7"/>
      <c r="X368" s="7"/>
      <c r="Y368" s="7"/>
      <c r="Z368" s="7"/>
    </row>
    <row r="369" spans="1:26" ht="9" customHeight="1" x14ac:dyDescent="0.2">
      <c r="A369" s="95"/>
      <c r="B369" s="95"/>
      <c r="C369" s="34" t="s">
        <v>37</v>
      </c>
      <c r="D369" s="35">
        <v>12</v>
      </c>
      <c r="E369" s="36">
        <v>18568074</v>
      </c>
      <c r="F369" s="36">
        <v>1812000</v>
      </c>
      <c r="G369" s="36">
        <v>0</v>
      </c>
      <c r="H369" s="36">
        <v>12507588</v>
      </c>
      <c r="I369" s="36">
        <v>0</v>
      </c>
      <c r="J369" s="37">
        <v>2740635</v>
      </c>
      <c r="K369" s="36">
        <v>32887662</v>
      </c>
      <c r="L369" s="38">
        <v>35628297</v>
      </c>
      <c r="M369" s="39"/>
      <c r="N369" s="36">
        <v>32887662</v>
      </c>
      <c r="O369" s="36">
        <v>20380074</v>
      </c>
      <c r="P369" s="36">
        <v>0</v>
      </c>
      <c r="Q369" s="36">
        <f>Q368*1936.27</f>
        <v>39296710.791897997</v>
      </c>
      <c r="R369" s="7"/>
      <c r="S369" s="7"/>
      <c r="T369" s="7"/>
      <c r="U369" s="7"/>
      <c r="V369" s="7"/>
      <c r="W369" s="7"/>
      <c r="X369" s="7"/>
      <c r="Y369" s="7"/>
      <c r="Z369" s="7"/>
    </row>
    <row r="370" spans="1:26" ht="12.75" customHeight="1" x14ac:dyDescent="0.2">
      <c r="A370" s="95"/>
      <c r="B370" s="95"/>
      <c r="C370" s="40" t="s">
        <v>36</v>
      </c>
      <c r="D370" s="41">
        <v>13</v>
      </c>
      <c r="E370" s="42">
        <v>10042.02</v>
      </c>
      <c r="F370" s="42">
        <v>985.4</v>
      </c>
      <c r="G370" s="42">
        <v>0</v>
      </c>
      <c r="H370" s="42">
        <v>6459.63</v>
      </c>
      <c r="I370" s="42">
        <v>0</v>
      </c>
      <c r="J370" s="42">
        <v>1457.25</v>
      </c>
      <c r="K370" s="43">
        <v>17487.05</v>
      </c>
      <c r="L370" s="32">
        <v>18944.3</v>
      </c>
      <c r="M370" s="33"/>
      <c r="N370" s="30">
        <v>17487.05</v>
      </c>
      <c r="O370" s="30">
        <v>11027.42</v>
      </c>
      <c r="P370" s="30"/>
      <c r="Q370" s="30">
        <f>(N370+O370*0.18+J370)+(IF((P370-O370*0.18)&gt;0,(P370-O370*0.18),0))</f>
        <v>20929.2356</v>
      </c>
      <c r="R370" s="7"/>
      <c r="S370" s="7"/>
      <c r="T370" s="7"/>
      <c r="U370" s="7"/>
      <c r="V370" s="7"/>
      <c r="W370" s="7"/>
      <c r="X370" s="7"/>
      <c r="Y370" s="7"/>
      <c r="Z370" s="7"/>
    </row>
    <row r="371" spans="1:26" ht="9" customHeight="1" x14ac:dyDescent="0.2">
      <c r="A371" s="95"/>
      <c r="B371" s="95"/>
      <c r="C371" s="34" t="s">
        <v>37</v>
      </c>
      <c r="D371" s="35">
        <v>14</v>
      </c>
      <c r="E371" s="36">
        <v>19444062</v>
      </c>
      <c r="F371" s="36">
        <v>1908000</v>
      </c>
      <c r="G371" s="36">
        <v>0</v>
      </c>
      <c r="H371" s="36">
        <v>12507588</v>
      </c>
      <c r="I371" s="36">
        <v>0</v>
      </c>
      <c r="J371" s="37">
        <v>2821629</v>
      </c>
      <c r="K371" s="36">
        <v>33859650</v>
      </c>
      <c r="L371" s="38">
        <v>36681280</v>
      </c>
      <c r="M371" s="39"/>
      <c r="N371" s="36">
        <v>33859650</v>
      </c>
      <c r="O371" s="36">
        <v>21352063</v>
      </c>
      <c r="P371" s="36">
        <v>0</v>
      </c>
      <c r="Q371" s="36">
        <f>Q370*1936.27</f>
        <v>40524651.015211999</v>
      </c>
      <c r="R371" s="7"/>
      <c r="S371" s="7"/>
      <c r="T371" s="7"/>
      <c r="U371" s="7"/>
      <c r="V371" s="7"/>
      <c r="W371" s="7"/>
      <c r="X371" s="7"/>
      <c r="Y371" s="7"/>
      <c r="Z371" s="7"/>
    </row>
    <row r="372" spans="1:26" ht="12.75" customHeight="1" x14ac:dyDescent="0.2">
      <c r="A372" s="95"/>
      <c r="B372" s="95"/>
      <c r="C372" s="40" t="s">
        <v>36</v>
      </c>
      <c r="D372" s="41">
        <v>15</v>
      </c>
      <c r="E372" s="42">
        <v>10612.44</v>
      </c>
      <c r="F372" s="42">
        <v>1034.98</v>
      </c>
      <c r="G372" s="42">
        <v>0</v>
      </c>
      <c r="H372" s="42">
        <v>6459.63</v>
      </c>
      <c r="I372" s="42">
        <v>0</v>
      </c>
      <c r="J372" s="42">
        <v>1508.92</v>
      </c>
      <c r="K372" s="43">
        <v>18107.05</v>
      </c>
      <c r="L372" s="32">
        <v>19615.97</v>
      </c>
      <c r="M372" s="33"/>
      <c r="N372" s="30">
        <v>18107.05</v>
      </c>
      <c r="O372" s="30">
        <v>11647.42</v>
      </c>
      <c r="P372" s="30"/>
      <c r="Q372" s="30">
        <f>(N372+O372*0.18+J372)+(IF((P372-O372*0.18)&gt;0,(P372-O372*0.18),0))</f>
        <v>21712.505599999997</v>
      </c>
      <c r="R372" s="7"/>
      <c r="S372" s="7"/>
      <c r="T372" s="7"/>
      <c r="U372" s="7"/>
      <c r="V372" s="7"/>
      <c r="W372" s="7"/>
      <c r="X372" s="7"/>
      <c r="Y372" s="7"/>
      <c r="Z372" s="7"/>
    </row>
    <row r="373" spans="1:26" ht="9" customHeight="1" x14ac:dyDescent="0.2">
      <c r="A373" s="95"/>
      <c r="B373" s="95"/>
      <c r="C373" s="34" t="s">
        <v>37</v>
      </c>
      <c r="D373" s="35">
        <v>16</v>
      </c>
      <c r="E373" s="36">
        <v>20548549</v>
      </c>
      <c r="F373" s="36">
        <v>2004001</v>
      </c>
      <c r="G373" s="36">
        <v>0</v>
      </c>
      <c r="H373" s="36">
        <v>12507588</v>
      </c>
      <c r="I373" s="36">
        <v>0</v>
      </c>
      <c r="J373" s="37">
        <v>2921677</v>
      </c>
      <c r="K373" s="36">
        <v>35060138</v>
      </c>
      <c r="L373" s="38">
        <v>37981814</v>
      </c>
      <c r="M373" s="39"/>
      <c r="N373" s="36">
        <v>35060138</v>
      </c>
      <c r="O373" s="36">
        <v>22552550</v>
      </c>
      <c r="P373" s="36">
        <v>0</v>
      </c>
      <c r="Q373" s="36">
        <f>Q372*1936.27</f>
        <v>42041273.218111992</v>
      </c>
      <c r="R373" s="7"/>
      <c r="S373" s="7"/>
      <c r="T373" s="7"/>
      <c r="U373" s="7"/>
      <c r="V373" s="7"/>
      <c r="W373" s="7"/>
      <c r="X373" s="7"/>
      <c r="Y373" s="7"/>
      <c r="Z373" s="7"/>
    </row>
    <row r="374" spans="1:26" ht="12.75" customHeight="1" x14ac:dyDescent="0.2">
      <c r="A374" s="95"/>
      <c r="B374" s="95"/>
      <c r="C374" s="40" t="s">
        <v>36</v>
      </c>
      <c r="D374" s="41">
        <v>17</v>
      </c>
      <c r="E374" s="42">
        <v>11089.65</v>
      </c>
      <c r="F374" s="42">
        <v>1090.76</v>
      </c>
      <c r="G374" s="42">
        <v>0</v>
      </c>
      <c r="H374" s="42">
        <v>6459.63</v>
      </c>
      <c r="I374" s="42">
        <v>0</v>
      </c>
      <c r="J374" s="42">
        <v>1553.34</v>
      </c>
      <c r="K374" s="43">
        <v>18640.04</v>
      </c>
      <c r="L374" s="32">
        <v>20193.38</v>
      </c>
      <c r="M374" s="33"/>
      <c r="N374" s="30">
        <v>18640.04</v>
      </c>
      <c r="O374" s="30">
        <v>12180.41</v>
      </c>
      <c r="P374" s="30"/>
      <c r="Q374" s="30">
        <f>(N374+O374*0.18+J374)+(IF((P374-O374*0.18)&gt;0,(P374-O374*0.18),0))</f>
        <v>22385.853800000001</v>
      </c>
      <c r="R374" s="7"/>
      <c r="S374" s="7"/>
      <c r="T374" s="7"/>
      <c r="U374" s="7"/>
      <c r="V374" s="7"/>
      <c r="W374" s="7"/>
      <c r="X374" s="7"/>
      <c r="Y374" s="7"/>
      <c r="Z374" s="7"/>
    </row>
    <row r="375" spans="1:26" ht="9" customHeight="1" x14ac:dyDescent="0.2">
      <c r="A375" s="95"/>
      <c r="B375" s="95"/>
      <c r="C375" s="34" t="s">
        <v>37</v>
      </c>
      <c r="D375" s="35">
        <v>17</v>
      </c>
      <c r="E375" s="36">
        <v>21472557</v>
      </c>
      <c r="F375" s="36">
        <v>2112006</v>
      </c>
      <c r="G375" s="36">
        <v>0</v>
      </c>
      <c r="H375" s="36">
        <v>12507588</v>
      </c>
      <c r="I375" s="36">
        <v>0</v>
      </c>
      <c r="J375" s="37">
        <v>3007686</v>
      </c>
      <c r="K375" s="36">
        <v>36092150</v>
      </c>
      <c r="L375" s="38">
        <v>39099836</v>
      </c>
      <c r="M375" s="39"/>
      <c r="N375" s="36">
        <v>36092150</v>
      </c>
      <c r="O375" s="36">
        <v>23584562</v>
      </c>
      <c r="P375" s="36">
        <v>0</v>
      </c>
      <c r="Q375" s="36">
        <f>Q374*1936.27</f>
        <v>43345057.137326002</v>
      </c>
      <c r="R375" s="7"/>
      <c r="S375" s="7"/>
      <c r="T375" s="7"/>
      <c r="U375" s="7"/>
      <c r="V375" s="7"/>
      <c r="W375" s="7"/>
      <c r="X375" s="7"/>
      <c r="Y375" s="7"/>
      <c r="Z375" s="7"/>
    </row>
    <row r="376" spans="1:26" ht="12.75" customHeight="1" x14ac:dyDescent="0.2">
      <c r="A376" s="95"/>
      <c r="B376" s="95"/>
      <c r="C376" s="40" t="s">
        <v>36</v>
      </c>
      <c r="D376" s="41">
        <v>18</v>
      </c>
      <c r="E376" s="42">
        <v>11566.85</v>
      </c>
      <c r="F376" s="42">
        <v>1146.53</v>
      </c>
      <c r="G376" s="42">
        <v>0</v>
      </c>
      <c r="H376" s="42">
        <v>6459.63</v>
      </c>
      <c r="I376" s="42">
        <v>0</v>
      </c>
      <c r="J376" s="42">
        <v>1597.75</v>
      </c>
      <c r="K376" s="43">
        <v>19173.009999999998</v>
      </c>
      <c r="L376" s="32">
        <v>20770.759999999998</v>
      </c>
      <c r="M376" s="33"/>
      <c r="N376" s="30">
        <v>19173.009999999998</v>
      </c>
      <c r="O376" s="30">
        <v>12713.38</v>
      </c>
      <c r="P376" s="30"/>
      <c r="Q376" s="30">
        <f>(N376+O376*0.18+J376)+(IF((P376-O376*0.18)&gt;0,(P376-O376*0.18),0))</f>
        <v>23059.168399999999</v>
      </c>
      <c r="R376" s="7"/>
      <c r="S376" s="7"/>
      <c r="T376" s="7"/>
      <c r="U376" s="7"/>
      <c r="V376" s="7"/>
      <c r="W376" s="7"/>
      <c r="X376" s="7"/>
      <c r="Y376" s="7"/>
      <c r="Z376" s="7"/>
    </row>
    <row r="377" spans="1:26" ht="9" customHeight="1" x14ac:dyDescent="0.2">
      <c r="A377" s="95"/>
      <c r="B377" s="95"/>
      <c r="C377" s="34" t="s">
        <v>37</v>
      </c>
      <c r="D377" s="35">
        <v>19</v>
      </c>
      <c r="E377" s="36">
        <v>22396545</v>
      </c>
      <c r="F377" s="36">
        <v>2219992</v>
      </c>
      <c r="G377" s="36">
        <v>0</v>
      </c>
      <c r="H377" s="36">
        <v>12507588</v>
      </c>
      <c r="I377" s="36">
        <v>0</v>
      </c>
      <c r="J377" s="37">
        <v>3093675</v>
      </c>
      <c r="K377" s="36">
        <v>37124124</v>
      </c>
      <c r="L377" s="38">
        <v>40217799</v>
      </c>
      <c r="M377" s="39"/>
      <c r="N377" s="36">
        <v>37124124</v>
      </c>
      <c r="O377" s="36">
        <v>24616536</v>
      </c>
      <c r="P377" s="36">
        <v>0</v>
      </c>
      <c r="Q377" s="36">
        <f>Q376*1936.27</f>
        <v>44648775.997867994</v>
      </c>
      <c r="R377" s="7"/>
      <c r="S377" s="7"/>
      <c r="T377" s="7"/>
      <c r="U377" s="7"/>
      <c r="V377" s="7"/>
      <c r="W377" s="7"/>
      <c r="X377" s="7"/>
      <c r="Y377" s="7"/>
      <c r="Z377" s="7"/>
    </row>
    <row r="378" spans="1:26" ht="12.75" customHeight="1" x14ac:dyDescent="0.2">
      <c r="A378" s="95"/>
      <c r="B378" s="95"/>
      <c r="C378" s="40" t="s">
        <v>36</v>
      </c>
      <c r="D378" s="41">
        <v>20</v>
      </c>
      <c r="E378" s="42">
        <v>11882.92</v>
      </c>
      <c r="F378" s="42">
        <v>1177.52</v>
      </c>
      <c r="G378" s="42">
        <v>0</v>
      </c>
      <c r="H378" s="42">
        <v>6459.63</v>
      </c>
      <c r="I378" s="42">
        <v>0</v>
      </c>
      <c r="J378" s="42">
        <v>1626.67</v>
      </c>
      <c r="K378" s="43">
        <v>19520.07</v>
      </c>
      <c r="L378" s="32">
        <v>21146.74</v>
      </c>
      <c r="M378" s="33"/>
      <c r="N378" s="30">
        <v>19520.07</v>
      </c>
      <c r="O378" s="30">
        <v>13060.44</v>
      </c>
      <c r="P378" s="30"/>
      <c r="Q378" s="30">
        <f>(N378+O378*0.18+J378)+(IF((P378-O378*0.18)&gt;0,(P378-O378*0.18),0))</f>
        <v>23497.619200000001</v>
      </c>
      <c r="R378" s="7"/>
      <c r="S378" s="7"/>
      <c r="T378" s="7"/>
      <c r="U378" s="7"/>
      <c r="V378" s="7"/>
      <c r="W378" s="7"/>
      <c r="X378" s="7"/>
      <c r="Y378" s="7"/>
      <c r="Z378" s="7"/>
    </row>
    <row r="379" spans="1:26" ht="9" customHeight="1" x14ac:dyDescent="0.2">
      <c r="A379" s="95"/>
      <c r="B379" s="95"/>
      <c r="C379" s="34" t="s">
        <v>37</v>
      </c>
      <c r="D379" s="35">
        <v>21</v>
      </c>
      <c r="E379" s="36">
        <v>23008542</v>
      </c>
      <c r="F379" s="36">
        <v>2279997</v>
      </c>
      <c r="G379" s="36">
        <v>0</v>
      </c>
      <c r="H379" s="36">
        <v>12507588</v>
      </c>
      <c r="I379" s="36">
        <v>0</v>
      </c>
      <c r="J379" s="37">
        <v>3149672</v>
      </c>
      <c r="K379" s="36">
        <v>37796126</v>
      </c>
      <c r="L379" s="38">
        <v>40945798</v>
      </c>
      <c r="M379" s="39"/>
      <c r="N379" s="36">
        <v>37796126</v>
      </c>
      <c r="O379" s="36">
        <v>25288538</v>
      </c>
      <c r="P379" s="36">
        <v>0</v>
      </c>
      <c r="Q379" s="36">
        <f>Q378*1936.27</f>
        <v>45497735.128384002</v>
      </c>
      <c r="R379" s="7"/>
      <c r="S379" s="7"/>
      <c r="T379" s="7"/>
      <c r="U379" s="7"/>
      <c r="V379" s="7"/>
      <c r="W379" s="7"/>
      <c r="X379" s="7"/>
      <c r="Y379" s="7"/>
      <c r="Z379" s="7"/>
    </row>
    <row r="380" spans="1:26" ht="12.75" customHeight="1" x14ac:dyDescent="0.2">
      <c r="A380" s="95"/>
      <c r="B380" s="95"/>
      <c r="C380" s="40" t="s">
        <v>36</v>
      </c>
      <c r="D380" s="41">
        <v>22</v>
      </c>
      <c r="E380" s="42">
        <v>12271.38</v>
      </c>
      <c r="F380" s="42">
        <v>1214.71</v>
      </c>
      <c r="G380" s="42">
        <v>0</v>
      </c>
      <c r="H380" s="42">
        <v>6459.63</v>
      </c>
      <c r="I380" s="42">
        <v>0</v>
      </c>
      <c r="J380" s="42">
        <v>1662.14</v>
      </c>
      <c r="K380" s="43">
        <v>19945.72</v>
      </c>
      <c r="L380" s="32">
        <v>21607.86</v>
      </c>
      <c r="M380" s="33"/>
      <c r="N380" s="30">
        <v>19945.72</v>
      </c>
      <c r="O380" s="30">
        <v>13486.09</v>
      </c>
      <c r="P380" s="30"/>
      <c r="Q380" s="30">
        <f>(N380+O380*0.18+J380)+(IF((P380-O380*0.18)&gt;0,(P380-O380*0.18),0))</f>
        <v>24035.356200000002</v>
      </c>
      <c r="R380" s="7"/>
      <c r="S380" s="7"/>
      <c r="T380" s="7"/>
      <c r="U380" s="7"/>
      <c r="V380" s="7"/>
      <c r="W380" s="7"/>
      <c r="X380" s="7"/>
      <c r="Y380" s="7"/>
      <c r="Z380" s="7"/>
    </row>
    <row r="381" spans="1:26" ht="9" customHeight="1" x14ac:dyDescent="0.2">
      <c r="A381" s="95"/>
      <c r="B381" s="95"/>
      <c r="C381" s="34" t="s">
        <v>37</v>
      </c>
      <c r="D381" s="35">
        <v>23</v>
      </c>
      <c r="E381" s="36">
        <v>23760705</v>
      </c>
      <c r="F381" s="36">
        <v>2352007</v>
      </c>
      <c r="G381" s="36">
        <v>0</v>
      </c>
      <c r="H381" s="36">
        <v>12507588</v>
      </c>
      <c r="I381" s="36">
        <v>0</v>
      </c>
      <c r="J381" s="37">
        <v>3218352</v>
      </c>
      <c r="K381" s="36">
        <v>38620299</v>
      </c>
      <c r="L381" s="38">
        <v>41838651</v>
      </c>
      <c r="M381" s="39"/>
      <c r="N381" s="36">
        <v>38620299</v>
      </c>
      <c r="O381" s="36">
        <v>26112711</v>
      </c>
      <c r="P381" s="36">
        <v>0</v>
      </c>
      <c r="Q381" s="36">
        <f>Q380*1936.27</f>
        <v>46538939.149374001</v>
      </c>
      <c r="R381" s="7"/>
      <c r="S381" s="7"/>
      <c r="T381" s="7"/>
      <c r="U381" s="7"/>
      <c r="V381" s="7"/>
      <c r="W381" s="7"/>
      <c r="X381" s="7"/>
      <c r="Y381" s="7"/>
      <c r="Z381" s="7"/>
    </row>
    <row r="382" spans="1:26" ht="12.75" customHeight="1" x14ac:dyDescent="0.2">
      <c r="A382" s="95"/>
      <c r="B382" s="95"/>
      <c r="C382" s="40" t="s">
        <v>36</v>
      </c>
      <c r="D382" s="41">
        <v>24</v>
      </c>
      <c r="E382" s="42">
        <v>12581.26</v>
      </c>
      <c r="F382" s="42">
        <v>1245.69</v>
      </c>
      <c r="G382" s="42">
        <v>0</v>
      </c>
      <c r="H382" s="42">
        <v>6459.63</v>
      </c>
      <c r="I382" s="42">
        <v>0</v>
      </c>
      <c r="J382" s="42">
        <v>1690.55</v>
      </c>
      <c r="K382" s="43">
        <v>20286.580000000002</v>
      </c>
      <c r="L382" s="32">
        <v>21977.13</v>
      </c>
      <c r="M382" s="33"/>
      <c r="N382" s="30">
        <v>20286.580000000002</v>
      </c>
      <c r="O382" s="30">
        <v>13826.95</v>
      </c>
      <c r="P382" s="30"/>
      <c r="Q382" s="30">
        <f>(N382+O382*0.18+J382)+(IF((P382-O382*0.18)&gt;0,(P382-O382*0.18),0))</f>
        <v>24465.981</v>
      </c>
      <c r="R382" s="7"/>
      <c r="S382" s="7"/>
      <c r="T382" s="7"/>
      <c r="U382" s="7"/>
      <c r="V382" s="7"/>
      <c r="W382" s="7"/>
      <c r="X382" s="7"/>
      <c r="Y382" s="7"/>
      <c r="Z382" s="7"/>
    </row>
    <row r="383" spans="1:26" ht="9" customHeight="1" x14ac:dyDescent="0.2">
      <c r="A383" s="95"/>
      <c r="B383" s="95"/>
      <c r="C383" s="34" t="s">
        <v>37</v>
      </c>
      <c r="D383" s="35">
        <v>25</v>
      </c>
      <c r="E383" s="36">
        <v>24360716</v>
      </c>
      <c r="F383" s="36">
        <v>2411992</v>
      </c>
      <c r="G383" s="36">
        <v>0</v>
      </c>
      <c r="H383" s="36">
        <v>12507588</v>
      </c>
      <c r="I383" s="36">
        <v>0</v>
      </c>
      <c r="J383" s="37">
        <v>3273361</v>
      </c>
      <c r="K383" s="36">
        <v>39280296</v>
      </c>
      <c r="L383" s="38">
        <v>42553658</v>
      </c>
      <c r="M383" s="39"/>
      <c r="N383" s="36">
        <v>39280296</v>
      </c>
      <c r="O383" s="36">
        <v>26772708</v>
      </c>
      <c r="P383" s="36">
        <v>0</v>
      </c>
      <c r="Q383" s="36">
        <f>Q382*1936.27</f>
        <v>47372745.030869998</v>
      </c>
      <c r="R383" s="7"/>
      <c r="S383" s="7"/>
      <c r="T383" s="7"/>
      <c r="U383" s="7"/>
      <c r="V383" s="7"/>
      <c r="W383" s="7"/>
      <c r="X383" s="7"/>
      <c r="Y383" s="7"/>
      <c r="Z383" s="7"/>
    </row>
    <row r="384" spans="1:26" ht="12.75" customHeight="1" x14ac:dyDescent="0.2">
      <c r="A384" s="95"/>
      <c r="B384" s="95"/>
      <c r="C384" s="40" t="s">
        <v>36</v>
      </c>
      <c r="D384" s="41">
        <v>26</v>
      </c>
      <c r="E384" s="42">
        <v>12965.5</v>
      </c>
      <c r="F384" s="42">
        <v>1289.08</v>
      </c>
      <c r="G384" s="42">
        <v>0</v>
      </c>
      <c r="H384" s="42">
        <v>6459.63</v>
      </c>
      <c r="I384" s="42">
        <v>0</v>
      </c>
      <c r="J384" s="42">
        <v>1726.18</v>
      </c>
      <c r="K384" s="43">
        <v>20714.21</v>
      </c>
      <c r="L384" s="32">
        <v>22440.39</v>
      </c>
      <c r="M384" s="33"/>
      <c r="N384" s="30">
        <v>20714.21</v>
      </c>
      <c r="O384" s="30">
        <v>14254.58</v>
      </c>
      <c r="P384" s="30"/>
      <c r="Q384" s="30">
        <f>(N384+O384*0.18+J384)+(IF((P384-O384*0.18)&gt;0,(P384-O384*0.18),0))</f>
        <v>25006.214400000001</v>
      </c>
      <c r="R384" s="7"/>
      <c r="S384" s="7"/>
      <c r="T384" s="7"/>
      <c r="U384" s="7"/>
      <c r="V384" s="7"/>
      <c r="W384" s="7"/>
      <c r="X384" s="7"/>
      <c r="Y384" s="7"/>
      <c r="Z384" s="7"/>
    </row>
    <row r="385" spans="1:26" ht="9" customHeight="1" x14ac:dyDescent="0.2">
      <c r="A385" s="95"/>
      <c r="B385" s="95"/>
      <c r="C385" s="34" t="s">
        <v>37</v>
      </c>
      <c r="D385" s="35">
        <v>27</v>
      </c>
      <c r="E385" s="36">
        <v>25104709</v>
      </c>
      <c r="F385" s="36">
        <v>2496007</v>
      </c>
      <c r="G385" s="36">
        <v>0</v>
      </c>
      <c r="H385" s="36">
        <v>12507588</v>
      </c>
      <c r="I385" s="36">
        <v>0</v>
      </c>
      <c r="J385" s="37">
        <v>3342351</v>
      </c>
      <c r="K385" s="36">
        <v>40108303</v>
      </c>
      <c r="L385" s="38">
        <v>43450654</v>
      </c>
      <c r="M385" s="39"/>
      <c r="N385" s="36">
        <v>40108303</v>
      </c>
      <c r="O385" s="36">
        <v>27600716</v>
      </c>
      <c r="P385" s="36">
        <v>0</v>
      </c>
      <c r="Q385" s="36">
        <f>Q384*1936.27</f>
        <v>48418782.756287999</v>
      </c>
      <c r="R385" s="7"/>
      <c r="S385" s="7"/>
      <c r="T385" s="7"/>
      <c r="U385" s="7"/>
      <c r="V385" s="7"/>
      <c r="W385" s="7"/>
      <c r="X385" s="7"/>
      <c r="Y385" s="7"/>
      <c r="Z385" s="7"/>
    </row>
    <row r="386" spans="1:26" ht="12.75" customHeight="1" x14ac:dyDescent="0.2">
      <c r="A386" s="95"/>
      <c r="B386" s="95"/>
      <c r="C386" s="40" t="s">
        <v>36</v>
      </c>
      <c r="D386" s="41">
        <v>28</v>
      </c>
      <c r="E386" s="42">
        <v>13296.32</v>
      </c>
      <c r="F386" s="42">
        <v>1313.87</v>
      </c>
      <c r="G386" s="42">
        <v>0</v>
      </c>
      <c r="H386" s="42">
        <v>6459.63</v>
      </c>
      <c r="I386" s="42">
        <v>0</v>
      </c>
      <c r="J386" s="42">
        <v>1755.82</v>
      </c>
      <c r="K386" s="43">
        <v>21069.82</v>
      </c>
      <c r="L386" s="32">
        <v>22825.64</v>
      </c>
      <c r="M386" s="33"/>
      <c r="N386" s="30">
        <v>21069.82</v>
      </c>
      <c r="O386" s="30">
        <v>14610.19</v>
      </c>
      <c r="P386" s="30"/>
      <c r="Q386" s="30">
        <f>(N386+O386*0.18+J386)+(IF((P386-O386*0.18)&gt;0,(P386-O386*0.18),0))</f>
        <v>25455.474200000001</v>
      </c>
      <c r="R386" s="7"/>
      <c r="S386" s="7"/>
      <c r="T386" s="7"/>
      <c r="U386" s="7"/>
      <c r="V386" s="7"/>
      <c r="W386" s="7"/>
      <c r="X386" s="7"/>
      <c r="Y386" s="7"/>
      <c r="Z386" s="7"/>
    </row>
    <row r="387" spans="1:26" ht="9" customHeight="1" x14ac:dyDescent="0.2">
      <c r="A387" s="95"/>
      <c r="B387" s="95"/>
      <c r="C387" s="34" t="s">
        <v>37</v>
      </c>
      <c r="D387" s="35">
        <v>29</v>
      </c>
      <c r="E387" s="36">
        <v>25745266</v>
      </c>
      <c r="F387" s="36">
        <v>2544007</v>
      </c>
      <c r="G387" s="36">
        <v>0</v>
      </c>
      <c r="H387" s="36">
        <v>12507588</v>
      </c>
      <c r="I387" s="36">
        <v>0</v>
      </c>
      <c r="J387" s="37">
        <v>3399742</v>
      </c>
      <c r="K387" s="36">
        <v>40796860</v>
      </c>
      <c r="L387" s="38">
        <v>44196602</v>
      </c>
      <c r="M387" s="39"/>
      <c r="N387" s="36">
        <v>40796860</v>
      </c>
      <c r="O387" s="36">
        <v>28289273</v>
      </c>
      <c r="P387" s="36">
        <v>0</v>
      </c>
      <c r="Q387" s="36">
        <f>Q386*1936.27</f>
        <v>49288671.029234</v>
      </c>
      <c r="R387" s="7"/>
      <c r="S387" s="7"/>
      <c r="T387" s="7"/>
      <c r="U387" s="7"/>
      <c r="V387" s="7"/>
      <c r="W387" s="7"/>
      <c r="X387" s="7"/>
      <c r="Y387" s="7"/>
      <c r="Z387" s="7"/>
    </row>
    <row r="388" spans="1:26" ht="12.75" customHeight="1" x14ac:dyDescent="0.2">
      <c r="A388" s="95"/>
      <c r="B388" s="95"/>
      <c r="C388" s="40" t="s">
        <v>36</v>
      </c>
      <c r="D388" s="41">
        <v>30</v>
      </c>
      <c r="E388" s="42">
        <v>13612.39</v>
      </c>
      <c r="F388" s="42">
        <v>1351.05</v>
      </c>
      <c r="G388" s="42">
        <v>0</v>
      </c>
      <c r="H388" s="42">
        <v>6459.63</v>
      </c>
      <c r="I388" s="42">
        <v>0</v>
      </c>
      <c r="J388" s="42">
        <v>1785.26</v>
      </c>
      <c r="K388" s="43">
        <v>21423.07</v>
      </c>
      <c r="L388" s="32">
        <v>23208.33</v>
      </c>
      <c r="M388" s="33"/>
      <c r="N388" s="30">
        <v>21423.07</v>
      </c>
      <c r="O388" s="30">
        <v>14963.44</v>
      </c>
      <c r="P388" s="30"/>
      <c r="Q388" s="30">
        <f>(N388+O388*0.18+J388)+(IF((P388-O388*0.18)&gt;0,(P388-O388*0.18),0))</f>
        <v>25901.749199999998</v>
      </c>
      <c r="R388" s="7"/>
      <c r="S388" s="7"/>
      <c r="T388" s="7"/>
      <c r="U388" s="7"/>
      <c r="V388" s="7"/>
      <c r="W388" s="7"/>
      <c r="X388" s="7"/>
      <c r="Y388" s="7"/>
      <c r="Z388" s="7"/>
    </row>
    <row r="389" spans="1:26" ht="9" customHeight="1" x14ac:dyDescent="0.2">
      <c r="A389" s="95"/>
      <c r="B389" s="95"/>
      <c r="C389" s="34" t="s">
        <v>37</v>
      </c>
      <c r="D389" s="35">
        <v>31</v>
      </c>
      <c r="E389" s="36">
        <v>26357262</v>
      </c>
      <c r="F389" s="36">
        <v>2615998</v>
      </c>
      <c r="G389" s="36">
        <v>0</v>
      </c>
      <c r="H389" s="36">
        <v>12507588</v>
      </c>
      <c r="I389" s="36">
        <v>0</v>
      </c>
      <c r="J389" s="37">
        <v>3456745</v>
      </c>
      <c r="K389" s="36">
        <v>41480848</v>
      </c>
      <c r="L389" s="38">
        <v>44937593</v>
      </c>
      <c r="M389" s="39"/>
      <c r="N389" s="36">
        <v>41480848</v>
      </c>
      <c r="O389" s="36">
        <v>28973260</v>
      </c>
      <c r="P389" s="36">
        <v>0</v>
      </c>
      <c r="Q389" s="36">
        <f>Q388*1936.27</f>
        <v>50152779.923483998</v>
      </c>
      <c r="R389" s="7"/>
      <c r="S389" s="7"/>
      <c r="T389" s="7"/>
      <c r="U389" s="7"/>
      <c r="V389" s="7"/>
      <c r="W389" s="7"/>
      <c r="X389" s="7"/>
      <c r="Y389" s="7"/>
      <c r="Z389" s="7"/>
    </row>
    <row r="390" spans="1:26" ht="12.75" customHeight="1" x14ac:dyDescent="0.2">
      <c r="A390" s="95"/>
      <c r="B390" s="95"/>
      <c r="C390" s="40" t="s">
        <v>36</v>
      </c>
      <c r="D390" s="41">
        <v>32</v>
      </c>
      <c r="E390" s="42">
        <v>13922.27</v>
      </c>
      <c r="F390" s="42">
        <v>1382.04</v>
      </c>
      <c r="G390" s="42">
        <v>0</v>
      </c>
      <c r="H390" s="42">
        <v>6459.63</v>
      </c>
      <c r="I390" s="42">
        <v>0</v>
      </c>
      <c r="J390" s="42">
        <v>1813.66</v>
      </c>
      <c r="K390" s="43">
        <v>21763.94</v>
      </c>
      <c r="L390" s="32">
        <v>23577.599999999999</v>
      </c>
      <c r="M390" s="33"/>
      <c r="N390" s="30">
        <v>21763.94</v>
      </c>
      <c r="O390" s="30">
        <v>15304.31</v>
      </c>
      <c r="P390" s="30"/>
      <c r="Q390" s="30">
        <f>(N390+O390*0.18+J390)+(IF((P390-O390*0.18)&gt;0,(P390-O390*0.18),0))</f>
        <v>26332.375799999998</v>
      </c>
      <c r="R390" s="7"/>
      <c r="S390" s="7"/>
      <c r="T390" s="7"/>
      <c r="U390" s="7"/>
      <c r="V390" s="7"/>
      <c r="W390" s="7"/>
      <c r="X390" s="7"/>
      <c r="Y390" s="7"/>
      <c r="Z390" s="7"/>
    </row>
    <row r="391" spans="1:26" ht="9" customHeight="1" x14ac:dyDescent="0.2">
      <c r="A391" s="95"/>
      <c r="B391" s="95"/>
      <c r="C391" s="34" t="s">
        <v>37</v>
      </c>
      <c r="D391" s="35">
        <v>33</v>
      </c>
      <c r="E391" s="36">
        <v>26957274</v>
      </c>
      <c r="F391" s="36">
        <v>2676003</v>
      </c>
      <c r="G391" s="36">
        <v>0</v>
      </c>
      <c r="H391" s="36">
        <v>12507588</v>
      </c>
      <c r="I391" s="36">
        <v>0</v>
      </c>
      <c r="J391" s="37">
        <v>3511735</v>
      </c>
      <c r="K391" s="36">
        <v>42140864</v>
      </c>
      <c r="L391" s="38">
        <v>45652600</v>
      </c>
      <c r="M391" s="39"/>
      <c r="N391" s="36">
        <v>42140864</v>
      </c>
      <c r="O391" s="36">
        <v>29633276</v>
      </c>
      <c r="P391" s="36">
        <v>0</v>
      </c>
      <c r="Q391" s="36">
        <f>Q390*1936.27</f>
        <v>50986589.290265992</v>
      </c>
      <c r="R391" s="7"/>
      <c r="S391" s="7"/>
      <c r="T391" s="7"/>
      <c r="U391" s="7"/>
      <c r="V391" s="7"/>
      <c r="W391" s="7"/>
      <c r="X391" s="7"/>
      <c r="Y391" s="7"/>
      <c r="Z391" s="7"/>
    </row>
    <row r="392" spans="1:26" ht="12.75" customHeight="1" x14ac:dyDescent="0.2">
      <c r="A392" s="95"/>
      <c r="B392" s="95"/>
      <c r="C392" s="40" t="s">
        <v>36</v>
      </c>
      <c r="D392" s="41">
        <v>34</v>
      </c>
      <c r="E392" s="42">
        <v>14225.94</v>
      </c>
      <c r="F392" s="42">
        <v>1419.22</v>
      </c>
      <c r="G392" s="42">
        <v>0</v>
      </c>
      <c r="H392" s="42">
        <v>6459.63</v>
      </c>
      <c r="I392" s="42">
        <v>0</v>
      </c>
      <c r="J392" s="42">
        <v>1842.07</v>
      </c>
      <c r="K392" s="43">
        <v>22104.79</v>
      </c>
      <c r="L392" s="32">
        <v>23946.86</v>
      </c>
      <c r="M392" s="33"/>
      <c r="N392" s="30">
        <v>22104.79</v>
      </c>
      <c r="O392" s="30">
        <v>15645.16</v>
      </c>
      <c r="P392" s="30"/>
      <c r="Q392" s="30">
        <f>(N392+O392*0.18+J392)+(IF((P392-O392*0.18)&gt;0,(P392-O392*0.18),0))</f>
        <v>26762.988799999999</v>
      </c>
      <c r="R392" s="7"/>
      <c r="S392" s="7"/>
      <c r="T392" s="7"/>
      <c r="U392" s="7"/>
      <c r="V392" s="7"/>
      <c r="W392" s="7"/>
      <c r="X392" s="7"/>
      <c r="Y392" s="7"/>
      <c r="Z392" s="7"/>
    </row>
    <row r="393" spans="1:26" ht="9" customHeight="1" x14ac:dyDescent="0.2">
      <c r="A393" s="95"/>
      <c r="B393" s="95"/>
      <c r="C393" s="34" t="s">
        <v>37</v>
      </c>
      <c r="D393" s="35">
        <v>35</v>
      </c>
      <c r="E393" s="36">
        <v>27545261</v>
      </c>
      <c r="F393" s="36">
        <v>2747993</v>
      </c>
      <c r="G393" s="36">
        <v>0</v>
      </c>
      <c r="H393" s="36">
        <v>12507588</v>
      </c>
      <c r="I393" s="36">
        <v>0</v>
      </c>
      <c r="J393" s="37">
        <v>3566745</v>
      </c>
      <c r="K393" s="36">
        <v>42800842</v>
      </c>
      <c r="L393" s="38">
        <v>46367587</v>
      </c>
      <c r="M393" s="39"/>
      <c r="N393" s="36">
        <v>42800842</v>
      </c>
      <c r="O393" s="36">
        <v>30293254</v>
      </c>
      <c r="P393" s="36">
        <v>0</v>
      </c>
      <c r="Q393" s="36">
        <f>Q392*1936.27</f>
        <v>51820372.323775999</v>
      </c>
      <c r="R393" s="7"/>
      <c r="S393" s="7"/>
      <c r="T393" s="7"/>
      <c r="U393" s="7"/>
      <c r="V393" s="7"/>
      <c r="W393" s="7"/>
      <c r="X393" s="7"/>
      <c r="Y393" s="7"/>
      <c r="Z393" s="7"/>
    </row>
    <row r="394" spans="1:26" ht="12.75" customHeight="1" x14ac:dyDescent="0.2">
      <c r="A394" s="95"/>
      <c r="B394" s="95"/>
      <c r="C394" s="40" t="s">
        <v>36</v>
      </c>
      <c r="D394" s="41">
        <v>36</v>
      </c>
      <c r="E394" s="42">
        <v>14604.11</v>
      </c>
      <c r="F394" s="42">
        <v>1450.21</v>
      </c>
      <c r="G394" s="42">
        <v>0</v>
      </c>
      <c r="H394" s="42">
        <v>6459.63</v>
      </c>
      <c r="I394" s="42">
        <v>0</v>
      </c>
      <c r="J394" s="42">
        <v>1876.16</v>
      </c>
      <c r="K394" s="43">
        <v>22513.95</v>
      </c>
      <c r="L394" s="32">
        <v>24390.11</v>
      </c>
      <c r="M394" s="33"/>
      <c r="N394" s="30">
        <v>22513.95</v>
      </c>
      <c r="O394" s="30">
        <v>16054.32</v>
      </c>
      <c r="P394" s="30"/>
      <c r="Q394" s="30">
        <f>(N394+O394*0.18+J394)+(IF((P394-O394*0.18)&gt;0,(P394-O394*0.18),0))</f>
        <v>27279.887600000002</v>
      </c>
      <c r="R394" s="7"/>
      <c r="S394" s="7"/>
      <c r="T394" s="7"/>
      <c r="U394" s="7"/>
      <c r="V394" s="7"/>
      <c r="W394" s="7"/>
      <c r="X394" s="7"/>
      <c r="Y394" s="7"/>
      <c r="Z394" s="7"/>
    </row>
    <row r="395" spans="1:26" ht="9" customHeight="1" x14ac:dyDescent="0.2">
      <c r="A395" s="95"/>
      <c r="B395" s="95"/>
      <c r="C395" s="34" t="s">
        <v>37</v>
      </c>
      <c r="D395" s="35">
        <v>37</v>
      </c>
      <c r="E395" s="36">
        <v>28277500</v>
      </c>
      <c r="F395" s="36">
        <v>2807998</v>
      </c>
      <c r="G395" s="36">
        <v>0</v>
      </c>
      <c r="H395" s="36">
        <v>12507588</v>
      </c>
      <c r="I395" s="36">
        <v>0</v>
      </c>
      <c r="J395" s="37">
        <v>3632752</v>
      </c>
      <c r="K395" s="36">
        <v>43593086</v>
      </c>
      <c r="L395" s="38">
        <v>47225838</v>
      </c>
      <c r="M395" s="39"/>
      <c r="N395" s="36">
        <v>43593086</v>
      </c>
      <c r="O395" s="36">
        <v>31085498</v>
      </c>
      <c r="P395" s="36">
        <v>0</v>
      </c>
      <c r="Q395" s="36">
        <f>Q394*1936.27</f>
        <v>52821227.963252001</v>
      </c>
      <c r="R395" s="7"/>
      <c r="S395" s="7"/>
      <c r="T395" s="7"/>
      <c r="U395" s="7"/>
      <c r="V395" s="7"/>
      <c r="W395" s="7"/>
      <c r="X395" s="7"/>
      <c r="Y395" s="7"/>
      <c r="Z395" s="7"/>
    </row>
    <row r="396" spans="1:26" ht="12.75" customHeight="1" x14ac:dyDescent="0.2">
      <c r="A396" s="95"/>
      <c r="B396" s="95"/>
      <c r="C396" s="40" t="s">
        <v>36</v>
      </c>
      <c r="D396" s="41">
        <v>38</v>
      </c>
      <c r="E396" s="42">
        <v>14913.99</v>
      </c>
      <c r="F396" s="42">
        <v>1487.4</v>
      </c>
      <c r="G396" s="42">
        <v>0</v>
      </c>
      <c r="H396" s="42">
        <v>6459.63</v>
      </c>
      <c r="I396" s="42">
        <v>0</v>
      </c>
      <c r="J396" s="42">
        <v>1905.09</v>
      </c>
      <c r="K396" s="43">
        <v>22861.02</v>
      </c>
      <c r="L396" s="32">
        <v>24766.11</v>
      </c>
      <c r="M396" s="33"/>
      <c r="N396" s="30">
        <v>22861.02</v>
      </c>
      <c r="O396" s="30">
        <v>16401.39</v>
      </c>
      <c r="P396" s="30"/>
      <c r="Q396" s="30">
        <f>(N396+O396*0.18+J396)+(IF((P396-O396*0.18)&gt;0,(P396-O396*0.18),0))</f>
        <v>27718.360199999999</v>
      </c>
      <c r="R396" s="7"/>
      <c r="S396" s="7"/>
      <c r="T396" s="7"/>
      <c r="U396" s="7"/>
      <c r="V396" s="7"/>
      <c r="W396" s="7"/>
      <c r="X396" s="7"/>
      <c r="Y396" s="7"/>
      <c r="Z396" s="7"/>
    </row>
    <row r="397" spans="1:26" ht="9" customHeight="1" x14ac:dyDescent="0.2">
      <c r="A397" s="95"/>
      <c r="B397" s="95"/>
      <c r="C397" s="34" t="s">
        <v>37</v>
      </c>
      <c r="D397" s="35">
        <v>39</v>
      </c>
      <c r="E397" s="36">
        <v>28877511</v>
      </c>
      <c r="F397" s="36">
        <v>2880008</v>
      </c>
      <c r="G397" s="36">
        <v>0</v>
      </c>
      <c r="H397" s="36">
        <v>12507588</v>
      </c>
      <c r="I397" s="36">
        <v>0</v>
      </c>
      <c r="J397" s="37">
        <v>3688769</v>
      </c>
      <c r="K397" s="36">
        <v>44265107</v>
      </c>
      <c r="L397" s="38">
        <v>47953876</v>
      </c>
      <c r="M397" s="39"/>
      <c r="N397" s="36">
        <v>44265107</v>
      </c>
      <c r="O397" s="36">
        <v>31757519</v>
      </c>
      <c r="P397" s="36">
        <v>0</v>
      </c>
      <c r="Q397" s="36">
        <f>Q396*1936.27</f>
        <v>53670229.304453999</v>
      </c>
      <c r="R397" s="7"/>
      <c r="S397" s="7"/>
      <c r="T397" s="7"/>
      <c r="U397" s="7"/>
      <c r="V397" s="7"/>
      <c r="W397" s="7"/>
      <c r="X397" s="7"/>
      <c r="Y397" s="7"/>
      <c r="Z397" s="7"/>
    </row>
    <row r="398" spans="1:26" ht="12.75" customHeight="1" x14ac:dyDescent="0.2">
      <c r="A398" s="95"/>
      <c r="B398" s="95"/>
      <c r="C398" s="40" t="s">
        <v>36</v>
      </c>
      <c r="D398" s="41">
        <v>40</v>
      </c>
      <c r="E398" s="42">
        <v>15230.06</v>
      </c>
      <c r="F398" s="42">
        <v>1518.38</v>
      </c>
      <c r="G398" s="42">
        <v>0</v>
      </c>
      <c r="H398" s="42">
        <v>6459.63</v>
      </c>
      <c r="I398" s="42">
        <v>0</v>
      </c>
      <c r="J398" s="42">
        <v>1934.01</v>
      </c>
      <c r="K398" s="43">
        <v>23208.07</v>
      </c>
      <c r="L398" s="32">
        <v>25142.080000000002</v>
      </c>
      <c r="M398" s="33"/>
      <c r="N398" s="30">
        <v>23208.07</v>
      </c>
      <c r="O398" s="30">
        <v>16748.439999999999</v>
      </c>
      <c r="P398" s="30"/>
      <c r="Q398" s="30">
        <f>(N398+O398*0.18+J398)+(IF((P398-O398*0.18)&gt;0,(P398-O398*0.18),0))</f>
        <v>28156.799199999998</v>
      </c>
      <c r="R398" s="7"/>
      <c r="S398" s="7"/>
      <c r="T398" s="7"/>
      <c r="U398" s="7"/>
      <c r="V398" s="7"/>
      <c r="W398" s="7"/>
      <c r="X398" s="7"/>
      <c r="Y398" s="7"/>
      <c r="Z398" s="7"/>
    </row>
    <row r="399" spans="1:26" ht="12.75" customHeight="1" x14ac:dyDescent="0.2">
      <c r="A399" s="95"/>
      <c r="B399" s="95"/>
      <c r="C399" s="115"/>
      <c r="D399" s="45"/>
      <c r="E399" s="116"/>
      <c r="F399" s="116"/>
      <c r="G399" s="116"/>
      <c r="H399" s="116"/>
      <c r="I399" s="116"/>
      <c r="J399" s="117"/>
      <c r="K399" s="118"/>
      <c r="L399" s="123"/>
      <c r="M399" s="33"/>
      <c r="N399" s="116"/>
      <c r="O399" s="116"/>
      <c r="P399" s="116"/>
      <c r="Q399" s="116"/>
      <c r="R399" s="7"/>
      <c r="S399" s="7"/>
      <c r="T399" s="7"/>
      <c r="U399" s="7"/>
      <c r="V399" s="7"/>
      <c r="W399" s="7"/>
      <c r="X399" s="7"/>
      <c r="Y399" s="7"/>
      <c r="Z399" s="7"/>
    </row>
    <row r="400" spans="1:26" ht="9" customHeight="1" x14ac:dyDescent="0.2">
      <c r="A400" s="95"/>
      <c r="B400" s="95"/>
      <c r="C400" s="47"/>
      <c r="D400" s="48"/>
      <c r="E400" s="46">
        <v>28095491</v>
      </c>
      <c r="F400" s="46">
        <v>2939994</v>
      </c>
      <c r="G400" s="46">
        <v>240001</v>
      </c>
      <c r="H400" s="46">
        <v>12507588</v>
      </c>
      <c r="I400" s="46">
        <v>0</v>
      </c>
      <c r="J400" s="49">
        <v>3648591</v>
      </c>
      <c r="K400" s="46">
        <v>43783073</v>
      </c>
      <c r="L400" s="124">
        <v>47431664</v>
      </c>
      <c r="M400" s="39"/>
      <c r="N400" s="36">
        <v>43783073</v>
      </c>
      <c r="O400" s="36">
        <v>31275485</v>
      </c>
      <c r="P400" s="36">
        <v>0</v>
      </c>
      <c r="Q400" s="36">
        <f>Q397*1936.27</f>
        <v>103920054895.33514</v>
      </c>
      <c r="R400" s="7"/>
      <c r="S400" s="7"/>
      <c r="T400" s="7"/>
      <c r="U400" s="7"/>
      <c r="V400" s="7"/>
      <c r="W400" s="7"/>
      <c r="X400" s="7"/>
      <c r="Y400" s="7"/>
      <c r="Z400" s="7"/>
    </row>
    <row r="401" spans="1:26" ht="9" customHeight="1" x14ac:dyDescent="0.2">
      <c r="A401" s="110"/>
      <c r="B401" s="110"/>
      <c r="C401" s="47"/>
      <c r="D401" s="48"/>
      <c r="E401" s="46">
        <v>29489508</v>
      </c>
      <c r="F401" s="46">
        <v>2939994</v>
      </c>
      <c r="G401" s="46">
        <v>0</v>
      </c>
      <c r="H401" s="46">
        <v>12507588</v>
      </c>
      <c r="I401" s="46">
        <v>0</v>
      </c>
      <c r="J401" s="49">
        <v>3744766</v>
      </c>
      <c r="K401" s="46">
        <v>44937090</v>
      </c>
      <c r="L401" s="38">
        <v>48681855</v>
      </c>
      <c r="M401" s="39"/>
      <c r="N401" s="36">
        <v>44937090</v>
      </c>
      <c r="O401" s="36">
        <v>32429502</v>
      </c>
      <c r="P401" s="36">
        <v>0</v>
      </c>
      <c r="Q401" s="36">
        <f>Q398*1936.27</f>
        <v>54519165.586983994</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98">
        <v>35065</v>
      </c>
      <c r="B420" s="98">
        <v>35369</v>
      </c>
      <c r="C420" s="28" t="s">
        <v>36</v>
      </c>
      <c r="D420" s="29">
        <v>0</v>
      </c>
      <c r="E420" s="30">
        <v>8741.0300000000007</v>
      </c>
      <c r="F420" s="30">
        <v>0</v>
      </c>
      <c r="G420" s="30">
        <v>0</v>
      </c>
      <c r="H420" s="30">
        <v>6459.63</v>
      </c>
      <c r="I420" s="30">
        <v>0</v>
      </c>
      <c r="J420" s="30">
        <v>1266.72</v>
      </c>
      <c r="K420" s="31">
        <v>15200.66</v>
      </c>
      <c r="L420" s="32">
        <v>16467.38</v>
      </c>
      <c r="M420" s="33"/>
      <c r="N420" s="30">
        <v>15200.66</v>
      </c>
      <c r="O420" s="30">
        <v>8741.0300000000007</v>
      </c>
      <c r="P420" s="30"/>
      <c r="Q420" s="30">
        <f>(N420+O420*0.18+J420)+(IF((P420-O420*0.18)&gt;0,(P420-O420*0.18),0))</f>
        <v>18040.7654</v>
      </c>
      <c r="R420" s="7"/>
      <c r="S420" s="7"/>
      <c r="T420" s="7"/>
      <c r="U420" s="7"/>
      <c r="V420" s="7"/>
      <c r="W420" s="7"/>
      <c r="X420" s="7"/>
      <c r="Y420" s="7"/>
      <c r="Z420" s="7"/>
    </row>
    <row r="421" spans="1:26" ht="9" customHeight="1" x14ac:dyDescent="0.2">
      <c r="A421" s="95"/>
      <c r="B421" s="95"/>
      <c r="C421" s="34" t="s">
        <v>37</v>
      </c>
      <c r="D421" s="35">
        <v>2</v>
      </c>
      <c r="E421" s="36">
        <v>16924994</v>
      </c>
      <c r="F421" s="36">
        <v>0</v>
      </c>
      <c r="G421" s="36">
        <v>0</v>
      </c>
      <c r="H421" s="36">
        <v>12507588</v>
      </c>
      <c r="I421" s="36">
        <v>0</v>
      </c>
      <c r="J421" s="37">
        <v>2452712</v>
      </c>
      <c r="K421" s="36">
        <v>29432582</v>
      </c>
      <c r="L421" s="38">
        <v>31885294</v>
      </c>
      <c r="M421" s="39"/>
      <c r="N421" s="36">
        <v>29432582</v>
      </c>
      <c r="O421" s="36">
        <v>16924994</v>
      </c>
      <c r="P421" s="36">
        <v>0</v>
      </c>
      <c r="Q421" s="36">
        <f>Q420*1936.27</f>
        <v>34931792.821057998</v>
      </c>
      <c r="R421" s="7"/>
      <c r="S421" s="7"/>
      <c r="T421" s="7"/>
      <c r="U421" s="7"/>
      <c r="V421" s="7"/>
      <c r="W421" s="7"/>
      <c r="X421" s="7"/>
      <c r="Y421" s="7"/>
      <c r="Z421" s="7"/>
    </row>
    <row r="422" spans="1:26" ht="12.75" customHeight="1" x14ac:dyDescent="0.2">
      <c r="A422" s="156">
        <v>35065</v>
      </c>
      <c r="B422" s="156">
        <v>35369</v>
      </c>
      <c r="C422" s="40" t="s">
        <v>36</v>
      </c>
      <c r="D422" s="41">
        <v>3</v>
      </c>
      <c r="E422" s="42">
        <v>9161.43</v>
      </c>
      <c r="F422" s="42">
        <v>0</v>
      </c>
      <c r="G422" s="42">
        <v>0</v>
      </c>
      <c r="H422" s="42">
        <v>6459.63</v>
      </c>
      <c r="I422" s="42">
        <v>0</v>
      </c>
      <c r="J422" s="42">
        <v>1301.76</v>
      </c>
      <c r="K422" s="43">
        <v>15621.06</v>
      </c>
      <c r="L422" s="32">
        <v>16922.82</v>
      </c>
      <c r="M422" s="33"/>
      <c r="N422" s="30">
        <v>15621.06</v>
      </c>
      <c r="O422" s="30">
        <v>9161.43</v>
      </c>
      <c r="P422" s="30"/>
      <c r="Q422" s="30">
        <f>(N422+O422*0.18+J422)+(IF((P422-O422*0.18)&gt;0,(P422-O422*0.18),0))</f>
        <v>18571.877399999998</v>
      </c>
      <c r="R422" s="7"/>
      <c r="S422" s="7"/>
      <c r="T422" s="7"/>
      <c r="U422" s="7"/>
      <c r="V422" s="7"/>
      <c r="W422" s="7"/>
      <c r="X422" s="7"/>
      <c r="Y422" s="7"/>
      <c r="Z422" s="7"/>
    </row>
    <row r="423" spans="1:26" ht="9" customHeight="1" x14ac:dyDescent="0.2">
      <c r="A423" s="95"/>
      <c r="B423" s="95"/>
      <c r="C423" s="34" t="s">
        <v>37</v>
      </c>
      <c r="D423" s="35">
        <v>8</v>
      </c>
      <c r="E423" s="36">
        <v>17739002</v>
      </c>
      <c r="F423" s="36">
        <v>0</v>
      </c>
      <c r="G423" s="36">
        <v>0</v>
      </c>
      <c r="H423" s="36">
        <v>12507588</v>
      </c>
      <c r="I423" s="36">
        <v>0</v>
      </c>
      <c r="J423" s="37">
        <v>2520559</v>
      </c>
      <c r="K423" s="36">
        <v>30246590</v>
      </c>
      <c r="L423" s="38">
        <v>32767149</v>
      </c>
      <c r="M423" s="39"/>
      <c r="N423" s="36">
        <v>30246590</v>
      </c>
      <c r="O423" s="36">
        <v>17739002</v>
      </c>
      <c r="P423" s="36">
        <v>0</v>
      </c>
      <c r="Q423" s="36">
        <f>Q422*1936.27</f>
        <v>35960169.053297997</v>
      </c>
      <c r="R423" s="7"/>
      <c r="S423" s="7"/>
      <c r="T423" s="7"/>
      <c r="U423" s="7"/>
      <c r="V423" s="7"/>
      <c r="W423" s="7"/>
      <c r="X423" s="7"/>
      <c r="Y423" s="7"/>
      <c r="Z423" s="7"/>
    </row>
    <row r="424" spans="1:26" ht="12.75" customHeight="1" x14ac:dyDescent="0.2">
      <c r="A424" s="95"/>
      <c r="B424" s="95"/>
      <c r="C424" s="40" t="s">
        <v>36</v>
      </c>
      <c r="D424" s="41">
        <v>9</v>
      </c>
      <c r="E424" s="42">
        <v>10525.39</v>
      </c>
      <c r="F424" s="42">
        <v>0</v>
      </c>
      <c r="G424" s="42">
        <v>0</v>
      </c>
      <c r="H424" s="42">
        <v>6459.63</v>
      </c>
      <c r="I424" s="42">
        <v>0</v>
      </c>
      <c r="J424" s="42">
        <v>1415.42</v>
      </c>
      <c r="K424" s="43">
        <v>16985.02</v>
      </c>
      <c r="L424" s="32">
        <v>18400.439999999999</v>
      </c>
      <c r="M424" s="33"/>
      <c r="N424" s="30">
        <v>16985.02</v>
      </c>
      <c r="O424" s="30">
        <v>10525.39</v>
      </c>
      <c r="P424" s="30"/>
      <c r="Q424" s="30">
        <f>(N424+O424*0.18+J424)+(IF((P424-O424*0.18)&gt;0,(P424-O424*0.18),0))</f>
        <v>20295.010199999997</v>
      </c>
      <c r="R424" s="7"/>
      <c r="S424" s="7"/>
      <c r="T424" s="7"/>
      <c r="U424" s="7"/>
      <c r="V424" s="7"/>
      <c r="W424" s="7"/>
      <c r="X424" s="7"/>
      <c r="Y424" s="7"/>
      <c r="Z424" s="7"/>
    </row>
    <row r="425" spans="1:26" ht="9" customHeight="1" x14ac:dyDescent="0.2">
      <c r="A425" s="95"/>
      <c r="B425" s="95"/>
      <c r="C425" s="34" t="s">
        <v>37</v>
      </c>
      <c r="D425" s="35">
        <v>14</v>
      </c>
      <c r="E425" s="36">
        <v>20379997</v>
      </c>
      <c r="F425" s="36">
        <v>0</v>
      </c>
      <c r="G425" s="36">
        <v>0</v>
      </c>
      <c r="H425" s="36">
        <v>12507588</v>
      </c>
      <c r="I425" s="36">
        <v>0</v>
      </c>
      <c r="J425" s="37">
        <v>2740635</v>
      </c>
      <c r="K425" s="36">
        <v>32887585</v>
      </c>
      <c r="L425" s="38">
        <v>35628220</v>
      </c>
      <c r="M425" s="39"/>
      <c r="N425" s="36">
        <v>32887585</v>
      </c>
      <c r="O425" s="36">
        <v>20379997</v>
      </c>
      <c r="P425" s="36">
        <v>0</v>
      </c>
      <c r="Q425" s="36">
        <f>Q424*1936.27</f>
        <v>39296619.399953991</v>
      </c>
      <c r="R425" s="7"/>
      <c r="S425" s="7"/>
      <c r="T425" s="7"/>
      <c r="U425" s="7"/>
      <c r="V425" s="7"/>
      <c r="W425" s="7"/>
      <c r="X425" s="7"/>
      <c r="Y425" s="7"/>
      <c r="Z425" s="7"/>
    </row>
    <row r="426" spans="1:26" ht="12.75" customHeight="1" x14ac:dyDescent="0.2">
      <c r="A426" s="95"/>
      <c r="B426" s="95"/>
      <c r="C426" s="40" t="s">
        <v>36</v>
      </c>
      <c r="D426" s="41">
        <v>15</v>
      </c>
      <c r="E426" s="42">
        <v>12100.07</v>
      </c>
      <c r="F426" s="42">
        <v>0</v>
      </c>
      <c r="G426" s="42">
        <v>0</v>
      </c>
      <c r="H426" s="42">
        <v>6459.63</v>
      </c>
      <c r="I426" s="42">
        <v>0</v>
      </c>
      <c r="J426" s="42">
        <v>1546.64</v>
      </c>
      <c r="K426" s="43">
        <v>18559.7</v>
      </c>
      <c r="L426" s="32">
        <v>20106.34</v>
      </c>
      <c r="M426" s="33"/>
      <c r="N426" s="30">
        <v>18559.7</v>
      </c>
      <c r="O426" s="30">
        <v>12100.07</v>
      </c>
      <c r="P426" s="30"/>
      <c r="Q426" s="30">
        <f>(N426+O426*0.18+J426)+(IF((P426-O426*0.18)&gt;0,(P426-O426*0.18),0))</f>
        <v>22284.352599999998</v>
      </c>
      <c r="R426" s="7"/>
      <c r="S426" s="7"/>
      <c r="T426" s="7"/>
      <c r="U426" s="7"/>
      <c r="V426" s="7"/>
      <c r="W426" s="7"/>
      <c r="X426" s="7"/>
      <c r="Y426" s="7"/>
      <c r="Z426" s="7"/>
    </row>
    <row r="427" spans="1:26" ht="9" customHeight="1" x14ac:dyDescent="0.2">
      <c r="A427" s="95"/>
      <c r="B427" s="95"/>
      <c r="C427" s="34" t="s">
        <v>37</v>
      </c>
      <c r="D427" s="35">
        <v>20</v>
      </c>
      <c r="E427" s="36">
        <v>23429003</v>
      </c>
      <c r="F427" s="36">
        <v>0</v>
      </c>
      <c r="G427" s="36">
        <v>0</v>
      </c>
      <c r="H427" s="36">
        <v>12507588</v>
      </c>
      <c r="I427" s="36">
        <v>0</v>
      </c>
      <c r="J427" s="37">
        <v>2994713</v>
      </c>
      <c r="K427" s="36">
        <v>35936590</v>
      </c>
      <c r="L427" s="38">
        <v>38931303</v>
      </c>
      <c r="M427" s="39"/>
      <c r="N427" s="36">
        <v>35936590</v>
      </c>
      <c r="O427" s="36">
        <v>23429003</v>
      </c>
      <c r="P427" s="36">
        <v>0</v>
      </c>
      <c r="Q427" s="36">
        <f>Q426*1936.27</f>
        <v>43148523.408801995</v>
      </c>
      <c r="R427" s="7"/>
      <c r="S427" s="7"/>
      <c r="T427" s="7"/>
      <c r="U427" s="7"/>
      <c r="V427" s="7"/>
      <c r="W427" s="7"/>
      <c r="X427" s="7"/>
      <c r="Y427" s="7"/>
      <c r="Z427" s="7"/>
    </row>
    <row r="428" spans="1:26" ht="12.75" customHeight="1" x14ac:dyDescent="0.2">
      <c r="A428" s="95"/>
      <c r="B428" s="95"/>
      <c r="C428" s="40" t="s">
        <v>36</v>
      </c>
      <c r="D428" s="41">
        <v>21</v>
      </c>
      <c r="E428" s="42">
        <v>13634.98</v>
      </c>
      <c r="F428" s="42">
        <v>0</v>
      </c>
      <c r="G428" s="42">
        <v>0</v>
      </c>
      <c r="H428" s="42">
        <v>6459.63</v>
      </c>
      <c r="I428" s="42">
        <v>0</v>
      </c>
      <c r="J428" s="42">
        <v>1674.55</v>
      </c>
      <c r="K428" s="43">
        <v>20094.61</v>
      </c>
      <c r="L428" s="32">
        <v>21769.16</v>
      </c>
      <c r="M428" s="33"/>
      <c r="N428" s="30">
        <v>20094.61</v>
      </c>
      <c r="O428" s="30">
        <v>13634.98</v>
      </c>
      <c r="P428" s="30"/>
      <c r="Q428" s="30">
        <f>(N428+O428*0.18+J428)+(IF((P428-O428*0.18)&gt;0,(P428-O428*0.18),0))</f>
        <v>24223.456399999999</v>
      </c>
      <c r="R428" s="7"/>
      <c r="S428" s="7"/>
      <c r="T428" s="7"/>
      <c r="U428" s="7"/>
      <c r="V428" s="7"/>
      <c r="W428" s="7"/>
      <c r="X428" s="7"/>
      <c r="Y428" s="7"/>
      <c r="Z428" s="7"/>
    </row>
    <row r="429" spans="1:26" ht="9" customHeight="1" x14ac:dyDescent="0.2">
      <c r="A429" s="95"/>
      <c r="B429" s="95"/>
      <c r="C429" s="34" t="s">
        <v>37</v>
      </c>
      <c r="D429" s="35">
        <v>27</v>
      </c>
      <c r="E429" s="36">
        <v>26401003</v>
      </c>
      <c r="F429" s="36">
        <v>0</v>
      </c>
      <c r="G429" s="36">
        <v>0</v>
      </c>
      <c r="H429" s="36">
        <v>12507588</v>
      </c>
      <c r="I429" s="36">
        <v>0</v>
      </c>
      <c r="J429" s="37">
        <v>3242381</v>
      </c>
      <c r="K429" s="36">
        <v>38908591</v>
      </c>
      <c r="L429" s="38">
        <v>42150971</v>
      </c>
      <c r="M429" s="39"/>
      <c r="N429" s="36">
        <v>38908591</v>
      </c>
      <c r="O429" s="36">
        <v>26401003</v>
      </c>
      <c r="P429" s="36">
        <v>0</v>
      </c>
      <c r="Q429" s="36">
        <f>Q428*1936.27</f>
        <v>46903151.923627995</v>
      </c>
      <c r="R429" s="7"/>
      <c r="S429" s="7"/>
      <c r="T429" s="7"/>
      <c r="U429" s="7"/>
      <c r="V429" s="7"/>
      <c r="W429" s="7"/>
      <c r="X429" s="7"/>
      <c r="Y429" s="7"/>
      <c r="Z429" s="7"/>
    </row>
    <row r="430" spans="1:26" ht="12.75" customHeight="1" x14ac:dyDescent="0.2">
      <c r="A430" s="95"/>
      <c r="B430" s="95"/>
      <c r="C430" s="40" t="s">
        <v>36</v>
      </c>
      <c r="D430" s="41">
        <v>28</v>
      </c>
      <c r="E430" s="42">
        <v>15136.84</v>
      </c>
      <c r="F430" s="42">
        <v>0</v>
      </c>
      <c r="G430" s="42">
        <v>0</v>
      </c>
      <c r="H430" s="42">
        <v>6459.63</v>
      </c>
      <c r="I430" s="42">
        <v>0</v>
      </c>
      <c r="J430" s="42">
        <v>1799.71</v>
      </c>
      <c r="K430" s="43">
        <v>21596.47</v>
      </c>
      <c r="L430" s="32">
        <v>23396.18</v>
      </c>
      <c r="M430" s="33"/>
      <c r="N430" s="30">
        <v>21596.47</v>
      </c>
      <c r="O430" s="30">
        <v>15136.84</v>
      </c>
      <c r="P430" s="30"/>
      <c r="Q430" s="30">
        <f>(N430+O430*0.18+J430)+(IF((P430-O430*0.18)&gt;0,(P430-O430*0.18),0))</f>
        <v>26120.8112</v>
      </c>
      <c r="R430" s="7"/>
      <c r="S430" s="7"/>
      <c r="T430" s="7"/>
      <c r="U430" s="7"/>
      <c r="V430" s="7"/>
      <c r="W430" s="7"/>
      <c r="X430" s="7"/>
      <c r="Y430" s="7"/>
      <c r="Z430" s="7"/>
    </row>
    <row r="431" spans="1:26" ht="9" customHeight="1" x14ac:dyDescent="0.2">
      <c r="A431" s="95"/>
      <c r="B431" s="95"/>
      <c r="C431" s="34" t="s">
        <v>37</v>
      </c>
      <c r="D431" s="35">
        <v>34</v>
      </c>
      <c r="E431" s="36">
        <v>29309009</v>
      </c>
      <c r="F431" s="36">
        <v>0</v>
      </c>
      <c r="G431" s="36">
        <v>0</v>
      </c>
      <c r="H431" s="36">
        <v>12507588</v>
      </c>
      <c r="I431" s="36">
        <v>0</v>
      </c>
      <c r="J431" s="37">
        <v>3484724</v>
      </c>
      <c r="K431" s="36">
        <v>41816597</v>
      </c>
      <c r="L431" s="38">
        <v>45301321</v>
      </c>
      <c r="M431" s="39"/>
      <c r="N431" s="36">
        <v>41816597</v>
      </c>
      <c r="O431" s="36">
        <v>29309009</v>
      </c>
      <c r="P431" s="36">
        <v>0</v>
      </c>
      <c r="Q431" s="36">
        <f>Q430*1936.27</f>
        <v>50576943.102224</v>
      </c>
      <c r="R431" s="7"/>
      <c r="S431" s="7"/>
      <c r="T431" s="7"/>
      <c r="U431" s="7"/>
      <c r="V431" s="7"/>
      <c r="W431" s="7"/>
      <c r="X431" s="7"/>
      <c r="Y431" s="7"/>
      <c r="Z431" s="7"/>
    </row>
    <row r="432" spans="1:26" ht="12.75" customHeight="1" x14ac:dyDescent="0.2">
      <c r="A432" s="95"/>
      <c r="B432" s="95"/>
      <c r="C432" s="40" t="s">
        <v>36</v>
      </c>
      <c r="D432" s="41">
        <v>35</v>
      </c>
      <c r="E432" s="42">
        <v>16259.1</v>
      </c>
      <c r="F432" s="42">
        <v>0</v>
      </c>
      <c r="G432" s="42">
        <v>0</v>
      </c>
      <c r="H432" s="42">
        <v>6459.63</v>
      </c>
      <c r="I432" s="42">
        <v>0</v>
      </c>
      <c r="J432" s="42">
        <v>1893.23</v>
      </c>
      <c r="K432" s="43">
        <v>22718.73</v>
      </c>
      <c r="L432" s="32">
        <v>24611.96</v>
      </c>
      <c r="M432" s="33"/>
      <c r="N432" s="30">
        <v>22718.73</v>
      </c>
      <c r="O432" s="30">
        <v>16259.1</v>
      </c>
      <c r="P432" s="30"/>
      <c r="Q432" s="30">
        <f>(N432+O432*0.18+J432)+(IF((P432-O432*0.18)&gt;0,(P432-O432*0.18),0))</f>
        <v>27538.597999999998</v>
      </c>
      <c r="R432" s="7"/>
      <c r="S432" s="7"/>
      <c r="T432" s="7"/>
      <c r="U432" s="7"/>
      <c r="V432" s="7"/>
      <c r="W432" s="7"/>
      <c r="X432" s="7"/>
      <c r="Y432" s="7"/>
      <c r="Z432" s="7"/>
    </row>
    <row r="433" spans="1:26" ht="9" customHeight="1" x14ac:dyDescent="0.2">
      <c r="A433" s="110"/>
      <c r="B433" s="110"/>
      <c r="C433" s="47" t="s">
        <v>37</v>
      </c>
      <c r="D433" s="48"/>
      <c r="E433" s="46">
        <v>31482008</v>
      </c>
      <c r="F433" s="46">
        <v>0</v>
      </c>
      <c r="G433" s="46">
        <v>0</v>
      </c>
      <c r="H433" s="46">
        <v>12507588</v>
      </c>
      <c r="I433" s="46">
        <v>0</v>
      </c>
      <c r="J433" s="49">
        <v>3665804</v>
      </c>
      <c r="K433" s="46">
        <v>43989595</v>
      </c>
      <c r="L433" s="38">
        <v>47655400</v>
      </c>
      <c r="M433" s="39"/>
      <c r="N433" s="36">
        <v>43989595</v>
      </c>
      <c r="O433" s="36">
        <v>31482008</v>
      </c>
      <c r="P433" s="36">
        <v>0</v>
      </c>
      <c r="Q433" s="36">
        <f>Q432*1936.27</f>
        <v>53322161.149459995</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6"/>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6"/>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6"/>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6"/>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6"/>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6"/>
      <c r="M439" s="39"/>
      <c r="N439" s="96"/>
      <c r="O439" s="96"/>
      <c r="P439" s="96"/>
      <c r="Q439" s="96"/>
      <c r="R439" s="7"/>
      <c r="S439" s="7"/>
      <c r="T439" s="7"/>
      <c r="U439" s="7"/>
      <c r="V439" s="7"/>
      <c r="W439" s="7"/>
      <c r="X439" s="7"/>
      <c r="Y439" s="7"/>
      <c r="Z439" s="7"/>
    </row>
    <row r="440" spans="1:26" ht="12.75" customHeight="1" x14ac:dyDescent="0.2">
      <c r="A440" s="98">
        <v>35370</v>
      </c>
      <c r="B440" s="98">
        <v>35611</v>
      </c>
      <c r="C440" s="28" t="s">
        <v>36</v>
      </c>
      <c r="D440" s="29">
        <v>0</v>
      </c>
      <c r="E440" s="30">
        <v>9261.6200000000008</v>
      </c>
      <c r="F440" s="30">
        <v>0</v>
      </c>
      <c r="G440" s="30">
        <v>0</v>
      </c>
      <c r="H440" s="30">
        <v>6459.63</v>
      </c>
      <c r="I440" s="30">
        <v>0</v>
      </c>
      <c r="J440" s="30">
        <v>1310.0999999999999</v>
      </c>
      <c r="K440" s="31">
        <v>15721.25</v>
      </c>
      <c r="L440" s="32">
        <v>17031.349999999999</v>
      </c>
      <c r="M440" s="33"/>
      <c r="N440" s="30">
        <v>15721.25</v>
      </c>
      <c r="O440" s="30">
        <v>9261.6200000000008</v>
      </c>
      <c r="P440" s="30"/>
      <c r="Q440" s="30">
        <f>(N440+O440*0.18+J440)+(IF((P440-O440*0.18)&gt;0,(P440-O440*0.18),0))</f>
        <v>18698.441599999998</v>
      </c>
      <c r="R440" s="7"/>
      <c r="S440" s="7"/>
      <c r="T440" s="7"/>
      <c r="U440" s="7"/>
      <c r="V440" s="7"/>
      <c r="W440" s="7"/>
      <c r="X440" s="7"/>
      <c r="Y440" s="7"/>
      <c r="Z440" s="7"/>
    </row>
    <row r="441" spans="1:26" ht="9" customHeight="1" x14ac:dyDescent="0.2">
      <c r="A441" s="95"/>
      <c r="B441" s="95"/>
      <c r="C441" s="34" t="s">
        <v>37</v>
      </c>
      <c r="D441" s="35">
        <v>2</v>
      </c>
      <c r="E441" s="36">
        <v>17932997</v>
      </c>
      <c r="F441" s="36">
        <v>0</v>
      </c>
      <c r="G441" s="36">
        <v>0</v>
      </c>
      <c r="H441" s="36">
        <v>12507588</v>
      </c>
      <c r="I441" s="36">
        <v>0</v>
      </c>
      <c r="J441" s="37">
        <v>2536707</v>
      </c>
      <c r="K441" s="36">
        <v>30440585</v>
      </c>
      <c r="L441" s="38">
        <v>32977292</v>
      </c>
      <c r="M441" s="39"/>
      <c r="N441" s="36">
        <v>30440585</v>
      </c>
      <c r="O441" s="36">
        <v>17932997</v>
      </c>
      <c r="P441" s="36">
        <v>0</v>
      </c>
      <c r="Q441" s="36">
        <f>Q440*1936.27</f>
        <v>36205231.516831994</v>
      </c>
      <c r="R441" s="7"/>
      <c r="S441" s="7"/>
      <c r="T441" s="7"/>
      <c r="U441" s="7"/>
      <c r="V441" s="7"/>
      <c r="W441" s="7"/>
      <c r="X441" s="7"/>
      <c r="Y441" s="7"/>
      <c r="Z441" s="7"/>
    </row>
    <row r="442" spans="1:26" ht="12.75" customHeight="1" x14ac:dyDescent="0.2">
      <c r="A442" s="156">
        <v>35370</v>
      </c>
      <c r="B442" s="156">
        <v>35611</v>
      </c>
      <c r="C442" s="40" t="s">
        <v>36</v>
      </c>
      <c r="D442" s="41">
        <v>3</v>
      </c>
      <c r="E442" s="42">
        <v>9694.41</v>
      </c>
      <c r="F442" s="42">
        <v>0</v>
      </c>
      <c r="G442" s="42">
        <v>0</v>
      </c>
      <c r="H442" s="42">
        <v>6459.63</v>
      </c>
      <c r="I442" s="42">
        <v>0</v>
      </c>
      <c r="J442" s="42">
        <v>1346.17</v>
      </c>
      <c r="K442" s="43">
        <v>16154.04</v>
      </c>
      <c r="L442" s="32">
        <v>17500.21</v>
      </c>
      <c r="M442" s="33"/>
      <c r="N442" s="30">
        <v>16154.04</v>
      </c>
      <c r="O442" s="30">
        <v>9694.41</v>
      </c>
      <c r="P442" s="30"/>
      <c r="Q442" s="30">
        <f>(N442+O442*0.18+J442)+(IF((P442-O442*0.18)&gt;0,(P442-O442*0.18),0))</f>
        <v>19245.203800000003</v>
      </c>
      <c r="R442" s="7"/>
      <c r="S442" s="7"/>
      <c r="T442" s="7"/>
      <c r="U442" s="7"/>
      <c r="V442" s="7"/>
      <c r="W442" s="7"/>
      <c r="X442" s="7"/>
      <c r="Y442" s="7"/>
      <c r="Z442" s="7"/>
    </row>
    <row r="443" spans="1:26" ht="9" customHeight="1" x14ac:dyDescent="0.2">
      <c r="A443" s="95"/>
      <c r="B443" s="95"/>
      <c r="C443" s="34" t="s">
        <v>37</v>
      </c>
      <c r="D443" s="35">
        <v>8</v>
      </c>
      <c r="E443" s="36">
        <v>18770995</v>
      </c>
      <c r="F443" s="36">
        <v>0</v>
      </c>
      <c r="G443" s="36">
        <v>0</v>
      </c>
      <c r="H443" s="36">
        <v>12507588</v>
      </c>
      <c r="I443" s="36">
        <v>0</v>
      </c>
      <c r="J443" s="37">
        <v>2606549</v>
      </c>
      <c r="K443" s="36">
        <v>31278583</v>
      </c>
      <c r="L443" s="38">
        <v>33885132</v>
      </c>
      <c r="M443" s="39"/>
      <c r="N443" s="36">
        <v>31278583</v>
      </c>
      <c r="O443" s="36">
        <v>18770995</v>
      </c>
      <c r="P443" s="36">
        <v>0</v>
      </c>
      <c r="Q443" s="36">
        <f>Q442*1936.27</f>
        <v>37263910.761826009</v>
      </c>
      <c r="R443" s="7"/>
      <c r="S443" s="7"/>
      <c r="T443" s="7"/>
      <c r="U443" s="7"/>
      <c r="V443" s="7"/>
      <c r="W443" s="7"/>
      <c r="X443" s="7"/>
      <c r="Y443" s="7"/>
      <c r="Z443" s="7"/>
    </row>
    <row r="444" spans="1:26" ht="12.75" customHeight="1" x14ac:dyDescent="0.2">
      <c r="A444" s="95"/>
      <c r="B444" s="95"/>
      <c r="C444" s="40" t="s">
        <v>36</v>
      </c>
      <c r="D444" s="41">
        <v>9</v>
      </c>
      <c r="E444" s="42">
        <v>11107.95</v>
      </c>
      <c r="F444" s="42">
        <v>0</v>
      </c>
      <c r="G444" s="42">
        <v>0</v>
      </c>
      <c r="H444" s="42">
        <v>6459.63</v>
      </c>
      <c r="I444" s="42">
        <v>0</v>
      </c>
      <c r="J444" s="42">
        <v>1463.97</v>
      </c>
      <c r="K444" s="43">
        <v>17567.580000000002</v>
      </c>
      <c r="L444" s="32">
        <v>19031.55</v>
      </c>
      <c r="M444" s="33"/>
      <c r="N444" s="30">
        <v>17567.580000000002</v>
      </c>
      <c r="O444" s="30">
        <v>11107.95</v>
      </c>
      <c r="P444" s="30"/>
      <c r="Q444" s="30">
        <f>(N444+O444*0.18+J444)+(IF((P444-O444*0.18)&gt;0,(P444-O444*0.18),0))</f>
        <v>21030.981000000003</v>
      </c>
      <c r="R444" s="7"/>
      <c r="S444" s="7"/>
      <c r="T444" s="7"/>
      <c r="U444" s="7"/>
      <c r="V444" s="7"/>
      <c r="W444" s="7"/>
      <c r="X444" s="7"/>
      <c r="Y444" s="7"/>
      <c r="Z444" s="7"/>
    </row>
    <row r="445" spans="1:26" ht="9" customHeight="1" x14ac:dyDescent="0.2">
      <c r="A445" s="95"/>
      <c r="B445" s="95"/>
      <c r="C445" s="34" t="s">
        <v>37</v>
      </c>
      <c r="D445" s="35">
        <v>14</v>
      </c>
      <c r="E445" s="36">
        <v>21507990</v>
      </c>
      <c r="F445" s="36">
        <v>0</v>
      </c>
      <c r="G445" s="36">
        <v>0</v>
      </c>
      <c r="H445" s="36">
        <v>12507588</v>
      </c>
      <c r="I445" s="36">
        <v>0</v>
      </c>
      <c r="J445" s="37">
        <v>2834641</v>
      </c>
      <c r="K445" s="36">
        <v>34015578</v>
      </c>
      <c r="L445" s="38">
        <v>36850219</v>
      </c>
      <c r="M445" s="39"/>
      <c r="N445" s="36">
        <v>34015578</v>
      </c>
      <c r="O445" s="36">
        <v>21507990</v>
      </c>
      <c r="P445" s="36">
        <v>0</v>
      </c>
      <c r="Q445" s="36">
        <f>Q444*1936.27</f>
        <v>40721657.580870003</v>
      </c>
      <c r="R445" s="7"/>
      <c r="S445" s="7"/>
      <c r="T445" s="7"/>
      <c r="U445" s="7"/>
      <c r="V445" s="7"/>
      <c r="W445" s="7"/>
      <c r="X445" s="7"/>
      <c r="Y445" s="7"/>
      <c r="Z445" s="7"/>
    </row>
    <row r="446" spans="1:26" ht="12.75" customHeight="1" x14ac:dyDescent="0.2">
      <c r="A446" s="95"/>
      <c r="B446" s="95"/>
      <c r="C446" s="40" t="s">
        <v>36</v>
      </c>
      <c r="D446" s="41">
        <v>15</v>
      </c>
      <c r="E446" s="42">
        <v>12732.21</v>
      </c>
      <c r="F446" s="42">
        <v>0</v>
      </c>
      <c r="G446" s="42">
        <v>0</v>
      </c>
      <c r="H446" s="42">
        <v>6459.63</v>
      </c>
      <c r="I446" s="42">
        <v>0</v>
      </c>
      <c r="J446" s="42">
        <v>1599.32</v>
      </c>
      <c r="K446" s="43">
        <v>19191.84</v>
      </c>
      <c r="L446" s="32">
        <v>20791.16</v>
      </c>
      <c r="M446" s="33"/>
      <c r="N446" s="30">
        <v>19191.84</v>
      </c>
      <c r="O446" s="30">
        <v>12732.21</v>
      </c>
      <c r="P446" s="30"/>
      <c r="Q446" s="30">
        <f>(N446+O446*0.18+J446)+(IF((P446-O446*0.18)&gt;0,(P446-O446*0.18),0))</f>
        <v>23082.9578</v>
      </c>
      <c r="R446" s="7"/>
      <c r="S446" s="7"/>
      <c r="T446" s="7"/>
      <c r="U446" s="7"/>
      <c r="V446" s="7"/>
      <c r="W446" s="7"/>
      <c r="X446" s="7"/>
      <c r="Y446" s="7"/>
      <c r="Z446" s="7"/>
    </row>
    <row r="447" spans="1:26" ht="9" customHeight="1" x14ac:dyDescent="0.2">
      <c r="A447" s="95"/>
      <c r="B447" s="95"/>
      <c r="C447" s="34" t="s">
        <v>37</v>
      </c>
      <c r="D447" s="35">
        <v>20</v>
      </c>
      <c r="E447" s="36">
        <v>24652996</v>
      </c>
      <c r="F447" s="36">
        <v>0</v>
      </c>
      <c r="G447" s="36">
        <v>0</v>
      </c>
      <c r="H447" s="36">
        <v>12507588</v>
      </c>
      <c r="I447" s="36">
        <v>0</v>
      </c>
      <c r="J447" s="37">
        <v>3096715</v>
      </c>
      <c r="K447" s="36">
        <v>37160584</v>
      </c>
      <c r="L447" s="38">
        <v>40257299</v>
      </c>
      <c r="M447" s="39"/>
      <c r="N447" s="36">
        <v>37160584</v>
      </c>
      <c r="O447" s="36">
        <v>24652996</v>
      </c>
      <c r="P447" s="36">
        <v>0</v>
      </c>
      <c r="Q447" s="36">
        <f>Q446*1936.27</f>
        <v>44694838.699405998</v>
      </c>
      <c r="R447" s="7"/>
      <c r="S447" s="7"/>
      <c r="T447" s="7"/>
      <c r="U447" s="7"/>
      <c r="V447" s="7"/>
      <c r="W447" s="7"/>
      <c r="X447" s="7"/>
      <c r="Y447" s="7"/>
      <c r="Z447" s="7"/>
    </row>
    <row r="448" spans="1:26" ht="12.75" customHeight="1" x14ac:dyDescent="0.2">
      <c r="A448" s="95"/>
      <c r="B448" s="95"/>
      <c r="C448" s="40" t="s">
        <v>36</v>
      </c>
      <c r="D448" s="41">
        <v>21</v>
      </c>
      <c r="E448" s="42">
        <v>14322.9</v>
      </c>
      <c r="F448" s="42">
        <v>0</v>
      </c>
      <c r="G448" s="42">
        <v>0</v>
      </c>
      <c r="H448" s="42">
        <v>6459.63</v>
      </c>
      <c r="I448" s="42">
        <v>0</v>
      </c>
      <c r="J448" s="42">
        <v>1731.88</v>
      </c>
      <c r="K448" s="43">
        <v>20782.53</v>
      </c>
      <c r="L448" s="32">
        <v>22514.41</v>
      </c>
      <c r="M448" s="33"/>
      <c r="N448" s="30">
        <v>20782.53</v>
      </c>
      <c r="O448" s="30">
        <v>14322.9</v>
      </c>
      <c r="P448" s="30"/>
      <c r="Q448" s="30">
        <f>(N448+O448*0.18+J448)+(IF((P448-O448*0.18)&gt;0,(P448-O448*0.18),0))</f>
        <v>25092.531999999999</v>
      </c>
      <c r="R448" s="7"/>
      <c r="S448" s="7"/>
      <c r="T448" s="7"/>
      <c r="U448" s="7"/>
      <c r="V448" s="7"/>
      <c r="W448" s="7"/>
      <c r="X448" s="7"/>
      <c r="Y448" s="7"/>
      <c r="Z448" s="7"/>
    </row>
    <row r="449" spans="1:26" ht="9" customHeight="1" x14ac:dyDescent="0.2">
      <c r="A449" s="95"/>
      <c r="B449" s="95"/>
      <c r="C449" s="34" t="s">
        <v>37</v>
      </c>
      <c r="D449" s="35">
        <v>27</v>
      </c>
      <c r="E449" s="36">
        <v>27733002</v>
      </c>
      <c r="F449" s="36">
        <v>0</v>
      </c>
      <c r="G449" s="36">
        <v>0</v>
      </c>
      <c r="H449" s="36">
        <v>12507588</v>
      </c>
      <c r="I449" s="36">
        <v>0</v>
      </c>
      <c r="J449" s="37">
        <v>3353387</v>
      </c>
      <c r="K449" s="36">
        <v>40240589</v>
      </c>
      <c r="L449" s="38">
        <v>43593977</v>
      </c>
      <c r="M449" s="39"/>
      <c r="N449" s="36">
        <v>40240589</v>
      </c>
      <c r="O449" s="36">
        <v>27733002</v>
      </c>
      <c r="P449" s="36">
        <v>0</v>
      </c>
      <c r="Q449" s="36">
        <f>Q448*1936.27</f>
        <v>48585916.93564</v>
      </c>
      <c r="R449" s="7"/>
      <c r="S449" s="7"/>
      <c r="T449" s="7"/>
      <c r="U449" s="7"/>
      <c r="V449" s="7"/>
      <c r="W449" s="7"/>
      <c r="X449" s="7"/>
      <c r="Y449" s="7"/>
      <c r="Z449" s="7"/>
    </row>
    <row r="450" spans="1:26" ht="12.75" customHeight="1" x14ac:dyDescent="0.2">
      <c r="A450" s="95"/>
      <c r="B450" s="95"/>
      <c r="C450" s="40" t="s">
        <v>36</v>
      </c>
      <c r="D450" s="41">
        <v>28</v>
      </c>
      <c r="E450" s="42">
        <v>15880.53</v>
      </c>
      <c r="F450" s="42">
        <v>0</v>
      </c>
      <c r="G450" s="42">
        <v>0</v>
      </c>
      <c r="H450" s="42">
        <v>6459.63</v>
      </c>
      <c r="I450" s="42">
        <v>0</v>
      </c>
      <c r="J450" s="42">
        <v>1861.68</v>
      </c>
      <c r="K450" s="43">
        <v>22340.16</v>
      </c>
      <c r="L450" s="32">
        <v>24201.84</v>
      </c>
      <c r="M450" s="33"/>
      <c r="N450" s="30">
        <v>22340.16</v>
      </c>
      <c r="O450" s="30">
        <v>15880.53</v>
      </c>
      <c r="P450" s="30"/>
      <c r="Q450" s="30">
        <f>(N450+O450*0.18+J450)+(IF((P450-O450*0.18)&gt;0,(P450-O450*0.18),0))</f>
        <v>27060.3354</v>
      </c>
      <c r="R450" s="7"/>
      <c r="S450" s="7"/>
      <c r="T450" s="7"/>
      <c r="U450" s="7"/>
      <c r="V450" s="7"/>
      <c r="W450" s="7"/>
      <c r="X450" s="7"/>
      <c r="Y450" s="7"/>
      <c r="Z450" s="7"/>
    </row>
    <row r="451" spans="1:26" ht="9" customHeight="1" x14ac:dyDescent="0.2">
      <c r="A451" s="95"/>
      <c r="B451" s="95"/>
      <c r="C451" s="34" t="s">
        <v>37</v>
      </c>
      <c r="D451" s="35">
        <v>34</v>
      </c>
      <c r="E451" s="36">
        <v>30748994</v>
      </c>
      <c r="F451" s="36">
        <v>0</v>
      </c>
      <c r="G451" s="36">
        <v>0</v>
      </c>
      <c r="H451" s="36">
        <v>12507588</v>
      </c>
      <c r="I451" s="36">
        <v>0</v>
      </c>
      <c r="J451" s="37">
        <v>3604715</v>
      </c>
      <c r="K451" s="36">
        <v>43256582</v>
      </c>
      <c r="L451" s="38">
        <v>46861297</v>
      </c>
      <c r="M451" s="39"/>
      <c r="N451" s="36">
        <v>43256582</v>
      </c>
      <c r="O451" s="36">
        <v>30748994</v>
      </c>
      <c r="P451" s="36">
        <v>0</v>
      </c>
      <c r="Q451" s="36">
        <f>Q450*1936.27</f>
        <v>52396115.624958001</v>
      </c>
      <c r="R451" s="7"/>
      <c r="S451" s="7"/>
      <c r="T451" s="7"/>
      <c r="U451" s="7"/>
      <c r="V451" s="7"/>
      <c r="W451" s="7"/>
      <c r="X451" s="7"/>
      <c r="Y451" s="7"/>
      <c r="Z451" s="7"/>
    </row>
    <row r="452" spans="1:26" ht="12.75" customHeight="1" x14ac:dyDescent="0.2">
      <c r="A452" s="95"/>
      <c r="B452" s="95"/>
      <c r="C452" s="40" t="s">
        <v>36</v>
      </c>
      <c r="D452" s="41">
        <v>35</v>
      </c>
      <c r="E452" s="42">
        <v>17033.78</v>
      </c>
      <c r="F452" s="42">
        <v>0</v>
      </c>
      <c r="G452" s="42">
        <v>0</v>
      </c>
      <c r="H452" s="42">
        <v>6459.63</v>
      </c>
      <c r="I452" s="42">
        <v>0</v>
      </c>
      <c r="J452" s="42">
        <v>1957.78</v>
      </c>
      <c r="K452" s="43">
        <v>23493.41</v>
      </c>
      <c r="L452" s="32">
        <v>25451.19</v>
      </c>
      <c r="M452" s="33"/>
      <c r="N452" s="30">
        <v>23493.41</v>
      </c>
      <c r="O452" s="30">
        <v>17033.78</v>
      </c>
      <c r="P452" s="30"/>
      <c r="Q452" s="30">
        <f>(N452+O452*0.18+J452)+(IF((P452-O452*0.18)&gt;0,(P452-O452*0.18),0))</f>
        <v>28517.270399999998</v>
      </c>
      <c r="R452" s="7"/>
      <c r="S452" s="7"/>
      <c r="T452" s="7"/>
      <c r="U452" s="7"/>
      <c r="V452" s="7"/>
      <c r="W452" s="7"/>
      <c r="X452" s="7"/>
      <c r="Y452" s="7"/>
      <c r="Z452" s="7"/>
    </row>
    <row r="453" spans="1:26" ht="9" customHeight="1" x14ac:dyDescent="0.2">
      <c r="A453" s="110"/>
      <c r="B453" s="110"/>
      <c r="C453" s="47" t="s">
        <v>37</v>
      </c>
      <c r="D453" s="48"/>
      <c r="E453" s="46">
        <v>32981997</v>
      </c>
      <c r="F453" s="46">
        <v>0</v>
      </c>
      <c r="G453" s="46">
        <v>0</v>
      </c>
      <c r="H453" s="46">
        <v>12507588</v>
      </c>
      <c r="I453" s="46">
        <v>0</v>
      </c>
      <c r="J453" s="49">
        <v>3790791</v>
      </c>
      <c r="K453" s="46">
        <v>45489585</v>
      </c>
      <c r="L453" s="38">
        <v>49280376</v>
      </c>
      <c r="M453" s="39"/>
      <c r="N453" s="36">
        <v>45489585</v>
      </c>
      <c r="O453" s="36">
        <v>32981997</v>
      </c>
      <c r="P453" s="36">
        <v>0</v>
      </c>
      <c r="Q453" s="36">
        <f>Q452*1936.27</f>
        <v>55217135.157407992</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6"/>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6"/>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6"/>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6"/>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6"/>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6"/>
      <c r="M459" s="39"/>
      <c r="N459" s="96"/>
      <c r="O459" s="96"/>
      <c r="P459" s="96"/>
      <c r="Q459" s="96"/>
      <c r="R459" s="7"/>
      <c r="S459" s="7"/>
      <c r="T459" s="7"/>
      <c r="U459" s="7"/>
      <c r="V459" s="7"/>
      <c r="W459" s="7"/>
      <c r="X459" s="7"/>
      <c r="Y459" s="7"/>
      <c r="Z459" s="7"/>
    </row>
    <row r="460" spans="1:26" ht="12.75" customHeight="1" x14ac:dyDescent="0.2">
      <c r="A460" s="98">
        <v>35612</v>
      </c>
      <c r="B460" s="98">
        <v>36099</v>
      </c>
      <c r="C460" s="28" t="s">
        <v>36</v>
      </c>
      <c r="D460" s="29">
        <v>0</v>
      </c>
      <c r="E460" s="30">
        <v>9720.24</v>
      </c>
      <c r="F460" s="30">
        <v>0</v>
      </c>
      <c r="G460" s="30">
        <v>0</v>
      </c>
      <c r="H460" s="30">
        <v>6459.63</v>
      </c>
      <c r="I460" s="30">
        <v>0</v>
      </c>
      <c r="J460" s="30">
        <v>1348.32</v>
      </c>
      <c r="K460" s="31">
        <v>16179.87</v>
      </c>
      <c r="L460" s="32">
        <v>17528.189999999999</v>
      </c>
      <c r="M460" s="33"/>
      <c r="N460" s="30">
        <v>16179.87</v>
      </c>
      <c r="O460" s="30">
        <v>9720.24</v>
      </c>
      <c r="P460" s="30"/>
      <c r="Q460" s="30">
        <f>(N460+O460*0.18+J460)+(IF((P460-O460*0.18)&gt;0,(P460-O460*0.18),0))</f>
        <v>19277.833200000001</v>
      </c>
      <c r="R460" s="7"/>
      <c r="S460" s="7"/>
      <c r="T460" s="7"/>
      <c r="U460" s="7"/>
      <c r="V460" s="7"/>
      <c r="W460" s="7"/>
      <c r="X460" s="7"/>
      <c r="Y460" s="7"/>
      <c r="Z460" s="7"/>
    </row>
    <row r="461" spans="1:26" ht="9" customHeight="1" x14ac:dyDescent="0.2">
      <c r="A461" s="95"/>
      <c r="B461" s="95"/>
      <c r="C461" s="34" t="s">
        <v>37</v>
      </c>
      <c r="D461" s="35">
        <v>2</v>
      </c>
      <c r="E461" s="36">
        <v>18821009</v>
      </c>
      <c r="F461" s="36">
        <v>0</v>
      </c>
      <c r="G461" s="36">
        <v>0</v>
      </c>
      <c r="H461" s="36">
        <v>12507588</v>
      </c>
      <c r="I461" s="36">
        <v>0</v>
      </c>
      <c r="J461" s="37">
        <v>2610712</v>
      </c>
      <c r="K461" s="36">
        <v>31328597</v>
      </c>
      <c r="L461" s="38">
        <v>33939308</v>
      </c>
      <c r="M461" s="39"/>
      <c r="N461" s="36">
        <v>31328597</v>
      </c>
      <c r="O461" s="36">
        <v>18821009</v>
      </c>
      <c r="P461" s="36">
        <v>0</v>
      </c>
      <c r="Q461" s="36">
        <f>Q460*1936.27</f>
        <v>37327090.090163998</v>
      </c>
      <c r="R461" s="7"/>
      <c r="S461" s="7"/>
      <c r="T461" s="7"/>
      <c r="U461" s="7"/>
      <c r="V461" s="7"/>
      <c r="W461" s="7"/>
      <c r="X461" s="7"/>
      <c r="Y461" s="7"/>
      <c r="Z461" s="7"/>
    </row>
    <row r="462" spans="1:26" ht="12.75" customHeight="1" x14ac:dyDescent="0.2">
      <c r="A462" s="156">
        <v>35612</v>
      </c>
      <c r="B462" s="156">
        <v>36099</v>
      </c>
      <c r="C462" s="40" t="s">
        <v>36</v>
      </c>
      <c r="D462" s="41">
        <v>3</v>
      </c>
      <c r="E462" s="42">
        <v>10165.42</v>
      </c>
      <c r="F462" s="42">
        <v>0</v>
      </c>
      <c r="G462" s="42">
        <v>0</v>
      </c>
      <c r="H462" s="42">
        <v>6459.63</v>
      </c>
      <c r="I462" s="42">
        <v>0</v>
      </c>
      <c r="J462" s="42">
        <v>1385.42</v>
      </c>
      <c r="K462" s="43">
        <v>16625.05</v>
      </c>
      <c r="L462" s="32">
        <v>18010.47</v>
      </c>
      <c r="M462" s="33"/>
      <c r="N462" s="30">
        <v>16625.05</v>
      </c>
      <c r="O462" s="30">
        <v>10165.42</v>
      </c>
      <c r="P462" s="30"/>
      <c r="Q462" s="30">
        <f>(N462+O462*0.18+J462)+(IF((P462-O462*0.18)&gt;0,(P462-O462*0.18),0))</f>
        <v>19840.245600000002</v>
      </c>
      <c r="R462" s="7"/>
      <c r="S462" s="7"/>
      <c r="T462" s="7"/>
      <c r="U462" s="7"/>
      <c r="V462" s="7"/>
      <c r="W462" s="7"/>
      <c r="X462" s="7"/>
      <c r="Y462" s="7"/>
      <c r="Z462" s="7"/>
    </row>
    <row r="463" spans="1:26" ht="9" customHeight="1" x14ac:dyDescent="0.2">
      <c r="A463" s="95"/>
      <c r="B463" s="95"/>
      <c r="C463" s="34" t="s">
        <v>37</v>
      </c>
      <c r="D463" s="35">
        <v>8</v>
      </c>
      <c r="E463" s="36">
        <v>19682998</v>
      </c>
      <c r="F463" s="36">
        <v>0</v>
      </c>
      <c r="G463" s="36">
        <v>0</v>
      </c>
      <c r="H463" s="36">
        <v>12507588</v>
      </c>
      <c r="I463" s="36">
        <v>0</v>
      </c>
      <c r="J463" s="37">
        <v>2682547</v>
      </c>
      <c r="K463" s="36">
        <v>32190586</v>
      </c>
      <c r="L463" s="38">
        <v>34873133</v>
      </c>
      <c r="M463" s="39"/>
      <c r="N463" s="36">
        <v>32190586</v>
      </c>
      <c r="O463" s="36">
        <v>19682998</v>
      </c>
      <c r="P463" s="36">
        <v>0</v>
      </c>
      <c r="Q463" s="36">
        <f>Q462*1936.27</f>
        <v>38416072.347912006</v>
      </c>
      <c r="R463" s="7"/>
      <c r="S463" s="7"/>
      <c r="T463" s="7"/>
      <c r="U463" s="7"/>
      <c r="V463" s="7"/>
      <c r="W463" s="7"/>
      <c r="X463" s="7"/>
      <c r="Y463" s="7"/>
      <c r="Z463" s="7"/>
    </row>
    <row r="464" spans="1:26" ht="12.75" customHeight="1" x14ac:dyDescent="0.2">
      <c r="A464" s="95"/>
      <c r="B464" s="95"/>
      <c r="C464" s="40" t="s">
        <v>36</v>
      </c>
      <c r="D464" s="41">
        <v>9</v>
      </c>
      <c r="E464" s="42">
        <v>11622.35</v>
      </c>
      <c r="F464" s="42">
        <v>0</v>
      </c>
      <c r="G464" s="42">
        <v>0</v>
      </c>
      <c r="H464" s="42">
        <v>6459.63</v>
      </c>
      <c r="I464" s="42">
        <v>0</v>
      </c>
      <c r="J464" s="42">
        <v>1506.83</v>
      </c>
      <c r="K464" s="43">
        <v>18081.98</v>
      </c>
      <c r="L464" s="32">
        <v>19588.810000000001</v>
      </c>
      <c r="M464" s="33"/>
      <c r="N464" s="30">
        <v>18081.98</v>
      </c>
      <c r="O464" s="30">
        <v>11622.35</v>
      </c>
      <c r="P464" s="30"/>
      <c r="Q464" s="30">
        <f>(N464+O464*0.18+J464)+(IF((P464-O464*0.18)&gt;0,(P464-O464*0.18),0))</f>
        <v>21680.832999999999</v>
      </c>
      <c r="R464" s="7"/>
      <c r="S464" s="7"/>
      <c r="T464" s="7"/>
      <c r="U464" s="7"/>
      <c r="V464" s="7"/>
      <c r="W464" s="7"/>
      <c r="X464" s="7"/>
      <c r="Y464" s="7"/>
      <c r="Z464" s="7"/>
    </row>
    <row r="465" spans="1:26" ht="9" customHeight="1" x14ac:dyDescent="0.2">
      <c r="A465" s="95"/>
      <c r="B465" s="95"/>
      <c r="C465" s="34" t="s">
        <v>37</v>
      </c>
      <c r="D465" s="35">
        <v>14</v>
      </c>
      <c r="E465" s="36">
        <v>22504008</v>
      </c>
      <c r="F465" s="36">
        <v>0</v>
      </c>
      <c r="G465" s="36">
        <v>0</v>
      </c>
      <c r="H465" s="36">
        <v>12507588</v>
      </c>
      <c r="I465" s="36">
        <v>0</v>
      </c>
      <c r="J465" s="37">
        <v>2917630</v>
      </c>
      <c r="K465" s="36">
        <v>35011595</v>
      </c>
      <c r="L465" s="38">
        <v>37929225</v>
      </c>
      <c r="M465" s="39"/>
      <c r="N465" s="36">
        <v>35011595</v>
      </c>
      <c r="O465" s="36">
        <v>22504008</v>
      </c>
      <c r="P465" s="36">
        <v>0</v>
      </c>
      <c r="Q465" s="36">
        <f>Q464*1936.27</f>
        <v>41979946.512909994</v>
      </c>
      <c r="R465" s="7"/>
      <c r="S465" s="7"/>
      <c r="T465" s="7"/>
      <c r="U465" s="7"/>
      <c r="V465" s="7"/>
      <c r="W465" s="7"/>
      <c r="X465" s="7"/>
      <c r="Y465" s="7"/>
      <c r="Z465" s="7"/>
    </row>
    <row r="466" spans="1:26" ht="12.75" customHeight="1" x14ac:dyDescent="0.2">
      <c r="A466" s="95"/>
      <c r="B466" s="95"/>
      <c r="C466" s="40" t="s">
        <v>36</v>
      </c>
      <c r="D466" s="41">
        <v>15</v>
      </c>
      <c r="E466" s="42">
        <v>13296.18</v>
      </c>
      <c r="F466" s="42">
        <v>0</v>
      </c>
      <c r="G466" s="42">
        <v>0</v>
      </c>
      <c r="H466" s="42">
        <v>6459.63</v>
      </c>
      <c r="I466" s="42">
        <v>0</v>
      </c>
      <c r="J466" s="42">
        <v>1646.32</v>
      </c>
      <c r="K466" s="43">
        <v>19755.810000000001</v>
      </c>
      <c r="L466" s="32">
        <v>21402.13</v>
      </c>
      <c r="M466" s="33"/>
      <c r="N466" s="30">
        <v>19755.810000000001</v>
      </c>
      <c r="O466" s="30">
        <v>13296.18</v>
      </c>
      <c r="P466" s="30"/>
      <c r="Q466" s="30">
        <f>(N466+O466*0.18+J466)+(IF((P466-O466*0.18)&gt;0,(P466-O466*0.18),0))</f>
        <v>23795.4424</v>
      </c>
      <c r="R466" s="7"/>
      <c r="S466" s="7"/>
      <c r="T466" s="7"/>
      <c r="U466" s="7"/>
      <c r="V466" s="7"/>
      <c r="W466" s="7"/>
      <c r="X466" s="7"/>
      <c r="Y466" s="7"/>
      <c r="Z466" s="7"/>
    </row>
    <row r="467" spans="1:26" ht="9" customHeight="1" x14ac:dyDescent="0.2">
      <c r="A467" s="95"/>
      <c r="B467" s="95"/>
      <c r="C467" s="34" t="s">
        <v>37</v>
      </c>
      <c r="D467" s="35">
        <v>20</v>
      </c>
      <c r="E467" s="36">
        <v>25744994</v>
      </c>
      <c r="F467" s="36">
        <v>0</v>
      </c>
      <c r="G467" s="36">
        <v>0</v>
      </c>
      <c r="H467" s="36">
        <v>12507588</v>
      </c>
      <c r="I467" s="36">
        <v>0</v>
      </c>
      <c r="J467" s="37">
        <v>3187720</v>
      </c>
      <c r="K467" s="36">
        <v>38252582</v>
      </c>
      <c r="L467" s="38">
        <v>41440302</v>
      </c>
      <c r="M467" s="39"/>
      <c r="N467" s="36">
        <v>38252582</v>
      </c>
      <c r="O467" s="36">
        <v>25744994</v>
      </c>
      <c r="P467" s="36">
        <v>0</v>
      </c>
      <c r="Q467" s="36">
        <f>Q466*1936.27</f>
        <v>46074401.255847998</v>
      </c>
      <c r="R467" s="7"/>
      <c r="S467" s="7"/>
      <c r="T467" s="7"/>
      <c r="U467" s="7"/>
      <c r="V467" s="7"/>
      <c r="W467" s="7"/>
      <c r="X467" s="7"/>
      <c r="Y467" s="7"/>
      <c r="Z467" s="7"/>
    </row>
    <row r="468" spans="1:26" ht="12.75" customHeight="1" x14ac:dyDescent="0.2">
      <c r="A468" s="95"/>
      <c r="B468" s="95"/>
      <c r="C468" s="40" t="s">
        <v>36</v>
      </c>
      <c r="D468" s="41">
        <v>21</v>
      </c>
      <c r="E468" s="42">
        <v>14930.25</v>
      </c>
      <c r="F468" s="42">
        <v>0</v>
      </c>
      <c r="G468" s="42">
        <v>0</v>
      </c>
      <c r="H468" s="42">
        <v>6459.63</v>
      </c>
      <c r="I468" s="42">
        <v>0</v>
      </c>
      <c r="J468" s="42">
        <v>1782.49</v>
      </c>
      <c r="K468" s="43">
        <v>21389.88</v>
      </c>
      <c r="L468" s="32">
        <v>23172.37</v>
      </c>
      <c r="M468" s="33"/>
      <c r="N468" s="30">
        <v>21389.88</v>
      </c>
      <c r="O468" s="30">
        <v>14930.25</v>
      </c>
      <c r="P468" s="30"/>
      <c r="Q468" s="30">
        <f>(N468+O468*0.18+J468)+(IF((P468-O468*0.18)&gt;0,(P468-O468*0.18),0))</f>
        <v>25859.815000000002</v>
      </c>
      <c r="R468" s="7"/>
      <c r="S468" s="7"/>
      <c r="T468" s="7"/>
      <c r="U468" s="7"/>
      <c r="V468" s="7"/>
      <c r="W468" s="7"/>
      <c r="X468" s="7"/>
      <c r="Y468" s="7"/>
      <c r="Z468" s="7"/>
    </row>
    <row r="469" spans="1:26" ht="9" customHeight="1" x14ac:dyDescent="0.2">
      <c r="A469" s="95"/>
      <c r="B469" s="95"/>
      <c r="C469" s="34" t="s">
        <v>37</v>
      </c>
      <c r="D469" s="35">
        <v>27</v>
      </c>
      <c r="E469" s="36">
        <v>28908995</v>
      </c>
      <c r="F469" s="36">
        <v>0</v>
      </c>
      <c r="G469" s="36">
        <v>0</v>
      </c>
      <c r="H469" s="36">
        <v>12507588</v>
      </c>
      <c r="I469" s="36">
        <v>0</v>
      </c>
      <c r="J469" s="37">
        <v>3451382</v>
      </c>
      <c r="K469" s="36">
        <v>41416583</v>
      </c>
      <c r="L469" s="38">
        <v>44867965</v>
      </c>
      <c r="M469" s="39"/>
      <c r="N469" s="36">
        <v>41416583</v>
      </c>
      <c r="O469" s="36">
        <v>28908995</v>
      </c>
      <c r="P469" s="36">
        <v>0</v>
      </c>
      <c r="Q469" s="36">
        <f>Q468*1936.27</f>
        <v>50071583.990050003</v>
      </c>
      <c r="R469" s="7"/>
      <c r="S469" s="7"/>
      <c r="T469" s="7"/>
      <c r="U469" s="7"/>
      <c r="V469" s="7"/>
      <c r="W469" s="7"/>
      <c r="X469" s="7"/>
      <c r="Y469" s="7"/>
      <c r="Z469" s="7"/>
    </row>
    <row r="470" spans="1:26" ht="12.75" customHeight="1" x14ac:dyDescent="0.2">
      <c r="A470" s="95"/>
      <c r="B470" s="95"/>
      <c r="C470" s="40" t="s">
        <v>36</v>
      </c>
      <c r="D470" s="41">
        <v>28</v>
      </c>
      <c r="E470" s="42">
        <v>16531.27</v>
      </c>
      <c r="F470" s="42">
        <v>0</v>
      </c>
      <c r="G470" s="42">
        <v>0</v>
      </c>
      <c r="H470" s="42">
        <v>6459.63</v>
      </c>
      <c r="I470" s="42">
        <v>0</v>
      </c>
      <c r="J470" s="42">
        <v>1915.91</v>
      </c>
      <c r="K470" s="43">
        <v>22990.9</v>
      </c>
      <c r="L470" s="32">
        <v>24906.81</v>
      </c>
      <c r="M470" s="33"/>
      <c r="N470" s="30">
        <v>22990.9</v>
      </c>
      <c r="O470" s="30">
        <v>16531.27</v>
      </c>
      <c r="P470" s="30"/>
      <c r="Q470" s="30">
        <f>(N470+O470*0.18+J470)+(IF((P470-O470*0.18)&gt;0,(P470-O470*0.18),0))</f>
        <v>27882.438600000001</v>
      </c>
      <c r="R470" s="7"/>
      <c r="S470" s="7"/>
      <c r="T470" s="7"/>
      <c r="U470" s="7"/>
      <c r="V470" s="7"/>
      <c r="W470" s="7"/>
      <c r="X470" s="7"/>
      <c r="Y470" s="7"/>
      <c r="Z470" s="7"/>
    </row>
    <row r="471" spans="1:26" ht="9" customHeight="1" x14ac:dyDescent="0.2">
      <c r="A471" s="95"/>
      <c r="B471" s="95"/>
      <c r="C471" s="34" t="s">
        <v>37</v>
      </c>
      <c r="D471" s="35">
        <v>34</v>
      </c>
      <c r="E471" s="36">
        <v>32009002</v>
      </c>
      <c r="F471" s="36">
        <v>0</v>
      </c>
      <c r="G471" s="36">
        <v>0</v>
      </c>
      <c r="H471" s="36">
        <v>12507588</v>
      </c>
      <c r="I471" s="36">
        <v>0</v>
      </c>
      <c r="J471" s="37">
        <v>3709719</v>
      </c>
      <c r="K471" s="36">
        <v>44516590</v>
      </c>
      <c r="L471" s="38">
        <v>48226309</v>
      </c>
      <c r="M471" s="39"/>
      <c r="N471" s="36">
        <v>44516590</v>
      </c>
      <c r="O471" s="36">
        <v>32009002</v>
      </c>
      <c r="P471" s="36">
        <v>0</v>
      </c>
      <c r="Q471" s="36">
        <f>Q470*1936.27</f>
        <v>53987929.388022006</v>
      </c>
      <c r="R471" s="7"/>
      <c r="S471" s="7"/>
      <c r="T471" s="7"/>
      <c r="U471" s="7"/>
      <c r="V471" s="7"/>
      <c r="W471" s="7"/>
      <c r="X471" s="7"/>
      <c r="Y471" s="7"/>
      <c r="Z471" s="7"/>
    </row>
    <row r="472" spans="1:26" ht="12.75" customHeight="1" x14ac:dyDescent="0.2">
      <c r="A472" s="95"/>
      <c r="B472" s="95"/>
      <c r="C472" s="40" t="s">
        <v>36</v>
      </c>
      <c r="D472" s="41">
        <v>35</v>
      </c>
      <c r="E472" s="42">
        <v>17721.7</v>
      </c>
      <c r="F472" s="42">
        <v>0</v>
      </c>
      <c r="G472" s="42">
        <v>0</v>
      </c>
      <c r="H472" s="42">
        <v>6459.63</v>
      </c>
      <c r="I472" s="42">
        <v>0</v>
      </c>
      <c r="J472" s="42">
        <v>2015.11</v>
      </c>
      <c r="K472" s="43">
        <v>24181.33</v>
      </c>
      <c r="L472" s="32">
        <v>26196.44</v>
      </c>
      <c r="M472" s="33"/>
      <c r="N472" s="30">
        <v>24181.33</v>
      </c>
      <c r="O472" s="30">
        <v>17721.7</v>
      </c>
      <c r="P472" s="30"/>
      <c r="Q472" s="30">
        <f>(N472+O472*0.18+J472)+(IF((P472-O472*0.18)&gt;0,(P472-O472*0.18),0))</f>
        <v>29386.346000000001</v>
      </c>
      <c r="R472" s="7"/>
      <c r="S472" s="7"/>
      <c r="T472" s="7"/>
      <c r="U472" s="7"/>
      <c r="V472" s="7"/>
      <c r="W472" s="7"/>
      <c r="X472" s="7"/>
      <c r="Y472" s="7"/>
      <c r="Z472" s="7"/>
    </row>
    <row r="473" spans="1:26" ht="9" customHeight="1" x14ac:dyDescent="0.2">
      <c r="A473" s="110"/>
      <c r="B473" s="110"/>
      <c r="C473" s="47" t="s">
        <v>37</v>
      </c>
      <c r="D473" s="48"/>
      <c r="E473" s="46">
        <v>34313996</v>
      </c>
      <c r="F473" s="46">
        <v>0</v>
      </c>
      <c r="G473" s="46">
        <v>0</v>
      </c>
      <c r="H473" s="46">
        <v>12507588</v>
      </c>
      <c r="I473" s="46">
        <v>0</v>
      </c>
      <c r="J473" s="49">
        <v>3901797</v>
      </c>
      <c r="K473" s="46">
        <v>46821584</v>
      </c>
      <c r="L473" s="38">
        <v>50723381</v>
      </c>
      <c r="M473" s="39"/>
      <c r="N473" s="36">
        <v>46821584</v>
      </c>
      <c r="O473" s="36">
        <v>34313996</v>
      </c>
      <c r="P473" s="36">
        <v>0</v>
      </c>
      <c r="Q473" s="36">
        <f>Q472*1936.27</f>
        <v>56899900.169420004</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6"/>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6"/>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6"/>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12.75" customHeight="1" x14ac:dyDescent="0.2">
      <c r="A480" s="98">
        <v>36100</v>
      </c>
      <c r="B480" s="98">
        <v>36311</v>
      </c>
      <c r="C480" s="28" t="s">
        <v>36</v>
      </c>
      <c r="D480" s="29">
        <v>0</v>
      </c>
      <c r="E480" s="30">
        <v>10011.52</v>
      </c>
      <c r="F480" s="30">
        <v>0</v>
      </c>
      <c r="G480" s="30">
        <v>0</v>
      </c>
      <c r="H480" s="30">
        <v>6459.63</v>
      </c>
      <c r="I480" s="30">
        <v>0</v>
      </c>
      <c r="J480" s="30">
        <v>1372.6</v>
      </c>
      <c r="K480" s="31">
        <v>16471.150000000001</v>
      </c>
      <c r="L480" s="32">
        <v>17843.75</v>
      </c>
      <c r="M480" s="33"/>
      <c r="N480" s="30">
        <v>16471.150000000001</v>
      </c>
      <c r="O480" s="30">
        <v>10011.52</v>
      </c>
      <c r="P480" s="30"/>
      <c r="Q480" s="30">
        <f>(N480+O480*0.18+J480)+(IF((P480-O480*0.18)&gt;0,(P480-O480*0.18),0))</f>
        <v>19645.8236</v>
      </c>
      <c r="R480" s="7"/>
      <c r="S480" s="7"/>
      <c r="T480" s="7"/>
      <c r="U480" s="7"/>
      <c r="V480" s="7"/>
      <c r="W480" s="7"/>
      <c r="X480" s="7"/>
      <c r="Y480" s="7"/>
      <c r="Z480" s="7"/>
    </row>
    <row r="481" spans="1:26" ht="9" customHeight="1" x14ac:dyDescent="0.2">
      <c r="A481" s="95"/>
      <c r="B481" s="95"/>
      <c r="C481" s="34" t="s">
        <v>37</v>
      </c>
      <c r="D481" s="35">
        <v>2</v>
      </c>
      <c r="E481" s="36">
        <v>19385006</v>
      </c>
      <c r="F481" s="36">
        <v>0</v>
      </c>
      <c r="G481" s="36">
        <v>0</v>
      </c>
      <c r="H481" s="36">
        <v>12507588</v>
      </c>
      <c r="I481" s="36">
        <v>0</v>
      </c>
      <c r="J481" s="37">
        <v>2657724</v>
      </c>
      <c r="K481" s="36">
        <v>31892594</v>
      </c>
      <c r="L481" s="38">
        <v>34550318</v>
      </c>
      <c r="M481" s="39"/>
      <c r="N481" s="36">
        <v>31892594</v>
      </c>
      <c r="O481" s="36">
        <v>19385006</v>
      </c>
      <c r="P481" s="36">
        <v>0</v>
      </c>
      <c r="Q481" s="36">
        <f>Q480*1936.27</f>
        <v>38039618.861971997</v>
      </c>
      <c r="R481" s="7"/>
      <c r="S481" s="7"/>
      <c r="T481" s="7"/>
      <c r="U481" s="7"/>
      <c r="V481" s="7"/>
      <c r="W481" s="7"/>
      <c r="X481" s="7"/>
      <c r="Y481" s="7"/>
      <c r="Z481" s="7"/>
    </row>
    <row r="482" spans="1:26" ht="12.75" customHeight="1" x14ac:dyDescent="0.2">
      <c r="A482" s="156">
        <v>36100</v>
      </c>
      <c r="B482" s="156">
        <v>36311</v>
      </c>
      <c r="C482" s="40" t="s">
        <v>36</v>
      </c>
      <c r="D482" s="41">
        <v>3</v>
      </c>
      <c r="E482" s="42">
        <v>10462.9</v>
      </c>
      <c r="F482" s="42">
        <v>0</v>
      </c>
      <c r="G482" s="42">
        <v>0</v>
      </c>
      <c r="H482" s="42">
        <v>6459.63</v>
      </c>
      <c r="I482" s="42">
        <v>0</v>
      </c>
      <c r="J482" s="42">
        <v>1410.21</v>
      </c>
      <c r="K482" s="43">
        <v>16922.53</v>
      </c>
      <c r="L482" s="32">
        <v>18332.740000000002</v>
      </c>
      <c r="M482" s="33"/>
      <c r="N482" s="30">
        <v>16922.53</v>
      </c>
      <c r="O482" s="30">
        <v>10462.9</v>
      </c>
      <c r="P482" s="30"/>
      <c r="Q482" s="30">
        <f>(N482+O482*0.18+J482)+(IF((P482-O482*0.18)&gt;0,(P482-O482*0.18),0))</f>
        <v>20216.061999999998</v>
      </c>
      <c r="R482" s="7"/>
      <c r="S482" s="7"/>
      <c r="T482" s="7"/>
      <c r="U482" s="7"/>
      <c r="V482" s="7"/>
      <c r="W482" s="7"/>
      <c r="X482" s="7"/>
      <c r="Y482" s="7"/>
      <c r="Z482" s="7"/>
    </row>
    <row r="483" spans="1:26" ht="9" customHeight="1" x14ac:dyDescent="0.2">
      <c r="A483" s="95"/>
      <c r="B483" s="95"/>
      <c r="C483" s="34" t="s">
        <v>37</v>
      </c>
      <c r="D483" s="35">
        <v>8</v>
      </c>
      <c r="E483" s="36">
        <v>20258999</v>
      </c>
      <c r="F483" s="36">
        <v>0</v>
      </c>
      <c r="G483" s="36">
        <v>0</v>
      </c>
      <c r="H483" s="36">
        <v>12507588</v>
      </c>
      <c r="I483" s="36">
        <v>0</v>
      </c>
      <c r="J483" s="37">
        <v>2730547</v>
      </c>
      <c r="K483" s="36">
        <v>32766587</v>
      </c>
      <c r="L483" s="38">
        <v>35497134</v>
      </c>
      <c r="M483" s="39"/>
      <c r="N483" s="36">
        <v>32766587</v>
      </c>
      <c r="O483" s="36">
        <v>20258999</v>
      </c>
      <c r="P483" s="36">
        <v>0</v>
      </c>
      <c r="Q483" s="36">
        <f>Q482*1936.27</f>
        <v>39143754.368739992</v>
      </c>
      <c r="R483" s="7"/>
      <c r="S483" s="7"/>
      <c r="T483" s="7"/>
      <c r="U483" s="7"/>
      <c r="V483" s="7"/>
      <c r="W483" s="7"/>
      <c r="X483" s="7"/>
      <c r="Y483" s="7"/>
      <c r="Z483" s="7"/>
    </row>
    <row r="484" spans="1:26" ht="12.75" customHeight="1" x14ac:dyDescent="0.2">
      <c r="A484" s="95"/>
      <c r="B484" s="95"/>
      <c r="C484" s="40" t="s">
        <v>36</v>
      </c>
      <c r="D484" s="41">
        <v>9</v>
      </c>
      <c r="E484" s="42">
        <v>11944.62</v>
      </c>
      <c r="F484" s="42">
        <v>0</v>
      </c>
      <c r="G484" s="42">
        <v>0</v>
      </c>
      <c r="H484" s="42">
        <v>6459.63</v>
      </c>
      <c r="I484" s="42">
        <v>0</v>
      </c>
      <c r="J484" s="42">
        <v>1533.69</v>
      </c>
      <c r="K484" s="43">
        <v>18404.25</v>
      </c>
      <c r="L484" s="32">
        <v>19937.939999999999</v>
      </c>
      <c r="M484" s="33"/>
      <c r="N484" s="30">
        <v>18404.25</v>
      </c>
      <c r="O484" s="30">
        <v>11944.62</v>
      </c>
      <c r="P484" s="30"/>
      <c r="Q484" s="30">
        <f>(N484+O484*0.18+J484)+(IF((P484-O484*0.18)&gt;0,(P484-O484*0.18),0))</f>
        <v>22087.971600000001</v>
      </c>
      <c r="R484" s="7"/>
      <c r="S484" s="7"/>
      <c r="T484" s="7"/>
      <c r="U484" s="7"/>
      <c r="V484" s="7"/>
      <c r="W484" s="7"/>
      <c r="X484" s="7"/>
      <c r="Y484" s="7"/>
      <c r="Z484" s="7"/>
    </row>
    <row r="485" spans="1:26" ht="9" customHeight="1" x14ac:dyDescent="0.2">
      <c r="A485" s="95"/>
      <c r="B485" s="95"/>
      <c r="C485" s="34" t="s">
        <v>37</v>
      </c>
      <c r="D485" s="35">
        <v>14</v>
      </c>
      <c r="E485" s="36">
        <v>23128009</v>
      </c>
      <c r="F485" s="36">
        <v>0</v>
      </c>
      <c r="G485" s="36">
        <v>0</v>
      </c>
      <c r="H485" s="36">
        <v>12507588</v>
      </c>
      <c r="I485" s="36">
        <v>0</v>
      </c>
      <c r="J485" s="37">
        <v>2969638</v>
      </c>
      <c r="K485" s="36">
        <v>35635597</v>
      </c>
      <c r="L485" s="38">
        <v>38605235</v>
      </c>
      <c r="M485" s="39"/>
      <c r="N485" s="36">
        <v>35635597</v>
      </c>
      <c r="O485" s="36">
        <v>23128009</v>
      </c>
      <c r="P485" s="36">
        <v>0</v>
      </c>
      <c r="Q485" s="36">
        <f>Q484*1936.27</f>
        <v>42768276.769932002</v>
      </c>
      <c r="R485" s="7"/>
      <c r="S485" s="7"/>
      <c r="T485" s="7"/>
      <c r="U485" s="7"/>
      <c r="V485" s="7"/>
      <c r="W485" s="7"/>
      <c r="X485" s="7"/>
      <c r="Y485" s="7"/>
      <c r="Z485" s="7"/>
    </row>
    <row r="486" spans="1:26" ht="12.75" customHeight="1" x14ac:dyDescent="0.2">
      <c r="A486" s="95"/>
      <c r="B486" s="95"/>
      <c r="C486" s="40" t="s">
        <v>36</v>
      </c>
      <c r="D486" s="41">
        <v>15</v>
      </c>
      <c r="E486" s="42">
        <v>13649.44</v>
      </c>
      <c r="F486" s="42">
        <v>0</v>
      </c>
      <c r="G486" s="42">
        <v>0</v>
      </c>
      <c r="H486" s="42">
        <v>6459.63</v>
      </c>
      <c r="I486" s="42">
        <v>0</v>
      </c>
      <c r="J486" s="42">
        <v>1675.76</v>
      </c>
      <c r="K486" s="43">
        <v>20109.07</v>
      </c>
      <c r="L486" s="32">
        <v>21784.83</v>
      </c>
      <c r="M486" s="33"/>
      <c r="N486" s="30">
        <v>20109.07</v>
      </c>
      <c r="O486" s="30">
        <v>13649.44</v>
      </c>
      <c r="P486" s="30"/>
      <c r="Q486" s="30">
        <f>(N486+O486*0.18+J486)+(IF((P486-O486*0.18)&gt;0,(P486-O486*0.18),0))</f>
        <v>24241.729199999998</v>
      </c>
      <c r="R486" s="7"/>
      <c r="S486" s="7"/>
      <c r="T486" s="7"/>
      <c r="U486" s="7"/>
      <c r="V486" s="7"/>
      <c r="W486" s="7"/>
      <c r="X486" s="7"/>
      <c r="Y486" s="7"/>
      <c r="Z486" s="7"/>
    </row>
    <row r="487" spans="1:26" ht="9" customHeight="1" x14ac:dyDescent="0.2">
      <c r="A487" s="95"/>
      <c r="B487" s="95"/>
      <c r="C487" s="34" t="s">
        <v>37</v>
      </c>
      <c r="D487" s="35">
        <v>20</v>
      </c>
      <c r="E487" s="36">
        <v>26429001</v>
      </c>
      <c r="F487" s="36">
        <v>0</v>
      </c>
      <c r="G487" s="36">
        <v>0</v>
      </c>
      <c r="H487" s="36">
        <v>12507588</v>
      </c>
      <c r="I487" s="36">
        <v>0</v>
      </c>
      <c r="J487" s="37">
        <v>3244724</v>
      </c>
      <c r="K487" s="36">
        <v>38936589</v>
      </c>
      <c r="L487" s="38">
        <v>42181313</v>
      </c>
      <c r="M487" s="39"/>
      <c r="N487" s="36">
        <v>38936589</v>
      </c>
      <c r="O487" s="36">
        <v>26429001</v>
      </c>
      <c r="P487" s="36">
        <v>0</v>
      </c>
      <c r="Q487" s="36">
        <f>Q486*1936.27</f>
        <v>46938532.998083994</v>
      </c>
      <c r="R487" s="7"/>
      <c r="S487" s="7"/>
      <c r="T487" s="7"/>
      <c r="U487" s="7"/>
      <c r="V487" s="7"/>
      <c r="W487" s="7"/>
      <c r="X487" s="7"/>
      <c r="Y487" s="7"/>
      <c r="Z487" s="7"/>
    </row>
    <row r="488" spans="1:26" ht="12.75" customHeight="1" x14ac:dyDescent="0.2">
      <c r="A488" s="95"/>
      <c r="B488" s="95"/>
      <c r="C488" s="40" t="s">
        <v>36</v>
      </c>
      <c r="D488" s="41">
        <v>21</v>
      </c>
      <c r="E488" s="42">
        <v>15314.5</v>
      </c>
      <c r="F488" s="42">
        <v>0</v>
      </c>
      <c r="G488" s="42">
        <v>0</v>
      </c>
      <c r="H488" s="42">
        <v>6459.63</v>
      </c>
      <c r="I488" s="42">
        <v>0</v>
      </c>
      <c r="J488" s="42">
        <v>1814.51</v>
      </c>
      <c r="K488" s="43">
        <v>21774.13</v>
      </c>
      <c r="L488" s="32">
        <v>23588.639999999999</v>
      </c>
      <c r="M488" s="33"/>
      <c r="N488" s="30">
        <v>21774.13</v>
      </c>
      <c r="O488" s="30">
        <v>15314.5</v>
      </c>
      <c r="P488" s="30"/>
      <c r="Q488" s="30">
        <f>(N488+O488*0.18+J488)+(IF((P488-O488*0.18)&gt;0,(P488-O488*0.18),0))</f>
        <v>26345.25</v>
      </c>
      <c r="R488" s="7"/>
      <c r="S488" s="7"/>
      <c r="T488" s="7"/>
      <c r="U488" s="7"/>
      <c r="V488" s="7"/>
      <c r="W488" s="7"/>
      <c r="X488" s="7"/>
      <c r="Y488" s="7"/>
      <c r="Z488" s="7"/>
    </row>
    <row r="489" spans="1:26" ht="9" customHeight="1" x14ac:dyDescent="0.2">
      <c r="A489" s="95"/>
      <c r="B489" s="95"/>
      <c r="C489" s="34" t="s">
        <v>37</v>
      </c>
      <c r="D489" s="35">
        <v>27</v>
      </c>
      <c r="E489" s="36">
        <v>29653007</v>
      </c>
      <c r="F489" s="36">
        <v>0</v>
      </c>
      <c r="G489" s="36">
        <v>0</v>
      </c>
      <c r="H489" s="36">
        <v>12507588</v>
      </c>
      <c r="I489" s="36">
        <v>0</v>
      </c>
      <c r="J489" s="37">
        <v>3513381</v>
      </c>
      <c r="K489" s="36">
        <v>42160595</v>
      </c>
      <c r="L489" s="38">
        <v>45673976</v>
      </c>
      <c r="M489" s="39"/>
      <c r="N489" s="36">
        <v>42160595</v>
      </c>
      <c r="O489" s="36">
        <v>29653007</v>
      </c>
      <c r="P489" s="36">
        <v>0</v>
      </c>
      <c r="Q489" s="36">
        <f>Q488*1936.27</f>
        <v>51011517.217500001</v>
      </c>
      <c r="R489" s="7"/>
      <c r="S489" s="7"/>
      <c r="T489" s="7"/>
      <c r="U489" s="7"/>
      <c r="V489" s="7"/>
      <c r="W489" s="7"/>
      <c r="X489" s="7"/>
      <c r="Y489" s="7"/>
      <c r="Z489" s="7"/>
    </row>
    <row r="490" spans="1:26" ht="12.75" customHeight="1" x14ac:dyDescent="0.2">
      <c r="A490" s="95"/>
      <c r="B490" s="95"/>
      <c r="C490" s="40" t="s">
        <v>36</v>
      </c>
      <c r="D490" s="41">
        <v>28</v>
      </c>
      <c r="E490" s="42">
        <v>16946.5</v>
      </c>
      <c r="F490" s="42">
        <v>0</v>
      </c>
      <c r="G490" s="42">
        <v>0</v>
      </c>
      <c r="H490" s="42">
        <v>6459.63</v>
      </c>
      <c r="I490" s="42">
        <v>0</v>
      </c>
      <c r="J490" s="42">
        <v>1950.51</v>
      </c>
      <c r="K490" s="43">
        <v>23406.13</v>
      </c>
      <c r="L490" s="32">
        <v>25356.639999999999</v>
      </c>
      <c r="M490" s="33"/>
      <c r="N490" s="30">
        <v>23406.13</v>
      </c>
      <c r="O490" s="30">
        <v>16946.5</v>
      </c>
      <c r="P490" s="30"/>
      <c r="Q490" s="30">
        <f>(N490+O490*0.18+J490)+(IF((P490-O490*0.18)&gt;0,(P490-O490*0.18),0))</f>
        <v>28407.01</v>
      </c>
      <c r="R490" s="7"/>
      <c r="S490" s="7"/>
      <c r="T490" s="7"/>
      <c r="U490" s="7"/>
      <c r="V490" s="7"/>
      <c r="W490" s="7"/>
      <c r="X490" s="7"/>
      <c r="Y490" s="7"/>
      <c r="Z490" s="7"/>
    </row>
    <row r="491" spans="1:26" ht="9" customHeight="1" x14ac:dyDescent="0.2">
      <c r="A491" s="95"/>
      <c r="B491" s="95"/>
      <c r="C491" s="34" t="s">
        <v>37</v>
      </c>
      <c r="D491" s="35">
        <v>34</v>
      </c>
      <c r="E491" s="36">
        <v>32813000</v>
      </c>
      <c r="F491" s="36">
        <v>0</v>
      </c>
      <c r="G491" s="36">
        <v>0</v>
      </c>
      <c r="H491" s="36">
        <v>12507588</v>
      </c>
      <c r="I491" s="36">
        <v>0</v>
      </c>
      <c r="J491" s="37">
        <v>3776714</v>
      </c>
      <c r="K491" s="36">
        <v>45320587</v>
      </c>
      <c r="L491" s="38">
        <v>49097301</v>
      </c>
      <c r="M491" s="39"/>
      <c r="N491" s="36">
        <v>45320587</v>
      </c>
      <c r="O491" s="36">
        <v>32813000</v>
      </c>
      <c r="P491" s="36">
        <v>0</v>
      </c>
      <c r="Q491" s="36">
        <f>Q490*1936.27</f>
        <v>55003641.252699994</v>
      </c>
      <c r="R491" s="7"/>
      <c r="S491" s="7"/>
      <c r="T491" s="7"/>
      <c r="U491" s="7"/>
      <c r="V491" s="7"/>
      <c r="W491" s="7"/>
      <c r="X491" s="7"/>
      <c r="Y491" s="7"/>
      <c r="Z491" s="7"/>
    </row>
    <row r="492" spans="1:26" ht="12.75" customHeight="1" x14ac:dyDescent="0.2">
      <c r="A492" s="95"/>
      <c r="B492" s="95"/>
      <c r="C492" s="40" t="s">
        <v>36</v>
      </c>
      <c r="D492" s="41">
        <v>35</v>
      </c>
      <c r="E492" s="42">
        <v>18155.53</v>
      </c>
      <c r="F492" s="42">
        <v>0</v>
      </c>
      <c r="G492" s="42">
        <v>0</v>
      </c>
      <c r="H492" s="42">
        <v>6459.63</v>
      </c>
      <c r="I492" s="42">
        <v>0</v>
      </c>
      <c r="J492" s="42">
        <v>2051.2600000000002</v>
      </c>
      <c r="K492" s="43">
        <v>24615.16</v>
      </c>
      <c r="L492" s="32">
        <v>26666.42</v>
      </c>
      <c r="M492" s="33"/>
      <c r="N492" s="30">
        <v>24615.16</v>
      </c>
      <c r="O492" s="30">
        <v>18155.53</v>
      </c>
      <c r="P492" s="30"/>
      <c r="Q492" s="30">
        <f>(N492+O492*0.18+J492)+(IF((P492-O492*0.18)&gt;0,(P492-O492*0.18),0))</f>
        <v>29934.415399999998</v>
      </c>
      <c r="R492" s="7"/>
      <c r="S492" s="7"/>
      <c r="T492" s="7"/>
      <c r="U492" s="7"/>
      <c r="V492" s="7"/>
      <c r="W492" s="7"/>
      <c r="X492" s="7"/>
      <c r="Y492" s="7"/>
      <c r="Z492" s="7"/>
    </row>
    <row r="493" spans="1:26" ht="9" customHeight="1" x14ac:dyDescent="0.2">
      <c r="A493" s="110"/>
      <c r="B493" s="110"/>
      <c r="C493" s="47" t="s">
        <v>37</v>
      </c>
      <c r="D493" s="48"/>
      <c r="E493" s="46">
        <v>35154008</v>
      </c>
      <c r="F493" s="46">
        <v>0</v>
      </c>
      <c r="G493" s="46">
        <v>0</v>
      </c>
      <c r="H493" s="46">
        <v>12507588</v>
      </c>
      <c r="I493" s="46">
        <v>0</v>
      </c>
      <c r="J493" s="49">
        <v>3971793</v>
      </c>
      <c r="K493" s="46">
        <v>47661596</v>
      </c>
      <c r="L493" s="38">
        <v>51633389</v>
      </c>
      <c r="M493" s="39"/>
      <c r="N493" s="36">
        <v>47661596</v>
      </c>
      <c r="O493" s="36">
        <v>35154008</v>
      </c>
      <c r="P493" s="36">
        <v>0</v>
      </c>
      <c r="Q493" s="36">
        <f>Q492*1936.27</f>
        <v>57961110.506557994</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12.75" customHeight="1" x14ac:dyDescent="0.2">
      <c r="A500" s="98">
        <v>36312</v>
      </c>
      <c r="B500" s="98">
        <v>36707</v>
      </c>
      <c r="C500" s="28" t="s">
        <v>36</v>
      </c>
      <c r="D500" s="29">
        <v>0</v>
      </c>
      <c r="E500" s="30">
        <v>10253.219999999999</v>
      </c>
      <c r="F500" s="30">
        <v>0</v>
      </c>
      <c r="G500" s="30">
        <v>0</v>
      </c>
      <c r="H500" s="30">
        <v>6459.63</v>
      </c>
      <c r="I500" s="30">
        <v>0</v>
      </c>
      <c r="J500" s="30">
        <v>1392.74</v>
      </c>
      <c r="K500" s="31">
        <v>16712.849999999999</v>
      </c>
      <c r="L500" s="32">
        <v>18105.59</v>
      </c>
      <c r="M500" s="33"/>
      <c r="N500" s="30">
        <v>16712.849999999999</v>
      </c>
      <c r="O500" s="30">
        <v>10253.219999999999</v>
      </c>
      <c r="P500" s="30"/>
      <c r="Q500" s="30">
        <f>(N500+O500*0.18+J500)+(IF((P500-O500*0.18)&gt;0,(P500-O500*0.18),0))</f>
        <v>19951.169600000001</v>
      </c>
      <c r="R500" s="7"/>
      <c r="S500" s="7"/>
      <c r="T500" s="7"/>
      <c r="U500" s="7"/>
      <c r="V500" s="7"/>
      <c r="W500" s="7"/>
      <c r="X500" s="7"/>
      <c r="Y500" s="7"/>
      <c r="Z500" s="7"/>
    </row>
    <row r="501" spans="1:26" ht="9" customHeight="1" x14ac:dyDescent="0.2">
      <c r="A501" s="99"/>
      <c r="B501" s="99"/>
      <c r="C501" s="34" t="s">
        <v>37</v>
      </c>
      <c r="D501" s="35">
        <v>2</v>
      </c>
      <c r="E501" s="36">
        <v>19853002</v>
      </c>
      <c r="F501" s="36">
        <v>0</v>
      </c>
      <c r="G501" s="36">
        <v>0</v>
      </c>
      <c r="H501" s="36">
        <v>12507588</v>
      </c>
      <c r="I501" s="36">
        <v>0</v>
      </c>
      <c r="J501" s="37">
        <v>2696721</v>
      </c>
      <c r="K501" s="36">
        <v>32360590</v>
      </c>
      <c r="L501" s="38">
        <v>35057311</v>
      </c>
      <c r="M501" s="39"/>
      <c r="N501" s="36">
        <v>32360590</v>
      </c>
      <c r="O501" s="36">
        <v>19853002</v>
      </c>
      <c r="P501" s="36">
        <v>0</v>
      </c>
      <c r="Q501" s="36">
        <f>Q500*1936.27</f>
        <v>38630851.161392003</v>
      </c>
      <c r="R501" s="7"/>
      <c r="S501" s="7"/>
      <c r="T501" s="7"/>
      <c r="U501" s="7"/>
      <c r="V501" s="7"/>
      <c r="W501" s="7"/>
      <c r="X501" s="7"/>
      <c r="Y501" s="7"/>
      <c r="Z501" s="7"/>
    </row>
    <row r="502" spans="1:26" ht="12.75" customHeight="1" x14ac:dyDescent="0.2">
      <c r="A502" s="156">
        <v>36312</v>
      </c>
      <c r="B502" s="156">
        <v>36707</v>
      </c>
      <c r="C502" s="40" t="s">
        <v>36</v>
      </c>
      <c r="D502" s="41">
        <v>3</v>
      </c>
      <c r="E502" s="42">
        <v>10710.8</v>
      </c>
      <c r="F502" s="42">
        <v>0</v>
      </c>
      <c r="G502" s="42">
        <v>0</v>
      </c>
      <c r="H502" s="42">
        <v>6459.63</v>
      </c>
      <c r="I502" s="42">
        <v>0</v>
      </c>
      <c r="J502" s="42">
        <v>1430.87</v>
      </c>
      <c r="K502" s="43">
        <v>17170.43</v>
      </c>
      <c r="L502" s="32">
        <v>18601.3</v>
      </c>
      <c r="M502" s="33"/>
      <c r="N502" s="30">
        <v>17170.43</v>
      </c>
      <c r="O502" s="30">
        <v>10710.8</v>
      </c>
      <c r="P502" s="30"/>
      <c r="Q502" s="30">
        <f>(N502+O502*0.18+J502)+(IF((P502-O502*0.18)&gt;0,(P502-O502*0.18),0))</f>
        <v>20529.243999999999</v>
      </c>
      <c r="R502" s="7"/>
      <c r="S502" s="7"/>
      <c r="T502" s="7"/>
      <c r="U502" s="7"/>
      <c r="V502" s="7"/>
      <c r="W502" s="7"/>
      <c r="X502" s="7"/>
      <c r="Y502" s="7"/>
      <c r="Z502" s="7"/>
    </row>
    <row r="503" spans="1:26" ht="9" customHeight="1" x14ac:dyDescent="0.2">
      <c r="A503" s="95"/>
      <c r="B503" s="95"/>
      <c r="C503" s="34" t="s">
        <v>37</v>
      </c>
      <c r="D503" s="35">
        <v>8</v>
      </c>
      <c r="E503" s="36">
        <v>20739001</v>
      </c>
      <c r="F503" s="36">
        <v>0</v>
      </c>
      <c r="G503" s="36">
        <v>0</v>
      </c>
      <c r="H503" s="36">
        <v>12507588</v>
      </c>
      <c r="I503" s="36">
        <v>0</v>
      </c>
      <c r="J503" s="37">
        <v>2770551</v>
      </c>
      <c r="K503" s="36">
        <v>33246588</v>
      </c>
      <c r="L503" s="38">
        <v>36017139</v>
      </c>
      <c r="M503" s="39"/>
      <c r="N503" s="36">
        <v>33246588</v>
      </c>
      <c r="O503" s="36">
        <v>20739001</v>
      </c>
      <c r="P503" s="36">
        <v>0</v>
      </c>
      <c r="Q503" s="36">
        <f>Q502*1936.27</f>
        <v>39750159.279879995</v>
      </c>
      <c r="R503" s="7"/>
      <c r="S503" s="7"/>
      <c r="T503" s="7"/>
      <c r="U503" s="7"/>
      <c r="V503" s="7"/>
      <c r="W503" s="7"/>
      <c r="X503" s="7"/>
      <c r="Y503" s="7"/>
      <c r="Z503" s="7"/>
    </row>
    <row r="504" spans="1:26" ht="12.75" customHeight="1" x14ac:dyDescent="0.2">
      <c r="A504" s="95"/>
      <c r="B504" s="95"/>
      <c r="C504" s="40" t="s">
        <v>36</v>
      </c>
      <c r="D504" s="41">
        <v>9</v>
      </c>
      <c r="E504" s="42">
        <v>12217.3</v>
      </c>
      <c r="F504" s="42">
        <v>0</v>
      </c>
      <c r="G504" s="42">
        <v>0</v>
      </c>
      <c r="H504" s="42">
        <v>6459.63</v>
      </c>
      <c r="I504" s="42">
        <v>0</v>
      </c>
      <c r="J504" s="42">
        <v>1556.41</v>
      </c>
      <c r="K504" s="43">
        <v>18676.93</v>
      </c>
      <c r="L504" s="32">
        <v>20233.34</v>
      </c>
      <c r="M504" s="33"/>
      <c r="N504" s="30">
        <v>18676.93</v>
      </c>
      <c r="O504" s="30">
        <v>12217.3</v>
      </c>
      <c r="P504" s="30"/>
      <c r="Q504" s="30">
        <f>(N504+O504*0.18+J504)+(IF((P504-O504*0.18)&gt;0,(P504-O504*0.18),0))</f>
        <v>22432.454000000002</v>
      </c>
      <c r="R504" s="7"/>
      <c r="S504" s="7"/>
      <c r="T504" s="7"/>
      <c r="U504" s="7"/>
      <c r="V504" s="7"/>
      <c r="W504" s="7"/>
      <c r="X504" s="7"/>
      <c r="Y504" s="7"/>
      <c r="Z504" s="7"/>
    </row>
    <row r="505" spans="1:26" ht="9" customHeight="1" x14ac:dyDescent="0.2">
      <c r="A505" s="95"/>
      <c r="B505" s="95"/>
      <c r="C505" s="34" t="s">
        <v>37</v>
      </c>
      <c r="D505" s="35">
        <v>14</v>
      </c>
      <c r="E505" s="36">
        <v>23655991</v>
      </c>
      <c r="F505" s="36">
        <v>0</v>
      </c>
      <c r="G505" s="36">
        <v>0</v>
      </c>
      <c r="H505" s="36">
        <v>12507588</v>
      </c>
      <c r="I505" s="36">
        <v>0</v>
      </c>
      <c r="J505" s="37">
        <v>3013630</v>
      </c>
      <c r="K505" s="36">
        <v>36163579</v>
      </c>
      <c r="L505" s="38">
        <v>39177209</v>
      </c>
      <c r="M505" s="39"/>
      <c r="N505" s="36">
        <v>36163579</v>
      </c>
      <c r="O505" s="36">
        <v>23655991</v>
      </c>
      <c r="P505" s="36">
        <v>0</v>
      </c>
      <c r="Q505" s="36">
        <f>Q504*1936.27</f>
        <v>43435287.706580006</v>
      </c>
      <c r="R505" s="7"/>
      <c r="S505" s="7"/>
      <c r="T505" s="7"/>
      <c r="U505" s="7"/>
      <c r="V505" s="7"/>
      <c r="W505" s="7"/>
      <c r="X505" s="7"/>
      <c r="Y505" s="7"/>
      <c r="Z505" s="7"/>
    </row>
    <row r="506" spans="1:26" ht="12.75" customHeight="1" x14ac:dyDescent="0.2">
      <c r="A506" s="95"/>
      <c r="B506" s="95"/>
      <c r="C506" s="40" t="s">
        <v>36</v>
      </c>
      <c r="D506" s="41">
        <v>15</v>
      </c>
      <c r="E506" s="42">
        <v>13946.92</v>
      </c>
      <c r="F506" s="42">
        <v>0</v>
      </c>
      <c r="G506" s="42">
        <v>0</v>
      </c>
      <c r="H506" s="42">
        <v>6459.63</v>
      </c>
      <c r="I506" s="42">
        <v>0</v>
      </c>
      <c r="J506" s="42">
        <v>1700.55</v>
      </c>
      <c r="K506" s="43">
        <v>20406.55</v>
      </c>
      <c r="L506" s="32">
        <v>22107.1</v>
      </c>
      <c r="M506" s="33"/>
      <c r="N506" s="30">
        <v>20406.55</v>
      </c>
      <c r="O506" s="30">
        <v>13946.92</v>
      </c>
      <c r="P506" s="30"/>
      <c r="Q506" s="30">
        <f>(N506+O506*0.18+J506)+(IF((P506-O506*0.18)&gt;0,(P506-O506*0.18),0))</f>
        <v>24617.545599999998</v>
      </c>
      <c r="R506" s="7"/>
      <c r="S506" s="7"/>
      <c r="T506" s="7"/>
      <c r="U506" s="7"/>
      <c r="V506" s="7"/>
      <c r="W506" s="7"/>
      <c r="X506" s="7"/>
      <c r="Y506" s="7"/>
      <c r="Z506" s="7"/>
    </row>
    <row r="507" spans="1:26" ht="9" customHeight="1" x14ac:dyDescent="0.2">
      <c r="A507" s="95"/>
      <c r="B507" s="95"/>
      <c r="C507" s="34" t="s">
        <v>37</v>
      </c>
      <c r="D507" s="35">
        <v>20</v>
      </c>
      <c r="E507" s="36">
        <v>27005003</v>
      </c>
      <c r="F507" s="36">
        <v>0</v>
      </c>
      <c r="G507" s="36">
        <v>0</v>
      </c>
      <c r="H507" s="36">
        <v>12507588</v>
      </c>
      <c r="I507" s="36">
        <v>0</v>
      </c>
      <c r="J507" s="37">
        <v>3292724</v>
      </c>
      <c r="K507" s="36">
        <v>39512591</v>
      </c>
      <c r="L507" s="38">
        <v>42805315</v>
      </c>
      <c r="M507" s="39"/>
      <c r="N507" s="36">
        <v>39512591</v>
      </c>
      <c r="O507" s="36">
        <v>27005003</v>
      </c>
      <c r="P507" s="36">
        <v>0</v>
      </c>
      <c r="Q507" s="36">
        <f>Q506*1936.27</f>
        <v>47666215.018911995</v>
      </c>
      <c r="R507" s="7"/>
      <c r="S507" s="7"/>
      <c r="T507" s="7"/>
      <c r="U507" s="7"/>
      <c r="V507" s="7"/>
      <c r="W507" s="7"/>
      <c r="X507" s="7"/>
      <c r="Y507" s="7"/>
      <c r="Z507" s="7"/>
    </row>
    <row r="508" spans="1:26" ht="12.75" customHeight="1" x14ac:dyDescent="0.2">
      <c r="A508" s="95"/>
      <c r="B508" s="95"/>
      <c r="C508" s="40" t="s">
        <v>36</v>
      </c>
      <c r="D508" s="41">
        <v>21</v>
      </c>
      <c r="E508" s="42">
        <v>15636.77</v>
      </c>
      <c r="F508" s="42">
        <v>0</v>
      </c>
      <c r="G508" s="42">
        <v>0</v>
      </c>
      <c r="H508" s="42">
        <v>6459.63</v>
      </c>
      <c r="I508" s="42">
        <v>0</v>
      </c>
      <c r="J508" s="42">
        <v>1841.37</v>
      </c>
      <c r="K508" s="43">
        <v>22096.400000000001</v>
      </c>
      <c r="L508" s="32">
        <v>23937.77</v>
      </c>
      <c r="M508" s="33"/>
      <c r="N508" s="30">
        <v>22096.400000000001</v>
      </c>
      <c r="O508" s="30">
        <v>15636.77</v>
      </c>
      <c r="P508" s="30"/>
      <c r="Q508" s="30">
        <f>(N508+O508*0.18+J508)+(IF((P508-O508*0.18)&gt;0,(P508-O508*0.18),0))</f>
        <v>26752.388600000002</v>
      </c>
      <c r="R508" s="7"/>
      <c r="S508" s="7"/>
      <c r="T508" s="7"/>
      <c r="U508" s="7"/>
      <c r="V508" s="7"/>
      <c r="W508" s="7"/>
      <c r="X508" s="7"/>
      <c r="Y508" s="7"/>
      <c r="Z508" s="7"/>
    </row>
    <row r="509" spans="1:26" ht="9" customHeight="1" x14ac:dyDescent="0.2">
      <c r="A509" s="95"/>
      <c r="B509" s="95"/>
      <c r="C509" s="34" t="s">
        <v>37</v>
      </c>
      <c r="D509" s="35">
        <v>27</v>
      </c>
      <c r="E509" s="36">
        <v>30277009</v>
      </c>
      <c r="F509" s="36">
        <v>0</v>
      </c>
      <c r="G509" s="36">
        <v>0</v>
      </c>
      <c r="H509" s="36">
        <v>12507588</v>
      </c>
      <c r="I509" s="36">
        <v>0</v>
      </c>
      <c r="J509" s="37">
        <v>3565389</v>
      </c>
      <c r="K509" s="36">
        <v>42784596</v>
      </c>
      <c r="L509" s="38">
        <v>46349986</v>
      </c>
      <c r="M509" s="39"/>
      <c r="N509" s="36">
        <v>42784596</v>
      </c>
      <c r="O509" s="36">
        <v>30277009</v>
      </c>
      <c r="P509" s="36">
        <v>0</v>
      </c>
      <c r="Q509" s="36">
        <f>Q508*1936.27</f>
        <v>51799847.474522002</v>
      </c>
      <c r="R509" s="7"/>
      <c r="S509" s="7"/>
      <c r="T509" s="7"/>
      <c r="U509" s="7"/>
      <c r="V509" s="7"/>
      <c r="W509" s="7"/>
      <c r="X509" s="7"/>
      <c r="Y509" s="7"/>
      <c r="Z509" s="7"/>
    </row>
    <row r="510" spans="1:26" ht="12.75" customHeight="1" x14ac:dyDescent="0.2">
      <c r="A510" s="95"/>
      <c r="B510" s="95"/>
      <c r="C510" s="40" t="s">
        <v>36</v>
      </c>
      <c r="D510" s="41">
        <v>28</v>
      </c>
      <c r="E510" s="42">
        <v>17293.560000000001</v>
      </c>
      <c r="F510" s="42">
        <v>0</v>
      </c>
      <c r="G510" s="42">
        <v>0</v>
      </c>
      <c r="H510" s="42">
        <v>6459.63</v>
      </c>
      <c r="I510" s="42">
        <v>0</v>
      </c>
      <c r="J510" s="42">
        <v>1979.43</v>
      </c>
      <c r="K510" s="43">
        <v>23753.19</v>
      </c>
      <c r="L510" s="32">
        <v>25732.62</v>
      </c>
      <c r="M510" s="33"/>
      <c r="N510" s="30">
        <v>23753.19</v>
      </c>
      <c r="O510" s="30">
        <v>17293.560000000001</v>
      </c>
      <c r="P510" s="30"/>
      <c r="Q510" s="30">
        <f>(N510+O510*0.18+J510)+(IF((P510-O510*0.18)&gt;0,(P510-O510*0.18),0))</f>
        <v>28845.460800000001</v>
      </c>
      <c r="R510" s="7"/>
      <c r="S510" s="7"/>
      <c r="T510" s="7"/>
      <c r="U510" s="7"/>
      <c r="V510" s="7"/>
      <c r="W510" s="7"/>
      <c r="X510" s="7"/>
      <c r="Y510" s="7"/>
      <c r="Z510" s="7"/>
    </row>
    <row r="511" spans="1:26" ht="9" customHeight="1" x14ac:dyDescent="0.2">
      <c r="A511" s="95"/>
      <c r="B511" s="95"/>
      <c r="C511" s="34" t="s">
        <v>37</v>
      </c>
      <c r="D511" s="35">
        <v>34</v>
      </c>
      <c r="E511" s="36">
        <v>33485001</v>
      </c>
      <c r="F511" s="36">
        <v>0</v>
      </c>
      <c r="G511" s="36">
        <v>0</v>
      </c>
      <c r="H511" s="36">
        <v>12507588</v>
      </c>
      <c r="I511" s="36">
        <v>0</v>
      </c>
      <c r="J511" s="37">
        <v>3832711</v>
      </c>
      <c r="K511" s="36">
        <v>45992589</v>
      </c>
      <c r="L511" s="38">
        <v>49825300</v>
      </c>
      <c r="M511" s="39"/>
      <c r="N511" s="36">
        <v>45992589</v>
      </c>
      <c r="O511" s="36">
        <v>33485001</v>
      </c>
      <c r="P511" s="36">
        <v>0</v>
      </c>
      <c r="Q511" s="36">
        <f>Q510*1936.27</f>
        <v>55852600.383216001</v>
      </c>
      <c r="R511" s="7"/>
      <c r="S511" s="7"/>
      <c r="T511" s="7"/>
      <c r="U511" s="7"/>
      <c r="V511" s="7"/>
      <c r="W511" s="7"/>
      <c r="X511" s="7"/>
      <c r="Y511" s="7"/>
      <c r="Z511" s="7"/>
    </row>
    <row r="512" spans="1:26" ht="12.75" customHeight="1" x14ac:dyDescent="0.2">
      <c r="A512" s="95"/>
      <c r="B512" s="95"/>
      <c r="C512" s="40" t="s">
        <v>36</v>
      </c>
      <c r="D512" s="41">
        <v>35</v>
      </c>
      <c r="E512" s="42">
        <v>18521.18</v>
      </c>
      <c r="F512" s="42">
        <v>0</v>
      </c>
      <c r="G512" s="42">
        <v>0</v>
      </c>
      <c r="H512" s="42">
        <v>6459.63</v>
      </c>
      <c r="I512" s="42">
        <v>0</v>
      </c>
      <c r="J512" s="42">
        <v>2081.73</v>
      </c>
      <c r="K512" s="43">
        <v>24980.81</v>
      </c>
      <c r="L512" s="32">
        <v>27062.54</v>
      </c>
      <c r="M512" s="33"/>
      <c r="N512" s="30">
        <v>24980.81</v>
      </c>
      <c r="O512" s="30">
        <v>18521.18</v>
      </c>
      <c r="P512" s="30"/>
      <c r="Q512" s="30">
        <f>(N512+O512*0.18+J512)+(IF((P512-O512*0.18)&gt;0,(P512-O512*0.18),0))</f>
        <v>30396.3524</v>
      </c>
      <c r="R512" s="7"/>
      <c r="S512" s="7"/>
      <c r="T512" s="7"/>
      <c r="U512" s="7"/>
      <c r="V512" s="7"/>
      <c r="W512" s="7"/>
      <c r="X512" s="7"/>
      <c r="Y512" s="7"/>
      <c r="Z512" s="7"/>
    </row>
    <row r="513" spans="1:26" ht="9" customHeight="1" x14ac:dyDescent="0.2">
      <c r="A513" s="110"/>
      <c r="B513" s="110"/>
      <c r="C513" s="47" t="s">
        <v>37</v>
      </c>
      <c r="D513" s="48"/>
      <c r="E513" s="46">
        <v>35862005</v>
      </c>
      <c r="F513" s="46">
        <v>0</v>
      </c>
      <c r="G513" s="46">
        <v>0</v>
      </c>
      <c r="H513" s="46">
        <v>12507588</v>
      </c>
      <c r="I513" s="46">
        <v>0</v>
      </c>
      <c r="J513" s="49">
        <v>4030791</v>
      </c>
      <c r="K513" s="46">
        <v>48369593</v>
      </c>
      <c r="L513" s="38">
        <v>52400384</v>
      </c>
      <c r="M513" s="39"/>
      <c r="N513" s="36">
        <v>48369593</v>
      </c>
      <c r="O513" s="36">
        <v>35862005</v>
      </c>
      <c r="P513" s="36">
        <v>0</v>
      </c>
      <c r="Q513" s="36">
        <f>Q512*1936.27</f>
        <v>58855545.261547998</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98">
        <v>36708</v>
      </c>
      <c r="B520" s="98">
        <v>36769</v>
      </c>
      <c r="C520" s="28" t="s">
        <v>36</v>
      </c>
      <c r="D520" s="29">
        <v>0</v>
      </c>
      <c r="E520" s="30">
        <v>10451.540000000001</v>
      </c>
      <c r="F520" s="30">
        <v>0</v>
      </c>
      <c r="G520" s="30">
        <v>0</v>
      </c>
      <c r="H520" s="30">
        <v>6459.63</v>
      </c>
      <c r="I520" s="30">
        <v>0</v>
      </c>
      <c r="J520" s="30">
        <v>1409.26</v>
      </c>
      <c r="K520" s="31">
        <v>16911.169999999998</v>
      </c>
      <c r="L520" s="32">
        <v>18320.43</v>
      </c>
      <c r="M520" s="33"/>
      <c r="N520" s="30">
        <v>16911.169999999998</v>
      </c>
      <c r="O520" s="30">
        <v>10451.540000000001</v>
      </c>
      <c r="P520" s="30"/>
      <c r="Q520" s="30">
        <f>(N520+O520*0.18+J520)+(IF((P520-O520*0.18)&gt;0,(P520-O520*0.18),0))</f>
        <v>20201.707199999997</v>
      </c>
      <c r="R520" s="7"/>
      <c r="S520" s="7"/>
      <c r="T520" s="7"/>
      <c r="U520" s="7"/>
      <c r="V520" s="7"/>
      <c r="W520" s="7"/>
      <c r="X520" s="7"/>
      <c r="Y520" s="7"/>
      <c r="Z520" s="7"/>
    </row>
    <row r="521" spans="1:26" ht="9" customHeight="1" x14ac:dyDescent="0.2">
      <c r="A521" s="95"/>
      <c r="B521" s="95"/>
      <c r="C521" s="34" t="s">
        <v>37</v>
      </c>
      <c r="D521" s="35">
        <v>2</v>
      </c>
      <c r="E521" s="36">
        <v>20237003</v>
      </c>
      <c r="F521" s="36">
        <v>0</v>
      </c>
      <c r="G521" s="36">
        <v>0</v>
      </c>
      <c r="H521" s="36">
        <v>12507588</v>
      </c>
      <c r="I521" s="36">
        <v>0</v>
      </c>
      <c r="J521" s="37">
        <v>2728708</v>
      </c>
      <c r="K521" s="36">
        <v>32744591</v>
      </c>
      <c r="L521" s="38">
        <v>35473299</v>
      </c>
      <c r="M521" s="39"/>
      <c r="N521" s="36">
        <v>32744591</v>
      </c>
      <c r="O521" s="36">
        <v>20237003</v>
      </c>
      <c r="P521" s="36">
        <v>0</v>
      </c>
      <c r="Q521" s="36">
        <f>Q520*1936.27</f>
        <v>39115959.600143991</v>
      </c>
      <c r="R521" s="7"/>
      <c r="S521" s="7"/>
      <c r="T521" s="7"/>
      <c r="U521" s="7"/>
      <c r="V521" s="7"/>
      <c r="W521" s="7"/>
      <c r="X521" s="7"/>
      <c r="Y521" s="7"/>
      <c r="Z521" s="7"/>
    </row>
    <row r="522" spans="1:26" ht="12.75" customHeight="1" x14ac:dyDescent="0.2">
      <c r="A522" s="156">
        <v>36708</v>
      </c>
      <c r="B522" s="156">
        <v>36769</v>
      </c>
      <c r="C522" s="40" t="s">
        <v>36</v>
      </c>
      <c r="D522" s="41">
        <v>3</v>
      </c>
      <c r="E522" s="42">
        <v>10915.32</v>
      </c>
      <c r="F522" s="42">
        <v>0</v>
      </c>
      <c r="G522" s="42">
        <v>0</v>
      </c>
      <c r="H522" s="42">
        <v>6459.63</v>
      </c>
      <c r="I522" s="42">
        <v>0</v>
      </c>
      <c r="J522" s="42">
        <v>1447.91</v>
      </c>
      <c r="K522" s="43">
        <v>17374.95</v>
      </c>
      <c r="L522" s="32">
        <v>18822.86</v>
      </c>
      <c r="M522" s="33"/>
      <c r="N522" s="30">
        <v>17374.95</v>
      </c>
      <c r="O522" s="30">
        <v>10915.32</v>
      </c>
      <c r="P522" s="30"/>
      <c r="Q522" s="30">
        <f>(N522+O522*0.18+J522)+(IF((P522-O522*0.18)&gt;0,(P522-O522*0.18),0))</f>
        <v>20787.617600000001</v>
      </c>
      <c r="R522" s="7"/>
      <c r="S522" s="7"/>
      <c r="T522" s="7"/>
      <c r="U522" s="7"/>
      <c r="V522" s="7"/>
      <c r="W522" s="7"/>
      <c r="X522" s="7"/>
      <c r="Y522" s="7"/>
      <c r="Z522" s="7"/>
    </row>
    <row r="523" spans="1:26" ht="9" customHeight="1" x14ac:dyDescent="0.2">
      <c r="A523" s="95"/>
      <c r="B523" s="95"/>
      <c r="C523" s="34" t="s">
        <v>37</v>
      </c>
      <c r="D523" s="35">
        <v>8</v>
      </c>
      <c r="E523" s="36">
        <v>21135007</v>
      </c>
      <c r="F523" s="36">
        <v>0</v>
      </c>
      <c r="G523" s="36">
        <v>0</v>
      </c>
      <c r="H523" s="36">
        <v>12507588</v>
      </c>
      <c r="I523" s="36">
        <v>0</v>
      </c>
      <c r="J523" s="37">
        <v>2803545</v>
      </c>
      <c r="K523" s="36">
        <v>33642594</v>
      </c>
      <c r="L523" s="38">
        <v>36446139</v>
      </c>
      <c r="M523" s="39"/>
      <c r="N523" s="36">
        <v>33642594</v>
      </c>
      <c r="O523" s="36">
        <v>21135007</v>
      </c>
      <c r="P523" s="36">
        <v>0</v>
      </c>
      <c r="Q523" s="36">
        <f>Q522*1936.27</f>
        <v>40250440.330352001</v>
      </c>
      <c r="R523" s="7"/>
      <c r="S523" s="7"/>
      <c r="T523" s="7"/>
      <c r="U523" s="7"/>
      <c r="V523" s="7"/>
      <c r="W523" s="7"/>
      <c r="X523" s="7"/>
      <c r="Y523" s="7"/>
      <c r="Z523" s="7"/>
    </row>
    <row r="524" spans="1:26" ht="12.75" customHeight="1" x14ac:dyDescent="0.2">
      <c r="A524" s="95"/>
      <c r="B524" s="95"/>
      <c r="C524" s="40" t="s">
        <v>36</v>
      </c>
      <c r="D524" s="41">
        <v>9</v>
      </c>
      <c r="E524" s="42">
        <v>12440.41</v>
      </c>
      <c r="F524" s="42">
        <v>0</v>
      </c>
      <c r="G524" s="42">
        <v>0</v>
      </c>
      <c r="H524" s="42">
        <v>6459.63</v>
      </c>
      <c r="I524" s="42">
        <v>0</v>
      </c>
      <c r="J524" s="42">
        <v>1575</v>
      </c>
      <c r="K524" s="43">
        <v>18900.04</v>
      </c>
      <c r="L524" s="32">
        <v>20475.04</v>
      </c>
      <c r="M524" s="33"/>
      <c r="N524" s="30">
        <v>18900.04</v>
      </c>
      <c r="O524" s="30">
        <v>12440.41</v>
      </c>
      <c r="P524" s="30"/>
      <c r="Q524" s="30">
        <f>(N524+O524*0.18+J524)+(IF((P524-O524*0.18)&gt;0,(P524-O524*0.18),0))</f>
        <v>22714.3138</v>
      </c>
      <c r="R524" s="7"/>
      <c r="S524" s="7"/>
      <c r="T524" s="7"/>
      <c r="U524" s="7"/>
      <c r="V524" s="7"/>
      <c r="W524" s="7"/>
      <c r="X524" s="7"/>
      <c r="Y524" s="7"/>
      <c r="Z524" s="7"/>
    </row>
    <row r="525" spans="1:26" ht="9" customHeight="1" x14ac:dyDescent="0.2">
      <c r="A525" s="95"/>
      <c r="B525" s="95"/>
      <c r="C525" s="34" t="s">
        <v>37</v>
      </c>
      <c r="D525" s="35">
        <v>14</v>
      </c>
      <c r="E525" s="36">
        <v>24087993</v>
      </c>
      <c r="F525" s="36">
        <v>0</v>
      </c>
      <c r="G525" s="36">
        <v>0</v>
      </c>
      <c r="H525" s="36">
        <v>12507588</v>
      </c>
      <c r="I525" s="36">
        <v>0</v>
      </c>
      <c r="J525" s="37">
        <v>3049625</v>
      </c>
      <c r="K525" s="36">
        <v>36595580</v>
      </c>
      <c r="L525" s="38">
        <v>39645206</v>
      </c>
      <c r="M525" s="39"/>
      <c r="N525" s="36">
        <v>36595580</v>
      </c>
      <c r="O525" s="36">
        <v>24087993</v>
      </c>
      <c r="P525" s="36">
        <v>0</v>
      </c>
      <c r="Q525" s="36">
        <f>Q524*1936.27</f>
        <v>43981044.381526001</v>
      </c>
      <c r="R525" s="7"/>
      <c r="S525" s="7"/>
      <c r="T525" s="7"/>
      <c r="U525" s="7"/>
      <c r="V525" s="7"/>
      <c r="W525" s="7"/>
      <c r="X525" s="7"/>
      <c r="Y525" s="7"/>
      <c r="Z525" s="7"/>
    </row>
    <row r="526" spans="1:26" ht="12.75" customHeight="1" x14ac:dyDescent="0.2">
      <c r="A526" s="95"/>
      <c r="B526" s="95"/>
      <c r="C526" s="40" t="s">
        <v>36</v>
      </c>
      <c r="D526" s="41">
        <v>15</v>
      </c>
      <c r="E526" s="42">
        <v>14194.82</v>
      </c>
      <c r="F526" s="42">
        <v>0</v>
      </c>
      <c r="G526" s="42">
        <v>0</v>
      </c>
      <c r="H526" s="42">
        <v>6459.63</v>
      </c>
      <c r="I526" s="42">
        <v>0</v>
      </c>
      <c r="J526" s="42">
        <v>1721.2</v>
      </c>
      <c r="K526" s="43">
        <v>20654.45</v>
      </c>
      <c r="L526" s="32">
        <v>22375.65</v>
      </c>
      <c r="M526" s="33"/>
      <c r="N526" s="30">
        <v>20654.45</v>
      </c>
      <c r="O526" s="30">
        <v>14194.82</v>
      </c>
      <c r="P526" s="30"/>
      <c r="Q526" s="30">
        <f>(N526+O526*0.18+J526)+(IF((P526-O526*0.18)&gt;0,(P526-O526*0.18),0))</f>
        <v>24930.7176</v>
      </c>
      <c r="R526" s="7"/>
      <c r="S526" s="7"/>
      <c r="T526" s="7"/>
      <c r="U526" s="7"/>
      <c r="V526" s="7"/>
      <c r="W526" s="7"/>
      <c r="X526" s="7"/>
      <c r="Y526" s="7"/>
      <c r="Z526" s="7"/>
    </row>
    <row r="527" spans="1:26" ht="9" customHeight="1" x14ac:dyDescent="0.2">
      <c r="A527" s="95"/>
      <c r="B527" s="95"/>
      <c r="C527" s="34" t="s">
        <v>37</v>
      </c>
      <c r="D527" s="35">
        <v>20</v>
      </c>
      <c r="E527" s="36">
        <v>27485004</v>
      </c>
      <c r="F527" s="36">
        <v>0</v>
      </c>
      <c r="G527" s="36">
        <v>0</v>
      </c>
      <c r="H527" s="36">
        <v>12507588</v>
      </c>
      <c r="I527" s="36">
        <v>0</v>
      </c>
      <c r="J527" s="37">
        <v>3332708</v>
      </c>
      <c r="K527" s="36">
        <v>39992592</v>
      </c>
      <c r="L527" s="38">
        <v>43325300</v>
      </c>
      <c r="M527" s="39"/>
      <c r="N527" s="36">
        <v>39992592</v>
      </c>
      <c r="O527" s="36">
        <v>27485004</v>
      </c>
      <c r="P527" s="36">
        <v>0</v>
      </c>
      <c r="Q527" s="36">
        <f>Q526*1936.27</f>
        <v>48272600.567351997</v>
      </c>
      <c r="R527" s="7"/>
      <c r="S527" s="7"/>
      <c r="T527" s="7"/>
      <c r="U527" s="7"/>
      <c r="V527" s="7"/>
      <c r="W527" s="7"/>
      <c r="X527" s="7"/>
      <c r="Y527" s="7"/>
      <c r="Z527" s="7"/>
    </row>
    <row r="528" spans="1:26" ht="12.75" customHeight="1" x14ac:dyDescent="0.2">
      <c r="A528" s="95"/>
      <c r="B528" s="95"/>
      <c r="C528" s="40" t="s">
        <v>36</v>
      </c>
      <c r="D528" s="41">
        <v>21</v>
      </c>
      <c r="E528" s="42">
        <v>15903.26</v>
      </c>
      <c r="F528" s="42">
        <v>0</v>
      </c>
      <c r="G528" s="42">
        <v>0</v>
      </c>
      <c r="H528" s="42">
        <v>6459.63</v>
      </c>
      <c r="I528" s="42">
        <v>0</v>
      </c>
      <c r="J528" s="42">
        <v>1863.57</v>
      </c>
      <c r="K528" s="43">
        <v>22362.89</v>
      </c>
      <c r="L528" s="32">
        <v>24226.46</v>
      </c>
      <c r="M528" s="33"/>
      <c r="N528" s="30">
        <v>22362.89</v>
      </c>
      <c r="O528" s="30">
        <v>15903.26</v>
      </c>
      <c r="P528" s="30"/>
      <c r="Q528" s="30">
        <f>(N528+O528*0.18+J528)+(IF((P528-O528*0.18)&gt;0,(P528-O528*0.18),0))</f>
        <v>27089.0468</v>
      </c>
      <c r="R528" s="7"/>
      <c r="S528" s="7"/>
      <c r="T528" s="7"/>
      <c r="U528" s="7"/>
      <c r="V528" s="7"/>
      <c r="W528" s="7"/>
      <c r="X528" s="7"/>
      <c r="Y528" s="7"/>
      <c r="Z528" s="7"/>
    </row>
    <row r="529" spans="1:26" ht="9" customHeight="1" x14ac:dyDescent="0.2">
      <c r="A529" s="95"/>
      <c r="B529" s="95"/>
      <c r="C529" s="34" t="s">
        <v>37</v>
      </c>
      <c r="D529" s="35">
        <v>27</v>
      </c>
      <c r="E529" s="36">
        <v>30793005</v>
      </c>
      <c r="F529" s="36">
        <v>0</v>
      </c>
      <c r="G529" s="36">
        <v>0</v>
      </c>
      <c r="H529" s="36">
        <v>12507588</v>
      </c>
      <c r="I529" s="36">
        <v>0</v>
      </c>
      <c r="J529" s="37">
        <v>3608375</v>
      </c>
      <c r="K529" s="36">
        <v>43300593</v>
      </c>
      <c r="L529" s="38">
        <v>46908968</v>
      </c>
      <c r="M529" s="39"/>
      <c r="N529" s="36">
        <v>43300593</v>
      </c>
      <c r="O529" s="36">
        <v>30793005</v>
      </c>
      <c r="P529" s="36">
        <v>0</v>
      </c>
      <c r="Q529" s="36">
        <f>Q528*1936.27</f>
        <v>52451708.647436</v>
      </c>
      <c r="R529" s="7"/>
      <c r="S529" s="7"/>
      <c r="T529" s="7"/>
      <c r="U529" s="7"/>
      <c r="V529" s="7"/>
      <c r="W529" s="7"/>
      <c r="X529" s="7"/>
      <c r="Y529" s="7"/>
      <c r="Z529" s="7"/>
    </row>
    <row r="530" spans="1:26" ht="12.75" customHeight="1" x14ac:dyDescent="0.2">
      <c r="A530" s="95"/>
      <c r="B530" s="95"/>
      <c r="C530" s="40" t="s">
        <v>36</v>
      </c>
      <c r="D530" s="41">
        <v>28</v>
      </c>
      <c r="E530" s="42">
        <v>17578.64</v>
      </c>
      <c r="F530" s="42">
        <v>0</v>
      </c>
      <c r="G530" s="42">
        <v>0</v>
      </c>
      <c r="H530" s="42">
        <v>6459.63</v>
      </c>
      <c r="I530" s="42">
        <v>0</v>
      </c>
      <c r="J530" s="42">
        <v>2003.19</v>
      </c>
      <c r="K530" s="43">
        <v>24038.27</v>
      </c>
      <c r="L530" s="32">
        <v>26041.46</v>
      </c>
      <c r="M530" s="33"/>
      <c r="N530" s="30">
        <v>24038.27</v>
      </c>
      <c r="O530" s="30">
        <v>17578.64</v>
      </c>
      <c r="P530" s="30"/>
      <c r="Q530" s="30">
        <f>(N530+O530*0.18+J530)+(IF((P530-O530*0.18)&gt;0,(P530-O530*0.18),0))</f>
        <v>29205.6152</v>
      </c>
      <c r="R530" s="7"/>
      <c r="S530" s="7"/>
      <c r="T530" s="7"/>
      <c r="U530" s="7"/>
      <c r="V530" s="7"/>
      <c r="W530" s="7"/>
      <c r="X530" s="7"/>
      <c r="Y530" s="7"/>
      <c r="Z530" s="7"/>
    </row>
    <row r="531" spans="1:26" ht="9" customHeight="1" x14ac:dyDescent="0.2">
      <c r="A531" s="95"/>
      <c r="B531" s="95"/>
      <c r="C531" s="34" t="s">
        <v>37</v>
      </c>
      <c r="D531" s="35">
        <v>34</v>
      </c>
      <c r="E531" s="36">
        <v>34036993</v>
      </c>
      <c r="F531" s="36">
        <v>0</v>
      </c>
      <c r="G531" s="36">
        <v>0</v>
      </c>
      <c r="H531" s="36">
        <v>12507588</v>
      </c>
      <c r="I531" s="36">
        <v>0</v>
      </c>
      <c r="J531" s="37">
        <v>3878717</v>
      </c>
      <c r="K531" s="36">
        <v>46544581</v>
      </c>
      <c r="L531" s="38">
        <v>50423298</v>
      </c>
      <c r="M531" s="39"/>
      <c r="N531" s="36">
        <v>46544581</v>
      </c>
      <c r="O531" s="36">
        <v>34036993</v>
      </c>
      <c r="P531" s="36">
        <v>0</v>
      </c>
      <c r="Q531" s="36">
        <f>Q530*1936.27</f>
        <v>56549956.543303996</v>
      </c>
      <c r="R531" s="7"/>
      <c r="S531" s="7"/>
      <c r="T531" s="7"/>
      <c r="U531" s="7"/>
      <c r="V531" s="7"/>
      <c r="W531" s="7"/>
      <c r="X531" s="7"/>
      <c r="Y531" s="7"/>
      <c r="Z531" s="7"/>
    </row>
    <row r="532" spans="1:26" ht="12.75" customHeight="1" x14ac:dyDescent="0.2">
      <c r="A532" s="95"/>
      <c r="B532" s="95"/>
      <c r="C532" s="40" t="s">
        <v>36</v>
      </c>
      <c r="D532" s="41">
        <v>35</v>
      </c>
      <c r="E532" s="42">
        <v>18818.66</v>
      </c>
      <c r="F532" s="42">
        <v>0</v>
      </c>
      <c r="G532" s="42">
        <v>0</v>
      </c>
      <c r="H532" s="42">
        <v>6459.63</v>
      </c>
      <c r="I532" s="42">
        <v>0</v>
      </c>
      <c r="J532" s="42">
        <v>2106.52</v>
      </c>
      <c r="K532" s="43">
        <v>25278.29</v>
      </c>
      <c r="L532" s="32">
        <v>27384.81</v>
      </c>
      <c r="M532" s="33"/>
      <c r="N532" s="30">
        <v>25278.29</v>
      </c>
      <c r="O532" s="30">
        <v>18818.66</v>
      </c>
      <c r="P532" s="30"/>
      <c r="Q532" s="30">
        <f>(N532+O532*0.18+J532)+(IF((P532-O532*0.18)&gt;0,(P532-O532*0.18),0))</f>
        <v>30772.168800000003</v>
      </c>
      <c r="R532" s="7"/>
      <c r="S532" s="7"/>
      <c r="T532" s="7"/>
      <c r="U532" s="7"/>
      <c r="V532" s="7"/>
      <c r="W532" s="7"/>
      <c r="X532" s="7"/>
      <c r="Y532" s="7"/>
      <c r="Z532" s="7"/>
    </row>
    <row r="533" spans="1:26" ht="9" customHeight="1" x14ac:dyDescent="0.2">
      <c r="A533" s="110"/>
      <c r="B533" s="110"/>
      <c r="C533" s="47" t="s">
        <v>37</v>
      </c>
      <c r="D533" s="48"/>
      <c r="E533" s="46">
        <v>36438007</v>
      </c>
      <c r="F533" s="46">
        <v>0</v>
      </c>
      <c r="G533" s="46">
        <v>0</v>
      </c>
      <c r="H533" s="46">
        <v>12507588</v>
      </c>
      <c r="I533" s="46">
        <v>0</v>
      </c>
      <c r="J533" s="49">
        <v>4078791</v>
      </c>
      <c r="K533" s="46">
        <v>48945595</v>
      </c>
      <c r="L533" s="38">
        <v>53024386</v>
      </c>
      <c r="M533" s="39"/>
      <c r="N533" s="36">
        <v>48945595</v>
      </c>
      <c r="O533" s="36">
        <v>36438007</v>
      </c>
      <c r="P533" s="36">
        <v>0</v>
      </c>
      <c r="Q533" s="36">
        <f>Q532*1936.27</f>
        <v>59583227.282376006</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98">
        <v>36770</v>
      </c>
      <c r="B540" s="98">
        <v>36891</v>
      </c>
      <c r="C540" s="28" t="s">
        <v>36</v>
      </c>
      <c r="D540" s="29">
        <v>0</v>
      </c>
      <c r="E540" s="30">
        <v>10451.540000000001</v>
      </c>
      <c r="F540" s="30">
        <v>0</v>
      </c>
      <c r="G540" s="30">
        <v>0</v>
      </c>
      <c r="H540" s="30">
        <v>6459.63</v>
      </c>
      <c r="I540" s="30">
        <v>0</v>
      </c>
      <c r="J540" s="30">
        <v>1409.26</v>
      </c>
      <c r="K540" s="31">
        <v>16911.169999999998</v>
      </c>
      <c r="L540" s="32">
        <v>18320.43</v>
      </c>
      <c r="M540" s="33"/>
      <c r="N540" s="30">
        <v>16911.169999999998</v>
      </c>
      <c r="O540" s="30">
        <v>10451.540000000001</v>
      </c>
      <c r="P540" s="30"/>
      <c r="Q540" s="30">
        <f>(N540+O540*0.18+J540)+(IF((P540-O540*0.18)&gt;0,(P540-O540*0.18),0))</f>
        <v>20201.707199999997</v>
      </c>
      <c r="R540" s="7"/>
      <c r="S540" s="7"/>
      <c r="T540" s="7"/>
      <c r="U540" s="7"/>
      <c r="V540" s="7"/>
      <c r="W540" s="7"/>
      <c r="X540" s="7"/>
      <c r="Y540" s="7"/>
      <c r="Z540" s="7"/>
    </row>
    <row r="541" spans="1:26" ht="9" customHeight="1" x14ac:dyDescent="0.2">
      <c r="A541" s="95"/>
      <c r="B541" s="95"/>
      <c r="C541" s="34" t="s">
        <v>37</v>
      </c>
      <c r="D541" s="35">
        <v>2</v>
      </c>
      <c r="E541" s="36">
        <v>20237003</v>
      </c>
      <c r="F541" s="36">
        <v>0</v>
      </c>
      <c r="G541" s="36">
        <v>0</v>
      </c>
      <c r="H541" s="36">
        <v>12507588</v>
      </c>
      <c r="I541" s="36">
        <v>0</v>
      </c>
      <c r="J541" s="37">
        <v>2728708</v>
      </c>
      <c r="K541" s="36">
        <v>32744591</v>
      </c>
      <c r="L541" s="38">
        <v>35473299</v>
      </c>
      <c r="M541" s="39"/>
      <c r="N541" s="36">
        <v>32744591</v>
      </c>
      <c r="O541" s="36">
        <v>20237003</v>
      </c>
      <c r="P541" s="36">
        <v>0</v>
      </c>
      <c r="Q541" s="36">
        <f>Q540*1936.27</f>
        <v>39115959.600143991</v>
      </c>
      <c r="R541" s="7"/>
      <c r="S541" s="7"/>
      <c r="T541" s="7"/>
      <c r="U541" s="7"/>
      <c r="V541" s="7"/>
      <c r="W541" s="7"/>
      <c r="X541" s="7"/>
      <c r="Y541" s="7"/>
      <c r="Z541" s="7"/>
    </row>
    <row r="542" spans="1:26" ht="12.75" customHeight="1" x14ac:dyDescent="0.2">
      <c r="A542" s="156">
        <v>36770</v>
      </c>
      <c r="B542" s="156">
        <v>36891</v>
      </c>
      <c r="C542" s="40" t="s">
        <v>36</v>
      </c>
      <c r="D542" s="41">
        <v>3</v>
      </c>
      <c r="E542" s="42">
        <v>10915.32</v>
      </c>
      <c r="F542" s="42">
        <v>0</v>
      </c>
      <c r="G542" s="42">
        <v>0</v>
      </c>
      <c r="H542" s="42">
        <v>6459.63</v>
      </c>
      <c r="I542" s="42">
        <v>0</v>
      </c>
      <c r="J542" s="42">
        <v>1447.91</v>
      </c>
      <c r="K542" s="43">
        <v>17374.95</v>
      </c>
      <c r="L542" s="32">
        <v>18822.86</v>
      </c>
      <c r="M542" s="33"/>
      <c r="N542" s="30">
        <v>17374.95</v>
      </c>
      <c r="O542" s="30">
        <v>10915.32</v>
      </c>
      <c r="P542" s="30"/>
      <c r="Q542" s="30">
        <f>(N542+O542*0.18+J542)+(IF((P542-O542*0.18)&gt;0,(P542-O542*0.18),0))</f>
        <v>20787.617600000001</v>
      </c>
      <c r="R542" s="7"/>
      <c r="S542" s="7"/>
      <c r="T542" s="7"/>
      <c r="U542" s="7"/>
      <c r="V542" s="7"/>
      <c r="W542" s="7"/>
      <c r="X542" s="7"/>
      <c r="Y542" s="7"/>
      <c r="Z542" s="7"/>
    </row>
    <row r="543" spans="1:26" ht="9" customHeight="1" x14ac:dyDescent="0.2">
      <c r="A543" s="95"/>
      <c r="B543" s="95"/>
      <c r="C543" s="34" t="s">
        <v>37</v>
      </c>
      <c r="D543" s="35">
        <v>8</v>
      </c>
      <c r="E543" s="36">
        <v>21135007</v>
      </c>
      <c r="F543" s="36">
        <v>0</v>
      </c>
      <c r="G543" s="36">
        <v>0</v>
      </c>
      <c r="H543" s="36">
        <v>12507588</v>
      </c>
      <c r="I543" s="36">
        <v>0</v>
      </c>
      <c r="J543" s="37">
        <v>2803545</v>
      </c>
      <c r="K543" s="36">
        <v>33642594</v>
      </c>
      <c r="L543" s="38">
        <v>36446139</v>
      </c>
      <c r="M543" s="39"/>
      <c r="N543" s="36">
        <v>33642594</v>
      </c>
      <c r="O543" s="36">
        <v>21135007</v>
      </c>
      <c r="P543" s="36">
        <v>0</v>
      </c>
      <c r="Q543" s="36">
        <f>Q542*1936.27</f>
        <v>40250440.330352001</v>
      </c>
      <c r="R543" s="7"/>
      <c r="S543" s="7"/>
      <c r="T543" s="7"/>
      <c r="U543" s="7"/>
      <c r="V543" s="7"/>
      <c r="W543" s="7"/>
      <c r="X543" s="7"/>
      <c r="Y543" s="7"/>
      <c r="Z543" s="7"/>
    </row>
    <row r="544" spans="1:26" ht="12.75" customHeight="1" x14ac:dyDescent="0.2">
      <c r="A544" s="95"/>
      <c r="B544" s="95"/>
      <c r="C544" s="40" t="s">
        <v>36</v>
      </c>
      <c r="D544" s="41">
        <v>9</v>
      </c>
      <c r="E544" s="42">
        <v>12440.41</v>
      </c>
      <c r="F544" s="42">
        <v>0</v>
      </c>
      <c r="G544" s="42">
        <v>0</v>
      </c>
      <c r="H544" s="42">
        <v>6459.63</v>
      </c>
      <c r="I544" s="42">
        <v>0</v>
      </c>
      <c r="J544" s="42">
        <v>1575</v>
      </c>
      <c r="K544" s="43">
        <v>18900.04</v>
      </c>
      <c r="L544" s="32">
        <v>20475.04</v>
      </c>
      <c r="M544" s="33"/>
      <c r="N544" s="30">
        <v>18900.04</v>
      </c>
      <c r="O544" s="30">
        <v>12440.41</v>
      </c>
      <c r="P544" s="30"/>
      <c r="Q544" s="30">
        <f>(N544+O544*0.18+J544)+(IF((P544-O544*0.18)&gt;0,(P544-O544*0.18),0))</f>
        <v>22714.3138</v>
      </c>
      <c r="R544" s="7"/>
      <c r="S544" s="7"/>
      <c r="T544" s="7"/>
      <c r="U544" s="7"/>
      <c r="V544" s="7"/>
      <c r="W544" s="7"/>
      <c r="X544" s="7"/>
      <c r="Y544" s="7"/>
      <c r="Z544" s="7"/>
    </row>
    <row r="545" spans="1:26" ht="9" customHeight="1" x14ac:dyDescent="0.2">
      <c r="A545" s="95"/>
      <c r="B545" s="95"/>
      <c r="C545" s="34" t="s">
        <v>37</v>
      </c>
      <c r="D545" s="35">
        <v>14</v>
      </c>
      <c r="E545" s="36">
        <v>24087993</v>
      </c>
      <c r="F545" s="36">
        <v>0</v>
      </c>
      <c r="G545" s="36">
        <v>0</v>
      </c>
      <c r="H545" s="36">
        <v>12507588</v>
      </c>
      <c r="I545" s="36">
        <v>0</v>
      </c>
      <c r="J545" s="37">
        <v>3049625</v>
      </c>
      <c r="K545" s="36">
        <v>36595580</v>
      </c>
      <c r="L545" s="38">
        <v>39645206</v>
      </c>
      <c r="M545" s="39"/>
      <c r="N545" s="36">
        <v>36595580</v>
      </c>
      <c r="O545" s="36">
        <v>24087993</v>
      </c>
      <c r="P545" s="36">
        <v>0</v>
      </c>
      <c r="Q545" s="36">
        <f>Q544*1936.27</f>
        <v>43981044.381526001</v>
      </c>
      <c r="R545" s="7"/>
      <c r="S545" s="7"/>
      <c r="T545" s="7"/>
      <c r="U545" s="7"/>
      <c r="V545" s="7"/>
      <c r="W545" s="7"/>
      <c r="X545" s="7"/>
      <c r="Y545" s="7"/>
      <c r="Z545" s="7"/>
    </row>
    <row r="546" spans="1:26" ht="12.75" customHeight="1" x14ac:dyDescent="0.2">
      <c r="A546" s="95"/>
      <c r="B546" s="95"/>
      <c r="C546" s="40" t="s">
        <v>36</v>
      </c>
      <c r="D546" s="41">
        <v>15</v>
      </c>
      <c r="E546" s="42">
        <v>14194.82</v>
      </c>
      <c r="F546" s="42">
        <v>0</v>
      </c>
      <c r="G546" s="42">
        <v>0</v>
      </c>
      <c r="H546" s="42">
        <v>6459.63</v>
      </c>
      <c r="I546" s="42">
        <v>0</v>
      </c>
      <c r="J546" s="42">
        <v>1721.2</v>
      </c>
      <c r="K546" s="43">
        <v>20654.45</v>
      </c>
      <c r="L546" s="32">
        <v>22375.65</v>
      </c>
      <c r="M546" s="33"/>
      <c r="N546" s="30">
        <v>20654.45</v>
      </c>
      <c r="O546" s="30">
        <v>14194.82</v>
      </c>
      <c r="P546" s="30"/>
      <c r="Q546" s="30">
        <f>(N546+O546*0.18+J546)+(IF((P546-O546*0.18)&gt;0,(P546-O546*0.18),0))</f>
        <v>24930.7176</v>
      </c>
      <c r="R546" s="7"/>
      <c r="S546" s="7"/>
      <c r="T546" s="7"/>
      <c r="U546" s="7"/>
      <c r="V546" s="7"/>
      <c r="W546" s="7"/>
      <c r="X546" s="7"/>
      <c r="Y546" s="7"/>
      <c r="Z546" s="7"/>
    </row>
    <row r="547" spans="1:26" ht="9" customHeight="1" x14ac:dyDescent="0.2">
      <c r="A547" s="95"/>
      <c r="B547" s="95"/>
      <c r="C547" s="34" t="s">
        <v>37</v>
      </c>
      <c r="D547" s="35">
        <v>20</v>
      </c>
      <c r="E547" s="36">
        <v>27485004</v>
      </c>
      <c r="F547" s="36">
        <v>0</v>
      </c>
      <c r="G547" s="36">
        <v>0</v>
      </c>
      <c r="H547" s="36">
        <v>12507588</v>
      </c>
      <c r="I547" s="36">
        <v>0</v>
      </c>
      <c r="J547" s="37">
        <v>3332708</v>
      </c>
      <c r="K547" s="36">
        <v>39992592</v>
      </c>
      <c r="L547" s="38">
        <v>43325300</v>
      </c>
      <c r="M547" s="39"/>
      <c r="N547" s="36">
        <v>39992592</v>
      </c>
      <c r="O547" s="36">
        <v>27485004</v>
      </c>
      <c r="P547" s="36">
        <v>0</v>
      </c>
      <c r="Q547" s="36">
        <f>Q546*1936.27</f>
        <v>48272600.567351997</v>
      </c>
      <c r="R547" s="7"/>
      <c r="S547" s="7"/>
      <c r="T547" s="7"/>
      <c r="U547" s="7"/>
      <c r="V547" s="7"/>
      <c r="W547" s="7"/>
      <c r="X547" s="7"/>
      <c r="Y547" s="7"/>
      <c r="Z547" s="7"/>
    </row>
    <row r="548" spans="1:26" ht="12.75" customHeight="1" x14ac:dyDescent="0.2">
      <c r="A548" s="95"/>
      <c r="B548" s="95"/>
      <c r="C548" s="40" t="s">
        <v>36</v>
      </c>
      <c r="D548" s="41">
        <v>21</v>
      </c>
      <c r="E548" s="42">
        <v>15903.26</v>
      </c>
      <c r="F548" s="42">
        <v>0</v>
      </c>
      <c r="G548" s="42">
        <v>0</v>
      </c>
      <c r="H548" s="42">
        <v>6459.63</v>
      </c>
      <c r="I548" s="42">
        <v>0</v>
      </c>
      <c r="J548" s="42">
        <v>1863.57</v>
      </c>
      <c r="K548" s="43">
        <v>22362.89</v>
      </c>
      <c r="L548" s="32">
        <v>24226.46</v>
      </c>
      <c r="M548" s="33"/>
      <c r="N548" s="30">
        <v>22362.89</v>
      </c>
      <c r="O548" s="30">
        <v>15903.26</v>
      </c>
      <c r="P548" s="30"/>
      <c r="Q548" s="30">
        <f>(N548+O548*0.18+J548)+(IF((P548-O548*0.18)&gt;0,(P548-O548*0.18),0))</f>
        <v>27089.0468</v>
      </c>
      <c r="R548" s="7"/>
      <c r="S548" s="7"/>
      <c r="T548" s="7"/>
      <c r="U548" s="7"/>
      <c r="V548" s="7"/>
      <c r="W548" s="7"/>
      <c r="X548" s="7"/>
      <c r="Y548" s="7"/>
      <c r="Z548" s="7"/>
    </row>
    <row r="549" spans="1:26" ht="9" customHeight="1" x14ac:dyDescent="0.2">
      <c r="A549" s="95"/>
      <c r="B549" s="95"/>
      <c r="C549" s="34" t="s">
        <v>37</v>
      </c>
      <c r="D549" s="35">
        <v>27</v>
      </c>
      <c r="E549" s="36">
        <v>30793005</v>
      </c>
      <c r="F549" s="36">
        <v>0</v>
      </c>
      <c r="G549" s="36">
        <v>0</v>
      </c>
      <c r="H549" s="36">
        <v>12507588</v>
      </c>
      <c r="I549" s="36">
        <v>0</v>
      </c>
      <c r="J549" s="37">
        <v>3608375</v>
      </c>
      <c r="K549" s="36">
        <v>43300593</v>
      </c>
      <c r="L549" s="38">
        <v>46908968</v>
      </c>
      <c r="M549" s="39"/>
      <c r="N549" s="36">
        <v>43300593</v>
      </c>
      <c r="O549" s="36">
        <v>30793005</v>
      </c>
      <c r="P549" s="36">
        <v>0</v>
      </c>
      <c r="Q549" s="36">
        <f>Q548*1936.27</f>
        <v>52451708.647436</v>
      </c>
      <c r="R549" s="7"/>
      <c r="S549" s="7"/>
      <c r="T549" s="7"/>
      <c r="U549" s="7"/>
      <c r="V549" s="7"/>
      <c r="W549" s="7"/>
      <c r="X549" s="7"/>
      <c r="Y549" s="7"/>
      <c r="Z549" s="7"/>
    </row>
    <row r="550" spans="1:26" ht="12.75" customHeight="1" x14ac:dyDescent="0.2">
      <c r="A550" s="95"/>
      <c r="B550" s="95"/>
      <c r="C550" s="40" t="s">
        <v>36</v>
      </c>
      <c r="D550" s="41">
        <v>28</v>
      </c>
      <c r="E550" s="42">
        <v>17578.64</v>
      </c>
      <c r="F550" s="42">
        <v>0</v>
      </c>
      <c r="G550" s="42">
        <v>0</v>
      </c>
      <c r="H550" s="42">
        <v>6459.63</v>
      </c>
      <c r="I550" s="42">
        <v>0</v>
      </c>
      <c r="J550" s="42">
        <v>2003.19</v>
      </c>
      <c r="K550" s="43">
        <v>24038.27</v>
      </c>
      <c r="L550" s="32">
        <v>26041.46</v>
      </c>
      <c r="M550" s="33"/>
      <c r="N550" s="30">
        <v>24038.27</v>
      </c>
      <c r="O550" s="30">
        <v>17578.64</v>
      </c>
      <c r="P550" s="30"/>
      <c r="Q550" s="30">
        <f>(N550+O550*0.18+J550)+(IF((P550-O550*0.18)&gt;0,(P550-O550*0.18),0))</f>
        <v>29205.6152</v>
      </c>
      <c r="R550" s="7"/>
      <c r="S550" s="7"/>
      <c r="T550" s="7"/>
      <c r="U550" s="7"/>
      <c r="V550" s="7"/>
      <c r="W550" s="7"/>
      <c r="X550" s="7"/>
      <c r="Y550" s="7"/>
      <c r="Z550" s="7"/>
    </row>
    <row r="551" spans="1:26" ht="9" customHeight="1" x14ac:dyDescent="0.2">
      <c r="A551" s="95"/>
      <c r="B551" s="95"/>
      <c r="C551" s="34" t="s">
        <v>37</v>
      </c>
      <c r="D551" s="35">
        <v>34</v>
      </c>
      <c r="E551" s="36">
        <v>34036993</v>
      </c>
      <c r="F551" s="36">
        <v>0</v>
      </c>
      <c r="G551" s="36">
        <v>0</v>
      </c>
      <c r="H551" s="36">
        <v>12507588</v>
      </c>
      <c r="I551" s="36">
        <v>0</v>
      </c>
      <c r="J551" s="37">
        <v>3878717</v>
      </c>
      <c r="K551" s="36">
        <v>46544581</v>
      </c>
      <c r="L551" s="38">
        <v>50423298</v>
      </c>
      <c r="M551" s="39"/>
      <c r="N551" s="36">
        <v>46544581</v>
      </c>
      <c r="O551" s="36">
        <v>34036993</v>
      </c>
      <c r="P551" s="36">
        <v>0</v>
      </c>
      <c r="Q551" s="36">
        <f>Q550*1936.27</f>
        <v>56549956.543303996</v>
      </c>
      <c r="R551" s="7"/>
      <c r="S551" s="7"/>
      <c r="T551" s="7"/>
      <c r="U551" s="7"/>
      <c r="V551" s="7"/>
      <c r="W551" s="7"/>
      <c r="X551" s="7"/>
      <c r="Y551" s="7"/>
      <c r="Z551" s="7"/>
    </row>
    <row r="552" spans="1:26" ht="12.75" customHeight="1" x14ac:dyDescent="0.2">
      <c r="A552" s="95"/>
      <c r="B552" s="95"/>
      <c r="C552" s="40" t="s">
        <v>36</v>
      </c>
      <c r="D552" s="41">
        <v>35</v>
      </c>
      <c r="E552" s="42">
        <v>18818.66</v>
      </c>
      <c r="F552" s="42">
        <v>0</v>
      </c>
      <c r="G552" s="42">
        <v>0</v>
      </c>
      <c r="H552" s="42">
        <v>6459.63</v>
      </c>
      <c r="I552" s="42">
        <v>0</v>
      </c>
      <c r="J552" s="42">
        <v>2106.52</v>
      </c>
      <c r="K552" s="43">
        <v>25278.29</v>
      </c>
      <c r="L552" s="32">
        <v>27384.81</v>
      </c>
      <c r="M552" s="33"/>
      <c r="N552" s="30">
        <v>25278.29</v>
      </c>
      <c r="O552" s="30">
        <v>18818.66</v>
      </c>
      <c r="P552" s="30"/>
      <c r="Q552" s="30">
        <f>(N552+O552*0.18+J552)+(IF((P552-O552*0.18)&gt;0,(P552-O552*0.18),0))</f>
        <v>30772.168800000003</v>
      </c>
      <c r="R552" s="7"/>
      <c r="S552" s="7"/>
      <c r="T552" s="7"/>
      <c r="U552" s="7"/>
      <c r="V552" s="7"/>
      <c r="W552" s="7"/>
      <c r="X552" s="7"/>
      <c r="Y552" s="7"/>
      <c r="Z552" s="7"/>
    </row>
    <row r="553" spans="1:26" ht="9" customHeight="1" x14ac:dyDescent="0.2">
      <c r="A553" s="110"/>
      <c r="B553" s="110"/>
      <c r="C553" s="47" t="s">
        <v>37</v>
      </c>
      <c r="D553" s="48"/>
      <c r="E553" s="46">
        <v>36438007</v>
      </c>
      <c r="F553" s="46">
        <v>0</v>
      </c>
      <c r="G553" s="46">
        <v>0</v>
      </c>
      <c r="H553" s="46">
        <v>12507588</v>
      </c>
      <c r="I553" s="46">
        <v>0</v>
      </c>
      <c r="J553" s="49">
        <v>4078791</v>
      </c>
      <c r="K553" s="46">
        <v>48945595</v>
      </c>
      <c r="L553" s="38">
        <v>53024386</v>
      </c>
      <c r="M553" s="39"/>
      <c r="N553" s="36">
        <v>48945595</v>
      </c>
      <c r="O553" s="36">
        <v>36438007</v>
      </c>
      <c r="P553" s="36">
        <v>0</v>
      </c>
      <c r="Q553" s="36">
        <f>Q552*1936.27</f>
        <v>59583227.282376006</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98">
        <v>36892</v>
      </c>
      <c r="B560" s="98">
        <v>37256</v>
      </c>
      <c r="C560" s="28" t="s">
        <v>36</v>
      </c>
      <c r="D560" s="29">
        <v>0</v>
      </c>
      <c r="E560" s="30">
        <v>10786.2</v>
      </c>
      <c r="F560" s="30">
        <v>0</v>
      </c>
      <c r="G560" s="30">
        <v>0</v>
      </c>
      <c r="H560" s="30">
        <v>6459.63</v>
      </c>
      <c r="I560" s="30">
        <v>0</v>
      </c>
      <c r="J560" s="30">
        <v>1437.15</v>
      </c>
      <c r="K560" s="31">
        <v>17245.830000000002</v>
      </c>
      <c r="L560" s="32">
        <v>18682.98</v>
      </c>
      <c r="M560" s="33"/>
      <c r="N560" s="30">
        <v>17245.830000000002</v>
      </c>
      <c r="O560" s="30">
        <v>10786.2</v>
      </c>
      <c r="P560" s="30">
        <v>1338.6</v>
      </c>
      <c r="Q560" s="30">
        <f>(N560+O560*0.18+J560)+(IF((P560-O560*0.18)&gt;0,(P560-O560*0.18),0))</f>
        <v>20624.496000000003</v>
      </c>
      <c r="R560" s="7"/>
      <c r="S560" s="7"/>
      <c r="T560" s="7"/>
      <c r="U560" s="7"/>
      <c r="V560" s="7"/>
      <c r="W560" s="7"/>
      <c r="X560" s="7"/>
      <c r="Y560" s="7"/>
      <c r="Z560" s="7"/>
    </row>
    <row r="561" spans="1:26" ht="9" customHeight="1" x14ac:dyDescent="0.2">
      <c r="A561" s="95"/>
      <c r="B561" s="95"/>
      <c r="C561" s="34" t="s">
        <v>37</v>
      </c>
      <c r="D561" s="35">
        <v>2</v>
      </c>
      <c r="E561" s="36">
        <v>20884995</v>
      </c>
      <c r="F561" s="36">
        <v>0</v>
      </c>
      <c r="G561" s="36">
        <v>0</v>
      </c>
      <c r="H561" s="36">
        <v>12507588</v>
      </c>
      <c r="I561" s="36">
        <v>0</v>
      </c>
      <c r="J561" s="37">
        <v>2782710</v>
      </c>
      <c r="K561" s="36">
        <v>33392583</v>
      </c>
      <c r="L561" s="38">
        <v>36175294</v>
      </c>
      <c r="M561" s="39"/>
      <c r="N561" s="36">
        <v>33392583</v>
      </c>
      <c r="O561" s="36">
        <v>20884995</v>
      </c>
      <c r="P561" s="36">
        <v>2591891</v>
      </c>
      <c r="Q561" s="36">
        <f>Q560*1936.27</f>
        <v>39934592.869920008</v>
      </c>
      <c r="R561" s="7"/>
      <c r="S561" s="7"/>
      <c r="T561" s="7"/>
      <c r="U561" s="7"/>
      <c r="V561" s="7"/>
      <c r="W561" s="7"/>
      <c r="X561" s="7"/>
      <c r="Y561" s="7"/>
      <c r="Z561" s="7"/>
    </row>
    <row r="562" spans="1:26" ht="12.75" customHeight="1" x14ac:dyDescent="0.2">
      <c r="A562" s="156">
        <v>36892</v>
      </c>
      <c r="B562" s="156">
        <v>37256</v>
      </c>
      <c r="C562" s="40" t="s">
        <v>36</v>
      </c>
      <c r="D562" s="41">
        <v>3</v>
      </c>
      <c r="E562" s="42">
        <v>11262.38</v>
      </c>
      <c r="F562" s="42">
        <v>0</v>
      </c>
      <c r="G562" s="42">
        <v>0</v>
      </c>
      <c r="H562" s="42">
        <v>6459.63</v>
      </c>
      <c r="I562" s="42">
        <v>0</v>
      </c>
      <c r="J562" s="42">
        <v>1476.83</v>
      </c>
      <c r="K562" s="43">
        <v>17722.009999999998</v>
      </c>
      <c r="L562" s="32">
        <v>19198.84</v>
      </c>
      <c r="M562" s="33"/>
      <c r="N562" s="30">
        <v>17722.009999999998</v>
      </c>
      <c r="O562" s="30">
        <v>11262.38</v>
      </c>
      <c r="P562" s="30">
        <v>1338.6</v>
      </c>
      <c r="Q562" s="30">
        <f>(N562+O562*0.18+J562)+(IF((P562-O562*0.18)&gt;0,(P562-O562*0.18),0))</f>
        <v>21226.068399999996</v>
      </c>
      <c r="R562" s="7"/>
      <c r="S562" s="7"/>
      <c r="T562" s="7"/>
      <c r="U562" s="7"/>
      <c r="V562" s="7"/>
      <c r="W562" s="7"/>
      <c r="X562" s="7"/>
      <c r="Y562" s="7"/>
      <c r="Z562" s="7"/>
    </row>
    <row r="563" spans="1:26" ht="9" customHeight="1" x14ac:dyDescent="0.2">
      <c r="A563" s="95"/>
      <c r="B563" s="95"/>
      <c r="C563" s="34" t="s">
        <v>37</v>
      </c>
      <c r="D563" s="35">
        <v>8</v>
      </c>
      <c r="E563" s="36">
        <v>21807009</v>
      </c>
      <c r="F563" s="36">
        <v>0</v>
      </c>
      <c r="G563" s="36">
        <v>0</v>
      </c>
      <c r="H563" s="36">
        <v>12507588</v>
      </c>
      <c r="I563" s="36">
        <v>0</v>
      </c>
      <c r="J563" s="37">
        <v>2859542</v>
      </c>
      <c r="K563" s="36">
        <v>34314596</v>
      </c>
      <c r="L563" s="38">
        <v>37174138</v>
      </c>
      <c r="M563" s="39"/>
      <c r="N563" s="36">
        <v>34314596</v>
      </c>
      <c r="O563" s="36">
        <v>21807009</v>
      </c>
      <c r="P563" s="36">
        <v>2591891</v>
      </c>
      <c r="Q563" s="36">
        <f>Q562*1936.27</f>
        <v>41099399.460867994</v>
      </c>
      <c r="R563" s="7"/>
      <c r="S563" s="7"/>
      <c r="T563" s="7"/>
      <c r="U563" s="7"/>
      <c r="V563" s="7"/>
      <c r="W563" s="7"/>
      <c r="X563" s="7"/>
      <c r="Y563" s="7"/>
      <c r="Z563" s="7"/>
    </row>
    <row r="564" spans="1:26" ht="12.75" customHeight="1" x14ac:dyDescent="0.2">
      <c r="A564" s="95"/>
      <c r="B564" s="95"/>
      <c r="C564" s="40" t="s">
        <v>36</v>
      </c>
      <c r="D564" s="41">
        <v>9</v>
      </c>
      <c r="E564" s="42">
        <v>12818.46</v>
      </c>
      <c r="F564" s="42">
        <v>0</v>
      </c>
      <c r="G564" s="42">
        <v>0</v>
      </c>
      <c r="H564" s="42">
        <v>6459.63</v>
      </c>
      <c r="I564" s="42">
        <v>0</v>
      </c>
      <c r="J564" s="42">
        <v>1606.51</v>
      </c>
      <c r="K564" s="43">
        <v>19278.09</v>
      </c>
      <c r="L564" s="32">
        <v>20884.599999999999</v>
      </c>
      <c r="M564" s="33"/>
      <c r="N564" s="30">
        <v>19278.09</v>
      </c>
      <c r="O564" s="30">
        <v>12818.46</v>
      </c>
      <c r="P564" s="30">
        <v>1338.6</v>
      </c>
      <c r="Q564" s="30">
        <f>(N564+O564*0.18+J564)+(IF((P564-O564*0.18)&gt;0,(P564-O564*0.18),0))</f>
        <v>23191.922799999997</v>
      </c>
      <c r="R564" s="7"/>
      <c r="S564" s="7"/>
      <c r="T564" s="7"/>
      <c r="U564" s="7"/>
      <c r="V564" s="7"/>
      <c r="W564" s="7"/>
      <c r="X564" s="7"/>
      <c r="Y564" s="7"/>
      <c r="Z564" s="7"/>
    </row>
    <row r="565" spans="1:26" ht="9" customHeight="1" x14ac:dyDescent="0.2">
      <c r="A565" s="95"/>
      <c r="B565" s="95"/>
      <c r="C565" s="34" t="s">
        <v>37</v>
      </c>
      <c r="D565" s="35">
        <v>14</v>
      </c>
      <c r="E565" s="36">
        <v>24820000</v>
      </c>
      <c r="F565" s="36">
        <v>0</v>
      </c>
      <c r="G565" s="36">
        <v>0</v>
      </c>
      <c r="H565" s="36">
        <v>12507588</v>
      </c>
      <c r="I565" s="36">
        <v>0</v>
      </c>
      <c r="J565" s="37">
        <v>3110637</v>
      </c>
      <c r="K565" s="36">
        <v>37327587</v>
      </c>
      <c r="L565" s="38">
        <v>40438224</v>
      </c>
      <c r="M565" s="39"/>
      <c r="N565" s="36">
        <v>37327587</v>
      </c>
      <c r="O565" s="36">
        <v>24820000</v>
      </c>
      <c r="P565" s="36">
        <v>2591891</v>
      </c>
      <c r="Q565" s="36">
        <f>Q564*1936.27</f>
        <v>44905824.359955996</v>
      </c>
      <c r="R565" s="7"/>
      <c r="S565" s="7"/>
      <c r="T565" s="7"/>
      <c r="U565" s="7"/>
      <c r="V565" s="7"/>
      <c r="W565" s="7"/>
      <c r="X565" s="7"/>
      <c r="Y565" s="7"/>
      <c r="Z565" s="7"/>
    </row>
    <row r="566" spans="1:26" ht="12.75" customHeight="1" x14ac:dyDescent="0.2">
      <c r="A566" s="95"/>
      <c r="B566" s="95"/>
      <c r="C566" s="40" t="s">
        <v>36</v>
      </c>
      <c r="D566" s="41">
        <v>15</v>
      </c>
      <c r="E566" s="42">
        <v>14610.05</v>
      </c>
      <c r="F566" s="42">
        <v>0</v>
      </c>
      <c r="G566" s="42">
        <v>0</v>
      </c>
      <c r="H566" s="42">
        <v>6459.63</v>
      </c>
      <c r="I566" s="42">
        <v>0</v>
      </c>
      <c r="J566" s="42">
        <v>1755.81</v>
      </c>
      <c r="K566" s="43">
        <v>21069.68</v>
      </c>
      <c r="L566" s="32">
        <v>22825.49</v>
      </c>
      <c r="M566" s="33"/>
      <c r="N566" s="30">
        <v>21069.68</v>
      </c>
      <c r="O566" s="30">
        <v>14610.05</v>
      </c>
      <c r="P566" s="30">
        <v>1667.16</v>
      </c>
      <c r="Q566" s="30">
        <f>(N566+O566*0.18+J566)+(IF((P566-O566*0.18)&gt;0,(P566-O566*0.18),0))</f>
        <v>25455.299000000003</v>
      </c>
      <c r="R566" s="7"/>
      <c r="S566" s="7"/>
      <c r="T566" s="7"/>
      <c r="U566" s="7"/>
      <c r="V566" s="7"/>
      <c r="W566" s="7"/>
      <c r="X566" s="7"/>
      <c r="Y566" s="7"/>
      <c r="Z566" s="7"/>
    </row>
    <row r="567" spans="1:26" ht="9" customHeight="1" x14ac:dyDescent="0.2">
      <c r="A567" s="95"/>
      <c r="B567" s="95"/>
      <c r="C567" s="34" t="s">
        <v>37</v>
      </c>
      <c r="D567" s="35">
        <v>20</v>
      </c>
      <c r="E567" s="36">
        <v>28289002</v>
      </c>
      <c r="F567" s="36">
        <v>0</v>
      </c>
      <c r="G567" s="36">
        <v>0</v>
      </c>
      <c r="H567" s="36">
        <v>12507588</v>
      </c>
      <c r="I567" s="36">
        <v>0</v>
      </c>
      <c r="J567" s="37">
        <v>3399722</v>
      </c>
      <c r="K567" s="36">
        <v>40796589</v>
      </c>
      <c r="L567" s="38">
        <v>44196312</v>
      </c>
      <c r="M567" s="39"/>
      <c r="N567" s="36">
        <v>40796589</v>
      </c>
      <c r="O567" s="36">
        <v>28289002</v>
      </c>
      <c r="P567" s="36">
        <v>3228072</v>
      </c>
      <c r="Q567" s="36">
        <f>Q566*1936.27</f>
        <v>49288331.794730008</v>
      </c>
      <c r="R567" s="7"/>
      <c r="S567" s="7"/>
      <c r="T567" s="7"/>
      <c r="U567" s="7"/>
      <c r="V567" s="7"/>
      <c r="W567" s="7"/>
      <c r="X567" s="7"/>
      <c r="Y567" s="7"/>
      <c r="Z567" s="7"/>
    </row>
    <row r="568" spans="1:26" ht="12.75" customHeight="1" x14ac:dyDescent="0.2">
      <c r="A568" s="95"/>
      <c r="B568" s="95"/>
      <c r="C568" s="40" t="s">
        <v>36</v>
      </c>
      <c r="D568" s="41">
        <v>21</v>
      </c>
      <c r="E568" s="42">
        <v>16349.48</v>
      </c>
      <c r="F568" s="42">
        <v>0</v>
      </c>
      <c r="G568" s="42">
        <v>0</v>
      </c>
      <c r="H568" s="42">
        <v>6459.63</v>
      </c>
      <c r="I568" s="42">
        <v>0</v>
      </c>
      <c r="J568" s="42">
        <v>1900.76</v>
      </c>
      <c r="K568" s="43">
        <v>22809.11</v>
      </c>
      <c r="L568" s="32">
        <v>24709.87</v>
      </c>
      <c r="M568" s="33"/>
      <c r="N568" s="30">
        <v>22809.11</v>
      </c>
      <c r="O568" s="30">
        <v>16349.48</v>
      </c>
      <c r="P568" s="30">
        <v>1667.16</v>
      </c>
      <c r="Q568" s="30">
        <f>(N568+O568*0.18+J568)+(IF((P568-O568*0.18)&gt;0,(P568-O568*0.18),0))</f>
        <v>27652.776399999999</v>
      </c>
      <c r="R568" s="7"/>
      <c r="S568" s="7"/>
      <c r="T568" s="7"/>
      <c r="U568" s="7"/>
      <c r="V568" s="7"/>
      <c r="W568" s="7"/>
      <c r="X568" s="7"/>
      <c r="Y568" s="7"/>
      <c r="Z568" s="7"/>
    </row>
    <row r="569" spans="1:26" ht="9" customHeight="1" x14ac:dyDescent="0.2">
      <c r="A569" s="95"/>
      <c r="B569" s="95"/>
      <c r="C569" s="34" t="s">
        <v>37</v>
      </c>
      <c r="D569" s="35">
        <v>27</v>
      </c>
      <c r="E569" s="36">
        <v>31657008</v>
      </c>
      <c r="F569" s="36">
        <v>0</v>
      </c>
      <c r="G569" s="36">
        <v>0</v>
      </c>
      <c r="H569" s="36">
        <v>12507588</v>
      </c>
      <c r="I569" s="36">
        <v>0</v>
      </c>
      <c r="J569" s="37">
        <v>3680385</v>
      </c>
      <c r="K569" s="36">
        <v>44164595</v>
      </c>
      <c r="L569" s="38">
        <v>47844980</v>
      </c>
      <c r="M569" s="39"/>
      <c r="N569" s="36">
        <v>44164595</v>
      </c>
      <c r="O569" s="36">
        <v>31657008</v>
      </c>
      <c r="P569" s="36">
        <v>3228072</v>
      </c>
      <c r="Q569" s="36">
        <f>Q568*1936.27</f>
        <v>53543241.360027999</v>
      </c>
      <c r="R569" s="7"/>
      <c r="S569" s="7"/>
      <c r="T569" s="7"/>
      <c r="U569" s="7"/>
      <c r="V569" s="7"/>
      <c r="W569" s="7"/>
      <c r="X569" s="7"/>
      <c r="Y569" s="7"/>
      <c r="Z569" s="7"/>
    </row>
    <row r="570" spans="1:26" ht="12.75" customHeight="1" x14ac:dyDescent="0.2">
      <c r="A570" s="95"/>
      <c r="B570" s="95"/>
      <c r="C570" s="40" t="s">
        <v>36</v>
      </c>
      <c r="D570" s="41">
        <v>28</v>
      </c>
      <c r="E570" s="42">
        <v>18055.849999999999</v>
      </c>
      <c r="F570" s="42">
        <v>0</v>
      </c>
      <c r="G570" s="42">
        <v>0</v>
      </c>
      <c r="H570" s="42">
        <v>6459.63</v>
      </c>
      <c r="I570" s="42">
        <v>0</v>
      </c>
      <c r="J570" s="42">
        <v>2042.96</v>
      </c>
      <c r="K570" s="43">
        <v>24515.48</v>
      </c>
      <c r="L570" s="32">
        <v>26558.44</v>
      </c>
      <c r="M570" s="33"/>
      <c r="N570" s="30">
        <v>24515.48</v>
      </c>
      <c r="O570" s="30">
        <v>18055.849999999999</v>
      </c>
      <c r="P570" s="30">
        <v>1865.4</v>
      </c>
      <c r="Q570" s="30">
        <f>(N570+O570*0.18+J570)+(IF((P570-O570*0.18)&gt;0,(P570-O570*0.18),0))</f>
        <v>29808.492999999999</v>
      </c>
      <c r="R570" s="7"/>
      <c r="S570" s="7"/>
      <c r="T570" s="7"/>
      <c r="U570" s="7"/>
      <c r="V570" s="7"/>
      <c r="W570" s="7"/>
      <c r="X570" s="7"/>
      <c r="Y570" s="7"/>
      <c r="Z570" s="7"/>
    </row>
    <row r="571" spans="1:26" ht="9" customHeight="1" x14ac:dyDescent="0.2">
      <c r="A571" s="95"/>
      <c r="B571" s="95"/>
      <c r="C571" s="34" t="s">
        <v>37</v>
      </c>
      <c r="D571" s="35">
        <v>34</v>
      </c>
      <c r="E571" s="36">
        <v>34961001</v>
      </c>
      <c r="F571" s="36">
        <v>0</v>
      </c>
      <c r="G571" s="36">
        <v>0</v>
      </c>
      <c r="H571" s="36">
        <v>12507588</v>
      </c>
      <c r="I571" s="36">
        <v>0</v>
      </c>
      <c r="J571" s="37">
        <v>3955722</v>
      </c>
      <c r="K571" s="36">
        <v>47468588</v>
      </c>
      <c r="L571" s="38">
        <v>51424311</v>
      </c>
      <c r="M571" s="39"/>
      <c r="N571" s="36">
        <v>47468588</v>
      </c>
      <c r="O571" s="36">
        <v>34961001</v>
      </c>
      <c r="P571" s="36">
        <v>3611918</v>
      </c>
      <c r="Q571" s="36">
        <f>Q570*1936.27</f>
        <v>57717290.741109997</v>
      </c>
      <c r="R571" s="7"/>
      <c r="S571" s="7"/>
      <c r="T571" s="7"/>
      <c r="U571" s="7"/>
      <c r="V571" s="7"/>
      <c r="W571" s="7"/>
      <c r="X571" s="7"/>
      <c r="Y571" s="7"/>
      <c r="Z571" s="7"/>
    </row>
    <row r="572" spans="1:26" ht="12.75" customHeight="1" x14ac:dyDescent="0.2">
      <c r="A572" s="95"/>
      <c r="B572" s="95"/>
      <c r="C572" s="40" t="s">
        <v>36</v>
      </c>
      <c r="D572" s="41">
        <v>35</v>
      </c>
      <c r="E572" s="42">
        <v>19320.650000000001</v>
      </c>
      <c r="F572" s="42">
        <v>0</v>
      </c>
      <c r="G572" s="42">
        <v>0</v>
      </c>
      <c r="H572" s="42">
        <v>6459.63</v>
      </c>
      <c r="I572" s="42">
        <v>0</v>
      </c>
      <c r="J572" s="42">
        <v>2148.36</v>
      </c>
      <c r="K572" s="43">
        <v>25780.28</v>
      </c>
      <c r="L572" s="32">
        <v>27928.639999999999</v>
      </c>
      <c r="M572" s="33"/>
      <c r="N572" s="30">
        <v>25780.28</v>
      </c>
      <c r="O572" s="30">
        <v>19320.650000000001</v>
      </c>
      <c r="P572" s="30">
        <v>1865.4</v>
      </c>
      <c r="Q572" s="30">
        <f>(N572+O572*0.18+J572)+(IF((P572-O572*0.18)&gt;0,(P572-O572*0.18),0))</f>
        <v>31406.357</v>
      </c>
      <c r="R572" s="7"/>
      <c r="S572" s="7"/>
      <c r="T572" s="7"/>
      <c r="U572" s="7"/>
      <c r="V572" s="7"/>
      <c r="W572" s="7"/>
      <c r="X572" s="7"/>
      <c r="Y572" s="7"/>
      <c r="Z572" s="7"/>
    </row>
    <row r="573" spans="1:26" ht="9" customHeight="1" x14ac:dyDescent="0.2">
      <c r="A573" s="110"/>
      <c r="B573" s="110"/>
      <c r="C573" s="47" t="s">
        <v>37</v>
      </c>
      <c r="D573" s="48"/>
      <c r="E573" s="46">
        <v>37409995</v>
      </c>
      <c r="F573" s="46">
        <v>0</v>
      </c>
      <c r="G573" s="46">
        <v>0</v>
      </c>
      <c r="H573" s="46">
        <v>12507588</v>
      </c>
      <c r="I573" s="46">
        <v>0</v>
      </c>
      <c r="J573" s="49">
        <v>4159805</v>
      </c>
      <c r="K573" s="46">
        <v>49917583</v>
      </c>
      <c r="L573" s="38">
        <v>54077388</v>
      </c>
      <c r="M573" s="39"/>
      <c r="N573" s="36">
        <v>49917583</v>
      </c>
      <c r="O573" s="36">
        <v>37409995</v>
      </c>
      <c r="P573" s="36">
        <v>3611918</v>
      </c>
      <c r="Q573" s="36">
        <f>Q572*1936.27</f>
        <v>60811186.868390001</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12.75" customHeight="1" x14ac:dyDescent="0.2">
      <c r="A580" s="98">
        <v>37257</v>
      </c>
      <c r="B580" s="98">
        <v>37621</v>
      </c>
      <c r="C580" s="28" t="s">
        <v>36</v>
      </c>
      <c r="D580" s="29">
        <v>0</v>
      </c>
      <c r="E580" s="30">
        <v>11221.8</v>
      </c>
      <c r="F580" s="30">
        <v>0</v>
      </c>
      <c r="G580" s="30">
        <v>0</v>
      </c>
      <c r="H580" s="30">
        <v>6459.63</v>
      </c>
      <c r="I580" s="30">
        <v>0</v>
      </c>
      <c r="J580" s="30">
        <v>1473.45</v>
      </c>
      <c r="K580" s="31">
        <v>17681.43</v>
      </c>
      <c r="L580" s="32">
        <v>19154.88</v>
      </c>
      <c r="M580" s="33"/>
      <c r="N580" s="30">
        <v>17681.43</v>
      </c>
      <c r="O580" s="30">
        <v>11221.8</v>
      </c>
      <c r="P580" s="30">
        <v>1578.6</v>
      </c>
      <c r="Q580" s="30">
        <f>(N580+O580*0.18+J580)+(IF((P580-O580*0.18)&gt;0,(P580-O580*0.18),0))</f>
        <v>21174.804</v>
      </c>
      <c r="R580" s="7"/>
      <c r="S580" s="7"/>
      <c r="T580" s="7"/>
      <c r="U580" s="7"/>
      <c r="V580" s="7"/>
      <c r="W580" s="7"/>
      <c r="X580" s="7"/>
      <c r="Y580" s="7"/>
      <c r="Z580" s="7"/>
    </row>
    <row r="581" spans="1:26" ht="9" customHeight="1" x14ac:dyDescent="0.2">
      <c r="A581" s="95"/>
      <c r="B581" s="95"/>
      <c r="C581" s="34" t="s">
        <v>37</v>
      </c>
      <c r="D581" s="35">
        <v>2</v>
      </c>
      <c r="E581" s="36">
        <v>21728435</v>
      </c>
      <c r="F581" s="36">
        <v>0</v>
      </c>
      <c r="G581" s="36">
        <v>0</v>
      </c>
      <c r="H581" s="36">
        <v>12507588</v>
      </c>
      <c r="I581" s="36">
        <v>0</v>
      </c>
      <c r="J581" s="37">
        <v>2852997</v>
      </c>
      <c r="K581" s="36">
        <v>34236022</v>
      </c>
      <c r="L581" s="38">
        <v>37089019</v>
      </c>
      <c r="M581" s="39"/>
      <c r="N581" s="36">
        <v>34236022</v>
      </c>
      <c r="O581" s="36">
        <v>21728435</v>
      </c>
      <c r="P581" s="36">
        <v>3056596</v>
      </c>
      <c r="Q581" s="36">
        <f>Q580*1936.27</f>
        <v>41000137.741080001</v>
      </c>
      <c r="R581" s="7"/>
      <c r="S581" s="7"/>
      <c r="T581" s="7"/>
      <c r="U581" s="7"/>
      <c r="V581" s="7"/>
      <c r="W581" s="7"/>
      <c r="X581" s="7"/>
      <c r="Y581" s="7"/>
      <c r="Z581" s="7"/>
    </row>
    <row r="582" spans="1:26" ht="12.75" customHeight="1" x14ac:dyDescent="0.2">
      <c r="A582" s="156">
        <v>37257</v>
      </c>
      <c r="B582" s="156">
        <v>37621</v>
      </c>
      <c r="C582" s="40" t="s">
        <v>36</v>
      </c>
      <c r="D582" s="41">
        <v>3</v>
      </c>
      <c r="E582" s="42">
        <v>11709.98</v>
      </c>
      <c r="F582" s="42"/>
      <c r="G582" s="42">
        <v>0</v>
      </c>
      <c r="H582" s="42">
        <v>6459.63</v>
      </c>
      <c r="I582" s="42">
        <v>0</v>
      </c>
      <c r="J582" s="42">
        <v>1514.13</v>
      </c>
      <c r="K582" s="43">
        <v>18169.61</v>
      </c>
      <c r="L582" s="32">
        <v>19683.740000000002</v>
      </c>
      <c r="M582" s="33"/>
      <c r="N582" s="30">
        <v>18169.61</v>
      </c>
      <c r="O582" s="30">
        <v>11709.98</v>
      </c>
      <c r="P582" s="30">
        <v>1578.6</v>
      </c>
      <c r="Q582" s="30">
        <f>(N582+O582*0.18+J582)+(IF((P582-O582*0.18)&gt;0,(P582-O582*0.18),0))</f>
        <v>21791.536400000001</v>
      </c>
      <c r="R582" s="7"/>
      <c r="S582" s="7"/>
      <c r="T582" s="7"/>
      <c r="U582" s="7"/>
      <c r="V582" s="7"/>
      <c r="W582" s="7"/>
      <c r="X582" s="7"/>
      <c r="Y582" s="7"/>
      <c r="Z582" s="7"/>
    </row>
    <row r="583" spans="1:26" ht="9" customHeight="1" x14ac:dyDescent="0.2">
      <c r="A583" s="95"/>
      <c r="B583" s="95"/>
      <c r="C583" s="34" t="s">
        <v>37</v>
      </c>
      <c r="D583" s="35">
        <v>8</v>
      </c>
      <c r="E583" s="36">
        <v>22673683</v>
      </c>
      <c r="F583" s="36">
        <v>0</v>
      </c>
      <c r="G583" s="36">
        <v>0</v>
      </c>
      <c r="H583" s="36">
        <v>12507588</v>
      </c>
      <c r="I583" s="36">
        <v>0</v>
      </c>
      <c r="J583" s="37">
        <v>2931764</v>
      </c>
      <c r="K583" s="36">
        <v>35181271</v>
      </c>
      <c r="L583" s="38">
        <v>38113035</v>
      </c>
      <c r="M583" s="39"/>
      <c r="N583" s="36">
        <v>35181271</v>
      </c>
      <c r="O583" s="36">
        <v>22673683</v>
      </c>
      <c r="P583" s="36">
        <v>3056596</v>
      </c>
      <c r="Q583" s="36">
        <f>Q582*1936.27</f>
        <v>42194298.185227998</v>
      </c>
      <c r="R583" s="7"/>
      <c r="S583" s="7"/>
      <c r="T583" s="7"/>
      <c r="U583" s="7"/>
      <c r="V583" s="7"/>
      <c r="W583" s="7"/>
      <c r="X583" s="7"/>
      <c r="Y583" s="7"/>
      <c r="Z583" s="7"/>
    </row>
    <row r="584" spans="1:26" ht="12.75" customHeight="1" x14ac:dyDescent="0.2">
      <c r="A584" s="95"/>
      <c r="B584" s="95"/>
      <c r="C584" s="40" t="s">
        <v>36</v>
      </c>
      <c r="D584" s="41">
        <v>9</v>
      </c>
      <c r="E584" s="42">
        <v>13305.42</v>
      </c>
      <c r="F584" s="42">
        <v>0</v>
      </c>
      <c r="G584" s="42">
        <v>0</v>
      </c>
      <c r="H584" s="42">
        <v>6459.63</v>
      </c>
      <c r="I584" s="42">
        <v>0</v>
      </c>
      <c r="J584" s="42">
        <v>1647.09</v>
      </c>
      <c r="K584" s="43">
        <v>19765.05</v>
      </c>
      <c r="L584" s="32">
        <v>21412.14</v>
      </c>
      <c r="M584" s="33"/>
      <c r="N584" s="30">
        <v>19765.05</v>
      </c>
      <c r="O584" s="30">
        <v>13305.42</v>
      </c>
      <c r="P584" s="30">
        <v>1578.6</v>
      </c>
      <c r="Q584" s="30">
        <f>(N584+O584*0.18+J584)+(IF((P584-O584*0.18)&gt;0,(P584-O584*0.18),0))</f>
        <v>23807.115600000001</v>
      </c>
      <c r="R584" s="7"/>
      <c r="S584" s="7"/>
      <c r="T584" s="7"/>
      <c r="U584" s="7"/>
      <c r="V584" s="7"/>
      <c r="W584" s="7"/>
      <c r="X584" s="7"/>
      <c r="Y584" s="7"/>
      <c r="Z584" s="7"/>
    </row>
    <row r="585" spans="1:26" ht="9" customHeight="1" x14ac:dyDescent="0.2">
      <c r="A585" s="95"/>
      <c r="B585" s="95"/>
      <c r="C585" s="34" t="s">
        <v>37</v>
      </c>
      <c r="D585" s="35">
        <v>14</v>
      </c>
      <c r="E585" s="36">
        <v>25762886</v>
      </c>
      <c r="F585" s="36">
        <v>0</v>
      </c>
      <c r="G585" s="36">
        <v>0</v>
      </c>
      <c r="H585" s="36">
        <v>12507588</v>
      </c>
      <c r="I585" s="36">
        <v>0</v>
      </c>
      <c r="J585" s="37">
        <v>3189211</v>
      </c>
      <c r="K585" s="36">
        <v>38270473</v>
      </c>
      <c r="L585" s="38">
        <v>41459684</v>
      </c>
      <c r="M585" s="39"/>
      <c r="N585" s="36">
        <v>38270473</v>
      </c>
      <c r="O585" s="36">
        <v>25762886</v>
      </c>
      <c r="P585" s="36">
        <v>3056596</v>
      </c>
      <c r="Q585" s="36">
        <f>Q584*1936.27</f>
        <v>46097003.722812004</v>
      </c>
      <c r="R585" s="7"/>
      <c r="S585" s="7"/>
      <c r="T585" s="7"/>
      <c r="U585" s="7"/>
      <c r="V585" s="7"/>
      <c r="W585" s="7"/>
      <c r="X585" s="7"/>
      <c r="Y585" s="7"/>
      <c r="Z585" s="7"/>
    </row>
    <row r="586" spans="1:26" ht="12.75" customHeight="1" x14ac:dyDescent="0.2">
      <c r="A586" s="95"/>
      <c r="B586" s="95"/>
      <c r="C586" s="40" t="s">
        <v>36</v>
      </c>
      <c r="D586" s="41">
        <v>15</v>
      </c>
      <c r="E586" s="42">
        <v>15142.25</v>
      </c>
      <c r="F586" s="42">
        <v>0</v>
      </c>
      <c r="G586" s="42">
        <v>0</v>
      </c>
      <c r="H586" s="42">
        <v>6459.63</v>
      </c>
      <c r="I586" s="42">
        <v>0</v>
      </c>
      <c r="J586" s="42">
        <v>1800.16</v>
      </c>
      <c r="K586" s="43">
        <v>21601.88</v>
      </c>
      <c r="L586" s="32">
        <v>23402.04</v>
      </c>
      <c r="M586" s="33"/>
      <c r="N586" s="30">
        <v>21601.88</v>
      </c>
      <c r="O586" s="30">
        <v>15142.25</v>
      </c>
      <c r="P586" s="30">
        <v>1955.16</v>
      </c>
      <c r="Q586" s="30">
        <f>(N586+O586*0.18+J586)+(IF((P586-O586*0.18)&gt;0,(P586-O586*0.18),0))</f>
        <v>26127.645</v>
      </c>
      <c r="R586" s="7"/>
      <c r="S586" s="7"/>
      <c r="T586" s="7"/>
      <c r="U586" s="7"/>
      <c r="V586" s="7"/>
      <c r="W586" s="7"/>
      <c r="X586" s="7"/>
      <c r="Y586" s="7"/>
      <c r="Z586" s="7"/>
    </row>
    <row r="587" spans="1:26" ht="9" customHeight="1" x14ac:dyDescent="0.2">
      <c r="A587" s="95"/>
      <c r="B587" s="95"/>
      <c r="C587" s="34" t="s">
        <v>37</v>
      </c>
      <c r="D587" s="35">
        <v>20</v>
      </c>
      <c r="E587" s="36">
        <v>29319484</v>
      </c>
      <c r="F587" s="36">
        <v>0</v>
      </c>
      <c r="G587" s="36">
        <v>0</v>
      </c>
      <c r="H587" s="36">
        <v>12507588</v>
      </c>
      <c r="I587" s="36">
        <v>0</v>
      </c>
      <c r="J587" s="37">
        <v>3485596</v>
      </c>
      <c r="K587" s="36">
        <v>41827072</v>
      </c>
      <c r="L587" s="38">
        <v>45312668</v>
      </c>
      <c r="M587" s="39"/>
      <c r="N587" s="36">
        <v>41827072</v>
      </c>
      <c r="O587" s="36">
        <v>29319484</v>
      </c>
      <c r="P587" s="36">
        <v>3785718</v>
      </c>
      <c r="Q587" s="36">
        <f>Q586*1936.27</f>
        <v>50590175.184150003</v>
      </c>
      <c r="R587" s="7"/>
      <c r="S587" s="7"/>
      <c r="T587" s="7"/>
      <c r="U587" s="7"/>
      <c r="V587" s="7"/>
      <c r="W587" s="7"/>
      <c r="X587" s="7"/>
      <c r="Y587" s="7"/>
      <c r="Z587" s="7"/>
    </row>
    <row r="588" spans="1:26" ht="12.75" customHeight="1" x14ac:dyDescent="0.2">
      <c r="A588" s="95"/>
      <c r="B588" s="95"/>
      <c r="C588" s="40" t="s">
        <v>36</v>
      </c>
      <c r="D588" s="41">
        <v>21</v>
      </c>
      <c r="E588" s="42">
        <v>16925.599999999999</v>
      </c>
      <c r="F588" s="42">
        <v>0</v>
      </c>
      <c r="G588" s="42">
        <v>0</v>
      </c>
      <c r="H588" s="42">
        <v>6459.63</v>
      </c>
      <c r="I588" s="42">
        <v>0</v>
      </c>
      <c r="J588" s="42">
        <v>1948.77</v>
      </c>
      <c r="K588" s="43">
        <v>23385.23</v>
      </c>
      <c r="L588" s="32">
        <v>25334</v>
      </c>
      <c r="M588" s="33"/>
      <c r="N588" s="30">
        <v>23385.23</v>
      </c>
      <c r="O588" s="30">
        <v>16925.599999999999</v>
      </c>
      <c r="P588" s="30">
        <v>1955.16</v>
      </c>
      <c r="Q588" s="30">
        <f>(N588+O588*0.18+J588)+(IF((P588-O588*0.18)&gt;0,(P588-O588*0.18),0))</f>
        <v>28380.608</v>
      </c>
      <c r="R588" s="7"/>
      <c r="S588" s="7"/>
      <c r="T588" s="7"/>
      <c r="U588" s="7"/>
      <c r="V588" s="7"/>
      <c r="W588" s="7"/>
      <c r="X588" s="7"/>
      <c r="Y588" s="7"/>
      <c r="Z588" s="7"/>
    </row>
    <row r="589" spans="1:26" ht="9" customHeight="1" x14ac:dyDescent="0.2">
      <c r="A589" s="95"/>
      <c r="B589" s="95"/>
      <c r="C589" s="34" t="s">
        <v>37</v>
      </c>
      <c r="D589" s="35">
        <v>27</v>
      </c>
      <c r="E589" s="36">
        <v>32772532</v>
      </c>
      <c r="F589" s="36">
        <v>0</v>
      </c>
      <c r="G589" s="36">
        <v>0</v>
      </c>
      <c r="H589" s="36">
        <v>12507588</v>
      </c>
      <c r="I589" s="36">
        <v>0</v>
      </c>
      <c r="J589" s="37">
        <v>3773345</v>
      </c>
      <c r="K589" s="36">
        <v>45280119</v>
      </c>
      <c r="L589" s="38">
        <v>49053464</v>
      </c>
      <c r="M589" s="39"/>
      <c r="N589" s="36">
        <v>45280119</v>
      </c>
      <c r="O589" s="36">
        <v>32772532</v>
      </c>
      <c r="P589" s="36">
        <v>3785718</v>
      </c>
      <c r="Q589" s="36">
        <f>Q588*1936.27</f>
        <v>54952519.852159999</v>
      </c>
      <c r="R589" s="7"/>
      <c r="S589" s="7"/>
      <c r="T589" s="7"/>
      <c r="U589" s="7"/>
      <c r="V589" s="7"/>
      <c r="W589" s="7"/>
      <c r="X589" s="7"/>
      <c r="Y589" s="7"/>
      <c r="Z589" s="7"/>
    </row>
    <row r="590" spans="1:26" ht="12.75" customHeight="1" x14ac:dyDescent="0.2">
      <c r="A590" s="95"/>
      <c r="B590" s="95"/>
      <c r="C590" s="40" t="s">
        <v>36</v>
      </c>
      <c r="D590" s="41">
        <v>28</v>
      </c>
      <c r="E590" s="42">
        <v>18675.05</v>
      </c>
      <c r="F590" s="42">
        <v>0</v>
      </c>
      <c r="G590" s="42">
        <v>0</v>
      </c>
      <c r="H590" s="42">
        <v>6459.63</v>
      </c>
      <c r="I590" s="42">
        <v>0</v>
      </c>
      <c r="J590" s="42">
        <v>2094.56</v>
      </c>
      <c r="K590" s="43">
        <v>25134.68</v>
      </c>
      <c r="L590" s="32">
        <v>27229.24</v>
      </c>
      <c r="M590" s="33"/>
      <c r="N590" s="30">
        <v>25134.68</v>
      </c>
      <c r="O590" s="30">
        <v>18675.05</v>
      </c>
      <c r="P590" s="30">
        <v>2333.4</v>
      </c>
      <c r="Q590" s="30">
        <f>(N590+O590*0.18+J590)+(IF((P590-O590*0.18)&gt;0,(P590-O590*0.18),0))</f>
        <v>30590.749</v>
      </c>
      <c r="R590" s="7"/>
      <c r="S590" s="7"/>
      <c r="T590" s="7"/>
      <c r="U590" s="7"/>
      <c r="V590" s="7"/>
      <c r="W590" s="7"/>
      <c r="X590" s="7"/>
      <c r="Y590" s="7"/>
      <c r="Z590" s="7"/>
    </row>
    <row r="591" spans="1:26" ht="9" customHeight="1" x14ac:dyDescent="0.2">
      <c r="A591" s="95"/>
      <c r="B591" s="95"/>
      <c r="C591" s="34" t="s">
        <v>37</v>
      </c>
      <c r="D591" s="35">
        <v>34</v>
      </c>
      <c r="E591" s="36">
        <v>36159939</v>
      </c>
      <c r="F591" s="36">
        <v>0</v>
      </c>
      <c r="G591" s="36">
        <v>0</v>
      </c>
      <c r="H591" s="36">
        <v>12507588</v>
      </c>
      <c r="I591" s="36">
        <v>0</v>
      </c>
      <c r="J591" s="37">
        <v>4055634</v>
      </c>
      <c r="K591" s="36">
        <v>48667527</v>
      </c>
      <c r="L591" s="38">
        <v>52723161</v>
      </c>
      <c r="M591" s="39"/>
      <c r="N591" s="36">
        <v>48667527</v>
      </c>
      <c r="O591" s="36">
        <v>36159939</v>
      </c>
      <c r="P591" s="36">
        <v>4518092</v>
      </c>
      <c r="Q591" s="36">
        <f>Q590*1936.27</f>
        <v>59231949.566229999</v>
      </c>
      <c r="R591" s="7"/>
      <c r="S591" s="7"/>
      <c r="T591" s="7"/>
      <c r="U591" s="7"/>
      <c r="V591" s="7"/>
      <c r="W591" s="7"/>
      <c r="X591" s="7"/>
      <c r="Y591" s="7"/>
      <c r="Z591" s="7"/>
    </row>
    <row r="592" spans="1:26" ht="12.75" customHeight="1" x14ac:dyDescent="0.2">
      <c r="A592" s="95"/>
      <c r="B592" s="95"/>
      <c r="C592" s="40" t="s">
        <v>36</v>
      </c>
      <c r="D592" s="41">
        <v>35</v>
      </c>
      <c r="E592" s="42">
        <v>19971.77</v>
      </c>
      <c r="F592" s="42">
        <v>0</v>
      </c>
      <c r="G592" s="42">
        <v>0</v>
      </c>
      <c r="H592" s="42">
        <v>6459.63</v>
      </c>
      <c r="I592" s="42">
        <v>0</v>
      </c>
      <c r="J592" s="42">
        <v>2202.62</v>
      </c>
      <c r="K592" s="43">
        <v>26431.4</v>
      </c>
      <c r="L592" s="32">
        <v>28634.02</v>
      </c>
      <c r="M592" s="33"/>
      <c r="N592" s="30">
        <v>26431.4</v>
      </c>
      <c r="O592" s="30">
        <v>19971.77</v>
      </c>
      <c r="P592" s="30">
        <v>2333.4</v>
      </c>
      <c r="Q592" s="30">
        <f>(N592+O592*0.18+J592)+(IF((P592-O592*0.18)&gt;0,(P592-O592*0.18),0))</f>
        <v>32228.938600000001</v>
      </c>
      <c r="R592" s="7"/>
      <c r="S592" s="7"/>
      <c r="T592" s="7"/>
      <c r="U592" s="7"/>
      <c r="V592" s="7"/>
      <c r="W592" s="7"/>
      <c r="X592" s="7"/>
      <c r="Y592" s="7"/>
      <c r="Z592" s="7"/>
    </row>
    <row r="593" spans="1:26" ht="9" customHeight="1" x14ac:dyDescent="0.2">
      <c r="A593" s="110"/>
      <c r="B593" s="110"/>
      <c r="C593" s="47" t="s">
        <v>37</v>
      </c>
      <c r="D593" s="48"/>
      <c r="E593" s="46">
        <v>38670739</v>
      </c>
      <c r="F593" s="46">
        <v>0</v>
      </c>
      <c r="G593" s="46">
        <v>0</v>
      </c>
      <c r="H593" s="46">
        <v>12507588</v>
      </c>
      <c r="I593" s="46">
        <v>0</v>
      </c>
      <c r="J593" s="49">
        <v>4264867</v>
      </c>
      <c r="K593" s="46">
        <v>51178327</v>
      </c>
      <c r="L593" s="38">
        <v>55443194</v>
      </c>
      <c r="M593" s="39"/>
      <c r="N593" s="36">
        <v>51178327</v>
      </c>
      <c r="O593" s="36">
        <v>38670739</v>
      </c>
      <c r="P593" s="36">
        <v>4518092</v>
      </c>
      <c r="Q593" s="36">
        <f>Q592*1936.27</f>
        <v>62403926.943022005</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96"/>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96"/>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96"/>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96"/>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96"/>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96"/>
      <c r="Q599" s="96"/>
      <c r="R599" s="7"/>
      <c r="S599" s="7"/>
      <c r="T599" s="7"/>
      <c r="U599" s="7"/>
      <c r="V599" s="7"/>
      <c r="W599" s="7"/>
      <c r="X599" s="7"/>
      <c r="Y599" s="7"/>
      <c r="Z599" s="7"/>
    </row>
    <row r="600" spans="1:26" ht="12.75" customHeight="1" x14ac:dyDescent="0.2">
      <c r="A600" s="98">
        <v>37622</v>
      </c>
      <c r="B600" s="98">
        <v>37986</v>
      </c>
      <c r="C600" s="28" t="s">
        <v>36</v>
      </c>
      <c r="D600" s="29">
        <v>0</v>
      </c>
      <c r="E600" s="30">
        <v>11669.16</v>
      </c>
      <c r="F600" s="30">
        <v>0</v>
      </c>
      <c r="G600" s="30">
        <v>0</v>
      </c>
      <c r="H600" s="30">
        <v>6459.63</v>
      </c>
      <c r="I600" s="30">
        <v>0</v>
      </c>
      <c r="J600" s="30">
        <v>1510.73</v>
      </c>
      <c r="K600" s="31">
        <v>18128.79</v>
      </c>
      <c r="L600" s="32">
        <v>19639.52</v>
      </c>
      <c r="M600" s="33"/>
      <c r="N600" s="30">
        <v>18128.79</v>
      </c>
      <c r="O600" s="30">
        <v>11669.16</v>
      </c>
      <c r="P600" s="30">
        <v>1710.6</v>
      </c>
      <c r="Q600" s="30">
        <f>(N600+O600*0.18+J600)+(IF((P600-O600*0.18)&gt;0,(P600-O600*0.18),0))</f>
        <v>21739.968799999999</v>
      </c>
      <c r="R600" s="7"/>
      <c r="S600" s="7"/>
      <c r="T600" s="7"/>
      <c r="U600" s="7"/>
      <c r="V600" s="7"/>
      <c r="W600" s="7"/>
      <c r="X600" s="7"/>
      <c r="Y600" s="7"/>
      <c r="Z600" s="7"/>
    </row>
    <row r="601" spans="1:26" ht="9" customHeight="1" x14ac:dyDescent="0.2">
      <c r="A601" s="95"/>
      <c r="B601" s="95"/>
      <c r="C601" s="34" t="s">
        <v>37</v>
      </c>
      <c r="D601" s="35">
        <v>2</v>
      </c>
      <c r="E601" s="36">
        <v>22594644</v>
      </c>
      <c r="F601" s="36">
        <v>0</v>
      </c>
      <c r="G601" s="36">
        <v>0</v>
      </c>
      <c r="H601" s="36">
        <v>12507588</v>
      </c>
      <c r="I601" s="36">
        <v>0</v>
      </c>
      <c r="J601" s="37">
        <v>2925181</v>
      </c>
      <c r="K601" s="36">
        <v>35102232</v>
      </c>
      <c r="L601" s="38">
        <v>38027413</v>
      </c>
      <c r="M601" s="39"/>
      <c r="N601" s="36">
        <v>35102232</v>
      </c>
      <c r="O601" s="36">
        <v>22594644</v>
      </c>
      <c r="P601" s="36">
        <v>3312183</v>
      </c>
      <c r="Q601" s="36">
        <f>Q600*1936.27</f>
        <v>42094449.388375998</v>
      </c>
      <c r="R601" s="7"/>
      <c r="S601" s="7"/>
      <c r="T601" s="7"/>
      <c r="U601" s="7"/>
      <c r="V601" s="7"/>
      <c r="W601" s="7"/>
      <c r="X601" s="7"/>
      <c r="Y601" s="7"/>
      <c r="Z601" s="7"/>
    </row>
    <row r="602" spans="1:26" ht="12.75" customHeight="1" x14ac:dyDescent="0.2">
      <c r="A602" s="156">
        <v>37622</v>
      </c>
      <c r="B602" s="156">
        <v>37986</v>
      </c>
      <c r="C602" s="40" t="s">
        <v>36</v>
      </c>
      <c r="D602" s="41">
        <v>3</v>
      </c>
      <c r="E602" s="42">
        <v>12169.7</v>
      </c>
      <c r="F602" s="42">
        <v>0</v>
      </c>
      <c r="G602" s="42">
        <v>0</v>
      </c>
      <c r="H602" s="42">
        <v>6459.63</v>
      </c>
      <c r="I602" s="42">
        <v>0</v>
      </c>
      <c r="J602" s="42">
        <v>1552.44</v>
      </c>
      <c r="K602" s="43">
        <v>18629.330000000002</v>
      </c>
      <c r="L602" s="32">
        <v>20181.77</v>
      </c>
      <c r="M602" s="33"/>
      <c r="N602" s="30">
        <v>18629.330000000002</v>
      </c>
      <c r="O602" s="30">
        <v>12169.7</v>
      </c>
      <c r="P602" s="30">
        <v>1710.6</v>
      </c>
      <c r="Q602" s="30">
        <f>(N602+O602*0.18+J602)+(IF((P602-O602*0.18)&gt;0,(P602-O602*0.18),0))</f>
        <v>22372.316000000003</v>
      </c>
      <c r="R602" s="7"/>
      <c r="S602" s="7"/>
      <c r="T602" s="7"/>
      <c r="U602" s="7"/>
      <c r="V602" s="7"/>
      <c r="W602" s="7"/>
      <c r="X602" s="7"/>
      <c r="Y602" s="7"/>
      <c r="Z602" s="7"/>
    </row>
    <row r="603" spans="1:26" ht="9" customHeight="1" x14ac:dyDescent="0.2">
      <c r="A603" s="95"/>
      <c r="B603" s="95"/>
      <c r="C603" s="34" t="s">
        <v>37</v>
      </c>
      <c r="D603" s="35">
        <v>8</v>
      </c>
      <c r="E603" s="36">
        <v>23563825</v>
      </c>
      <c r="F603" s="36">
        <v>0</v>
      </c>
      <c r="G603" s="36">
        <v>0</v>
      </c>
      <c r="H603" s="36">
        <v>12507588</v>
      </c>
      <c r="I603" s="36">
        <v>0</v>
      </c>
      <c r="J603" s="37">
        <v>3005943</v>
      </c>
      <c r="K603" s="36">
        <v>36071413</v>
      </c>
      <c r="L603" s="38">
        <v>39077356</v>
      </c>
      <c r="M603" s="39"/>
      <c r="N603" s="36">
        <v>36071413</v>
      </c>
      <c r="O603" s="36">
        <v>23563825</v>
      </c>
      <c r="P603" s="36">
        <v>3312183</v>
      </c>
      <c r="Q603" s="36">
        <f>Q602*1936.27</f>
        <v>43318844.301320001</v>
      </c>
      <c r="R603" s="7"/>
      <c r="S603" s="7"/>
      <c r="T603" s="7"/>
      <c r="U603" s="7"/>
      <c r="V603" s="7"/>
      <c r="W603" s="7"/>
      <c r="X603" s="7"/>
      <c r="Y603" s="7"/>
      <c r="Z603" s="7"/>
    </row>
    <row r="604" spans="1:26" ht="12.75" customHeight="1" x14ac:dyDescent="0.2">
      <c r="A604" s="95"/>
      <c r="B604" s="95"/>
      <c r="C604" s="40" t="s">
        <v>36</v>
      </c>
      <c r="D604" s="41">
        <v>9</v>
      </c>
      <c r="E604" s="42">
        <v>13805.46</v>
      </c>
      <c r="F604" s="42">
        <v>0</v>
      </c>
      <c r="G604" s="42">
        <v>0</v>
      </c>
      <c r="H604" s="42">
        <v>6459.63</v>
      </c>
      <c r="I604" s="42">
        <v>0</v>
      </c>
      <c r="J604" s="42">
        <v>1688.76</v>
      </c>
      <c r="K604" s="43">
        <v>20265.09</v>
      </c>
      <c r="L604" s="32">
        <v>21953.85</v>
      </c>
      <c r="M604" s="33"/>
      <c r="N604" s="30">
        <v>20265.09</v>
      </c>
      <c r="O604" s="30">
        <v>13805.46</v>
      </c>
      <c r="P604" s="30">
        <v>1710.6</v>
      </c>
      <c r="Q604" s="30">
        <f>(N604+O604*0.18+J604)+(IF((P604-O604*0.18)&gt;0,(P604-O604*0.18),0))</f>
        <v>24438.8328</v>
      </c>
      <c r="R604" s="7"/>
      <c r="S604" s="7"/>
      <c r="T604" s="7"/>
      <c r="U604" s="7"/>
      <c r="V604" s="7"/>
      <c r="W604" s="7"/>
      <c r="X604" s="7"/>
      <c r="Y604" s="7"/>
      <c r="Z604" s="7"/>
    </row>
    <row r="605" spans="1:26" ht="9" customHeight="1" x14ac:dyDescent="0.2">
      <c r="A605" s="95"/>
      <c r="B605" s="95"/>
      <c r="C605" s="34" t="s">
        <v>37</v>
      </c>
      <c r="D605" s="35">
        <v>14</v>
      </c>
      <c r="E605" s="36">
        <v>26731098</v>
      </c>
      <c r="F605" s="36">
        <v>0</v>
      </c>
      <c r="G605" s="36">
        <v>0</v>
      </c>
      <c r="H605" s="36">
        <v>12507588</v>
      </c>
      <c r="I605" s="36">
        <v>0</v>
      </c>
      <c r="J605" s="37">
        <v>3269895</v>
      </c>
      <c r="K605" s="36">
        <v>39238686</v>
      </c>
      <c r="L605" s="38">
        <v>42508581</v>
      </c>
      <c r="M605" s="39"/>
      <c r="N605" s="36">
        <v>39238686</v>
      </c>
      <c r="O605" s="36">
        <v>26731098</v>
      </c>
      <c r="P605" s="36">
        <v>3312183</v>
      </c>
      <c r="Q605" s="36">
        <f>Q604*1936.27</f>
        <v>47320178.785655998</v>
      </c>
      <c r="R605" s="7"/>
      <c r="S605" s="7"/>
      <c r="T605" s="7"/>
      <c r="U605" s="7"/>
      <c r="V605" s="7"/>
      <c r="W605" s="7"/>
      <c r="X605" s="7"/>
      <c r="Y605" s="7"/>
      <c r="Z605" s="7"/>
    </row>
    <row r="606" spans="1:26" ht="12.75" customHeight="1" x14ac:dyDescent="0.2">
      <c r="A606" s="95"/>
      <c r="B606" s="95"/>
      <c r="C606" s="40" t="s">
        <v>36</v>
      </c>
      <c r="D606" s="41">
        <v>15</v>
      </c>
      <c r="E606" s="42">
        <v>15688.73</v>
      </c>
      <c r="F606" s="42">
        <v>0</v>
      </c>
      <c r="G606" s="42">
        <v>0</v>
      </c>
      <c r="H606" s="42">
        <v>6459.63</v>
      </c>
      <c r="I606" s="42">
        <v>0</v>
      </c>
      <c r="J606" s="42">
        <v>1845.7</v>
      </c>
      <c r="K606" s="43">
        <v>22148.36</v>
      </c>
      <c r="L606" s="32">
        <v>23994.06</v>
      </c>
      <c r="M606" s="33"/>
      <c r="N606" s="30">
        <v>22148.36</v>
      </c>
      <c r="O606" s="30">
        <v>15688.73</v>
      </c>
      <c r="P606" s="30">
        <v>2111.16</v>
      </c>
      <c r="Q606" s="30">
        <f>(N606+O606*0.18+J606)+(IF((P606-O606*0.18)&gt;0,(P606-O606*0.18),0))</f>
        <v>26818.0314</v>
      </c>
      <c r="R606" s="7"/>
      <c r="S606" s="7"/>
      <c r="T606" s="7"/>
      <c r="U606" s="7"/>
      <c r="V606" s="7"/>
      <c r="W606" s="7"/>
      <c r="X606" s="7"/>
      <c r="Y606" s="7"/>
      <c r="Z606" s="7"/>
    </row>
    <row r="607" spans="1:26" ht="9" customHeight="1" x14ac:dyDescent="0.2">
      <c r="A607" s="95"/>
      <c r="B607" s="95"/>
      <c r="C607" s="34" t="s">
        <v>37</v>
      </c>
      <c r="D607" s="35">
        <v>20</v>
      </c>
      <c r="E607" s="36">
        <v>30377617</v>
      </c>
      <c r="F607" s="36">
        <v>0</v>
      </c>
      <c r="G607" s="36">
        <v>0</v>
      </c>
      <c r="H607" s="36">
        <v>12507588</v>
      </c>
      <c r="I607" s="36">
        <v>0</v>
      </c>
      <c r="J607" s="37">
        <v>3573774</v>
      </c>
      <c r="K607" s="36">
        <v>42885205</v>
      </c>
      <c r="L607" s="38">
        <v>46458979</v>
      </c>
      <c r="M607" s="39"/>
      <c r="N607" s="36">
        <v>42885205</v>
      </c>
      <c r="O607" s="36">
        <v>30377617</v>
      </c>
      <c r="P607" s="36">
        <v>4087776</v>
      </c>
      <c r="Q607" s="36">
        <f>Q606*1936.27</f>
        <v>51926949.658877999</v>
      </c>
      <c r="R607" s="7"/>
      <c r="S607" s="7"/>
      <c r="T607" s="7"/>
      <c r="U607" s="7"/>
      <c r="V607" s="7"/>
      <c r="W607" s="7"/>
      <c r="X607" s="7"/>
      <c r="Y607" s="7"/>
      <c r="Z607" s="7"/>
    </row>
    <row r="608" spans="1:26" ht="12.75" customHeight="1" x14ac:dyDescent="0.2">
      <c r="A608" s="95"/>
      <c r="B608" s="95"/>
      <c r="C608" s="40" t="s">
        <v>36</v>
      </c>
      <c r="D608" s="41">
        <v>21</v>
      </c>
      <c r="E608" s="42">
        <v>17517.2</v>
      </c>
      <c r="F608" s="42">
        <v>0</v>
      </c>
      <c r="G608" s="42">
        <v>0</v>
      </c>
      <c r="H608" s="42">
        <v>6459.63</v>
      </c>
      <c r="I608" s="42">
        <v>0</v>
      </c>
      <c r="J608" s="42">
        <v>1998.07</v>
      </c>
      <c r="K608" s="43">
        <v>23976.83</v>
      </c>
      <c r="L608" s="32">
        <v>25974.9</v>
      </c>
      <c r="M608" s="33"/>
      <c r="N608" s="30">
        <v>23976.83</v>
      </c>
      <c r="O608" s="30">
        <v>17517.2</v>
      </c>
      <c r="P608" s="30">
        <v>2111.16</v>
      </c>
      <c r="Q608" s="30">
        <f>(N608+O608*0.18+J608)+(IF((P608-O608*0.18)&gt;0,(P608-O608*0.18),0))</f>
        <v>29127.996000000003</v>
      </c>
      <c r="R608" s="7"/>
      <c r="S608" s="7"/>
      <c r="T608" s="7"/>
      <c r="U608" s="7"/>
      <c r="V608" s="7"/>
      <c r="W608" s="7"/>
      <c r="X608" s="7"/>
      <c r="Y608" s="7"/>
      <c r="Z608" s="7"/>
    </row>
    <row r="609" spans="1:26" ht="9" customHeight="1" x14ac:dyDescent="0.2">
      <c r="A609" s="95"/>
      <c r="B609" s="95"/>
      <c r="C609" s="34" t="s">
        <v>37</v>
      </c>
      <c r="D609" s="35">
        <v>27</v>
      </c>
      <c r="E609" s="36">
        <v>33918029</v>
      </c>
      <c r="F609" s="36">
        <v>0</v>
      </c>
      <c r="G609" s="36">
        <v>0</v>
      </c>
      <c r="H609" s="36">
        <v>12507588</v>
      </c>
      <c r="I609" s="36">
        <v>0</v>
      </c>
      <c r="J609" s="37">
        <v>3868803</v>
      </c>
      <c r="K609" s="36">
        <v>46425617</v>
      </c>
      <c r="L609" s="38">
        <v>50294420</v>
      </c>
      <c r="M609" s="39"/>
      <c r="N609" s="36">
        <v>46425617</v>
      </c>
      <c r="O609" s="36">
        <v>33918029</v>
      </c>
      <c r="P609" s="36">
        <v>4087776</v>
      </c>
      <c r="Q609" s="36">
        <f>Q608*1936.27</f>
        <v>56399664.814920008</v>
      </c>
      <c r="R609" s="7"/>
      <c r="S609" s="7"/>
      <c r="T609" s="7"/>
      <c r="U609" s="7"/>
      <c r="V609" s="7"/>
      <c r="W609" s="7"/>
      <c r="X609" s="7"/>
      <c r="Y609" s="7"/>
      <c r="Z609" s="7"/>
    </row>
    <row r="610" spans="1:26" ht="12.75" customHeight="1" x14ac:dyDescent="0.2">
      <c r="A610" s="95"/>
      <c r="B610" s="95"/>
      <c r="C610" s="40" t="s">
        <v>36</v>
      </c>
      <c r="D610" s="41">
        <v>28</v>
      </c>
      <c r="E610" s="42">
        <v>19310.93</v>
      </c>
      <c r="F610" s="42">
        <v>0</v>
      </c>
      <c r="G610" s="42">
        <v>0</v>
      </c>
      <c r="H610" s="42">
        <v>6459.63</v>
      </c>
      <c r="I610" s="42">
        <v>0</v>
      </c>
      <c r="J610" s="42">
        <v>2147.5500000000002</v>
      </c>
      <c r="K610" s="43">
        <v>25770.560000000001</v>
      </c>
      <c r="L610" s="32">
        <v>27918.11</v>
      </c>
      <c r="M610" s="33"/>
      <c r="N610" s="30">
        <v>25770.560000000001</v>
      </c>
      <c r="O610" s="30">
        <v>19310.93</v>
      </c>
      <c r="P610" s="30">
        <v>2585.4</v>
      </c>
      <c r="Q610" s="30">
        <f>(N610+O610*0.18+J610)+(IF((P610-O610*0.18)&gt;0,(P610-O610*0.18),0))</f>
        <v>31394.077400000002</v>
      </c>
      <c r="R610" s="7"/>
      <c r="S610" s="7"/>
      <c r="T610" s="7"/>
      <c r="U610" s="7"/>
      <c r="V610" s="7"/>
      <c r="W610" s="7"/>
      <c r="X610" s="7"/>
      <c r="Y610" s="7"/>
      <c r="Z610" s="7"/>
    </row>
    <row r="611" spans="1:26" ht="9" customHeight="1" x14ac:dyDescent="0.2">
      <c r="A611" s="95"/>
      <c r="B611" s="95"/>
      <c r="C611" s="34" t="s">
        <v>37</v>
      </c>
      <c r="D611" s="35">
        <v>34</v>
      </c>
      <c r="E611" s="36">
        <v>37391174</v>
      </c>
      <c r="F611" s="36">
        <v>0</v>
      </c>
      <c r="G611" s="36">
        <v>0</v>
      </c>
      <c r="H611" s="36">
        <v>12507588</v>
      </c>
      <c r="I611" s="36">
        <v>0</v>
      </c>
      <c r="J611" s="37">
        <v>4158237</v>
      </c>
      <c r="K611" s="36">
        <v>49898762</v>
      </c>
      <c r="L611" s="38">
        <v>54056999</v>
      </c>
      <c r="M611" s="39"/>
      <c r="N611" s="36">
        <v>49898762</v>
      </c>
      <c r="O611" s="36">
        <v>37391174</v>
      </c>
      <c r="P611" s="36">
        <v>5006032</v>
      </c>
      <c r="Q611" s="36">
        <f>Q610*1936.27</f>
        <v>60787410.247298002</v>
      </c>
      <c r="R611" s="7"/>
      <c r="S611" s="7"/>
      <c r="T611" s="7"/>
      <c r="U611" s="7"/>
      <c r="V611" s="7"/>
      <c r="W611" s="7"/>
      <c r="X611" s="7"/>
      <c r="Y611" s="7"/>
      <c r="Z611" s="7"/>
    </row>
    <row r="612" spans="1:26" ht="12.75" customHeight="1" x14ac:dyDescent="0.2">
      <c r="A612" s="95"/>
      <c r="B612" s="95"/>
      <c r="C612" s="40" t="s">
        <v>36</v>
      </c>
      <c r="D612" s="41">
        <v>35</v>
      </c>
      <c r="E612" s="42">
        <v>20640.53</v>
      </c>
      <c r="F612" s="42">
        <v>0</v>
      </c>
      <c r="G612" s="42">
        <v>0</v>
      </c>
      <c r="H612" s="42">
        <v>6459.63</v>
      </c>
      <c r="I612" s="42">
        <v>0</v>
      </c>
      <c r="J612" s="42">
        <v>2258.35</v>
      </c>
      <c r="K612" s="43">
        <v>27100.16</v>
      </c>
      <c r="L612" s="32">
        <v>29358.51</v>
      </c>
      <c r="M612" s="33"/>
      <c r="N612" s="30">
        <v>27100.16</v>
      </c>
      <c r="O612" s="30">
        <v>20640.53</v>
      </c>
      <c r="P612" s="30">
        <v>2585.4</v>
      </c>
      <c r="Q612" s="30">
        <f>(N612+O612*0.18+J612)+(IF((P612-O612*0.18)&gt;0,(P612-O612*0.18),0))</f>
        <v>33073.805399999997</v>
      </c>
      <c r="R612" s="7"/>
      <c r="S612" s="7"/>
      <c r="T612" s="7"/>
      <c r="U612" s="7"/>
      <c r="V612" s="7"/>
      <c r="W612" s="7"/>
      <c r="X612" s="7"/>
      <c r="Y612" s="7"/>
      <c r="Z612" s="7"/>
    </row>
    <row r="613" spans="1:26" ht="9" customHeight="1" x14ac:dyDescent="0.2">
      <c r="A613" s="110"/>
      <c r="B613" s="110"/>
      <c r="C613" s="47" t="s">
        <v>37</v>
      </c>
      <c r="D613" s="48"/>
      <c r="E613" s="46">
        <v>39965639</v>
      </c>
      <c r="F613" s="46">
        <v>0</v>
      </c>
      <c r="G613" s="46">
        <v>0</v>
      </c>
      <c r="H613" s="46">
        <v>12507588</v>
      </c>
      <c r="I613" s="46">
        <v>0</v>
      </c>
      <c r="J613" s="49">
        <v>4372775</v>
      </c>
      <c r="K613" s="46">
        <v>52473227</v>
      </c>
      <c r="L613" s="38">
        <v>56846002</v>
      </c>
      <c r="M613" s="39"/>
      <c r="N613" s="36">
        <v>52473227</v>
      </c>
      <c r="O613" s="36">
        <v>39965639</v>
      </c>
      <c r="P613" s="36">
        <v>5006032</v>
      </c>
      <c r="Q613" s="36">
        <f>Q612*1936.27</f>
        <v>64039817.181857996</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98">
        <v>37987</v>
      </c>
      <c r="B620" s="98">
        <v>38383</v>
      </c>
      <c r="C620" s="28" t="s">
        <v>36</v>
      </c>
      <c r="D620" s="29">
        <v>0</v>
      </c>
      <c r="E620" s="30">
        <v>12107.28</v>
      </c>
      <c r="F620" s="30">
        <v>0</v>
      </c>
      <c r="G620" s="30">
        <v>0</v>
      </c>
      <c r="H620" s="30">
        <v>6459.63</v>
      </c>
      <c r="I620" s="30">
        <v>0</v>
      </c>
      <c r="J620" s="30">
        <v>1547.24</v>
      </c>
      <c r="K620" s="31">
        <v>18566.91</v>
      </c>
      <c r="L620" s="32">
        <v>20114.150000000001</v>
      </c>
      <c r="M620" s="33"/>
      <c r="N620" s="30">
        <v>18566.91</v>
      </c>
      <c r="O620" s="30">
        <v>12107.28</v>
      </c>
      <c r="P620" s="30">
        <v>1857.84</v>
      </c>
      <c r="Q620" s="30">
        <f>(N620+O620*0.18+J620)+(IF((P620-O620*0.18)&gt;0,(P620-O620*0.18),0))</f>
        <v>22293.4604</v>
      </c>
      <c r="R620" s="7"/>
      <c r="S620" s="7"/>
      <c r="T620" s="7"/>
      <c r="U620" s="7"/>
      <c r="V620" s="7"/>
      <c r="W620" s="7"/>
      <c r="X620" s="7"/>
      <c r="Y620" s="7"/>
      <c r="Z620" s="7"/>
    </row>
    <row r="621" spans="1:26" ht="9" customHeight="1" x14ac:dyDescent="0.2">
      <c r="A621" s="95"/>
      <c r="B621" s="95"/>
      <c r="C621" s="34" t="s">
        <v>37</v>
      </c>
      <c r="D621" s="35">
        <v>2</v>
      </c>
      <c r="E621" s="36">
        <v>23442963</v>
      </c>
      <c r="F621" s="36">
        <v>0</v>
      </c>
      <c r="G621" s="36">
        <v>0</v>
      </c>
      <c r="H621" s="36">
        <v>12507588</v>
      </c>
      <c r="I621" s="36">
        <v>0</v>
      </c>
      <c r="J621" s="37">
        <v>2995874</v>
      </c>
      <c r="K621" s="36">
        <v>35950551</v>
      </c>
      <c r="L621" s="38">
        <v>38946425</v>
      </c>
      <c r="M621" s="39"/>
      <c r="N621" s="36">
        <v>35950551</v>
      </c>
      <c r="O621" s="36">
        <v>23442963</v>
      </c>
      <c r="P621" s="36">
        <v>3597280</v>
      </c>
      <c r="Q621" s="36">
        <f>Q620*1936.27</f>
        <v>43166158.568708003</v>
      </c>
      <c r="R621" s="7"/>
      <c r="S621" s="7"/>
      <c r="T621" s="7"/>
      <c r="U621" s="7"/>
      <c r="V621" s="7"/>
      <c r="W621" s="7"/>
      <c r="X621" s="7"/>
      <c r="Y621" s="7"/>
      <c r="Z621" s="7"/>
    </row>
    <row r="622" spans="1:26" ht="12.75" customHeight="1" x14ac:dyDescent="0.2">
      <c r="A622" s="156">
        <v>37987</v>
      </c>
      <c r="B622" s="156">
        <v>38383</v>
      </c>
      <c r="C622" s="40" t="s">
        <v>36</v>
      </c>
      <c r="D622" s="41">
        <v>3</v>
      </c>
      <c r="E622" s="42">
        <v>12619.94</v>
      </c>
      <c r="F622" s="42">
        <v>0</v>
      </c>
      <c r="G622" s="42">
        <v>0</v>
      </c>
      <c r="H622" s="42">
        <v>6459.63</v>
      </c>
      <c r="I622" s="42">
        <v>0</v>
      </c>
      <c r="J622" s="42">
        <v>1589.96</v>
      </c>
      <c r="K622" s="43">
        <v>19079.57</v>
      </c>
      <c r="L622" s="32">
        <v>20669.53</v>
      </c>
      <c r="M622" s="33"/>
      <c r="N622" s="30">
        <v>19079.57</v>
      </c>
      <c r="O622" s="30">
        <v>12619.94</v>
      </c>
      <c r="P622" s="30">
        <v>1857.84</v>
      </c>
      <c r="Q622" s="30">
        <f>(N622+O622*0.18+J622)+(IF((P622-O622*0.18)&gt;0,(P622-O622*0.18),0))</f>
        <v>22941.119199999997</v>
      </c>
      <c r="R622" s="7"/>
      <c r="S622" s="7"/>
      <c r="T622" s="7"/>
      <c r="U622" s="7"/>
      <c r="V622" s="7"/>
      <c r="W622" s="7"/>
      <c r="X622" s="7"/>
      <c r="Y622" s="7"/>
      <c r="Z622" s="7"/>
    </row>
    <row r="623" spans="1:26" ht="9" customHeight="1" x14ac:dyDescent="0.2">
      <c r="A623" s="95"/>
      <c r="B623" s="95"/>
      <c r="C623" s="34" t="s">
        <v>37</v>
      </c>
      <c r="D623" s="35">
        <v>8</v>
      </c>
      <c r="E623" s="36">
        <v>24435611</v>
      </c>
      <c r="F623" s="36">
        <v>0</v>
      </c>
      <c r="G623" s="36">
        <v>0</v>
      </c>
      <c r="H623" s="36">
        <v>12507588</v>
      </c>
      <c r="I623" s="36">
        <v>0</v>
      </c>
      <c r="J623" s="37">
        <v>3078592</v>
      </c>
      <c r="K623" s="36">
        <v>36943199</v>
      </c>
      <c r="L623" s="38">
        <v>40021791</v>
      </c>
      <c r="M623" s="39"/>
      <c r="N623" s="36">
        <v>36943199</v>
      </c>
      <c r="O623" s="36">
        <v>24435611</v>
      </c>
      <c r="P623" s="36">
        <v>3597280</v>
      </c>
      <c r="Q623" s="36">
        <f>Q622*1936.27</f>
        <v>44420200.873383991</v>
      </c>
      <c r="R623" s="7"/>
      <c r="S623" s="7"/>
      <c r="T623" s="7"/>
      <c r="U623" s="7"/>
      <c r="V623" s="7"/>
      <c r="W623" s="7"/>
      <c r="X623" s="7"/>
      <c r="Y623" s="7"/>
      <c r="Z623" s="7"/>
    </row>
    <row r="624" spans="1:26" ht="12.75" customHeight="1" x14ac:dyDescent="0.2">
      <c r="A624" s="95"/>
      <c r="B624" s="95"/>
      <c r="C624" s="40" t="s">
        <v>36</v>
      </c>
      <c r="D624" s="41">
        <v>9</v>
      </c>
      <c r="E624" s="42">
        <v>14295.3</v>
      </c>
      <c r="F624" s="42">
        <v>0</v>
      </c>
      <c r="G624" s="42">
        <v>0</v>
      </c>
      <c r="H624" s="42">
        <v>6459.63</v>
      </c>
      <c r="I624" s="42">
        <v>0</v>
      </c>
      <c r="J624" s="42">
        <v>1729.58</v>
      </c>
      <c r="K624" s="43">
        <v>20754.93</v>
      </c>
      <c r="L624" s="32">
        <v>22484.51</v>
      </c>
      <c r="M624" s="33"/>
      <c r="N624" s="30">
        <v>20754.93</v>
      </c>
      <c r="O624" s="30">
        <v>14295.3</v>
      </c>
      <c r="P624" s="30">
        <v>1857.84</v>
      </c>
      <c r="Q624" s="30">
        <f>(N624+O624*0.18+J624)+(IF((P624-O624*0.18)&gt;0,(P624-O624*0.18),0))</f>
        <v>25057.663999999997</v>
      </c>
      <c r="R624" s="7"/>
      <c r="S624" s="7"/>
      <c r="T624" s="7"/>
      <c r="U624" s="7"/>
      <c r="V624" s="7"/>
      <c r="W624" s="7"/>
      <c r="X624" s="7"/>
      <c r="Y624" s="7"/>
      <c r="Z624" s="7"/>
    </row>
    <row r="625" spans="1:26" ht="9" customHeight="1" x14ac:dyDescent="0.2">
      <c r="A625" s="95"/>
      <c r="B625" s="95"/>
      <c r="C625" s="34" t="s">
        <v>37</v>
      </c>
      <c r="D625" s="35">
        <v>14</v>
      </c>
      <c r="E625" s="36">
        <v>27679561</v>
      </c>
      <c r="F625" s="36">
        <v>0</v>
      </c>
      <c r="G625" s="36">
        <v>0</v>
      </c>
      <c r="H625" s="36">
        <v>12507588</v>
      </c>
      <c r="I625" s="36">
        <v>0</v>
      </c>
      <c r="J625" s="37">
        <v>3348934</v>
      </c>
      <c r="K625" s="36">
        <v>40187148</v>
      </c>
      <c r="L625" s="38">
        <v>43536082</v>
      </c>
      <c r="M625" s="39"/>
      <c r="N625" s="36">
        <v>40187148</v>
      </c>
      <c r="O625" s="36">
        <v>27679561</v>
      </c>
      <c r="P625" s="36">
        <v>3597280</v>
      </c>
      <c r="Q625" s="36">
        <f>Q624*1936.27</f>
        <v>48518403.073279992</v>
      </c>
      <c r="R625" s="7"/>
      <c r="S625" s="7"/>
      <c r="T625" s="7"/>
      <c r="U625" s="7"/>
      <c r="V625" s="7"/>
      <c r="W625" s="7"/>
      <c r="X625" s="7"/>
      <c r="Y625" s="7"/>
      <c r="Z625" s="7"/>
    </row>
    <row r="626" spans="1:26" ht="12.75" customHeight="1" x14ac:dyDescent="0.2">
      <c r="A626" s="95"/>
      <c r="B626" s="95"/>
      <c r="C626" s="40" t="s">
        <v>36</v>
      </c>
      <c r="D626" s="41">
        <v>15</v>
      </c>
      <c r="E626" s="42">
        <v>16224.05</v>
      </c>
      <c r="F626" s="42">
        <v>0</v>
      </c>
      <c r="G626" s="42">
        <v>0</v>
      </c>
      <c r="H626" s="42">
        <v>6459.63</v>
      </c>
      <c r="I626" s="42">
        <v>0</v>
      </c>
      <c r="J626" s="42">
        <v>1890.31</v>
      </c>
      <c r="K626" s="43">
        <v>22683.68</v>
      </c>
      <c r="L626" s="32">
        <v>24573.99</v>
      </c>
      <c r="M626" s="33"/>
      <c r="N626" s="30">
        <v>22683.68</v>
      </c>
      <c r="O626" s="30">
        <v>16224.05</v>
      </c>
      <c r="P626" s="30">
        <v>2287.8000000000002</v>
      </c>
      <c r="Q626" s="30">
        <f>(N626+O626*0.18+J626)+(IF((P626-O626*0.18)&gt;0,(P626-O626*0.18),0))</f>
        <v>27494.319</v>
      </c>
      <c r="R626" s="7"/>
      <c r="S626" s="7"/>
      <c r="T626" s="7"/>
      <c r="U626" s="7"/>
      <c r="V626" s="7"/>
      <c r="W626" s="7"/>
      <c r="X626" s="7"/>
      <c r="Y626" s="7"/>
      <c r="Z626" s="7"/>
    </row>
    <row r="627" spans="1:26" ht="9" customHeight="1" x14ac:dyDescent="0.2">
      <c r="A627" s="95"/>
      <c r="B627" s="95"/>
      <c r="C627" s="34" t="s">
        <v>37</v>
      </c>
      <c r="D627" s="35">
        <v>20</v>
      </c>
      <c r="E627" s="36">
        <v>31414141</v>
      </c>
      <c r="F627" s="36">
        <v>0</v>
      </c>
      <c r="G627" s="36">
        <v>0</v>
      </c>
      <c r="H627" s="36">
        <v>12507588</v>
      </c>
      <c r="I627" s="36">
        <v>0</v>
      </c>
      <c r="J627" s="37">
        <v>3660151</v>
      </c>
      <c r="K627" s="36">
        <v>43921729</v>
      </c>
      <c r="L627" s="38">
        <v>47581880</v>
      </c>
      <c r="M627" s="39"/>
      <c r="N627" s="36">
        <v>43921729</v>
      </c>
      <c r="O627" s="36">
        <v>31414141</v>
      </c>
      <c r="P627" s="36">
        <v>4429799</v>
      </c>
      <c r="Q627" s="36">
        <f>Q626*1936.27</f>
        <v>53236425.050130002</v>
      </c>
      <c r="R627" s="7"/>
      <c r="S627" s="7"/>
      <c r="T627" s="7"/>
      <c r="U627" s="7"/>
      <c r="V627" s="7"/>
      <c r="W627" s="7"/>
      <c r="X627" s="7"/>
      <c r="Y627" s="7"/>
      <c r="Z627" s="7"/>
    </row>
    <row r="628" spans="1:26" ht="12.75" customHeight="1" x14ac:dyDescent="0.2">
      <c r="A628" s="95"/>
      <c r="B628" s="95"/>
      <c r="C628" s="40" t="s">
        <v>36</v>
      </c>
      <c r="D628" s="41">
        <v>21</v>
      </c>
      <c r="E628" s="42">
        <v>18096.68</v>
      </c>
      <c r="F628" s="42">
        <v>0</v>
      </c>
      <c r="G628" s="42">
        <v>0</v>
      </c>
      <c r="H628" s="42">
        <v>6459.63</v>
      </c>
      <c r="I628" s="42">
        <v>0</v>
      </c>
      <c r="J628" s="42">
        <v>2046.36</v>
      </c>
      <c r="K628" s="43">
        <v>24556.31</v>
      </c>
      <c r="L628" s="32">
        <v>26602.67</v>
      </c>
      <c r="M628" s="33"/>
      <c r="N628" s="30">
        <v>24556.31</v>
      </c>
      <c r="O628" s="30">
        <v>18096.68</v>
      </c>
      <c r="P628" s="30">
        <v>2287.8000000000002</v>
      </c>
      <c r="Q628" s="30">
        <f>(N628+O628*0.18+J628)+(IF((P628-O628*0.18)&gt;0,(P628-O628*0.18),0))</f>
        <v>29860.072400000001</v>
      </c>
      <c r="R628" s="7"/>
      <c r="S628" s="7"/>
      <c r="T628" s="7"/>
      <c r="U628" s="7"/>
      <c r="V628" s="7"/>
      <c r="W628" s="7"/>
      <c r="X628" s="7"/>
      <c r="Y628" s="7"/>
      <c r="Z628" s="7"/>
    </row>
    <row r="629" spans="1:26" ht="9" customHeight="1" x14ac:dyDescent="0.2">
      <c r="A629" s="95"/>
      <c r="B629" s="95"/>
      <c r="C629" s="34" t="s">
        <v>37</v>
      </c>
      <c r="D629" s="35">
        <v>27</v>
      </c>
      <c r="E629" s="36">
        <v>35040059</v>
      </c>
      <c r="F629" s="36">
        <v>0</v>
      </c>
      <c r="G629" s="36">
        <v>0</v>
      </c>
      <c r="H629" s="36">
        <v>12507588</v>
      </c>
      <c r="I629" s="36">
        <v>0</v>
      </c>
      <c r="J629" s="37">
        <v>3962305</v>
      </c>
      <c r="K629" s="36">
        <v>47547646</v>
      </c>
      <c r="L629" s="38">
        <v>51509952</v>
      </c>
      <c r="M629" s="39"/>
      <c r="N629" s="36">
        <v>47547646</v>
      </c>
      <c r="O629" s="36">
        <v>35040059</v>
      </c>
      <c r="P629" s="36">
        <v>4429799</v>
      </c>
      <c r="Q629" s="36">
        <f>Q628*1936.27</f>
        <v>57817162.385948002</v>
      </c>
      <c r="R629" s="7"/>
      <c r="S629" s="7"/>
      <c r="T629" s="7"/>
      <c r="U629" s="7"/>
      <c r="V629" s="7"/>
      <c r="W629" s="7"/>
      <c r="X629" s="7"/>
      <c r="Y629" s="7"/>
      <c r="Z629" s="7"/>
    </row>
    <row r="630" spans="1:26" ht="12.75" customHeight="1" x14ac:dyDescent="0.2">
      <c r="A630" s="95"/>
      <c r="B630" s="95"/>
      <c r="C630" s="40" t="s">
        <v>36</v>
      </c>
      <c r="D630" s="41">
        <v>28</v>
      </c>
      <c r="E630" s="42">
        <v>19933.849999999999</v>
      </c>
      <c r="F630" s="42">
        <v>0</v>
      </c>
      <c r="G630" s="42">
        <v>0</v>
      </c>
      <c r="H630" s="42">
        <v>6459.63</v>
      </c>
      <c r="I630" s="42">
        <v>0</v>
      </c>
      <c r="J630" s="42">
        <v>2199.46</v>
      </c>
      <c r="K630" s="43">
        <v>26393.48</v>
      </c>
      <c r="L630" s="32">
        <v>28592.94</v>
      </c>
      <c r="M630" s="33"/>
      <c r="N630" s="30">
        <v>26393.48</v>
      </c>
      <c r="O630" s="30">
        <v>19933.849999999999</v>
      </c>
      <c r="P630" s="30">
        <v>2870.04</v>
      </c>
      <c r="Q630" s="30">
        <f>(N630+O630*0.18+J630)+(IF((P630-O630*0.18)&gt;0,(P630-O630*0.18),0))</f>
        <v>32181.032999999999</v>
      </c>
      <c r="R630" s="7"/>
      <c r="S630" s="7"/>
      <c r="T630" s="7"/>
      <c r="U630" s="7"/>
      <c r="V630" s="7"/>
      <c r="W630" s="7"/>
      <c r="X630" s="7"/>
      <c r="Y630" s="7"/>
      <c r="Z630" s="7"/>
    </row>
    <row r="631" spans="1:26" ht="9" customHeight="1" x14ac:dyDescent="0.2">
      <c r="A631" s="95"/>
      <c r="B631" s="95"/>
      <c r="C631" s="34" t="s">
        <v>37</v>
      </c>
      <c r="D631" s="35">
        <v>34</v>
      </c>
      <c r="E631" s="36">
        <v>38597316</v>
      </c>
      <c r="F631" s="36">
        <v>0</v>
      </c>
      <c r="G631" s="36">
        <v>0</v>
      </c>
      <c r="H631" s="36">
        <v>12507588</v>
      </c>
      <c r="I631" s="36">
        <v>0</v>
      </c>
      <c r="J631" s="37">
        <v>4258748</v>
      </c>
      <c r="K631" s="36">
        <v>51104904</v>
      </c>
      <c r="L631" s="38">
        <v>55363652</v>
      </c>
      <c r="M631" s="39"/>
      <c r="N631" s="36">
        <v>51104904</v>
      </c>
      <c r="O631" s="36">
        <v>38597316</v>
      </c>
      <c r="P631" s="36">
        <v>5557172</v>
      </c>
      <c r="Q631" s="36">
        <f>Q630*1936.27</f>
        <v>62311168.766910002</v>
      </c>
      <c r="R631" s="7"/>
      <c r="S631" s="7"/>
      <c r="T631" s="7"/>
      <c r="U631" s="7"/>
      <c r="V631" s="7"/>
      <c r="W631" s="7"/>
      <c r="X631" s="7"/>
      <c r="Y631" s="7"/>
      <c r="Z631" s="7"/>
    </row>
    <row r="632" spans="1:26" ht="12.75" customHeight="1" x14ac:dyDescent="0.2">
      <c r="A632" s="95"/>
      <c r="B632" s="95"/>
      <c r="C632" s="40" t="s">
        <v>36</v>
      </c>
      <c r="D632" s="41">
        <v>35</v>
      </c>
      <c r="E632" s="42">
        <v>21295.49</v>
      </c>
      <c r="F632" s="42">
        <v>0</v>
      </c>
      <c r="G632" s="42">
        <v>0</v>
      </c>
      <c r="H632" s="42">
        <v>6459.63</v>
      </c>
      <c r="I632" s="42">
        <v>0</v>
      </c>
      <c r="J632" s="42">
        <v>2312.9299999999998</v>
      </c>
      <c r="K632" s="43">
        <v>27755.119999999999</v>
      </c>
      <c r="L632" s="32">
        <v>30068.05</v>
      </c>
      <c r="M632" s="33"/>
      <c r="N632" s="30">
        <v>27755.119999999999</v>
      </c>
      <c r="O632" s="30">
        <v>21295.49</v>
      </c>
      <c r="P632" s="30">
        <v>2870.04</v>
      </c>
      <c r="Q632" s="30">
        <f>(N632+O632*0.18+J632)+(IF((P632-O632*0.18)&gt;0,(P632-O632*0.18),0))</f>
        <v>33901.2382</v>
      </c>
      <c r="R632" s="7"/>
      <c r="S632" s="7"/>
      <c r="T632" s="7"/>
      <c r="U632" s="7"/>
      <c r="V632" s="7"/>
      <c r="W632" s="7"/>
      <c r="X632" s="7"/>
      <c r="Y632" s="7"/>
      <c r="Z632" s="7"/>
    </row>
    <row r="633" spans="1:26" ht="9" customHeight="1" x14ac:dyDescent="0.2">
      <c r="A633" s="110"/>
      <c r="B633" s="110"/>
      <c r="C633" s="47" t="s">
        <v>37</v>
      </c>
      <c r="D633" s="48"/>
      <c r="E633" s="46">
        <v>41233818</v>
      </c>
      <c r="F633" s="46">
        <v>0</v>
      </c>
      <c r="G633" s="46">
        <v>0</v>
      </c>
      <c r="H633" s="46">
        <v>12507588</v>
      </c>
      <c r="I633" s="46">
        <v>0</v>
      </c>
      <c r="J633" s="49">
        <v>4478457</v>
      </c>
      <c r="K633" s="46">
        <v>53741406</v>
      </c>
      <c r="L633" s="38">
        <v>58219863</v>
      </c>
      <c r="M633" s="39"/>
      <c r="N633" s="36">
        <v>53741406</v>
      </c>
      <c r="O633" s="36">
        <v>41233818</v>
      </c>
      <c r="P633" s="36">
        <v>5557172</v>
      </c>
      <c r="Q633" s="36">
        <f>Q632*1936.27</f>
        <v>65641950.489514001</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98">
        <v>38384</v>
      </c>
      <c r="B640" s="98">
        <v>38717</v>
      </c>
      <c r="C640" s="28" t="s">
        <v>36</v>
      </c>
      <c r="D640" s="29">
        <v>0</v>
      </c>
      <c r="E640" s="30">
        <v>12622.8</v>
      </c>
      <c r="F640" s="30">
        <v>0</v>
      </c>
      <c r="G640" s="30">
        <v>0</v>
      </c>
      <c r="H640" s="30">
        <v>6459.63</v>
      </c>
      <c r="I640" s="30">
        <v>0</v>
      </c>
      <c r="J640" s="30">
        <v>1590.2</v>
      </c>
      <c r="K640" s="31">
        <v>19082.43</v>
      </c>
      <c r="L640" s="32">
        <v>20672.63</v>
      </c>
      <c r="M640" s="33"/>
      <c r="N640" s="30">
        <v>19082.43</v>
      </c>
      <c r="O640" s="30">
        <v>12622.8</v>
      </c>
      <c r="P640" s="30">
        <v>1857.84</v>
      </c>
      <c r="Q640" s="30">
        <f>(N640+O640*0.18+J640)+(IF((P640-O640*0.18)&gt;0,(P640-O640*0.18),0))</f>
        <v>22944.734</v>
      </c>
      <c r="R640" s="7"/>
      <c r="S640" s="7"/>
      <c r="T640" s="7"/>
      <c r="U640" s="7"/>
      <c r="V640" s="7"/>
      <c r="W640" s="7"/>
      <c r="X640" s="7"/>
      <c r="Y640" s="7"/>
      <c r="Z640" s="7"/>
    </row>
    <row r="641" spans="1:26" ht="9" customHeight="1" x14ac:dyDescent="0.2">
      <c r="A641" s="95"/>
      <c r="B641" s="95"/>
      <c r="C641" s="34" t="s">
        <v>37</v>
      </c>
      <c r="D641" s="35">
        <v>2</v>
      </c>
      <c r="E641" s="36">
        <v>24441149</v>
      </c>
      <c r="F641" s="36">
        <v>0</v>
      </c>
      <c r="G641" s="36">
        <v>0</v>
      </c>
      <c r="H641" s="36">
        <v>12507588</v>
      </c>
      <c r="I641" s="36">
        <v>0</v>
      </c>
      <c r="J641" s="37">
        <v>3079057</v>
      </c>
      <c r="K641" s="36">
        <v>36948737</v>
      </c>
      <c r="L641" s="38">
        <v>40027793</v>
      </c>
      <c r="M641" s="39"/>
      <c r="N641" s="36">
        <v>36948737</v>
      </c>
      <c r="O641" s="36">
        <v>24441149</v>
      </c>
      <c r="P641" s="36">
        <v>3597280</v>
      </c>
      <c r="Q641" s="36">
        <f>Q640*1936.27</f>
        <v>44427200.102179997</v>
      </c>
      <c r="R641" s="7"/>
      <c r="S641" s="7"/>
      <c r="T641" s="7"/>
      <c r="U641" s="7"/>
      <c r="V641" s="7"/>
      <c r="W641" s="7"/>
      <c r="X641" s="7"/>
      <c r="Y641" s="7"/>
      <c r="Z641" s="7"/>
    </row>
    <row r="642" spans="1:26" ht="12.75" customHeight="1" x14ac:dyDescent="0.2">
      <c r="A642" s="156">
        <v>38384</v>
      </c>
      <c r="B642" s="156">
        <v>38717</v>
      </c>
      <c r="C642" s="40" t="s">
        <v>36</v>
      </c>
      <c r="D642" s="41">
        <v>3</v>
      </c>
      <c r="E642" s="42">
        <v>13149.74</v>
      </c>
      <c r="F642" s="42">
        <v>0</v>
      </c>
      <c r="G642" s="42">
        <v>0</v>
      </c>
      <c r="H642" s="42">
        <v>6459.63</v>
      </c>
      <c r="I642" s="42">
        <v>0</v>
      </c>
      <c r="J642" s="42">
        <v>1634.11</v>
      </c>
      <c r="K642" s="43">
        <v>19609.37</v>
      </c>
      <c r="L642" s="32">
        <v>21243.48</v>
      </c>
      <c r="M642" s="33"/>
      <c r="N642" s="30">
        <v>19609.37</v>
      </c>
      <c r="O642" s="30">
        <v>13149.74</v>
      </c>
      <c r="P642" s="30">
        <v>1857.84</v>
      </c>
      <c r="Q642" s="30">
        <f>(N642+O642*0.18+J642)+(IF((P642-O642*0.18)&gt;0,(P642-O642*0.18),0))</f>
        <v>23610.433199999999</v>
      </c>
      <c r="R642" s="7"/>
      <c r="S642" s="7"/>
      <c r="T642" s="7"/>
      <c r="U642" s="7"/>
      <c r="V642" s="7"/>
      <c r="W642" s="7"/>
      <c r="X642" s="7"/>
      <c r="Y642" s="7"/>
      <c r="Z642" s="7"/>
    </row>
    <row r="643" spans="1:26" ht="9" customHeight="1" x14ac:dyDescent="0.2">
      <c r="A643" s="95"/>
      <c r="B643" s="95"/>
      <c r="C643" s="34" t="s">
        <v>37</v>
      </c>
      <c r="D643" s="35">
        <v>8</v>
      </c>
      <c r="E643" s="36">
        <v>25461447</v>
      </c>
      <c r="F643" s="36">
        <v>0</v>
      </c>
      <c r="G643" s="36">
        <v>0</v>
      </c>
      <c r="H643" s="36">
        <v>12507588</v>
      </c>
      <c r="I643" s="36">
        <v>0</v>
      </c>
      <c r="J643" s="37">
        <v>3164078</v>
      </c>
      <c r="K643" s="36">
        <v>37969035</v>
      </c>
      <c r="L643" s="38">
        <v>41133113</v>
      </c>
      <c r="M643" s="39"/>
      <c r="N643" s="36">
        <v>37969035</v>
      </c>
      <c r="O643" s="36">
        <v>25461447</v>
      </c>
      <c r="P643" s="36">
        <v>3597280</v>
      </c>
      <c r="Q643" s="36">
        <f>Q642*1936.27</f>
        <v>45716173.492164001</v>
      </c>
      <c r="R643" s="7"/>
      <c r="S643" s="7"/>
      <c r="T643" s="7"/>
      <c r="U643" s="7"/>
      <c r="V643" s="7"/>
      <c r="W643" s="7"/>
      <c r="X643" s="7"/>
      <c r="Y643" s="7"/>
      <c r="Z643" s="7"/>
    </row>
    <row r="644" spans="1:26" ht="12.75" customHeight="1" x14ac:dyDescent="0.2">
      <c r="A644" s="95"/>
      <c r="B644" s="95"/>
      <c r="C644" s="40" t="s">
        <v>36</v>
      </c>
      <c r="D644" s="41">
        <v>9</v>
      </c>
      <c r="E644" s="42">
        <v>14871.54</v>
      </c>
      <c r="F644" s="42">
        <v>0</v>
      </c>
      <c r="G644" s="42">
        <v>0</v>
      </c>
      <c r="H644" s="42">
        <v>6459.63</v>
      </c>
      <c r="I644" s="42">
        <v>0</v>
      </c>
      <c r="J644" s="42">
        <v>1777.6</v>
      </c>
      <c r="K644" s="43">
        <v>21331.17</v>
      </c>
      <c r="L644" s="32">
        <v>23108.77</v>
      </c>
      <c r="M644" s="33"/>
      <c r="N644" s="30">
        <v>21331.17</v>
      </c>
      <c r="O644" s="30">
        <v>14871.54</v>
      </c>
      <c r="P644" s="30">
        <v>1857.84</v>
      </c>
      <c r="Q644" s="30">
        <f>(N644+O644*0.18+J644)+(IF((P644-O644*0.18)&gt;0,(P644-O644*0.18),0))</f>
        <v>25785.647199999996</v>
      </c>
      <c r="R644" s="7"/>
      <c r="S644" s="7"/>
      <c r="T644" s="7"/>
      <c r="U644" s="7"/>
      <c r="V644" s="7"/>
      <c r="W644" s="7"/>
      <c r="X644" s="7"/>
      <c r="Y644" s="7"/>
      <c r="Z644" s="7"/>
    </row>
    <row r="645" spans="1:26" ht="9" customHeight="1" x14ac:dyDescent="0.2">
      <c r="A645" s="95"/>
      <c r="B645" s="95"/>
      <c r="C645" s="34" t="s">
        <v>37</v>
      </c>
      <c r="D645" s="35">
        <v>14</v>
      </c>
      <c r="E645" s="36">
        <v>28795317</v>
      </c>
      <c r="F645" s="36">
        <v>0</v>
      </c>
      <c r="G645" s="36">
        <v>0</v>
      </c>
      <c r="H645" s="36">
        <v>12507588</v>
      </c>
      <c r="I645" s="36">
        <v>0</v>
      </c>
      <c r="J645" s="37">
        <v>3441914</v>
      </c>
      <c r="K645" s="36">
        <v>41302905</v>
      </c>
      <c r="L645" s="38">
        <v>44744818</v>
      </c>
      <c r="M645" s="39"/>
      <c r="N645" s="36">
        <v>41302905</v>
      </c>
      <c r="O645" s="36">
        <v>28795317</v>
      </c>
      <c r="P645" s="36">
        <v>3597280</v>
      </c>
      <c r="Q645" s="36">
        <f>Q644*1936.27</f>
        <v>49927975.103943989</v>
      </c>
      <c r="R645" s="7"/>
      <c r="S645" s="7"/>
      <c r="T645" s="7"/>
      <c r="U645" s="7"/>
      <c r="V645" s="7"/>
      <c r="W645" s="7"/>
      <c r="X645" s="7"/>
      <c r="Y645" s="7"/>
      <c r="Z645" s="7"/>
    </row>
    <row r="646" spans="1:26" ht="12.75" customHeight="1" x14ac:dyDescent="0.2">
      <c r="A646" s="95"/>
      <c r="B646" s="95"/>
      <c r="C646" s="40" t="s">
        <v>36</v>
      </c>
      <c r="D646" s="41">
        <v>15</v>
      </c>
      <c r="E646" s="42">
        <v>16853.93</v>
      </c>
      <c r="F646" s="42">
        <v>0</v>
      </c>
      <c r="G646" s="42">
        <v>0</v>
      </c>
      <c r="H646" s="42">
        <v>6459.63</v>
      </c>
      <c r="I646" s="42">
        <v>0</v>
      </c>
      <c r="J646" s="42">
        <v>1942.8</v>
      </c>
      <c r="K646" s="43">
        <v>23313.56</v>
      </c>
      <c r="L646" s="32">
        <v>25256.36</v>
      </c>
      <c r="M646" s="33"/>
      <c r="N646" s="30">
        <v>23313.56</v>
      </c>
      <c r="O646" s="30">
        <v>16853.93</v>
      </c>
      <c r="P646" s="30">
        <v>2287.8000000000002</v>
      </c>
      <c r="Q646" s="30">
        <f>(N646+O646*0.18+J646)+(IF((P646-O646*0.18)&gt;0,(P646-O646*0.18),0))</f>
        <v>28290.0674</v>
      </c>
      <c r="R646" s="7"/>
      <c r="S646" s="7"/>
      <c r="T646" s="7"/>
      <c r="U646" s="7"/>
      <c r="V646" s="7"/>
      <c r="W646" s="7"/>
      <c r="X646" s="7"/>
      <c r="Y646" s="7"/>
      <c r="Z646" s="7"/>
    </row>
    <row r="647" spans="1:26" ht="9" customHeight="1" x14ac:dyDescent="0.2">
      <c r="A647" s="95"/>
      <c r="B647" s="95"/>
      <c r="C647" s="34" t="s">
        <v>37</v>
      </c>
      <c r="D647" s="35">
        <v>20</v>
      </c>
      <c r="E647" s="36">
        <v>32633759</v>
      </c>
      <c r="F647" s="36">
        <v>0</v>
      </c>
      <c r="G647" s="36">
        <v>0</v>
      </c>
      <c r="H647" s="36">
        <v>12507588</v>
      </c>
      <c r="I647" s="36">
        <v>0</v>
      </c>
      <c r="J647" s="37">
        <v>3761785</v>
      </c>
      <c r="K647" s="36">
        <v>45141347</v>
      </c>
      <c r="L647" s="38">
        <v>48903132</v>
      </c>
      <c r="M647" s="39"/>
      <c r="N647" s="36">
        <v>45141347</v>
      </c>
      <c r="O647" s="36">
        <v>32633759</v>
      </c>
      <c r="P647" s="36">
        <v>4429799</v>
      </c>
      <c r="Q647" s="36">
        <f>Q646*1936.27</f>
        <v>54777208.804597996</v>
      </c>
      <c r="R647" s="7"/>
      <c r="S647" s="7"/>
      <c r="T647" s="7"/>
      <c r="U647" s="7"/>
      <c r="V647" s="7"/>
      <c r="W647" s="7"/>
      <c r="X647" s="7"/>
      <c r="Y647" s="7"/>
      <c r="Z647" s="7"/>
    </row>
    <row r="648" spans="1:26" ht="12.75" customHeight="1" x14ac:dyDescent="0.2">
      <c r="A648" s="95"/>
      <c r="B648" s="95"/>
      <c r="C648" s="40" t="s">
        <v>36</v>
      </c>
      <c r="D648" s="41">
        <v>21</v>
      </c>
      <c r="E648" s="42">
        <v>18778.52</v>
      </c>
      <c r="F648" s="42">
        <v>0</v>
      </c>
      <c r="G648" s="42">
        <v>0</v>
      </c>
      <c r="H648" s="42">
        <v>6459.63</v>
      </c>
      <c r="I648" s="42">
        <v>0</v>
      </c>
      <c r="J648" s="42">
        <v>2103.1799999999998</v>
      </c>
      <c r="K648" s="43">
        <v>25238.15</v>
      </c>
      <c r="L648" s="32">
        <v>27341.33</v>
      </c>
      <c r="M648" s="33"/>
      <c r="N648" s="30">
        <v>25238.15</v>
      </c>
      <c r="O648" s="30">
        <v>18778.52</v>
      </c>
      <c r="P648" s="30">
        <v>2287.8000000000002</v>
      </c>
      <c r="Q648" s="30">
        <f>(N648+O648*0.18+J648)+(IF((P648-O648*0.18)&gt;0,(P648-O648*0.18),0))</f>
        <v>30721.463600000003</v>
      </c>
      <c r="R648" s="7"/>
      <c r="S648" s="7"/>
      <c r="T648" s="7"/>
      <c r="U648" s="7"/>
      <c r="V648" s="7"/>
      <c r="W648" s="7"/>
      <c r="X648" s="7"/>
      <c r="Y648" s="7"/>
      <c r="Z648" s="7"/>
    </row>
    <row r="649" spans="1:26" ht="9" customHeight="1" x14ac:dyDescent="0.2">
      <c r="A649" s="95"/>
      <c r="B649" s="95"/>
      <c r="C649" s="34" t="s">
        <v>37</v>
      </c>
      <c r="D649" s="35">
        <v>27</v>
      </c>
      <c r="E649" s="36">
        <v>36360285</v>
      </c>
      <c r="F649" s="36">
        <v>0</v>
      </c>
      <c r="G649" s="36">
        <v>0</v>
      </c>
      <c r="H649" s="36">
        <v>12507588</v>
      </c>
      <c r="I649" s="36">
        <v>0</v>
      </c>
      <c r="J649" s="37">
        <v>4072324</v>
      </c>
      <c r="K649" s="36">
        <v>48867873</v>
      </c>
      <c r="L649" s="38">
        <v>52940197</v>
      </c>
      <c r="M649" s="39"/>
      <c r="N649" s="36">
        <v>48867873</v>
      </c>
      <c r="O649" s="36">
        <v>36360285</v>
      </c>
      <c r="P649" s="36">
        <v>4429799</v>
      </c>
      <c r="Q649" s="36">
        <f>Q648*1936.27</f>
        <v>59485048.324772008</v>
      </c>
      <c r="R649" s="7"/>
      <c r="S649" s="7"/>
      <c r="T649" s="7"/>
      <c r="U649" s="7"/>
      <c r="V649" s="7"/>
      <c r="W649" s="7"/>
      <c r="X649" s="7"/>
      <c r="Y649" s="7"/>
      <c r="Z649" s="7"/>
    </row>
    <row r="650" spans="1:26" ht="12.75" customHeight="1" x14ac:dyDescent="0.2">
      <c r="A650" s="95"/>
      <c r="B650" s="95"/>
      <c r="C650" s="40" t="s">
        <v>36</v>
      </c>
      <c r="D650" s="41">
        <v>28</v>
      </c>
      <c r="E650" s="42">
        <v>20666.689999999999</v>
      </c>
      <c r="F650" s="42">
        <v>0</v>
      </c>
      <c r="G650" s="42">
        <v>0</v>
      </c>
      <c r="H650" s="42">
        <v>6459.63</v>
      </c>
      <c r="I650" s="42">
        <v>0</v>
      </c>
      <c r="J650" s="42">
        <v>2260.5300000000002</v>
      </c>
      <c r="K650" s="43">
        <v>27126.32</v>
      </c>
      <c r="L650" s="32">
        <v>29386.85</v>
      </c>
      <c r="M650" s="33"/>
      <c r="N650" s="30">
        <v>27126.32</v>
      </c>
      <c r="O650" s="30">
        <v>20666.689999999999</v>
      </c>
      <c r="P650" s="30">
        <v>2870.04</v>
      </c>
      <c r="Q650" s="30">
        <f>(N650+O650*0.18+J650)+(IF((P650-O650*0.18)&gt;0,(P650-O650*0.18),0))</f>
        <v>33106.854200000002</v>
      </c>
      <c r="R650" s="7"/>
      <c r="S650" s="7"/>
      <c r="T650" s="7"/>
      <c r="U650" s="7"/>
      <c r="V650" s="7"/>
      <c r="W650" s="7"/>
      <c r="X650" s="7"/>
      <c r="Y650" s="7"/>
      <c r="Z650" s="7"/>
    </row>
    <row r="651" spans="1:26" ht="9" customHeight="1" x14ac:dyDescent="0.2">
      <c r="A651" s="95"/>
      <c r="B651" s="95"/>
      <c r="C651" s="34" t="s">
        <v>37</v>
      </c>
      <c r="D651" s="35">
        <v>34</v>
      </c>
      <c r="E651" s="36">
        <v>40016292</v>
      </c>
      <c r="F651" s="36">
        <v>0</v>
      </c>
      <c r="G651" s="36">
        <v>0</v>
      </c>
      <c r="H651" s="36">
        <v>12507588</v>
      </c>
      <c r="I651" s="36">
        <v>0</v>
      </c>
      <c r="J651" s="37">
        <v>4376996</v>
      </c>
      <c r="K651" s="36">
        <v>52523880</v>
      </c>
      <c r="L651" s="38">
        <v>56900876</v>
      </c>
      <c r="M651" s="39"/>
      <c r="N651" s="36">
        <v>52523880</v>
      </c>
      <c r="O651" s="36">
        <v>40016292</v>
      </c>
      <c r="P651" s="36">
        <v>5557172</v>
      </c>
      <c r="Q651" s="36">
        <f>Q650*1936.27</f>
        <v>64103808.581834003</v>
      </c>
      <c r="R651" s="7"/>
      <c r="S651" s="7"/>
      <c r="T651" s="7"/>
      <c r="U651" s="7"/>
      <c r="V651" s="7"/>
      <c r="W651" s="7"/>
      <c r="X651" s="7"/>
      <c r="Y651" s="7"/>
      <c r="Z651" s="7"/>
    </row>
    <row r="652" spans="1:26" ht="12.75" customHeight="1" x14ac:dyDescent="0.2">
      <c r="A652" s="95"/>
      <c r="B652" s="95"/>
      <c r="C652" s="40" t="s">
        <v>36</v>
      </c>
      <c r="D652" s="41">
        <v>35</v>
      </c>
      <c r="E652" s="42">
        <v>22066.13</v>
      </c>
      <c r="F652" s="42">
        <v>0</v>
      </c>
      <c r="G652" s="42">
        <v>0</v>
      </c>
      <c r="H652" s="42">
        <v>6459.63</v>
      </c>
      <c r="I652" s="42">
        <v>0</v>
      </c>
      <c r="J652" s="42">
        <v>2377.15</v>
      </c>
      <c r="K652" s="43">
        <v>28525.759999999998</v>
      </c>
      <c r="L652" s="32">
        <v>30902.91</v>
      </c>
      <c r="M652" s="33"/>
      <c r="N652" s="30">
        <v>28525.759999999998</v>
      </c>
      <c r="O652" s="30">
        <v>22066.13</v>
      </c>
      <c r="P652" s="30">
        <v>2870.04</v>
      </c>
      <c r="Q652" s="30">
        <f>(N652+O652*0.18+J652)+(IF((P652-O652*0.18)&gt;0,(P652-O652*0.18),0))</f>
        <v>34874.813399999999</v>
      </c>
      <c r="R652" s="7"/>
      <c r="S652" s="7"/>
      <c r="T652" s="7"/>
      <c r="U652" s="7"/>
      <c r="V652" s="7"/>
      <c r="W652" s="7"/>
      <c r="X652" s="7"/>
      <c r="Y652" s="7"/>
      <c r="Z652" s="7"/>
    </row>
    <row r="653" spans="1:26" ht="9" customHeight="1" x14ac:dyDescent="0.2">
      <c r="A653" s="110"/>
      <c r="B653" s="110"/>
      <c r="C653" s="47" t="s">
        <v>37</v>
      </c>
      <c r="D653" s="48"/>
      <c r="E653" s="46">
        <v>42725986</v>
      </c>
      <c r="F653" s="46">
        <v>0</v>
      </c>
      <c r="G653" s="46">
        <v>0</v>
      </c>
      <c r="H653" s="46">
        <v>12507588</v>
      </c>
      <c r="I653" s="46">
        <v>0</v>
      </c>
      <c r="J653" s="49">
        <v>4602804</v>
      </c>
      <c r="K653" s="46">
        <v>55233573</v>
      </c>
      <c r="L653" s="38">
        <v>59836378</v>
      </c>
      <c r="M653" s="39"/>
      <c r="N653" s="36">
        <v>55233573</v>
      </c>
      <c r="O653" s="36">
        <v>42725986</v>
      </c>
      <c r="P653" s="36">
        <v>5557172</v>
      </c>
      <c r="Q653" s="36">
        <f>Q652*1936.27</f>
        <v>67527054.942018002</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98">
        <v>38718</v>
      </c>
      <c r="B660" s="98">
        <v>39082</v>
      </c>
      <c r="C660" s="28" t="s">
        <v>36</v>
      </c>
      <c r="D660" s="29">
        <v>0</v>
      </c>
      <c r="E660" s="30">
        <v>12711.24</v>
      </c>
      <c r="F660" s="30">
        <v>0</v>
      </c>
      <c r="G660" s="30">
        <v>0</v>
      </c>
      <c r="H660" s="30">
        <v>6459.63</v>
      </c>
      <c r="I660" s="30">
        <v>0</v>
      </c>
      <c r="J660" s="30">
        <v>1597.57</v>
      </c>
      <c r="K660" s="31">
        <v>19170.87</v>
      </c>
      <c r="L660" s="32">
        <v>20768.439999999999</v>
      </c>
      <c r="M660" s="33"/>
      <c r="N660" s="30">
        <v>19170.87</v>
      </c>
      <c r="O660" s="30">
        <v>12711.24</v>
      </c>
      <c r="P660" s="30">
        <v>1968</v>
      </c>
      <c r="Q660" s="30">
        <f>(N660+O660*0.18+J660)+(IF((P660-O660*0.18)&gt;0,(P660-O660*0.18),0))</f>
        <v>23056.463199999998</v>
      </c>
      <c r="R660" s="7"/>
      <c r="S660" s="7"/>
      <c r="T660" s="7"/>
      <c r="U660" s="7"/>
      <c r="V660" s="7"/>
      <c r="W660" s="7"/>
      <c r="X660" s="7"/>
      <c r="Y660" s="7"/>
      <c r="Z660" s="7"/>
    </row>
    <row r="661" spans="1:26" ht="9" customHeight="1" x14ac:dyDescent="0.2">
      <c r="A661" s="95"/>
      <c r="B661" s="95"/>
      <c r="C661" s="34" t="s">
        <v>37</v>
      </c>
      <c r="D661" s="35">
        <v>2</v>
      </c>
      <c r="E661" s="36">
        <v>24612393</v>
      </c>
      <c r="F661" s="36">
        <v>0</v>
      </c>
      <c r="G661" s="36">
        <v>0</v>
      </c>
      <c r="H661" s="36">
        <v>12507588</v>
      </c>
      <c r="I661" s="36">
        <v>0</v>
      </c>
      <c r="J661" s="37">
        <v>3093327</v>
      </c>
      <c r="K661" s="36">
        <v>37119980</v>
      </c>
      <c r="L661" s="50">
        <v>40213307</v>
      </c>
      <c r="M661" s="39"/>
      <c r="N661" s="36">
        <v>37119980</v>
      </c>
      <c r="O661" s="36">
        <v>24612393</v>
      </c>
      <c r="P661" s="36">
        <v>3810579</v>
      </c>
      <c r="Q661" s="36">
        <f>Q660*1936.27</f>
        <v>44643538.000263996</v>
      </c>
      <c r="R661" s="7"/>
      <c r="S661" s="7"/>
      <c r="T661" s="7"/>
      <c r="U661" s="7"/>
      <c r="V661" s="7"/>
      <c r="W661" s="7"/>
      <c r="X661" s="7"/>
      <c r="Y661" s="7"/>
      <c r="Z661" s="7"/>
    </row>
    <row r="662" spans="1:26" ht="12.75" customHeight="1" x14ac:dyDescent="0.2">
      <c r="A662" s="156">
        <v>38718</v>
      </c>
      <c r="B662" s="156">
        <v>39082</v>
      </c>
      <c r="C662" s="40" t="s">
        <v>36</v>
      </c>
      <c r="D662" s="41">
        <v>3</v>
      </c>
      <c r="E662" s="30">
        <v>13240.58</v>
      </c>
      <c r="F662" s="30">
        <v>0</v>
      </c>
      <c r="G662" s="30">
        <v>0</v>
      </c>
      <c r="H662" s="30">
        <v>6459.63</v>
      </c>
      <c r="I662" s="30">
        <v>0</v>
      </c>
      <c r="J662" s="42">
        <v>1641.68</v>
      </c>
      <c r="K662" s="43">
        <v>19700.21</v>
      </c>
      <c r="L662" s="51">
        <v>21341.89</v>
      </c>
      <c r="M662" s="33"/>
      <c r="N662" s="30">
        <v>19700.21</v>
      </c>
      <c r="O662" s="30">
        <v>13240.58</v>
      </c>
      <c r="P662" s="30">
        <v>1968</v>
      </c>
      <c r="Q662" s="30">
        <f>(N662+O662*0.18+J662)+(IF((P662-O662*0.18)&gt;0,(P662-O662*0.18),0))</f>
        <v>23725.1944</v>
      </c>
      <c r="R662" s="7"/>
      <c r="S662" s="7"/>
      <c r="T662" s="7"/>
      <c r="U662" s="7"/>
      <c r="V662" s="7"/>
      <c r="W662" s="7"/>
      <c r="X662" s="7"/>
      <c r="Y662" s="7"/>
      <c r="Z662" s="7"/>
    </row>
    <row r="663" spans="1:26" ht="9" customHeight="1" x14ac:dyDescent="0.2">
      <c r="A663" s="95"/>
      <c r="B663" s="95"/>
      <c r="C663" s="34" t="s">
        <v>37</v>
      </c>
      <c r="D663" s="35">
        <v>8</v>
      </c>
      <c r="E663" s="36">
        <v>25637338</v>
      </c>
      <c r="F663" s="36">
        <v>0</v>
      </c>
      <c r="G663" s="36">
        <v>0</v>
      </c>
      <c r="H663" s="36">
        <v>12507588</v>
      </c>
      <c r="I663" s="36">
        <v>0</v>
      </c>
      <c r="J663" s="37">
        <v>3178736</v>
      </c>
      <c r="K663" s="36">
        <v>38144926</v>
      </c>
      <c r="L663" s="50">
        <v>41323661</v>
      </c>
      <c r="M663" s="39"/>
      <c r="N663" s="36">
        <v>38144926</v>
      </c>
      <c r="O663" s="36">
        <v>25637338</v>
      </c>
      <c r="P663" s="36">
        <v>3810579</v>
      </c>
      <c r="Q663" s="36">
        <f>Q662*1936.27</f>
        <v>45938382.160888001</v>
      </c>
      <c r="R663" s="7"/>
      <c r="S663" s="7"/>
      <c r="T663" s="7"/>
      <c r="U663" s="7"/>
      <c r="V663" s="7"/>
      <c r="W663" s="7"/>
      <c r="X663" s="7"/>
      <c r="Y663" s="7"/>
      <c r="Z663" s="7"/>
    </row>
    <row r="664" spans="1:26" ht="12.75" customHeight="1" x14ac:dyDescent="0.2">
      <c r="A664" s="95"/>
      <c r="B664" s="95"/>
      <c r="C664" s="40" t="s">
        <v>36</v>
      </c>
      <c r="D664" s="41">
        <v>9</v>
      </c>
      <c r="E664" s="30">
        <v>14970.3</v>
      </c>
      <c r="F664" s="30">
        <v>0</v>
      </c>
      <c r="G664" s="30">
        <v>0</v>
      </c>
      <c r="H664" s="30">
        <v>6459.63</v>
      </c>
      <c r="I664" s="30">
        <v>0</v>
      </c>
      <c r="J664" s="42">
        <v>1785.83</v>
      </c>
      <c r="K664" s="43">
        <v>21429.93</v>
      </c>
      <c r="L664" s="51">
        <v>23215.759999999998</v>
      </c>
      <c r="M664" s="33"/>
      <c r="N664" s="30">
        <v>21429.93</v>
      </c>
      <c r="O664" s="30">
        <v>14970.3</v>
      </c>
      <c r="P664" s="30">
        <v>1968</v>
      </c>
      <c r="Q664" s="30">
        <f>(N664+O664*0.18+J664)+(IF((P664-O664*0.18)&gt;0,(P664-O664*0.18),0))</f>
        <v>25910.413999999997</v>
      </c>
      <c r="R664" s="7"/>
      <c r="S664" s="7"/>
      <c r="T664" s="7"/>
      <c r="U664" s="7"/>
      <c r="V664" s="7"/>
      <c r="W664" s="7"/>
      <c r="X664" s="7"/>
      <c r="Y664" s="7"/>
      <c r="Z664" s="7"/>
    </row>
    <row r="665" spans="1:26" ht="9" customHeight="1" x14ac:dyDescent="0.2">
      <c r="A665" s="95"/>
      <c r="B665" s="95"/>
      <c r="C665" s="34" t="s">
        <v>37</v>
      </c>
      <c r="D665" s="35">
        <v>14</v>
      </c>
      <c r="E665" s="36">
        <v>28986543</v>
      </c>
      <c r="F665" s="36">
        <v>0</v>
      </c>
      <c r="G665" s="36">
        <v>0</v>
      </c>
      <c r="H665" s="36">
        <v>12507588</v>
      </c>
      <c r="I665" s="36">
        <v>0</v>
      </c>
      <c r="J665" s="37">
        <v>3457849</v>
      </c>
      <c r="K665" s="36">
        <v>41494131</v>
      </c>
      <c r="L665" s="50">
        <v>44951980</v>
      </c>
      <c r="M665" s="39"/>
      <c r="N665" s="36">
        <v>41494131</v>
      </c>
      <c r="O665" s="36">
        <v>28986543</v>
      </c>
      <c r="P665" s="36">
        <v>3810579</v>
      </c>
      <c r="Q665" s="36">
        <f>Q664*1936.27</f>
        <v>50169557.315779991</v>
      </c>
      <c r="R665" s="7"/>
      <c r="S665" s="7"/>
      <c r="T665" s="7"/>
      <c r="U665" s="7"/>
      <c r="V665" s="7"/>
      <c r="W665" s="7"/>
      <c r="X665" s="7"/>
      <c r="Y665" s="7"/>
      <c r="Z665" s="7"/>
    </row>
    <row r="666" spans="1:26" ht="12.75" customHeight="1" x14ac:dyDescent="0.2">
      <c r="A666" s="95"/>
      <c r="B666" s="95"/>
      <c r="C666" s="40" t="s">
        <v>36</v>
      </c>
      <c r="D666" s="41">
        <v>15</v>
      </c>
      <c r="E666" s="30">
        <v>16961.93</v>
      </c>
      <c r="F666" s="30">
        <v>0</v>
      </c>
      <c r="G666" s="30">
        <v>0</v>
      </c>
      <c r="H666" s="30">
        <v>6459.63</v>
      </c>
      <c r="I666" s="30">
        <v>0</v>
      </c>
      <c r="J666" s="42">
        <v>1951.8</v>
      </c>
      <c r="K666" s="43">
        <v>23421.56</v>
      </c>
      <c r="L666" s="51">
        <v>25373.360000000001</v>
      </c>
      <c r="M666" s="33"/>
      <c r="N666" s="30">
        <v>23421.56</v>
      </c>
      <c r="O666" s="30">
        <v>16961.93</v>
      </c>
      <c r="P666" s="30">
        <v>2424</v>
      </c>
      <c r="Q666" s="30">
        <f>(N666+O666*0.18+J666)+(IF((P666-O666*0.18)&gt;0,(P666-O666*0.18),0))</f>
        <v>28426.507399999999</v>
      </c>
      <c r="R666" s="7"/>
      <c r="S666" s="7"/>
      <c r="T666" s="7"/>
      <c r="U666" s="7"/>
      <c r="V666" s="7"/>
      <c r="W666" s="7"/>
      <c r="X666" s="7"/>
      <c r="Y666" s="7"/>
      <c r="Z666" s="7"/>
    </row>
    <row r="667" spans="1:26" ht="9" customHeight="1" x14ac:dyDescent="0.2">
      <c r="A667" s="95"/>
      <c r="B667" s="95"/>
      <c r="C667" s="34" t="s">
        <v>37</v>
      </c>
      <c r="D667" s="35">
        <v>20</v>
      </c>
      <c r="E667" s="36">
        <v>32842876</v>
      </c>
      <c r="F667" s="36">
        <v>0</v>
      </c>
      <c r="G667" s="36">
        <v>0</v>
      </c>
      <c r="H667" s="36">
        <v>12507588</v>
      </c>
      <c r="I667" s="36">
        <v>0</v>
      </c>
      <c r="J667" s="37">
        <v>3779212</v>
      </c>
      <c r="K667" s="36">
        <v>45350464</v>
      </c>
      <c r="L667" s="50">
        <v>49129676</v>
      </c>
      <c r="M667" s="39"/>
      <c r="N667" s="36">
        <v>45350464</v>
      </c>
      <c r="O667" s="36">
        <v>32842876</v>
      </c>
      <c r="P667" s="36">
        <v>4693518</v>
      </c>
      <c r="Q667" s="36">
        <f>Q666*1936.27</f>
        <v>55041393.483397998</v>
      </c>
      <c r="R667" s="7"/>
      <c r="S667" s="7"/>
      <c r="T667" s="7"/>
      <c r="U667" s="7"/>
      <c r="V667" s="7"/>
      <c r="W667" s="7"/>
      <c r="X667" s="7"/>
      <c r="Y667" s="7"/>
      <c r="Z667" s="7"/>
    </row>
    <row r="668" spans="1:26" ht="12.75" customHeight="1" x14ac:dyDescent="0.2">
      <c r="A668" s="95"/>
      <c r="B668" s="95"/>
      <c r="C668" s="40" t="s">
        <v>36</v>
      </c>
      <c r="D668" s="41">
        <v>21</v>
      </c>
      <c r="E668" s="30">
        <v>18895.400000000001</v>
      </c>
      <c r="F668" s="30">
        <v>0</v>
      </c>
      <c r="G668" s="30">
        <v>0</v>
      </c>
      <c r="H668" s="30">
        <v>6459.63</v>
      </c>
      <c r="I668" s="30">
        <v>0</v>
      </c>
      <c r="J668" s="42">
        <v>2112.92</v>
      </c>
      <c r="K668" s="43">
        <v>25355.03</v>
      </c>
      <c r="L668" s="51">
        <v>27467.95</v>
      </c>
      <c r="M668" s="33"/>
      <c r="N668" s="30">
        <v>25355.03</v>
      </c>
      <c r="O668" s="30">
        <v>18895.400000000001</v>
      </c>
      <c r="P668" s="30">
        <v>2424</v>
      </c>
      <c r="Q668" s="30">
        <f>(N668+O668*0.18+J668)+(IF((P668-O668*0.18)&gt;0,(P668-O668*0.18),0))</f>
        <v>30869.121999999996</v>
      </c>
      <c r="R668" s="7"/>
      <c r="S668" s="7"/>
      <c r="T668" s="7"/>
      <c r="U668" s="7"/>
      <c r="V668" s="7"/>
      <c r="W668" s="7"/>
      <c r="X668" s="7"/>
      <c r="Y668" s="7"/>
      <c r="Z668" s="7"/>
    </row>
    <row r="669" spans="1:26" ht="9" customHeight="1" x14ac:dyDescent="0.2">
      <c r="A669" s="95"/>
      <c r="B669" s="95"/>
      <c r="C669" s="34" t="s">
        <v>37</v>
      </c>
      <c r="D669" s="35">
        <v>27</v>
      </c>
      <c r="E669" s="36">
        <v>36586596</v>
      </c>
      <c r="F669" s="36">
        <v>0</v>
      </c>
      <c r="G669" s="36">
        <v>0</v>
      </c>
      <c r="H669" s="36">
        <v>12507588</v>
      </c>
      <c r="I669" s="36">
        <v>0</v>
      </c>
      <c r="J669" s="37">
        <v>4091184</v>
      </c>
      <c r="K669" s="36">
        <v>49094184</v>
      </c>
      <c r="L669" s="50">
        <v>53185368</v>
      </c>
      <c r="M669" s="39"/>
      <c r="N669" s="36">
        <v>49094184</v>
      </c>
      <c r="O669" s="36">
        <v>36586596</v>
      </c>
      <c r="P669" s="36">
        <v>4693518</v>
      </c>
      <c r="Q669" s="36">
        <f>Q668*1936.27</f>
        <v>59770954.85493999</v>
      </c>
      <c r="R669" s="7"/>
      <c r="S669" s="7"/>
      <c r="T669" s="7"/>
      <c r="U669" s="7"/>
      <c r="V669" s="7"/>
      <c r="W669" s="7"/>
      <c r="X669" s="7"/>
      <c r="Y669" s="7"/>
      <c r="Z669" s="7"/>
    </row>
    <row r="670" spans="1:26" ht="12.75" customHeight="1" x14ac:dyDescent="0.2">
      <c r="A670" s="95"/>
      <c r="B670" s="95"/>
      <c r="C670" s="40" t="s">
        <v>36</v>
      </c>
      <c r="D670" s="41">
        <v>28</v>
      </c>
      <c r="E670" s="30">
        <v>20792.330000000002</v>
      </c>
      <c r="F670" s="30">
        <v>0</v>
      </c>
      <c r="G670" s="30">
        <v>0</v>
      </c>
      <c r="H670" s="30">
        <v>6459.63</v>
      </c>
      <c r="I670" s="30">
        <v>0</v>
      </c>
      <c r="J670" s="42">
        <v>2271</v>
      </c>
      <c r="K670" s="43">
        <v>27251.96</v>
      </c>
      <c r="L670" s="51">
        <v>29522.959999999999</v>
      </c>
      <c r="M670" s="33"/>
      <c r="N670" s="30">
        <v>27251.96</v>
      </c>
      <c r="O670" s="30">
        <v>20792.330000000002</v>
      </c>
      <c r="P670" s="30">
        <v>3090</v>
      </c>
      <c r="Q670" s="30">
        <f>(N670+O670*0.18+J670)+(IF((P670-O670*0.18)&gt;0,(P670-O670*0.18),0))</f>
        <v>33265.579400000002</v>
      </c>
      <c r="R670" s="7"/>
      <c r="S670" s="7"/>
      <c r="T670" s="7"/>
      <c r="U670" s="7"/>
      <c r="V670" s="7"/>
      <c r="W670" s="7"/>
      <c r="X670" s="7"/>
      <c r="Y670" s="7"/>
      <c r="Z670" s="7"/>
    </row>
    <row r="671" spans="1:26" ht="9" customHeight="1" x14ac:dyDescent="0.2">
      <c r="A671" s="95"/>
      <c r="B671" s="95"/>
      <c r="C671" s="34" t="s">
        <v>37</v>
      </c>
      <c r="D671" s="35">
        <v>34</v>
      </c>
      <c r="E671" s="36">
        <v>40259565</v>
      </c>
      <c r="F671" s="36">
        <v>0</v>
      </c>
      <c r="G671" s="36">
        <v>0</v>
      </c>
      <c r="H671" s="36">
        <v>12507588</v>
      </c>
      <c r="I671" s="36">
        <v>0</v>
      </c>
      <c r="J671" s="37">
        <v>4397269</v>
      </c>
      <c r="K671" s="36">
        <v>52767153</v>
      </c>
      <c r="L671" s="50">
        <v>57164422</v>
      </c>
      <c r="M671" s="39"/>
      <c r="N671" s="36">
        <v>52767153</v>
      </c>
      <c r="O671" s="36">
        <v>40259565</v>
      </c>
      <c r="P671" s="36">
        <v>5983074</v>
      </c>
      <c r="Q671" s="36">
        <f>Q670*1936.27</f>
        <v>64411143.424838006</v>
      </c>
      <c r="R671" s="7"/>
      <c r="S671" s="7"/>
      <c r="T671" s="7"/>
      <c r="U671" s="7"/>
      <c r="V671" s="7"/>
      <c r="W671" s="7"/>
      <c r="X671" s="7"/>
      <c r="Y671" s="7"/>
      <c r="Z671" s="7"/>
    </row>
    <row r="672" spans="1:26" ht="12.75" customHeight="1" x14ac:dyDescent="0.2">
      <c r="A672" s="95"/>
      <c r="B672" s="95"/>
      <c r="C672" s="40" t="s">
        <v>36</v>
      </c>
      <c r="D672" s="41">
        <v>35</v>
      </c>
      <c r="E672" s="30">
        <v>22198.25</v>
      </c>
      <c r="F672" s="30">
        <v>0</v>
      </c>
      <c r="G672" s="30">
        <v>0</v>
      </c>
      <c r="H672" s="30">
        <v>6459.63</v>
      </c>
      <c r="I672" s="30">
        <v>0</v>
      </c>
      <c r="J672" s="42">
        <v>2388.16</v>
      </c>
      <c r="K672" s="43">
        <v>28657.88</v>
      </c>
      <c r="L672" s="51">
        <v>31046.04</v>
      </c>
      <c r="M672" s="33"/>
      <c r="N672" s="30">
        <v>28657.88</v>
      </c>
      <c r="O672" s="30">
        <v>22198.25</v>
      </c>
      <c r="P672" s="30">
        <v>3090</v>
      </c>
      <c r="Q672" s="30">
        <f>(N672+O672*0.18+J672)+(IF((P672-O672*0.18)&gt;0,(P672-O672*0.18),0))</f>
        <v>35041.725000000006</v>
      </c>
      <c r="R672" s="7"/>
      <c r="S672" s="7"/>
      <c r="T672" s="7"/>
      <c r="U672" s="7"/>
      <c r="V672" s="7"/>
      <c r="W672" s="7"/>
      <c r="X672" s="7"/>
      <c r="Y672" s="7"/>
      <c r="Z672" s="7"/>
    </row>
    <row r="673" spans="1:26" ht="9" customHeight="1" x14ac:dyDescent="0.2">
      <c r="A673" s="110"/>
      <c r="B673" s="110"/>
      <c r="C673" s="47" t="s">
        <v>37</v>
      </c>
      <c r="D673" s="48"/>
      <c r="E673" s="36">
        <v>42981806</v>
      </c>
      <c r="F673" s="36">
        <v>0</v>
      </c>
      <c r="G673" s="36">
        <v>0</v>
      </c>
      <c r="H673" s="36">
        <v>12507588</v>
      </c>
      <c r="I673" s="36">
        <v>0</v>
      </c>
      <c r="J673" s="49">
        <v>4624123</v>
      </c>
      <c r="K673" s="46">
        <v>55489393</v>
      </c>
      <c r="L673" s="52">
        <v>60113516</v>
      </c>
      <c r="M673" s="39"/>
      <c r="N673" s="36">
        <v>55489393</v>
      </c>
      <c r="O673" s="36">
        <v>42981806</v>
      </c>
      <c r="P673" s="36">
        <v>5983074</v>
      </c>
      <c r="Q673" s="36">
        <f>Q672*1936.27</f>
        <v>67850240.865750015</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6"/>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6"/>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6"/>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6"/>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6"/>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6"/>
      <c r="M679" s="39"/>
      <c r="N679" s="96"/>
      <c r="O679" s="96"/>
      <c r="P679" s="96"/>
      <c r="Q679" s="96"/>
      <c r="R679" s="7"/>
      <c r="S679" s="7"/>
      <c r="T679" s="7"/>
      <c r="U679" s="7"/>
      <c r="V679" s="7"/>
      <c r="W679" s="7"/>
      <c r="X679" s="7"/>
      <c r="Y679" s="7"/>
      <c r="Z679" s="7"/>
    </row>
    <row r="680" spans="1:26" ht="12.75" customHeight="1" x14ac:dyDescent="0.2">
      <c r="A680" s="98">
        <v>39083</v>
      </c>
      <c r="B680" s="98">
        <v>39113</v>
      </c>
      <c r="C680" s="28" t="s">
        <v>36</v>
      </c>
      <c r="D680" s="29">
        <v>0</v>
      </c>
      <c r="E680" s="30">
        <v>13076.04</v>
      </c>
      <c r="F680" s="30">
        <v>0</v>
      </c>
      <c r="G680" s="30">
        <v>0</v>
      </c>
      <c r="H680" s="30">
        <v>6459.63</v>
      </c>
      <c r="I680" s="30">
        <v>0</v>
      </c>
      <c r="J680" s="30">
        <v>1627.97</v>
      </c>
      <c r="K680" s="31">
        <v>19535.669999999998</v>
      </c>
      <c r="L680" s="32">
        <v>21163.64</v>
      </c>
      <c r="M680" s="33"/>
      <c r="N680" s="30">
        <v>19535.669999999998</v>
      </c>
      <c r="O680" s="30">
        <v>13076.04</v>
      </c>
      <c r="P680" s="30">
        <v>1968</v>
      </c>
      <c r="Q680" s="30">
        <f>(N680+O680*0.18+J680)+(IF((P680-O680*0.18)&gt;0,(P680-O680*0.18),0))</f>
        <v>23517.3272</v>
      </c>
      <c r="R680" s="7"/>
      <c r="S680" s="7"/>
      <c r="T680" s="7"/>
      <c r="U680" s="7"/>
      <c r="V680" s="7"/>
      <c r="W680" s="7"/>
      <c r="X680" s="7"/>
      <c r="Y680" s="7"/>
      <c r="Z680" s="7"/>
    </row>
    <row r="681" spans="1:26" ht="9" customHeight="1" x14ac:dyDescent="0.2">
      <c r="A681" s="95"/>
      <c r="B681" s="95"/>
      <c r="C681" s="34" t="s">
        <v>37</v>
      </c>
      <c r="D681" s="35">
        <v>2</v>
      </c>
      <c r="E681" s="36">
        <v>25318744</v>
      </c>
      <c r="F681" s="36">
        <v>0</v>
      </c>
      <c r="G681" s="36">
        <v>0</v>
      </c>
      <c r="H681" s="36">
        <v>12507588</v>
      </c>
      <c r="I681" s="36">
        <v>0</v>
      </c>
      <c r="J681" s="37">
        <v>3152189</v>
      </c>
      <c r="K681" s="36">
        <v>37826332</v>
      </c>
      <c r="L681" s="50">
        <v>40978521</v>
      </c>
      <c r="M681" s="39"/>
      <c r="N681" s="36">
        <v>37826332</v>
      </c>
      <c r="O681" s="36">
        <v>25318744</v>
      </c>
      <c r="P681" s="36">
        <v>3810579</v>
      </c>
      <c r="Q681" s="36">
        <f>Q680*1936.27</f>
        <v>45535895.137543999</v>
      </c>
      <c r="R681" s="7"/>
      <c r="S681" s="7"/>
      <c r="T681" s="7"/>
      <c r="U681" s="7"/>
      <c r="V681" s="7"/>
      <c r="W681" s="7"/>
      <c r="X681" s="7"/>
      <c r="Y681" s="7"/>
      <c r="Z681" s="7"/>
    </row>
    <row r="682" spans="1:26" ht="12.75" customHeight="1" x14ac:dyDescent="0.2">
      <c r="A682" s="156">
        <v>39083</v>
      </c>
      <c r="B682" s="156">
        <v>39113</v>
      </c>
      <c r="C682" s="40" t="s">
        <v>36</v>
      </c>
      <c r="D682" s="41">
        <v>3</v>
      </c>
      <c r="E682" s="30">
        <v>13615.58</v>
      </c>
      <c r="F682" s="30">
        <v>0</v>
      </c>
      <c r="G682" s="30">
        <v>0</v>
      </c>
      <c r="H682" s="30">
        <v>6459.63</v>
      </c>
      <c r="I682" s="30">
        <v>0</v>
      </c>
      <c r="J682" s="42">
        <v>1672.93</v>
      </c>
      <c r="K682" s="43">
        <v>20075.21</v>
      </c>
      <c r="L682" s="51">
        <v>21839.14</v>
      </c>
      <c r="M682" s="33"/>
      <c r="N682" s="30">
        <v>20075.21</v>
      </c>
      <c r="O682" s="30">
        <v>13615.58</v>
      </c>
      <c r="P682" s="30">
        <v>1968</v>
      </c>
      <c r="Q682" s="30">
        <f>(N682+O682*0.18+J682)+(IF((P682-O682*0.18)&gt;0,(P682-O682*0.18),0))</f>
        <v>24198.9444</v>
      </c>
      <c r="R682" s="7"/>
      <c r="S682" s="7"/>
      <c r="T682" s="7"/>
      <c r="U682" s="7"/>
      <c r="V682" s="7"/>
      <c r="W682" s="7"/>
      <c r="X682" s="7"/>
      <c r="Y682" s="7"/>
      <c r="Z682" s="7"/>
    </row>
    <row r="683" spans="1:26" ht="9" customHeight="1" x14ac:dyDescent="0.2">
      <c r="A683" s="95"/>
      <c r="B683" s="95"/>
      <c r="C683" s="34" t="s">
        <v>37</v>
      </c>
      <c r="D683" s="35">
        <v>8</v>
      </c>
      <c r="E683" s="36">
        <v>26526086</v>
      </c>
      <c r="F683" s="36">
        <v>0</v>
      </c>
      <c r="G683" s="36">
        <v>0</v>
      </c>
      <c r="H683" s="36">
        <v>12507588</v>
      </c>
      <c r="I683" s="36">
        <v>0</v>
      </c>
      <c r="J683" s="37">
        <v>3252798</v>
      </c>
      <c r="K683" s="36">
        <v>39033674</v>
      </c>
      <c r="L683" s="50">
        <v>42286472</v>
      </c>
      <c r="M683" s="39"/>
      <c r="N683" s="36">
        <v>38871027</v>
      </c>
      <c r="O683" s="36">
        <v>26363439</v>
      </c>
      <c r="P683" s="36">
        <v>3810579</v>
      </c>
      <c r="Q683" s="36">
        <f>Q682*1936.27</f>
        <v>46855690.073388003</v>
      </c>
      <c r="R683" s="7"/>
      <c r="S683" s="7"/>
      <c r="T683" s="7"/>
      <c r="U683" s="7"/>
      <c r="V683" s="7"/>
      <c r="W683" s="7"/>
      <c r="X683" s="7"/>
      <c r="Y683" s="7"/>
      <c r="Z683" s="7"/>
    </row>
    <row r="684" spans="1:26" ht="12.75" customHeight="1" x14ac:dyDescent="0.2">
      <c r="A684" s="95"/>
      <c r="B684" s="95"/>
      <c r="C684" s="40" t="s">
        <v>36</v>
      </c>
      <c r="D684" s="41">
        <v>9</v>
      </c>
      <c r="E684" s="30">
        <v>15378.18</v>
      </c>
      <c r="F684" s="30">
        <v>0</v>
      </c>
      <c r="G684" s="30">
        <v>0</v>
      </c>
      <c r="H684" s="30">
        <v>6459.63</v>
      </c>
      <c r="I684" s="30">
        <v>0</v>
      </c>
      <c r="J684" s="42">
        <v>1819.82</v>
      </c>
      <c r="K684" s="43">
        <v>21837.81</v>
      </c>
      <c r="L684" s="51">
        <v>23657.63</v>
      </c>
      <c r="M684" s="33"/>
      <c r="N684" s="30">
        <v>21837.81</v>
      </c>
      <c r="O684" s="30">
        <v>15378.18</v>
      </c>
      <c r="P684" s="30">
        <v>1968</v>
      </c>
      <c r="Q684" s="30">
        <f>(N684+O684*0.18+J684)+(IF((P684-O684*0.18)&gt;0,(P684-O684*0.18),0))</f>
        <v>26425.702400000002</v>
      </c>
      <c r="R684" s="7"/>
      <c r="S684" s="7"/>
      <c r="T684" s="7"/>
      <c r="U684" s="7"/>
      <c r="V684" s="7"/>
      <c r="W684" s="7"/>
      <c r="X684" s="7"/>
      <c r="Y684" s="7"/>
      <c r="Z684" s="7"/>
    </row>
    <row r="685" spans="1:26" ht="9" customHeight="1" x14ac:dyDescent="0.2">
      <c r="A685" s="95"/>
      <c r="B685" s="95"/>
      <c r="C685" s="34" t="s">
        <v>37</v>
      </c>
      <c r="D685" s="35">
        <v>14</v>
      </c>
      <c r="E685" s="36">
        <v>29776309</v>
      </c>
      <c r="F685" s="36">
        <v>0</v>
      </c>
      <c r="G685" s="36">
        <v>0</v>
      </c>
      <c r="H685" s="36">
        <v>12507588</v>
      </c>
      <c r="I685" s="36">
        <v>0</v>
      </c>
      <c r="J685" s="37">
        <v>3523663</v>
      </c>
      <c r="K685" s="36">
        <v>42283896</v>
      </c>
      <c r="L685" s="50">
        <v>45807559</v>
      </c>
      <c r="M685" s="39"/>
      <c r="N685" s="36">
        <v>42283896</v>
      </c>
      <c r="O685" s="36">
        <v>29776309</v>
      </c>
      <c r="P685" s="36">
        <v>3810579</v>
      </c>
      <c r="Q685" s="36">
        <f>Q684*1936.27</f>
        <v>51167294.786048003</v>
      </c>
      <c r="R685" s="7"/>
      <c r="S685" s="7"/>
      <c r="T685" s="7"/>
      <c r="U685" s="7"/>
      <c r="V685" s="7"/>
      <c r="W685" s="7"/>
      <c r="X685" s="7"/>
      <c r="Y685" s="7"/>
      <c r="Z685" s="7"/>
    </row>
    <row r="686" spans="1:26" ht="12.75" customHeight="1" x14ac:dyDescent="0.2">
      <c r="A686" s="95"/>
      <c r="B686" s="95"/>
      <c r="C686" s="40" t="s">
        <v>36</v>
      </c>
      <c r="D686" s="41">
        <v>15</v>
      </c>
      <c r="E686" s="30">
        <v>17407.73</v>
      </c>
      <c r="F686" s="30">
        <v>0</v>
      </c>
      <c r="G686" s="30">
        <v>0</v>
      </c>
      <c r="H686" s="30">
        <v>6459.63</v>
      </c>
      <c r="I686" s="30">
        <v>0</v>
      </c>
      <c r="J686" s="42">
        <v>1988.95</v>
      </c>
      <c r="K686" s="43">
        <v>23867.360000000001</v>
      </c>
      <c r="L686" s="51">
        <v>25856.31</v>
      </c>
      <c r="M686" s="33"/>
      <c r="N686" s="30">
        <v>23867.360000000001</v>
      </c>
      <c r="O686" s="30">
        <v>17407.73</v>
      </c>
      <c r="P686" s="30">
        <v>2424</v>
      </c>
      <c r="Q686" s="30">
        <f>(N686+O686*0.18+J686)+(IF((P686-O686*0.18)&gt;0,(P686-O686*0.18),0))</f>
        <v>28989.701400000002</v>
      </c>
      <c r="R686" s="7"/>
      <c r="S686" s="7"/>
      <c r="T686" s="7"/>
      <c r="U686" s="7"/>
      <c r="V686" s="7"/>
      <c r="W686" s="7"/>
      <c r="X686" s="7"/>
      <c r="Y686" s="7"/>
      <c r="Z686" s="7"/>
    </row>
    <row r="687" spans="1:26" ht="9" customHeight="1" x14ac:dyDescent="0.2">
      <c r="A687" s="95"/>
      <c r="B687" s="95"/>
      <c r="C687" s="34" t="s">
        <v>37</v>
      </c>
      <c r="D687" s="35">
        <v>20</v>
      </c>
      <c r="E687" s="36">
        <v>33706065</v>
      </c>
      <c r="F687" s="36">
        <v>0</v>
      </c>
      <c r="G687" s="36">
        <v>0</v>
      </c>
      <c r="H687" s="36">
        <v>12507588</v>
      </c>
      <c r="I687" s="36">
        <v>0</v>
      </c>
      <c r="J687" s="37">
        <v>3851144</v>
      </c>
      <c r="K687" s="36">
        <v>46213653</v>
      </c>
      <c r="L687" s="50">
        <v>50064797</v>
      </c>
      <c r="M687" s="39"/>
      <c r="N687" s="36">
        <v>46213653</v>
      </c>
      <c r="O687" s="36">
        <v>33706065</v>
      </c>
      <c r="P687" s="36">
        <v>4693518</v>
      </c>
      <c r="Q687" s="36">
        <f>Q686*1936.27</f>
        <v>56131889.129778005</v>
      </c>
      <c r="R687" s="7"/>
      <c r="S687" s="7"/>
      <c r="T687" s="7"/>
      <c r="U687" s="7"/>
      <c r="V687" s="7"/>
      <c r="W687" s="7"/>
      <c r="X687" s="7"/>
      <c r="Y687" s="7"/>
      <c r="Z687" s="7"/>
    </row>
    <row r="688" spans="1:26" ht="12.75" customHeight="1" x14ac:dyDescent="0.2">
      <c r="A688" s="95"/>
      <c r="B688" s="95"/>
      <c r="C688" s="40" t="s">
        <v>36</v>
      </c>
      <c r="D688" s="41">
        <v>21</v>
      </c>
      <c r="E688" s="30">
        <v>19378.04</v>
      </c>
      <c r="F688" s="30">
        <v>0</v>
      </c>
      <c r="G688" s="30">
        <v>0</v>
      </c>
      <c r="H688" s="30">
        <v>6459.63</v>
      </c>
      <c r="I688" s="30">
        <v>0</v>
      </c>
      <c r="J688" s="42">
        <v>2153.14</v>
      </c>
      <c r="K688" s="43">
        <v>25837.67</v>
      </c>
      <c r="L688" s="51">
        <v>27990.81</v>
      </c>
      <c r="M688" s="33"/>
      <c r="N688" s="30">
        <v>25837.67</v>
      </c>
      <c r="O688" s="30">
        <v>19378.04</v>
      </c>
      <c r="P688" s="30">
        <v>2424</v>
      </c>
      <c r="Q688" s="30">
        <f>(N688+O688*0.18+J688)+(IF((P688-O688*0.18)&gt;0,(P688-O688*0.18),0))</f>
        <v>31478.857199999999</v>
      </c>
      <c r="R688" s="7"/>
      <c r="S688" s="7"/>
      <c r="T688" s="7"/>
      <c r="U688" s="7"/>
      <c r="V688" s="7"/>
      <c r="W688" s="7"/>
      <c r="X688" s="7"/>
      <c r="Y688" s="7"/>
      <c r="Z688" s="7"/>
    </row>
    <row r="689" spans="1:26" ht="9" customHeight="1" x14ac:dyDescent="0.2">
      <c r="A689" s="95"/>
      <c r="B689" s="95"/>
      <c r="C689" s="34" t="s">
        <v>37</v>
      </c>
      <c r="D689" s="35">
        <v>27</v>
      </c>
      <c r="E689" s="36">
        <v>37521118</v>
      </c>
      <c r="F689" s="36">
        <v>0</v>
      </c>
      <c r="G689" s="36">
        <v>0</v>
      </c>
      <c r="H689" s="36">
        <v>12507588</v>
      </c>
      <c r="I689" s="36">
        <v>0</v>
      </c>
      <c r="J689" s="37">
        <v>4169060</v>
      </c>
      <c r="K689" s="36">
        <v>50028705</v>
      </c>
      <c r="L689" s="50">
        <v>54197766</v>
      </c>
      <c r="M689" s="39"/>
      <c r="N689" s="36">
        <v>50028705</v>
      </c>
      <c r="O689" s="36">
        <v>37521118</v>
      </c>
      <c r="P689" s="36">
        <v>4693518</v>
      </c>
      <c r="Q689" s="36">
        <f>Q688*1936.27</f>
        <v>60951566.830643997</v>
      </c>
      <c r="R689" s="7"/>
      <c r="S689" s="7"/>
      <c r="T689" s="7"/>
      <c r="U689" s="7"/>
      <c r="V689" s="7"/>
      <c r="W689" s="7"/>
      <c r="X689" s="7"/>
      <c r="Y689" s="7"/>
      <c r="Z689" s="7"/>
    </row>
    <row r="690" spans="1:26" ht="12.75" customHeight="1" x14ac:dyDescent="0.2">
      <c r="A690" s="95"/>
      <c r="B690" s="95"/>
      <c r="C690" s="40" t="s">
        <v>36</v>
      </c>
      <c r="D690" s="41">
        <v>28</v>
      </c>
      <c r="E690" s="30">
        <v>21311.09</v>
      </c>
      <c r="F690" s="30">
        <v>0</v>
      </c>
      <c r="G690" s="30">
        <v>0</v>
      </c>
      <c r="H690" s="30">
        <v>6459.63</v>
      </c>
      <c r="I690" s="30">
        <v>0</v>
      </c>
      <c r="J690" s="42">
        <v>2314.23</v>
      </c>
      <c r="K690" s="43">
        <v>27770.720000000001</v>
      </c>
      <c r="L690" s="51">
        <v>30084.95</v>
      </c>
      <c r="M690" s="33"/>
      <c r="N690" s="30">
        <v>27770.720000000001</v>
      </c>
      <c r="O690" s="30">
        <v>21311.09</v>
      </c>
      <c r="P690" s="30">
        <v>3090</v>
      </c>
      <c r="Q690" s="30">
        <f>(N690+O690*0.18+J690)+(IF((P690-O690*0.18)&gt;0,(P690-O690*0.18),0))</f>
        <v>33920.946200000006</v>
      </c>
      <c r="R690" s="7"/>
      <c r="S690" s="7"/>
      <c r="T690" s="7"/>
      <c r="U690" s="7"/>
      <c r="V690" s="7"/>
      <c r="W690" s="7"/>
      <c r="X690" s="7"/>
      <c r="Y690" s="7"/>
      <c r="Z690" s="7"/>
    </row>
    <row r="691" spans="1:26" ht="9" customHeight="1" x14ac:dyDescent="0.2">
      <c r="A691" s="95"/>
      <c r="B691" s="95"/>
      <c r="C691" s="34" t="s">
        <v>37</v>
      </c>
      <c r="D691" s="35">
        <v>34</v>
      </c>
      <c r="E691" s="36">
        <v>41264024</v>
      </c>
      <c r="F691" s="36">
        <v>0</v>
      </c>
      <c r="G691" s="36">
        <v>0</v>
      </c>
      <c r="H691" s="36">
        <v>12507588</v>
      </c>
      <c r="I691" s="36">
        <v>0</v>
      </c>
      <c r="J691" s="37">
        <v>4480974</v>
      </c>
      <c r="K691" s="36">
        <v>53771612</v>
      </c>
      <c r="L691" s="50">
        <v>58252586</v>
      </c>
      <c r="M691" s="39"/>
      <c r="N691" s="36">
        <v>53771612</v>
      </c>
      <c r="O691" s="36">
        <v>41264024</v>
      </c>
      <c r="P691" s="36">
        <v>5983074</v>
      </c>
      <c r="Q691" s="36">
        <f>Q690*1936.27</f>
        <v>65680110.498674013</v>
      </c>
      <c r="R691" s="7"/>
      <c r="S691" s="7"/>
      <c r="T691" s="7"/>
      <c r="U691" s="7"/>
      <c r="V691" s="7"/>
      <c r="W691" s="7"/>
      <c r="X691" s="7"/>
      <c r="Y691" s="7"/>
      <c r="Z691" s="7"/>
    </row>
    <row r="692" spans="1:26" ht="12.75" customHeight="1" x14ac:dyDescent="0.2">
      <c r="A692" s="95"/>
      <c r="B692" s="95"/>
      <c r="C692" s="40" t="s">
        <v>36</v>
      </c>
      <c r="D692" s="41">
        <v>35</v>
      </c>
      <c r="E692" s="30">
        <v>22743.77</v>
      </c>
      <c r="F692" s="30">
        <v>0</v>
      </c>
      <c r="G692" s="30">
        <v>0</v>
      </c>
      <c r="H692" s="30">
        <v>6459.63</v>
      </c>
      <c r="I692" s="30">
        <v>0</v>
      </c>
      <c r="J692" s="42">
        <v>2433.62</v>
      </c>
      <c r="K692" s="43">
        <v>29203.4</v>
      </c>
      <c r="L692" s="51">
        <v>31637.02</v>
      </c>
      <c r="M692" s="33"/>
      <c r="N692" s="30">
        <v>29203.4</v>
      </c>
      <c r="O692" s="30">
        <v>22743.77</v>
      </c>
      <c r="P692" s="30">
        <v>3090</v>
      </c>
      <c r="Q692" s="30">
        <f>(N692+O692*0.18+J692)+(IF((P692-O692*0.18)&gt;0,(P692-O692*0.18),0))</f>
        <v>35730.898600000008</v>
      </c>
      <c r="R692" s="7"/>
      <c r="S692" s="7"/>
      <c r="T692" s="7"/>
      <c r="U692" s="7"/>
      <c r="V692" s="7"/>
      <c r="W692" s="7"/>
      <c r="X692" s="7"/>
      <c r="Y692" s="7"/>
      <c r="Z692" s="7"/>
    </row>
    <row r="693" spans="1:26" ht="9" customHeight="1" x14ac:dyDescent="0.2">
      <c r="A693" s="110"/>
      <c r="B693" s="110"/>
      <c r="C693" s="47" t="s">
        <v>37</v>
      </c>
      <c r="D693" s="48"/>
      <c r="E693" s="36">
        <v>44038080</v>
      </c>
      <c r="F693" s="36">
        <v>0</v>
      </c>
      <c r="G693" s="36">
        <v>0</v>
      </c>
      <c r="H693" s="36">
        <v>12507588</v>
      </c>
      <c r="I693" s="36">
        <v>0</v>
      </c>
      <c r="J693" s="49">
        <v>4712145</v>
      </c>
      <c r="K693" s="46">
        <v>56545667</v>
      </c>
      <c r="L693" s="52">
        <v>61257813</v>
      </c>
      <c r="M693" s="39"/>
      <c r="N693" s="36">
        <v>56545667</v>
      </c>
      <c r="O693" s="36">
        <v>44038080</v>
      </c>
      <c r="P693" s="36">
        <v>5983074</v>
      </c>
      <c r="Q693" s="36">
        <f>Q692*1936.27</f>
        <v>69184667.032222018</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6"/>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6"/>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6"/>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6"/>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6"/>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6"/>
      <c r="M699" s="39"/>
      <c r="N699" s="96"/>
      <c r="O699" s="96"/>
      <c r="P699" s="96"/>
      <c r="Q699" s="96"/>
      <c r="R699" s="7"/>
      <c r="S699" s="7"/>
      <c r="T699" s="7"/>
      <c r="U699" s="7"/>
      <c r="V699" s="7"/>
      <c r="W699" s="7"/>
      <c r="X699" s="7"/>
      <c r="Y699" s="7"/>
      <c r="Z699" s="7"/>
    </row>
    <row r="700" spans="1:26" ht="12.75" customHeight="1" x14ac:dyDescent="0.2">
      <c r="A700" s="98">
        <v>39114</v>
      </c>
      <c r="B700" s="98">
        <v>39446</v>
      </c>
      <c r="C700" s="28" t="s">
        <v>36</v>
      </c>
      <c r="D700" s="29">
        <v>0</v>
      </c>
      <c r="E700" s="30">
        <v>13608.72</v>
      </c>
      <c r="F700" s="30">
        <v>0</v>
      </c>
      <c r="G700" s="30">
        <v>0</v>
      </c>
      <c r="H700" s="30">
        <v>6459.63</v>
      </c>
      <c r="I700" s="30">
        <v>0</v>
      </c>
      <c r="J700" s="30">
        <v>1672.36</v>
      </c>
      <c r="K700" s="31">
        <v>20068.349999999999</v>
      </c>
      <c r="L700" s="32">
        <v>21740.71</v>
      </c>
      <c r="M700" s="33"/>
      <c r="N700" s="30">
        <v>20068.349999999999</v>
      </c>
      <c r="O700" s="30">
        <v>13608.72</v>
      </c>
      <c r="P700" s="30">
        <v>1968</v>
      </c>
      <c r="Q700" s="30">
        <f>(N700+O700*0.18+J700)+(IF((P700-O700*0.18)&gt;0,(P700-O700*0.18),0))</f>
        <v>24190.279599999998</v>
      </c>
      <c r="R700" s="7"/>
      <c r="S700" s="7"/>
      <c r="T700" s="7"/>
      <c r="U700" s="7"/>
      <c r="V700" s="7"/>
      <c r="W700" s="7"/>
      <c r="X700" s="7"/>
      <c r="Y700" s="7"/>
      <c r="Z700" s="7"/>
    </row>
    <row r="701" spans="1:26" ht="9" customHeight="1" x14ac:dyDescent="0.2">
      <c r="A701" s="95"/>
      <c r="B701" s="95"/>
      <c r="C701" s="34" t="s">
        <v>37</v>
      </c>
      <c r="D701" s="35">
        <v>2</v>
      </c>
      <c r="E701" s="36">
        <v>26350156</v>
      </c>
      <c r="F701" s="36">
        <v>0</v>
      </c>
      <c r="G701" s="36">
        <v>0</v>
      </c>
      <c r="H701" s="36">
        <v>12507588</v>
      </c>
      <c r="I701" s="36">
        <v>0</v>
      </c>
      <c r="J701" s="37">
        <v>3238140</v>
      </c>
      <c r="K701" s="36">
        <v>38857744</v>
      </c>
      <c r="L701" s="50">
        <v>42095885</v>
      </c>
      <c r="M701" s="39"/>
      <c r="N701" s="36">
        <v>38857744</v>
      </c>
      <c r="O701" s="36">
        <v>26350156</v>
      </c>
      <c r="P701" s="36">
        <v>3810579</v>
      </c>
      <c r="Q701" s="36">
        <f>Q700*1936.27</f>
        <v>46838912.681091994</v>
      </c>
      <c r="R701" s="7"/>
      <c r="S701" s="7"/>
      <c r="T701" s="7"/>
      <c r="U701" s="7"/>
      <c r="V701" s="7"/>
      <c r="W701" s="7"/>
      <c r="X701" s="7"/>
      <c r="Y701" s="7"/>
      <c r="Z701" s="7"/>
    </row>
    <row r="702" spans="1:26" ht="12.75" customHeight="1" x14ac:dyDescent="0.2">
      <c r="A702" s="156">
        <v>39114</v>
      </c>
      <c r="B702" s="156">
        <v>39446</v>
      </c>
      <c r="C702" s="40" t="s">
        <v>36</v>
      </c>
      <c r="D702" s="41">
        <v>3</v>
      </c>
      <c r="E702" s="30">
        <v>14162.78</v>
      </c>
      <c r="F702" s="30">
        <v>0</v>
      </c>
      <c r="G702" s="30">
        <v>0</v>
      </c>
      <c r="H702" s="30">
        <v>6459.63</v>
      </c>
      <c r="I702" s="30">
        <v>0</v>
      </c>
      <c r="J702" s="42">
        <v>1718.53</v>
      </c>
      <c r="K702" s="43">
        <v>20622.41</v>
      </c>
      <c r="L702" s="51">
        <v>22431.94</v>
      </c>
      <c r="M702" s="33"/>
      <c r="N702" s="30">
        <v>20622.41</v>
      </c>
      <c r="O702" s="30">
        <v>14162.78</v>
      </c>
      <c r="P702" s="30">
        <v>1968</v>
      </c>
      <c r="Q702" s="30">
        <f>(N702+O702*0.18+J702)+(IF((P702-O702*0.18)&gt;0,(P702-O702*0.18),0))</f>
        <v>24890.240399999999</v>
      </c>
      <c r="R702" s="7"/>
      <c r="S702" s="7"/>
      <c r="T702" s="7"/>
      <c r="U702" s="7"/>
      <c r="V702" s="7"/>
      <c r="W702" s="7"/>
      <c r="X702" s="7"/>
      <c r="Y702" s="7"/>
      <c r="Z702" s="7"/>
    </row>
    <row r="703" spans="1:26" ht="9" customHeight="1" x14ac:dyDescent="0.2">
      <c r="A703" s="95"/>
      <c r="B703" s="95"/>
      <c r="C703" s="34" t="s">
        <v>37</v>
      </c>
      <c r="D703" s="35">
        <v>8</v>
      </c>
      <c r="E703" s="36">
        <v>27585613</v>
      </c>
      <c r="F703" s="36">
        <v>0</v>
      </c>
      <c r="G703" s="36">
        <v>0</v>
      </c>
      <c r="H703" s="36">
        <v>12507588</v>
      </c>
      <c r="I703" s="36">
        <v>0</v>
      </c>
      <c r="J703" s="37">
        <v>3341092</v>
      </c>
      <c r="K703" s="36">
        <v>40093200</v>
      </c>
      <c r="L703" s="50">
        <v>43434292</v>
      </c>
      <c r="M703" s="39"/>
      <c r="N703" s="36">
        <v>39930554</v>
      </c>
      <c r="O703" s="36">
        <v>27422966</v>
      </c>
      <c r="P703" s="36">
        <v>3810579</v>
      </c>
      <c r="Q703" s="36">
        <f>Q702*1936.27</f>
        <v>48194225.779307999</v>
      </c>
      <c r="R703" s="7"/>
      <c r="S703" s="7"/>
      <c r="T703" s="7"/>
      <c r="U703" s="7"/>
      <c r="V703" s="7"/>
      <c r="W703" s="7"/>
      <c r="X703" s="7"/>
      <c r="Y703" s="7"/>
      <c r="Z703" s="7"/>
    </row>
    <row r="704" spans="1:26" ht="12.75" customHeight="1" x14ac:dyDescent="0.2">
      <c r="A704" s="95"/>
      <c r="B704" s="95"/>
      <c r="C704" s="40" t="s">
        <v>36</v>
      </c>
      <c r="D704" s="41">
        <v>9</v>
      </c>
      <c r="E704" s="30">
        <v>15973.62</v>
      </c>
      <c r="F704" s="30">
        <v>0</v>
      </c>
      <c r="G704" s="30">
        <v>0</v>
      </c>
      <c r="H704" s="30">
        <v>6459.63</v>
      </c>
      <c r="I704" s="30">
        <v>0</v>
      </c>
      <c r="J704" s="42">
        <v>1869.44</v>
      </c>
      <c r="K704" s="43">
        <v>22433.25</v>
      </c>
      <c r="L704" s="51">
        <v>24302.69</v>
      </c>
      <c r="M704" s="33"/>
      <c r="N704" s="30">
        <v>22433.25</v>
      </c>
      <c r="O704" s="30">
        <v>15973.62</v>
      </c>
      <c r="P704" s="30">
        <v>1968</v>
      </c>
      <c r="Q704" s="30">
        <f>(N704+O704*0.18+J704)+(IF((P704-O704*0.18)&gt;0,(P704-O704*0.18),0))</f>
        <v>27177.941599999998</v>
      </c>
      <c r="R704" s="7"/>
      <c r="S704" s="7"/>
      <c r="T704" s="7"/>
      <c r="U704" s="7"/>
      <c r="V704" s="7"/>
      <c r="W704" s="7"/>
      <c r="X704" s="7"/>
      <c r="Y704" s="7"/>
      <c r="Z704" s="7"/>
    </row>
    <row r="705" spans="1:26" ht="9" customHeight="1" x14ac:dyDescent="0.2">
      <c r="A705" s="95"/>
      <c r="B705" s="95"/>
      <c r="C705" s="34" t="s">
        <v>37</v>
      </c>
      <c r="D705" s="35">
        <v>14</v>
      </c>
      <c r="E705" s="36">
        <v>30929241</v>
      </c>
      <c r="F705" s="36">
        <v>0</v>
      </c>
      <c r="G705" s="36">
        <v>0</v>
      </c>
      <c r="H705" s="36">
        <v>12507588</v>
      </c>
      <c r="I705" s="36">
        <v>0</v>
      </c>
      <c r="J705" s="37">
        <v>3619741</v>
      </c>
      <c r="K705" s="36">
        <v>43436829</v>
      </c>
      <c r="L705" s="50">
        <v>47056570</v>
      </c>
      <c r="M705" s="39"/>
      <c r="N705" s="36">
        <v>43436829</v>
      </c>
      <c r="O705" s="36">
        <v>30929241</v>
      </c>
      <c r="P705" s="36">
        <v>3810579</v>
      </c>
      <c r="Q705" s="36">
        <f>Q704*1936.27</f>
        <v>52623832.981831998</v>
      </c>
      <c r="R705" s="7"/>
      <c r="S705" s="7"/>
      <c r="T705" s="7"/>
      <c r="U705" s="7"/>
      <c r="V705" s="7"/>
      <c r="W705" s="7"/>
      <c r="X705" s="7"/>
      <c r="Y705" s="7"/>
      <c r="Z705" s="7"/>
    </row>
    <row r="706" spans="1:26" ht="12.75" customHeight="1" x14ac:dyDescent="0.2">
      <c r="A706" s="95"/>
      <c r="B706" s="95"/>
      <c r="C706" s="40" t="s">
        <v>36</v>
      </c>
      <c r="D706" s="41">
        <v>15</v>
      </c>
      <c r="E706" s="30">
        <v>18058.37</v>
      </c>
      <c r="F706" s="30">
        <v>0</v>
      </c>
      <c r="G706" s="30">
        <v>0</v>
      </c>
      <c r="H706" s="30">
        <v>6459.63</v>
      </c>
      <c r="I706" s="30">
        <v>0</v>
      </c>
      <c r="J706" s="42">
        <v>2043.17</v>
      </c>
      <c r="K706" s="43">
        <v>24518</v>
      </c>
      <c r="L706" s="51">
        <v>26561.17</v>
      </c>
      <c r="M706" s="33"/>
      <c r="N706" s="30">
        <v>24518</v>
      </c>
      <c r="O706" s="30">
        <v>18058.37</v>
      </c>
      <c r="P706" s="30">
        <v>2424</v>
      </c>
      <c r="Q706" s="30">
        <f>(N706+O706*0.18+J706)+(IF((P706-O706*0.18)&gt;0,(P706-O706*0.18),0))</f>
        <v>29811.676599999999</v>
      </c>
      <c r="R706" s="7"/>
      <c r="S706" s="7"/>
      <c r="T706" s="7"/>
      <c r="U706" s="7"/>
      <c r="V706" s="7"/>
      <c r="W706" s="7"/>
      <c r="X706" s="7"/>
      <c r="Y706" s="7"/>
      <c r="Z706" s="7"/>
    </row>
    <row r="707" spans="1:26" ht="9" customHeight="1" x14ac:dyDescent="0.2">
      <c r="A707" s="95"/>
      <c r="B707" s="95"/>
      <c r="C707" s="34" t="s">
        <v>37</v>
      </c>
      <c r="D707" s="35">
        <v>20</v>
      </c>
      <c r="E707" s="36">
        <v>34965880</v>
      </c>
      <c r="F707" s="36">
        <v>0</v>
      </c>
      <c r="G707" s="36">
        <v>0</v>
      </c>
      <c r="H707" s="36">
        <v>12507588</v>
      </c>
      <c r="I707" s="36">
        <v>0</v>
      </c>
      <c r="J707" s="37">
        <v>3956129</v>
      </c>
      <c r="K707" s="36">
        <v>47473468</v>
      </c>
      <c r="L707" s="50">
        <v>51429597</v>
      </c>
      <c r="M707" s="39"/>
      <c r="N707" s="36">
        <v>47473468</v>
      </c>
      <c r="O707" s="36">
        <v>34965880</v>
      </c>
      <c r="P707" s="36">
        <v>4693518</v>
      </c>
      <c r="Q707" s="36">
        <f>Q706*1936.27</f>
        <v>57723455.050281994</v>
      </c>
      <c r="R707" s="7"/>
      <c r="S707" s="7"/>
      <c r="T707" s="7"/>
      <c r="U707" s="7"/>
      <c r="V707" s="7"/>
      <c r="W707" s="7"/>
      <c r="X707" s="7"/>
      <c r="Y707" s="7"/>
      <c r="Z707" s="7"/>
    </row>
    <row r="708" spans="1:26" ht="12.75" customHeight="1" x14ac:dyDescent="0.2">
      <c r="A708" s="95"/>
      <c r="B708" s="95"/>
      <c r="C708" s="40" t="s">
        <v>36</v>
      </c>
      <c r="D708" s="41">
        <v>21</v>
      </c>
      <c r="E708" s="30">
        <v>20082.439999999999</v>
      </c>
      <c r="F708" s="30">
        <v>0</v>
      </c>
      <c r="G708" s="30">
        <v>0</v>
      </c>
      <c r="H708" s="30">
        <v>6459.63</v>
      </c>
      <c r="I708" s="30">
        <v>0</v>
      </c>
      <c r="J708" s="42">
        <v>2211.84</v>
      </c>
      <c r="K708" s="43">
        <v>26542.07</v>
      </c>
      <c r="L708" s="51">
        <v>28753.91</v>
      </c>
      <c r="M708" s="33"/>
      <c r="N708" s="30">
        <v>26542.07</v>
      </c>
      <c r="O708" s="30">
        <v>20082.439999999999</v>
      </c>
      <c r="P708" s="30">
        <v>2424</v>
      </c>
      <c r="Q708" s="30">
        <f>(N708+O708*0.18+J708)+(IF((P708-O708*0.18)&gt;0,(P708-O708*0.18),0))</f>
        <v>32368.749199999998</v>
      </c>
      <c r="R708" s="7"/>
      <c r="S708" s="7"/>
      <c r="T708" s="7"/>
      <c r="U708" s="7"/>
      <c r="V708" s="7"/>
      <c r="W708" s="7"/>
      <c r="X708" s="7"/>
      <c r="Y708" s="7"/>
      <c r="Z708" s="7"/>
    </row>
    <row r="709" spans="1:26" ht="9" customHeight="1" x14ac:dyDescent="0.2">
      <c r="A709" s="95"/>
      <c r="B709" s="95"/>
      <c r="C709" s="34" t="s">
        <v>37</v>
      </c>
      <c r="D709" s="35">
        <v>27</v>
      </c>
      <c r="E709" s="36">
        <v>38885026</v>
      </c>
      <c r="F709" s="36">
        <v>0</v>
      </c>
      <c r="G709" s="36">
        <v>0</v>
      </c>
      <c r="H709" s="36">
        <v>12507588</v>
      </c>
      <c r="I709" s="36">
        <v>0</v>
      </c>
      <c r="J709" s="37">
        <v>4282719</v>
      </c>
      <c r="K709" s="36">
        <v>51392614</v>
      </c>
      <c r="L709" s="50">
        <v>55675333</v>
      </c>
      <c r="M709" s="39"/>
      <c r="N709" s="36">
        <v>51392614</v>
      </c>
      <c r="O709" s="36">
        <v>38885026</v>
      </c>
      <c r="P709" s="36">
        <v>4693518</v>
      </c>
      <c r="Q709" s="36">
        <f>Q708*1936.27</f>
        <v>62674638.013483994</v>
      </c>
      <c r="R709" s="7"/>
      <c r="S709" s="7"/>
      <c r="T709" s="7"/>
      <c r="U709" s="7"/>
      <c r="V709" s="7"/>
      <c r="W709" s="7"/>
      <c r="X709" s="7"/>
      <c r="Y709" s="7"/>
      <c r="Z709" s="7"/>
    </row>
    <row r="710" spans="1:26" ht="12.75" customHeight="1" x14ac:dyDescent="0.2">
      <c r="A710" s="95"/>
      <c r="B710" s="95"/>
      <c r="C710" s="40" t="s">
        <v>36</v>
      </c>
      <c r="D710" s="41">
        <v>28</v>
      </c>
      <c r="E710" s="30">
        <v>22068.17</v>
      </c>
      <c r="F710" s="30">
        <v>0</v>
      </c>
      <c r="G710" s="30">
        <v>0</v>
      </c>
      <c r="H710" s="30">
        <v>6459.63</v>
      </c>
      <c r="I710" s="30">
        <v>0</v>
      </c>
      <c r="J710" s="42">
        <v>2377.3200000000002</v>
      </c>
      <c r="K710" s="43">
        <v>28527.8</v>
      </c>
      <c r="L710" s="51">
        <v>30905.119999999999</v>
      </c>
      <c r="M710" s="33"/>
      <c r="N710" s="30">
        <v>28527.8</v>
      </c>
      <c r="O710" s="30">
        <v>22068.17</v>
      </c>
      <c r="P710" s="30">
        <v>3090</v>
      </c>
      <c r="Q710" s="30">
        <f>(N710+O710*0.18+J710)+(IF((P710-O710*0.18)&gt;0,(P710-O710*0.18),0))</f>
        <v>34877.390599999999</v>
      </c>
      <c r="R710" s="7"/>
      <c r="S710" s="7"/>
      <c r="T710" s="7"/>
      <c r="U710" s="7"/>
      <c r="V710" s="7"/>
      <c r="W710" s="7"/>
      <c r="X710" s="7"/>
      <c r="Y710" s="7"/>
      <c r="Z710" s="7"/>
    </row>
    <row r="711" spans="1:26" ht="9" customHeight="1" x14ac:dyDescent="0.2">
      <c r="A711" s="95"/>
      <c r="B711" s="95"/>
      <c r="C711" s="34" t="s">
        <v>37</v>
      </c>
      <c r="D711" s="35">
        <v>34</v>
      </c>
      <c r="E711" s="36">
        <v>42729936</v>
      </c>
      <c r="F711" s="36">
        <v>0</v>
      </c>
      <c r="G711" s="36">
        <v>0</v>
      </c>
      <c r="H711" s="36">
        <v>12507588</v>
      </c>
      <c r="I711" s="36">
        <v>0</v>
      </c>
      <c r="J711" s="37">
        <v>4603133</v>
      </c>
      <c r="K711" s="36">
        <v>55237523</v>
      </c>
      <c r="L711" s="50">
        <v>59840657</v>
      </c>
      <c r="M711" s="39"/>
      <c r="N711" s="36">
        <v>55237523</v>
      </c>
      <c r="O711" s="36">
        <v>42729936</v>
      </c>
      <c r="P711" s="36">
        <v>5983074</v>
      </c>
      <c r="Q711" s="36">
        <f>Q710*1936.27</f>
        <v>67532045.097061992</v>
      </c>
      <c r="R711" s="7"/>
      <c r="S711" s="7"/>
      <c r="T711" s="7"/>
      <c r="U711" s="7"/>
      <c r="V711" s="7"/>
      <c r="W711" s="7"/>
      <c r="X711" s="7"/>
      <c r="Y711" s="7"/>
      <c r="Z711" s="7"/>
    </row>
    <row r="712" spans="1:26" ht="12.75" customHeight="1" x14ac:dyDescent="0.2">
      <c r="A712" s="95"/>
      <c r="B712" s="95"/>
      <c r="C712" s="40" t="s">
        <v>36</v>
      </c>
      <c r="D712" s="41">
        <v>35</v>
      </c>
      <c r="E712" s="30">
        <v>23539.85</v>
      </c>
      <c r="F712" s="30">
        <v>0</v>
      </c>
      <c r="G712" s="30">
        <v>0</v>
      </c>
      <c r="H712" s="30">
        <v>6459.63</v>
      </c>
      <c r="I712" s="30">
        <v>0</v>
      </c>
      <c r="J712" s="42">
        <v>2499.96</v>
      </c>
      <c r="K712" s="43">
        <v>29999.48</v>
      </c>
      <c r="L712" s="51">
        <v>32499.439999999999</v>
      </c>
      <c r="M712" s="33"/>
      <c r="N712" s="30">
        <v>29999.48</v>
      </c>
      <c r="O712" s="30">
        <v>23539.85</v>
      </c>
      <c r="P712" s="30">
        <v>3090</v>
      </c>
      <c r="Q712" s="30">
        <f>(N712+O712*0.18+J712)+(IF((P712-O712*0.18)&gt;0,(P712-O712*0.18),0))</f>
        <v>36736.612999999998</v>
      </c>
      <c r="R712" s="7"/>
      <c r="S712" s="7"/>
      <c r="T712" s="7"/>
      <c r="U712" s="7"/>
      <c r="V712" s="7"/>
      <c r="W712" s="7"/>
      <c r="X712" s="7"/>
      <c r="Y712" s="7"/>
      <c r="Z712" s="7"/>
    </row>
    <row r="713" spans="1:26" ht="9" customHeight="1" x14ac:dyDescent="0.2">
      <c r="A713" s="110"/>
      <c r="B713" s="110"/>
      <c r="C713" s="47" t="s">
        <v>37</v>
      </c>
      <c r="D713" s="48"/>
      <c r="E713" s="46">
        <v>45579505</v>
      </c>
      <c r="F713" s="46">
        <v>0</v>
      </c>
      <c r="G713" s="46">
        <v>0</v>
      </c>
      <c r="H713" s="46">
        <v>12507588</v>
      </c>
      <c r="I713" s="46">
        <v>0</v>
      </c>
      <c r="J713" s="49">
        <v>4840598</v>
      </c>
      <c r="K713" s="46">
        <v>58087093</v>
      </c>
      <c r="L713" s="52">
        <v>62927691</v>
      </c>
      <c r="M713" s="39"/>
      <c r="N713" s="36">
        <v>58087093</v>
      </c>
      <c r="O713" s="36">
        <v>45579505</v>
      </c>
      <c r="P713" s="36">
        <v>5983074</v>
      </c>
      <c r="Q713" s="36">
        <f>Q712*1936.27</f>
        <v>71132001.653509989</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6"/>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6"/>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6"/>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6"/>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6"/>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6"/>
      <c r="M719" s="39"/>
      <c r="N719" s="96"/>
      <c r="O719" s="96"/>
      <c r="P719" s="96"/>
      <c r="Q719" s="96"/>
      <c r="R719" s="7"/>
      <c r="S719" s="7"/>
      <c r="T719" s="7"/>
      <c r="U719" s="7"/>
      <c r="V719" s="7"/>
      <c r="W719" s="7"/>
      <c r="X719" s="7"/>
      <c r="Y719" s="7"/>
      <c r="Z719" s="7"/>
    </row>
    <row r="720" spans="1:26" ht="12.75" customHeight="1" x14ac:dyDescent="0.2">
      <c r="A720" s="98">
        <v>39447</v>
      </c>
      <c r="B720" s="98">
        <v>39538</v>
      </c>
      <c r="C720" s="28" t="s">
        <v>36</v>
      </c>
      <c r="D720" s="29">
        <v>0</v>
      </c>
      <c r="E720" s="30">
        <v>13737.6</v>
      </c>
      <c r="F720" s="30">
        <v>0</v>
      </c>
      <c r="G720" s="30">
        <v>0</v>
      </c>
      <c r="H720" s="30">
        <v>6459.63</v>
      </c>
      <c r="I720" s="30">
        <v>0</v>
      </c>
      <c r="J720" s="30">
        <v>1683.1</v>
      </c>
      <c r="K720" s="31">
        <v>20197.23</v>
      </c>
      <c r="L720" s="32">
        <v>21880.33</v>
      </c>
      <c r="M720" s="33"/>
      <c r="N720" s="30">
        <v>20197.23</v>
      </c>
      <c r="O720" s="30">
        <v>13737.6</v>
      </c>
      <c r="P720" s="30">
        <v>1968</v>
      </c>
      <c r="Q720" s="30">
        <f>(N720+O720*0.18+J720)+(IF((P720-O720*0.18)&gt;0,(P720-O720*0.18),0))</f>
        <v>24353.097999999998</v>
      </c>
      <c r="R720" s="7"/>
      <c r="S720" s="7"/>
      <c r="T720" s="7"/>
      <c r="U720" s="7"/>
      <c r="V720" s="7"/>
      <c r="W720" s="7"/>
      <c r="X720" s="7"/>
      <c r="Y720" s="7"/>
      <c r="Z720" s="7"/>
    </row>
    <row r="721" spans="1:26" ht="9" customHeight="1" x14ac:dyDescent="0.2">
      <c r="A721" s="95"/>
      <c r="B721" s="95"/>
      <c r="C721" s="34" t="s">
        <v>37</v>
      </c>
      <c r="D721" s="35">
        <v>2</v>
      </c>
      <c r="E721" s="36">
        <v>26599703</v>
      </c>
      <c r="F721" s="36">
        <v>0</v>
      </c>
      <c r="G721" s="36">
        <v>0</v>
      </c>
      <c r="H721" s="36">
        <v>12507588</v>
      </c>
      <c r="I721" s="36">
        <v>0</v>
      </c>
      <c r="J721" s="37">
        <v>3258936</v>
      </c>
      <c r="K721" s="36">
        <v>39107291</v>
      </c>
      <c r="L721" s="50">
        <v>42366227</v>
      </c>
      <c r="M721" s="39"/>
      <c r="N721" s="36">
        <v>39107291</v>
      </c>
      <c r="O721" s="36">
        <v>26599703</v>
      </c>
      <c r="P721" s="36">
        <v>3810579</v>
      </c>
      <c r="Q721" s="36">
        <f>Q720*1936.27</f>
        <v>47154173.064459994</v>
      </c>
      <c r="R721" s="7"/>
      <c r="S721" s="7"/>
      <c r="T721" s="7"/>
      <c r="U721" s="7"/>
      <c r="V721" s="7"/>
      <c r="W721" s="7"/>
      <c r="X721" s="7"/>
      <c r="Y721" s="7"/>
      <c r="Z721" s="7"/>
    </row>
    <row r="722" spans="1:26" ht="12.75" customHeight="1" x14ac:dyDescent="0.2">
      <c r="A722" s="156">
        <v>39447</v>
      </c>
      <c r="B722" s="156">
        <v>39538</v>
      </c>
      <c r="C722" s="40" t="s">
        <v>36</v>
      </c>
      <c r="D722" s="41">
        <v>3</v>
      </c>
      <c r="E722" s="30">
        <v>14295.14</v>
      </c>
      <c r="F722" s="30">
        <v>0</v>
      </c>
      <c r="G722" s="30">
        <v>0</v>
      </c>
      <c r="H722" s="30">
        <v>6459.63</v>
      </c>
      <c r="I722" s="30">
        <v>0</v>
      </c>
      <c r="J722" s="42">
        <v>1729.56</v>
      </c>
      <c r="K722" s="43">
        <v>20754.77</v>
      </c>
      <c r="L722" s="51">
        <v>22484.33</v>
      </c>
      <c r="M722" s="33"/>
      <c r="N722" s="30">
        <v>20754.77</v>
      </c>
      <c r="O722" s="30">
        <v>14295.14</v>
      </c>
      <c r="P722" s="30">
        <v>1968</v>
      </c>
      <c r="Q722" s="30">
        <f>(N722+O722*0.18+J722)+(IF((P722-O722*0.18)&gt;0,(P722-O722*0.18),0))</f>
        <v>25057.4552</v>
      </c>
      <c r="R722" s="7"/>
      <c r="S722" s="7"/>
      <c r="T722" s="7"/>
      <c r="U722" s="7"/>
      <c r="V722" s="7"/>
      <c r="W722" s="7"/>
      <c r="X722" s="7"/>
      <c r="Y722" s="7"/>
      <c r="Z722" s="7"/>
    </row>
    <row r="723" spans="1:26" ht="9" customHeight="1" x14ac:dyDescent="0.2">
      <c r="A723" s="95"/>
      <c r="B723" s="95"/>
      <c r="C723" s="34" t="s">
        <v>37</v>
      </c>
      <c r="D723" s="35">
        <v>8</v>
      </c>
      <c r="E723" s="36">
        <v>27679251</v>
      </c>
      <c r="F723" s="36">
        <v>0</v>
      </c>
      <c r="G723" s="36">
        <v>0</v>
      </c>
      <c r="H723" s="36">
        <v>12507588</v>
      </c>
      <c r="I723" s="36">
        <v>0</v>
      </c>
      <c r="J723" s="37">
        <v>3348895</v>
      </c>
      <c r="K723" s="36">
        <v>40186839</v>
      </c>
      <c r="L723" s="50">
        <v>43535734</v>
      </c>
      <c r="M723" s="39"/>
      <c r="N723" s="36">
        <v>40186839</v>
      </c>
      <c r="O723" s="36">
        <v>27679251</v>
      </c>
      <c r="P723" s="36">
        <v>3810579</v>
      </c>
      <c r="Q723" s="36">
        <f>Q722*1936.27</f>
        <v>48517998.780104004</v>
      </c>
      <c r="R723" s="7"/>
      <c r="S723" s="7"/>
      <c r="T723" s="7"/>
      <c r="U723" s="7"/>
      <c r="V723" s="7"/>
      <c r="W723" s="7"/>
      <c r="X723" s="7"/>
      <c r="Y723" s="7"/>
      <c r="Z723" s="7"/>
    </row>
    <row r="724" spans="1:26" ht="12.75" customHeight="1" x14ac:dyDescent="0.2">
      <c r="A724" s="95"/>
      <c r="B724" s="95"/>
      <c r="C724" s="40" t="s">
        <v>36</v>
      </c>
      <c r="D724" s="41">
        <v>9</v>
      </c>
      <c r="E724" s="30">
        <v>16117.62</v>
      </c>
      <c r="F724" s="30">
        <v>0</v>
      </c>
      <c r="G724" s="30">
        <v>0</v>
      </c>
      <c r="H724" s="30">
        <v>6459.63</v>
      </c>
      <c r="I724" s="30">
        <v>0</v>
      </c>
      <c r="J724" s="42">
        <v>1881.44</v>
      </c>
      <c r="K724" s="43">
        <v>22577.25</v>
      </c>
      <c r="L724" s="51">
        <v>24458.69</v>
      </c>
      <c r="M724" s="33"/>
      <c r="N724" s="30">
        <v>22577.25</v>
      </c>
      <c r="O724" s="30">
        <v>16117.62</v>
      </c>
      <c r="P724" s="30">
        <v>1968</v>
      </c>
      <c r="Q724" s="30">
        <f>(N724+O724*0.18+J724)+(IF((P724-O724*0.18)&gt;0,(P724-O724*0.18),0))</f>
        <v>27359.8616</v>
      </c>
      <c r="R724" s="7"/>
      <c r="S724" s="7"/>
      <c r="T724" s="7"/>
      <c r="U724" s="7"/>
      <c r="V724" s="7"/>
      <c r="W724" s="7"/>
      <c r="X724" s="7"/>
      <c r="Y724" s="7"/>
      <c r="Z724" s="7"/>
    </row>
    <row r="725" spans="1:26" ht="9" customHeight="1" x14ac:dyDescent="0.2">
      <c r="A725" s="95"/>
      <c r="B725" s="95"/>
      <c r="C725" s="34" t="s">
        <v>37</v>
      </c>
      <c r="D725" s="35">
        <v>14</v>
      </c>
      <c r="E725" s="36">
        <v>31208064</v>
      </c>
      <c r="F725" s="36">
        <v>0</v>
      </c>
      <c r="G725" s="36">
        <v>0</v>
      </c>
      <c r="H725" s="36">
        <v>12507588</v>
      </c>
      <c r="I725" s="36">
        <v>0</v>
      </c>
      <c r="J725" s="37">
        <v>3642976</v>
      </c>
      <c r="K725" s="36">
        <v>43715652</v>
      </c>
      <c r="L725" s="50">
        <v>47358628</v>
      </c>
      <c r="M725" s="39"/>
      <c r="N725" s="36">
        <v>43715652</v>
      </c>
      <c r="O725" s="36">
        <v>31208064</v>
      </c>
      <c r="P725" s="36">
        <v>3810579</v>
      </c>
      <c r="Q725" s="36">
        <f>Q724*1936.27</f>
        <v>52976079.220232002</v>
      </c>
      <c r="R725" s="7"/>
      <c r="S725" s="7"/>
      <c r="T725" s="7"/>
      <c r="U725" s="7"/>
      <c r="V725" s="7"/>
      <c r="W725" s="7"/>
      <c r="X725" s="7"/>
      <c r="Y725" s="7"/>
      <c r="Z725" s="7"/>
    </row>
    <row r="726" spans="1:26" ht="12.75" customHeight="1" x14ac:dyDescent="0.2">
      <c r="A726" s="95"/>
      <c r="B726" s="95"/>
      <c r="C726" s="40" t="s">
        <v>36</v>
      </c>
      <c r="D726" s="41">
        <v>15</v>
      </c>
      <c r="E726" s="30">
        <v>18215.689999999999</v>
      </c>
      <c r="F726" s="30">
        <v>0</v>
      </c>
      <c r="G726" s="30">
        <v>0</v>
      </c>
      <c r="H726" s="30">
        <v>6459.63</v>
      </c>
      <c r="I726" s="30">
        <v>0</v>
      </c>
      <c r="J726" s="42">
        <v>2056.2800000000002</v>
      </c>
      <c r="K726" s="43">
        <v>24675.32</v>
      </c>
      <c r="L726" s="51">
        <v>26731.599999999999</v>
      </c>
      <c r="M726" s="33"/>
      <c r="N726" s="30">
        <v>24675.32</v>
      </c>
      <c r="O726" s="30">
        <v>18215.689999999999</v>
      </c>
      <c r="P726" s="30">
        <v>2424</v>
      </c>
      <c r="Q726" s="30">
        <f>(N726+O726*0.18+J726)+(IF((P726-O726*0.18)&gt;0,(P726-O726*0.18),0))</f>
        <v>30010.424199999998</v>
      </c>
      <c r="R726" s="7"/>
      <c r="S726" s="7"/>
      <c r="T726" s="7"/>
      <c r="U726" s="7"/>
      <c r="V726" s="7"/>
      <c r="W726" s="7"/>
      <c r="X726" s="7"/>
      <c r="Y726" s="7"/>
      <c r="Z726" s="7"/>
    </row>
    <row r="727" spans="1:26" ht="9" customHeight="1" x14ac:dyDescent="0.2">
      <c r="A727" s="95"/>
      <c r="B727" s="95"/>
      <c r="C727" s="34" t="s">
        <v>37</v>
      </c>
      <c r="D727" s="35">
        <v>20</v>
      </c>
      <c r="E727" s="36">
        <v>35270494</v>
      </c>
      <c r="F727" s="36">
        <v>0</v>
      </c>
      <c r="G727" s="36">
        <v>0</v>
      </c>
      <c r="H727" s="36">
        <v>12507588</v>
      </c>
      <c r="I727" s="36">
        <v>0</v>
      </c>
      <c r="J727" s="37">
        <v>3981513</v>
      </c>
      <c r="K727" s="36">
        <v>47778082</v>
      </c>
      <c r="L727" s="50">
        <v>51759595</v>
      </c>
      <c r="M727" s="39"/>
      <c r="N727" s="36">
        <v>47778082</v>
      </c>
      <c r="O727" s="36">
        <v>35270494</v>
      </c>
      <c r="P727" s="36">
        <v>4693518</v>
      </c>
      <c r="Q727" s="36">
        <f>Q726*1936.27</f>
        <v>58108284.065733992</v>
      </c>
      <c r="R727" s="7"/>
      <c r="S727" s="7"/>
      <c r="T727" s="7"/>
      <c r="U727" s="7"/>
      <c r="V727" s="7"/>
      <c r="W727" s="7"/>
      <c r="X727" s="7"/>
      <c r="Y727" s="7"/>
      <c r="Z727" s="7"/>
    </row>
    <row r="728" spans="1:26" ht="12.75" customHeight="1" x14ac:dyDescent="0.2">
      <c r="A728" s="95"/>
      <c r="B728" s="95"/>
      <c r="C728" s="40" t="s">
        <v>36</v>
      </c>
      <c r="D728" s="41">
        <v>21</v>
      </c>
      <c r="E728" s="30">
        <v>20252.84</v>
      </c>
      <c r="F728" s="30">
        <v>0</v>
      </c>
      <c r="G728" s="30">
        <v>0</v>
      </c>
      <c r="H728" s="30">
        <v>6459.63</v>
      </c>
      <c r="I728" s="30">
        <v>0</v>
      </c>
      <c r="J728" s="42">
        <v>2226.04</v>
      </c>
      <c r="K728" s="43">
        <v>26712.47</v>
      </c>
      <c r="L728" s="51">
        <v>28938.51</v>
      </c>
      <c r="M728" s="33"/>
      <c r="N728" s="30">
        <v>26712.47</v>
      </c>
      <c r="O728" s="30">
        <v>20252.84</v>
      </c>
      <c r="P728" s="30">
        <v>2424</v>
      </c>
      <c r="Q728" s="30">
        <f>(N728+O728*0.18+J728)+(IF((P728-O728*0.18)&gt;0,(P728-O728*0.18),0))</f>
        <v>32584.021200000003</v>
      </c>
      <c r="R728" s="7"/>
      <c r="S728" s="7"/>
      <c r="T728" s="7"/>
      <c r="U728" s="7"/>
      <c r="V728" s="7"/>
      <c r="W728" s="7"/>
      <c r="X728" s="7"/>
      <c r="Y728" s="7"/>
      <c r="Z728" s="7"/>
    </row>
    <row r="729" spans="1:26" ht="9" customHeight="1" x14ac:dyDescent="0.2">
      <c r="A729" s="95"/>
      <c r="B729" s="95"/>
      <c r="C729" s="34" t="s">
        <v>37</v>
      </c>
      <c r="D729" s="35">
        <v>27</v>
      </c>
      <c r="E729" s="36">
        <v>39214967</v>
      </c>
      <c r="F729" s="36">
        <v>0</v>
      </c>
      <c r="G729" s="36">
        <v>0</v>
      </c>
      <c r="H729" s="36">
        <v>12507588</v>
      </c>
      <c r="I729" s="36">
        <v>0</v>
      </c>
      <c r="J729" s="37">
        <v>4310214</v>
      </c>
      <c r="K729" s="36">
        <v>51722554</v>
      </c>
      <c r="L729" s="50">
        <v>56032769</v>
      </c>
      <c r="M729" s="39"/>
      <c r="N729" s="36">
        <v>51722554</v>
      </c>
      <c r="O729" s="36">
        <v>39214967</v>
      </c>
      <c r="P729" s="36">
        <v>4693518</v>
      </c>
      <c r="Q729" s="36">
        <f>Q728*1936.27</f>
        <v>63091462.728924006</v>
      </c>
      <c r="R729" s="7"/>
      <c r="S729" s="7"/>
      <c r="T729" s="7"/>
      <c r="U729" s="7"/>
      <c r="V729" s="7"/>
      <c r="W729" s="7"/>
      <c r="X729" s="7"/>
      <c r="Y729" s="7"/>
      <c r="Z729" s="7"/>
    </row>
    <row r="730" spans="1:26" ht="12.75" customHeight="1" x14ac:dyDescent="0.2">
      <c r="A730" s="95"/>
      <c r="B730" s="95"/>
      <c r="C730" s="40" t="s">
        <v>36</v>
      </c>
      <c r="D730" s="41">
        <v>28</v>
      </c>
      <c r="E730" s="30">
        <v>22251.29</v>
      </c>
      <c r="F730" s="30">
        <v>0</v>
      </c>
      <c r="G730" s="30">
        <v>0</v>
      </c>
      <c r="H730" s="30">
        <v>6459.63</v>
      </c>
      <c r="I730" s="30">
        <v>0</v>
      </c>
      <c r="J730" s="42">
        <v>2392.58</v>
      </c>
      <c r="K730" s="43">
        <v>28710.92</v>
      </c>
      <c r="L730" s="51">
        <v>31103.5</v>
      </c>
      <c r="M730" s="33"/>
      <c r="N730" s="30">
        <v>28710.92</v>
      </c>
      <c r="O730" s="30">
        <v>22251.29</v>
      </c>
      <c r="P730" s="30">
        <v>3090</v>
      </c>
      <c r="Q730" s="30">
        <f>(N730+O730*0.18+J730)+(IF((P730-O730*0.18)&gt;0,(P730-O730*0.18),0))</f>
        <v>35108.732199999999</v>
      </c>
      <c r="R730" s="7"/>
      <c r="S730" s="7"/>
      <c r="T730" s="7"/>
      <c r="U730" s="7"/>
      <c r="V730" s="7"/>
      <c r="W730" s="7"/>
      <c r="X730" s="7"/>
      <c r="Y730" s="7"/>
      <c r="Z730" s="7"/>
    </row>
    <row r="731" spans="1:26" ht="9" customHeight="1" x14ac:dyDescent="0.2">
      <c r="A731" s="95"/>
      <c r="B731" s="95"/>
      <c r="C731" s="34" t="s">
        <v>37</v>
      </c>
      <c r="D731" s="35">
        <v>34</v>
      </c>
      <c r="E731" s="36">
        <v>43084505</v>
      </c>
      <c r="F731" s="36">
        <v>0</v>
      </c>
      <c r="G731" s="36">
        <v>0</v>
      </c>
      <c r="H731" s="36">
        <v>12507588</v>
      </c>
      <c r="I731" s="36">
        <v>0</v>
      </c>
      <c r="J731" s="37">
        <v>4632681</v>
      </c>
      <c r="K731" s="36">
        <v>55592093</v>
      </c>
      <c r="L731" s="50">
        <v>60224774</v>
      </c>
      <c r="M731" s="39"/>
      <c r="N731" s="36">
        <v>55592093</v>
      </c>
      <c r="O731" s="36">
        <v>43084505</v>
      </c>
      <c r="P731" s="36">
        <v>5983074</v>
      </c>
      <c r="Q731" s="36">
        <f>Q730*1936.27</f>
        <v>67979984.896893993</v>
      </c>
      <c r="R731" s="7"/>
      <c r="S731" s="7"/>
      <c r="T731" s="7"/>
      <c r="U731" s="7"/>
      <c r="V731" s="7"/>
      <c r="W731" s="7"/>
      <c r="X731" s="7"/>
      <c r="Y731" s="7"/>
      <c r="Z731" s="7"/>
    </row>
    <row r="732" spans="1:26" ht="12.75" customHeight="1" x14ac:dyDescent="0.2">
      <c r="A732" s="95"/>
      <c r="B732" s="95"/>
      <c r="C732" s="40" t="s">
        <v>36</v>
      </c>
      <c r="D732" s="41">
        <v>35</v>
      </c>
      <c r="E732" s="30">
        <v>23732.45</v>
      </c>
      <c r="F732" s="30">
        <v>0</v>
      </c>
      <c r="G732" s="30">
        <v>0</v>
      </c>
      <c r="H732" s="30">
        <v>6459.63</v>
      </c>
      <c r="I732" s="30">
        <v>0</v>
      </c>
      <c r="J732" s="42">
        <v>2516.0100000000002</v>
      </c>
      <c r="K732" s="43">
        <v>30192.080000000002</v>
      </c>
      <c r="L732" s="51">
        <v>32708.09</v>
      </c>
      <c r="M732" s="33"/>
      <c r="N732" s="30">
        <v>30192.080000000002</v>
      </c>
      <c r="O732" s="30">
        <v>23732.45</v>
      </c>
      <c r="P732" s="30">
        <v>3090</v>
      </c>
      <c r="Q732" s="30">
        <f>(N732+O732*0.18+J732)+(IF((P732-O732*0.18)&gt;0,(P732-O732*0.18),0))</f>
        <v>36979.931000000004</v>
      </c>
      <c r="R732" s="7"/>
      <c r="S732" s="7"/>
      <c r="T732" s="7"/>
      <c r="U732" s="7"/>
      <c r="V732" s="7"/>
      <c r="W732" s="7"/>
      <c r="X732" s="7"/>
      <c r="Y732" s="7"/>
      <c r="Z732" s="7"/>
    </row>
    <row r="733" spans="1:26" ht="9" customHeight="1" x14ac:dyDescent="0.2">
      <c r="A733" s="110"/>
      <c r="B733" s="110"/>
      <c r="C733" s="47" t="s">
        <v>37</v>
      </c>
      <c r="D733" s="48"/>
      <c r="E733" s="46">
        <v>45952431</v>
      </c>
      <c r="F733" s="46">
        <v>0</v>
      </c>
      <c r="G733" s="46">
        <v>0</v>
      </c>
      <c r="H733" s="46">
        <v>12507588</v>
      </c>
      <c r="I733" s="46">
        <v>0</v>
      </c>
      <c r="J733" s="49">
        <v>4871675</v>
      </c>
      <c r="K733" s="46">
        <v>58460019</v>
      </c>
      <c r="L733" s="52">
        <v>63331693</v>
      </c>
      <c r="M733" s="39"/>
      <c r="N733" s="36">
        <v>58460019</v>
      </c>
      <c r="O733" s="36">
        <v>45952431</v>
      </c>
      <c r="P733" s="36">
        <v>5983074</v>
      </c>
      <c r="Q733" s="36">
        <f>Q732*1936.27</f>
        <v>71603130.997370005</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6"/>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6"/>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6"/>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6"/>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6"/>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6"/>
      <c r="M739" s="39"/>
      <c r="N739" s="96"/>
      <c r="O739" s="96"/>
      <c r="P739" s="96"/>
      <c r="Q739" s="96"/>
      <c r="R739" s="7"/>
      <c r="S739" s="7"/>
      <c r="T739" s="7"/>
      <c r="U739" s="7"/>
      <c r="V739" s="7"/>
      <c r="W739" s="7"/>
      <c r="X739" s="7"/>
      <c r="Y739" s="7"/>
      <c r="Z739" s="7"/>
    </row>
    <row r="740" spans="1:26" ht="12.75" customHeight="1" x14ac:dyDescent="0.2">
      <c r="A740" s="98">
        <v>39539</v>
      </c>
      <c r="B740" s="98">
        <v>39629</v>
      </c>
      <c r="C740" s="28" t="s">
        <v>36</v>
      </c>
      <c r="D740" s="29">
        <v>0</v>
      </c>
      <c r="E740" s="30">
        <v>13840.56</v>
      </c>
      <c r="F740" s="30">
        <v>0</v>
      </c>
      <c r="G740" s="30">
        <v>0</v>
      </c>
      <c r="H740" s="30">
        <v>6459.63</v>
      </c>
      <c r="I740" s="30">
        <v>0</v>
      </c>
      <c r="J740" s="30">
        <v>1691.68</v>
      </c>
      <c r="K740" s="31">
        <v>20300.189999999999</v>
      </c>
      <c r="L740" s="32">
        <v>21991.87</v>
      </c>
      <c r="M740" s="33"/>
      <c r="N740" s="30">
        <v>20300.189999999999</v>
      </c>
      <c r="O740" s="30">
        <v>13840.56</v>
      </c>
      <c r="P740" s="30">
        <v>1968</v>
      </c>
      <c r="Q740" s="30">
        <f>(N740+O740*0.18+J740)+(IF((P740-O740*0.18)&gt;0,(P740-O740*0.18),0))</f>
        <v>24483.1708</v>
      </c>
      <c r="R740" s="7"/>
      <c r="S740" s="7"/>
      <c r="T740" s="7"/>
      <c r="U740" s="7"/>
      <c r="V740" s="7"/>
      <c r="W740" s="7"/>
      <c r="X740" s="7"/>
      <c r="Y740" s="7"/>
      <c r="Z740" s="7"/>
    </row>
    <row r="741" spans="1:26" ht="9" customHeight="1" x14ac:dyDescent="0.2">
      <c r="A741" s="95"/>
      <c r="B741" s="95"/>
      <c r="C741" s="34" t="s">
        <v>37</v>
      </c>
      <c r="D741" s="35">
        <v>2</v>
      </c>
      <c r="E741" s="36">
        <v>26799061</v>
      </c>
      <c r="F741" s="36">
        <v>0</v>
      </c>
      <c r="G741" s="36">
        <v>0</v>
      </c>
      <c r="H741" s="36">
        <v>12507588</v>
      </c>
      <c r="I741" s="36">
        <v>0</v>
      </c>
      <c r="J741" s="37">
        <v>3275549</v>
      </c>
      <c r="K741" s="36">
        <v>39306649</v>
      </c>
      <c r="L741" s="50">
        <v>42582198</v>
      </c>
      <c r="M741" s="39"/>
      <c r="N741" s="36">
        <v>39306649</v>
      </c>
      <c r="O741" s="36">
        <v>26799061</v>
      </c>
      <c r="P741" s="36">
        <v>3810579</v>
      </c>
      <c r="Q741" s="36">
        <f>Q740*1936.27</f>
        <v>47406029.124916002</v>
      </c>
      <c r="R741" s="7"/>
      <c r="S741" s="7"/>
      <c r="T741" s="7"/>
      <c r="U741" s="7"/>
      <c r="V741" s="7"/>
      <c r="W741" s="7"/>
      <c r="X741" s="7"/>
      <c r="Y741" s="7"/>
      <c r="Z741" s="7"/>
    </row>
    <row r="742" spans="1:26" ht="12.75" customHeight="1" x14ac:dyDescent="0.2">
      <c r="A742" s="156">
        <v>39539</v>
      </c>
      <c r="B742" s="156">
        <v>39629</v>
      </c>
      <c r="C742" s="40" t="s">
        <v>36</v>
      </c>
      <c r="D742" s="41">
        <v>3</v>
      </c>
      <c r="E742" s="30">
        <v>14398.1</v>
      </c>
      <c r="F742" s="30">
        <v>0</v>
      </c>
      <c r="G742" s="30">
        <v>0</v>
      </c>
      <c r="H742" s="30">
        <v>6459.63</v>
      </c>
      <c r="I742" s="30">
        <v>0</v>
      </c>
      <c r="J742" s="42">
        <v>1738.14</v>
      </c>
      <c r="K742" s="43">
        <v>20857.73</v>
      </c>
      <c r="L742" s="51">
        <v>22595.87</v>
      </c>
      <c r="M742" s="33"/>
      <c r="N742" s="30">
        <v>20857.73</v>
      </c>
      <c r="O742" s="30">
        <v>14398.1</v>
      </c>
      <c r="P742" s="30">
        <v>1968</v>
      </c>
      <c r="Q742" s="30">
        <f>(N742+O742*0.18+J742)+(IF((P742-O742*0.18)&gt;0,(P742-O742*0.18),0))</f>
        <v>25187.527999999998</v>
      </c>
      <c r="R742" s="7"/>
      <c r="S742" s="7"/>
      <c r="T742" s="7"/>
      <c r="U742" s="7"/>
      <c r="V742" s="7"/>
      <c r="W742" s="7"/>
      <c r="X742" s="7"/>
      <c r="Y742" s="7"/>
      <c r="Z742" s="7"/>
    </row>
    <row r="743" spans="1:26" ht="9" customHeight="1" x14ac:dyDescent="0.2">
      <c r="A743" s="95"/>
      <c r="B743" s="95"/>
      <c r="C743" s="34" t="s">
        <v>37</v>
      </c>
      <c r="D743" s="35">
        <v>8</v>
      </c>
      <c r="E743" s="36">
        <v>27878609</v>
      </c>
      <c r="F743" s="36">
        <v>0</v>
      </c>
      <c r="G743" s="36">
        <v>0</v>
      </c>
      <c r="H743" s="36">
        <v>12507588</v>
      </c>
      <c r="I743" s="36">
        <v>0</v>
      </c>
      <c r="J743" s="37">
        <v>3365508</v>
      </c>
      <c r="K743" s="36">
        <v>40386197</v>
      </c>
      <c r="L743" s="50">
        <v>43751705</v>
      </c>
      <c r="M743" s="39"/>
      <c r="N743" s="36">
        <v>40386197</v>
      </c>
      <c r="O743" s="36">
        <v>27878609</v>
      </c>
      <c r="P743" s="36">
        <v>3810579</v>
      </c>
      <c r="Q743" s="36">
        <f>Q742*1936.27</f>
        <v>48769854.840559997</v>
      </c>
      <c r="R743" s="7"/>
      <c r="S743" s="7"/>
      <c r="T743" s="7"/>
      <c r="U743" s="7"/>
      <c r="V743" s="7"/>
      <c r="W743" s="7"/>
      <c r="X743" s="7"/>
      <c r="Y743" s="7"/>
      <c r="Z743" s="7"/>
    </row>
    <row r="744" spans="1:26" ht="12.75" customHeight="1" x14ac:dyDescent="0.2">
      <c r="A744" s="95"/>
      <c r="B744" s="95"/>
      <c r="C744" s="40" t="s">
        <v>36</v>
      </c>
      <c r="D744" s="41">
        <v>9</v>
      </c>
      <c r="E744" s="30">
        <v>16220.58</v>
      </c>
      <c r="F744" s="30">
        <v>0</v>
      </c>
      <c r="G744" s="30">
        <v>0</v>
      </c>
      <c r="H744" s="30">
        <v>6459.63</v>
      </c>
      <c r="I744" s="30">
        <v>0</v>
      </c>
      <c r="J744" s="42">
        <v>1890.02</v>
      </c>
      <c r="K744" s="43">
        <v>22680.21</v>
      </c>
      <c r="L744" s="51">
        <v>24570.23</v>
      </c>
      <c r="M744" s="33"/>
      <c r="N744" s="30">
        <v>22680.21</v>
      </c>
      <c r="O744" s="30">
        <v>16220.58</v>
      </c>
      <c r="P744" s="30">
        <v>1968</v>
      </c>
      <c r="Q744" s="30">
        <f>(N744+O744*0.18+J744)+(IF((P744-O744*0.18)&gt;0,(P744-O744*0.18),0))</f>
        <v>27489.934399999998</v>
      </c>
      <c r="R744" s="7"/>
      <c r="S744" s="7"/>
      <c r="T744" s="7"/>
      <c r="U744" s="7"/>
      <c r="V744" s="7"/>
      <c r="W744" s="7"/>
      <c r="X744" s="7"/>
      <c r="Y744" s="7"/>
      <c r="Z744" s="7"/>
    </row>
    <row r="745" spans="1:26" ht="9" customHeight="1" x14ac:dyDescent="0.2">
      <c r="A745" s="95"/>
      <c r="B745" s="95"/>
      <c r="C745" s="34" t="s">
        <v>37</v>
      </c>
      <c r="D745" s="35">
        <v>14</v>
      </c>
      <c r="E745" s="36">
        <v>31407422</v>
      </c>
      <c r="F745" s="36">
        <v>0</v>
      </c>
      <c r="G745" s="36">
        <v>0</v>
      </c>
      <c r="H745" s="36">
        <v>12507588</v>
      </c>
      <c r="I745" s="36">
        <v>0</v>
      </c>
      <c r="J745" s="37">
        <v>3659589</v>
      </c>
      <c r="K745" s="36">
        <v>43915010</v>
      </c>
      <c r="L745" s="50">
        <v>47574599</v>
      </c>
      <c r="M745" s="39"/>
      <c r="N745" s="36">
        <v>43915010</v>
      </c>
      <c r="O745" s="36">
        <v>31407422</v>
      </c>
      <c r="P745" s="36">
        <v>3810579</v>
      </c>
      <c r="Q745" s="36">
        <f>Q744*1936.27</f>
        <v>53227935.280687995</v>
      </c>
      <c r="R745" s="7"/>
      <c r="S745" s="7"/>
      <c r="T745" s="7"/>
      <c r="U745" s="7"/>
      <c r="V745" s="7"/>
      <c r="W745" s="7"/>
      <c r="X745" s="7"/>
      <c r="Y745" s="7"/>
      <c r="Z745" s="7"/>
    </row>
    <row r="746" spans="1:26" ht="12.75" customHeight="1" x14ac:dyDescent="0.2">
      <c r="A746" s="95"/>
      <c r="B746" s="95"/>
      <c r="C746" s="40" t="s">
        <v>36</v>
      </c>
      <c r="D746" s="41">
        <v>15</v>
      </c>
      <c r="E746" s="30">
        <v>18318.650000000001</v>
      </c>
      <c r="F746" s="30">
        <v>0</v>
      </c>
      <c r="G746" s="30">
        <v>0</v>
      </c>
      <c r="H746" s="30">
        <v>6459.63</v>
      </c>
      <c r="I746" s="30">
        <v>0</v>
      </c>
      <c r="J746" s="42">
        <v>2064.86</v>
      </c>
      <c r="K746" s="43">
        <v>24778.28</v>
      </c>
      <c r="L746" s="51">
        <v>26843.14</v>
      </c>
      <c r="M746" s="33"/>
      <c r="N746" s="30">
        <v>24778.28</v>
      </c>
      <c r="O746" s="30">
        <v>18318.650000000001</v>
      </c>
      <c r="P746" s="30">
        <v>2424</v>
      </c>
      <c r="Q746" s="30">
        <f>(N746+O746*0.18+J746)+(IF((P746-O746*0.18)&gt;0,(P746-O746*0.18),0))</f>
        <v>30140.496999999999</v>
      </c>
      <c r="R746" s="7"/>
      <c r="S746" s="7"/>
      <c r="T746" s="7"/>
      <c r="U746" s="7"/>
      <c r="V746" s="7"/>
      <c r="W746" s="7"/>
      <c r="X746" s="7"/>
      <c r="Y746" s="7"/>
      <c r="Z746" s="7"/>
    </row>
    <row r="747" spans="1:26" ht="9" customHeight="1" x14ac:dyDescent="0.2">
      <c r="A747" s="95"/>
      <c r="B747" s="95"/>
      <c r="C747" s="34" t="s">
        <v>37</v>
      </c>
      <c r="D747" s="35">
        <v>20</v>
      </c>
      <c r="E747" s="36">
        <v>35469852</v>
      </c>
      <c r="F747" s="36">
        <v>0</v>
      </c>
      <c r="G747" s="36">
        <v>0</v>
      </c>
      <c r="H747" s="36">
        <v>12507588</v>
      </c>
      <c r="I747" s="36">
        <v>0</v>
      </c>
      <c r="J747" s="37">
        <v>3998126</v>
      </c>
      <c r="K747" s="36">
        <v>47977440</v>
      </c>
      <c r="L747" s="50">
        <v>51975567</v>
      </c>
      <c r="M747" s="39"/>
      <c r="N747" s="36">
        <v>47977440</v>
      </c>
      <c r="O747" s="36">
        <v>35469852</v>
      </c>
      <c r="P747" s="36">
        <v>4693518</v>
      </c>
      <c r="Q747" s="36">
        <f>Q746*1936.27</f>
        <v>58360140.126189999</v>
      </c>
      <c r="R747" s="7"/>
      <c r="S747" s="7"/>
      <c r="T747" s="7"/>
      <c r="U747" s="7"/>
      <c r="V747" s="7"/>
      <c r="W747" s="7"/>
      <c r="X747" s="7"/>
      <c r="Y747" s="7"/>
      <c r="Z747" s="7"/>
    </row>
    <row r="748" spans="1:26" ht="12.75" customHeight="1" x14ac:dyDescent="0.2">
      <c r="A748" s="95"/>
      <c r="B748" s="95"/>
      <c r="C748" s="40" t="s">
        <v>36</v>
      </c>
      <c r="D748" s="41">
        <v>21</v>
      </c>
      <c r="E748" s="30">
        <v>20355.8</v>
      </c>
      <c r="F748" s="30">
        <v>0</v>
      </c>
      <c r="G748" s="30">
        <v>0</v>
      </c>
      <c r="H748" s="30">
        <v>6459.63</v>
      </c>
      <c r="I748" s="30">
        <v>0</v>
      </c>
      <c r="J748" s="42">
        <v>2234.62</v>
      </c>
      <c r="K748" s="43">
        <v>26815.43</v>
      </c>
      <c r="L748" s="51">
        <v>29050.05</v>
      </c>
      <c r="M748" s="33"/>
      <c r="N748" s="30">
        <v>26815.43</v>
      </c>
      <c r="O748" s="30">
        <v>20355.8</v>
      </c>
      <c r="P748" s="30">
        <v>2424</v>
      </c>
      <c r="Q748" s="30">
        <f>(N748+O748*0.18+J748)+(IF((P748-O748*0.18)&gt;0,(P748-O748*0.18),0))</f>
        <v>32714.094000000001</v>
      </c>
      <c r="R748" s="7"/>
      <c r="S748" s="7"/>
      <c r="T748" s="7"/>
      <c r="U748" s="7"/>
      <c r="V748" s="7"/>
      <c r="W748" s="7"/>
      <c r="X748" s="7"/>
      <c r="Y748" s="7"/>
      <c r="Z748" s="7"/>
    </row>
    <row r="749" spans="1:26" ht="9" customHeight="1" x14ac:dyDescent="0.2">
      <c r="A749" s="95"/>
      <c r="B749" s="95"/>
      <c r="C749" s="34" t="s">
        <v>37</v>
      </c>
      <c r="D749" s="35">
        <v>27</v>
      </c>
      <c r="E749" s="36">
        <v>39414325</v>
      </c>
      <c r="F749" s="36">
        <v>0</v>
      </c>
      <c r="G749" s="36">
        <v>0</v>
      </c>
      <c r="H749" s="36">
        <v>12507588</v>
      </c>
      <c r="I749" s="36">
        <v>0</v>
      </c>
      <c r="J749" s="37">
        <v>4326828</v>
      </c>
      <c r="K749" s="36">
        <v>51921913</v>
      </c>
      <c r="L749" s="50">
        <v>56248740</v>
      </c>
      <c r="M749" s="39"/>
      <c r="N749" s="36">
        <v>51921913</v>
      </c>
      <c r="O749" s="36">
        <v>39414325</v>
      </c>
      <c r="P749" s="36">
        <v>4693518</v>
      </c>
      <c r="Q749" s="36">
        <f>Q748*1936.27</f>
        <v>63343318.789379999</v>
      </c>
      <c r="R749" s="7"/>
      <c r="S749" s="7"/>
      <c r="T749" s="7"/>
      <c r="U749" s="7"/>
      <c r="V749" s="7"/>
      <c r="W749" s="7"/>
      <c r="X749" s="7"/>
      <c r="Y749" s="7"/>
      <c r="Z749" s="7"/>
    </row>
    <row r="750" spans="1:26" ht="12.75" customHeight="1" x14ac:dyDescent="0.2">
      <c r="A750" s="95"/>
      <c r="B750" s="95"/>
      <c r="C750" s="40" t="s">
        <v>36</v>
      </c>
      <c r="D750" s="41">
        <v>28</v>
      </c>
      <c r="E750" s="30">
        <v>22354.25</v>
      </c>
      <c r="F750" s="30">
        <v>0</v>
      </c>
      <c r="G750" s="30">
        <v>0</v>
      </c>
      <c r="H750" s="30">
        <v>6459.63</v>
      </c>
      <c r="I750" s="30">
        <v>0</v>
      </c>
      <c r="J750" s="42">
        <v>2401.16</v>
      </c>
      <c r="K750" s="43">
        <v>28813.88</v>
      </c>
      <c r="L750" s="51">
        <v>31215.040000000001</v>
      </c>
      <c r="M750" s="33"/>
      <c r="N750" s="30">
        <v>28813.88</v>
      </c>
      <c r="O750" s="30">
        <v>22354.25</v>
      </c>
      <c r="P750" s="30">
        <v>3090</v>
      </c>
      <c r="Q750" s="30">
        <f>(N750+O750*0.18+J750)+(IF((P750-O750*0.18)&gt;0,(P750-O750*0.18),0))</f>
        <v>35238.805000000008</v>
      </c>
      <c r="R750" s="7"/>
      <c r="S750" s="7"/>
      <c r="T750" s="7"/>
      <c r="U750" s="7"/>
      <c r="V750" s="7"/>
      <c r="W750" s="7"/>
      <c r="X750" s="7"/>
      <c r="Y750" s="7"/>
      <c r="Z750" s="7"/>
    </row>
    <row r="751" spans="1:26" ht="9" customHeight="1" x14ac:dyDescent="0.2">
      <c r="A751" s="95"/>
      <c r="B751" s="95"/>
      <c r="C751" s="34" t="s">
        <v>37</v>
      </c>
      <c r="D751" s="35">
        <v>34</v>
      </c>
      <c r="E751" s="36">
        <v>43283864</v>
      </c>
      <c r="F751" s="36">
        <v>0</v>
      </c>
      <c r="G751" s="36">
        <v>0</v>
      </c>
      <c r="H751" s="36">
        <v>12507588</v>
      </c>
      <c r="I751" s="36">
        <v>0</v>
      </c>
      <c r="J751" s="37">
        <v>4649294</v>
      </c>
      <c r="K751" s="36">
        <v>55791451</v>
      </c>
      <c r="L751" s="50">
        <v>60440746</v>
      </c>
      <c r="M751" s="39"/>
      <c r="N751" s="36">
        <v>55791451</v>
      </c>
      <c r="O751" s="36">
        <v>43283864</v>
      </c>
      <c r="P751" s="36">
        <v>5983074</v>
      </c>
      <c r="Q751" s="36">
        <f>Q750*1936.27</f>
        <v>68231840.957350016</v>
      </c>
      <c r="R751" s="7"/>
      <c r="S751" s="7"/>
      <c r="T751" s="7"/>
      <c r="U751" s="7"/>
      <c r="V751" s="7"/>
      <c r="W751" s="7"/>
      <c r="X751" s="7"/>
      <c r="Y751" s="7"/>
      <c r="Z751" s="7"/>
    </row>
    <row r="752" spans="1:26" ht="12.75" customHeight="1" x14ac:dyDescent="0.2">
      <c r="A752" s="95"/>
      <c r="B752" s="95"/>
      <c r="C752" s="40" t="s">
        <v>36</v>
      </c>
      <c r="D752" s="41">
        <v>35</v>
      </c>
      <c r="E752" s="30">
        <v>23835.41</v>
      </c>
      <c r="F752" s="30">
        <v>0</v>
      </c>
      <c r="G752" s="30">
        <v>0</v>
      </c>
      <c r="H752" s="30">
        <v>6459.63</v>
      </c>
      <c r="I752" s="30">
        <v>0</v>
      </c>
      <c r="J752" s="42">
        <v>2524.59</v>
      </c>
      <c r="K752" s="43">
        <v>30295.040000000001</v>
      </c>
      <c r="L752" s="51">
        <v>32819.629999999997</v>
      </c>
      <c r="M752" s="33"/>
      <c r="N752" s="30">
        <v>30295.040000000001</v>
      </c>
      <c r="O752" s="30">
        <v>23835.41</v>
      </c>
      <c r="P752" s="30">
        <v>3090</v>
      </c>
      <c r="Q752" s="30">
        <f>(N752+O752*0.18+J752)+(IF((P752-O752*0.18)&gt;0,(P752-O752*0.18),0))</f>
        <v>37110.003800000006</v>
      </c>
      <c r="R752" s="7"/>
      <c r="S752" s="7"/>
      <c r="T752" s="7"/>
      <c r="U752" s="7"/>
      <c r="V752" s="7"/>
      <c r="W752" s="7"/>
      <c r="X752" s="7"/>
      <c r="Y752" s="7"/>
      <c r="Z752" s="7"/>
    </row>
    <row r="753" spans="1:26" ht="9" customHeight="1" x14ac:dyDescent="0.2">
      <c r="A753" s="110"/>
      <c r="B753" s="110"/>
      <c r="C753" s="47" t="s">
        <v>37</v>
      </c>
      <c r="D753" s="48"/>
      <c r="E753" s="36">
        <v>46151789</v>
      </c>
      <c r="F753" s="36">
        <v>0</v>
      </c>
      <c r="G753" s="36">
        <v>0</v>
      </c>
      <c r="H753" s="36">
        <v>12507588</v>
      </c>
      <c r="I753" s="36">
        <v>0</v>
      </c>
      <c r="J753" s="49">
        <v>4888288</v>
      </c>
      <c r="K753" s="46">
        <v>58659377</v>
      </c>
      <c r="L753" s="52">
        <v>63547665</v>
      </c>
      <c r="M753" s="39"/>
      <c r="N753" s="36">
        <v>58659377</v>
      </c>
      <c r="O753" s="36">
        <v>46151789</v>
      </c>
      <c r="P753" s="36">
        <v>5983074</v>
      </c>
      <c r="Q753" s="36">
        <f>Q752*1936.27</f>
        <v>71854987.057826012</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6"/>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6"/>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6"/>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6"/>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6"/>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6"/>
      <c r="M759" s="39"/>
      <c r="N759" s="96"/>
      <c r="O759" s="96"/>
      <c r="P759" s="96"/>
      <c r="Q759" s="96"/>
      <c r="R759" s="7"/>
      <c r="S759" s="7"/>
      <c r="T759" s="7"/>
      <c r="U759" s="7"/>
      <c r="V759" s="7"/>
      <c r="W759" s="7"/>
      <c r="X759" s="7"/>
      <c r="Y759" s="7"/>
      <c r="Z759" s="7"/>
    </row>
    <row r="760" spans="1:26" ht="12.75" customHeight="1" x14ac:dyDescent="0.2">
      <c r="A760" s="98">
        <v>39630</v>
      </c>
      <c r="B760" s="98">
        <v>39813</v>
      </c>
      <c r="C760" s="28" t="s">
        <v>36</v>
      </c>
      <c r="D760" s="29">
        <v>0</v>
      </c>
      <c r="E760" s="30">
        <v>13909.32</v>
      </c>
      <c r="F760" s="30">
        <v>0</v>
      </c>
      <c r="G760" s="30">
        <v>0</v>
      </c>
      <c r="H760" s="30">
        <v>6459.63</v>
      </c>
      <c r="I760" s="30">
        <v>0</v>
      </c>
      <c r="J760" s="30">
        <v>1697.41</v>
      </c>
      <c r="K760" s="31">
        <v>20368.95</v>
      </c>
      <c r="L760" s="32">
        <v>22066.36</v>
      </c>
      <c r="M760" s="33"/>
      <c r="N760" s="30">
        <v>20368.95</v>
      </c>
      <c r="O760" s="30">
        <v>13909.32</v>
      </c>
      <c r="P760" s="30">
        <v>1968</v>
      </c>
      <c r="Q760" s="30">
        <f>(N760+O760*0.18+J760)+(IF((P760-O760*0.18)&gt;0,(P760-O760*0.18),0))</f>
        <v>24570.0376</v>
      </c>
      <c r="R760" s="7"/>
      <c r="S760" s="7"/>
      <c r="T760" s="7"/>
      <c r="U760" s="7"/>
      <c r="V760" s="7"/>
      <c r="W760" s="7"/>
      <c r="X760" s="7"/>
      <c r="Y760" s="7"/>
      <c r="Z760" s="7"/>
    </row>
    <row r="761" spans="1:26" ht="9" customHeight="1" x14ac:dyDescent="0.2">
      <c r="A761" s="95"/>
      <c r="B761" s="95"/>
      <c r="C761" s="34" t="s">
        <v>37</v>
      </c>
      <c r="D761" s="35">
        <v>2</v>
      </c>
      <c r="E761" s="36">
        <v>26932199</v>
      </c>
      <c r="F761" s="36">
        <v>0</v>
      </c>
      <c r="G761" s="36">
        <v>0</v>
      </c>
      <c r="H761" s="36">
        <v>12507588</v>
      </c>
      <c r="I761" s="36">
        <v>0</v>
      </c>
      <c r="J761" s="37">
        <v>3286644</v>
      </c>
      <c r="K761" s="36">
        <v>39439787</v>
      </c>
      <c r="L761" s="50">
        <v>42726431</v>
      </c>
      <c r="M761" s="39"/>
      <c r="N761" s="36">
        <v>39439787</v>
      </c>
      <c r="O761" s="36">
        <v>26932199</v>
      </c>
      <c r="P761" s="36">
        <v>3810579</v>
      </c>
      <c r="Q761" s="36">
        <f>Q760*1936.27</f>
        <v>47574226.703751996</v>
      </c>
      <c r="R761" s="7"/>
      <c r="S761" s="7"/>
      <c r="T761" s="7"/>
      <c r="U761" s="7"/>
      <c r="V761" s="7"/>
      <c r="W761" s="7"/>
      <c r="X761" s="7"/>
      <c r="Y761" s="7"/>
      <c r="Z761" s="7"/>
    </row>
    <row r="762" spans="1:26" ht="12.75" customHeight="1" x14ac:dyDescent="0.2">
      <c r="A762" s="156">
        <v>39630</v>
      </c>
      <c r="B762" s="156">
        <v>39813</v>
      </c>
      <c r="C762" s="40" t="s">
        <v>36</v>
      </c>
      <c r="D762" s="41">
        <v>3</v>
      </c>
      <c r="E762" s="30">
        <v>14466.86</v>
      </c>
      <c r="F762" s="30">
        <v>0</v>
      </c>
      <c r="G762" s="30">
        <v>0</v>
      </c>
      <c r="H762" s="30">
        <v>6459.63</v>
      </c>
      <c r="I762" s="30">
        <v>0</v>
      </c>
      <c r="J762" s="42">
        <v>1743.87</v>
      </c>
      <c r="K762" s="43">
        <v>20926.490000000002</v>
      </c>
      <c r="L762" s="51">
        <v>22670.36</v>
      </c>
      <c r="M762" s="33"/>
      <c r="N762" s="30">
        <v>20926.490000000002</v>
      </c>
      <c r="O762" s="30">
        <v>14466.86</v>
      </c>
      <c r="P762" s="30">
        <v>1968</v>
      </c>
      <c r="Q762" s="30">
        <f>(N762+O762*0.18+J762)+(IF((P762-O762*0.18)&gt;0,(P762-O762*0.18),0))</f>
        <v>25274.394800000002</v>
      </c>
      <c r="R762" s="7"/>
      <c r="S762" s="7"/>
      <c r="T762" s="7"/>
      <c r="U762" s="7"/>
      <c r="V762" s="7"/>
      <c r="W762" s="7"/>
      <c r="X762" s="7"/>
      <c r="Y762" s="7"/>
      <c r="Z762" s="7"/>
    </row>
    <row r="763" spans="1:26" ht="9" customHeight="1" x14ac:dyDescent="0.2">
      <c r="A763" s="95"/>
      <c r="B763" s="95"/>
      <c r="C763" s="34" t="s">
        <v>37</v>
      </c>
      <c r="D763" s="35">
        <v>8</v>
      </c>
      <c r="E763" s="36">
        <v>28011747</v>
      </c>
      <c r="F763" s="36">
        <v>0</v>
      </c>
      <c r="G763" s="36">
        <v>0</v>
      </c>
      <c r="H763" s="36">
        <v>12507588</v>
      </c>
      <c r="I763" s="36">
        <v>0</v>
      </c>
      <c r="J763" s="37">
        <v>3376603</v>
      </c>
      <c r="K763" s="36">
        <v>40519335</v>
      </c>
      <c r="L763" s="50">
        <v>43895938</v>
      </c>
      <c r="M763" s="39"/>
      <c r="N763" s="36">
        <v>40519335</v>
      </c>
      <c r="O763" s="36">
        <v>28011747</v>
      </c>
      <c r="P763" s="36">
        <v>3810579</v>
      </c>
      <c r="Q763" s="36">
        <f>Q762*1936.27</f>
        <v>48938052.419396006</v>
      </c>
      <c r="R763" s="7"/>
      <c r="S763" s="7"/>
      <c r="T763" s="7"/>
      <c r="U763" s="7"/>
      <c r="V763" s="7"/>
      <c r="W763" s="7"/>
      <c r="X763" s="7"/>
      <c r="Y763" s="7"/>
      <c r="Z763" s="7"/>
    </row>
    <row r="764" spans="1:26" ht="12.75" customHeight="1" x14ac:dyDescent="0.2">
      <c r="A764" s="95"/>
      <c r="B764" s="95"/>
      <c r="C764" s="40" t="s">
        <v>36</v>
      </c>
      <c r="D764" s="41">
        <v>9</v>
      </c>
      <c r="E764" s="30">
        <v>16289.34</v>
      </c>
      <c r="F764" s="30">
        <v>0</v>
      </c>
      <c r="G764" s="30">
        <v>0</v>
      </c>
      <c r="H764" s="30">
        <v>6459.63</v>
      </c>
      <c r="I764" s="30">
        <v>0</v>
      </c>
      <c r="J764" s="42">
        <v>1895.75</v>
      </c>
      <c r="K764" s="43">
        <v>22748.97</v>
      </c>
      <c r="L764" s="51">
        <v>24644.720000000001</v>
      </c>
      <c r="M764" s="33"/>
      <c r="N764" s="30">
        <v>22748.97</v>
      </c>
      <c r="O764" s="30">
        <v>16289.34</v>
      </c>
      <c r="P764" s="30">
        <v>1968</v>
      </c>
      <c r="Q764" s="30">
        <f>(N764+O764*0.18+J764)+(IF((P764-O764*0.18)&gt;0,(P764-O764*0.18),0))</f>
        <v>27576.801200000002</v>
      </c>
      <c r="R764" s="7"/>
      <c r="S764" s="7"/>
      <c r="T764" s="7"/>
      <c r="U764" s="7"/>
      <c r="V764" s="7"/>
      <c r="W764" s="7"/>
      <c r="X764" s="7"/>
      <c r="Y764" s="7"/>
      <c r="Z764" s="7"/>
    </row>
    <row r="765" spans="1:26" ht="9" customHeight="1" x14ac:dyDescent="0.2">
      <c r="A765" s="95"/>
      <c r="B765" s="95"/>
      <c r="C765" s="34" t="s">
        <v>37</v>
      </c>
      <c r="D765" s="35">
        <v>14</v>
      </c>
      <c r="E765" s="36">
        <v>31540560</v>
      </c>
      <c r="F765" s="36">
        <v>0</v>
      </c>
      <c r="G765" s="36">
        <v>0</v>
      </c>
      <c r="H765" s="36">
        <v>12507588</v>
      </c>
      <c r="I765" s="36">
        <v>0</v>
      </c>
      <c r="J765" s="37">
        <v>3670684</v>
      </c>
      <c r="K765" s="36">
        <v>44048148</v>
      </c>
      <c r="L765" s="50">
        <v>47718832</v>
      </c>
      <c r="M765" s="39"/>
      <c r="N765" s="36">
        <v>44048148</v>
      </c>
      <c r="O765" s="36">
        <v>31540560</v>
      </c>
      <c r="P765" s="36">
        <v>3810579</v>
      </c>
      <c r="Q765" s="36">
        <f>Q764*1936.27</f>
        <v>53396132.859524004</v>
      </c>
      <c r="R765" s="7"/>
      <c r="S765" s="7"/>
      <c r="T765" s="7"/>
      <c r="U765" s="7"/>
      <c r="V765" s="7"/>
      <c r="W765" s="7"/>
      <c r="X765" s="7"/>
      <c r="Y765" s="7"/>
      <c r="Z765" s="7"/>
    </row>
    <row r="766" spans="1:26" ht="12.75" customHeight="1" x14ac:dyDescent="0.2">
      <c r="A766" s="95"/>
      <c r="B766" s="95"/>
      <c r="C766" s="40" t="s">
        <v>36</v>
      </c>
      <c r="D766" s="41">
        <v>15</v>
      </c>
      <c r="E766" s="30">
        <v>18387.41</v>
      </c>
      <c r="F766" s="30">
        <v>0</v>
      </c>
      <c r="G766" s="30">
        <v>0</v>
      </c>
      <c r="H766" s="30">
        <v>6459.63</v>
      </c>
      <c r="I766" s="30">
        <v>0</v>
      </c>
      <c r="J766" s="42">
        <v>2070.59</v>
      </c>
      <c r="K766" s="43">
        <v>24847.040000000001</v>
      </c>
      <c r="L766" s="51">
        <v>26917.63</v>
      </c>
      <c r="M766" s="33"/>
      <c r="N766" s="30">
        <v>24847.040000000001</v>
      </c>
      <c r="O766" s="30">
        <v>18387.41</v>
      </c>
      <c r="P766" s="30">
        <v>2424</v>
      </c>
      <c r="Q766" s="30">
        <f>(N766+O766*0.18+J766)+(IF((P766-O766*0.18)&gt;0,(P766-O766*0.18),0))</f>
        <v>30227.363800000003</v>
      </c>
      <c r="R766" s="7"/>
      <c r="S766" s="7"/>
      <c r="T766" s="7"/>
      <c r="U766" s="7"/>
      <c r="V766" s="7"/>
      <c r="W766" s="7"/>
      <c r="X766" s="7"/>
      <c r="Y766" s="7"/>
      <c r="Z766" s="7"/>
    </row>
    <row r="767" spans="1:26" ht="9" customHeight="1" x14ac:dyDescent="0.2">
      <c r="A767" s="95"/>
      <c r="B767" s="95"/>
      <c r="C767" s="34" t="s">
        <v>37</v>
      </c>
      <c r="D767" s="35">
        <v>20</v>
      </c>
      <c r="E767" s="36">
        <v>35602990</v>
      </c>
      <c r="F767" s="36">
        <v>0</v>
      </c>
      <c r="G767" s="36">
        <v>0</v>
      </c>
      <c r="H767" s="36">
        <v>12507588</v>
      </c>
      <c r="I767" s="36">
        <v>0</v>
      </c>
      <c r="J767" s="37">
        <v>4009221</v>
      </c>
      <c r="K767" s="36">
        <v>48110578</v>
      </c>
      <c r="L767" s="50">
        <v>52119799</v>
      </c>
      <c r="M767" s="39"/>
      <c r="N767" s="36">
        <v>48110578</v>
      </c>
      <c r="O767" s="36">
        <v>35602990</v>
      </c>
      <c r="P767" s="36">
        <v>4693518</v>
      </c>
      <c r="Q767" s="36">
        <f>Q766*1936.27</f>
        <v>58528337.705026008</v>
      </c>
      <c r="R767" s="7"/>
      <c r="S767" s="7"/>
      <c r="T767" s="7"/>
      <c r="U767" s="7"/>
      <c r="V767" s="7"/>
      <c r="W767" s="7"/>
      <c r="X767" s="7"/>
      <c r="Y767" s="7"/>
      <c r="Z767" s="7"/>
    </row>
    <row r="768" spans="1:26" ht="12.75" customHeight="1" x14ac:dyDescent="0.2">
      <c r="A768" s="95"/>
      <c r="B768" s="95"/>
      <c r="C768" s="40" t="s">
        <v>36</v>
      </c>
      <c r="D768" s="41">
        <v>21</v>
      </c>
      <c r="E768" s="30">
        <v>20424.560000000001</v>
      </c>
      <c r="F768" s="30">
        <v>0</v>
      </c>
      <c r="G768" s="30">
        <v>0</v>
      </c>
      <c r="H768" s="30">
        <v>6459.63</v>
      </c>
      <c r="I768" s="30">
        <v>0</v>
      </c>
      <c r="J768" s="42">
        <v>2240.35</v>
      </c>
      <c r="K768" s="43">
        <v>26884.19</v>
      </c>
      <c r="L768" s="51">
        <v>29124.54</v>
      </c>
      <c r="M768" s="33"/>
      <c r="N768" s="30">
        <v>26884.19</v>
      </c>
      <c r="O768" s="30">
        <v>20424.560000000001</v>
      </c>
      <c r="P768" s="30">
        <v>2424</v>
      </c>
      <c r="Q768" s="30">
        <f>(N768+O768*0.18+J768)+(IF((P768-O768*0.18)&gt;0,(P768-O768*0.18),0))</f>
        <v>32800.960800000001</v>
      </c>
      <c r="R768" s="7"/>
      <c r="S768" s="7"/>
      <c r="T768" s="7"/>
      <c r="U768" s="7"/>
      <c r="V768" s="7"/>
      <c r="W768" s="7"/>
      <c r="X768" s="7"/>
      <c r="Y768" s="7"/>
      <c r="Z768" s="7"/>
    </row>
    <row r="769" spans="1:26" ht="9" customHeight="1" x14ac:dyDescent="0.2">
      <c r="A769" s="95"/>
      <c r="B769" s="95"/>
      <c r="C769" s="34" t="s">
        <v>37</v>
      </c>
      <c r="D769" s="35">
        <v>27</v>
      </c>
      <c r="E769" s="36">
        <v>39547463</v>
      </c>
      <c r="F769" s="36">
        <v>0</v>
      </c>
      <c r="G769" s="36">
        <v>0</v>
      </c>
      <c r="H769" s="36">
        <v>12507588</v>
      </c>
      <c r="I769" s="36">
        <v>0</v>
      </c>
      <c r="J769" s="37">
        <v>4337922</v>
      </c>
      <c r="K769" s="36">
        <v>52055051</v>
      </c>
      <c r="L769" s="50">
        <v>56392973</v>
      </c>
      <c r="M769" s="39"/>
      <c r="N769" s="36">
        <v>52055051</v>
      </c>
      <c r="O769" s="36">
        <v>39547463</v>
      </c>
      <c r="P769" s="36">
        <v>4693518</v>
      </c>
      <c r="Q769" s="36">
        <f>Q768*1936.27</f>
        <v>63511516.368216</v>
      </c>
      <c r="R769" s="7"/>
      <c r="S769" s="7"/>
      <c r="T769" s="7"/>
      <c r="U769" s="7"/>
      <c r="V769" s="7"/>
      <c r="W769" s="7"/>
      <c r="X769" s="7"/>
      <c r="Y769" s="7"/>
      <c r="Z769" s="7"/>
    </row>
    <row r="770" spans="1:26" ht="12.75" customHeight="1" x14ac:dyDescent="0.2">
      <c r="A770" s="95"/>
      <c r="B770" s="95"/>
      <c r="C770" s="40" t="s">
        <v>36</v>
      </c>
      <c r="D770" s="41">
        <v>28</v>
      </c>
      <c r="E770" s="30">
        <v>22423.01</v>
      </c>
      <c r="F770" s="30">
        <v>0</v>
      </c>
      <c r="G770" s="30">
        <v>0</v>
      </c>
      <c r="H770" s="30">
        <v>6459.63</v>
      </c>
      <c r="I770" s="30">
        <v>0</v>
      </c>
      <c r="J770" s="42">
        <v>2406.89</v>
      </c>
      <c r="K770" s="43">
        <v>28882.639999999999</v>
      </c>
      <c r="L770" s="51">
        <v>31289.53</v>
      </c>
      <c r="M770" s="33"/>
      <c r="N770" s="30">
        <v>28882.639999999999</v>
      </c>
      <c r="O770" s="30">
        <v>22423.01</v>
      </c>
      <c r="P770" s="30">
        <v>3090</v>
      </c>
      <c r="Q770" s="30">
        <f>(N770+O770*0.18+J770)+(IF((P770-O770*0.18)&gt;0,(P770-O770*0.18),0))</f>
        <v>35325.671799999996</v>
      </c>
      <c r="R770" s="7"/>
      <c r="S770" s="7"/>
      <c r="T770" s="7"/>
      <c r="U770" s="7"/>
      <c r="V770" s="7"/>
      <c r="W770" s="7"/>
      <c r="X770" s="7"/>
      <c r="Y770" s="7"/>
      <c r="Z770" s="7"/>
    </row>
    <row r="771" spans="1:26" ht="9" customHeight="1" x14ac:dyDescent="0.2">
      <c r="A771" s="95"/>
      <c r="B771" s="95"/>
      <c r="C771" s="34" t="s">
        <v>37</v>
      </c>
      <c r="D771" s="35">
        <v>34</v>
      </c>
      <c r="E771" s="36">
        <v>43417002</v>
      </c>
      <c r="F771" s="36">
        <v>0</v>
      </c>
      <c r="G771" s="36">
        <v>0</v>
      </c>
      <c r="H771" s="36">
        <v>12507588</v>
      </c>
      <c r="I771" s="36">
        <v>0</v>
      </c>
      <c r="J771" s="37">
        <v>4660389</v>
      </c>
      <c r="K771" s="36">
        <v>55924589</v>
      </c>
      <c r="L771" s="50">
        <v>60584978</v>
      </c>
      <c r="M771" s="39"/>
      <c r="N771" s="36">
        <v>55924589</v>
      </c>
      <c r="O771" s="36">
        <v>43417002</v>
      </c>
      <c r="P771" s="36">
        <v>5983074</v>
      </c>
      <c r="Q771" s="36">
        <f>Q770*1936.27</f>
        <v>68400038.536185995</v>
      </c>
      <c r="R771" s="7"/>
      <c r="S771" s="7"/>
      <c r="T771" s="7"/>
      <c r="U771" s="7"/>
      <c r="V771" s="7"/>
      <c r="W771" s="7"/>
      <c r="X771" s="7"/>
      <c r="Y771" s="7"/>
      <c r="Z771" s="7"/>
    </row>
    <row r="772" spans="1:26" ht="12.75" customHeight="1" x14ac:dyDescent="0.2">
      <c r="A772" s="95"/>
      <c r="B772" s="95"/>
      <c r="C772" s="40" t="s">
        <v>36</v>
      </c>
      <c r="D772" s="41">
        <v>35</v>
      </c>
      <c r="E772" s="30">
        <v>23904.17</v>
      </c>
      <c r="F772" s="30">
        <v>0</v>
      </c>
      <c r="G772" s="30">
        <v>0</v>
      </c>
      <c r="H772" s="30">
        <v>6459.63</v>
      </c>
      <c r="I772" s="30">
        <v>0</v>
      </c>
      <c r="J772" s="42">
        <v>2530.3200000000002</v>
      </c>
      <c r="K772" s="43">
        <v>30363.8</v>
      </c>
      <c r="L772" s="51">
        <v>32894.120000000003</v>
      </c>
      <c r="M772" s="33"/>
      <c r="N772" s="30">
        <v>30363.8</v>
      </c>
      <c r="O772" s="30">
        <v>23904.17</v>
      </c>
      <c r="P772" s="30">
        <v>3090</v>
      </c>
      <c r="Q772" s="30">
        <f>(N772+O772*0.18+J772)+(IF((P772-O772*0.18)&gt;0,(P772-O772*0.18),0))</f>
        <v>37196.870600000002</v>
      </c>
      <c r="R772" s="7"/>
      <c r="S772" s="7"/>
      <c r="T772" s="7"/>
      <c r="U772" s="7"/>
      <c r="V772" s="7"/>
      <c r="W772" s="7"/>
      <c r="X772" s="7"/>
      <c r="Y772" s="7"/>
      <c r="Z772" s="7"/>
    </row>
    <row r="773" spans="1:26" ht="9" customHeight="1" x14ac:dyDescent="0.2">
      <c r="A773" s="110"/>
      <c r="B773" s="110"/>
      <c r="C773" s="47" t="s">
        <v>37</v>
      </c>
      <c r="D773" s="48"/>
      <c r="E773" s="36">
        <v>46284927</v>
      </c>
      <c r="F773" s="36">
        <v>0</v>
      </c>
      <c r="G773" s="36">
        <v>0</v>
      </c>
      <c r="H773" s="36">
        <v>12507588</v>
      </c>
      <c r="I773" s="36">
        <v>0</v>
      </c>
      <c r="J773" s="49">
        <v>4899383</v>
      </c>
      <c r="K773" s="46">
        <v>58792515</v>
      </c>
      <c r="L773" s="52">
        <v>63691898</v>
      </c>
      <c r="M773" s="39"/>
      <c r="N773" s="36">
        <v>58792515</v>
      </c>
      <c r="O773" s="36">
        <v>46284927</v>
      </c>
      <c r="P773" s="36">
        <v>5983074</v>
      </c>
      <c r="Q773" s="36">
        <f>Q772*1936.27</f>
        <v>72023184.636662006</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6"/>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6"/>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6"/>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6"/>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6"/>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6"/>
      <c r="M779" s="39"/>
      <c r="N779" s="96"/>
      <c r="O779" s="96"/>
      <c r="P779" s="96"/>
      <c r="Q779" s="96"/>
      <c r="R779" s="7"/>
      <c r="S779" s="7"/>
      <c r="T779" s="7"/>
      <c r="U779" s="7"/>
      <c r="V779" s="7"/>
      <c r="W779" s="7"/>
      <c r="X779" s="7"/>
      <c r="Y779" s="7"/>
      <c r="Z779" s="7"/>
    </row>
    <row r="780" spans="1:26" ht="12.75" customHeight="1" x14ac:dyDescent="0.2">
      <c r="A780" s="98">
        <v>39814</v>
      </c>
      <c r="B780" s="98">
        <v>40268</v>
      </c>
      <c r="C780" s="28" t="s">
        <v>36</v>
      </c>
      <c r="D780" s="29">
        <v>0</v>
      </c>
      <c r="E780" s="30">
        <v>14513.64</v>
      </c>
      <c r="F780" s="30">
        <v>0</v>
      </c>
      <c r="G780" s="30">
        <v>0</v>
      </c>
      <c r="H780" s="30">
        <v>6459.63</v>
      </c>
      <c r="I780" s="30">
        <v>0</v>
      </c>
      <c r="J780" s="30">
        <v>1747.77</v>
      </c>
      <c r="K780" s="31">
        <v>20973.27</v>
      </c>
      <c r="L780" s="32">
        <v>22721.040000000001</v>
      </c>
      <c r="M780" s="33"/>
      <c r="N780" s="30">
        <v>20973.27</v>
      </c>
      <c r="O780" s="30">
        <v>14513.64</v>
      </c>
      <c r="P780" s="30">
        <v>1968</v>
      </c>
      <c r="Q780" s="30">
        <f>(N780+O780*0.18+J780)+(IF((P780-O780*0.18)&gt;0,(P780-O780*0.18),0))</f>
        <v>25333.495200000001</v>
      </c>
      <c r="R780" s="7"/>
      <c r="S780" s="7"/>
      <c r="T780" s="7"/>
      <c r="U780" s="7"/>
      <c r="V780" s="7"/>
      <c r="W780" s="7"/>
      <c r="X780" s="7"/>
      <c r="Y780" s="7"/>
      <c r="Z780" s="7"/>
    </row>
    <row r="781" spans="1:26" ht="9" customHeight="1" x14ac:dyDescent="0.2">
      <c r="A781" s="95"/>
      <c r="B781" s="95"/>
      <c r="C781" s="34" t="s">
        <v>37</v>
      </c>
      <c r="D781" s="35">
        <v>2</v>
      </c>
      <c r="E781" s="36">
        <v>28102326</v>
      </c>
      <c r="F781" s="36">
        <v>0</v>
      </c>
      <c r="G781" s="36">
        <v>0</v>
      </c>
      <c r="H781" s="36">
        <v>12507588</v>
      </c>
      <c r="I781" s="36">
        <v>0</v>
      </c>
      <c r="J781" s="37">
        <v>3384155</v>
      </c>
      <c r="K781" s="36">
        <v>40609914</v>
      </c>
      <c r="L781" s="50">
        <v>43994068</v>
      </c>
      <c r="M781" s="39"/>
      <c r="N781" s="36">
        <v>40609914</v>
      </c>
      <c r="O781" s="36">
        <v>28102326</v>
      </c>
      <c r="P781" s="36">
        <v>3810579</v>
      </c>
      <c r="Q781" s="36">
        <f>Q780*1936.27</f>
        <v>49052486.750904001</v>
      </c>
      <c r="R781" s="7"/>
      <c r="S781" s="7"/>
      <c r="T781" s="7"/>
      <c r="U781" s="7"/>
      <c r="V781" s="7"/>
      <c r="W781" s="7"/>
      <c r="X781" s="7"/>
      <c r="Y781" s="7"/>
      <c r="Z781" s="7"/>
    </row>
    <row r="782" spans="1:26" ht="12.75" customHeight="1" x14ac:dyDescent="0.2">
      <c r="A782" s="156">
        <v>39814</v>
      </c>
      <c r="B782" s="156">
        <v>40268</v>
      </c>
      <c r="C782" s="40" t="s">
        <v>36</v>
      </c>
      <c r="D782" s="41">
        <v>3</v>
      </c>
      <c r="E782" s="30">
        <v>15092.54</v>
      </c>
      <c r="F782" s="30">
        <v>0</v>
      </c>
      <c r="G782" s="30">
        <v>0</v>
      </c>
      <c r="H782" s="30">
        <v>6459.63</v>
      </c>
      <c r="I782" s="30">
        <v>0</v>
      </c>
      <c r="J782" s="42">
        <v>1796.01</v>
      </c>
      <c r="K782" s="43">
        <v>21552.17</v>
      </c>
      <c r="L782" s="51">
        <v>23348.18</v>
      </c>
      <c r="M782" s="33"/>
      <c r="N782" s="30">
        <v>21552.17</v>
      </c>
      <c r="O782" s="30">
        <v>15092.54</v>
      </c>
      <c r="P782" s="30">
        <v>1968</v>
      </c>
      <c r="Q782" s="30">
        <f>(N782+O782*0.18+J782)+(IF((P782-O782*0.18)&gt;0,(P782-O782*0.18),0))</f>
        <v>26064.837199999998</v>
      </c>
      <c r="R782" s="7"/>
      <c r="S782" s="7"/>
      <c r="T782" s="7"/>
      <c r="U782" s="7"/>
      <c r="V782" s="7"/>
      <c r="W782" s="7"/>
      <c r="X782" s="7"/>
      <c r="Y782" s="7"/>
      <c r="Z782" s="7"/>
    </row>
    <row r="783" spans="1:26" ht="9" customHeight="1" x14ac:dyDescent="0.2">
      <c r="A783" s="95"/>
      <c r="B783" s="95"/>
      <c r="C783" s="34" t="s">
        <v>37</v>
      </c>
      <c r="D783" s="35">
        <v>8</v>
      </c>
      <c r="E783" s="36">
        <v>29223232</v>
      </c>
      <c r="F783" s="36">
        <v>0</v>
      </c>
      <c r="G783" s="36">
        <v>0</v>
      </c>
      <c r="H783" s="36">
        <v>12507588</v>
      </c>
      <c r="I783" s="36">
        <v>0</v>
      </c>
      <c r="J783" s="37">
        <v>3477560</v>
      </c>
      <c r="K783" s="36">
        <v>41730820</v>
      </c>
      <c r="L783" s="50">
        <v>45208380</v>
      </c>
      <c r="M783" s="39"/>
      <c r="N783" s="36">
        <v>41730820</v>
      </c>
      <c r="O783" s="36">
        <v>29223232</v>
      </c>
      <c r="P783" s="36">
        <v>3810579</v>
      </c>
      <c r="Q783" s="36">
        <f>Q782*1936.27</f>
        <v>50468562.325243995</v>
      </c>
      <c r="R783" s="7"/>
      <c r="S783" s="7"/>
      <c r="T783" s="7"/>
      <c r="U783" s="7"/>
      <c r="V783" s="7"/>
      <c r="W783" s="7"/>
      <c r="X783" s="7"/>
      <c r="Y783" s="7"/>
      <c r="Z783" s="7"/>
    </row>
    <row r="784" spans="1:26" ht="12.75" customHeight="1" x14ac:dyDescent="0.2">
      <c r="A784" s="95"/>
      <c r="B784" s="95"/>
      <c r="C784" s="40" t="s">
        <v>36</v>
      </c>
      <c r="D784" s="41">
        <v>9</v>
      </c>
      <c r="E784" s="30">
        <v>16985.099999999999</v>
      </c>
      <c r="F784" s="30">
        <v>0</v>
      </c>
      <c r="G784" s="30">
        <v>0</v>
      </c>
      <c r="H784" s="30">
        <v>6459.63</v>
      </c>
      <c r="I784" s="30">
        <v>0</v>
      </c>
      <c r="J784" s="42">
        <v>1953.73</v>
      </c>
      <c r="K784" s="43">
        <v>23444.73</v>
      </c>
      <c r="L784" s="51">
        <v>25398.46</v>
      </c>
      <c r="M784" s="33"/>
      <c r="N784" s="30">
        <v>23444.73</v>
      </c>
      <c r="O784" s="30">
        <v>16985.099999999999</v>
      </c>
      <c r="P784" s="30">
        <v>1968</v>
      </c>
      <c r="Q784" s="30">
        <f>(N784+O784*0.18+J784)+(IF((P784-O784*0.18)&gt;0,(P784-O784*0.18),0))</f>
        <v>28455.777999999998</v>
      </c>
      <c r="R784" s="7"/>
      <c r="S784" s="7"/>
      <c r="T784" s="7"/>
      <c r="U784" s="7"/>
      <c r="V784" s="7"/>
      <c r="W784" s="7"/>
      <c r="X784" s="7"/>
      <c r="Y784" s="7"/>
      <c r="Z784" s="7"/>
    </row>
    <row r="785" spans="1:26" ht="9" customHeight="1" x14ac:dyDescent="0.2">
      <c r="A785" s="95"/>
      <c r="B785" s="95"/>
      <c r="C785" s="34" t="s">
        <v>37</v>
      </c>
      <c r="D785" s="35">
        <v>14</v>
      </c>
      <c r="E785" s="36">
        <v>32887740</v>
      </c>
      <c r="F785" s="36">
        <v>0</v>
      </c>
      <c r="G785" s="36">
        <v>0</v>
      </c>
      <c r="H785" s="36">
        <v>12507588</v>
      </c>
      <c r="I785" s="36">
        <v>0</v>
      </c>
      <c r="J785" s="37">
        <v>3782949</v>
      </c>
      <c r="K785" s="36">
        <v>45395327</v>
      </c>
      <c r="L785" s="50">
        <v>49178276</v>
      </c>
      <c r="M785" s="39"/>
      <c r="N785" s="36">
        <v>45395327</v>
      </c>
      <c r="O785" s="36">
        <v>32887740</v>
      </c>
      <c r="P785" s="36">
        <v>3810579</v>
      </c>
      <c r="Q785" s="36">
        <f>Q784*1936.27</f>
        <v>55098069.268059999</v>
      </c>
      <c r="R785" s="7"/>
      <c r="S785" s="7"/>
      <c r="T785" s="7"/>
      <c r="U785" s="7"/>
      <c r="V785" s="7"/>
      <c r="W785" s="7"/>
      <c r="X785" s="7"/>
      <c r="Y785" s="7"/>
      <c r="Z785" s="7"/>
    </row>
    <row r="786" spans="1:26" ht="12.75" customHeight="1" x14ac:dyDescent="0.2">
      <c r="A786" s="95"/>
      <c r="B786" s="95"/>
      <c r="C786" s="40" t="s">
        <v>36</v>
      </c>
      <c r="D786" s="41">
        <v>15</v>
      </c>
      <c r="E786" s="30">
        <v>19163.689999999999</v>
      </c>
      <c r="F786" s="30">
        <v>0</v>
      </c>
      <c r="G786" s="30">
        <v>0</v>
      </c>
      <c r="H786" s="30">
        <v>6459.63</v>
      </c>
      <c r="I786" s="30">
        <v>0</v>
      </c>
      <c r="J786" s="42">
        <v>2135.2800000000002</v>
      </c>
      <c r="K786" s="43">
        <v>25623.32</v>
      </c>
      <c r="L786" s="51">
        <v>27758.6</v>
      </c>
      <c r="M786" s="33"/>
      <c r="N786" s="30">
        <v>25623.32</v>
      </c>
      <c r="O786" s="30">
        <v>19163.689999999999</v>
      </c>
      <c r="P786" s="30">
        <v>2424</v>
      </c>
      <c r="Q786" s="30">
        <f>(N786+O786*0.18+J786)+(IF((P786-O786*0.18)&gt;0,(P786-O786*0.18),0))</f>
        <v>31208.064199999997</v>
      </c>
      <c r="R786" s="7"/>
      <c r="S786" s="7"/>
      <c r="T786" s="7"/>
      <c r="U786" s="7"/>
      <c r="V786" s="7"/>
      <c r="W786" s="7"/>
      <c r="X786" s="7"/>
      <c r="Y786" s="7"/>
      <c r="Z786" s="7"/>
    </row>
    <row r="787" spans="1:26" ht="9" customHeight="1" x14ac:dyDescent="0.2">
      <c r="A787" s="95"/>
      <c r="B787" s="95"/>
      <c r="C787" s="34" t="s">
        <v>37</v>
      </c>
      <c r="D787" s="35">
        <v>20</v>
      </c>
      <c r="E787" s="36">
        <v>37106078</v>
      </c>
      <c r="F787" s="36">
        <v>0</v>
      </c>
      <c r="G787" s="36">
        <v>0</v>
      </c>
      <c r="H787" s="36">
        <v>12507588</v>
      </c>
      <c r="I787" s="36">
        <v>0</v>
      </c>
      <c r="J787" s="37">
        <v>4134479</v>
      </c>
      <c r="K787" s="36">
        <v>49613666</v>
      </c>
      <c r="L787" s="50">
        <v>53748144</v>
      </c>
      <c r="M787" s="39"/>
      <c r="N787" s="36">
        <v>49613666</v>
      </c>
      <c r="O787" s="36">
        <v>37106078</v>
      </c>
      <c r="P787" s="36">
        <v>4693518</v>
      </c>
      <c r="Q787" s="36">
        <f>Q786*1936.27</f>
        <v>60427238.468533993</v>
      </c>
      <c r="R787" s="7"/>
      <c r="S787" s="7"/>
      <c r="T787" s="7"/>
      <c r="U787" s="7"/>
      <c r="V787" s="7"/>
      <c r="W787" s="7"/>
      <c r="X787" s="7"/>
      <c r="Y787" s="7"/>
      <c r="Z787" s="7"/>
    </row>
    <row r="788" spans="1:26" ht="12.75" customHeight="1" x14ac:dyDescent="0.2">
      <c r="A788" s="95"/>
      <c r="B788" s="95"/>
      <c r="C788" s="40" t="s">
        <v>36</v>
      </c>
      <c r="D788" s="41">
        <v>21</v>
      </c>
      <c r="E788" s="30">
        <v>21279.200000000001</v>
      </c>
      <c r="F788" s="30">
        <v>0</v>
      </c>
      <c r="G788" s="30">
        <v>0</v>
      </c>
      <c r="H788" s="30">
        <v>6459.63</v>
      </c>
      <c r="I788" s="30">
        <v>0</v>
      </c>
      <c r="J788" s="42">
        <v>2311.5700000000002</v>
      </c>
      <c r="K788" s="43">
        <v>27738.83</v>
      </c>
      <c r="L788" s="51">
        <v>30050.400000000001</v>
      </c>
      <c r="M788" s="33"/>
      <c r="N788" s="30">
        <v>27738.83</v>
      </c>
      <c r="O788" s="30">
        <v>21279.200000000001</v>
      </c>
      <c r="P788" s="30">
        <v>2424</v>
      </c>
      <c r="Q788" s="30">
        <f>(N788+O788*0.18+J788)+(IF((P788-O788*0.18)&gt;0,(P788-O788*0.18),0))</f>
        <v>33880.656000000003</v>
      </c>
      <c r="R788" s="7"/>
      <c r="S788" s="7"/>
      <c r="T788" s="7"/>
      <c r="U788" s="7"/>
      <c r="V788" s="7"/>
      <c r="W788" s="7"/>
      <c r="X788" s="7"/>
      <c r="Y788" s="7"/>
      <c r="Z788" s="7"/>
    </row>
    <row r="789" spans="1:26" ht="9" customHeight="1" x14ac:dyDescent="0.2">
      <c r="A789" s="95"/>
      <c r="B789" s="95"/>
      <c r="C789" s="34" t="s">
        <v>37</v>
      </c>
      <c r="D789" s="35">
        <v>27</v>
      </c>
      <c r="E789" s="36">
        <v>41202277</v>
      </c>
      <c r="F789" s="36">
        <v>0</v>
      </c>
      <c r="G789" s="36">
        <v>0</v>
      </c>
      <c r="H789" s="36">
        <v>12507588</v>
      </c>
      <c r="I789" s="36">
        <v>0</v>
      </c>
      <c r="J789" s="37">
        <v>4475824</v>
      </c>
      <c r="K789" s="36">
        <v>53709864</v>
      </c>
      <c r="L789" s="50">
        <v>58185688</v>
      </c>
      <c r="M789" s="39"/>
      <c r="N789" s="36">
        <v>53709864</v>
      </c>
      <c r="O789" s="36">
        <v>41202277</v>
      </c>
      <c r="P789" s="36">
        <v>4693518</v>
      </c>
      <c r="Q789" s="36">
        <f>Q788*1936.27</f>
        <v>65602097.793120004</v>
      </c>
      <c r="R789" s="7"/>
      <c r="S789" s="7"/>
      <c r="T789" s="7"/>
      <c r="U789" s="7"/>
      <c r="V789" s="7"/>
      <c r="W789" s="7"/>
      <c r="X789" s="7"/>
      <c r="Y789" s="7"/>
      <c r="Z789" s="7"/>
    </row>
    <row r="790" spans="1:26" ht="12.75" customHeight="1" x14ac:dyDescent="0.2">
      <c r="A790" s="95"/>
      <c r="B790" s="95"/>
      <c r="C790" s="40" t="s">
        <v>36</v>
      </c>
      <c r="D790" s="41">
        <v>28</v>
      </c>
      <c r="E790" s="30">
        <v>23354.45</v>
      </c>
      <c r="F790" s="30">
        <v>0</v>
      </c>
      <c r="G790" s="30">
        <v>0</v>
      </c>
      <c r="H790" s="30">
        <v>6459.63</v>
      </c>
      <c r="I790" s="30">
        <v>0</v>
      </c>
      <c r="J790" s="42">
        <v>2484.5100000000002</v>
      </c>
      <c r="K790" s="43">
        <v>29814.080000000002</v>
      </c>
      <c r="L790" s="51">
        <v>32298.59</v>
      </c>
      <c r="M790" s="33"/>
      <c r="N790" s="30">
        <v>29814.080000000002</v>
      </c>
      <c r="O790" s="30">
        <v>23354.45</v>
      </c>
      <c r="P790" s="30">
        <v>3090</v>
      </c>
      <c r="Q790" s="30">
        <f>(N790+O790*0.18+J790)+(IF((P790-O790*0.18)&gt;0,(P790-O790*0.18),0))</f>
        <v>36502.391000000003</v>
      </c>
      <c r="R790" s="7"/>
      <c r="S790" s="7"/>
      <c r="T790" s="7"/>
      <c r="U790" s="7"/>
      <c r="V790" s="7"/>
      <c r="W790" s="7"/>
      <c r="X790" s="7"/>
      <c r="Y790" s="7"/>
      <c r="Z790" s="7"/>
    </row>
    <row r="791" spans="1:26" ht="9" customHeight="1" x14ac:dyDescent="0.2">
      <c r="A791" s="95"/>
      <c r="B791" s="95"/>
      <c r="C791" s="34" t="s">
        <v>37</v>
      </c>
      <c r="D791" s="35">
        <v>34</v>
      </c>
      <c r="E791" s="36">
        <v>45220521</v>
      </c>
      <c r="F791" s="36">
        <v>0</v>
      </c>
      <c r="G791" s="36">
        <v>0</v>
      </c>
      <c r="H791" s="36">
        <v>12507588</v>
      </c>
      <c r="I791" s="36">
        <v>0</v>
      </c>
      <c r="J791" s="37">
        <v>4810682</v>
      </c>
      <c r="K791" s="36">
        <v>57728109</v>
      </c>
      <c r="L791" s="50">
        <v>62538791</v>
      </c>
      <c r="M791" s="39"/>
      <c r="N791" s="36">
        <v>57728109</v>
      </c>
      <c r="O791" s="36">
        <v>45220521</v>
      </c>
      <c r="P791" s="36">
        <v>5983074</v>
      </c>
      <c r="Q791" s="36">
        <f>Q790*1936.27</f>
        <v>70678484.621570006</v>
      </c>
      <c r="R791" s="7"/>
      <c r="S791" s="7"/>
      <c r="T791" s="7"/>
      <c r="U791" s="7"/>
      <c r="V791" s="7"/>
      <c r="W791" s="7"/>
      <c r="X791" s="7"/>
      <c r="Y791" s="7"/>
      <c r="Z791" s="7"/>
    </row>
    <row r="792" spans="1:26" ht="12.75" customHeight="1" x14ac:dyDescent="0.2">
      <c r="A792" s="95"/>
      <c r="B792" s="95"/>
      <c r="C792" s="40" t="s">
        <v>36</v>
      </c>
      <c r="D792" s="41">
        <v>35</v>
      </c>
      <c r="E792" s="30">
        <v>24892.49</v>
      </c>
      <c r="F792" s="30">
        <v>0</v>
      </c>
      <c r="G792" s="30">
        <v>0</v>
      </c>
      <c r="H792" s="30">
        <v>6459.63</v>
      </c>
      <c r="I792" s="30">
        <v>0</v>
      </c>
      <c r="J792" s="42">
        <v>2612.6799999999998</v>
      </c>
      <c r="K792" s="43">
        <v>31352.12</v>
      </c>
      <c r="L792" s="51">
        <v>33964.800000000003</v>
      </c>
      <c r="M792" s="33"/>
      <c r="N792" s="30">
        <v>31352.12</v>
      </c>
      <c r="O792" s="30">
        <v>24892.49</v>
      </c>
      <c r="P792" s="30">
        <v>3090</v>
      </c>
      <c r="Q792" s="30">
        <f>(N792+O792*0.18+J792)+(IF((P792-O792*0.18)&gt;0,(P792-O792*0.18),0))</f>
        <v>38445.448199999999</v>
      </c>
      <c r="R792" s="7"/>
      <c r="S792" s="7"/>
      <c r="T792" s="7"/>
      <c r="U792" s="7"/>
      <c r="V792" s="7"/>
      <c r="W792" s="7"/>
      <c r="X792" s="7"/>
      <c r="Y792" s="7"/>
      <c r="Z792" s="7"/>
    </row>
    <row r="793" spans="1:26" ht="9" customHeight="1" x14ac:dyDescent="0.2">
      <c r="A793" s="110"/>
      <c r="B793" s="110"/>
      <c r="C793" s="47" t="s">
        <v>37</v>
      </c>
      <c r="D793" s="48"/>
      <c r="E793" s="46">
        <v>48198582</v>
      </c>
      <c r="F793" s="46">
        <v>0</v>
      </c>
      <c r="G793" s="46">
        <v>0</v>
      </c>
      <c r="H793" s="46">
        <v>12507588</v>
      </c>
      <c r="I793" s="46">
        <v>0</v>
      </c>
      <c r="J793" s="49">
        <v>5058854</v>
      </c>
      <c r="K793" s="46">
        <v>60706169</v>
      </c>
      <c r="L793" s="52">
        <v>65765023</v>
      </c>
      <c r="M793" s="39"/>
      <c r="N793" s="36">
        <v>60706169</v>
      </c>
      <c r="O793" s="36">
        <v>48198582</v>
      </c>
      <c r="P793" s="36">
        <v>5983074</v>
      </c>
      <c r="Q793" s="36">
        <f>Q792*1936.27</f>
        <v>74440767.986213997</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6"/>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6"/>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6"/>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6"/>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6"/>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6"/>
      <c r="M799" s="39"/>
      <c r="N799" s="96"/>
      <c r="O799" s="96"/>
      <c r="P799" s="96"/>
      <c r="Q799" s="96"/>
      <c r="R799" s="7"/>
      <c r="S799" s="7"/>
      <c r="T799" s="7"/>
      <c r="U799" s="7"/>
      <c r="V799" s="7"/>
      <c r="W799" s="7"/>
      <c r="X799" s="7"/>
      <c r="Y799" s="7"/>
      <c r="Z799" s="7"/>
    </row>
    <row r="800" spans="1:26" ht="12.75" customHeight="1" x14ac:dyDescent="0.2">
      <c r="A800" s="98">
        <v>40269</v>
      </c>
      <c r="B800" s="98">
        <v>40359</v>
      </c>
      <c r="C800" s="28" t="s">
        <v>36</v>
      </c>
      <c r="D800" s="29">
        <v>0</v>
      </c>
      <c r="E800" s="30">
        <v>14513.64</v>
      </c>
      <c r="F800" s="30">
        <v>0</v>
      </c>
      <c r="G800" s="30">
        <v>0</v>
      </c>
      <c r="H800" s="30">
        <v>6459.63</v>
      </c>
      <c r="I800" s="30">
        <v>94.38</v>
      </c>
      <c r="J800" s="30">
        <v>1747.77</v>
      </c>
      <c r="K800" s="31">
        <v>21067.65</v>
      </c>
      <c r="L800" s="32">
        <v>22815.42</v>
      </c>
      <c r="M800" s="33"/>
      <c r="N800" s="30">
        <v>21067.65</v>
      </c>
      <c r="O800" s="30">
        <v>14608.02</v>
      </c>
      <c r="P800" s="30">
        <v>1968</v>
      </c>
      <c r="Q800" s="30">
        <f>(N800+O800*0.18+J800)+(IF((P800-O800*0.18)&gt;0,(P800-O800*0.18),0))</f>
        <v>25444.863600000001</v>
      </c>
      <c r="R800" s="7"/>
      <c r="S800" s="7"/>
      <c r="T800" s="7"/>
      <c r="U800" s="7"/>
      <c r="V800" s="7"/>
      <c r="W800" s="7"/>
      <c r="X800" s="7"/>
      <c r="Y800" s="7"/>
      <c r="Z800" s="7"/>
    </row>
    <row r="801" spans="1:26" ht="9" customHeight="1" x14ac:dyDescent="0.2">
      <c r="A801" s="95"/>
      <c r="B801" s="95"/>
      <c r="C801" s="34" t="s">
        <v>37</v>
      </c>
      <c r="D801" s="35">
        <v>2</v>
      </c>
      <c r="E801" s="36">
        <v>28102326</v>
      </c>
      <c r="F801" s="36">
        <v>0</v>
      </c>
      <c r="G801" s="36">
        <v>0</v>
      </c>
      <c r="H801" s="36">
        <v>12507588</v>
      </c>
      <c r="I801" s="36">
        <v>182745</v>
      </c>
      <c r="J801" s="37">
        <v>3384155</v>
      </c>
      <c r="K801" s="36">
        <v>40792659</v>
      </c>
      <c r="L801" s="50">
        <v>44176813</v>
      </c>
      <c r="M801" s="39"/>
      <c r="N801" s="36">
        <v>40792659</v>
      </c>
      <c r="O801" s="36">
        <v>28285071</v>
      </c>
      <c r="P801" s="36">
        <v>3810579</v>
      </c>
      <c r="Q801" s="36">
        <f>Q800*1936.27</f>
        <v>49268126.042772003</v>
      </c>
      <c r="R801" s="7"/>
      <c r="S801" s="7"/>
      <c r="T801" s="7"/>
      <c r="U801" s="7"/>
      <c r="V801" s="7"/>
      <c r="W801" s="7"/>
      <c r="X801" s="7"/>
      <c r="Y801" s="7"/>
      <c r="Z801" s="7"/>
    </row>
    <row r="802" spans="1:26" ht="12.75" customHeight="1" x14ac:dyDescent="0.2">
      <c r="A802" s="156">
        <v>40269</v>
      </c>
      <c r="B802" s="156">
        <v>40359</v>
      </c>
      <c r="C802" s="40" t="s">
        <v>36</v>
      </c>
      <c r="D802" s="41">
        <v>3</v>
      </c>
      <c r="E802" s="30">
        <v>15092.54</v>
      </c>
      <c r="F802" s="30">
        <v>0</v>
      </c>
      <c r="G802" s="30">
        <v>0</v>
      </c>
      <c r="H802" s="30">
        <v>6459.63</v>
      </c>
      <c r="I802" s="30">
        <v>94.38</v>
      </c>
      <c r="J802" s="42">
        <v>1796.01</v>
      </c>
      <c r="K802" s="43">
        <v>21646.55</v>
      </c>
      <c r="L802" s="51">
        <v>23442.560000000001</v>
      </c>
      <c r="M802" s="33"/>
      <c r="N802" s="30">
        <v>21646.55</v>
      </c>
      <c r="O802" s="30">
        <v>15186.92</v>
      </c>
      <c r="P802" s="30">
        <v>1968</v>
      </c>
      <c r="Q802" s="30">
        <f>(N802+O802*0.18+J802)+(IF((P802-O802*0.18)&gt;0,(P802-O802*0.18),0))</f>
        <v>26176.205599999998</v>
      </c>
      <c r="R802" s="7"/>
      <c r="S802" s="7"/>
      <c r="T802" s="7"/>
      <c r="U802" s="7"/>
      <c r="V802" s="7"/>
      <c r="W802" s="7"/>
      <c r="X802" s="7"/>
      <c r="Y802" s="7"/>
      <c r="Z802" s="7"/>
    </row>
    <row r="803" spans="1:26" ht="9" customHeight="1" x14ac:dyDescent="0.2">
      <c r="A803" s="95"/>
      <c r="B803" s="95"/>
      <c r="C803" s="34" t="s">
        <v>37</v>
      </c>
      <c r="D803" s="35">
        <v>8</v>
      </c>
      <c r="E803" s="36">
        <v>29223232</v>
      </c>
      <c r="F803" s="36">
        <v>0</v>
      </c>
      <c r="G803" s="36">
        <v>0</v>
      </c>
      <c r="H803" s="36">
        <v>12507588</v>
      </c>
      <c r="I803" s="36">
        <v>182745</v>
      </c>
      <c r="J803" s="37">
        <v>3477560</v>
      </c>
      <c r="K803" s="36">
        <v>41913565</v>
      </c>
      <c r="L803" s="50">
        <v>45391126</v>
      </c>
      <c r="M803" s="39"/>
      <c r="N803" s="36">
        <v>41913565</v>
      </c>
      <c r="O803" s="36">
        <v>29405978</v>
      </c>
      <c r="P803" s="36">
        <v>3810579</v>
      </c>
      <c r="Q803" s="36">
        <f>Q802*1936.27</f>
        <v>50684201.617111996</v>
      </c>
      <c r="R803" s="7"/>
      <c r="S803" s="7"/>
      <c r="T803" s="7"/>
      <c r="U803" s="7"/>
      <c r="V803" s="7"/>
      <c r="W803" s="7"/>
      <c r="X803" s="7"/>
      <c r="Y803" s="7"/>
      <c r="Z803" s="7"/>
    </row>
    <row r="804" spans="1:26" ht="12.75" customHeight="1" x14ac:dyDescent="0.2">
      <c r="A804" s="95"/>
      <c r="B804" s="95"/>
      <c r="C804" s="40" t="s">
        <v>36</v>
      </c>
      <c r="D804" s="41">
        <v>9</v>
      </c>
      <c r="E804" s="30">
        <v>16985.099999999999</v>
      </c>
      <c r="F804" s="30">
        <v>0</v>
      </c>
      <c r="G804" s="30">
        <v>0</v>
      </c>
      <c r="H804" s="30">
        <v>6459.63</v>
      </c>
      <c r="I804" s="30">
        <v>94.38</v>
      </c>
      <c r="J804" s="42">
        <v>1953.73</v>
      </c>
      <c r="K804" s="43">
        <v>23539.11</v>
      </c>
      <c r="L804" s="51">
        <v>25492.84</v>
      </c>
      <c r="M804" s="33"/>
      <c r="N804" s="30">
        <v>23539.11</v>
      </c>
      <c r="O804" s="30">
        <v>17079.48</v>
      </c>
      <c r="P804" s="30">
        <v>1968</v>
      </c>
      <c r="Q804" s="30">
        <f>(N804+O804*0.18+J804)+(IF((P804-O804*0.18)&gt;0,(P804-O804*0.18),0))</f>
        <v>28567.146400000001</v>
      </c>
      <c r="R804" s="7"/>
      <c r="S804" s="7"/>
      <c r="T804" s="7"/>
      <c r="U804" s="7"/>
      <c r="V804" s="7"/>
      <c r="W804" s="7"/>
      <c r="X804" s="7"/>
      <c r="Y804" s="7"/>
      <c r="Z804" s="7"/>
    </row>
    <row r="805" spans="1:26" ht="9" customHeight="1" x14ac:dyDescent="0.2">
      <c r="A805" s="95"/>
      <c r="B805" s="95"/>
      <c r="C805" s="34" t="s">
        <v>37</v>
      </c>
      <c r="D805" s="35">
        <v>14</v>
      </c>
      <c r="E805" s="36">
        <v>32887740</v>
      </c>
      <c r="F805" s="36">
        <v>0</v>
      </c>
      <c r="G805" s="36">
        <v>0</v>
      </c>
      <c r="H805" s="36">
        <v>12507588</v>
      </c>
      <c r="I805" s="36">
        <v>182745</v>
      </c>
      <c r="J805" s="37">
        <v>3782949</v>
      </c>
      <c r="K805" s="36">
        <v>45578073</v>
      </c>
      <c r="L805" s="50">
        <v>49361021</v>
      </c>
      <c r="M805" s="39"/>
      <c r="N805" s="36">
        <v>45578073</v>
      </c>
      <c r="O805" s="36">
        <v>33070485</v>
      </c>
      <c r="P805" s="36">
        <v>3810579</v>
      </c>
      <c r="Q805" s="36">
        <f>Q804*1936.27</f>
        <v>55313708.559928</v>
      </c>
      <c r="R805" s="7"/>
      <c r="S805" s="7"/>
      <c r="T805" s="7"/>
      <c r="U805" s="7"/>
      <c r="V805" s="7"/>
      <c r="W805" s="7"/>
      <c r="X805" s="7"/>
      <c r="Y805" s="7"/>
      <c r="Z805" s="7"/>
    </row>
    <row r="806" spans="1:26" ht="12.75" customHeight="1" x14ac:dyDescent="0.2">
      <c r="A806" s="95"/>
      <c r="B806" s="95"/>
      <c r="C806" s="40" t="s">
        <v>36</v>
      </c>
      <c r="D806" s="41">
        <v>15</v>
      </c>
      <c r="E806" s="30">
        <v>19163.689999999999</v>
      </c>
      <c r="F806" s="30">
        <v>0</v>
      </c>
      <c r="G806" s="30">
        <v>0</v>
      </c>
      <c r="H806" s="30">
        <v>6459.63</v>
      </c>
      <c r="I806" s="30">
        <v>94.38</v>
      </c>
      <c r="J806" s="42">
        <v>2135.2800000000002</v>
      </c>
      <c r="K806" s="43">
        <v>25717.7</v>
      </c>
      <c r="L806" s="51">
        <v>27852.98</v>
      </c>
      <c r="M806" s="33"/>
      <c r="N806" s="30">
        <v>25717.7</v>
      </c>
      <c r="O806" s="30">
        <v>19258.07</v>
      </c>
      <c r="P806" s="30">
        <v>2424</v>
      </c>
      <c r="Q806" s="30">
        <f>(N806+O806*0.18+J806)+(IF((P806-O806*0.18)&gt;0,(P806-O806*0.18),0))</f>
        <v>31319.4326</v>
      </c>
      <c r="R806" s="7"/>
      <c r="S806" s="7"/>
      <c r="T806" s="7"/>
      <c r="U806" s="7"/>
      <c r="V806" s="7"/>
      <c r="W806" s="7"/>
      <c r="X806" s="7"/>
      <c r="Y806" s="7"/>
      <c r="Z806" s="7"/>
    </row>
    <row r="807" spans="1:26" ht="9" customHeight="1" x14ac:dyDescent="0.2">
      <c r="A807" s="95"/>
      <c r="B807" s="95"/>
      <c r="C807" s="34" t="s">
        <v>37</v>
      </c>
      <c r="D807" s="35">
        <v>20</v>
      </c>
      <c r="E807" s="36">
        <v>37106078</v>
      </c>
      <c r="F807" s="36">
        <v>0</v>
      </c>
      <c r="G807" s="36">
        <v>0</v>
      </c>
      <c r="H807" s="36">
        <v>12507588</v>
      </c>
      <c r="I807" s="36">
        <v>182745</v>
      </c>
      <c r="J807" s="37">
        <v>4134479</v>
      </c>
      <c r="K807" s="36">
        <v>49796411</v>
      </c>
      <c r="L807" s="50">
        <v>53930890</v>
      </c>
      <c r="M807" s="39"/>
      <c r="N807" s="36">
        <v>49796411</v>
      </c>
      <c r="O807" s="36">
        <v>37288823</v>
      </c>
      <c r="P807" s="36">
        <v>4693518</v>
      </c>
      <c r="Q807" s="36">
        <f>Q806*1936.27</f>
        <v>60642877.760402001</v>
      </c>
      <c r="R807" s="7"/>
      <c r="S807" s="7"/>
      <c r="T807" s="7"/>
      <c r="U807" s="7"/>
      <c r="V807" s="7"/>
      <c r="W807" s="7"/>
      <c r="X807" s="7"/>
      <c r="Y807" s="7"/>
      <c r="Z807" s="7"/>
    </row>
    <row r="808" spans="1:26" ht="12.75" customHeight="1" x14ac:dyDescent="0.2">
      <c r="A808" s="95"/>
      <c r="B808" s="95"/>
      <c r="C808" s="40" t="s">
        <v>36</v>
      </c>
      <c r="D808" s="41">
        <v>21</v>
      </c>
      <c r="E808" s="30">
        <v>21279.200000000001</v>
      </c>
      <c r="F808" s="30">
        <v>0</v>
      </c>
      <c r="G808" s="30">
        <v>0</v>
      </c>
      <c r="H808" s="30">
        <v>6459.63</v>
      </c>
      <c r="I808" s="30">
        <v>94.38</v>
      </c>
      <c r="J808" s="42">
        <v>2311.5700000000002</v>
      </c>
      <c r="K808" s="43">
        <v>27833.21</v>
      </c>
      <c r="L808" s="51">
        <v>30144.78</v>
      </c>
      <c r="M808" s="33"/>
      <c r="N808" s="30">
        <v>27833.21</v>
      </c>
      <c r="O808" s="30">
        <v>21373.58</v>
      </c>
      <c r="P808" s="30">
        <v>2424</v>
      </c>
      <c r="Q808" s="30">
        <f>(N808+O808*0.18+J808)+(IF((P808-O808*0.18)&gt;0,(P808-O808*0.18),0))</f>
        <v>33992.024400000002</v>
      </c>
      <c r="R808" s="7"/>
      <c r="S808" s="7"/>
      <c r="T808" s="7"/>
      <c r="U808" s="7"/>
      <c r="V808" s="7"/>
      <c r="W808" s="7"/>
      <c r="X808" s="7"/>
      <c r="Y808" s="7"/>
      <c r="Z808" s="7"/>
    </row>
    <row r="809" spans="1:26" ht="9" customHeight="1" x14ac:dyDescent="0.2">
      <c r="A809" s="95"/>
      <c r="B809" s="95"/>
      <c r="C809" s="34" t="s">
        <v>37</v>
      </c>
      <c r="D809" s="35">
        <v>27</v>
      </c>
      <c r="E809" s="36">
        <v>41202277</v>
      </c>
      <c r="F809" s="36">
        <v>0</v>
      </c>
      <c r="G809" s="36">
        <v>0</v>
      </c>
      <c r="H809" s="36">
        <v>12507588</v>
      </c>
      <c r="I809" s="36">
        <v>182745</v>
      </c>
      <c r="J809" s="37">
        <v>4475824</v>
      </c>
      <c r="K809" s="36">
        <v>53892610</v>
      </c>
      <c r="L809" s="50">
        <v>58368433</v>
      </c>
      <c r="M809" s="39"/>
      <c r="N809" s="36">
        <v>53892610</v>
      </c>
      <c r="O809" s="36">
        <v>41385022</v>
      </c>
      <c r="P809" s="36">
        <v>4693518</v>
      </c>
      <c r="Q809" s="36">
        <f>Q808*1936.27</f>
        <v>65817737.084988005</v>
      </c>
      <c r="R809" s="7"/>
      <c r="S809" s="7"/>
      <c r="T809" s="7"/>
      <c r="U809" s="7"/>
      <c r="V809" s="7"/>
      <c r="W809" s="7"/>
      <c r="X809" s="7"/>
      <c r="Y809" s="7"/>
      <c r="Z809" s="7"/>
    </row>
    <row r="810" spans="1:26" ht="12.75" customHeight="1" x14ac:dyDescent="0.2">
      <c r="A810" s="95"/>
      <c r="B810" s="95"/>
      <c r="C810" s="40" t="s">
        <v>36</v>
      </c>
      <c r="D810" s="41">
        <v>28</v>
      </c>
      <c r="E810" s="30">
        <v>23354.45</v>
      </c>
      <c r="F810" s="30">
        <v>0</v>
      </c>
      <c r="G810" s="30">
        <v>0</v>
      </c>
      <c r="H810" s="30">
        <v>6459.63</v>
      </c>
      <c r="I810" s="30">
        <v>94.38</v>
      </c>
      <c r="J810" s="42">
        <v>2484.5100000000002</v>
      </c>
      <c r="K810" s="43">
        <v>29908.46</v>
      </c>
      <c r="L810" s="51">
        <v>32392.97</v>
      </c>
      <c r="M810" s="33"/>
      <c r="N810" s="30">
        <v>29908.46</v>
      </c>
      <c r="O810" s="30">
        <v>23448.83</v>
      </c>
      <c r="P810" s="30">
        <v>3090</v>
      </c>
      <c r="Q810" s="30">
        <f>(N810+O810*0.18+J810)+(IF((P810-O810*0.18)&gt;0,(P810-O810*0.18),0))</f>
        <v>36613.759400000003</v>
      </c>
      <c r="R810" s="7"/>
      <c r="S810" s="7"/>
      <c r="T810" s="7"/>
      <c r="U810" s="7"/>
      <c r="V810" s="7"/>
      <c r="W810" s="7"/>
      <c r="X810" s="7"/>
      <c r="Y810" s="7"/>
      <c r="Z810" s="7"/>
    </row>
    <row r="811" spans="1:26" ht="9" customHeight="1" x14ac:dyDescent="0.2">
      <c r="A811" s="95"/>
      <c r="B811" s="95"/>
      <c r="C811" s="34" t="s">
        <v>37</v>
      </c>
      <c r="D811" s="35">
        <v>34</v>
      </c>
      <c r="E811" s="36">
        <v>45220521</v>
      </c>
      <c r="F811" s="36">
        <v>0</v>
      </c>
      <c r="G811" s="36">
        <v>0</v>
      </c>
      <c r="H811" s="36">
        <v>12507588</v>
      </c>
      <c r="I811" s="36">
        <v>182745</v>
      </c>
      <c r="J811" s="37">
        <v>4810682</v>
      </c>
      <c r="K811" s="36">
        <v>57910854</v>
      </c>
      <c r="L811" s="50">
        <v>62721536</v>
      </c>
      <c r="M811" s="39"/>
      <c r="N811" s="36">
        <v>57910854</v>
      </c>
      <c r="O811" s="36">
        <v>45403266</v>
      </c>
      <c r="P811" s="36">
        <v>5983074</v>
      </c>
      <c r="Q811" s="36">
        <f>Q810*1936.27</f>
        <v>70894123.913438007</v>
      </c>
      <c r="R811" s="7"/>
      <c r="S811" s="7"/>
      <c r="T811" s="7"/>
      <c r="U811" s="7"/>
      <c r="V811" s="7"/>
      <c r="W811" s="7"/>
      <c r="X811" s="7"/>
      <c r="Y811" s="7"/>
      <c r="Z811" s="7"/>
    </row>
    <row r="812" spans="1:26" ht="12.75" customHeight="1" x14ac:dyDescent="0.2">
      <c r="A812" s="95"/>
      <c r="B812" s="95"/>
      <c r="C812" s="40" t="s">
        <v>36</v>
      </c>
      <c r="D812" s="41">
        <v>35</v>
      </c>
      <c r="E812" s="30">
        <v>24892.49</v>
      </c>
      <c r="F812" s="30">
        <v>0</v>
      </c>
      <c r="G812" s="30">
        <v>0</v>
      </c>
      <c r="H812" s="30">
        <v>6459.63</v>
      </c>
      <c r="I812" s="30">
        <v>94.38</v>
      </c>
      <c r="J812" s="42">
        <v>2612.6799999999998</v>
      </c>
      <c r="K812" s="43">
        <v>31446.5</v>
      </c>
      <c r="L812" s="51">
        <v>34059.18</v>
      </c>
      <c r="M812" s="33"/>
      <c r="N812" s="30">
        <v>31446.5</v>
      </c>
      <c r="O812" s="30">
        <v>24986.87</v>
      </c>
      <c r="P812" s="30">
        <v>3090</v>
      </c>
      <c r="Q812" s="30">
        <f>(N812+O812*0.18+J812)+(IF((P812-O812*0.18)&gt;0,(P812-O812*0.18),0))</f>
        <v>38556.816599999998</v>
      </c>
      <c r="R812" s="7"/>
      <c r="S812" s="7"/>
      <c r="T812" s="7"/>
      <c r="U812" s="7"/>
      <c r="V812" s="7"/>
      <c r="W812" s="7"/>
      <c r="X812" s="7"/>
      <c r="Y812" s="7"/>
      <c r="Z812" s="7"/>
    </row>
    <row r="813" spans="1:26" ht="9" customHeight="1" x14ac:dyDescent="0.2">
      <c r="A813" s="110"/>
      <c r="B813" s="110"/>
      <c r="C813" s="47" t="s">
        <v>37</v>
      </c>
      <c r="D813" s="48"/>
      <c r="E813" s="36">
        <v>48198582</v>
      </c>
      <c r="F813" s="36">
        <v>0</v>
      </c>
      <c r="G813" s="36">
        <v>0</v>
      </c>
      <c r="H813" s="36">
        <v>12507588</v>
      </c>
      <c r="I813" s="36">
        <v>182745</v>
      </c>
      <c r="J813" s="49">
        <v>5058854</v>
      </c>
      <c r="K813" s="46">
        <v>60888915</v>
      </c>
      <c r="L813" s="52">
        <v>65947768</v>
      </c>
      <c r="M813" s="39"/>
      <c r="N813" s="46">
        <v>60888915</v>
      </c>
      <c r="O813" s="46">
        <v>48381327</v>
      </c>
      <c r="P813" s="36">
        <v>5983074</v>
      </c>
      <c r="Q813" s="46">
        <f>Q812*1936.27</f>
        <v>74656407.278081998</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6"/>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6"/>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6"/>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6"/>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6"/>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6"/>
      <c r="M819" s="39"/>
      <c r="N819" s="96"/>
      <c r="O819" s="96"/>
      <c r="P819" s="96"/>
      <c r="Q819" s="96"/>
      <c r="R819" s="7"/>
      <c r="S819" s="7"/>
      <c r="T819" s="7"/>
      <c r="U819" s="7"/>
      <c r="V819" s="7"/>
      <c r="W819" s="7"/>
      <c r="X819" s="7"/>
      <c r="Y819" s="7"/>
      <c r="Z819" s="7"/>
    </row>
    <row r="820" spans="1:26" ht="12.75" customHeight="1" x14ac:dyDescent="0.2">
      <c r="A820" s="98">
        <v>40360</v>
      </c>
      <c r="B820" s="98">
        <v>40421</v>
      </c>
      <c r="C820" s="28" t="s">
        <v>36</v>
      </c>
      <c r="D820" s="29">
        <v>0</v>
      </c>
      <c r="E820" s="30">
        <v>14513.64</v>
      </c>
      <c r="F820" s="30">
        <v>0</v>
      </c>
      <c r="G820" s="30">
        <v>0</v>
      </c>
      <c r="H820" s="30">
        <v>6459.63</v>
      </c>
      <c r="I820" s="30">
        <v>157.30000000000001</v>
      </c>
      <c r="J820" s="30">
        <v>1747.77</v>
      </c>
      <c r="K820" s="31">
        <v>21130.57</v>
      </c>
      <c r="L820" s="32">
        <v>22878.34</v>
      </c>
      <c r="M820" s="54"/>
      <c r="N820" s="30">
        <v>21130.57</v>
      </c>
      <c r="O820" s="30">
        <v>14670.94</v>
      </c>
      <c r="P820" s="30">
        <v>1968</v>
      </c>
      <c r="Q820" s="30">
        <f>(N820+O820*0.18+J820)+(IF((P820-O820*0.18)&gt;0,(P820-O820*0.18),0))</f>
        <v>25519.109199999999</v>
      </c>
      <c r="R820" s="7"/>
      <c r="S820" s="7"/>
      <c r="T820" s="7"/>
      <c r="U820" s="7"/>
      <c r="V820" s="7"/>
      <c r="W820" s="7"/>
      <c r="X820" s="7"/>
      <c r="Y820" s="7"/>
      <c r="Z820" s="7"/>
    </row>
    <row r="821" spans="1:26" ht="9" customHeight="1" x14ac:dyDescent="0.2">
      <c r="A821" s="95"/>
      <c r="B821" s="95"/>
      <c r="C821" s="34" t="s">
        <v>37</v>
      </c>
      <c r="D821" s="35">
        <v>2</v>
      </c>
      <c r="E821" s="36">
        <v>28102326</v>
      </c>
      <c r="F821" s="36">
        <v>0</v>
      </c>
      <c r="G821" s="36">
        <v>0</v>
      </c>
      <c r="H821" s="36">
        <v>12507588</v>
      </c>
      <c r="I821" s="36">
        <v>304575</v>
      </c>
      <c r="J821" s="37">
        <v>3384155</v>
      </c>
      <c r="K821" s="36">
        <v>40914489</v>
      </c>
      <c r="L821" s="50">
        <v>44298643</v>
      </c>
      <c r="M821" s="54"/>
      <c r="N821" s="36">
        <v>40914489</v>
      </c>
      <c r="O821" s="36">
        <v>28406901</v>
      </c>
      <c r="P821" s="36">
        <v>3810579</v>
      </c>
      <c r="Q821" s="46">
        <f>Q820*1936.27</f>
        <v>49411885.570684001</v>
      </c>
      <c r="R821" s="7"/>
      <c r="S821" s="7"/>
      <c r="T821" s="7"/>
      <c r="U821" s="7"/>
      <c r="V821" s="7"/>
      <c r="W821" s="7"/>
      <c r="X821" s="7"/>
      <c r="Y821" s="7"/>
      <c r="Z821" s="7"/>
    </row>
    <row r="822" spans="1:26" ht="12.75" customHeight="1" x14ac:dyDescent="0.2">
      <c r="A822" s="156">
        <v>40360</v>
      </c>
      <c r="B822" s="156">
        <v>40421</v>
      </c>
      <c r="C822" s="40" t="s">
        <v>36</v>
      </c>
      <c r="D822" s="41">
        <v>3</v>
      </c>
      <c r="E822" s="30">
        <v>15092.54</v>
      </c>
      <c r="F822" s="30">
        <v>0</v>
      </c>
      <c r="G822" s="30">
        <v>0</v>
      </c>
      <c r="H822" s="30">
        <v>6459.63</v>
      </c>
      <c r="I822" s="30">
        <v>157.30000000000001</v>
      </c>
      <c r="J822" s="42">
        <v>1796.01</v>
      </c>
      <c r="K822" s="43">
        <v>21709.47</v>
      </c>
      <c r="L822" s="51">
        <v>23505.48</v>
      </c>
      <c r="M822" s="54"/>
      <c r="N822" s="30">
        <v>21709.47</v>
      </c>
      <c r="O822" s="30">
        <v>15249.84</v>
      </c>
      <c r="P822" s="30">
        <v>1968</v>
      </c>
      <c r="Q822" s="30">
        <f>(N822+O822*0.18+J822)+(IF((P822-O822*0.18)&gt;0,(P822-O822*0.18),0))</f>
        <v>26250.4512</v>
      </c>
      <c r="R822" s="7"/>
      <c r="S822" s="7"/>
      <c r="T822" s="7"/>
      <c r="U822" s="7"/>
      <c r="V822" s="7"/>
      <c r="W822" s="7"/>
      <c r="X822" s="7"/>
      <c r="Y822" s="7"/>
      <c r="Z822" s="7"/>
    </row>
    <row r="823" spans="1:26" ht="9" customHeight="1" x14ac:dyDescent="0.2">
      <c r="A823" s="95"/>
      <c r="B823" s="95"/>
      <c r="C823" s="34" t="s">
        <v>37</v>
      </c>
      <c r="D823" s="35">
        <v>8</v>
      </c>
      <c r="E823" s="36">
        <v>29223232</v>
      </c>
      <c r="F823" s="36">
        <v>0</v>
      </c>
      <c r="G823" s="36">
        <v>0</v>
      </c>
      <c r="H823" s="36">
        <v>12507588</v>
      </c>
      <c r="I823" s="36">
        <v>304575</v>
      </c>
      <c r="J823" s="37">
        <v>3477560</v>
      </c>
      <c r="K823" s="36">
        <v>42035395</v>
      </c>
      <c r="L823" s="50">
        <v>45512956</v>
      </c>
      <c r="M823" s="54"/>
      <c r="N823" s="36">
        <v>42035395</v>
      </c>
      <c r="O823" s="36">
        <v>29527808</v>
      </c>
      <c r="P823" s="36">
        <v>3810579</v>
      </c>
      <c r="Q823" s="46">
        <f>Q822*1936.27</f>
        <v>50827961.145024002</v>
      </c>
      <c r="R823" s="7"/>
      <c r="S823" s="7"/>
      <c r="T823" s="7"/>
      <c r="U823" s="7"/>
      <c r="V823" s="7"/>
      <c r="W823" s="7"/>
      <c r="X823" s="7"/>
      <c r="Y823" s="7"/>
      <c r="Z823" s="7"/>
    </row>
    <row r="824" spans="1:26" ht="12.75" customHeight="1" x14ac:dyDescent="0.2">
      <c r="A824" s="95"/>
      <c r="B824" s="95"/>
      <c r="C824" s="40" t="s">
        <v>36</v>
      </c>
      <c r="D824" s="41">
        <v>9</v>
      </c>
      <c r="E824" s="30">
        <v>16985.099999999999</v>
      </c>
      <c r="F824" s="30">
        <v>0</v>
      </c>
      <c r="G824" s="30">
        <v>0</v>
      </c>
      <c r="H824" s="30">
        <v>6459.63</v>
      </c>
      <c r="I824" s="30">
        <v>157.30000000000001</v>
      </c>
      <c r="J824" s="42">
        <v>1953.73</v>
      </c>
      <c r="K824" s="43">
        <v>23602.03</v>
      </c>
      <c r="L824" s="51">
        <v>25555.759999999998</v>
      </c>
      <c r="M824" s="7"/>
      <c r="N824" s="30">
        <v>23602.03</v>
      </c>
      <c r="O824" s="30">
        <v>17142.400000000001</v>
      </c>
      <c r="P824" s="30">
        <v>1968</v>
      </c>
      <c r="Q824" s="30">
        <f>(N824+O824*0.18+J824)+(IF((P824-O824*0.18)&gt;0,(P824-O824*0.18),0))</f>
        <v>28641.392</v>
      </c>
      <c r="R824" s="7"/>
      <c r="S824" s="7"/>
      <c r="T824" s="7"/>
      <c r="U824" s="7"/>
      <c r="V824" s="7"/>
      <c r="W824" s="7"/>
      <c r="X824" s="7"/>
      <c r="Y824" s="7"/>
      <c r="Z824" s="7"/>
    </row>
    <row r="825" spans="1:26" ht="9" customHeight="1" x14ac:dyDescent="0.2">
      <c r="A825" s="95"/>
      <c r="B825" s="95"/>
      <c r="C825" s="34" t="s">
        <v>37</v>
      </c>
      <c r="D825" s="35">
        <v>14</v>
      </c>
      <c r="E825" s="36">
        <v>32887740</v>
      </c>
      <c r="F825" s="36">
        <v>0</v>
      </c>
      <c r="G825" s="36">
        <v>0</v>
      </c>
      <c r="H825" s="36">
        <v>12507588</v>
      </c>
      <c r="I825" s="36">
        <v>304575</v>
      </c>
      <c r="J825" s="37">
        <v>3782949</v>
      </c>
      <c r="K825" s="36">
        <v>45699903</v>
      </c>
      <c r="L825" s="50">
        <v>49482851</v>
      </c>
      <c r="M825" s="55"/>
      <c r="N825" s="36">
        <v>45699903</v>
      </c>
      <c r="O825" s="36">
        <v>33192315</v>
      </c>
      <c r="P825" s="36">
        <v>3810579</v>
      </c>
      <c r="Q825" s="46">
        <f>Q824*1936.27</f>
        <v>55457468.087839998</v>
      </c>
      <c r="R825" s="7"/>
      <c r="S825" s="7"/>
      <c r="T825" s="7"/>
      <c r="U825" s="7"/>
      <c r="V825" s="7"/>
      <c r="W825" s="7"/>
      <c r="X825" s="7"/>
      <c r="Y825" s="7"/>
      <c r="Z825" s="7"/>
    </row>
    <row r="826" spans="1:26" ht="12.75" customHeight="1" x14ac:dyDescent="0.2">
      <c r="A826" s="95"/>
      <c r="B826" s="95"/>
      <c r="C826" s="40" t="s">
        <v>36</v>
      </c>
      <c r="D826" s="41">
        <v>15</v>
      </c>
      <c r="E826" s="30">
        <v>19163.689999999999</v>
      </c>
      <c r="F826" s="30">
        <v>0</v>
      </c>
      <c r="G826" s="30">
        <v>0</v>
      </c>
      <c r="H826" s="30">
        <v>6459.63</v>
      </c>
      <c r="I826" s="30">
        <v>157.30000000000001</v>
      </c>
      <c r="J826" s="42">
        <v>2135.2800000000002</v>
      </c>
      <c r="K826" s="43">
        <v>25780.62</v>
      </c>
      <c r="L826" s="51">
        <v>27915.9</v>
      </c>
      <c r="M826" s="7"/>
      <c r="N826" s="30">
        <v>25780.62</v>
      </c>
      <c r="O826" s="30">
        <v>19320.990000000002</v>
      </c>
      <c r="P826" s="30">
        <v>2424</v>
      </c>
      <c r="Q826" s="30">
        <f>(N826+O826*0.18+J826)+(IF((P826-O826*0.18)&gt;0,(P826-O826*0.18),0))</f>
        <v>31393.678199999998</v>
      </c>
      <c r="R826" s="7"/>
      <c r="S826" s="7"/>
      <c r="T826" s="7"/>
      <c r="U826" s="7"/>
      <c r="V826" s="7"/>
      <c r="W826" s="7"/>
      <c r="X826" s="7"/>
      <c r="Y826" s="7"/>
      <c r="Z826" s="7"/>
    </row>
    <row r="827" spans="1:26" ht="9" customHeight="1" x14ac:dyDescent="0.2">
      <c r="A827" s="95"/>
      <c r="B827" s="95"/>
      <c r="C827" s="34" t="s">
        <v>37</v>
      </c>
      <c r="D827" s="35">
        <v>20</v>
      </c>
      <c r="E827" s="36">
        <v>37106078</v>
      </c>
      <c r="F827" s="36">
        <v>0</v>
      </c>
      <c r="G827" s="36">
        <v>0</v>
      </c>
      <c r="H827" s="36">
        <v>12507588</v>
      </c>
      <c r="I827" s="36">
        <v>304575</v>
      </c>
      <c r="J827" s="37">
        <v>4134479</v>
      </c>
      <c r="K827" s="36">
        <v>49918241</v>
      </c>
      <c r="L827" s="50">
        <v>54052720</v>
      </c>
      <c r="M827" s="7"/>
      <c r="N827" s="36">
        <v>49918241</v>
      </c>
      <c r="O827" s="36">
        <v>37410653</v>
      </c>
      <c r="P827" s="36">
        <v>4693518</v>
      </c>
      <c r="Q827" s="46">
        <f>Q826*1936.27</f>
        <v>60786637.288314</v>
      </c>
      <c r="R827" s="7"/>
      <c r="S827" s="7"/>
      <c r="T827" s="7"/>
      <c r="U827" s="7"/>
      <c r="V827" s="7"/>
      <c r="W827" s="7"/>
      <c r="X827" s="7"/>
      <c r="Y827" s="7"/>
      <c r="Z827" s="7"/>
    </row>
    <row r="828" spans="1:26" ht="12.75" customHeight="1" x14ac:dyDescent="0.2">
      <c r="A828" s="95"/>
      <c r="B828" s="95"/>
      <c r="C828" s="40" t="s">
        <v>36</v>
      </c>
      <c r="D828" s="41">
        <v>21</v>
      </c>
      <c r="E828" s="30">
        <v>21279.200000000001</v>
      </c>
      <c r="F828" s="30">
        <v>0</v>
      </c>
      <c r="G828" s="30">
        <v>0</v>
      </c>
      <c r="H828" s="30">
        <v>6459.63</v>
      </c>
      <c r="I828" s="30">
        <v>157.30000000000001</v>
      </c>
      <c r="J828" s="42">
        <v>2311.5700000000002</v>
      </c>
      <c r="K828" s="43">
        <v>27896.13</v>
      </c>
      <c r="L828" s="51">
        <v>30207.7</v>
      </c>
      <c r="M828" s="7"/>
      <c r="N828" s="30">
        <v>27896.13</v>
      </c>
      <c r="O828" s="30">
        <v>21436.5</v>
      </c>
      <c r="P828" s="30">
        <v>2424</v>
      </c>
      <c r="Q828" s="30">
        <f>(N828+O828*0.18+J828)+(IF((P828-O828*0.18)&gt;0,(P828-O828*0.18),0))</f>
        <v>34066.270000000004</v>
      </c>
      <c r="R828" s="7"/>
      <c r="S828" s="7"/>
      <c r="T828" s="7"/>
      <c r="U828" s="7"/>
      <c r="V828" s="7"/>
      <c r="W828" s="7"/>
      <c r="X828" s="7"/>
      <c r="Y828" s="7"/>
      <c r="Z828" s="7"/>
    </row>
    <row r="829" spans="1:26" ht="9" customHeight="1" x14ac:dyDescent="0.2">
      <c r="A829" s="95"/>
      <c r="B829" s="95"/>
      <c r="C829" s="34" t="s">
        <v>37</v>
      </c>
      <c r="D829" s="35">
        <v>27</v>
      </c>
      <c r="E829" s="36">
        <v>41202277</v>
      </c>
      <c r="F829" s="36">
        <v>0</v>
      </c>
      <c r="G829" s="36">
        <v>0</v>
      </c>
      <c r="H829" s="36">
        <v>12507588</v>
      </c>
      <c r="I829" s="36">
        <v>304575</v>
      </c>
      <c r="J829" s="37">
        <v>4475824</v>
      </c>
      <c r="K829" s="36">
        <v>54014440</v>
      </c>
      <c r="L829" s="50">
        <v>58490263</v>
      </c>
      <c r="M829" s="7"/>
      <c r="N829" s="36">
        <v>54014440</v>
      </c>
      <c r="O829" s="36">
        <v>41506852</v>
      </c>
      <c r="P829" s="36">
        <v>4693518</v>
      </c>
      <c r="Q829" s="46">
        <f>Q828*1936.27</f>
        <v>65961496.612900004</v>
      </c>
      <c r="R829" s="7"/>
      <c r="S829" s="7"/>
      <c r="T829" s="7"/>
      <c r="U829" s="7"/>
      <c r="V829" s="7"/>
      <c r="W829" s="7"/>
      <c r="X829" s="7"/>
      <c r="Y829" s="7"/>
      <c r="Z829" s="7"/>
    </row>
    <row r="830" spans="1:26" ht="12.75" customHeight="1" x14ac:dyDescent="0.2">
      <c r="A830" s="95"/>
      <c r="B830" s="95"/>
      <c r="C830" s="40" t="s">
        <v>36</v>
      </c>
      <c r="D830" s="41">
        <v>28</v>
      </c>
      <c r="E830" s="30">
        <v>23354.45</v>
      </c>
      <c r="F830" s="30">
        <v>0</v>
      </c>
      <c r="G830" s="30">
        <v>0</v>
      </c>
      <c r="H830" s="30">
        <v>6459.63</v>
      </c>
      <c r="I830" s="30">
        <v>157.30000000000001</v>
      </c>
      <c r="J830" s="42">
        <v>2484.5100000000002</v>
      </c>
      <c r="K830" s="43">
        <v>29971.38</v>
      </c>
      <c r="L830" s="51">
        <v>32455.89</v>
      </c>
      <c r="M830" s="7"/>
      <c r="N830" s="30">
        <v>29971.38</v>
      </c>
      <c r="O830" s="30">
        <v>23511.75</v>
      </c>
      <c r="P830" s="30">
        <v>3090</v>
      </c>
      <c r="Q830" s="30">
        <f>(N830+O830*0.18+J830)+(IF((P830-O830*0.18)&gt;0,(P830-O830*0.18),0))</f>
        <v>36688.005000000005</v>
      </c>
      <c r="R830" s="7"/>
      <c r="S830" s="7"/>
      <c r="T830" s="7"/>
      <c r="U830" s="7"/>
      <c r="V830" s="7"/>
      <c r="W830" s="7"/>
      <c r="X830" s="7"/>
      <c r="Y830" s="7"/>
      <c r="Z830" s="7"/>
    </row>
    <row r="831" spans="1:26" ht="9" customHeight="1" x14ac:dyDescent="0.2">
      <c r="A831" s="95"/>
      <c r="B831" s="95"/>
      <c r="C831" s="34" t="s">
        <v>37</v>
      </c>
      <c r="D831" s="35">
        <v>34</v>
      </c>
      <c r="E831" s="36">
        <v>45220521</v>
      </c>
      <c r="F831" s="36">
        <v>0</v>
      </c>
      <c r="G831" s="36">
        <v>0</v>
      </c>
      <c r="H831" s="36">
        <v>12507588</v>
      </c>
      <c r="I831" s="36">
        <v>304575</v>
      </c>
      <c r="J831" s="37">
        <v>4810682</v>
      </c>
      <c r="K831" s="36">
        <v>58032684</v>
      </c>
      <c r="L831" s="50">
        <v>62843366</v>
      </c>
      <c r="M831" s="7"/>
      <c r="N831" s="36">
        <v>58032684</v>
      </c>
      <c r="O831" s="36">
        <v>45525096</v>
      </c>
      <c r="P831" s="36">
        <v>5983074</v>
      </c>
      <c r="Q831" s="46">
        <f>Q830*1936.27</f>
        <v>71037883.441350013</v>
      </c>
      <c r="R831" s="7"/>
      <c r="S831" s="7"/>
      <c r="T831" s="7"/>
      <c r="U831" s="7"/>
      <c r="V831" s="7"/>
      <c r="W831" s="7"/>
      <c r="X831" s="7"/>
      <c r="Y831" s="7"/>
      <c r="Z831" s="7"/>
    </row>
    <row r="832" spans="1:26" ht="12.75" customHeight="1" x14ac:dyDescent="0.2">
      <c r="A832" s="95"/>
      <c r="B832" s="95"/>
      <c r="C832" s="40" t="s">
        <v>36</v>
      </c>
      <c r="D832" s="41">
        <v>35</v>
      </c>
      <c r="E832" s="30">
        <v>24892.49</v>
      </c>
      <c r="F832" s="30">
        <v>0</v>
      </c>
      <c r="G832" s="30">
        <v>0</v>
      </c>
      <c r="H832" s="30">
        <v>6459.63</v>
      </c>
      <c r="I832" s="30">
        <v>157.30000000000001</v>
      </c>
      <c r="J832" s="42">
        <v>2612.6799999999998</v>
      </c>
      <c r="K832" s="43">
        <v>31509.42</v>
      </c>
      <c r="L832" s="51">
        <v>34122.1</v>
      </c>
      <c r="M832" s="7"/>
      <c r="N832" s="30">
        <v>31509.42</v>
      </c>
      <c r="O832" s="30">
        <v>25049.79</v>
      </c>
      <c r="P832" s="30">
        <v>3090</v>
      </c>
      <c r="Q832" s="30">
        <f>(N832+O832*0.18+J832)+(IF((P832-O832*0.18)&gt;0,(P832-O832*0.18),0))</f>
        <v>38631.0622</v>
      </c>
      <c r="R832" s="7"/>
      <c r="S832" s="7"/>
      <c r="T832" s="7"/>
      <c r="U832" s="7"/>
      <c r="V832" s="7"/>
      <c r="W832" s="7"/>
      <c r="X832" s="7"/>
      <c r="Y832" s="7"/>
      <c r="Z832" s="7"/>
    </row>
    <row r="833" spans="1:26" ht="9" customHeight="1" x14ac:dyDescent="0.2">
      <c r="A833" s="110"/>
      <c r="B833" s="110"/>
      <c r="C833" s="47" t="s">
        <v>37</v>
      </c>
      <c r="D833" s="48"/>
      <c r="E833" s="46">
        <v>48198582</v>
      </c>
      <c r="F833" s="46">
        <v>0</v>
      </c>
      <c r="G833" s="46">
        <v>0</v>
      </c>
      <c r="H833" s="46">
        <v>12507588</v>
      </c>
      <c r="I833" s="46">
        <v>304575</v>
      </c>
      <c r="J833" s="49">
        <v>5058854</v>
      </c>
      <c r="K833" s="46">
        <v>61010745</v>
      </c>
      <c r="L833" s="52">
        <v>66069599</v>
      </c>
      <c r="M833" s="7"/>
      <c r="N833" s="46">
        <v>61010745</v>
      </c>
      <c r="O833" s="46">
        <v>48503157</v>
      </c>
      <c r="P833" s="46">
        <v>5983074</v>
      </c>
      <c r="Q833" s="46">
        <f>Q832*1936.27</f>
        <v>74800166.805994004</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6"/>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6"/>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6"/>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6"/>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6"/>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6"/>
      <c r="M839" s="39"/>
      <c r="N839" s="96"/>
      <c r="O839" s="96"/>
      <c r="P839" s="96"/>
      <c r="Q839" s="96"/>
      <c r="R839" s="7"/>
      <c r="S839" s="7"/>
      <c r="T839" s="7"/>
      <c r="U839" s="7"/>
      <c r="V839" s="7"/>
      <c r="W839" s="7"/>
      <c r="X839" s="7"/>
      <c r="Y839" s="7"/>
      <c r="Z839" s="7"/>
    </row>
    <row r="840" spans="1:26" ht="12.75" customHeight="1" x14ac:dyDescent="0.2">
      <c r="A840" s="98">
        <v>40422</v>
      </c>
      <c r="B840" s="98">
        <v>40543</v>
      </c>
      <c r="C840" s="28" t="s">
        <v>36</v>
      </c>
      <c r="D840" s="29">
        <v>0</v>
      </c>
      <c r="E840" s="30">
        <v>14513.64</v>
      </c>
      <c r="F840" s="30">
        <v>0</v>
      </c>
      <c r="G840" s="30">
        <v>0</v>
      </c>
      <c r="H840" s="30">
        <v>6459.63</v>
      </c>
      <c r="I840" s="30">
        <v>157.30000000000001</v>
      </c>
      <c r="J840" s="30">
        <v>1747.77</v>
      </c>
      <c r="K840" s="31">
        <v>21130.57</v>
      </c>
      <c r="L840" s="32">
        <v>22878.34</v>
      </c>
      <c r="M840" s="54"/>
      <c r="N840" s="30">
        <v>21130.57</v>
      </c>
      <c r="O840" s="30">
        <v>14670.94</v>
      </c>
      <c r="P840" s="30">
        <v>1968</v>
      </c>
      <c r="Q840" s="30">
        <f>(N840+O840*0.18+J840)+(IF((P840-O840*0.18)&gt;0,(P840-O840*0.18),0))</f>
        <v>25519.109199999999</v>
      </c>
      <c r="R840" s="7"/>
      <c r="S840" s="7"/>
      <c r="T840" s="7"/>
      <c r="U840" s="7"/>
      <c r="V840" s="7"/>
      <c r="W840" s="7"/>
      <c r="X840" s="7"/>
      <c r="Y840" s="7"/>
      <c r="Z840" s="7"/>
    </row>
    <row r="841" spans="1:26" ht="9" customHeight="1" x14ac:dyDescent="0.2">
      <c r="A841" s="95"/>
      <c r="B841" s="95"/>
      <c r="C841" s="34" t="s">
        <v>37</v>
      </c>
      <c r="D841" s="35">
        <v>2</v>
      </c>
      <c r="E841" s="36">
        <v>28102326</v>
      </c>
      <c r="F841" s="36">
        <v>0</v>
      </c>
      <c r="G841" s="36">
        <v>0</v>
      </c>
      <c r="H841" s="36">
        <v>12507588</v>
      </c>
      <c r="I841" s="36">
        <v>304575</v>
      </c>
      <c r="J841" s="37">
        <v>3384155</v>
      </c>
      <c r="K841" s="36">
        <v>40914489</v>
      </c>
      <c r="L841" s="50">
        <v>44298643</v>
      </c>
      <c r="M841" s="54"/>
      <c r="N841" s="36">
        <v>40914489</v>
      </c>
      <c r="O841" s="36">
        <v>28406901</v>
      </c>
      <c r="P841" s="36">
        <v>3810579</v>
      </c>
      <c r="Q841" s="46">
        <f>Q840*1936.27</f>
        <v>49411885.570684001</v>
      </c>
      <c r="R841" s="7"/>
      <c r="S841" s="7"/>
      <c r="T841" s="7"/>
      <c r="U841" s="7"/>
      <c r="V841" s="7"/>
      <c r="W841" s="7"/>
      <c r="X841" s="7"/>
      <c r="Y841" s="7"/>
      <c r="Z841" s="7"/>
    </row>
    <row r="842" spans="1:26" ht="12.75" customHeight="1" x14ac:dyDescent="0.2">
      <c r="A842" s="156">
        <v>40422</v>
      </c>
      <c r="B842" s="156">
        <v>40543</v>
      </c>
      <c r="C842" s="40" t="s">
        <v>36</v>
      </c>
      <c r="D842" s="41">
        <v>3</v>
      </c>
      <c r="E842" s="30">
        <v>14513.64</v>
      </c>
      <c r="F842" s="30">
        <v>0</v>
      </c>
      <c r="G842" s="30">
        <v>0</v>
      </c>
      <c r="H842" s="30">
        <v>6459.63</v>
      </c>
      <c r="I842" s="30">
        <v>157.30000000000001</v>
      </c>
      <c r="J842" s="42">
        <v>1796.01</v>
      </c>
      <c r="K842" s="43">
        <v>21709.47</v>
      </c>
      <c r="L842" s="51">
        <v>23505.48</v>
      </c>
      <c r="M842" s="54"/>
      <c r="N842" s="30">
        <v>21709.47</v>
      </c>
      <c r="O842" s="30">
        <v>15249.84</v>
      </c>
      <c r="P842" s="30">
        <v>1968</v>
      </c>
      <c r="Q842" s="30">
        <f>(N842+O842*0.18+J842)+(IF((P842-O842*0.18)&gt;0,(P842-O842*0.18),0))</f>
        <v>26250.4512</v>
      </c>
      <c r="R842" s="7"/>
      <c r="S842" s="7"/>
      <c r="T842" s="7"/>
      <c r="U842" s="7"/>
      <c r="V842" s="7"/>
      <c r="W842" s="7"/>
      <c r="X842" s="7"/>
      <c r="Y842" s="7"/>
      <c r="Z842" s="7"/>
    </row>
    <row r="843" spans="1:26" ht="9" customHeight="1" x14ac:dyDescent="0.2">
      <c r="A843" s="95"/>
      <c r="B843" s="95"/>
      <c r="C843" s="34" t="s">
        <v>37</v>
      </c>
      <c r="D843" s="35">
        <v>8</v>
      </c>
      <c r="E843" s="36">
        <v>28102326</v>
      </c>
      <c r="F843" s="36">
        <v>0</v>
      </c>
      <c r="G843" s="36">
        <v>0</v>
      </c>
      <c r="H843" s="36">
        <v>12507588</v>
      </c>
      <c r="I843" s="36">
        <v>304575</v>
      </c>
      <c r="J843" s="37">
        <v>3477560</v>
      </c>
      <c r="K843" s="36">
        <v>42035395</v>
      </c>
      <c r="L843" s="50">
        <v>45512956</v>
      </c>
      <c r="M843" s="54"/>
      <c r="N843" s="36">
        <v>42035395</v>
      </c>
      <c r="O843" s="36">
        <v>29527808</v>
      </c>
      <c r="P843" s="36">
        <v>3810579</v>
      </c>
      <c r="Q843" s="46">
        <f>Q842*1936.27</f>
        <v>50827961.145024002</v>
      </c>
      <c r="R843" s="7"/>
      <c r="S843" s="7"/>
      <c r="T843" s="7"/>
      <c r="U843" s="7"/>
      <c r="V843" s="7"/>
      <c r="W843" s="7"/>
      <c r="X843" s="7"/>
      <c r="Y843" s="7"/>
      <c r="Z843" s="7"/>
    </row>
    <row r="844" spans="1:26" ht="12.75" customHeight="1" x14ac:dyDescent="0.2">
      <c r="A844" s="95"/>
      <c r="B844" s="95"/>
      <c r="C844" s="40" t="s">
        <v>36</v>
      </c>
      <c r="D844" s="41">
        <v>9</v>
      </c>
      <c r="E844" s="30">
        <v>16985.099999999999</v>
      </c>
      <c r="F844" s="30">
        <v>0</v>
      </c>
      <c r="G844" s="30">
        <v>0</v>
      </c>
      <c r="H844" s="30">
        <v>6459.63</v>
      </c>
      <c r="I844" s="30">
        <v>157.30000000000001</v>
      </c>
      <c r="J844" s="42">
        <v>1953.73</v>
      </c>
      <c r="K844" s="43">
        <v>23602.03</v>
      </c>
      <c r="L844" s="51">
        <v>25555.759999999998</v>
      </c>
      <c r="M844" s="7"/>
      <c r="N844" s="30">
        <v>23602.03</v>
      </c>
      <c r="O844" s="30">
        <v>17142.400000000001</v>
      </c>
      <c r="P844" s="30">
        <v>1968</v>
      </c>
      <c r="Q844" s="30">
        <f>(N844+O844*0.18+J844)+(IF((P844-O844*0.18)&gt;0,(P844-O844*0.18),0))</f>
        <v>28641.392</v>
      </c>
      <c r="R844" s="7"/>
      <c r="S844" s="7"/>
      <c r="T844" s="7"/>
      <c r="U844" s="7"/>
      <c r="V844" s="7"/>
      <c r="W844" s="7"/>
      <c r="X844" s="7"/>
      <c r="Y844" s="7"/>
      <c r="Z844" s="7"/>
    </row>
    <row r="845" spans="1:26" ht="9" customHeight="1" x14ac:dyDescent="0.2">
      <c r="A845" s="95"/>
      <c r="B845" s="95"/>
      <c r="C845" s="34" t="s">
        <v>37</v>
      </c>
      <c r="D845" s="35">
        <v>14</v>
      </c>
      <c r="E845" s="36">
        <v>32887740</v>
      </c>
      <c r="F845" s="36">
        <v>0</v>
      </c>
      <c r="G845" s="36">
        <v>0</v>
      </c>
      <c r="H845" s="36">
        <v>12507588</v>
      </c>
      <c r="I845" s="36">
        <v>304575</v>
      </c>
      <c r="J845" s="37">
        <v>3782949</v>
      </c>
      <c r="K845" s="36">
        <v>45699903</v>
      </c>
      <c r="L845" s="50">
        <v>49482851</v>
      </c>
      <c r="M845" s="55"/>
      <c r="N845" s="36">
        <v>45699903</v>
      </c>
      <c r="O845" s="36">
        <v>33192315</v>
      </c>
      <c r="P845" s="36">
        <v>3810579</v>
      </c>
      <c r="Q845" s="46">
        <f>Q844*1936.27</f>
        <v>55457468.087839998</v>
      </c>
      <c r="R845" s="7"/>
      <c r="S845" s="7"/>
      <c r="T845" s="7"/>
      <c r="U845" s="7"/>
      <c r="V845" s="7"/>
      <c r="W845" s="7"/>
      <c r="X845" s="7"/>
      <c r="Y845" s="7"/>
      <c r="Z845" s="7"/>
    </row>
    <row r="846" spans="1:26" ht="12.75" customHeight="1" x14ac:dyDescent="0.2">
      <c r="A846" s="95"/>
      <c r="B846" s="95"/>
      <c r="C846" s="40" t="s">
        <v>36</v>
      </c>
      <c r="D846" s="41">
        <v>15</v>
      </c>
      <c r="E846" s="30">
        <v>19163.689999999999</v>
      </c>
      <c r="F846" s="30">
        <v>0</v>
      </c>
      <c r="G846" s="30">
        <v>0</v>
      </c>
      <c r="H846" s="30">
        <v>6459.63</v>
      </c>
      <c r="I846" s="30">
        <v>157.30000000000001</v>
      </c>
      <c r="J846" s="42">
        <v>2135.2800000000002</v>
      </c>
      <c r="K846" s="43">
        <v>25780.62</v>
      </c>
      <c r="L846" s="51">
        <v>27915.9</v>
      </c>
      <c r="M846" s="7"/>
      <c r="N846" s="30">
        <v>25780.62</v>
      </c>
      <c r="O846" s="30">
        <v>19320.990000000002</v>
      </c>
      <c r="P846" s="30">
        <v>2424</v>
      </c>
      <c r="Q846" s="30">
        <f>(N846+O846*0.18+J846)+(IF((P846-O846*0.18)&gt;0,(P846-O846*0.18),0))</f>
        <v>31393.678199999998</v>
      </c>
      <c r="R846" s="7"/>
      <c r="S846" s="7"/>
      <c r="T846" s="7"/>
      <c r="U846" s="7"/>
      <c r="V846" s="7"/>
      <c r="W846" s="7"/>
      <c r="X846" s="7"/>
      <c r="Y846" s="7"/>
      <c r="Z846" s="7"/>
    </row>
    <row r="847" spans="1:26" ht="9" customHeight="1" x14ac:dyDescent="0.2">
      <c r="A847" s="95"/>
      <c r="B847" s="95"/>
      <c r="C847" s="34" t="s">
        <v>37</v>
      </c>
      <c r="D847" s="35">
        <v>20</v>
      </c>
      <c r="E847" s="36">
        <v>37106078</v>
      </c>
      <c r="F847" s="36">
        <v>0</v>
      </c>
      <c r="G847" s="36">
        <v>0</v>
      </c>
      <c r="H847" s="36">
        <v>12507588</v>
      </c>
      <c r="I847" s="36">
        <v>304575</v>
      </c>
      <c r="J847" s="37">
        <v>4134479</v>
      </c>
      <c r="K847" s="36">
        <v>49918241</v>
      </c>
      <c r="L847" s="50">
        <v>54052720</v>
      </c>
      <c r="M847" s="7"/>
      <c r="N847" s="36">
        <v>49918241</v>
      </c>
      <c r="O847" s="36">
        <v>37410653</v>
      </c>
      <c r="P847" s="36">
        <v>4693518</v>
      </c>
      <c r="Q847" s="46">
        <f>Q846*1936.27</f>
        <v>60786637.288314</v>
      </c>
      <c r="R847" s="7"/>
      <c r="S847" s="7"/>
      <c r="T847" s="7"/>
      <c r="U847" s="7"/>
      <c r="V847" s="7"/>
      <c r="W847" s="7"/>
      <c r="X847" s="7"/>
      <c r="Y847" s="7"/>
      <c r="Z847" s="7"/>
    </row>
    <row r="848" spans="1:26" ht="12.75" customHeight="1" x14ac:dyDescent="0.2">
      <c r="A848" s="95"/>
      <c r="B848" s="95"/>
      <c r="C848" s="40" t="s">
        <v>36</v>
      </c>
      <c r="D848" s="41">
        <v>21</v>
      </c>
      <c r="E848" s="30">
        <v>21279.200000000001</v>
      </c>
      <c r="F848" s="30">
        <v>0</v>
      </c>
      <c r="G848" s="30">
        <v>0</v>
      </c>
      <c r="H848" s="30">
        <v>6459.63</v>
      </c>
      <c r="I848" s="30">
        <v>157.30000000000001</v>
      </c>
      <c r="J848" s="42">
        <v>2311.5700000000002</v>
      </c>
      <c r="K848" s="43">
        <v>27896.13</v>
      </c>
      <c r="L848" s="51">
        <v>30207.7</v>
      </c>
      <c r="M848" s="7"/>
      <c r="N848" s="30">
        <v>27896.13</v>
      </c>
      <c r="O848" s="30">
        <v>21436.5</v>
      </c>
      <c r="P848" s="30">
        <v>2424</v>
      </c>
      <c r="Q848" s="30">
        <f>(N848+O848*0.18+J848)+(IF((P848-O848*0.18)&gt;0,(P848-O848*0.18),0))</f>
        <v>34066.270000000004</v>
      </c>
      <c r="R848" s="7"/>
      <c r="S848" s="7"/>
      <c r="T848" s="7"/>
      <c r="U848" s="7"/>
      <c r="V848" s="7"/>
      <c r="W848" s="7"/>
      <c r="X848" s="7"/>
      <c r="Y848" s="7"/>
      <c r="Z848" s="7"/>
    </row>
    <row r="849" spans="1:26" ht="9" customHeight="1" x14ac:dyDescent="0.2">
      <c r="A849" s="95"/>
      <c r="B849" s="95"/>
      <c r="C849" s="34" t="s">
        <v>37</v>
      </c>
      <c r="D849" s="35">
        <v>27</v>
      </c>
      <c r="E849" s="36">
        <v>41202277</v>
      </c>
      <c r="F849" s="36">
        <v>0</v>
      </c>
      <c r="G849" s="36">
        <v>0</v>
      </c>
      <c r="H849" s="36">
        <v>12507588</v>
      </c>
      <c r="I849" s="36">
        <v>304575</v>
      </c>
      <c r="J849" s="37">
        <v>4475824</v>
      </c>
      <c r="K849" s="36">
        <v>54014440</v>
      </c>
      <c r="L849" s="50">
        <v>58490263</v>
      </c>
      <c r="M849" s="7"/>
      <c r="N849" s="36">
        <v>54014440</v>
      </c>
      <c r="O849" s="36">
        <v>41506852</v>
      </c>
      <c r="P849" s="36">
        <v>4693518</v>
      </c>
      <c r="Q849" s="46">
        <f>Q848*1936.27</f>
        <v>65961496.612900004</v>
      </c>
      <c r="R849" s="7"/>
      <c r="S849" s="7"/>
      <c r="T849" s="7"/>
      <c r="U849" s="7"/>
      <c r="V849" s="7"/>
      <c r="W849" s="7"/>
      <c r="X849" s="7"/>
      <c r="Y849" s="7"/>
      <c r="Z849" s="7"/>
    </row>
    <row r="850" spans="1:26" ht="12.75" customHeight="1" x14ac:dyDescent="0.2">
      <c r="A850" s="95"/>
      <c r="B850" s="95"/>
      <c r="C850" s="40" t="s">
        <v>36</v>
      </c>
      <c r="D850" s="41">
        <v>28</v>
      </c>
      <c r="E850" s="30">
        <v>23354.45</v>
      </c>
      <c r="F850" s="30">
        <v>0</v>
      </c>
      <c r="G850" s="30">
        <v>0</v>
      </c>
      <c r="H850" s="30">
        <v>6459.63</v>
      </c>
      <c r="I850" s="30">
        <v>157.30000000000001</v>
      </c>
      <c r="J850" s="42">
        <v>2484.5100000000002</v>
      </c>
      <c r="K850" s="43">
        <v>29971.38</v>
      </c>
      <c r="L850" s="51">
        <v>32455.89</v>
      </c>
      <c r="M850" s="7"/>
      <c r="N850" s="30">
        <v>29971.38</v>
      </c>
      <c r="O850" s="30">
        <v>23511.75</v>
      </c>
      <c r="P850" s="30">
        <v>3090</v>
      </c>
      <c r="Q850" s="30">
        <f>(N850+O850*0.18+J850)+(IF((P850-O850*0.18)&gt;0,(P850-O850*0.18),0))</f>
        <v>36688.005000000005</v>
      </c>
      <c r="R850" s="7"/>
      <c r="S850" s="7"/>
      <c r="T850" s="7"/>
      <c r="U850" s="7"/>
      <c r="V850" s="7"/>
      <c r="W850" s="7"/>
      <c r="X850" s="7"/>
      <c r="Y850" s="7"/>
      <c r="Z850" s="7"/>
    </row>
    <row r="851" spans="1:26" ht="9" customHeight="1" x14ac:dyDescent="0.2">
      <c r="A851" s="95"/>
      <c r="B851" s="95"/>
      <c r="C851" s="34" t="s">
        <v>37</v>
      </c>
      <c r="D851" s="35">
        <v>34</v>
      </c>
      <c r="E851" s="36">
        <v>45220521</v>
      </c>
      <c r="F851" s="36">
        <v>0</v>
      </c>
      <c r="G851" s="36">
        <v>0</v>
      </c>
      <c r="H851" s="36">
        <v>12507588</v>
      </c>
      <c r="I851" s="36">
        <v>304575</v>
      </c>
      <c r="J851" s="37">
        <v>4810682</v>
      </c>
      <c r="K851" s="36">
        <v>58032684</v>
      </c>
      <c r="L851" s="50">
        <v>62843366</v>
      </c>
      <c r="M851" s="7"/>
      <c r="N851" s="36">
        <v>58032684</v>
      </c>
      <c r="O851" s="36">
        <v>45525096</v>
      </c>
      <c r="P851" s="36">
        <v>5983074</v>
      </c>
      <c r="Q851" s="46">
        <f>Q850*1936.27</f>
        <v>71037883.441350013</v>
      </c>
      <c r="R851" s="7"/>
      <c r="S851" s="7"/>
      <c r="T851" s="7"/>
      <c r="U851" s="7"/>
      <c r="V851" s="7"/>
      <c r="W851" s="7"/>
      <c r="X851" s="7"/>
      <c r="Y851" s="7"/>
      <c r="Z851" s="7"/>
    </row>
    <row r="852" spans="1:26" ht="12.75" customHeight="1" x14ac:dyDescent="0.2">
      <c r="A852" s="95"/>
      <c r="B852" s="95"/>
      <c r="C852" s="40" t="s">
        <v>36</v>
      </c>
      <c r="D852" s="41">
        <v>35</v>
      </c>
      <c r="E852" s="30">
        <v>24892.49</v>
      </c>
      <c r="F852" s="30">
        <v>0</v>
      </c>
      <c r="G852" s="30">
        <v>0</v>
      </c>
      <c r="H852" s="30">
        <v>6459.63</v>
      </c>
      <c r="I852" s="30">
        <v>157.30000000000001</v>
      </c>
      <c r="J852" s="42">
        <v>2612.6799999999998</v>
      </c>
      <c r="K852" s="43">
        <v>31509.42</v>
      </c>
      <c r="L852" s="51">
        <v>34122.1</v>
      </c>
      <c r="M852" s="7"/>
      <c r="N852" s="30">
        <v>31509.42</v>
      </c>
      <c r="O852" s="30">
        <v>25049.79</v>
      </c>
      <c r="P852" s="30">
        <v>3090</v>
      </c>
      <c r="Q852" s="30">
        <f>(N852+O852*0.18+J852)+(IF((P852-O852*0.18)&gt;0,(P852-O852*0.18),0))</f>
        <v>38631.0622</v>
      </c>
      <c r="R852" s="7"/>
      <c r="S852" s="7"/>
      <c r="T852" s="7"/>
      <c r="U852" s="7"/>
      <c r="V852" s="7"/>
      <c r="W852" s="7"/>
      <c r="X852" s="7"/>
      <c r="Y852" s="7"/>
      <c r="Z852" s="7"/>
    </row>
    <row r="853" spans="1:26" ht="9" customHeight="1" x14ac:dyDescent="0.2">
      <c r="A853" s="110"/>
      <c r="B853" s="110"/>
      <c r="C853" s="47" t="s">
        <v>37</v>
      </c>
      <c r="D853" s="48"/>
      <c r="E853" s="46">
        <v>48198582</v>
      </c>
      <c r="F853" s="46">
        <v>0</v>
      </c>
      <c r="G853" s="46">
        <v>0</v>
      </c>
      <c r="H853" s="46">
        <v>12507588</v>
      </c>
      <c r="I853" s="46">
        <v>304575</v>
      </c>
      <c r="J853" s="49">
        <v>5058854</v>
      </c>
      <c r="K853" s="46">
        <v>61010745</v>
      </c>
      <c r="L853" s="52">
        <v>66069599</v>
      </c>
      <c r="M853" s="7"/>
      <c r="N853" s="46">
        <v>61010745</v>
      </c>
      <c r="O853" s="46">
        <v>48503157</v>
      </c>
      <c r="P853" s="46">
        <v>5983074</v>
      </c>
      <c r="Q853" s="46">
        <f>Q852*1936.27</f>
        <v>74800166.805994004</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6"/>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6"/>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6"/>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6"/>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6"/>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6"/>
      <c r="M859" s="39"/>
      <c r="N859" s="96"/>
      <c r="O859" s="96"/>
      <c r="P859" s="96"/>
      <c r="Q859" s="96"/>
      <c r="R859" s="7"/>
      <c r="S859" s="7"/>
      <c r="T859" s="7"/>
      <c r="U859" s="7"/>
      <c r="V859" s="7"/>
      <c r="W859" s="7"/>
      <c r="X859" s="7"/>
      <c r="Y859" s="7"/>
      <c r="Z859" s="7"/>
    </row>
    <row r="860" spans="1:26" ht="12.75" customHeight="1" x14ac:dyDescent="0.2">
      <c r="A860" s="98">
        <v>40544</v>
      </c>
      <c r="B860" s="98">
        <v>42369</v>
      </c>
      <c r="C860" s="28" t="s">
        <v>36</v>
      </c>
      <c r="D860" s="29">
        <v>0</v>
      </c>
      <c r="E860" s="30">
        <v>14513.64</v>
      </c>
      <c r="F860" s="30">
        <v>0</v>
      </c>
      <c r="G860" s="30"/>
      <c r="H860" s="30">
        <v>6459.63</v>
      </c>
      <c r="I860" s="30">
        <v>157.30000000000001</v>
      </c>
      <c r="J860" s="30">
        <v>1760.88</v>
      </c>
      <c r="K860" s="30">
        <v>21130.57</v>
      </c>
      <c r="L860" s="32">
        <v>22891.45</v>
      </c>
      <c r="M860" s="33"/>
      <c r="N860" s="30">
        <v>21130.57</v>
      </c>
      <c r="O860" s="30">
        <v>14670.94</v>
      </c>
      <c r="P860" s="30">
        <v>1968</v>
      </c>
      <c r="Q860" s="30">
        <v>25532.22</v>
      </c>
      <c r="R860" s="7"/>
      <c r="S860" s="7"/>
      <c r="T860" s="7"/>
      <c r="U860" s="7"/>
      <c r="V860" s="7"/>
      <c r="W860" s="7"/>
      <c r="X860" s="7"/>
      <c r="Y860" s="7"/>
      <c r="Z860" s="7"/>
    </row>
    <row r="861" spans="1:26" ht="9" customHeight="1" x14ac:dyDescent="0.2">
      <c r="A861" s="95"/>
      <c r="B861" s="95"/>
      <c r="C861" s="34" t="s">
        <v>37</v>
      </c>
      <c r="D861" s="35">
        <v>2</v>
      </c>
      <c r="E861" s="46">
        <v>28102326</v>
      </c>
      <c r="F861" s="36">
        <v>0</v>
      </c>
      <c r="G861" s="36">
        <v>0</v>
      </c>
      <c r="H861" s="46">
        <v>12507588</v>
      </c>
      <c r="I861" s="46">
        <v>304575</v>
      </c>
      <c r="J861" s="37">
        <v>3409539</v>
      </c>
      <c r="K861" s="46">
        <v>40914489</v>
      </c>
      <c r="L861" s="46">
        <v>44324028</v>
      </c>
      <c r="M861" s="39"/>
      <c r="N861" s="36">
        <v>40914489</v>
      </c>
      <c r="O861" s="36">
        <v>28406901</v>
      </c>
      <c r="P861" s="46">
        <v>3810579</v>
      </c>
      <c r="Q861" s="36">
        <v>49437272</v>
      </c>
      <c r="R861" s="7"/>
      <c r="S861" s="7"/>
      <c r="T861" s="7"/>
      <c r="U861" s="7"/>
      <c r="V861" s="7"/>
      <c r="W861" s="7"/>
      <c r="X861" s="7"/>
      <c r="Y861" s="7"/>
      <c r="Z861" s="7"/>
    </row>
    <row r="862" spans="1:26" ht="12.75" customHeight="1" x14ac:dyDescent="0.2">
      <c r="A862" s="156">
        <v>40544</v>
      </c>
      <c r="B862" s="156">
        <v>42369</v>
      </c>
      <c r="C862" s="40" t="s">
        <v>36</v>
      </c>
      <c r="D862" s="41">
        <v>3</v>
      </c>
      <c r="E862" s="30">
        <v>14513.64</v>
      </c>
      <c r="F862" s="30">
        <v>0</v>
      </c>
      <c r="G862" s="30">
        <v>0</v>
      </c>
      <c r="H862" s="30">
        <v>6459.63</v>
      </c>
      <c r="I862" s="30">
        <v>157.30000000000001</v>
      </c>
      <c r="J862" s="30">
        <v>1809.12</v>
      </c>
      <c r="K862" s="30">
        <v>21709.47</v>
      </c>
      <c r="L862" s="32">
        <v>23518.59</v>
      </c>
      <c r="M862" s="33"/>
      <c r="N862" s="30">
        <v>21709.47</v>
      </c>
      <c r="O862" s="30">
        <v>15249.84</v>
      </c>
      <c r="P862" s="30">
        <v>1968</v>
      </c>
      <c r="Q862" s="30">
        <v>26263.56</v>
      </c>
      <c r="R862" s="7"/>
      <c r="S862" s="7"/>
      <c r="T862" s="7"/>
      <c r="U862" s="7"/>
      <c r="V862" s="7"/>
      <c r="W862" s="7"/>
      <c r="X862" s="7"/>
      <c r="Y862" s="7"/>
      <c r="Z862" s="7"/>
    </row>
    <row r="863" spans="1:26" ht="9" customHeight="1" x14ac:dyDescent="0.2">
      <c r="A863" s="95"/>
      <c r="B863" s="95"/>
      <c r="C863" s="34" t="s">
        <v>37</v>
      </c>
      <c r="D863" s="35">
        <v>8</v>
      </c>
      <c r="E863" s="36">
        <v>28102326</v>
      </c>
      <c r="F863" s="36">
        <v>0</v>
      </c>
      <c r="G863" s="36">
        <v>0</v>
      </c>
      <c r="H863" s="46">
        <v>12507588</v>
      </c>
      <c r="I863" s="46">
        <v>304575</v>
      </c>
      <c r="J863" s="37">
        <v>3502945</v>
      </c>
      <c r="K863" s="46">
        <v>42035395</v>
      </c>
      <c r="L863" s="46">
        <v>45538340</v>
      </c>
      <c r="M863" s="39"/>
      <c r="N863" s="36">
        <v>42035395</v>
      </c>
      <c r="O863" s="36">
        <v>29527808</v>
      </c>
      <c r="P863" s="46">
        <v>3810579</v>
      </c>
      <c r="Q863" s="36">
        <v>50853343</v>
      </c>
      <c r="R863" s="7"/>
      <c r="S863" s="7"/>
      <c r="T863" s="7"/>
      <c r="U863" s="7"/>
      <c r="V863" s="7"/>
      <c r="W863" s="7"/>
      <c r="X863" s="7"/>
      <c r="Y863" s="7"/>
      <c r="Z863" s="7"/>
    </row>
    <row r="864" spans="1:26" ht="12.75" customHeight="1" x14ac:dyDescent="0.2">
      <c r="A864" s="95"/>
      <c r="B864" s="95"/>
      <c r="C864" s="40" t="s">
        <v>36</v>
      </c>
      <c r="D864" s="41">
        <v>9</v>
      </c>
      <c r="E864" s="30">
        <v>16985.099999999999</v>
      </c>
      <c r="F864" s="30">
        <v>0</v>
      </c>
      <c r="G864" s="30">
        <v>0</v>
      </c>
      <c r="H864" s="30">
        <v>6459.63</v>
      </c>
      <c r="I864" s="30">
        <v>157.30000000000001</v>
      </c>
      <c r="J864" s="30">
        <v>1966.84</v>
      </c>
      <c r="K864" s="30">
        <v>23602.03</v>
      </c>
      <c r="L864" s="32">
        <v>25568.87</v>
      </c>
      <c r="M864" s="33"/>
      <c r="N864" s="30">
        <v>23602.03</v>
      </c>
      <c r="O864" s="30">
        <v>17142.400000000001</v>
      </c>
      <c r="P864" s="30">
        <v>1968</v>
      </c>
      <c r="Q864" s="30">
        <v>28654.5</v>
      </c>
      <c r="R864" s="7"/>
      <c r="S864" s="7"/>
      <c r="T864" s="7"/>
      <c r="U864" s="7"/>
      <c r="V864" s="7"/>
      <c r="W864" s="7"/>
      <c r="X864" s="7"/>
      <c r="Y864" s="7"/>
      <c r="Z864" s="7"/>
    </row>
    <row r="865" spans="1:26" ht="9" customHeight="1" x14ac:dyDescent="0.2">
      <c r="A865" s="95"/>
      <c r="B865" s="95"/>
      <c r="C865" s="34" t="s">
        <v>37</v>
      </c>
      <c r="D865" s="35">
        <v>14</v>
      </c>
      <c r="E865" s="46">
        <v>32887740</v>
      </c>
      <c r="F865" s="36">
        <v>0</v>
      </c>
      <c r="G865" s="36">
        <v>0</v>
      </c>
      <c r="H865" s="46">
        <v>12507588</v>
      </c>
      <c r="I865" s="46">
        <v>304575</v>
      </c>
      <c r="J865" s="37">
        <v>3808333</v>
      </c>
      <c r="K865" s="46">
        <v>45699903</v>
      </c>
      <c r="L865" s="46">
        <v>49508236</v>
      </c>
      <c r="M865" s="39"/>
      <c r="N865" s="36">
        <v>45699903</v>
      </c>
      <c r="O865" s="36">
        <v>33192315</v>
      </c>
      <c r="P865" s="46">
        <v>3810579</v>
      </c>
      <c r="Q865" s="36">
        <v>55482849</v>
      </c>
      <c r="R865" s="7"/>
      <c r="S865" s="7"/>
      <c r="T865" s="7"/>
      <c r="U865" s="7"/>
      <c r="V865" s="7"/>
      <c r="W865" s="7"/>
      <c r="X865" s="7"/>
      <c r="Y865" s="7"/>
      <c r="Z865" s="7"/>
    </row>
    <row r="866" spans="1:26" ht="12.75" customHeight="1" x14ac:dyDescent="0.2">
      <c r="A866" s="95"/>
      <c r="B866" s="95"/>
      <c r="C866" s="40" t="s">
        <v>36</v>
      </c>
      <c r="D866" s="41">
        <v>15</v>
      </c>
      <c r="E866" s="30">
        <v>19163.689999999999</v>
      </c>
      <c r="F866" s="30">
        <v>0</v>
      </c>
      <c r="G866" s="30">
        <v>0</v>
      </c>
      <c r="H866" s="30">
        <v>6459.63</v>
      </c>
      <c r="I866" s="30">
        <v>157.30000000000001</v>
      </c>
      <c r="J866" s="30">
        <v>2148.39</v>
      </c>
      <c r="K866" s="30">
        <v>25780.62</v>
      </c>
      <c r="L866" s="32">
        <v>27929.01</v>
      </c>
      <c r="M866" s="33"/>
      <c r="N866" s="30">
        <v>25780.62</v>
      </c>
      <c r="O866" s="30">
        <v>19320.990000000002</v>
      </c>
      <c r="P866" s="30">
        <v>2424</v>
      </c>
      <c r="Q866" s="30">
        <v>31406.79</v>
      </c>
      <c r="R866" s="7"/>
      <c r="S866" s="7"/>
      <c r="T866" s="7"/>
      <c r="U866" s="7"/>
      <c r="V866" s="7"/>
      <c r="W866" s="7"/>
      <c r="X866" s="7"/>
      <c r="Y866" s="7"/>
      <c r="Z866" s="7"/>
    </row>
    <row r="867" spans="1:26" ht="9" customHeight="1" x14ac:dyDescent="0.2">
      <c r="A867" s="95"/>
      <c r="B867" s="95"/>
      <c r="C867" s="34" t="s">
        <v>37</v>
      </c>
      <c r="D867" s="35">
        <v>20</v>
      </c>
      <c r="E867" s="46">
        <v>37106078</v>
      </c>
      <c r="F867" s="36">
        <v>0</v>
      </c>
      <c r="G867" s="36">
        <v>0</v>
      </c>
      <c r="H867" s="46">
        <v>12507588</v>
      </c>
      <c r="I867" s="46">
        <v>304575</v>
      </c>
      <c r="J867" s="37">
        <v>4159863</v>
      </c>
      <c r="K867" s="46">
        <v>49918241</v>
      </c>
      <c r="L867" s="46">
        <v>54078104</v>
      </c>
      <c r="M867" s="39"/>
      <c r="N867" s="36">
        <v>49918241</v>
      </c>
      <c r="O867" s="36">
        <v>37410653</v>
      </c>
      <c r="P867" s="46">
        <v>4693518</v>
      </c>
      <c r="Q867" s="36">
        <v>60812025</v>
      </c>
      <c r="R867" s="7"/>
      <c r="S867" s="7"/>
      <c r="T867" s="7"/>
      <c r="U867" s="7"/>
      <c r="V867" s="7"/>
      <c r="W867" s="7"/>
      <c r="X867" s="7"/>
      <c r="Y867" s="7"/>
      <c r="Z867" s="7"/>
    </row>
    <row r="868" spans="1:26" ht="12.75" customHeight="1" x14ac:dyDescent="0.2">
      <c r="A868" s="95"/>
      <c r="B868" s="95"/>
      <c r="C868" s="40" t="s">
        <v>36</v>
      </c>
      <c r="D868" s="41">
        <v>21</v>
      </c>
      <c r="E868" s="30">
        <v>21279.200000000001</v>
      </c>
      <c r="F868" s="30">
        <v>0</v>
      </c>
      <c r="G868" s="30">
        <v>0</v>
      </c>
      <c r="H868" s="30">
        <v>6459.63</v>
      </c>
      <c r="I868" s="30">
        <v>157.30000000000001</v>
      </c>
      <c r="J868" s="30">
        <v>2324.6799999999998</v>
      </c>
      <c r="K868" s="30">
        <v>27896.13</v>
      </c>
      <c r="L868" s="32">
        <v>30220.81</v>
      </c>
      <c r="M868" s="33"/>
      <c r="N868" s="30">
        <v>27896.13</v>
      </c>
      <c r="O868" s="30">
        <v>21436.5</v>
      </c>
      <c r="P868" s="30">
        <v>2424</v>
      </c>
      <c r="Q868" s="30">
        <v>34079.379999999997</v>
      </c>
      <c r="R868" s="7"/>
      <c r="S868" s="7"/>
      <c r="T868" s="7"/>
      <c r="U868" s="7"/>
      <c r="V868" s="7"/>
      <c r="W868" s="7"/>
      <c r="X868" s="7"/>
      <c r="Y868" s="7"/>
      <c r="Z868" s="7"/>
    </row>
    <row r="869" spans="1:26" ht="9" customHeight="1" x14ac:dyDescent="0.2">
      <c r="A869" s="95"/>
      <c r="B869" s="95"/>
      <c r="C869" s="34" t="s">
        <v>37</v>
      </c>
      <c r="D869" s="35">
        <v>27</v>
      </c>
      <c r="E869" s="46">
        <v>41202277</v>
      </c>
      <c r="F869" s="36">
        <v>0</v>
      </c>
      <c r="G869" s="36">
        <v>0</v>
      </c>
      <c r="H869" s="46">
        <v>12507588</v>
      </c>
      <c r="I869" s="46">
        <v>304575</v>
      </c>
      <c r="J869" s="37">
        <v>4501208</v>
      </c>
      <c r="K869" s="46">
        <v>54014440</v>
      </c>
      <c r="L869" s="46">
        <v>58515648</v>
      </c>
      <c r="M869" s="39"/>
      <c r="N869" s="36">
        <v>54014440</v>
      </c>
      <c r="O869" s="36">
        <v>41506852</v>
      </c>
      <c r="P869" s="46">
        <v>4693518</v>
      </c>
      <c r="Q869" s="36">
        <v>65986881</v>
      </c>
      <c r="R869" s="7"/>
      <c r="S869" s="7"/>
      <c r="T869" s="7"/>
      <c r="U869" s="7"/>
      <c r="V869" s="7"/>
      <c r="W869" s="7"/>
      <c r="X869" s="7"/>
      <c r="Y869" s="7"/>
      <c r="Z869" s="7"/>
    </row>
    <row r="870" spans="1:26" ht="12.75" customHeight="1" x14ac:dyDescent="0.2">
      <c r="A870" s="95"/>
      <c r="B870" s="95"/>
      <c r="C870" s="40" t="s">
        <v>36</v>
      </c>
      <c r="D870" s="41">
        <v>28</v>
      </c>
      <c r="E870" s="30">
        <v>23354.45</v>
      </c>
      <c r="F870" s="30"/>
      <c r="G870" s="30">
        <v>0</v>
      </c>
      <c r="H870" s="30">
        <v>6459.63</v>
      </c>
      <c r="I870" s="30">
        <v>157.30000000000001</v>
      </c>
      <c r="J870" s="30">
        <v>2497.62</v>
      </c>
      <c r="K870" s="30">
        <v>29971.38</v>
      </c>
      <c r="L870" s="32">
        <v>32469</v>
      </c>
      <c r="M870" s="33"/>
      <c r="N870" s="30">
        <v>29971.38</v>
      </c>
      <c r="O870" s="30">
        <v>23511.75</v>
      </c>
      <c r="P870" s="30">
        <v>3090</v>
      </c>
      <c r="Q870" s="30">
        <v>36701.120000000003</v>
      </c>
      <c r="R870" s="7"/>
      <c r="S870" s="7"/>
      <c r="T870" s="7"/>
      <c r="U870" s="7"/>
      <c r="V870" s="7"/>
      <c r="W870" s="7"/>
      <c r="X870" s="7"/>
      <c r="Y870" s="7"/>
      <c r="Z870" s="7"/>
    </row>
    <row r="871" spans="1:26" ht="9" customHeight="1" x14ac:dyDescent="0.2">
      <c r="A871" s="95"/>
      <c r="B871" s="95"/>
      <c r="C871" s="34" t="s">
        <v>37</v>
      </c>
      <c r="D871" s="35">
        <v>34</v>
      </c>
      <c r="E871" s="46">
        <v>45220521</v>
      </c>
      <c r="F871" s="36">
        <v>0</v>
      </c>
      <c r="G871" s="36">
        <v>0</v>
      </c>
      <c r="H871" s="46">
        <v>12507588</v>
      </c>
      <c r="I871" s="46">
        <v>304575</v>
      </c>
      <c r="J871" s="37">
        <v>4836067</v>
      </c>
      <c r="K871" s="46">
        <v>58032684</v>
      </c>
      <c r="L871" s="46">
        <v>62868751</v>
      </c>
      <c r="M871" s="39"/>
      <c r="N871" s="36">
        <v>58032684</v>
      </c>
      <c r="O871" s="36">
        <v>45525096</v>
      </c>
      <c r="P871" s="46">
        <v>5983074</v>
      </c>
      <c r="Q871" s="36">
        <v>71063278</v>
      </c>
      <c r="R871" s="7"/>
      <c r="S871" s="7"/>
      <c r="T871" s="7"/>
      <c r="U871" s="7"/>
      <c r="V871" s="7"/>
      <c r="W871" s="7"/>
      <c r="X871" s="7"/>
      <c r="Y871" s="7"/>
      <c r="Z871" s="7"/>
    </row>
    <row r="872" spans="1:26" ht="12.75" customHeight="1" x14ac:dyDescent="0.2">
      <c r="A872" s="95"/>
      <c r="B872" s="95"/>
      <c r="C872" s="40" t="s">
        <v>36</v>
      </c>
      <c r="D872" s="41">
        <v>35</v>
      </c>
      <c r="E872" s="30">
        <v>24892.49</v>
      </c>
      <c r="F872" s="30">
        <v>0</v>
      </c>
      <c r="G872" s="30">
        <v>0</v>
      </c>
      <c r="H872" s="30">
        <v>6459.63</v>
      </c>
      <c r="I872" s="30">
        <v>157.30000000000001</v>
      </c>
      <c r="J872" s="30">
        <v>2625.79</v>
      </c>
      <c r="K872" s="30">
        <v>31509.42</v>
      </c>
      <c r="L872" s="32">
        <v>34135.21</v>
      </c>
      <c r="M872" s="33"/>
      <c r="N872" s="30">
        <v>31509.42</v>
      </c>
      <c r="O872" s="30">
        <v>25049.79</v>
      </c>
      <c r="P872" s="30">
        <v>3090</v>
      </c>
      <c r="Q872" s="30">
        <v>38644.17</v>
      </c>
      <c r="R872" s="7"/>
      <c r="S872" s="7"/>
      <c r="T872" s="7"/>
      <c r="U872" s="7"/>
      <c r="V872" s="7"/>
      <c r="W872" s="7"/>
      <c r="X872" s="7"/>
      <c r="Y872" s="7"/>
      <c r="Z872" s="7"/>
    </row>
    <row r="873" spans="1:26" ht="9" customHeight="1" x14ac:dyDescent="0.2">
      <c r="A873" s="110"/>
      <c r="B873" s="110"/>
      <c r="C873" s="47" t="s">
        <v>37</v>
      </c>
      <c r="D873" s="48"/>
      <c r="E873" s="46">
        <v>48198582</v>
      </c>
      <c r="F873" s="46">
        <v>0</v>
      </c>
      <c r="G873" s="46">
        <v>0</v>
      </c>
      <c r="H873" s="46">
        <v>12507588</v>
      </c>
      <c r="I873" s="46">
        <v>304575</v>
      </c>
      <c r="J873" s="46">
        <v>5084238</v>
      </c>
      <c r="K873" s="46">
        <v>61010745</v>
      </c>
      <c r="L873" s="46">
        <v>66094983</v>
      </c>
      <c r="M873" s="39"/>
      <c r="N873" s="46">
        <v>61010745</v>
      </c>
      <c r="O873" s="46">
        <v>48503157</v>
      </c>
      <c r="P873" s="46">
        <v>5983074</v>
      </c>
      <c r="Q873" s="46">
        <v>74825547</v>
      </c>
      <c r="R873" s="7"/>
      <c r="S873" s="7"/>
      <c r="T873" s="7"/>
      <c r="U873" s="7"/>
      <c r="V873" s="7"/>
      <c r="W873" s="7"/>
      <c r="X873" s="7"/>
      <c r="Y873" s="7"/>
      <c r="Z873" s="7"/>
    </row>
    <row r="874" spans="1:26" ht="9" customHeight="1" x14ac:dyDescent="0.2">
      <c r="A874" s="95"/>
      <c r="B874" s="95"/>
      <c r="C874" s="44"/>
      <c r="D874" s="45"/>
      <c r="E874" s="96"/>
      <c r="F874" s="96"/>
      <c r="G874" s="96"/>
      <c r="H874" s="96"/>
      <c r="I874" s="96"/>
      <c r="J874" s="54"/>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54"/>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54"/>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54"/>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54"/>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54"/>
      <c r="K879" s="96"/>
      <c r="L879" s="96"/>
      <c r="M879" s="39"/>
      <c r="N879" s="96"/>
      <c r="O879" s="96"/>
      <c r="P879" s="96"/>
      <c r="Q879" s="96"/>
      <c r="R879" s="7"/>
      <c r="S879" s="7"/>
      <c r="T879" s="7"/>
      <c r="U879" s="7"/>
      <c r="V879" s="7"/>
      <c r="W879" s="7"/>
      <c r="X879" s="7"/>
      <c r="Y879" s="7"/>
      <c r="Z879" s="7"/>
    </row>
    <row r="880" spans="1:26" ht="12.75" customHeight="1" x14ac:dyDescent="0.2">
      <c r="A880" s="98">
        <v>42370</v>
      </c>
      <c r="B880" s="98">
        <v>42735</v>
      </c>
      <c r="C880" s="28" t="s">
        <v>36</v>
      </c>
      <c r="D880" s="29">
        <v>0</v>
      </c>
      <c r="E880" s="30">
        <v>14596.44</v>
      </c>
      <c r="F880" s="30"/>
      <c r="G880" s="30"/>
      <c r="H880" s="30">
        <v>6459.63</v>
      </c>
      <c r="I880" s="30">
        <v>157.30000000000001</v>
      </c>
      <c r="J880" s="30">
        <v>1767.78</v>
      </c>
      <c r="K880" s="30">
        <v>21213.37</v>
      </c>
      <c r="L880" s="32">
        <v>22981.15</v>
      </c>
      <c r="M880" s="33"/>
      <c r="N880" s="30">
        <v>21213.37</v>
      </c>
      <c r="O880" s="30">
        <v>14753.74</v>
      </c>
      <c r="P880" s="30">
        <v>1968</v>
      </c>
      <c r="Q880" s="30">
        <v>25636.82</v>
      </c>
      <c r="R880" s="7"/>
      <c r="S880" s="7"/>
      <c r="T880" s="7"/>
      <c r="U880" s="7"/>
      <c r="V880" s="7"/>
      <c r="W880" s="7"/>
      <c r="X880" s="7"/>
      <c r="Y880" s="7"/>
      <c r="Z880" s="7"/>
    </row>
    <row r="881" spans="1:26" ht="9" customHeight="1" x14ac:dyDescent="0.2">
      <c r="A881" s="95"/>
      <c r="B881" s="95"/>
      <c r="C881" s="34" t="s">
        <v>37</v>
      </c>
      <c r="D881" s="35">
        <v>8</v>
      </c>
      <c r="E881" s="46">
        <v>28262649</v>
      </c>
      <c r="F881" s="36">
        <v>0</v>
      </c>
      <c r="G881" s="36">
        <v>0</v>
      </c>
      <c r="H881" s="46">
        <v>12507588</v>
      </c>
      <c r="I881" s="46">
        <v>304575</v>
      </c>
      <c r="J881" s="37">
        <v>3422899</v>
      </c>
      <c r="K881" s="46">
        <v>41074812</v>
      </c>
      <c r="L881" s="46">
        <v>44497711</v>
      </c>
      <c r="M881" s="39"/>
      <c r="N881" s="36">
        <v>41074812</v>
      </c>
      <c r="O881" s="36">
        <v>28567224</v>
      </c>
      <c r="P881" s="46">
        <v>3810579</v>
      </c>
      <c r="Q881" s="36">
        <v>49639805</v>
      </c>
      <c r="R881" s="7"/>
      <c r="S881" s="7"/>
      <c r="T881" s="7"/>
      <c r="U881" s="7"/>
      <c r="V881" s="7"/>
      <c r="W881" s="7"/>
      <c r="X881" s="7"/>
      <c r="Y881" s="7"/>
      <c r="Z881" s="7"/>
    </row>
    <row r="882" spans="1:26" ht="12.75" customHeight="1" x14ac:dyDescent="0.2">
      <c r="A882" s="157">
        <v>42370</v>
      </c>
      <c r="B882" s="157">
        <v>42735</v>
      </c>
      <c r="C882" s="40" t="s">
        <v>36</v>
      </c>
      <c r="D882" s="41">
        <v>9</v>
      </c>
      <c r="E882" s="30">
        <v>17077.5</v>
      </c>
      <c r="F882" s="30">
        <v>0</v>
      </c>
      <c r="G882" s="30">
        <v>0</v>
      </c>
      <c r="H882" s="30">
        <v>6459.63</v>
      </c>
      <c r="I882" s="30">
        <v>157.30000000000001</v>
      </c>
      <c r="J882" s="30">
        <v>1974.54</v>
      </c>
      <c r="K882" s="30">
        <v>23694.43</v>
      </c>
      <c r="L882" s="32">
        <v>25668.97</v>
      </c>
      <c r="M882" s="33"/>
      <c r="N882" s="30">
        <v>23694.43</v>
      </c>
      <c r="O882" s="30">
        <v>17234.8</v>
      </c>
      <c r="P882" s="30">
        <v>1968</v>
      </c>
      <c r="Q882" s="30">
        <v>28771.23</v>
      </c>
      <c r="R882" s="7"/>
      <c r="S882" s="7"/>
      <c r="T882" s="7"/>
      <c r="U882" s="7"/>
      <c r="V882" s="7"/>
      <c r="W882" s="7"/>
      <c r="X882" s="7"/>
      <c r="Y882" s="7"/>
      <c r="Z882" s="7"/>
    </row>
    <row r="883" spans="1:26" ht="9" customHeight="1" x14ac:dyDescent="0.2">
      <c r="A883" s="95"/>
      <c r="B883" s="95"/>
      <c r="C883" s="34" t="s">
        <v>37</v>
      </c>
      <c r="D883" s="35">
        <v>14</v>
      </c>
      <c r="E883" s="46">
        <v>33066651</v>
      </c>
      <c r="F883" s="36">
        <v>0</v>
      </c>
      <c r="G883" s="36">
        <v>0</v>
      </c>
      <c r="H883" s="46">
        <v>12507588</v>
      </c>
      <c r="I883" s="46">
        <v>304575</v>
      </c>
      <c r="J883" s="37">
        <v>3823243</v>
      </c>
      <c r="K883" s="46">
        <v>45878814</v>
      </c>
      <c r="L883" s="46">
        <v>49702057</v>
      </c>
      <c r="M883" s="39"/>
      <c r="N883" s="36">
        <v>45878814</v>
      </c>
      <c r="O883" s="36">
        <v>33371226</v>
      </c>
      <c r="P883" s="46">
        <v>3810579</v>
      </c>
      <c r="Q883" s="36">
        <v>55708870</v>
      </c>
      <c r="R883" s="7"/>
      <c r="S883" s="7"/>
      <c r="T883" s="7"/>
      <c r="U883" s="7"/>
      <c r="V883" s="7"/>
      <c r="W883" s="7"/>
      <c r="X883" s="7"/>
      <c r="Y883" s="7"/>
      <c r="Z883" s="7"/>
    </row>
    <row r="884" spans="1:26" ht="12.75" customHeight="1" x14ac:dyDescent="0.2">
      <c r="A884" s="95"/>
      <c r="B884" s="95"/>
      <c r="C884" s="40" t="s">
        <v>36</v>
      </c>
      <c r="D884" s="41">
        <v>15</v>
      </c>
      <c r="E884" s="30">
        <v>19264.490000000002</v>
      </c>
      <c r="F884" s="30">
        <v>0</v>
      </c>
      <c r="G884" s="30">
        <v>0</v>
      </c>
      <c r="H884" s="30">
        <v>6459.63</v>
      </c>
      <c r="I884" s="30">
        <v>157.30000000000001</v>
      </c>
      <c r="J884" s="30">
        <v>2156.79</v>
      </c>
      <c r="K884" s="30">
        <v>25881.42</v>
      </c>
      <c r="L884" s="32">
        <v>28038.21</v>
      </c>
      <c r="M884" s="33"/>
      <c r="N884" s="30">
        <v>25881.42</v>
      </c>
      <c r="O884" s="30">
        <v>19421.79</v>
      </c>
      <c r="P884" s="30">
        <v>2424</v>
      </c>
      <c r="Q884" s="30">
        <v>31534.13</v>
      </c>
      <c r="R884" s="7"/>
      <c r="S884" s="7"/>
      <c r="T884" s="7"/>
      <c r="U884" s="7"/>
      <c r="V884" s="7"/>
      <c r="W884" s="7"/>
      <c r="X884" s="7"/>
      <c r="Y884" s="7"/>
      <c r="Z884" s="7"/>
    </row>
    <row r="885" spans="1:26" ht="9" customHeight="1" x14ac:dyDescent="0.2">
      <c r="A885" s="95"/>
      <c r="B885" s="95"/>
      <c r="C885" s="34" t="s">
        <v>37</v>
      </c>
      <c r="D885" s="35">
        <v>20</v>
      </c>
      <c r="E885" s="46">
        <v>37301254</v>
      </c>
      <c r="F885" s="36">
        <v>0</v>
      </c>
      <c r="G885" s="36">
        <v>0</v>
      </c>
      <c r="H885" s="46">
        <v>12507588</v>
      </c>
      <c r="I885" s="46">
        <v>304575</v>
      </c>
      <c r="J885" s="37">
        <v>4176128</v>
      </c>
      <c r="K885" s="46">
        <v>50113417</v>
      </c>
      <c r="L885" s="46">
        <v>54289545</v>
      </c>
      <c r="M885" s="39"/>
      <c r="N885" s="36">
        <v>50113417</v>
      </c>
      <c r="O885" s="36">
        <v>37605829</v>
      </c>
      <c r="P885" s="46">
        <v>4693518</v>
      </c>
      <c r="Q885" s="36">
        <v>61058590</v>
      </c>
      <c r="R885" s="7"/>
      <c r="S885" s="7"/>
      <c r="T885" s="7"/>
      <c r="U885" s="7"/>
      <c r="V885" s="7"/>
      <c r="W885" s="7"/>
      <c r="X885" s="7"/>
      <c r="Y885" s="7"/>
      <c r="Z885" s="7"/>
    </row>
    <row r="886" spans="1:26" ht="12.75" customHeight="1" x14ac:dyDescent="0.2">
      <c r="A886" s="95"/>
      <c r="B886" s="95"/>
      <c r="C886" s="40" t="s">
        <v>36</v>
      </c>
      <c r="D886" s="41">
        <v>21</v>
      </c>
      <c r="E886" s="30">
        <v>21388.400000000001</v>
      </c>
      <c r="F886" s="30">
        <v>0</v>
      </c>
      <c r="G886" s="30">
        <v>0</v>
      </c>
      <c r="H886" s="30">
        <v>6459.63</v>
      </c>
      <c r="I886" s="30">
        <v>157.30000000000001</v>
      </c>
      <c r="J886" s="30">
        <v>2333.7800000000002</v>
      </c>
      <c r="K886" s="30">
        <v>28005.33</v>
      </c>
      <c r="L886" s="32">
        <v>30339.11</v>
      </c>
      <c r="M886" s="33"/>
      <c r="N886" s="30">
        <v>28005.33</v>
      </c>
      <c r="O886" s="30">
        <v>21545.7</v>
      </c>
      <c r="P886" s="30">
        <v>2424</v>
      </c>
      <c r="Q886" s="30">
        <v>34217.339999999997</v>
      </c>
      <c r="R886" s="7"/>
      <c r="S886" s="7"/>
      <c r="T886" s="7"/>
      <c r="U886" s="7"/>
      <c r="V886" s="7"/>
      <c r="W886" s="7"/>
      <c r="X886" s="7"/>
      <c r="Y886" s="7"/>
      <c r="Z886" s="7"/>
    </row>
    <row r="887" spans="1:26" ht="9" customHeight="1" x14ac:dyDescent="0.2">
      <c r="A887" s="95"/>
      <c r="B887" s="95"/>
      <c r="C887" s="34" t="s">
        <v>37</v>
      </c>
      <c r="D887" s="35">
        <v>27</v>
      </c>
      <c r="E887" s="46">
        <v>41413717</v>
      </c>
      <c r="F887" s="36">
        <v>0</v>
      </c>
      <c r="G887" s="36">
        <v>0</v>
      </c>
      <c r="H887" s="46">
        <v>12507588</v>
      </c>
      <c r="I887" s="46">
        <v>304575</v>
      </c>
      <c r="J887" s="37">
        <v>4518828</v>
      </c>
      <c r="K887" s="46">
        <v>54225880</v>
      </c>
      <c r="L887" s="46">
        <v>58744709</v>
      </c>
      <c r="M887" s="39"/>
      <c r="N887" s="36">
        <v>54225880</v>
      </c>
      <c r="O887" s="36">
        <v>41718293</v>
      </c>
      <c r="P887" s="46">
        <v>4693518</v>
      </c>
      <c r="Q887" s="36">
        <v>66254009</v>
      </c>
      <c r="R887" s="7"/>
      <c r="S887" s="7"/>
      <c r="T887" s="7"/>
      <c r="U887" s="7"/>
      <c r="V887" s="7"/>
      <c r="W887" s="7"/>
      <c r="X887" s="7"/>
      <c r="Y887" s="7"/>
      <c r="Z887" s="7"/>
    </row>
    <row r="888" spans="1:26" ht="12.75" customHeight="1" x14ac:dyDescent="0.2">
      <c r="A888" s="95"/>
      <c r="B888" s="95"/>
      <c r="C888" s="40" t="s">
        <v>36</v>
      </c>
      <c r="D888" s="41">
        <v>28</v>
      </c>
      <c r="E888" s="30">
        <v>23472.05</v>
      </c>
      <c r="F888" s="30">
        <v>0</v>
      </c>
      <c r="G888" s="30">
        <v>0</v>
      </c>
      <c r="H888" s="30">
        <v>6459.63</v>
      </c>
      <c r="I888" s="30">
        <v>157.30000000000001</v>
      </c>
      <c r="J888" s="30">
        <v>2507.42</v>
      </c>
      <c r="K888" s="30">
        <v>30088.98</v>
      </c>
      <c r="L888" s="32">
        <v>32596.400000000001</v>
      </c>
      <c r="M888" s="33"/>
      <c r="N888" s="30">
        <v>30088.98</v>
      </c>
      <c r="O888" s="30">
        <v>23629.35</v>
      </c>
      <c r="P888" s="30">
        <v>3090</v>
      </c>
      <c r="Q888" s="30">
        <v>36849.68</v>
      </c>
      <c r="R888" s="7"/>
      <c r="S888" s="7"/>
      <c r="T888" s="7"/>
      <c r="U888" s="7"/>
      <c r="V888" s="7"/>
      <c r="W888" s="7"/>
      <c r="X888" s="7"/>
      <c r="Y888" s="7"/>
      <c r="Z888" s="7"/>
    </row>
    <row r="889" spans="1:26" ht="9" customHeight="1" x14ac:dyDescent="0.2">
      <c r="A889" s="95"/>
      <c r="B889" s="95"/>
      <c r="C889" s="34" t="s">
        <v>37</v>
      </c>
      <c r="D889" s="35">
        <v>34</v>
      </c>
      <c r="E889" s="46">
        <v>45448226</v>
      </c>
      <c r="F889" s="36">
        <v>0</v>
      </c>
      <c r="G889" s="36">
        <v>0</v>
      </c>
      <c r="H889" s="46">
        <v>12507588</v>
      </c>
      <c r="I889" s="46">
        <v>304575</v>
      </c>
      <c r="J889" s="37">
        <v>4855042</v>
      </c>
      <c r="K889" s="46">
        <v>58260389</v>
      </c>
      <c r="L889" s="46">
        <v>63115431</v>
      </c>
      <c r="M889" s="39"/>
      <c r="N889" s="36">
        <v>58260389</v>
      </c>
      <c r="O889" s="36">
        <v>45752802</v>
      </c>
      <c r="P889" s="46">
        <v>5983074</v>
      </c>
      <c r="Q889" s="36">
        <v>71350930</v>
      </c>
      <c r="R889" s="7"/>
      <c r="S889" s="7"/>
      <c r="T889" s="7"/>
      <c r="U889" s="7"/>
      <c r="V889" s="7"/>
      <c r="W889" s="7"/>
      <c r="X889" s="7"/>
      <c r="Y889" s="7"/>
      <c r="Z889" s="7"/>
    </row>
    <row r="890" spans="1:26" ht="12.75" customHeight="1" x14ac:dyDescent="0.2">
      <c r="A890" s="95"/>
      <c r="B890" s="95"/>
      <c r="C890" s="40" t="s">
        <v>36</v>
      </c>
      <c r="D890" s="41">
        <v>35</v>
      </c>
      <c r="E890" s="30">
        <v>25016.09</v>
      </c>
      <c r="F890" s="30"/>
      <c r="G890" s="30">
        <v>0</v>
      </c>
      <c r="H890" s="30">
        <v>6459.63</v>
      </c>
      <c r="I890" s="30">
        <v>157.30000000000001</v>
      </c>
      <c r="J890" s="30">
        <v>2636.09</v>
      </c>
      <c r="K890" s="30">
        <v>31633.02</v>
      </c>
      <c r="L890" s="32">
        <v>34269.11</v>
      </c>
      <c r="M890" s="33"/>
      <c r="N890" s="30">
        <v>31633.02</v>
      </c>
      <c r="O890" s="30">
        <v>25173.39</v>
      </c>
      <c r="P890" s="30">
        <v>3090</v>
      </c>
      <c r="Q890" s="30">
        <v>38800.32</v>
      </c>
      <c r="R890" s="7"/>
      <c r="S890" s="7"/>
      <c r="T890" s="7"/>
      <c r="U890" s="7"/>
      <c r="V890" s="7"/>
      <c r="W890" s="7"/>
      <c r="X890" s="7"/>
      <c r="Y890" s="7"/>
      <c r="Z890" s="7"/>
    </row>
    <row r="891" spans="1:26" ht="9" customHeight="1" x14ac:dyDescent="0.2">
      <c r="A891" s="110"/>
      <c r="B891" s="110"/>
      <c r="C891" s="47" t="s">
        <v>37</v>
      </c>
      <c r="D891" s="48"/>
      <c r="E891" s="46">
        <v>48437905</v>
      </c>
      <c r="F891" s="36">
        <v>0</v>
      </c>
      <c r="G891" s="36">
        <v>0</v>
      </c>
      <c r="H891" s="46">
        <v>12507588</v>
      </c>
      <c r="I891" s="46">
        <v>304575</v>
      </c>
      <c r="J891" s="46">
        <v>5104182</v>
      </c>
      <c r="K891" s="46">
        <v>61250068</v>
      </c>
      <c r="L891" s="46">
        <v>66354250</v>
      </c>
      <c r="M891" s="39"/>
      <c r="N891" s="46">
        <v>61250068</v>
      </c>
      <c r="O891" s="46">
        <v>48742480</v>
      </c>
      <c r="P891" s="46">
        <v>5983074</v>
      </c>
      <c r="Q891" s="46">
        <v>75127896</v>
      </c>
      <c r="R891" s="7"/>
      <c r="S891" s="7"/>
      <c r="T891" s="7"/>
      <c r="U891" s="7"/>
      <c r="V891" s="7"/>
      <c r="W891" s="7"/>
      <c r="X891" s="7"/>
      <c r="Y891" s="7"/>
      <c r="Z891" s="7"/>
    </row>
    <row r="892" spans="1:26" ht="9" customHeight="1" x14ac:dyDescent="0.2">
      <c r="A892" s="95"/>
      <c r="B892" s="95"/>
      <c r="C892" s="44"/>
      <c r="D892" s="45"/>
      <c r="E892" s="96"/>
      <c r="F892" s="96"/>
      <c r="G892" s="96"/>
      <c r="H892" s="96"/>
      <c r="I892" s="96"/>
      <c r="J892" s="54"/>
      <c r="K892" s="96"/>
      <c r="L892" s="96"/>
      <c r="M892" s="39"/>
      <c r="N892" s="96"/>
      <c r="O892" s="96"/>
      <c r="P892" s="96"/>
      <c r="Q892" s="96"/>
      <c r="R892" s="7"/>
      <c r="S892" s="7"/>
      <c r="T892" s="7"/>
      <c r="U892" s="7"/>
      <c r="V892" s="7"/>
      <c r="W892" s="7"/>
      <c r="X892" s="7"/>
      <c r="Y892" s="7"/>
      <c r="Z892" s="7"/>
    </row>
    <row r="893" spans="1:26" ht="9" customHeight="1" x14ac:dyDescent="0.2">
      <c r="A893" s="95"/>
      <c r="B893" s="95"/>
      <c r="C893" s="44"/>
      <c r="D893" s="45"/>
      <c r="E893" s="96"/>
      <c r="F893" s="96"/>
      <c r="G893" s="96"/>
      <c r="H893" s="96"/>
      <c r="I893" s="96"/>
      <c r="J893" s="54"/>
      <c r="K893" s="96"/>
      <c r="L893" s="96"/>
      <c r="M893" s="39"/>
      <c r="N893" s="96"/>
      <c r="O893" s="96"/>
      <c r="P893" s="96"/>
      <c r="Q893" s="96"/>
      <c r="R893" s="7"/>
      <c r="S893" s="7"/>
      <c r="T893" s="7"/>
      <c r="U893" s="7"/>
      <c r="V893" s="7"/>
      <c r="W893" s="7"/>
      <c r="X893" s="7"/>
      <c r="Y893" s="7"/>
      <c r="Z893" s="7"/>
    </row>
    <row r="894" spans="1:26" ht="9" customHeight="1" x14ac:dyDescent="0.2">
      <c r="A894" s="95"/>
      <c r="B894" s="95"/>
      <c r="C894" s="44"/>
      <c r="D894" s="45"/>
      <c r="E894" s="96"/>
      <c r="F894" s="96"/>
      <c r="G894" s="96"/>
      <c r="H894" s="96"/>
      <c r="I894" s="96"/>
      <c r="J894" s="54"/>
      <c r="K894" s="96"/>
      <c r="L894" s="96"/>
      <c r="M894" s="39"/>
      <c r="N894" s="96"/>
      <c r="O894" s="96"/>
      <c r="P894" s="96"/>
      <c r="Q894" s="96"/>
      <c r="R894" s="7"/>
      <c r="S894" s="7"/>
      <c r="T894" s="7"/>
      <c r="U894" s="7"/>
      <c r="V894" s="7"/>
      <c r="W894" s="7"/>
      <c r="X894" s="7"/>
      <c r="Y894" s="7"/>
      <c r="Z894" s="7"/>
    </row>
    <row r="895" spans="1:26" ht="9" customHeight="1" x14ac:dyDescent="0.2">
      <c r="A895" s="95"/>
      <c r="B895" s="95"/>
      <c r="C895" s="44"/>
      <c r="D895" s="45"/>
      <c r="E895" s="96"/>
      <c r="F895" s="96"/>
      <c r="G895" s="96"/>
      <c r="H895" s="96"/>
      <c r="I895" s="96"/>
      <c r="J895" s="54"/>
      <c r="K895" s="96"/>
      <c r="L895" s="96"/>
      <c r="M895" s="39"/>
      <c r="N895" s="96"/>
      <c r="O895" s="96"/>
      <c r="P895" s="96"/>
      <c r="Q895" s="96"/>
      <c r="R895" s="7"/>
      <c r="S895" s="7"/>
      <c r="T895" s="7"/>
      <c r="U895" s="7"/>
      <c r="V895" s="7"/>
      <c r="W895" s="7"/>
      <c r="X895" s="7"/>
      <c r="Y895" s="7"/>
      <c r="Z895" s="7"/>
    </row>
    <row r="896" spans="1:26" ht="9" customHeight="1" x14ac:dyDescent="0.2">
      <c r="A896" s="95"/>
      <c r="B896" s="95"/>
      <c r="C896" s="44"/>
      <c r="D896" s="45"/>
      <c r="E896" s="96"/>
      <c r="F896" s="96"/>
      <c r="G896" s="96"/>
      <c r="H896" s="96"/>
      <c r="I896" s="96"/>
      <c r="J896" s="54"/>
      <c r="K896" s="96"/>
      <c r="L896" s="96"/>
      <c r="M896" s="39"/>
      <c r="N896" s="96"/>
      <c r="O896" s="96"/>
      <c r="P896" s="96"/>
      <c r="Q896" s="96"/>
      <c r="R896" s="7"/>
      <c r="S896" s="7"/>
      <c r="T896" s="7"/>
      <c r="U896" s="7"/>
      <c r="V896" s="7"/>
      <c r="W896" s="7"/>
      <c r="X896" s="7"/>
      <c r="Y896" s="7"/>
      <c r="Z896" s="7"/>
    </row>
    <row r="897" spans="1:26" ht="9" customHeight="1" x14ac:dyDescent="0.2">
      <c r="A897" s="95"/>
      <c r="B897" s="95"/>
      <c r="C897" s="44"/>
      <c r="D897" s="45"/>
      <c r="E897" s="96"/>
      <c r="F897" s="96"/>
      <c r="G897" s="96"/>
      <c r="H897" s="96"/>
      <c r="I897" s="96"/>
      <c r="J897" s="54"/>
      <c r="K897" s="96"/>
      <c r="L897" s="96"/>
      <c r="M897" s="39"/>
      <c r="N897" s="96"/>
      <c r="O897" s="96"/>
      <c r="P897" s="96"/>
      <c r="Q897" s="96"/>
      <c r="R897" s="7"/>
      <c r="S897" s="7"/>
      <c r="T897" s="7"/>
      <c r="U897" s="7"/>
      <c r="V897" s="7"/>
      <c r="W897" s="7"/>
      <c r="X897" s="7"/>
      <c r="Y897" s="7"/>
      <c r="Z897" s="7"/>
    </row>
    <row r="898" spans="1:26" ht="9" customHeight="1" x14ac:dyDescent="0.2">
      <c r="A898" s="95"/>
      <c r="B898" s="95"/>
      <c r="C898" s="44"/>
      <c r="D898" s="45"/>
      <c r="E898" s="96"/>
      <c r="F898" s="96"/>
      <c r="G898" s="96"/>
      <c r="H898" s="96"/>
      <c r="I898" s="96"/>
      <c r="J898" s="54"/>
      <c r="K898" s="96"/>
      <c r="L898" s="96"/>
      <c r="M898" s="39"/>
      <c r="N898" s="96"/>
      <c r="O898" s="96"/>
      <c r="P898" s="96"/>
      <c r="Q898" s="96"/>
      <c r="R898" s="7"/>
      <c r="S898" s="7"/>
      <c r="T898" s="7"/>
      <c r="U898" s="7"/>
      <c r="V898" s="7"/>
      <c r="W898" s="7"/>
      <c r="X898" s="7"/>
      <c r="Y898" s="7"/>
      <c r="Z898" s="7"/>
    </row>
    <row r="899" spans="1:26" ht="9" customHeight="1" x14ac:dyDescent="0.2">
      <c r="A899" s="95"/>
      <c r="B899" s="95"/>
      <c r="C899" s="44"/>
      <c r="D899" s="45"/>
      <c r="E899" s="96"/>
      <c r="F899" s="96"/>
      <c r="G899" s="96"/>
      <c r="H899" s="96"/>
      <c r="I899" s="96"/>
      <c r="J899" s="54"/>
      <c r="K899" s="96"/>
      <c r="L899" s="96"/>
      <c r="M899" s="39"/>
      <c r="N899" s="96"/>
      <c r="O899" s="96"/>
      <c r="P899" s="96"/>
      <c r="Q899" s="96"/>
      <c r="R899" s="7"/>
      <c r="S899" s="7"/>
      <c r="T899" s="7"/>
      <c r="U899" s="7"/>
      <c r="V899" s="7"/>
      <c r="W899" s="7"/>
      <c r="X899" s="7"/>
      <c r="Y899" s="7"/>
      <c r="Z899" s="7"/>
    </row>
    <row r="900" spans="1:26" s="75" customFormat="1" ht="12.75" customHeight="1" x14ac:dyDescent="0.2">
      <c r="A900" s="158">
        <v>42736</v>
      </c>
      <c r="B900" s="158">
        <v>43159</v>
      </c>
      <c r="C900" s="125" t="s">
        <v>36</v>
      </c>
      <c r="D900" s="126">
        <v>0</v>
      </c>
      <c r="E900" s="127">
        <v>14763.24</v>
      </c>
      <c r="F900" s="127">
        <v>0</v>
      </c>
      <c r="G900" s="127"/>
      <c r="H900" s="127">
        <v>6459.63</v>
      </c>
      <c r="I900" s="127">
        <v>157.30000000000001</v>
      </c>
      <c r="J900" s="127">
        <v>1781.68</v>
      </c>
      <c r="K900" s="127">
        <v>21380.17</v>
      </c>
      <c r="L900" s="128">
        <v>23161.85</v>
      </c>
      <c r="M900" s="129"/>
      <c r="N900" s="127">
        <v>21380.17</v>
      </c>
      <c r="O900" s="127">
        <v>14920.54</v>
      </c>
      <c r="P900" s="127">
        <v>1968</v>
      </c>
      <c r="Q900" s="127">
        <v>25847.55</v>
      </c>
      <c r="R900" s="127">
        <v>24065.87</v>
      </c>
    </row>
    <row r="901" spans="1:26" s="75" customFormat="1" ht="9" customHeight="1" x14ac:dyDescent="0.2">
      <c r="A901" s="159"/>
      <c r="B901" s="159"/>
      <c r="C901" s="130" t="s">
        <v>37</v>
      </c>
      <c r="D901" s="131">
        <v>8</v>
      </c>
      <c r="E901" s="132">
        <v>28585619</v>
      </c>
      <c r="F901" s="133">
        <v>0</v>
      </c>
      <c r="G901" s="133">
        <v>0</v>
      </c>
      <c r="H901" s="132">
        <v>12507588</v>
      </c>
      <c r="I901" s="132">
        <v>304575</v>
      </c>
      <c r="J901" s="134">
        <v>3449814</v>
      </c>
      <c r="K901" s="132">
        <v>41397782</v>
      </c>
      <c r="L901" s="132">
        <v>44847595</v>
      </c>
      <c r="M901" s="135"/>
      <c r="N901" s="133">
        <v>41397782</v>
      </c>
      <c r="O901" s="133">
        <v>28890194</v>
      </c>
      <c r="P901" s="132">
        <v>3810579</v>
      </c>
      <c r="Q901" s="133">
        <v>50047836</v>
      </c>
      <c r="R901" s="133">
        <v>46598022</v>
      </c>
    </row>
    <row r="902" spans="1:26" s="75" customFormat="1" ht="12.75" customHeight="1" x14ac:dyDescent="0.2">
      <c r="A902" s="150">
        <v>42736</v>
      </c>
      <c r="B902" s="150">
        <v>43159</v>
      </c>
      <c r="C902" s="136" t="s">
        <v>36</v>
      </c>
      <c r="D902" s="137">
        <v>9</v>
      </c>
      <c r="E902" s="127">
        <v>17264.7</v>
      </c>
      <c r="F902" s="127">
        <v>0</v>
      </c>
      <c r="G902" s="127">
        <v>0</v>
      </c>
      <c r="H902" s="127">
        <v>6459.63</v>
      </c>
      <c r="I902" s="127">
        <v>157.30000000000001</v>
      </c>
      <c r="J902" s="127">
        <v>1990.14</v>
      </c>
      <c r="K902" s="127">
        <v>23881.63</v>
      </c>
      <c r="L902" s="128">
        <v>25871.77</v>
      </c>
      <c r="M902" s="129"/>
      <c r="N902" s="127">
        <v>23881.63</v>
      </c>
      <c r="O902" s="127">
        <v>17422</v>
      </c>
      <c r="P902" s="127">
        <v>1968</v>
      </c>
      <c r="Q902" s="127">
        <v>29007.73</v>
      </c>
      <c r="R902" s="127">
        <v>27017.59</v>
      </c>
    </row>
    <row r="903" spans="1:26" s="75" customFormat="1" ht="9" customHeight="1" x14ac:dyDescent="0.2">
      <c r="A903" s="150"/>
      <c r="B903" s="150"/>
      <c r="C903" s="130" t="s">
        <v>37</v>
      </c>
      <c r="D903" s="131">
        <v>14</v>
      </c>
      <c r="E903" s="132">
        <v>33429121</v>
      </c>
      <c r="F903" s="133">
        <v>0</v>
      </c>
      <c r="G903" s="133">
        <v>0</v>
      </c>
      <c r="H903" s="132">
        <v>12507588</v>
      </c>
      <c r="I903" s="132">
        <v>304575</v>
      </c>
      <c r="J903" s="134">
        <v>3853448</v>
      </c>
      <c r="K903" s="132">
        <v>46241284</v>
      </c>
      <c r="L903" s="132">
        <v>50094732</v>
      </c>
      <c r="M903" s="135"/>
      <c r="N903" s="133">
        <v>46241284</v>
      </c>
      <c r="O903" s="133">
        <v>33733696</v>
      </c>
      <c r="P903" s="132">
        <v>3810579</v>
      </c>
      <c r="Q903" s="133">
        <v>56166797</v>
      </c>
      <c r="R903" s="133">
        <v>52313349</v>
      </c>
    </row>
    <row r="904" spans="1:26" s="75" customFormat="1" ht="12.75" customHeight="1" x14ac:dyDescent="0.2">
      <c r="A904" s="150"/>
      <c r="B904" s="150"/>
      <c r="C904" s="136" t="s">
        <v>36</v>
      </c>
      <c r="D904" s="137">
        <v>15</v>
      </c>
      <c r="E904" s="127">
        <v>19468.490000000002</v>
      </c>
      <c r="F904" s="127">
        <v>0</v>
      </c>
      <c r="G904" s="127">
        <v>0</v>
      </c>
      <c r="H904" s="127">
        <v>6459.63</v>
      </c>
      <c r="I904" s="127">
        <v>157.30000000000001</v>
      </c>
      <c r="J904" s="127">
        <v>2173.79</v>
      </c>
      <c r="K904" s="127">
        <v>26085.42</v>
      </c>
      <c r="L904" s="128">
        <v>28259.21</v>
      </c>
      <c r="M904" s="129"/>
      <c r="N904" s="127">
        <v>26085.42</v>
      </c>
      <c r="O904" s="127">
        <v>19625.79</v>
      </c>
      <c r="P904" s="127">
        <v>2424</v>
      </c>
      <c r="Q904" s="127">
        <v>31791.85</v>
      </c>
      <c r="R904" s="127">
        <v>29618.06</v>
      </c>
    </row>
    <row r="905" spans="1:26" s="75" customFormat="1" ht="9" customHeight="1" x14ac:dyDescent="0.2">
      <c r="A905" s="150"/>
      <c r="B905" s="150"/>
      <c r="C905" s="130" t="s">
        <v>37</v>
      </c>
      <c r="D905" s="131">
        <v>20</v>
      </c>
      <c r="E905" s="132">
        <v>37696253</v>
      </c>
      <c r="F905" s="133">
        <v>0</v>
      </c>
      <c r="G905" s="133">
        <v>0</v>
      </c>
      <c r="H905" s="132">
        <v>12507588</v>
      </c>
      <c r="I905" s="132">
        <v>304575</v>
      </c>
      <c r="J905" s="134">
        <v>4209044</v>
      </c>
      <c r="K905" s="132">
        <v>50508416</v>
      </c>
      <c r="L905" s="132">
        <v>54717461</v>
      </c>
      <c r="M905" s="135"/>
      <c r="N905" s="133">
        <v>50508416</v>
      </c>
      <c r="O905" s="133">
        <v>38000828</v>
      </c>
      <c r="P905" s="132">
        <v>4693518</v>
      </c>
      <c r="Q905" s="133">
        <v>61557605</v>
      </c>
      <c r="R905" s="133">
        <v>57348561</v>
      </c>
    </row>
    <row r="906" spans="1:26" s="75" customFormat="1" ht="12.75" customHeight="1" x14ac:dyDescent="0.2">
      <c r="A906" s="150"/>
      <c r="B906" s="150"/>
      <c r="C906" s="136" t="s">
        <v>36</v>
      </c>
      <c r="D906" s="137">
        <v>21</v>
      </c>
      <c r="E906" s="127">
        <v>21609.200000000001</v>
      </c>
      <c r="F906" s="127">
        <v>0</v>
      </c>
      <c r="G906" s="127">
        <v>0</v>
      </c>
      <c r="H906" s="127">
        <v>6459.63</v>
      </c>
      <c r="I906" s="127">
        <v>157.30000000000001</v>
      </c>
      <c r="J906" s="127">
        <v>2352.1799999999998</v>
      </c>
      <c r="K906" s="127">
        <v>28226.13</v>
      </c>
      <c r="L906" s="128">
        <v>30578.31</v>
      </c>
      <c r="M906" s="129"/>
      <c r="N906" s="127">
        <v>28226.13</v>
      </c>
      <c r="O906" s="127">
        <v>21766.5</v>
      </c>
      <c r="P906" s="127">
        <v>2424</v>
      </c>
      <c r="Q906" s="127">
        <v>34496.28</v>
      </c>
      <c r="R906" s="127">
        <v>32144.1</v>
      </c>
    </row>
    <row r="907" spans="1:26" s="75" customFormat="1" ht="9" customHeight="1" x14ac:dyDescent="0.2">
      <c r="A907" s="150"/>
      <c r="B907" s="150"/>
      <c r="C907" s="130" t="s">
        <v>37</v>
      </c>
      <c r="D907" s="131">
        <v>27</v>
      </c>
      <c r="E907" s="132">
        <v>41841246</v>
      </c>
      <c r="F907" s="133">
        <v>0</v>
      </c>
      <c r="G907" s="133">
        <v>0</v>
      </c>
      <c r="H907" s="132">
        <v>12507588</v>
      </c>
      <c r="I907" s="132">
        <v>304575</v>
      </c>
      <c r="J907" s="134">
        <v>4554456</v>
      </c>
      <c r="K907" s="132">
        <v>54653409</v>
      </c>
      <c r="L907" s="132">
        <v>59207864</v>
      </c>
      <c r="M907" s="135"/>
      <c r="N907" s="133">
        <v>54653409</v>
      </c>
      <c r="O907" s="133">
        <v>42145821</v>
      </c>
      <c r="P907" s="132">
        <v>4693518</v>
      </c>
      <c r="Q907" s="133">
        <v>66794112</v>
      </c>
      <c r="R907" s="133">
        <v>62239657</v>
      </c>
    </row>
    <row r="908" spans="1:26" s="75" customFormat="1" ht="12.75" customHeight="1" x14ac:dyDescent="0.2">
      <c r="A908" s="150"/>
      <c r="B908" s="150"/>
      <c r="C908" s="136" t="s">
        <v>36</v>
      </c>
      <c r="D908" s="137">
        <v>28</v>
      </c>
      <c r="E908" s="127">
        <v>23709.65</v>
      </c>
      <c r="F908" s="127">
        <v>0</v>
      </c>
      <c r="G908" s="127">
        <v>0</v>
      </c>
      <c r="H908" s="127">
        <v>6459.63</v>
      </c>
      <c r="I908" s="127">
        <v>157.30000000000001</v>
      </c>
      <c r="J908" s="127">
        <v>2527.2199999999998</v>
      </c>
      <c r="K908" s="127">
        <v>30326.58</v>
      </c>
      <c r="L908" s="128">
        <v>32853.800000000003</v>
      </c>
      <c r="M908" s="129"/>
      <c r="N908" s="127">
        <v>30326.58</v>
      </c>
      <c r="O908" s="127">
        <v>23866.95</v>
      </c>
      <c r="P908" s="127">
        <v>3090</v>
      </c>
      <c r="Q908" s="127">
        <v>37149.85</v>
      </c>
      <c r="R908" s="127">
        <v>34622.629999999997</v>
      </c>
    </row>
    <row r="909" spans="1:26" s="75" customFormat="1" ht="9" customHeight="1" x14ac:dyDescent="0.2">
      <c r="A909" s="150"/>
      <c r="B909" s="150"/>
      <c r="C909" s="130" t="s">
        <v>37</v>
      </c>
      <c r="D909" s="131">
        <v>34</v>
      </c>
      <c r="E909" s="132">
        <v>45908284</v>
      </c>
      <c r="F909" s="133">
        <v>0</v>
      </c>
      <c r="G909" s="133">
        <v>0</v>
      </c>
      <c r="H909" s="132">
        <v>12507588</v>
      </c>
      <c r="I909" s="132">
        <v>304575</v>
      </c>
      <c r="J909" s="134">
        <v>4893380</v>
      </c>
      <c r="K909" s="132">
        <v>58720447</v>
      </c>
      <c r="L909" s="132">
        <v>63613827</v>
      </c>
      <c r="M909" s="135"/>
      <c r="N909" s="133">
        <v>58720447</v>
      </c>
      <c r="O909" s="133">
        <v>46212859</v>
      </c>
      <c r="P909" s="132">
        <v>5983074</v>
      </c>
      <c r="Q909" s="133">
        <v>71932140</v>
      </c>
      <c r="R909" s="133">
        <v>67038760</v>
      </c>
    </row>
    <row r="910" spans="1:26" s="75" customFormat="1" ht="12.75" customHeight="1" x14ac:dyDescent="0.2">
      <c r="A910" s="150"/>
      <c r="B910" s="150"/>
      <c r="C910" s="136" t="s">
        <v>36</v>
      </c>
      <c r="D910" s="137">
        <v>35</v>
      </c>
      <c r="E910" s="127">
        <v>25265.69</v>
      </c>
      <c r="F910" s="127">
        <v>0</v>
      </c>
      <c r="G910" s="127">
        <v>0</v>
      </c>
      <c r="H910" s="127">
        <v>6459.63</v>
      </c>
      <c r="I910" s="127">
        <v>157.30000000000001</v>
      </c>
      <c r="J910" s="127">
        <v>2656.89</v>
      </c>
      <c r="K910" s="127">
        <v>31882.62</v>
      </c>
      <c r="L910" s="128">
        <v>34539.51</v>
      </c>
      <c r="M910" s="129"/>
      <c r="N910" s="127">
        <v>31882.62</v>
      </c>
      <c r="O910" s="127">
        <v>25422.99</v>
      </c>
      <c r="P910" s="127">
        <v>3090</v>
      </c>
      <c r="Q910" s="127">
        <v>39115.65</v>
      </c>
      <c r="R910" s="127">
        <v>36458.76</v>
      </c>
    </row>
    <row r="911" spans="1:26" s="75" customFormat="1" ht="9" customHeight="1" x14ac:dyDescent="0.2">
      <c r="A911" s="160"/>
      <c r="B911" s="160"/>
      <c r="C911" s="138" t="s">
        <v>37</v>
      </c>
      <c r="D911" s="139"/>
      <c r="E911" s="132">
        <v>48921198</v>
      </c>
      <c r="F911" s="132">
        <v>0</v>
      </c>
      <c r="G911" s="132">
        <v>0</v>
      </c>
      <c r="H911" s="132">
        <v>12507588</v>
      </c>
      <c r="I911" s="132">
        <v>304575</v>
      </c>
      <c r="J911" s="132">
        <v>5144456</v>
      </c>
      <c r="K911" s="132">
        <v>61733361</v>
      </c>
      <c r="L911" s="132">
        <v>66877817</v>
      </c>
      <c r="M911" s="135"/>
      <c r="N911" s="132">
        <v>61733361</v>
      </c>
      <c r="O911" s="132">
        <v>49225773</v>
      </c>
      <c r="P911" s="132">
        <v>5983074</v>
      </c>
      <c r="Q911" s="132">
        <v>75738460</v>
      </c>
      <c r="R911" s="133">
        <v>70594003</v>
      </c>
    </row>
    <row r="912" spans="1:26" ht="9" customHeight="1" x14ac:dyDescent="0.2">
      <c r="A912" s="95"/>
      <c r="B912" s="95"/>
      <c r="C912" s="44"/>
      <c r="D912" s="45"/>
      <c r="E912" s="96"/>
      <c r="F912" s="96"/>
      <c r="G912" s="96"/>
      <c r="H912" s="96"/>
      <c r="I912" s="96"/>
      <c r="J912" s="54"/>
      <c r="K912" s="96"/>
      <c r="L912" s="96"/>
      <c r="M912" s="39"/>
      <c r="N912" s="96"/>
      <c r="O912" s="96"/>
      <c r="P912" s="96"/>
      <c r="Q912" s="96"/>
      <c r="R912" s="7"/>
      <c r="S912" s="7"/>
      <c r="T912" s="7"/>
      <c r="U912" s="7"/>
      <c r="V912" s="7"/>
      <c r="W912" s="7"/>
      <c r="X912" s="7"/>
      <c r="Y912" s="7"/>
      <c r="Z912" s="7"/>
    </row>
    <row r="913" spans="1:26" ht="9" customHeight="1" x14ac:dyDescent="0.2">
      <c r="A913" s="95"/>
      <c r="B913" s="95"/>
      <c r="C913" s="44"/>
      <c r="D913" s="45"/>
      <c r="E913" s="96"/>
      <c r="F913" s="96"/>
      <c r="G913" s="96"/>
      <c r="H913" s="96"/>
      <c r="I913" s="96"/>
      <c r="J913" s="54"/>
      <c r="K913" s="96"/>
      <c r="L913" s="96"/>
      <c r="M913" s="39"/>
      <c r="N913" s="96"/>
      <c r="O913" s="96"/>
      <c r="P913" s="96"/>
      <c r="Q913" s="96"/>
      <c r="R913" s="7"/>
      <c r="S913" s="7"/>
      <c r="T913" s="7"/>
      <c r="U913" s="7"/>
      <c r="V913" s="7"/>
      <c r="W913" s="7"/>
      <c r="X913" s="7"/>
      <c r="Y913" s="7"/>
      <c r="Z913" s="7"/>
    </row>
    <row r="914" spans="1:26" ht="9" customHeight="1" x14ac:dyDescent="0.2">
      <c r="A914" s="95"/>
      <c r="B914" s="95"/>
      <c r="C914" s="44"/>
      <c r="D914" s="45"/>
      <c r="E914" s="96"/>
      <c r="F914" s="96"/>
      <c r="G914" s="96"/>
      <c r="H914" s="96"/>
      <c r="I914" s="96"/>
      <c r="J914" s="54"/>
      <c r="K914" s="96"/>
      <c r="L914" s="96"/>
      <c r="M914" s="39"/>
      <c r="N914" s="96"/>
      <c r="O914" s="96"/>
      <c r="P914" s="96"/>
      <c r="Q914" s="96"/>
      <c r="R914" s="7"/>
      <c r="S914" s="7"/>
      <c r="T914" s="7"/>
      <c r="U914" s="7"/>
      <c r="V914" s="7"/>
      <c r="W914" s="7"/>
      <c r="X914" s="7"/>
      <c r="Y914" s="7"/>
      <c r="Z914" s="7"/>
    </row>
    <row r="915" spans="1:26" ht="9" customHeight="1" x14ac:dyDescent="0.2">
      <c r="A915" s="95"/>
      <c r="B915" s="95"/>
      <c r="C915" s="44"/>
      <c r="D915" s="45"/>
      <c r="E915" s="96"/>
      <c r="F915" s="96"/>
      <c r="G915" s="96"/>
      <c r="H915" s="96"/>
      <c r="I915" s="96"/>
      <c r="J915" s="54"/>
      <c r="K915" s="96"/>
      <c r="L915" s="96"/>
      <c r="M915" s="39"/>
      <c r="N915" s="96"/>
      <c r="O915" s="96"/>
      <c r="P915" s="96"/>
      <c r="Q915" s="96"/>
      <c r="R915" s="7"/>
      <c r="S915" s="7"/>
      <c r="T915" s="7"/>
      <c r="U915" s="7"/>
      <c r="V915" s="7"/>
      <c r="W915" s="7"/>
      <c r="X915" s="7"/>
      <c r="Y915" s="7"/>
      <c r="Z915" s="7"/>
    </row>
    <row r="916" spans="1:26" ht="9" customHeight="1" x14ac:dyDescent="0.2">
      <c r="A916" s="95"/>
      <c r="B916" s="95"/>
      <c r="C916" s="44"/>
      <c r="D916" s="45"/>
      <c r="E916" s="96"/>
      <c r="F916" s="96"/>
      <c r="G916" s="96"/>
      <c r="H916" s="96"/>
      <c r="I916" s="96"/>
      <c r="J916" s="54"/>
      <c r="K916" s="96"/>
      <c r="L916" s="96"/>
      <c r="M916" s="39"/>
      <c r="N916" s="96"/>
      <c r="O916" s="96"/>
      <c r="P916" s="96"/>
      <c r="Q916" s="96"/>
      <c r="R916" s="7"/>
      <c r="S916" s="7"/>
      <c r="T916" s="7"/>
      <c r="U916" s="7"/>
      <c r="V916" s="7"/>
      <c r="W916" s="7"/>
      <c r="X916" s="7"/>
      <c r="Y916" s="7"/>
      <c r="Z916" s="7"/>
    </row>
    <row r="917" spans="1:26" ht="9" customHeight="1" x14ac:dyDescent="0.2">
      <c r="A917" s="95"/>
      <c r="B917" s="95"/>
      <c r="C917" s="44"/>
      <c r="D917" s="45"/>
      <c r="E917" s="96"/>
      <c r="F917" s="96"/>
      <c r="G917" s="96"/>
      <c r="H917" s="96"/>
      <c r="I917" s="96"/>
      <c r="J917" s="54"/>
      <c r="K917" s="96"/>
      <c r="L917" s="96"/>
      <c r="M917" s="39"/>
      <c r="N917" s="96"/>
      <c r="O917" s="96"/>
      <c r="P917" s="96"/>
      <c r="Q917" s="96"/>
      <c r="R917" s="7"/>
      <c r="S917" s="7"/>
      <c r="T917" s="7"/>
      <c r="U917" s="7"/>
      <c r="V917" s="7"/>
      <c r="W917" s="7"/>
      <c r="X917" s="7"/>
      <c r="Y917" s="7"/>
      <c r="Z917" s="7"/>
    </row>
    <row r="918" spans="1:26" ht="9" customHeight="1" x14ac:dyDescent="0.2">
      <c r="A918" s="95"/>
      <c r="B918" s="95"/>
      <c r="C918" s="44"/>
      <c r="D918" s="45"/>
      <c r="E918" s="96"/>
      <c r="F918" s="96"/>
      <c r="G918" s="96"/>
      <c r="H918" s="96"/>
      <c r="I918" s="96"/>
      <c r="J918" s="54"/>
      <c r="K918" s="96"/>
      <c r="L918" s="96"/>
      <c r="M918" s="39"/>
      <c r="N918" s="96"/>
      <c r="O918" s="96"/>
      <c r="P918" s="96"/>
      <c r="Q918" s="96"/>
      <c r="R918" s="7"/>
      <c r="S918" s="7"/>
      <c r="T918" s="7"/>
      <c r="U918" s="7"/>
      <c r="V918" s="7"/>
      <c r="W918" s="7"/>
      <c r="X918" s="7"/>
      <c r="Y918" s="7"/>
      <c r="Z918" s="7"/>
    </row>
    <row r="919" spans="1:26" ht="9" customHeight="1" x14ac:dyDescent="0.2">
      <c r="A919" s="95"/>
      <c r="B919" s="95"/>
      <c r="C919" s="44"/>
      <c r="D919" s="45"/>
      <c r="E919" s="96"/>
      <c r="F919" s="96"/>
      <c r="G919" s="96"/>
      <c r="H919" s="96"/>
      <c r="I919" s="96"/>
      <c r="J919" s="54"/>
      <c r="K919" s="96"/>
      <c r="L919" s="96"/>
      <c r="M919" s="39"/>
      <c r="N919" s="96"/>
      <c r="O919" s="96"/>
      <c r="P919" s="96"/>
      <c r="Q919" s="96"/>
      <c r="R919" s="7"/>
      <c r="S919" s="7"/>
      <c r="T919" s="7"/>
      <c r="U919" s="7"/>
      <c r="V919" s="7"/>
      <c r="W919" s="7"/>
      <c r="X919" s="7"/>
      <c r="Y919" s="7"/>
      <c r="Z919" s="7"/>
    </row>
    <row r="920" spans="1:26" s="75" customFormat="1" ht="12.75" customHeight="1" x14ac:dyDescent="0.2">
      <c r="A920" s="158">
        <v>43160</v>
      </c>
      <c r="B920" s="158">
        <v>43190</v>
      </c>
      <c r="C920" s="125" t="s">
        <v>36</v>
      </c>
      <c r="D920" s="126">
        <v>0</v>
      </c>
      <c r="E920" s="127">
        <v>15233.64</v>
      </c>
      <c r="F920" s="127">
        <v>0</v>
      </c>
      <c r="G920" s="127"/>
      <c r="H920" s="127">
        <v>6459.63</v>
      </c>
      <c r="I920" s="127">
        <v>157.30000000000001</v>
      </c>
      <c r="J920" s="127">
        <v>1820.88</v>
      </c>
      <c r="K920" s="127">
        <v>21850.57</v>
      </c>
      <c r="L920" s="128">
        <v>23671.45</v>
      </c>
      <c r="M920" s="129"/>
      <c r="N920" s="127">
        <v>21850.57</v>
      </c>
      <c r="O920" s="127">
        <v>15390.94</v>
      </c>
      <c r="P920" s="127">
        <v>2094</v>
      </c>
      <c r="Q920" s="127">
        <v>26441.82</v>
      </c>
      <c r="R920" s="127">
        <v>24620.94</v>
      </c>
    </row>
    <row r="921" spans="1:26" s="75" customFormat="1" ht="9" customHeight="1" x14ac:dyDescent="0.2">
      <c r="A921" s="159"/>
      <c r="B921" s="159"/>
      <c r="C921" s="130" t="s">
        <v>37</v>
      </c>
      <c r="D921" s="131">
        <v>8</v>
      </c>
      <c r="E921" s="132">
        <v>29496440</v>
      </c>
      <c r="F921" s="133">
        <v>0</v>
      </c>
      <c r="G921" s="133">
        <v>0</v>
      </c>
      <c r="H921" s="132">
        <v>12507588</v>
      </c>
      <c r="I921" s="132">
        <v>304575</v>
      </c>
      <c r="J921" s="134">
        <v>3525715</v>
      </c>
      <c r="K921" s="132">
        <v>42308603</v>
      </c>
      <c r="L921" s="132">
        <v>45834318</v>
      </c>
      <c r="M921" s="135"/>
      <c r="N921" s="133">
        <v>42308603</v>
      </c>
      <c r="O921" s="133">
        <v>29801015</v>
      </c>
      <c r="P921" s="132">
        <v>4054549</v>
      </c>
      <c r="Q921" s="133">
        <v>51198503</v>
      </c>
      <c r="R921" s="133">
        <v>47672787</v>
      </c>
    </row>
    <row r="922" spans="1:26" s="75" customFormat="1" ht="12.75" customHeight="1" x14ac:dyDescent="0.2">
      <c r="A922" s="151">
        <v>43160</v>
      </c>
      <c r="B922" s="151">
        <v>43190</v>
      </c>
      <c r="C922" s="136" t="s">
        <v>36</v>
      </c>
      <c r="D922" s="137">
        <v>9</v>
      </c>
      <c r="E922" s="127">
        <v>17801.099999999999</v>
      </c>
      <c r="F922" s="127">
        <v>0</v>
      </c>
      <c r="G922" s="127">
        <v>0</v>
      </c>
      <c r="H922" s="127">
        <v>6459.63</v>
      </c>
      <c r="I922" s="127">
        <v>157.30000000000001</v>
      </c>
      <c r="J922" s="127">
        <v>2034.84</v>
      </c>
      <c r="K922" s="127">
        <v>24418.03</v>
      </c>
      <c r="L922" s="128">
        <v>26452.87</v>
      </c>
      <c r="M922" s="129"/>
      <c r="N922" s="127">
        <v>24418.03</v>
      </c>
      <c r="O922" s="127">
        <v>17958.400000000001</v>
      </c>
      <c r="P922" s="127">
        <v>2094</v>
      </c>
      <c r="Q922" s="127">
        <v>29685.38</v>
      </c>
      <c r="R922" s="127">
        <v>27650.54</v>
      </c>
    </row>
    <row r="923" spans="1:26" s="75" customFormat="1" ht="9" customHeight="1" x14ac:dyDescent="0.2">
      <c r="A923" s="151"/>
      <c r="B923" s="151"/>
      <c r="C923" s="130" t="s">
        <v>37</v>
      </c>
      <c r="D923" s="131">
        <v>14</v>
      </c>
      <c r="E923" s="132">
        <v>34467736</v>
      </c>
      <c r="F923" s="133">
        <v>0</v>
      </c>
      <c r="G923" s="133">
        <v>0</v>
      </c>
      <c r="H923" s="132">
        <v>12507588</v>
      </c>
      <c r="I923" s="132">
        <v>304575</v>
      </c>
      <c r="J923" s="134">
        <v>3940000</v>
      </c>
      <c r="K923" s="132">
        <v>47279899</v>
      </c>
      <c r="L923" s="132">
        <v>51219899</v>
      </c>
      <c r="M923" s="135"/>
      <c r="N923" s="133">
        <v>47279899</v>
      </c>
      <c r="O923" s="133">
        <v>34772311</v>
      </c>
      <c r="P923" s="132">
        <v>4054549</v>
      </c>
      <c r="Q923" s="133">
        <v>57478911</v>
      </c>
      <c r="R923" s="133">
        <v>53538911</v>
      </c>
    </row>
    <row r="924" spans="1:26" s="75" customFormat="1" ht="12.75" customHeight="1" x14ac:dyDescent="0.2">
      <c r="A924" s="151"/>
      <c r="B924" s="151"/>
      <c r="C924" s="136" t="s">
        <v>36</v>
      </c>
      <c r="D924" s="137">
        <v>15</v>
      </c>
      <c r="E924" s="127">
        <v>20051.689999999999</v>
      </c>
      <c r="F924" s="127">
        <v>0</v>
      </c>
      <c r="G924" s="127">
        <v>0</v>
      </c>
      <c r="H924" s="127">
        <v>6459.63</v>
      </c>
      <c r="I924" s="127">
        <v>157.30000000000001</v>
      </c>
      <c r="J924" s="127">
        <v>2222.39</v>
      </c>
      <c r="K924" s="127">
        <v>26668.62</v>
      </c>
      <c r="L924" s="128">
        <v>28891.01</v>
      </c>
      <c r="M924" s="129"/>
      <c r="N924" s="127">
        <v>26668.62</v>
      </c>
      <c r="O924" s="127">
        <v>20208.990000000002</v>
      </c>
      <c r="P924" s="127">
        <v>2577.6</v>
      </c>
      <c r="Q924" s="127">
        <v>32528.63</v>
      </c>
      <c r="R924" s="127">
        <v>30306.240000000002</v>
      </c>
    </row>
    <row r="925" spans="1:26" s="75" customFormat="1" ht="9" customHeight="1" x14ac:dyDescent="0.2">
      <c r="A925" s="151"/>
      <c r="B925" s="151"/>
      <c r="C925" s="130" t="s">
        <v>37</v>
      </c>
      <c r="D925" s="131">
        <v>20</v>
      </c>
      <c r="E925" s="132">
        <v>38825486</v>
      </c>
      <c r="F925" s="133">
        <v>0</v>
      </c>
      <c r="G925" s="133">
        <v>0</v>
      </c>
      <c r="H925" s="132">
        <v>12507588</v>
      </c>
      <c r="I925" s="132">
        <v>304575</v>
      </c>
      <c r="J925" s="134">
        <v>4303147</v>
      </c>
      <c r="K925" s="132">
        <v>51637649</v>
      </c>
      <c r="L925" s="132">
        <v>55940796</v>
      </c>
      <c r="M925" s="135"/>
      <c r="N925" s="133">
        <v>51637649</v>
      </c>
      <c r="O925" s="133">
        <v>39130061</v>
      </c>
      <c r="P925" s="132">
        <v>4990930</v>
      </c>
      <c r="Q925" s="133">
        <v>62984210</v>
      </c>
      <c r="R925" s="133">
        <v>58681063</v>
      </c>
    </row>
    <row r="926" spans="1:26" s="75" customFormat="1" ht="12.75" customHeight="1" x14ac:dyDescent="0.2">
      <c r="A926" s="151"/>
      <c r="B926" s="151"/>
      <c r="C926" s="136" t="s">
        <v>36</v>
      </c>
      <c r="D926" s="137">
        <v>21</v>
      </c>
      <c r="E926" s="127">
        <v>22239.200000000001</v>
      </c>
      <c r="F926" s="127">
        <v>0</v>
      </c>
      <c r="G926" s="127">
        <v>0</v>
      </c>
      <c r="H926" s="127">
        <v>6459.63</v>
      </c>
      <c r="I926" s="127">
        <v>157.30000000000001</v>
      </c>
      <c r="J926" s="127">
        <v>2404.6799999999998</v>
      </c>
      <c r="K926" s="127">
        <v>28856.13</v>
      </c>
      <c r="L926" s="128">
        <v>31260.81</v>
      </c>
      <c r="M926" s="129"/>
      <c r="N926" s="127">
        <v>28856.13</v>
      </c>
      <c r="O926" s="127">
        <v>22396.5</v>
      </c>
      <c r="P926" s="127">
        <v>2577.6</v>
      </c>
      <c r="Q926" s="127">
        <v>35292.18</v>
      </c>
      <c r="R926" s="127">
        <v>32887.5</v>
      </c>
    </row>
    <row r="927" spans="1:26" s="75" customFormat="1" ht="9" customHeight="1" x14ac:dyDescent="0.2">
      <c r="A927" s="151"/>
      <c r="B927" s="151"/>
      <c r="C927" s="130" t="s">
        <v>37</v>
      </c>
      <c r="D927" s="131">
        <v>27</v>
      </c>
      <c r="E927" s="132">
        <v>43061096</v>
      </c>
      <c r="F927" s="133">
        <v>0</v>
      </c>
      <c r="G927" s="133">
        <v>0</v>
      </c>
      <c r="H927" s="132">
        <v>12507588</v>
      </c>
      <c r="I927" s="132">
        <v>304575</v>
      </c>
      <c r="J927" s="134">
        <v>4656110</v>
      </c>
      <c r="K927" s="132">
        <v>55873259</v>
      </c>
      <c r="L927" s="132">
        <v>60529369</v>
      </c>
      <c r="M927" s="135"/>
      <c r="N927" s="133">
        <v>55873259</v>
      </c>
      <c r="O927" s="133">
        <v>43365671</v>
      </c>
      <c r="P927" s="132">
        <v>4990930</v>
      </c>
      <c r="Q927" s="133">
        <v>68335189</v>
      </c>
      <c r="R927" s="133">
        <v>63679080</v>
      </c>
    </row>
    <row r="928" spans="1:26" s="75" customFormat="1" ht="12.75" customHeight="1" x14ac:dyDescent="0.2">
      <c r="A928" s="151"/>
      <c r="B928" s="151"/>
      <c r="C928" s="136" t="s">
        <v>36</v>
      </c>
      <c r="D928" s="137">
        <v>28</v>
      </c>
      <c r="E928" s="127">
        <v>24386.45</v>
      </c>
      <c r="F928" s="127">
        <v>0</v>
      </c>
      <c r="G928" s="127">
        <v>0</v>
      </c>
      <c r="H928" s="127">
        <v>6459.63</v>
      </c>
      <c r="I928" s="127">
        <v>157.30000000000001</v>
      </c>
      <c r="J928" s="127">
        <v>2583.62</v>
      </c>
      <c r="K928" s="127">
        <v>31003.38</v>
      </c>
      <c r="L928" s="128">
        <v>33587</v>
      </c>
      <c r="M928" s="129"/>
      <c r="N928" s="127">
        <v>31003.38</v>
      </c>
      <c r="O928" s="127">
        <v>24543.75</v>
      </c>
      <c r="P928" s="127">
        <v>3278.4</v>
      </c>
      <c r="Q928" s="127">
        <v>38004.879999999997</v>
      </c>
      <c r="R928" s="127">
        <v>35421.26</v>
      </c>
    </row>
    <row r="929" spans="1:26" s="75" customFormat="1" ht="9" customHeight="1" x14ac:dyDescent="0.2">
      <c r="A929" s="151"/>
      <c r="B929" s="151"/>
      <c r="C929" s="130" t="s">
        <v>37</v>
      </c>
      <c r="D929" s="131">
        <v>34</v>
      </c>
      <c r="E929" s="132">
        <v>47218752</v>
      </c>
      <c r="F929" s="133">
        <v>0</v>
      </c>
      <c r="G929" s="133">
        <v>0</v>
      </c>
      <c r="H929" s="132">
        <v>12507588</v>
      </c>
      <c r="I929" s="132">
        <v>304575</v>
      </c>
      <c r="J929" s="134">
        <v>5002586</v>
      </c>
      <c r="K929" s="132">
        <v>60030915</v>
      </c>
      <c r="L929" s="132">
        <v>65033500</v>
      </c>
      <c r="M929" s="135"/>
      <c r="N929" s="133">
        <v>60030915</v>
      </c>
      <c r="O929" s="133">
        <v>47523327</v>
      </c>
      <c r="P929" s="132">
        <v>6347868</v>
      </c>
      <c r="Q929" s="133">
        <v>73587709</v>
      </c>
      <c r="R929" s="133">
        <v>68585123</v>
      </c>
    </row>
    <row r="930" spans="1:26" s="75" customFormat="1" ht="12.75" customHeight="1" x14ac:dyDescent="0.2">
      <c r="A930" s="151"/>
      <c r="B930" s="151"/>
      <c r="C930" s="136" t="s">
        <v>36</v>
      </c>
      <c r="D930" s="137">
        <v>35</v>
      </c>
      <c r="E930" s="127">
        <v>25984.49</v>
      </c>
      <c r="F930" s="127">
        <v>0</v>
      </c>
      <c r="G930" s="127">
        <v>0</v>
      </c>
      <c r="H930" s="127">
        <v>6459.63</v>
      </c>
      <c r="I930" s="127">
        <v>157.30000000000001</v>
      </c>
      <c r="J930" s="127">
        <v>2716.79</v>
      </c>
      <c r="K930" s="127">
        <v>32601.42</v>
      </c>
      <c r="L930" s="128">
        <v>35318.21</v>
      </c>
      <c r="M930" s="129"/>
      <c r="N930" s="127">
        <v>32601.42</v>
      </c>
      <c r="O930" s="127">
        <v>26141.79</v>
      </c>
      <c r="P930" s="127">
        <v>3278.4</v>
      </c>
      <c r="Q930" s="127">
        <v>40023.730000000003</v>
      </c>
      <c r="R930" s="127">
        <v>37306.94</v>
      </c>
    </row>
    <row r="931" spans="1:26" s="75" customFormat="1" ht="9" customHeight="1" x14ac:dyDescent="0.2">
      <c r="A931" s="161"/>
      <c r="B931" s="161"/>
      <c r="C931" s="138" t="s">
        <v>37</v>
      </c>
      <c r="D931" s="139"/>
      <c r="E931" s="132">
        <v>50312988</v>
      </c>
      <c r="F931" s="132">
        <v>0</v>
      </c>
      <c r="G931" s="132">
        <v>0</v>
      </c>
      <c r="H931" s="132">
        <v>12507588</v>
      </c>
      <c r="I931" s="132">
        <v>304575</v>
      </c>
      <c r="J931" s="132">
        <v>5260439</v>
      </c>
      <c r="K931" s="132">
        <v>63125152</v>
      </c>
      <c r="L931" s="132">
        <v>68385590</v>
      </c>
      <c r="M931" s="135"/>
      <c r="N931" s="132">
        <v>63125152</v>
      </c>
      <c r="O931" s="132">
        <v>50617564</v>
      </c>
      <c r="P931" s="132">
        <v>6347868</v>
      </c>
      <c r="Q931" s="132">
        <v>77496748</v>
      </c>
      <c r="R931" s="133">
        <v>72236309</v>
      </c>
    </row>
    <row r="932" spans="1:26" ht="9" customHeight="1" x14ac:dyDescent="0.2">
      <c r="A932" s="95"/>
      <c r="B932" s="95"/>
      <c r="C932" s="44"/>
      <c r="D932" s="45"/>
      <c r="E932" s="96"/>
      <c r="F932" s="96"/>
      <c r="G932" s="96"/>
      <c r="H932" s="96"/>
      <c r="I932" s="96"/>
      <c r="J932" s="54"/>
      <c r="K932" s="96"/>
      <c r="L932" s="96"/>
      <c r="M932" s="39"/>
      <c r="N932" s="96"/>
      <c r="O932" s="96"/>
      <c r="P932" s="96"/>
      <c r="Q932" s="96"/>
      <c r="R932" s="7"/>
      <c r="S932" s="7"/>
      <c r="T932" s="7"/>
      <c r="U932" s="7"/>
      <c r="V932" s="7"/>
      <c r="W932" s="7"/>
      <c r="X932" s="7"/>
      <c r="Y932" s="7"/>
      <c r="Z932" s="7"/>
    </row>
    <row r="933" spans="1:26" ht="9" customHeight="1" x14ac:dyDescent="0.2">
      <c r="A933" s="95"/>
      <c r="B933" s="95"/>
      <c r="C933" s="44"/>
      <c r="D933" s="45"/>
      <c r="E933" s="96"/>
      <c r="F933" s="96"/>
      <c r="G933" s="96"/>
      <c r="H933" s="96"/>
      <c r="I933" s="96"/>
      <c r="J933" s="54"/>
      <c r="K933" s="96"/>
      <c r="L933" s="96"/>
      <c r="M933" s="39"/>
      <c r="N933" s="96"/>
      <c r="O933" s="96"/>
      <c r="P933" s="96"/>
      <c r="Q933" s="96"/>
      <c r="R933" s="7"/>
      <c r="S933" s="7"/>
      <c r="T933" s="7"/>
      <c r="U933" s="7"/>
      <c r="V933" s="7"/>
      <c r="W933" s="7"/>
      <c r="X933" s="7"/>
      <c r="Y933" s="7"/>
      <c r="Z933" s="7"/>
    </row>
    <row r="934" spans="1:26" ht="9" customHeight="1" x14ac:dyDescent="0.2">
      <c r="A934" s="95"/>
      <c r="B934" s="95"/>
      <c r="C934" s="44"/>
      <c r="D934" s="45"/>
      <c r="E934" s="96"/>
      <c r="F934" s="96"/>
      <c r="G934" s="96"/>
      <c r="H934" s="96"/>
      <c r="I934" s="96"/>
      <c r="J934" s="54"/>
      <c r="K934" s="96"/>
      <c r="L934" s="96"/>
      <c r="M934" s="39"/>
      <c r="N934" s="96"/>
      <c r="O934" s="96"/>
      <c r="P934" s="96"/>
      <c r="Q934" s="96"/>
      <c r="R934" s="7"/>
      <c r="S934" s="7"/>
      <c r="T934" s="7"/>
      <c r="U934" s="7"/>
      <c r="V934" s="7"/>
      <c r="W934" s="7"/>
      <c r="X934" s="7"/>
      <c r="Y934" s="7"/>
      <c r="Z934" s="7"/>
    </row>
    <row r="935" spans="1:26" ht="9" customHeight="1" x14ac:dyDescent="0.2">
      <c r="A935" s="95"/>
      <c r="B935" s="95"/>
      <c r="C935" s="44"/>
      <c r="D935" s="45"/>
      <c r="E935" s="96"/>
      <c r="F935" s="96"/>
      <c r="G935" s="96"/>
      <c r="H935" s="96"/>
      <c r="I935" s="96"/>
      <c r="J935" s="54"/>
      <c r="K935" s="96"/>
      <c r="L935" s="96"/>
      <c r="M935" s="39"/>
      <c r="N935" s="96"/>
      <c r="O935" s="96"/>
      <c r="P935" s="96"/>
      <c r="Q935" s="96"/>
      <c r="R935" s="7"/>
      <c r="S935" s="7"/>
      <c r="T935" s="7"/>
      <c r="U935" s="7"/>
      <c r="V935" s="7"/>
      <c r="W935" s="7"/>
      <c r="X935" s="7"/>
      <c r="Y935" s="7"/>
      <c r="Z935" s="7"/>
    </row>
    <row r="936" spans="1:26" ht="9" customHeight="1" x14ac:dyDescent="0.2">
      <c r="A936" s="95"/>
      <c r="B936" s="95"/>
      <c r="C936" s="44"/>
      <c r="D936" s="45"/>
      <c r="E936" s="96"/>
      <c r="F936" s="96"/>
      <c r="G936" s="96"/>
      <c r="H936" s="96"/>
      <c r="I936" s="96"/>
      <c r="J936" s="54"/>
      <c r="K936" s="96"/>
      <c r="L936" s="96"/>
      <c r="M936" s="39"/>
      <c r="N936" s="96"/>
      <c r="O936" s="96"/>
      <c r="P936" s="96"/>
      <c r="Q936" s="96"/>
      <c r="R936" s="7"/>
      <c r="S936" s="7"/>
      <c r="T936" s="7"/>
      <c r="U936" s="7"/>
      <c r="V936" s="7"/>
      <c r="W936" s="7"/>
      <c r="X936" s="7"/>
      <c r="Y936" s="7"/>
      <c r="Z936" s="7"/>
    </row>
    <row r="937" spans="1:26" ht="9" customHeight="1" x14ac:dyDescent="0.2">
      <c r="A937" s="95"/>
      <c r="B937" s="95"/>
      <c r="C937" s="44"/>
      <c r="D937" s="45"/>
      <c r="E937" s="96"/>
      <c r="F937" s="96"/>
      <c r="G937" s="96"/>
      <c r="H937" s="96"/>
      <c r="I937" s="96"/>
      <c r="J937" s="54"/>
      <c r="K937" s="96"/>
      <c r="L937" s="96"/>
      <c r="M937" s="39"/>
      <c r="N937" s="96"/>
      <c r="O937" s="96"/>
      <c r="P937" s="96"/>
      <c r="Q937" s="96"/>
      <c r="R937" s="7"/>
      <c r="S937" s="7"/>
      <c r="T937" s="7"/>
      <c r="U937" s="7"/>
      <c r="V937" s="7"/>
      <c r="W937" s="7"/>
      <c r="X937" s="7"/>
      <c r="Y937" s="7"/>
      <c r="Z937" s="7"/>
    </row>
    <row r="938" spans="1:26" ht="9" customHeight="1" x14ac:dyDescent="0.2">
      <c r="A938" s="95"/>
      <c r="B938" s="95"/>
      <c r="C938" s="44"/>
      <c r="D938" s="45"/>
      <c r="E938" s="96"/>
      <c r="F938" s="96"/>
      <c r="G938" s="96"/>
      <c r="H938" s="96"/>
      <c r="I938" s="96"/>
      <c r="J938" s="54"/>
      <c r="K938" s="96"/>
      <c r="L938" s="96"/>
      <c r="M938" s="39"/>
      <c r="N938" s="96"/>
      <c r="O938" s="96"/>
      <c r="P938" s="96"/>
      <c r="Q938" s="96"/>
      <c r="R938" s="7"/>
      <c r="S938" s="7"/>
      <c r="T938" s="7"/>
      <c r="U938" s="7"/>
      <c r="V938" s="7"/>
      <c r="W938" s="7"/>
      <c r="X938" s="7"/>
      <c r="Y938" s="7"/>
      <c r="Z938" s="7"/>
    </row>
    <row r="939" spans="1:26" ht="9" customHeight="1" x14ac:dyDescent="0.2">
      <c r="A939" s="95"/>
      <c r="B939" s="95"/>
      <c r="C939" s="44"/>
      <c r="D939" s="45"/>
      <c r="E939" s="96"/>
      <c r="F939" s="96"/>
      <c r="G939" s="96"/>
      <c r="H939" s="96"/>
      <c r="I939" s="96"/>
      <c r="J939" s="54"/>
      <c r="K939" s="96"/>
      <c r="L939" s="96"/>
      <c r="M939" s="39"/>
      <c r="N939" s="96"/>
      <c r="O939" s="96"/>
      <c r="P939" s="96"/>
      <c r="Q939" s="96"/>
      <c r="R939" s="7"/>
      <c r="S939" s="7"/>
      <c r="T939" s="7"/>
      <c r="U939" s="7"/>
      <c r="V939" s="7"/>
      <c r="W939" s="7"/>
      <c r="X939" s="7"/>
      <c r="Y939" s="7"/>
      <c r="Z939" s="7"/>
    </row>
    <row r="940" spans="1:26" s="75" customFormat="1" ht="12.75" customHeight="1" x14ac:dyDescent="0.2">
      <c r="A940" s="158">
        <v>43191</v>
      </c>
      <c r="B940" s="158">
        <v>43465</v>
      </c>
      <c r="C940" s="125" t="s">
        <v>36</v>
      </c>
      <c r="D940" s="126">
        <v>0</v>
      </c>
      <c r="E940" s="127">
        <v>15390.94</v>
      </c>
      <c r="F940" s="127">
        <v>0</v>
      </c>
      <c r="G940" s="127"/>
      <c r="H940" s="127">
        <v>6459.63</v>
      </c>
      <c r="I940" s="127"/>
      <c r="J940" s="127">
        <v>1820.88</v>
      </c>
      <c r="K940" s="127">
        <v>21850.57</v>
      </c>
      <c r="L940" s="128">
        <v>23671.45</v>
      </c>
      <c r="M940" s="129"/>
      <c r="N940" s="127">
        <v>21850.57</v>
      </c>
      <c r="O940" s="127">
        <v>15390.94</v>
      </c>
      <c r="P940" s="127">
        <v>2094</v>
      </c>
      <c r="Q940" s="127">
        <v>26441.82</v>
      </c>
      <c r="R940" s="127">
        <v>24620.94</v>
      </c>
    </row>
    <row r="941" spans="1:26" s="75" customFormat="1" ht="9" customHeight="1" x14ac:dyDescent="0.2">
      <c r="A941" s="159"/>
      <c r="B941" s="159"/>
      <c r="C941" s="130" t="s">
        <v>37</v>
      </c>
      <c r="D941" s="131">
        <v>8</v>
      </c>
      <c r="E941" s="132">
        <v>29801015</v>
      </c>
      <c r="F941" s="133">
        <v>0</v>
      </c>
      <c r="G941" s="133">
        <v>0</v>
      </c>
      <c r="H941" s="132">
        <v>12507588</v>
      </c>
      <c r="I941" s="132"/>
      <c r="J941" s="134">
        <v>3525715</v>
      </c>
      <c r="K941" s="132">
        <v>42308603</v>
      </c>
      <c r="L941" s="132">
        <v>45834318</v>
      </c>
      <c r="M941" s="135"/>
      <c r="N941" s="133">
        <v>42308603</v>
      </c>
      <c r="O941" s="133">
        <v>29801015</v>
      </c>
      <c r="P941" s="132">
        <v>4054549</v>
      </c>
      <c r="Q941" s="133">
        <v>51198503</v>
      </c>
      <c r="R941" s="133">
        <v>47672787</v>
      </c>
    </row>
    <row r="942" spans="1:26" s="75" customFormat="1" ht="12.75" customHeight="1" x14ac:dyDescent="0.2">
      <c r="A942" s="151">
        <v>43191</v>
      </c>
      <c r="B942" s="151">
        <f>B940</f>
        <v>43465</v>
      </c>
      <c r="C942" s="136" t="s">
        <v>36</v>
      </c>
      <c r="D942" s="137">
        <v>9</v>
      </c>
      <c r="E942" s="127">
        <v>17958.400000000001</v>
      </c>
      <c r="F942" s="127">
        <v>0</v>
      </c>
      <c r="G942" s="127">
        <v>0</v>
      </c>
      <c r="H942" s="127">
        <v>6459.63</v>
      </c>
      <c r="I942" s="127"/>
      <c r="J942" s="127">
        <v>2034.84</v>
      </c>
      <c r="K942" s="127">
        <v>24418.03</v>
      </c>
      <c r="L942" s="128">
        <v>26452.87</v>
      </c>
      <c r="M942" s="129"/>
      <c r="N942" s="127">
        <v>24418.03</v>
      </c>
      <c r="O942" s="127">
        <v>17958.400000000001</v>
      </c>
      <c r="P942" s="127">
        <v>2094</v>
      </c>
      <c r="Q942" s="127">
        <v>29685.38</v>
      </c>
      <c r="R942" s="127">
        <v>27650.54</v>
      </c>
    </row>
    <row r="943" spans="1:26" s="75" customFormat="1" ht="9" customHeight="1" x14ac:dyDescent="0.2">
      <c r="A943" s="151"/>
      <c r="B943" s="151"/>
      <c r="C943" s="130" t="s">
        <v>37</v>
      </c>
      <c r="D943" s="131">
        <v>14</v>
      </c>
      <c r="E943" s="132">
        <v>34772311</v>
      </c>
      <c r="F943" s="133">
        <v>0</v>
      </c>
      <c r="G943" s="133">
        <v>0</v>
      </c>
      <c r="H943" s="132">
        <v>12507588</v>
      </c>
      <c r="I943" s="132"/>
      <c r="J943" s="134">
        <v>3940000</v>
      </c>
      <c r="K943" s="132">
        <v>47279899</v>
      </c>
      <c r="L943" s="132">
        <v>51219899</v>
      </c>
      <c r="M943" s="135"/>
      <c r="N943" s="133">
        <v>47279899</v>
      </c>
      <c r="O943" s="133">
        <v>34772311</v>
      </c>
      <c r="P943" s="132">
        <v>4054549</v>
      </c>
      <c r="Q943" s="133">
        <v>57478911</v>
      </c>
      <c r="R943" s="133">
        <v>53538911</v>
      </c>
    </row>
    <row r="944" spans="1:26" s="75" customFormat="1" ht="12.75" customHeight="1" x14ac:dyDescent="0.2">
      <c r="A944" s="151"/>
      <c r="B944" s="151"/>
      <c r="C944" s="136" t="s">
        <v>36</v>
      </c>
      <c r="D944" s="137">
        <v>15</v>
      </c>
      <c r="E944" s="127">
        <v>20208.990000000002</v>
      </c>
      <c r="F944" s="127">
        <v>0</v>
      </c>
      <c r="G944" s="127">
        <v>0</v>
      </c>
      <c r="H944" s="127">
        <v>6459.63</v>
      </c>
      <c r="I944" s="127"/>
      <c r="J944" s="127">
        <v>2222.39</v>
      </c>
      <c r="K944" s="127">
        <v>26668.62</v>
      </c>
      <c r="L944" s="128">
        <v>28891.01</v>
      </c>
      <c r="M944" s="129"/>
      <c r="N944" s="127">
        <v>26668.62</v>
      </c>
      <c r="O944" s="127">
        <v>20208.990000000002</v>
      </c>
      <c r="P944" s="127">
        <v>2577.6</v>
      </c>
      <c r="Q944" s="127">
        <v>32528.63</v>
      </c>
      <c r="R944" s="127">
        <v>30306.240000000002</v>
      </c>
    </row>
    <row r="945" spans="1:26" s="75" customFormat="1" ht="9" customHeight="1" x14ac:dyDescent="0.2">
      <c r="A945" s="151"/>
      <c r="B945" s="151"/>
      <c r="C945" s="130" t="s">
        <v>37</v>
      </c>
      <c r="D945" s="131">
        <v>20</v>
      </c>
      <c r="E945" s="132">
        <v>39130061</v>
      </c>
      <c r="F945" s="133">
        <v>0</v>
      </c>
      <c r="G945" s="133">
        <v>0</v>
      </c>
      <c r="H945" s="132">
        <v>12507588</v>
      </c>
      <c r="I945" s="132"/>
      <c r="J945" s="134">
        <v>4303147</v>
      </c>
      <c r="K945" s="132">
        <v>51637649</v>
      </c>
      <c r="L945" s="132">
        <v>55940796</v>
      </c>
      <c r="M945" s="135"/>
      <c r="N945" s="133">
        <v>51637649</v>
      </c>
      <c r="O945" s="133">
        <v>39130061</v>
      </c>
      <c r="P945" s="132">
        <v>4990930</v>
      </c>
      <c r="Q945" s="133">
        <v>62984210</v>
      </c>
      <c r="R945" s="133">
        <v>58681063</v>
      </c>
    </row>
    <row r="946" spans="1:26" s="75" customFormat="1" ht="12.75" customHeight="1" x14ac:dyDescent="0.2">
      <c r="A946" s="151"/>
      <c r="B946" s="151"/>
      <c r="C946" s="136" t="s">
        <v>36</v>
      </c>
      <c r="D946" s="137">
        <v>21</v>
      </c>
      <c r="E946" s="127">
        <v>22396.5</v>
      </c>
      <c r="F946" s="127">
        <v>0</v>
      </c>
      <c r="G946" s="127">
        <v>0</v>
      </c>
      <c r="H946" s="127">
        <v>6459.63</v>
      </c>
      <c r="I946" s="127"/>
      <c r="J946" s="127">
        <v>2404.6799999999998</v>
      </c>
      <c r="K946" s="127">
        <v>28856.13</v>
      </c>
      <c r="L946" s="128">
        <v>31260.81</v>
      </c>
      <c r="M946" s="129"/>
      <c r="N946" s="127">
        <v>28856.13</v>
      </c>
      <c r="O946" s="127">
        <v>22396.5</v>
      </c>
      <c r="P946" s="127">
        <v>2577.6</v>
      </c>
      <c r="Q946" s="127">
        <v>35292.18</v>
      </c>
      <c r="R946" s="127">
        <v>32887.5</v>
      </c>
    </row>
    <row r="947" spans="1:26" s="75" customFormat="1" ht="9" customHeight="1" x14ac:dyDescent="0.2">
      <c r="A947" s="151"/>
      <c r="B947" s="151"/>
      <c r="C947" s="130" t="s">
        <v>37</v>
      </c>
      <c r="D947" s="131">
        <v>27</v>
      </c>
      <c r="E947" s="132">
        <v>43365671</v>
      </c>
      <c r="F947" s="133">
        <v>0</v>
      </c>
      <c r="G947" s="133">
        <v>0</v>
      </c>
      <c r="H947" s="132">
        <v>12507588</v>
      </c>
      <c r="I947" s="132"/>
      <c r="J947" s="134">
        <v>4656110</v>
      </c>
      <c r="K947" s="132">
        <v>55873259</v>
      </c>
      <c r="L947" s="132">
        <v>60529369</v>
      </c>
      <c r="M947" s="135"/>
      <c r="N947" s="133">
        <v>55873259</v>
      </c>
      <c r="O947" s="133">
        <v>43365671</v>
      </c>
      <c r="P947" s="132">
        <v>4990930</v>
      </c>
      <c r="Q947" s="133">
        <v>68335189</v>
      </c>
      <c r="R947" s="133">
        <v>63679080</v>
      </c>
    </row>
    <row r="948" spans="1:26" s="75" customFormat="1" ht="12.75" customHeight="1" x14ac:dyDescent="0.2">
      <c r="A948" s="151"/>
      <c r="B948" s="151"/>
      <c r="C948" s="136" t="s">
        <v>36</v>
      </c>
      <c r="D948" s="137">
        <v>28</v>
      </c>
      <c r="E948" s="127">
        <v>24543.75</v>
      </c>
      <c r="F948" s="127">
        <v>0</v>
      </c>
      <c r="G948" s="127">
        <v>0</v>
      </c>
      <c r="H948" s="127">
        <v>6459.63</v>
      </c>
      <c r="I948" s="127"/>
      <c r="J948" s="127">
        <v>2583.62</v>
      </c>
      <c r="K948" s="127">
        <v>31003.38</v>
      </c>
      <c r="L948" s="128">
        <v>33587</v>
      </c>
      <c r="M948" s="129"/>
      <c r="N948" s="127">
        <v>31003.38</v>
      </c>
      <c r="O948" s="127">
        <v>24543.75</v>
      </c>
      <c r="P948" s="127">
        <v>3278.4</v>
      </c>
      <c r="Q948" s="127">
        <v>38004.879999999997</v>
      </c>
      <c r="R948" s="127">
        <v>35421.26</v>
      </c>
    </row>
    <row r="949" spans="1:26" s="75" customFormat="1" ht="9" customHeight="1" x14ac:dyDescent="0.2">
      <c r="A949" s="151"/>
      <c r="B949" s="151"/>
      <c r="C949" s="130" t="s">
        <v>37</v>
      </c>
      <c r="D949" s="131">
        <v>34</v>
      </c>
      <c r="E949" s="132">
        <v>47523327</v>
      </c>
      <c r="F949" s="133">
        <v>0</v>
      </c>
      <c r="G949" s="133">
        <v>0</v>
      </c>
      <c r="H949" s="132">
        <v>12507588</v>
      </c>
      <c r="I949" s="132"/>
      <c r="J949" s="134">
        <v>5002586</v>
      </c>
      <c r="K949" s="132">
        <v>60030915</v>
      </c>
      <c r="L949" s="132">
        <v>65033500</v>
      </c>
      <c r="M949" s="135"/>
      <c r="N949" s="133">
        <v>60030915</v>
      </c>
      <c r="O949" s="133">
        <v>47523327</v>
      </c>
      <c r="P949" s="132">
        <v>6347868</v>
      </c>
      <c r="Q949" s="133">
        <v>73587709</v>
      </c>
      <c r="R949" s="133">
        <v>68585123</v>
      </c>
    </row>
    <row r="950" spans="1:26" s="75" customFormat="1" ht="12.75" customHeight="1" x14ac:dyDescent="0.2">
      <c r="A950" s="151"/>
      <c r="B950" s="151"/>
      <c r="C950" s="136" t="s">
        <v>36</v>
      </c>
      <c r="D950" s="137">
        <v>35</v>
      </c>
      <c r="E950" s="127">
        <v>26141.79</v>
      </c>
      <c r="F950" s="127">
        <v>0</v>
      </c>
      <c r="G950" s="127">
        <v>0</v>
      </c>
      <c r="H950" s="127">
        <v>6459.63</v>
      </c>
      <c r="I950" s="127"/>
      <c r="J950" s="127">
        <v>2716.79</v>
      </c>
      <c r="K950" s="127">
        <v>32601.42</v>
      </c>
      <c r="L950" s="128">
        <v>35318.21</v>
      </c>
      <c r="M950" s="129"/>
      <c r="N950" s="127">
        <v>32601.42</v>
      </c>
      <c r="O950" s="127">
        <v>26141.79</v>
      </c>
      <c r="P950" s="127">
        <v>3278.4</v>
      </c>
      <c r="Q950" s="127">
        <v>40023.730000000003</v>
      </c>
      <c r="R950" s="127">
        <v>37306.94</v>
      </c>
    </row>
    <row r="951" spans="1:26" s="75" customFormat="1" ht="9" customHeight="1" x14ac:dyDescent="0.2">
      <c r="A951" s="161"/>
      <c r="B951" s="161"/>
      <c r="C951" s="138" t="s">
        <v>37</v>
      </c>
      <c r="D951" s="139"/>
      <c r="E951" s="132">
        <v>50617564</v>
      </c>
      <c r="F951" s="132">
        <v>0</v>
      </c>
      <c r="G951" s="132">
        <v>0</v>
      </c>
      <c r="H951" s="132">
        <v>12507588</v>
      </c>
      <c r="I951" s="132"/>
      <c r="J951" s="132">
        <v>5260439</v>
      </c>
      <c r="K951" s="132">
        <v>63125152</v>
      </c>
      <c r="L951" s="132">
        <v>68385590</v>
      </c>
      <c r="M951" s="135"/>
      <c r="N951" s="132">
        <v>63125152</v>
      </c>
      <c r="O951" s="132">
        <v>50617564</v>
      </c>
      <c r="P951" s="132">
        <v>6347868</v>
      </c>
      <c r="Q951" s="132">
        <v>77496748</v>
      </c>
      <c r="R951" s="133">
        <v>72236309</v>
      </c>
    </row>
    <row r="952" spans="1:26" ht="9" customHeight="1" x14ac:dyDescent="0.2">
      <c r="A952" s="95"/>
      <c r="B952" s="95"/>
      <c r="C952" s="44"/>
      <c r="D952" s="45"/>
      <c r="E952" s="96"/>
      <c r="F952" s="96"/>
      <c r="G952" s="96"/>
      <c r="H952" s="96"/>
      <c r="I952" s="96"/>
      <c r="J952" s="54"/>
      <c r="K952" s="96"/>
      <c r="L952" s="96"/>
      <c r="M952" s="39"/>
      <c r="N952" s="96"/>
      <c r="O952" s="96"/>
      <c r="P952" s="96"/>
      <c r="Q952" s="96"/>
      <c r="R952" s="7"/>
      <c r="S952" s="7"/>
      <c r="T952" s="7"/>
      <c r="U952" s="7"/>
      <c r="V952" s="7"/>
      <c r="W952" s="7"/>
      <c r="X952" s="7"/>
      <c r="Y952" s="7"/>
      <c r="Z952" s="7"/>
    </row>
    <row r="953" spans="1:26" ht="9" customHeight="1" x14ac:dyDescent="0.2">
      <c r="A953" s="95"/>
      <c r="B953" s="95"/>
      <c r="C953" s="44"/>
      <c r="D953" s="45"/>
      <c r="E953" s="96"/>
      <c r="F953" s="96"/>
      <c r="G953" s="96"/>
      <c r="H953" s="96"/>
      <c r="I953" s="96"/>
      <c r="J953" s="54"/>
      <c r="K953" s="96"/>
      <c r="L953" s="96"/>
      <c r="M953" s="39"/>
      <c r="N953" s="96"/>
      <c r="O953" s="96"/>
      <c r="P953" s="96"/>
      <c r="Q953" s="96"/>
      <c r="R953" s="7"/>
      <c r="S953" s="7"/>
      <c r="T953" s="7"/>
      <c r="U953" s="7"/>
      <c r="V953" s="7"/>
      <c r="W953" s="7"/>
      <c r="X953" s="7"/>
      <c r="Y953" s="7"/>
      <c r="Z953" s="7"/>
    </row>
    <row r="954" spans="1:26" ht="9" customHeight="1" x14ac:dyDescent="0.2">
      <c r="A954" s="95"/>
      <c r="B954" s="95"/>
      <c r="C954" s="44"/>
      <c r="D954" s="45"/>
      <c r="E954" s="96"/>
      <c r="F954" s="96"/>
      <c r="G954" s="96"/>
      <c r="H954" s="96"/>
      <c r="I954" s="96"/>
      <c r="J954" s="54"/>
      <c r="K954" s="96"/>
      <c r="L954" s="96"/>
      <c r="M954" s="39"/>
      <c r="N954" s="96"/>
      <c r="O954" s="96"/>
      <c r="P954" s="96"/>
      <c r="Q954" s="96"/>
      <c r="R954" s="7"/>
      <c r="S954" s="7"/>
      <c r="T954" s="7"/>
      <c r="U954" s="7"/>
      <c r="V954" s="7"/>
      <c r="W954" s="7"/>
      <c r="X954" s="7"/>
      <c r="Y954" s="7"/>
      <c r="Z954" s="7"/>
    </row>
    <row r="955" spans="1:26" ht="9" customHeight="1" x14ac:dyDescent="0.2">
      <c r="A955" s="95"/>
      <c r="B955" s="95"/>
      <c r="C955" s="44"/>
      <c r="D955" s="45"/>
      <c r="E955" s="96"/>
      <c r="F955" s="96"/>
      <c r="G955" s="96"/>
      <c r="H955" s="96"/>
      <c r="I955" s="96"/>
      <c r="J955" s="54"/>
      <c r="K955" s="96"/>
      <c r="L955" s="96"/>
      <c r="M955" s="39"/>
      <c r="N955" s="96"/>
      <c r="O955" s="96"/>
      <c r="P955" s="96"/>
      <c r="Q955" s="96"/>
      <c r="R955" s="7"/>
      <c r="S955" s="7"/>
      <c r="T955" s="7"/>
      <c r="U955" s="7"/>
      <c r="V955" s="7"/>
      <c r="W955" s="7"/>
      <c r="X955" s="7"/>
      <c r="Y955" s="7"/>
      <c r="Z955" s="7"/>
    </row>
    <row r="956" spans="1:26" ht="9" customHeight="1" x14ac:dyDescent="0.2">
      <c r="A956" s="95"/>
      <c r="B956" s="95"/>
      <c r="C956" s="44"/>
      <c r="D956" s="45"/>
      <c r="E956" s="96"/>
      <c r="F956" s="96"/>
      <c r="G956" s="96"/>
      <c r="H956" s="96"/>
      <c r="I956" s="96"/>
      <c r="J956" s="54"/>
      <c r="K956" s="96"/>
      <c r="L956" s="96"/>
      <c r="M956" s="39"/>
      <c r="N956" s="96"/>
      <c r="O956" s="96"/>
      <c r="P956" s="96"/>
      <c r="Q956" s="96"/>
      <c r="R956" s="7"/>
      <c r="S956" s="7"/>
      <c r="T956" s="7"/>
      <c r="U956" s="7"/>
      <c r="V956" s="7"/>
      <c r="W956" s="7"/>
      <c r="X956" s="7"/>
      <c r="Y956" s="7"/>
      <c r="Z956" s="7"/>
    </row>
    <row r="957" spans="1:26" ht="9" customHeight="1" x14ac:dyDescent="0.2">
      <c r="A957" s="95"/>
      <c r="B957" s="95"/>
      <c r="C957" s="44"/>
      <c r="D957" s="45"/>
      <c r="E957" s="96"/>
      <c r="F957" s="96"/>
      <c r="G957" s="96"/>
      <c r="H957" s="96"/>
      <c r="I957" s="96"/>
      <c r="J957" s="54"/>
      <c r="K957" s="96"/>
      <c r="L957" s="96"/>
      <c r="M957" s="39"/>
      <c r="N957" s="96"/>
      <c r="O957" s="96"/>
      <c r="P957" s="96"/>
      <c r="Q957" s="96"/>
      <c r="R957" s="7"/>
      <c r="S957" s="7"/>
      <c r="T957" s="7"/>
      <c r="U957" s="7"/>
      <c r="V957" s="7"/>
      <c r="W957" s="7"/>
      <c r="X957" s="7"/>
      <c r="Y957" s="7"/>
      <c r="Z957" s="7"/>
    </row>
    <row r="958" spans="1:26" ht="9" customHeight="1" x14ac:dyDescent="0.2">
      <c r="A958" s="95"/>
      <c r="B958" s="95"/>
      <c r="C958" s="44"/>
      <c r="D958" s="45"/>
      <c r="E958" s="96"/>
      <c r="F958" s="96"/>
      <c r="G958" s="96"/>
      <c r="H958" s="96"/>
      <c r="I958" s="96"/>
      <c r="J958" s="54"/>
      <c r="K958" s="96"/>
      <c r="L958" s="96"/>
      <c r="M958" s="39"/>
      <c r="N958" s="96"/>
      <c r="O958" s="96"/>
      <c r="P958" s="96"/>
      <c r="Q958" s="96"/>
      <c r="R958" s="7"/>
      <c r="S958" s="7"/>
      <c r="T958" s="7"/>
      <c r="U958" s="7"/>
      <c r="V958" s="7"/>
      <c r="W958" s="7"/>
      <c r="X958" s="7"/>
      <c r="Y958" s="7"/>
      <c r="Z958" s="7"/>
    </row>
    <row r="959" spans="1:26" ht="9" customHeight="1" x14ac:dyDescent="0.2">
      <c r="A959" s="95"/>
      <c r="B959" s="95"/>
      <c r="C959" s="44"/>
      <c r="D959" s="45"/>
      <c r="E959" s="96"/>
      <c r="F959" s="96"/>
      <c r="G959" s="96"/>
      <c r="H959" s="96"/>
      <c r="I959" s="96"/>
      <c r="J959" s="54"/>
      <c r="K959" s="96"/>
      <c r="L959" s="96"/>
      <c r="M959" s="39"/>
      <c r="N959" s="96"/>
      <c r="O959" s="96"/>
      <c r="P959" s="96"/>
      <c r="Q959" s="96"/>
      <c r="R959" s="7"/>
      <c r="S959" s="7"/>
      <c r="T959" s="7"/>
      <c r="U959" s="7"/>
      <c r="V959" s="7"/>
      <c r="W959" s="7"/>
      <c r="X959" s="7"/>
      <c r="Y959" s="7"/>
      <c r="Z959" s="7"/>
    </row>
    <row r="960" spans="1:26" s="75" customFormat="1" ht="12.75" customHeight="1" x14ac:dyDescent="0.2">
      <c r="A960" s="158">
        <v>43466</v>
      </c>
      <c r="B960" s="158">
        <v>43830</v>
      </c>
      <c r="C960" s="125" t="s">
        <v>36</v>
      </c>
      <c r="D960" s="126">
        <v>0</v>
      </c>
      <c r="E960" s="127">
        <v>15593.689999999999</v>
      </c>
      <c r="F960" s="127"/>
      <c r="G960" s="127"/>
      <c r="H960" s="127">
        <v>6459.63</v>
      </c>
      <c r="I960" s="127"/>
      <c r="J960" s="127">
        <v>1828.53</v>
      </c>
      <c r="K960" s="127">
        <v>21942.37</v>
      </c>
      <c r="L960" s="128">
        <v>23770.9</v>
      </c>
      <c r="M960" s="129"/>
      <c r="N960" s="127">
        <v>21942.37</v>
      </c>
      <c r="O960" s="127">
        <v>15482.74</v>
      </c>
      <c r="P960" s="127">
        <v>2094</v>
      </c>
      <c r="Q960" s="127">
        <v>26557.79</v>
      </c>
      <c r="R960" s="127">
        <v>24729.26</v>
      </c>
    </row>
    <row r="961" spans="1:26" s="75" customFormat="1" ht="9" customHeight="1" x14ac:dyDescent="0.2">
      <c r="A961" s="159"/>
      <c r="B961" s="159"/>
      <c r="C961" s="130" t="s">
        <v>37</v>
      </c>
      <c r="D961" s="131">
        <v>8</v>
      </c>
      <c r="E961" s="132">
        <v>29801015</v>
      </c>
      <c r="F961" s="133">
        <v>0</v>
      </c>
      <c r="G961" s="133"/>
      <c r="H961" s="132">
        <v>12507588</v>
      </c>
      <c r="I961" s="132"/>
      <c r="J961" s="134">
        <v>3540528</v>
      </c>
      <c r="K961" s="134">
        <v>42486353</v>
      </c>
      <c r="L961" s="132">
        <v>46026881</v>
      </c>
      <c r="M961" s="135"/>
      <c r="N961" s="133">
        <v>42486353</v>
      </c>
      <c r="O961" s="133">
        <v>29978765</v>
      </c>
      <c r="P961" s="133">
        <v>4054549</v>
      </c>
      <c r="Q961" s="133">
        <v>51423052</v>
      </c>
      <c r="R961" s="133">
        <v>47882524</v>
      </c>
    </row>
    <row r="962" spans="1:26" s="75" customFormat="1" ht="12.75" customHeight="1" x14ac:dyDescent="0.2">
      <c r="A962" s="151">
        <f>A960</f>
        <v>43466</v>
      </c>
      <c r="B962" s="151">
        <f>B960</f>
        <v>43830</v>
      </c>
      <c r="C962" s="136" t="s">
        <v>36</v>
      </c>
      <c r="D962" s="137">
        <v>9</v>
      </c>
      <c r="E962" s="127">
        <v>18185.219999999998</v>
      </c>
      <c r="F962" s="127">
        <v>0</v>
      </c>
      <c r="G962" s="127"/>
      <c r="H962" s="127">
        <v>6459.63</v>
      </c>
      <c r="I962" s="127"/>
      <c r="J962" s="127">
        <v>2043.39</v>
      </c>
      <c r="K962" s="127">
        <v>16918.52</v>
      </c>
      <c r="L962" s="128">
        <v>18961.91</v>
      </c>
      <c r="M962" s="129"/>
      <c r="N962" s="127">
        <v>24520.63</v>
      </c>
      <c r="O962" s="127">
        <v>18061</v>
      </c>
      <c r="P962" s="127">
        <v>2094</v>
      </c>
      <c r="Q962" s="127">
        <v>29815</v>
      </c>
      <c r="R962" s="127">
        <v>27771.61</v>
      </c>
    </row>
    <row r="963" spans="1:26" s="75" customFormat="1" ht="9" customHeight="1" x14ac:dyDescent="0.2">
      <c r="A963" s="151"/>
      <c r="B963" s="151"/>
      <c r="C963" s="130" t="s">
        <v>37</v>
      </c>
      <c r="D963" s="131">
        <v>14</v>
      </c>
      <c r="E963" s="132">
        <v>29801015</v>
      </c>
      <c r="F963" s="133">
        <v>0</v>
      </c>
      <c r="G963" s="133"/>
      <c r="H963" s="132">
        <v>12507588</v>
      </c>
      <c r="I963" s="132"/>
      <c r="J963" s="134">
        <v>3956555</v>
      </c>
      <c r="K963" s="132">
        <v>32758823</v>
      </c>
      <c r="L963" s="132">
        <v>36715377</v>
      </c>
      <c r="M963" s="135"/>
      <c r="N963" s="133">
        <v>47478560</v>
      </c>
      <c r="O963" s="133">
        <v>34970972</v>
      </c>
      <c r="P963" s="133">
        <v>4054549</v>
      </c>
      <c r="Q963" s="133">
        <v>57729890</v>
      </c>
      <c r="R963" s="133">
        <v>53773335</v>
      </c>
    </row>
    <row r="964" spans="1:26" s="75" customFormat="1" ht="12.75" customHeight="1" x14ac:dyDescent="0.2">
      <c r="A964" s="151"/>
      <c r="B964" s="151"/>
      <c r="C964" s="136" t="s">
        <v>36</v>
      </c>
      <c r="D964" s="137">
        <v>15</v>
      </c>
      <c r="E964" s="127">
        <v>20456.16</v>
      </c>
      <c r="F964" s="127">
        <v>0</v>
      </c>
      <c r="G964" s="127"/>
      <c r="H964" s="127">
        <v>6459.63</v>
      </c>
      <c r="I964" s="127"/>
      <c r="J964" s="127">
        <v>2231.7199999999998</v>
      </c>
      <c r="K964" s="127">
        <v>17933.73</v>
      </c>
      <c r="L964" s="128">
        <v>20165.45</v>
      </c>
      <c r="M964" s="129"/>
      <c r="N964" s="127">
        <v>26780.58</v>
      </c>
      <c r="O964" s="127">
        <v>20320.95</v>
      </c>
      <c r="P964" s="127">
        <v>2577.6</v>
      </c>
      <c r="Q964" s="127">
        <v>32670.07</v>
      </c>
      <c r="R964" s="127">
        <v>30438.35</v>
      </c>
    </row>
    <row r="965" spans="1:26" s="75" customFormat="1" ht="9" customHeight="1" x14ac:dyDescent="0.2">
      <c r="A965" s="151"/>
      <c r="B965" s="151"/>
      <c r="C965" s="130" t="s">
        <v>37</v>
      </c>
      <c r="D965" s="131">
        <v>20</v>
      </c>
      <c r="E965" s="132">
        <v>29801015</v>
      </c>
      <c r="F965" s="133">
        <v>0</v>
      </c>
      <c r="G965" s="133"/>
      <c r="H965" s="132">
        <v>12507588</v>
      </c>
      <c r="I965" s="132"/>
      <c r="J965" s="134">
        <v>4321212</v>
      </c>
      <c r="K965" s="132">
        <v>34724543</v>
      </c>
      <c r="L965" s="132">
        <v>39045756</v>
      </c>
      <c r="M965" s="135"/>
      <c r="N965" s="133">
        <v>51854434</v>
      </c>
      <c r="O965" s="133">
        <v>39346846</v>
      </c>
      <c r="P965" s="133">
        <v>4990930</v>
      </c>
      <c r="Q965" s="133">
        <v>63258076</v>
      </c>
      <c r="R965" s="133">
        <v>58936864</v>
      </c>
    </row>
    <row r="966" spans="1:26" s="75" customFormat="1" ht="12.75" customHeight="1" x14ac:dyDescent="0.2">
      <c r="A966" s="151"/>
      <c r="B966" s="151"/>
      <c r="C966" s="136" t="s">
        <v>36</v>
      </c>
      <c r="D966" s="137">
        <v>21</v>
      </c>
      <c r="E966" s="127">
        <v>22664.14</v>
      </c>
      <c r="F966" s="127">
        <v>0</v>
      </c>
      <c r="G966" s="127"/>
      <c r="H966" s="127">
        <v>6459.63</v>
      </c>
      <c r="I966" s="127"/>
      <c r="J966" s="127">
        <v>2414.7800000000002</v>
      </c>
      <c r="K966" s="127">
        <v>18921.79</v>
      </c>
      <c r="L966" s="128">
        <v>21336.57</v>
      </c>
      <c r="M966" s="129"/>
      <c r="N966" s="127">
        <v>28977.33</v>
      </c>
      <c r="O966" s="127">
        <v>22517.7</v>
      </c>
      <c r="P966" s="127">
        <v>2577.6</v>
      </c>
      <c r="Q966" s="127">
        <v>35445.300000000003</v>
      </c>
      <c r="R966" s="127">
        <v>33030.519999999997</v>
      </c>
    </row>
    <row r="967" spans="1:26" s="75" customFormat="1" ht="9" customHeight="1" x14ac:dyDescent="0.2">
      <c r="A967" s="151"/>
      <c r="B967" s="151"/>
      <c r="C967" s="130" t="s">
        <v>37</v>
      </c>
      <c r="D967" s="131">
        <v>27</v>
      </c>
      <c r="E967" s="132">
        <v>29801015</v>
      </c>
      <c r="F967" s="133">
        <v>0</v>
      </c>
      <c r="G967" s="133"/>
      <c r="H967" s="132">
        <v>12507588</v>
      </c>
      <c r="I967" s="132"/>
      <c r="J967" s="134">
        <v>4675666</v>
      </c>
      <c r="K967" s="132">
        <v>36637694</v>
      </c>
      <c r="L967" s="132">
        <v>41313360</v>
      </c>
      <c r="M967" s="135"/>
      <c r="N967" s="133">
        <v>56107935</v>
      </c>
      <c r="O967" s="133">
        <v>43600347</v>
      </c>
      <c r="P967" s="133">
        <v>4990930</v>
      </c>
      <c r="Q967" s="133">
        <v>68631671</v>
      </c>
      <c r="R967" s="133">
        <v>63956005</v>
      </c>
    </row>
    <row r="968" spans="1:26" s="75" customFormat="1" ht="12.75" customHeight="1" x14ac:dyDescent="0.2">
      <c r="A968" s="151"/>
      <c r="B968" s="151"/>
      <c r="C968" s="136" t="s">
        <v>36</v>
      </c>
      <c r="D968" s="137">
        <v>28</v>
      </c>
      <c r="E968" s="127">
        <v>24831.719999999998</v>
      </c>
      <c r="F968" s="127">
        <v>0</v>
      </c>
      <c r="G968" s="127"/>
      <c r="H968" s="127">
        <v>6459.63</v>
      </c>
      <c r="I968" s="127"/>
      <c r="J968" s="127">
        <v>2594.4699999999998</v>
      </c>
      <c r="K968" s="127">
        <v>19673.080000000002</v>
      </c>
      <c r="L968" s="128">
        <v>22267.55</v>
      </c>
      <c r="M968" s="129"/>
      <c r="N968" s="127">
        <v>31133.58</v>
      </c>
      <c r="O968" s="127">
        <v>24673.95</v>
      </c>
      <c r="P968" s="127">
        <v>3278.4</v>
      </c>
      <c r="Q968" s="127">
        <v>38169.360000000001</v>
      </c>
      <c r="R968" s="127">
        <v>35574.89</v>
      </c>
    </row>
    <row r="969" spans="1:26" s="75" customFormat="1" ht="9" customHeight="1" x14ac:dyDescent="0.2">
      <c r="A969" s="151"/>
      <c r="B969" s="151"/>
      <c r="C969" s="130" t="s">
        <v>37</v>
      </c>
      <c r="D969" s="131">
        <v>34</v>
      </c>
      <c r="E969" s="132">
        <v>29801015</v>
      </c>
      <c r="F969" s="133">
        <v>0</v>
      </c>
      <c r="G969" s="133"/>
      <c r="H969" s="132">
        <v>12507588</v>
      </c>
      <c r="I969" s="132"/>
      <c r="J969" s="134">
        <v>5023594</v>
      </c>
      <c r="K969" s="132">
        <v>38092395</v>
      </c>
      <c r="L969" s="132">
        <v>43115989</v>
      </c>
      <c r="M969" s="135"/>
      <c r="N969" s="133">
        <v>60283017</v>
      </c>
      <c r="O969" s="133">
        <v>47775429</v>
      </c>
      <c r="P969" s="133">
        <v>6347868</v>
      </c>
      <c r="Q969" s="133">
        <v>73906187</v>
      </c>
      <c r="R969" s="132">
        <v>68882592</v>
      </c>
    </row>
    <row r="970" spans="1:26" s="75" customFormat="1" ht="12.75" customHeight="1" x14ac:dyDescent="0.2">
      <c r="A970" s="151"/>
      <c r="B970" s="151"/>
      <c r="C970" s="136" t="s">
        <v>36</v>
      </c>
      <c r="D970" s="137">
        <v>35</v>
      </c>
      <c r="E970" s="127">
        <v>26444.139999999996</v>
      </c>
      <c r="F970" s="127">
        <v>0</v>
      </c>
      <c r="G970" s="127"/>
      <c r="H970" s="127">
        <v>6459.63</v>
      </c>
      <c r="I970" s="127"/>
      <c r="J970" s="127">
        <v>2728.2</v>
      </c>
      <c r="K970" s="127">
        <v>20206.89</v>
      </c>
      <c r="L970" s="128">
        <v>22935.09</v>
      </c>
      <c r="M970" s="129"/>
      <c r="N970" s="127">
        <v>32738.34</v>
      </c>
      <c r="O970" s="127">
        <v>26278.71</v>
      </c>
      <c r="P970" s="127">
        <v>3278.4</v>
      </c>
      <c r="Q970" s="127">
        <v>40196.71</v>
      </c>
      <c r="R970" s="127">
        <v>37468.51</v>
      </c>
    </row>
    <row r="971" spans="1:26" s="75" customFormat="1" ht="9" customHeight="1" x14ac:dyDescent="0.2">
      <c r="A971" s="161"/>
      <c r="B971" s="161"/>
      <c r="C971" s="138" t="s">
        <v>37</v>
      </c>
      <c r="D971" s="139"/>
      <c r="E971" s="132">
        <v>29801015</v>
      </c>
      <c r="F971" s="132">
        <v>0</v>
      </c>
      <c r="G971" s="132"/>
      <c r="H971" s="132">
        <v>12507588</v>
      </c>
      <c r="I971" s="132"/>
      <c r="J971" s="132">
        <v>5282532</v>
      </c>
      <c r="K971" s="132">
        <v>39125995</v>
      </c>
      <c r="L971" s="132">
        <v>44408527</v>
      </c>
      <c r="M971" s="135"/>
      <c r="N971" s="132">
        <v>63390266</v>
      </c>
      <c r="O971" s="133">
        <v>50882678</v>
      </c>
      <c r="P971" s="132">
        <v>6347868</v>
      </c>
      <c r="Q971" s="132">
        <v>77831684</v>
      </c>
      <c r="R971" s="132">
        <v>72549152</v>
      </c>
    </row>
    <row r="972" spans="1:26" ht="9" customHeight="1" x14ac:dyDescent="0.2">
      <c r="A972" s="95"/>
      <c r="B972" s="95"/>
      <c r="C972" s="44"/>
      <c r="D972" s="45"/>
      <c r="E972" s="96"/>
      <c r="F972" s="96"/>
      <c r="G972" s="96"/>
      <c r="H972" s="96"/>
      <c r="I972" s="96"/>
      <c r="J972" s="54"/>
      <c r="K972" s="96"/>
      <c r="L972" s="96"/>
      <c r="M972" s="39"/>
      <c r="N972" s="96"/>
      <c r="O972" s="96"/>
      <c r="P972" s="96"/>
      <c r="Q972" s="96"/>
      <c r="R972" s="7"/>
      <c r="S972" s="7"/>
      <c r="T972" s="7"/>
      <c r="U972" s="7"/>
      <c r="V972" s="7"/>
      <c r="W972" s="7"/>
      <c r="X972" s="7"/>
      <c r="Y972" s="7"/>
      <c r="Z972" s="7"/>
    </row>
    <row r="973" spans="1:26" ht="9" customHeight="1" x14ac:dyDescent="0.2">
      <c r="A973" s="95"/>
      <c r="B973" s="95"/>
      <c r="C973" s="44"/>
      <c r="D973" s="45"/>
      <c r="E973" s="96"/>
      <c r="F973" s="96"/>
      <c r="G973" s="96"/>
      <c r="H973" s="96"/>
      <c r="I973" s="96"/>
      <c r="J973" s="54"/>
      <c r="K973" s="96"/>
      <c r="L973" s="96"/>
      <c r="M973" s="39"/>
      <c r="N973" s="96"/>
      <c r="O973" s="96"/>
      <c r="P973" s="96"/>
      <c r="Q973" s="96"/>
      <c r="R973" s="7"/>
      <c r="S973" s="7"/>
      <c r="T973" s="7"/>
      <c r="U973" s="7"/>
      <c r="V973" s="7"/>
      <c r="W973" s="7"/>
      <c r="X973" s="7"/>
      <c r="Y973" s="7"/>
      <c r="Z973" s="7"/>
    </row>
    <row r="974" spans="1:26" ht="9" customHeight="1" x14ac:dyDescent="0.2">
      <c r="A974" s="95"/>
      <c r="B974" s="95"/>
      <c r="C974" s="44"/>
      <c r="D974" s="45"/>
      <c r="E974" s="96"/>
      <c r="F974" s="96"/>
      <c r="G974" s="96"/>
      <c r="H974" s="96"/>
      <c r="I974" s="96"/>
      <c r="J974" s="54"/>
      <c r="K974" s="96"/>
      <c r="L974" s="96"/>
      <c r="M974" s="39"/>
      <c r="N974" s="96"/>
      <c r="O974" s="96"/>
      <c r="P974" s="96"/>
      <c r="Q974" s="96"/>
      <c r="R974" s="7"/>
      <c r="S974" s="7"/>
      <c r="T974" s="7"/>
      <c r="U974" s="7"/>
      <c r="V974" s="7"/>
      <c r="W974" s="7"/>
      <c r="X974" s="7"/>
      <c r="Y974" s="7"/>
      <c r="Z974" s="7"/>
    </row>
    <row r="975" spans="1:26" ht="9" customHeight="1" x14ac:dyDescent="0.2">
      <c r="A975" s="95"/>
      <c r="B975" s="95"/>
      <c r="C975" s="44"/>
      <c r="D975" s="45"/>
      <c r="E975" s="96"/>
      <c r="F975" s="96"/>
      <c r="G975" s="96"/>
      <c r="H975" s="96"/>
      <c r="I975" s="96"/>
      <c r="J975" s="54"/>
      <c r="K975" s="96"/>
      <c r="L975" s="96"/>
      <c r="M975" s="39"/>
      <c r="N975" s="96"/>
      <c r="O975" s="96"/>
      <c r="P975" s="96"/>
      <c r="Q975" s="96"/>
      <c r="R975" s="7"/>
      <c r="S975" s="7"/>
      <c r="T975" s="7"/>
      <c r="U975" s="7"/>
      <c r="V975" s="7"/>
      <c r="W975" s="7"/>
      <c r="X975" s="7"/>
      <c r="Y975" s="7"/>
      <c r="Z975" s="7"/>
    </row>
    <row r="976" spans="1:26" ht="9" customHeight="1" x14ac:dyDescent="0.2">
      <c r="A976" s="95"/>
      <c r="B976" s="95"/>
      <c r="C976" s="44"/>
      <c r="D976" s="45"/>
      <c r="E976" s="96"/>
      <c r="F976" s="96"/>
      <c r="G976" s="96"/>
      <c r="H976" s="96"/>
      <c r="I976" s="96"/>
      <c r="J976" s="54"/>
      <c r="K976" s="96"/>
      <c r="L976" s="96"/>
      <c r="M976" s="39"/>
      <c r="N976" s="96"/>
      <c r="O976" s="96"/>
      <c r="P976" s="96"/>
      <c r="Q976" s="96"/>
      <c r="R976" s="7"/>
      <c r="S976" s="7"/>
      <c r="T976" s="7"/>
      <c r="U976" s="7"/>
      <c r="V976" s="7"/>
      <c r="W976" s="7"/>
      <c r="X976" s="7"/>
      <c r="Y976" s="7"/>
      <c r="Z976" s="7"/>
    </row>
    <row r="977" spans="1:26" ht="9" customHeight="1" x14ac:dyDescent="0.2">
      <c r="A977" s="95"/>
      <c r="B977" s="95"/>
      <c r="C977" s="44"/>
      <c r="D977" s="45"/>
      <c r="E977" s="96"/>
      <c r="F977" s="96"/>
      <c r="G977" s="96"/>
      <c r="H977" s="96"/>
      <c r="I977" s="96"/>
      <c r="J977" s="54"/>
      <c r="K977" s="96"/>
      <c r="L977" s="96"/>
      <c r="M977" s="39"/>
      <c r="N977" s="96"/>
      <c r="O977" s="96"/>
      <c r="P977" s="96"/>
      <c r="Q977" s="96"/>
      <c r="R977" s="7"/>
      <c r="S977" s="7"/>
      <c r="T977" s="7"/>
      <c r="U977" s="7"/>
      <c r="V977" s="7"/>
      <c r="W977" s="7"/>
      <c r="X977" s="7"/>
      <c r="Y977" s="7"/>
      <c r="Z977" s="7"/>
    </row>
    <row r="978" spans="1:26" ht="9" customHeight="1" x14ac:dyDescent="0.2">
      <c r="A978" s="95"/>
      <c r="B978" s="95"/>
      <c r="C978" s="44"/>
      <c r="D978" s="45"/>
      <c r="E978" s="96"/>
      <c r="F978" s="96"/>
      <c r="G978" s="96"/>
      <c r="H978" s="96"/>
      <c r="I978" s="96"/>
      <c r="J978" s="54"/>
      <c r="K978" s="96"/>
      <c r="L978" s="96"/>
      <c r="M978" s="39"/>
      <c r="N978" s="96"/>
      <c r="O978" s="96"/>
      <c r="P978" s="96"/>
      <c r="Q978" s="96"/>
      <c r="R978" s="7"/>
      <c r="S978" s="7"/>
      <c r="T978" s="7"/>
      <c r="U978" s="7"/>
      <c r="V978" s="7"/>
      <c r="W978" s="7"/>
      <c r="X978" s="7"/>
      <c r="Y978" s="7"/>
      <c r="Z978" s="7"/>
    </row>
    <row r="979" spans="1:26" ht="9" customHeight="1" x14ac:dyDescent="0.2">
      <c r="A979" s="95"/>
      <c r="B979" s="95"/>
      <c r="C979" s="44"/>
      <c r="D979" s="45"/>
      <c r="E979" s="96"/>
      <c r="F979" s="96"/>
      <c r="G979" s="96"/>
      <c r="H979" s="96"/>
      <c r="I979" s="96"/>
      <c r="J979" s="54"/>
      <c r="K979" s="96"/>
      <c r="L979" s="96"/>
      <c r="M979" s="39"/>
      <c r="N979" s="96"/>
      <c r="O979" s="96"/>
      <c r="P979" s="96"/>
      <c r="Q979" s="96"/>
      <c r="R979" s="7"/>
      <c r="S979" s="7"/>
      <c r="T979" s="7"/>
      <c r="U979" s="7"/>
      <c r="V979" s="7"/>
      <c r="W979" s="7"/>
      <c r="X979" s="7"/>
      <c r="Y979" s="7"/>
      <c r="Z979" s="7"/>
    </row>
    <row r="980" spans="1:26" s="75" customFormat="1" ht="12.75" customHeight="1" x14ac:dyDescent="0.2">
      <c r="A980" s="158">
        <v>43831</v>
      </c>
      <c r="B980" s="158">
        <v>44196</v>
      </c>
      <c r="C980" s="125" t="s">
        <v>36</v>
      </c>
      <c r="D980" s="126">
        <v>0</v>
      </c>
      <c r="E980" s="127">
        <v>15764.09</v>
      </c>
      <c r="F980" s="127">
        <v>0</v>
      </c>
      <c r="G980" s="127"/>
      <c r="H980" s="127">
        <v>6459.63</v>
      </c>
      <c r="I980" s="127"/>
      <c r="J980" s="127">
        <v>1833.63</v>
      </c>
      <c r="K980" s="127">
        <v>22003.57</v>
      </c>
      <c r="L980" s="128">
        <v>23837.200000000001</v>
      </c>
      <c r="M980" s="129"/>
      <c r="N980" s="127">
        <v>22003.57</v>
      </c>
      <c r="O980" s="127">
        <v>15543.94</v>
      </c>
      <c r="P980" s="127">
        <v>2094</v>
      </c>
      <c r="Q980" s="127">
        <v>26635.11</v>
      </c>
      <c r="R980" s="127">
        <v>24801.48</v>
      </c>
    </row>
    <row r="981" spans="1:26" s="75" customFormat="1" ht="9" customHeight="1" x14ac:dyDescent="0.2">
      <c r="A981" s="159"/>
      <c r="B981" s="159"/>
      <c r="C981" s="130" t="s">
        <v>37</v>
      </c>
      <c r="D981" s="131">
        <v>8</v>
      </c>
      <c r="E981" s="132">
        <v>29801015</v>
      </c>
      <c r="F981" s="133">
        <v>0</v>
      </c>
      <c r="G981" s="133"/>
      <c r="H981" s="132">
        <v>12507588</v>
      </c>
      <c r="I981" s="132"/>
      <c r="J981" s="134">
        <v>3550403</v>
      </c>
      <c r="K981" s="134">
        <v>42604852</v>
      </c>
      <c r="L981" s="132">
        <v>46155255</v>
      </c>
      <c r="M981" s="135"/>
      <c r="N981" s="133">
        <v>42604852</v>
      </c>
      <c r="O981" s="133">
        <v>30097265</v>
      </c>
      <c r="P981" s="133">
        <v>4054549</v>
      </c>
      <c r="Q981" s="133">
        <v>51572764</v>
      </c>
      <c r="R981" s="132">
        <v>48022362</v>
      </c>
    </row>
    <row r="982" spans="1:26" s="75" customFormat="1" ht="12.75" customHeight="1" x14ac:dyDescent="0.2">
      <c r="A982" s="151">
        <f>A980</f>
        <v>43831</v>
      </c>
      <c r="B982" s="151">
        <f>B980</f>
        <v>44196</v>
      </c>
      <c r="C982" s="136" t="s">
        <v>36</v>
      </c>
      <c r="D982" s="137">
        <v>9</v>
      </c>
      <c r="E982" s="127">
        <v>18376.02</v>
      </c>
      <c r="F982" s="127">
        <v>0</v>
      </c>
      <c r="G982" s="127"/>
      <c r="H982" s="127">
        <v>6459.63</v>
      </c>
      <c r="I982" s="127"/>
      <c r="J982" s="127">
        <v>2049.08</v>
      </c>
      <c r="K982" s="127">
        <v>16918.52</v>
      </c>
      <c r="L982" s="128">
        <v>18967.599999999999</v>
      </c>
      <c r="M982" s="129"/>
      <c r="N982" s="127">
        <v>24588.91</v>
      </c>
      <c r="O982" s="127">
        <v>18129.28</v>
      </c>
      <c r="P982" s="127">
        <v>2094</v>
      </c>
      <c r="Q982" s="127">
        <v>29901.26</v>
      </c>
      <c r="R982" s="127">
        <v>27852.18</v>
      </c>
    </row>
    <row r="983" spans="1:26" s="75" customFormat="1" ht="9" customHeight="1" x14ac:dyDescent="0.2">
      <c r="A983" s="151"/>
      <c r="B983" s="151"/>
      <c r="C983" s="130" t="s">
        <v>37</v>
      </c>
      <c r="D983" s="131">
        <v>14</v>
      </c>
      <c r="E983" s="132">
        <v>29801015</v>
      </c>
      <c r="F983" s="133">
        <v>0</v>
      </c>
      <c r="G983" s="133"/>
      <c r="H983" s="132">
        <v>12507588</v>
      </c>
      <c r="I983" s="132"/>
      <c r="J983" s="134">
        <v>3967572</v>
      </c>
      <c r="K983" s="132">
        <v>32758823</v>
      </c>
      <c r="L983" s="132">
        <v>36726395</v>
      </c>
      <c r="M983" s="135"/>
      <c r="N983" s="133">
        <v>47610769</v>
      </c>
      <c r="O983" s="133">
        <v>35103181</v>
      </c>
      <c r="P983" s="133">
        <v>4054549</v>
      </c>
      <c r="Q983" s="133">
        <v>57896913</v>
      </c>
      <c r="R983" s="132">
        <v>53929341</v>
      </c>
    </row>
    <row r="984" spans="1:26" s="75" customFormat="1" ht="12.75" customHeight="1" x14ac:dyDescent="0.2">
      <c r="A984" s="151"/>
      <c r="B984" s="151"/>
      <c r="C984" s="136" t="s">
        <v>36</v>
      </c>
      <c r="D984" s="137">
        <v>15</v>
      </c>
      <c r="E984" s="127">
        <v>20664.96</v>
      </c>
      <c r="F984" s="127">
        <v>0</v>
      </c>
      <c r="G984" s="127"/>
      <c r="H984" s="127">
        <v>6459.63</v>
      </c>
      <c r="I984" s="127"/>
      <c r="J984" s="127">
        <v>2237.9499999999998</v>
      </c>
      <c r="K984" s="127">
        <v>17933.73</v>
      </c>
      <c r="L984" s="128">
        <v>20171.68</v>
      </c>
      <c r="M984" s="129"/>
      <c r="N984" s="127">
        <v>26855.34</v>
      </c>
      <c r="O984" s="127">
        <v>20395.71</v>
      </c>
      <c r="P984" s="127">
        <v>2577.6</v>
      </c>
      <c r="Q984" s="127">
        <v>32764.52</v>
      </c>
      <c r="R984" s="127">
        <v>30526.57</v>
      </c>
    </row>
    <row r="985" spans="1:26" s="75" customFormat="1" ht="9" customHeight="1" x14ac:dyDescent="0.2">
      <c r="A985" s="151"/>
      <c r="B985" s="151"/>
      <c r="C985" s="130" t="s">
        <v>37</v>
      </c>
      <c r="D985" s="131">
        <v>20</v>
      </c>
      <c r="E985" s="132">
        <v>29801015</v>
      </c>
      <c r="F985" s="133">
        <v>0</v>
      </c>
      <c r="G985" s="133"/>
      <c r="H985" s="132">
        <v>12507588</v>
      </c>
      <c r="I985" s="132"/>
      <c r="J985" s="134">
        <v>4333275</v>
      </c>
      <c r="K985" s="132">
        <v>34724543</v>
      </c>
      <c r="L985" s="132">
        <v>39057819</v>
      </c>
      <c r="M985" s="135"/>
      <c r="N985" s="133">
        <v>51999189</v>
      </c>
      <c r="O985" s="133">
        <v>39491601</v>
      </c>
      <c r="P985" s="133">
        <v>4990930</v>
      </c>
      <c r="Q985" s="133">
        <v>63440957</v>
      </c>
      <c r="R985" s="132">
        <v>59107682</v>
      </c>
    </row>
    <row r="986" spans="1:26" s="75" customFormat="1" ht="12.75" customHeight="1" x14ac:dyDescent="0.2">
      <c r="A986" s="151"/>
      <c r="B986" s="151"/>
      <c r="C986" s="136" t="s">
        <v>36</v>
      </c>
      <c r="D986" s="137">
        <v>21</v>
      </c>
      <c r="E986" s="127">
        <v>22889.739999999998</v>
      </c>
      <c r="F986" s="127">
        <v>0</v>
      </c>
      <c r="G986" s="127"/>
      <c r="H986" s="127">
        <v>6459.63</v>
      </c>
      <c r="I986" s="127"/>
      <c r="J986" s="127">
        <v>2421.5100000000002</v>
      </c>
      <c r="K986" s="127">
        <v>18921.79</v>
      </c>
      <c r="L986" s="128">
        <v>21343.3</v>
      </c>
      <c r="M986" s="129"/>
      <c r="N986" s="127">
        <v>29058.09</v>
      </c>
      <c r="O986" s="127">
        <v>22598.46</v>
      </c>
      <c r="P986" s="127">
        <v>2577.6</v>
      </c>
      <c r="Q986" s="127">
        <v>35547.32</v>
      </c>
      <c r="R986" s="127">
        <v>33125.81</v>
      </c>
    </row>
    <row r="987" spans="1:26" s="75" customFormat="1" ht="9" customHeight="1" x14ac:dyDescent="0.2">
      <c r="A987" s="151"/>
      <c r="B987" s="151"/>
      <c r="C987" s="130" t="s">
        <v>37</v>
      </c>
      <c r="D987" s="131">
        <v>27</v>
      </c>
      <c r="E987" s="132">
        <v>29801015</v>
      </c>
      <c r="F987" s="133">
        <v>0</v>
      </c>
      <c r="G987" s="133"/>
      <c r="H987" s="132">
        <v>12507588</v>
      </c>
      <c r="I987" s="132"/>
      <c r="J987" s="134">
        <v>4688697</v>
      </c>
      <c r="K987" s="132">
        <v>36637694</v>
      </c>
      <c r="L987" s="132">
        <v>41326391</v>
      </c>
      <c r="M987" s="135"/>
      <c r="N987" s="133">
        <v>56264308</v>
      </c>
      <c r="O987" s="133">
        <v>43756720</v>
      </c>
      <c r="P987" s="133">
        <v>4990930</v>
      </c>
      <c r="Q987" s="133">
        <v>68829209</v>
      </c>
      <c r="R987" s="132">
        <v>64140512</v>
      </c>
    </row>
    <row r="988" spans="1:26" s="75" customFormat="1" ht="12.75" customHeight="1" x14ac:dyDescent="0.2">
      <c r="A988" s="151"/>
      <c r="B988" s="151"/>
      <c r="C988" s="136" t="s">
        <v>36</v>
      </c>
      <c r="D988" s="137">
        <v>28</v>
      </c>
      <c r="E988" s="127">
        <v>25074.12</v>
      </c>
      <c r="F988" s="127">
        <v>0</v>
      </c>
      <c r="G988" s="127"/>
      <c r="H988" s="127">
        <v>6459.63</v>
      </c>
      <c r="I988" s="127"/>
      <c r="J988" s="127">
        <v>2601.71</v>
      </c>
      <c r="K988" s="127">
        <v>19673.080000000002</v>
      </c>
      <c r="L988" s="128">
        <v>22274.79</v>
      </c>
      <c r="M988" s="129"/>
      <c r="N988" s="127">
        <v>31220.46</v>
      </c>
      <c r="O988" s="127">
        <v>24760.83</v>
      </c>
      <c r="P988" s="127">
        <v>3278.4</v>
      </c>
      <c r="Q988" s="127">
        <v>38279.120000000003</v>
      </c>
      <c r="R988" s="127">
        <v>35677.410000000003</v>
      </c>
    </row>
    <row r="989" spans="1:26" s="75" customFormat="1" ht="9" customHeight="1" x14ac:dyDescent="0.2">
      <c r="A989" s="151"/>
      <c r="B989" s="151"/>
      <c r="C989" s="130" t="s">
        <v>37</v>
      </c>
      <c r="D989" s="131">
        <v>34</v>
      </c>
      <c r="E989" s="132">
        <v>29801015</v>
      </c>
      <c r="F989" s="133">
        <v>0</v>
      </c>
      <c r="G989" s="133"/>
      <c r="H989" s="132">
        <v>12507588</v>
      </c>
      <c r="I989" s="132"/>
      <c r="J989" s="134">
        <v>5037613</v>
      </c>
      <c r="K989" s="132">
        <v>38092395</v>
      </c>
      <c r="L989" s="132">
        <v>43130008</v>
      </c>
      <c r="M989" s="135"/>
      <c r="N989" s="133">
        <v>60451240</v>
      </c>
      <c r="O989" s="133">
        <v>47943652</v>
      </c>
      <c r="P989" s="133">
        <v>6347868</v>
      </c>
      <c r="Q989" s="133">
        <v>74118712</v>
      </c>
      <c r="R989" s="132">
        <v>69081099</v>
      </c>
    </row>
    <row r="990" spans="1:26" s="75" customFormat="1" ht="12.75" customHeight="1" x14ac:dyDescent="0.2">
      <c r="A990" s="151"/>
      <c r="B990" s="151"/>
      <c r="C990" s="136" t="s">
        <v>36</v>
      </c>
      <c r="D990" s="137">
        <v>35</v>
      </c>
      <c r="E990" s="127">
        <v>26699.74</v>
      </c>
      <c r="F990" s="127">
        <v>0</v>
      </c>
      <c r="G990" s="127"/>
      <c r="H990" s="127">
        <v>6459.63</v>
      </c>
      <c r="I990" s="127"/>
      <c r="J990" s="127">
        <v>2735.81</v>
      </c>
      <c r="K990" s="127">
        <v>20206.89</v>
      </c>
      <c r="L990" s="128">
        <v>22942.7</v>
      </c>
      <c r="M990" s="129"/>
      <c r="N990" s="127">
        <v>32829.660000000003</v>
      </c>
      <c r="O990" s="127">
        <v>26370.03</v>
      </c>
      <c r="P990" s="127">
        <v>3278.4</v>
      </c>
      <c r="Q990" s="127">
        <v>40312.080000000002</v>
      </c>
      <c r="R990" s="127">
        <v>37576.269999999997</v>
      </c>
    </row>
    <row r="991" spans="1:26" s="75" customFormat="1" ht="9" customHeight="1" x14ac:dyDescent="0.2">
      <c r="A991" s="161"/>
      <c r="B991" s="161"/>
      <c r="C991" s="138" t="s">
        <v>37</v>
      </c>
      <c r="D991" s="139"/>
      <c r="E991" s="132">
        <v>29801015</v>
      </c>
      <c r="F991" s="132">
        <v>0</v>
      </c>
      <c r="G991" s="132"/>
      <c r="H991" s="132">
        <v>12507588</v>
      </c>
      <c r="I991" s="132"/>
      <c r="J991" s="132">
        <v>5297267</v>
      </c>
      <c r="K991" s="132">
        <v>39125995</v>
      </c>
      <c r="L991" s="132">
        <v>44423262</v>
      </c>
      <c r="M991" s="135"/>
      <c r="N991" s="132">
        <v>63567086</v>
      </c>
      <c r="O991" s="132">
        <v>51059498</v>
      </c>
      <c r="P991" s="132">
        <v>6347868</v>
      </c>
      <c r="Q991" s="132">
        <v>78055071</v>
      </c>
      <c r="R991" s="132">
        <v>72757804</v>
      </c>
    </row>
    <row r="992" spans="1:26" ht="9" customHeight="1" x14ac:dyDescent="0.2">
      <c r="A992" s="95"/>
      <c r="B992" s="95"/>
      <c r="C992" s="44"/>
      <c r="D992" s="45"/>
      <c r="E992" s="96"/>
      <c r="F992" s="96"/>
      <c r="G992" s="96"/>
      <c r="H992" s="96"/>
      <c r="I992" s="96"/>
      <c r="J992" s="54"/>
      <c r="K992" s="96"/>
      <c r="L992" s="96"/>
      <c r="M992" s="39"/>
      <c r="N992" s="96"/>
      <c r="O992" s="96"/>
      <c r="P992" s="96"/>
      <c r="Q992" s="96"/>
      <c r="R992" s="7"/>
      <c r="S992" s="7"/>
      <c r="T992" s="7"/>
      <c r="U992" s="7"/>
      <c r="V992" s="7"/>
      <c r="W992" s="7"/>
      <c r="X992" s="7"/>
      <c r="Y992" s="7"/>
      <c r="Z992" s="7"/>
    </row>
    <row r="993" spans="1:26" ht="9" customHeight="1" x14ac:dyDescent="0.2">
      <c r="A993" s="95"/>
      <c r="B993" s="95"/>
      <c r="C993" s="44"/>
      <c r="D993" s="45"/>
      <c r="E993" s="96"/>
      <c r="F993" s="96"/>
      <c r="G993" s="96"/>
      <c r="H993" s="96"/>
      <c r="I993" s="96"/>
      <c r="J993" s="54"/>
      <c r="K993" s="96"/>
      <c r="L993" s="96"/>
      <c r="M993" s="39"/>
      <c r="N993" s="96"/>
      <c r="O993" s="96"/>
      <c r="P993" s="96"/>
      <c r="Q993" s="96"/>
      <c r="R993" s="7"/>
      <c r="S993" s="7"/>
      <c r="T993" s="7"/>
      <c r="U993" s="7"/>
      <c r="V993" s="7"/>
      <c r="W993" s="7"/>
      <c r="X993" s="7"/>
      <c r="Y993" s="7"/>
      <c r="Z993" s="7"/>
    </row>
    <row r="994" spans="1:26" ht="9" customHeight="1" x14ac:dyDescent="0.2">
      <c r="A994" s="95"/>
      <c r="B994" s="95"/>
      <c r="C994" s="44"/>
      <c r="D994" s="45"/>
      <c r="E994" s="96"/>
      <c r="F994" s="96"/>
      <c r="G994" s="96"/>
      <c r="H994" s="96"/>
      <c r="I994" s="96"/>
      <c r="J994" s="54"/>
      <c r="K994" s="96"/>
      <c r="L994" s="96"/>
      <c r="M994" s="39"/>
      <c r="N994" s="96"/>
      <c r="O994" s="96"/>
      <c r="P994" s="96"/>
      <c r="Q994" s="96"/>
      <c r="R994" s="7"/>
      <c r="S994" s="7"/>
      <c r="T994" s="7"/>
      <c r="U994" s="7"/>
      <c r="V994" s="7"/>
      <c r="W994" s="7"/>
      <c r="X994" s="7"/>
      <c r="Y994" s="7"/>
      <c r="Z994" s="7"/>
    </row>
    <row r="995" spans="1:26" ht="9" customHeight="1" x14ac:dyDescent="0.2">
      <c r="A995" s="95"/>
      <c r="B995" s="95"/>
      <c r="C995" s="44"/>
      <c r="D995" s="45"/>
      <c r="E995" s="96"/>
      <c r="F995" s="96"/>
      <c r="G995" s="96"/>
      <c r="H995" s="96"/>
      <c r="I995" s="96"/>
      <c r="J995" s="54"/>
      <c r="K995" s="96"/>
      <c r="L995" s="96"/>
      <c r="M995" s="39"/>
      <c r="N995" s="96"/>
      <c r="O995" s="96"/>
      <c r="P995" s="96"/>
      <c r="Q995" s="96"/>
      <c r="R995" s="7"/>
      <c r="S995" s="7"/>
      <c r="T995" s="7"/>
      <c r="U995" s="7"/>
      <c r="V995" s="7"/>
      <c r="W995" s="7"/>
      <c r="X995" s="7"/>
      <c r="Y995" s="7"/>
      <c r="Z995" s="7"/>
    </row>
    <row r="996" spans="1:26" ht="9" customHeight="1" x14ac:dyDescent="0.2">
      <c r="A996" s="95"/>
      <c r="B996" s="95"/>
      <c r="C996" s="44"/>
      <c r="D996" s="45"/>
      <c r="E996" s="96"/>
      <c r="F996" s="96"/>
      <c r="G996" s="96"/>
      <c r="H996" s="96"/>
      <c r="I996" s="96"/>
      <c r="J996" s="54"/>
      <c r="K996" s="96"/>
      <c r="L996" s="96"/>
      <c r="M996" s="39"/>
      <c r="N996" s="96"/>
      <c r="O996" s="96"/>
      <c r="P996" s="96"/>
      <c r="Q996" s="96"/>
      <c r="R996" s="7"/>
      <c r="S996" s="7"/>
      <c r="T996" s="7"/>
      <c r="U996" s="7"/>
      <c r="V996" s="7"/>
      <c r="W996" s="7"/>
      <c r="X996" s="7"/>
      <c r="Y996" s="7"/>
      <c r="Z996" s="7"/>
    </row>
    <row r="997" spans="1:26" ht="9" customHeight="1" x14ac:dyDescent="0.2">
      <c r="A997" s="95"/>
      <c r="B997" s="95"/>
      <c r="C997" s="44"/>
      <c r="D997" s="45"/>
      <c r="E997" s="96"/>
      <c r="F997" s="96"/>
      <c r="G997" s="96"/>
      <c r="H997" s="96"/>
      <c r="I997" s="96"/>
      <c r="J997" s="54"/>
      <c r="K997" s="96"/>
      <c r="L997" s="96"/>
      <c r="M997" s="39"/>
      <c r="N997" s="96"/>
      <c r="O997" s="96"/>
      <c r="P997" s="96"/>
      <c r="Q997" s="96"/>
      <c r="R997" s="7"/>
      <c r="S997" s="7"/>
      <c r="T997" s="7"/>
      <c r="U997" s="7"/>
      <c r="V997" s="7"/>
      <c r="W997" s="7"/>
      <c r="X997" s="7"/>
      <c r="Y997" s="7"/>
      <c r="Z997" s="7"/>
    </row>
    <row r="998" spans="1:26" ht="9" customHeight="1" x14ac:dyDescent="0.2">
      <c r="A998" s="95"/>
      <c r="B998" s="95"/>
      <c r="C998" s="44"/>
      <c r="D998" s="45"/>
      <c r="E998" s="96"/>
      <c r="F998" s="96"/>
      <c r="G998" s="96"/>
      <c r="H998" s="96"/>
      <c r="I998" s="96"/>
      <c r="J998" s="54"/>
      <c r="K998" s="96"/>
      <c r="L998" s="96"/>
      <c r="M998" s="39"/>
      <c r="N998" s="96"/>
      <c r="O998" s="96"/>
      <c r="P998" s="96"/>
      <c r="Q998" s="96"/>
      <c r="R998" s="7"/>
      <c r="S998" s="7"/>
      <c r="T998" s="7"/>
      <c r="U998" s="7"/>
      <c r="V998" s="7"/>
      <c r="W998" s="7"/>
      <c r="X998" s="7"/>
      <c r="Y998" s="7"/>
      <c r="Z998" s="7"/>
    </row>
    <row r="999" spans="1:26" ht="9" customHeight="1" x14ac:dyDescent="0.2">
      <c r="A999" s="95"/>
      <c r="B999" s="95"/>
      <c r="C999" s="44"/>
      <c r="D999" s="45"/>
      <c r="E999" s="96"/>
      <c r="F999" s="96"/>
      <c r="G999" s="96"/>
      <c r="H999" s="96"/>
      <c r="I999" s="96"/>
      <c r="J999" s="54"/>
      <c r="K999" s="96"/>
      <c r="L999" s="96"/>
      <c r="M999" s="39"/>
      <c r="N999" s="96"/>
      <c r="O999" s="96"/>
      <c r="P999" s="96"/>
      <c r="Q999" s="96"/>
      <c r="R999" s="7"/>
      <c r="S999" s="7"/>
      <c r="T999" s="7"/>
      <c r="U999" s="7"/>
      <c r="V999" s="7"/>
      <c r="W999" s="7"/>
      <c r="X999" s="7"/>
      <c r="Y999" s="7"/>
      <c r="Z999" s="7"/>
    </row>
    <row r="1000" spans="1:26" s="75" customFormat="1" ht="12.75" customHeight="1" x14ac:dyDescent="0.2">
      <c r="A1000" s="158">
        <v>44197</v>
      </c>
      <c r="B1000" s="158">
        <v>44561</v>
      </c>
      <c r="C1000" s="125" t="s">
        <v>36</v>
      </c>
      <c r="D1000" s="126">
        <v>0</v>
      </c>
      <c r="E1000" s="127">
        <v>16218.89</v>
      </c>
      <c r="F1000" s="127">
        <v>0</v>
      </c>
      <c r="G1000" s="127"/>
      <c r="H1000" s="127">
        <v>6459.63</v>
      </c>
      <c r="I1000" s="127"/>
      <c r="J1000" s="127">
        <v>1833.63</v>
      </c>
      <c r="K1000" s="127">
        <v>22003.57</v>
      </c>
      <c r="L1000" s="128">
        <v>23837.200000000001</v>
      </c>
      <c r="M1000" s="129"/>
      <c r="N1000" s="127">
        <v>22003.57</v>
      </c>
      <c r="O1000" s="127">
        <v>15543.94</v>
      </c>
      <c r="P1000" s="127">
        <v>2094</v>
      </c>
      <c r="Q1000" s="127">
        <v>26635.11</v>
      </c>
      <c r="R1000" s="127">
        <v>24801.48</v>
      </c>
    </row>
    <row r="1001" spans="1:26" s="75" customFormat="1" ht="9" customHeight="1" x14ac:dyDescent="0.2">
      <c r="A1001" s="159"/>
      <c r="B1001" s="159"/>
      <c r="C1001" s="130" t="s">
        <v>37</v>
      </c>
      <c r="D1001" s="131">
        <v>8</v>
      </c>
      <c r="E1001" s="132">
        <v>29801015</v>
      </c>
      <c r="F1001" s="133">
        <v>0</v>
      </c>
      <c r="G1001" s="133"/>
      <c r="H1001" s="132">
        <v>12507588</v>
      </c>
      <c r="I1001" s="132"/>
      <c r="J1001" s="134">
        <v>3550403</v>
      </c>
      <c r="K1001" s="134">
        <v>42604852</v>
      </c>
      <c r="L1001" s="132">
        <v>46155255</v>
      </c>
      <c r="M1001" s="135"/>
      <c r="N1001" s="133">
        <v>42604852</v>
      </c>
      <c r="O1001" s="133">
        <v>30097265</v>
      </c>
      <c r="P1001" s="133">
        <v>4054549</v>
      </c>
      <c r="Q1001" s="133">
        <v>51572764</v>
      </c>
      <c r="R1001" s="132">
        <v>48022362</v>
      </c>
    </row>
    <row r="1002" spans="1:26" s="75" customFormat="1" ht="12.75" customHeight="1" x14ac:dyDescent="0.2">
      <c r="A1002" s="151">
        <f>A1000</f>
        <v>44197</v>
      </c>
      <c r="B1002" s="151">
        <f>B1000</f>
        <v>44561</v>
      </c>
      <c r="C1002" s="136" t="s">
        <v>36</v>
      </c>
      <c r="D1002" s="137">
        <v>9</v>
      </c>
      <c r="E1002" s="127">
        <v>18882.419999999998</v>
      </c>
      <c r="F1002" s="127">
        <v>0</v>
      </c>
      <c r="G1002" s="127"/>
      <c r="H1002" s="127">
        <v>6459.63</v>
      </c>
      <c r="I1002" s="127"/>
      <c r="J1002" s="127">
        <v>2049.08</v>
      </c>
      <c r="K1002" s="127">
        <v>16918.52</v>
      </c>
      <c r="L1002" s="128">
        <v>18967.599999999999</v>
      </c>
      <c r="M1002" s="129"/>
      <c r="N1002" s="127">
        <v>24588.91</v>
      </c>
      <c r="O1002" s="127">
        <v>18129.28</v>
      </c>
      <c r="P1002" s="127">
        <v>2094</v>
      </c>
      <c r="Q1002" s="127">
        <v>29901.26</v>
      </c>
      <c r="R1002" s="127">
        <v>27852.18</v>
      </c>
    </row>
    <row r="1003" spans="1:26" s="75" customFormat="1" ht="9" customHeight="1" x14ac:dyDescent="0.2">
      <c r="A1003" s="151"/>
      <c r="B1003" s="151"/>
      <c r="C1003" s="130" t="s">
        <v>37</v>
      </c>
      <c r="D1003" s="131">
        <v>14</v>
      </c>
      <c r="E1003" s="132">
        <v>29801015</v>
      </c>
      <c r="F1003" s="133">
        <v>0</v>
      </c>
      <c r="G1003" s="133"/>
      <c r="H1003" s="132">
        <v>12507588</v>
      </c>
      <c r="I1003" s="132"/>
      <c r="J1003" s="134">
        <v>3967572</v>
      </c>
      <c r="K1003" s="132">
        <v>32758823</v>
      </c>
      <c r="L1003" s="132">
        <v>36726395</v>
      </c>
      <c r="M1003" s="135"/>
      <c r="N1003" s="133">
        <v>47610769</v>
      </c>
      <c r="O1003" s="133">
        <v>35103181</v>
      </c>
      <c r="P1003" s="133">
        <v>4054549</v>
      </c>
      <c r="Q1003" s="133">
        <v>57896913</v>
      </c>
      <c r="R1003" s="132">
        <v>53929341</v>
      </c>
    </row>
    <row r="1004" spans="1:26" s="75" customFormat="1" ht="12.75" customHeight="1" x14ac:dyDescent="0.2">
      <c r="A1004" s="151"/>
      <c r="B1004" s="151"/>
      <c r="C1004" s="136" t="s">
        <v>36</v>
      </c>
      <c r="D1004" s="137">
        <v>15</v>
      </c>
      <c r="E1004" s="127">
        <v>21216.959999999999</v>
      </c>
      <c r="F1004" s="127">
        <v>0</v>
      </c>
      <c r="G1004" s="127"/>
      <c r="H1004" s="127">
        <v>6459.63</v>
      </c>
      <c r="I1004" s="127"/>
      <c r="J1004" s="127">
        <v>2237.9499999999998</v>
      </c>
      <c r="K1004" s="127">
        <v>17933.73</v>
      </c>
      <c r="L1004" s="128">
        <v>20171.68</v>
      </c>
      <c r="M1004" s="129"/>
      <c r="N1004" s="127">
        <v>26855.34</v>
      </c>
      <c r="O1004" s="127">
        <v>20395.71</v>
      </c>
      <c r="P1004" s="127">
        <v>2577.6</v>
      </c>
      <c r="Q1004" s="127">
        <v>32764.52</v>
      </c>
      <c r="R1004" s="127">
        <v>30526.57</v>
      </c>
    </row>
    <row r="1005" spans="1:26" s="75" customFormat="1" ht="9" customHeight="1" x14ac:dyDescent="0.2">
      <c r="A1005" s="151"/>
      <c r="B1005" s="151"/>
      <c r="C1005" s="130" t="s">
        <v>37</v>
      </c>
      <c r="D1005" s="131">
        <v>20</v>
      </c>
      <c r="E1005" s="132">
        <v>29801015</v>
      </c>
      <c r="F1005" s="133">
        <v>0</v>
      </c>
      <c r="G1005" s="133"/>
      <c r="H1005" s="132">
        <v>12507588</v>
      </c>
      <c r="I1005" s="132"/>
      <c r="J1005" s="134">
        <v>4333275</v>
      </c>
      <c r="K1005" s="132">
        <v>34724543</v>
      </c>
      <c r="L1005" s="132">
        <v>39057819</v>
      </c>
      <c r="M1005" s="135"/>
      <c r="N1005" s="133">
        <v>51999189</v>
      </c>
      <c r="O1005" s="133">
        <v>39491601</v>
      </c>
      <c r="P1005" s="133">
        <v>4990930</v>
      </c>
      <c r="Q1005" s="133">
        <v>63440957</v>
      </c>
      <c r="R1005" s="132">
        <v>59107682</v>
      </c>
    </row>
    <row r="1006" spans="1:26" s="75" customFormat="1" ht="12.75" customHeight="1" x14ac:dyDescent="0.2">
      <c r="A1006" s="151"/>
      <c r="B1006" s="151"/>
      <c r="C1006" s="136" t="s">
        <v>36</v>
      </c>
      <c r="D1006" s="137">
        <v>21</v>
      </c>
      <c r="E1006" s="127">
        <v>23488.539999999997</v>
      </c>
      <c r="F1006" s="127">
        <v>0</v>
      </c>
      <c r="G1006" s="127"/>
      <c r="H1006" s="127">
        <v>6459.63</v>
      </c>
      <c r="I1006" s="127"/>
      <c r="J1006" s="127">
        <v>2421.5100000000002</v>
      </c>
      <c r="K1006" s="127">
        <v>18921.79</v>
      </c>
      <c r="L1006" s="128">
        <v>21343.3</v>
      </c>
      <c r="M1006" s="129"/>
      <c r="N1006" s="127">
        <v>29058.09</v>
      </c>
      <c r="O1006" s="127">
        <v>22598.46</v>
      </c>
      <c r="P1006" s="127">
        <v>2577.6</v>
      </c>
      <c r="Q1006" s="127">
        <v>35547.32</v>
      </c>
      <c r="R1006" s="127">
        <v>33125.81</v>
      </c>
    </row>
    <row r="1007" spans="1:26" s="75" customFormat="1" ht="9" customHeight="1" x14ac:dyDescent="0.2">
      <c r="A1007" s="151"/>
      <c r="B1007" s="151"/>
      <c r="C1007" s="130" t="s">
        <v>37</v>
      </c>
      <c r="D1007" s="131">
        <v>27</v>
      </c>
      <c r="E1007" s="132">
        <v>29801015</v>
      </c>
      <c r="F1007" s="133">
        <v>0</v>
      </c>
      <c r="G1007" s="133"/>
      <c r="H1007" s="132">
        <v>12507588</v>
      </c>
      <c r="I1007" s="132"/>
      <c r="J1007" s="134">
        <v>4688697</v>
      </c>
      <c r="K1007" s="132">
        <v>36637694</v>
      </c>
      <c r="L1007" s="132">
        <v>41326391</v>
      </c>
      <c r="M1007" s="135"/>
      <c r="N1007" s="133">
        <v>56264308</v>
      </c>
      <c r="O1007" s="133">
        <v>43756720</v>
      </c>
      <c r="P1007" s="133">
        <v>4990930</v>
      </c>
      <c r="Q1007" s="133">
        <v>68829209</v>
      </c>
      <c r="R1007" s="132">
        <v>64140512</v>
      </c>
    </row>
    <row r="1008" spans="1:26" s="75" customFormat="1" ht="12.75" customHeight="1" x14ac:dyDescent="0.2">
      <c r="A1008" s="151"/>
      <c r="B1008" s="151"/>
      <c r="C1008" s="136" t="s">
        <v>36</v>
      </c>
      <c r="D1008" s="137">
        <v>28</v>
      </c>
      <c r="E1008" s="127">
        <v>25719.719999999998</v>
      </c>
      <c r="F1008" s="127">
        <v>0</v>
      </c>
      <c r="G1008" s="127"/>
      <c r="H1008" s="127">
        <v>6459.63</v>
      </c>
      <c r="I1008" s="127"/>
      <c r="J1008" s="127">
        <v>2601.71</v>
      </c>
      <c r="K1008" s="127">
        <v>19673.080000000002</v>
      </c>
      <c r="L1008" s="128">
        <v>22274.79</v>
      </c>
      <c r="M1008" s="129"/>
      <c r="N1008" s="127">
        <v>31220.46</v>
      </c>
      <c r="O1008" s="127">
        <v>24760.83</v>
      </c>
      <c r="P1008" s="127">
        <v>3278.4</v>
      </c>
      <c r="Q1008" s="127">
        <v>38279.120000000003</v>
      </c>
      <c r="R1008" s="127">
        <v>35677.410000000003</v>
      </c>
    </row>
    <row r="1009" spans="1:26" s="75" customFormat="1" ht="9" customHeight="1" x14ac:dyDescent="0.2">
      <c r="A1009" s="151"/>
      <c r="B1009" s="151"/>
      <c r="C1009" s="130" t="s">
        <v>37</v>
      </c>
      <c r="D1009" s="131">
        <v>34</v>
      </c>
      <c r="E1009" s="132">
        <v>29801015</v>
      </c>
      <c r="F1009" s="133">
        <v>0</v>
      </c>
      <c r="G1009" s="133"/>
      <c r="H1009" s="132">
        <v>12507588</v>
      </c>
      <c r="I1009" s="132"/>
      <c r="J1009" s="134">
        <v>5037613</v>
      </c>
      <c r="K1009" s="132">
        <v>38092395</v>
      </c>
      <c r="L1009" s="132">
        <v>43130008</v>
      </c>
      <c r="M1009" s="135"/>
      <c r="N1009" s="133">
        <v>60451240</v>
      </c>
      <c r="O1009" s="133">
        <v>47943652</v>
      </c>
      <c r="P1009" s="133">
        <v>6347868</v>
      </c>
      <c r="Q1009" s="133">
        <v>74118712</v>
      </c>
      <c r="R1009" s="132">
        <v>69081099</v>
      </c>
    </row>
    <row r="1010" spans="1:26" s="75" customFormat="1" ht="12.75" customHeight="1" x14ac:dyDescent="0.2">
      <c r="A1010" s="151"/>
      <c r="B1010" s="151"/>
      <c r="C1010" s="136" t="s">
        <v>36</v>
      </c>
      <c r="D1010" s="137">
        <v>35</v>
      </c>
      <c r="E1010" s="127">
        <v>27377.74</v>
      </c>
      <c r="F1010" s="127">
        <v>0</v>
      </c>
      <c r="G1010" s="127"/>
      <c r="H1010" s="127">
        <v>6459.63</v>
      </c>
      <c r="I1010" s="127"/>
      <c r="J1010" s="127">
        <v>2735.81</v>
      </c>
      <c r="K1010" s="127">
        <v>20206.89</v>
      </c>
      <c r="L1010" s="128">
        <v>22942.7</v>
      </c>
      <c r="M1010" s="129"/>
      <c r="N1010" s="127">
        <v>32829.660000000003</v>
      </c>
      <c r="O1010" s="127">
        <v>26370.03</v>
      </c>
      <c r="P1010" s="127">
        <v>3278.4</v>
      </c>
      <c r="Q1010" s="127">
        <v>40312.080000000002</v>
      </c>
      <c r="R1010" s="127">
        <v>37576.269999999997</v>
      </c>
    </row>
    <row r="1011" spans="1:26" s="75" customFormat="1" ht="9" customHeight="1" x14ac:dyDescent="0.2">
      <c r="A1011" s="161"/>
      <c r="B1011" s="161"/>
      <c r="C1011" s="138" t="s">
        <v>37</v>
      </c>
      <c r="D1011" s="139"/>
      <c r="E1011" s="132">
        <v>29801015</v>
      </c>
      <c r="F1011" s="132">
        <v>0</v>
      </c>
      <c r="G1011" s="132"/>
      <c r="H1011" s="132">
        <v>12507588</v>
      </c>
      <c r="I1011" s="132"/>
      <c r="J1011" s="132">
        <v>5297267</v>
      </c>
      <c r="K1011" s="132">
        <v>39125995</v>
      </c>
      <c r="L1011" s="132">
        <v>44423262</v>
      </c>
      <c r="M1011" s="135"/>
      <c r="N1011" s="132">
        <v>63567086</v>
      </c>
      <c r="O1011" s="132">
        <v>51059498</v>
      </c>
      <c r="P1011" s="132">
        <v>6347868</v>
      </c>
      <c r="Q1011" s="132">
        <v>78055071</v>
      </c>
      <c r="R1011" s="132">
        <v>72757804</v>
      </c>
    </row>
    <row r="1012" spans="1:26" ht="9" customHeight="1" x14ac:dyDescent="0.2">
      <c r="A1012" s="95"/>
      <c r="B1012" s="95"/>
      <c r="C1012" s="44"/>
      <c r="D1012" s="45"/>
      <c r="E1012" s="96"/>
      <c r="F1012" s="96"/>
      <c r="G1012" s="96"/>
      <c r="H1012" s="96"/>
      <c r="I1012" s="96"/>
      <c r="J1012" s="54"/>
      <c r="K1012" s="96"/>
      <c r="L1012" s="96"/>
      <c r="M1012" s="39"/>
      <c r="N1012" s="96"/>
      <c r="O1012" s="96"/>
      <c r="P1012" s="96"/>
      <c r="Q1012" s="96"/>
      <c r="R1012" s="7"/>
      <c r="S1012" s="7"/>
      <c r="T1012" s="7"/>
      <c r="U1012" s="7"/>
      <c r="V1012" s="7"/>
      <c r="W1012" s="7"/>
      <c r="X1012" s="7"/>
      <c r="Y1012" s="7"/>
      <c r="Z1012" s="7"/>
    </row>
    <row r="1013" spans="1:26" ht="9" customHeight="1" x14ac:dyDescent="0.2">
      <c r="A1013" s="95"/>
      <c r="B1013" s="95"/>
      <c r="C1013" s="44"/>
      <c r="D1013" s="45"/>
      <c r="E1013" s="96"/>
      <c r="F1013" s="96"/>
      <c r="G1013" s="96"/>
      <c r="H1013" s="96"/>
      <c r="I1013" s="96"/>
      <c r="J1013" s="54"/>
      <c r="K1013" s="96"/>
      <c r="L1013" s="96"/>
      <c r="M1013" s="39"/>
      <c r="N1013" s="96"/>
      <c r="O1013" s="96"/>
      <c r="P1013" s="96"/>
      <c r="Q1013" s="96"/>
      <c r="R1013" s="7"/>
      <c r="S1013" s="7"/>
      <c r="T1013" s="7"/>
      <c r="U1013" s="7"/>
      <c r="V1013" s="7"/>
      <c r="W1013" s="7"/>
      <c r="X1013" s="7"/>
      <c r="Y1013" s="7"/>
      <c r="Z1013" s="7"/>
    </row>
    <row r="1014" spans="1:26" ht="9" customHeight="1" x14ac:dyDescent="0.2">
      <c r="A1014" s="95"/>
      <c r="B1014" s="95"/>
      <c r="C1014" s="44"/>
      <c r="D1014" s="45"/>
      <c r="E1014" s="96"/>
      <c r="F1014" s="96"/>
      <c r="G1014" s="96"/>
      <c r="H1014" s="96"/>
      <c r="I1014" s="96"/>
      <c r="J1014" s="54"/>
      <c r="K1014" s="96"/>
      <c r="L1014" s="96"/>
      <c r="M1014" s="39"/>
      <c r="N1014" s="96"/>
      <c r="O1014" s="96"/>
      <c r="P1014" s="96"/>
      <c r="Q1014" s="96"/>
      <c r="R1014" s="7"/>
      <c r="S1014" s="7"/>
      <c r="T1014" s="7"/>
      <c r="U1014" s="7"/>
      <c r="V1014" s="7"/>
      <c r="W1014" s="7"/>
      <c r="X1014" s="7"/>
      <c r="Y1014" s="7"/>
      <c r="Z1014" s="7"/>
    </row>
    <row r="1015" spans="1:26" ht="9" customHeight="1" x14ac:dyDescent="0.2">
      <c r="A1015" s="95"/>
      <c r="B1015" s="95"/>
      <c r="C1015" s="44"/>
      <c r="D1015" s="45"/>
      <c r="E1015" s="96"/>
      <c r="F1015" s="96"/>
      <c r="G1015" s="96"/>
      <c r="H1015" s="96"/>
      <c r="I1015" s="96"/>
      <c r="J1015" s="54"/>
      <c r="K1015" s="96"/>
      <c r="L1015" s="96"/>
      <c r="M1015" s="39"/>
      <c r="N1015" s="96"/>
      <c r="O1015" s="96"/>
      <c r="P1015" s="96"/>
      <c r="Q1015" s="96"/>
      <c r="R1015" s="7"/>
      <c r="S1015" s="7"/>
      <c r="T1015" s="7"/>
      <c r="U1015" s="7"/>
      <c r="V1015" s="7"/>
      <c r="W1015" s="7"/>
      <c r="X1015" s="7"/>
      <c r="Y1015" s="7"/>
      <c r="Z1015" s="7"/>
    </row>
    <row r="1016" spans="1:26" ht="9" customHeight="1" x14ac:dyDescent="0.2">
      <c r="A1016" s="95"/>
      <c r="B1016" s="95"/>
      <c r="C1016" s="44"/>
      <c r="D1016" s="45"/>
      <c r="E1016" s="96"/>
      <c r="F1016" s="96"/>
      <c r="G1016" s="96"/>
      <c r="H1016" s="96"/>
      <c r="I1016" s="96"/>
      <c r="J1016" s="54"/>
      <c r="K1016" s="96"/>
      <c r="L1016" s="96"/>
      <c r="M1016" s="39"/>
      <c r="N1016" s="96"/>
      <c r="O1016" s="96"/>
      <c r="P1016" s="96"/>
      <c r="Q1016" s="96"/>
      <c r="R1016" s="7"/>
      <c r="S1016" s="7"/>
      <c r="T1016" s="7"/>
      <c r="U1016" s="7"/>
      <c r="V1016" s="7"/>
      <c r="W1016" s="7"/>
      <c r="X1016" s="7"/>
      <c r="Y1016" s="7"/>
      <c r="Z1016" s="7"/>
    </row>
    <row r="1017" spans="1:26" s="181" customFormat="1" ht="9" customHeight="1" x14ac:dyDescent="0.2">
      <c r="A1017" s="174"/>
      <c r="B1017" s="174"/>
      <c r="C1017" s="175"/>
      <c r="D1017" s="176"/>
      <c r="E1017" s="177"/>
      <c r="F1017" s="177"/>
      <c r="G1017" s="177"/>
      <c r="H1017" s="177"/>
      <c r="I1017" s="177"/>
      <c r="J1017" s="178"/>
      <c r="K1017" s="177"/>
      <c r="L1017" s="177"/>
      <c r="M1017" s="179"/>
      <c r="N1017" s="177"/>
      <c r="O1017" s="177"/>
      <c r="P1017" s="177"/>
      <c r="Q1017" s="177"/>
      <c r="R1017" s="180"/>
      <c r="S1017" s="180"/>
      <c r="T1017" s="180"/>
      <c r="U1017" s="180"/>
      <c r="V1017" s="180"/>
      <c r="W1017" s="180"/>
      <c r="X1017" s="180"/>
      <c r="Y1017" s="180"/>
      <c r="Z1017" s="180"/>
    </row>
    <row r="1018" spans="1:26" ht="9" customHeight="1" x14ac:dyDescent="0.2">
      <c r="A1018" s="95"/>
      <c r="B1018" s="95"/>
      <c r="C1018" s="44"/>
      <c r="D1018" s="45"/>
      <c r="E1018" s="96"/>
      <c r="F1018" s="96"/>
      <c r="G1018" s="96"/>
      <c r="H1018" s="96"/>
      <c r="I1018" s="96"/>
      <c r="J1018" s="54"/>
      <c r="K1018" s="96"/>
      <c r="L1018" s="96"/>
      <c r="M1018" s="39"/>
      <c r="N1018" s="96"/>
      <c r="O1018" s="96"/>
      <c r="P1018" s="96"/>
      <c r="Q1018" s="96"/>
      <c r="R1018" s="7"/>
      <c r="S1018" s="7"/>
      <c r="T1018" s="7"/>
      <c r="U1018" s="7"/>
      <c r="V1018" s="7"/>
      <c r="W1018" s="7"/>
      <c r="X1018" s="7"/>
      <c r="Y1018" s="7"/>
      <c r="Z1018" s="7"/>
    </row>
    <row r="1019" spans="1:26" s="181" customFormat="1" ht="9" customHeight="1" x14ac:dyDescent="0.2">
      <c r="A1019" s="174"/>
      <c r="B1019" s="174"/>
      <c r="C1019" s="175"/>
      <c r="D1019" s="176"/>
      <c r="E1019" s="177"/>
      <c r="F1019" s="177"/>
      <c r="G1019" s="177"/>
      <c r="H1019" s="177"/>
      <c r="I1019" s="177"/>
      <c r="J1019" s="178"/>
      <c r="K1019" s="177"/>
      <c r="L1019" s="177"/>
      <c r="M1019" s="179"/>
      <c r="N1019" s="177"/>
      <c r="O1019" s="177"/>
      <c r="P1019" s="177"/>
      <c r="Q1019" s="177"/>
      <c r="R1019" s="180"/>
      <c r="S1019" s="180"/>
      <c r="T1019" s="180"/>
      <c r="U1019" s="180"/>
      <c r="V1019" s="180"/>
      <c r="W1019" s="180"/>
      <c r="X1019" s="180"/>
      <c r="Y1019" s="180"/>
      <c r="Z1019" s="180"/>
    </row>
    <row r="1020" spans="1:26" s="75" customFormat="1" ht="12.75" customHeight="1" x14ac:dyDescent="0.2">
      <c r="A1020" s="158">
        <v>44562</v>
      </c>
      <c r="B1020" s="158">
        <v>44651</v>
      </c>
      <c r="C1020" s="125" t="s">
        <v>36</v>
      </c>
      <c r="D1020" s="126">
        <v>0</v>
      </c>
      <c r="E1020" s="127">
        <v>16218.89</v>
      </c>
      <c r="F1020" s="127">
        <v>0</v>
      </c>
      <c r="G1020" s="127"/>
      <c r="H1020" s="127">
        <v>6459.63</v>
      </c>
      <c r="I1020" s="59"/>
      <c r="J1020" s="127">
        <v>1833.63</v>
      </c>
      <c r="K1020" s="127">
        <v>22003.57</v>
      </c>
      <c r="L1020" s="128">
        <v>23837.200000000001</v>
      </c>
      <c r="M1020" s="129"/>
      <c r="N1020" s="127">
        <v>22003.57</v>
      </c>
      <c r="O1020" s="127">
        <v>15543.94</v>
      </c>
      <c r="P1020" s="127">
        <v>2214</v>
      </c>
      <c r="Q1020" s="127">
        <v>26635.11</v>
      </c>
      <c r="R1020" s="127">
        <v>24801.48</v>
      </c>
      <c r="T1020" s="75">
        <f>10*12</f>
        <v>120</v>
      </c>
      <c r="V1020" s="76">
        <f>P1020+T1020</f>
        <v>2334</v>
      </c>
    </row>
    <row r="1021" spans="1:26" s="75" customFormat="1" ht="9" customHeight="1" x14ac:dyDescent="0.2">
      <c r="A1021" s="159"/>
      <c r="B1021" s="159"/>
      <c r="C1021" s="130" t="s">
        <v>37</v>
      </c>
      <c r="D1021" s="131">
        <v>8</v>
      </c>
      <c r="E1021" s="132">
        <v>29801015</v>
      </c>
      <c r="F1021" s="133">
        <v>0</v>
      </c>
      <c r="G1021" s="133"/>
      <c r="H1021" s="132">
        <v>12507588</v>
      </c>
      <c r="I1021" s="132"/>
      <c r="J1021" s="134">
        <v>3550403</v>
      </c>
      <c r="K1021" s="134">
        <v>42604852</v>
      </c>
      <c r="L1021" s="132">
        <v>46155255</v>
      </c>
      <c r="M1021" s="135"/>
      <c r="N1021" s="133">
        <v>42604852</v>
      </c>
      <c r="O1021" s="133">
        <v>30097265</v>
      </c>
      <c r="P1021" s="133"/>
      <c r="Q1021" s="133">
        <v>51572764</v>
      </c>
      <c r="R1021" s="132">
        <v>48022362</v>
      </c>
      <c r="V1021" s="76"/>
    </row>
    <row r="1022" spans="1:26" s="75" customFormat="1" ht="12.75" customHeight="1" x14ac:dyDescent="0.2">
      <c r="A1022" s="151">
        <f>A1020</f>
        <v>44562</v>
      </c>
      <c r="B1022" s="151">
        <f>B1020</f>
        <v>44651</v>
      </c>
      <c r="C1022" s="136" t="s">
        <v>36</v>
      </c>
      <c r="D1022" s="137">
        <v>9</v>
      </c>
      <c r="E1022" s="127">
        <v>18882.419999999998</v>
      </c>
      <c r="F1022" s="127">
        <v>0</v>
      </c>
      <c r="G1022" s="127"/>
      <c r="H1022" s="127">
        <v>6459.63</v>
      </c>
      <c r="I1022" s="59"/>
      <c r="J1022" s="127">
        <v>2049.08</v>
      </c>
      <c r="K1022" s="127">
        <v>16918.52</v>
      </c>
      <c r="L1022" s="128">
        <v>18967.599999999999</v>
      </c>
      <c r="M1022" s="129"/>
      <c r="N1022" s="127">
        <v>24588.91</v>
      </c>
      <c r="O1022" s="127">
        <v>18129.28</v>
      </c>
      <c r="P1022" s="127">
        <v>2214</v>
      </c>
      <c r="Q1022" s="127">
        <v>29901.26</v>
      </c>
      <c r="R1022" s="127">
        <v>27852.18</v>
      </c>
      <c r="T1022" s="75">
        <f>10*12</f>
        <v>120</v>
      </c>
      <c r="V1022" s="76">
        <f>P1022+T1022</f>
        <v>2334</v>
      </c>
    </row>
    <row r="1023" spans="1:26" s="75" customFormat="1" ht="9" customHeight="1" x14ac:dyDescent="0.2">
      <c r="A1023" s="151"/>
      <c r="B1023" s="151"/>
      <c r="C1023" s="130" t="s">
        <v>37</v>
      </c>
      <c r="D1023" s="131">
        <v>14</v>
      </c>
      <c r="E1023" s="132">
        <v>29801015</v>
      </c>
      <c r="F1023" s="133">
        <v>0</v>
      </c>
      <c r="G1023" s="133"/>
      <c r="H1023" s="132">
        <v>12507588</v>
      </c>
      <c r="I1023" s="132"/>
      <c r="J1023" s="134">
        <v>3967572</v>
      </c>
      <c r="K1023" s="132">
        <v>32758823</v>
      </c>
      <c r="L1023" s="132">
        <v>36726395</v>
      </c>
      <c r="M1023" s="135"/>
      <c r="N1023" s="133">
        <v>47610769</v>
      </c>
      <c r="O1023" s="133">
        <v>35103181</v>
      </c>
      <c r="P1023" s="133"/>
      <c r="Q1023" s="133">
        <v>57896913</v>
      </c>
      <c r="R1023" s="132">
        <v>53929341</v>
      </c>
      <c r="V1023" s="76"/>
    </row>
    <row r="1024" spans="1:26" s="75" customFormat="1" ht="12.75" customHeight="1" x14ac:dyDescent="0.2">
      <c r="A1024" s="151"/>
      <c r="B1024" s="151"/>
      <c r="C1024" s="136" t="s">
        <v>36</v>
      </c>
      <c r="D1024" s="137">
        <v>15</v>
      </c>
      <c r="E1024" s="127">
        <v>21216.959999999999</v>
      </c>
      <c r="F1024" s="127">
        <v>0</v>
      </c>
      <c r="G1024" s="127"/>
      <c r="H1024" s="127">
        <v>6459.63</v>
      </c>
      <c r="I1024" s="59"/>
      <c r="J1024" s="127">
        <v>2237.9499999999998</v>
      </c>
      <c r="K1024" s="127">
        <v>17933.73</v>
      </c>
      <c r="L1024" s="128">
        <v>20171.68</v>
      </c>
      <c r="M1024" s="129"/>
      <c r="N1024" s="127">
        <v>26855.34</v>
      </c>
      <c r="O1024" s="127">
        <v>20395.71</v>
      </c>
      <c r="P1024" s="127">
        <v>2721.6</v>
      </c>
      <c r="Q1024" s="127">
        <v>32764.52</v>
      </c>
      <c r="R1024" s="127">
        <v>30526.57</v>
      </c>
      <c r="T1024" s="75">
        <f>12*12</f>
        <v>144</v>
      </c>
      <c r="V1024" s="76">
        <f>P1024+T1024</f>
        <v>2865.6</v>
      </c>
    </row>
    <row r="1025" spans="1:22" s="75" customFormat="1" ht="9" customHeight="1" x14ac:dyDescent="0.2">
      <c r="A1025" s="151"/>
      <c r="B1025" s="151"/>
      <c r="C1025" s="130" t="s">
        <v>37</v>
      </c>
      <c r="D1025" s="131">
        <v>20</v>
      </c>
      <c r="E1025" s="132">
        <v>29801015</v>
      </c>
      <c r="F1025" s="133">
        <v>0</v>
      </c>
      <c r="G1025" s="133"/>
      <c r="H1025" s="132">
        <v>12507588</v>
      </c>
      <c r="I1025" s="132"/>
      <c r="J1025" s="134">
        <v>4333275</v>
      </c>
      <c r="K1025" s="132">
        <v>34724543</v>
      </c>
      <c r="L1025" s="132">
        <v>39057819</v>
      </c>
      <c r="M1025" s="135"/>
      <c r="N1025" s="133">
        <v>51999189</v>
      </c>
      <c r="O1025" s="133">
        <v>39491601</v>
      </c>
      <c r="P1025" s="133"/>
      <c r="Q1025" s="133">
        <v>63440957</v>
      </c>
      <c r="R1025" s="132">
        <v>59107682</v>
      </c>
      <c r="V1025" s="76"/>
    </row>
    <row r="1026" spans="1:22" s="75" customFormat="1" ht="12.75" customHeight="1" x14ac:dyDescent="0.2">
      <c r="A1026" s="151"/>
      <c r="B1026" s="151"/>
      <c r="C1026" s="136" t="s">
        <v>36</v>
      </c>
      <c r="D1026" s="137">
        <v>21</v>
      </c>
      <c r="E1026" s="127">
        <v>23488.539999999997</v>
      </c>
      <c r="F1026" s="127">
        <v>0</v>
      </c>
      <c r="G1026" s="127"/>
      <c r="H1026" s="127">
        <v>6459.63</v>
      </c>
      <c r="I1026" s="59"/>
      <c r="J1026" s="127">
        <v>2421.5100000000002</v>
      </c>
      <c r="K1026" s="127">
        <v>18921.79</v>
      </c>
      <c r="L1026" s="128">
        <v>21343.3</v>
      </c>
      <c r="M1026" s="129"/>
      <c r="N1026" s="127">
        <v>29058.09</v>
      </c>
      <c r="O1026" s="127">
        <v>22598.46</v>
      </c>
      <c r="P1026" s="127">
        <v>2721.6</v>
      </c>
      <c r="Q1026" s="127">
        <v>35547.32</v>
      </c>
      <c r="R1026" s="127">
        <v>33125.81</v>
      </c>
      <c r="T1026" s="75">
        <f>12*12</f>
        <v>144</v>
      </c>
      <c r="V1026" s="76">
        <f>P1026+T1026</f>
        <v>2865.6</v>
      </c>
    </row>
    <row r="1027" spans="1:22" s="75" customFormat="1" ht="9" customHeight="1" x14ac:dyDescent="0.2">
      <c r="A1027" s="151"/>
      <c r="B1027" s="151"/>
      <c r="C1027" s="130" t="s">
        <v>37</v>
      </c>
      <c r="D1027" s="131">
        <v>27</v>
      </c>
      <c r="E1027" s="132">
        <v>29801015</v>
      </c>
      <c r="F1027" s="133">
        <v>0</v>
      </c>
      <c r="G1027" s="133"/>
      <c r="H1027" s="132">
        <v>12507588</v>
      </c>
      <c r="I1027" s="132"/>
      <c r="J1027" s="134">
        <v>4688697</v>
      </c>
      <c r="K1027" s="132">
        <v>36637694</v>
      </c>
      <c r="L1027" s="132">
        <v>41326391</v>
      </c>
      <c r="M1027" s="135"/>
      <c r="N1027" s="133">
        <v>56264308</v>
      </c>
      <c r="O1027" s="133">
        <v>43756720</v>
      </c>
      <c r="P1027" s="133"/>
      <c r="Q1027" s="133">
        <v>68829209</v>
      </c>
      <c r="R1027" s="132">
        <v>64140512</v>
      </c>
      <c r="V1027" s="76"/>
    </row>
    <row r="1028" spans="1:22" s="75" customFormat="1" ht="12.75" customHeight="1" x14ac:dyDescent="0.2">
      <c r="A1028" s="151"/>
      <c r="B1028" s="151"/>
      <c r="C1028" s="136" t="s">
        <v>36</v>
      </c>
      <c r="D1028" s="137">
        <v>28</v>
      </c>
      <c r="E1028" s="127">
        <v>25719.719999999998</v>
      </c>
      <c r="F1028" s="127">
        <v>0</v>
      </c>
      <c r="G1028" s="127"/>
      <c r="H1028" s="127">
        <v>6459.63</v>
      </c>
      <c r="I1028" s="59"/>
      <c r="J1028" s="127">
        <v>2601.71</v>
      </c>
      <c r="K1028" s="127">
        <v>19673.080000000002</v>
      </c>
      <c r="L1028" s="128">
        <v>22274.79</v>
      </c>
      <c r="M1028" s="129"/>
      <c r="N1028" s="127">
        <v>31220.46</v>
      </c>
      <c r="O1028" s="127">
        <v>24760.83</v>
      </c>
      <c r="P1028" s="127">
        <v>3458.4</v>
      </c>
      <c r="Q1028" s="127">
        <v>38279.120000000003</v>
      </c>
      <c r="R1028" s="127">
        <v>35677.410000000003</v>
      </c>
      <c r="T1028" s="75">
        <f>15*12</f>
        <v>180</v>
      </c>
      <c r="V1028" s="76">
        <f>P1028+T1028</f>
        <v>3638.4</v>
      </c>
    </row>
    <row r="1029" spans="1:22" s="75" customFormat="1" ht="9" customHeight="1" x14ac:dyDescent="0.2">
      <c r="A1029" s="151"/>
      <c r="B1029" s="151"/>
      <c r="C1029" s="130" t="s">
        <v>37</v>
      </c>
      <c r="D1029" s="131">
        <v>34</v>
      </c>
      <c r="E1029" s="132">
        <v>29801015</v>
      </c>
      <c r="F1029" s="133">
        <v>0</v>
      </c>
      <c r="G1029" s="133"/>
      <c r="H1029" s="132">
        <v>12507588</v>
      </c>
      <c r="I1029" s="132"/>
      <c r="J1029" s="134">
        <v>5037613</v>
      </c>
      <c r="K1029" s="132">
        <v>38092395</v>
      </c>
      <c r="L1029" s="132">
        <v>43130008</v>
      </c>
      <c r="M1029" s="135"/>
      <c r="N1029" s="133">
        <v>60451240</v>
      </c>
      <c r="O1029" s="133">
        <v>47943652</v>
      </c>
      <c r="P1029" s="133"/>
      <c r="Q1029" s="133">
        <v>74118712</v>
      </c>
      <c r="R1029" s="132">
        <v>69081099</v>
      </c>
      <c r="V1029" s="76"/>
    </row>
    <row r="1030" spans="1:22" s="75" customFormat="1" ht="12.75" customHeight="1" x14ac:dyDescent="0.2">
      <c r="A1030" s="151"/>
      <c r="B1030" s="151"/>
      <c r="C1030" s="136" t="s">
        <v>36</v>
      </c>
      <c r="D1030" s="137">
        <v>35</v>
      </c>
      <c r="E1030" s="127">
        <v>27377.74</v>
      </c>
      <c r="F1030" s="127">
        <v>0</v>
      </c>
      <c r="G1030" s="127"/>
      <c r="H1030" s="127">
        <v>6459.63</v>
      </c>
      <c r="I1030" s="59"/>
      <c r="J1030" s="127">
        <v>2735.81</v>
      </c>
      <c r="K1030" s="127">
        <v>20206.89</v>
      </c>
      <c r="L1030" s="128">
        <v>22942.7</v>
      </c>
      <c r="M1030" s="129"/>
      <c r="N1030" s="127">
        <v>32829.660000000003</v>
      </c>
      <c r="O1030" s="127">
        <v>26370.03</v>
      </c>
      <c r="P1030" s="127">
        <v>3458.4</v>
      </c>
      <c r="Q1030" s="127">
        <v>40312.080000000002</v>
      </c>
      <c r="R1030" s="127">
        <v>37576.269999999997</v>
      </c>
      <c r="T1030" s="75">
        <f>15*12</f>
        <v>180</v>
      </c>
      <c r="V1030" s="76">
        <f>P1030+T1030</f>
        <v>3638.4</v>
      </c>
    </row>
    <row r="1031" spans="1:22" s="75" customFormat="1" ht="9" customHeight="1" x14ac:dyDescent="0.2">
      <c r="A1031" s="161"/>
      <c r="B1031" s="161"/>
      <c r="C1031" s="138" t="s">
        <v>37</v>
      </c>
      <c r="D1031" s="139"/>
      <c r="E1031" s="132">
        <v>29801015</v>
      </c>
      <c r="F1031" s="132">
        <v>0</v>
      </c>
      <c r="G1031" s="132"/>
      <c r="H1031" s="132">
        <v>12507588</v>
      </c>
      <c r="I1031" s="132"/>
      <c r="J1031" s="132">
        <v>5297267</v>
      </c>
      <c r="K1031" s="132">
        <v>39125995</v>
      </c>
      <c r="L1031" s="132">
        <v>44423262</v>
      </c>
      <c r="M1031" s="135"/>
      <c r="N1031" s="132">
        <v>63567086</v>
      </c>
      <c r="O1031" s="132">
        <v>51059498</v>
      </c>
      <c r="P1031" s="132"/>
      <c r="Q1031" s="132">
        <v>78055071</v>
      </c>
      <c r="R1031" s="132">
        <v>72757804</v>
      </c>
      <c r="V1031" s="76"/>
    </row>
    <row r="1032" spans="1:22" s="75" customFormat="1" ht="9" customHeight="1" x14ac:dyDescent="0.2">
      <c r="A1032" s="266"/>
      <c r="B1032" s="266"/>
      <c r="C1032" s="141"/>
      <c r="D1032" s="141"/>
      <c r="E1032" s="142"/>
      <c r="F1032" s="142"/>
      <c r="G1032" s="142"/>
      <c r="H1032" s="142"/>
      <c r="I1032" s="142"/>
      <c r="J1032" s="142"/>
      <c r="K1032" s="142"/>
      <c r="L1032" s="142"/>
      <c r="M1032" s="135"/>
      <c r="N1032" s="142"/>
      <c r="O1032" s="142"/>
      <c r="P1032" s="142"/>
      <c r="Q1032" s="142"/>
      <c r="R1032" s="142"/>
      <c r="V1032" s="76"/>
    </row>
    <row r="1033" spans="1:22" s="75" customFormat="1" ht="9" customHeight="1" x14ac:dyDescent="0.2">
      <c r="A1033" s="266"/>
      <c r="B1033" s="266"/>
      <c r="C1033" s="141"/>
      <c r="D1033" s="141"/>
      <c r="E1033" s="142"/>
      <c r="F1033" s="142"/>
      <c r="G1033" s="142"/>
      <c r="H1033" s="142"/>
      <c r="I1033" s="142"/>
      <c r="J1033" s="142"/>
      <c r="K1033" s="142"/>
      <c r="L1033" s="142"/>
      <c r="M1033" s="135"/>
      <c r="N1033" s="142"/>
      <c r="O1033" s="142"/>
      <c r="P1033" s="142"/>
      <c r="Q1033" s="142"/>
      <c r="R1033" s="142"/>
      <c r="V1033" s="76"/>
    </row>
    <row r="1034" spans="1:22" s="75" customFormat="1" ht="9" customHeight="1" x14ac:dyDescent="0.2">
      <c r="A1034" s="266"/>
      <c r="B1034" s="266"/>
      <c r="C1034" s="141"/>
      <c r="D1034" s="141"/>
      <c r="E1034" s="142"/>
      <c r="F1034" s="142"/>
      <c r="G1034" s="142"/>
      <c r="H1034" s="142"/>
      <c r="I1034" s="142"/>
      <c r="J1034" s="142"/>
      <c r="K1034" s="142"/>
      <c r="L1034" s="142"/>
      <c r="M1034" s="135"/>
      <c r="N1034" s="142"/>
      <c r="O1034" s="142"/>
      <c r="P1034" s="142"/>
      <c r="Q1034" s="142"/>
      <c r="R1034" s="142"/>
      <c r="V1034" s="76"/>
    </row>
    <row r="1035" spans="1:22" s="75" customFormat="1" ht="9" customHeight="1" x14ac:dyDescent="0.2">
      <c r="A1035" s="266"/>
      <c r="B1035" s="266"/>
      <c r="C1035" s="141"/>
      <c r="D1035" s="141"/>
      <c r="E1035" s="142"/>
      <c r="F1035" s="142"/>
      <c r="G1035" s="142"/>
      <c r="H1035" s="142"/>
      <c r="I1035" s="142"/>
      <c r="J1035" s="142"/>
      <c r="K1035" s="142"/>
      <c r="L1035" s="142"/>
      <c r="M1035" s="135"/>
      <c r="N1035" s="142"/>
      <c r="O1035" s="142"/>
      <c r="P1035" s="142"/>
      <c r="Q1035" s="142"/>
      <c r="R1035" s="142"/>
      <c r="V1035" s="76"/>
    </row>
    <row r="1036" spans="1:22" s="75" customFormat="1" ht="9" customHeight="1" x14ac:dyDescent="0.2">
      <c r="A1036" s="266"/>
      <c r="B1036" s="266"/>
      <c r="C1036" s="141"/>
      <c r="D1036" s="141"/>
      <c r="E1036" s="142"/>
      <c r="F1036" s="142"/>
      <c r="G1036" s="142"/>
      <c r="H1036" s="142"/>
      <c r="I1036" s="142"/>
      <c r="J1036" s="142"/>
      <c r="K1036" s="142"/>
      <c r="L1036" s="142"/>
      <c r="M1036" s="135"/>
      <c r="N1036" s="142"/>
      <c r="O1036" s="142"/>
      <c r="P1036" s="142"/>
      <c r="Q1036" s="142"/>
      <c r="R1036" s="142"/>
      <c r="V1036" s="76"/>
    </row>
    <row r="1037" spans="1:22" s="75" customFormat="1" ht="9" customHeight="1" x14ac:dyDescent="0.2">
      <c r="A1037" s="266"/>
      <c r="B1037" s="266"/>
      <c r="C1037" s="141"/>
      <c r="D1037" s="141"/>
      <c r="E1037" s="142"/>
      <c r="F1037" s="142"/>
      <c r="G1037" s="142"/>
      <c r="H1037" s="142"/>
      <c r="I1037" s="142"/>
      <c r="J1037" s="142"/>
      <c r="K1037" s="142"/>
      <c r="L1037" s="142"/>
      <c r="M1037" s="135"/>
      <c r="N1037" s="142"/>
      <c r="O1037" s="142"/>
      <c r="P1037" s="142"/>
      <c r="Q1037" s="142"/>
      <c r="R1037" s="142"/>
      <c r="V1037" s="76"/>
    </row>
    <row r="1038" spans="1:22" s="75" customFormat="1" ht="9" customHeight="1" x14ac:dyDescent="0.2">
      <c r="A1038" s="266"/>
      <c r="B1038" s="266"/>
      <c r="C1038" s="141"/>
      <c r="D1038" s="141"/>
      <c r="E1038" s="142"/>
      <c r="F1038" s="142"/>
      <c r="G1038" s="142"/>
      <c r="H1038" s="142"/>
      <c r="I1038" s="142"/>
      <c r="J1038" s="142"/>
      <c r="K1038" s="142"/>
      <c r="L1038" s="142"/>
      <c r="M1038" s="135"/>
      <c r="N1038" s="142"/>
      <c r="O1038" s="142"/>
      <c r="P1038" s="142"/>
      <c r="Q1038" s="142"/>
      <c r="R1038" s="142"/>
      <c r="V1038" s="76"/>
    </row>
    <row r="1039" spans="1:22" s="75" customFormat="1" ht="9" customHeight="1" x14ac:dyDescent="0.2">
      <c r="A1039" s="266"/>
      <c r="B1039" s="266"/>
      <c r="C1039" s="141"/>
      <c r="D1039" s="141"/>
      <c r="E1039" s="142"/>
      <c r="F1039" s="142"/>
      <c r="G1039" s="142"/>
      <c r="H1039" s="142"/>
      <c r="I1039" s="142"/>
      <c r="J1039" s="142"/>
      <c r="K1039" s="142"/>
      <c r="L1039" s="142"/>
      <c r="M1039" s="135"/>
      <c r="N1039" s="142"/>
      <c r="O1039" s="142"/>
      <c r="P1039" s="142"/>
      <c r="Q1039" s="142"/>
      <c r="R1039" s="142"/>
      <c r="V1039" s="76"/>
    </row>
    <row r="1040" spans="1:22" s="75" customFormat="1" ht="12.75" customHeight="1" x14ac:dyDescent="0.2">
      <c r="A1040" s="158">
        <v>44652</v>
      </c>
      <c r="B1040" s="158">
        <v>44742</v>
      </c>
      <c r="C1040" s="125" t="s">
        <v>36</v>
      </c>
      <c r="D1040" s="126">
        <v>0</v>
      </c>
      <c r="E1040" s="127">
        <v>16218.89</v>
      </c>
      <c r="F1040" s="127">
        <v>0</v>
      </c>
      <c r="G1040" s="127"/>
      <c r="H1040" s="127">
        <v>6459.63</v>
      </c>
      <c r="I1040" s="59">
        <f>ROUND(           (  E1040+H1040) *0.003,2)</f>
        <v>68.040000000000006</v>
      </c>
      <c r="J1040" s="127">
        <v>1833.63</v>
      </c>
      <c r="K1040" s="127">
        <v>22003.57</v>
      </c>
      <c r="L1040" s="128">
        <v>23837.200000000001</v>
      </c>
      <c r="M1040" s="129"/>
      <c r="N1040" s="127">
        <v>22003.57</v>
      </c>
      <c r="O1040" s="127">
        <v>15543.94</v>
      </c>
      <c r="P1040" s="127">
        <v>2214</v>
      </c>
      <c r="Q1040" s="127">
        <v>26635.11</v>
      </c>
      <c r="R1040" s="127">
        <v>24801.48</v>
      </c>
      <c r="T1040" s="75">
        <f>10*12</f>
        <v>120</v>
      </c>
      <c r="V1040" s="76">
        <f>P1040+T1040</f>
        <v>2334</v>
      </c>
    </row>
    <row r="1041" spans="1:22" s="75" customFormat="1" ht="9" customHeight="1" x14ac:dyDescent="0.2">
      <c r="A1041" s="159"/>
      <c r="B1041" s="159"/>
      <c r="C1041" s="130" t="s">
        <v>37</v>
      </c>
      <c r="D1041" s="131">
        <v>8</v>
      </c>
      <c r="E1041" s="132">
        <v>29801015</v>
      </c>
      <c r="F1041" s="133">
        <v>0</v>
      </c>
      <c r="G1041" s="133"/>
      <c r="H1041" s="132">
        <v>12507588</v>
      </c>
      <c r="I1041" s="132"/>
      <c r="J1041" s="134">
        <v>3550403</v>
      </c>
      <c r="K1041" s="134">
        <v>42604852</v>
      </c>
      <c r="L1041" s="132">
        <v>46155255</v>
      </c>
      <c r="M1041" s="135"/>
      <c r="N1041" s="133">
        <v>42604852</v>
      </c>
      <c r="O1041" s="133">
        <v>30097265</v>
      </c>
      <c r="P1041" s="133"/>
      <c r="Q1041" s="133">
        <v>51572764</v>
      </c>
      <c r="R1041" s="132">
        <v>48022362</v>
      </c>
      <c r="V1041" s="76"/>
    </row>
    <row r="1042" spans="1:22" s="75" customFormat="1" ht="12.75" customHeight="1" x14ac:dyDescent="0.2">
      <c r="A1042" s="151">
        <f>A1040</f>
        <v>44652</v>
      </c>
      <c r="B1042" s="151">
        <f>B1040</f>
        <v>44742</v>
      </c>
      <c r="C1042" s="136" t="s">
        <v>36</v>
      </c>
      <c r="D1042" s="137">
        <v>9</v>
      </c>
      <c r="E1042" s="127">
        <v>18882.419999999998</v>
      </c>
      <c r="F1042" s="127">
        <v>0</v>
      </c>
      <c r="G1042" s="127"/>
      <c r="H1042" s="127">
        <v>6459.63</v>
      </c>
      <c r="I1042" s="59">
        <f>ROUND(           (  E1042+H1042) *0.003,2)</f>
        <v>76.03</v>
      </c>
      <c r="J1042" s="127">
        <v>2049.08</v>
      </c>
      <c r="K1042" s="127">
        <v>16918.52</v>
      </c>
      <c r="L1042" s="128">
        <v>18967.599999999999</v>
      </c>
      <c r="M1042" s="129"/>
      <c r="N1042" s="127">
        <v>24588.91</v>
      </c>
      <c r="O1042" s="127">
        <v>18129.28</v>
      </c>
      <c r="P1042" s="127">
        <v>2214</v>
      </c>
      <c r="Q1042" s="127">
        <v>29901.26</v>
      </c>
      <c r="R1042" s="127">
        <v>27852.18</v>
      </c>
      <c r="T1042" s="75">
        <f>10*12</f>
        <v>120</v>
      </c>
      <c r="V1042" s="76">
        <f>P1042+T1042</f>
        <v>2334</v>
      </c>
    </row>
    <row r="1043" spans="1:22" s="75" customFormat="1" ht="9" customHeight="1" x14ac:dyDescent="0.2">
      <c r="A1043" s="151"/>
      <c r="B1043" s="151"/>
      <c r="C1043" s="130" t="s">
        <v>37</v>
      </c>
      <c r="D1043" s="131">
        <v>14</v>
      </c>
      <c r="E1043" s="132">
        <v>29801015</v>
      </c>
      <c r="F1043" s="133">
        <v>0</v>
      </c>
      <c r="G1043" s="133"/>
      <c r="H1043" s="132">
        <v>12507588</v>
      </c>
      <c r="I1043" s="132"/>
      <c r="J1043" s="134">
        <v>3967572</v>
      </c>
      <c r="K1043" s="132">
        <v>32758823</v>
      </c>
      <c r="L1043" s="132">
        <v>36726395</v>
      </c>
      <c r="M1043" s="135"/>
      <c r="N1043" s="133">
        <v>47610769</v>
      </c>
      <c r="O1043" s="133">
        <v>35103181</v>
      </c>
      <c r="P1043" s="133"/>
      <c r="Q1043" s="133">
        <v>57896913</v>
      </c>
      <c r="R1043" s="132">
        <v>53929341</v>
      </c>
      <c r="V1043" s="76"/>
    </row>
    <row r="1044" spans="1:22" s="75" customFormat="1" ht="12.75" customHeight="1" x14ac:dyDescent="0.2">
      <c r="A1044" s="151"/>
      <c r="B1044" s="151"/>
      <c r="C1044" s="136" t="s">
        <v>36</v>
      </c>
      <c r="D1044" s="137">
        <v>15</v>
      </c>
      <c r="E1044" s="127">
        <v>21216.959999999999</v>
      </c>
      <c r="F1044" s="127">
        <v>0</v>
      </c>
      <c r="G1044" s="127"/>
      <c r="H1044" s="127">
        <v>6459.63</v>
      </c>
      <c r="I1044" s="59">
        <f>ROUND(           (  E1044+H1044) *0.003,2)</f>
        <v>83.03</v>
      </c>
      <c r="J1044" s="127">
        <v>2237.9499999999998</v>
      </c>
      <c r="K1044" s="127">
        <v>17933.73</v>
      </c>
      <c r="L1044" s="128">
        <v>20171.68</v>
      </c>
      <c r="M1044" s="129"/>
      <c r="N1044" s="127">
        <v>26855.34</v>
      </c>
      <c r="O1044" s="127">
        <v>20395.71</v>
      </c>
      <c r="P1044" s="127">
        <v>2721.6</v>
      </c>
      <c r="Q1044" s="127">
        <v>32764.52</v>
      </c>
      <c r="R1044" s="127">
        <v>30526.57</v>
      </c>
      <c r="T1044" s="75">
        <f>12*12</f>
        <v>144</v>
      </c>
      <c r="V1044" s="76">
        <f>P1044+T1044</f>
        <v>2865.6</v>
      </c>
    </row>
    <row r="1045" spans="1:22" s="75" customFormat="1" ht="9" customHeight="1" x14ac:dyDescent="0.2">
      <c r="A1045" s="151"/>
      <c r="B1045" s="151"/>
      <c r="C1045" s="130" t="s">
        <v>37</v>
      </c>
      <c r="D1045" s="131">
        <v>20</v>
      </c>
      <c r="E1045" s="132">
        <v>29801015</v>
      </c>
      <c r="F1045" s="133">
        <v>0</v>
      </c>
      <c r="G1045" s="133"/>
      <c r="H1045" s="132">
        <v>12507588</v>
      </c>
      <c r="I1045" s="132"/>
      <c r="J1045" s="134">
        <v>4333275</v>
      </c>
      <c r="K1045" s="132">
        <v>34724543</v>
      </c>
      <c r="L1045" s="132">
        <v>39057819</v>
      </c>
      <c r="M1045" s="135"/>
      <c r="N1045" s="133">
        <v>51999189</v>
      </c>
      <c r="O1045" s="133">
        <v>39491601</v>
      </c>
      <c r="P1045" s="133"/>
      <c r="Q1045" s="133">
        <v>63440957</v>
      </c>
      <c r="R1045" s="132">
        <v>59107682</v>
      </c>
      <c r="V1045" s="76"/>
    </row>
    <row r="1046" spans="1:22" s="75" customFormat="1" ht="12.75" customHeight="1" x14ac:dyDescent="0.2">
      <c r="A1046" s="151"/>
      <c r="B1046" s="151"/>
      <c r="C1046" s="136" t="s">
        <v>36</v>
      </c>
      <c r="D1046" s="137">
        <v>21</v>
      </c>
      <c r="E1046" s="127">
        <v>23488.539999999997</v>
      </c>
      <c r="F1046" s="127">
        <v>0</v>
      </c>
      <c r="G1046" s="127"/>
      <c r="H1046" s="127">
        <v>6459.63</v>
      </c>
      <c r="I1046" s="59">
        <f>ROUND(           (  E1046+H1046) *0.003,2)</f>
        <v>89.84</v>
      </c>
      <c r="J1046" s="127">
        <v>2421.5100000000002</v>
      </c>
      <c r="K1046" s="127">
        <v>18921.79</v>
      </c>
      <c r="L1046" s="128">
        <v>21343.3</v>
      </c>
      <c r="M1046" s="129"/>
      <c r="N1046" s="127">
        <v>29058.09</v>
      </c>
      <c r="O1046" s="127">
        <v>22598.46</v>
      </c>
      <c r="P1046" s="127">
        <v>2721.6</v>
      </c>
      <c r="Q1046" s="127">
        <v>35547.32</v>
      </c>
      <c r="R1046" s="127">
        <v>33125.81</v>
      </c>
      <c r="T1046" s="75">
        <f>12*12</f>
        <v>144</v>
      </c>
      <c r="V1046" s="76">
        <f>P1046+T1046</f>
        <v>2865.6</v>
      </c>
    </row>
    <row r="1047" spans="1:22" s="75" customFormat="1" ht="9" customHeight="1" x14ac:dyDescent="0.2">
      <c r="A1047" s="151"/>
      <c r="B1047" s="151"/>
      <c r="C1047" s="130" t="s">
        <v>37</v>
      </c>
      <c r="D1047" s="131">
        <v>27</v>
      </c>
      <c r="E1047" s="132">
        <v>29801015</v>
      </c>
      <c r="F1047" s="133">
        <v>0</v>
      </c>
      <c r="G1047" s="133"/>
      <c r="H1047" s="132">
        <v>12507588</v>
      </c>
      <c r="I1047" s="132"/>
      <c r="J1047" s="134">
        <v>4688697</v>
      </c>
      <c r="K1047" s="132">
        <v>36637694</v>
      </c>
      <c r="L1047" s="132">
        <v>41326391</v>
      </c>
      <c r="M1047" s="135"/>
      <c r="N1047" s="133">
        <v>56264308</v>
      </c>
      <c r="O1047" s="133">
        <v>43756720</v>
      </c>
      <c r="P1047" s="133"/>
      <c r="Q1047" s="133">
        <v>68829209</v>
      </c>
      <c r="R1047" s="132">
        <v>64140512</v>
      </c>
      <c r="V1047" s="76"/>
    </row>
    <row r="1048" spans="1:22" s="75" customFormat="1" ht="12.75" customHeight="1" x14ac:dyDescent="0.2">
      <c r="A1048" s="151"/>
      <c r="B1048" s="151"/>
      <c r="C1048" s="136" t="s">
        <v>36</v>
      </c>
      <c r="D1048" s="137">
        <v>28</v>
      </c>
      <c r="E1048" s="127">
        <v>25719.719999999998</v>
      </c>
      <c r="F1048" s="127">
        <v>0</v>
      </c>
      <c r="G1048" s="127"/>
      <c r="H1048" s="127">
        <v>6459.63</v>
      </c>
      <c r="I1048" s="59">
        <f>ROUND(           (  E1048+H1048) *0.003,2)</f>
        <v>96.54</v>
      </c>
      <c r="J1048" s="127">
        <v>2601.71</v>
      </c>
      <c r="K1048" s="127">
        <v>19673.080000000002</v>
      </c>
      <c r="L1048" s="128">
        <v>22274.79</v>
      </c>
      <c r="M1048" s="129"/>
      <c r="N1048" s="127">
        <v>31220.46</v>
      </c>
      <c r="O1048" s="127">
        <v>24760.83</v>
      </c>
      <c r="P1048" s="127">
        <v>3458.4</v>
      </c>
      <c r="Q1048" s="127">
        <v>38279.120000000003</v>
      </c>
      <c r="R1048" s="127">
        <v>35677.410000000003</v>
      </c>
      <c r="T1048" s="75">
        <f>15*12</f>
        <v>180</v>
      </c>
      <c r="V1048" s="76">
        <f>P1048+T1048</f>
        <v>3638.4</v>
      </c>
    </row>
    <row r="1049" spans="1:22" s="75" customFormat="1" ht="9" customHeight="1" x14ac:dyDescent="0.2">
      <c r="A1049" s="151"/>
      <c r="B1049" s="151"/>
      <c r="C1049" s="130" t="s">
        <v>37</v>
      </c>
      <c r="D1049" s="131">
        <v>34</v>
      </c>
      <c r="E1049" s="132">
        <v>29801015</v>
      </c>
      <c r="F1049" s="133">
        <v>0</v>
      </c>
      <c r="G1049" s="133"/>
      <c r="H1049" s="132">
        <v>12507588</v>
      </c>
      <c r="I1049" s="132"/>
      <c r="J1049" s="134">
        <v>5037613</v>
      </c>
      <c r="K1049" s="132">
        <v>38092395</v>
      </c>
      <c r="L1049" s="132">
        <v>43130008</v>
      </c>
      <c r="M1049" s="135"/>
      <c r="N1049" s="133">
        <v>60451240</v>
      </c>
      <c r="O1049" s="133">
        <v>47943652</v>
      </c>
      <c r="P1049" s="133"/>
      <c r="Q1049" s="133">
        <v>74118712</v>
      </c>
      <c r="R1049" s="132">
        <v>69081099</v>
      </c>
      <c r="V1049" s="76"/>
    </row>
    <row r="1050" spans="1:22" s="75" customFormat="1" ht="12.75" customHeight="1" x14ac:dyDescent="0.2">
      <c r="A1050" s="151"/>
      <c r="B1050" s="151"/>
      <c r="C1050" s="136" t="s">
        <v>36</v>
      </c>
      <c r="D1050" s="137">
        <v>35</v>
      </c>
      <c r="E1050" s="127">
        <v>27377.74</v>
      </c>
      <c r="F1050" s="127">
        <v>0</v>
      </c>
      <c r="G1050" s="127"/>
      <c r="H1050" s="127">
        <v>6459.63</v>
      </c>
      <c r="I1050" s="59">
        <f>ROUND(           (  E1050+H1050) *0.003,2)</f>
        <v>101.51</v>
      </c>
      <c r="J1050" s="127">
        <v>2735.81</v>
      </c>
      <c r="K1050" s="127">
        <v>20206.89</v>
      </c>
      <c r="L1050" s="128">
        <v>22942.7</v>
      </c>
      <c r="M1050" s="129"/>
      <c r="N1050" s="127">
        <v>32829.660000000003</v>
      </c>
      <c r="O1050" s="127">
        <v>26370.03</v>
      </c>
      <c r="P1050" s="127">
        <v>3458.4</v>
      </c>
      <c r="Q1050" s="127">
        <v>40312.080000000002</v>
      </c>
      <c r="R1050" s="127">
        <v>37576.269999999997</v>
      </c>
      <c r="T1050" s="75">
        <f>15*12</f>
        <v>180</v>
      </c>
      <c r="V1050" s="76">
        <f>P1050+T1050</f>
        <v>3638.4</v>
      </c>
    </row>
    <row r="1051" spans="1:22" s="75" customFormat="1" ht="9" customHeight="1" x14ac:dyDescent="0.2">
      <c r="A1051" s="161"/>
      <c r="B1051" s="161"/>
      <c r="C1051" s="138" t="s">
        <v>37</v>
      </c>
      <c r="D1051" s="139"/>
      <c r="E1051" s="132">
        <v>29801015</v>
      </c>
      <c r="F1051" s="132">
        <v>0</v>
      </c>
      <c r="G1051" s="132"/>
      <c r="H1051" s="132">
        <v>12507588</v>
      </c>
      <c r="I1051" s="132"/>
      <c r="J1051" s="132">
        <v>5297267</v>
      </c>
      <c r="K1051" s="132">
        <v>39125995</v>
      </c>
      <c r="L1051" s="132">
        <v>44423262</v>
      </c>
      <c r="M1051" s="135"/>
      <c r="N1051" s="132">
        <v>63567086</v>
      </c>
      <c r="O1051" s="132">
        <v>51059498</v>
      </c>
      <c r="P1051" s="132"/>
      <c r="Q1051" s="132">
        <v>78055071</v>
      </c>
      <c r="R1051" s="132">
        <v>72757804</v>
      </c>
      <c r="V1051" s="76"/>
    </row>
    <row r="1052" spans="1:22" s="75" customFormat="1" ht="9" customHeight="1" x14ac:dyDescent="0.2">
      <c r="A1052" s="266"/>
      <c r="B1052" s="266"/>
      <c r="C1052" s="141"/>
      <c r="D1052" s="141"/>
      <c r="E1052" s="142"/>
      <c r="F1052" s="142"/>
      <c r="G1052" s="142"/>
      <c r="H1052" s="142"/>
      <c r="I1052" s="142"/>
      <c r="J1052" s="142"/>
      <c r="K1052" s="142"/>
      <c r="L1052" s="142"/>
      <c r="M1052" s="135"/>
      <c r="N1052" s="142"/>
      <c r="O1052" s="142"/>
      <c r="P1052" s="142"/>
      <c r="Q1052" s="142"/>
      <c r="R1052" s="142"/>
      <c r="V1052" s="76"/>
    </row>
    <row r="1053" spans="1:22" s="75" customFormat="1" ht="9" customHeight="1" x14ac:dyDescent="0.2">
      <c r="A1053" s="266"/>
      <c r="B1053" s="266"/>
      <c r="C1053" s="141"/>
      <c r="D1053" s="141"/>
      <c r="E1053" s="142"/>
      <c r="F1053" s="142"/>
      <c r="G1053" s="142"/>
      <c r="H1053" s="142"/>
      <c r="I1053" s="142"/>
      <c r="J1053" s="142"/>
      <c r="K1053" s="142"/>
      <c r="L1053" s="142"/>
      <c r="M1053" s="135"/>
      <c r="N1053" s="142"/>
      <c r="O1053" s="142"/>
      <c r="P1053" s="142"/>
      <c r="Q1053" s="142"/>
      <c r="R1053" s="142"/>
      <c r="V1053" s="76"/>
    </row>
    <row r="1054" spans="1:22" s="75" customFormat="1" ht="9" customHeight="1" x14ac:dyDescent="0.2">
      <c r="A1054" s="266"/>
      <c r="B1054" s="266"/>
      <c r="C1054" s="141"/>
      <c r="D1054" s="141"/>
      <c r="E1054" s="142"/>
      <c r="F1054" s="142"/>
      <c r="G1054" s="142"/>
      <c r="H1054" s="142"/>
      <c r="I1054" s="142"/>
      <c r="J1054" s="142"/>
      <c r="K1054" s="142"/>
      <c r="L1054" s="142"/>
      <c r="M1054" s="135"/>
      <c r="N1054" s="142"/>
      <c r="O1054" s="142"/>
      <c r="P1054" s="142"/>
      <c r="Q1054" s="142"/>
      <c r="R1054" s="142"/>
      <c r="V1054" s="76"/>
    </row>
    <row r="1055" spans="1:22" s="75" customFormat="1" ht="9" customHeight="1" x14ac:dyDescent="0.2">
      <c r="A1055" s="266"/>
      <c r="B1055" s="266"/>
      <c r="C1055" s="141"/>
      <c r="D1055" s="141"/>
      <c r="E1055" s="142"/>
      <c r="F1055" s="142"/>
      <c r="G1055" s="142"/>
      <c r="H1055" s="142"/>
      <c r="I1055" s="142"/>
      <c r="J1055" s="142"/>
      <c r="K1055" s="142"/>
      <c r="L1055" s="142"/>
      <c r="M1055" s="135"/>
      <c r="N1055" s="142"/>
      <c r="O1055" s="142"/>
      <c r="P1055" s="142"/>
      <c r="Q1055" s="142"/>
      <c r="R1055" s="142"/>
      <c r="V1055" s="76"/>
    </row>
    <row r="1056" spans="1:22" s="75" customFormat="1" ht="9" customHeight="1" x14ac:dyDescent="0.2">
      <c r="A1056" s="266"/>
      <c r="B1056" s="266"/>
      <c r="C1056" s="141"/>
      <c r="D1056" s="141"/>
      <c r="E1056" s="142"/>
      <c r="F1056" s="142"/>
      <c r="G1056" s="142"/>
      <c r="H1056" s="142"/>
      <c r="I1056" s="142"/>
      <c r="J1056" s="142"/>
      <c r="K1056" s="142"/>
      <c r="L1056" s="142"/>
      <c r="M1056" s="135"/>
      <c r="N1056" s="142"/>
      <c r="O1056" s="142"/>
      <c r="P1056" s="142"/>
      <c r="Q1056" s="142"/>
      <c r="R1056" s="142"/>
      <c r="V1056" s="76"/>
    </row>
    <row r="1057" spans="1:22" s="75" customFormat="1" ht="9" customHeight="1" x14ac:dyDescent="0.2">
      <c r="A1057" s="266"/>
      <c r="B1057" s="266"/>
      <c r="C1057" s="141"/>
      <c r="D1057" s="141"/>
      <c r="E1057" s="142"/>
      <c r="F1057" s="142"/>
      <c r="G1057" s="142"/>
      <c r="H1057" s="142"/>
      <c r="I1057" s="142"/>
      <c r="J1057" s="142"/>
      <c r="K1057" s="142"/>
      <c r="L1057" s="142"/>
      <c r="M1057" s="135"/>
      <c r="N1057" s="142"/>
      <c r="O1057" s="142"/>
      <c r="P1057" s="142"/>
      <c r="Q1057" s="142"/>
      <c r="R1057" s="142"/>
      <c r="V1057" s="76"/>
    </row>
    <row r="1058" spans="1:22" s="75" customFormat="1" ht="9" customHeight="1" x14ac:dyDescent="0.2">
      <c r="A1058" s="266"/>
      <c r="B1058" s="266"/>
      <c r="C1058" s="141"/>
      <c r="D1058" s="141"/>
      <c r="E1058" s="142"/>
      <c r="F1058" s="142"/>
      <c r="G1058" s="142"/>
      <c r="H1058" s="142"/>
      <c r="I1058" s="142"/>
      <c r="J1058" s="142"/>
      <c r="K1058" s="142"/>
      <c r="L1058" s="142"/>
      <c r="M1058" s="135"/>
      <c r="N1058" s="142"/>
      <c r="O1058" s="142"/>
      <c r="P1058" s="142"/>
      <c r="Q1058" s="142"/>
      <c r="R1058" s="142"/>
      <c r="V1058" s="76"/>
    </row>
    <row r="1059" spans="1:22" s="75" customFormat="1" ht="9" customHeight="1" x14ac:dyDescent="0.2">
      <c r="A1059" s="266"/>
      <c r="B1059" s="266"/>
      <c r="C1059" s="141"/>
      <c r="D1059" s="141"/>
      <c r="E1059" s="142"/>
      <c r="F1059" s="142"/>
      <c r="G1059" s="142"/>
      <c r="H1059" s="142"/>
      <c r="I1059" s="142"/>
      <c r="J1059" s="142"/>
      <c r="K1059" s="142"/>
      <c r="L1059" s="142"/>
      <c r="M1059" s="135"/>
      <c r="N1059" s="142"/>
      <c r="O1059" s="142"/>
      <c r="P1059" s="142"/>
      <c r="Q1059" s="142"/>
      <c r="R1059" s="142"/>
      <c r="V1059" s="76"/>
    </row>
    <row r="1060" spans="1:22" s="75" customFormat="1" ht="12.75" customHeight="1" x14ac:dyDescent="0.2">
      <c r="A1060" s="158">
        <v>44743</v>
      </c>
      <c r="B1060" s="158">
        <v>45291</v>
      </c>
      <c r="C1060" s="125" t="s">
        <v>36</v>
      </c>
      <c r="D1060" s="126">
        <v>0</v>
      </c>
      <c r="E1060" s="127">
        <v>16218.89</v>
      </c>
      <c r="F1060" s="127">
        <v>0</v>
      </c>
      <c r="G1060" s="127"/>
      <c r="H1060" s="127">
        <v>6459.63</v>
      </c>
      <c r="I1060" s="59">
        <f>ROUND(           (  E1060+H1060) *0.005,2)</f>
        <v>113.39</v>
      </c>
      <c r="J1060" s="127">
        <v>1833.63</v>
      </c>
      <c r="K1060" s="127">
        <v>22003.57</v>
      </c>
      <c r="L1060" s="128">
        <v>23837.200000000001</v>
      </c>
      <c r="M1060" s="129"/>
      <c r="N1060" s="127">
        <v>22003.57</v>
      </c>
      <c r="O1060" s="127">
        <v>15543.94</v>
      </c>
      <c r="P1060" s="127">
        <v>2214</v>
      </c>
      <c r="Q1060" s="127">
        <v>26635.11</v>
      </c>
      <c r="R1060" s="127">
        <v>24801.48</v>
      </c>
      <c r="T1060" s="75">
        <f>10*12</f>
        <v>120</v>
      </c>
      <c r="V1060" s="76">
        <f>P1060+T1060</f>
        <v>2334</v>
      </c>
    </row>
    <row r="1061" spans="1:22" s="75" customFormat="1" ht="9" customHeight="1" x14ac:dyDescent="0.2">
      <c r="A1061" s="159"/>
      <c r="B1061" s="159"/>
      <c r="C1061" s="130" t="s">
        <v>37</v>
      </c>
      <c r="D1061" s="131">
        <v>8</v>
      </c>
      <c r="E1061" s="132">
        <v>29801015</v>
      </c>
      <c r="F1061" s="133">
        <v>0</v>
      </c>
      <c r="G1061" s="133"/>
      <c r="H1061" s="132">
        <v>12507588</v>
      </c>
      <c r="I1061" s="64"/>
      <c r="J1061" s="134">
        <v>3550403</v>
      </c>
      <c r="K1061" s="134">
        <v>42604852</v>
      </c>
      <c r="L1061" s="132">
        <v>46155255</v>
      </c>
      <c r="M1061" s="135"/>
      <c r="N1061" s="133">
        <v>42604852</v>
      </c>
      <c r="O1061" s="133">
        <v>30097265</v>
      </c>
      <c r="P1061" s="133"/>
      <c r="Q1061" s="133">
        <v>51572764</v>
      </c>
      <c r="R1061" s="132">
        <v>48022362</v>
      </c>
      <c r="V1061" s="76"/>
    </row>
    <row r="1062" spans="1:22" s="75" customFormat="1" ht="12.75" customHeight="1" x14ac:dyDescent="0.2">
      <c r="A1062" s="151">
        <f>A1060</f>
        <v>44743</v>
      </c>
      <c r="B1062" s="151">
        <f>B1060</f>
        <v>45291</v>
      </c>
      <c r="C1062" s="136" t="s">
        <v>36</v>
      </c>
      <c r="D1062" s="137">
        <v>9</v>
      </c>
      <c r="E1062" s="127">
        <v>18882.419999999998</v>
      </c>
      <c r="F1062" s="127">
        <v>0</v>
      </c>
      <c r="G1062" s="127"/>
      <c r="H1062" s="127">
        <v>6459.63</v>
      </c>
      <c r="I1062" s="59">
        <f>ROUND(           (  E1062+H1062) *0.005,2)</f>
        <v>126.71</v>
      </c>
      <c r="J1062" s="127">
        <v>2049.08</v>
      </c>
      <c r="K1062" s="127">
        <v>16918.52</v>
      </c>
      <c r="L1062" s="128">
        <v>18967.599999999999</v>
      </c>
      <c r="M1062" s="129"/>
      <c r="N1062" s="127">
        <v>24588.91</v>
      </c>
      <c r="O1062" s="127">
        <v>18129.28</v>
      </c>
      <c r="P1062" s="127">
        <v>2214</v>
      </c>
      <c r="Q1062" s="127">
        <v>29901.26</v>
      </c>
      <c r="R1062" s="127">
        <v>27852.18</v>
      </c>
      <c r="T1062" s="75">
        <f>10*12</f>
        <v>120</v>
      </c>
      <c r="V1062" s="76">
        <f>P1062+T1062</f>
        <v>2334</v>
      </c>
    </row>
    <row r="1063" spans="1:22" s="75" customFormat="1" ht="9" customHeight="1" x14ac:dyDescent="0.2">
      <c r="A1063" s="151"/>
      <c r="B1063" s="151"/>
      <c r="C1063" s="130" t="s">
        <v>37</v>
      </c>
      <c r="D1063" s="131">
        <v>14</v>
      </c>
      <c r="E1063" s="132">
        <v>29801015</v>
      </c>
      <c r="F1063" s="133">
        <v>0</v>
      </c>
      <c r="G1063" s="133"/>
      <c r="H1063" s="132">
        <v>12507588</v>
      </c>
      <c r="I1063" s="64"/>
      <c r="J1063" s="134">
        <v>3967572</v>
      </c>
      <c r="K1063" s="132">
        <v>32758823</v>
      </c>
      <c r="L1063" s="132">
        <v>36726395</v>
      </c>
      <c r="M1063" s="135"/>
      <c r="N1063" s="133">
        <v>47610769</v>
      </c>
      <c r="O1063" s="133">
        <v>35103181</v>
      </c>
      <c r="P1063" s="133"/>
      <c r="Q1063" s="133">
        <v>57896913</v>
      </c>
      <c r="R1063" s="132">
        <v>53929341</v>
      </c>
      <c r="V1063" s="76"/>
    </row>
    <row r="1064" spans="1:22" s="75" customFormat="1" ht="12.75" customHeight="1" x14ac:dyDescent="0.2">
      <c r="A1064" s="151"/>
      <c r="B1064" s="151"/>
      <c r="C1064" s="136" t="s">
        <v>36</v>
      </c>
      <c r="D1064" s="137">
        <v>15</v>
      </c>
      <c r="E1064" s="127">
        <v>21216.959999999999</v>
      </c>
      <c r="F1064" s="127">
        <v>0</v>
      </c>
      <c r="G1064" s="127"/>
      <c r="H1064" s="127">
        <v>6459.63</v>
      </c>
      <c r="I1064" s="59">
        <f>ROUND(           (  E1064+H1064) *0.005,2)</f>
        <v>138.38</v>
      </c>
      <c r="J1064" s="127">
        <v>2237.9499999999998</v>
      </c>
      <c r="K1064" s="127">
        <v>17933.73</v>
      </c>
      <c r="L1064" s="128">
        <v>20171.68</v>
      </c>
      <c r="M1064" s="129"/>
      <c r="N1064" s="127">
        <v>26855.34</v>
      </c>
      <c r="O1064" s="127">
        <v>20395.71</v>
      </c>
      <c r="P1064" s="127">
        <v>2721.6</v>
      </c>
      <c r="Q1064" s="127">
        <v>32764.52</v>
      </c>
      <c r="R1064" s="127">
        <v>30526.57</v>
      </c>
      <c r="T1064" s="75">
        <f>12*12</f>
        <v>144</v>
      </c>
      <c r="V1064" s="76">
        <f>P1064+T1064</f>
        <v>2865.6</v>
      </c>
    </row>
    <row r="1065" spans="1:22" s="75" customFormat="1" ht="9" customHeight="1" x14ac:dyDescent="0.2">
      <c r="A1065" s="151"/>
      <c r="B1065" s="151"/>
      <c r="C1065" s="130" t="s">
        <v>37</v>
      </c>
      <c r="D1065" s="131">
        <v>20</v>
      </c>
      <c r="E1065" s="132">
        <v>29801015</v>
      </c>
      <c r="F1065" s="133">
        <v>0</v>
      </c>
      <c r="G1065" s="133"/>
      <c r="H1065" s="132">
        <v>12507588</v>
      </c>
      <c r="I1065" s="64"/>
      <c r="J1065" s="134">
        <v>4333275</v>
      </c>
      <c r="K1065" s="132">
        <v>34724543</v>
      </c>
      <c r="L1065" s="132">
        <v>39057819</v>
      </c>
      <c r="M1065" s="135"/>
      <c r="N1065" s="133">
        <v>51999189</v>
      </c>
      <c r="O1065" s="133">
        <v>39491601</v>
      </c>
      <c r="P1065" s="133"/>
      <c r="Q1065" s="133">
        <v>63440957</v>
      </c>
      <c r="R1065" s="132">
        <v>59107682</v>
      </c>
      <c r="V1065" s="76"/>
    </row>
    <row r="1066" spans="1:22" s="75" customFormat="1" ht="12.75" customHeight="1" x14ac:dyDescent="0.2">
      <c r="A1066" s="151"/>
      <c r="B1066" s="151"/>
      <c r="C1066" s="136" t="s">
        <v>36</v>
      </c>
      <c r="D1066" s="137">
        <v>21</v>
      </c>
      <c r="E1066" s="127">
        <v>23488.539999999997</v>
      </c>
      <c r="F1066" s="127">
        <v>0</v>
      </c>
      <c r="G1066" s="127"/>
      <c r="H1066" s="127">
        <v>6459.63</v>
      </c>
      <c r="I1066" s="59">
        <f>ROUND(           (  E1066+H1066) *0.005,2)</f>
        <v>149.74</v>
      </c>
      <c r="J1066" s="127">
        <v>2421.5100000000002</v>
      </c>
      <c r="K1066" s="127">
        <v>18921.79</v>
      </c>
      <c r="L1066" s="128">
        <v>21343.3</v>
      </c>
      <c r="M1066" s="129"/>
      <c r="N1066" s="127">
        <v>29058.09</v>
      </c>
      <c r="O1066" s="127">
        <v>22598.46</v>
      </c>
      <c r="P1066" s="127">
        <v>2721.6</v>
      </c>
      <c r="Q1066" s="127">
        <v>35547.32</v>
      </c>
      <c r="R1066" s="127">
        <v>33125.81</v>
      </c>
      <c r="T1066" s="75">
        <f>12*12</f>
        <v>144</v>
      </c>
      <c r="V1066" s="76">
        <f>P1066+T1066</f>
        <v>2865.6</v>
      </c>
    </row>
    <row r="1067" spans="1:22" s="75" customFormat="1" ht="9" customHeight="1" x14ac:dyDescent="0.2">
      <c r="A1067" s="151"/>
      <c r="B1067" s="151"/>
      <c r="C1067" s="130" t="s">
        <v>37</v>
      </c>
      <c r="D1067" s="131">
        <v>27</v>
      </c>
      <c r="E1067" s="132">
        <v>29801015</v>
      </c>
      <c r="F1067" s="133">
        <v>0</v>
      </c>
      <c r="G1067" s="133"/>
      <c r="H1067" s="132">
        <v>12507588</v>
      </c>
      <c r="I1067" s="64"/>
      <c r="J1067" s="134">
        <v>4688697</v>
      </c>
      <c r="K1067" s="132">
        <v>36637694</v>
      </c>
      <c r="L1067" s="132">
        <v>41326391</v>
      </c>
      <c r="M1067" s="135"/>
      <c r="N1067" s="133">
        <v>56264308</v>
      </c>
      <c r="O1067" s="133">
        <v>43756720</v>
      </c>
      <c r="P1067" s="133"/>
      <c r="Q1067" s="133">
        <v>68829209</v>
      </c>
      <c r="R1067" s="132">
        <v>64140512</v>
      </c>
      <c r="V1067" s="76"/>
    </row>
    <row r="1068" spans="1:22" s="75" customFormat="1" ht="12.75" customHeight="1" x14ac:dyDescent="0.2">
      <c r="A1068" s="151"/>
      <c r="B1068" s="151"/>
      <c r="C1068" s="136" t="s">
        <v>36</v>
      </c>
      <c r="D1068" s="137">
        <v>28</v>
      </c>
      <c r="E1068" s="127">
        <v>25719.719999999998</v>
      </c>
      <c r="F1068" s="127">
        <v>0</v>
      </c>
      <c r="G1068" s="127"/>
      <c r="H1068" s="127">
        <v>6459.63</v>
      </c>
      <c r="I1068" s="59">
        <f>ROUND(           (  E1068+H1068) *0.005,2)</f>
        <v>160.9</v>
      </c>
      <c r="J1068" s="127">
        <v>2601.71</v>
      </c>
      <c r="K1068" s="127">
        <v>19673.080000000002</v>
      </c>
      <c r="L1068" s="128">
        <v>22274.79</v>
      </c>
      <c r="M1068" s="129"/>
      <c r="N1068" s="127">
        <v>31220.46</v>
      </c>
      <c r="O1068" s="127">
        <v>24760.83</v>
      </c>
      <c r="P1068" s="127">
        <v>3458.4</v>
      </c>
      <c r="Q1068" s="127">
        <v>38279.120000000003</v>
      </c>
      <c r="R1068" s="127">
        <v>35677.410000000003</v>
      </c>
      <c r="T1068" s="75">
        <f>15*12</f>
        <v>180</v>
      </c>
      <c r="V1068" s="76">
        <f>P1068+T1068</f>
        <v>3638.4</v>
      </c>
    </row>
    <row r="1069" spans="1:22" s="75" customFormat="1" ht="9" customHeight="1" x14ac:dyDescent="0.2">
      <c r="A1069" s="151"/>
      <c r="B1069" s="151"/>
      <c r="C1069" s="130" t="s">
        <v>37</v>
      </c>
      <c r="D1069" s="131">
        <v>34</v>
      </c>
      <c r="E1069" s="132">
        <v>29801015</v>
      </c>
      <c r="F1069" s="133">
        <v>0</v>
      </c>
      <c r="G1069" s="133"/>
      <c r="H1069" s="132">
        <v>12507588</v>
      </c>
      <c r="I1069" s="64"/>
      <c r="J1069" s="134">
        <v>5037613</v>
      </c>
      <c r="K1069" s="132">
        <v>38092395</v>
      </c>
      <c r="L1069" s="132">
        <v>43130008</v>
      </c>
      <c r="M1069" s="135"/>
      <c r="N1069" s="133">
        <v>60451240</v>
      </c>
      <c r="O1069" s="133">
        <v>47943652</v>
      </c>
      <c r="P1069" s="133"/>
      <c r="Q1069" s="133">
        <v>74118712</v>
      </c>
      <c r="R1069" s="132">
        <v>69081099</v>
      </c>
      <c r="V1069" s="76"/>
    </row>
    <row r="1070" spans="1:22" s="75" customFormat="1" ht="12.75" customHeight="1" x14ac:dyDescent="0.2">
      <c r="A1070" s="151"/>
      <c r="B1070" s="151"/>
      <c r="C1070" s="136" t="s">
        <v>36</v>
      </c>
      <c r="D1070" s="137">
        <v>35</v>
      </c>
      <c r="E1070" s="127">
        <v>27377.74</v>
      </c>
      <c r="F1070" s="127">
        <v>0</v>
      </c>
      <c r="G1070" s="127"/>
      <c r="H1070" s="127">
        <v>6459.63</v>
      </c>
      <c r="I1070" s="59">
        <f>ROUND(           (  E1070+H1070) *0.005,2)</f>
        <v>169.19</v>
      </c>
      <c r="J1070" s="127">
        <v>2735.81</v>
      </c>
      <c r="K1070" s="127">
        <v>20206.89</v>
      </c>
      <c r="L1070" s="128">
        <v>22942.7</v>
      </c>
      <c r="M1070" s="129"/>
      <c r="N1070" s="127">
        <v>32829.660000000003</v>
      </c>
      <c r="O1070" s="127">
        <v>26370.03</v>
      </c>
      <c r="P1070" s="127">
        <v>3458.4</v>
      </c>
      <c r="Q1070" s="127">
        <v>40312.080000000002</v>
      </c>
      <c r="R1070" s="127">
        <v>37576.269999999997</v>
      </c>
      <c r="T1070" s="75">
        <f>15*12</f>
        <v>180</v>
      </c>
      <c r="V1070" s="76">
        <f>P1070+T1070</f>
        <v>3638.4</v>
      </c>
    </row>
    <row r="1071" spans="1:22" s="75" customFormat="1" ht="9" customHeight="1" x14ac:dyDescent="0.2">
      <c r="A1071" s="161"/>
      <c r="B1071" s="161"/>
      <c r="C1071" s="138" t="s">
        <v>37</v>
      </c>
      <c r="D1071" s="139"/>
      <c r="E1071" s="132">
        <v>29801015</v>
      </c>
      <c r="F1071" s="132">
        <v>0</v>
      </c>
      <c r="G1071" s="132"/>
      <c r="H1071" s="132">
        <v>12507588</v>
      </c>
      <c r="I1071" s="64"/>
      <c r="J1071" s="132">
        <v>5297267</v>
      </c>
      <c r="K1071" s="132">
        <v>39125995</v>
      </c>
      <c r="L1071" s="132">
        <v>44423262</v>
      </c>
      <c r="M1071" s="135"/>
      <c r="N1071" s="132">
        <v>63567086</v>
      </c>
      <c r="O1071" s="132">
        <v>51059498</v>
      </c>
      <c r="P1071" s="132"/>
      <c r="Q1071" s="132">
        <v>78055071</v>
      </c>
      <c r="R1071" s="132">
        <v>72757804</v>
      </c>
      <c r="V1071" s="76"/>
    </row>
    <row r="1072" spans="1:22" s="75" customFormat="1" ht="9" customHeight="1" x14ac:dyDescent="0.2">
      <c r="A1072" s="266"/>
      <c r="B1072" s="266"/>
      <c r="C1072" s="141"/>
      <c r="D1072" s="141"/>
      <c r="E1072" s="142"/>
      <c r="F1072" s="142"/>
      <c r="G1072" s="142"/>
      <c r="H1072" s="142"/>
      <c r="I1072" s="142"/>
      <c r="J1072" s="142"/>
      <c r="K1072" s="142"/>
      <c r="L1072" s="142"/>
      <c r="M1072" s="135"/>
      <c r="N1072" s="142"/>
      <c r="O1072" s="142"/>
      <c r="P1072" s="142"/>
      <c r="Q1072" s="142"/>
      <c r="R1072" s="142"/>
      <c r="V1072" s="76"/>
    </row>
    <row r="1073" spans="1:22" s="75" customFormat="1" ht="9" customHeight="1" x14ac:dyDescent="0.2">
      <c r="A1073" s="266"/>
      <c r="B1073" s="266"/>
      <c r="C1073" s="141"/>
      <c r="D1073" s="141"/>
      <c r="E1073" s="142"/>
      <c r="F1073" s="142"/>
      <c r="G1073" s="142"/>
      <c r="H1073" s="142"/>
      <c r="I1073" s="142"/>
      <c r="J1073" s="142"/>
      <c r="K1073" s="142"/>
      <c r="L1073" s="142"/>
      <c r="M1073" s="135"/>
      <c r="N1073" s="142"/>
      <c r="O1073" s="142"/>
      <c r="P1073" s="142"/>
      <c r="Q1073" s="142"/>
      <c r="R1073" s="142"/>
      <c r="V1073" s="76"/>
    </row>
    <row r="1074" spans="1:22" s="75" customFormat="1" ht="9" customHeight="1" x14ac:dyDescent="0.2">
      <c r="A1074" s="266"/>
      <c r="B1074" s="266"/>
      <c r="C1074" s="141"/>
      <c r="D1074" s="141"/>
      <c r="E1074" s="142"/>
      <c r="F1074" s="142"/>
      <c r="G1074" s="142"/>
      <c r="H1074" s="142"/>
      <c r="I1074" s="142"/>
      <c r="J1074" s="142"/>
      <c r="K1074" s="142"/>
      <c r="L1074" s="142"/>
      <c r="M1074" s="135"/>
      <c r="N1074" s="142"/>
      <c r="O1074" s="142"/>
      <c r="P1074" s="142"/>
      <c r="Q1074" s="142"/>
      <c r="R1074" s="142"/>
      <c r="V1074" s="76"/>
    </row>
    <row r="1075" spans="1:22" s="75" customFormat="1" ht="9" customHeight="1" x14ac:dyDescent="0.2">
      <c r="A1075" s="266"/>
      <c r="B1075" s="266"/>
      <c r="C1075" s="141"/>
      <c r="D1075" s="141"/>
      <c r="E1075" s="142"/>
      <c r="F1075" s="142"/>
      <c r="G1075" s="142"/>
      <c r="H1075" s="142"/>
      <c r="I1075" s="142"/>
      <c r="J1075" s="142"/>
      <c r="K1075" s="142"/>
      <c r="L1075" s="142"/>
      <c r="M1075" s="135"/>
      <c r="N1075" s="142"/>
      <c r="O1075" s="142"/>
      <c r="P1075" s="142"/>
      <c r="Q1075" s="142"/>
      <c r="R1075" s="142"/>
      <c r="V1075" s="76"/>
    </row>
    <row r="1076" spans="1:22" s="75" customFormat="1" ht="9" customHeight="1" x14ac:dyDescent="0.2">
      <c r="A1076" s="266"/>
      <c r="B1076" s="266"/>
      <c r="C1076" s="141"/>
      <c r="D1076" s="141"/>
      <c r="E1076" s="142"/>
      <c r="F1076" s="142"/>
      <c r="G1076" s="142"/>
      <c r="H1076" s="142"/>
      <c r="I1076" s="142"/>
      <c r="J1076" s="142"/>
      <c r="K1076" s="142"/>
      <c r="L1076" s="142"/>
      <c r="M1076" s="135"/>
      <c r="N1076" s="142"/>
      <c r="O1076" s="142"/>
      <c r="P1076" s="142"/>
      <c r="Q1076" s="142"/>
      <c r="R1076" s="142"/>
      <c r="V1076" s="76"/>
    </row>
    <row r="1077" spans="1:22" s="75" customFormat="1" ht="9" customHeight="1" x14ac:dyDescent="0.2">
      <c r="A1077" s="266"/>
      <c r="B1077" s="266"/>
      <c r="C1077" s="141"/>
      <c r="D1077" s="141"/>
      <c r="E1077" s="142"/>
      <c r="F1077" s="142"/>
      <c r="G1077" s="142"/>
      <c r="H1077" s="142"/>
      <c r="I1077" s="142"/>
      <c r="J1077" s="142"/>
      <c r="K1077" s="142"/>
      <c r="L1077" s="142"/>
      <c r="M1077" s="135"/>
      <c r="N1077" s="142"/>
      <c r="O1077" s="142"/>
      <c r="P1077" s="142"/>
      <c r="Q1077" s="142"/>
      <c r="R1077" s="142"/>
      <c r="V1077" s="76"/>
    </row>
    <row r="1078" spans="1:22" s="75" customFormat="1" ht="9" customHeight="1" x14ac:dyDescent="0.2">
      <c r="A1078" s="266"/>
      <c r="B1078" s="266"/>
      <c r="C1078" s="141"/>
      <c r="D1078" s="141"/>
      <c r="E1078" s="142"/>
      <c r="F1078" s="142"/>
      <c r="G1078" s="142"/>
      <c r="H1078" s="142"/>
      <c r="I1078" s="142"/>
      <c r="J1078" s="142"/>
      <c r="K1078" s="142"/>
      <c r="L1078" s="142"/>
      <c r="M1078" s="135"/>
      <c r="N1078" s="142"/>
      <c r="O1078" s="142"/>
      <c r="P1078" s="142"/>
      <c r="Q1078" s="142"/>
      <c r="R1078" s="142"/>
      <c r="V1078" s="76"/>
    </row>
    <row r="1079" spans="1:22" s="75" customFormat="1" ht="9" customHeight="1" x14ac:dyDescent="0.2">
      <c r="A1079" s="266"/>
      <c r="B1079" s="266"/>
      <c r="C1079" s="141"/>
      <c r="D1079" s="141"/>
      <c r="E1079" s="142"/>
      <c r="F1079" s="142"/>
      <c r="G1079" s="142"/>
      <c r="H1079" s="142"/>
      <c r="I1079" s="142"/>
      <c r="J1079" s="142"/>
      <c r="K1079" s="142"/>
      <c r="L1079" s="142"/>
      <c r="M1079" s="135"/>
      <c r="N1079" s="142"/>
      <c r="O1079" s="142"/>
      <c r="P1079" s="142"/>
      <c r="Q1079" s="142"/>
      <c r="R1079" s="142"/>
      <c r="V1079" s="76"/>
    </row>
    <row r="1080" spans="1:22" s="75" customFormat="1" ht="9" customHeight="1" x14ac:dyDescent="0.2">
      <c r="A1080" s="266"/>
      <c r="B1080" s="266"/>
      <c r="C1080" s="141"/>
      <c r="D1080" s="141"/>
      <c r="E1080" s="142"/>
      <c r="F1080" s="142"/>
      <c r="G1080" s="142"/>
      <c r="H1080" s="142"/>
      <c r="I1080" s="142"/>
      <c r="J1080" s="142"/>
      <c r="K1080" s="142"/>
      <c r="L1080" s="142"/>
      <c r="M1080" s="135"/>
      <c r="N1080" s="142"/>
      <c r="O1080" s="142"/>
      <c r="P1080" s="142"/>
      <c r="Q1080" s="142"/>
      <c r="R1080" s="142"/>
      <c r="V1080" s="76"/>
    </row>
    <row r="1081" spans="1:22" s="75" customFormat="1" ht="9" customHeight="1" x14ac:dyDescent="0.2">
      <c r="A1081" s="266"/>
      <c r="B1081" s="266"/>
      <c r="C1081" s="141"/>
      <c r="D1081" s="141"/>
      <c r="E1081" s="142"/>
      <c r="F1081" s="142"/>
      <c r="G1081" s="142"/>
      <c r="H1081" s="142"/>
      <c r="I1081" s="142"/>
      <c r="J1081" s="142"/>
      <c r="K1081" s="142"/>
      <c r="L1081" s="142"/>
      <c r="M1081" s="135"/>
      <c r="N1081" s="142"/>
      <c r="O1081" s="142"/>
      <c r="P1081" s="142"/>
      <c r="Q1081" s="142"/>
      <c r="R1081" s="142"/>
      <c r="V1081" s="76"/>
    </row>
    <row r="1082" spans="1:22" s="75" customFormat="1" ht="9" customHeight="1" x14ac:dyDescent="0.2">
      <c r="A1082" s="266"/>
      <c r="B1082" s="266"/>
      <c r="C1082" s="141"/>
      <c r="D1082" s="141"/>
      <c r="E1082" s="142"/>
      <c r="F1082" s="142"/>
      <c r="G1082" s="142"/>
      <c r="H1082" s="142"/>
      <c r="I1082" s="142"/>
      <c r="J1082" s="142"/>
      <c r="K1082" s="142"/>
      <c r="L1082" s="142"/>
      <c r="M1082" s="135"/>
      <c r="N1082" s="142"/>
      <c r="O1082" s="142"/>
      <c r="P1082" s="142"/>
      <c r="Q1082" s="142"/>
      <c r="R1082" s="142"/>
      <c r="V1082" s="76"/>
    </row>
    <row r="1083" spans="1:22" s="75" customFormat="1" ht="9" customHeight="1" x14ac:dyDescent="0.2">
      <c r="A1083" s="266"/>
      <c r="B1083" s="266"/>
      <c r="C1083" s="141"/>
      <c r="D1083" s="141"/>
      <c r="E1083" s="142"/>
      <c r="F1083" s="142"/>
      <c r="G1083" s="142"/>
      <c r="H1083" s="142"/>
      <c r="I1083" s="142"/>
      <c r="J1083" s="142"/>
      <c r="K1083" s="142"/>
      <c r="L1083" s="142"/>
      <c r="M1083" s="135"/>
      <c r="N1083" s="142"/>
      <c r="O1083" s="142"/>
      <c r="P1083" s="142"/>
      <c r="Q1083" s="142"/>
      <c r="R1083" s="142"/>
      <c r="V1083" s="76"/>
    </row>
    <row r="1084" spans="1:22" s="75" customFormat="1" ht="9" customHeight="1" x14ac:dyDescent="0.2">
      <c r="A1084" s="266"/>
      <c r="B1084" s="266"/>
      <c r="C1084" s="141"/>
      <c r="D1084" s="141"/>
      <c r="E1084" s="142"/>
      <c r="F1084" s="142"/>
      <c r="G1084" s="142"/>
      <c r="H1084" s="142"/>
      <c r="I1084" s="142"/>
      <c r="J1084" s="142"/>
      <c r="K1084" s="142"/>
      <c r="L1084" s="142"/>
      <c r="M1084" s="135"/>
      <c r="N1084" s="142"/>
      <c r="O1084" s="142"/>
      <c r="P1084" s="142"/>
      <c r="Q1084" s="142"/>
      <c r="R1084" s="142"/>
      <c r="V1084" s="76"/>
    </row>
    <row r="1085" spans="1:22" s="75" customFormat="1" ht="9" customHeight="1" x14ac:dyDescent="0.2">
      <c r="A1085" s="266"/>
      <c r="B1085" s="266"/>
      <c r="C1085" s="141"/>
      <c r="D1085" s="141"/>
      <c r="E1085" s="142"/>
      <c r="F1085" s="142"/>
      <c r="G1085" s="142"/>
      <c r="H1085" s="142"/>
      <c r="I1085" s="142"/>
      <c r="J1085" s="142"/>
      <c r="K1085" s="142"/>
      <c r="L1085" s="142"/>
      <c r="M1085" s="135"/>
      <c r="N1085" s="142"/>
      <c r="O1085" s="142"/>
      <c r="P1085" s="142"/>
      <c r="Q1085" s="142"/>
      <c r="R1085" s="142"/>
      <c r="V1085" s="76"/>
    </row>
    <row r="1086" spans="1:22" s="75" customFormat="1" ht="9" customHeight="1" x14ac:dyDescent="0.2">
      <c r="A1086" s="266"/>
      <c r="B1086" s="266"/>
      <c r="C1086" s="141"/>
      <c r="D1086" s="141"/>
      <c r="E1086" s="142"/>
      <c r="F1086" s="142"/>
      <c r="G1086" s="142"/>
      <c r="H1086" s="142"/>
      <c r="I1086" s="142"/>
      <c r="J1086" s="142"/>
      <c r="K1086" s="142"/>
      <c r="L1086" s="142"/>
      <c r="M1086" s="135"/>
      <c r="N1086" s="142"/>
      <c r="O1086" s="142"/>
      <c r="P1086" s="142"/>
      <c r="Q1086" s="142"/>
      <c r="R1086" s="142"/>
      <c r="V1086" s="76"/>
    </row>
    <row r="1087" spans="1:22" s="75" customFormat="1" ht="9" customHeight="1" x14ac:dyDescent="0.2">
      <c r="A1087" s="266"/>
      <c r="B1087" s="266"/>
      <c r="C1087" s="141"/>
      <c r="D1087" s="141"/>
      <c r="E1087" s="142"/>
      <c r="F1087" s="142"/>
      <c r="G1087" s="142"/>
      <c r="H1087" s="142"/>
      <c r="I1087" s="142"/>
      <c r="J1087" s="142"/>
      <c r="K1087" s="142"/>
      <c r="L1087" s="142"/>
      <c r="M1087" s="135"/>
      <c r="N1087" s="142"/>
      <c r="O1087" s="142"/>
      <c r="P1087" s="142"/>
      <c r="Q1087" s="142"/>
      <c r="R1087" s="142"/>
      <c r="V1087" s="76"/>
    </row>
    <row r="1088" spans="1:22" s="75" customFormat="1" ht="9" customHeight="1" x14ac:dyDescent="0.2">
      <c r="A1088" s="266"/>
      <c r="B1088" s="266"/>
      <c r="C1088" s="141"/>
      <c r="D1088" s="141"/>
      <c r="E1088" s="142"/>
      <c r="F1088" s="142"/>
      <c r="G1088" s="142"/>
      <c r="H1088" s="142"/>
      <c r="I1088" s="142"/>
      <c r="J1088" s="142"/>
      <c r="K1088" s="142"/>
      <c r="L1088" s="142"/>
      <c r="M1088" s="135"/>
      <c r="N1088" s="142"/>
      <c r="O1088" s="142"/>
      <c r="P1088" s="142"/>
      <c r="Q1088" s="142"/>
      <c r="R1088" s="142"/>
      <c r="V1088" s="76"/>
    </row>
    <row r="1089" spans="1:22" s="75" customFormat="1" ht="9" customHeight="1" x14ac:dyDescent="0.2">
      <c r="A1089" s="266"/>
      <c r="B1089" s="266"/>
      <c r="C1089" s="141"/>
      <c r="D1089" s="141"/>
      <c r="E1089" s="142"/>
      <c r="F1089" s="142"/>
      <c r="G1089" s="142"/>
      <c r="H1089" s="142"/>
      <c r="I1089" s="142"/>
      <c r="J1089" s="142"/>
      <c r="K1089" s="142"/>
      <c r="L1089" s="142"/>
      <c r="M1089" s="135"/>
      <c r="N1089" s="142"/>
      <c r="O1089" s="142"/>
      <c r="P1089" s="142"/>
      <c r="Q1089" s="142"/>
      <c r="R1089" s="142"/>
      <c r="V1089" s="76"/>
    </row>
    <row r="1090" spans="1:22" s="75" customFormat="1" ht="9" customHeight="1" x14ac:dyDescent="0.2">
      <c r="A1090" s="266"/>
      <c r="B1090" s="266"/>
      <c r="C1090" s="141"/>
      <c r="D1090" s="141"/>
      <c r="E1090" s="142"/>
      <c r="F1090" s="142"/>
      <c r="G1090" s="142"/>
      <c r="H1090" s="142"/>
      <c r="I1090" s="142"/>
      <c r="J1090" s="142"/>
      <c r="K1090" s="142"/>
      <c r="L1090" s="142"/>
      <c r="M1090" s="135"/>
      <c r="N1090" s="142"/>
      <c r="O1090" s="142"/>
      <c r="P1090" s="142"/>
      <c r="Q1090" s="142"/>
      <c r="R1090" s="142"/>
      <c r="V1090" s="76"/>
    </row>
    <row r="1091" spans="1:22" s="75" customFormat="1" ht="9" customHeight="1" x14ac:dyDescent="0.2">
      <c r="A1091" s="266"/>
      <c r="B1091" s="266"/>
      <c r="C1091" s="141"/>
      <c r="D1091" s="141"/>
      <c r="E1091" s="142"/>
      <c r="F1091" s="142"/>
      <c r="G1091" s="142"/>
      <c r="H1091" s="142"/>
      <c r="I1091" s="142"/>
      <c r="J1091" s="142"/>
      <c r="K1091" s="142"/>
      <c r="L1091" s="142"/>
      <c r="M1091" s="135"/>
      <c r="N1091" s="142"/>
      <c r="O1091" s="142"/>
      <c r="P1091" s="142"/>
      <c r="Q1091" s="142"/>
      <c r="R1091" s="142"/>
      <c r="V1091" s="76"/>
    </row>
    <row r="1092" spans="1:22" s="75" customFormat="1" ht="9" customHeight="1" x14ac:dyDescent="0.2">
      <c r="A1092" s="266"/>
      <c r="B1092" s="266"/>
      <c r="C1092" s="141"/>
      <c r="D1092" s="141"/>
      <c r="E1092" s="142"/>
      <c r="F1092" s="142"/>
      <c r="G1092" s="142"/>
      <c r="H1092" s="142"/>
      <c r="I1092" s="142"/>
      <c r="J1092" s="142"/>
      <c r="K1092" s="142"/>
      <c r="L1092" s="142"/>
      <c r="M1092" s="135"/>
      <c r="N1092" s="142"/>
      <c r="O1092" s="142"/>
      <c r="P1092" s="142"/>
      <c r="Q1092" s="142"/>
      <c r="R1092" s="142"/>
      <c r="V1092" s="76"/>
    </row>
    <row r="1093" spans="1:22" s="75" customFormat="1" ht="9" customHeight="1" x14ac:dyDescent="0.2">
      <c r="A1093" s="266"/>
      <c r="B1093" s="266"/>
      <c r="C1093" s="141"/>
      <c r="D1093" s="141"/>
      <c r="E1093" s="142"/>
      <c r="F1093" s="142"/>
      <c r="G1093" s="142"/>
      <c r="H1093" s="142"/>
      <c r="I1093" s="142"/>
      <c r="J1093" s="142"/>
      <c r="K1093" s="142"/>
      <c r="L1093" s="142"/>
      <c r="M1093" s="135"/>
      <c r="N1093" s="142"/>
      <c r="O1093" s="142"/>
      <c r="P1093" s="142"/>
      <c r="Q1093" s="142"/>
      <c r="R1093" s="142"/>
      <c r="V1093" s="76"/>
    </row>
    <row r="1094" spans="1:22" s="75" customFormat="1" ht="9" customHeight="1" x14ac:dyDescent="0.2">
      <c r="A1094" s="266"/>
      <c r="B1094" s="266"/>
      <c r="C1094" s="141"/>
      <c r="D1094" s="141"/>
      <c r="E1094" s="142"/>
      <c r="F1094" s="142"/>
      <c r="G1094" s="142"/>
      <c r="H1094" s="142"/>
      <c r="I1094" s="142"/>
      <c r="J1094" s="142"/>
      <c r="K1094" s="142"/>
      <c r="L1094" s="142"/>
      <c r="M1094" s="135"/>
      <c r="N1094" s="142"/>
      <c r="O1094" s="142"/>
      <c r="P1094" s="142"/>
      <c r="Q1094" s="142"/>
      <c r="R1094" s="142"/>
      <c r="V1094" s="76"/>
    </row>
    <row r="1095" spans="1:22" s="75" customFormat="1" ht="9" customHeight="1" x14ac:dyDescent="0.2">
      <c r="A1095" s="266"/>
      <c r="B1095" s="266"/>
      <c r="C1095" s="141"/>
      <c r="D1095" s="141"/>
      <c r="E1095" s="142"/>
      <c r="F1095" s="142"/>
      <c r="G1095" s="142"/>
      <c r="H1095" s="142"/>
      <c r="I1095" s="142"/>
      <c r="J1095" s="142"/>
      <c r="K1095" s="142"/>
      <c r="L1095" s="142"/>
      <c r="M1095" s="135"/>
      <c r="N1095" s="142"/>
      <c r="O1095" s="142"/>
      <c r="P1095" s="142"/>
      <c r="Q1095" s="142"/>
      <c r="R1095" s="142"/>
      <c r="V1095" s="76"/>
    </row>
    <row r="1096" spans="1:22" s="75" customFormat="1" ht="9" customHeight="1" x14ac:dyDescent="0.2">
      <c r="A1096" s="266"/>
      <c r="B1096" s="266"/>
      <c r="C1096" s="141"/>
      <c r="D1096" s="141"/>
      <c r="E1096" s="142"/>
      <c r="F1096" s="142"/>
      <c r="G1096" s="142"/>
      <c r="H1096" s="142"/>
      <c r="I1096" s="142"/>
      <c r="J1096" s="142"/>
      <c r="K1096" s="142"/>
      <c r="L1096" s="142"/>
      <c r="M1096" s="135"/>
      <c r="N1096" s="142"/>
      <c r="O1096" s="142"/>
      <c r="P1096" s="142"/>
      <c r="Q1096" s="142"/>
      <c r="R1096" s="142"/>
      <c r="V1096" s="76"/>
    </row>
    <row r="1097" spans="1:22" s="75" customFormat="1" ht="9" customHeight="1" x14ac:dyDescent="0.2">
      <c r="A1097" s="266"/>
      <c r="B1097" s="266"/>
      <c r="C1097" s="141"/>
      <c r="D1097" s="141"/>
      <c r="E1097" s="142"/>
      <c r="F1097" s="142"/>
      <c r="G1097" s="142"/>
      <c r="H1097" s="142"/>
      <c r="I1097" s="142"/>
      <c r="J1097" s="142"/>
      <c r="K1097" s="142"/>
      <c r="L1097" s="142"/>
      <c r="M1097" s="135"/>
      <c r="N1097" s="142"/>
      <c r="O1097" s="142"/>
      <c r="P1097" s="142"/>
      <c r="Q1097" s="142"/>
      <c r="R1097" s="142"/>
      <c r="V1097" s="76"/>
    </row>
    <row r="1098" spans="1:22" s="75" customFormat="1" ht="9" customHeight="1" x14ac:dyDescent="0.2">
      <c r="A1098" s="266"/>
      <c r="B1098" s="266"/>
      <c r="C1098" s="141"/>
      <c r="D1098" s="141"/>
      <c r="E1098" s="142"/>
      <c r="F1098" s="142"/>
      <c r="G1098" s="142"/>
      <c r="H1098" s="142"/>
      <c r="I1098" s="142"/>
      <c r="J1098" s="142"/>
      <c r="K1098" s="142"/>
      <c r="L1098" s="142"/>
      <c r="M1098" s="135"/>
      <c r="N1098" s="142"/>
      <c r="O1098" s="142"/>
      <c r="P1098" s="142"/>
      <c r="Q1098" s="142"/>
      <c r="R1098" s="142"/>
      <c r="V1098" s="76"/>
    </row>
    <row r="1099" spans="1:22" s="75" customFormat="1" ht="9" customHeight="1" x14ac:dyDescent="0.2">
      <c r="A1099" s="266"/>
      <c r="B1099" s="266"/>
      <c r="C1099" s="141"/>
      <c r="D1099" s="141"/>
      <c r="E1099" s="142"/>
      <c r="F1099" s="142"/>
      <c r="G1099" s="142"/>
      <c r="H1099" s="142"/>
      <c r="I1099" s="142"/>
      <c r="J1099" s="142"/>
      <c r="K1099" s="142"/>
      <c r="L1099" s="142"/>
      <c r="M1099" s="135"/>
      <c r="N1099" s="142"/>
      <c r="O1099" s="142"/>
      <c r="P1099" s="142"/>
      <c r="Q1099" s="142"/>
      <c r="R1099" s="142"/>
      <c r="V1099" s="76"/>
    </row>
    <row r="1100" spans="1:22" s="75" customFormat="1" ht="9" customHeight="1" x14ac:dyDescent="0.2">
      <c r="A1100" s="266"/>
      <c r="B1100" s="266"/>
      <c r="C1100" s="141"/>
      <c r="D1100" s="141"/>
      <c r="E1100" s="142"/>
      <c r="F1100" s="142"/>
      <c r="G1100" s="142"/>
      <c r="H1100" s="142"/>
      <c r="I1100" s="142"/>
      <c r="J1100" s="142"/>
      <c r="K1100" s="142"/>
      <c r="L1100" s="142"/>
      <c r="M1100" s="135"/>
      <c r="N1100" s="142"/>
      <c r="O1100" s="142"/>
      <c r="P1100" s="142"/>
      <c r="Q1100" s="142"/>
      <c r="R1100" s="142"/>
      <c r="V1100" s="76"/>
    </row>
    <row r="1101" spans="1:22" s="75" customFormat="1" ht="9" customHeight="1" x14ac:dyDescent="0.2">
      <c r="A1101" s="266"/>
      <c r="B1101" s="266"/>
      <c r="C1101" s="141"/>
      <c r="D1101" s="141"/>
      <c r="E1101" s="142"/>
      <c r="F1101" s="142"/>
      <c r="G1101" s="142"/>
      <c r="H1101" s="142"/>
      <c r="I1101" s="142"/>
      <c r="J1101" s="142"/>
      <c r="K1101" s="142"/>
      <c r="L1101" s="142"/>
      <c r="M1101" s="135"/>
      <c r="N1101" s="142"/>
      <c r="O1101" s="142"/>
      <c r="P1101" s="142"/>
      <c r="Q1101" s="142"/>
      <c r="R1101" s="142"/>
      <c r="V1101" s="76"/>
    </row>
    <row r="1102" spans="1:22" s="75" customFormat="1" ht="9" customHeight="1" x14ac:dyDescent="0.2">
      <c r="A1102" s="266"/>
      <c r="B1102" s="266"/>
      <c r="C1102" s="141"/>
      <c r="D1102" s="141"/>
      <c r="E1102" s="142"/>
      <c r="F1102" s="142"/>
      <c r="G1102" s="142"/>
      <c r="H1102" s="142"/>
      <c r="I1102" s="142"/>
      <c r="J1102" s="142"/>
      <c r="K1102" s="142"/>
      <c r="L1102" s="142"/>
      <c r="M1102" s="135"/>
      <c r="N1102" s="142"/>
      <c r="O1102" s="142"/>
      <c r="P1102" s="142"/>
      <c r="Q1102" s="142"/>
      <c r="R1102" s="142"/>
      <c r="V1102" s="76"/>
    </row>
    <row r="1103" spans="1:22" s="75" customFormat="1" ht="9" customHeight="1" x14ac:dyDescent="0.2">
      <c r="A1103" s="266"/>
      <c r="B1103" s="266"/>
      <c r="C1103" s="141"/>
      <c r="D1103" s="141"/>
      <c r="E1103" s="142"/>
      <c r="F1103" s="142"/>
      <c r="G1103" s="142"/>
      <c r="H1103" s="142"/>
      <c r="I1103" s="142"/>
      <c r="J1103" s="142"/>
      <c r="K1103" s="142"/>
      <c r="L1103" s="142"/>
      <c r="M1103" s="135"/>
      <c r="N1103" s="142"/>
      <c r="O1103" s="142"/>
      <c r="P1103" s="142"/>
      <c r="Q1103" s="142"/>
      <c r="R1103" s="142"/>
      <c r="V1103" s="76"/>
    </row>
    <row r="1104" spans="1:22" s="75" customFormat="1" ht="9" customHeight="1" x14ac:dyDescent="0.2">
      <c r="A1104" s="266"/>
      <c r="B1104" s="266"/>
      <c r="C1104" s="141"/>
      <c r="D1104" s="141"/>
      <c r="E1104" s="142"/>
      <c r="F1104" s="142"/>
      <c r="G1104" s="142"/>
      <c r="H1104" s="142"/>
      <c r="I1104" s="142"/>
      <c r="J1104" s="142"/>
      <c r="K1104" s="142"/>
      <c r="L1104" s="142"/>
      <c r="M1104" s="135"/>
      <c r="N1104" s="142"/>
      <c r="O1104" s="142"/>
      <c r="P1104" s="142"/>
      <c r="Q1104" s="142"/>
      <c r="R1104" s="142"/>
      <c r="V1104" s="76"/>
    </row>
    <row r="1105" spans="1:22" s="75" customFormat="1" ht="9" customHeight="1" x14ac:dyDescent="0.2">
      <c r="A1105" s="266"/>
      <c r="B1105" s="266"/>
      <c r="C1105" s="141"/>
      <c r="D1105" s="141"/>
      <c r="E1105" s="142"/>
      <c r="F1105" s="142"/>
      <c r="G1105" s="142"/>
      <c r="H1105" s="142"/>
      <c r="I1105" s="142"/>
      <c r="J1105" s="142"/>
      <c r="K1105" s="142"/>
      <c r="L1105" s="142"/>
      <c r="M1105" s="135"/>
      <c r="N1105" s="142"/>
      <c r="O1105" s="142"/>
      <c r="P1105" s="142"/>
      <c r="Q1105" s="142"/>
      <c r="R1105" s="142"/>
      <c r="V1105" s="76"/>
    </row>
    <row r="1106" spans="1:22" s="75" customFormat="1" ht="9" customHeight="1" x14ac:dyDescent="0.2">
      <c r="A1106" s="266"/>
      <c r="B1106" s="266"/>
      <c r="C1106" s="141"/>
      <c r="D1106" s="141"/>
      <c r="E1106" s="142"/>
      <c r="F1106" s="142"/>
      <c r="G1106" s="142"/>
      <c r="H1106" s="142"/>
      <c r="I1106" s="142"/>
      <c r="J1106" s="142"/>
      <c r="K1106" s="142"/>
      <c r="L1106" s="142"/>
      <c r="M1106" s="135"/>
      <c r="N1106" s="142"/>
      <c r="O1106" s="142"/>
      <c r="P1106" s="142"/>
      <c r="Q1106" s="142"/>
      <c r="R1106" s="142"/>
      <c r="V1106" s="76"/>
    </row>
    <row r="1107" spans="1:22" s="75" customFormat="1" ht="9" customHeight="1" x14ac:dyDescent="0.2">
      <c r="A1107" s="266"/>
      <c r="B1107" s="266"/>
      <c r="C1107" s="141"/>
      <c r="D1107" s="141"/>
      <c r="E1107" s="142"/>
      <c r="F1107" s="142"/>
      <c r="G1107" s="142"/>
      <c r="H1107" s="142"/>
      <c r="I1107" s="142"/>
      <c r="J1107" s="142"/>
      <c r="K1107" s="142"/>
      <c r="L1107" s="142"/>
      <c r="M1107" s="135"/>
      <c r="N1107" s="142"/>
      <c r="O1107" s="142"/>
      <c r="P1107" s="142"/>
      <c r="Q1107" s="142"/>
      <c r="R1107" s="142"/>
      <c r="V1107" s="76"/>
    </row>
    <row r="1108" spans="1:22" s="75" customFormat="1" ht="9" customHeight="1" x14ac:dyDescent="0.2">
      <c r="A1108" s="266"/>
      <c r="B1108" s="266"/>
      <c r="C1108" s="141"/>
      <c r="D1108" s="141"/>
      <c r="E1108" s="142"/>
      <c r="F1108" s="142"/>
      <c r="G1108" s="142"/>
      <c r="H1108" s="142"/>
      <c r="I1108" s="142"/>
      <c r="J1108" s="142"/>
      <c r="K1108" s="142"/>
      <c r="L1108" s="142"/>
      <c r="M1108" s="135"/>
      <c r="N1108" s="142"/>
      <c r="O1108" s="142"/>
      <c r="P1108" s="142"/>
      <c r="Q1108" s="142"/>
      <c r="R1108" s="142"/>
      <c r="V1108" s="76"/>
    </row>
    <row r="1109" spans="1:22" s="75" customFormat="1" ht="9" customHeight="1" x14ac:dyDescent="0.2">
      <c r="A1109" s="266"/>
      <c r="B1109" s="266"/>
      <c r="C1109" s="141"/>
      <c r="D1109" s="141"/>
      <c r="E1109" s="142"/>
      <c r="F1109" s="142"/>
      <c r="G1109" s="142"/>
      <c r="H1109" s="142"/>
      <c r="I1109" s="142"/>
      <c r="J1109" s="142"/>
      <c r="K1109" s="142"/>
      <c r="L1109" s="142"/>
      <c r="M1109" s="135"/>
      <c r="N1109" s="142"/>
      <c r="O1109" s="142"/>
      <c r="P1109" s="142"/>
      <c r="Q1109" s="142"/>
      <c r="R1109" s="142"/>
      <c r="V1109" s="76"/>
    </row>
    <row r="1110" spans="1:22" s="75" customFormat="1" ht="9" customHeight="1" x14ac:dyDescent="0.2">
      <c r="A1110" s="266"/>
      <c r="B1110" s="266"/>
      <c r="C1110" s="141"/>
      <c r="D1110" s="141"/>
      <c r="E1110" s="142"/>
      <c r="F1110" s="142"/>
      <c r="G1110" s="142"/>
      <c r="H1110" s="142"/>
      <c r="I1110" s="142"/>
      <c r="J1110" s="142"/>
      <c r="K1110" s="142"/>
      <c r="L1110" s="142"/>
      <c r="M1110" s="135"/>
      <c r="N1110" s="142"/>
      <c r="O1110" s="142"/>
      <c r="P1110" s="142"/>
      <c r="Q1110" s="142"/>
      <c r="R1110" s="142"/>
      <c r="V1110" s="76"/>
    </row>
    <row r="1111" spans="1:22" s="75" customFormat="1" ht="9" customHeight="1" x14ac:dyDescent="0.2">
      <c r="A1111" s="266"/>
      <c r="B1111" s="266"/>
      <c r="C1111" s="141"/>
      <c r="D1111" s="141"/>
      <c r="E1111" s="142"/>
      <c r="F1111" s="142"/>
      <c r="G1111" s="142"/>
      <c r="H1111" s="142"/>
      <c r="I1111" s="142"/>
      <c r="J1111" s="142"/>
      <c r="K1111" s="142"/>
      <c r="L1111" s="142"/>
      <c r="M1111" s="135"/>
      <c r="N1111" s="142"/>
      <c r="O1111" s="142"/>
      <c r="P1111" s="142"/>
      <c r="Q1111" s="142"/>
      <c r="R1111" s="142"/>
      <c r="V1111" s="76"/>
    </row>
    <row r="1112" spans="1:22" s="75" customFormat="1" ht="9" customHeight="1" x14ac:dyDescent="0.2">
      <c r="A1112" s="266"/>
      <c r="B1112" s="266"/>
      <c r="C1112" s="141"/>
      <c r="D1112" s="141"/>
      <c r="E1112" s="142"/>
      <c r="F1112" s="142"/>
      <c r="G1112" s="142"/>
      <c r="H1112" s="142"/>
      <c r="I1112" s="142"/>
      <c r="J1112" s="142"/>
      <c r="K1112" s="142"/>
      <c r="L1112" s="142"/>
      <c r="M1112" s="135"/>
      <c r="N1112" s="142"/>
      <c r="O1112" s="142"/>
      <c r="P1112" s="142"/>
      <c r="Q1112" s="142"/>
      <c r="R1112" s="142"/>
      <c r="V1112" s="76"/>
    </row>
    <row r="1113" spans="1:22" s="75" customFormat="1" ht="9" customHeight="1" x14ac:dyDescent="0.2">
      <c r="A1113" s="266"/>
      <c r="B1113" s="266"/>
      <c r="C1113" s="141"/>
      <c r="D1113" s="141"/>
      <c r="E1113" s="142"/>
      <c r="F1113" s="142"/>
      <c r="G1113" s="142"/>
      <c r="H1113" s="142"/>
      <c r="I1113" s="142"/>
      <c r="J1113" s="142"/>
      <c r="K1113" s="142"/>
      <c r="L1113" s="142"/>
      <c r="M1113" s="135"/>
      <c r="N1113" s="142"/>
      <c r="O1113" s="142"/>
      <c r="P1113" s="142"/>
      <c r="Q1113" s="142"/>
      <c r="R1113" s="142"/>
      <c r="V1113" s="76"/>
    </row>
    <row r="1114" spans="1:22" s="75" customFormat="1" ht="9" customHeight="1" x14ac:dyDescent="0.2">
      <c r="A1114" s="266"/>
      <c r="B1114" s="266"/>
      <c r="C1114" s="141"/>
      <c r="D1114" s="141"/>
      <c r="E1114" s="142"/>
      <c r="F1114" s="142"/>
      <c r="G1114" s="142"/>
      <c r="H1114" s="142"/>
      <c r="I1114" s="142"/>
      <c r="J1114" s="142"/>
      <c r="K1114" s="142"/>
      <c r="L1114" s="142"/>
      <c r="M1114" s="135"/>
      <c r="N1114" s="142"/>
      <c r="O1114" s="142"/>
      <c r="P1114" s="142"/>
      <c r="Q1114" s="142"/>
      <c r="R1114" s="142"/>
      <c r="V1114" s="76"/>
    </row>
    <row r="1115" spans="1:22" s="75" customFormat="1" ht="9" customHeight="1" x14ac:dyDescent="0.2">
      <c r="A1115" s="140"/>
      <c r="B1115" s="140"/>
      <c r="C1115" s="141"/>
      <c r="D1115" s="141"/>
      <c r="E1115" s="142"/>
      <c r="F1115" s="142"/>
      <c r="G1115" s="142"/>
      <c r="H1115" s="142"/>
      <c r="I1115" s="142"/>
      <c r="J1115" s="142"/>
      <c r="K1115" s="142"/>
    </row>
    <row r="1116" spans="1:22" s="75" customFormat="1" ht="9" customHeight="1" x14ac:dyDescent="0.2">
      <c r="A1116" s="140"/>
      <c r="B1116" s="140"/>
      <c r="C1116" s="141"/>
      <c r="D1116" s="141"/>
      <c r="E1116" s="142"/>
      <c r="F1116" s="142"/>
      <c r="G1116" s="142"/>
      <c r="H1116" s="142"/>
      <c r="I1116" s="142"/>
      <c r="J1116" s="142"/>
      <c r="K1116" s="142"/>
    </row>
    <row r="1117" spans="1:22" s="75" customFormat="1" ht="9" customHeight="1" x14ac:dyDescent="0.2">
      <c r="A1117" s="140"/>
      <c r="B1117" s="140"/>
      <c r="C1117" s="141"/>
      <c r="D1117" s="141"/>
      <c r="E1117" s="142"/>
      <c r="F1117" s="142"/>
      <c r="G1117" s="142"/>
      <c r="H1117" s="142"/>
      <c r="I1117" s="142"/>
      <c r="J1117" s="142"/>
      <c r="K1117" s="142"/>
    </row>
    <row r="1118" spans="1:22" s="75" customFormat="1" ht="12.75" x14ac:dyDescent="0.2"/>
    <row r="1119" spans="1:22" s="75" customFormat="1" ht="24.75" customHeight="1" x14ac:dyDescent="0.2">
      <c r="B1119" s="162" t="s">
        <v>38</v>
      </c>
      <c r="C1119" s="163"/>
      <c r="D1119" s="163"/>
      <c r="E1119" s="163"/>
      <c r="F1119" s="163"/>
      <c r="G1119" s="163"/>
      <c r="H1119" s="163"/>
      <c r="I1119" s="163"/>
      <c r="J1119" s="164"/>
    </row>
    <row r="1120" spans="1:22" s="75" customFormat="1" ht="19.5" customHeight="1" x14ac:dyDescent="0.2">
      <c r="B1120" s="170" t="s">
        <v>5</v>
      </c>
      <c r="C1120" s="171"/>
      <c r="D1120" s="172"/>
      <c r="E1120" s="143">
        <v>36892</v>
      </c>
      <c r="F1120" s="143">
        <v>37257</v>
      </c>
      <c r="G1120" s="143">
        <v>37622</v>
      </c>
      <c r="H1120" s="143">
        <v>37987</v>
      </c>
      <c r="I1120" s="144">
        <v>38718</v>
      </c>
      <c r="J1120" s="145">
        <v>43160</v>
      </c>
      <c r="K1120" s="173">
        <v>44562</v>
      </c>
    </row>
    <row r="1121" spans="1:26" s="75" customFormat="1" ht="57.75" x14ac:dyDescent="0.2">
      <c r="B1121" s="165" t="s">
        <v>6</v>
      </c>
      <c r="C1121" s="146" t="s">
        <v>36</v>
      </c>
      <c r="D1121" s="147">
        <v>0</v>
      </c>
      <c r="E1121" s="127">
        <v>1338.6</v>
      </c>
      <c r="F1121" s="127">
        <v>1578.6</v>
      </c>
      <c r="G1121" s="127">
        <v>1710.6</v>
      </c>
      <c r="H1121" s="127">
        <v>1857.84</v>
      </c>
      <c r="I1121" s="127">
        <v>1968</v>
      </c>
      <c r="J1121" s="127">
        <v>2094</v>
      </c>
      <c r="K1121" s="75">
        <v>2334</v>
      </c>
    </row>
    <row r="1122" spans="1:26" s="75" customFormat="1" ht="12.75" x14ac:dyDescent="0.2">
      <c r="B1122" s="166"/>
      <c r="C1122" s="139" t="s">
        <v>37</v>
      </c>
      <c r="D1122" s="148">
        <v>14</v>
      </c>
      <c r="E1122" s="149">
        <v>2591891</v>
      </c>
      <c r="F1122" s="149">
        <v>3056596</v>
      </c>
      <c r="G1122" s="149">
        <v>3312183</v>
      </c>
      <c r="H1122" s="149">
        <v>3597280</v>
      </c>
      <c r="I1122" s="149">
        <v>3810579</v>
      </c>
      <c r="J1122" s="149">
        <v>4054549</v>
      </c>
    </row>
    <row r="1123" spans="1:26" s="75" customFormat="1" ht="12.75" x14ac:dyDescent="0.2">
      <c r="B1123" s="166"/>
      <c r="C1123" s="146" t="s">
        <v>36</v>
      </c>
      <c r="D1123" s="147">
        <v>15</v>
      </c>
      <c r="E1123" s="127">
        <v>1667.16</v>
      </c>
      <c r="F1123" s="127">
        <v>1955.16</v>
      </c>
      <c r="G1123" s="127">
        <v>2111.16</v>
      </c>
      <c r="H1123" s="127">
        <v>2287.8000000000002</v>
      </c>
      <c r="I1123" s="127">
        <v>2424</v>
      </c>
      <c r="J1123" s="127">
        <v>2577.6</v>
      </c>
      <c r="K1123" s="75">
        <v>2865.6</v>
      </c>
    </row>
    <row r="1124" spans="1:26" s="75" customFormat="1" ht="12.75" x14ac:dyDescent="0.2">
      <c r="B1124" s="166"/>
      <c r="C1124" s="139" t="s">
        <v>37</v>
      </c>
      <c r="D1124" s="148">
        <v>27</v>
      </c>
      <c r="E1124" s="149">
        <v>3228072</v>
      </c>
      <c r="F1124" s="149">
        <v>3785718</v>
      </c>
      <c r="G1124" s="149">
        <v>4087776</v>
      </c>
      <c r="H1124" s="149">
        <v>4429799</v>
      </c>
      <c r="I1124" s="149">
        <v>4693518</v>
      </c>
      <c r="J1124" s="149">
        <v>4990930</v>
      </c>
    </row>
    <row r="1125" spans="1:26" s="75" customFormat="1" ht="12.75" x14ac:dyDescent="0.2">
      <c r="B1125" s="166"/>
      <c r="C1125" s="146" t="s">
        <v>36</v>
      </c>
      <c r="D1125" s="147">
        <v>28</v>
      </c>
      <c r="E1125" s="127">
        <v>1865.4</v>
      </c>
      <c r="F1125" s="127">
        <v>2333.4</v>
      </c>
      <c r="G1125" s="127">
        <v>2585.4</v>
      </c>
      <c r="H1125" s="127">
        <v>2870.04</v>
      </c>
      <c r="I1125" s="127">
        <v>3090</v>
      </c>
      <c r="J1125" s="127">
        <v>3278.4</v>
      </c>
      <c r="K1125" s="75">
        <v>3638.4</v>
      </c>
    </row>
    <row r="1126" spans="1:26" s="75" customFormat="1" ht="12.75" x14ac:dyDescent="0.2">
      <c r="B1126" s="167"/>
      <c r="C1126" s="139" t="s">
        <v>37</v>
      </c>
      <c r="D1126" s="148"/>
      <c r="E1126" s="149">
        <v>3611918</v>
      </c>
      <c r="F1126" s="149">
        <v>4518092</v>
      </c>
      <c r="G1126" s="149">
        <v>5006032</v>
      </c>
      <c r="H1126" s="149">
        <v>5557172</v>
      </c>
      <c r="I1126" s="149">
        <v>5983074</v>
      </c>
      <c r="J1126" s="149">
        <v>6347868</v>
      </c>
    </row>
    <row r="1127" spans="1:26" s="75" customFormat="1" ht="12.75" x14ac:dyDescent="0.2">
      <c r="B1127" s="75" t="s">
        <v>39</v>
      </c>
    </row>
    <row r="1128" spans="1:26" s="75" customFormat="1" ht="12.75" x14ac:dyDescent="0.2"/>
    <row r="1129" spans="1:26" s="75" customFormat="1" ht="12.75" x14ac:dyDescent="0.2"/>
    <row r="1130" spans="1:26" s="75" customFormat="1" ht="12.75" x14ac:dyDescent="0.2"/>
    <row r="1131" spans="1:26" s="75" customFormat="1" ht="12.75" x14ac:dyDescent="0.2"/>
    <row r="1132" spans="1:26" s="75" customFormat="1" ht="12.75" x14ac:dyDescent="0.2"/>
    <row r="1133" spans="1:26" s="75" customFormat="1" ht="12.75" x14ac:dyDescent="0.2"/>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row r="1345" spans="1:26" ht="12.75" customHeight="1"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row>
    <row r="1346" spans="1:26" ht="12.75" customHeight="1"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row>
    <row r="1347" spans="1:26" ht="12.75" customHeight="1"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row>
    <row r="1348" spans="1:26" ht="12.75" customHeight="1"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row>
    <row r="1349" spans="1:26" ht="12.75" customHeight="1"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row>
    <row r="1350" spans="1:26" ht="12.75" customHeight="1"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row>
    <row r="1351" spans="1:26" ht="12.75" customHeight="1"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row>
  </sheetData>
  <conditionalFormatting sqref="E1040:E1071">
    <cfRule type="cellIs" dxfId="183" priority="16" stopIfTrue="1" operator="equal">
      <formula>0</formula>
    </cfRule>
  </conditionalFormatting>
  <conditionalFormatting sqref="E960:H971 E980:H991 E1000:H1011">
    <cfRule type="cellIs" dxfId="182" priority="153" stopIfTrue="1" operator="equal">
      <formula>0</formula>
    </cfRule>
  </conditionalFormatting>
  <conditionalFormatting sqref="E1020:H1039">
    <cfRule type="cellIs" dxfId="181" priority="123" stopIfTrue="1" operator="equal">
      <formula>0</formula>
    </cfRule>
  </conditionalFormatting>
  <conditionalFormatting sqref="E900:O911 E920:O931">
    <cfRule type="cellIs" dxfId="180" priority="255" stopIfTrue="1" operator="equal">
      <formula>0</formula>
    </cfRule>
  </conditionalFormatting>
  <conditionalFormatting sqref="E912:O913">
    <cfRule type="cellIs" dxfId="179" priority="99" stopIfTrue="1" operator="equal">
      <formula>0</formula>
    </cfRule>
  </conditionalFormatting>
  <conditionalFormatting sqref="E932:O933">
    <cfRule type="cellIs" dxfId="178" priority="97" stopIfTrue="1" operator="equal">
      <formula>0</formula>
    </cfRule>
  </conditionalFormatting>
  <conditionalFormatting sqref="E940:O951">
    <cfRule type="cellIs" dxfId="177" priority="256" stopIfTrue="1" operator="equal">
      <formula>0</formula>
    </cfRule>
  </conditionalFormatting>
  <conditionalFormatting sqref="E952:O953">
    <cfRule type="cellIs" dxfId="176" priority="95" stopIfTrue="1" operator="equal">
      <formula>0</formula>
    </cfRule>
  </conditionalFormatting>
  <conditionalFormatting sqref="E972:O973">
    <cfRule type="cellIs" dxfId="175" priority="93" stopIfTrue="1" operator="equal">
      <formula>0</formula>
    </cfRule>
  </conditionalFormatting>
  <conditionalFormatting sqref="E992:O993">
    <cfRule type="cellIs" dxfId="174" priority="91" stopIfTrue="1" operator="equal">
      <formula>0</formula>
    </cfRule>
  </conditionalFormatting>
  <conditionalFormatting sqref="E1012:O1013">
    <cfRule type="cellIs" dxfId="173" priority="89" stopIfTrue="1" operator="equal">
      <formula>0</formula>
    </cfRule>
  </conditionalFormatting>
  <conditionalFormatting sqref="E1115:Q1116">
    <cfRule type="cellIs" dxfId="172" priority="265" stopIfTrue="1" operator="equal">
      <formula>0</formula>
    </cfRule>
  </conditionalFormatting>
  <conditionalFormatting sqref="E1072:R1114">
    <cfRule type="cellIs" dxfId="171" priority="56" stopIfTrue="1" operator="equal">
      <formula>0</formula>
    </cfRule>
  </conditionalFormatting>
  <conditionalFormatting sqref="F1040:H1051">
    <cfRule type="cellIs" dxfId="170" priority="81" stopIfTrue="1" operator="equal">
      <formula>0</formula>
    </cfRule>
  </conditionalFormatting>
  <conditionalFormatting sqref="F1052:I1071">
    <cfRule type="cellIs" dxfId="169" priority="1" stopIfTrue="1" operator="equal">
      <formula>0</formula>
    </cfRule>
  </conditionalFormatting>
  <conditionalFormatting sqref="I1020:I1051">
    <cfRule type="cellIs" dxfId="168" priority="7" stopIfTrue="1" operator="equal">
      <formula>0</formula>
    </cfRule>
  </conditionalFormatting>
  <conditionalFormatting sqref="I960:O971 I980:O991">
    <cfRule type="cellIs" dxfId="167" priority="211" stopIfTrue="1" operator="equal">
      <formula>0</formula>
    </cfRule>
  </conditionalFormatting>
  <conditionalFormatting sqref="I1000:O1011">
    <cfRule type="cellIs" dxfId="166" priority="162" stopIfTrue="1" operator="equal">
      <formula>0</formula>
    </cfRule>
  </conditionalFormatting>
  <conditionalFormatting sqref="J1052:N1071">
    <cfRule type="cellIs" dxfId="165" priority="45" stopIfTrue="1" operator="equal">
      <formula>0</formula>
    </cfRule>
  </conditionalFormatting>
  <conditionalFormatting sqref="J1020:O1039">
    <cfRule type="cellIs" dxfId="164" priority="132" stopIfTrue="1" operator="equal">
      <formula>0</formula>
    </cfRule>
  </conditionalFormatting>
  <conditionalFormatting sqref="J1040:O1051">
    <cfRule type="cellIs" dxfId="163" priority="65" stopIfTrue="1" operator="equal">
      <formula>0</formula>
    </cfRule>
  </conditionalFormatting>
  <conditionalFormatting sqref="N900:R900 N902:R902 N904:R904 N906:R906 N908:R908 N910:R910 N920:R920 N922:R922 N924:R924 N926:R926 N928:R928 N930:R930 N940:R940 N942:R942 N944:R944 N946:R946 N948:R948 N950:R950 N960:R960 N962:R962 N964:R964 N966:R966 N968:R968">
    <cfRule type="cellIs" dxfId="162" priority="209" stopIfTrue="1" operator="equal">
      <formula>0</formula>
    </cfRule>
  </conditionalFormatting>
  <conditionalFormatting sqref="N970:R970 N980:R980 N982:R982 N984:R984 N986:R986 N988:R988 N990:R990">
    <cfRule type="cellIs" dxfId="161" priority="189" stopIfTrue="1" operator="equal">
      <formula>0</formula>
    </cfRule>
  </conditionalFormatting>
  <conditionalFormatting sqref="N1000:R1000 N1002:R1002 N1004:R1004 N1006:R1006 N1008:R1008 N1010:R1010">
    <cfRule type="cellIs" dxfId="160" priority="160" stopIfTrue="1" operator="equal">
      <formula>0</formula>
    </cfRule>
  </conditionalFormatting>
  <conditionalFormatting sqref="N1020:R1020 N1022:R1022 N1024:R1024 N1026:R1026 N1028:R1028 N1030:R1030">
    <cfRule type="cellIs" dxfId="159" priority="130" stopIfTrue="1" operator="equal">
      <formula>0</formula>
    </cfRule>
  </conditionalFormatting>
  <conditionalFormatting sqref="N1040:R1040 N1042:R1042 N1044:R1044 N1046:R1046 N1048:R1048 N1050:R1050">
    <cfRule type="cellIs" dxfId="158" priority="63" stopIfTrue="1" operator="equal">
      <formula>0</formula>
    </cfRule>
  </conditionalFormatting>
  <conditionalFormatting sqref="N1060:R1060 N1062:R1062 N1064:R1064 N1066:R1066 N1068:R1068 N1070:R1070">
    <cfRule type="cellIs" dxfId="157" priority="23" stopIfTrue="1" operator="equal">
      <formula>0</formula>
    </cfRule>
  </conditionalFormatting>
  <conditionalFormatting sqref="O1060:O1071">
    <cfRule type="cellIs" dxfId="156" priority="25" stopIfTrue="1" operator="equal">
      <formula>0</formula>
    </cfRule>
  </conditionalFormatting>
  <conditionalFormatting sqref="O1052:P1059">
    <cfRule type="cellIs" dxfId="155" priority="50" stopIfTrue="1" operator="equal">
      <formula>0</formula>
    </cfRule>
  </conditionalFormatting>
  <conditionalFormatting sqref="P860 E860:E861 F860:O873 P862 P864 E864:E873 P866 P868 P870 P872 P880 E880:O893 P882 P884 P886 P888 P890">
    <cfRule type="cellIs" dxfId="154" priority="268" stopIfTrue="1" operator="equal">
      <formula>0</formula>
    </cfRule>
  </conditionalFormatting>
  <conditionalFormatting sqref="P1060:P1062">
    <cfRule type="cellIs" dxfId="153" priority="39" stopIfTrue="1" operator="equal">
      <formula>0</formula>
    </cfRule>
  </conditionalFormatting>
  <conditionalFormatting sqref="P960:Q962 P964:Q964 P966:Q966 P968:Q968 P970:Q970">
    <cfRule type="cellIs" dxfId="152" priority="241" stopIfTrue="1" operator="equal">
      <formula>0</formula>
    </cfRule>
  </conditionalFormatting>
  <conditionalFormatting sqref="P980:Q982 P984:Q984 P986:Q986 P988:Q988 P990:Q990">
    <cfRule type="cellIs" dxfId="151" priority="221" stopIfTrue="1" operator="equal">
      <formula>0</formula>
    </cfRule>
  </conditionalFormatting>
  <conditionalFormatting sqref="P1000:Q1002 P1004:Q1004 P1006:Q1006 P1008:Q1008 P1010:Q1010">
    <cfRule type="cellIs" dxfId="150" priority="172" stopIfTrue="1" operator="equal">
      <formula>0</formula>
    </cfRule>
  </conditionalFormatting>
  <conditionalFormatting sqref="P1020:Q1022 P1024:Q1024 P1026:Q1026 P1028:Q1028 P1030:Q1030">
    <cfRule type="cellIs" dxfId="149" priority="142" stopIfTrue="1" operator="equal">
      <formula>0</formula>
    </cfRule>
  </conditionalFormatting>
  <conditionalFormatting sqref="P1040:Q1042 P1044:Q1044 P1046:Q1046 P1048:Q1048">
    <cfRule type="cellIs" dxfId="148" priority="75" stopIfTrue="1" operator="equal">
      <formula>0</formula>
    </cfRule>
  </conditionalFormatting>
  <conditionalFormatting sqref="P1050:Q1051">
    <cfRule type="cellIs" dxfId="147" priority="73" stopIfTrue="1" operator="equal">
      <formula>0</formula>
    </cfRule>
  </conditionalFormatting>
  <conditionalFormatting sqref="P971:R971 R981 P983:R983 P985:R985 P987:R987 P989:R989 P991:R991">
    <cfRule type="cellIs" dxfId="146" priority="183" stopIfTrue="1" operator="equal">
      <formula>0</formula>
    </cfRule>
  </conditionalFormatting>
  <conditionalFormatting sqref="Q6:Q899">
    <cfRule type="cellIs" dxfId="145" priority="100" stopIfTrue="1" operator="equal">
      <formula>0</formula>
    </cfRule>
  </conditionalFormatting>
  <conditionalFormatting sqref="Q900:Q911">
    <cfRule type="cellIs" dxfId="144" priority="263" stopIfTrue="1" operator="equal">
      <formula>0</formula>
    </cfRule>
  </conditionalFormatting>
  <conditionalFormatting sqref="Q912:Q919">
    <cfRule type="cellIs" dxfId="143" priority="98" stopIfTrue="1" operator="equal">
      <formula>0</formula>
    </cfRule>
  </conditionalFormatting>
  <conditionalFormatting sqref="Q920:Q931">
    <cfRule type="cellIs" dxfId="142" priority="261" stopIfTrue="1" operator="equal">
      <formula>0</formula>
    </cfRule>
  </conditionalFormatting>
  <conditionalFormatting sqref="Q932:Q939">
    <cfRule type="cellIs" dxfId="141" priority="96" stopIfTrue="1" operator="equal">
      <formula>0</formula>
    </cfRule>
  </conditionalFormatting>
  <conditionalFormatting sqref="Q940:Q951">
    <cfRule type="cellIs" dxfId="140" priority="259" stopIfTrue="1" operator="equal">
      <formula>0</formula>
    </cfRule>
  </conditionalFormatting>
  <conditionalFormatting sqref="Q952:Q959">
    <cfRule type="cellIs" dxfId="139" priority="94" stopIfTrue="1" operator="equal">
      <formula>0</formula>
    </cfRule>
  </conditionalFormatting>
  <conditionalFormatting sqref="Q972:Q979">
    <cfRule type="cellIs" dxfId="138" priority="92" stopIfTrue="1" operator="equal">
      <formula>0</formula>
    </cfRule>
  </conditionalFormatting>
  <conditionalFormatting sqref="Q992:Q999">
    <cfRule type="cellIs" dxfId="137" priority="90" stopIfTrue="1" operator="equal">
      <formula>0</formula>
    </cfRule>
  </conditionalFormatting>
  <conditionalFormatting sqref="Q1012:Q1019 E1015:O1015">
    <cfRule type="cellIs" dxfId="136" priority="86" stopIfTrue="1" operator="equal">
      <formula>0</formula>
    </cfRule>
  </conditionalFormatting>
  <conditionalFormatting sqref="Q1052:Q1062 P1064:Q1064 P1066:Q1066 P1068:Q1068 P1070:Q1070">
    <cfRule type="cellIs" dxfId="135" priority="35" stopIfTrue="1" operator="equal">
      <formula>0</formula>
    </cfRule>
  </conditionalFormatting>
  <conditionalFormatting sqref="R900 R902 R904 R906 R908 R910 R920 R922 R924 R926 R928 R930 R940 R942 R944 R946 R948 R950 R960 R962 R964 R966 R968">
    <cfRule type="cellIs" dxfId="134" priority="206" stopIfTrue="1" operator="equal">
      <formula>0</formula>
    </cfRule>
  </conditionalFormatting>
  <conditionalFormatting sqref="R900 R902 R904 R906 R908">
    <cfRule type="cellIs" dxfId="133" priority="204" stopIfTrue="1" operator="equal">
      <formula>0</formula>
    </cfRule>
  </conditionalFormatting>
  <conditionalFormatting sqref="R900:R909">
    <cfRule type="cellIs" dxfId="132" priority="205" stopIfTrue="1" operator="equal">
      <formula>0</formula>
    </cfRule>
  </conditionalFormatting>
  <conditionalFormatting sqref="R900:R911 R920:R931 R940:R951 R960:R969">
    <cfRule type="cellIs" dxfId="131" priority="207" stopIfTrue="1" operator="equal">
      <formula>0</formula>
    </cfRule>
  </conditionalFormatting>
  <conditionalFormatting sqref="R910 R920 R922 R924 R926 R928">
    <cfRule type="cellIs" dxfId="130" priority="202" stopIfTrue="1" operator="equal">
      <formula>0</formula>
    </cfRule>
  </conditionalFormatting>
  <conditionalFormatting sqref="R910:R911 R920:R929">
    <cfRule type="cellIs" dxfId="129" priority="203" stopIfTrue="1" operator="equal">
      <formula>0</formula>
    </cfRule>
  </conditionalFormatting>
  <conditionalFormatting sqref="R930">
    <cfRule type="cellIs" dxfId="128" priority="200" stopIfTrue="1" operator="equal">
      <formula>0</formula>
    </cfRule>
    <cfRule type="cellIs" dxfId="127" priority="201" stopIfTrue="1" operator="equal">
      <formula>0</formula>
    </cfRule>
  </conditionalFormatting>
  <conditionalFormatting sqref="R931">
    <cfRule type="cellIs" dxfId="126" priority="199" stopIfTrue="1" operator="equal">
      <formula>0</formula>
    </cfRule>
  </conditionalFormatting>
  <conditionalFormatting sqref="R940 R942 R944 R946 R948">
    <cfRule type="cellIs" dxfId="125" priority="197" stopIfTrue="1" operator="equal">
      <formula>0</formula>
    </cfRule>
    <cfRule type="cellIs" dxfId="124" priority="198" stopIfTrue="1" operator="equal">
      <formula>0</formula>
    </cfRule>
  </conditionalFormatting>
  <conditionalFormatting sqref="R941 R943 R945 R947">
    <cfRule type="cellIs" dxfId="123" priority="196" stopIfTrue="1" operator="equal">
      <formula>0</formula>
    </cfRule>
  </conditionalFormatting>
  <conditionalFormatting sqref="R949:R950">
    <cfRule type="cellIs" dxfId="122" priority="195" stopIfTrue="1" operator="equal">
      <formula>0</formula>
    </cfRule>
  </conditionalFormatting>
  <conditionalFormatting sqref="R950">
    <cfRule type="cellIs" dxfId="121" priority="194" stopIfTrue="1" operator="equal">
      <formula>0</formula>
    </cfRule>
  </conditionalFormatting>
  <conditionalFormatting sqref="R951">
    <cfRule type="cellIs" dxfId="120" priority="193" stopIfTrue="1" operator="equal">
      <formula>0</formula>
    </cfRule>
  </conditionalFormatting>
  <conditionalFormatting sqref="R960 R962 R964 R966 R968">
    <cfRule type="cellIs" dxfId="119" priority="191" stopIfTrue="1" operator="equal">
      <formula>0</formula>
    </cfRule>
    <cfRule type="cellIs" dxfId="118" priority="192" stopIfTrue="1" operator="equal">
      <formula>0</formula>
    </cfRule>
  </conditionalFormatting>
  <conditionalFormatting sqref="R961 P963:R963 P965:R965 P967:R967 P969:R969">
    <cfRule type="cellIs" dxfId="117" priority="190" stopIfTrue="1" operator="equal">
      <formula>0</formula>
    </cfRule>
  </conditionalFormatting>
  <conditionalFormatting sqref="R970 R980 R982 R984 R986 R988 R990">
    <cfRule type="cellIs" dxfId="116" priority="184" stopIfTrue="1" operator="equal">
      <formula>0</formula>
    </cfRule>
    <cfRule type="cellIs" dxfId="115" priority="186" stopIfTrue="1" operator="equal">
      <formula>0</formula>
    </cfRule>
    <cfRule type="cellIs" dxfId="114" priority="185" stopIfTrue="1" operator="equal">
      <formula>0</formula>
    </cfRule>
  </conditionalFormatting>
  <conditionalFormatting sqref="R970:R971 R980:R991">
    <cfRule type="cellIs" dxfId="113" priority="187" stopIfTrue="1" operator="equal">
      <formula>0</formula>
    </cfRule>
  </conditionalFormatting>
  <conditionalFormatting sqref="R1000 R1002 R1004 R1006 R1008 R1010">
    <cfRule type="cellIs" dxfId="112" priority="157" stopIfTrue="1" operator="equal">
      <formula>0</formula>
    </cfRule>
    <cfRule type="cellIs" dxfId="111" priority="156" stopIfTrue="1" operator="equal">
      <formula>0</formula>
    </cfRule>
    <cfRule type="cellIs" dxfId="110" priority="155" stopIfTrue="1" operator="equal">
      <formula>0</formula>
    </cfRule>
  </conditionalFormatting>
  <conditionalFormatting sqref="R1000:R1011">
    <cfRule type="cellIs" dxfId="109" priority="158" stopIfTrue="1" operator="equal">
      <formula>0</formula>
    </cfRule>
  </conditionalFormatting>
  <conditionalFormatting sqref="R1001 P1003:R1003 P1005:R1005 P1007:R1007 P1009:R1009 P1011:R1011">
    <cfRule type="cellIs" dxfId="108" priority="154" stopIfTrue="1" operator="equal">
      <formula>0</formula>
    </cfRule>
  </conditionalFormatting>
  <conditionalFormatting sqref="R1020 R1022 R1024 R1026 R1028 R1030">
    <cfRule type="cellIs" dxfId="107" priority="125" stopIfTrue="1" operator="equal">
      <formula>0</formula>
    </cfRule>
    <cfRule type="cellIs" dxfId="106" priority="127" stopIfTrue="1" operator="equal">
      <formula>0</formula>
    </cfRule>
    <cfRule type="cellIs" dxfId="105" priority="126" stopIfTrue="1" operator="equal">
      <formula>0</formula>
    </cfRule>
  </conditionalFormatting>
  <conditionalFormatting sqref="R1020:R1039">
    <cfRule type="cellIs" dxfId="104" priority="128" stopIfTrue="1" operator="equal">
      <formula>0</formula>
    </cfRule>
  </conditionalFormatting>
  <conditionalFormatting sqref="R1021 P1023:R1023 P1025:R1025 P1027:R1027 P1029:R1029 P1031:R1039">
    <cfRule type="cellIs" dxfId="103" priority="124" stopIfTrue="1" operator="equal">
      <formula>0</formula>
    </cfRule>
  </conditionalFormatting>
  <conditionalFormatting sqref="R1040 R1042 R1044 R1046 R1048 R1050">
    <cfRule type="cellIs" dxfId="102" priority="58" stopIfTrue="1" operator="equal">
      <formula>0</formula>
    </cfRule>
    <cfRule type="cellIs" dxfId="101" priority="60" stopIfTrue="1" operator="equal">
      <formula>0</formula>
    </cfRule>
    <cfRule type="cellIs" dxfId="100" priority="59" stopIfTrue="1" operator="equal">
      <formula>0</formula>
    </cfRule>
  </conditionalFormatting>
  <conditionalFormatting sqref="R1040:R1051">
    <cfRule type="cellIs" dxfId="99" priority="61" stopIfTrue="1" operator="equal">
      <formula>0</formula>
    </cfRule>
  </conditionalFormatting>
  <conditionalFormatting sqref="R1041 P1043:R1043 P1045:R1045 P1047:R1047 P1049:R1049">
    <cfRule type="cellIs" dxfId="98" priority="57" stopIfTrue="1" operator="equal">
      <formula>0</formula>
    </cfRule>
  </conditionalFormatting>
  <conditionalFormatting sqref="R1051:R1071">
    <cfRule type="cellIs" dxfId="97" priority="21" stopIfTrue="1" operator="equal">
      <formula>0</formula>
    </cfRule>
  </conditionalFormatting>
  <conditionalFormatting sqref="R1060 R1062 R1064 R1066 R1068 R1070">
    <cfRule type="cellIs" dxfId="96" priority="20" stopIfTrue="1" operator="equal">
      <formula>0</formula>
    </cfRule>
    <cfRule type="cellIs" dxfId="95" priority="19" stopIfTrue="1" operator="equal">
      <formula>0</formula>
    </cfRule>
    <cfRule type="cellIs" dxfId="94" priority="18" stopIfTrue="1" operator="equal">
      <formula>0</formula>
    </cfRule>
  </conditionalFormatting>
  <conditionalFormatting sqref="R1061 P1063:R1063 P1065:R1065 P1067:R1067 P1069:R1069 P1071:R1071">
    <cfRule type="cellIs" dxfId="93" priority="17"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54"/>
  <dimension ref="A1:Z1290"/>
  <sheetViews>
    <sheetView showGridLines="0" zoomScale="85" zoomScaleNormal="85" workbookViewId="0">
      <pane ySplit="5" topLeftCell="A297" activePane="bottomLeft" state="frozen"/>
      <selection activeCell="O831" sqref="O831"/>
      <selection pane="bottomLeft" activeCell="F982" sqref="F982"/>
    </sheetView>
  </sheetViews>
  <sheetFormatPr defaultColWidth="14.42578125" defaultRowHeight="15" customHeight="1" x14ac:dyDescent="0.2"/>
  <cols>
    <col min="1" max="2" width="6" style="8" customWidth="1"/>
    <col min="3" max="4" width="3.7109375" style="8" customWidth="1"/>
    <col min="5" max="5" width="11.7109375" style="8" customWidth="1"/>
    <col min="6" max="7" width="10.7109375" style="8" customWidth="1"/>
    <col min="8" max="8" width="12.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19" width="18.5703125" style="8" customWidth="1"/>
    <col min="20" max="21" width="8.7109375" style="8" customWidth="1"/>
    <col min="22" max="22" width="12.5703125" style="8" customWidth="1"/>
    <col min="23" max="26" width="8.7109375" style="8" customWidth="1"/>
    <col min="27" max="16384" width="14.42578125" style="8"/>
  </cols>
  <sheetData>
    <row r="1" spans="1:26" ht="16.5" customHeight="1" x14ac:dyDescent="0.2">
      <c r="A1" s="544" t="s">
        <v>0</v>
      </c>
      <c r="B1" s="545"/>
      <c r="C1" s="1" t="s">
        <v>1</v>
      </c>
      <c r="D1" s="2"/>
      <c r="E1" s="2"/>
      <c r="F1" s="2"/>
      <c r="G1" s="2"/>
      <c r="H1" s="2"/>
      <c r="I1" s="2"/>
      <c r="J1" s="2"/>
      <c r="K1" s="2"/>
      <c r="L1" s="3"/>
      <c r="M1" s="4"/>
      <c r="N1" s="546" t="s">
        <v>2</v>
      </c>
      <c r="O1" s="545"/>
      <c r="P1" s="547"/>
      <c r="Q1" s="5" t="s">
        <v>3</v>
      </c>
      <c r="R1" s="6">
        <v>42</v>
      </c>
      <c r="S1" s="7"/>
      <c r="T1" s="7"/>
      <c r="U1" s="7"/>
      <c r="V1" s="7"/>
      <c r="W1" s="7"/>
      <c r="X1" s="7"/>
      <c r="Y1" s="7"/>
      <c r="Z1" s="7"/>
    </row>
    <row r="2" spans="1:26" ht="12" customHeight="1" x14ac:dyDescent="0.2">
      <c r="A2" s="9">
        <v>10</v>
      </c>
      <c r="B2" s="10"/>
      <c r="C2" s="10"/>
      <c r="D2" s="11"/>
      <c r="E2" s="11"/>
      <c r="F2" s="11"/>
      <c r="G2" s="11"/>
      <c r="H2" s="11"/>
      <c r="I2" s="11"/>
      <c r="J2" s="11"/>
      <c r="K2" s="11"/>
      <c r="L2" s="12"/>
      <c r="M2" s="13"/>
      <c r="N2" s="548"/>
      <c r="O2" s="549"/>
      <c r="P2" s="550"/>
      <c r="Q2" s="14" t="s">
        <v>4</v>
      </c>
      <c r="R2" s="6"/>
      <c r="S2" s="7"/>
      <c r="T2" s="7"/>
      <c r="U2" s="7"/>
      <c r="V2" s="7"/>
      <c r="W2" s="7"/>
      <c r="X2" s="7"/>
      <c r="Y2" s="7"/>
      <c r="Z2" s="7"/>
    </row>
    <row r="3" spans="1:26" ht="12.75" customHeight="1" x14ac:dyDescent="0.2">
      <c r="A3" s="100" t="s">
        <v>5</v>
      </c>
      <c r="B3" s="105"/>
      <c r="C3" s="101" t="s">
        <v>6</v>
      </c>
      <c r="D3" s="106"/>
      <c r="E3" s="100" t="s">
        <v>7</v>
      </c>
      <c r="F3" s="107"/>
      <c r="G3" s="107"/>
      <c r="H3" s="107"/>
      <c r="I3" s="107"/>
      <c r="J3" s="105"/>
      <c r="K3" s="102" t="s">
        <v>8</v>
      </c>
      <c r="L3" s="102" t="s">
        <v>9</v>
      </c>
      <c r="M3" s="15"/>
      <c r="N3" s="103" t="s">
        <v>10</v>
      </c>
      <c r="O3" s="103" t="s">
        <v>11</v>
      </c>
      <c r="P3" s="16" t="s">
        <v>12</v>
      </c>
      <c r="Q3" s="104" t="s">
        <v>13</v>
      </c>
      <c r="R3" s="17"/>
      <c r="S3" s="17"/>
      <c r="T3" s="7"/>
      <c r="U3" s="7"/>
      <c r="V3" s="7"/>
      <c r="W3" s="7"/>
      <c r="X3" s="7"/>
      <c r="Y3" s="7"/>
      <c r="Z3" s="7"/>
    </row>
    <row r="4" spans="1:26" ht="34.5" customHeight="1" x14ac:dyDescent="0.2">
      <c r="A4" s="18" t="s">
        <v>14</v>
      </c>
      <c r="B4" s="18" t="s">
        <v>15</v>
      </c>
      <c r="C4" s="108"/>
      <c r="D4" s="109"/>
      <c r="E4" s="19" t="s">
        <v>16</v>
      </c>
      <c r="F4" s="19" t="s">
        <v>17</v>
      </c>
      <c r="G4" s="19" t="s">
        <v>18</v>
      </c>
      <c r="H4" s="19" t="s">
        <v>19</v>
      </c>
      <c r="I4" s="19" t="s">
        <v>20</v>
      </c>
      <c r="J4" s="19" t="s">
        <v>21</v>
      </c>
      <c r="K4" s="110"/>
      <c r="L4" s="110"/>
      <c r="M4" s="4"/>
      <c r="N4" s="110"/>
      <c r="O4" s="110"/>
      <c r="P4" s="20" t="s">
        <v>22</v>
      </c>
      <c r="Q4" s="110"/>
      <c r="R4" s="7"/>
      <c r="S4" s="7"/>
      <c r="T4" s="7"/>
      <c r="U4" s="7"/>
      <c r="V4" s="7"/>
      <c r="W4" s="7"/>
      <c r="X4" s="7"/>
      <c r="Y4" s="7"/>
      <c r="Z4" s="7"/>
    </row>
    <row r="5" spans="1:26" ht="10.5" customHeight="1" x14ac:dyDescent="0.2">
      <c r="A5" s="21" t="s">
        <v>23</v>
      </c>
      <c r="B5" s="22" t="s">
        <v>24</v>
      </c>
      <c r="C5" s="542" t="s">
        <v>25</v>
      </c>
      <c r="D5" s="543"/>
      <c r="E5" s="21" t="s">
        <v>26</v>
      </c>
      <c r="F5" s="21" t="s">
        <v>27</v>
      </c>
      <c r="G5" s="21" t="s">
        <v>28</v>
      </c>
      <c r="H5" s="21" t="s">
        <v>29</v>
      </c>
      <c r="I5" s="21" t="s">
        <v>30</v>
      </c>
      <c r="J5" s="21" t="s">
        <v>31</v>
      </c>
      <c r="K5" s="21" t="s">
        <v>32</v>
      </c>
      <c r="L5" s="23" t="s">
        <v>33</v>
      </c>
      <c r="M5" s="24"/>
      <c r="N5" s="25" t="s">
        <v>34</v>
      </c>
      <c r="O5" s="25" t="s">
        <v>35</v>
      </c>
      <c r="P5" s="21"/>
      <c r="Q5" s="21"/>
      <c r="R5" s="26"/>
      <c r="S5" s="27"/>
      <c r="T5" s="27"/>
      <c r="U5" s="27"/>
      <c r="V5" s="27"/>
      <c r="W5" s="27"/>
      <c r="X5" s="27"/>
      <c r="Y5" s="27"/>
      <c r="Z5" s="27"/>
    </row>
    <row r="6" spans="1:26" ht="12.75" customHeight="1" x14ac:dyDescent="0.2">
      <c r="A6" s="538">
        <v>32994</v>
      </c>
      <c r="B6" s="538">
        <v>33177</v>
      </c>
      <c r="C6" s="28" t="s">
        <v>36</v>
      </c>
      <c r="D6" s="29">
        <v>0</v>
      </c>
      <c r="E6" s="30">
        <v>6674.69</v>
      </c>
      <c r="F6" s="30">
        <v>731.3</v>
      </c>
      <c r="G6" s="30">
        <v>0</v>
      </c>
      <c r="H6" s="30">
        <v>5700.66</v>
      </c>
      <c r="I6" s="30">
        <v>0</v>
      </c>
      <c r="J6" s="30">
        <v>1092.22</v>
      </c>
      <c r="K6" s="31">
        <v>13106.65</v>
      </c>
      <c r="L6" s="32">
        <v>14198.87</v>
      </c>
      <c r="M6" s="33"/>
      <c r="N6" s="30">
        <v>13106.65</v>
      </c>
      <c r="O6" s="30">
        <v>7405.99</v>
      </c>
      <c r="P6" s="30"/>
      <c r="Q6" s="30">
        <f>(N6+O6*0.18+J6)+(IF((P6-O6*0.18)&gt;0,(P6-O6*0.18),0))</f>
        <v>15531.948199999999</v>
      </c>
      <c r="R6" s="7"/>
      <c r="S6" s="7"/>
      <c r="T6" s="7"/>
      <c r="U6" s="7"/>
      <c r="V6" s="7"/>
      <c r="W6" s="7"/>
      <c r="X6" s="7"/>
      <c r="Y6" s="7"/>
      <c r="Z6" s="7"/>
    </row>
    <row r="7" spans="1:26" ht="8.25" customHeight="1" x14ac:dyDescent="0.2">
      <c r="A7" s="534"/>
      <c r="B7" s="534"/>
      <c r="C7" s="34" t="s">
        <v>37</v>
      </c>
      <c r="D7" s="35">
        <v>0</v>
      </c>
      <c r="E7" s="36">
        <v>12924002</v>
      </c>
      <c r="F7" s="36">
        <v>1415994</v>
      </c>
      <c r="G7" s="36">
        <v>0</v>
      </c>
      <c r="H7" s="36">
        <v>11038017</v>
      </c>
      <c r="I7" s="36">
        <v>0</v>
      </c>
      <c r="J7" s="37">
        <v>2114833</v>
      </c>
      <c r="K7" s="36">
        <v>25378013</v>
      </c>
      <c r="L7" s="38">
        <v>27492846</v>
      </c>
      <c r="M7" s="39"/>
      <c r="N7" s="36">
        <v>25378013</v>
      </c>
      <c r="O7" s="36">
        <v>14339996</v>
      </c>
      <c r="P7" s="36">
        <v>0</v>
      </c>
      <c r="Q7" s="36">
        <f>Q6*1936.27</f>
        <v>30074045.341213997</v>
      </c>
      <c r="R7" s="7"/>
      <c r="S7" s="7"/>
      <c r="T7" s="7"/>
      <c r="U7" s="7"/>
      <c r="V7" s="7"/>
      <c r="W7" s="7"/>
      <c r="X7" s="7"/>
      <c r="Y7" s="7"/>
      <c r="Z7" s="7"/>
    </row>
    <row r="8" spans="1:26" ht="12.75" customHeight="1" x14ac:dyDescent="0.2">
      <c r="A8" s="540">
        <v>32994</v>
      </c>
      <c r="B8" s="540">
        <v>33177</v>
      </c>
      <c r="C8" s="40" t="s">
        <v>36</v>
      </c>
      <c r="D8" s="41">
        <v>1</v>
      </c>
      <c r="E8" s="42">
        <v>7027.95</v>
      </c>
      <c r="F8" s="42">
        <v>768.49</v>
      </c>
      <c r="G8" s="42">
        <v>0</v>
      </c>
      <c r="H8" s="42">
        <v>5700.66</v>
      </c>
      <c r="I8" s="42">
        <v>0</v>
      </c>
      <c r="J8" s="42">
        <v>1124.76</v>
      </c>
      <c r="K8" s="43">
        <v>13497.1</v>
      </c>
      <c r="L8" s="32">
        <v>14621.86</v>
      </c>
      <c r="M8" s="33"/>
      <c r="N8" s="30">
        <v>13497.1</v>
      </c>
      <c r="O8" s="30">
        <v>7796.44</v>
      </c>
      <c r="P8" s="30"/>
      <c r="Q8" s="30">
        <f>(N8+O8*0.18+J8)+(IF((P8-O8*0.18)&gt;0,(P8-O8*0.18),0))</f>
        <v>16025.219200000001</v>
      </c>
      <c r="R8" s="7"/>
      <c r="S8" s="7"/>
      <c r="T8" s="7"/>
      <c r="U8" s="7"/>
      <c r="V8" s="7"/>
      <c r="W8" s="7"/>
      <c r="X8" s="7"/>
      <c r="Y8" s="7"/>
      <c r="Z8" s="7"/>
    </row>
    <row r="9" spans="1:26" ht="8.25" customHeight="1" x14ac:dyDescent="0.2">
      <c r="A9" s="534"/>
      <c r="B9" s="534"/>
      <c r="C9" s="34" t="s">
        <v>37</v>
      </c>
      <c r="D9" s="35">
        <v>2</v>
      </c>
      <c r="E9" s="36">
        <v>13608009</v>
      </c>
      <c r="F9" s="36">
        <v>1488004</v>
      </c>
      <c r="G9" s="36">
        <v>0</v>
      </c>
      <c r="H9" s="36">
        <v>11038017</v>
      </c>
      <c r="I9" s="36">
        <v>0</v>
      </c>
      <c r="J9" s="37">
        <v>2177839</v>
      </c>
      <c r="K9" s="36">
        <v>26134030</v>
      </c>
      <c r="L9" s="38">
        <v>28311869</v>
      </c>
      <c r="M9" s="39"/>
      <c r="N9" s="36">
        <v>26134030</v>
      </c>
      <c r="O9" s="36">
        <v>15096013</v>
      </c>
      <c r="P9" s="36">
        <v>0</v>
      </c>
      <c r="Q9" s="36">
        <f>Q8*1936.27</f>
        <v>31029151.180384003</v>
      </c>
      <c r="R9" s="7"/>
      <c r="S9" s="7"/>
      <c r="T9" s="7"/>
      <c r="U9" s="7"/>
      <c r="V9" s="7"/>
      <c r="W9" s="7"/>
      <c r="X9" s="7"/>
      <c r="Y9" s="7"/>
      <c r="Z9" s="7"/>
    </row>
    <row r="10" spans="1:26" ht="12.75" customHeight="1" x14ac:dyDescent="0.2">
      <c r="A10" s="534"/>
      <c r="B10" s="534"/>
      <c r="C10" s="40" t="s">
        <v>36</v>
      </c>
      <c r="D10" s="41">
        <v>3</v>
      </c>
      <c r="E10" s="42">
        <v>7387.4</v>
      </c>
      <c r="F10" s="42">
        <v>811.87</v>
      </c>
      <c r="G10" s="42">
        <v>0</v>
      </c>
      <c r="H10" s="42">
        <v>5700.66</v>
      </c>
      <c r="I10" s="42">
        <v>0</v>
      </c>
      <c r="J10" s="42">
        <v>1158.33</v>
      </c>
      <c r="K10" s="43">
        <v>13899.93</v>
      </c>
      <c r="L10" s="32">
        <v>15058.26</v>
      </c>
      <c r="M10" s="33"/>
      <c r="N10" s="30">
        <v>13899.93</v>
      </c>
      <c r="O10" s="30">
        <v>8199.27</v>
      </c>
      <c r="P10" s="30"/>
      <c r="Q10" s="30">
        <f>(N10+O10*0.18+J10)+(IF((P10-O10*0.18)&gt;0,(P10-O10*0.18),0))</f>
        <v>16534.1286</v>
      </c>
      <c r="R10" s="7"/>
      <c r="S10" s="7"/>
      <c r="T10" s="7"/>
      <c r="U10" s="7"/>
      <c r="V10" s="7"/>
      <c r="W10" s="7"/>
      <c r="X10" s="7"/>
      <c r="Y10" s="7"/>
      <c r="Z10" s="7"/>
    </row>
    <row r="11" spans="1:26" ht="8.25" customHeight="1" x14ac:dyDescent="0.2">
      <c r="A11" s="534"/>
      <c r="B11" s="534"/>
      <c r="C11" s="34" t="s">
        <v>37</v>
      </c>
      <c r="D11" s="35">
        <v>4</v>
      </c>
      <c r="E11" s="36">
        <v>14304001</v>
      </c>
      <c r="F11" s="36">
        <v>1572000</v>
      </c>
      <c r="G11" s="36">
        <v>0</v>
      </c>
      <c r="H11" s="36">
        <v>11038017</v>
      </c>
      <c r="I11" s="36">
        <v>0</v>
      </c>
      <c r="J11" s="37">
        <v>2242840</v>
      </c>
      <c r="K11" s="36">
        <v>26914017</v>
      </c>
      <c r="L11" s="38">
        <v>29156857</v>
      </c>
      <c r="M11" s="39"/>
      <c r="N11" s="36">
        <v>26914017</v>
      </c>
      <c r="O11" s="36">
        <v>15876001</v>
      </c>
      <c r="P11" s="36">
        <v>0</v>
      </c>
      <c r="Q11" s="36">
        <f>Q10*1936.27</f>
        <v>32014537.184322</v>
      </c>
      <c r="R11" s="7"/>
      <c r="S11" s="7"/>
      <c r="T11" s="7"/>
      <c r="U11" s="7"/>
      <c r="V11" s="7"/>
      <c r="W11" s="7"/>
      <c r="X11" s="7"/>
      <c r="Y11" s="7"/>
      <c r="Z11" s="7"/>
    </row>
    <row r="12" spans="1:26" ht="12.75" customHeight="1" x14ac:dyDescent="0.2">
      <c r="A12" s="534"/>
      <c r="B12" s="534"/>
      <c r="C12" s="40" t="s">
        <v>36</v>
      </c>
      <c r="D12" s="41">
        <v>5</v>
      </c>
      <c r="E12" s="42">
        <v>7740.66</v>
      </c>
      <c r="F12" s="42">
        <v>849.06</v>
      </c>
      <c r="G12" s="42">
        <v>0</v>
      </c>
      <c r="H12" s="42">
        <v>5700.66</v>
      </c>
      <c r="I12" s="42">
        <v>0</v>
      </c>
      <c r="J12" s="42">
        <v>1190.8699999999999</v>
      </c>
      <c r="K12" s="43">
        <v>14290.38</v>
      </c>
      <c r="L12" s="32">
        <v>15481.25</v>
      </c>
      <c r="M12" s="33"/>
      <c r="N12" s="30">
        <v>14290.38</v>
      </c>
      <c r="O12" s="30">
        <v>8589.7199999999993</v>
      </c>
      <c r="P12" s="30"/>
      <c r="Q12" s="30">
        <f>(N12+O12*0.18+J12)+(IF((P12-O12*0.18)&gt;0,(P12-O12*0.18),0))</f>
        <v>17027.399599999997</v>
      </c>
      <c r="R12" s="7"/>
      <c r="S12" s="7"/>
      <c r="T12" s="7"/>
      <c r="U12" s="7"/>
      <c r="V12" s="7"/>
      <c r="W12" s="7"/>
      <c r="X12" s="7"/>
      <c r="Y12" s="7"/>
      <c r="Z12" s="7"/>
    </row>
    <row r="13" spans="1:26" ht="8.25" customHeight="1" x14ac:dyDescent="0.2">
      <c r="A13" s="534"/>
      <c r="B13" s="534"/>
      <c r="C13" s="34" t="s">
        <v>37</v>
      </c>
      <c r="D13" s="35">
        <v>6</v>
      </c>
      <c r="E13" s="36">
        <v>14988008</v>
      </c>
      <c r="F13" s="36">
        <v>1644009</v>
      </c>
      <c r="G13" s="36">
        <v>0</v>
      </c>
      <c r="H13" s="36">
        <v>11038017</v>
      </c>
      <c r="I13" s="36">
        <v>0</v>
      </c>
      <c r="J13" s="37">
        <v>2305846</v>
      </c>
      <c r="K13" s="36">
        <v>27670034</v>
      </c>
      <c r="L13" s="38">
        <v>29975880</v>
      </c>
      <c r="M13" s="39"/>
      <c r="N13" s="36">
        <v>27670034</v>
      </c>
      <c r="O13" s="36">
        <v>16632017</v>
      </c>
      <c r="P13" s="36">
        <v>0</v>
      </c>
      <c r="Q13" s="36">
        <f>Q12*1936.27</f>
        <v>32969643.023491994</v>
      </c>
      <c r="R13" s="7"/>
      <c r="S13" s="7"/>
      <c r="T13" s="7"/>
      <c r="U13" s="7"/>
      <c r="V13" s="7"/>
      <c r="W13" s="7"/>
      <c r="X13" s="7"/>
      <c r="Y13" s="7"/>
      <c r="Z13" s="7"/>
    </row>
    <row r="14" spans="1:26" ht="12.75" customHeight="1" x14ac:dyDescent="0.2">
      <c r="A14" s="534"/>
      <c r="B14" s="534"/>
      <c r="C14" s="40" t="s">
        <v>36</v>
      </c>
      <c r="D14" s="41">
        <v>7</v>
      </c>
      <c r="E14" s="42">
        <v>8155.89</v>
      </c>
      <c r="F14" s="42">
        <v>892.44</v>
      </c>
      <c r="G14" s="42">
        <v>0</v>
      </c>
      <c r="H14" s="42">
        <v>5700.66</v>
      </c>
      <c r="I14" s="42">
        <v>0</v>
      </c>
      <c r="J14" s="42">
        <v>1229.08</v>
      </c>
      <c r="K14" s="43">
        <v>14748.99</v>
      </c>
      <c r="L14" s="32">
        <v>15978.07</v>
      </c>
      <c r="M14" s="33"/>
      <c r="N14" s="30">
        <v>14748.99</v>
      </c>
      <c r="O14" s="30">
        <v>9048.33</v>
      </c>
      <c r="P14" s="30"/>
      <c r="Q14" s="30">
        <f>(N14+O14*0.18+J14)+(IF((P14-O14*0.18)&gt;0,(P14-O14*0.18),0))</f>
        <v>17606.769399999997</v>
      </c>
      <c r="R14" s="7"/>
      <c r="S14" s="7"/>
      <c r="T14" s="7"/>
      <c r="U14" s="7"/>
      <c r="V14" s="7"/>
      <c r="W14" s="7"/>
      <c r="X14" s="7"/>
      <c r="Y14" s="7"/>
      <c r="Z14" s="7"/>
    </row>
    <row r="15" spans="1:26" ht="8.25" customHeight="1" x14ac:dyDescent="0.2">
      <c r="A15" s="534"/>
      <c r="B15" s="534"/>
      <c r="C15" s="34" t="s">
        <v>37</v>
      </c>
      <c r="D15" s="35">
        <v>8</v>
      </c>
      <c r="E15" s="36">
        <v>15792005</v>
      </c>
      <c r="F15" s="36">
        <v>1728005</v>
      </c>
      <c r="G15" s="36">
        <v>0</v>
      </c>
      <c r="H15" s="36">
        <v>11038017</v>
      </c>
      <c r="I15" s="36">
        <v>0</v>
      </c>
      <c r="J15" s="37">
        <v>2379831</v>
      </c>
      <c r="K15" s="36">
        <v>28558027</v>
      </c>
      <c r="L15" s="38">
        <v>30937858</v>
      </c>
      <c r="M15" s="39"/>
      <c r="N15" s="36">
        <v>28558027</v>
      </c>
      <c r="O15" s="36">
        <v>17520010</v>
      </c>
      <c r="P15" s="36">
        <v>0</v>
      </c>
      <c r="Q15" s="36">
        <f>Q14*1936.27</f>
        <v>34091459.386137992</v>
      </c>
      <c r="R15" s="7"/>
      <c r="S15" s="7"/>
      <c r="T15" s="7"/>
      <c r="U15" s="7"/>
      <c r="V15" s="7"/>
      <c r="W15" s="7"/>
      <c r="X15" s="7"/>
      <c r="Y15" s="7"/>
      <c r="Z15" s="7"/>
    </row>
    <row r="16" spans="1:26" ht="12.75" customHeight="1" x14ac:dyDescent="0.2">
      <c r="A16" s="534"/>
      <c r="B16" s="534"/>
      <c r="C16" s="40" t="s">
        <v>36</v>
      </c>
      <c r="D16" s="41">
        <v>9</v>
      </c>
      <c r="E16" s="42">
        <v>8527.74</v>
      </c>
      <c r="F16" s="42">
        <v>935.82</v>
      </c>
      <c r="G16" s="42">
        <v>0</v>
      </c>
      <c r="H16" s="42">
        <v>5700.66</v>
      </c>
      <c r="I16" s="42">
        <v>0</v>
      </c>
      <c r="J16" s="42">
        <v>1263.69</v>
      </c>
      <c r="K16" s="43">
        <v>15164.22</v>
      </c>
      <c r="L16" s="32">
        <v>16427.91</v>
      </c>
      <c r="M16" s="33"/>
      <c r="N16" s="30">
        <v>15164.22</v>
      </c>
      <c r="O16" s="30">
        <v>9463.56</v>
      </c>
      <c r="P16" s="30"/>
      <c r="Q16" s="30">
        <f>(N16+O16*0.18+J16)+(IF((P16-O16*0.18)&gt;0,(P16-O16*0.18),0))</f>
        <v>18131.350799999997</v>
      </c>
      <c r="R16" s="7"/>
      <c r="S16" s="7"/>
      <c r="T16" s="7"/>
      <c r="U16" s="7"/>
      <c r="V16" s="7"/>
      <c r="W16" s="7"/>
      <c r="X16" s="7"/>
      <c r="Y16" s="7"/>
      <c r="Z16" s="7"/>
    </row>
    <row r="17" spans="1:26" ht="8.25" customHeight="1" x14ac:dyDescent="0.2">
      <c r="A17" s="534"/>
      <c r="B17" s="534"/>
      <c r="C17" s="34" t="s">
        <v>37</v>
      </c>
      <c r="D17" s="35">
        <v>10</v>
      </c>
      <c r="E17" s="36">
        <v>16512007</v>
      </c>
      <c r="F17" s="36">
        <v>1812000</v>
      </c>
      <c r="G17" s="36">
        <v>0</v>
      </c>
      <c r="H17" s="36">
        <v>11038017</v>
      </c>
      <c r="I17" s="36">
        <v>0</v>
      </c>
      <c r="J17" s="37">
        <v>2446845</v>
      </c>
      <c r="K17" s="36">
        <v>29362024</v>
      </c>
      <c r="L17" s="38">
        <v>31808869</v>
      </c>
      <c r="M17" s="39"/>
      <c r="N17" s="36">
        <v>29362024</v>
      </c>
      <c r="O17" s="36">
        <v>18324007</v>
      </c>
      <c r="P17" s="36">
        <v>0</v>
      </c>
      <c r="Q17" s="36">
        <f>Q16*1936.27</f>
        <v>35107190.613515995</v>
      </c>
      <c r="R17" s="7"/>
      <c r="S17" s="7"/>
      <c r="T17" s="7"/>
      <c r="U17" s="7"/>
      <c r="V17" s="7"/>
      <c r="W17" s="7"/>
      <c r="X17" s="7"/>
      <c r="Y17" s="7"/>
      <c r="Z17" s="7"/>
    </row>
    <row r="18" spans="1:26" ht="12.75" customHeight="1" x14ac:dyDescent="0.2">
      <c r="A18" s="534"/>
      <c r="B18" s="534"/>
      <c r="C18" s="40" t="s">
        <v>36</v>
      </c>
      <c r="D18" s="41">
        <v>11</v>
      </c>
      <c r="E18" s="42">
        <v>8980.15</v>
      </c>
      <c r="F18" s="42">
        <v>985.4</v>
      </c>
      <c r="G18" s="42">
        <v>0</v>
      </c>
      <c r="H18" s="42">
        <v>5700.66</v>
      </c>
      <c r="I18" s="42">
        <v>0</v>
      </c>
      <c r="J18" s="42">
        <v>1305.52</v>
      </c>
      <c r="K18" s="43">
        <v>15666.21</v>
      </c>
      <c r="L18" s="32">
        <v>16971.73</v>
      </c>
      <c r="M18" s="33"/>
      <c r="N18" s="30">
        <v>15666.21</v>
      </c>
      <c r="O18" s="30">
        <v>9965.5499999999993</v>
      </c>
      <c r="P18" s="30"/>
      <c r="Q18" s="30">
        <f>(N18+O18*0.18+J18)+(IF((P18-O18*0.18)&gt;0,(P18-O18*0.18),0))</f>
        <v>18765.528999999999</v>
      </c>
      <c r="R18" s="7"/>
      <c r="S18" s="7"/>
      <c r="T18" s="7"/>
      <c r="U18" s="7"/>
      <c r="V18" s="7"/>
      <c r="W18" s="7"/>
      <c r="X18" s="7"/>
      <c r="Y18" s="7"/>
      <c r="Z18" s="7"/>
    </row>
    <row r="19" spans="1:26" ht="8.25" customHeight="1" x14ac:dyDescent="0.2">
      <c r="A19" s="534"/>
      <c r="B19" s="534"/>
      <c r="C19" s="34" t="s">
        <v>37</v>
      </c>
      <c r="D19" s="35">
        <v>12</v>
      </c>
      <c r="E19" s="36">
        <v>17387995</v>
      </c>
      <c r="F19" s="36">
        <v>1908000</v>
      </c>
      <c r="G19" s="36">
        <v>0</v>
      </c>
      <c r="H19" s="36">
        <v>11038017</v>
      </c>
      <c r="I19" s="36">
        <v>0</v>
      </c>
      <c r="J19" s="37">
        <v>2527839</v>
      </c>
      <c r="K19" s="36">
        <v>30334012</v>
      </c>
      <c r="L19" s="38">
        <v>32861852</v>
      </c>
      <c r="M19" s="39"/>
      <c r="N19" s="36">
        <v>30334012</v>
      </c>
      <c r="O19" s="36">
        <v>19295995</v>
      </c>
      <c r="P19" s="36">
        <v>0</v>
      </c>
      <c r="Q19" s="36">
        <f>Q18*1936.27</f>
        <v>36335130.836829998</v>
      </c>
      <c r="R19" s="7"/>
      <c r="S19" s="7"/>
      <c r="T19" s="7"/>
      <c r="U19" s="7"/>
      <c r="V19" s="7"/>
      <c r="W19" s="7"/>
      <c r="X19" s="7"/>
      <c r="Y19" s="7"/>
      <c r="Z19" s="7"/>
    </row>
    <row r="20" spans="1:26" ht="12.75" customHeight="1" x14ac:dyDescent="0.2">
      <c r="A20" s="534"/>
      <c r="B20" s="534"/>
      <c r="C20" s="40" t="s">
        <v>36</v>
      </c>
      <c r="D20" s="41">
        <v>13</v>
      </c>
      <c r="E20" s="42">
        <v>9463.56</v>
      </c>
      <c r="F20" s="42">
        <v>1034.98</v>
      </c>
      <c r="G20" s="42">
        <v>0</v>
      </c>
      <c r="H20" s="42">
        <v>5700.66</v>
      </c>
      <c r="I20" s="42">
        <v>0</v>
      </c>
      <c r="J20" s="42">
        <v>1349.93</v>
      </c>
      <c r="K20" s="43">
        <v>16199.2</v>
      </c>
      <c r="L20" s="32">
        <v>17549.13</v>
      </c>
      <c r="M20" s="33"/>
      <c r="N20" s="30">
        <v>16199.2</v>
      </c>
      <c r="O20" s="30">
        <v>10498.54</v>
      </c>
      <c r="P20" s="30"/>
      <c r="Q20" s="30">
        <f>(N20+O20*0.18+J20)+(IF((P20-O20*0.18)&gt;0,(P20-O20*0.18),0))</f>
        <v>19438.867200000001</v>
      </c>
      <c r="R20" s="7"/>
      <c r="S20" s="7"/>
      <c r="T20" s="7"/>
      <c r="U20" s="7"/>
      <c r="V20" s="7"/>
      <c r="W20" s="7"/>
      <c r="X20" s="7"/>
      <c r="Y20" s="7"/>
      <c r="Z20" s="7"/>
    </row>
    <row r="21" spans="1:26" ht="7.5" customHeight="1" x14ac:dyDescent="0.2">
      <c r="A21" s="534"/>
      <c r="B21" s="534"/>
      <c r="C21" s="34" t="s">
        <v>37</v>
      </c>
      <c r="D21" s="35">
        <v>14</v>
      </c>
      <c r="E21" s="36">
        <v>18324007</v>
      </c>
      <c r="F21" s="36">
        <v>2004001</v>
      </c>
      <c r="G21" s="36">
        <v>0</v>
      </c>
      <c r="H21" s="36">
        <v>11038017</v>
      </c>
      <c r="I21" s="36">
        <v>0</v>
      </c>
      <c r="J21" s="37">
        <v>2613829</v>
      </c>
      <c r="K21" s="36">
        <v>31366025</v>
      </c>
      <c r="L21" s="38">
        <v>33979854</v>
      </c>
      <c r="M21" s="39"/>
      <c r="N21" s="36">
        <v>31366025</v>
      </c>
      <c r="O21" s="36">
        <v>20328008</v>
      </c>
      <c r="P21" s="36">
        <v>0</v>
      </c>
      <c r="Q21" s="36">
        <f>Q20*1936.27</f>
        <v>37638895.393344</v>
      </c>
      <c r="R21" s="7"/>
      <c r="S21" s="7"/>
      <c r="T21" s="7"/>
      <c r="U21" s="7"/>
      <c r="V21" s="7"/>
      <c r="W21" s="7"/>
      <c r="X21" s="7"/>
      <c r="Y21" s="7"/>
      <c r="Z21" s="7"/>
    </row>
    <row r="22" spans="1:26" ht="12.75" customHeight="1" x14ac:dyDescent="0.2">
      <c r="A22" s="534"/>
      <c r="B22" s="534"/>
      <c r="C22" s="40" t="s">
        <v>36</v>
      </c>
      <c r="D22" s="41">
        <v>15</v>
      </c>
      <c r="E22" s="42">
        <v>9940.76</v>
      </c>
      <c r="F22" s="42">
        <v>1090.76</v>
      </c>
      <c r="G22" s="42">
        <v>0</v>
      </c>
      <c r="H22" s="42">
        <v>5700.66</v>
      </c>
      <c r="I22" s="42">
        <v>0</v>
      </c>
      <c r="J22" s="42">
        <v>1394.35</v>
      </c>
      <c r="K22" s="43">
        <v>16732.18</v>
      </c>
      <c r="L22" s="32">
        <v>18126.53</v>
      </c>
      <c r="M22" s="33"/>
      <c r="N22" s="30">
        <v>16732.18</v>
      </c>
      <c r="O22" s="30">
        <v>11031.52</v>
      </c>
      <c r="P22" s="30"/>
      <c r="Q22" s="30">
        <f>(N22+O22*0.18+J22)+(IF((P22-O22*0.18)&gt;0,(P22-O22*0.18),0))</f>
        <v>20112.203600000001</v>
      </c>
      <c r="R22" s="7"/>
      <c r="S22" s="7"/>
      <c r="T22" s="7"/>
      <c r="U22" s="7"/>
      <c r="V22" s="7"/>
      <c r="W22" s="7"/>
      <c r="X22" s="7"/>
      <c r="Y22" s="7"/>
      <c r="Z22" s="7"/>
    </row>
    <row r="23" spans="1:26" ht="7.5" customHeight="1" x14ac:dyDescent="0.2">
      <c r="A23" s="534"/>
      <c r="B23" s="534"/>
      <c r="C23" s="34" t="s">
        <v>37</v>
      </c>
      <c r="D23" s="35">
        <v>16</v>
      </c>
      <c r="E23" s="36">
        <v>19247995</v>
      </c>
      <c r="F23" s="36">
        <v>2112006</v>
      </c>
      <c r="G23" s="36">
        <v>0</v>
      </c>
      <c r="H23" s="36">
        <v>11038017</v>
      </c>
      <c r="I23" s="36">
        <v>0</v>
      </c>
      <c r="J23" s="37">
        <v>2699838</v>
      </c>
      <c r="K23" s="36">
        <v>32398018</v>
      </c>
      <c r="L23" s="38">
        <v>35097856</v>
      </c>
      <c r="M23" s="39"/>
      <c r="N23" s="36">
        <v>32398018</v>
      </c>
      <c r="O23" s="36">
        <v>21360001</v>
      </c>
      <c r="P23" s="36">
        <v>0</v>
      </c>
      <c r="Q23" s="36">
        <f>Q22*1936.27</f>
        <v>38942656.464571998</v>
      </c>
      <c r="R23" s="7"/>
      <c r="S23" s="7"/>
      <c r="T23" s="7"/>
      <c r="U23" s="7"/>
      <c r="V23" s="7"/>
      <c r="W23" s="7"/>
      <c r="X23" s="7"/>
      <c r="Y23" s="7"/>
      <c r="Z23" s="7"/>
    </row>
    <row r="24" spans="1:26" ht="12.75" customHeight="1" x14ac:dyDescent="0.2">
      <c r="A24" s="534"/>
      <c r="B24" s="534"/>
      <c r="C24" s="40" t="s">
        <v>36</v>
      </c>
      <c r="D24" s="41">
        <v>17</v>
      </c>
      <c r="E24" s="42">
        <v>11037.72</v>
      </c>
      <c r="F24" s="42">
        <v>1214.71</v>
      </c>
      <c r="G24" s="42">
        <v>0</v>
      </c>
      <c r="H24" s="42">
        <v>5700.66</v>
      </c>
      <c r="I24" s="42">
        <v>0</v>
      </c>
      <c r="J24" s="42">
        <v>1496.09</v>
      </c>
      <c r="K24" s="43">
        <v>17953.09</v>
      </c>
      <c r="L24" s="32">
        <v>19449.18</v>
      </c>
      <c r="M24" s="33"/>
      <c r="N24" s="30">
        <v>17953.09</v>
      </c>
      <c r="O24" s="30">
        <v>12252.43</v>
      </c>
      <c r="P24" s="30"/>
      <c r="Q24" s="30">
        <f>(N24+O24*0.18+J24)+(IF((P24-O24*0.18)&gt;0,(P24-O24*0.18),0))</f>
        <v>21654.617399999999</v>
      </c>
      <c r="R24" s="7"/>
      <c r="S24" s="7"/>
      <c r="T24" s="7"/>
      <c r="U24" s="7"/>
      <c r="V24" s="7"/>
      <c r="W24" s="7"/>
      <c r="X24" s="7"/>
      <c r="Y24" s="7"/>
      <c r="Z24" s="7"/>
    </row>
    <row r="25" spans="1:26" ht="8.25" customHeight="1" x14ac:dyDescent="0.2">
      <c r="A25" s="534"/>
      <c r="B25" s="534"/>
      <c r="C25" s="34" t="s">
        <v>37</v>
      </c>
      <c r="D25" s="35">
        <v>17</v>
      </c>
      <c r="E25" s="36">
        <v>21372006</v>
      </c>
      <c r="F25" s="36">
        <v>2352007</v>
      </c>
      <c r="G25" s="36">
        <v>0</v>
      </c>
      <c r="H25" s="36">
        <v>11038017</v>
      </c>
      <c r="I25" s="36">
        <v>0</v>
      </c>
      <c r="J25" s="37">
        <v>2896834</v>
      </c>
      <c r="K25" s="36">
        <v>34762030</v>
      </c>
      <c r="L25" s="38">
        <v>37658864</v>
      </c>
      <c r="M25" s="39"/>
      <c r="N25" s="36">
        <v>34762030</v>
      </c>
      <c r="O25" s="36">
        <v>23724013</v>
      </c>
      <c r="P25" s="36">
        <v>0</v>
      </c>
      <c r="Q25" s="36">
        <f>Q24*1936.27</f>
        <v>41929186.033097997</v>
      </c>
      <c r="R25" s="7"/>
      <c r="S25" s="7"/>
      <c r="T25" s="7"/>
      <c r="U25" s="7"/>
      <c r="V25" s="7"/>
      <c r="W25" s="7"/>
      <c r="X25" s="7"/>
      <c r="Y25" s="7"/>
      <c r="Z25" s="7"/>
    </row>
    <row r="26" spans="1:26" ht="12.75" customHeight="1" x14ac:dyDescent="0.2">
      <c r="A26" s="534"/>
      <c r="B26" s="534"/>
      <c r="C26" s="40" t="s">
        <v>36</v>
      </c>
      <c r="D26" s="41">
        <v>18</v>
      </c>
      <c r="E26" s="42">
        <v>11347.59</v>
      </c>
      <c r="F26" s="42">
        <v>1245.69</v>
      </c>
      <c r="G26" s="42">
        <v>0</v>
      </c>
      <c r="H26" s="42">
        <v>5700.66</v>
      </c>
      <c r="I26" s="42">
        <v>0</v>
      </c>
      <c r="J26" s="42">
        <v>1524.5</v>
      </c>
      <c r="K26" s="43">
        <v>18293.939999999999</v>
      </c>
      <c r="L26" s="32">
        <v>19818.439999999999</v>
      </c>
      <c r="M26" s="33"/>
      <c r="N26" s="30">
        <v>18293.939999999999</v>
      </c>
      <c r="O26" s="30">
        <v>12593.28</v>
      </c>
      <c r="P26" s="30"/>
      <c r="Q26" s="30">
        <f>(N26+O26*0.18+J26)+(IF((P26-O26*0.18)&gt;0,(P26-O26*0.18),0))</f>
        <v>22085.2304</v>
      </c>
      <c r="R26" s="7"/>
      <c r="S26" s="7"/>
      <c r="T26" s="7"/>
      <c r="U26" s="7"/>
      <c r="V26" s="7"/>
      <c r="W26" s="7"/>
      <c r="X26" s="7"/>
      <c r="Y26" s="7"/>
      <c r="Z26" s="7"/>
    </row>
    <row r="27" spans="1:26" ht="7.5" customHeight="1" x14ac:dyDescent="0.2">
      <c r="A27" s="534"/>
      <c r="B27" s="534"/>
      <c r="C27" s="34" t="s">
        <v>37</v>
      </c>
      <c r="D27" s="35">
        <v>19</v>
      </c>
      <c r="E27" s="36">
        <v>21971998</v>
      </c>
      <c r="F27" s="36">
        <v>2411992</v>
      </c>
      <c r="G27" s="36">
        <v>0</v>
      </c>
      <c r="H27" s="36">
        <v>11038017</v>
      </c>
      <c r="I27" s="36">
        <v>0</v>
      </c>
      <c r="J27" s="37">
        <v>2951844</v>
      </c>
      <c r="K27" s="36">
        <v>35422007</v>
      </c>
      <c r="L27" s="38">
        <v>38373851</v>
      </c>
      <c r="M27" s="39"/>
      <c r="N27" s="36">
        <v>35422007</v>
      </c>
      <c r="O27" s="36">
        <v>24383990</v>
      </c>
      <c r="P27" s="36">
        <v>0</v>
      </c>
      <c r="Q27" s="36">
        <f>Q26*1936.27</f>
        <v>42762969.066607997</v>
      </c>
      <c r="R27" s="7"/>
      <c r="S27" s="7"/>
      <c r="T27" s="7"/>
      <c r="U27" s="7"/>
      <c r="V27" s="7"/>
      <c r="W27" s="7"/>
      <c r="X27" s="7"/>
      <c r="Y27" s="7"/>
      <c r="Z27" s="7"/>
    </row>
    <row r="28" spans="1:26" ht="12.75" customHeight="1" x14ac:dyDescent="0.2">
      <c r="A28" s="534"/>
      <c r="B28" s="534"/>
      <c r="C28" s="40" t="s">
        <v>36</v>
      </c>
      <c r="D28" s="41">
        <v>20</v>
      </c>
      <c r="E28" s="42">
        <v>11731.83</v>
      </c>
      <c r="F28" s="42">
        <v>1289.08</v>
      </c>
      <c r="G28" s="42">
        <v>0</v>
      </c>
      <c r="H28" s="42">
        <v>5700.66</v>
      </c>
      <c r="I28" s="42">
        <v>0</v>
      </c>
      <c r="J28" s="42">
        <v>1560.13</v>
      </c>
      <c r="K28" s="43">
        <v>18721.57</v>
      </c>
      <c r="L28" s="32">
        <v>20281.7</v>
      </c>
      <c r="M28" s="33"/>
      <c r="N28" s="30">
        <v>18721.57</v>
      </c>
      <c r="O28" s="30">
        <v>13020.91</v>
      </c>
      <c r="P28" s="30"/>
      <c r="Q28" s="30">
        <f>(N28+O28*0.18+J28)+(IF((P28-O28*0.18)&gt;0,(P28-O28*0.18),0))</f>
        <v>22625.463800000001</v>
      </c>
      <c r="R28" s="7"/>
      <c r="S28" s="7"/>
      <c r="T28" s="7"/>
      <c r="U28" s="7"/>
      <c r="V28" s="7"/>
      <c r="W28" s="7"/>
      <c r="X28" s="7"/>
      <c r="Y28" s="7"/>
      <c r="Z28" s="7"/>
    </row>
    <row r="29" spans="1:26" ht="6.75" customHeight="1" x14ac:dyDescent="0.2">
      <c r="A29" s="534"/>
      <c r="B29" s="534"/>
      <c r="C29" s="34" t="s">
        <v>37</v>
      </c>
      <c r="D29" s="35">
        <v>21</v>
      </c>
      <c r="E29" s="36">
        <v>22715990</v>
      </c>
      <c r="F29" s="36">
        <v>2496007</v>
      </c>
      <c r="G29" s="36">
        <v>0</v>
      </c>
      <c r="H29" s="36">
        <v>11038017</v>
      </c>
      <c r="I29" s="36">
        <v>0</v>
      </c>
      <c r="J29" s="37">
        <v>3020833</v>
      </c>
      <c r="K29" s="36">
        <v>36250014</v>
      </c>
      <c r="L29" s="38">
        <v>39270847</v>
      </c>
      <c r="M29" s="39"/>
      <c r="N29" s="36">
        <v>36250014</v>
      </c>
      <c r="O29" s="36">
        <v>25211997</v>
      </c>
      <c r="P29" s="36">
        <v>0</v>
      </c>
      <c r="Q29" s="36">
        <f>Q28*1936.27</f>
        <v>43809006.792026006</v>
      </c>
      <c r="R29" s="7"/>
      <c r="S29" s="7"/>
      <c r="T29" s="7"/>
      <c r="U29" s="7"/>
      <c r="V29" s="7"/>
      <c r="W29" s="7"/>
      <c r="X29" s="7"/>
      <c r="Y29" s="7"/>
      <c r="Z29" s="7"/>
    </row>
    <row r="30" spans="1:26" ht="12.75" customHeight="1" x14ac:dyDescent="0.2">
      <c r="A30" s="534"/>
      <c r="B30" s="534"/>
      <c r="C30" s="40" t="s">
        <v>36</v>
      </c>
      <c r="D30" s="41">
        <v>22</v>
      </c>
      <c r="E30" s="42">
        <v>11979.73</v>
      </c>
      <c r="F30" s="42">
        <v>1313.87</v>
      </c>
      <c r="G30" s="42">
        <v>0</v>
      </c>
      <c r="H30" s="42">
        <v>5700.66</v>
      </c>
      <c r="I30" s="42">
        <v>0</v>
      </c>
      <c r="J30" s="42">
        <v>1582.86</v>
      </c>
      <c r="K30" s="43">
        <v>18994.259999999998</v>
      </c>
      <c r="L30" s="32">
        <v>20577.12</v>
      </c>
      <c r="M30" s="33"/>
      <c r="N30" s="30">
        <v>18994.259999999998</v>
      </c>
      <c r="O30" s="30">
        <v>13293.6</v>
      </c>
      <c r="P30" s="30"/>
      <c r="Q30" s="30">
        <f>(N30+O30*0.18+J30)+(IF((P30-O30*0.18)&gt;0,(P30-O30*0.18),0))</f>
        <v>22969.968000000001</v>
      </c>
      <c r="R30" s="7"/>
      <c r="S30" s="7"/>
      <c r="T30" s="7"/>
      <c r="U30" s="7"/>
      <c r="V30" s="7"/>
      <c r="W30" s="7"/>
      <c r="X30" s="7"/>
      <c r="Y30" s="7"/>
      <c r="Z30" s="7"/>
    </row>
    <row r="31" spans="1:26" ht="8.25" customHeight="1" x14ac:dyDescent="0.2">
      <c r="A31" s="534"/>
      <c r="B31" s="534"/>
      <c r="C31" s="34" t="s">
        <v>37</v>
      </c>
      <c r="D31" s="35">
        <v>23</v>
      </c>
      <c r="E31" s="36">
        <v>23195992</v>
      </c>
      <c r="F31" s="36">
        <v>2544007</v>
      </c>
      <c r="G31" s="36">
        <v>0</v>
      </c>
      <c r="H31" s="36">
        <v>11038017</v>
      </c>
      <c r="I31" s="36">
        <v>0</v>
      </c>
      <c r="J31" s="37">
        <v>3064844</v>
      </c>
      <c r="K31" s="36">
        <v>36778016</v>
      </c>
      <c r="L31" s="38">
        <v>39842860</v>
      </c>
      <c r="M31" s="39"/>
      <c r="N31" s="36">
        <v>36778016</v>
      </c>
      <c r="O31" s="36">
        <v>25739999</v>
      </c>
      <c r="P31" s="36">
        <v>0</v>
      </c>
      <c r="Q31" s="36">
        <f>Q30*1936.27</f>
        <v>44476059.93936</v>
      </c>
      <c r="R31" s="7"/>
      <c r="S31" s="7"/>
      <c r="T31" s="7"/>
      <c r="U31" s="7"/>
      <c r="V31" s="7"/>
      <c r="W31" s="7"/>
      <c r="X31" s="7"/>
      <c r="Y31" s="7"/>
      <c r="Z31" s="7"/>
    </row>
    <row r="32" spans="1:26" ht="12.75" customHeight="1" x14ac:dyDescent="0.2">
      <c r="A32" s="534"/>
      <c r="B32" s="534"/>
      <c r="C32" s="40" t="s">
        <v>36</v>
      </c>
      <c r="D32" s="41">
        <v>24</v>
      </c>
      <c r="E32" s="42">
        <v>12295.81</v>
      </c>
      <c r="F32" s="42">
        <v>1351.05</v>
      </c>
      <c r="G32" s="42">
        <v>0</v>
      </c>
      <c r="H32" s="42">
        <v>5700.66</v>
      </c>
      <c r="I32" s="42">
        <v>0</v>
      </c>
      <c r="J32" s="42">
        <v>1612.29</v>
      </c>
      <c r="K32" s="43">
        <v>19347.52</v>
      </c>
      <c r="L32" s="32">
        <v>20959.810000000001</v>
      </c>
      <c r="M32" s="33"/>
      <c r="N32" s="30">
        <v>19347.52</v>
      </c>
      <c r="O32" s="30">
        <v>13646.86</v>
      </c>
      <c r="P32" s="30"/>
      <c r="Q32" s="30">
        <f>(N32+O32*0.18+J32)+(IF((P32-O32*0.18)&gt;0,(P32-O32*0.18),0))</f>
        <v>23416.2448</v>
      </c>
      <c r="R32" s="7"/>
      <c r="S32" s="7"/>
      <c r="T32" s="7"/>
      <c r="U32" s="7"/>
      <c r="V32" s="7"/>
      <c r="W32" s="7"/>
      <c r="X32" s="7"/>
      <c r="Y32" s="7"/>
      <c r="Z32" s="7"/>
    </row>
    <row r="33" spans="1:26" ht="7.5" customHeight="1" x14ac:dyDescent="0.2">
      <c r="A33" s="534"/>
      <c r="B33" s="534"/>
      <c r="C33" s="34" t="s">
        <v>37</v>
      </c>
      <c r="D33" s="35">
        <v>25</v>
      </c>
      <c r="E33" s="36">
        <v>23808008</v>
      </c>
      <c r="F33" s="36">
        <v>2615998</v>
      </c>
      <c r="G33" s="36">
        <v>0</v>
      </c>
      <c r="H33" s="36">
        <v>11038017</v>
      </c>
      <c r="I33" s="36">
        <v>0</v>
      </c>
      <c r="J33" s="37">
        <v>3121829</v>
      </c>
      <c r="K33" s="36">
        <v>37462023</v>
      </c>
      <c r="L33" s="38">
        <v>40583851</v>
      </c>
      <c r="M33" s="39"/>
      <c r="N33" s="36">
        <v>37462023</v>
      </c>
      <c r="O33" s="36">
        <v>26424006</v>
      </c>
      <c r="P33" s="36">
        <v>0</v>
      </c>
      <c r="Q33" s="36">
        <f>Q32*1936.27</f>
        <v>45340172.318896003</v>
      </c>
      <c r="R33" s="7"/>
      <c r="S33" s="7"/>
      <c r="T33" s="7"/>
      <c r="U33" s="7"/>
      <c r="V33" s="7"/>
      <c r="W33" s="7"/>
      <c r="X33" s="7"/>
      <c r="Y33" s="7"/>
      <c r="Z33" s="7"/>
    </row>
    <row r="34" spans="1:26" ht="12.75" customHeight="1" x14ac:dyDescent="0.2">
      <c r="A34" s="534"/>
      <c r="B34" s="534"/>
      <c r="C34" s="40" t="s">
        <v>36</v>
      </c>
      <c r="D34" s="41">
        <v>26</v>
      </c>
      <c r="E34" s="42">
        <v>12605.68</v>
      </c>
      <c r="F34" s="42">
        <v>1382.04</v>
      </c>
      <c r="G34" s="42">
        <v>0</v>
      </c>
      <c r="H34" s="42">
        <v>5700.66</v>
      </c>
      <c r="I34" s="42">
        <v>0</v>
      </c>
      <c r="J34" s="42">
        <v>1640.7</v>
      </c>
      <c r="K34" s="43">
        <v>19688.38</v>
      </c>
      <c r="L34" s="32">
        <v>21329.08</v>
      </c>
      <c r="M34" s="33"/>
      <c r="N34" s="30">
        <v>19688.38</v>
      </c>
      <c r="O34" s="30">
        <v>13987.72</v>
      </c>
      <c r="P34" s="30"/>
      <c r="Q34" s="30">
        <f>(N34+O34*0.18+J34)+(IF((P34-O34*0.18)&gt;0,(P34-O34*0.18),0))</f>
        <v>23846.869600000002</v>
      </c>
      <c r="R34" s="7"/>
      <c r="S34" s="7"/>
      <c r="T34" s="7"/>
      <c r="U34" s="7"/>
      <c r="V34" s="7"/>
      <c r="W34" s="7"/>
      <c r="X34" s="7"/>
      <c r="Y34" s="7"/>
      <c r="Z34" s="7"/>
    </row>
    <row r="35" spans="1:26" ht="8.25" customHeight="1" x14ac:dyDescent="0.2">
      <c r="A35" s="534"/>
      <c r="B35" s="534"/>
      <c r="C35" s="34" t="s">
        <v>37</v>
      </c>
      <c r="D35" s="35">
        <v>27</v>
      </c>
      <c r="E35" s="36">
        <v>24408000</v>
      </c>
      <c r="F35" s="36">
        <v>2676003</v>
      </c>
      <c r="G35" s="36">
        <v>0</v>
      </c>
      <c r="H35" s="36">
        <v>11038017</v>
      </c>
      <c r="I35" s="36">
        <v>0</v>
      </c>
      <c r="J35" s="37">
        <v>3176838</v>
      </c>
      <c r="K35" s="36">
        <v>38122020</v>
      </c>
      <c r="L35" s="38">
        <v>41298858</v>
      </c>
      <c r="M35" s="39"/>
      <c r="N35" s="36">
        <v>38122020</v>
      </c>
      <c r="O35" s="36">
        <v>27084003</v>
      </c>
      <c r="P35" s="36">
        <v>0</v>
      </c>
      <c r="Q35" s="36">
        <f>Q34*1936.27</f>
        <v>46173978.200392</v>
      </c>
      <c r="R35" s="7"/>
      <c r="S35" s="7"/>
      <c r="T35" s="7"/>
      <c r="U35" s="7"/>
      <c r="V35" s="7"/>
      <c r="W35" s="7"/>
      <c r="X35" s="7"/>
      <c r="Y35" s="7"/>
      <c r="Z35" s="7"/>
    </row>
    <row r="36" spans="1:26" ht="12.75" customHeight="1" x14ac:dyDescent="0.2">
      <c r="A36" s="534"/>
      <c r="B36" s="534"/>
      <c r="C36" s="40" t="s">
        <v>36</v>
      </c>
      <c r="D36" s="41">
        <v>28</v>
      </c>
      <c r="E36" s="42">
        <v>12909.36</v>
      </c>
      <c r="F36" s="42">
        <v>1419.22</v>
      </c>
      <c r="G36" s="42">
        <v>0</v>
      </c>
      <c r="H36" s="42">
        <v>5700.66</v>
      </c>
      <c r="I36" s="42">
        <v>0</v>
      </c>
      <c r="J36" s="42">
        <v>1669.1</v>
      </c>
      <c r="K36" s="43">
        <v>20029.240000000002</v>
      </c>
      <c r="L36" s="32">
        <v>21698.34</v>
      </c>
      <c r="M36" s="33"/>
      <c r="N36" s="30">
        <v>20029.240000000002</v>
      </c>
      <c r="O36" s="30">
        <v>14328.58</v>
      </c>
      <c r="P36" s="30"/>
      <c r="Q36" s="30">
        <f>(N36+O36*0.18+J36)+(IF((P36-O36*0.18)&gt;0,(P36-O36*0.18),0))</f>
        <v>24277.484400000001</v>
      </c>
      <c r="R36" s="7"/>
      <c r="S36" s="7"/>
      <c r="T36" s="7"/>
      <c r="U36" s="7"/>
      <c r="V36" s="7"/>
      <c r="W36" s="7"/>
      <c r="X36" s="7"/>
      <c r="Y36" s="7"/>
      <c r="Z36" s="7"/>
    </row>
    <row r="37" spans="1:26" ht="9" customHeight="1" x14ac:dyDescent="0.2">
      <c r="A37" s="534"/>
      <c r="B37" s="534"/>
      <c r="C37" s="34" t="s">
        <v>37</v>
      </c>
      <c r="D37" s="35">
        <v>29</v>
      </c>
      <c r="E37" s="36">
        <v>24996006</v>
      </c>
      <c r="F37" s="36">
        <v>2747993</v>
      </c>
      <c r="G37" s="36">
        <v>0</v>
      </c>
      <c r="H37" s="36">
        <v>11038017</v>
      </c>
      <c r="I37" s="36">
        <v>0</v>
      </c>
      <c r="J37" s="37">
        <v>3231828</v>
      </c>
      <c r="K37" s="36">
        <v>38782017</v>
      </c>
      <c r="L37" s="38">
        <v>42013845</v>
      </c>
      <c r="M37" s="39"/>
      <c r="N37" s="36">
        <v>38782017</v>
      </c>
      <c r="O37" s="36">
        <v>27744000</v>
      </c>
      <c r="P37" s="36">
        <v>0</v>
      </c>
      <c r="Q37" s="36">
        <f>Q36*1936.27</f>
        <v>47007764.719188005</v>
      </c>
      <c r="R37" s="7"/>
      <c r="S37" s="7"/>
      <c r="T37" s="7"/>
      <c r="U37" s="7"/>
      <c r="V37" s="7"/>
      <c r="W37" s="7"/>
      <c r="X37" s="7"/>
      <c r="Y37" s="7"/>
      <c r="Z37" s="7"/>
    </row>
    <row r="38" spans="1:26" ht="12.75" customHeight="1" x14ac:dyDescent="0.2">
      <c r="A38" s="534"/>
      <c r="B38" s="534"/>
      <c r="C38" s="40" t="s">
        <v>36</v>
      </c>
      <c r="D38" s="41">
        <v>30</v>
      </c>
      <c r="E38" s="42">
        <v>13225.43</v>
      </c>
      <c r="F38" s="42">
        <v>1450.21</v>
      </c>
      <c r="G38" s="42">
        <v>0</v>
      </c>
      <c r="H38" s="42">
        <v>5700.66</v>
      </c>
      <c r="I38" s="42">
        <v>0</v>
      </c>
      <c r="J38" s="42">
        <v>1698.03</v>
      </c>
      <c r="K38" s="43">
        <v>20376.3</v>
      </c>
      <c r="L38" s="32">
        <v>22074.33</v>
      </c>
      <c r="M38" s="33"/>
      <c r="N38" s="30">
        <v>20376.3</v>
      </c>
      <c r="O38" s="30">
        <v>14675.64</v>
      </c>
      <c r="P38" s="30"/>
      <c r="Q38" s="30">
        <f>(N38+O38*0.18+J38)+(IF((P38-O38*0.18)&gt;0,(P38-O38*0.18),0))</f>
        <v>24715.945199999998</v>
      </c>
      <c r="R38" s="7"/>
      <c r="S38" s="7"/>
      <c r="T38" s="7"/>
      <c r="U38" s="7"/>
      <c r="V38" s="7"/>
      <c r="W38" s="7"/>
      <c r="X38" s="7"/>
      <c r="Y38" s="7"/>
      <c r="Z38" s="7"/>
    </row>
    <row r="39" spans="1:26" ht="9" customHeight="1" x14ac:dyDescent="0.2">
      <c r="A39" s="534"/>
      <c r="B39" s="534"/>
      <c r="C39" s="34" t="s">
        <v>37</v>
      </c>
      <c r="D39" s="35">
        <v>31</v>
      </c>
      <c r="E39" s="36">
        <v>25608003</v>
      </c>
      <c r="F39" s="36">
        <v>2807998</v>
      </c>
      <c r="G39" s="36">
        <v>0</v>
      </c>
      <c r="H39" s="36">
        <v>11038017</v>
      </c>
      <c r="I39" s="36">
        <v>0</v>
      </c>
      <c r="J39" s="37">
        <v>3287845</v>
      </c>
      <c r="K39" s="36">
        <v>39454018</v>
      </c>
      <c r="L39" s="38">
        <v>42741863</v>
      </c>
      <c r="M39" s="39"/>
      <c r="N39" s="36">
        <v>39454018</v>
      </c>
      <c r="O39" s="36">
        <v>28416001</v>
      </c>
      <c r="P39" s="36">
        <v>0</v>
      </c>
      <c r="Q39" s="36">
        <f>Q38*1936.27</f>
        <v>47856743.212403998</v>
      </c>
      <c r="R39" s="7"/>
      <c r="S39" s="7"/>
      <c r="T39" s="7"/>
      <c r="U39" s="7"/>
      <c r="V39" s="7"/>
      <c r="W39" s="7"/>
      <c r="X39" s="7"/>
      <c r="Y39" s="7"/>
      <c r="Z39" s="7"/>
    </row>
    <row r="40" spans="1:26" ht="12.75" customHeight="1" x14ac:dyDescent="0.2">
      <c r="A40" s="534"/>
      <c r="B40" s="534"/>
      <c r="C40" s="40" t="s">
        <v>36</v>
      </c>
      <c r="D40" s="41">
        <v>32</v>
      </c>
      <c r="E40" s="42">
        <v>13535.3</v>
      </c>
      <c r="F40" s="42">
        <v>1487.4</v>
      </c>
      <c r="G40" s="42">
        <v>0</v>
      </c>
      <c r="H40" s="42">
        <v>5700.66</v>
      </c>
      <c r="I40" s="42">
        <v>0</v>
      </c>
      <c r="J40" s="42">
        <v>1726.95</v>
      </c>
      <c r="K40" s="43">
        <v>20723.36</v>
      </c>
      <c r="L40" s="32">
        <v>22450.31</v>
      </c>
      <c r="M40" s="33"/>
      <c r="N40" s="30">
        <v>20723.36</v>
      </c>
      <c r="O40" s="30">
        <v>15022.7</v>
      </c>
      <c r="P40" s="30"/>
      <c r="Q40" s="30">
        <f>(N40+O40*0.18+J40)+(IF((P40-O40*0.18)&gt;0,(P40-O40*0.18),0))</f>
        <v>25154.396000000001</v>
      </c>
      <c r="R40" s="7"/>
      <c r="S40" s="7"/>
      <c r="T40" s="7"/>
      <c r="U40" s="7"/>
      <c r="V40" s="7"/>
      <c r="W40" s="7"/>
      <c r="X40" s="7"/>
      <c r="Y40" s="7"/>
      <c r="Z40" s="7"/>
    </row>
    <row r="41" spans="1:26" ht="9" customHeight="1" x14ac:dyDescent="0.2">
      <c r="A41" s="534"/>
      <c r="B41" s="534"/>
      <c r="C41" s="34" t="s">
        <v>37</v>
      </c>
      <c r="D41" s="35">
        <v>33</v>
      </c>
      <c r="E41" s="36">
        <v>26207995</v>
      </c>
      <c r="F41" s="36">
        <v>2880008</v>
      </c>
      <c r="G41" s="36">
        <v>0</v>
      </c>
      <c r="H41" s="36">
        <v>11038017</v>
      </c>
      <c r="I41" s="36">
        <v>0</v>
      </c>
      <c r="J41" s="37">
        <v>3343841</v>
      </c>
      <c r="K41" s="36">
        <v>40126020</v>
      </c>
      <c r="L41" s="38">
        <v>43469862</v>
      </c>
      <c r="M41" s="39"/>
      <c r="N41" s="36">
        <v>40126020</v>
      </c>
      <c r="O41" s="36">
        <v>29088003</v>
      </c>
      <c r="P41" s="36">
        <v>0</v>
      </c>
      <c r="Q41" s="36">
        <f>Q40*1936.27</f>
        <v>48705702.342919998</v>
      </c>
      <c r="R41" s="7"/>
      <c r="S41" s="7"/>
      <c r="T41" s="7"/>
      <c r="U41" s="7"/>
      <c r="V41" s="7"/>
      <c r="W41" s="7"/>
      <c r="X41" s="7"/>
      <c r="Y41" s="7"/>
      <c r="Z41" s="7"/>
    </row>
    <row r="42" spans="1:26" ht="12.75" customHeight="1" x14ac:dyDescent="0.2">
      <c r="A42" s="534"/>
      <c r="B42" s="534"/>
      <c r="C42" s="40" t="s">
        <v>36</v>
      </c>
      <c r="D42" s="41">
        <v>34</v>
      </c>
      <c r="E42" s="42">
        <v>13851.37</v>
      </c>
      <c r="F42" s="42">
        <v>1518.38</v>
      </c>
      <c r="G42" s="42">
        <v>0</v>
      </c>
      <c r="H42" s="42">
        <v>5700.66</v>
      </c>
      <c r="I42" s="42">
        <v>0</v>
      </c>
      <c r="J42" s="42">
        <v>1755.87</v>
      </c>
      <c r="K42" s="43">
        <v>21070.41</v>
      </c>
      <c r="L42" s="32">
        <v>22826.28</v>
      </c>
      <c r="M42" s="33"/>
      <c r="N42" s="30">
        <v>21070.41</v>
      </c>
      <c r="O42" s="30">
        <v>15369.75</v>
      </c>
      <c r="P42" s="30"/>
      <c r="Q42" s="30">
        <f>(N42+O42*0.18+J42)+(IF((P42-O42*0.18)&gt;0,(P42-O42*0.18),0))</f>
        <v>25592.834999999999</v>
      </c>
      <c r="R42" s="7"/>
      <c r="S42" s="7"/>
      <c r="T42" s="7"/>
      <c r="U42" s="7"/>
      <c r="V42" s="7"/>
      <c r="W42" s="7"/>
      <c r="X42" s="7"/>
      <c r="Y42" s="7"/>
      <c r="Z42" s="7"/>
    </row>
    <row r="43" spans="1:26" ht="9" customHeight="1" x14ac:dyDescent="0.2">
      <c r="A43" s="534"/>
      <c r="B43" s="534"/>
      <c r="C43" s="34" t="s">
        <v>37</v>
      </c>
      <c r="D43" s="35">
        <v>35</v>
      </c>
      <c r="E43" s="36">
        <v>26819992</v>
      </c>
      <c r="F43" s="36">
        <v>2939994</v>
      </c>
      <c r="G43" s="36">
        <v>0</v>
      </c>
      <c r="H43" s="36">
        <v>11038017</v>
      </c>
      <c r="I43" s="36">
        <v>0</v>
      </c>
      <c r="J43" s="37">
        <v>3399838</v>
      </c>
      <c r="K43" s="36">
        <v>40798003</v>
      </c>
      <c r="L43" s="38">
        <v>44197841</v>
      </c>
      <c r="M43" s="39"/>
      <c r="N43" s="36">
        <v>40798003</v>
      </c>
      <c r="O43" s="36">
        <v>29759986</v>
      </c>
      <c r="P43" s="36">
        <v>0</v>
      </c>
      <c r="Q43" s="36">
        <f>Q42*1936.27</f>
        <v>49554638.62545</v>
      </c>
      <c r="R43" s="7"/>
      <c r="S43" s="7"/>
      <c r="T43" s="7"/>
      <c r="U43" s="7"/>
      <c r="V43" s="7"/>
      <c r="W43" s="7"/>
      <c r="X43" s="7"/>
      <c r="Y43" s="7"/>
      <c r="Z43" s="7"/>
    </row>
    <row r="44" spans="1:26" ht="12.75" customHeight="1" x14ac:dyDescent="0.2">
      <c r="A44" s="534"/>
      <c r="B44" s="534"/>
      <c r="C44" s="40" t="s">
        <v>36</v>
      </c>
      <c r="D44" s="41">
        <v>36</v>
      </c>
      <c r="E44" s="42">
        <v>14161.25</v>
      </c>
      <c r="F44" s="42">
        <v>1555.57</v>
      </c>
      <c r="G44" s="42">
        <v>0</v>
      </c>
      <c r="H44" s="42">
        <v>5700.66</v>
      </c>
      <c r="I44" s="42">
        <v>0</v>
      </c>
      <c r="J44" s="42">
        <v>1784.79</v>
      </c>
      <c r="K44" s="43">
        <v>21417.48</v>
      </c>
      <c r="L44" s="32">
        <v>23202.27</v>
      </c>
      <c r="M44" s="33"/>
      <c r="N44" s="30">
        <v>21417.48</v>
      </c>
      <c r="O44" s="30">
        <v>15716.82</v>
      </c>
      <c r="P44" s="30"/>
      <c r="Q44" s="30">
        <f>(N44+O44*0.18+J44)+(IF((P44-O44*0.18)&gt;0,(P44-O44*0.18),0))</f>
        <v>26031.297600000002</v>
      </c>
      <c r="R44" s="7"/>
      <c r="S44" s="7"/>
      <c r="T44" s="7"/>
      <c r="U44" s="7"/>
      <c r="V44" s="7"/>
      <c r="W44" s="7"/>
      <c r="X44" s="7"/>
      <c r="Y44" s="7"/>
      <c r="Z44" s="7"/>
    </row>
    <row r="45" spans="1:26" ht="9" customHeight="1" x14ac:dyDescent="0.2">
      <c r="A45" s="534"/>
      <c r="B45" s="534"/>
      <c r="C45" s="34" t="s">
        <v>37</v>
      </c>
      <c r="D45" s="35">
        <v>37</v>
      </c>
      <c r="E45" s="36">
        <v>27420004</v>
      </c>
      <c r="F45" s="36">
        <v>3012004</v>
      </c>
      <c r="G45" s="36">
        <v>0</v>
      </c>
      <c r="H45" s="36">
        <v>11038017</v>
      </c>
      <c r="I45" s="36">
        <v>0</v>
      </c>
      <c r="J45" s="37">
        <v>3455835</v>
      </c>
      <c r="K45" s="36">
        <v>41470024</v>
      </c>
      <c r="L45" s="38">
        <v>44925859</v>
      </c>
      <c r="M45" s="39"/>
      <c r="N45" s="36">
        <v>41470024</v>
      </c>
      <c r="O45" s="36">
        <v>30432007</v>
      </c>
      <c r="P45" s="36">
        <v>0</v>
      </c>
      <c r="Q45" s="36">
        <f>Q44*1936.27</f>
        <v>50403620.603952006</v>
      </c>
      <c r="R45" s="7"/>
      <c r="S45" s="7"/>
      <c r="T45" s="7"/>
      <c r="U45" s="7"/>
      <c r="V45" s="7"/>
      <c r="W45" s="7"/>
      <c r="X45" s="7"/>
      <c r="Y45" s="7"/>
      <c r="Z45" s="7"/>
    </row>
    <row r="46" spans="1:26" ht="9" customHeight="1" x14ac:dyDescent="0.2">
      <c r="A46" s="534"/>
      <c r="B46" s="534"/>
      <c r="C46" s="44" t="s">
        <v>36</v>
      </c>
      <c r="D46" s="45">
        <v>38</v>
      </c>
      <c r="E46" s="42">
        <v>14471.12</v>
      </c>
      <c r="F46" s="42">
        <v>1586.56</v>
      </c>
      <c r="G46" s="42">
        <v>0</v>
      </c>
      <c r="H46" s="42">
        <v>5700.66</v>
      </c>
      <c r="I46" s="42">
        <v>0</v>
      </c>
      <c r="J46" s="42">
        <v>1813.2</v>
      </c>
      <c r="K46" s="43">
        <v>21758.34</v>
      </c>
      <c r="L46" s="32">
        <v>23571.54</v>
      </c>
      <c r="M46" s="33"/>
      <c r="N46" s="30">
        <v>21758.34</v>
      </c>
      <c r="O46" s="30">
        <v>16057.68</v>
      </c>
      <c r="P46" s="30"/>
      <c r="Q46" s="30">
        <f>(N46+O46*0.18+J46)+(IF((P46-O46*0.18)&gt;0,(P46-O46*0.18),0))</f>
        <v>26461.922399999999</v>
      </c>
      <c r="R46" s="7"/>
      <c r="S46" s="7"/>
      <c r="T46" s="7"/>
      <c r="U46" s="7"/>
      <c r="V46" s="7"/>
      <c r="W46" s="7"/>
      <c r="X46" s="7"/>
      <c r="Y46" s="7"/>
      <c r="Z46" s="7"/>
    </row>
    <row r="47" spans="1:26" ht="9" customHeight="1" x14ac:dyDescent="0.2">
      <c r="A47" s="534"/>
      <c r="B47" s="534"/>
      <c r="C47" s="44" t="s">
        <v>37</v>
      </c>
      <c r="D47" s="45">
        <v>39</v>
      </c>
      <c r="E47" s="36">
        <v>28019996</v>
      </c>
      <c r="F47" s="36">
        <v>3072009</v>
      </c>
      <c r="G47" s="36">
        <v>0</v>
      </c>
      <c r="H47" s="36">
        <v>11038017</v>
      </c>
      <c r="I47" s="36">
        <v>0</v>
      </c>
      <c r="J47" s="37">
        <v>3510845</v>
      </c>
      <c r="K47" s="36">
        <v>42130021</v>
      </c>
      <c r="L47" s="38">
        <v>45640866</v>
      </c>
      <c r="M47" s="39"/>
      <c r="N47" s="46">
        <v>42130021</v>
      </c>
      <c r="O47" s="46">
        <v>31092004</v>
      </c>
      <c r="P47" s="46">
        <v>0</v>
      </c>
      <c r="Q47" s="36">
        <f>Q46*1936.27</f>
        <v>51237426.485447995</v>
      </c>
      <c r="R47" s="7"/>
      <c r="S47" s="7"/>
      <c r="T47" s="7"/>
      <c r="U47" s="7"/>
      <c r="V47" s="7"/>
      <c r="W47" s="7"/>
      <c r="X47" s="7"/>
      <c r="Y47" s="7"/>
      <c r="Z47" s="7"/>
    </row>
    <row r="48" spans="1:26" ht="12.75" customHeight="1" x14ac:dyDescent="0.2">
      <c r="A48" s="534"/>
      <c r="B48" s="534"/>
      <c r="C48" s="40" t="s">
        <v>36</v>
      </c>
      <c r="D48" s="41">
        <v>40</v>
      </c>
      <c r="E48" s="42">
        <v>14781</v>
      </c>
      <c r="F48" s="42">
        <v>1623.74</v>
      </c>
      <c r="G48" s="42">
        <v>0</v>
      </c>
      <c r="H48" s="42">
        <v>5700.66</v>
      </c>
      <c r="I48" s="42">
        <v>0</v>
      </c>
      <c r="J48" s="42">
        <v>1842.12</v>
      </c>
      <c r="K48" s="43">
        <v>22105.4</v>
      </c>
      <c r="L48" s="32">
        <v>23947.52</v>
      </c>
      <c r="M48" s="33"/>
      <c r="N48" s="30">
        <v>22105.4</v>
      </c>
      <c r="O48" s="30">
        <v>16404.740000000002</v>
      </c>
      <c r="P48" s="30"/>
      <c r="Q48" s="30">
        <f>(N48+O48*0.18+J48)+(IF((P48-O48*0.18)&gt;0,(P48-O48*0.18),0))</f>
        <v>26900.373200000002</v>
      </c>
      <c r="R48" s="7"/>
      <c r="S48" s="7"/>
      <c r="T48" s="7"/>
      <c r="U48" s="7"/>
      <c r="V48" s="7"/>
      <c r="W48" s="7"/>
      <c r="X48" s="7"/>
      <c r="Y48" s="7"/>
      <c r="Z48" s="7"/>
    </row>
    <row r="49" spans="1:26" ht="9" customHeight="1" x14ac:dyDescent="0.2">
      <c r="A49" s="535"/>
      <c r="B49" s="535"/>
      <c r="C49" s="47"/>
      <c r="D49" s="48"/>
      <c r="E49" s="46">
        <v>28620007</v>
      </c>
      <c r="F49" s="46">
        <v>3143999</v>
      </c>
      <c r="G49" s="46">
        <v>0</v>
      </c>
      <c r="H49" s="46">
        <v>11038017</v>
      </c>
      <c r="I49" s="46">
        <v>0</v>
      </c>
      <c r="J49" s="49">
        <v>3566842</v>
      </c>
      <c r="K49" s="46">
        <v>42802023</v>
      </c>
      <c r="L49" s="38">
        <v>46368865</v>
      </c>
      <c r="M49" s="39"/>
      <c r="N49" s="36">
        <v>42802023</v>
      </c>
      <c r="O49" s="36">
        <v>31764006</v>
      </c>
      <c r="P49" s="36">
        <v>0</v>
      </c>
      <c r="Q49" s="36">
        <f>Q48*1936.27</f>
        <v>52086385.615964003</v>
      </c>
      <c r="R49" s="7"/>
      <c r="S49" s="7"/>
      <c r="T49" s="7"/>
      <c r="U49" s="7"/>
      <c r="V49" s="7"/>
      <c r="W49" s="7"/>
      <c r="X49" s="7"/>
      <c r="Y49" s="7"/>
      <c r="Z49" s="7"/>
    </row>
    <row r="50" spans="1:26" ht="12.75" customHeight="1" x14ac:dyDescent="0.2">
      <c r="A50" s="538">
        <v>33178</v>
      </c>
      <c r="B50" s="538">
        <v>33358</v>
      </c>
      <c r="C50" s="28" t="s">
        <v>36</v>
      </c>
      <c r="D50" s="29">
        <v>0</v>
      </c>
      <c r="E50" s="30">
        <v>6674.69</v>
      </c>
      <c r="F50" s="30">
        <v>731.3</v>
      </c>
      <c r="G50" s="30">
        <v>0</v>
      </c>
      <c r="H50" s="30">
        <v>5921.22</v>
      </c>
      <c r="I50" s="30">
        <v>0</v>
      </c>
      <c r="J50" s="30">
        <v>1110.5999999999999</v>
      </c>
      <c r="K50" s="31">
        <v>13327.21</v>
      </c>
      <c r="L50" s="32">
        <v>14437.81</v>
      </c>
      <c r="M50" s="33"/>
      <c r="N50" s="30">
        <v>13327.21</v>
      </c>
      <c r="O50" s="30">
        <v>7405.99</v>
      </c>
      <c r="P50" s="30"/>
      <c r="Q50" s="30">
        <f>(N50+O50*0.18+J50)+(IF((P50-O50*0.18)&gt;0,(P50-O50*0.18),0))</f>
        <v>15770.888199999999</v>
      </c>
      <c r="R50" s="7"/>
      <c r="S50" s="7"/>
      <c r="T50" s="7"/>
      <c r="U50" s="7"/>
      <c r="V50" s="7"/>
      <c r="W50" s="7"/>
      <c r="X50" s="7"/>
      <c r="Y50" s="7"/>
      <c r="Z50" s="7"/>
    </row>
    <row r="51" spans="1:26" ht="8.25" customHeight="1" x14ac:dyDescent="0.2">
      <c r="A51" s="534"/>
      <c r="B51" s="534"/>
      <c r="C51" s="34" t="s">
        <v>37</v>
      </c>
      <c r="D51" s="35">
        <v>0</v>
      </c>
      <c r="E51" s="36">
        <v>12924002</v>
      </c>
      <c r="F51" s="36">
        <v>1415994</v>
      </c>
      <c r="G51" s="36">
        <v>0</v>
      </c>
      <c r="H51" s="36">
        <v>11465081</v>
      </c>
      <c r="I51" s="36">
        <v>0</v>
      </c>
      <c r="J51" s="37">
        <v>2150421</v>
      </c>
      <c r="K51" s="36">
        <v>25805077</v>
      </c>
      <c r="L51" s="38">
        <v>27955498</v>
      </c>
      <c r="M51" s="39"/>
      <c r="N51" s="36">
        <v>25805077</v>
      </c>
      <c r="O51" s="36">
        <v>14339996</v>
      </c>
      <c r="P51" s="36">
        <v>0</v>
      </c>
      <c r="Q51" s="36">
        <f>Q50*1936.27</f>
        <v>30536697.695014</v>
      </c>
      <c r="R51" s="7"/>
      <c r="S51" s="7"/>
      <c r="T51" s="7"/>
      <c r="U51" s="7"/>
      <c r="V51" s="7"/>
      <c r="W51" s="7"/>
      <c r="X51" s="7"/>
      <c r="Y51" s="7"/>
      <c r="Z51" s="7"/>
    </row>
    <row r="52" spans="1:26" ht="12.75" customHeight="1" x14ac:dyDescent="0.2">
      <c r="A52" s="540">
        <v>33178</v>
      </c>
      <c r="B52" s="540">
        <v>33358</v>
      </c>
      <c r="C52" s="40" t="s">
        <v>36</v>
      </c>
      <c r="D52" s="41">
        <v>1</v>
      </c>
      <c r="E52" s="42">
        <v>7027.95</v>
      </c>
      <c r="F52" s="42">
        <v>768.49</v>
      </c>
      <c r="G52" s="42">
        <v>0</v>
      </c>
      <c r="H52" s="42">
        <v>5921.22</v>
      </c>
      <c r="I52" s="42">
        <v>0</v>
      </c>
      <c r="J52" s="42">
        <v>1143.1400000000001</v>
      </c>
      <c r="K52" s="43">
        <v>13717.66</v>
      </c>
      <c r="L52" s="32">
        <v>14860.8</v>
      </c>
      <c r="M52" s="33"/>
      <c r="N52" s="30">
        <v>13717.66</v>
      </c>
      <c r="O52" s="30">
        <v>7796.44</v>
      </c>
      <c r="P52" s="30"/>
      <c r="Q52" s="30">
        <f>(N52+O52*0.18+J52)+(IF((P52-O52*0.18)&gt;0,(P52-O52*0.18),0))</f>
        <v>16264.159199999998</v>
      </c>
      <c r="R52" s="7"/>
      <c r="S52" s="7"/>
      <c r="T52" s="7"/>
      <c r="U52" s="7"/>
      <c r="V52" s="7"/>
      <c r="W52" s="7"/>
      <c r="X52" s="7"/>
      <c r="Y52" s="7"/>
      <c r="Z52" s="7"/>
    </row>
    <row r="53" spans="1:26" ht="8.25" customHeight="1" x14ac:dyDescent="0.2">
      <c r="A53" s="534"/>
      <c r="B53" s="534"/>
      <c r="C53" s="34" t="s">
        <v>37</v>
      </c>
      <c r="D53" s="35">
        <v>2</v>
      </c>
      <c r="E53" s="36">
        <v>13608009</v>
      </c>
      <c r="F53" s="36">
        <v>1488004</v>
      </c>
      <c r="G53" s="36">
        <v>0</v>
      </c>
      <c r="H53" s="36">
        <v>11465081</v>
      </c>
      <c r="I53" s="36">
        <v>0</v>
      </c>
      <c r="J53" s="37">
        <v>2213428</v>
      </c>
      <c r="K53" s="36">
        <v>26561094</v>
      </c>
      <c r="L53" s="38">
        <v>28774521</v>
      </c>
      <c r="M53" s="39"/>
      <c r="N53" s="36">
        <v>26561094</v>
      </c>
      <c r="O53" s="36">
        <v>15096013</v>
      </c>
      <c r="P53" s="36">
        <v>0</v>
      </c>
      <c r="Q53" s="36">
        <f>Q52*1936.27</f>
        <v>31491803.534183998</v>
      </c>
      <c r="R53" s="7"/>
      <c r="S53" s="7"/>
      <c r="T53" s="7"/>
      <c r="U53" s="7"/>
      <c r="V53" s="7"/>
      <c r="W53" s="7"/>
      <c r="X53" s="7"/>
      <c r="Y53" s="7"/>
      <c r="Z53" s="7"/>
    </row>
    <row r="54" spans="1:26" ht="12.75" customHeight="1" x14ac:dyDescent="0.2">
      <c r="A54" s="534"/>
      <c r="B54" s="534"/>
      <c r="C54" s="40" t="s">
        <v>36</v>
      </c>
      <c r="D54" s="41">
        <v>3</v>
      </c>
      <c r="E54" s="42">
        <v>7387.4</v>
      </c>
      <c r="F54" s="42">
        <v>811.87</v>
      </c>
      <c r="G54" s="42">
        <v>0</v>
      </c>
      <c r="H54" s="42">
        <v>5921.22</v>
      </c>
      <c r="I54" s="42">
        <v>0</v>
      </c>
      <c r="J54" s="42">
        <v>1176.71</v>
      </c>
      <c r="K54" s="43">
        <v>14120.49</v>
      </c>
      <c r="L54" s="32">
        <v>15297.2</v>
      </c>
      <c r="M54" s="33"/>
      <c r="N54" s="30">
        <v>14120.49</v>
      </c>
      <c r="O54" s="30">
        <v>8199.27</v>
      </c>
      <c r="P54" s="30"/>
      <c r="Q54" s="30">
        <f>(N54+O54*0.18+J54)+(IF((P54-O54*0.18)&gt;0,(P54-O54*0.18),0))</f>
        <v>16773.068599999999</v>
      </c>
      <c r="R54" s="7"/>
      <c r="S54" s="7"/>
      <c r="T54" s="7"/>
      <c r="U54" s="7"/>
      <c r="V54" s="7"/>
      <c r="W54" s="7"/>
      <c r="X54" s="7"/>
      <c r="Y54" s="7"/>
      <c r="Z54" s="7"/>
    </row>
    <row r="55" spans="1:26" ht="8.25" customHeight="1" x14ac:dyDescent="0.2">
      <c r="A55" s="534"/>
      <c r="B55" s="534"/>
      <c r="C55" s="34" t="s">
        <v>37</v>
      </c>
      <c r="D55" s="35">
        <v>4</v>
      </c>
      <c r="E55" s="36">
        <v>14304001</v>
      </c>
      <c r="F55" s="36">
        <v>1572000</v>
      </c>
      <c r="G55" s="36">
        <v>0</v>
      </c>
      <c r="H55" s="36">
        <v>11465081</v>
      </c>
      <c r="I55" s="36">
        <v>0</v>
      </c>
      <c r="J55" s="37">
        <v>2278428</v>
      </c>
      <c r="K55" s="36">
        <v>27341081</v>
      </c>
      <c r="L55" s="38">
        <v>29619509</v>
      </c>
      <c r="M55" s="39"/>
      <c r="N55" s="36">
        <v>27341081</v>
      </c>
      <c r="O55" s="36">
        <v>15876001</v>
      </c>
      <c r="P55" s="36">
        <v>0</v>
      </c>
      <c r="Q55" s="36">
        <f>Q54*1936.27</f>
        <v>32477189.538121998</v>
      </c>
      <c r="R55" s="7"/>
      <c r="S55" s="7"/>
      <c r="T55" s="7"/>
      <c r="U55" s="7"/>
      <c r="V55" s="7"/>
      <c r="W55" s="7"/>
      <c r="X55" s="7"/>
      <c r="Y55" s="7"/>
      <c r="Z55" s="7"/>
    </row>
    <row r="56" spans="1:26" ht="12.75" customHeight="1" x14ac:dyDescent="0.2">
      <c r="A56" s="534"/>
      <c r="B56" s="534"/>
      <c r="C56" s="40" t="s">
        <v>36</v>
      </c>
      <c r="D56" s="41">
        <v>5</v>
      </c>
      <c r="E56" s="42">
        <v>7740.66</v>
      </c>
      <c r="F56" s="42">
        <v>849.06</v>
      </c>
      <c r="G56" s="42">
        <v>0</v>
      </c>
      <c r="H56" s="42">
        <v>5921.22</v>
      </c>
      <c r="I56" s="42">
        <v>0</v>
      </c>
      <c r="J56" s="42">
        <v>1209.25</v>
      </c>
      <c r="K56" s="43">
        <v>14510.94</v>
      </c>
      <c r="L56" s="32">
        <v>15720.19</v>
      </c>
      <c r="M56" s="33"/>
      <c r="N56" s="30">
        <v>14510.94</v>
      </c>
      <c r="O56" s="30">
        <v>8589.7199999999993</v>
      </c>
      <c r="P56" s="30"/>
      <c r="Q56" s="30">
        <f>(N56+O56*0.18+J56)+(IF((P56-O56*0.18)&gt;0,(P56-O56*0.18),0))</f>
        <v>17266.339599999999</v>
      </c>
      <c r="R56" s="7"/>
      <c r="S56" s="7"/>
      <c r="T56" s="7"/>
      <c r="U56" s="7"/>
      <c r="V56" s="7"/>
      <c r="W56" s="7"/>
      <c r="X56" s="7"/>
      <c r="Y56" s="7"/>
      <c r="Z56" s="7"/>
    </row>
    <row r="57" spans="1:26" ht="8.25" customHeight="1" x14ac:dyDescent="0.2">
      <c r="A57" s="534"/>
      <c r="B57" s="534"/>
      <c r="C57" s="34" t="s">
        <v>37</v>
      </c>
      <c r="D57" s="35">
        <v>6</v>
      </c>
      <c r="E57" s="36">
        <v>14988008</v>
      </c>
      <c r="F57" s="36">
        <v>1644009</v>
      </c>
      <c r="G57" s="36">
        <v>0</v>
      </c>
      <c r="H57" s="36">
        <v>11465081</v>
      </c>
      <c r="I57" s="36">
        <v>0</v>
      </c>
      <c r="J57" s="37">
        <v>2341434</v>
      </c>
      <c r="K57" s="36">
        <v>28097098</v>
      </c>
      <c r="L57" s="38">
        <v>30438532</v>
      </c>
      <c r="M57" s="39"/>
      <c r="N57" s="36">
        <v>28097098</v>
      </c>
      <c r="O57" s="36">
        <v>16632017</v>
      </c>
      <c r="P57" s="36">
        <v>0</v>
      </c>
      <c r="Q57" s="36">
        <f>Q56*1936.27</f>
        <v>33432295.377292</v>
      </c>
      <c r="R57" s="7"/>
      <c r="S57" s="7"/>
      <c r="T57" s="7"/>
      <c r="U57" s="7"/>
      <c r="V57" s="7"/>
      <c r="W57" s="7"/>
      <c r="X57" s="7"/>
      <c r="Y57" s="7"/>
      <c r="Z57" s="7"/>
    </row>
    <row r="58" spans="1:26" ht="12.75" customHeight="1" x14ac:dyDescent="0.2">
      <c r="A58" s="534"/>
      <c r="B58" s="534"/>
      <c r="C58" s="40" t="s">
        <v>36</v>
      </c>
      <c r="D58" s="41">
        <v>7</v>
      </c>
      <c r="E58" s="42">
        <v>8155.89</v>
      </c>
      <c r="F58" s="42">
        <v>892.44</v>
      </c>
      <c r="G58" s="42">
        <v>0</v>
      </c>
      <c r="H58" s="42">
        <v>5921.22</v>
      </c>
      <c r="I58" s="42">
        <v>0</v>
      </c>
      <c r="J58" s="42">
        <v>1247.46</v>
      </c>
      <c r="K58" s="43">
        <v>14969.55</v>
      </c>
      <c r="L58" s="32">
        <v>16217.01</v>
      </c>
      <c r="M58" s="33"/>
      <c r="N58" s="30">
        <v>14969.55</v>
      </c>
      <c r="O58" s="30">
        <v>9048.33</v>
      </c>
      <c r="P58" s="30"/>
      <c r="Q58" s="30">
        <f>(N58+O58*0.18+J58)+(IF((P58-O58*0.18)&gt;0,(P58-O58*0.18),0))</f>
        <v>17845.7094</v>
      </c>
      <c r="R58" s="7"/>
      <c r="S58" s="7"/>
      <c r="T58" s="7"/>
      <c r="U58" s="7"/>
      <c r="V58" s="7"/>
      <c r="W58" s="7"/>
      <c r="X58" s="7"/>
      <c r="Y58" s="7"/>
      <c r="Z58" s="7"/>
    </row>
    <row r="59" spans="1:26" ht="8.25" customHeight="1" x14ac:dyDescent="0.2">
      <c r="A59" s="534"/>
      <c r="B59" s="534"/>
      <c r="C59" s="34" t="s">
        <v>37</v>
      </c>
      <c r="D59" s="35">
        <v>8</v>
      </c>
      <c r="E59" s="36">
        <v>15792005</v>
      </c>
      <c r="F59" s="36">
        <v>1728005</v>
      </c>
      <c r="G59" s="36">
        <v>0</v>
      </c>
      <c r="H59" s="36">
        <v>11465081</v>
      </c>
      <c r="I59" s="36">
        <v>0</v>
      </c>
      <c r="J59" s="37">
        <v>2415419</v>
      </c>
      <c r="K59" s="36">
        <v>28985091</v>
      </c>
      <c r="L59" s="38">
        <v>31400510</v>
      </c>
      <c r="M59" s="39"/>
      <c r="N59" s="36">
        <v>28985091</v>
      </c>
      <c r="O59" s="36">
        <v>17520010</v>
      </c>
      <c r="P59" s="36">
        <v>0</v>
      </c>
      <c r="Q59" s="36">
        <f>Q58*1936.27</f>
        <v>34554111.739937998</v>
      </c>
      <c r="R59" s="7"/>
      <c r="S59" s="7"/>
      <c r="T59" s="7"/>
      <c r="U59" s="7"/>
      <c r="V59" s="7"/>
      <c r="W59" s="7"/>
      <c r="X59" s="7"/>
      <c r="Y59" s="7"/>
      <c r="Z59" s="7"/>
    </row>
    <row r="60" spans="1:26" ht="12.75" customHeight="1" x14ac:dyDescent="0.2">
      <c r="A60" s="534"/>
      <c r="B60" s="534"/>
      <c r="C60" s="40" t="s">
        <v>36</v>
      </c>
      <c r="D60" s="41">
        <v>9</v>
      </c>
      <c r="E60" s="42">
        <v>8527.74</v>
      </c>
      <c r="F60" s="42">
        <v>935.82</v>
      </c>
      <c r="G60" s="42">
        <v>0</v>
      </c>
      <c r="H60" s="42">
        <v>5921.22</v>
      </c>
      <c r="I60" s="42">
        <v>0</v>
      </c>
      <c r="J60" s="42">
        <v>1282.07</v>
      </c>
      <c r="K60" s="43">
        <v>15384.78</v>
      </c>
      <c r="L60" s="32">
        <v>16666.849999999999</v>
      </c>
      <c r="M60" s="33"/>
      <c r="N60" s="30">
        <v>15384.78</v>
      </c>
      <c r="O60" s="30">
        <v>9463.56</v>
      </c>
      <c r="P60" s="30"/>
      <c r="Q60" s="30">
        <f>(N60+O60*0.18+J60)+(IF((P60-O60*0.18)&gt;0,(P60-O60*0.18),0))</f>
        <v>18370.290799999999</v>
      </c>
      <c r="R60" s="7"/>
      <c r="S60" s="7"/>
      <c r="T60" s="7"/>
      <c r="U60" s="7"/>
      <c r="V60" s="7"/>
      <c r="W60" s="7"/>
      <c r="X60" s="7"/>
      <c r="Y60" s="7"/>
      <c r="Z60" s="7"/>
    </row>
    <row r="61" spans="1:26" ht="8.25" customHeight="1" x14ac:dyDescent="0.2">
      <c r="A61" s="534"/>
      <c r="B61" s="534"/>
      <c r="C61" s="34" t="s">
        <v>37</v>
      </c>
      <c r="D61" s="35">
        <v>10</v>
      </c>
      <c r="E61" s="36">
        <v>16512007</v>
      </c>
      <c r="F61" s="36">
        <v>1812000</v>
      </c>
      <c r="G61" s="36">
        <v>0</v>
      </c>
      <c r="H61" s="36">
        <v>11465081</v>
      </c>
      <c r="I61" s="36">
        <v>0</v>
      </c>
      <c r="J61" s="37">
        <v>2482434</v>
      </c>
      <c r="K61" s="36">
        <v>29789088</v>
      </c>
      <c r="L61" s="38">
        <v>32271522</v>
      </c>
      <c r="M61" s="39"/>
      <c r="N61" s="36">
        <v>29789088</v>
      </c>
      <c r="O61" s="36">
        <v>18324007</v>
      </c>
      <c r="P61" s="36">
        <v>0</v>
      </c>
      <c r="Q61" s="36">
        <f>Q60*1936.27</f>
        <v>35569842.967315994</v>
      </c>
      <c r="R61" s="7"/>
      <c r="S61" s="7"/>
      <c r="T61" s="7"/>
      <c r="U61" s="7"/>
      <c r="V61" s="7"/>
      <c r="W61" s="7"/>
      <c r="X61" s="7"/>
      <c r="Y61" s="7"/>
      <c r="Z61" s="7"/>
    </row>
    <row r="62" spans="1:26" ht="12.75" customHeight="1" x14ac:dyDescent="0.2">
      <c r="A62" s="534"/>
      <c r="B62" s="534"/>
      <c r="C62" s="40" t="s">
        <v>36</v>
      </c>
      <c r="D62" s="41">
        <v>11</v>
      </c>
      <c r="E62" s="42">
        <v>8980.15</v>
      </c>
      <c r="F62" s="42">
        <v>985.4</v>
      </c>
      <c r="G62" s="42">
        <v>0</v>
      </c>
      <c r="H62" s="42">
        <v>5921.22</v>
      </c>
      <c r="I62" s="42">
        <v>0</v>
      </c>
      <c r="J62" s="42">
        <v>1323.9</v>
      </c>
      <c r="K62" s="43">
        <v>15886.77</v>
      </c>
      <c r="L62" s="32">
        <v>17210.669999999998</v>
      </c>
      <c r="M62" s="33"/>
      <c r="N62" s="30">
        <v>15886.77</v>
      </c>
      <c r="O62" s="30">
        <v>9965.5499999999993</v>
      </c>
      <c r="P62" s="30"/>
      <c r="Q62" s="30">
        <f>(N62+O62*0.18+J62)+(IF((P62-O62*0.18)&gt;0,(P62-O62*0.18),0))</f>
        <v>19004.469000000001</v>
      </c>
      <c r="R62" s="7"/>
      <c r="S62" s="7"/>
      <c r="T62" s="7"/>
      <c r="U62" s="7"/>
      <c r="V62" s="7"/>
      <c r="W62" s="7"/>
      <c r="X62" s="7"/>
      <c r="Y62" s="7"/>
      <c r="Z62" s="7"/>
    </row>
    <row r="63" spans="1:26" ht="8.25" customHeight="1" x14ac:dyDescent="0.2">
      <c r="A63" s="534"/>
      <c r="B63" s="534"/>
      <c r="C63" s="34" t="s">
        <v>37</v>
      </c>
      <c r="D63" s="35">
        <v>12</v>
      </c>
      <c r="E63" s="36">
        <v>17387995</v>
      </c>
      <c r="F63" s="36">
        <v>1908000</v>
      </c>
      <c r="G63" s="36">
        <v>0</v>
      </c>
      <c r="H63" s="36">
        <v>11465081</v>
      </c>
      <c r="I63" s="36">
        <v>0</v>
      </c>
      <c r="J63" s="37">
        <v>2563428</v>
      </c>
      <c r="K63" s="36">
        <v>30761076</v>
      </c>
      <c r="L63" s="38">
        <v>33324504</v>
      </c>
      <c r="M63" s="39"/>
      <c r="N63" s="36">
        <v>30761076</v>
      </c>
      <c r="O63" s="36">
        <v>19295995</v>
      </c>
      <c r="P63" s="36">
        <v>0</v>
      </c>
      <c r="Q63" s="36">
        <f>Q62*1936.27</f>
        <v>36797783.190630004</v>
      </c>
      <c r="R63" s="7"/>
      <c r="S63" s="7"/>
      <c r="T63" s="7"/>
      <c r="U63" s="7"/>
      <c r="V63" s="7"/>
      <c r="W63" s="7"/>
      <c r="X63" s="7"/>
      <c r="Y63" s="7"/>
      <c r="Z63" s="7"/>
    </row>
    <row r="64" spans="1:26" ht="12.75" customHeight="1" x14ac:dyDescent="0.2">
      <c r="A64" s="534"/>
      <c r="B64" s="534"/>
      <c r="C64" s="40" t="s">
        <v>36</v>
      </c>
      <c r="D64" s="41">
        <v>13</v>
      </c>
      <c r="E64" s="42">
        <v>9463.56</v>
      </c>
      <c r="F64" s="42">
        <v>1034.98</v>
      </c>
      <c r="G64" s="42">
        <v>0</v>
      </c>
      <c r="H64" s="42">
        <v>5921.22</v>
      </c>
      <c r="I64" s="42">
        <v>0</v>
      </c>
      <c r="J64" s="42">
        <v>1368.31</v>
      </c>
      <c r="K64" s="43">
        <v>16419.759999999998</v>
      </c>
      <c r="L64" s="32">
        <v>17788.07</v>
      </c>
      <c r="M64" s="33"/>
      <c r="N64" s="30">
        <v>16419.759999999998</v>
      </c>
      <c r="O64" s="30">
        <v>10498.54</v>
      </c>
      <c r="P64" s="30"/>
      <c r="Q64" s="30">
        <f>(N64+O64*0.18+J64)+(IF((P64-O64*0.18)&gt;0,(P64-O64*0.18),0))</f>
        <v>19677.807199999999</v>
      </c>
      <c r="R64" s="7"/>
      <c r="S64" s="7"/>
      <c r="T64" s="7"/>
      <c r="U64" s="7"/>
      <c r="V64" s="7"/>
      <c r="W64" s="7"/>
      <c r="X64" s="7"/>
      <c r="Y64" s="7"/>
      <c r="Z64" s="7"/>
    </row>
    <row r="65" spans="1:26" ht="7.5" customHeight="1" x14ac:dyDescent="0.2">
      <c r="A65" s="534"/>
      <c r="B65" s="534"/>
      <c r="C65" s="34" t="s">
        <v>37</v>
      </c>
      <c r="D65" s="35">
        <v>14</v>
      </c>
      <c r="E65" s="36">
        <v>18324007</v>
      </c>
      <c r="F65" s="36">
        <v>2004001</v>
      </c>
      <c r="G65" s="36">
        <v>0</v>
      </c>
      <c r="H65" s="36">
        <v>11465081</v>
      </c>
      <c r="I65" s="36">
        <v>0</v>
      </c>
      <c r="J65" s="37">
        <v>2649418</v>
      </c>
      <c r="K65" s="36">
        <v>31793089</v>
      </c>
      <c r="L65" s="38">
        <v>34442506</v>
      </c>
      <c r="M65" s="39"/>
      <c r="N65" s="36">
        <v>31793089</v>
      </c>
      <c r="O65" s="36">
        <v>20328008</v>
      </c>
      <c r="P65" s="36">
        <v>0</v>
      </c>
      <c r="Q65" s="36">
        <f>Q64*1936.27</f>
        <v>38101547.747143999</v>
      </c>
      <c r="R65" s="7"/>
      <c r="S65" s="7"/>
      <c r="T65" s="7"/>
      <c r="U65" s="7"/>
      <c r="V65" s="7"/>
      <c r="W65" s="7"/>
      <c r="X65" s="7"/>
      <c r="Y65" s="7"/>
      <c r="Z65" s="7"/>
    </row>
    <row r="66" spans="1:26" ht="12.75" customHeight="1" x14ac:dyDescent="0.2">
      <c r="A66" s="534"/>
      <c r="B66" s="534"/>
      <c r="C66" s="40" t="s">
        <v>36</v>
      </c>
      <c r="D66" s="41">
        <v>15</v>
      </c>
      <c r="E66" s="42">
        <v>9940.76</v>
      </c>
      <c r="F66" s="42">
        <v>1090.76</v>
      </c>
      <c r="G66" s="42">
        <v>0</v>
      </c>
      <c r="H66" s="42">
        <v>5921.22</v>
      </c>
      <c r="I66" s="42">
        <v>0</v>
      </c>
      <c r="J66" s="42">
        <v>1412.73</v>
      </c>
      <c r="K66" s="43">
        <v>16952.740000000002</v>
      </c>
      <c r="L66" s="32">
        <v>18365.47</v>
      </c>
      <c r="M66" s="33"/>
      <c r="N66" s="30">
        <v>16952.740000000002</v>
      </c>
      <c r="O66" s="30">
        <v>11031.52</v>
      </c>
      <c r="P66" s="30"/>
      <c r="Q66" s="30">
        <f>(N66+O66*0.18+J66)+(IF((P66-O66*0.18)&gt;0,(P66-O66*0.18),0))</f>
        <v>20351.143599999999</v>
      </c>
      <c r="R66" s="7"/>
      <c r="S66" s="7"/>
      <c r="T66" s="7"/>
      <c r="U66" s="7"/>
      <c r="V66" s="7"/>
      <c r="W66" s="7"/>
      <c r="X66" s="7"/>
      <c r="Y66" s="7"/>
      <c r="Z66" s="7"/>
    </row>
    <row r="67" spans="1:26" ht="7.5" customHeight="1" x14ac:dyDescent="0.2">
      <c r="A67" s="534"/>
      <c r="B67" s="534"/>
      <c r="C67" s="34" t="s">
        <v>37</v>
      </c>
      <c r="D67" s="35">
        <v>16</v>
      </c>
      <c r="E67" s="36">
        <v>19247995</v>
      </c>
      <c r="F67" s="36">
        <v>2112006</v>
      </c>
      <c r="G67" s="36">
        <v>0</v>
      </c>
      <c r="H67" s="36">
        <v>11465081</v>
      </c>
      <c r="I67" s="36">
        <v>0</v>
      </c>
      <c r="J67" s="37">
        <v>2735427</v>
      </c>
      <c r="K67" s="36">
        <v>32825082</v>
      </c>
      <c r="L67" s="38">
        <v>35560509</v>
      </c>
      <c r="M67" s="39"/>
      <c r="N67" s="36">
        <v>32825082</v>
      </c>
      <c r="O67" s="36">
        <v>21360001</v>
      </c>
      <c r="P67" s="36">
        <v>0</v>
      </c>
      <c r="Q67" s="36">
        <f>Q66*1936.27</f>
        <v>39405308.818371996</v>
      </c>
      <c r="R67" s="7"/>
      <c r="S67" s="7"/>
      <c r="T67" s="7"/>
      <c r="U67" s="7"/>
      <c r="V67" s="7"/>
      <c r="W67" s="7"/>
      <c r="X67" s="7"/>
      <c r="Y67" s="7"/>
      <c r="Z67" s="7"/>
    </row>
    <row r="68" spans="1:26" ht="12.75" customHeight="1" x14ac:dyDescent="0.2">
      <c r="A68" s="534"/>
      <c r="B68" s="534"/>
      <c r="C68" s="40" t="s">
        <v>36</v>
      </c>
      <c r="D68" s="41">
        <v>17</v>
      </c>
      <c r="E68" s="42">
        <v>11037.72</v>
      </c>
      <c r="F68" s="42">
        <v>1214.71</v>
      </c>
      <c r="G68" s="42">
        <v>0</v>
      </c>
      <c r="H68" s="42">
        <v>5921.22</v>
      </c>
      <c r="I68" s="42">
        <v>0</v>
      </c>
      <c r="J68" s="42">
        <v>1514.47</v>
      </c>
      <c r="K68" s="43">
        <v>18173.650000000001</v>
      </c>
      <c r="L68" s="32">
        <v>19688.12</v>
      </c>
      <c r="M68" s="33"/>
      <c r="N68" s="30">
        <v>18173.650000000001</v>
      </c>
      <c r="O68" s="30">
        <v>12252.43</v>
      </c>
      <c r="P68" s="30"/>
      <c r="Q68" s="30">
        <f>(N68+O68*0.18+J68)+(IF((P68-O68*0.18)&gt;0,(P68-O68*0.18),0))</f>
        <v>21893.557400000002</v>
      </c>
      <c r="R68" s="7"/>
      <c r="S68" s="7"/>
      <c r="T68" s="7"/>
      <c r="U68" s="7"/>
      <c r="V68" s="7"/>
      <c r="W68" s="7"/>
      <c r="X68" s="7"/>
      <c r="Y68" s="7"/>
      <c r="Z68" s="7"/>
    </row>
    <row r="69" spans="1:26" ht="8.25" customHeight="1" x14ac:dyDescent="0.2">
      <c r="A69" s="534"/>
      <c r="B69" s="534"/>
      <c r="C69" s="34" t="s">
        <v>37</v>
      </c>
      <c r="D69" s="35">
        <v>17</v>
      </c>
      <c r="E69" s="36">
        <v>21372006</v>
      </c>
      <c r="F69" s="36">
        <v>2352007</v>
      </c>
      <c r="G69" s="36">
        <v>0</v>
      </c>
      <c r="H69" s="36">
        <v>11465081</v>
      </c>
      <c r="I69" s="36">
        <v>0</v>
      </c>
      <c r="J69" s="37">
        <v>2932423</v>
      </c>
      <c r="K69" s="36">
        <v>35189093</v>
      </c>
      <c r="L69" s="38">
        <v>38121516</v>
      </c>
      <c r="M69" s="39"/>
      <c r="N69" s="36">
        <v>35189093</v>
      </c>
      <c r="O69" s="36">
        <v>23724013</v>
      </c>
      <c r="P69" s="36">
        <v>0</v>
      </c>
      <c r="Q69" s="36">
        <f>Q68*1936.27</f>
        <v>42391838.386898004</v>
      </c>
      <c r="R69" s="7"/>
      <c r="S69" s="7"/>
      <c r="T69" s="7"/>
      <c r="U69" s="7"/>
      <c r="V69" s="7"/>
      <c r="W69" s="7"/>
      <c r="X69" s="7"/>
      <c r="Y69" s="7"/>
      <c r="Z69" s="7"/>
    </row>
    <row r="70" spans="1:26" ht="12.75" customHeight="1" x14ac:dyDescent="0.2">
      <c r="A70" s="534"/>
      <c r="B70" s="534"/>
      <c r="C70" s="40" t="s">
        <v>36</v>
      </c>
      <c r="D70" s="41">
        <v>18</v>
      </c>
      <c r="E70" s="42">
        <v>11347.59</v>
      </c>
      <c r="F70" s="42">
        <v>1245.69</v>
      </c>
      <c r="G70" s="42">
        <v>0</v>
      </c>
      <c r="H70" s="42">
        <v>5921.22</v>
      </c>
      <c r="I70" s="42">
        <v>0</v>
      </c>
      <c r="J70" s="42">
        <v>1542.88</v>
      </c>
      <c r="K70" s="43">
        <v>18514.5</v>
      </c>
      <c r="L70" s="32">
        <v>20057.38</v>
      </c>
      <c r="M70" s="33"/>
      <c r="N70" s="30">
        <v>18514.5</v>
      </c>
      <c r="O70" s="30">
        <v>12593.28</v>
      </c>
      <c r="P70" s="30"/>
      <c r="Q70" s="30">
        <f>(N70+O70*0.18+J70)+(IF((P70-O70*0.18)&gt;0,(P70-O70*0.18),0))</f>
        <v>22324.170399999999</v>
      </c>
      <c r="R70" s="7"/>
      <c r="S70" s="7"/>
      <c r="T70" s="7"/>
      <c r="U70" s="7"/>
      <c r="V70" s="7"/>
      <c r="W70" s="7"/>
      <c r="X70" s="7"/>
      <c r="Y70" s="7"/>
      <c r="Z70" s="7"/>
    </row>
    <row r="71" spans="1:26" ht="7.5" customHeight="1" x14ac:dyDescent="0.2">
      <c r="A71" s="534"/>
      <c r="B71" s="534"/>
      <c r="C71" s="34" t="s">
        <v>37</v>
      </c>
      <c r="D71" s="35">
        <v>19</v>
      </c>
      <c r="E71" s="36">
        <v>21971998</v>
      </c>
      <c r="F71" s="36">
        <v>2411992</v>
      </c>
      <c r="G71" s="36">
        <v>0</v>
      </c>
      <c r="H71" s="36">
        <v>11465081</v>
      </c>
      <c r="I71" s="36">
        <v>0</v>
      </c>
      <c r="J71" s="37">
        <v>2987432</v>
      </c>
      <c r="K71" s="36">
        <v>35849071</v>
      </c>
      <c r="L71" s="38">
        <v>38836503</v>
      </c>
      <c r="M71" s="39"/>
      <c r="N71" s="36">
        <v>35849071</v>
      </c>
      <c r="O71" s="36">
        <v>24383990</v>
      </c>
      <c r="P71" s="36">
        <v>0</v>
      </c>
      <c r="Q71" s="36">
        <f>Q70*1936.27</f>
        <v>43225621.420407996</v>
      </c>
      <c r="R71" s="7"/>
      <c r="S71" s="7"/>
      <c r="T71" s="7"/>
      <c r="U71" s="7"/>
      <c r="V71" s="7"/>
      <c r="W71" s="7"/>
      <c r="X71" s="7"/>
      <c r="Y71" s="7"/>
      <c r="Z71" s="7"/>
    </row>
    <row r="72" spans="1:26" ht="12.75" customHeight="1" x14ac:dyDescent="0.2">
      <c r="A72" s="534"/>
      <c r="B72" s="534"/>
      <c r="C72" s="40" t="s">
        <v>36</v>
      </c>
      <c r="D72" s="41">
        <v>20</v>
      </c>
      <c r="E72" s="42">
        <v>11731.83</v>
      </c>
      <c r="F72" s="42">
        <v>1289.08</v>
      </c>
      <c r="G72" s="42">
        <v>0</v>
      </c>
      <c r="H72" s="42">
        <v>5921.22</v>
      </c>
      <c r="I72" s="42">
        <v>0</v>
      </c>
      <c r="J72" s="42">
        <v>1578.51</v>
      </c>
      <c r="K72" s="43">
        <v>18942.13</v>
      </c>
      <c r="L72" s="32">
        <v>20520.64</v>
      </c>
      <c r="M72" s="33"/>
      <c r="N72" s="30">
        <v>18942.13</v>
      </c>
      <c r="O72" s="30">
        <v>13020.91</v>
      </c>
      <c r="P72" s="30"/>
      <c r="Q72" s="30">
        <f>(N72+O72*0.18+J72)+(IF((P72-O72*0.18)&gt;0,(P72-O72*0.18),0))</f>
        <v>22864.4038</v>
      </c>
      <c r="R72" s="7"/>
      <c r="S72" s="7"/>
      <c r="T72" s="7"/>
      <c r="U72" s="7"/>
      <c r="V72" s="7"/>
      <c r="W72" s="7"/>
      <c r="X72" s="7"/>
      <c r="Y72" s="7"/>
      <c r="Z72" s="7"/>
    </row>
    <row r="73" spans="1:26" ht="6.75" customHeight="1" x14ac:dyDescent="0.2">
      <c r="A73" s="534"/>
      <c r="B73" s="534"/>
      <c r="C73" s="34" t="s">
        <v>37</v>
      </c>
      <c r="D73" s="35">
        <v>21</v>
      </c>
      <c r="E73" s="36">
        <v>22715990</v>
      </c>
      <c r="F73" s="36">
        <v>2496007</v>
      </c>
      <c r="G73" s="36">
        <v>0</v>
      </c>
      <c r="H73" s="36">
        <v>11465081</v>
      </c>
      <c r="I73" s="36">
        <v>0</v>
      </c>
      <c r="J73" s="37">
        <v>3056422</v>
      </c>
      <c r="K73" s="36">
        <v>36677078</v>
      </c>
      <c r="L73" s="38">
        <v>39733500</v>
      </c>
      <c r="M73" s="39"/>
      <c r="N73" s="36">
        <v>36677078</v>
      </c>
      <c r="O73" s="36">
        <v>25211997</v>
      </c>
      <c r="P73" s="36">
        <v>0</v>
      </c>
      <c r="Q73" s="36">
        <f>Q72*1936.27</f>
        <v>44271659.145825997</v>
      </c>
      <c r="R73" s="7"/>
      <c r="S73" s="7"/>
      <c r="T73" s="7"/>
      <c r="U73" s="7"/>
      <c r="V73" s="7"/>
      <c r="W73" s="7"/>
      <c r="X73" s="7"/>
      <c r="Y73" s="7"/>
      <c r="Z73" s="7"/>
    </row>
    <row r="74" spans="1:26" ht="12.75" customHeight="1" x14ac:dyDescent="0.2">
      <c r="A74" s="534"/>
      <c r="B74" s="534"/>
      <c r="C74" s="40" t="s">
        <v>36</v>
      </c>
      <c r="D74" s="41">
        <v>22</v>
      </c>
      <c r="E74" s="42">
        <v>11979.73</v>
      </c>
      <c r="F74" s="42">
        <v>1313.87</v>
      </c>
      <c r="G74" s="42">
        <v>0</v>
      </c>
      <c r="H74" s="42">
        <v>5921.22</v>
      </c>
      <c r="I74" s="42">
        <v>0</v>
      </c>
      <c r="J74" s="42">
        <v>1601.24</v>
      </c>
      <c r="K74" s="43">
        <v>19214.82</v>
      </c>
      <c r="L74" s="32">
        <v>20816.060000000001</v>
      </c>
      <c r="M74" s="33"/>
      <c r="N74" s="30">
        <v>19214.82</v>
      </c>
      <c r="O74" s="30">
        <v>13293.6</v>
      </c>
      <c r="P74" s="30"/>
      <c r="Q74" s="30">
        <f>(N74+O74*0.18+J74)+(IF((P74-O74*0.18)&gt;0,(P74-O74*0.18),0))</f>
        <v>23208.907999999999</v>
      </c>
      <c r="R74" s="7"/>
      <c r="S74" s="7"/>
      <c r="T74" s="7"/>
      <c r="U74" s="7"/>
      <c r="V74" s="7"/>
      <c r="W74" s="7"/>
      <c r="X74" s="7"/>
      <c r="Y74" s="7"/>
      <c r="Z74" s="7"/>
    </row>
    <row r="75" spans="1:26" ht="8.25" customHeight="1" x14ac:dyDescent="0.2">
      <c r="A75" s="534"/>
      <c r="B75" s="534"/>
      <c r="C75" s="34" t="s">
        <v>37</v>
      </c>
      <c r="D75" s="35">
        <v>23</v>
      </c>
      <c r="E75" s="36">
        <v>23195992</v>
      </c>
      <c r="F75" s="36">
        <v>2544007</v>
      </c>
      <c r="G75" s="36">
        <v>0</v>
      </c>
      <c r="H75" s="36">
        <v>11465081</v>
      </c>
      <c r="I75" s="36">
        <v>0</v>
      </c>
      <c r="J75" s="37">
        <v>3100433</v>
      </c>
      <c r="K75" s="36">
        <v>37205080</v>
      </c>
      <c r="L75" s="38">
        <v>40305512</v>
      </c>
      <c r="M75" s="39"/>
      <c r="N75" s="36">
        <v>37205080</v>
      </c>
      <c r="O75" s="36">
        <v>25739999</v>
      </c>
      <c r="P75" s="36">
        <v>0</v>
      </c>
      <c r="Q75" s="36">
        <f>Q74*1936.27</f>
        <v>44938712.293159999</v>
      </c>
      <c r="R75" s="7"/>
      <c r="S75" s="7"/>
      <c r="T75" s="7"/>
      <c r="U75" s="7"/>
      <c r="V75" s="7"/>
      <c r="W75" s="7"/>
      <c r="X75" s="7"/>
      <c r="Y75" s="7"/>
      <c r="Z75" s="7"/>
    </row>
    <row r="76" spans="1:26" ht="12.75" customHeight="1" x14ac:dyDescent="0.2">
      <c r="A76" s="534"/>
      <c r="B76" s="534"/>
      <c r="C76" s="40" t="s">
        <v>36</v>
      </c>
      <c r="D76" s="41">
        <v>24</v>
      </c>
      <c r="E76" s="42">
        <v>12295.81</v>
      </c>
      <c r="F76" s="42">
        <v>1351.05</v>
      </c>
      <c r="G76" s="42">
        <v>0</v>
      </c>
      <c r="H76" s="42">
        <v>5921.22</v>
      </c>
      <c r="I76" s="42">
        <v>0</v>
      </c>
      <c r="J76" s="42">
        <v>1630.67</v>
      </c>
      <c r="K76" s="43">
        <v>19568.080000000002</v>
      </c>
      <c r="L76" s="32">
        <v>21198.75</v>
      </c>
      <c r="M76" s="33"/>
      <c r="N76" s="30">
        <v>19568.080000000002</v>
      </c>
      <c r="O76" s="30">
        <v>13646.86</v>
      </c>
      <c r="P76" s="30"/>
      <c r="Q76" s="30">
        <f>(N76+O76*0.18+J76)+(IF((P76-O76*0.18)&gt;0,(P76-O76*0.18),0))</f>
        <v>23655.184800000003</v>
      </c>
      <c r="R76" s="7"/>
      <c r="S76" s="7"/>
      <c r="T76" s="7"/>
      <c r="U76" s="7"/>
      <c r="V76" s="7"/>
      <c r="W76" s="7"/>
      <c r="X76" s="7"/>
      <c r="Y76" s="7"/>
      <c r="Z76" s="7"/>
    </row>
    <row r="77" spans="1:26" ht="7.5" customHeight="1" x14ac:dyDescent="0.2">
      <c r="A77" s="534"/>
      <c r="B77" s="534"/>
      <c r="C77" s="34" t="s">
        <v>37</v>
      </c>
      <c r="D77" s="35">
        <v>25</v>
      </c>
      <c r="E77" s="36">
        <v>23808008</v>
      </c>
      <c r="F77" s="36">
        <v>2615998</v>
      </c>
      <c r="G77" s="36">
        <v>0</v>
      </c>
      <c r="H77" s="36">
        <v>11465081</v>
      </c>
      <c r="I77" s="36">
        <v>0</v>
      </c>
      <c r="J77" s="37">
        <v>3157417</v>
      </c>
      <c r="K77" s="36">
        <v>37889086</v>
      </c>
      <c r="L77" s="38">
        <v>41046504</v>
      </c>
      <c r="M77" s="39"/>
      <c r="N77" s="36">
        <v>37889086</v>
      </c>
      <c r="O77" s="36">
        <v>26424006</v>
      </c>
      <c r="P77" s="36">
        <v>0</v>
      </c>
      <c r="Q77" s="36">
        <f>Q76*1936.27</f>
        <v>45802824.672696002</v>
      </c>
      <c r="R77" s="7"/>
      <c r="S77" s="7"/>
      <c r="T77" s="7"/>
      <c r="U77" s="7"/>
      <c r="V77" s="7"/>
      <c r="W77" s="7"/>
      <c r="X77" s="7"/>
      <c r="Y77" s="7"/>
      <c r="Z77" s="7"/>
    </row>
    <row r="78" spans="1:26" ht="12.75" customHeight="1" x14ac:dyDescent="0.2">
      <c r="A78" s="534"/>
      <c r="B78" s="534"/>
      <c r="C78" s="40" t="s">
        <v>36</v>
      </c>
      <c r="D78" s="41">
        <v>26</v>
      </c>
      <c r="E78" s="42">
        <v>12605.68</v>
      </c>
      <c r="F78" s="42">
        <v>1382.04</v>
      </c>
      <c r="G78" s="42">
        <v>0</v>
      </c>
      <c r="H78" s="42">
        <v>5921.22</v>
      </c>
      <c r="I78" s="42">
        <v>0</v>
      </c>
      <c r="J78" s="42">
        <v>1659.08</v>
      </c>
      <c r="K78" s="43">
        <v>19908.939999999999</v>
      </c>
      <c r="L78" s="32">
        <v>21568.02</v>
      </c>
      <c r="M78" s="33"/>
      <c r="N78" s="30">
        <v>19908.939999999999</v>
      </c>
      <c r="O78" s="30">
        <v>13987.72</v>
      </c>
      <c r="P78" s="30"/>
      <c r="Q78" s="30">
        <f>(N78+O78*0.18+J78)+(IF((P78-O78*0.18)&gt;0,(P78-O78*0.18),0))</f>
        <v>24085.809600000001</v>
      </c>
      <c r="R78" s="7"/>
      <c r="S78" s="7"/>
      <c r="T78" s="7"/>
      <c r="U78" s="7"/>
      <c r="V78" s="7"/>
      <c r="W78" s="7"/>
      <c r="X78" s="7"/>
      <c r="Y78" s="7"/>
      <c r="Z78" s="7"/>
    </row>
    <row r="79" spans="1:26" ht="8.25" customHeight="1" x14ac:dyDescent="0.2">
      <c r="A79" s="534"/>
      <c r="B79" s="534"/>
      <c r="C79" s="34" t="s">
        <v>37</v>
      </c>
      <c r="D79" s="35">
        <v>27</v>
      </c>
      <c r="E79" s="36">
        <v>24408000</v>
      </c>
      <c r="F79" s="36">
        <v>2676003</v>
      </c>
      <c r="G79" s="36">
        <v>0</v>
      </c>
      <c r="H79" s="36">
        <v>11465081</v>
      </c>
      <c r="I79" s="36">
        <v>0</v>
      </c>
      <c r="J79" s="37">
        <v>3212427</v>
      </c>
      <c r="K79" s="36">
        <v>38549083</v>
      </c>
      <c r="L79" s="38">
        <v>41761510</v>
      </c>
      <c r="M79" s="39"/>
      <c r="N79" s="36">
        <v>38549083</v>
      </c>
      <c r="O79" s="36">
        <v>27084003</v>
      </c>
      <c r="P79" s="36">
        <v>0</v>
      </c>
      <c r="Q79" s="36">
        <f>Q78*1936.27</f>
        <v>46636630.554191999</v>
      </c>
      <c r="R79" s="7"/>
      <c r="S79" s="7"/>
      <c r="T79" s="7"/>
      <c r="U79" s="7"/>
      <c r="V79" s="7"/>
      <c r="W79" s="7"/>
      <c r="X79" s="7"/>
      <c r="Y79" s="7"/>
      <c r="Z79" s="7"/>
    </row>
    <row r="80" spans="1:26" ht="12.75" customHeight="1" x14ac:dyDescent="0.2">
      <c r="A80" s="534"/>
      <c r="B80" s="534"/>
      <c r="C80" s="40" t="s">
        <v>36</v>
      </c>
      <c r="D80" s="41">
        <v>28</v>
      </c>
      <c r="E80" s="42">
        <v>12909.36</v>
      </c>
      <c r="F80" s="42">
        <v>1419.22</v>
      </c>
      <c r="G80" s="42">
        <v>0</v>
      </c>
      <c r="H80" s="42">
        <v>5921.22</v>
      </c>
      <c r="I80" s="42">
        <v>0</v>
      </c>
      <c r="J80" s="42">
        <v>1687.48</v>
      </c>
      <c r="K80" s="43">
        <v>20249.8</v>
      </c>
      <c r="L80" s="32">
        <v>21937.279999999999</v>
      </c>
      <c r="M80" s="33"/>
      <c r="N80" s="30">
        <v>20249.8</v>
      </c>
      <c r="O80" s="30">
        <v>14328.58</v>
      </c>
      <c r="P80" s="30"/>
      <c r="Q80" s="30">
        <f>(N80+O80*0.18+J80)+(IF((P80-O80*0.18)&gt;0,(P80-O80*0.18),0))</f>
        <v>24516.4244</v>
      </c>
      <c r="R80" s="7"/>
      <c r="S80" s="7"/>
      <c r="T80" s="7"/>
      <c r="U80" s="7"/>
      <c r="V80" s="7"/>
      <c r="W80" s="7"/>
      <c r="X80" s="7"/>
      <c r="Y80" s="7"/>
      <c r="Z80" s="7"/>
    </row>
    <row r="81" spans="1:26" ht="9" customHeight="1" x14ac:dyDescent="0.2">
      <c r="A81" s="534"/>
      <c r="B81" s="534"/>
      <c r="C81" s="34" t="s">
        <v>37</v>
      </c>
      <c r="D81" s="35">
        <v>29</v>
      </c>
      <c r="E81" s="36">
        <v>24996006</v>
      </c>
      <c r="F81" s="36">
        <v>2747993</v>
      </c>
      <c r="G81" s="36">
        <v>0</v>
      </c>
      <c r="H81" s="36">
        <v>11465081</v>
      </c>
      <c r="I81" s="36">
        <v>0</v>
      </c>
      <c r="J81" s="37">
        <v>3267417</v>
      </c>
      <c r="K81" s="36">
        <v>39209080</v>
      </c>
      <c r="L81" s="38">
        <v>42476497</v>
      </c>
      <c r="M81" s="39"/>
      <c r="N81" s="36">
        <v>39209080</v>
      </c>
      <c r="O81" s="36">
        <v>27744000</v>
      </c>
      <c r="P81" s="36">
        <v>0</v>
      </c>
      <c r="Q81" s="36">
        <f>Q80*1936.27</f>
        <v>47470417.072987996</v>
      </c>
      <c r="R81" s="7"/>
      <c r="S81" s="7"/>
      <c r="T81" s="7"/>
      <c r="U81" s="7"/>
      <c r="V81" s="7"/>
      <c r="W81" s="7"/>
      <c r="X81" s="7"/>
      <c r="Y81" s="7"/>
      <c r="Z81" s="7"/>
    </row>
    <row r="82" spans="1:26" ht="12.75" customHeight="1" x14ac:dyDescent="0.2">
      <c r="A82" s="534"/>
      <c r="B82" s="534"/>
      <c r="C82" s="40" t="s">
        <v>36</v>
      </c>
      <c r="D82" s="41">
        <v>30</v>
      </c>
      <c r="E82" s="42">
        <v>13225.43</v>
      </c>
      <c r="F82" s="42">
        <v>1450.21</v>
      </c>
      <c r="G82" s="42">
        <v>0</v>
      </c>
      <c r="H82" s="42">
        <v>5921.22</v>
      </c>
      <c r="I82" s="42">
        <v>0</v>
      </c>
      <c r="J82" s="42">
        <v>1716.41</v>
      </c>
      <c r="K82" s="43">
        <v>20596.86</v>
      </c>
      <c r="L82" s="32">
        <v>22313.27</v>
      </c>
      <c r="M82" s="33"/>
      <c r="N82" s="30">
        <v>20596.86</v>
      </c>
      <c r="O82" s="30">
        <v>14675.64</v>
      </c>
      <c r="P82" s="30"/>
      <c r="Q82" s="30">
        <f>(N82+O82*0.18+J82)+(IF((P82-O82*0.18)&gt;0,(P82-O82*0.18),0))</f>
        <v>24954.885200000001</v>
      </c>
      <c r="R82" s="7"/>
      <c r="S82" s="7"/>
      <c r="T82" s="7"/>
      <c r="U82" s="7"/>
      <c r="V82" s="7"/>
      <c r="W82" s="7"/>
      <c r="X82" s="7"/>
      <c r="Y82" s="7"/>
      <c r="Z82" s="7"/>
    </row>
    <row r="83" spans="1:26" ht="9" customHeight="1" x14ac:dyDescent="0.2">
      <c r="A83" s="534"/>
      <c r="B83" s="534"/>
      <c r="C83" s="34" t="s">
        <v>37</v>
      </c>
      <c r="D83" s="35">
        <v>31</v>
      </c>
      <c r="E83" s="36">
        <v>25608003</v>
      </c>
      <c r="F83" s="36">
        <v>2807998</v>
      </c>
      <c r="G83" s="36">
        <v>0</v>
      </c>
      <c r="H83" s="36">
        <v>11465081</v>
      </c>
      <c r="I83" s="36">
        <v>0</v>
      </c>
      <c r="J83" s="37">
        <v>3323433</v>
      </c>
      <c r="K83" s="36">
        <v>39881082</v>
      </c>
      <c r="L83" s="38">
        <v>43204515</v>
      </c>
      <c r="M83" s="39"/>
      <c r="N83" s="36">
        <v>39881082</v>
      </c>
      <c r="O83" s="36">
        <v>28416001</v>
      </c>
      <c r="P83" s="36">
        <v>0</v>
      </c>
      <c r="Q83" s="36">
        <f>Q82*1936.27</f>
        <v>48319395.566204004</v>
      </c>
      <c r="R83" s="7"/>
      <c r="S83" s="7"/>
      <c r="T83" s="7"/>
      <c r="U83" s="7"/>
      <c r="V83" s="7"/>
      <c r="W83" s="7"/>
      <c r="X83" s="7"/>
      <c r="Y83" s="7"/>
      <c r="Z83" s="7"/>
    </row>
    <row r="84" spans="1:26" ht="12.75" customHeight="1" x14ac:dyDescent="0.2">
      <c r="A84" s="534"/>
      <c r="B84" s="534"/>
      <c r="C84" s="40" t="s">
        <v>36</v>
      </c>
      <c r="D84" s="41">
        <v>32</v>
      </c>
      <c r="E84" s="42">
        <v>13535.3</v>
      </c>
      <c r="F84" s="42">
        <v>1487.4</v>
      </c>
      <c r="G84" s="42">
        <v>0</v>
      </c>
      <c r="H84" s="42">
        <v>5921.22</v>
      </c>
      <c r="I84" s="42">
        <v>0</v>
      </c>
      <c r="J84" s="42">
        <v>1745.33</v>
      </c>
      <c r="K84" s="43">
        <v>20943.919999999998</v>
      </c>
      <c r="L84" s="32">
        <v>22689.25</v>
      </c>
      <c r="M84" s="33"/>
      <c r="N84" s="30">
        <v>20943.919999999998</v>
      </c>
      <c r="O84" s="30">
        <v>15022.7</v>
      </c>
      <c r="P84" s="30"/>
      <c r="Q84" s="30">
        <f>(N84+O84*0.18+J84)+(IF((P84-O84*0.18)&gt;0,(P84-O84*0.18),0))</f>
        <v>25393.335999999996</v>
      </c>
      <c r="R84" s="7"/>
      <c r="S84" s="7"/>
      <c r="T84" s="7"/>
      <c r="U84" s="7"/>
      <c r="V84" s="7"/>
      <c r="W84" s="7"/>
      <c r="X84" s="7"/>
      <c r="Y84" s="7"/>
      <c r="Z84" s="7"/>
    </row>
    <row r="85" spans="1:26" ht="9" customHeight="1" x14ac:dyDescent="0.2">
      <c r="A85" s="534"/>
      <c r="B85" s="534"/>
      <c r="C85" s="34" t="s">
        <v>37</v>
      </c>
      <c r="D85" s="35">
        <v>33</v>
      </c>
      <c r="E85" s="36">
        <v>26207995</v>
      </c>
      <c r="F85" s="36">
        <v>2880008</v>
      </c>
      <c r="G85" s="36">
        <v>0</v>
      </c>
      <c r="H85" s="36">
        <v>11465081</v>
      </c>
      <c r="I85" s="36">
        <v>0</v>
      </c>
      <c r="J85" s="37">
        <v>3379430</v>
      </c>
      <c r="K85" s="36">
        <v>40553084</v>
      </c>
      <c r="L85" s="38">
        <v>43932514</v>
      </c>
      <c r="M85" s="39"/>
      <c r="N85" s="36">
        <v>40553084</v>
      </c>
      <c r="O85" s="36">
        <v>29088003</v>
      </c>
      <c r="P85" s="36">
        <v>0</v>
      </c>
      <c r="Q85" s="36">
        <f>Q84*1936.27</f>
        <v>49168354.696719989</v>
      </c>
      <c r="R85" s="7"/>
      <c r="S85" s="7"/>
      <c r="T85" s="7"/>
      <c r="U85" s="7"/>
      <c r="V85" s="7"/>
      <c r="W85" s="7"/>
      <c r="X85" s="7"/>
      <c r="Y85" s="7"/>
      <c r="Z85" s="7"/>
    </row>
    <row r="86" spans="1:26" ht="12.75" customHeight="1" x14ac:dyDescent="0.2">
      <c r="A86" s="534"/>
      <c r="B86" s="534"/>
      <c r="C86" s="40" t="s">
        <v>36</v>
      </c>
      <c r="D86" s="41">
        <v>34</v>
      </c>
      <c r="E86" s="42">
        <v>13851.37</v>
      </c>
      <c r="F86" s="42">
        <v>1518.38</v>
      </c>
      <c r="G86" s="42">
        <v>0</v>
      </c>
      <c r="H86" s="42">
        <v>5921.22</v>
      </c>
      <c r="I86" s="42">
        <v>0</v>
      </c>
      <c r="J86" s="42">
        <v>1774.25</v>
      </c>
      <c r="K86" s="43">
        <v>21290.97</v>
      </c>
      <c r="L86" s="32">
        <v>23065.22</v>
      </c>
      <c r="M86" s="33"/>
      <c r="N86" s="30">
        <v>21290.97</v>
      </c>
      <c r="O86" s="30">
        <v>15369.75</v>
      </c>
      <c r="P86" s="30"/>
      <c r="Q86" s="30">
        <f>(N86+O86*0.18+J86)+(IF((P86-O86*0.18)&gt;0,(P86-O86*0.18),0))</f>
        <v>25831.775000000001</v>
      </c>
      <c r="R86" s="7"/>
      <c r="S86" s="7"/>
      <c r="T86" s="7"/>
      <c r="U86" s="7"/>
      <c r="V86" s="7"/>
      <c r="W86" s="7"/>
      <c r="X86" s="7"/>
      <c r="Y86" s="7"/>
      <c r="Z86" s="7"/>
    </row>
    <row r="87" spans="1:26" ht="9" customHeight="1" x14ac:dyDescent="0.2">
      <c r="A87" s="534"/>
      <c r="B87" s="534"/>
      <c r="C87" s="34" t="s">
        <v>37</v>
      </c>
      <c r="D87" s="35">
        <v>35</v>
      </c>
      <c r="E87" s="36">
        <v>26819992</v>
      </c>
      <c r="F87" s="36">
        <v>2939994</v>
      </c>
      <c r="G87" s="36">
        <v>0</v>
      </c>
      <c r="H87" s="36">
        <v>11465081</v>
      </c>
      <c r="I87" s="36">
        <v>0</v>
      </c>
      <c r="J87" s="37">
        <v>3435427</v>
      </c>
      <c r="K87" s="36">
        <v>41225066</v>
      </c>
      <c r="L87" s="38">
        <v>44660494</v>
      </c>
      <c r="M87" s="39"/>
      <c r="N87" s="36">
        <v>41225066</v>
      </c>
      <c r="O87" s="36">
        <v>29759986</v>
      </c>
      <c r="P87" s="36">
        <v>0</v>
      </c>
      <c r="Q87" s="36">
        <f>Q86*1936.27</f>
        <v>50017290.979249999</v>
      </c>
      <c r="R87" s="7"/>
      <c r="S87" s="7"/>
      <c r="T87" s="7"/>
      <c r="U87" s="7"/>
      <c r="V87" s="7"/>
      <c r="W87" s="7"/>
      <c r="X87" s="7"/>
      <c r="Y87" s="7"/>
      <c r="Z87" s="7"/>
    </row>
    <row r="88" spans="1:26" ht="12.75" customHeight="1" x14ac:dyDescent="0.2">
      <c r="A88" s="534"/>
      <c r="B88" s="534"/>
      <c r="C88" s="40" t="s">
        <v>36</v>
      </c>
      <c r="D88" s="41">
        <v>36</v>
      </c>
      <c r="E88" s="42">
        <v>14161.25</v>
      </c>
      <c r="F88" s="42">
        <v>1555.57</v>
      </c>
      <c r="G88" s="42">
        <v>0</v>
      </c>
      <c r="H88" s="42">
        <v>5921.22</v>
      </c>
      <c r="I88" s="42">
        <v>0</v>
      </c>
      <c r="J88" s="42">
        <v>1803.17</v>
      </c>
      <c r="K88" s="43">
        <v>21638.04</v>
      </c>
      <c r="L88" s="32">
        <v>23441.21</v>
      </c>
      <c r="M88" s="33"/>
      <c r="N88" s="30">
        <v>21638.04</v>
      </c>
      <c r="O88" s="30">
        <v>15716.82</v>
      </c>
      <c r="P88" s="30"/>
      <c r="Q88" s="30">
        <f>(N88+O88*0.18+J88)+(IF((P88-O88*0.18)&gt;0,(P88-O88*0.18),0))</f>
        <v>26270.2376</v>
      </c>
      <c r="R88" s="7"/>
      <c r="S88" s="7"/>
      <c r="T88" s="7"/>
      <c r="U88" s="7"/>
      <c r="V88" s="7"/>
      <c r="W88" s="7"/>
      <c r="X88" s="7"/>
      <c r="Y88" s="7"/>
      <c r="Z88" s="7"/>
    </row>
    <row r="89" spans="1:26" ht="9" customHeight="1" x14ac:dyDescent="0.2">
      <c r="A89" s="534"/>
      <c r="B89" s="534"/>
      <c r="C89" s="34" t="s">
        <v>37</v>
      </c>
      <c r="D89" s="35">
        <v>37</v>
      </c>
      <c r="E89" s="36">
        <v>27420004</v>
      </c>
      <c r="F89" s="36">
        <v>3012004</v>
      </c>
      <c r="G89" s="36">
        <v>0</v>
      </c>
      <c r="H89" s="36">
        <v>11465081</v>
      </c>
      <c r="I89" s="36">
        <v>0</v>
      </c>
      <c r="J89" s="37">
        <v>3491424</v>
      </c>
      <c r="K89" s="36">
        <v>41897088</v>
      </c>
      <c r="L89" s="38">
        <v>45388512</v>
      </c>
      <c r="M89" s="39"/>
      <c r="N89" s="36">
        <v>41897088</v>
      </c>
      <c r="O89" s="36">
        <v>30432007</v>
      </c>
      <c r="P89" s="36">
        <v>0</v>
      </c>
      <c r="Q89" s="36">
        <f>Q88*1936.27</f>
        <v>50866272.957751997</v>
      </c>
      <c r="R89" s="7"/>
      <c r="S89" s="7"/>
      <c r="T89" s="7"/>
      <c r="U89" s="7"/>
      <c r="V89" s="7"/>
      <c r="W89" s="7"/>
      <c r="X89" s="7"/>
      <c r="Y89" s="7"/>
      <c r="Z89" s="7"/>
    </row>
    <row r="90" spans="1:26" ht="9" customHeight="1" x14ac:dyDescent="0.2">
      <c r="A90" s="534"/>
      <c r="B90" s="534"/>
      <c r="C90" s="44" t="s">
        <v>36</v>
      </c>
      <c r="D90" s="45">
        <v>38</v>
      </c>
      <c r="E90" s="42">
        <v>14471.12</v>
      </c>
      <c r="F90" s="42">
        <v>1586.56</v>
      </c>
      <c r="G90" s="42">
        <v>0</v>
      </c>
      <c r="H90" s="42">
        <v>5921.22</v>
      </c>
      <c r="I90" s="42">
        <v>0</v>
      </c>
      <c r="J90" s="42">
        <v>1831.58</v>
      </c>
      <c r="K90" s="43">
        <v>21978.9</v>
      </c>
      <c r="L90" s="32">
        <v>23810.48</v>
      </c>
      <c r="M90" s="33"/>
      <c r="N90" s="30">
        <v>21978.9</v>
      </c>
      <c r="O90" s="30">
        <v>16057.68</v>
      </c>
      <c r="P90" s="30"/>
      <c r="Q90" s="30">
        <f>(N90+O90*0.18+J90)+(IF((P90-O90*0.18)&gt;0,(P90-O90*0.18),0))</f>
        <v>26700.862399999998</v>
      </c>
      <c r="R90" s="7"/>
      <c r="S90" s="7"/>
      <c r="T90" s="7"/>
      <c r="U90" s="7"/>
      <c r="V90" s="7"/>
      <c r="W90" s="7"/>
      <c r="X90" s="7"/>
      <c r="Y90" s="7"/>
      <c r="Z90" s="7"/>
    </row>
    <row r="91" spans="1:26" ht="9" customHeight="1" x14ac:dyDescent="0.2">
      <c r="A91" s="534"/>
      <c r="B91" s="534"/>
      <c r="C91" s="44" t="s">
        <v>37</v>
      </c>
      <c r="D91" s="45">
        <v>39</v>
      </c>
      <c r="E91" s="36">
        <v>28019996</v>
      </c>
      <c r="F91" s="36">
        <v>3072009</v>
      </c>
      <c r="G91" s="36">
        <v>0</v>
      </c>
      <c r="H91" s="36">
        <v>11465081</v>
      </c>
      <c r="I91" s="36">
        <v>0</v>
      </c>
      <c r="J91" s="37">
        <v>3546433</v>
      </c>
      <c r="K91" s="36">
        <v>42557085</v>
      </c>
      <c r="L91" s="38">
        <v>46103518</v>
      </c>
      <c r="M91" s="39"/>
      <c r="N91" s="46">
        <v>42557085</v>
      </c>
      <c r="O91" s="46">
        <v>31092004</v>
      </c>
      <c r="P91" s="46">
        <v>0</v>
      </c>
      <c r="Q91" s="36">
        <f>Q90*1936.27</f>
        <v>51700078.839247994</v>
      </c>
      <c r="R91" s="7"/>
      <c r="S91" s="7"/>
      <c r="T91" s="7"/>
      <c r="U91" s="7"/>
      <c r="V91" s="7"/>
      <c r="W91" s="7"/>
      <c r="X91" s="7"/>
      <c r="Y91" s="7"/>
      <c r="Z91" s="7"/>
    </row>
    <row r="92" spans="1:26" ht="12.75" customHeight="1" x14ac:dyDescent="0.2">
      <c r="A92" s="534"/>
      <c r="B92" s="534"/>
      <c r="C92" s="40" t="s">
        <v>36</v>
      </c>
      <c r="D92" s="41">
        <v>40</v>
      </c>
      <c r="E92" s="42">
        <v>14781</v>
      </c>
      <c r="F92" s="42">
        <v>1623.74</v>
      </c>
      <c r="G92" s="42">
        <v>0</v>
      </c>
      <c r="H92" s="42">
        <v>5921.22</v>
      </c>
      <c r="I92" s="42">
        <v>0</v>
      </c>
      <c r="J92" s="42">
        <v>1860.5</v>
      </c>
      <c r="K92" s="43">
        <v>22325.96</v>
      </c>
      <c r="L92" s="32">
        <v>24186.46</v>
      </c>
      <c r="M92" s="33"/>
      <c r="N92" s="30">
        <v>22325.96</v>
      </c>
      <c r="O92" s="30">
        <v>16404.740000000002</v>
      </c>
      <c r="P92" s="30"/>
      <c r="Q92" s="30">
        <f>(N92+O92*0.18+J92)+(IF((P92-O92*0.18)&gt;0,(P92-O92*0.18),0))</f>
        <v>27139.313200000001</v>
      </c>
      <c r="R92" s="7"/>
      <c r="S92" s="7"/>
      <c r="T92" s="7"/>
      <c r="U92" s="7"/>
      <c r="V92" s="7"/>
      <c r="W92" s="7"/>
      <c r="X92" s="7"/>
      <c r="Y92" s="7"/>
      <c r="Z92" s="7"/>
    </row>
    <row r="93" spans="1:26" ht="9" customHeight="1" x14ac:dyDescent="0.2">
      <c r="A93" s="535"/>
      <c r="B93" s="535"/>
      <c r="C93" s="47"/>
      <c r="D93" s="48"/>
      <c r="E93" s="46">
        <v>28620007</v>
      </c>
      <c r="F93" s="46">
        <v>3143999</v>
      </c>
      <c r="G93" s="46">
        <v>0</v>
      </c>
      <c r="H93" s="46">
        <v>11465081</v>
      </c>
      <c r="I93" s="46">
        <v>0</v>
      </c>
      <c r="J93" s="49">
        <v>3602430</v>
      </c>
      <c r="K93" s="46">
        <v>43229087</v>
      </c>
      <c r="L93" s="38">
        <v>46831517</v>
      </c>
      <c r="M93" s="39"/>
      <c r="N93" s="36">
        <v>43229087</v>
      </c>
      <c r="O93" s="36">
        <v>31764006</v>
      </c>
      <c r="P93" s="36">
        <v>0</v>
      </c>
      <c r="Q93" s="36">
        <f>Q92*1936.27</f>
        <v>52549037.969764002</v>
      </c>
      <c r="R93" s="7"/>
      <c r="S93" s="7"/>
      <c r="T93" s="7"/>
      <c r="U93" s="7"/>
      <c r="V93" s="7"/>
      <c r="W93" s="7"/>
      <c r="X93" s="7"/>
      <c r="Y93" s="7"/>
      <c r="Z93" s="7"/>
    </row>
    <row r="94" spans="1:26" ht="12.75" customHeight="1" x14ac:dyDescent="0.2">
      <c r="A94" s="538">
        <v>33359</v>
      </c>
      <c r="B94" s="538">
        <v>33542</v>
      </c>
      <c r="C94" s="28" t="s">
        <v>36</v>
      </c>
      <c r="D94" s="29">
        <v>0</v>
      </c>
      <c r="E94" s="30">
        <v>6674.69</v>
      </c>
      <c r="F94" s="30">
        <v>731.3</v>
      </c>
      <c r="G94" s="30">
        <v>0</v>
      </c>
      <c r="H94" s="30">
        <v>6214.43</v>
      </c>
      <c r="I94" s="30">
        <v>0</v>
      </c>
      <c r="J94" s="30">
        <v>1135.04</v>
      </c>
      <c r="K94" s="31">
        <v>13620.42</v>
      </c>
      <c r="L94" s="32">
        <v>14755.46</v>
      </c>
      <c r="M94" s="33"/>
      <c r="N94" s="30">
        <v>13620.42</v>
      </c>
      <c r="O94" s="30">
        <v>7405.99</v>
      </c>
      <c r="P94" s="30"/>
      <c r="Q94" s="30">
        <f>(N94+O94*0.18+J94)+(IF((P94-O94*0.18)&gt;0,(P94-O94*0.18),0))</f>
        <v>16088.538199999999</v>
      </c>
      <c r="R94" s="7"/>
      <c r="S94" s="7"/>
      <c r="T94" s="7"/>
      <c r="U94" s="7"/>
      <c r="V94" s="7"/>
      <c r="W94" s="7"/>
      <c r="X94" s="7"/>
      <c r="Y94" s="7"/>
      <c r="Z94" s="7"/>
    </row>
    <row r="95" spans="1:26" ht="8.25" customHeight="1" x14ac:dyDescent="0.2">
      <c r="A95" s="534"/>
      <c r="B95" s="534"/>
      <c r="C95" s="34" t="s">
        <v>37</v>
      </c>
      <c r="D95" s="35">
        <v>0</v>
      </c>
      <c r="E95" s="36">
        <v>12924002</v>
      </c>
      <c r="F95" s="36">
        <v>1415994</v>
      </c>
      <c r="G95" s="36">
        <v>0</v>
      </c>
      <c r="H95" s="36">
        <v>12032814</v>
      </c>
      <c r="I95" s="36">
        <v>0</v>
      </c>
      <c r="J95" s="37">
        <v>2197744</v>
      </c>
      <c r="K95" s="36">
        <v>26372811</v>
      </c>
      <c r="L95" s="38">
        <v>28570555</v>
      </c>
      <c r="M95" s="39"/>
      <c r="N95" s="36">
        <v>26372811</v>
      </c>
      <c r="O95" s="36">
        <v>14339996</v>
      </c>
      <c r="P95" s="36">
        <v>0</v>
      </c>
      <c r="Q95" s="36">
        <f>Q94*1936.27</f>
        <v>31151753.860513996</v>
      </c>
      <c r="R95" s="7"/>
      <c r="S95" s="7"/>
      <c r="T95" s="7"/>
      <c r="U95" s="7"/>
      <c r="V95" s="7"/>
      <c r="W95" s="7"/>
      <c r="X95" s="7"/>
      <c r="Y95" s="7"/>
      <c r="Z95" s="7"/>
    </row>
    <row r="96" spans="1:26" ht="12.75" customHeight="1" x14ac:dyDescent="0.2">
      <c r="A96" s="540">
        <v>33359</v>
      </c>
      <c r="B96" s="540">
        <v>33542</v>
      </c>
      <c r="C96" s="40" t="s">
        <v>36</v>
      </c>
      <c r="D96" s="41">
        <v>1</v>
      </c>
      <c r="E96" s="42">
        <v>7027.95</v>
      </c>
      <c r="F96" s="42">
        <v>768.49</v>
      </c>
      <c r="G96" s="42">
        <v>0</v>
      </c>
      <c r="H96" s="42">
        <v>6214.43</v>
      </c>
      <c r="I96" s="42">
        <v>0</v>
      </c>
      <c r="J96" s="42">
        <v>1167.57</v>
      </c>
      <c r="K96" s="43">
        <v>14010.87</v>
      </c>
      <c r="L96" s="32">
        <v>15178.44</v>
      </c>
      <c r="M96" s="33"/>
      <c r="N96" s="30">
        <v>14010.87</v>
      </c>
      <c r="O96" s="30">
        <v>7796.44</v>
      </c>
      <c r="P96" s="30"/>
      <c r="Q96" s="30">
        <f>(N96+O96*0.18+J96)+(IF((P96-O96*0.18)&gt;0,(P96-O96*0.18),0))</f>
        <v>16581.799200000001</v>
      </c>
      <c r="R96" s="7"/>
      <c r="S96" s="7"/>
      <c r="T96" s="7"/>
      <c r="U96" s="7"/>
      <c r="V96" s="7"/>
      <c r="W96" s="7"/>
      <c r="X96" s="7"/>
      <c r="Y96" s="7"/>
      <c r="Z96" s="7"/>
    </row>
    <row r="97" spans="1:26" ht="8.25" customHeight="1" x14ac:dyDescent="0.2">
      <c r="A97" s="534"/>
      <c r="B97" s="534"/>
      <c r="C97" s="34" t="s">
        <v>37</v>
      </c>
      <c r="D97" s="35">
        <v>2</v>
      </c>
      <c r="E97" s="36">
        <v>13608009</v>
      </c>
      <c r="F97" s="36">
        <v>1488004</v>
      </c>
      <c r="G97" s="36">
        <v>0</v>
      </c>
      <c r="H97" s="36">
        <v>12032814</v>
      </c>
      <c r="I97" s="36">
        <v>0</v>
      </c>
      <c r="J97" s="37">
        <v>2260731</v>
      </c>
      <c r="K97" s="36">
        <v>27128827</v>
      </c>
      <c r="L97" s="38">
        <v>29389558</v>
      </c>
      <c r="M97" s="39"/>
      <c r="N97" s="36">
        <v>27128827</v>
      </c>
      <c r="O97" s="36">
        <v>15096013</v>
      </c>
      <c r="P97" s="36">
        <v>0</v>
      </c>
      <c r="Q97" s="36">
        <f>Q96*1936.27</f>
        <v>32106840.336984001</v>
      </c>
      <c r="R97" s="7"/>
      <c r="S97" s="7"/>
      <c r="T97" s="7"/>
      <c r="U97" s="7"/>
      <c r="V97" s="7"/>
      <c r="W97" s="7"/>
      <c r="X97" s="7"/>
      <c r="Y97" s="7"/>
      <c r="Z97" s="7"/>
    </row>
    <row r="98" spans="1:26" ht="12.75" customHeight="1" x14ac:dyDescent="0.2">
      <c r="A98" s="534"/>
      <c r="B98" s="534"/>
      <c r="C98" s="40" t="s">
        <v>36</v>
      </c>
      <c r="D98" s="41">
        <v>3</v>
      </c>
      <c r="E98" s="42">
        <v>7387.4</v>
      </c>
      <c r="F98" s="42">
        <v>811.87</v>
      </c>
      <c r="G98" s="42"/>
      <c r="H98" s="42">
        <v>6214.43</v>
      </c>
      <c r="I98" s="42">
        <v>0</v>
      </c>
      <c r="J98" s="42">
        <v>1201.1400000000001</v>
      </c>
      <c r="K98" s="43">
        <v>14413.7</v>
      </c>
      <c r="L98" s="32">
        <v>15614.84</v>
      </c>
      <c r="M98" s="33"/>
      <c r="N98" s="30">
        <v>14413.7</v>
      </c>
      <c r="O98" s="30">
        <v>8199.27</v>
      </c>
      <c r="P98" s="30"/>
      <c r="Q98" s="30">
        <f>(N98+O98*0.18+J98)+(IF((P98-O98*0.18)&gt;0,(P98-O98*0.18),0))</f>
        <v>17090.708600000002</v>
      </c>
      <c r="R98" s="7"/>
      <c r="S98" s="7"/>
      <c r="T98" s="7"/>
      <c r="U98" s="7"/>
      <c r="V98" s="7"/>
      <c r="W98" s="7"/>
      <c r="X98" s="7"/>
      <c r="Y98" s="7"/>
      <c r="Z98" s="7"/>
    </row>
    <row r="99" spans="1:26" ht="8.25" customHeight="1" x14ac:dyDescent="0.2">
      <c r="A99" s="534"/>
      <c r="B99" s="534"/>
      <c r="C99" s="34" t="s">
        <v>37</v>
      </c>
      <c r="D99" s="35">
        <v>4</v>
      </c>
      <c r="E99" s="36">
        <v>14304001</v>
      </c>
      <c r="F99" s="36">
        <v>1572000</v>
      </c>
      <c r="G99" s="36">
        <v>0</v>
      </c>
      <c r="H99" s="36">
        <v>12032814</v>
      </c>
      <c r="I99" s="36">
        <v>0</v>
      </c>
      <c r="J99" s="37">
        <v>2325731</v>
      </c>
      <c r="K99" s="36">
        <v>27908815</v>
      </c>
      <c r="L99" s="38">
        <v>30234546</v>
      </c>
      <c r="M99" s="39"/>
      <c r="N99" s="36">
        <v>27908815</v>
      </c>
      <c r="O99" s="36">
        <v>15876001</v>
      </c>
      <c r="P99" s="36">
        <v>0</v>
      </c>
      <c r="Q99" s="36">
        <f>Q98*1936.27</f>
        <v>33092226.340922002</v>
      </c>
      <c r="R99" s="7"/>
      <c r="S99" s="7"/>
      <c r="T99" s="7"/>
      <c r="U99" s="7"/>
      <c r="V99" s="7"/>
      <c r="W99" s="7"/>
      <c r="X99" s="7"/>
      <c r="Y99" s="7"/>
      <c r="Z99" s="7"/>
    </row>
    <row r="100" spans="1:26" ht="12.75" customHeight="1" x14ac:dyDescent="0.2">
      <c r="A100" s="534"/>
      <c r="B100" s="534"/>
      <c r="C100" s="40" t="s">
        <v>36</v>
      </c>
      <c r="D100" s="41">
        <v>5</v>
      </c>
      <c r="E100" s="42">
        <v>7740.66</v>
      </c>
      <c r="F100" s="42">
        <v>849.06</v>
      </c>
      <c r="G100" s="42">
        <v>0</v>
      </c>
      <c r="H100" s="42">
        <v>6214.43</v>
      </c>
      <c r="I100" s="42">
        <v>0</v>
      </c>
      <c r="J100" s="42">
        <v>1233.68</v>
      </c>
      <c r="K100" s="43">
        <v>14804.15</v>
      </c>
      <c r="L100" s="32">
        <v>16037.83</v>
      </c>
      <c r="M100" s="33"/>
      <c r="N100" s="30">
        <v>14804.15</v>
      </c>
      <c r="O100" s="30">
        <v>8589.7199999999993</v>
      </c>
      <c r="P100" s="30"/>
      <c r="Q100" s="30">
        <f>(N100+O100*0.18+J100)+(IF((P100-O100*0.18)&gt;0,(P100-O100*0.18),0))</f>
        <v>17583.979599999999</v>
      </c>
      <c r="R100" s="7"/>
      <c r="S100" s="7"/>
      <c r="T100" s="7"/>
      <c r="U100" s="7"/>
      <c r="V100" s="7"/>
      <c r="W100" s="7"/>
      <c r="X100" s="7"/>
      <c r="Y100" s="7"/>
      <c r="Z100" s="7"/>
    </row>
    <row r="101" spans="1:26" ht="8.25" customHeight="1" x14ac:dyDescent="0.2">
      <c r="A101" s="534"/>
      <c r="B101" s="534"/>
      <c r="C101" s="34" t="s">
        <v>37</v>
      </c>
      <c r="D101" s="35">
        <v>6</v>
      </c>
      <c r="E101" s="36">
        <v>14988008</v>
      </c>
      <c r="F101" s="36">
        <v>1644009</v>
      </c>
      <c r="G101" s="36">
        <v>0</v>
      </c>
      <c r="H101" s="36">
        <v>12032814</v>
      </c>
      <c r="I101" s="36">
        <v>0</v>
      </c>
      <c r="J101" s="37">
        <v>2388738</v>
      </c>
      <c r="K101" s="36">
        <v>28664832</v>
      </c>
      <c r="L101" s="38">
        <v>31053569</v>
      </c>
      <c r="M101" s="39"/>
      <c r="N101" s="36">
        <v>28664832</v>
      </c>
      <c r="O101" s="36">
        <v>16632017</v>
      </c>
      <c r="P101" s="36">
        <v>0</v>
      </c>
      <c r="Q101" s="36">
        <f>Q100*1936.27</f>
        <v>34047332.180091999</v>
      </c>
      <c r="R101" s="7"/>
      <c r="S101" s="7"/>
      <c r="T101" s="7"/>
      <c r="U101" s="7"/>
      <c r="V101" s="7"/>
      <c r="W101" s="7"/>
      <c r="X101" s="7"/>
      <c r="Y101" s="7"/>
      <c r="Z101" s="7"/>
    </row>
    <row r="102" spans="1:26" ht="12.75" customHeight="1" x14ac:dyDescent="0.2">
      <c r="A102" s="534"/>
      <c r="B102" s="534"/>
      <c r="C102" s="40" t="s">
        <v>36</v>
      </c>
      <c r="D102" s="41">
        <v>7</v>
      </c>
      <c r="E102" s="42">
        <v>8155.89</v>
      </c>
      <c r="F102" s="42">
        <v>892.44</v>
      </c>
      <c r="G102" s="42">
        <v>0</v>
      </c>
      <c r="H102" s="42">
        <v>6214.43</v>
      </c>
      <c r="I102" s="42">
        <v>0</v>
      </c>
      <c r="J102" s="42">
        <v>1271.9000000000001</v>
      </c>
      <c r="K102" s="43">
        <v>15262.76</v>
      </c>
      <c r="L102" s="32">
        <v>16534.66</v>
      </c>
      <c r="M102" s="33"/>
      <c r="N102" s="30">
        <v>15262.76</v>
      </c>
      <c r="O102" s="30">
        <v>9048.33</v>
      </c>
      <c r="P102" s="30"/>
      <c r="Q102" s="30">
        <f>(N102+O102*0.18+J102)+(IF((P102-O102*0.18)&gt;0,(P102-O102*0.18),0))</f>
        <v>18163.359400000001</v>
      </c>
      <c r="R102" s="7"/>
      <c r="S102" s="7"/>
      <c r="T102" s="7"/>
      <c r="U102" s="7"/>
      <c r="V102" s="7"/>
      <c r="W102" s="7"/>
      <c r="X102" s="7"/>
      <c r="Y102" s="7"/>
      <c r="Z102" s="7"/>
    </row>
    <row r="103" spans="1:26" ht="8.25" customHeight="1" x14ac:dyDescent="0.2">
      <c r="A103" s="534"/>
      <c r="B103" s="534"/>
      <c r="C103" s="34" t="s">
        <v>37</v>
      </c>
      <c r="D103" s="35">
        <v>8</v>
      </c>
      <c r="E103" s="36">
        <v>15792005</v>
      </c>
      <c r="F103" s="36">
        <v>1728005</v>
      </c>
      <c r="G103" s="36">
        <v>0</v>
      </c>
      <c r="H103" s="36">
        <v>12032814</v>
      </c>
      <c r="I103" s="36">
        <v>0</v>
      </c>
      <c r="J103" s="37">
        <v>2462742</v>
      </c>
      <c r="K103" s="36">
        <v>29552824</v>
      </c>
      <c r="L103" s="38">
        <v>32015566</v>
      </c>
      <c r="M103" s="39"/>
      <c r="N103" s="36">
        <v>29552824</v>
      </c>
      <c r="O103" s="36">
        <v>17520010</v>
      </c>
      <c r="P103" s="36">
        <v>0</v>
      </c>
      <c r="Q103" s="36">
        <f>Q102*1936.27</f>
        <v>35169167.905437998</v>
      </c>
      <c r="R103" s="7"/>
      <c r="S103" s="7"/>
      <c r="T103" s="7"/>
      <c r="U103" s="7"/>
      <c r="V103" s="7"/>
      <c r="W103" s="7"/>
      <c r="X103" s="7"/>
      <c r="Y103" s="7"/>
      <c r="Z103" s="7"/>
    </row>
    <row r="104" spans="1:26" ht="12.75" customHeight="1" x14ac:dyDescent="0.2">
      <c r="A104" s="534"/>
      <c r="B104" s="534"/>
      <c r="C104" s="40" t="s">
        <v>36</v>
      </c>
      <c r="D104" s="41">
        <v>9</v>
      </c>
      <c r="E104" s="42">
        <v>8527.74</v>
      </c>
      <c r="F104" s="42">
        <v>935.82</v>
      </c>
      <c r="G104" s="42">
        <v>0</v>
      </c>
      <c r="H104" s="42">
        <v>6214.43</v>
      </c>
      <c r="I104" s="42">
        <v>0</v>
      </c>
      <c r="J104" s="42">
        <v>1306.5</v>
      </c>
      <c r="K104" s="43">
        <v>15677.99</v>
      </c>
      <c r="L104" s="32">
        <v>16984.490000000002</v>
      </c>
      <c r="M104" s="33"/>
      <c r="N104" s="30">
        <v>15677.99</v>
      </c>
      <c r="O104" s="30">
        <v>9463.56</v>
      </c>
      <c r="P104" s="30"/>
      <c r="Q104" s="30">
        <f>(N104+O104*0.18+J104)+(IF((P104-O104*0.18)&gt;0,(P104-O104*0.18),0))</f>
        <v>18687.930799999998</v>
      </c>
      <c r="R104" s="7"/>
      <c r="S104" s="7"/>
      <c r="T104" s="7"/>
      <c r="U104" s="7"/>
      <c r="V104" s="7"/>
      <c r="W104" s="7"/>
      <c r="X104" s="7"/>
      <c r="Y104" s="7"/>
      <c r="Z104" s="7"/>
    </row>
    <row r="105" spans="1:26" ht="8.25" customHeight="1" x14ac:dyDescent="0.2">
      <c r="A105" s="534"/>
      <c r="B105" s="534"/>
      <c r="C105" s="34" t="s">
        <v>37</v>
      </c>
      <c r="D105" s="35">
        <v>10</v>
      </c>
      <c r="E105" s="36">
        <v>16512007</v>
      </c>
      <c r="F105" s="36">
        <v>1812000</v>
      </c>
      <c r="G105" s="36">
        <v>0</v>
      </c>
      <c r="H105" s="36">
        <v>12032814</v>
      </c>
      <c r="I105" s="36">
        <v>0</v>
      </c>
      <c r="J105" s="37">
        <v>2529737</v>
      </c>
      <c r="K105" s="36">
        <v>30356822</v>
      </c>
      <c r="L105" s="38">
        <v>32886558</v>
      </c>
      <c r="M105" s="39"/>
      <c r="N105" s="36">
        <v>30356822</v>
      </c>
      <c r="O105" s="36">
        <v>18324007</v>
      </c>
      <c r="P105" s="36">
        <v>0</v>
      </c>
      <c r="Q105" s="36">
        <f>Q104*1936.27</f>
        <v>36184879.770115994</v>
      </c>
      <c r="R105" s="7"/>
      <c r="S105" s="7"/>
      <c r="T105" s="7"/>
      <c r="U105" s="7"/>
      <c r="V105" s="7"/>
      <c r="W105" s="7"/>
      <c r="X105" s="7"/>
      <c r="Y105" s="7"/>
      <c r="Z105" s="7"/>
    </row>
    <row r="106" spans="1:26" ht="12.75" customHeight="1" x14ac:dyDescent="0.2">
      <c r="A106" s="534"/>
      <c r="B106" s="534"/>
      <c r="C106" s="40" t="s">
        <v>36</v>
      </c>
      <c r="D106" s="41">
        <v>11</v>
      </c>
      <c r="E106" s="42">
        <v>8980.15</v>
      </c>
      <c r="F106" s="42">
        <v>985.4</v>
      </c>
      <c r="G106" s="42">
        <v>0</v>
      </c>
      <c r="H106" s="42">
        <v>6214.43</v>
      </c>
      <c r="I106" s="42">
        <v>0</v>
      </c>
      <c r="J106" s="42">
        <v>1348.33</v>
      </c>
      <c r="K106" s="43">
        <v>16179.98</v>
      </c>
      <c r="L106" s="32">
        <v>17528.310000000001</v>
      </c>
      <c r="M106" s="33"/>
      <c r="N106" s="30">
        <v>16179.98</v>
      </c>
      <c r="O106" s="30">
        <v>9965.5499999999993</v>
      </c>
      <c r="P106" s="30"/>
      <c r="Q106" s="30">
        <f>(N106+O106*0.18+J106)+(IF((P106-O106*0.18)&gt;0,(P106-O106*0.18),0))</f>
        <v>19322.108999999997</v>
      </c>
      <c r="R106" s="7"/>
      <c r="S106" s="7"/>
      <c r="T106" s="7"/>
      <c r="U106" s="7"/>
      <c r="V106" s="7"/>
      <c r="W106" s="7"/>
      <c r="X106" s="7"/>
      <c r="Y106" s="7"/>
      <c r="Z106" s="7"/>
    </row>
    <row r="107" spans="1:26" ht="8.25" customHeight="1" x14ac:dyDescent="0.2">
      <c r="A107" s="534"/>
      <c r="B107" s="534"/>
      <c r="C107" s="34" t="s">
        <v>37</v>
      </c>
      <c r="D107" s="35">
        <v>12</v>
      </c>
      <c r="E107" s="36">
        <v>17387995</v>
      </c>
      <c r="F107" s="36">
        <v>1908000</v>
      </c>
      <c r="G107" s="36">
        <v>0</v>
      </c>
      <c r="H107" s="36">
        <v>12032814</v>
      </c>
      <c r="I107" s="36">
        <v>0</v>
      </c>
      <c r="J107" s="37">
        <v>2610731</v>
      </c>
      <c r="K107" s="36">
        <v>31328810</v>
      </c>
      <c r="L107" s="38">
        <v>33939541</v>
      </c>
      <c r="M107" s="39"/>
      <c r="N107" s="36">
        <v>31328810</v>
      </c>
      <c r="O107" s="36">
        <v>19295995</v>
      </c>
      <c r="P107" s="36">
        <v>0</v>
      </c>
      <c r="Q107" s="36">
        <f>Q106*1936.27</f>
        <v>37412819.993429996</v>
      </c>
      <c r="R107" s="7"/>
      <c r="S107" s="7"/>
      <c r="T107" s="7"/>
      <c r="U107" s="7"/>
      <c r="V107" s="7"/>
      <c r="W107" s="7"/>
      <c r="X107" s="7"/>
      <c r="Y107" s="7"/>
      <c r="Z107" s="7"/>
    </row>
    <row r="108" spans="1:26" ht="12.75" customHeight="1" x14ac:dyDescent="0.2">
      <c r="A108" s="534"/>
      <c r="B108" s="534"/>
      <c r="C108" s="40" t="s">
        <v>36</v>
      </c>
      <c r="D108" s="41">
        <v>13</v>
      </c>
      <c r="E108" s="42">
        <v>9463.56</v>
      </c>
      <c r="F108" s="42">
        <v>1034.98</v>
      </c>
      <c r="G108" s="42">
        <v>0</v>
      </c>
      <c r="H108" s="42">
        <v>6214.43</v>
      </c>
      <c r="I108" s="42">
        <v>0</v>
      </c>
      <c r="J108" s="42">
        <v>1392.75</v>
      </c>
      <c r="K108" s="43">
        <v>16712.97</v>
      </c>
      <c r="L108" s="32">
        <v>18105.72</v>
      </c>
      <c r="M108" s="33"/>
      <c r="N108" s="30">
        <v>16712.97</v>
      </c>
      <c r="O108" s="30">
        <v>10498.54</v>
      </c>
      <c r="P108" s="30"/>
      <c r="Q108" s="30">
        <f>(N108+O108*0.18+J108)+(IF((P108-O108*0.18)&gt;0,(P108-O108*0.18),0))</f>
        <v>19995.457200000001</v>
      </c>
      <c r="R108" s="7"/>
      <c r="S108" s="7"/>
      <c r="T108" s="7"/>
      <c r="U108" s="7"/>
      <c r="V108" s="7"/>
      <c r="W108" s="7"/>
      <c r="X108" s="7"/>
      <c r="Y108" s="7"/>
      <c r="Z108" s="7"/>
    </row>
    <row r="109" spans="1:26" ht="7.5" customHeight="1" x14ac:dyDescent="0.2">
      <c r="A109" s="534"/>
      <c r="B109" s="534"/>
      <c r="C109" s="34" t="s">
        <v>37</v>
      </c>
      <c r="D109" s="35">
        <v>14</v>
      </c>
      <c r="E109" s="36">
        <v>18324007</v>
      </c>
      <c r="F109" s="36">
        <v>2004001</v>
      </c>
      <c r="G109" s="36">
        <v>0</v>
      </c>
      <c r="H109" s="36">
        <v>12032814</v>
      </c>
      <c r="I109" s="36">
        <v>0</v>
      </c>
      <c r="J109" s="37">
        <v>2696740</v>
      </c>
      <c r="K109" s="36">
        <v>32360822</v>
      </c>
      <c r="L109" s="38">
        <v>35057562</v>
      </c>
      <c r="M109" s="39"/>
      <c r="N109" s="36">
        <v>32360822</v>
      </c>
      <c r="O109" s="36">
        <v>20328008</v>
      </c>
      <c r="P109" s="36">
        <v>0</v>
      </c>
      <c r="Q109" s="36">
        <f>Q108*1936.27</f>
        <v>38716603.912643999</v>
      </c>
      <c r="R109" s="7"/>
      <c r="S109" s="7"/>
      <c r="T109" s="7"/>
      <c r="U109" s="7"/>
      <c r="V109" s="7"/>
      <c r="W109" s="7"/>
      <c r="X109" s="7"/>
      <c r="Y109" s="7"/>
      <c r="Z109" s="7"/>
    </row>
    <row r="110" spans="1:26" ht="12.75" customHeight="1" x14ac:dyDescent="0.2">
      <c r="A110" s="534"/>
      <c r="B110" s="534"/>
      <c r="C110" s="40" t="s">
        <v>36</v>
      </c>
      <c r="D110" s="41">
        <v>15</v>
      </c>
      <c r="E110" s="42">
        <v>9940.76</v>
      </c>
      <c r="F110" s="42">
        <v>1090.76</v>
      </c>
      <c r="G110" s="42">
        <v>0</v>
      </c>
      <c r="H110" s="42">
        <v>6214.43</v>
      </c>
      <c r="I110" s="42">
        <v>0</v>
      </c>
      <c r="J110" s="42">
        <v>1437.16</v>
      </c>
      <c r="K110" s="43">
        <v>17245.95</v>
      </c>
      <c r="L110" s="32">
        <v>18683.11</v>
      </c>
      <c r="M110" s="33"/>
      <c r="N110" s="30">
        <v>17245.95</v>
      </c>
      <c r="O110" s="30">
        <v>11031.52</v>
      </c>
      <c r="P110" s="30"/>
      <c r="Q110" s="30">
        <f>(N110+O110*0.18+J110)+(IF((P110-O110*0.18)&gt;0,(P110-O110*0.18),0))</f>
        <v>20668.783599999999</v>
      </c>
      <c r="R110" s="7"/>
      <c r="S110" s="7"/>
      <c r="T110" s="7"/>
      <c r="U110" s="7"/>
      <c r="V110" s="7"/>
      <c r="W110" s="7"/>
      <c r="X110" s="7"/>
      <c r="Y110" s="7"/>
      <c r="Z110" s="7"/>
    </row>
    <row r="111" spans="1:26" ht="7.5" customHeight="1" x14ac:dyDescent="0.2">
      <c r="A111" s="534"/>
      <c r="B111" s="534"/>
      <c r="C111" s="34" t="s">
        <v>37</v>
      </c>
      <c r="D111" s="35">
        <v>16</v>
      </c>
      <c r="E111" s="36">
        <v>19247995</v>
      </c>
      <c r="F111" s="36">
        <v>2112006</v>
      </c>
      <c r="G111" s="36">
        <v>0</v>
      </c>
      <c r="H111" s="36">
        <v>12032814</v>
      </c>
      <c r="I111" s="36">
        <v>0</v>
      </c>
      <c r="J111" s="37">
        <v>2782730</v>
      </c>
      <c r="K111" s="36">
        <v>33392816</v>
      </c>
      <c r="L111" s="38">
        <v>36175545</v>
      </c>
      <c r="M111" s="39"/>
      <c r="N111" s="36">
        <v>33392816</v>
      </c>
      <c r="O111" s="36">
        <v>21360001</v>
      </c>
      <c r="P111" s="36">
        <v>0</v>
      </c>
      <c r="Q111" s="36">
        <f>Q110*1936.27</f>
        <v>40020345.621171996</v>
      </c>
      <c r="R111" s="7"/>
      <c r="S111" s="7"/>
      <c r="T111" s="7"/>
      <c r="U111" s="7"/>
      <c r="V111" s="7"/>
      <c r="W111" s="7"/>
      <c r="X111" s="7"/>
      <c r="Y111" s="7"/>
      <c r="Z111" s="7"/>
    </row>
    <row r="112" spans="1:26" ht="12.75" customHeight="1" x14ac:dyDescent="0.2">
      <c r="A112" s="534"/>
      <c r="B112" s="534"/>
      <c r="C112" s="40" t="s">
        <v>36</v>
      </c>
      <c r="D112" s="41">
        <v>17</v>
      </c>
      <c r="E112" s="42">
        <v>11037.72</v>
      </c>
      <c r="F112" s="42">
        <v>1214.71</v>
      </c>
      <c r="G112" s="42">
        <v>0</v>
      </c>
      <c r="H112" s="42">
        <v>6214.43</v>
      </c>
      <c r="I112" s="42">
        <v>0</v>
      </c>
      <c r="J112" s="42">
        <v>1538.91</v>
      </c>
      <c r="K112" s="43">
        <v>18466.86</v>
      </c>
      <c r="L112" s="32">
        <v>20005.77</v>
      </c>
      <c r="M112" s="33"/>
      <c r="N112" s="30">
        <v>18466.86</v>
      </c>
      <c r="O112" s="30">
        <v>12252.43</v>
      </c>
      <c r="P112" s="30"/>
      <c r="Q112" s="30">
        <f>(N112+O112*0.18+J112)+(IF((P112-O112*0.18)&gt;0,(P112-O112*0.18),0))</f>
        <v>22211.207399999999</v>
      </c>
      <c r="R112" s="7"/>
      <c r="S112" s="7"/>
      <c r="T112" s="7"/>
      <c r="U112" s="7"/>
      <c r="V112" s="7"/>
      <c r="W112" s="7"/>
      <c r="X112" s="7"/>
      <c r="Y112" s="7"/>
      <c r="Z112" s="7"/>
    </row>
    <row r="113" spans="1:26" ht="8.25" customHeight="1" x14ac:dyDescent="0.2">
      <c r="A113" s="534"/>
      <c r="B113" s="534"/>
      <c r="C113" s="34" t="s">
        <v>37</v>
      </c>
      <c r="D113" s="35">
        <v>17</v>
      </c>
      <c r="E113" s="36">
        <v>21372006</v>
      </c>
      <c r="F113" s="36">
        <v>2352007</v>
      </c>
      <c r="G113" s="36">
        <v>0</v>
      </c>
      <c r="H113" s="36">
        <v>12032814</v>
      </c>
      <c r="I113" s="36">
        <v>0</v>
      </c>
      <c r="J113" s="37">
        <v>2979745</v>
      </c>
      <c r="K113" s="36">
        <v>35756827</v>
      </c>
      <c r="L113" s="38">
        <v>38736572</v>
      </c>
      <c r="M113" s="39"/>
      <c r="N113" s="36">
        <v>35756827</v>
      </c>
      <c r="O113" s="36">
        <v>23724013</v>
      </c>
      <c r="P113" s="36">
        <v>0</v>
      </c>
      <c r="Q113" s="36">
        <f>Q112*1936.27</f>
        <v>43006894.552397996</v>
      </c>
      <c r="R113" s="7"/>
      <c r="S113" s="7"/>
      <c r="T113" s="7"/>
      <c r="U113" s="7"/>
      <c r="V113" s="7"/>
      <c r="W113" s="7"/>
      <c r="X113" s="7"/>
      <c r="Y113" s="7"/>
      <c r="Z113" s="7"/>
    </row>
    <row r="114" spans="1:26" ht="12.75" customHeight="1" x14ac:dyDescent="0.2">
      <c r="A114" s="534"/>
      <c r="B114" s="534"/>
      <c r="C114" s="40" t="s">
        <v>36</v>
      </c>
      <c r="D114" s="41">
        <v>18</v>
      </c>
      <c r="E114" s="42">
        <v>11347.59</v>
      </c>
      <c r="F114" s="42">
        <v>1245.69</v>
      </c>
      <c r="G114" s="42">
        <v>0</v>
      </c>
      <c r="H114" s="42">
        <v>6214.43</v>
      </c>
      <c r="I114" s="42">
        <v>0</v>
      </c>
      <c r="J114" s="42">
        <v>1567.31</v>
      </c>
      <c r="K114" s="43">
        <v>18807.71</v>
      </c>
      <c r="L114" s="32">
        <v>20375.02</v>
      </c>
      <c r="M114" s="33"/>
      <c r="N114" s="30">
        <v>18807.71</v>
      </c>
      <c r="O114" s="30">
        <v>12593.28</v>
      </c>
      <c r="P114" s="30"/>
      <c r="Q114" s="30">
        <f>(N114+O114*0.18+J114)+(IF((P114-O114*0.18)&gt;0,(P114-O114*0.18),0))</f>
        <v>22641.810399999998</v>
      </c>
      <c r="R114" s="7"/>
      <c r="S114" s="7"/>
      <c r="T114" s="7"/>
      <c r="U114" s="7"/>
      <c r="V114" s="7"/>
      <c r="W114" s="7"/>
      <c r="X114" s="7"/>
      <c r="Y114" s="7"/>
      <c r="Z114" s="7"/>
    </row>
    <row r="115" spans="1:26" ht="7.5" customHeight="1" x14ac:dyDescent="0.2">
      <c r="A115" s="534"/>
      <c r="B115" s="534"/>
      <c r="C115" s="34" t="s">
        <v>37</v>
      </c>
      <c r="D115" s="35">
        <v>19</v>
      </c>
      <c r="E115" s="36">
        <v>21971998</v>
      </c>
      <c r="F115" s="36">
        <v>2411992</v>
      </c>
      <c r="G115" s="36">
        <v>0</v>
      </c>
      <c r="H115" s="36">
        <v>12032814</v>
      </c>
      <c r="I115" s="36">
        <v>0</v>
      </c>
      <c r="J115" s="37">
        <v>3034735</v>
      </c>
      <c r="K115" s="36">
        <v>36416805</v>
      </c>
      <c r="L115" s="38">
        <v>39451540</v>
      </c>
      <c r="M115" s="39"/>
      <c r="N115" s="36">
        <v>36416805</v>
      </c>
      <c r="O115" s="36">
        <v>24383990</v>
      </c>
      <c r="P115" s="36">
        <v>0</v>
      </c>
      <c r="Q115" s="36">
        <f>Q114*1936.27</f>
        <v>43840658.223207995</v>
      </c>
      <c r="R115" s="7"/>
      <c r="S115" s="7"/>
      <c r="T115" s="7"/>
      <c r="U115" s="7"/>
      <c r="V115" s="7"/>
      <c r="W115" s="7"/>
      <c r="X115" s="7"/>
      <c r="Y115" s="7"/>
      <c r="Z115" s="7"/>
    </row>
    <row r="116" spans="1:26" ht="12.75" customHeight="1" x14ac:dyDescent="0.2">
      <c r="A116" s="534"/>
      <c r="B116" s="534"/>
      <c r="C116" s="40" t="s">
        <v>36</v>
      </c>
      <c r="D116" s="41">
        <v>20</v>
      </c>
      <c r="E116" s="42">
        <v>11731.83</v>
      </c>
      <c r="F116" s="42">
        <v>1289.08</v>
      </c>
      <c r="G116" s="42">
        <v>0</v>
      </c>
      <c r="H116" s="42">
        <v>6214.43</v>
      </c>
      <c r="I116" s="42">
        <v>0</v>
      </c>
      <c r="J116" s="42">
        <v>1602.95</v>
      </c>
      <c r="K116" s="43">
        <v>19235.34</v>
      </c>
      <c r="L116" s="32">
        <v>20838.29</v>
      </c>
      <c r="M116" s="33"/>
      <c r="N116" s="30">
        <v>19235.34</v>
      </c>
      <c r="O116" s="30">
        <v>13020.91</v>
      </c>
      <c r="P116" s="30"/>
      <c r="Q116" s="30">
        <f>(N116+O116*0.18+J116)+(IF((P116-O116*0.18)&gt;0,(P116-O116*0.18),0))</f>
        <v>23182.053800000002</v>
      </c>
      <c r="R116" s="7"/>
      <c r="S116" s="7"/>
      <c r="T116" s="7"/>
      <c r="U116" s="7"/>
      <c r="V116" s="7"/>
      <c r="W116" s="7"/>
      <c r="X116" s="7"/>
      <c r="Y116" s="7"/>
      <c r="Z116" s="7"/>
    </row>
    <row r="117" spans="1:26" ht="6.75" customHeight="1" x14ac:dyDescent="0.2">
      <c r="A117" s="534"/>
      <c r="B117" s="534"/>
      <c r="C117" s="34" t="s">
        <v>37</v>
      </c>
      <c r="D117" s="35">
        <v>21</v>
      </c>
      <c r="E117" s="36">
        <v>22715990</v>
      </c>
      <c r="F117" s="36">
        <v>2496007</v>
      </c>
      <c r="G117" s="36">
        <v>0</v>
      </c>
      <c r="H117" s="36">
        <v>12032814</v>
      </c>
      <c r="I117" s="36">
        <v>0</v>
      </c>
      <c r="J117" s="37">
        <v>3103744</v>
      </c>
      <c r="K117" s="36">
        <v>37244812</v>
      </c>
      <c r="L117" s="38">
        <v>40348556</v>
      </c>
      <c r="M117" s="39"/>
      <c r="N117" s="36">
        <v>37244812</v>
      </c>
      <c r="O117" s="36">
        <v>25211997</v>
      </c>
      <c r="P117" s="36">
        <v>0</v>
      </c>
      <c r="Q117" s="36">
        <f>Q116*1936.27</f>
        <v>44886715.311326005</v>
      </c>
      <c r="R117" s="7"/>
      <c r="S117" s="7"/>
      <c r="T117" s="7"/>
      <c r="U117" s="7"/>
      <c r="V117" s="7"/>
      <c r="W117" s="7"/>
      <c r="X117" s="7"/>
      <c r="Y117" s="7"/>
      <c r="Z117" s="7"/>
    </row>
    <row r="118" spans="1:26" ht="12.75" customHeight="1" x14ac:dyDescent="0.2">
      <c r="A118" s="534"/>
      <c r="B118" s="534"/>
      <c r="C118" s="40" t="s">
        <v>36</v>
      </c>
      <c r="D118" s="41">
        <v>22</v>
      </c>
      <c r="E118" s="42">
        <v>11979.73</v>
      </c>
      <c r="F118" s="42">
        <v>1313.87</v>
      </c>
      <c r="G118" s="42">
        <v>0</v>
      </c>
      <c r="H118" s="42">
        <v>6214.43</v>
      </c>
      <c r="I118" s="42">
        <v>0</v>
      </c>
      <c r="J118" s="42">
        <v>1625.67</v>
      </c>
      <c r="K118" s="43">
        <v>19508.03</v>
      </c>
      <c r="L118" s="32">
        <v>21133.7</v>
      </c>
      <c r="M118" s="33"/>
      <c r="N118" s="30">
        <v>19508.03</v>
      </c>
      <c r="O118" s="30">
        <v>13293.6</v>
      </c>
      <c r="P118" s="30"/>
      <c r="Q118" s="30">
        <f>(N118+O118*0.18+J118)+(IF((P118-O118*0.18)&gt;0,(P118-O118*0.18),0))</f>
        <v>23526.547999999995</v>
      </c>
      <c r="R118" s="7"/>
      <c r="S118" s="7"/>
      <c r="T118" s="7"/>
      <c r="U118" s="7"/>
      <c r="V118" s="7"/>
      <c r="W118" s="7"/>
      <c r="X118" s="7"/>
      <c r="Y118" s="7"/>
      <c r="Z118" s="7"/>
    </row>
    <row r="119" spans="1:26" ht="8.25" customHeight="1" x14ac:dyDescent="0.2">
      <c r="A119" s="534"/>
      <c r="B119" s="534"/>
      <c r="C119" s="34" t="s">
        <v>37</v>
      </c>
      <c r="D119" s="35">
        <v>23</v>
      </c>
      <c r="E119" s="36">
        <v>23195992</v>
      </c>
      <c r="F119" s="36">
        <v>2544007</v>
      </c>
      <c r="G119" s="36">
        <v>0</v>
      </c>
      <c r="H119" s="36">
        <v>12032814</v>
      </c>
      <c r="I119" s="36">
        <v>0</v>
      </c>
      <c r="J119" s="37">
        <v>3147736</v>
      </c>
      <c r="K119" s="36">
        <v>37772813</v>
      </c>
      <c r="L119" s="38">
        <v>40920549</v>
      </c>
      <c r="M119" s="39"/>
      <c r="N119" s="36">
        <v>37772813</v>
      </c>
      <c r="O119" s="36">
        <v>25739999</v>
      </c>
      <c r="P119" s="36">
        <v>0</v>
      </c>
      <c r="Q119" s="36">
        <f>Q118*1936.27</f>
        <v>45553749.095959991</v>
      </c>
      <c r="R119" s="7"/>
      <c r="S119" s="7"/>
      <c r="T119" s="7"/>
      <c r="U119" s="7"/>
      <c r="V119" s="7"/>
      <c r="W119" s="7"/>
      <c r="X119" s="7"/>
      <c r="Y119" s="7"/>
      <c r="Z119" s="7"/>
    </row>
    <row r="120" spans="1:26" ht="12.75" customHeight="1" x14ac:dyDescent="0.2">
      <c r="A120" s="534"/>
      <c r="B120" s="534"/>
      <c r="C120" s="40" t="s">
        <v>36</v>
      </c>
      <c r="D120" s="41">
        <v>24</v>
      </c>
      <c r="E120" s="42">
        <v>12295.81</v>
      </c>
      <c r="F120" s="42">
        <v>1351.05</v>
      </c>
      <c r="G120" s="42">
        <v>0</v>
      </c>
      <c r="H120" s="42">
        <v>6214.43</v>
      </c>
      <c r="I120" s="42">
        <v>0</v>
      </c>
      <c r="J120" s="42">
        <v>1655.11</v>
      </c>
      <c r="K120" s="43">
        <v>19861.29</v>
      </c>
      <c r="L120" s="32">
        <v>21516.400000000001</v>
      </c>
      <c r="M120" s="33"/>
      <c r="N120" s="30">
        <v>19861.29</v>
      </c>
      <c r="O120" s="30">
        <v>13646.86</v>
      </c>
      <c r="P120" s="30"/>
      <c r="Q120" s="30">
        <f>(N120+O120*0.18+J120)+(IF((P120-O120*0.18)&gt;0,(P120-O120*0.18),0))</f>
        <v>23972.834800000001</v>
      </c>
      <c r="R120" s="7"/>
      <c r="S120" s="7"/>
      <c r="T120" s="7"/>
      <c r="U120" s="7"/>
      <c r="V120" s="7"/>
      <c r="W120" s="7"/>
      <c r="X120" s="7"/>
      <c r="Y120" s="7"/>
      <c r="Z120" s="7"/>
    </row>
    <row r="121" spans="1:26" ht="7.5" customHeight="1" x14ac:dyDescent="0.2">
      <c r="A121" s="534"/>
      <c r="B121" s="534"/>
      <c r="C121" s="34" t="s">
        <v>37</v>
      </c>
      <c r="D121" s="35">
        <v>25</v>
      </c>
      <c r="E121" s="36">
        <v>23808008</v>
      </c>
      <c r="F121" s="36">
        <v>2615998</v>
      </c>
      <c r="G121" s="36">
        <v>0</v>
      </c>
      <c r="H121" s="36">
        <v>12032814</v>
      </c>
      <c r="I121" s="36">
        <v>0</v>
      </c>
      <c r="J121" s="37">
        <v>3204740</v>
      </c>
      <c r="K121" s="36">
        <v>38456820</v>
      </c>
      <c r="L121" s="38">
        <v>41661560</v>
      </c>
      <c r="M121" s="39"/>
      <c r="N121" s="36">
        <v>38456820</v>
      </c>
      <c r="O121" s="36">
        <v>26424006</v>
      </c>
      <c r="P121" s="36">
        <v>0</v>
      </c>
      <c r="Q121" s="36">
        <f>Q120*1936.27</f>
        <v>46417880.838196002</v>
      </c>
      <c r="R121" s="7"/>
      <c r="S121" s="7"/>
      <c r="T121" s="7"/>
      <c r="U121" s="7"/>
      <c r="V121" s="7"/>
      <c r="W121" s="7"/>
      <c r="X121" s="7"/>
      <c r="Y121" s="7"/>
      <c r="Z121" s="7"/>
    </row>
    <row r="122" spans="1:26" ht="12.75" customHeight="1" x14ac:dyDescent="0.2">
      <c r="A122" s="534"/>
      <c r="B122" s="534"/>
      <c r="C122" s="40" t="s">
        <v>36</v>
      </c>
      <c r="D122" s="41">
        <v>26</v>
      </c>
      <c r="E122" s="42">
        <v>12605.68</v>
      </c>
      <c r="F122" s="42">
        <v>1382.04</v>
      </c>
      <c r="G122" s="42">
        <v>0</v>
      </c>
      <c r="H122" s="42">
        <v>6214.43</v>
      </c>
      <c r="I122" s="42">
        <v>0</v>
      </c>
      <c r="J122" s="42">
        <v>1683.51</v>
      </c>
      <c r="K122" s="43">
        <v>20202.150000000001</v>
      </c>
      <c r="L122" s="32">
        <v>21885.66</v>
      </c>
      <c r="M122" s="33"/>
      <c r="N122" s="30">
        <v>20202.150000000001</v>
      </c>
      <c r="O122" s="30">
        <v>13987.72</v>
      </c>
      <c r="P122" s="30"/>
      <c r="Q122" s="30">
        <f>(N122+O122*0.18+J122)+(IF((P122-O122*0.18)&gt;0,(P122-O122*0.18),0))</f>
        <v>24403.4496</v>
      </c>
      <c r="R122" s="7"/>
      <c r="S122" s="7"/>
      <c r="T122" s="7"/>
      <c r="U122" s="7"/>
      <c r="V122" s="7"/>
      <c r="W122" s="7"/>
      <c r="X122" s="7"/>
      <c r="Y122" s="7"/>
      <c r="Z122" s="7"/>
    </row>
    <row r="123" spans="1:26" ht="8.25" customHeight="1" x14ac:dyDescent="0.2">
      <c r="A123" s="534"/>
      <c r="B123" s="534"/>
      <c r="C123" s="34" t="s">
        <v>37</v>
      </c>
      <c r="D123" s="35">
        <v>27</v>
      </c>
      <c r="E123" s="36">
        <v>24408000</v>
      </c>
      <c r="F123" s="36">
        <v>2676003</v>
      </c>
      <c r="G123" s="36">
        <v>0</v>
      </c>
      <c r="H123" s="36">
        <v>12032814</v>
      </c>
      <c r="I123" s="36">
        <v>0</v>
      </c>
      <c r="J123" s="37">
        <v>3259730</v>
      </c>
      <c r="K123" s="36">
        <v>39116817</v>
      </c>
      <c r="L123" s="38">
        <v>42376547</v>
      </c>
      <c r="M123" s="39"/>
      <c r="N123" s="36">
        <v>39116817</v>
      </c>
      <c r="O123" s="36">
        <v>27084003</v>
      </c>
      <c r="P123" s="36">
        <v>0</v>
      </c>
      <c r="Q123" s="36">
        <f>Q122*1936.27</f>
        <v>47251667.356991999</v>
      </c>
      <c r="R123" s="7"/>
      <c r="S123" s="7"/>
      <c r="T123" s="7"/>
      <c r="U123" s="7"/>
      <c r="V123" s="7"/>
      <c r="W123" s="7"/>
      <c r="X123" s="7"/>
      <c r="Y123" s="7"/>
      <c r="Z123" s="7"/>
    </row>
    <row r="124" spans="1:26" ht="12.75" customHeight="1" x14ac:dyDescent="0.2">
      <c r="A124" s="534"/>
      <c r="B124" s="534"/>
      <c r="C124" s="40" t="s">
        <v>36</v>
      </c>
      <c r="D124" s="41">
        <v>28</v>
      </c>
      <c r="E124" s="42">
        <v>12909.36</v>
      </c>
      <c r="F124" s="42">
        <v>1419.22</v>
      </c>
      <c r="G124" s="42">
        <v>0</v>
      </c>
      <c r="H124" s="42">
        <v>6214.43</v>
      </c>
      <c r="I124" s="42">
        <v>0</v>
      </c>
      <c r="J124" s="42">
        <v>1711.92</v>
      </c>
      <c r="K124" s="43">
        <v>20543.009999999998</v>
      </c>
      <c r="L124" s="32">
        <v>22254.93</v>
      </c>
      <c r="M124" s="33"/>
      <c r="N124" s="30">
        <v>20543.009999999998</v>
      </c>
      <c r="O124" s="30">
        <v>14328.58</v>
      </c>
      <c r="P124" s="30"/>
      <c r="Q124" s="30">
        <f>(N124+O124*0.18+J124)+(IF((P124-O124*0.18)&gt;0,(P124-O124*0.18),0))</f>
        <v>24834.074399999998</v>
      </c>
      <c r="R124" s="7"/>
      <c r="S124" s="7"/>
      <c r="T124" s="7"/>
      <c r="U124" s="7"/>
      <c r="V124" s="7"/>
      <c r="W124" s="7"/>
      <c r="X124" s="7"/>
      <c r="Y124" s="7"/>
      <c r="Z124" s="7"/>
    </row>
    <row r="125" spans="1:26" ht="9" customHeight="1" x14ac:dyDescent="0.2">
      <c r="A125" s="534"/>
      <c r="B125" s="534"/>
      <c r="C125" s="34" t="s">
        <v>37</v>
      </c>
      <c r="D125" s="35">
        <v>29</v>
      </c>
      <c r="E125" s="36">
        <v>24996006</v>
      </c>
      <c r="F125" s="36">
        <v>2747993</v>
      </c>
      <c r="G125" s="36">
        <v>0</v>
      </c>
      <c r="H125" s="36">
        <v>12032814</v>
      </c>
      <c r="I125" s="36">
        <v>0</v>
      </c>
      <c r="J125" s="37">
        <v>3314739</v>
      </c>
      <c r="K125" s="36">
        <v>39776814</v>
      </c>
      <c r="L125" s="38">
        <v>43091553</v>
      </c>
      <c r="M125" s="39"/>
      <c r="N125" s="36">
        <v>39776814</v>
      </c>
      <c r="O125" s="36">
        <v>27744000</v>
      </c>
      <c r="P125" s="36">
        <v>0</v>
      </c>
      <c r="Q125" s="36">
        <f>Q124*1936.27</f>
        <v>48085473.238487996</v>
      </c>
      <c r="R125" s="7"/>
      <c r="S125" s="7"/>
      <c r="T125" s="7"/>
      <c r="U125" s="7"/>
      <c r="V125" s="7"/>
      <c r="W125" s="7"/>
      <c r="X125" s="7"/>
      <c r="Y125" s="7"/>
      <c r="Z125" s="7"/>
    </row>
    <row r="126" spans="1:26" ht="12.75" customHeight="1" x14ac:dyDescent="0.2">
      <c r="A126" s="534"/>
      <c r="B126" s="534"/>
      <c r="C126" s="40" t="s">
        <v>36</v>
      </c>
      <c r="D126" s="41">
        <v>30</v>
      </c>
      <c r="E126" s="42">
        <v>13225.43</v>
      </c>
      <c r="F126" s="42">
        <v>1450.21</v>
      </c>
      <c r="G126" s="42">
        <v>0</v>
      </c>
      <c r="H126" s="42">
        <v>6214.43</v>
      </c>
      <c r="I126" s="42">
        <v>0</v>
      </c>
      <c r="J126" s="42">
        <v>1740.84</v>
      </c>
      <c r="K126" s="43">
        <v>20890.07</v>
      </c>
      <c r="L126" s="32">
        <v>22630.91</v>
      </c>
      <c r="M126" s="33"/>
      <c r="N126" s="30">
        <v>20890.07</v>
      </c>
      <c r="O126" s="30">
        <v>14675.64</v>
      </c>
      <c r="P126" s="30"/>
      <c r="Q126" s="30">
        <f>(N126+O126*0.18+J126)+(IF((P126-O126*0.18)&gt;0,(P126-O126*0.18),0))</f>
        <v>25272.5252</v>
      </c>
      <c r="R126" s="7"/>
      <c r="S126" s="7"/>
      <c r="T126" s="7"/>
      <c r="U126" s="7"/>
      <c r="V126" s="7"/>
      <c r="W126" s="7"/>
      <c r="X126" s="7"/>
      <c r="Y126" s="7"/>
      <c r="Z126" s="7"/>
    </row>
    <row r="127" spans="1:26" ht="9" customHeight="1" x14ac:dyDescent="0.2">
      <c r="A127" s="534"/>
      <c r="B127" s="534"/>
      <c r="C127" s="34" t="s">
        <v>37</v>
      </c>
      <c r="D127" s="35">
        <v>31</v>
      </c>
      <c r="E127" s="36">
        <v>25608003</v>
      </c>
      <c r="F127" s="36">
        <v>2807998</v>
      </c>
      <c r="G127" s="36">
        <v>0</v>
      </c>
      <c r="H127" s="36">
        <v>12032814</v>
      </c>
      <c r="I127" s="36">
        <v>0</v>
      </c>
      <c r="J127" s="37">
        <v>3370736</v>
      </c>
      <c r="K127" s="36">
        <v>40448816</v>
      </c>
      <c r="L127" s="38">
        <v>43819552</v>
      </c>
      <c r="M127" s="39"/>
      <c r="N127" s="36">
        <v>40448816</v>
      </c>
      <c r="O127" s="36">
        <v>28416001</v>
      </c>
      <c r="P127" s="36">
        <v>0</v>
      </c>
      <c r="Q127" s="36">
        <f>Q126*1936.27</f>
        <v>48934432.369003996</v>
      </c>
      <c r="R127" s="7"/>
      <c r="S127" s="7"/>
      <c r="T127" s="7"/>
      <c r="U127" s="7"/>
      <c r="V127" s="7"/>
      <c r="W127" s="7"/>
      <c r="X127" s="7"/>
      <c r="Y127" s="7"/>
      <c r="Z127" s="7"/>
    </row>
    <row r="128" spans="1:26" ht="12.75" customHeight="1" x14ac:dyDescent="0.2">
      <c r="A128" s="534"/>
      <c r="B128" s="534"/>
      <c r="C128" s="40" t="s">
        <v>36</v>
      </c>
      <c r="D128" s="41">
        <v>32</v>
      </c>
      <c r="E128" s="42">
        <v>13535.3</v>
      </c>
      <c r="F128" s="42">
        <v>1487.4</v>
      </c>
      <c r="G128" s="42">
        <v>0</v>
      </c>
      <c r="H128" s="42">
        <v>6214.43</v>
      </c>
      <c r="I128" s="42">
        <v>0</v>
      </c>
      <c r="J128" s="42">
        <v>1769.76</v>
      </c>
      <c r="K128" s="43">
        <v>21237.13</v>
      </c>
      <c r="L128" s="32">
        <v>23006.89</v>
      </c>
      <c r="M128" s="33"/>
      <c r="N128" s="30">
        <v>21237.13</v>
      </c>
      <c r="O128" s="30">
        <v>15022.7</v>
      </c>
      <c r="P128" s="30"/>
      <c r="Q128" s="30">
        <f>(N128+O128*0.18+J128)+(IF((P128-O128*0.18)&gt;0,(P128-O128*0.18),0))</f>
        <v>25710.975999999999</v>
      </c>
      <c r="R128" s="7"/>
      <c r="S128" s="7"/>
      <c r="T128" s="7"/>
      <c r="U128" s="7"/>
      <c r="V128" s="7"/>
      <c r="W128" s="7"/>
      <c r="X128" s="7"/>
      <c r="Y128" s="7"/>
      <c r="Z128" s="7"/>
    </row>
    <row r="129" spans="1:26" ht="9" customHeight="1" x14ac:dyDescent="0.2">
      <c r="A129" s="534"/>
      <c r="B129" s="534"/>
      <c r="C129" s="34" t="s">
        <v>37</v>
      </c>
      <c r="D129" s="35">
        <v>33</v>
      </c>
      <c r="E129" s="36">
        <v>26207995</v>
      </c>
      <c r="F129" s="36">
        <v>2880008</v>
      </c>
      <c r="G129" s="36">
        <v>0</v>
      </c>
      <c r="H129" s="36">
        <v>12032814</v>
      </c>
      <c r="I129" s="36">
        <v>0</v>
      </c>
      <c r="J129" s="37">
        <v>3426733</v>
      </c>
      <c r="K129" s="36">
        <v>41120818</v>
      </c>
      <c r="L129" s="38">
        <v>44547551</v>
      </c>
      <c r="M129" s="39"/>
      <c r="N129" s="36">
        <v>41120818</v>
      </c>
      <c r="O129" s="36">
        <v>29088003</v>
      </c>
      <c r="P129" s="36">
        <v>0</v>
      </c>
      <c r="Q129" s="36">
        <f>Q128*1936.27</f>
        <v>49783391.499519996</v>
      </c>
      <c r="R129" s="7"/>
      <c r="S129" s="7"/>
      <c r="T129" s="7"/>
      <c r="U129" s="7"/>
      <c r="V129" s="7"/>
      <c r="W129" s="7"/>
      <c r="X129" s="7"/>
      <c r="Y129" s="7"/>
      <c r="Z129" s="7"/>
    </row>
    <row r="130" spans="1:26" ht="12.75" customHeight="1" x14ac:dyDescent="0.2">
      <c r="A130" s="534"/>
      <c r="B130" s="534"/>
      <c r="C130" s="40" t="s">
        <v>36</v>
      </c>
      <c r="D130" s="41">
        <v>34</v>
      </c>
      <c r="E130" s="42">
        <v>13851.37</v>
      </c>
      <c r="F130" s="42">
        <v>1518.38</v>
      </c>
      <c r="G130" s="42">
        <v>0</v>
      </c>
      <c r="H130" s="42">
        <v>6214.43</v>
      </c>
      <c r="I130" s="42">
        <v>0</v>
      </c>
      <c r="J130" s="42">
        <v>1798.68</v>
      </c>
      <c r="K130" s="43">
        <v>21584.18</v>
      </c>
      <c r="L130" s="32">
        <v>23382.86</v>
      </c>
      <c r="M130" s="33"/>
      <c r="N130" s="30">
        <v>21584.18</v>
      </c>
      <c r="O130" s="30">
        <v>15369.75</v>
      </c>
      <c r="P130" s="30"/>
      <c r="Q130" s="30">
        <f>(N130+O130*0.18+J130)+(IF((P130-O130*0.18)&gt;0,(P130-O130*0.18),0))</f>
        <v>26149.415000000001</v>
      </c>
      <c r="R130" s="7"/>
      <c r="S130" s="7"/>
      <c r="T130" s="7"/>
      <c r="U130" s="7"/>
      <c r="V130" s="7"/>
      <c r="W130" s="7"/>
      <c r="X130" s="7"/>
      <c r="Y130" s="7"/>
      <c r="Z130" s="7"/>
    </row>
    <row r="131" spans="1:26" ht="9" customHeight="1" x14ac:dyDescent="0.2">
      <c r="A131" s="534"/>
      <c r="B131" s="534"/>
      <c r="C131" s="34" t="s">
        <v>37</v>
      </c>
      <c r="D131" s="35">
        <v>35</v>
      </c>
      <c r="E131" s="36">
        <v>26819992</v>
      </c>
      <c r="F131" s="36">
        <v>2939994</v>
      </c>
      <c r="G131" s="36">
        <v>0</v>
      </c>
      <c r="H131" s="36">
        <v>12032814</v>
      </c>
      <c r="I131" s="36">
        <v>0</v>
      </c>
      <c r="J131" s="37">
        <v>3482730</v>
      </c>
      <c r="K131" s="36">
        <v>41792800</v>
      </c>
      <c r="L131" s="38">
        <v>45275530</v>
      </c>
      <c r="M131" s="39"/>
      <c r="N131" s="36">
        <v>41792800</v>
      </c>
      <c r="O131" s="36">
        <v>29759986</v>
      </c>
      <c r="P131" s="36">
        <v>0</v>
      </c>
      <c r="Q131" s="36">
        <f>Q130*1936.27</f>
        <v>50632327.782049999</v>
      </c>
      <c r="R131" s="7"/>
      <c r="S131" s="7"/>
      <c r="T131" s="7"/>
      <c r="U131" s="7"/>
      <c r="V131" s="7"/>
      <c r="W131" s="7"/>
      <c r="X131" s="7"/>
      <c r="Y131" s="7"/>
      <c r="Z131" s="7"/>
    </row>
    <row r="132" spans="1:26" ht="12.75" customHeight="1" x14ac:dyDescent="0.2">
      <c r="A132" s="534"/>
      <c r="B132" s="534"/>
      <c r="C132" s="40" t="s">
        <v>36</v>
      </c>
      <c r="D132" s="41">
        <v>36</v>
      </c>
      <c r="E132" s="42">
        <v>14161.25</v>
      </c>
      <c r="F132" s="42">
        <v>1555.57</v>
      </c>
      <c r="G132" s="42">
        <v>0</v>
      </c>
      <c r="H132" s="42">
        <v>6214.43</v>
      </c>
      <c r="I132" s="42">
        <v>0</v>
      </c>
      <c r="J132" s="42">
        <v>1827.6</v>
      </c>
      <c r="K132" s="43">
        <v>21931.25</v>
      </c>
      <c r="L132" s="32">
        <v>23758.85</v>
      </c>
      <c r="M132" s="33"/>
      <c r="N132" s="30">
        <v>21931.25</v>
      </c>
      <c r="O132" s="30">
        <v>15716.82</v>
      </c>
      <c r="P132" s="30"/>
      <c r="Q132" s="30">
        <f>(N132+O132*0.18+J132)+(IF((P132-O132*0.18)&gt;0,(P132-O132*0.18),0))</f>
        <v>26587.8776</v>
      </c>
      <c r="R132" s="7"/>
      <c r="S132" s="7"/>
      <c r="T132" s="7"/>
      <c r="U132" s="7"/>
      <c r="V132" s="7"/>
      <c r="W132" s="7"/>
      <c r="X132" s="7"/>
      <c r="Y132" s="7"/>
      <c r="Z132" s="7"/>
    </row>
    <row r="133" spans="1:26" ht="9" customHeight="1" x14ac:dyDescent="0.2">
      <c r="A133" s="534"/>
      <c r="B133" s="534"/>
      <c r="C133" s="34" t="s">
        <v>37</v>
      </c>
      <c r="D133" s="35">
        <v>37</v>
      </c>
      <c r="E133" s="36">
        <v>27420004</v>
      </c>
      <c r="F133" s="36">
        <v>3012004</v>
      </c>
      <c r="G133" s="36">
        <v>0</v>
      </c>
      <c r="H133" s="36">
        <v>12032814</v>
      </c>
      <c r="I133" s="36">
        <v>0</v>
      </c>
      <c r="J133" s="37">
        <v>3538727</v>
      </c>
      <c r="K133" s="36">
        <v>42464821</v>
      </c>
      <c r="L133" s="38">
        <v>46003548</v>
      </c>
      <c r="M133" s="39"/>
      <c r="N133" s="36">
        <v>42464821</v>
      </c>
      <c r="O133" s="36">
        <v>30432007</v>
      </c>
      <c r="P133" s="36">
        <v>0</v>
      </c>
      <c r="Q133" s="36">
        <f>Q132*1936.27</f>
        <v>51481309.760551997</v>
      </c>
      <c r="R133" s="7"/>
      <c r="S133" s="7"/>
      <c r="T133" s="7"/>
      <c r="U133" s="7"/>
      <c r="V133" s="7"/>
      <c r="W133" s="7"/>
      <c r="X133" s="7"/>
      <c r="Y133" s="7"/>
      <c r="Z133" s="7"/>
    </row>
    <row r="134" spans="1:26" ht="9" customHeight="1" x14ac:dyDescent="0.2">
      <c r="A134" s="534"/>
      <c r="B134" s="534"/>
      <c r="C134" s="44" t="s">
        <v>36</v>
      </c>
      <c r="D134" s="45">
        <v>38</v>
      </c>
      <c r="E134" s="42">
        <v>14471.12</v>
      </c>
      <c r="F134" s="42">
        <v>1586.56</v>
      </c>
      <c r="G134" s="42">
        <v>0</v>
      </c>
      <c r="H134" s="42">
        <v>6214.43</v>
      </c>
      <c r="I134" s="42">
        <v>0</v>
      </c>
      <c r="J134" s="42">
        <v>1856.01</v>
      </c>
      <c r="K134" s="43">
        <v>22272.11</v>
      </c>
      <c r="L134" s="32">
        <v>24128.12</v>
      </c>
      <c r="M134" s="33"/>
      <c r="N134" s="30">
        <v>22272.11</v>
      </c>
      <c r="O134" s="30">
        <v>16057.68</v>
      </c>
      <c r="P134" s="30"/>
      <c r="Q134" s="30">
        <f>(N134+O134*0.18+J134)+(IF((P134-O134*0.18)&gt;0,(P134-O134*0.18),0))</f>
        <v>27018.502399999998</v>
      </c>
      <c r="R134" s="7"/>
      <c r="S134" s="7"/>
      <c r="T134" s="7"/>
      <c r="U134" s="7"/>
      <c r="V134" s="7"/>
      <c r="W134" s="7"/>
      <c r="X134" s="7"/>
      <c r="Y134" s="7"/>
      <c r="Z134" s="7"/>
    </row>
    <row r="135" spans="1:26" ht="9" customHeight="1" x14ac:dyDescent="0.2">
      <c r="A135" s="534"/>
      <c r="B135" s="534"/>
      <c r="C135" s="44" t="s">
        <v>37</v>
      </c>
      <c r="D135" s="45">
        <v>39</v>
      </c>
      <c r="E135" s="36">
        <v>28019996</v>
      </c>
      <c r="F135" s="36">
        <v>3072009</v>
      </c>
      <c r="G135" s="36">
        <v>0</v>
      </c>
      <c r="H135" s="36">
        <v>12032814</v>
      </c>
      <c r="I135" s="36">
        <v>0</v>
      </c>
      <c r="J135" s="37">
        <v>3593736</v>
      </c>
      <c r="K135" s="36">
        <v>43124818</v>
      </c>
      <c r="L135" s="38">
        <v>46718555</v>
      </c>
      <c r="M135" s="39"/>
      <c r="N135" s="46">
        <v>43124818</v>
      </c>
      <c r="O135" s="46">
        <v>31092004</v>
      </c>
      <c r="P135" s="46">
        <v>0</v>
      </c>
      <c r="Q135" s="36">
        <f>Q134*1936.27</f>
        <v>52315115.642047994</v>
      </c>
      <c r="R135" s="7"/>
      <c r="S135" s="7"/>
      <c r="T135" s="7"/>
      <c r="U135" s="7"/>
      <c r="V135" s="7"/>
      <c r="W135" s="7"/>
      <c r="X135" s="7"/>
      <c r="Y135" s="7"/>
      <c r="Z135" s="7"/>
    </row>
    <row r="136" spans="1:26" ht="12.75" customHeight="1" x14ac:dyDescent="0.2">
      <c r="A136" s="534"/>
      <c r="B136" s="534"/>
      <c r="C136" s="40" t="s">
        <v>36</v>
      </c>
      <c r="D136" s="41">
        <v>40</v>
      </c>
      <c r="E136" s="42">
        <v>14781</v>
      </c>
      <c r="F136" s="42">
        <v>1623.74</v>
      </c>
      <c r="G136" s="42">
        <v>0</v>
      </c>
      <c r="H136" s="42">
        <v>6214.43</v>
      </c>
      <c r="I136" s="42">
        <v>0</v>
      </c>
      <c r="J136" s="42">
        <v>1884.93</v>
      </c>
      <c r="K136" s="43">
        <v>22619.17</v>
      </c>
      <c r="L136" s="32">
        <v>24504.1</v>
      </c>
      <c r="M136" s="33"/>
      <c r="N136" s="30">
        <v>22619.17</v>
      </c>
      <c r="O136" s="30">
        <v>16404.740000000002</v>
      </c>
      <c r="P136" s="30"/>
      <c r="Q136" s="30">
        <f>(N136+O136*0.18+J136)+(IF((P136-O136*0.18)&gt;0,(P136-O136*0.18),0))</f>
        <v>27456.9532</v>
      </c>
      <c r="R136" s="7"/>
      <c r="S136" s="7"/>
      <c r="T136" s="7"/>
      <c r="U136" s="7"/>
      <c r="V136" s="7"/>
      <c r="W136" s="7"/>
      <c r="X136" s="7"/>
      <c r="Y136" s="7"/>
      <c r="Z136" s="7"/>
    </row>
    <row r="137" spans="1:26" ht="9" customHeight="1" x14ac:dyDescent="0.2">
      <c r="A137" s="535"/>
      <c r="B137" s="535"/>
      <c r="C137" s="47"/>
      <c r="D137" s="48"/>
      <c r="E137" s="46">
        <v>28620007</v>
      </c>
      <c r="F137" s="46">
        <v>3143999</v>
      </c>
      <c r="G137" s="46">
        <v>0</v>
      </c>
      <c r="H137" s="46">
        <v>12032814</v>
      </c>
      <c r="I137" s="46">
        <v>0</v>
      </c>
      <c r="J137" s="49">
        <v>3649733</v>
      </c>
      <c r="K137" s="46">
        <v>43796820</v>
      </c>
      <c r="L137" s="38">
        <v>47446554</v>
      </c>
      <c r="M137" s="39"/>
      <c r="N137" s="36">
        <v>43796820</v>
      </c>
      <c r="O137" s="36">
        <v>31764006</v>
      </c>
      <c r="P137" s="36">
        <v>0</v>
      </c>
      <c r="Q137" s="36">
        <f>Q136*1936.27</f>
        <v>53164074.772564001</v>
      </c>
      <c r="R137" s="7"/>
      <c r="S137" s="7"/>
      <c r="T137" s="7"/>
      <c r="U137" s="7"/>
      <c r="V137" s="7"/>
      <c r="W137" s="7"/>
      <c r="X137" s="7"/>
      <c r="Y137" s="7"/>
      <c r="Z137" s="7"/>
    </row>
    <row r="138" spans="1:26" ht="12.75" customHeight="1" x14ac:dyDescent="0.2">
      <c r="A138" s="538">
        <v>33543</v>
      </c>
      <c r="B138" s="538">
        <v>33969</v>
      </c>
      <c r="C138" s="28" t="s">
        <v>36</v>
      </c>
      <c r="D138" s="29">
        <v>0</v>
      </c>
      <c r="E138" s="30">
        <v>6674.69</v>
      </c>
      <c r="F138" s="30">
        <v>731.3</v>
      </c>
      <c r="G138" s="30">
        <v>0</v>
      </c>
      <c r="H138" s="30">
        <v>6459.63</v>
      </c>
      <c r="I138" s="30">
        <v>0</v>
      </c>
      <c r="J138" s="30">
        <v>1155.47</v>
      </c>
      <c r="K138" s="31">
        <v>13865.62</v>
      </c>
      <c r="L138" s="32">
        <v>15021.09</v>
      </c>
      <c r="M138" s="33"/>
      <c r="N138" s="30">
        <v>13865.62</v>
      </c>
      <c r="O138" s="30">
        <v>7405.99</v>
      </c>
      <c r="P138" s="30"/>
      <c r="Q138" s="30">
        <f>(N138+O138*0.18+J138)+(IF((P138-O138*0.18)&gt;0,(P138-O138*0.18),0))</f>
        <v>16354.1682</v>
      </c>
      <c r="R138" s="7"/>
      <c r="S138" s="7"/>
      <c r="T138" s="7"/>
      <c r="U138" s="7"/>
      <c r="V138" s="7"/>
      <c r="W138" s="7"/>
      <c r="X138" s="7"/>
      <c r="Y138" s="7"/>
      <c r="Z138" s="7"/>
    </row>
    <row r="139" spans="1:26" ht="8.25" customHeight="1" x14ac:dyDescent="0.2">
      <c r="A139" s="534"/>
      <c r="B139" s="534"/>
      <c r="C139" s="34" t="s">
        <v>37</v>
      </c>
      <c r="D139" s="35">
        <v>0</v>
      </c>
      <c r="E139" s="36">
        <v>12924002</v>
      </c>
      <c r="F139" s="36">
        <v>1415994</v>
      </c>
      <c r="G139" s="36">
        <v>0</v>
      </c>
      <c r="H139" s="36">
        <v>12507588</v>
      </c>
      <c r="I139" s="36">
        <v>0</v>
      </c>
      <c r="J139" s="37">
        <v>2237302</v>
      </c>
      <c r="K139" s="36">
        <v>26847584</v>
      </c>
      <c r="L139" s="38">
        <v>29084886</v>
      </c>
      <c r="M139" s="39"/>
      <c r="N139" s="36">
        <v>26847584</v>
      </c>
      <c r="O139" s="36">
        <v>14339996</v>
      </c>
      <c r="P139" s="36">
        <v>0</v>
      </c>
      <c r="Q139" s="36">
        <f>Q138*1936.27</f>
        <v>31666085.260614</v>
      </c>
      <c r="R139" s="7"/>
      <c r="S139" s="7"/>
      <c r="T139" s="7"/>
      <c r="U139" s="7"/>
      <c r="V139" s="7"/>
      <c r="W139" s="7"/>
      <c r="X139" s="7"/>
      <c r="Y139" s="7"/>
      <c r="Z139" s="7"/>
    </row>
    <row r="140" spans="1:26" ht="12.75" customHeight="1" x14ac:dyDescent="0.2">
      <c r="A140" s="540">
        <v>33543</v>
      </c>
      <c r="B140" s="540">
        <v>33969</v>
      </c>
      <c r="C140" s="40" t="s">
        <v>36</v>
      </c>
      <c r="D140" s="41">
        <v>1</v>
      </c>
      <c r="E140" s="42">
        <v>7027.95</v>
      </c>
      <c r="F140" s="42">
        <v>768.49</v>
      </c>
      <c r="G140" s="42">
        <v>0</v>
      </c>
      <c r="H140" s="42">
        <v>6459.63</v>
      </c>
      <c r="I140" s="42">
        <v>0</v>
      </c>
      <c r="J140" s="42">
        <v>1188.01</v>
      </c>
      <c r="K140" s="43">
        <v>14256.07</v>
      </c>
      <c r="L140" s="32">
        <v>15444.08</v>
      </c>
      <c r="M140" s="33"/>
      <c r="N140" s="30">
        <v>14256.07</v>
      </c>
      <c r="O140" s="30">
        <v>7796.44</v>
      </c>
      <c r="P140" s="30"/>
      <c r="Q140" s="30">
        <f>(N140+O140*0.18+J140)+(IF((P140-O140*0.18)&gt;0,(P140-O140*0.18),0))</f>
        <v>16847.439199999997</v>
      </c>
      <c r="R140" s="7"/>
      <c r="S140" s="7"/>
      <c r="T140" s="7"/>
      <c r="U140" s="7"/>
      <c r="V140" s="7"/>
      <c r="W140" s="7"/>
      <c r="X140" s="7"/>
      <c r="Y140" s="7"/>
      <c r="Z140" s="7"/>
    </row>
    <row r="141" spans="1:26" ht="8.25" customHeight="1" x14ac:dyDescent="0.2">
      <c r="A141" s="534"/>
      <c r="B141" s="534"/>
      <c r="C141" s="34" t="s">
        <v>37</v>
      </c>
      <c r="D141" s="35">
        <v>2</v>
      </c>
      <c r="E141" s="36">
        <v>13608009</v>
      </c>
      <c r="F141" s="36">
        <v>1488004</v>
      </c>
      <c r="G141" s="36">
        <v>0</v>
      </c>
      <c r="H141" s="36">
        <v>12507588</v>
      </c>
      <c r="I141" s="36">
        <v>0</v>
      </c>
      <c r="J141" s="37">
        <v>2300308</v>
      </c>
      <c r="K141" s="36">
        <v>27603601</v>
      </c>
      <c r="L141" s="38">
        <v>29903909</v>
      </c>
      <c r="M141" s="39"/>
      <c r="N141" s="36">
        <v>27603601</v>
      </c>
      <c r="O141" s="36">
        <v>15096013</v>
      </c>
      <c r="P141" s="36">
        <v>0</v>
      </c>
      <c r="Q141" s="36">
        <f>Q140*1936.27</f>
        <v>32621191.099783994</v>
      </c>
      <c r="R141" s="7"/>
      <c r="S141" s="7"/>
      <c r="T141" s="7"/>
      <c r="U141" s="7"/>
      <c r="V141" s="7"/>
      <c r="W141" s="7"/>
      <c r="X141" s="7"/>
      <c r="Y141" s="7"/>
      <c r="Z141" s="7"/>
    </row>
    <row r="142" spans="1:26" ht="12.75" customHeight="1" x14ac:dyDescent="0.2">
      <c r="A142" s="534"/>
      <c r="B142" s="534"/>
      <c r="C142" s="40" t="s">
        <v>36</v>
      </c>
      <c r="D142" s="41">
        <v>3</v>
      </c>
      <c r="E142" s="42">
        <v>7387.4</v>
      </c>
      <c r="F142" s="42">
        <v>811.87</v>
      </c>
      <c r="G142" s="42">
        <v>0</v>
      </c>
      <c r="H142" s="42">
        <v>6459.63</v>
      </c>
      <c r="I142" s="42">
        <v>0</v>
      </c>
      <c r="J142" s="42">
        <v>1221.58</v>
      </c>
      <c r="K142" s="43">
        <v>14658.9</v>
      </c>
      <c r="L142" s="32">
        <v>15880.48</v>
      </c>
      <c r="M142" s="33"/>
      <c r="N142" s="30">
        <v>14658.9</v>
      </c>
      <c r="O142" s="30">
        <v>8199.27</v>
      </c>
      <c r="P142" s="30"/>
      <c r="Q142" s="30">
        <f>(N142+O142*0.18+J142)+(IF((P142-O142*0.18)&gt;0,(P142-O142*0.18),0))</f>
        <v>17356.348599999998</v>
      </c>
      <c r="R142" s="7"/>
      <c r="S142" s="7"/>
      <c r="T142" s="7"/>
      <c r="U142" s="7"/>
      <c r="V142" s="7"/>
      <c r="W142" s="7"/>
      <c r="X142" s="7"/>
      <c r="Y142" s="7"/>
      <c r="Z142" s="7"/>
    </row>
    <row r="143" spans="1:26" ht="8.25" customHeight="1" x14ac:dyDescent="0.2">
      <c r="A143" s="534"/>
      <c r="B143" s="534"/>
      <c r="C143" s="34" t="s">
        <v>37</v>
      </c>
      <c r="D143" s="35">
        <v>4</v>
      </c>
      <c r="E143" s="36">
        <v>14304001</v>
      </c>
      <c r="F143" s="36">
        <v>1572000</v>
      </c>
      <c r="G143" s="36">
        <v>0</v>
      </c>
      <c r="H143" s="36">
        <v>12507588</v>
      </c>
      <c r="I143" s="36">
        <v>0</v>
      </c>
      <c r="J143" s="37">
        <v>2365309</v>
      </c>
      <c r="K143" s="36">
        <v>28383588</v>
      </c>
      <c r="L143" s="38">
        <v>30748897</v>
      </c>
      <c r="M143" s="39"/>
      <c r="N143" s="36">
        <v>28383588</v>
      </c>
      <c r="O143" s="36">
        <v>15876001</v>
      </c>
      <c r="P143" s="36">
        <v>0</v>
      </c>
      <c r="Q143" s="36">
        <f>Q142*1936.27</f>
        <v>33606577.103721991</v>
      </c>
      <c r="R143" s="7"/>
      <c r="S143" s="7"/>
      <c r="T143" s="7"/>
      <c r="U143" s="7"/>
      <c r="V143" s="7"/>
      <c r="W143" s="7"/>
      <c r="X143" s="7"/>
      <c r="Y143" s="7"/>
      <c r="Z143" s="7"/>
    </row>
    <row r="144" spans="1:26" ht="12.75" customHeight="1" x14ac:dyDescent="0.2">
      <c r="A144" s="534"/>
      <c r="B144" s="534"/>
      <c r="C144" s="40" t="s">
        <v>36</v>
      </c>
      <c r="D144" s="41">
        <v>5</v>
      </c>
      <c r="E144" s="42">
        <v>7740.66</v>
      </c>
      <c r="F144" s="42">
        <v>849.06</v>
      </c>
      <c r="G144" s="42">
        <v>0</v>
      </c>
      <c r="H144" s="42">
        <v>6459.63</v>
      </c>
      <c r="I144" s="42">
        <v>0</v>
      </c>
      <c r="J144" s="42">
        <v>1254.1099999999999</v>
      </c>
      <c r="K144" s="43">
        <v>15049.35</v>
      </c>
      <c r="L144" s="32">
        <v>16303.46</v>
      </c>
      <c r="M144" s="33"/>
      <c r="N144" s="30">
        <v>15049.35</v>
      </c>
      <c r="O144" s="30">
        <v>8589.7199999999993</v>
      </c>
      <c r="P144" s="30"/>
      <c r="Q144" s="30">
        <f>(N144+O144*0.18+J144)+(IF((P144-O144*0.18)&gt;0,(P144-O144*0.18),0))</f>
        <v>17849.6096</v>
      </c>
      <c r="R144" s="7"/>
      <c r="S144" s="7"/>
      <c r="T144" s="7"/>
      <c r="U144" s="7"/>
      <c r="V144" s="7"/>
      <c r="W144" s="7"/>
      <c r="X144" s="7"/>
      <c r="Y144" s="7"/>
      <c r="Z144" s="7"/>
    </row>
    <row r="145" spans="1:26" ht="8.25" customHeight="1" x14ac:dyDescent="0.2">
      <c r="A145" s="534"/>
      <c r="B145" s="534"/>
      <c r="C145" s="34" t="s">
        <v>37</v>
      </c>
      <c r="D145" s="35">
        <v>6</v>
      </c>
      <c r="E145" s="36">
        <v>14988008</v>
      </c>
      <c r="F145" s="36">
        <v>1644009</v>
      </c>
      <c r="G145" s="36">
        <v>0</v>
      </c>
      <c r="H145" s="36">
        <v>12507588</v>
      </c>
      <c r="I145" s="36">
        <v>0</v>
      </c>
      <c r="J145" s="37">
        <v>2428296</v>
      </c>
      <c r="K145" s="36">
        <v>29139605</v>
      </c>
      <c r="L145" s="38">
        <v>31567900</v>
      </c>
      <c r="M145" s="39"/>
      <c r="N145" s="36">
        <v>29139605</v>
      </c>
      <c r="O145" s="36">
        <v>16632017</v>
      </c>
      <c r="P145" s="36">
        <v>0</v>
      </c>
      <c r="Q145" s="36">
        <f>Q144*1936.27</f>
        <v>34561663.580192</v>
      </c>
      <c r="R145" s="7"/>
      <c r="S145" s="7"/>
      <c r="T145" s="7"/>
      <c r="U145" s="7"/>
      <c r="V145" s="7"/>
      <c r="W145" s="7"/>
      <c r="X145" s="7"/>
      <c r="Y145" s="7"/>
      <c r="Z145" s="7"/>
    </row>
    <row r="146" spans="1:26" ht="12.75" customHeight="1" x14ac:dyDescent="0.2">
      <c r="A146" s="534"/>
      <c r="B146" s="534"/>
      <c r="C146" s="40" t="s">
        <v>36</v>
      </c>
      <c r="D146" s="41">
        <v>7</v>
      </c>
      <c r="E146" s="42">
        <v>8155.89</v>
      </c>
      <c r="F146" s="42">
        <v>892.44</v>
      </c>
      <c r="G146" s="42">
        <v>0</v>
      </c>
      <c r="H146" s="42">
        <v>6459.63</v>
      </c>
      <c r="I146" s="42">
        <v>0</v>
      </c>
      <c r="J146" s="42">
        <v>1292.33</v>
      </c>
      <c r="K146" s="43">
        <v>15507.96</v>
      </c>
      <c r="L146" s="32">
        <v>16800.29</v>
      </c>
      <c r="M146" s="33"/>
      <c r="N146" s="30">
        <v>15507.96</v>
      </c>
      <c r="O146" s="30">
        <v>9048.33</v>
      </c>
      <c r="P146" s="30"/>
      <c r="Q146" s="30">
        <f>(N146+O146*0.18+J146)+(IF((P146-O146*0.18)&gt;0,(P146-O146*0.18),0))</f>
        <v>18428.989399999999</v>
      </c>
      <c r="R146" s="7"/>
      <c r="S146" s="7"/>
      <c r="T146" s="7"/>
      <c r="U146" s="7"/>
      <c r="V146" s="7"/>
      <c r="W146" s="7"/>
      <c r="X146" s="7"/>
      <c r="Y146" s="7"/>
      <c r="Z146" s="7"/>
    </row>
    <row r="147" spans="1:26" ht="8.25" customHeight="1" x14ac:dyDescent="0.2">
      <c r="A147" s="534"/>
      <c r="B147" s="534"/>
      <c r="C147" s="34" t="s">
        <v>37</v>
      </c>
      <c r="D147" s="35">
        <v>8</v>
      </c>
      <c r="E147" s="36">
        <v>15792005</v>
      </c>
      <c r="F147" s="36">
        <v>1728005</v>
      </c>
      <c r="G147" s="36">
        <v>0</v>
      </c>
      <c r="H147" s="36">
        <v>12507588</v>
      </c>
      <c r="I147" s="36">
        <v>0</v>
      </c>
      <c r="J147" s="37">
        <v>2502300</v>
      </c>
      <c r="K147" s="36">
        <v>30027598</v>
      </c>
      <c r="L147" s="38">
        <v>32529898</v>
      </c>
      <c r="M147" s="39"/>
      <c r="N147" s="36">
        <v>30027598</v>
      </c>
      <c r="O147" s="36">
        <v>17520010</v>
      </c>
      <c r="P147" s="36">
        <v>0</v>
      </c>
      <c r="Q147" s="36">
        <f>Q146*1936.27</f>
        <v>35683499.305537999</v>
      </c>
      <c r="R147" s="7"/>
      <c r="S147" s="7"/>
      <c r="T147" s="7"/>
      <c r="U147" s="7"/>
      <c r="V147" s="7"/>
      <c r="W147" s="7"/>
      <c r="X147" s="7"/>
      <c r="Y147" s="7"/>
      <c r="Z147" s="7"/>
    </row>
    <row r="148" spans="1:26" ht="12.75" customHeight="1" x14ac:dyDescent="0.2">
      <c r="A148" s="534"/>
      <c r="B148" s="534"/>
      <c r="C148" s="40" t="s">
        <v>36</v>
      </c>
      <c r="D148" s="41">
        <v>9</v>
      </c>
      <c r="E148" s="42">
        <v>8527.74</v>
      </c>
      <c r="F148" s="42">
        <v>935.82</v>
      </c>
      <c r="G148" s="42">
        <v>0</v>
      </c>
      <c r="H148" s="42">
        <v>6459.63</v>
      </c>
      <c r="I148" s="42">
        <v>0</v>
      </c>
      <c r="J148" s="42">
        <v>1326.93</v>
      </c>
      <c r="K148" s="43">
        <v>15923.19</v>
      </c>
      <c r="L148" s="32">
        <v>17250.12</v>
      </c>
      <c r="M148" s="33"/>
      <c r="N148" s="30">
        <v>15923.19</v>
      </c>
      <c r="O148" s="30">
        <v>9463.56</v>
      </c>
      <c r="P148" s="30"/>
      <c r="Q148" s="30">
        <f>(N148+O148*0.18+J148)+(IF((P148-O148*0.18)&gt;0,(P148-O148*0.18),0))</f>
        <v>18953.560799999999</v>
      </c>
      <c r="R148" s="7"/>
      <c r="S148" s="7"/>
      <c r="T148" s="7"/>
      <c r="U148" s="7"/>
      <c r="V148" s="7"/>
      <c r="W148" s="7"/>
      <c r="X148" s="7"/>
      <c r="Y148" s="7"/>
      <c r="Z148" s="7"/>
    </row>
    <row r="149" spans="1:26" ht="8.25" customHeight="1" x14ac:dyDescent="0.2">
      <c r="A149" s="534"/>
      <c r="B149" s="534"/>
      <c r="C149" s="34" t="s">
        <v>37</v>
      </c>
      <c r="D149" s="35">
        <v>10</v>
      </c>
      <c r="E149" s="36">
        <v>16512007</v>
      </c>
      <c r="F149" s="36">
        <v>1812000</v>
      </c>
      <c r="G149" s="36">
        <v>0</v>
      </c>
      <c r="H149" s="36">
        <v>12507588</v>
      </c>
      <c r="I149" s="36">
        <v>0</v>
      </c>
      <c r="J149" s="37">
        <v>2569295</v>
      </c>
      <c r="K149" s="36">
        <v>30831595</v>
      </c>
      <c r="L149" s="38">
        <v>33400890</v>
      </c>
      <c r="M149" s="39"/>
      <c r="N149" s="36">
        <v>30831595</v>
      </c>
      <c r="O149" s="36">
        <v>18324007</v>
      </c>
      <c r="P149" s="36">
        <v>0</v>
      </c>
      <c r="Q149" s="36">
        <f>Q148*1936.27</f>
        <v>36699211.170216002</v>
      </c>
      <c r="R149" s="7"/>
      <c r="S149" s="7"/>
      <c r="T149" s="7"/>
      <c r="U149" s="7"/>
      <c r="V149" s="7"/>
      <c r="W149" s="7"/>
      <c r="X149" s="7"/>
      <c r="Y149" s="7"/>
      <c r="Z149" s="7"/>
    </row>
    <row r="150" spans="1:26" ht="12.75" customHeight="1" x14ac:dyDescent="0.2">
      <c r="A150" s="534"/>
      <c r="B150" s="534"/>
      <c r="C150" s="40" t="s">
        <v>36</v>
      </c>
      <c r="D150" s="41">
        <v>11</v>
      </c>
      <c r="E150" s="42">
        <v>8980.15</v>
      </c>
      <c r="F150" s="42">
        <v>985.4</v>
      </c>
      <c r="G150" s="42">
        <v>0</v>
      </c>
      <c r="H150" s="42">
        <v>6459.63</v>
      </c>
      <c r="I150" s="42">
        <v>0</v>
      </c>
      <c r="J150" s="42">
        <v>1368.77</v>
      </c>
      <c r="K150" s="43">
        <v>16425.18</v>
      </c>
      <c r="L150" s="32">
        <v>17793.95</v>
      </c>
      <c r="M150" s="33"/>
      <c r="N150" s="30">
        <v>16425.18</v>
      </c>
      <c r="O150" s="30">
        <v>9965.5499999999993</v>
      </c>
      <c r="P150" s="30"/>
      <c r="Q150" s="30">
        <f>(N150+O150*0.18+J150)+(IF((P150-O150*0.18)&gt;0,(P150-O150*0.18),0))</f>
        <v>19587.749</v>
      </c>
      <c r="R150" s="7"/>
      <c r="S150" s="7"/>
      <c r="T150" s="7"/>
      <c r="U150" s="7"/>
      <c r="V150" s="7"/>
      <c r="W150" s="7"/>
      <c r="X150" s="7"/>
      <c r="Y150" s="7"/>
      <c r="Z150" s="7"/>
    </row>
    <row r="151" spans="1:26" ht="8.25" customHeight="1" x14ac:dyDescent="0.2">
      <c r="A151" s="534"/>
      <c r="B151" s="534"/>
      <c r="C151" s="34" t="s">
        <v>37</v>
      </c>
      <c r="D151" s="35">
        <v>12</v>
      </c>
      <c r="E151" s="36">
        <v>17387995</v>
      </c>
      <c r="F151" s="36">
        <v>1908000</v>
      </c>
      <c r="G151" s="36">
        <v>0</v>
      </c>
      <c r="H151" s="36">
        <v>12507588</v>
      </c>
      <c r="I151" s="36">
        <v>0</v>
      </c>
      <c r="J151" s="37">
        <v>2650308</v>
      </c>
      <c r="K151" s="36">
        <v>31803583</v>
      </c>
      <c r="L151" s="38">
        <v>34453892</v>
      </c>
      <c r="M151" s="39"/>
      <c r="N151" s="36">
        <v>31803583</v>
      </c>
      <c r="O151" s="36">
        <v>19295995</v>
      </c>
      <c r="P151" s="36">
        <v>0</v>
      </c>
      <c r="Q151" s="36">
        <f>Q150*1936.27</f>
        <v>37927170.756229997</v>
      </c>
      <c r="R151" s="7"/>
      <c r="S151" s="7"/>
      <c r="T151" s="7"/>
      <c r="U151" s="7"/>
      <c r="V151" s="7"/>
      <c r="W151" s="7"/>
      <c r="X151" s="7"/>
      <c r="Y151" s="7"/>
      <c r="Z151" s="7"/>
    </row>
    <row r="152" spans="1:26" ht="12.75" customHeight="1" x14ac:dyDescent="0.2">
      <c r="A152" s="534"/>
      <c r="B152" s="534"/>
      <c r="C152" s="40" t="s">
        <v>36</v>
      </c>
      <c r="D152" s="41">
        <v>13</v>
      </c>
      <c r="E152" s="42">
        <v>9463.56</v>
      </c>
      <c r="F152" s="42">
        <v>1034.98</v>
      </c>
      <c r="G152" s="42">
        <v>0</v>
      </c>
      <c r="H152" s="42">
        <v>6459.63</v>
      </c>
      <c r="I152" s="42">
        <v>0</v>
      </c>
      <c r="J152" s="42">
        <v>1413.18</v>
      </c>
      <c r="K152" s="43">
        <v>16958.169999999998</v>
      </c>
      <c r="L152" s="32">
        <v>18371.349999999999</v>
      </c>
      <c r="M152" s="33"/>
      <c r="N152" s="30">
        <v>16958.169999999998</v>
      </c>
      <c r="O152" s="30">
        <v>10498.54</v>
      </c>
      <c r="P152" s="30"/>
      <c r="Q152" s="30">
        <f>(N152+O152*0.18+J152)+(IF((P152-O152*0.18)&gt;0,(P152-O152*0.18),0))</f>
        <v>20261.087199999998</v>
      </c>
      <c r="R152" s="7"/>
      <c r="S152" s="7"/>
      <c r="T152" s="7"/>
      <c r="U152" s="7"/>
      <c r="V152" s="7"/>
      <c r="W152" s="7"/>
      <c r="X152" s="7"/>
      <c r="Y152" s="7"/>
      <c r="Z152" s="7"/>
    </row>
    <row r="153" spans="1:26" ht="7.5" customHeight="1" x14ac:dyDescent="0.2">
      <c r="A153" s="534"/>
      <c r="B153" s="534"/>
      <c r="C153" s="34" t="s">
        <v>37</v>
      </c>
      <c r="D153" s="35">
        <v>14</v>
      </c>
      <c r="E153" s="36">
        <v>18324007</v>
      </c>
      <c r="F153" s="36">
        <v>2004001</v>
      </c>
      <c r="G153" s="36">
        <v>0</v>
      </c>
      <c r="H153" s="36">
        <v>12507588</v>
      </c>
      <c r="I153" s="36">
        <v>0</v>
      </c>
      <c r="J153" s="37">
        <v>2736298</v>
      </c>
      <c r="K153" s="36">
        <v>32835596</v>
      </c>
      <c r="L153" s="38">
        <v>35571894</v>
      </c>
      <c r="M153" s="39"/>
      <c r="N153" s="36">
        <v>32835596</v>
      </c>
      <c r="O153" s="36">
        <v>20328008</v>
      </c>
      <c r="P153" s="36">
        <v>0</v>
      </c>
      <c r="Q153" s="36">
        <f>Q152*1936.27</f>
        <v>39230935.312743999</v>
      </c>
      <c r="R153" s="7"/>
      <c r="S153" s="7"/>
      <c r="T153" s="7"/>
      <c r="U153" s="7"/>
      <c r="V153" s="7"/>
      <c r="W153" s="7"/>
      <c r="X153" s="7"/>
      <c r="Y153" s="7"/>
      <c r="Z153" s="7"/>
    </row>
    <row r="154" spans="1:26" ht="12.75" customHeight="1" x14ac:dyDescent="0.2">
      <c r="A154" s="534"/>
      <c r="B154" s="534"/>
      <c r="C154" s="40" t="s">
        <v>36</v>
      </c>
      <c r="D154" s="41">
        <v>15</v>
      </c>
      <c r="E154" s="42">
        <v>9940.76</v>
      </c>
      <c r="F154" s="42">
        <v>1090.76</v>
      </c>
      <c r="G154" s="42">
        <v>0</v>
      </c>
      <c r="H154" s="42">
        <v>6459.63</v>
      </c>
      <c r="I154" s="42">
        <v>0</v>
      </c>
      <c r="J154" s="42">
        <v>1457.6</v>
      </c>
      <c r="K154" s="43">
        <v>17491.150000000001</v>
      </c>
      <c r="L154" s="32">
        <v>18948.75</v>
      </c>
      <c r="M154" s="33"/>
      <c r="N154" s="30">
        <v>17491.150000000001</v>
      </c>
      <c r="O154" s="30">
        <v>11031.52</v>
      </c>
      <c r="P154" s="30"/>
      <c r="Q154" s="30">
        <f>(N154+O154*0.18+J154)+(IF((P154-O154*0.18)&gt;0,(P154-O154*0.18),0))</f>
        <v>20934.423600000002</v>
      </c>
      <c r="R154" s="7"/>
      <c r="S154" s="7"/>
      <c r="T154" s="7"/>
      <c r="U154" s="7"/>
      <c r="V154" s="7"/>
      <c r="W154" s="7"/>
      <c r="X154" s="7"/>
      <c r="Y154" s="7"/>
      <c r="Z154" s="7"/>
    </row>
    <row r="155" spans="1:26" ht="7.5" customHeight="1" x14ac:dyDescent="0.2">
      <c r="A155" s="534"/>
      <c r="B155" s="534"/>
      <c r="C155" s="34" t="s">
        <v>37</v>
      </c>
      <c r="D155" s="35">
        <v>16</v>
      </c>
      <c r="E155" s="36">
        <v>19247995</v>
      </c>
      <c r="F155" s="36">
        <v>2112006</v>
      </c>
      <c r="G155" s="36">
        <v>0</v>
      </c>
      <c r="H155" s="36">
        <v>12507588</v>
      </c>
      <c r="I155" s="36">
        <v>0</v>
      </c>
      <c r="J155" s="37">
        <v>2822307</v>
      </c>
      <c r="K155" s="36">
        <v>33867589</v>
      </c>
      <c r="L155" s="38">
        <v>36689896</v>
      </c>
      <c r="M155" s="39"/>
      <c r="N155" s="36">
        <v>33867589</v>
      </c>
      <c r="O155" s="36">
        <v>21360001</v>
      </c>
      <c r="P155" s="36">
        <v>0</v>
      </c>
      <c r="Q155" s="36">
        <f>Q154*1936.27</f>
        <v>40534696.383972004</v>
      </c>
      <c r="R155" s="7"/>
      <c r="S155" s="7"/>
      <c r="T155" s="7"/>
      <c r="U155" s="7"/>
      <c r="V155" s="7"/>
      <c r="W155" s="7"/>
      <c r="X155" s="7"/>
      <c r="Y155" s="7"/>
      <c r="Z155" s="7"/>
    </row>
    <row r="156" spans="1:26" ht="12.75" customHeight="1" x14ac:dyDescent="0.2">
      <c r="A156" s="534"/>
      <c r="B156" s="534"/>
      <c r="C156" s="40" t="s">
        <v>36</v>
      </c>
      <c r="D156" s="41">
        <v>17</v>
      </c>
      <c r="E156" s="42">
        <v>11037.72</v>
      </c>
      <c r="F156" s="42">
        <v>1214.71</v>
      </c>
      <c r="G156" s="42">
        <v>0</v>
      </c>
      <c r="H156" s="42">
        <v>6459.63</v>
      </c>
      <c r="I156" s="42">
        <v>0</v>
      </c>
      <c r="J156" s="42">
        <v>1559.34</v>
      </c>
      <c r="K156" s="43">
        <v>18712.060000000001</v>
      </c>
      <c r="L156" s="32">
        <v>20271.400000000001</v>
      </c>
      <c r="M156" s="33"/>
      <c r="N156" s="30">
        <v>18712.060000000001</v>
      </c>
      <c r="O156" s="30">
        <v>12252.43</v>
      </c>
      <c r="P156" s="30"/>
      <c r="Q156" s="30">
        <f>(N156+O156*0.18+J156)+(IF((P156-O156*0.18)&gt;0,(P156-O156*0.18),0))</f>
        <v>22476.8374</v>
      </c>
      <c r="R156" s="7"/>
      <c r="S156" s="7"/>
      <c r="T156" s="7"/>
      <c r="U156" s="7"/>
      <c r="V156" s="7"/>
      <c r="W156" s="7"/>
      <c r="X156" s="7"/>
      <c r="Y156" s="7"/>
      <c r="Z156" s="7"/>
    </row>
    <row r="157" spans="1:26" ht="8.25" customHeight="1" x14ac:dyDescent="0.2">
      <c r="A157" s="534"/>
      <c r="B157" s="534"/>
      <c r="C157" s="34" t="s">
        <v>37</v>
      </c>
      <c r="D157" s="35">
        <v>17</v>
      </c>
      <c r="E157" s="36">
        <v>21372006</v>
      </c>
      <c r="F157" s="36">
        <v>2352007</v>
      </c>
      <c r="G157" s="36">
        <v>0</v>
      </c>
      <c r="H157" s="36">
        <v>12507588</v>
      </c>
      <c r="I157" s="36">
        <v>0</v>
      </c>
      <c r="J157" s="37">
        <v>3019303</v>
      </c>
      <c r="K157" s="36">
        <v>36231600</v>
      </c>
      <c r="L157" s="38">
        <v>39250904</v>
      </c>
      <c r="M157" s="39"/>
      <c r="N157" s="36">
        <v>36231600</v>
      </c>
      <c r="O157" s="36">
        <v>23724013</v>
      </c>
      <c r="P157" s="36">
        <v>0</v>
      </c>
      <c r="Q157" s="36">
        <f>Q156*1936.27</f>
        <v>43521225.952498004</v>
      </c>
      <c r="R157" s="7"/>
      <c r="S157" s="7"/>
      <c r="T157" s="7"/>
      <c r="U157" s="7"/>
      <c r="V157" s="7"/>
      <c r="W157" s="7"/>
      <c r="X157" s="7"/>
      <c r="Y157" s="7"/>
      <c r="Z157" s="7"/>
    </row>
    <row r="158" spans="1:26" ht="12.75" customHeight="1" x14ac:dyDescent="0.2">
      <c r="A158" s="534"/>
      <c r="B158" s="534"/>
      <c r="C158" s="40" t="s">
        <v>36</v>
      </c>
      <c r="D158" s="41">
        <v>18</v>
      </c>
      <c r="E158" s="42">
        <v>11347.59</v>
      </c>
      <c r="F158" s="42">
        <v>1245.69</v>
      </c>
      <c r="G158" s="42">
        <v>0</v>
      </c>
      <c r="H158" s="42">
        <v>6459.63</v>
      </c>
      <c r="I158" s="42">
        <v>0</v>
      </c>
      <c r="J158" s="42">
        <v>1587.74</v>
      </c>
      <c r="K158" s="43">
        <v>19052.91</v>
      </c>
      <c r="L158" s="32">
        <v>20640.650000000001</v>
      </c>
      <c r="M158" s="33"/>
      <c r="N158" s="30">
        <v>19052.91</v>
      </c>
      <c r="O158" s="30">
        <v>12593.28</v>
      </c>
      <c r="P158" s="30"/>
      <c r="Q158" s="30">
        <f>(N158+O158*0.18+J158)+(IF((P158-O158*0.18)&gt;0,(P158-O158*0.18),0))</f>
        <v>22907.440400000003</v>
      </c>
      <c r="R158" s="7"/>
      <c r="S158" s="7"/>
      <c r="T158" s="7"/>
      <c r="U158" s="7"/>
      <c r="V158" s="7"/>
      <c r="W158" s="7"/>
      <c r="X158" s="7"/>
      <c r="Y158" s="7"/>
      <c r="Z158" s="7"/>
    </row>
    <row r="159" spans="1:26" ht="7.5" customHeight="1" x14ac:dyDescent="0.2">
      <c r="A159" s="534"/>
      <c r="B159" s="534"/>
      <c r="C159" s="34" t="s">
        <v>37</v>
      </c>
      <c r="D159" s="35">
        <v>19</v>
      </c>
      <c r="E159" s="36">
        <v>21971998</v>
      </c>
      <c r="F159" s="36">
        <v>2411992</v>
      </c>
      <c r="G159" s="36">
        <v>0</v>
      </c>
      <c r="H159" s="36">
        <v>12507588</v>
      </c>
      <c r="I159" s="36">
        <v>0</v>
      </c>
      <c r="J159" s="37">
        <v>3074293</v>
      </c>
      <c r="K159" s="36">
        <v>36891578</v>
      </c>
      <c r="L159" s="38">
        <v>39965871</v>
      </c>
      <c r="M159" s="39"/>
      <c r="N159" s="36">
        <v>36891578</v>
      </c>
      <c r="O159" s="36">
        <v>24383990</v>
      </c>
      <c r="P159" s="36">
        <v>0</v>
      </c>
      <c r="Q159" s="36">
        <f>Q158*1936.27</f>
        <v>44354989.623308003</v>
      </c>
      <c r="R159" s="7"/>
      <c r="S159" s="7"/>
      <c r="T159" s="7"/>
      <c r="U159" s="7"/>
      <c r="V159" s="7"/>
      <c r="W159" s="7"/>
      <c r="X159" s="7"/>
      <c r="Y159" s="7"/>
      <c r="Z159" s="7"/>
    </row>
    <row r="160" spans="1:26" ht="12.75" customHeight="1" x14ac:dyDescent="0.2">
      <c r="A160" s="534"/>
      <c r="B160" s="534"/>
      <c r="C160" s="40" t="s">
        <v>36</v>
      </c>
      <c r="D160" s="41">
        <v>20</v>
      </c>
      <c r="E160" s="42">
        <v>11731.83</v>
      </c>
      <c r="F160" s="42">
        <v>1289.08</v>
      </c>
      <c r="G160" s="42">
        <v>0</v>
      </c>
      <c r="H160" s="42">
        <v>6459.63</v>
      </c>
      <c r="I160" s="42">
        <v>0</v>
      </c>
      <c r="J160" s="42">
        <v>1623.38</v>
      </c>
      <c r="K160" s="43">
        <v>19480.54</v>
      </c>
      <c r="L160" s="32">
        <v>21103.919999999998</v>
      </c>
      <c r="M160" s="33"/>
      <c r="N160" s="30">
        <v>19480.54</v>
      </c>
      <c r="O160" s="30">
        <v>13020.91</v>
      </c>
      <c r="P160" s="30"/>
      <c r="Q160" s="30">
        <f>(N160+O160*0.18+J160)+(IF((P160-O160*0.18)&gt;0,(P160-O160*0.18),0))</f>
        <v>23447.683800000003</v>
      </c>
      <c r="R160" s="7"/>
      <c r="S160" s="7"/>
      <c r="T160" s="7"/>
      <c r="U160" s="7"/>
      <c r="V160" s="7"/>
      <c r="W160" s="7"/>
      <c r="X160" s="7"/>
      <c r="Y160" s="7"/>
      <c r="Z160" s="7"/>
    </row>
    <row r="161" spans="1:26" ht="6.75" customHeight="1" x14ac:dyDescent="0.2">
      <c r="A161" s="534"/>
      <c r="B161" s="534"/>
      <c r="C161" s="34" t="s">
        <v>37</v>
      </c>
      <c r="D161" s="35">
        <v>21</v>
      </c>
      <c r="E161" s="36">
        <v>22715990</v>
      </c>
      <c r="F161" s="36">
        <v>2496007</v>
      </c>
      <c r="G161" s="36">
        <v>0</v>
      </c>
      <c r="H161" s="36">
        <v>12507588</v>
      </c>
      <c r="I161" s="36">
        <v>0</v>
      </c>
      <c r="J161" s="37">
        <v>3143302</v>
      </c>
      <c r="K161" s="36">
        <v>37719585</v>
      </c>
      <c r="L161" s="38">
        <v>40862887</v>
      </c>
      <c r="M161" s="39"/>
      <c r="N161" s="36">
        <v>37719585</v>
      </c>
      <c r="O161" s="36">
        <v>25211997</v>
      </c>
      <c r="P161" s="36">
        <v>0</v>
      </c>
      <c r="Q161" s="36">
        <f>Q160*1936.27</f>
        <v>45401046.711426005</v>
      </c>
      <c r="R161" s="7"/>
      <c r="S161" s="7"/>
      <c r="T161" s="7"/>
      <c r="U161" s="7"/>
      <c r="V161" s="7"/>
      <c r="W161" s="7"/>
      <c r="X161" s="7"/>
      <c r="Y161" s="7"/>
      <c r="Z161" s="7"/>
    </row>
    <row r="162" spans="1:26" ht="12.75" customHeight="1" x14ac:dyDescent="0.2">
      <c r="A162" s="534"/>
      <c r="B162" s="534"/>
      <c r="C162" s="40" t="s">
        <v>36</v>
      </c>
      <c r="D162" s="41">
        <v>22</v>
      </c>
      <c r="E162" s="42">
        <v>11979.73</v>
      </c>
      <c r="F162" s="42">
        <v>1313.87</v>
      </c>
      <c r="G162" s="42">
        <v>0</v>
      </c>
      <c r="H162" s="42">
        <v>6459.63</v>
      </c>
      <c r="I162" s="42">
        <v>0</v>
      </c>
      <c r="J162" s="42">
        <v>1646.1</v>
      </c>
      <c r="K162" s="43">
        <v>19753.23</v>
      </c>
      <c r="L162" s="32">
        <v>21399.33</v>
      </c>
      <c r="M162" s="33"/>
      <c r="N162" s="30">
        <v>19753.23</v>
      </c>
      <c r="O162" s="30">
        <v>13293.6</v>
      </c>
      <c r="P162" s="30"/>
      <c r="Q162" s="30">
        <f>(N162+O162*0.18+J162)+(IF((P162-O162*0.18)&gt;0,(P162-O162*0.18),0))</f>
        <v>23792.178</v>
      </c>
      <c r="R162" s="7"/>
      <c r="S162" s="7"/>
      <c r="T162" s="7"/>
      <c r="U162" s="7"/>
      <c r="V162" s="7"/>
      <c r="W162" s="7"/>
      <c r="X162" s="7"/>
      <c r="Y162" s="7"/>
      <c r="Z162" s="7"/>
    </row>
    <row r="163" spans="1:26" ht="8.25" customHeight="1" x14ac:dyDescent="0.2">
      <c r="A163" s="534"/>
      <c r="B163" s="534"/>
      <c r="C163" s="34" t="s">
        <v>37</v>
      </c>
      <c r="D163" s="35">
        <v>23</v>
      </c>
      <c r="E163" s="36">
        <v>23195992</v>
      </c>
      <c r="F163" s="36">
        <v>2544007</v>
      </c>
      <c r="G163" s="36">
        <v>0</v>
      </c>
      <c r="H163" s="36">
        <v>12507588</v>
      </c>
      <c r="I163" s="36">
        <v>0</v>
      </c>
      <c r="J163" s="37">
        <v>3187294</v>
      </c>
      <c r="K163" s="36">
        <v>38247587</v>
      </c>
      <c r="L163" s="38">
        <v>41434881</v>
      </c>
      <c r="M163" s="39"/>
      <c r="N163" s="36">
        <v>38247587</v>
      </c>
      <c r="O163" s="36">
        <v>25739999</v>
      </c>
      <c r="P163" s="36">
        <v>0</v>
      </c>
      <c r="Q163" s="36">
        <f>Q162*1936.27</f>
        <v>46068080.496059999</v>
      </c>
      <c r="R163" s="7"/>
      <c r="S163" s="7"/>
      <c r="T163" s="7"/>
      <c r="U163" s="7"/>
      <c r="V163" s="7"/>
      <c r="W163" s="7"/>
      <c r="X163" s="7"/>
      <c r="Y163" s="7"/>
      <c r="Z163" s="7"/>
    </row>
    <row r="164" spans="1:26" ht="12.75" customHeight="1" x14ac:dyDescent="0.2">
      <c r="A164" s="534"/>
      <c r="B164" s="534"/>
      <c r="C164" s="40" t="s">
        <v>36</v>
      </c>
      <c r="D164" s="41">
        <v>24</v>
      </c>
      <c r="E164" s="42">
        <v>12295.81</v>
      </c>
      <c r="F164" s="42">
        <v>1351.05</v>
      </c>
      <c r="G164" s="42">
        <v>0</v>
      </c>
      <c r="H164" s="42">
        <v>6459.63</v>
      </c>
      <c r="I164" s="42">
        <v>0</v>
      </c>
      <c r="J164" s="42">
        <v>1675.54</v>
      </c>
      <c r="K164" s="43">
        <v>20106.490000000002</v>
      </c>
      <c r="L164" s="32">
        <v>21782.03</v>
      </c>
      <c r="M164" s="33"/>
      <c r="N164" s="30">
        <v>20106.490000000002</v>
      </c>
      <c r="O164" s="30">
        <v>13646.86</v>
      </c>
      <c r="P164" s="30"/>
      <c r="Q164" s="30">
        <f>(N164+O164*0.18+J164)+(IF((P164-O164*0.18)&gt;0,(P164-O164*0.18),0))</f>
        <v>24238.464800000002</v>
      </c>
      <c r="R164" s="7"/>
      <c r="S164" s="7"/>
      <c r="T164" s="7"/>
      <c r="U164" s="7"/>
      <c r="V164" s="7"/>
      <c r="W164" s="7"/>
      <c r="X164" s="7"/>
      <c r="Y164" s="7"/>
      <c r="Z164" s="7"/>
    </row>
    <row r="165" spans="1:26" ht="7.5" customHeight="1" x14ac:dyDescent="0.2">
      <c r="A165" s="534"/>
      <c r="B165" s="534"/>
      <c r="C165" s="34" t="s">
        <v>37</v>
      </c>
      <c r="D165" s="35">
        <v>25</v>
      </c>
      <c r="E165" s="36">
        <v>23808008</v>
      </c>
      <c r="F165" s="36">
        <v>2615998</v>
      </c>
      <c r="G165" s="36">
        <v>0</v>
      </c>
      <c r="H165" s="36">
        <v>12507588</v>
      </c>
      <c r="I165" s="36">
        <v>0</v>
      </c>
      <c r="J165" s="37">
        <v>3244298</v>
      </c>
      <c r="K165" s="36">
        <v>38931593</v>
      </c>
      <c r="L165" s="38">
        <v>42175891</v>
      </c>
      <c r="M165" s="39"/>
      <c r="N165" s="36">
        <v>38931593</v>
      </c>
      <c r="O165" s="36">
        <v>26424006</v>
      </c>
      <c r="P165" s="36">
        <v>0</v>
      </c>
      <c r="Q165" s="36">
        <f>Q164*1936.27</f>
        <v>46932212.238296002</v>
      </c>
      <c r="R165" s="7"/>
      <c r="S165" s="7"/>
      <c r="T165" s="7"/>
      <c r="U165" s="7"/>
      <c r="V165" s="7"/>
      <c r="W165" s="7"/>
      <c r="X165" s="7"/>
      <c r="Y165" s="7"/>
      <c r="Z165" s="7"/>
    </row>
    <row r="166" spans="1:26" ht="12.75" customHeight="1" x14ac:dyDescent="0.2">
      <c r="A166" s="534"/>
      <c r="B166" s="534"/>
      <c r="C166" s="40" t="s">
        <v>36</v>
      </c>
      <c r="D166" s="41">
        <v>26</v>
      </c>
      <c r="E166" s="42">
        <v>12605.68</v>
      </c>
      <c r="F166" s="42">
        <v>1382.04</v>
      </c>
      <c r="G166" s="42">
        <v>0</v>
      </c>
      <c r="H166" s="42">
        <v>6459.63</v>
      </c>
      <c r="I166" s="42">
        <v>0</v>
      </c>
      <c r="J166" s="42">
        <v>1703.95</v>
      </c>
      <c r="K166" s="43">
        <v>20447.349999999999</v>
      </c>
      <c r="L166" s="32">
        <v>22151.3</v>
      </c>
      <c r="M166" s="33"/>
      <c r="N166" s="30">
        <v>20447.349999999999</v>
      </c>
      <c r="O166" s="30">
        <v>13987.72</v>
      </c>
      <c r="P166" s="30"/>
      <c r="Q166" s="30">
        <f>(N166+O166*0.18+J166)+(IF((P166-O166*0.18)&gt;0,(P166-O166*0.18),0))</f>
        <v>24669.089599999999</v>
      </c>
      <c r="R166" s="7"/>
      <c r="S166" s="7"/>
      <c r="T166" s="7"/>
      <c r="U166" s="7"/>
      <c r="V166" s="7"/>
      <c r="W166" s="7"/>
      <c r="X166" s="7"/>
      <c r="Y166" s="7"/>
      <c r="Z166" s="7"/>
    </row>
    <row r="167" spans="1:26" ht="8.25" customHeight="1" x14ac:dyDescent="0.2">
      <c r="A167" s="534"/>
      <c r="B167" s="534"/>
      <c r="C167" s="34" t="s">
        <v>37</v>
      </c>
      <c r="D167" s="35">
        <v>27</v>
      </c>
      <c r="E167" s="36">
        <v>24408000</v>
      </c>
      <c r="F167" s="36">
        <v>2676003</v>
      </c>
      <c r="G167" s="36">
        <v>0</v>
      </c>
      <c r="H167" s="36">
        <v>12507588</v>
      </c>
      <c r="I167" s="36">
        <v>0</v>
      </c>
      <c r="J167" s="37">
        <v>3299307</v>
      </c>
      <c r="K167" s="36">
        <v>39591590</v>
      </c>
      <c r="L167" s="38">
        <v>42890898</v>
      </c>
      <c r="M167" s="39"/>
      <c r="N167" s="36">
        <v>39591590</v>
      </c>
      <c r="O167" s="36">
        <v>27084003</v>
      </c>
      <c r="P167" s="36">
        <v>0</v>
      </c>
      <c r="Q167" s="36">
        <f>Q166*1936.27</f>
        <v>47766018.119791999</v>
      </c>
      <c r="R167" s="7"/>
      <c r="S167" s="7"/>
      <c r="T167" s="7"/>
      <c r="U167" s="7"/>
      <c r="V167" s="7"/>
      <c r="W167" s="7"/>
      <c r="X167" s="7"/>
      <c r="Y167" s="7"/>
      <c r="Z167" s="7"/>
    </row>
    <row r="168" spans="1:26" ht="12.75" customHeight="1" x14ac:dyDescent="0.2">
      <c r="A168" s="534"/>
      <c r="B168" s="534"/>
      <c r="C168" s="40" t="s">
        <v>36</v>
      </c>
      <c r="D168" s="41">
        <v>28</v>
      </c>
      <c r="E168" s="42">
        <v>12909.36</v>
      </c>
      <c r="F168" s="42">
        <v>1419.22</v>
      </c>
      <c r="G168" s="42">
        <v>0</v>
      </c>
      <c r="H168" s="42">
        <v>6459.63</v>
      </c>
      <c r="I168" s="42">
        <v>0</v>
      </c>
      <c r="J168" s="42">
        <v>1732.35</v>
      </c>
      <c r="K168" s="43">
        <v>20788.21</v>
      </c>
      <c r="L168" s="32">
        <v>22520.560000000001</v>
      </c>
      <c r="M168" s="33"/>
      <c r="N168" s="30">
        <v>20788.21</v>
      </c>
      <c r="O168" s="30">
        <v>14328.58</v>
      </c>
      <c r="P168" s="30"/>
      <c r="Q168" s="30">
        <f>(N168+O168*0.18+J168)+(IF((P168-O168*0.18)&gt;0,(P168-O168*0.18),0))</f>
        <v>25099.704399999999</v>
      </c>
      <c r="R168" s="7"/>
      <c r="S168" s="7"/>
      <c r="T168" s="7"/>
      <c r="U168" s="7"/>
      <c r="V168" s="7"/>
      <c r="W168" s="7"/>
      <c r="X168" s="7"/>
      <c r="Y168" s="7"/>
      <c r="Z168" s="7"/>
    </row>
    <row r="169" spans="1:26" ht="9" customHeight="1" x14ac:dyDescent="0.2">
      <c r="A169" s="534"/>
      <c r="B169" s="534"/>
      <c r="C169" s="34" t="s">
        <v>37</v>
      </c>
      <c r="D169" s="35">
        <v>29</v>
      </c>
      <c r="E169" s="36">
        <v>24996006</v>
      </c>
      <c r="F169" s="36">
        <v>2747993</v>
      </c>
      <c r="G169" s="36">
        <v>0</v>
      </c>
      <c r="H169" s="36">
        <v>12507588</v>
      </c>
      <c r="I169" s="36">
        <v>0</v>
      </c>
      <c r="J169" s="37">
        <v>3354297</v>
      </c>
      <c r="K169" s="36">
        <v>40251587</v>
      </c>
      <c r="L169" s="38">
        <v>43605885</v>
      </c>
      <c r="M169" s="39"/>
      <c r="N169" s="36">
        <v>40251587</v>
      </c>
      <c r="O169" s="36">
        <v>27744000</v>
      </c>
      <c r="P169" s="36">
        <v>0</v>
      </c>
      <c r="Q169" s="36">
        <f>Q168*1936.27</f>
        <v>48599804.638587996</v>
      </c>
      <c r="R169" s="7"/>
      <c r="S169" s="7"/>
      <c r="T169" s="7"/>
      <c r="U169" s="7"/>
      <c r="V169" s="7"/>
      <c r="W169" s="7"/>
      <c r="X169" s="7"/>
      <c r="Y169" s="7"/>
      <c r="Z169" s="7"/>
    </row>
    <row r="170" spans="1:26" ht="12.75" customHeight="1" x14ac:dyDescent="0.2">
      <c r="A170" s="534"/>
      <c r="B170" s="534"/>
      <c r="C170" s="40" t="s">
        <v>36</v>
      </c>
      <c r="D170" s="41">
        <v>30</v>
      </c>
      <c r="E170" s="42">
        <v>13225.43</v>
      </c>
      <c r="F170" s="42">
        <v>1450.21</v>
      </c>
      <c r="G170" s="42">
        <v>0</v>
      </c>
      <c r="H170" s="42">
        <v>6459.63</v>
      </c>
      <c r="I170" s="42">
        <v>0</v>
      </c>
      <c r="J170" s="42">
        <v>1761.27</v>
      </c>
      <c r="K170" s="43">
        <v>21135.27</v>
      </c>
      <c r="L170" s="32">
        <v>22896.54</v>
      </c>
      <c r="M170" s="33"/>
      <c r="N170" s="30">
        <v>21135.27</v>
      </c>
      <c r="O170" s="30">
        <v>14675.64</v>
      </c>
      <c r="P170" s="30"/>
      <c r="Q170" s="30">
        <f>(N170+O170*0.18+J170)+(IF((P170-O170*0.18)&gt;0,(P170-O170*0.18),0))</f>
        <v>25538.155200000001</v>
      </c>
      <c r="R170" s="7"/>
      <c r="S170" s="7"/>
      <c r="T170" s="7"/>
      <c r="U170" s="7"/>
      <c r="V170" s="7"/>
      <c r="W170" s="7"/>
      <c r="X170" s="7"/>
      <c r="Y170" s="7"/>
      <c r="Z170" s="7"/>
    </row>
    <row r="171" spans="1:26" ht="9" customHeight="1" x14ac:dyDescent="0.2">
      <c r="A171" s="534"/>
      <c r="B171" s="534"/>
      <c r="C171" s="34" t="s">
        <v>37</v>
      </c>
      <c r="D171" s="35">
        <v>31</v>
      </c>
      <c r="E171" s="36">
        <v>25608003</v>
      </c>
      <c r="F171" s="36">
        <v>2807998</v>
      </c>
      <c r="G171" s="36">
        <v>0</v>
      </c>
      <c r="H171" s="36">
        <v>12507588</v>
      </c>
      <c r="I171" s="36">
        <v>0</v>
      </c>
      <c r="J171" s="37">
        <v>3410294</v>
      </c>
      <c r="K171" s="36">
        <v>40923589</v>
      </c>
      <c r="L171" s="38">
        <v>44333884</v>
      </c>
      <c r="M171" s="39"/>
      <c r="N171" s="36">
        <v>40923589</v>
      </c>
      <c r="O171" s="36">
        <v>28416001</v>
      </c>
      <c r="P171" s="36">
        <v>0</v>
      </c>
      <c r="Q171" s="36">
        <f>Q170*1936.27</f>
        <v>49448763.769104004</v>
      </c>
      <c r="R171" s="7"/>
      <c r="S171" s="7"/>
      <c r="T171" s="7"/>
      <c r="U171" s="7"/>
      <c r="V171" s="7"/>
      <c r="W171" s="7"/>
      <c r="X171" s="7"/>
      <c r="Y171" s="7"/>
      <c r="Z171" s="7"/>
    </row>
    <row r="172" spans="1:26" ht="12.75" customHeight="1" x14ac:dyDescent="0.2">
      <c r="A172" s="534"/>
      <c r="B172" s="534"/>
      <c r="C172" s="40" t="s">
        <v>36</v>
      </c>
      <c r="D172" s="41">
        <v>32</v>
      </c>
      <c r="E172" s="42">
        <v>13535.3</v>
      </c>
      <c r="F172" s="42">
        <v>1487.4</v>
      </c>
      <c r="G172" s="42">
        <v>0</v>
      </c>
      <c r="H172" s="42">
        <v>6459.63</v>
      </c>
      <c r="I172" s="42">
        <v>0</v>
      </c>
      <c r="J172" s="42">
        <v>1790.19</v>
      </c>
      <c r="K172" s="43">
        <v>21482.33</v>
      </c>
      <c r="L172" s="32">
        <v>23272.52</v>
      </c>
      <c r="M172" s="33"/>
      <c r="N172" s="30">
        <v>21482.33</v>
      </c>
      <c r="O172" s="30">
        <v>15022.7</v>
      </c>
      <c r="P172" s="30"/>
      <c r="Q172" s="30">
        <f>(N172+O172*0.18+J172)+(IF((P172-O172*0.18)&gt;0,(P172-O172*0.18),0))</f>
        <v>25976.606</v>
      </c>
      <c r="R172" s="7"/>
      <c r="S172" s="7"/>
      <c r="T172" s="7"/>
      <c r="U172" s="7"/>
      <c r="V172" s="7"/>
      <c r="W172" s="7"/>
      <c r="X172" s="7"/>
      <c r="Y172" s="7"/>
      <c r="Z172" s="7"/>
    </row>
    <row r="173" spans="1:26" ht="9" customHeight="1" x14ac:dyDescent="0.2">
      <c r="A173" s="534"/>
      <c r="B173" s="534"/>
      <c r="C173" s="34" t="s">
        <v>37</v>
      </c>
      <c r="D173" s="35">
        <v>33</v>
      </c>
      <c r="E173" s="36">
        <v>26207995</v>
      </c>
      <c r="F173" s="36">
        <v>2880008</v>
      </c>
      <c r="G173" s="36">
        <v>0</v>
      </c>
      <c r="H173" s="36">
        <v>12507588</v>
      </c>
      <c r="I173" s="36">
        <v>0</v>
      </c>
      <c r="J173" s="37">
        <v>3466291</v>
      </c>
      <c r="K173" s="36">
        <v>41595591</v>
      </c>
      <c r="L173" s="38">
        <v>45061882</v>
      </c>
      <c r="M173" s="39"/>
      <c r="N173" s="36">
        <v>41595591</v>
      </c>
      <c r="O173" s="36">
        <v>29088003</v>
      </c>
      <c r="P173" s="36">
        <v>0</v>
      </c>
      <c r="Q173" s="36">
        <f>Q172*1936.27</f>
        <v>50297722.899619997</v>
      </c>
      <c r="R173" s="7"/>
      <c r="S173" s="7"/>
      <c r="T173" s="7"/>
      <c r="U173" s="7"/>
      <c r="V173" s="7"/>
      <c r="W173" s="7"/>
      <c r="X173" s="7"/>
      <c r="Y173" s="7"/>
      <c r="Z173" s="7"/>
    </row>
    <row r="174" spans="1:26" ht="12.75" customHeight="1" x14ac:dyDescent="0.2">
      <c r="A174" s="534"/>
      <c r="B174" s="534"/>
      <c r="C174" s="40" t="s">
        <v>36</v>
      </c>
      <c r="D174" s="41">
        <v>34</v>
      </c>
      <c r="E174" s="42">
        <v>13851.37</v>
      </c>
      <c r="F174" s="42">
        <v>1518.38</v>
      </c>
      <c r="G174" s="42">
        <v>0</v>
      </c>
      <c r="H174" s="42">
        <v>6459.63</v>
      </c>
      <c r="I174" s="42">
        <v>0</v>
      </c>
      <c r="J174" s="42">
        <v>1819.12</v>
      </c>
      <c r="K174" s="43">
        <v>21829.38</v>
      </c>
      <c r="L174" s="32">
        <v>23648.5</v>
      </c>
      <c r="M174" s="33"/>
      <c r="N174" s="30">
        <v>21829.38</v>
      </c>
      <c r="O174" s="30">
        <v>15369.75</v>
      </c>
      <c r="P174" s="30"/>
      <c r="Q174" s="30">
        <f>(N174+O174*0.18+J174)+(IF((P174-O174*0.18)&gt;0,(P174-O174*0.18),0))</f>
        <v>26415.055</v>
      </c>
      <c r="R174" s="7"/>
      <c r="S174" s="7"/>
      <c r="T174" s="7"/>
      <c r="U174" s="7"/>
      <c r="V174" s="7"/>
      <c r="W174" s="7"/>
      <c r="X174" s="7"/>
      <c r="Y174" s="7"/>
      <c r="Z174" s="7"/>
    </row>
    <row r="175" spans="1:26" ht="9" customHeight="1" x14ac:dyDescent="0.2">
      <c r="A175" s="534"/>
      <c r="B175" s="534"/>
      <c r="C175" s="34" t="s">
        <v>37</v>
      </c>
      <c r="D175" s="35">
        <v>35</v>
      </c>
      <c r="E175" s="36">
        <v>26819992</v>
      </c>
      <c r="F175" s="36">
        <v>2939994</v>
      </c>
      <c r="G175" s="36">
        <v>0</v>
      </c>
      <c r="H175" s="36">
        <v>12507588</v>
      </c>
      <c r="I175" s="36">
        <v>0</v>
      </c>
      <c r="J175" s="37">
        <v>3522307</v>
      </c>
      <c r="K175" s="36">
        <v>42267574</v>
      </c>
      <c r="L175" s="38">
        <v>45789881</v>
      </c>
      <c r="M175" s="39"/>
      <c r="N175" s="36">
        <v>42267574</v>
      </c>
      <c r="O175" s="36">
        <v>29759986</v>
      </c>
      <c r="P175" s="36">
        <v>0</v>
      </c>
      <c r="Q175" s="36">
        <f>Q174*1936.27</f>
        <v>51146678.544849999</v>
      </c>
      <c r="R175" s="7"/>
      <c r="S175" s="7"/>
      <c r="T175" s="7"/>
      <c r="U175" s="7"/>
      <c r="V175" s="7"/>
      <c r="W175" s="7"/>
      <c r="X175" s="7"/>
      <c r="Y175" s="7"/>
      <c r="Z175" s="7"/>
    </row>
    <row r="176" spans="1:26" ht="12.75" customHeight="1" x14ac:dyDescent="0.2">
      <c r="A176" s="534"/>
      <c r="B176" s="534"/>
      <c r="C176" s="40" t="s">
        <v>36</v>
      </c>
      <c r="D176" s="41">
        <v>36</v>
      </c>
      <c r="E176" s="42">
        <v>14161.25</v>
      </c>
      <c r="F176" s="42">
        <v>1555.57</v>
      </c>
      <c r="G176" s="42">
        <v>0</v>
      </c>
      <c r="H176" s="42">
        <v>6459.63</v>
      </c>
      <c r="I176" s="42">
        <v>0</v>
      </c>
      <c r="J176" s="42">
        <v>1848.04</v>
      </c>
      <c r="K176" s="43">
        <v>22176.45</v>
      </c>
      <c r="L176" s="32">
        <v>24024.49</v>
      </c>
      <c r="M176" s="33"/>
      <c r="N176" s="30">
        <v>22176.45</v>
      </c>
      <c r="O176" s="30">
        <v>15716.82</v>
      </c>
      <c r="P176" s="30"/>
      <c r="Q176" s="30">
        <f>(N176+O176*0.18+J176)+(IF((P176-O176*0.18)&gt;0,(P176-O176*0.18),0))</f>
        <v>26853.517600000003</v>
      </c>
      <c r="R176" s="7"/>
      <c r="S176" s="7"/>
      <c r="T176" s="7"/>
      <c r="U176" s="7"/>
      <c r="V176" s="7"/>
      <c r="W176" s="7"/>
      <c r="X176" s="7"/>
      <c r="Y176" s="7"/>
      <c r="Z176" s="7"/>
    </row>
    <row r="177" spans="1:26" ht="9" customHeight="1" x14ac:dyDescent="0.2">
      <c r="A177" s="534"/>
      <c r="B177" s="534"/>
      <c r="C177" s="34" t="s">
        <v>37</v>
      </c>
      <c r="D177" s="35">
        <v>37</v>
      </c>
      <c r="E177" s="36">
        <v>27420004</v>
      </c>
      <c r="F177" s="36">
        <v>3012004</v>
      </c>
      <c r="G177" s="36">
        <v>0</v>
      </c>
      <c r="H177" s="36">
        <v>12507588</v>
      </c>
      <c r="I177" s="36">
        <v>0</v>
      </c>
      <c r="J177" s="37">
        <v>3578304</v>
      </c>
      <c r="K177" s="36">
        <v>42939595</v>
      </c>
      <c r="L177" s="38">
        <v>46517899</v>
      </c>
      <c r="M177" s="39"/>
      <c r="N177" s="36">
        <v>42939595</v>
      </c>
      <c r="O177" s="36">
        <v>30432007</v>
      </c>
      <c r="P177" s="36">
        <v>0</v>
      </c>
      <c r="Q177" s="36">
        <f>Q176*1936.27</f>
        <v>51995660.523352005</v>
      </c>
      <c r="R177" s="7"/>
      <c r="S177" s="7"/>
      <c r="T177" s="7"/>
      <c r="U177" s="7"/>
      <c r="V177" s="7"/>
      <c r="W177" s="7"/>
      <c r="X177" s="7"/>
      <c r="Y177" s="7"/>
      <c r="Z177" s="7"/>
    </row>
    <row r="178" spans="1:26" ht="9" customHeight="1" x14ac:dyDescent="0.2">
      <c r="A178" s="534"/>
      <c r="B178" s="534"/>
      <c r="C178" s="44" t="s">
        <v>36</v>
      </c>
      <c r="D178" s="45">
        <v>38</v>
      </c>
      <c r="E178" s="42">
        <v>14471.12</v>
      </c>
      <c r="F178" s="42">
        <v>1586.56</v>
      </c>
      <c r="G178" s="42">
        <v>0</v>
      </c>
      <c r="H178" s="42">
        <v>6459.63</v>
      </c>
      <c r="I178" s="42">
        <v>0</v>
      </c>
      <c r="J178" s="42">
        <v>1876.44</v>
      </c>
      <c r="K178" s="43">
        <v>22517.31</v>
      </c>
      <c r="L178" s="32">
        <v>24393.75</v>
      </c>
      <c r="M178" s="33"/>
      <c r="N178" s="30">
        <v>22517.31</v>
      </c>
      <c r="O178" s="30">
        <v>16057.68</v>
      </c>
      <c r="P178" s="30"/>
      <c r="Q178" s="30">
        <f>(N178+O178*0.18+J178)+(IF((P178-O178*0.18)&gt;0,(P178-O178*0.18),0))</f>
        <v>27284.132399999999</v>
      </c>
      <c r="R178" s="7"/>
      <c r="S178" s="7"/>
      <c r="T178" s="7"/>
      <c r="U178" s="7"/>
      <c r="V178" s="7"/>
      <c r="W178" s="7"/>
      <c r="X178" s="7"/>
      <c r="Y178" s="7"/>
      <c r="Z178" s="7"/>
    </row>
    <row r="179" spans="1:26" ht="9" customHeight="1" x14ac:dyDescent="0.2">
      <c r="A179" s="534"/>
      <c r="B179" s="534"/>
      <c r="C179" s="44" t="s">
        <v>37</v>
      </c>
      <c r="D179" s="45">
        <v>39</v>
      </c>
      <c r="E179" s="36">
        <v>28019996</v>
      </c>
      <c r="F179" s="36">
        <v>3072009</v>
      </c>
      <c r="G179" s="36">
        <v>0</v>
      </c>
      <c r="H179" s="36">
        <v>12507588</v>
      </c>
      <c r="I179" s="36">
        <v>0</v>
      </c>
      <c r="J179" s="37">
        <v>3633294</v>
      </c>
      <c r="K179" s="36">
        <v>43599592</v>
      </c>
      <c r="L179" s="38">
        <v>47232886</v>
      </c>
      <c r="M179" s="39"/>
      <c r="N179" s="46">
        <v>43599592</v>
      </c>
      <c r="O179" s="46">
        <v>31092004</v>
      </c>
      <c r="P179" s="46">
        <v>0</v>
      </c>
      <c r="Q179" s="36">
        <f>Q178*1936.27</f>
        <v>52829447.042147994</v>
      </c>
      <c r="R179" s="7"/>
      <c r="S179" s="7"/>
      <c r="T179" s="7"/>
      <c r="U179" s="7"/>
      <c r="V179" s="7"/>
      <c r="W179" s="7"/>
      <c r="X179" s="7"/>
      <c r="Y179" s="7"/>
      <c r="Z179" s="7"/>
    </row>
    <row r="180" spans="1:26" ht="12.75" customHeight="1" x14ac:dyDescent="0.2">
      <c r="A180" s="534"/>
      <c r="B180" s="534"/>
      <c r="C180" s="40" t="s">
        <v>36</v>
      </c>
      <c r="D180" s="41">
        <v>40</v>
      </c>
      <c r="E180" s="42">
        <v>14781</v>
      </c>
      <c r="F180" s="42">
        <v>1623.74</v>
      </c>
      <c r="G180" s="42">
        <v>0</v>
      </c>
      <c r="H180" s="42">
        <v>6459.63</v>
      </c>
      <c r="I180" s="42">
        <v>0</v>
      </c>
      <c r="J180" s="42">
        <v>1905.36</v>
      </c>
      <c r="K180" s="43">
        <v>22864.37</v>
      </c>
      <c r="L180" s="32">
        <v>24769.73</v>
      </c>
      <c r="M180" s="33"/>
      <c r="N180" s="30">
        <v>22864.37</v>
      </c>
      <c r="O180" s="30">
        <v>16404.740000000002</v>
      </c>
      <c r="P180" s="30"/>
      <c r="Q180" s="30">
        <f>(N180+O180*0.18+J180)+(IF((P180-O180*0.18)&gt;0,(P180-O180*0.18),0))</f>
        <v>27722.583200000001</v>
      </c>
      <c r="R180" s="7"/>
      <c r="S180" s="7"/>
      <c r="T180" s="7"/>
      <c r="U180" s="7"/>
      <c r="V180" s="7"/>
      <c r="W180" s="7"/>
      <c r="X180" s="7"/>
      <c r="Y180" s="7"/>
      <c r="Z180" s="7"/>
    </row>
    <row r="181" spans="1:26" ht="9" customHeight="1" x14ac:dyDescent="0.2">
      <c r="A181" s="535"/>
      <c r="B181" s="535"/>
      <c r="C181" s="47"/>
      <c r="D181" s="48"/>
      <c r="E181" s="46">
        <v>28620007</v>
      </c>
      <c r="F181" s="46">
        <v>3143999</v>
      </c>
      <c r="G181" s="46">
        <v>0</v>
      </c>
      <c r="H181" s="46">
        <v>12507588</v>
      </c>
      <c r="I181" s="46">
        <v>0</v>
      </c>
      <c r="J181" s="49">
        <v>3689291</v>
      </c>
      <c r="K181" s="46">
        <v>44271594</v>
      </c>
      <c r="L181" s="38">
        <v>47960885</v>
      </c>
      <c r="M181" s="39"/>
      <c r="N181" s="36">
        <v>44271594</v>
      </c>
      <c r="O181" s="36">
        <v>31764006</v>
      </c>
      <c r="P181" s="36">
        <v>0</v>
      </c>
      <c r="Q181" s="36">
        <f>Q180*1936.27</f>
        <v>53678406.172664002</v>
      </c>
      <c r="R181" s="7"/>
      <c r="S181" s="7"/>
      <c r="T181" s="7"/>
      <c r="U181" s="7"/>
      <c r="V181" s="7"/>
      <c r="W181" s="7"/>
      <c r="X181" s="7"/>
      <c r="Y181" s="7"/>
      <c r="Z181" s="7"/>
    </row>
    <row r="182" spans="1:26" ht="12.75" customHeight="1" x14ac:dyDescent="0.2">
      <c r="A182" s="538">
        <v>33970</v>
      </c>
      <c r="B182" s="538">
        <v>34424</v>
      </c>
      <c r="C182" s="28" t="s">
        <v>36</v>
      </c>
      <c r="D182" s="29">
        <v>0</v>
      </c>
      <c r="E182" s="30">
        <v>6674.69</v>
      </c>
      <c r="F182" s="30">
        <v>731.3</v>
      </c>
      <c r="G182" s="30">
        <v>123.95</v>
      </c>
      <c r="H182" s="30">
        <v>6459.63</v>
      </c>
      <c r="I182" s="30">
        <v>0</v>
      </c>
      <c r="J182" s="30">
        <v>1165.8</v>
      </c>
      <c r="K182" s="31">
        <v>13989.57</v>
      </c>
      <c r="L182" s="32">
        <v>15155.37</v>
      </c>
      <c r="M182" s="33"/>
      <c r="N182" s="30">
        <v>13989.57</v>
      </c>
      <c r="O182" s="30">
        <v>7529.94</v>
      </c>
      <c r="P182" s="30"/>
      <c r="Q182" s="30">
        <f>(N182+O182*0.18+J182)+(IF((P182-O182*0.18)&gt;0,(P182-O182*0.18),0))</f>
        <v>16510.7592</v>
      </c>
      <c r="R182" s="7"/>
      <c r="S182" s="7"/>
      <c r="T182" s="7"/>
      <c r="U182" s="7"/>
      <c r="V182" s="7"/>
      <c r="W182" s="7"/>
      <c r="X182" s="7"/>
      <c r="Y182" s="7"/>
      <c r="Z182" s="7"/>
    </row>
    <row r="183" spans="1:26" ht="8.25" customHeight="1" x14ac:dyDescent="0.2">
      <c r="A183" s="534"/>
      <c r="B183" s="534"/>
      <c r="C183" s="34" t="s">
        <v>37</v>
      </c>
      <c r="D183" s="35">
        <v>0</v>
      </c>
      <c r="E183" s="36">
        <v>12924002</v>
      </c>
      <c r="F183" s="36">
        <v>1415994</v>
      </c>
      <c r="G183" s="36">
        <v>240001</v>
      </c>
      <c r="H183" s="36">
        <v>12507588</v>
      </c>
      <c r="I183" s="36">
        <v>0</v>
      </c>
      <c r="J183" s="37">
        <v>2257304</v>
      </c>
      <c r="K183" s="36">
        <v>27087585</v>
      </c>
      <c r="L183" s="38">
        <v>29344888</v>
      </c>
      <c r="M183" s="39"/>
      <c r="N183" s="36">
        <v>27087585</v>
      </c>
      <c r="O183" s="36">
        <v>14579997</v>
      </c>
      <c r="P183" s="36">
        <v>0</v>
      </c>
      <c r="Q183" s="36">
        <f>Q182*1936.27</f>
        <v>31969287.716184001</v>
      </c>
      <c r="R183" s="7"/>
      <c r="S183" s="7"/>
      <c r="T183" s="7"/>
      <c r="U183" s="7"/>
      <c r="V183" s="7"/>
      <c r="W183" s="7"/>
      <c r="X183" s="7"/>
      <c r="Y183" s="7"/>
      <c r="Z183" s="7"/>
    </row>
    <row r="184" spans="1:26" ht="12.75" customHeight="1" x14ac:dyDescent="0.2">
      <c r="A184" s="540">
        <v>33970</v>
      </c>
      <c r="B184" s="540">
        <v>34424</v>
      </c>
      <c r="C184" s="40" t="s">
        <v>36</v>
      </c>
      <c r="D184" s="41">
        <v>1</v>
      </c>
      <c r="E184" s="42">
        <v>7027.95</v>
      </c>
      <c r="F184" s="42">
        <v>768.49</v>
      </c>
      <c r="G184" s="42">
        <v>123.95</v>
      </c>
      <c r="H184" s="42">
        <v>6459.63</v>
      </c>
      <c r="I184" s="42">
        <v>0</v>
      </c>
      <c r="J184" s="42">
        <v>1198.3399999999999</v>
      </c>
      <c r="K184" s="43">
        <v>14380.02</v>
      </c>
      <c r="L184" s="32">
        <v>15578.36</v>
      </c>
      <c r="M184" s="33"/>
      <c r="N184" s="30">
        <v>14380.02</v>
      </c>
      <c r="O184" s="30">
        <v>7920.39</v>
      </c>
      <c r="P184" s="30"/>
      <c r="Q184" s="30">
        <f>(N184+O184*0.18+J184)+(IF((P184-O184*0.18)&gt;0,(P184-O184*0.18),0))</f>
        <v>17004.030200000001</v>
      </c>
      <c r="R184" s="7"/>
      <c r="S184" s="7"/>
      <c r="T184" s="7"/>
      <c r="U184" s="7"/>
      <c r="V184" s="7"/>
      <c r="W184" s="7"/>
      <c r="X184" s="7"/>
      <c r="Y184" s="7"/>
      <c r="Z184" s="7"/>
    </row>
    <row r="185" spans="1:26" ht="8.25" customHeight="1" x14ac:dyDescent="0.2">
      <c r="A185" s="534"/>
      <c r="B185" s="534"/>
      <c r="C185" s="34" t="s">
        <v>37</v>
      </c>
      <c r="D185" s="35">
        <v>2</v>
      </c>
      <c r="E185" s="36">
        <v>13608009</v>
      </c>
      <c r="F185" s="36">
        <v>1488004</v>
      </c>
      <c r="G185" s="36">
        <v>240001</v>
      </c>
      <c r="H185" s="36">
        <v>12507588</v>
      </c>
      <c r="I185" s="36">
        <v>0</v>
      </c>
      <c r="J185" s="37">
        <v>2320310</v>
      </c>
      <c r="K185" s="36">
        <v>27843601</v>
      </c>
      <c r="L185" s="38">
        <v>30163911</v>
      </c>
      <c r="M185" s="39"/>
      <c r="N185" s="36">
        <v>27843601</v>
      </c>
      <c r="O185" s="36">
        <v>15336014</v>
      </c>
      <c r="P185" s="36">
        <v>0</v>
      </c>
      <c r="Q185" s="36">
        <f>Q184*1936.27</f>
        <v>32924393.555354003</v>
      </c>
      <c r="R185" s="7"/>
      <c r="S185" s="7"/>
      <c r="T185" s="7"/>
      <c r="U185" s="7"/>
      <c r="V185" s="7"/>
      <c r="W185" s="7"/>
      <c r="X185" s="7"/>
      <c r="Y185" s="7"/>
      <c r="Z185" s="7"/>
    </row>
    <row r="186" spans="1:26" ht="12.75" customHeight="1" x14ac:dyDescent="0.2">
      <c r="A186" s="534"/>
      <c r="B186" s="534"/>
      <c r="C186" s="40" t="s">
        <v>36</v>
      </c>
      <c r="D186" s="41">
        <v>3</v>
      </c>
      <c r="E186" s="42">
        <v>7387.4</v>
      </c>
      <c r="F186" s="42">
        <v>811.87</v>
      </c>
      <c r="G186" s="42">
        <v>123.95</v>
      </c>
      <c r="H186" s="42">
        <v>6459.63</v>
      </c>
      <c r="I186" s="42">
        <v>0</v>
      </c>
      <c r="J186" s="42">
        <v>1231.9000000000001</v>
      </c>
      <c r="K186" s="43">
        <v>14782.85</v>
      </c>
      <c r="L186" s="32">
        <v>16014.75</v>
      </c>
      <c r="M186" s="33"/>
      <c r="N186" s="30">
        <v>14782.85</v>
      </c>
      <c r="O186" s="30">
        <v>8323.2199999999993</v>
      </c>
      <c r="P186" s="30"/>
      <c r="Q186" s="30">
        <f>(N186+O186*0.18+J186)+(IF((P186-O186*0.18)&gt;0,(P186-O186*0.18),0))</f>
        <v>17512.929599999999</v>
      </c>
      <c r="R186" s="7"/>
      <c r="S186" s="7"/>
      <c r="T186" s="7"/>
      <c r="U186" s="7"/>
      <c r="V186" s="7"/>
      <c r="W186" s="7"/>
      <c r="X186" s="7"/>
      <c r="Y186" s="7"/>
      <c r="Z186" s="7"/>
    </row>
    <row r="187" spans="1:26" ht="8.25" customHeight="1" x14ac:dyDescent="0.2">
      <c r="A187" s="534"/>
      <c r="B187" s="534"/>
      <c r="C187" s="34" t="s">
        <v>37</v>
      </c>
      <c r="D187" s="35">
        <v>4</v>
      </c>
      <c r="E187" s="36">
        <v>14304001</v>
      </c>
      <c r="F187" s="36">
        <v>1572000</v>
      </c>
      <c r="G187" s="36">
        <v>240001</v>
      </c>
      <c r="H187" s="36">
        <v>12507588</v>
      </c>
      <c r="I187" s="36">
        <v>0</v>
      </c>
      <c r="J187" s="37">
        <v>2385291</v>
      </c>
      <c r="K187" s="36">
        <v>28623589</v>
      </c>
      <c r="L187" s="38">
        <v>31008880</v>
      </c>
      <c r="M187" s="39"/>
      <c r="N187" s="36">
        <v>28623589</v>
      </c>
      <c r="O187" s="36">
        <v>16116001</v>
      </c>
      <c r="P187" s="36">
        <v>0</v>
      </c>
      <c r="Q187" s="36">
        <f>Q186*1936.27</f>
        <v>33909760.196591996</v>
      </c>
      <c r="R187" s="7"/>
      <c r="S187" s="7"/>
      <c r="T187" s="7"/>
      <c r="U187" s="7"/>
      <c r="V187" s="7"/>
      <c r="W187" s="7"/>
      <c r="X187" s="7"/>
      <c r="Y187" s="7"/>
      <c r="Z187" s="7"/>
    </row>
    <row r="188" spans="1:26" ht="12.75" customHeight="1" x14ac:dyDescent="0.2">
      <c r="A188" s="534"/>
      <c r="B188" s="534"/>
      <c r="C188" s="40" t="s">
        <v>36</v>
      </c>
      <c r="D188" s="41">
        <v>5</v>
      </c>
      <c r="E188" s="42">
        <v>7740.66</v>
      </c>
      <c r="F188" s="42">
        <v>849.06</v>
      </c>
      <c r="G188" s="42">
        <v>123.95</v>
      </c>
      <c r="H188" s="42">
        <v>6459.63</v>
      </c>
      <c r="I188" s="42">
        <v>0</v>
      </c>
      <c r="J188" s="42">
        <v>1264.44</v>
      </c>
      <c r="K188" s="43">
        <v>15173.3</v>
      </c>
      <c r="L188" s="32">
        <v>16437.740000000002</v>
      </c>
      <c r="M188" s="33"/>
      <c r="N188" s="30">
        <v>15173.3</v>
      </c>
      <c r="O188" s="30">
        <v>8713.67</v>
      </c>
      <c r="P188" s="30"/>
      <c r="Q188" s="30">
        <f>(N188+O188*0.18+J188)+(IF((P188-O188*0.18)&gt;0,(P188-O188*0.18),0))</f>
        <v>18006.200599999996</v>
      </c>
      <c r="R188" s="7"/>
      <c r="S188" s="7"/>
      <c r="T188" s="7"/>
      <c r="U188" s="7"/>
      <c r="V188" s="7"/>
      <c r="W188" s="7"/>
      <c r="X188" s="7"/>
      <c r="Y188" s="7"/>
      <c r="Z188" s="7"/>
    </row>
    <row r="189" spans="1:26" ht="8.25" customHeight="1" x14ac:dyDescent="0.2">
      <c r="A189" s="534"/>
      <c r="B189" s="534"/>
      <c r="C189" s="34" t="s">
        <v>37</v>
      </c>
      <c r="D189" s="35">
        <v>6</v>
      </c>
      <c r="E189" s="36">
        <v>14988008</v>
      </c>
      <c r="F189" s="36">
        <v>1644009</v>
      </c>
      <c r="G189" s="36">
        <v>240001</v>
      </c>
      <c r="H189" s="36">
        <v>12507588</v>
      </c>
      <c r="I189" s="36">
        <v>0</v>
      </c>
      <c r="J189" s="37">
        <v>2448297</v>
      </c>
      <c r="K189" s="36">
        <v>29379606</v>
      </c>
      <c r="L189" s="38">
        <v>31827903</v>
      </c>
      <c r="M189" s="39"/>
      <c r="N189" s="36">
        <v>29379606</v>
      </c>
      <c r="O189" s="36">
        <v>16872018</v>
      </c>
      <c r="P189" s="36">
        <v>0</v>
      </c>
      <c r="Q189" s="36">
        <f>Q188*1936.27</f>
        <v>34864866.03576199</v>
      </c>
      <c r="R189" s="7"/>
      <c r="S189" s="7"/>
      <c r="T189" s="7"/>
      <c r="U189" s="7"/>
      <c r="V189" s="7"/>
      <c r="W189" s="7"/>
      <c r="X189" s="7"/>
      <c r="Y189" s="7"/>
      <c r="Z189" s="7"/>
    </row>
    <row r="190" spans="1:26" ht="12.75" customHeight="1" x14ac:dyDescent="0.2">
      <c r="A190" s="534"/>
      <c r="B190" s="534"/>
      <c r="C190" s="40" t="s">
        <v>36</v>
      </c>
      <c r="D190" s="41">
        <v>7</v>
      </c>
      <c r="E190" s="42">
        <v>8155.89</v>
      </c>
      <c r="F190" s="42">
        <v>892.44</v>
      </c>
      <c r="G190" s="42">
        <v>123.95</v>
      </c>
      <c r="H190" s="42">
        <v>6459.63</v>
      </c>
      <c r="I190" s="42">
        <v>0</v>
      </c>
      <c r="J190" s="42">
        <v>1302.6600000000001</v>
      </c>
      <c r="K190" s="43">
        <v>15631.91</v>
      </c>
      <c r="L190" s="32">
        <v>16934.57</v>
      </c>
      <c r="M190" s="33"/>
      <c r="N190" s="30">
        <v>15631.91</v>
      </c>
      <c r="O190" s="30">
        <v>9172.2800000000007</v>
      </c>
      <c r="P190" s="30"/>
      <c r="Q190" s="30">
        <f>(N190+O190*0.18+J190)+(IF((P190-O190*0.18)&gt;0,(P190-O190*0.18),0))</f>
        <v>18585.580399999999</v>
      </c>
      <c r="R190" s="7"/>
      <c r="S190" s="7"/>
      <c r="T190" s="7"/>
      <c r="U190" s="7"/>
      <c r="V190" s="7"/>
      <c r="W190" s="7"/>
      <c r="X190" s="7"/>
      <c r="Y190" s="7"/>
      <c r="Z190" s="7"/>
    </row>
    <row r="191" spans="1:26" ht="8.25" customHeight="1" x14ac:dyDescent="0.2">
      <c r="A191" s="534"/>
      <c r="B191" s="534"/>
      <c r="C191" s="34" t="s">
        <v>37</v>
      </c>
      <c r="D191" s="35">
        <v>8</v>
      </c>
      <c r="E191" s="36">
        <v>15792005</v>
      </c>
      <c r="F191" s="36">
        <v>1728005</v>
      </c>
      <c r="G191" s="36">
        <v>240001</v>
      </c>
      <c r="H191" s="36">
        <v>12507588</v>
      </c>
      <c r="I191" s="36">
        <v>0</v>
      </c>
      <c r="J191" s="37">
        <v>2522301</v>
      </c>
      <c r="K191" s="36">
        <v>30267598</v>
      </c>
      <c r="L191" s="38">
        <v>32789900</v>
      </c>
      <c r="M191" s="39"/>
      <c r="N191" s="36">
        <v>30267598</v>
      </c>
      <c r="O191" s="36">
        <v>17760011</v>
      </c>
      <c r="P191" s="36">
        <v>0</v>
      </c>
      <c r="Q191" s="36">
        <f>Q190*1936.27</f>
        <v>35986701.761107996</v>
      </c>
      <c r="R191" s="7"/>
      <c r="S191" s="7"/>
      <c r="T191" s="7"/>
      <c r="U191" s="7"/>
      <c r="V191" s="7"/>
      <c r="W191" s="7"/>
      <c r="X191" s="7"/>
      <c r="Y191" s="7"/>
      <c r="Z191" s="7"/>
    </row>
    <row r="192" spans="1:26" ht="12.75" customHeight="1" x14ac:dyDescent="0.2">
      <c r="A192" s="534"/>
      <c r="B192" s="534"/>
      <c r="C192" s="40" t="s">
        <v>36</v>
      </c>
      <c r="D192" s="41">
        <v>9</v>
      </c>
      <c r="E192" s="42">
        <v>8527.74</v>
      </c>
      <c r="F192" s="42">
        <v>935.82</v>
      </c>
      <c r="G192" s="42">
        <v>123.95</v>
      </c>
      <c r="H192" s="42">
        <v>6459.63</v>
      </c>
      <c r="I192" s="42">
        <v>0</v>
      </c>
      <c r="J192" s="42">
        <v>1337.26</v>
      </c>
      <c r="K192" s="43">
        <v>16047.14</v>
      </c>
      <c r="L192" s="32">
        <v>17384.400000000001</v>
      </c>
      <c r="M192" s="33"/>
      <c r="N192" s="30">
        <v>16047.14</v>
      </c>
      <c r="O192" s="30">
        <v>9587.51</v>
      </c>
      <c r="P192" s="30"/>
      <c r="Q192" s="30">
        <f>(N192+O192*0.18+J192)+(IF((P192-O192*0.18)&gt;0,(P192-O192*0.18),0))</f>
        <v>19110.151799999996</v>
      </c>
      <c r="R192" s="7"/>
      <c r="S192" s="7"/>
      <c r="T192" s="7"/>
      <c r="U192" s="7"/>
      <c r="V192" s="7"/>
      <c r="W192" s="7"/>
      <c r="X192" s="7"/>
      <c r="Y192" s="7"/>
      <c r="Z192" s="7"/>
    </row>
    <row r="193" spans="1:26" ht="8.25" customHeight="1" x14ac:dyDescent="0.2">
      <c r="A193" s="534"/>
      <c r="B193" s="534"/>
      <c r="C193" s="34" t="s">
        <v>37</v>
      </c>
      <c r="D193" s="35">
        <v>10</v>
      </c>
      <c r="E193" s="36">
        <v>16512007</v>
      </c>
      <c r="F193" s="36">
        <v>1812000</v>
      </c>
      <c r="G193" s="36">
        <v>240001</v>
      </c>
      <c r="H193" s="36">
        <v>12507588</v>
      </c>
      <c r="I193" s="36">
        <v>0</v>
      </c>
      <c r="J193" s="37">
        <v>2589296</v>
      </c>
      <c r="K193" s="36">
        <v>31071596</v>
      </c>
      <c r="L193" s="38">
        <v>33660892</v>
      </c>
      <c r="M193" s="39"/>
      <c r="N193" s="36">
        <v>31071596</v>
      </c>
      <c r="O193" s="36">
        <v>18564008</v>
      </c>
      <c r="P193" s="36">
        <v>0</v>
      </c>
      <c r="Q193" s="36">
        <f>Q192*1936.27</f>
        <v>37002413.625785992</v>
      </c>
      <c r="R193" s="7"/>
      <c r="S193" s="7"/>
      <c r="T193" s="7"/>
      <c r="U193" s="7"/>
      <c r="V193" s="7"/>
      <c r="W193" s="7"/>
      <c r="X193" s="7"/>
      <c r="Y193" s="7"/>
      <c r="Z193" s="7"/>
    </row>
    <row r="194" spans="1:26" ht="12.75" customHeight="1" x14ac:dyDescent="0.2">
      <c r="A194" s="534"/>
      <c r="B194" s="534"/>
      <c r="C194" s="40" t="s">
        <v>36</v>
      </c>
      <c r="D194" s="41">
        <v>11</v>
      </c>
      <c r="E194" s="42">
        <v>8980.15</v>
      </c>
      <c r="F194" s="42">
        <v>985.4</v>
      </c>
      <c r="G194" s="42">
        <v>123.95</v>
      </c>
      <c r="H194" s="42">
        <v>6459.63</v>
      </c>
      <c r="I194" s="42">
        <v>0</v>
      </c>
      <c r="J194" s="42">
        <v>1379.09</v>
      </c>
      <c r="K194" s="43">
        <v>16549.13</v>
      </c>
      <c r="L194" s="32">
        <v>17928.22</v>
      </c>
      <c r="M194" s="33"/>
      <c r="N194" s="30">
        <v>16549.13</v>
      </c>
      <c r="O194" s="30">
        <v>10089.5</v>
      </c>
      <c r="P194" s="30"/>
      <c r="Q194" s="30">
        <f>(N194+O194*0.18+J194)+(IF((P194-O194*0.18)&gt;0,(P194-O194*0.18),0))</f>
        <v>19744.330000000002</v>
      </c>
      <c r="R194" s="7"/>
      <c r="S194" s="7"/>
      <c r="T194" s="7"/>
      <c r="U194" s="7"/>
      <c r="V194" s="7"/>
      <c r="W194" s="7"/>
      <c r="X194" s="7"/>
      <c r="Y194" s="7"/>
      <c r="Z194" s="7"/>
    </row>
    <row r="195" spans="1:26" ht="8.25" customHeight="1" x14ac:dyDescent="0.2">
      <c r="A195" s="534"/>
      <c r="B195" s="534"/>
      <c r="C195" s="34" t="s">
        <v>37</v>
      </c>
      <c r="D195" s="35">
        <v>12</v>
      </c>
      <c r="E195" s="36">
        <v>17387995</v>
      </c>
      <c r="F195" s="36">
        <v>1908000</v>
      </c>
      <c r="G195" s="36">
        <v>240001</v>
      </c>
      <c r="H195" s="36">
        <v>12507588</v>
      </c>
      <c r="I195" s="36">
        <v>0</v>
      </c>
      <c r="J195" s="37">
        <v>2670291</v>
      </c>
      <c r="K195" s="36">
        <v>32043584</v>
      </c>
      <c r="L195" s="38">
        <v>34713875</v>
      </c>
      <c r="M195" s="39"/>
      <c r="N195" s="36">
        <v>32043584</v>
      </c>
      <c r="O195" s="36">
        <v>19535996</v>
      </c>
      <c r="P195" s="36">
        <v>0</v>
      </c>
      <c r="Q195" s="36">
        <f>Q194*1936.27</f>
        <v>38230353.849100001</v>
      </c>
      <c r="R195" s="7"/>
      <c r="S195" s="7"/>
      <c r="T195" s="7"/>
      <c r="U195" s="7"/>
      <c r="V195" s="7"/>
      <c r="W195" s="7"/>
      <c r="X195" s="7"/>
      <c r="Y195" s="7"/>
      <c r="Z195" s="7"/>
    </row>
    <row r="196" spans="1:26" ht="12.75" customHeight="1" x14ac:dyDescent="0.2">
      <c r="A196" s="534"/>
      <c r="B196" s="534"/>
      <c r="C196" s="40" t="s">
        <v>36</v>
      </c>
      <c r="D196" s="41">
        <v>13</v>
      </c>
      <c r="E196" s="42">
        <v>9463.56</v>
      </c>
      <c r="F196" s="42">
        <v>1034.98</v>
      </c>
      <c r="G196" s="42">
        <v>123.95</v>
      </c>
      <c r="H196" s="42">
        <v>6459.63</v>
      </c>
      <c r="I196" s="42">
        <v>0</v>
      </c>
      <c r="J196" s="42">
        <v>1423.51</v>
      </c>
      <c r="K196" s="43">
        <v>17082.12</v>
      </c>
      <c r="L196" s="32">
        <v>18505.63</v>
      </c>
      <c r="M196" s="33"/>
      <c r="N196" s="30">
        <v>17082.12</v>
      </c>
      <c r="O196" s="30">
        <v>10622.49</v>
      </c>
      <c r="P196" s="30"/>
      <c r="Q196" s="30">
        <f>(N196+O196*0.18+J196)+(IF((P196-O196*0.18)&gt;0,(P196-O196*0.18),0))</f>
        <v>20417.678199999998</v>
      </c>
      <c r="R196" s="7"/>
      <c r="S196" s="7"/>
      <c r="T196" s="7"/>
      <c r="U196" s="7"/>
      <c r="V196" s="7"/>
      <c r="W196" s="7"/>
      <c r="X196" s="7"/>
      <c r="Y196" s="7"/>
      <c r="Z196" s="7"/>
    </row>
    <row r="197" spans="1:26" ht="7.5" customHeight="1" x14ac:dyDescent="0.2">
      <c r="A197" s="534"/>
      <c r="B197" s="534"/>
      <c r="C197" s="34" t="s">
        <v>37</v>
      </c>
      <c r="D197" s="35">
        <v>14</v>
      </c>
      <c r="E197" s="36">
        <v>18324007</v>
      </c>
      <c r="F197" s="36">
        <v>2004001</v>
      </c>
      <c r="G197" s="36">
        <v>240001</v>
      </c>
      <c r="H197" s="36">
        <v>12507588</v>
      </c>
      <c r="I197" s="36">
        <v>0</v>
      </c>
      <c r="J197" s="37">
        <v>2756300</v>
      </c>
      <c r="K197" s="36">
        <v>33075596</v>
      </c>
      <c r="L197" s="38">
        <v>35831896</v>
      </c>
      <c r="M197" s="39"/>
      <c r="N197" s="36">
        <v>33075596</v>
      </c>
      <c r="O197" s="36">
        <v>20568009</v>
      </c>
      <c r="P197" s="36">
        <v>0</v>
      </c>
      <c r="Q197" s="36">
        <f>Q196*1936.27</f>
        <v>39534137.768313996</v>
      </c>
      <c r="R197" s="7"/>
      <c r="S197" s="7"/>
      <c r="T197" s="7"/>
      <c r="U197" s="7"/>
      <c r="V197" s="7"/>
      <c r="W197" s="7"/>
      <c r="X197" s="7"/>
      <c r="Y197" s="7"/>
      <c r="Z197" s="7"/>
    </row>
    <row r="198" spans="1:26" ht="12.75" customHeight="1" x14ac:dyDescent="0.2">
      <c r="A198" s="534"/>
      <c r="B198" s="534"/>
      <c r="C198" s="40" t="s">
        <v>36</v>
      </c>
      <c r="D198" s="41">
        <v>15</v>
      </c>
      <c r="E198" s="42">
        <v>9940.76</v>
      </c>
      <c r="F198" s="42">
        <v>1090.76</v>
      </c>
      <c r="G198" s="42">
        <v>123.95</v>
      </c>
      <c r="H198" s="42">
        <v>6459.63</v>
      </c>
      <c r="I198" s="42">
        <v>0</v>
      </c>
      <c r="J198" s="42">
        <v>1467.93</v>
      </c>
      <c r="K198" s="43">
        <v>17615.099999999999</v>
      </c>
      <c r="L198" s="32">
        <v>19083.03</v>
      </c>
      <c r="M198" s="33"/>
      <c r="N198" s="30">
        <v>17615.099999999999</v>
      </c>
      <c r="O198" s="30">
        <v>11155.47</v>
      </c>
      <c r="P198" s="30"/>
      <c r="Q198" s="30">
        <f>(N198+O198*0.18+J198)+(IF((P198-O198*0.18)&gt;0,(P198-O198*0.18),0))</f>
        <v>21091.014599999999</v>
      </c>
      <c r="R198" s="7"/>
      <c r="S198" s="7"/>
      <c r="T198" s="7"/>
      <c r="U198" s="7"/>
      <c r="V198" s="7"/>
      <c r="W198" s="7"/>
      <c r="X198" s="7"/>
      <c r="Y198" s="7"/>
      <c r="Z198" s="7"/>
    </row>
    <row r="199" spans="1:26" ht="7.5" customHeight="1" x14ac:dyDescent="0.2">
      <c r="A199" s="534"/>
      <c r="B199" s="534"/>
      <c r="C199" s="34" t="s">
        <v>37</v>
      </c>
      <c r="D199" s="35">
        <v>16</v>
      </c>
      <c r="E199" s="36">
        <v>19247995</v>
      </c>
      <c r="F199" s="36">
        <v>2112006</v>
      </c>
      <c r="G199" s="36">
        <v>240001</v>
      </c>
      <c r="H199" s="36">
        <v>12507588</v>
      </c>
      <c r="I199" s="36">
        <v>0</v>
      </c>
      <c r="J199" s="37">
        <v>2842309</v>
      </c>
      <c r="K199" s="36">
        <v>34107590</v>
      </c>
      <c r="L199" s="38">
        <v>36949898</v>
      </c>
      <c r="M199" s="39"/>
      <c r="N199" s="36">
        <v>34107590</v>
      </c>
      <c r="O199" s="36">
        <v>21600002</v>
      </c>
      <c r="P199" s="36">
        <v>0</v>
      </c>
      <c r="Q199" s="36">
        <f>Q198*1936.27</f>
        <v>40837898.839541994</v>
      </c>
      <c r="R199" s="7"/>
      <c r="S199" s="7"/>
      <c r="T199" s="7"/>
      <c r="U199" s="7"/>
      <c r="V199" s="7"/>
      <c r="W199" s="7"/>
      <c r="X199" s="7"/>
      <c r="Y199" s="7"/>
      <c r="Z199" s="7"/>
    </row>
    <row r="200" spans="1:26" ht="12.75" customHeight="1" x14ac:dyDescent="0.2">
      <c r="A200" s="534"/>
      <c r="B200" s="534"/>
      <c r="C200" s="40" t="s">
        <v>36</v>
      </c>
      <c r="D200" s="41">
        <v>17</v>
      </c>
      <c r="E200" s="42">
        <v>11037.72</v>
      </c>
      <c r="F200" s="42">
        <v>1214.71</v>
      </c>
      <c r="G200" s="42">
        <v>123.95</v>
      </c>
      <c r="H200" s="42">
        <v>6459.63</v>
      </c>
      <c r="I200" s="42">
        <v>0</v>
      </c>
      <c r="J200" s="42">
        <v>1569.67</v>
      </c>
      <c r="K200" s="43">
        <v>18836.009999999998</v>
      </c>
      <c r="L200" s="32">
        <v>20405.68</v>
      </c>
      <c r="M200" s="33"/>
      <c r="N200" s="30">
        <v>18836.009999999998</v>
      </c>
      <c r="O200" s="30">
        <v>12376.38</v>
      </c>
      <c r="P200" s="30"/>
      <c r="Q200" s="30">
        <f>(N200+O200*0.18+J200)+(IF((P200-O200*0.18)&gt;0,(P200-O200*0.18),0))</f>
        <v>22633.428399999997</v>
      </c>
      <c r="R200" s="7"/>
      <c r="S200" s="7"/>
      <c r="T200" s="7"/>
      <c r="U200" s="7"/>
      <c r="V200" s="7"/>
      <c r="W200" s="7"/>
      <c r="X200" s="7"/>
      <c r="Y200" s="7"/>
      <c r="Z200" s="7"/>
    </row>
    <row r="201" spans="1:26" ht="8.25" customHeight="1" x14ac:dyDescent="0.2">
      <c r="A201" s="534"/>
      <c r="B201" s="534"/>
      <c r="C201" s="34" t="s">
        <v>37</v>
      </c>
      <c r="D201" s="35">
        <v>17</v>
      </c>
      <c r="E201" s="36">
        <v>21372006</v>
      </c>
      <c r="F201" s="36">
        <v>2352007</v>
      </c>
      <c r="G201" s="36">
        <v>240001</v>
      </c>
      <c r="H201" s="36">
        <v>12507588</v>
      </c>
      <c r="I201" s="36">
        <v>0</v>
      </c>
      <c r="J201" s="37">
        <v>3039305</v>
      </c>
      <c r="K201" s="36">
        <v>36471601</v>
      </c>
      <c r="L201" s="38">
        <v>39510906</v>
      </c>
      <c r="M201" s="39"/>
      <c r="N201" s="36">
        <v>36471601</v>
      </c>
      <c r="O201" s="36">
        <v>23964013</v>
      </c>
      <c r="P201" s="36">
        <v>0</v>
      </c>
      <c r="Q201" s="36">
        <f>Q200*1936.27</f>
        <v>43824428.408067994</v>
      </c>
      <c r="R201" s="7"/>
      <c r="S201" s="7"/>
      <c r="T201" s="7"/>
      <c r="U201" s="7"/>
      <c r="V201" s="7"/>
      <c r="W201" s="7"/>
      <c r="X201" s="7"/>
      <c r="Y201" s="7"/>
      <c r="Z201" s="7"/>
    </row>
    <row r="202" spans="1:26" ht="12.75" customHeight="1" x14ac:dyDescent="0.2">
      <c r="A202" s="534"/>
      <c r="B202" s="534"/>
      <c r="C202" s="40" t="s">
        <v>36</v>
      </c>
      <c r="D202" s="41">
        <v>18</v>
      </c>
      <c r="E202" s="42">
        <v>11347.59</v>
      </c>
      <c r="F202" s="42">
        <v>1245.69</v>
      </c>
      <c r="G202" s="42">
        <v>123.95</v>
      </c>
      <c r="H202" s="42">
        <v>6459.63</v>
      </c>
      <c r="I202" s="42">
        <v>0</v>
      </c>
      <c r="J202" s="42">
        <v>1598.07</v>
      </c>
      <c r="K202" s="43">
        <v>19176.86</v>
      </c>
      <c r="L202" s="32">
        <v>20774.93</v>
      </c>
      <c r="M202" s="33"/>
      <c r="N202" s="30">
        <v>19176.86</v>
      </c>
      <c r="O202" s="30">
        <v>12717.23</v>
      </c>
      <c r="P202" s="30"/>
      <c r="Q202" s="30">
        <f>(N202+O202*0.18+J202)+(IF((P202-O202*0.18)&gt;0,(P202-O202*0.18),0))</f>
        <v>23064.0314</v>
      </c>
      <c r="R202" s="7"/>
      <c r="S202" s="7"/>
      <c r="T202" s="7"/>
      <c r="U202" s="7"/>
      <c r="V202" s="7"/>
      <c r="W202" s="7"/>
      <c r="X202" s="7"/>
      <c r="Y202" s="7"/>
      <c r="Z202" s="7"/>
    </row>
    <row r="203" spans="1:26" ht="7.5" customHeight="1" x14ac:dyDescent="0.2">
      <c r="A203" s="534"/>
      <c r="B203" s="534"/>
      <c r="C203" s="34" t="s">
        <v>37</v>
      </c>
      <c r="D203" s="35">
        <v>19</v>
      </c>
      <c r="E203" s="36">
        <v>21971998</v>
      </c>
      <c r="F203" s="36">
        <v>2411992</v>
      </c>
      <c r="G203" s="36">
        <v>240001</v>
      </c>
      <c r="H203" s="36">
        <v>12507588</v>
      </c>
      <c r="I203" s="36">
        <v>0</v>
      </c>
      <c r="J203" s="37">
        <v>3094295</v>
      </c>
      <c r="K203" s="36">
        <v>37131579</v>
      </c>
      <c r="L203" s="38">
        <v>40225874</v>
      </c>
      <c r="M203" s="39"/>
      <c r="N203" s="36">
        <v>37131579</v>
      </c>
      <c r="O203" s="36">
        <v>24623991</v>
      </c>
      <c r="P203" s="36">
        <v>0</v>
      </c>
      <c r="Q203" s="36">
        <f>Q202*1936.27</f>
        <v>44658192.078878</v>
      </c>
      <c r="R203" s="7"/>
      <c r="S203" s="7"/>
      <c r="T203" s="7"/>
      <c r="U203" s="7"/>
      <c r="V203" s="7"/>
      <c r="W203" s="7"/>
      <c r="X203" s="7"/>
      <c r="Y203" s="7"/>
      <c r="Z203" s="7"/>
    </row>
    <row r="204" spans="1:26" ht="12.75" customHeight="1" x14ac:dyDescent="0.2">
      <c r="A204" s="534"/>
      <c r="B204" s="534"/>
      <c r="C204" s="40" t="s">
        <v>36</v>
      </c>
      <c r="D204" s="41">
        <v>20</v>
      </c>
      <c r="E204" s="42">
        <v>11731.83</v>
      </c>
      <c r="F204" s="42">
        <v>1289.08</v>
      </c>
      <c r="G204" s="42">
        <v>123.95</v>
      </c>
      <c r="H204" s="42">
        <v>6459.63</v>
      </c>
      <c r="I204" s="42">
        <v>0</v>
      </c>
      <c r="J204" s="42">
        <v>1633.71</v>
      </c>
      <c r="K204" s="43">
        <v>19604.490000000002</v>
      </c>
      <c r="L204" s="32">
        <v>21238.2</v>
      </c>
      <c r="M204" s="33"/>
      <c r="N204" s="30">
        <v>19604.490000000002</v>
      </c>
      <c r="O204" s="30">
        <v>13144.86</v>
      </c>
      <c r="P204" s="30"/>
      <c r="Q204" s="30">
        <f>(N204+O204*0.18+J204)+(IF((P204-O204*0.18)&gt;0,(P204-O204*0.18),0))</f>
        <v>23604.274799999999</v>
      </c>
      <c r="R204" s="7"/>
      <c r="S204" s="7"/>
      <c r="T204" s="7"/>
      <c r="U204" s="7"/>
      <c r="V204" s="7"/>
      <c r="W204" s="7"/>
      <c r="X204" s="7"/>
      <c r="Y204" s="7"/>
      <c r="Z204" s="7"/>
    </row>
    <row r="205" spans="1:26" ht="6.75" customHeight="1" x14ac:dyDescent="0.2">
      <c r="A205" s="534"/>
      <c r="B205" s="534"/>
      <c r="C205" s="34" t="s">
        <v>37</v>
      </c>
      <c r="D205" s="35">
        <v>21</v>
      </c>
      <c r="E205" s="36">
        <v>22715990</v>
      </c>
      <c r="F205" s="36">
        <v>2496007</v>
      </c>
      <c r="G205" s="36">
        <v>240001</v>
      </c>
      <c r="H205" s="36">
        <v>12507588</v>
      </c>
      <c r="I205" s="36">
        <v>0</v>
      </c>
      <c r="J205" s="37">
        <v>3163304</v>
      </c>
      <c r="K205" s="36">
        <v>37959586</v>
      </c>
      <c r="L205" s="38">
        <v>41122890</v>
      </c>
      <c r="M205" s="39"/>
      <c r="N205" s="36">
        <v>37959586</v>
      </c>
      <c r="O205" s="36">
        <v>25451998</v>
      </c>
      <c r="P205" s="36">
        <v>0</v>
      </c>
      <c r="Q205" s="36">
        <f>Q204*1936.27</f>
        <v>45704249.166995995</v>
      </c>
      <c r="R205" s="7"/>
      <c r="S205" s="7"/>
      <c r="T205" s="7"/>
      <c r="U205" s="7"/>
      <c r="V205" s="7"/>
      <c r="W205" s="7"/>
      <c r="X205" s="7"/>
      <c r="Y205" s="7"/>
      <c r="Z205" s="7"/>
    </row>
    <row r="206" spans="1:26" ht="12.75" customHeight="1" x14ac:dyDescent="0.2">
      <c r="A206" s="534"/>
      <c r="B206" s="534"/>
      <c r="C206" s="40" t="s">
        <v>36</v>
      </c>
      <c r="D206" s="41">
        <v>22</v>
      </c>
      <c r="E206" s="42">
        <v>11979.73</v>
      </c>
      <c r="F206" s="42">
        <v>1313.87</v>
      </c>
      <c r="G206" s="42">
        <v>123.95</v>
      </c>
      <c r="H206" s="42">
        <v>6459.63</v>
      </c>
      <c r="I206" s="42">
        <v>0</v>
      </c>
      <c r="J206" s="42">
        <v>1656.43</v>
      </c>
      <c r="K206" s="43">
        <v>19877.18</v>
      </c>
      <c r="L206" s="32">
        <v>21533.61</v>
      </c>
      <c r="M206" s="33"/>
      <c r="N206" s="30">
        <v>19877.18</v>
      </c>
      <c r="O206" s="30">
        <v>13417.55</v>
      </c>
      <c r="P206" s="30"/>
      <c r="Q206" s="30">
        <f>(N206+O206*0.18+J206)+(IF((P206-O206*0.18)&gt;0,(P206-O206*0.18),0))</f>
        <v>23948.769</v>
      </c>
      <c r="R206" s="7"/>
      <c r="S206" s="7"/>
      <c r="T206" s="7"/>
      <c r="U206" s="7"/>
      <c r="V206" s="7"/>
      <c r="W206" s="7"/>
      <c r="X206" s="7"/>
      <c r="Y206" s="7"/>
      <c r="Z206" s="7"/>
    </row>
    <row r="207" spans="1:26" ht="8.25" customHeight="1" x14ac:dyDescent="0.2">
      <c r="A207" s="534"/>
      <c r="B207" s="534"/>
      <c r="C207" s="34" t="s">
        <v>37</v>
      </c>
      <c r="D207" s="35">
        <v>23</v>
      </c>
      <c r="E207" s="36">
        <v>23195992</v>
      </c>
      <c r="F207" s="36">
        <v>2544007</v>
      </c>
      <c r="G207" s="36">
        <v>240001</v>
      </c>
      <c r="H207" s="36">
        <v>12507588</v>
      </c>
      <c r="I207" s="36">
        <v>0</v>
      </c>
      <c r="J207" s="37">
        <v>3207296</v>
      </c>
      <c r="K207" s="36">
        <v>38487587</v>
      </c>
      <c r="L207" s="38">
        <v>41694883</v>
      </c>
      <c r="M207" s="39"/>
      <c r="N207" s="36">
        <v>38487587</v>
      </c>
      <c r="O207" s="36">
        <v>25980000</v>
      </c>
      <c r="P207" s="36">
        <v>0</v>
      </c>
      <c r="Q207" s="36">
        <f>Q206*1936.27</f>
        <v>46371282.951629996</v>
      </c>
      <c r="R207" s="7"/>
      <c r="S207" s="7"/>
      <c r="T207" s="7"/>
      <c r="U207" s="7"/>
      <c r="V207" s="7"/>
      <c r="W207" s="7"/>
      <c r="X207" s="7"/>
      <c r="Y207" s="7"/>
      <c r="Z207" s="7"/>
    </row>
    <row r="208" spans="1:26" ht="12.75" customHeight="1" x14ac:dyDescent="0.2">
      <c r="A208" s="534"/>
      <c r="B208" s="534"/>
      <c r="C208" s="40" t="s">
        <v>36</v>
      </c>
      <c r="D208" s="41">
        <v>24</v>
      </c>
      <c r="E208" s="42">
        <v>12295.81</v>
      </c>
      <c r="F208" s="42">
        <v>1351.05</v>
      </c>
      <c r="G208" s="42">
        <v>123.95</v>
      </c>
      <c r="H208" s="42">
        <v>6459.63</v>
      </c>
      <c r="I208" s="42">
        <v>0</v>
      </c>
      <c r="J208" s="42">
        <v>1685.87</v>
      </c>
      <c r="K208" s="43">
        <v>20230.439999999999</v>
      </c>
      <c r="L208" s="32">
        <v>21916.31</v>
      </c>
      <c r="M208" s="33"/>
      <c r="N208" s="30">
        <v>20230.439999999999</v>
      </c>
      <c r="O208" s="30">
        <v>13770.81</v>
      </c>
      <c r="P208" s="30"/>
      <c r="Q208" s="30">
        <f>(N208+O208*0.18+J208)+(IF((P208-O208*0.18)&gt;0,(P208-O208*0.18),0))</f>
        <v>24395.055799999998</v>
      </c>
      <c r="R208" s="7"/>
      <c r="S208" s="7"/>
      <c r="T208" s="7"/>
      <c r="U208" s="7"/>
      <c r="V208" s="7"/>
      <c r="W208" s="7"/>
      <c r="X208" s="7"/>
      <c r="Y208" s="7"/>
      <c r="Z208" s="7"/>
    </row>
    <row r="209" spans="1:26" ht="7.5" customHeight="1" x14ac:dyDescent="0.2">
      <c r="A209" s="534"/>
      <c r="B209" s="534"/>
      <c r="C209" s="34" t="s">
        <v>37</v>
      </c>
      <c r="D209" s="35">
        <v>25</v>
      </c>
      <c r="E209" s="36">
        <v>23808008</v>
      </c>
      <c r="F209" s="36">
        <v>2615998</v>
      </c>
      <c r="G209" s="36">
        <v>240001</v>
      </c>
      <c r="H209" s="36">
        <v>12507588</v>
      </c>
      <c r="I209" s="36">
        <v>0</v>
      </c>
      <c r="J209" s="37">
        <v>3264300</v>
      </c>
      <c r="K209" s="36">
        <v>39171594</v>
      </c>
      <c r="L209" s="38">
        <v>42435894</v>
      </c>
      <c r="M209" s="39"/>
      <c r="N209" s="36">
        <v>39171594</v>
      </c>
      <c r="O209" s="36">
        <v>26664006</v>
      </c>
      <c r="P209" s="36">
        <v>0</v>
      </c>
      <c r="Q209" s="36">
        <f>Q208*1936.27</f>
        <v>47235414.693866</v>
      </c>
      <c r="R209" s="7"/>
      <c r="S209" s="7"/>
      <c r="T209" s="7"/>
      <c r="U209" s="7"/>
      <c r="V209" s="7"/>
      <c r="W209" s="7"/>
      <c r="X209" s="7"/>
      <c r="Y209" s="7"/>
      <c r="Z209" s="7"/>
    </row>
    <row r="210" spans="1:26" ht="12.75" customHeight="1" x14ac:dyDescent="0.2">
      <c r="A210" s="534"/>
      <c r="B210" s="534"/>
      <c r="C210" s="40" t="s">
        <v>36</v>
      </c>
      <c r="D210" s="41">
        <v>26</v>
      </c>
      <c r="E210" s="42">
        <v>12605.68</v>
      </c>
      <c r="F210" s="42">
        <v>1382.04</v>
      </c>
      <c r="G210" s="42">
        <v>123.95</v>
      </c>
      <c r="H210" s="42">
        <v>6459.63</v>
      </c>
      <c r="I210" s="42">
        <v>0</v>
      </c>
      <c r="J210" s="42">
        <v>1714.28</v>
      </c>
      <c r="K210" s="43">
        <v>20571.3</v>
      </c>
      <c r="L210" s="32">
        <v>22285.58</v>
      </c>
      <c r="M210" s="33"/>
      <c r="N210" s="30">
        <v>20571.3</v>
      </c>
      <c r="O210" s="30">
        <v>14111.67</v>
      </c>
      <c r="P210" s="30"/>
      <c r="Q210" s="30">
        <f>(N210+O210*0.18+J210)+(IF((P210-O210*0.18)&gt;0,(P210-O210*0.18),0))</f>
        <v>24825.6806</v>
      </c>
      <c r="R210" s="7"/>
      <c r="S210" s="7"/>
      <c r="T210" s="7"/>
      <c r="U210" s="7"/>
      <c r="V210" s="7"/>
      <c r="W210" s="7"/>
      <c r="X210" s="7"/>
      <c r="Y210" s="7"/>
      <c r="Z210" s="7"/>
    </row>
    <row r="211" spans="1:26" ht="8.25" customHeight="1" x14ac:dyDescent="0.2">
      <c r="A211" s="534"/>
      <c r="B211" s="534"/>
      <c r="C211" s="34" t="s">
        <v>37</v>
      </c>
      <c r="D211" s="35">
        <v>27</v>
      </c>
      <c r="E211" s="36">
        <v>24408000</v>
      </c>
      <c r="F211" s="36">
        <v>2676003</v>
      </c>
      <c r="G211" s="36">
        <v>240001</v>
      </c>
      <c r="H211" s="36">
        <v>12507588</v>
      </c>
      <c r="I211" s="36">
        <v>0</v>
      </c>
      <c r="J211" s="37">
        <v>3319309</v>
      </c>
      <c r="K211" s="36">
        <v>39831591</v>
      </c>
      <c r="L211" s="38">
        <v>43150900</v>
      </c>
      <c r="M211" s="39"/>
      <c r="N211" s="36">
        <v>39831591</v>
      </c>
      <c r="O211" s="36">
        <v>27324003</v>
      </c>
      <c r="P211" s="36">
        <v>0</v>
      </c>
      <c r="Q211" s="36">
        <f>Q210*1936.27</f>
        <v>48069220.575361997</v>
      </c>
      <c r="R211" s="7"/>
      <c r="S211" s="7"/>
      <c r="T211" s="7"/>
      <c r="U211" s="7"/>
      <c r="V211" s="7"/>
      <c r="W211" s="7"/>
      <c r="X211" s="7"/>
      <c r="Y211" s="7"/>
      <c r="Z211" s="7"/>
    </row>
    <row r="212" spans="1:26" ht="12.75" customHeight="1" x14ac:dyDescent="0.2">
      <c r="A212" s="534"/>
      <c r="B212" s="534"/>
      <c r="C212" s="40" t="s">
        <v>36</v>
      </c>
      <c r="D212" s="41">
        <v>28</v>
      </c>
      <c r="E212" s="42">
        <v>12909.36</v>
      </c>
      <c r="F212" s="42">
        <v>1419.22</v>
      </c>
      <c r="G212" s="42">
        <v>123.95</v>
      </c>
      <c r="H212" s="42">
        <v>6459.63</v>
      </c>
      <c r="I212" s="42">
        <v>0</v>
      </c>
      <c r="J212" s="42">
        <v>1742.68</v>
      </c>
      <c r="K212" s="43">
        <v>20912.16</v>
      </c>
      <c r="L212" s="32">
        <v>22654.84</v>
      </c>
      <c r="M212" s="33"/>
      <c r="N212" s="30">
        <v>20912.16</v>
      </c>
      <c r="O212" s="30">
        <v>14452.53</v>
      </c>
      <c r="P212" s="30"/>
      <c r="Q212" s="30">
        <f>(N212+O212*0.18+J212)+(IF((P212-O212*0.18)&gt;0,(P212-O212*0.18),0))</f>
        <v>25256.295399999999</v>
      </c>
      <c r="R212" s="7"/>
      <c r="S212" s="7"/>
      <c r="T212" s="7"/>
      <c r="U212" s="7"/>
      <c r="V212" s="7"/>
      <c r="W212" s="7"/>
      <c r="X212" s="7"/>
      <c r="Y212" s="7"/>
      <c r="Z212" s="7"/>
    </row>
    <row r="213" spans="1:26" ht="9" customHeight="1" x14ac:dyDescent="0.2">
      <c r="A213" s="534"/>
      <c r="B213" s="534"/>
      <c r="C213" s="34" t="s">
        <v>37</v>
      </c>
      <c r="D213" s="35">
        <v>29</v>
      </c>
      <c r="E213" s="36">
        <v>24996006</v>
      </c>
      <c r="F213" s="36">
        <v>2747993</v>
      </c>
      <c r="G213" s="36">
        <v>240001</v>
      </c>
      <c r="H213" s="36">
        <v>12507588</v>
      </c>
      <c r="I213" s="36">
        <v>0</v>
      </c>
      <c r="J213" s="37">
        <v>3374299</v>
      </c>
      <c r="K213" s="36">
        <v>40491588</v>
      </c>
      <c r="L213" s="38">
        <v>43865887</v>
      </c>
      <c r="M213" s="39"/>
      <c r="N213" s="36">
        <v>40491588</v>
      </c>
      <c r="O213" s="36">
        <v>27984000</v>
      </c>
      <c r="P213" s="36">
        <v>0</v>
      </c>
      <c r="Q213" s="36">
        <f>Q212*1936.27</f>
        <v>48903007.094158001</v>
      </c>
      <c r="R213" s="7"/>
      <c r="S213" s="7"/>
      <c r="T213" s="7"/>
      <c r="U213" s="7"/>
      <c r="V213" s="7"/>
      <c r="W213" s="7"/>
      <c r="X213" s="7"/>
      <c r="Y213" s="7"/>
      <c r="Z213" s="7"/>
    </row>
    <row r="214" spans="1:26" ht="12.75" customHeight="1" x14ac:dyDescent="0.2">
      <c r="A214" s="534"/>
      <c r="B214" s="534"/>
      <c r="C214" s="40" t="s">
        <v>36</v>
      </c>
      <c r="D214" s="41">
        <v>30</v>
      </c>
      <c r="E214" s="42">
        <v>13225.43</v>
      </c>
      <c r="F214" s="42">
        <v>1450.21</v>
      </c>
      <c r="G214" s="42">
        <v>123.95</v>
      </c>
      <c r="H214" s="42">
        <v>6459.63</v>
      </c>
      <c r="I214" s="42">
        <v>0</v>
      </c>
      <c r="J214" s="42">
        <v>1771.6</v>
      </c>
      <c r="K214" s="43">
        <v>21259.22</v>
      </c>
      <c r="L214" s="32">
        <v>23030.82</v>
      </c>
      <c r="M214" s="33"/>
      <c r="N214" s="30">
        <v>21259.22</v>
      </c>
      <c r="O214" s="30">
        <v>14799.59</v>
      </c>
      <c r="P214" s="30"/>
      <c r="Q214" s="30">
        <f>(N214+O214*0.18+J214)+(IF((P214-O214*0.18)&gt;0,(P214-O214*0.18),0))</f>
        <v>25694.746200000001</v>
      </c>
      <c r="R214" s="7"/>
      <c r="S214" s="7"/>
      <c r="T214" s="7"/>
      <c r="U214" s="7"/>
      <c r="V214" s="7"/>
      <c r="W214" s="7"/>
      <c r="X214" s="7"/>
      <c r="Y214" s="7"/>
      <c r="Z214" s="7"/>
    </row>
    <row r="215" spans="1:26" ht="9" customHeight="1" x14ac:dyDescent="0.2">
      <c r="A215" s="534"/>
      <c r="B215" s="534"/>
      <c r="C215" s="34" t="s">
        <v>37</v>
      </c>
      <c r="D215" s="35">
        <v>31</v>
      </c>
      <c r="E215" s="36">
        <v>25608003</v>
      </c>
      <c r="F215" s="36">
        <v>2807998</v>
      </c>
      <c r="G215" s="36">
        <v>240001</v>
      </c>
      <c r="H215" s="36">
        <v>12507588</v>
      </c>
      <c r="I215" s="36">
        <v>0</v>
      </c>
      <c r="J215" s="37">
        <v>3430296</v>
      </c>
      <c r="K215" s="36">
        <v>41163590</v>
      </c>
      <c r="L215" s="38">
        <v>44593886</v>
      </c>
      <c r="M215" s="39"/>
      <c r="N215" s="36">
        <v>41163590</v>
      </c>
      <c r="O215" s="36">
        <v>28656002</v>
      </c>
      <c r="P215" s="36">
        <v>0</v>
      </c>
      <c r="Q215" s="36">
        <f>Q214*1936.27</f>
        <v>49751966.224674001</v>
      </c>
      <c r="R215" s="7"/>
      <c r="S215" s="7"/>
      <c r="T215" s="7"/>
      <c r="U215" s="7"/>
      <c r="V215" s="7"/>
      <c r="W215" s="7"/>
      <c r="X215" s="7"/>
      <c r="Y215" s="7"/>
      <c r="Z215" s="7"/>
    </row>
    <row r="216" spans="1:26" ht="12.75" customHeight="1" x14ac:dyDescent="0.2">
      <c r="A216" s="534"/>
      <c r="B216" s="534"/>
      <c r="C216" s="40" t="s">
        <v>36</v>
      </c>
      <c r="D216" s="41">
        <v>32</v>
      </c>
      <c r="E216" s="42">
        <v>13535.3</v>
      </c>
      <c r="F216" s="42">
        <v>1487.4</v>
      </c>
      <c r="G216" s="42">
        <v>123.95</v>
      </c>
      <c r="H216" s="42">
        <v>6459.63</v>
      </c>
      <c r="I216" s="42">
        <v>0</v>
      </c>
      <c r="J216" s="42">
        <v>1800.52</v>
      </c>
      <c r="K216" s="43">
        <v>21606.28</v>
      </c>
      <c r="L216" s="32">
        <v>23406.799999999999</v>
      </c>
      <c r="M216" s="33"/>
      <c r="N216" s="30">
        <v>21606.28</v>
      </c>
      <c r="O216" s="30">
        <v>15146.65</v>
      </c>
      <c r="P216" s="30"/>
      <c r="Q216" s="30">
        <f>(N216+O216*0.18+J216)+(IF((P216-O216*0.18)&gt;0,(P216-O216*0.18),0))</f>
        <v>26133.197</v>
      </c>
      <c r="R216" s="7"/>
      <c r="S216" s="7"/>
      <c r="T216" s="7"/>
      <c r="U216" s="7"/>
      <c r="V216" s="7"/>
      <c r="W216" s="7"/>
      <c r="X216" s="7"/>
      <c r="Y216" s="7"/>
      <c r="Z216" s="7"/>
    </row>
    <row r="217" spans="1:26" ht="9" customHeight="1" x14ac:dyDescent="0.2">
      <c r="A217" s="534"/>
      <c r="B217" s="534"/>
      <c r="C217" s="34" t="s">
        <v>37</v>
      </c>
      <c r="D217" s="35">
        <v>33</v>
      </c>
      <c r="E217" s="36">
        <v>26207995</v>
      </c>
      <c r="F217" s="36">
        <v>2880008</v>
      </c>
      <c r="G217" s="36">
        <v>240001</v>
      </c>
      <c r="H217" s="36">
        <v>12507588</v>
      </c>
      <c r="I217" s="36">
        <v>0</v>
      </c>
      <c r="J217" s="37">
        <v>3486293</v>
      </c>
      <c r="K217" s="36">
        <v>41835592</v>
      </c>
      <c r="L217" s="38">
        <v>45321885</v>
      </c>
      <c r="M217" s="39"/>
      <c r="N217" s="36">
        <v>41835592</v>
      </c>
      <c r="O217" s="36">
        <v>29328004</v>
      </c>
      <c r="P217" s="36">
        <v>0</v>
      </c>
      <c r="Q217" s="36">
        <f>Q216*1936.27</f>
        <v>50600925.355190001</v>
      </c>
      <c r="R217" s="7"/>
      <c r="S217" s="7"/>
      <c r="T217" s="7"/>
      <c r="U217" s="7"/>
      <c r="V217" s="7"/>
      <c r="W217" s="7"/>
      <c r="X217" s="7"/>
      <c r="Y217" s="7"/>
      <c r="Z217" s="7"/>
    </row>
    <row r="218" spans="1:26" ht="12.75" customHeight="1" x14ac:dyDescent="0.2">
      <c r="A218" s="534"/>
      <c r="B218" s="534"/>
      <c r="C218" s="40" t="s">
        <v>36</v>
      </c>
      <c r="D218" s="41">
        <v>34</v>
      </c>
      <c r="E218" s="42">
        <v>13851.37</v>
      </c>
      <c r="F218" s="42">
        <v>1518.38</v>
      </c>
      <c r="G218" s="42">
        <v>123.95</v>
      </c>
      <c r="H218" s="42">
        <v>6459.63</v>
      </c>
      <c r="I218" s="42">
        <v>0</v>
      </c>
      <c r="J218" s="42">
        <v>1829.44</v>
      </c>
      <c r="K218" s="43">
        <v>21953.33</v>
      </c>
      <c r="L218" s="32">
        <v>23782.77</v>
      </c>
      <c r="M218" s="33"/>
      <c r="N218" s="30">
        <v>21953.33</v>
      </c>
      <c r="O218" s="30">
        <v>15493.7</v>
      </c>
      <c r="P218" s="30"/>
      <c r="Q218" s="30">
        <f>(N218+O218*0.18+J218)+(IF((P218-O218*0.18)&gt;0,(P218-O218*0.18),0))</f>
        <v>26571.636000000002</v>
      </c>
      <c r="R218" s="7"/>
      <c r="S218" s="7"/>
      <c r="T218" s="7"/>
      <c r="U218" s="7"/>
      <c r="V218" s="7"/>
      <c r="W218" s="7"/>
      <c r="X218" s="7"/>
      <c r="Y218" s="7"/>
      <c r="Z218" s="7"/>
    </row>
    <row r="219" spans="1:26" ht="9" customHeight="1" x14ac:dyDescent="0.2">
      <c r="A219" s="534"/>
      <c r="B219" s="534"/>
      <c r="C219" s="34" t="s">
        <v>37</v>
      </c>
      <c r="D219" s="35">
        <v>35</v>
      </c>
      <c r="E219" s="36">
        <v>26819992</v>
      </c>
      <c r="F219" s="36">
        <v>2939994</v>
      </c>
      <c r="G219" s="36">
        <v>240001</v>
      </c>
      <c r="H219" s="36">
        <v>12507588</v>
      </c>
      <c r="I219" s="36">
        <v>0</v>
      </c>
      <c r="J219" s="37">
        <v>3542290</v>
      </c>
      <c r="K219" s="36">
        <v>42507574</v>
      </c>
      <c r="L219" s="38">
        <v>46049864</v>
      </c>
      <c r="M219" s="39"/>
      <c r="N219" s="36">
        <v>42507574</v>
      </c>
      <c r="O219" s="36">
        <v>29999986</v>
      </c>
      <c r="P219" s="36">
        <v>0</v>
      </c>
      <c r="Q219" s="36">
        <f>Q218*1936.27</f>
        <v>51449861.637720004</v>
      </c>
      <c r="R219" s="7"/>
      <c r="S219" s="7"/>
      <c r="T219" s="7"/>
      <c r="U219" s="7"/>
      <c r="V219" s="7"/>
      <c r="W219" s="7"/>
      <c r="X219" s="7"/>
      <c r="Y219" s="7"/>
      <c r="Z219" s="7"/>
    </row>
    <row r="220" spans="1:26" ht="12.75" customHeight="1" x14ac:dyDescent="0.2">
      <c r="A220" s="534"/>
      <c r="B220" s="534"/>
      <c r="C220" s="40" t="s">
        <v>36</v>
      </c>
      <c r="D220" s="41">
        <v>36</v>
      </c>
      <c r="E220" s="42">
        <v>14161.25</v>
      </c>
      <c r="F220" s="42">
        <v>1555.57</v>
      </c>
      <c r="G220" s="42">
        <v>123.95</v>
      </c>
      <c r="H220" s="42">
        <v>6459.63</v>
      </c>
      <c r="I220" s="42">
        <v>0</v>
      </c>
      <c r="J220" s="42">
        <v>1858.37</v>
      </c>
      <c r="K220" s="43">
        <v>22300.400000000001</v>
      </c>
      <c r="L220" s="32">
        <v>24158.77</v>
      </c>
      <c r="M220" s="33"/>
      <c r="N220" s="30">
        <v>22300.400000000001</v>
      </c>
      <c r="O220" s="30">
        <v>15840.77</v>
      </c>
      <c r="P220" s="30"/>
      <c r="Q220" s="30">
        <f>(N220+O220*0.18+J220)+(IF((P220-O220*0.18)&gt;0,(P220-O220*0.18),0))</f>
        <v>27010.1086</v>
      </c>
      <c r="R220" s="7"/>
      <c r="S220" s="7"/>
      <c r="T220" s="7"/>
      <c r="U220" s="7"/>
      <c r="V220" s="7"/>
      <c r="W220" s="7"/>
      <c r="X220" s="7"/>
      <c r="Y220" s="7"/>
      <c r="Z220" s="7"/>
    </row>
    <row r="221" spans="1:26" ht="9" customHeight="1" x14ac:dyDescent="0.2">
      <c r="A221" s="534"/>
      <c r="B221" s="534"/>
      <c r="C221" s="34" t="s">
        <v>37</v>
      </c>
      <c r="D221" s="35">
        <v>37</v>
      </c>
      <c r="E221" s="36">
        <v>27420004</v>
      </c>
      <c r="F221" s="36">
        <v>3012004</v>
      </c>
      <c r="G221" s="36">
        <v>240001</v>
      </c>
      <c r="H221" s="36">
        <v>12507588</v>
      </c>
      <c r="I221" s="36">
        <v>0</v>
      </c>
      <c r="J221" s="37">
        <v>3598306</v>
      </c>
      <c r="K221" s="36">
        <v>43179596</v>
      </c>
      <c r="L221" s="38">
        <v>46777902</v>
      </c>
      <c r="M221" s="39"/>
      <c r="N221" s="36">
        <v>43179596</v>
      </c>
      <c r="O221" s="36">
        <v>30672008</v>
      </c>
      <c r="P221" s="36">
        <v>0</v>
      </c>
      <c r="Q221" s="36">
        <f>Q220*1936.27</f>
        <v>52298862.978922002</v>
      </c>
      <c r="R221" s="7"/>
      <c r="S221" s="7"/>
      <c r="T221" s="7"/>
      <c r="U221" s="7"/>
      <c r="V221" s="7"/>
      <c r="W221" s="7"/>
      <c r="X221" s="7"/>
      <c r="Y221" s="7"/>
      <c r="Z221" s="7"/>
    </row>
    <row r="222" spans="1:26" ht="9" customHeight="1" x14ac:dyDescent="0.2">
      <c r="A222" s="534"/>
      <c r="B222" s="534"/>
      <c r="C222" s="44" t="s">
        <v>36</v>
      </c>
      <c r="D222" s="45">
        <v>38</v>
      </c>
      <c r="E222" s="42">
        <v>14471.12</v>
      </c>
      <c r="F222" s="42">
        <v>1586.56</v>
      </c>
      <c r="G222" s="42">
        <v>123.95</v>
      </c>
      <c r="H222" s="42">
        <v>6459.63</v>
      </c>
      <c r="I222" s="42">
        <v>0</v>
      </c>
      <c r="J222" s="42">
        <v>1886.77</v>
      </c>
      <c r="K222" s="43">
        <v>22641.26</v>
      </c>
      <c r="L222" s="32">
        <v>24528.03</v>
      </c>
      <c r="M222" s="33"/>
      <c r="N222" s="30">
        <v>22641.26</v>
      </c>
      <c r="O222" s="30">
        <v>16181.63</v>
      </c>
      <c r="P222" s="30"/>
      <c r="Q222" s="30">
        <f>(N222+O222*0.18+J222)+(IF((P222-O222*0.18)&gt;0,(P222-O222*0.18),0))</f>
        <v>27440.723399999999</v>
      </c>
      <c r="R222" s="7"/>
      <c r="S222" s="7"/>
      <c r="T222" s="7"/>
      <c r="U222" s="7"/>
      <c r="V222" s="7"/>
      <c r="W222" s="7"/>
      <c r="X222" s="7"/>
      <c r="Y222" s="7"/>
      <c r="Z222" s="7"/>
    </row>
    <row r="223" spans="1:26" ht="9" customHeight="1" x14ac:dyDescent="0.2">
      <c r="A223" s="534"/>
      <c r="B223" s="534"/>
      <c r="C223" s="44" t="s">
        <v>37</v>
      </c>
      <c r="D223" s="45">
        <v>39</v>
      </c>
      <c r="E223" s="36">
        <v>28019996</v>
      </c>
      <c r="F223" s="36">
        <v>3072009</v>
      </c>
      <c r="G223" s="36">
        <v>240001</v>
      </c>
      <c r="H223" s="36">
        <v>12507588</v>
      </c>
      <c r="I223" s="36">
        <v>0</v>
      </c>
      <c r="J223" s="37">
        <v>3653296</v>
      </c>
      <c r="K223" s="36">
        <v>43839593</v>
      </c>
      <c r="L223" s="38">
        <v>47492889</v>
      </c>
      <c r="M223" s="39"/>
      <c r="N223" s="46">
        <v>43839593</v>
      </c>
      <c r="O223" s="46">
        <v>31332005</v>
      </c>
      <c r="P223" s="46">
        <v>0</v>
      </c>
      <c r="Q223" s="36">
        <f>Q222*1936.27</f>
        <v>53132649.497717999</v>
      </c>
      <c r="R223" s="7"/>
      <c r="S223" s="7"/>
      <c r="T223" s="7"/>
      <c r="U223" s="7"/>
      <c r="V223" s="7"/>
      <c r="W223" s="7"/>
      <c r="X223" s="7"/>
      <c r="Y223" s="7"/>
      <c r="Z223" s="7"/>
    </row>
    <row r="224" spans="1:26" ht="12.75" customHeight="1" x14ac:dyDescent="0.2">
      <c r="A224" s="534"/>
      <c r="B224" s="534"/>
      <c r="C224" s="40" t="s">
        <v>36</v>
      </c>
      <c r="D224" s="41">
        <v>40</v>
      </c>
      <c r="E224" s="42">
        <v>14781</v>
      </c>
      <c r="F224" s="42">
        <v>1623.74</v>
      </c>
      <c r="G224" s="42">
        <v>123.95</v>
      </c>
      <c r="H224" s="42">
        <v>6459.63</v>
      </c>
      <c r="I224" s="42">
        <v>0</v>
      </c>
      <c r="J224" s="42">
        <v>1915.69</v>
      </c>
      <c r="K224" s="43">
        <v>22988.32</v>
      </c>
      <c r="L224" s="32">
        <v>24904.01</v>
      </c>
      <c r="M224" s="33"/>
      <c r="N224" s="30">
        <v>22988.32</v>
      </c>
      <c r="O224" s="30">
        <v>16528.689999999999</v>
      </c>
      <c r="P224" s="30"/>
      <c r="Q224" s="30">
        <f>(N224+O224*0.18+J224)+(IF((P224-O224*0.18)&gt;0,(P224-O224*0.18),0))</f>
        <v>27879.174199999998</v>
      </c>
      <c r="R224" s="7"/>
      <c r="S224" s="7"/>
      <c r="T224" s="7"/>
      <c r="U224" s="7"/>
      <c r="V224" s="7"/>
      <c r="W224" s="7"/>
      <c r="X224" s="7"/>
      <c r="Y224" s="7"/>
      <c r="Z224" s="7"/>
    </row>
    <row r="225" spans="1:26" ht="9" customHeight="1" x14ac:dyDescent="0.2">
      <c r="A225" s="535"/>
      <c r="B225" s="535"/>
      <c r="C225" s="47"/>
      <c r="D225" s="48"/>
      <c r="E225" s="46">
        <v>28620007</v>
      </c>
      <c r="F225" s="46">
        <v>3143999</v>
      </c>
      <c r="G225" s="46">
        <v>240001</v>
      </c>
      <c r="H225" s="46">
        <v>12507588</v>
      </c>
      <c r="I225" s="46">
        <v>0</v>
      </c>
      <c r="J225" s="49">
        <v>3709293</v>
      </c>
      <c r="K225" s="46">
        <v>44511594</v>
      </c>
      <c r="L225" s="38">
        <v>48220887</v>
      </c>
      <c r="M225" s="39"/>
      <c r="N225" s="36">
        <v>44511594</v>
      </c>
      <c r="O225" s="36">
        <v>32004007</v>
      </c>
      <c r="P225" s="36">
        <v>0</v>
      </c>
      <c r="Q225" s="36">
        <f>Q224*1936.27</f>
        <v>53981608.628233992</v>
      </c>
      <c r="R225" s="7"/>
      <c r="S225" s="7"/>
      <c r="T225" s="7"/>
      <c r="U225" s="7"/>
      <c r="V225" s="7"/>
      <c r="W225" s="7"/>
      <c r="X225" s="7"/>
      <c r="Y225" s="7"/>
      <c r="Z225" s="7"/>
    </row>
    <row r="226" spans="1:26" ht="12.75" customHeight="1" x14ac:dyDescent="0.2">
      <c r="A226" s="538">
        <v>34425</v>
      </c>
      <c r="B226" s="538">
        <v>34515</v>
      </c>
      <c r="C226" s="28" t="s">
        <v>36</v>
      </c>
      <c r="D226" s="29">
        <v>0</v>
      </c>
      <c r="E226" s="30">
        <v>6674.69</v>
      </c>
      <c r="F226" s="30">
        <v>731.3</v>
      </c>
      <c r="G226" s="30">
        <v>123.95</v>
      </c>
      <c r="H226" s="30">
        <v>6459.63</v>
      </c>
      <c r="I226" s="30">
        <v>137.91</v>
      </c>
      <c r="J226" s="30">
        <v>1165.8</v>
      </c>
      <c r="K226" s="31">
        <v>14127.48</v>
      </c>
      <c r="L226" s="32">
        <v>15293.28</v>
      </c>
      <c r="M226" s="33"/>
      <c r="N226" s="30">
        <v>14127.48</v>
      </c>
      <c r="O226" s="30">
        <v>7667.85</v>
      </c>
      <c r="P226" s="30"/>
      <c r="Q226" s="30">
        <f>(N226+O226*0.18+J226)+(IF((P226-O226*0.18)&gt;0,(P226-O226*0.18),0))</f>
        <v>16673.492999999999</v>
      </c>
      <c r="R226" s="7"/>
      <c r="S226" s="7"/>
      <c r="T226" s="7"/>
      <c r="U226" s="7"/>
      <c r="V226" s="7"/>
      <c r="W226" s="7"/>
      <c r="X226" s="7"/>
      <c r="Y226" s="7"/>
      <c r="Z226" s="7"/>
    </row>
    <row r="227" spans="1:26" ht="8.25" customHeight="1" x14ac:dyDescent="0.2">
      <c r="A227" s="534"/>
      <c r="B227" s="534"/>
      <c r="C227" s="34" t="s">
        <v>37</v>
      </c>
      <c r="D227" s="35">
        <v>0</v>
      </c>
      <c r="E227" s="36">
        <v>12924002</v>
      </c>
      <c r="F227" s="36">
        <v>1415994</v>
      </c>
      <c r="G227" s="36">
        <v>240001</v>
      </c>
      <c r="H227" s="36">
        <v>12507588</v>
      </c>
      <c r="I227" s="36">
        <v>267031</v>
      </c>
      <c r="J227" s="37">
        <v>2257304</v>
      </c>
      <c r="K227" s="36">
        <v>27354616</v>
      </c>
      <c r="L227" s="38">
        <v>29611919</v>
      </c>
      <c r="M227" s="39"/>
      <c r="N227" s="36">
        <v>27354616</v>
      </c>
      <c r="O227" s="36">
        <v>14847028</v>
      </c>
      <c r="P227" s="36">
        <v>0</v>
      </c>
      <c r="Q227" s="36">
        <f>Q226*1936.27</f>
        <v>32284384.291109998</v>
      </c>
      <c r="R227" s="7"/>
      <c r="S227" s="7"/>
      <c r="T227" s="7"/>
      <c r="U227" s="7"/>
      <c r="V227" s="7"/>
      <c r="W227" s="7"/>
      <c r="X227" s="7"/>
      <c r="Y227" s="7"/>
      <c r="Z227" s="7"/>
    </row>
    <row r="228" spans="1:26" ht="12.75" customHeight="1" x14ac:dyDescent="0.2">
      <c r="A228" s="540">
        <v>34425</v>
      </c>
      <c r="B228" s="540">
        <v>34515</v>
      </c>
      <c r="C228" s="40" t="s">
        <v>36</v>
      </c>
      <c r="D228" s="41">
        <v>1</v>
      </c>
      <c r="E228" s="42">
        <v>7027.95</v>
      </c>
      <c r="F228" s="42">
        <v>768.49</v>
      </c>
      <c r="G228" s="42">
        <v>123.95</v>
      </c>
      <c r="H228" s="42">
        <v>6459.63</v>
      </c>
      <c r="I228" s="42">
        <v>137.91</v>
      </c>
      <c r="J228" s="42">
        <v>1198.3399999999999</v>
      </c>
      <c r="K228" s="43">
        <v>14517.93</v>
      </c>
      <c r="L228" s="32">
        <v>15716.27</v>
      </c>
      <c r="M228" s="33"/>
      <c r="N228" s="30">
        <v>14517.93</v>
      </c>
      <c r="O228" s="30">
        <v>8058.3</v>
      </c>
      <c r="P228" s="30"/>
      <c r="Q228" s="30">
        <f>(N228+O228*0.18+J228)+(IF((P228-O228*0.18)&gt;0,(P228-O228*0.18),0))</f>
        <v>17166.763999999999</v>
      </c>
      <c r="R228" s="7"/>
      <c r="S228" s="7"/>
      <c r="T228" s="7"/>
      <c r="U228" s="7"/>
      <c r="V228" s="7"/>
      <c r="W228" s="7"/>
      <c r="X228" s="7"/>
      <c r="Y228" s="7"/>
      <c r="Z228" s="7"/>
    </row>
    <row r="229" spans="1:26" ht="8.25" customHeight="1" x14ac:dyDescent="0.2">
      <c r="A229" s="534"/>
      <c r="B229" s="534"/>
      <c r="C229" s="34" t="s">
        <v>37</v>
      </c>
      <c r="D229" s="35">
        <v>2</v>
      </c>
      <c r="E229" s="36">
        <v>13608009</v>
      </c>
      <c r="F229" s="36">
        <v>1488004</v>
      </c>
      <c r="G229" s="36">
        <v>240001</v>
      </c>
      <c r="H229" s="36">
        <v>12507588</v>
      </c>
      <c r="I229" s="36">
        <v>267031</v>
      </c>
      <c r="J229" s="37">
        <v>2320310</v>
      </c>
      <c r="K229" s="36">
        <v>28110632</v>
      </c>
      <c r="L229" s="38">
        <v>30430942</v>
      </c>
      <c r="M229" s="39"/>
      <c r="N229" s="36">
        <v>28110632</v>
      </c>
      <c r="O229" s="36">
        <v>15603045</v>
      </c>
      <c r="P229" s="36">
        <v>0</v>
      </c>
      <c r="Q229" s="36">
        <f>Q228*1936.27</f>
        <v>33239490.130279999</v>
      </c>
      <c r="R229" s="7"/>
      <c r="S229" s="7"/>
      <c r="T229" s="7"/>
      <c r="U229" s="7"/>
      <c r="V229" s="7"/>
      <c r="W229" s="7"/>
      <c r="X229" s="7"/>
      <c r="Y229" s="7"/>
      <c r="Z229" s="7"/>
    </row>
    <row r="230" spans="1:26" ht="12.75" customHeight="1" x14ac:dyDescent="0.2">
      <c r="A230" s="534"/>
      <c r="B230" s="534"/>
      <c r="C230" s="40" t="s">
        <v>36</v>
      </c>
      <c r="D230" s="41">
        <v>3</v>
      </c>
      <c r="E230" s="42">
        <v>7387.4</v>
      </c>
      <c r="F230" s="42">
        <v>811.87</v>
      </c>
      <c r="G230" s="42">
        <v>123.95</v>
      </c>
      <c r="H230" s="42">
        <v>6459.63</v>
      </c>
      <c r="I230" s="42">
        <v>137.91</v>
      </c>
      <c r="J230" s="42">
        <v>1231.9000000000001</v>
      </c>
      <c r="K230" s="43">
        <v>14920.76</v>
      </c>
      <c r="L230" s="32">
        <v>16152.66</v>
      </c>
      <c r="M230" s="33"/>
      <c r="N230" s="30">
        <v>14920.76</v>
      </c>
      <c r="O230" s="30">
        <v>8461.1299999999992</v>
      </c>
      <c r="P230" s="30"/>
      <c r="Q230" s="30">
        <f>(N230+O230*0.18+J230)+(IF((P230-O230*0.18)&gt;0,(P230-O230*0.18),0))</f>
        <v>17675.663400000001</v>
      </c>
      <c r="R230" s="7"/>
      <c r="S230" s="7"/>
      <c r="T230" s="7"/>
      <c r="U230" s="7"/>
      <c r="V230" s="7"/>
      <c r="W230" s="7"/>
      <c r="X230" s="7"/>
      <c r="Y230" s="7"/>
      <c r="Z230" s="7"/>
    </row>
    <row r="231" spans="1:26" ht="8.25" customHeight="1" x14ac:dyDescent="0.2">
      <c r="A231" s="534"/>
      <c r="B231" s="534"/>
      <c r="C231" s="34" t="s">
        <v>37</v>
      </c>
      <c r="D231" s="35">
        <v>4</v>
      </c>
      <c r="E231" s="36">
        <v>14304001</v>
      </c>
      <c r="F231" s="36">
        <v>1572000</v>
      </c>
      <c r="G231" s="36">
        <v>240001</v>
      </c>
      <c r="H231" s="36">
        <v>12507588</v>
      </c>
      <c r="I231" s="36">
        <v>267031</v>
      </c>
      <c r="J231" s="37">
        <v>2385291</v>
      </c>
      <c r="K231" s="36">
        <v>28890620</v>
      </c>
      <c r="L231" s="38">
        <v>31275911</v>
      </c>
      <c r="M231" s="39"/>
      <c r="N231" s="36">
        <v>28890620</v>
      </c>
      <c r="O231" s="36">
        <v>16383032</v>
      </c>
      <c r="P231" s="36">
        <v>0</v>
      </c>
      <c r="Q231" s="36">
        <f>Q230*1936.27</f>
        <v>34224856.771517999</v>
      </c>
      <c r="R231" s="7"/>
      <c r="S231" s="7"/>
      <c r="T231" s="7"/>
      <c r="U231" s="7"/>
      <c r="V231" s="7"/>
      <c r="W231" s="7"/>
      <c r="X231" s="7"/>
      <c r="Y231" s="7"/>
      <c r="Z231" s="7"/>
    </row>
    <row r="232" spans="1:26" ht="12.75" customHeight="1" x14ac:dyDescent="0.2">
      <c r="A232" s="534"/>
      <c r="B232" s="534"/>
      <c r="C232" s="40" t="s">
        <v>36</v>
      </c>
      <c r="D232" s="41">
        <v>5</v>
      </c>
      <c r="E232" s="42">
        <v>7740.66</v>
      </c>
      <c r="F232" s="42">
        <v>849.06</v>
      </c>
      <c r="G232" s="42">
        <v>123.95</v>
      </c>
      <c r="H232" s="42">
        <v>6459.63</v>
      </c>
      <c r="I232" s="42">
        <v>137.91</v>
      </c>
      <c r="J232" s="42">
        <v>1264.44</v>
      </c>
      <c r="K232" s="43">
        <v>15311.21</v>
      </c>
      <c r="L232" s="32">
        <v>16575.650000000001</v>
      </c>
      <c r="M232" s="33"/>
      <c r="N232" s="30">
        <v>15311.21</v>
      </c>
      <c r="O232" s="30">
        <v>8851.58</v>
      </c>
      <c r="P232" s="30"/>
      <c r="Q232" s="30">
        <f>(N232+O232*0.18+J232)+(IF((P232-O232*0.18)&gt;0,(P232-O232*0.18),0))</f>
        <v>18168.934399999998</v>
      </c>
      <c r="R232" s="7"/>
      <c r="S232" s="7"/>
      <c r="T232" s="7"/>
      <c r="U232" s="7"/>
      <c r="V232" s="7"/>
      <c r="W232" s="7"/>
      <c r="X232" s="7"/>
      <c r="Y232" s="7"/>
      <c r="Z232" s="7"/>
    </row>
    <row r="233" spans="1:26" ht="8.25" customHeight="1" x14ac:dyDescent="0.2">
      <c r="A233" s="534"/>
      <c r="B233" s="534"/>
      <c r="C233" s="34" t="s">
        <v>37</v>
      </c>
      <c r="D233" s="35">
        <v>6</v>
      </c>
      <c r="E233" s="36">
        <v>14988008</v>
      </c>
      <c r="F233" s="36">
        <v>1644009</v>
      </c>
      <c r="G233" s="36">
        <v>240001</v>
      </c>
      <c r="H233" s="36">
        <v>12507588</v>
      </c>
      <c r="I233" s="36">
        <v>267031</v>
      </c>
      <c r="J233" s="37">
        <v>2448297</v>
      </c>
      <c r="K233" s="36">
        <v>29646637</v>
      </c>
      <c r="L233" s="38">
        <v>32094934</v>
      </c>
      <c r="M233" s="39"/>
      <c r="N233" s="36">
        <v>29646637</v>
      </c>
      <c r="O233" s="36">
        <v>17139049</v>
      </c>
      <c r="P233" s="36">
        <v>0</v>
      </c>
      <c r="Q233" s="36">
        <f>Q232*1936.27</f>
        <v>35179962.610687993</v>
      </c>
      <c r="R233" s="7"/>
      <c r="S233" s="7"/>
      <c r="T233" s="7"/>
      <c r="U233" s="7"/>
      <c r="V233" s="7"/>
      <c r="W233" s="7"/>
      <c r="X233" s="7"/>
      <c r="Y233" s="7"/>
      <c r="Z233" s="7"/>
    </row>
    <row r="234" spans="1:26" ht="12.75" customHeight="1" x14ac:dyDescent="0.2">
      <c r="A234" s="534"/>
      <c r="B234" s="534"/>
      <c r="C234" s="40" t="s">
        <v>36</v>
      </c>
      <c r="D234" s="41">
        <v>7</v>
      </c>
      <c r="E234" s="42">
        <v>8155.89</v>
      </c>
      <c r="F234" s="42">
        <v>892.44</v>
      </c>
      <c r="G234" s="42">
        <v>123.95</v>
      </c>
      <c r="H234" s="42">
        <v>6459.63</v>
      </c>
      <c r="I234" s="42">
        <v>137.91</v>
      </c>
      <c r="J234" s="42">
        <v>1302.6600000000001</v>
      </c>
      <c r="K234" s="43">
        <v>15769.82</v>
      </c>
      <c r="L234" s="32">
        <v>17072.48</v>
      </c>
      <c r="M234" s="33"/>
      <c r="N234" s="30">
        <v>15769.82</v>
      </c>
      <c r="O234" s="30">
        <v>9310.19</v>
      </c>
      <c r="P234" s="30"/>
      <c r="Q234" s="30">
        <f>(N234+O234*0.18+J234)+(IF((P234-O234*0.18)&gt;0,(P234-O234*0.18),0))</f>
        <v>18748.314200000001</v>
      </c>
      <c r="R234" s="7"/>
      <c r="S234" s="7"/>
      <c r="T234" s="7"/>
      <c r="U234" s="7"/>
      <c r="V234" s="7"/>
      <c r="W234" s="7"/>
      <c r="X234" s="7"/>
      <c r="Y234" s="7"/>
      <c r="Z234" s="7"/>
    </row>
    <row r="235" spans="1:26" ht="8.25" customHeight="1" x14ac:dyDescent="0.2">
      <c r="A235" s="534"/>
      <c r="B235" s="534"/>
      <c r="C235" s="34" t="s">
        <v>37</v>
      </c>
      <c r="D235" s="35">
        <v>8</v>
      </c>
      <c r="E235" s="36">
        <v>15792005</v>
      </c>
      <c r="F235" s="36">
        <v>1728005</v>
      </c>
      <c r="G235" s="36">
        <v>240001</v>
      </c>
      <c r="H235" s="36">
        <v>12507588</v>
      </c>
      <c r="I235" s="36">
        <v>267031</v>
      </c>
      <c r="J235" s="37">
        <v>2522301</v>
      </c>
      <c r="K235" s="36">
        <v>30534629</v>
      </c>
      <c r="L235" s="38">
        <v>33056931</v>
      </c>
      <c r="M235" s="39"/>
      <c r="N235" s="36">
        <v>30534629</v>
      </c>
      <c r="O235" s="36">
        <v>18027042</v>
      </c>
      <c r="P235" s="36">
        <v>0</v>
      </c>
      <c r="Q235" s="36">
        <f>Q234*1936.27</f>
        <v>36301798.336034</v>
      </c>
      <c r="R235" s="7"/>
      <c r="S235" s="7"/>
      <c r="T235" s="7"/>
      <c r="U235" s="7"/>
      <c r="V235" s="7"/>
      <c r="W235" s="7"/>
      <c r="X235" s="7"/>
      <c r="Y235" s="7"/>
      <c r="Z235" s="7"/>
    </row>
    <row r="236" spans="1:26" ht="12.75" customHeight="1" x14ac:dyDescent="0.2">
      <c r="A236" s="534"/>
      <c r="B236" s="534"/>
      <c r="C236" s="40" t="s">
        <v>36</v>
      </c>
      <c r="D236" s="41">
        <v>9</v>
      </c>
      <c r="E236" s="42">
        <v>8527.74</v>
      </c>
      <c r="F236" s="42">
        <v>935.82</v>
      </c>
      <c r="G236" s="42">
        <v>123.95</v>
      </c>
      <c r="H236" s="42">
        <v>6459.63</v>
      </c>
      <c r="I236" s="42">
        <v>137.91</v>
      </c>
      <c r="J236" s="42">
        <v>1337.26</v>
      </c>
      <c r="K236" s="43">
        <v>16185.05</v>
      </c>
      <c r="L236" s="32">
        <v>17522.310000000001</v>
      </c>
      <c r="M236" s="33"/>
      <c r="N236" s="30">
        <v>16185.05</v>
      </c>
      <c r="O236" s="30">
        <v>9725.42</v>
      </c>
      <c r="P236" s="30"/>
      <c r="Q236" s="30">
        <f>(N236+O236*0.18+J236)+(IF((P236-O236*0.18)&gt;0,(P236-O236*0.18),0))</f>
        <v>19272.885599999998</v>
      </c>
      <c r="R236" s="7"/>
      <c r="S236" s="7"/>
      <c r="T236" s="7"/>
      <c r="U236" s="7"/>
      <c r="V236" s="7"/>
      <c r="W236" s="7"/>
      <c r="X236" s="7"/>
      <c r="Y236" s="7"/>
      <c r="Z236" s="7"/>
    </row>
    <row r="237" spans="1:26" ht="8.25" customHeight="1" x14ac:dyDescent="0.2">
      <c r="A237" s="534"/>
      <c r="B237" s="534"/>
      <c r="C237" s="34" t="s">
        <v>37</v>
      </c>
      <c r="D237" s="35">
        <v>10</v>
      </c>
      <c r="E237" s="36">
        <v>16512007</v>
      </c>
      <c r="F237" s="36">
        <v>1812000</v>
      </c>
      <c r="G237" s="36">
        <v>240001</v>
      </c>
      <c r="H237" s="36">
        <v>12507588</v>
      </c>
      <c r="I237" s="36">
        <v>267031</v>
      </c>
      <c r="J237" s="37">
        <v>2589296</v>
      </c>
      <c r="K237" s="36">
        <v>31338627</v>
      </c>
      <c r="L237" s="38">
        <v>33927923</v>
      </c>
      <c r="M237" s="39"/>
      <c r="N237" s="36">
        <v>31338627</v>
      </c>
      <c r="O237" s="36">
        <v>18831039</v>
      </c>
      <c r="P237" s="36">
        <v>0</v>
      </c>
      <c r="Q237" s="36">
        <f>Q236*1936.27</f>
        <v>37317510.200711995</v>
      </c>
      <c r="R237" s="7"/>
      <c r="S237" s="7"/>
      <c r="T237" s="7"/>
      <c r="U237" s="7"/>
      <c r="V237" s="7"/>
      <c r="W237" s="7"/>
      <c r="X237" s="7"/>
      <c r="Y237" s="7"/>
      <c r="Z237" s="7"/>
    </row>
    <row r="238" spans="1:26" ht="12.75" customHeight="1" x14ac:dyDescent="0.2">
      <c r="A238" s="534"/>
      <c r="B238" s="534"/>
      <c r="C238" s="40" t="s">
        <v>36</v>
      </c>
      <c r="D238" s="41">
        <v>11</v>
      </c>
      <c r="E238" s="42">
        <v>8980.15</v>
      </c>
      <c r="F238" s="42">
        <v>985.4</v>
      </c>
      <c r="G238" s="42">
        <v>123.95</v>
      </c>
      <c r="H238" s="42">
        <v>6459.63</v>
      </c>
      <c r="I238" s="42">
        <v>137.91</v>
      </c>
      <c r="J238" s="42">
        <v>1379.09</v>
      </c>
      <c r="K238" s="43">
        <v>16687.04</v>
      </c>
      <c r="L238" s="32">
        <v>18066.13</v>
      </c>
      <c r="M238" s="33"/>
      <c r="N238" s="30">
        <v>16687.04</v>
      </c>
      <c r="O238" s="30">
        <v>10227.41</v>
      </c>
      <c r="P238" s="30"/>
      <c r="Q238" s="30">
        <f>(N238+O238*0.18+J238)+(IF((P238-O238*0.18)&gt;0,(P238-O238*0.18),0))</f>
        <v>19907.0638</v>
      </c>
      <c r="R238" s="7"/>
      <c r="S238" s="7"/>
      <c r="T238" s="7"/>
      <c r="U238" s="7"/>
      <c r="V238" s="7"/>
      <c r="W238" s="7"/>
      <c r="X238" s="7"/>
      <c r="Y238" s="7"/>
      <c r="Z238" s="7"/>
    </row>
    <row r="239" spans="1:26" ht="8.25" customHeight="1" x14ac:dyDescent="0.2">
      <c r="A239" s="534"/>
      <c r="B239" s="534"/>
      <c r="C239" s="34" t="s">
        <v>37</v>
      </c>
      <c r="D239" s="35">
        <v>12</v>
      </c>
      <c r="E239" s="36">
        <v>17387995</v>
      </c>
      <c r="F239" s="36">
        <v>1908000</v>
      </c>
      <c r="G239" s="36">
        <v>240001</v>
      </c>
      <c r="H239" s="36">
        <v>12507588</v>
      </c>
      <c r="I239" s="36">
        <v>267031</v>
      </c>
      <c r="J239" s="37">
        <v>2670291</v>
      </c>
      <c r="K239" s="36">
        <v>32310615</v>
      </c>
      <c r="L239" s="38">
        <v>34980906</v>
      </c>
      <c r="M239" s="39"/>
      <c r="N239" s="36">
        <v>32310615</v>
      </c>
      <c r="O239" s="36">
        <v>19803027</v>
      </c>
      <c r="P239" s="36">
        <v>0</v>
      </c>
      <c r="Q239" s="36">
        <f>Q238*1936.27</f>
        <v>38545450.424025998</v>
      </c>
      <c r="R239" s="7"/>
      <c r="S239" s="7"/>
      <c r="T239" s="7"/>
      <c r="U239" s="7"/>
      <c r="V239" s="7"/>
      <c r="W239" s="7"/>
      <c r="X239" s="7"/>
      <c r="Y239" s="7"/>
      <c r="Z239" s="7"/>
    </row>
    <row r="240" spans="1:26" ht="12.75" customHeight="1" x14ac:dyDescent="0.2">
      <c r="A240" s="534"/>
      <c r="B240" s="534"/>
      <c r="C240" s="40" t="s">
        <v>36</v>
      </c>
      <c r="D240" s="41">
        <v>13</v>
      </c>
      <c r="E240" s="42">
        <v>9463.56</v>
      </c>
      <c r="F240" s="42">
        <v>1034.98</v>
      </c>
      <c r="G240" s="42">
        <v>123.95</v>
      </c>
      <c r="H240" s="42">
        <v>6459.63</v>
      </c>
      <c r="I240" s="42">
        <v>137.91</v>
      </c>
      <c r="J240" s="42">
        <v>1423.51</v>
      </c>
      <c r="K240" s="43">
        <v>17220.03</v>
      </c>
      <c r="L240" s="32">
        <v>18643.54</v>
      </c>
      <c r="M240" s="33"/>
      <c r="N240" s="30">
        <v>17220.03</v>
      </c>
      <c r="O240" s="30">
        <v>10760.4</v>
      </c>
      <c r="P240" s="30"/>
      <c r="Q240" s="30">
        <f>(N240+O240*0.18+J240)+(IF((P240-O240*0.18)&gt;0,(P240-O240*0.18),0))</f>
        <v>20580.411999999997</v>
      </c>
      <c r="R240" s="7"/>
      <c r="S240" s="7"/>
      <c r="T240" s="7"/>
      <c r="U240" s="7"/>
      <c r="V240" s="7"/>
      <c r="W240" s="7"/>
      <c r="X240" s="7"/>
      <c r="Y240" s="7"/>
      <c r="Z240" s="7"/>
    </row>
    <row r="241" spans="1:26" ht="7.5" customHeight="1" x14ac:dyDescent="0.2">
      <c r="A241" s="534"/>
      <c r="B241" s="534"/>
      <c r="C241" s="34" t="s">
        <v>37</v>
      </c>
      <c r="D241" s="35">
        <v>14</v>
      </c>
      <c r="E241" s="36">
        <v>18324007</v>
      </c>
      <c r="F241" s="36">
        <v>2004001</v>
      </c>
      <c r="G241" s="36">
        <v>240001</v>
      </c>
      <c r="H241" s="36">
        <v>12507588</v>
      </c>
      <c r="I241" s="36">
        <v>267031</v>
      </c>
      <c r="J241" s="37">
        <v>2756300</v>
      </c>
      <c r="K241" s="36">
        <v>33342627</v>
      </c>
      <c r="L241" s="38">
        <v>36098927</v>
      </c>
      <c r="M241" s="39"/>
      <c r="N241" s="36">
        <v>33342627</v>
      </c>
      <c r="O241" s="36">
        <v>20835040</v>
      </c>
      <c r="P241" s="36">
        <v>0</v>
      </c>
      <c r="Q241" s="36">
        <f>Q240*1936.27</f>
        <v>39849234.343239993</v>
      </c>
      <c r="R241" s="7"/>
      <c r="S241" s="7"/>
      <c r="T241" s="7"/>
      <c r="U241" s="7"/>
      <c r="V241" s="7"/>
      <c r="W241" s="7"/>
      <c r="X241" s="7"/>
      <c r="Y241" s="7"/>
      <c r="Z241" s="7"/>
    </row>
    <row r="242" spans="1:26" ht="12.75" customHeight="1" x14ac:dyDescent="0.2">
      <c r="A242" s="534"/>
      <c r="B242" s="534"/>
      <c r="C242" s="40" t="s">
        <v>36</v>
      </c>
      <c r="D242" s="41">
        <v>15</v>
      </c>
      <c r="E242" s="42">
        <v>9940.76</v>
      </c>
      <c r="F242" s="42">
        <v>1090.76</v>
      </c>
      <c r="G242" s="42">
        <v>123.95</v>
      </c>
      <c r="H242" s="42">
        <v>6459.63</v>
      </c>
      <c r="I242" s="42">
        <v>137.91</v>
      </c>
      <c r="J242" s="42">
        <v>1467.93</v>
      </c>
      <c r="K242" s="43">
        <v>17753.009999999998</v>
      </c>
      <c r="L242" s="32">
        <v>19220.939999999999</v>
      </c>
      <c r="M242" s="33"/>
      <c r="N242" s="30">
        <v>17753.009999999998</v>
      </c>
      <c r="O242" s="30">
        <v>11293.38</v>
      </c>
      <c r="P242" s="30"/>
      <c r="Q242" s="30">
        <f>(N242+O242*0.18+J242)+(IF((P242-O242*0.18)&gt;0,(P242-O242*0.18),0))</f>
        <v>21253.748399999997</v>
      </c>
      <c r="R242" s="7"/>
      <c r="S242" s="7"/>
      <c r="T242" s="7"/>
      <c r="U242" s="7"/>
      <c r="V242" s="7"/>
      <c r="W242" s="7"/>
      <c r="X242" s="7"/>
      <c r="Y242" s="7"/>
      <c r="Z242" s="7"/>
    </row>
    <row r="243" spans="1:26" ht="7.5" customHeight="1" x14ac:dyDescent="0.2">
      <c r="A243" s="534"/>
      <c r="B243" s="534"/>
      <c r="C243" s="34" t="s">
        <v>37</v>
      </c>
      <c r="D243" s="35">
        <v>16</v>
      </c>
      <c r="E243" s="36">
        <v>19247995</v>
      </c>
      <c r="F243" s="36">
        <v>2112006</v>
      </c>
      <c r="G243" s="36">
        <v>240001</v>
      </c>
      <c r="H243" s="36">
        <v>12507588</v>
      </c>
      <c r="I243" s="36">
        <v>267031</v>
      </c>
      <c r="J243" s="37">
        <v>2842309</v>
      </c>
      <c r="K243" s="36">
        <v>34374621</v>
      </c>
      <c r="L243" s="38">
        <v>37216929</v>
      </c>
      <c r="M243" s="39"/>
      <c r="N243" s="36">
        <v>34374621</v>
      </c>
      <c r="O243" s="36">
        <v>21867033</v>
      </c>
      <c r="P243" s="36">
        <v>0</v>
      </c>
      <c r="Q243" s="36">
        <f>Q242*1936.27</f>
        <v>41152995.41446799</v>
      </c>
      <c r="R243" s="7"/>
      <c r="S243" s="7"/>
      <c r="T243" s="7"/>
      <c r="U243" s="7"/>
      <c r="V243" s="7"/>
      <c r="W243" s="7"/>
      <c r="X243" s="7"/>
      <c r="Y243" s="7"/>
      <c r="Z243" s="7"/>
    </row>
    <row r="244" spans="1:26" ht="12.75" customHeight="1" x14ac:dyDescent="0.2">
      <c r="A244" s="534"/>
      <c r="B244" s="534"/>
      <c r="C244" s="40" t="s">
        <v>36</v>
      </c>
      <c r="D244" s="41">
        <v>17</v>
      </c>
      <c r="E244" s="42">
        <v>11037.72</v>
      </c>
      <c r="F244" s="42">
        <v>1214.71</v>
      </c>
      <c r="G244" s="42">
        <v>123.95</v>
      </c>
      <c r="H244" s="42">
        <v>6459.63</v>
      </c>
      <c r="I244" s="42">
        <v>137.91</v>
      </c>
      <c r="J244" s="42">
        <v>1569.67</v>
      </c>
      <c r="K244" s="43">
        <v>18973.919999999998</v>
      </c>
      <c r="L244" s="32">
        <v>20543.59</v>
      </c>
      <c r="M244" s="33"/>
      <c r="N244" s="30">
        <v>18973.919999999998</v>
      </c>
      <c r="O244" s="30">
        <v>12514.29</v>
      </c>
      <c r="P244" s="30"/>
      <c r="Q244" s="30">
        <f>(N244+O244*0.18+J244)+(IF((P244-O244*0.18)&gt;0,(P244-O244*0.18),0))</f>
        <v>22796.162199999999</v>
      </c>
      <c r="R244" s="7"/>
      <c r="S244" s="7"/>
      <c r="T244" s="7"/>
      <c r="U244" s="7"/>
      <c r="V244" s="7"/>
      <c r="W244" s="7"/>
      <c r="X244" s="7"/>
      <c r="Y244" s="7"/>
      <c r="Z244" s="7"/>
    </row>
    <row r="245" spans="1:26" ht="8.25" customHeight="1" x14ac:dyDescent="0.2">
      <c r="A245" s="534"/>
      <c r="B245" s="534"/>
      <c r="C245" s="34" t="s">
        <v>37</v>
      </c>
      <c r="D245" s="35">
        <v>17</v>
      </c>
      <c r="E245" s="36">
        <v>21372006</v>
      </c>
      <c r="F245" s="36">
        <v>2352007</v>
      </c>
      <c r="G245" s="36">
        <v>240001</v>
      </c>
      <c r="H245" s="36">
        <v>12507588</v>
      </c>
      <c r="I245" s="36">
        <v>267031</v>
      </c>
      <c r="J245" s="37">
        <v>3039305</v>
      </c>
      <c r="K245" s="36">
        <v>36738632</v>
      </c>
      <c r="L245" s="38">
        <v>39777937</v>
      </c>
      <c r="M245" s="39"/>
      <c r="N245" s="36">
        <v>36738632</v>
      </c>
      <c r="O245" s="36">
        <v>24231044</v>
      </c>
      <c r="P245" s="36">
        <v>0</v>
      </c>
      <c r="Q245" s="36">
        <f>Q244*1936.27</f>
        <v>44139524.982993998</v>
      </c>
      <c r="R245" s="7"/>
      <c r="S245" s="7"/>
      <c r="T245" s="7"/>
      <c r="U245" s="7"/>
      <c r="V245" s="7"/>
      <c r="W245" s="7"/>
      <c r="X245" s="7"/>
      <c r="Y245" s="7"/>
      <c r="Z245" s="7"/>
    </row>
    <row r="246" spans="1:26" ht="12.75" customHeight="1" x14ac:dyDescent="0.2">
      <c r="A246" s="534"/>
      <c r="B246" s="534"/>
      <c r="C246" s="40" t="s">
        <v>36</v>
      </c>
      <c r="D246" s="41">
        <v>18</v>
      </c>
      <c r="E246" s="42">
        <v>11347.59</v>
      </c>
      <c r="F246" s="42">
        <v>1245.69</v>
      </c>
      <c r="G246" s="42">
        <v>123.95</v>
      </c>
      <c r="H246" s="42">
        <v>6459.63</v>
      </c>
      <c r="I246" s="42">
        <v>137.91</v>
      </c>
      <c r="J246" s="42">
        <v>1598.07</v>
      </c>
      <c r="K246" s="43">
        <v>19314.77</v>
      </c>
      <c r="L246" s="32">
        <v>20912.84</v>
      </c>
      <c r="M246" s="33"/>
      <c r="N246" s="30">
        <v>19314.77</v>
      </c>
      <c r="O246" s="30">
        <v>12855.14</v>
      </c>
      <c r="P246" s="30"/>
      <c r="Q246" s="30">
        <f>(N246+O246*0.18+J246)+(IF((P246-O246*0.18)&gt;0,(P246-O246*0.18),0))</f>
        <v>23226.765200000002</v>
      </c>
      <c r="R246" s="7"/>
      <c r="S246" s="7"/>
      <c r="T246" s="7"/>
      <c r="U246" s="7"/>
      <c r="V246" s="7"/>
      <c r="W246" s="7"/>
      <c r="X246" s="7"/>
      <c r="Y246" s="7"/>
      <c r="Z246" s="7"/>
    </row>
    <row r="247" spans="1:26" ht="7.5" customHeight="1" x14ac:dyDescent="0.2">
      <c r="A247" s="534"/>
      <c r="B247" s="534"/>
      <c r="C247" s="34" t="s">
        <v>37</v>
      </c>
      <c r="D247" s="35">
        <v>19</v>
      </c>
      <c r="E247" s="36">
        <v>21971998</v>
      </c>
      <c r="F247" s="36">
        <v>2411992</v>
      </c>
      <c r="G247" s="36">
        <v>240001</v>
      </c>
      <c r="H247" s="36">
        <v>12507588</v>
      </c>
      <c r="I247" s="36">
        <v>267031</v>
      </c>
      <c r="J247" s="37">
        <v>3094295</v>
      </c>
      <c r="K247" s="36">
        <v>37398610</v>
      </c>
      <c r="L247" s="38">
        <v>40492905</v>
      </c>
      <c r="M247" s="39"/>
      <c r="N247" s="36">
        <v>37398610</v>
      </c>
      <c r="O247" s="36">
        <v>24891022</v>
      </c>
      <c r="P247" s="36">
        <v>0</v>
      </c>
      <c r="Q247" s="36">
        <f>Q246*1936.27</f>
        <v>44973288.653804004</v>
      </c>
      <c r="R247" s="7"/>
      <c r="S247" s="7"/>
      <c r="T247" s="7"/>
      <c r="U247" s="7"/>
      <c r="V247" s="7"/>
      <c r="W247" s="7"/>
      <c r="X247" s="7"/>
      <c r="Y247" s="7"/>
      <c r="Z247" s="7"/>
    </row>
    <row r="248" spans="1:26" ht="12.75" customHeight="1" x14ac:dyDescent="0.2">
      <c r="A248" s="534"/>
      <c r="B248" s="534"/>
      <c r="C248" s="40" t="s">
        <v>36</v>
      </c>
      <c r="D248" s="41">
        <v>20</v>
      </c>
      <c r="E248" s="42">
        <v>11731.83</v>
      </c>
      <c r="F248" s="42">
        <v>1289.08</v>
      </c>
      <c r="G248" s="42">
        <v>123.95</v>
      </c>
      <c r="H248" s="42">
        <v>6459.63</v>
      </c>
      <c r="I248" s="42">
        <v>137.91</v>
      </c>
      <c r="J248" s="42">
        <v>1633.71</v>
      </c>
      <c r="K248" s="43">
        <v>19742.400000000001</v>
      </c>
      <c r="L248" s="32">
        <v>21376.11</v>
      </c>
      <c r="M248" s="33"/>
      <c r="N248" s="30">
        <v>19742.400000000001</v>
      </c>
      <c r="O248" s="30">
        <v>13282.77</v>
      </c>
      <c r="P248" s="30"/>
      <c r="Q248" s="30">
        <f>(N248+O248*0.18+J248)+(IF((P248-O248*0.18)&gt;0,(P248-O248*0.18),0))</f>
        <v>23767.008600000001</v>
      </c>
      <c r="R248" s="7"/>
      <c r="S248" s="7"/>
      <c r="T248" s="7"/>
      <c r="U248" s="7"/>
      <c r="V248" s="7"/>
      <c r="W248" s="7"/>
      <c r="X248" s="7"/>
      <c r="Y248" s="7"/>
      <c r="Z248" s="7"/>
    </row>
    <row r="249" spans="1:26" ht="6.75" customHeight="1" x14ac:dyDescent="0.2">
      <c r="A249" s="534"/>
      <c r="B249" s="534"/>
      <c r="C249" s="34" t="s">
        <v>37</v>
      </c>
      <c r="D249" s="35">
        <v>21</v>
      </c>
      <c r="E249" s="36">
        <v>22715990</v>
      </c>
      <c r="F249" s="36">
        <v>2496007</v>
      </c>
      <c r="G249" s="36">
        <v>240001</v>
      </c>
      <c r="H249" s="36">
        <v>12507588</v>
      </c>
      <c r="I249" s="36">
        <v>267031</v>
      </c>
      <c r="J249" s="37">
        <v>3163304</v>
      </c>
      <c r="K249" s="36">
        <v>38226617</v>
      </c>
      <c r="L249" s="38">
        <v>41389921</v>
      </c>
      <c r="M249" s="39"/>
      <c r="N249" s="36">
        <v>38226617</v>
      </c>
      <c r="O249" s="36">
        <v>25719029</v>
      </c>
      <c r="P249" s="36">
        <v>0</v>
      </c>
      <c r="Q249" s="36">
        <f>Q248*1936.27</f>
        <v>46019345.741921999</v>
      </c>
      <c r="R249" s="7"/>
      <c r="S249" s="7"/>
      <c r="T249" s="7"/>
      <c r="U249" s="7"/>
      <c r="V249" s="7"/>
      <c r="W249" s="7"/>
      <c r="X249" s="7"/>
      <c r="Y249" s="7"/>
      <c r="Z249" s="7"/>
    </row>
    <row r="250" spans="1:26" ht="12.75" customHeight="1" x14ac:dyDescent="0.2">
      <c r="A250" s="534"/>
      <c r="B250" s="534"/>
      <c r="C250" s="40" t="s">
        <v>36</v>
      </c>
      <c r="D250" s="41">
        <v>22</v>
      </c>
      <c r="E250" s="42">
        <v>11979.73</v>
      </c>
      <c r="F250" s="42">
        <v>1313.87</v>
      </c>
      <c r="G250" s="42">
        <v>123.95</v>
      </c>
      <c r="H250" s="42">
        <v>6459.63</v>
      </c>
      <c r="I250" s="42">
        <v>137.91</v>
      </c>
      <c r="J250" s="42">
        <v>1656.43</v>
      </c>
      <c r="K250" s="43">
        <v>20015.09</v>
      </c>
      <c r="L250" s="32">
        <v>21671.52</v>
      </c>
      <c r="M250" s="33"/>
      <c r="N250" s="30">
        <v>20015.09</v>
      </c>
      <c r="O250" s="30">
        <v>13555.46</v>
      </c>
      <c r="P250" s="30"/>
      <c r="Q250" s="30">
        <f>(N250+O250*0.18+J250)+(IF((P250-O250*0.18)&gt;0,(P250-O250*0.18),0))</f>
        <v>24111.502800000002</v>
      </c>
      <c r="R250" s="7"/>
      <c r="S250" s="7"/>
      <c r="T250" s="7"/>
      <c r="U250" s="7"/>
      <c r="V250" s="7"/>
      <c r="W250" s="7"/>
      <c r="X250" s="7"/>
      <c r="Y250" s="7"/>
      <c r="Z250" s="7"/>
    </row>
    <row r="251" spans="1:26" ht="8.25" customHeight="1" x14ac:dyDescent="0.2">
      <c r="A251" s="534"/>
      <c r="B251" s="534"/>
      <c r="C251" s="34" t="s">
        <v>37</v>
      </c>
      <c r="D251" s="35">
        <v>23</v>
      </c>
      <c r="E251" s="36">
        <v>23195992</v>
      </c>
      <c r="F251" s="36">
        <v>2544007</v>
      </c>
      <c r="G251" s="36">
        <v>240001</v>
      </c>
      <c r="H251" s="36">
        <v>12507588</v>
      </c>
      <c r="I251" s="36">
        <v>267031</v>
      </c>
      <c r="J251" s="37">
        <v>3207296</v>
      </c>
      <c r="K251" s="36">
        <v>38754618</v>
      </c>
      <c r="L251" s="38">
        <v>41961914</v>
      </c>
      <c r="M251" s="39"/>
      <c r="N251" s="36">
        <v>38754618</v>
      </c>
      <c r="O251" s="36">
        <v>26247031</v>
      </c>
      <c r="P251" s="36">
        <v>0</v>
      </c>
      <c r="Q251" s="36">
        <f>Q250*1936.27</f>
        <v>46686379.526556</v>
      </c>
      <c r="R251" s="7"/>
      <c r="S251" s="7"/>
      <c r="T251" s="7"/>
      <c r="U251" s="7"/>
      <c r="V251" s="7"/>
      <c r="W251" s="7"/>
      <c r="X251" s="7"/>
      <c r="Y251" s="7"/>
      <c r="Z251" s="7"/>
    </row>
    <row r="252" spans="1:26" ht="12.75" customHeight="1" x14ac:dyDescent="0.2">
      <c r="A252" s="534"/>
      <c r="B252" s="534"/>
      <c r="C252" s="40" t="s">
        <v>36</v>
      </c>
      <c r="D252" s="41">
        <v>24</v>
      </c>
      <c r="E252" s="42">
        <v>12295.81</v>
      </c>
      <c r="F252" s="42">
        <v>1351.05</v>
      </c>
      <c r="G252" s="42">
        <v>123.95</v>
      </c>
      <c r="H252" s="42">
        <v>6459.63</v>
      </c>
      <c r="I252" s="42">
        <v>137.91</v>
      </c>
      <c r="J252" s="42">
        <v>1685.87</v>
      </c>
      <c r="K252" s="43">
        <v>20368.349999999999</v>
      </c>
      <c r="L252" s="32">
        <v>22054.22</v>
      </c>
      <c r="M252" s="33"/>
      <c r="N252" s="30">
        <v>20368.349999999999</v>
      </c>
      <c r="O252" s="30">
        <v>13908.72</v>
      </c>
      <c r="P252" s="30"/>
      <c r="Q252" s="30">
        <f>(N252+O252*0.18+J252)+(IF((P252-O252*0.18)&gt;0,(P252-O252*0.18),0))</f>
        <v>24557.789599999996</v>
      </c>
      <c r="R252" s="7"/>
      <c r="S252" s="7"/>
      <c r="T252" s="7"/>
      <c r="U252" s="7"/>
      <c r="V252" s="7"/>
      <c r="W252" s="7"/>
      <c r="X252" s="7"/>
      <c r="Y252" s="7"/>
      <c r="Z252" s="7"/>
    </row>
    <row r="253" spans="1:26" ht="7.5" customHeight="1" x14ac:dyDescent="0.2">
      <c r="A253" s="534"/>
      <c r="B253" s="534"/>
      <c r="C253" s="34" t="s">
        <v>37</v>
      </c>
      <c r="D253" s="35">
        <v>25</v>
      </c>
      <c r="E253" s="36">
        <v>23808008</v>
      </c>
      <c r="F253" s="36">
        <v>2615998</v>
      </c>
      <c r="G253" s="36">
        <v>240001</v>
      </c>
      <c r="H253" s="36">
        <v>12507588</v>
      </c>
      <c r="I253" s="36">
        <v>267031</v>
      </c>
      <c r="J253" s="37">
        <v>3264300</v>
      </c>
      <c r="K253" s="36">
        <v>39438625</v>
      </c>
      <c r="L253" s="38">
        <v>42702925</v>
      </c>
      <c r="M253" s="39"/>
      <c r="N253" s="36">
        <v>39438625</v>
      </c>
      <c r="O253" s="36">
        <v>26931037</v>
      </c>
      <c r="P253" s="36">
        <v>0</v>
      </c>
      <c r="Q253" s="36">
        <f>Q252*1936.27</f>
        <v>47550511.268791996</v>
      </c>
      <c r="R253" s="7"/>
      <c r="S253" s="7"/>
      <c r="T253" s="7"/>
      <c r="U253" s="7"/>
      <c r="V253" s="7"/>
      <c r="W253" s="7"/>
      <c r="X253" s="7"/>
      <c r="Y253" s="7"/>
      <c r="Z253" s="7"/>
    </row>
    <row r="254" spans="1:26" ht="12.75" customHeight="1" x14ac:dyDescent="0.2">
      <c r="A254" s="534"/>
      <c r="B254" s="534"/>
      <c r="C254" s="40" t="s">
        <v>36</v>
      </c>
      <c r="D254" s="41">
        <v>26</v>
      </c>
      <c r="E254" s="42">
        <v>12605.68</v>
      </c>
      <c r="F254" s="42">
        <v>1382.04</v>
      </c>
      <c r="G254" s="42">
        <v>123.95</v>
      </c>
      <c r="H254" s="42">
        <v>6459.63</v>
      </c>
      <c r="I254" s="42">
        <v>137.91</v>
      </c>
      <c r="J254" s="42">
        <v>1714.28</v>
      </c>
      <c r="K254" s="43">
        <v>20709.21</v>
      </c>
      <c r="L254" s="32">
        <v>22423.49</v>
      </c>
      <c r="M254" s="33"/>
      <c r="N254" s="30">
        <v>20709.21</v>
      </c>
      <c r="O254" s="30">
        <v>14249.58</v>
      </c>
      <c r="P254" s="30"/>
      <c r="Q254" s="30">
        <f>(N254+O254*0.18+J254)+(IF((P254-O254*0.18)&gt;0,(P254-O254*0.18),0))</f>
        <v>24988.414399999998</v>
      </c>
      <c r="R254" s="7"/>
      <c r="S254" s="7"/>
      <c r="T254" s="7"/>
      <c r="U254" s="7"/>
      <c r="V254" s="7"/>
      <c r="W254" s="7"/>
      <c r="X254" s="7"/>
      <c r="Y254" s="7"/>
      <c r="Z254" s="7"/>
    </row>
    <row r="255" spans="1:26" ht="8.25" customHeight="1" x14ac:dyDescent="0.2">
      <c r="A255" s="534"/>
      <c r="B255" s="534"/>
      <c r="C255" s="34" t="s">
        <v>37</v>
      </c>
      <c r="D255" s="35">
        <v>27</v>
      </c>
      <c r="E255" s="36">
        <v>24408000</v>
      </c>
      <c r="F255" s="36">
        <v>2676003</v>
      </c>
      <c r="G255" s="36">
        <v>240001</v>
      </c>
      <c r="H255" s="36">
        <v>12507588</v>
      </c>
      <c r="I255" s="36">
        <v>267031</v>
      </c>
      <c r="J255" s="37">
        <v>3319309</v>
      </c>
      <c r="K255" s="36">
        <v>40098622</v>
      </c>
      <c r="L255" s="38">
        <v>43417931</v>
      </c>
      <c r="M255" s="39"/>
      <c r="N255" s="36">
        <v>40098622</v>
      </c>
      <c r="O255" s="36">
        <v>27591034</v>
      </c>
      <c r="P255" s="36">
        <v>0</v>
      </c>
      <c r="Q255" s="36">
        <f>Q254*1936.27</f>
        <v>48384317.150287993</v>
      </c>
      <c r="R255" s="7"/>
      <c r="S255" s="7"/>
      <c r="T255" s="7"/>
      <c r="U255" s="7"/>
      <c r="V255" s="7"/>
      <c r="W255" s="7"/>
      <c r="X255" s="7"/>
      <c r="Y255" s="7"/>
      <c r="Z255" s="7"/>
    </row>
    <row r="256" spans="1:26" ht="12.75" customHeight="1" x14ac:dyDescent="0.2">
      <c r="A256" s="534"/>
      <c r="B256" s="534"/>
      <c r="C256" s="40" t="s">
        <v>36</v>
      </c>
      <c r="D256" s="41">
        <v>28</v>
      </c>
      <c r="E256" s="42">
        <v>12909.36</v>
      </c>
      <c r="F256" s="42">
        <v>1419.22</v>
      </c>
      <c r="G256" s="42">
        <v>123.95</v>
      </c>
      <c r="H256" s="42">
        <v>6459.63</v>
      </c>
      <c r="I256" s="42">
        <v>137.91</v>
      </c>
      <c r="J256" s="42">
        <v>1742.68</v>
      </c>
      <c r="K256" s="43">
        <v>21050.07</v>
      </c>
      <c r="L256" s="32">
        <v>22792.75</v>
      </c>
      <c r="M256" s="33"/>
      <c r="N256" s="30">
        <v>21050.07</v>
      </c>
      <c r="O256" s="30">
        <v>14590.44</v>
      </c>
      <c r="P256" s="30"/>
      <c r="Q256" s="30">
        <f>(N256+O256*0.18+J256)+(IF((P256-O256*0.18)&gt;0,(P256-O256*0.18),0))</f>
        <v>25419.029200000001</v>
      </c>
      <c r="R256" s="7"/>
      <c r="S256" s="7"/>
      <c r="T256" s="7"/>
      <c r="U256" s="7"/>
      <c r="V256" s="7"/>
      <c r="W256" s="7"/>
      <c r="X256" s="7"/>
      <c r="Y256" s="7"/>
      <c r="Z256" s="7"/>
    </row>
    <row r="257" spans="1:26" ht="9" customHeight="1" x14ac:dyDescent="0.2">
      <c r="A257" s="534"/>
      <c r="B257" s="534"/>
      <c r="C257" s="34" t="s">
        <v>37</v>
      </c>
      <c r="D257" s="35">
        <v>29</v>
      </c>
      <c r="E257" s="36">
        <v>24996006</v>
      </c>
      <c r="F257" s="36">
        <v>2747993</v>
      </c>
      <c r="G257" s="36">
        <v>240001</v>
      </c>
      <c r="H257" s="36">
        <v>12507588</v>
      </c>
      <c r="I257" s="36">
        <v>267031</v>
      </c>
      <c r="J257" s="37">
        <v>3374299</v>
      </c>
      <c r="K257" s="36">
        <v>40758619</v>
      </c>
      <c r="L257" s="38">
        <v>44132918</v>
      </c>
      <c r="M257" s="39"/>
      <c r="N257" s="36">
        <v>40758619</v>
      </c>
      <c r="O257" s="36">
        <v>28251031</v>
      </c>
      <c r="P257" s="36">
        <v>0</v>
      </c>
      <c r="Q257" s="36">
        <f>Q256*1936.27</f>
        <v>49218103.669083998</v>
      </c>
      <c r="R257" s="7"/>
      <c r="S257" s="7"/>
      <c r="T257" s="7"/>
      <c r="U257" s="7"/>
      <c r="V257" s="7"/>
      <c r="W257" s="7"/>
      <c r="X257" s="7"/>
      <c r="Y257" s="7"/>
      <c r="Z257" s="7"/>
    </row>
    <row r="258" spans="1:26" ht="12.75" customHeight="1" x14ac:dyDescent="0.2">
      <c r="A258" s="534"/>
      <c r="B258" s="534"/>
      <c r="C258" s="40" t="s">
        <v>36</v>
      </c>
      <c r="D258" s="41">
        <v>30</v>
      </c>
      <c r="E258" s="42">
        <v>13225.43</v>
      </c>
      <c r="F258" s="42">
        <v>1450.21</v>
      </c>
      <c r="G258" s="42">
        <v>123.95</v>
      </c>
      <c r="H258" s="42">
        <v>6459.63</v>
      </c>
      <c r="I258" s="42">
        <v>137.91</v>
      </c>
      <c r="J258" s="42">
        <v>1771.6</v>
      </c>
      <c r="K258" s="43">
        <v>21397.13</v>
      </c>
      <c r="L258" s="32">
        <v>23168.73</v>
      </c>
      <c r="M258" s="33"/>
      <c r="N258" s="30">
        <v>21397.13</v>
      </c>
      <c r="O258" s="30">
        <v>14937.5</v>
      </c>
      <c r="P258" s="30"/>
      <c r="Q258" s="30">
        <f>(N258+O258*0.18+J258)+(IF((P258-O258*0.18)&gt;0,(P258-O258*0.18),0))</f>
        <v>25857.48</v>
      </c>
      <c r="R258" s="7"/>
      <c r="S258" s="7"/>
      <c r="T258" s="7"/>
      <c r="U258" s="7"/>
      <c r="V258" s="7"/>
      <c r="W258" s="7"/>
      <c r="X258" s="7"/>
      <c r="Y258" s="7"/>
      <c r="Z258" s="7"/>
    </row>
    <row r="259" spans="1:26" ht="9" customHeight="1" x14ac:dyDescent="0.2">
      <c r="A259" s="534"/>
      <c r="B259" s="534"/>
      <c r="C259" s="34" t="s">
        <v>37</v>
      </c>
      <c r="D259" s="35">
        <v>31</v>
      </c>
      <c r="E259" s="36">
        <v>25608003</v>
      </c>
      <c r="F259" s="36">
        <v>2807998</v>
      </c>
      <c r="G259" s="36">
        <v>240001</v>
      </c>
      <c r="H259" s="36">
        <v>12507588</v>
      </c>
      <c r="I259" s="36">
        <v>267031</v>
      </c>
      <c r="J259" s="37">
        <v>3430296</v>
      </c>
      <c r="K259" s="36">
        <v>41430621</v>
      </c>
      <c r="L259" s="38">
        <v>44860917</v>
      </c>
      <c r="M259" s="39"/>
      <c r="N259" s="36">
        <v>41430621</v>
      </c>
      <c r="O259" s="36">
        <v>28923033</v>
      </c>
      <c r="P259" s="36">
        <v>0</v>
      </c>
      <c r="Q259" s="36">
        <f>Q258*1936.27</f>
        <v>50067062.799599998</v>
      </c>
      <c r="R259" s="7"/>
      <c r="S259" s="7"/>
      <c r="T259" s="7"/>
      <c r="U259" s="7"/>
      <c r="V259" s="7"/>
      <c r="W259" s="7"/>
      <c r="X259" s="7"/>
      <c r="Y259" s="7"/>
      <c r="Z259" s="7"/>
    </row>
    <row r="260" spans="1:26" ht="12.75" customHeight="1" x14ac:dyDescent="0.2">
      <c r="A260" s="534"/>
      <c r="B260" s="534"/>
      <c r="C260" s="40" t="s">
        <v>36</v>
      </c>
      <c r="D260" s="41">
        <v>32</v>
      </c>
      <c r="E260" s="42">
        <v>13535.3</v>
      </c>
      <c r="F260" s="42">
        <v>1487.4</v>
      </c>
      <c r="G260" s="42">
        <v>123.95</v>
      </c>
      <c r="H260" s="42">
        <v>6459.63</v>
      </c>
      <c r="I260" s="42">
        <v>137.91</v>
      </c>
      <c r="J260" s="42">
        <v>1800.52</v>
      </c>
      <c r="K260" s="43">
        <v>21744.19</v>
      </c>
      <c r="L260" s="32">
        <v>23544.71</v>
      </c>
      <c r="M260" s="33"/>
      <c r="N260" s="30">
        <v>21744.19</v>
      </c>
      <c r="O260" s="30">
        <v>15284.56</v>
      </c>
      <c r="P260" s="30"/>
      <c r="Q260" s="30">
        <f>(N260+O260*0.18+J260)+(IF((P260-O260*0.18)&gt;0,(P260-O260*0.18),0))</f>
        <v>26295.930799999998</v>
      </c>
      <c r="R260" s="7"/>
      <c r="S260" s="7"/>
      <c r="T260" s="7"/>
      <c r="U260" s="7"/>
      <c r="V260" s="7"/>
      <c r="W260" s="7"/>
      <c r="X260" s="7"/>
      <c r="Y260" s="7"/>
      <c r="Z260" s="7"/>
    </row>
    <row r="261" spans="1:26" ht="9" customHeight="1" x14ac:dyDescent="0.2">
      <c r="A261" s="534"/>
      <c r="B261" s="534"/>
      <c r="C261" s="34" t="s">
        <v>37</v>
      </c>
      <c r="D261" s="35">
        <v>33</v>
      </c>
      <c r="E261" s="36">
        <v>26207995</v>
      </c>
      <c r="F261" s="36">
        <v>2880008</v>
      </c>
      <c r="G261" s="36">
        <v>240001</v>
      </c>
      <c r="H261" s="36">
        <v>12507588</v>
      </c>
      <c r="I261" s="36">
        <v>267031</v>
      </c>
      <c r="J261" s="37">
        <v>3486293</v>
      </c>
      <c r="K261" s="36">
        <v>42102623</v>
      </c>
      <c r="L261" s="38">
        <v>45588916</v>
      </c>
      <c r="M261" s="39"/>
      <c r="N261" s="36">
        <v>42102623</v>
      </c>
      <c r="O261" s="36">
        <v>29595035</v>
      </c>
      <c r="P261" s="36">
        <v>0</v>
      </c>
      <c r="Q261" s="36">
        <f>Q260*1936.27</f>
        <v>50916021.930115998</v>
      </c>
      <c r="R261" s="7"/>
      <c r="S261" s="7"/>
      <c r="T261" s="7"/>
      <c r="U261" s="7"/>
      <c r="V261" s="7"/>
      <c r="W261" s="7"/>
      <c r="X261" s="7"/>
      <c r="Y261" s="7"/>
      <c r="Z261" s="7"/>
    </row>
    <row r="262" spans="1:26" ht="12.75" customHeight="1" x14ac:dyDescent="0.2">
      <c r="A262" s="534"/>
      <c r="B262" s="534"/>
      <c r="C262" s="40" t="s">
        <v>36</v>
      </c>
      <c r="D262" s="41">
        <v>34</v>
      </c>
      <c r="E262" s="42">
        <v>13851.37</v>
      </c>
      <c r="F262" s="42">
        <v>1518.38</v>
      </c>
      <c r="G262" s="42">
        <v>123.95</v>
      </c>
      <c r="H262" s="42">
        <v>6459.63</v>
      </c>
      <c r="I262" s="42">
        <v>137.91</v>
      </c>
      <c r="J262" s="42">
        <v>1829.44</v>
      </c>
      <c r="K262" s="43">
        <v>22091.24</v>
      </c>
      <c r="L262" s="32">
        <v>23920.68</v>
      </c>
      <c r="M262" s="33"/>
      <c r="N262" s="30">
        <v>22091.24</v>
      </c>
      <c r="O262" s="30">
        <v>15631.61</v>
      </c>
      <c r="P262" s="30"/>
      <c r="Q262" s="30">
        <f>(N262+O262*0.18+J262)+(IF((P262-O262*0.18)&gt;0,(P262-O262*0.18),0))</f>
        <v>26734.3698</v>
      </c>
      <c r="R262" s="7"/>
      <c r="S262" s="7"/>
      <c r="T262" s="7"/>
      <c r="U262" s="7"/>
      <c r="V262" s="7"/>
      <c r="W262" s="7"/>
      <c r="X262" s="7"/>
      <c r="Y262" s="7"/>
      <c r="Z262" s="7"/>
    </row>
    <row r="263" spans="1:26" ht="9" customHeight="1" x14ac:dyDescent="0.2">
      <c r="A263" s="534"/>
      <c r="B263" s="534"/>
      <c r="C263" s="34" t="s">
        <v>37</v>
      </c>
      <c r="D263" s="35">
        <v>35</v>
      </c>
      <c r="E263" s="36">
        <v>26819992</v>
      </c>
      <c r="F263" s="36">
        <v>2939994</v>
      </c>
      <c r="G263" s="36">
        <v>240001</v>
      </c>
      <c r="H263" s="36">
        <v>12507588</v>
      </c>
      <c r="I263" s="36">
        <v>267031</v>
      </c>
      <c r="J263" s="37">
        <v>3542290</v>
      </c>
      <c r="K263" s="36">
        <v>42774605</v>
      </c>
      <c r="L263" s="38">
        <v>46316895</v>
      </c>
      <c r="M263" s="39"/>
      <c r="N263" s="36">
        <v>42774605</v>
      </c>
      <c r="O263" s="36">
        <v>30267017</v>
      </c>
      <c r="P263" s="36">
        <v>0</v>
      </c>
      <c r="Q263" s="36">
        <f>Q262*1936.27</f>
        <v>51764958.212646</v>
      </c>
      <c r="R263" s="7"/>
      <c r="S263" s="7"/>
      <c r="T263" s="7"/>
      <c r="U263" s="7"/>
      <c r="V263" s="7"/>
      <c r="W263" s="7"/>
      <c r="X263" s="7"/>
      <c r="Y263" s="7"/>
      <c r="Z263" s="7"/>
    </row>
    <row r="264" spans="1:26" ht="12.75" customHeight="1" x14ac:dyDescent="0.2">
      <c r="A264" s="534"/>
      <c r="B264" s="534"/>
      <c r="C264" s="40" t="s">
        <v>36</v>
      </c>
      <c r="D264" s="41">
        <v>36</v>
      </c>
      <c r="E264" s="42">
        <v>14161.25</v>
      </c>
      <c r="F264" s="42">
        <v>1555.57</v>
      </c>
      <c r="G264" s="42">
        <v>123.95</v>
      </c>
      <c r="H264" s="42">
        <v>6459.63</v>
      </c>
      <c r="I264" s="42">
        <v>137.91</v>
      </c>
      <c r="J264" s="42">
        <v>1858.37</v>
      </c>
      <c r="K264" s="43">
        <v>22438.31</v>
      </c>
      <c r="L264" s="32">
        <v>24296.68</v>
      </c>
      <c r="M264" s="33"/>
      <c r="N264" s="30">
        <v>22438.31</v>
      </c>
      <c r="O264" s="30">
        <v>15978.68</v>
      </c>
      <c r="P264" s="30"/>
      <c r="Q264" s="30">
        <f>(N264+O264*0.18+J264)+(IF((P264-O264*0.18)&gt;0,(P264-O264*0.18),0))</f>
        <v>27172.842400000001</v>
      </c>
      <c r="R264" s="7"/>
      <c r="S264" s="7"/>
      <c r="T264" s="7"/>
      <c r="U264" s="7"/>
      <c r="V264" s="7"/>
      <c r="W264" s="7"/>
      <c r="X264" s="7"/>
      <c r="Y264" s="7"/>
      <c r="Z264" s="7"/>
    </row>
    <row r="265" spans="1:26" ht="9" customHeight="1" x14ac:dyDescent="0.2">
      <c r="A265" s="534"/>
      <c r="B265" s="534"/>
      <c r="C265" s="34" t="s">
        <v>37</v>
      </c>
      <c r="D265" s="35">
        <v>37</v>
      </c>
      <c r="E265" s="36">
        <v>27420004</v>
      </c>
      <c r="F265" s="36">
        <v>3012004</v>
      </c>
      <c r="G265" s="36">
        <v>240001</v>
      </c>
      <c r="H265" s="36">
        <v>12507588</v>
      </c>
      <c r="I265" s="36">
        <v>267031</v>
      </c>
      <c r="J265" s="37">
        <v>3598306</v>
      </c>
      <c r="K265" s="36">
        <v>43446627</v>
      </c>
      <c r="L265" s="38">
        <v>47044933</v>
      </c>
      <c r="M265" s="39"/>
      <c r="N265" s="36">
        <v>43446627</v>
      </c>
      <c r="O265" s="36">
        <v>30939039</v>
      </c>
      <c r="P265" s="36">
        <v>0</v>
      </c>
      <c r="Q265" s="36">
        <f>Q264*1936.27</f>
        <v>52613959.553848006</v>
      </c>
      <c r="R265" s="7"/>
      <c r="S265" s="7"/>
      <c r="T265" s="7"/>
      <c r="U265" s="7"/>
      <c r="V265" s="7"/>
      <c r="W265" s="7"/>
      <c r="X265" s="7"/>
      <c r="Y265" s="7"/>
      <c r="Z265" s="7"/>
    </row>
    <row r="266" spans="1:26" ht="9" customHeight="1" x14ac:dyDescent="0.2">
      <c r="A266" s="534"/>
      <c r="B266" s="534"/>
      <c r="C266" s="44" t="s">
        <v>36</v>
      </c>
      <c r="D266" s="45">
        <v>38</v>
      </c>
      <c r="E266" s="42">
        <v>14471.12</v>
      </c>
      <c r="F266" s="42">
        <v>1586.56</v>
      </c>
      <c r="G266" s="42">
        <v>123.95</v>
      </c>
      <c r="H266" s="42">
        <v>6459.63</v>
      </c>
      <c r="I266" s="42">
        <v>137.91</v>
      </c>
      <c r="J266" s="42">
        <v>1886.77</v>
      </c>
      <c r="K266" s="43">
        <v>22779.17</v>
      </c>
      <c r="L266" s="32">
        <v>24665.94</v>
      </c>
      <c r="M266" s="33"/>
      <c r="N266" s="30">
        <v>22779.17</v>
      </c>
      <c r="O266" s="30">
        <v>16319.54</v>
      </c>
      <c r="P266" s="30"/>
      <c r="Q266" s="30">
        <f>(N266+O266*0.18+J266)+(IF((P266-O266*0.18)&gt;0,(P266-O266*0.18),0))</f>
        <v>27603.457200000001</v>
      </c>
      <c r="R266" s="7"/>
      <c r="S266" s="7"/>
      <c r="T266" s="7"/>
      <c r="U266" s="7"/>
      <c r="V266" s="7"/>
      <c r="W266" s="7"/>
      <c r="X266" s="7"/>
      <c r="Y266" s="7"/>
      <c r="Z266" s="7"/>
    </row>
    <row r="267" spans="1:26" ht="9" customHeight="1" x14ac:dyDescent="0.2">
      <c r="A267" s="534"/>
      <c r="B267" s="534"/>
      <c r="C267" s="44" t="s">
        <v>37</v>
      </c>
      <c r="D267" s="45">
        <v>39</v>
      </c>
      <c r="E267" s="36">
        <v>28019996</v>
      </c>
      <c r="F267" s="36">
        <v>3072009</v>
      </c>
      <c r="G267" s="36">
        <v>240001</v>
      </c>
      <c r="H267" s="36">
        <v>12507588</v>
      </c>
      <c r="I267" s="36">
        <v>267031</v>
      </c>
      <c r="J267" s="37">
        <v>3653296</v>
      </c>
      <c r="K267" s="36">
        <v>44106623</v>
      </c>
      <c r="L267" s="38">
        <v>47759920</v>
      </c>
      <c r="M267" s="39"/>
      <c r="N267" s="46">
        <v>44106623</v>
      </c>
      <c r="O267" s="46">
        <v>31599036</v>
      </c>
      <c r="P267" s="46">
        <v>0</v>
      </c>
      <c r="Q267" s="36">
        <f>Q266*1936.27</f>
        <v>53447746.072644003</v>
      </c>
      <c r="R267" s="7"/>
      <c r="S267" s="7"/>
      <c r="T267" s="7"/>
      <c r="U267" s="7"/>
      <c r="V267" s="7"/>
      <c r="W267" s="7"/>
      <c r="X267" s="7"/>
      <c r="Y267" s="7"/>
      <c r="Z267" s="7"/>
    </row>
    <row r="268" spans="1:26" ht="12.75" customHeight="1" x14ac:dyDescent="0.2">
      <c r="A268" s="534"/>
      <c r="B268" s="534"/>
      <c r="C268" s="40" t="s">
        <v>36</v>
      </c>
      <c r="D268" s="41">
        <v>40</v>
      </c>
      <c r="E268" s="42">
        <v>14781</v>
      </c>
      <c r="F268" s="42">
        <v>1623.74</v>
      </c>
      <c r="G268" s="42">
        <v>123.95</v>
      </c>
      <c r="H268" s="42">
        <v>6459.63</v>
      </c>
      <c r="I268" s="42">
        <v>137.91</v>
      </c>
      <c r="J268" s="42">
        <v>1915.69</v>
      </c>
      <c r="K268" s="43">
        <v>23126.23</v>
      </c>
      <c r="L268" s="32">
        <v>25041.919999999998</v>
      </c>
      <c r="M268" s="33"/>
      <c r="N268" s="30">
        <v>23126.23</v>
      </c>
      <c r="O268" s="30">
        <v>16666.599999999999</v>
      </c>
      <c r="P268" s="30"/>
      <c r="Q268" s="30">
        <f>(N268+O268*0.18+J268)+(IF((P268-O268*0.18)&gt;0,(P268-O268*0.18),0))</f>
        <v>28041.907999999999</v>
      </c>
      <c r="R268" s="7"/>
      <c r="S268" s="7"/>
      <c r="T268" s="7"/>
      <c r="U268" s="7"/>
      <c r="V268" s="7"/>
      <c r="W268" s="7"/>
      <c r="X268" s="7"/>
      <c r="Y268" s="7"/>
      <c r="Z268" s="7"/>
    </row>
    <row r="269" spans="1:26" ht="9" customHeight="1" x14ac:dyDescent="0.2">
      <c r="A269" s="535"/>
      <c r="B269" s="535"/>
      <c r="C269" s="47"/>
      <c r="D269" s="48"/>
      <c r="E269" s="46">
        <v>28620007</v>
      </c>
      <c r="F269" s="46">
        <v>3143999</v>
      </c>
      <c r="G269" s="46">
        <v>240001</v>
      </c>
      <c r="H269" s="46">
        <v>12507588</v>
      </c>
      <c r="I269" s="46">
        <v>267031</v>
      </c>
      <c r="J269" s="49">
        <v>3709293</v>
      </c>
      <c r="K269" s="46">
        <v>44778625</v>
      </c>
      <c r="L269" s="38">
        <v>48487918</v>
      </c>
      <c r="M269" s="39"/>
      <c r="N269" s="36">
        <v>44778625</v>
      </c>
      <c r="O269" s="36">
        <v>32271038</v>
      </c>
      <c r="P269" s="36">
        <v>0</v>
      </c>
      <c r="Q269" s="36">
        <f>Q268*1936.27</f>
        <v>54296705.203159995</v>
      </c>
      <c r="R269" s="7"/>
      <c r="S269" s="7"/>
      <c r="T269" s="7"/>
      <c r="U269" s="7"/>
      <c r="V269" s="7"/>
      <c r="W269" s="7"/>
      <c r="X269" s="7"/>
      <c r="Y269" s="7"/>
      <c r="Z269" s="7"/>
    </row>
    <row r="270" spans="1:26" ht="12.75" customHeight="1" x14ac:dyDescent="0.2">
      <c r="A270" s="538">
        <v>34516</v>
      </c>
      <c r="B270" s="538">
        <v>34699</v>
      </c>
      <c r="C270" s="28" t="s">
        <v>36</v>
      </c>
      <c r="D270" s="29">
        <v>0</v>
      </c>
      <c r="E270" s="30">
        <v>6674.69</v>
      </c>
      <c r="F270" s="30">
        <v>731.3</v>
      </c>
      <c r="G270" s="30">
        <v>123.95</v>
      </c>
      <c r="H270" s="30">
        <v>6459.63</v>
      </c>
      <c r="I270" s="30">
        <v>229.85</v>
      </c>
      <c r="J270" s="30">
        <v>1165.8</v>
      </c>
      <c r="K270" s="31">
        <v>14219.42</v>
      </c>
      <c r="L270" s="32">
        <v>15385.22</v>
      </c>
      <c r="M270" s="33"/>
      <c r="N270" s="30">
        <v>14219.42</v>
      </c>
      <c r="O270" s="30">
        <v>7759.79</v>
      </c>
      <c r="P270" s="30"/>
      <c r="Q270" s="30">
        <f>(N270+O270*0.18+J270)+(IF((P270-O270*0.18)&gt;0,(P270-O270*0.18),0))</f>
        <v>16781.982199999999</v>
      </c>
      <c r="R270" s="7"/>
      <c r="S270" s="7"/>
      <c r="T270" s="7"/>
      <c r="U270" s="7"/>
      <c r="V270" s="7"/>
      <c r="W270" s="7"/>
      <c r="X270" s="7"/>
      <c r="Y270" s="7"/>
      <c r="Z270" s="7"/>
    </row>
    <row r="271" spans="1:26" ht="8.25" customHeight="1" x14ac:dyDescent="0.2">
      <c r="A271" s="534"/>
      <c r="B271" s="534"/>
      <c r="C271" s="34" t="s">
        <v>37</v>
      </c>
      <c r="D271" s="35">
        <v>0</v>
      </c>
      <c r="E271" s="36">
        <v>12924002</v>
      </c>
      <c r="F271" s="36">
        <v>1415994</v>
      </c>
      <c r="G271" s="36">
        <v>240001</v>
      </c>
      <c r="H271" s="36">
        <v>12507588</v>
      </c>
      <c r="I271" s="36">
        <v>445052</v>
      </c>
      <c r="J271" s="37">
        <v>2257304</v>
      </c>
      <c r="K271" s="36">
        <v>27532636</v>
      </c>
      <c r="L271" s="38">
        <v>29789940</v>
      </c>
      <c r="M271" s="39"/>
      <c r="N271" s="36">
        <v>27532636</v>
      </c>
      <c r="O271" s="36">
        <v>15025049</v>
      </c>
      <c r="P271" s="36">
        <v>0</v>
      </c>
      <c r="Q271" s="36">
        <f>Q270*1936.27</f>
        <v>32494448.674393997</v>
      </c>
      <c r="R271" s="7"/>
      <c r="S271" s="7"/>
      <c r="T271" s="7"/>
      <c r="U271" s="7"/>
      <c r="V271" s="7"/>
      <c r="W271" s="7"/>
      <c r="X271" s="7"/>
      <c r="Y271" s="7"/>
      <c r="Z271" s="7"/>
    </row>
    <row r="272" spans="1:26" ht="12.75" customHeight="1" x14ac:dyDescent="0.2">
      <c r="A272" s="540">
        <v>34516</v>
      </c>
      <c r="B272" s="540">
        <v>34699</v>
      </c>
      <c r="C272" s="40" t="s">
        <v>36</v>
      </c>
      <c r="D272" s="41">
        <v>1</v>
      </c>
      <c r="E272" s="42">
        <v>7027.95</v>
      </c>
      <c r="F272" s="42">
        <v>768.49</v>
      </c>
      <c r="G272" s="42">
        <v>123.95</v>
      </c>
      <c r="H272" s="42">
        <v>6459.63</v>
      </c>
      <c r="I272" s="42">
        <v>229.85</v>
      </c>
      <c r="J272" s="42">
        <v>1198.3399999999999</v>
      </c>
      <c r="K272" s="43">
        <v>14609.87</v>
      </c>
      <c r="L272" s="32">
        <v>15808.21</v>
      </c>
      <c r="M272" s="33"/>
      <c r="N272" s="30">
        <v>14609.87</v>
      </c>
      <c r="O272" s="30">
        <v>8150.24</v>
      </c>
      <c r="P272" s="30"/>
      <c r="Q272" s="30">
        <f>(N272+O272*0.18+J272)+(IF((P272-O272*0.18)&gt;0,(P272-O272*0.18),0))</f>
        <v>17275.253199999999</v>
      </c>
      <c r="R272" s="7"/>
      <c r="S272" s="7"/>
      <c r="T272" s="7"/>
      <c r="U272" s="7"/>
      <c r="V272" s="7"/>
      <c r="W272" s="7"/>
      <c r="X272" s="7"/>
      <c r="Y272" s="7"/>
      <c r="Z272" s="7"/>
    </row>
    <row r="273" spans="1:26" ht="8.25" customHeight="1" x14ac:dyDescent="0.2">
      <c r="A273" s="534"/>
      <c r="B273" s="534"/>
      <c r="C273" s="34" t="s">
        <v>37</v>
      </c>
      <c r="D273" s="35">
        <v>2</v>
      </c>
      <c r="E273" s="36">
        <v>13608009</v>
      </c>
      <c r="F273" s="36">
        <v>1488004</v>
      </c>
      <c r="G273" s="36">
        <v>240001</v>
      </c>
      <c r="H273" s="36">
        <v>12507588</v>
      </c>
      <c r="I273" s="36">
        <v>445052</v>
      </c>
      <c r="J273" s="37">
        <v>2320310</v>
      </c>
      <c r="K273" s="36">
        <v>28288653</v>
      </c>
      <c r="L273" s="38">
        <v>30608963</v>
      </c>
      <c r="M273" s="39"/>
      <c r="N273" s="36">
        <v>28288653</v>
      </c>
      <c r="O273" s="36">
        <v>15781065</v>
      </c>
      <c r="P273" s="36">
        <v>0</v>
      </c>
      <c r="Q273" s="36">
        <f>Q272*1936.27</f>
        <v>33449554.513563998</v>
      </c>
      <c r="R273" s="7"/>
      <c r="S273" s="7"/>
      <c r="T273" s="7"/>
      <c r="U273" s="7"/>
      <c r="V273" s="7"/>
      <c r="W273" s="7"/>
      <c r="X273" s="7"/>
      <c r="Y273" s="7"/>
      <c r="Z273" s="7"/>
    </row>
    <row r="274" spans="1:26" ht="12.75" customHeight="1" x14ac:dyDescent="0.2">
      <c r="A274" s="534"/>
      <c r="B274" s="534"/>
      <c r="C274" s="40" t="s">
        <v>36</v>
      </c>
      <c r="D274" s="41">
        <v>3</v>
      </c>
      <c r="E274" s="42">
        <v>7387.4</v>
      </c>
      <c r="F274" s="42">
        <v>811.87</v>
      </c>
      <c r="G274" s="42">
        <v>123.95</v>
      </c>
      <c r="H274" s="42">
        <v>6459.63</v>
      </c>
      <c r="I274" s="42">
        <v>229.85</v>
      </c>
      <c r="J274" s="42">
        <v>1231.9000000000001</v>
      </c>
      <c r="K274" s="43">
        <v>15012.7</v>
      </c>
      <c r="L274" s="32">
        <v>16244.6</v>
      </c>
      <c r="M274" s="33"/>
      <c r="N274" s="30">
        <v>15012.7</v>
      </c>
      <c r="O274" s="30">
        <v>8553.07</v>
      </c>
      <c r="P274" s="30"/>
      <c r="Q274" s="30">
        <f>(N274+O274*0.18+J274)+(IF((P274-O274*0.18)&gt;0,(P274-O274*0.18),0))</f>
        <v>17784.152600000001</v>
      </c>
      <c r="R274" s="7"/>
      <c r="S274" s="7"/>
      <c r="T274" s="7"/>
      <c r="U274" s="7"/>
      <c r="V274" s="7"/>
      <c r="W274" s="7"/>
      <c r="X274" s="7"/>
      <c r="Y274" s="7"/>
      <c r="Z274" s="7"/>
    </row>
    <row r="275" spans="1:26" ht="8.25" customHeight="1" x14ac:dyDescent="0.2">
      <c r="A275" s="534"/>
      <c r="B275" s="534"/>
      <c r="C275" s="34" t="s">
        <v>37</v>
      </c>
      <c r="D275" s="35">
        <v>4</v>
      </c>
      <c r="E275" s="36">
        <v>14304001</v>
      </c>
      <c r="F275" s="36">
        <v>1572000</v>
      </c>
      <c r="G275" s="36">
        <v>240001</v>
      </c>
      <c r="H275" s="36">
        <v>12507588</v>
      </c>
      <c r="I275" s="36">
        <v>445052</v>
      </c>
      <c r="J275" s="37">
        <v>2385291</v>
      </c>
      <c r="K275" s="36">
        <v>29068641</v>
      </c>
      <c r="L275" s="38">
        <v>31453932</v>
      </c>
      <c r="M275" s="39"/>
      <c r="N275" s="36">
        <v>29068641</v>
      </c>
      <c r="O275" s="36">
        <v>16561053</v>
      </c>
      <c r="P275" s="36">
        <v>0</v>
      </c>
      <c r="Q275" s="36">
        <f>Q274*1936.27</f>
        <v>34434921.154802002</v>
      </c>
      <c r="R275" s="7"/>
      <c r="S275" s="7"/>
      <c r="T275" s="7"/>
      <c r="U275" s="7"/>
      <c r="V275" s="7"/>
      <c r="W275" s="7"/>
      <c r="X275" s="7"/>
      <c r="Y275" s="7"/>
      <c r="Z275" s="7"/>
    </row>
    <row r="276" spans="1:26" ht="12.75" customHeight="1" x14ac:dyDescent="0.2">
      <c r="A276" s="534"/>
      <c r="B276" s="534"/>
      <c r="C276" s="40" t="s">
        <v>36</v>
      </c>
      <c r="D276" s="41">
        <v>5</v>
      </c>
      <c r="E276" s="42">
        <v>7740.66</v>
      </c>
      <c r="F276" s="42">
        <v>849.06</v>
      </c>
      <c r="G276" s="42">
        <v>123.95</v>
      </c>
      <c r="H276" s="42">
        <v>6459.63</v>
      </c>
      <c r="I276" s="42">
        <v>229.85</v>
      </c>
      <c r="J276" s="42">
        <v>1264.44</v>
      </c>
      <c r="K276" s="43">
        <v>15403.15</v>
      </c>
      <c r="L276" s="32">
        <v>16667.59</v>
      </c>
      <c r="M276" s="33"/>
      <c r="N276" s="30">
        <v>15403.15</v>
      </c>
      <c r="O276" s="30">
        <v>8943.52</v>
      </c>
      <c r="P276" s="30"/>
      <c r="Q276" s="30">
        <f>(N276+O276*0.18+J276)+(IF((P276-O276*0.18)&gt;0,(P276-O276*0.18),0))</f>
        <v>18277.423599999998</v>
      </c>
      <c r="R276" s="7"/>
      <c r="S276" s="7"/>
      <c r="T276" s="7"/>
      <c r="U276" s="7"/>
      <c r="V276" s="7"/>
      <c r="W276" s="7"/>
      <c r="X276" s="7"/>
      <c r="Y276" s="7"/>
      <c r="Z276" s="7"/>
    </row>
    <row r="277" spans="1:26" ht="8.25" customHeight="1" x14ac:dyDescent="0.2">
      <c r="A277" s="534"/>
      <c r="B277" s="534"/>
      <c r="C277" s="34" t="s">
        <v>37</v>
      </c>
      <c r="D277" s="35">
        <v>6</v>
      </c>
      <c r="E277" s="36">
        <v>14988008</v>
      </c>
      <c r="F277" s="36">
        <v>1644009</v>
      </c>
      <c r="G277" s="36">
        <v>240001</v>
      </c>
      <c r="H277" s="36">
        <v>12507588</v>
      </c>
      <c r="I277" s="36">
        <v>445052</v>
      </c>
      <c r="J277" s="37">
        <v>2448297</v>
      </c>
      <c r="K277" s="36">
        <v>29824657</v>
      </c>
      <c r="L277" s="38">
        <v>32272954</v>
      </c>
      <c r="M277" s="39"/>
      <c r="N277" s="36">
        <v>29824657</v>
      </c>
      <c r="O277" s="36">
        <v>17317069</v>
      </c>
      <c r="P277" s="36">
        <v>0</v>
      </c>
      <c r="Q277" s="36">
        <f>Q276*1936.27</f>
        <v>35390026.993971996</v>
      </c>
      <c r="R277" s="7"/>
      <c r="S277" s="7"/>
      <c r="T277" s="7"/>
      <c r="U277" s="7"/>
      <c r="V277" s="7"/>
      <c r="W277" s="7"/>
      <c r="X277" s="7"/>
      <c r="Y277" s="7"/>
      <c r="Z277" s="7"/>
    </row>
    <row r="278" spans="1:26" ht="12.75" customHeight="1" x14ac:dyDescent="0.2">
      <c r="A278" s="534"/>
      <c r="B278" s="534"/>
      <c r="C278" s="40" t="s">
        <v>36</v>
      </c>
      <c r="D278" s="41">
        <v>7</v>
      </c>
      <c r="E278" s="42">
        <v>8155.89</v>
      </c>
      <c r="F278" s="42">
        <v>892.44</v>
      </c>
      <c r="G278" s="42">
        <v>123.95</v>
      </c>
      <c r="H278" s="42">
        <v>6459.63</v>
      </c>
      <c r="I278" s="42">
        <v>229.85</v>
      </c>
      <c r="J278" s="42">
        <v>1302.6600000000001</v>
      </c>
      <c r="K278" s="43">
        <v>15861.76</v>
      </c>
      <c r="L278" s="32">
        <v>17164.419999999998</v>
      </c>
      <c r="M278" s="33"/>
      <c r="N278" s="30">
        <v>15861.76</v>
      </c>
      <c r="O278" s="30">
        <v>9402.1299999999992</v>
      </c>
      <c r="P278" s="30"/>
      <c r="Q278" s="30">
        <f>(N278+O278*0.18+J278)+(IF((P278-O278*0.18)&gt;0,(P278-O278*0.18),0))</f>
        <v>18856.803400000001</v>
      </c>
      <c r="R278" s="7"/>
      <c r="S278" s="7"/>
      <c r="T278" s="7"/>
      <c r="U278" s="7"/>
      <c r="V278" s="7"/>
      <c r="W278" s="7"/>
      <c r="X278" s="7"/>
      <c r="Y278" s="7"/>
      <c r="Z278" s="7"/>
    </row>
    <row r="279" spans="1:26" ht="8.25" customHeight="1" x14ac:dyDescent="0.2">
      <c r="A279" s="534"/>
      <c r="B279" s="534"/>
      <c r="C279" s="34" t="s">
        <v>37</v>
      </c>
      <c r="D279" s="35">
        <v>8</v>
      </c>
      <c r="E279" s="36">
        <v>15792005</v>
      </c>
      <c r="F279" s="36">
        <v>1728005</v>
      </c>
      <c r="G279" s="36">
        <v>240001</v>
      </c>
      <c r="H279" s="36">
        <v>12507588</v>
      </c>
      <c r="I279" s="36">
        <v>445052</v>
      </c>
      <c r="J279" s="37">
        <v>2522301</v>
      </c>
      <c r="K279" s="36">
        <v>30712650</v>
      </c>
      <c r="L279" s="38">
        <v>33234952</v>
      </c>
      <c r="M279" s="39"/>
      <c r="N279" s="36">
        <v>30712650</v>
      </c>
      <c r="O279" s="36">
        <v>18205062</v>
      </c>
      <c r="P279" s="36">
        <v>0</v>
      </c>
      <c r="Q279" s="36">
        <f>Q278*1936.27</f>
        <v>36511862.719318002</v>
      </c>
      <c r="R279" s="7"/>
      <c r="S279" s="7"/>
      <c r="T279" s="7"/>
      <c r="U279" s="7"/>
      <c r="V279" s="7"/>
      <c r="W279" s="7"/>
      <c r="X279" s="7"/>
      <c r="Y279" s="7"/>
      <c r="Z279" s="7"/>
    </row>
    <row r="280" spans="1:26" ht="12.75" customHeight="1" x14ac:dyDescent="0.2">
      <c r="A280" s="534"/>
      <c r="B280" s="534"/>
      <c r="C280" s="40" t="s">
        <v>36</v>
      </c>
      <c r="D280" s="41">
        <v>9</v>
      </c>
      <c r="E280" s="42">
        <v>8527.74</v>
      </c>
      <c r="F280" s="42">
        <v>935.82</v>
      </c>
      <c r="G280" s="42">
        <v>123.95</v>
      </c>
      <c r="H280" s="42">
        <v>6459.63</v>
      </c>
      <c r="I280" s="42">
        <v>229.85</v>
      </c>
      <c r="J280" s="42">
        <v>1337.26</v>
      </c>
      <c r="K280" s="43">
        <v>16276.99</v>
      </c>
      <c r="L280" s="32">
        <v>17614.25</v>
      </c>
      <c r="M280" s="33"/>
      <c r="N280" s="30">
        <v>16276.99</v>
      </c>
      <c r="O280" s="30">
        <v>9817.36</v>
      </c>
      <c r="P280" s="30"/>
      <c r="Q280" s="30">
        <f>(N280+O280*0.18+J280)+(IF((P280-O280*0.18)&gt;0,(P280-O280*0.18),0))</f>
        <v>19381.374799999998</v>
      </c>
      <c r="R280" s="7"/>
      <c r="S280" s="7"/>
      <c r="T280" s="7"/>
      <c r="U280" s="7"/>
      <c r="V280" s="7"/>
      <c r="W280" s="7"/>
      <c r="X280" s="7"/>
      <c r="Y280" s="7"/>
      <c r="Z280" s="7"/>
    </row>
    <row r="281" spans="1:26" ht="8.25" customHeight="1" x14ac:dyDescent="0.2">
      <c r="A281" s="534"/>
      <c r="B281" s="534"/>
      <c r="C281" s="34" t="s">
        <v>37</v>
      </c>
      <c r="D281" s="35">
        <v>10</v>
      </c>
      <c r="E281" s="36">
        <v>16512007</v>
      </c>
      <c r="F281" s="36">
        <v>1812000</v>
      </c>
      <c r="G281" s="36">
        <v>240001</v>
      </c>
      <c r="H281" s="36">
        <v>12507588</v>
      </c>
      <c r="I281" s="36">
        <v>445052</v>
      </c>
      <c r="J281" s="37">
        <v>2589296</v>
      </c>
      <c r="K281" s="36">
        <v>31516647</v>
      </c>
      <c r="L281" s="38">
        <v>34105944</v>
      </c>
      <c r="M281" s="39"/>
      <c r="N281" s="36">
        <v>31516647</v>
      </c>
      <c r="O281" s="36">
        <v>19009060</v>
      </c>
      <c r="P281" s="36">
        <v>0</v>
      </c>
      <c r="Q281" s="36">
        <f>Q280*1936.27</f>
        <v>37527574.583995998</v>
      </c>
      <c r="R281" s="7"/>
      <c r="S281" s="7"/>
      <c r="T281" s="7"/>
      <c r="U281" s="7"/>
      <c r="V281" s="7"/>
      <c r="W281" s="7"/>
      <c r="X281" s="7"/>
      <c r="Y281" s="7"/>
      <c r="Z281" s="7"/>
    </row>
    <row r="282" spans="1:26" ht="12.75" customHeight="1" x14ac:dyDescent="0.2">
      <c r="A282" s="534"/>
      <c r="B282" s="534"/>
      <c r="C282" s="40" t="s">
        <v>36</v>
      </c>
      <c r="D282" s="41">
        <v>11</v>
      </c>
      <c r="E282" s="42">
        <v>8980.15</v>
      </c>
      <c r="F282" s="42">
        <v>985.4</v>
      </c>
      <c r="G282" s="42">
        <v>123.95</v>
      </c>
      <c r="H282" s="42">
        <v>6459.63</v>
      </c>
      <c r="I282" s="42">
        <v>229.85</v>
      </c>
      <c r="J282" s="42">
        <v>1379.09</v>
      </c>
      <c r="K282" s="43">
        <v>16778.98</v>
      </c>
      <c r="L282" s="32">
        <v>18158.07</v>
      </c>
      <c r="M282" s="33"/>
      <c r="N282" s="30">
        <v>16778.98</v>
      </c>
      <c r="O282" s="30">
        <v>10319.35</v>
      </c>
      <c r="P282" s="30"/>
      <c r="Q282" s="30">
        <f>(N282+O282*0.18+J282)+(IF((P282-O282*0.18)&gt;0,(P282-O282*0.18),0))</f>
        <v>20015.553</v>
      </c>
      <c r="R282" s="7"/>
      <c r="S282" s="7"/>
      <c r="T282" s="7"/>
      <c r="U282" s="7"/>
      <c r="V282" s="7"/>
      <c r="W282" s="7"/>
      <c r="X282" s="7"/>
      <c r="Y282" s="7"/>
      <c r="Z282" s="7"/>
    </row>
    <row r="283" spans="1:26" ht="8.25" customHeight="1" x14ac:dyDescent="0.2">
      <c r="A283" s="534"/>
      <c r="B283" s="534"/>
      <c r="C283" s="34" t="s">
        <v>37</v>
      </c>
      <c r="D283" s="35">
        <v>12</v>
      </c>
      <c r="E283" s="36">
        <v>17387995</v>
      </c>
      <c r="F283" s="36">
        <v>1908000</v>
      </c>
      <c r="G283" s="36">
        <v>240001</v>
      </c>
      <c r="H283" s="36">
        <v>12507588</v>
      </c>
      <c r="I283" s="36">
        <v>445052</v>
      </c>
      <c r="J283" s="37">
        <v>2670291</v>
      </c>
      <c r="K283" s="36">
        <v>32488636</v>
      </c>
      <c r="L283" s="38">
        <v>35158926</v>
      </c>
      <c r="M283" s="39"/>
      <c r="N283" s="36">
        <v>32488636</v>
      </c>
      <c r="O283" s="36">
        <v>19981048</v>
      </c>
      <c r="P283" s="36">
        <v>0</v>
      </c>
      <c r="Q283" s="36">
        <f>Q282*1936.27</f>
        <v>38755514.80731</v>
      </c>
      <c r="R283" s="7"/>
      <c r="S283" s="7"/>
      <c r="T283" s="7"/>
      <c r="U283" s="7"/>
      <c r="V283" s="7"/>
      <c r="W283" s="7"/>
      <c r="X283" s="7"/>
      <c r="Y283" s="7"/>
      <c r="Z283" s="7"/>
    </row>
    <row r="284" spans="1:26" ht="12.75" customHeight="1" x14ac:dyDescent="0.2">
      <c r="A284" s="534"/>
      <c r="B284" s="534"/>
      <c r="C284" s="40" t="s">
        <v>36</v>
      </c>
      <c r="D284" s="41">
        <v>13</v>
      </c>
      <c r="E284" s="42">
        <v>9463.56</v>
      </c>
      <c r="F284" s="42">
        <v>1034.98</v>
      </c>
      <c r="G284" s="42">
        <v>123.95</v>
      </c>
      <c r="H284" s="42">
        <v>6459.63</v>
      </c>
      <c r="I284" s="42">
        <v>229.85</v>
      </c>
      <c r="J284" s="42">
        <v>1423.51</v>
      </c>
      <c r="K284" s="43">
        <v>17311.97</v>
      </c>
      <c r="L284" s="32">
        <v>18735.48</v>
      </c>
      <c r="M284" s="33"/>
      <c r="N284" s="30">
        <v>17311.97</v>
      </c>
      <c r="O284" s="30">
        <v>10852.34</v>
      </c>
      <c r="P284" s="30"/>
      <c r="Q284" s="30">
        <f>(N284+O284*0.18+J284)+(IF((P284-O284*0.18)&gt;0,(P284-O284*0.18),0))</f>
        <v>20688.9012</v>
      </c>
      <c r="R284" s="7"/>
      <c r="S284" s="7"/>
      <c r="T284" s="7"/>
      <c r="U284" s="7"/>
      <c r="V284" s="7"/>
      <c r="W284" s="7"/>
      <c r="X284" s="7"/>
      <c r="Y284" s="7"/>
      <c r="Z284" s="7"/>
    </row>
    <row r="285" spans="1:26" ht="7.5" customHeight="1" x14ac:dyDescent="0.2">
      <c r="A285" s="534"/>
      <c r="B285" s="534"/>
      <c r="C285" s="34" t="s">
        <v>37</v>
      </c>
      <c r="D285" s="35">
        <v>14</v>
      </c>
      <c r="E285" s="36">
        <v>18324007</v>
      </c>
      <c r="F285" s="36">
        <v>2004001</v>
      </c>
      <c r="G285" s="36">
        <v>240001</v>
      </c>
      <c r="H285" s="36">
        <v>12507588</v>
      </c>
      <c r="I285" s="36">
        <v>445052</v>
      </c>
      <c r="J285" s="37">
        <v>2756300</v>
      </c>
      <c r="K285" s="36">
        <v>33520648</v>
      </c>
      <c r="L285" s="38">
        <v>36276948</v>
      </c>
      <c r="M285" s="39"/>
      <c r="N285" s="36">
        <v>33520648</v>
      </c>
      <c r="O285" s="36">
        <v>21013060</v>
      </c>
      <c r="P285" s="36">
        <v>0</v>
      </c>
      <c r="Q285" s="36">
        <f>Q284*1936.27</f>
        <v>40059298.726524003</v>
      </c>
      <c r="R285" s="7"/>
      <c r="S285" s="7"/>
      <c r="T285" s="7"/>
      <c r="U285" s="7"/>
      <c r="V285" s="7"/>
      <c r="W285" s="7"/>
      <c r="X285" s="7"/>
      <c r="Y285" s="7"/>
      <c r="Z285" s="7"/>
    </row>
    <row r="286" spans="1:26" ht="12.75" customHeight="1" x14ac:dyDescent="0.2">
      <c r="A286" s="534"/>
      <c r="B286" s="534"/>
      <c r="C286" s="40" t="s">
        <v>36</v>
      </c>
      <c r="D286" s="41">
        <v>15</v>
      </c>
      <c r="E286" s="42">
        <v>9940.76</v>
      </c>
      <c r="F286" s="42">
        <v>1090.76</v>
      </c>
      <c r="G286" s="42">
        <v>123.95</v>
      </c>
      <c r="H286" s="42">
        <v>6459.63</v>
      </c>
      <c r="I286" s="42">
        <v>229.85</v>
      </c>
      <c r="J286" s="42">
        <v>1467.93</v>
      </c>
      <c r="K286" s="43">
        <v>17844.95</v>
      </c>
      <c r="L286" s="32">
        <v>19312.88</v>
      </c>
      <c r="M286" s="33"/>
      <c r="N286" s="30">
        <v>17844.95</v>
      </c>
      <c r="O286" s="30">
        <v>11385.32</v>
      </c>
      <c r="P286" s="30"/>
      <c r="Q286" s="30">
        <f>(N286+O286*0.18+J286)+(IF((P286-O286*0.18)&gt;0,(P286-O286*0.18),0))</f>
        <v>21362.2376</v>
      </c>
      <c r="R286" s="7"/>
      <c r="S286" s="7"/>
      <c r="T286" s="7"/>
      <c r="U286" s="7"/>
      <c r="V286" s="7"/>
      <c r="W286" s="7"/>
      <c r="X286" s="7"/>
      <c r="Y286" s="7"/>
      <c r="Z286" s="7"/>
    </row>
    <row r="287" spans="1:26" ht="7.5" customHeight="1" x14ac:dyDescent="0.2">
      <c r="A287" s="534"/>
      <c r="B287" s="534"/>
      <c r="C287" s="34" t="s">
        <v>37</v>
      </c>
      <c r="D287" s="35">
        <v>16</v>
      </c>
      <c r="E287" s="36">
        <v>19247995</v>
      </c>
      <c r="F287" s="36">
        <v>2112006</v>
      </c>
      <c r="G287" s="36">
        <v>240001</v>
      </c>
      <c r="H287" s="36">
        <v>12507588</v>
      </c>
      <c r="I287" s="36">
        <v>445052</v>
      </c>
      <c r="J287" s="37">
        <v>2842309</v>
      </c>
      <c r="K287" s="36">
        <v>34552641</v>
      </c>
      <c r="L287" s="38">
        <v>37394950</v>
      </c>
      <c r="M287" s="39"/>
      <c r="N287" s="36">
        <v>34552641</v>
      </c>
      <c r="O287" s="36">
        <v>22045054</v>
      </c>
      <c r="P287" s="36">
        <v>0</v>
      </c>
      <c r="Q287" s="36">
        <f>Q286*1936.27</f>
        <v>41363059.797752</v>
      </c>
      <c r="R287" s="7"/>
      <c r="S287" s="7"/>
      <c r="T287" s="7"/>
      <c r="U287" s="7"/>
      <c r="V287" s="7"/>
      <c r="W287" s="7"/>
      <c r="X287" s="7"/>
      <c r="Y287" s="7"/>
      <c r="Z287" s="7"/>
    </row>
    <row r="288" spans="1:26" ht="12.75" customHeight="1" x14ac:dyDescent="0.2">
      <c r="A288" s="534"/>
      <c r="B288" s="534"/>
      <c r="C288" s="40" t="s">
        <v>36</v>
      </c>
      <c r="D288" s="41">
        <v>17</v>
      </c>
      <c r="E288" s="42">
        <v>11037.72</v>
      </c>
      <c r="F288" s="42">
        <v>1214.71</v>
      </c>
      <c r="G288" s="42">
        <v>123.95</v>
      </c>
      <c r="H288" s="42">
        <v>6459.63</v>
      </c>
      <c r="I288" s="42">
        <v>229.85</v>
      </c>
      <c r="J288" s="42">
        <v>1569.67</v>
      </c>
      <c r="K288" s="43">
        <v>19065.86</v>
      </c>
      <c r="L288" s="32">
        <v>20635.53</v>
      </c>
      <c r="M288" s="33"/>
      <c r="N288" s="30">
        <v>19065.86</v>
      </c>
      <c r="O288" s="30">
        <v>12606.23</v>
      </c>
      <c r="P288" s="30"/>
      <c r="Q288" s="30">
        <f>(N288+O288*0.18+J288)+(IF((P288-O288*0.18)&gt;0,(P288-O288*0.18),0))</f>
        <v>22904.651400000002</v>
      </c>
      <c r="R288" s="7"/>
      <c r="S288" s="7"/>
      <c r="T288" s="7"/>
      <c r="U288" s="7"/>
      <c r="V288" s="7"/>
      <c r="W288" s="7"/>
      <c r="X288" s="7"/>
      <c r="Y288" s="7"/>
      <c r="Z288" s="7"/>
    </row>
    <row r="289" spans="1:26" ht="8.25" customHeight="1" x14ac:dyDescent="0.2">
      <c r="A289" s="534"/>
      <c r="B289" s="534"/>
      <c r="C289" s="34" t="s">
        <v>37</v>
      </c>
      <c r="D289" s="35">
        <v>17</v>
      </c>
      <c r="E289" s="36">
        <v>21372006</v>
      </c>
      <c r="F289" s="36">
        <v>2352007</v>
      </c>
      <c r="G289" s="36">
        <v>240001</v>
      </c>
      <c r="H289" s="36">
        <v>12507588</v>
      </c>
      <c r="I289" s="36">
        <v>445052</v>
      </c>
      <c r="J289" s="37">
        <v>3039305</v>
      </c>
      <c r="K289" s="36">
        <v>36916653</v>
      </c>
      <c r="L289" s="38">
        <v>39955958</v>
      </c>
      <c r="M289" s="39"/>
      <c r="N289" s="36">
        <v>36916653</v>
      </c>
      <c r="O289" s="36">
        <v>24409065</v>
      </c>
      <c r="P289" s="36">
        <v>0</v>
      </c>
      <c r="Q289" s="36">
        <f>Q288*1936.27</f>
        <v>44349589.366278008</v>
      </c>
      <c r="R289" s="7"/>
      <c r="S289" s="7"/>
      <c r="T289" s="7"/>
      <c r="U289" s="7"/>
      <c r="V289" s="7"/>
      <c r="W289" s="7"/>
      <c r="X289" s="7"/>
      <c r="Y289" s="7"/>
      <c r="Z289" s="7"/>
    </row>
    <row r="290" spans="1:26" ht="12.75" customHeight="1" x14ac:dyDescent="0.2">
      <c r="A290" s="534"/>
      <c r="B290" s="534"/>
      <c r="C290" s="40" t="s">
        <v>36</v>
      </c>
      <c r="D290" s="41">
        <v>18</v>
      </c>
      <c r="E290" s="42">
        <v>11347.59</v>
      </c>
      <c r="F290" s="42">
        <v>1245.69</v>
      </c>
      <c r="G290" s="42">
        <v>123.95</v>
      </c>
      <c r="H290" s="42">
        <v>6459.63</v>
      </c>
      <c r="I290" s="42">
        <v>229.85</v>
      </c>
      <c r="J290" s="42">
        <v>1598.07</v>
      </c>
      <c r="K290" s="43">
        <v>19406.71</v>
      </c>
      <c r="L290" s="32">
        <v>21004.78</v>
      </c>
      <c r="M290" s="33"/>
      <c r="N290" s="30">
        <v>19406.71</v>
      </c>
      <c r="O290" s="30">
        <v>12947.08</v>
      </c>
      <c r="P290" s="30"/>
      <c r="Q290" s="30">
        <f>(N290+O290*0.18+J290)+(IF((P290-O290*0.18)&gt;0,(P290-O290*0.18),0))</f>
        <v>23335.254399999998</v>
      </c>
      <c r="R290" s="7"/>
      <c r="S290" s="7"/>
      <c r="T290" s="7"/>
      <c r="U290" s="7"/>
      <c r="V290" s="7"/>
      <c r="W290" s="7"/>
      <c r="X290" s="7"/>
      <c r="Y290" s="7"/>
      <c r="Z290" s="7"/>
    </row>
    <row r="291" spans="1:26" ht="7.5" customHeight="1" x14ac:dyDescent="0.2">
      <c r="A291" s="534"/>
      <c r="B291" s="534"/>
      <c r="C291" s="34" t="s">
        <v>37</v>
      </c>
      <c r="D291" s="35">
        <v>19</v>
      </c>
      <c r="E291" s="36">
        <v>21971998</v>
      </c>
      <c r="F291" s="36">
        <v>2411992</v>
      </c>
      <c r="G291" s="36">
        <v>240001</v>
      </c>
      <c r="H291" s="36">
        <v>12507588</v>
      </c>
      <c r="I291" s="36">
        <v>445052</v>
      </c>
      <c r="J291" s="37">
        <v>3094295</v>
      </c>
      <c r="K291" s="36">
        <v>37576630</v>
      </c>
      <c r="L291" s="38">
        <v>40670925</v>
      </c>
      <c r="M291" s="39"/>
      <c r="N291" s="36">
        <v>37576630</v>
      </c>
      <c r="O291" s="36">
        <v>25069043</v>
      </c>
      <c r="P291" s="36">
        <v>0</v>
      </c>
      <c r="Q291" s="36">
        <f>Q290*1936.27</f>
        <v>45183353.037087999</v>
      </c>
      <c r="R291" s="7"/>
      <c r="S291" s="7"/>
      <c r="T291" s="7"/>
      <c r="U291" s="7"/>
      <c r="V291" s="7"/>
      <c r="W291" s="7"/>
      <c r="X291" s="7"/>
      <c r="Y291" s="7"/>
      <c r="Z291" s="7"/>
    </row>
    <row r="292" spans="1:26" ht="12.75" customHeight="1" x14ac:dyDescent="0.2">
      <c r="A292" s="534"/>
      <c r="B292" s="534"/>
      <c r="C292" s="40" t="s">
        <v>36</v>
      </c>
      <c r="D292" s="41">
        <v>20</v>
      </c>
      <c r="E292" s="42">
        <v>11731.83</v>
      </c>
      <c r="F292" s="42">
        <v>1289.08</v>
      </c>
      <c r="G292" s="42">
        <v>123.95</v>
      </c>
      <c r="H292" s="42">
        <v>6459.63</v>
      </c>
      <c r="I292" s="42">
        <v>229.85</v>
      </c>
      <c r="J292" s="42">
        <v>1633.71</v>
      </c>
      <c r="K292" s="43">
        <v>19834.34</v>
      </c>
      <c r="L292" s="32">
        <v>21468.05</v>
      </c>
      <c r="M292" s="33"/>
      <c r="N292" s="30">
        <v>19834.34</v>
      </c>
      <c r="O292" s="30">
        <v>13374.71</v>
      </c>
      <c r="P292" s="30"/>
      <c r="Q292" s="30">
        <f>(N292+O292*0.18+J292)+(IF((P292-O292*0.18)&gt;0,(P292-O292*0.18),0))</f>
        <v>23875.497799999997</v>
      </c>
      <c r="R292" s="7"/>
      <c r="S292" s="7"/>
      <c r="T292" s="7"/>
      <c r="U292" s="7"/>
      <c r="V292" s="7"/>
      <c r="W292" s="7"/>
      <c r="X292" s="7"/>
      <c r="Y292" s="7"/>
      <c r="Z292" s="7"/>
    </row>
    <row r="293" spans="1:26" ht="6.75" customHeight="1" x14ac:dyDescent="0.2">
      <c r="A293" s="534"/>
      <c r="B293" s="534"/>
      <c r="C293" s="34" t="s">
        <v>37</v>
      </c>
      <c r="D293" s="35">
        <v>21</v>
      </c>
      <c r="E293" s="36">
        <v>22715990</v>
      </c>
      <c r="F293" s="36">
        <v>2496007</v>
      </c>
      <c r="G293" s="36">
        <v>240001</v>
      </c>
      <c r="H293" s="36">
        <v>12507588</v>
      </c>
      <c r="I293" s="36">
        <v>445052</v>
      </c>
      <c r="J293" s="37">
        <v>3163304</v>
      </c>
      <c r="K293" s="36">
        <v>38404638</v>
      </c>
      <c r="L293" s="38">
        <v>41567941</v>
      </c>
      <c r="M293" s="39"/>
      <c r="N293" s="36">
        <v>38404638</v>
      </c>
      <c r="O293" s="36">
        <v>25897050</v>
      </c>
      <c r="P293" s="36">
        <v>0</v>
      </c>
      <c r="Q293" s="36">
        <f>Q292*1936.27</f>
        <v>46229410.125205994</v>
      </c>
      <c r="R293" s="7"/>
      <c r="S293" s="7"/>
      <c r="T293" s="7"/>
      <c r="U293" s="7"/>
      <c r="V293" s="7"/>
      <c r="W293" s="7"/>
      <c r="X293" s="7"/>
      <c r="Y293" s="7"/>
      <c r="Z293" s="7"/>
    </row>
    <row r="294" spans="1:26" ht="12.75" customHeight="1" x14ac:dyDescent="0.2">
      <c r="A294" s="534"/>
      <c r="B294" s="534"/>
      <c r="C294" s="40" t="s">
        <v>36</v>
      </c>
      <c r="D294" s="41">
        <v>22</v>
      </c>
      <c r="E294" s="42">
        <v>11979.73</v>
      </c>
      <c r="F294" s="42">
        <v>1313.87</v>
      </c>
      <c r="G294" s="42">
        <v>123.95</v>
      </c>
      <c r="H294" s="42">
        <v>6459.63</v>
      </c>
      <c r="I294" s="42">
        <v>229.85</v>
      </c>
      <c r="J294" s="42">
        <v>1656.43</v>
      </c>
      <c r="K294" s="43">
        <v>20107.03</v>
      </c>
      <c r="L294" s="32">
        <v>21763.46</v>
      </c>
      <c r="M294" s="33"/>
      <c r="N294" s="30">
        <v>20107.03</v>
      </c>
      <c r="O294" s="30">
        <v>13647.4</v>
      </c>
      <c r="P294" s="30"/>
      <c r="Q294" s="30">
        <f>(N294+O294*0.18+J294)+(IF((P294-O294*0.18)&gt;0,(P294-O294*0.18),0))</f>
        <v>24219.991999999998</v>
      </c>
      <c r="R294" s="7"/>
      <c r="S294" s="7"/>
      <c r="T294" s="7"/>
      <c r="U294" s="7"/>
      <c r="V294" s="7"/>
      <c r="W294" s="7"/>
      <c r="X294" s="7"/>
      <c r="Y294" s="7"/>
      <c r="Z294" s="7"/>
    </row>
    <row r="295" spans="1:26" ht="8.25" customHeight="1" x14ac:dyDescent="0.2">
      <c r="A295" s="534"/>
      <c r="B295" s="534"/>
      <c r="C295" s="34" t="s">
        <v>37</v>
      </c>
      <c r="D295" s="35">
        <v>23</v>
      </c>
      <c r="E295" s="36">
        <v>23195992</v>
      </c>
      <c r="F295" s="36">
        <v>2544007</v>
      </c>
      <c r="G295" s="36">
        <v>240001</v>
      </c>
      <c r="H295" s="36">
        <v>12507588</v>
      </c>
      <c r="I295" s="36">
        <v>445052</v>
      </c>
      <c r="J295" s="37">
        <v>3207296</v>
      </c>
      <c r="K295" s="36">
        <v>38932639</v>
      </c>
      <c r="L295" s="38">
        <v>42139935</v>
      </c>
      <c r="M295" s="39"/>
      <c r="N295" s="36">
        <v>38932639</v>
      </c>
      <c r="O295" s="36">
        <v>26425051</v>
      </c>
      <c r="P295" s="36">
        <v>0</v>
      </c>
      <c r="Q295" s="36">
        <f>Q294*1936.27</f>
        <v>46896443.909839995</v>
      </c>
      <c r="R295" s="7"/>
      <c r="S295" s="7"/>
      <c r="T295" s="7"/>
      <c r="U295" s="7"/>
      <c r="V295" s="7"/>
      <c r="W295" s="7"/>
      <c r="X295" s="7"/>
      <c r="Y295" s="7"/>
      <c r="Z295" s="7"/>
    </row>
    <row r="296" spans="1:26" ht="12.75" customHeight="1" x14ac:dyDescent="0.2">
      <c r="A296" s="534"/>
      <c r="B296" s="534"/>
      <c r="C296" s="40" t="s">
        <v>36</v>
      </c>
      <c r="D296" s="41">
        <v>24</v>
      </c>
      <c r="E296" s="42">
        <v>12295.81</v>
      </c>
      <c r="F296" s="42">
        <v>1351.05</v>
      </c>
      <c r="G296" s="42">
        <v>123.95</v>
      </c>
      <c r="H296" s="42">
        <v>6459.63</v>
      </c>
      <c r="I296" s="42">
        <v>229.85</v>
      </c>
      <c r="J296" s="42">
        <v>1685.87</v>
      </c>
      <c r="K296" s="43">
        <v>20460.29</v>
      </c>
      <c r="L296" s="32">
        <v>22146.16</v>
      </c>
      <c r="M296" s="33"/>
      <c r="N296" s="30">
        <v>20460.29</v>
      </c>
      <c r="O296" s="30">
        <v>14000.66</v>
      </c>
      <c r="P296" s="30"/>
      <c r="Q296" s="30">
        <f>(N296+O296*0.18+J296)+(IF((P296-O296*0.18)&gt;0,(P296-O296*0.18),0))</f>
        <v>24666.2788</v>
      </c>
      <c r="R296" s="7"/>
      <c r="S296" s="7"/>
      <c r="T296" s="7"/>
      <c r="U296" s="7"/>
      <c r="V296" s="7"/>
      <c r="W296" s="7"/>
      <c r="X296" s="7"/>
      <c r="Y296" s="7"/>
      <c r="Z296" s="7"/>
    </row>
    <row r="297" spans="1:26" ht="7.5" customHeight="1" x14ac:dyDescent="0.2">
      <c r="A297" s="534"/>
      <c r="B297" s="534"/>
      <c r="C297" s="34" t="s">
        <v>37</v>
      </c>
      <c r="D297" s="35">
        <v>25</v>
      </c>
      <c r="E297" s="36">
        <v>23808008</v>
      </c>
      <c r="F297" s="36">
        <v>2615998</v>
      </c>
      <c r="G297" s="36">
        <v>240001</v>
      </c>
      <c r="H297" s="36">
        <v>12507588</v>
      </c>
      <c r="I297" s="36">
        <v>445052</v>
      </c>
      <c r="J297" s="37">
        <v>3264300</v>
      </c>
      <c r="K297" s="36">
        <v>39616646</v>
      </c>
      <c r="L297" s="38">
        <v>42880945</v>
      </c>
      <c r="M297" s="39"/>
      <c r="N297" s="36">
        <v>39616646</v>
      </c>
      <c r="O297" s="36">
        <v>27109058</v>
      </c>
      <c r="P297" s="36">
        <v>0</v>
      </c>
      <c r="Q297" s="36">
        <f>Q296*1936.27</f>
        <v>47760575.652075998</v>
      </c>
      <c r="R297" s="7"/>
      <c r="S297" s="7"/>
      <c r="T297" s="7"/>
      <c r="U297" s="7"/>
      <c r="V297" s="7"/>
      <c r="W297" s="7"/>
      <c r="X297" s="7"/>
      <c r="Y297" s="7"/>
      <c r="Z297" s="7"/>
    </row>
    <row r="298" spans="1:26" ht="12.75" customHeight="1" x14ac:dyDescent="0.2">
      <c r="A298" s="534"/>
      <c r="B298" s="534"/>
      <c r="C298" s="40" t="s">
        <v>36</v>
      </c>
      <c r="D298" s="41">
        <v>26</v>
      </c>
      <c r="E298" s="42">
        <v>12605.68</v>
      </c>
      <c r="F298" s="42">
        <v>1382.04</v>
      </c>
      <c r="G298" s="42">
        <v>123.95</v>
      </c>
      <c r="H298" s="42">
        <v>6459.63</v>
      </c>
      <c r="I298" s="42">
        <v>229.85</v>
      </c>
      <c r="J298" s="42">
        <v>1714.28</v>
      </c>
      <c r="K298" s="43">
        <v>20801.150000000001</v>
      </c>
      <c r="L298" s="32">
        <v>22515.43</v>
      </c>
      <c r="M298" s="33"/>
      <c r="N298" s="30">
        <v>20801.150000000001</v>
      </c>
      <c r="O298" s="30">
        <v>14341.52</v>
      </c>
      <c r="P298" s="30"/>
      <c r="Q298" s="30">
        <f>(N298+O298*0.18+J298)+(IF((P298-O298*0.18)&gt;0,(P298-O298*0.18),0))</f>
        <v>25096.903600000001</v>
      </c>
      <c r="R298" s="7"/>
      <c r="S298" s="7"/>
      <c r="T298" s="7"/>
      <c r="U298" s="7"/>
      <c r="V298" s="7"/>
      <c r="W298" s="7"/>
      <c r="X298" s="7"/>
      <c r="Y298" s="7"/>
      <c r="Z298" s="7"/>
    </row>
    <row r="299" spans="1:26" ht="8.25" customHeight="1" x14ac:dyDescent="0.2">
      <c r="A299" s="534"/>
      <c r="B299" s="534"/>
      <c r="C299" s="34" t="s">
        <v>37</v>
      </c>
      <c r="D299" s="35">
        <v>27</v>
      </c>
      <c r="E299" s="36">
        <v>24408000</v>
      </c>
      <c r="F299" s="36">
        <v>2676003</v>
      </c>
      <c r="G299" s="36">
        <v>240001</v>
      </c>
      <c r="H299" s="36">
        <v>12507588</v>
      </c>
      <c r="I299" s="36">
        <v>445052</v>
      </c>
      <c r="J299" s="37">
        <v>3319309</v>
      </c>
      <c r="K299" s="36">
        <v>40276643</v>
      </c>
      <c r="L299" s="38">
        <v>43595952</v>
      </c>
      <c r="M299" s="39"/>
      <c r="N299" s="36">
        <v>40276643</v>
      </c>
      <c r="O299" s="36">
        <v>27769055</v>
      </c>
      <c r="P299" s="36">
        <v>0</v>
      </c>
      <c r="Q299" s="36">
        <f>Q298*1936.27</f>
        <v>48594381.533572003</v>
      </c>
      <c r="R299" s="7"/>
      <c r="S299" s="7"/>
      <c r="T299" s="7"/>
      <c r="U299" s="7"/>
      <c r="V299" s="7"/>
      <c r="W299" s="7"/>
      <c r="X299" s="7"/>
      <c r="Y299" s="7"/>
      <c r="Z299" s="7"/>
    </row>
    <row r="300" spans="1:26" ht="12.75" customHeight="1" x14ac:dyDescent="0.2">
      <c r="A300" s="534"/>
      <c r="B300" s="534"/>
      <c r="C300" s="40" t="s">
        <v>36</v>
      </c>
      <c r="D300" s="41">
        <v>28</v>
      </c>
      <c r="E300" s="42">
        <v>12909.36</v>
      </c>
      <c r="F300" s="42">
        <v>1419.22</v>
      </c>
      <c r="G300" s="42">
        <v>123.95</v>
      </c>
      <c r="H300" s="42">
        <v>6459.63</v>
      </c>
      <c r="I300" s="42">
        <v>229.85</v>
      </c>
      <c r="J300" s="42">
        <v>1742.68</v>
      </c>
      <c r="K300" s="43">
        <v>21142.01</v>
      </c>
      <c r="L300" s="32">
        <v>22884.69</v>
      </c>
      <c r="M300" s="33"/>
      <c r="N300" s="30">
        <v>21142.01</v>
      </c>
      <c r="O300" s="30">
        <v>14682.38</v>
      </c>
      <c r="P300" s="30"/>
      <c r="Q300" s="30">
        <f>(N300+O300*0.18+J300)+(IF((P300-O300*0.18)&gt;0,(P300-O300*0.18),0))</f>
        <v>25527.518399999997</v>
      </c>
      <c r="R300" s="7"/>
      <c r="S300" s="7"/>
      <c r="T300" s="7"/>
      <c r="U300" s="7"/>
      <c r="V300" s="7"/>
      <c r="W300" s="7"/>
      <c r="X300" s="7"/>
      <c r="Y300" s="7"/>
      <c r="Z300" s="7"/>
    </row>
    <row r="301" spans="1:26" ht="9" customHeight="1" x14ac:dyDescent="0.2">
      <c r="A301" s="534"/>
      <c r="B301" s="534"/>
      <c r="C301" s="34" t="s">
        <v>37</v>
      </c>
      <c r="D301" s="35">
        <v>29</v>
      </c>
      <c r="E301" s="36">
        <v>24996006</v>
      </c>
      <c r="F301" s="36">
        <v>2747993</v>
      </c>
      <c r="G301" s="36">
        <v>240001</v>
      </c>
      <c r="H301" s="36">
        <v>12507588</v>
      </c>
      <c r="I301" s="36">
        <v>445052</v>
      </c>
      <c r="J301" s="37">
        <v>3374299</v>
      </c>
      <c r="K301" s="36">
        <v>40936640</v>
      </c>
      <c r="L301" s="38">
        <v>44310939</v>
      </c>
      <c r="M301" s="39"/>
      <c r="N301" s="36">
        <v>40936640</v>
      </c>
      <c r="O301" s="36">
        <v>28429052</v>
      </c>
      <c r="P301" s="36">
        <v>0</v>
      </c>
      <c r="Q301" s="36">
        <f>Q300*1936.27</f>
        <v>49428168.052367993</v>
      </c>
      <c r="R301" s="7"/>
      <c r="S301" s="7"/>
      <c r="T301" s="7"/>
      <c r="U301" s="7"/>
      <c r="V301" s="7"/>
      <c r="W301" s="7"/>
      <c r="X301" s="7"/>
      <c r="Y301" s="7"/>
      <c r="Z301" s="7"/>
    </row>
    <row r="302" spans="1:26" ht="12.75" customHeight="1" x14ac:dyDescent="0.2">
      <c r="A302" s="534"/>
      <c r="B302" s="534"/>
      <c r="C302" s="40" t="s">
        <v>36</v>
      </c>
      <c r="D302" s="41">
        <v>30</v>
      </c>
      <c r="E302" s="42">
        <v>13225.43</v>
      </c>
      <c r="F302" s="42">
        <v>1450.21</v>
      </c>
      <c r="G302" s="42">
        <v>123.95</v>
      </c>
      <c r="H302" s="42">
        <v>6459.63</v>
      </c>
      <c r="I302" s="42">
        <v>229.85</v>
      </c>
      <c r="J302" s="42">
        <v>1771.6</v>
      </c>
      <c r="K302" s="43">
        <v>21489.07</v>
      </c>
      <c r="L302" s="32">
        <v>23260.67</v>
      </c>
      <c r="M302" s="33"/>
      <c r="N302" s="30">
        <v>21489.07</v>
      </c>
      <c r="O302" s="30">
        <v>15029.44</v>
      </c>
      <c r="P302" s="30"/>
      <c r="Q302" s="30">
        <f>(N302+O302*0.18+J302)+(IF((P302-O302*0.18)&gt;0,(P302-O302*0.18),0))</f>
        <v>25965.9692</v>
      </c>
      <c r="R302" s="7"/>
      <c r="S302" s="7"/>
      <c r="T302" s="7"/>
      <c r="U302" s="7"/>
      <c r="V302" s="7"/>
      <c r="W302" s="7"/>
      <c r="X302" s="7"/>
      <c r="Y302" s="7"/>
      <c r="Z302" s="7"/>
    </row>
    <row r="303" spans="1:26" ht="9" customHeight="1" x14ac:dyDescent="0.2">
      <c r="A303" s="534"/>
      <c r="B303" s="534"/>
      <c r="C303" s="34" t="s">
        <v>37</v>
      </c>
      <c r="D303" s="35">
        <v>31</v>
      </c>
      <c r="E303" s="36">
        <v>25608003</v>
      </c>
      <c r="F303" s="36">
        <v>2807998</v>
      </c>
      <c r="G303" s="36">
        <v>240001</v>
      </c>
      <c r="H303" s="36">
        <v>12507588</v>
      </c>
      <c r="I303" s="36">
        <v>445052</v>
      </c>
      <c r="J303" s="37">
        <v>3430296</v>
      </c>
      <c r="K303" s="36">
        <v>41608642</v>
      </c>
      <c r="L303" s="38">
        <v>45038938</v>
      </c>
      <c r="M303" s="39"/>
      <c r="N303" s="36">
        <v>41608642</v>
      </c>
      <c r="O303" s="36">
        <v>29101054</v>
      </c>
      <c r="P303" s="36">
        <v>0</v>
      </c>
      <c r="Q303" s="36">
        <f>Q302*1936.27</f>
        <v>50277127.182884</v>
      </c>
      <c r="R303" s="7"/>
      <c r="S303" s="7"/>
      <c r="T303" s="7"/>
      <c r="U303" s="7"/>
      <c r="V303" s="7"/>
      <c r="W303" s="7"/>
      <c r="X303" s="7"/>
      <c r="Y303" s="7"/>
      <c r="Z303" s="7"/>
    </row>
    <row r="304" spans="1:26" ht="12.75" customHeight="1" x14ac:dyDescent="0.2">
      <c r="A304" s="534"/>
      <c r="B304" s="534"/>
      <c r="C304" s="40" t="s">
        <v>36</v>
      </c>
      <c r="D304" s="41">
        <v>32</v>
      </c>
      <c r="E304" s="42">
        <v>13535.3</v>
      </c>
      <c r="F304" s="42">
        <v>1487.4</v>
      </c>
      <c r="G304" s="42">
        <v>123.95</v>
      </c>
      <c r="H304" s="42">
        <v>6459.63</v>
      </c>
      <c r="I304" s="42">
        <v>229.85</v>
      </c>
      <c r="J304" s="42">
        <v>1800.52</v>
      </c>
      <c r="K304" s="43">
        <v>21836.13</v>
      </c>
      <c r="L304" s="32">
        <v>23636.65</v>
      </c>
      <c r="M304" s="33"/>
      <c r="N304" s="30">
        <v>21836.13</v>
      </c>
      <c r="O304" s="30">
        <v>15376.5</v>
      </c>
      <c r="P304" s="30"/>
      <c r="Q304" s="30">
        <f>(N304+O304*0.18+J304)+(IF((P304-O304*0.18)&gt;0,(P304-O304*0.18),0))</f>
        <v>26404.420000000002</v>
      </c>
      <c r="R304" s="7"/>
      <c r="S304" s="7"/>
      <c r="T304" s="7"/>
      <c r="U304" s="7"/>
      <c r="V304" s="7"/>
      <c r="W304" s="7"/>
      <c r="X304" s="7"/>
      <c r="Y304" s="7"/>
      <c r="Z304" s="7"/>
    </row>
    <row r="305" spans="1:26" ht="9" customHeight="1" x14ac:dyDescent="0.2">
      <c r="A305" s="534"/>
      <c r="B305" s="534"/>
      <c r="C305" s="34" t="s">
        <v>37</v>
      </c>
      <c r="D305" s="35">
        <v>33</v>
      </c>
      <c r="E305" s="36">
        <v>26207995</v>
      </c>
      <c r="F305" s="36">
        <v>2880008</v>
      </c>
      <c r="G305" s="36">
        <v>240001</v>
      </c>
      <c r="H305" s="36">
        <v>12507588</v>
      </c>
      <c r="I305" s="36">
        <v>445052</v>
      </c>
      <c r="J305" s="37">
        <v>3486293</v>
      </c>
      <c r="K305" s="36">
        <v>42280643</v>
      </c>
      <c r="L305" s="38">
        <v>45766936</v>
      </c>
      <c r="M305" s="39"/>
      <c r="N305" s="36">
        <v>42280643</v>
      </c>
      <c r="O305" s="36">
        <v>29773056</v>
      </c>
      <c r="P305" s="36">
        <v>0</v>
      </c>
      <c r="Q305" s="36">
        <f>Q304*1936.27</f>
        <v>51126086.3134</v>
      </c>
      <c r="R305" s="7"/>
      <c r="S305" s="7"/>
      <c r="T305" s="7"/>
      <c r="U305" s="7"/>
      <c r="V305" s="7"/>
      <c r="W305" s="7"/>
      <c r="X305" s="7"/>
      <c r="Y305" s="7"/>
      <c r="Z305" s="7"/>
    </row>
    <row r="306" spans="1:26" ht="12.75" customHeight="1" x14ac:dyDescent="0.2">
      <c r="A306" s="534"/>
      <c r="B306" s="534"/>
      <c r="C306" s="40" t="s">
        <v>36</v>
      </c>
      <c r="D306" s="41">
        <v>34</v>
      </c>
      <c r="E306" s="42">
        <v>13851.37</v>
      </c>
      <c r="F306" s="42">
        <v>1518.38</v>
      </c>
      <c r="G306" s="42">
        <v>123.95</v>
      </c>
      <c r="H306" s="42">
        <v>6459.63</v>
      </c>
      <c r="I306" s="42">
        <v>229.85</v>
      </c>
      <c r="J306" s="42">
        <v>1829.44</v>
      </c>
      <c r="K306" s="43">
        <v>22183.18</v>
      </c>
      <c r="L306" s="32">
        <v>24012.62</v>
      </c>
      <c r="M306" s="33"/>
      <c r="N306" s="30">
        <v>22183.18</v>
      </c>
      <c r="O306" s="30">
        <v>15723.55</v>
      </c>
      <c r="P306" s="30"/>
      <c r="Q306" s="30">
        <f>(N306+O306*0.18+J306)+(IF((P306-O306*0.18)&gt;0,(P306-O306*0.18),0))</f>
        <v>26842.859</v>
      </c>
      <c r="R306" s="7"/>
      <c r="S306" s="7"/>
      <c r="T306" s="7"/>
      <c r="U306" s="7"/>
      <c r="V306" s="7"/>
      <c r="W306" s="7"/>
      <c r="X306" s="7"/>
      <c r="Y306" s="7"/>
      <c r="Z306" s="7"/>
    </row>
    <row r="307" spans="1:26" ht="9" customHeight="1" x14ac:dyDescent="0.2">
      <c r="A307" s="534"/>
      <c r="B307" s="534"/>
      <c r="C307" s="34" t="s">
        <v>37</v>
      </c>
      <c r="D307" s="35">
        <v>35</v>
      </c>
      <c r="E307" s="36">
        <v>26819992</v>
      </c>
      <c r="F307" s="36">
        <v>2939994</v>
      </c>
      <c r="G307" s="36">
        <v>240001</v>
      </c>
      <c r="H307" s="36">
        <v>12507588</v>
      </c>
      <c r="I307" s="36">
        <v>445052</v>
      </c>
      <c r="J307" s="37">
        <v>3542290</v>
      </c>
      <c r="K307" s="36">
        <v>42952626</v>
      </c>
      <c r="L307" s="38">
        <v>46494916</v>
      </c>
      <c r="M307" s="39"/>
      <c r="N307" s="36">
        <v>42952626</v>
      </c>
      <c r="O307" s="36">
        <v>30445038</v>
      </c>
      <c r="P307" s="36">
        <v>0</v>
      </c>
      <c r="Q307" s="36">
        <f>Q306*1936.27</f>
        <v>51975022.595930003</v>
      </c>
      <c r="R307" s="7"/>
      <c r="S307" s="7"/>
      <c r="T307" s="7"/>
      <c r="U307" s="7"/>
      <c r="V307" s="7"/>
      <c r="W307" s="7"/>
      <c r="X307" s="7"/>
      <c r="Y307" s="7"/>
      <c r="Z307" s="7"/>
    </row>
    <row r="308" spans="1:26" ht="12.75" customHeight="1" x14ac:dyDescent="0.2">
      <c r="A308" s="534"/>
      <c r="B308" s="534"/>
      <c r="C308" s="40" t="s">
        <v>36</v>
      </c>
      <c r="D308" s="41">
        <v>36</v>
      </c>
      <c r="E308" s="42">
        <v>14161.25</v>
      </c>
      <c r="F308" s="42">
        <v>1555.57</v>
      </c>
      <c r="G308" s="42">
        <v>123.95</v>
      </c>
      <c r="H308" s="42">
        <v>6459.63</v>
      </c>
      <c r="I308" s="42">
        <v>229.85</v>
      </c>
      <c r="J308" s="42">
        <v>1858.37</v>
      </c>
      <c r="K308" s="43">
        <v>22530.25</v>
      </c>
      <c r="L308" s="32">
        <v>24388.62</v>
      </c>
      <c r="M308" s="33"/>
      <c r="N308" s="30">
        <v>22530.25</v>
      </c>
      <c r="O308" s="30">
        <v>16070.62</v>
      </c>
      <c r="P308" s="30"/>
      <c r="Q308" s="30">
        <f>(N308+O308*0.18+J308)+(IF((P308-O308*0.18)&gt;0,(P308-O308*0.18),0))</f>
        <v>27281.331599999998</v>
      </c>
      <c r="R308" s="7"/>
      <c r="S308" s="7"/>
      <c r="T308" s="7"/>
      <c r="U308" s="7"/>
      <c r="V308" s="7"/>
      <c r="W308" s="7"/>
      <c r="X308" s="7"/>
      <c r="Y308" s="7"/>
      <c r="Z308" s="7"/>
    </row>
    <row r="309" spans="1:26" ht="9" customHeight="1" x14ac:dyDescent="0.2">
      <c r="A309" s="534"/>
      <c r="B309" s="534"/>
      <c r="C309" s="34" t="s">
        <v>37</v>
      </c>
      <c r="D309" s="35">
        <v>37</v>
      </c>
      <c r="E309" s="36">
        <v>27420004</v>
      </c>
      <c r="F309" s="36">
        <v>3012004</v>
      </c>
      <c r="G309" s="36">
        <v>240001</v>
      </c>
      <c r="H309" s="36">
        <v>12507588</v>
      </c>
      <c r="I309" s="36">
        <v>445052</v>
      </c>
      <c r="J309" s="37">
        <v>3598306</v>
      </c>
      <c r="K309" s="36">
        <v>43624647</v>
      </c>
      <c r="L309" s="38">
        <v>47222953</v>
      </c>
      <c r="M309" s="39"/>
      <c r="N309" s="36">
        <v>43624647</v>
      </c>
      <c r="O309" s="36">
        <v>31117059</v>
      </c>
      <c r="P309" s="36">
        <v>0</v>
      </c>
      <c r="Q309" s="36">
        <f>Q308*1936.27</f>
        <v>52824023.937131993</v>
      </c>
      <c r="R309" s="7"/>
      <c r="S309" s="7"/>
      <c r="T309" s="7"/>
      <c r="U309" s="7"/>
      <c r="V309" s="7"/>
      <c r="W309" s="7"/>
      <c r="X309" s="7"/>
      <c r="Y309" s="7"/>
      <c r="Z309" s="7"/>
    </row>
    <row r="310" spans="1:26" ht="9" customHeight="1" x14ac:dyDescent="0.2">
      <c r="A310" s="534"/>
      <c r="B310" s="534"/>
      <c r="C310" s="44" t="s">
        <v>36</v>
      </c>
      <c r="D310" s="45">
        <v>38</v>
      </c>
      <c r="E310" s="42">
        <v>14471.12</v>
      </c>
      <c r="F310" s="42">
        <v>1586.56</v>
      </c>
      <c r="G310" s="42">
        <v>123.95</v>
      </c>
      <c r="H310" s="42">
        <v>6459.63</v>
      </c>
      <c r="I310" s="42">
        <v>229.85</v>
      </c>
      <c r="J310" s="42">
        <v>1886.77</v>
      </c>
      <c r="K310" s="43">
        <v>22871.11</v>
      </c>
      <c r="L310" s="32">
        <v>24757.88</v>
      </c>
      <c r="M310" s="33"/>
      <c r="N310" s="30">
        <v>22871.11</v>
      </c>
      <c r="O310" s="30">
        <v>16411.48</v>
      </c>
      <c r="P310" s="30"/>
      <c r="Q310" s="30">
        <f>(N310+O310*0.18+J310)+(IF((P310-O310*0.18)&gt;0,(P310-O310*0.18),0))</f>
        <v>27711.946400000001</v>
      </c>
      <c r="R310" s="7"/>
      <c r="S310" s="7"/>
      <c r="T310" s="7"/>
      <c r="U310" s="7"/>
      <c r="V310" s="7"/>
      <c r="W310" s="7"/>
      <c r="X310" s="7"/>
      <c r="Y310" s="7"/>
      <c r="Z310" s="7"/>
    </row>
    <row r="311" spans="1:26" ht="9" customHeight="1" x14ac:dyDescent="0.2">
      <c r="A311" s="534"/>
      <c r="B311" s="534"/>
      <c r="C311" s="44" t="s">
        <v>37</v>
      </c>
      <c r="D311" s="45">
        <v>39</v>
      </c>
      <c r="E311" s="36">
        <v>28019996</v>
      </c>
      <c r="F311" s="36">
        <v>3072009</v>
      </c>
      <c r="G311" s="36">
        <v>240001</v>
      </c>
      <c r="H311" s="36">
        <v>12507588</v>
      </c>
      <c r="I311" s="36">
        <v>445052</v>
      </c>
      <c r="J311" s="37">
        <v>3653296</v>
      </c>
      <c r="K311" s="36">
        <v>44284644</v>
      </c>
      <c r="L311" s="38">
        <v>47937940</v>
      </c>
      <c r="M311" s="39"/>
      <c r="N311" s="46">
        <v>44284644</v>
      </c>
      <c r="O311" s="46">
        <v>31777056</v>
      </c>
      <c r="P311" s="46">
        <v>0</v>
      </c>
      <c r="Q311" s="36">
        <f>Q310*1936.27</f>
        <v>53657810.455927998</v>
      </c>
      <c r="R311" s="7"/>
      <c r="S311" s="7"/>
      <c r="T311" s="7"/>
      <c r="U311" s="7"/>
      <c r="V311" s="7"/>
      <c r="W311" s="7"/>
      <c r="X311" s="7"/>
      <c r="Y311" s="7"/>
      <c r="Z311" s="7"/>
    </row>
    <row r="312" spans="1:26" ht="12.75" customHeight="1" x14ac:dyDescent="0.2">
      <c r="A312" s="534"/>
      <c r="B312" s="534"/>
      <c r="C312" s="40" t="s">
        <v>36</v>
      </c>
      <c r="D312" s="41">
        <v>40</v>
      </c>
      <c r="E312" s="42">
        <v>14781</v>
      </c>
      <c r="F312" s="42">
        <v>1623.74</v>
      </c>
      <c r="G312" s="42">
        <v>123.95</v>
      </c>
      <c r="H312" s="42">
        <v>6459.63</v>
      </c>
      <c r="I312" s="42">
        <v>229.85</v>
      </c>
      <c r="J312" s="42">
        <v>1915.69</v>
      </c>
      <c r="K312" s="43">
        <v>23218.17</v>
      </c>
      <c r="L312" s="32">
        <v>25133.86</v>
      </c>
      <c r="M312" s="33"/>
      <c r="N312" s="30">
        <v>23218.17</v>
      </c>
      <c r="O312" s="30">
        <v>16758.54</v>
      </c>
      <c r="P312" s="30"/>
      <c r="Q312" s="30">
        <f>(N312+O312*0.18+J312)+(IF((P312-O312*0.18)&gt;0,(P312-O312*0.18),0))</f>
        <v>28150.397199999996</v>
      </c>
      <c r="R312" s="7"/>
      <c r="S312" s="7"/>
      <c r="T312" s="7"/>
      <c r="U312" s="7"/>
      <c r="V312" s="7"/>
      <c r="W312" s="7"/>
      <c r="X312" s="7"/>
      <c r="Y312" s="7"/>
      <c r="Z312" s="7"/>
    </row>
    <row r="313" spans="1:26" ht="9" customHeight="1" x14ac:dyDescent="0.2">
      <c r="A313" s="535"/>
      <c r="B313" s="535"/>
      <c r="C313" s="47"/>
      <c r="D313" s="48"/>
      <c r="E313" s="46">
        <v>28620007</v>
      </c>
      <c r="F313" s="46">
        <v>3143999</v>
      </c>
      <c r="G313" s="46">
        <v>240001</v>
      </c>
      <c r="H313" s="46">
        <v>12507588</v>
      </c>
      <c r="I313" s="46">
        <v>445052</v>
      </c>
      <c r="J313" s="49">
        <v>3709293</v>
      </c>
      <c r="K313" s="46">
        <v>44956646</v>
      </c>
      <c r="L313" s="38">
        <v>48665939</v>
      </c>
      <c r="M313" s="39"/>
      <c r="N313" s="36">
        <v>44956646</v>
      </c>
      <c r="O313" s="36">
        <v>32449058</v>
      </c>
      <c r="P313" s="36">
        <v>0</v>
      </c>
      <c r="Q313" s="36">
        <f>Q312*1936.27</f>
        <v>54506769.58644399</v>
      </c>
      <c r="R313" s="7"/>
      <c r="S313" s="7"/>
      <c r="T313" s="7"/>
      <c r="U313" s="7"/>
      <c r="V313" s="7"/>
      <c r="W313" s="7"/>
      <c r="X313" s="7"/>
      <c r="Y313" s="7"/>
      <c r="Z313" s="7"/>
    </row>
    <row r="314" spans="1:26" ht="12.75" customHeight="1" x14ac:dyDescent="0.2">
      <c r="A314" s="538">
        <v>34700</v>
      </c>
      <c r="B314" s="538">
        <v>35033</v>
      </c>
      <c r="C314" s="28" t="s">
        <v>36</v>
      </c>
      <c r="D314" s="29">
        <v>0</v>
      </c>
      <c r="E314" s="30">
        <v>7115.36</v>
      </c>
      <c r="F314" s="30">
        <v>731.3</v>
      </c>
      <c r="G314" s="30">
        <v>123.95</v>
      </c>
      <c r="H314" s="30">
        <v>6459.63</v>
      </c>
      <c r="I314" s="30">
        <v>0</v>
      </c>
      <c r="J314" s="30">
        <v>1202.52</v>
      </c>
      <c r="K314" s="31">
        <v>14430.24</v>
      </c>
      <c r="L314" s="32">
        <v>15632.76</v>
      </c>
      <c r="M314" s="33"/>
      <c r="N314" s="30">
        <v>14430.24</v>
      </c>
      <c r="O314" s="30">
        <v>7970.61</v>
      </c>
      <c r="P314" s="30"/>
      <c r="Q314" s="30">
        <f>(N314+O314*0.18+J314)+(IF((P314-O314*0.18)&gt;0,(P314-O314*0.18),0))</f>
        <v>17067.469799999999</v>
      </c>
      <c r="R314" s="7"/>
      <c r="S314" s="7"/>
      <c r="T314" s="7"/>
      <c r="U314" s="7"/>
      <c r="V314" s="7"/>
      <c r="W314" s="7"/>
      <c r="X314" s="7"/>
      <c r="Y314" s="7"/>
      <c r="Z314" s="7"/>
    </row>
    <row r="315" spans="1:26" ht="8.25" customHeight="1" x14ac:dyDescent="0.2">
      <c r="A315" s="534"/>
      <c r="B315" s="534"/>
      <c r="C315" s="34" t="s">
        <v>37</v>
      </c>
      <c r="D315" s="35">
        <v>0</v>
      </c>
      <c r="E315" s="36">
        <v>13777258</v>
      </c>
      <c r="F315" s="36">
        <v>1415994</v>
      </c>
      <c r="G315" s="36">
        <v>240001</v>
      </c>
      <c r="H315" s="36">
        <v>12507588</v>
      </c>
      <c r="I315" s="36">
        <v>0</v>
      </c>
      <c r="J315" s="37">
        <v>2328403</v>
      </c>
      <c r="K315" s="36">
        <v>27940841</v>
      </c>
      <c r="L315" s="38">
        <v>30269244</v>
      </c>
      <c r="M315" s="39"/>
      <c r="N315" s="36">
        <v>27940841</v>
      </c>
      <c r="O315" s="36">
        <v>15433253</v>
      </c>
      <c r="P315" s="36">
        <v>0</v>
      </c>
      <c r="Q315" s="36">
        <f>Q314*1936.27</f>
        <v>33047229.749645997</v>
      </c>
      <c r="R315" s="7"/>
      <c r="S315" s="7"/>
      <c r="T315" s="7"/>
      <c r="U315" s="7"/>
      <c r="V315" s="7"/>
      <c r="W315" s="7"/>
      <c r="X315" s="7"/>
      <c r="Y315" s="7"/>
      <c r="Z315" s="7"/>
    </row>
    <row r="316" spans="1:26" ht="12.75" customHeight="1" x14ac:dyDescent="0.2">
      <c r="A316" s="540">
        <v>34700</v>
      </c>
      <c r="B316" s="540">
        <v>35033</v>
      </c>
      <c r="C316" s="40" t="s">
        <v>36</v>
      </c>
      <c r="D316" s="41">
        <v>1</v>
      </c>
      <c r="E316" s="42">
        <v>7468.62</v>
      </c>
      <c r="F316" s="42">
        <v>768.49</v>
      </c>
      <c r="G316" s="42">
        <v>123.95</v>
      </c>
      <c r="H316" s="42">
        <v>6459.63</v>
      </c>
      <c r="I316" s="42">
        <v>0</v>
      </c>
      <c r="J316" s="42">
        <v>1235.06</v>
      </c>
      <c r="K316" s="43">
        <v>14820.69</v>
      </c>
      <c r="L316" s="32">
        <v>16055.75</v>
      </c>
      <c r="M316" s="33"/>
      <c r="N316" s="30">
        <v>14820.69</v>
      </c>
      <c r="O316" s="30">
        <v>8361.06</v>
      </c>
      <c r="P316" s="30"/>
      <c r="Q316" s="30">
        <f>(N316+O316*0.18+J316)+(IF((P316-O316*0.18)&gt;0,(P316-O316*0.18),0))</f>
        <v>17560.7408</v>
      </c>
      <c r="R316" s="7"/>
      <c r="S316" s="7"/>
      <c r="T316" s="7"/>
      <c r="U316" s="7"/>
      <c r="V316" s="7"/>
      <c r="W316" s="7"/>
      <c r="X316" s="7"/>
      <c r="Y316" s="7"/>
      <c r="Z316" s="7"/>
    </row>
    <row r="317" spans="1:26" ht="8.25" customHeight="1" x14ac:dyDescent="0.2">
      <c r="A317" s="534"/>
      <c r="B317" s="534"/>
      <c r="C317" s="34" t="s">
        <v>37</v>
      </c>
      <c r="D317" s="35">
        <v>2</v>
      </c>
      <c r="E317" s="36">
        <v>14461265</v>
      </c>
      <c r="F317" s="36">
        <v>1488004</v>
      </c>
      <c r="G317" s="36">
        <v>240001</v>
      </c>
      <c r="H317" s="36">
        <v>12507588</v>
      </c>
      <c r="I317" s="36">
        <v>0</v>
      </c>
      <c r="J317" s="37">
        <v>2391410</v>
      </c>
      <c r="K317" s="36">
        <v>28696857</v>
      </c>
      <c r="L317" s="38">
        <v>31088267</v>
      </c>
      <c r="M317" s="39"/>
      <c r="N317" s="36">
        <v>28696857</v>
      </c>
      <c r="O317" s="36">
        <v>16189270</v>
      </c>
      <c r="P317" s="36">
        <v>0</v>
      </c>
      <c r="Q317" s="36">
        <f>Q316*1936.27</f>
        <v>34002335.588816002</v>
      </c>
      <c r="R317" s="7"/>
      <c r="S317" s="7"/>
      <c r="T317" s="7"/>
      <c r="U317" s="7"/>
      <c r="V317" s="7"/>
      <c r="W317" s="7"/>
      <c r="X317" s="7"/>
      <c r="Y317" s="7"/>
      <c r="Z317" s="7"/>
    </row>
    <row r="318" spans="1:26" ht="12.75" customHeight="1" x14ac:dyDescent="0.2">
      <c r="A318" s="534"/>
      <c r="B318" s="534"/>
      <c r="C318" s="40" t="s">
        <v>36</v>
      </c>
      <c r="D318" s="41">
        <v>3</v>
      </c>
      <c r="E318" s="42">
        <v>7853.06</v>
      </c>
      <c r="F318" s="42">
        <v>811.87</v>
      </c>
      <c r="G318" s="42">
        <v>123.95</v>
      </c>
      <c r="H318" s="42">
        <v>6459.63</v>
      </c>
      <c r="I318" s="42">
        <v>0</v>
      </c>
      <c r="J318" s="42">
        <v>1270.71</v>
      </c>
      <c r="K318" s="43">
        <v>15248.51</v>
      </c>
      <c r="L318" s="32">
        <v>16519.22</v>
      </c>
      <c r="M318" s="33"/>
      <c r="N318" s="30">
        <v>15248.51</v>
      </c>
      <c r="O318" s="30">
        <v>8788.8799999999992</v>
      </c>
      <c r="P318" s="30"/>
      <c r="Q318" s="30">
        <f>(N318+O318*0.18+J318)+(IF((P318-O318*0.18)&gt;0,(P318-O318*0.18),0))</f>
        <v>18101.218399999998</v>
      </c>
      <c r="R318" s="7"/>
      <c r="S318" s="7"/>
      <c r="T318" s="7"/>
      <c r="U318" s="7"/>
      <c r="V318" s="7"/>
      <c r="W318" s="7"/>
      <c r="X318" s="7"/>
      <c r="Y318" s="7"/>
      <c r="Z318" s="7"/>
    </row>
    <row r="319" spans="1:26" ht="8.25" customHeight="1" x14ac:dyDescent="0.2">
      <c r="A319" s="534"/>
      <c r="B319" s="534"/>
      <c r="C319" s="34" t="s">
        <v>37</v>
      </c>
      <c r="D319" s="35">
        <v>4</v>
      </c>
      <c r="E319" s="36">
        <v>15205644</v>
      </c>
      <c r="F319" s="36">
        <v>1572000</v>
      </c>
      <c r="G319" s="36">
        <v>240001</v>
      </c>
      <c r="H319" s="36">
        <v>12507588</v>
      </c>
      <c r="I319" s="36">
        <v>0</v>
      </c>
      <c r="J319" s="37">
        <v>2460438</v>
      </c>
      <c r="K319" s="36">
        <v>29525232</v>
      </c>
      <c r="L319" s="38">
        <v>31985670</v>
      </c>
      <c r="M319" s="39"/>
      <c r="N319" s="36">
        <v>29525232</v>
      </c>
      <c r="O319" s="36">
        <v>17017645</v>
      </c>
      <c r="P319" s="36">
        <v>0</v>
      </c>
      <c r="Q319" s="36">
        <f>Q318*1936.27</f>
        <v>35048846.151367992</v>
      </c>
      <c r="R319" s="7"/>
      <c r="S319" s="7"/>
      <c r="T319" s="7"/>
      <c r="U319" s="7"/>
      <c r="V319" s="7"/>
      <c r="W319" s="7"/>
      <c r="X319" s="7"/>
      <c r="Y319" s="7"/>
      <c r="Z319" s="7"/>
    </row>
    <row r="320" spans="1:26" ht="12.75" customHeight="1" x14ac:dyDescent="0.2">
      <c r="A320" s="534"/>
      <c r="B320" s="534"/>
      <c r="C320" s="40" t="s">
        <v>36</v>
      </c>
      <c r="D320" s="41">
        <v>5</v>
      </c>
      <c r="E320" s="42">
        <v>8206.32</v>
      </c>
      <c r="F320" s="42">
        <v>849.06</v>
      </c>
      <c r="G320" s="42">
        <v>123.95</v>
      </c>
      <c r="H320" s="42">
        <v>6459.63</v>
      </c>
      <c r="I320" s="42">
        <v>0</v>
      </c>
      <c r="J320" s="42">
        <v>1303.25</v>
      </c>
      <c r="K320" s="43">
        <v>15638.96</v>
      </c>
      <c r="L320" s="32">
        <v>16942.21</v>
      </c>
      <c r="M320" s="33"/>
      <c r="N320" s="30">
        <v>15638.96</v>
      </c>
      <c r="O320" s="30">
        <v>9179.33</v>
      </c>
      <c r="P320" s="30"/>
      <c r="Q320" s="30">
        <f>(N320+O320*0.18+J320)+(IF((P320-O320*0.18)&gt;0,(P320-O320*0.18),0))</f>
        <v>18594.489399999999</v>
      </c>
      <c r="R320" s="7"/>
      <c r="S320" s="7"/>
      <c r="T320" s="7"/>
      <c r="U320" s="7"/>
      <c r="V320" s="7"/>
      <c r="W320" s="7"/>
      <c r="X320" s="7"/>
      <c r="Y320" s="7"/>
      <c r="Z320" s="7"/>
    </row>
    <row r="321" spans="1:26" ht="8.25" customHeight="1" x14ac:dyDescent="0.2">
      <c r="A321" s="534"/>
      <c r="B321" s="534"/>
      <c r="C321" s="34" t="s">
        <v>37</v>
      </c>
      <c r="D321" s="35">
        <v>6</v>
      </c>
      <c r="E321" s="36">
        <v>15889651</v>
      </c>
      <c r="F321" s="36">
        <v>1644009</v>
      </c>
      <c r="G321" s="36">
        <v>240001</v>
      </c>
      <c r="H321" s="36">
        <v>12507588</v>
      </c>
      <c r="I321" s="36">
        <v>0</v>
      </c>
      <c r="J321" s="37">
        <v>2523444</v>
      </c>
      <c r="K321" s="36">
        <v>30281249</v>
      </c>
      <c r="L321" s="38">
        <v>32804693</v>
      </c>
      <c r="M321" s="39"/>
      <c r="N321" s="36">
        <v>30281249</v>
      </c>
      <c r="O321" s="36">
        <v>17773661</v>
      </c>
      <c r="P321" s="36">
        <v>0</v>
      </c>
      <c r="Q321" s="36">
        <f>Q320*1936.27</f>
        <v>36003951.990537994</v>
      </c>
      <c r="R321" s="7"/>
      <c r="S321" s="7"/>
      <c r="T321" s="7"/>
      <c r="U321" s="7"/>
      <c r="V321" s="7"/>
      <c r="W321" s="7"/>
      <c r="X321" s="7"/>
      <c r="Y321" s="7"/>
      <c r="Z321" s="7"/>
    </row>
    <row r="322" spans="1:26" ht="12.75" customHeight="1" x14ac:dyDescent="0.2">
      <c r="A322" s="534"/>
      <c r="B322" s="534"/>
      <c r="C322" s="40" t="s">
        <v>36</v>
      </c>
      <c r="D322" s="41">
        <v>7</v>
      </c>
      <c r="E322" s="42">
        <v>8621.5499999999993</v>
      </c>
      <c r="F322" s="42">
        <v>892.44</v>
      </c>
      <c r="G322" s="42">
        <v>123.95</v>
      </c>
      <c r="H322" s="42">
        <v>6459.63</v>
      </c>
      <c r="I322" s="42">
        <v>0</v>
      </c>
      <c r="J322" s="42">
        <v>1341.46</v>
      </c>
      <c r="K322" s="43">
        <v>16097.57</v>
      </c>
      <c r="L322" s="32">
        <v>17439.03</v>
      </c>
      <c r="M322" s="33"/>
      <c r="N322" s="30">
        <v>16097.57</v>
      </c>
      <c r="O322" s="30">
        <v>9637.94</v>
      </c>
      <c r="P322" s="30"/>
      <c r="Q322" s="30">
        <f>(N322+O322*0.18+J322)+(IF((P322-O322*0.18)&gt;0,(P322-O322*0.18),0))</f>
        <v>19173.859199999999</v>
      </c>
      <c r="R322" s="7"/>
      <c r="S322" s="7"/>
      <c r="T322" s="7"/>
      <c r="U322" s="7"/>
      <c r="V322" s="7"/>
      <c r="W322" s="7"/>
      <c r="X322" s="7"/>
      <c r="Y322" s="7"/>
      <c r="Z322" s="7"/>
    </row>
    <row r="323" spans="1:26" ht="8.25" customHeight="1" x14ac:dyDescent="0.2">
      <c r="A323" s="534"/>
      <c r="B323" s="534"/>
      <c r="C323" s="34" t="s">
        <v>37</v>
      </c>
      <c r="D323" s="35">
        <v>8</v>
      </c>
      <c r="E323" s="36">
        <v>16693649</v>
      </c>
      <c r="F323" s="36">
        <v>1728005</v>
      </c>
      <c r="G323" s="36">
        <v>240001</v>
      </c>
      <c r="H323" s="36">
        <v>12507588</v>
      </c>
      <c r="I323" s="36">
        <v>0</v>
      </c>
      <c r="J323" s="37">
        <v>2597429</v>
      </c>
      <c r="K323" s="36">
        <v>31169242</v>
      </c>
      <c r="L323" s="38">
        <v>33766671</v>
      </c>
      <c r="M323" s="39"/>
      <c r="N323" s="36">
        <v>31169242</v>
      </c>
      <c r="O323" s="36">
        <v>18661654</v>
      </c>
      <c r="P323" s="36">
        <v>0</v>
      </c>
      <c r="Q323" s="36">
        <f>Q322*1936.27</f>
        <v>37125768.353184</v>
      </c>
      <c r="R323" s="7"/>
      <c r="S323" s="7"/>
      <c r="T323" s="7"/>
      <c r="U323" s="7"/>
      <c r="V323" s="7"/>
      <c r="W323" s="7"/>
      <c r="X323" s="7"/>
      <c r="Y323" s="7"/>
      <c r="Z323" s="7"/>
    </row>
    <row r="324" spans="1:26" ht="12.75" customHeight="1" x14ac:dyDescent="0.2">
      <c r="A324" s="534"/>
      <c r="B324" s="534"/>
      <c r="C324" s="40" t="s">
        <v>36</v>
      </c>
      <c r="D324" s="41">
        <v>9</v>
      </c>
      <c r="E324" s="42">
        <v>9033.2199999999993</v>
      </c>
      <c r="F324" s="42">
        <v>935.82</v>
      </c>
      <c r="G324" s="42">
        <v>123.95</v>
      </c>
      <c r="H324" s="42">
        <v>6459.63</v>
      </c>
      <c r="I324" s="42">
        <v>0</v>
      </c>
      <c r="J324" s="42">
        <v>1379.39</v>
      </c>
      <c r="K324" s="43">
        <v>16552.62</v>
      </c>
      <c r="L324" s="32">
        <v>17932.009999999998</v>
      </c>
      <c r="M324" s="33"/>
      <c r="N324" s="30">
        <v>16552.62</v>
      </c>
      <c r="O324" s="30">
        <v>10092.99</v>
      </c>
      <c r="P324" s="30"/>
      <c r="Q324" s="30">
        <f>(N324+O324*0.18+J324)+(IF((P324-O324*0.18)&gt;0,(P324-O324*0.18),0))</f>
        <v>19748.748199999998</v>
      </c>
      <c r="R324" s="7"/>
      <c r="S324" s="7"/>
      <c r="T324" s="7"/>
      <c r="U324" s="7"/>
      <c r="V324" s="7"/>
      <c r="W324" s="7"/>
      <c r="X324" s="7"/>
      <c r="Y324" s="7"/>
      <c r="Z324" s="7"/>
    </row>
    <row r="325" spans="1:26" ht="8.25" customHeight="1" x14ac:dyDescent="0.2">
      <c r="A325" s="534"/>
      <c r="B325" s="534"/>
      <c r="C325" s="34" t="s">
        <v>37</v>
      </c>
      <c r="D325" s="35">
        <v>10</v>
      </c>
      <c r="E325" s="36">
        <v>17490753</v>
      </c>
      <c r="F325" s="36">
        <v>1812000</v>
      </c>
      <c r="G325" s="36">
        <v>240001</v>
      </c>
      <c r="H325" s="36">
        <v>12507588</v>
      </c>
      <c r="I325" s="36">
        <v>0</v>
      </c>
      <c r="J325" s="37">
        <v>2670871</v>
      </c>
      <c r="K325" s="36">
        <v>32050342</v>
      </c>
      <c r="L325" s="38">
        <v>34721213</v>
      </c>
      <c r="M325" s="39"/>
      <c r="N325" s="36">
        <v>32050342</v>
      </c>
      <c r="O325" s="36">
        <v>19542754</v>
      </c>
      <c r="P325" s="36">
        <v>0</v>
      </c>
      <c r="Q325" s="36">
        <f>Q324*1936.27</f>
        <v>38238908.677213997</v>
      </c>
      <c r="R325" s="7"/>
      <c r="S325" s="7"/>
      <c r="T325" s="7"/>
      <c r="U325" s="7"/>
      <c r="V325" s="7"/>
      <c r="W325" s="7"/>
      <c r="X325" s="7"/>
      <c r="Y325" s="7"/>
      <c r="Z325" s="7"/>
    </row>
    <row r="326" spans="1:26" ht="12.75" customHeight="1" x14ac:dyDescent="0.2">
      <c r="A326" s="534"/>
      <c r="B326" s="534"/>
      <c r="C326" s="40" t="s">
        <v>36</v>
      </c>
      <c r="D326" s="41">
        <v>11</v>
      </c>
      <c r="E326" s="42">
        <v>9485.64</v>
      </c>
      <c r="F326" s="42">
        <v>985.4</v>
      </c>
      <c r="G326" s="42">
        <v>123.95</v>
      </c>
      <c r="H326" s="42">
        <v>6459.63</v>
      </c>
      <c r="I326" s="42">
        <v>0</v>
      </c>
      <c r="J326" s="42">
        <v>1421.22</v>
      </c>
      <c r="K326" s="43">
        <v>17054.62</v>
      </c>
      <c r="L326" s="32">
        <v>18475.84</v>
      </c>
      <c r="M326" s="33"/>
      <c r="N326" s="30">
        <v>17054.62</v>
      </c>
      <c r="O326" s="30">
        <v>10594.99</v>
      </c>
      <c r="P326" s="30"/>
      <c r="Q326" s="30">
        <f>(N326+O326*0.18+J326)+(IF((P326-O326*0.18)&gt;0,(P326-O326*0.18),0))</f>
        <v>20382.938200000001</v>
      </c>
      <c r="R326" s="7"/>
      <c r="S326" s="7"/>
      <c r="T326" s="7"/>
      <c r="U326" s="7"/>
      <c r="V326" s="7"/>
      <c r="W326" s="7"/>
      <c r="X326" s="7"/>
      <c r="Y326" s="7"/>
      <c r="Z326" s="7"/>
    </row>
    <row r="327" spans="1:26" ht="8.25" customHeight="1" x14ac:dyDescent="0.2">
      <c r="A327" s="534"/>
      <c r="B327" s="534"/>
      <c r="C327" s="34" t="s">
        <v>37</v>
      </c>
      <c r="D327" s="35">
        <v>12</v>
      </c>
      <c r="E327" s="36">
        <v>18366760</v>
      </c>
      <c r="F327" s="36">
        <v>1908000</v>
      </c>
      <c r="G327" s="36">
        <v>240001</v>
      </c>
      <c r="H327" s="36">
        <v>12507588</v>
      </c>
      <c r="I327" s="36">
        <v>0</v>
      </c>
      <c r="J327" s="37">
        <v>2751866</v>
      </c>
      <c r="K327" s="36">
        <v>33022349</v>
      </c>
      <c r="L327" s="38">
        <v>35774215</v>
      </c>
      <c r="M327" s="39"/>
      <c r="N327" s="36">
        <v>33022349</v>
      </c>
      <c r="O327" s="36">
        <v>20514761</v>
      </c>
      <c r="P327" s="36">
        <v>0</v>
      </c>
      <c r="Q327" s="36">
        <f>Q326*1936.27</f>
        <v>39466871.748514004</v>
      </c>
      <c r="R327" s="7"/>
      <c r="S327" s="7"/>
      <c r="T327" s="7"/>
      <c r="U327" s="7"/>
      <c r="V327" s="7"/>
      <c r="W327" s="7"/>
      <c r="X327" s="7"/>
      <c r="Y327" s="7"/>
      <c r="Z327" s="7"/>
    </row>
    <row r="328" spans="1:26" ht="12.75" customHeight="1" x14ac:dyDescent="0.2">
      <c r="A328" s="534"/>
      <c r="B328" s="534"/>
      <c r="C328" s="40" t="s">
        <v>36</v>
      </c>
      <c r="D328" s="41">
        <v>13</v>
      </c>
      <c r="E328" s="42">
        <v>9969.0400000000009</v>
      </c>
      <c r="F328" s="42">
        <v>1034.98</v>
      </c>
      <c r="G328" s="42">
        <v>123.95</v>
      </c>
      <c r="H328" s="42">
        <v>6459.63</v>
      </c>
      <c r="I328" s="42">
        <v>0</v>
      </c>
      <c r="J328" s="42">
        <v>1465.63</v>
      </c>
      <c r="K328" s="43">
        <v>17587.599999999999</v>
      </c>
      <c r="L328" s="32">
        <v>19053.23</v>
      </c>
      <c r="M328" s="33"/>
      <c r="N328" s="30">
        <v>17587.599999999999</v>
      </c>
      <c r="O328" s="30">
        <v>11127.97</v>
      </c>
      <c r="P328" s="30"/>
      <c r="Q328" s="30">
        <f>(N328+O328*0.18+J328)+(IF((P328-O328*0.18)&gt;0,(P328-O328*0.18),0))</f>
        <v>21056.264599999999</v>
      </c>
      <c r="R328" s="7"/>
      <c r="S328" s="7"/>
      <c r="T328" s="7"/>
      <c r="U328" s="7"/>
      <c r="V328" s="7"/>
      <c r="W328" s="7"/>
      <c r="X328" s="7"/>
      <c r="Y328" s="7"/>
      <c r="Z328" s="7"/>
    </row>
    <row r="329" spans="1:26" ht="7.5" customHeight="1" x14ac:dyDescent="0.2">
      <c r="A329" s="534"/>
      <c r="B329" s="534"/>
      <c r="C329" s="34" t="s">
        <v>37</v>
      </c>
      <c r="D329" s="35">
        <v>14</v>
      </c>
      <c r="E329" s="36">
        <v>19302753</v>
      </c>
      <c r="F329" s="36">
        <v>2004001</v>
      </c>
      <c r="G329" s="36">
        <v>240001</v>
      </c>
      <c r="H329" s="36">
        <v>12507588</v>
      </c>
      <c r="I329" s="36">
        <v>0</v>
      </c>
      <c r="J329" s="37">
        <v>2837855</v>
      </c>
      <c r="K329" s="36">
        <v>34054342</v>
      </c>
      <c r="L329" s="38">
        <v>36892198</v>
      </c>
      <c r="M329" s="39"/>
      <c r="N329" s="36">
        <v>34054342</v>
      </c>
      <c r="O329" s="36">
        <v>21546754</v>
      </c>
      <c r="P329" s="36">
        <v>0</v>
      </c>
      <c r="Q329" s="36">
        <f>Q328*1936.27</f>
        <v>40770613.457041994</v>
      </c>
      <c r="R329" s="7"/>
      <c r="S329" s="7"/>
      <c r="T329" s="7"/>
      <c r="U329" s="7"/>
      <c r="V329" s="7"/>
      <c r="W329" s="7"/>
      <c r="X329" s="7"/>
      <c r="Y329" s="7"/>
      <c r="Z329" s="7"/>
    </row>
    <row r="330" spans="1:26" ht="12.75" customHeight="1" x14ac:dyDescent="0.2">
      <c r="A330" s="534"/>
      <c r="B330" s="534"/>
      <c r="C330" s="40" t="s">
        <v>36</v>
      </c>
      <c r="D330" s="41">
        <v>15</v>
      </c>
      <c r="E330" s="42">
        <v>10495.64</v>
      </c>
      <c r="F330" s="42">
        <v>1090.76</v>
      </c>
      <c r="G330" s="42">
        <v>123.95</v>
      </c>
      <c r="H330" s="42">
        <v>6459.63</v>
      </c>
      <c r="I330" s="42">
        <v>0</v>
      </c>
      <c r="J330" s="42">
        <v>1514.17</v>
      </c>
      <c r="K330" s="43">
        <v>18169.98</v>
      </c>
      <c r="L330" s="32">
        <v>19684.150000000001</v>
      </c>
      <c r="M330" s="33"/>
      <c r="N330" s="30">
        <v>18169.98</v>
      </c>
      <c r="O330" s="30">
        <v>11710.35</v>
      </c>
      <c r="P330" s="30"/>
      <c r="Q330" s="30">
        <f>(N330+O330*0.18+J330)+(IF((P330-O330*0.18)&gt;0,(P330-O330*0.18),0))</f>
        <v>21792.012999999999</v>
      </c>
      <c r="R330" s="7"/>
      <c r="S330" s="7"/>
      <c r="T330" s="7"/>
      <c r="U330" s="7"/>
      <c r="V330" s="7"/>
      <c r="W330" s="7"/>
      <c r="X330" s="7"/>
      <c r="Y330" s="7"/>
      <c r="Z330" s="7"/>
    </row>
    <row r="331" spans="1:26" ht="7.5" customHeight="1" x14ac:dyDescent="0.2">
      <c r="A331" s="534"/>
      <c r="B331" s="534"/>
      <c r="C331" s="34" t="s">
        <v>37</v>
      </c>
      <c r="D331" s="35">
        <v>16</v>
      </c>
      <c r="E331" s="36">
        <v>20322393</v>
      </c>
      <c r="F331" s="36">
        <v>2112006</v>
      </c>
      <c r="G331" s="36">
        <v>240001</v>
      </c>
      <c r="H331" s="36">
        <v>12507588</v>
      </c>
      <c r="I331" s="36">
        <v>0</v>
      </c>
      <c r="J331" s="37">
        <v>2931842</v>
      </c>
      <c r="K331" s="36">
        <v>35181987</v>
      </c>
      <c r="L331" s="38">
        <v>38113829</v>
      </c>
      <c r="M331" s="39"/>
      <c r="N331" s="36">
        <v>35181987</v>
      </c>
      <c r="O331" s="36">
        <v>22674399</v>
      </c>
      <c r="P331" s="36">
        <v>0</v>
      </c>
      <c r="Q331" s="36">
        <f>Q330*1936.27</f>
        <v>42195221.01151</v>
      </c>
      <c r="R331" s="7"/>
      <c r="S331" s="7"/>
      <c r="T331" s="7"/>
      <c r="U331" s="7"/>
      <c r="V331" s="7"/>
      <c r="W331" s="7"/>
      <c r="X331" s="7"/>
      <c r="Y331" s="7"/>
      <c r="Z331" s="7"/>
    </row>
    <row r="332" spans="1:26" ht="12.75" customHeight="1" x14ac:dyDescent="0.2">
      <c r="A332" s="534"/>
      <c r="B332" s="534"/>
      <c r="C332" s="40" t="s">
        <v>36</v>
      </c>
      <c r="D332" s="41">
        <v>17</v>
      </c>
      <c r="E332" s="42">
        <v>11592.6</v>
      </c>
      <c r="F332" s="42">
        <v>1214.71</v>
      </c>
      <c r="G332" s="42">
        <v>123.95</v>
      </c>
      <c r="H332" s="42">
        <v>6459.63</v>
      </c>
      <c r="I332" s="42">
        <v>0</v>
      </c>
      <c r="J332" s="42">
        <v>1615.91</v>
      </c>
      <c r="K332" s="43">
        <v>19390.89</v>
      </c>
      <c r="L332" s="32">
        <v>21006.799999999999</v>
      </c>
      <c r="M332" s="33"/>
      <c r="N332" s="30">
        <v>19390.89</v>
      </c>
      <c r="O332" s="30">
        <v>12931.26</v>
      </c>
      <c r="P332" s="30"/>
      <c r="Q332" s="30">
        <f>(N332+O332*0.18+J332)+(IF((P332-O332*0.18)&gt;0,(P332-O332*0.18),0))</f>
        <v>23334.426799999997</v>
      </c>
      <c r="R332" s="7"/>
      <c r="S332" s="7"/>
      <c r="T332" s="7"/>
      <c r="U332" s="7"/>
      <c r="V332" s="7"/>
      <c r="W332" s="7"/>
      <c r="X332" s="7"/>
      <c r="Y332" s="7"/>
      <c r="Z332" s="7"/>
    </row>
    <row r="333" spans="1:26" ht="8.25" customHeight="1" x14ac:dyDescent="0.2">
      <c r="A333" s="534"/>
      <c r="B333" s="534"/>
      <c r="C333" s="34" t="s">
        <v>37</v>
      </c>
      <c r="D333" s="35">
        <v>17</v>
      </c>
      <c r="E333" s="36">
        <v>22446404</v>
      </c>
      <c r="F333" s="36">
        <v>2352007</v>
      </c>
      <c r="G333" s="36">
        <v>240001</v>
      </c>
      <c r="H333" s="36">
        <v>12507588</v>
      </c>
      <c r="I333" s="36">
        <v>0</v>
      </c>
      <c r="J333" s="37">
        <v>3128838</v>
      </c>
      <c r="K333" s="36">
        <v>37545999</v>
      </c>
      <c r="L333" s="38">
        <v>40674837</v>
      </c>
      <c r="M333" s="39"/>
      <c r="N333" s="36">
        <v>37545999</v>
      </c>
      <c r="O333" s="36">
        <v>25038411</v>
      </c>
      <c r="P333" s="36">
        <v>0</v>
      </c>
      <c r="Q333" s="36">
        <f>Q332*1936.27</f>
        <v>45181750.580035992</v>
      </c>
      <c r="R333" s="7"/>
      <c r="S333" s="7"/>
      <c r="T333" s="7"/>
      <c r="U333" s="7"/>
      <c r="V333" s="7"/>
      <c r="W333" s="7"/>
      <c r="X333" s="7"/>
      <c r="Y333" s="7"/>
      <c r="Z333" s="7"/>
    </row>
    <row r="334" spans="1:26" ht="12.75" customHeight="1" x14ac:dyDescent="0.2">
      <c r="A334" s="534"/>
      <c r="B334" s="534"/>
      <c r="C334" s="40" t="s">
        <v>36</v>
      </c>
      <c r="D334" s="41">
        <v>18</v>
      </c>
      <c r="E334" s="42">
        <v>11902.47</v>
      </c>
      <c r="F334" s="42">
        <v>1245.69</v>
      </c>
      <c r="G334" s="42">
        <v>123.95</v>
      </c>
      <c r="H334" s="42">
        <v>6459.63</v>
      </c>
      <c r="I334" s="42">
        <v>0</v>
      </c>
      <c r="J334" s="42">
        <v>1644.31</v>
      </c>
      <c r="K334" s="43">
        <v>19731.740000000002</v>
      </c>
      <c r="L334" s="32">
        <v>21376.05</v>
      </c>
      <c r="M334" s="33"/>
      <c r="N334" s="30">
        <v>19731.740000000002</v>
      </c>
      <c r="O334" s="30">
        <v>13272.11</v>
      </c>
      <c r="P334" s="30"/>
      <c r="Q334" s="30">
        <f>(N334+O334*0.18+J334)+(IF((P334-O334*0.18)&gt;0,(P334-O334*0.18),0))</f>
        <v>23765.029800000004</v>
      </c>
      <c r="R334" s="7"/>
      <c r="S334" s="7"/>
      <c r="T334" s="7"/>
      <c r="U334" s="7"/>
      <c r="V334" s="7"/>
      <c r="W334" s="7"/>
      <c r="X334" s="7"/>
      <c r="Y334" s="7"/>
      <c r="Z334" s="7"/>
    </row>
    <row r="335" spans="1:26" ht="7.5" customHeight="1" x14ac:dyDescent="0.2">
      <c r="A335" s="534"/>
      <c r="B335" s="534"/>
      <c r="C335" s="34" t="s">
        <v>37</v>
      </c>
      <c r="D335" s="35">
        <v>19</v>
      </c>
      <c r="E335" s="36">
        <v>23046396</v>
      </c>
      <c r="F335" s="36">
        <v>2411992</v>
      </c>
      <c r="G335" s="36">
        <v>240001</v>
      </c>
      <c r="H335" s="36">
        <v>12507588</v>
      </c>
      <c r="I335" s="36">
        <v>0</v>
      </c>
      <c r="J335" s="37">
        <v>3183828</v>
      </c>
      <c r="K335" s="36">
        <v>38205976</v>
      </c>
      <c r="L335" s="38">
        <v>41389804</v>
      </c>
      <c r="M335" s="39"/>
      <c r="N335" s="36">
        <v>38205976</v>
      </c>
      <c r="O335" s="36">
        <v>25698388</v>
      </c>
      <c r="P335" s="36">
        <v>0</v>
      </c>
      <c r="Q335" s="36">
        <f>Q334*1936.27</f>
        <v>46015514.250846006</v>
      </c>
      <c r="R335" s="7"/>
      <c r="S335" s="7"/>
      <c r="T335" s="7"/>
      <c r="U335" s="7"/>
      <c r="V335" s="7"/>
      <c r="W335" s="7"/>
      <c r="X335" s="7"/>
      <c r="Y335" s="7"/>
      <c r="Z335" s="7"/>
    </row>
    <row r="336" spans="1:26" ht="12.75" customHeight="1" x14ac:dyDescent="0.2">
      <c r="A336" s="534"/>
      <c r="B336" s="534"/>
      <c r="C336" s="40" t="s">
        <v>36</v>
      </c>
      <c r="D336" s="41">
        <v>20</v>
      </c>
      <c r="E336" s="42">
        <v>12286.71</v>
      </c>
      <c r="F336" s="42">
        <v>1289.08</v>
      </c>
      <c r="G336" s="42">
        <v>123.95</v>
      </c>
      <c r="H336" s="42">
        <v>6459.63</v>
      </c>
      <c r="I336" s="42">
        <v>0</v>
      </c>
      <c r="J336" s="42">
        <v>1679.95</v>
      </c>
      <c r="K336" s="43">
        <v>20159.37</v>
      </c>
      <c r="L336" s="32">
        <v>21839.32</v>
      </c>
      <c r="M336" s="33"/>
      <c r="N336" s="30">
        <v>20159.37</v>
      </c>
      <c r="O336" s="30">
        <v>13699.74</v>
      </c>
      <c r="P336" s="30"/>
      <c r="Q336" s="30">
        <f>(N336+O336*0.18+J336)+(IF((P336-O336*0.18)&gt;0,(P336-O336*0.18),0))</f>
        <v>24305.2732</v>
      </c>
      <c r="R336" s="7"/>
      <c r="S336" s="7"/>
      <c r="T336" s="7"/>
      <c r="U336" s="7"/>
      <c r="V336" s="7"/>
      <c r="W336" s="7"/>
      <c r="X336" s="7"/>
      <c r="Y336" s="7"/>
      <c r="Z336" s="7"/>
    </row>
    <row r="337" spans="1:26" ht="6.75" customHeight="1" x14ac:dyDescent="0.2">
      <c r="A337" s="534"/>
      <c r="B337" s="534"/>
      <c r="C337" s="34" t="s">
        <v>37</v>
      </c>
      <c r="D337" s="35">
        <v>21</v>
      </c>
      <c r="E337" s="36">
        <v>23790388</v>
      </c>
      <c r="F337" s="36">
        <v>2496007</v>
      </c>
      <c r="G337" s="36">
        <v>240001</v>
      </c>
      <c r="H337" s="36">
        <v>12507588</v>
      </c>
      <c r="I337" s="36">
        <v>0</v>
      </c>
      <c r="J337" s="37">
        <v>3252837</v>
      </c>
      <c r="K337" s="36">
        <v>39033983</v>
      </c>
      <c r="L337" s="38">
        <v>42286820</v>
      </c>
      <c r="M337" s="39"/>
      <c r="N337" s="36">
        <v>39033983</v>
      </c>
      <c r="O337" s="36">
        <v>26526396</v>
      </c>
      <c r="P337" s="36">
        <v>0</v>
      </c>
      <c r="Q337" s="36">
        <f>Q336*1936.27</f>
        <v>47061571.338964</v>
      </c>
      <c r="R337" s="7"/>
      <c r="S337" s="7"/>
      <c r="T337" s="7"/>
      <c r="U337" s="7"/>
      <c r="V337" s="7"/>
      <c r="W337" s="7"/>
      <c r="X337" s="7"/>
      <c r="Y337" s="7"/>
      <c r="Z337" s="7"/>
    </row>
    <row r="338" spans="1:26" ht="12.75" customHeight="1" x14ac:dyDescent="0.2">
      <c r="A338" s="534"/>
      <c r="B338" s="534"/>
      <c r="C338" s="40" t="s">
        <v>36</v>
      </c>
      <c r="D338" s="41">
        <v>22</v>
      </c>
      <c r="E338" s="42">
        <v>12597.28</v>
      </c>
      <c r="F338" s="42">
        <v>1313.87</v>
      </c>
      <c r="G338" s="42">
        <v>123.95</v>
      </c>
      <c r="H338" s="42">
        <v>6459.63</v>
      </c>
      <c r="I338" s="42">
        <v>0</v>
      </c>
      <c r="J338" s="42">
        <v>1707.89</v>
      </c>
      <c r="K338" s="43">
        <v>20494.73</v>
      </c>
      <c r="L338" s="32">
        <v>22202.62</v>
      </c>
      <c r="M338" s="33"/>
      <c r="N338" s="30">
        <v>20494.73</v>
      </c>
      <c r="O338" s="30">
        <v>14035.1</v>
      </c>
      <c r="P338" s="30"/>
      <c r="Q338" s="30">
        <f>(N338+O338*0.18+J338)+(IF((P338-O338*0.18)&gt;0,(P338-O338*0.18),0))</f>
        <v>24728.937999999998</v>
      </c>
      <c r="R338" s="7"/>
      <c r="S338" s="7"/>
      <c r="T338" s="7"/>
      <c r="U338" s="7"/>
      <c r="V338" s="7"/>
      <c r="W338" s="7"/>
      <c r="X338" s="7"/>
      <c r="Y338" s="7"/>
      <c r="Z338" s="7"/>
    </row>
    <row r="339" spans="1:26" ht="8.25" customHeight="1" x14ac:dyDescent="0.2">
      <c r="A339" s="534"/>
      <c r="B339" s="534"/>
      <c r="C339" s="34" t="s">
        <v>37</v>
      </c>
      <c r="D339" s="35">
        <v>23</v>
      </c>
      <c r="E339" s="36">
        <v>24391735</v>
      </c>
      <c r="F339" s="36">
        <v>2544007</v>
      </c>
      <c r="G339" s="36">
        <v>240001</v>
      </c>
      <c r="H339" s="36">
        <v>12507588</v>
      </c>
      <c r="I339" s="36">
        <v>0</v>
      </c>
      <c r="J339" s="37">
        <v>3306936</v>
      </c>
      <c r="K339" s="36">
        <v>39683331</v>
      </c>
      <c r="L339" s="38">
        <v>42990267</v>
      </c>
      <c r="M339" s="39"/>
      <c r="N339" s="36">
        <v>39683331</v>
      </c>
      <c r="O339" s="36">
        <v>27175743</v>
      </c>
      <c r="P339" s="36">
        <v>0</v>
      </c>
      <c r="Q339" s="36">
        <f>Q338*1936.27</f>
        <v>47881900.781259999</v>
      </c>
      <c r="R339" s="7"/>
      <c r="S339" s="7"/>
      <c r="T339" s="7"/>
      <c r="U339" s="7"/>
      <c r="V339" s="7"/>
      <c r="W339" s="7"/>
      <c r="X339" s="7"/>
      <c r="Y339" s="7"/>
      <c r="Z339" s="7"/>
    </row>
    <row r="340" spans="1:26" ht="12.75" customHeight="1" x14ac:dyDescent="0.2">
      <c r="A340" s="534"/>
      <c r="B340" s="534"/>
      <c r="C340" s="40" t="s">
        <v>36</v>
      </c>
      <c r="D340" s="41">
        <v>24</v>
      </c>
      <c r="E340" s="42">
        <v>12913.35</v>
      </c>
      <c r="F340" s="42">
        <v>1351.05</v>
      </c>
      <c r="G340" s="42">
        <v>123.95</v>
      </c>
      <c r="H340" s="42">
        <v>6459.63</v>
      </c>
      <c r="I340" s="42">
        <v>0</v>
      </c>
      <c r="J340" s="42">
        <v>1737.33</v>
      </c>
      <c r="K340" s="43">
        <v>20847.98</v>
      </c>
      <c r="L340" s="32">
        <v>22585.31</v>
      </c>
      <c r="M340" s="33"/>
      <c r="N340" s="30">
        <v>20847.98</v>
      </c>
      <c r="O340" s="30">
        <v>14388.35</v>
      </c>
      <c r="P340" s="30"/>
      <c r="Q340" s="30">
        <f>(N340+O340*0.18+J340)+(IF((P340-O340*0.18)&gt;0,(P340-O340*0.18),0))</f>
        <v>25175.212999999996</v>
      </c>
      <c r="R340" s="7"/>
      <c r="S340" s="7"/>
      <c r="T340" s="7"/>
      <c r="U340" s="7"/>
      <c r="V340" s="7"/>
      <c r="W340" s="7"/>
      <c r="X340" s="7"/>
      <c r="Y340" s="7"/>
      <c r="Z340" s="7"/>
    </row>
    <row r="341" spans="1:26" ht="7.5" customHeight="1" x14ac:dyDescent="0.2">
      <c r="A341" s="534"/>
      <c r="B341" s="534"/>
      <c r="C341" s="34" t="s">
        <v>37</v>
      </c>
      <c r="D341" s="35">
        <v>25</v>
      </c>
      <c r="E341" s="36">
        <v>25003732</v>
      </c>
      <c r="F341" s="36">
        <v>2615998</v>
      </c>
      <c r="G341" s="36">
        <v>240001</v>
      </c>
      <c r="H341" s="36">
        <v>12507588</v>
      </c>
      <c r="I341" s="36">
        <v>0</v>
      </c>
      <c r="J341" s="37">
        <v>3363940</v>
      </c>
      <c r="K341" s="36">
        <v>40367318</v>
      </c>
      <c r="L341" s="38">
        <v>43731258</v>
      </c>
      <c r="M341" s="39"/>
      <c r="N341" s="36">
        <v>40367318</v>
      </c>
      <c r="O341" s="36">
        <v>27859730</v>
      </c>
      <c r="P341" s="36">
        <v>0</v>
      </c>
      <c r="Q341" s="36">
        <f>Q340*1936.27</f>
        <v>48746009.675509989</v>
      </c>
      <c r="R341" s="7"/>
      <c r="S341" s="7"/>
      <c r="T341" s="7"/>
      <c r="U341" s="7"/>
      <c r="V341" s="7"/>
      <c r="W341" s="7"/>
      <c r="X341" s="7"/>
      <c r="Y341" s="7"/>
      <c r="Z341" s="7"/>
    </row>
    <row r="342" spans="1:26" ht="12.75" customHeight="1" x14ac:dyDescent="0.2">
      <c r="A342" s="534"/>
      <c r="B342" s="534"/>
      <c r="C342" s="40" t="s">
        <v>36</v>
      </c>
      <c r="D342" s="41">
        <v>26</v>
      </c>
      <c r="E342" s="42">
        <v>13223.22</v>
      </c>
      <c r="F342" s="42">
        <v>1382.04</v>
      </c>
      <c r="G342" s="42">
        <v>123.95</v>
      </c>
      <c r="H342" s="42">
        <v>6459.63</v>
      </c>
      <c r="I342" s="42">
        <v>0</v>
      </c>
      <c r="J342" s="42">
        <v>1765.74</v>
      </c>
      <c r="K342" s="43">
        <v>21188.84</v>
      </c>
      <c r="L342" s="32">
        <v>22954.58</v>
      </c>
      <c r="M342" s="33"/>
      <c r="N342" s="30">
        <v>21188.84</v>
      </c>
      <c r="O342" s="30">
        <v>14729.21</v>
      </c>
      <c r="P342" s="30"/>
      <c r="Q342" s="30">
        <f>(N342+O342*0.18+J342)+(IF((P342-O342*0.18)&gt;0,(P342-O342*0.18),0))</f>
        <v>25605.837800000001</v>
      </c>
      <c r="R342" s="7"/>
      <c r="S342" s="7"/>
      <c r="T342" s="7"/>
      <c r="U342" s="7"/>
      <c r="V342" s="7"/>
      <c r="W342" s="7"/>
      <c r="X342" s="7"/>
      <c r="Y342" s="7"/>
      <c r="Z342" s="7"/>
    </row>
    <row r="343" spans="1:26" ht="8.25" customHeight="1" x14ac:dyDescent="0.2">
      <c r="A343" s="534"/>
      <c r="B343" s="534"/>
      <c r="C343" s="34" t="s">
        <v>37</v>
      </c>
      <c r="D343" s="35">
        <v>27</v>
      </c>
      <c r="E343" s="36">
        <v>25603724</v>
      </c>
      <c r="F343" s="36">
        <v>2676003</v>
      </c>
      <c r="G343" s="36">
        <v>240001</v>
      </c>
      <c r="H343" s="36">
        <v>12507588</v>
      </c>
      <c r="I343" s="36">
        <v>0</v>
      </c>
      <c r="J343" s="37">
        <v>3418949</v>
      </c>
      <c r="K343" s="36">
        <v>41027315</v>
      </c>
      <c r="L343" s="38">
        <v>44446265</v>
      </c>
      <c r="M343" s="39"/>
      <c r="N343" s="36">
        <v>41027315</v>
      </c>
      <c r="O343" s="36">
        <v>28519727</v>
      </c>
      <c r="P343" s="36">
        <v>0</v>
      </c>
      <c r="Q343" s="36">
        <f>Q342*1936.27</f>
        <v>49579815.557006001</v>
      </c>
      <c r="R343" s="7"/>
      <c r="S343" s="7"/>
      <c r="T343" s="7"/>
      <c r="U343" s="7"/>
      <c r="V343" s="7"/>
      <c r="W343" s="7"/>
      <c r="X343" s="7"/>
      <c r="Y343" s="7"/>
      <c r="Z343" s="7"/>
    </row>
    <row r="344" spans="1:26" ht="12.75" customHeight="1" x14ac:dyDescent="0.2">
      <c r="A344" s="534"/>
      <c r="B344" s="534"/>
      <c r="C344" s="40" t="s">
        <v>36</v>
      </c>
      <c r="D344" s="41">
        <v>28</v>
      </c>
      <c r="E344" s="42">
        <v>13568.09</v>
      </c>
      <c r="F344" s="42">
        <v>1419.22</v>
      </c>
      <c r="G344" s="42">
        <v>123.95</v>
      </c>
      <c r="H344" s="42">
        <v>6459.63</v>
      </c>
      <c r="I344" s="42">
        <v>0</v>
      </c>
      <c r="J344" s="42">
        <v>1797.57</v>
      </c>
      <c r="K344" s="43">
        <v>21570.89</v>
      </c>
      <c r="L344" s="32">
        <v>23368.46</v>
      </c>
      <c r="M344" s="33"/>
      <c r="N344" s="30">
        <v>21570.89</v>
      </c>
      <c r="O344" s="30">
        <v>15111.26</v>
      </c>
      <c r="P344" s="30"/>
      <c r="Q344" s="30">
        <f>(N344+O344*0.18+J344)+(IF((P344-O344*0.18)&gt;0,(P344-O344*0.18),0))</f>
        <v>26088.486799999999</v>
      </c>
      <c r="R344" s="7"/>
      <c r="S344" s="7"/>
      <c r="T344" s="7"/>
      <c r="U344" s="7"/>
      <c r="V344" s="7"/>
      <c r="W344" s="7"/>
      <c r="X344" s="7"/>
      <c r="Y344" s="7"/>
      <c r="Z344" s="7"/>
    </row>
    <row r="345" spans="1:26" ht="9" customHeight="1" x14ac:dyDescent="0.2">
      <c r="A345" s="534"/>
      <c r="B345" s="534"/>
      <c r="C345" s="34" t="s">
        <v>37</v>
      </c>
      <c r="D345" s="35">
        <v>29</v>
      </c>
      <c r="E345" s="36">
        <v>26271486</v>
      </c>
      <c r="F345" s="36">
        <v>2747993</v>
      </c>
      <c r="G345" s="36">
        <v>240001</v>
      </c>
      <c r="H345" s="36">
        <v>12507588</v>
      </c>
      <c r="I345" s="36">
        <v>0</v>
      </c>
      <c r="J345" s="37">
        <v>3480581</v>
      </c>
      <c r="K345" s="36">
        <v>41767067</v>
      </c>
      <c r="L345" s="38">
        <v>45247648</v>
      </c>
      <c r="M345" s="39"/>
      <c r="N345" s="36">
        <v>41767067</v>
      </c>
      <c r="O345" s="36">
        <v>29259479</v>
      </c>
      <c r="P345" s="36">
        <v>0</v>
      </c>
      <c r="Q345" s="36">
        <f>Q344*1936.27</f>
        <v>50514354.336236</v>
      </c>
      <c r="R345" s="7"/>
      <c r="S345" s="7"/>
      <c r="T345" s="7"/>
      <c r="U345" s="7"/>
      <c r="V345" s="7"/>
      <c r="W345" s="7"/>
      <c r="X345" s="7"/>
      <c r="Y345" s="7"/>
      <c r="Z345" s="7"/>
    </row>
    <row r="346" spans="1:26" ht="12.75" customHeight="1" x14ac:dyDescent="0.2">
      <c r="A346" s="534"/>
      <c r="B346" s="534"/>
      <c r="C346" s="40" t="s">
        <v>36</v>
      </c>
      <c r="D346" s="41">
        <v>30</v>
      </c>
      <c r="E346" s="42">
        <v>13884.16</v>
      </c>
      <c r="F346" s="42">
        <v>1450.21</v>
      </c>
      <c r="G346" s="42">
        <v>123.95</v>
      </c>
      <c r="H346" s="42">
        <v>6459.63</v>
      </c>
      <c r="I346" s="42">
        <v>0</v>
      </c>
      <c r="J346" s="42">
        <v>1826.5</v>
      </c>
      <c r="K346" s="43">
        <v>21917.95</v>
      </c>
      <c r="L346" s="32">
        <v>23744.45</v>
      </c>
      <c r="M346" s="33"/>
      <c r="N346" s="30">
        <v>21917.95</v>
      </c>
      <c r="O346" s="30">
        <v>15458.32</v>
      </c>
      <c r="P346" s="30"/>
      <c r="Q346" s="30">
        <f>(N346+O346*0.18+J346)+(IF((P346-O346*0.18)&gt;0,(P346-O346*0.18),0))</f>
        <v>26526.9476</v>
      </c>
      <c r="R346" s="7"/>
      <c r="S346" s="7"/>
      <c r="T346" s="7"/>
      <c r="U346" s="7"/>
      <c r="V346" s="7"/>
      <c r="W346" s="7"/>
      <c r="X346" s="7"/>
      <c r="Y346" s="7"/>
      <c r="Z346" s="7"/>
    </row>
    <row r="347" spans="1:26" ht="9" customHeight="1" x14ac:dyDescent="0.2">
      <c r="A347" s="534"/>
      <c r="B347" s="534"/>
      <c r="C347" s="34" t="s">
        <v>37</v>
      </c>
      <c r="D347" s="35">
        <v>31</v>
      </c>
      <c r="E347" s="36">
        <v>26883482</v>
      </c>
      <c r="F347" s="36">
        <v>2807998</v>
      </c>
      <c r="G347" s="36">
        <v>240001</v>
      </c>
      <c r="H347" s="36">
        <v>12507588</v>
      </c>
      <c r="I347" s="36">
        <v>0</v>
      </c>
      <c r="J347" s="37">
        <v>3536597</v>
      </c>
      <c r="K347" s="36">
        <v>42439069</v>
      </c>
      <c r="L347" s="38">
        <v>45975666</v>
      </c>
      <c r="M347" s="39"/>
      <c r="N347" s="36">
        <v>42439069</v>
      </c>
      <c r="O347" s="36">
        <v>29931481</v>
      </c>
      <c r="P347" s="36">
        <v>0</v>
      </c>
      <c r="Q347" s="36">
        <f>Q346*1936.27</f>
        <v>51363332.829452001</v>
      </c>
      <c r="R347" s="7"/>
      <c r="S347" s="7"/>
      <c r="T347" s="7"/>
      <c r="U347" s="7"/>
      <c r="V347" s="7"/>
      <c r="W347" s="7"/>
      <c r="X347" s="7"/>
      <c r="Y347" s="7"/>
      <c r="Z347" s="7"/>
    </row>
    <row r="348" spans="1:26" ht="12.75" customHeight="1" x14ac:dyDescent="0.2">
      <c r="A348" s="534"/>
      <c r="B348" s="534"/>
      <c r="C348" s="40" t="s">
        <v>36</v>
      </c>
      <c r="D348" s="41">
        <v>32</v>
      </c>
      <c r="E348" s="42">
        <v>14194.04</v>
      </c>
      <c r="F348" s="42">
        <v>1487.4</v>
      </c>
      <c r="G348" s="42">
        <v>123.95</v>
      </c>
      <c r="H348" s="42">
        <v>6459.63</v>
      </c>
      <c r="I348" s="42">
        <v>0</v>
      </c>
      <c r="J348" s="42">
        <v>1855.42</v>
      </c>
      <c r="K348" s="43">
        <v>22265.02</v>
      </c>
      <c r="L348" s="32">
        <v>24120.44</v>
      </c>
      <c r="M348" s="33"/>
      <c r="N348" s="30">
        <v>22265.02</v>
      </c>
      <c r="O348" s="30">
        <v>15805.39</v>
      </c>
      <c r="P348" s="30"/>
      <c r="Q348" s="30">
        <f>(N348+O348*0.18+J348)+(IF((P348-O348*0.18)&gt;0,(P348-O348*0.18),0))</f>
        <v>26965.410199999998</v>
      </c>
      <c r="R348" s="7"/>
      <c r="S348" s="7"/>
      <c r="T348" s="7"/>
      <c r="U348" s="7"/>
      <c r="V348" s="7"/>
      <c r="W348" s="7"/>
      <c r="X348" s="7"/>
      <c r="Y348" s="7"/>
      <c r="Z348" s="7"/>
    </row>
    <row r="349" spans="1:26" ht="9" customHeight="1" x14ac:dyDescent="0.2">
      <c r="A349" s="534"/>
      <c r="B349" s="534"/>
      <c r="C349" s="34" t="s">
        <v>37</v>
      </c>
      <c r="D349" s="35">
        <v>33</v>
      </c>
      <c r="E349" s="36">
        <v>27483494</v>
      </c>
      <c r="F349" s="36">
        <v>2880008</v>
      </c>
      <c r="G349" s="36">
        <v>240001</v>
      </c>
      <c r="H349" s="36">
        <v>12507588</v>
      </c>
      <c r="I349" s="36">
        <v>0</v>
      </c>
      <c r="J349" s="37">
        <v>3592594</v>
      </c>
      <c r="K349" s="36">
        <v>43111090</v>
      </c>
      <c r="L349" s="38">
        <v>46703684</v>
      </c>
      <c r="M349" s="39"/>
      <c r="N349" s="36">
        <v>43111090</v>
      </c>
      <c r="O349" s="36">
        <v>30603502</v>
      </c>
      <c r="P349" s="36">
        <v>0</v>
      </c>
      <c r="Q349" s="36">
        <f>Q348*1936.27</f>
        <v>52212314.807953998</v>
      </c>
      <c r="R349" s="7"/>
      <c r="S349" s="7"/>
      <c r="T349" s="7"/>
      <c r="U349" s="7"/>
      <c r="V349" s="7"/>
      <c r="W349" s="7"/>
      <c r="X349" s="7"/>
      <c r="Y349" s="7"/>
      <c r="Z349" s="7"/>
    </row>
    <row r="350" spans="1:26" ht="12.75" customHeight="1" x14ac:dyDescent="0.2">
      <c r="A350" s="534"/>
      <c r="B350" s="534"/>
      <c r="C350" s="40" t="s">
        <v>36</v>
      </c>
      <c r="D350" s="41">
        <v>34</v>
      </c>
      <c r="E350" s="42">
        <v>14510.11</v>
      </c>
      <c r="F350" s="42">
        <v>1518.38</v>
      </c>
      <c r="G350" s="42">
        <v>123.95</v>
      </c>
      <c r="H350" s="42">
        <v>6459.63</v>
      </c>
      <c r="I350" s="42">
        <v>0</v>
      </c>
      <c r="J350" s="42">
        <v>1884.34</v>
      </c>
      <c r="K350" s="43">
        <v>22612.07</v>
      </c>
      <c r="L350" s="32">
        <v>24496.41</v>
      </c>
      <c r="M350" s="33"/>
      <c r="N350" s="30">
        <v>22612.07</v>
      </c>
      <c r="O350" s="30">
        <v>16152.44</v>
      </c>
      <c r="P350" s="30"/>
      <c r="Q350" s="30">
        <f>(N350+O350*0.18+J350)+(IF((P350-O350*0.18)&gt;0,(P350-O350*0.18),0))</f>
        <v>27403.849200000001</v>
      </c>
      <c r="R350" s="7"/>
      <c r="S350" s="7"/>
      <c r="T350" s="7"/>
      <c r="U350" s="7"/>
      <c r="V350" s="7"/>
      <c r="W350" s="7"/>
      <c r="X350" s="7"/>
      <c r="Y350" s="7"/>
      <c r="Z350" s="7"/>
    </row>
    <row r="351" spans="1:26" ht="9" customHeight="1" x14ac:dyDescent="0.2">
      <c r="A351" s="534"/>
      <c r="B351" s="534"/>
      <c r="C351" s="34" t="s">
        <v>37</v>
      </c>
      <c r="D351" s="35">
        <v>35</v>
      </c>
      <c r="E351" s="36">
        <v>28095491</v>
      </c>
      <c r="F351" s="36">
        <v>2939994</v>
      </c>
      <c r="G351" s="36">
        <v>240001</v>
      </c>
      <c r="H351" s="36">
        <v>12507588</v>
      </c>
      <c r="I351" s="36">
        <v>0</v>
      </c>
      <c r="J351" s="37">
        <v>3648591</v>
      </c>
      <c r="K351" s="36">
        <v>43783073</v>
      </c>
      <c r="L351" s="38">
        <v>47431664</v>
      </c>
      <c r="M351" s="39"/>
      <c r="N351" s="36">
        <v>43783073</v>
      </c>
      <c r="O351" s="36">
        <v>31275485</v>
      </c>
      <c r="P351" s="36">
        <v>0</v>
      </c>
      <c r="Q351" s="36">
        <f>Q350*1936.27</f>
        <v>53061251.090484001</v>
      </c>
      <c r="R351" s="7"/>
      <c r="S351" s="7"/>
      <c r="T351" s="7"/>
      <c r="U351" s="7"/>
      <c r="V351" s="7"/>
      <c r="W351" s="7"/>
      <c r="X351" s="7"/>
      <c r="Y351" s="7"/>
      <c r="Z351" s="7"/>
    </row>
    <row r="352" spans="1:26" ht="12.75" customHeight="1" x14ac:dyDescent="0.2">
      <c r="A352" s="534"/>
      <c r="B352" s="534"/>
      <c r="C352" s="40" t="s">
        <v>36</v>
      </c>
      <c r="D352" s="41">
        <v>36</v>
      </c>
      <c r="E352" s="42">
        <v>14852.78</v>
      </c>
      <c r="F352" s="42">
        <v>1555.57</v>
      </c>
      <c r="G352" s="42">
        <v>123.95</v>
      </c>
      <c r="H352" s="42">
        <v>6459.63</v>
      </c>
      <c r="I352" s="42">
        <v>0</v>
      </c>
      <c r="J352" s="42">
        <v>1915.99</v>
      </c>
      <c r="K352" s="43">
        <v>22991.93</v>
      </c>
      <c r="L352" s="32">
        <v>24907.919999999998</v>
      </c>
      <c r="M352" s="33"/>
      <c r="N352" s="30">
        <v>22991.93</v>
      </c>
      <c r="O352" s="30">
        <v>16532.3</v>
      </c>
      <c r="P352" s="30"/>
      <c r="Q352" s="30">
        <f>(N352+O352*0.18+J352)+(IF((P352-O352*0.18)&gt;0,(P352-O352*0.18),0))</f>
        <v>27883.734</v>
      </c>
      <c r="R352" s="7"/>
      <c r="S352" s="7"/>
      <c r="T352" s="7"/>
      <c r="U352" s="7"/>
      <c r="V352" s="7"/>
      <c r="W352" s="7"/>
      <c r="X352" s="7"/>
      <c r="Y352" s="7"/>
      <c r="Z352" s="7"/>
    </row>
    <row r="353" spans="1:26" ht="9" customHeight="1" x14ac:dyDescent="0.2">
      <c r="A353" s="534"/>
      <c r="B353" s="534"/>
      <c r="C353" s="34" t="s">
        <v>37</v>
      </c>
      <c r="D353" s="35">
        <v>37</v>
      </c>
      <c r="E353" s="36">
        <v>28758992</v>
      </c>
      <c r="F353" s="36">
        <v>3012004</v>
      </c>
      <c r="G353" s="36">
        <v>240001</v>
      </c>
      <c r="H353" s="36">
        <v>12507588</v>
      </c>
      <c r="I353" s="36">
        <v>0</v>
      </c>
      <c r="J353" s="37">
        <v>3709874</v>
      </c>
      <c r="K353" s="36">
        <v>44518584</v>
      </c>
      <c r="L353" s="38">
        <v>48228458</v>
      </c>
      <c r="M353" s="39"/>
      <c r="N353" s="36">
        <v>44518584</v>
      </c>
      <c r="O353" s="36">
        <v>32010997</v>
      </c>
      <c r="P353" s="36">
        <v>0</v>
      </c>
      <c r="Q353" s="36">
        <f>Q352*1936.27</f>
        <v>53990437.632179998</v>
      </c>
      <c r="R353" s="7"/>
      <c r="S353" s="7"/>
      <c r="T353" s="7"/>
      <c r="U353" s="7"/>
      <c r="V353" s="7"/>
      <c r="W353" s="7"/>
      <c r="X353" s="7"/>
      <c r="Y353" s="7"/>
      <c r="Z353" s="7"/>
    </row>
    <row r="354" spans="1:26" ht="9" customHeight="1" x14ac:dyDescent="0.2">
      <c r="A354" s="534"/>
      <c r="B354" s="534"/>
      <c r="C354" s="44" t="s">
        <v>36</v>
      </c>
      <c r="D354" s="45">
        <v>38</v>
      </c>
      <c r="E354" s="42">
        <v>14471.12</v>
      </c>
      <c r="F354" s="42">
        <v>1586.56</v>
      </c>
      <c r="G354" s="42">
        <v>123.95</v>
      </c>
      <c r="H354" s="42">
        <v>6459.63</v>
      </c>
      <c r="I354" s="42">
        <v>0</v>
      </c>
      <c r="J354" s="42">
        <v>1886.77</v>
      </c>
      <c r="K354" s="43">
        <v>22641.26</v>
      </c>
      <c r="L354" s="32">
        <v>24528.03</v>
      </c>
      <c r="M354" s="33"/>
      <c r="N354" s="30">
        <v>22641.26</v>
      </c>
      <c r="O354" s="30">
        <v>16181.63</v>
      </c>
      <c r="P354" s="30"/>
      <c r="Q354" s="30">
        <f>(N354+O354*0.18+J354)+(IF((P354-O354*0.18)&gt;0,(P354-O354*0.18),0))</f>
        <v>27440.723399999999</v>
      </c>
      <c r="R354" s="7"/>
      <c r="S354" s="7"/>
      <c r="T354" s="7"/>
      <c r="U354" s="7"/>
      <c r="V354" s="7"/>
      <c r="W354" s="7"/>
      <c r="X354" s="7"/>
      <c r="Y354" s="7"/>
      <c r="Z354" s="7"/>
    </row>
    <row r="355" spans="1:26" ht="9" customHeight="1" x14ac:dyDescent="0.2">
      <c r="A355" s="534"/>
      <c r="B355" s="534"/>
      <c r="C355" s="44" t="s">
        <v>37</v>
      </c>
      <c r="D355" s="45">
        <v>39</v>
      </c>
      <c r="E355" s="36">
        <v>28019996</v>
      </c>
      <c r="F355" s="36">
        <v>3072009</v>
      </c>
      <c r="G355" s="36">
        <v>240001</v>
      </c>
      <c r="H355" s="36">
        <v>12507588</v>
      </c>
      <c r="I355" s="36">
        <v>0</v>
      </c>
      <c r="J355" s="37">
        <v>3653296</v>
      </c>
      <c r="K355" s="36">
        <v>43839593</v>
      </c>
      <c r="L355" s="38">
        <v>47492889</v>
      </c>
      <c r="M355" s="39"/>
      <c r="N355" s="46">
        <v>43839593</v>
      </c>
      <c r="O355" s="46">
        <v>31332005</v>
      </c>
      <c r="P355" s="46">
        <v>0</v>
      </c>
      <c r="Q355" s="36">
        <f>Q354*1936.27</f>
        <v>53132649.497717999</v>
      </c>
      <c r="R355" s="7"/>
      <c r="S355" s="7"/>
      <c r="T355" s="7"/>
      <c r="U355" s="7"/>
      <c r="V355" s="7"/>
      <c r="W355" s="7"/>
      <c r="X355" s="7"/>
      <c r="Y355" s="7"/>
      <c r="Z355" s="7"/>
    </row>
    <row r="356" spans="1:26" ht="12.75" customHeight="1" x14ac:dyDescent="0.2">
      <c r="A356" s="534"/>
      <c r="B356" s="534"/>
      <c r="C356" s="40" t="s">
        <v>36</v>
      </c>
      <c r="D356" s="41">
        <v>40</v>
      </c>
      <c r="E356" s="42">
        <v>15472.53</v>
      </c>
      <c r="F356" s="42">
        <v>1623.74</v>
      </c>
      <c r="G356" s="42">
        <v>123.95</v>
      </c>
      <c r="H356" s="42">
        <v>6459.63</v>
      </c>
      <c r="I356" s="42">
        <v>0</v>
      </c>
      <c r="J356" s="42">
        <v>1973.32</v>
      </c>
      <c r="K356" s="43">
        <v>23679.85</v>
      </c>
      <c r="L356" s="32">
        <v>25653.17</v>
      </c>
      <c r="M356" s="33"/>
      <c r="N356" s="30">
        <v>23679.85</v>
      </c>
      <c r="O356" s="30">
        <v>17220.22</v>
      </c>
      <c r="P356" s="30"/>
      <c r="Q356" s="30">
        <f>(N356+O356*0.18+J356)+(IF((P356-O356*0.18)&gt;0,(P356-O356*0.18),0))</f>
        <v>28752.809599999997</v>
      </c>
      <c r="R356" s="7"/>
      <c r="S356" s="7"/>
      <c r="T356" s="7"/>
      <c r="U356" s="7"/>
      <c r="V356" s="7"/>
      <c r="W356" s="7"/>
      <c r="X356" s="7"/>
      <c r="Y356" s="7"/>
      <c r="Z356" s="7"/>
    </row>
    <row r="357" spans="1:26" ht="9" customHeight="1" x14ac:dyDescent="0.2">
      <c r="A357" s="535"/>
      <c r="B357" s="535"/>
      <c r="C357" s="47"/>
      <c r="D357" s="48"/>
      <c r="E357" s="46">
        <v>29958996</v>
      </c>
      <c r="F357" s="46">
        <v>3143999</v>
      </c>
      <c r="G357" s="46">
        <v>240001</v>
      </c>
      <c r="H357" s="46">
        <v>12507588</v>
      </c>
      <c r="I357" s="46">
        <v>0</v>
      </c>
      <c r="J357" s="49">
        <v>3820880</v>
      </c>
      <c r="K357" s="46">
        <v>45850583</v>
      </c>
      <c r="L357" s="38">
        <v>49671463</v>
      </c>
      <c r="M357" s="39"/>
      <c r="N357" s="36">
        <v>45850583</v>
      </c>
      <c r="O357" s="36">
        <v>33342995</v>
      </c>
      <c r="P357" s="36">
        <v>0</v>
      </c>
      <c r="Q357" s="36">
        <f>Q356*1936.27</f>
        <v>55673202.644191995</v>
      </c>
      <c r="R357" s="7"/>
      <c r="S357" s="7"/>
      <c r="T357" s="7"/>
      <c r="U357" s="7"/>
      <c r="V357" s="7"/>
      <c r="W357" s="7"/>
      <c r="X357" s="7"/>
      <c r="Y357" s="7"/>
      <c r="Z357" s="7"/>
    </row>
    <row r="358" spans="1:26" ht="12.75" customHeight="1" x14ac:dyDescent="0.2">
      <c r="A358" s="538">
        <v>35034</v>
      </c>
      <c r="B358" s="538">
        <v>35064</v>
      </c>
      <c r="C358" s="28" t="s">
        <v>36</v>
      </c>
      <c r="D358" s="29">
        <v>0</v>
      </c>
      <c r="E358" s="30">
        <v>7638.02</v>
      </c>
      <c r="F358" s="30">
        <v>731.3</v>
      </c>
      <c r="G358" s="30">
        <v>0</v>
      </c>
      <c r="H358" s="30">
        <v>6459.63</v>
      </c>
      <c r="I358" s="30">
        <v>0</v>
      </c>
      <c r="J358" s="30">
        <v>1235.75</v>
      </c>
      <c r="K358" s="31">
        <v>14828.95</v>
      </c>
      <c r="L358" s="32">
        <v>16064.7</v>
      </c>
      <c r="M358" s="33"/>
      <c r="N358" s="30">
        <v>14828.95</v>
      </c>
      <c r="O358" s="30">
        <v>8369.32</v>
      </c>
      <c r="P358" s="30"/>
      <c r="Q358" s="30">
        <f>(N358+O358*0.18+J358)+(IF((P358-O358*0.18)&gt;0,(P358-O358*0.18),0))</f>
        <v>17571.177600000003</v>
      </c>
      <c r="R358" s="7"/>
      <c r="S358" s="7"/>
      <c r="T358" s="7"/>
      <c r="U358" s="7"/>
      <c r="V358" s="7"/>
      <c r="W358" s="7"/>
      <c r="X358" s="7"/>
      <c r="Y358" s="7"/>
      <c r="Z358" s="7"/>
    </row>
    <row r="359" spans="1:26" ht="8.25" customHeight="1" x14ac:dyDescent="0.2">
      <c r="A359" s="534"/>
      <c r="B359" s="534"/>
      <c r="C359" s="34" t="s">
        <v>37</v>
      </c>
      <c r="D359" s="35">
        <v>0</v>
      </c>
      <c r="E359" s="36">
        <v>14789269</v>
      </c>
      <c r="F359" s="36">
        <v>1415994</v>
      </c>
      <c r="G359" s="36">
        <v>0</v>
      </c>
      <c r="H359" s="36">
        <v>12507588</v>
      </c>
      <c r="I359" s="36">
        <v>0</v>
      </c>
      <c r="J359" s="37">
        <v>2392746</v>
      </c>
      <c r="K359" s="36">
        <v>28712851</v>
      </c>
      <c r="L359" s="38">
        <v>31105597</v>
      </c>
      <c r="M359" s="39"/>
      <c r="N359" s="36">
        <v>28712851</v>
      </c>
      <c r="O359" s="36">
        <v>16205263</v>
      </c>
      <c r="P359" s="36">
        <v>0</v>
      </c>
      <c r="Q359" s="36">
        <f>Q358*1936.27</f>
        <v>34022544.051552005</v>
      </c>
      <c r="R359" s="7"/>
      <c r="S359" s="7"/>
      <c r="T359" s="7"/>
      <c r="U359" s="7"/>
      <c r="V359" s="7"/>
      <c r="W359" s="7"/>
      <c r="X359" s="7"/>
      <c r="Y359" s="7"/>
      <c r="Z359" s="7"/>
    </row>
    <row r="360" spans="1:26" ht="12.75" customHeight="1" x14ac:dyDescent="0.2">
      <c r="A360" s="540">
        <v>35034</v>
      </c>
      <c r="B360" s="540">
        <v>35064</v>
      </c>
      <c r="C360" s="40" t="s">
        <v>36</v>
      </c>
      <c r="D360" s="41">
        <v>1</v>
      </c>
      <c r="E360" s="42">
        <v>7991.28</v>
      </c>
      <c r="F360" s="42">
        <v>768.49</v>
      </c>
      <c r="G360" s="42">
        <v>0</v>
      </c>
      <c r="H360" s="42">
        <v>6459.63</v>
      </c>
      <c r="I360" s="42">
        <v>0</v>
      </c>
      <c r="J360" s="42">
        <v>1268.28</v>
      </c>
      <c r="K360" s="43">
        <v>15219.4</v>
      </c>
      <c r="L360" s="32">
        <v>16487.68</v>
      </c>
      <c r="M360" s="33"/>
      <c r="N360" s="30">
        <v>15219.4</v>
      </c>
      <c r="O360" s="30">
        <v>8759.77</v>
      </c>
      <c r="P360" s="30"/>
      <c r="Q360" s="30">
        <f>(N360+O360*0.18+J360)+(IF((P360-O360*0.18)&gt;0,(P360-O360*0.18),0))</f>
        <v>18064.438599999998</v>
      </c>
      <c r="R360" s="7"/>
      <c r="S360" s="7"/>
      <c r="T360" s="7"/>
      <c r="U360" s="7"/>
      <c r="V360" s="7"/>
      <c r="W360" s="7"/>
      <c r="X360" s="7"/>
      <c r="Y360" s="7"/>
      <c r="Z360" s="7"/>
    </row>
    <row r="361" spans="1:26" ht="8.25" customHeight="1" x14ac:dyDescent="0.2">
      <c r="A361" s="534"/>
      <c r="B361" s="534"/>
      <c r="C361" s="34" t="s">
        <v>37</v>
      </c>
      <c r="D361" s="35">
        <v>2</v>
      </c>
      <c r="E361" s="36">
        <v>15473276</v>
      </c>
      <c r="F361" s="36">
        <v>1488004</v>
      </c>
      <c r="G361" s="36">
        <v>0</v>
      </c>
      <c r="H361" s="36">
        <v>12507588</v>
      </c>
      <c r="I361" s="36">
        <v>0</v>
      </c>
      <c r="J361" s="37">
        <v>2455733</v>
      </c>
      <c r="K361" s="36">
        <v>29468868</v>
      </c>
      <c r="L361" s="38">
        <v>31924600</v>
      </c>
      <c r="M361" s="39"/>
      <c r="N361" s="36">
        <v>29468868</v>
      </c>
      <c r="O361" s="36">
        <v>16961280</v>
      </c>
      <c r="P361" s="36">
        <v>0</v>
      </c>
      <c r="Q361" s="36">
        <f>Q360*1936.27</f>
        <v>34977630.528021999</v>
      </c>
      <c r="R361" s="7"/>
      <c r="S361" s="7"/>
      <c r="T361" s="7"/>
      <c r="U361" s="7"/>
      <c r="V361" s="7"/>
      <c r="W361" s="7"/>
      <c r="X361" s="7"/>
      <c r="Y361" s="7"/>
      <c r="Z361" s="7"/>
    </row>
    <row r="362" spans="1:26" ht="12.75" customHeight="1" x14ac:dyDescent="0.2">
      <c r="A362" s="534"/>
      <c r="B362" s="534"/>
      <c r="C362" s="40" t="s">
        <v>36</v>
      </c>
      <c r="D362" s="41">
        <v>3</v>
      </c>
      <c r="E362" s="42">
        <v>8398.33</v>
      </c>
      <c r="F362" s="42">
        <v>811.87</v>
      </c>
      <c r="G362" s="42">
        <v>0</v>
      </c>
      <c r="H362" s="42">
        <v>6459.63</v>
      </c>
      <c r="I362" s="42">
        <v>0</v>
      </c>
      <c r="J362" s="42">
        <v>1305.82</v>
      </c>
      <c r="K362" s="43">
        <v>15669.83</v>
      </c>
      <c r="L362" s="32">
        <v>16975.650000000001</v>
      </c>
      <c r="M362" s="33"/>
      <c r="N362" s="30">
        <v>15669.83</v>
      </c>
      <c r="O362" s="30">
        <v>9210.2000000000007</v>
      </c>
      <c r="P362" s="30"/>
      <c r="Q362" s="30">
        <f>(N362+O362*0.18+J362)+(IF((P362-O362*0.18)&gt;0,(P362-O362*0.18),0))</f>
        <v>18633.486000000001</v>
      </c>
      <c r="R362" s="7"/>
      <c r="S362" s="7"/>
      <c r="T362" s="7"/>
      <c r="U362" s="7"/>
      <c r="V362" s="7"/>
      <c r="W362" s="7"/>
      <c r="X362" s="7"/>
      <c r="Y362" s="7"/>
      <c r="Z362" s="7"/>
    </row>
    <row r="363" spans="1:26" ht="8.25" customHeight="1" x14ac:dyDescent="0.2">
      <c r="A363" s="534"/>
      <c r="B363" s="534"/>
      <c r="C363" s="34" t="s">
        <v>37</v>
      </c>
      <c r="D363" s="35">
        <v>4</v>
      </c>
      <c r="E363" s="36">
        <v>16261434</v>
      </c>
      <c r="F363" s="36">
        <v>1572000</v>
      </c>
      <c r="G363" s="36">
        <v>0</v>
      </c>
      <c r="H363" s="36">
        <v>12507588</v>
      </c>
      <c r="I363" s="36">
        <v>0</v>
      </c>
      <c r="J363" s="37">
        <v>2528420</v>
      </c>
      <c r="K363" s="36">
        <v>30341022</v>
      </c>
      <c r="L363" s="38">
        <v>32869442</v>
      </c>
      <c r="M363" s="39"/>
      <c r="N363" s="36">
        <v>30341022</v>
      </c>
      <c r="O363" s="36">
        <v>17833434</v>
      </c>
      <c r="P363" s="36">
        <v>0</v>
      </c>
      <c r="Q363" s="36">
        <f>Q362*1936.27</f>
        <v>36079459.93722</v>
      </c>
      <c r="R363" s="7"/>
      <c r="S363" s="7"/>
      <c r="T363" s="7"/>
      <c r="U363" s="7"/>
      <c r="V363" s="7"/>
      <c r="W363" s="7"/>
      <c r="X363" s="7"/>
      <c r="Y363" s="7"/>
      <c r="Z363" s="7"/>
    </row>
    <row r="364" spans="1:26" ht="12.75" customHeight="1" x14ac:dyDescent="0.2">
      <c r="A364" s="534"/>
      <c r="B364" s="534"/>
      <c r="C364" s="40" t="s">
        <v>36</v>
      </c>
      <c r="D364" s="41">
        <v>5</v>
      </c>
      <c r="E364" s="42">
        <v>8751.58</v>
      </c>
      <c r="F364" s="42">
        <v>849.06</v>
      </c>
      <c r="G364" s="42">
        <v>0</v>
      </c>
      <c r="H364" s="42">
        <v>6459.63</v>
      </c>
      <c r="I364" s="42">
        <v>0</v>
      </c>
      <c r="J364" s="42">
        <v>1338.36</v>
      </c>
      <c r="K364" s="43">
        <v>16060.27</v>
      </c>
      <c r="L364" s="32">
        <v>17398.63</v>
      </c>
      <c r="M364" s="33"/>
      <c r="N364" s="30">
        <v>16060.27</v>
      </c>
      <c r="O364" s="30">
        <v>9600.64</v>
      </c>
      <c r="P364" s="30"/>
      <c r="Q364" s="30">
        <f>(N364+O364*0.18+J364)+(IF((P364-O364*0.18)&gt;0,(P364-O364*0.18),0))</f>
        <v>19126.745200000001</v>
      </c>
      <c r="R364" s="7"/>
      <c r="S364" s="7"/>
      <c r="T364" s="7"/>
      <c r="U364" s="7"/>
      <c r="V364" s="7"/>
      <c r="W364" s="7"/>
      <c r="X364" s="7"/>
      <c r="Y364" s="7"/>
      <c r="Z364" s="7"/>
    </row>
    <row r="365" spans="1:26" ht="8.25" customHeight="1" x14ac:dyDescent="0.2">
      <c r="A365" s="534"/>
      <c r="B365" s="534"/>
      <c r="C365" s="34" t="s">
        <v>37</v>
      </c>
      <c r="D365" s="35">
        <v>6</v>
      </c>
      <c r="E365" s="36">
        <v>16945422</v>
      </c>
      <c r="F365" s="36">
        <v>1644009</v>
      </c>
      <c r="G365" s="36">
        <v>0</v>
      </c>
      <c r="H365" s="36">
        <v>12507588</v>
      </c>
      <c r="I365" s="36">
        <v>0</v>
      </c>
      <c r="J365" s="37">
        <v>2591426</v>
      </c>
      <c r="K365" s="36">
        <v>31097019</v>
      </c>
      <c r="L365" s="38">
        <v>33688445</v>
      </c>
      <c r="M365" s="39"/>
      <c r="N365" s="36">
        <v>31097019</v>
      </c>
      <c r="O365" s="36">
        <v>18589431</v>
      </c>
      <c r="P365" s="36">
        <v>0</v>
      </c>
      <c r="Q365" s="36">
        <f>Q364*1936.27</f>
        <v>37034542.928404003</v>
      </c>
      <c r="R365" s="7"/>
      <c r="S365" s="7"/>
      <c r="T365" s="7"/>
      <c r="U365" s="7"/>
      <c r="V365" s="7"/>
      <c r="W365" s="7"/>
      <c r="X365" s="7"/>
      <c r="Y365" s="7"/>
      <c r="Z365" s="7"/>
    </row>
    <row r="366" spans="1:26" ht="12.75" customHeight="1" x14ac:dyDescent="0.2">
      <c r="A366" s="534"/>
      <c r="B366" s="534"/>
      <c r="C366" s="40" t="s">
        <v>36</v>
      </c>
      <c r="D366" s="41">
        <v>7</v>
      </c>
      <c r="E366" s="42">
        <v>9166.81</v>
      </c>
      <c r="F366" s="42">
        <v>892.44</v>
      </c>
      <c r="G366" s="42">
        <v>0</v>
      </c>
      <c r="H366" s="42">
        <v>6459.63</v>
      </c>
      <c r="I366" s="42">
        <v>0</v>
      </c>
      <c r="J366" s="42">
        <v>1376.57</v>
      </c>
      <c r="K366" s="43">
        <v>16518.88</v>
      </c>
      <c r="L366" s="32">
        <v>17895.45</v>
      </c>
      <c r="M366" s="33"/>
      <c r="N366" s="30">
        <v>16518.88</v>
      </c>
      <c r="O366" s="30">
        <v>10059.25</v>
      </c>
      <c r="P366" s="30"/>
      <c r="Q366" s="30">
        <f>(N366+O366*0.18+J366)+(IF((P366-O366*0.18)&gt;0,(P366-O366*0.18),0))</f>
        <v>19706.115000000002</v>
      </c>
      <c r="R366" s="7"/>
      <c r="S366" s="7"/>
      <c r="T366" s="7"/>
      <c r="U366" s="7"/>
      <c r="V366" s="7"/>
      <c r="W366" s="7"/>
      <c r="X366" s="7"/>
      <c r="Y366" s="7"/>
      <c r="Z366" s="7"/>
    </row>
    <row r="367" spans="1:26" ht="8.25" customHeight="1" x14ac:dyDescent="0.2">
      <c r="A367" s="534"/>
      <c r="B367" s="534"/>
      <c r="C367" s="34" t="s">
        <v>37</v>
      </c>
      <c r="D367" s="35">
        <v>8</v>
      </c>
      <c r="E367" s="36">
        <v>17749419</v>
      </c>
      <c r="F367" s="36">
        <v>1728005</v>
      </c>
      <c r="G367" s="36">
        <v>0</v>
      </c>
      <c r="H367" s="36">
        <v>12507588</v>
      </c>
      <c r="I367" s="36">
        <v>0</v>
      </c>
      <c r="J367" s="37">
        <v>2665411</v>
      </c>
      <c r="K367" s="36">
        <v>31985012</v>
      </c>
      <c r="L367" s="38">
        <v>34650423</v>
      </c>
      <c r="M367" s="39"/>
      <c r="N367" s="36">
        <v>31985012</v>
      </c>
      <c r="O367" s="36">
        <v>19477424</v>
      </c>
      <c r="P367" s="36">
        <v>0</v>
      </c>
      <c r="Q367" s="36">
        <f>Q366*1936.27</f>
        <v>38156359.291050002</v>
      </c>
      <c r="R367" s="7"/>
      <c r="S367" s="7"/>
      <c r="T367" s="7"/>
      <c r="U367" s="7"/>
      <c r="V367" s="7"/>
      <c r="W367" s="7"/>
      <c r="X367" s="7"/>
      <c r="Y367" s="7"/>
      <c r="Z367" s="7"/>
    </row>
    <row r="368" spans="1:26" ht="12.75" customHeight="1" x14ac:dyDescent="0.2">
      <c r="A368" s="534"/>
      <c r="B368" s="534"/>
      <c r="C368" s="40" t="s">
        <v>36</v>
      </c>
      <c r="D368" s="41">
        <v>9</v>
      </c>
      <c r="E368" s="42">
        <v>9614.52</v>
      </c>
      <c r="F368" s="42">
        <v>935.82</v>
      </c>
      <c r="G368" s="42">
        <v>0</v>
      </c>
      <c r="H368" s="42">
        <v>6459.63</v>
      </c>
      <c r="I368" s="42">
        <v>0</v>
      </c>
      <c r="J368" s="42">
        <v>1417.5</v>
      </c>
      <c r="K368" s="43">
        <v>17009.97</v>
      </c>
      <c r="L368" s="32">
        <v>18427.47</v>
      </c>
      <c r="M368" s="33"/>
      <c r="N368" s="30">
        <v>17009.97</v>
      </c>
      <c r="O368" s="30">
        <v>10550.34</v>
      </c>
      <c r="P368" s="30"/>
      <c r="Q368" s="30">
        <f>(N368+O368*0.18+J368)+(IF((P368-O368*0.18)&gt;0,(P368-O368*0.18),0))</f>
        <v>20326.531200000001</v>
      </c>
      <c r="R368" s="7"/>
      <c r="S368" s="7"/>
      <c r="T368" s="7"/>
      <c r="U368" s="7"/>
      <c r="V368" s="7"/>
      <c r="W368" s="7"/>
      <c r="X368" s="7"/>
      <c r="Y368" s="7"/>
      <c r="Z368" s="7"/>
    </row>
    <row r="369" spans="1:26" ht="8.25" customHeight="1" x14ac:dyDescent="0.2">
      <c r="A369" s="534"/>
      <c r="B369" s="534"/>
      <c r="C369" s="34" t="s">
        <v>37</v>
      </c>
      <c r="D369" s="35">
        <v>10</v>
      </c>
      <c r="E369" s="36">
        <v>18616307</v>
      </c>
      <c r="F369" s="36">
        <v>1812000</v>
      </c>
      <c r="G369" s="36">
        <v>0</v>
      </c>
      <c r="H369" s="36">
        <v>12507588</v>
      </c>
      <c r="I369" s="36">
        <v>0</v>
      </c>
      <c r="J369" s="37">
        <v>2744663</v>
      </c>
      <c r="K369" s="36">
        <v>32935895</v>
      </c>
      <c r="L369" s="38">
        <v>35680557</v>
      </c>
      <c r="M369" s="39"/>
      <c r="N369" s="36">
        <v>32935895</v>
      </c>
      <c r="O369" s="36">
        <v>20428307</v>
      </c>
      <c r="P369" s="36">
        <v>0</v>
      </c>
      <c r="Q369" s="36">
        <f>Q368*1936.27</f>
        <v>39357652.566624001</v>
      </c>
      <c r="R369" s="7"/>
      <c r="S369" s="7"/>
      <c r="T369" s="7"/>
      <c r="U369" s="7"/>
      <c r="V369" s="7"/>
      <c r="W369" s="7"/>
      <c r="X369" s="7"/>
      <c r="Y369" s="7"/>
      <c r="Z369" s="7"/>
    </row>
    <row r="370" spans="1:26" ht="12.75" customHeight="1" x14ac:dyDescent="0.2">
      <c r="A370" s="534"/>
      <c r="B370" s="534"/>
      <c r="C370" s="40" t="s">
        <v>36</v>
      </c>
      <c r="D370" s="41">
        <v>11</v>
      </c>
      <c r="E370" s="42">
        <v>10066.94</v>
      </c>
      <c r="F370" s="42">
        <v>985.4</v>
      </c>
      <c r="G370" s="42">
        <v>0</v>
      </c>
      <c r="H370" s="42">
        <v>6459.63</v>
      </c>
      <c r="I370" s="42">
        <v>0</v>
      </c>
      <c r="J370" s="42">
        <v>1459.33</v>
      </c>
      <c r="K370" s="43">
        <v>17511.97</v>
      </c>
      <c r="L370" s="32">
        <v>18971.3</v>
      </c>
      <c r="M370" s="33"/>
      <c r="N370" s="30">
        <v>17511.97</v>
      </c>
      <c r="O370" s="30">
        <v>11052.34</v>
      </c>
      <c r="P370" s="30"/>
      <c r="Q370" s="30">
        <f>(N370+O370*0.18+J370)+(IF((P370-O370*0.18)&gt;0,(P370-O370*0.18),0))</f>
        <v>20960.7212</v>
      </c>
      <c r="R370" s="7"/>
      <c r="S370" s="7"/>
      <c r="T370" s="7"/>
      <c r="U370" s="7"/>
      <c r="V370" s="7"/>
      <c r="W370" s="7"/>
      <c r="X370" s="7"/>
      <c r="Y370" s="7"/>
      <c r="Z370" s="7"/>
    </row>
    <row r="371" spans="1:26" ht="8.25" customHeight="1" x14ac:dyDescent="0.2">
      <c r="A371" s="534"/>
      <c r="B371" s="534"/>
      <c r="C371" s="34" t="s">
        <v>37</v>
      </c>
      <c r="D371" s="35">
        <v>12</v>
      </c>
      <c r="E371" s="36">
        <v>19492314</v>
      </c>
      <c r="F371" s="36">
        <v>1908000</v>
      </c>
      <c r="G371" s="36">
        <v>0</v>
      </c>
      <c r="H371" s="36">
        <v>12507588</v>
      </c>
      <c r="I371" s="36">
        <v>0</v>
      </c>
      <c r="J371" s="37">
        <v>2825657</v>
      </c>
      <c r="K371" s="36">
        <v>33907902</v>
      </c>
      <c r="L371" s="38">
        <v>36733559</v>
      </c>
      <c r="M371" s="39"/>
      <c r="N371" s="36">
        <v>33907902</v>
      </c>
      <c r="O371" s="36">
        <v>21400314</v>
      </c>
      <c r="P371" s="36">
        <v>0</v>
      </c>
      <c r="Q371" s="36">
        <f>Q370*1936.27</f>
        <v>40585615.637924001</v>
      </c>
      <c r="R371" s="7"/>
      <c r="S371" s="7"/>
      <c r="T371" s="7"/>
      <c r="U371" s="7"/>
      <c r="V371" s="7"/>
      <c r="W371" s="7"/>
      <c r="X371" s="7"/>
      <c r="Y371" s="7"/>
      <c r="Z371" s="7"/>
    </row>
    <row r="372" spans="1:26" ht="12.75" customHeight="1" x14ac:dyDescent="0.2">
      <c r="A372" s="534"/>
      <c r="B372" s="534"/>
      <c r="C372" s="40" t="s">
        <v>36</v>
      </c>
      <c r="D372" s="41">
        <v>13</v>
      </c>
      <c r="E372" s="42">
        <v>10550.34</v>
      </c>
      <c r="F372" s="42">
        <v>1034.98</v>
      </c>
      <c r="G372" s="42">
        <v>0</v>
      </c>
      <c r="H372" s="42">
        <v>6459.63</v>
      </c>
      <c r="I372" s="42">
        <v>0</v>
      </c>
      <c r="J372" s="42">
        <v>1503.75</v>
      </c>
      <c r="K372" s="43">
        <v>18044.95</v>
      </c>
      <c r="L372" s="32">
        <v>19548.7</v>
      </c>
      <c r="M372" s="33"/>
      <c r="N372" s="30">
        <v>18044.95</v>
      </c>
      <c r="O372" s="30">
        <v>11585.32</v>
      </c>
      <c r="P372" s="30"/>
      <c r="Q372" s="30">
        <f>(N372+O372*0.18+J372)+(IF((P372-O372*0.18)&gt;0,(P372-O372*0.18),0))</f>
        <v>21634.0576</v>
      </c>
      <c r="R372" s="7"/>
      <c r="S372" s="7"/>
      <c r="T372" s="7"/>
      <c r="U372" s="7"/>
      <c r="V372" s="7"/>
      <c r="W372" s="7"/>
      <c r="X372" s="7"/>
      <c r="Y372" s="7"/>
      <c r="Z372" s="7"/>
    </row>
    <row r="373" spans="1:26" ht="7.5" customHeight="1" x14ac:dyDescent="0.2">
      <c r="A373" s="534"/>
      <c r="B373" s="534"/>
      <c r="C373" s="34" t="s">
        <v>37</v>
      </c>
      <c r="D373" s="35">
        <v>14</v>
      </c>
      <c r="E373" s="36">
        <v>20428307</v>
      </c>
      <c r="F373" s="36">
        <v>2004001</v>
      </c>
      <c r="G373" s="36">
        <v>0</v>
      </c>
      <c r="H373" s="36">
        <v>12507588</v>
      </c>
      <c r="I373" s="36">
        <v>0</v>
      </c>
      <c r="J373" s="37">
        <v>2911666</v>
      </c>
      <c r="K373" s="36">
        <v>34939895</v>
      </c>
      <c r="L373" s="38">
        <v>37851561</v>
      </c>
      <c r="M373" s="39"/>
      <c r="N373" s="36">
        <v>34939895</v>
      </c>
      <c r="O373" s="36">
        <v>22432308</v>
      </c>
      <c r="P373" s="36">
        <v>0</v>
      </c>
      <c r="Q373" s="36">
        <f>Q372*1936.27</f>
        <v>41889376.709151998</v>
      </c>
      <c r="R373" s="7"/>
      <c r="S373" s="7"/>
      <c r="T373" s="7"/>
      <c r="U373" s="7"/>
      <c r="V373" s="7"/>
      <c r="W373" s="7"/>
      <c r="X373" s="7"/>
      <c r="Y373" s="7"/>
      <c r="Z373" s="7"/>
    </row>
    <row r="374" spans="1:26" ht="12.75" customHeight="1" x14ac:dyDescent="0.2">
      <c r="A374" s="534"/>
      <c r="B374" s="534"/>
      <c r="C374" s="40" t="s">
        <v>36</v>
      </c>
      <c r="D374" s="41">
        <v>15</v>
      </c>
      <c r="E374" s="42">
        <v>11121.62</v>
      </c>
      <c r="F374" s="42">
        <v>1090.76</v>
      </c>
      <c r="G374" s="42">
        <v>0</v>
      </c>
      <c r="H374" s="42">
        <v>6459.63</v>
      </c>
      <c r="I374" s="42">
        <v>0</v>
      </c>
      <c r="J374" s="42">
        <v>1556</v>
      </c>
      <c r="K374" s="43">
        <v>18672.009999999998</v>
      </c>
      <c r="L374" s="32">
        <v>20228.009999999998</v>
      </c>
      <c r="M374" s="33"/>
      <c r="N374" s="30">
        <v>18672.009999999998</v>
      </c>
      <c r="O374" s="30">
        <v>12212.38</v>
      </c>
      <c r="P374" s="30"/>
      <c r="Q374" s="30">
        <f>(N374+O374*0.18+J374)+(IF((P374-O374*0.18)&gt;0,(P374-O374*0.18),0))</f>
        <v>22426.238399999998</v>
      </c>
      <c r="R374" s="7"/>
      <c r="S374" s="7"/>
      <c r="T374" s="7"/>
      <c r="U374" s="7"/>
      <c r="V374" s="7"/>
      <c r="W374" s="7"/>
      <c r="X374" s="7"/>
      <c r="Y374" s="7"/>
      <c r="Z374" s="7"/>
    </row>
    <row r="375" spans="1:26" ht="7.5" customHeight="1" x14ac:dyDescent="0.2">
      <c r="A375" s="534"/>
      <c r="B375" s="534"/>
      <c r="C375" s="34" t="s">
        <v>37</v>
      </c>
      <c r="D375" s="35">
        <v>16</v>
      </c>
      <c r="E375" s="36">
        <v>21534459</v>
      </c>
      <c r="F375" s="36">
        <v>2112006</v>
      </c>
      <c r="G375" s="36">
        <v>0</v>
      </c>
      <c r="H375" s="36">
        <v>12507588</v>
      </c>
      <c r="I375" s="36">
        <v>0</v>
      </c>
      <c r="J375" s="37">
        <v>3012836</v>
      </c>
      <c r="K375" s="36">
        <v>36154053</v>
      </c>
      <c r="L375" s="38">
        <v>39166889</v>
      </c>
      <c r="M375" s="39"/>
      <c r="N375" s="36">
        <v>36154053</v>
      </c>
      <c r="O375" s="36">
        <v>23646465</v>
      </c>
      <c r="P375" s="36">
        <v>0</v>
      </c>
      <c r="Q375" s="36">
        <f>Q374*1936.27</f>
        <v>43423252.626767993</v>
      </c>
      <c r="R375" s="7"/>
      <c r="S375" s="7"/>
      <c r="T375" s="7"/>
      <c r="U375" s="7"/>
      <c r="V375" s="7"/>
      <c r="W375" s="7"/>
      <c r="X375" s="7"/>
      <c r="Y375" s="7"/>
      <c r="Z375" s="7"/>
    </row>
    <row r="376" spans="1:26" ht="12.75" customHeight="1" x14ac:dyDescent="0.2">
      <c r="A376" s="534"/>
      <c r="B376" s="534"/>
      <c r="C376" s="40" t="s">
        <v>36</v>
      </c>
      <c r="D376" s="41">
        <v>17</v>
      </c>
      <c r="E376" s="42">
        <v>12218.58</v>
      </c>
      <c r="F376" s="42">
        <v>1214.71</v>
      </c>
      <c r="G376" s="42">
        <v>0</v>
      </c>
      <c r="H376" s="42">
        <v>6459.63</v>
      </c>
      <c r="I376" s="42">
        <v>0</v>
      </c>
      <c r="J376" s="42">
        <v>1657.74</v>
      </c>
      <c r="K376" s="43">
        <v>19892.919999999998</v>
      </c>
      <c r="L376" s="32">
        <v>21550.66</v>
      </c>
      <c r="M376" s="33"/>
      <c r="N376" s="30">
        <v>19892.919999999998</v>
      </c>
      <c r="O376" s="30">
        <v>13433.29</v>
      </c>
      <c r="P376" s="30"/>
      <c r="Q376" s="30">
        <f>(N376+O376*0.18+J376)+(IF((P376-O376*0.18)&gt;0,(P376-O376*0.18),0))</f>
        <v>23968.6522</v>
      </c>
      <c r="R376" s="7"/>
      <c r="S376" s="7"/>
      <c r="T376" s="7"/>
      <c r="U376" s="7"/>
      <c r="V376" s="7"/>
      <c r="W376" s="7"/>
      <c r="X376" s="7"/>
      <c r="Y376" s="7"/>
      <c r="Z376" s="7"/>
    </row>
    <row r="377" spans="1:26" ht="8.25" customHeight="1" x14ac:dyDescent="0.2">
      <c r="A377" s="534"/>
      <c r="B377" s="534"/>
      <c r="C377" s="34" t="s">
        <v>37</v>
      </c>
      <c r="D377" s="35">
        <v>17</v>
      </c>
      <c r="E377" s="36">
        <v>23658470</v>
      </c>
      <c r="F377" s="36">
        <v>2352007</v>
      </c>
      <c r="G377" s="36">
        <v>0</v>
      </c>
      <c r="H377" s="36">
        <v>12507588</v>
      </c>
      <c r="I377" s="36">
        <v>0</v>
      </c>
      <c r="J377" s="37">
        <v>3209832</v>
      </c>
      <c r="K377" s="36">
        <v>38518064</v>
      </c>
      <c r="L377" s="38">
        <v>41727896</v>
      </c>
      <c r="M377" s="39"/>
      <c r="N377" s="36">
        <v>38518064</v>
      </c>
      <c r="O377" s="36">
        <v>26010476</v>
      </c>
      <c r="P377" s="36">
        <v>0</v>
      </c>
      <c r="Q377" s="36">
        <f>Q376*1936.27</f>
        <v>46409782.195294</v>
      </c>
      <c r="R377" s="7"/>
      <c r="S377" s="7"/>
      <c r="T377" s="7"/>
      <c r="U377" s="7"/>
      <c r="V377" s="7"/>
      <c r="W377" s="7"/>
      <c r="X377" s="7"/>
      <c r="Y377" s="7"/>
      <c r="Z377" s="7"/>
    </row>
    <row r="378" spans="1:26" ht="12.75" customHeight="1" x14ac:dyDescent="0.2">
      <c r="A378" s="534"/>
      <c r="B378" s="534"/>
      <c r="C378" s="40" t="s">
        <v>36</v>
      </c>
      <c r="D378" s="41">
        <v>18</v>
      </c>
      <c r="E378" s="42">
        <v>12528.45</v>
      </c>
      <c r="F378" s="42">
        <v>1245.69</v>
      </c>
      <c r="G378" s="42">
        <v>0</v>
      </c>
      <c r="H378" s="42">
        <v>6459.63</v>
      </c>
      <c r="I378" s="42">
        <v>0</v>
      </c>
      <c r="J378" s="42">
        <v>1686.15</v>
      </c>
      <c r="K378" s="43">
        <v>20233.77</v>
      </c>
      <c r="L378" s="32">
        <v>21919.919999999998</v>
      </c>
      <c r="M378" s="33"/>
      <c r="N378" s="30">
        <v>20233.77</v>
      </c>
      <c r="O378" s="30">
        <v>13774.14</v>
      </c>
      <c r="P378" s="30"/>
      <c r="Q378" s="30">
        <f>(N378+O378*0.18+J378)+(IF((P378-O378*0.18)&gt;0,(P378-O378*0.18),0))</f>
        <v>24399.265200000002</v>
      </c>
      <c r="R378" s="7"/>
      <c r="S378" s="7"/>
      <c r="T378" s="7"/>
      <c r="U378" s="7"/>
      <c r="V378" s="7"/>
      <c r="W378" s="7"/>
      <c r="X378" s="7"/>
      <c r="Y378" s="7"/>
      <c r="Z378" s="7"/>
    </row>
    <row r="379" spans="1:26" ht="7.5" customHeight="1" x14ac:dyDescent="0.2">
      <c r="A379" s="534"/>
      <c r="B379" s="534"/>
      <c r="C379" s="34" t="s">
        <v>37</v>
      </c>
      <c r="D379" s="35">
        <v>19</v>
      </c>
      <c r="E379" s="36">
        <v>24258462</v>
      </c>
      <c r="F379" s="36">
        <v>2411992</v>
      </c>
      <c r="G379" s="36">
        <v>0</v>
      </c>
      <c r="H379" s="36">
        <v>12507588</v>
      </c>
      <c r="I379" s="36">
        <v>0</v>
      </c>
      <c r="J379" s="37">
        <v>3264842</v>
      </c>
      <c r="K379" s="36">
        <v>39178042</v>
      </c>
      <c r="L379" s="38">
        <v>42442883</v>
      </c>
      <c r="M379" s="39"/>
      <c r="N379" s="36">
        <v>39178042</v>
      </c>
      <c r="O379" s="36">
        <v>26670454</v>
      </c>
      <c r="P379" s="36">
        <v>0</v>
      </c>
      <c r="Q379" s="36">
        <f>Q378*1936.27</f>
        <v>47243565.228804</v>
      </c>
      <c r="R379" s="7"/>
      <c r="S379" s="7"/>
      <c r="T379" s="7"/>
      <c r="U379" s="7"/>
      <c r="V379" s="7"/>
      <c r="W379" s="7"/>
      <c r="X379" s="7"/>
      <c r="Y379" s="7"/>
      <c r="Z379" s="7"/>
    </row>
    <row r="380" spans="1:26" ht="12.75" customHeight="1" x14ac:dyDescent="0.2">
      <c r="A380" s="534"/>
      <c r="B380" s="534"/>
      <c r="C380" s="40" t="s">
        <v>36</v>
      </c>
      <c r="D380" s="41">
        <v>20</v>
      </c>
      <c r="E380" s="42">
        <v>12912.7</v>
      </c>
      <c r="F380" s="42">
        <v>1289.08</v>
      </c>
      <c r="G380" s="42">
        <v>0</v>
      </c>
      <c r="H380" s="42">
        <v>6459.63</v>
      </c>
      <c r="I380" s="42">
        <v>0</v>
      </c>
      <c r="J380" s="42">
        <v>1721.78</v>
      </c>
      <c r="K380" s="43">
        <v>20661.41</v>
      </c>
      <c r="L380" s="32">
        <v>22383.19</v>
      </c>
      <c r="M380" s="33"/>
      <c r="N380" s="30">
        <v>20661.41</v>
      </c>
      <c r="O380" s="30">
        <v>14201.78</v>
      </c>
      <c r="P380" s="30"/>
      <c r="Q380" s="30">
        <f>(N380+O380*0.18+J380)+(IF((P380-O380*0.18)&gt;0,(P380-O380*0.18),0))</f>
        <v>24939.510399999999</v>
      </c>
      <c r="R380" s="7"/>
      <c r="S380" s="7"/>
      <c r="T380" s="7"/>
      <c r="U380" s="7"/>
      <c r="V380" s="7"/>
      <c r="W380" s="7"/>
      <c r="X380" s="7"/>
      <c r="Y380" s="7"/>
      <c r="Z380" s="7"/>
    </row>
    <row r="381" spans="1:26" ht="6.75" customHeight="1" x14ac:dyDescent="0.2">
      <c r="A381" s="534"/>
      <c r="B381" s="534"/>
      <c r="C381" s="34" t="s">
        <v>37</v>
      </c>
      <c r="D381" s="35">
        <v>21</v>
      </c>
      <c r="E381" s="36">
        <v>25002474</v>
      </c>
      <c r="F381" s="36">
        <v>2496007</v>
      </c>
      <c r="G381" s="36">
        <v>0</v>
      </c>
      <c r="H381" s="36">
        <v>12507588</v>
      </c>
      <c r="I381" s="36">
        <v>0</v>
      </c>
      <c r="J381" s="37">
        <v>3333831</v>
      </c>
      <c r="K381" s="36">
        <v>40006068</v>
      </c>
      <c r="L381" s="38">
        <v>43339899</v>
      </c>
      <c r="M381" s="39"/>
      <c r="N381" s="36">
        <v>40006068</v>
      </c>
      <c r="O381" s="36">
        <v>27498481</v>
      </c>
      <c r="P381" s="36">
        <v>0</v>
      </c>
      <c r="Q381" s="36">
        <f>Q380*1936.27</f>
        <v>48289625.802207999</v>
      </c>
      <c r="R381" s="7"/>
      <c r="S381" s="7"/>
      <c r="T381" s="7"/>
      <c r="U381" s="7"/>
      <c r="V381" s="7"/>
      <c r="W381" s="7"/>
      <c r="X381" s="7"/>
      <c r="Y381" s="7"/>
      <c r="Z381" s="7"/>
    </row>
    <row r="382" spans="1:26" ht="12.75" customHeight="1" x14ac:dyDescent="0.2">
      <c r="A382" s="534"/>
      <c r="B382" s="534"/>
      <c r="C382" s="40" t="s">
        <v>36</v>
      </c>
      <c r="D382" s="41">
        <v>22</v>
      </c>
      <c r="E382" s="42">
        <v>13279.96</v>
      </c>
      <c r="F382" s="42">
        <v>1313.87</v>
      </c>
      <c r="G382" s="42">
        <v>0</v>
      </c>
      <c r="H382" s="42">
        <v>6459.63</v>
      </c>
      <c r="I382" s="42">
        <v>0</v>
      </c>
      <c r="J382" s="42">
        <v>1754.46</v>
      </c>
      <c r="K382" s="43">
        <v>21053.46</v>
      </c>
      <c r="L382" s="32">
        <v>22807.919999999998</v>
      </c>
      <c r="M382" s="33"/>
      <c r="N382" s="30">
        <v>21053.46</v>
      </c>
      <c r="O382" s="30">
        <v>14593.83</v>
      </c>
      <c r="P382" s="30"/>
      <c r="Q382" s="30">
        <f>(N382+O382*0.18+J382)+(IF((P382-O382*0.18)&gt;0,(P382-O382*0.18),0))</f>
        <v>25434.809399999998</v>
      </c>
      <c r="R382" s="7"/>
      <c r="S382" s="7"/>
      <c r="T382" s="7"/>
      <c r="U382" s="7"/>
      <c r="V382" s="7"/>
      <c r="W382" s="7"/>
      <c r="X382" s="7"/>
      <c r="Y382" s="7"/>
      <c r="Z382" s="7"/>
    </row>
    <row r="383" spans="1:26" ht="8.25" customHeight="1" x14ac:dyDescent="0.2">
      <c r="A383" s="534"/>
      <c r="B383" s="534"/>
      <c r="C383" s="34" t="s">
        <v>37</v>
      </c>
      <c r="D383" s="35">
        <v>23</v>
      </c>
      <c r="E383" s="36">
        <v>25713588</v>
      </c>
      <c r="F383" s="36">
        <v>2544007</v>
      </c>
      <c r="G383" s="36">
        <v>0</v>
      </c>
      <c r="H383" s="36">
        <v>12507588</v>
      </c>
      <c r="I383" s="36">
        <v>0</v>
      </c>
      <c r="J383" s="37">
        <v>3397108</v>
      </c>
      <c r="K383" s="36">
        <v>40765183</v>
      </c>
      <c r="L383" s="38">
        <v>44162291</v>
      </c>
      <c r="M383" s="39"/>
      <c r="N383" s="36">
        <v>40765183</v>
      </c>
      <c r="O383" s="36">
        <v>28257595</v>
      </c>
      <c r="P383" s="36">
        <v>0</v>
      </c>
      <c r="Q383" s="36">
        <f>Q382*1936.27</f>
        <v>49248658.396937996</v>
      </c>
      <c r="R383" s="7"/>
      <c r="S383" s="7"/>
      <c r="T383" s="7"/>
      <c r="U383" s="7"/>
      <c r="V383" s="7"/>
      <c r="W383" s="7"/>
      <c r="X383" s="7"/>
      <c r="Y383" s="7"/>
      <c r="Z383" s="7"/>
    </row>
    <row r="384" spans="1:26" ht="12.75" customHeight="1" x14ac:dyDescent="0.2">
      <c r="A384" s="534"/>
      <c r="B384" s="534"/>
      <c r="C384" s="40" t="s">
        <v>36</v>
      </c>
      <c r="D384" s="41">
        <v>24</v>
      </c>
      <c r="E384" s="42">
        <v>13596.03</v>
      </c>
      <c r="F384" s="42">
        <v>1351.05</v>
      </c>
      <c r="G384" s="42">
        <v>0</v>
      </c>
      <c r="H384" s="42">
        <v>6459.63</v>
      </c>
      <c r="I384" s="42">
        <v>0</v>
      </c>
      <c r="J384" s="42">
        <v>1783.89</v>
      </c>
      <c r="K384" s="43">
        <v>21406.71</v>
      </c>
      <c r="L384" s="32">
        <v>23190.6</v>
      </c>
      <c r="M384" s="33"/>
      <c r="N384" s="30">
        <v>21406.71</v>
      </c>
      <c r="O384" s="30">
        <v>14947.08</v>
      </c>
      <c r="P384" s="30"/>
      <c r="Q384" s="30">
        <f>(N384+O384*0.18+J384)+(IF((P384-O384*0.18)&gt;0,(P384-O384*0.18),0))</f>
        <v>25881.074399999998</v>
      </c>
      <c r="R384" s="7"/>
      <c r="S384" s="7"/>
      <c r="T384" s="7"/>
      <c r="U384" s="7"/>
      <c r="V384" s="7"/>
      <c r="W384" s="7"/>
      <c r="X384" s="7"/>
      <c r="Y384" s="7"/>
      <c r="Z384" s="7"/>
    </row>
    <row r="385" spans="1:26" ht="7.5" customHeight="1" x14ac:dyDescent="0.2">
      <c r="A385" s="534"/>
      <c r="B385" s="534"/>
      <c r="C385" s="34" t="s">
        <v>37</v>
      </c>
      <c r="D385" s="35">
        <v>25</v>
      </c>
      <c r="E385" s="36">
        <v>26325585</v>
      </c>
      <c r="F385" s="36">
        <v>2615998</v>
      </c>
      <c r="G385" s="36">
        <v>0</v>
      </c>
      <c r="H385" s="36">
        <v>12507588</v>
      </c>
      <c r="I385" s="36">
        <v>0</v>
      </c>
      <c r="J385" s="37">
        <v>3454093</v>
      </c>
      <c r="K385" s="36">
        <v>41449170</v>
      </c>
      <c r="L385" s="38">
        <v>44903263</v>
      </c>
      <c r="M385" s="39"/>
      <c r="N385" s="36">
        <v>41449170</v>
      </c>
      <c r="O385" s="36">
        <v>28941583</v>
      </c>
      <c r="P385" s="36">
        <v>0</v>
      </c>
      <c r="Q385" s="36">
        <f>Q384*1936.27</f>
        <v>50112747.928487994</v>
      </c>
      <c r="R385" s="7"/>
      <c r="S385" s="7"/>
      <c r="T385" s="7"/>
      <c r="U385" s="7"/>
      <c r="V385" s="7"/>
      <c r="W385" s="7"/>
      <c r="X385" s="7"/>
      <c r="Y385" s="7"/>
      <c r="Z385" s="7"/>
    </row>
    <row r="386" spans="1:26" ht="12.75" customHeight="1" x14ac:dyDescent="0.2">
      <c r="A386" s="534"/>
      <c r="B386" s="534"/>
      <c r="C386" s="40" t="s">
        <v>36</v>
      </c>
      <c r="D386" s="41">
        <v>26</v>
      </c>
      <c r="E386" s="42">
        <v>13905.91</v>
      </c>
      <c r="F386" s="42">
        <v>1382.04</v>
      </c>
      <c r="G386" s="42">
        <v>0</v>
      </c>
      <c r="H386" s="42">
        <v>6459.63</v>
      </c>
      <c r="I386" s="42">
        <v>0</v>
      </c>
      <c r="J386" s="42">
        <v>1812.3</v>
      </c>
      <c r="K386" s="43">
        <v>21747.58</v>
      </c>
      <c r="L386" s="32">
        <v>23559.88</v>
      </c>
      <c r="M386" s="33"/>
      <c r="N386" s="30">
        <v>21747.58</v>
      </c>
      <c r="O386" s="30">
        <v>15287.95</v>
      </c>
      <c r="P386" s="30"/>
      <c r="Q386" s="30">
        <f>(N386+O386*0.18+J386)+(IF((P386-O386*0.18)&gt;0,(P386-O386*0.18),0))</f>
        <v>26311.710999999999</v>
      </c>
      <c r="R386" s="7"/>
      <c r="S386" s="7"/>
      <c r="T386" s="7"/>
      <c r="U386" s="7"/>
      <c r="V386" s="7"/>
      <c r="W386" s="7"/>
      <c r="X386" s="7"/>
      <c r="Y386" s="7"/>
      <c r="Z386" s="7"/>
    </row>
    <row r="387" spans="1:26" ht="8.25" customHeight="1" x14ac:dyDescent="0.2">
      <c r="A387" s="534"/>
      <c r="B387" s="534"/>
      <c r="C387" s="34" t="s">
        <v>37</v>
      </c>
      <c r="D387" s="35">
        <v>27</v>
      </c>
      <c r="E387" s="36">
        <v>26925596</v>
      </c>
      <c r="F387" s="36">
        <v>2676003</v>
      </c>
      <c r="G387" s="36">
        <v>0</v>
      </c>
      <c r="H387" s="36">
        <v>12507588</v>
      </c>
      <c r="I387" s="36">
        <v>0</v>
      </c>
      <c r="J387" s="37">
        <v>3509102</v>
      </c>
      <c r="K387" s="36">
        <v>42109187</v>
      </c>
      <c r="L387" s="38">
        <v>45618289</v>
      </c>
      <c r="M387" s="39"/>
      <c r="N387" s="36">
        <v>42109187</v>
      </c>
      <c r="O387" s="36">
        <v>29601599</v>
      </c>
      <c r="P387" s="36">
        <v>0</v>
      </c>
      <c r="Q387" s="36">
        <f>Q386*1936.27</f>
        <v>50946576.657969996</v>
      </c>
      <c r="R387" s="7"/>
      <c r="S387" s="7"/>
      <c r="T387" s="7"/>
      <c r="U387" s="7"/>
      <c r="V387" s="7"/>
      <c r="W387" s="7"/>
      <c r="X387" s="7"/>
      <c r="Y387" s="7"/>
      <c r="Z387" s="7"/>
    </row>
    <row r="388" spans="1:26" ht="12.75" customHeight="1" x14ac:dyDescent="0.2">
      <c r="A388" s="534"/>
      <c r="B388" s="534"/>
      <c r="C388" s="40" t="s">
        <v>36</v>
      </c>
      <c r="D388" s="41">
        <v>28</v>
      </c>
      <c r="E388" s="42">
        <v>14288.04</v>
      </c>
      <c r="F388" s="42">
        <v>1419.22</v>
      </c>
      <c r="G388" s="42">
        <v>0</v>
      </c>
      <c r="H388" s="42">
        <v>6459.63</v>
      </c>
      <c r="I388" s="42">
        <v>0</v>
      </c>
      <c r="J388" s="42">
        <v>1847.24</v>
      </c>
      <c r="K388" s="43">
        <v>22166.89</v>
      </c>
      <c r="L388" s="32">
        <v>24014.13</v>
      </c>
      <c r="M388" s="33"/>
      <c r="N388" s="30">
        <v>22166.89</v>
      </c>
      <c r="O388" s="30">
        <v>15707.26</v>
      </c>
      <c r="P388" s="30"/>
      <c r="Q388" s="30">
        <f>(N388+O388*0.18+J388)+(IF((P388-O388*0.18)&gt;0,(P388-O388*0.18),0))</f>
        <v>26841.436799999999</v>
      </c>
      <c r="R388" s="7"/>
      <c r="S388" s="7"/>
      <c r="T388" s="7"/>
      <c r="U388" s="7"/>
      <c r="V388" s="7"/>
      <c r="W388" s="7"/>
      <c r="X388" s="7"/>
      <c r="Y388" s="7"/>
      <c r="Z388" s="7"/>
    </row>
    <row r="389" spans="1:26" ht="9" customHeight="1" x14ac:dyDescent="0.2">
      <c r="A389" s="534"/>
      <c r="B389" s="534"/>
      <c r="C389" s="34" t="s">
        <v>37</v>
      </c>
      <c r="D389" s="35">
        <v>29</v>
      </c>
      <c r="E389" s="36">
        <v>27665503</v>
      </c>
      <c r="F389" s="36">
        <v>2747993</v>
      </c>
      <c r="G389" s="36">
        <v>0</v>
      </c>
      <c r="H389" s="36">
        <v>12507588</v>
      </c>
      <c r="I389" s="36">
        <v>0</v>
      </c>
      <c r="J389" s="37">
        <v>3576755</v>
      </c>
      <c r="K389" s="36">
        <v>42921084</v>
      </c>
      <c r="L389" s="38">
        <v>46497839</v>
      </c>
      <c r="M389" s="39"/>
      <c r="N389" s="36">
        <v>42921084</v>
      </c>
      <c r="O389" s="36">
        <v>30413496</v>
      </c>
      <c r="P389" s="36">
        <v>0</v>
      </c>
      <c r="Q389" s="36">
        <f>Q388*1936.27</f>
        <v>51972268.832736</v>
      </c>
      <c r="R389" s="7"/>
      <c r="S389" s="7"/>
      <c r="T389" s="7"/>
      <c r="U389" s="7"/>
      <c r="V389" s="7"/>
      <c r="W389" s="7"/>
      <c r="X389" s="7"/>
      <c r="Y389" s="7"/>
      <c r="Z389" s="7"/>
    </row>
    <row r="390" spans="1:26" ht="12.75" customHeight="1" x14ac:dyDescent="0.2">
      <c r="A390" s="534"/>
      <c r="B390" s="534"/>
      <c r="C390" s="40" t="s">
        <v>36</v>
      </c>
      <c r="D390" s="41">
        <v>30</v>
      </c>
      <c r="E390" s="42">
        <v>14604.11</v>
      </c>
      <c r="F390" s="42">
        <v>1450.21</v>
      </c>
      <c r="G390" s="42">
        <v>0</v>
      </c>
      <c r="H390" s="42">
        <v>6459.63</v>
      </c>
      <c r="I390" s="42">
        <v>0</v>
      </c>
      <c r="J390" s="42">
        <v>1876.16</v>
      </c>
      <c r="K390" s="43">
        <v>22513.95</v>
      </c>
      <c r="L390" s="32">
        <v>24390.11</v>
      </c>
      <c r="M390" s="33"/>
      <c r="N390" s="30">
        <v>22513.95</v>
      </c>
      <c r="O390" s="30">
        <v>16054.32</v>
      </c>
      <c r="P390" s="30"/>
      <c r="Q390" s="30">
        <f>(N390+O390*0.18+J390)+(IF((P390-O390*0.18)&gt;0,(P390-O390*0.18),0))</f>
        <v>27279.887600000002</v>
      </c>
      <c r="R390" s="7"/>
      <c r="S390" s="7"/>
      <c r="T390" s="7"/>
      <c r="U390" s="7"/>
      <c r="V390" s="7"/>
      <c r="W390" s="7"/>
      <c r="X390" s="7"/>
      <c r="Y390" s="7"/>
      <c r="Z390" s="7"/>
    </row>
    <row r="391" spans="1:26" ht="9" customHeight="1" x14ac:dyDescent="0.2">
      <c r="A391" s="534"/>
      <c r="B391" s="534"/>
      <c r="C391" s="34" t="s">
        <v>37</v>
      </c>
      <c r="D391" s="35">
        <v>31</v>
      </c>
      <c r="E391" s="36">
        <v>28277500</v>
      </c>
      <c r="F391" s="36">
        <v>2807998</v>
      </c>
      <c r="G391" s="36">
        <v>0</v>
      </c>
      <c r="H391" s="36">
        <v>12507588</v>
      </c>
      <c r="I391" s="36">
        <v>0</v>
      </c>
      <c r="J391" s="37">
        <v>3632752</v>
      </c>
      <c r="K391" s="36">
        <v>43593086</v>
      </c>
      <c r="L391" s="38">
        <v>47225838</v>
      </c>
      <c r="M391" s="39"/>
      <c r="N391" s="36">
        <v>43593086</v>
      </c>
      <c r="O391" s="36">
        <v>31085498</v>
      </c>
      <c r="P391" s="36">
        <v>0</v>
      </c>
      <c r="Q391" s="36">
        <f>Q390*1936.27</f>
        <v>52821227.963252001</v>
      </c>
      <c r="R391" s="7"/>
      <c r="S391" s="7"/>
      <c r="T391" s="7"/>
      <c r="U391" s="7"/>
      <c r="V391" s="7"/>
      <c r="W391" s="7"/>
      <c r="X391" s="7"/>
      <c r="Y391" s="7"/>
      <c r="Z391" s="7"/>
    </row>
    <row r="392" spans="1:26" ht="12.75" customHeight="1" x14ac:dyDescent="0.2">
      <c r="A392" s="534"/>
      <c r="B392" s="534"/>
      <c r="C392" s="40" t="s">
        <v>36</v>
      </c>
      <c r="D392" s="41">
        <v>32</v>
      </c>
      <c r="E392" s="42">
        <v>14913.99</v>
      </c>
      <c r="F392" s="42">
        <v>1487.4</v>
      </c>
      <c r="G392" s="42">
        <v>0</v>
      </c>
      <c r="H392" s="42">
        <v>6459.63</v>
      </c>
      <c r="I392" s="42">
        <v>0</v>
      </c>
      <c r="J392" s="42">
        <v>1905.09</v>
      </c>
      <c r="K392" s="43">
        <v>22861.02</v>
      </c>
      <c r="L392" s="32">
        <v>24766.11</v>
      </c>
      <c r="M392" s="33"/>
      <c r="N392" s="30">
        <v>22861.02</v>
      </c>
      <c r="O392" s="30">
        <v>16401.39</v>
      </c>
      <c r="P392" s="30"/>
      <c r="Q392" s="30">
        <f>(N392+O392*0.18+J392)+(IF((P392-O392*0.18)&gt;0,(P392-O392*0.18),0))</f>
        <v>27718.360199999999</v>
      </c>
      <c r="R392" s="7"/>
      <c r="S392" s="7"/>
      <c r="T392" s="7"/>
      <c r="U392" s="7"/>
      <c r="V392" s="7"/>
      <c r="W392" s="7"/>
      <c r="X392" s="7"/>
      <c r="Y392" s="7"/>
      <c r="Z392" s="7"/>
    </row>
    <row r="393" spans="1:26" ht="9" customHeight="1" x14ac:dyDescent="0.2">
      <c r="A393" s="534"/>
      <c r="B393" s="534"/>
      <c r="C393" s="34" t="s">
        <v>37</v>
      </c>
      <c r="D393" s="35">
        <v>33</v>
      </c>
      <c r="E393" s="36">
        <v>28877511</v>
      </c>
      <c r="F393" s="36">
        <v>2880008</v>
      </c>
      <c r="G393" s="36">
        <v>0</v>
      </c>
      <c r="H393" s="36">
        <v>12507588</v>
      </c>
      <c r="I393" s="36">
        <v>0</v>
      </c>
      <c r="J393" s="37">
        <v>3688769</v>
      </c>
      <c r="K393" s="36">
        <v>44265107</v>
      </c>
      <c r="L393" s="38">
        <v>47953876</v>
      </c>
      <c r="M393" s="39"/>
      <c r="N393" s="36">
        <v>44265107</v>
      </c>
      <c r="O393" s="36">
        <v>31757519</v>
      </c>
      <c r="P393" s="36">
        <v>0</v>
      </c>
      <c r="Q393" s="36">
        <f>Q392*1936.27</f>
        <v>53670229.304453999</v>
      </c>
      <c r="R393" s="7"/>
      <c r="S393" s="7"/>
      <c r="T393" s="7"/>
      <c r="U393" s="7"/>
      <c r="V393" s="7"/>
      <c r="W393" s="7"/>
      <c r="X393" s="7"/>
      <c r="Y393" s="7"/>
      <c r="Z393" s="7"/>
    </row>
    <row r="394" spans="1:26" ht="12.75" customHeight="1" x14ac:dyDescent="0.2">
      <c r="A394" s="534"/>
      <c r="B394" s="534"/>
      <c r="C394" s="40" t="s">
        <v>36</v>
      </c>
      <c r="D394" s="41">
        <v>34</v>
      </c>
      <c r="E394" s="42">
        <v>15230.06</v>
      </c>
      <c r="F394" s="42">
        <v>1518.38</v>
      </c>
      <c r="G394" s="42">
        <v>0</v>
      </c>
      <c r="H394" s="42">
        <v>6459.63</v>
      </c>
      <c r="I394" s="42">
        <v>0</v>
      </c>
      <c r="J394" s="42">
        <v>1934.01</v>
      </c>
      <c r="K394" s="43">
        <v>23208.07</v>
      </c>
      <c r="L394" s="32">
        <v>25142.080000000002</v>
      </c>
      <c r="M394" s="33"/>
      <c r="N394" s="30">
        <v>23208.07</v>
      </c>
      <c r="O394" s="30">
        <v>16748.439999999999</v>
      </c>
      <c r="P394" s="30"/>
      <c r="Q394" s="30">
        <f>(N394+O394*0.18+J394)+(IF((P394-O394*0.18)&gt;0,(P394-O394*0.18),0))</f>
        <v>28156.799199999998</v>
      </c>
      <c r="R394" s="7"/>
      <c r="S394" s="7"/>
      <c r="T394" s="7"/>
      <c r="U394" s="7"/>
      <c r="V394" s="7"/>
      <c r="W394" s="7"/>
      <c r="X394" s="7"/>
      <c r="Y394" s="7"/>
      <c r="Z394" s="7"/>
    </row>
    <row r="395" spans="1:26" ht="9" customHeight="1" x14ac:dyDescent="0.2">
      <c r="A395" s="534"/>
      <c r="B395" s="534"/>
      <c r="C395" s="34" t="s">
        <v>37</v>
      </c>
      <c r="D395" s="35">
        <v>35</v>
      </c>
      <c r="E395" s="36">
        <v>29489508</v>
      </c>
      <c r="F395" s="36">
        <v>2939994</v>
      </c>
      <c r="G395" s="36">
        <v>0</v>
      </c>
      <c r="H395" s="36">
        <v>12507588</v>
      </c>
      <c r="I395" s="36">
        <v>0</v>
      </c>
      <c r="J395" s="37">
        <v>3744766</v>
      </c>
      <c r="K395" s="36">
        <v>44937090</v>
      </c>
      <c r="L395" s="38">
        <v>48681855</v>
      </c>
      <c r="M395" s="39"/>
      <c r="N395" s="36">
        <v>44937090</v>
      </c>
      <c r="O395" s="36">
        <v>32429502</v>
      </c>
      <c r="P395" s="36">
        <v>0</v>
      </c>
      <c r="Q395" s="36">
        <f>Q394*1936.27</f>
        <v>54519165.586983994</v>
      </c>
      <c r="R395" s="7"/>
      <c r="S395" s="7"/>
      <c r="T395" s="7"/>
      <c r="U395" s="7"/>
      <c r="V395" s="7"/>
      <c r="W395" s="7"/>
      <c r="X395" s="7"/>
      <c r="Y395" s="7"/>
      <c r="Z395" s="7"/>
    </row>
    <row r="396" spans="1:26" ht="12.75" customHeight="1" x14ac:dyDescent="0.2">
      <c r="A396" s="534"/>
      <c r="B396" s="534"/>
      <c r="C396" s="40" t="s">
        <v>36</v>
      </c>
      <c r="D396" s="41">
        <v>36</v>
      </c>
      <c r="E396" s="42">
        <v>15602.4</v>
      </c>
      <c r="F396" s="42">
        <v>1555.57</v>
      </c>
      <c r="G396" s="42">
        <v>0</v>
      </c>
      <c r="H396" s="42">
        <v>6459.63</v>
      </c>
      <c r="I396" s="42">
        <v>0</v>
      </c>
      <c r="J396" s="42">
        <v>1968.13</v>
      </c>
      <c r="K396" s="43">
        <v>23617.599999999999</v>
      </c>
      <c r="L396" s="32">
        <v>25585.73</v>
      </c>
      <c r="M396" s="33"/>
      <c r="N396" s="30">
        <v>23617.599999999999</v>
      </c>
      <c r="O396" s="30">
        <v>17157.97</v>
      </c>
      <c r="P396" s="30"/>
      <c r="Q396" s="30">
        <f>(N396+O396*0.18+J396)+(IF((P396-O396*0.18)&gt;0,(P396-O396*0.18),0))</f>
        <v>28674.1646</v>
      </c>
      <c r="R396" s="7"/>
      <c r="S396" s="7"/>
      <c r="T396" s="7"/>
      <c r="U396" s="7"/>
      <c r="V396" s="7"/>
      <c r="W396" s="7"/>
      <c r="X396" s="7"/>
      <c r="Y396" s="7"/>
      <c r="Z396" s="7"/>
    </row>
    <row r="397" spans="1:26" ht="9" customHeight="1" x14ac:dyDescent="0.2">
      <c r="A397" s="534"/>
      <c r="B397" s="534"/>
      <c r="C397" s="34" t="s">
        <v>37</v>
      </c>
      <c r="D397" s="35">
        <v>37</v>
      </c>
      <c r="E397" s="36">
        <v>30210459</v>
      </c>
      <c r="F397" s="36">
        <v>3012004</v>
      </c>
      <c r="G397" s="36">
        <v>0</v>
      </c>
      <c r="H397" s="36">
        <v>12507588</v>
      </c>
      <c r="I397" s="36">
        <v>0</v>
      </c>
      <c r="J397" s="37">
        <v>3810831</v>
      </c>
      <c r="K397" s="36">
        <v>45730050</v>
      </c>
      <c r="L397" s="38">
        <v>49540881</v>
      </c>
      <c r="M397" s="39"/>
      <c r="N397" s="36">
        <v>45730050</v>
      </c>
      <c r="O397" s="36">
        <v>33222463</v>
      </c>
      <c r="P397" s="36">
        <v>0</v>
      </c>
      <c r="Q397" s="36">
        <f>Q396*1936.27</f>
        <v>55520924.690041997</v>
      </c>
      <c r="R397" s="7"/>
      <c r="S397" s="7"/>
      <c r="T397" s="7"/>
      <c r="U397" s="7"/>
      <c r="V397" s="7"/>
      <c r="W397" s="7"/>
      <c r="X397" s="7"/>
      <c r="Y397" s="7"/>
      <c r="Z397" s="7"/>
    </row>
    <row r="398" spans="1:26" ht="9" customHeight="1" x14ac:dyDescent="0.2">
      <c r="A398" s="534"/>
      <c r="B398" s="534"/>
      <c r="C398" s="44" t="s">
        <v>36</v>
      </c>
      <c r="D398" s="45">
        <v>38</v>
      </c>
      <c r="E398" s="42">
        <v>15912.28</v>
      </c>
      <c r="F398" s="42">
        <v>1586.56</v>
      </c>
      <c r="G398" s="42">
        <v>0</v>
      </c>
      <c r="H398" s="42">
        <v>6459.63</v>
      </c>
      <c r="I398" s="42">
        <v>0</v>
      </c>
      <c r="J398" s="42">
        <v>1996.54</v>
      </c>
      <c r="K398" s="43">
        <v>23958.47</v>
      </c>
      <c r="L398" s="32">
        <v>25955.01</v>
      </c>
      <c r="M398" s="33"/>
      <c r="N398" s="30">
        <v>23958.47</v>
      </c>
      <c r="O398" s="30">
        <v>17498.84</v>
      </c>
      <c r="P398" s="30"/>
      <c r="Q398" s="30">
        <f>(N398+O398*0.18+J398)+(IF((P398-O398*0.18)&gt;0,(P398-O398*0.18),0))</f>
        <v>29104.801200000002</v>
      </c>
      <c r="R398" s="7"/>
      <c r="S398" s="7"/>
      <c r="T398" s="7"/>
      <c r="U398" s="7"/>
      <c r="V398" s="7"/>
      <c r="W398" s="7"/>
      <c r="X398" s="7"/>
      <c r="Y398" s="7"/>
      <c r="Z398" s="7"/>
    </row>
    <row r="399" spans="1:26" ht="9" customHeight="1" x14ac:dyDescent="0.2">
      <c r="A399" s="534"/>
      <c r="B399" s="534"/>
      <c r="C399" s="44" t="s">
        <v>37</v>
      </c>
      <c r="D399" s="45">
        <v>39</v>
      </c>
      <c r="E399" s="36">
        <v>30810470</v>
      </c>
      <c r="F399" s="36">
        <v>3072009</v>
      </c>
      <c r="G399" s="36">
        <v>0</v>
      </c>
      <c r="H399" s="36">
        <v>12507588</v>
      </c>
      <c r="I399" s="36">
        <v>0</v>
      </c>
      <c r="J399" s="37">
        <v>3865841</v>
      </c>
      <c r="K399" s="36">
        <v>46390067</v>
      </c>
      <c r="L399" s="38">
        <v>50255907</v>
      </c>
      <c r="M399" s="39"/>
      <c r="N399" s="46">
        <v>46390067</v>
      </c>
      <c r="O399" s="46">
        <v>33882479</v>
      </c>
      <c r="P399" s="46">
        <v>0</v>
      </c>
      <c r="Q399" s="36">
        <f>Q398*1936.27</f>
        <v>56354753.419523999</v>
      </c>
      <c r="R399" s="7"/>
      <c r="S399" s="7"/>
      <c r="T399" s="7"/>
      <c r="U399" s="7"/>
      <c r="V399" s="7"/>
      <c r="W399" s="7"/>
      <c r="X399" s="7"/>
      <c r="Y399" s="7"/>
      <c r="Z399" s="7"/>
    </row>
    <row r="400" spans="1:26" ht="12.75" customHeight="1" x14ac:dyDescent="0.2">
      <c r="A400" s="534"/>
      <c r="B400" s="534"/>
      <c r="C400" s="40" t="s">
        <v>36</v>
      </c>
      <c r="D400" s="41">
        <v>40</v>
      </c>
      <c r="E400" s="42">
        <v>16222.15</v>
      </c>
      <c r="F400" s="42">
        <v>1623.74</v>
      </c>
      <c r="G400" s="42">
        <v>0</v>
      </c>
      <c r="H400" s="42">
        <v>6459.63</v>
      </c>
      <c r="I400" s="42">
        <v>0</v>
      </c>
      <c r="J400" s="42">
        <v>2025.46</v>
      </c>
      <c r="K400" s="43">
        <v>24305.52</v>
      </c>
      <c r="L400" s="32">
        <v>26330.98</v>
      </c>
      <c r="M400" s="33"/>
      <c r="N400" s="30">
        <v>24305.52</v>
      </c>
      <c r="O400" s="30">
        <v>17845.89</v>
      </c>
      <c r="P400" s="30"/>
      <c r="Q400" s="30">
        <f>(N400+O400*0.18+J400)+(IF((P400-O400*0.18)&gt;0,(P400-O400*0.18),0))</f>
        <v>29543.2402</v>
      </c>
      <c r="R400" s="7"/>
      <c r="S400" s="7"/>
      <c r="T400" s="7"/>
      <c r="U400" s="7"/>
      <c r="V400" s="7"/>
      <c r="W400" s="7"/>
      <c r="X400" s="7"/>
      <c r="Y400" s="7"/>
      <c r="Z400" s="7"/>
    </row>
    <row r="401" spans="1:26" ht="9" customHeight="1" x14ac:dyDescent="0.2">
      <c r="A401" s="535"/>
      <c r="B401" s="535"/>
      <c r="C401" s="47"/>
      <c r="D401" s="48"/>
      <c r="E401" s="46">
        <v>31410462</v>
      </c>
      <c r="F401" s="46">
        <v>3143999</v>
      </c>
      <c r="G401" s="46">
        <v>0</v>
      </c>
      <c r="H401" s="46">
        <v>12507588</v>
      </c>
      <c r="I401" s="46">
        <v>0</v>
      </c>
      <c r="J401" s="49">
        <v>3921837</v>
      </c>
      <c r="K401" s="46">
        <v>47062049</v>
      </c>
      <c r="L401" s="38">
        <v>50983887</v>
      </c>
      <c r="M401" s="39"/>
      <c r="N401" s="36">
        <v>47062049</v>
      </c>
      <c r="O401" s="36">
        <v>34554461</v>
      </c>
      <c r="P401" s="36">
        <v>0</v>
      </c>
      <c r="Q401" s="36">
        <f>Q400*1936.27</f>
        <v>57203689.702054001</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538">
        <v>35065</v>
      </c>
      <c r="B420" s="538">
        <v>35369</v>
      </c>
      <c r="C420" s="28" t="s">
        <v>36</v>
      </c>
      <c r="D420" s="29">
        <v>0</v>
      </c>
      <c r="E420" s="30">
        <v>8741.0300000000007</v>
      </c>
      <c r="F420" s="30">
        <v>0</v>
      </c>
      <c r="G420" s="30">
        <v>0</v>
      </c>
      <c r="H420" s="30">
        <v>6459.63</v>
      </c>
      <c r="I420" s="30">
        <v>0</v>
      </c>
      <c r="J420" s="30">
        <v>1266.72</v>
      </c>
      <c r="K420" s="31">
        <v>15200.66</v>
      </c>
      <c r="L420" s="32">
        <v>16467.38</v>
      </c>
      <c r="M420" s="33"/>
      <c r="N420" s="30">
        <v>15200.66</v>
      </c>
      <c r="O420" s="30">
        <v>8741.0300000000007</v>
      </c>
      <c r="P420" s="30"/>
      <c r="Q420" s="30">
        <f>(N420+O420*0.18+J420)+(IF((P420-O420*0.18)&gt;0,(P420-O420*0.18),0))</f>
        <v>18040.7654</v>
      </c>
      <c r="R420" s="7"/>
      <c r="S420" s="7"/>
      <c r="T420" s="7"/>
      <c r="U420" s="7"/>
      <c r="V420" s="7"/>
      <c r="W420" s="7"/>
      <c r="X420" s="7"/>
      <c r="Y420" s="7"/>
      <c r="Z420" s="7"/>
    </row>
    <row r="421" spans="1:26" ht="9" customHeight="1" x14ac:dyDescent="0.2">
      <c r="A421" s="534"/>
      <c r="B421" s="534"/>
      <c r="C421" s="34" t="s">
        <v>37</v>
      </c>
      <c r="D421" s="35">
        <v>2</v>
      </c>
      <c r="E421" s="36">
        <v>16924994</v>
      </c>
      <c r="F421" s="36">
        <v>0</v>
      </c>
      <c r="G421" s="36">
        <v>0</v>
      </c>
      <c r="H421" s="36">
        <v>12507588</v>
      </c>
      <c r="I421" s="36">
        <v>0</v>
      </c>
      <c r="J421" s="37">
        <v>2452712</v>
      </c>
      <c r="K421" s="36">
        <v>29432582</v>
      </c>
      <c r="L421" s="50">
        <v>31885294</v>
      </c>
      <c r="M421" s="39"/>
      <c r="N421" s="36">
        <v>29432582</v>
      </c>
      <c r="O421" s="36">
        <v>16924994</v>
      </c>
      <c r="P421" s="36">
        <v>0</v>
      </c>
      <c r="Q421" s="36">
        <f>Q420*1936.27</f>
        <v>34931792.821057998</v>
      </c>
      <c r="R421" s="7"/>
      <c r="S421" s="7"/>
      <c r="T421" s="7"/>
      <c r="U421" s="7"/>
      <c r="V421" s="7"/>
      <c r="W421" s="7"/>
      <c r="X421" s="7"/>
      <c r="Y421" s="7"/>
      <c r="Z421" s="7"/>
    </row>
    <row r="422" spans="1:26" ht="12.75" customHeight="1" x14ac:dyDescent="0.2">
      <c r="A422" s="539">
        <v>35065</v>
      </c>
      <c r="B422" s="539">
        <v>35369</v>
      </c>
      <c r="C422" s="40" t="s">
        <v>36</v>
      </c>
      <c r="D422" s="41">
        <v>3</v>
      </c>
      <c r="E422" s="42">
        <v>9600.42</v>
      </c>
      <c r="F422" s="42">
        <v>0</v>
      </c>
      <c r="G422" s="42">
        <v>0</v>
      </c>
      <c r="H422" s="42">
        <v>6459.63</v>
      </c>
      <c r="I422" s="42">
        <v>0</v>
      </c>
      <c r="J422" s="42">
        <v>1338.34</v>
      </c>
      <c r="K422" s="43">
        <v>16060.05</v>
      </c>
      <c r="L422" s="51">
        <v>17398.39</v>
      </c>
      <c r="M422" s="33"/>
      <c r="N422" s="30">
        <v>16060.05</v>
      </c>
      <c r="O422" s="30">
        <v>9600.42</v>
      </c>
      <c r="P422" s="30"/>
      <c r="Q422" s="30">
        <f>(N422+O422*0.18+J422)+(IF((P422-O422*0.18)&gt;0,(P422-O422*0.18),0))</f>
        <v>19126.4656</v>
      </c>
      <c r="R422" s="7"/>
      <c r="S422" s="7"/>
      <c r="T422" s="7"/>
      <c r="U422" s="7"/>
      <c r="V422" s="7"/>
      <c r="W422" s="7"/>
      <c r="X422" s="7"/>
      <c r="Y422" s="7"/>
      <c r="Z422" s="7"/>
    </row>
    <row r="423" spans="1:26" ht="9" customHeight="1" x14ac:dyDescent="0.2">
      <c r="A423" s="534"/>
      <c r="B423" s="534"/>
      <c r="C423" s="34" t="s">
        <v>37</v>
      </c>
      <c r="D423" s="35">
        <v>8</v>
      </c>
      <c r="E423" s="36">
        <v>18589005</v>
      </c>
      <c r="F423" s="36">
        <v>0</v>
      </c>
      <c r="G423" s="36">
        <v>0</v>
      </c>
      <c r="H423" s="36">
        <v>12507588</v>
      </c>
      <c r="I423" s="36">
        <v>0</v>
      </c>
      <c r="J423" s="37">
        <v>2591388</v>
      </c>
      <c r="K423" s="36">
        <v>31096593</v>
      </c>
      <c r="L423" s="50">
        <v>33687981</v>
      </c>
      <c r="M423" s="39"/>
      <c r="N423" s="36">
        <v>31096593</v>
      </c>
      <c r="O423" s="36">
        <v>18589005</v>
      </c>
      <c r="P423" s="36">
        <v>0</v>
      </c>
      <c r="Q423" s="36">
        <f>Q422*1936.27</f>
        <v>37034001.547311999</v>
      </c>
      <c r="R423" s="7"/>
      <c r="S423" s="7"/>
      <c r="T423" s="7"/>
      <c r="U423" s="7"/>
      <c r="V423" s="7"/>
      <c r="W423" s="7"/>
      <c r="X423" s="7"/>
      <c r="Y423" s="7"/>
      <c r="Z423" s="7"/>
    </row>
    <row r="424" spans="1:26" ht="12.75" customHeight="1" x14ac:dyDescent="0.2">
      <c r="A424" s="534"/>
      <c r="B424" s="534"/>
      <c r="C424" s="40" t="s">
        <v>36</v>
      </c>
      <c r="D424" s="41">
        <v>9</v>
      </c>
      <c r="E424" s="42">
        <v>10977.81</v>
      </c>
      <c r="F424" s="42">
        <v>0</v>
      </c>
      <c r="G424" s="42">
        <v>0</v>
      </c>
      <c r="H424" s="42">
        <v>6459.63</v>
      </c>
      <c r="I424" s="42">
        <v>0</v>
      </c>
      <c r="J424" s="42">
        <v>1453.12</v>
      </c>
      <c r="K424" s="43">
        <v>17437.439999999999</v>
      </c>
      <c r="L424" s="51">
        <v>18890.560000000001</v>
      </c>
      <c r="M424" s="33"/>
      <c r="N424" s="30">
        <v>17437.439999999999</v>
      </c>
      <c r="O424" s="30">
        <v>10977.81</v>
      </c>
      <c r="P424" s="30"/>
      <c r="Q424" s="30">
        <f>(N424+O424*0.18+J424)+(IF((P424-O424*0.18)&gt;0,(P424-O424*0.18),0))</f>
        <v>20866.565799999997</v>
      </c>
      <c r="R424" s="7"/>
      <c r="S424" s="7"/>
      <c r="T424" s="7"/>
      <c r="U424" s="7"/>
      <c r="V424" s="7"/>
      <c r="W424" s="7"/>
      <c r="X424" s="7"/>
      <c r="Y424" s="7"/>
      <c r="Z424" s="7"/>
    </row>
    <row r="425" spans="1:26" ht="9" customHeight="1" x14ac:dyDescent="0.2">
      <c r="A425" s="534"/>
      <c r="B425" s="534"/>
      <c r="C425" s="34" t="s">
        <v>37</v>
      </c>
      <c r="D425" s="35">
        <v>14</v>
      </c>
      <c r="E425" s="36">
        <v>21256004</v>
      </c>
      <c r="F425" s="36">
        <v>0</v>
      </c>
      <c r="G425" s="36">
        <v>0</v>
      </c>
      <c r="H425" s="36">
        <v>12507588</v>
      </c>
      <c r="I425" s="36">
        <v>0</v>
      </c>
      <c r="J425" s="37">
        <v>2813633</v>
      </c>
      <c r="K425" s="36">
        <v>33763592</v>
      </c>
      <c r="L425" s="50">
        <v>36577225</v>
      </c>
      <c r="M425" s="39"/>
      <c r="N425" s="36">
        <v>33763592</v>
      </c>
      <c r="O425" s="36">
        <v>21256004</v>
      </c>
      <c r="P425" s="36">
        <v>0</v>
      </c>
      <c r="Q425" s="36">
        <f>Q424*1936.27</f>
        <v>40403305.361565992</v>
      </c>
      <c r="R425" s="7"/>
      <c r="S425" s="7"/>
      <c r="T425" s="7"/>
      <c r="U425" s="7"/>
      <c r="V425" s="7"/>
      <c r="W425" s="7"/>
      <c r="X425" s="7"/>
      <c r="Y425" s="7"/>
      <c r="Z425" s="7"/>
    </row>
    <row r="426" spans="1:26" ht="12.75" customHeight="1" x14ac:dyDescent="0.2">
      <c r="A426" s="534"/>
      <c r="B426" s="534"/>
      <c r="C426" s="40" t="s">
        <v>36</v>
      </c>
      <c r="D426" s="41">
        <v>15</v>
      </c>
      <c r="E426" s="42">
        <v>12676.95</v>
      </c>
      <c r="F426" s="42">
        <v>0</v>
      </c>
      <c r="G426" s="42">
        <v>0</v>
      </c>
      <c r="H426" s="42">
        <v>6459.63</v>
      </c>
      <c r="I426" s="42">
        <v>0</v>
      </c>
      <c r="J426" s="42">
        <v>1594.72</v>
      </c>
      <c r="K426" s="43">
        <v>19136.580000000002</v>
      </c>
      <c r="L426" s="51">
        <v>20731.3</v>
      </c>
      <c r="M426" s="33"/>
      <c r="N426" s="30">
        <v>19136.580000000002</v>
      </c>
      <c r="O426" s="30">
        <v>12676.95</v>
      </c>
      <c r="P426" s="30"/>
      <c r="Q426" s="30">
        <f>(N426+O426*0.18+J426)+(IF((P426-O426*0.18)&gt;0,(P426-O426*0.18),0))</f>
        <v>23013.151000000002</v>
      </c>
      <c r="R426" s="7"/>
      <c r="S426" s="7"/>
      <c r="T426" s="7"/>
      <c r="U426" s="7"/>
      <c r="V426" s="7"/>
      <c r="W426" s="7"/>
      <c r="X426" s="7"/>
      <c r="Y426" s="7"/>
      <c r="Z426" s="7"/>
    </row>
    <row r="427" spans="1:26" ht="9" customHeight="1" x14ac:dyDescent="0.2">
      <c r="A427" s="534"/>
      <c r="B427" s="534"/>
      <c r="C427" s="34" t="s">
        <v>37</v>
      </c>
      <c r="D427" s="35">
        <v>20</v>
      </c>
      <c r="E427" s="36">
        <v>24545998</v>
      </c>
      <c r="F427" s="36">
        <v>0</v>
      </c>
      <c r="G427" s="36">
        <v>0</v>
      </c>
      <c r="H427" s="36">
        <v>12507588</v>
      </c>
      <c r="I427" s="36">
        <v>0</v>
      </c>
      <c r="J427" s="37">
        <v>3087808</v>
      </c>
      <c r="K427" s="36">
        <v>37053586</v>
      </c>
      <c r="L427" s="50">
        <v>40141394</v>
      </c>
      <c r="M427" s="39"/>
      <c r="N427" s="36">
        <v>37053586</v>
      </c>
      <c r="O427" s="36">
        <v>24545998</v>
      </c>
      <c r="P427" s="36">
        <v>0</v>
      </c>
      <c r="Q427" s="36">
        <f>Q426*1936.27</f>
        <v>44559673.886770003</v>
      </c>
      <c r="R427" s="7"/>
      <c r="S427" s="7"/>
      <c r="T427" s="7"/>
      <c r="U427" s="7"/>
      <c r="V427" s="7"/>
      <c r="W427" s="7"/>
      <c r="X427" s="7"/>
      <c r="Y427" s="7"/>
      <c r="Z427" s="7"/>
    </row>
    <row r="428" spans="1:26" ht="12.75" customHeight="1" x14ac:dyDescent="0.2">
      <c r="A428" s="534"/>
      <c r="B428" s="534"/>
      <c r="C428" s="40" t="s">
        <v>36</v>
      </c>
      <c r="D428" s="41">
        <v>21</v>
      </c>
      <c r="E428" s="42">
        <v>14841.94</v>
      </c>
      <c r="F428" s="42">
        <v>0</v>
      </c>
      <c r="G428" s="42">
        <v>0</v>
      </c>
      <c r="H428" s="42">
        <v>6459.63</v>
      </c>
      <c r="I428" s="42">
        <v>0</v>
      </c>
      <c r="J428" s="42">
        <v>1775.13</v>
      </c>
      <c r="K428" s="43">
        <v>21301.57</v>
      </c>
      <c r="L428" s="51">
        <v>23076.7</v>
      </c>
      <c r="M428" s="33"/>
      <c r="N428" s="30">
        <v>21301.57</v>
      </c>
      <c r="O428" s="30">
        <v>14841.94</v>
      </c>
      <c r="P428" s="30"/>
      <c r="Q428" s="30">
        <f>(N428+O428*0.18+J428)+(IF((P428-O428*0.18)&gt;0,(P428-O428*0.18),0))</f>
        <v>25748.249200000002</v>
      </c>
      <c r="R428" s="7"/>
      <c r="S428" s="7"/>
      <c r="T428" s="7"/>
      <c r="U428" s="7"/>
      <c r="V428" s="7"/>
      <c r="W428" s="7"/>
      <c r="X428" s="7"/>
      <c r="Y428" s="7"/>
      <c r="Z428" s="7"/>
    </row>
    <row r="429" spans="1:26" ht="9" customHeight="1" x14ac:dyDescent="0.2">
      <c r="A429" s="534"/>
      <c r="B429" s="534"/>
      <c r="C429" s="34" t="s">
        <v>37</v>
      </c>
      <c r="D429" s="35">
        <v>27</v>
      </c>
      <c r="E429" s="36">
        <v>28738003</v>
      </c>
      <c r="F429" s="36">
        <v>0</v>
      </c>
      <c r="G429" s="36">
        <v>0</v>
      </c>
      <c r="H429" s="36">
        <v>12507588</v>
      </c>
      <c r="I429" s="36">
        <v>0</v>
      </c>
      <c r="J429" s="37">
        <v>3437131</v>
      </c>
      <c r="K429" s="36">
        <v>41245591</v>
      </c>
      <c r="L429" s="50">
        <v>44682722</v>
      </c>
      <c r="M429" s="39"/>
      <c r="N429" s="36">
        <v>41245591</v>
      </c>
      <c r="O429" s="36">
        <v>28738003</v>
      </c>
      <c r="P429" s="36">
        <v>0</v>
      </c>
      <c r="Q429" s="36">
        <f>Q428*1936.27</f>
        <v>49855562.478484005</v>
      </c>
      <c r="R429" s="7"/>
      <c r="S429" s="7"/>
      <c r="T429" s="7"/>
      <c r="U429" s="7"/>
      <c r="V429" s="7"/>
      <c r="W429" s="7"/>
      <c r="X429" s="7"/>
      <c r="Y429" s="7"/>
      <c r="Z429" s="7"/>
    </row>
    <row r="430" spans="1:26" ht="12.75" customHeight="1" x14ac:dyDescent="0.2">
      <c r="A430" s="534"/>
      <c r="B430" s="534"/>
      <c r="C430" s="40" t="s">
        <v>36</v>
      </c>
      <c r="D430" s="41">
        <v>28</v>
      </c>
      <c r="E430" s="42">
        <v>16259.1</v>
      </c>
      <c r="F430" s="42">
        <v>0</v>
      </c>
      <c r="G430" s="42">
        <v>0</v>
      </c>
      <c r="H430" s="42">
        <v>6459.63</v>
      </c>
      <c r="I430" s="42">
        <v>0</v>
      </c>
      <c r="J430" s="42">
        <v>1893.23</v>
      </c>
      <c r="K430" s="43">
        <v>22718.73</v>
      </c>
      <c r="L430" s="51">
        <v>24611.96</v>
      </c>
      <c r="M430" s="33"/>
      <c r="N430" s="30">
        <v>22718.73</v>
      </c>
      <c r="O430" s="30">
        <v>16259.1</v>
      </c>
      <c r="P430" s="30"/>
      <c r="Q430" s="30">
        <f>(N430+O430*0.18+J430)+(IF((P430-O430*0.18)&gt;0,(P430-O430*0.18),0))</f>
        <v>27538.597999999998</v>
      </c>
      <c r="R430" s="7"/>
      <c r="S430" s="7"/>
      <c r="T430" s="7"/>
      <c r="U430" s="7"/>
      <c r="V430" s="7"/>
      <c r="W430" s="7"/>
      <c r="X430" s="7"/>
      <c r="Y430" s="7"/>
      <c r="Z430" s="7"/>
    </row>
    <row r="431" spans="1:26" ht="9" customHeight="1" x14ac:dyDescent="0.2">
      <c r="A431" s="534"/>
      <c r="B431" s="534"/>
      <c r="C431" s="34" t="s">
        <v>37</v>
      </c>
      <c r="D431" s="35">
        <v>34</v>
      </c>
      <c r="E431" s="36">
        <v>31482008</v>
      </c>
      <c r="F431" s="36">
        <v>0</v>
      </c>
      <c r="G431" s="36">
        <v>0</v>
      </c>
      <c r="H431" s="36">
        <v>12507588</v>
      </c>
      <c r="I431" s="36">
        <v>0</v>
      </c>
      <c r="J431" s="37">
        <v>3665804</v>
      </c>
      <c r="K431" s="36">
        <v>43989595</v>
      </c>
      <c r="L431" s="50">
        <v>47655400</v>
      </c>
      <c r="M431" s="39"/>
      <c r="N431" s="36">
        <v>43989595</v>
      </c>
      <c r="O431" s="36">
        <v>31482008</v>
      </c>
      <c r="P431" s="36">
        <v>0</v>
      </c>
      <c r="Q431" s="36">
        <f>Q430*1936.27</f>
        <v>53322161.149459995</v>
      </c>
      <c r="R431" s="7"/>
      <c r="S431" s="7"/>
      <c r="T431" s="7"/>
      <c r="U431" s="7"/>
      <c r="V431" s="7"/>
      <c r="W431" s="7"/>
      <c r="X431" s="7"/>
      <c r="Y431" s="7"/>
      <c r="Z431" s="7"/>
    </row>
    <row r="432" spans="1:26" ht="12.75" customHeight="1" x14ac:dyDescent="0.2">
      <c r="A432" s="534"/>
      <c r="B432" s="534"/>
      <c r="C432" s="40" t="s">
        <v>36</v>
      </c>
      <c r="D432" s="41">
        <v>35</v>
      </c>
      <c r="E432" s="42">
        <v>17393.240000000002</v>
      </c>
      <c r="F432" s="42">
        <v>0</v>
      </c>
      <c r="G432" s="42">
        <v>0</v>
      </c>
      <c r="H432" s="42">
        <v>6459.63</v>
      </c>
      <c r="I432" s="42">
        <v>0</v>
      </c>
      <c r="J432" s="42">
        <v>1987.74</v>
      </c>
      <c r="K432" s="43">
        <v>23852.87</v>
      </c>
      <c r="L432" s="51">
        <v>25840.61</v>
      </c>
      <c r="M432" s="33"/>
      <c r="N432" s="30">
        <v>23852.87</v>
      </c>
      <c r="O432" s="30">
        <v>17393.240000000002</v>
      </c>
      <c r="P432" s="30"/>
      <c r="Q432" s="30">
        <f>(N432+O432*0.18+J432)+(IF((P432-O432*0.18)&gt;0,(P432-O432*0.18),0))</f>
        <v>28971.393200000002</v>
      </c>
      <c r="R432" s="7"/>
      <c r="S432" s="7"/>
      <c r="T432" s="7"/>
      <c r="U432" s="7"/>
      <c r="V432" s="7"/>
      <c r="W432" s="7"/>
      <c r="X432" s="7"/>
      <c r="Y432" s="7"/>
      <c r="Z432" s="7"/>
    </row>
    <row r="433" spans="1:26" ht="9" customHeight="1" x14ac:dyDescent="0.2">
      <c r="A433" s="535"/>
      <c r="B433" s="535"/>
      <c r="C433" s="47" t="s">
        <v>37</v>
      </c>
      <c r="D433" s="48"/>
      <c r="E433" s="46">
        <v>33678009</v>
      </c>
      <c r="F433" s="46">
        <v>0</v>
      </c>
      <c r="G433" s="46">
        <v>0</v>
      </c>
      <c r="H433" s="46">
        <v>12507588</v>
      </c>
      <c r="I433" s="46">
        <v>0</v>
      </c>
      <c r="J433" s="49">
        <v>3848801</v>
      </c>
      <c r="K433" s="46">
        <v>46185597</v>
      </c>
      <c r="L433" s="52">
        <v>50034398</v>
      </c>
      <c r="M433" s="39"/>
      <c r="N433" s="36">
        <v>46185597</v>
      </c>
      <c r="O433" s="36">
        <v>33678009</v>
      </c>
      <c r="P433" s="36">
        <v>0</v>
      </c>
      <c r="Q433" s="36">
        <f>Q432*1936.27</f>
        <v>56096439.511364006</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7"/>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7"/>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7"/>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7"/>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7"/>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7"/>
      <c r="M439" s="39"/>
      <c r="N439" s="96"/>
      <c r="O439" s="96"/>
      <c r="P439" s="96"/>
      <c r="Q439" s="96"/>
      <c r="R439" s="7"/>
      <c r="S439" s="7"/>
      <c r="T439" s="7"/>
      <c r="U439" s="7"/>
      <c r="V439" s="7"/>
      <c r="W439" s="7"/>
      <c r="X439" s="7"/>
      <c r="Y439" s="7"/>
      <c r="Z439" s="7"/>
    </row>
    <row r="440" spans="1:26" ht="12.75" customHeight="1" x14ac:dyDescent="0.2">
      <c r="A440" s="538">
        <v>35370</v>
      </c>
      <c r="B440" s="538">
        <v>35611</v>
      </c>
      <c r="C440" s="28" t="s">
        <v>36</v>
      </c>
      <c r="D440" s="29">
        <v>0</v>
      </c>
      <c r="E440" s="30">
        <v>9261.6200000000008</v>
      </c>
      <c r="F440" s="30">
        <v>0</v>
      </c>
      <c r="G440" s="30">
        <v>0</v>
      </c>
      <c r="H440" s="30">
        <v>6459.63</v>
      </c>
      <c r="I440" s="30">
        <v>0</v>
      </c>
      <c r="J440" s="30">
        <v>1310.0999999999999</v>
      </c>
      <c r="K440" s="31">
        <v>15721.25</v>
      </c>
      <c r="L440" s="32">
        <v>17031.349999999999</v>
      </c>
      <c r="M440" s="33"/>
      <c r="N440" s="30">
        <v>15721.25</v>
      </c>
      <c r="O440" s="30">
        <v>9261.6200000000008</v>
      </c>
      <c r="P440" s="30"/>
      <c r="Q440" s="30">
        <f>(N440+O440*0.18+J440)+(IF((P440-O440*0.18)&gt;0,(P440-O440*0.18),0))</f>
        <v>18698.441599999998</v>
      </c>
      <c r="R440" s="7"/>
      <c r="S440" s="7"/>
      <c r="T440" s="7"/>
      <c r="U440" s="7"/>
      <c r="V440" s="7"/>
      <c r="W440" s="7"/>
      <c r="X440" s="7"/>
      <c r="Y440" s="7"/>
      <c r="Z440" s="7"/>
    </row>
    <row r="441" spans="1:26" ht="9" customHeight="1" x14ac:dyDescent="0.2">
      <c r="A441" s="534"/>
      <c r="B441" s="534"/>
      <c r="C441" s="34" t="s">
        <v>37</v>
      </c>
      <c r="D441" s="35">
        <v>2</v>
      </c>
      <c r="E441" s="36">
        <v>17932997</v>
      </c>
      <c r="F441" s="36">
        <v>0</v>
      </c>
      <c r="G441" s="36">
        <v>0</v>
      </c>
      <c r="H441" s="36">
        <v>12507588</v>
      </c>
      <c r="I441" s="36">
        <v>0</v>
      </c>
      <c r="J441" s="37">
        <v>2536707</v>
      </c>
      <c r="K441" s="36">
        <v>30440585</v>
      </c>
      <c r="L441" s="38">
        <v>32977292</v>
      </c>
      <c r="M441" s="39"/>
      <c r="N441" s="36">
        <v>30440585</v>
      </c>
      <c r="O441" s="36">
        <v>17932997</v>
      </c>
      <c r="P441" s="36">
        <v>0</v>
      </c>
      <c r="Q441" s="36">
        <f>Q440*1936.27</f>
        <v>36205231.516831994</v>
      </c>
      <c r="R441" s="7"/>
      <c r="S441" s="7"/>
      <c r="T441" s="7"/>
      <c r="U441" s="7"/>
      <c r="V441" s="7"/>
      <c r="W441" s="7"/>
      <c r="X441" s="7"/>
      <c r="Y441" s="7"/>
      <c r="Z441" s="7"/>
    </row>
    <row r="442" spans="1:26" ht="12.75" customHeight="1" x14ac:dyDescent="0.2">
      <c r="A442" s="539">
        <v>35370</v>
      </c>
      <c r="B442" s="539">
        <v>35611</v>
      </c>
      <c r="C442" s="40" t="s">
        <v>36</v>
      </c>
      <c r="D442" s="41">
        <v>3</v>
      </c>
      <c r="E442" s="42">
        <v>10145.799999999999</v>
      </c>
      <c r="F442" s="42">
        <v>0</v>
      </c>
      <c r="G442" s="42">
        <v>0</v>
      </c>
      <c r="H442" s="42">
        <v>6459.63</v>
      </c>
      <c r="I442" s="42">
        <v>0</v>
      </c>
      <c r="J442" s="42">
        <v>1383.79</v>
      </c>
      <c r="K442" s="43">
        <v>16605.43</v>
      </c>
      <c r="L442" s="32">
        <v>17989.22</v>
      </c>
      <c r="M442" s="33"/>
      <c r="N442" s="30">
        <v>16605.43</v>
      </c>
      <c r="O442" s="30">
        <v>10145.799999999999</v>
      </c>
      <c r="P442" s="30"/>
      <c r="Q442" s="30">
        <f>(N442+O442*0.18+J442)+(IF((P442-O442*0.18)&gt;0,(P442-O442*0.18),0))</f>
        <v>19815.464</v>
      </c>
      <c r="R442" s="7"/>
      <c r="S442" s="7"/>
      <c r="T442" s="7"/>
      <c r="U442" s="7"/>
      <c r="V442" s="7"/>
      <c r="W442" s="7"/>
      <c r="X442" s="7"/>
      <c r="Y442" s="7"/>
      <c r="Z442" s="7"/>
    </row>
    <row r="443" spans="1:26" ht="9" customHeight="1" x14ac:dyDescent="0.2">
      <c r="A443" s="534"/>
      <c r="B443" s="534"/>
      <c r="C443" s="34" t="s">
        <v>37</v>
      </c>
      <c r="D443" s="35">
        <v>8</v>
      </c>
      <c r="E443" s="36">
        <v>19645008</v>
      </c>
      <c r="F443" s="36">
        <v>0</v>
      </c>
      <c r="G443" s="36">
        <v>0</v>
      </c>
      <c r="H443" s="36">
        <v>12507588</v>
      </c>
      <c r="I443" s="36">
        <v>0</v>
      </c>
      <c r="J443" s="37">
        <v>2679391</v>
      </c>
      <c r="K443" s="36">
        <v>32152596</v>
      </c>
      <c r="L443" s="38">
        <v>34831987</v>
      </c>
      <c r="M443" s="39"/>
      <c r="N443" s="36">
        <v>32152596</v>
      </c>
      <c r="O443" s="36">
        <v>19645008</v>
      </c>
      <c r="P443" s="36">
        <v>0</v>
      </c>
      <c r="Q443" s="36">
        <f>Q442*1936.27</f>
        <v>38368088.479280002</v>
      </c>
      <c r="R443" s="7"/>
      <c r="S443" s="7"/>
      <c r="T443" s="7"/>
      <c r="U443" s="7"/>
      <c r="V443" s="7"/>
      <c r="W443" s="7"/>
      <c r="X443" s="7"/>
      <c r="Y443" s="7"/>
      <c r="Z443" s="7"/>
    </row>
    <row r="444" spans="1:26" ht="12.75" customHeight="1" x14ac:dyDescent="0.2">
      <c r="A444" s="534"/>
      <c r="B444" s="534"/>
      <c r="C444" s="40" t="s">
        <v>36</v>
      </c>
      <c r="D444" s="41">
        <v>9</v>
      </c>
      <c r="E444" s="42">
        <v>11572.77</v>
      </c>
      <c r="F444" s="42"/>
      <c r="G444" s="42"/>
      <c r="H444" s="42">
        <v>6459.63</v>
      </c>
      <c r="I444" s="42">
        <v>0</v>
      </c>
      <c r="J444" s="42">
        <v>1502.7</v>
      </c>
      <c r="K444" s="43">
        <v>18032.400000000001</v>
      </c>
      <c r="L444" s="32">
        <v>19535.099999999999</v>
      </c>
      <c r="M444" s="33"/>
      <c r="N444" s="30">
        <v>18032.400000000001</v>
      </c>
      <c r="O444" s="30">
        <v>11572.77</v>
      </c>
      <c r="P444" s="30"/>
      <c r="Q444" s="30">
        <f>(N444+O444*0.18+J444)+(IF((P444-O444*0.18)&gt;0,(P444-O444*0.18),0))</f>
        <v>21618.198600000003</v>
      </c>
      <c r="R444" s="7"/>
      <c r="S444" s="7"/>
      <c r="T444" s="7"/>
      <c r="U444" s="7"/>
      <c r="V444" s="7"/>
      <c r="W444" s="7"/>
      <c r="X444" s="7"/>
      <c r="Y444" s="7"/>
      <c r="Z444" s="7"/>
    </row>
    <row r="445" spans="1:26" ht="9" customHeight="1" x14ac:dyDescent="0.2">
      <c r="A445" s="534"/>
      <c r="B445" s="534"/>
      <c r="C445" s="34" t="s">
        <v>37</v>
      </c>
      <c r="D445" s="35">
        <v>14</v>
      </c>
      <c r="E445" s="36">
        <v>22408007</v>
      </c>
      <c r="F445" s="36"/>
      <c r="G445" s="36"/>
      <c r="H445" s="36">
        <v>12507588</v>
      </c>
      <c r="I445" s="36">
        <v>0</v>
      </c>
      <c r="J445" s="37">
        <v>2909633</v>
      </c>
      <c r="K445" s="36">
        <v>34915595</v>
      </c>
      <c r="L445" s="38">
        <v>37825228</v>
      </c>
      <c r="M445" s="39"/>
      <c r="N445" s="36">
        <v>34915595</v>
      </c>
      <c r="O445" s="36">
        <v>22408007</v>
      </c>
      <c r="P445" s="36">
        <v>0</v>
      </c>
      <c r="Q445" s="36">
        <f>Q444*1936.27</f>
        <v>41858669.40322201</v>
      </c>
      <c r="R445" s="7"/>
      <c r="S445" s="7"/>
      <c r="T445" s="7"/>
      <c r="U445" s="7"/>
      <c r="V445" s="7"/>
      <c r="W445" s="7"/>
      <c r="X445" s="7"/>
      <c r="Y445" s="7"/>
      <c r="Z445" s="7"/>
    </row>
    <row r="446" spans="1:26" ht="12.75" customHeight="1" x14ac:dyDescent="0.2">
      <c r="A446" s="534"/>
      <c r="B446" s="534"/>
      <c r="C446" s="40" t="s">
        <v>36</v>
      </c>
      <c r="D446" s="41">
        <v>15</v>
      </c>
      <c r="E446" s="42">
        <v>13327.69</v>
      </c>
      <c r="F446" s="42"/>
      <c r="G446" s="42"/>
      <c r="H446" s="42">
        <v>6459.63</v>
      </c>
      <c r="I446" s="42">
        <v>0</v>
      </c>
      <c r="J446" s="42">
        <v>1648.94</v>
      </c>
      <c r="K446" s="43">
        <v>19787.32</v>
      </c>
      <c r="L446" s="32">
        <v>21436.26</v>
      </c>
      <c r="M446" s="33"/>
      <c r="N446" s="30">
        <v>19787.32</v>
      </c>
      <c r="O446" s="30">
        <v>13327.69</v>
      </c>
      <c r="P446" s="30"/>
      <c r="Q446" s="30">
        <f>(N446+O446*0.18+J446)+(IF((P446-O446*0.18)&gt;0,(P446-O446*0.18),0))</f>
        <v>23835.244199999997</v>
      </c>
      <c r="R446" s="7"/>
      <c r="S446" s="7"/>
      <c r="T446" s="7"/>
      <c r="U446" s="7"/>
      <c r="V446" s="7"/>
      <c r="W446" s="7"/>
      <c r="X446" s="7"/>
      <c r="Y446" s="7"/>
      <c r="Z446" s="7"/>
    </row>
    <row r="447" spans="1:26" ht="9" customHeight="1" x14ac:dyDescent="0.2">
      <c r="A447" s="534"/>
      <c r="B447" s="534"/>
      <c r="C447" s="34" t="s">
        <v>37</v>
      </c>
      <c r="D447" s="35">
        <v>20</v>
      </c>
      <c r="E447" s="36">
        <v>25806006</v>
      </c>
      <c r="F447" s="36"/>
      <c r="G447" s="36"/>
      <c r="H447" s="36">
        <v>12507588</v>
      </c>
      <c r="I447" s="36">
        <v>0</v>
      </c>
      <c r="J447" s="37">
        <v>3192793</v>
      </c>
      <c r="K447" s="36">
        <v>38313594</v>
      </c>
      <c r="L447" s="38">
        <v>41506387</v>
      </c>
      <c r="M447" s="39"/>
      <c r="N447" s="36">
        <v>38313594</v>
      </c>
      <c r="O447" s="36">
        <v>25806006</v>
      </c>
      <c r="P447" s="36">
        <v>0</v>
      </c>
      <c r="Q447" s="36">
        <f>Q446*1936.27</f>
        <v>46151468.287133992</v>
      </c>
      <c r="R447" s="7"/>
      <c r="S447" s="7"/>
      <c r="T447" s="7"/>
      <c r="U447" s="7"/>
      <c r="V447" s="7"/>
      <c r="W447" s="7"/>
      <c r="X447" s="7"/>
      <c r="Y447" s="7"/>
      <c r="Z447" s="7"/>
    </row>
    <row r="448" spans="1:26" ht="12.75" customHeight="1" x14ac:dyDescent="0.2">
      <c r="A448" s="534"/>
      <c r="B448" s="534"/>
      <c r="C448" s="40" t="s">
        <v>36</v>
      </c>
      <c r="D448" s="41">
        <v>21</v>
      </c>
      <c r="E448" s="42">
        <v>15567.04</v>
      </c>
      <c r="F448" s="42"/>
      <c r="G448" s="42"/>
      <c r="H448" s="42">
        <v>6459.63</v>
      </c>
      <c r="I448" s="42">
        <v>0</v>
      </c>
      <c r="J448" s="42">
        <v>1835.56</v>
      </c>
      <c r="K448" s="43">
        <v>22026.67</v>
      </c>
      <c r="L448" s="32">
        <v>23862.23</v>
      </c>
      <c r="M448" s="33"/>
      <c r="N448" s="30">
        <v>22026.67</v>
      </c>
      <c r="O448" s="30">
        <v>15567.04</v>
      </c>
      <c r="P448" s="30"/>
      <c r="Q448" s="30">
        <f>(N448+O448*0.18+J448)+(IF((P448-O448*0.18)&gt;0,(P448-O448*0.18),0))</f>
        <v>26664.297200000001</v>
      </c>
      <c r="R448" s="7"/>
      <c r="S448" s="7"/>
      <c r="T448" s="7"/>
      <c r="U448" s="7"/>
      <c r="V448" s="7"/>
      <c r="W448" s="7"/>
      <c r="X448" s="7"/>
      <c r="Y448" s="7"/>
      <c r="Z448" s="7"/>
    </row>
    <row r="449" spans="1:26" ht="9" customHeight="1" x14ac:dyDescent="0.2">
      <c r="A449" s="534"/>
      <c r="B449" s="534"/>
      <c r="C449" s="34" t="s">
        <v>37</v>
      </c>
      <c r="D449" s="35">
        <v>27</v>
      </c>
      <c r="E449" s="36">
        <v>30141993</v>
      </c>
      <c r="F449" s="36"/>
      <c r="G449" s="36"/>
      <c r="H449" s="36">
        <v>12507588</v>
      </c>
      <c r="I449" s="36">
        <v>0</v>
      </c>
      <c r="J449" s="37">
        <v>3554140</v>
      </c>
      <c r="K449" s="36">
        <v>42649580</v>
      </c>
      <c r="L449" s="38">
        <v>46203720</v>
      </c>
      <c r="M449" s="39"/>
      <c r="N449" s="36">
        <v>42649580</v>
      </c>
      <c r="O449" s="36">
        <v>30141993</v>
      </c>
      <c r="P449" s="36">
        <v>0</v>
      </c>
      <c r="Q449" s="36">
        <f>Q448*1936.27</f>
        <v>51629278.739444003</v>
      </c>
      <c r="R449" s="7"/>
      <c r="S449" s="7"/>
      <c r="T449" s="7"/>
      <c r="U449" s="7"/>
      <c r="V449" s="7"/>
      <c r="W449" s="7"/>
      <c r="X449" s="7"/>
      <c r="Y449" s="7"/>
      <c r="Z449" s="7"/>
    </row>
    <row r="450" spans="1:26" ht="12.75" customHeight="1" x14ac:dyDescent="0.2">
      <c r="A450" s="534"/>
      <c r="B450" s="534"/>
      <c r="C450" s="40" t="s">
        <v>36</v>
      </c>
      <c r="D450" s="41">
        <v>28</v>
      </c>
      <c r="E450" s="42">
        <v>17033.78</v>
      </c>
      <c r="F450" s="42"/>
      <c r="G450" s="42"/>
      <c r="H450" s="42">
        <v>6459.63</v>
      </c>
      <c r="I450" s="42">
        <v>0</v>
      </c>
      <c r="J450" s="42">
        <v>1957.78</v>
      </c>
      <c r="K450" s="43">
        <v>23493.41</v>
      </c>
      <c r="L450" s="32">
        <v>25451.19</v>
      </c>
      <c r="M450" s="33"/>
      <c r="N450" s="30">
        <v>23493.41</v>
      </c>
      <c r="O450" s="30">
        <v>17033.78</v>
      </c>
      <c r="P450" s="30"/>
      <c r="Q450" s="30">
        <f>(N450+O450*0.18+J450)+(IF((P450-O450*0.18)&gt;0,(P450-O450*0.18),0))</f>
        <v>28517.270399999998</v>
      </c>
      <c r="R450" s="7"/>
      <c r="S450" s="7"/>
      <c r="T450" s="7"/>
      <c r="U450" s="7"/>
      <c r="V450" s="7"/>
      <c r="W450" s="7"/>
      <c r="X450" s="7"/>
      <c r="Y450" s="7"/>
      <c r="Z450" s="7"/>
    </row>
    <row r="451" spans="1:26" ht="9" customHeight="1" x14ac:dyDescent="0.2">
      <c r="A451" s="534"/>
      <c r="B451" s="534"/>
      <c r="C451" s="34" t="s">
        <v>37</v>
      </c>
      <c r="D451" s="35">
        <v>34</v>
      </c>
      <c r="E451" s="36">
        <v>32981997</v>
      </c>
      <c r="F451" s="36"/>
      <c r="G451" s="36"/>
      <c r="H451" s="36">
        <v>12507588</v>
      </c>
      <c r="I451" s="36">
        <v>0</v>
      </c>
      <c r="J451" s="37">
        <v>3790791</v>
      </c>
      <c r="K451" s="36">
        <v>45489585</v>
      </c>
      <c r="L451" s="38">
        <v>49280376</v>
      </c>
      <c r="M451" s="39"/>
      <c r="N451" s="36">
        <v>45489585</v>
      </c>
      <c r="O451" s="36">
        <v>32981997</v>
      </c>
      <c r="P451" s="36">
        <v>0</v>
      </c>
      <c r="Q451" s="36">
        <f>Q450*1936.27</f>
        <v>55217135.157407992</v>
      </c>
      <c r="R451" s="7"/>
      <c r="S451" s="7"/>
      <c r="T451" s="7"/>
      <c r="U451" s="7"/>
      <c r="V451" s="7"/>
      <c r="W451" s="7"/>
      <c r="X451" s="7"/>
      <c r="Y451" s="7"/>
      <c r="Z451" s="7"/>
    </row>
    <row r="452" spans="1:26" ht="12.75" customHeight="1" x14ac:dyDescent="0.2">
      <c r="A452" s="534"/>
      <c r="B452" s="534"/>
      <c r="C452" s="40" t="s">
        <v>36</v>
      </c>
      <c r="D452" s="41">
        <v>35</v>
      </c>
      <c r="E452" s="42">
        <v>18205.11</v>
      </c>
      <c r="F452" s="42"/>
      <c r="G452" s="42"/>
      <c r="H452" s="42">
        <v>6459.63</v>
      </c>
      <c r="I452" s="42">
        <v>0</v>
      </c>
      <c r="J452" s="42">
        <v>2055.4</v>
      </c>
      <c r="K452" s="43">
        <v>24664.74</v>
      </c>
      <c r="L452" s="32">
        <v>26720.14</v>
      </c>
      <c r="M452" s="33"/>
      <c r="N452" s="30">
        <v>24664.74</v>
      </c>
      <c r="O452" s="30">
        <v>18205.11</v>
      </c>
      <c r="P452" s="30"/>
      <c r="Q452" s="30">
        <f>(N452+O452*0.18+J452)+(IF((P452-O452*0.18)&gt;0,(P452-O452*0.18),0))</f>
        <v>29997.059800000003</v>
      </c>
      <c r="R452" s="7"/>
      <c r="S452" s="7"/>
      <c r="T452" s="7"/>
      <c r="U452" s="7"/>
      <c r="V452" s="7"/>
      <c r="W452" s="7"/>
      <c r="X452" s="7"/>
      <c r="Y452" s="7"/>
      <c r="Z452" s="7"/>
    </row>
    <row r="453" spans="1:26" ht="9" customHeight="1" x14ac:dyDescent="0.2">
      <c r="A453" s="535"/>
      <c r="B453" s="535"/>
      <c r="C453" s="47" t="s">
        <v>37</v>
      </c>
      <c r="D453" s="48"/>
      <c r="E453" s="46">
        <v>35250008</v>
      </c>
      <c r="F453" s="46"/>
      <c r="G453" s="46"/>
      <c r="H453" s="46">
        <v>12507588</v>
      </c>
      <c r="I453" s="46">
        <v>0</v>
      </c>
      <c r="J453" s="49">
        <v>3979809</v>
      </c>
      <c r="K453" s="46">
        <v>47757596</v>
      </c>
      <c r="L453" s="38">
        <v>51737405</v>
      </c>
      <c r="M453" s="39"/>
      <c r="N453" s="36">
        <v>47757596</v>
      </c>
      <c r="O453" s="36">
        <v>35250008</v>
      </c>
      <c r="P453" s="36">
        <v>0</v>
      </c>
      <c r="Q453" s="36">
        <f>Q452*1936.27</f>
        <v>58082406.978946008</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7"/>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7"/>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7"/>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7"/>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7"/>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7"/>
      <c r="M459" s="39"/>
      <c r="N459" s="96"/>
      <c r="O459" s="96"/>
      <c r="P459" s="96"/>
      <c r="Q459" s="96"/>
      <c r="R459" s="7"/>
      <c r="S459" s="7"/>
      <c r="T459" s="7"/>
      <c r="U459" s="7"/>
      <c r="V459" s="7"/>
      <c r="W459" s="7"/>
      <c r="X459" s="7"/>
      <c r="Y459" s="7"/>
      <c r="Z459" s="7"/>
    </row>
    <row r="460" spans="1:26" ht="12.75" customHeight="1" x14ac:dyDescent="0.2">
      <c r="A460" s="538">
        <v>35612</v>
      </c>
      <c r="B460" s="538">
        <v>36099</v>
      </c>
      <c r="C460" s="28" t="s">
        <v>36</v>
      </c>
      <c r="D460" s="29">
        <v>0</v>
      </c>
      <c r="E460" s="30">
        <v>9720.24</v>
      </c>
      <c r="F460" s="30"/>
      <c r="G460" s="30"/>
      <c r="H460" s="30">
        <v>6459.63</v>
      </c>
      <c r="I460" s="30">
        <v>0</v>
      </c>
      <c r="J460" s="30">
        <v>1348.32</v>
      </c>
      <c r="K460" s="31">
        <v>16179.87</v>
      </c>
      <c r="L460" s="32">
        <v>17528.189999999999</v>
      </c>
      <c r="M460" s="33"/>
      <c r="N460" s="30">
        <v>16179.87</v>
      </c>
      <c r="O460" s="30">
        <v>9720.24</v>
      </c>
      <c r="P460" s="30"/>
      <c r="Q460" s="30">
        <f>(N460+O460*0.18+J460)+(IF((P460-O460*0.18)&gt;0,(P460-O460*0.18),0))</f>
        <v>19277.833200000001</v>
      </c>
      <c r="R460" s="7"/>
      <c r="S460" s="7"/>
      <c r="T460" s="7"/>
      <c r="U460" s="7"/>
      <c r="V460" s="7"/>
      <c r="W460" s="7"/>
      <c r="X460" s="7"/>
      <c r="Y460" s="7"/>
      <c r="Z460" s="7"/>
    </row>
    <row r="461" spans="1:26" ht="9" customHeight="1" x14ac:dyDescent="0.2">
      <c r="A461" s="534"/>
      <c r="B461" s="534"/>
      <c r="C461" s="34" t="s">
        <v>37</v>
      </c>
      <c r="D461" s="35">
        <v>2</v>
      </c>
      <c r="E461" s="36">
        <v>18821009</v>
      </c>
      <c r="F461" s="36"/>
      <c r="G461" s="36"/>
      <c r="H461" s="36">
        <v>12507588</v>
      </c>
      <c r="I461" s="36">
        <v>0</v>
      </c>
      <c r="J461" s="37">
        <v>2610712</v>
      </c>
      <c r="K461" s="36">
        <v>31328597</v>
      </c>
      <c r="L461" s="38">
        <v>33939308</v>
      </c>
      <c r="M461" s="39"/>
      <c r="N461" s="36">
        <v>31328597</v>
      </c>
      <c r="O461" s="36">
        <v>18821009</v>
      </c>
      <c r="P461" s="36">
        <v>0</v>
      </c>
      <c r="Q461" s="36">
        <f>Q460*1936.27</f>
        <v>37327090.090163998</v>
      </c>
      <c r="R461" s="7"/>
      <c r="S461" s="7"/>
      <c r="T461" s="7"/>
      <c r="U461" s="7"/>
      <c r="V461" s="7"/>
      <c r="W461" s="7"/>
      <c r="X461" s="7"/>
      <c r="Y461" s="7"/>
      <c r="Z461" s="7"/>
    </row>
    <row r="462" spans="1:26" ht="12.75" customHeight="1" x14ac:dyDescent="0.2">
      <c r="A462" s="539">
        <v>35612</v>
      </c>
      <c r="B462" s="539">
        <v>36099</v>
      </c>
      <c r="C462" s="40" t="s">
        <v>36</v>
      </c>
      <c r="D462" s="41">
        <v>3</v>
      </c>
      <c r="E462" s="42">
        <v>10629.2</v>
      </c>
      <c r="F462" s="42"/>
      <c r="G462" s="42"/>
      <c r="H462" s="42">
        <v>6459.63</v>
      </c>
      <c r="I462" s="42">
        <v>0</v>
      </c>
      <c r="J462" s="42">
        <v>1424.07</v>
      </c>
      <c r="K462" s="43">
        <v>17088.830000000002</v>
      </c>
      <c r="L462" s="32">
        <v>18512.900000000001</v>
      </c>
      <c r="M462" s="33"/>
      <c r="N462" s="30">
        <v>17088.830000000002</v>
      </c>
      <c r="O462" s="30">
        <v>10629.2</v>
      </c>
      <c r="P462" s="30"/>
      <c r="Q462" s="30">
        <f>(N462+O462*0.18+J462)+(IF((P462-O462*0.18)&gt;0,(P462-O462*0.18),0))</f>
        <v>20426.156000000003</v>
      </c>
      <c r="R462" s="7"/>
      <c r="S462" s="7"/>
      <c r="T462" s="7"/>
      <c r="U462" s="7"/>
      <c r="V462" s="7"/>
      <c r="W462" s="7"/>
      <c r="X462" s="7"/>
      <c r="Y462" s="7"/>
      <c r="Z462" s="7"/>
    </row>
    <row r="463" spans="1:26" ht="9" customHeight="1" x14ac:dyDescent="0.2">
      <c r="A463" s="534"/>
      <c r="B463" s="534"/>
      <c r="C463" s="34" t="s">
        <v>37</v>
      </c>
      <c r="D463" s="35">
        <v>8</v>
      </c>
      <c r="E463" s="36">
        <v>20581001</v>
      </c>
      <c r="F463" s="36"/>
      <c r="G463" s="36"/>
      <c r="H463" s="36">
        <v>12507588</v>
      </c>
      <c r="I463" s="36">
        <v>0</v>
      </c>
      <c r="J463" s="37">
        <v>2757384</v>
      </c>
      <c r="K463" s="36">
        <v>33088589</v>
      </c>
      <c r="L463" s="38">
        <v>35845973</v>
      </c>
      <c r="M463" s="39"/>
      <c r="N463" s="36">
        <v>33088589</v>
      </c>
      <c r="O463" s="36">
        <v>20581001</v>
      </c>
      <c r="P463" s="36">
        <v>0</v>
      </c>
      <c r="Q463" s="36">
        <f>Q462*1936.27</f>
        <v>39550553.078120008</v>
      </c>
      <c r="R463" s="7"/>
      <c r="S463" s="7"/>
      <c r="T463" s="7"/>
      <c r="U463" s="7"/>
      <c r="V463" s="7"/>
      <c r="W463" s="7"/>
      <c r="X463" s="7"/>
      <c r="Y463" s="7"/>
      <c r="Z463" s="7"/>
    </row>
    <row r="464" spans="1:26" ht="12.75" customHeight="1" x14ac:dyDescent="0.2">
      <c r="A464" s="534"/>
      <c r="B464" s="534"/>
      <c r="C464" s="40" t="s">
        <v>36</v>
      </c>
      <c r="D464" s="41">
        <v>9</v>
      </c>
      <c r="E464" s="42">
        <v>12099.55</v>
      </c>
      <c r="F464" s="42"/>
      <c r="G464" s="42"/>
      <c r="H464" s="42">
        <v>6459.63</v>
      </c>
      <c r="I464" s="42">
        <v>0</v>
      </c>
      <c r="J464" s="42">
        <v>1546.6</v>
      </c>
      <c r="K464" s="43">
        <v>18559.18</v>
      </c>
      <c r="L464" s="32">
        <v>20105.78</v>
      </c>
      <c r="M464" s="33"/>
      <c r="N464" s="30">
        <v>18559.18</v>
      </c>
      <c r="O464" s="30">
        <v>12099.55</v>
      </c>
      <c r="P464" s="30"/>
      <c r="Q464" s="30">
        <f>(N464+O464*0.18+J464)+(IF((P464-O464*0.18)&gt;0,(P464-O464*0.18),0))</f>
        <v>22283.699000000001</v>
      </c>
      <c r="R464" s="7"/>
      <c r="S464" s="7"/>
      <c r="T464" s="7"/>
      <c r="U464" s="7"/>
      <c r="V464" s="7"/>
      <c r="W464" s="7"/>
      <c r="X464" s="7"/>
      <c r="Y464" s="7"/>
      <c r="Z464" s="7"/>
    </row>
    <row r="465" spans="1:26" ht="9" customHeight="1" x14ac:dyDescent="0.2">
      <c r="A465" s="534"/>
      <c r="B465" s="534"/>
      <c r="C465" s="34" t="s">
        <v>37</v>
      </c>
      <c r="D465" s="35">
        <v>14</v>
      </c>
      <c r="E465" s="36">
        <v>23427996</v>
      </c>
      <c r="F465" s="36"/>
      <c r="G465" s="36"/>
      <c r="H465" s="36">
        <v>12507588</v>
      </c>
      <c r="I465" s="36">
        <v>0</v>
      </c>
      <c r="J465" s="37">
        <v>2994635</v>
      </c>
      <c r="K465" s="36">
        <v>35935583</v>
      </c>
      <c r="L465" s="38">
        <v>38930219</v>
      </c>
      <c r="M465" s="39"/>
      <c r="N465" s="36">
        <v>35935583</v>
      </c>
      <c r="O465" s="36">
        <v>23427996</v>
      </c>
      <c r="P465" s="36">
        <v>0</v>
      </c>
      <c r="Q465" s="36">
        <f>Q464*1936.27</f>
        <v>43147257.862730004</v>
      </c>
      <c r="R465" s="7"/>
      <c r="S465" s="7"/>
      <c r="T465" s="7"/>
      <c r="U465" s="7"/>
      <c r="V465" s="7"/>
      <c r="W465" s="7"/>
      <c r="X465" s="7"/>
      <c r="Y465" s="7"/>
      <c r="Z465" s="7"/>
    </row>
    <row r="466" spans="1:26" ht="12.75" customHeight="1" x14ac:dyDescent="0.2">
      <c r="A466" s="534"/>
      <c r="B466" s="534"/>
      <c r="C466" s="40" t="s">
        <v>36</v>
      </c>
      <c r="D466" s="41">
        <v>15</v>
      </c>
      <c r="E466" s="42">
        <v>13904.05</v>
      </c>
      <c r="F466" s="42"/>
      <c r="G466" s="42"/>
      <c r="H466" s="42">
        <v>6459.63</v>
      </c>
      <c r="I466" s="42">
        <v>0</v>
      </c>
      <c r="J466" s="42">
        <v>1696.97</v>
      </c>
      <c r="K466" s="43">
        <v>20363.68</v>
      </c>
      <c r="L466" s="32">
        <v>22060.65</v>
      </c>
      <c r="M466" s="33"/>
      <c r="N466" s="30">
        <v>20363.68</v>
      </c>
      <c r="O466" s="30">
        <v>13904.05</v>
      </c>
      <c r="P466" s="30"/>
      <c r="Q466" s="30">
        <f>(N466+O466*0.18+J466)+(IF((P466-O466*0.18)&gt;0,(P466-O466*0.18),0))</f>
        <v>24563.379000000001</v>
      </c>
      <c r="R466" s="7"/>
      <c r="S466" s="7"/>
      <c r="T466" s="7"/>
      <c r="U466" s="7"/>
      <c r="V466" s="7"/>
      <c r="W466" s="7"/>
      <c r="X466" s="7"/>
      <c r="Y466" s="7"/>
      <c r="Z466" s="7"/>
    </row>
    <row r="467" spans="1:26" ht="9" customHeight="1" x14ac:dyDescent="0.2">
      <c r="A467" s="534"/>
      <c r="B467" s="534"/>
      <c r="C467" s="34" t="s">
        <v>37</v>
      </c>
      <c r="D467" s="35">
        <v>20</v>
      </c>
      <c r="E467" s="36">
        <v>26921995</v>
      </c>
      <c r="F467" s="36"/>
      <c r="G467" s="36"/>
      <c r="H467" s="36">
        <v>12507588</v>
      </c>
      <c r="I467" s="36">
        <v>0</v>
      </c>
      <c r="J467" s="37">
        <v>3285792</v>
      </c>
      <c r="K467" s="36">
        <v>39429583</v>
      </c>
      <c r="L467" s="38">
        <v>42715375</v>
      </c>
      <c r="M467" s="39"/>
      <c r="N467" s="36">
        <v>39429583</v>
      </c>
      <c r="O467" s="36">
        <v>26921995</v>
      </c>
      <c r="P467" s="36">
        <v>0</v>
      </c>
      <c r="Q467" s="36">
        <f>Q466*1936.27</f>
        <v>47561333.85633</v>
      </c>
      <c r="R467" s="7"/>
      <c r="S467" s="7"/>
      <c r="T467" s="7"/>
      <c r="U467" s="7"/>
      <c r="V467" s="7"/>
      <c r="W467" s="7"/>
      <c r="X467" s="7"/>
      <c r="Y467" s="7"/>
      <c r="Z467" s="7"/>
    </row>
    <row r="468" spans="1:26" ht="12.75" customHeight="1" x14ac:dyDescent="0.2">
      <c r="A468" s="534"/>
      <c r="B468" s="534"/>
      <c r="C468" s="40" t="s">
        <v>36</v>
      </c>
      <c r="D468" s="41">
        <v>21</v>
      </c>
      <c r="E468" s="42">
        <v>16211.58</v>
      </c>
      <c r="F468" s="42"/>
      <c r="G468" s="42"/>
      <c r="H468" s="42">
        <v>6459.63</v>
      </c>
      <c r="I468" s="42">
        <v>0</v>
      </c>
      <c r="J468" s="42">
        <v>1889.27</v>
      </c>
      <c r="K468" s="43">
        <v>22671.21</v>
      </c>
      <c r="L468" s="32">
        <v>24560.48</v>
      </c>
      <c r="M468" s="33"/>
      <c r="N468" s="30">
        <v>22671.21</v>
      </c>
      <c r="O468" s="30">
        <v>16211.58</v>
      </c>
      <c r="P468" s="30"/>
      <c r="Q468" s="30">
        <f>(N468+O468*0.18+J468)+(IF((P468-O468*0.18)&gt;0,(P468-O468*0.18),0))</f>
        <v>27478.564399999999</v>
      </c>
      <c r="R468" s="7"/>
      <c r="S468" s="7"/>
      <c r="T468" s="7"/>
      <c r="U468" s="7"/>
      <c r="V468" s="7"/>
      <c r="W468" s="7"/>
      <c r="X468" s="7"/>
      <c r="Y468" s="7"/>
      <c r="Z468" s="7"/>
    </row>
    <row r="469" spans="1:26" ht="9" customHeight="1" x14ac:dyDescent="0.2">
      <c r="A469" s="534"/>
      <c r="B469" s="534"/>
      <c r="C469" s="34" t="s">
        <v>37</v>
      </c>
      <c r="D469" s="35">
        <v>27</v>
      </c>
      <c r="E469" s="36">
        <v>31389996</v>
      </c>
      <c r="F469" s="36"/>
      <c r="G469" s="36"/>
      <c r="H469" s="36">
        <v>12507588</v>
      </c>
      <c r="I469" s="36">
        <v>0</v>
      </c>
      <c r="J469" s="37">
        <v>3658137</v>
      </c>
      <c r="K469" s="36">
        <v>43897584</v>
      </c>
      <c r="L469" s="38">
        <v>47555721</v>
      </c>
      <c r="M469" s="39"/>
      <c r="N469" s="36">
        <v>43897584</v>
      </c>
      <c r="O469" s="36">
        <v>31389996</v>
      </c>
      <c r="P469" s="36">
        <v>0</v>
      </c>
      <c r="Q469" s="36">
        <f>Q468*1936.27</f>
        <v>53205919.890787996</v>
      </c>
      <c r="R469" s="7"/>
      <c r="S469" s="7"/>
      <c r="T469" s="7"/>
      <c r="U469" s="7"/>
      <c r="V469" s="7"/>
      <c r="W469" s="7"/>
      <c r="X469" s="7"/>
      <c r="Y469" s="7"/>
      <c r="Z469" s="7"/>
    </row>
    <row r="470" spans="1:26" ht="12.75" customHeight="1" x14ac:dyDescent="0.2">
      <c r="A470" s="534"/>
      <c r="B470" s="534"/>
      <c r="C470" s="40" t="s">
        <v>36</v>
      </c>
      <c r="D470" s="41">
        <v>28</v>
      </c>
      <c r="E470" s="42">
        <v>17721.7</v>
      </c>
      <c r="F470" s="42"/>
      <c r="G470" s="42"/>
      <c r="H470" s="42">
        <v>6459.63</v>
      </c>
      <c r="I470" s="42">
        <v>0</v>
      </c>
      <c r="J470" s="42">
        <v>2015.11</v>
      </c>
      <c r="K470" s="43">
        <v>24181.33</v>
      </c>
      <c r="L470" s="32">
        <v>26196.44</v>
      </c>
      <c r="M470" s="33"/>
      <c r="N470" s="30">
        <v>24181.33</v>
      </c>
      <c r="O470" s="30">
        <v>17721.7</v>
      </c>
      <c r="P470" s="30"/>
      <c r="Q470" s="30">
        <f>(N470+O470*0.18+J470)+(IF((P470-O470*0.18)&gt;0,(P470-O470*0.18),0))</f>
        <v>29386.346000000001</v>
      </c>
      <c r="R470" s="7"/>
      <c r="S470" s="7"/>
      <c r="T470" s="7"/>
      <c r="U470" s="7"/>
      <c r="V470" s="7"/>
      <c r="W470" s="7"/>
      <c r="X470" s="7"/>
      <c r="Y470" s="7"/>
      <c r="Z470" s="7"/>
    </row>
    <row r="471" spans="1:26" ht="9" customHeight="1" x14ac:dyDescent="0.2">
      <c r="A471" s="534"/>
      <c r="B471" s="534"/>
      <c r="C471" s="34" t="s">
        <v>37</v>
      </c>
      <c r="D471" s="35">
        <v>34</v>
      </c>
      <c r="E471" s="36">
        <v>34313996</v>
      </c>
      <c r="F471" s="36"/>
      <c r="G471" s="36"/>
      <c r="H471" s="36">
        <v>12507588</v>
      </c>
      <c r="I471" s="36">
        <v>0</v>
      </c>
      <c r="J471" s="37">
        <v>3901797</v>
      </c>
      <c r="K471" s="36">
        <v>46821584</v>
      </c>
      <c r="L471" s="38">
        <v>50723381</v>
      </c>
      <c r="M471" s="39"/>
      <c r="N471" s="36">
        <v>46821584</v>
      </c>
      <c r="O471" s="36">
        <v>34313996</v>
      </c>
      <c r="P471" s="36">
        <v>0</v>
      </c>
      <c r="Q471" s="36">
        <f>Q470*1936.27</f>
        <v>56899900.169420004</v>
      </c>
      <c r="R471" s="7"/>
      <c r="S471" s="7"/>
      <c r="T471" s="7"/>
      <c r="U471" s="7"/>
      <c r="V471" s="7"/>
      <c r="W471" s="7"/>
      <c r="X471" s="7"/>
      <c r="Y471" s="7"/>
      <c r="Z471" s="7"/>
    </row>
    <row r="472" spans="1:26" ht="12.75" customHeight="1" x14ac:dyDescent="0.2">
      <c r="A472" s="534"/>
      <c r="B472" s="534"/>
      <c r="C472" s="40" t="s">
        <v>36</v>
      </c>
      <c r="D472" s="41">
        <v>35</v>
      </c>
      <c r="E472" s="42">
        <v>18924.009999999998</v>
      </c>
      <c r="F472" s="42"/>
      <c r="G472" s="42"/>
      <c r="H472" s="42">
        <v>6459.63</v>
      </c>
      <c r="I472" s="42">
        <v>0</v>
      </c>
      <c r="J472" s="42">
        <v>2115.3000000000002</v>
      </c>
      <c r="K472" s="43">
        <v>25383.64</v>
      </c>
      <c r="L472" s="32">
        <v>27498.94</v>
      </c>
      <c r="M472" s="33"/>
      <c r="N472" s="30">
        <v>25383.64</v>
      </c>
      <c r="O472" s="30">
        <v>18924.009999999998</v>
      </c>
      <c r="P472" s="30"/>
      <c r="Q472" s="30">
        <f>(N472+O472*0.18+J472)+(IF((P472-O472*0.18)&gt;0,(P472-O472*0.18),0))</f>
        <v>30905.261799999997</v>
      </c>
      <c r="R472" s="7"/>
      <c r="S472" s="7"/>
      <c r="T472" s="7"/>
      <c r="U472" s="7"/>
      <c r="V472" s="7"/>
      <c r="W472" s="7"/>
      <c r="X472" s="7"/>
      <c r="Y472" s="7"/>
      <c r="Z472" s="7"/>
    </row>
    <row r="473" spans="1:26" ht="9" customHeight="1" x14ac:dyDescent="0.2">
      <c r="A473" s="535"/>
      <c r="B473" s="535"/>
      <c r="C473" s="47" t="s">
        <v>37</v>
      </c>
      <c r="D473" s="48"/>
      <c r="E473" s="46">
        <v>36641993</v>
      </c>
      <c r="F473" s="46"/>
      <c r="G473" s="46"/>
      <c r="H473" s="46">
        <v>12507588</v>
      </c>
      <c r="I473" s="46">
        <v>0</v>
      </c>
      <c r="J473" s="49">
        <v>4095792</v>
      </c>
      <c r="K473" s="46">
        <v>49149581</v>
      </c>
      <c r="L473" s="38">
        <v>53245373</v>
      </c>
      <c r="M473" s="39"/>
      <c r="N473" s="36">
        <v>49149581</v>
      </c>
      <c r="O473" s="36">
        <v>36641993</v>
      </c>
      <c r="P473" s="36">
        <v>0</v>
      </c>
      <c r="Q473" s="36">
        <f>Q472*1936.27</f>
        <v>59840931.265485995</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7"/>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7"/>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7"/>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7"/>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7"/>
      <c r="M479" s="39"/>
      <c r="N479" s="96"/>
      <c r="O479" s="96"/>
      <c r="P479" s="96"/>
      <c r="Q479" s="96"/>
      <c r="R479" s="7"/>
      <c r="S479" s="7"/>
      <c r="T479" s="7"/>
      <c r="U479" s="7"/>
      <c r="V479" s="7"/>
      <c r="W479" s="7"/>
      <c r="X479" s="7"/>
      <c r="Y479" s="7"/>
      <c r="Z479" s="7"/>
    </row>
    <row r="480" spans="1:26" ht="12.75" customHeight="1" x14ac:dyDescent="0.2">
      <c r="A480" s="538">
        <v>36100</v>
      </c>
      <c r="B480" s="538">
        <v>36311</v>
      </c>
      <c r="C480" s="28" t="s">
        <v>36</v>
      </c>
      <c r="D480" s="29">
        <v>0</v>
      </c>
      <c r="E480" s="30">
        <v>10011.52</v>
      </c>
      <c r="F480" s="30"/>
      <c r="G480" s="30"/>
      <c r="H480" s="30">
        <v>6459.63</v>
      </c>
      <c r="I480" s="30">
        <v>0</v>
      </c>
      <c r="J480" s="30">
        <v>1372.6</v>
      </c>
      <c r="K480" s="31">
        <v>16471.150000000001</v>
      </c>
      <c r="L480" s="32">
        <v>17843.75</v>
      </c>
      <c r="M480" s="33"/>
      <c r="N480" s="30">
        <v>16471.150000000001</v>
      </c>
      <c r="O480" s="30">
        <v>10011.52</v>
      </c>
      <c r="P480" s="30"/>
      <c r="Q480" s="30">
        <f>(N480+O480*0.18+J480)+(IF((P480-O480*0.18)&gt;0,(P480-O480*0.18),0))</f>
        <v>19645.8236</v>
      </c>
      <c r="R480" s="7"/>
      <c r="S480" s="7"/>
      <c r="T480" s="7"/>
      <c r="U480" s="7"/>
      <c r="V480" s="7"/>
      <c r="W480" s="7"/>
      <c r="X480" s="7"/>
      <c r="Y480" s="7"/>
      <c r="Z480" s="7"/>
    </row>
    <row r="481" spans="1:26" ht="9" customHeight="1" x14ac:dyDescent="0.2">
      <c r="A481" s="534"/>
      <c r="B481" s="534"/>
      <c r="C481" s="34" t="s">
        <v>37</v>
      </c>
      <c r="D481" s="35">
        <v>2</v>
      </c>
      <c r="E481" s="36">
        <v>19385006</v>
      </c>
      <c r="F481" s="36"/>
      <c r="G481" s="36"/>
      <c r="H481" s="36">
        <v>12507588</v>
      </c>
      <c r="I481" s="36">
        <v>0</v>
      </c>
      <c r="J481" s="37">
        <v>2657724</v>
      </c>
      <c r="K481" s="36">
        <v>31892594</v>
      </c>
      <c r="L481" s="38">
        <v>34550318</v>
      </c>
      <c r="M481" s="39"/>
      <c r="N481" s="36">
        <v>31892594</v>
      </c>
      <c r="O481" s="36">
        <v>19385006</v>
      </c>
      <c r="P481" s="36">
        <v>0</v>
      </c>
      <c r="Q481" s="36">
        <f>Q480*1936.27</f>
        <v>38039618.861971997</v>
      </c>
      <c r="R481" s="7"/>
      <c r="S481" s="7"/>
      <c r="T481" s="7"/>
      <c r="U481" s="7"/>
      <c r="V481" s="7"/>
      <c r="W481" s="7"/>
      <c r="X481" s="7"/>
      <c r="Y481" s="7"/>
      <c r="Z481" s="7"/>
    </row>
    <row r="482" spans="1:26" ht="12.75" customHeight="1" x14ac:dyDescent="0.2">
      <c r="A482" s="539">
        <v>36100</v>
      </c>
      <c r="B482" s="539">
        <v>36311</v>
      </c>
      <c r="C482" s="40" t="s">
        <v>36</v>
      </c>
      <c r="D482" s="41">
        <v>3</v>
      </c>
      <c r="E482" s="42">
        <v>10939.07</v>
      </c>
      <c r="F482" s="42"/>
      <c r="G482" s="42"/>
      <c r="H482" s="42">
        <v>6459.63</v>
      </c>
      <c r="I482" s="42">
        <v>0</v>
      </c>
      <c r="J482" s="42">
        <v>1449.89</v>
      </c>
      <c r="K482" s="43">
        <v>17398.7</v>
      </c>
      <c r="L482" s="32">
        <v>18848.59</v>
      </c>
      <c r="M482" s="33"/>
      <c r="N482" s="30">
        <v>17398.7</v>
      </c>
      <c r="O482" s="30">
        <v>10939.07</v>
      </c>
      <c r="P482" s="30"/>
      <c r="Q482" s="30">
        <f>(N482+O482*0.18+J482)+(IF((P482-O482*0.18)&gt;0,(P482-O482*0.18),0))</f>
        <v>20817.622599999999</v>
      </c>
      <c r="R482" s="7"/>
      <c r="S482" s="7"/>
      <c r="T482" s="7"/>
      <c r="U482" s="7"/>
      <c r="V482" s="7"/>
      <c r="W482" s="7"/>
      <c r="X482" s="7"/>
      <c r="Y482" s="7"/>
      <c r="Z482" s="7"/>
    </row>
    <row r="483" spans="1:26" ht="9" customHeight="1" x14ac:dyDescent="0.2">
      <c r="A483" s="534"/>
      <c r="B483" s="534"/>
      <c r="C483" s="34" t="s">
        <v>37</v>
      </c>
      <c r="D483" s="35">
        <v>8</v>
      </c>
      <c r="E483" s="36">
        <v>21180993</v>
      </c>
      <c r="F483" s="36"/>
      <c r="G483" s="36"/>
      <c r="H483" s="36">
        <v>12507588</v>
      </c>
      <c r="I483" s="36">
        <v>0</v>
      </c>
      <c r="J483" s="37">
        <v>2807379</v>
      </c>
      <c r="K483" s="36">
        <v>33688581</v>
      </c>
      <c r="L483" s="38">
        <v>36495959</v>
      </c>
      <c r="M483" s="39"/>
      <c r="N483" s="36">
        <v>33688581</v>
      </c>
      <c r="O483" s="36">
        <v>21180993</v>
      </c>
      <c r="P483" s="36">
        <v>0</v>
      </c>
      <c r="Q483" s="36">
        <f>Q482*1936.27</f>
        <v>40308538.111701995</v>
      </c>
      <c r="R483" s="7"/>
      <c r="S483" s="7"/>
      <c r="T483" s="7"/>
      <c r="U483" s="7"/>
      <c r="V483" s="7"/>
      <c r="W483" s="7"/>
      <c r="X483" s="7"/>
      <c r="Y483" s="7"/>
      <c r="Z483" s="7"/>
    </row>
    <row r="484" spans="1:26" ht="12.75" customHeight="1" x14ac:dyDescent="0.2">
      <c r="A484" s="534"/>
      <c r="B484" s="534"/>
      <c r="C484" s="40" t="s">
        <v>36</v>
      </c>
      <c r="D484" s="41">
        <v>9</v>
      </c>
      <c r="E484" s="42">
        <v>12434.22</v>
      </c>
      <c r="F484" s="42"/>
      <c r="G484" s="42"/>
      <c r="H484" s="42">
        <v>6459.63</v>
      </c>
      <c r="I484" s="42">
        <v>0</v>
      </c>
      <c r="J484" s="42">
        <v>1574.49</v>
      </c>
      <c r="K484" s="43">
        <v>18893.849999999999</v>
      </c>
      <c r="L484" s="32">
        <v>20468.34</v>
      </c>
      <c r="M484" s="33"/>
      <c r="N484" s="30">
        <v>18893.849999999999</v>
      </c>
      <c r="O484" s="30">
        <v>12434.22</v>
      </c>
      <c r="P484" s="30"/>
      <c r="Q484" s="30">
        <f>(N484+O484*0.18+J484)+(IF((P484-O484*0.18)&gt;0,(P484-O484*0.18),0))</f>
        <v>22706.499599999999</v>
      </c>
      <c r="R484" s="7"/>
      <c r="S484" s="7"/>
      <c r="T484" s="7"/>
      <c r="U484" s="7"/>
      <c r="V484" s="7"/>
      <c r="W484" s="7"/>
      <c r="X484" s="7"/>
      <c r="Y484" s="7"/>
      <c r="Z484" s="7"/>
    </row>
    <row r="485" spans="1:26" ht="9" customHeight="1" x14ac:dyDescent="0.2">
      <c r="A485" s="534"/>
      <c r="B485" s="534"/>
      <c r="C485" s="34" t="s">
        <v>37</v>
      </c>
      <c r="D485" s="35">
        <v>14</v>
      </c>
      <c r="E485" s="36">
        <v>24076007</v>
      </c>
      <c r="F485" s="36"/>
      <c r="G485" s="36"/>
      <c r="H485" s="36">
        <v>12507588</v>
      </c>
      <c r="I485" s="36">
        <v>0</v>
      </c>
      <c r="J485" s="37">
        <v>3048638</v>
      </c>
      <c r="K485" s="36">
        <v>36583595</v>
      </c>
      <c r="L485" s="38">
        <v>39632233</v>
      </c>
      <c r="M485" s="39"/>
      <c r="N485" s="36">
        <v>36583595</v>
      </c>
      <c r="O485" s="36">
        <v>24076007</v>
      </c>
      <c r="P485" s="36">
        <v>0</v>
      </c>
      <c r="Q485" s="36">
        <f>Q484*1936.27</f>
        <v>43965913.980491996</v>
      </c>
      <c r="R485" s="7"/>
      <c r="S485" s="7"/>
      <c r="T485" s="7"/>
      <c r="U485" s="7"/>
      <c r="V485" s="7"/>
      <c r="W485" s="7"/>
      <c r="X485" s="7"/>
      <c r="Y485" s="7"/>
      <c r="Z485" s="7"/>
    </row>
    <row r="486" spans="1:26" ht="12.75" customHeight="1" x14ac:dyDescent="0.2">
      <c r="A486" s="534"/>
      <c r="B486" s="534"/>
      <c r="C486" s="40" t="s">
        <v>36</v>
      </c>
      <c r="D486" s="41">
        <v>15</v>
      </c>
      <c r="E486" s="42">
        <v>14269.7</v>
      </c>
      <c r="F486" s="42"/>
      <c r="G486" s="42"/>
      <c r="H486" s="42">
        <v>6459.63</v>
      </c>
      <c r="I486" s="42">
        <v>0</v>
      </c>
      <c r="J486" s="42">
        <v>1727.44</v>
      </c>
      <c r="K486" s="43">
        <v>20729.330000000002</v>
      </c>
      <c r="L486" s="32">
        <v>22456.77</v>
      </c>
      <c r="M486" s="33"/>
      <c r="N486" s="30">
        <v>20729.330000000002</v>
      </c>
      <c r="O486" s="30">
        <v>14269.7</v>
      </c>
      <c r="P486" s="30"/>
      <c r="Q486" s="30">
        <f>(N486+O486*0.18+J486)+(IF((P486-O486*0.18)&gt;0,(P486-O486*0.18),0))</f>
        <v>25025.315999999999</v>
      </c>
      <c r="R486" s="7"/>
      <c r="S486" s="7"/>
      <c r="T486" s="7"/>
      <c r="U486" s="7"/>
      <c r="V486" s="7"/>
      <c r="W486" s="7"/>
      <c r="X486" s="7"/>
      <c r="Y486" s="7"/>
      <c r="Z486" s="7"/>
    </row>
    <row r="487" spans="1:26" ht="9" customHeight="1" x14ac:dyDescent="0.2">
      <c r="A487" s="534"/>
      <c r="B487" s="534"/>
      <c r="C487" s="34" t="s">
        <v>37</v>
      </c>
      <c r="D487" s="35">
        <v>20</v>
      </c>
      <c r="E487" s="36">
        <v>27629992</v>
      </c>
      <c r="F487" s="36"/>
      <c r="G487" s="36"/>
      <c r="H487" s="36">
        <v>12507588</v>
      </c>
      <c r="I487" s="36">
        <v>0</v>
      </c>
      <c r="J487" s="37">
        <v>3344790</v>
      </c>
      <c r="K487" s="36">
        <v>40137580</v>
      </c>
      <c r="L487" s="38">
        <v>43482370</v>
      </c>
      <c r="M487" s="39"/>
      <c r="N487" s="36">
        <v>40137580</v>
      </c>
      <c r="O487" s="36">
        <v>27629992</v>
      </c>
      <c r="P487" s="36">
        <v>0</v>
      </c>
      <c r="Q487" s="36">
        <f>Q486*1936.27</f>
        <v>48455768.611319996</v>
      </c>
      <c r="R487" s="7"/>
      <c r="S487" s="7"/>
      <c r="T487" s="7"/>
      <c r="U487" s="7"/>
      <c r="V487" s="7"/>
      <c r="W487" s="7"/>
      <c r="X487" s="7"/>
      <c r="Y487" s="7"/>
      <c r="Z487" s="7"/>
    </row>
    <row r="488" spans="1:26" ht="12.75" customHeight="1" x14ac:dyDescent="0.2">
      <c r="A488" s="534"/>
      <c r="B488" s="534"/>
      <c r="C488" s="40" t="s">
        <v>36</v>
      </c>
      <c r="D488" s="41">
        <v>21</v>
      </c>
      <c r="E488" s="42">
        <v>16620.62</v>
      </c>
      <c r="F488" s="42"/>
      <c r="G488" s="42"/>
      <c r="H488" s="42">
        <v>6459.63</v>
      </c>
      <c r="I488" s="42">
        <v>0</v>
      </c>
      <c r="J488" s="42">
        <v>1923.35</v>
      </c>
      <c r="K488" s="43">
        <v>23080.25</v>
      </c>
      <c r="L488" s="32">
        <v>25003.599999999999</v>
      </c>
      <c r="M488" s="33"/>
      <c r="N488" s="30">
        <v>23080.25</v>
      </c>
      <c r="O488" s="30">
        <v>16620.62</v>
      </c>
      <c r="P488" s="30"/>
      <c r="Q488" s="30">
        <f>(N488+O488*0.18+J488)+(IF((P488-O488*0.18)&gt;0,(P488-O488*0.18),0))</f>
        <v>27995.311599999997</v>
      </c>
      <c r="R488" s="7"/>
      <c r="S488" s="7"/>
      <c r="T488" s="7"/>
      <c r="U488" s="7"/>
      <c r="V488" s="7"/>
      <c r="W488" s="7"/>
      <c r="X488" s="7"/>
      <c r="Y488" s="7"/>
      <c r="Z488" s="7"/>
    </row>
    <row r="489" spans="1:26" ht="9" customHeight="1" x14ac:dyDescent="0.2">
      <c r="A489" s="534"/>
      <c r="B489" s="534"/>
      <c r="C489" s="34" t="s">
        <v>37</v>
      </c>
      <c r="D489" s="35">
        <v>27</v>
      </c>
      <c r="E489" s="36">
        <v>32182008</v>
      </c>
      <c r="F489" s="36"/>
      <c r="G489" s="36"/>
      <c r="H489" s="36">
        <v>12507588</v>
      </c>
      <c r="I489" s="36">
        <v>0</v>
      </c>
      <c r="J489" s="37">
        <v>3724125</v>
      </c>
      <c r="K489" s="36">
        <v>44689596</v>
      </c>
      <c r="L489" s="38">
        <v>48413721</v>
      </c>
      <c r="M489" s="39"/>
      <c r="N489" s="36">
        <v>44689596</v>
      </c>
      <c r="O489" s="36">
        <v>32182008</v>
      </c>
      <c r="P489" s="36">
        <v>0</v>
      </c>
      <c r="Q489" s="36">
        <f>Q488*1936.27</f>
        <v>54206481.991731994</v>
      </c>
      <c r="R489" s="7"/>
      <c r="S489" s="7"/>
      <c r="T489" s="7"/>
      <c r="U489" s="7"/>
      <c r="V489" s="7"/>
      <c r="W489" s="7"/>
      <c r="X489" s="7"/>
      <c r="Y489" s="7"/>
      <c r="Z489" s="7"/>
    </row>
    <row r="490" spans="1:26" ht="12.75" customHeight="1" x14ac:dyDescent="0.2">
      <c r="A490" s="534"/>
      <c r="B490" s="534"/>
      <c r="C490" s="40" t="s">
        <v>36</v>
      </c>
      <c r="D490" s="41">
        <v>28</v>
      </c>
      <c r="E490" s="42">
        <v>18155.53</v>
      </c>
      <c r="F490" s="42"/>
      <c r="G490" s="42"/>
      <c r="H490" s="42">
        <v>6459.63</v>
      </c>
      <c r="I490" s="42">
        <v>0</v>
      </c>
      <c r="J490" s="42">
        <v>2051.2600000000002</v>
      </c>
      <c r="K490" s="43">
        <v>24615.16</v>
      </c>
      <c r="L490" s="32">
        <v>26666.42</v>
      </c>
      <c r="M490" s="33"/>
      <c r="N490" s="30">
        <v>24615.16</v>
      </c>
      <c r="O490" s="30">
        <v>18155.53</v>
      </c>
      <c r="P490" s="30"/>
      <c r="Q490" s="30">
        <f>(N490+O490*0.18+J490)+(IF((P490-O490*0.18)&gt;0,(P490-O490*0.18),0))</f>
        <v>29934.415399999998</v>
      </c>
      <c r="R490" s="7"/>
      <c r="S490" s="7"/>
      <c r="T490" s="7"/>
      <c r="U490" s="7"/>
      <c r="V490" s="7"/>
      <c r="W490" s="7"/>
      <c r="X490" s="7"/>
      <c r="Y490" s="7"/>
      <c r="Z490" s="7"/>
    </row>
    <row r="491" spans="1:26" ht="9" customHeight="1" x14ac:dyDescent="0.2">
      <c r="A491" s="534"/>
      <c r="B491" s="534"/>
      <c r="C491" s="34" t="s">
        <v>37</v>
      </c>
      <c r="D491" s="35">
        <v>34</v>
      </c>
      <c r="E491" s="36">
        <v>35154008</v>
      </c>
      <c r="F491" s="36"/>
      <c r="G491" s="36"/>
      <c r="H491" s="36">
        <v>12507588</v>
      </c>
      <c r="I491" s="36">
        <v>0</v>
      </c>
      <c r="J491" s="37">
        <v>3971793</v>
      </c>
      <c r="K491" s="36">
        <v>47661596</v>
      </c>
      <c r="L491" s="38">
        <v>51633389</v>
      </c>
      <c r="M491" s="39"/>
      <c r="N491" s="36">
        <v>47661596</v>
      </c>
      <c r="O491" s="36">
        <v>35154008</v>
      </c>
      <c r="P491" s="36">
        <v>0</v>
      </c>
      <c r="Q491" s="36">
        <f>Q490*1936.27</f>
        <v>57961110.506557994</v>
      </c>
      <c r="R491" s="7"/>
      <c r="S491" s="7"/>
      <c r="T491" s="7"/>
      <c r="U491" s="7"/>
      <c r="V491" s="7"/>
      <c r="W491" s="7"/>
      <c r="X491" s="7"/>
      <c r="Y491" s="7"/>
      <c r="Z491" s="7"/>
    </row>
    <row r="492" spans="1:26" ht="12.75" customHeight="1" x14ac:dyDescent="0.2">
      <c r="A492" s="534"/>
      <c r="B492" s="534"/>
      <c r="C492" s="40" t="s">
        <v>36</v>
      </c>
      <c r="D492" s="41">
        <v>35</v>
      </c>
      <c r="E492" s="42">
        <v>19382.63</v>
      </c>
      <c r="F492" s="42"/>
      <c r="G492" s="42"/>
      <c r="H492" s="42">
        <v>6459.63</v>
      </c>
      <c r="I492" s="42">
        <v>0</v>
      </c>
      <c r="J492" s="42">
        <v>2153.52</v>
      </c>
      <c r="K492" s="43">
        <v>25842.26</v>
      </c>
      <c r="L492" s="32">
        <v>27995.78</v>
      </c>
      <c r="M492" s="33"/>
      <c r="N492" s="30">
        <v>25842.26</v>
      </c>
      <c r="O492" s="30">
        <v>19382.63</v>
      </c>
      <c r="P492" s="30"/>
      <c r="Q492" s="30">
        <f>(N492+O492*0.18+J492)+(IF((P492-O492*0.18)&gt;0,(P492-O492*0.18),0))</f>
        <v>31484.653399999999</v>
      </c>
      <c r="R492" s="7"/>
      <c r="S492" s="7"/>
      <c r="T492" s="7"/>
      <c r="U492" s="7"/>
      <c r="V492" s="7"/>
      <c r="W492" s="7"/>
      <c r="X492" s="7"/>
      <c r="Y492" s="7"/>
      <c r="Z492" s="7"/>
    </row>
    <row r="493" spans="1:26" ht="9" customHeight="1" x14ac:dyDescent="0.2">
      <c r="A493" s="535"/>
      <c r="B493" s="535"/>
      <c r="C493" s="47" t="s">
        <v>37</v>
      </c>
      <c r="D493" s="48"/>
      <c r="E493" s="46">
        <v>37530005</v>
      </c>
      <c r="F493" s="46"/>
      <c r="G493" s="46"/>
      <c r="H493" s="46">
        <v>12507588</v>
      </c>
      <c r="I493" s="46">
        <v>0</v>
      </c>
      <c r="J493" s="49">
        <v>4169796</v>
      </c>
      <c r="K493" s="46">
        <v>50037593</v>
      </c>
      <c r="L493" s="38">
        <v>54207389</v>
      </c>
      <c r="M493" s="39"/>
      <c r="N493" s="36">
        <v>50037593</v>
      </c>
      <c r="O493" s="36">
        <v>37530005</v>
      </c>
      <c r="P493" s="36">
        <v>0</v>
      </c>
      <c r="Q493" s="36">
        <f>Q492*1936.27</f>
        <v>60962789.838817999</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7"/>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7"/>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7"/>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7"/>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7"/>
      <c r="M499" s="39"/>
      <c r="N499" s="96"/>
      <c r="O499" s="96"/>
      <c r="P499" s="96"/>
      <c r="Q499" s="96"/>
      <c r="R499" s="7"/>
      <c r="S499" s="7"/>
      <c r="T499" s="7"/>
      <c r="U499" s="7"/>
      <c r="V499" s="7"/>
      <c r="W499" s="7"/>
      <c r="X499" s="7"/>
      <c r="Y499" s="7"/>
      <c r="Z499" s="7"/>
    </row>
    <row r="500" spans="1:26" ht="12.75" customHeight="1" x14ac:dyDescent="0.2">
      <c r="A500" s="538">
        <v>36312</v>
      </c>
      <c r="B500" s="538">
        <v>36707</v>
      </c>
      <c r="C500" s="28" t="s">
        <v>36</v>
      </c>
      <c r="D500" s="29">
        <v>0</v>
      </c>
      <c r="E500" s="30">
        <v>10253.219999999999</v>
      </c>
      <c r="F500" s="30"/>
      <c r="G500" s="30"/>
      <c r="H500" s="30">
        <v>6459.63</v>
      </c>
      <c r="I500" s="30">
        <v>0</v>
      </c>
      <c r="J500" s="30">
        <v>1392.74</v>
      </c>
      <c r="K500" s="31">
        <v>16712.849999999999</v>
      </c>
      <c r="L500" s="32">
        <v>18105.59</v>
      </c>
      <c r="M500" s="33"/>
      <c r="N500" s="30">
        <v>16712.849999999999</v>
      </c>
      <c r="O500" s="30">
        <v>10253.219999999999</v>
      </c>
      <c r="P500" s="30"/>
      <c r="Q500" s="30">
        <f>(N500+O500*0.18+J500)+(IF((P500-O500*0.18)&gt;0,(P500-O500*0.18),0))</f>
        <v>19951.169600000001</v>
      </c>
      <c r="R500" s="7"/>
      <c r="S500" s="7"/>
      <c r="T500" s="7"/>
      <c r="U500" s="7"/>
      <c r="V500" s="7"/>
      <c r="W500" s="7"/>
      <c r="X500" s="7"/>
      <c r="Y500" s="7"/>
      <c r="Z500" s="7"/>
    </row>
    <row r="501" spans="1:26" ht="9" customHeight="1" x14ac:dyDescent="0.2">
      <c r="A501" s="534"/>
      <c r="B501" s="534"/>
      <c r="C501" s="34" t="s">
        <v>37</v>
      </c>
      <c r="D501" s="35">
        <v>2</v>
      </c>
      <c r="E501" s="36">
        <v>19853002</v>
      </c>
      <c r="F501" s="36"/>
      <c r="G501" s="36"/>
      <c r="H501" s="36">
        <v>12507588</v>
      </c>
      <c r="I501" s="36">
        <v>0</v>
      </c>
      <c r="J501" s="37">
        <v>2696721</v>
      </c>
      <c r="K501" s="36">
        <v>32360590</v>
      </c>
      <c r="L501" s="38">
        <v>35057311</v>
      </c>
      <c r="M501" s="39"/>
      <c r="N501" s="36">
        <v>32360590</v>
      </c>
      <c r="O501" s="36">
        <v>19853002</v>
      </c>
      <c r="P501" s="36">
        <v>0</v>
      </c>
      <c r="Q501" s="36">
        <f>Q500*1936.27</f>
        <v>38630851.161392003</v>
      </c>
      <c r="R501" s="7"/>
      <c r="S501" s="7"/>
      <c r="T501" s="7"/>
      <c r="U501" s="7"/>
      <c r="V501" s="7"/>
      <c r="W501" s="7"/>
      <c r="X501" s="7"/>
      <c r="Y501" s="7"/>
      <c r="Z501" s="7"/>
    </row>
    <row r="502" spans="1:26" ht="12.75" customHeight="1" x14ac:dyDescent="0.2">
      <c r="A502" s="539">
        <v>36312</v>
      </c>
      <c r="B502" s="539">
        <v>36707</v>
      </c>
      <c r="C502" s="40" t="s">
        <v>36</v>
      </c>
      <c r="D502" s="41">
        <v>3</v>
      </c>
      <c r="E502" s="42">
        <v>11193.17</v>
      </c>
      <c r="F502" s="42"/>
      <c r="G502" s="42"/>
      <c r="H502" s="42">
        <v>6459.63</v>
      </c>
      <c r="I502" s="42">
        <v>0</v>
      </c>
      <c r="J502" s="42">
        <v>1471.07</v>
      </c>
      <c r="K502" s="43">
        <v>17652.8</v>
      </c>
      <c r="L502" s="32">
        <v>19123.87</v>
      </c>
      <c r="M502" s="33"/>
      <c r="N502" s="30">
        <v>17652.8</v>
      </c>
      <c r="O502" s="30">
        <v>11193.17</v>
      </c>
      <c r="P502" s="30"/>
      <c r="Q502" s="30">
        <f>(N502+O502*0.18+J502)+(IF((P502-O502*0.18)&gt;0,(P502-O502*0.18),0))</f>
        <v>21138.640599999999</v>
      </c>
      <c r="R502" s="7"/>
      <c r="S502" s="7"/>
      <c r="T502" s="7"/>
      <c r="U502" s="7"/>
      <c r="V502" s="7"/>
      <c r="W502" s="7"/>
      <c r="X502" s="7"/>
      <c r="Y502" s="7"/>
      <c r="Z502" s="7"/>
    </row>
    <row r="503" spans="1:26" ht="9" customHeight="1" x14ac:dyDescent="0.2">
      <c r="A503" s="534"/>
      <c r="B503" s="534"/>
      <c r="C503" s="34" t="s">
        <v>37</v>
      </c>
      <c r="D503" s="35">
        <v>8</v>
      </c>
      <c r="E503" s="36">
        <v>21672999</v>
      </c>
      <c r="F503" s="36"/>
      <c r="G503" s="36"/>
      <c r="H503" s="36">
        <v>12507588</v>
      </c>
      <c r="I503" s="36">
        <v>0</v>
      </c>
      <c r="J503" s="37">
        <v>2848389</v>
      </c>
      <c r="K503" s="36">
        <v>34180587</v>
      </c>
      <c r="L503" s="38">
        <v>37028976</v>
      </c>
      <c r="M503" s="39"/>
      <c r="N503" s="36">
        <v>34180587</v>
      </c>
      <c r="O503" s="36">
        <v>21672999</v>
      </c>
      <c r="P503" s="36">
        <v>0</v>
      </c>
      <c r="Q503" s="36">
        <f>Q502*1936.27</f>
        <v>40930115.634562001</v>
      </c>
      <c r="R503" s="7"/>
      <c r="S503" s="7"/>
      <c r="T503" s="7"/>
      <c r="U503" s="7"/>
      <c r="V503" s="7"/>
      <c r="W503" s="7"/>
      <c r="X503" s="7"/>
      <c r="Y503" s="7"/>
      <c r="Z503" s="7"/>
    </row>
    <row r="504" spans="1:26" ht="12.75" customHeight="1" x14ac:dyDescent="0.2">
      <c r="A504" s="534"/>
      <c r="B504" s="534"/>
      <c r="C504" s="40" t="s">
        <v>36</v>
      </c>
      <c r="D504" s="41">
        <v>9</v>
      </c>
      <c r="E504" s="42">
        <v>12713.1</v>
      </c>
      <c r="F504" s="42"/>
      <c r="G504" s="42"/>
      <c r="H504" s="42">
        <v>6459.63</v>
      </c>
      <c r="I504" s="42">
        <v>0</v>
      </c>
      <c r="J504" s="42">
        <v>1597.73</v>
      </c>
      <c r="K504" s="43">
        <v>19172.73</v>
      </c>
      <c r="L504" s="32">
        <v>20770.46</v>
      </c>
      <c r="M504" s="33"/>
      <c r="N504" s="30">
        <v>19172.73</v>
      </c>
      <c r="O504" s="30">
        <v>12713.1</v>
      </c>
      <c r="P504" s="30"/>
      <c r="Q504" s="30">
        <f>(N504+O504*0.18+J504)+(IF((P504-O504*0.18)&gt;0,(P504-O504*0.18),0))</f>
        <v>23058.817999999999</v>
      </c>
      <c r="R504" s="7"/>
      <c r="S504" s="7"/>
      <c r="T504" s="7"/>
      <c r="U504" s="7"/>
      <c r="V504" s="7"/>
      <c r="W504" s="7"/>
      <c r="X504" s="7"/>
      <c r="Y504" s="7"/>
      <c r="Z504" s="7"/>
    </row>
    <row r="505" spans="1:26" ht="9" customHeight="1" x14ac:dyDescent="0.2">
      <c r="A505" s="534"/>
      <c r="B505" s="534"/>
      <c r="C505" s="34" t="s">
        <v>37</v>
      </c>
      <c r="D505" s="35">
        <v>14</v>
      </c>
      <c r="E505" s="36">
        <v>24615994</v>
      </c>
      <c r="F505" s="36"/>
      <c r="G505" s="36"/>
      <c r="H505" s="36">
        <v>12507588</v>
      </c>
      <c r="I505" s="36">
        <v>0</v>
      </c>
      <c r="J505" s="37">
        <v>3093637</v>
      </c>
      <c r="K505" s="36">
        <v>37123582</v>
      </c>
      <c r="L505" s="38">
        <v>40217219</v>
      </c>
      <c r="M505" s="39"/>
      <c r="N505" s="36">
        <v>37123582</v>
      </c>
      <c r="O505" s="36">
        <v>24615994</v>
      </c>
      <c r="P505" s="36">
        <v>0</v>
      </c>
      <c r="Q505" s="36">
        <f>Q504*1936.27</f>
        <v>44648097.528859995</v>
      </c>
      <c r="R505" s="7"/>
      <c r="S505" s="7"/>
      <c r="T505" s="7"/>
      <c r="U505" s="7"/>
      <c r="V505" s="7"/>
      <c r="W505" s="7"/>
      <c r="X505" s="7"/>
      <c r="Y505" s="7"/>
      <c r="Z505" s="7"/>
    </row>
    <row r="506" spans="1:26" ht="12.75" customHeight="1" x14ac:dyDescent="0.2">
      <c r="A506" s="534"/>
      <c r="B506" s="534"/>
      <c r="C506" s="40" t="s">
        <v>36</v>
      </c>
      <c r="D506" s="41">
        <v>15</v>
      </c>
      <c r="E506" s="42">
        <v>14573.38</v>
      </c>
      <c r="F506" s="42"/>
      <c r="G506" s="42"/>
      <c r="H506" s="42">
        <v>6459.63</v>
      </c>
      <c r="I506" s="42">
        <v>0</v>
      </c>
      <c r="J506" s="42">
        <v>1752.75</v>
      </c>
      <c r="K506" s="43">
        <v>21033.01</v>
      </c>
      <c r="L506" s="32">
        <v>22785.759999999998</v>
      </c>
      <c r="M506" s="33"/>
      <c r="N506" s="30">
        <v>21033.01</v>
      </c>
      <c r="O506" s="30">
        <v>14573.38</v>
      </c>
      <c r="P506" s="30"/>
      <c r="Q506" s="30">
        <f>(N506+O506*0.18+J506)+(IF((P506-O506*0.18)&gt;0,(P506-O506*0.18),0))</f>
        <v>25408.968399999998</v>
      </c>
      <c r="R506" s="7"/>
      <c r="S506" s="7"/>
      <c r="T506" s="7"/>
      <c r="U506" s="7"/>
      <c r="V506" s="7"/>
      <c r="W506" s="7"/>
      <c r="X506" s="7"/>
      <c r="Y506" s="7"/>
      <c r="Z506" s="7"/>
    </row>
    <row r="507" spans="1:26" ht="9" customHeight="1" x14ac:dyDescent="0.2">
      <c r="A507" s="534"/>
      <c r="B507" s="534"/>
      <c r="C507" s="34" t="s">
        <v>37</v>
      </c>
      <c r="D507" s="35">
        <v>20</v>
      </c>
      <c r="E507" s="36">
        <v>28217998</v>
      </c>
      <c r="F507" s="36"/>
      <c r="G507" s="36"/>
      <c r="H507" s="36">
        <v>12507588</v>
      </c>
      <c r="I507" s="36">
        <v>0</v>
      </c>
      <c r="J507" s="37">
        <v>3393797</v>
      </c>
      <c r="K507" s="36">
        <v>40725586</v>
      </c>
      <c r="L507" s="38">
        <v>44119384</v>
      </c>
      <c r="M507" s="39"/>
      <c r="N507" s="36">
        <v>40725586</v>
      </c>
      <c r="O507" s="36">
        <v>28217998</v>
      </c>
      <c r="P507" s="36">
        <v>0</v>
      </c>
      <c r="Q507" s="36">
        <f>Q506*1936.27</f>
        <v>49198623.243867993</v>
      </c>
      <c r="R507" s="7"/>
      <c r="S507" s="7"/>
      <c r="T507" s="7"/>
      <c r="U507" s="7"/>
      <c r="V507" s="7"/>
      <c r="W507" s="7"/>
      <c r="X507" s="7"/>
      <c r="Y507" s="7"/>
      <c r="Z507" s="7"/>
    </row>
    <row r="508" spans="1:26" ht="12.75" customHeight="1" x14ac:dyDescent="0.2">
      <c r="A508" s="534"/>
      <c r="B508" s="534"/>
      <c r="C508" s="40" t="s">
        <v>36</v>
      </c>
      <c r="D508" s="41">
        <v>21</v>
      </c>
      <c r="E508" s="42">
        <v>16961.48</v>
      </c>
      <c r="F508" s="42"/>
      <c r="G508" s="42"/>
      <c r="H508" s="42">
        <v>6459.63</v>
      </c>
      <c r="I508" s="42">
        <v>0</v>
      </c>
      <c r="J508" s="42">
        <v>1951.76</v>
      </c>
      <c r="K508" s="43">
        <v>23421.11</v>
      </c>
      <c r="L508" s="32">
        <v>25372.87</v>
      </c>
      <c r="M508" s="33"/>
      <c r="N508" s="30">
        <v>23421.11</v>
      </c>
      <c r="O508" s="30">
        <v>16961.48</v>
      </c>
      <c r="P508" s="30"/>
      <c r="Q508" s="30">
        <f>(N508+O508*0.18+J508)+(IF((P508-O508*0.18)&gt;0,(P508-O508*0.18),0))</f>
        <v>28425.936399999999</v>
      </c>
      <c r="R508" s="7"/>
      <c r="S508" s="7"/>
      <c r="T508" s="7"/>
      <c r="U508" s="7"/>
      <c r="V508" s="7"/>
      <c r="W508" s="7"/>
      <c r="X508" s="7"/>
      <c r="Y508" s="7"/>
      <c r="Z508" s="7"/>
    </row>
    <row r="509" spans="1:26" ht="9" customHeight="1" x14ac:dyDescent="0.2">
      <c r="A509" s="534"/>
      <c r="B509" s="534"/>
      <c r="C509" s="34" t="s">
        <v>37</v>
      </c>
      <c r="D509" s="35">
        <v>27</v>
      </c>
      <c r="E509" s="36">
        <v>32842005</v>
      </c>
      <c r="F509" s="36"/>
      <c r="G509" s="36"/>
      <c r="H509" s="36">
        <v>12507588</v>
      </c>
      <c r="I509" s="36">
        <v>0</v>
      </c>
      <c r="J509" s="37">
        <v>3779134</v>
      </c>
      <c r="K509" s="36">
        <v>45349593</v>
      </c>
      <c r="L509" s="38">
        <v>49128727</v>
      </c>
      <c r="M509" s="39"/>
      <c r="N509" s="36">
        <v>45349593</v>
      </c>
      <c r="O509" s="36">
        <v>32842005</v>
      </c>
      <c r="P509" s="36">
        <v>0</v>
      </c>
      <c r="Q509" s="36">
        <f>Q508*1936.27</f>
        <v>55040287.873227999</v>
      </c>
      <c r="R509" s="7"/>
      <c r="S509" s="7"/>
      <c r="T509" s="7"/>
      <c r="U509" s="7"/>
      <c r="V509" s="7"/>
      <c r="W509" s="7"/>
      <c r="X509" s="7"/>
      <c r="Y509" s="7"/>
      <c r="Z509" s="7"/>
    </row>
    <row r="510" spans="1:26" ht="12.75" customHeight="1" x14ac:dyDescent="0.2">
      <c r="A510" s="534"/>
      <c r="B510" s="534"/>
      <c r="C510" s="40" t="s">
        <v>36</v>
      </c>
      <c r="D510" s="41">
        <v>28</v>
      </c>
      <c r="E510" s="42">
        <v>18521.18</v>
      </c>
      <c r="F510" s="42"/>
      <c r="G510" s="42"/>
      <c r="H510" s="42">
        <v>6459.63</v>
      </c>
      <c r="I510" s="42">
        <v>0</v>
      </c>
      <c r="J510" s="42">
        <v>2081.73</v>
      </c>
      <c r="K510" s="43">
        <v>24980.81</v>
      </c>
      <c r="L510" s="32">
        <v>27062.54</v>
      </c>
      <c r="M510" s="33"/>
      <c r="N510" s="30">
        <v>24980.81</v>
      </c>
      <c r="O510" s="30">
        <v>18521.18</v>
      </c>
      <c r="P510" s="30"/>
      <c r="Q510" s="30">
        <f>(N510+O510*0.18+J510)+(IF((P510-O510*0.18)&gt;0,(P510-O510*0.18),0))</f>
        <v>30396.3524</v>
      </c>
      <c r="R510" s="7"/>
      <c r="S510" s="7"/>
      <c r="T510" s="7"/>
      <c r="U510" s="7"/>
      <c r="V510" s="7"/>
      <c r="W510" s="7"/>
      <c r="X510" s="7"/>
      <c r="Y510" s="7"/>
      <c r="Z510" s="7"/>
    </row>
    <row r="511" spans="1:26" ht="9" customHeight="1" x14ac:dyDescent="0.2">
      <c r="A511" s="534"/>
      <c r="B511" s="534"/>
      <c r="C511" s="34" t="s">
        <v>37</v>
      </c>
      <c r="D511" s="35">
        <v>34</v>
      </c>
      <c r="E511" s="36">
        <v>35862005</v>
      </c>
      <c r="F511" s="36"/>
      <c r="G511" s="36"/>
      <c r="H511" s="36">
        <v>12507588</v>
      </c>
      <c r="I511" s="36">
        <v>0</v>
      </c>
      <c r="J511" s="37">
        <v>4030791</v>
      </c>
      <c r="K511" s="36">
        <v>48369593</v>
      </c>
      <c r="L511" s="38">
        <v>52400384</v>
      </c>
      <c r="M511" s="39"/>
      <c r="N511" s="36">
        <v>48369593</v>
      </c>
      <c r="O511" s="36">
        <v>35862005</v>
      </c>
      <c r="P511" s="36">
        <v>0</v>
      </c>
      <c r="Q511" s="36">
        <f>Q510*1936.27</f>
        <v>58855545.261547998</v>
      </c>
      <c r="R511" s="7"/>
      <c r="S511" s="7"/>
      <c r="T511" s="7"/>
      <c r="U511" s="7"/>
      <c r="V511" s="7"/>
      <c r="W511" s="7"/>
      <c r="X511" s="7"/>
      <c r="Y511" s="7"/>
      <c r="Z511" s="7"/>
    </row>
    <row r="512" spans="1:26" ht="12.75" customHeight="1" x14ac:dyDescent="0.2">
      <c r="A512" s="534"/>
      <c r="B512" s="534"/>
      <c r="C512" s="40" t="s">
        <v>36</v>
      </c>
      <c r="D512" s="41">
        <v>35</v>
      </c>
      <c r="E512" s="42">
        <v>19760.669999999998</v>
      </c>
      <c r="F512" s="42"/>
      <c r="G512" s="42"/>
      <c r="H512" s="42">
        <v>6459.63</v>
      </c>
      <c r="I512" s="42">
        <v>0</v>
      </c>
      <c r="J512" s="42">
        <v>2185.0300000000002</v>
      </c>
      <c r="K512" s="43">
        <v>26220.3</v>
      </c>
      <c r="L512" s="32">
        <v>28405.33</v>
      </c>
      <c r="M512" s="33"/>
      <c r="N512" s="30">
        <v>26220.3</v>
      </c>
      <c r="O512" s="30">
        <v>19760.669999999998</v>
      </c>
      <c r="P512" s="30"/>
      <c r="Q512" s="30">
        <f>(N512+O512*0.18+J512)+(IF((P512-O512*0.18)&gt;0,(P512-O512*0.18),0))</f>
        <v>31962.250599999999</v>
      </c>
      <c r="R512" s="7"/>
      <c r="S512" s="7"/>
      <c r="T512" s="7"/>
      <c r="U512" s="7"/>
      <c r="V512" s="7"/>
      <c r="W512" s="7"/>
      <c r="X512" s="7"/>
      <c r="Y512" s="7"/>
      <c r="Z512" s="7"/>
    </row>
    <row r="513" spans="1:26" ht="9" customHeight="1" x14ac:dyDescent="0.2">
      <c r="A513" s="535"/>
      <c r="B513" s="535"/>
      <c r="C513" s="47" t="s">
        <v>37</v>
      </c>
      <c r="D513" s="48"/>
      <c r="E513" s="46">
        <v>38261993</v>
      </c>
      <c r="F513" s="46"/>
      <c r="G513" s="46"/>
      <c r="H513" s="46">
        <v>12507588</v>
      </c>
      <c r="I513" s="46">
        <v>0</v>
      </c>
      <c r="J513" s="49">
        <v>4230808</v>
      </c>
      <c r="K513" s="46">
        <v>50769580</v>
      </c>
      <c r="L513" s="38">
        <v>55000388</v>
      </c>
      <c r="M513" s="39"/>
      <c r="N513" s="36">
        <v>50769580</v>
      </c>
      <c r="O513" s="36">
        <v>38261993</v>
      </c>
      <c r="P513" s="36">
        <v>0</v>
      </c>
      <c r="Q513" s="36">
        <f>Q512*1936.27</f>
        <v>61887546.969261996</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538">
        <v>36708</v>
      </c>
      <c r="B520" s="538">
        <v>36769</v>
      </c>
      <c r="C520" s="28" t="s">
        <v>36</v>
      </c>
      <c r="D520" s="29">
        <v>0</v>
      </c>
      <c r="E520" s="30">
        <v>10451.540000000001</v>
      </c>
      <c r="F520" s="30"/>
      <c r="G520" s="30"/>
      <c r="H520" s="30">
        <v>6459.63</v>
      </c>
      <c r="I520" s="30">
        <v>0</v>
      </c>
      <c r="J520" s="30">
        <v>1409.26</v>
      </c>
      <c r="K520" s="31">
        <v>16911.169999999998</v>
      </c>
      <c r="L520" s="32">
        <v>18320.43</v>
      </c>
      <c r="M520" s="33"/>
      <c r="N520" s="30">
        <v>16911.169999999998</v>
      </c>
      <c r="O520" s="30">
        <v>10451.540000000001</v>
      </c>
      <c r="P520" s="30"/>
      <c r="Q520" s="30">
        <f>(N520+O520*0.18+J520)+(IF((P520-O520*0.18)&gt;0,(P520-O520*0.18),0))</f>
        <v>20201.707199999997</v>
      </c>
      <c r="R520" s="7"/>
      <c r="S520" s="7"/>
      <c r="T520" s="7"/>
      <c r="U520" s="7"/>
      <c r="V520" s="7"/>
      <c r="W520" s="7"/>
      <c r="X520" s="7"/>
      <c r="Y520" s="7"/>
      <c r="Z520" s="7"/>
    </row>
    <row r="521" spans="1:26" ht="9" customHeight="1" x14ac:dyDescent="0.2">
      <c r="A521" s="534"/>
      <c r="B521" s="534"/>
      <c r="C521" s="34" t="s">
        <v>37</v>
      </c>
      <c r="D521" s="35">
        <v>2</v>
      </c>
      <c r="E521" s="36">
        <v>20237003</v>
      </c>
      <c r="F521" s="36"/>
      <c r="G521" s="36"/>
      <c r="H521" s="36">
        <v>12507588</v>
      </c>
      <c r="I521" s="36">
        <v>0</v>
      </c>
      <c r="J521" s="37">
        <v>2728708</v>
      </c>
      <c r="K521" s="36">
        <v>32744591</v>
      </c>
      <c r="L521" s="38">
        <v>35473299</v>
      </c>
      <c r="M521" s="39"/>
      <c r="N521" s="36">
        <v>32744591</v>
      </c>
      <c r="O521" s="36">
        <v>20237003</v>
      </c>
      <c r="P521" s="36">
        <v>0</v>
      </c>
      <c r="Q521" s="36">
        <f>Q520*1936.27</f>
        <v>39115959.600143991</v>
      </c>
      <c r="R521" s="7"/>
      <c r="S521" s="7"/>
      <c r="T521" s="7"/>
      <c r="U521" s="7"/>
      <c r="V521" s="7"/>
      <c r="W521" s="7"/>
      <c r="X521" s="7"/>
      <c r="Y521" s="7"/>
      <c r="Z521" s="7"/>
    </row>
    <row r="522" spans="1:26" ht="12.75" customHeight="1" x14ac:dyDescent="0.2">
      <c r="A522" s="539">
        <v>36708</v>
      </c>
      <c r="B522" s="539">
        <v>36769</v>
      </c>
      <c r="C522" s="40" t="s">
        <v>36</v>
      </c>
      <c r="D522" s="41">
        <v>3</v>
      </c>
      <c r="E522" s="42">
        <v>11403.88</v>
      </c>
      <c r="F522" s="42"/>
      <c r="G522" s="42"/>
      <c r="H522" s="42">
        <v>6459.63</v>
      </c>
      <c r="I522" s="42">
        <v>0</v>
      </c>
      <c r="J522" s="42">
        <v>1488.63</v>
      </c>
      <c r="K522" s="43">
        <v>17863.509999999998</v>
      </c>
      <c r="L522" s="32">
        <v>19352.14</v>
      </c>
      <c r="M522" s="33"/>
      <c r="N522" s="30">
        <v>17863.509999999998</v>
      </c>
      <c r="O522" s="30">
        <v>11403.88</v>
      </c>
      <c r="P522" s="30"/>
      <c r="Q522" s="30">
        <f>(N522+O522*0.18+J522)+(IF((P522-O522*0.18)&gt;0,(P522-O522*0.18),0))</f>
        <v>21404.838400000001</v>
      </c>
      <c r="R522" s="7"/>
      <c r="S522" s="7"/>
      <c r="T522" s="7"/>
      <c r="U522" s="7"/>
      <c r="V522" s="7"/>
      <c r="W522" s="7"/>
      <c r="X522" s="7"/>
      <c r="Y522" s="7"/>
      <c r="Z522" s="7"/>
    </row>
    <row r="523" spans="1:26" ht="9" customHeight="1" x14ac:dyDescent="0.2">
      <c r="A523" s="534"/>
      <c r="B523" s="534"/>
      <c r="C523" s="34" t="s">
        <v>37</v>
      </c>
      <c r="D523" s="35">
        <v>8</v>
      </c>
      <c r="E523" s="36">
        <v>22080991</v>
      </c>
      <c r="F523" s="36"/>
      <c r="G523" s="36"/>
      <c r="H523" s="36">
        <v>12507588</v>
      </c>
      <c r="I523" s="36">
        <v>0</v>
      </c>
      <c r="J523" s="37">
        <v>2882390</v>
      </c>
      <c r="K523" s="36">
        <v>34588579</v>
      </c>
      <c r="L523" s="38">
        <v>37470968</v>
      </c>
      <c r="M523" s="39"/>
      <c r="N523" s="36">
        <v>34588579</v>
      </c>
      <c r="O523" s="36">
        <v>22080991</v>
      </c>
      <c r="P523" s="36">
        <v>0</v>
      </c>
      <c r="Q523" s="36">
        <f>Q522*1936.27</f>
        <v>41445546.448767997</v>
      </c>
      <c r="R523" s="7"/>
      <c r="S523" s="7"/>
      <c r="T523" s="7"/>
      <c r="U523" s="7"/>
      <c r="V523" s="7"/>
      <c r="W523" s="7"/>
      <c r="X523" s="7"/>
      <c r="Y523" s="7"/>
      <c r="Z523" s="7"/>
    </row>
    <row r="524" spans="1:26" ht="12.75" customHeight="1" x14ac:dyDescent="0.2">
      <c r="A524" s="534"/>
      <c r="B524" s="534"/>
      <c r="C524" s="40" t="s">
        <v>36</v>
      </c>
      <c r="D524" s="41">
        <v>9</v>
      </c>
      <c r="E524" s="42">
        <v>12942.41</v>
      </c>
      <c r="F524" s="42"/>
      <c r="G524" s="42"/>
      <c r="H524" s="42">
        <v>6459.63</v>
      </c>
      <c r="I524" s="42">
        <v>0</v>
      </c>
      <c r="J524" s="42">
        <v>1616.84</v>
      </c>
      <c r="K524" s="43">
        <v>19402.04</v>
      </c>
      <c r="L524" s="32">
        <v>21018.880000000001</v>
      </c>
      <c r="M524" s="33"/>
      <c r="N524" s="30">
        <v>19402.04</v>
      </c>
      <c r="O524" s="30">
        <v>12942.41</v>
      </c>
      <c r="P524" s="30"/>
      <c r="Q524" s="30">
        <f>(N524+O524*0.18+J524)+(IF((P524-O524*0.18)&gt;0,(P524-O524*0.18),0))</f>
        <v>23348.513800000001</v>
      </c>
      <c r="R524" s="7"/>
      <c r="S524" s="7"/>
      <c r="T524" s="7"/>
      <c r="U524" s="7"/>
      <c r="V524" s="7"/>
      <c r="W524" s="7"/>
      <c r="X524" s="7"/>
      <c r="Y524" s="7"/>
      <c r="Z524" s="7"/>
    </row>
    <row r="525" spans="1:26" ht="9" customHeight="1" x14ac:dyDescent="0.2">
      <c r="A525" s="534"/>
      <c r="B525" s="534"/>
      <c r="C525" s="34" t="s">
        <v>37</v>
      </c>
      <c r="D525" s="35">
        <v>14</v>
      </c>
      <c r="E525" s="36">
        <v>25060000</v>
      </c>
      <c r="F525" s="36"/>
      <c r="G525" s="36"/>
      <c r="H525" s="36">
        <v>12507588</v>
      </c>
      <c r="I525" s="36">
        <v>0</v>
      </c>
      <c r="J525" s="37">
        <v>3130639</v>
      </c>
      <c r="K525" s="36">
        <v>37567588</v>
      </c>
      <c r="L525" s="38">
        <v>40698227</v>
      </c>
      <c r="M525" s="39"/>
      <c r="N525" s="36">
        <v>37567588</v>
      </c>
      <c r="O525" s="36">
        <v>25060000</v>
      </c>
      <c r="P525" s="36">
        <v>0</v>
      </c>
      <c r="Q525" s="36">
        <f>Q524*1936.27</f>
        <v>45209026.815526001</v>
      </c>
      <c r="R525" s="7"/>
      <c r="S525" s="7"/>
      <c r="T525" s="7"/>
      <c r="U525" s="7"/>
      <c r="V525" s="7"/>
      <c r="W525" s="7"/>
      <c r="X525" s="7"/>
      <c r="Y525" s="7"/>
      <c r="Z525" s="7"/>
    </row>
    <row r="526" spans="1:26" ht="12.75" customHeight="1" x14ac:dyDescent="0.2">
      <c r="A526" s="534"/>
      <c r="B526" s="534"/>
      <c r="C526" s="40" t="s">
        <v>36</v>
      </c>
      <c r="D526" s="41">
        <v>15</v>
      </c>
      <c r="E526" s="42">
        <v>14827.48</v>
      </c>
      <c r="F526" s="42"/>
      <c r="G526" s="42"/>
      <c r="H526" s="42">
        <v>6459.63</v>
      </c>
      <c r="I526" s="42">
        <v>0</v>
      </c>
      <c r="J526" s="42">
        <v>1773.93</v>
      </c>
      <c r="K526" s="43">
        <v>21287.11</v>
      </c>
      <c r="L526" s="32">
        <v>23061.040000000001</v>
      </c>
      <c r="M526" s="33"/>
      <c r="N526" s="30">
        <v>21287.11</v>
      </c>
      <c r="O526" s="30">
        <v>14827.48</v>
      </c>
      <c r="P526" s="30"/>
      <c r="Q526" s="30">
        <f>(N526+O526*0.18+J526)+(IF((P526-O526*0.18)&gt;0,(P526-O526*0.18),0))</f>
        <v>25729.986400000002</v>
      </c>
      <c r="R526" s="7"/>
      <c r="S526" s="7"/>
      <c r="T526" s="7"/>
      <c r="U526" s="7"/>
      <c r="V526" s="7"/>
      <c r="W526" s="7"/>
      <c r="X526" s="7"/>
      <c r="Y526" s="7"/>
      <c r="Z526" s="7"/>
    </row>
    <row r="527" spans="1:26" ht="9" customHeight="1" x14ac:dyDescent="0.2">
      <c r="A527" s="534"/>
      <c r="B527" s="534"/>
      <c r="C527" s="34" t="s">
        <v>37</v>
      </c>
      <c r="D527" s="35">
        <v>20</v>
      </c>
      <c r="E527" s="36">
        <v>28710005</v>
      </c>
      <c r="F527" s="36"/>
      <c r="G527" s="36"/>
      <c r="H527" s="36">
        <v>12507588</v>
      </c>
      <c r="I527" s="36">
        <v>0</v>
      </c>
      <c r="J527" s="37">
        <v>3434807</v>
      </c>
      <c r="K527" s="36">
        <v>41217592</v>
      </c>
      <c r="L527" s="38">
        <v>44652400</v>
      </c>
      <c r="M527" s="39"/>
      <c r="N527" s="36">
        <v>41217592</v>
      </c>
      <c r="O527" s="36">
        <v>28710005</v>
      </c>
      <c r="P527" s="36">
        <v>0</v>
      </c>
      <c r="Q527" s="36">
        <f>Q526*1936.27</f>
        <v>49820200.766728006</v>
      </c>
      <c r="R527" s="7"/>
      <c r="S527" s="7"/>
      <c r="T527" s="7"/>
      <c r="U527" s="7"/>
      <c r="V527" s="7"/>
      <c r="W527" s="7"/>
      <c r="X527" s="7"/>
      <c r="Y527" s="7"/>
      <c r="Z527" s="7"/>
    </row>
    <row r="528" spans="1:26" ht="12.75" customHeight="1" x14ac:dyDescent="0.2">
      <c r="A528" s="534"/>
      <c r="B528" s="534"/>
      <c r="C528" s="40" t="s">
        <v>36</v>
      </c>
      <c r="D528" s="41">
        <v>21</v>
      </c>
      <c r="E528" s="42">
        <v>17240.36</v>
      </c>
      <c r="F528" s="42"/>
      <c r="G528" s="42"/>
      <c r="H528" s="42">
        <v>6459.63</v>
      </c>
      <c r="I528" s="42">
        <v>0</v>
      </c>
      <c r="J528" s="42">
        <v>1975</v>
      </c>
      <c r="K528" s="43">
        <v>23699.99</v>
      </c>
      <c r="L528" s="32">
        <v>25674.99</v>
      </c>
      <c r="M528" s="33"/>
      <c r="N528" s="30">
        <v>23699.99</v>
      </c>
      <c r="O528" s="30">
        <v>17240.36</v>
      </c>
      <c r="P528" s="30"/>
      <c r="Q528" s="30">
        <f>(N528+O528*0.18+J528)+(IF((P528-O528*0.18)&gt;0,(P528-O528*0.18),0))</f>
        <v>28778.254800000002</v>
      </c>
      <c r="R528" s="7"/>
      <c r="S528" s="7"/>
      <c r="T528" s="7"/>
      <c r="U528" s="7"/>
      <c r="V528" s="7"/>
      <c r="W528" s="7"/>
      <c r="X528" s="7"/>
      <c r="Y528" s="7"/>
      <c r="Z528" s="7"/>
    </row>
    <row r="529" spans="1:26" ht="9" customHeight="1" x14ac:dyDescent="0.2">
      <c r="A529" s="534"/>
      <c r="B529" s="534"/>
      <c r="C529" s="34" t="s">
        <v>37</v>
      </c>
      <c r="D529" s="35">
        <v>27</v>
      </c>
      <c r="E529" s="36">
        <v>33381992</v>
      </c>
      <c r="F529" s="36"/>
      <c r="G529" s="36"/>
      <c r="H529" s="36">
        <v>12507588</v>
      </c>
      <c r="I529" s="36">
        <v>0</v>
      </c>
      <c r="J529" s="37">
        <v>3824133</v>
      </c>
      <c r="K529" s="36">
        <v>45889580</v>
      </c>
      <c r="L529" s="38">
        <v>49713713</v>
      </c>
      <c r="M529" s="39"/>
      <c r="N529" s="36">
        <v>45889580</v>
      </c>
      <c r="O529" s="36">
        <v>33381992</v>
      </c>
      <c r="P529" s="36">
        <v>0</v>
      </c>
      <c r="Q529" s="36">
        <f>Q528*1936.27</f>
        <v>55722471.421596006</v>
      </c>
      <c r="R529" s="7"/>
      <c r="S529" s="7"/>
      <c r="T529" s="7"/>
      <c r="U529" s="7"/>
      <c r="V529" s="7"/>
      <c r="W529" s="7"/>
      <c r="X529" s="7"/>
      <c r="Y529" s="7"/>
      <c r="Z529" s="7"/>
    </row>
    <row r="530" spans="1:26" ht="12.75" customHeight="1" x14ac:dyDescent="0.2">
      <c r="A530" s="534"/>
      <c r="B530" s="534"/>
      <c r="C530" s="40" t="s">
        <v>36</v>
      </c>
      <c r="D530" s="41">
        <v>28</v>
      </c>
      <c r="E530" s="42">
        <v>18818.66</v>
      </c>
      <c r="F530" s="42"/>
      <c r="G530" s="42"/>
      <c r="H530" s="42">
        <v>6459.63</v>
      </c>
      <c r="I530" s="42">
        <v>0</v>
      </c>
      <c r="J530" s="42">
        <v>2106.52</v>
      </c>
      <c r="K530" s="43">
        <v>25278.29</v>
      </c>
      <c r="L530" s="32">
        <v>27384.81</v>
      </c>
      <c r="M530" s="33"/>
      <c r="N530" s="30">
        <v>25278.29</v>
      </c>
      <c r="O530" s="30">
        <v>18818.66</v>
      </c>
      <c r="P530" s="30"/>
      <c r="Q530" s="30">
        <f>(N530+O530*0.18+J530)+(IF((P530-O530*0.18)&gt;0,(P530-O530*0.18),0))</f>
        <v>30772.168800000003</v>
      </c>
      <c r="R530" s="7"/>
      <c r="S530" s="7"/>
      <c r="T530" s="7"/>
      <c r="U530" s="7"/>
      <c r="V530" s="7"/>
      <c r="W530" s="7"/>
      <c r="X530" s="7"/>
      <c r="Y530" s="7"/>
      <c r="Z530" s="7"/>
    </row>
    <row r="531" spans="1:26" ht="9" customHeight="1" x14ac:dyDescent="0.2">
      <c r="A531" s="534"/>
      <c r="B531" s="534"/>
      <c r="C531" s="34" t="s">
        <v>37</v>
      </c>
      <c r="D531" s="35">
        <v>34</v>
      </c>
      <c r="E531" s="36">
        <v>36438007</v>
      </c>
      <c r="F531" s="36"/>
      <c r="G531" s="36"/>
      <c r="H531" s="36">
        <v>12507588</v>
      </c>
      <c r="I531" s="36">
        <v>0</v>
      </c>
      <c r="J531" s="37">
        <v>4078791</v>
      </c>
      <c r="K531" s="36">
        <v>48945595</v>
      </c>
      <c r="L531" s="38">
        <v>53024386</v>
      </c>
      <c r="M531" s="39"/>
      <c r="N531" s="36">
        <v>48945595</v>
      </c>
      <c r="O531" s="36">
        <v>36438007</v>
      </c>
      <c r="P531" s="36"/>
      <c r="Q531" s="36">
        <f>Q530*1936.27</f>
        <v>59583227.282376006</v>
      </c>
      <c r="R531" s="7"/>
      <c r="S531" s="7"/>
      <c r="T531" s="7"/>
      <c r="U531" s="7"/>
      <c r="V531" s="7"/>
      <c r="W531" s="7"/>
      <c r="X531" s="7"/>
      <c r="Y531" s="7"/>
      <c r="Z531" s="7"/>
    </row>
    <row r="532" spans="1:26" ht="12.75" customHeight="1" x14ac:dyDescent="0.2">
      <c r="A532" s="534"/>
      <c r="B532" s="534"/>
      <c r="C532" s="40" t="s">
        <v>36</v>
      </c>
      <c r="D532" s="41">
        <v>35</v>
      </c>
      <c r="E532" s="42">
        <v>20076.75</v>
      </c>
      <c r="F532" s="42"/>
      <c r="G532" s="42"/>
      <c r="H532" s="42">
        <v>6459.63</v>
      </c>
      <c r="I532" s="42">
        <v>0</v>
      </c>
      <c r="J532" s="42">
        <v>2211.37</v>
      </c>
      <c r="K532" s="43">
        <v>26536.38</v>
      </c>
      <c r="L532" s="32">
        <v>28747.75</v>
      </c>
      <c r="M532" s="33"/>
      <c r="N532" s="30">
        <v>26536.38</v>
      </c>
      <c r="O532" s="30">
        <v>20076.75</v>
      </c>
      <c r="P532" s="30"/>
      <c r="Q532" s="30">
        <f>(N532+O532*0.18+J532)+(IF((P532-O532*0.18)&gt;0,(P532-O532*0.18),0))</f>
        <v>32361.564999999999</v>
      </c>
      <c r="R532" s="7"/>
      <c r="S532" s="7"/>
      <c r="T532" s="7"/>
      <c r="U532" s="7"/>
      <c r="V532" s="7"/>
      <c r="W532" s="7"/>
      <c r="X532" s="7"/>
      <c r="Y532" s="7"/>
      <c r="Z532" s="7"/>
    </row>
    <row r="533" spans="1:26" ht="9" customHeight="1" x14ac:dyDescent="0.2">
      <c r="A533" s="535"/>
      <c r="B533" s="535"/>
      <c r="C533" s="47" t="s">
        <v>37</v>
      </c>
      <c r="D533" s="48"/>
      <c r="E533" s="46">
        <v>38874009</v>
      </c>
      <c r="F533" s="46"/>
      <c r="G533" s="46"/>
      <c r="H533" s="46">
        <v>12507588</v>
      </c>
      <c r="I533" s="46">
        <v>0</v>
      </c>
      <c r="J533" s="49">
        <v>4281809</v>
      </c>
      <c r="K533" s="46">
        <v>51381597</v>
      </c>
      <c r="L533" s="38">
        <v>55663406</v>
      </c>
      <c r="M533" s="39"/>
      <c r="N533" s="36">
        <v>51381597</v>
      </c>
      <c r="O533" s="36">
        <v>38874009</v>
      </c>
      <c r="P533" s="36"/>
      <c r="Q533" s="36">
        <f>Q532*1936.27</f>
        <v>62660727.462549999</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538">
        <v>36770</v>
      </c>
      <c r="B540" s="538">
        <v>36891</v>
      </c>
      <c r="C540" s="28" t="s">
        <v>36</v>
      </c>
      <c r="D540" s="29">
        <v>0</v>
      </c>
      <c r="E540" s="30">
        <v>10451.540000000001</v>
      </c>
      <c r="F540" s="30"/>
      <c r="G540" s="30"/>
      <c r="H540" s="30">
        <v>6459.63</v>
      </c>
      <c r="I540" s="30">
        <v>0</v>
      </c>
      <c r="J540" s="30">
        <v>1409.26</v>
      </c>
      <c r="K540" s="31">
        <v>16911.169999999998</v>
      </c>
      <c r="L540" s="32">
        <v>18320.43</v>
      </c>
      <c r="M540" s="33"/>
      <c r="N540" s="30">
        <v>16911.169999999998</v>
      </c>
      <c r="O540" s="30">
        <v>10451.540000000001</v>
      </c>
      <c r="P540" s="30"/>
      <c r="Q540" s="30">
        <f>(N540+O540*0.18+J540)+(IF((P540-O540*0.18)&gt;0,(P540-O540*0.18),0))</f>
        <v>20201.707199999997</v>
      </c>
      <c r="R540" s="7"/>
      <c r="S540" s="7"/>
      <c r="T540" s="7"/>
      <c r="U540" s="7"/>
      <c r="V540" s="7"/>
      <c r="W540" s="7"/>
      <c r="X540" s="7"/>
      <c r="Y540" s="7"/>
      <c r="Z540" s="7"/>
    </row>
    <row r="541" spans="1:26" ht="9" customHeight="1" x14ac:dyDescent="0.2">
      <c r="A541" s="557"/>
      <c r="B541" s="557"/>
      <c r="C541" s="34" t="s">
        <v>37</v>
      </c>
      <c r="D541" s="35">
        <v>2</v>
      </c>
      <c r="E541" s="36">
        <v>20237003</v>
      </c>
      <c r="F541" s="36"/>
      <c r="G541" s="36"/>
      <c r="H541" s="36">
        <v>12507588</v>
      </c>
      <c r="I541" s="36">
        <v>0</v>
      </c>
      <c r="J541" s="37">
        <v>2728708</v>
      </c>
      <c r="K541" s="36">
        <v>32744591</v>
      </c>
      <c r="L541" s="38">
        <v>35473299</v>
      </c>
      <c r="M541" s="39"/>
      <c r="N541" s="36">
        <v>32744591</v>
      </c>
      <c r="O541" s="36">
        <v>20237003</v>
      </c>
      <c r="P541" s="36"/>
      <c r="Q541" s="36">
        <f>Q540*1936.27</f>
        <v>39115959.600143991</v>
      </c>
      <c r="R541" s="7"/>
      <c r="S541" s="7"/>
      <c r="T541" s="7"/>
      <c r="U541" s="7"/>
      <c r="V541" s="7"/>
      <c r="W541" s="7"/>
      <c r="X541" s="7"/>
      <c r="Y541" s="7"/>
      <c r="Z541" s="7"/>
    </row>
    <row r="542" spans="1:26" ht="12.75" customHeight="1" x14ac:dyDescent="0.2">
      <c r="A542" s="539">
        <v>36770</v>
      </c>
      <c r="B542" s="539">
        <v>36891</v>
      </c>
      <c r="C542" s="40" t="s">
        <v>36</v>
      </c>
      <c r="D542" s="41">
        <v>3</v>
      </c>
      <c r="E542" s="42">
        <v>11403.88</v>
      </c>
      <c r="F542" s="42"/>
      <c r="G542" s="42"/>
      <c r="H542" s="42">
        <v>6459.63</v>
      </c>
      <c r="I542" s="42">
        <v>0</v>
      </c>
      <c r="J542" s="42">
        <v>1488.63</v>
      </c>
      <c r="K542" s="43">
        <v>17863.509999999998</v>
      </c>
      <c r="L542" s="32">
        <v>19352.14</v>
      </c>
      <c r="M542" s="33"/>
      <c r="N542" s="30">
        <v>17863.509999999998</v>
      </c>
      <c r="O542" s="30">
        <v>11403.88</v>
      </c>
      <c r="P542" s="30"/>
      <c r="Q542" s="30">
        <f>(N542+O542*0.18+J542)+(IF((P542-O542*0.18)&gt;0,(P542-O542*0.18),0))</f>
        <v>21404.838400000001</v>
      </c>
      <c r="R542" s="7"/>
      <c r="S542" s="7"/>
      <c r="T542" s="7"/>
      <c r="U542" s="7"/>
      <c r="V542" s="7"/>
      <c r="W542" s="7"/>
      <c r="X542" s="7"/>
      <c r="Y542" s="7"/>
      <c r="Z542" s="7"/>
    </row>
    <row r="543" spans="1:26" ht="9" customHeight="1" x14ac:dyDescent="0.2">
      <c r="A543" s="534"/>
      <c r="B543" s="534"/>
      <c r="C543" s="34" t="s">
        <v>37</v>
      </c>
      <c r="D543" s="35">
        <v>8</v>
      </c>
      <c r="E543" s="36">
        <v>22080991</v>
      </c>
      <c r="F543" s="36"/>
      <c r="G543" s="36"/>
      <c r="H543" s="36">
        <v>12507588</v>
      </c>
      <c r="I543" s="36">
        <v>0</v>
      </c>
      <c r="J543" s="37">
        <v>2882390</v>
      </c>
      <c r="K543" s="36">
        <v>34588579</v>
      </c>
      <c r="L543" s="38">
        <v>37470968</v>
      </c>
      <c r="M543" s="39"/>
      <c r="N543" s="36">
        <v>34588579</v>
      </c>
      <c r="O543" s="36">
        <v>22080991</v>
      </c>
      <c r="P543" s="36"/>
      <c r="Q543" s="36">
        <f>Q542*1936.27</f>
        <v>41445546.448767997</v>
      </c>
      <c r="R543" s="7"/>
      <c r="S543" s="7"/>
      <c r="T543" s="7"/>
      <c r="U543" s="7"/>
      <c r="V543" s="7"/>
      <c r="W543" s="7"/>
      <c r="X543" s="7"/>
      <c r="Y543" s="7"/>
      <c r="Z543" s="7"/>
    </row>
    <row r="544" spans="1:26" ht="12.75" customHeight="1" x14ac:dyDescent="0.2">
      <c r="A544" s="534"/>
      <c r="B544" s="534"/>
      <c r="C544" s="40" t="s">
        <v>36</v>
      </c>
      <c r="D544" s="41">
        <v>9</v>
      </c>
      <c r="E544" s="42">
        <v>12942.41</v>
      </c>
      <c r="F544" s="42"/>
      <c r="G544" s="42"/>
      <c r="H544" s="42">
        <v>6459.63</v>
      </c>
      <c r="I544" s="42">
        <v>0</v>
      </c>
      <c r="J544" s="42">
        <v>1616.84</v>
      </c>
      <c r="K544" s="43">
        <v>19402.04</v>
      </c>
      <c r="L544" s="32">
        <v>21018.880000000001</v>
      </c>
      <c r="M544" s="33"/>
      <c r="N544" s="30">
        <v>19402.04</v>
      </c>
      <c r="O544" s="30">
        <v>12942.41</v>
      </c>
      <c r="P544" s="30"/>
      <c r="Q544" s="30">
        <f>(N544+O544*0.18+J544)+(IF((P544-O544*0.18)&gt;0,(P544-O544*0.18),0))</f>
        <v>23348.513800000001</v>
      </c>
      <c r="R544" s="7"/>
      <c r="S544" s="7"/>
      <c r="T544" s="7"/>
      <c r="U544" s="7"/>
      <c r="V544" s="7"/>
      <c r="W544" s="7"/>
      <c r="X544" s="7"/>
      <c r="Y544" s="7"/>
      <c r="Z544" s="7"/>
    </row>
    <row r="545" spans="1:26" ht="9" customHeight="1" x14ac:dyDescent="0.2">
      <c r="A545" s="534"/>
      <c r="B545" s="534"/>
      <c r="C545" s="34" t="s">
        <v>37</v>
      </c>
      <c r="D545" s="35">
        <v>14</v>
      </c>
      <c r="E545" s="36">
        <v>25060000</v>
      </c>
      <c r="F545" s="36"/>
      <c r="G545" s="36"/>
      <c r="H545" s="36">
        <v>12507588</v>
      </c>
      <c r="I545" s="36">
        <v>0</v>
      </c>
      <c r="J545" s="37">
        <v>3130639</v>
      </c>
      <c r="K545" s="36">
        <v>37567588</v>
      </c>
      <c r="L545" s="38">
        <v>40698227</v>
      </c>
      <c r="M545" s="39"/>
      <c r="N545" s="36">
        <v>37567588</v>
      </c>
      <c r="O545" s="36">
        <v>25060000</v>
      </c>
      <c r="P545" s="36"/>
      <c r="Q545" s="36">
        <f>Q544*1936.27</f>
        <v>45209026.815526001</v>
      </c>
      <c r="R545" s="7"/>
      <c r="S545" s="7"/>
      <c r="T545" s="7"/>
      <c r="U545" s="7"/>
      <c r="V545" s="7"/>
      <c r="W545" s="7"/>
      <c r="X545" s="7"/>
      <c r="Y545" s="7"/>
      <c r="Z545" s="7"/>
    </row>
    <row r="546" spans="1:26" ht="12.75" customHeight="1" x14ac:dyDescent="0.2">
      <c r="A546" s="534"/>
      <c r="B546" s="534"/>
      <c r="C546" s="40" t="s">
        <v>36</v>
      </c>
      <c r="D546" s="41">
        <v>15</v>
      </c>
      <c r="E546" s="42">
        <v>14827.48</v>
      </c>
      <c r="F546" s="42"/>
      <c r="G546" s="42"/>
      <c r="H546" s="42">
        <v>6459.63</v>
      </c>
      <c r="I546" s="42">
        <v>0</v>
      </c>
      <c r="J546" s="42">
        <v>1773.93</v>
      </c>
      <c r="K546" s="43">
        <v>21287.11</v>
      </c>
      <c r="L546" s="32">
        <v>23061.040000000001</v>
      </c>
      <c r="M546" s="33"/>
      <c r="N546" s="30">
        <v>21287.11</v>
      </c>
      <c r="O546" s="30">
        <v>14827.48</v>
      </c>
      <c r="P546" s="30"/>
      <c r="Q546" s="30">
        <f>(N546+O546*0.18+J546)+(IF((P546-O546*0.18)&gt;0,(P546-O546*0.18),0))</f>
        <v>25729.986400000002</v>
      </c>
      <c r="R546" s="7"/>
      <c r="S546" s="7"/>
      <c r="T546" s="7"/>
      <c r="U546" s="7"/>
      <c r="V546" s="7"/>
      <c r="W546" s="7"/>
      <c r="X546" s="7"/>
      <c r="Y546" s="7"/>
      <c r="Z546" s="7"/>
    </row>
    <row r="547" spans="1:26" ht="9" customHeight="1" x14ac:dyDescent="0.2">
      <c r="A547" s="534"/>
      <c r="B547" s="534"/>
      <c r="C547" s="34" t="s">
        <v>37</v>
      </c>
      <c r="D547" s="35">
        <v>20</v>
      </c>
      <c r="E547" s="36">
        <v>28710005</v>
      </c>
      <c r="F547" s="36"/>
      <c r="G547" s="36"/>
      <c r="H547" s="36">
        <v>12507588</v>
      </c>
      <c r="I547" s="36">
        <v>0</v>
      </c>
      <c r="J547" s="37">
        <v>3434807</v>
      </c>
      <c r="K547" s="36">
        <v>41217592</v>
      </c>
      <c r="L547" s="38">
        <v>44652400</v>
      </c>
      <c r="M547" s="39"/>
      <c r="N547" s="36">
        <v>41217592</v>
      </c>
      <c r="O547" s="36">
        <v>28710005</v>
      </c>
      <c r="P547" s="36"/>
      <c r="Q547" s="36">
        <f>Q546*1936.27</f>
        <v>49820200.766728006</v>
      </c>
      <c r="R547" s="7"/>
      <c r="S547" s="7"/>
      <c r="T547" s="7"/>
      <c r="U547" s="7"/>
      <c r="V547" s="7"/>
      <c r="W547" s="7"/>
      <c r="X547" s="7"/>
      <c r="Y547" s="7"/>
      <c r="Z547" s="7"/>
    </row>
    <row r="548" spans="1:26" ht="12.75" customHeight="1" x14ac:dyDescent="0.2">
      <c r="A548" s="534"/>
      <c r="B548" s="534"/>
      <c r="C548" s="40" t="s">
        <v>36</v>
      </c>
      <c r="D548" s="41">
        <v>21</v>
      </c>
      <c r="E548" s="42">
        <v>17240.36</v>
      </c>
      <c r="F548" s="42"/>
      <c r="G548" s="42"/>
      <c r="H548" s="42">
        <v>6459.63</v>
      </c>
      <c r="I548" s="42">
        <v>0</v>
      </c>
      <c r="J548" s="42">
        <v>1975</v>
      </c>
      <c r="K548" s="43">
        <v>23699.99</v>
      </c>
      <c r="L548" s="32">
        <v>25674.99</v>
      </c>
      <c r="M548" s="33"/>
      <c r="N548" s="30">
        <v>23699.99</v>
      </c>
      <c r="O548" s="30">
        <v>17240.36</v>
      </c>
      <c r="P548" s="30"/>
      <c r="Q548" s="30">
        <f>(N548+O548*0.18+J548)+(IF((P548-O548*0.18)&gt;0,(P548-O548*0.18),0))</f>
        <v>28778.254800000002</v>
      </c>
      <c r="R548" s="7"/>
      <c r="S548" s="7"/>
      <c r="T548" s="7"/>
      <c r="U548" s="7"/>
      <c r="V548" s="7"/>
      <c r="W548" s="7"/>
      <c r="X548" s="7"/>
      <c r="Y548" s="7"/>
      <c r="Z548" s="7"/>
    </row>
    <row r="549" spans="1:26" ht="9" customHeight="1" x14ac:dyDescent="0.2">
      <c r="A549" s="534"/>
      <c r="B549" s="534"/>
      <c r="C549" s="34" t="s">
        <v>37</v>
      </c>
      <c r="D549" s="35">
        <v>27</v>
      </c>
      <c r="E549" s="36">
        <v>33381992</v>
      </c>
      <c r="F549" s="36"/>
      <c r="G549" s="36"/>
      <c r="H549" s="36">
        <v>12507588</v>
      </c>
      <c r="I549" s="36">
        <v>0</v>
      </c>
      <c r="J549" s="37">
        <v>3824133</v>
      </c>
      <c r="K549" s="36">
        <v>45889580</v>
      </c>
      <c r="L549" s="38">
        <v>49713713</v>
      </c>
      <c r="M549" s="39"/>
      <c r="N549" s="36">
        <v>45889580</v>
      </c>
      <c r="O549" s="36">
        <v>33381992</v>
      </c>
      <c r="P549" s="36"/>
      <c r="Q549" s="36">
        <f>Q548*1936.27</f>
        <v>55722471.421596006</v>
      </c>
      <c r="R549" s="7"/>
      <c r="S549" s="7"/>
      <c r="T549" s="7"/>
      <c r="U549" s="7"/>
      <c r="V549" s="7"/>
      <c r="W549" s="7"/>
      <c r="X549" s="7"/>
      <c r="Y549" s="7"/>
      <c r="Z549" s="7"/>
    </row>
    <row r="550" spans="1:26" ht="12.75" customHeight="1" x14ac:dyDescent="0.2">
      <c r="A550" s="534"/>
      <c r="B550" s="534"/>
      <c r="C550" s="40" t="s">
        <v>36</v>
      </c>
      <c r="D550" s="41">
        <v>28</v>
      </c>
      <c r="E550" s="42">
        <v>18818.66</v>
      </c>
      <c r="F550" s="42"/>
      <c r="G550" s="42"/>
      <c r="H550" s="42">
        <v>6459.63</v>
      </c>
      <c r="I550" s="42">
        <v>0</v>
      </c>
      <c r="J550" s="42">
        <v>2106.52</v>
      </c>
      <c r="K550" s="43">
        <v>25278.29</v>
      </c>
      <c r="L550" s="32">
        <v>27384.81</v>
      </c>
      <c r="M550" s="33"/>
      <c r="N550" s="30">
        <v>25278.29</v>
      </c>
      <c r="O550" s="30">
        <v>18818.66</v>
      </c>
      <c r="P550" s="30"/>
      <c r="Q550" s="30">
        <f>(N550+O550*0.18+J550)+(IF((P550-O550*0.18)&gt;0,(P550-O550*0.18),0))</f>
        <v>30772.168800000003</v>
      </c>
      <c r="R550" s="7"/>
      <c r="S550" s="7"/>
      <c r="T550" s="7"/>
      <c r="U550" s="7"/>
      <c r="V550" s="7"/>
      <c r="W550" s="7"/>
      <c r="X550" s="7"/>
      <c r="Y550" s="7"/>
      <c r="Z550" s="7"/>
    </row>
    <row r="551" spans="1:26" ht="9" customHeight="1" x14ac:dyDescent="0.2">
      <c r="A551" s="534"/>
      <c r="B551" s="534"/>
      <c r="C551" s="34" t="s">
        <v>37</v>
      </c>
      <c r="D551" s="35">
        <v>34</v>
      </c>
      <c r="E551" s="36">
        <v>36438007</v>
      </c>
      <c r="F551" s="36"/>
      <c r="G551" s="36"/>
      <c r="H551" s="36">
        <v>12507588</v>
      </c>
      <c r="I551" s="36">
        <v>0</v>
      </c>
      <c r="J551" s="37">
        <v>4078791</v>
      </c>
      <c r="K551" s="36">
        <v>48945595</v>
      </c>
      <c r="L551" s="38">
        <v>53024386</v>
      </c>
      <c r="M551" s="39"/>
      <c r="N551" s="36">
        <v>48945595</v>
      </c>
      <c r="O551" s="36">
        <v>36438007</v>
      </c>
      <c r="P551" s="36"/>
      <c r="Q551" s="36">
        <f>Q550*1936.27</f>
        <v>59583227.282376006</v>
      </c>
      <c r="R551" s="7"/>
      <c r="S551" s="7"/>
      <c r="T551" s="7"/>
      <c r="U551" s="7"/>
      <c r="V551" s="7"/>
      <c r="W551" s="7"/>
      <c r="X551" s="7"/>
      <c r="Y551" s="7"/>
      <c r="Z551" s="7"/>
    </row>
    <row r="552" spans="1:26" ht="12.75" customHeight="1" x14ac:dyDescent="0.2">
      <c r="A552" s="534"/>
      <c r="B552" s="534"/>
      <c r="C552" s="40" t="s">
        <v>36</v>
      </c>
      <c r="D552" s="41">
        <v>35</v>
      </c>
      <c r="E552" s="42">
        <v>20076.75</v>
      </c>
      <c r="F552" s="42"/>
      <c r="G552" s="42"/>
      <c r="H552" s="42">
        <v>6459.63</v>
      </c>
      <c r="I552" s="42">
        <v>0</v>
      </c>
      <c r="J552" s="42">
        <v>2211.37</v>
      </c>
      <c r="K552" s="43">
        <v>26536.38</v>
      </c>
      <c r="L552" s="32">
        <v>28747.75</v>
      </c>
      <c r="M552" s="33"/>
      <c r="N552" s="30">
        <v>26536.38</v>
      </c>
      <c r="O552" s="30">
        <v>20076.75</v>
      </c>
      <c r="P552" s="30"/>
      <c r="Q552" s="30">
        <f>(N552+O552*0.18+J552)+(IF((P552-O552*0.18)&gt;0,(P552-O552*0.18),0))</f>
        <v>32361.564999999999</v>
      </c>
      <c r="R552" s="7"/>
      <c r="S552" s="7"/>
      <c r="T552" s="7"/>
      <c r="U552" s="7"/>
      <c r="V552" s="7"/>
      <c r="W552" s="7"/>
      <c r="X552" s="7"/>
      <c r="Y552" s="7"/>
      <c r="Z552" s="7"/>
    </row>
    <row r="553" spans="1:26" ht="9" customHeight="1" x14ac:dyDescent="0.2">
      <c r="A553" s="535"/>
      <c r="B553" s="535"/>
      <c r="C553" s="47" t="s">
        <v>37</v>
      </c>
      <c r="D553" s="48"/>
      <c r="E553" s="46">
        <v>38874009</v>
      </c>
      <c r="F553" s="46"/>
      <c r="G553" s="46"/>
      <c r="H553" s="46">
        <v>12507588</v>
      </c>
      <c r="I553" s="46">
        <v>0</v>
      </c>
      <c r="J553" s="49">
        <v>4281809</v>
      </c>
      <c r="K553" s="46">
        <v>51381597</v>
      </c>
      <c r="L553" s="38">
        <v>55663406</v>
      </c>
      <c r="M553" s="39"/>
      <c r="N553" s="36">
        <v>51381597</v>
      </c>
      <c r="O553" s="36">
        <v>38874009</v>
      </c>
      <c r="P553" s="36"/>
      <c r="Q553" s="36">
        <f>Q552*1936.27</f>
        <v>62660727.462549999</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538">
        <v>36892</v>
      </c>
      <c r="B560" s="538">
        <v>37256</v>
      </c>
      <c r="C560" s="28" t="s">
        <v>36</v>
      </c>
      <c r="D560" s="29">
        <v>0</v>
      </c>
      <c r="E560" s="30">
        <v>10786.2</v>
      </c>
      <c r="F560" s="30"/>
      <c r="G560" s="30"/>
      <c r="H560" s="30">
        <v>6459.63</v>
      </c>
      <c r="I560" s="30">
        <v>0</v>
      </c>
      <c r="J560" s="30">
        <v>1437.15</v>
      </c>
      <c r="K560" s="31">
        <v>17245.830000000002</v>
      </c>
      <c r="L560" s="32">
        <v>18682.98</v>
      </c>
      <c r="M560" s="33"/>
      <c r="N560" s="30">
        <v>17245.830000000002</v>
      </c>
      <c r="O560" s="30">
        <v>10786.2</v>
      </c>
      <c r="P560" s="30">
        <v>1338.6</v>
      </c>
      <c r="Q560" s="30">
        <f>(N560+O560*0.18+J560)+(IF((P560-O560*0.18)&gt;0,(P560-O560*0.18),0))</f>
        <v>20624.496000000003</v>
      </c>
      <c r="R560" s="7"/>
      <c r="S560" s="7"/>
      <c r="T560" s="7"/>
      <c r="U560" s="7"/>
      <c r="V560" s="7"/>
      <c r="W560" s="7"/>
      <c r="X560" s="7"/>
      <c r="Y560" s="7"/>
      <c r="Z560" s="7"/>
    </row>
    <row r="561" spans="1:26" ht="9" customHeight="1" x14ac:dyDescent="0.2">
      <c r="A561" s="534"/>
      <c r="B561" s="534"/>
      <c r="C561" s="34" t="s">
        <v>37</v>
      </c>
      <c r="D561" s="35">
        <v>2</v>
      </c>
      <c r="E561" s="36">
        <v>20884995</v>
      </c>
      <c r="F561" s="36"/>
      <c r="G561" s="36"/>
      <c r="H561" s="36">
        <v>12507588</v>
      </c>
      <c r="I561" s="36">
        <v>0</v>
      </c>
      <c r="J561" s="37">
        <v>2782710</v>
      </c>
      <c r="K561" s="36">
        <v>33392583</v>
      </c>
      <c r="L561" s="38">
        <v>36175294</v>
      </c>
      <c r="M561" s="39"/>
      <c r="N561" s="36">
        <v>33392583</v>
      </c>
      <c r="O561" s="36">
        <v>20884995</v>
      </c>
      <c r="P561" s="36">
        <v>2591891</v>
      </c>
      <c r="Q561" s="36">
        <f>Q560*1936.27</f>
        <v>39934592.869920008</v>
      </c>
      <c r="R561" s="7"/>
      <c r="S561" s="7"/>
      <c r="T561" s="7"/>
      <c r="U561" s="7"/>
      <c r="V561" s="7"/>
      <c r="W561" s="7"/>
      <c r="X561" s="7"/>
      <c r="Y561" s="7"/>
      <c r="Z561" s="7"/>
    </row>
    <row r="562" spans="1:26" ht="12.75" customHeight="1" x14ac:dyDescent="0.2">
      <c r="A562" s="539">
        <v>36892</v>
      </c>
      <c r="B562" s="539">
        <v>37256</v>
      </c>
      <c r="C562" s="40" t="s">
        <v>36</v>
      </c>
      <c r="D562" s="41">
        <v>3</v>
      </c>
      <c r="E562" s="42">
        <v>11763.34</v>
      </c>
      <c r="F562" s="42"/>
      <c r="G562" s="42"/>
      <c r="H562" s="42">
        <v>6459.63</v>
      </c>
      <c r="I562" s="42">
        <v>0</v>
      </c>
      <c r="J562" s="42">
        <v>1518.58</v>
      </c>
      <c r="K562" s="43">
        <v>18222.97</v>
      </c>
      <c r="L562" s="32">
        <v>19741.55</v>
      </c>
      <c r="M562" s="33"/>
      <c r="N562" s="30">
        <v>18222.97</v>
      </c>
      <c r="O562" s="30">
        <v>11763.34</v>
      </c>
      <c r="P562" s="30">
        <v>1338.6</v>
      </c>
      <c r="Q562" s="30">
        <f>(N562+O562*0.18+J562)+(IF((P562-O562*0.18)&gt;0,(P562-O562*0.18),0))</f>
        <v>21858.951200000003</v>
      </c>
      <c r="R562" s="7"/>
      <c r="S562" s="7"/>
      <c r="T562" s="7"/>
      <c r="U562" s="7"/>
      <c r="V562" s="7"/>
      <c r="W562" s="7"/>
      <c r="X562" s="7"/>
      <c r="Y562" s="7"/>
      <c r="Z562" s="7"/>
    </row>
    <row r="563" spans="1:26" ht="9" customHeight="1" x14ac:dyDescent="0.2">
      <c r="A563" s="534"/>
      <c r="B563" s="534"/>
      <c r="C563" s="34" t="s">
        <v>37</v>
      </c>
      <c r="D563" s="35">
        <v>8</v>
      </c>
      <c r="E563" s="36">
        <v>22777002</v>
      </c>
      <c r="F563" s="36"/>
      <c r="G563" s="36"/>
      <c r="H563" s="36">
        <v>12507588</v>
      </c>
      <c r="I563" s="36">
        <v>0</v>
      </c>
      <c r="J563" s="37">
        <v>2940381</v>
      </c>
      <c r="K563" s="36">
        <v>35284590</v>
      </c>
      <c r="L563" s="38">
        <v>38224971</v>
      </c>
      <c r="M563" s="39"/>
      <c r="N563" s="36">
        <v>35284590</v>
      </c>
      <c r="O563" s="36">
        <v>22777002</v>
      </c>
      <c r="P563" s="36">
        <v>2591891</v>
      </c>
      <c r="Q563" s="36">
        <f>Q562*1936.27</f>
        <v>42324831.440024003</v>
      </c>
      <c r="R563" s="7"/>
      <c r="S563" s="7"/>
      <c r="T563" s="7"/>
      <c r="U563" s="7"/>
      <c r="V563" s="7"/>
      <c r="W563" s="7"/>
      <c r="X563" s="7"/>
      <c r="Y563" s="7"/>
      <c r="Z563" s="7"/>
    </row>
    <row r="564" spans="1:26" ht="12.75" customHeight="1" x14ac:dyDescent="0.2">
      <c r="A564" s="534"/>
      <c r="B564" s="534"/>
      <c r="C564" s="40" t="s">
        <v>36</v>
      </c>
      <c r="D564" s="41">
        <v>9</v>
      </c>
      <c r="E564" s="42">
        <v>13326.65</v>
      </c>
      <c r="F564" s="42"/>
      <c r="G564" s="42"/>
      <c r="H564" s="42">
        <v>6459.63</v>
      </c>
      <c r="I564" s="42">
        <v>0</v>
      </c>
      <c r="J564" s="42">
        <v>1648.86</v>
      </c>
      <c r="K564" s="43">
        <v>19786.28</v>
      </c>
      <c r="L564" s="32">
        <v>21435.14</v>
      </c>
      <c r="M564" s="33"/>
      <c r="N564" s="30">
        <v>19786.28</v>
      </c>
      <c r="O564" s="30">
        <v>13326.65</v>
      </c>
      <c r="P564" s="30">
        <v>1338.6</v>
      </c>
      <c r="Q564" s="30">
        <f>(N564+O564*0.18+J564)+(IF((P564-O564*0.18)&gt;0,(P564-O564*0.18),0))</f>
        <v>23833.936999999998</v>
      </c>
      <c r="R564" s="7"/>
      <c r="S564" s="7"/>
      <c r="T564" s="7"/>
      <c r="U564" s="7"/>
      <c r="V564" s="7"/>
      <c r="W564" s="7"/>
      <c r="X564" s="7"/>
      <c r="Y564" s="7"/>
      <c r="Z564" s="7"/>
    </row>
    <row r="565" spans="1:26" ht="9" customHeight="1" x14ac:dyDescent="0.2">
      <c r="A565" s="534"/>
      <c r="B565" s="534"/>
      <c r="C565" s="34" t="s">
        <v>37</v>
      </c>
      <c r="D565" s="35">
        <v>14</v>
      </c>
      <c r="E565" s="36">
        <v>25803993</v>
      </c>
      <c r="F565" s="36"/>
      <c r="G565" s="36"/>
      <c r="H565" s="36">
        <v>12507588</v>
      </c>
      <c r="I565" s="36">
        <v>0</v>
      </c>
      <c r="J565" s="37">
        <v>3192638</v>
      </c>
      <c r="K565" s="36">
        <v>38311580</v>
      </c>
      <c r="L565" s="38">
        <v>41504219</v>
      </c>
      <c r="M565" s="39"/>
      <c r="N565" s="36">
        <v>38311580</v>
      </c>
      <c r="O565" s="36">
        <v>25803993</v>
      </c>
      <c r="P565" s="36">
        <v>2591891</v>
      </c>
      <c r="Q565" s="36">
        <f>Q564*1936.27</f>
        <v>46148937.194989994</v>
      </c>
      <c r="R565" s="7"/>
      <c r="S565" s="7"/>
      <c r="T565" s="7"/>
      <c r="U565" s="7"/>
      <c r="V565" s="7"/>
      <c r="W565" s="7"/>
      <c r="X565" s="7"/>
      <c r="Y565" s="7"/>
      <c r="Z565" s="7"/>
    </row>
    <row r="566" spans="1:26" ht="12.75" customHeight="1" x14ac:dyDescent="0.2">
      <c r="A566" s="534"/>
      <c r="B566" s="534"/>
      <c r="C566" s="40" t="s">
        <v>36</v>
      </c>
      <c r="D566" s="41">
        <v>15</v>
      </c>
      <c r="E566" s="42">
        <v>15255.1</v>
      </c>
      <c r="F566" s="42"/>
      <c r="G566" s="42"/>
      <c r="H566" s="42">
        <v>6459.63</v>
      </c>
      <c r="I566" s="42">
        <v>0</v>
      </c>
      <c r="J566" s="42">
        <v>1809.56</v>
      </c>
      <c r="K566" s="43">
        <v>21714.73</v>
      </c>
      <c r="L566" s="32">
        <v>23524.29</v>
      </c>
      <c r="M566" s="33"/>
      <c r="N566" s="30">
        <v>21714.73</v>
      </c>
      <c r="O566" s="30">
        <v>15255.1</v>
      </c>
      <c r="P566" s="30">
        <v>1667.16</v>
      </c>
      <c r="Q566" s="30">
        <f>(N566+O566*0.18+J566)+(IF((P566-O566*0.18)&gt;0,(P566-O566*0.18),0))</f>
        <v>26270.208000000002</v>
      </c>
      <c r="R566" s="7"/>
      <c r="S566" s="7"/>
      <c r="T566" s="7"/>
      <c r="U566" s="7"/>
      <c r="V566" s="7"/>
      <c r="W566" s="7"/>
      <c r="X566" s="7"/>
      <c r="Y566" s="7"/>
      <c r="Z566" s="7"/>
    </row>
    <row r="567" spans="1:26" ht="9" customHeight="1" x14ac:dyDescent="0.2">
      <c r="A567" s="534"/>
      <c r="B567" s="534"/>
      <c r="C567" s="34" t="s">
        <v>37</v>
      </c>
      <c r="D567" s="35">
        <v>20</v>
      </c>
      <c r="E567" s="36">
        <v>29537992</v>
      </c>
      <c r="F567" s="36"/>
      <c r="G567" s="36"/>
      <c r="H567" s="36">
        <v>12507588</v>
      </c>
      <c r="I567" s="36">
        <v>0</v>
      </c>
      <c r="J567" s="37">
        <v>3503797</v>
      </c>
      <c r="K567" s="36">
        <v>42045580</v>
      </c>
      <c r="L567" s="38">
        <v>45549377</v>
      </c>
      <c r="M567" s="39"/>
      <c r="N567" s="36">
        <v>42045580</v>
      </c>
      <c r="O567" s="36">
        <v>29537992</v>
      </c>
      <c r="P567" s="36">
        <v>3228072</v>
      </c>
      <c r="Q567" s="36">
        <f>Q566*1936.27</f>
        <v>50866215.644160002</v>
      </c>
      <c r="R567" s="7"/>
      <c r="S567" s="7"/>
      <c r="T567" s="7"/>
      <c r="U567" s="7"/>
      <c r="V567" s="7"/>
      <c r="W567" s="7"/>
      <c r="X567" s="7"/>
      <c r="Y567" s="7"/>
      <c r="Z567" s="7"/>
    </row>
    <row r="568" spans="1:26" ht="12.75" customHeight="1" x14ac:dyDescent="0.2">
      <c r="A568" s="534"/>
      <c r="B568" s="534"/>
      <c r="C568" s="40" t="s">
        <v>36</v>
      </c>
      <c r="D568" s="41">
        <v>21</v>
      </c>
      <c r="E568" s="42">
        <v>17711.37</v>
      </c>
      <c r="F568" s="42"/>
      <c r="G568" s="42"/>
      <c r="H568" s="42">
        <v>6459.63</v>
      </c>
      <c r="I568" s="42">
        <v>0</v>
      </c>
      <c r="J568" s="42">
        <v>2014.25</v>
      </c>
      <c r="K568" s="43">
        <v>24171</v>
      </c>
      <c r="L568" s="32">
        <v>26185.25</v>
      </c>
      <c r="M568" s="33"/>
      <c r="N568" s="30">
        <v>24171</v>
      </c>
      <c r="O568" s="30">
        <v>17711.37</v>
      </c>
      <c r="P568" s="30">
        <v>1667.16</v>
      </c>
      <c r="Q568" s="30">
        <f>(N568+O568*0.18+J568)+(IF((P568-O568*0.18)&gt;0,(P568-O568*0.18),0))</f>
        <v>29373.296600000001</v>
      </c>
      <c r="R568" s="7"/>
      <c r="S568" s="7"/>
      <c r="T568" s="7"/>
      <c r="U568" s="7"/>
      <c r="V568" s="7"/>
      <c r="W568" s="7"/>
      <c r="X568" s="7"/>
      <c r="Y568" s="7"/>
      <c r="Z568" s="7"/>
    </row>
    <row r="569" spans="1:26" ht="9" customHeight="1" x14ac:dyDescent="0.2">
      <c r="A569" s="534"/>
      <c r="B569" s="534"/>
      <c r="C569" s="34" t="s">
        <v>37</v>
      </c>
      <c r="D569" s="35">
        <v>27</v>
      </c>
      <c r="E569" s="36">
        <v>34293994</v>
      </c>
      <c r="F569" s="36"/>
      <c r="G569" s="36"/>
      <c r="H569" s="36">
        <v>12507588</v>
      </c>
      <c r="I569" s="36">
        <v>0</v>
      </c>
      <c r="J569" s="37">
        <v>3900132</v>
      </c>
      <c r="K569" s="36">
        <v>46801582</v>
      </c>
      <c r="L569" s="38">
        <v>50701714</v>
      </c>
      <c r="M569" s="39"/>
      <c r="N569" s="36">
        <v>46801582</v>
      </c>
      <c r="O569" s="36">
        <v>34293994</v>
      </c>
      <c r="P569" s="36">
        <v>3228072</v>
      </c>
      <c r="Q569" s="36">
        <f>Q568*1936.27</f>
        <v>56874633.007682003</v>
      </c>
      <c r="R569" s="7"/>
      <c r="S569" s="7"/>
      <c r="T569" s="7"/>
      <c r="U569" s="7"/>
      <c r="V569" s="7"/>
      <c r="W569" s="7"/>
      <c r="X569" s="7"/>
      <c r="Y569" s="7"/>
      <c r="Z569" s="7"/>
    </row>
    <row r="570" spans="1:26" ht="12.75" customHeight="1" x14ac:dyDescent="0.2">
      <c r="A570" s="534"/>
      <c r="B570" s="534"/>
      <c r="C570" s="40" t="s">
        <v>36</v>
      </c>
      <c r="D570" s="41">
        <v>28</v>
      </c>
      <c r="E570" s="42">
        <v>19320.650000000001</v>
      </c>
      <c r="F570" s="42"/>
      <c r="G570" s="42"/>
      <c r="H570" s="42">
        <v>6459.63</v>
      </c>
      <c r="I570" s="42">
        <v>0</v>
      </c>
      <c r="J570" s="42">
        <v>2148.36</v>
      </c>
      <c r="K570" s="43">
        <v>25780.28</v>
      </c>
      <c r="L570" s="32">
        <v>27928.639999999999</v>
      </c>
      <c r="M570" s="33"/>
      <c r="N570" s="30">
        <v>25780.28</v>
      </c>
      <c r="O570" s="30">
        <v>19320.650000000001</v>
      </c>
      <c r="P570" s="30">
        <v>1865.4</v>
      </c>
      <c r="Q570" s="30">
        <f>(N570+O570*0.18+J570)+(IF((P570-O570*0.18)&gt;0,(P570-O570*0.18),0))</f>
        <v>31406.357</v>
      </c>
      <c r="R570" s="7"/>
      <c r="S570" s="7"/>
      <c r="T570" s="7"/>
      <c r="U570" s="7"/>
      <c r="V570" s="7"/>
      <c r="W570" s="7"/>
      <c r="X570" s="7"/>
      <c r="Y570" s="7"/>
      <c r="Z570" s="7"/>
    </row>
    <row r="571" spans="1:26" ht="9" customHeight="1" x14ac:dyDescent="0.2">
      <c r="A571" s="534"/>
      <c r="B571" s="534"/>
      <c r="C571" s="34" t="s">
        <v>37</v>
      </c>
      <c r="D571" s="35">
        <v>34</v>
      </c>
      <c r="E571" s="36">
        <v>37409995</v>
      </c>
      <c r="F571" s="36"/>
      <c r="G571" s="36"/>
      <c r="H571" s="36">
        <v>12507588</v>
      </c>
      <c r="I571" s="36">
        <v>0</v>
      </c>
      <c r="J571" s="37">
        <v>4159805</v>
      </c>
      <c r="K571" s="36">
        <v>49917583</v>
      </c>
      <c r="L571" s="38">
        <v>54077388</v>
      </c>
      <c r="M571" s="39"/>
      <c r="N571" s="36">
        <v>49917583</v>
      </c>
      <c r="O571" s="36">
        <v>37409995</v>
      </c>
      <c r="P571" s="36">
        <v>3611918</v>
      </c>
      <c r="Q571" s="36">
        <f>Q570*1936.27</f>
        <v>60811186.868390001</v>
      </c>
      <c r="R571" s="7"/>
      <c r="S571" s="7"/>
      <c r="T571" s="7"/>
      <c r="U571" s="7"/>
      <c r="V571" s="7"/>
      <c r="W571" s="7"/>
      <c r="X571" s="7"/>
      <c r="Y571" s="7"/>
      <c r="Z571" s="7"/>
    </row>
    <row r="572" spans="1:26" ht="12.75" customHeight="1" x14ac:dyDescent="0.2">
      <c r="A572" s="534"/>
      <c r="B572" s="534"/>
      <c r="C572" s="40" t="s">
        <v>36</v>
      </c>
      <c r="D572" s="41">
        <v>35</v>
      </c>
      <c r="E572" s="42">
        <v>20603.53</v>
      </c>
      <c r="F572" s="42"/>
      <c r="G572" s="42"/>
      <c r="H572" s="42">
        <v>6459.63</v>
      </c>
      <c r="I572" s="42">
        <v>0</v>
      </c>
      <c r="J572" s="42">
        <v>2255.2600000000002</v>
      </c>
      <c r="K572" s="43">
        <v>27063.16</v>
      </c>
      <c r="L572" s="32">
        <v>29318.42</v>
      </c>
      <c r="M572" s="33"/>
      <c r="N572" s="30">
        <v>27063.16</v>
      </c>
      <c r="O572" s="30">
        <v>20603.53</v>
      </c>
      <c r="P572" s="30">
        <v>1865.4</v>
      </c>
      <c r="Q572" s="30">
        <f>(N572+O572*0.18+J572)+(IF((P572-O572*0.18)&gt;0,(P572-O572*0.18),0))</f>
        <v>33027.055399999997</v>
      </c>
      <c r="R572" s="7"/>
      <c r="S572" s="7"/>
      <c r="T572" s="7"/>
      <c r="U572" s="7"/>
      <c r="V572" s="7"/>
      <c r="W572" s="7"/>
      <c r="X572" s="7"/>
      <c r="Y572" s="7"/>
      <c r="Z572" s="7"/>
    </row>
    <row r="573" spans="1:26" ht="9" customHeight="1" x14ac:dyDescent="0.2">
      <c r="A573" s="535"/>
      <c r="B573" s="535"/>
      <c r="C573" s="47" t="s">
        <v>37</v>
      </c>
      <c r="D573" s="48"/>
      <c r="E573" s="46">
        <v>39893997</v>
      </c>
      <c r="F573" s="46"/>
      <c r="G573" s="46"/>
      <c r="H573" s="46">
        <v>12507588</v>
      </c>
      <c r="I573" s="46">
        <v>0</v>
      </c>
      <c r="J573" s="49">
        <v>4366792</v>
      </c>
      <c r="K573" s="46">
        <v>52401585</v>
      </c>
      <c r="L573" s="38">
        <v>56768377</v>
      </c>
      <c r="M573" s="39"/>
      <c r="N573" s="36">
        <v>52401585</v>
      </c>
      <c r="O573" s="36">
        <v>39893997</v>
      </c>
      <c r="P573" s="36">
        <v>3611918</v>
      </c>
      <c r="Q573" s="36">
        <f>Q572*1936.27</f>
        <v>63949296.559357993</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12.75" customHeight="1" x14ac:dyDescent="0.2">
      <c r="A580" s="538">
        <v>37257</v>
      </c>
      <c r="B580" s="538">
        <v>37621</v>
      </c>
      <c r="C580" s="28" t="s">
        <v>36</v>
      </c>
      <c r="D580" s="29">
        <v>0</v>
      </c>
      <c r="E580" s="30">
        <v>11221.8</v>
      </c>
      <c r="F580" s="30"/>
      <c r="G580" s="30"/>
      <c r="H580" s="30">
        <v>6459.63</v>
      </c>
      <c r="I580" s="30">
        <v>0</v>
      </c>
      <c r="J580" s="30">
        <v>1473.45</v>
      </c>
      <c r="K580" s="31">
        <v>17681.43</v>
      </c>
      <c r="L580" s="32">
        <v>19154.88</v>
      </c>
      <c r="M580" s="33"/>
      <c r="N580" s="30">
        <v>17681.43</v>
      </c>
      <c r="O580" s="30">
        <v>11221.8</v>
      </c>
      <c r="P580" s="30">
        <v>1578.6</v>
      </c>
      <c r="Q580" s="30">
        <f>(N580+O580*0.18+J580)+(IF((P580-O580*0.18)&gt;0,(P580-O580*0.18),0))</f>
        <v>21174.804</v>
      </c>
      <c r="R580" s="7"/>
      <c r="S580" s="7"/>
      <c r="T580" s="7"/>
      <c r="U580" s="7"/>
      <c r="V580" s="7"/>
      <c r="W580" s="7"/>
      <c r="X580" s="7"/>
      <c r="Y580" s="7"/>
      <c r="Z580" s="7"/>
    </row>
    <row r="581" spans="1:26" ht="9" customHeight="1" x14ac:dyDescent="0.2">
      <c r="A581" s="534"/>
      <c r="B581" s="534"/>
      <c r="C581" s="34" t="s">
        <v>37</v>
      </c>
      <c r="D581" s="35">
        <v>2</v>
      </c>
      <c r="E581" s="36">
        <v>21728435</v>
      </c>
      <c r="F581" s="36"/>
      <c r="G581" s="36"/>
      <c r="H581" s="36">
        <v>12507588</v>
      </c>
      <c r="I581" s="36">
        <v>0</v>
      </c>
      <c r="J581" s="37">
        <v>2852997</v>
      </c>
      <c r="K581" s="36">
        <v>34236022</v>
      </c>
      <c r="L581" s="38">
        <v>37089019</v>
      </c>
      <c r="M581" s="39"/>
      <c r="N581" s="36">
        <v>34236022</v>
      </c>
      <c r="O581" s="36">
        <v>21728435</v>
      </c>
      <c r="P581" s="36">
        <v>3056596</v>
      </c>
      <c r="Q581" s="36">
        <f>Q580*1936.27</f>
        <v>41000137.741080001</v>
      </c>
      <c r="R581" s="7"/>
      <c r="S581" s="7"/>
      <c r="T581" s="7"/>
      <c r="U581" s="7"/>
      <c r="V581" s="7"/>
      <c r="W581" s="7"/>
      <c r="X581" s="7"/>
      <c r="Y581" s="7"/>
      <c r="Z581" s="7"/>
    </row>
    <row r="582" spans="1:26" ht="12.75" customHeight="1" x14ac:dyDescent="0.2">
      <c r="A582" s="539">
        <v>37257</v>
      </c>
      <c r="B582" s="539">
        <v>37621</v>
      </c>
      <c r="C582" s="40" t="s">
        <v>36</v>
      </c>
      <c r="D582" s="41">
        <v>3</v>
      </c>
      <c r="E582" s="42">
        <v>12223.54</v>
      </c>
      <c r="F582" s="42"/>
      <c r="G582" s="42"/>
      <c r="H582" s="42">
        <v>6459.63</v>
      </c>
      <c r="I582" s="42">
        <v>0</v>
      </c>
      <c r="J582" s="42">
        <v>1556.93</v>
      </c>
      <c r="K582" s="43">
        <v>18683.169999999998</v>
      </c>
      <c r="L582" s="32">
        <v>20240.099999999999</v>
      </c>
      <c r="M582" s="33"/>
      <c r="N582" s="30">
        <v>18683.169999999998</v>
      </c>
      <c r="O582" s="30">
        <v>12223.54</v>
      </c>
      <c r="P582" s="30">
        <v>1578.6</v>
      </c>
      <c r="Q582" s="30">
        <f>(N582+O582*0.18+J582)+(IF((P582-O582*0.18)&gt;0,(P582-O582*0.18),0))</f>
        <v>22440.337199999998</v>
      </c>
      <c r="R582" s="7"/>
      <c r="S582" s="7"/>
      <c r="T582" s="7"/>
      <c r="U582" s="7"/>
      <c r="V582" s="7"/>
      <c r="W582" s="7"/>
      <c r="X582" s="7"/>
      <c r="Y582" s="7"/>
      <c r="Z582" s="7"/>
    </row>
    <row r="583" spans="1:26" ht="9" customHeight="1" x14ac:dyDescent="0.2">
      <c r="A583" s="534"/>
      <c r="B583" s="534"/>
      <c r="C583" s="34" t="s">
        <v>37</v>
      </c>
      <c r="D583" s="35">
        <v>8</v>
      </c>
      <c r="E583" s="36">
        <v>23668074</v>
      </c>
      <c r="F583" s="36"/>
      <c r="G583" s="36"/>
      <c r="H583" s="36">
        <v>12507588</v>
      </c>
      <c r="I583" s="36">
        <v>0</v>
      </c>
      <c r="J583" s="37">
        <v>3014637</v>
      </c>
      <c r="K583" s="36">
        <v>36175662</v>
      </c>
      <c r="L583" s="38">
        <v>39190298</v>
      </c>
      <c r="M583" s="39"/>
      <c r="N583" s="36">
        <v>36175662</v>
      </c>
      <c r="O583" s="36">
        <v>23668074</v>
      </c>
      <c r="P583" s="36">
        <v>3056596</v>
      </c>
      <c r="Q583" s="36">
        <f>Q582*1936.27</f>
        <v>43450551.710243993</v>
      </c>
      <c r="R583" s="7"/>
      <c r="S583" s="7"/>
      <c r="T583" s="7"/>
      <c r="U583" s="7"/>
      <c r="V583" s="7"/>
      <c r="W583" s="7"/>
      <c r="X583" s="7"/>
      <c r="Y583" s="7"/>
      <c r="Z583" s="7"/>
    </row>
    <row r="584" spans="1:26" ht="12.75" customHeight="1" x14ac:dyDescent="0.2">
      <c r="A584" s="534"/>
      <c r="B584" s="534"/>
      <c r="C584" s="40" t="s">
        <v>36</v>
      </c>
      <c r="D584" s="41">
        <v>9</v>
      </c>
      <c r="E584" s="42">
        <v>13826.33</v>
      </c>
      <c r="F584" s="42"/>
      <c r="G584" s="42"/>
      <c r="H584" s="42">
        <v>6459.63</v>
      </c>
      <c r="I584" s="42">
        <v>0</v>
      </c>
      <c r="J584" s="42">
        <v>1690.5</v>
      </c>
      <c r="K584" s="43">
        <v>20285.96</v>
      </c>
      <c r="L584" s="32">
        <v>21976.46</v>
      </c>
      <c r="M584" s="33"/>
      <c r="N584" s="30">
        <v>20285.96</v>
      </c>
      <c r="O584" s="30">
        <v>13826.33</v>
      </c>
      <c r="P584" s="30">
        <v>1578.6</v>
      </c>
      <c r="Q584" s="30">
        <f>(N584+O584*0.18+J584)+(IF((P584-O584*0.18)&gt;0,(P584-O584*0.18),0))</f>
        <v>24465.199399999998</v>
      </c>
      <c r="R584" s="7"/>
      <c r="S584" s="7"/>
      <c r="T584" s="7"/>
      <c r="U584" s="7"/>
      <c r="V584" s="7"/>
      <c r="W584" s="7"/>
      <c r="X584" s="7"/>
      <c r="Y584" s="7"/>
      <c r="Z584" s="7"/>
    </row>
    <row r="585" spans="1:26" ht="9" customHeight="1" x14ac:dyDescent="0.2">
      <c r="A585" s="534"/>
      <c r="B585" s="534"/>
      <c r="C585" s="34" t="s">
        <v>37</v>
      </c>
      <c r="D585" s="35">
        <v>14</v>
      </c>
      <c r="E585" s="36">
        <v>26771508</v>
      </c>
      <c r="F585" s="36"/>
      <c r="G585" s="36"/>
      <c r="H585" s="36">
        <v>12507588</v>
      </c>
      <c r="I585" s="36">
        <v>0</v>
      </c>
      <c r="J585" s="37">
        <v>3273264</v>
      </c>
      <c r="K585" s="36">
        <v>39279096</v>
      </c>
      <c r="L585" s="38">
        <v>42552360</v>
      </c>
      <c r="M585" s="39"/>
      <c r="N585" s="36">
        <v>39279096</v>
      </c>
      <c r="O585" s="36">
        <v>26771508</v>
      </c>
      <c r="P585" s="36">
        <v>3056596</v>
      </c>
      <c r="Q585" s="36">
        <f>Q584*1936.27</f>
        <v>47371231.642237999</v>
      </c>
      <c r="R585" s="7"/>
      <c r="S585" s="7"/>
      <c r="T585" s="7"/>
      <c r="U585" s="7"/>
      <c r="V585" s="7"/>
      <c r="W585" s="7"/>
      <c r="X585" s="7"/>
      <c r="Y585" s="7"/>
      <c r="Z585" s="7"/>
    </row>
    <row r="586" spans="1:26" ht="12.75" customHeight="1" x14ac:dyDescent="0.2">
      <c r="A586" s="534"/>
      <c r="B586" s="534"/>
      <c r="C586" s="40" t="s">
        <v>36</v>
      </c>
      <c r="D586" s="41">
        <v>15</v>
      </c>
      <c r="E586" s="42">
        <v>15803.5</v>
      </c>
      <c r="F586" s="42"/>
      <c r="G586" s="42"/>
      <c r="H586" s="42">
        <v>6459.63</v>
      </c>
      <c r="I586" s="42">
        <v>0</v>
      </c>
      <c r="J586" s="42">
        <v>1855.26</v>
      </c>
      <c r="K586" s="43">
        <v>22263.13</v>
      </c>
      <c r="L586" s="32">
        <v>24118.39</v>
      </c>
      <c r="M586" s="33"/>
      <c r="N586" s="30">
        <v>22263.13</v>
      </c>
      <c r="O586" s="30">
        <v>15803.5</v>
      </c>
      <c r="P586" s="30">
        <v>1955.16</v>
      </c>
      <c r="Q586" s="30">
        <f>(N586+O586*0.18+J586)+(IF((P586-O586*0.18)&gt;0,(P586-O586*0.18),0))</f>
        <v>26963.02</v>
      </c>
      <c r="R586" s="7"/>
      <c r="S586" s="7"/>
      <c r="T586" s="7"/>
      <c r="U586" s="7"/>
      <c r="V586" s="7"/>
      <c r="W586" s="7"/>
      <c r="X586" s="7"/>
      <c r="Y586" s="7"/>
      <c r="Z586" s="7"/>
    </row>
    <row r="587" spans="1:26" ht="9" customHeight="1" x14ac:dyDescent="0.2">
      <c r="A587" s="534"/>
      <c r="B587" s="534"/>
      <c r="C587" s="34" t="s">
        <v>37</v>
      </c>
      <c r="D587" s="35">
        <v>20</v>
      </c>
      <c r="E587" s="36">
        <v>30599843</v>
      </c>
      <c r="F587" s="36"/>
      <c r="G587" s="36"/>
      <c r="H587" s="36">
        <v>12507588</v>
      </c>
      <c r="I587" s="36">
        <v>0</v>
      </c>
      <c r="J587" s="37">
        <v>3592284</v>
      </c>
      <c r="K587" s="36">
        <v>43107431</v>
      </c>
      <c r="L587" s="38">
        <v>46699715</v>
      </c>
      <c r="M587" s="39"/>
      <c r="N587" s="36">
        <v>43107431</v>
      </c>
      <c r="O587" s="36">
        <v>30599843</v>
      </c>
      <c r="P587" s="36">
        <v>3785718</v>
      </c>
      <c r="Q587" s="36">
        <f>Q586*1936.27</f>
        <v>52207686.735399999</v>
      </c>
      <c r="R587" s="7"/>
      <c r="S587" s="7"/>
      <c r="T587" s="7"/>
      <c r="U587" s="7"/>
      <c r="V587" s="7"/>
      <c r="W587" s="7"/>
      <c r="X587" s="7"/>
      <c r="Y587" s="7"/>
      <c r="Z587" s="7"/>
    </row>
    <row r="588" spans="1:26" ht="12.75" customHeight="1" x14ac:dyDescent="0.2">
      <c r="A588" s="534"/>
      <c r="B588" s="534"/>
      <c r="C588" s="40" t="s">
        <v>36</v>
      </c>
      <c r="D588" s="41">
        <v>21</v>
      </c>
      <c r="E588" s="42">
        <v>18321.810000000001</v>
      </c>
      <c r="F588" s="42"/>
      <c r="G588" s="42"/>
      <c r="H588" s="42">
        <v>6459.63</v>
      </c>
      <c r="I588" s="42">
        <v>0</v>
      </c>
      <c r="J588" s="42">
        <v>2065.12</v>
      </c>
      <c r="K588" s="43">
        <v>24781.439999999999</v>
      </c>
      <c r="L588" s="32">
        <v>26846.560000000001</v>
      </c>
      <c r="M588" s="33"/>
      <c r="N588" s="30">
        <v>24781.439999999999</v>
      </c>
      <c r="O588" s="30">
        <v>18321.810000000001</v>
      </c>
      <c r="P588" s="30">
        <v>1955.16</v>
      </c>
      <c r="Q588" s="30">
        <f>(N588+O588*0.18+J588)+(IF((P588-O588*0.18)&gt;0,(P588-O588*0.18),0))</f>
        <v>30144.485799999999</v>
      </c>
      <c r="R588" s="7"/>
      <c r="S588" s="7"/>
      <c r="T588" s="7"/>
      <c r="U588" s="7"/>
      <c r="V588" s="7"/>
      <c r="W588" s="7"/>
      <c r="X588" s="7"/>
      <c r="Y588" s="7"/>
      <c r="Z588" s="7"/>
    </row>
    <row r="589" spans="1:26" ht="9" customHeight="1" x14ac:dyDescent="0.2">
      <c r="A589" s="534"/>
      <c r="B589" s="534"/>
      <c r="C589" s="34" t="s">
        <v>37</v>
      </c>
      <c r="D589" s="35">
        <v>27</v>
      </c>
      <c r="E589" s="36">
        <v>35475971</v>
      </c>
      <c r="F589" s="36"/>
      <c r="G589" s="36"/>
      <c r="H589" s="36">
        <v>12507588</v>
      </c>
      <c r="I589" s="36">
        <v>0</v>
      </c>
      <c r="J589" s="37">
        <v>3998630</v>
      </c>
      <c r="K589" s="36">
        <v>47983559</v>
      </c>
      <c r="L589" s="38">
        <v>51982189</v>
      </c>
      <c r="M589" s="39"/>
      <c r="N589" s="36">
        <v>47983559</v>
      </c>
      <c r="O589" s="36">
        <v>35475971</v>
      </c>
      <c r="P589" s="36">
        <v>3785718</v>
      </c>
      <c r="Q589" s="36">
        <f>Q588*1936.27</f>
        <v>58367863.519965999</v>
      </c>
      <c r="R589" s="7"/>
      <c r="S589" s="7"/>
      <c r="T589" s="7"/>
      <c r="U589" s="7"/>
      <c r="V589" s="7"/>
      <c r="W589" s="7"/>
      <c r="X589" s="7"/>
      <c r="Y589" s="7"/>
      <c r="Z589" s="7"/>
    </row>
    <row r="590" spans="1:26" ht="12.75" customHeight="1" x14ac:dyDescent="0.2">
      <c r="A590" s="534"/>
      <c r="B590" s="534"/>
      <c r="C590" s="40" t="s">
        <v>36</v>
      </c>
      <c r="D590" s="41">
        <v>28</v>
      </c>
      <c r="E590" s="42">
        <v>19971.77</v>
      </c>
      <c r="F590" s="42"/>
      <c r="G590" s="42"/>
      <c r="H590" s="42">
        <v>6459.63</v>
      </c>
      <c r="I590" s="42">
        <v>0</v>
      </c>
      <c r="J590" s="42">
        <v>2202.62</v>
      </c>
      <c r="K590" s="43">
        <v>26431.4</v>
      </c>
      <c r="L590" s="32">
        <v>28634.02</v>
      </c>
      <c r="M590" s="33"/>
      <c r="N590" s="30">
        <v>26431.4</v>
      </c>
      <c r="O590" s="30">
        <v>19971.77</v>
      </c>
      <c r="P590" s="30">
        <v>2333.4</v>
      </c>
      <c r="Q590" s="30">
        <f>(N590+O590*0.18+J590)+(IF((P590-O590*0.18)&gt;0,(P590-O590*0.18),0))</f>
        <v>32228.938600000001</v>
      </c>
      <c r="R590" s="7"/>
      <c r="S590" s="7"/>
      <c r="T590" s="7"/>
      <c r="U590" s="7"/>
      <c r="V590" s="7"/>
      <c r="W590" s="7"/>
      <c r="X590" s="7"/>
      <c r="Y590" s="7"/>
      <c r="Z590" s="7"/>
    </row>
    <row r="591" spans="1:26" ht="9" customHeight="1" x14ac:dyDescent="0.2">
      <c r="A591" s="534"/>
      <c r="B591" s="534"/>
      <c r="C591" s="34" t="s">
        <v>37</v>
      </c>
      <c r="D591" s="35">
        <v>34</v>
      </c>
      <c r="E591" s="36">
        <v>38670739</v>
      </c>
      <c r="F591" s="36"/>
      <c r="G591" s="36"/>
      <c r="H591" s="36">
        <v>12507588</v>
      </c>
      <c r="I591" s="36">
        <v>0</v>
      </c>
      <c r="J591" s="37">
        <v>4264867</v>
      </c>
      <c r="K591" s="36">
        <v>51178327</v>
      </c>
      <c r="L591" s="38">
        <v>55443194</v>
      </c>
      <c r="M591" s="39"/>
      <c r="N591" s="36">
        <v>51178327</v>
      </c>
      <c r="O591" s="36">
        <v>38670739</v>
      </c>
      <c r="P591" s="36">
        <v>4518092</v>
      </c>
      <c r="Q591" s="36">
        <f>Q590*1936.27</f>
        <v>62403926.943022005</v>
      </c>
      <c r="R591" s="7"/>
      <c r="S591" s="7"/>
      <c r="T591" s="7"/>
      <c r="U591" s="7"/>
      <c r="V591" s="7"/>
      <c r="W591" s="7"/>
      <c r="X591" s="7"/>
      <c r="Y591" s="7"/>
      <c r="Z591" s="7"/>
    </row>
    <row r="592" spans="1:26" ht="12.75" customHeight="1" x14ac:dyDescent="0.2">
      <c r="A592" s="534"/>
      <c r="B592" s="534"/>
      <c r="C592" s="40" t="s">
        <v>36</v>
      </c>
      <c r="D592" s="41">
        <v>35</v>
      </c>
      <c r="E592" s="42">
        <v>21287.05</v>
      </c>
      <c r="F592" s="42"/>
      <c r="G592" s="42"/>
      <c r="H592" s="42">
        <v>6459.63</v>
      </c>
      <c r="I592" s="42">
        <v>0</v>
      </c>
      <c r="J592" s="42">
        <v>2312.2199999999998</v>
      </c>
      <c r="K592" s="43">
        <v>27746.68</v>
      </c>
      <c r="L592" s="32">
        <v>30058.9</v>
      </c>
      <c r="M592" s="33"/>
      <c r="N592" s="30">
        <v>27746.68</v>
      </c>
      <c r="O592" s="30">
        <v>21287.05</v>
      </c>
      <c r="P592" s="30">
        <v>2333.4</v>
      </c>
      <c r="Q592" s="30">
        <f>(N592+O592*0.18+J592)+(IF((P592-O592*0.18)&gt;0,(P592-O592*0.18),0))</f>
        <v>33890.569000000003</v>
      </c>
      <c r="R592" s="7"/>
      <c r="S592" s="7"/>
      <c r="T592" s="7"/>
      <c r="U592" s="7"/>
      <c r="V592" s="7"/>
      <c r="W592" s="7"/>
      <c r="X592" s="7"/>
      <c r="Y592" s="7"/>
      <c r="Z592" s="7"/>
    </row>
    <row r="593" spans="1:26" ht="9" customHeight="1" x14ac:dyDescent="0.2">
      <c r="A593" s="535"/>
      <c r="B593" s="535"/>
      <c r="C593" s="47" t="s">
        <v>37</v>
      </c>
      <c r="D593" s="48"/>
      <c r="E593" s="46">
        <v>41217476</v>
      </c>
      <c r="F593" s="46"/>
      <c r="G593" s="46"/>
      <c r="H593" s="46">
        <v>12507588</v>
      </c>
      <c r="I593" s="46">
        <v>0</v>
      </c>
      <c r="J593" s="49">
        <v>4477082</v>
      </c>
      <c r="K593" s="46">
        <v>53725064</v>
      </c>
      <c r="L593" s="38">
        <v>58202146</v>
      </c>
      <c r="M593" s="39"/>
      <c r="N593" s="36">
        <v>53725064</v>
      </c>
      <c r="O593" s="36">
        <v>41217476</v>
      </c>
      <c r="P593" s="36">
        <v>4518092</v>
      </c>
      <c r="Q593" s="36">
        <f>Q592*1936.27</f>
        <v>65621292.037630007</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96"/>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96"/>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96"/>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96"/>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96"/>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96"/>
      <c r="Q599" s="96"/>
      <c r="R599" s="7"/>
      <c r="S599" s="7"/>
      <c r="T599" s="7"/>
      <c r="U599" s="7"/>
      <c r="V599" s="7"/>
      <c r="W599" s="7"/>
      <c r="X599" s="7"/>
      <c r="Y599" s="7"/>
      <c r="Z599" s="7"/>
    </row>
    <row r="600" spans="1:26" ht="12.75" customHeight="1" x14ac:dyDescent="0.2">
      <c r="A600" s="538">
        <v>37622</v>
      </c>
      <c r="B600" s="538">
        <v>37986</v>
      </c>
      <c r="C600" s="28" t="s">
        <v>36</v>
      </c>
      <c r="D600" s="29">
        <v>0</v>
      </c>
      <c r="E600" s="30">
        <v>11669.16</v>
      </c>
      <c r="F600" s="30"/>
      <c r="G600" s="30"/>
      <c r="H600" s="30">
        <v>6459.63</v>
      </c>
      <c r="I600" s="30">
        <v>0</v>
      </c>
      <c r="J600" s="30">
        <v>1510.73</v>
      </c>
      <c r="K600" s="31">
        <v>18128.79</v>
      </c>
      <c r="L600" s="32">
        <v>19639.52</v>
      </c>
      <c r="M600" s="33"/>
      <c r="N600" s="30">
        <v>18128.79</v>
      </c>
      <c r="O600" s="30">
        <v>11669.16</v>
      </c>
      <c r="P600" s="30">
        <v>1710.6</v>
      </c>
      <c r="Q600" s="30">
        <f>(N600+O600*0.18+J600)+(IF((P600-O600*0.18)&gt;0,(P600-O600*0.18),0))</f>
        <v>21739.968799999999</v>
      </c>
      <c r="R600" s="7"/>
      <c r="S600" s="7"/>
      <c r="T600" s="7"/>
      <c r="U600" s="7"/>
      <c r="V600" s="7"/>
      <c r="W600" s="7"/>
      <c r="X600" s="7"/>
      <c r="Y600" s="7"/>
      <c r="Z600" s="7"/>
    </row>
    <row r="601" spans="1:26" ht="9" customHeight="1" x14ac:dyDescent="0.2">
      <c r="A601" s="534"/>
      <c r="B601" s="534"/>
      <c r="C601" s="34" t="s">
        <v>37</v>
      </c>
      <c r="D601" s="35">
        <v>2</v>
      </c>
      <c r="E601" s="36">
        <v>22594644</v>
      </c>
      <c r="F601" s="36"/>
      <c r="G601" s="36"/>
      <c r="H601" s="36">
        <v>12507588</v>
      </c>
      <c r="I601" s="36">
        <v>0</v>
      </c>
      <c r="J601" s="37">
        <v>2925181</v>
      </c>
      <c r="K601" s="36">
        <v>35102232</v>
      </c>
      <c r="L601" s="38">
        <v>38027413</v>
      </c>
      <c r="M601" s="39"/>
      <c r="N601" s="36">
        <v>35102232</v>
      </c>
      <c r="O601" s="36">
        <v>22594644</v>
      </c>
      <c r="P601" s="36">
        <v>3312183</v>
      </c>
      <c r="Q601" s="36">
        <f>Q600*1936.27</f>
        <v>42094449.388375998</v>
      </c>
      <c r="R601" s="7"/>
      <c r="S601" s="7"/>
      <c r="T601" s="7"/>
      <c r="U601" s="7"/>
      <c r="V601" s="7"/>
      <c r="W601" s="7"/>
      <c r="X601" s="7"/>
      <c r="Y601" s="7"/>
      <c r="Z601" s="7"/>
    </row>
    <row r="602" spans="1:26" ht="12.75" customHeight="1" x14ac:dyDescent="0.2">
      <c r="A602" s="539">
        <v>37622</v>
      </c>
      <c r="B602" s="539">
        <v>37986</v>
      </c>
      <c r="C602" s="40" t="s">
        <v>36</v>
      </c>
      <c r="D602" s="41">
        <v>3</v>
      </c>
      <c r="E602" s="42">
        <v>12696.22</v>
      </c>
      <c r="F602" s="42"/>
      <c r="G602" s="42"/>
      <c r="H602" s="42">
        <v>6459.63</v>
      </c>
      <c r="I602" s="42">
        <v>0</v>
      </c>
      <c r="J602" s="42">
        <v>1596.32</v>
      </c>
      <c r="K602" s="43">
        <v>19155.849999999999</v>
      </c>
      <c r="L602" s="32">
        <v>20752.169999999998</v>
      </c>
      <c r="M602" s="33"/>
      <c r="N602" s="30">
        <v>19155.849999999999</v>
      </c>
      <c r="O602" s="30">
        <v>12696.22</v>
      </c>
      <c r="P602" s="30">
        <v>1710.6</v>
      </c>
      <c r="Q602" s="30">
        <f>(N602+O602*0.18+J602)+(IF((P602-O602*0.18)&gt;0,(P602-O602*0.18),0))</f>
        <v>23037.489599999997</v>
      </c>
      <c r="R602" s="7"/>
      <c r="S602" s="7"/>
      <c r="T602" s="7"/>
      <c r="U602" s="7"/>
      <c r="V602" s="7"/>
      <c r="W602" s="7"/>
      <c r="X602" s="7"/>
      <c r="Y602" s="7"/>
      <c r="Z602" s="7"/>
    </row>
    <row r="603" spans="1:26" ht="9" customHeight="1" x14ac:dyDescent="0.2">
      <c r="A603" s="534"/>
      <c r="B603" s="534"/>
      <c r="C603" s="34" t="s">
        <v>37</v>
      </c>
      <c r="D603" s="35">
        <v>8</v>
      </c>
      <c r="E603" s="36">
        <v>24583310</v>
      </c>
      <c r="F603" s="36"/>
      <c r="G603" s="36"/>
      <c r="H603" s="36">
        <v>12507588</v>
      </c>
      <c r="I603" s="36">
        <v>0</v>
      </c>
      <c r="J603" s="37">
        <v>3090907</v>
      </c>
      <c r="K603" s="36">
        <v>37090898</v>
      </c>
      <c r="L603" s="38">
        <v>40181804</v>
      </c>
      <c r="M603" s="39"/>
      <c r="N603" s="36">
        <v>37090898</v>
      </c>
      <c r="O603" s="36">
        <v>24583310</v>
      </c>
      <c r="P603" s="36">
        <v>12507588</v>
      </c>
      <c r="Q603" s="36">
        <f>Q602*1936.27</f>
        <v>44606799.987791993</v>
      </c>
      <c r="R603" s="7"/>
      <c r="S603" s="7"/>
      <c r="T603" s="7"/>
      <c r="U603" s="7"/>
      <c r="V603" s="7"/>
      <c r="W603" s="7"/>
      <c r="X603" s="7"/>
      <c r="Y603" s="7"/>
      <c r="Z603" s="7"/>
    </row>
    <row r="604" spans="1:26" ht="12.75" customHeight="1" x14ac:dyDescent="0.2">
      <c r="A604" s="534"/>
      <c r="B604" s="534"/>
      <c r="C604" s="40" t="s">
        <v>36</v>
      </c>
      <c r="D604" s="41">
        <v>9</v>
      </c>
      <c r="E604" s="42">
        <v>14339.57</v>
      </c>
      <c r="F604" s="42"/>
      <c r="G604" s="42"/>
      <c r="H604" s="42">
        <v>6459.63</v>
      </c>
      <c r="I604" s="42">
        <v>0</v>
      </c>
      <c r="J604" s="42">
        <v>1733.27</v>
      </c>
      <c r="K604" s="43">
        <v>20799.2</v>
      </c>
      <c r="L604" s="32">
        <v>22532.47</v>
      </c>
      <c r="M604" s="33"/>
      <c r="N604" s="30">
        <v>20799.2</v>
      </c>
      <c r="O604" s="30">
        <v>14339.57</v>
      </c>
      <c r="P604" s="30">
        <v>1710.6</v>
      </c>
      <c r="Q604" s="30">
        <f>(N604+O604*0.18+J604)+(IF((P604-O604*0.18)&gt;0,(P604-O604*0.18),0))</f>
        <v>25113.5926</v>
      </c>
      <c r="R604" s="7"/>
      <c r="S604" s="7"/>
      <c r="T604" s="7"/>
      <c r="U604" s="7"/>
      <c r="V604" s="7"/>
      <c r="W604" s="7"/>
      <c r="X604" s="7"/>
      <c r="Y604" s="7"/>
      <c r="Z604" s="7"/>
    </row>
    <row r="605" spans="1:26" ht="9" customHeight="1" x14ac:dyDescent="0.2">
      <c r="A605" s="534"/>
      <c r="B605" s="534"/>
      <c r="C605" s="34" t="s">
        <v>37</v>
      </c>
      <c r="D605" s="35">
        <v>14</v>
      </c>
      <c r="E605" s="36">
        <v>27765279</v>
      </c>
      <c r="F605" s="36"/>
      <c r="G605" s="36"/>
      <c r="H605" s="36">
        <v>12507588</v>
      </c>
      <c r="I605" s="36">
        <v>0</v>
      </c>
      <c r="J605" s="37">
        <v>3356079</v>
      </c>
      <c r="K605" s="36">
        <v>40272867</v>
      </c>
      <c r="L605" s="38">
        <v>43628946</v>
      </c>
      <c r="M605" s="39"/>
      <c r="N605" s="36">
        <v>40272867</v>
      </c>
      <c r="O605" s="36">
        <v>27765279</v>
      </c>
      <c r="P605" s="36">
        <v>3312183</v>
      </c>
      <c r="Q605" s="36">
        <f>Q604*1936.27</f>
        <v>48626695.943602003</v>
      </c>
      <c r="R605" s="7"/>
      <c r="S605" s="7"/>
      <c r="T605" s="7"/>
      <c r="U605" s="7"/>
      <c r="V605" s="7"/>
      <c r="W605" s="7"/>
      <c r="X605" s="7"/>
      <c r="Y605" s="7"/>
      <c r="Z605" s="7"/>
    </row>
    <row r="606" spans="1:26" ht="12.75" customHeight="1" x14ac:dyDescent="0.2">
      <c r="A606" s="534"/>
      <c r="B606" s="534"/>
      <c r="C606" s="40" t="s">
        <v>36</v>
      </c>
      <c r="D606" s="41">
        <v>15</v>
      </c>
      <c r="E606" s="42">
        <v>16366.78</v>
      </c>
      <c r="F606" s="42"/>
      <c r="G606" s="42"/>
      <c r="H606" s="42">
        <v>6459.63</v>
      </c>
      <c r="I606" s="42">
        <v>0</v>
      </c>
      <c r="J606" s="42">
        <v>1902.2</v>
      </c>
      <c r="K606" s="43">
        <v>22826.41</v>
      </c>
      <c r="L606" s="32">
        <v>24728.61</v>
      </c>
      <c r="M606" s="33"/>
      <c r="N606" s="30">
        <v>22826.41</v>
      </c>
      <c r="O606" s="30">
        <v>16366.78</v>
      </c>
      <c r="P606" s="30">
        <v>2111.16</v>
      </c>
      <c r="Q606" s="30">
        <f>(N606+O606*0.18+J606)+(IF((P606-O606*0.18)&gt;0,(P606-O606*0.18),0))</f>
        <v>27674.630400000002</v>
      </c>
      <c r="R606" s="7"/>
      <c r="S606" s="7"/>
      <c r="T606" s="7"/>
      <c r="U606" s="7"/>
      <c r="V606" s="7"/>
      <c r="W606" s="7"/>
      <c r="X606" s="7"/>
      <c r="Y606" s="7"/>
      <c r="Z606" s="7"/>
    </row>
    <row r="607" spans="1:26" ht="9" customHeight="1" x14ac:dyDescent="0.2">
      <c r="A607" s="534"/>
      <c r="B607" s="534"/>
      <c r="C607" s="34" t="s">
        <v>37</v>
      </c>
      <c r="D607" s="35">
        <v>20</v>
      </c>
      <c r="E607" s="36">
        <v>31690505</v>
      </c>
      <c r="F607" s="36"/>
      <c r="G607" s="36"/>
      <c r="H607" s="36">
        <v>12507588</v>
      </c>
      <c r="I607" s="36">
        <v>0</v>
      </c>
      <c r="J607" s="37">
        <v>3683173</v>
      </c>
      <c r="K607" s="36">
        <v>44198093</v>
      </c>
      <c r="L607" s="38">
        <v>47881266</v>
      </c>
      <c r="M607" s="39"/>
      <c r="N607" s="36">
        <v>44198093</v>
      </c>
      <c r="O607" s="36">
        <v>31690505</v>
      </c>
      <c r="P607" s="36">
        <v>4087776</v>
      </c>
      <c r="Q607" s="36">
        <f>Q606*1936.27</f>
        <v>53585556.604607999</v>
      </c>
      <c r="R607" s="7"/>
      <c r="S607" s="7"/>
      <c r="T607" s="7"/>
      <c r="U607" s="7"/>
      <c r="V607" s="7"/>
      <c r="W607" s="7"/>
      <c r="X607" s="7"/>
      <c r="Y607" s="7"/>
      <c r="Z607" s="7"/>
    </row>
    <row r="608" spans="1:26" ht="12.75" customHeight="1" x14ac:dyDescent="0.2">
      <c r="A608" s="534"/>
      <c r="B608" s="534"/>
      <c r="C608" s="40" t="s">
        <v>36</v>
      </c>
      <c r="D608" s="41">
        <v>21</v>
      </c>
      <c r="E608" s="42">
        <v>18948.810000000001</v>
      </c>
      <c r="F608" s="42"/>
      <c r="G608" s="42"/>
      <c r="H608" s="42">
        <v>6459.63</v>
      </c>
      <c r="I608" s="42">
        <v>0</v>
      </c>
      <c r="J608" s="42">
        <v>2117.37</v>
      </c>
      <c r="K608" s="43">
        <v>25408.44</v>
      </c>
      <c r="L608" s="32">
        <v>27525.81</v>
      </c>
      <c r="M608" s="33"/>
      <c r="N608" s="30">
        <v>25408.44</v>
      </c>
      <c r="O608" s="30">
        <v>18948.810000000001</v>
      </c>
      <c r="P608" s="30">
        <v>2111.16</v>
      </c>
      <c r="Q608" s="30">
        <f>(N608+O608*0.18+J608)+(IF((P608-O608*0.18)&gt;0,(P608-O608*0.18),0))</f>
        <v>30936.595799999999</v>
      </c>
      <c r="R608" s="7"/>
      <c r="S608" s="7"/>
      <c r="T608" s="7"/>
      <c r="U608" s="7"/>
      <c r="V608" s="7"/>
      <c r="W608" s="7"/>
      <c r="X608" s="7"/>
      <c r="Y608" s="7"/>
      <c r="Z608" s="7"/>
    </row>
    <row r="609" spans="1:26" ht="9" customHeight="1" x14ac:dyDescent="0.2">
      <c r="A609" s="534"/>
      <c r="B609" s="534"/>
      <c r="C609" s="34" t="s">
        <v>37</v>
      </c>
      <c r="D609" s="35">
        <v>27</v>
      </c>
      <c r="E609" s="36">
        <v>36690012</v>
      </c>
      <c r="F609" s="36"/>
      <c r="G609" s="36"/>
      <c r="H609" s="36">
        <v>12507588</v>
      </c>
      <c r="I609" s="36">
        <v>0</v>
      </c>
      <c r="J609" s="37">
        <v>4099800</v>
      </c>
      <c r="K609" s="36">
        <v>49197600</v>
      </c>
      <c r="L609" s="38">
        <v>53297400</v>
      </c>
      <c r="M609" s="39"/>
      <c r="N609" s="36">
        <v>49197600</v>
      </c>
      <c r="O609" s="36">
        <v>36690012</v>
      </c>
      <c r="P609" s="36">
        <v>4087776</v>
      </c>
      <c r="Q609" s="36">
        <f>Q608*1936.27</f>
        <v>59901602.349665999</v>
      </c>
      <c r="R609" s="7"/>
      <c r="S609" s="7"/>
      <c r="T609" s="7"/>
      <c r="U609" s="7"/>
      <c r="V609" s="7"/>
      <c r="W609" s="7"/>
      <c r="X609" s="7"/>
      <c r="Y609" s="7"/>
      <c r="Z609" s="7"/>
    </row>
    <row r="610" spans="1:26" ht="12.75" customHeight="1" x14ac:dyDescent="0.2">
      <c r="A610" s="534"/>
      <c r="B610" s="534"/>
      <c r="C610" s="40" t="s">
        <v>36</v>
      </c>
      <c r="D610" s="41">
        <v>28</v>
      </c>
      <c r="E610" s="42">
        <v>20640.53</v>
      </c>
      <c r="F610" s="42"/>
      <c r="G610" s="42"/>
      <c r="H610" s="42">
        <v>6459.63</v>
      </c>
      <c r="I610" s="42">
        <v>0</v>
      </c>
      <c r="J610" s="42">
        <v>2258.35</v>
      </c>
      <c r="K610" s="43">
        <v>27100.16</v>
      </c>
      <c r="L610" s="32">
        <v>29358.51</v>
      </c>
      <c r="M610" s="33"/>
      <c r="N610" s="30">
        <v>27100.16</v>
      </c>
      <c r="O610" s="30">
        <v>20640.53</v>
      </c>
      <c r="P610" s="30">
        <v>2585.4</v>
      </c>
      <c r="Q610" s="30">
        <f>(N610+O610*0.18+J610)+(IF((P610-O610*0.18)&gt;0,(P610-O610*0.18),0))</f>
        <v>33073.805399999997</v>
      </c>
      <c r="R610" s="7"/>
      <c r="S610" s="7"/>
      <c r="T610" s="7"/>
      <c r="U610" s="7"/>
      <c r="V610" s="7"/>
      <c r="W610" s="7"/>
      <c r="X610" s="7"/>
      <c r="Y610" s="7"/>
      <c r="Z610" s="7"/>
    </row>
    <row r="611" spans="1:26" ht="9" customHeight="1" x14ac:dyDescent="0.2">
      <c r="A611" s="534"/>
      <c r="B611" s="534"/>
      <c r="C611" s="34" t="s">
        <v>37</v>
      </c>
      <c r="D611" s="35">
        <v>34</v>
      </c>
      <c r="E611" s="36">
        <v>39965639</v>
      </c>
      <c r="F611" s="36"/>
      <c r="G611" s="36"/>
      <c r="H611" s="36">
        <v>12507588</v>
      </c>
      <c r="I611" s="36">
        <v>0</v>
      </c>
      <c r="J611" s="37">
        <v>4372775</v>
      </c>
      <c r="K611" s="36">
        <v>52473227</v>
      </c>
      <c r="L611" s="38">
        <v>56846002</v>
      </c>
      <c r="M611" s="39"/>
      <c r="N611" s="36">
        <v>52473227</v>
      </c>
      <c r="O611" s="36">
        <v>39965639</v>
      </c>
      <c r="P611" s="36">
        <v>5006032</v>
      </c>
      <c r="Q611" s="36">
        <f>Q610*1936.27</f>
        <v>64039817.181857996</v>
      </c>
      <c r="R611" s="7"/>
      <c r="S611" s="7"/>
      <c r="T611" s="7"/>
      <c r="U611" s="7"/>
      <c r="V611" s="7"/>
      <c r="W611" s="7"/>
      <c r="X611" s="7"/>
      <c r="Y611" s="7"/>
      <c r="Z611" s="7"/>
    </row>
    <row r="612" spans="1:26" ht="12.75" customHeight="1" x14ac:dyDescent="0.2">
      <c r="A612" s="534"/>
      <c r="B612" s="534"/>
      <c r="C612" s="40" t="s">
        <v>36</v>
      </c>
      <c r="D612" s="41">
        <v>35</v>
      </c>
      <c r="E612" s="42">
        <v>21989.05</v>
      </c>
      <c r="F612" s="42"/>
      <c r="G612" s="42"/>
      <c r="H612" s="42">
        <v>6459.63</v>
      </c>
      <c r="I612" s="42">
        <v>0</v>
      </c>
      <c r="J612" s="42">
        <v>2370.7199999999998</v>
      </c>
      <c r="K612" s="43">
        <v>28448.68</v>
      </c>
      <c r="L612" s="32">
        <v>30819.4</v>
      </c>
      <c r="M612" s="33"/>
      <c r="N612" s="30">
        <v>28448.68</v>
      </c>
      <c r="O612" s="30">
        <v>21989.05</v>
      </c>
      <c r="P612" s="30">
        <v>2585.4</v>
      </c>
      <c r="Q612" s="30">
        <f>(N612+O612*0.18+J612)+(IF((P612-O612*0.18)&gt;0,(P612-O612*0.18),0))</f>
        <v>34777.428999999996</v>
      </c>
      <c r="R612" s="7"/>
      <c r="S612" s="7"/>
      <c r="T612" s="7"/>
      <c r="U612" s="7"/>
      <c r="V612" s="7"/>
      <c r="W612" s="7"/>
      <c r="X612" s="7"/>
      <c r="Y612" s="7"/>
      <c r="Z612" s="7"/>
    </row>
    <row r="613" spans="1:26" ht="9" customHeight="1" x14ac:dyDescent="0.2">
      <c r="A613" s="535"/>
      <c r="B613" s="535"/>
      <c r="C613" s="47" t="s">
        <v>37</v>
      </c>
      <c r="D613" s="48"/>
      <c r="E613" s="46">
        <v>42576738</v>
      </c>
      <c r="F613" s="46"/>
      <c r="G613" s="46"/>
      <c r="H613" s="46">
        <v>12507588</v>
      </c>
      <c r="I613" s="46">
        <v>0</v>
      </c>
      <c r="J613" s="49">
        <v>4590354</v>
      </c>
      <c r="K613" s="46">
        <v>55084326</v>
      </c>
      <c r="L613" s="38">
        <v>59674680</v>
      </c>
      <c r="M613" s="39"/>
      <c r="N613" s="36">
        <v>55084326</v>
      </c>
      <c r="O613" s="36">
        <v>42576738</v>
      </c>
      <c r="P613" s="36">
        <v>5006032</v>
      </c>
      <c r="Q613" s="36">
        <f>Q612*1936.27</f>
        <v>67338492.449829996</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538">
        <v>37987</v>
      </c>
      <c r="B620" s="538">
        <v>38383</v>
      </c>
      <c r="C620" s="28" t="s">
        <v>36</v>
      </c>
      <c r="D620" s="29">
        <v>0</v>
      </c>
      <c r="E620" s="30">
        <v>12107.28</v>
      </c>
      <c r="F620" s="30"/>
      <c r="G620" s="30"/>
      <c r="H620" s="30">
        <v>6459.63</v>
      </c>
      <c r="I620" s="30">
        <v>0</v>
      </c>
      <c r="J620" s="30">
        <v>1547.24</v>
      </c>
      <c r="K620" s="31">
        <v>18566.91</v>
      </c>
      <c r="L620" s="32">
        <v>20114.150000000001</v>
      </c>
      <c r="M620" s="33"/>
      <c r="N620" s="30">
        <v>18566.91</v>
      </c>
      <c r="O620" s="30">
        <v>12107.28</v>
      </c>
      <c r="P620" s="30">
        <v>1857.84</v>
      </c>
      <c r="Q620" s="30">
        <f>(N620+O620*0.18+J620)+(IF((P620-O620*0.18)&gt;0,(P620-O620*0.18),0))</f>
        <v>22293.4604</v>
      </c>
      <c r="R620" s="7"/>
      <c r="S620" s="7"/>
      <c r="T620" s="7"/>
      <c r="U620" s="7"/>
      <c r="V620" s="7"/>
      <c r="W620" s="7"/>
      <c r="X620" s="7"/>
      <c r="Y620" s="7"/>
      <c r="Z620" s="7"/>
    </row>
    <row r="621" spans="1:26" ht="9" customHeight="1" x14ac:dyDescent="0.2">
      <c r="A621" s="557"/>
      <c r="B621" s="557"/>
      <c r="C621" s="34" t="s">
        <v>37</v>
      </c>
      <c r="D621" s="35">
        <v>2</v>
      </c>
      <c r="E621" s="36">
        <v>23442963</v>
      </c>
      <c r="F621" s="36"/>
      <c r="G621" s="36"/>
      <c r="H621" s="36">
        <v>12507588</v>
      </c>
      <c r="I621" s="36">
        <v>0</v>
      </c>
      <c r="J621" s="37">
        <v>2995874</v>
      </c>
      <c r="K621" s="36">
        <v>35950551</v>
      </c>
      <c r="L621" s="38">
        <v>38946425</v>
      </c>
      <c r="M621" s="39"/>
      <c r="N621" s="36">
        <v>35950551</v>
      </c>
      <c r="O621" s="36">
        <v>23442963</v>
      </c>
      <c r="P621" s="36">
        <v>3597280</v>
      </c>
      <c r="Q621" s="36">
        <f>Q620*1936.27</f>
        <v>43166158.568708003</v>
      </c>
      <c r="R621" s="7"/>
      <c r="S621" s="7"/>
      <c r="T621" s="7"/>
      <c r="U621" s="7"/>
      <c r="V621" s="7"/>
      <c r="W621" s="7"/>
      <c r="X621" s="7"/>
      <c r="Y621" s="7"/>
      <c r="Z621" s="7"/>
    </row>
    <row r="622" spans="1:26" ht="12.75" customHeight="1" x14ac:dyDescent="0.2">
      <c r="A622" s="539">
        <v>37987</v>
      </c>
      <c r="B622" s="539">
        <v>38383</v>
      </c>
      <c r="C622" s="40" t="s">
        <v>36</v>
      </c>
      <c r="D622" s="41">
        <v>3</v>
      </c>
      <c r="E622" s="42">
        <v>13159.18</v>
      </c>
      <c r="F622" s="42"/>
      <c r="G622" s="42"/>
      <c r="H622" s="42">
        <v>6459.63</v>
      </c>
      <c r="I622" s="42">
        <v>0</v>
      </c>
      <c r="J622" s="42">
        <v>1634.9</v>
      </c>
      <c r="K622" s="43">
        <v>19618.810000000001</v>
      </c>
      <c r="L622" s="32">
        <v>21253.71</v>
      </c>
      <c r="M622" s="33"/>
      <c r="N622" s="30">
        <v>19618.810000000001</v>
      </c>
      <c r="O622" s="30">
        <v>13159.18</v>
      </c>
      <c r="P622" s="30">
        <v>1857.84</v>
      </c>
      <c r="Q622" s="30">
        <f>(N622+O622*0.18+J622)+(IF((P622-O622*0.18)&gt;0,(P622-O622*0.18),0))</f>
        <v>23622.362400000002</v>
      </c>
      <c r="R622" s="7"/>
      <c r="S622" s="7"/>
      <c r="T622" s="7"/>
      <c r="U622" s="7"/>
      <c r="V622" s="7"/>
      <c r="W622" s="7"/>
      <c r="X622" s="7"/>
      <c r="Y622" s="7"/>
      <c r="Z622" s="7"/>
    </row>
    <row r="623" spans="1:26" ht="9" customHeight="1" x14ac:dyDescent="0.2">
      <c r="A623" s="534"/>
      <c r="B623" s="534"/>
      <c r="C623" s="34" t="s">
        <v>37</v>
      </c>
      <c r="D623" s="35">
        <v>8</v>
      </c>
      <c r="E623" s="36">
        <v>25479725</v>
      </c>
      <c r="F623" s="36"/>
      <c r="G623" s="36"/>
      <c r="H623" s="36">
        <v>12507588</v>
      </c>
      <c r="I623" s="36">
        <v>0</v>
      </c>
      <c r="J623" s="37">
        <v>3165608</v>
      </c>
      <c r="K623" s="36">
        <v>37987313</v>
      </c>
      <c r="L623" s="38">
        <v>41152921</v>
      </c>
      <c r="M623" s="39"/>
      <c r="N623" s="36">
        <v>37987313</v>
      </c>
      <c r="O623" s="36">
        <v>25479725</v>
      </c>
      <c r="P623" s="36">
        <v>3597280</v>
      </c>
      <c r="Q623" s="36">
        <f>Q622*1936.27</f>
        <v>45739271.644248001</v>
      </c>
      <c r="R623" s="7"/>
      <c r="S623" s="7"/>
      <c r="T623" s="7"/>
      <c r="U623" s="7"/>
      <c r="V623" s="7"/>
      <c r="W623" s="7"/>
      <c r="X623" s="7"/>
      <c r="Y623" s="7"/>
      <c r="Z623" s="7"/>
    </row>
    <row r="624" spans="1:26" ht="12.75" customHeight="1" x14ac:dyDescent="0.2">
      <c r="A624" s="534"/>
      <c r="B624" s="534"/>
      <c r="C624" s="40" t="s">
        <v>36</v>
      </c>
      <c r="D624" s="41">
        <v>9</v>
      </c>
      <c r="E624" s="42">
        <v>14842.25</v>
      </c>
      <c r="F624" s="42"/>
      <c r="G624" s="42"/>
      <c r="H624" s="42">
        <v>6459.63</v>
      </c>
      <c r="I624" s="42">
        <v>0</v>
      </c>
      <c r="J624" s="42">
        <v>1775.16</v>
      </c>
      <c r="K624" s="43">
        <v>21301.88</v>
      </c>
      <c r="L624" s="32">
        <v>23077.040000000001</v>
      </c>
      <c r="M624" s="33"/>
      <c r="N624" s="30">
        <v>21301.88</v>
      </c>
      <c r="O624" s="30">
        <v>14842.25</v>
      </c>
      <c r="P624" s="30">
        <v>1857.84</v>
      </c>
      <c r="Q624" s="30">
        <f>(N624+O624*0.18+J624)+(IF((P624-O624*0.18)&gt;0,(P624-O624*0.18),0))</f>
        <v>25748.645</v>
      </c>
      <c r="R624" s="7"/>
      <c r="S624" s="7"/>
      <c r="T624" s="7"/>
      <c r="U624" s="7"/>
      <c r="V624" s="7"/>
      <c r="W624" s="7"/>
      <c r="X624" s="7"/>
      <c r="Y624" s="7"/>
      <c r="Z624" s="7"/>
    </row>
    <row r="625" spans="1:26" ht="9" customHeight="1" x14ac:dyDescent="0.2">
      <c r="A625" s="534"/>
      <c r="B625" s="534"/>
      <c r="C625" s="34" t="s">
        <v>37</v>
      </c>
      <c r="D625" s="35">
        <v>14</v>
      </c>
      <c r="E625" s="36">
        <v>28738603</v>
      </c>
      <c r="F625" s="36"/>
      <c r="G625" s="36"/>
      <c r="H625" s="36">
        <v>12507588</v>
      </c>
      <c r="I625" s="36">
        <v>0</v>
      </c>
      <c r="J625" s="37">
        <v>3437189</v>
      </c>
      <c r="K625" s="36">
        <v>41246191</v>
      </c>
      <c r="L625" s="38">
        <v>44683380</v>
      </c>
      <c r="M625" s="39"/>
      <c r="N625" s="36">
        <v>41246191</v>
      </c>
      <c r="O625" s="36">
        <v>28738603</v>
      </c>
      <c r="P625" s="36">
        <v>3597280</v>
      </c>
      <c r="Q625" s="36">
        <f>Q624*1936.27</f>
        <v>49856328.854149997</v>
      </c>
      <c r="R625" s="7"/>
      <c r="S625" s="7"/>
      <c r="T625" s="7"/>
      <c r="U625" s="7"/>
      <c r="V625" s="7"/>
      <c r="W625" s="7"/>
      <c r="X625" s="7"/>
      <c r="Y625" s="7"/>
      <c r="Z625" s="7"/>
    </row>
    <row r="626" spans="1:26" ht="12.75" customHeight="1" x14ac:dyDescent="0.2">
      <c r="A626" s="534"/>
      <c r="B626" s="534"/>
      <c r="C626" s="40" t="s">
        <v>36</v>
      </c>
      <c r="D626" s="41">
        <v>15</v>
      </c>
      <c r="E626" s="42">
        <v>16918.54</v>
      </c>
      <c r="F626" s="42"/>
      <c r="G626" s="42"/>
      <c r="H626" s="42">
        <v>6459.63</v>
      </c>
      <c r="I626" s="42">
        <v>0</v>
      </c>
      <c r="J626" s="42">
        <v>1948.18</v>
      </c>
      <c r="K626" s="43">
        <v>23378.17</v>
      </c>
      <c r="L626" s="32">
        <v>25326.35</v>
      </c>
      <c r="M626" s="33"/>
      <c r="N626" s="30">
        <v>23378.17</v>
      </c>
      <c r="O626" s="30">
        <v>16918.54</v>
      </c>
      <c r="P626" s="30">
        <v>2287.8000000000002</v>
      </c>
      <c r="Q626" s="30">
        <f>(N626+O626*0.18+J626)+(IF((P626-O626*0.18)&gt;0,(P626-O626*0.18),0))</f>
        <v>28371.6872</v>
      </c>
      <c r="R626" s="7"/>
      <c r="S626" s="7"/>
      <c r="T626" s="7"/>
      <c r="U626" s="7"/>
      <c r="V626" s="7"/>
      <c r="W626" s="7"/>
      <c r="X626" s="7"/>
      <c r="Y626" s="7"/>
      <c r="Z626" s="7"/>
    </row>
    <row r="627" spans="1:26" ht="9" customHeight="1" x14ac:dyDescent="0.2">
      <c r="A627" s="534"/>
      <c r="B627" s="534"/>
      <c r="C627" s="34" t="s">
        <v>37</v>
      </c>
      <c r="D627" s="35">
        <v>20</v>
      </c>
      <c r="E627" s="36">
        <v>32758861</v>
      </c>
      <c r="F627" s="36"/>
      <c r="G627" s="36"/>
      <c r="H627" s="36">
        <v>12507588</v>
      </c>
      <c r="I627" s="36">
        <v>0</v>
      </c>
      <c r="J627" s="37">
        <v>3772202</v>
      </c>
      <c r="K627" s="36">
        <v>45266449</v>
      </c>
      <c r="L627" s="38">
        <v>49038652</v>
      </c>
      <c r="M627" s="39"/>
      <c r="N627" s="36">
        <v>45266449</v>
      </c>
      <c r="O627" s="36">
        <v>32758861</v>
      </c>
      <c r="P627" s="36">
        <v>4429799</v>
      </c>
      <c r="Q627" s="36">
        <f>Q626*1936.27</f>
        <v>54935246.774743997</v>
      </c>
      <c r="R627" s="7"/>
      <c r="S627" s="7"/>
      <c r="T627" s="7"/>
      <c r="U627" s="7"/>
      <c r="V627" s="7"/>
      <c r="W627" s="7"/>
      <c r="X627" s="7"/>
      <c r="Y627" s="7"/>
      <c r="Z627" s="7"/>
    </row>
    <row r="628" spans="1:26" ht="12.75" customHeight="1" x14ac:dyDescent="0.2">
      <c r="A628" s="534"/>
      <c r="B628" s="534"/>
      <c r="C628" s="40" t="s">
        <v>36</v>
      </c>
      <c r="D628" s="41">
        <v>21</v>
      </c>
      <c r="E628" s="42">
        <v>19562.97</v>
      </c>
      <c r="F628" s="42"/>
      <c r="G628" s="42"/>
      <c r="H628" s="42">
        <v>6459.63</v>
      </c>
      <c r="I628" s="42">
        <v>0</v>
      </c>
      <c r="J628" s="42">
        <v>2168.5500000000002</v>
      </c>
      <c r="K628" s="43">
        <v>26022.6</v>
      </c>
      <c r="L628" s="32">
        <v>28191.15</v>
      </c>
      <c r="M628" s="33"/>
      <c r="N628" s="30">
        <v>26022.6</v>
      </c>
      <c r="O628" s="30">
        <v>19562.97</v>
      </c>
      <c r="P628" s="30">
        <v>2287.8000000000002</v>
      </c>
      <c r="Q628" s="30">
        <f>(N628+O628*0.18+J628)+(IF((P628-O628*0.18)&gt;0,(P628-O628*0.18),0))</f>
        <v>31712.4846</v>
      </c>
      <c r="R628" s="7"/>
      <c r="S628" s="7"/>
      <c r="T628" s="7"/>
      <c r="U628" s="7"/>
      <c r="V628" s="7"/>
      <c r="W628" s="7"/>
      <c r="X628" s="7"/>
      <c r="Y628" s="7"/>
      <c r="Z628" s="7"/>
    </row>
    <row r="629" spans="1:26" ht="9" customHeight="1" x14ac:dyDescent="0.2">
      <c r="A629" s="534"/>
      <c r="B629" s="534"/>
      <c r="C629" s="34" t="s">
        <v>37</v>
      </c>
      <c r="D629" s="35">
        <v>27</v>
      </c>
      <c r="E629" s="36">
        <v>37879192</v>
      </c>
      <c r="F629" s="36"/>
      <c r="G629" s="36"/>
      <c r="H629" s="36">
        <v>12507588</v>
      </c>
      <c r="I629" s="36">
        <v>0</v>
      </c>
      <c r="J629" s="37">
        <v>4198898</v>
      </c>
      <c r="K629" s="36">
        <v>50386780</v>
      </c>
      <c r="L629" s="38">
        <v>54585678</v>
      </c>
      <c r="M629" s="39"/>
      <c r="N629" s="36">
        <v>50386780</v>
      </c>
      <c r="O629" s="36">
        <v>37879192</v>
      </c>
      <c r="P629" s="36">
        <v>4429799</v>
      </c>
      <c r="Q629" s="36">
        <f>Q628*1936.27</f>
        <v>61403932.556442</v>
      </c>
      <c r="R629" s="7"/>
      <c r="S629" s="7"/>
      <c r="T629" s="7"/>
      <c r="U629" s="7"/>
      <c r="V629" s="7"/>
      <c r="W629" s="7"/>
      <c r="X629" s="7"/>
      <c r="Y629" s="7"/>
      <c r="Z629" s="7"/>
    </row>
    <row r="630" spans="1:26" ht="12.75" customHeight="1" x14ac:dyDescent="0.2">
      <c r="A630" s="534"/>
      <c r="B630" s="534"/>
      <c r="C630" s="40" t="s">
        <v>36</v>
      </c>
      <c r="D630" s="41">
        <v>28</v>
      </c>
      <c r="E630" s="42">
        <v>21295.49</v>
      </c>
      <c r="F630" s="42"/>
      <c r="G630" s="42"/>
      <c r="H630" s="42">
        <v>6459.63</v>
      </c>
      <c r="I630" s="42">
        <v>0</v>
      </c>
      <c r="J630" s="42">
        <v>2312.9299999999998</v>
      </c>
      <c r="K630" s="43">
        <v>27755.119999999999</v>
      </c>
      <c r="L630" s="32">
        <v>30068.05</v>
      </c>
      <c r="M630" s="33"/>
      <c r="N630" s="30">
        <v>27755.119999999999</v>
      </c>
      <c r="O630" s="30">
        <v>21295.49</v>
      </c>
      <c r="P630" s="30">
        <v>2870.04</v>
      </c>
      <c r="Q630" s="30">
        <f>(N630+O630*0.18+J630)+(IF((P630-O630*0.18)&gt;0,(P630-O630*0.18),0))</f>
        <v>33901.2382</v>
      </c>
      <c r="R630" s="7"/>
      <c r="S630" s="7"/>
      <c r="T630" s="7"/>
      <c r="U630" s="7"/>
      <c r="V630" s="7"/>
      <c r="W630" s="7"/>
      <c r="X630" s="7"/>
      <c r="Y630" s="7"/>
      <c r="Z630" s="7"/>
    </row>
    <row r="631" spans="1:26" ht="9" customHeight="1" x14ac:dyDescent="0.2">
      <c r="A631" s="534"/>
      <c r="B631" s="534"/>
      <c r="C631" s="34" t="s">
        <v>37</v>
      </c>
      <c r="D631" s="35">
        <v>34</v>
      </c>
      <c r="E631" s="36">
        <v>41233818</v>
      </c>
      <c r="F631" s="36"/>
      <c r="G631" s="36"/>
      <c r="H631" s="36">
        <v>12507588</v>
      </c>
      <c r="I631" s="36">
        <v>0</v>
      </c>
      <c r="J631" s="37">
        <v>4478457</v>
      </c>
      <c r="K631" s="36">
        <v>53741406</v>
      </c>
      <c r="L631" s="38">
        <v>58219863</v>
      </c>
      <c r="M631" s="39"/>
      <c r="N631" s="36">
        <v>53741406</v>
      </c>
      <c r="O631" s="36">
        <v>41233818</v>
      </c>
      <c r="P631" s="36">
        <v>5557172</v>
      </c>
      <c r="Q631" s="36">
        <f>Q630*1936.27</f>
        <v>65641950.489514001</v>
      </c>
      <c r="R631" s="7"/>
      <c r="S631" s="7"/>
      <c r="T631" s="7"/>
      <c r="U631" s="7"/>
      <c r="V631" s="7"/>
      <c r="W631" s="7"/>
      <c r="X631" s="7"/>
      <c r="Y631" s="7"/>
      <c r="Z631" s="7"/>
    </row>
    <row r="632" spans="1:26" ht="12.75" customHeight="1" x14ac:dyDescent="0.2">
      <c r="A632" s="534"/>
      <c r="B632" s="534"/>
      <c r="C632" s="40" t="s">
        <v>36</v>
      </c>
      <c r="D632" s="41">
        <v>35</v>
      </c>
      <c r="E632" s="42">
        <v>22676.65</v>
      </c>
      <c r="F632" s="42"/>
      <c r="G632" s="42"/>
      <c r="H632" s="42">
        <v>6459.63</v>
      </c>
      <c r="I632" s="42">
        <v>0</v>
      </c>
      <c r="J632" s="42">
        <v>2428.02</v>
      </c>
      <c r="K632" s="43">
        <v>29136.28</v>
      </c>
      <c r="L632" s="32">
        <v>31564.3</v>
      </c>
      <c r="M632" s="33"/>
      <c r="N632" s="30">
        <v>29136.28</v>
      </c>
      <c r="O632" s="30">
        <v>22676.65</v>
      </c>
      <c r="P632" s="30">
        <v>2870.04</v>
      </c>
      <c r="Q632" s="30">
        <f>(N632+O632*0.18+J632)+(IF((P632-O632*0.18)&gt;0,(P632-O632*0.18),0))</f>
        <v>35646.096999999994</v>
      </c>
      <c r="R632" s="7"/>
      <c r="S632" s="7"/>
      <c r="T632" s="7"/>
      <c r="U632" s="7"/>
      <c r="V632" s="7"/>
      <c r="W632" s="7"/>
      <c r="X632" s="7"/>
      <c r="Y632" s="7"/>
      <c r="Z632" s="7"/>
    </row>
    <row r="633" spans="1:26" ht="9" customHeight="1" x14ac:dyDescent="0.2">
      <c r="A633" s="535"/>
      <c r="B633" s="535"/>
      <c r="C633" s="47" t="s">
        <v>37</v>
      </c>
      <c r="D633" s="48"/>
      <c r="E633" s="46">
        <v>43908117</v>
      </c>
      <c r="F633" s="46"/>
      <c r="G633" s="46"/>
      <c r="H633" s="46">
        <v>12507588</v>
      </c>
      <c r="I633" s="46">
        <v>0</v>
      </c>
      <c r="J633" s="49">
        <v>4701302</v>
      </c>
      <c r="K633" s="46">
        <v>56415705</v>
      </c>
      <c r="L633" s="38">
        <v>61117007</v>
      </c>
      <c r="M633" s="39"/>
      <c r="N633" s="36">
        <v>56415705</v>
      </c>
      <c r="O633" s="36">
        <v>43908117</v>
      </c>
      <c r="P633" s="36">
        <v>5557172</v>
      </c>
      <c r="Q633" s="36">
        <f>Q632*1936.27</f>
        <v>69020468.238189995</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538">
        <v>38384</v>
      </c>
      <c r="B640" s="538">
        <v>38717</v>
      </c>
      <c r="C640" s="28" t="s">
        <v>36</v>
      </c>
      <c r="D640" s="29">
        <v>0</v>
      </c>
      <c r="E640" s="30">
        <v>12622.8</v>
      </c>
      <c r="F640" s="30"/>
      <c r="G640" s="30"/>
      <c r="H640" s="30">
        <v>6459.63</v>
      </c>
      <c r="I640" s="30">
        <v>0</v>
      </c>
      <c r="J640" s="30">
        <v>1590.2</v>
      </c>
      <c r="K640" s="31">
        <v>19082.43</v>
      </c>
      <c r="L640" s="32">
        <v>20672.63</v>
      </c>
      <c r="M640" s="33"/>
      <c r="N640" s="30">
        <v>19082.43</v>
      </c>
      <c r="O640" s="30">
        <v>12622.8</v>
      </c>
      <c r="P640" s="30">
        <v>1857.84</v>
      </c>
      <c r="Q640" s="30">
        <f>(N640+O640*0.18+J640)+(IF((P640-O640*0.18)&gt;0,(P640-O640*0.18),0))</f>
        <v>22944.734</v>
      </c>
      <c r="R640" s="7"/>
      <c r="S640" s="7"/>
      <c r="T640" s="7"/>
      <c r="U640" s="7"/>
      <c r="V640" s="7"/>
      <c r="W640" s="7"/>
      <c r="X640" s="7"/>
      <c r="Y640" s="7"/>
      <c r="Z640" s="7"/>
    </row>
    <row r="641" spans="1:26" ht="9" customHeight="1" x14ac:dyDescent="0.2">
      <c r="A641" s="534"/>
      <c r="B641" s="534"/>
      <c r="C641" s="34" t="s">
        <v>37</v>
      </c>
      <c r="D641" s="35">
        <v>2</v>
      </c>
      <c r="E641" s="36">
        <v>24441149</v>
      </c>
      <c r="F641" s="36"/>
      <c r="G641" s="36"/>
      <c r="H641" s="36">
        <v>12507588</v>
      </c>
      <c r="I641" s="36">
        <v>0</v>
      </c>
      <c r="J641" s="37">
        <v>3079057</v>
      </c>
      <c r="K641" s="36">
        <v>36948737</v>
      </c>
      <c r="L641" s="38">
        <v>40027793</v>
      </c>
      <c r="M641" s="39"/>
      <c r="N641" s="36">
        <v>36948737</v>
      </c>
      <c r="O641" s="36">
        <v>24441149</v>
      </c>
      <c r="P641" s="36">
        <v>3597280</v>
      </c>
      <c r="Q641" s="36">
        <f>Q640*1936.27</f>
        <v>44427200.102179997</v>
      </c>
      <c r="R641" s="7"/>
      <c r="S641" s="7"/>
      <c r="T641" s="7"/>
      <c r="U641" s="7"/>
      <c r="V641" s="7"/>
      <c r="W641" s="7"/>
      <c r="X641" s="7"/>
      <c r="Y641" s="7"/>
      <c r="Z641" s="7"/>
    </row>
    <row r="642" spans="1:26" ht="12.75" customHeight="1" x14ac:dyDescent="0.2">
      <c r="A642" s="539">
        <v>38384</v>
      </c>
      <c r="B642" s="539">
        <v>38717</v>
      </c>
      <c r="C642" s="40" t="s">
        <v>36</v>
      </c>
      <c r="D642" s="41">
        <v>3</v>
      </c>
      <c r="E642" s="42">
        <v>13703.98</v>
      </c>
      <c r="F642" s="42"/>
      <c r="G642" s="42"/>
      <c r="H642" s="42">
        <v>6459.63</v>
      </c>
      <c r="I642" s="42">
        <v>0</v>
      </c>
      <c r="J642" s="42">
        <v>1680.3</v>
      </c>
      <c r="K642" s="43">
        <v>20163.61</v>
      </c>
      <c r="L642" s="32">
        <v>21843.91</v>
      </c>
      <c r="M642" s="33"/>
      <c r="N642" s="30">
        <v>20163.61</v>
      </c>
      <c r="O642" s="30">
        <v>13703.98</v>
      </c>
      <c r="P642" s="30">
        <v>1857.84</v>
      </c>
      <c r="Q642" s="30">
        <f>(N642+O642*0.18+J642)+(IF((P642-O642*0.18)&gt;0,(P642-O642*0.18),0))</f>
        <v>24310.626400000001</v>
      </c>
      <c r="R642" s="7"/>
      <c r="S642" s="7"/>
      <c r="T642" s="7"/>
      <c r="U642" s="7"/>
      <c r="V642" s="7"/>
      <c r="W642" s="7"/>
      <c r="X642" s="7"/>
      <c r="Y642" s="7"/>
      <c r="Z642" s="7"/>
    </row>
    <row r="643" spans="1:26" ht="9" customHeight="1" x14ac:dyDescent="0.2">
      <c r="A643" s="534"/>
      <c r="B643" s="534"/>
      <c r="C643" s="34" t="s">
        <v>37</v>
      </c>
      <c r="D643" s="35">
        <v>8</v>
      </c>
      <c r="E643" s="36">
        <v>26534605</v>
      </c>
      <c r="F643" s="36"/>
      <c r="G643" s="36"/>
      <c r="H643" s="36">
        <v>12507588</v>
      </c>
      <c r="I643" s="36">
        <v>0</v>
      </c>
      <c r="J643" s="37">
        <v>3253514</v>
      </c>
      <c r="K643" s="36">
        <v>39042193</v>
      </c>
      <c r="L643" s="38">
        <v>42295708</v>
      </c>
      <c r="M643" s="39"/>
      <c r="N643" s="36">
        <v>39042193</v>
      </c>
      <c r="O643" s="36">
        <v>26534605</v>
      </c>
      <c r="P643" s="36">
        <v>3597280</v>
      </c>
      <c r="Q643" s="36">
        <f>Q642*1936.27</f>
        <v>47071936.579528004</v>
      </c>
      <c r="R643" s="7"/>
      <c r="S643" s="7"/>
      <c r="T643" s="7"/>
      <c r="U643" s="7"/>
      <c r="V643" s="7"/>
      <c r="W643" s="7"/>
      <c r="X643" s="7"/>
      <c r="Y643" s="7"/>
      <c r="Z643" s="7"/>
    </row>
    <row r="644" spans="1:26" ht="12.75" customHeight="1" x14ac:dyDescent="0.2">
      <c r="A644" s="534"/>
      <c r="B644" s="534"/>
      <c r="C644" s="40" t="s">
        <v>36</v>
      </c>
      <c r="D644" s="41">
        <v>9</v>
      </c>
      <c r="E644" s="42">
        <v>15433.73</v>
      </c>
      <c r="F644" s="42"/>
      <c r="G644" s="42"/>
      <c r="H644" s="42">
        <v>6459.63</v>
      </c>
      <c r="I644" s="42">
        <v>0</v>
      </c>
      <c r="J644" s="42">
        <v>1824.45</v>
      </c>
      <c r="K644" s="43">
        <v>21893.360000000001</v>
      </c>
      <c r="L644" s="32">
        <v>23717.81</v>
      </c>
      <c r="M644" s="33"/>
      <c r="N644" s="30">
        <v>21893.360000000001</v>
      </c>
      <c r="O644" s="30">
        <v>15433.73</v>
      </c>
      <c r="P644" s="30">
        <v>1857.84</v>
      </c>
      <c r="Q644" s="30">
        <f>(N644+O644*0.18+J644)+(IF((P644-O644*0.18)&gt;0,(P644-O644*0.18),0))</f>
        <v>26495.881400000002</v>
      </c>
      <c r="R644" s="7"/>
      <c r="S644" s="7"/>
      <c r="T644" s="7"/>
      <c r="U644" s="7"/>
      <c r="V644" s="7"/>
      <c r="W644" s="7"/>
      <c r="X644" s="7"/>
      <c r="Y644" s="7"/>
      <c r="Z644" s="7"/>
    </row>
    <row r="645" spans="1:26" ht="9" customHeight="1" x14ac:dyDescent="0.2">
      <c r="A645" s="534"/>
      <c r="B645" s="534"/>
      <c r="C645" s="34" t="s">
        <v>37</v>
      </c>
      <c r="D645" s="35">
        <v>14</v>
      </c>
      <c r="E645" s="36">
        <v>29883868</v>
      </c>
      <c r="F645" s="36"/>
      <c r="G645" s="36"/>
      <c r="H645" s="36">
        <v>12507588</v>
      </c>
      <c r="I645" s="36">
        <v>0</v>
      </c>
      <c r="J645" s="37">
        <v>3532628</v>
      </c>
      <c r="K645" s="36">
        <v>42391456</v>
      </c>
      <c r="L645" s="38">
        <v>45924084</v>
      </c>
      <c r="M645" s="39"/>
      <c r="N645" s="36">
        <v>42391456</v>
      </c>
      <c r="O645" s="36">
        <v>29883868</v>
      </c>
      <c r="P645" s="36">
        <v>3597280</v>
      </c>
      <c r="Q645" s="36">
        <f>Q644*1936.27</f>
        <v>51303180.278378002</v>
      </c>
      <c r="R645" s="7"/>
      <c r="S645" s="7"/>
      <c r="T645" s="7"/>
      <c r="U645" s="7"/>
      <c r="V645" s="7"/>
      <c r="W645" s="7"/>
      <c r="X645" s="7"/>
      <c r="Y645" s="7"/>
      <c r="Z645" s="7"/>
    </row>
    <row r="646" spans="1:26" ht="12.75" customHeight="1" x14ac:dyDescent="0.2">
      <c r="A646" s="534"/>
      <c r="B646" s="534"/>
      <c r="C646" s="40" t="s">
        <v>36</v>
      </c>
      <c r="D646" s="41">
        <v>15</v>
      </c>
      <c r="E646" s="42">
        <v>17567.62</v>
      </c>
      <c r="F646" s="42"/>
      <c r="G646" s="42"/>
      <c r="H646" s="42">
        <v>6459.63</v>
      </c>
      <c r="I646" s="42">
        <v>0</v>
      </c>
      <c r="J646" s="42">
        <v>2002.27</v>
      </c>
      <c r="K646" s="43">
        <v>24027.25</v>
      </c>
      <c r="L646" s="32">
        <v>26029.52</v>
      </c>
      <c r="M646" s="33"/>
      <c r="N646" s="30">
        <v>24027.25</v>
      </c>
      <c r="O646" s="30">
        <v>17567.62</v>
      </c>
      <c r="P646" s="30">
        <v>2287.8000000000002</v>
      </c>
      <c r="Q646" s="30">
        <f>(N646+O646*0.18+J646)+(IF((P646-O646*0.18)&gt;0,(P646-O646*0.18),0))</f>
        <v>29191.691600000002</v>
      </c>
      <c r="R646" s="7"/>
      <c r="S646" s="7"/>
      <c r="T646" s="7"/>
      <c r="U646" s="7"/>
      <c r="V646" s="7"/>
      <c r="W646" s="7"/>
      <c r="X646" s="7"/>
      <c r="Y646" s="7"/>
      <c r="Z646" s="7"/>
    </row>
    <row r="647" spans="1:26" ht="9" customHeight="1" x14ac:dyDescent="0.2">
      <c r="A647" s="534"/>
      <c r="B647" s="534"/>
      <c r="C647" s="34" t="s">
        <v>37</v>
      </c>
      <c r="D647" s="35">
        <v>20</v>
      </c>
      <c r="E647" s="36">
        <v>34015656</v>
      </c>
      <c r="F647" s="36"/>
      <c r="G647" s="36"/>
      <c r="H647" s="36">
        <v>12507588</v>
      </c>
      <c r="I647" s="36">
        <v>0</v>
      </c>
      <c r="J647" s="37">
        <v>3876935</v>
      </c>
      <c r="K647" s="36">
        <v>46523243</v>
      </c>
      <c r="L647" s="38">
        <v>50400179</v>
      </c>
      <c r="M647" s="39"/>
      <c r="N647" s="36">
        <v>46523243</v>
      </c>
      <c r="O647" s="36">
        <v>34015656</v>
      </c>
      <c r="P647" s="36">
        <v>4429799</v>
      </c>
      <c r="Q647" s="36">
        <f>Q646*1936.27</f>
        <v>56522996.694332004</v>
      </c>
      <c r="R647" s="7"/>
      <c r="S647" s="7"/>
      <c r="T647" s="7"/>
      <c r="U647" s="7"/>
      <c r="V647" s="7"/>
      <c r="W647" s="7"/>
      <c r="X647" s="7"/>
      <c r="Y647" s="7"/>
      <c r="Z647" s="7"/>
    </row>
    <row r="648" spans="1:26" ht="12.75" customHeight="1" x14ac:dyDescent="0.2">
      <c r="A648" s="534"/>
      <c r="B648" s="534"/>
      <c r="C648" s="40" t="s">
        <v>36</v>
      </c>
      <c r="D648" s="41">
        <v>21</v>
      </c>
      <c r="E648" s="42">
        <v>20285.490000000002</v>
      </c>
      <c r="F648" s="42"/>
      <c r="G648" s="42"/>
      <c r="H648" s="42">
        <v>6459.63</v>
      </c>
      <c r="I648" s="42">
        <v>0</v>
      </c>
      <c r="J648" s="42">
        <v>2228.7600000000002</v>
      </c>
      <c r="K648" s="43">
        <v>26745.119999999999</v>
      </c>
      <c r="L648" s="32">
        <v>28973.88</v>
      </c>
      <c r="M648" s="33"/>
      <c r="N648" s="30">
        <v>26745.119999999999</v>
      </c>
      <c r="O648" s="30">
        <v>20285.490000000002</v>
      </c>
      <c r="P648" s="30">
        <v>2287.8000000000002</v>
      </c>
      <c r="Q648" s="30">
        <f>(N648+O648*0.18+J648)+(IF((P648-O648*0.18)&gt;0,(P648-O648*0.18),0))</f>
        <v>32625.268199999999</v>
      </c>
      <c r="R648" s="7"/>
      <c r="S648" s="7"/>
      <c r="T648" s="7"/>
      <c r="U648" s="7"/>
      <c r="V648" s="7"/>
      <c r="W648" s="7"/>
      <c r="X648" s="7"/>
      <c r="Y648" s="7"/>
      <c r="Z648" s="7"/>
    </row>
    <row r="649" spans="1:26" ht="9" customHeight="1" x14ac:dyDescent="0.2">
      <c r="A649" s="534"/>
      <c r="B649" s="534"/>
      <c r="C649" s="34" t="s">
        <v>37</v>
      </c>
      <c r="D649" s="35">
        <v>27</v>
      </c>
      <c r="E649" s="36">
        <v>39278186</v>
      </c>
      <c r="F649" s="36"/>
      <c r="G649" s="36"/>
      <c r="H649" s="36">
        <v>12507588</v>
      </c>
      <c r="I649" s="36">
        <v>0</v>
      </c>
      <c r="J649" s="37">
        <v>4315481</v>
      </c>
      <c r="K649" s="36">
        <v>51785774</v>
      </c>
      <c r="L649" s="38">
        <v>56101255</v>
      </c>
      <c r="M649" s="39"/>
      <c r="N649" s="36">
        <v>51785774</v>
      </c>
      <c r="O649" s="36">
        <v>39278186</v>
      </c>
      <c r="P649" s="36">
        <v>4429799</v>
      </c>
      <c r="Q649" s="36">
        <f>Q648*1936.27</f>
        <v>63171328.057613999</v>
      </c>
      <c r="R649" s="7"/>
      <c r="S649" s="7"/>
      <c r="T649" s="7"/>
      <c r="U649" s="7"/>
      <c r="V649" s="7"/>
      <c r="W649" s="7"/>
      <c r="X649" s="7"/>
      <c r="Y649" s="7"/>
      <c r="Z649" s="7"/>
    </row>
    <row r="650" spans="1:26" ht="12.75" customHeight="1" x14ac:dyDescent="0.2">
      <c r="A650" s="534"/>
      <c r="B650" s="534"/>
      <c r="C650" s="40" t="s">
        <v>36</v>
      </c>
      <c r="D650" s="41">
        <v>28</v>
      </c>
      <c r="E650" s="42">
        <v>22066.13</v>
      </c>
      <c r="F650" s="42"/>
      <c r="G650" s="42"/>
      <c r="H650" s="42">
        <v>6459.63</v>
      </c>
      <c r="I650" s="42">
        <v>0</v>
      </c>
      <c r="J650" s="42">
        <v>2377.15</v>
      </c>
      <c r="K650" s="43">
        <v>28525.759999999998</v>
      </c>
      <c r="L650" s="32">
        <v>30902.91</v>
      </c>
      <c r="M650" s="33"/>
      <c r="N650" s="30">
        <v>28525.759999999998</v>
      </c>
      <c r="O650" s="30">
        <v>22066.13</v>
      </c>
      <c r="P650" s="30">
        <v>2870.04</v>
      </c>
      <c r="Q650" s="30">
        <f>(N650+O650*0.18+J650)+(IF((P650-O650*0.18)&gt;0,(P650-O650*0.18),0))</f>
        <v>34874.813399999999</v>
      </c>
      <c r="R650" s="7"/>
      <c r="S650" s="7"/>
      <c r="T650" s="7"/>
      <c r="U650" s="7"/>
      <c r="V650" s="7"/>
      <c r="W650" s="7"/>
      <c r="X650" s="7"/>
      <c r="Y650" s="7"/>
      <c r="Z650" s="7"/>
    </row>
    <row r="651" spans="1:26" ht="9" customHeight="1" x14ac:dyDescent="0.2">
      <c r="A651" s="534"/>
      <c r="B651" s="534"/>
      <c r="C651" s="34" t="s">
        <v>37</v>
      </c>
      <c r="D651" s="35">
        <v>34</v>
      </c>
      <c r="E651" s="36">
        <v>42725986</v>
      </c>
      <c r="F651" s="36"/>
      <c r="G651" s="36"/>
      <c r="H651" s="36">
        <v>12507588</v>
      </c>
      <c r="I651" s="36">
        <v>0</v>
      </c>
      <c r="J651" s="37">
        <v>4602804</v>
      </c>
      <c r="K651" s="36">
        <v>55233573</v>
      </c>
      <c r="L651" s="38">
        <v>59836378</v>
      </c>
      <c r="M651" s="39"/>
      <c r="N651" s="36">
        <v>55233573</v>
      </c>
      <c r="O651" s="36">
        <v>42725986</v>
      </c>
      <c r="P651" s="36">
        <v>5557172</v>
      </c>
      <c r="Q651" s="36">
        <f>Q650*1936.27</f>
        <v>67527054.942018002</v>
      </c>
      <c r="R651" s="7"/>
      <c r="S651" s="7"/>
      <c r="T651" s="7"/>
      <c r="U651" s="7"/>
      <c r="V651" s="7"/>
      <c r="W651" s="7"/>
      <c r="X651" s="7"/>
      <c r="Y651" s="7"/>
      <c r="Z651" s="7"/>
    </row>
    <row r="652" spans="1:26" ht="12.75" customHeight="1" x14ac:dyDescent="0.2">
      <c r="A652" s="534"/>
      <c r="B652" s="534"/>
      <c r="C652" s="40" t="s">
        <v>36</v>
      </c>
      <c r="D652" s="41">
        <v>35</v>
      </c>
      <c r="E652" s="42">
        <v>23485.69</v>
      </c>
      <c r="F652" s="42"/>
      <c r="G652" s="42"/>
      <c r="H652" s="42">
        <v>6459.63</v>
      </c>
      <c r="I652" s="42">
        <v>0</v>
      </c>
      <c r="J652" s="42">
        <v>2495.44</v>
      </c>
      <c r="K652" s="43">
        <v>29945.32</v>
      </c>
      <c r="L652" s="32">
        <v>32440.76</v>
      </c>
      <c r="M652" s="33"/>
      <c r="N652" s="30">
        <v>29945.32</v>
      </c>
      <c r="O652" s="30">
        <v>23485.69</v>
      </c>
      <c r="P652" s="30">
        <v>2870.04</v>
      </c>
      <c r="Q652" s="30">
        <f>(N652+O652*0.18+J652)+(IF((P652-O652*0.18)&gt;0,(P652-O652*0.18),0))</f>
        <v>36668.184200000003</v>
      </c>
      <c r="R652" s="7"/>
      <c r="S652" s="7"/>
      <c r="T652" s="7"/>
      <c r="U652" s="7"/>
      <c r="V652" s="7"/>
      <c r="W652" s="7"/>
      <c r="X652" s="7"/>
      <c r="Y652" s="7"/>
      <c r="Z652" s="7"/>
    </row>
    <row r="653" spans="1:26" ht="9" customHeight="1" x14ac:dyDescent="0.2">
      <c r="A653" s="535"/>
      <c r="B653" s="535"/>
      <c r="C653" s="47" t="s">
        <v>37</v>
      </c>
      <c r="D653" s="48"/>
      <c r="E653" s="46">
        <v>45474637</v>
      </c>
      <c r="F653" s="46"/>
      <c r="G653" s="46"/>
      <c r="H653" s="46">
        <v>12507588</v>
      </c>
      <c r="I653" s="46">
        <v>0</v>
      </c>
      <c r="J653" s="49">
        <v>4831846</v>
      </c>
      <c r="K653" s="46">
        <v>57982225</v>
      </c>
      <c r="L653" s="38">
        <v>62814070</v>
      </c>
      <c r="M653" s="39"/>
      <c r="N653" s="36">
        <v>57982225</v>
      </c>
      <c r="O653" s="36">
        <v>45474637</v>
      </c>
      <c r="P653" s="36">
        <v>5557172</v>
      </c>
      <c r="Q653" s="36">
        <f>Q652*1936.27</f>
        <v>70999505.020934001</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538">
        <v>38718</v>
      </c>
      <c r="B660" s="538">
        <v>39082</v>
      </c>
      <c r="C660" s="28" t="s">
        <v>36</v>
      </c>
      <c r="D660" s="29">
        <v>0</v>
      </c>
      <c r="E660" s="30">
        <v>12711.24</v>
      </c>
      <c r="F660" s="30"/>
      <c r="G660" s="30"/>
      <c r="H660" s="30">
        <v>6459.63</v>
      </c>
      <c r="I660" s="30">
        <v>0</v>
      </c>
      <c r="J660" s="30">
        <v>1597.57</v>
      </c>
      <c r="K660" s="31">
        <v>19170.87</v>
      </c>
      <c r="L660" s="32">
        <v>20768.439999999999</v>
      </c>
      <c r="M660" s="33"/>
      <c r="N660" s="30">
        <v>19170.87</v>
      </c>
      <c r="O660" s="30">
        <v>12711.24</v>
      </c>
      <c r="P660" s="30">
        <v>1968</v>
      </c>
      <c r="Q660" s="30">
        <f>(N660+O660*0.18+J660)+(IF((P660-O660*0.18)&gt;0,(P660-O660*0.18),0))</f>
        <v>23056.463199999998</v>
      </c>
      <c r="R660" s="7"/>
      <c r="S660" s="7"/>
      <c r="T660" s="7"/>
      <c r="U660" s="7"/>
      <c r="V660" s="7"/>
      <c r="W660" s="7"/>
      <c r="X660" s="7"/>
      <c r="Y660" s="7"/>
      <c r="Z660" s="7"/>
    </row>
    <row r="661" spans="1:26" ht="9" customHeight="1" x14ac:dyDescent="0.2">
      <c r="A661" s="557"/>
      <c r="B661" s="557"/>
      <c r="C661" s="34" t="s">
        <v>37</v>
      </c>
      <c r="D661" s="35">
        <v>2</v>
      </c>
      <c r="E661" s="36">
        <v>24612393</v>
      </c>
      <c r="F661" s="36"/>
      <c r="G661" s="36"/>
      <c r="H661" s="36">
        <v>12507588</v>
      </c>
      <c r="I661" s="36">
        <v>0</v>
      </c>
      <c r="J661" s="37">
        <v>3093327</v>
      </c>
      <c r="K661" s="36">
        <v>37119980</v>
      </c>
      <c r="L661" s="50">
        <v>40213307</v>
      </c>
      <c r="M661" s="39"/>
      <c r="N661" s="36">
        <v>37119980</v>
      </c>
      <c r="O661" s="36">
        <v>24612393</v>
      </c>
      <c r="P661" s="36">
        <v>3810579</v>
      </c>
      <c r="Q661" s="36">
        <f>Q660*1936.27</f>
        <v>44643538.000263996</v>
      </c>
      <c r="R661" s="7"/>
      <c r="S661" s="7"/>
      <c r="T661" s="7"/>
      <c r="U661" s="7"/>
      <c r="V661" s="7"/>
      <c r="W661" s="7"/>
      <c r="X661" s="7"/>
      <c r="Y661" s="7"/>
      <c r="Z661" s="7"/>
    </row>
    <row r="662" spans="1:26" ht="12.75" customHeight="1" x14ac:dyDescent="0.2">
      <c r="A662" s="539">
        <v>38718</v>
      </c>
      <c r="B662" s="539">
        <v>39082</v>
      </c>
      <c r="C662" s="40" t="s">
        <v>36</v>
      </c>
      <c r="D662" s="41">
        <v>3</v>
      </c>
      <c r="E662" s="30">
        <v>13797.34</v>
      </c>
      <c r="F662" s="30"/>
      <c r="G662" s="30"/>
      <c r="H662" s="30">
        <v>6459.63</v>
      </c>
      <c r="I662" s="30">
        <v>0</v>
      </c>
      <c r="J662" s="42">
        <v>1688.08</v>
      </c>
      <c r="K662" s="43">
        <v>20256.97</v>
      </c>
      <c r="L662" s="51">
        <v>21945.05</v>
      </c>
      <c r="M662" s="33"/>
      <c r="N662" s="30">
        <v>20256.97</v>
      </c>
      <c r="O662" s="30">
        <v>13797.34</v>
      </c>
      <c r="P662" s="30">
        <v>1968</v>
      </c>
      <c r="Q662" s="30">
        <f>(N662+O662*0.18+J662)+(IF((P662-O662*0.18)&gt;0,(P662-O662*0.18),0))</f>
        <v>24428.571199999998</v>
      </c>
      <c r="R662" s="7"/>
      <c r="S662" s="7"/>
      <c r="T662" s="7"/>
      <c r="U662" s="7"/>
      <c r="V662" s="7"/>
      <c r="W662" s="7"/>
      <c r="X662" s="7"/>
      <c r="Y662" s="7"/>
      <c r="Z662" s="7"/>
    </row>
    <row r="663" spans="1:26" ht="9" customHeight="1" x14ac:dyDescent="0.2">
      <c r="A663" s="534"/>
      <c r="B663" s="534"/>
      <c r="C663" s="34" t="s">
        <v>37</v>
      </c>
      <c r="D663" s="35">
        <v>8</v>
      </c>
      <c r="E663" s="36">
        <v>26715376</v>
      </c>
      <c r="F663" s="36"/>
      <c r="G663" s="36"/>
      <c r="H663" s="36">
        <v>12507588</v>
      </c>
      <c r="I663" s="36">
        <v>0</v>
      </c>
      <c r="J663" s="37">
        <v>3268579</v>
      </c>
      <c r="K663" s="36">
        <v>39222963</v>
      </c>
      <c r="L663" s="50">
        <v>42491542</v>
      </c>
      <c r="M663" s="39"/>
      <c r="N663" s="36">
        <v>39222963</v>
      </c>
      <c r="O663" s="36">
        <v>26715376</v>
      </c>
      <c r="P663" s="36">
        <v>3810579</v>
      </c>
      <c r="Q663" s="36">
        <f>Q662*1936.27</f>
        <v>47300309.557423994</v>
      </c>
      <c r="R663" s="7"/>
      <c r="S663" s="7"/>
      <c r="T663" s="7"/>
      <c r="U663" s="7"/>
      <c r="V663" s="7"/>
      <c r="W663" s="7"/>
      <c r="X663" s="7"/>
      <c r="Y663" s="7"/>
      <c r="Z663" s="7"/>
    </row>
    <row r="664" spans="1:26" ht="12.75" customHeight="1" x14ac:dyDescent="0.2">
      <c r="A664" s="534"/>
      <c r="B664" s="534"/>
      <c r="C664" s="40" t="s">
        <v>36</v>
      </c>
      <c r="D664" s="41">
        <v>9</v>
      </c>
      <c r="E664" s="30">
        <v>15535.13</v>
      </c>
      <c r="F664" s="30"/>
      <c r="G664" s="30"/>
      <c r="H664" s="30">
        <v>6459.63</v>
      </c>
      <c r="I664" s="30">
        <v>0</v>
      </c>
      <c r="J664" s="42">
        <v>1832.9</v>
      </c>
      <c r="K664" s="43">
        <v>21994.76</v>
      </c>
      <c r="L664" s="51">
        <v>23827.66</v>
      </c>
      <c r="M664" s="33"/>
      <c r="N664" s="30">
        <v>21994.76</v>
      </c>
      <c r="O664" s="30">
        <v>15535.13</v>
      </c>
      <c r="P664" s="30">
        <v>1968</v>
      </c>
      <c r="Q664" s="30">
        <f>(N664+O664*0.18+J664)+(IF((P664-O664*0.18)&gt;0,(P664-O664*0.18),0))</f>
        <v>26623.983400000001</v>
      </c>
      <c r="R664" s="7"/>
      <c r="S664" s="7"/>
      <c r="T664" s="7"/>
      <c r="U664" s="7"/>
      <c r="V664" s="7"/>
      <c r="W664" s="7"/>
      <c r="X664" s="7"/>
      <c r="Y664" s="7"/>
      <c r="Z664" s="7"/>
    </row>
    <row r="665" spans="1:26" ht="9" customHeight="1" x14ac:dyDescent="0.2">
      <c r="A665" s="534"/>
      <c r="B665" s="534"/>
      <c r="C665" s="34" t="s">
        <v>37</v>
      </c>
      <c r="D665" s="35">
        <v>14</v>
      </c>
      <c r="E665" s="36">
        <v>30080206</v>
      </c>
      <c r="F665" s="36"/>
      <c r="G665" s="36"/>
      <c r="H665" s="36">
        <v>12507588</v>
      </c>
      <c r="I665" s="36">
        <v>0</v>
      </c>
      <c r="J665" s="37">
        <v>3548989</v>
      </c>
      <c r="K665" s="36">
        <v>42587794</v>
      </c>
      <c r="L665" s="50">
        <v>46136783</v>
      </c>
      <c r="M665" s="39"/>
      <c r="N665" s="36">
        <v>42587794</v>
      </c>
      <c r="O665" s="36">
        <v>30080206</v>
      </c>
      <c r="P665" s="36">
        <v>3810579</v>
      </c>
      <c r="Q665" s="36">
        <f>Q664*1936.27</f>
        <v>51551220.337917998</v>
      </c>
      <c r="R665" s="7"/>
      <c r="S665" s="7"/>
      <c r="T665" s="7"/>
      <c r="U665" s="7"/>
      <c r="V665" s="7"/>
      <c r="W665" s="7"/>
      <c r="X665" s="7"/>
      <c r="Y665" s="7"/>
      <c r="Z665" s="7"/>
    </row>
    <row r="666" spans="1:26" ht="12.75" customHeight="1" x14ac:dyDescent="0.2">
      <c r="A666" s="534"/>
      <c r="B666" s="534"/>
      <c r="C666" s="40" t="s">
        <v>36</v>
      </c>
      <c r="D666" s="41">
        <v>15</v>
      </c>
      <c r="E666" s="30">
        <v>17678.86</v>
      </c>
      <c r="F666" s="30"/>
      <c r="G666" s="30"/>
      <c r="H666" s="30">
        <v>6459.63</v>
      </c>
      <c r="I666" s="30">
        <v>0</v>
      </c>
      <c r="J666" s="42">
        <v>2011.54</v>
      </c>
      <c r="K666" s="43">
        <v>24138.49</v>
      </c>
      <c r="L666" s="51">
        <v>26150.03</v>
      </c>
      <c r="M666" s="33"/>
      <c r="N666" s="30">
        <v>24138.49</v>
      </c>
      <c r="O666" s="30">
        <v>17678.86</v>
      </c>
      <c r="P666" s="30">
        <v>2424</v>
      </c>
      <c r="Q666" s="30">
        <f>(N666+O666*0.18+J666)+(IF((P666-O666*0.18)&gt;0,(P666-O666*0.18),0))</f>
        <v>29332.224800000004</v>
      </c>
      <c r="R666" s="7"/>
      <c r="S666" s="7"/>
      <c r="T666" s="7"/>
      <c r="U666" s="7"/>
      <c r="V666" s="7"/>
      <c r="W666" s="7"/>
      <c r="X666" s="7"/>
      <c r="Y666" s="7"/>
      <c r="Z666" s="7"/>
    </row>
    <row r="667" spans="1:26" ht="9" customHeight="1" x14ac:dyDescent="0.2">
      <c r="A667" s="534"/>
      <c r="B667" s="534"/>
      <c r="C667" s="34" t="s">
        <v>37</v>
      </c>
      <c r="D667" s="35">
        <v>20</v>
      </c>
      <c r="E667" s="36">
        <v>34231046</v>
      </c>
      <c r="F667" s="36"/>
      <c r="G667" s="36"/>
      <c r="H667" s="36">
        <v>12507588</v>
      </c>
      <c r="I667" s="36">
        <v>0</v>
      </c>
      <c r="J667" s="37">
        <v>3894885</v>
      </c>
      <c r="K667" s="36">
        <v>46738634</v>
      </c>
      <c r="L667" s="50">
        <v>50633519</v>
      </c>
      <c r="M667" s="39"/>
      <c r="N667" s="36">
        <v>46738634</v>
      </c>
      <c r="O667" s="36">
        <v>34231046</v>
      </c>
      <c r="P667" s="36">
        <v>4693518</v>
      </c>
      <c r="Q667" s="36">
        <f>Q666*1936.27</f>
        <v>56795106.91349601</v>
      </c>
      <c r="R667" s="7"/>
      <c r="S667" s="7"/>
      <c r="T667" s="7"/>
      <c r="U667" s="7"/>
      <c r="V667" s="7"/>
      <c r="W667" s="7"/>
      <c r="X667" s="7"/>
      <c r="Y667" s="7"/>
      <c r="Z667" s="7"/>
    </row>
    <row r="668" spans="1:26" ht="12.75" customHeight="1" x14ac:dyDescent="0.2">
      <c r="A668" s="534"/>
      <c r="B668" s="534"/>
      <c r="C668" s="40" t="s">
        <v>36</v>
      </c>
      <c r="D668" s="41">
        <v>21</v>
      </c>
      <c r="E668" s="30">
        <v>20409.330000000002</v>
      </c>
      <c r="F668" s="30"/>
      <c r="G668" s="30"/>
      <c r="H668" s="30">
        <v>6459.63</v>
      </c>
      <c r="I668" s="30">
        <v>0</v>
      </c>
      <c r="J668" s="42">
        <v>2239.08</v>
      </c>
      <c r="K668" s="43">
        <v>26868.959999999999</v>
      </c>
      <c r="L668" s="51">
        <v>29108.04</v>
      </c>
      <c r="M668" s="33"/>
      <c r="N668" s="30">
        <v>26868.959999999999</v>
      </c>
      <c r="O668" s="30">
        <v>20409.330000000002</v>
      </c>
      <c r="P668" s="30">
        <v>2424</v>
      </c>
      <c r="Q668" s="30">
        <f>(N668+O668*0.18+J668)+(IF((P668-O668*0.18)&gt;0,(P668-O668*0.18),0))</f>
        <v>32781.719400000002</v>
      </c>
      <c r="R668" s="7"/>
      <c r="S668" s="7"/>
      <c r="T668" s="7"/>
      <c r="U668" s="7"/>
      <c r="V668" s="7"/>
      <c r="W668" s="7"/>
      <c r="X668" s="7"/>
      <c r="Y668" s="7"/>
      <c r="Z668" s="7"/>
    </row>
    <row r="669" spans="1:26" ht="9" customHeight="1" x14ac:dyDescent="0.2">
      <c r="A669" s="534"/>
      <c r="B669" s="534"/>
      <c r="C669" s="34" t="s">
        <v>37</v>
      </c>
      <c r="D669" s="35">
        <v>27</v>
      </c>
      <c r="E669" s="36">
        <v>39517973</v>
      </c>
      <c r="F669" s="36"/>
      <c r="G669" s="36"/>
      <c r="H669" s="36">
        <v>12507588</v>
      </c>
      <c r="I669" s="36">
        <v>0</v>
      </c>
      <c r="J669" s="37">
        <v>4335463</v>
      </c>
      <c r="K669" s="36">
        <v>52025561</v>
      </c>
      <c r="L669" s="50">
        <v>56361025</v>
      </c>
      <c r="M669" s="39"/>
      <c r="N669" s="36">
        <v>52025561</v>
      </c>
      <c r="O669" s="36">
        <v>39517973</v>
      </c>
      <c r="P669" s="36">
        <v>4693518</v>
      </c>
      <c r="Q669" s="36">
        <f>Q668*1936.27</f>
        <v>63474259.822638005</v>
      </c>
      <c r="R669" s="7"/>
      <c r="S669" s="7"/>
      <c r="T669" s="7"/>
      <c r="U669" s="7"/>
      <c r="V669" s="7"/>
      <c r="W669" s="7"/>
      <c r="X669" s="7"/>
      <c r="Y669" s="7"/>
      <c r="Z669" s="7"/>
    </row>
    <row r="670" spans="1:26" ht="12.75" customHeight="1" x14ac:dyDescent="0.2">
      <c r="A670" s="534"/>
      <c r="B670" s="534"/>
      <c r="C670" s="40" t="s">
        <v>36</v>
      </c>
      <c r="D670" s="41">
        <v>28</v>
      </c>
      <c r="E670" s="30">
        <v>22198.25</v>
      </c>
      <c r="F670" s="30"/>
      <c r="G670" s="30"/>
      <c r="H670" s="30">
        <v>6459.63</v>
      </c>
      <c r="I670" s="30">
        <v>0</v>
      </c>
      <c r="J670" s="42">
        <v>2388.16</v>
      </c>
      <c r="K670" s="43">
        <v>28657.88</v>
      </c>
      <c r="L670" s="51">
        <v>31046.04</v>
      </c>
      <c r="M670" s="33"/>
      <c r="N670" s="30">
        <v>28657.88</v>
      </c>
      <c r="O670" s="30">
        <v>22198.25</v>
      </c>
      <c r="P670" s="30">
        <v>3090</v>
      </c>
      <c r="Q670" s="30">
        <f>(N670+O670*0.18+J670)+(IF((P670-O670*0.18)&gt;0,(P670-O670*0.18),0))</f>
        <v>35041.725000000006</v>
      </c>
      <c r="R670" s="7"/>
      <c r="S670" s="7"/>
      <c r="T670" s="7"/>
      <c r="U670" s="7"/>
      <c r="V670" s="7"/>
      <c r="W670" s="7"/>
      <c r="X670" s="7"/>
      <c r="Y670" s="7"/>
      <c r="Z670" s="7"/>
    </row>
    <row r="671" spans="1:26" ht="9" customHeight="1" x14ac:dyDescent="0.2">
      <c r="A671" s="534"/>
      <c r="B671" s="534"/>
      <c r="C671" s="34" t="s">
        <v>37</v>
      </c>
      <c r="D671" s="35">
        <v>34</v>
      </c>
      <c r="E671" s="36">
        <v>42981806</v>
      </c>
      <c r="F671" s="36"/>
      <c r="G671" s="36"/>
      <c r="H671" s="36">
        <v>12507588</v>
      </c>
      <c r="I671" s="36">
        <v>0</v>
      </c>
      <c r="J671" s="37">
        <v>4624123</v>
      </c>
      <c r="K671" s="36">
        <v>55489393</v>
      </c>
      <c r="L671" s="50">
        <v>60113516</v>
      </c>
      <c r="M671" s="39"/>
      <c r="N671" s="36">
        <v>55489393</v>
      </c>
      <c r="O671" s="36">
        <v>42981806</v>
      </c>
      <c r="P671" s="36">
        <v>5983074</v>
      </c>
      <c r="Q671" s="36">
        <f>Q670*1936.27</f>
        <v>67850240.865750015</v>
      </c>
      <c r="R671" s="7"/>
      <c r="S671" s="7"/>
      <c r="T671" s="7"/>
      <c r="U671" s="7"/>
      <c r="V671" s="7"/>
      <c r="W671" s="7"/>
      <c r="X671" s="7"/>
      <c r="Y671" s="7"/>
      <c r="Z671" s="7"/>
    </row>
    <row r="672" spans="1:26" ht="12.75" customHeight="1" x14ac:dyDescent="0.2">
      <c r="A672" s="534"/>
      <c r="B672" s="534"/>
      <c r="C672" s="40" t="s">
        <v>36</v>
      </c>
      <c r="D672" s="41">
        <v>35</v>
      </c>
      <c r="E672" s="30">
        <v>23624.41</v>
      </c>
      <c r="F672" s="30"/>
      <c r="G672" s="30"/>
      <c r="H672" s="30">
        <v>6459.63</v>
      </c>
      <c r="I672" s="30">
        <v>0</v>
      </c>
      <c r="J672" s="42">
        <v>2507</v>
      </c>
      <c r="K672" s="43">
        <v>30084.04</v>
      </c>
      <c r="L672" s="51">
        <v>32591.040000000001</v>
      </c>
      <c r="M672" s="33"/>
      <c r="N672" s="30">
        <v>30084.04</v>
      </c>
      <c r="O672" s="30">
        <v>23624.41</v>
      </c>
      <c r="P672" s="30">
        <v>3090</v>
      </c>
      <c r="Q672" s="30">
        <f>(N672+O672*0.18+J672)+(IF((P672-O672*0.18)&gt;0,(P672-O672*0.18),0))</f>
        <v>36843.433799999999</v>
      </c>
      <c r="R672" s="7"/>
      <c r="S672" s="7"/>
      <c r="T672" s="7"/>
      <c r="U672" s="7"/>
      <c r="V672" s="7"/>
      <c r="W672" s="7"/>
      <c r="X672" s="7"/>
      <c r="Y672" s="7"/>
      <c r="Z672" s="7"/>
    </row>
    <row r="673" spans="1:26" ht="9" customHeight="1" x14ac:dyDescent="0.2">
      <c r="A673" s="535"/>
      <c r="B673" s="535"/>
      <c r="C673" s="47" t="s">
        <v>37</v>
      </c>
      <c r="D673" s="48"/>
      <c r="E673" s="36">
        <v>45743236</v>
      </c>
      <c r="F673" s="36"/>
      <c r="G673" s="36"/>
      <c r="H673" s="36">
        <v>12507588</v>
      </c>
      <c r="I673" s="36">
        <v>0</v>
      </c>
      <c r="J673" s="49">
        <v>4854229</v>
      </c>
      <c r="K673" s="46">
        <v>58250824</v>
      </c>
      <c r="L673" s="52">
        <v>63105053</v>
      </c>
      <c r="M673" s="39"/>
      <c r="N673" s="36">
        <v>58250824</v>
      </c>
      <c r="O673" s="36">
        <v>45743236</v>
      </c>
      <c r="P673" s="36">
        <v>5983074</v>
      </c>
      <c r="Q673" s="36">
        <f>Q672*1936.27</f>
        <v>71338835.563925996</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6"/>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6"/>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6"/>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6"/>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6"/>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6"/>
      <c r="M679" s="39"/>
      <c r="N679" s="96"/>
      <c r="O679" s="96"/>
      <c r="P679" s="96"/>
      <c r="Q679" s="96"/>
      <c r="R679" s="7"/>
      <c r="S679" s="7"/>
      <c r="T679" s="7"/>
      <c r="U679" s="7"/>
      <c r="V679" s="7"/>
      <c r="W679" s="7"/>
      <c r="X679" s="7"/>
      <c r="Y679" s="7"/>
      <c r="Z679" s="7"/>
    </row>
    <row r="680" spans="1:26" ht="12.75" customHeight="1" x14ac:dyDescent="0.2">
      <c r="A680" s="538">
        <v>39083</v>
      </c>
      <c r="B680" s="538">
        <v>39113</v>
      </c>
      <c r="C680" s="28" t="s">
        <v>36</v>
      </c>
      <c r="D680" s="29">
        <v>0</v>
      </c>
      <c r="E680" s="30">
        <v>13076.04</v>
      </c>
      <c r="F680" s="30"/>
      <c r="G680" s="30"/>
      <c r="H680" s="30">
        <v>6459.63</v>
      </c>
      <c r="I680" s="30">
        <v>0</v>
      </c>
      <c r="J680" s="30">
        <v>1627.97</v>
      </c>
      <c r="K680" s="31">
        <v>19535.669999999998</v>
      </c>
      <c r="L680" s="32">
        <v>21163.64</v>
      </c>
      <c r="M680" s="33"/>
      <c r="N680" s="30">
        <v>19535.669999999998</v>
      </c>
      <c r="O680" s="30">
        <v>13076.04</v>
      </c>
      <c r="P680" s="30">
        <v>1968</v>
      </c>
      <c r="Q680" s="30">
        <f>(N680+O680*0.18+J680)+(IF((P680-O680*0.18)&gt;0,(P680-O680*0.18),0))</f>
        <v>23517.3272</v>
      </c>
      <c r="R680" s="7"/>
      <c r="S680" s="7"/>
      <c r="T680" s="7"/>
      <c r="U680" s="7"/>
      <c r="V680" s="7"/>
      <c r="W680" s="7"/>
      <c r="X680" s="7"/>
      <c r="Y680" s="7"/>
      <c r="Z680" s="7"/>
    </row>
    <row r="681" spans="1:26" ht="9" customHeight="1" x14ac:dyDescent="0.2">
      <c r="A681" s="557"/>
      <c r="B681" s="557"/>
      <c r="C681" s="34" t="s">
        <v>37</v>
      </c>
      <c r="D681" s="35">
        <v>2</v>
      </c>
      <c r="E681" s="36">
        <v>25318744</v>
      </c>
      <c r="F681" s="36"/>
      <c r="G681" s="36"/>
      <c r="H681" s="36">
        <v>12507588</v>
      </c>
      <c r="I681" s="36">
        <v>0</v>
      </c>
      <c r="J681" s="37">
        <v>3152189</v>
      </c>
      <c r="K681" s="36">
        <v>37826332</v>
      </c>
      <c r="L681" s="50">
        <v>40978521</v>
      </c>
      <c r="M681" s="39"/>
      <c r="N681" s="36">
        <v>37826332</v>
      </c>
      <c r="O681" s="36">
        <v>25318744</v>
      </c>
      <c r="P681" s="36">
        <v>3810579</v>
      </c>
      <c r="Q681" s="36">
        <f>Q680*1936.27</f>
        <v>45535895.137543999</v>
      </c>
      <c r="R681" s="7"/>
      <c r="S681" s="7"/>
      <c r="T681" s="7"/>
      <c r="U681" s="7"/>
      <c r="V681" s="7"/>
      <c r="W681" s="7"/>
      <c r="X681" s="7"/>
      <c r="Y681" s="7"/>
      <c r="Z681" s="7"/>
    </row>
    <row r="682" spans="1:26" ht="12.75" customHeight="1" x14ac:dyDescent="0.2">
      <c r="A682" s="539">
        <v>39083</v>
      </c>
      <c r="B682" s="539">
        <v>39113</v>
      </c>
      <c r="C682" s="40" t="s">
        <v>36</v>
      </c>
      <c r="D682" s="41">
        <v>3</v>
      </c>
      <c r="E682" s="30">
        <v>14182.9</v>
      </c>
      <c r="F682" s="30"/>
      <c r="G682" s="30"/>
      <c r="H682" s="30">
        <v>6459.63</v>
      </c>
      <c r="I682" s="30">
        <v>0</v>
      </c>
      <c r="J682" s="42">
        <v>1720.21</v>
      </c>
      <c r="K682" s="43">
        <v>20642.53</v>
      </c>
      <c r="L682" s="51">
        <v>22362.74</v>
      </c>
      <c r="M682" s="33"/>
      <c r="N682" s="30">
        <v>20642.53</v>
      </c>
      <c r="O682" s="30">
        <v>14182.9</v>
      </c>
      <c r="P682" s="30">
        <v>1968</v>
      </c>
      <c r="Q682" s="30">
        <f>(N682+O682*0.18+J682)+(IF((P682-O682*0.18)&gt;0,(P682-O682*0.18),0))</f>
        <v>24915.661999999997</v>
      </c>
      <c r="R682" s="7"/>
      <c r="S682" s="7"/>
      <c r="T682" s="7"/>
      <c r="U682" s="7"/>
      <c r="V682" s="7"/>
      <c r="W682" s="7"/>
      <c r="X682" s="7"/>
      <c r="Y682" s="7"/>
      <c r="Z682" s="7"/>
    </row>
    <row r="683" spans="1:26" ht="9" customHeight="1" x14ac:dyDescent="0.2">
      <c r="A683" s="534"/>
      <c r="B683" s="534"/>
      <c r="C683" s="34" t="s">
        <v>37</v>
      </c>
      <c r="D683" s="35">
        <v>8</v>
      </c>
      <c r="E683" s="36">
        <v>27461924</v>
      </c>
      <c r="F683" s="36"/>
      <c r="G683" s="36"/>
      <c r="H683" s="36">
        <v>12507588</v>
      </c>
      <c r="I683" s="36">
        <v>0</v>
      </c>
      <c r="J683" s="37">
        <v>3330791</v>
      </c>
      <c r="K683" s="36">
        <v>39969512</v>
      </c>
      <c r="L683" s="50">
        <v>43300303</v>
      </c>
      <c r="M683" s="39"/>
      <c r="N683" s="36">
        <v>39969512</v>
      </c>
      <c r="O683" s="36">
        <v>27461924</v>
      </c>
      <c r="P683" s="36">
        <v>3810579</v>
      </c>
      <c r="Q683" s="36">
        <f>Q682*1936.27</f>
        <v>48243448.860739991</v>
      </c>
      <c r="R683" s="7"/>
      <c r="S683" s="7"/>
      <c r="T683" s="7"/>
      <c r="U683" s="7"/>
      <c r="V683" s="7"/>
      <c r="W683" s="7"/>
      <c r="X683" s="7"/>
      <c r="Y683" s="7"/>
      <c r="Z683" s="7"/>
    </row>
    <row r="684" spans="1:26" ht="12.75" customHeight="1" x14ac:dyDescent="0.2">
      <c r="A684" s="534"/>
      <c r="B684" s="534"/>
      <c r="C684" s="40" t="s">
        <v>36</v>
      </c>
      <c r="D684" s="41">
        <v>9</v>
      </c>
      <c r="E684" s="30">
        <v>15953.81</v>
      </c>
      <c r="F684" s="30"/>
      <c r="G684" s="30"/>
      <c r="H684" s="30">
        <v>6459.63</v>
      </c>
      <c r="I684" s="30">
        <v>0</v>
      </c>
      <c r="J684" s="42">
        <v>1867.79</v>
      </c>
      <c r="K684" s="43">
        <v>22413.439999999999</v>
      </c>
      <c r="L684" s="51">
        <v>24281.23</v>
      </c>
      <c r="M684" s="33"/>
      <c r="N684" s="30">
        <v>22413.439999999999</v>
      </c>
      <c r="O684" s="30">
        <v>15953.81</v>
      </c>
      <c r="P684" s="30">
        <v>1968</v>
      </c>
      <c r="Q684" s="30">
        <f>(N684+O684*0.18+J684)+(IF((P684-O684*0.18)&gt;0,(P684-O684*0.18),0))</f>
        <v>27152.915799999999</v>
      </c>
      <c r="R684" s="7"/>
      <c r="S684" s="7"/>
      <c r="T684" s="7"/>
      <c r="U684" s="7"/>
      <c r="V684" s="7"/>
      <c r="W684" s="7"/>
      <c r="X684" s="7"/>
      <c r="Y684" s="7"/>
      <c r="Z684" s="7"/>
    </row>
    <row r="685" spans="1:26" ht="9" customHeight="1" x14ac:dyDescent="0.2">
      <c r="A685" s="534"/>
      <c r="B685" s="534"/>
      <c r="C685" s="34" t="s">
        <v>37</v>
      </c>
      <c r="D685" s="35">
        <v>14</v>
      </c>
      <c r="E685" s="36">
        <v>30890884</v>
      </c>
      <c r="F685" s="36"/>
      <c r="G685" s="36"/>
      <c r="H685" s="36">
        <v>12507588</v>
      </c>
      <c r="I685" s="36">
        <v>0</v>
      </c>
      <c r="J685" s="37">
        <v>3616546</v>
      </c>
      <c r="K685" s="36">
        <v>43398471</v>
      </c>
      <c r="L685" s="50">
        <v>47015017</v>
      </c>
      <c r="M685" s="39"/>
      <c r="N685" s="36">
        <v>43398471</v>
      </c>
      <c r="O685" s="36">
        <v>30890884</v>
      </c>
      <c r="P685" s="36">
        <v>3810579</v>
      </c>
      <c r="Q685" s="36">
        <f>Q684*1936.27</f>
        <v>52575376.276065998</v>
      </c>
      <c r="R685" s="7"/>
      <c r="S685" s="7"/>
      <c r="T685" s="7"/>
      <c r="U685" s="7"/>
      <c r="V685" s="7"/>
      <c r="W685" s="7"/>
      <c r="X685" s="7"/>
      <c r="Y685" s="7"/>
      <c r="Z685" s="7"/>
    </row>
    <row r="686" spans="1:26" ht="12.75" customHeight="1" x14ac:dyDescent="0.2">
      <c r="A686" s="534"/>
      <c r="B686" s="534"/>
      <c r="C686" s="40" t="s">
        <v>36</v>
      </c>
      <c r="D686" s="41">
        <v>15</v>
      </c>
      <c r="E686" s="30">
        <v>18138.34</v>
      </c>
      <c r="F686" s="30"/>
      <c r="G686" s="30"/>
      <c r="H686" s="30">
        <v>6459.63</v>
      </c>
      <c r="I686" s="30">
        <v>0</v>
      </c>
      <c r="J686" s="42">
        <v>2049.83</v>
      </c>
      <c r="K686" s="43">
        <v>24597.97</v>
      </c>
      <c r="L686" s="51">
        <v>26647.8</v>
      </c>
      <c r="M686" s="33"/>
      <c r="N686" s="30">
        <v>24597.97</v>
      </c>
      <c r="O686" s="30">
        <v>18138.34</v>
      </c>
      <c r="P686" s="30">
        <v>2424</v>
      </c>
      <c r="Q686" s="30">
        <f>(N686+O686*0.18+J686)+(IF((P686-O686*0.18)&gt;0,(P686-O686*0.18),0))</f>
        <v>29912.701200000003</v>
      </c>
      <c r="R686" s="7"/>
      <c r="S686" s="7"/>
      <c r="T686" s="7"/>
      <c r="U686" s="7"/>
      <c r="V686" s="7"/>
      <c r="W686" s="7"/>
      <c r="X686" s="7"/>
      <c r="Y686" s="7"/>
      <c r="Z686" s="7"/>
    </row>
    <row r="687" spans="1:26" ht="9" customHeight="1" x14ac:dyDescent="0.2">
      <c r="A687" s="534"/>
      <c r="B687" s="534"/>
      <c r="C687" s="34" t="s">
        <v>37</v>
      </c>
      <c r="D687" s="35">
        <v>20</v>
      </c>
      <c r="E687" s="36">
        <v>35120724</v>
      </c>
      <c r="F687" s="36"/>
      <c r="G687" s="36"/>
      <c r="H687" s="36">
        <v>12507588</v>
      </c>
      <c r="I687" s="36">
        <v>0</v>
      </c>
      <c r="J687" s="37">
        <v>3969024</v>
      </c>
      <c r="K687" s="36">
        <v>47628311</v>
      </c>
      <c r="L687" s="50">
        <v>51597336</v>
      </c>
      <c r="M687" s="39"/>
      <c r="N687" s="36">
        <v>47628311</v>
      </c>
      <c r="O687" s="36">
        <v>35120724</v>
      </c>
      <c r="P687" s="36">
        <v>4693518</v>
      </c>
      <c r="Q687" s="36">
        <f>Q686*1936.27</f>
        <v>57919065.952524006</v>
      </c>
      <c r="R687" s="7"/>
      <c r="S687" s="7"/>
      <c r="T687" s="7"/>
      <c r="U687" s="7"/>
      <c r="V687" s="7"/>
      <c r="W687" s="7"/>
      <c r="X687" s="7"/>
      <c r="Y687" s="7"/>
      <c r="Z687" s="7"/>
    </row>
    <row r="688" spans="1:26" ht="12.75" customHeight="1" x14ac:dyDescent="0.2">
      <c r="A688" s="534"/>
      <c r="B688" s="534"/>
      <c r="C688" s="40" t="s">
        <v>36</v>
      </c>
      <c r="D688" s="41">
        <v>21</v>
      </c>
      <c r="E688" s="30">
        <v>20920.77</v>
      </c>
      <c r="F688" s="30"/>
      <c r="G688" s="30"/>
      <c r="H688" s="30">
        <v>6459.63</v>
      </c>
      <c r="I688" s="30">
        <v>0</v>
      </c>
      <c r="J688" s="42">
        <v>2281.6999999999998</v>
      </c>
      <c r="K688" s="43">
        <v>27380.400000000001</v>
      </c>
      <c r="L688" s="51">
        <v>29662.1</v>
      </c>
      <c r="M688" s="33"/>
      <c r="N688" s="30">
        <v>27380.400000000001</v>
      </c>
      <c r="O688" s="30">
        <v>20920.77</v>
      </c>
      <c r="P688" s="30">
        <v>2424</v>
      </c>
      <c r="Q688" s="30">
        <f>(N688+O688*0.18+J688)+(IF((P688-O688*0.18)&gt;0,(P688-O688*0.18),0))</f>
        <v>33427.838600000003</v>
      </c>
      <c r="R688" s="7"/>
      <c r="S688" s="7"/>
      <c r="T688" s="7"/>
      <c r="U688" s="7"/>
      <c r="V688" s="7"/>
      <c r="W688" s="7"/>
      <c r="X688" s="7"/>
      <c r="Y688" s="7"/>
      <c r="Z688" s="7"/>
    </row>
    <row r="689" spans="1:26" ht="9" customHeight="1" x14ac:dyDescent="0.2">
      <c r="A689" s="534"/>
      <c r="B689" s="534"/>
      <c r="C689" s="34" t="s">
        <v>37</v>
      </c>
      <c r="D689" s="35">
        <v>27</v>
      </c>
      <c r="E689" s="36">
        <v>40508259</v>
      </c>
      <c r="F689" s="36"/>
      <c r="G689" s="36"/>
      <c r="H689" s="36">
        <v>12507588</v>
      </c>
      <c r="I689" s="36">
        <v>0</v>
      </c>
      <c r="J689" s="37">
        <v>4417987</v>
      </c>
      <c r="K689" s="36">
        <v>53015847</v>
      </c>
      <c r="L689" s="50">
        <v>57433834</v>
      </c>
      <c r="M689" s="39"/>
      <c r="N689" s="36">
        <v>53015847</v>
      </c>
      <c r="O689" s="36">
        <v>40508259</v>
      </c>
      <c r="P689" s="36">
        <v>4693518</v>
      </c>
      <c r="Q689" s="36">
        <f>Q688*1936.27</f>
        <v>64725321.046022005</v>
      </c>
      <c r="R689" s="7"/>
      <c r="S689" s="7"/>
      <c r="T689" s="7"/>
      <c r="U689" s="7"/>
      <c r="V689" s="7"/>
      <c r="W689" s="7"/>
      <c r="X689" s="7"/>
      <c r="Y689" s="7"/>
      <c r="Z689" s="7"/>
    </row>
    <row r="690" spans="1:26" ht="12.75" customHeight="1" x14ac:dyDescent="0.2">
      <c r="A690" s="534"/>
      <c r="B690" s="534"/>
      <c r="C690" s="40" t="s">
        <v>36</v>
      </c>
      <c r="D690" s="41">
        <v>28</v>
      </c>
      <c r="E690" s="30">
        <v>22743.77</v>
      </c>
      <c r="F690" s="30"/>
      <c r="G690" s="30"/>
      <c r="H690" s="30">
        <v>6459.63</v>
      </c>
      <c r="I690" s="30">
        <v>0</v>
      </c>
      <c r="J690" s="42">
        <v>2433.62</v>
      </c>
      <c r="K690" s="43">
        <v>29203.4</v>
      </c>
      <c r="L690" s="51">
        <v>31637.02</v>
      </c>
      <c r="M690" s="33"/>
      <c r="N690" s="30">
        <v>29203.4</v>
      </c>
      <c r="O690" s="30">
        <v>22743.77</v>
      </c>
      <c r="P690" s="30">
        <v>3090</v>
      </c>
      <c r="Q690" s="30">
        <f>(N690+O690*0.18+J690)+(IF((P690-O690*0.18)&gt;0,(P690-O690*0.18),0))</f>
        <v>35730.898600000008</v>
      </c>
      <c r="R690" s="7"/>
      <c r="S690" s="7"/>
      <c r="T690" s="7"/>
      <c r="U690" s="7"/>
      <c r="V690" s="7"/>
      <c r="W690" s="7"/>
      <c r="X690" s="7"/>
      <c r="Y690" s="7"/>
      <c r="Z690" s="7"/>
    </row>
    <row r="691" spans="1:26" ht="9" customHeight="1" x14ac:dyDescent="0.2">
      <c r="A691" s="534"/>
      <c r="B691" s="534"/>
      <c r="C691" s="34" t="s">
        <v>37</v>
      </c>
      <c r="D691" s="35">
        <v>34</v>
      </c>
      <c r="E691" s="36">
        <v>44038080</v>
      </c>
      <c r="F691" s="36"/>
      <c r="G691" s="36"/>
      <c r="H691" s="36">
        <v>12507588</v>
      </c>
      <c r="I691" s="36">
        <v>0</v>
      </c>
      <c r="J691" s="37">
        <v>4712145</v>
      </c>
      <c r="K691" s="36">
        <v>56545667</v>
      </c>
      <c r="L691" s="50">
        <v>61257813</v>
      </c>
      <c r="M691" s="39"/>
      <c r="N691" s="36">
        <v>56545667</v>
      </c>
      <c r="O691" s="36">
        <v>44038080</v>
      </c>
      <c r="P691" s="36">
        <v>5983074</v>
      </c>
      <c r="Q691" s="36">
        <f>Q690*1936.27</f>
        <v>69184667.032222018</v>
      </c>
      <c r="R691" s="7"/>
      <c r="S691" s="7"/>
      <c r="T691" s="7"/>
      <c r="U691" s="7"/>
      <c r="V691" s="7"/>
      <c r="W691" s="7"/>
      <c r="X691" s="7"/>
      <c r="Y691" s="7"/>
      <c r="Z691" s="7"/>
    </row>
    <row r="692" spans="1:26" ht="12.75" customHeight="1" x14ac:dyDescent="0.2">
      <c r="A692" s="534"/>
      <c r="B692" s="534"/>
      <c r="C692" s="40" t="s">
        <v>36</v>
      </c>
      <c r="D692" s="41">
        <v>35</v>
      </c>
      <c r="E692" s="30">
        <v>24197.05</v>
      </c>
      <c r="F692" s="30"/>
      <c r="G692" s="30"/>
      <c r="H692" s="30">
        <v>6459.63</v>
      </c>
      <c r="I692" s="30">
        <v>0</v>
      </c>
      <c r="J692" s="42">
        <v>2554.7199999999998</v>
      </c>
      <c r="K692" s="43">
        <v>30656.68</v>
      </c>
      <c r="L692" s="51">
        <v>33211.4</v>
      </c>
      <c r="M692" s="33"/>
      <c r="N692" s="30">
        <v>30656.68</v>
      </c>
      <c r="O692" s="30">
        <v>24197.05</v>
      </c>
      <c r="P692" s="30">
        <v>3090</v>
      </c>
      <c r="Q692" s="30">
        <f>(N692+O692*0.18+J692)+(IF((P692-O692*0.18)&gt;0,(P692-O692*0.18),0))</f>
        <v>37566.868999999999</v>
      </c>
      <c r="R692" s="7"/>
      <c r="S692" s="7"/>
      <c r="T692" s="7"/>
      <c r="U692" s="7"/>
      <c r="V692" s="7"/>
      <c r="W692" s="7"/>
      <c r="X692" s="7"/>
      <c r="Y692" s="7"/>
      <c r="Z692" s="7"/>
    </row>
    <row r="693" spans="1:26" ht="9" customHeight="1" x14ac:dyDescent="0.2">
      <c r="A693" s="535"/>
      <c r="B693" s="535"/>
      <c r="C693" s="47" t="s">
        <v>37</v>
      </c>
      <c r="D693" s="48"/>
      <c r="E693" s="36">
        <v>46852022</v>
      </c>
      <c r="F693" s="36"/>
      <c r="G693" s="36"/>
      <c r="H693" s="36">
        <v>12507588</v>
      </c>
      <c r="I693" s="36">
        <v>0</v>
      </c>
      <c r="J693" s="49">
        <v>4946628</v>
      </c>
      <c r="K693" s="46">
        <v>59359610</v>
      </c>
      <c r="L693" s="52">
        <v>64306237</v>
      </c>
      <c r="M693" s="39"/>
      <c r="N693" s="36">
        <v>59359610</v>
      </c>
      <c r="O693" s="36">
        <v>46852022</v>
      </c>
      <c r="P693" s="36">
        <v>5983074</v>
      </c>
      <c r="Q693" s="36">
        <f>Q692*1936.27</f>
        <v>72739601.43863</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6"/>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6"/>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6"/>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6"/>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6"/>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6"/>
      <c r="M699" s="39"/>
      <c r="N699" s="96"/>
      <c r="O699" s="96"/>
      <c r="P699" s="96"/>
      <c r="Q699" s="96"/>
      <c r="R699" s="7"/>
      <c r="S699" s="7"/>
      <c r="T699" s="7"/>
      <c r="U699" s="7"/>
      <c r="V699" s="7"/>
      <c r="W699" s="7"/>
      <c r="X699" s="7"/>
      <c r="Y699" s="7"/>
      <c r="Z699" s="7"/>
    </row>
    <row r="700" spans="1:26" ht="12.75" customHeight="1" x14ac:dyDescent="0.2">
      <c r="A700" s="538">
        <v>39114</v>
      </c>
      <c r="B700" s="538">
        <v>39446</v>
      </c>
      <c r="C700" s="28" t="s">
        <v>36</v>
      </c>
      <c r="D700" s="29">
        <v>0</v>
      </c>
      <c r="E700" s="30">
        <v>13608.72</v>
      </c>
      <c r="F700" s="30"/>
      <c r="G700" s="30"/>
      <c r="H700" s="30">
        <v>6459.63</v>
      </c>
      <c r="I700" s="30">
        <v>0</v>
      </c>
      <c r="J700" s="30">
        <v>1672.36</v>
      </c>
      <c r="K700" s="31">
        <v>20068.349999999999</v>
      </c>
      <c r="L700" s="32">
        <v>21740.71</v>
      </c>
      <c r="M700" s="33"/>
      <c r="N700" s="30">
        <v>20068.349999999999</v>
      </c>
      <c r="O700" s="30">
        <v>13608.72</v>
      </c>
      <c r="P700" s="30">
        <v>1968</v>
      </c>
      <c r="Q700" s="30">
        <f>(N700+O700*0.18+J700)+(IF((P700-O700*0.18)&gt;0,(P700-O700*0.18),0))</f>
        <v>24190.279599999998</v>
      </c>
      <c r="R700" s="7"/>
      <c r="S700" s="7"/>
      <c r="T700" s="7"/>
      <c r="U700" s="7"/>
      <c r="V700" s="7"/>
      <c r="W700" s="7"/>
      <c r="X700" s="7"/>
      <c r="Y700" s="7"/>
      <c r="Z700" s="7"/>
    </row>
    <row r="701" spans="1:26" ht="9" customHeight="1" x14ac:dyDescent="0.2">
      <c r="A701" s="534"/>
      <c r="B701" s="534"/>
      <c r="C701" s="34" t="s">
        <v>37</v>
      </c>
      <c r="D701" s="35">
        <v>2</v>
      </c>
      <c r="E701" s="36">
        <v>26350156</v>
      </c>
      <c r="F701" s="36"/>
      <c r="G701" s="36"/>
      <c r="H701" s="36">
        <v>12507588</v>
      </c>
      <c r="I701" s="36">
        <v>0</v>
      </c>
      <c r="J701" s="37">
        <v>3238140</v>
      </c>
      <c r="K701" s="36">
        <v>38857744</v>
      </c>
      <c r="L701" s="50">
        <v>42095885</v>
      </c>
      <c r="M701" s="39"/>
      <c r="N701" s="36">
        <v>38857744</v>
      </c>
      <c r="O701" s="36">
        <v>26350156</v>
      </c>
      <c r="P701" s="36">
        <v>3810579</v>
      </c>
      <c r="Q701" s="36">
        <f>Q700*1936.27</f>
        <v>46838912.681091994</v>
      </c>
      <c r="R701" s="7"/>
      <c r="S701" s="7"/>
      <c r="T701" s="7"/>
      <c r="U701" s="7"/>
      <c r="V701" s="7"/>
      <c r="W701" s="7"/>
      <c r="X701" s="7"/>
      <c r="Y701" s="7"/>
      <c r="Z701" s="7"/>
    </row>
    <row r="702" spans="1:26" ht="12.75" customHeight="1" x14ac:dyDescent="0.2">
      <c r="A702" s="539">
        <v>39114</v>
      </c>
      <c r="B702" s="539">
        <v>39446</v>
      </c>
      <c r="C702" s="40" t="s">
        <v>36</v>
      </c>
      <c r="D702" s="41">
        <v>3</v>
      </c>
      <c r="E702" s="30">
        <v>14745.7</v>
      </c>
      <c r="F702" s="30"/>
      <c r="G702" s="30"/>
      <c r="H702" s="30">
        <v>6459.63</v>
      </c>
      <c r="I702" s="30">
        <v>0</v>
      </c>
      <c r="J702" s="42">
        <v>1767.11</v>
      </c>
      <c r="K702" s="43">
        <v>21205.33</v>
      </c>
      <c r="L702" s="51">
        <v>22972.44</v>
      </c>
      <c r="M702" s="33"/>
      <c r="N702" s="30">
        <v>21205.33</v>
      </c>
      <c r="O702" s="30">
        <v>14745.7</v>
      </c>
      <c r="P702" s="30">
        <v>1968</v>
      </c>
      <c r="Q702" s="30">
        <f>(N702+O702*0.18+J702)+(IF((P702-O702*0.18)&gt;0,(P702-O702*0.18),0))</f>
        <v>25626.666000000001</v>
      </c>
      <c r="R702" s="7"/>
      <c r="S702" s="7"/>
      <c r="T702" s="7"/>
      <c r="U702" s="7"/>
      <c r="V702" s="7"/>
      <c r="W702" s="7"/>
      <c r="X702" s="7"/>
      <c r="Y702" s="7"/>
      <c r="Z702" s="7"/>
    </row>
    <row r="703" spans="1:26" ht="9" customHeight="1" x14ac:dyDescent="0.2">
      <c r="A703" s="534"/>
      <c r="B703" s="534"/>
      <c r="C703" s="34" t="s">
        <v>37</v>
      </c>
      <c r="D703" s="35">
        <v>8</v>
      </c>
      <c r="E703" s="36">
        <v>28551657</v>
      </c>
      <c r="F703" s="36"/>
      <c r="G703" s="36"/>
      <c r="H703" s="36">
        <v>12507588</v>
      </c>
      <c r="I703" s="36">
        <v>0</v>
      </c>
      <c r="J703" s="37">
        <v>3421602</v>
      </c>
      <c r="K703" s="36">
        <v>41059244</v>
      </c>
      <c r="L703" s="50">
        <v>44480846</v>
      </c>
      <c r="M703" s="39"/>
      <c r="N703" s="36">
        <v>41059244</v>
      </c>
      <c r="O703" s="36">
        <v>28551657</v>
      </c>
      <c r="P703" s="36">
        <v>3810579</v>
      </c>
      <c r="Q703" s="36">
        <f>Q702*1936.27</f>
        <v>49620144.575819999</v>
      </c>
      <c r="R703" s="7"/>
      <c r="S703" s="7"/>
      <c r="T703" s="7"/>
      <c r="U703" s="7"/>
      <c r="V703" s="7"/>
      <c r="W703" s="7"/>
      <c r="X703" s="7"/>
      <c r="Y703" s="7"/>
      <c r="Z703" s="7"/>
    </row>
    <row r="704" spans="1:26" ht="12.75" customHeight="1" x14ac:dyDescent="0.2">
      <c r="A704" s="534"/>
      <c r="B704" s="534"/>
      <c r="C704" s="40" t="s">
        <v>36</v>
      </c>
      <c r="D704" s="41">
        <v>9</v>
      </c>
      <c r="E704" s="30">
        <v>16564.849999999999</v>
      </c>
      <c r="F704" s="30"/>
      <c r="G704" s="30"/>
      <c r="H704" s="30">
        <v>6459.63</v>
      </c>
      <c r="I704" s="30">
        <v>0</v>
      </c>
      <c r="J704" s="42">
        <v>1918.71</v>
      </c>
      <c r="K704" s="43">
        <v>23024.48</v>
      </c>
      <c r="L704" s="51">
        <v>24943.19</v>
      </c>
      <c r="M704" s="33"/>
      <c r="N704" s="30">
        <v>23024.48</v>
      </c>
      <c r="O704" s="30">
        <v>16564.849999999999</v>
      </c>
      <c r="P704" s="30">
        <v>1968</v>
      </c>
      <c r="Q704" s="30">
        <f>(N704+O704*0.18+J704)+(IF((P704-O704*0.18)&gt;0,(P704-O704*0.18),0))</f>
        <v>27924.862999999998</v>
      </c>
      <c r="R704" s="7"/>
      <c r="S704" s="7"/>
      <c r="T704" s="7"/>
      <c r="U704" s="7"/>
      <c r="V704" s="7"/>
      <c r="W704" s="7"/>
      <c r="X704" s="7"/>
      <c r="Y704" s="7"/>
      <c r="Z704" s="7"/>
    </row>
    <row r="705" spans="1:26" ht="9" customHeight="1" x14ac:dyDescent="0.2">
      <c r="A705" s="534"/>
      <c r="B705" s="534"/>
      <c r="C705" s="34" t="s">
        <v>37</v>
      </c>
      <c r="D705" s="35">
        <v>14</v>
      </c>
      <c r="E705" s="36">
        <v>32074022</v>
      </c>
      <c r="F705" s="36"/>
      <c r="G705" s="36"/>
      <c r="H705" s="36">
        <v>12507588</v>
      </c>
      <c r="I705" s="36">
        <v>0</v>
      </c>
      <c r="J705" s="37">
        <v>3715141</v>
      </c>
      <c r="K705" s="36">
        <v>44581610</v>
      </c>
      <c r="L705" s="50">
        <v>48296751</v>
      </c>
      <c r="M705" s="39"/>
      <c r="N705" s="36">
        <v>44581610</v>
      </c>
      <c r="O705" s="36">
        <v>32074022</v>
      </c>
      <c r="P705" s="36">
        <v>3810579</v>
      </c>
      <c r="Q705" s="36">
        <f>Q704*1936.27</f>
        <v>54070074.481009997</v>
      </c>
      <c r="R705" s="7"/>
      <c r="S705" s="7"/>
      <c r="T705" s="7"/>
      <c r="U705" s="7"/>
      <c r="V705" s="7"/>
      <c r="W705" s="7"/>
      <c r="X705" s="7"/>
      <c r="Y705" s="7"/>
      <c r="Z705" s="7"/>
    </row>
    <row r="706" spans="1:26" ht="12.75" customHeight="1" x14ac:dyDescent="0.2">
      <c r="A706" s="534"/>
      <c r="B706" s="534"/>
      <c r="C706" s="40" t="s">
        <v>36</v>
      </c>
      <c r="D706" s="41">
        <v>15</v>
      </c>
      <c r="E706" s="30">
        <v>18808.900000000001</v>
      </c>
      <c r="F706" s="30"/>
      <c r="G706" s="30"/>
      <c r="H706" s="30">
        <v>6459.63</v>
      </c>
      <c r="I706" s="30">
        <v>0</v>
      </c>
      <c r="J706" s="42">
        <v>2105.71</v>
      </c>
      <c r="K706" s="43">
        <v>25268.53</v>
      </c>
      <c r="L706" s="51">
        <v>27374.240000000002</v>
      </c>
      <c r="M706" s="33"/>
      <c r="N706" s="30">
        <v>25268.53</v>
      </c>
      <c r="O706" s="30">
        <v>18808.900000000001</v>
      </c>
      <c r="P706" s="30">
        <v>2424</v>
      </c>
      <c r="Q706" s="30">
        <f>(N706+O706*0.18+J706)+(IF((P706-O706*0.18)&gt;0,(P706-O706*0.18),0))</f>
        <v>30759.841999999997</v>
      </c>
      <c r="R706" s="7"/>
      <c r="S706" s="7"/>
      <c r="T706" s="7"/>
      <c r="U706" s="7"/>
      <c r="V706" s="7"/>
      <c r="W706" s="7"/>
      <c r="X706" s="7"/>
      <c r="Y706" s="7"/>
      <c r="Z706" s="7"/>
    </row>
    <row r="707" spans="1:26" ht="9" customHeight="1" x14ac:dyDescent="0.2">
      <c r="A707" s="534"/>
      <c r="B707" s="534"/>
      <c r="C707" s="34" t="s">
        <v>37</v>
      </c>
      <c r="D707" s="35">
        <v>20</v>
      </c>
      <c r="E707" s="36">
        <v>36419109</v>
      </c>
      <c r="F707" s="36"/>
      <c r="G707" s="36"/>
      <c r="H707" s="36">
        <v>12507588</v>
      </c>
      <c r="I707" s="36">
        <v>0</v>
      </c>
      <c r="J707" s="37">
        <v>4077223</v>
      </c>
      <c r="K707" s="36">
        <v>48926697</v>
      </c>
      <c r="L707" s="50">
        <v>53003920</v>
      </c>
      <c r="M707" s="39"/>
      <c r="N707" s="36">
        <v>48926697</v>
      </c>
      <c r="O707" s="36">
        <v>36419109</v>
      </c>
      <c r="P707" s="36">
        <v>4693518</v>
      </c>
      <c r="Q707" s="36">
        <f>Q706*1936.27</f>
        <v>59559359.269339994</v>
      </c>
      <c r="R707" s="7"/>
      <c r="S707" s="7"/>
      <c r="T707" s="7"/>
      <c r="U707" s="7"/>
      <c r="V707" s="7"/>
      <c r="W707" s="7"/>
      <c r="X707" s="7"/>
      <c r="Y707" s="7"/>
      <c r="Z707" s="7"/>
    </row>
    <row r="708" spans="1:26" ht="12.75" customHeight="1" x14ac:dyDescent="0.2">
      <c r="A708" s="534"/>
      <c r="B708" s="534"/>
      <c r="C708" s="40" t="s">
        <v>36</v>
      </c>
      <c r="D708" s="41">
        <v>21</v>
      </c>
      <c r="E708" s="30">
        <v>21667.29</v>
      </c>
      <c r="F708" s="30"/>
      <c r="G708" s="30"/>
      <c r="H708" s="30">
        <v>6459.63</v>
      </c>
      <c r="I708" s="30">
        <v>0</v>
      </c>
      <c r="J708" s="42">
        <v>2343.91</v>
      </c>
      <c r="K708" s="43">
        <v>28126.92</v>
      </c>
      <c r="L708" s="51">
        <v>30470.83</v>
      </c>
      <c r="M708" s="33"/>
      <c r="N708" s="30">
        <v>28126.92</v>
      </c>
      <c r="O708" s="30">
        <v>21667.29</v>
      </c>
      <c r="P708" s="30">
        <v>2424</v>
      </c>
      <c r="Q708" s="30">
        <f>(N708+O708*0.18+J708)+(IF((P708-O708*0.18)&gt;0,(P708-O708*0.18),0))</f>
        <v>34370.942199999998</v>
      </c>
      <c r="R708" s="7"/>
      <c r="S708" s="7"/>
      <c r="T708" s="7"/>
      <c r="U708" s="7"/>
      <c r="V708" s="7"/>
      <c r="W708" s="7"/>
      <c r="X708" s="7"/>
      <c r="Y708" s="7"/>
      <c r="Z708" s="7"/>
    </row>
    <row r="709" spans="1:26" ht="9" customHeight="1" x14ac:dyDescent="0.2">
      <c r="A709" s="534"/>
      <c r="B709" s="534"/>
      <c r="C709" s="34" t="s">
        <v>37</v>
      </c>
      <c r="D709" s="35">
        <v>27</v>
      </c>
      <c r="E709" s="36">
        <v>41953724</v>
      </c>
      <c r="F709" s="36"/>
      <c r="G709" s="36"/>
      <c r="H709" s="36">
        <v>12507588</v>
      </c>
      <c r="I709" s="36">
        <v>0</v>
      </c>
      <c r="J709" s="37">
        <v>4538443</v>
      </c>
      <c r="K709" s="36">
        <v>54461311</v>
      </c>
      <c r="L709" s="50">
        <v>58999754</v>
      </c>
      <c r="M709" s="39"/>
      <c r="N709" s="36">
        <v>54461311</v>
      </c>
      <c r="O709" s="36">
        <v>41953724</v>
      </c>
      <c r="P709" s="36">
        <v>4693518</v>
      </c>
      <c r="Q709" s="36">
        <f>Q708*1936.27</f>
        <v>66551424.253593996</v>
      </c>
      <c r="R709" s="7"/>
      <c r="S709" s="7"/>
      <c r="T709" s="7"/>
      <c r="U709" s="7"/>
      <c r="V709" s="7"/>
      <c r="W709" s="7"/>
      <c r="X709" s="7"/>
      <c r="Y709" s="7"/>
      <c r="Z709" s="7"/>
    </row>
    <row r="710" spans="1:26" ht="12.75" customHeight="1" x14ac:dyDescent="0.2">
      <c r="A710" s="534"/>
      <c r="B710" s="534"/>
      <c r="C710" s="40" t="s">
        <v>36</v>
      </c>
      <c r="D710" s="41">
        <v>28</v>
      </c>
      <c r="E710" s="30">
        <v>23539.85</v>
      </c>
      <c r="F710" s="30"/>
      <c r="G710" s="30"/>
      <c r="H710" s="30">
        <v>6459.63</v>
      </c>
      <c r="I710" s="30">
        <v>0</v>
      </c>
      <c r="J710" s="42">
        <v>2499.96</v>
      </c>
      <c r="K710" s="43">
        <v>29999.48</v>
      </c>
      <c r="L710" s="51">
        <v>32499.439999999999</v>
      </c>
      <c r="M710" s="33"/>
      <c r="N710" s="30">
        <v>29999.48</v>
      </c>
      <c r="O710" s="30">
        <v>23539.85</v>
      </c>
      <c r="P710" s="30">
        <v>3090</v>
      </c>
      <c r="Q710" s="30">
        <f>(N710+O710*0.18+J710)+(IF((P710-O710*0.18)&gt;0,(P710-O710*0.18),0))</f>
        <v>36736.612999999998</v>
      </c>
      <c r="R710" s="7"/>
      <c r="S710" s="7"/>
      <c r="T710" s="7"/>
      <c r="U710" s="7"/>
      <c r="V710" s="7"/>
      <c r="W710" s="7"/>
      <c r="X710" s="7"/>
      <c r="Y710" s="7"/>
      <c r="Z710" s="7"/>
    </row>
    <row r="711" spans="1:26" ht="9" customHeight="1" x14ac:dyDescent="0.2">
      <c r="A711" s="534"/>
      <c r="B711" s="534"/>
      <c r="C711" s="34" t="s">
        <v>37</v>
      </c>
      <c r="D711" s="35">
        <v>34</v>
      </c>
      <c r="E711" s="36">
        <v>45579505</v>
      </c>
      <c r="F711" s="36"/>
      <c r="G711" s="36"/>
      <c r="H711" s="36">
        <v>12507588</v>
      </c>
      <c r="I711" s="36">
        <v>0</v>
      </c>
      <c r="J711" s="37">
        <v>4840598</v>
      </c>
      <c r="K711" s="36">
        <v>58087093</v>
      </c>
      <c r="L711" s="50">
        <v>62927691</v>
      </c>
      <c r="M711" s="39"/>
      <c r="N711" s="36">
        <v>58087093</v>
      </c>
      <c r="O711" s="36">
        <v>45579505</v>
      </c>
      <c r="P711" s="36">
        <v>5983074</v>
      </c>
      <c r="Q711" s="36">
        <f>Q710*1936.27</f>
        <v>71132001.653509989</v>
      </c>
      <c r="R711" s="7"/>
      <c r="S711" s="7"/>
      <c r="T711" s="7"/>
      <c r="U711" s="7"/>
      <c r="V711" s="7"/>
      <c r="W711" s="7"/>
      <c r="X711" s="7"/>
      <c r="Y711" s="7"/>
      <c r="Z711" s="7"/>
    </row>
    <row r="712" spans="1:26" ht="12.75" customHeight="1" x14ac:dyDescent="0.2">
      <c r="A712" s="534"/>
      <c r="B712" s="534"/>
      <c r="C712" s="40" t="s">
        <v>36</v>
      </c>
      <c r="D712" s="41">
        <v>35</v>
      </c>
      <c r="E712" s="30">
        <v>25032.73</v>
      </c>
      <c r="F712" s="30"/>
      <c r="G712" s="30"/>
      <c r="H712" s="30">
        <v>6459.63</v>
      </c>
      <c r="I712" s="30">
        <v>0</v>
      </c>
      <c r="J712" s="42">
        <v>2624.36</v>
      </c>
      <c r="K712" s="43">
        <v>31492.36</v>
      </c>
      <c r="L712" s="51">
        <v>34116.720000000001</v>
      </c>
      <c r="M712" s="33"/>
      <c r="N712" s="30">
        <v>31492.36</v>
      </c>
      <c r="O712" s="30">
        <v>25032.73</v>
      </c>
      <c r="P712" s="30">
        <v>3090</v>
      </c>
      <c r="Q712" s="30">
        <f>(N712+O712*0.18+J712)+(IF((P712-O712*0.18)&gt;0,(P712-O712*0.18),0))</f>
        <v>38622.611400000002</v>
      </c>
      <c r="R712" s="7"/>
      <c r="S712" s="7"/>
      <c r="T712" s="7"/>
      <c r="U712" s="7"/>
      <c r="V712" s="7"/>
      <c r="W712" s="7"/>
      <c r="X712" s="7"/>
      <c r="Y712" s="7"/>
      <c r="Z712" s="7"/>
    </row>
    <row r="713" spans="1:26" ht="8.25" customHeight="1" x14ac:dyDescent="0.2">
      <c r="A713" s="535"/>
      <c r="B713" s="535"/>
      <c r="C713" s="47" t="s">
        <v>37</v>
      </c>
      <c r="D713" s="48"/>
      <c r="E713" s="46">
        <v>48470124</v>
      </c>
      <c r="F713" s="46"/>
      <c r="G713" s="46"/>
      <c r="H713" s="46">
        <v>12507588</v>
      </c>
      <c r="I713" s="46">
        <v>0</v>
      </c>
      <c r="J713" s="49">
        <v>5081470</v>
      </c>
      <c r="K713" s="46">
        <v>60977712</v>
      </c>
      <c r="L713" s="52">
        <v>66059181</v>
      </c>
      <c r="M713" s="39"/>
      <c r="N713" s="36">
        <v>60977712</v>
      </c>
      <c r="O713" s="36">
        <v>48470124</v>
      </c>
      <c r="P713" s="36">
        <v>5983074</v>
      </c>
      <c r="Q713" s="36">
        <f>Q712*1936.27</f>
        <v>74783803.775478005</v>
      </c>
      <c r="R713" s="53"/>
      <c r="S713" s="53"/>
      <c r="T713" s="53"/>
      <c r="U713" s="53"/>
      <c r="V713" s="53"/>
      <c r="W713" s="53"/>
      <c r="X713" s="53"/>
      <c r="Y713" s="53"/>
      <c r="Z713" s="53"/>
    </row>
    <row r="714" spans="1:26" ht="9" customHeight="1" x14ac:dyDescent="0.2">
      <c r="A714" s="95"/>
      <c r="B714" s="95"/>
      <c r="C714" s="44"/>
      <c r="D714" s="45"/>
      <c r="E714" s="96"/>
      <c r="F714" s="96"/>
      <c r="G714" s="96"/>
      <c r="H714" s="96"/>
      <c r="I714" s="96"/>
      <c r="J714" s="54"/>
      <c r="K714" s="96"/>
      <c r="L714" s="96"/>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6"/>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6"/>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6"/>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6"/>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6"/>
      <c r="M719" s="39"/>
      <c r="N719" s="96"/>
      <c r="O719" s="96"/>
      <c r="P719" s="96"/>
      <c r="Q719" s="96"/>
      <c r="R719" s="7"/>
      <c r="S719" s="7"/>
      <c r="T719" s="7"/>
      <c r="U719" s="7"/>
      <c r="V719" s="7"/>
      <c r="W719" s="7"/>
      <c r="X719" s="7"/>
      <c r="Y719" s="7"/>
      <c r="Z719" s="7"/>
    </row>
    <row r="720" spans="1:26" ht="12.75" customHeight="1" x14ac:dyDescent="0.2">
      <c r="A720" s="538">
        <v>39447</v>
      </c>
      <c r="B720" s="538">
        <v>39538</v>
      </c>
      <c r="C720" s="28" t="s">
        <v>36</v>
      </c>
      <c r="D720" s="29">
        <v>0</v>
      </c>
      <c r="E720" s="30">
        <v>13737.6</v>
      </c>
      <c r="F720" s="30"/>
      <c r="G720" s="30"/>
      <c r="H720" s="30">
        <v>6459.63</v>
      </c>
      <c r="I720" s="30">
        <v>0</v>
      </c>
      <c r="J720" s="30">
        <v>1683.1</v>
      </c>
      <c r="K720" s="31">
        <v>20197.23</v>
      </c>
      <c r="L720" s="32">
        <v>21880.33</v>
      </c>
      <c r="M720" s="33"/>
      <c r="N720" s="30">
        <v>20197.23</v>
      </c>
      <c r="O720" s="30">
        <v>13737.6</v>
      </c>
      <c r="P720" s="30">
        <v>1968</v>
      </c>
      <c r="Q720" s="30">
        <f>(N720+O720*0.18+J720)+(IF((P720-O720*0.18)&gt;0,(P720-O720*0.18),0))</f>
        <v>24353.097999999998</v>
      </c>
      <c r="R720" s="7"/>
      <c r="S720" s="7"/>
      <c r="T720" s="7"/>
      <c r="U720" s="7"/>
      <c r="V720" s="7"/>
      <c r="W720" s="7"/>
      <c r="X720" s="7"/>
      <c r="Y720" s="7"/>
      <c r="Z720" s="7"/>
    </row>
    <row r="721" spans="1:26" ht="9" customHeight="1" x14ac:dyDescent="0.2">
      <c r="A721" s="534"/>
      <c r="B721" s="534"/>
      <c r="C721" s="34" t="s">
        <v>37</v>
      </c>
      <c r="D721" s="35">
        <v>2</v>
      </c>
      <c r="E721" s="36">
        <v>26599703</v>
      </c>
      <c r="F721" s="36"/>
      <c r="G721" s="36"/>
      <c r="H721" s="36">
        <v>12507588</v>
      </c>
      <c r="I721" s="36">
        <v>0</v>
      </c>
      <c r="J721" s="37">
        <v>3258936</v>
      </c>
      <c r="K721" s="36">
        <v>39107291</v>
      </c>
      <c r="L721" s="50">
        <v>42366227</v>
      </c>
      <c r="M721" s="39"/>
      <c r="N721" s="36">
        <v>39107291</v>
      </c>
      <c r="O721" s="36">
        <v>26599703</v>
      </c>
      <c r="P721" s="36">
        <v>3810579</v>
      </c>
      <c r="Q721" s="36">
        <f>Q720*1936.27</f>
        <v>47154173.064459994</v>
      </c>
      <c r="R721" s="7"/>
      <c r="S721" s="7"/>
      <c r="T721" s="7"/>
      <c r="U721" s="7"/>
      <c r="V721" s="7"/>
      <c r="W721" s="7"/>
      <c r="X721" s="7"/>
      <c r="Y721" s="7"/>
      <c r="Z721" s="7"/>
    </row>
    <row r="722" spans="1:26" ht="12.75" customHeight="1" x14ac:dyDescent="0.2">
      <c r="A722" s="539">
        <v>39447</v>
      </c>
      <c r="B722" s="539">
        <v>39538</v>
      </c>
      <c r="C722" s="40" t="s">
        <v>36</v>
      </c>
      <c r="D722" s="41">
        <v>3</v>
      </c>
      <c r="E722" s="30">
        <v>14881.78</v>
      </c>
      <c r="F722" s="30"/>
      <c r="G722" s="30"/>
      <c r="H722" s="30">
        <v>6459.63</v>
      </c>
      <c r="I722" s="30">
        <v>0</v>
      </c>
      <c r="J722" s="42">
        <v>1778.45</v>
      </c>
      <c r="K722" s="43">
        <v>21341.41</v>
      </c>
      <c r="L722" s="51">
        <v>23119.86</v>
      </c>
      <c r="M722" s="33"/>
      <c r="N722" s="30">
        <v>21341.41</v>
      </c>
      <c r="O722" s="30">
        <v>14881.78</v>
      </c>
      <c r="P722" s="30">
        <v>1968</v>
      </c>
      <c r="Q722" s="30">
        <f>(N722+O722*0.18+J722)+(IF((P722-O722*0.18)&gt;0,(P722-O722*0.18),0))</f>
        <v>25798.580400000003</v>
      </c>
      <c r="R722" s="7"/>
      <c r="S722" s="7"/>
      <c r="T722" s="7"/>
      <c r="U722" s="7"/>
      <c r="V722" s="7"/>
      <c r="W722" s="7"/>
      <c r="X722" s="7"/>
      <c r="Y722" s="7"/>
      <c r="Z722" s="7"/>
    </row>
    <row r="723" spans="1:26" ht="9" customHeight="1" x14ac:dyDescent="0.2">
      <c r="A723" s="534"/>
      <c r="B723" s="534"/>
      <c r="C723" s="34" t="s">
        <v>37</v>
      </c>
      <c r="D723" s="35">
        <v>8</v>
      </c>
      <c r="E723" s="36">
        <v>28815144</v>
      </c>
      <c r="F723" s="36"/>
      <c r="G723" s="36"/>
      <c r="H723" s="36">
        <v>12507588</v>
      </c>
      <c r="I723" s="36">
        <v>0</v>
      </c>
      <c r="J723" s="37">
        <v>3443559</v>
      </c>
      <c r="K723" s="36">
        <v>41322732</v>
      </c>
      <c r="L723" s="50">
        <v>44766291</v>
      </c>
      <c r="M723" s="39"/>
      <c r="N723" s="36">
        <v>41322732</v>
      </c>
      <c r="O723" s="36">
        <v>28815144</v>
      </c>
      <c r="P723" s="36">
        <v>3810579</v>
      </c>
      <c r="Q723" s="36">
        <f>Q722*1936.27</f>
        <v>49953017.271108001</v>
      </c>
      <c r="R723" s="7"/>
      <c r="S723" s="7"/>
      <c r="T723" s="7"/>
      <c r="U723" s="7"/>
      <c r="V723" s="7"/>
      <c r="W723" s="7"/>
      <c r="X723" s="7"/>
      <c r="Y723" s="7"/>
      <c r="Z723" s="7"/>
    </row>
    <row r="724" spans="1:26" ht="12.75" customHeight="1" x14ac:dyDescent="0.2">
      <c r="A724" s="534"/>
      <c r="B724" s="534"/>
      <c r="C724" s="40" t="s">
        <v>36</v>
      </c>
      <c r="D724" s="41">
        <v>9</v>
      </c>
      <c r="E724" s="30">
        <v>16712.57</v>
      </c>
      <c r="F724" s="30"/>
      <c r="G724" s="30"/>
      <c r="H724" s="30">
        <v>6459.63</v>
      </c>
      <c r="I724" s="30">
        <v>0</v>
      </c>
      <c r="J724" s="42">
        <v>1931.02</v>
      </c>
      <c r="K724" s="43">
        <v>23172.2</v>
      </c>
      <c r="L724" s="51">
        <v>25103.22</v>
      </c>
      <c r="M724" s="33"/>
      <c r="N724" s="30">
        <v>23172.2</v>
      </c>
      <c r="O724" s="30">
        <v>16712.57</v>
      </c>
      <c r="P724" s="30">
        <v>1968</v>
      </c>
      <c r="Q724" s="30">
        <f>(N724+O724*0.18+J724)+(IF((P724-O724*0.18)&gt;0,(P724-O724*0.18),0))</f>
        <v>28111.482599999999</v>
      </c>
      <c r="R724" s="7"/>
      <c r="S724" s="7"/>
      <c r="T724" s="7"/>
      <c r="U724" s="7"/>
      <c r="V724" s="7"/>
      <c r="W724" s="7"/>
      <c r="X724" s="7"/>
      <c r="Y724" s="7"/>
      <c r="Z724" s="7"/>
    </row>
    <row r="725" spans="1:26" ht="9" customHeight="1" x14ac:dyDescent="0.2">
      <c r="A725" s="534"/>
      <c r="B725" s="534"/>
      <c r="C725" s="34" t="s">
        <v>37</v>
      </c>
      <c r="D725" s="35">
        <v>14</v>
      </c>
      <c r="E725" s="36">
        <v>32360048</v>
      </c>
      <c r="F725" s="36"/>
      <c r="G725" s="36"/>
      <c r="H725" s="36">
        <v>12507588</v>
      </c>
      <c r="I725" s="36">
        <v>0</v>
      </c>
      <c r="J725" s="37">
        <v>3738976</v>
      </c>
      <c r="K725" s="36">
        <v>44867636</v>
      </c>
      <c r="L725" s="50">
        <v>48606612</v>
      </c>
      <c r="M725" s="39"/>
      <c r="N725" s="36">
        <v>44867636</v>
      </c>
      <c r="O725" s="36">
        <v>32360048</v>
      </c>
      <c r="P725" s="36">
        <v>3810579</v>
      </c>
      <c r="Q725" s="36">
        <f>Q724*1936.27</f>
        <v>54431420.413902</v>
      </c>
      <c r="R725" s="7"/>
      <c r="S725" s="7"/>
      <c r="T725" s="7"/>
      <c r="U725" s="7"/>
      <c r="V725" s="7"/>
      <c r="W725" s="7"/>
      <c r="X725" s="7"/>
      <c r="Y725" s="7"/>
      <c r="Z725" s="7"/>
    </row>
    <row r="726" spans="1:26" ht="12.75" customHeight="1" x14ac:dyDescent="0.2">
      <c r="A726" s="534"/>
      <c r="B726" s="534"/>
      <c r="C726" s="40" t="s">
        <v>36</v>
      </c>
      <c r="D726" s="41">
        <v>15</v>
      </c>
      <c r="E726" s="30">
        <v>18971.02</v>
      </c>
      <c r="F726" s="30"/>
      <c r="G726" s="30"/>
      <c r="H726" s="30">
        <v>6459.63</v>
      </c>
      <c r="I726" s="30">
        <v>0</v>
      </c>
      <c r="J726" s="42">
        <v>2119.2199999999998</v>
      </c>
      <c r="K726" s="43">
        <v>25430.65</v>
      </c>
      <c r="L726" s="51">
        <v>27549.87</v>
      </c>
      <c r="M726" s="33"/>
      <c r="N726" s="30">
        <v>25430.65</v>
      </c>
      <c r="O726" s="30">
        <v>18971.02</v>
      </c>
      <c r="P726" s="30">
        <v>2424</v>
      </c>
      <c r="Q726" s="30">
        <f>(N726+O726*0.18+J726)+(IF((P726-O726*0.18)&gt;0,(P726-O726*0.18),0))</f>
        <v>30964.653600000001</v>
      </c>
      <c r="R726" s="7"/>
      <c r="S726" s="7"/>
      <c r="T726" s="7"/>
      <c r="U726" s="7"/>
      <c r="V726" s="7"/>
      <c r="W726" s="7"/>
      <c r="X726" s="7"/>
      <c r="Y726" s="7"/>
      <c r="Z726" s="7"/>
    </row>
    <row r="727" spans="1:26" ht="9" customHeight="1" x14ac:dyDescent="0.2">
      <c r="A727" s="534"/>
      <c r="B727" s="534"/>
      <c r="C727" s="34" t="s">
        <v>37</v>
      </c>
      <c r="D727" s="35">
        <v>20</v>
      </c>
      <c r="E727" s="36">
        <v>36733017</v>
      </c>
      <c r="F727" s="36"/>
      <c r="G727" s="36"/>
      <c r="H727" s="36">
        <v>12507588</v>
      </c>
      <c r="I727" s="36">
        <v>0</v>
      </c>
      <c r="J727" s="37">
        <v>4103382</v>
      </c>
      <c r="K727" s="36">
        <v>49240605</v>
      </c>
      <c r="L727" s="50">
        <v>53343987</v>
      </c>
      <c r="M727" s="39"/>
      <c r="N727" s="36">
        <v>49240605</v>
      </c>
      <c r="O727" s="36">
        <v>36733017</v>
      </c>
      <c r="P727" s="36">
        <v>4693518</v>
      </c>
      <c r="Q727" s="36">
        <f>Q726*1936.27</f>
        <v>59955929.826072</v>
      </c>
      <c r="R727" s="7"/>
      <c r="S727" s="7"/>
      <c r="T727" s="7"/>
      <c r="U727" s="7"/>
      <c r="V727" s="7"/>
      <c r="W727" s="7"/>
      <c r="X727" s="7"/>
      <c r="Y727" s="7"/>
      <c r="Z727" s="7"/>
    </row>
    <row r="728" spans="1:26" ht="12.75" customHeight="1" x14ac:dyDescent="0.2">
      <c r="A728" s="534"/>
      <c r="B728" s="534"/>
      <c r="C728" s="40" t="s">
        <v>36</v>
      </c>
      <c r="D728" s="41">
        <v>21</v>
      </c>
      <c r="E728" s="30">
        <v>21847.77</v>
      </c>
      <c r="F728" s="30"/>
      <c r="G728" s="30"/>
      <c r="H728" s="30">
        <v>6459.63</v>
      </c>
      <c r="I728" s="30">
        <v>0</v>
      </c>
      <c r="J728" s="42">
        <v>2358.9499999999998</v>
      </c>
      <c r="K728" s="43">
        <v>28307.4</v>
      </c>
      <c r="L728" s="51">
        <v>30666.35</v>
      </c>
      <c r="M728" s="33"/>
      <c r="N728" s="30">
        <v>28307.4</v>
      </c>
      <c r="O728" s="30">
        <v>21847.77</v>
      </c>
      <c r="P728" s="30">
        <v>2424</v>
      </c>
      <c r="Q728" s="30">
        <f>(N728+O728*0.18+J728)+(IF((P728-O728*0.18)&gt;0,(P728-O728*0.18),0))</f>
        <v>34598.948600000003</v>
      </c>
      <c r="R728" s="7"/>
      <c r="S728" s="7"/>
      <c r="T728" s="7"/>
      <c r="U728" s="7"/>
      <c r="V728" s="7"/>
      <c r="W728" s="7"/>
      <c r="X728" s="7"/>
      <c r="Y728" s="7"/>
      <c r="Z728" s="7"/>
    </row>
    <row r="729" spans="1:26" ht="9" customHeight="1" x14ac:dyDescent="0.2">
      <c r="A729" s="534"/>
      <c r="B729" s="534"/>
      <c r="C729" s="34" t="s">
        <v>37</v>
      </c>
      <c r="D729" s="35">
        <v>27</v>
      </c>
      <c r="E729" s="36">
        <v>42303182</v>
      </c>
      <c r="F729" s="36"/>
      <c r="G729" s="36"/>
      <c r="H729" s="36">
        <v>12507588</v>
      </c>
      <c r="I729" s="36">
        <v>0</v>
      </c>
      <c r="J729" s="37">
        <v>4567564</v>
      </c>
      <c r="K729" s="36">
        <v>54810769</v>
      </c>
      <c r="L729" s="50">
        <v>59378334</v>
      </c>
      <c r="M729" s="39"/>
      <c r="N729" s="36">
        <v>54810769</v>
      </c>
      <c r="O729" s="36">
        <v>42303182</v>
      </c>
      <c r="P729" s="36">
        <v>4693518</v>
      </c>
      <c r="Q729" s="36">
        <f>Q728*1936.27</f>
        <v>66992906.205722004</v>
      </c>
      <c r="R729" s="7"/>
      <c r="S729" s="7"/>
      <c r="T729" s="7"/>
      <c r="U729" s="7"/>
      <c r="V729" s="7"/>
      <c r="W729" s="7"/>
      <c r="X729" s="7"/>
      <c r="Y729" s="7"/>
      <c r="Z729" s="7"/>
    </row>
    <row r="730" spans="1:26" ht="12.75" customHeight="1" x14ac:dyDescent="0.2">
      <c r="A730" s="534"/>
      <c r="B730" s="534"/>
      <c r="C730" s="40" t="s">
        <v>36</v>
      </c>
      <c r="D730" s="41">
        <v>28</v>
      </c>
      <c r="E730" s="30">
        <v>23732.45</v>
      </c>
      <c r="F730" s="30"/>
      <c r="G730" s="30"/>
      <c r="H730" s="30">
        <v>6459.63</v>
      </c>
      <c r="I730" s="30">
        <v>0</v>
      </c>
      <c r="J730" s="42">
        <v>2516.0100000000002</v>
      </c>
      <c r="K730" s="43">
        <v>30192.080000000002</v>
      </c>
      <c r="L730" s="51">
        <v>32708.09</v>
      </c>
      <c r="M730" s="33"/>
      <c r="N730" s="30">
        <v>30192.080000000002</v>
      </c>
      <c r="O730" s="30">
        <v>23732.45</v>
      </c>
      <c r="P730" s="30">
        <v>3090</v>
      </c>
      <c r="Q730" s="30">
        <f>(N730+O730*0.18+J730)+(IF((P730-O730*0.18)&gt;0,(P730-O730*0.18),0))</f>
        <v>36979.931000000004</v>
      </c>
      <c r="R730" s="7"/>
      <c r="S730" s="7"/>
      <c r="T730" s="7"/>
      <c r="U730" s="7"/>
      <c r="V730" s="7"/>
      <c r="W730" s="7"/>
      <c r="X730" s="7"/>
      <c r="Y730" s="7"/>
      <c r="Z730" s="7"/>
    </row>
    <row r="731" spans="1:26" ht="9" customHeight="1" x14ac:dyDescent="0.2">
      <c r="A731" s="534"/>
      <c r="B731" s="534"/>
      <c r="C731" s="34" t="s">
        <v>37</v>
      </c>
      <c r="D731" s="35">
        <v>34</v>
      </c>
      <c r="E731" s="36">
        <v>45952431</v>
      </c>
      <c r="F731" s="36"/>
      <c r="G731" s="36"/>
      <c r="H731" s="36">
        <v>12507588</v>
      </c>
      <c r="I731" s="36">
        <v>0</v>
      </c>
      <c r="J731" s="37">
        <v>4871675</v>
      </c>
      <c r="K731" s="36">
        <v>58460019</v>
      </c>
      <c r="L731" s="50">
        <v>63331693</v>
      </c>
      <c r="M731" s="39"/>
      <c r="N731" s="36">
        <v>58460019</v>
      </c>
      <c r="O731" s="36">
        <v>45952431</v>
      </c>
      <c r="P731" s="36">
        <v>5983074</v>
      </c>
      <c r="Q731" s="36">
        <f>Q730*1936.27</f>
        <v>71603130.997370005</v>
      </c>
      <c r="R731" s="7"/>
      <c r="S731" s="7"/>
      <c r="T731" s="7"/>
      <c r="U731" s="7"/>
      <c r="V731" s="7"/>
      <c r="W731" s="7"/>
      <c r="X731" s="7"/>
      <c r="Y731" s="7"/>
      <c r="Z731" s="7"/>
    </row>
    <row r="732" spans="1:26" ht="12.75" customHeight="1" x14ac:dyDescent="0.2">
      <c r="A732" s="534"/>
      <c r="B732" s="534"/>
      <c r="C732" s="40" t="s">
        <v>36</v>
      </c>
      <c r="D732" s="41">
        <v>35</v>
      </c>
      <c r="E732" s="30">
        <v>25234.81</v>
      </c>
      <c r="F732" s="30"/>
      <c r="G732" s="30"/>
      <c r="H732" s="30">
        <v>6459.63</v>
      </c>
      <c r="I732" s="30">
        <v>0</v>
      </c>
      <c r="J732" s="42">
        <v>2641.2</v>
      </c>
      <c r="K732" s="43">
        <v>31694.44</v>
      </c>
      <c r="L732" s="51">
        <v>34335.64</v>
      </c>
      <c r="M732" s="33"/>
      <c r="N732" s="30">
        <v>31694.44</v>
      </c>
      <c r="O732" s="30">
        <v>25234.81</v>
      </c>
      <c r="P732" s="30">
        <v>3090</v>
      </c>
      <c r="Q732" s="30">
        <f>(N732+O732*0.18+J732)+(IF((P732-O732*0.18)&gt;0,(P732-O732*0.18),0))</f>
        <v>38877.905799999993</v>
      </c>
      <c r="R732" s="7"/>
      <c r="S732" s="7"/>
      <c r="T732" s="7"/>
      <c r="U732" s="7"/>
      <c r="V732" s="7"/>
      <c r="W732" s="7"/>
      <c r="X732" s="7"/>
      <c r="Y732" s="7"/>
      <c r="Z732" s="7"/>
    </row>
    <row r="733" spans="1:26" ht="9" customHeight="1" x14ac:dyDescent="0.2">
      <c r="A733" s="535"/>
      <c r="B733" s="535"/>
      <c r="C733" s="47" t="s">
        <v>37</v>
      </c>
      <c r="D733" s="48"/>
      <c r="E733" s="46">
        <v>48861406</v>
      </c>
      <c r="F733" s="46"/>
      <c r="G733" s="46"/>
      <c r="H733" s="46">
        <v>12507588</v>
      </c>
      <c r="I733" s="46">
        <v>0</v>
      </c>
      <c r="J733" s="52">
        <v>5114076</v>
      </c>
      <c r="K733" s="46">
        <v>61368993</v>
      </c>
      <c r="L733" s="52">
        <v>66483070</v>
      </c>
      <c r="M733" s="39"/>
      <c r="N733" s="36">
        <v>61368993</v>
      </c>
      <c r="O733" s="36">
        <v>48861406</v>
      </c>
      <c r="P733" s="36">
        <v>5983074</v>
      </c>
      <c r="Q733" s="36">
        <f>Q732*1936.27</f>
        <v>75278122.66336599</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6"/>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6"/>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6"/>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6"/>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6"/>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6"/>
      <c r="M739" s="39"/>
      <c r="N739" s="96"/>
      <c r="O739" s="96"/>
      <c r="P739" s="96"/>
      <c r="Q739" s="96"/>
      <c r="R739" s="7"/>
      <c r="S739" s="7"/>
      <c r="T739" s="7"/>
      <c r="U739" s="7"/>
      <c r="V739" s="7"/>
      <c r="W739" s="7"/>
      <c r="X739" s="7"/>
      <c r="Y739" s="7"/>
      <c r="Z739" s="7"/>
    </row>
    <row r="740" spans="1:26" ht="12.75" customHeight="1" x14ac:dyDescent="0.2">
      <c r="A740" s="538">
        <v>39539</v>
      </c>
      <c r="B740" s="538">
        <v>39629</v>
      </c>
      <c r="C740" s="28" t="s">
        <v>36</v>
      </c>
      <c r="D740" s="29">
        <v>0</v>
      </c>
      <c r="E740" s="30">
        <v>13840.56</v>
      </c>
      <c r="F740" s="30"/>
      <c r="G740" s="30"/>
      <c r="H740" s="30">
        <v>6459.63</v>
      </c>
      <c r="I740" s="30">
        <v>0</v>
      </c>
      <c r="J740" s="30">
        <v>1691.68</v>
      </c>
      <c r="K740" s="31">
        <v>20300.189999999999</v>
      </c>
      <c r="L740" s="32">
        <v>21991.87</v>
      </c>
      <c r="M740" s="33"/>
      <c r="N740" s="30">
        <v>20300.189999999999</v>
      </c>
      <c r="O740" s="30">
        <v>13840.56</v>
      </c>
      <c r="P740" s="30">
        <v>1968</v>
      </c>
      <c r="Q740" s="30">
        <f>(N740+O740*0.18+J740)+(IF((P740-O740*0.18)&gt;0,(P740-O740*0.18),0))</f>
        <v>24483.1708</v>
      </c>
      <c r="R740" s="7"/>
      <c r="S740" s="7"/>
      <c r="T740" s="7"/>
      <c r="U740" s="7"/>
      <c r="V740" s="7"/>
      <c r="W740" s="7"/>
      <c r="X740" s="7"/>
      <c r="Y740" s="7"/>
      <c r="Z740" s="7"/>
    </row>
    <row r="741" spans="1:26" ht="9" customHeight="1" x14ac:dyDescent="0.2">
      <c r="A741" s="534"/>
      <c r="B741" s="534"/>
      <c r="C741" s="34" t="s">
        <v>37</v>
      </c>
      <c r="D741" s="35">
        <v>2</v>
      </c>
      <c r="E741" s="36">
        <v>26799061</v>
      </c>
      <c r="F741" s="36"/>
      <c r="G741" s="36"/>
      <c r="H741" s="36">
        <v>12507588</v>
      </c>
      <c r="I741" s="36">
        <v>0</v>
      </c>
      <c r="J741" s="37">
        <v>3275549</v>
      </c>
      <c r="K741" s="36">
        <v>39306649</v>
      </c>
      <c r="L741" s="50">
        <v>42582198</v>
      </c>
      <c r="M741" s="39"/>
      <c r="N741" s="36">
        <v>39306649</v>
      </c>
      <c r="O741" s="36">
        <v>26799061</v>
      </c>
      <c r="P741" s="36">
        <v>3810579</v>
      </c>
      <c r="Q741" s="36">
        <f>Q740*1936.27</f>
        <v>47406029.124916002</v>
      </c>
      <c r="R741" s="7"/>
      <c r="S741" s="7"/>
      <c r="T741" s="7"/>
      <c r="U741" s="7"/>
      <c r="V741" s="7"/>
      <c r="W741" s="7"/>
      <c r="X741" s="7"/>
      <c r="Y741" s="7"/>
      <c r="Z741" s="7"/>
    </row>
    <row r="742" spans="1:26" ht="12.75" customHeight="1" x14ac:dyDescent="0.2">
      <c r="A742" s="539">
        <v>39539</v>
      </c>
      <c r="B742" s="539">
        <v>39629</v>
      </c>
      <c r="C742" s="40" t="s">
        <v>36</v>
      </c>
      <c r="D742" s="41">
        <v>3</v>
      </c>
      <c r="E742" s="30">
        <v>14984.74</v>
      </c>
      <c r="F742" s="30"/>
      <c r="G742" s="30"/>
      <c r="H742" s="30">
        <v>6459.63</v>
      </c>
      <c r="I742" s="30">
        <v>0</v>
      </c>
      <c r="J742" s="42">
        <v>1787.03</v>
      </c>
      <c r="K742" s="43">
        <v>21444.37</v>
      </c>
      <c r="L742" s="51">
        <v>23231.4</v>
      </c>
      <c r="M742" s="33"/>
      <c r="N742" s="30">
        <v>21444.37</v>
      </c>
      <c r="O742" s="30">
        <v>14984.74</v>
      </c>
      <c r="P742" s="30">
        <v>1968</v>
      </c>
      <c r="Q742" s="30">
        <f>(N742+O742*0.18+J742)+(IF((P742-O742*0.18)&gt;0,(P742-O742*0.18),0))</f>
        <v>25928.653199999997</v>
      </c>
      <c r="R742" s="7"/>
      <c r="S742" s="7"/>
      <c r="T742" s="7"/>
      <c r="U742" s="7"/>
      <c r="V742" s="7"/>
      <c r="W742" s="7"/>
      <c r="X742" s="7"/>
      <c r="Y742" s="7"/>
      <c r="Z742" s="7"/>
    </row>
    <row r="743" spans="1:26" ht="9" customHeight="1" x14ac:dyDescent="0.2">
      <c r="A743" s="534"/>
      <c r="B743" s="534"/>
      <c r="C743" s="34" t="s">
        <v>37</v>
      </c>
      <c r="D743" s="35">
        <v>8</v>
      </c>
      <c r="E743" s="36">
        <v>29014503</v>
      </c>
      <c r="F743" s="36"/>
      <c r="G743" s="36"/>
      <c r="H743" s="36">
        <v>12507588</v>
      </c>
      <c r="I743" s="36">
        <v>0</v>
      </c>
      <c r="J743" s="37">
        <v>3460173</v>
      </c>
      <c r="K743" s="36">
        <v>41522090</v>
      </c>
      <c r="L743" s="50">
        <v>44982263</v>
      </c>
      <c r="M743" s="39"/>
      <c r="N743" s="36">
        <v>41522090</v>
      </c>
      <c r="O743" s="36">
        <v>29014503</v>
      </c>
      <c r="P743" s="36">
        <v>3810579</v>
      </c>
      <c r="Q743" s="36">
        <f>Q742*1936.27</f>
        <v>50204873.331563994</v>
      </c>
      <c r="R743" s="7"/>
      <c r="S743" s="7"/>
      <c r="T743" s="7"/>
      <c r="U743" s="7"/>
      <c r="V743" s="7"/>
      <c r="W743" s="7"/>
      <c r="X743" s="7"/>
      <c r="Y743" s="7"/>
      <c r="Z743" s="7"/>
    </row>
    <row r="744" spans="1:26" ht="12.75" customHeight="1" x14ac:dyDescent="0.2">
      <c r="A744" s="534"/>
      <c r="B744" s="534"/>
      <c r="C744" s="40" t="s">
        <v>36</v>
      </c>
      <c r="D744" s="41">
        <v>9</v>
      </c>
      <c r="E744" s="30">
        <v>16815.53</v>
      </c>
      <c r="F744" s="30"/>
      <c r="G744" s="30"/>
      <c r="H744" s="30">
        <v>6459.63</v>
      </c>
      <c r="I744" s="30">
        <v>0</v>
      </c>
      <c r="J744" s="42">
        <v>1939.6</v>
      </c>
      <c r="K744" s="43">
        <v>23275.16</v>
      </c>
      <c r="L744" s="51">
        <v>25214.76</v>
      </c>
      <c r="M744" s="33"/>
      <c r="N744" s="30">
        <v>23275.16</v>
      </c>
      <c r="O744" s="30">
        <v>16815.53</v>
      </c>
      <c r="P744" s="30">
        <v>1968</v>
      </c>
      <c r="Q744" s="30">
        <f>(N744+O744*0.18+J744)+(IF((P744-O744*0.18)&gt;0,(P744-O744*0.18),0))</f>
        <v>28241.555399999997</v>
      </c>
      <c r="R744" s="7"/>
      <c r="S744" s="7"/>
      <c r="T744" s="7"/>
      <c r="U744" s="7"/>
      <c r="V744" s="7"/>
      <c r="W744" s="7"/>
      <c r="X744" s="7"/>
      <c r="Y744" s="7"/>
      <c r="Z744" s="7"/>
    </row>
    <row r="745" spans="1:26" ht="9" customHeight="1" x14ac:dyDescent="0.2">
      <c r="A745" s="534"/>
      <c r="B745" s="534"/>
      <c r="C745" s="34" t="s">
        <v>37</v>
      </c>
      <c r="D745" s="35">
        <v>14</v>
      </c>
      <c r="E745" s="36">
        <v>32559406</v>
      </c>
      <c r="F745" s="36"/>
      <c r="G745" s="36"/>
      <c r="H745" s="36">
        <v>12507588</v>
      </c>
      <c r="I745" s="36">
        <v>0</v>
      </c>
      <c r="J745" s="37">
        <v>3755589</v>
      </c>
      <c r="K745" s="36">
        <v>45066994</v>
      </c>
      <c r="L745" s="50">
        <v>48822583</v>
      </c>
      <c r="M745" s="39"/>
      <c r="N745" s="36">
        <v>45066994</v>
      </c>
      <c r="O745" s="36">
        <v>32559406</v>
      </c>
      <c r="P745" s="36">
        <v>3810579</v>
      </c>
      <c r="Q745" s="36">
        <f>Q744*1936.27</f>
        <v>54683276.474357992</v>
      </c>
      <c r="R745" s="7"/>
      <c r="S745" s="7"/>
      <c r="T745" s="7"/>
      <c r="U745" s="7"/>
      <c r="V745" s="7"/>
      <c r="W745" s="7"/>
      <c r="X745" s="7"/>
      <c r="Y745" s="7"/>
      <c r="Z745" s="7"/>
    </row>
    <row r="746" spans="1:26" ht="12.75" customHeight="1" x14ac:dyDescent="0.2">
      <c r="A746" s="534"/>
      <c r="B746" s="534"/>
      <c r="C746" s="40" t="s">
        <v>36</v>
      </c>
      <c r="D746" s="41">
        <v>15</v>
      </c>
      <c r="E746" s="30">
        <v>19073.98</v>
      </c>
      <c r="F746" s="30"/>
      <c r="G746" s="30"/>
      <c r="H746" s="30">
        <v>6459.63</v>
      </c>
      <c r="I746" s="30">
        <v>0</v>
      </c>
      <c r="J746" s="42">
        <v>2127.8000000000002</v>
      </c>
      <c r="K746" s="43">
        <v>25533.61</v>
      </c>
      <c r="L746" s="51">
        <v>27661.41</v>
      </c>
      <c r="M746" s="33"/>
      <c r="N746" s="30">
        <v>25533.61</v>
      </c>
      <c r="O746" s="30">
        <v>19073.98</v>
      </c>
      <c r="P746" s="30">
        <v>2424</v>
      </c>
      <c r="Q746" s="30">
        <f>(N746+O746*0.18+J746)+(IF((P746-O746*0.18)&gt;0,(P746-O746*0.18),0))</f>
        <v>31094.7264</v>
      </c>
      <c r="R746" s="7"/>
      <c r="S746" s="7"/>
      <c r="T746" s="7"/>
      <c r="U746" s="7"/>
      <c r="V746" s="7"/>
      <c r="W746" s="7"/>
      <c r="X746" s="7"/>
      <c r="Y746" s="7"/>
      <c r="Z746" s="7"/>
    </row>
    <row r="747" spans="1:26" ht="9" customHeight="1" x14ac:dyDescent="0.2">
      <c r="A747" s="534"/>
      <c r="B747" s="534"/>
      <c r="C747" s="34" t="s">
        <v>37</v>
      </c>
      <c r="D747" s="35">
        <v>20</v>
      </c>
      <c r="E747" s="36">
        <v>36932375</v>
      </c>
      <c r="F747" s="36"/>
      <c r="G747" s="36"/>
      <c r="H747" s="36">
        <v>12507588</v>
      </c>
      <c r="I747" s="36">
        <v>0</v>
      </c>
      <c r="J747" s="37">
        <v>4119995</v>
      </c>
      <c r="K747" s="36">
        <v>49439963</v>
      </c>
      <c r="L747" s="50">
        <v>53559958</v>
      </c>
      <c r="M747" s="39"/>
      <c r="N747" s="36">
        <v>49439963</v>
      </c>
      <c r="O747" s="36">
        <v>36932375</v>
      </c>
      <c r="P747" s="36">
        <v>4693518</v>
      </c>
      <c r="Q747" s="36">
        <f>Q746*1936.27</f>
        <v>60207785.886528</v>
      </c>
      <c r="R747" s="7"/>
      <c r="S747" s="7"/>
      <c r="T747" s="7"/>
      <c r="U747" s="7"/>
      <c r="V747" s="7"/>
      <c r="W747" s="7"/>
      <c r="X747" s="7"/>
      <c r="Y747" s="7"/>
      <c r="Z747" s="7"/>
    </row>
    <row r="748" spans="1:26" ht="12.75" customHeight="1" x14ac:dyDescent="0.2">
      <c r="A748" s="534"/>
      <c r="B748" s="534"/>
      <c r="C748" s="40" t="s">
        <v>36</v>
      </c>
      <c r="D748" s="41">
        <v>21</v>
      </c>
      <c r="E748" s="30">
        <v>21950.73</v>
      </c>
      <c r="F748" s="30"/>
      <c r="G748" s="30"/>
      <c r="H748" s="30">
        <v>6459.63</v>
      </c>
      <c r="I748" s="30">
        <v>0</v>
      </c>
      <c r="J748" s="42">
        <v>2367.5300000000002</v>
      </c>
      <c r="K748" s="43">
        <v>28410.36</v>
      </c>
      <c r="L748" s="51">
        <v>30777.89</v>
      </c>
      <c r="M748" s="33"/>
      <c r="N748" s="30">
        <v>28410.36</v>
      </c>
      <c r="O748" s="30">
        <v>21950.73</v>
      </c>
      <c r="P748" s="30">
        <v>2424</v>
      </c>
      <c r="Q748" s="30">
        <f>(N748+O748*0.18+J748)+(IF((P748-O748*0.18)&gt;0,(P748-O748*0.18),0))</f>
        <v>34729.021399999998</v>
      </c>
      <c r="R748" s="7"/>
      <c r="S748" s="7"/>
      <c r="T748" s="7"/>
      <c r="U748" s="7"/>
      <c r="V748" s="7"/>
      <c r="W748" s="7"/>
      <c r="X748" s="7"/>
      <c r="Y748" s="7"/>
      <c r="Z748" s="7"/>
    </row>
    <row r="749" spans="1:26" ht="9" customHeight="1" x14ac:dyDescent="0.2">
      <c r="A749" s="534"/>
      <c r="B749" s="534"/>
      <c r="C749" s="34" t="s">
        <v>37</v>
      </c>
      <c r="D749" s="35">
        <v>27</v>
      </c>
      <c r="E749" s="36">
        <v>42502540</v>
      </c>
      <c r="F749" s="36"/>
      <c r="G749" s="36"/>
      <c r="H749" s="36">
        <v>12507588</v>
      </c>
      <c r="I749" s="36">
        <v>0</v>
      </c>
      <c r="J749" s="37">
        <v>4584177</v>
      </c>
      <c r="K749" s="36">
        <v>55010128</v>
      </c>
      <c r="L749" s="50">
        <v>59594305</v>
      </c>
      <c r="M749" s="39"/>
      <c r="N749" s="36">
        <v>55010128</v>
      </c>
      <c r="O749" s="36">
        <v>42502540</v>
      </c>
      <c r="P749" s="36">
        <v>4693518</v>
      </c>
      <c r="Q749" s="36">
        <f>Q748*1936.27</f>
        <v>67244762.266177997</v>
      </c>
      <c r="R749" s="7"/>
      <c r="S749" s="7"/>
      <c r="T749" s="7"/>
      <c r="U749" s="7"/>
      <c r="V749" s="7"/>
      <c r="W749" s="7"/>
      <c r="X749" s="7"/>
      <c r="Y749" s="7"/>
      <c r="Z749" s="7"/>
    </row>
    <row r="750" spans="1:26" ht="12.75" customHeight="1" x14ac:dyDescent="0.2">
      <c r="A750" s="534"/>
      <c r="B750" s="534"/>
      <c r="C750" s="40" t="s">
        <v>36</v>
      </c>
      <c r="D750" s="41">
        <v>28</v>
      </c>
      <c r="E750" s="30">
        <v>23835.41</v>
      </c>
      <c r="F750" s="30"/>
      <c r="G750" s="30"/>
      <c r="H750" s="30">
        <v>6459.63</v>
      </c>
      <c r="I750" s="30">
        <v>0</v>
      </c>
      <c r="J750" s="42">
        <v>2524.59</v>
      </c>
      <c r="K750" s="43">
        <v>30295.040000000001</v>
      </c>
      <c r="L750" s="51">
        <v>32819.629999999997</v>
      </c>
      <c r="M750" s="33"/>
      <c r="N750" s="30">
        <v>30295.040000000001</v>
      </c>
      <c r="O750" s="30">
        <v>23835.41</v>
      </c>
      <c r="P750" s="30">
        <v>3090</v>
      </c>
      <c r="Q750" s="30">
        <f>(N750+O750*0.18+J750)+(IF((P750-O750*0.18)&gt;0,(P750-O750*0.18),0))</f>
        <v>37110.003800000006</v>
      </c>
      <c r="R750" s="7"/>
      <c r="S750" s="7"/>
      <c r="T750" s="7"/>
      <c r="U750" s="7"/>
      <c r="V750" s="7"/>
      <c r="W750" s="7"/>
      <c r="X750" s="7"/>
      <c r="Y750" s="7"/>
      <c r="Z750" s="7"/>
    </row>
    <row r="751" spans="1:26" ht="9" customHeight="1" x14ac:dyDescent="0.2">
      <c r="A751" s="534"/>
      <c r="B751" s="534"/>
      <c r="C751" s="34" t="s">
        <v>37</v>
      </c>
      <c r="D751" s="35">
        <v>34</v>
      </c>
      <c r="E751" s="36">
        <v>46151789</v>
      </c>
      <c r="F751" s="36"/>
      <c r="G751" s="36"/>
      <c r="H751" s="36">
        <v>12507588</v>
      </c>
      <c r="I751" s="36">
        <v>0</v>
      </c>
      <c r="J751" s="37">
        <v>4888288</v>
      </c>
      <c r="K751" s="36">
        <v>58659377</v>
      </c>
      <c r="L751" s="50">
        <v>63547665</v>
      </c>
      <c r="M751" s="39"/>
      <c r="N751" s="36">
        <v>58659377</v>
      </c>
      <c r="O751" s="36">
        <v>46151789</v>
      </c>
      <c r="P751" s="36">
        <v>5983074</v>
      </c>
      <c r="Q751" s="36">
        <f>Q750*1936.27</f>
        <v>71854987.057826012</v>
      </c>
      <c r="R751" s="7"/>
      <c r="S751" s="7"/>
      <c r="T751" s="7"/>
      <c r="U751" s="7"/>
      <c r="V751" s="7"/>
      <c r="W751" s="7"/>
      <c r="X751" s="7"/>
      <c r="Y751" s="7"/>
      <c r="Z751" s="7"/>
    </row>
    <row r="752" spans="1:26" ht="12.75" customHeight="1" x14ac:dyDescent="0.2">
      <c r="A752" s="534"/>
      <c r="B752" s="534"/>
      <c r="C752" s="40" t="s">
        <v>36</v>
      </c>
      <c r="D752" s="41">
        <v>35</v>
      </c>
      <c r="E752" s="30">
        <v>25337.77</v>
      </c>
      <c r="F752" s="30"/>
      <c r="G752" s="30"/>
      <c r="H752" s="30">
        <v>6459.63</v>
      </c>
      <c r="I752" s="30">
        <v>0</v>
      </c>
      <c r="J752" s="42">
        <v>2649.78</v>
      </c>
      <c r="K752" s="43">
        <v>31797.4</v>
      </c>
      <c r="L752" s="51">
        <v>34447.18</v>
      </c>
      <c r="M752" s="33"/>
      <c r="N752" s="30">
        <v>31797.4</v>
      </c>
      <c r="O752" s="30">
        <v>25337.77</v>
      </c>
      <c r="P752" s="30">
        <v>3090</v>
      </c>
      <c r="Q752" s="30">
        <f>(N752+O752*0.18+J752)+(IF((P752-O752*0.18)&gt;0,(P752-O752*0.18),0))</f>
        <v>39007.978600000002</v>
      </c>
      <c r="R752" s="7"/>
      <c r="S752" s="7"/>
      <c r="T752" s="7"/>
      <c r="U752" s="7"/>
      <c r="V752" s="7"/>
      <c r="W752" s="7"/>
      <c r="X752" s="7"/>
      <c r="Y752" s="7"/>
      <c r="Z752" s="7"/>
    </row>
    <row r="753" spans="1:26" ht="9" customHeight="1" x14ac:dyDescent="0.2">
      <c r="A753" s="535"/>
      <c r="B753" s="535"/>
      <c r="C753" s="47" t="s">
        <v>37</v>
      </c>
      <c r="D753" s="48"/>
      <c r="E753" s="36">
        <v>49060764</v>
      </c>
      <c r="F753" s="36"/>
      <c r="G753" s="36"/>
      <c r="H753" s="36">
        <v>12507588</v>
      </c>
      <c r="I753" s="36">
        <v>0</v>
      </c>
      <c r="J753" s="49">
        <v>5130690</v>
      </c>
      <c r="K753" s="46">
        <v>61568352</v>
      </c>
      <c r="L753" s="52">
        <v>66699041</v>
      </c>
      <c r="M753" s="39"/>
      <c r="N753" s="36">
        <v>61568352</v>
      </c>
      <c r="O753" s="36">
        <v>49060764</v>
      </c>
      <c r="P753" s="36">
        <v>5983074</v>
      </c>
      <c r="Q753" s="36">
        <f>Q752*1936.27</f>
        <v>75529978.723821998</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6"/>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6"/>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6"/>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6"/>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6"/>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6"/>
      <c r="M759" s="39"/>
      <c r="N759" s="96"/>
      <c r="O759" s="96"/>
      <c r="P759" s="96"/>
      <c r="Q759" s="96"/>
      <c r="R759" s="7"/>
      <c r="S759" s="7"/>
      <c r="T759" s="7"/>
      <c r="U759" s="7"/>
      <c r="V759" s="7"/>
      <c r="W759" s="7"/>
      <c r="X759" s="7"/>
      <c r="Y759" s="7"/>
      <c r="Z759" s="7"/>
    </row>
    <row r="760" spans="1:26" ht="12.75" customHeight="1" x14ac:dyDescent="0.2">
      <c r="A760" s="538">
        <v>39630</v>
      </c>
      <c r="B760" s="538">
        <v>39813</v>
      </c>
      <c r="C760" s="28" t="s">
        <v>36</v>
      </c>
      <c r="D760" s="29">
        <v>0</v>
      </c>
      <c r="E760" s="30">
        <v>13909.32</v>
      </c>
      <c r="F760" s="30"/>
      <c r="G760" s="30"/>
      <c r="H760" s="30">
        <v>6459.63</v>
      </c>
      <c r="I760" s="30">
        <v>0</v>
      </c>
      <c r="J760" s="30">
        <v>1697.41</v>
      </c>
      <c r="K760" s="31">
        <v>20368.95</v>
      </c>
      <c r="L760" s="32">
        <v>22066.36</v>
      </c>
      <c r="M760" s="33"/>
      <c r="N760" s="30">
        <v>20368.95</v>
      </c>
      <c r="O760" s="30">
        <v>13909.32</v>
      </c>
      <c r="P760" s="30">
        <v>1968</v>
      </c>
      <c r="Q760" s="30">
        <f>(N760+O760*0.18+J760)+(IF((P760-O760*0.18)&gt;0,(P760-O760*0.18),0))</f>
        <v>24570.0376</v>
      </c>
      <c r="R760" s="7"/>
      <c r="S760" s="7"/>
      <c r="T760" s="7"/>
      <c r="U760" s="7"/>
      <c r="V760" s="7"/>
      <c r="W760" s="7"/>
      <c r="X760" s="7"/>
      <c r="Y760" s="7"/>
      <c r="Z760" s="7"/>
    </row>
    <row r="761" spans="1:26" ht="9" customHeight="1" x14ac:dyDescent="0.2">
      <c r="A761" s="534"/>
      <c r="B761" s="534"/>
      <c r="C761" s="34" t="s">
        <v>37</v>
      </c>
      <c r="D761" s="35">
        <v>2</v>
      </c>
      <c r="E761" s="36">
        <v>26932199</v>
      </c>
      <c r="F761" s="36"/>
      <c r="G761" s="36"/>
      <c r="H761" s="36">
        <v>12507588</v>
      </c>
      <c r="I761" s="36">
        <v>0</v>
      </c>
      <c r="J761" s="37">
        <v>3286644</v>
      </c>
      <c r="K761" s="36">
        <v>39439787</v>
      </c>
      <c r="L761" s="50">
        <v>42726431</v>
      </c>
      <c r="M761" s="39"/>
      <c r="N761" s="36">
        <v>39439787</v>
      </c>
      <c r="O761" s="36">
        <v>26932199</v>
      </c>
      <c r="P761" s="36">
        <v>3810579</v>
      </c>
      <c r="Q761" s="36">
        <f>Q760*1936.27</f>
        <v>47574226.703751996</v>
      </c>
      <c r="R761" s="7"/>
      <c r="S761" s="7"/>
      <c r="T761" s="7"/>
      <c r="U761" s="7"/>
      <c r="V761" s="7"/>
      <c r="W761" s="7"/>
      <c r="X761" s="7"/>
      <c r="Y761" s="7"/>
      <c r="Z761" s="7"/>
    </row>
    <row r="762" spans="1:26" ht="12.75" customHeight="1" x14ac:dyDescent="0.2">
      <c r="A762" s="539">
        <v>39630</v>
      </c>
      <c r="B762" s="539">
        <v>39813</v>
      </c>
      <c r="C762" s="40" t="s">
        <v>36</v>
      </c>
      <c r="D762" s="41">
        <v>3</v>
      </c>
      <c r="E762" s="30">
        <v>15053.5</v>
      </c>
      <c r="F762" s="30"/>
      <c r="G762" s="30"/>
      <c r="H762" s="30">
        <v>6459.63</v>
      </c>
      <c r="I762" s="30">
        <v>0</v>
      </c>
      <c r="J762" s="42">
        <v>1792.76</v>
      </c>
      <c r="K762" s="43">
        <v>21513.13</v>
      </c>
      <c r="L762" s="51">
        <v>23305.89</v>
      </c>
      <c r="M762" s="33"/>
      <c r="N762" s="30">
        <v>21513.13</v>
      </c>
      <c r="O762" s="30">
        <v>15053.5</v>
      </c>
      <c r="P762" s="30">
        <v>1968</v>
      </c>
      <c r="Q762" s="30">
        <f>(N762+O762*0.18+J762)+(IF((P762-O762*0.18)&gt;0,(P762-O762*0.18),0))</f>
        <v>26015.52</v>
      </c>
      <c r="R762" s="7"/>
      <c r="S762" s="7"/>
      <c r="T762" s="7"/>
      <c r="U762" s="7"/>
      <c r="V762" s="7"/>
      <c r="W762" s="7"/>
      <c r="X762" s="7"/>
      <c r="Y762" s="7"/>
      <c r="Z762" s="7"/>
    </row>
    <row r="763" spans="1:26" ht="9" customHeight="1" x14ac:dyDescent="0.2">
      <c r="A763" s="534"/>
      <c r="B763" s="534"/>
      <c r="C763" s="34" t="s">
        <v>37</v>
      </c>
      <c r="D763" s="35">
        <v>8</v>
      </c>
      <c r="E763" s="36">
        <v>29147640</v>
      </c>
      <c r="F763" s="36"/>
      <c r="G763" s="36"/>
      <c r="H763" s="36">
        <v>12507588</v>
      </c>
      <c r="I763" s="36">
        <v>0</v>
      </c>
      <c r="J763" s="37">
        <v>3471267</v>
      </c>
      <c r="K763" s="36">
        <v>41655228</v>
      </c>
      <c r="L763" s="50">
        <v>45126496</v>
      </c>
      <c r="M763" s="39"/>
      <c r="N763" s="36">
        <v>41655228</v>
      </c>
      <c r="O763" s="36">
        <v>29147640</v>
      </c>
      <c r="P763" s="36">
        <v>3810579</v>
      </c>
      <c r="Q763" s="36">
        <f>Q762*1936.27</f>
        <v>50373070.910400003</v>
      </c>
      <c r="R763" s="7"/>
      <c r="S763" s="7"/>
      <c r="T763" s="7"/>
      <c r="U763" s="7"/>
      <c r="V763" s="7"/>
      <c r="W763" s="7"/>
      <c r="X763" s="7"/>
      <c r="Y763" s="7"/>
      <c r="Z763" s="7"/>
    </row>
    <row r="764" spans="1:26" ht="12.75" customHeight="1" x14ac:dyDescent="0.2">
      <c r="A764" s="534"/>
      <c r="B764" s="534"/>
      <c r="C764" s="40" t="s">
        <v>36</v>
      </c>
      <c r="D764" s="41">
        <v>9</v>
      </c>
      <c r="E764" s="30">
        <v>16884.29</v>
      </c>
      <c r="F764" s="30"/>
      <c r="G764" s="30"/>
      <c r="H764" s="30">
        <v>6459.63</v>
      </c>
      <c r="I764" s="30">
        <v>0</v>
      </c>
      <c r="J764" s="42">
        <v>1945.33</v>
      </c>
      <c r="K764" s="43">
        <v>23343.919999999998</v>
      </c>
      <c r="L764" s="51">
        <v>25289.25</v>
      </c>
      <c r="M764" s="33"/>
      <c r="N764" s="30">
        <v>23343.919999999998</v>
      </c>
      <c r="O764" s="30">
        <v>16884.29</v>
      </c>
      <c r="P764" s="30">
        <v>1968</v>
      </c>
      <c r="Q764" s="30">
        <f>(N764+O764*0.18+J764)+(IF((P764-O764*0.18)&gt;0,(P764-O764*0.18),0))</f>
        <v>28328.422200000001</v>
      </c>
      <c r="R764" s="7"/>
      <c r="S764" s="7"/>
      <c r="T764" s="7"/>
      <c r="U764" s="7"/>
      <c r="V764" s="7"/>
      <c r="W764" s="7"/>
      <c r="X764" s="7"/>
      <c r="Y764" s="7"/>
      <c r="Z764" s="7"/>
    </row>
    <row r="765" spans="1:26" ht="9" customHeight="1" x14ac:dyDescent="0.2">
      <c r="A765" s="534"/>
      <c r="B765" s="534"/>
      <c r="C765" s="34" t="s">
        <v>37</v>
      </c>
      <c r="D765" s="35">
        <v>14</v>
      </c>
      <c r="E765" s="36">
        <v>32692544</v>
      </c>
      <c r="F765" s="36"/>
      <c r="G765" s="36"/>
      <c r="H765" s="36">
        <v>12507588</v>
      </c>
      <c r="I765" s="36">
        <v>0</v>
      </c>
      <c r="J765" s="37">
        <v>3766684</v>
      </c>
      <c r="K765" s="36">
        <v>45200132</v>
      </c>
      <c r="L765" s="50">
        <v>48966816</v>
      </c>
      <c r="M765" s="39"/>
      <c r="N765" s="36">
        <v>45200132</v>
      </c>
      <c r="O765" s="36">
        <v>32692544</v>
      </c>
      <c r="P765" s="36">
        <v>3810579</v>
      </c>
      <c r="Q765" s="36">
        <f>Q764*1936.27</f>
        <v>54851474.053194001</v>
      </c>
      <c r="R765" s="7"/>
      <c r="S765" s="7"/>
      <c r="T765" s="7"/>
      <c r="U765" s="7"/>
      <c r="V765" s="7"/>
      <c r="W765" s="7"/>
      <c r="X765" s="7"/>
      <c r="Y765" s="7"/>
      <c r="Z765" s="7"/>
    </row>
    <row r="766" spans="1:26" ht="12.75" customHeight="1" x14ac:dyDescent="0.2">
      <c r="A766" s="534"/>
      <c r="B766" s="534"/>
      <c r="C766" s="40" t="s">
        <v>36</v>
      </c>
      <c r="D766" s="41">
        <v>15</v>
      </c>
      <c r="E766" s="30">
        <v>19142.740000000002</v>
      </c>
      <c r="F766" s="30"/>
      <c r="G766" s="30"/>
      <c r="H766" s="30">
        <v>6459.63</v>
      </c>
      <c r="I766" s="30">
        <v>0</v>
      </c>
      <c r="J766" s="42">
        <v>2133.5300000000002</v>
      </c>
      <c r="K766" s="43">
        <v>25602.37</v>
      </c>
      <c r="L766" s="51">
        <v>27735.9</v>
      </c>
      <c r="M766" s="33"/>
      <c r="N766" s="30">
        <v>25602.37</v>
      </c>
      <c r="O766" s="30">
        <v>19142.740000000002</v>
      </c>
      <c r="P766" s="30">
        <v>2424</v>
      </c>
      <c r="Q766" s="30">
        <f>(N766+O766*0.18+J766)+(IF((P766-O766*0.18)&gt;0,(P766-O766*0.18),0))</f>
        <v>31181.593199999999</v>
      </c>
      <c r="R766" s="7"/>
      <c r="S766" s="7"/>
      <c r="T766" s="7"/>
      <c r="U766" s="7"/>
      <c r="V766" s="7"/>
      <c r="W766" s="7"/>
      <c r="X766" s="7"/>
      <c r="Y766" s="7"/>
      <c r="Z766" s="7"/>
    </row>
    <row r="767" spans="1:26" ht="9" customHeight="1" x14ac:dyDescent="0.2">
      <c r="A767" s="534"/>
      <c r="B767" s="534"/>
      <c r="C767" s="34" t="s">
        <v>37</v>
      </c>
      <c r="D767" s="35">
        <v>20</v>
      </c>
      <c r="E767" s="36">
        <v>37065513</v>
      </c>
      <c r="F767" s="36"/>
      <c r="G767" s="36"/>
      <c r="H767" s="36">
        <v>12507588</v>
      </c>
      <c r="I767" s="36">
        <v>0</v>
      </c>
      <c r="J767" s="37">
        <v>4131090</v>
      </c>
      <c r="K767" s="36">
        <v>49573101</v>
      </c>
      <c r="L767" s="50">
        <v>53704191</v>
      </c>
      <c r="M767" s="39"/>
      <c r="N767" s="36">
        <v>49573101</v>
      </c>
      <c r="O767" s="36">
        <v>37065513</v>
      </c>
      <c r="P767" s="36">
        <v>4693518</v>
      </c>
      <c r="Q767" s="36">
        <f>Q766*1936.27</f>
        <v>60375983.465364002</v>
      </c>
      <c r="R767" s="7"/>
      <c r="S767" s="7"/>
      <c r="T767" s="7"/>
      <c r="U767" s="7"/>
      <c r="V767" s="7"/>
      <c r="W767" s="7"/>
      <c r="X767" s="7"/>
      <c r="Y767" s="7"/>
      <c r="Z767" s="7"/>
    </row>
    <row r="768" spans="1:26" ht="12.75" customHeight="1" x14ac:dyDescent="0.2">
      <c r="A768" s="534"/>
      <c r="B768" s="534"/>
      <c r="C768" s="40" t="s">
        <v>36</v>
      </c>
      <c r="D768" s="41">
        <v>21</v>
      </c>
      <c r="E768" s="30">
        <v>22019.49</v>
      </c>
      <c r="F768" s="30"/>
      <c r="G768" s="30"/>
      <c r="H768" s="30">
        <v>6459.63</v>
      </c>
      <c r="I768" s="30">
        <v>0</v>
      </c>
      <c r="J768" s="42">
        <v>2373.2600000000002</v>
      </c>
      <c r="K768" s="43">
        <v>28479.119999999999</v>
      </c>
      <c r="L768" s="51">
        <v>30852.38</v>
      </c>
      <c r="M768" s="33"/>
      <c r="N768" s="30">
        <v>28479.119999999999</v>
      </c>
      <c r="O768" s="30">
        <v>22019.49</v>
      </c>
      <c r="P768" s="30">
        <v>2424</v>
      </c>
      <c r="Q768" s="30">
        <f>(N768+O768*0.18+J768)+(IF((P768-O768*0.18)&gt;0,(P768-O768*0.18),0))</f>
        <v>34815.888200000001</v>
      </c>
      <c r="R768" s="7"/>
      <c r="S768" s="7"/>
      <c r="T768" s="7"/>
      <c r="U768" s="7"/>
      <c r="V768" s="7"/>
      <c r="W768" s="7"/>
      <c r="X768" s="7"/>
      <c r="Y768" s="7"/>
      <c r="Z768" s="7"/>
    </row>
    <row r="769" spans="1:26" ht="9" customHeight="1" x14ac:dyDescent="0.2">
      <c r="A769" s="534"/>
      <c r="B769" s="534"/>
      <c r="C769" s="34" t="s">
        <v>37</v>
      </c>
      <c r="D769" s="35">
        <v>27</v>
      </c>
      <c r="E769" s="36">
        <v>42635678</v>
      </c>
      <c r="F769" s="36"/>
      <c r="G769" s="36"/>
      <c r="H769" s="36">
        <v>12507588</v>
      </c>
      <c r="I769" s="36">
        <v>0</v>
      </c>
      <c r="J769" s="37">
        <v>4595272</v>
      </c>
      <c r="K769" s="36">
        <v>55143266</v>
      </c>
      <c r="L769" s="50">
        <v>59738538</v>
      </c>
      <c r="M769" s="39"/>
      <c r="N769" s="36">
        <v>55143266</v>
      </c>
      <c r="O769" s="36">
        <v>42635678</v>
      </c>
      <c r="P769" s="36">
        <v>4693518</v>
      </c>
      <c r="Q769" s="36">
        <f>Q768*1936.27</f>
        <v>67412959.845014006</v>
      </c>
      <c r="R769" s="7"/>
      <c r="S769" s="7"/>
      <c r="T769" s="7"/>
      <c r="U769" s="7"/>
      <c r="V769" s="7"/>
      <c r="W769" s="7"/>
      <c r="X769" s="7"/>
      <c r="Y769" s="7"/>
      <c r="Z769" s="7"/>
    </row>
    <row r="770" spans="1:26" ht="12.75" customHeight="1" x14ac:dyDescent="0.2">
      <c r="A770" s="534"/>
      <c r="B770" s="534"/>
      <c r="C770" s="40" t="s">
        <v>36</v>
      </c>
      <c r="D770" s="41">
        <v>28</v>
      </c>
      <c r="E770" s="30">
        <v>23904.17</v>
      </c>
      <c r="F770" s="30"/>
      <c r="G770" s="30"/>
      <c r="H770" s="30">
        <v>6459.63</v>
      </c>
      <c r="I770" s="30">
        <v>0</v>
      </c>
      <c r="J770" s="42">
        <v>2530.3200000000002</v>
      </c>
      <c r="K770" s="43">
        <v>30363.8</v>
      </c>
      <c r="L770" s="51">
        <v>32894.120000000003</v>
      </c>
      <c r="M770" s="33"/>
      <c r="N770" s="30">
        <v>30363.8</v>
      </c>
      <c r="O770" s="30">
        <v>23904.17</v>
      </c>
      <c r="P770" s="30">
        <v>3090</v>
      </c>
      <c r="Q770" s="30">
        <f>(N770+O770*0.18+J770)+(IF((P770-O770*0.18)&gt;0,(P770-O770*0.18),0))</f>
        <v>37196.870600000002</v>
      </c>
      <c r="R770" s="7"/>
      <c r="S770" s="7"/>
      <c r="T770" s="7"/>
      <c r="U770" s="7"/>
      <c r="V770" s="7"/>
      <c r="W770" s="7"/>
      <c r="X770" s="7"/>
      <c r="Y770" s="7"/>
      <c r="Z770" s="7"/>
    </row>
    <row r="771" spans="1:26" ht="9" customHeight="1" x14ac:dyDescent="0.2">
      <c r="A771" s="534"/>
      <c r="B771" s="534"/>
      <c r="C771" s="34" t="s">
        <v>37</v>
      </c>
      <c r="D771" s="35">
        <v>34</v>
      </c>
      <c r="E771" s="36">
        <v>46284927</v>
      </c>
      <c r="F771" s="36"/>
      <c r="G771" s="36"/>
      <c r="H771" s="36">
        <v>12507588</v>
      </c>
      <c r="I771" s="36">
        <v>0</v>
      </c>
      <c r="J771" s="37">
        <v>4899383</v>
      </c>
      <c r="K771" s="36">
        <v>58792515</v>
      </c>
      <c r="L771" s="50">
        <v>63691898</v>
      </c>
      <c r="M771" s="39"/>
      <c r="N771" s="36">
        <v>58792515</v>
      </c>
      <c r="O771" s="36">
        <v>46284927</v>
      </c>
      <c r="P771" s="36">
        <v>5983074</v>
      </c>
      <c r="Q771" s="36">
        <f>Q770*1936.27</f>
        <v>72023184.636662006</v>
      </c>
      <c r="R771" s="7"/>
      <c r="S771" s="7"/>
      <c r="T771" s="7"/>
      <c r="U771" s="7"/>
      <c r="V771" s="7"/>
      <c r="W771" s="7"/>
      <c r="X771" s="7"/>
      <c r="Y771" s="7"/>
      <c r="Z771" s="7"/>
    </row>
    <row r="772" spans="1:26" ht="12.75" customHeight="1" x14ac:dyDescent="0.2">
      <c r="A772" s="534"/>
      <c r="B772" s="534"/>
      <c r="C772" s="40" t="s">
        <v>36</v>
      </c>
      <c r="D772" s="41">
        <v>35</v>
      </c>
      <c r="E772" s="30">
        <v>25406.53</v>
      </c>
      <c r="F772" s="30"/>
      <c r="G772" s="30"/>
      <c r="H772" s="30">
        <v>6459.63</v>
      </c>
      <c r="I772" s="30">
        <v>0</v>
      </c>
      <c r="J772" s="42">
        <v>2655.51</v>
      </c>
      <c r="K772" s="43">
        <v>31866.16</v>
      </c>
      <c r="L772" s="51">
        <v>34521.67</v>
      </c>
      <c r="M772" s="33"/>
      <c r="N772" s="30">
        <v>31866.16</v>
      </c>
      <c r="O772" s="30">
        <v>25406.53</v>
      </c>
      <c r="P772" s="30">
        <v>3090</v>
      </c>
      <c r="Q772" s="30">
        <f>(N772+O772*0.18+J772)+(IF((P772-O772*0.18)&gt;0,(P772-O772*0.18),0))</f>
        <v>39094.845399999998</v>
      </c>
      <c r="R772" s="7"/>
      <c r="S772" s="7"/>
      <c r="T772" s="7"/>
      <c r="U772" s="7"/>
      <c r="V772" s="7"/>
      <c r="W772" s="7"/>
      <c r="X772" s="7"/>
      <c r="Y772" s="7"/>
      <c r="Z772" s="7"/>
    </row>
    <row r="773" spans="1:26" ht="9" customHeight="1" x14ac:dyDescent="0.2">
      <c r="A773" s="535"/>
      <c r="B773" s="535"/>
      <c r="C773" s="47" t="s">
        <v>37</v>
      </c>
      <c r="D773" s="48"/>
      <c r="E773" s="36">
        <v>49193902</v>
      </c>
      <c r="F773" s="36"/>
      <c r="G773" s="36"/>
      <c r="H773" s="36">
        <v>12507588</v>
      </c>
      <c r="I773" s="36">
        <v>0</v>
      </c>
      <c r="J773" s="49">
        <v>5141784</v>
      </c>
      <c r="K773" s="46">
        <v>61701490</v>
      </c>
      <c r="L773" s="52">
        <v>66843274</v>
      </c>
      <c r="M773" s="39"/>
      <c r="N773" s="36">
        <v>61701490</v>
      </c>
      <c r="O773" s="36">
        <v>49193902</v>
      </c>
      <c r="P773" s="36">
        <v>5983074</v>
      </c>
      <c r="Q773" s="36">
        <f>Q772*1936.27</f>
        <v>75698176.302657992</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6"/>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6"/>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6"/>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6"/>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6"/>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6"/>
      <c r="M779" s="39"/>
      <c r="N779" s="96"/>
      <c r="O779" s="96"/>
      <c r="P779" s="96"/>
      <c r="Q779" s="96"/>
      <c r="R779" s="7"/>
      <c r="S779" s="7"/>
      <c r="T779" s="7"/>
      <c r="U779" s="7"/>
      <c r="V779" s="7"/>
      <c r="W779" s="7"/>
      <c r="X779" s="7"/>
      <c r="Y779" s="7"/>
      <c r="Z779" s="7"/>
    </row>
    <row r="780" spans="1:26" ht="12.75" customHeight="1" x14ac:dyDescent="0.2">
      <c r="A780" s="538">
        <v>39814</v>
      </c>
      <c r="B780" s="538">
        <v>40268</v>
      </c>
      <c r="C780" s="28" t="s">
        <v>36</v>
      </c>
      <c r="D780" s="29">
        <v>0</v>
      </c>
      <c r="E780" s="30">
        <v>14513.64</v>
      </c>
      <c r="F780" s="30"/>
      <c r="G780" s="30"/>
      <c r="H780" s="30">
        <v>6459.63</v>
      </c>
      <c r="I780" s="30">
        <v>0</v>
      </c>
      <c r="J780" s="30">
        <v>1747.77</v>
      </c>
      <c r="K780" s="31">
        <v>20973.27</v>
      </c>
      <c r="L780" s="32">
        <v>22721.040000000001</v>
      </c>
      <c r="M780" s="33"/>
      <c r="N780" s="30">
        <v>20973.27</v>
      </c>
      <c r="O780" s="30">
        <v>14513.64</v>
      </c>
      <c r="P780" s="30">
        <v>1968</v>
      </c>
      <c r="Q780" s="30">
        <f>(N780+O780*0.18+J780)+(IF((P780-O780*0.18)&gt;0,(P780-O780*0.18),0))</f>
        <v>25333.495200000001</v>
      </c>
      <c r="R780" s="7"/>
      <c r="S780" s="7"/>
      <c r="T780" s="7"/>
      <c r="U780" s="7"/>
      <c r="V780" s="7"/>
      <c r="W780" s="7"/>
      <c r="X780" s="7"/>
      <c r="Y780" s="7"/>
      <c r="Z780" s="7"/>
    </row>
    <row r="781" spans="1:26" ht="9" customHeight="1" x14ac:dyDescent="0.2">
      <c r="A781" s="534"/>
      <c r="B781" s="534"/>
      <c r="C781" s="34" t="s">
        <v>37</v>
      </c>
      <c r="D781" s="35">
        <v>2</v>
      </c>
      <c r="E781" s="36">
        <v>28102326</v>
      </c>
      <c r="F781" s="36"/>
      <c r="G781" s="36"/>
      <c r="H781" s="36">
        <v>12507588</v>
      </c>
      <c r="I781" s="36">
        <v>0</v>
      </c>
      <c r="J781" s="37">
        <v>3384155</v>
      </c>
      <c r="K781" s="36">
        <v>40609914</v>
      </c>
      <c r="L781" s="50">
        <v>43994068</v>
      </c>
      <c r="M781" s="39"/>
      <c r="N781" s="36">
        <v>40609914</v>
      </c>
      <c r="O781" s="36">
        <v>28102326</v>
      </c>
      <c r="P781" s="36">
        <v>3810579</v>
      </c>
      <c r="Q781" s="36">
        <f>Q780*1936.27</f>
        <v>49052486.750904001</v>
      </c>
      <c r="R781" s="7"/>
      <c r="S781" s="7"/>
      <c r="T781" s="7"/>
      <c r="U781" s="7"/>
      <c r="V781" s="7"/>
      <c r="W781" s="7"/>
      <c r="X781" s="7"/>
      <c r="Y781" s="7"/>
      <c r="Z781" s="7"/>
    </row>
    <row r="782" spans="1:26" ht="12.75" customHeight="1" x14ac:dyDescent="0.2">
      <c r="A782" s="539">
        <v>39814</v>
      </c>
      <c r="B782" s="539">
        <v>40268</v>
      </c>
      <c r="C782" s="40" t="s">
        <v>36</v>
      </c>
      <c r="D782" s="41">
        <v>3</v>
      </c>
      <c r="E782" s="30">
        <v>15701.74</v>
      </c>
      <c r="F782" s="30"/>
      <c r="G782" s="30"/>
      <c r="H782" s="30">
        <v>6459.63</v>
      </c>
      <c r="I782" s="30">
        <v>0</v>
      </c>
      <c r="J782" s="42">
        <v>1846.78</v>
      </c>
      <c r="K782" s="43">
        <v>22161.37</v>
      </c>
      <c r="L782" s="51">
        <v>24008.15</v>
      </c>
      <c r="M782" s="33"/>
      <c r="N782" s="30">
        <v>22161.37</v>
      </c>
      <c r="O782" s="30">
        <v>15701.74</v>
      </c>
      <c r="P782" s="30">
        <v>1968</v>
      </c>
      <c r="Q782" s="30">
        <f>(N782+O782*0.18+J782)+(IF((P782-O782*0.18)&gt;0,(P782-O782*0.18),0))</f>
        <v>26834.463199999998</v>
      </c>
      <c r="R782" s="7"/>
      <c r="S782" s="7"/>
      <c r="T782" s="7"/>
      <c r="U782" s="7"/>
      <c r="V782" s="7"/>
      <c r="W782" s="7"/>
      <c r="X782" s="7"/>
      <c r="Y782" s="7"/>
      <c r="Z782" s="7"/>
    </row>
    <row r="783" spans="1:26" ht="9" customHeight="1" x14ac:dyDescent="0.2">
      <c r="A783" s="534"/>
      <c r="B783" s="534"/>
      <c r="C783" s="34" t="s">
        <v>37</v>
      </c>
      <c r="D783" s="35">
        <v>8</v>
      </c>
      <c r="E783" s="36">
        <v>30402808</v>
      </c>
      <c r="F783" s="36"/>
      <c r="G783" s="36"/>
      <c r="H783" s="36">
        <v>12507588</v>
      </c>
      <c r="I783" s="36">
        <v>0</v>
      </c>
      <c r="J783" s="37">
        <v>3575865</v>
      </c>
      <c r="K783" s="36">
        <v>42910396</v>
      </c>
      <c r="L783" s="50">
        <v>46486261</v>
      </c>
      <c r="M783" s="39"/>
      <c r="N783" s="36">
        <v>42910396</v>
      </c>
      <c r="O783" s="36">
        <v>30402808</v>
      </c>
      <c r="P783" s="36">
        <v>3810579</v>
      </c>
      <c r="Q783" s="36">
        <f>Q782*1936.27</f>
        <v>51958766.060263999</v>
      </c>
      <c r="R783" s="7"/>
      <c r="S783" s="7"/>
      <c r="T783" s="7"/>
      <c r="U783" s="7"/>
      <c r="V783" s="7"/>
      <c r="W783" s="7"/>
      <c r="X783" s="7"/>
      <c r="Y783" s="7"/>
      <c r="Z783" s="7"/>
    </row>
    <row r="784" spans="1:26" ht="12.75" customHeight="1" x14ac:dyDescent="0.2">
      <c r="A784" s="534"/>
      <c r="B784" s="534"/>
      <c r="C784" s="40" t="s">
        <v>36</v>
      </c>
      <c r="D784" s="41">
        <v>9</v>
      </c>
      <c r="E784" s="30">
        <v>17602.849999999999</v>
      </c>
      <c r="F784" s="30"/>
      <c r="G784" s="30"/>
      <c r="H784" s="30">
        <v>6459.63</v>
      </c>
      <c r="I784" s="30">
        <v>0</v>
      </c>
      <c r="J784" s="42">
        <v>2005.21</v>
      </c>
      <c r="K784" s="43">
        <v>24062.48</v>
      </c>
      <c r="L784" s="51">
        <v>26067.69</v>
      </c>
      <c r="M784" s="33"/>
      <c r="N784" s="30">
        <v>24062.48</v>
      </c>
      <c r="O784" s="30">
        <v>17602.849999999999</v>
      </c>
      <c r="P784" s="30">
        <v>1968</v>
      </c>
      <c r="Q784" s="30">
        <f>(N784+O784*0.18+J784)+(IF((P784-O784*0.18)&gt;0,(P784-O784*0.18),0))</f>
        <v>29236.202999999998</v>
      </c>
      <c r="R784" s="7"/>
      <c r="S784" s="7"/>
      <c r="T784" s="7"/>
      <c r="U784" s="7"/>
      <c r="V784" s="7"/>
      <c r="W784" s="7"/>
      <c r="X784" s="7"/>
      <c r="Y784" s="7"/>
      <c r="Z784" s="7"/>
    </row>
    <row r="785" spans="1:26" ht="9" customHeight="1" x14ac:dyDescent="0.2">
      <c r="A785" s="534"/>
      <c r="B785" s="534"/>
      <c r="C785" s="34" t="s">
        <v>37</v>
      </c>
      <c r="D785" s="35">
        <v>14</v>
      </c>
      <c r="E785" s="36">
        <v>34083870</v>
      </c>
      <c r="F785" s="36"/>
      <c r="G785" s="36"/>
      <c r="H785" s="36">
        <v>12507588</v>
      </c>
      <c r="I785" s="36">
        <v>0</v>
      </c>
      <c r="J785" s="37">
        <v>3882628</v>
      </c>
      <c r="K785" s="36">
        <v>46591458</v>
      </c>
      <c r="L785" s="50">
        <v>50474086</v>
      </c>
      <c r="M785" s="39"/>
      <c r="N785" s="36">
        <v>46591458</v>
      </c>
      <c r="O785" s="36">
        <v>34083870</v>
      </c>
      <c r="P785" s="36">
        <v>3810579</v>
      </c>
      <c r="Q785" s="36">
        <f>Q784*1936.27</f>
        <v>56609182.782809995</v>
      </c>
      <c r="R785" s="7"/>
      <c r="S785" s="7"/>
      <c r="T785" s="7"/>
      <c r="U785" s="7"/>
      <c r="V785" s="7"/>
      <c r="W785" s="7"/>
      <c r="X785" s="7"/>
      <c r="Y785" s="7"/>
      <c r="Z785" s="7"/>
    </row>
    <row r="786" spans="1:26" ht="12.75" customHeight="1" x14ac:dyDescent="0.2">
      <c r="A786" s="534"/>
      <c r="B786" s="534"/>
      <c r="C786" s="40" t="s">
        <v>36</v>
      </c>
      <c r="D786" s="41">
        <v>15</v>
      </c>
      <c r="E786" s="30">
        <v>19948.060000000001</v>
      </c>
      <c r="F786" s="30"/>
      <c r="G786" s="30"/>
      <c r="H786" s="30">
        <v>6459.63</v>
      </c>
      <c r="I786" s="30">
        <v>0</v>
      </c>
      <c r="J786" s="42">
        <v>2200.64</v>
      </c>
      <c r="K786" s="43">
        <v>26407.69</v>
      </c>
      <c r="L786" s="51">
        <v>28608.33</v>
      </c>
      <c r="M786" s="33"/>
      <c r="N786" s="30">
        <v>26407.69</v>
      </c>
      <c r="O786" s="30">
        <v>19948.060000000001</v>
      </c>
      <c r="P786" s="30">
        <v>2424</v>
      </c>
      <c r="Q786" s="30">
        <f>(N786+O786*0.18+J786)+(IF((P786-O786*0.18)&gt;0,(P786-O786*0.18),0))</f>
        <v>32198.980799999998</v>
      </c>
      <c r="R786" s="7"/>
      <c r="S786" s="7"/>
      <c r="T786" s="7"/>
      <c r="U786" s="7"/>
      <c r="V786" s="7"/>
      <c r="W786" s="7"/>
      <c r="X786" s="7"/>
      <c r="Y786" s="7"/>
      <c r="Z786" s="7"/>
    </row>
    <row r="787" spans="1:26" ht="9" customHeight="1" x14ac:dyDescent="0.2">
      <c r="A787" s="534"/>
      <c r="B787" s="534"/>
      <c r="C787" s="34" t="s">
        <v>37</v>
      </c>
      <c r="D787" s="35">
        <v>20</v>
      </c>
      <c r="E787" s="36">
        <v>38624830</v>
      </c>
      <c r="F787" s="36"/>
      <c r="G787" s="36"/>
      <c r="H787" s="36">
        <v>12507588</v>
      </c>
      <c r="I787" s="36">
        <v>0</v>
      </c>
      <c r="J787" s="37">
        <v>4261033</v>
      </c>
      <c r="K787" s="36">
        <v>51132418</v>
      </c>
      <c r="L787" s="50">
        <v>55393451</v>
      </c>
      <c r="M787" s="39"/>
      <c r="N787" s="36">
        <v>51132418</v>
      </c>
      <c r="O787" s="36">
        <v>38624830</v>
      </c>
      <c r="P787" s="36">
        <v>4693518</v>
      </c>
      <c r="Q787" s="36">
        <f>Q786*1936.27</f>
        <v>62345920.553615995</v>
      </c>
      <c r="R787" s="7"/>
      <c r="S787" s="7"/>
      <c r="T787" s="7"/>
      <c r="U787" s="7"/>
      <c r="V787" s="7"/>
      <c r="W787" s="7"/>
      <c r="X787" s="7"/>
      <c r="Y787" s="7"/>
      <c r="Z787" s="7"/>
    </row>
    <row r="788" spans="1:26" ht="12.75" customHeight="1" x14ac:dyDescent="0.2">
      <c r="A788" s="534"/>
      <c r="B788" s="534"/>
      <c r="C788" s="40" t="s">
        <v>36</v>
      </c>
      <c r="D788" s="41">
        <v>21</v>
      </c>
      <c r="E788" s="30">
        <v>22935.33</v>
      </c>
      <c r="F788" s="30"/>
      <c r="G788" s="30"/>
      <c r="H788" s="30">
        <v>6459.63</v>
      </c>
      <c r="I788" s="30">
        <v>0</v>
      </c>
      <c r="J788" s="42">
        <v>2449.58</v>
      </c>
      <c r="K788" s="43">
        <v>29394.959999999999</v>
      </c>
      <c r="L788" s="51">
        <v>31844.54</v>
      </c>
      <c r="M788" s="33"/>
      <c r="N788" s="30">
        <v>29394.959999999999</v>
      </c>
      <c r="O788" s="30">
        <v>22935.33</v>
      </c>
      <c r="P788" s="30">
        <v>2424</v>
      </c>
      <c r="Q788" s="30">
        <f>(N788+O788*0.18+J788)+(IF((P788-O788*0.18)&gt;0,(P788-O788*0.18),0))</f>
        <v>35972.899400000002</v>
      </c>
      <c r="R788" s="7"/>
      <c r="S788" s="7"/>
      <c r="T788" s="7"/>
      <c r="U788" s="7"/>
      <c r="V788" s="7"/>
      <c r="W788" s="7"/>
      <c r="X788" s="7"/>
      <c r="Y788" s="7"/>
      <c r="Z788" s="7"/>
    </row>
    <row r="789" spans="1:26" ht="9" customHeight="1" x14ac:dyDescent="0.2">
      <c r="A789" s="534"/>
      <c r="B789" s="534"/>
      <c r="C789" s="34" t="s">
        <v>37</v>
      </c>
      <c r="D789" s="35">
        <v>27</v>
      </c>
      <c r="E789" s="36">
        <v>44408991</v>
      </c>
      <c r="F789" s="36"/>
      <c r="G789" s="36"/>
      <c r="H789" s="36">
        <v>12507588</v>
      </c>
      <c r="I789" s="36">
        <v>0</v>
      </c>
      <c r="J789" s="37">
        <v>4743048</v>
      </c>
      <c r="K789" s="36">
        <v>56916579</v>
      </c>
      <c r="L789" s="50">
        <v>61659627</v>
      </c>
      <c r="M789" s="39"/>
      <c r="N789" s="46">
        <v>56916579</v>
      </c>
      <c r="O789" s="46">
        <v>44408991</v>
      </c>
      <c r="P789" s="36">
        <v>4693518</v>
      </c>
      <c r="Q789" s="46">
        <f>Q788*1936.27</f>
        <v>69653245.921238005</v>
      </c>
      <c r="R789" s="7"/>
      <c r="S789" s="7"/>
      <c r="T789" s="7"/>
      <c r="U789" s="7"/>
      <c r="V789" s="7"/>
      <c r="W789" s="7"/>
      <c r="X789" s="7"/>
      <c r="Y789" s="7"/>
      <c r="Z789" s="7"/>
    </row>
    <row r="790" spans="1:26" ht="12.75" customHeight="1" x14ac:dyDescent="0.2">
      <c r="A790" s="534"/>
      <c r="B790" s="534"/>
      <c r="C790" s="40" t="s">
        <v>36</v>
      </c>
      <c r="D790" s="41">
        <v>28</v>
      </c>
      <c r="E790" s="30">
        <v>24892.49</v>
      </c>
      <c r="F790" s="30"/>
      <c r="G790" s="30"/>
      <c r="H790" s="30">
        <v>6459.63</v>
      </c>
      <c r="I790" s="30">
        <v>0</v>
      </c>
      <c r="J790" s="42">
        <v>2612.6799999999998</v>
      </c>
      <c r="K790" s="43">
        <v>31352.12</v>
      </c>
      <c r="L790" s="51">
        <v>33964.800000000003</v>
      </c>
      <c r="M790" s="54"/>
      <c r="N790" s="30">
        <v>31352.12</v>
      </c>
      <c r="O790" s="30">
        <v>24892.49</v>
      </c>
      <c r="P790" s="30">
        <v>3090</v>
      </c>
      <c r="Q790" s="30">
        <f>(N790+O790*0.18+J790)+(IF((P790-O790*0.18)&gt;0,(P790-O790*0.18),0))</f>
        <v>38445.448199999999</v>
      </c>
      <c r="R790" s="7"/>
      <c r="S790" s="7"/>
      <c r="T790" s="7"/>
      <c r="U790" s="7"/>
      <c r="V790" s="7"/>
      <c r="W790" s="7"/>
      <c r="X790" s="7"/>
      <c r="Y790" s="7"/>
      <c r="Z790" s="7"/>
    </row>
    <row r="791" spans="1:26" ht="9" customHeight="1" x14ac:dyDescent="0.2">
      <c r="A791" s="534"/>
      <c r="B791" s="534"/>
      <c r="C791" s="34" t="s">
        <v>37</v>
      </c>
      <c r="D791" s="35">
        <v>34</v>
      </c>
      <c r="E791" s="36">
        <v>48198582</v>
      </c>
      <c r="F791" s="36"/>
      <c r="G791" s="36"/>
      <c r="H791" s="36">
        <v>12507588</v>
      </c>
      <c r="I791" s="36">
        <v>0</v>
      </c>
      <c r="J791" s="37">
        <v>5058854</v>
      </c>
      <c r="K791" s="36">
        <v>60706169</v>
      </c>
      <c r="L791" s="50">
        <v>65765023</v>
      </c>
      <c r="M791" s="54"/>
      <c r="N791" s="36">
        <v>60706169</v>
      </c>
      <c r="O791" s="36">
        <v>48198582</v>
      </c>
      <c r="P791" s="36">
        <v>5983074</v>
      </c>
      <c r="Q791" s="46">
        <f>Q790*1936.27</f>
        <v>74440767.986213997</v>
      </c>
      <c r="R791" s="7"/>
      <c r="S791" s="7"/>
      <c r="T791" s="7"/>
      <c r="U791" s="7"/>
      <c r="V791" s="7"/>
      <c r="W791" s="7"/>
      <c r="X791" s="7"/>
      <c r="Y791" s="7"/>
      <c r="Z791" s="7"/>
    </row>
    <row r="792" spans="1:26" ht="12.75" customHeight="1" x14ac:dyDescent="0.2">
      <c r="A792" s="534"/>
      <c r="B792" s="534"/>
      <c r="C792" s="40" t="s">
        <v>36</v>
      </c>
      <c r="D792" s="41">
        <v>35</v>
      </c>
      <c r="E792" s="30">
        <v>26452.57</v>
      </c>
      <c r="F792" s="30"/>
      <c r="G792" s="30"/>
      <c r="H792" s="30">
        <v>6459.63</v>
      </c>
      <c r="I792" s="30">
        <v>0</v>
      </c>
      <c r="J792" s="42">
        <v>2742.68</v>
      </c>
      <c r="K792" s="43">
        <v>32912.199999999997</v>
      </c>
      <c r="L792" s="51">
        <v>35654.879999999997</v>
      </c>
      <c r="M792" s="54"/>
      <c r="N792" s="30">
        <v>32912.199999999997</v>
      </c>
      <c r="O792" s="30">
        <v>26452.57</v>
      </c>
      <c r="P792" s="30">
        <v>3090</v>
      </c>
      <c r="Q792" s="30">
        <f>(N792+O792*0.18+J792)+(IF((P792-O792*0.18)&gt;0,(P792-O792*0.18),0))</f>
        <v>40416.342599999996</v>
      </c>
      <c r="R792" s="7"/>
      <c r="S792" s="7"/>
      <c r="T792" s="7"/>
      <c r="U792" s="7"/>
      <c r="V792" s="7"/>
      <c r="W792" s="7"/>
      <c r="X792" s="7"/>
      <c r="Y792" s="7"/>
      <c r="Z792" s="7"/>
    </row>
    <row r="793" spans="1:26" ht="9" customHeight="1" x14ac:dyDescent="0.2">
      <c r="A793" s="535"/>
      <c r="B793" s="535"/>
      <c r="C793" s="47" t="s">
        <v>37</v>
      </c>
      <c r="D793" s="48"/>
      <c r="E793" s="46">
        <v>51219318</v>
      </c>
      <c r="F793" s="46"/>
      <c r="G793" s="46"/>
      <c r="H793" s="46">
        <v>12507588</v>
      </c>
      <c r="I793" s="46">
        <v>0</v>
      </c>
      <c r="J793" s="49">
        <v>5310569</v>
      </c>
      <c r="K793" s="46">
        <v>63726905</v>
      </c>
      <c r="L793" s="52">
        <v>69037474</v>
      </c>
      <c r="M793" s="54"/>
      <c r="N793" s="36">
        <v>63726905</v>
      </c>
      <c r="O793" s="36">
        <v>51219318</v>
      </c>
      <c r="P793" s="36">
        <v>5983074</v>
      </c>
      <c r="Q793" s="46">
        <f>Q792*1936.27</f>
        <v>78256951.686101988</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6"/>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6"/>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6"/>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6"/>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6"/>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6"/>
      <c r="M799" s="39"/>
      <c r="N799" s="96"/>
      <c r="O799" s="96"/>
      <c r="P799" s="96"/>
      <c r="Q799" s="96"/>
      <c r="R799" s="7"/>
      <c r="S799" s="7"/>
      <c r="T799" s="7"/>
      <c r="U799" s="7"/>
      <c r="V799" s="7"/>
      <c r="W799" s="7"/>
      <c r="X799" s="7"/>
      <c r="Y799" s="7"/>
      <c r="Z799" s="7"/>
    </row>
    <row r="800" spans="1:26" ht="12.75" customHeight="1" x14ac:dyDescent="0.2">
      <c r="A800" s="538">
        <v>40269</v>
      </c>
      <c r="B800" s="538">
        <v>40359</v>
      </c>
      <c r="C800" s="28" t="s">
        <v>36</v>
      </c>
      <c r="D800" s="29">
        <v>0</v>
      </c>
      <c r="E800" s="30">
        <v>14513.64</v>
      </c>
      <c r="F800" s="30"/>
      <c r="G800" s="30"/>
      <c r="H800" s="30">
        <v>6459.63</v>
      </c>
      <c r="I800" s="30">
        <v>94.38</v>
      </c>
      <c r="J800" s="30">
        <v>1747.77</v>
      </c>
      <c r="K800" s="31">
        <v>21067.65</v>
      </c>
      <c r="L800" s="32">
        <v>22815.42</v>
      </c>
      <c r="M800" s="7"/>
      <c r="N800" s="30">
        <v>21067.65</v>
      </c>
      <c r="O800" s="30">
        <v>14608.02</v>
      </c>
      <c r="P800" s="30">
        <v>1968</v>
      </c>
      <c r="Q800" s="30">
        <f>(N800+O800*0.18+J800)+(IF((P800-O800*0.18)&gt;0,(P800-O800*0.18),0))</f>
        <v>25444.863600000001</v>
      </c>
      <c r="R800" s="7"/>
      <c r="S800" s="7"/>
      <c r="T800" s="7"/>
      <c r="U800" s="7"/>
      <c r="V800" s="7"/>
      <c r="W800" s="7"/>
      <c r="X800" s="7"/>
      <c r="Y800" s="7"/>
      <c r="Z800" s="7"/>
    </row>
    <row r="801" spans="1:26" ht="9" customHeight="1" x14ac:dyDescent="0.2">
      <c r="A801" s="534"/>
      <c r="B801" s="534"/>
      <c r="C801" s="34" t="s">
        <v>37</v>
      </c>
      <c r="D801" s="35">
        <v>2</v>
      </c>
      <c r="E801" s="36">
        <v>28102326</v>
      </c>
      <c r="F801" s="36"/>
      <c r="G801" s="36"/>
      <c r="H801" s="36">
        <v>12507588</v>
      </c>
      <c r="I801" s="36">
        <v>182745</v>
      </c>
      <c r="J801" s="37">
        <v>3384155</v>
      </c>
      <c r="K801" s="36">
        <v>40792659</v>
      </c>
      <c r="L801" s="50">
        <v>44176813</v>
      </c>
      <c r="M801" s="55"/>
      <c r="N801" s="36">
        <v>40792659</v>
      </c>
      <c r="O801" s="36">
        <v>28285071</v>
      </c>
      <c r="P801" s="36">
        <v>3810579</v>
      </c>
      <c r="Q801" s="46">
        <f>Q800*1936.27</f>
        <v>49268126.042772003</v>
      </c>
      <c r="R801" s="7"/>
      <c r="S801" s="7"/>
      <c r="T801" s="7"/>
      <c r="U801" s="7"/>
      <c r="V801" s="7"/>
      <c r="W801" s="7"/>
      <c r="X801" s="7"/>
      <c r="Y801" s="7"/>
      <c r="Z801" s="7"/>
    </row>
    <row r="802" spans="1:26" ht="12.75" customHeight="1" x14ac:dyDescent="0.2">
      <c r="A802" s="539">
        <v>40269</v>
      </c>
      <c r="B802" s="539">
        <v>40359</v>
      </c>
      <c r="C802" s="40" t="s">
        <v>36</v>
      </c>
      <c r="D802" s="41">
        <v>3</v>
      </c>
      <c r="E802" s="30">
        <v>15701.74</v>
      </c>
      <c r="F802" s="30"/>
      <c r="G802" s="30"/>
      <c r="H802" s="30">
        <v>6459.63</v>
      </c>
      <c r="I802" s="30">
        <v>94.38</v>
      </c>
      <c r="J802" s="42">
        <v>1846.78</v>
      </c>
      <c r="K802" s="43">
        <v>22255.75</v>
      </c>
      <c r="L802" s="51">
        <v>24102.53</v>
      </c>
      <c r="M802" s="7"/>
      <c r="N802" s="30">
        <v>22255.75</v>
      </c>
      <c r="O802" s="30">
        <v>15796.12</v>
      </c>
      <c r="P802" s="30">
        <v>1968</v>
      </c>
      <c r="Q802" s="30">
        <f>(N802+O802*0.18+J802)+(IF((P802-O802*0.18)&gt;0,(P802-O802*0.18),0))</f>
        <v>26945.831599999998</v>
      </c>
      <c r="R802" s="7"/>
      <c r="S802" s="7"/>
      <c r="T802" s="7"/>
      <c r="U802" s="7"/>
      <c r="V802" s="7"/>
      <c r="W802" s="7"/>
      <c r="X802" s="7"/>
      <c r="Y802" s="7"/>
      <c r="Z802" s="7"/>
    </row>
    <row r="803" spans="1:26" ht="9" customHeight="1" x14ac:dyDescent="0.2">
      <c r="A803" s="534"/>
      <c r="B803" s="534"/>
      <c r="C803" s="34" t="s">
        <v>37</v>
      </c>
      <c r="D803" s="35">
        <v>8</v>
      </c>
      <c r="E803" s="36">
        <v>30402808</v>
      </c>
      <c r="F803" s="36"/>
      <c r="G803" s="36"/>
      <c r="H803" s="36">
        <v>12507588</v>
      </c>
      <c r="I803" s="36">
        <v>182745</v>
      </c>
      <c r="J803" s="37">
        <v>3575865</v>
      </c>
      <c r="K803" s="36">
        <v>43093141</v>
      </c>
      <c r="L803" s="50">
        <v>46669006</v>
      </c>
      <c r="M803" s="7"/>
      <c r="N803" s="36">
        <v>43093141</v>
      </c>
      <c r="O803" s="36">
        <v>30585553</v>
      </c>
      <c r="P803" s="36">
        <v>3810579</v>
      </c>
      <c r="Q803" s="46">
        <f>Q802*1936.27</f>
        <v>52174405.352131993</v>
      </c>
      <c r="R803" s="7"/>
      <c r="S803" s="7"/>
      <c r="T803" s="7"/>
      <c r="U803" s="7"/>
      <c r="V803" s="7"/>
      <c r="W803" s="7"/>
      <c r="X803" s="7"/>
      <c r="Y803" s="7"/>
      <c r="Z803" s="7"/>
    </row>
    <row r="804" spans="1:26" ht="12.75" customHeight="1" x14ac:dyDescent="0.2">
      <c r="A804" s="534"/>
      <c r="B804" s="534"/>
      <c r="C804" s="40" t="s">
        <v>36</v>
      </c>
      <c r="D804" s="41">
        <v>9</v>
      </c>
      <c r="E804" s="30">
        <v>17602.849999999999</v>
      </c>
      <c r="F804" s="30"/>
      <c r="G804" s="30"/>
      <c r="H804" s="30">
        <v>6459.63</v>
      </c>
      <c r="I804" s="30">
        <v>94.38</v>
      </c>
      <c r="J804" s="42">
        <v>2005.21</v>
      </c>
      <c r="K804" s="43">
        <v>24156.86</v>
      </c>
      <c r="L804" s="51">
        <v>26162.07</v>
      </c>
      <c r="M804" s="7"/>
      <c r="N804" s="30">
        <v>24156.86</v>
      </c>
      <c r="O804" s="30">
        <v>17697.23</v>
      </c>
      <c r="P804" s="30">
        <v>1968</v>
      </c>
      <c r="Q804" s="30">
        <f>(N804+O804*0.18+J804)+(IF((P804-O804*0.18)&gt;0,(P804-O804*0.18),0))</f>
        <v>29347.571400000001</v>
      </c>
      <c r="R804" s="7"/>
      <c r="S804" s="7"/>
      <c r="T804" s="7"/>
      <c r="U804" s="7"/>
      <c r="V804" s="7"/>
      <c r="W804" s="7"/>
      <c r="X804" s="7"/>
      <c r="Y804" s="7"/>
      <c r="Z804" s="7"/>
    </row>
    <row r="805" spans="1:26" ht="9" customHeight="1" x14ac:dyDescent="0.2">
      <c r="A805" s="534"/>
      <c r="B805" s="534"/>
      <c r="C805" s="34" t="s">
        <v>37</v>
      </c>
      <c r="D805" s="35">
        <v>14</v>
      </c>
      <c r="E805" s="36">
        <v>34083870</v>
      </c>
      <c r="F805" s="36"/>
      <c r="G805" s="36"/>
      <c r="H805" s="36">
        <v>12507588</v>
      </c>
      <c r="I805" s="36">
        <v>182745</v>
      </c>
      <c r="J805" s="37">
        <v>3882628</v>
      </c>
      <c r="K805" s="36">
        <v>46774203</v>
      </c>
      <c r="L805" s="50">
        <v>50656831</v>
      </c>
      <c r="M805" s="7"/>
      <c r="N805" s="36">
        <v>46774203</v>
      </c>
      <c r="O805" s="36">
        <v>34266616</v>
      </c>
      <c r="P805" s="36">
        <v>3810579</v>
      </c>
      <c r="Q805" s="46">
        <f>Q804*1936.27</f>
        <v>56824822.074678004</v>
      </c>
      <c r="R805" s="7"/>
      <c r="S805" s="7"/>
      <c r="T805" s="7"/>
      <c r="U805" s="7"/>
      <c r="V805" s="7"/>
      <c r="W805" s="7"/>
      <c r="X805" s="7"/>
      <c r="Y805" s="7"/>
      <c r="Z805" s="7"/>
    </row>
    <row r="806" spans="1:26" ht="12.75" customHeight="1" x14ac:dyDescent="0.2">
      <c r="A806" s="534"/>
      <c r="B806" s="534"/>
      <c r="C806" s="40" t="s">
        <v>36</v>
      </c>
      <c r="D806" s="41">
        <v>15</v>
      </c>
      <c r="E806" s="30">
        <v>19948.060000000001</v>
      </c>
      <c r="F806" s="30"/>
      <c r="G806" s="30"/>
      <c r="H806" s="30">
        <v>6459.63</v>
      </c>
      <c r="I806" s="30">
        <v>94.38</v>
      </c>
      <c r="J806" s="42">
        <v>2200.64</v>
      </c>
      <c r="K806" s="43">
        <v>26502.07</v>
      </c>
      <c r="L806" s="51">
        <v>28702.71</v>
      </c>
      <c r="M806" s="7"/>
      <c r="N806" s="30">
        <v>26502.07</v>
      </c>
      <c r="O806" s="30">
        <v>20042.439999999999</v>
      </c>
      <c r="P806" s="30">
        <v>2424</v>
      </c>
      <c r="Q806" s="30">
        <f>(N806+O806*0.18+J806)+(IF((P806-O806*0.18)&gt;0,(P806-O806*0.18),0))</f>
        <v>32310.349199999997</v>
      </c>
      <c r="R806" s="7"/>
      <c r="S806" s="7"/>
      <c r="T806" s="7"/>
      <c r="U806" s="7"/>
      <c r="V806" s="7"/>
      <c r="W806" s="7"/>
      <c r="X806" s="7"/>
      <c r="Y806" s="7"/>
      <c r="Z806" s="7"/>
    </row>
    <row r="807" spans="1:26" ht="9" customHeight="1" x14ac:dyDescent="0.2">
      <c r="A807" s="534"/>
      <c r="B807" s="534"/>
      <c r="C807" s="34" t="s">
        <v>37</v>
      </c>
      <c r="D807" s="35">
        <v>20</v>
      </c>
      <c r="E807" s="36">
        <v>38624830</v>
      </c>
      <c r="F807" s="36"/>
      <c r="G807" s="36"/>
      <c r="H807" s="36">
        <v>12507588</v>
      </c>
      <c r="I807" s="36">
        <v>182745</v>
      </c>
      <c r="J807" s="37">
        <v>4261033</v>
      </c>
      <c r="K807" s="36">
        <v>51315163</v>
      </c>
      <c r="L807" s="50">
        <v>55576196</v>
      </c>
      <c r="M807" s="7"/>
      <c r="N807" s="36">
        <v>51315163</v>
      </c>
      <c r="O807" s="36">
        <v>38807575</v>
      </c>
      <c r="P807" s="36">
        <v>4693518</v>
      </c>
      <c r="Q807" s="46">
        <f>Q806*1936.27</f>
        <v>62561559.845483996</v>
      </c>
      <c r="R807" s="7"/>
      <c r="S807" s="7"/>
      <c r="T807" s="7"/>
      <c r="U807" s="7"/>
      <c r="V807" s="7"/>
      <c r="W807" s="7"/>
      <c r="X807" s="7"/>
      <c r="Y807" s="7"/>
      <c r="Z807" s="7"/>
    </row>
    <row r="808" spans="1:26" ht="12.75" customHeight="1" x14ac:dyDescent="0.2">
      <c r="A808" s="534"/>
      <c r="B808" s="534"/>
      <c r="C808" s="40" t="s">
        <v>36</v>
      </c>
      <c r="D808" s="41">
        <v>21</v>
      </c>
      <c r="E808" s="30">
        <v>22935.33</v>
      </c>
      <c r="F808" s="30"/>
      <c r="G808" s="30"/>
      <c r="H808" s="30">
        <v>6459.63</v>
      </c>
      <c r="I808" s="30">
        <v>94.38</v>
      </c>
      <c r="J808" s="42">
        <v>2449.58</v>
      </c>
      <c r="K808" s="43">
        <v>29489.34</v>
      </c>
      <c r="L808" s="51">
        <v>31938.92</v>
      </c>
      <c r="M808" s="7"/>
      <c r="N808" s="30">
        <v>29489.34</v>
      </c>
      <c r="O808" s="30">
        <v>23029.71</v>
      </c>
      <c r="P808" s="30">
        <v>2424</v>
      </c>
      <c r="Q808" s="30">
        <f>(N808+O808*0.18+J808)+(IF((P808-O808*0.18)&gt;0,(P808-O808*0.18),0))</f>
        <v>36084.267800000001</v>
      </c>
      <c r="R808" s="7"/>
      <c r="S808" s="7"/>
      <c r="T808" s="7"/>
      <c r="U808" s="7"/>
      <c r="V808" s="7"/>
      <c r="W808" s="7"/>
      <c r="X808" s="7"/>
      <c r="Y808" s="7"/>
      <c r="Z808" s="7"/>
    </row>
    <row r="809" spans="1:26" ht="9" customHeight="1" x14ac:dyDescent="0.2">
      <c r="A809" s="534"/>
      <c r="B809" s="534"/>
      <c r="C809" s="34" t="s">
        <v>37</v>
      </c>
      <c r="D809" s="35">
        <v>27</v>
      </c>
      <c r="E809" s="36">
        <v>44408991</v>
      </c>
      <c r="F809" s="36"/>
      <c r="G809" s="36"/>
      <c r="H809" s="36">
        <v>12507588</v>
      </c>
      <c r="I809" s="36">
        <v>182745</v>
      </c>
      <c r="J809" s="37">
        <v>4743048</v>
      </c>
      <c r="K809" s="36">
        <v>57099324</v>
      </c>
      <c r="L809" s="50">
        <v>61842373</v>
      </c>
      <c r="M809" s="7"/>
      <c r="N809" s="46">
        <v>57099324</v>
      </c>
      <c r="O809" s="46">
        <v>44591737</v>
      </c>
      <c r="P809" s="36">
        <v>4693518</v>
      </c>
      <c r="Q809" s="46">
        <f>Q808*1936.27</f>
        <v>69868885.213106006</v>
      </c>
      <c r="R809" s="7"/>
      <c r="S809" s="7"/>
      <c r="T809" s="7"/>
      <c r="U809" s="7"/>
      <c r="V809" s="7"/>
      <c r="W809" s="7"/>
      <c r="X809" s="7"/>
      <c r="Y809" s="7"/>
      <c r="Z809" s="7"/>
    </row>
    <row r="810" spans="1:26" ht="12.75" customHeight="1" x14ac:dyDescent="0.2">
      <c r="A810" s="534"/>
      <c r="B810" s="534"/>
      <c r="C810" s="40" t="s">
        <v>36</v>
      </c>
      <c r="D810" s="41">
        <v>28</v>
      </c>
      <c r="E810" s="30">
        <v>24892.49</v>
      </c>
      <c r="F810" s="30"/>
      <c r="G810" s="30"/>
      <c r="H810" s="30">
        <v>6459.63</v>
      </c>
      <c r="I810" s="30">
        <v>94.38</v>
      </c>
      <c r="J810" s="42">
        <v>2612.6799999999998</v>
      </c>
      <c r="K810" s="43">
        <v>31446.5</v>
      </c>
      <c r="L810" s="51">
        <v>34059.18</v>
      </c>
      <c r="M810" s="7"/>
      <c r="N810" s="30">
        <v>31446.5</v>
      </c>
      <c r="O810" s="30">
        <v>24986.87</v>
      </c>
      <c r="P810" s="30">
        <v>3090</v>
      </c>
      <c r="Q810" s="30">
        <f>(N810+O810*0.18+J810)+(IF((P810-O810*0.18)&gt;0,(P810-O810*0.18),0))</f>
        <v>38556.816599999998</v>
      </c>
      <c r="R810" s="7"/>
      <c r="S810" s="7"/>
      <c r="T810" s="7"/>
      <c r="U810" s="7"/>
      <c r="V810" s="7"/>
      <c r="W810" s="7"/>
      <c r="X810" s="7"/>
      <c r="Y810" s="7"/>
      <c r="Z810" s="7"/>
    </row>
    <row r="811" spans="1:26" ht="9" customHeight="1" x14ac:dyDescent="0.2">
      <c r="A811" s="534"/>
      <c r="B811" s="534"/>
      <c r="C811" s="34" t="s">
        <v>37</v>
      </c>
      <c r="D811" s="35">
        <v>34</v>
      </c>
      <c r="E811" s="36">
        <v>48198582</v>
      </c>
      <c r="F811" s="36"/>
      <c r="G811" s="36"/>
      <c r="H811" s="36">
        <v>12507588</v>
      </c>
      <c r="I811" s="36">
        <v>182745</v>
      </c>
      <c r="J811" s="37">
        <v>5058854</v>
      </c>
      <c r="K811" s="36">
        <v>60888915</v>
      </c>
      <c r="L811" s="50">
        <v>65947768</v>
      </c>
      <c r="M811" s="7"/>
      <c r="N811" s="46">
        <v>60888915</v>
      </c>
      <c r="O811" s="46">
        <v>48381327</v>
      </c>
      <c r="P811" s="36">
        <v>5983074</v>
      </c>
      <c r="Q811" s="46">
        <f>Q810*1936.27</f>
        <v>74656407.278081998</v>
      </c>
      <c r="R811" s="7"/>
      <c r="S811" s="7"/>
      <c r="T811" s="7"/>
      <c r="U811" s="7"/>
      <c r="V811" s="7"/>
      <c r="W811" s="7"/>
      <c r="X811" s="7"/>
      <c r="Y811" s="7"/>
      <c r="Z811" s="7"/>
    </row>
    <row r="812" spans="1:26" ht="12.75" customHeight="1" x14ac:dyDescent="0.2">
      <c r="A812" s="534"/>
      <c r="B812" s="534"/>
      <c r="C812" s="40" t="s">
        <v>36</v>
      </c>
      <c r="D812" s="41">
        <v>35</v>
      </c>
      <c r="E812" s="30">
        <v>26452.57</v>
      </c>
      <c r="F812" s="30"/>
      <c r="G812" s="30"/>
      <c r="H812" s="30">
        <v>6459.63</v>
      </c>
      <c r="I812" s="30">
        <v>94.38</v>
      </c>
      <c r="J812" s="42">
        <v>2742.68</v>
      </c>
      <c r="K812" s="43">
        <v>33006.58</v>
      </c>
      <c r="L812" s="51">
        <v>35749.26</v>
      </c>
      <c r="M812" s="7"/>
      <c r="N812" s="30">
        <v>33006.58</v>
      </c>
      <c r="O812" s="30">
        <v>26546.95</v>
      </c>
      <c r="P812" s="30">
        <v>3090</v>
      </c>
      <c r="Q812" s="30">
        <f>(N812+O812*0.18+J812)+(IF((P812-O812*0.18)&gt;0,(P812-O812*0.18),0))</f>
        <v>40527.711000000003</v>
      </c>
      <c r="R812" s="7"/>
      <c r="S812" s="7"/>
      <c r="T812" s="7"/>
      <c r="U812" s="7"/>
      <c r="V812" s="7"/>
      <c r="W812" s="7"/>
      <c r="X812" s="7"/>
      <c r="Y812" s="7"/>
      <c r="Z812" s="7"/>
    </row>
    <row r="813" spans="1:26" ht="9" customHeight="1" x14ac:dyDescent="0.2">
      <c r="A813" s="535"/>
      <c r="B813" s="535"/>
      <c r="C813" s="47" t="s">
        <v>37</v>
      </c>
      <c r="D813" s="48"/>
      <c r="E813" s="36">
        <v>51219318</v>
      </c>
      <c r="F813" s="36"/>
      <c r="G813" s="36"/>
      <c r="H813" s="36">
        <v>12507588</v>
      </c>
      <c r="I813" s="36">
        <v>182745</v>
      </c>
      <c r="J813" s="49">
        <v>5310569</v>
      </c>
      <c r="K813" s="46">
        <v>63909651</v>
      </c>
      <c r="L813" s="52">
        <v>69220220</v>
      </c>
      <c r="M813" s="7"/>
      <c r="N813" s="46">
        <v>63909651</v>
      </c>
      <c r="O813" s="46">
        <v>51402063</v>
      </c>
      <c r="P813" s="36">
        <v>5983074</v>
      </c>
      <c r="Q813" s="46">
        <f>Q812*1936.27</f>
        <v>78472590.977970004</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6"/>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6"/>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6"/>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6"/>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6"/>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6"/>
      <c r="M819" s="39"/>
      <c r="N819" s="96"/>
      <c r="O819" s="96"/>
      <c r="P819" s="96"/>
      <c r="Q819" s="96"/>
      <c r="R819" s="7"/>
      <c r="S819" s="7"/>
      <c r="T819" s="7"/>
      <c r="U819" s="7"/>
      <c r="V819" s="7"/>
      <c r="W819" s="7"/>
      <c r="X819" s="7"/>
      <c r="Y819" s="7"/>
      <c r="Z819" s="7"/>
    </row>
    <row r="820" spans="1:26" ht="12.75" customHeight="1" x14ac:dyDescent="0.2">
      <c r="A820" s="538">
        <v>40360</v>
      </c>
      <c r="B820" s="538">
        <v>40421</v>
      </c>
      <c r="C820" s="28" t="s">
        <v>36</v>
      </c>
      <c r="D820" s="29">
        <v>0</v>
      </c>
      <c r="E820" s="30">
        <v>14513.64</v>
      </c>
      <c r="F820" s="30"/>
      <c r="G820" s="30"/>
      <c r="H820" s="30">
        <v>6459.63</v>
      </c>
      <c r="I820" s="30">
        <v>157.30000000000001</v>
      </c>
      <c r="J820" s="30">
        <v>1747.77</v>
      </c>
      <c r="K820" s="31">
        <v>21130.57</v>
      </c>
      <c r="L820" s="32">
        <v>22878.34</v>
      </c>
      <c r="M820" s="7"/>
      <c r="N820" s="30">
        <v>21130.57</v>
      </c>
      <c r="O820" s="30">
        <v>14670.94</v>
      </c>
      <c r="P820" s="30">
        <v>1968</v>
      </c>
      <c r="Q820" s="30">
        <f>(N820+O820*0.18+J820)+(IF((P820-O820*0.18)&gt;0,(P820-O820*0.18),0))</f>
        <v>25519.109199999999</v>
      </c>
      <c r="R820" s="7"/>
      <c r="S820" s="7"/>
      <c r="T820" s="7"/>
      <c r="U820" s="7"/>
      <c r="V820" s="7"/>
      <c r="W820" s="7"/>
      <c r="X820" s="7"/>
      <c r="Y820" s="7"/>
      <c r="Z820" s="7"/>
    </row>
    <row r="821" spans="1:26" ht="9" customHeight="1" x14ac:dyDescent="0.2">
      <c r="A821" s="534"/>
      <c r="B821" s="534"/>
      <c r="C821" s="34" t="s">
        <v>37</v>
      </c>
      <c r="D821" s="35">
        <v>2</v>
      </c>
      <c r="E821" s="36">
        <v>28102326</v>
      </c>
      <c r="F821" s="36"/>
      <c r="G821" s="36"/>
      <c r="H821" s="36">
        <v>12507588</v>
      </c>
      <c r="I821" s="36">
        <v>304575</v>
      </c>
      <c r="J821" s="37">
        <v>3384155</v>
      </c>
      <c r="K821" s="36">
        <v>40914489</v>
      </c>
      <c r="L821" s="50">
        <v>44298643</v>
      </c>
      <c r="M821" s="7"/>
      <c r="N821" s="46">
        <v>40914489</v>
      </c>
      <c r="O821" s="46">
        <v>28406901</v>
      </c>
      <c r="P821" s="36">
        <v>3810579</v>
      </c>
      <c r="Q821" s="46">
        <f>Q820*1936.27</f>
        <v>49411885.570684001</v>
      </c>
      <c r="R821" s="7"/>
      <c r="S821" s="7"/>
      <c r="T821" s="7"/>
      <c r="U821" s="7"/>
      <c r="V821" s="7"/>
      <c r="W821" s="7"/>
      <c r="X821" s="7"/>
      <c r="Y821" s="7"/>
      <c r="Z821" s="7"/>
    </row>
    <row r="822" spans="1:26" ht="12.75" customHeight="1" x14ac:dyDescent="0.2">
      <c r="A822" s="539">
        <v>40360</v>
      </c>
      <c r="B822" s="539">
        <v>40421</v>
      </c>
      <c r="C822" s="40" t="s">
        <v>36</v>
      </c>
      <c r="D822" s="41">
        <v>3</v>
      </c>
      <c r="E822" s="30">
        <v>15701.74</v>
      </c>
      <c r="F822" s="30"/>
      <c r="G822" s="30"/>
      <c r="H822" s="30">
        <v>6459.63</v>
      </c>
      <c r="I822" s="30">
        <v>157.30000000000001</v>
      </c>
      <c r="J822" s="42">
        <v>1846.78</v>
      </c>
      <c r="K822" s="43">
        <v>22318.67</v>
      </c>
      <c r="L822" s="51">
        <v>24165.45</v>
      </c>
      <c r="M822" s="7"/>
      <c r="N822" s="30">
        <v>22318.67</v>
      </c>
      <c r="O822" s="30">
        <v>15859.04</v>
      </c>
      <c r="P822" s="30">
        <v>1968</v>
      </c>
      <c r="Q822" s="30">
        <f>(N822+O822*0.18+J822)+(IF((P822-O822*0.18)&gt;0,(P822-O822*0.18),0))</f>
        <v>27020.077199999996</v>
      </c>
      <c r="R822" s="7"/>
      <c r="S822" s="7"/>
      <c r="T822" s="7"/>
      <c r="U822" s="7"/>
      <c r="V822" s="7"/>
      <c r="W822" s="7"/>
      <c r="X822" s="7"/>
      <c r="Y822" s="7"/>
      <c r="Z822" s="7"/>
    </row>
    <row r="823" spans="1:26" ht="9" customHeight="1" x14ac:dyDescent="0.2">
      <c r="A823" s="534"/>
      <c r="B823" s="534"/>
      <c r="C823" s="34" t="s">
        <v>37</v>
      </c>
      <c r="D823" s="35">
        <v>8</v>
      </c>
      <c r="E823" s="36">
        <v>30402808</v>
      </c>
      <c r="F823" s="36"/>
      <c r="G823" s="36"/>
      <c r="H823" s="36">
        <v>12507588</v>
      </c>
      <c r="I823" s="36">
        <v>304575</v>
      </c>
      <c r="J823" s="37">
        <v>3575865</v>
      </c>
      <c r="K823" s="36">
        <v>43214971</v>
      </c>
      <c r="L823" s="50">
        <v>46790836</v>
      </c>
      <c r="M823" s="7"/>
      <c r="N823" s="46">
        <v>43214971</v>
      </c>
      <c r="O823" s="46">
        <v>30707383</v>
      </c>
      <c r="P823" s="36">
        <v>3810579</v>
      </c>
      <c r="Q823" s="46">
        <f>Q822*1936.27</f>
        <v>52318164.880043991</v>
      </c>
      <c r="R823" s="7"/>
      <c r="S823" s="7"/>
      <c r="T823" s="7"/>
      <c r="U823" s="7"/>
      <c r="V823" s="7"/>
      <c r="W823" s="7"/>
      <c r="X823" s="7"/>
      <c r="Y823" s="7"/>
      <c r="Z823" s="7"/>
    </row>
    <row r="824" spans="1:26" ht="12.75" customHeight="1" x14ac:dyDescent="0.2">
      <c r="A824" s="534"/>
      <c r="B824" s="534"/>
      <c r="C824" s="40" t="s">
        <v>36</v>
      </c>
      <c r="D824" s="41">
        <v>9</v>
      </c>
      <c r="E824" s="30">
        <v>17602.849999999999</v>
      </c>
      <c r="F824" s="30"/>
      <c r="G824" s="30"/>
      <c r="H824" s="30">
        <v>6459.63</v>
      </c>
      <c r="I824" s="30">
        <v>157.30000000000001</v>
      </c>
      <c r="J824" s="42">
        <v>2005.21</v>
      </c>
      <c r="K824" s="43">
        <v>24219.78</v>
      </c>
      <c r="L824" s="51">
        <v>26224.99</v>
      </c>
      <c r="M824" s="7"/>
      <c r="N824" s="30">
        <v>24219.78</v>
      </c>
      <c r="O824" s="30">
        <v>17760.150000000001</v>
      </c>
      <c r="P824" s="30">
        <v>1968</v>
      </c>
      <c r="Q824" s="30">
        <f>(N824+O824*0.18+J824)+(IF((P824-O824*0.18)&gt;0,(P824-O824*0.18),0))</f>
        <v>29421.816999999999</v>
      </c>
      <c r="R824" s="7"/>
      <c r="S824" s="7"/>
      <c r="T824" s="7"/>
      <c r="U824" s="7"/>
      <c r="V824" s="7"/>
      <c r="W824" s="7"/>
      <c r="X824" s="7"/>
      <c r="Y824" s="7"/>
      <c r="Z824" s="7"/>
    </row>
    <row r="825" spans="1:26" ht="9" customHeight="1" x14ac:dyDescent="0.2">
      <c r="A825" s="534"/>
      <c r="B825" s="534"/>
      <c r="C825" s="34" t="s">
        <v>37</v>
      </c>
      <c r="D825" s="35">
        <v>14</v>
      </c>
      <c r="E825" s="36">
        <v>34083870</v>
      </c>
      <c r="F825" s="36"/>
      <c r="G825" s="36"/>
      <c r="H825" s="36">
        <v>12507588</v>
      </c>
      <c r="I825" s="36">
        <v>304575</v>
      </c>
      <c r="J825" s="37">
        <v>3882628</v>
      </c>
      <c r="K825" s="36">
        <v>46896033</v>
      </c>
      <c r="L825" s="50">
        <v>50778661</v>
      </c>
      <c r="M825" s="7"/>
      <c r="N825" s="46">
        <v>46896033</v>
      </c>
      <c r="O825" s="46">
        <v>34388446</v>
      </c>
      <c r="P825" s="36">
        <v>3810579</v>
      </c>
      <c r="Q825" s="46">
        <f>Q824*1936.27</f>
        <v>56968581.602589995</v>
      </c>
      <c r="R825" s="7"/>
      <c r="S825" s="7"/>
      <c r="T825" s="7"/>
      <c r="U825" s="7"/>
      <c r="V825" s="7"/>
      <c r="W825" s="7"/>
      <c r="X825" s="7"/>
      <c r="Y825" s="7"/>
      <c r="Z825" s="7"/>
    </row>
    <row r="826" spans="1:26" ht="12.75" customHeight="1" x14ac:dyDescent="0.2">
      <c r="A826" s="534"/>
      <c r="B826" s="534"/>
      <c r="C826" s="40" t="s">
        <v>36</v>
      </c>
      <c r="D826" s="41">
        <v>15</v>
      </c>
      <c r="E826" s="30">
        <v>19948.060000000001</v>
      </c>
      <c r="F826" s="30"/>
      <c r="G826" s="30"/>
      <c r="H826" s="30">
        <v>6459.63</v>
      </c>
      <c r="I826" s="30">
        <v>157.30000000000001</v>
      </c>
      <c r="J826" s="42">
        <v>2200.64</v>
      </c>
      <c r="K826" s="43">
        <v>26564.99</v>
      </c>
      <c r="L826" s="51">
        <v>28765.63</v>
      </c>
      <c r="M826" s="7"/>
      <c r="N826" s="30">
        <v>26564.99</v>
      </c>
      <c r="O826" s="30">
        <v>20105.36</v>
      </c>
      <c r="P826" s="30">
        <v>2424</v>
      </c>
      <c r="Q826" s="30">
        <f>(N826+O826*0.18+J826)+(IF((P826-O826*0.18)&gt;0,(P826-O826*0.18),0))</f>
        <v>32384.594800000003</v>
      </c>
      <c r="R826" s="7"/>
      <c r="S826" s="7"/>
      <c r="T826" s="7"/>
      <c r="U826" s="7"/>
      <c r="V826" s="7"/>
      <c r="W826" s="7"/>
      <c r="X826" s="7"/>
      <c r="Y826" s="7"/>
      <c r="Z826" s="7"/>
    </row>
    <row r="827" spans="1:26" ht="9" customHeight="1" x14ac:dyDescent="0.2">
      <c r="A827" s="534"/>
      <c r="B827" s="534"/>
      <c r="C827" s="34" t="s">
        <v>37</v>
      </c>
      <c r="D827" s="35">
        <v>20</v>
      </c>
      <c r="E827" s="36">
        <v>38624830</v>
      </c>
      <c r="F827" s="36"/>
      <c r="G827" s="36"/>
      <c r="H827" s="36">
        <v>12507588</v>
      </c>
      <c r="I827" s="36">
        <v>304575</v>
      </c>
      <c r="J827" s="37">
        <v>4261033</v>
      </c>
      <c r="K827" s="36">
        <v>51436993</v>
      </c>
      <c r="L827" s="50">
        <v>55698026</v>
      </c>
      <c r="M827" s="7"/>
      <c r="N827" s="46">
        <v>51436993</v>
      </c>
      <c r="O827" s="46">
        <v>38929405</v>
      </c>
      <c r="P827" s="36">
        <v>4693518</v>
      </c>
      <c r="Q827" s="46">
        <f>Q826*1936.27</f>
        <v>62705319.373396002</v>
      </c>
      <c r="R827" s="7"/>
      <c r="S827" s="7"/>
      <c r="T827" s="7"/>
      <c r="U827" s="7"/>
      <c r="V827" s="7"/>
      <c r="W827" s="7"/>
      <c r="X827" s="7"/>
      <c r="Y827" s="7"/>
      <c r="Z827" s="7"/>
    </row>
    <row r="828" spans="1:26" ht="12.75" customHeight="1" x14ac:dyDescent="0.2">
      <c r="A828" s="534"/>
      <c r="B828" s="534"/>
      <c r="C828" s="40" t="s">
        <v>36</v>
      </c>
      <c r="D828" s="41">
        <v>21</v>
      </c>
      <c r="E828" s="30">
        <v>22935.33</v>
      </c>
      <c r="F828" s="30"/>
      <c r="G828" s="30"/>
      <c r="H828" s="30">
        <v>6459.63</v>
      </c>
      <c r="I828" s="30">
        <v>157.30000000000001</v>
      </c>
      <c r="J828" s="42">
        <v>2449.58</v>
      </c>
      <c r="K828" s="43">
        <v>29552.26</v>
      </c>
      <c r="L828" s="51">
        <v>32001.84</v>
      </c>
      <c r="M828" s="7"/>
      <c r="N828" s="30">
        <v>29552.26</v>
      </c>
      <c r="O828" s="30">
        <v>23092.63</v>
      </c>
      <c r="P828" s="30">
        <v>2424</v>
      </c>
      <c r="Q828" s="30">
        <f>(N828+O828*0.18+J828)+(IF((P828-O828*0.18)&gt;0,(P828-O828*0.18),0))</f>
        <v>36158.513399999996</v>
      </c>
      <c r="R828" s="7"/>
      <c r="S828" s="7"/>
      <c r="T828" s="7"/>
      <c r="U828" s="7"/>
      <c r="V828" s="7"/>
      <c r="W828" s="7"/>
      <c r="X828" s="7"/>
      <c r="Y828" s="7"/>
      <c r="Z828" s="7"/>
    </row>
    <row r="829" spans="1:26" ht="9" customHeight="1" x14ac:dyDescent="0.2">
      <c r="A829" s="534"/>
      <c r="B829" s="534"/>
      <c r="C829" s="34" t="s">
        <v>37</v>
      </c>
      <c r="D829" s="35">
        <v>27</v>
      </c>
      <c r="E829" s="36">
        <v>44408991</v>
      </c>
      <c r="F829" s="36"/>
      <c r="G829" s="36"/>
      <c r="H829" s="36">
        <v>12507588</v>
      </c>
      <c r="I829" s="36">
        <v>304575</v>
      </c>
      <c r="J829" s="37">
        <v>4743048</v>
      </c>
      <c r="K829" s="36">
        <v>57221154</v>
      </c>
      <c r="L829" s="50">
        <v>61964203</v>
      </c>
      <c r="M829" s="7"/>
      <c r="N829" s="46">
        <v>57221154</v>
      </c>
      <c r="O829" s="46">
        <v>44713567</v>
      </c>
      <c r="P829" s="36">
        <v>4693518</v>
      </c>
      <c r="Q829" s="46">
        <f>Q828*1936.27</f>
        <v>70012644.741017997</v>
      </c>
      <c r="R829" s="7"/>
      <c r="S829" s="7"/>
      <c r="T829" s="7"/>
      <c r="U829" s="7"/>
      <c r="V829" s="7"/>
      <c r="W829" s="7"/>
      <c r="X829" s="7"/>
      <c r="Y829" s="7"/>
      <c r="Z829" s="7"/>
    </row>
    <row r="830" spans="1:26" ht="12.75" customHeight="1" x14ac:dyDescent="0.2">
      <c r="A830" s="534"/>
      <c r="B830" s="534"/>
      <c r="C830" s="40" t="s">
        <v>36</v>
      </c>
      <c r="D830" s="41">
        <v>28</v>
      </c>
      <c r="E830" s="30">
        <v>24892.49</v>
      </c>
      <c r="F830" s="30"/>
      <c r="G830" s="30"/>
      <c r="H830" s="30">
        <v>6459.63</v>
      </c>
      <c r="I830" s="30">
        <v>157.30000000000001</v>
      </c>
      <c r="J830" s="42">
        <v>2612.6799999999998</v>
      </c>
      <c r="K830" s="43">
        <v>31509.42</v>
      </c>
      <c r="L830" s="51">
        <v>34122.1</v>
      </c>
      <c r="M830" s="7"/>
      <c r="N830" s="30">
        <v>31509.42</v>
      </c>
      <c r="O830" s="30">
        <v>25049.79</v>
      </c>
      <c r="P830" s="30">
        <v>3090</v>
      </c>
      <c r="Q830" s="30">
        <f>(N830+O830*0.18+J830)+(IF((P830-O830*0.18)&gt;0,(P830-O830*0.18),0))</f>
        <v>38631.0622</v>
      </c>
      <c r="R830" s="7"/>
      <c r="S830" s="7"/>
      <c r="T830" s="7"/>
      <c r="U830" s="7"/>
      <c r="V830" s="7"/>
      <c r="W830" s="7"/>
      <c r="X830" s="7"/>
      <c r="Y830" s="7"/>
      <c r="Z830" s="7"/>
    </row>
    <row r="831" spans="1:26" ht="9" customHeight="1" x14ac:dyDescent="0.2">
      <c r="A831" s="534"/>
      <c r="B831" s="534"/>
      <c r="C831" s="34" t="s">
        <v>37</v>
      </c>
      <c r="D831" s="35">
        <v>34</v>
      </c>
      <c r="E831" s="36">
        <v>48198582</v>
      </c>
      <c r="F831" s="36"/>
      <c r="G831" s="36"/>
      <c r="H831" s="36">
        <v>12507588</v>
      </c>
      <c r="I831" s="36">
        <v>304575</v>
      </c>
      <c r="J831" s="37">
        <v>5058854</v>
      </c>
      <c r="K831" s="36">
        <v>61010745</v>
      </c>
      <c r="L831" s="50">
        <v>66069599</v>
      </c>
      <c r="M831" s="7"/>
      <c r="N831" s="46">
        <v>61010745</v>
      </c>
      <c r="O831" s="46">
        <v>48503157</v>
      </c>
      <c r="P831" s="36">
        <v>5983074</v>
      </c>
      <c r="Q831" s="46">
        <f>Q830*1936.27</f>
        <v>74800166.805994004</v>
      </c>
      <c r="R831" s="7"/>
      <c r="S831" s="7"/>
      <c r="T831" s="7"/>
      <c r="U831" s="7"/>
      <c r="V831" s="7"/>
      <c r="W831" s="7"/>
      <c r="X831" s="7"/>
      <c r="Y831" s="7"/>
      <c r="Z831" s="7"/>
    </row>
    <row r="832" spans="1:26" ht="12.75" customHeight="1" x14ac:dyDescent="0.2">
      <c r="A832" s="534"/>
      <c r="B832" s="534"/>
      <c r="C832" s="40" t="s">
        <v>36</v>
      </c>
      <c r="D832" s="41">
        <v>35</v>
      </c>
      <c r="E832" s="30">
        <v>26452.57</v>
      </c>
      <c r="F832" s="30"/>
      <c r="G832" s="30"/>
      <c r="H832" s="30">
        <v>6459.63</v>
      </c>
      <c r="I832" s="30">
        <v>157.30000000000001</v>
      </c>
      <c r="J832" s="42">
        <v>2742.68</v>
      </c>
      <c r="K832" s="43">
        <v>33069.5</v>
      </c>
      <c r="L832" s="51">
        <v>35812.18</v>
      </c>
      <c r="M832" s="7"/>
      <c r="N832" s="30">
        <v>33069.5</v>
      </c>
      <c r="O832" s="30">
        <v>26609.87</v>
      </c>
      <c r="P832" s="30">
        <v>3090</v>
      </c>
      <c r="Q832" s="30">
        <f>(N832+O832*0.18+J832)+(IF((P832-O832*0.18)&gt;0,(P832-O832*0.18),0))</f>
        <v>40601.956599999998</v>
      </c>
      <c r="R832" s="7"/>
      <c r="S832" s="7"/>
      <c r="T832" s="7"/>
      <c r="U832" s="7"/>
      <c r="V832" s="7"/>
      <c r="W832" s="7"/>
      <c r="X832" s="7"/>
      <c r="Y832" s="7"/>
      <c r="Z832" s="7"/>
    </row>
    <row r="833" spans="1:26" ht="9" customHeight="1" x14ac:dyDescent="0.2">
      <c r="A833" s="535"/>
      <c r="B833" s="535"/>
      <c r="C833" s="47" t="s">
        <v>37</v>
      </c>
      <c r="D833" s="48"/>
      <c r="E833" s="46">
        <v>51219318</v>
      </c>
      <c r="F833" s="46"/>
      <c r="G833" s="46"/>
      <c r="H833" s="46">
        <v>12507588</v>
      </c>
      <c r="I833" s="46">
        <v>304575</v>
      </c>
      <c r="J833" s="49">
        <v>5310569</v>
      </c>
      <c r="K833" s="46">
        <v>64031481</v>
      </c>
      <c r="L833" s="52">
        <v>69342050</v>
      </c>
      <c r="M833" s="7"/>
      <c r="N833" s="46">
        <v>64031481</v>
      </c>
      <c r="O833" s="46">
        <v>51523893</v>
      </c>
      <c r="P833" s="46">
        <v>5983074</v>
      </c>
      <c r="Q833" s="46">
        <f>Q832*1936.27</f>
        <v>78616350.505881995</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6"/>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6"/>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6"/>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6"/>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6"/>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6"/>
      <c r="M839" s="39"/>
      <c r="N839" s="96"/>
      <c r="O839" s="96"/>
      <c r="P839" s="96"/>
      <c r="Q839" s="96"/>
      <c r="R839" s="7"/>
      <c r="S839" s="7"/>
      <c r="T839" s="7"/>
      <c r="U839" s="7"/>
      <c r="V839" s="7"/>
      <c r="W839" s="7"/>
      <c r="X839" s="7"/>
      <c r="Y839" s="7"/>
      <c r="Z839" s="7"/>
    </row>
    <row r="840" spans="1:26" ht="12.75" customHeight="1" x14ac:dyDescent="0.2">
      <c r="A840" s="538">
        <v>40422</v>
      </c>
      <c r="B840" s="538">
        <v>40543</v>
      </c>
      <c r="C840" s="28" t="s">
        <v>36</v>
      </c>
      <c r="D840" s="29">
        <v>0</v>
      </c>
      <c r="E840" s="30">
        <v>14513.64</v>
      </c>
      <c r="F840" s="30"/>
      <c r="G840" s="30"/>
      <c r="H840" s="30">
        <v>6459.63</v>
      </c>
      <c r="I840" s="30">
        <v>157.30000000000001</v>
      </c>
      <c r="J840" s="30">
        <v>1747.77</v>
      </c>
      <c r="K840" s="31">
        <v>21130.57</v>
      </c>
      <c r="L840" s="32">
        <v>22878.34</v>
      </c>
      <c r="M840" s="7"/>
      <c r="N840" s="30">
        <v>21130.57</v>
      </c>
      <c r="O840" s="30">
        <v>14670.94</v>
      </c>
      <c r="P840" s="30">
        <v>1968</v>
      </c>
      <c r="Q840" s="30">
        <f>(N840+O840*0.18+J840)+(IF((P840-O840*0.18)&gt;0,(P840-O840*0.18),0))</f>
        <v>25519.109199999999</v>
      </c>
      <c r="R840" s="7"/>
      <c r="S840" s="7"/>
      <c r="T840" s="7"/>
      <c r="U840" s="7"/>
      <c r="V840" s="7"/>
      <c r="W840" s="7"/>
      <c r="X840" s="7"/>
      <c r="Y840" s="7"/>
      <c r="Z840" s="7"/>
    </row>
    <row r="841" spans="1:26" ht="9" customHeight="1" x14ac:dyDescent="0.2">
      <c r="A841" s="557"/>
      <c r="B841" s="557"/>
      <c r="C841" s="34" t="s">
        <v>37</v>
      </c>
      <c r="D841" s="35">
        <v>2</v>
      </c>
      <c r="E841" s="36">
        <v>28102326</v>
      </c>
      <c r="F841" s="36"/>
      <c r="G841" s="36"/>
      <c r="H841" s="36">
        <v>12507588</v>
      </c>
      <c r="I841" s="36">
        <v>304575</v>
      </c>
      <c r="J841" s="37">
        <v>3384155</v>
      </c>
      <c r="K841" s="36">
        <v>40914489</v>
      </c>
      <c r="L841" s="50">
        <v>44298643</v>
      </c>
      <c r="M841" s="7"/>
      <c r="N841" s="46">
        <v>40914489</v>
      </c>
      <c r="O841" s="46">
        <v>28406901</v>
      </c>
      <c r="P841" s="36">
        <v>3810579</v>
      </c>
      <c r="Q841" s="46">
        <f>Q840*1936.27</f>
        <v>49411885.570684001</v>
      </c>
      <c r="R841" s="7"/>
      <c r="S841" s="7"/>
      <c r="T841" s="7"/>
      <c r="U841" s="7"/>
      <c r="V841" s="7"/>
      <c r="W841" s="7"/>
      <c r="X841" s="7"/>
      <c r="Y841" s="7"/>
      <c r="Z841" s="7"/>
    </row>
    <row r="842" spans="1:26" ht="12.75" customHeight="1" x14ac:dyDescent="0.2">
      <c r="A842" s="539">
        <v>40422</v>
      </c>
      <c r="B842" s="539">
        <v>40543</v>
      </c>
      <c r="C842" s="40" t="s">
        <v>36</v>
      </c>
      <c r="D842" s="41">
        <v>3</v>
      </c>
      <c r="E842" s="30">
        <v>14513.64</v>
      </c>
      <c r="F842" s="30"/>
      <c r="G842" s="30"/>
      <c r="H842" s="30">
        <v>6459.63</v>
      </c>
      <c r="I842" s="30">
        <v>157.30000000000001</v>
      </c>
      <c r="J842" s="42">
        <v>1846.78</v>
      </c>
      <c r="K842" s="43">
        <v>22318.67</v>
      </c>
      <c r="L842" s="51">
        <v>24165.45</v>
      </c>
      <c r="M842" s="7"/>
      <c r="N842" s="30">
        <v>22318.67</v>
      </c>
      <c r="O842" s="30">
        <v>15859.04</v>
      </c>
      <c r="P842" s="30">
        <v>1968</v>
      </c>
      <c r="Q842" s="30">
        <f>(N842+O842*0.18+J842)+(IF((P842-O842*0.18)&gt;0,(P842-O842*0.18),0))</f>
        <v>27020.077199999996</v>
      </c>
      <c r="R842" s="7"/>
      <c r="S842" s="7"/>
      <c r="T842" s="7"/>
      <c r="U842" s="7"/>
      <c r="V842" s="7"/>
      <c r="W842" s="7"/>
      <c r="X842" s="7"/>
      <c r="Y842" s="7"/>
      <c r="Z842" s="7"/>
    </row>
    <row r="843" spans="1:26" ht="9" customHeight="1" x14ac:dyDescent="0.2">
      <c r="A843" s="534"/>
      <c r="B843" s="534"/>
      <c r="C843" s="34" t="s">
        <v>37</v>
      </c>
      <c r="D843" s="35">
        <v>8</v>
      </c>
      <c r="E843" s="36">
        <v>28102326</v>
      </c>
      <c r="F843" s="36"/>
      <c r="G843" s="36"/>
      <c r="H843" s="36">
        <v>12507588</v>
      </c>
      <c r="I843" s="36">
        <v>304575</v>
      </c>
      <c r="J843" s="37">
        <v>3575865</v>
      </c>
      <c r="K843" s="36">
        <v>43214971</v>
      </c>
      <c r="L843" s="50">
        <v>46790836</v>
      </c>
      <c r="M843" s="7"/>
      <c r="N843" s="46">
        <v>43214971</v>
      </c>
      <c r="O843" s="46">
        <v>30707383</v>
      </c>
      <c r="P843" s="36">
        <v>3810579</v>
      </c>
      <c r="Q843" s="46">
        <f>Q842*1936.27</f>
        <v>52318164.880043991</v>
      </c>
      <c r="R843" s="7"/>
      <c r="S843" s="7"/>
      <c r="T843" s="7"/>
      <c r="U843" s="7"/>
      <c r="V843" s="7"/>
      <c r="W843" s="7"/>
      <c r="X843" s="7"/>
      <c r="Y843" s="7"/>
      <c r="Z843" s="7"/>
    </row>
    <row r="844" spans="1:26" ht="12.75" customHeight="1" x14ac:dyDescent="0.2">
      <c r="A844" s="534"/>
      <c r="B844" s="534"/>
      <c r="C844" s="40" t="s">
        <v>36</v>
      </c>
      <c r="D844" s="41">
        <v>9</v>
      </c>
      <c r="E844" s="30">
        <v>17602.849999999999</v>
      </c>
      <c r="F844" s="30"/>
      <c r="G844" s="30"/>
      <c r="H844" s="30">
        <v>6459.63</v>
      </c>
      <c r="I844" s="30">
        <v>157.30000000000001</v>
      </c>
      <c r="J844" s="42">
        <v>2005.21</v>
      </c>
      <c r="K844" s="43">
        <v>24219.78</v>
      </c>
      <c r="L844" s="51">
        <v>26224.99</v>
      </c>
      <c r="M844" s="7"/>
      <c r="N844" s="30">
        <v>24219.78</v>
      </c>
      <c r="O844" s="30">
        <v>17760.150000000001</v>
      </c>
      <c r="P844" s="30">
        <v>1968</v>
      </c>
      <c r="Q844" s="30">
        <f>(N844+O844*0.18+J844)+(IF((P844-O844*0.18)&gt;0,(P844-O844*0.18),0))</f>
        <v>29421.816999999999</v>
      </c>
      <c r="R844" s="7"/>
      <c r="S844" s="7"/>
      <c r="T844" s="7"/>
      <c r="U844" s="7"/>
      <c r="V844" s="7"/>
      <c r="W844" s="7"/>
      <c r="X844" s="7"/>
      <c r="Y844" s="7"/>
      <c r="Z844" s="7"/>
    </row>
    <row r="845" spans="1:26" ht="9" customHeight="1" x14ac:dyDescent="0.2">
      <c r="A845" s="534"/>
      <c r="B845" s="534"/>
      <c r="C845" s="34" t="s">
        <v>37</v>
      </c>
      <c r="D845" s="35">
        <v>14</v>
      </c>
      <c r="E845" s="36">
        <v>34083870</v>
      </c>
      <c r="F845" s="36"/>
      <c r="G845" s="36"/>
      <c r="H845" s="36">
        <v>12507588</v>
      </c>
      <c r="I845" s="36">
        <v>304575</v>
      </c>
      <c r="J845" s="37">
        <v>3882628</v>
      </c>
      <c r="K845" s="36">
        <v>46896033</v>
      </c>
      <c r="L845" s="50">
        <v>50778661</v>
      </c>
      <c r="M845" s="7"/>
      <c r="N845" s="46">
        <v>46896033</v>
      </c>
      <c r="O845" s="46">
        <v>34388446</v>
      </c>
      <c r="P845" s="36">
        <v>3810579</v>
      </c>
      <c r="Q845" s="46">
        <f>Q844*1936.27</f>
        <v>56968581.602589995</v>
      </c>
      <c r="R845" s="7"/>
      <c r="S845" s="7"/>
      <c r="T845" s="7"/>
      <c r="U845" s="7"/>
      <c r="V845" s="7"/>
      <c r="W845" s="7"/>
      <c r="X845" s="7"/>
      <c r="Y845" s="7"/>
      <c r="Z845" s="7"/>
    </row>
    <row r="846" spans="1:26" ht="12.75" customHeight="1" x14ac:dyDescent="0.2">
      <c r="A846" s="534"/>
      <c r="B846" s="534"/>
      <c r="C846" s="40" t="s">
        <v>36</v>
      </c>
      <c r="D846" s="41">
        <v>15</v>
      </c>
      <c r="E846" s="30">
        <v>19948.060000000001</v>
      </c>
      <c r="F846" s="30"/>
      <c r="G846" s="30"/>
      <c r="H846" s="30">
        <v>6459.63</v>
      </c>
      <c r="I846" s="30">
        <v>157.30000000000001</v>
      </c>
      <c r="J846" s="42">
        <v>2200.64</v>
      </c>
      <c r="K846" s="43">
        <v>26564.99</v>
      </c>
      <c r="L846" s="51">
        <v>28765.63</v>
      </c>
      <c r="M846" s="7"/>
      <c r="N846" s="30">
        <v>26564.99</v>
      </c>
      <c r="O846" s="30">
        <v>20105.36</v>
      </c>
      <c r="P846" s="30">
        <v>2424</v>
      </c>
      <c r="Q846" s="30">
        <f>(N846+O846*0.18+J846)+(IF((P846-O846*0.18)&gt;0,(P846-O846*0.18),0))</f>
        <v>32384.594800000003</v>
      </c>
      <c r="R846" s="7"/>
      <c r="S846" s="7"/>
      <c r="T846" s="7"/>
      <c r="U846" s="7"/>
      <c r="V846" s="7"/>
      <c r="W846" s="7"/>
      <c r="X846" s="7"/>
      <c r="Y846" s="7"/>
      <c r="Z846" s="7"/>
    </row>
    <row r="847" spans="1:26" ht="9" customHeight="1" x14ac:dyDescent="0.2">
      <c r="A847" s="534"/>
      <c r="B847" s="534"/>
      <c r="C847" s="34" t="s">
        <v>37</v>
      </c>
      <c r="D847" s="35">
        <v>20</v>
      </c>
      <c r="E847" s="36">
        <v>38624830</v>
      </c>
      <c r="F847" s="36"/>
      <c r="G847" s="36"/>
      <c r="H847" s="36">
        <v>12507588</v>
      </c>
      <c r="I847" s="36">
        <v>304575</v>
      </c>
      <c r="J847" s="37">
        <v>4261033</v>
      </c>
      <c r="K847" s="36">
        <v>51436993</v>
      </c>
      <c r="L847" s="50">
        <v>55698026</v>
      </c>
      <c r="M847" s="7"/>
      <c r="N847" s="46">
        <v>51436993</v>
      </c>
      <c r="O847" s="46">
        <v>38929405</v>
      </c>
      <c r="P847" s="36">
        <v>4693518</v>
      </c>
      <c r="Q847" s="46">
        <f>Q846*1936.27</f>
        <v>62705319.373396002</v>
      </c>
      <c r="R847" s="7"/>
      <c r="S847" s="7"/>
      <c r="T847" s="7"/>
      <c r="U847" s="7"/>
      <c r="V847" s="7"/>
      <c r="W847" s="7"/>
      <c r="X847" s="7"/>
      <c r="Y847" s="7"/>
      <c r="Z847" s="7"/>
    </row>
    <row r="848" spans="1:26" ht="12.75" customHeight="1" x14ac:dyDescent="0.2">
      <c r="A848" s="534"/>
      <c r="B848" s="534"/>
      <c r="C848" s="40" t="s">
        <v>36</v>
      </c>
      <c r="D848" s="41">
        <v>21</v>
      </c>
      <c r="E848" s="30">
        <v>22935.33</v>
      </c>
      <c r="F848" s="30"/>
      <c r="G848" s="30"/>
      <c r="H848" s="30">
        <v>6459.63</v>
      </c>
      <c r="I848" s="30">
        <v>157.30000000000001</v>
      </c>
      <c r="J848" s="42">
        <v>2449.58</v>
      </c>
      <c r="K848" s="43">
        <v>29552.26</v>
      </c>
      <c r="L848" s="51">
        <v>32001.84</v>
      </c>
      <c r="M848" s="7"/>
      <c r="N848" s="30">
        <v>29552.26</v>
      </c>
      <c r="O848" s="30">
        <v>23092.63</v>
      </c>
      <c r="P848" s="30">
        <v>2424</v>
      </c>
      <c r="Q848" s="30">
        <f>(N848+O848*0.18+J848)+(IF((P848-O848*0.18)&gt;0,(P848-O848*0.18),0))</f>
        <v>36158.513399999996</v>
      </c>
      <c r="R848" s="7"/>
      <c r="S848" s="7"/>
      <c r="T848" s="7"/>
      <c r="U848" s="7"/>
      <c r="V848" s="7"/>
      <c r="W848" s="7"/>
      <c r="X848" s="7"/>
      <c r="Y848" s="7"/>
      <c r="Z848" s="7"/>
    </row>
    <row r="849" spans="1:26" ht="9" customHeight="1" x14ac:dyDescent="0.2">
      <c r="A849" s="534"/>
      <c r="B849" s="534"/>
      <c r="C849" s="34" t="s">
        <v>37</v>
      </c>
      <c r="D849" s="35">
        <v>27</v>
      </c>
      <c r="E849" s="36">
        <v>44408991</v>
      </c>
      <c r="F849" s="36"/>
      <c r="G849" s="36"/>
      <c r="H849" s="36">
        <v>12507588</v>
      </c>
      <c r="I849" s="36">
        <v>304575</v>
      </c>
      <c r="J849" s="37">
        <v>4743048</v>
      </c>
      <c r="K849" s="36">
        <v>57221154</v>
      </c>
      <c r="L849" s="50">
        <v>61964203</v>
      </c>
      <c r="M849" s="7"/>
      <c r="N849" s="46">
        <v>57221154</v>
      </c>
      <c r="O849" s="46">
        <v>44713567</v>
      </c>
      <c r="P849" s="36">
        <v>4693518</v>
      </c>
      <c r="Q849" s="46">
        <f>Q848*1936.27</f>
        <v>70012644.741017997</v>
      </c>
      <c r="R849" s="7"/>
      <c r="S849" s="7"/>
      <c r="T849" s="7"/>
      <c r="U849" s="7"/>
      <c r="V849" s="7"/>
      <c r="W849" s="7"/>
      <c r="X849" s="7"/>
      <c r="Y849" s="7"/>
      <c r="Z849" s="7"/>
    </row>
    <row r="850" spans="1:26" ht="12.75" customHeight="1" x14ac:dyDescent="0.2">
      <c r="A850" s="534"/>
      <c r="B850" s="534"/>
      <c r="C850" s="40" t="s">
        <v>36</v>
      </c>
      <c r="D850" s="41">
        <v>28</v>
      </c>
      <c r="E850" s="30">
        <v>24892.49</v>
      </c>
      <c r="F850" s="30"/>
      <c r="G850" s="30"/>
      <c r="H850" s="30">
        <v>6459.63</v>
      </c>
      <c r="I850" s="30">
        <v>157.30000000000001</v>
      </c>
      <c r="J850" s="42">
        <v>2612.6799999999998</v>
      </c>
      <c r="K850" s="43">
        <v>31509.42</v>
      </c>
      <c r="L850" s="51">
        <v>34122.1</v>
      </c>
      <c r="M850" s="7"/>
      <c r="N850" s="30">
        <v>31509.42</v>
      </c>
      <c r="O850" s="30">
        <v>25049.79</v>
      </c>
      <c r="P850" s="30">
        <v>3090</v>
      </c>
      <c r="Q850" s="30">
        <f>(N850+O850*0.18+J850)+(IF((P850-O850*0.18)&gt;0,(P850-O850*0.18),0))</f>
        <v>38631.0622</v>
      </c>
      <c r="R850" s="7"/>
      <c r="S850" s="7"/>
      <c r="T850" s="7"/>
      <c r="U850" s="7"/>
      <c r="V850" s="7"/>
      <c r="W850" s="7"/>
      <c r="X850" s="7"/>
      <c r="Y850" s="7"/>
      <c r="Z850" s="7"/>
    </row>
    <row r="851" spans="1:26" ht="9" customHeight="1" x14ac:dyDescent="0.2">
      <c r="A851" s="534"/>
      <c r="B851" s="534"/>
      <c r="C851" s="34" t="s">
        <v>37</v>
      </c>
      <c r="D851" s="35">
        <v>34</v>
      </c>
      <c r="E851" s="36">
        <v>48198582</v>
      </c>
      <c r="F851" s="36"/>
      <c r="G851" s="36"/>
      <c r="H851" s="36">
        <v>12507588</v>
      </c>
      <c r="I851" s="36">
        <v>304575</v>
      </c>
      <c r="J851" s="37">
        <v>5058854</v>
      </c>
      <c r="K851" s="36">
        <v>61010745</v>
      </c>
      <c r="L851" s="50">
        <v>66069599</v>
      </c>
      <c r="M851" s="7"/>
      <c r="N851" s="46">
        <v>61010745</v>
      </c>
      <c r="O851" s="46">
        <v>48503157</v>
      </c>
      <c r="P851" s="36">
        <v>5983074</v>
      </c>
      <c r="Q851" s="46">
        <f>Q850*1936.27</f>
        <v>74800166.805994004</v>
      </c>
      <c r="R851" s="7"/>
      <c r="S851" s="7"/>
      <c r="T851" s="7"/>
      <c r="U851" s="7"/>
      <c r="V851" s="7"/>
      <c r="W851" s="7"/>
      <c r="X851" s="7"/>
      <c r="Y851" s="7"/>
      <c r="Z851" s="7"/>
    </row>
    <row r="852" spans="1:26" ht="12.75" customHeight="1" x14ac:dyDescent="0.2">
      <c r="A852" s="534"/>
      <c r="B852" s="534"/>
      <c r="C852" s="40" t="s">
        <v>36</v>
      </c>
      <c r="D852" s="41">
        <v>35</v>
      </c>
      <c r="E852" s="30">
        <v>26452.57</v>
      </c>
      <c r="F852" s="30"/>
      <c r="G852" s="30"/>
      <c r="H852" s="30">
        <v>6459.63</v>
      </c>
      <c r="I852" s="30">
        <v>157.30000000000001</v>
      </c>
      <c r="J852" s="42">
        <v>2742.68</v>
      </c>
      <c r="K852" s="43">
        <v>33069.5</v>
      </c>
      <c r="L852" s="51">
        <v>35812.18</v>
      </c>
      <c r="M852" s="7"/>
      <c r="N852" s="30">
        <v>33069.5</v>
      </c>
      <c r="O852" s="30">
        <v>26609.87</v>
      </c>
      <c r="P852" s="30">
        <v>3090</v>
      </c>
      <c r="Q852" s="30">
        <f>(N852+O852*0.18+J852)+(IF((P852-O852*0.18)&gt;0,(P852-O852*0.18),0))</f>
        <v>40601.956599999998</v>
      </c>
      <c r="R852" s="7"/>
      <c r="S852" s="7"/>
      <c r="T852" s="7"/>
      <c r="U852" s="7"/>
      <c r="V852" s="7"/>
      <c r="W852" s="7"/>
      <c r="X852" s="7"/>
      <c r="Y852" s="7"/>
      <c r="Z852" s="7"/>
    </row>
    <row r="853" spans="1:26" ht="9" customHeight="1" x14ac:dyDescent="0.2">
      <c r="A853" s="535"/>
      <c r="B853" s="535"/>
      <c r="C853" s="47" t="s">
        <v>37</v>
      </c>
      <c r="D853" s="48"/>
      <c r="E853" s="46">
        <v>51219318</v>
      </c>
      <c r="F853" s="46"/>
      <c r="G853" s="46"/>
      <c r="H853" s="46">
        <v>12507588</v>
      </c>
      <c r="I853" s="46">
        <v>304575</v>
      </c>
      <c r="J853" s="49">
        <v>5310569</v>
      </c>
      <c r="K853" s="46">
        <v>64031481</v>
      </c>
      <c r="L853" s="52">
        <v>69342050</v>
      </c>
      <c r="M853" s="7"/>
      <c r="N853" s="46">
        <v>64031481</v>
      </c>
      <c r="O853" s="46">
        <v>51523893</v>
      </c>
      <c r="P853" s="46">
        <v>5983074</v>
      </c>
      <c r="Q853" s="46">
        <f>Q852*1936.27</f>
        <v>78616350.505881995</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6"/>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6"/>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6"/>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6"/>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6"/>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6"/>
      <c r="M859" s="39"/>
      <c r="N859" s="96"/>
      <c r="O859" s="96"/>
      <c r="P859" s="96"/>
      <c r="Q859" s="96"/>
      <c r="R859" s="7"/>
      <c r="S859" s="7"/>
      <c r="T859" s="7"/>
      <c r="U859" s="7"/>
      <c r="V859" s="7"/>
      <c r="W859" s="7"/>
      <c r="X859" s="7"/>
      <c r="Y859" s="7"/>
      <c r="Z859" s="7"/>
    </row>
    <row r="860" spans="1:26" ht="12.75" customHeight="1" x14ac:dyDescent="0.2">
      <c r="A860" s="538">
        <v>40544</v>
      </c>
      <c r="B860" s="538">
        <v>42369</v>
      </c>
      <c r="C860" s="28" t="s">
        <v>36</v>
      </c>
      <c r="D860" s="29">
        <v>0</v>
      </c>
      <c r="E860" s="30">
        <v>14513.64</v>
      </c>
      <c r="F860" s="30"/>
      <c r="G860" s="30"/>
      <c r="H860" s="30">
        <v>6459.63</v>
      </c>
      <c r="I860" s="30">
        <v>157.30000000000001</v>
      </c>
      <c r="J860" s="30">
        <v>1760.88</v>
      </c>
      <c r="K860" s="30">
        <v>21130.57</v>
      </c>
      <c r="L860" s="32">
        <v>22891.45</v>
      </c>
      <c r="M860" s="33"/>
      <c r="N860" s="30">
        <v>21130.57</v>
      </c>
      <c r="O860" s="30">
        <v>14670.94</v>
      </c>
      <c r="P860" s="30">
        <v>1968</v>
      </c>
      <c r="Q860" s="30">
        <v>25532.22</v>
      </c>
      <c r="R860" s="7"/>
      <c r="S860" s="7"/>
      <c r="T860" s="7"/>
      <c r="U860" s="7"/>
      <c r="V860" s="7"/>
      <c r="W860" s="7"/>
      <c r="X860" s="7"/>
      <c r="Y860" s="7"/>
      <c r="Z860" s="7"/>
    </row>
    <row r="861" spans="1:26" ht="9" customHeight="1" x14ac:dyDescent="0.2">
      <c r="A861" s="534"/>
      <c r="B861" s="534"/>
      <c r="C861" s="34" t="s">
        <v>37</v>
      </c>
      <c r="D861" s="35">
        <v>2</v>
      </c>
      <c r="E861" s="46">
        <v>28102326</v>
      </c>
      <c r="F861" s="36"/>
      <c r="G861" s="36"/>
      <c r="H861" s="46">
        <v>12507588</v>
      </c>
      <c r="I861" s="46">
        <v>304575</v>
      </c>
      <c r="J861" s="37">
        <v>3409539</v>
      </c>
      <c r="K861" s="46">
        <v>40914489</v>
      </c>
      <c r="L861" s="46">
        <v>44324028</v>
      </c>
      <c r="M861" s="39"/>
      <c r="N861" s="36">
        <v>40914489</v>
      </c>
      <c r="O861" s="36">
        <v>28406901</v>
      </c>
      <c r="P861" s="46">
        <v>3810579</v>
      </c>
      <c r="Q861" s="36">
        <v>49437272</v>
      </c>
      <c r="R861" s="7"/>
      <c r="S861" s="7"/>
      <c r="T861" s="7"/>
      <c r="U861" s="7"/>
      <c r="V861" s="7"/>
      <c r="W861" s="7"/>
      <c r="X861" s="7"/>
      <c r="Y861" s="7"/>
      <c r="Z861" s="7"/>
    </row>
    <row r="862" spans="1:26" ht="12.75" customHeight="1" x14ac:dyDescent="0.2">
      <c r="A862" s="539">
        <v>40544</v>
      </c>
      <c r="B862" s="539">
        <v>42369</v>
      </c>
      <c r="C862" s="40" t="s">
        <v>36</v>
      </c>
      <c r="D862" s="41">
        <v>3</v>
      </c>
      <c r="E862" s="30">
        <v>14513.64</v>
      </c>
      <c r="F862" s="30"/>
      <c r="G862" s="30"/>
      <c r="H862" s="30">
        <v>6459.63</v>
      </c>
      <c r="I862" s="30">
        <v>157.30000000000001</v>
      </c>
      <c r="J862" s="30">
        <v>1859.89</v>
      </c>
      <c r="K862" s="30">
        <v>22318.67</v>
      </c>
      <c r="L862" s="32">
        <v>24178.560000000001</v>
      </c>
      <c r="M862" s="33"/>
      <c r="N862" s="30">
        <v>22318.67</v>
      </c>
      <c r="O862" s="30">
        <v>15859.04</v>
      </c>
      <c r="P862" s="30">
        <v>1968</v>
      </c>
      <c r="Q862" s="30">
        <v>27033.19</v>
      </c>
      <c r="R862" s="7"/>
      <c r="S862" s="7"/>
      <c r="T862" s="7"/>
      <c r="U862" s="7"/>
      <c r="V862" s="7"/>
      <c r="W862" s="7"/>
      <c r="X862" s="7"/>
      <c r="Y862" s="7"/>
      <c r="Z862" s="7"/>
    </row>
    <row r="863" spans="1:26" ht="9" customHeight="1" x14ac:dyDescent="0.2">
      <c r="A863" s="534"/>
      <c r="B863" s="534"/>
      <c r="C863" s="34" t="s">
        <v>37</v>
      </c>
      <c r="D863" s="35">
        <v>8</v>
      </c>
      <c r="E863" s="46">
        <v>28102326</v>
      </c>
      <c r="F863" s="36"/>
      <c r="G863" s="36"/>
      <c r="H863" s="46">
        <v>12507588</v>
      </c>
      <c r="I863" s="46">
        <v>304575</v>
      </c>
      <c r="J863" s="37">
        <v>3601249</v>
      </c>
      <c r="K863" s="46">
        <v>43214971</v>
      </c>
      <c r="L863" s="46">
        <v>46816220</v>
      </c>
      <c r="M863" s="39"/>
      <c r="N863" s="36">
        <v>43214971</v>
      </c>
      <c r="O863" s="36">
        <v>30707383</v>
      </c>
      <c r="P863" s="46">
        <v>3810579</v>
      </c>
      <c r="Q863" s="36">
        <v>52343555</v>
      </c>
      <c r="R863" s="7"/>
      <c r="S863" s="7"/>
      <c r="T863" s="7"/>
      <c r="U863" s="7"/>
      <c r="V863" s="7"/>
      <c r="W863" s="7"/>
      <c r="X863" s="7"/>
      <c r="Y863" s="7"/>
      <c r="Z863" s="7"/>
    </row>
    <row r="864" spans="1:26" ht="12.75" customHeight="1" x14ac:dyDescent="0.2">
      <c r="A864" s="534"/>
      <c r="B864" s="534"/>
      <c r="C864" s="40" t="s">
        <v>36</v>
      </c>
      <c r="D864" s="41">
        <v>9</v>
      </c>
      <c r="E864" s="30">
        <v>17602.849999999999</v>
      </c>
      <c r="F864" s="30"/>
      <c r="G864" s="30"/>
      <c r="H864" s="30">
        <v>6459.63</v>
      </c>
      <c r="I864" s="30">
        <v>157.30000000000001</v>
      </c>
      <c r="J864" s="30">
        <v>2018.32</v>
      </c>
      <c r="K864" s="30">
        <v>24219.78</v>
      </c>
      <c r="L864" s="32">
        <v>26238.1</v>
      </c>
      <c r="M864" s="33"/>
      <c r="N864" s="30">
        <v>24219.78</v>
      </c>
      <c r="O864" s="30">
        <v>17760.150000000001</v>
      </c>
      <c r="P864" s="30">
        <v>1968</v>
      </c>
      <c r="Q864" s="30">
        <v>29434.93</v>
      </c>
      <c r="R864" s="7"/>
      <c r="S864" s="7"/>
      <c r="T864" s="7"/>
      <c r="U864" s="7"/>
      <c r="V864" s="7"/>
      <c r="W864" s="7"/>
      <c r="X864" s="7"/>
      <c r="Y864" s="7"/>
      <c r="Z864" s="7"/>
    </row>
    <row r="865" spans="1:26" ht="9" customHeight="1" x14ac:dyDescent="0.2">
      <c r="A865" s="534"/>
      <c r="B865" s="534"/>
      <c r="C865" s="34" t="s">
        <v>37</v>
      </c>
      <c r="D865" s="35">
        <v>14</v>
      </c>
      <c r="E865" s="46">
        <v>34083870</v>
      </c>
      <c r="F865" s="36"/>
      <c r="G865" s="36"/>
      <c r="H865" s="46">
        <v>12507588</v>
      </c>
      <c r="I865" s="46">
        <v>304575</v>
      </c>
      <c r="J865" s="37">
        <v>3908012</v>
      </c>
      <c r="K865" s="46">
        <v>46896033</v>
      </c>
      <c r="L865" s="46">
        <v>50804046</v>
      </c>
      <c r="M865" s="39"/>
      <c r="N865" s="36">
        <v>46896033</v>
      </c>
      <c r="O865" s="36">
        <v>34388446</v>
      </c>
      <c r="P865" s="46">
        <v>3810579</v>
      </c>
      <c r="Q865" s="36">
        <v>56993972</v>
      </c>
      <c r="R865" s="7"/>
      <c r="S865" s="7"/>
      <c r="T865" s="7"/>
      <c r="U865" s="7"/>
      <c r="V865" s="7"/>
      <c r="W865" s="7"/>
      <c r="X865" s="7"/>
      <c r="Y865" s="7"/>
      <c r="Z865" s="7"/>
    </row>
    <row r="866" spans="1:26" ht="12.75" customHeight="1" x14ac:dyDescent="0.2">
      <c r="A866" s="534"/>
      <c r="B866" s="534"/>
      <c r="C866" s="40" t="s">
        <v>36</v>
      </c>
      <c r="D866" s="41">
        <v>15</v>
      </c>
      <c r="E866" s="30">
        <v>19948.060000000001</v>
      </c>
      <c r="F866" s="30"/>
      <c r="G866" s="30"/>
      <c r="H866" s="30">
        <v>6459.63</v>
      </c>
      <c r="I866" s="30">
        <v>157.30000000000001</v>
      </c>
      <c r="J866" s="30">
        <v>2213.75</v>
      </c>
      <c r="K866" s="30">
        <v>26564.99</v>
      </c>
      <c r="L866" s="32">
        <v>28778.74</v>
      </c>
      <c r="M866" s="33"/>
      <c r="N866" s="30">
        <v>26564.99</v>
      </c>
      <c r="O866" s="30">
        <v>20105.36</v>
      </c>
      <c r="P866" s="30">
        <v>2424</v>
      </c>
      <c r="Q866" s="30">
        <v>32397.7</v>
      </c>
      <c r="R866" s="7"/>
      <c r="S866" s="7"/>
      <c r="T866" s="7"/>
      <c r="U866" s="7"/>
      <c r="V866" s="7"/>
      <c r="W866" s="7"/>
      <c r="X866" s="7"/>
      <c r="Y866" s="7"/>
      <c r="Z866" s="7"/>
    </row>
    <row r="867" spans="1:26" ht="9" customHeight="1" x14ac:dyDescent="0.2">
      <c r="A867" s="534"/>
      <c r="B867" s="534"/>
      <c r="C867" s="34" t="s">
        <v>37</v>
      </c>
      <c r="D867" s="35">
        <v>20</v>
      </c>
      <c r="E867" s="46">
        <v>38624830</v>
      </c>
      <c r="F867" s="36"/>
      <c r="G867" s="36"/>
      <c r="H867" s="46">
        <v>12507588</v>
      </c>
      <c r="I867" s="46">
        <v>304575</v>
      </c>
      <c r="J867" s="37">
        <v>4286418</v>
      </c>
      <c r="K867" s="46">
        <v>51436993</v>
      </c>
      <c r="L867" s="46">
        <v>55723411</v>
      </c>
      <c r="M867" s="39"/>
      <c r="N867" s="36">
        <v>51436993</v>
      </c>
      <c r="O867" s="36">
        <v>38929405</v>
      </c>
      <c r="P867" s="46">
        <v>4693518</v>
      </c>
      <c r="Q867" s="36">
        <v>62730695</v>
      </c>
      <c r="R867" s="7"/>
      <c r="S867" s="7"/>
      <c r="T867" s="7"/>
      <c r="U867" s="7"/>
      <c r="V867" s="7"/>
      <c r="W867" s="7"/>
      <c r="X867" s="7"/>
      <c r="Y867" s="7"/>
      <c r="Z867" s="7"/>
    </row>
    <row r="868" spans="1:26" ht="12.75" customHeight="1" x14ac:dyDescent="0.2">
      <c r="A868" s="534"/>
      <c r="B868" s="534"/>
      <c r="C868" s="40" t="s">
        <v>36</v>
      </c>
      <c r="D868" s="41">
        <v>21</v>
      </c>
      <c r="E868" s="30">
        <v>22935.33</v>
      </c>
      <c r="F868" s="30"/>
      <c r="G868" s="30"/>
      <c r="H868" s="30">
        <v>6459.63</v>
      </c>
      <c r="I868" s="30">
        <v>157.30000000000001</v>
      </c>
      <c r="J868" s="30">
        <v>2462.69</v>
      </c>
      <c r="K868" s="30">
        <v>29552.26</v>
      </c>
      <c r="L868" s="32">
        <v>32014.95</v>
      </c>
      <c r="M868" s="33"/>
      <c r="N868" s="30">
        <v>29552.26</v>
      </c>
      <c r="O868" s="30">
        <v>23092.63</v>
      </c>
      <c r="P868" s="30">
        <v>2424</v>
      </c>
      <c r="Q868" s="30">
        <v>36171.620000000003</v>
      </c>
      <c r="R868" s="7"/>
      <c r="S868" s="7"/>
      <c r="T868" s="7"/>
      <c r="U868" s="7"/>
      <c r="V868" s="7"/>
      <c r="W868" s="7"/>
      <c r="X868" s="7"/>
      <c r="Y868" s="7"/>
      <c r="Z868" s="7"/>
    </row>
    <row r="869" spans="1:26" ht="9" customHeight="1" x14ac:dyDescent="0.2">
      <c r="A869" s="534"/>
      <c r="B869" s="534"/>
      <c r="C869" s="34" t="s">
        <v>37</v>
      </c>
      <c r="D869" s="35">
        <v>27</v>
      </c>
      <c r="E869" s="46">
        <v>44408991</v>
      </c>
      <c r="F869" s="36"/>
      <c r="G869" s="36"/>
      <c r="H869" s="46">
        <v>12507588</v>
      </c>
      <c r="I869" s="46">
        <v>304575</v>
      </c>
      <c r="J869" s="37">
        <v>4768433</v>
      </c>
      <c r="K869" s="46">
        <v>57221154</v>
      </c>
      <c r="L869" s="46">
        <v>61989587</v>
      </c>
      <c r="M869" s="39"/>
      <c r="N869" s="36">
        <v>57221154</v>
      </c>
      <c r="O869" s="36">
        <v>44713567</v>
      </c>
      <c r="P869" s="46">
        <v>4693518</v>
      </c>
      <c r="Q869" s="36">
        <v>70038023</v>
      </c>
      <c r="R869" s="7"/>
      <c r="S869" s="7"/>
      <c r="T869" s="7"/>
      <c r="U869" s="7"/>
      <c r="V869" s="7"/>
      <c r="W869" s="7"/>
      <c r="X869" s="7"/>
      <c r="Y869" s="7"/>
      <c r="Z869" s="7"/>
    </row>
    <row r="870" spans="1:26" ht="12.75" customHeight="1" x14ac:dyDescent="0.2">
      <c r="A870" s="534"/>
      <c r="B870" s="534"/>
      <c r="C870" s="40" t="s">
        <v>36</v>
      </c>
      <c r="D870" s="41">
        <v>28</v>
      </c>
      <c r="E870" s="30">
        <v>24892.49</v>
      </c>
      <c r="F870" s="30"/>
      <c r="G870" s="30"/>
      <c r="H870" s="30">
        <v>6459.63</v>
      </c>
      <c r="I870" s="30">
        <v>157.30000000000001</v>
      </c>
      <c r="J870" s="30">
        <v>2625.79</v>
      </c>
      <c r="K870" s="30">
        <v>31509.42</v>
      </c>
      <c r="L870" s="32">
        <v>34135.21</v>
      </c>
      <c r="M870" s="33"/>
      <c r="N870" s="30">
        <v>31509.42</v>
      </c>
      <c r="O870" s="30">
        <v>25049.79</v>
      </c>
      <c r="P870" s="30">
        <v>3090</v>
      </c>
      <c r="Q870" s="30">
        <v>38644.17</v>
      </c>
      <c r="R870" s="7"/>
      <c r="S870" s="7"/>
      <c r="T870" s="7"/>
      <c r="U870" s="7"/>
      <c r="V870" s="7"/>
      <c r="W870" s="7"/>
      <c r="X870" s="7"/>
      <c r="Y870" s="7"/>
      <c r="Z870" s="7"/>
    </row>
    <row r="871" spans="1:26" ht="9" customHeight="1" x14ac:dyDescent="0.2">
      <c r="A871" s="534"/>
      <c r="B871" s="534"/>
      <c r="C871" s="34" t="s">
        <v>37</v>
      </c>
      <c r="D871" s="35">
        <v>34</v>
      </c>
      <c r="E871" s="46">
        <v>48198582</v>
      </c>
      <c r="F871" s="36"/>
      <c r="G871" s="36"/>
      <c r="H871" s="46">
        <v>12507588</v>
      </c>
      <c r="I871" s="46">
        <v>304575</v>
      </c>
      <c r="J871" s="37">
        <v>5084238</v>
      </c>
      <c r="K871" s="46">
        <v>61010745</v>
      </c>
      <c r="L871" s="46">
        <v>66094983</v>
      </c>
      <c r="M871" s="39"/>
      <c r="N871" s="36">
        <v>61010745</v>
      </c>
      <c r="O871" s="36">
        <v>48503157</v>
      </c>
      <c r="P871" s="46">
        <v>5983074</v>
      </c>
      <c r="Q871" s="36">
        <v>74825547</v>
      </c>
      <c r="R871" s="7"/>
      <c r="S871" s="7"/>
      <c r="T871" s="7"/>
      <c r="U871" s="7"/>
      <c r="V871" s="7"/>
      <c r="W871" s="7"/>
      <c r="X871" s="7"/>
      <c r="Y871" s="7"/>
      <c r="Z871" s="7"/>
    </row>
    <row r="872" spans="1:26" ht="12.75" customHeight="1" x14ac:dyDescent="0.2">
      <c r="A872" s="534"/>
      <c r="B872" s="534"/>
      <c r="C872" s="40" t="s">
        <v>36</v>
      </c>
      <c r="D872" s="41">
        <v>35</v>
      </c>
      <c r="E872" s="30">
        <v>26452.57</v>
      </c>
      <c r="F872" s="30"/>
      <c r="G872" s="30"/>
      <c r="H872" s="30">
        <v>6459.63</v>
      </c>
      <c r="I872" s="30">
        <v>157.30000000000001</v>
      </c>
      <c r="J872" s="30">
        <v>2755.79</v>
      </c>
      <c r="K872" s="30">
        <v>33069.5</v>
      </c>
      <c r="L872" s="32">
        <v>35825.29</v>
      </c>
      <c r="M872" s="33"/>
      <c r="N872" s="30">
        <v>33069.5</v>
      </c>
      <c r="O872" s="30">
        <v>26609.87</v>
      </c>
      <c r="P872" s="30">
        <v>3090</v>
      </c>
      <c r="Q872" s="30">
        <v>40615.07</v>
      </c>
      <c r="R872" s="7"/>
      <c r="S872" s="7"/>
      <c r="T872" s="7"/>
      <c r="U872" s="7"/>
      <c r="V872" s="7"/>
      <c r="W872" s="7"/>
      <c r="X872" s="7"/>
      <c r="Y872" s="7"/>
      <c r="Z872" s="7"/>
    </row>
    <row r="873" spans="1:26" ht="9" customHeight="1" x14ac:dyDescent="0.2">
      <c r="A873" s="535"/>
      <c r="B873" s="535"/>
      <c r="C873" s="47" t="s">
        <v>37</v>
      </c>
      <c r="D873" s="48"/>
      <c r="E873" s="46">
        <v>51219318</v>
      </c>
      <c r="F873" s="46"/>
      <c r="G873" s="46"/>
      <c r="H873" s="46">
        <v>12507588</v>
      </c>
      <c r="I873" s="46">
        <v>304575</v>
      </c>
      <c r="J873" s="46">
        <v>5335954</v>
      </c>
      <c r="K873" s="46">
        <v>64031481</v>
      </c>
      <c r="L873" s="46">
        <v>69367434</v>
      </c>
      <c r="M873" s="39"/>
      <c r="N873" s="46">
        <v>64031481</v>
      </c>
      <c r="O873" s="46">
        <v>51523893</v>
      </c>
      <c r="P873" s="46">
        <v>5983074</v>
      </c>
      <c r="Q873" s="46">
        <v>78641742</v>
      </c>
      <c r="R873" s="7"/>
      <c r="S873" s="7"/>
      <c r="T873" s="7"/>
      <c r="U873" s="7"/>
      <c r="V873" s="7"/>
      <c r="W873" s="7"/>
      <c r="X873" s="7"/>
      <c r="Y873" s="7"/>
      <c r="Z873" s="7"/>
    </row>
    <row r="874" spans="1:26" ht="9" customHeight="1" x14ac:dyDescent="0.2">
      <c r="A874" s="95"/>
      <c r="B874" s="95"/>
      <c r="C874" s="44"/>
      <c r="D874" s="45"/>
      <c r="E874" s="96"/>
      <c r="F874" s="96"/>
      <c r="G874" s="96"/>
      <c r="H874" s="96"/>
      <c r="I874" s="96"/>
      <c r="J874" s="54"/>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54"/>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54"/>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54"/>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54"/>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54"/>
      <c r="K879" s="96"/>
      <c r="L879" s="96"/>
      <c r="M879" s="39"/>
      <c r="N879" s="96"/>
      <c r="O879" s="96"/>
      <c r="P879" s="96"/>
      <c r="Q879" s="96"/>
      <c r="R879" s="7"/>
      <c r="S879" s="7"/>
      <c r="T879" s="7"/>
      <c r="U879" s="7"/>
      <c r="V879" s="7"/>
      <c r="W879" s="7"/>
      <c r="X879" s="7"/>
      <c r="Y879" s="7"/>
      <c r="Z879" s="7"/>
    </row>
    <row r="880" spans="1:26" ht="12.75" customHeight="1" x14ac:dyDescent="0.2">
      <c r="A880" s="538">
        <v>42370</v>
      </c>
      <c r="B880" s="538">
        <v>42735</v>
      </c>
      <c r="C880" s="28" t="s">
        <v>36</v>
      </c>
      <c r="D880" s="29">
        <v>0</v>
      </c>
      <c r="E880" s="30">
        <v>14596.44</v>
      </c>
      <c r="F880" s="30"/>
      <c r="G880" s="30"/>
      <c r="H880" s="30">
        <v>6459.63</v>
      </c>
      <c r="I880" s="30">
        <v>157.30000000000001</v>
      </c>
      <c r="J880" s="30">
        <v>1767.78</v>
      </c>
      <c r="K880" s="30">
        <v>21213.37</v>
      </c>
      <c r="L880" s="32">
        <v>22981.15</v>
      </c>
      <c r="M880" s="33"/>
      <c r="N880" s="30">
        <v>21213.37</v>
      </c>
      <c r="O880" s="30">
        <v>14753.74</v>
      </c>
      <c r="P880" s="30">
        <v>1968</v>
      </c>
      <c r="Q880" s="30">
        <v>25636.82</v>
      </c>
      <c r="R880" s="7"/>
      <c r="S880" s="7"/>
      <c r="T880" s="7"/>
      <c r="U880" s="7"/>
      <c r="V880" s="7"/>
      <c r="W880" s="7"/>
      <c r="X880" s="7"/>
      <c r="Y880" s="7"/>
      <c r="Z880" s="7"/>
    </row>
    <row r="881" spans="1:26" ht="9" customHeight="1" x14ac:dyDescent="0.2">
      <c r="A881" s="534"/>
      <c r="B881" s="534"/>
      <c r="C881" s="34" t="s">
        <v>37</v>
      </c>
      <c r="D881" s="35">
        <v>8</v>
      </c>
      <c r="E881" s="46">
        <v>28262649</v>
      </c>
      <c r="F881" s="36"/>
      <c r="G881" s="36"/>
      <c r="H881" s="46">
        <v>12507588</v>
      </c>
      <c r="I881" s="46">
        <v>304575</v>
      </c>
      <c r="J881" s="37">
        <v>3422899</v>
      </c>
      <c r="K881" s="46">
        <v>41074812</v>
      </c>
      <c r="L881" s="46">
        <v>44497711</v>
      </c>
      <c r="M881" s="39"/>
      <c r="N881" s="36">
        <v>41074812</v>
      </c>
      <c r="O881" s="36">
        <v>28567224</v>
      </c>
      <c r="P881" s="46">
        <v>3810579</v>
      </c>
      <c r="Q881" s="36">
        <v>49639805</v>
      </c>
      <c r="R881" s="7"/>
      <c r="S881" s="7"/>
      <c r="T881" s="7"/>
      <c r="U881" s="7"/>
      <c r="V881" s="7"/>
      <c r="W881" s="7"/>
      <c r="X881" s="7"/>
      <c r="Y881" s="7"/>
      <c r="Z881" s="7"/>
    </row>
    <row r="882" spans="1:26" ht="12.75" customHeight="1" x14ac:dyDescent="0.2">
      <c r="A882" s="533">
        <v>42370</v>
      </c>
      <c r="B882" s="533">
        <v>42735</v>
      </c>
      <c r="C882" s="40" t="s">
        <v>36</v>
      </c>
      <c r="D882" s="41">
        <v>9</v>
      </c>
      <c r="E882" s="30">
        <v>17697.650000000001</v>
      </c>
      <c r="F882" s="30"/>
      <c r="G882" s="30"/>
      <c r="H882" s="30">
        <v>6459.63</v>
      </c>
      <c r="I882" s="30">
        <v>157.30000000000001</v>
      </c>
      <c r="J882" s="30">
        <v>2026.22</v>
      </c>
      <c r="K882" s="30">
        <v>24314.58</v>
      </c>
      <c r="L882" s="32">
        <v>26340.799999999999</v>
      </c>
      <c r="M882" s="33"/>
      <c r="N882" s="30">
        <v>24314.58</v>
      </c>
      <c r="O882" s="30">
        <v>17854.95</v>
      </c>
      <c r="P882" s="30">
        <v>1968</v>
      </c>
      <c r="Q882" s="30">
        <v>29554.69</v>
      </c>
      <c r="R882" s="7"/>
      <c r="S882" s="7"/>
      <c r="T882" s="7"/>
      <c r="U882" s="7"/>
      <c r="V882" s="7"/>
      <c r="W882" s="7"/>
      <c r="X882" s="7"/>
      <c r="Y882" s="7"/>
      <c r="Z882" s="7"/>
    </row>
    <row r="883" spans="1:26" ht="9" customHeight="1" x14ac:dyDescent="0.2">
      <c r="A883" s="534"/>
      <c r="B883" s="534"/>
      <c r="C883" s="34" t="s">
        <v>37</v>
      </c>
      <c r="D883" s="35">
        <v>14</v>
      </c>
      <c r="E883" s="46">
        <v>34267429</v>
      </c>
      <c r="F883" s="36"/>
      <c r="G883" s="36"/>
      <c r="H883" s="46">
        <v>12507588</v>
      </c>
      <c r="I883" s="46">
        <v>304575</v>
      </c>
      <c r="J883" s="37">
        <v>3923309</v>
      </c>
      <c r="K883" s="46">
        <v>47079592</v>
      </c>
      <c r="L883" s="46">
        <v>51002901</v>
      </c>
      <c r="M883" s="39"/>
      <c r="N883" s="36">
        <v>47079592</v>
      </c>
      <c r="O883" s="36">
        <v>34572004</v>
      </c>
      <c r="P883" s="46">
        <v>3810579</v>
      </c>
      <c r="Q883" s="36">
        <v>57225860</v>
      </c>
      <c r="R883" s="7"/>
      <c r="S883" s="7"/>
      <c r="T883" s="7"/>
      <c r="U883" s="7"/>
      <c r="V883" s="7"/>
      <c r="W883" s="7"/>
      <c r="X883" s="7"/>
      <c r="Y883" s="7"/>
      <c r="Z883" s="7"/>
    </row>
    <row r="884" spans="1:26" ht="12.75" customHeight="1" x14ac:dyDescent="0.2">
      <c r="A884" s="534"/>
      <c r="B884" s="534"/>
      <c r="C884" s="40" t="s">
        <v>36</v>
      </c>
      <c r="D884" s="41">
        <v>15</v>
      </c>
      <c r="E884" s="30">
        <v>20052.46</v>
      </c>
      <c r="F884" s="30"/>
      <c r="G884" s="30"/>
      <c r="H884" s="30">
        <v>6459.63</v>
      </c>
      <c r="I884" s="30">
        <v>157.30000000000001</v>
      </c>
      <c r="J884" s="30">
        <v>2222.4499999999998</v>
      </c>
      <c r="K884" s="30">
        <v>26669.39</v>
      </c>
      <c r="L884" s="32">
        <v>28891.84</v>
      </c>
      <c r="M884" s="33"/>
      <c r="N884" s="30">
        <v>26669.39</v>
      </c>
      <c r="O884" s="30">
        <v>20209.759999999998</v>
      </c>
      <c r="P884" s="30">
        <v>2424</v>
      </c>
      <c r="Q884" s="30">
        <v>32529.599999999999</v>
      </c>
      <c r="R884" s="7"/>
      <c r="S884" s="7"/>
      <c r="T884" s="7"/>
      <c r="U884" s="7"/>
      <c r="V884" s="7"/>
      <c r="W884" s="7"/>
      <c r="X884" s="7"/>
      <c r="Y884" s="7"/>
      <c r="Z884" s="7"/>
    </row>
    <row r="885" spans="1:26" ht="9" customHeight="1" x14ac:dyDescent="0.2">
      <c r="A885" s="534"/>
      <c r="B885" s="534"/>
      <c r="C885" s="34" t="s">
        <v>37</v>
      </c>
      <c r="D885" s="35">
        <v>20</v>
      </c>
      <c r="E885" s="46">
        <v>38826977</v>
      </c>
      <c r="F885" s="36"/>
      <c r="G885" s="36"/>
      <c r="H885" s="46">
        <v>12507588</v>
      </c>
      <c r="I885" s="46">
        <v>304575</v>
      </c>
      <c r="J885" s="37">
        <v>4303263</v>
      </c>
      <c r="K885" s="46">
        <v>51639140</v>
      </c>
      <c r="L885" s="46">
        <v>55942403</v>
      </c>
      <c r="M885" s="39"/>
      <c r="N885" s="36">
        <v>51639140</v>
      </c>
      <c r="O885" s="36">
        <v>39131552</v>
      </c>
      <c r="P885" s="46">
        <v>4693518</v>
      </c>
      <c r="Q885" s="36">
        <v>62986089</v>
      </c>
      <c r="R885" s="7"/>
      <c r="S885" s="7"/>
      <c r="T885" s="7"/>
      <c r="U885" s="7"/>
      <c r="V885" s="7"/>
      <c r="W885" s="7"/>
      <c r="X885" s="7"/>
      <c r="Y885" s="7"/>
      <c r="Z885" s="7"/>
    </row>
    <row r="886" spans="1:26" ht="12.75" customHeight="1" x14ac:dyDescent="0.2">
      <c r="A886" s="534"/>
      <c r="B886" s="534"/>
      <c r="C886" s="40" t="s">
        <v>36</v>
      </c>
      <c r="D886" s="41">
        <v>21</v>
      </c>
      <c r="E886" s="30">
        <v>23050.53</v>
      </c>
      <c r="F886" s="30"/>
      <c r="G886" s="30"/>
      <c r="H886" s="30">
        <v>6459.63</v>
      </c>
      <c r="I886" s="30">
        <v>157.30000000000001</v>
      </c>
      <c r="J886" s="30">
        <v>2472.29</v>
      </c>
      <c r="K886" s="30">
        <v>29667.46</v>
      </c>
      <c r="L886" s="32">
        <v>32139.75</v>
      </c>
      <c r="M886" s="33"/>
      <c r="N886" s="30">
        <v>29667.46</v>
      </c>
      <c r="O886" s="30">
        <v>23207.83</v>
      </c>
      <c r="P886" s="30">
        <v>2424</v>
      </c>
      <c r="Q886" s="30">
        <v>36317.160000000003</v>
      </c>
      <c r="R886" s="7"/>
      <c r="S886" s="7"/>
      <c r="T886" s="7"/>
      <c r="U886" s="7"/>
      <c r="V886" s="7"/>
      <c r="W886" s="7"/>
      <c r="X886" s="7"/>
      <c r="Y886" s="7"/>
      <c r="Z886" s="7"/>
    </row>
    <row r="887" spans="1:26" ht="9" customHeight="1" x14ac:dyDescent="0.2">
      <c r="A887" s="534"/>
      <c r="B887" s="534"/>
      <c r="C887" s="34" t="s">
        <v>37</v>
      </c>
      <c r="D887" s="35">
        <v>27</v>
      </c>
      <c r="E887" s="46">
        <v>44632050</v>
      </c>
      <c r="F887" s="36"/>
      <c r="G887" s="36"/>
      <c r="H887" s="46">
        <v>12507588</v>
      </c>
      <c r="I887" s="46">
        <v>304575</v>
      </c>
      <c r="J887" s="37">
        <v>4787021</v>
      </c>
      <c r="K887" s="46">
        <v>57444213</v>
      </c>
      <c r="L887" s="46">
        <v>62231234</v>
      </c>
      <c r="M887" s="39"/>
      <c r="N887" s="36">
        <v>57444213</v>
      </c>
      <c r="O887" s="36">
        <v>44936625</v>
      </c>
      <c r="P887" s="46">
        <v>4693518</v>
      </c>
      <c r="Q887" s="36">
        <v>70319827</v>
      </c>
      <c r="R887" s="7"/>
      <c r="S887" s="7"/>
      <c r="T887" s="7"/>
      <c r="U887" s="7"/>
      <c r="V887" s="7"/>
      <c r="W887" s="7"/>
      <c r="X887" s="7"/>
      <c r="Y887" s="7"/>
      <c r="Z887" s="7"/>
    </row>
    <row r="888" spans="1:26" ht="12.75" customHeight="1" x14ac:dyDescent="0.2">
      <c r="A888" s="534"/>
      <c r="B888" s="534"/>
      <c r="C888" s="40" t="s">
        <v>36</v>
      </c>
      <c r="D888" s="41">
        <v>28</v>
      </c>
      <c r="E888" s="30">
        <v>25016.09</v>
      </c>
      <c r="F888" s="30"/>
      <c r="G888" s="30"/>
      <c r="H888" s="30">
        <v>6459.63</v>
      </c>
      <c r="I888" s="30">
        <v>157.30000000000001</v>
      </c>
      <c r="J888" s="30">
        <v>2636.09</v>
      </c>
      <c r="K888" s="30">
        <v>31633.02</v>
      </c>
      <c r="L888" s="32">
        <v>34269.11</v>
      </c>
      <c r="M888" s="33"/>
      <c r="N888" s="30">
        <v>31633.02</v>
      </c>
      <c r="O888" s="30">
        <v>25173.39</v>
      </c>
      <c r="P888" s="30">
        <v>3090</v>
      </c>
      <c r="Q888" s="30">
        <v>38800.32</v>
      </c>
      <c r="R888" s="7"/>
      <c r="S888" s="7"/>
      <c r="T888" s="7"/>
      <c r="U888" s="7"/>
      <c r="V888" s="7"/>
      <c r="W888" s="7"/>
      <c r="X888" s="7"/>
      <c r="Y888" s="7"/>
      <c r="Z888" s="7"/>
    </row>
    <row r="889" spans="1:26" ht="9" customHeight="1" x14ac:dyDescent="0.2">
      <c r="A889" s="534"/>
      <c r="B889" s="534"/>
      <c r="C889" s="34" t="s">
        <v>37</v>
      </c>
      <c r="D889" s="35">
        <v>34</v>
      </c>
      <c r="E889" s="46">
        <v>48437905</v>
      </c>
      <c r="F889" s="36"/>
      <c r="G889" s="36"/>
      <c r="H889" s="46">
        <v>12507588</v>
      </c>
      <c r="I889" s="46">
        <v>304575</v>
      </c>
      <c r="J889" s="37">
        <v>5104182</v>
      </c>
      <c r="K889" s="46">
        <v>61250068</v>
      </c>
      <c r="L889" s="46">
        <v>66354250</v>
      </c>
      <c r="M889" s="39"/>
      <c r="N889" s="36">
        <v>61250068</v>
      </c>
      <c r="O889" s="36">
        <v>48742480</v>
      </c>
      <c r="P889" s="46">
        <v>5983074</v>
      </c>
      <c r="Q889" s="36">
        <v>75127896</v>
      </c>
      <c r="R889" s="7"/>
      <c r="S889" s="7"/>
      <c r="T889" s="7"/>
      <c r="U889" s="7"/>
      <c r="V889" s="7"/>
      <c r="W889" s="7"/>
      <c r="X889" s="7"/>
      <c r="Y889" s="7"/>
      <c r="Z889" s="7"/>
    </row>
    <row r="890" spans="1:26" ht="12.75" customHeight="1" x14ac:dyDescent="0.2">
      <c r="A890" s="534"/>
      <c r="B890" s="534"/>
      <c r="C890" s="40" t="s">
        <v>36</v>
      </c>
      <c r="D890" s="41">
        <v>35</v>
      </c>
      <c r="E890" s="30">
        <v>26582.17</v>
      </c>
      <c r="F890" s="30"/>
      <c r="G890" s="30"/>
      <c r="H890" s="30">
        <v>6459.63</v>
      </c>
      <c r="I890" s="30">
        <v>157.30000000000001</v>
      </c>
      <c r="J890" s="30">
        <v>2766.59</v>
      </c>
      <c r="K890" s="30">
        <v>33199.1</v>
      </c>
      <c r="L890" s="32">
        <v>35965.69</v>
      </c>
      <c r="M890" s="33"/>
      <c r="N890" s="30">
        <v>33199.1</v>
      </c>
      <c r="O890" s="30">
        <v>26739.47</v>
      </c>
      <c r="P890" s="30">
        <v>3090</v>
      </c>
      <c r="Q890" s="30">
        <v>40778.79</v>
      </c>
      <c r="R890" s="7"/>
      <c r="S890" s="7"/>
      <c r="T890" s="7"/>
      <c r="U890" s="7"/>
      <c r="V890" s="7"/>
      <c r="W890" s="7"/>
      <c r="X890" s="7"/>
      <c r="Y890" s="7"/>
      <c r="Z890" s="7"/>
    </row>
    <row r="891" spans="1:26" ht="9" customHeight="1" x14ac:dyDescent="0.2">
      <c r="A891" s="535"/>
      <c r="B891" s="535"/>
      <c r="C891" s="47" t="s">
        <v>37</v>
      </c>
      <c r="D891" s="48"/>
      <c r="E891" s="46">
        <v>51470258</v>
      </c>
      <c r="F891" s="36"/>
      <c r="G891" s="36"/>
      <c r="H891" s="46">
        <v>12507588</v>
      </c>
      <c r="I891" s="46">
        <v>304575</v>
      </c>
      <c r="J891" s="46">
        <v>5356865</v>
      </c>
      <c r="K891" s="46">
        <v>64282421</v>
      </c>
      <c r="L891" s="46">
        <v>69639287</v>
      </c>
      <c r="M891" s="39"/>
      <c r="N891" s="46">
        <v>64282421</v>
      </c>
      <c r="O891" s="46">
        <v>51774834</v>
      </c>
      <c r="P891" s="46">
        <v>5983074</v>
      </c>
      <c r="Q891" s="46">
        <v>78958748</v>
      </c>
      <c r="R891" s="7"/>
      <c r="S891" s="7"/>
      <c r="T891" s="7"/>
      <c r="U891" s="7"/>
      <c r="V891" s="7"/>
      <c r="W891" s="7"/>
      <c r="X891" s="7"/>
      <c r="Y891" s="7"/>
      <c r="Z891" s="7"/>
    </row>
    <row r="892" spans="1:26" ht="9" customHeight="1" x14ac:dyDescent="0.2">
      <c r="A892" s="95"/>
      <c r="B892" s="95"/>
      <c r="C892" s="44"/>
      <c r="D892" s="45"/>
      <c r="E892" s="96"/>
      <c r="F892" s="96"/>
      <c r="G892" s="96"/>
      <c r="H892" s="96"/>
      <c r="I892" s="96"/>
      <c r="J892" s="54"/>
      <c r="K892" s="96"/>
      <c r="L892" s="96"/>
      <c r="M892" s="39"/>
      <c r="N892" s="96"/>
      <c r="O892" s="96"/>
      <c r="P892" s="96"/>
      <c r="Q892" s="96"/>
      <c r="R892" s="7"/>
      <c r="S892" s="7"/>
      <c r="T892" s="7"/>
      <c r="U892" s="7"/>
      <c r="V892" s="7"/>
      <c r="W892" s="7"/>
      <c r="X892" s="7"/>
      <c r="Y892" s="7"/>
      <c r="Z892" s="7"/>
    </row>
    <row r="893" spans="1:26" ht="9" customHeight="1" x14ac:dyDescent="0.2">
      <c r="A893" s="95"/>
      <c r="B893" s="95"/>
      <c r="C893" s="44"/>
      <c r="D893" s="45"/>
      <c r="E893" s="96"/>
      <c r="F893" s="96"/>
      <c r="G893" s="96"/>
      <c r="H893" s="96"/>
      <c r="I893" s="96"/>
      <c r="J893" s="54"/>
      <c r="K893" s="96"/>
      <c r="L893" s="96"/>
      <c r="M893" s="39"/>
      <c r="N893" s="96"/>
      <c r="O893" s="96"/>
      <c r="P893" s="96"/>
      <c r="Q893" s="96"/>
      <c r="R893" s="7"/>
      <c r="S893" s="7"/>
      <c r="T893" s="7"/>
      <c r="U893" s="7"/>
      <c r="V893" s="7"/>
      <c r="W893" s="7"/>
      <c r="X893" s="7"/>
      <c r="Y893" s="7"/>
      <c r="Z893" s="7"/>
    </row>
    <row r="894" spans="1:26" ht="9" customHeight="1" x14ac:dyDescent="0.2">
      <c r="A894" s="95"/>
      <c r="B894" s="95"/>
      <c r="C894" s="44"/>
      <c r="D894" s="45"/>
      <c r="E894" s="96"/>
      <c r="F894" s="96"/>
      <c r="G894" s="96"/>
      <c r="H894" s="96"/>
      <c r="I894" s="96"/>
      <c r="J894" s="54"/>
      <c r="K894" s="96"/>
      <c r="L894" s="96"/>
      <c r="M894" s="39"/>
      <c r="N894" s="96"/>
      <c r="O894" s="96"/>
      <c r="P894" s="96"/>
      <c r="Q894" s="96"/>
      <c r="R894" s="7"/>
      <c r="S894" s="7"/>
      <c r="T894" s="7"/>
      <c r="U894" s="7"/>
      <c r="V894" s="7"/>
      <c r="W894" s="7"/>
      <c r="X894" s="7"/>
      <c r="Y894" s="7"/>
      <c r="Z894" s="7"/>
    </row>
    <row r="895" spans="1:26" ht="9" customHeight="1" x14ac:dyDescent="0.2">
      <c r="A895" s="95"/>
      <c r="B895" s="95"/>
      <c r="C895" s="44"/>
      <c r="D895" s="45"/>
      <c r="E895" s="96"/>
      <c r="F895" s="96"/>
      <c r="G895" s="96"/>
      <c r="H895" s="96"/>
      <c r="I895" s="96"/>
      <c r="J895" s="54"/>
      <c r="K895" s="96"/>
      <c r="L895" s="96"/>
      <c r="M895" s="39"/>
      <c r="N895" s="96"/>
      <c r="O895" s="96"/>
      <c r="P895" s="96"/>
      <c r="Q895" s="96"/>
      <c r="R895" s="7"/>
      <c r="S895" s="7"/>
      <c r="T895" s="7"/>
      <c r="U895" s="7"/>
      <c r="V895" s="7"/>
      <c r="W895" s="7"/>
      <c r="X895" s="7"/>
      <c r="Y895" s="7"/>
      <c r="Z895" s="7"/>
    </row>
    <row r="896" spans="1:26" ht="9" customHeight="1" x14ac:dyDescent="0.2">
      <c r="A896" s="95"/>
      <c r="B896" s="95"/>
      <c r="C896" s="44"/>
      <c r="D896" s="45"/>
      <c r="E896" s="96"/>
      <c r="F896" s="96"/>
      <c r="G896" s="96"/>
      <c r="H896" s="96"/>
      <c r="I896" s="96"/>
      <c r="J896" s="54"/>
      <c r="K896" s="96"/>
      <c r="L896" s="96"/>
      <c r="M896" s="39"/>
      <c r="N896" s="96"/>
      <c r="O896" s="96"/>
      <c r="P896" s="96"/>
      <c r="Q896" s="96"/>
      <c r="R896" s="7"/>
      <c r="S896" s="7"/>
      <c r="T896" s="7"/>
      <c r="U896" s="7"/>
      <c r="V896" s="7"/>
      <c r="W896" s="7"/>
      <c r="X896" s="7"/>
      <c r="Y896" s="7"/>
      <c r="Z896" s="7"/>
    </row>
    <row r="897" spans="1:26" ht="9" customHeight="1" x14ac:dyDescent="0.2">
      <c r="A897" s="95"/>
      <c r="B897" s="95"/>
      <c r="C897" s="44"/>
      <c r="D897" s="45"/>
      <c r="E897" s="96"/>
      <c r="F897" s="96"/>
      <c r="G897" s="96"/>
      <c r="H897" s="96"/>
      <c r="I897" s="96"/>
      <c r="J897" s="54"/>
      <c r="K897" s="96"/>
      <c r="L897" s="96"/>
      <c r="M897" s="39"/>
      <c r="N897" s="96"/>
      <c r="O897" s="96"/>
      <c r="P897" s="96"/>
      <c r="Q897" s="96"/>
      <c r="R897" s="7"/>
      <c r="S897" s="7"/>
      <c r="T897" s="7"/>
      <c r="U897" s="7"/>
      <c r="V897" s="7"/>
      <c r="W897" s="7"/>
      <c r="X897" s="7"/>
      <c r="Y897" s="7"/>
      <c r="Z897" s="7"/>
    </row>
    <row r="898" spans="1:26" ht="9" customHeight="1" x14ac:dyDescent="0.2">
      <c r="A898" s="95"/>
      <c r="B898" s="95"/>
      <c r="C898" s="44"/>
      <c r="D898" s="45"/>
      <c r="E898" s="96"/>
      <c r="F898" s="96"/>
      <c r="G898" s="96"/>
      <c r="H898" s="96"/>
      <c r="I898" s="96"/>
      <c r="J898" s="54"/>
      <c r="K898" s="96"/>
      <c r="L898" s="96"/>
      <c r="M898" s="39"/>
      <c r="N898" s="96"/>
      <c r="O898" s="96"/>
      <c r="P898" s="96"/>
      <c r="Q898" s="96"/>
      <c r="R898" s="7"/>
      <c r="S898" s="7"/>
      <c r="T898" s="7"/>
      <c r="U898" s="7"/>
      <c r="V898" s="7"/>
      <c r="W898" s="7"/>
      <c r="X898" s="7"/>
      <c r="Y898" s="7"/>
      <c r="Z898" s="7"/>
    </row>
    <row r="899" spans="1:26" ht="9" customHeight="1" x14ac:dyDescent="0.2">
      <c r="A899" s="95"/>
      <c r="B899" s="95"/>
      <c r="C899" s="44"/>
      <c r="D899" s="45"/>
      <c r="E899" s="96"/>
      <c r="F899" s="96"/>
      <c r="G899" s="96"/>
      <c r="H899" s="96"/>
      <c r="I899" s="96"/>
      <c r="J899" s="54"/>
      <c r="K899" s="96"/>
      <c r="L899" s="96"/>
      <c r="M899" s="39"/>
      <c r="N899" s="96"/>
      <c r="O899" s="96"/>
      <c r="P899" s="96"/>
      <c r="Q899" s="96"/>
      <c r="R899" s="7"/>
      <c r="S899" s="7"/>
      <c r="T899" s="7"/>
      <c r="U899" s="7"/>
      <c r="V899" s="7"/>
      <c r="W899" s="7"/>
      <c r="X899" s="7"/>
      <c r="Y899" s="7"/>
      <c r="Z899" s="7"/>
    </row>
    <row r="900" spans="1:26" s="7" customFormat="1" ht="12.75" customHeight="1" x14ac:dyDescent="0.2">
      <c r="A900" s="522">
        <v>42736</v>
      </c>
      <c r="B900" s="522">
        <v>43159</v>
      </c>
      <c r="C900" s="57" t="s">
        <v>36</v>
      </c>
      <c r="D900" s="58">
        <v>0</v>
      </c>
      <c r="E900" s="59">
        <v>14763.24</v>
      </c>
      <c r="F900" s="59"/>
      <c r="G900" s="59"/>
      <c r="H900" s="59">
        <v>6459.63</v>
      </c>
      <c r="I900" s="59">
        <v>157.30000000000001</v>
      </c>
      <c r="J900" s="59">
        <v>1781.68</v>
      </c>
      <c r="K900" s="59">
        <v>21380.17</v>
      </c>
      <c r="L900" s="60">
        <v>23161.85</v>
      </c>
      <c r="M900" s="33"/>
      <c r="N900" s="59">
        <v>21380.17</v>
      </c>
      <c r="O900" s="59">
        <v>14920.54</v>
      </c>
      <c r="P900" s="59">
        <v>1968</v>
      </c>
      <c r="Q900" s="59">
        <v>25847.55</v>
      </c>
      <c r="R900" s="59">
        <v>24065.87</v>
      </c>
    </row>
    <row r="901" spans="1:26" s="7" customFormat="1" ht="9" customHeight="1" x14ac:dyDescent="0.2">
      <c r="A901" s="523"/>
      <c r="B901" s="523"/>
      <c r="C901" s="62" t="s">
        <v>37</v>
      </c>
      <c r="D901" s="63">
        <v>8</v>
      </c>
      <c r="E901" s="64">
        <v>28585619</v>
      </c>
      <c r="F901" s="65"/>
      <c r="G901" s="65"/>
      <c r="H901" s="64">
        <v>12507588</v>
      </c>
      <c r="I901" s="64">
        <v>304575</v>
      </c>
      <c r="J901" s="66">
        <v>3449814</v>
      </c>
      <c r="K901" s="64">
        <v>41397782</v>
      </c>
      <c r="L901" s="64">
        <v>44847595</v>
      </c>
      <c r="M901" s="39"/>
      <c r="N901" s="65">
        <v>41397782</v>
      </c>
      <c r="O901" s="65">
        <v>28890194</v>
      </c>
      <c r="P901" s="64">
        <v>3810579</v>
      </c>
      <c r="Q901" s="65">
        <v>50047836</v>
      </c>
      <c r="R901" s="65">
        <v>46598022</v>
      </c>
    </row>
    <row r="902" spans="1:26" s="7" customFormat="1" ht="12.75" customHeight="1" x14ac:dyDescent="0.2">
      <c r="A902" s="536">
        <v>42736</v>
      </c>
      <c r="B902" s="536">
        <v>43159</v>
      </c>
      <c r="C902" s="68" t="s">
        <v>36</v>
      </c>
      <c r="D902" s="69">
        <v>9</v>
      </c>
      <c r="E902" s="59">
        <v>17889.650000000001</v>
      </c>
      <c r="F902" s="59"/>
      <c r="G902" s="59"/>
      <c r="H902" s="59">
        <v>6459.63</v>
      </c>
      <c r="I902" s="59">
        <v>157.30000000000001</v>
      </c>
      <c r="J902" s="59">
        <v>2042.22</v>
      </c>
      <c r="K902" s="59">
        <v>24506.58</v>
      </c>
      <c r="L902" s="60">
        <v>26548.799999999999</v>
      </c>
      <c r="M902" s="33"/>
      <c r="N902" s="59">
        <v>24506.58</v>
      </c>
      <c r="O902" s="59">
        <v>18046.95</v>
      </c>
      <c r="P902" s="59">
        <v>1968</v>
      </c>
      <c r="Q902" s="59">
        <v>29797.25</v>
      </c>
      <c r="R902" s="59">
        <v>27755.03</v>
      </c>
    </row>
    <row r="903" spans="1:26" s="7" customFormat="1" ht="9" customHeight="1" x14ac:dyDescent="0.2">
      <c r="A903" s="536"/>
      <c r="B903" s="536"/>
      <c r="C903" s="62" t="s">
        <v>37</v>
      </c>
      <c r="D903" s="63">
        <v>14</v>
      </c>
      <c r="E903" s="64">
        <v>34639193</v>
      </c>
      <c r="F903" s="65"/>
      <c r="G903" s="65"/>
      <c r="H903" s="64">
        <v>12507588</v>
      </c>
      <c r="I903" s="64">
        <v>304575</v>
      </c>
      <c r="J903" s="66">
        <v>3954289</v>
      </c>
      <c r="K903" s="64">
        <v>47451356</v>
      </c>
      <c r="L903" s="64">
        <v>51405645</v>
      </c>
      <c r="M903" s="39"/>
      <c r="N903" s="65">
        <v>47451356</v>
      </c>
      <c r="O903" s="65">
        <v>34943768</v>
      </c>
      <c r="P903" s="64">
        <v>3810579</v>
      </c>
      <c r="Q903" s="65">
        <v>57695521</v>
      </c>
      <c r="R903" s="65">
        <v>53741232</v>
      </c>
    </row>
    <row r="904" spans="1:26" s="7" customFormat="1" ht="12.75" customHeight="1" x14ac:dyDescent="0.2">
      <c r="A904" s="536"/>
      <c r="B904" s="536"/>
      <c r="C904" s="68" t="s">
        <v>36</v>
      </c>
      <c r="D904" s="69">
        <v>15</v>
      </c>
      <c r="E904" s="59">
        <v>20262.46</v>
      </c>
      <c r="F904" s="59"/>
      <c r="G904" s="59"/>
      <c r="H904" s="59">
        <v>6459.63</v>
      </c>
      <c r="I904" s="59">
        <v>157.30000000000001</v>
      </c>
      <c r="J904" s="59">
        <v>2239.9499999999998</v>
      </c>
      <c r="K904" s="59">
        <v>26879.39</v>
      </c>
      <c r="L904" s="60">
        <v>29119.34</v>
      </c>
      <c r="M904" s="33"/>
      <c r="N904" s="59">
        <v>26879.39</v>
      </c>
      <c r="O904" s="59">
        <v>20419.759999999998</v>
      </c>
      <c r="P904" s="59">
        <v>2424</v>
      </c>
      <c r="Q904" s="59">
        <v>32794.9</v>
      </c>
      <c r="R904" s="59">
        <v>30554.95</v>
      </c>
    </row>
    <row r="905" spans="1:26" s="7" customFormat="1" ht="9" customHeight="1" x14ac:dyDescent="0.2">
      <c r="A905" s="536"/>
      <c r="B905" s="536"/>
      <c r="C905" s="62" t="s">
        <v>37</v>
      </c>
      <c r="D905" s="63">
        <v>20</v>
      </c>
      <c r="E905" s="64">
        <v>39233593</v>
      </c>
      <c r="F905" s="65"/>
      <c r="G905" s="65"/>
      <c r="H905" s="64">
        <v>12507588</v>
      </c>
      <c r="I905" s="64">
        <v>304575</v>
      </c>
      <c r="J905" s="66">
        <v>4337148</v>
      </c>
      <c r="K905" s="64">
        <v>52045756</v>
      </c>
      <c r="L905" s="64">
        <v>56382904</v>
      </c>
      <c r="M905" s="39"/>
      <c r="N905" s="65">
        <v>52045756</v>
      </c>
      <c r="O905" s="65">
        <v>39538169</v>
      </c>
      <c r="P905" s="64">
        <v>4693518</v>
      </c>
      <c r="Q905" s="65">
        <v>63499781</v>
      </c>
      <c r="R905" s="65">
        <v>59162633</v>
      </c>
    </row>
    <row r="906" spans="1:26" s="7" customFormat="1" ht="12.75" customHeight="1" x14ac:dyDescent="0.2">
      <c r="A906" s="536"/>
      <c r="B906" s="536"/>
      <c r="C906" s="68" t="s">
        <v>36</v>
      </c>
      <c r="D906" s="69">
        <v>21</v>
      </c>
      <c r="E906" s="59">
        <v>23285.73</v>
      </c>
      <c r="F906" s="59"/>
      <c r="G906" s="59"/>
      <c r="H906" s="59">
        <v>6459.63</v>
      </c>
      <c r="I906" s="59">
        <v>157.30000000000001</v>
      </c>
      <c r="J906" s="59">
        <v>2491.89</v>
      </c>
      <c r="K906" s="59">
        <v>29902.66</v>
      </c>
      <c r="L906" s="60">
        <v>32394.55</v>
      </c>
      <c r="M906" s="33"/>
      <c r="N906" s="59">
        <v>29902.66</v>
      </c>
      <c r="O906" s="59">
        <v>23443.03</v>
      </c>
      <c r="P906" s="59">
        <v>2424</v>
      </c>
      <c r="Q906" s="59">
        <v>36614.300000000003</v>
      </c>
      <c r="R906" s="59">
        <v>34122.410000000003</v>
      </c>
    </row>
    <row r="907" spans="1:26" s="7" customFormat="1" ht="9" customHeight="1" x14ac:dyDescent="0.2">
      <c r="A907" s="536"/>
      <c r="B907" s="536"/>
      <c r="C907" s="62" t="s">
        <v>37</v>
      </c>
      <c r="D907" s="63">
        <v>27</v>
      </c>
      <c r="E907" s="64">
        <v>45087460</v>
      </c>
      <c r="F907" s="65"/>
      <c r="G907" s="65"/>
      <c r="H907" s="64">
        <v>12507588</v>
      </c>
      <c r="I907" s="64">
        <v>304575</v>
      </c>
      <c r="J907" s="66">
        <v>4824972</v>
      </c>
      <c r="K907" s="64">
        <v>57899623</v>
      </c>
      <c r="L907" s="64">
        <v>62724595</v>
      </c>
      <c r="M907" s="39"/>
      <c r="N907" s="65">
        <v>57899623</v>
      </c>
      <c r="O907" s="65">
        <v>45392036</v>
      </c>
      <c r="P907" s="64">
        <v>4693518</v>
      </c>
      <c r="Q907" s="65">
        <v>70895171</v>
      </c>
      <c r="R907" s="65">
        <v>66070199</v>
      </c>
    </row>
    <row r="908" spans="1:26" s="7" customFormat="1" ht="12.75" customHeight="1" x14ac:dyDescent="0.2">
      <c r="A908" s="536"/>
      <c r="B908" s="536"/>
      <c r="C908" s="68" t="s">
        <v>36</v>
      </c>
      <c r="D908" s="69">
        <v>28</v>
      </c>
      <c r="E908" s="59">
        <v>25265.69</v>
      </c>
      <c r="F908" s="59"/>
      <c r="G908" s="59"/>
      <c r="H908" s="59">
        <v>6459.63</v>
      </c>
      <c r="I908" s="59">
        <v>157.30000000000001</v>
      </c>
      <c r="J908" s="59">
        <v>2656.89</v>
      </c>
      <c r="K908" s="59">
        <v>31882.62</v>
      </c>
      <c r="L908" s="60">
        <v>34539.51</v>
      </c>
      <c r="M908" s="33"/>
      <c r="N908" s="59">
        <v>31882.62</v>
      </c>
      <c r="O908" s="59">
        <v>25422.99</v>
      </c>
      <c r="P908" s="59">
        <v>3090</v>
      </c>
      <c r="Q908" s="59">
        <v>39115.65</v>
      </c>
      <c r="R908" s="59">
        <v>36458.76</v>
      </c>
    </row>
    <row r="909" spans="1:26" s="7" customFormat="1" ht="9" customHeight="1" x14ac:dyDescent="0.2">
      <c r="A909" s="536"/>
      <c r="B909" s="536"/>
      <c r="C909" s="62" t="s">
        <v>37</v>
      </c>
      <c r="D909" s="63">
        <v>34</v>
      </c>
      <c r="E909" s="64">
        <v>48921198</v>
      </c>
      <c r="F909" s="65"/>
      <c r="G909" s="65"/>
      <c r="H909" s="64">
        <v>12507588</v>
      </c>
      <c r="I909" s="64">
        <v>304575</v>
      </c>
      <c r="J909" s="66">
        <v>5144456</v>
      </c>
      <c r="K909" s="64">
        <v>61733361</v>
      </c>
      <c r="L909" s="64">
        <v>66877817</v>
      </c>
      <c r="M909" s="39"/>
      <c r="N909" s="65">
        <v>61733361</v>
      </c>
      <c r="O909" s="65">
        <v>49225773</v>
      </c>
      <c r="P909" s="64">
        <v>5983074</v>
      </c>
      <c r="Q909" s="65">
        <v>75738460</v>
      </c>
      <c r="R909" s="65">
        <v>70594003</v>
      </c>
    </row>
    <row r="910" spans="1:26" s="7" customFormat="1" ht="12.75" customHeight="1" x14ac:dyDescent="0.2">
      <c r="A910" s="536"/>
      <c r="B910" s="536"/>
      <c r="C910" s="68" t="s">
        <v>36</v>
      </c>
      <c r="D910" s="69">
        <v>35</v>
      </c>
      <c r="E910" s="59">
        <v>26844.97</v>
      </c>
      <c r="F910" s="59"/>
      <c r="G910" s="59"/>
      <c r="H910" s="59">
        <v>6459.63</v>
      </c>
      <c r="I910" s="59">
        <v>157.30000000000001</v>
      </c>
      <c r="J910" s="59">
        <v>2788.49</v>
      </c>
      <c r="K910" s="59">
        <v>33461.9</v>
      </c>
      <c r="L910" s="60">
        <v>36250.39</v>
      </c>
      <c r="M910" s="33"/>
      <c r="N910" s="59">
        <v>33461.9</v>
      </c>
      <c r="O910" s="59">
        <v>27002.27</v>
      </c>
      <c r="P910" s="59">
        <v>3090</v>
      </c>
      <c r="Q910" s="59">
        <v>41110.800000000003</v>
      </c>
      <c r="R910" s="59">
        <v>38322.31</v>
      </c>
    </row>
    <row r="911" spans="1:26" s="7" customFormat="1" ht="9" customHeight="1" x14ac:dyDescent="0.2">
      <c r="A911" s="537"/>
      <c r="B911" s="537"/>
      <c r="C911" s="71" t="s">
        <v>37</v>
      </c>
      <c r="D911" s="72"/>
      <c r="E911" s="64">
        <v>51979110</v>
      </c>
      <c r="F911" s="64"/>
      <c r="G911" s="64"/>
      <c r="H911" s="64">
        <v>12507588</v>
      </c>
      <c r="I911" s="64">
        <v>304575</v>
      </c>
      <c r="J911" s="64">
        <v>5399270</v>
      </c>
      <c r="K911" s="64">
        <v>64791273</v>
      </c>
      <c r="L911" s="64">
        <v>70190543</v>
      </c>
      <c r="M911" s="39"/>
      <c r="N911" s="64">
        <v>64791273</v>
      </c>
      <c r="O911" s="64">
        <v>52283685</v>
      </c>
      <c r="P911" s="64">
        <v>5983074</v>
      </c>
      <c r="Q911" s="64">
        <v>79601609</v>
      </c>
      <c r="R911" s="65">
        <v>74202339</v>
      </c>
    </row>
    <row r="912" spans="1:26" ht="9" customHeight="1" x14ac:dyDescent="0.2">
      <c r="A912" s="95"/>
      <c r="B912" s="95"/>
      <c r="C912" s="44"/>
      <c r="D912" s="45"/>
      <c r="E912" s="96"/>
      <c r="F912" s="96"/>
      <c r="G912" s="96"/>
      <c r="H912" s="96"/>
      <c r="I912" s="96"/>
      <c r="J912" s="54"/>
      <c r="K912" s="96"/>
      <c r="L912" s="96"/>
      <c r="M912" s="39"/>
      <c r="N912" s="96"/>
      <c r="O912" s="96"/>
      <c r="P912" s="96"/>
      <c r="Q912" s="96"/>
      <c r="R912" s="7"/>
      <c r="S912" s="7"/>
      <c r="T912" s="7"/>
      <c r="U912" s="7"/>
      <c r="V912" s="7"/>
      <c r="W912" s="7"/>
      <c r="X912" s="7"/>
      <c r="Y912" s="7"/>
      <c r="Z912" s="7"/>
    </row>
    <row r="913" spans="1:26" ht="9" customHeight="1" x14ac:dyDescent="0.2">
      <c r="A913" s="95"/>
      <c r="B913" s="95"/>
      <c r="C913" s="44"/>
      <c r="D913" s="45"/>
      <c r="E913" s="96"/>
      <c r="F913" s="96"/>
      <c r="G913" s="96"/>
      <c r="H913" s="96"/>
      <c r="I913" s="96"/>
      <c r="J913" s="54"/>
      <c r="K913" s="96"/>
      <c r="L913" s="96"/>
      <c r="M913" s="39"/>
      <c r="N913" s="96"/>
      <c r="O913" s="96"/>
      <c r="P913" s="96"/>
      <c r="Q913" s="96"/>
      <c r="R913" s="7"/>
      <c r="S913" s="7"/>
      <c r="T913" s="7"/>
      <c r="U913" s="7"/>
      <c r="V913" s="7"/>
      <c r="W913" s="7"/>
      <c r="X913" s="7"/>
      <c r="Y913" s="7"/>
      <c r="Z913" s="7"/>
    </row>
    <row r="914" spans="1:26" ht="9" customHeight="1" x14ac:dyDescent="0.2">
      <c r="A914" s="95"/>
      <c r="B914" s="95"/>
      <c r="C914" s="44"/>
      <c r="D914" s="45"/>
      <c r="E914" s="96"/>
      <c r="F914" s="96"/>
      <c r="G914" s="96"/>
      <c r="H914" s="96"/>
      <c r="I914" s="96"/>
      <c r="J914" s="54"/>
      <c r="K914" s="96"/>
      <c r="L914" s="96"/>
      <c r="M914" s="39"/>
      <c r="N914" s="96"/>
      <c r="O914" s="96"/>
      <c r="P914" s="96"/>
      <c r="Q914" s="96"/>
      <c r="R914" s="7"/>
      <c r="S914" s="7"/>
      <c r="T914" s="7"/>
      <c r="U914" s="7"/>
      <c r="V914" s="7"/>
      <c r="W914" s="7"/>
      <c r="X914" s="7"/>
      <c r="Y914" s="7"/>
      <c r="Z914" s="7"/>
    </row>
    <row r="915" spans="1:26" ht="9" customHeight="1" x14ac:dyDescent="0.2">
      <c r="A915" s="95"/>
      <c r="B915" s="95"/>
      <c r="C915" s="44"/>
      <c r="D915" s="45"/>
      <c r="E915" s="96"/>
      <c r="F915" s="96"/>
      <c r="G915" s="96"/>
      <c r="H915" s="96"/>
      <c r="I915" s="96"/>
      <c r="J915" s="54"/>
      <c r="K915" s="96"/>
      <c r="L915" s="96"/>
      <c r="M915" s="39"/>
      <c r="N915" s="96"/>
      <c r="O915" s="96"/>
      <c r="P915" s="96"/>
      <c r="Q915" s="96"/>
      <c r="R915" s="7"/>
      <c r="S915" s="7"/>
      <c r="T915" s="7"/>
      <c r="U915" s="7"/>
      <c r="V915" s="7"/>
      <c r="W915" s="7"/>
      <c r="X915" s="7"/>
      <c r="Y915" s="7"/>
      <c r="Z915" s="7"/>
    </row>
    <row r="916" spans="1:26" ht="9" customHeight="1" x14ac:dyDescent="0.2">
      <c r="A916" s="95"/>
      <c r="B916" s="95"/>
      <c r="C916" s="44"/>
      <c r="D916" s="45"/>
      <c r="E916" s="96"/>
      <c r="F916" s="96"/>
      <c r="G916" s="96"/>
      <c r="H916" s="96"/>
      <c r="I916" s="96"/>
      <c r="J916" s="54"/>
      <c r="K916" s="96"/>
      <c r="L916" s="96"/>
      <c r="M916" s="39"/>
      <c r="N916" s="96"/>
      <c r="O916" s="96"/>
      <c r="P916" s="96"/>
      <c r="Q916" s="96"/>
      <c r="R916" s="7"/>
      <c r="S916" s="7"/>
      <c r="T916" s="7"/>
      <c r="U916" s="7"/>
      <c r="V916" s="7"/>
      <c r="W916" s="7"/>
      <c r="X916" s="7"/>
      <c r="Y916" s="7"/>
      <c r="Z916" s="7"/>
    </row>
    <row r="917" spans="1:26" ht="9" customHeight="1" x14ac:dyDescent="0.2">
      <c r="A917" s="95"/>
      <c r="B917" s="95"/>
      <c r="C917" s="44"/>
      <c r="D917" s="45"/>
      <c r="E917" s="96"/>
      <c r="F917" s="96"/>
      <c r="G917" s="96"/>
      <c r="H917" s="96"/>
      <c r="I917" s="96"/>
      <c r="J917" s="54"/>
      <c r="K917" s="96"/>
      <c r="L917" s="96"/>
      <c r="M917" s="39"/>
      <c r="N917" s="96"/>
      <c r="O917" s="96"/>
      <c r="P917" s="96"/>
      <c r="Q917" s="96"/>
      <c r="R917" s="7"/>
      <c r="S917" s="7"/>
      <c r="T917" s="7"/>
      <c r="U917" s="7"/>
      <c r="V917" s="7"/>
      <c r="W917" s="7"/>
      <c r="X917" s="7"/>
      <c r="Y917" s="7"/>
      <c r="Z917" s="7"/>
    </row>
    <row r="918" spans="1:26" ht="9" customHeight="1" x14ac:dyDescent="0.2">
      <c r="A918" s="95"/>
      <c r="B918" s="95"/>
      <c r="C918" s="44"/>
      <c r="D918" s="45"/>
      <c r="E918" s="96"/>
      <c r="F918" s="96"/>
      <c r="G918" s="96"/>
      <c r="H918" s="96"/>
      <c r="I918" s="96"/>
      <c r="J918" s="54"/>
      <c r="K918" s="96"/>
      <c r="L918" s="96"/>
      <c r="M918" s="39"/>
      <c r="N918" s="96"/>
      <c r="O918" s="96"/>
      <c r="P918" s="96"/>
      <c r="Q918" s="96"/>
      <c r="R918" s="7"/>
      <c r="S918" s="7"/>
      <c r="T918" s="7"/>
      <c r="U918" s="7"/>
      <c r="V918" s="7"/>
      <c r="W918" s="7"/>
      <c r="X918" s="7"/>
      <c r="Y918" s="7"/>
      <c r="Z918" s="7"/>
    </row>
    <row r="919" spans="1:26" ht="9" customHeight="1" x14ac:dyDescent="0.2">
      <c r="A919" s="95"/>
      <c r="B919" s="95"/>
      <c r="C919" s="44"/>
      <c r="D919" s="45"/>
      <c r="E919" s="96"/>
      <c r="F919" s="96"/>
      <c r="G919" s="96"/>
      <c r="H919" s="96"/>
      <c r="I919" s="96"/>
      <c r="J919" s="54"/>
      <c r="K919" s="96"/>
      <c r="L919" s="96"/>
      <c r="M919" s="39"/>
      <c r="N919" s="96"/>
      <c r="O919" s="96"/>
      <c r="P919" s="96"/>
      <c r="Q919" s="96"/>
      <c r="R919" s="7"/>
      <c r="S919" s="7"/>
      <c r="T919" s="7"/>
      <c r="U919" s="7"/>
      <c r="V919" s="7"/>
      <c r="W919" s="7"/>
      <c r="X919" s="7"/>
      <c r="Y919" s="7"/>
      <c r="Z919" s="7"/>
    </row>
    <row r="920" spans="1:26" s="7" customFormat="1" ht="12.75" customHeight="1" x14ac:dyDescent="0.2">
      <c r="A920" s="522">
        <v>43160</v>
      </c>
      <c r="B920" s="522">
        <v>43190</v>
      </c>
      <c r="C920" s="57" t="s">
        <v>36</v>
      </c>
      <c r="D920" s="58">
        <v>0</v>
      </c>
      <c r="E920" s="59">
        <v>15233.64</v>
      </c>
      <c r="F920" s="59"/>
      <c r="G920" s="59"/>
      <c r="H920" s="59">
        <v>6459.63</v>
      </c>
      <c r="I920" s="59">
        <v>157.30000000000001</v>
      </c>
      <c r="J920" s="59">
        <v>1820.88</v>
      </c>
      <c r="K920" s="59">
        <v>21850.57</v>
      </c>
      <c r="L920" s="60">
        <v>23671.45</v>
      </c>
      <c r="M920" s="33"/>
      <c r="N920" s="59">
        <v>21850.57</v>
      </c>
      <c r="O920" s="59">
        <v>15390.94</v>
      </c>
      <c r="P920" s="59">
        <v>2094</v>
      </c>
      <c r="Q920" s="59">
        <v>26441.82</v>
      </c>
      <c r="R920" s="59">
        <v>24620.94</v>
      </c>
    </row>
    <row r="921" spans="1:26" s="7" customFormat="1" ht="9" customHeight="1" x14ac:dyDescent="0.2">
      <c r="A921" s="523"/>
      <c r="B921" s="523"/>
      <c r="C921" s="62" t="s">
        <v>37</v>
      </c>
      <c r="D921" s="63">
        <v>8</v>
      </c>
      <c r="E921" s="64">
        <v>29496440</v>
      </c>
      <c r="F921" s="65"/>
      <c r="G921" s="65"/>
      <c r="H921" s="64">
        <v>12507588</v>
      </c>
      <c r="I921" s="64">
        <v>304575</v>
      </c>
      <c r="J921" s="66">
        <v>3525715</v>
      </c>
      <c r="K921" s="64">
        <v>42308603</v>
      </c>
      <c r="L921" s="64">
        <v>45834318</v>
      </c>
      <c r="M921" s="39"/>
      <c r="N921" s="65">
        <v>42308603</v>
      </c>
      <c r="O921" s="65">
        <v>29801015</v>
      </c>
      <c r="P921" s="64">
        <v>4054549</v>
      </c>
      <c r="Q921" s="65">
        <v>51198503</v>
      </c>
      <c r="R921" s="65">
        <v>47672787</v>
      </c>
    </row>
    <row r="922" spans="1:26" s="7" customFormat="1" ht="12.75" customHeight="1" x14ac:dyDescent="0.2">
      <c r="A922" s="520">
        <v>43160</v>
      </c>
      <c r="B922" s="520">
        <v>43190</v>
      </c>
      <c r="C922" s="68" t="s">
        <v>36</v>
      </c>
      <c r="D922" s="69">
        <v>9</v>
      </c>
      <c r="E922" s="59">
        <v>18430.849999999999</v>
      </c>
      <c r="F922" s="59"/>
      <c r="G922" s="59"/>
      <c r="H922" s="59">
        <v>6459.63</v>
      </c>
      <c r="I922" s="59">
        <v>157.30000000000001</v>
      </c>
      <c r="J922" s="59">
        <v>2087.3200000000002</v>
      </c>
      <c r="K922" s="59">
        <v>25047.78</v>
      </c>
      <c r="L922" s="60">
        <v>27135.1</v>
      </c>
      <c r="M922" s="33"/>
      <c r="N922" s="59">
        <v>25047.78</v>
      </c>
      <c r="O922" s="59">
        <v>18588.150000000001</v>
      </c>
      <c r="P922" s="59">
        <v>2094</v>
      </c>
      <c r="Q922" s="59">
        <v>30480.97</v>
      </c>
      <c r="R922" s="59">
        <v>28393.65</v>
      </c>
    </row>
    <row r="923" spans="1:26" s="7" customFormat="1" ht="9" customHeight="1" x14ac:dyDescent="0.2">
      <c r="A923" s="520"/>
      <c r="B923" s="520"/>
      <c r="C923" s="62" t="s">
        <v>37</v>
      </c>
      <c r="D923" s="63">
        <v>14</v>
      </c>
      <c r="E923" s="64">
        <v>35687102</v>
      </c>
      <c r="F923" s="65"/>
      <c r="G923" s="65"/>
      <c r="H923" s="64">
        <v>12507588</v>
      </c>
      <c r="I923" s="64">
        <v>304575</v>
      </c>
      <c r="J923" s="66">
        <v>4041615</v>
      </c>
      <c r="K923" s="64">
        <v>48499265</v>
      </c>
      <c r="L923" s="64">
        <v>52540880</v>
      </c>
      <c r="M923" s="39"/>
      <c r="N923" s="65">
        <v>48499265</v>
      </c>
      <c r="O923" s="65">
        <v>35991677</v>
      </c>
      <c r="P923" s="64">
        <v>4054549</v>
      </c>
      <c r="Q923" s="65">
        <v>59019388</v>
      </c>
      <c r="R923" s="65">
        <v>54977773</v>
      </c>
    </row>
    <row r="924" spans="1:26" s="7" customFormat="1" ht="12.75" customHeight="1" x14ac:dyDescent="0.2">
      <c r="A924" s="520"/>
      <c r="B924" s="520"/>
      <c r="C924" s="68" t="s">
        <v>36</v>
      </c>
      <c r="D924" s="69">
        <v>15</v>
      </c>
      <c r="E924" s="59">
        <v>20860.060000000001</v>
      </c>
      <c r="F924" s="59"/>
      <c r="G924" s="59"/>
      <c r="H924" s="59">
        <v>6459.63</v>
      </c>
      <c r="I924" s="59">
        <v>157.30000000000001</v>
      </c>
      <c r="J924" s="59">
        <v>2289.75</v>
      </c>
      <c r="K924" s="59">
        <v>27476.99</v>
      </c>
      <c r="L924" s="60">
        <v>29766.74</v>
      </c>
      <c r="M924" s="33"/>
      <c r="N924" s="59">
        <v>27476.99</v>
      </c>
      <c r="O924" s="59">
        <v>21017.360000000001</v>
      </c>
      <c r="P924" s="59">
        <v>2577.6</v>
      </c>
      <c r="Q924" s="59">
        <v>33549.86</v>
      </c>
      <c r="R924" s="59">
        <v>31260.11</v>
      </c>
    </row>
    <row r="925" spans="1:26" s="7" customFormat="1" ht="9" customHeight="1" x14ac:dyDescent="0.2">
      <c r="A925" s="520"/>
      <c r="B925" s="520"/>
      <c r="C925" s="62" t="s">
        <v>37</v>
      </c>
      <c r="D925" s="63">
        <v>20</v>
      </c>
      <c r="E925" s="64">
        <v>40390708</v>
      </c>
      <c r="F925" s="65"/>
      <c r="G925" s="65"/>
      <c r="H925" s="64">
        <v>12507588</v>
      </c>
      <c r="I925" s="64">
        <v>304575</v>
      </c>
      <c r="J925" s="66">
        <v>4433574</v>
      </c>
      <c r="K925" s="64">
        <v>53202871</v>
      </c>
      <c r="L925" s="64">
        <v>57636446</v>
      </c>
      <c r="M925" s="39"/>
      <c r="N925" s="65">
        <v>53202871</v>
      </c>
      <c r="O925" s="65">
        <v>40695284</v>
      </c>
      <c r="P925" s="64">
        <v>4990930</v>
      </c>
      <c r="Q925" s="65">
        <v>64961587</v>
      </c>
      <c r="R925" s="65">
        <v>60528013</v>
      </c>
    </row>
    <row r="926" spans="1:26" s="7" customFormat="1" ht="12.75" customHeight="1" x14ac:dyDescent="0.2">
      <c r="A926" s="520"/>
      <c r="B926" s="520"/>
      <c r="C926" s="68" t="s">
        <v>36</v>
      </c>
      <c r="D926" s="69">
        <v>21</v>
      </c>
      <c r="E926" s="59">
        <v>23955.33</v>
      </c>
      <c r="F926" s="59"/>
      <c r="G926" s="59"/>
      <c r="H926" s="59">
        <v>6459.63</v>
      </c>
      <c r="I926" s="59">
        <v>157.30000000000001</v>
      </c>
      <c r="J926" s="59">
        <v>2547.69</v>
      </c>
      <c r="K926" s="59">
        <v>30572.26</v>
      </c>
      <c r="L926" s="60">
        <v>33119.949999999997</v>
      </c>
      <c r="M926" s="33"/>
      <c r="N926" s="59">
        <v>30572.26</v>
      </c>
      <c r="O926" s="59">
        <v>24112.63</v>
      </c>
      <c r="P926" s="59">
        <v>2577.6</v>
      </c>
      <c r="Q926" s="59">
        <v>37460.22</v>
      </c>
      <c r="R926" s="59">
        <v>34912.53</v>
      </c>
    </row>
    <row r="927" spans="1:26" s="7" customFormat="1" ht="9" customHeight="1" x14ac:dyDescent="0.2">
      <c r="A927" s="520"/>
      <c r="B927" s="520"/>
      <c r="C927" s="62" t="s">
        <v>37</v>
      </c>
      <c r="D927" s="63">
        <v>27</v>
      </c>
      <c r="E927" s="64">
        <v>46383987</v>
      </c>
      <c r="F927" s="65"/>
      <c r="G927" s="65"/>
      <c r="H927" s="64">
        <v>12507588</v>
      </c>
      <c r="I927" s="64">
        <v>304575</v>
      </c>
      <c r="J927" s="66">
        <v>4933016</v>
      </c>
      <c r="K927" s="64">
        <v>59196150</v>
      </c>
      <c r="L927" s="64">
        <v>64129166</v>
      </c>
      <c r="M927" s="39"/>
      <c r="N927" s="65">
        <v>59196150</v>
      </c>
      <c r="O927" s="65">
        <v>46688562</v>
      </c>
      <c r="P927" s="64">
        <v>4990930</v>
      </c>
      <c r="Q927" s="65">
        <v>72533100</v>
      </c>
      <c r="R927" s="65">
        <v>67600084</v>
      </c>
    </row>
    <row r="928" spans="1:26" s="7" customFormat="1" ht="12.75" customHeight="1" x14ac:dyDescent="0.2">
      <c r="A928" s="520"/>
      <c r="B928" s="520"/>
      <c r="C928" s="68" t="s">
        <v>36</v>
      </c>
      <c r="D928" s="69">
        <v>28</v>
      </c>
      <c r="E928" s="59">
        <v>25984.49</v>
      </c>
      <c r="F928" s="59"/>
      <c r="G928" s="59"/>
      <c r="H928" s="59">
        <v>6459.63</v>
      </c>
      <c r="I928" s="59">
        <v>157.30000000000001</v>
      </c>
      <c r="J928" s="59">
        <v>2716.79</v>
      </c>
      <c r="K928" s="59">
        <v>32601.42</v>
      </c>
      <c r="L928" s="60">
        <v>35318.21</v>
      </c>
      <c r="M928" s="33"/>
      <c r="N928" s="59">
        <v>32601.42</v>
      </c>
      <c r="O928" s="59">
        <v>26141.79</v>
      </c>
      <c r="P928" s="59">
        <v>3278.4</v>
      </c>
      <c r="Q928" s="59">
        <v>40023.730000000003</v>
      </c>
      <c r="R928" s="59">
        <v>37306.94</v>
      </c>
    </row>
    <row r="929" spans="1:26" s="7" customFormat="1" ht="9" customHeight="1" x14ac:dyDescent="0.2">
      <c r="A929" s="520"/>
      <c r="B929" s="520"/>
      <c r="C929" s="62" t="s">
        <v>37</v>
      </c>
      <c r="D929" s="63">
        <v>34</v>
      </c>
      <c r="E929" s="64">
        <v>50312988</v>
      </c>
      <c r="F929" s="65"/>
      <c r="G929" s="65"/>
      <c r="H929" s="64">
        <v>12507588</v>
      </c>
      <c r="I929" s="64">
        <v>304575</v>
      </c>
      <c r="J929" s="66">
        <v>5260439</v>
      </c>
      <c r="K929" s="64">
        <v>63125152</v>
      </c>
      <c r="L929" s="64">
        <v>68385590</v>
      </c>
      <c r="M929" s="39"/>
      <c r="N929" s="65">
        <v>63125152</v>
      </c>
      <c r="O929" s="65">
        <v>50617564</v>
      </c>
      <c r="P929" s="64">
        <v>6347868</v>
      </c>
      <c r="Q929" s="65">
        <v>77496748</v>
      </c>
      <c r="R929" s="65">
        <v>72236309</v>
      </c>
    </row>
    <row r="930" spans="1:26" s="7" customFormat="1" ht="12.75" customHeight="1" x14ac:dyDescent="0.2">
      <c r="A930" s="520"/>
      <c r="B930" s="520"/>
      <c r="C930" s="68" t="s">
        <v>36</v>
      </c>
      <c r="D930" s="69">
        <v>35</v>
      </c>
      <c r="E930" s="59">
        <v>27592.57</v>
      </c>
      <c r="F930" s="59"/>
      <c r="G930" s="59"/>
      <c r="H930" s="59">
        <v>6459.63</v>
      </c>
      <c r="I930" s="59">
        <v>157.30000000000001</v>
      </c>
      <c r="J930" s="59">
        <v>2850.79</v>
      </c>
      <c r="K930" s="59">
        <v>34209.5</v>
      </c>
      <c r="L930" s="60">
        <v>37060.29</v>
      </c>
      <c r="M930" s="33"/>
      <c r="N930" s="59">
        <v>34209.5</v>
      </c>
      <c r="O930" s="59">
        <v>27749.87</v>
      </c>
      <c r="P930" s="59">
        <v>3278.4</v>
      </c>
      <c r="Q930" s="59">
        <v>42055.27</v>
      </c>
      <c r="R930" s="59">
        <v>39204.480000000003</v>
      </c>
    </row>
    <row r="931" spans="1:26" s="7" customFormat="1" ht="9" customHeight="1" x14ac:dyDescent="0.2">
      <c r="A931" s="521"/>
      <c r="B931" s="521"/>
      <c r="C931" s="71" t="s">
        <v>37</v>
      </c>
      <c r="D931" s="72"/>
      <c r="E931" s="64">
        <v>53426666</v>
      </c>
      <c r="F931" s="64"/>
      <c r="G931" s="64"/>
      <c r="H931" s="64">
        <v>12507588</v>
      </c>
      <c r="I931" s="64">
        <v>304575</v>
      </c>
      <c r="J931" s="64">
        <v>5519899</v>
      </c>
      <c r="K931" s="64">
        <v>66238829</v>
      </c>
      <c r="L931" s="64">
        <v>71758728</v>
      </c>
      <c r="M931" s="39"/>
      <c r="N931" s="64">
        <v>66238829</v>
      </c>
      <c r="O931" s="64">
        <v>53731241</v>
      </c>
      <c r="P931" s="64">
        <v>6347868</v>
      </c>
      <c r="Q931" s="64">
        <v>81430358</v>
      </c>
      <c r="R931" s="65">
        <v>75910458</v>
      </c>
    </row>
    <row r="932" spans="1:26" ht="9" customHeight="1" x14ac:dyDescent="0.2">
      <c r="A932" s="95"/>
      <c r="B932" s="95"/>
      <c r="C932" s="44"/>
      <c r="D932" s="45"/>
      <c r="E932" s="96"/>
      <c r="F932" s="96"/>
      <c r="G932" s="96"/>
      <c r="H932" s="96"/>
      <c r="I932" s="96"/>
      <c r="J932" s="54"/>
      <c r="K932" s="96"/>
      <c r="L932" s="96"/>
      <c r="M932" s="39"/>
      <c r="N932" s="96"/>
      <c r="O932" s="96"/>
      <c r="P932" s="96"/>
      <c r="Q932" s="96"/>
      <c r="R932" s="7"/>
      <c r="S932" s="7"/>
      <c r="T932" s="7"/>
      <c r="U932" s="7"/>
      <c r="V932" s="7"/>
      <c r="W932" s="7"/>
      <c r="X932" s="7"/>
      <c r="Y932" s="7"/>
      <c r="Z932" s="7"/>
    </row>
    <row r="933" spans="1:26" ht="9" customHeight="1" x14ac:dyDescent="0.2">
      <c r="A933" s="95"/>
      <c r="B933" s="95"/>
      <c r="C933" s="44"/>
      <c r="D933" s="45"/>
      <c r="E933" s="96"/>
      <c r="F933" s="96"/>
      <c r="G933" s="96"/>
      <c r="H933" s="96"/>
      <c r="I933" s="96"/>
      <c r="J933" s="54"/>
      <c r="K933" s="96"/>
      <c r="L933" s="96"/>
      <c r="M933" s="39"/>
      <c r="N933" s="96"/>
      <c r="O933" s="96"/>
      <c r="P933" s="96"/>
      <c r="Q933" s="96"/>
      <c r="R933" s="7"/>
      <c r="S933" s="7"/>
      <c r="T933" s="7"/>
      <c r="U933" s="7"/>
      <c r="V933" s="7"/>
      <c r="W933" s="7"/>
      <c r="X933" s="7"/>
      <c r="Y933" s="7"/>
      <c r="Z933" s="7"/>
    </row>
    <row r="934" spans="1:26" ht="9" customHeight="1" x14ac:dyDescent="0.2">
      <c r="A934" s="95"/>
      <c r="B934" s="95"/>
      <c r="C934" s="44"/>
      <c r="D934" s="45"/>
      <c r="E934" s="96"/>
      <c r="F934" s="96"/>
      <c r="G934" s="96"/>
      <c r="H934" s="96"/>
      <c r="I934" s="96"/>
      <c r="J934" s="54"/>
      <c r="K934" s="96"/>
      <c r="L934" s="96"/>
      <c r="M934" s="39"/>
      <c r="N934" s="96"/>
      <c r="O934" s="96"/>
      <c r="P934" s="96"/>
      <c r="Q934" s="96"/>
      <c r="R934" s="7"/>
      <c r="S934" s="7"/>
      <c r="T934" s="7"/>
      <c r="U934" s="7"/>
      <c r="V934" s="7"/>
      <c r="W934" s="7"/>
      <c r="X934" s="7"/>
      <c r="Y934" s="7"/>
      <c r="Z934" s="7"/>
    </row>
    <row r="935" spans="1:26" ht="9" customHeight="1" x14ac:dyDescent="0.2">
      <c r="A935" s="95"/>
      <c r="B935" s="95"/>
      <c r="C935" s="44"/>
      <c r="D935" s="45"/>
      <c r="E935" s="96"/>
      <c r="F935" s="96"/>
      <c r="G935" s="96"/>
      <c r="H935" s="96"/>
      <c r="I935" s="96"/>
      <c r="J935" s="54"/>
      <c r="K935" s="96"/>
      <c r="L935" s="96"/>
      <c r="M935" s="39"/>
      <c r="N935" s="96"/>
      <c r="O935" s="96"/>
      <c r="P935" s="96"/>
      <c r="Q935" s="96"/>
      <c r="R935" s="7"/>
      <c r="S935" s="7"/>
      <c r="T935" s="7"/>
      <c r="U935" s="7"/>
      <c r="V935" s="7"/>
      <c r="W935" s="7"/>
      <c r="X935" s="7"/>
      <c r="Y935" s="7"/>
      <c r="Z935" s="7"/>
    </row>
    <row r="936" spans="1:26" ht="9" customHeight="1" x14ac:dyDescent="0.2">
      <c r="A936" s="95"/>
      <c r="B936" s="95"/>
      <c r="C936" s="44"/>
      <c r="D936" s="45"/>
      <c r="E936" s="96"/>
      <c r="F936" s="96"/>
      <c r="G936" s="96"/>
      <c r="H936" s="96"/>
      <c r="I936" s="96"/>
      <c r="J936" s="54"/>
      <c r="K936" s="96"/>
      <c r="L936" s="96"/>
      <c r="M936" s="39"/>
      <c r="N936" s="96"/>
      <c r="O936" s="96"/>
      <c r="P936" s="96"/>
      <c r="Q936" s="96"/>
      <c r="R936" s="7"/>
      <c r="S936" s="7"/>
      <c r="T936" s="7"/>
      <c r="U936" s="7"/>
      <c r="V936" s="7"/>
      <c r="W936" s="7"/>
      <c r="X936" s="7"/>
      <c r="Y936" s="7"/>
      <c r="Z936" s="7"/>
    </row>
    <row r="937" spans="1:26" ht="9" customHeight="1" x14ac:dyDescent="0.2">
      <c r="A937" s="95"/>
      <c r="B937" s="95"/>
      <c r="C937" s="44"/>
      <c r="D937" s="45"/>
      <c r="E937" s="96"/>
      <c r="F937" s="96"/>
      <c r="G937" s="96"/>
      <c r="H937" s="96"/>
      <c r="I937" s="96"/>
      <c r="J937" s="54"/>
      <c r="K937" s="96"/>
      <c r="L937" s="96"/>
      <c r="M937" s="39"/>
      <c r="N937" s="96"/>
      <c r="O937" s="96"/>
      <c r="P937" s="96"/>
      <c r="Q937" s="96"/>
      <c r="R937" s="7"/>
      <c r="S937" s="7"/>
      <c r="T937" s="7"/>
      <c r="U937" s="7"/>
      <c r="V937" s="7"/>
      <c r="W937" s="7"/>
      <c r="X937" s="7"/>
      <c r="Y937" s="7"/>
      <c r="Z937" s="7"/>
    </row>
    <row r="938" spans="1:26" ht="9" customHeight="1" x14ac:dyDescent="0.2">
      <c r="A938" s="95"/>
      <c r="B938" s="95"/>
      <c r="C938" s="44"/>
      <c r="D938" s="45"/>
      <c r="E938" s="96"/>
      <c r="F938" s="96"/>
      <c r="G938" s="96"/>
      <c r="H938" s="96"/>
      <c r="I938" s="96"/>
      <c r="J938" s="54"/>
      <c r="K938" s="96"/>
      <c r="L938" s="96"/>
      <c r="M938" s="39"/>
      <c r="N938" s="96"/>
      <c r="O938" s="96"/>
      <c r="P938" s="96"/>
      <c r="Q938" s="96"/>
      <c r="R938" s="7"/>
      <c r="S938" s="7"/>
      <c r="T938" s="7"/>
      <c r="U938" s="7"/>
      <c r="V938" s="7"/>
      <c r="W938" s="7"/>
      <c r="X938" s="7"/>
      <c r="Y938" s="7"/>
      <c r="Z938" s="7"/>
    </row>
    <row r="939" spans="1:26" ht="9" customHeight="1" x14ac:dyDescent="0.2">
      <c r="A939" s="95"/>
      <c r="B939" s="95"/>
      <c r="C939" s="44"/>
      <c r="D939" s="45"/>
      <c r="E939" s="96"/>
      <c r="F939" s="96"/>
      <c r="G939" s="96"/>
      <c r="H939" s="96"/>
      <c r="I939" s="96"/>
      <c r="J939" s="54"/>
      <c r="K939" s="96"/>
      <c r="L939" s="96"/>
      <c r="M939" s="39"/>
      <c r="N939" s="96"/>
      <c r="O939" s="96"/>
      <c r="P939" s="96"/>
      <c r="Q939" s="96"/>
      <c r="R939" s="7"/>
      <c r="S939" s="7"/>
      <c r="T939" s="7"/>
      <c r="U939" s="7"/>
      <c r="V939" s="7"/>
      <c r="W939" s="7"/>
      <c r="X939" s="7"/>
      <c r="Y939" s="7"/>
      <c r="Z939" s="7"/>
    </row>
    <row r="940" spans="1:26" s="7" customFormat="1" ht="12.75" customHeight="1" x14ac:dyDescent="0.2">
      <c r="A940" s="522">
        <v>43191</v>
      </c>
      <c r="B940" s="522">
        <v>43465</v>
      </c>
      <c r="C940" s="57" t="s">
        <v>36</v>
      </c>
      <c r="D940" s="58">
        <v>0</v>
      </c>
      <c r="E940" s="59">
        <v>15390.94</v>
      </c>
      <c r="F940" s="59"/>
      <c r="G940" s="59"/>
      <c r="H940" s="59">
        <v>6459.63</v>
      </c>
      <c r="I940" s="59"/>
      <c r="J940" s="59">
        <v>1820.88</v>
      </c>
      <c r="K940" s="59">
        <v>21850.57</v>
      </c>
      <c r="L940" s="60">
        <v>23671.45</v>
      </c>
      <c r="M940" s="33"/>
      <c r="N940" s="59">
        <v>21850.57</v>
      </c>
      <c r="O940" s="59">
        <v>15390.94</v>
      </c>
      <c r="P940" s="59">
        <v>2094</v>
      </c>
      <c r="Q940" s="59">
        <v>26441.82</v>
      </c>
      <c r="R940" s="59">
        <v>24620.94</v>
      </c>
    </row>
    <row r="941" spans="1:26" s="7" customFormat="1" ht="9" customHeight="1" x14ac:dyDescent="0.2">
      <c r="A941" s="523"/>
      <c r="B941" s="523"/>
      <c r="C941" s="62" t="s">
        <v>37</v>
      </c>
      <c r="D941" s="63">
        <v>8</v>
      </c>
      <c r="E941" s="64">
        <v>29801015</v>
      </c>
      <c r="F941" s="65"/>
      <c r="G941" s="65"/>
      <c r="H941" s="64">
        <v>12507588</v>
      </c>
      <c r="I941" s="64"/>
      <c r="J941" s="66">
        <v>3525715</v>
      </c>
      <c r="K941" s="64">
        <v>42308603</v>
      </c>
      <c r="L941" s="64">
        <v>45834318</v>
      </c>
      <c r="M941" s="39"/>
      <c r="N941" s="65">
        <v>42308603</v>
      </c>
      <c r="O941" s="65">
        <v>29801015</v>
      </c>
      <c r="P941" s="64">
        <v>4054549</v>
      </c>
      <c r="Q941" s="65">
        <v>51198503</v>
      </c>
      <c r="R941" s="65">
        <v>47672787</v>
      </c>
    </row>
    <row r="942" spans="1:26" s="7" customFormat="1" ht="12.75" customHeight="1" x14ac:dyDescent="0.2">
      <c r="A942" s="520">
        <v>43191</v>
      </c>
      <c r="B942" s="520">
        <f>B940</f>
        <v>43465</v>
      </c>
      <c r="C942" s="68" t="s">
        <v>36</v>
      </c>
      <c r="D942" s="69">
        <v>9</v>
      </c>
      <c r="E942" s="59">
        <v>18588.150000000001</v>
      </c>
      <c r="F942" s="59"/>
      <c r="G942" s="59"/>
      <c r="H942" s="59">
        <v>6459.63</v>
      </c>
      <c r="I942" s="59"/>
      <c r="J942" s="59">
        <v>2087.3200000000002</v>
      </c>
      <c r="K942" s="59">
        <v>25047.78</v>
      </c>
      <c r="L942" s="60">
        <v>27135.1</v>
      </c>
      <c r="M942" s="33"/>
      <c r="N942" s="59">
        <v>25047.78</v>
      </c>
      <c r="O942" s="59">
        <v>18588.150000000001</v>
      </c>
      <c r="P942" s="59">
        <v>2094</v>
      </c>
      <c r="Q942" s="59">
        <v>30480.97</v>
      </c>
      <c r="R942" s="59">
        <v>28393.65</v>
      </c>
    </row>
    <row r="943" spans="1:26" s="7" customFormat="1" ht="9" customHeight="1" x14ac:dyDescent="0.2">
      <c r="A943" s="520"/>
      <c r="B943" s="520"/>
      <c r="C943" s="62" t="s">
        <v>37</v>
      </c>
      <c r="D943" s="63">
        <v>14</v>
      </c>
      <c r="E943" s="64">
        <v>35991677</v>
      </c>
      <c r="F943" s="65"/>
      <c r="G943" s="65"/>
      <c r="H943" s="64">
        <v>12507588</v>
      </c>
      <c r="I943" s="64"/>
      <c r="J943" s="66">
        <v>4041615</v>
      </c>
      <c r="K943" s="64">
        <v>48499265</v>
      </c>
      <c r="L943" s="64">
        <v>52540880</v>
      </c>
      <c r="M943" s="39"/>
      <c r="N943" s="65">
        <v>48499265</v>
      </c>
      <c r="O943" s="65">
        <v>35991677</v>
      </c>
      <c r="P943" s="64">
        <v>4054549</v>
      </c>
      <c r="Q943" s="65">
        <v>59019388</v>
      </c>
      <c r="R943" s="64">
        <v>54977773</v>
      </c>
    </row>
    <row r="944" spans="1:26" s="7" customFormat="1" ht="12.75" customHeight="1" x14ac:dyDescent="0.2">
      <c r="A944" s="520"/>
      <c r="B944" s="520"/>
      <c r="C944" s="68" t="s">
        <v>36</v>
      </c>
      <c r="D944" s="69">
        <v>15</v>
      </c>
      <c r="E944" s="59">
        <v>21017.360000000001</v>
      </c>
      <c r="F944" s="59"/>
      <c r="G944" s="59"/>
      <c r="H944" s="59">
        <v>6459.63</v>
      </c>
      <c r="I944" s="59"/>
      <c r="J944" s="59">
        <v>2289.75</v>
      </c>
      <c r="K944" s="59">
        <v>27476.99</v>
      </c>
      <c r="L944" s="60">
        <v>29766.74</v>
      </c>
      <c r="M944" s="33"/>
      <c r="N944" s="59">
        <v>27476.99</v>
      </c>
      <c r="O944" s="59">
        <v>21017.360000000001</v>
      </c>
      <c r="P944" s="59">
        <v>2577.6</v>
      </c>
      <c r="Q944" s="59">
        <v>33549.86</v>
      </c>
      <c r="R944" s="59">
        <v>31260.11</v>
      </c>
    </row>
    <row r="945" spans="1:26" s="7" customFormat="1" ht="9" customHeight="1" x14ac:dyDescent="0.2">
      <c r="A945" s="520"/>
      <c r="B945" s="520"/>
      <c r="C945" s="62" t="s">
        <v>37</v>
      </c>
      <c r="D945" s="63">
        <v>20</v>
      </c>
      <c r="E945" s="64">
        <v>40695284</v>
      </c>
      <c r="F945" s="65"/>
      <c r="G945" s="65"/>
      <c r="H945" s="64">
        <v>12507588</v>
      </c>
      <c r="I945" s="64"/>
      <c r="J945" s="66">
        <v>4433574</v>
      </c>
      <c r="K945" s="64">
        <v>53202871</v>
      </c>
      <c r="L945" s="64">
        <v>57636446</v>
      </c>
      <c r="M945" s="39"/>
      <c r="N945" s="65">
        <v>53202871</v>
      </c>
      <c r="O945" s="65">
        <v>40695284</v>
      </c>
      <c r="P945" s="64">
        <v>4990930</v>
      </c>
      <c r="Q945" s="65">
        <v>64961587</v>
      </c>
      <c r="R945" s="64">
        <v>60528013</v>
      </c>
    </row>
    <row r="946" spans="1:26" s="7" customFormat="1" ht="12.75" customHeight="1" x14ac:dyDescent="0.2">
      <c r="A946" s="520"/>
      <c r="B946" s="520"/>
      <c r="C946" s="68" t="s">
        <v>36</v>
      </c>
      <c r="D946" s="69">
        <v>21</v>
      </c>
      <c r="E946" s="59">
        <v>24112.63</v>
      </c>
      <c r="F946" s="59"/>
      <c r="G946" s="59"/>
      <c r="H946" s="59">
        <v>6459.63</v>
      </c>
      <c r="I946" s="59"/>
      <c r="J946" s="59">
        <v>2547.69</v>
      </c>
      <c r="K946" s="59">
        <v>30572.26</v>
      </c>
      <c r="L946" s="60">
        <v>33119.949999999997</v>
      </c>
      <c r="M946" s="33"/>
      <c r="N946" s="59">
        <v>30572.26</v>
      </c>
      <c r="O946" s="59">
        <v>24112.63</v>
      </c>
      <c r="P946" s="59">
        <v>2577.6</v>
      </c>
      <c r="Q946" s="59">
        <v>37460.22</v>
      </c>
      <c r="R946" s="59">
        <v>34912.53</v>
      </c>
    </row>
    <row r="947" spans="1:26" s="7" customFormat="1" ht="9" customHeight="1" x14ac:dyDescent="0.2">
      <c r="A947" s="520"/>
      <c r="B947" s="520"/>
      <c r="C947" s="62" t="s">
        <v>37</v>
      </c>
      <c r="D947" s="63">
        <v>27</v>
      </c>
      <c r="E947" s="64">
        <v>46688562</v>
      </c>
      <c r="F947" s="65"/>
      <c r="G947" s="65"/>
      <c r="H947" s="64">
        <v>12507588</v>
      </c>
      <c r="I947" s="64"/>
      <c r="J947" s="66">
        <v>4933016</v>
      </c>
      <c r="K947" s="64">
        <v>59196150</v>
      </c>
      <c r="L947" s="64">
        <v>64129166</v>
      </c>
      <c r="M947" s="39"/>
      <c r="N947" s="65">
        <v>59196150</v>
      </c>
      <c r="O947" s="65">
        <v>46688562</v>
      </c>
      <c r="P947" s="64">
        <v>4990930</v>
      </c>
      <c r="Q947" s="65">
        <v>72533100</v>
      </c>
      <c r="R947" s="64">
        <v>67600084</v>
      </c>
    </row>
    <row r="948" spans="1:26" s="7" customFormat="1" ht="12.75" customHeight="1" x14ac:dyDescent="0.2">
      <c r="A948" s="520"/>
      <c r="B948" s="520"/>
      <c r="C948" s="68" t="s">
        <v>36</v>
      </c>
      <c r="D948" s="69">
        <v>28</v>
      </c>
      <c r="E948" s="59">
        <v>26141.79</v>
      </c>
      <c r="F948" s="59"/>
      <c r="G948" s="59"/>
      <c r="H948" s="59">
        <v>6459.63</v>
      </c>
      <c r="I948" s="59"/>
      <c r="J948" s="59">
        <v>2716.79</v>
      </c>
      <c r="K948" s="59">
        <v>32601.42</v>
      </c>
      <c r="L948" s="60">
        <v>35318.21</v>
      </c>
      <c r="M948" s="33"/>
      <c r="N948" s="59">
        <v>32601.42</v>
      </c>
      <c r="O948" s="59">
        <v>26141.79</v>
      </c>
      <c r="P948" s="59">
        <v>3278.4</v>
      </c>
      <c r="Q948" s="59">
        <v>40023.730000000003</v>
      </c>
      <c r="R948" s="59">
        <v>37306.94</v>
      </c>
    </row>
    <row r="949" spans="1:26" s="7" customFormat="1" ht="9" customHeight="1" x14ac:dyDescent="0.2">
      <c r="A949" s="520"/>
      <c r="B949" s="520"/>
      <c r="C949" s="62" t="s">
        <v>37</v>
      </c>
      <c r="D949" s="63">
        <v>34</v>
      </c>
      <c r="E949" s="64">
        <v>50617564</v>
      </c>
      <c r="F949" s="65"/>
      <c r="G949" s="65"/>
      <c r="H949" s="64">
        <v>12507588</v>
      </c>
      <c r="I949" s="64"/>
      <c r="J949" s="66">
        <v>5260439</v>
      </c>
      <c r="K949" s="64">
        <v>63125152</v>
      </c>
      <c r="L949" s="64">
        <v>68385590</v>
      </c>
      <c r="M949" s="39"/>
      <c r="N949" s="65">
        <v>63125152</v>
      </c>
      <c r="O949" s="65">
        <v>50617564</v>
      </c>
      <c r="P949" s="64">
        <v>6347868</v>
      </c>
      <c r="Q949" s="65">
        <v>77496748</v>
      </c>
      <c r="R949" s="64">
        <v>72236309</v>
      </c>
    </row>
    <row r="950" spans="1:26" s="7" customFormat="1" ht="12.75" customHeight="1" x14ac:dyDescent="0.2">
      <c r="A950" s="520"/>
      <c r="B950" s="520"/>
      <c r="C950" s="68" t="s">
        <v>36</v>
      </c>
      <c r="D950" s="69">
        <v>35</v>
      </c>
      <c r="E950" s="59">
        <v>27749.87</v>
      </c>
      <c r="F950" s="59"/>
      <c r="G950" s="59"/>
      <c r="H950" s="59">
        <v>6459.63</v>
      </c>
      <c r="I950" s="59"/>
      <c r="J950" s="59">
        <v>2850.79</v>
      </c>
      <c r="K950" s="59">
        <v>34209.5</v>
      </c>
      <c r="L950" s="60">
        <v>37060.29</v>
      </c>
      <c r="M950" s="33"/>
      <c r="N950" s="59">
        <v>34209.5</v>
      </c>
      <c r="O950" s="59">
        <v>27749.87</v>
      </c>
      <c r="P950" s="59">
        <v>3278.4</v>
      </c>
      <c r="Q950" s="59">
        <v>42055.27</v>
      </c>
      <c r="R950" s="59">
        <v>39204.480000000003</v>
      </c>
    </row>
    <row r="951" spans="1:26" s="7" customFormat="1" ht="9" customHeight="1" x14ac:dyDescent="0.2">
      <c r="A951" s="521"/>
      <c r="B951" s="521"/>
      <c r="C951" s="71" t="s">
        <v>37</v>
      </c>
      <c r="D951" s="72"/>
      <c r="E951" s="64">
        <v>53731241</v>
      </c>
      <c r="F951" s="64"/>
      <c r="G951" s="64"/>
      <c r="H951" s="64">
        <v>12507588</v>
      </c>
      <c r="I951" s="64"/>
      <c r="J951" s="64">
        <v>5519899</v>
      </c>
      <c r="K951" s="64">
        <v>66238829</v>
      </c>
      <c r="L951" s="64">
        <v>71758728</v>
      </c>
      <c r="M951" s="39"/>
      <c r="N951" s="64">
        <v>66238829</v>
      </c>
      <c r="O951" s="64">
        <v>53731241</v>
      </c>
      <c r="P951" s="64">
        <v>6347868</v>
      </c>
      <c r="Q951" s="64">
        <v>81430358</v>
      </c>
      <c r="R951" s="64">
        <v>75910458</v>
      </c>
    </row>
    <row r="952" spans="1:26" ht="9" customHeight="1" x14ac:dyDescent="0.2">
      <c r="A952" s="95"/>
      <c r="B952" s="95"/>
      <c r="C952" s="44"/>
      <c r="D952" s="45"/>
      <c r="E952" s="96"/>
      <c r="F952" s="96"/>
      <c r="G952" s="96"/>
      <c r="H952" s="96"/>
      <c r="I952" s="96"/>
      <c r="J952" s="54"/>
      <c r="K952" s="96"/>
      <c r="L952" s="96"/>
      <c r="M952" s="39"/>
      <c r="N952" s="96"/>
      <c r="O952" s="96"/>
      <c r="P952" s="96"/>
      <c r="Q952" s="96"/>
      <c r="R952" s="7"/>
      <c r="S952" s="7"/>
      <c r="T952" s="7"/>
      <c r="U952" s="7"/>
      <c r="V952" s="7"/>
      <c r="W952" s="7"/>
      <c r="X952" s="7"/>
      <c r="Y952" s="7"/>
      <c r="Z952" s="7"/>
    </row>
    <row r="953" spans="1:26" ht="9" customHeight="1" x14ac:dyDescent="0.2">
      <c r="A953" s="95"/>
      <c r="B953" s="95"/>
      <c r="C953" s="44"/>
      <c r="D953" s="45"/>
      <c r="E953" s="96"/>
      <c r="F953" s="96"/>
      <c r="G953" s="96"/>
      <c r="H953" s="96"/>
      <c r="I953" s="96"/>
      <c r="J953" s="54"/>
      <c r="K953" s="96"/>
      <c r="L953" s="96"/>
      <c r="M953" s="39"/>
      <c r="N953" s="96"/>
      <c r="O953" s="96"/>
      <c r="P953" s="96"/>
      <c r="Q953" s="96"/>
      <c r="R953" s="7"/>
      <c r="S953" s="7"/>
      <c r="T953" s="7"/>
      <c r="U953" s="7"/>
      <c r="V953" s="7"/>
      <c r="W953" s="7"/>
      <c r="X953" s="7"/>
      <c r="Y953" s="7"/>
      <c r="Z953" s="7"/>
    </row>
    <row r="954" spans="1:26" ht="9" customHeight="1" x14ac:dyDescent="0.2">
      <c r="A954" s="95"/>
      <c r="B954" s="95"/>
      <c r="C954" s="44"/>
      <c r="D954" s="45"/>
      <c r="E954" s="96"/>
      <c r="F954" s="96"/>
      <c r="G954" s="96"/>
      <c r="H954" s="96"/>
      <c r="I954" s="96"/>
      <c r="J954" s="54"/>
      <c r="K954" s="96"/>
      <c r="L954" s="96"/>
      <c r="M954" s="39"/>
      <c r="N954" s="96"/>
      <c r="O954" s="96"/>
      <c r="P954" s="96"/>
      <c r="Q954" s="96"/>
      <c r="R954" s="7"/>
      <c r="S954" s="7"/>
      <c r="T954" s="7"/>
      <c r="U954" s="7"/>
      <c r="V954" s="7"/>
      <c r="W954" s="7"/>
      <c r="X954" s="7"/>
      <c r="Y954" s="7"/>
      <c r="Z954" s="7"/>
    </row>
    <row r="955" spans="1:26" ht="9" customHeight="1" x14ac:dyDescent="0.2">
      <c r="A955" s="95"/>
      <c r="B955" s="95"/>
      <c r="C955" s="44"/>
      <c r="D955" s="45"/>
      <c r="E955" s="96"/>
      <c r="F955" s="96"/>
      <c r="G955" s="96"/>
      <c r="H955" s="96"/>
      <c r="I955" s="96"/>
      <c r="J955" s="54"/>
      <c r="K955" s="96"/>
      <c r="L955" s="96"/>
      <c r="M955" s="39"/>
      <c r="N955" s="96"/>
      <c r="O955" s="96"/>
      <c r="P955" s="96"/>
      <c r="Q955" s="96"/>
      <c r="R955" s="7"/>
      <c r="S955" s="7"/>
      <c r="T955" s="7"/>
      <c r="U955" s="7"/>
      <c r="V955" s="7"/>
      <c r="W955" s="7"/>
      <c r="X955" s="7"/>
      <c r="Y955" s="7"/>
      <c r="Z955" s="7"/>
    </row>
    <row r="956" spans="1:26" ht="9" customHeight="1" x14ac:dyDescent="0.2">
      <c r="A956" s="95"/>
      <c r="B956" s="95"/>
      <c r="C956" s="44"/>
      <c r="D956" s="45"/>
      <c r="E956" s="96"/>
      <c r="F956" s="96"/>
      <c r="G956" s="96"/>
      <c r="H956" s="96"/>
      <c r="I956" s="96"/>
      <c r="J956" s="54"/>
      <c r="K956" s="96"/>
      <c r="L956" s="96"/>
      <c r="M956" s="39"/>
      <c r="N956" s="96"/>
      <c r="O956" s="96"/>
      <c r="P956" s="96"/>
      <c r="Q956" s="96"/>
      <c r="R956" s="7"/>
      <c r="S956" s="7"/>
      <c r="T956" s="7"/>
      <c r="U956" s="7"/>
      <c r="V956" s="7"/>
      <c r="W956" s="7"/>
      <c r="X956" s="7"/>
      <c r="Y956" s="7"/>
      <c r="Z956" s="7"/>
    </row>
    <row r="957" spans="1:26" ht="9" customHeight="1" x14ac:dyDescent="0.2">
      <c r="A957" s="95"/>
      <c r="B957" s="95"/>
      <c r="C957" s="44"/>
      <c r="D957" s="45"/>
      <c r="E957" s="96"/>
      <c r="F957" s="96"/>
      <c r="G957" s="96"/>
      <c r="H957" s="96"/>
      <c r="I957" s="96"/>
      <c r="J957" s="54"/>
      <c r="K957" s="96"/>
      <c r="L957" s="96"/>
      <c r="M957" s="39"/>
      <c r="N957" s="96"/>
      <c r="O957" s="96"/>
      <c r="P957" s="96"/>
      <c r="Q957" s="96"/>
      <c r="R957" s="7"/>
      <c r="S957" s="7"/>
      <c r="T957" s="7"/>
      <c r="U957" s="7"/>
      <c r="V957" s="7"/>
      <c r="W957" s="7"/>
      <c r="X957" s="7"/>
      <c r="Y957" s="7"/>
      <c r="Z957" s="7"/>
    </row>
    <row r="958" spans="1:26" ht="9" customHeight="1" x14ac:dyDescent="0.2">
      <c r="A958" s="95"/>
      <c r="B958" s="95"/>
      <c r="C958" s="44"/>
      <c r="D958" s="45"/>
      <c r="E958" s="96"/>
      <c r="F958" s="96"/>
      <c r="G958" s="96"/>
      <c r="H958" s="96"/>
      <c r="I958" s="96"/>
      <c r="J958" s="54"/>
      <c r="K958" s="96"/>
      <c r="L958" s="96"/>
      <c r="M958" s="39"/>
      <c r="N958" s="96"/>
      <c r="O958" s="96"/>
      <c r="P958" s="96"/>
      <c r="Q958" s="96"/>
      <c r="R958" s="7"/>
      <c r="S958" s="7"/>
      <c r="T958" s="7"/>
      <c r="U958" s="7"/>
      <c r="V958" s="7"/>
      <c r="W958" s="7"/>
      <c r="X958" s="7"/>
      <c r="Y958" s="7"/>
      <c r="Z958" s="7"/>
    </row>
    <row r="959" spans="1:26" ht="9" customHeight="1" x14ac:dyDescent="0.2">
      <c r="A959" s="95"/>
      <c r="B959" s="95"/>
      <c r="C959" s="44"/>
      <c r="D959" s="45"/>
      <c r="E959" s="96"/>
      <c r="F959" s="96"/>
      <c r="G959" s="96"/>
      <c r="H959" s="96"/>
      <c r="I959" s="96"/>
      <c r="J959" s="54"/>
      <c r="K959" s="96"/>
      <c r="L959" s="96"/>
      <c r="M959" s="39"/>
      <c r="N959" s="96"/>
      <c r="O959" s="96"/>
      <c r="P959" s="96"/>
      <c r="Q959" s="96"/>
      <c r="R959" s="7"/>
      <c r="S959" s="7"/>
      <c r="T959" s="7"/>
      <c r="U959" s="7"/>
      <c r="V959" s="7"/>
      <c r="W959" s="7"/>
      <c r="X959" s="7"/>
      <c r="Y959" s="7"/>
      <c r="Z959" s="7"/>
    </row>
    <row r="960" spans="1:26" s="7" customFormat="1" ht="12.75" customHeight="1" x14ac:dyDescent="0.2">
      <c r="A960" s="522">
        <v>43466</v>
      </c>
      <c r="B960" s="522">
        <v>43830</v>
      </c>
      <c r="C960" s="57" t="s">
        <v>36</v>
      </c>
      <c r="D960" s="58">
        <v>0</v>
      </c>
      <c r="E960" s="59">
        <v>15593.689999999999</v>
      </c>
      <c r="F960" s="59"/>
      <c r="G960" s="59"/>
      <c r="H960" s="59">
        <v>6459.63</v>
      </c>
      <c r="I960" s="59"/>
      <c r="J960" s="59">
        <v>1828.53</v>
      </c>
      <c r="K960" s="59">
        <v>21942.37</v>
      </c>
      <c r="L960" s="60">
        <v>23770.9</v>
      </c>
      <c r="M960" s="33"/>
      <c r="N960" s="59">
        <v>21942.37</v>
      </c>
      <c r="O960" s="59">
        <v>15482.74</v>
      </c>
      <c r="P960" s="59">
        <v>2094</v>
      </c>
      <c r="Q960" s="59">
        <v>26557.79</v>
      </c>
      <c r="R960" s="59">
        <v>24729.26</v>
      </c>
      <c r="S960" s="274"/>
    </row>
    <row r="961" spans="1:26" s="7" customFormat="1" ht="9" customHeight="1" x14ac:dyDescent="0.2">
      <c r="A961" s="523"/>
      <c r="B961" s="523"/>
      <c r="C961" s="62" t="s">
        <v>37</v>
      </c>
      <c r="D961" s="63">
        <v>8</v>
      </c>
      <c r="E961" s="64">
        <v>29801015</v>
      </c>
      <c r="F961" s="65"/>
      <c r="G961" s="65"/>
      <c r="H961" s="64">
        <v>12507588</v>
      </c>
      <c r="I961" s="64"/>
      <c r="J961" s="66">
        <v>3540528</v>
      </c>
      <c r="K961" s="66">
        <v>42486353</v>
      </c>
      <c r="L961" s="64">
        <v>46026881</v>
      </c>
      <c r="M961" s="39"/>
      <c r="N961" s="65">
        <v>42486353</v>
      </c>
      <c r="O961" s="65">
        <v>29978765</v>
      </c>
      <c r="P961" s="65">
        <v>4054549</v>
      </c>
      <c r="Q961" s="65">
        <v>51423052</v>
      </c>
      <c r="R961" s="64">
        <v>47882524</v>
      </c>
    </row>
    <row r="962" spans="1:26" s="7" customFormat="1" ht="12.75" customHeight="1" x14ac:dyDescent="0.2">
      <c r="A962" s="520">
        <f>A960</f>
        <v>43466</v>
      </c>
      <c r="B962" s="520">
        <f>B960</f>
        <v>43830</v>
      </c>
      <c r="C962" s="68" t="s">
        <v>36</v>
      </c>
      <c r="D962" s="69">
        <v>9</v>
      </c>
      <c r="E962" s="59">
        <v>18820.98</v>
      </c>
      <c r="F962" s="59"/>
      <c r="G962" s="59"/>
      <c r="H962" s="59">
        <v>6459.63</v>
      </c>
      <c r="I962" s="59"/>
      <c r="J962" s="59">
        <v>2096.09</v>
      </c>
      <c r="K962" s="59">
        <v>16918.52</v>
      </c>
      <c r="L962" s="60">
        <v>19014.61</v>
      </c>
      <c r="M962" s="33"/>
      <c r="N962" s="59">
        <v>25153.02</v>
      </c>
      <c r="O962" s="59">
        <v>18693.39</v>
      </c>
      <c r="P962" s="59">
        <v>2094</v>
      </c>
      <c r="Q962" s="59">
        <v>30613.919999999998</v>
      </c>
      <c r="R962" s="59">
        <v>28517.83</v>
      </c>
    </row>
    <row r="963" spans="1:26" s="7" customFormat="1" ht="9" customHeight="1" x14ac:dyDescent="0.2">
      <c r="A963" s="520"/>
      <c r="B963" s="520"/>
      <c r="C963" s="62" t="s">
        <v>37</v>
      </c>
      <c r="D963" s="63">
        <v>14</v>
      </c>
      <c r="E963" s="64">
        <v>29801015</v>
      </c>
      <c r="F963" s="65"/>
      <c r="G963" s="65"/>
      <c r="H963" s="64">
        <v>12507588</v>
      </c>
      <c r="I963" s="64"/>
      <c r="J963" s="66">
        <v>4058596</v>
      </c>
      <c r="K963" s="64">
        <v>32758823</v>
      </c>
      <c r="L963" s="64">
        <v>36817419</v>
      </c>
      <c r="M963" s="39"/>
      <c r="N963" s="65">
        <v>48703038</v>
      </c>
      <c r="O963" s="65">
        <v>36195450</v>
      </c>
      <c r="P963" s="65">
        <v>4054549</v>
      </c>
      <c r="Q963" s="65">
        <v>59276815</v>
      </c>
      <c r="R963" s="64">
        <v>55218219</v>
      </c>
    </row>
    <row r="964" spans="1:26" s="7" customFormat="1" ht="12.75" customHeight="1" x14ac:dyDescent="0.2">
      <c r="A964" s="520"/>
      <c r="B964" s="520"/>
      <c r="C964" s="68" t="s">
        <v>36</v>
      </c>
      <c r="D964" s="69">
        <v>15</v>
      </c>
      <c r="E964" s="59">
        <v>21272.959999999999</v>
      </c>
      <c r="F964" s="59"/>
      <c r="G964" s="59"/>
      <c r="H964" s="59">
        <v>6459.63</v>
      </c>
      <c r="I964" s="59"/>
      <c r="J964" s="59">
        <v>2299.37</v>
      </c>
      <c r="K964" s="59">
        <v>17933.73</v>
      </c>
      <c r="L964" s="60">
        <v>20233.099999999999</v>
      </c>
      <c r="M964" s="33"/>
      <c r="N964" s="59">
        <v>27592.43</v>
      </c>
      <c r="O964" s="59">
        <v>21132.799999999999</v>
      </c>
      <c r="P964" s="59">
        <v>2577.6</v>
      </c>
      <c r="Q964" s="59">
        <v>33695.699999999997</v>
      </c>
      <c r="R964" s="59">
        <v>31396.33</v>
      </c>
    </row>
    <row r="965" spans="1:26" s="7" customFormat="1" ht="9" customHeight="1" x14ac:dyDescent="0.2">
      <c r="A965" s="520"/>
      <c r="B965" s="520"/>
      <c r="C965" s="62" t="s">
        <v>37</v>
      </c>
      <c r="D965" s="63">
        <v>20</v>
      </c>
      <c r="E965" s="64">
        <v>29801015</v>
      </c>
      <c r="F965" s="65"/>
      <c r="G965" s="65"/>
      <c r="H965" s="64">
        <v>12507588</v>
      </c>
      <c r="I965" s="64"/>
      <c r="J965" s="66">
        <v>4452201</v>
      </c>
      <c r="K965" s="64">
        <v>34724543</v>
      </c>
      <c r="L965" s="64">
        <v>39176745</v>
      </c>
      <c r="M965" s="39"/>
      <c r="N965" s="65">
        <v>53426394</v>
      </c>
      <c r="O965" s="65">
        <v>40918807</v>
      </c>
      <c r="P965" s="65">
        <v>4990930</v>
      </c>
      <c r="Q965" s="65">
        <v>65243973</v>
      </c>
      <c r="R965" s="64">
        <v>60791772</v>
      </c>
    </row>
    <row r="966" spans="1:26" s="7" customFormat="1" ht="12.75" customHeight="1" x14ac:dyDescent="0.2">
      <c r="A966" s="520"/>
      <c r="B966" s="520"/>
      <c r="C966" s="68" t="s">
        <v>36</v>
      </c>
      <c r="D966" s="69">
        <v>21</v>
      </c>
      <c r="E966" s="59">
        <v>24397.02</v>
      </c>
      <c r="F966" s="59"/>
      <c r="G966" s="59"/>
      <c r="H966" s="59">
        <v>6459.63</v>
      </c>
      <c r="I966" s="59"/>
      <c r="J966" s="59">
        <v>2558.39</v>
      </c>
      <c r="K966" s="59">
        <v>18921.79</v>
      </c>
      <c r="L966" s="60">
        <v>21480.18</v>
      </c>
      <c r="M966" s="33"/>
      <c r="N966" s="59">
        <v>30700.66</v>
      </c>
      <c r="O966" s="59">
        <v>24241.03</v>
      </c>
      <c r="P966" s="59">
        <v>2577.6</v>
      </c>
      <c r="Q966" s="59">
        <v>37622.44</v>
      </c>
      <c r="R966" s="59">
        <v>35064.050000000003</v>
      </c>
    </row>
    <row r="967" spans="1:26" s="7" customFormat="1" ht="9" customHeight="1" x14ac:dyDescent="0.2">
      <c r="A967" s="520"/>
      <c r="B967" s="520"/>
      <c r="C967" s="62" t="s">
        <v>37</v>
      </c>
      <c r="D967" s="63">
        <v>27</v>
      </c>
      <c r="E967" s="64">
        <v>29801015</v>
      </c>
      <c r="F967" s="65"/>
      <c r="G967" s="65"/>
      <c r="H967" s="64">
        <v>12507588</v>
      </c>
      <c r="I967" s="64"/>
      <c r="J967" s="66">
        <v>4953734</v>
      </c>
      <c r="K967" s="64">
        <v>36637694</v>
      </c>
      <c r="L967" s="64">
        <v>41591428</v>
      </c>
      <c r="M967" s="39"/>
      <c r="N967" s="65">
        <v>59444767</v>
      </c>
      <c r="O967" s="65">
        <v>46937179</v>
      </c>
      <c r="P967" s="65">
        <v>4990930</v>
      </c>
      <c r="Q967" s="65">
        <v>72847202</v>
      </c>
      <c r="R967" s="64">
        <v>67893468</v>
      </c>
    </row>
    <row r="968" spans="1:26" s="7" customFormat="1" ht="12.75" customHeight="1" x14ac:dyDescent="0.2">
      <c r="A968" s="520"/>
      <c r="B968" s="520"/>
      <c r="C968" s="68" t="s">
        <v>36</v>
      </c>
      <c r="D968" s="69">
        <v>28</v>
      </c>
      <c r="E968" s="59">
        <v>26444.139999999996</v>
      </c>
      <c r="F968" s="59"/>
      <c r="G968" s="59"/>
      <c r="H968" s="59">
        <v>6459.63</v>
      </c>
      <c r="I968" s="59"/>
      <c r="J968" s="59">
        <v>2728.2</v>
      </c>
      <c r="K968" s="59">
        <v>19673.080000000002</v>
      </c>
      <c r="L968" s="60">
        <v>22401.279999999999</v>
      </c>
      <c r="M968" s="33"/>
      <c r="N968" s="59">
        <v>32738.34</v>
      </c>
      <c r="O968" s="59">
        <v>26278.71</v>
      </c>
      <c r="P968" s="59">
        <v>3278.4</v>
      </c>
      <c r="Q968" s="59">
        <v>40196.71</v>
      </c>
      <c r="R968" s="59">
        <v>37468.51</v>
      </c>
    </row>
    <row r="969" spans="1:26" s="7" customFormat="1" ht="9" customHeight="1" x14ac:dyDescent="0.2">
      <c r="A969" s="520"/>
      <c r="B969" s="520"/>
      <c r="C969" s="62" t="s">
        <v>37</v>
      </c>
      <c r="D969" s="63">
        <v>34</v>
      </c>
      <c r="E969" s="64">
        <v>29801015</v>
      </c>
      <c r="F969" s="65"/>
      <c r="G969" s="65"/>
      <c r="H969" s="64">
        <v>12507588</v>
      </c>
      <c r="I969" s="64"/>
      <c r="J969" s="66">
        <v>5282532</v>
      </c>
      <c r="K969" s="64">
        <v>38092395</v>
      </c>
      <c r="L969" s="64">
        <v>43374926</v>
      </c>
      <c r="M969" s="39"/>
      <c r="N969" s="65">
        <v>63390266</v>
      </c>
      <c r="O969" s="65">
        <v>50882678</v>
      </c>
      <c r="P969" s="65">
        <v>6347868</v>
      </c>
      <c r="Q969" s="65">
        <v>77831684</v>
      </c>
      <c r="R969" s="64">
        <v>72549152</v>
      </c>
    </row>
    <row r="970" spans="1:26" s="7" customFormat="1" ht="12.75" customHeight="1" x14ac:dyDescent="0.2">
      <c r="A970" s="520"/>
      <c r="B970" s="520"/>
      <c r="C970" s="68" t="s">
        <v>36</v>
      </c>
      <c r="D970" s="69">
        <v>35</v>
      </c>
      <c r="E970" s="59">
        <v>28067.84</v>
      </c>
      <c r="F970" s="59"/>
      <c r="G970" s="59"/>
      <c r="H970" s="59">
        <v>6459.63</v>
      </c>
      <c r="I970" s="59"/>
      <c r="J970" s="59">
        <v>2862.76</v>
      </c>
      <c r="K970" s="59">
        <v>20206.89</v>
      </c>
      <c r="L970" s="60">
        <v>23069.65</v>
      </c>
      <c r="M970" s="33"/>
      <c r="N970" s="59">
        <v>34353.14</v>
      </c>
      <c r="O970" s="59">
        <v>27893.51</v>
      </c>
      <c r="P970" s="59">
        <v>3278.4</v>
      </c>
      <c r="Q970" s="59">
        <v>42236.73</v>
      </c>
      <c r="R970" s="59">
        <v>39373.97</v>
      </c>
    </row>
    <row r="971" spans="1:26" s="7" customFormat="1" ht="9" customHeight="1" x14ac:dyDescent="0.2">
      <c r="A971" s="521"/>
      <c r="B971" s="521"/>
      <c r="C971" s="71" t="s">
        <v>37</v>
      </c>
      <c r="D971" s="72"/>
      <c r="E971" s="64">
        <v>29801015</v>
      </c>
      <c r="F971" s="64"/>
      <c r="G971" s="64"/>
      <c r="H971" s="64">
        <v>12507588</v>
      </c>
      <c r="I971" s="64"/>
      <c r="J971" s="64">
        <v>5543076</v>
      </c>
      <c r="K971" s="64">
        <v>39125995</v>
      </c>
      <c r="L971" s="64">
        <v>44669071</v>
      </c>
      <c r="M971" s="39"/>
      <c r="N971" s="64">
        <v>66516954</v>
      </c>
      <c r="O971" s="65">
        <v>54009367</v>
      </c>
      <c r="P971" s="64">
        <v>6347868</v>
      </c>
      <c r="Q971" s="64">
        <v>81781713</v>
      </c>
      <c r="R971" s="64">
        <v>76238637</v>
      </c>
    </row>
    <row r="972" spans="1:26" ht="9" customHeight="1" x14ac:dyDescent="0.2">
      <c r="A972" s="95"/>
      <c r="B972" s="95"/>
      <c r="C972" s="44"/>
      <c r="D972" s="45"/>
      <c r="E972" s="96"/>
      <c r="F972" s="96"/>
      <c r="G972" s="96"/>
      <c r="H972" s="96"/>
      <c r="I972" s="96"/>
      <c r="J972" s="54"/>
      <c r="K972" s="96"/>
      <c r="L972" s="96"/>
      <c r="M972" s="39"/>
      <c r="N972" s="96"/>
      <c r="O972" s="96"/>
      <c r="P972" s="96"/>
      <c r="Q972" s="96"/>
      <c r="R972" s="7"/>
      <c r="S972" s="7"/>
      <c r="T972" s="7"/>
      <c r="U972" s="7"/>
      <c r="V972" s="7"/>
      <c r="W972" s="7"/>
      <c r="X972" s="7"/>
      <c r="Y972" s="7"/>
      <c r="Z972" s="7"/>
    </row>
    <row r="973" spans="1:26" ht="9" customHeight="1" x14ac:dyDescent="0.2">
      <c r="A973" s="95"/>
      <c r="B973" s="95"/>
      <c r="C973" s="44"/>
      <c r="D973" s="45"/>
      <c r="E973" s="96"/>
      <c r="F973" s="96"/>
      <c r="G973" s="96"/>
      <c r="H973" s="96"/>
      <c r="I973" s="96"/>
      <c r="J973" s="54"/>
      <c r="K973" s="96"/>
      <c r="L973" s="96"/>
      <c r="M973" s="39"/>
      <c r="N973" s="96"/>
      <c r="O973" s="96"/>
      <c r="P973" s="96"/>
      <c r="Q973" s="96"/>
      <c r="R973" s="7"/>
      <c r="S973" s="7"/>
      <c r="T973" s="7"/>
      <c r="U973" s="7"/>
      <c r="V973" s="7"/>
      <c r="W973" s="7"/>
      <c r="X973" s="7"/>
      <c r="Y973" s="7"/>
      <c r="Z973" s="7"/>
    </row>
    <row r="974" spans="1:26" ht="9" customHeight="1" x14ac:dyDescent="0.2">
      <c r="A974" s="95"/>
      <c r="B974" s="95"/>
      <c r="C974" s="44"/>
      <c r="D974" s="45"/>
      <c r="E974" s="96"/>
      <c r="F974" s="96"/>
      <c r="G974" s="96"/>
      <c r="H974" s="96"/>
      <c r="I974" s="96"/>
      <c r="J974" s="54"/>
      <c r="K974" s="96"/>
      <c r="L974" s="96"/>
      <c r="M974" s="39"/>
      <c r="N974" s="96"/>
      <c r="O974" s="96"/>
      <c r="P974" s="96"/>
      <c r="Q974" s="96"/>
      <c r="R974" s="7"/>
      <c r="S974" s="7"/>
      <c r="T974" s="7"/>
      <c r="U974" s="7"/>
      <c r="V974" s="7"/>
      <c r="W974" s="7"/>
      <c r="X974" s="7"/>
      <c r="Y974" s="7"/>
      <c r="Z974" s="7"/>
    </row>
    <row r="975" spans="1:26" ht="9" customHeight="1" x14ac:dyDescent="0.2">
      <c r="A975" s="95"/>
      <c r="B975" s="95"/>
      <c r="C975" s="44"/>
      <c r="D975" s="45"/>
      <c r="E975" s="96"/>
      <c r="F975" s="96"/>
      <c r="G975" s="96"/>
      <c r="H975" s="96"/>
      <c r="I975" s="96"/>
      <c r="J975" s="54"/>
      <c r="K975" s="96"/>
      <c r="L975" s="96"/>
      <c r="M975" s="39"/>
      <c r="N975" s="96"/>
      <c r="O975" s="96"/>
      <c r="P975" s="96"/>
      <c r="Q975" s="96"/>
      <c r="R975" s="7"/>
      <c r="S975" s="7"/>
      <c r="T975" s="7"/>
      <c r="U975" s="7"/>
      <c r="V975" s="7"/>
      <c r="W975" s="7"/>
      <c r="X975" s="7"/>
      <c r="Y975" s="7"/>
      <c r="Z975" s="7"/>
    </row>
    <row r="976" spans="1:26" ht="9" customHeight="1" x14ac:dyDescent="0.2">
      <c r="A976" s="95"/>
      <c r="B976" s="95"/>
      <c r="C976" s="44"/>
      <c r="D976" s="45"/>
      <c r="E976" s="96"/>
      <c r="F976" s="96"/>
      <c r="G976" s="96"/>
      <c r="H976" s="96"/>
      <c r="I976" s="96"/>
      <c r="J976" s="54"/>
      <c r="K976" s="96"/>
      <c r="L976" s="96"/>
      <c r="M976" s="39"/>
      <c r="N976" s="96"/>
      <c r="O976" s="96"/>
      <c r="P976" s="96"/>
      <c r="Q976" s="96"/>
      <c r="R976" s="7"/>
      <c r="S976" s="7"/>
      <c r="T976" s="7"/>
      <c r="U976" s="7"/>
      <c r="V976" s="7"/>
      <c r="W976" s="7"/>
      <c r="X976" s="7"/>
      <c r="Y976" s="7"/>
      <c r="Z976" s="7"/>
    </row>
    <row r="977" spans="1:26" ht="9" customHeight="1" x14ac:dyDescent="0.2">
      <c r="A977" s="95"/>
      <c r="B977" s="95"/>
      <c r="C977" s="44"/>
      <c r="D977" s="45"/>
      <c r="E977" s="96"/>
      <c r="F977" s="96"/>
      <c r="G977" s="96"/>
      <c r="H977" s="96"/>
      <c r="I977" s="96"/>
      <c r="J977" s="54"/>
      <c r="K977" s="96"/>
      <c r="L977" s="96"/>
      <c r="M977" s="39"/>
      <c r="N977" s="96"/>
      <c r="O977" s="96"/>
      <c r="P977" s="96"/>
      <c r="Q977" s="96"/>
      <c r="R977" s="7"/>
      <c r="S977" s="7"/>
      <c r="T977" s="7"/>
      <c r="U977" s="7"/>
      <c r="V977" s="7"/>
      <c r="W977" s="7"/>
      <c r="X977" s="7"/>
      <c r="Y977" s="7"/>
      <c r="Z977" s="7"/>
    </row>
    <row r="978" spans="1:26" ht="9" customHeight="1" x14ac:dyDescent="0.2">
      <c r="A978" s="95"/>
      <c r="B978" s="95"/>
      <c r="C978" s="44"/>
      <c r="D978" s="45"/>
      <c r="E978" s="96"/>
      <c r="F978" s="96"/>
      <c r="G978" s="96"/>
      <c r="H978" s="96"/>
      <c r="I978" s="96"/>
      <c r="J978" s="54"/>
      <c r="K978" s="96"/>
      <c r="L978" s="96"/>
      <c r="M978" s="39"/>
      <c r="N978" s="96"/>
      <c r="O978" s="96"/>
      <c r="P978" s="96"/>
      <c r="Q978" s="96"/>
      <c r="R978" s="7"/>
      <c r="S978" s="7"/>
      <c r="T978" s="7"/>
      <c r="U978" s="7"/>
      <c r="V978" s="7"/>
      <c r="W978" s="7"/>
      <c r="X978" s="7"/>
      <c r="Y978" s="7"/>
      <c r="Z978" s="7"/>
    </row>
    <row r="979" spans="1:26" ht="9" customHeight="1" x14ac:dyDescent="0.2">
      <c r="A979" s="95"/>
      <c r="B979" s="95"/>
      <c r="C979" s="44"/>
      <c r="D979" s="45"/>
      <c r="E979" s="96"/>
      <c r="F979" s="96"/>
      <c r="G979" s="96"/>
      <c r="H979" s="96"/>
      <c r="I979" s="96"/>
      <c r="J979" s="54"/>
      <c r="K979" s="96"/>
      <c r="L979" s="96"/>
      <c r="M979" s="39"/>
      <c r="N979" s="96"/>
      <c r="O979" s="96"/>
      <c r="P979" s="96"/>
      <c r="Q979" s="96"/>
      <c r="R979" s="7"/>
      <c r="S979" s="7"/>
      <c r="T979" s="7"/>
      <c r="U979" s="7"/>
      <c r="V979" s="7"/>
      <c r="W979" s="7"/>
      <c r="X979" s="7"/>
      <c r="Y979" s="7"/>
      <c r="Z979" s="7"/>
    </row>
    <row r="980" spans="1:26" s="7" customFormat="1" ht="12.75" customHeight="1" x14ac:dyDescent="0.2">
      <c r="A980" s="522">
        <v>43831</v>
      </c>
      <c r="B980" s="522">
        <v>44196</v>
      </c>
      <c r="C980" s="57" t="s">
        <v>36</v>
      </c>
      <c r="D980" s="58">
        <v>0</v>
      </c>
      <c r="E980" s="59">
        <v>15764.09</v>
      </c>
      <c r="F980" s="59"/>
      <c r="G980" s="59"/>
      <c r="H980" s="59">
        <v>6459.63</v>
      </c>
      <c r="I980" s="59"/>
      <c r="J980" s="59">
        <v>1833.63</v>
      </c>
      <c r="K980" s="59">
        <v>22003.57</v>
      </c>
      <c r="L980" s="60">
        <v>23837.200000000001</v>
      </c>
      <c r="M980" s="33"/>
      <c r="N980" s="59">
        <v>22003.57</v>
      </c>
      <c r="O980" s="59">
        <v>15543.94</v>
      </c>
      <c r="P980" s="59">
        <v>2094</v>
      </c>
      <c r="Q980" s="59">
        <v>26635.11</v>
      </c>
      <c r="R980" s="59">
        <v>24801.48</v>
      </c>
    </row>
    <row r="981" spans="1:26" s="7" customFormat="1" ht="9" customHeight="1" x14ac:dyDescent="0.2">
      <c r="A981" s="523"/>
      <c r="B981" s="523"/>
      <c r="C981" s="62" t="s">
        <v>37</v>
      </c>
      <c r="D981" s="63">
        <v>8</v>
      </c>
      <c r="E981" s="64">
        <v>29801015</v>
      </c>
      <c r="F981" s="65"/>
      <c r="G981" s="65"/>
      <c r="H981" s="64">
        <v>12507588</v>
      </c>
      <c r="I981" s="64"/>
      <c r="J981" s="66">
        <v>3550403</v>
      </c>
      <c r="K981" s="66">
        <v>42604852</v>
      </c>
      <c r="L981" s="64">
        <v>46155255</v>
      </c>
      <c r="M981" s="39"/>
      <c r="N981" s="65">
        <v>42604852</v>
      </c>
      <c r="O981" s="65">
        <v>30097265</v>
      </c>
      <c r="P981" s="65">
        <v>4054549</v>
      </c>
      <c r="Q981" s="65">
        <v>51572764</v>
      </c>
      <c r="R981" s="64">
        <v>48022362</v>
      </c>
    </row>
    <row r="982" spans="1:26" s="7" customFormat="1" ht="12.75" customHeight="1" x14ac:dyDescent="0.2">
      <c r="A982" s="520">
        <f>A980</f>
        <v>43831</v>
      </c>
      <c r="B982" s="520">
        <f>B980</f>
        <v>44196</v>
      </c>
      <c r="C982" s="68" t="s">
        <v>36</v>
      </c>
      <c r="D982" s="69">
        <v>9</v>
      </c>
      <c r="E982" s="59">
        <v>19016.579999999998</v>
      </c>
      <c r="F982" s="59"/>
      <c r="G982" s="59"/>
      <c r="H982" s="59">
        <v>6459.63</v>
      </c>
      <c r="I982" s="59"/>
      <c r="J982" s="59">
        <v>2101.9299999999998</v>
      </c>
      <c r="K982" s="59">
        <v>16918.52</v>
      </c>
      <c r="L982" s="60">
        <v>19020.45</v>
      </c>
      <c r="M982" s="33"/>
      <c r="N982" s="59">
        <v>25223.1</v>
      </c>
      <c r="O982" s="59">
        <v>18763.47</v>
      </c>
      <c r="P982" s="59">
        <v>2094</v>
      </c>
      <c r="Q982" s="59">
        <v>30702.45</v>
      </c>
      <c r="R982" s="59">
        <v>28600.52</v>
      </c>
    </row>
    <row r="983" spans="1:26" s="7" customFormat="1" ht="9" customHeight="1" x14ac:dyDescent="0.2">
      <c r="A983" s="520"/>
      <c r="B983" s="520"/>
      <c r="C983" s="62" t="s">
        <v>37</v>
      </c>
      <c r="D983" s="63">
        <v>14</v>
      </c>
      <c r="E983" s="64">
        <v>29801015</v>
      </c>
      <c r="F983" s="65"/>
      <c r="G983" s="65"/>
      <c r="H983" s="64">
        <v>12507588</v>
      </c>
      <c r="I983" s="64"/>
      <c r="J983" s="66">
        <v>4069904</v>
      </c>
      <c r="K983" s="64">
        <v>32758823</v>
      </c>
      <c r="L983" s="64">
        <v>36828727</v>
      </c>
      <c r="M983" s="39"/>
      <c r="N983" s="65">
        <v>48838732</v>
      </c>
      <c r="O983" s="65">
        <v>36331144</v>
      </c>
      <c r="P983" s="65">
        <v>4054549</v>
      </c>
      <c r="Q983" s="65">
        <v>59448233</v>
      </c>
      <c r="R983" s="64">
        <v>55378329</v>
      </c>
    </row>
    <row r="984" spans="1:26" s="7" customFormat="1" ht="12.75" customHeight="1" x14ac:dyDescent="0.2">
      <c r="A984" s="520"/>
      <c r="B984" s="520"/>
      <c r="C984" s="68" t="s">
        <v>36</v>
      </c>
      <c r="D984" s="69">
        <v>15</v>
      </c>
      <c r="E984" s="59">
        <v>21487.759999999998</v>
      </c>
      <c r="F984" s="59"/>
      <c r="G984" s="59"/>
      <c r="H984" s="59">
        <v>6459.63</v>
      </c>
      <c r="I984" s="59"/>
      <c r="J984" s="59">
        <v>2305.7800000000002</v>
      </c>
      <c r="K984" s="59">
        <v>17933.73</v>
      </c>
      <c r="L984" s="60">
        <v>20239.509999999998</v>
      </c>
      <c r="M984" s="33"/>
      <c r="N984" s="59">
        <v>27669.35</v>
      </c>
      <c r="O984" s="59">
        <v>21209.72</v>
      </c>
      <c r="P984" s="59">
        <v>2577.6</v>
      </c>
      <c r="Q984" s="59">
        <v>33792.879999999997</v>
      </c>
      <c r="R984" s="59">
        <v>31487.1</v>
      </c>
    </row>
    <row r="985" spans="1:26" s="7" customFormat="1" ht="9" customHeight="1" x14ac:dyDescent="0.2">
      <c r="A985" s="520"/>
      <c r="B985" s="520"/>
      <c r="C985" s="62" t="s">
        <v>37</v>
      </c>
      <c r="D985" s="63">
        <v>20</v>
      </c>
      <c r="E985" s="64">
        <v>29801015</v>
      </c>
      <c r="F985" s="65"/>
      <c r="G985" s="65"/>
      <c r="H985" s="64">
        <v>12507588</v>
      </c>
      <c r="I985" s="64"/>
      <c r="J985" s="66">
        <v>4464613</v>
      </c>
      <c r="K985" s="64">
        <v>34724543</v>
      </c>
      <c r="L985" s="64">
        <v>39189156</v>
      </c>
      <c r="M985" s="39"/>
      <c r="N985" s="65">
        <v>53575332</v>
      </c>
      <c r="O985" s="65">
        <v>41067745</v>
      </c>
      <c r="P985" s="65">
        <v>4990930</v>
      </c>
      <c r="Q985" s="65">
        <v>65432140</v>
      </c>
      <c r="R985" s="64">
        <v>60967527</v>
      </c>
    </row>
    <row r="986" spans="1:26" s="7" customFormat="1" ht="12.75" customHeight="1" x14ac:dyDescent="0.2">
      <c r="A986" s="520"/>
      <c r="B986" s="520"/>
      <c r="C986" s="68" t="s">
        <v>36</v>
      </c>
      <c r="D986" s="69">
        <v>21</v>
      </c>
      <c r="E986" s="59">
        <v>24635.82</v>
      </c>
      <c r="F986" s="59"/>
      <c r="G986" s="59"/>
      <c r="H986" s="59">
        <v>6459.63</v>
      </c>
      <c r="I986" s="59"/>
      <c r="J986" s="59">
        <v>2565.52</v>
      </c>
      <c r="K986" s="59">
        <v>18921.79</v>
      </c>
      <c r="L986" s="60">
        <v>21487.31</v>
      </c>
      <c r="M986" s="33"/>
      <c r="N986" s="59">
        <v>30786.22</v>
      </c>
      <c r="O986" s="59">
        <v>24326.59</v>
      </c>
      <c r="P986" s="59">
        <v>2577.6</v>
      </c>
      <c r="Q986" s="59">
        <v>37730.53</v>
      </c>
      <c r="R986" s="59">
        <v>35165.01</v>
      </c>
    </row>
    <row r="987" spans="1:26" s="7" customFormat="1" ht="9" customHeight="1" x14ac:dyDescent="0.2">
      <c r="A987" s="520"/>
      <c r="B987" s="520"/>
      <c r="C987" s="62" t="s">
        <v>37</v>
      </c>
      <c r="D987" s="63">
        <v>27</v>
      </c>
      <c r="E987" s="64">
        <v>29801015</v>
      </c>
      <c r="F987" s="65"/>
      <c r="G987" s="65"/>
      <c r="H987" s="64">
        <v>12507588</v>
      </c>
      <c r="I987" s="64"/>
      <c r="J987" s="66">
        <v>4967539</v>
      </c>
      <c r="K987" s="64">
        <v>36637694</v>
      </c>
      <c r="L987" s="64">
        <v>41605234</v>
      </c>
      <c r="M987" s="39"/>
      <c r="N987" s="65">
        <v>59610434</v>
      </c>
      <c r="O987" s="65">
        <v>47102846</v>
      </c>
      <c r="P987" s="65">
        <v>4990930</v>
      </c>
      <c r="Q987" s="65">
        <v>73056493</v>
      </c>
      <c r="R987" s="64">
        <v>68088954</v>
      </c>
    </row>
    <row r="988" spans="1:26" s="7" customFormat="1" ht="12.75" customHeight="1" x14ac:dyDescent="0.2">
      <c r="A988" s="520"/>
      <c r="B988" s="520"/>
      <c r="C988" s="68" t="s">
        <v>36</v>
      </c>
      <c r="D988" s="69">
        <v>28</v>
      </c>
      <c r="E988" s="59">
        <v>26699.74</v>
      </c>
      <c r="F988" s="59"/>
      <c r="G988" s="59"/>
      <c r="H988" s="59">
        <v>6459.63</v>
      </c>
      <c r="I988" s="59"/>
      <c r="J988" s="59">
        <v>2735.81</v>
      </c>
      <c r="K988" s="59">
        <v>19673.080000000002</v>
      </c>
      <c r="L988" s="60">
        <v>22408.89</v>
      </c>
      <c r="M988" s="33"/>
      <c r="N988" s="59">
        <v>32829.660000000003</v>
      </c>
      <c r="O988" s="59">
        <v>26370.03</v>
      </c>
      <c r="P988" s="59">
        <v>3278.4</v>
      </c>
      <c r="Q988" s="59">
        <v>40312.080000000002</v>
      </c>
      <c r="R988" s="59">
        <v>37576.269999999997</v>
      </c>
    </row>
    <row r="989" spans="1:26" s="7" customFormat="1" ht="9" customHeight="1" x14ac:dyDescent="0.2">
      <c r="A989" s="520"/>
      <c r="B989" s="520"/>
      <c r="C989" s="62" t="s">
        <v>37</v>
      </c>
      <c r="D989" s="63">
        <v>34</v>
      </c>
      <c r="E989" s="64">
        <v>29801015</v>
      </c>
      <c r="F989" s="65"/>
      <c r="G989" s="65"/>
      <c r="H989" s="64">
        <v>12507588</v>
      </c>
      <c r="I989" s="64"/>
      <c r="J989" s="66">
        <v>5297267</v>
      </c>
      <c r="K989" s="64">
        <v>38092395</v>
      </c>
      <c r="L989" s="64">
        <v>43389661</v>
      </c>
      <c r="M989" s="39"/>
      <c r="N989" s="65">
        <v>63567086</v>
      </c>
      <c r="O989" s="65">
        <v>51059498</v>
      </c>
      <c r="P989" s="65">
        <v>6347868</v>
      </c>
      <c r="Q989" s="65">
        <v>78055071</v>
      </c>
      <c r="R989" s="64">
        <v>72757804</v>
      </c>
    </row>
    <row r="990" spans="1:26" s="7" customFormat="1" ht="12.75" customHeight="1" x14ac:dyDescent="0.2">
      <c r="A990" s="520"/>
      <c r="B990" s="520"/>
      <c r="C990" s="68" t="s">
        <v>36</v>
      </c>
      <c r="D990" s="69">
        <v>35</v>
      </c>
      <c r="E990" s="59">
        <v>28335.439999999999</v>
      </c>
      <c r="F990" s="59"/>
      <c r="G990" s="59"/>
      <c r="H990" s="59">
        <v>6459.63</v>
      </c>
      <c r="I990" s="59"/>
      <c r="J990" s="59">
        <v>2870.75</v>
      </c>
      <c r="K990" s="59">
        <v>20206.89</v>
      </c>
      <c r="L990" s="60">
        <v>23077.64</v>
      </c>
      <c r="M990" s="33"/>
      <c r="N990" s="59">
        <v>34449.019999999997</v>
      </c>
      <c r="O990" s="59">
        <v>27989.39</v>
      </c>
      <c r="P990" s="59">
        <v>3278.4</v>
      </c>
      <c r="Q990" s="59">
        <v>42357.86</v>
      </c>
      <c r="R990" s="59">
        <v>39487.11</v>
      </c>
    </row>
    <row r="991" spans="1:26" s="7" customFormat="1" ht="9" customHeight="1" x14ac:dyDescent="0.2">
      <c r="A991" s="521"/>
      <c r="B991" s="521"/>
      <c r="C991" s="71" t="s">
        <v>37</v>
      </c>
      <c r="D991" s="72"/>
      <c r="E991" s="64">
        <v>29801015</v>
      </c>
      <c r="F991" s="64"/>
      <c r="G991" s="64"/>
      <c r="H991" s="64">
        <v>12507588</v>
      </c>
      <c r="I991" s="64"/>
      <c r="J991" s="64">
        <v>5558547</v>
      </c>
      <c r="K991" s="64">
        <v>39125995</v>
      </c>
      <c r="L991" s="64">
        <v>44684542</v>
      </c>
      <c r="M991" s="39"/>
      <c r="N991" s="64">
        <v>66702604</v>
      </c>
      <c r="O991" s="64">
        <v>54195016</v>
      </c>
      <c r="P991" s="64">
        <v>6347868</v>
      </c>
      <c r="Q991" s="64">
        <v>82016254</v>
      </c>
      <c r="R991" s="64">
        <v>76457706</v>
      </c>
    </row>
    <row r="992" spans="1:26" ht="9" customHeight="1" x14ac:dyDescent="0.2">
      <c r="A992" s="95"/>
      <c r="B992" s="95"/>
      <c r="C992" s="44"/>
      <c r="D992" s="45"/>
      <c r="E992" s="96"/>
      <c r="F992" s="96"/>
      <c r="G992" s="96"/>
      <c r="H992" s="96"/>
      <c r="I992" s="96"/>
      <c r="J992" s="54"/>
      <c r="K992" s="96"/>
      <c r="L992" s="96"/>
      <c r="M992" s="39"/>
      <c r="N992" s="96"/>
      <c r="O992" s="96"/>
      <c r="P992" s="96"/>
      <c r="Q992" s="96"/>
      <c r="R992" s="7"/>
      <c r="S992" s="7"/>
      <c r="T992" s="7"/>
      <c r="U992" s="7"/>
      <c r="V992" s="7"/>
      <c r="W992" s="7"/>
      <c r="X992" s="7"/>
      <c r="Y992" s="7"/>
      <c r="Z992" s="7"/>
    </row>
    <row r="993" spans="1:26" ht="9" customHeight="1" x14ac:dyDescent="0.2">
      <c r="A993" s="95"/>
      <c r="B993" s="95"/>
      <c r="C993" s="44"/>
      <c r="D993" s="45"/>
      <c r="E993" s="96"/>
      <c r="F993" s="96"/>
      <c r="G993" s="96"/>
      <c r="H993" s="96"/>
      <c r="I993" s="96"/>
      <c r="J993" s="54"/>
      <c r="K993" s="96"/>
      <c r="L993" s="96"/>
      <c r="M993" s="39"/>
      <c r="N993" s="96"/>
      <c r="O993" s="96"/>
      <c r="P993" s="96"/>
      <c r="Q993" s="96"/>
      <c r="R993" s="7"/>
      <c r="S993" s="7"/>
      <c r="T993" s="7"/>
      <c r="U993" s="7"/>
      <c r="V993" s="7"/>
      <c r="W993" s="7"/>
      <c r="X993" s="7"/>
      <c r="Y993" s="7"/>
      <c r="Z993" s="7"/>
    </row>
    <row r="994" spans="1:26" ht="9" customHeight="1" x14ac:dyDescent="0.2">
      <c r="A994" s="95"/>
      <c r="B994" s="95"/>
      <c r="C994" s="44"/>
      <c r="D994" s="45"/>
      <c r="E994" s="96"/>
      <c r="F994" s="96"/>
      <c r="G994" s="96"/>
      <c r="H994" s="96"/>
      <c r="I994" s="96"/>
      <c r="J994" s="54"/>
      <c r="K994" s="96"/>
      <c r="L994" s="96"/>
      <c r="M994" s="39"/>
      <c r="N994" s="96"/>
      <c r="O994" s="96"/>
      <c r="P994" s="96"/>
      <c r="Q994" s="96"/>
      <c r="R994" s="7"/>
      <c r="S994" s="7"/>
      <c r="T994" s="7"/>
      <c r="U994" s="7"/>
      <c r="V994" s="7"/>
      <c r="W994" s="7"/>
      <c r="X994" s="7"/>
      <c r="Y994" s="7"/>
      <c r="Z994" s="7"/>
    </row>
    <row r="995" spans="1:26" ht="9" customHeight="1" x14ac:dyDescent="0.2">
      <c r="A995" s="95"/>
      <c r="B995" s="95"/>
      <c r="C995" s="44"/>
      <c r="D995" s="45"/>
      <c r="E995" s="96"/>
      <c r="F995" s="96"/>
      <c r="G995" s="96"/>
      <c r="H995" s="96"/>
      <c r="I995" s="96"/>
      <c r="J995" s="54"/>
      <c r="K995" s="96"/>
      <c r="L995" s="96"/>
      <c r="M995" s="39"/>
      <c r="N995" s="96"/>
      <c r="O995" s="96"/>
      <c r="P995" s="96"/>
      <c r="Q995" s="96"/>
      <c r="R995" s="7"/>
      <c r="S995" s="7"/>
      <c r="T995" s="7"/>
      <c r="U995" s="7"/>
      <c r="V995" s="7"/>
      <c r="W995" s="7"/>
      <c r="X995" s="7"/>
      <c r="Y995" s="7"/>
      <c r="Z995" s="7"/>
    </row>
    <row r="996" spans="1:26" ht="9" customHeight="1" x14ac:dyDescent="0.2">
      <c r="A996" s="95"/>
      <c r="B996" s="95"/>
      <c r="C996" s="44"/>
      <c r="D996" s="45"/>
      <c r="E996" s="96"/>
      <c r="F996" s="96"/>
      <c r="G996" s="96"/>
      <c r="H996" s="96"/>
      <c r="I996" s="96"/>
      <c r="J996" s="54"/>
      <c r="K996" s="96"/>
      <c r="L996" s="96"/>
      <c r="M996" s="39"/>
      <c r="N996" s="96"/>
      <c r="O996" s="96"/>
      <c r="P996" s="96"/>
      <c r="Q996" s="96"/>
      <c r="R996" s="7"/>
      <c r="S996" s="7"/>
      <c r="T996" s="7"/>
      <c r="U996" s="7"/>
      <c r="V996" s="7"/>
      <c r="W996" s="7"/>
      <c r="X996" s="7"/>
      <c r="Y996" s="7"/>
      <c r="Z996" s="7"/>
    </row>
    <row r="997" spans="1:26" ht="9" customHeight="1" x14ac:dyDescent="0.2">
      <c r="A997" s="95"/>
      <c r="B997" s="95"/>
      <c r="C997" s="44"/>
      <c r="D997" s="45"/>
      <c r="E997" s="96"/>
      <c r="F997" s="96"/>
      <c r="G997" s="96"/>
      <c r="H997" s="96"/>
      <c r="I997" s="96"/>
      <c r="J997" s="54"/>
      <c r="K997" s="96"/>
      <c r="L997" s="96"/>
      <c r="M997" s="39"/>
      <c r="N997" s="96"/>
      <c r="O997" s="96"/>
      <c r="P997" s="96"/>
      <c r="Q997" s="96"/>
      <c r="R997" s="7"/>
      <c r="S997" s="7"/>
      <c r="T997" s="7"/>
      <c r="U997" s="7"/>
      <c r="V997" s="7"/>
      <c r="W997" s="7"/>
      <c r="X997" s="7"/>
      <c r="Y997" s="7"/>
      <c r="Z997" s="7"/>
    </row>
    <row r="998" spans="1:26" ht="9" customHeight="1" x14ac:dyDescent="0.2">
      <c r="A998" s="95"/>
      <c r="B998" s="95"/>
      <c r="C998" s="44"/>
      <c r="D998" s="45"/>
      <c r="E998" s="96"/>
      <c r="F998" s="96"/>
      <c r="G998" s="96"/>
      <c r="H998" s="96"/>
      <c r="I998" s="96"/>
      <c r="J998" s="54"/>
      <c r="K998" s="96"/>
      <c r="L998" s="96"/>
      <c r="M998" s="39"/>
      <c r="N998" s="96"/>
      <c r="O998" s="96"/>
      <c r="P998" s="96"/>
      <c r="Q998" s="96"/>
      <c r="R998" s="7"/>
      <c r="S998" s="7"/>
      <c r="T998" s="7"/>
      <c r="U998" s="7"/>
      <c r="V998" s="7"/>
      <c r="W998" s="7"/>
      <c r="X998" s="7"/>
      <c r="Y998" s="7"/>
      <c r="Z998" s="7"/>
    </row>
    <row r="999" spans="1:26" ht="9" customHeight="1" x14ac:dyDescent="0.2">
      <c r="A999" s="95"/>
      <c r="B999" s="95"/>
      <c r="C999" s="44"/>
      <c r="D999" s="45"/>
      <c r="E999" s="96"/>
      <c r="F999" s="96"/>
      <c r="G999" s="96"/>
      <c r="H999" s="96"/>
      <c r="I999" s="96"/>
      <c r="J999" s="54"/>
      <c r="K999" s="96"/>
      <c r="L999" s="96"/>
      <c r="M999" s="39"/>
      <c r="N999" s="96"/>
      <c r="O999" s="96"/>
      <c r="P999" s="96"/>
      <c r="Q999" s="96"/>
      <c r="R999" s="7"/>
      <c r="S999" s="7"/>
      <c r="T999" s="7"/>
      <c r="U999" s="7"/>
      <c r="V999" s="7"/>
      <c r="W999" s="7"/>
      <c r="X999" s="7"/>
      <c r="Y999" s="7"/>
      <c r="Z999" s="7"/>
    </row>
    <row r="1000" spans="1:26" s="7" customFormat="1" ht="12.75" customHeight="1" x14ac:dyDescent="0.2">
      <c r="A1000" s="522">
        <v>44197</v>
      </c>
      <c r="B1000" s="522">
        <v>44561</v>
      </c>
      <c r="C1000" s="57" t="s">
        <v>36</v>
      </c>
      <c r="D1000" s="58">
        <v>0</v>
      </c>
      <c r="E1000" s="59">
        <v>16218.89</v>
      </c>
      <c r="F1000" s="59"/>
      <c r="G1000" s="59"/>
      <c r="H1000" s="59">
        <v>6459.63</v>
      </c>
      <c r="I1000" s="59"/>
      <c r="J1000" s="59">
        <v>1833.63</v>
      </c>
      <c r="K1000" s="59">
        <v>22003.57</v>
      </c>
      <c r="L1000" s="60">
        <v>23837.200000000001</v>
      </c>
      <c r="M1000" s="33"/>
      <c r="N1000" s="59">
        <v>22003.57</v>
      </c>
      <c r="O1000" s="59">
        <v>15543.94</v>
      </c>
      <c r="P1000" s="59">
        <v>2094</v>
      </c>
      <c r="Q1000" s="59">
        <v>26635.11</v>
      </c>
      <c r="R1000" s="59">
        <v>24801.48</v>
      </c>
    </row>
    <row r="1001" spans="1:26" s="7" customFormat="1" ht="9" customHeight="1" x14ac:dyDescent="0.2">
      <c r="A1001" s="523"/>
      <c r="B1001" s="523"/>
      <c r="C1001" s="62" t="s">
        <v>37</v>
      </c>
      <c r="D1001" s="63">
        <v>8</v>
      </c>
      <c r="E1001" s="64">
        <v>29801015</v>
      </c>
      <c r="F1001" s="65"/>
      <c r="G1001" s="65"/>
      <c r="H1001" s="64">
        <v>12507588</v>
      </c>
      <c r="I1001" s="64"/>
      <c r="J1001" s="66">
        <v>3550403</v>
      </c>
      <c r="K1001" s="66">
        <v>42604852</v>
      </c>
      <c r="L1001" s="64">
        <v>46155255</v>
      </c>
      <c r="M1001" s="39"/>
      <c r="N1001" s="65">
        <v>42604852</v>
      </c>
      <c r="O1001" s="65">
        <v>30097265</v>
      </c>
      <c r="P1001" s="65">
        <v>4054549</v>
      </c>
      <c r="Q1001" s="65">
        <v>51572764</v>
      </c>
      <c r="R1001" s="64">
        <v>48022362</v>
      </c>
    </row>
    <row r="1002" spans="1:26" s="7" customFormat="1" ht="12.75" customHeight="1" x14ac:dyDescent="0.2">
      <c r="A1002" s="520">
        <f>A1000</f>
        <v>44197</v>
      </c>
      <c r="B1002" s="520">
        <f>B1000</f>
        <v>44561</v>
      </c>
      <c r="C1002" s="68" t="s">
        <v>36</v>
      </c>
      <c r="D1002" s="69">
        <v>9</v>
      </c>
      <c r="E1002" s="59">
        <v>19536.18</v>
      </c>
      <c r="F1002" s="59"/>
      <c r="G1002" s="59"/>
      <c r="H1002" s="59">
        <v>6459.63</v>
      </c>
      <c r="I1002" s="59"/>
      <c r="J1002" s="59">
        <v>2101.9299999999998</v>
      </c>
      <c r="K1002" s="59">
        <v>16918.52</v>
      </c>
      <c r="L1002" s="60">
        <v>19020.45</v>
      </c>
      <c r="M1002" s="33"/>
      <c r="N1002" s="59">
        <v>25223.1</v>
      </c>
      <c r="O1002" s="59">
        <v>18763.47</v>
      </c>
      <c r="P1002" s="59">
        <v>2094</v>
      </c>
      <c r="Q1002" s="59">
        <v>30702.45</v>
      </c>
      <c r="R1002" s="59">
        <v>28600.52</v>
      </c>
    </row>
    <row r="1003" spans="1:26" s="7" customFormat="1" ht="9" customHeight="1" x14ac:dyDescent="0.2">
      <c r="A1003" s="520"/>
      <c r="B1003" s="520"/>
      <c r="C1003" s="62" t="s">
        <v>37</v>
      </c>
      <c r="D1003" s="63">
        <v>14</v>
      </c>
      <c r="E1003" s="64">
        <v>29801015</v>
      </c>
      <c r="F1003" s="65"/>
      <c r="G1003" s="65"/>
      <c r="H1003" s="64">
        <v>12507588</v>
      </c>
      <c r="I1003" s="64"/>
      <c r="J1003" s="66">
        <v>4069904</v>
      </c>
      <c r="K1003" s="64">
        <v>32758823</v>
      </c>
      <c r="L1003" s="64">
        <v>36828727</v>
      </c>
      <c r="M1003" s="39"/>
      <c r="N1003" s="65">
        <v>48838732</v>
      </c>
      <c r="O1003" s="65">
        <v>36331144</v>
      </c>
      <c r="P1003" s="65">
        <v>4054549</v>
      </c>
      <c r="Q1003" s="65">
        <v>59448233</v>
      </c>
      <c r="R1003" s="64">
        <v>55378329</v>
      </c>
    </row>
    <row r="1004" spans="1:26" s="7" customFormat="1" ht="12.75" customHeight="1" x14ac:dyDescent="0.2">
      <c r="A1004" s="520"/>
      <c r="B1004" s="520"/>
      <c r="C1004" s="68" t="s">
        <v>36</v>
      </c>
      <c r="D1004" s="69">
        <v>15</v>
      </c>
      <c r="E1004" s="59">
        <v>22061.18</v>
      </c>
      <c r="F1004" s="59"/>
      <c r="G1004" s="59"/>
      <c r="H1004" s="59">
        <v>6459.63</v>
      </c>
      <c r="I1004" s="59"/>
      <c r="J1004" s="59">
        <v>2305.7800000000002</v>
      </c>
      <c r="K1004" s="59">
        <v>17933.73</v>
      </c>
      <c r="L1004" s="60">
        <v>20239.509999999998</v>
      </c>
      <c r="M1004" s="33"/>
      <c r="N1004" s="59">
        <v>27669.35</v>
      </c>
      <c r="O1004" s="59">
        <v>21209.72</v>
      </c>
      <c r="P1004" s="59">
        <v>2577.6</v>
      </c>
      <c r="Q1004" s="59">
        <v>33792.879999999997</v>
      </c>
      <c r="R1004" s="59">
        <v>31487.1</v>
      </c>
    </row>
    <row r="1005" spans="1:26" s="7" customFormat="1" ht="9" customHeight="1" x14ac:dyDescent="0.2">
      <c r="A1005" s="520"/>
      <c r="B1005" s="520"/>
      <c r="C1005" s="62" t="s">
        <v>37</v>
      </c>
      <c r="D1005" s="63">
        <v>20</v>
      </c>
      <c r="E1005" s="64">
        <v>29801015</v>
      </c>
      <c r="F1005" s="65"/>
      <c r="G1005" s="65"/>
      <c r="H1005" s="64">
        <v>12507588</v>
      </c>
      <c r="I1005" s="64"/>
      <c r="J1005" s="66">
        <v>4464613</v>
      </c>
      <c r="K1005" s="64">
        <v>34724543</v>
      </c>
      <c r="L1005" s="64">
        <v>39189156</v>
      </c>
      <c r="M1005" s="39"/>
      <c r="N1005" s="65">
        <v>53575332</v>
      </c>
      <c r="O1005" s="65">
        <v>41067745</v>
      </c>
      <c r="P1005" s="65">
        <v>4990930</v>
      </c>
      <c r="Q1005" s="65">
        <v>65432140</v>
      </c>
      <c r="R1005" s="64">
        <v>60967527</v>
      </c>
    </row>
    <row r="1006" spans="1:26" s="7" customFormat="1" ht="12.75" customHeight="1" x14ac:dyDescent="0.2">
      <c r="A1006" s="520"/>
      <c r="B1006" s="520"/>
      <c r="C1006" s="68" t="s">
        <v>36</v>
      </c>
      <c r="D1006" s="69">
        <v>21</v>
      </c>
      <c r="E1006" s="59">
        <v>25276.62</v>
      </c>
      <c r="F1006" s="59"/>
      <c r="G1006" s="59"/>
      <c r="H1006" s="59">
        <v>6459.63</v>
      </c>
      <c r="I1006" s="59"/>
      <c r="J1006" s="59">
        <v>2565.52</v>
      </c>
      <c r="K1006" s="59">
        <v>18921.79</v>
      </c>
      <c r="L1006" s="60">
        <v>21487.31</v>
      </c>
      <c r="M1006" s="33"/>
      <c r="N1006" s="59">
        <v>30786.22</v>
      </c>
      <c r="O1006" s="59">
        <v>24326.59</v>
      </c>
      <c r="P1006" s="59">
        <v>2577.6</v>
      </c>
      <c r="Q1006" s="59">
        <v>37730.53</v>
      </c>
      <c r="R1006" s="59">
        <v>35165.01</v>
      </c>
    </row>
    <row r="1007" spans="1:26" s="7" customFormat="1" ht="9" customHeight="1" x14ac:dyDescent="0.2">
      <c r="A1007" s="520"/>
      <c r="B1007" s="520"/>
      <c r="C1007" s="62" t="s">
        <v>37</v>
      </c>
      <c r="D1007" s="63">
        <v>27</v>
      </c>
      <c r="E1007" s="64">
        <v>29801015</v>
      </c>
      <c r="F1007" s="65"/>
      <c r="G1007" s="65"/>
      <c r="H1007" s="64">
        <v>12507588</v>
      </c>
      <c r="I1007" s="64"/>
      <c r="J1007" s="66">
        <v>4967539</v>
      </c>
      <c r="K1007" s="64">
        <v>36637694</v>
      </c>
      <c r="L1007" s="64">
        <v>41605234</v>
      </c>
      <c r="M1007" s="39"/>
      <c r="N1007" s="65">
        <v>59610434</v>
      </c>
      <c r="O1007" s="65">
        <v>47102846</v>
      </c>
      <c r="P1007" s="65">
        <v>4990930</v>
      </c>
      <c r="Q1007" s="65">
        <v>73056493</v>
      </c>
      <c r="R1007" s="64">
        <v>68088954</v>
      </c>
    </row>
    <row r="1008" spans="1:26" s="7" customFormat="1" ht="12.75" customHeight="1" x14ac:dyDescent="0.2">
      <c r="A1008" s="520"/>
      <c r="B1008" s="520"/>
      <c r="C1008" s="68" t="s">
        <v>36</v>
      </c>
      <c r="D1008" s="69">
        <v>28</v>
      </c>
      <c r="E1008" s="59">
        <v>27377.74</v>
      </c>
      <c r="F1008" s="59"/>
      <c r="G1008" s="59"/>
      <c r="H1008" s="59">
        <v>6459.63</v>
      </c>
      <c r="I1008" s="59"/>
      <c r="J1008" s="59">
        <v>2735.81</v>
      </c>
      <c r="K1008" s="59">
        <v>19673.080000000002</v>
      </c>
      <c r="L1008" s="60">
        <v>22408.89</v>
      </c>
      <c r="M1008" s="33"/>
      <c r="N1008" s="59">
        <v>32829.660000000003</v>
      </c>
      <c r="O1008" s="59">
        <v>26370.03</v>
      </c>
      <c r="P1008" s="59">
        <v>3278.4</v>
      </c>
      <c r="Q1008" s="59">
        <v>40312.080000000002</v>
      </c>
      <c r="R1008" s="59">
        <v>37576.269999999997</v>
      </c>
    </row>
    <row r="1009" spans="1:26" s="7" customFormat="1" ht="9" customHeight="1" x14ac:dyDescent="0.2">
      <c r="A1009" s="520"/>
      <c r="B1009" s="520"/>
      <c r="C1009" s="62" t="s">
        <v>37</v>
      </c>
      <c r="D1009" s="63">
        <v>34</v>
      </c>
      <c r="E1009" s="64">
        <v>29801015</v>
      </c>
      <c r="F1009" s="65"/>
      <c r="G1009" s="65"/>
      <c r="H1009" s="64">
        <v>12507588</v>
      </c>
      <c r="I1009" s="64"/>
      <c r="J1009" s="66">
        <v>5297267</v>
      </c>
      <c r="K1009" s="64">
        <v>38092395</v>
      </c>
      <c r="L1009" s="64">
        <v>43389661</v>
      </c>
      <c r="M1009" s="39"/>
      <c r="N1009" s="65">
        <v>63567086</v>
      </c>
      <c r="O1009" s="65">
        <v>51059498</v>
      </c>
      <c r="P1009" s="65">
        <v>6347868</v>
      </c>
      <c r="Q1009" s="65">
        <v>78055071</v>
      </c>
      <c r="R1009" s="64">
        <v>72757804</v>
      </c>
    </row>
    <row r="1010" spans="1:26" s="7" customFormat="1" ht="12.75" customHeight="1" x14ac:dyDescent="0.2">
      <c r="A1010" s="520"/>
      <c r="B1010" s="520"/>
      <c r="C1010" s="68" t="s">
        <v>36</v>
      </c>
      <c r="D1010" s="69">
        <v>35</v>
      </c>
      <c r="E1010" s="59">
        <v>29045.84</v>
      </c>
      <c r="F1010" s="59"/>
      <c r="G1010" s="59"/>
      <c r="H1010" s="59">
        <v>6459.63</v>
      </c>
      <c r="I1010" s="59"/>
      <c r="J1010" s="59">
        <v>2870.75</v>
      </c>
      <c r="K1010" s="59">
        <v>20206.89</v>
      </c>
      <c r="L1010" s="60">
        <v>23077.64</v>
      </c>
      <c r="M1010" s="33"/>
      <c r="N1010" s="59">
        <v>34449.019999999997</v>
      </c>
      <c r="O1010" s="59">
        <v>27989.39</v>
      </c>
      <c r="P1010" s="59">
        <v>3278.4</v>
      </c>
      <c r="Q1010" s="59">
        <v>42357.86</v>
      </c>
      <c r="R1010" s="59">
        <v>39487.11</v>
      </c>
    </row>
    <row r="1011" spans="1:26" s="7" customFormat="1" ht="9" customHeight="1" x14ac:dyDescent="0.2">
      <c r="A1011" s="521"/>
      <c r="B1011" s="521"/>
      <c r="C1011" s="71" t="s">
        <v>37</v>
      </c>
      <c r="D1011" s="72"/>
      <c r="E1011" s="64">
        <v>29801015</v>
      </c>
      <c r="F1011" s="64"/>
      <c r="G1011" s="64"/>
      <c r="H1011" s="64">
        <v>12507588</v>
      </c>
      <c r="I1011" s="64"/>
      <c r="J1011" s="64">
        <v>5558547</v>
      </c>
      <c r="K1011" s="64">
        <v>39125995</v>
      </c>
      <c r="L1011" s="64">
        <v>44684542</v>
      </c>
      <c r="M1011" s="39"/>
      <c r="N1011" s="64">
        <v>66702604</v>
      </c>
      <c r="O1011" s="64">
        <v>54195016</v>
      </c>
      <c r="P1011" s="64">
        <v>6347868</v>
      </c>
      <c r="Q1011" s="64">
        <v>82016254</v>
      </c>
      <c r="R1011" s="64">
        <v>76457706</v>
      </c>
    </row>
    <row r="1012" spans="1:26" ht="9" customHeight="1" x14ac:dyDescent="0.2">
      <c r="A1012" s="95"/>
      <c r="B1012" s="95"/>
      <c r="C1012" s="44"/>
      <c r="D1012" s="45"/>
      <c r="E1012" s="96"/>
      <c r="F1012" s="96"/>
      <c r="G1012" s="96"/>
      <c r="H1012" s="96"/>
      <c r="I1012" s="96"/>
      <c r="J1012" s="54"/>
      <c r="K1012" s="96"/>
      <c r="L1012" s="96"/>
      <c r="M1012" s="39"/>
      <c r="N1012" s="96"/>
      <c r="O1012" s="96"/>
      <c r="P1012" s="96"/>
      <c r="Q1012" s="96"/>
      <c r="R1012" s="7"/>
      <c r="S1012" s="7"/>
      <c r="T1012" s="7"/>
      <c r="U1012" s="7"/>
      <c r="V1012" s="7"/>
      <c r="W1012" s="7"/>
      <c r="X1012" s="7"/>
      <c r="Y1012" s="7"/>
      <c r="Z1012" s="7"/>
    </row>
    <row r="1013" spans="1:26" ht="9" customHeight="1" x14ac:dyDescent="0.2">
      <c r="A1013" s="95"/>
      <c r="B1013" s="95"/>
      <c r="C1013" s="44"/>
      <c r="D1013" s="45"/>
      <c r="E1013" s="96"/>
      <c r="F1013" s="96"/>
      <c r="G1013" s="96"/>
      <c r="H1013" s="96"/>
      <c r="I1013" s="96"/>
      <c r="J1013" s="54"/>
      <c r="K1013" s="96"/>
      <c r="L1013" s="96"/>
      <c r="M1013" s="39"/>
      <c r="N1013" s="96"/>
      <c r="O1013" s="96"/>
      <c r="P1013" s="96"/>
      <c r="Q1013" s="96"/>
      <c r="R1013" s="7"/>
      <c r="S1013" s="7"/>
      <c r="T1013" s="7"/>
      <c r="U1013" s="7"/>
      <c r="V1013" s="7"/>
      <c r="W1013" s="7"/>
      <c r="X1013" s="7"/>
      <c r="Y1013" s="7"/>
      <c r="Z1013" s="7"/>
    </row>
    <row r="1014" spans="1:26" ht="9" customHeight="1" x14ac:dyDescent="0.2">
      <c r="A1014" s="95"/>
      <c r="B1014" s="95"/>
      <c r="C1014" s="44"/>
      <c r="D1014" s="45"/>
      <c r="E1014" s="96"/>
      <c r="F1014" s="96"/>
      <c r="G1014" s="96"/>
      <c r="H1014" s="96"/>
      <c r="I1014" s="96"/>
      <c r="J1014" s="54"/>
      <c r="K1014" s="96"/>
      <c r="L1014" s="96"/>
      <c r="M1014" s="39"/>
      <c r="N1014" s="96"/>
      <c r="O1014" s="96"/>
      <c r="P1014" s="96"/>
      <c r="Q1014" s="96"/>
      <c r="R1014" s="7"/>
      <c r="S1014" s="7"/>
      <c r="T1014" s="7"/>
      <c r="U1014" s="7"/>
      <c r="V1014" s="7"/>
      <c r="W1014" s="7"/>
      <c r="X1014" s="7"/>
      <c r="Y1014" s="7"/>
      <c r="Z1014" s="7"/>
    </row>
    <row r="1015" spans="1:26" ht="9" customHeight="1" x14ac:dyDescent="0.2">
      <c r="A1015" s="95"/>
      <c r="B1015" s="95"/>
      <c r="C1015" s="44"/>
      <c r="D1015" s="45"/>
      <c r="E1015" s="96"/>
      <c r="F1015" s="96"/>
      <c r="G1015" s="96"/>
      <c r="H1015" s="96"/>
      <c r="I1015" s="96"/>
      <c r="J1015" s="54"/>
      <c r="K1015" s="96"/>
      <c r="L1015" s="96"/>
      <c r="M1015" s="39"/>
      <c r="N1015" s="96"/>
      <c r="O1015" s="96"/>
      <c r="P1015" s="96"/>
      <c r="Q1015" s="96"/>
      <c r="R1015" s="7"/>
      <c r="S1015" s="7"/>
      <c r="T1015" s="7"/>
      <c r="U1015" s="7"/>
      <c r="V1015" s="7"/>
      <c r="W1015" s="7"/>
      <c r="X1015" s="7"/>
      <c r="Y1015" s="7"/>
      <c r="Z1015" s="7"/>
    </row>
    <row r="1016" spans="1:26" ht="9" customHeight="1" x14ac:dyDescent="0.2">
      <c r="A1016" s="95"/>
      <c r="B1016" s="95"/>
      <c r="C1016" s="44"/>
      <c r="D1016" s="45"/>
      <c r="E1016" s="96"/>
      <c r="F1016" s="96"/>
      <c r="G1016" s="96"/>
      <c r="H1016" s="96"/>
      <c r="I1016" s="96"/>
      <c r="J1016" s="54"/>
      <c r="K1016" s="96"/>
      <c r="L1016" s="96"/>
      <c r="M1016" s="39"/>
      <c r="N1016" s="96"/>
      <c r="O1016" s="96"/>
      <c r="P1016" s="96"/>
      <c r="Q1016" s="96"/>
      <c r="R1016" s="7"/>
      <c r="S1016" s="7"/>
      <c r="T1016" s="7"/>
      <c r="U1016" s="7"/>
      <c r="V1016" s="7"/>
      <c r="W1016" s="7"/>
      <c r="X1016" s="7"/>
      <c r="Y1016" s="7"/>
      <c r="Z1016" s="7"/>
    </row>
    <row r="1017" spans="1:26" ht="9" customHeight="1" x14ac:dyDescent="0.2">
      <c r="A1017" s="95"/>
      <c r="B1017" s="95"/>
      <c r="C1017" s="44"/>
      <c r="D1017" s="45"/>
      <c r="E1017" s="96"/>
      <c r="F1017" s="96"/>
      <c r="G1017" s="96"/>
      <c r="H1017" s="96"/>
      <c r="I1017" s="96"/>
      <c r="J1017" s="54"/>
      <c r="K1017" s="96"/>
      <c r="L1017" s="96"/>
      <c r="M1017" s="39"/>
      <c r="N1017" s="96"/>
      <c r="O1017" s="96"/>
      <c r="P1017" s="96"/>
      <c r="Q1017" s="96"/>
      <c r="R1017" s="7"/>
      <c r="S1017" s="7"/>
      <c r="T1017" s="7"/>
      <c r="U1017" s="7"/>
      <c r="V1017" s="7"/>
      <c r="W1017" s="7"/>
      <c r="X1017" s="7"/>
      <c r="Y1017" s="7"/>
      <c r="Z1017" s="7"/>
    </row>
    <row r="1018" spans="1:26" ht="9" customHeight="1" x14ac:dyDescent="0.2">
      <c r="A1018" s="95"/>
      <c r="B1018" s="95"/>
      <c r="C1018" s="44"/>
      <c r="D1018" s="45"/>
      <c r="E1018" s="96"/>
      <c r="F1018" s="96"/>
      <c r="G1018" s="96"/>
      <c r="H1018" s="96"/>
      <c r="I1018" s="96"/>
      <c r="J1018" s="54"/>
      <c r="K1018" s="96"/>
      <c r="L1018" s="96"/>
      <c r="M1018" s="39"/>
      <c r="N1018" s="96"/>
      <c r="O1018" s="96"/>
      <c r="P1018" s="96"/>
      <c r="Q1018" s="96"/>
      <c r="R1018" s="7"/>
      <c r="S1018" s="7"/>
      <c r="T1018" s="7"/>
      <c r="U1018" s="7"/>
      <c r="V1018" s="7"/>
      <c r="W1018" s="7"/>
      <c r="X1018" s="7"/>
      <c r="Y1018" s="7"/>
      <c r="Z1018" s="7"/>
    </row>
    <row r="1019" spans="1:26" ht="9" customHeight="1" x14ac:dyDescent="0.2">
      <c r="A1019" s="95"/>
      <c r="B1019" s="95"/>
      <c r="C1019" s="44"/>
      <c r="D1019" s="45"/>
      <c r="E1019" s="96"/>
      <c r="F1019" s="96"/>
      <c r="G1019" s="96"/>
      <c r="H1019" s="96"/>
      <c r="I1019" s="96"/>
      <c r="J1019" s="54"/>
      <c r="K1019" s="96"/>
      <c r="L1019" s="96"/>
      <c r="M1019" s="39"/>
      <c r="N1019" s="96"/>
      <c r="O1019" s="96"/>
      <c r="P1019" s="96"/>
      <c r="Q1019" s="96"/>
      <c r="R1019" s="7"/>
      <c r="S1019" s="7"/>
      <c r="T1019" s="7"/>
      <c r="U1019" s="7"/>
      <c r="V1019" s="7"/>
      <c r="W1019" s="7"/>
      <c r="X1019" s="7"/>
      <c r="Y1019" s="7"/>
      <c r="Z1019" s="7"/>
    </row>
    <row r="1020" spans="1:26" s="7" customFormat="1" ht="12.75" customHeight="1" x14ac:dyDescent="0.2">
      <c r="A1020" s="522">
        <v>44562</v>
      </c>
      <c r="B1020" s="522">
        <v>44652</v>
      </c>
      <c r="C1020" s="57" t="s">
        <v>36</v>
      </c>
      <c r="D1020" s="58">
        <v>0</v>
      </c>
      <c r="E1020" s="59">
        <v>16218.89</v>
      </c>
      <c r="F1020" s="59"/>
      <c r="G1020" s="59"/>
      <c r="H1020" s="59">
        <v>6459.63</v>
      </c>
      <c r="I1020" s="59"/>
      <c r="J1020" s="59">
        <v>1833.63</v>
      </c>
      <c r="K1020" s="59">
        <v>22003.57</v>
      </c>
      <c r="L1020" s="60">
        <v>23837.200000000001</v>
      </c>
      <c r="M1020" s="33"/>
      <c r="N1020" s="59">
        <v>22003.57</v>
      </c>
      <c r="O1020" s="59">
        <v>15543.94</v>
      </c>
      <c r="P1020" s="59">
        <v>2214</v>
      </c>
      <c r="Q1020" s="59">
        <v>26635.11</v>
      </c>
      <c r="R1020" s="59">
        <v>24801.48</v>
      </c>
      <c r="S1020" s="75"/>
      <c r="T1020" s="75">
        <f>10*12</f>
        <v>120</v>
      </c>
      <c r="U1020" s="75"/>
      <c r="V1020" s="76">
        <f>P1020+T1020</f>
        <v>2334</v>
      </c>
    </row>
    <row r="1021" spans="1:26" s="7" customFormat="1" ht="9" customHeight="1" x14ac:dyDescent="0.2">
      <c r="A1021" s="523"/>
      <c r="B1021" s="523"/>
      <c r="C1021" s="62" t="s">
        <v>37</v>
      </c>
      <c r="D1021" s="63">
        <v>8</v>
      </c>
      <c r="E1021" s="64">
        <v>29801015</v>
      </c>
      <c r="F1021" s="65"/>
      <c r="G1021" s="65"/>
      <c r="H1021" s="64">
        <v>12507588</v>
      </c>
      <c r="I1021" s="64"/>
      <c r="J1021" s="66">
        <v>3550403</v>
      </c>
      <c r="K1021" s="66">
        <v>42604852</v>
      </c>
      <c r="L1021" s="64">
        <v>46155255</v>
      </c>
      <c r="M1021" s="39"/>
      <c r="N1021" s="65">
        <v>42604852</v>
      </c>
      <c r="O1021" s="65">
        <v>30097265</v>
      </c>
      <c r="P1021" s="65"/>
      <c r="Q1021" s="65">
        <v>51572764</v>
      </c>
      <c r="R1021" s="64">
        <v>48022362</v>
      </c>
      <c r="S1021" s="75"/>
      <c r="T1021" s="75"/>
      <c r="U1021" s="75"/>
      <c r="V1021" s="76"/>
    </row>
    <row r="1022" spans="1:26" s="7" customFormat="1" ht="12.75" customHeight="1" x14ac:dyDescent="0.2">
      <c r="A1022" s="520">
        <f>A1020</f>
        <v>44562</v>
      </c>
      <c r="B1022" s="520">
        <v>44651</v>
      </c>
      <c r="C1022" s="68" t="s">
        <v>36</v>
      </c>
      <c r="D1022" s="69">
        <v>9</v>
      </c>
      <c r="E1022" s="59">
        <v>19536.18</v>
      </c>
      <c r="F1022" s="59"/>
      <c r="G1022" s="59"/>
      <c r="H1022" s="59">
        <v>6459.63</v>
      </c>
      <c r="I1022" s="59"/>
      <c r="J1022" s="59">
        <v>2101.9299999999998</v>
      </c>
      <c r="K1022" s="59">
        <v>16918.52</v>
      </c>
      <c r="L1022" s="60">
        <v>19020.45</v>
      </c>
      <c r="M1022" s="33"/>
      <c r="N1022" s="59">
        <v>25223.1</v>
      </c>
      <c r="O1022" s="59">
        <v>18763.47</v>
      </c>
      <c r="P1022" s="59">
        <v>2214</v>
      </c>
      <c r="Q1022" s="59">
        <v>30702.45</v>
      </c>
      <c r="R1022" s="59">
        <v>28600.52</v>
      </c>
      <c r="S1022" s="75"/>
      <c r="T1022" s="75">
        <f>10*12</f>
        <v>120</v>
      </c>
      <c r="U1022" s="75"/>
      <c r="V1022" s="76">
        <f>P1022+T1022</f>
        <v>2334</v>
      </c>
    </row>
    <row r="1023" spans="1:26" s="7" customFormat="1" ht="9" customHeight="1" x14ac:dyDescent="0.2">
      <c r="A1023" s="520"/>
      <c r="B1023" s="520"/>
      <c r="C1023" s="62" t="s">
        <v>37</v>
      </c>
      <c r="D1023" s="63">
        <v>14</v>
      </c>
      <c r="E1023" s="64">
        <v>29801015</v>
      </c>
      <c r="F1023" s="65"/>
      <c r="G1023" s="65"/>
      <c r="H1023" s="64">
        <v>12507588</v>
      </c>
      <c r="I1023" s="64"/>
      <c r="J1023" s="66">
        <v>4069904</v>
      </c>
      <c r="K1023" s="64">
        <v>32758823</v>
      </c>
      <c r="L1023" s="64">
        <v>36828727</v>
      </c>
      <c r="M1023" s="39"/>
      <c r="N1023" s="65">
        <v>48838732</v>
      </c>
      <c r="O1023" s="65">
        <v>36331144</v>
      </c>
      <c r="P1023" s="65"/>
      <c r="Q1023" s="65">
        <v>59448233</v>
      </c>
      <c r="R1023" s="64">
        <v>55378329</v>
      </c>
      <c r="S1023" s="75"/>
      <c r="T1023" s="75"/>
      <c r="U1023" s="75"/>
      <c r="V1023" s="76"/>
    </row>
    <row r="1024" spans="1:26" s="7" customFormat="1" ht="12.75" customHeight="1" x14ac:dyDescent="0.2">
      <c r="A1024" s="520"/>
      <c r="B1024" s="520"/>
      <c r="C1024" s="68" t="s">
        <v>36</v>
      </c>
      <c r="D1024" s="69">
        <v>15</v>
      </c>
      <c r="E1024" s="59">
        <v>22061.18</v>
      </c>
      <c r="F1024" s="59"/>
      <c r="G1024" s="59"/>
      <c r="H1024" s="59">
        <v>6459.63</v>
      </c>
      <c r="I1024" s="59"/>
      <c r="J1024" s="59">
        <v>2305.7800000000002</v>
      </c>
      <c r="K1024" s="59">
        <v>17933.73</v>
      </c>
      <c r="L1024" s="60">
        <v>20239.509999999998</v>
      </c>
      <c r="M1024" s="33"/>
      <c r="N1024" s="59">
        <v>27669.35</v>
      </c>
      <c r="O1024" s="59">
        <v>21209.72</v>
      </c>
      <c r="P1024" s="59">
        <v>2721.6</v>
      </c>
      <c r="Q1024" s="59">
        <v>33792.879999999997</v>
      </c>
      <c r="R1024" s="59">
        <v>31487.1</v>
      </c>
      <c r="S1024" s="75"/>
      <c r="T1024" s="75">
        <f>12*12</f>
        <v>144</v>
      </c>
      <c r="U1024" s="75"/>
      <c r="V1024" s="76">
        <f>P1024+T1024</f>
        <v>2865.6</v>
      </c>
    </row>
    <row r="1025" spans="1:26" s="7" customFormat="1" ht="9" customHeight="1" x14ac:dyDescent="0.2">
      <c r="A1025" s="520"/>
      <c r="B1025" s="520"/>
      <c r="C1025" s="62" t="s">
        <v>37</v>
      </c>
      <c r="D1025" s="63">
        <v>20</v>
      </c>
      <c r="E1025" s="64">
        <v>29801015</v>
      </c>
      <c r="F1025" s="65"/>
      <c r="G1025" s="65"/>
      <c r="H1025" s="64">
        <v>12507588</v>
      </c>
      <c r="I1025" s="64"/>
      <c r="J1025" s="66">
        <v>4464613</v>
      </c>
      <c r="K1025" s="64">
        <v>34724543</v>
      </c>
      <c r="L1025" s="64">
        <v>39189156</v>
      </c>
      <c r="M1025" s="39"/>
      <c r="N1025" s="65">
        <v>53575332</v>
      </c>
      <c r="O1025" s="65">
        <v>41067745</v>
      </c>
      <c r="P1025" s="65"/>
      <c r="Q1025" s="65">
        <v>65432140</v>
      </c>
      <c r="R1025" s="64">
        <v>60967527</v>
      </c>
      <c r="S1025" s="75"/>
      <c r="T1025" s="75"/>
      <c r="U1025" s="75"/>
      <c r="V1025" s="76"/>
    </row>
    <row r="1026" spans="1:26" s="7" customFormat="1" ht="12.75" customHeight="1" x14ac:dyDescent="0.2">
      <c r="A1026" s="520"/>
      <c r="B1026" s="520"/>
      <c r="C1026" s="68" t="s">
        <v>36</v>
      </c>
      <c r="D1026" s="69">
        <v>21</v>
      </c>
      <c r="E1026" s="59">
        <v>25276.62</v>
      </c>
      <c r="F1026" s="59"/>
      <c r="G1026" s="59"/>
      <c r="H1026" s="59">
        <v>6459.63</v>
      </c>
      <c r="I1026" s="59"/>
      <c r="J1026" s="59">
        <v>2565.52</v>
      </c>
      <c r="K1026" s="59">
        <v>18921.79</v>
      </c>
      <c r="L1026" s="60">
        <v>21487.31</v>
      </c>
      <c r="M1026" s="33"/>
      <c r="N1026" s="59">
        <v>30786.22</v>
      </c>
      <c r="O1026" s="59">
        <v>24326.59</v>
      </c>
      <c r="P1026" s="59">
        <v>2721.6</v>
      </c>
      <c r="Q1026" s="59">
        <v>37730.53</v>
      </c>
      <c r="R1026" s="59">
        <v>35165.01</v>
      </c>
      <c r="S1026" s="75"/>
      <c r="T1026" s="75">
        <f>12*12</f>
        <v>144</v>
      </c>
      <c r="U1026" s="75"/>
      <c r="V1026" s="76">
        <f>P1026+T1026</f>
        <v>2865.6</v>
      </c>
    </row>
    <row r="1027" spans="1:26" s="7" customFormat="1" ht="9" customHeight="1" x14ac:dyDescent="0.2">
      <c r="A1027" s="520"/>
      <c r="B1027" s="520"/>
      <c r="C1027" s="62" t="s">
        <v>37</v>
      </c>
      <c r="D1027" s="63">
        <v>27</v>
      </c>
      <c r="E1027" s="64">
        <v>29801015</v>
      </c>
      <c r="F1027" s="65"/>
      <c r="G1027" s="65"/>
      <c r="H1027" s="64">
        <v>12507588</v>
      </c>
      <c r="I1027" s="64"/>
      <c r="J1027" s="66">
        <v>4967539</v>
      </c>
      <c r="K1027" s="64">
        <v>36637694</v>
      </c>
      <c r="L1027" s="64">
        <v>41605234</v>
      </c>
      <c r="M1027" s="39"/>
      <c r="N1027" s="65">
        <v>59610434</v>
      </c>
      <c r="O1027" s="65">
        <v>47102846</v>
      </c>
      <c r="P1027" s="65"/>
      <c r="Q1027" s="65">
        <v>73056493</v>
      </c>
      <c r="R1027" s="64">
        <v>68088954</v>
      </c>
      <c r="S1027" s="75"/>
      <c r="T1027" s="75"/>
      <c r="U1027" s="75"/>
      <c r="V1027" s="76"/>
    </row>
    <row r="1028" spans="1:26" s="7" customFormat="1" ht="12.75" customHeight="1" x14ac:dyDescent="0.2">
      <c r="A1028" s="520"/>
      <c r="B1028" s="520"/>
      <c r="C1028" s="68" t="s">
        <v>36</v>
      </c>
      <c r="D1028" s="69">
        <v>28</v>
      </c>
      <c r="E1028" s="59">
        <v>27377.74</v>
      </c>
      <c r="F1028" s="59"/>
      <c r="G1028" s="59"/>
      <c r="H1028" s="59">
        <v>6459.63</v>
      </c>
      <c r="I1028" s="59"/>
      <c r="J1028" s="59">
        <v>2735.81</v>
      </c>
      <c r="K1028" s="59">
        <v>19673.080000000002</v>
      </c>
      <c r="L1028" s="60">
        <v>22408.89</v>
      </c>
      <c r="M1028" s="33"/>
      <c r="N1028" s="59">
        <v>32829.660000000003</v>
      </c>
      <c r="O1028" s="59">
        <v>26370.03</v>
      </c>
      <c r="P1028" s="59">
        <v>3458.4</v>
      </c>
      <c r="Q1028" s="59">
        <v>40312.080000000002</v>
      </c>
      <c r="R1028" s="59">
        <v>37576.269999999997</v>
      </c>
      <c r="S1028" s="75"/>
      <c r="T1028" s="75">
        <f>15*12</f>
        <v>180</v>
      </c>
      <c r="U1028" s="75"/>
      <c r="V1028" s="76">
        <f>P1028+T1028</f>
        <v>3638.4</v>
      </c>
    </row>
    <row r="1029" spans="1:26" s="7" customFormat="1" ht="9" customHeight="1" x14ac:dyDescent="0.2">
      <c r="A1029" s="520"/>
      <c r="B1029" s="520"/>
      <c r="C1029" s="62" t="s">
        <v>37</v>
      </c>
      <c r="D1029" s="63">
        <v>34</v>
      </c>
      <c r="E1029" s="64">
        <v>29801015</v>
      </c>
      <c r="F1029" s="65"/>
      <c r="G1029" s="65"/>
      <c r="H1029" s="64">
        <v>12507588</v>
      </c>
      <c r="I1029" s="64"/>
      <c r="J1029" s="66">
        <v>5297267</v>
      </c>
      <c r="K1029" s="64">
        <v>38092395</v>
      </c>
      <c r="L1029" s="64">
        <v>43389661</v>
      </c>
      <c r="M1029" s="39"/>
      <c r="N1029" s="65">
        <v>63567086</v>
      </c>
      <c r="O1029" s="65">
        <v>51059498</v>
      </c>
      <c r="P1029" s="65"/>
      <c r="Q1029" s="65">
        <v>78055071</v>
      </c>
      <c r="R1029" s="64">
        <v>72757804</v>
      </c>
      <c r="S1029" s="75"/>
      <c r="T1029" s="75"/>
      <c r="U1029" s="75"/>
      <c r="V1029" s="76"/>
    </row>
    <row r="1030" spans="1:26" s="7" customFormat="1" ht="12.75" customHeight="1" x14ac:dyDescent="0.2">
      <c r="A1030" s="520"/>
      <c r="B1030" s="520"/>
      <c r="C1030" s="68" t="s">
        <v>36</v>
      </c>
      <c r="D1030" s="69">
        <v>35</v>
      </c>
      <c r="E1030" s="59">
        <v>29045.84</v>
      </c>
      <c r="F1030" s="59"/>
      <c r="G1030" s="59"/>
      <c r="H1030" s="59">
        <v>6459.63</v>
      </c>
      <c r="I1030" s="59"/>
      <c r="J1030" s="59">
        <v>2870.75</v>
      </c>
      <c r="K1030" s="59">
        <v>20206.89</v>
      </c>
      <c r="L1030" s="60">
        <v>23077.64</v>
      </c>
      <c r="M1030" s="33"/>
      <c r="N1030" s="59">
        <v>34449.019999999997</v>
      </c>
      <c r="O1030" s="59">
        <v>27989.39</v>
      </c>
      <c r="P1030" s="59">
        <v>3458.4</v>
      </c>
      <c r="Q1030" s="59">
        <v>42357.86</v>
      </c>
      <c r="R1030" s="59">
        <v>39487.11</v>
      </c>
      <c r="S1030" s="275"/>
      <c r="T1030" s="75">
        <f>15*12</f>
        <v>180</v>
      </c>
      <c r="U1030" s="75"/>
      <c r="V1030" s="76">
        <f>P1030+T1030</f>
        <v>3638.4</v>
      </c>
    </row>
    <row r="1031" spans="1:26" s="7" customFormat="1" ht="9" customHeight="1" x14ac:dyDescent="0.2">
      <c r="A1031" s="521"/>
      <c r="B1031" s="521"/>
      <c r="C1031" s="71" t="s">
        <v>37</v>
      </c>
      <c r="D1031" s="72"/>
      <c r="E1031" s="64">
        <v>29801015</v>
      </c>
      <c r="F1031" s="64"/>
      <c r="G1031" s="64"/>
      <c r="H1031" s="64">
        <v>12507588</v>
      </c>
      <c r="I1031" s="64"/>
      <c r="J1031" s="64">
        <v>5558547</v>
      </c>
      <c r="K1031" s="64">
        <v>39125995</v>
      </c>
      <c r="L1031" s="64">
        <v>44684542</v>
      </c>
      <c r="M1031" s="39"/>
      <c r="N1031" s="64">
        <v>66702604</v>
      </c>
      <c r="O1031" s="64">
        <v>54195016</v>
      </c>
      <c r="P1031" s="64">
        <v>6347868</v>
      </c>
      <c r="Q1031" s="64">
        <v>82016254</v>
      </c>
      <c r="R1031" s="64">
        <v>76457706</v>
      </c>
      <c r="S1031" s="75"/>
      <c r="T1031" s="75"/>
      <c r="U1031" s="75"/>
      <c r="V1031" s="76"/>
    </row>
    <row r="1032" spans="1:26" ht="9" customHeight="1" x14ac:dyDescent="0.2">
      <c r="A1032" s="95"/>
      <c r="B1032" s="95"/>
      <c r="C1032" s="44"/>
      <c r="D1032" s="45"/>
      <c r="E1032" s="96"/>
      <c r="F1032" s="96"/>
      <c r="G1032" s="96"/>
      <c r="H1032" s="96"/>
      <c r="I1032" s="96"/>
      <c r="J1032" s="54"/>
      <c r="K1032" s="96"/>
      <c r="L1032" s="96"/>
      <c r="M1032" s="39"/>
      <c r="N1032" s="96"/>
      <c r="O1032" s="96"/>
      <c r="P1032" s="96"/>
      <c r="Q1032" s="96"/>
      <c r="R1032" s="7"/>
      <c r="S1032" s="7"/>
      <c r="T1032" s="7"/>
      <c r="U1032" s="7"/>
      <c r="V1032" s="7"/>
      <c r="W1032" s="7"/>
      <c r="X1032" s="7"/>
      <c r="Y1032" s="7"/>
      <c r="Z1032" s="7"/>
    </row>
    <row r="1033" spans="1:26" ht="9" customHeight="1" x14ac:dyDescent="0.2">
      <c r="A1033" s="95"/>
      <c r="B1033" s="95"/>
      <c r="C1033" s="44"/>
      <c r="D1033" s="45"/>
      <c r="E1033" s="96"/>
      <c r="F1033" s="96"/>
      <c r="G1033" s="96"/>
      <c r="H1033" s="96"/>
      <c r="I1033" s="96"/>
      <c r="J1033" s="54"/>
      <c r="K1033" s="96"/>
      <c r="L1033" s="96"/>
      <c r="M1033" s="39"/>
      <c r="N1033" s="96"/>
      <c r="O1033" s="96"/>
      <c r="P1033" s="96"/>
      <c r="Q1033" s="96"/>
      <c r="R1033" s="7"/>
      <c r="S1033" s="7"/>
      <c r="T1033" s="7"/>
      <c r="U1033" s="7"/>
      <c r="V1033" s="7"/>
      <c r="W1033" s="7"/>
      <c r="X1033" s="7"/>
      <c r="Y1033" s="7"/>
      <c r="Z1033" s="7"/>
    </row>
    <row r="1034" spans="1:26" ht="9" customHeight="1" x14ac:dyDescent="0.2">
      <c r="A1034" s="95"/>
      <c r="B1034" s="95"/>
      <c r="C1034" s="44"/>
      <c r="D1034" s="45"/>
      <c r="E1034" s="96"/>
      <c r="F1034" s="96"/>
      <c r="G1034" s="96"/>
      <c r="H1034" s="96"/>
      <c r="I1034" s="96"/>
      <c r="J1034" s="54"/>
      <c r="K1034" s="96"/>
      <c r="L1034" s="96"/>
      <c r="M1034" s="39"/>
      <c r="N1034" s="96"/>
      <c r="O1034" s="96"/>
      <c r="P1034" s="96"/>
      <c r="Q1034" s="96"/>
      <c r="R1034" s="7"/>
      <c r="S1034" s="7"/>
      <c r="T1034" s="7"/>
      <c r="U1034" s="7"/>
      <c r="V1034" s="7"/>
      <c r="W1034" s="7"/>
      <c r="X1034" s="7"/>
      <c r="Y1034" s="7"/>
      <c r="Z1034" s="7"/>
    </row>
    <row r="1035" spans="1:26" ht="9" customHeight="1" x14ac:dyDescent="0.2">
      <c r="A1035" s="95"/>
      <c r="B1035" s="95"/>
      <c r="C1035" s="44"/>
      <c r="D1035" s="45"/>
      <c r="E1035" s="96"/>
      <c r="F1035" s="96"/>
      <c r="G1035" s="96"/>
      <c r="H1035" s="96"/>
      <c r="I1035" s="96"/>
      <c r="J1035" s="54"/>
      <c r="K1035" s="96"/>
      <c r="L1035" s="96"/>
      <c r="M1035" s="39"/>
      <c r="N1035" s="96"/>
      <c r="O1035" s="96"/>
      <c r="P1035" s="96"/>
      <c r="Q1035" s="96"/>
      <c r="R1035" s="7"/>
      <c r="S1035" s="7"/>
      <c r="T1035" s="7"/>
      <c r="U1035" s="7"/>
      <c r="V1035" s="7"/>
      <c r="W1035" s="7"/>
      <c r="X1035" s="7"/>
      <c r="Y1035" s="7"/>
      <c r="Z1035" s="7"/>
    </row>
    <row r="1036" spans="1:26" ht="9" customHeight="1" x14ac:dyDescent="0.2">
      <c r="A1036" s="95"/>
      <c r="B1036" s="95"/>
      <c r="C1036" s="44"/>
      <c r="D1036" s="45"/>
      <c r="E1036" s="96"/>
      <c r="F1036" s="96"/>
      <c r="G1036" s="96"/>
      <c r="H1036" s="96"/>
      <c r="I1036" s="96"/>
      <c r="J1036" s="54"/>
      <c r="K1036" s="96"/>
      <c r="L1036" s="96"/>
      <c r="M1036" s="39"/>
      <c r="N1036" s="96"/>
      <c r="O1036" s="96"/>
      <c r="P1036" s="96"/>
      <c r="Q1036" s="96"/>
      <c r="R1036" s="7"/>
      <c r="S1036" s="7"/>
      <c r="T1036" s="7"/>
      <c r="U1036" s="7"/>
      <c r="V1036" s="7"/>
      <c r="W1036" s="7"/>
      <c r="X1036" s="7"/>
      <c r="Y1036" s="7"/>
      <c r="Z1036" s="7"/>
    </row>
    <row r="1037" spans="1:26" ht="9" customHeight="1" x14ac:dyDescent="0.2">
      <c r="A1037" s="95"/>
      <c r="B1037" s="95"/>
      <c r="C1037" s="44"/>
      <c r="D1037" s="45"/>
      <c r="E1037" s="96"/>
      <c r="F1037" s="96"/>
      <c r="G1037" s="96"/>
      <c r="H1037" s="96"/>
      <c r="I1037" s="96"/>
      <c r="J1037" s="54"/>
      <c r="K1037" s="96"/>
      <c r="L1037" s="96"/>
      <c r="M1037" s="39"/>
      <c r="N1037" s="96"/>
      <c r="O1037" s="96"/>
      <c r="P1037" s="96"/>
      <c r="Q1037" s="96"/>
      <c r="R1037" s="7"/>
      <c r="S1037" s="7"/>
      <c r="T1037" s="7"/>
      <c r="U1037" s="7"/>
      <c r="V1037" s="7"/>
      <c r="W1037" s="7"/>
      <c r="X1037" s="7"/>
      <c r="Y1037" s="7"/>
      <c r="Z1037" s="7"/>
    </row>
    <row r="1038" spans="1:26" ht="9" customHeight="1" x14ac:dyDescent="0.2">
      <c r="A1038" s="95"/>
      <c r="B1038" s="95"/>
      <c r="C1038" s="44"/>
      <c r="D1038" s="45"/>
      <c r="E1038" s="96"/>
      <c r="F1038" s="96"/>
      <c r="G1038" s="96"/>
      <c r="H1038" s="96"/>
      <c r="I1038" s="96"/>
      <c r="J1038" s="54"/>
      <c r="K1038" s="96"/>
      <c r="L1038" s="96"/>
      <c r="M1038" s="39"/>
      <c r="N1038" s="96"/>
      <c r="O1038" s="96"/>
      <c r="P1038" s="96"/>
      <c r="Q1038" s="96"/>
      <c r="R1038" s="7"/>
      <c r="S1038" s="7"/>
      <c r="T1038" s="7"/>
      <c r="U1038" s="7"/>
      <c r="V1038" s="7"/>
      <c r="W1038" s="7"/>
      <c r="X1038" s="7"/>
      <c r="Y1038" s="7"/>
      <c r="Z1038" s="7"/>
    </row>
    <row r="1039" spans="1:26" ht="9" customHeight="1" x14ac:dyDescent="0.2">
      <c r="A1039" s="95"/>
      <c r="B1039" s="95"/>
      <c r="C1039" s="44"/>
      <c r="D1039" s="45"/>
      <c r="E1039" s="96"/>
      <c r="F1039" s="96"/>
      <c r="G1039" s="96"/>
      <c r="H1039" s="96"/>
      <c r="I1039" s="96"/>
      <c r="J1039" s="54"/>
      <c r="K1039" s="96"/>
      <c r="L1039" s="96"/>
      <c r="M1039" s="39"/>
      <c r="N1039" s="96"/>
      <c r="O1039" s="96"/>
      <c r="P1039" s="96"/>
      <c r="Q1039" s="96"/>
      <c r="R1039" s="7"/>
      <c r="S1039" s="7"/>
      <c r="T1039" s="7"/>
      <c r="U1039" s="7"/>
      <c r="V1039" s="7"/>
      <c r="W1039" s="7"/>
      <c r="X1039" s="7"/>
      <c r="Y1039" s="7"/>
      <c r="Z1039" s="7"/>
    </row>
    <row r="1040" spans="1:26" s="7" customFormat="1" ht="12.75" customHeight="1" x14ac:dyDescent="0.2">
      <c r="A1040" s="522">
        <v>44652</v>
      </c>
      <c r="B1040" s="522">
        <v>44742</v>
      </c>
      <c r="C1040" s="57" t="s">
        <v>36</v>
      </c>
      <c r="D1040" s="58">
        <v>0</v>
      </c>
      <c r="E1040" s="59">
        <v>16218.89</v>
      </c>
      <c r="F1040" s="59"/>
      <c r="G1040" s="59"/>
      <c r="H1040" s="59">
        <v>6459.63</v>
      </c>
      <c r="I1040" s="59">
        <f>ROUND(           (  E1040+H1040) *0.003,2)</f>
        <v>68.040000000000006</v>
      </c>
      <c r="J1040" s="59">
        <v>1833.63</v>
      </c>
      <c r="K1040" s="59">
        <v>22003.57</v>
      </c>
      <c r="L1040" s="60">
        <v>23837.200000000001</v>
      </c>
      <c r="M1040" s="33"/>
      <c r="N1040" s="59">
        <v>22003.57</v>
      </c>
      <c r="O1040" s="59">
        <v>15543.94</v>
      </c>
      <c r="P1040" s="59">
        <v>2214</v>
      </c>
      <c r="Q1040" s="59">
        <v>26635.11</v>
      </c>
      <c r="R1040" s="59">
        <v>24801.48</v>
      </c>
      <c r="S1040" s="75"/>
      <c r="T1040" s="75">
        <f>10*12</f>
        <v>120</v>
      </c>
      <c r="U1040" s="75"/>
      <c r="V1040" s="76">
        <f>P1040+T1040</f>
        <v>2334</v>
      </c>
    </row>
    <row r="1041" spans="1:26" s="7" customFormat="1" ht="9" customHeight="1" x14ac:dyDescent="0.2">
      <c r="A1041" s="523"/>
      <c r="B1041" s="523"/>
      <c r="C1041" s="62" t="s">
        <v>37</v>
      </c>
      <c r="D1041" s="63">
        <v>8</v>
      </c>
      <c r="E1041" s="64">
        <v>29801015</v>
      </c>
      <c r="F1041" s="65"/>
      <c r="G1041" s="65"/>
      <c r="H1041" s="64">
        <v>12507588</v>
      </c>
      <c r="I1041" s="64"/>
      <c r="J1041" s="66">
        <v>3550403</v>
      </c>
      <c r="K1041" s="66">
        <v>42604852</v>
      </c>
      <c r="L1041" s="64">
        <v>46155255</v>
      </c>
      <c r="M1041" s="39"/>
      <c r="N1041" s="65">
        <v>42604852</v>
      </c>
      <c r="O1041" s="65">
        <v>30097265</v>
      </c>
      <c r="P1041" s="65"/>
      <c r="Q1041" s="65">
        <v>51572764</v>
      </c>
      <c r="R1041" s="64">
        <v>48022362</v>
      </c>
      <c r="S1041" s="75"/>
      <c r="T1041" s="75"/>
      <c r="U1041" s="75"/>
      <c r="V1041" s="76"/>
    </row>
    <row r="1042" spans="1:26" s="7" customFormat="1" ht="12.75" customHeight="1" x14ac:dyDescent="0.2">
      <c r="A1042" s="520">
        <f>A1040</f>
        <v>44652</v>
      </c>
      <c r="B1042" s="520">
        <f>B1040</f>
        <v>44742</v>
      </c>
      <c r="C1042" s="68" t="s">
        <v>36</v>
      </c>
      <c r="D1042" s="69">
        <v>9</v>
      </c>
      <c r="E1042" s="59">
        <v>19536.18</v>
      </c>
      <c r="F1042" s="59"/>
      <c r="G1042" s="59"/>
      <c r="H1042" s="59">
        <v>6459.63</v>
      </c>
      <c r="I1042" s="59">
        <f>ROUND(           (  E1042+H1042) *0.003,2)</f>
        <v>77.989999999999995</v>
      </c>
      <c r="J1042" s="59">
        <v>2101.9299999999998</v>
      </c>
      <c r="K1042" s="59">
        <v>16918.52</v>
      </c>
      <c r="L1042" s="60">
        <v>19020.45</v>
      </c>
      <c r="M1042" s="33"/>
      <c r="N1042" s="59">
        <v>25223.1</v>
      </c>
      <c r="O1042" s="59">
        <v>18763.47</v>
      </c>
      <c r="P1042" s="59">
        <v>2214</v>
      </c>
      <c r="Q1042" s="59">
        <v>30702.45</v>
      </c>
      <c r="R1042" s="59">
        <v>28600.52</v>
      </c>
      <c r="S1042" s="75"/>
      <c r="T1042" s="75">
        <f>10*12</f>
        <v>120</v>
      </c>
      <c r="U1042" s="75"/>
      <c r="V1042" s="76">
        <f>P1042+T1042</f>
        <v>2334</v>
      </c>
    </row>
    <row r="1043" spans="1:26" s="7" customFormat="1" ht="9" customHeight="1" x14ac:dyDescent="0.2">
      <c r="A1043" s="520"/>
      <c r="B1043" s="520"/>
      <c r="C1043" s="62" t="s">
        <v>37</v>
      </c>
      <c r="D1043" s="63">
        <v>14</v>
      </c>
      <c r="E1043" s="64">
        <v>29801015</v>
      </c>
      <c r="F1043" s="65"/>
      <c r="G1043" s="65"/>
      <c r="H1043" s="64">
        <v>12507588</v>
      </c>
      <c r="I1043" s="64"/>
      <c r="J1043" s="66">
        <v>4069904</v>
      </c>
      <c r="K1043" s="64">
        <v>32758823</v>
      </c>
      <c r="L1043" s="64">
        <v>36828727</v>
      </c>
      <c r="M1043" s="39"/>
      <c r="N1043" s="65">
        <v>48838732</v>
      </c>
      <c r="O1043" s="65">
        <v>36331144</v>
      </c>
      <c r="P1043" s="65"/>
      <c r="Q1043" s="65">
        <v>59448233</v>
      </c>
      <c r="R1043" s="64">
        <v>55378329</v>
      </c>
      <c r="S1043" s="75"/>
      <c r="T1043" s="75"/>
      <c r="U1043" s="75"/>
      <c r="V1043" s="76"/>
    </row>
    <row r="1044" spans="1:26" s="7" customFormat="1" ht="12.75" customHeight="1" x14ac:dyDescent="0.2">
      <c r="A1044" s="520"/>
      <c r="B1044" s="520"/>
      <c r="C1044" s="68" t="s">
        <v>36</v>
      </c>
      <c r="D1044" s="69">
        <v>15</v>
      </c>
      <c r="E1044" s="59">
        <v>22061.18</v>
      </c>
      <c r="F1044" s="59"/>
      <c r="G1044" s="59"/>
      <c r="H1044" s="59">
        <v>6459.63</v>
      </c>
      <c r="I1044" s="59">
        <f>ROUND(           (  E1044+H1044) *0.003,2)</f>
        <v>85.56</v>
      </c>
      <c r="J1044" s="59">
        <v>2305.7800000000002</v>
      </c>
      <c r="K1044" s="59">
        <v>17933.73</v>
      </c>
      <c r="L1044" s="60">
        <v>20239.509999999998</v>
      </c>
      <c r="M1044" s="33"/>
      <c r="N1044" s="59">
        <v>27669.35</v>
      </c>
      <c r="O1044" s="59">
        <v>21209.72</v>
      </c>
      <c r="P1044" s="59">
        <v>2721.6</v>
      </c>
      <c r="Q1044" s="59">
        <v>33792.879999999997</v>
      </c>
      <c r="R1044" s="59">
        <v>31487.1</v>
      </c>
      <c r="S1044" s="75"/>
      <c r="T1044" s="75">
        <f>12*12</f>
        <v>144</v>
      </c>
      <c r="U1044" s="75"/>
      <c r="V1044" s="76">
        <f>P1044+T1044</f>
        <v>2865.6</v>
      </c>
    </row>
    <row r="1045" spans="1:26" s="7" customFormat="1" ht="9" customHeight="1" x14ac:dyDescent="0.2">
      <c r="A1045" s="520"/>
      <c r="B1045" s="520"/>
      <c r="C1045" s="62" t="s">
        <v>37</v>
      </c>
      <c r="D1045" s="63">
        <v>20</v>
      </c>
      <c r="E1045" s="64">
        <v>29801015</v>
      </c>
      <c r="F1045" s="65"/>
      <c r="G1045" s="65"/>
      <c r="H1045" s="64">
        <v>12507588</v>
      </c>
      <c r="I1045" s="64"/>
      <c r="J1045" s="66">
        <v>4464613</v>
      </c>
      <c r="K1045" s="64">
        <v>34724543</v>
      </c>
      <c r="L1045" s="64">
        <v>39189156</v>
      </c>
      <c r="M1045" s="39"/>
      <c r="N1045" s="65">
        <v>53575332</v>
      </c>
      <c r="O1045" s="65">
        <v>41067745</v>
      </c>
      <c r="P1045" s="65"/>
      <c r="Q1045" s="65">
        <v>65432140</v>
      </c>
      <c r="R1045" s="64">
        <v>60967527</v>
      </c>
      <c r="S1045" s="75"/>
      <c r="T1045" s="75"/>
      <c r="U1045" s="75"/>
      <c r="V1045" s="76"/>
    </row>
    <row r="1046" spans="1:26" s="7" customFormat="1" ht="12.75" customHeight="1" x14ac:dyDescent="0.2">
      <c r="A1046" s="520"/>
      <c r="B1046" s="520"/>
      <c r="C1046" s="68" t="s">
        <v>36</v>
      </c>
      <c r="D1046" s="69">
        <v>21</v>
      </c>
      <c r="E1046" s="59">
        <v>25276.62</v>
      </c>
      <c r="F1046" s="59"/>
      <c r="G1046" s="59"/>
      <c r="H1046" s="59">
        <v>6459.63</v>
      </c>
      <c r="I1046" s="59">
        <f>ROUND(           (  E1046+H1046) *0.003,2)</f>
        <v>95.21</v>
      </c>
      <c r="J1046" s="59">
        <v>2565.52</v>
      </c>
      <c r="K1046" s="59">
        <v>18921.79</v>
      </c>
      <c r="L1046" s="60">
        <v>21487.31</v>
      </c>
      <c r="M1046" s="33"/>
      <c r="N1046" s="59">
        <v>30786.22</v>
      </c>
      <c r="O1046" s="59">
        <v>24326.59</v>
      </c>
      <c r="P1046" s="59">
        <v>2721.6</v>
      </c>
      <c r="Q1046" s="59">
        <v>37730.53</v>
      </c>
      <c r="R1046" s="59">
        <v>35165.01</v>
      </c>
      <c r="S1046" s="75"/>
      <c r="T1046" s="75">
        <f>12*12</f>
        <v>144</v>
      </c>
      <c r="U1046" s="75"/>
      <c r="V1046" s="76">
        <f>P1046+T1046</f>
        <v>2865.6</v>
      </c>
    </row>
    <row r="1047" spans="1:26" s="7" customFormat="1" ht="9" customHeight="1" x14ac:dyDescent="0.2">
      <c r="A1047" s="520"/>
      <c r="B1047" s="520"/>
      <c r="C1047" s="62" t="s">
        <v>37</v>
      </c>
      <c r="D1047" s="63">
        <v>27</v>
      </c>
      <c r="E1047" s="64">
        <v>29801015</v>
      </c>
      <c r="F1047" s="65"/>
      <c r="G1047" s="65"/>
      <c r="H1047" s="64">
        <v>12507588</v>
      </c>
      <c r="I1047" s="64"/>
      <c r="J1047" s="66">
        <v>4967539</v>
      </c>
      <c r="K1047" s="64">
        <v>36637694</v>
      </c>
      <c r="L1047" s="64">
        <v>41605234</v>
      </c>
      <c r="M1047" s="39"/>
      <c r="N1047" s="65">
        <v>59610434</v>
      </c>
      <c r="O1047" s="65">
        <v>47102846</v>
      </c>
      <c r="P1047" s="65"/>
      <c r="Q1047" s="65">
        <v>73056493</v>
      </c>
      <c r="R1047" s="64">
        <v>68088954</v>
      </c>
      <c r="S1047" s="75"/>
      <c r="T1047" s="75"/>
      <c r="U1047" s="75"/>
      <c r="V1047" s="76"/>
    </row>
    <row r="1048" spans="1:26" s="7" customFormat="1" ht="12.75" customHeight="1" x14ac:dyDescent="0.2">
      <c r="A1048" s="520"/>
      <c r="B1048" s="520"/>
      <c r="C1048" s="68" t="s">
        <v>36</v>
      </c>
      <c r="D1048" s="69">
        <v>28</v>
      </c>
      <c r="E1048" s="59">
        <v>27377.74</v>
      </c>
      <c r="F1048" s="59"/>
      <c r="G1048" s="59"/>
      <c r="H1048" s="59">
        <v>6459.63</v>
      </c>
      <c r="I1048" s="59">
        <f>ROUND(           (  E1048+H1048) *0.003,2)</f>
        <v>101.51</v>
      </c>
      <c r="J1048" s="59">
        <v>2735.81</v>
      </c>
      <c r="K1048" s="59">
        <v>19673.080000000002</v>
      </c>
      <c r="L1048" s="60">
        <v>22408.89</v>
      </c>
      <c r="M1048" s="33"/>
      <c r="N1048" s="59">
        <v>32829.660000000003</v>
      </c>
      <c r="O1048" s="59">
        <v>26370.03</v>
      </c>
      <c r="P1048" s="59">
        <v>3458.4</v>
      </c>
      <c r="Q1048" s="59">
        <v>40312.080000000002</v>
      </c>
      <c r="R1048" s="59">
        <v>37576.269999999997</v>
      </c>
      <c r="S1048" s="75"/>
      <c r="T1048" s="75">
        <f>15*12</f>
        <v>180</v>
      </c>
      <c r="U1048" s="75"/>
      <c r="V1048" s="76">
        <f>P1048+T1048</f>
        <v>3638.4</v>
      </c>
    </row>
    <row r="1049" spans="1:26" s="7" customFormat="1" ht="9" customHeight="1" x14ac:dyDescent="0.2">
      <c r="A1049" s="520"/>
      <c r="B1049" s="520"/>
      <c r="C1049" s="62" t="s">
        <v>37</v>
      </c>
      <c r="D1049" s="63">
        <v>34</v>
      </c>
      <c r="E1049" s="64">
        <v>29801015</v>
      </c>
      <c r="F1049" s="65"/>
      <c r="G1049" s="65"/>
      <c r="H1049" s="64">
        <v>12507588</v>
      </c>
      <c r="I1049" s="64"/>
      <c r="J1049" s="66">
        <v>5297267</v>
      </c>
      <c r="K1049" s="64">
        <v>38092395</v>
      </c>
      <c r="L1049" s="64">
        <v>43389661</v>
      </c>
      <c r="M1049" s="39"/>
      <c r="N1049" s="65">
        <v>63567086</v>
      </c>
      <c r="O1049" s="65">
        <v>51059498</v>
      </c>
      <c r="P1049" s="65"/>
      <c r="Q1049" s="65">
        <v>78055071</v>
      </c>
      <c r="R1049" s="64">
        <v>72757804</v>
      </c>
      <c r="S1049" s="75"/>
      <c r="T1049" s="75"/>
      <c r="U1049" s="75"/>
      <c r="V1049" s="76"/>
    </row>
    <row r="1050" spans="1:26" s="7" customFormat="1" ht="12.75" customHeight="1" x14ac:dyDescent="0.2">
      <c r="A1050" s="520"/>
      <c r="B1050" s="520"/>
      <c r="C1050" s="68" t="s">
        <v>36</v>
      </c>
      <c r="D1050" s="69">
        <v>35</v>
      </c>
      <c r="E1050" s="59">
        <v>29045.84</v>
      </c>
      <c r="F1050" s="59"/>
      <c r="G1050" s="59"/>
      <c r="H1050" s="59">
        <v>6459.63</v>
      </c>
      <c r="I1050" s="59">
        <f>ROUND(           (  E1050+H1050) *0.003,2)</f>
        <v>106.52</v>
      </c>
      <c r="J1050" s="59">
        <v>2870.75</v>
      </c>
      <c r="K1050" s="59">
        <v>20206.89</v>
      </c>
      <c r="L1050" s="60">
        <v>23077.64</v>
      </c>
      <c r="M1050" s="33"/>
      <c r="N1050" s="59">
        <v>34449.019999999997</v>
      </c>
      <c r="O1050" s="59">
        <v>27989.39</v>
      </c>
      <c r="P1050" s="59">
        <v>3458.4</v>
      </c>
      <c r="Q1050" s="59">
        <v>42357.86</v>
      </c>
      <c r="R1050" s="59">
        <v>39487.11</v>
      </c>
      <c r="S1050" s="75"/>
      <c r="T1050" s="75">
        <f>15*12</f>
        <v>180</v>
      </c>
      <c r="U1050" s="75"/>
      <c r="V1050" s="76">
        <f>P1050+T1050</f>
        <v>3638.4</v>
      </c>
    </row>
    <row r="1051" spans="1:26" s="7" customFormat="1" ht="9" customHeight="1" x14ac:dyDescent="0.2">
      <c r="A1051" s="521"/>
      <c r="B1051" s="521"/>
      <c r="C1051" s="71" t="s">
        <v>37</v>
      </c>
      <c r="D1051" s="72"/>
      <c r="E1051" s="64">
        <v>29801015</v>
      </c>
      <c r="F1051" s="64"/>
      <c r="G1051" s="64"/>
      <c r="H1051" s="64">
        <v>12507588</v>
      </c>
      <c r="I1051" s="64"/>
      <c r="J1051" s="64">
        <v>5558547</v>
      </c>
      <c r="K1051" s="64">
        <v>39125995</v>
      </c>
      <c r="L1051" s="64">
        <v>44684542</v>
      </c>
      <c r="M1051" s="39"/>
      <c r="N1051" s="64">
        <v>66702604</v>
      </c>
      <c r="O1051" s="64">
        <v>54195016</v>
      </c>
      <c r="P1051" s="64">
        <v>6347868</v>
      </c>
      <c r="Q1051" s="64">
        <v>82016254</v>
      </c>
      <c r="R1051" s="64">
        <v>76457706</v>
      </c>
      <c r="S1051" s="75"/>
      <c r="T1051" s="75"/>
      <c r="U1051" s="75"/>
      <c r="V1051" s="76"/>
    </row>
    <row r="1052" spans="1:26" ht="9" customHeight="1" x14ac:dyDescent="0.2">
      <c r="A1052" s="95"/>
      <c r="B1052" s="95"/>
      <c r="C1052" s="44"/>
      <c r="D1052" s="45"/>
      <c r="E1052" s="96"/>
      <c r="F1052" s="96"/>
      <c r="G1052" s="96"/>
      <c r="H1052" s="96"/>
      <c r="I1052" s="96"/>
      <c r="J1052" s="54"/>
      <c r="K1052" s="96"/>
      <c r="L1052" s="96"/>
      <c r="M1052" s="39"/>
      <c r="N1052" s="96"/>
      <c r="O1052" s="96"/>
      <c r="P1052" s="96"/>
      <c r="Q1052" s="96"/>
      <c r="R1052" s="7"/>
      <c r="S1052" s="7"/>
      <c r="T1052" s="7"/>
      <c r="U1052" s="7"/>
      <c r="V1052" s="7"/>
      <c r="W1052" s="7"/>
      <c r="X1052" s="7"/>
      <c r="Y1052" s="7"/>
      <c r="Z1052" s="7"/>
    </row>
    <row r="1053" spans="1:26" ht="9" customHeight="1" x14ac:dyDescent="0.2">
      <c r="A1053" s="95"/>
      <c r="B1053" s="95"/>
      <c r="C1053" s="44"/>
      <c r="D1053" s="45"/>
      <c r="E1053" s="96"/>
      <c r="F1053" s="96"/>
      <c r="G1053" s="96"/>
      <c r="H1053" s="96"/>
      <c r="I1053" s="96"/>
      <c r="J1053" s="54"/>
      <c r="K1053" s="96"/>
      <c r="L1053" s="96"/>
      <c r="M1053" s="39"/>
      <c r="N1053" s="96"/>
      <c r="O1053" s="96"/>
      <c r="P1053" s="96"/>
      <c r="Q1053" s="96"/>
      <c r="R1053" s="7"/>
      <c r="S1053" s="7"/>
      <c r="T1053" s="7"/>
      <c r="U1053" s="7"/>
      <c r="V1053" s="7"/>
      <c r="W1053" s="7"/>
      <c r="X1053" s="7"/>
      <c r="Y1053" s="7"/>
      <c r="Z1053" s="7"/>
    </row>
    <row r="1054" spans="1:26" ht="9" customHeight="1" x14ac:dyDescent="0.2">
      <c r="A1054" s="95"/>
      <c r="B1054" s="95"/>
      <c r="C1054" s="44"/>
      <c r="D1054" s="45"/>
      <c r="E1054" s="96"/>
      <c r="F1054" s="96"/>
      <c r="G1054" s="96"/>
      <c r="H1054" s="96"/>
      <c r="I1054" s="96"/>
      <c r="J1054" s="54"/>
      <c r="K1054" s="96"/>
      <c r="L1054" s="96"/>
      <c r="M1054" s="39"/>
      <c r="N1054" s="96"/>
      <c r="O1054" s="96"/>
      <c r="P1054" s="96"/>
      <c r="Q1054" s="96"/>
      <c r="R1054" s="7"/>
      <c r="S1054" s="7"/>
      <c r="T1054" s="7"/>
      <c r="U1054" s="7"/>
      <c r="V1054" s="7"/>
      <c r="W1054" s="7"/>
      <c r="X1054" s="7"/>
      <c r="Y1054" s="7"/>
      <c r="Z1054" s="7"/>
    </row>
    <row r="1055" spans="1:26" ht="9" customHeight="1" x14ac:dyDescent="0.2">
      <c r="A1055" s="95"/>
      <c r="B1055" s="95"/>
      <c r="C1055" s="44"/>
      <c r="D1055" s="45"/>
      <c r="E1055" s="96"/>
      <c r="F1055" s="96"/>
      <c r="G1055" s="96"/>
      <c r="H1055" s="96"/>
      <c r="I1055" s="96"/>
      <c r="J1055" s="54"/>
      <c r="K1055" s="96"/>
      <c r="L1055" s="96"/>
      <c r="M1055" s="39"/>
      <c r="N1055" s="96"/>
      <c r="O1055" s="96"/>
      <c r="P1055" s="96"/>
      <c r="Q1055" s="96"/>
      <c r="R1055" s="7"/>
      <c r="S1055" s="7"/>
      <c r="T1055" s="7"/>
      <c r="U1055" s="7"/>
      <c r="V1055" s="7"/>
      <c r="W1055" s="7"/>
      <c r="X1055" s="7"/>
      <c r="Y1055" s="7"/>
      <c r="Z1055" s="7"/>
    </row>
    <row r="1056" spans="1:26" ht="9" customHeight="1" x14ac:dyDescent="0.2">
      <c r="A1056" s="95"/>
      <c r="B1056" s="95"/>
      <c r="C1056" s="44"/>
      <c r="D1056" s="45"/>
      <c r="E1056" s="96"/>
      <c r="F1056" s="96"/>
      <c r="G1056" s="96"/>
      <c r="H1056" s="96"/>
      <c r="I1056" s="96"/>
      <c r="J1056" s="54"/>
      <c r="K1056" s="96"/>
      <c r="L1056" s="96"/>
      <c r="M1056" s="39"/>
      <c r="N1056" s="96"/>
      <c r="O1056" s="96"/>
      <c r="P1056" s="96"/>
      <c r="Q1056" s="96"/>
      <c r="R1056" s="7"/>
      <c r="S1056" s="7"/>
      <c r="T1056" s="7"/>
      <c r="U1056" s="7"/>
      <c r="V1056" s="7"/>
      <c r="W1056" s="7"/>
      <c r="X1056" s="7"/>
      <c r="Y1056" s="7"/>
      <c r="Z1056" s="7"/>
    </row>
    <row r="1057" spans="1:26" ht="9" customHeight="1" x14ac:dyDescent="0.2">
      <c r="A1057" s="95"/>
      <c r="B1057" s="95"/>
      <c r="C1057" s="44"/>
      <c r="D1057" s="45"/>
      <c r="E1057" s="96"/>
      <c r="F1057" s="96"/>
      <c r="G1057" s="96"/>
      <c r="H1057" s="96"/>
      <c r="I1057" s="96"/>
      <c r="J1057" s="54"/>
      <c r="K1057" s="96"/>
      <c r="L1057" s="96"/>
      <c r="M1057" s="39"/>
      <c r="N1057" s="96"/>
      <c r="O1057" s="96"/>
      <c r="P1057" s="96"/>
      <c r="Q1057" s="96"/>
      <c r="R1057" s="7"/>
      <c r="S1057" s="7"/>
      <c r="T1057" s="7"/>
      <c r="U1057" s="7"/>
      <c r="V1057" s="7"/>
      <c r="W1057" s="7"/>
      <c r="X1057" s="7"/>
      <c r="Y1057" s="7"/>
      <c r="Z1057" s="7"/>
    </row>
    <row r="1058" spans="1:26" ht="9" customHeight="1" x14ac:dyDescent="0.2">
      <c r="A1058" s="95"/>
      <c r="B1058" s="95"/>
      <c r="C1058" s="44"/>
      <c r="D1058" s="45"/>
      <c r="E1058" s="96"/>
      <c r="F1058" s="96"/>
      <c r="G1058" s="96"/>
      <c r="H1058" s="96"/>
      <c r="I1058" s="96"/>
      <c r="J1058" s="54"/>
      <c r="K1058" s="96"/>
      <c r="L1058" s="96"/>
      <c r="M1058" s="39"/>
      <c r="N1058" s="96"/>
      <c r="O1058" s="96"/>
      <c r="P1058" s="96"/>
      <c r="Q1058" s="96"/>
      <c r="R1058" s="7"/>
      <c r="S1058" s="7"/>
      <c r="T1058" s="7"/>
      <c r="U1058" s="7"/>
      <c r="V1058" s="7"/>
      <c r="W1058" s="7"/>
      <c r="X1058" s="7"/>
      <c r="Y1058" s="7"/>
      <c r="Z1058" s="7"/>
    </row>
    <row r="1059" spans="1:26" ht="9" customHeight="1" x14ac:dyDescent="0.2">
      <c r="A1059" s="95"/>
      <c r="B1059" s="95"/>
      <c r="C1059" s="44"/>
      <c r="D1059" s="45"/>
      <c r="E1059" s="96"/>
      <c r="F1059" s="96"/>
      <c r="G1059" s="96"/>
      <c r="H1059" s="96"/>
      <c r="I1059" s="96"/>
      <c r="J1059" s="54"/>
      <c r="K1059" s="96"/>
      <c r="L1059" s="96"/>
      <c r="M1059" s="39"/>
      <c r="N1059" s="96"/>
      <c r="O1059" s="96"/>
      <c r="P1059" s="96"/>
      <c r="Q1059" s="96"/>
      <c r="R1059" s="7"/>
      <c r="S1059" s="7"/>
      <c r="T1059" s="7"/>
      <c r="U1059" s="7"/>
      <c r="V1059" s="7"/>
      <c r="W1059" s="7"/>
      <c r="X1059" s="7"/>
      <c r="Y1059" s="7"/>
      <c r="Z1059" s="7"/>
    </row>
    <row r="1060" spans="1:26" s="7" customFormat="1" ht="12.75" customHeight="1" x14ac:dyDescent="0.2">
      <c r="A1060" s="522">
        <v>44743</v>
      </c>
      <c r="B1060" s="522">
        <v>45291</v>
      </c>
      <c r="C1060" s="57" t="s">
        <v>36</v>
      </c>
      <c r="D1060" s="58">
        <v>0</v>
      </c>
      <c r="E1060" s="59">
        <v>16218.89</v>
      </c>
      <c r="F1060" s="59"/>
      <c r="G1060" s="59"/>
      <c r="H1060" s="59">
        <v>6459.63</v>
      </c>
      <c r="I1060" s="59">
        <f>ROUND(           (  E1060+H1060) *0.005,2)</f>
        <v>113.39</v>
      </c>
      <c r="J1060" s="59">
        <v>1833.63</v>
      </c>
      <c r="K1060" s="59">
        <v>22003.57</v>
      </c>
      <c r="L1060" s="60">
        <v>23837.200000000001</v>
      </c>
      <c r="M1060" s="33"/>
      <c r="N1060" s="59">
        <v>22003.57</v>
      </c>
      <c r="O1060" s="59">
        <v>15543.94</v>
      </c>
      <c r="P1060" s="59">
        <v>2214</v>
      </c>
      <c r="Q1060" s="59">
        <v>26635.11</v>
      </c>
      <c r="R1060" s="59">
        <v>24801.48</v>
      </c>
      <c r="S1060" s="75"/>
      <c r="T1060" s="75">
        <f>10*12</f>
        <v>120</v>
      </c>
      <c r="U1060" s="75"/>
      <c r="V1060" s="76">
        <f>P1060+T1060</f>
        <v>2334</v>
      </c>
    </row>
    <row r="1061" spans="1:26" s="7" customFormat="1" ht="9" customHeight="1" x14ac:dyDescent="0.2">
      <c r="A1061" s="523"/>
      <c r="B1061" s="523"/>
      <c r="C1061" s="62" t="s">
        <v>37</v>
      </c>
      <c r="D1061" s="63">
        <v>8</v>
      </c>
      <c r="E1061" s="64">
        <v>29801015</v>
      </c>
      <c r="F1061" s="65"/>
      <c r="G1061" s="65"/>
      <c r="H1061" s="64">
        <v>12507588</v>
      </c>
      <c r="I1061" s="64"/>
      <c r="J1061" s="66">
        <v>3550403</v>
      </c>
      <c r="K1061" s="66">
        <v>42604852</v>
      </c>
      <c r="L1061" s="64">
        <v>46155255</v>
      </c>
      <c r="M1061" s="39"/>
      <c r="N1061" s="65">
        <v>42604852</v>
      </c>
      <c r="O1061" s="65">
        <v>30097265</v>
      </c>
      <c r="P1061" s="65"/>
      <c r="Q1061" s="65">
        <v>51572764</v>
      </c>
      <c r="R1061" s="64">
        <v>48022362</v>
      </c>
      <c r="S1061" s="75"/>
      <c r="T1061" s="75"/>
      <c r="U1061" s="75"/>
      <c r="V1061" s="76"/>
    </row>
    <row r="1062" spans="1:26" s="7" customFormat="1" ht="12.75" customHeight="1" x14ac:dyDescent="0.2">
      <c r="A1062" s="520">
        <f>A1060</f>
        <v>44743</v>
      </c>
      <c r="B1062" s="520">
        <f>B1060</f>
        <v>45291</v>
      </c>
      <c r="C1062" s="68" t="s">
        <v>36</v>
      </c>
      <c r="D1062" s="69">
        <v>9</v>
      </c>
      <c r="E1062" s="59">
        <v>19536.18</v>
      </c>
      <c r="F1062" s="59"/>
      <c r="G1062" s="59"/>
      <c r="H1062" s="59">
        <v>6459.63</v>
      </c>
      <c r="I1062" s="59">
        <f t="shared" ref="I1062" si="0">ROUND(           (  E1062+H1062) *0.005,2)</f>
        <v>129.97999999999999</v>
      </c>
      <c r="J1062" s="59">
        <v>2101.9299999999998</v>
      </c>
      <c r="K1062" s="59">
        <v>16918.52</v>
      </c>
      <c r="L1062" s="60">
        <v>19020.45</v>
      </c>
      <c r="M1062" s="33"/>
      <c r="N1062" s="59">
        <v>25223.1</v>
      </c>
      <c r="O1062" s="59">
        <v>18763.47</v>
      </c>
      <c r="P1062" s="59">
        <v>2214</v>
      </c>
      <c r="Q1062" s="59">
        <v>30702.45</v>
      </c>
      <c r="R1062" s="59">
        <v>28600.52</v>
      </c>
      <c r="S1062" s="75"/>
      <c r="T1062" s="75">
        <f>10*12</f>
        <v>120</v>
      </c>
      <c r="U1062" s="75"/>
      <c r="V1062" s="76">
        <f>P1062+T1062</f>
        <v>2334</v>
      </c>
    </row>
    <row r="1063" spans="1:26" s="7" customFormat="1" ht="9" customHeight="1" x14ac:dyDescent="0.2">
      <c r="A1063" s="520"/>
      <c r="B1063" s="520"/>
      <c r="C1063" s="62" t="s">
        <v>37</v>
      </c>
      <c r="D1063" s="63">
        <v>14</v>
      </c>
      <c r="E1063" s="64">
        <v>29801015</v>
      </c>
      <c r="F1063" s="65"/>
      <c r="G1063" s="65"/>
      <c r="H1063" s="64">
        <v>12507588</v>
      </c>
      <c r="I1063" s="64"/>
      <c r="J1063" s="66">
        <v>4069904</v>
      </c>
      <c r="K1063" s="64">
        <v>32758823</v>
      </c>
      <c r="L1063" s="64">
        <v>36828727</v>
      </c>
      <c r="M1063" s="39"/>
      <c r="N1063" s="65">
        <v>48838732</v>
      </c>
      <c r="O1063" s="65">
        <v>36331144</v>
      </c>
      <c r="P1063" s="65"/>
      <c r="Q1063" s="65">
        <v>59448233</v>
      </c>
      <c r="R1063" s="64">
        <v>55378329</v>
      </c>
      <c r="S1063" s="75"/>
      <c r="T1063" s="75"/>
      <c r="U1063" s="75"/>
      <c r="V1063" s="76"/>
    </row>
    <row r="1064" spans="1:26" s="7" customFormat="1" ht="12.75" customHeight="1" x14ac:dyDescent="0.2">
      <c r="A1064" s="520"/>
      <c r="B1064" s="520"/>
      <c r="C1064" s="68" t="s">
        <v>36</v>
      </c>
      <c r="D1064" s="69">
        <v>15</v>
      </c>
      <c r="E1064" s="59">
        <v>22061.18</v>
      </c>
      <c r="F1064" s="59"/>
      <c r="G1064" s="59"/>
      <c r="H1064" s="59">
        <v>6459.63</v>
      </c>
      <c r="I1064" s="59">
        <f t="shared" ref="I1064" si="1">ROUND(           (  E1064+H1064) *0.005,2)</f>
        <v>142.6</v>
      </c>
      <c r="J1064" s="59">
        <v>2305.7800000000002</v>
      </c>
      <c r="K1064" s="59">
        <v>17933.73</v>
      </c>
      <c r="L1064" s="60">
        <v>20239.509999999998</v>
      </c>
      <c r="M1064" s="33"/>
      <c r="N1064" s="59">
        <v>27669.35</v>
      </c>
      <c r="O1064" s="59">
        <v>21209.72</v>
      </c>
      <c r="P1064" s="59">
        <v>2721.6</v>
      </c>
      <c r="Q1064" s="59">
        <v>33792.879999999997</v>
      </c>
      <c r="R1064" s="59">
        <v>31487.1</v>
      </c>
      <c r="S1064" s="75"/>
      <c r="T1064" s="75">
        <f>12*12</f>
        <v>144</v>
      </c>
      <c r="U1064" s="75"/>
      <c r="V1064" s="76">
        <f>P1064+T1064</f>
        <v>2865.6</v>
      </c>
    </row>
    <row r="1065" spans="1:26" s="7" customFormat="1" ht="9" customHeight="1" x14ac:dyDescent="0.2">
      <c r="A1065" s="520"/>
      <c r="B1065" s="520"/>
      <c r="C1065" s="62" t="s">
        <v>37</v>
      </c>
      <c r="D1065" s="63">
        <v>20</v>
      </c>
      <c r="E1065" s="64">
        <v>29801015</v>
      </c>
      <c r="F1065" s="65"/>
      <c r="G1065" s="65"/>
      <c r="H1065" s="64">
        <v>12507588</v>
      </c>
      <c r="I1065" s="64"/>
      <c r="J1065" s="66">
        <v>4464613</v>
      </c>
      <c r="K1065" s="64">
        <v>34724543</v>
      </c>
      <c r="L1065" s="64">
        <v>39189156</v>
      </c>
      <c r="M1065" s="39"/>
      <c r="N1065" s="65">
        <v>53575332</v>
      </c>
      <c r="O1065" s="65">
        <v>41067745</v>
      </c>
      <c r="P1065" s="65"/>
      <c r="Q1065" s="65">
        <v>65432140</v>
      </c>
      <c r="R1065" s="64">
        <v>60967527</v>
      </c>
      <c r="S1065" s="75"/>
      <c r="T1065" s="75"/>
      <c r="U1065" s="75"/>
      <c r="V1065" s="76"/>
    </row>
    <row r="1066" spans="1:26" s="7" customFormat="1" ht="12.75" customHeight="1" x14ac:dyDescent="0.2">
      <c r="A1066" s="520"/>
      <c r="B1066" s="520"/>
      <c r="C1066" s="68" t="s">
        <v>36</v>
      </c>
      <c r="D1066" s="69">
        <v>21</v>
      </c>
      <c r="E1066" s="59">
        <v>25276.62</v>
      </c>
      <c r="F1066" s="59"/>
      <c r="G1066" s="59"/>
      <c r="H1066" s="59">
        <v>6459.63</v>
      </c>
      <c r="I1066" s="59">
        <f t="shared" ref="I1066" si="2">ROUND(           (  E1066+H1066) *0.005,2)</f>
        <v>158.68</v>
      </c>
      <c r="J1066" s="59">
        <v>2565.52</v>
      </c>
      <c r="K1066" s="59">
        <v>18921.79</v>
      </c>
      <c r="L1066" s="60">
        <v>21487.31</v>
      </c>
      <c r="M1066" s="33"/>
      <c r="N1066" s="59">
        <v>30786.22</v>
      </c>
      <c r="O1066" s="59">
        <v>24326.59</v>
      </c>
      <c r="P1066" s="59">
        <v>2721.6</v>
      </c>
      <c r="Q1066" s="59">
        <v>37730.53</v>
      </c>
      <c r="R1066" s="59">
        <v>35165.01</v>
      </c>
      <c r="S1066" s="75"/>
      <c r="T1066" s="75">
        <f>12*12</f>
        <v>144</v>
      </c>
      <c r="U1066" s="75"/>
      <c r="V1066" s="76">
        <f>P1066+T1066</f>
        <v>2865.6</v>
      </c>
    </row>
    <row r="1067" spans="1:26" s="7" customFormat="1" ht="9" customHeight="1" x14ac:dyDescent="0.2">
      <c r="A1067" s="520"/>
      <c r="B1067" s="520"/>
      <c r="C1067" s="62" t="s">
        <v>37</v>
      </c>
      <c r="D1067" s="63">
        <v>27</v>
      </c>
      <c r="E1067" s="64">
        <v>29801015</v>
      </c>
      <c r="F1067" s="65"/>
      <c r="G1067" s="65"/>
      <c r="H1067" s="64">
        <v>12507588</v>
      </c>
      <c r="I1067" s="64"/>
      <c r="J1067" s="66">
        <v>4967539</v>
      </c>
      <c r="K1067" s="64">
        <v>36637694</v>
      </c>
      <c r="L1067" s="64">
        <v>41605234</v>
      </c>
      <c r="M1067" s="39"/>
      <c r="N1067" s="65">
        <v>59610434</v>
      </c>
      <c r="O1067" s="65">
        <v>47102846</v>
      </c>
      <c r="P1067" s="65"/>
      <c r="Q1067" s="65">
        <v>73056493</v>
      </c>
      <c r="R1067" s="64">
        <v>68088954</v>
      </c>
      <c r="S1067" s="75"/>
      <c r="T1067" s="75"/>
      <c r="U1067" s="75"/>
      <c r="V1067" s="76"/>
    </row>
    <row r="1068" spans="1:26" s="7" customFormat="1" ht="12.75" customHeight="1" x14ac:dyDescent="0.2">
      <c r="A1068" s="520"/>
      <c r="B1068" s="520"/>
      <c r="C1068" s="68" t="s">
        <v>36</v>
      </c>
      <c r="D1068" s="69">
        <v>28</v>
      </c>
      <c r="E1068" s="59">
        <v>27377.74</v>
      </c>
      <c r="F1068" s="59"/>
      <c r="G1068" s="59"/>
      <c r="H1068" s="59">
        <v>6459.63</v>
      </c>
      <c r="I1068" s="59">
        <f t="shared" ref="I1068" si="3">ROUND(           (  E1068+H1068) *0.005,2)</f>
        <v>169.19</v>
      </c>
      <c r="J1068" s="59">
        <v>2735.81</v>
      </c>
      <c r="K1068" s="59">
        <v>19673.080000000002</v>
      </c>
      <c r="L1068" s="60">
        <v>22408.89</v>
      </c>
      <c r="M1068" s="33"/>
      <c r="N1068" s="59">
        <v>32829.660000000003</v>
      </c>
      <c r="O1068" s="59">
        <v>26370.03</v>
      </c>
      <c r="P1068" s="59">
        <v>3458.4</v>
      </c>
      <c r="Q1068" s="59">
        <v>40312.080000000002</v>
      </c>
      <c r="R1068" s="59">
        <v>37576.269999999997</v>
      </c>
      <c r="S1068" s="75"/>
      <c r="T1068" s="75">
        <f>15*12</f>
        <v>180</v>
      </c>
      <c r="U1068" s="75"/>
      <c r="V1068" s="76">
        <f>P1068+T1068</f>
        <v>3638.4</v>
      </c>
    </row>
    <row r="1069" spans="1:26" s="7" customFormat="1" ht="9" customHeight="1" x14ac:dyDescent="0.2">
      <c r="A1069" s="520"/>
      <c r="B1069" s="520"/>
      <c r="C1069" s="62" t="s">
        <v>37</v>
      </c>
      <c r="D1069" s="63">
        <v>34</v>
      </c>
      <c r="E1069" s="64">
        <v>29801015</v>
      </c>
      <c r="F1069" s="65"/>
      <c r="G1069" s="65"/>
      <c r="H1069" s="64">
        <v>12507588</v>
      </c>
      <c r="I1069" s="64"/>
      <c r="J1069" s="66">
        <v>5297267</v>
      </c>
      <c r="K1069" s="64">
        <v>38092395</v>
      </c>
      <c r="L1069" s="64">
        <v>43389661</v>
      </c>
      <c r="M1069" s="39"/>
      <c r="N1069" s="65">
        <v>63567086</v>
      </c>
      <c r="O1069" s="65">
        <v>51059498</v>
      </c>
      <c r="P1069" s="65"/>
      <c r="Q1069" s="65">
        <v>78055071</v>
      </c>
      <c r="R1069" s="64">
        <v>72757804</v>
      </c>
      <c r="S1069" s="75"/>
      <c r="T1069" s="75"/>
      <c r="U1069" s="75"/>
      <c r="V1069" s="76"/>
    </row>
    <row r="1070" spans="1:26" s="7" customFormat="1" ht="12.75" customHeight="1" x14ac:dyDescent="0.2">
      <c r="A1070" s="520"/>
      <c r="B1070" s="520"/>
      <c r="C1070" s="68" t="s">
        <v>36</v>
      </c>
      <c r="D1070" s="69">
        <v>35</v>
      </c>
      <c r="E1070" s="59">
        <v>29045.84</v>
      </c>
      <c r="F1070" s="59"/>
      <c r="G1070" s="59"/>
      <c r="H1070" s="59">
        <v>6459.63</v>
      </c>
      <c r="I1070" s="59">
        <f t="shared" ref="I1070" si="4">ROUND(           (  E1070+H1070) *0.005,2)</f>
        <v>177.53</v>
      </c>
      <c r="J1070" s="59">
        <v>2870.75</v>
      </c>
      <c r="K1070" s="59">
        <v>20206.89</v>
      </c>
      <c r="L1070" s="60">
        <v>23077.64</v>
      </c>
      <c r="M1070" s="33"/>
      <c r="N1070" s="59">
        <v>34449.019999999997</v>
      </c>
      <c r="O1070" s="59">
        <v>27989.39</v>
      </c>
      <c r="P1070" s="59">
        <v>3458.4</v>
      </c>
      <c r="Q1070" s="59">
        <v>42357.86</v>
      </c>
      <c r="R1070" s="59">
        <v>39487.11</v>
      </c>
      <c r="S1070" s="75"/>
      <c r="T1070" s="75">
        <f>15*12</f>
        <v>180</v>
      </c>
      <c r="U1070" s="75"/>
      <c r="V1070" s="76">
        <f>P1070+T1070</f>
        <v>3638.4</v>
      </c>
    </row>
    <row r="1071" spans="1:26" s="7" customFormat="1" ht="9" customHeight="1" x14ac:dyDescent="0.2">
      <c r="A1071" s="521"/>
      <c r="B1071" s="521"/>
      <c r="C1071" s="71" t="s">
        <v>37</v>
      </c>
      <c r="D1071" s="72"/>
      <c r="E1071" s="64">
        <v>29801015</v>
      </c>
      <c r="F1071" s="64"/>
      <c r="G1071" s="64"/>
      <c r="H1071" s="64">
        <v>12507588</v>
      </c>
      <c r="I1071" s="64"/>
      <c r="J1071" s="64">
        <v>5558547</v>
      </c>
      <c r="K1071" s="64">
        <v>39125995</v>
      </c>
      <c r="L1071" s="64">
        <v>44684542</v>
      </c>
      <c r="M1071" s="39"/>
      <c r="N1071" s="64">
        <v>66702604</v>
      </c>
      <c r="O1071" s="64">
        <v>54195016</v>
      </c>
      <c r="P1071" s="64">
        <v>6347868</v>
      </c>
      <c r="Q1071" s="64">
        <v>82016254</v>
      </c>
      <c r="R1071" s="64">
        <v>76457706</v>
      </c>
      <c r="S1071" s="75"/>
      <c r="T1071" s="75"/>
      <c r="U1071" s="75"/>
      <c r="V1071" s="76"/>
    </row>
    <row r="1072" spans="1:26" s="7" customFormat="1" ht="9" customHeight="1" x14ac:dyDescent="0.2">
      <c r="A1072" s="77"/>
      <c r="B1072" s="77"/>
      <c r="C1072" s="45"/>
      <c r="D1072" s="45"/>
      <c r="E1072" s="54"/>
      <c r="F1072" s="54"/>
      <c r="G1072" s="54"/>
      <c r="H1072" s="54"/>
      <c r="I1072" s="54"/>
      <c r="J1072" s="54"/>
      <c r="K1072" s="54"/>
    </row>
    <row r="1073" spans="1:26" s="7" customFormat="1" ht="9" customHeight="1" x14ac:dyDescent="0.2">
      <c r="A1073" s="77"/>
      <c r="B1073" s="77"/>
      <c r="C1073" s="45"/>
      <c r="D1073" s="45"/>
      <c r="E1073" s="54"/>
      <c r="F1073" s="54"/>
      <c r="G1073" s="54"/>
      <c r="H1073" s="54"/>
      <c r="I1073" s="54"/>
      <c r="J1073" s="54"/>
      <c r="K1073" s="54"/>
    </row>
    <row r="1074" spans="1:26" s="7" customFormat="1" ht="9" customHeight="1" x14ac:dyDescent="0.2">
      <c r="A1074" s="77"/>
      <c r="B1074" s="77"/>
      <c r="C1074" s="45"/>
      <c r="D1074" s="45"/>
      <c r="E1074" s="54"/>
      <c r="F1074" s="54"/>
      <c r="G1074" s="54"/>
      <c r="H1074" s="54"/>
      <c r="I1074" s="54"/>
      <c r="J1074" s="54"/>
      <c r="K1074" s="54"/>
    </row>
    <row r="1075" spans="1:26" s="7" customFormat="1" ht="12.75" x14ac:dyDescent="0.2"/>
    <row r="1076" spans="1:26" s="7" customFormat="1" ht="24.75" customHeight="1" x14ac:dyDescent="0.2">
      <c r="B1076" s="558" t="s">
        <v>38</v>
      </c>
      <c r="C1076" s="559"/>
      <c r="D1076" s="559"/>
      <c r="E1076" s="559"/>
      <c r="F1076" s="559"/>
      <c r="G1076" s="559"/>
      <c r="H1076" s="559"/>
      <c r="I1076" s="559"/>
      <c r="J1076" s="560"/>
    </row>
    <row r="1077" spans="1:26" s="7" customFormat="1" ht="19.5" customHeight="1" x14ac:dyDescent="0.2">
      <c r="B1077" s="81" t="s">
        <v>5</v>
      </c>
      <c r="C1077" s="82"/>
      <c r="D1077" s="83"/>
      <c r="E1077" s="84">
        <v>36892</v>
      </c>
      <c r="F1077" s="84">
        <v>37257</v>
      </c>
      <c r="G1077" s="84">
        <v>37622</v>
      </c>
      <c r="H1077" s="84">
        <v>37987</v>
      </c>
      <c r="I1077" s="85">
        <v>38718</v>
      </c>
      <c r="J1077" s="86">
        <v>43160</v>
      </c>
      <c r="K1077" s="87">
        <v>44562</v>
      </c>
    </row>
    <row r="1078" spans="1:26" s="7" customFormat="1" ht="12.75" x14ac:dyDescent="0.2">
      <c r="B1078" s="561" t="s">
        <v>6</v>
      </c>
      <c r="C1078" s="89" t="s">
        <v>36</v>
      </c>
      <c r="D1078" s="90">
        <v>0</v>
      </c>
      <c r="E1078" s="59">
        <v>1338.6</v>
      </c>
      <c r="F1078" s="59">
        <v>1578.6</v>
      </c>
      <c r="G1078" s="59">
        <v>1710.6</v>
      </c>
      <c r="H1078" s="59">
        <v>1857.84</v>
      </c>
      <c r="I1078" s="59">
        <v>1968</v>
      </c>
      <c r="J1078" s="59">
        <v>2094</v>
      </c>
      <c r="K1078" s="7">
        <v>2214</v>
      </c>
    </row>
    <row r="1079" spans="1:26" s="7" customFormat="1" ht="12.75" x14ac:dyDescent="0.2">
      <c r="B1079" s="562"/>
      <c r="C1079" s="72" t="s">
        <v>37</v>
      </c>
      <c r="D1079" s="92">
        <v>14</v>
      </c>
      <c r="E1079" s="93">
        <v>2591891</v>
      </c>
      <c r="F1079" s="93">
        <v>3056596</v>
      </c>
      <c r="G1079" s="93">
        <v>3312183</v>
      </c>
      <c r="H1079" s="93">
        <v>3597280</v>
      </c>
      <c r="I1079" s="93">
        <v>3810579</v>
      </c>
      <c r="J1079" s="93">
        <v>4054549</v>
      </c>
    </row>
    <row r="1080" spans="1:26" s="7" customFormat="1" ht="12.75" x14ac:dyDescent="0.2">
      <c r="B1080" s="562"/>
      <c r="C1080" s="89" t="s">
        <v>36</v>
      </c>
      <c r="D1080" s="90">
        <v>15</v>
      </c>
      <c r="E1080" s="59">
        <v>1667.16</v>
      </c>
      <c r="F1080" s="59">
        <v>1955.16</v>
      </c>
      <c r="G1080" s="59">
        <v>2111.16</v>
      </c>
      <c r="H1080" s="59">
        <v>2287.8000000000002</v>
      </c>
      <c r="I1080" s="59">
        <v>2424</v>
      </c>
      <c r="J1080" s="59">
        <v>2577.6</v>
      </c>
      <c r="K1080" s="7">
        <v>2721.6</v>
      </c>
    </row>
    <row r="1081" spans="1:26" s="7" customFormat="1" ht="12.75" x14ac:dyDescent="0.2">
      <c r="B1081" s="562"/>
      <c r="C1081" s="72" t="s">
        <v>37</v>
      </c>
      <c r="D1081" s="92">
        <v>27</v>
      </c>
      <c r="E1081" s="93">
        <v>3228072</v>
      </c>
      <c r="F1081" s="93">
        <v>3785718</v>
      </c>
      <c r="G1081" s="93">
        <v>4087776</v>
      </c>
      <c r="H1081" s="93">
        <v>4429799</v>
      </c>
      <c r="I1081" s="93">
        <v>4693518</v>
      </c>
      <c r="J1081" s="93">
        <v>4990930</v>
      </c>
    </row>
    <row r="1082" spans="1:26" s="7" customFormat="1" ht="12.75" x14ac:dyDescent="0.2">
      <c r="B1082" s="562"/>
      <c r="C1082" s="89" t="s">
        <v>36</v>
      </c>
      <c r="D1082" s="90">
        <v>28</v>
      </c>
      <c r="E1082" s="59">
        <v>1865.4</v>
      </c>
      <c r="F1082" s="59">
        <v>2333.4</v>
      </c>
      <c r="G1082" s="59">
        <v>2585.4</v>
      </c>
      <c r="H1082" s="59">
        <v>2870.04</v>
      </c>
      <c r="I1082" s="59">
        <v>3090</v>
      </c>
      <c r="J1082" s="59">
        <v>3278.4</v>
      </c>
      <c r="K1082" s="7">
        <v>3458.4</v>
      </c>
    </row>
    <row r="1083" spans="1:26" s="7" customFormat="1" ht="12.75" x14ac:dyDescent="0.2">
      <c r="B1083" s="563"/>
      <c r="C1083" s="72" t="s">
        <v>37</v>
      </c>
      <c r="D1083" s="92"/>
      <c r="E1083" s="93">
        <v>3611918</v>
      </c>
      <c r="F1083" s="93">
        <v>4518092</v>
      </c>
      <c r="G1083" s="93">
        <v>5006032</v>
      </c>
      <c r="H1083" s="93">
        <v>5557172</v>
      </c>
      <c r="I1083" s="93">
        <v>5983074</v>
      </c>
      <c r="J1083" s="93">
        <v>6347868</v>
      </c>
    </row>
    <row r="1084" spans="1:26" s="7" customFormat="1" ht="12.75" x14ac:dyDescent="0.2">
      <c r="B1084" s="7" t="s">
        <v>39</v>
      </c>
    </row>
    <row r="1085" spans="1:26" s="7" customFormat="1" ht="12.75" x14ac:dyDescent="0.2"/>
    <row r="1086" spans="1:26" s="7" customFormat="1" ht="12.75" x14ac:dyDescent="0.2"/>
    <row r="1087" spans="1:26" s="7" customFormat="1" ht="12.75" x14ac:dyDescent="0.2"/>
    <row r="1088" spans="1:26" ht="12.75" customHeight="1" x14ac:dyDescent="0.2">
      <c r="A1088" s="7"/>
      <c r="B1088" s="7"/>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row>
    <row r="1089" spans="1:26" ht="12.75" customHeight="1" x14ac:dyDescent="0.2">
      <c r="A1089" s="7"/>
      <c r="B1089" s="7"/>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row>
    <row r="1090" spans="1:26" ht="12.75" customHeight="1" x14ac:dyDescent="0.2">
      <c r="A1090" s="7"/>
      <c r="B1090" s="7"/>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row>
    <row r="1091" spans="1:26" ht="12.75" customHeight="1" x14ac:dyDescent="0.2">
      <c r="A1091" s="7"/>
      <c r="B1091" s="7"/>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row>
    <row r="1092" spans="1:26" ht="12.75" customHeight="1" x14ac:dyDescent="0.2">
      <c r="A1092" s="7"/>
      <c r="B1092" s="7"/>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row>
    <row r="1093" spans="1:26" ht="12.75" customHeight="1" x14ac:dyDescent="0.2">
      <c r="A1093" s="7"/>
      <c r="B1093" s="7"/>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row>
    <row r="1094" spans="1:26" ht="12.75" customHeight="1" x14ac:dyDescent="0.2">
      <c r="A1094" s="7"/>
      <c r="B1094" s="7"/>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row>
    <row r="1095" spans="1:26" ht="12.75" customHeight="1" x14ac:dyDescent="0.2">
      <c r="A1095" s="7"/>
      <c r="B1095" s="7"/>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row>
    <row r="1096" spans="1:26" ht="12.75" customHeight="1" x14ac:dyDescent="0.2">
      <c r="A1096" s="7"/>
      <c r="B1096" s="7"/>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row>
    <row r="1097" spans="1:26" ht="12.75" customHeight="1" x14ac:dyDescent="0.2">
      <c r="A1097" s="7"/>
      <c r="B1097" s="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row>
    <row r="1098" spans="1:26" ht="12.75" customHeight="1" x14ac:dyDescent="0.2">
      <c r="A1098" s="7"/>
      <c r="B1098" s="7"/>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row>
    <row r="1099" spans="1:26" ht="12.75" customHeight="1" x14ac:dyDescent="0.2">
      <c r="A1099" s="7"/>
      <c r="B1099" s="7"/>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row>
    <row r="1100" spans="1:26" ht="12.75" customHeight="1" x14ac:dyDescent="0.2">
      <c r="A1100" s="7"/>
      <c r="B1100" s="7"/>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row>
    <row r="1101" spans="1:26" ht="12.75" customHeight="1" x14ac:dyDescent="0.2">
      <c r="A1101" s="7"/>
      <c r="B1101" s="7"/>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row>
    <row r="1102" spans="1:26" ht="12.75" customHeight="1" x14ac:dyDescent="0.2">
      <c r="A1102" s="7"/>
      <c r="B1102" s="7"/>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row>
    <row r="1103" spans="1:26" ht="12.75" customHeight="1" x14ac:dyDescent="0.2">
      <c r="A1103" s="7"/>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row>
    <row r="1104" spans="1:26" ht="12.75" customHeight="1" x14ac:dyDescent="0.2">
      <c r="A1104" s="7"/>
      <c r="B1104" s="7"/>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row>
    <row r="1105" spans="1:26" ht="12.75" customHeight="1" x14ac:dyDescent="0.2">
      <c r="A1105" s="7"/>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row>
    <row r="1106" spans="1:26" ht="12.75" customHeight="1" x14ac:dyDescent="0.2">
      <c r="A1106" s="7"/>
      <c r="B1106" s="7"/>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row>
    <row r="1107" spans="1:26" ht="12.75" customHeight="1" x14ac:dyDescent="0.2">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row>
    <row r="1108" spans="1:26" ht="12.75" customHeight="1" x14ac:dyDescent="0.2">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row>
    <row r="1109" spans="1:26" ht="12.75" customHeight="1" x14ac:dyDescent="0.2">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row>
    <row r="1110" spans="1:26" ht="12.75" customHeight="1" x14ac:dyDescent="0.2">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row>
    <row r="1111" spans="1:26" ht="12.75" customHeight="1" x14ac:dyDescent="0.2">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row>
    <row r="1112" spans="1:26" ht="12.75" customHeight="1" x14ac:dyDescent="0.2">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row>
    <row r="1113" spans="1:26" ht="12.75" customHeight="1" x14ac:dyDescent="0.2">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row>
    <row r="1114" spans="1:26" ht="12.75" customHeight="1" x14ac:dyDescent="0.2">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row>
    <row r="1115" spans="1:26" ht="12.75" customHeight="1" x14ac:dyDescent="0.2">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row>
    <row r="1116" spans="1:26" ht="12.75" customHeight="1" x14ac:dyDescent="0.2">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row>
    <row r="1117" spans="1:26" ht="12.75" customHeight="1" x14ac:dyDescent="0.2">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row>
    <row r="1118" spans="1:26" ht="12.75" customHeight="1" x14ac:dyDescent="0.2">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row>
    <row r="1119" spans="1:26" ht="12.75" customHeight="1" x14ac:dyDescent="0.2">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row>
    <row r="1120" spans="1:26" ht="12.75" customHeight="1" x14ac:dyDescent="0.2">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row>
    <row r="1121" spans="1:26" ht="12.75" customHeight="1" x14ac:dyDescent="0.2">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row>
    <row r="1122" spans="1:26" ht="12.75" customHeight="1" x14ac:dyDescent="0.2">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row>
    <row r="1123" spans="1:26" ht="12.75" customHeight="1" x14ac:dyDescent="0.2">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row>
    <row r="1124" spans="1:26" ht="12.75" customHeight="1" x14ac:dyDescent="0.2">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row>
    <row r="1125" spans="1:26" ht="12.75" customHeight="1" x14ac:dyDescent="0.2">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row>
    <row r="1126" spans="1:26" ht="12.75" customHeight="1"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row>
    <row r="1127" spans="1:26" ht="12.75" customHeight="1" x14ac:dyDescent="0.2">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row>
    <row r="1128" spans="1:26" ht="12.75" customHeight="1" x14ac:dyDescent="0.2">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row>
    <row r="1129" spans="1:26" ht="12.75" customHeight="1" x14ac:dyDescent="0.2">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row>
    <row r="1130" spans="1:26" ht="12.75" customHeight="1" x14ac:dyDescent="0.2">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row>
    <row r="1131" spans="1:26" ht="12.75" customHeight="1" x14ac:dyDescent="0.2">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row>
    <row r="1132" spans="1:26" ht="12.75" customHeight="1" x14ac:dyDescent="0.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row>
    <row r="1133" spans="1:26" ht="12.75" customHeight="1" x14ac:dyDescent="0.2">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row>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sheetData>
  <mergeCells count="173">
    <mergeCell ref="B1076:J1076"/>
    <mergeCell ref="B1078:B1083"/>
    <mergeCell ref="A1002:A1011"/>
    <mergeCell ref="B1002:B1011"/>
    <mergeCell ref="A1020:A1021"/>
    <mergeCell ref="B1020:B1021"/>
    <mergeCell ref="A1022:A1031"/>
    <mergeCell ref="B1022:B1031"/>
    <mergeCell ref="A980:A981"/>
    <mergeCell ref="B980:B981"/>
    <mergeCell ref="A982:A991"/>
    <mergeCell ref="B982:B991"/>
    <mergeCell ref="A1000:A1001"/>
    <mergeCell ref="B1000:B1001"/>
    <mergeCell ref="A1040:A1041"/>
    <mergeCell ref="B1040:B1041"/>
    <mergeCell ref="A1042:A1051"/>
    <mergeCell ref="B1042:B1051"/>
    <mergeCell ref="A1060:A1061"/>
    <mergeCell ref="B1060:B1061"/>
    <mergeCell ref="A1062:A1071"/>
    <mergeCell ref="B1062:B1071"/>
    <mergeCell ref="A942:A951"/>
    <mergeCell ref="B942:B951"/>
    <mergeCell ref="A960:A961"/>
    <mergeCell ref="B960:B961"/>
    <mergeCell ref="A962:A971"/>
    <mergeCell ref="B962:B971"/>
    <mergeCell ref="A920:A921"/>
    <mergeCell ref="B920:B921"/>
    <mergeCell ref="A922:A931"/>
    <mergeCell ref="B922:B931"/>
    <mergeCell ref="A940:A941"/>
    <mergeCell ref="B940:B941"/>
    <mergeCell ref="A882:A891"/>
    <mergeCell ref="B882:B891"/>
    <mergeCell ref="A900:A901"/>
    <mergeCell ref="B900:B901"/>
    <mergeCell ref="A902:A911"/>
    <mergeCell ref="B902:B911"/>
    <mergeCell ref="A860:A861"/>
    <mergeCell ref="B860:B861"/>
    <mergeCell ref="A862:A873"/>
    <mergeCell ref="B862:B873"/>
    <mergeCell ref="A880:A881"/>
    <mergeCell ref="B880:B881"/>
    <mergeCell ref="A822:A833"/>
    <mergeCell ref="B822:B833"/>
    <mergeCell ref="A840:A841"/>
    <mergeCell ref="B840:B841"/>
    <mergeCell ref="A842:A853"/>
    <mergeCell ref="B842:B853"/>
    <mergeCell ref="A800:A801"/>
    <mergeCell ref="B800:B801"/>
    <mergeCell ref="A802:A813"/>
    <mergeCell ref="B802:B813"/>
    <mergeCell ref="A820:A821"/>
    <mergeCell ref="B820:B821"/>
    <mergeCell ref="A762:A773"/>
    <mergeCell ref="B762:B773"/>
    <mergeCell ref="A780:A781"/>
    <mergeCell ref="B780:B781"/>
    <mergeCell ref="A782:A793"/>
    <mergeCell ref="B782:B793"/>
    <mergeCell ref="A740:A741"/>
    <mergeCell ref="B740:B741"/>
    <mergeCell ref="A742:A753"/>
    <mergeCell ref="B742:B753"/>
    <mergeCell ref="A760:A761"/>
    <mergeCell ref="B760:B761"/>
    <mergeCell ref="A702:A713"/>
    <mergeCell ref="B702:B713"/>
    <mergeCell ref="A720:A721"/>
    <mergeCell ref="B720:B721"/>
    <mergeCell ref="A722:A733"/>
    <mergeCell ref="B722:B733"/>
    <mergeCell ref="A680:A681"/>
    <mergeCell ref="B680:B681"/>
    <mergeCell ref="A682:A693"/>
    <mergeCell ref="B682:B693"/>
    <mergeCell ref="A700:A701"/>
    <mergeCell ref="B700:B701"/>
    <mergeCell ref="A642:A653"/>
    <mergeCell ref="B642:B653"/>
    <mergeCell ref="A660:A661"/>
    <mergeCell ref="B660:B661"/>
    <mergeCell ref="A662:A673"/>
    <mergeCell ref="B662:B673"/>
    <mergeCell ref="A620:A621"/>
    <mergeCell ref="B620:B621"/>
    <mergeCell ref="A622:A633"/>
    <mergeCell ref="B622:B633"/>
    <mergeCell ref="A640:A641"/>
    <mergeCell ref="B640:B641"/>
    <mergeCell ref="A582:A593"/>
    <mergeCell ref="B582:B593"/>
    <mergeCell ref="A600:A601"/>
    <mergeCell ref="B600:B601"/>
    <mergeCell ref="A602:A613"/>
    <mergeCell ref="B602:B613"/>
    <mergeCell ref="A560:A561"/>
    <mergeCell ref="B560:B561"/>
    <mergeCell ref="A562:A573"/>
    <mergeCell ref="B562:B573"/>
    <mergeCell ref="A580:A581"/>
    <mergeCell ref="B580:B581"/>
    <mergeCell ref="A522:A533"/>
    <mergeCell ref="B522:B533"/>
    <mergeCell ref="A540:A541"/>
    <mergeCell ref="B540:B541"/>
    <mergeCell ref="A542:A553"/>
    <mergeCell ref="B542:B553"/>
    <mergeCell ref="A500:A501"/>
    <mergeCell ref="B500:B501"/>
    <mergeCell ref="A502:A513"/>
    <mergeCell ref="B502:B513"/>
    <mergeCell ref="A520:A521"/>
    <mergeCell ref="B520:B521"/>
    <mergeCell ref="A462:A473"/>
    <mergeCell ref="B462:B473"/>
    <mergeCell ref="A480:A481"/>
    <mergeCell ref="B480:B481"/>
    <mergeCell ref="A482:A493"/>
    <mergeCell ref="B482:B493"/>
    <mergeCell ref="A440:A441"/>
    <mergeCell ref="B440:B441"/>
    <mergeCell ref="A442:A453"/>
    <mergeCell ref="B442:B453"/>
    <mergeCell ref="A460:A461"/>
    <mergeCell ref="B460:B461"/>
    <mergeCell ref="A360:A401"/>
    <mergeCell ref="B360:B401"/>
    <mergeCell ref="A420:A421"/>
    <mergeCell ref="B420:B421"/>
    <mergeCell ref="A422:A433"/>
    <mergeCell ref="B422:B433"/>
    <mergeCell ref="A314:A315"/>
    <mergeCell ref="B314:B315"/>
    <mergeCell ref="A316:A357"/>
    <mergeCell ref="B316:B357"/>
    <mergeCell ref="A358:A359"/>
    <mergeCell ref="B358:B359"/>
    <mergeCell ref="A228:A269"/>
    <mergeCell ref="B228:B269"/>
    <mergeCell ref="A270:A271"/>
    <mergeCell ref="B270:B271"/>
    <mergeCell ref="A272:A313"/>
    <mergeCell ref="B272:B313"/>
    <mergeCell ref="A182:A183"/>
    <mergeCell ref="B182:B183"/>
    <mergeCell ref="A184:A225"/>
    <mergeCell ref="B184:B225"/>
    <mergeCell ref="A226:A227"/>
    <mergeCell ref="B226:B227"/>
    <mergeCell ref="A138:A139"/>
    <mergeCell ref="B138:B139"/>
    <mergeCell ref="A140:A181"/>
    <mergeCell ref="B140:B181"/>
    <mergeCell ref="A50:A51"/>
    <mergeCell ref="B50:B51"/>
    <mergeCell ref="A52:A93"/>
    <mergeCell ref="B52:B93"/>
    <mergeCell ref="A94:A95"/>
    <mergeCell ref="B94:B95"/>
    <mergeCell ref="C5:D5"/>
    <mergeCell ref="A6:A7"/>
    <mergeCell ref="B6:B7"/>
    <mergeCell ref="A8:A49"/>
    <mergeCell ref="B8:B49"/>
    <mergeCell ref="A1:B1"/>
    <mergeCell ref="N1:P2"/>
    <mergeCell ref="A96:A137"/>
    <mergeCell ref="B96:B137"/>
  </mergeCells>
  <conditionalFormatting sqref="E960:H971 E980:H991 E1000:H1011">
    <cfRule type="cellIs" dxfId="92" priority="165" stopIfTrue="1" operator="equal">
      <formula>0</formula>
    </cfRule>
  </conditionalFormatting>
  <conditionalFormatting sqref="E1020:I1031">
    <cfRule type="cellIs" dxfId="91" priority="34" stopIfTrue="1" operator="equal">
      <formula>0</formula>
    </cfRule>
  </conditionalFormatting>
  <conditionalFormatting sqref="E1040:I1051">
    <cfRule type="cellIs" dxfId="90" priority="2" stopIfTrue="1" operator="equal">
      <formula>0</formula>
    </cfRule>
  </conditionalFormatting>
  <conditionalFormatting sqref="E1060:I1071">
    <cfRule type="cellIs" dxfId="89" priority="1" stopIfTrue="1" operator="equal">
      <formula>0</formula>
    </cfRule>
  </conditionalFormatting>
  <conditionalFormatting sqref="E900:O911 E920:O931">
    <cfRule type="cellIs" dxfId="88" priority="273" stopIfTrue="1" operator="equal">
      <formula>0</formula>
    </cfRule>
  </conditionalFormatting>
  <conditionalFormatting sqref="E940:O951">
    <cfRule type="cellIs" dxfId="87" priority="274" stopIfTrue="1" operator="equal">
      <formula>0</formula>
    </cfRule>
  </conditionalFormatting>
  <conditionalFormatting sqref="E860:Q873 E880:Q893">
    <cfRule type="cellIs" dxfId="86" priority="283" stopIfTrue="1" operator="equal">
      <formula>0</formula>
    </cfRule>
  </conditionalFormatting>
  <conditionalFormatting sqref="E912:Q913">
    <cfRule type="cellIs" dxfId="85" priority="111" stopIfTrue="1" operator="equal">
      <formula>0</formula>
    </cfRule>
  </conditionalFormatting>
  <conditionalFormatting sqref="E932:Q933">
    <cfRule type="cellIs" dxfId="84" priority="109" stopIfTrue="1" operator="equal">
      <formula>0</formula>
    </cfRule>
  </conditionalFormatting>
  <conditionalFormatting sqref="E952:Q953">
    <cfRule type="cellIs" dxfId="83" priority="107" stopIfTrue="1" operator="equal">
      <formula>0</formula>
    </cfRule>
  </conditionalFormatting>
  <conditionalFormatting sqref="E972:Q973">
    <cfRule type="cellIs" dxfId="82" priority="105" stopIfTrue="1" operator="equal">
      <formula>0</formula>
    </cfRule>
  </conditionalFormatting>
  <conditionalFormatting sqref="E992:Q993">
    <cfRule type="cellIs" dxfId="81" priority="103" stopIfTrue="1" operator="equal">
      <formula>0</formula>
    </cfRule>
  </conditionalFormatting>
  <conditionalFormatting sqref="E1012:Q1013">
    <cfRule type="cellIs" dxfId="80" priority="101" stopIfTrue="1" operator="equal">
      <formula>0</formula>
    </cfRule>
  </conditionalFormatting>
  <conditionalFormatting sqref="E1032:Q1033">
    <cfRule type="cellIs" dxfId="79" priority="69" stopIfTrue="1" operator="equal">
      <formula>0</formula>
    </cfRule>
  </conditionalFormatting>
  <conditionalFormatting sqref="E1052:Q1053">
    <cfRule type="cellIs" dxfId="78" priority="37" stopIfTrue="1" operator="equal">
      <formula>0</formula>
    </cfRule>
  </conditionalFormatting>
  <conditionalFormatting sqref="I960:O971 I980:O991">
    <cfRule type="cellIs" dxfId="77" priority="229" stopIfTrue="1" operator="equal">
      <formula>0</formula>
    </cfRule>
  </conditionalFormatting>
  <conditionalFormatting sqref="I1000:O1011">
    <cfRule type="cellIs" dxfId="76" priority="174" stopIfTrue="1" operator="equal">
      <formula>0</formula>
    </cfRule>
  </conditionalFormatting>
  <conditionalFormatting sqref="J1020:O1031">
    <cfRule type="cellIs" dxfId="75" priority="144" stopIfTrue="1" operator="equal">
      <formula>0</formula>
    </cfRule>
  </conditionalFormatting>
  <conditionalFormatting sqref="J1040:O1051">
    <cfRule type="cellIs" dxfId="74" priority="79" stopIfTrue="1" operator="equal">
      <formula>0</formula>
    </cfRule>
  </conditionalFormatting>
  <conditionalFormatting sqref="J1060:O1071">
    <cfRule type="cellIs" dxfId="73" priority="16" stopIfTrue="1" operator="equal">
      <formula>0</formula>
    </cfRule>
  </conditionalFormatting>
  <conditionalFormatting sqref="N900:Q900 N902:Q902 N904:Q904 N906:Q906 N908:Q908 N910:Q910 N920:Q920 N922:Q922 N924:Q924 N926:Q926 N928:Q928 N930:Q930 N940:Q940 N942:Q942 N944:Q944 N946:Q946 N948:Q948 N950:Q950">
    <cfRule type="cellIs" dxfId="72" priority="272" stopIfTrue="1" operator="equal">
      <formula>0</formula>
    </cfRule>
  </conditionalFormatting>
  <conditionalFormatting sqref="N966:R966 N968:R968 N970:R970 N980:R980 N982:R982 N984:R984 N986:R986 N988:R988 N990:R990">
    <cfRule type="cellIs" dxfId="71" priority="202" stopIfTrue="1" operator="equal">
      <formula>0</formula>
    </cfRule>
  </conditionalFormatting>
  <conditionalFormatting sqref="N1000:R1000 N1002:R1002 N1004:R1004 N1006:R1006 N1008:R1008 N1010:R1010">
    <cfRule type="cellIs" dxfId="70" priority="172" stopIfTrue="1" operator="equal">
      <formula>0</formula>
    </cfRule>
  </conditionalFormatting>
  <conditionalFormatting sqref="N1020:R1020 N1022:R1022 N1024:R1024 N1026:R1026 N1028:R1028 N1030:R1030">
    <cfRule type="cellIs" dxfId="69" priority="142" stopIfTrue="1" operator="equal">
      <formula>0</formula>
    </cfRule>
  </conditionalFormatting>
  <conditionalFormatting sqref="N1040:R1040 N1042:R1042 N1044:R1044 N1046:R1046 N1048:R1048 N1050:R1050">
    <cfRule type="cellIs" dxfId="68" priority="77" stopIfTrue="1" operator="equal">
      <formula>0</formula>
    </cfRule>
  </conditionalFormatting>
  <conditionalFormatting sqref="N1060:R1060 N1062:R1062 N1064:R1064 N1066:R1066 N1068:R1068 N1070:R1070">
    <cfRule type="cellIs" dxfId="67" priority="14" stopIfTrue="1" operator="equal">
      <formula>0</formula>
    </cfRule>
  </conditionalFormatting>
  <conditionalFormatting sqref="P900:P911 P920:P931 P940:P951">
    <cfRule type="cellIs" dxfId="66" priority="271" stopIfTrue="1" operator="equal">
      <formula>0</formula>
    </cfRule>
  </conditionalFormatting>
  <conditionalFormatting sqref="P960:Q962 P964:Q964 P966:Q966 P968:Q968 P970:Q970">
    <cfRule type="cellIs" dxfId="65" priority="259" stopIfTrue="1" operator="equal">
      <formula>0</formula>
    </cfRule>
  </conditionalFormatting>
  <conditionalFormatting sqref="P980:Q982 P984:Q984 P986:Q986 P988:Q988 P990:Q990">
    <cfRule type="cellIs" dxfId="64" priority="239" stopIfTrue="1" operator="equal">
      <formula>0</formula>
    </cfRule>
  </conditionalFormatting>
  <conditionalFormatting sqref="P1000:Q1002 P1004:Q1004 P1006:Q1006 P1008:Q1008 P1010:Q1010">
    <cfRule type="cellIs" dxfId="63" priority="184" stopIfTrue="1" operator="equal">
      <formula>0</formula>
    </cfRule>
  </conditionalFormatting>
  <conditionalFormatting sqref="P1020:Q1022 P1024:Q1024 P1026:Q1026 P1028:Q1028 P1030:Q1030">
    <cfRule type="cellIs" dxfId="62" priority="154" stopIfTrue="1" operator="equal">
      <formula>0</formula>
    </cfRule>
  </conditionalFormatting>
  <conditionalFormatting sqref="P1040:Q1042 P1044:Q1044 P1046:Q1046 P1048:Q1048 P1050:Q1050">
    <cfRule type="cellIs" dxfId="61" priority="89" stopIfTrue="1" operator="equal">
      <formula>0</formula>
    </cfRule>
  </conditionalFormatting>
  <conditionalFormatting sqref="P1060:Q1062 P1064:Q1064 P1066:Q1066 P1068:Q1068 P1070:Q1070">
    <cfRule type="cellIs" dxfId="60" priority="20" stopIfTrue="1" operator="equal">
      <formula>0</formula>
    </cfRule>
  </conditionalFormatting>
  <conditionalFormatting sqref="P967:R967 P969:R969 P971:R971 R981 P983:R983 P985:R985 P987:R987 P989:R989 P991:R991">
    <cfRule type="cellIs" dxfId="59" priority="196" stopIfTrue="1" operator="equal">
      <formula>0</formula>
    </cfRule>
  </conditionalFormatting>
  <conditionalFormatting sqref="Q6:Q859">
    <cfRule type="cellIs" dxfId="58" priority="114" stopIfTrue="1" operator="equal">
      <formula>0</formula>
    </cfRule>
  </conditionalFormatting>
  <conditionalFormatting sqref="Q874:Q879">
    <cfRule type="cellIs" dxfId="57" priority="113" stopIfTrue="1" operator="equal">
      <formula>0</formula>
    </cfRule>
  </conditionalFormatting>
  <conditionalFormatting sqref="Q894:Q899">
    <cfRule type="cellIs" dxfId="56" priority="112" stopIfTrue="1" operator="equal">
      <formula>0</formula>
    </cfRule>
  </conditionalFormatting>
  <conditionalFormatting sqref="Q900:Q911">
    <cfRule type="cellIs" dxfId="55" priority="281" stopIfTrue="1" operator="equal">
      <formula>0</formula>
    </cfRule>
  </conditionalFormatting>
  <conditionalFormatting sqref="Q914:Q919">
    <cfRule type="cellIs" dxfId="54" priority="110" stopIfTrue="1" operator="equal">
      <formula>0</formula>
    </cfRule>
  </conditionalFormatting>
  <conditionalFormatting sqref="Q920:Q931">
    <cfRule type="cellIs" dxfId="53" priority="279" stopIfTrue="1" operator="equal">
      <formula>0</formula>
    </cfRule>
  </conditionalFormatting>
  <conditionalFormatting sqref="Q934:Q939">
    <cfRule type="cellIs" dxfId="52" priority="108" stopIfTrue="1" operator="equal">
      <formula>0</formula>
    </cfRule>
  </conditionalFormatting>
  <conditionalFormatting sqref="Q940:Q951">
    <cfRule type="cellIs" dxfId="51" priority="277" stopIfTrue="1" operator="equal">
      <formula>0</formula>
    </cfRule>
  </conditionalFormatting>
  <conditionalFormatting sqref="Q954:Q959">
    <cfRule type="cellIs" dxfId="50" priority="106" stopIfTrue="1" operator="equal">
      <formula>0</formula>
    </cfRule>
  </conditionalFormatting>
  <conditionalFormatting sqref="Q974:Q979">
    <cfRule type="cellIs" dxfId="49" priority="104" stopIfTrue="1" operator="equal">
      <formula>0</formula>
    </cfRule>
  </conditionalFormatting>
  <conditionalFormatting sqref="Q994:Q999">
    <cfRule type="cellIs" dxfId="48" priority="102" stopIfTrue="1" operator="equal">
      <formula>0</formula>
    </cfRule>
  </conditionalFormatting>
  <conditionalFormatting sqref="Q1014:Q1019">
    <cfRule type="cellIs" dxfId="47" priority="100" stopIfTrue="1" operator="equal">
      <formula>0</formula>
    </cfRule>
  </conditionalFormatting>
  <conditionalFormatting sqref="Q1034:Q1039">
    <cfRule type="cellIs" dxfId="46" priority="68" stopIfTrue="1" operator="equal">
      <formula>0</formula>
    </cfRule>
  </conditionalFormatting>
  <conditionalFormatting sqref="Q1054:Q1059">
    <cfRule type="cellIs" dxfId="45" priority="36" stopIfTrue="1" operator="equal">
      <formula>0</formula>
    </cfRule>
  </conditionalFormatting>
  <conditionalFormatting sqref="R900 R902 R904 R906 R908 R910 R920 R922 R924 R926 R928 R930 R940 R942">
    <cfRule type="cellIs" dxfId="44" priority="227" stopIfTrue="1" operator="equal">
      <formula>0</formula>
    </cfRule>
    <cfRule type="cellIs" dxfId="43" priority="224" stopIfTrue="1" operator="equal">
      <formula>0</formula>
    </cfRule>
  </conditionalFormatting>
  <conditionalFormatting sqref="R900 R902">
    <cfRule type="cellIs" dxfId="42" priority="222" stopIfTrue="1" operator="equal">
      <formula>0</formula>
    </cfRule>
  </conditionalFormatting>
  <conditionalFormatting sqref="R900:R903">
    <cfRule type="cellIs" dxfId="41" priority="223" stopIfTrue="1" operator="equal">
      <formula>0</formula>
    </cfRule>
  </conditionalFormatting>
  <conditionalFormatting sqref="R900:R911 R920:R931 R940:R943">
    <cfRule type="cellIs" dxfId="40" priority="225" stopIfTrue="1" operator="equal">
      <formula>0</formula>
    </cfRule>
  </conditionalFormatting>
  <conditionalFormatting sqref="R904">
    <cfRule type="cellIs" dxfId="39" priority="221" stopIfTrue="1" operator="equal">
      <formula>0</formula>
    </cfRule>
    <cfRule type="cellIs" dxfId="38" priority="220" stopIfTrue="1" operator="equal">
      <formula>0</formula>
    </cfRule>
  </conditionalFormatting>
  <conditionalFormatting sqref="R905:R906 R908 R910 R920 R922">
    <cfRule type="cellIs" dxfId="37" priority="218" stopIfTrue="1" operator="equal">
      <formula>0</formula>
    </cfRule>
  </conditionalFormatting>
  <conditionalFormatting sqref="R906 R908 R910 R920 R922">
    <cfRule type="cellIs" dxfId="36" priority="217" stopIfTrue="1" operator="equal">
      <formula>0</formula>
    </cfRule>
  </conditionalFormatting>
  <conditionalFormatting sqref="R907 R909 R911 R921">
    <cfRule type="cellIs" dxfId="35" priority="216" stopIfTrue="1" operator="equal">
      <formula>0</formula>
    </cfRule>
  </conditionalFormatting>
  <conditionalFormatting sqref="R923:R924">
    <cfRule type="cellIs" dxfId="34" priority="215" stopIfTrue="1" operator="equal">
      <formula>0</formula>
    </cfRule>
  </conditionalFormatting>
  <conditionalFormatting sqref="R924">
    <cfRule type="cellIs" dxfId="33" priority="214" stopIfTrue="1" operator="equal">
      <formula>0</formula>
    </cfRule>
  </conditionalFormatting>
  <conditionalFormatting sqref="R925:R926 R928 R930 R940 R942">
    <cfRule type="cellIs" dxfId="32" priority="212" stopIfTrue="1" operator="equal">
      <formula>0</formula>
    </cfRule>
  </conditionalFormatting>
  <conditionalFormatting sqref="R926 R928 R930 R940 R942">
    <cfRule type="cellIs" dxfId="31" priority="211" stopIfTrue="1" operator="equal">
      <formula>0</formula>
    </cfRule>
  </conditionalFormatting>
  <conditionalFormatting sqref="R927 R929 R931 R941">
    <cfRule type="cellIs" dxfId="30" priority="210" stopIfTrue="1" operator="equal">
      <formula>0</formula>
    </cfRule>
  </conditionalFormatting>
  <conditionalFormatting sqref="R943:R951 R960:R965">
    <cfRule type="cellIs" dxfId="29" priority="207" stopIfTrue="1" operator="equal">
      <formula>0</formula>
    </cfRule>
  </conditionalFormatting>
  <conditionalFormatting sqref="R944 R946 R948 R950 N960:R960 N962:R962 N964:R964">
    <cfRule type="cellIs" dxfId="28" priority="209" stopIfTrue="1" operator="equal">
      <formula>0</formula>
    </cfRule>
  </conditionalFormatting>
  <conditionalFormatting sqref="R944 R946 R948 R950 R960 R962 R964">
    <cfRule type="cellIs" dxfId="27" priority="204" stopIfTrue="1" operator="equal">
      <formula>0</formula>
    </cfRule>
    <cfRule type="cellIs" dxfId="26" priority="205" stopIfTrue="1" operator="equal">
      <formula>0</formula>
    </cfRule>
    <cfRule type="cellIs" dxfId="25" priority="206" stopIfTrue="1" operator="equal">
      <formula>0</formula>
    </cfRule>
  </conditionalFormatting>
  <conditionalFormatting sqref="R945 R947 R949 R951 R961 P963:R963 P965:R965">
    <cfRule type="cellIs" dxfId="24" priority="203" stopIfTrue="1" operator="equal">
      <formula>0</formula>
    </cfRule>
  </conditionalFormatting>
  <conditionalFormatting sqref="R966 R968 R970 R980 R982 R984 R986 R988 R990">
    <cfRule type="cellIs" dxfId="23" priority="197" stopIfTrue="1" operator="equal">
      <formula>0</formula>
    </cfRule>
    <cfRule type="cellIs" dxfId="22" priority="198" stopIfTrue="1" operator="equal">
      <formula>0</formula>
    </cfRule>
    <cfRule type="cellIs" dxfId="21" priority="199" stopIfTrue="1" operator="equal">
      <formula>0</formula>
    </cfRule>
  </conditionalFormatting>
  <conditionalFormatting sqref="R966:R971 R980:R991">
    <cfRule type="cellIs" dxfId="20" priority="200" stopIfTrue="1" operator="equal">
      <formula>0</formula>
    </cfRule>
  </conditionalFormatting>
  <conditionalFormatting sqref="R1000 R1002 R1004 R1006 R1008 R1010">
    <cfRule type="cellIs" dxfId="19" priority="167" stopIfTrue="1" operator="equal">
      <formula>0</formula>
    </cfRule>
    <cfRule type="cellIs" dxfId="18" priority="168" stopIfTrue="1" operator="equal">
      <formula>0</formula>
    </cfRule>
    <cfRule type="cellIs" dxfId="17" priority="169" stopIfTrue="1" operator="equal">
      <formula>0</formula>
    </cfRule>
  </conditionalFormatting>
  <conditionalFormatting sqref="R1000:R1011">
    <cfRule type="cellIs" dxfId="16" priority="170" stopIfTrue="1" operator="equal">
      <formula>0</formula>
    </cfRule>
  </conditionalFormatting>
  <conditionalFormatting sqref="R1001 P1003:R1003 P1005:R1005 P1007:R1007 P1009:R1009 P1011:R1011">
    <cfRule type="cellIs" dxfId="15" priority="166" stopIfTrue="1" operator="equal">
      <formula>0</formula>
    </cfRule>
  </conditionalFormatting>
  <conditionalFormatting sqref="R1020 R1022 R1024 R1026 R1028 R1030">
    <cfRule type="cellIs" dxfId="14" priority="138" stopIfTrue="1" operator="equal">
      <formula>0</formula>
    </cfRule>
    <cfRule type="cellIs" dxfId="13" priority="139" stopIfTrue="1" operator="equal">
      <formula>0</formula>
    </cfRule>
    <cfRule type="cellIs" dxfId="12" priority="137" stopIfTrue="1" operator="equal">
      <formula>0</formula>
    </cfRule>
  </conditionalFormatting>
  <conditionalFormatting sqref="R1020:R1031">
    <cfRule type="cellIs" dxfId="11" priority="140" stopIfTrue="1" operator="equal">
      <formula>0</formula>
    </cfRule>
  </conditionalFormatting>
  <conditionalFormatting sqref="R1021 P1023:R1023 P1025:R1025 P1027:R1027 P1029:R1029 P1031:R1031">
    <cfRule type="cellIs" dxfId="10" priority="136" stopIfTrue="1" operator="equal">
      <formula>0</formula>
    </cfRule>
  </conditionalFormatting>
  <conditionalFormatting sqref="R1040 R1042 R1044 R1046 R1048 R1050">
    <cfRule type="cellIs" dxfId="9" priority="73" stopIfTrue="1" operator="equal">
      <formula>0</formula>
    </cfRule>
    <cfRule type="cellIs" dxfId="8" priority="72" stopIfTrue="1" operator="equal">
      <formula>0</formula>
    </cfRule>
    <cfRule type="cellIs" dxfId="7" priority="74" stopIfTrue="1" operator="equal">
      <formula>0</formula>
    </cfRule>
  </conditionalFormatting>
  <conditionalFormatting sqref="R1040:R1051">
    <cfRule type="cellIs" dxfId="6" priority="75" stopIfTrue="1" operator="equal">
      <formula>0</formula>
    </cfRule>
  </conditionalFormatting>
  <conditionalFormatting sqref="R1041 P1043:R1043 P1045:R1045 P1047:R1047 P1049:R1049 P1051:R1051">
    <cfRule type="cellIs" dxfId="5" priority="71" stopIfTrue="1" operator="equal">
      <formula>0</formula>
    </cfRule>
  </conditionalFormatting>
  <conditionalFormatting sqref="R1060 R1062 R1064 R1066 R1068 R1070">
    <cfRule type="cellIs" dxfId="4" priority="11" stopIfTrue="1" operator="equal">
      <formula>0</formula>
    </cfRule>
    <cfRule type="cellIs" dxfId="3" priority="10" stopIfTrue="1" operator="equal">
      <formula>0</formula>
    </cfRule>
    <cfRule type="cellIs" dxfId="2" priority="9" stopIfTrue="1" operator="equal">
      <formula>0</formula>
    </cfRule>
  </conditionalFormatting>
  <conditionalFormatting sqref="R1060:R1071">
    <cfRule type="cellIs" dxfId="1" priority="12" stopIfTrue="1" operator="equal">
      <formula>0</formula>
    </cfRule>
  </conditionalFormatting>
  <conditionalFormatting sqref="R1061 P1063:R1063 P1065:R1065 P1067:R1067 P1069:R1069 P1071:R1071">
    <cfRule type="cellIs" dxfId="0" priority="8"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S130"/>
  <sheetViews>
    <sheetView showRowColHeaders="0" topLeftCell="A8" workbookViewId="0">
      <selection activeCell="Q29" sqref="Q29"/>
    </sheetView>
  </sheetViews>
  <sheetFormatPr defaultColWidth="8.85546875" defaultRowHeight="15" x14ac:dyDescent="0.25"/>
  <cols>
    <col min="1" max="1" width="3.7109375" style="350" customWidth="1"/>
    <col min="2" max="4" width="8.85546875" style="350"/>
    <col min="5" max="6" width="11.7109375" style="350" customWidth="1"/>
    <col min="7" max="10" width="8.85546875" style="350"/>
    <col min="11" max="11" width="10.5703125" style="350" bestFit="1" customWidth="1"/>
    <col min="12" max="12" width="10.7109375" style="350" customWidth="1"/>
    <col min="13" max="13" width="12.7109375" style="350" customWidth="1"/>
    <col min="14" max="14" width="9.42578125" style="350" customWidth="1"/>
    <col min="15" max="16384" width="8.85546875" style="350"/>
  </cols>
  <sheetData>
    <row r="3" spans="2:19" x14ac:dyDescent="0.25">
      <c r="N3" s="350" t="s">
        <v>488</v>
      </c>
    </row>
    <row r="4" spans="2:19" ht="16.5" thickBot="1" x14ac:dyDescent="0.3">
      <c r="N4" s="564" t="s">
        <v>489</v>
      </c>
      <c r="O4" s="565"/>
      <c r="P4" s="565"/>
      <c r="Q4" s="565"/>
      <c r="R4" s="565"/>
      <c r="S4" s="566"/>
    </row>
    <row r="7" spans="2:19" ht="192.6" customHeight="1" x14ac:dyDescent="0.25">
      <c r="C7" s="581" t="s">
        <v>442</v>
      </c>
      <c r="D7" s="582"/>
      <c r="E7" s="582"/>
      <c r="F7" s="582"/>
      <c r="G7" s="582"/>
      <c r="H7" s="582"/>
      <c r="I7" s="582"/>
      <c r="J7" s="582"/>
      <c r="K7" s="582"/>
      <c r="M7" s="387" t="s">
        <v>390</v>
      </c>
    </row>
    <row r="8" spans="2:19" x14ac:dyDescent="0.25">
      <c r="M8" s="387" t="s">
        <v>268</v>
      </c>
    </row>
    <row r="9" spans="2:19" ht="15.75" thickBot="1" x14ac:dyDescent="0.3">
      <c r="C9" s="569" t="s">
        <v>384</v>
      </c>
      <c r="D9" s="570"/>
      <c r="E9" s="573" t="s">
        <v>288</v>
      </c>
      <c r="F9" s="574"/>
      <c r="I9" s="350" t="s">
        <v>389</v>
      </c>
      <c r="K9" s="385" t="s">
        <v>390</v>
      </c>
      <c r="M9" s="387"/>
    </row>
    <row r="10" spans="2:19" ht="31.15" customHeight="1" thickBot="1" x14ac:dyDescent="0.3">
      <c r="C10" s="353"/>
      <c r="D10" s="353"/>
      <c r="M10" s="583" t="s">
        <v>443</v>
      </c>
      <c r="N10" s="584"/>
      <c r="O10" s="584"/>
      <c r="P10" s="584"/>
      <c r="Q10" s="584"/>
      <c r="R10" s="584"/>
      <c r="S10" s="585"/>
    </row>
    <row r="11" spans="2:19" x14ac:dyDescent="0.25">
      <c r="B11" s="381"/>
      <c r="C11" s="382"/>
      <c r="D11" s="382"/>
      <c r="E11" s="383"/>
      <c r="F11" s="600" t="s">
        <v>388</v>
      </c>
      <c r="G11" s="601"/>
      <c r="H11" s="601"/>
      <c r="I11" s="601"/>
      <c r="J11" s="602"/>
      <c r="M11" s="586"/>
      <c r="N11" s="587"/>
      <c r="O11" s="587"/>
      <c r="P11" s="587"/>
      <c r="Q11" s="587"/>
      <c r="R11" s="587"/>
      <c r="S11" s="588"/>
    </row>
    <row r="12" spans="2:19" ht="14.45" customHeight="1" x14ac:dyDescent="0.25">
      <c r="B12" s="376"/>
      <c r="C12" s="571" t="s">
        <v>383</v>
      </c>
      <c r="D12" s="572"/>
      <c r="E12" s="386"/>
      <c r="F12" s="603"/>
      <c r="G12" s="603"/>
      <c r="H12" s="603"/>
      <c r="I12" s="603"/>
      <c r="J12" s="604"/>
      <c r="M12" s="586"/>
      <c r="N12" s="587"/>
      <c r="O12" s="587"/>
      <c r="P12" s="587"/>
      <c r="Q12" s="587"/>
      <c r="R12" s="587"/>
      <c r="S12" s="588"/>
    </row>
    <row r="13" spans="2:19" ht="15.75" thickBot="1" x14ac:dyDescent="0.3">
      <c r="B13" s="377"/>
      <c r="C13" s="378"/>
      <c r="D13" s="378"/>
      <c r="E13" s="378"/>
      <c r="F13" s="605"/>
      <c r="G13" s="605"/>
      <c r="H13" s="605"/>
      <c r="I13" s="605"/>
      <c r="J13" s="606"/>
      <c r="M13" s="589"/>
      <c r="N13" s="590"/>
      <c r="O13" s="590"/>
      <c r="P13" s="590"/>
      <c r="Q13" s="590"/>
      <c r="R13" s="590"/>
      <c r="S13" s="591"/>
    </row>
    <row r="14" spans="2:19" ht="27" customHeight="1" thickBot="1" x14ac:dyDescent="0.3">
      <c r="K14" s="388">
        <f>E22</f>
        <v>36138</v>
      </c>
    </row>
    <row r="15" spans="2:19" x14ac:dyDescent="0.25">
      <c r="B15" s="594" t="s">
        <v>387</v>
      </c>
      <c r="C15" s="595"/>
      <c r="D15" s="595"/>
      <c r="E15" s="595"/>
      <c r="F15" s="595"/>
      <c r="G15" s="595"/>
      <c r="H15" s="595"/>
      <c r="I15" s="596"/>
      <c r="K15" s="388">
        <f>MAX(F22:F127)</f>
        <v>44804</v>
      </c>
    </row>
    <row r="16" spans="2:19" x14ac:dyDescent="0.25">
      <c r="B16" s="597"/>
      <c r="C16" s="598"/>
      <c r="D16" s="598"/>
      <c r="E16" s="598"/>
      <c r="F16" s="598"/>
      <c r="G16" s="598"/>
      <c r="H16" s="598"/>
      <c r="I16" s="599"/>
      <c r="K16" s="387" t="str">
        <f>CONCATENATE("Totale giorni effettivamente lavorati dal:",DAY(K14),"/",MONTH(K14),"/",YEAR(K14)," al:", DAY(K15),"/",MONTH(K15),"/",YEAR(K15), ":")</f>
        <v>Totale giorni effettivamente lavorati dal:9/12/1998 al:31/8/2022:</v>
      </c>
    </row>
    <row r="17" spans="2:14" ht="14.45" customHeight="1" x14ac:dyDescent="0.25">
      <c r="B17" s="597"/>
      <c r="C17" s="598"/>
      <c r="D17" s="598"/>
      <c r="E17" s="598"/>
      <c r="F17" s="598"/>
      <c r="G17" s="598"/>
      <c r="H17" s="598"/>
      <c r="I17" s="599"/>
    </row>
    <row r="18" spans="2:14" ht="15.75" thickBot="1" x14ac:dyDescent="0.3">
      <c r="B18" s="597"/>
      <c r="C18" s="598"/>
      <c r="D18" s="598"/>
      <c r="E18" s="598"/>
      <c r="F18" s="598"/>
      <c r="G18" s="598"/>
      <c r="H18" s="598"/>
      <c r="I18" s="599"/>
    </row>
    <row r="19" spans="2:14" x14ac:dyDescent="0.25">
      <c r="B19" s="597"/>
      <c r="C19" s="598"/>
      <c r="D19" s="598"/>
      <c r="E19" s="598"/>
      <c r="F19" s="598"/>
      <c r="G19" s="598"/>
      <c r="H19" s="598"/>
      <c r="I19" s="599"/>
      <c r="K19" s="575" t="str">
        <f>K16</f>
        <v>Totale giorni effettivamente lavorati dal:9/12/1998 al:31/8/2022:</v>
      </c>
      <c r="L19" s="576"/>
      <c r="M19" s="577"/>
      <c r="N19" s="370"/>
    </row>
    <row r="20" spans="2:14" ht="25.15" customHeight="1" x14ac:dyDescent="0.25">
      <c r="B20" s="597"/>
      <c r="C20" s="598"/>
      <c r="D20" s="598"/>
      <c r="E20" s="598"/>
      <c r="F20" s="598"/>
      <c r="G20" s="598"/>
      <c r="H20" s="598"/>
      <c r="I20" s="599"/>
      <c r="K20" s="578"/>
      <c r="L20" s="579"/>
      <c r="M20" s="580"/>
      <c r="N20" s="592">
        <f>Foglio3!K5</f>
        <v>7497</v>
      </c>
    </row>
    <row r="21" spans="2:14" x14ac:dyDescent="0.25">
      <c r="B21" s="376"/>
      <c r="E21" s="351" t="s">
        <v>105</v>
      </c>
      <c r="F21" s="351" t="s">
        <v>106</v>
      </c>
      <c r="G21" s="351" t="s">
        <v>385</v>
      </c>
      <c r="H21" s="351" t="s">
        <v>382</v>
      </c>
      <c r="I21" s="375"/>
      <c r="K21" s="578"/>
      <c r="L21" s="579"/>
      <c r="M21" s="580"/>
      <c r="N21" s="593"/>
    </row>
    <row r="22" spans="2:14" x14ac:dyDescent="0.25">
      <c r="B22" s="376"/>
      <c r="E22" s="352">
        <v>36138</v>
      </c>
      <c r="F22" s="352">
        <v>36280</v>
      </c>
      <c r="G22" s="384">
        <v>9</v>
      </c>
      <c r="H22" s="384">
        <v>18</v>
      </c>
      <c r="I22" s="375"/>
      <c r="K22" s="357" t="s">
        <v>386</v>
      </c>
      <c r="L22" s="358" t="str">
        <f>Foglio3!I6</f>
        <v>ANNI</v>
      </c>
      <c r="M22" s="354">
        <f>Foglio3!J6</f>
        <v>20</v>
      </c>
      <c r="N22" s="356"/>
    </row>
    <row r="23" spans="2:14" x14ac:dyDescent="0.25">
      <c r="B23" s="376"/>
      <c r="E23" s="352">
        <v>36281</v>
      </c>
      <c r="F23" s="352">
        <v>36321</v>
      </c>
      <c r="G23" s="384">
        <v>9</v>
      </c>
      <c r="H23" s="384">
        <v>18</v>
      </c>
      <c r="I23" s="375"/>
      <c r="K23" s="357"/>
      <c r="L23" s="358" t="str">
        <f>Foglio3!I7</f>
        <v>MESI</v>
      </c>
      <c r="M23" s="354">
        <f>Foglio3!J7</f>
        <v>6</v>
      </c>
      <c r="N23" s="356"/>
    </row>
    <row r="24" spans="2:14" ht="15.75" thickBot="1" x14ac:dyDescent="0.3">
      <c r="B24" s="376"/>
      <c r="E24" s="352">
        <v>36325</v>
      </c>
      <c r="F24" s="352">
        <v>36325</v>
      </c>
      <c r="G24" s="384">
        <v>9</v>
      </c>
      <c r="H24" s="384">
        <v>18</v>
      </c>
      <c r="I24" s="375"/>
      <c r="K24" s="359"/>
      <c r="L24" s="360" t="str">
        <f>Foglio3!I8</f>
        <v>GIORNI</v>
      </c>
      <c r="M24" s="355">
        <f>Foglio3!J8</f>
        <v>17</v>
      </c>
      <c r="N24" s="361"/>
    </row>
    <row r="25" spans="2:14" x14ac:dyDescent="0.25">
      <c r="B25" s="376"/>
      <c r="E25" s="352">
        <v>36432</v>
      </c>
      <c r="F25" s="352">
        <v>36433</v>
      </c>
      <c r="G25" s="384">
        <v>13</v>
      </c>
      <c r="H25" s="384">
        <v>18</v>
      </c>
      <c r="I25" s="375"/>
      <c r="K25" s="362"/>
      <c r="L25" s="371" t="str">
        <f>Foglio3!I9</f>
        <v>fascia</v>
      </c>
      <c r="M25" s="372" t="str">
        <f>Foglio3!J9</f>
        <v>decorrenza</v>
      </c>
      <c r="N25" s="367"/>
    </row>
    <row r="26" spans="2:14" x14ac:dyDescent="0.25">
      <c r="B26" s="376"/>
      <c r="E26" s="352">
        <v>36434</v>
      </c>
      <c r="F26" s="352">
        <v>36454</v>
      </c>
      <c r="G26" s="384">
        <v>7</v>
      </c>
      <c r="H26" s="384">
        <v>18</v>
      </c>
      <c r="I26" s="375"/>
      <c r="K26" s="363"/>
      <c r="L26" s="373" t="str">
        <f>Foglio3!I10</f>
        <v>0-2 anni</v>
      </c>
      <c r="M26" s="364" t="str">
        <f>Foglio3!J10</f>
        <v xml:space="preserve">9/12/1998
</v>
      </c>
      <c r="N26" s="368"/>
    </row>
    <row r="27" spans="2:14" x14ac:dyDescent="0.25">
      <c r="B27" s="376"/>
      <c r="E27" s="352">
        <v>36456</v>
      </c>
      <c r="F27" s="352">
        <v>36769</v>
      </c>
      <c r="G27" s="384">
        <v>18</v>
      </c>
      <c r="H27" s="384">
        <v>18</v>
      </c>
      <c r="I27" s="375"/>
      <c r="K27" s="363"/>
      <c r="L27" s="373" t="str">
        <f>Foglio3!I11</f>
        <v>3-8 anni</v>
      </c>
      <c r="M27" s="364" t="str">
        <f>Foglio3!J11</f>
        <v xml:space="preserve">4/6/2002
</v>
      </c>
      <c r="N27" s="368"/>
    </row>
    <row r="28" spans="2:14" x14ac:dyDescent="0.25">
      <c r="B28" s="376"/>
      <c r="E28" s="352">
        <v>36777</v>
      </c>
      <c r="F28" s="352">
        <v>36920</v>
      </c>
      <c r="G28" s="384">
        <v>18</v>
      </c>
      <c r="H28" s="384">
        <v>18</v>
      </c>
      <c r="I28" s="375"/>
      <c r="K28" s="363"/>
      <c r="L28" s="373" t="str">
        <f>Foglio3!I12</f>
        <v>9-14 anni</v>
      </c>
      <c r="M28" s="364" t="str">
        <f>Foglio3!J12</f>
        <v xml:space="preserve">24/12/2009
</v>
      </c>
      <c r="N28" s="368"/>
    </row>
    <row r="29" spans="2:14" x14ac:dyDescent="0.25">
      <c r="B29" s="376"/>
      <c r="E29" s="352">
        <v>36921</v>
      </c>
      <c r="F29" s="352">
        <v>37072</v>
      </c>
      <c r="G29" s="384">
        <v>18</v>
      </c>
      <c r="H29" s="384">
        <v>18</v>
      </c>
      <c r="I29" s="375"/>
      <c r="K29" s="363"/>
      <c r="L29" s="373" t="str">
        <f>Foglio3!I13</f>
        <v>15-20 anni</v>
      </c>
      <c r="M29" s="364" t="str">
        <f>Foglio3!J13</f>
        <v xml:space="preserve">16/2/2017
</v>
      </c>
      <c r="N29" s="368"/>
    </row>
    <row r="30" spans="2:14" x14ac:dyDescent="0.25">
      <c r="B30" s="376"/>
      <c r="E30" s="352">
        <v>37135</v>
      </c>
      <c r="F30" s="352">
        <v>37437</v>
      </c>
      <c r="G30" s="384">
        <v>8</v>
      </c>
      <c r="H30" s="384">
        <v>18</v>
      </c>
      <c r="I30" s="375"/>
      <c r="K30" s="363"/>
      <c r="L30" s="373" t="str">
        <f>Foglio3!I14</f>
        <v>21-27 anni</v>
      </c>
      <c r="M30" s="364" t="str">
        <f>Foglio3!J14</f>
        <v/>
      </c>
      <c r="N30" s="368"/>
    </row>
    <row r="31" spans="2:14" x14ac:dyDescent="0.25">
      <c r="B31" s="376"/>
      <c r="E31" s="352">
        <v>37167</v>
      </c>
      <c r="F31" s="352">
        <v>37200</v>
      </c>
      <c r="G31" s="384">
        <v>5</v>
      </c>
      <c r="H31" s="384">
        <v>18</v>
      </c>
      <c r="I31" s="375"/>
      <c r="K31" s="363"/>
      <c r="L31" s="373" t="str">
        <f>Foglio3!I15</f>
        <v>28-34 anni</v>
      </c>
      <c r="M31" s="364" t="str">
        <f>Foglio3!J15</f>
        <v/>
      </c>
      <c r="N31" s="368"/>
    </row>
    <row r="32" spans="2:14" ht="15.75" thickBot="1" x14ac:dyDescent="0.3">
      <c r="B32" s="376"/>
      <c r="E32" s="352">
        <v>37167</v>
      </c>
      <c r="F32" s="352">
        <v>37200</v>
      </c>
      <c r="G32" s="384">
        <v>5</v>
      </c>
      <c r="H32" s="384">
        <v>18</v>
      </c>
      <c r="I32" s="375"/>
      <c r="K32" s="365"/>
      <c r="L32" s="374" t="str">
        <f>Foglio3!I16</f>
        <v>35 anni</v>
      </c>
      <c r="M32" s="366" t="str">
        <f>Foglio3!J16</f>
        <v/>
      </c>
      <c r="N32" s="369"/>
    </row>
    <row r="33" spans="2:12" x14ac:dyDescent="0.25">
      <c r="B33" s="376"/>
      <c r="E33" s="352">
        <v>37201</v>
      </c>
      <c r="F33" s="352">
        <v>37437</v>
      </c>
      <c r="G33" s="384">
        <v>4</v>
      </c>
      <c r="H33" s="384">
        <v>18</v>
      </c>
      <c r="I33" s="375"/>
    </row>
    <row r="34" spans="2:12" x14ac:dyDescent="0.25">
      <c r="B34" s="376"/>
      <c r="E34" s="352">
        <v>37202</v>
      </c>
      <c r="F34" s="352">
        <v>37282</v>
      </c>
      <c r="G34" s="384">
        <v>6</v>
      </c>
      <c r="H34" s="384">
        <v>18</v>
      </c>
      <c r="I34" s="375"/>
    </row>
    <row r="35" spans="2:12" x14ac:dyDescent="0.25">
      <c r="B35" s="376"/>
      <c r="E35" s="352">
        <v>37284</v>
      </c>
      <c r="F35" s="352">
        <v>37437</v>
      </c>
      <c r="G35" s="384">
        <v>5</v>
      </c>
      <c r="H35" s="384">
        <v>18</v>
      </c>
      <c r="I35" s="375"/>
    </row>
    <row r="36" spans="2:12" x14ac:dyDescent="0.25">
      <c r="B36" s="376"/>
      <c r="E36" s="352">
        <v>37537</v>
      </c>
      <c r="F36" s="352">
        <v>37551</v>
      </c>
      <c r="G36" s="384">
        <v>6</v>
      </c>
      <c r="H36" s="384">
        <v>18</v>
      </c>
      <c r="I36" s="375"/>
    </row>
    <row r="37" spans="2:12" x14ac:dyDescent="0.25">
      <c r="B37" s="376"/>
      <c r="E37" s="352">
        <v>37540</v>
      </c>
      <c r="F37" s="352">
        <v>37574</v>
      </c>
      <c r="G37" s="384">
        <v>8</v>
      </c>
      <c r="H37" s="384">
        <v>18</v>
      </c>
      <c r="I37" s="375"/>
    </row>
    <row r="38" spans="2:12" x14ac:dyDescent="0.25">
      <c r="B38" s="376"/>
      <c r="E38" s="352">
        <v>37629</v>
      </c>
      <c r="F38" s="352">
        <v>37663</v>
      </c>
      <c r="G38" s="384">
        <v>16</v>
      </c>
      <c r="H38" s="384">
        <v>18</v>
      </c>
      <c r="I38" s="375"/>
      <c r="K38" s="350" t="s">
        <v>393</v>
      </c>
    </row>
    <row r="39" spans="2:12" x14ac:dyDescent="0.25">
      <c r="B39" s="376"/>
      <c r="E39" s="352">
        <v>37644</v>
      </c>
      <c r="F39" s="352">
        <v>37783</v>
      </c>
      <c r="G39" s="384">
        <v>2</v>
      </c>
      <c r="H39" s="384">
        <v>18</v>
      </c>
      <c r="I39" s="375"/>
    </row>
    <row r="40" spans="2:12" ht="15.75" x14ac:dyDescent="0.25">
      <c r="B40" s="376"/>
      <c r="E40" s="352">
        <v>37673</v>
      </c>
      <c r="F40" s="352">
        <v>37786</v>
      </c>
      <c r="G40" s="384">
        <v>16</v>
      </c>
      <c r="H40" s="384">
        <v>18</v>
      </c>
      <c r="I40" s="375"/>
      <c r="K40" s="567" t="s">
        <v>394</v>
      </c>
      <c r="L40" s="568"/>
    </row>
    <row r="41" spans="2:12" x14ac:dyDescent="0.25">
      <c r="B41" s="376"/>
      <c r="E41" s="352">
        <v>37865</v>
      </c>
      <c r="F41" s="352">
        <v>38168</v>
      </c>
      <c r="G41" s="384">
        <v>18</v>
      </c>
      <c r="H41" s="384">
        <v>18</v>
      </c>
      <c r="I41" s="375"/>
    </row>
    <row r="42" spans="2:12" x14ac:dyDescent="0.25">
      <c r="B42" s="376"/>
      <c r="E42" s="352">
        <v>38231</v>
      </c>
      <c r="F42" s="352">
        <v>38551</v>
      </c>
      <c r="G42" s="384">
        <v>18</v>
      </c>
      <c r="H42" s="384">
        <v>18</v>
      </c>
      <c r="I42" s="375"/>
    </row>
    <row r="43" spans="2:12" x14ac:dyDescent="0.25">
      <c r="B43" s="376"/>
      <c r="E43" s="352">
        <v>38596</v>
      </c>
      <c r="F43" s="352">
        <v>38919</v>
      </c>
      <c r="G43" s="384">
        <v>18</v>
      </c>
      <c r="H43" s="384">
        <v>18</v>
      </c>
      <c r="I43" s="375"/>
    </row>
    <row r="44" spans="2:12" x14ac:dyDescent="0.25">
      <c r="B44" s="376"/>
      <c r="E44" s="352">
        <v>38961</v>
      </c>
      <c r="F44" s="352">
        <v>39277</v>
      </c>
      <c r="G44" s="384">
        <v>18</v>
      </c>
      <c r="H44" s="384">
        <v>18</v>
      </c>
      <c r="I44" s="375"/>
    </row>
    <row r="45" spans="2:12" x14ac:dyDescent="0.25">
      <c r="B45" s="376"/>
      <c r="E45" s="352">
        <v>39338</v>
      </c>
      <c r="F45" s="352">
        <v>39629</v>
      </c>
      <c r="G45" s="384">
        <v>18</v>
      </c>
      <c r="H45" s="384">
        <v>18</v>
      </c>
      <c r="I45" s="375"/>
    </row>
    <row r="46" spans="2:12" x14ac:dyDescent="0.25">
      <c r="B46" s="376"/>
      <c r="E46" s="352">
        <v>39692</v>
      </c>
      <c r="F46" s="352">
        <v>39994</v>
      </c>
      <c r="G46" s="384">
        <v>18</v>
      </c>
      <c r="H46" s="384">
        <v>18</v>
      </c>
      <c r="I46" s="375"/>
    </row>
    <row r="47" spans="2:12" x14ac:dyDescent="0.25">
      <c r="B47" s="376"/>
      <c r="E47" s="352">
        <v>40063</v>
      </c>
      <c r="F47" s="352">
        <v>40063</v>
      </c>
      <c r="G47" s="384">
        <v>18</v>
      </c>
      <c r="H47" s="384">
        <v>18</v>
      </c>
      <c r="I47" s="375"/>
    </row>
    <row r="48" spans="2:12" x14ac:dyDescent="0.25">
      <c r="B48" s="376"/>
      <c r="E48" s="352">
        <v>40066</v>
      </c>
      <c r="F48" s="352">
        <v>40421</v>
      </c>
      <c r="G48" s="384">
        <v>18</v>
      </c>
      <c r="H48" s="384">
        <v>18</v>
      </c>
      <c r="I48" s="375"/>
    </row>
    <row r="49" spans="2:9" x14ac:dyDescent="0.25">
      <c r="B49" s="376"/>
      <c r="E49" s="352">
        <v>40430</v>
      </c>
      <c r="F49" s="352">
        <v>40739</v>
      </c>
      <c r="G49" s="384">
        <v>7</v>
      </c>
      <c r="H49" s="384">
        <v>18</v>
      </c>
      <c r="I49" s="375"/>
    </row>
    <row r="50" spans="2:9" x14ac:dyDescent="0.25">
      <c r="B50" s="376"/>
      <c r="E50" s="352">
        <v>40431</v>
      </c>
      <c r="F50" s="352">
        <v>40739</v>
      </c>
      <c r="G50" s="384">
        <v>9</v>
      </c>
      <c r="H50" s="384">
        <v>18</v>
      </c>
      <c r="I50" s="375"/>
    </row>
    <row r="51" spans="2:9" x14ac:dyDescent="0.25">
      <c r="B51" s="376"/>
      <c r="E51" s="352">
        <v>40802</v>
      </c>
      <c r="F51" s="352">
        <v>41090</v>
      </c>
      <c r="G51" s="384">
        <v>18</v>
      </c>
      <c r="H51" s="384">
        <v>18</v>
      </c>
      <c r="I51" s="375"/>
    </row>
    <row r="52" spans="2:9" x14ac:dyDescent="0.25">
      <c r="B52" s="376"/>
      <c r="E52" s="352">
        <v>41171</v>
      </c>
      <c r="F52" s="352">
        <v>41471</v>
      </c>
      <c r="G52" s="384">
        <v>7</v>
      </c>
      <c r="H52" s="384">
        <v>18</v>
      </c>
      <c r="I52" s="375"/>
    </row>
    <row r="53" spans="2:9" x14ac:dyDescent="0.25">
      <c r="B53" s="376"/>
      <c r="E53" s="352">
        <v>41178</v>
      </c>
      <c r="F53" s="352">
        <v>41471</v>
      </c>
      <c r="G53" s="384">
        <v>5</v>
      </c>
      <c r="H53" s="384">
        <v>18</v>
      </c>
      <c r="I53" s="375"/>
    </row>
    <row r="54" spans="2:9" x14ac:dyDescent="0.25">
      <c r="B54" s="376"/>
      <c r="E54" s="352">
        <v>41184</v>
      </c>
      <c r="F54" s="352">
        <v>41196</v>
      </c>
      <c r="G54" s="384">
        <v>6</v>
      </c>
      <c r="H54" s="384">
        <v>18</v>
      </c>
      <c r="I54" s="375"/>
    </row>
    <row r="55" spans="2:9" x14ac:dyDescent="0.25">
      <c r="B55" s="376"/>
      <c r="E55" s="352">
        <v>41197</v>
      </c>
      <c r="F55" s="352">
        <v>41239</v>
      </c>
      <c r="G55" s="384">
        <v>6</v>
      </c>
      <c r="H55" s="384">
        <v>18</v>
      </c>
      <c r="I55" s="375"/>
    </row>
    <row r="56" spans="2:9" x14ac:dyDescent="0.25">
      <c r="B56" s="376"/>
      <c r="E56" s="352">
        <v>41240</v>
      </c>
      <c r="F56" s="352">
        <v>41471</v>
      </c>
      <c r="G56" s="384">
        <v>6</v>
      </c>
      <c r="H56" s="384">
        <v>18</v>
      </c>
      <c r="I56" s="375"/>
    </row>
    <row r="57" spans="2:9" x14ac:dyDescent="0.25">
      <c r="B57" s="376"/>
      <c r="E57" s="352">
        <v>41530</v>
      </c>
      <c r="F57" s="352">
        <v>41882</v>
      </c>
      <c r="G57" s="384">
        <v>18</v>
      </c>
      <c r="H57" s="384">
        <v>18</v>
      </c>
      <c r="I57" s="375"/>
    </row>
    <row r="58" spans="2:9" x14ac:dyDescent="0.25">
      <c r="B58" s="376"/>
      <c r="E58" s="352">
        <v>41915</v>
      </c>
      <c r="F58" s="352">
        <v>42185</v>
      </c>
      <c r="G58" s="384">
        <v>18</v>
      </c>
      <c r="H58" s="384">
        <v>18</v>
      </c>
      <c r="I58" s="375"/>
    </row>
    <row r="59" spans="2:9" x14ac:dyDescent="0.25">
      <c r="B59" s="376"/>
      <c r="E59" s="352">
        <v>42248</v>
      </c>
      <c r="F59" s="352">
        <v>42613</v>
      </c>
      <c r="G59" s="384">
        <v>18</v>
      </c>
      <c r="H59" s="384">
        <v>18</v>
      </c>
      <c r="I59" s="375"/>
    </row>
    <row r="60" spans="2:9" x14ac:dyDescent="0.25">
      <c r="B60" s="376"/>
      <c r="E60" s="352">
        <v>42614</v>
      </c>
      <c r="F60" s="352">
        <v>42978</v>
      </c>
      <c r="G60" s="384">
        <v>18</v>
      </c>
      <c r="H60" s="384">
        <v>18</v>
      </c>
      <c r="I60" s="375"/>
    </row>
    <row r="61" spans="2:9" x14ac:dyDescent="0.25">
      <c r="B61" s="376"/>
      <c r="E61" s="352">
        <v>42979</v>
      </c>
      <c r="F61" s="352">
        <v>43343</v>
      </c>
      <c r="G61" s="384">
        <v>18</v>
      </c>
      <c r="H61" s="384">
        <v>18</v>
      </c>
      <c r="I61" s="375"/>
    </row>
    <row r="62" spans="2:9" x14ac:dyDescent="0.25">
      <c r="B62" s="376"/>
      <c r="E62" s="352">
        <v>43344</v>
      </c>
      <c r="F62" s="352">
        <v>43708</v>
      </c>
      <c r="G62" s="384">
        <v>18</v>
      </c>
      <c r="H62" s="384">
        <v>18</v>
      </c>
      <c r="I62" s="375"/>
    </row>
    <row r="63" spans="2:9" x14ac:dyDescent="0.25">
      <c r="B63" s="376"/>
      <c r="E63" s="352">
        <v>43709</v>
      </c>
      <c r="F63" s="352">
        <v>44074</v>
      </c>
      <c r="G63" s="384">
        <v>18</v>
      </c>
      <c r="H63" s="384">
        <v>18</v>
      </c>
      <c r="I63" s="375"/>
    </row>
    <row r="64" spans="2:9" x14ac:dyDescent="0.25">
      <c r="B64" s="376"/>
      <c r="E64" s="352">
        <v>44075</v>
      </c>
      <c r="F64" s="352">
        <v>44439</v>
      </c>
      <c r="G64" s="384">
        <v>18</v>
      </c>
      <c r="H64" s="384">
        <v>18</v>
      </c>
      <c r="I64" s="375"/>
    </row>
    <row r="65" spans="2:9" x14ac:dyDescent="0.25">
      <c r="B65" s="376"/>
      <c r="E65" s="352">
        <v>44440</v>
      </c>
      <c r="F65" s="352">
        <v>44804</v>
      </c>
      <c r="G65" s="384">
        <v>18</v>
      </c>
      <c r="H65" s="384">
        <v>18</v>
      </c>
      <c r="I65" s="375"/>
    </row>
    <row r="66" spans="2:9" x14ac:dyDescent="0.25">
      <c r="B66" s="376"/>
      <c r="E66" s="352"/>
      <c r="F66" s="352"/>
      <c r="G66" s="384"/>
      <c r="H66" s="384"/>
      <c r="I66" s="375"/>
    </row>
    <row r="67" spans="2:9" x14ac:dyDescent="0.25">
      <c r="B67" s="376"/>
      <c r="E67" s="352"/>
      <c r="F67" s="352"/>
      <c r="G67" s="384"/>
      <c r="H67" s="384"/>
      <c r="I67" s="375"/>
    </row>
    <row r="68" spans="2:9" x14ac:dyDescent="0.25">
      <c r="B68" s="376"/>
      <c r="E68" s="352"/>
      <c r="F68" s="352"/>
      <c r="G68" s="384"/>
      <c r="H68" s="384"/>
      <c r="I68" s="375"/>
    </row>
    <row r="69" spans="2:9" x14ac:dyDescent="0.25">
      <c r="B69" s="376"/>
      <c r="E69" s="352"/>
      <c r="F69" s="352"/>
      <c r="G69" s="384"/>
      <c r="H69" s="384"/>
      <c r="I69" s="375"/>
    </row>
    <row r="70" spans="2:9" x14ac:dyDescent="0.25">
      <c r="B70" s="376"/>
      <c r="E70" s="352"/>
      <c r="F70" s="352"/>
      <c r="G70" s="384"/>
      <c r="H70" s="384"/>
      <c r="I70" s="375"/>
    </row>
    <row r="71" spans="2:9" x14ac:dyDescent="0.25">
      <c r="B71" s="376"/>
      <c r="E71" s="352"/>
      <c r="F71" s="352"/>
      <c r="G71" s="384"/>
      <c r="H71" s="384"/>
      <c r="I71" s="375"/>
    </row>
    <row r="72" spans="2:9" x14ac:dyDescent="0.25">
      <c r="B72" s="376"/>
      <c r="E72" s="352"/>
      <c r="F72" s="352"/>
      <c r="G72" s="384"/>
      <c r="H72" s="384"/>
      <c r="I72" s="375"/>
    </row>
    <row r="73" spans="2:9" x14ac:dyDescent="0.25">
      <c r="B73" s="376"/>
      <c r="E73" s="352"/>
      <c r="F73" s="352"/>
      <c r="G73" s="384"/>
      <c r="H73" s="384"/>
      <c r="I73" s="375"/>
    </row>
    <row r="74" spans="2:9" x14ac:dyDescent="0.25">
      <c r="B74" s="376"/>
      <c r="E74" s="352"/>
      <c r="F74" s="352"/>
      <c r="G74" s="384"/>
      <c r="H74" s="384"/>
      <c r="I74" s="375"/>
    </row>
    <row r="75" spans="2:9" x14ac:dyDescent="0.25">
      <c r="B75" s="376"/>
      <c r="E75" s="352"/>
      <c r="F75" s="352"/>
      <c r="G75" s="384"/>
      <c r="H75" s="384"/>
      <c r="I75" s="375"/>
    </row>
    <row r="76" spans="2:9" x14ac:dyDescent="0.25">
      <c r="B76" s="376"/>
      <c r="E76" s="352"/>
      <c r="F76" s="352"/>
      <c r="G76" s="384"/>
      <c r="H76" s="384"/>
      <c r="I76" s="375"/>
    </row>
    <row r="77" spans="2:9" x14ac:dyDescent="0.25">
      <c r="B77" s="376"/>
      <c r="E77" s="352"/>
      <c r="F77" s="352"/>
      <c r="G77" s="384"/>
      <c r="H77" s="384"/>
      <c r="I77" s="375"/>
    </row>
    <row r="78" spans="2:9" x14ac:dyDescent="0.25">
      <c r="B78" s="376"/>
      <c r="E78" s="352"/>
      <c r="F78" s="352"/>
      <c r="G78" s="384"/>
      <c r="H78" s="384"/>
      <c r="I78" s="375"/>
    </row>
    <row r="79" spans="2:9" x14ac:dyDescent="0.25">
      <c r="B79" s="376"/>
      <c r="E79" s="352"/>
      <c r="F79" s="352"/>
      <c r="G79" s="384"/>
      <c r="H79" s="384"/>
      <c r="I79" s="375"/>
    </row>
    <row r="80" spans="2:9" x14ac:dyDescent="0.25">
      <c r="B80" s="376"/>
      <c r="E80" s="352"/>
      <c r="F80" s="352"/>
      <c r="G80" s="384"/>
      <c r="H80" s="384"/>
      <c r="I80" s="375"/>
    </row>
    <row r="81" spans="2:9" x14ac:dyDescent="0.25">
      <c r="B81" s="376"/>
      <c r="E81" s="352"/>
      <c r="F81" s="352"/>
      <c r="G81" s="384"/>
      <c r="H81" s="384"/>
      <c r="I81" s="375"/>
    </row>
    <row r="82" spans="2:9" x14ac:dyDescent="0.25">
      <c r="B82" s="376"/>
      <c r="E82" s="352"/>
      <c r="F82" s="352"/>
      <c r="G82" s="384"/>
      <c r="H82" s="384"/>
      <c r="I82" s="375"/>
    </row>
    <row r="83" spans="2:9" x14ac:dyDescent="0.25">
      <c r="B83" s="376"/>
      <c r="E83" s="352"/>
      <c r="F83" s="352"/>
      <c r="G83" s="384"/>
      <c r="H83" s="384"/>
      <c r="I83" s="375"/>
    </row>
    <row r="84" spans="2:9" x14ac:dyDescent="0.25">
      <c r="B84" s="376"/>
      <c r="E84" s="352"/>
      <c r="F84" s="352"/>
      <c r="G84" s="384"/>
      <c r="H84" s="384"/>
      <c r="I84" s="375"/>
    </row>
    <row r="85" spans="2:9" x14ac:dyDescent="0.25">
      <c r="B85" s="376"/>
      <c r="E85" s="352"/>
      <c r="F85" s="352"/>
      <c r="G85" s="384"/>
      <c r="H85" s="384"/>
      <c r="I85" s="375"/>
    </row>
    <row r="86" spans="2:9" x14ac:dyDescent="0.25">
      <c r="B86" s="376"/>
      <c r="E86" s="352"/>
      <c r="F86" s="352"/>
      <c r="G86" s="384"/>
      <c r="H86" s="384"/>
      <c r="I86" s="375"/>
    </row>
    <row r="87" spans="2:9" x14ac:dyDescent="0.25">
      <c r="B87" s="376"/>
      <c r="E87" s="352"/>
      <c r="F87" s="352"/>
      <c r="G87" s="384"/>
      <c r="H87" s="384"/>
      <c r="I87" s="375"/>
    </row>
    <row r="88" spans="2:9" x14ac:dyDescent="0.25">
      <c r="B88" s="376"/>
      <c r="E88" s="352"/>
      <c r="F88" s="352"/>
      <c r="G88" s="384"/>
      <c r="H88" s="384"/>
      <c r="I88" s="375"/>
    </row>
    <row r="89" spans="2:9" x14ac:dyDescent="0.25">
      <c r="B89" s="376"/>
      <c r="E89" s="352"/>
      <c r="F89" s="352"/>
      <c r="G89" s="384"/>
      <c r="H89" s="384"/>
      <c r="I89" s="375"/>
    </row>
    <row r="90" spans="2:9" x14ac:dyDescent="0.25">
      <c r="B90" s="376"/>
      <c r="E90" s="352"/>
      <c r="F90" s="352"/>
      <c r="G90" s="384"/>
      <c r="H90" s="384"/>
      <c r="I90" s="375"/>
    </row>
    <row r="91" spans="2:9" x14ac:dyDescent="0.25">
      <c r="B91" s="376"/>
      <c r="E91" s="352"/>
      <c r="F91" s="352"/>
      <c r="G91" s="384"/>
      <c r="H91" s="384"/>
      <c r="I91" s="375"/>
    </row>
    <row r="92" spans="2:9" x14ac:dyDescent="0.25">
      <c r="B92" s="376"/>
      <c r="E92" s="352"/>
      <c r="F92" s="352"/>
      <c r="G92" s="384"/>
      <c r="H92" s="384"/>
      <c r="I92" s="375"/>
    </row>
    <row r="93" spans="2:9" x14ac:dyDescent="0.25">
      <c r="B93" s="376"/>
      <c r="E93" s="352"/>
      <c r="F93" s="352"/>
      <c r="G93" s="384"/>
      <c r="H93" s="384"/>
      <c r="I93" s="375"/>
    </row>
    <row r="94" spans="2:9" x14ac:dyDescent="0.25">
      <c r="B94" s="376"/>
      <c r="E94" s="352"/>
      <c r="F94" s="352"/>
      <c r="G94" s="384"/>
      <c r="H94" s="384"/>
      <c r="I94" s="375"/>
    </row>
    <row r="95" spans="2:9" x14ac:dyDescent="0.25">
      <c r="B95" s="376"/>
      <c r="E95" s="352"/>
      <c r="F95" s="352"/>
      <c r="G95" s="384"/>
      <c r="H95" s="384"/>
      <c r="I95" s="375"/>
    </row>
    <row r="96" spans="2:9" x14ac:dyDescent="0.25">
      <c r="B96" s="376"/>
      <c r="E96" s="352"/>
      <c r="F96" s="352"/>
      <c r="G96" s="384"/>
      <c r="H96" s="384"/>
      <c r="I96" s="375"/>
    </row>
    <row r="97" spans="2:9" x14ac:dyDescent="0.25">
      <c r="B97" s="376"/>
      <c r="E97" s="352"/>
      <c r="F97" s="352"/>
      <c r="G97" s="384"/>
      <c r="H97" s="384"/>
      <c r="I97" s="375"/>
    </row>
    <row r="98" spans="2:9" x14ac:dyDescent="0.25">
      <c r="B98" s="376"/>
      <c r="E98" s="352"/>
      <c r="F98" s="352"/>
      <c r="G98" s="384"/>
      <c r="H98" s="384"/>
      <c r="I98" s="375"/>
    </row>
    <row r="99" spans="2:9" x14ac:dyDescent="0.25">
      <c r="B99" s="376"/>
      <c r="E99" s="352"/>
      <c r="F99" s="352"/>
      <c r="G99" s="384"/>
      <c r="H99" s="384"/>
      <c r="I99" s="375"/>
    </row>
    <row r="100" spans="2:9" x14ac:dyDescent="0.25">
      <c r="B100" s="376"/>
      <c r="E100" s="352"/>
      <c r="F100" s="352"/>
      <c r="G100" s="384"/>
      <c r="H100" s="384"/>
      <c r="I100" s="375"/>
    </row>
    <row r="101" spans="2:9" x14ac:dyDescent="0.25">
      <c r="B101" s="376"/>
      <c r="E101" s="352"/>
      <c r="F101" s="352"/>
      <c r="G101" s="384"/>
      <c r="H101" s="384"/>
      <c r="I101" s="375"/>
    </row>
    <row r="102" spans="2:9" x14ac:dyDescent="0.25">
      <c r="B102" s="376"/>
      <c r="E102" s="352"/>
      <c r="F102" s="352"/>
      <c r="G102" s="384"/>
      <c r="H102" s="384"/>
      <c r="I102" s="375"/>
    </row>
    <row r="103" spans="2:9" x14ac:dyDescent="0.25">
      <c r="B103" s="376"/>
      <c r="E103" s="352"/>
      <c r="F103" s="352"/>
      <c r="G103" s="384"/>
      <c r="H103" s="384"/>
      <c r="I103" s="375"/>
    </row>
    <row r="104" spans="2:9" x14ac:dyDescent="0.25">
      <c r="B104" s="376"/>
      <c r="E104" s="352"/>
      <c r="F104" s="352"/>
      <c r="G104" s="384"/>
      <c r="H104" s="384"/>
      <c r="I104" s="375"/>
    </row>
    <row r="105" spans="2:9" x14ac:dyDescent="0.25">
      <c r="B105" s="376"/>
      <c r="E105" s="352"/>
      <c r="F105" s="352"/>
      <c r="G105" s="384"/>
      <c r="H105" s="384"/>
      <c r="I105" s="375"/>
    </row>
    <row r="106" spans="2:9" x14ac:dyDescent="0.25">
      <c r="B106" s="376"/>
      <c r="E106" s="352"/>
      <c r="F106" s="352"/>
      <c r="G106" s="384"/>
      <c r="H106" s="384"/>
      <c r="I106" s="375"/>
    </row>
    <row r="107" spans="2:9" x14ac:dyDescent="0.25">
      <c r="B107" s="376"/>
      <c r="E107" s="352"/>
      <c r="F107" s="352"/>
      <c r="G107" s="384"/>
      <c r="H107" s="384"/>
      <c r="I107" s="375"/>
    </row>
    <row r="108" spans="2:9" x14ac:dyDescent="0.25">
      <c r="B108" s="376"/>
      <c r="E108" s="352"/>
      <c r="F108" s="352"/>
      <c r="G108" s="384"/>
      <c r="H108" s="384"/>
      <c r="I108" s="375"/>
    </row>
    <row r="109" spans="2:9" x14ac:dyDescent="0.25">
      <c r="B109" s="376"/>
      <c r="E109" s="352"/>
      <c r="F109" s="352"/>
      <c r="G109" s="384"/>
      <c r="H109" s="384"/>
      <c r="I109" s="375"/>
    </row>
    <row r="110" spans="2:9" x14ac:dyDescent="0.25">
      <c r="B110" s="376"/>
      <c r="E110" s="352"/>
      <c r="F110" s="352"/>
      <c r="G110" s="384"/>
      <c r="H110" s="384"/>
      <c r="I110" s="375"/>
    </row>
    <row r="111" spans="2:9" x14ac:dyDescent="0.25">
      <c r="B111" s="376"/>
      <c r="E111" s="352"/>
      <c r="F111" s="352"/>
      <c r="G111" s="384"/>
      <c r="H111" s="384"/>
      <c r="I111" s="375"/>
    </row>
    <row r="112" spans="2:9" x14ac:dyDescent="0.25">
      <c r="B112" s="376"/>
      <c r="E112" s="352"/>
      <c r="F112" s="352"/>
      <c r="G112" s="384"/>
      <c r="H112" s="384"/>
      <c r="I112" s="375"/>
    </row>
    <row r="113" spans="2:9" x14ac:dyDescent="0.25">
      <c r="B113" s="376"/>
      <c r="E113" s="352"/>
      <c r="F113" s="352"/>
      <c r="G113" s="384"/>
      <c r="H113" s="384"/>
      <c r="I113" s="375"/>
    </row>
    <row r="114" spans="2:9" x14ac:dyDescent="0.25">
      <c r="B114" s="376"/>
      <c r="E114" s="352"/>
      <c r="F114" s="352"/>
      <c r="G114" s="384"/>
      <c r="H114" s="384"/>
      <c r="I114" s="375"/>
    </row>
    <row r="115" spans="2:9" x14ac:dyDescent="0.25">
      <c r="B115" s="376"/>
      <c r="E115" s="352"/>
      <c r="F115" s="352"/>
      <c r="G115" s="384"/>
      <c r="H115" s="384"/>
      <c r="I115" s="375"/>
    </row>
    <row r="116" spans="2:9" x14ac:dyDescent="0.25">
      <c r="B116" s="376"/>
      <c r="E116" s="352"/>
      <c r="F116" s="352"/>
      <c r="G116" s="384"/>
      <c r="H116" s="384"/>
      <c r="I116" s="375"/>
    </row>
    <row r="117" spans="2:9" x14ac:dyDescent="0.25">
      <c r="B117" s="376"/>
      <c r="E117" s="352"/>
      <c r="F117" s="352"/>
      <c r="G117" s="384"/>
      <c r="H117" s="384"/>
      <c r="I117" s="375"/>
    </row>
    <row r="118" spans="2:9" x14ac:dyDescent="0.25">
      <c r="B118" s="376"/>
      <c r="E118" s="352"/>
      <c r="F118" s="352"/>
      <c r="G118" s="384"/>
      <c r="H118" s="384"/>
      <c r="I118" s="375"/>
    </row>
    <row r="119" spans="2:9" x14ac:dyDescent="0.25">
      <c r="B119" s="376"/>
      <c r="E119" s="352"/>
      <c r="F119" s="352"/>
      <c r="G119" s="384"/>
      <c r="H119" s="384"/>
      <c r="I119" s="375"/>
    </row>
    <row r="120" spans="2:9" x14ac:dyDescent="0.25">
      <c r="B120" s="376"/>
      <c r="E120" s="352"/>
      <c r="F120" s="352"/>
      <c r="G120" s="384"/>
      <c r="H120" s="384"/>
      <c r="I120" s="375"/>
    </row>
    <row r="121" spans="2:9" x14ac:dyDescent="0.25">
      <c r="B121" s="376"/>
      <c r="E121" s="352"/>
      <c r="F121" s="352"/>
      <c r="G121" s="384"/>
      <c r="H121" s="384"/>
      <c r="I121" s="375"/>
    </row>
    <row r="122" spans="2:9" x14ac:dyDescent="0.25">
      <c r="B122" s="376"/>
      <c r="E122" s="352"/>
      <c r="F122" s="352"/>
      <c r="G122" s="384"/>
      <c r="H122" s="384"/>
      <c r="I122" s="375"/>
    </row>
    <row r="123" spans="2:9" x14ac:dyDescent="0.25">
      <c r="B123" s="376"/>
      <c r="E123" s="352"/>
      <c r="F123" s="352"/>
      <c r="G123" s="384"/>
      <c r="H123" s="384"/>
      <c r="I123" s="375"/>
    </row>
    <row r="124" spans="2:9" x14ac:dyDescent="0.25">
      <c r="B124" s="376"/>
      <c r="E124" s="352"/>
      <c r="F124" s="352"/>
      <c r="G124" s="384"/>
      <c r="H124" s="384"/>
      <c r="I124" s="375"/>
    </row>
    <row r="125" spans="2:9" x14ac:dyDescent="0.25">
      <c r="B125" s="376"/>
      <c r="E125" s="352"/>
      <c r="F125" s="352"/>
      <c r="G125" s="384"/>
      <c r="H125" s="384"/>
      <c r="I125" s="375"/>
    </row>
    <row r="126" spans="2:9" x14ac:dyDescent="0.25">
      <c r="B126" s="376"/>
      <c r="E126" s="352"/>
      <c r="F126" s="352"/>
      <c r="G126" s="384"/>
      <c r="H126" s="384"/>
      <c r="I126" s="375"/>
    </row>
    <row r="127" spans="2:9" x14ac:dyDescent="0.25">
      <c r="B127" s="376"/>
      <c r="E127" s="352"/>
      <c r="F127" s="352"/>
      <c r="G127" s="384"/>
      <c r="H127" s="384"/>
      <c r="I127" s="375"/>
    </row>
    <row r="128" spans="2:9" x14ac:dyDescent="0.25">
      <c r="B128" s="376"/>
      <c r="I128" s="375"/>
    </row>
    <row r="129" spans="2:9" x14ac:dyDescent="0.25">
      <c r="B129" s="376"/>
      <c r="I129" s="375"/>
    </row>
    <row r="130" spans="2:9" ht="15.75" thickBot="1" x14ac:dyDescent="0.3">
      <c r="B130" s="377"/>
      <c r="C130" s="378"/>
      <c r="D130" s="378"/>
      <c r="E130" s="378"/>
      <c r="F130" s="378"/>
      <c r="G130" s="378"/>
      <c r="H130" s="378"/>
      <c r="I130" s="379"/>
    </row>
  </sheetData>
  <sheetProtection sheet="1" objects="1" scenarios="1"/>
  <mergeCells count="11">
    <mergeCell ref="N4:S4"/>
    <mergeCell ref="K40:L40"/>
    <mergeCell ref="C9:D9"/>
    <mergeCell ref="C12:D12"/>
    <mergeCell ref="E9:F9"/>
    <mergeCell ref="K19:M21"/>
    <mergeCell ref="C7:K7"/>
    <mergeCell ref="M10:S13"/>
    <mergeCell ref="N20:N21"/>
    <mergeCell ref="B15:I20"/>
    <mergeCell ref="F11:J13"/>
  </mergeCells>
  <dataValidations count="1">
    <dataValidation type="list" allowBlank="1" showInputMessage="1" showErrorMessage="1" sqref="K9" xr:uid="{00000000-0002-0000-0700-000000000000}">
      <formula1>$M$7:$M$8</formula1>
    </dataValidation>
  </dataValidations>
  <hyperlinks>
    <hyperlink ref="K40:L40" location="decreto!A1" display="VAI AL DECRETO" xr:uid="{00000000-0004-0000-0700-000000000000}"/>
    <hyperlink ref="M10:S13" location="frontti!A1" display="Per calcolare la progressione spettante durante i periodi di ruolo - ovvero per calcolare una nuova ricostruzione della carriera - clicca qui" xr:uid="{00000000-0004-0000-0700-000001000000}"/>
    <hyperlink ref="N4" r:id="rId1" xr:uid="{00000000-0004-0000-0700-000002000000}"/>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Foglio3!$B$7:$B$13</xm:f>
          </x14:formula1>
          <xm:sqref>E9:F9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
  <dimension ref="A10:AZ284"/>
  <sheetViews>
    <sheetView zoomScale="80" zoomScaleNormal="80" workbookViewId="0">
      <selection activeCell="AB10" sqref="AB10"/>
    </sheetView>
  </sheetViews>
  <sheetFormatPr defaultRowHeight="15" x14ac:dyDescent="0.25"/>
  <cols>
    <col min="1" max="1" width="4.140625" style="113" customWidth="1"/>
    <col min="2" max="26" width="2.7109375" style="113" customWidth="1"/>
    <col min="27" max="27" width="8.5703125" style="113" customWidth="1"/>
    <col min="28" max="28" width="10.5703125" bestFit="1" customWidth="1"/>
    <col min="29" max="29" width="12.28515625" customWidth="1"/>
    <col min="32" max="32" width="11.85546875" customWidth="1"/>
    <col min="43" max="43" width="14.85546875" customWidth="1"/>
  </cols>
  <sheetData>
    <row r="10" spans="28:30" x14ac:dyDescent="0.25">
      <c r="AB10" t="str">
        <f>CONCATENATE(Foglio3!G7,"!")</f>
        <v>DocentePrimaria!</v>
      </c>
    </row>
    <row r="12" spans="28:30" x14ac:dyDescent="0.25">
      <c r="AB12" t="s">
        <v>57</v>
      </c>
      <c r="AD12" s="114">
        <f ca="1">ROUND((AF165-AF164),2)</f>
        <v>522.04999999999995</v>
      </c>
    </row>
    <row r="19" spans="1:52" x14ac:dyDescent="0.25">
      <c r="AB19" s="112"/>
    </row>
    <row r="20" spans="1:52" ht="21" x14ac:dyDescent="0.35">
      <c r="AB20" s="286" t="s">
        <v>261</v>
      </c>
    </row>
    <row r="30" spans="1:52" ht="61.9" customHeight="1" x14ac:dyDescent="0.25">
      <c r="AA30" s="113" t="s">
        <v>56</v>
      </c>
      <c r="AB30" s="111" t="s">
        <v>14</v>
      </c>
      <c r="AC30" s="111" t="s">
        <v>15</v>
      </c>
      <c r="AD30" s="111"/>
      <c r="AE30" s="111" t="s">
        <v>58</v>
      </c>
      <c r="AF30" s="111" t="s">
        <v>233</v>
      </c>
      <c r="AG30" s="111" t="s">
        <v>17</v>
      </c>
      <c r="AH30" s="111" t="s">
        <v>18</v>
      </c>
      <c r="AI30" s="111" t="s">
        <v>19</v>
      </c>
      <c r="AJ30" s="111" t="s">
        <v>20</v>
      </c>
      <c r="AK30" s="111" t="s">
        <v>41</v>
      </c>
      <c r="AL30" s="111"/>
      <c r="AM30" s="111"/>
      <c r="AN30" s="111"/>
      <c r="AO30" s="111"/>
      <c r="AP30" s="111"/>
      <c r="AQ30" s="111" t="s">
        <v>22</v>
      </c>
      <c r="AR30" s="111"/>
      <c r="AS30" s="111"/>
      <c r="AT30" s="111"/>
      <c r="AU30" s="111"/>
      <c r="AV30" s="111"/>
      <c r="AW30" s="111"/>
      <c r="AX30" s="111"/>
      <c r="AY30" s="111"/>
      <c r="AZ30" s="111"/>
    </row>
    <row r="31" spans="1:52" x14ac:dyDescent="0.25">
      <c r="A31" s="113">
        <v>420</v>
      </c>
      <c r="B31" s="113" t="s">
        <v>42</v>
      </c>
      <c r="C31" s="113" t="s">
        <v>43</v>
      </c>
      <c r="D31" s="113" t="s">
        <v>54</v>
      </c>
      <c r="E31" s="113" t="s">
        <v>44</v>
      </c>
      <c r="F31" s="113" t="s">
        <v>45</v>
      </c>
      <c r="G31" s="113" t="s">
        <v>46</v>
      </c>
      <c r="H31" s="113" t="s">
        <v>47</v>
      </c>
      <c r="I31" s="113" t="s">
        <v>48</v>
      </c>
      <c r="J31" s="113" t="s">
        <v>49</v>
      </c>
      <c r="K31" s="113" t="s">
        <v>50</v>
      </c>
      <c r="L31" s="113" t="s">
        <v>51</v>
      </c>
      <c r="M31" s="113" t="s">
        <v>52</v>
      </c>
      <c r="N31" s="113" t="s">
        <v>53</v>
      </c>
      <c r="Q31" s="113" t="s">
        <v>55</v>
      </c>
      <c r="AA31" s="113">
        <v>0</v>
      </c>
      <c r="AB31" s="112">
        <f ca="1">INDIRECT(CONCATENATE($AB$10,CONCATENATE(B31,$A31)))</f>
        <v>35065</v>
      </c>
      <c r="AC31" s="112">
        <f ca="1">INDIRECT(CONCATENATE($AB$10,CONCATENATE(C31,$A31)))</f>
        <v>35369</v>
      </c>
      <c r="AF31" s="114">
        <f ca="1">INDIRECT(CONCATENATE($AB$10,CONCATENATE(F31,$A31)))</f>
        <v>7621.87</v>
      </c>
      <c r="AG31" s="114">
        <f t="shared" ref="AF31:AK38" ca="1" si="0">INDIRECT(CONCATENATE($AB$10,CONCATENATE(G31,$A31)))</f>
        <v>0</v>
      </c>
      <c r="AH31" s="114">
        <f t="shared" ca="1" si="0"/>
        <v>0</v>
      </c>
      <c r="AI31" s="114">
        <f t="shared" ca="1" si="0"/>
        <v>6384.11</v>
      </c>
      <c r="AJ31" s="114">
        <f t="shared" ca="1" si="0"/>
        <v>0</v>
      </c>
      <c r="AK31" s="114">
        <f t="shared" ca="1" si="0"/>
        <v>1167.17</v>
      </c>
      <c r="AN31">
        <f>31</f>
        <v>31</v>
      </c>
      <c r="AQ31" s="114">
        <f ca="1">INDIRECT(CONCATENATE($AB$10,CONCATENATE(Q31,$A31)))</f>
        <v>0</v>
      </c>
      <c r="AW31">
        <v>31</v>
      </c>
    </row>
    <row r="32" spans="1:52" x14ac:dyDescent="0.25">
      <c r="A32" s="113">
        <f t="shared" ref="A32:A37" si="1">A31+2</f>
        <v>422</v>
      </c>
      <c r="B32" s="113" t="str">
        <f t="shared" ref="B32:B37" si="2">B31</f>
        <v>a</v>
      </c>
      <c r="C32" s="113" t="str">
        <f t="shared" ref="C32:Q32" si="3">C31</f>
        <v>b</v>
      </c>
      <c r="D32" s="113" t="str">
        <f t="shared" si="3"/>
        <v>c</v>
      </c>
      <c r="E32" s="113" t="str">
        <f t="shared" si="3"/>
        <v>d</v>
      </c>
      <c r="F32" s="113" t="str">
        <f t="shared" si="3"/>
        <v>e</v>
      </c>
      <c r="G32" s="113" t="str">
        <f t="shared" si="3"/>
        <v>f</v>
      </c>
      <c r="H32" s="113" t="str">
        <f t="shared" si="3"/>
        <v>g</v>
      </c>
      <c r="I32" s="113" t="str">
        <f t="shared" si="3"/>
        <v>h</v>
      </c>
      <c r="J32" s="113" t="str">
        <f t="shared" si="3"/>
        <v>i</v>
      </c>
      <c r="K32" s="113" t="str">
        <f t="shared" si="3"/>
        <v>j</v>
      </c>
      <c r="L32" s="113" t="str">
        <f t="shared" si="3"/>
        <v>k</v>
      </c>
      <c r="M32" s="113" t="str">
        <f t="shared" si="3"/>
        <v>l</v>
      </c>
      <c r="N32" s="113" t="str">
        <f t="shared" si="3"/>
        <v>m</v>
      </c>
      <c r="O32" s="113">
        <f t="shared" si="3"/>
        <v>0</v>
      </c>
      <c r="P32" s="113">
        <f t="shared" si="3"/>
        <v>0</v>
      </c>
      <c r="Q32" s="113" t="str">
        <f t="shared" si="3"/>
        <v>p</v>
      </c>
      <c r="AA32" s="113">
        <v>3</v>
      </c>
      <c r="AB32" s="112">
        <f t="shared" ref="AB32:AC37" ca="1" si="4">AB31</f>
        <v>35065</v>
      </c>
      <c r="AC32" s="112">
        <f t="shared" ca="1" si="4"/>
        <v>35369</v>
      </c>
      <c r="AF32" s="114">
        <f t="shared" ca="1" si="0"/>
        <v>7995.27</v>
      </c>
      <c r="AG32" s="114">
        <f t="shared" ca="1" si="0"/>
        <v>0</v>
      </c>
      <c r="AH32" s="114">
        <f t="shared" ca="1" si="0"/>
        <v>0</v>
      </c>
      <c r="AI32" s="114">
        <f t="shared" ca="1" si="0"/>
        <v>6384.11</v>
      </c>
      <c r="AJ32" s="114">
        <f t="shared" ca="1" si="0"/>
        <v>0</v>
      </c>
      <c r="AK32" s="114">
        <f t="shared" ca="1" si="0"/>
        <v>1198.28</v>
      </c>
      <c r="AN32">
        <f>AN31+1</f>
        <v>32</v>
      </c>
      <c r="AQ32" s="114">
        <f ca="1">INDIRECT(CONCATENATE($AB$10,CONCATENATE(Q32,$A32)))</f>
        <v>0</v>
      </c>
      <c r="AW32">
        <v>32</v>
      </c>
    </row>
    <row r="33" spans="1:49" x14ac:dyDescent="0.25">
      <c r="A33" s="113">
        <f t="shared" si="1"/>
        <v>424</v>
      </c>
      <c r="B33" s="113" t="str">
        <f t="shared" si="2"/>
        <v>a</v>
      </c>
      <c r="C33" s="113" t="str">
        <f t="shared" ref="C33:Q37" si="5">C32</f>
        <v>b</v>
      </c>
      <c r="D33" s="113" t="str">
        <f t="shared" si="5"/>
        <v>c</v>
      </c>
      <c r="E33" s="113" t="str">
        <f t="shared" si="5"/>
        <v>d</v>
      </c>
      <c r="F33" s="113" t="str">
        <f t="shared" si="5"/>
        <v>e</v>
      </c>
      <c r="G33" s="113" t="str">
        <f t="shared" si="5"/>
        <v>f</v>
      </c>
      <c r="H33" s="113" t="str">
        <f t="shared" si="5"/>
        <v>g</v>
      </c>
      <c r="I33" s="113" t="str">
        <f t="shared" si="5"/>
        <v>h</v>
      </c>
      <c r="J33" s="113" t="str">
        <f t="shared" si="5"/>
        <v>i</v>
      </c>
      <c r="K33" s="113" t="str">
        <f t="shared" si="5"/>
        <v>j</v>
      </c>
      <c r="L33" s="113" t="str">
        <f t="shared" si="5"/>
        <v>k</v>
      </c>
      <c r="M33" s="113" t="str">
        <f t="shared" si="5"/>
        <v>l</v>
      </c>
      <c r="N33" s="113" t="str">
        <f t="shared" si="5"/>
        <v>m</v>
      </c>
      <c r="O33" s="113">
        <f t="shared" si="5"/>
        <v>0</v>
      </c>
      <c r="P33" s="113">
        <f t="shared" si="5"/>
        <v>0</v>
      </c>
      <c r="Q33" s="113" t="str">
        <f t="shared" si="5"/>
        <v>p</v>
      </c>
      <c r="AA33" s="113">
        <v>9</v>
      </c>
      <c r="AB33" s="112">
        <f t="shared" ca="1" si="4"/>
        <v>35065</v>
      </c>
      <c r="AC33" s="112">
        <f t="shared" ca="1" si="4"/>
        <v>35369</v>
      </c>
      <c r="AF33" s="114">
        <f t="shared" ca="1" si="0"/>
        <v>9156.26</v>
      </c>
      <c r="AG33" s="114">
        <f t="shared" ca="1" si="0"/>
        <v>0</v>
      </c>
      <c r="AH33" s="114">
        <f t="shared" ca="1" si="0"/>
        <v>0</v>
      </c>
      <c r="AI33" s="114">
        <f t="shared" ca="1" si="0"/>
        <v>6384.11</v>
      </c>
      <c r="AJ33" s="114">
        <f t="shared" ca="1" si="0"/>
        <v>0</v>
      </c>
      <c r="AK33" s="114">
        <f t="shared" ca="1" si="0"/>
        <v>1295.03</v>
      </c>
      <c r="AN33">
        <f t="shared" ref="AN33:AN96" si="6">AN32+1</f>
        <v>33</v>
      </c>
      <c r="AQ33" s="114">
        <f t="shared" ref="AQ33:AQ39" ca="1" si="7">INDIRECT(CONCATENATE($AB$10,CONCATENATE(Q33,$A33)))</f>
        <v>0</v>
      </c>
      <c r="AW33">
        <v>33</v>
      </c>
    </row>
    <row r="34" spans="1:49" x14ac:dyDescent="0.25">
      <c r="A34" s="113">
        <f t="shared" si="1"/>
        <v>426</v>
      </c>
      <c r="B34" s="113" t="str">
        <f t="shared" si="2"/>
        <v>a</v>
      </c>
      <c r="C34" s="113" t="str">
        <f t="shared" si="5"/>
        <v>b</v>
      </c>
      <c r="D34" s="113" t="str">
        <f t="shared" si="5"/>
        <v>c</v>
      </c>
      <c r="E34" s="113" t="str">
        <f t="shared" si="5"/>
        <v>d</v>
      </c>
      <c r="F34" s="113" t="str">
        <f t="shared" si="5"/>
        <v>e</v>
      </c>
      <c r="G34" s="113" t="str">
        <f t="shared" si="5"/>
        <v>f</v>
      </c>
      <c r="H34" s="113" t="str">
        <f t="shared" si="5"/>
        <v>g</v>
      </c>
      <c r="I34" s="113" t="str">
        <f t="shared" si="5"/>
        <v>h</v>
      </c>
      <c r="J34" s="113" t="str">
        <f t="shared" si="5"/>
        <v>i</v>
      </c>
      <c r="K34" s="113" t="str">
        <f t="shared" si="5"/>
        <v>j</v>
      </c>
      <c r="L34" s="113" t="str">
        <f t="shared" si="5"/>
        <v>k</v>
      </c>
      <c r="M34" s="113" t="str">
        <f t="shared" si="5"/>
        <v>l</v>
      </c>
      <c r="N34" s="113" t="str">
        <f t="shared" si="5"/>
        <v>m</v>
      </c>
      <c r="O34" s="113">
        <f t="shared" si="5"/>
        <v>0</v>
      </c>
      <c r="P34" s="113">
        <f t="shared" si="5"/>
        <v>0</v>
      </c>
      <c r="Q34" s="113" t="str">
        <f t="shared" si="5"/>
        <v>p</v>
      </c>
      <c r="AA34" s="113">
        <v>15</v>
      </c>
      <c r="AB34" s="112">
        <f t="shared" ca="1" si="4"/>
        <v>35065</v>
      </c>
      <c r="AC34" s="112">
        <f t="shared" ca="1" si="4"/>
        <v>35369</v>
      </c>
      <c r="AF34" s="114">
        <f t="shared" ca="1" si="0"/>
        <v>10520.74</v>
      </c>
      <c r="AG34" s="114">
        <f t="shared" ca="1" si="0"/>
        <v>0</v>
      </c>
      <c r="AH34" s="114">
        <f t="shared" ca="1" si="0"/>
        <v>0</v>
      </c>
      <c r="AI34" s="114">
        <f t="shared" ca="1" si="0"/>
        <v>6384.11</v>
      </c>
      <c r="AJ34" s="114">
        <f t="shared" ca="1" si="0"/>
        <v>0</v>
      </c>
      <c r="AK34" s="114">
        <f t="shared" ca="1" si="0"/>
        <v>1408.74</v>
      </c>
      <c r="AN34">
        <f t="shared" si="6"/>
        <v>34</v>
      </c>
      <c r="AQ34" s="114">
        <f t="shared" ca="1" si="7"/>
        <v>0</v>
      </c>
      <c r="AW34">
        <v>34</v>
      </c>
    </row>
    <row r="35" spans="1:49" x14ac:dyDescent="0.25">
      <c r="A35" s="113">
        <f t="shared" si="1"/>
        <v>428</v>
      </c>
      <c r="B35" s="113" t="str">
        <f t="shared" si="2"/>
        <v>a</v>
      </c>
      <c r="C35" s="113" t="str">
        <f t="shared" si="5"/>
        <v>b</v>
      </c>
      <c r="D35" s="113" t="str">
        <f t="shared" si="5"/>
        <v>c</v>
      </c>
      <c r="E35" s="113" t="str">
        <f t="shared" si="5"/>
        <v>d</v>
      </c>
      <c r="F35" s="113" t="str">
        <f t="shared" si="5"/>
        <v>e</v>
      </c>
      <c r="G35" s="113" t="str">
        <f t="shared" si="5"/>
        <v>f</v>
      </c>
      <c r="H35" s="113" t="str">
        <f t="shared" si="5"/>
        <v>g</v>
      </c>
      <c r="I35" s="113" t="str">
        <f t="shared" si="5"/>
        <v>h</v>
      </c>
      <c r="J35" s="113" t="str">
        <f t="shared" si="5"/>
        <v>i</v>
      </c>
      <c r="K35" s="113" t="str">
        <f t="shared" si="5"/>
        <v>j</v>
      </c>
      <c r="L35" s="113" t="str">
        <f t="shared" si="5"/>
        <v>k</v>
      </c>
      <c r="M35" s="113" t="str">
        <f t="shared" si="5"/>
        <v>l</v>
      </c>
      <c r="N35" s="113" t="str">
        <f t="shared" si="5"/>
        <v>m</v>
      </c>
      <c r="O35" s="113">
        <f t="shared" si="5"/>
        <v>0</v>
      </c>
      <c r="P35" s="113">
        <f t="shared" si="5"/>
        <v>0</v>
      </c>
      <c r="Q35" s="113" t="str">
        <f t="shared" si="5"/>
        <v>p</v>
      </c>
      <c r="AA35" s="113">
        <v>21</v>
      </c>
      <c r="AB35" s="112">
        <f t="shared" ca="1" si="4"/>
        <v>35065</v>
      </c>
      <c r="AC35" s="112">
        <f t="shared" ca="1" si="4"/>
        <v>35369</v>
      </c>
      <c r="AF35" s="114">
        <f t="shared" ca="1" si="0"/>
        <v>11845.97</v>
      </c>
      <c r="AG35" s="114">
        <f t="shared" ca="1" si="0"/>
        <v>0</v>
      </c>
      <c r="AH35" s="114">
        <f t="shared" ca="1" si="0"/>
        <v>0</v>
      </c>
      <c r="AI35" s="114">
        <f t="shared" ca="1" si="0"/>
        <v>6384.11</v>
      </c>
      <c r="AJ35" s="114">
        <f t="shared" ca="1" si="0"/>
        <v>0</v>
      </c>
      <c r="AK35" s="114">
        <f t="shared" ca="1" si="0"/>
        <v>1519.17</v>
      </c>
      <c r="AN35">
        <f t="shared" si="6"/>
        <v>35</v>
      </c>
      <c r="AQ35" s="114">
        <f t="shared" ca="1" si="7"/>
        <v>0</v>
      </c>
      <c r="AW35">
        <v>35</v>
      </c>
    </row>
    <row r="36" spans="1:49" x14ac:dyDescent="0.25">
      <c r="A36" s="113">
        <f t="shared" si="1"/>
        <v>430</v>
      </c>
      <c r="B36" s="113" t="str">
        <f t="shared" si="2"/>
        <v>a</v>
      </c>
      <c r="C36" s="113" t="str">
        <f t="shared" si="5"/>
        <v>b</v>
      </c>
      <c r="D36" s="113" t="str">
        <f t="shared" si="5"/>
        <v>c</v>
      </c>
      <c r="E36" s="113" t="str">
        <f t="shared" si="5"/>
        <v>d</v>
      </c>
      <c r="F36" s="113" t="str">
        <f t="shared" si="5"/>
        <v>e</v>
      </c>
      <c r="G36" s="113" t="str">
        <f t="shared" si="5"/>
        <v>f</v>
      </c>
      <c r="H36" s="113" t="str">
        <f t="shared" si="5"/>
        <v>g</v>
      </c>
      <c r="I36" s="113" t="str">
        <f t="shared" si="5"/>
        <v>h</v>
      </c>
      <c r="J36" s="113" t="str">
        <f t="shared" si="5"/>
        <v>i</v>
      </c>
      <c r="K36" s="113" t="str">
        <f t="shared" si="5"/>
        <v>j</v>
      </c>
      <c r="L36" s="113" t="str">
        <f t="shared" si="5"/>
        <v>k</v>
      </c>
      <c r="M36" s="113" t="str">
        <f t="shared" si="5"/>
        <v>l</v>
      </c>
      <c r="N36" s="113" t="str">
        <f t="shared" si="5"/>
        <v>m</v>
      </c>
      <c r="O36" s="113">
        <f t="shared" si="5"/>
        <v>0</v>
      </c>
      <c r="P36" s="113">
        <f t="shared" si="5"/>
        <v>0</v>
      </c>
      <c r="Q36" s="113" t="str">
        <f t="shared" si="5"/>
        <v>p</v>
      </c>
      <c r="AA36" s="113">
        <v>28</v>
      </c>
      <c r="AB36" s="112">
        <f t="shared" ca="1" si="4"/>
        <v>35065</v>
      </c>
      <c r="AC36" s="112">
        <f t="shared" ca="1" si="4"/>
        <v>35369</v>
      </c>
      <c r="AF36" s="114">
        <f t="shared" ca="1" si="0"/>
        <v>13144.86</v>
      </c>
      <c r="AG36" s="114">
        <f t="shared" ca="1" si="0"/>
        <v>0</v>
      </c>
      <c r="AH36" s="114">
        <f t="shared" ca="1" si="0"/>
        <v>0</v>
      </c>
      <c r="AI36" s="114">
        <f t="shared" ca="1" si="0"/>
        <v>6384.11</v>
      </c>
      <c r="AJ36" s="114">
        <f t="shared" ca="1" si="0"/>
        <v>0</v>
      </c>
      <c r="AK36" s="114">
        <f t="shared" ca="1" si="0"/>
        <v>1627.41</v>
      </c>
      <c r="AN36">
        <f t="shared" si="6"/>
        <v>36</v>
      </c>
      <c r="AQ36" s="114">
        <f t="shared" ca="1" si="7"/>
        <v>0</v>
      </c>
      <c r="AW36">
        <v>36</v>
      </c>
    </row>
    <row r="37" spans="1:49" x14ac:dyDescent="0.25">
      <c r="A37" s="113">
        <f t="shared" si="1"/>
        <v>432</v>
      </c>
      <c r="B37" s="113" t="str">
        <f t="shared" si="2"/>
        <v>a</v>
      </c>
      <c r="C37" s="113" t="str">
        <f t="shared" si="5"/>
        <v>b</v>
      </c>
      <c r="D37" s="113" t="str">
        <f t="shared" si="5"/>
        <v>c</v>
      </c>
      <c r="E37" s="113" t="str">
        <f t="shared" si="5"/>
        <v>d</v>
      </c>
      <c r="F37" s="113" t="str">
        <f t="shared" si="5"/>
        <v>e</v>
      </c>
      <c r="G37" s="113" t="str">
        <f t="shared" si="5"/>
        <v>f</v>
      </c>
      <c r="H37" s="113" t="str">
        <f t="shared" si="5"/>
        <v>g</v>
      </c>
      <c r="I37" s="113" t="str">
        <f t="shared" si="5"/>
        <v>h</v>
      </c>
      <c r="J37" s="113" t="str">
        <f t="shared" si="5"/>
        <v>i</v>
      </c>
      <c r="K37" s="113" t="str">
        <f t="shared" si="5"/>
        <v>j</v>
      </c>
      <c r="L37" s="113" t="str">
        <f t="shared" si="5"/>
        <v>k</v>
      </c>
      <c r="M37" s="113" t="str">
        <f t="shared" si="5"/>
        <v>l</v>
      </c>
      <c r="N37" s="113" t="str">
        <f t="shared" si="5"/>
        <v>m</v>
      </c>
      <c r="O37" s="113">
        <f t="shared" si="5"/>
        <v>0</v>
      </c>
      <c r="P37" s="113">
        <f t="shared" si="5"/>
        <v>0</v>
      </c>
      <c r="Q37" s="113" t="str">
        <f t="shared" si="5"/>
        <v>p</v>
      </c>
      <c r="AA37" s="113">
        <v>35</v>
      </c>
      <c r="AB37" s="112">
        <f t="shared" ca="1" si="4"/>
        <v>35065</v>
      </c>
      <c r="AC37" s="112">
        <f t="shared" ca="1" si="4"/>
        <v>35369</v>
      </c>
      <c r="AF37" s="114">
        <f t="shared" ca="1" si="0"/>
        <v>14115.8</v>
      </c>
      <c r="AG37" s="114">
        <f t="shared" ca="1" si="0"/>
        <v>0</v>
      </c>
      <c r="AH37" s="114">
        <f t="shared" ca="1" si="0"/>
        <v>0</v>
      </c>
      <c r="AI37" s="114">
        <f t="shared" ca="1" si="0"/>
        <v>6384.11</v>
      </c>
      <c r="AJ37" s="114">
        <f t="shared" ca="1" si="0"/>
        <v>0</v>
      </c>
      <c r="AK37" s="114">
        <f t="shared" ca="1" si="0"/>
        <v>1708.33</v>
      </c>
      <c r="AN37">
        <f t="shared" si="6"/>
        <v>37</v>
      </c>
      <c r="AQ37" s="114">
        <f t="shared" ca="1" si="7"/>
        <v>0</v>
      </c>
      <c r="AW37">
        <v>37</v>
      </c>
    </row>
    <row r="38" spans="1:49" x14ac:dyDescent="0.25">
      <c r="A38" s="113">
        <f>A31+20</f>
        <v>440</v>
      </c>
      <c r="B38" s="113" t="str">
        <f>B31</f>
        <v>a</v>
      </c>
      <c r="C38" s="113" t="str">
        <f t="shared" ref="C38:X38" si="8">C31</f>
        <v>b</v>
      </c>
      <c r="D38" s="113" t="str">
        <f t="shared" si="8"/>
        <v>c</v>
      </c>
      <c r="E38" s="113" t="str">
        <f t="shared" si="8"/>
        <v>d</v>
      </c>
      <c r="F38" s="113" t="str">
        <f t="shared" si="8"/>
        <v>e</v>
      </c>
      <c r="G38" s="113" t="str">
        <f t="shared" si="8"/>
        <v>f</v>
      </c>
      <c r="H38" s="113" t="str">
        <f t="shared" si="8"/>
        <v>g</v>
      </c>
      <c r="I38" s="113" t="str">
        <f t="shared" si="8"/>
        <v>h</v>
      </c>
      <c r="J38" s="113" t="str">
        <f t="shared" si="8"/>
        <v>i</v>
      </c>
      <c r="K38" s="113" t="str">
        <f t="shared" si="8"/>
        <v>j</v>
      </c>
      <c r="L38" s="113" t="str">
        <f t="shared" si="8"/>
        <v>k</v>
      </c>
      <c r="M38" s="113" t="str">
        <f t="shared" si="8"/>
        <v>l</v>
      </c>
      <c r="N38" s="113" t="str">
        <f t="shared" si="8"/>
        <v>m</v>
      </c>
      <c r="O38" s="113">
        <f t="shared" si="8"/>
        <v>0</v>
      </c>
      <c r="P38" s="113">
        <f t="shared" si="8"/>
        <v>0</v>
      </c>
      <c r="Q38" s="113" t="str">
        <f t="shared" si="8"/>
        <v>p</v>
      </c>
      <c r="R38" s="113">
        <f t="shared" si="8"/>
        <v>0</v>
      </c>
      <c r="S38" s="113">
        <f t="shared" si="8"/>
        <v>0</v>
      </c>
      <c r="T38" s="113">
        <f t="shared" si="8"/>
        <v>0</v>
      </c>
      <c r="U38" s="113">
        <f t="shared" si="8"/>
        <v>0</v>
      </c>
      <c r="V38" s="113">
        <f t="shared" si="8"/>
        <v>0</v>
      </c>
      <c r="W38" s="113">
        <f t="shared" si="8"/>
        <v>0</v>
      </c>
      <c r="X38" s="113">
        <f t="shared" si="8"/>
        <v>0</v>
      </c>
      <c r="AA38" s="113">
        <v>0</v>
      </c>
      <c r="AB38" s="112">
        <f ca="1">INDIRECT(CONCATENATE($AB$10,CONCATENATE(B38,$A38)))</f>
        <v>35370</v>
      </c>
      <c r="AC38" s="112">
        <f ca="1">INDIRECT(CONCATENATE($AB$10,CONCATENATE(C38,$A38)))</f>
        <v>35611</v>
      </c>
      <c r="AF38" s="114">
        <f t="shared" ca="1" si="0"/>
        <v>8099.08</v>
      </c>
      <c r="AG38" s="114">
        <f t="shared" ca="1" si="0"/>
        <v>0</v>
      </c>
      <c r="AH38" s="114">
        <f t="shared" ca="1" si="0"/>
        <v>0</v>
      </c>
      <c r="AI38" s="114">
        <f t="shared" ca="1" si="0"/>
        <v>6384.11</v>
      </c>
      <c r="AJ38" s="114">
        <f t="shared" ca="1" si="0"/>
        <v>0</v>
      </c>
      <c r="AK38" s="114">
        <f t="shared" ca="1" si="0"/>
        <v>1206.93</v>
      </c>
      <c r="AN38">
        <f t="shared" si="6"/>
        <v>38</v>
      </c>
      <c r="AQ38" s="114">
        <f t="shared" ca="1" si="7"/>
        <v>0</v>
      </c>
      <c r="AW38">
        <v>38</v>
      </c>
    </row>
    <row r="39" spans="1:49" x14ac:dyDescent="0.25">
      <c r="A39" s="113">
        <f t="shared" ref="A39:A44" si="9">A38+2</f>
        <v>442</v>
      </c>
      <c r="B39" s="113" t="str">
        <f t="shared" ref="B39:B44" si="10">B38</f>
        <v>a</v>
      </c>
      <c r="C39" s="113" t="str">
        <f t="shared" ref="C39:X39" si="11">C38</f>
        <v>b</v>
      </c>
      <c r="D39" s="113" t="str">
        <f t="shared" si="11"/>
        <v>c</v>
      </c>
      <c r="E39" s="113" t="str">
        <f t="shared" si="11"/>
        <v>d</v>
      </c>
      <c r="F39" s="113" t="str">
        <f t="shared" si="11"/>
        <v>e</v>
      </c>
      <c r="G39" s="113" t="str">
        <f t="shared" si="11"/>
        <v>f</v>
      </c>
      <c r="H39" s="113" t="str">
        <f t="shared" si="11"/>
        <v>g</v>
      </c>
      <c r="I39" s="113" t="str">
        <f t="shared" si="11"/>
        <v>h</v>
      </c>
      <c r="J39" s="113" t="str">
        <f t="shared" si="11"/>
        <v>i</v>
      </c>
      <c r="K39" s="113" t="str">
        <f t="shared" si="11"/>
        <v>j</v>
      </c>
      <c r="L39" s="113" t="str">
        <f t="shared" si="11"/>
        <v>k</v>
      </c>
      <c r="M39" s="113" t="str">
        <f t="shared" si="11"/>
        <v>l</v>
      </c>
      <c r="N39" s="113" t="str">
        <f t="shared" si="11"/>
        <v>m</v>
      </c>
      <c r="O39" s="113">
        <f t="shared" si="11"/>
        <v>0</v>
      </c>
      <c r="P39" s="113">
        <f t="shared" si="11"/>
        <v>0</v>
      </c>
      <c r="Q39" s="113" t="str">
        <f t="shared" si="11"/>
        <v>p</v>
      </c>
      <c r="R39" s="113">
        <f t="shared" si="11"/>
        <v>0</v>
      </c>
      <c r="S39" s="113">
        <f t="shared" si="11"/>
        <v>0</v>
      </c>
      <c r="T39" s="113">
        <f t="shared" si="11"/>
        <v>0</v>
      </c>
      <c r="U39" s="113">
        <f t="shared" si="11"/>
        <v>0</v>
      </c>
      <c r="V39" s="113">
        <f t="shared" si="11"/>
        <v>0</v>
      </c>
      <c r="W39" s="113">
        <f t="shared" si="11"/>
        <v>0</v>
      </c>
      <c r="X39" s="113">
        <f t="shared" si="11"/>
        <v>0</v>
      </c>
      <c r="AA39" s="113">
        <v>3</v>
      </c>
      <c r="AB39" s="112">
        <f t="shared" ref="AB39:AC44" ca="1" si="12">AB38</f>
        <v>35370</v>
      </c>
      <c r="AC39" s="112">
        <f t="shared" ca="1" si="12"/>
        <v>35611</v>
      </c>
      <c r="AF39" s="114">
        <f t="shared" ref="AF39:AF102" ca="1" si="13">INDIRECT(CONCATENATE($AB$10,CONCATENATE(F39,$A39)))</f>
        <v>8484.8700000000008</v>
      </c>
      <c r="AG39" s="114">
        <f t="shared" ref="AG39:AG44" ca="1" si="14">INDIRECT(CONCATENATE($AB$10,CONCATENATE(G39,$A39)))</f>
        <v>0</v>
      </c>
      <c r="AH39" s="114">
        <f t="shared" ref="AH39:AH44" ca="1" si="15">INDIRECT(CONCATENATE($AB$10,CONCATENATE(H39,$A39)))</f>
        <v>0</v>
      </c>
      <c r="AI39" s="114">
        <f t="shared" ref="AI39:AI44" ca="1" si="16">INDIRECT(CONCATENATE($AB$10,CONCATENATE(I39,$A39)))</f>
        <v>6384.11</v>
      </c>
      <c r="AJ39" s="114">
        <f t="shared" ref="AJ39:AJ44" ca="1" si="17">INDIRECT(CONCATENATE($AB$10,CONCATENATE(J39,$A39)))</f>
        <v>0</v>
      </c>
      <c r="AK39" s="114">
        <f t="shared" ref="AK39:AK44" ca="1" si="18">INDIRECT(CONCATENATE($AB$10,CONCATENATE(K39,$A39)))</f>
        <v>1239.08</v>
      </c>
      <c r="AN39">
        <f t="shared" si="6"/>
        <v>39</v>
      </c>
      <c r="AQ39" s="114">
        <f t="shared" ca="1" si="7"/>
        <v>0</v>
      </c>
      <c r="AW39">
        <v>39</v>
      </c>
    </row>
    <row r="40" spans="1:49" x14ac:dyDescent="0.25">
      <c r="A40" s="113">
        <f t="shared" si="9"/>
        <v>444</v>
      </c>
      <c r="B40" s="113" t="str">
        <f t="shared" si="10"/>
        <v>a</v>
      </c>
      <c r="C40" s="113" t="str">
        <f t="shared" ref="C40:L44" si="19">C39</f>
        <v>b</v>
      </c>
      <c r="D40" s="113" t="str">
        <f t="shared" si="19"/>
        <v>c</v>
      </c>
      <c r="E40" s="113" t="str">
        <f t="shared" si="19"/>
        <v>d</v>
      </c>
      <c r="F40" s="113" t="str">
        <f t="shared" si="19"/>
        <v>e</v>
      </c>
      <c r="G40" s="113" t="str">
        <f t="shared" si="19"/>
        <v>f</v>
      </c>
      <c r="H40" s="113" t="str">
        <f t="shared" si="19"/>
        <v>g</v>
      </c>
      <c r="I40" s="113" t="str">
        <f t="shared" si="19"/>
        <v>h</v>
      </c>
      <c r="J40" s="113" t="str">
        <f t="shared" si="19"/>
        <v>i</v>
      </c>
      <c r="K40" s="113" t="str">
        <f t="shared" si="19"/>
        <v>j</v>
      </c>
      <c r="L40" s="113" t="str">
        <f t="shared" si="19"/>
        <v>k</v>
      </c>
      <c r="M40" s="113" t="str">
        <f t="shared" ref="M40:V44" si="20">M39</f>
        <v>l</v>
      </c>
      <c r="N40" s="113" t="str">
        <f t="shared" si="20"/>
        <v>m</v>
      </c>
      <c r="O40" s="113">
        <f t="shared" si="20"/>
        <v>0</v>
      </c>
      <c r="P40" s="113">
        <f t="shared" si="20"/>
        <v>0</v>
      </c>
      <c r="Q40" s="113" t="str">
        <f t="shared" si="20"/>
        <v>p</v>
      </c>
      <c r="R40" s="113">
        <f t="shared" si="20"/>
        <v>0</v>
      </c>
      <c r="S40" s="113">
        <f t="shared" si="20"/>
        <v>0</v>
      </c>
      <c r="T40" s="113">
        <f t="shared" si="20"/>
        <v>0</v>
      </c>
      <c r="U40" s="113">
        <f t="shared" si="20"/>
        <v>0</v>
      </c>
      <c r="V40" s="113">
        <f t="shared" si="20"/>
        <v>0</v>
      </c>
      <c r="W40" s="113">
        <f t="shared" ref="W40:X44" si="21">W39</f>
        <v>0</v>
      </c>
      <c r="X40" s="113">
        <f t="shared" si="21"/>
        <v>0</v>
      </c>
      <c r="AA40" s="113">
        <v>9</v>
      </c>
      <c r="AB40" s="112">
        <f t="shared" ca="1" si="12"/>
        <v>35370</v>
      </c>
      <c r="AC40" s="112">
        <f t="shared" ca="1" si="12"/>
        <v>35611</v>
      </c>
      <c r="AF40" s="114">
        <f t="shared" ca="1" si="13"/>
        <v>9689.25</v>
      </c>
      <c r="AG40" s="114">
        <f t="shared" ca="1" si="14"/>
        <v>0</v>
      </c>
      <c r="AH40" s="114">
        <f t="shared" ca="1" si="15"/>
        <v>0</v>
      </c>
      <c r="AI40" s="114">
        <f t="shared" ca="1" si="16"/>
        <v>6384.11</v>
      </c>
      <c r="AJ40" s="114">
        <f t="shared" ca="1" si="17"/>
        <v>0</v>
      </c>
      <c r="AK40" s="114">
        <f t="shared" ca="1" si="18"/>
        <v>1339.45</v>
      </c>
      <c r="AN40">
        <f t="shared" si="6"/>
        <v>40</v>
      </c>
      <c r="AQ40" s="114">
        <f t="shared" ref="AQ40:AQ46" ca="1" si="22">INDIRECT(CONCATENATE($AB$10,CONCATENATE(Q40,$A40)))</f>
        <v>0</v>
      </c>
      <c r="AW40">
        <v>40</v>
      </c>
    </row>
    <row r="41" spans="1:49" x14ac:dyDescent="0.25">
      <c r="A41" s="113">
        <f t="shared" si="9"/>
        <v>446</v>
      </c>
      <c r="B41" s="113" t="str">
        <f t="shared" si="10"/>
        <v>a</v>
      </c>
      <c r="C41" s="113" t="str">
        <f t="shared" si="19"/>
        <v>b</v>
      </c>
      <c r="D41" s="113" t="str">
        <f t="shared" si="19"/>
        <v>c</v>
      </c>
      <c r="E41" s="113" t="str">
        <f t="shared" si="19"/>
        <v>d</v>
      </c>
      <c r="F41" s="113" t="str">
        <f t="shared" si="19"/>
        <v>e</v>
      </c>
      <c r="G41" s="113" t="str">
        <f t="shared" si="19"/>
        <v>f</v>
      </c>
      <c r="H41" s="113" t="str">
        <f t="shared" si="19"/>
        <v>g</v>
      </c>
      <c r="I41" s="113" t="str">
        <f t="shared" si="19"/>
        <v>h</v>
      </c>
      <c r="J41" s="113" t="str">
        <f t="shared" si="19"/>
        <v>i</v>
      </c>
      <c r="K41" s="113" t="str">
        <f t="shared" si="19"/>
        <v>j</v>
      </c>
      <c r="L41" s="113" t="str">
        <f t="shared" si="19"/>
        <v>k</v>
      </c>
      <c r="M41" s="113" t="str">
        <f t="shared" si="20"/>
        <v>l</v>
      </c>
      <c r="N41" s="113" t="str">
        <f t="shared" si="20"/>
        <v>m</v>
      </c>
      <c r="O41" s="113">
        <f t="shared" si="20"/>
        <v>0</v>
      </c>
      <c r="P41" s="113">
        <f t="shared" si="20"/>
        <v>0</v>
      </c>
      <c r="Q41" s="113" t="str">
        <f t="shared" si="20"/>
        <v>p</v>
      </c>
      <c r="R41" s="113">
        <f t="shared" si="20"/>
        <v>0</v>
      </c>
      <c r="S41" s="113">
        <f t="shared" si="20"/>
        <v>0</v>
      </c>
      <c r="T41" s="113">
        <f t="shared" si="20"/>
        <v>0</v>
      </c>
      <c r="U41" s="113">
        <f t="shared" si="20"/>
        <v>0</v>
      </c>
      <c r="V41" s="113">
        <f t="shared" si="20"/>
        <v>0</v>
      </c>
      <c r="W41" s="113">
        <f t="shared" si="21"/>
        <v>0</v>
      </c>
      <c r="X41" s="113">
        <f t="shared" si="21"/>
        <v>0</v>
      </c>
      <c r="AA41" s="113">
        <v>15</v>
      </c>
      <c r="AB41" s="112">
        <f t="shared" ca="1" si="12"/>
        <v>35370</v>
      </c>
      <c r="AC41" s="112">
        <f t="shared" ca="1" si="12"/>
        <v>35611</v>
      </c>
      <c r="AF41" s="114">
        <f t="shared" ca="1" si="13"/>
        <v>11097.11</v>
      </c>
      <c r="AG41" s="114">
        <f t="shared" ca="1" si="14"/>
        <v>0</v>
      </c>
      <c r="AH41" s="114">
        <f t="shared" ca="1" si="15"/>
        <v>0</v>
      </c>
      <c r="AI41" s="114">
        <f t="shared" ca="1" si="16"/>
        <v>6384.11</v>
      </c>
      <c r="AJ41" s="114">
        <f t="shared" ca="1" si="17"/>
        <v>0</v>
      </c>
      <c r="AK41" s="114">
        <f t="shared" ca="1" si="18"/>
        <v>1456.77</v>
      </c>
      <c r="AN41">
        <f t="shared" si="6"/>
        <v>41</v>
      </c>
      <c r="AQ41" s="114">
        <f t="shared" ca="1" si="22"/>
        <v>0</v>
      </c>
      <c r="AW41">
        <v>41</v>
      </c>
    </row>
    <row r="42" spans="1:49" x14ac:dyDescent="0.25">
      <c r="A42" s="113">
        <f t="shared" si="9"/>
        <v>448</v>
      </c>
      <c r="B42" s="113" t="str">
        <f t="shared" si="10"/>
        <v>a</v>
      </c>
      <c r="C42" s="113" t="str">
        <f t="shared" si="19"/>
        <v>b</v>
      </c>
      <c r="D42" s="113" t="str">
        <f t="shared" si="19"/>
        <v>c</v>
      </c>
      <c r="E42" s="113" t="str">
        <f t="shared" si="19"/>
        <v>d</v>
      </c>
      <c r="F42" s="113" t="str">
        <f t="shared" si="19"/>
        <v>e</v>
      </c>
      <c r="G42" s="113" t="str">
        <f t="shared" si="19"/>
        <v>f</v>
      </c>
      <c r="H42" s="113" t="str">
        <f t="shared" si="19"/>
        <v>g</v>
      </c>
      <c r="I42" s="113" t="str">
        <f t="shared" si="19"/>
        <v>h</v>
      </c>
      <c r="J42" s="113" t="str">
        <f t="shared" si="19"/>
        <v>i</v>
      </c>
      <c r="K42" s="113" t="str">
        <f t="shared" si="19"/>
        <v>j</v>
      </c>
      <c r="L42" s="113" t="str">
        <f t="shared" si="19"/>
        <v>k</v>
      </c>
      <c r="M42" s="113" t="str">
        <f t="shared" si="20"/>
        <v>l</v>
      </c>
      <c r="N42" s="113" t="str">
        <f t="shared" si="20"/>
        <v>m</v>
      </c>
      <c r="O42" s="113">
        <f t="shared" si="20"/>
        <v>0</v>
      </c>
      <c r="P42" s="113">
        <f t="shared" si="20"/>
        <v>0</v>
      </c>
      <c r="Q42" s="113" t="str">
        <f t="shared" si="20"/>
        <v>p</v>
      </c>
      <c r="R42" s="113">
        <f t="shared" si="20"/>
        <v>0</v>
      </c>
      <c r="S42" s="113">
        <f t="shared" si="20"/>
        <v>0</v>
      </c>
      <c r="T42" s="113">
        <f t="shared" si="20"/>
        <v>0</v>
      </c>
      <c r="U42" s="113">
        <f t="shared" si="20"/>
        <v>0</v>
      </c>
      <c r="V42" s="113">
        <f t="shared" si="20"/>
        <v>0</v>
      </c>
      <c r="W42" s="113">
        <f t="shared" si="21"/>
        <v>0</v>
      </c>
      <c r="X42" s="113">
        <f t="shared" si="21"/>
        <v>0</v>
      </c>
      <c r="AA42" s="113">
        <v>21</v>
      </c>
      <c r="AB42" s="112">
        <f t="shared" ca="1" si="12"/>
        <v>35370</v>
      </c>
      <c r="AC42" s="112">
        <f t="shared" ca="1" si="12"/>
        <v>35611</v>
      </c>
      <c r="AF42" s="114">
        <f t="shared" ca="1" si="13"/>
        <v>12465.72</v>
      </c>
      <c r="AG42" s="114">
        <f t="shared" ca="1" si="14"/>
        <v>0</v>
      </c>
      <c r="AH42" s="114">
        <f t="shared" ca="1" si="15"/>
        <v>0</v>
      </c>
      <c r="AI42" s="114">
        <f t="shared" ca="1" si="16"/>
        <v>6384.11</v>
      </c>
      <c r="AJ42" s="114">
        <f t="shared" ca="1" si="17"/>
        <v>0</v>
      </c>
      <c r="AK42" s="114">
        <f t="shared" ca="1" si="18"/>
        <v>1570.82</v>
      </c>
      <c r="AN42">
        <f t="shared" si="6"/>
        <v>42</v>
      </c>
      <c r="AQ42" s="114">
        <f t="shared" ca="1" si="22"/>
        <v>0</v>
      </c>
      <c r="AW42">
        <v>42</v>
      </c>
    </row>
    <row r="43" spans="1:49" x14ac:dyDescent="0.25">
      <c r="A43" s="113">
        <f t="shared" si="9"/>
        <v>450</v>
      </c>
      <c r="B43" s="113" t="str">
        <f t="shared" si="10"/>
        <v>a</v>
      </c>
      <c r="C43" s="113" t="str">
        <f t="shared" si="19"/>
        <v>b</v>
      </c>
      <c r="D43" s="113" t="str">
        <f t="shared" si="19"/>
        <v>c</v>
      </c>
      <c r="E43" s="113" t="str">
        <f t="shared" si="19"/>
        <v>d</v>
      </c>
      <c r="F43" s="113" t="str">
        <f t="shared" si="19"/>
        <v>e</v>
      </c>
      <c r="G43" s="113" t="str">
        <f t="shared" si="19"/>
        <v>f</v>
      </c>
      <c r="H43" s="113" t="str">
        <f t="shared" si="19"/>
        <v>g</v>
      </c>
      <c r="I43" s="113" t="str">
        <f t="shared" si="19"/>
        <v>h</v>
      </c>
      <c r="J43" s="113" t="str">
        <f t="shared" si="19"/>
        <v>i</v>
      </c>
      <c r="K43" s="113" t="str">
        <f t="shared" si="19"/>
        <v>j</v>
      </c>
      <c r="L43" s="113" t="str">
        <f t="shared" si="19"/>
        <v>k</v>
      </c>
      <c r="M43" s="113" t="str">
        <f t="shared" si="20"/>
        <v>l</v>
      </c>
      <c r="N43" s="113" t="str">
        <f t="shared" si="20"/>
        <v>m</v>
      </c>
      <c r="O43" s="113">
        <f t="shared" si="20"/>
        <v>0</v>
      </c>
      <c r="P43" s="113">
        <f t="shared" si="20"/>
        <v>0</v>
      </c>
      <c r="Q43" s="113" t="str">
        <f t="shared" si="20"/>
        <v>p</v>
      </c>
      <c r="R43" s="113">
        <f t="shared" si="20"/>
        <v>0</v>
      </c>
      <c r="S43" s="113">
        <f t="shared" si="20"/>
        <v>0</v>
      </c>
      <c r="T43" s="113">
        <f t="shared" si="20"/>
        <v>0</v>
      </c>
      <c r="U43" s="113">
        <f t="shared" si="20"/>
        <v>0</v>
      </c>
      <c r="V43" s="113">
        <f t="shared" si="20"/>
        <v>0</v>
      </c>
      <c r="W43" s="113">
        <f t="shared" si="21"/>
        <v>0</v>
      </c>
      <c r="X43" s="113">
        <f t="shared" si="21"/>
        <v>0</v>
      </c>
      <c r="AA43" s="113">
        <v>28</v>
      </c>
      <c r="AB43" s="112">
        <f t="shared" ca="1" si="12"/>
        <v>35370</v>
      </c>
      <c r="AC43" s="112">
        <f t="shared" ca="1" si="12"/>
        <v>35611</v>
      </c>
      <c r="AF43" s="114">
        <f t="shared" ca="1" si="13"/>
        <v>13814.19</v>
      </c>
      <c r="AG43" s="114">
        <f t="shared" ca="1" si="14"/>
        <v>0</v>
      </c>
      <c r="AH43" s="114">
        <f t="shared" ca="1" si="15"/>
        <v>0</v>
      </c>
      <c r="AI43" s="114">
        <f t="shared" ca="1" si="16"/>
        <v>6384.11</v>
      </c>
      <c r="AJ43" s="114">
        <f t="shared" ca="1" si="17"/>
        <v>0</v>
      </c>
      <c r="AK43" s="114">
        <f t="shared" ca="1" si="18"/>
        <v>1683.19</v>
      </c>
      <c r="AN43">
        <f t="shared" si="6"/>
        <v>43</v>
      </c>
      <c r="AQ43" s="114">
        <f t="shared" ca="1" si="22"/>
        <v>0</v>
      </c>
      <c r="AW43">
        <v>43</v>
      </c>
    </row>
    <row r="44" spans="1:49" x14ac:dyDescent="0.25">
      <c r="A44" s="113">
        <f t="shared" si="9"/>
        <v>452</v>
      </c>
      <c r="B44" s="113" t="str">
        <f t="shared" si="10"/>
        <v>a</v>
      </c>
      <c r="C44" s="113" t="str">
        <f t="shared" si="19"/>
        <v>b</v>
      </c>
      <c r="D44" s="113" t="str">
        <f t="shared" si="19"/>
        <v>c</v>
      </c>
      <c r="E44" s="113" t="str">
        <f t="shared" si="19"/>
        <v>d</v>
      </c>
      <c r="F44" s="113" t="str">
        <f t="shared" si="19"/>
        <v>e</v>
      </c>
      <c r="G44" s="113" t="str">
        <f t="shared" si="19"/>
        <v>f</v>
      </c>
      <c r="H44" s="113" t="str">
        <f t="shared" si="19"/>
        <v>g</v>
      </c>
      <c r="I44" s="113" t="str">
        <f t="shared" si="19"/>
        <v>h</v>
      </c>
      <c r="J44" s="113" t="str">
        <f t="shared" si="19"/>
        <v>i</v>
      </c>
      <c r="K44" s="113" t="str">
        <f t="shared" si="19"/>
        <v>j</v>
      </c>
      <c r="L44" s="113" t="str">
        <f t="shared" si="19"/>
        <v>k</v>
      </c>
      <c r="M44" s="113" t="str">
        <f t="shared" si="20"/>
        <v>l</v>
      </c>
      <c r="N44" s="113" t="str">
        <f t="shared" si="20"/>
        <v>m</v>
      </c>
      <c r="O44" s="113">
        <f t="shared" si="20"/>
        <v>0</v>
      </c>
      <c r="P44" s="113">
        <f t="shared" si="20"/>
        <v>0</v>
      </c>
      <c r="Q44" s="113" t="str">
        <f t="shared" si="20"/>
        <v>p</v>
      </c>
      <c r="R44" s="113">
        <f t="shared" si="20"/>
        <v>0</v>
      </c>
      <c r="S44" s="113">
        <f t="shared" si="20"/>
        <v>0</v>
      </c>
      <c r="T44" s="113">
        <f t="shared" si="20"/>
        <v>0</v>
      </c>
      <c r="U44" s="113">
        <f t="shared" si="20"/>
        <v>0</v>
      </c>
      <c r="V44" s="113">
        <f t="shared" si="20"/>
        <v>0</v>
      </c>
      <c r="W44" s="113">
        <f t="shared" si="21"/>
        <v>0</v>
      </c>
      <c r="X44" s="113">
        <f t="shared" si="21"/>
        <v>0</v>
      </c>
      <c r="AA44" s="113">
        <v>35</v>
      </c>
      <c r="AB44" s="112">
        <f t="shared" ca="1" si="12"/>
        <v>35370</v>
      </c>
      <c r="AC44" s="112">
        <f t="shared" ca="1" si="12"/>
        <v>35611</v>
      </c>
      <c r="AF44" s="114">
        <f t="shared" ca="1" si="13"/>
        <v>14816.12</v>
      </c>
      <c r="AG44" s="114">
        <f t="shared" ca="1" si="14"/>
        <v>0</v>
      </c>
      <c r="AH44" s="114">
        <f t="shared" ca="1" si="15"/>
        <v>0</v>
      </c>
      <c r="AI44" s="114">
        <f t="shared" ca="1" si="16"/>
        <v>6384.11</v>
      </c>
      <c r="AJ44" s="114">
        <f t="shared" ca="1" si="17"/>
        <v>0</v>
      </c>
      <c r="AK44" s="114">
        <f t="shared" ca="1" si="18"/>
        <v>1766.69</v>
      </c>
      <c r="AN44">
        <f t="shared" si="6"/>
        <v>44</v>
      </c>
      <c r="AQ44" s="114">
        <f t="shared" ca="1" si="22"/>
        <v>0</v>
      </c>
      <c r="AW44">
        <v>44</v>
      </c>
    </row>
    <row r="45" spans="1:49" x14ac:dyDescent="0.25">
      <c r="A45" s="113">
        <f>A38+20</f>
        <v>460</v>
      </c>
      <c r="B45" s="113" t="str">
        <f>B38</f>
        <v>a</v>
      </c>
      <c r="C45" s="113" t="str">
        <f t="shared" ref="C45:X45" si="23">C38</f>
        <v>b</v>
      </c>
      <c r="D45" s="113" t="str">
        <f t="shared" si="23"/>
        <v>c</v>
      </c>
      <c r="E45" s="113" t="str">
        <f t="shared" si="23"/>
        <v>d</v>
      </c>
      <c r="F45" s="113" t="str">
        <f t="shared" si="23"/>
        <v>e</v>
      </c>
      <c r="G45" s="113" t="str">
        <f t="shared" si="23"/>
        <v>f</v>
      </c>
      <c r="H45" s="113" t="str">
        <f t="shared" si="23"/>
        <v>g</v>
      </c>
      <c r="I45" s="113" t="str">
        <f t="shared" si="23"/>
        <v>h</v>
      </c>
      <c r="J45" s="113" t="str">
        <f t="shared" si="23"/>
        <v>i</v>
      </c>
      <c r="K45" s="113" t="str">
        <f t="shared" si="23"/>
        <v>j</v>
      </c>
      <c r="L45" s="113" t="str">
        <f t="shared" si="23"/>
        <v>k</v>
      </c>
      <c r="M45" s="113" t="str">
        <f t="shared" si="23"/>
        <v>l</v>
      </c>
      <c r="N45" s="113" t="str">
        <f t="shared" si="23"/>
        <v>m</v>
      </c>
      <c r="O45" s="113">
        <f t="shared" si="23"/>
        <v>0</v>
      </c>
      <c r="P45" s="113">
        <f t="shared" si="23"/>
        <v>0</v>
      </c>
      <c r="Q45" s="113" t="str">
        <f t="shared" si="23"/>
        <v>p</v>
      </c>
      <c r="R45" s="113">
        <f t="shared" si="23"/>
        <v>0</v>
      </c>
      <c r="S45" s="113">
        <f t="shared" si="23"/>
        <v>0</v>
      </c>
      <c r="T45" s="113">
        <f t="shared" si="23"/>
        <v>0</v>
      </c>
      <c r="U45" s="113">
        <f t="shared" si="23"/>
        <v>0</v>
      </c>
      <c r="V45" s="113">
        <f t="shared" si="23"/>
        <v>0</v>
      </c>
      <c r="W45" s="113">
        <f t="shared" si="23"/>
        <v>0</v>
      </c>
      <c r="X45" s="113">
        <f t="shared" si="23"/>
        <v>0</v>
      </c>
      <c r="AA45" s="113">
        <v>0</v>
      </c>
      <c r="AB45" s="112">
        <f ca="1">INDIRECT(CONCATENATE($AB$10,CONCATENATE(B45,$A45)))</f>
        <v>35612</v>
      </c>
      <c r="AC45" s="112">
        <f ca="1">INDIRECT(CONCATENATE($AB$10,CONCATENATE(C45,$A45)))</f>
        <v>36099</v>
      </c>
      <c r="AF45" s="114">
        <f t="shared" ca="1" si="13"/>
        <v>8520.51</v>
      </c>
      <c r="AG45" s="114">
        <f ca="1">INDIRECT(CONCATENATE($AB$10,CONCATENATE(G45,$A45)))</f>
        <v>0</v>
      </c>
      <c r="AH45" s="114">
        <f ca="1">INDIRECT(CONCATENATE($AB$10,CONCATENATE(H45,$A45)))</f>
        <v>0</v>
      </c>
      <c r="AI45" s="114">
        <f ca="1">INDIRECT(CONCATENATE($AB$10,CONCATENATE(I45,$A45)))</f>
        <v>6384.11</v>
      </c>
      <c r="AJ45" s="114">
        <f ca="1">INDIRECT(CONCATENATE($AB$10,CONCATENATE(J45,$A45)))</f>
        <v>0</v>
      </c>
      <c r="AK45" s="114">
        <f ca="1">INDIRECT(CONCATENATE($AB$10,CONCATENATE(K45,$A45)))</f>
        <v>1242.05</v>
      </c>
      <c r="AN45">
        <f t="shared" si="6"/>
        <v>45</v>
      </c>
      <c r="AQ45" s="114">
        <f t="shared" ca="1" si="22"/>
        <v>0</v>
      </c>
      <c r="AW45">
        <v>45</v>
      </c>
    </row>
    <row r="46" spans="1:49" x14ac:dyDescent="0.25">
      <c r="A46" s="113">
        <f t="shared" ref="A46:A51" si="24">A45+2</f>
        <v>462</v>
      </c>
      <c r="B46" s="113" t="str">
        <f t="shared" ref="B46:B51" si="25">B45</f>
        <v>a</v>
      </c>
      <c r="C46" s="113" t="str">
        <f t="shared" ref="C46:C51" si="26">C45</f>
        <v>b</v>
      </c>
      <c r="D46" s="113" t="str">
        <f t="shared" ref="D46:D51" si="27">D45</f>
        <v>c</v>
      </c>
      <c r="E46" s="113" t="str">
        <f t="shared" ref="E46:E51" si="28">E45</f>
        <v>d</v>
      </c>
      <c r="F46" s="113" t="str">
        <f t="shared" ref="F46:F51" si="29">F45</f>
        <v>e</v>
      </c>
      <c r="G46" s="113" t="str">
        <f t="shared" ref="G46:G51" si="30">G45</f>
        <v>f</v>
      </c>
      <c r="H46" s="113" t="str">
        <f t="shared" ref="H46:H51" si="31">H45</f>
        <v>g</v>
      </c>
      <c r="I46" s="113" t="str">
        <f t="shared" ref="I46:I51" si="32">I45</f>
        <v>h</v>
      </c>
      <c r="J46" s="113" t="str">
        <f t="shared" ref="J46:J51" si="33">J45</f>
        <v>i</v>
      </c>
      <c r="K46" s="113" t="str">
        <f t="shared" ref="K46:K51" si="34">K45</f>
        <v>j</v>
      </c>
      <c r="L46" s="113" t="str">
        <f t="shared" ref="L46:L51" si="35">L45</f>
        <v>k</v>
      </c>
      <c r="M46" s="113" t="str">
        <f t="shared" ref="M46:M51" si="36">M45</f>
        <v>l</v>
      </c>
      <c r="N46" s="113" t="str">
        <f t="shared" ref="N46:N51" si="37">N45</f>
        <v>m</v>
      </c>
      <c r="O46" s="113">
        <f t="shared" ref="O46:O51" si="38">O45</f>
        <v>0</v>
      </c>
      <c r="P46" s="113">
        <f t="shared" ref="P46:P51" si="39">P45</f>
        <v>0</v>
      </c>
      <c r="Q46" s="113" t="str">
        <f t="shared" ref="Q46:Q51" si="40">Q45</f>
        <v>p</v>
      </c>
      <c r="R46" s="113">
        <f t="shared" ref="R46:R51" si="41">R45</f>
        <v>0</v>
      </c>
      <c r="S46" s="113">
        <f t="shared" ref="S46:S51" si="42">S45</f>
        <v>0</v>
      </c>
      <c r="T46" s="113">
        <f t="shared" ref="T46:T51" si="43">T45</f>
        <v>0</v>
      </c>
      <c r="U46" s="113">
        <f t="shared" ref="U46:U51" si="44">U45</f>
        <v>0</v>
      </c>
      <c r="V46" s="113">
        <f t="shared" ref="V46:V51" si="45">V45</f>
        <v>0</v>
      </c>
      <c r="W46" s="113">
        <f t="shared" ref="W46:W51" si="46">W45</f>
        <v>0</v>
      </c>
      <c r="X46" s="113">
        <f t="shared" ref="X46:X51" si="47">X45</f>
        <v>0</v>
      </c>
      <c r="AA46" s="113">
        <v>3</v>
      </c>
      <c r="AB46" s="112">
        <f t="shared" ref="AB46:AC51" ca="1" si="48">AB45</f>
        <v>35612</v>
      </c>
      <c r="AC46" s="112">
        <f t="shared" ca="1" si="48"/>
        <v>36099</v>
      </c>
      <c r="AF46" s="114">
        <f t="shared" ca="1" si="13"/>
        <v>8918.69</v>
      </c>
      <c r="AG46" s="114">
        <f t="shared" ref="AG46:AG51" ca="1" si="49">INDIRECT(CONCATENATE($AB$10,CONCATENATE(G46,$A46)))</f>
        <v>0</v>
      </c>
      <c r="AH46" s="114">
        <f t="shared" ref="AH46:AH51" ca="1" si="50">INDIRECT(CONCATENATE($AB$10,CONCATENATE(H46,$A46)))</f>
        <v>0</v>
      </c>
      <c r="AI46" s="114">
        <f t="shared" ref="AI46:AI51" ca="1" si="51">INDIRECT(CONCATENATE($AB$10,CONCATENATE(I46,$A46)))</f>
        <v>6384.11</v>
      </c>
      <c r="AJ46" s="114">
        <f t="shared" ref="AJ46:AJ51" ca="1" si="52">INDIRECT(CONCATENATE($AB$10,CONCATENATE(J46,$A46)))</f>
        <v>0</v>
      </c>
      <c r="AK46" s="114">
        <f t="shared" ref="AK46:AK51" ca="1" si="53">INDIRECT(CONCATENATE($AB$10,CONCATENATE(K46,$A46)))</f>
        <v>1275.23</v>
      </c>
      <c r="AN46">
        <f t="shared" si="6"/>
        <v>46</v>
      </c>
      <c r="AQ46" s="114">
        <f t="shared" ca="1" si="22"/>
        <v>0</v>
      </c>
      <c r="AW46">
        <v>46</v>
      </c>
    </row>
    <row r="47" spans="1:49" x14ac:dyDescent="0.25">
      <c r="A47" s="113">
        <f t="shared" si="24"/>
        <v>464</v>
      </c>
      <c r="B47" s="113" t="str">
        <f t="shared" si="25"/>
        <v>a</v>
      </c>
      <c r="C47" s="113" t="str">
        <f t="shared" si="26"/>
        <v>b</v>
      </c>
      <c r="D47" s="113" t="str">
        <f t="shared" si="27"/>
        <v>c</v>
      </c>
      <c r="E47" s="113" t="str">
        <f t="shared" si="28"/>
        <v>d</v>
      </c>
      <c r="F47" s="113" t="str">
        <f t="shared" si="29"/>
        <v>e</v>
      </c>
      <c r="G47" s="113" t="str">
        <f t="shared" si="30"/>
        <v>f</v>
      </c>
      <c r="H47" s="113" t="str">
        <f t="shared" si="31"/>
        <v>g</v>
      </c>
      <c r="I47" s="113" t="str">
        <f t="shared" si="32"/>
        <v>h</v>
      </c>
      <c r="J47" s="113" t="str">
        <f t="shared" si="33"/>
        <v>i</v>
      </c>
      <c r="K47" s="113" t="str">
        <f t="shared" si="34"/>
        <v>j</v>
      </c>
      <c r="L47" s="113" t="str">
        <f t="shared" si="35"/>
        <v>k</v>
      </c>
      <c r="M47" s="113" t="str">
        <f t="shared" si="36"/>
        <v>l</v>
      </c>
      <c r="N47" s="113" t="str">
        <f t="shared" si="37"/>
        <v>m</v>
      </c>
      <c r="O47" s="113">
        <f t="shared" si="38"/>
        <v>0</v>
      </c>
      <c r="P47" s="113">
        <f t="shared" si="39"/>
        <v>0</v>
      </c>
      <c r="Q47" s="113" t="str">
        <f t="shared" si="40"/>
        <v>p</v>
      </c>
      <c r="R47" s="113">
        <f t="shared" si="41"/>
        <v>0</v>
      </c>
      <c r="S47" s="113">
        <f t="shared" si="42"/>
        <v>0</v>
      </c>
      <c r="T47" s="113">
        <f t="shared" si="43"/>
        <v>0</v>
      </c>
      <c r="U47" s="113">
        <f t="shared" si="44"/>
        <v>0</v>
      </c>
      <c r="V47" s="113">
        <f t="shared" si="45"/>
        <v>0</v>
      </c>
      <c r="W47" s="113">
        <f t="shared" si="46"/>
        <v>0</v>
      </c>
      <c r="X47" s="113">
        <f t="shared" si="47"/>
        <v>0</v>
      </c>
      <c r="AA47" s="113">
        <v>9</v>
      </c>
      <c r="AB47" s="112">
        <f t="shared" ca="1" si="48"/>
        <v>35612</v>
      </c>
      <c r="AC47" s="112">
        <f t="shared" ca="1" si="48"/>
        <v>36099</v>
      </c>
      <c r="AF47" s="114">
        <f t="shared" ca="1" si="13"/>
        <v>10160.26</v>
      </c>
      <c r="AG47" s="114">
        <f t="shared" ca="1" si="49"/>
        <v>0</v>
      </c>
      <c r="AH47" s="114">
        <f t="shared" ca="1" si="50"/>
        <v>0</v>
      </c>
      <c r="AI47" s="114">
        <f t="shared" ca="1" si="51"/>
        <v>6384.11</v>
      </c>
      <c r="AJ47" s="114">
        <f t="shared" ca="1" si="52"/>
        <v>0</v>
      </c>
      <c r="AK47" s="114">
        <f t="shared" ca="1" si="53"/>
        <v>1378.7</v>
      </c>
      <c r="AN47">
        <f t="shared" si="6"/>
        <v>47</v>
      </c>
      <c r="AQ47" s="114">
        <f t="shared" ref="AQ47:AQ110" ca="1" si="54">INDIRECT(CONCATENATE($AB$10,CONCATENATE(Q47,$A47)))</f>
        <v>0</v>
      </c>
      <c r="AW47">
        <v>47</v>
      </c>
    </row>
    <row r="48" spans="1:49" x14ac:dyDescent="0.25">
      <c r="A48" s="113">
        <f t="shared" si="24"/>
        <v>466</v>
      </c>
      <c r="B48" s="113" t="str">
        <f t="shared" si="25"/>
        <v>a</v>
      </c>
      <c r="C48" s="113" t="str">
        <f t="shared" si="26"/>
        <v>b</v>
      </c>
      <c r="D48" s="113" t="str">
        <f t="shared" si="27"/>
        <v>c</v>
      </c>
      <c r="E48" s="113" t="str">
        <f t="shared" si="28"/>
        <v>d</v>
      </c>
      <c r="F48" s="113" t="str">
        <f t="shared" si="29"/>
        <v>e</v>
      </c>
      <c r="G48" s="113" t="str">
        <f t="shared" si="30"/>
        <v>f</v>
      </c>
      <c r="H48" s="113" t="str">
        <f t="shared" si="31"/>
        <v>g</v>
      </c>
      <c r="I48" s="113" t="str">
        <f t="shared" si="32"/>
        <v>h</v>
      </c>
      <c r="J48" s="113" t="str">
        <f t="shared" si="33"/>
        <v>i</v>
      </c>
      <c r="K48" s="113" t="str">
        <f t="shared" si="34"/>
        <v>j</v>
      </c>
      <c r="L48" s="113" t="str">
        <f t="shared" si="35"/>
        <v>k</v>
      </c>
      <c r="M48" s="113" t="str">
        <f t="shared" si="36"/>
        <v>l</v>
      </c>
      <c r="N48" s="113" t="str">
        <f t="shared" si="37"/>
        <v>m</v>
      </c>
      <c r="O48" s="113">
        <f t="shared" si="38"/>
        <v>0</v>
      </c>
      <c r="P48" s="113">
        <f t="shared" si="39"/>
        <v>0</v>
      </c>
      <c r="Q48" s="113" t="str">
        <f t="shared" si="40"/>
        <v>p</v>
      </c>
      <c r="R48" s="113">
        <f t="shared" si="41"/>
        <v>0</v>
      </c>
      <c r="S48" s="113">
        <f t="shared" si="42"/>
        <v>0</v>
      </c>
      <c r="T48" s="113">
        <f t="shared" si="43"/>
        <v>0</v>
      </c>
      <c r="U48" s="113">
        <f t="shared" si="44"/>
        <v>0</v>
      </c>
      <c r="V48" s="113">
        <f t="shared" si="45"/>
        <v>0</v>
      </c>
      <c r="W48" s="113">
        <f t="shared" si="46"/>
        <v>0</v>
      </c>
      <c r="X48" s="113">
        <f t="shared" si="47"/>
        <v>0</v>
      </c>
      <c r="AA48" s="113">
        <v>15</v>
      </c>
      <c r="AB48" s="112">
        <f t="shared" ca="1" si="48"/>
        <v>35612</v>
      </c>
      <c r="AC48" s="112">
        <f t="shared" ca="1" si="48"/>
        <v>36099</v>
      </c>
      <c r="AF48" s="114">
        <f t="shared" ca="1" si="13"/>
        <v>11605.3</v>
      </c>
      <c r="AG48" s="114">
        <f t="shared" ca="1" si="49"/>
        <v>0</v>
      </c>
      <c r="AH48" s="114">
        <f t="shared" ca="1" si="50"/>
        <v>0</v>
      </c>
      <c r="AI48" s="114">
        <f t="shared" ca="1" si="51"/>
        <v>6384.11</v>
      </c>
      <c r="AJ48" s="114">
        <f t="shared" ca="1" si="52"/>
        <v>0</v>
      </c>
      <c r="AK48" s="114">
        <f t="shared" ca="1" si="53"/>
        <v>1499.12</v>
      </c>
      <c r="AN48">
        <f t="shared" si="6"/>
        <v>48</v>
      </c>
      <c r="AQ48" s="114">
        <f t="shared" ca="1" si="54"/>
        <v>0</v>
      </c>
      <c r="AW48">
        <v>48</v>
      </c>
    </row>
    <row r="49" spans="1:49" x14ac:dyDescent="0.25">
      <c r="A49" s="113">
        <f t="shared" si="24"/>
        <v>468</v>
      </c>
      <c r="B49" s="113" t="str">
        <f t="shared" si="25"/>
        <v>a</v>
      </c>
      <c r="C49" s="113" t="str">
        <f t="shared" si="26"/>
        <v>b</v>
      </c>
      <c r="D49" s="113" t="str">
        <f t="shared" si="27"/>
        <v>c</v>
      </c>
      <c r="E49" s="113" t="str">
        <f t="shared" si="28"/>
        <v>d</v>
      </c>
      <c r="F49" s="113" t="str">
        <f t="shared" si="29"/>
        <v>e</v>
      </c>
      <c r="G49" s="113" t="str">
        <f t="shared" si="30"/>
        <v>f</v>
      </c>
      <c r="H49" s="113" t="str">
        <f t="shared" si="31"/>
        <v>g</v>
      </c>
      <c r="I49" s="113" t="str">
        <f t="shared" si="32"/>
        <v>h</v>
      </c>
      <c r="J49" s="113" t="str">
        <f t="shared" si="33"/>
        <v>i</v>
      </c>
      <c r="K49" s="113" t="str">
        <f t="shared" si="34"/>
        <v>j</v>
      </c>
      <c r="L49" s="113" t="str">
        <f t="shared" si="35"/>
        <v>k</v>
      </c>
      <c r="M49" s="113" t="str">
        <f t="shared" si="36"/>
        <v>l</v>
      </c>
      <c r="N49" s="113" t="str">
        <f t="shared" si="37"/>
        <v>m</v>
      </c>
      <c r="O49" s="113">
        <f t="shared" si="38"/>
        <v>0</v>
      </c>
      <c r="P49" s="113">
        <f t="shared" si="39"/>
        <v>0</v>
      </c>
      <c r="Q49" s="113" t="str">
        <f t="shared" si="40"/>
        <v>p</v>
      </c>
      <c r="R49" s="113">
        <f t="shared" si="41"/>
        <v>0</v>
      </c>
      <c r="S49" s="113">
        <f t="shared" si="42"/>
        <v>0</v>
      </c>
      <c r="T49" s="113">
        <f t="shared" si="43"/>
        <v>0</v>
      </c>
      <c r="U49" s="113">
        <f t="shared" si="44"/>
        <v>0</v>
      </c>
      <c r="V49" s="113">
        <f t="shared" si="45"/>
        <v>0</v>
      </c>
      <c r="W49" s="113">
        <f t="shared" si="46"/>
        <v>0</v>
      </c>
      <c r="X49" s="113">
        <f t="shared" si="47"/>
        <v>0</v>
      </c>
      <c r="AA49" s="113">
        <v>21</v>
      </c>
      <c r="AB49" s="112">
        <f t="shared" ca="1" si="48"/>
        <v>35612</v>
      </c>
      <c r="AC49" s="112">
        <f t="shared" ca="1" si="48"/>
        <v>36099</v>
      </c>
      <c r="AF49" s="114">
        <f t="shared" ca="1" si="13"/>
        <v>13017.3</v>
      </c>
      <c r="AG49" s="114">
        <f t="shared" ca="1" si="49"/>
        <v>0</v>
      </c>
      <c r="AH49" s="114">
        <f t="shared" ca="1" si="50"/>
        <v>0</v>
      </c>
      <c r="AI49" s="114">
        <f t="shared" ca="1" si="51"/>
        <v>6384.11</v>
      </c>
      <c r="AJ49" s="114">
        <f t="shared" ca="1" si="52"/>
        <v>0</v>
      </c>
      <c r="AK49" s="114">
        <f t="shared" ca="1" si="53"/>
        <v>1616.78</v>
      </c>
      <c r="AN49">
        <f t="shared" si="6"/>
        <v>49</v>
      </c>
      <c r="AQ49" s="114">
        <f t="shared" ca="1" si="54"/>
        <v>0</v>
      </c>
      <c r="AW49">
        <v>49</v>
      </c>
    </row>
    <row r="50" spans="1:49" x14ac:dyDescent="0.25">
      <c r="A50" s="113">
        <f t="shared" si="24"/>
        <v>470</v>
      </c>
      <c r="B50" s="113" t="str">
        <f t="shared" si="25"/>
        <v>a</v>
      </c>
      <c r="C50" s="113" t="str">
        <f t="shared" si="26"/>
        <v>b</v>
      </c>
      <c r="D50" s="113" t="str">
        <f t="shared" si="27"/>
        <v>c</v>
      </c>
      <c r="E50" s="113" t="str">
        <f t="shared" si="28"/>
        <v>d</v>
      </c>
      <c r="F50" s="113" t="str">
        <f t="shared" si="29"/>
        <v>e</v>
      </c>
      <c r="G50" s="113" t="str">
        <f t="shared" si="30"/>
        <v>f</v>
      </c>
      <c r="H50" s="113" t="str">
        <f t="shared" si="31"/>
        <v>g</v>
      </c>
      <c r="I50" s="113" t="str">
        <f t="shared" si="32"/>
        <v>h</v>
      </c>
      <c r="J50" s="113" t="str">
        <f t="shared" si="33"/>
        <v>i</v>
      </c>
      <c r="K50" s="113" t="str">
        <f t="shared" si="34"/>
        <v>j</v>
      </c>
      <c r="L50" s="113" t="str">
        <f t="shared" si="35"/>
        <v>k</v>
      </c>
      <c r="M50" s="113" t="str">
        <f t="shared" si="36"/>
        <v>l</v>
      </c>
      <c r="N50" s="113" t="str">
        <f t="shared" si="37"/>
        <v>m</v>
      </c>
      <c r="O50" s="113">
        <f t="shared" si="38"/>
        <v>0</v>
      </c>
      <c r="P50" s="113">
        <f t="shared" si="39"/>
        <v>0</v>
      </c>
      <c r="Q50" s="113" t="str">
        <f t="shared" si="40"/>
        <v>p</v>
      </c>
      <c r="R50" s="113">
        <f t="shared" si="41"/>
        <v>0</v>
      </c>
      <c r="S50" s="113">
        <f t="shared" si="42"/>
        <v>0</v>
      </c>
      <c r="T50" s="113">
        <f t="shared" si="43"/>
        <v>0</v>
      </c>
      <c r="U50" s="113">
        <f t="shared" si="44"/>
        <v>0</v>
      </c>
      <c r="V50" s="113">
        <f t="shared" si="45"/>
        <v>0</v>
      </c>
      <c r="W50" s="113">
        <f t="shared" si="46"/>
        <v>0</v>
      </c>
      <c r="X50" s="113">
        <f t="shared" si="47"/>
        <v>0</v>
      </c>
      <c r="AA50" s="113">
        <v>28</v>
      </c>
      <c r="AB50" s="112">
        <f t="shared" ca="1" si="48"/>
        <v>35612</v>
      </c>
      <c r="AC50" s="112">
        <f t="shared" ca="1" si="48"/>
        <v>36099</v>
      </c>
      <c r="AF50" s="114">
        <f t="shared" ca="1" si="13"/>
        <v>14402.95</v>
      </c>
      <c r="AG50" s="114">
        <f t="shared" ca="1" si="49"/>
        <v>0</v>
      </c>
      <c r="AH50" s="114">
        <f t="shared" ca="1" si="50"/>
        <v>0</v>
      </c>
      <c r="AI50" s="114">
        <f t="shared" ca="1" si="51"/>
        <v>6384.11</v>
      </c>
      <c r="AJ50" s="114">
        <f t="shared" ca="1" si="52"/>
        <v>0</v>
      </c>
      <c r="AK50" s="114">
        <f t="shared" ca="1" si="53"/>
        <v>1732.26</v>
      </c>
      <c r="AN50">
        <f t="shared" si="6"/>
        <v>50</v>
      </c>
      <c r="AQ50" s="114">
        <f t="shared" ca="1" si="54"/>
        <v>0</v>
      </c>
      <c r="AW50">
        <v>50</v>
      </c>
    </row>
    <row r="51" spans="1:49" x14ac:dyDescent="0.25">
      <c r="A51" s="113">
        <f t="shared" si="24"/>
        <v>472</v>
      </c>
      <c r="B51" s="113" t="str">
        <f t="shared" si="25"/>
        <v>a</v>
      </c>
      <c r="C51" s="113" t="str">
        <f t="shared" si="26"/>
        <v>b</v>
      </c>
      <c r="D51" s="113" t="str">
        <f t="shared" si="27"/>
        <v>c</v>
      </c>
      <c r="E51" s="113" t="str">
        <f t="shared" si="28"/>
        <v>d</v>
      </c>
      <c r="F51" s="113" t="str">
        <f t="shared" si="29"/>
        <v>e</v>
      </c>
      <c r="G51" s="113" t="str">
        <f t="shared" si="30"/>
        <v>f</v>
      </c>
      <c r="H51" s="113" t="str">
        <f t="shared" si="31"/>
        <v>g</v>
      </c>
      <c r="I51" s="113" t="str">
        <f t="shared" si="32"/>
        <v>h</v>
      </c>
      <c r="J51" s="113" t="str">
        <f t="shared" si="33"/>
        <v>i</v>
      </c>
      <c r="K51" s="113" t="str">
        <f t="shared" si="34"/>
        <v>j</v>
      </c>
      <c r="L51" s="113" t="str">
        <f t="shared" si="35"/>
        <v>k</v>
      </c>
      <c r="M51" s="113" t="str">
        <f t="shared" si="36"/>
        <v>l</v>
      </c>
      <c r="N51" s="113" t="str">
        <f t="shared" si="37"/>
        <v>m</v>
      </c>
      <c r="O51" s="113">
        <f t="shared" si="38"/>
        <v>0</v>
      </c>
      <c r="P51" s="113">
        <f t="shared" si="39"/>
        <v>0</v>
      </c>
      <c r="Q51" s="113" t="str">
        <f t="shared" si="40"/>
        <v>p</v>
      </c>
      <c r="R51" s="113">
        <f t="shared" si="41"/>
        <v>0</v>
      </c>
      <c r="S51" s="113">
        <f t="shared" si="42"/>
        <v>0</v>
      </c>
      <c r="T51" s="113">
        <f t="shared" si="43"/>
        <v>0</v>
      </c>
      <c r="U51" s="113">
        <f t="shared" si="44"/>
        <v>0</v>
      </c>
      <c r="V51" s="113">
        <f t="shared" si="45"/>
        <v>0</v>
      </c>
      <c r="W51" s="113">
        <f t="shared" si="46"/>
        <v>0</v>
      </c>
      <c r="X51" s="113">
        <f t="shared" si="47"/>
        <v>0</v>
      </c>
      <c r="AA51" s="113">
        <v>35</v>
      </c>
      <c r="AB51" s="112">
        <f t="shared" ca="1" si="48"/>
        <v>35612</v>
      </c>
      <c r="AC51" s="112">
        <f t="shared" ca="1" si="48"/>
        <v>36099</v>
      </c>
      <c r="AF51" s="114">
        <f t="shared" ca="1" si="13"/>
        <v>15435.86</v>
      </c>
      <c r="AG51" s="114">
        <f t="shared" ca="1" si="49"/>
        <v>0</v>
      </c>
      <c r="AH51" s="114">
        <f t="shared" ca="1" si="50"/>
        <v>0</v>
      </c>
      <c r="AI51" s="114">
        <f t="shared" ca="1" si="51"/>
        <v>6384.11</v>
      </c>
      <c r="AJ51" s="114">
        <f t="shared" ca="1" si="52"/>
        <v>0</v>
      </c>
      <c r="AK51" s="114">
        <f t="shared" ca="1" si="53"/>
        <v>1818.33</v>
      </c>
      <c r="AN51">
        <f t="shared" si="6"/>
        <v>51</v>
      </c>
      <c r="AQ51" s="114">
        <f t="shared" ca="1" si="54"/>
        <v>0</v>
      </c>
      <c r="AW51">
        <v>51</v>
      </c>
    </row>
    <row r="52" spans="1:49" x14ac:dyDescent="0.25">
      <c r="A52" s="113">
        <f>A45+20</f>
        <v>480</v>
      </c>
      <c r="B52" s="113" t="str">
        <f>B45</f>
        <v>a</v>
      </c>
      <c r="C52" s="113" t="str">
        <f t="shared" ref="C52:X52" si="55">C45</f>
        <v>b</v>
      </c>
      <c r="D52" s="113" t="str">
        <f t="shared" si="55"/>
        <v>c</v>
      </c>
      <c r="E52" s="113" t="str">
        <f t="shared" si="55"/>
        <v>d</v>
      </c>
      <c r="F52" s="113" t="str">
        <f t="shared" si="55"/>
        <v>e</v>
      </c>
      <c r="G52" s="113" t="str">
        <f t="shared" si="55"/>
        <v>f</v>
      </c>
      <c r="H52" s="113" t="str">
        <f t="shared" si="55"/>
        <v>g</v>
      </c>
      <c r="I52" s="113" t="str">
        <f t="shared" si="55"/>
        <v>h</v>
      </c>
      <c r="J52" s="113" t="str">
        <f t="shared" si="55"/>
        <v>i</v>
      </c>
      <c r="K52" s="113" t="str">
        <f t="shared" si="55"/>
        <v>j</v>
      </c>
      <c r="L52" s="113" t="str">
        <f t="shared" si="55"/>
        <v>k</v>
      </c>
      <c r="M52" s="113" t="str">
        <f t="shared" si="55"/>
        <v>l</v>
      </c>
      <c r="N52" s="113" t="str">
        <f t="shared" si="55"/>
        <v>m</v>
      </c>
      <c r="O52" s="113">
        <f t="shared" si="55"/>
        <v>0</v>
      </c>
      <c r="P52" s="113">
        <f t="shared" si="55"/>
        <v>0</v>
      </c>
      <c r="Q52" s="113" t="str">
        <f t="shared" si="55"/>
        <v>p</v>
      </c>
      <c r="R52" s="113">
        <f t="shared" si="55"/>
        <v>0</v>
      </c>
      <c r="S52" s="113">
        <f t="shared" si="55"/>
        <v>0</v>
      </c>
      <c r="T52" s="113">
        <f t="shared" si="55"/>
        <v>0</v>
      </c>
      <c r="U52" s="113">
        <f t="shared" si="55"/>
        <v>0</v>
      </c>
      <c r="V52" s="113">
        <f t="shared" si="55"/>
        <v>0</v>
      </c>
      <c r="W52" s="113">
        <f t="shared" si="55"/>
        <v>0</v>
      </c>
      <c r="X52" s="113">
        <f t="shared" si="55"/>
        <v>0</v>
      </c>
      <c r="AA52" s="113">
        <v>0</v>
      </c>
      <c r="AB52" s="112">
        <f ca="1">INDIRECT(CONCATENATE($AB$10,CONCATENATE(B52,$A52)))</f>
        <v>36100</v>
      </c>
      <c r="AC52" s="112">
        <f ca="1">INDIRECT(CONCATENATE($AB$10,CONCATENATE(C52,$A52)))</f>
        <v>36311</v>
      </c>
      <c r="AF52" s="114">
        <f t="shared" ca="1" si="13"/>
        <v>8787</v>
      </c>
      <c r="AG52" s="114">
        <f ca="1">INDIRECT(CONCATENATE($AB$10,CONCATENATE(G52,$A52)))</f>
        <v>0</v>
      </c>
      <c r="AH52" s="114">
        <f ca="1">INDIRECT(CONCATENATE($AB$10,CONCATENATE(H52,$A52)))</f>
        <v>0</v>
      </c>
      <c r="AI52" s="114">
        <f ca="1">INDIRECT(CONCATENATE($AB$10,CONCATENATE(I52,$A52)))</f>
        <v>6384.11</v>
      </c>
      <c r="AJ52" s="114">
        <f ca="1">INDIRECT(CONCATENATE($AB$10,CONCATENATE(J52,$A52)))</f>
        <v>0</v>
      </c>
      <c r="AK52" s="114">
        <f ca="1">INDIRECT(CONCATENATE($AB$10,CONCATENATE(K52,$A52)))</f>
        <v>1264.26</v>
      </c>
      <c r="AN52">
        <f t="shared" si="6"/>
        <v>52</v>
      </c>
      <c r="AQ52" s="114">
        <f t="shared" ca="1" si="54"/>
        <v>0</v>
      </c>
      <c r="AW52">
        <v>52</v>
      </c>
    </row>
    <row r="53" spans="1:49" x14ac:dyDescent="0.25">
      <c r="A53" s="113">
        <f t="shared" ref="A53:A58" si="56">A52+2</f>
        <v>482</v>
      </c>
      <c r="B53" s="113" t="str">
        <f t="shared" ref="B53:B58" si="57">B52</f>
        <v>a</v>
      </c>
      <c r="C53" s="113" t="str">
        <f t="shared" ref="C53:C58" si="58">C52</f>
        <v>b</v>
      </c>
      <c r="D53" s="113" t="str">
        <f t="shared" ref="D53:D58" si="59">D52</f>
        <v>c</v>
      </c>
      <c r="E53" s="113" t="str">
        <f t="shared" ref="E53:E58" si="60">E52</f>
        <v>d</v>
      </c>
      <c r="F53" s="113" t="str">
        <f t="shared" ref="F53:F58" si="61">F52</f>
        <v>e</v>
      </c>
      <c r="G53" s="113" t="str">
        <f t="shared" ref="G53:G58" si="62">G52</f>
        <v>f</v>
      </c>
      <c r="H53" s="113" t="str">
        <f t="shared" ref="H53:H58" si="63">H52</f>
        <v>g</v>
      </c>
      <c r="I53" s="113" t="str">
        <f t="shared" ref="I53:I58" si="64">I52</f>
        <v>h</v>
      </c>
      <c r="J53" s="113" t="str">
        <f t="shared" ref="J53:J58" si="65">J52</f>
        <v>i</v>
      </c>
      <c r="K53" s="113" t="str">
        <f t="shared" ref="K53:K58" si="66">K52</f>
        <v>j</v>
      </c>
      <c r="L53" s="113" t="str">
        <f t="shared" ref="L53:L58" si="67">L52</f>
        <v>k</v>
      </c>
      <c r="M53" s="113" t="str">
        <f t="shared" ref="M53:M58" si="68">M52</f>
        <v>l</v>
      </c>
      <c r="N53" s="113" t="str">
        <f t="shared" ref="N53:N58" si="69">N52</f>
        <v>m</v>
      </c>
      <c r="O53" s="113">
        <f t="shared" ref="O53:O58" si="70">O52</f>
        <v>0</v>
      </c>
      <c r="P53" s="113">
        <f t="shared" ref="P53:P58" si="71">P52</f>
        <v>0</v>
      </c>
      <c r="Q53" s="113" t="str">
        <f t="shared" ref="Q53:Q58" si="72">Q52</f>
        <v>p</v>
      </c>
      <c r="R53" s="113">
        <f t="shared" ref="R53:R58" si="73">R52</f>
        <v>0</v>
      </c>
      <c r="S53" s="113">
        <f t="shared" ref="S53:S58" si="74">S52</f>
        <v>0</v>
      </c>
      <c r="T53" s="113">
        <f t="shared" ref="T53:T58" si="75">T52</f>
        <v>0</v>
      </c>
      <c r="U53" s="113">
        <f t="shared" ref="U53:U58" si="76">U52</f>
        <v>0</v>
      </c>
      <c r="V53" s="113">
        <f t="shared" ref="V53:V58" si="77">V52</f>
        <v>0</v>
      </c>
      <c r="W53" s="113">
        <f t="shared" ref="W53:W58" si="78">W52</f>
        <v>0</v>
      </c>
      <c r="X53" s="113">
        <f t="shared" ref="X53:X58" si="79">X52</f>
        <v>0</v>
      </c>
      <c r="AA53" s="113">
        <v>3</v>
      </c>
      <c r="AB53" s="112">
        <f t="shared" ref="AB53:AC58" ca="1" si="80">AB52</f>
        <v>36100</v>
      </c>
      <c r="AC53" s="112">
        <f t="shared" ca="1" si="80"/>
        <v>36311</v>
      </c>
      <c r="AF53" s="114">
        <f t="shared" ca="1" si="13"/>
        <v>9191.3799999999992</v>
      </c>
      <c r="AG53" s="114">
        <f t="shared" ref="AG53:AG58" ca="1" si="81">INDIRECT(CONCATENATE($AB$10,CONCATENATE(G53,$A53)))</f>
        <v>0</v>
      </c>
      <c r="AH53" s="114">
        <f t="shared" ref="AH53:AH58" ca="1" si="82">INDIRECT(CONCATENATE($AB$10,CONCATENATE(H53,$A53)))</f>
        <v>0</v>
      </c>
      <c r="AI53" s="114">
        <f t="shared" ref="AI53:AI58" ca="1" si="83">INDIRECT(CONCATENATE($AB$10,CONCATENATE(I53,$A53)))</f>
        <v>6384.11</v>
      </c>
      <c r="AJ53" s="114">
        <f t="shared" ref="AJ53:AJ58" ca="1" si="84">INDIRECT(CONCATENATE($AB$10,CONCATENATE(J53,$A53)))</f>
        <v>0</v>
      </c>
      <c r="AK53" s="114">
        <f t="shared" ref="AK53:AK58" ca="1" si="85">INDIRECT(CONCATENATE($AB$10,CONCATENATE(K53,$A53)))</f>
        <v>1297.96</v>
      </c>
      <c r="AN53">
        <f t="shared" si="6"/>
        <v>53</v>
      </c>
      <c r="AQ53" s="114">
        <f t="shared" ca="1" si="54"/>
        <v>0</v>
      </c>
      <c r="AW53">
        <v>53</v>
      </c>
    </row>
    <row r="54" spans="1:49" x14ac:dyDescent="0.25">
      <c r="A54" s="113">
        <f t="shared" si="56"/>
        <v>484</v>
      </c>
      <c r="B54" s="113" t="str">
        <f t="shared" si="57"/>
        <v>a</v>
      </c>
      <c r="C54" s="113" t="str">
        <f t="shared" si="58"/>
        <v>b</v>
      </c>
      <c r="D54" s="113" t="str">
        <f t="shared" si="59"/>
        <v>c</v>
      </c>
      <c r="E54" s="113" t="str">
        <f t="shared" si="60"/>
        <v>d</v>
      </c>
      <c r="F54" s="113" t="str">
        <f t="shared" si="61"/>
        <v>e</v>
      </c>
      <c r="G54" s="113" t="str">
        <f t="shared" si="62"/>
        <v>f</v>
      </c>
      <c r="H54" s="113" t="str">
        <f t="shared" si="63"/>
        <v>g</v>
      </c>
      <c r="I54" s="113" t="str">
        <f t="shared" si="64"/>
        <v>h</v>
      </c>
      <c r="J54" s="113" t="str">
        <f t="shared" si="65"/>
        <v>i</v>
      </c>
      <c r="K54" s="113" t="str">
        <f t="shared" si="66"/>
        <v>j</v>
      </c>
      <c r="L54" s="113" t="str">
        <f t="shared" si="67"/>
        <v>k</v>
      </c>
      <c r="M54" s="113" t="str">
        <f t="shared" si="68"/>
        <v>l</v>
      </c>
      <c r="N54" s="113" t="str">
        <f t="shared" si="69"/>
        <v>m</v>
      </c>
      <c r="O54" s="113">
        <f t="shared" si="70"/>
        <v>0</v>
      </c>
      <c r="P54" s="113">
        <f t="shared" si="71"/>
        <v>0</v>
      </c>
      <c r="Q54" s="113" t="str">
        <f t="shared" si="72"/>
        <v>p</v>
      </c>
      <c r="R54" s="113">
        <f t="shared" si="73"/>
        <v>0</v>
      </c>
      <c r="S54" s="113">
        <f t="shared" si="74"/>
        <v>0</v>
      </c>
      <c r="T54" s="113">
        <f t="shared" si="75"/>
        <v>0</v>
      </c>
      <c r="U54" s="113">
        <f t="shared" si="76"/>
        <v>0</v>
      </c>
      <c r="V54" s="113">
        <f t="shared" si="77"/>
        <v>0</v>
      </c>
      <c r="W54" s="113">
        <f t="shared" si="78"/>
        <v>0</v>
      </c>
      <c r="X54" s="113">
        <f t="shared" si="79"/>
        <v>0</v>
      </c>
      <c r="AA54" s="113">
        <v>9</v>
      </c>
      <c r="AB54" s="112">
        <f t="shared" ca="1" si="80"/>
        <v>36100</v>
      </c>
      <c r="AC54" s="112">
        <f t="shared" ca="1" si="80"/>
        <v>36311</v>
      </c>
      <c r="AF54" s="114">
        <f t="shared" ca="1" si="13"/>
        <v>10457.74</v>
      </c>
      <c r="AG54" s="114">
        <f t="shared" ca="1" si="81"/>
        <v>0</v>
      </c>
      <c r="AH54" s="114">
        <f t="shared" ca="1" si="82"/>
        <v>0</v>
      </c>
      <c r="AI54" s="114">
        <f t="shared" ca="1" si="83"/>
        <v>6384.11</v>
      </c>
      <c r="AJ54" s="114">
        <f t="shared" ca="1" si="84"/>
        <v>0</v>
      </c>
      <c r="AK54" s="114">
        <f t="shared" ca="1" si="85"/>
        <v>1403.49</v>
      </c>
      <c r="AN54">
        <f t="shared" si="6"/>
        <v>54</v>
      </c>
      <c r="AQ54" s="114">
        <f t="shared" ca="1" si="54"/>
        <v>0</v>
      </c>
      <c r="AW54">
        <v>54</v>
      </c>
    </row>
    <row r="55" spans="1:49" x14ac:dyDescent="0.25">
      <c r="A55" s="113">
        <f t="shared" si="56"/>
        <v>486</v>
      </c>
      <c r="B55" s="113" t="str">
        <f t="shared" si="57"/>
        <v>a</v>
      </c>
      <c r="C55" s="113" t="str">
        <f t="shared" si="58"/>
        <v>b</v>
      </c>
      <c r="D55" s="113" t="str">
        <f t="shared" si="59"/>
        <v>c</v>
      </c>
      <c r="E55" s="113" t="str">
        <f t="shared" si="60"/>
        <v>d</v>
      </c>
      <c r="F55" s="113" t="str">
        <f t="shared" si="61"/>
        <v>e</v>
      </c>
      <c r="G55" s="113" t="str">
        <f t="shared" si="62"/>
        <v>f</v>
      </c>
      <c r="H55" s="113" t="str">
        <f t="shared" si="63"/>
        <v>g</v>
      </c>
      <c r="I55" s="113" t="str">
        <f t="shared" si="64"/>
        <v>h</v>
      </c>
      <c r="J55" s="113" t="str">
        <f t="shared" si="65"/>
        <v>i</v>
      </c>
      <c r="K55" s="113" t="str">
        <f t="shared" si="66"/>
        <v>j</v>
      </c>
      <c r="L55" s="113" t="str">
        <f t="shared" si="67"/>
        <v>k</v>
      </c>
      <c r="M55" s="113" t="str">
        <f t="shared" si="68"/>
        <v>l</v>
      </c>
      <c r="N55" s="113" t="str">
        <f t="shared" si="69"/>
        <v>m</v>
      </c>
      <c r="O55" s="113">
        <f t="shared" si="70"/>
        <v>0</v>
      </c>
      <c r="P55" s="113">
        <f t="shared" si="71"/>
        <v>0</v>
      </c>
      <c r="Q55" s="113" t="str">
        <f t="shared" si="72"/>
        <v>p</v>
      </c>
      <c r="R55" s="113">
        <f t="shared" si="73"/>
        <v>0</v>
      </c>
      <c r="S55" s="113">
        <f t="shared" si="74"/>
        <v>0</v>
      </c>
      <c r="T55" s="113">
        <f t="shared" si="75"/>
        <v>0</v>
      </c>
      <c r="U55" s="113">
        <f t="shared" si="76"/>
        <v>0</v>
      </c>
      <c r="V55" s="113">
        <f t="shared" si="77"/>
        <v>0</v>
      </c>
      <c r="W55" s="113">
        <f t="shared" si="78"/>
        <v>0</v>
      </c>
      <c r="X55" s="113">
        <f t="shared" si="79"/>
        <v>0</v>
      </c>
      <c r="AA55" s="113">
        <v>15</v>
      </c>
      <c r="AB55" s="112">
        <f t="shared" ca="1" si="80"/>
        <v>36100</v>
      </c>
      <c r="AC55" s="112">
        <f t="shared" ca="1" si="80"/>
        <v>36311</v>
      </c>
      <c r="AF55" s="114">
        <f t="shared" ca="1" si="13"/>
        <v>11927.57</v>
      </c>
      <c r="AG55" s="114">
        <f t="shared" ca="1" si="81"/>
        <v>0</v>
      </c>
      <c r="AH55" s="114">
        <f t="shared" ca="1" si="82"/>
        <v>0</v>
      </c>
      <c r="AI55" s="114">
        <f t="shared" ca="1" si="83"/>
        <v>6384.11</v>
      </c>
      <c r="AJ55" s="114">
        <f t="shared" ca="1" si="84"/>
        <v>0</v>
      </c>
      <c r="AK55" s="114">
        <f t="shared" ca="1" si="85"/>
        <v>1525.97</v>
      </c>
      <c r="AN55">
        <f t="shared" si="6"/>
        <v>55</v>
      </c>
      <c r="AQ55" s="114">
        <f t="shared" ca="1" si="54"/>
        <v>0</v>
      </c>
      <c r="AW55">
        <v>55</v>
      </c>
    </row>
    <row r="56" spans="1:49" x14ac:dyDescent="0.25">
      <c r="A56" s="113">
        <f t="shared" si="56"/>
        <v>488</v>
      </c>
      <c r="B56" s="113" t="str">
        <f t="shared" si="57"/>
        <v>a</v>
      </c>
      <c r="C56" s="113" t="str">
        <f t="shared" si="58"/>
        <v>b</v>
      </c>
      <c r="D56" s="113" t="str">
        <f t="shared" si="59"/>
        <v>c</v>
      </c>
      <c r="E56" s="113" t="str">
        <f t="shared" si="60"/>
        <v>d</v>
      </c>
      <c r="F56" s="113" t="str">
        <f t="shared" si="61"/>
        <v>e</v>
      </c>
      <c r="G56" s="113" t="str">
        <f t="shared" si="62"/>
        <v>f</v>
      </c>
      <c r="H56" s="113" t="str">
        <f t="shared" si="63"/>
        <v>g</v>
      </c>
      <c r="I56" s="113" t="str">
        <f t="shared" si="64"/>
        <v>h</v>
      </c>
      <c r="J56" s="113" t="str">
        <f t="shared" si="65"/>
        <v>i</v>
      </c>
      <c r="K56" s="113" t="str">
        <f t="shared" si="66"/>
        <v>j</v>
      </c>
      <c r="L56" s="113" t="str">
        <f t="shared" si="67"/>
        <v>k</v>
      </c>
      <c r="M56" s="113" t="str">
        <f t="shared" si="68"/>
        <v>l</v>
      </c>
      <c r="N56" s="113" t="str">
        <f t="shared" si="69"/>
        <v>m</v>
      </c>
      <c r="O56" s="113">
        <f t="shared" si="70"/>
        <v>0</v>
      </c>
      <c r="P56" s="113">
        <f t="shared" si="71"/>
        <v>0</v>
      </c>
      <c r="Q56" s="113" t="str">
        <f t="shared" si="72"/>
        <v>p</v>
      </c>
      <c r="R56" s="113">
        <f t="shared" si="73"/>
        <v>0</v>
      </c>
      <c r="S56" s="113">
        <f t="shared" si="74"/>
        <v>0</v>
      </c>
      <c r="T56" s="113">
        <f t="shared" si="75"/>
        <v>0</v>
      </c>
      <c r="U56" s="113">
        <f t="shared" si="76"/>
        <v>0</v>
      </c>
      <c r="V56" s="113">
        <f t="shared" si="77"/>
        <v>0</v>
      </c>
      <c r="W56" s="113">
        <f t="shared" si="78"/>
        <v>0</v>
      </c>
      <c r="X56" s="113">
        <f t="shared" si="79"/>
        <v>0</v>
      </c>
      <c r="AA56" s="113">
        <v>21</v>
      </c>
      <c r="AB56" s="112">
        <f t="shared" ca="1" si="80"/>
        <v>36100</v>
      </c>
      <c r="AC56" s="112">
        <f t="shared" ca="1" si="80"/>
        <v>36311</v>
      </c>
      <c r="AF56" s="114">
        <f t="shared" ca="1" si="13"/>
        <v>13364.36</v>
      </c>
      <c r="AG56" s="114">
        <f t="shared" ca="1" si="81"/>
        <v>0</v>
      </c>
      <c r="AH56" s="114">
        <f t="shared" ca="1" si="82"/>
        <v>0</v>
      </c>
      <c r="AI56" s="114">
        <f t="shared" ca="1" si="83"/>
        <v>6384.11</v>
      </c>
      <c r="AJ56" s="114">
        <f t="shared" ca="1" si="84"/>
        <v>0</v>
      </c>
      <c r="AK56" s="114">
        <f t="shared" ca="1" si="85"/>
        <v>1645.71</v>
      </c>
      <c r="AN56">
        <f t="shared" si="6"/>
        <v>56</v>
      </c>
      <c r="AQ56" s="114">
        <f t="shared" ca="1" si="54"/>
        <v>0</v>
      </c>
      <c r="AW56">
        <v>56</v>
      </c>
    </row>
    <row r="57" spans="1:49" x14ac:dyDescent="0.25">
      <c r="A57" s="113">
        <f t="shared" si="56"/>
        <v>490</v>
      </c>
      <c r="B57" s="113" t="str">
        <f t="shared" si="57"/>
        <v>a</v>
      </c>
      <c r="C57" s="113" t="str">
        <f t="shared" si="58"/>
        <v>b</v>
      </c>
      <c r="D57" s="113" t="str">
        <f t="shared" si="59"/>
        <v>c</v>
      </c>
      <c r="E57" s="113" t="str">
        <f t="shared" si="60"/>
        <v>d</v>
      </c>
      <c r="F57" s="113" t="str">
        <f t="shared" si="61"/>
        <v>e</v>
      </c>
      <c r="G57" s="113" t="str">
        <f t="shared" si="62"/>
        <v>f</v>
      </c>
      <c r="H57" s="113" t="str">
        <f t="shared" si="63"/>
        <v>g</v>
      </c>
      <c r="I57" s="113" t="str">
        <f t="shared" si="64"/>
        <v>h</v>
      </c>
      <c r="J57" s="113" t="str">
        <f t="shared" si="65"/>
        <v>i</v>
      </c>
      <c r="K57" s="113" t="str">
        <f t="shared" si="66"/>
        <v>j</v>
      </c>
      <c r="L57" s="113" t="str">
        <f t="shared" si="67"/>
        <v>k</v>
      </c>
      <c r="M57" s="113" t="str">
        <f t="shared" si="68"/>
        <v>l</v>
      </c>
      <c r="N57" s="113" t="str">
        <f t="shared" si="69"/>
        <v>m</v>
      </c>
      <c r="O57" s="113">
        <f t="shared" si="70"/>
        <v>0</v>
      </c>
      <c r="P57" s="113">
        <f t="shared" si="71"/>
        <v>0</v>
      </c>
      <c r="Q57" s="113" t="str">
        <f t="shared" si="72"/>
        <v>p</v>
      </c>
      <c r="R57" s="113">
        <f t="shared" si="73"/>
        <v>0</v>
      </c>
      <c r="S57" s="113">
        <f t="shared" si="74"/>
        <v>0</v>
      </c>
      <c r="T57" s="113">
        <f t="shared" si="75"/>
        <v>0</v>
      </c>
      <c r="U57" s="113">
        <f t="shared" si="76"/>
        <v>0</v>
      </c>
      <c r="V57" s="113">
        <f t="shared" si="77"/>
        <v>0</v>
      </c>
      <c r="W57" s="113">
        <f t="shared" si="78"/>
        <v>0</v>
      </c>
      <c r="X57" s="113">
        <f t="shared" si="79"/>
        <v>0</v>
      </c>
      <c r="AA57" s="113">
        <v>28</v>
      </c>
      <c r="AB57" s="112">
        <f t="shared" ca="1" si="80"/>
        <v>36100</v>
      </c>
      <c r="AC57" s="112">
        <f t="shared" ca="1" si="80"/>
        <v>36311</v>
      </c>
      <c r="AF57" s="114">
        <f t="shared" ca="1" si="13"/>
        <v>14774.8</v>
      </c>
      <c r="AG57" s="114">
        <f t="shared" ca="1" si="81"/>
        <v>0</v>
      </c>
      <c r="AH57" s="114">
        <f t="shared" ca="1" si="82"/>
        <v>0</v>
      </c>
      <c r="AI57" s="114">
        <f t="shared" ca="1" si="83"/>
        <v>6384.11</v>
      </c>
      <c r="AJ57" s="114">
        <f t="shared" ca="1" si="84"/>
        <v>0</v>
      </c>
      <c r="AK57" s="114">
        <f t="shared" ca="1" si="85"/>
        <v>1763.24</v>
      </c>
      <c r="AN57">
        <f t="shared" si="6"/>
        <v>57</v>
      </c>
      <c r="AQ57" s="114">
        <f t="shared" ca="1" si="54"/>
        <v>0</v>
      </c>
      <c r="AW57">
        <v>57</v>
      </c>
    </row>
    <row r="58" spans="1:49" x14ac:dyDescent="0.25">
      <c r="A58" s="113">
        <f t="shared" si="56"/>
        <v>492</v>
      </c>
      <c r="B58" s="113" t="str">
        <f t="shared" si="57"/>
        <v>a</v>
      </c>
      <c r="C58" s="113" t="str">
        <f t="shared" si="58"/>
        <v>b</v>
      </c>
      <c r="D58" s="113" t="str">
        <f t="shared" si="59"/>
        <v>c</v>
      </c>
      <c r="E58" s="113" t="str">
        <f t="shared" si="60"/>
        <v>d</v>
      </c>
      <c r="F58" s="113" t="str">
        <f t="shared" si="61"/>
        <v>e</v>
      </c>
      <c r="G58" s="113" t="str">
        <f t="shared" si="62"/>
        <v>f</v>
      </c>
      <c r="H58" s="113" t="str">
        <f t="shared" si="63"/>
        <v>g</v>
      </c>
      <c r="I58" s="113" t="str">
        <f t="shared" si="64"/>
        <v>h</v>
      </c>
      <c r="J58" s="113" t="str">
        <f t="shared" si="65"/>
        <v>i</v>
      </c>
      <c r="K58" s="113" t="str">
        <f t="shared" si="66"/>
        <v>j</v>
      </c>
      <c r="L58" s="113" t="str">
        <f t="shared" si="67"/>
        <v>k</v>
      </c>
      <c r="M58" s="113" t="str">
        <f t="shared" si="68"/>
        <v>l</v>
      </c>
      <c r="N58" s="113" t="str">
        <f t="shared" si="69"/>
        <v>m</v>
      </c>
      <c r="O58" s="113">
        <f t="shared" si="70"/>
        <v>0</v>
      </c>
      <c r="P58" s="113">
        <f t="shared" si="71"/>
        <v>0</v>
      </c>
      <c r="Q58" s="113" t="str">
        <f t="shared" si="72"/>
        <v>p</v>
      </c>
      <c r="R58" s="113">
        <f t="shared" si="73"/>
        <v>0</v>
      </c>
      <c r="S58" s="113">
        <f t="shared" si="74"/>
        <v>0</v>
      </c>
      <c r="T58" s="113">
        <f t="shared" si="75"/>
        <v>0</v>
      </c>
      <c r="U58" s="113">
        <f t="shared" si="76"/>
        <v>0</v>
      </c>
      <c r="V58" s="113">
        <f t="shared" si="77"/>
        <v>0</v>
      </c>
      <c r="W58" s="113">
        <f t="shared" si="78"/>
        <v>0</v>
      </c>
      <c r="X58" s="113">
        <f t="shared" si="79"/>
        <v>0</v>
      </c>
      <c r="AA58" s="113">
        <v>35</v>
      </c>
      <c r="AB58" s="112">
        <f t="shared" ca="1" si="80"/>
        <v>36100</v>
      </c>
      <c r="AC58" s="112">
        <f t="shared" ca="1" si="80"/>
        <v>36311</v>
      </c>
      <c r="AF58" s="114">
        <f t="shared" ca="1" si="13"/>
        <v>15826.31</v>
      </c>
      <c r="AG58" s="114">
        <f t="shared" ca="1" si="81"/>
        <v>0</v>
      </c>
      <c r="AH58" s="114">
        <f t="shared" ca="1" si="82"/>
        <v>0</v>
      </c>
      <c r="AI58" s="114">
        <f t="shared" ca="1" si="83"/>
        <v>6384.11</v>
      </c>
      <c r="AJ58" s="114">
        <f t="shared" ca="1" si="84"/>
        <v>0</v>
      </c>
      <c r="AK58" s="114">
        <f t="shared" ca="1" si="85"/>
        <v>1850.87</v>
      </c>
      <c r="AN58">
        <f t="shared" si="6"/>
        <v>58</v>
      </c>
      <c r="AQ58" s="114">
        <f t="shared" ca="1" si="54"/>
        <v>0</v>
      </c>
      <c r="AW58">
        <v>58</v>
      </c>
    </row>
    <row r="59" spans="1:49" x14ac:dyDescent="0.25">
      <c r="A59" s="113">
        <f>A52+20</f>
        <v>500</v>
      </c>
      <c r="B59" s="113" t="str">
        <f>B52</f>
        <v>a</v>
      </c>
      <c r="C59" s="113" t="str">
        <f t="shared" ref="C59:X59" si="86">C52</f>
        <v>b</v>
      </c>
      <c r="D59" s="113" t="str">
        <f t="shared" si="86"/>
        <v>c</v>
      </c>
      <c r="E59" s="113" t="str">
        <f t="shared" si="86"/>
        <v>d</v>
      </c>
      <c r="F59" s="113" t="str">
        <f t="shared" si="86"/>
        <v>e</v>
      </c>
      <c r="G59" s="113" t="str">
        <f t="shared" si="86"/>
        <v>f</v>
      </c>
      <c r="H59" s="113" t="str">
        <f t="shared" si="86"/>
        <v>g</v>
      </c>
      <c r="I59" s="113" t="str">
        <f t="shared" si="86"/>
        <v>h</v>
      </c>
      <c r="J59" s="113" t="str">
        <f t="shared" si="86"/>
        <v>i</v>
      </c>
      <c r="K59" s="113" t="str">
        <f t="shared" si="86"/>
        <v>j</v>
      </c>
      <c r="L59" s="113" t="str">
        <f t="shared" si="86"/>
        <v>k</v>
      </c>
      <c r="M59" s="113" t="str">
        <f t="shared" si="86"/>
        <v>l</v>
      </c>
      <c r="N59" s="113" t="str">
        <f t="shared" si="86"/>
        <v>m</v>
      </c>
      <c r="O59" s="113">
        <f t="shared" si="86"/>
        <v>0</v>
      </c>
      <c r="P59" s="113">
        <f t="shared" si="86"/>
        <v>0</v>
      </c>
      <c r="Q59" s="113" t="str">
        <f t="shared" si="86"/>
        <v>p</v>
      </c>
      <c r="R59" s="113">
        <f t="shared" si="86"/>
        <v>0</v>
      </c>
      <c r="S59" s="113">
        <f t="shared" si="86"/>
        <v>0</v>
      </c>
      <c r="T59" s="113">
        <f t="shared" si="86"/>
        <v>0</v>
      </c>
      <c r="U59" s="113">
        <f t="shared" si="86"/>
        <v>0</v>
      </c>
      <c r="V59" s="113">
        <f t="shared" si="86"/>
        <v>0</v>
      </c>
      <c r="W59" s="113">
        <f t="shared" si="86"/>
        <v>0</v>
      </c>
      <c r="X59" s="113">
        <f t="shared" si="86"/>
        <v>0</v>
      </c>
      <c r="AA59" s="113">
        <v>0</v>
      </c>
      <c r="AB59" s="112">
        <f ca="1">INDIRECT(CONCATENATE($AB$10,CONCATENATE(B59,$A59)))</f>
        <v>36312</v>
      </c>
      <c r="AC59" s="112">
        <f ca="1">INDIRECT(CONCATENATE($AB$10,CONCATENATE(C59,$A59)))</f>
        <v>36707</v>
      </c>
      <c r="AF59" s="114">
        <f t="shared" ca="1" si="13"/>
        <v>9010.11</v>
      </c>
      <c r="AG59" s="114">
        <f ca="1">INDIRECT(CONCATENATE($AB$10,CONCATENATE(G59,$A59)))</f>
        <v>0</v>
      </c>
      <c r="AH59" s="114">
        <f ca="1">INDIRECT(CONCATENATE($AB$10,CONCATENATE(H59,$A59)))</f>
        <v>0</v>
      </c>
      <c r="AI59" s="114">
        <f ca="1">INDIRECT(CONCATENATE($AB$10,CONCATENATE(I59,$A59)))</f>
        <v>6384.11</v>
      </c>
      <c r="AJ59" s="114">
        <f ca="1">INDIRECT(CONCATENATE($AB$10,CONCATENATE(J59,$A59)))</f>
        <v>0</v>
      </c>
      <c r="AK59" s="114">
        <f ca="1">INDIRECT(CONCATENATE($AB$10,CONCATENATE(K59,$A59)))</f>
        <v>1282.8499999999999</v>
      </c>
      <c r="AN59">
        <f t="shared" si="6"/>
        <v>59</v>
      </c>
      <c r="AQ59" s="114">
        <f t="shared" ca="1" si="54"/>
        <v>0</v>
      </c>
      <c r="AW59">
        <v>59</v>
      </c>
    </row>
    <row r="60" spans="1:49" x14ac:dyDescent="0.25">
      <c r="A60" s="113">
        <f t="shared" ref="A60:A65" si="87">A59+2</f>
        <v>502</v>
      </c>
      <c r="B60" s="113" t="str">
        <f t="shared" ref="B60:B65" si="88">B59</f>
        <v>a</v>
      </c>
      <c r="C60" s="113" t="str">
        <f t="shared" ref="C60:C65" si="89">C59</f>
        <v>b</v>
      </c>
      <c r="D60" s="113" t="str">
        <f t="shared" ref="D60:D65" si="90">D59</f>
        <v>c</v>
      </c>
      <c r="E60" s="113" t="str">
        <f t="shared" ref="E60:E65" si="91">E59</f>
        <v>d</v>
      </c>
      <c r="F60" s="113" t="str">
        <f t="shared" ref="F60:F65" si="92">F59</f>
        <v>e</v>
      </c>
      <c r="G60" s="113" t="str">
        <f t="shared" ref="G60:G65" si="93">G59</f>
        <v>f</v>
      </c>
      <c r="H60" s="113" t="str">
        <f t="shared" ref="H60:H65" si="94">H59</f>
        <v>g</v>
      </c>
      <c r="I60" s="113" t="str">
        <f t="shared" ref="I60:I65" si="95">I59</f>
        <v>h</v>
      </c>
      <c r="J60" s="113" t="str">
        <f t="shared" ref="J60:J65" si="96">J59</f>
        <v>i</v>
      </c>
      <c r="K60" s="113" t="str">
        <f t="shared" ref="K60:K65" si="97">K59</f>
        <v>j</v>
      </c>
      <c r="L60" s="113" t="str">
        <f t="shared" ref="L60:L65" si="98">L59</f>
        <v>k</v>
      </c>
      <c r="M60" s="113" t="str">
        <f t="shared" ref="M60:M65" si="99">M59</f>
        <v>l</v>
      </c>
      <c r="N60" s="113" t="str">
        <f t="shared" ref="N60:N65" si="100">N59</f>
        <v>m</v>
      </c>
      <c r="O60" s="113">
        <f t="shared" ref="O60:O65" si="101">O59</f>
        <v>0</v>
      </c>
      <c r="P60" s="113">
        <f t="shared" ref="P60:P65" si="102">P59</f>
        <v>0</v>
      </c>
      <c r="Q60" s="113" t="str">
        <f t="shared" ref="Q60:Q65" si="103">Q59</f>
        <v>p</v>
      </c>
      <c r="R60" s="113">
        <f t="shared" ref="R60:R65" si="104">R59</f>
        <v>0</v>
      </c>
      <c r="S60" s="113">
        <f t="shared" ref="S60:S65" si="105">S59</f>
        <v>0</v>
      </c>
      <c r="T60" s="113">
        <f t="shared" ref="T60:T65" si="106">T59</f>
        <v>0</v>
      </c>
      <c r="U60" s="113">
        <f t="shared" ref="U60:U65" si="107">U59</f>
        <v>0</v>
      </c>
      <c r="V60" s="113">
        <f t="shared" ref="V60:V65" si="108">V59</f>
        <v>0</v>
      </c>
      <c r="W60" s="113">
        <f t="shared" ref="W60:W65" si="109">W59</f>
        <v>0</v>
      </c>
      <c r="X60" s="113">
        <f t="shared" ref="X60:X65" si="110">X59</f>
        <v>0</v>
      </c>
      <c r="AA60" s="113">
        <v>3</v>
      </c>
      <c r="AB60" s="112">
        <f t="shared" ref="AB60:AC65" ca="1" si="111">AB59</f>
        <v>36312</v>
      </c>
      <c r="AC60" s="112">
        <f t="shared" ca="1" si="111"/>
        <v>36707</v>
      </c>
      <c r="AF60" s="114">
        <f t="shared" ca="1" si="13"/>
        <v>9420.69</v>
      </c>
      <c r="AG60" s="114">
        <f t="shared" ref="AG60:AG65" ca="1" si="112">INDIRECT(CONCATENATE($AB$10,CONCATENATE(G60,$A60)))</f>
        <v>0</v>
      </c>
      <c r="AH60" s="114">
        <f t="shared" ref="AH60:AH65" ca="1" si="113">INDIRECT(CONCATENATE($AB$10,CONCATENATE(H60,$A60)))</f>
        <v>0</v>
      </c>
      <c r="AI60" s="114">
        <f t="shared" ref="AI60:AI65" ca="1" si="114">INDIRECT(CONCATENATE($AB$10,CONCATENATE(I60,$A60)))</f>
        <v>6384.11</v>
      </c>
      <c r="AJ60" s="114">
        <f t="shared" ref="AJ60:AJ65" ca="1" si="115">INDIRECT(CONCATENATE($AB$10,CONCATENATE(J60,$A60)))</f>
        <v>0</v>
      </c>
      <c r="AK60" s="114">
        <f t="shared" ref="AK60:AK65" ca="1" si="116">INDIRECT(CONCATENATE($AB$10,CONCATENATE(K60,$A60)))</f>
        <v>1317.07</v>
      </c>
      <c r="AN60">
        <f t="shared" si="6"/>
        <v>60</v>
      </c>
      <c r="AQ60" s="114">
        <f t="shared" ca="1" si="54"/>
        <v>0</v>
      </c>
      <c r="AW60">
        <v>60</v>
      </c>
    </row>
    <row r="61" spans="1:49" x14ac:dyDescent="0.25">
      <c r="A61" s="113">
        <f t="shared" si="87"/>
        <v>504</v>
      </c>
      <c r="B61" s="113" t="str">
        <f t="shared" si="88"/>
        <v>a</v>
      </c>
      <c r="C61" s="113" t="str">
        <f t="shared" si="89"/>
        <v>b</v>
      </c>
      <c r="D61" s="113" t="str">
        <f t="shared" si="90"/>
        <v>c</v>
      </c>
      <c r="E61" s="113" t="str">
        <f t="shared" si="91"/>
        <v>d</v>
      </c>
      <c r="F61" s="113" t="str">
        <f t="shared" si="92"/>
        <v>e</v>
      </c>
      <c r="G61" s="113" t="str">
        <f t="shared" si="93"/>
        <v>f</v>
      </c>
      <c r="H61" s="113" t="str">
        <f t="shared" si="94"/>
        <v>g</v>
      </c>
      <c r="I61" s="113" t="str">
        <f t="shared" si="95"/>
        <v>h</v>
      </c>
      <c r="J61" s="113" t="str">
        <f t="shared" si="96"/>
        <v>i</v>
      </c>
      <c r="K61" s="113" t="str">
        <f t="shared" si="97"/>
        <v>j</v>
      </c>
      <c r="L61" s="113" t="str">
        <f t="shared" si="98"/>
        <v>k</v>
      </c>
      <c r="M61" s="113" t="str">
        <f t="shared" si="99"/>
        <v>l</v>
      </c>
      <c r="N61" s="113" t="str">
        <f t="shared" si="100"/>
        <v>m</v>
      </c>
      <c r="O61" s="113">
        <f t="shared" si="101"/>
        <v>0</v>
      </c>
      <c r="P61" s="113">
        <f t="shared" si="102"/>
        <v>0</v>
      </c>
      <c r="Q61" s="113" t="str">
        <f t="shared" si="103"/>
        <v>p</v>
      </c>
      <c r="R61" s="113">
        <f t="shared" si="104"/>
        <v>0</v>
      </c>
      <c r="S61" s="113">
        <f t="shared" si="105"/>
        <v>0</v>
      </c>
      <c r="T61" s="113">
        <f t="shared" si="106"/>
        <v>0</v>
      </c>
      <c r="U61" s="113">
        <f t="shared" si="107"/>
        <v>0</v>
      </c>
      <c r="V61" s="113">
        <f t="shared" si="108"/>
        <v>0</v>
      </c>
      <c r="W61" s="113">
        <f t="shared" si="109"/>
        <v>0</v>
      </c>
      <c r="X61" s="113">
        <f t="shared" si="110"/>
        <v>0</v>
      </c>
      <c r="AA61" s="113">
        <v>9</v>
      </c>
      <c r="AB61" s="112">
        <f t="shared" ca="1" si="111"/>
        <v>36312</v>
      </c>
      <c r="AC61" s="112">
        <f t="shared" ca="1" si="111"/>
        <v>36707</v>
      </c>
      <c r="AF61" s="114">
        <f t="shared" ca="1" si="13"/>
        <v>10705.64</v>
      </c>
      <c r="AG61" s="114">
        <f t="shared" ca="1" si="112"/>
        <v>0</v>
      </c>
      <c r="AH61" s="114">
        <f t="shared" ca="1" si="113"/>
        <v>0</v>
      </c>
      <c r="AI61" s="114">
        <f t="shared" ca="1" si="114"/>
        <v>6384.11</v>
      </c>
      <c r="AJ61" s="114">
        <f t="shared" ca="1" si="115"/>
        <v>0</v>
      </c>
      <c r="AK61" s="114">
        <f t="shared" ca="1" si="116"/>
        <v>1424.15</v>
      </c>
      <c r="AN61">
        <f t="shared" si="6"/>
        <v>61</v>
      </c>
      <c r="AQ61" s="114">
        <f t="shared" ca="1" si="54"/>
        <v>0</v>
      </c>
      <c r="AW61">
        <v>61</v>
      </c>
    </row>
    <row r="62" spans="1:49" x14ac:dyDescent="0.25">
      <c r="A62" s="113">
        <f t="shared" si="87"/>
        <v>506</v>
      </c>
      <c r="B62" s="113" t="str">
        <f t="shared" si="88"/>
        <v>a</v>
      </c>
      <c r="C62" s="113" t="str">
        <f t="shared" si="89"/>
        <v>b</v>
      </c>
      <c r="D62" s="113" t="str">
        <f t="shared" si="90"/>
        <v>c</v>
      </c>
      <c r="E62" s="113" t="str">
        <f t="shared" si="91"/>
        <v>d</v>
      </c>
      <c r="F62" s="113" t="str">
        <f t="shared" si="92"/>
        <v>e</v>
      </c>
      <c r="G62" s="113" t="str">
        <f t="shared" si="93"/>
        <v>f</v>
      </c>
      <c r="H62" s="113" t="str">
        <f t="shared" si="94"/>
        <v>g</v>
      </c>
      <c r="I62" s="113" t="str">
        <f t="shared" si="95"/>
        <v>h</v>
      </c>
      <c r="J62" s="113" t="str">
        <f t="shared" si="96"/>
        <v>i</v>
      </c>
      <c r="K62" s="113" t="str">
        <f t="shared" si="97"/>
        <v>j</v>
      </c>
      <c r="L62" s="113" t="str">
        <f t="shared" si="98"/>
        <v>k</v>
      </c>
      <c r="M62" s="113" t="str">
        <f t="shared" si="99"/>
        <v>l</v>
      </c>
      <c r="N62" s="113" t="str">
        <f t="shared" si="100"/>
        <v>m</v>
      </c>
      <c r="O62" s="113">
        <f t="shared" si="101"/>
        <v>0</v>
      </c>
      <c r="P62" s="113">
        <f t="shared" si="102"/>
        <v>0</v>
      </c>
      <c r="Q62" s="113" t="str">
        <f t="shared" si="103"/>
        <v>p</v>
      </c>
      <c r="R62" s="113">
        <f t="shared" si="104"/>
        <v>0</v>
      </c>
      <c r="S62" s="113">
        <f t="shared" si="105"/>
        <v>0</v>
      </c>
      <c r="T62" s="113">
        <f t="shared" si="106"/>
        <v>0</v>
      </c>
      <c r="U62" s="113">
        <f t="shared" si="107"/>
        <v>0</v>
      </c>
      <c r="V62" s="113">
        <f t="shared" si="108"/>
        <v>0</v>
      </c>
      <c r="W62" s="113">
        <f t="shared" si="109"/>
        <v>0</v>
      </c>
      <c r="X62" s="113">
        <f t="shared" si="110"/>
        <v>0</v>
      </c>
      <c r="AA62" s="113">
        <v>15</v>
      </c>
      <c r="AB62" s="112">
        <f t="shared" ca="1" si="111"/>
        <v>36312</v>
      </c>
      <c r="AC62" s="112">
        <f t="shared" ca="1" si="111"/>
        <v>36707</v>
      </c>
      <c r="AF62" s="114">
        <f t="shared" ca="1" si="13"/>
        <v>12200.26</v>
      </c>
      <c r="AG62" s="114">
        <f t="shared" ca="1" si="112"/>
        <v>0</v>
      </c>
      <c r="AH62" s="114">
        <f t="shared" ca="1" si="113"/>
        <v>0</v>
      </c>
      <c r="AI62" s="114">
        <f t="shared" ca="1" si="114"/>
        <v>6384.11</v>
      </c>
      <c r="AJ62" s="114">
        <f t="shared" ca="1" si="115"/>
        <v>0</v>
      </c>
      <c r="AK62" s="114">
        <f t="shared" ca="1" si="116"/>
        <v>1548.7</v>
      </c>
      <c r="AN62">
        <f t="shared" si="6"/>
        <v>62</v>
      </c>
      <c r="AQ62" s="114">
        <f t="shared" ca="1" si="54"/>
        <v>0</v>
      </c>
      <c r="AW62">
        <v>62</v>
      </c>
    </row>
    <row r="63" spans="1:49" x14ac:dyDescent="0.25">
      <c r="A63" s="113">
        <f t="shared" si="87"/>
        <v>508</v>
      </c>
      <c r="B63" s="113" t="str">
        <f t="shared" si="88"/>
        <v>a</v>
      </c>
      <c r="C63" s="113" t="str">
        <f t="shared" si="89"/>
        <v>b</v>
      </c>
      <c r="D63" s="113" t="str">
        <f t="shared" si="90"/>
        <v>c</v>
      </c>
      <c r="E63" s="113" t="str">
        <f t="shared" si="91"/>
        <v>d</v>
      </c>
      <c r="F63" s="113" t="str">
        <f t="shared" si="92"/>
        <v>e</v>
      </c>
      <c r="G63" s="113" t="str">
        <f t="shared" si="93"/>
        <v>f</v>
      </c>
      <c r="H63" s="113" t="str">
        <f t="shared" si="94"/>
        <v>g</v>
      </c>
      <c r="I63" s="113" t="str">
        <f t="shared" si="95"/>
        <v>h</v>
      </c>
      <c r="J63" s="113" t="str">
        <f t="shared" si="96"/>
        <v>i</v>
      </c>
      <c r="K63" s="113" t="str">
        <f t="shared" si="97"/>
        <v>j</v>
      </c>
      <c r="L63" s="113" t="str">
        <f t="shared" si="98"/>
        <v>k</v>
      </c>
      <c r="M63" s="113" t="str">
        <f t="shared" si="99"/>
        <v>l</v>
      </c>
      <c r="N63" s="113" t="str">
        <f t="shared" si="100"/>
        <v>m</v>
      </c>
      <c r="O63" s="113">
        <f t="shared" si="101"/>
        <v>0</v>
      </c>
      <c r="P63" s="113">
        <f t="shared" si="102"/>
        <v>0</v>
      </c>
      <c r="Q63" s="113" t="str">
        <f t="shared" si="103"/>
        <v>p</v>
      </c>
      <c r="R63" s="113">
        <f t="shared" si="104"/>
        <v>0</v>
      </c>
      <c r="S63" s="113">
        <f t="shared" si="105"/>
        <v>0</v>
      </c>
      <c r="T63" s="113">
        <f t="shared" si="106"/>
        <v>0</v>
      </c>
      <c r="U63" s="113">
        <f t="shared" si="107"/>
        <v>0</v>
      </c>
      <c r="V63" s="113">
        <f t="shared" si="108"/>
        <v>0</v>
      </c>
      <c r="W63" s="113">
        <f t="shared" si="109"/>
        <v>0</v>
      </c>
      <c r="X63" s="113">
        <f t="shared" si="110"/>
        <v>0</v>
      </c>
      <c r="AA63" s="113">
        <v>21</v>
      </c>
      <c r="AB63" s="112">
        <f t="shared" ca="1" si="111"/>
        <v>36312</v>
      </c>
      <c r="AC63" s="112">
        <f t="shared" ca="1" si="111"/>
        <v>36707</v>
      </c>
      <c r="AF63" s="114">
        <f t="shared" ca="1" si="13"/>
        <v>13655.64</v>
      </c>
      <c r="AG63" s="114">
        <f t="shared" ca="1" si="112"/>
        <v>0</v>
      </c>
      <c r="AH63" s="114">
        <f t="shared" ca="1" si="113"/>
        <v>0</v>
      </c>
      <c r="AI63" s="114">
        <f t="shared" ca="1" si="114"/>
        <v>6384.11</v>
      </c>
      <c r="AJ63" s="114">
        <f t="shared" ca="1" si="115"/>
        <v>0</v>
      </c>
      <c r="AK63" s="114">
        <f t="shared" ca="1" si="116"/>
        <v>1669.98</v>
      </c>
      <c r="AN63">
        <f t="shared" si="6"/>
        <v>63</v>
      </c>
      <c r="AQ63" s="114">
        <f t="shared" ca="1" si="54"/>
        <v>0</v>
      </c>
      <c r="AW63">
        <v>63</v>
      </c>
    </row>
    <row r="64" spans="1:49" x14ac:dyDescent="0.25">
      <c r="A64" s="113">
        <f t="shared" si="87"/>
        <v>510</v>
      </c>
      <c r="B64" s="113" t="str">
        <f t="shared" si="88"/>
        <v>a</v>
      </c>
      <c r="C64" s="113" t="str">
        <f t="shared" si="89"/>
        <v>b</v>
      </c>
      <c r="D64" s="113" t="str">
        <f t="shared" si="90"/>
        <v>c</v>
      </c>
      <c r="E64" s="113" t="str">
        <f t="shared" si="91"/>
        <v>d</v>
      </c>
      <c r="F64" s="113" t="str">
        <f t="shared" si="92"/>
        <v>e</v>
      </c>
      <c r="G64" s="113" t="str">
        <f t="shared" si="93"/>
        <v>f</v>
      </c>
      <c r="H64" s="113" t="str">
        <f t="shared" si="94"/>
        <v>g</v>
      </c>
      <c r="I64" s="113" t="str">
        <f t="shared" si="95"/>
        <v>h</v>
      </c>
      <c r="J64" s="113" t="str">
        <f t="shared" si="96"/>
        <v>i</v>
      </c>
      <c r="K64" s="113" t="str">
        <f t="shared" si="97"/>
        <v>j</v>
      </c>
      <c r="L64" s="113" t="str">
        <f t="shared" si="98"/>
        <v>k</v>
      </c>
      <c r="M64" s="113" t="str">
        <f t="shared" si="99"/>
        <v>l</v>
      </c>
      <c r="N64" s="113" t="str">
        <f t="shared" si="100"/>
        <v>m</v>
      </c>
      <c r="O64" s="113">
        <f t="shared" si="101"/>
        <v>0</v>
      </c>
      <c r="P64" s="113">
        <f t="shared" si="102"/>
        <v>0</v>
      </c>
      <c r="Q64" s="113" t="str">
        <f t="shared" si="103"/>
        <v>p</v>
      </c>
      <c r="R64" s="113">
        <f t="shared" si="104"/>
        <v>0</v>
      </c>
      <c r="S64" s="113">
        <f t="shared" si="105"/>
        <v>0</v>
      </c>
      <c r="T64" s="113">
        <f t="shared" si="106"/>
        <v>0</v>
      </c>
      <c r="U64" s="113">
        <f t="shared" si="107"/>
        <v>0</v>
      </c>
      <c r="V64" s="113">
        <f t="shared" si="108"/>
        <v>0</v>
      </c>
      <c r="W64" s="113">
        <f t="shared" si="109"/>
        <v>0</v>
      </c>
      <c r="X64" s="113">
        <f t="shared" si="110"/>
        <v>0</v>
      </c>
      <c r="AA64" s="113">
        <v>28</v>
      </c>
      <c r="AB64" s="112">
        <f t="shared" ca="1" si="111"/>
        <v>36312</v>
      </c>
      <c r="AC64" s="112">
        <f t="shared" ca="1" si="111"/>
        <v>36707</v>
      </c>
      <c r="AF64" s="114">
        <f t="shared" ca="1" si="13"/>
        <v>15084.67</v>
      </c>
      <c r="AG64" s="114">
        <f t="shared" ca="1" si="112"/>
        <v>0</v>
      </c>
      <c r="AH64" s="114">
        <f t="shared" ca="1" si="113"/>
        <v>0</v>
      </c>
      <c r="AI64" s="114">
        <f t="shared" ca="1" si="114"/>
        <v>6384.11</v>
      </c>
      <c r="AJ64" s="114">
        <f t="shared" ca="1" si="115"/>
        <v>0</v>
      </c>
      <c r="AK64" s="114">
        <f t="shared" ca="1" si="116"/>
        <v>1789.07</v>
      </c>
      <c r="AN64">
        <f t="shared" si="6"/>
        <v>64</v>
      </c>
      <c r="AQ64" s="114">
        <f t="shared" ca="1" si="54"/>
        <v>0</v>
      </c>
      <c r="AW64">
        <v>64</v>
      </c>
    </row>
    <row r="65" spans="1:49" x14ac:dyDescent="0.25">
      <c r="A65" s="113">
        <f t="shared" si="87"/>
        <v>512</v>
      </c>
      <c r="B65" s="113" t="str">
        <f t="shared" si="88"/>
        <v>a</v>
      </c>
      <c r="C65" s="113" t="str">
        <f t="shared" si="89"/>
        <v>b</v>
      </c>
      <c r="D65" s="113" t="str">
        <f t="shared" si="90"/>
        <v>c</v>
      </c>
      <c r="E65" s="113" t="str">
        <f t="shared" si="91"/>
        <v>d</v>
      </c>
      <c r="F65" s="113" t="str">
        <f t="shared" si="92"/>
        <v>e</v>
      </c>
      <c r="G65" s="113" t="str">
        <f t="shared" si="93"/>
        <v>f</v>
      </c>
      <c r="H65" s="113" t="str">
        <f t="shared" si="94"/>
        <v>g</v>
      </c>
      <c r="I65" s="113" t="str">
        <f t="shared" si="95"/>
        <v>h</v>
      </c>
      <c r="J65" s="113" t="str">
        <f t="shared" si="96"/>
        <v>i</v>
      </c>
      <c r="K65" s="113" t="str">
        <f t="shared" si="97"/>
        <v>j</v>
      </c>
      <c r="L65" s="113" t="str">
        <f t="shared" si="98"/>
        <v>k</v>
      </c>
      <c r="M65" s="113" t="str">
        <f t="shared" si="99"/>
        <v>l</v>
      </c>
      <c r="N65" s="113" t="str">
        <f t="shared" si="100"/>
        <v>m</v>
      </c>
      <c r="O65" s="113">
        <f t="shared" si="101"/>
        <v>0</v>
      </c>
      <c r="P65" s="113">
        <f t="shared" si="102"/>
        <v>0</v>
      </c>
      <c r="Q65" s="113" t="str">
        <f t="shared" si="103"/>
        <v>p</v>
      </c>
      <c r="R65" s="113">
        <f t="shared" si="104"/>
        <v>0</v>
      </c>
      <c r="S65" s="113">
        <f t="shared" si="105"/>
        <v>0</v>
      </c>
      <c r="T65" s="113">
        <f t="shared" si="106"/>
        <v>0</v>
      </c>
      <c r="U65" s="113">
        <f t="shared" si="107"/>
        <v>0</v>
      </c>
      <c r="V65" s="113">
        <f t="shared" si="108"/>
        <v>0</v>
      </c>
      <c r="W65" s="113">
        <f t="shared" si="109"/>
        <v>0</v>
      </c>
      <c r="X65" s="113">
        <f t="shared" si="110"/>
        <v>0</v>
      </c>
      <c r="AA65" s="113">
        <v>35</v>
      </c>
      <c r="AB65" s="112">
        <f t="shared" ca="1" si="111"/>
        <v>36312</v>
      </c>
      <c r="AC65" s="112">
        <f t="shared" ca="1" si="111"/>
        <v>36707</v>
      </c>
      <c r="AF65" s="114">
        <f t="shared" ca="1" si="13"/>
        <v>16154.77</v>
      </c>
      <c r="AG65" s="114">
        <f t="shared" ca="1" si="112"/>
        <v>0</v>
      </c>
      <c r="AH65" s="114">
        <f t="shared" ca="1" si="113"/>
        <v>0</v>
      </c>
      <c r="AI65" s="114">
        <f t="shared" ca="1" si="114"/>
        <v>6384.11</v>
      </c>
      <c r="AJ65" s="114">
        <f t="shared" ca="1" si="115"/>
        <v>0</v>
      </c>
      <c r="AK65" s="114">
        <f t="shared" ca="1" si="116"/>
        <v>1878.24</v>
      </c>
      <c r="AN65">
        <f t="shared" si="6"/>
        <v>65</v>
      </c>
      <c r="AQ65" s="114">
        <f t="shared" ca="1" si="54"/>
        <v>0</v>
      </c>
      <c r="AW65">
        <v>65</v>
      </c>
    </row>
    <row r="66" spans="1:49" x14ac:dyDescent="0.25">
      <c r="A66" s="113">
        <f>A59+20</f>
        <v>520</v>
      </c>
      <c r="B66" s="113" t="str">
        <f>B59</f>
        <v>a</v>
      </c>
      <c r="C66" s="113" t="str">
        <f t="shared" ref="C66:X66" si="117">C59</f>
        <v>b</v>
      </c>
      <c r="D66" s="113" t="str">
        <f t="shared" si="117"/>
        <v>c</v>
      </c>
      <c r="E66" s="113" t="str">
        <f t="shared" si="117"/>
        <v>d</v>
      </c>
      <c r="F66" s="113" t="str">
        <f t="shared" si="117"/>
        <v>e</v>
      </c>
      <c r="G66" s="113" t="str">
        <f t="shared" si="117"/>
        <v>f</v>
      </c>
      <c r="H66" s="113" t="str">
        <f t="shared" si="117"/>
        <v>g</v>
      </c>
      <c r="I66" s="113" t="str">
        <f t="shared" si="117"/>
        <v>h</v>
      </c>
      <c r="J66" s="113" t="str">
        <f t="shared" si="117"/>
        <v>i</v>
      </c>
      <c r="K66" s="113" t="str">
        <f t="shared" si="117"/>
        <v>j</v>
      </c>
      <c r="L66" s="113" t="str">
        <f t="shared" si="117"/>
        <v>k</v>
      </c>
      <c r="M66" s="113" t="str">
        <f t="shared" si="117"/>
        <v>l</v>
      </c>
      <c r="N66" s="113" t="str">
        <f t="shared" si="117"/>
        <v>m</v>
      </c>
      <c r="O66" s="113">
        <f t="shared" si="117"/>
        <v>0</v>
      </c>
      <c r="P66" s="113">
        <f t="shared" si="117"/>
        <v>0</v>
      </c>
      <c r="Q66" s="113" t="str">
        <f t="shared" si="117"/>
        <v>p</v>
      </c>
      <c r="R66" s="113">
        <f t="shared" si="117"/>
        <v>0</v>
      </c>
      <c r="S66" s="113">
        <f t="shared" si="117"/>
        <v>0</v>
      </c>
      <c r="T66" s="113">
        <f t="shared" si="117"/>
        <v>0</v>
      </c>
      <c r="U66" s="113">
        <f t="shared" si="117"/>
        <v>0</v>
      </c>
      <c r="V66" s="113">
        <f t="shared" si="117"/>
        <v>0</v>
      </c>
      <c r="W66" s="113">
        <f t="shared" si="117"/>
        <v>0</v>
      </c>
      <c r="X66" s="113">
        <f t="shared" si="117"/>
        <v>0</v>
      </c>
      <c r="AA66" s="113">
        <v>0</v>
      </c>
      <c r="AB66" s="112">
        <f ca="1">INDIRECT(CONCATENATE($AB$10,CONCATENATE(B66,$A66)))</f>
        <v>36708</v>
      </c>
      <c r="AC66" s="112">
        <f ca="1">INDIRECT(CONCATENATE($AB$10,CONCATENATE(C66,$A66)))</f>
        <v>36769</v>
      </c>
      <c r="AF66" s="114">
        <f t="shared" ca="1" si="13"/>
        <v>9196.0300000000007</v>
      </c>
      <c r="AG66" s="114">
        <f ca="1">INDIRECT(CONCATENATE($AB$10,CONCATENATE(G66,$A66)))</f>
        <v>0</v>
      </c>
      <c r="AH66" s="114">
        <f ca="1">INDIRECT(CONCATENATE($AB$10,CONCATENATE(H66,$A66)))</f>
        <v>0</v>
      </c>
      <c r="AI66" s="114">
        <f ca="1">INDIRECT(CONCATENATE($AB$10,CONCATENATE(I66,$A66)))</f>
        <v>6384.11</v>
      </c>
      <c r="AJ66" s="114">
        <f ca="1">INDIRECT(CONCATENATE($AB$10,CONCATENATE(J66,$A66)))</f>
        <v>0</v>
      </c>
      <c r="AK66" s="114">
        <f ca="1">INDIRECT(CONCATENATE($AB$10,CONCATENATE(K66,$A66)))</f>
        <v>1298.3499999999999</v>
      </c>
      <c r="AN66">
        <f t="shared" si="6"/>
        <v>66</v>
      </c>
      <c r="AQ66" s="114">
        <f t="shared" ca="1" si="54"/>
        <v>0</v>
      </c>
      <c r="AW66">
        <v>66</v>
      </c>
    </row>
    <row r="67" spans="1:49" x14ac:dyDescent="0.25">
      <c r="A67" s="113">
        <f t="shared" ref="A67:A72" si="118">A66+2</f>
        <v>522</v>
      </c>
      <c r="B67" s="113" t="str">
        <f t="shared" ref="B67:B72" si="119">B66</f>
        <v>a</v>
      </c>
      <c r="C67" s="113" t="str">
        <f t="shared" ref="C67:C72" si="120">C66</f>
        <v>b</v>
      </c>
      <c r="D67" s="113" t="str">
        <f t="shared" ref="D67:D72" si="121">D66</f>
        <v>c</v>
      </c>
      <c r="E67" s="113" t="str">
        <f t="shared" ref="E67:E72" si="122">E66</f>
        <v>d</v>
      </c>
      <c r="F67" s="113" t="str">
        <f t="shared" ref="F67:F72" si="123">F66</f>
        <v>e</v>
      </c>
      <c r="G67" s="113" t="str">
        <f t="shared" ref="G67:G72" si="124">G66</f>
        <v>f</v>
      </c>
      <c r="H67" s="113" t="str">
        <f t="shared" ref="H67:H72" si="125">H66</f>
        <v>g</v>
      </c>
      <c r="I67" s="113" t="str">
        <f t="shared" ref="I67:I72" si="126">I66</f>
        <v>h</v>
      </c>
      <c r="J67" s="113" t="str">
        <f t="shared" ref="J67:J72" si="127">J66</f>
        <v>i</v>
      </c>
      <c r="K67" s="113" t="str">
        <f t="shared" ref="K67:K72" si="128">K66</f>
        <v>j</v>
      </c>
      <c r="L67" s="113" t="str">
        <f t="shared" ref="L67:L72" si="129">L66</f>
        <v>k</v>
      </c>
      <c r="M67" s="113" t="str">
        <f t="shared" ref="M67:M72" si="130">M66</f>
        <v>l</v>
      </c>
      <c r="N67" s="113" t="str">
        <f t="shared" ref="N67:N72" si="131">N66</f>
        <v>m</v>
      </c>
      <c r="O67" s="113">
        <f t="shared" ref="O67:O72" si="132">O66</f>
        <v>0</v>
      </c>
      <c r="P67" s="113">
        <f t="shared" ref="P67:P72" si="133">P66</f>
        <v>0</v>
      </c>
      <c r="Q67" s="113" t="str">
        <f t="shared" ref="Q67:Q72" si="134">Q66</f>
        <v>p</v>
      </c>
      <c r="R67" s="113">
        <f t="shared" ref="R67:R72" si="135">R66</f>
        <v>0</v>
      </c>
      <c r="S67" s="113">
        <f t="shared" ref="S67:S72" si="136">S66</f>
        <v>0</v>
      </c>
      <c r="T67" s="113">
        <f t="shared" ref="T67:T72" si="137">T66</f>
        <v>0</v>
      </c>
      <c r="U67" s="113">
        <f t="shared" ref="U67:U72" si="138">U66</f>
        <v>0</v>
      </c>
      <c r="V67" s="113">
        <f t="shared" ref="V67:V72" si="139">V66</f>
        <v>0</v>
      </c>
      <c r="W67" s="113">
        <f t="shared" ref="W67:W72" si="140">W66</f>
        <v>0</v>
      </c>
      <c r="X67" s="113">
        <f t="shared" ref="X67:X72" si="141">X66</f>
        <v>0</v>
      </c>
      <c r="AA67" s="113">
        <v>3</v>
      </c>
      <c r="AB67" s="112">
        <f t="shared" ref="AB67:AC72" ca="1" si="142">AB66</f>
        <v>36708</v>
      </c>
      <c r="AC67" s="112">
        <f t="shared" ca="1" si="142"/>
        <v>36769</v>
      </c>
      <c r="AF67" s="114">
        <f t="shared" ca="1" si="13"/>
        <v>9612.81</v>
      </c>
      <c r="AG67" s="114">
        <f t="shared" ref="AG67:AG72" ca="1" si="143">INDIRECT(CONCATENATE($AB$10,CONCATENATE(G67,$A67)))</f>
        <v>0</v>
      </c>
      <c r="AH67" s="114">
        <f t="shared" ref="AH67:AH72" ca="1" si="144">INDIRECT(CONCATENATE($AB$10,CONCATENATE(H67,$A67)))</f>
        <v>0</v>
      </c>
      <c r="AI67" s="114">
        <f t="shared" ref="AI67:AI72" ca="1" si="145">INDIRECT(CONCATENATE($AB$10,CONCATENATE(I67,$A67)))</f>
        <v>6384.11</v>
      </c>
      <c r="AJ67" s="114">
        <f t="shared" ref="AJ67:AJ72" ca="1" si="146">INDIRECT(CONCATENATE($AB$10,CONCATENATE(J67,$A67)))</f>
        <v>0</v>
      </c>
      <c r="AK67" s="114">
        <f t="shared" ref="AK67:AK72" ca="1" si="147">INDIRECT(CONCATENATE($AB$10,CONCATENATE(K67,$A67)))</f>
        <v>1333.08</v>
      </c>
      <c r="AN67">
        <f t="shared" si="6"/>
        <v>67</v>
      </c>
      <c r="AQ67" s="114">
        <f t="shared" ca="1" si="54"/>
        <v>0</v>
      </c>
      <c r="AW67">
        <v>67</v>
      </c>
    </row>
    <row r="68" spans="1:49" x14ac:dyDescent="0.25">
      <c r="A68" s="113">
        <f t="shared" si="118"/>
        <v>524</v>
      </c>
      <c r="B68" s="113" t="str">
        <f t="shared" si="119"/>
        <v>a</v>
      </c>
      <c r="C68" s="113" t="str">
        <f t="shared" si="120"/>
        <v>b</v>
      </c>
      <c r="D68" s="113" t="str">
        <f t="shared" si="121"/>
        <v>c</v>
      </c>
      <c r="E68" s="113" t="str">
        <f t="shared" si="122"/>
        <v>d</v>
      </c>
      <c r="F68" s="113" t="str">
        <f t="shared" si="123"/>
        <v>e</v>
      </c>
      <c r="G68" s="113" t="str">
        <f t="shared" si="124"/>
        <v>f</v>
      </c>
      <c r="H68" s="113" t="str">
        <f t="shared" si="125"/>
        <v>g</v>
      </c>
      <c r="I68" s="113" t="str">
        <f t="shared" si="126"/>
        <v>h</v>
      </c>
      <c r="J68" s="113" t="str">
        <f t="shared" si="127"/>
        <v>i</v>
      </c>
      <c r="K68" s="113" t="str">
        <f t="shared" si="128"/>
        <v>j</v>
      </c>
      <c r="L68" s="113" t="str">
        <f t="shared" si="129"/>
        <v>k</v>
      </c>
      <c r="M68" s="113" t="str">
        <f t="shared" si="130"/>
        <v>l</v>
      </c>
      <c r="N68" s="113" t="str">
        <f t="shared" si="131"/>
        <v>m</v>
      </c>
      <c r="O68" s="113">
        <f t="shared" si="132"/>
        <v>0</v>
      </c>
      <c r="P68" s="113">
        <f t="shared" si="133"/>
        <v>0</v>
      </c>
      <c r="Q68" s="113" t="str">
        <f t="shared" si="134"/>
        <v>p</v>
      </c>
      <c r="R68" s="113">
        <f t="shared" si="135"/>
        <v>0</v>
      </c>
      <c r="S68" s="113">
        <f t="shared" si="136"/>
        <v>0</v>
      </c>
      <c r="T68" s="113">
        <f t="shared" si="137"/>
        <v>0</v>
      </c>
      <c r="U68" s="113">
        <f t="shared" si="138"/>
        <v>0</v>
      </c>
      <c r="V68" s="113">
        <f t="shared" si="139"/>
        <v>0</v>
      </c>
      <c r="W68" s="113">
        <f t="shared" si="140"/>
        <v>0</v>
      </c>
      <c r="X68" s="113">
        <f t="shared" si="141"/>
        <v>0</v>
      </c>
      <c r="AA68" s="113">
        <v>9</v>
      </c>
      <c r="AB68" s="112">
        <f t="shared" ca="1" si="142"/>
        <v>36708</v>
      </c>
      <c r="AC68" s="112">
        <f t="shared" ca="1" si="142"/>
        <v>36769</v>
      </c>
      <c r="AF68" s="114">
        <f t="shared" ca="1" si="13"/>
        <v>10910.15</v>
      </c>
      <c r="AG68" s="114">
        <f t="shared" ca="1" si="143"/>
        <v>0</v>
      </c>
      <c r="AH68" s="114">
        <f t="shared" ca="1" si="144"/>
        <v>0</v>
      </c>
      <c r="AI68" s="114">
        <f t="shared" ca="1" si="145"/>
        <v>6384.11</v>
      </c>
      <c r="AJ68" s="114">
        <f t="shared" ca="1" si="146"/>
        <v>0</v>
      </c>
      <c r="AK68" s="114">
        <f t="shared" ca="1" si="147"/>
        <v>1441.19</v>
      </c>
      <c r="AN68">
        <f t="shared" si="6"/>
        <v>68</v>
      </c>
      <c r="AQ68" s="114">
        <f t="shared" ca="1" si="54"/>
        <v>0</v>
      </c>
      <c r="AW68">
        <v>68</v>
      </c>
    </row>
    <row r="69" spans="1:49" x14ac:dyDescent="0.25">
      <c r="A69" s="113">
        <f t="shared" si="118"/>
        <v>526</v>
      </c>
      <c r="B69" s="113" t="str">
        <f t="shared" si="119"/>
        <v>a</v>
      </c>
      <c r="C69" s="113" t="str">
        <f t="shared" si="120"/>
        <v>b</v>
      </c>
      <c r="D69" s="113" t="str">
        <f t="shared" si="121"/>
        <v>c</v>
      </c>
      <c r="E69" s="113" t="str">
        <f t="shared" si="122"/>
        <v>d</v>
      </c>
      <c r="F69" s="113" t="str">
        <f t="shared" si="123"/>
        <v>e</v>
      </c>
      <c r="G69" s="113" t="str">
        <f t="shared" si="124"/>
        <v>f</v>
      </c>
      <c r="H69" s="113" t="str">
        <f t="shared" si="125"/>
        <v>g</v>
      </c>
      <c r="I69" s="113" t="str">
        <f t="shared" si="126"/>
        <v>h</v>
      </c>
      <c r="J69" s="113" t="str">
        <f t="shared" si="127"/>
        <v>i</v>
      </c>
      <c r="K69" s="113" t="str">
        <f t="shared" si="128"/>
        <v>j</v>
      </c>
      <c r="L69" s="113" t="str">
        <f t="shared" si="129"/>
        <v>k</v>
      </c>
      <c r="M69" s="113" t="str">
        <f t="shared" si="130"/>
        <v>l</v>
      </c>
      <c r="N69" s="113" t="str">
        <f t="shared" si="131"/>
        <v>m</v>
      </c>
      <c r="O69" s="113">
        <f t="shared" si="132"/>
        <v>0</v>
      </c>
      <c r="P69" s="113">
        <f t="shared" si="133"/>
        <v>0</v>
      </c>
      <c r="Q69" s="113" t="str">
        <f t="shared" si="134"/>
        <v>p</v>
      </c>
      <c r="R69" s="113">
        <f t="shared" si="135"/>
        <v>0</v>
      </c>
      <c r="S69" s="113">
        <f t="shared" si="136"/>
        <v>0</v>
      </c>
      <c r="T69" s="113">
        <f t="shared" si="137"/>
        <v>0</v>
      </c>
      <c r="U69" s="113">
        <f t="shared" si="138"/>
        <v>0</v>
      </c>
      <c r="V69" s="113">
        <f t="shared" si="139"/>
        <v>0</v>
      </c>
      <c r="W69" s="113">
        <f t="shared" si="140"/>
        <v>0</v>
      </c>
      <c r="X69" s="113">
        <f t="shared" si="141"/>
        <v>0</v>
      </c>
      <c r="AA69" s="113">
        <v>15</v>
      </c>
      <c r="AB69" s="112">
        <f t="shared" ca="1" si="142"/>
        <v>36708</v>
      </c>
      <c r="AC69" s="112">
        <f t="shared" ca="1" si="142"/>
        <v>36769</v>
      </c>
      <c r="AF69" s="114">
        <f t="shared" ca="1" si="13"/>
        <v>12423.37</v>
      </c>
      <c r="AG69" s="114">
        <f t="shared" ca="1" si="143"/>
        <v>0</v>
      </c>
      <c r="AH69" s="114">
        <f t="shared" ca="1" si="144"/>
        <v>0</v>
      </c>
      <c r="AI69" s="114">
        <f t="shared" ca="1" si="145"/>
        <v>6384.11</v>
      </c>
      <c r="AJ69" s="114">
        <f t="shared" ca="1" si="146"/>
        <v>0</v>
      </c>
      <c r="AK69" s="114">
        <f t="shared" ca="1" si="147"/>
        <v>1567.29</v>
      </c>
      <c r="AN69">
        <f t="shared" si="6"/>
        <v>69</v>
      </c>
      <c r="AQ69" s="114">
        <f t="shared" ca="1" si="54"/>
        <v>0</v>
      </c>
      <c r="AW69">
        <v>69</v>
      </c>
    </row>
    <row r="70" spans="1:49" x14ac:dyDescent="0.25">
      <c r="A70" s="113">
        <f t="shared" si="118"/>
        <v>528</v>
      </c>
      <c r="B70" s="113" t="str">
        <f t="shared" si="119"/>
        <v>a</v>
      </c>
      <c r="C70" s="113" t="str">
        <f t="shared" si="120"/>
        <v>b</v>
      </c>
      <c r="D70" s="113" t="str">
        <f t="shared" si="121"/>
        <v>c</v>
      </c>
      <c r="E70" s="113" t="str">
        <f t="shared" si="122"/>
        <v>d</v>
      </c>
      <c r="F70" s="113" t="str">
        <f t="shared" si="123"/>
        <v>e</v>
      </c>
      <c r="G70" s="113" t="str">
        <f t="shared" si="124"/>
        <v>f</v>
      </c>
      <c r="H70" s="113" t="str">
        <f t="shared" si="125"/>
        <v>g</v>
      </c>
      <c r="I70" s="113" t="str">
        <f t="shared" si="126"/>
        <v>h</v>
      </c>
      <c r="J70" s="113" t="str">
        <f t="shared" si="127"/>
        <v>i</v>
      </c>
      <c r="K70" s="113" t="str">
        <f t="shared" si="128"/>
        <v>j</v>
      </c>
      <c r="L70" s="113" t="str">
        <f t="shared" si="129"/>
        <v>k</v>
      </c>
      <c r="M70" s="113" t="str">
        <f t="shared" si="130"/>
        <v>l</v>
      </c>
      <c r="N70" s="113" t="str">
        <f t="shared" si="131"/>
        <v>m</v>
      </c>
      <c r="O70" s="113">
        <f t="shared" si="132"/>
        <v>0</v>
      </c>
      <c r="P70" s="113">
        <f t="shared" si="133"/>
        <v>0</v>
      </c>
      <c r="Q70" s="113" t="str">
        <f t="shared" si="134"/>
        <v>p</v>
      </c>
      <c r="R70" s="113">
        <f t="shared" si="135"/>
        <v>0</v>
      </c>
      <c r="S70" s="113">
        <f t="shared" si="136"/>
        <v>0</v>
      </c>
      <c r="T70" s="113">
        <f t="shared" si="137"/>
        <v>0</v>
      </c>
      <c r="U70" s="113">
        <f t="shared" si="138"/>
        <v>0</v>
      </c>
      <c r="V70" s="113">
        <f t="shared" si="139"/>
        <v>0</v>
      </c>
      <c r="W70" s="113">
        <f t="shared" si="140"/>
        <v>0</v>
      </c>
      <c r="X70" s="113">
        <f t="shared" si="141"/>
        <v>0</v>
      </c>
      <c r="AA70" s="113">
        <v>21</v>
      </c>
      <c r="AB70" s="112">
        <f t="shared" ca="1" si="142"/>
        <v>36708</v>
      </c>
      <c r="AC70" s="112">
        <f t="shared" ca="1" si="142"/>
        <v>36769</v>
      </c>
      <c r="AF70" s="114">
        <f t="shared" ca="1" si="13"/>
        <v>13897.34</v>
      </c>
      <c r="AG70" s="114">
        <f t="shared" ca="1" si="143"/>
        <v>0</v>
      </c>
      <c r="AH70" s="114">
        <f t="shared" ca="1" si="144"/>
        <v>0</v>
      </c>
      <c r="AI70" s="114">
        <f t="shared" ca="1" si="145"/>
        <v>6384.11</v>
      </c>
      <c r="AJ70" s="114">
        <f t="shared" ca="1" si="146"/>
        <v>0</v>
      </c>
      <c r="AK70" s="114">
        <f t="shared" ca="1" si="147"/>
        <v>1690.12</v>
      </c>
      <c r="AN70">
        <f t="shared" si="6"/>
        <v>70</v>
      </c>
      <c r="AQ70" s="114">
        <f t="shared" ca="1" si="54"/>
        <v>0</v>
      </c>
      <c r="AW70">
        <v>70</v>
      </c>
    </row>
    <row r="71" spans="1:49" x14ac:dyDescent="0.25">
      <c r="A71" s="113">
        <f t="shared" si="118"/>
        <v>530</v>
      </c>
      <c r="B71" s="113" t="str">
        <f t="shared" si="119"/>
        <v>a</v>
      </c>
      <c r="C71" s="113" t="str">
        <f t="shared" si="120"/>
        <v>b</v>
      </c>
      <c r="D71" s="113" t="str">
        <f t="shared" si="121"/>
        <v>c</v>
      </c>
      <c r="E71" s="113" t="str">
        <f t="shared" si="122"/>
        <v>d</v>
      </c>
      <c r="F71" s="113" t="str">
        <f t="shared" si="123"/>
        <v>e</v>
      </c>
      <c r="G71" s="113" t="str">
        <f t="shared" si="124"/>
        <v>f</v>
      </c>
      <c r="H71" s="113" t="str">
        <f t="shared" si="125"/>
        <v>g</v>
      </c>
      <c r="I71" s="113" t="str">
        <f t="shared" si="126"/>
        <v>h</v>
      </c>
      <c r="J71" s="113" t="str">
        <f t="shared" si="127"/>
        <v>i</v>
      </c>
      <c r="K71" s="113" t="str">
        <f t="shared" si="128"/>
        <v>j</v>
      </c>
      <c r="L71" s="113" t="str">
        <f t="shared" si="129"/>
        <v>k</v>
      </c>
      <c r="M71" s="113" t="str">
        <f t="shared" si="130"/>
        <v>l</v>
      </c>
      <c r="N71" s="113" t="str">
        <f t="shared" si="131"/>
        <v>m</v>
      </c>
      <c r="O71" s="113">
        <f t="shared" si="132"/>
        <v>0</v>
      </c>
      <c r="P71" s="113">
        <f t="shared" si="133"/>
        <v>0</v>
      </c>
      <c r="Q71" s="113" t="str">
        <f t="shared" si="134"/>
        <v>p</v>
      </c>
      <c r="R71" s="113">
        <f t="shared" si="135"/>
        <v>0</v>
      </c>
      <c r="S71" s="113">
        <f t="shared" si="136"/>
        <v>0</v>
      </c>
      <c r="T71" s="113">
        <f t="shared" si="137"/>
        <v>0</v>
      </c>
      <c r="U71" s="113">
        <f t="shared" si="138"/>
        <v>0</v>
      </c>
      <c r="V71" s="113">
        <f t="shared" si="139"/>
        <v>0</v>
      </c>
      <c r="W71" s="113">
        <f t="shared" si="140"/>
        <v>0</v>
      </c>
      <c r="X71" s="113">
        <f t="shared" si="141"/>
        <v>0</v>
      </c>
      <c r="AA71" s="113">
        <v>28</v>
      </c>
      <c r="AB71" s="112">
        <f t="shared" ca="1" si="142"/>
        <v>36708</v>
      </c>
      <c r="AC71" s="112">
        <f t="shared" ca="1" si="142"/>
        <v>36769</v>
      </c>
      <c r="AF71" s="114">
        <f t="shared" ca="1" si="13"/>
        <v>15344.97</v>
      </c>
      <c r="AG71" s="114">
        <f t="shared" ca="1" si="143"/>
        <v>0</v>
      </c>
      <c r="AH71" s="114">
        <f t="shared" ca="1" si="144"/>
        <v>0</v>
      </c>
      <c r="AI71" s="114">
        <f t="shared" ca="1" si="145"/>
        <v>6384.11</v>
      </c>
      <c r="AJ71" s="114">
        <f t="shared" ca="1" si="146"/>
        <v>0</v>
      </c>
      <c r="AK71" s="114">
        <f t="shared" ca="1" si="147"/>
        <v>1810.76</v>
      </c>
      <c r="AN71">
        <f t="shared" si="6"/>
        <v>71</v>
      </c>
      <c r="AQ71" s="114">
        <f t="shared" ca="1" si="54"/>
        <v>0</v>
      </c>
      <c r="AW71">
        <v>71</v>
      </c>
    </row>
    <row r="72" spans="1:49" x14ac:dyDescent="0.25">
      <c r="A72" s="113">
        <f t="shared" si="118"/>
        <v>532</v>
      </c>
      <c r="B72" s="113" t="str">
        <f t="shared" si="119"/>
        <v>a</v>
      </c>
      <c r="C72" s="113" t="str">
        <f t="shared" si="120"/>
        <v>b</v>
      </c>
      <c r="D72" s="113" t="str">
        <f t="shared" si="121"/>
        <v>c</v>
      </c>
      <c r="E72" s="113" t="str">
        <f t="shared" si="122"/>
        <v>d</v>
      </c>
      <c r="F72" s="113" t="str">
        <f t="shared" si="123"/>
        <v>e</v>
      </c>
      <c r="G72" s="113" t="str">
        <f t="shared" si="124"/>
        <v>f</v>
      </c>
      <c r="H72" s="113" t="str">
        <f t="shared" si="125"/>
        <v>g</v>
      </c>
      <c r="I72" s="113" t="str">
        <f t="shared" si="126"/>
        <v>h</v>
      </c>
      <c r="J72" s="113" t="str">
        <f t="shared" si="127"/>
        <v>i</v>
      </c>
      <c r="K72" s="113" t="str">
        <f t="shared" si="128"/>
        <v>j</v>
      </c>
      <c r="L72" s="113" t="str">
        <f t="shared" si="129"/>
        <v>k</v>
      </c>
      <c r="M72" s="113" t="str">
        <f t="shared" si="130"/>
        <v>l</v>
      </c>
      <c r="N72" s="113" t="str">
        <f t="shared" si="131"/>
        <v>m</v>
      </c>
      <c r="O72" s="113">
        <f t="shared" si="132"/>
        <v>0</v>
      </c>
      <c r="P72" s="113">
        <f t="shared" si="133"/>
        <v>0</v>
      </c>
      <c r="Q72" s="113" t="str">
        <f t="shared" si="134"/>
        <v>p</v>
      </c>
      <c r="R72" s="113">
        <f t="shared" si="135"/>
        <v>0</v>
      </c>
      <c r="S72" s="113">
        <f t="shared" si="136"/>
        <v>0</v>
      </c>
      <c r="T72" s="113">
        <f t="shared" si="137"/>
        <v>0</v>
      </c>
      <c r="U72" s="113">
        <f t="shared" si="138"/>
        <v>0</v>
      </c>
      <c r="V72" s="113">
        <f t="shared" si="139"/>
        <v>0</v>
      </c>
      <c r="W72" s="113">
        <f t="shared" si="140"/>
        <v>0</v>
      </c>
      <c r="X72" s="113">
        <f t="shared" si="141"/>
        <v>0</v>
      </c>
      <c r="AA72" s="113">
        <v>35</v>
      </c>
      <c r="AB72" s="112">
        <f t="shared" ca="1" si="142"/>
        <v>36708</v>
      </c>
      <c r="AC72" s="112">
        <f t="shared" ca="1" si="142"/>
        <v>36769</v>
      </c>
      <c r="AF72" s="114">
        <f t="shared" ca="1" si="13"/>
        <v>16427.46</v>
      </c>
      <c r="AG72" s="114">
        <f t="shared" ca="1" si="143"/>
        <v>0</v>
      </c>
      <c r="AH72" s="114">
        <f t="shared" ca="1" si="144"/>
        <v>0</v>
      </c>
      <c r="AI72" s="114">
        <f t="shared" ca="1" si="145"/>
        <v>6384.11</v>
      </c>
      <c r="AJ72" s="114">
        <f t="shared" ca="1" si="146"/>
        <v>0</v>
      </c>
      <c r="AK72" s="114">
        <f t="shared" ca="1" si="147"/>
        <v>1900.96</v>
      </c>
      <c r="AN72">
        <f t="shared" si="6"/>
        <v>72</v>
      </c>
      <c r="AQ72" s="114">
        <f t="shared" ca="1" si="54"/>
        <v>0</v>
      </c>
      <c r="AW72">
        <v>72</v>
      </c>
    </row>
    <row r="73" spans="1:49" x14ac:dyDescent="0.25">
      <c r="A73" s="113">
        <f>A66+20</f>
        <v>540</v>
      </c>
      <c r="B73" s="113" t="str">
        <f>B66</f>
        <v>a</v>
      </c>
      <c r="C73" s="113" t="str">
        <f t="shared" ref="C73:X73" si="148">C66</f>
        <v>b</v>
      </c>
      <c r="D73" s="113" t="str">
        <f t="shared" si="148"/>
        <v>c</v>
      </c>
      <c r="E73" s="113" t="str">
        <f t="shared" si="148"/>
        <v>d</v>
      </c>
      <c r="F73" s="113" t="str">
        <f t="shared" si="148"/>
        <v>e</v>
      </c>
      <c r="G73" s="113" t="str">
        <f t="shared" si="148"/>
        <v>f</v>
      </c>
      <c r="H73" s="113" t="str">
        <f t="shared" si="148"/>
        <v>g</v>
      </c>
      <c r="I73" s="113" t="str">
        <f t="shared" si="148"/>
        <v>h</v>
      </c>
      <c r="J73" s="113" t="str">
        <f t="shared" si="148"/>
        <v>i</v>
      </c>
      <c r="K73" s="113" t="str">
        <f t="shared" si="148"/>
        <v>j</v>
      </c>
      <c r="L73" s="113" t="str">
        <f t="shared" si="148"/>
        <v>k</v>
      </c>
      <c r="M73" s="113" t="str">
        <f t="shared" si="148"/>
        <v>l</v>
      </c>
      <c r="N73" s="113" t="str">
        <f t="shared" si="148"/>
        <v>m</v>
      </c>
      <c r="O73" s="113">
        <f t="shared" si="148"/>
        <v>0</v>
      </c>
      <c r="P73" s="113">
        <f t="shared" si="148"/>
        <v>0</v>
      </c>
      <c r="Q73" s="113" t="str">
        <f t="shared" si="148"/>
        <v>p</v>
      </c>
      <c r="R73" s="113">
        <f t="shared" si="148"/>
        <v>0</v>
      </c>
      <c r="S73" s="113">
        <f t="shared" si="148"/>
        <v>0</v>
      </c>
      <c r="T73" s="113">
        <f t="shared" si="148"/>
        <v>0</v>
      </c>
      <c r="U73" s="113">
        <f t="shared" si="148"/>
        <v>0</v>
      </c>
      <c r="V73" s="113">
        <f t="shared" si="148"/>
        <v>0</v>
      </c>
      <c r="W73" s="113">
        <f t="shared" si="148"/>
        <v>0</v>
      </c>
      <c r="X73" s="113">
        <f t="shared" si="148"/>
        <v>0</v>
      </c>
      <c r="AA73" s="113">
        <v>0</v>
      </c>
      <c r="AB73" s="112">
        <f ca="1">INDIRECT(CONCATENATE($AB$10,CONCATENATE(B73,$A73)))</f>
        <v>36770</v>
      </c>
      <c r="AC73" s="112">
        <f ca="1">INDIRECT(CONCATENATE($AB$10,CONCATENATE(C73,$A73)))</f>
        <v>36891</v>
      </c>
      <c r="AF73" s="114">
        <f t="shared" ca="1" si="13"/>
        <v>9196.0300000000007</v>
      </c>
      <c r="AG73" s="114">
        <f ca="1">INDIRECT(CONCATENATE($AB$10,CONCATENATE(G73,$A73)))</f>
        <v>0</v>
      </c>
      <c r="AH73" s="114">
        <f ca="1">INDIRECT(CONCATENATE($AB$10,CONCATENATE(H73,$A73)))</f>
        <v>0</v>
      </c>
      <c r="AI73" s="114">
        <f ca="1">INDIRECT(CONCATENATE($AB$10,CONCATENATE(I73,$A73)))</f>
        <v>6384.11</v>
      </c>
      <c r="AJ73" s="114">
        <f ca="1">INDIRECT(CONCATENATE($AB$10,CONCATENATE(J73,$A73)))</f>
        <v>0</v>
      </c>
      <c r="AK73" s="114">
        <f ca="1">INDIRECT(CONCATENATE($AB$10,CONCATENATE(K73,$A73)))</f>
        <v>1298.3499999999999</v>
      </c>
      <c r="AN73">
        <f t="shared" si="6"/>
        <v>73</v>
      </c>
      <c r="AQ73" s="114">
        <f t="shared" ca="1" si="54"/>
        <v>0</v>
      </c>
      <c r="AW73">
        <v>73</v>
      </c>
    </row>
    <row r="74" spans="1:49" x14ac:dyDescent="0.25">
      <c r="A74" s="113">
        <f t="shared" ref="A74:A79" si="149">A73+2</f>
        <v>542</v>
      </c>
      <c r="B74" s="113" t="str">
        <f t="shared" ref="B74:B79" si="150">B73</f>
        <v>a</v>
      </c>
      <c r="C74" s="113" t="str">
        <f t="shared" ref="C74:C79" si="151">C73</f>
        <v>b</v>
      </c>
      <c r="D74" s="113" t="str">
        <f t="shared" ref="D74:D79" si="152">D73</f>
        <v>c</v>
      </c>
      <c r="E74" s="113" t="str">
        <f t="shared" ref="E74:E79" si="153">E73</f>
        <v>d</v>
      </c>
      <c r="F74" s="113" t="str">
        <f t="shared" ref="F74:F79" si="154">F73</f>
        <v>e</v>
      </c>
      <c r="G74" s="113" t="str">
        <f t="shared" ref="G74:G79" si="155">G73</f>
        <v>f</v>
      </c>
      <c r="H74" s="113" t="str">
        <f t="shared" ref="H74:H79" si="156">H73</f>
        <v>g</v>
      </c>
      <c r="I74" s="113" t="str">
        <f t="shared" ref="I74:I79" si="157">I73</f>
        <v>h</v>
      </c>
      <c r="J74" s="113" t="str">
        <f t="shared" ref="J74:J79" si="158">J73</f>
        <v>i</v>
      </c>
      <c r="K74" s="113" t="str">
        <f t="shared" ref="K74:K79" si="159">K73</f>
        <v>j</v>
      </c>
      <c r="L74" s="113" t="str">
        <f t="shared" ref="L74:L79" si="160">L73</f>
        <v>k</v>
      </c>
      <c r="M74" s="113" t="str">
        <f t="shared" ref="M74:M79" si="161">M73</f>
        <v>l</v>
      </c>
      <c r="N74" s="113" t="str">
        <f t="shared" ref="N74:N79" si="162">N73</f>
        <v>m</v>
      </c>
      <c r="O74" s="113">
        <f t="shared" ref="O74:O79" si="163">O73</f>
        <v>0</v>
      </c>
      <c r="P74" s="113">
        <f t="shared" ref="P74:P79" si="164">P73</f>
        <v>0</v>
      </c>
      <c r="Q74" s="113" t="str">
        <f t="shared" ref="Q74:Q79" si="165">Q73</f>
        <v>p</v>
      </c>
      <c r="R74" s="113">
        <f t="shared" ref="R74:R79" si="166">R73</f>
        <v>0</v>
      </c>
      <c r="S74" s="113">
        <f t="shared" ref="S74:S79" si="167">S73</f>
        <v>0</v>
      </c>
      <c r="T74" s="113">
        <f t="shared" ref="T74:T79" si="168">T73</f>
        <v>0</v>
      </c>
      <c r="U74" s="113">
        <f t="shared" ref="U74:U79" si="169">U73</f>
        <v>0</v>
      </c>
      <c r="V74" s="113">
        <f t="shared" ref="V74:V79" si="170">V73</f>
        <v>0</v>
      </c>
      <c r="W74" s="113">
        <f t="shared" ref="W74:W79" si="171">W73</f>
        <v>0</v>
      </c>
      <c r="X74" s="113">
        <f t="shared" ref="X74:X79" si="172">X73</f>
        <v>0</v>
      </c>
      <c r="AA74" s="113">
        <v>3</v>
      </c>
      <c r="AB74" s="112">
        <f t="shared" ref="AB74:AC79" ca="1" si="173">AB73</f>
        <v>36770</v>
      </c>
      <c r="AC74" s="112">
        <f t="shared" ca="1" si="173"/>
        <v>36891</v>
      </c>
      <c r="AF74" s="114">
        <f t="shared" ca="1" si="13"/>
        <v>9612.81</v>
      </c>
      <c r="AG74" s="114">
        <f t="shared" ref="AG74:AG79" ca="1" si="174">INDIRECT(CONCATENATE($AB$10,CONCATENATE(G74,$A74)))</f>
        <v>0</v>
      </c>
      <c r="AH74" s="114">
        <f t="shared" ref="AH74:AH79" ca="1" si="175">INDIRECT(CONCATENATE($AB$10,CONCATENATE(H74,$A74)))</f>
        <v>0</v>
      </c>
      <c r="AI74" s="114">
        <f t="shared" ref="AI74:AI79" ca="1" si="176">INDIRECT(CONCATENATE($AB$10,CONCATENATE(I74,$A74)))</f>
        <v>6384.11</v>
      </c>
      <c r="AJ74" s="114">
        <f t="shared" ref="AJ74:AJ79" ca="1" si="177">INDIRECT(CONCATENATE($AB$10,CONCATENATE(J74,$A74)))</f>
        <v>0</v>
      </c>
      <c r="AK74" s="114">
        <f t="shared" ref="AK74:AK79" ca="1" si="178">INDIRECT(CONCATENATE($AB$10,CONCATENATE(K74,$A74)))</f>
        <v>1333.08</v>
      </c>
      <c r="AN74">
        <f t="shared" si="6"/>
        <v>74</v>
      </c>
      <c r="AQ74" s="114">
        <f t="shared" ca="1" si="54"/>
        <v>0</v>
      </c>
      <c r="AW74">
        <v>74</v>
      </c>
    </row>
    <row r="75" spans="1:49" x14ac:dyDescent="0.25">
      <c r="A75" s="113">
        <f t="shared" si="149"/>
        <v>544</v>
      </c>
      <c r="B75" s="113" t="str">
        <f t="shared" si="150"/>
        <v>a</v>
      </c>
      <c r="C75" s="113" t="str">
        <f t="shared" si="151"/>
        <v>b</v>
      </c>
      <c r="D75" s="113" t="str">
        <f t="shared" si="152"/>
        <v>c</v>
      </c>
      <c r="E75" s="113" t="str">
        <f t="shared" si="153"/>
        <v>d</v>
      </c>
      <c r="F75" s="113" t="str">
        <f t="shared" si="154"/>
        <v>e</v>
      </c>
      <c r="G75" s="113" t="str">
        <f t="shared" si="155"/>
        <v>f</v>
      </c>
      <c r="H75" s="113" t="str">
        <f t="shared" si="156"/>
        <v>g</v>
      </c>
      <c r="I75" s="113" t="str">
        <f t="shared" si="157"/>
        <v>h</v>
      </c>
      <c r="J75" s="113" t="str">
        <f t="shared" si="158"/>
        <v>i</v>
      </c>
      <c r="K75" s="113" t="str">
        <f t="shared" si="159"/>
        <v>j</v>
      </c>
      <c r="L75" s="113" t="str">
        <f t="shared" si="160"/>
        <v>k</v>
      </c>
      <c r="M75" s="113" t="str">
        <f t="shared" si="161"/>
        <v>l</v>
      </c>
      <c r="N75" s="113" t="str">
        <f t="shared" si="162"/>
        <v>m</v>
      </c>
      <c r="O75" s="113">
        <f t="shared" si="163"/>
        <v>0</v>
      </c>
      <c r="P75" s="113">
        <f t="shared" si="164"/>
        <v>0</v>
      </c>
      <c r="Q75" s="113" t="str">
        <f t="shared" si="165"/>
        <v>p</v>
      </c>
      <c r="R75" s="113">
        <f t="shared" si="166"/>
        <v>0</v>
      </c>
      <c r="S75" s="113">
        <f t="shared" si="167"/>
        <v>0</v>
      </c>
      <c r="T75" s="113">
        <f t="shared" si="168"/>
        <v>0</v>
      </c>
      <c r="U75" s="113">
        <f t="shared" si="169"/>
        <v>0</v>
      </c>
      <c r="V75" s="113">
        <f t="shared" si="170"/>
        <v>0</v>
      </c>
      <c r="W75" s="113">
        <f t="shared" si="171"/>
        <v>0</v>
      </c>
      <c r="X75" s="113">
        <f t="shared" si="172"/>
        <v>0</v>
      </c>
      <c r="AA75" s="113">
        <v>9</v>
      </c>
      <c r="AB75" s="112">
        <f t="shared" ca="1" si="173"/>
        <v>36770</v>
      </c>
      <c r="AC75" s="112">
        <f t="shared" ca="1" si="173"/>
        <v>36891</v>
      </c>
      <c r="AF75" s="114">
        <f t="shared" ca="1" si="13"/>
        <v>10910.15</v>
      </c>
      <c r="AG75" s="114">
        <f t="shared" ca="1" si="174"/>
        <v>0</v>
      </c>
      <c r="AH75" s="114">
        <f t="shared" ca="1" si="175"/>
        <v>0</v>
      </c>
      <c r="AI75" s="114">
        <f t="shared" ca="1" si="176"/>
        <v>6384.11</v>
      </c>
      <c r="AJ75" s="114">
        <f t="shared" ca="1" si="177"/>
        <v>0</v>
      </c>
      <c r="AK75" s="114">
        <f t="shared" ca="1" si="178"/>
        <v>1441.19</v>
      </c>
      <c r="AN75">
        <f t="shared" si="6"/>
        <v>75</v>
      </c>
      <c r="AQ75" s="114">
        <f t="shared" ca="1" si="54"/>
        <v>0</v>
      </c>
      <c r="AW75">
        <v>75</v>
      </c>
    </row>
    <row r="76" spans="1:49" x14ac:dyDescent="0.25">
      <c r="A76" s="113">
        <f t="shared" si="149"/>
        <v>546</v>
      </c>
      <c r="B76" s="113" t="str">
        <f t="shared" si="150"/>
        <v>a</v>
      </c>
      <c r="C76" s="113" t="str">
        <f t="shared" si="151"/>
        <v>b</v>
      </c>
      <c r="D76" s="113" t="str">
        <f t="shared" si="152"/>
        <v>c</v>
      </c>
      <c r="E76" s="113" t="str">
        <f t="shared" si="153"/>
        <v>d</v>
      </c>
      <c r="F76" s="113" t="str">
        <f t="shared" si="154"/>
        <v>e</v>
      </c>
      <c r="G76" s="113" t="str">
        <f t="shared" si="155"/>
        <v>f</v>
      </c>
      <c r="H76" s="113" t="str">
        <f t="shared" si="156"/>
        <v>g</v>
      </c>
      <c r="I76" s="113" t="str">
        <f t="shared" si="157"/>
        <v>h</v>
      </c>
      <c r="J76" s="113" t="str">
        <f t="shared" si="158"/>
        <v>i</v>
      </c>
      <c r="K76" s="113" t="str">
        <f t="shared" si="159"/>
        <v>j</v>
      </c>
      <c r="L76" s="113" t="str">
        <f t="shared" si="160"/>
        <v>k</v>
      </c>
      <c r="M76" s="113" t="str">
        <f t="shared" si="161"/>
        <v>l</v>
      </c>
      <c r="N76" s="113" t="str">
        <f t="shared" si="162"/>
        <v>m</v>
      </c>
      <c r="O76" s="113">
        <f t="shared" si="163"/>
        <v>0</v>
      </c>
      <c r="P76" s="113">
        <f t="shared" si="164"/>
        <v>0</v>
      </c>
      <c r="Q76" s="113" t="str">
        <f t="shared" si="165"/>
        <v>p</v>
      </c>
      <c r="R76" s="113">
        <f t="shared" si="166"/>
        <v>0</v>
      </c>
      <c r="S76" s="113">
        <f t="shared" si="167"/>
        <v>0</v>
      </c>
      <c r="T76" s="113">
        <f t="shared" si="168"/>
        <v>0</v>
      </c>
      <c r="U76" s="113">
        <f t="shared" si="169"/>
        <v>0</v>
      </c>
      <c r="V76" s="113">
        <f t="shared" si="170"/>
        <v>0</v>
      </c>
      <c r="W76" s="113">
        <f t="shared" si="171"/>
        <v>0</v>
      </c>
      <c r="X76" s="113">
        <f t="shared" si="172"/>
        <v>0</v>
      </c>
      <c r="AA76" s="113">
        <v>15</v>
      </c>
      <c r="AB76" s="112">
        <f t="shared" ca="1" si="173"/>
        <v>36770</v>
      </c>
      <c r="AC76" s="112">
        <f t="shared" ca="1" si="173"/>
        <v>36891</v>
      </c>
      <c r="AF76" s="114">
        <f t="shared" ca="1" si="13"/>
        <v>12423.37</v>
      </c>
      <c r="AG76" s="114">
        <f t="shared" ca="1" si="174"/>
        <v>0</v>
      </c>
      <c r="AH76" s="114">
        <f t="shared" ca="1" si="175"/>
        <v>0</v>
      </c>
      <c r="AI76" s="114">
        <f t="shared" ca="1" si="176"/>
        <v>6384.11</v>
      </c>
      <c r="AJ76" s="114">
        <f t="shared" ca="1" si="177"/>
        <v>0</v>
      </c>
      <c r="AK76" s="114">
        <f t="shared" ca="1" si="178"/>
        <v>1567.29</v>
      </c>
      <c r="AN76">
        <f t="shared" si="6"/>
        <v>76</v>
      </c>
      <c r="AQ76" s="114">
        <f t="shared" ca="1" si="54"/>
        <v>0</v>
      </c>
      <c r="AW76">
        <v>76</v>
      </c>
    </row>
    <row r="77" spans="1:49" x14ac:dyDescent="0.25">
      <c r="A77" s="113">
        <f t="shared" si="149"/>
        <v>548</v>
      </c>
      <c r="B77" s="113" t="str">
        <f t="shared" si="150"/>
        <v>a</v>
      </c>
      <c r="C77" s="113" t="str">
        <f t="shared" si="151"/>
        <v>b</v>
      </c>
      <c r="D77" s="113" t="str">
        <f t="shared" si="152"/>
        <v>c</v>
      </c>
      <c r="E77" s="113" t="str">
        <f t="shared" si="153"/>
        <v>d</v>
      </c>
      <c r="F77" s="113" t="str">
        <f t="shared" si="154"/>
        <v>e</v>
      </c>
      <c r="G77" s="113" t="str">
        <f t="shared" si="155"/>
        <v>f</v>
      </c>
      <c r="H77" s="113" t="str">
        <f t="shared" si="156"/>
        <v>g</v>
      </c>
      <c r="I77" s="113" t="str">
        <f t="shared" si="157"/>
        <v>h</v>
      </c>
      <c r="J77" s="113" t="str">
        <f t="shared" si="158"/>
        <v>i</v>
      </c>
      <c r="K77" s="113" t="str">
        <f t="shared" si="159"/>
        <v>j</v>
      </c>
      <c r="L77" s="113" t="str">
        <f t="shared" si="160"/>
        <v>k</v>
      </c>
      <c r="M77" s="113" t="str">
        <f t="shared" si="161"/>
        <v>l</v>
      </c>
      <c r="N77" s="113" t="str">
        <f t="shared" si="162"/>
        <v>m</v>
      </c>
      <c r="O77" s="113">
        <f t="shared" si="163"/>
        <v>0</v>
      </c>
      <c r="P77" s="113">
        <f t="shared" si="164"/>
        <v>0</v>
      </c>
      <c r="Q77" s="113" t="str">
        <f t="shared" si="165"/>
        <v>p</v>
      </c>
      <c r="R77" s="113">
        <f t="shared" si="166"/>
        <v>0</v>
      </c>
      <c r="S77" s="113">
        <f t="shared" si="167"/>
        <v>0</v>
      </c>
      <c r="T77" s="113">
        <f t="shared" si="168"/>
        <v>0</v>
      </c>
      <c r="U77" s="113">
        <f t="shared" si="169"/>
        <v>0</v>
      </c>
      <c r="V77" s="113">
        <f t="shared" si="170"/>
        <v>0</v>
      </c>
      <c r="W77" s="113">
        <f t="shared" si="171"/>
        <v>0</v>
      </c>
      <c r="X77" s="113">
        <f t="shared" si="172"/>
        <v>0</v>
      </c>
      <c r="AA77" s="113">
        <v>21</v>
      </c>
      <c r="AB77" s="112">
        <f t="shared" ca="1" si="173"/>
        <v>36770</v>
      </c>
      <c r="AC77" s="112">
        <f t="shared" ca="1" si="173"/>
        <v>36891</v>
      </c>
      <c r="AF77" s="114">
        <f t="shared" ca="1" si="13"/>
        <v>13897.34</v>
      </c>
      <c r="AG77" s="114">
        <f t="shared" ca="1" si="174"/>
        <v>0</v>
      </c>
      <c r="AH77" s="114">
        <f t="shared" ca="1" si="175"/>
        <v>0</v>
      </c>
      <c r="AI77" s="114">
        <f t="shared" ca="1" si="176"/>
        <v>6384.11</v>
      </c>
      <c r="AJ77" s="114">
        <f t="shared" ca="1" si="177"/>
        <v>0</v>
      </c>
      <c r="AK77" s="114">
        <f t="shared" ca="1" si="178"/>
        <v>1690.12</v>
      </c>
      <c r="AN77">
        <f t="shared" si="6"/>
        <v>77</v>
      </c>
      <c r="AQ77" s="114">
        <f t="shared" ca="1" si="54"/>
        <v>0</v>
      </c>
      <c r="AW77">
        <v>77</v>
      </c>
    </row>
    <row r="78" spans="1:49" x14ac:dyDescent="0.25">
      <c r="A78" s="113">
        <f t="shared" si="149"/>
        <v>550</v>
      </c>
      <c r="B78" s="113" t="str">
        <f t="shared" si="150"/>
        <v>a</v>
      </c>
      <c r="C78" s="113" t="str">
        <f t="shared" si="151"/>
        <v>b</v>
      </c>
      <c r="D78" s="113" t="str">
        <f t="shared" si="152"/>
        <v>c</v>
      </c>
      <c r="E78" s="113" t="str">
        <f t="shared" si="153"/>
        <v>d</v>
      </c>
      <c r="F78" s="113" t="str">
        <f t="shared" si="154"/>
        <v>e</v>
      </c>
      <c r="G78" s="113" t="str">
        <f t="shared" si="155"/>
        <v>f</v>
      </c>
      <c r="H78" s="113" t="str">
        <f t="shared" si="156"/>
        <v>g</v>
      </c>
      <c r="I78" s="113" t="str">
        <f t="shared" si="157"/>
        <v>h</v>
      </c>
      <c r="J78" s="113" t="str">
        <f t="shared" si="158"/>
        <v>i</v>
      </c>
      <c r="K78" s="113" t="str">
        <f t="shared" si="159"/>
        <v>j</v>
      </c>
      <c r="L78" s="113" t="str">
        <f t="shared" si="160"/>
        <v>k</v>
      </c>
      <c r="M78" s="113" t="str">
        <f t="shared" si="161"/>
        <v>l</v>
      </c>
      <c r="N78" s="113" t="str">
        <f t="shared" si="162"/>
        <v>m</v>
      </c>
      <c r="O78" s="113">
        <f t="shared" si="163"/>
        <v>0</v>
      </c>
      <c r="P78" s="113">
        <f t="shared" si="164"/>
        <v>0</v>
      </c>
      <c r="Q78" s="113" t="str">
        <f t="shared" si="165"/>
        <v>p</v>
      </c>
      <c r="R78" s="113">
        <f t="shared" si="166"/>
        <v>0</v>
      </c>
      <c r="S78" s="113">
        <f t="shared" si="167"/>
        <v>0</v>
      </c>
      <c r="T78" s="113">
        <f t="shared" si="168"/>
        <v>0</v>
      </c>
      <c r="U78" s="113">
        <f t="shared" si="169"/>
        <v>0</v>
      </c>
      <c r="V78" s="113">
        <f t="shared" si="170"/>
        <v>0</v>
      </c>
      <c r="W78" s="113">
        <f t="shared" si="171"/>
        <v>0</v>
      </c>
      <c r="X78" s="113">
        <f t="shared" si="172"/>
        <v>0</v>
      </c>
      <c r="AA78" s="113">
        <v>28</v>
      </c>
      <c r="AB78" s="112">
        <f t="shared" ca="1" si="173"/>
        <v>36770</v>
      </c>
      <c r="AC78" s="112">
        <f t="shared" ca="1" si="173"/>
        <v>36891</v>
      </c>
      <c r="AF78" s="114">
        <f t="shared" ca="1" si="13"/>
        <v>15344.97</v>
      </c>
      <c r="AG78" s="114">
        <f t="shared" ca="1" si="174"/>
        <v>0</v>
      </c>
      <c r="AH78" s="114">
        <f t="shared" ca="1" si="175"/>
        <v>0</v>
      </c>
      <c r="AI78" s="114">
        <f t="shared" ca="1" si="176"/>
        <v>6384.11</v>
      </c>
      <c r="AJ78" s="114">
        <f t="shared" ca="1" si="177"/>
        <v>0</v>
      </c>
      <c r="AK78" s="114">
        <f t="shared" ca="1" si="178"/>
        <v>1810.76</v>
      </c>
      <c r="AN78">
        <f t="shared" si="6"/>
        <v>78</v>
      </c>
      <c r="AQ78" s="114">
        <f t="shared" ca="1" si="54"/>
        <v>0</v>
      </c>
      <c r="AW78">
        <v>78</v>
      </c>
    </row>
    <row r="79" spans="1:49" x14ac:dyDescent="0.25">
      <c r="A79" s="113">
        <f t="shared" si="149"/>
        <v>552</v>
      </c>
      <c r="B79" s="113" t="str">
        <f t="shared" si="150"/>
        <v>a</v>
      </c>
      <c r="C79" s="113" t="str">
        <f t="shared" si="151"/>
        <v>b</v>
      </c>
      <c r="D79" s="113" t="str">
        <f t="shared" si="152"/>
        <v>c</v>
      </c>
      <c r="E79" s="113" t="str">
        <f t="shared" si="153"/>
        <v>d</v>
      </c>
      <c r="F79" s="113" t="str">
        <f t="shared" si="154"/>
        <v>e</v>
      </c>
      <c r="G79" s="113" t="str">
        <f t="shared" si="155"/>
        <v>f</v>
      </c>
      <c r="H79" s="113" t="str">
        <f t="shared" si="156"/>
        <v>g</v>
      </c>
      <c r="I79" s="113" t="str">
        <f t="shared" si="157"/>
        <v>h</v>
      </c>
      <c r="J79" s="113" t="str">
        <f t="shared" si="158"/>
        <v>i</v>
      </c>
      <c r="K79" s="113" t="str">
        <f t="shared" si="159"/>
        <v>j</v>
      </c>
      <c r="L79" s="113" t="str">
        <f t="shared" si="160"/>
        <v>k</v>
      </c>
      <c r="M79" s="113" t="str">
        <f t="shared" si="161"/>
        <v>l</v>
      </c>
      <c r="N79" s="113" t="str">
        <f t="shared" si="162"/>
        <v>m</v>
      </c>
      <c r="O79" s="113">
        <f t="shared" si="163"/>
        <v>0</v>
      </c>
      <c r="P79" s="113">
        <f t="shared" si="164"/>
        <v>0</v>
      </c>
      <c r="Q79" s="113" t="str">
        <f t="shared" si="165"/>
        <v>p</v>
      </c>
      <c r="R79" s="113">
        <f t="shared" si="166"/>
        <v>0</v>
      </c>
      <c r="S79" s="113">
        <f t="shared" si="167"/>
        <v>0</v>
      </c>
      <c r="T79" s="113">
        <f t="shared" si="168"/>
        <v>0</v>
      </c>
      <c r="U79" s="113">
        <f t="shared" si="169"/>
        <v>0</v>
      </c>
      <c r="V79" s="113">
        <f t="shared" si="170"/>
        <v>0</v>
      </c>
      <c r="W79" s="113">
        <f t="shared" si="171"/>
        <v>0</v>
      </c>
      <c r="X79" s="113">
        <f t="shared" si="172"/>
        <v>0</v>
      </c>
      <c r="AA79" s="113">
        <v>35</v>
      </c>
      <c r="AB79" s="112">
        <f t="shared" ca="1" si="173"/>
        <v>36770</v>
      </c>
      <c r="AC79" s="112">
        <f t="shared" ca="1" si="173"/>
        <v>36891</v>
      </c>
      <c r="AF79" s="114">
        <f t="shared" ca="1" si="13"/>
        <v>16427.46</v>
      </c>
      <c r="AG79" s="114">
        <f t="shared" ca="1" si="174"/>
        <v>0</v>
      </c>
      <c r="AH79" s="114">
        <f t="shared" ca="1" si="175"/>
        <v>0</v>
      </c>
      <c r="AI79" s="114">
        <f t="shared" ca="1" si="176"/>
        <v>6384.11</v>
      </c>
      <c r="AJ79" s="114">
        <f t="shared" ca="1" si="177"/>
        <v>0</v>
      </c>
      <c r="AK79" s="114">
        <f t="shared" ca="1" si="178"/>
        <v>1900.96</v>
      </c>
      <c r="AN79">
        <f t="shared" si="6"/>
        <v>79</v>
      </c>
      <c r="AQ79" s="114">
        <f t="shared" ca="1" si="54"/>
        <v>0</v>
      </c>
      <c r="AW79">
        <v>79</v>
      </c>
    </row>
    <row r="80" spans="1:49" x14ac:dyDescent="0.25">
      <c r="A80" s="113">
        <f>A73+20</f>
        <v>560</v>
      </c>
      <c r="B80" s="113" t="str">
        <f>B73</f>
        <v>a</v>
      </c>
      <c r="C80" s="113" t="str">
        <f t="shared" ref="C80:X80" si="179">C73</f>
        <v>b</v>
      </c>
      <c r="D80" s="113" t="str">
        <f t="shared" si="179"/>
        <v>c</v>
      </c>
      <c r="E80" s="113" t="str">
        <f t="shared" si="179"/>
        <v>d</v>
      </c>
      <c r="F80" s="113" t="str">
        <f t="shared" si="179"/>
        <v>e</v>
      </c>
      <c r="G80" s="113" t="str">
        <f t="shared" si="179"/>
        <v>f</v>
      </c>
      <c r="H80" s="113" t="str">
        <f t="shared" si="179"/>
        <v>g</v>
      </c>
      <c r="I80" s="113" t="str">
        <f t="shared" si="179"/>
        <v>h</v>
      </c>
      <c r="J80" s="113" t="str">
        <f t="shared" si="179"/>
        <v>i</v>
      </c>
      <c r="K80" s="113" t="str">
        <f t="shared" si="179"/>
        <v>j</v>
      </c>
      <c r="L80" s="113" t="str">
        <f t="shared" si="179"/>
        <v>k</v>
      </c>
      <c r="M80" s="113" t="str">
        <f t="shared" si="179"/>
        <v>l</v>
      </c>
      <c r="N80" s="113" t="str">
        <f t="shared" si="179"/>
        <v>m</v>
      </c>
      <c r="O80" s="113">
        <f t="shared" si="179"/>
        <v>0</v>
      </c>
      <c r="P80" s="113">
        <f t="shared" si="179"/>
        <v>0</v>
      </c>
      <c r="Q80" s="113" t="str">
        <f t="shared" si="179"/>
        <v>p</v>
      </c>
      <c r="R80" s="113">
        <f t="shared" si="179"/>
        <v>0</v>
      </c>
      <c r="S80" s="113">
        <f t="shared" si="179"/>
        <v>0</v>
      </c>
      <c r="T80" s="113">
        <f t="shared" si="179"/>
        <v>0</v>
      </c>
      <c r="U80" s="113">
        <f t="shared" si="179"/>
        <v>0</v>
      </c>
      <c r="V80" s="113">
        <f t="shared" si="179"/>
        <v>0</v>
      </c>
      <c r="W80" s="113">
        <f t="shared" si="179"/>
        <v>0</v>
      </c>
      <c r="X80" s="113">
        <f t="shared" si="179"/>
        <v>0</v>
      </c>
      <c r="AA80" s="113">
        <v>0</v>
      </c>
      <c r="AB80" s="112">
        <f ca="1">INDIRECT(CONCATENATE($AB$10,CONCATENATE(B80,$A80)))</f>
        <v>36892</v>
      </c>
      <c r="AC80" s="112">
        <f ca="1">INDIRECT(CONCATENATE($AB$10,CONCATENATE(C80,$A80)))</f>
        <v>37256</v>
      </c>
      <c r="AF80" s="114">
        <f t="shared" ca="1" si="13"/>
        <v>9505.91</v>
      </c>
      <c r="AG80" s="114">
        <f ca="1">INDIRECT(CONCATENATE($AB$10,CONCATENATE(G80,$A80)))</f>
        <v>0</v>
      </c>
      <c r="AH80" s="114">
        <f ca="1">INDIRECT(CONCATENATE($AB$10,CONCATENATE(H80,$A80)))</f>
        <v>0</v>
      </c>
      <c r="AI80" s="114">
        <f ca="1">INDIRECT(CONCATENATE($AB$10,CONCATENATE(I80,$A80)))</f>
        <v>6384.11</v>
      </c>
      <c r="AJ80" s="114">
        <f ca="1">INDIRECT(CONCATENATE($AB$10,CONCATENATE(J80,$A80)))</f>
        <v>0</v>
      </c>
      <c r="AK80" s="114">
        <f ca="1">INDIRECT(CONCATENATE($AB$10,CONCATENATE(K80,$A80)))</f>
        <v>1324.17</v>
      </c>
      <c r="AN80">
        <f t="shared" si="6"/>
        <v>80</v>
      </c>
      <c r="AQ80" s="114">
        <f t="shared" ca="1" si="54"/>
        <v>1338.6</v>
      </c>
      <c r="AW80">
        <v>80</v>
      </c>
    </row>
    <row r="81" spans="1:49" x14ac:dyDescent="0.25">
      <c r="A81" s="113">
        <f t="shared" ref="A81:A86" si="180">A80+2</f>
        <v>562</v>
      </c>
      <c r="B81" s="113" t="str">
        <f t="shared" ref="B81:B86" si="181">B80</f>
        <v>a</v>
      </c>
      <c r="C81" s="113" t="str">
        <f t="shared" ref="C81:C86" si="182">C80</f>
        <v>b</v>
      </c>
      <c r="D81" s="113" t="str">
        <f t="shared" ref="D81:D86" si="183">D80</f>
        <v>c</v>
      </c>
      <c r="E81" s="113" t="str">
        <f t="shared" ref="E81:E86" si="184">E80</f>
        <v>d</v>
      </c>
      <c r="F81" s="113" t="str">
        <f t="shared" ref="F81:F86" si="185">F80</f>
        <v>e</v>
      </c>
      <c r="G81" s="113" t="str">
        <f t="shared" ref="G81:G86" si="186">G80</f>
        <v>f</v>
      </c>
      <c r="H81" s="113" t="str">
        <f t="shared" ref="H81:H86" si="187">H80</f>
        <v>g</v>
      </c>
      <c r="I81" s="113" t="str">
        <f t="shared" ref="I81:I86" si="188">I80</f>
        <v>h</v>
      </c>
      <c r="J81" s="113" t="str">
        <f t="shared" ref="J81:J86" si="189">J80</f>
        <v>i</v>
      </c>
      <c r="K81" s="113" t="str">
        <f t="shared" ref="K81:K86" si="190">K80</f>
        <v>j</v>
      </c>
      <c r="L81" s="113" t="str">
        <f t="shared" ref="L81:L86" si="191">L80</f>
        <v>k</v>
      </c>
      <c r="M81" s="113" t="str">
        <f t="shared" ref="M81:M86" si="192">M80</f>
        <v>l</v>
      </c>
      <c r="N81" s="113" t="str">
        <f t="shared" ref="N81:N86" si="193">N80</f>
        <v>m</v>
      </c>
      <c r="O81" s="113">
        <f t="shared" ref="O81:O86" si="194">O80</f>
        <v>0</v>
      </c>
      <c r="P81" s="113">
        <f t="shared" ref="P81:P86" si="195">P80</f>
        <v>0</v>
      </c>
      <c r="Q81" s="113" t="str">
        <f t="shared" ref="Q81:Q86" si="196">Q80</f>
        <v>p</v>
      </c>
      <c r="R81" s="113">
        <f t="shared" ref="R81:R86" si="197">R80</f>
        <v>0</v>
      </c>
      <c r="S81" s="113">
        <f t="shared" ref="S81:S86" si="198">S80</f>
        <v>0</v>
      </c>
      <c r="T81" s="113">
        <f t="shared" ref="T81:T86" si="199">T80</f>
        <v>0</v>
      </c>
      <c r="U81" s="113">
        <f t="shared" ref="U81:U86" si="200">U80</f>
        <v>0</v>
      </c>
      <c r="V81" s="113">
        <f t="shared" ref="V81:V86" si="201">V80</f>
        <v>0</v>
      </c>
      <c r="W81" s="113">
        <f t="shared" ref="W81:W86" si="202">W80</f>
        <v>0</v>
      </c>
      <c r="X81" s="113">
        <f t="shared" ref="X81:X86" si="203">X80</f>
        <v>0</v>
      </c>
      <c r="AA81" s="113">
        <v>3</v>
      </c>
      <c r="AB81" s="112">
        <f t="shared" ref="AB81:AC86" ca="1" si="204">AB80</f>
        <v>36892</v>
      </c>
      <c r="AC81" s="112">
        <f t="shared" ca="1" si="204"/>
        <v>37256</v>
      </c>
      <c r="AF81" s="114">
        <f t="shared" ca="1" si="13"/>
        <v>9935.08</v>
      </c>
      <c r="AG81" s="114">
        <f t="shared" ref="AG81:AG86" ca="1" si="205">INDIRECT(CONCATENATE($AB$10,CONCATENATE(G81,$A81)))</f>
        <v>0</v>
      </c>
      <c r="AH81" s="114">
        <f t="shared" ref="AH81:AH86" ca="1" si="206">INDIRECT(CONCATENATE($AB$10,CONCATENATE(H81,$A81)))</f>
        <v>0</v>
      </c>
      <c r="AI81" s="114">
        <f t="shared" ref="AI81:AI86" ca="1" si="207">INDIRECT(CONCATENATE($AB$10,CONCATENATE(I81,$A81)))</f>
        <v>6384.11</v>
      </c>
      <c r="AJ81" s="114">
        <f t="shared" ref="AJ81:AJ86" ca="1" si="208">INDIRECT(CONCATENATE($AB$10,CONCATENATE(J81,$A81)))</f>
        <v>0</v>
      </c>
      <c r="AK81" s="114">
        <f t="shared" ref="AK81:AK86" ca="1" si="209">INDIRECT(CONCATENATE($AB$10,CONCATENATE(K81,$A81)))</f>
        <v>1359.93</v>
      </c>
      <c r="AN81">
        <f t="shared" si="6"/>
        <v>81</v>
      </c>
      <c r="AQ81" s="114">
        <f t="shared" ca="1" si="54"/>
        <v>1338.6</v>
      </c>
      <c r="AW81">
        <v>81</v>
      </c>
    </row>
    <row r="82" spans="1:49" x14ac:dyDescent="0.25">
      <c r="A82" s="113">
        <f t="shared" si="180"/>
        <v>564</v>
      </c>
      <c r="B82" s="113" t="str">
        <f t="shared" si="181"/>
        <v>a</v>
      </c>
      <c r="C82" s="113" t="str">
        <f t="shared" si="182"/>
        <v>b</v>
      </c>
      <c r="D82" s="113" t="str">
        <f t="shared" si="183"/>
        <v>c</v>
      </c>
      <c r="E82" s="113" t="str">
        <f t="shared" si="184"/>
        <v>d</v>
      </c>
      <c r="F82" s="113" t="str">
        <f t="shared" si="185"/>
        <v>e</v>
      </c>
      <c r="G82" s="113" t="str">
        <f t="shared" si="186"/>
        <v>f</v>
      </c>
      <c r="H82" s="113" t="str">
        <f t="shared" si="187"/>
        <v>g</v>
      </c>
      <c r="I82" s="113" t="str">
        <f t="shared" si="188"/>
        <v>h</v>
      </c>
      <c r="J82" s="113" t="str">
        <f t="shared" si="189"/>
        <v>i</v>
      </c>
      <c r="K82" s="113" t="str">
        <f t="shared" si="190"/>
        <v>j</v>
      </c>
      <c r="L82" s="113" t="str">
        <f t="shared" si="191"/>
        <v>k</v>
      </c>
      <c r="M82" s="113" t="str">
        <f t="shared" si="192"/>
        <v>l</v>
      </c>
      <c r="N82" s="113" t="str">
        <f t="shared" si="193"/>
        <v>m</v>
      </c>
      <c r="O82" s="113">
        <f t="shared" si="194"/>
        <v>0</v>
      </c>
      <c r="P82" s="113">
        <f t="shared" si="195"/>
        <v>0</v>
      </c>
      <c r="Q82" s="113" t="str">
        <f t="shared" si="196"/>
        <v>p</v>
      </c>
      <c r="R82" s="113">
        <f t="shared" si="197"/>
        <v>0</v>
      </c>
      <c r="S82" s="113">
        <f t="shared" si="198"/>
        <v>0</v>
      </c>
      <c r="T82" s="113">
        <f t="shared" si="199"/>
        <v>0</v>
      </c>
      <c r="U82" s="113">
        <f t="shared" si="200"/>
        <v>0</v>
      </c>
      <c r="V82" s="113">
        <f t="shared" si="201"/>
        <v>0</v>
      </c>
      <c r="W82" s="113">
        <f t="shared" si="202"/>
        <v>0</v>
      </c>
      <c r="X82" s="113">
        <f t="shared" si="203"/>
        <v>0</v>
      </c>
      <c r="AA82" s="113">
        <v>9</v>
      </c>
      <c r="AB82" s="112">
        <f t="shared" ca="1" si="204"/>
        <v>36892</v>
      </c>
      <c r="AC82" s="112">
        <f t="shared" ca="1" si="204"/>
        <v>37256</v>
      </c>
      <c r="AF82" s="114">
        <f t="shared" ca="1" si="13"/>
        <v>11257.21</v>
      </c>
      <c r="AG82" s="114">
        <f t="shared" ca="1" si="205"/>
        <v>0</v>
      </c>
      <c r="AH82" s="114">
        <f t="shared" ca="1" si="206"/>
        <v>0</v>
      </c>
      <c r="AI82" s="114">
        <f t="shared" ca="1" si="207"/>
        <v>6384.11</v>
      </c>
      <c r="AJ82" s="114">
        <f t="shared" ca="1" si="208"/>
        <v>0</v>
      </c>
      <c r="AK82" s="114">
        <f t="shared" ca="1" si="209"/>
        <v>1470.11</v>
      </c>
      <c r="AN82">
        <f t="shared" si="6"/>
        <v>82</v>
      </c>
      <c r="AQ82" s="114">
        <f t="shared" ca="1" si="54"/>
        <v>1338.6</v>
      </c>
      <c r="AW82">
        <v>82</v>
      </c>
    </row>
    <row r="83" spans="1:49" x14ac:dyDescent="0.25">
      <c r="A83" s="113">
        <f t="shared" si="180"/>
        <v>566</v>
      </c>
      <c r="B83" s="113" t="str">
        <f t="shared" si="181"/>
        <v>a</v>
      </c>
      <c r="C83" s="113" t="str">
        <f t="shared" si="182"/>
        <v>b</v>
      </c>
      <c r="D83" s="113" t="str">
        <f t="shared" si="183"/>
        <v>c</v>
      </c>
      <c r="E83" s="113" t="str">
        <f t="shared" si="184"/>
        <v>d</v>
      </c>
      <c r="F83" s="113" t="str">
        <f t="shared" si="185"/>
        <v>e</v>
      </c>
      <c r="G83" s="113" t="str">
        <f t="shared" si="186"/>
        <v>f</v>
      </c>
      <c r="H83" s="113" t="str">
        <f t="shared" si="187"/>
        <v>g</v>
      </c>
      <c r="I83" s="113" t="str">
        <f t="shared" si="188"/>
        <v>h</v>
      </c>
      <c r="J83" s="113" t="str">
        <f t="shared" si="189"/>
        <v>i</v>
      </c>
      <c r="K83" s="113" t="str">
        <f t="shared" si="190"/>
        <v>j</v>
      </c>
      <c r="L83" s="113" t="str">
        <f t="shared" si="191"/>
        <v>k</v>
      </c>
      <c r="M83" s="113" t="str">
        <f t="shared" si="192"/>
        <v>l</v>
      </c>
      <c r="N83" s="113" t="str">
        <f t="shared" si="193"/>
        <v>m</v>
      </c>
      <c r="O83" s="113">
        <f t="shared" si="194"/>
        <v>0</v>
      </c>
      <c r="P83" s="113">
        <f t="shared" si="195"/>
        <v>0</v>
      </c>
      <c r="Q83" s="113" t="str">
        <f t="shared" si="196"/>
        <v>p</v>
      </c>
      <c r="R83" s="113">
        <f t="shared" si="197"/>
        <v>0</v>
      </c>
      <c r="S83" s="113">
        <f t="shared" si="198"/>
        <v>0</v>
      </c>
      <c r="T83" s="113">
        <f t="shared" si="199"/>
        <v>0</v>
      </c>
      <c r="U83" s="113">
        <f t="shared" si="200"/>
        <v>0</v>
      </c>
      <c r="V83" s="113">
        <f t="shared" si="201"/>
        <v>0</v>
      </c>
      <c r="W83" s="113">
        <f t="shared" si="202"/>
        <v>0</v>
      </c>
      <c r="X83" s="113">
        <f t="shared" si="203"/>
        <v>0</v>
      </c>
      <c r="AA83" s="113">
        <v>15</v>
      </c>
      <c r="AB83" s="112">
        <f t="shared" ca="1" si="204"/>
        <v>36892</v>
      </c>
      <c r="AC83" s="112">
        <f t="shared" ca="1" si="204"/>
        <v>37256</v>
      </c>
      <c r="AF83" s="114">
        <f t="shared" ca="1" si="13"/>
        <v>12801.42</v>
      </c>
      <c r="AG83" s="114">
        <f t="shared" ca="1" si="205"/>
        <v>0</v>
      </c>
      <c r="AH83" s="114">
        <f t="shared" ca="1" si="206"/>
        <v>0</v>
      </c>
      <c r="AI83" s="114">
        <f t="shared" ca="1" si="207"/>
        <v>6384.11</v>
      </c>
      <c r="AJ83" s="114">
        <f t="shared" ca="1" si="208"/>
        <v>0</v>
      </c>
      <c r="AK83" s="114">
        <f t="shared" ca="1" si="209"/>
        <v>1598.79</v>
      </c>
      <c r="AN83">
        <f t="shared" si="6"/>
        <v>83</v>
      </c>
      <c r="AQ83" s="114">
        <f t="shared" ca="1" si="54"/>
        <v>1667.16</v>
      </c>
      <c r="AW83">
        <v>83</v>
      </c>
    </row>
    <row r="84" spans="1:49" x14ac:dyDescent="0.25">
      <c r="A84" s="113">
        <f t="shared" si="180"/>
        <v>568</v>
      </c>
      <c r="B84" s="113" t="str">
        <f t="shared" si="181"/>
        <v>a</v>
      </c>
      <c r="C84" s="113" t="str">
        <f t="shared" si="182"/>
        <v>b</v>
      </c>
      <c r="D84" s="113" t="str">
        <f t="shared" si="183"/>
        <v>c</v>
      </c>
      <c r="E84" s="113" t="str">
        <f t="shared" si="184"/>
        <v>d</v>
      </c>
      <c r="F84" s="113" t="str">
        <f t="shared" si="185"/>
        <v>e</v>
      </c>
      <c r="G84" s="113" t="str">
        <f t="shared" si="186"/>
        <v>f</v>
      </c>
      <c r="H84" s="113" t="str">
        <f t="shared" si="187"/>
        <v>g</v>
      </c>
      <c r="I84" s="113" t="str">
        <f t="shared" si="188"/>
        <v>h</v>
      </c>
      <c r="J84" s="113" t="str">
        <f t="shared" si="189"/>
        <v>i</v>
      </c>
      <c r="K84" s="113" t="str">
        <f t="shared" si="190"/>
        <v>j</v>
      </c>
      <c r="L84" s="113" t="str">
        <f t="shared" si="191"/>
        <v>k</v>
      </c>
      <c r="M84" s="113" t="str">
        <f t="shared" si="192"/>
        <v>l</v>
      </c>
      <c r="N84" s="113" t="str">
        <f t="shared" si="193"/>
        <v>m</v>
      </c>
      <c r="O84" s="113">
        <f t="shared" si="194"/>
        <v>0</v>
      </c>
      <c r="P84" s="113">
        <f t="shared" si="195"/>
        <v>0</v>
      </c>
      <c r="Q84" s="113" t="str">
        <f t="shared" si="196"/>
        <v>p</v>
      </c>
      <c r="R84" s="113">
        <f t="shared" si="197"/>
        <v>0</v>
      </c>
      <c r="S84" s="113">
        <f t="shared" si="198"/>
        <v>0</v>
      </c>
      <c r="T84" s="113">
        <f t="shared" si="199"/>
        <v>0</v>
      </c>
      <c r="U84" s="113">
        <f t="shared" si="200"/>
        <v>0</v>
      </c>
      <c r="V84" s="113">
        <f t="shared" si="201"/>
        <v>0</v>
      </c>
      <c r="W84" s="113">
        <f t="shared" si="202"/>
        <v>0</v>
      </c>
      <c r="X84" s="113">
        <f t="shared" si="203"/>
        <v>0</v>
      </c>
      <c r="AA84" s="113">
        <v>21</v>
      </c>
      <c r="AB84" s="112">
        <f t="shared" ca="1" si="204"/>
        <v>36892</v>
      </c>
      <c r="AC84" s="112">
        <f t="shared" ca="1" si="204"/>
        <v>37256</v>
      </c>
      <c r="AF84" s="114">
        <f t="shared" ca="1" si="13"/>
        <v>14300.18</v>
      </c>
      <c r="AG84" s="114">
        <f t="shared" ca="1" si="205"/>
        <v>0</v>
      </c>
      <c r="AH84" s="114">
        <f t="shared" ca="1" si="206"/>
        <v>0</v>
      </c>
      <c r="AI84" s="114">
        <f t="shared" ca="1" si="207"/>
        <v>6384.11</v>
      </c>
      <c r="AJ84" s="114">
        <f t="shared" ca="1" si="208"/>
        <v>0</v>
      </c>
      <c r="AK84" s="114">
        <f t="shared" ca="1" si="209"/>
        <v>1723.69</v>
      </c>
      <c r="AN84">
        <f t="shared" si="6"/>
        <v>84</v>
      </c>
      <c r="AQ84" s="114">
        <f t="shared" ca="1" si="54"/>
        <v>1667.16</v>
      </c>
      <c r="AW84">
        <v>84</v>
      </c>
    </row>
    <row r="85" spans="1:49" x14ac:dyDescent="0.25">
      <c r="A85" s="113">
        <f t="shared" si="180"/>
        <v>570</v>
      </c>
      <c r="B85" s="113" t="str">
        <f t="shared" si="181"/>
        <v>a</v>
      </c>
      <c r="C85" s="113" t="str">
        <f t="shared" si="182"/>
        <v>b</v>
      </c>
      <c r="D85" s="113" t="str">
        <f t="shared" si="183"/>
        <v>c</v>
      </c>
      <c r="E85" s="113" t="str">
        <f t="shared" si="184"/>
        <v>d</v>
      </c>
      <c r="F85" s="113" t="str">
        <f t="shared" si="185"/>
        <v>e</v>
      </c>
      <c r="G85" s="113" t="str">
        <f t="shared" si="186"/>
        <v>f</v>
      </c>
      <c r="H85" s="113" t="str">
        <f t="shared" si="187"/>
        <v>g</v>
      </c>
      <c r="I85" s="113" t="str">
        <f t="shared" si="188"/>
        <v>h</v>
      </c>
      <c r="J85" s="113" t="str">
        <f t="shared" si="189"/>
        <v>i</v>
      </c>
      <c r="K85" s="113" t="str">
        <f t="shared" si="190"/>
        <v>j</v>
      </c>
      <c r="L85" s="113" t="str">
        <f t="shared" si="191"/>
        <v>k</v>
      </c>
      <c r="M85" s="113" t="str">
        <f t="shared" si="192"/>
        <v>l</v>
      </c>
      <c r="N85" s="113" t="str">
        <f t="shared" si="193"/>
        <v>m</v>
      </c>
      <c r="O85" s="113">
        <f t="shared" si="194"/>
        <v>0</v>
      </c>
      <c r="P85" s="113">
        <f t="shared" si="195"/>
        <v>0</v>
      </c>
      <c r="Q85" s="113" t="str">
        <f t="shared" si="196"/>
        <v>p</v>
      </c>
      <c r="R85" s="113">
        <f t="shared" si="197"/>
        <v>0</v>
      </c>
      <c r="S85" s="113">
        <f t="shared" si="198"/>
        <v>0</v>
      </c>
      <c r="T85" s="113">
        <f t="shared" si="199"/>
        <v>0</v>
      </c>
      <c r="U85" s="113">
        <f t="shared" si="200"/>
        <v>0</v>
      </c>
      <c r="V85" s="113">
        <f t="shared" si="201"/>
        <v>0</v>
      </c>
      <c r="W85" s="113">
        <f t="shared" si="202"/>
        <v>0</v>
      </c>
      <c r="X85" s="113">
        <f t="shared" si="203"/>
        <v>0</v>
      </c>
      <c r="AA85" s="113">
        <v>28</v>
      </c>
      <c r="AB85" s="112">
        <f t="shared" ca="1" si="204"/>
        <v>36892</v>
      </c>
      <c r="AC85" s="112">
        <f t="shared" ca="1" si="204"/>
        <v>37256</v>
      </c>
      <c r="AF85" s="114">
        <f t="shared" ca="1" si="13"/>
        <v>15778.79</v>
      </c>
      <c r="AG85" s="114">
        <f t="shared" ca="1" si="205"/>
        <v>0</v>
      </c>
      <c r="AH85" s="114">
        <f t="shared" ca="1" si="206"/>
        <v>0</v>
      </c>
      <c r="AI85" s="114">
        <f t="shared" ca="1" si="207"/>
        <v>6384.11</v>
      </c>
      <c r="AJ85" s="114">
        <f t="shared" ca="1" si="208"/>
        <v>0</v>
      </c>
      <c r="AK85" s="114">
        <f t="shared" ca="1" si="209"/>
        <v>1846.91</v>
      </c>
      <c r="AN85">
        <f t="shared" si="6"/>
        <v>85</v>
      </c>
      <c r="AQ85" s="114">
        <f t="shared" ca="1" si="54"/>
        <v>1865.4</v>
      </c>
      <c r="AW85">
        <v>85</v>
      </c>
    </row>
    <row r="86" spans="1:49" x14ac:dyDescent="0.25">
      <c r="A86" s="113">
        <f t="shared" si="180"/>
        <v>572</v>
      </c>
      <c r="B86" s="113" t="str">
        <f t="shared" si="181"/>
        <v>a</v>
      </c>
      <c r="C86" s="113" t="str">
        <f t="shared" si="182"/>
        <v>b</v>
      </c>
      <c r="D86" s="113" t="str">
        <f t="shared" si="183"/>
        <v>c</v>
      </c>
      <c r="E86" s="113" t="str">
        <f t="shared" si="184"/>
        <v>d</v>
      </c>
      <c r="F86" s="113" t="str">
        <f t="shared" si="185"/>
        <v>e</v>
      </c>
      <c r="G86" s="113" t="str">
        <f t="shared" si="186"/>
        <v>f</v>
      </c>
      <c r="H86" s="113" t="str">
        <f t="shared" si="187"/>
        <v>g</v>
      </c>
      <c r="I86" s="113" t="str">
        <f t="shared" si="188"/>
        <v>h</v>
      </c>
      <c r="J86" s="113" t="str">
        <f t="shared" si="189"/>
        <v>i</v>
      </c>
      <c r="K86" s="113" t="str">
        <f t="shared" si="190"/>
        <v>j</v>
      </c>
      <c r="L86" s="113" t="str">
        <f t="shared" si="191"/>
        <v>k</v>
      </c>
      <c r="M86" s="113" t="str">
        <f t="shared" si="192"/>
        <v>l</v>
      </c>
      <c r="N86" s="113" t="str">
        <f t="shared" si="193"/>
        <v>m</v>
      </c>
      <c r="O86" s="113">
        <f t="shared" si="194"/>
        <v>0</v>
      </c>
      <c r="P86" s="113">
        <f t="shared" si="195"/>
        <v>0</v>
      </c>
      <c r="Q86" s="113" t="str">
        <f t="shared" si="196"/>
        <v>p</v>
      </c>
      <c r="R86" s="113">
        <f t="shared" si="197"/>
        <v>0</v>
      </c>
      <c r="S86" s="113">
        <f t="shared" si="198"/>
        <v>0</v>
      </c>
      <c r="T86" s="113">
        <f t="shared" si="199"/>
        <v>0</v>
      </c>
      <c r="U86" s="113">
        <f t="shared" si="200"/>
        <v>0</v>
      </c>
      <c r="V86" s="113">
        <f t="shared" si="201"/>
        <v>0</v>
      </c>
      <c r="W86" s="113">
        <f t="shared" si="202"/>
        <v>0</v>
      </c>
      <c r="X86" s="113">
        <f t="shared" si="203"/>
        <v>0</v>
      </c>
      <c r="AA86" s="113">
        <v>35</v>
      </c>
      <c r="AB86" s="112">
        <f t="shared" ca="1" si="204"/>
        <v>36892</v>
      </c>
      <c r="AC86" s="112">
        <f t="shared" ca="1" si="204"/>
        <v>37256</v>
      </c>
      <c r="AF86" s="114">
        <f t="shared" ca="1" si="13"/>
        <v>16879.88</v>
      </c>
      <c r="AG86" s="114">
        <f t="shared" ca="1" si="205"/>
        <v>0</v>
      </c>
      <c r="AH86" s="114">
        <f t="shared" ca="1" si="206"/>
        <v>0</v>
      </c>
      <c r="AI86" s="114">
        <f t="shared" ca="1" si="207"/>
        <v>6384.11</v>
      </c>
      <c r="AJ86" s="114">
        <f t="shared" ca="1" si="208"/>
        <v>0</v>
      </c>
      <c r="AK86" s="114">
        <f t="shared" ca="1" si="209"/>
        <v>1938.67</v>
      </c>
      <c r="AN86">
        <f t="shared" si="6"/>
        <v>86</v>
      </c>
      <c r="AQ86" s="114">
        <f t="shared" ca="1" si="54"/>
        <v>1865.4</v>
      </c>
      <c r="AW86">
        <v>86</v>
      </c>
    </row>
    <row r="87" spans="1:49" x14ac:dyDescent="0.25">
      <c r="A87" s="113">
        <f>A80+20</f>
        <v>580</v>
      </c>
      <c r="B87" s="113" t="str">
        <f>B80</f>
        <v>a</v>
      </c>
      <c r="C87" s="113" t="str">
        <f t="shared" ref="C87:X87" si="210">C80</f>
        <v>b</v>
      </c>
      <c r="D87" s="113" t="str">
        <f t="shared" si="210"/>
        <v>c</v>
      </c>
      <c r="E87" s="113" t="str">
        <f t="shared" si="210"/>
        <v>d</v>
      </c>
      <c r="F87" s="113" t="str">
        <f t="shared" si="210"/>
        <v>e</v>
      </c>
      <c r="G87" s="113" t="str">
        <f t="shared" si="210"/>
        <v>f</v>
      </c>
      <c r="H87" s="113" t="str">
        <f t="shared" si="210"/>
        <v>g</v>
      </c>
      <c r="I87" s="113" t="str">
        <f t="shared" si="210"/>
        <v>h</v>
      </c>
      <c r="J87" s="113" t="str">
        <f t="shared" si="210"/>
        <v>i</v>
      </c>
      <c r="K87" s="113" t="str">
        <f t="shared" si="210"/>
        <v>j</v>
      </c>
      <c r="L87" s="113" t="str">
        <f t="shared" si="210"/>
        <v>k</v>
      </c>
      <c r="M87" s="113" t="str">
        <f t="shared" si="210"/>
        <v>l</v>
      </c>
      <c r="N87" s="113" t="str">
        <f t="shared" si="210"/>
        <v>m</v>
      </c>
      <c r="O87" s="113">
        <f t="shared" si="210"/>
        <v>0</v>
      </c>
      <c r="P87" s="113">
        <f t="shared" si="210"/>
        <v>0</v>
      </c>
      <c r="Q87" s="113" t="str">
        <f t="shared" si="210"/>
        <v>p</v>
      </c>
      <c r="R87" s="113">
        <f t="shared" si="210"/>
        <v>0</v>
      </c>
      <c r="S87" s="113">
        <f t="shared" si="210"/>
        <v>0</v>
      </c>
      <c r="T87" s="113">
        <f t="shared" si="210"/>
        <v>0</v>
      </c>
      <c r="U87" s="113">
        <f t="shared" si="210"/>
        <v>0</v>
      </c>
      <c r="V87" s="113">
        <f t="shared" si="210"/>
        <v>0</v>
      </c>
      <c r="W87" s="113">
        <f t="shared" si="210"/>
        <v>0</v>
      </c>
      <c r="X87" s="113">
        <f t="shared" si="210"/>
        <v>0</v>
      </c>
      <c r="AA87" s="113">
        <v>0</v>
      </c>
      <c r="AB87" s="112">
        <f ca="1">INDIRECT(CONCATENATE($AB$10,CONCATENATE(B87,$A87)))</f>
        <v>0</v>
      </c>
      <c r="AC87" s="112">
        <f ca="1">INDIRECT(CONCATENATE($AB$10,CONCATENATE(C87,$A87)))</f>
        <v>0</v>
      </c>
      <c r="AF87" s="114">
        <f t="shared" ca="1" si="13"/>
        <v>0</v>
      </c>
      <c r="AG87" s="114">
        <f ca="1">INDIRECT(CONCATENATE($AB$10,CONCATENATE(G87,$A87)))</f>
        <v>0</v>
      </c>
      <c r="AH87" s="114">
        <f ca="1">INDIRECT(CONCATENATE($AB$10,CONCATENATE(H87,$A87)))</f>
        <v>0</v>
      </c>
      <c r="AI87" s="114">
        <f ca="1">INDIRECT(CONCATENATE($AB$10,CONCATENATE(I87,$A87)))</f>
        <v>0</v>
      </c>
      <c r="AJ87" s="114">
        <f ca="1">INDIRECT(CONCATENATE($AB$10,CONCATENATE(J87,$A87)))</f>
        <v>0</v>
      </c>
      <c r="AK87" s="114">
        <f ca="1">INDIRECT(CONCATENATE($AB$10,CONCATENATE(K87,$A87)))</f>
        <v>0</v>
      </c>
      <c r="AN87">
        <f t="shared" si="6"/>
        <v>87</v>
      </c>
      <c r="AQ87" s="114">
        <f t="shared" ca="1" si="54"/>
        <v>0</v>
      </c>
      <c r="AW87">
        <v>87</v>
      </c>
    </row>
    <row r="88" spans="1:49" x14ac:dyDescent="0.25">
      <c r="A88" s="113">
        <f t="shared" ref="A88:A93" si="211">A87+2</f>
        <v>582</v>
      </c>
      <c r="B88" s="113" t="str">
        <f t="shared" ref="B88:B93" si="212">B87</f>
        <v>a</v>
      </c>
      <c r="C88" s="113" t="str">
        <f t="shared" ref="C88:C93" si="213">C87</f>
        <v>b</v>
      </c>
      <c r="D88" s="113" t="str">
        <f t="shared" ref="D88:D93" si="214">D87</f>
        <v>c</v>
      </c>
      <c r="E88" s="113" t="str">
        <f t="shared" ref="E88:E93" si="215">E87</f>
        <v>d</v>
      </c>
      <c r="F88" s="113" t="str">
        <f t="shared" ref="F88:F93" si="216">F87</f>
        <v>e</v>
      </c>
      <c r="G88" s="113" t="str">
        <f t="shared" ref="G88:G93" si="217">G87</f>
        <v>f</v>
      </c>
      <c r="H88" s="113" t="str">
        <f t="shared" ref="H88:H93" si="218">H87</f>
        <v>g</v>
      </c>
      <c r="I88" s="113" t="str">
        <f t="shared" ref="I88:I93" si="219">I87</f>
        <v>h</v>
      </c>
      <c r="J88" s="113" t="str">
        <f t="shared" ref="J88:J93" si="220">J87</f>
        <v>i</v>
      </c>
      <c r="K88" s="113" t="str">
        <f t="shared" ref="K88:K93" si="221">K87</f>
        <v>j</v>
      </c>
      <c r="L88" s="113" t="str">
        <f t="shared" ref="L88:L93" si="222">L87</f>
        <v>k</v>
      </c>
      <c r="M88" s="113" t="str">
        <f t="shared" ref="M88:M93" si="223">M87</f>
        <v>l</v>
      </c>
      <c r="N88" s="113" t="str">
        <f t="shared" ref="N88:N93" si="224">N87</f>
        <v>m</v>
      </c>
      <c r="O88" s="113">
        <f t="shared" ref="O88:O93" si="225">O87</f>
        <v>0</v>
      </c>
      <c r="P88" s="113">
        <f t="shared" ref="P88:P93" si="226">P87</f>
        <v>0</v>
      </c>
      <c r="Q88" s="113" t="str">
        <f t="shared" ref="Q88:Q93" si="227">Q87</f>
        <v>p</v>
      </c>
      <c r="R88" s="113">
        <f t="shared" ref="R88:R93" si="228">R87</f>
        <v>0</v>
      </c>
      <c r="S88" s="113">
        <f t="shared" ref="S88:S93" si="229">S87</f>
        <v>0</v>
      </c>
      <c r="T88" s="113">
        <f t="shared" ref="T88:T93" si="230">T87</f>
        <v>0</v>
      </c>
      <c r="U88" s="113">
        <f t="shared" ref="U88:U93" si="231">U87</f>
        <v>0</v>
      </c>
      <c r="V88" s="113">
        <f t="shared" ref="V88:V93" si="232">V87</f>
        <v>0</v>
      </c>
      <c r="W88" s="113">
        <f t="shared" ref="W88:W93" si="233">W87</f>
        <v>0</v>
      </c>
      <c r="X88" s="113">
        <f t="shared" ref="X88:X93" si="234">X87</f>
        <v>0</v>
      </c>
      <c r="AA88" s="113">
        <v>3</v>
      </c>
      <c r="AB88" s="112">
        <f t="shared" ref="AB88:AC93" ca="1" si="235">AB87</f>
        <v>0</v>
      </c>
      <c r="AC88" s="112">
        <f t="shared" ca="1" si="235"/>
        <v>0</v>
      </c>
      <c r="AF88" s="114">
        <f t="shared" ca="1" si="13"/>
        <v>0</v>
      </c>
      <c r="AG88" s="114">
        <f t="shared" ref="AG88:AG93" ca="1" si="236">INDIRECT(CONCATENATE($AB$10,CONCATENATE(G88,$A88)))</f>
        <v>0</v>
      </c>
      <c r="AH88" s="114">
        <f t="shared" ref="AH88:AH93" ca="1" si="237">INDIRECT(CONCATENATE($AB$10,CONCATENATE(H88,$A88)))</f>
        <v>0</v>
      </c>
      <c r="AI88" s="114">
        <f t="shared" ref="AI88:AI93" ca="1" si="238">INDIRECT(CONCATENATE($AB$10,CONCATENATE(I88,$A88)))</f>
        <v>0</v>
      </c>
      <c r="AJ88" s="114">
        <f t="shared" ref="AJ88:AJ93" ca="1" si="239">INDIRECT(CONCATENATE($AB$10,CONCATENATE(J88,$A88)))</f>
        <v>0</v>
      </c>
      <c r="AK88" s="114">
        <f t="shared" ref="AK88:AK93" ca="1" si="240">INDIRECT(CONCATENATE($AB$10,CONCATENATE(K88,$A88)))</f>
        <v>0</v>
      </c>
      <c r="AN88">
        <f t="shared" si="6"/>
        <v>88</v>
      </c>
      <c r="AQ88" s="114">
        <f t="shared" ca="1" si="54"/>
        <v>0</v>
      </c>
      <c r="AW88">
        <v>88</v>
      </c>
    </row>
    <row r="89" spans="1:49" x14ac:dyDescent="0.25">
      <c r="A89" s="113">
        <f t="shared" si="211"/>
        <v>584</v>
      </c>
      <c r="B89" s="113" t="str">
        <f t="shared" si="212"/>
        <v>a</v>
      </c>
      <c r="C89" s="113" t="str">
        <f t="shared" si="213"/>
        <v>b</v>
      </c>
      <c r="D89" s="113" t="str">
        <f t="shared" si="214"/>
        <v>c</v>
      </c>
      <c r="E89" s="113" t="str">
        <f t="shared" si="215"/>
        <v>d</v>
      </c>
      <c r="F89" s="113" t="str">
        <f t="shared" si="216"/>
        <v>e</v>
      </c>
      <c r="G89" s="113" t="str">
        <f t="shared" si="217"/>
        <v>f</v>
      </c>
      <c r="H89" s="113" t="str">
        <f t="shared" si="218"/>
        <v>g</v>
      </c>
      <c r="I89" s="113" t="str">
        <f t="shared" si="219"/>
        <v>h</v>
      </c>
      <c r="J89" s="113" t="str">
        <f t="shared" si="220"/>
        <v>i</v>
      </c>
      <c r="K89" s="113" t="str">
        <f t="shared" si="221"/>
        <v>j</v>
      </c>
      <c r="L89" s="113" t="str">
        <f t="shared" si="222"/>
        <v>k</v>
      </c>
      <c r="M89" s="113" t="str">
        <f t="shared" si="223"/>
        <v>l</v>
      </c>
      <c r="N89" s="113" t="str">
        <f t="shared" si="224"/>
        <v>m</v>
      </c>
      <c r="O89" s="113">
        <f t="shared" si="225"/>
        <v>0</v>
      </c>
      <c r="P89" s="113">
        <f t="shared" si="226"/>
        <v>0</v>
      </c>
      <c r="Q89" s="113" t="str">
        <f t="shared" si="227"/>
        <v>p</v>
      </c>
      <c r="R89" s="113">
        <f t="shared" si="228"/>
        <v>0</v>
      </c>
      <c r="S89" s="113">
        <f t="shared" si="229"/>
        <v>0</v>
      </c>
      <c r="T89" s="113">
        <f t="shared" si="230"/>
        <v>0</v>
      </c>
      <c r="U89" s="113">
        <f t="shared" si="231"/>
        <v>0</v>
      </c>
      <c r="V89" s="113">
        <f t="shared" si="232"/>
        <v>0</v>
      </c>
      <c r="W89" s="113">
        <f t="shared" si="233"/>
        <v>0</v>
      </c>
      <c r="X89" s="113">
        <f t="shared" si="234"/>
        <v>0</v>
      </c>
      <c r="AA89" s="113">
        <v>9</v>
      </c>
      <c r="AB89" s="112">
        <f t="shared" ca="1" si="235"/>
        <v>0</v>
      </c>
      <c r="AC89" s="112">
        <f t="shared" ca="1" si="235"/>
        <v>0</v>
      </c>
      <c r="AF89" s="114">
        <f t="shared" ca="1" si="13"/>
        <v>0</v>
      </c>
      <c r="AG89" s="114">
        <f t="shared" ca="1" si="236"/>
        <v>0</v>
      </c>
      <c r="AH89" s="114">
        <f t="shared" ca="1" si="237"/>
        <v>0</v>
      </c>
      <c r="AI89" s="114">
        <f t="shared" ca="1" si="238"/>
        <v>0</v>
      </c>
      <c r="AJ89" s="114">
        <f t="shared" ca="1" si="239"/>
        <v>0</v>
      </c>
      <c r="AK89" s="114">
        <f t="shared" ca="1" si="240"/>
        <v>0</v>
      </c>
      <c r="AN89">
        <f t="shared" si="6"/>
        <v>89</v>
      </c>
      <c r="AQ89" s="114">
        <f t="shared" ca="1" si="54"/>
        <v>0</v>
      </c>
      <c r="AW89">
        <v>89</v>
      </c>
    </row>
    <row r="90" spans="1:49" x14ac:dyDescent="0.25">
      <c r="A90" s="113">
        <f t="shared" si="211"/>
        <v>586</v>
      </c>
      <c r="B90" s="113" t="str">
        <f t="shared" si="212"/>
        <v>a</v>
      </c>
      <c r="C90" s="113" t="str">
        <f t="shared" si="213"/>
        <v>b</v>
      </c>
      <c r="D90" s="113" t="str">
        <f t="shared" si="214"/>
        <v>c</v>
      </c>
      <c r="E90" s="113" t="str">
        <f t="shared" si="215"/>
        <v>d</v>
      </c>
      <c r="F90" s="113" t="str">
        <f t="shared" si="216"/>
        <v>e</v>
      </c>
      <c r="G90" s="113" t="str">
        <f t="shared" si="217"/>
        <v>f</v>
      </c>
      <c r="H90" s="113" t="str">
        <f t="shared" si="218"/>
        <v>g</v>
      </c>
      <c r="I90" s="113" t="str">
        <f t="shared" si="219"/>
        <v>h</v>
      </c>
      <c r="J90" s="113" t="str">
        <f t="shared" si="220"/>
        <v>i</v>
      </c>
      <c r="K90" s="113" t="str">
        <f t="shared" si="221"/>
        <v>j</v>
      </c>
      <c r="L90" s="113" t="str">
        <f t="shared" si="222"/>
        <v>k</v>
      </c>
      <c r="M90" s="113" t="str">
        <f t="shared" si="223"/>
        <v>l</v>
      </c>
      <c r="N90" s="113" t="str">
        <f t="shared" si="224"/>
        <v>m</v>
      </c>
      <c r="O90" s="113">
        <f t="shared" si="225"/>
        <v>0</v>
      </c>
      <c r="P90" s="113">
        <f t="shared" si="226"/>
        <v>0</v>
      </c>
      <c r="Q90" s="113" t="str">
        <f t="shared" si="227"/>
        <v>p</v>
      </c>
      <c r="R90" s="113">
        <f t="shared" si="228"/>
        <v>0</v>
      </c>
      <c r="S90" s="113">
        <f t="shared" si="229"/>
        <v>0</v>
      </c>
      <c r="T90" s="113">
        <f t="shared" si="230"/>
        <v>0</v>
      </c>
      <c r="U90" s="113">
        <f t="shared" si="231"/>
        <v>0</v>
      </c>
      <c r="V90" s="113">
        <f t="shared" si="232"/>
        <v>0</v>
      </c>
      <c r="W90" s="113">
        <f t="shared" si="233"/>
        <v>0</v>
      </c>
      <c r="X90" s="113">
        <f t="shared" si="234"/>
        <v>0</v>
      </c>
      <c r="AA90" s="113">
        <v>15</v>
      </c>
      <c r="AB90" s="112">
        <f t="shared" ca="1" si="235"/>
        <v>0</v>
      </c>
      <c r="AC90" s="112">
        <f t="shared" ca="1" si="235"/>
        <v>0</v>
      </c>
      <c r="AF90" s="114">
        <f t="shared" ca="1" si="13"/>
        <v>9907.19</v>
      </c>
      <c r="AG90" s="114">
        <f t="shared" ca="1" si="236"/>
        <v>0</v>
      </c>
      <c r="AH90" s="114">
        <f t="shared" ca="1" si="237"/>
        <v>0</v>
      </c>
      <c r="AI90" s="114">
        <f t="shared" ca="1" si="238"/>
        <v>6384.11</v>
      </c>
      <c r="AJ90" s="114">
        <f t="shared" ca="1" si="239"/>
        <v>0</v>
      </c>
      <c r="AK90" s="114">
        <f t="shared" ca="1" si="240"/>
        <v>1357.61</v>
      </c>
      <c r="AN90">
        <f t="shared" si="6"/>
        <v>90</v>
      </c>
      <c r="AQ90" s="114">
        <f t="shared" ca="1" si="54"/>
        <v>1578.6</v>
      </c>
      <c r="AW90">
        <v>90</v>
      </c>
    </row>
    <row r="91" spans="1:49" x14ac:dyDescent="0.25">
      <c r="A91" s="113">
        <f t="shared" si="211"/>
        <v>588</v>
      </c>
      <c r="B91" s="113" t="str">
        <f t="shared" si="212"/>
        <v>a</v>
      </c>
      <c r="C91" s="113" t="str">
        <f t="shared" si="213"/>
        <v>b</v>
      </c>
      <c r="D91" s="113" t="str">
        <f t="shared" si="214"/>
        <v>c</v>
      </c>
      <c r="E91" s="113" t="str">
        <f t="shared" si="215"/>
        <v>d</v>
      </c>
      <c r="F91" s="113" t="str">
        <f t="shared" si="216"/>
        <v>e</v>
      </c>
      <c r="G91" s="113" t="str">
        <f t="shared" si="217"/>
        <v>f</v>
      </c>
      <c r="H91" s="113" t="str">
        <f t="shared" si="218"/>
        <v>g</v>
      </c>
      <c r="I91" s="113" t="str">
        <f t="shared" si="219"/>
        <v>h</v>
      </c>
      <c r="J91" s="113" t="str">
        <f t="shared" si="220"/>
        <v>i</v>
      </c>
      <c r="K91" s="113" t="str">
        <f t="shared" si="221"/>
        <v>j</v>
      </c>
      <c r="L91" s="113" t="str">
        <f t="shared" si="222"/>
        <v>k</v>
      </c>
      <c r="M91" s="113" t="str">
        <f t="shared" si="223"/>
        <v>l</v>
      </c>
      <c r="N91" s="113" t="str">
        <f t="shared" si="224"/>
        <v>m</v>
      </c>
      <c r="O91" s="113">
        <f t="shared" si="225"/>
        <v>0</v>
      </c>
      <c r="P91" s="113">
        <f t="shared" si="226"/>
        <v>0</v>
      </c>
      <c r="Q91" s="113" t="str">
        <f t="shared" si="227"/>
        <v>p</v>
      </c>
      <c r="R91" s="113">
        <f t="shared" si="228"/>
        <v>0</v>
      </c>
      <c r="S91" s="113">
        <f t="shared" si="229"/>
        <v>0</v>
      </c>
      <c r="T91" s="113">
        <f t="shared" si="230"/>
        <v>0</v>
      </c>
      <c r="U91" s="113">
        <f t="shared" si="231"/>
        <v>0</v>
      </c>
      <c r="V91" s="113">
        <f t="shared" si="232"/>
        <v>0</v>
      </c>
      <c r="W91" s="113">
        <f t="shared" si="233"/>
        <v>0</v>
      </c>
      <c r="X91" s="113">
        <f t="shared" si="234"/>
        <v>0</v>
      </c>
      <c r="AA91" s="113">
        <v>21</v>
      </c>
      <c r="AB91" s="112">
        <f t="shared" ca="1" si="235"/>
        <v>0</v>
      </c>
      <c r="AC91" s="112">
        <f t="shared" ca="1" si="235"/>
        <v>0</v>
      </c>
      <c r="AF91" s="114">
        <f t="shared" ca="1" si="13"/>
        <v>10347.280000000001</v>
      </c>
      <c r="AG91" s="114">
        <f t="shared" ca="1" si="236"/>
        <v>0</v>
      </c>
      <c r="AH91" s="114">
        <f t="shared" ca="1" si="237"/>
        <v>0</v>
      </c>
      <c r="AI91" s="114">
        <f t="shared" ca="1" si="238"/>
        <v>6384.11</v>
      </c>
      <c r="AJ91" s="114">
        <f t="shared" ca="1" si="239"/>
        <v>0</v>
      </c>
      <c r="AK91" s="114">
        <f t="shared" ca="1" si="240"/>
        <v>1394.28</v>
      </c>
      <c r="AN91">
        <f t="shared" si="6"/>
        <v>91</v>
      </c>
      <c r="AQ91" s="114">
        <f t="shared" ca="1" si="54"/>
        <v>1578.6</v>
      </c>
      <c r="AW91">
        <v>91</v>
      </c>
    </row>
    <row r="92" spans="1:49" x14ac:dyDescent="0.25">
      <c r="A92" s="113">
        <f t="shared" si="211"/>
        <v>590</v>
      </c>
      <c r="B92" s="113" t="str">
        <f t="shared" si="212"/>
        <v>a</v>
      </c>
      <c r="C92" s="113" t="str">
        <f t="shared" si="213"/>
        <v>b</v>
      </c>
      <c r="D92" s="113" t="str">
        <f t="shared" si="214"/>
        <v>c</v>
      </c>
      <c r="E92" s="113" t="str">
        <f t="shared" si="215"/>
        <v>d</v>
      </c>
      <c r="F92" s="113" t="str">
        <f t="shared" si="216"/>
        <v>e</v>
      </c>
      <c r="G92" s="113" t="str">
        <f t="shared" si="217"/>
        <v>f</v>
      </c>
      <c r="H92" s="113" t="str">
        <f t="shared" si="218"/>
        <v>g</v>
      </c>
      <c r="I92" s="113" t="str">
        <f t="shared" si="219"/>
        <v>h</v>
      </c>
      <c r="J92" s="113" t="str">
        <f t="shared" si="220"/>
        <v>i</v>
      </c>
      <c r="K92" s="113" t="str">
        <f t="shared" si="221"/>
        <v>j</v>
      </c>
      <c r="L92" s="113" t="str">
        <f t="shared" si="222"/>
        <v>k</v>
      </c>
      <c r="M92" s="113" t="str">
        <f t="shared" si="223"/>
        <v>l</v>
      </c>
      <c r="N92" s="113" t="str">
        <f t="shared" si="224"/>
        <v>m</v>
      </c>
      <c r="O92" s="113">
        <f t="shared" si="225"/>
        <v>0</v>
      </c>
      <c r="P92" s="113">
        <f t="shared" si="226"/>
        <v>0</v>
      </c>
      <c r="Q92" s="113" t="str">
        <f t="shared" si="227"/>
        <v>p</v>
      </c>
      <c r="R92" s="113">
        <f t="shared" si="228"/>
        <v>0</v>
      </c>
      <c r="S92" s="113">
        <f t="shared" si="229"/>
        <v>0</v>
      </c>
      <c r="T92" s="113">
        <f t="shared" si="230"/>
        <v>0</v>
      </c>
      <c r="U92" s="113">
        <f t="shared" si="231"/>
        <v>0</v>
      </c>
      <c r="V92" s="113">
        <f t="shared" si="232"/>
        <v>0</v>
      </c>
      <c r="W92" s="113">
        <f t="shared" si="233"/>
        <v>0</v>
      </c>
      <c r="X92" s="113">
        <f t="shared" si="234"/>
        <v>0</v>
      </c>
      <c r="AA92" s="113">
        <v>28</v>
      </c>
      <c r="AB92" s="112">
        <f t="shared" ca="1" si="235"/>
        <v>0</v>
      </c>
      <c r="AC92" s="112">
        <f t="shared" ca="1" si="235"/>
        <v>0</v>
      </c>
      <c r="AF92" s="114">
        <f t="shared" ca="1" si="13"/>
        <v>11702.77</v>
      </c>
      <c r="AG92" s="114">
        <f t="shared" ca="1" si="236"/>
        <v>0</v>
      </c>
      <c r="AH92" s="114">
        <f t="shared" ca="1" si="237"/>
        <v>0</v>
      </c>
      <c r="AI92" s="114">
        <f t="shared" ca="1" si="238"/>
        <v>6384.11</v>
      </c>
      <c r="AJ92" s="114">
        <f t="shared" ca="1" si="239"/>
        <v>0</v>
      </c>
      <c r="AK92" s="114">
        <f t="shared" ca="1" si="240"/>
        <v>1507.24</v>
      </c>
      <c r="AN92">
        <f t="shared" si="6"/>
        <v>92</v>
      </c>
      <c r="AQ92" s="114">
        <f t="shared" ca="1" si="54"/>
        <v>1578.6</v>
      </c>
      <c r="AW92">
        <v>92</v>
      </c>
    </row>
    <row r="93" spans="1:49" x14ac:dyDescent="0.25">
      <c r="A93" s="113">
        <f t="shared" si="211"/>
        <v>592</v>
      </c>
      <c r="B93" s="113" t="str">
        <f t="shared" si="212"/>
        <v>a</v>
      </c>
      <c r="C93" s="113" t="str">
        <f t="shared" si="213"/>
        <v>b</v>
      </c>
      <c r="D93" s="113" t="str">
        <f t="shared" si="214"/>
        <v>c</v>
      </c>
      <c r="E93" s="113" t="str">
        <f t="shared" si="215"/>
        <v>d</v>
      </c>
      <c r="F93" s="113" t="str">
        <f t="shared" si="216"/>
        <v>e</v>
      </c>
      <c r="G93" s="113" t="str">
        <f t="shared" si="217"/>
        <v>f</v>
      </c>
      <c r="H93" s="113" t="str">
        <f t="shared" si="218"/>
        <v>g</v>
      </c>
      <c r="I93" s="113" t="str">
        <f t="shared" si="219"/>
        <v>h</v>
      </c>
      <c r="J93" s="113" t="str">
        <f t="shared" si="220"/>
        <v>i</v>
      </c>
      <c r="K93" s="113" t="str">
        <f t="shared" si="221"/>
        <v>j</v>
      </c>
      <c r="L93" s="113" t="str">
        <f t="shared" si="222"/>
        <v>k</v>
      </c>
      <c r="M93" s="113" t="str">
        <f t="shared" si="223"/>
        <v>l</v>
      </c>
      <c r="N93" s="113" t="str">
        <f t="shared" si="224"/>
        <v>m</v>
      </c>
      <c r="O93" s="113">
        <f t="shared" si="225"/>
        <v>0</v>
      </c>
      <c r="P93" s="113">
        <f t="shared" si="226"/>
        <v>0</v>
      </c>
      <c r="Q93" s="113" t="str">
        <f t="shared" si="227"/>
        <v>p</v>
      </c>
      <c r="R93" s="113">
        <f t="shared" si="228"/>
        <v>0</v>
      </c>
      <c r="S93" s="113">
        <f t="shared" si="229"/>
        <v>0</v>
      </c>
      <c r="T93" s="113">
        <f t="shared" si="230"/>
        <v>0</v>
      </c>
      <c r="U93" s="113">
        <f t="shared" si="231"/>
        <v>0</v>
      </c>
      <c r="V93" s="113">
        <f t="shared" si="232"/>
        <v>0</v>
      </c>
      <c r="W93" s="113">
        <f t="shared" si="233"/>
        <v>0</v>
      </c>
      <c r="X93" s="113">
        <f t="shared" si="234"/>
        <v>0</v>
      </c>
      <c r="AA93" s="113">
        <v>35</v>
      </c>
      <c r="AB93" s="112">
        <f t="shared" ca="1" si="235"/>
        <v>0</v>
      </c>
      <c r="AC93" s="112">
        <f t="shared" ca="1" si="235"/>
        <v>0</v>
      </c>
      <c r="AF93" s="114">
        <f t="shared" ca="1" si="13"/>
        <v>13285.98</v>
      </c>
      <c r="AG93" s="114">
        <f t="shared" ca="1" si="236"/>
        <v>0</v>
      </c>
      <c r="AH93" s="114">
        <f t="shared" ca="1" si="237"/>
        <v>0</v>
      </c>
      <c r="AI93" s="114">
        <f t="shared" ca="1" si="238"/>
        <v>6384.11</v>
      </c>
      <c r="AJ93" s="114">
        <f t="shared" ca="1" si="239"/>
        <v>0</v>
      </c>
      <c r="AK93" s="114">
        <f t="shared" ca="1" si="240"/>
        <v>1639.17</v>
      </c>
      <c r="AN93">
        <f t="shared" si="6"/>
        <v>93</v>
      </c>
      <c r="AQ93" s="114">
        <f t="shared" ca="1" si="54"/>
        <v>1955.16</v>
      </c>
      <c r="AW93">
        <v>93</v>
      </c>
    </row>
    <row r="94" spans="1:49" x14ac:dyDescent="0.25">
      <c r="A94" s="113">
        <f>A87+20</f>
        <v>600</v>
      </c>
      <c r="B94" s="113" t="str">
        <f>B87</f>
        <v>a</v>
      </c>
      <c r="C94" s="113" t="str">
        <f t="shared" ref="C94:X94" si="241">C87</f>
        <v>b</v>
      </c>
      <c r="D94" s="113" t="str">
        <f t="shared" si="241"/>
        <v>c</v>
      </c>
      <c r="E94" s="113" t="str">
        <f t="shared" si="241"/>
        <v>d</v>
      </c>
      <c r="F94" s="113" t="str">
        <f t="shared" si="241"/>
        <v>e</v>
      </c>
      <c r="G94" s="113" t="str">
        <f t="shared" si="241"/>
        <v>f</v>
      </c>
      <c r="H94" s="113" t="str">
        <f t="shared" si="241"/>
        <v>g</v>
      </c>
      <c r="I94" s="113" t="str">
        <f t="shared" si="241"/>
        <v>h</v>
      </c>
      <c r="J94" s="113" t="str">
        <f t="shared" si="241"/>
        <v>i</v>
      </c>
      <c r="K94" s="113" t="str">
        <f t="shared" si="241"/>
        <v>j</v>
      </c>
      <c r="L94" s="113" t="str">
        <f t="shared" si="241"/>
        <v>k</v>
      </c>
      <c r="M94" s="113" t="str">
        <f t="shared" si="241"/>
        <v>l</v>
      </c>
      <c r="N94" s="113" t="str">
        <f t="shared" si="241"/>
        <v>m</v>
      </c>
      <c r="O94" s="113">
        <f t="shared" si="241"/>
        <v>0</v>
      </c>
      <c r="P94" s="113">
        <f t="shared" si="241"/>
        <v>0</v>
      </c>
      <c r="Q94" s="113" t="str">
        <f t="shared" si="241"/>
        <v>p</v>
      </c>
      <c r="R94" s="113">
        <f t="shared" si="241"/>
        <v>0</v>
      </c>
      <c r="S94" s="113">
        <f t="shared" si="241"/>
        <v>0</v>
      </c>
      <c r="T94" s="113">
        <f t="shared" si="241"/>
        <v>0</v>
      </c>
      <c r="U94" s="113">
        <f t="shared" si="241"/>
        <v>0</v>
      </c>
      <c r="V94" s="113">
        <f t="shared" si="241"/>
        <v>0</v>
      </c>
      <c r="W94" s="113">
        <f t="shared" si="241"/>
        <v>0</v>
      </c>
      <c r="X94" s="113">
        <f t="shared" si="241"/>
        <v>0</v>
      </c>
      <c r="AA94" s="113">
        <v>0</v>
      </c>
      <c r="AB94" s="112">
        <f ca="1">INDIRECT(CONCATENATE($AB$10,CONCATENATE(B94,$A94)))</f>
        <v>37622</v>
      </c>
      <c r="AC94" s="112">
        <f ca="1">INDIRECT(CONCATENATE($AB$10,CONCATENATE(C94,$A94)))</f>
        <v>37986</v>
      </c>
      <c r="AF94" s="114">
        <f t="shared" ca="1" si="13"/>
        <v>10319.39</v>
      </c>
      <c r="AG94" s="114">
        <f ca="1">INDIRECT(CONCATENATE($AB$10,CONCATENATE(G94,$A94)))</f>
        <v>0</v>
      </c>
      <c r="AH94" s="114">
        <f ca="1">INDIRECT(CONCATENATE($AB$10,CONCATENATE(H94,$A94)))</f>
        <v>0</v>
      </c>
      <c r="AI94" s="114">
        <f ca="1">INDIRECT(CONCATENATE($AB$10,CONCATENATE(I94,$A94)))</f>
        <v>6384.11</v>
      </c>
      <c r="AJ94" s="114">
        <f ca="1">INDIRECT(CONCATENATE($AB$10,CONCATENATE(J94,$A94)))</f>
        <v>0</v>
      </c>
      <c r="AK94" s="114">
        <f ca="1">INDIRECT(CONCATENATE($AB$10,CONCATENATE(K94,$A94)))</f>
        <v>1391.96</v>
      </c>
      <c r="AN94">
        <f t="shared" si="6"/>
        <v>94</v>
      </c>
      <c r="AQ94" s="114">
        <f t="shared" ca="1" si="54"/>
        <v>1710.6</v>
      </c>
      <c r="AW94">
        <v>94</v>
      </c>
    </row>
    <row r="95" spans="1:49" x14ac:dyDescent="0.25">
      <c r="A95" s="113">
        <f t="shared" ref="A95:A100" si="242">A94+2</f>
        <v>602</v>
      </c>
      <c r="B95" s="113" t="str">
        <f t="shared" ref="B95:B100" si="243">B94</f>
        <v>a</v>
      </c>
      <c r="C95" s="113" t="str">
        <f t="shared" ref="C95:C100" si="244">C94</f>
        <v>b</v>
      </c>
      <c r="D95" s="113" t="str">
        <f t="shared" ref="D95:D100" si="245">D94</f>
        <v>c</v>
      </c>
      <c r="E95" s="113" t="str">
        <f t="shared" ref="E95:E100" si="246">E94</f>
        <v>d</v>
      </c>
      <c r="F95" s="113" t="str">
        <f t="shared" ref="F95:F100" si="247">F94</f>
        <v>e</v>
      </c>
      <c r="G95" s="113" t="str">
        <f t="shared" ref="G95:G100" si="248">G94</f>
        <v>f</v>
      </c>
      <c r="H95" s="113" t="str">
        <f t="shared" ref="H95:H100" si="249">H94</f>
        <v>g</v>
      </c>
      <c r="I95" s="113" t="str">
        <f t="shared" ref="I95:I100" si="250">I94</f>
        <v>h</v>
      </c>
      <c r="J95" s="113" t="str">
        <f t="shared" ref="J95:J100" si="251">J94</f>
        <v>i</v>
      </c>
      <c r="K95" s="113" t="str">
        <f t="shared" ref="K95:K100" si="252">K94</f>
        <v>j</v>
      </c>
      <c r="L95" s="113" t="str">
        <f t="shared" ref="L95:L100" si="253">L94</f>
        <v>k</v>
      </c>
      <c r="M95" s="113" t="str">
        <f t="shared" ref="M95:M100" si="254">M94</f>
        <v>l</v>
      </c>
      <c r="N95" s="113" t="str">
        <f t="shared" ref="N95:N100" si="255">N94</f>
        <v>m</v>
      </c>
      <c r="O95" s="113">
        <f t="shared" ref="O95:O100" si="256">O94</f>
        <v>0</v>
      </c>
      <c r="P95" s="113">
        <f t="shared" ref="P95:P100" si="257">P94</f>
        <v>0</v>
      </c>
      <c r="Q95" s="113" t="str">
        <f t="shared" ref="Q95:Q100" si="258">Q94</f>
        <v>p</v>
      </c>
      <c r="R95" s="113">
        <f t="shared" ref="R95:R100" si="259">R94</f>
        <v>0</v>
      </c>
      <c r="S95" s="113">
        <f t="shared" ref="S95:S100" si="260">S94</f>
        <v>0</v>
      </c>
      <c r="T95" s="113">
        <f t="shared" ref="T95:T100" si="261">T94</f>
        <v>0</v>
      </c>
      <c r="U95" s="113">
        <f t="shared" ref="U95:U100" si="262">U94</f>
        <v>0</v>
      </c>
      <c r="V95" s="113">
        <f t="shared" ref="V95:V100" si="263">V94</f>
        <v>0</v>
      </c>
      <c r="W95" s="113">
        <f t="shared" ref="W95:W100" si="264">W94</f>
        <v>0</v>
      </c>
      <c r="X95" s="113">
        <f t="shared" ref="X95:X100" si="265">X94</f>
        <v>0</v>
      </c>
      <c r="AA95" s="113">
        <v>3</v>
      </c>
      <c r="AB95" s="112">
        <f t="shared" ref="AB95:AC100" ca="1" si="266">AB94</f>
        <v>37622</v>
      </c>
      <c r="AC95" s="112">
        <f t="shared" ca="1" si="266"/>
        <v>37986</v>
      </c>
      <c r="AF95" s="114">
        <f t="shared" ca="1" si="13"/>
        <v>10770.64</v>
      </c>
      <c r="AG95" s="114">
        <f t="shared" ref="AG95:AG100" ca="1" si="267">INDIRECT(CONCATENATE($AB$10,CONCATENATE(G95,$A95)))</f>
        <v>0</v>
      </c>
      <c r="AH95" s="114">
        <f t="shared" ref="AH95:AH100" ca="1" si="268">INDIRECT(CONCATENATE($AB$10,CONCATENATE(H95,$A95)))</f>
        <v>0</v>
      </c>
      <c r="AI95" s="114">
        <f t="shared" ref="AI95:AI100" ca="1" si="269">INDIRECT(CONCATENATE($AB$10,CONCATENATE(I95,$A95)))</f>
        <v>6384.11</v>
      </c>
      <c r="AJ95" s="114">
        <f t="shared" ref="AJ95:AJ100" ca="1" si="270">INDIRECT(CONCATENATE($AB$10,CONCATENATE(J95,$A95)))</f>
        <v>0</v>
      </c>
      <c r="AK95" s="114">
        <f t="shared" ref="AK95:AK100" ca="1" si="271">INDIRECT(CONCATENATE($AB$10,CONCATENATE(K95,$A95)))</f>
        <v>1429.56</v>
      </c>
      <c r="AN95">
        <f t="shared" si="6"/>
        <v>95</v>
      </c>
      <c r="AQ95" s="114">
        <f t="shared" ca="1" si="54"/>
        <v>1710.6</v>
      </c>
      <c r="AW95">
        <v>95</v>
      </c>
    </row>
    <row r="96" spans="1:49" x14ac:dyDescent="0.25">
      <c r="A96" s="113">
        <f t="shared" si="242"/>
        <v>604</v>
      </c>
      <c r="B96" s="113" t="str">
        <f t="shared" si="243"/>
        <v>a</v>
      </c>
      <c r="C96" s="113" t="str">
        <f t="shared" si="244"/>
        <v>b</v>
      </c>
      <c r="D96" s="113" t="str">
        <f t="shared" si="245"/>
        <v>c</v>
      </c>
      <c r="E96" s="113" t="str">
        <f t="shared" si="246"/>
        <v>d</v>
      </c>
      <c r="F96" s="113" t="str">
        <f t="shared" si="247"/>
        <v>e</v>
      </c>
      <c r="G96" s="113" t="str">
        <f t="shared" si="248"/>
        <v>f</v>
      </c>
      <c r="H96" s="113" t="str">
        <f t="shared" si="249"/>
        <v>g</v>
      </c>
      <c r="I96" s="113" t="str">
        <f t="shared" si="250"/>
        <v>h</v>
      </c>
      <c r="J96" s="113" t="str">
        <f t="shared" si="251"/>
        <v>i</v>
      </c>
      <c r="K96" s="113" t="str">
        <f t="shared" si="252"/>
        <v>j</v>
      </c>
      <c r="L96" s="113" t="str">
        <f t="shared" si="253"/>
        <v>k</v>
      </c>
      <c r="M96" s="113" t="str">
        <f t="shared" si="254"/>
        <v>l</v>
      </c>
      <c r="N96" s="113" t="str">
        <f t="shared" si="255"/>
        <v>m</v>
      </c>
      <c r="O96" s="113">
        <f t="shared" si="256"/>
        <v>0</v>
      </c>
      <c r="P96" s="113">
        <f t="shared" si="257"/>
        <v>0</v>
      </c>
      <c r="Q96" s="113" t="str">
        <f t="shared" si="258"/>
        <v>p</v>
      </c>
      <c r="R96" s="113">
        <f t="shared" si="259"/>
        <v>0</v>
      </c>
      <c r="S96" s="113">
        <f t="shared" si="260"/>
        <v>0</v>
      </c>
      <c r="T96" s="113">
        <f t="shared" si="261"/>
        <v>0</v>
      </c>
      <c r="U96" s="113">
        <f t="shared" si="262"/>
        <v>0</v>
      </c>
      <c r="V96" s="113">
        <f t="shared" si="263"/>
        <v>0</v>
      </c>
      <c r="W96" s="113">
        <f t="shared" si="264"/>
        <v>0</v>
      </c>
      <c r="X96" s="113">
        <f t="shared" si="265"/>
        <v>0</v>
      </c>
      <c r="AA96" s="113">
        <v>9</v>
      </c>
      <c r="AB96" s="112">
        <f t="shared" ca="1" si="266"/>
        <v>37622</v>
      </c>
      <c r="AC96" s="112">
        <f t="shared" ca="1" si="266"/>
        <v>37986</v>
      </c>
      <c r="AF96" s="114">
        <f t="shared" ca="1" si="13"/>
        <v>12160.33</v>
      </c>
      <c r="AG96" s="114">
        <f t="shared" ca="1" si="267"/>
        <v>0</v>
      </c>
      <c r="AH96" s="114">
        <f t="shared" ca="1" si="268"/>
        <v>0</v>
      </c>
      <c r="AI96" s="114">
        <f t="shared" ca="1" si="269"/>
        <v>6384.11</v>
      </c>
      <c r="AJ96" s="114">
        <f t="shared" ca="1" si="270"/>
        <v>0</v>
      </c>
      <c r="AK96" s="114">
        <f t="shared" ca="1" si="271"/>
        <v>1545.37</v>
      </c>
      <c r="AN96">
        <f t="shared" si="6"/>
        <v>96</v>
      </c>
      <c r="AQ96" s="114">
        <f t="shared" ca="1" si="54"/>
        <v>1710.6</v>
      </c>
      <c r="AW96">
        <v>96</v>
      </c>
    </row>
    <row r="97" spans="1:49" x14ac:dyDescent="0.25">
      <c r="A97" s="113">
        <f t="shared" si="242"/>
        <v>606</v>
      </c>
      <c r="B97" s="113" t="str">
        <f t="shared" si="243"/>
        <v>a</v>
      </c>
      <c r="C97" s="113" t="str">
        <f t="shared" si="244"/>
        <v>b</v>
      </c>
      <c r="D97" s="113" t="str">
        <f t="shared" si="245"/>
        <v>c</v>
      </c>
      <c r="E97" s="113" t="str">
        <f t="shared" si="246"/>
        <v>d</v>
      </c>
      <c r="F97" s="113" t="str">
        <f t="shared" si="247"/>
        <v>e</v>
      </c>
      <c r="G97" s="113" t="str">
        <f t="shared" si="248"/>
        <v>f</v>
      </c>
      <c r="H97" s="113" t="str">
        <f t="shared" si="249"/>
        <v>g</v>
      </c>
      <c r="I97" s="113" t="str">
        <f t="shared" si="250"/>
        <v>h</v>
      </c>
      <c r="J97" s="113" t="str">
        <f t="shared" si="251"/>
        <v>i</v>
      </c>
      <c r="K97" s="113" t="str">
        <f t="shared" si="252"/>
        <v>j</v>
      </c>
      <c r="L97" s="113" t="str">
        <f t="shared" si="253"/>
        <v>k</v>
      </c>
      <c r="M97" s="113" t="str">
        <f t="shared" si="254"/>
        <v>l</v>
      </c>
      <c r="N97" s="113" t="str">
        <f t="shared" si="255"/>
        <v>m</v>
      </c>
      <c r="O97" s="113">
        <f t="shared" si="256"/>
        <v>0</v>
      </c>
      <c r="P97" s="113">
        <f t="shared" si="257"/>
        <v>0</v>
      </c>
      <c r="Q97" s="113" t="str">
        <f t="shared" si="258"/>
        <v>p</v>
      </c>
      <c r="R97" s="113">
        <f t="shared" si="259"/>
        <v>0</v>
      </c>
      <c r="S97" s="113">
        <f t="shared" si="260"/>
        <v>0</v>
      </c>
      <c r="T97" s="113">
        <f t="shared" si="261"/>
        <v>0</v>
      </c>
      <c r="U97" s="113">
        <f t="shared" si="262"/>
        <v>0</v>
      </c>
      <c r="V97" s="113">
        <f t="shared" si="263"/>
        <v>0</v>
      </c>
      <c r="W97" s="113">
        <f t="shared" si="264"/>
        <v>0</v>
      </c>
      <c r="X97" s="113">
        <f t="shared" si="265"/>
        <v>0</v>
      </c>
      <c r="AA97" s="113">
        <v>15</v>
      </c>
      <c r="AB97" s="112">
        <f t="shared" ca="1" si="266"/>
        <v>37622</v>
      </c>
      <c r="AC97" s="112">
        <f t="shared" ca="1" si="266"/>
        <v>37986</v>
      </c>
      <c r="AF97" s="114">
        <f t="shared" ca="1" si="13"/>
        <v>13783.62</v>
      </c>
      <c r="AG97" s="114">
        <f t="shared" ca="1" si="267"/>
        <v>0</v>
      </c>
      <c r="AH97" s="114">
        <f t="shared" ca="1" si="268"/>
        <v>0</v>
      </c>
      <c r="AI97" s="114">
        <f t="shared" ca="1" si="269"/>
        <v>6384.11</v>
      </c>
      <c r="AJ97" s="114">
        <f t="shared" ca="1" si="270"/>
        <v>0</v>
      </c>
      <c r="AK97" s="114">
        <f t="shared" ca="1" si="271"/>
        <v>1680.64</v>
      </c>
      <c r="AN97">
        <f t="shared" ref="AN97:AN160" si="272">AN96+1</f>
        <v>97</v>
      </c>
      <c r="AQ97" s="114">
        <f t="shared" ca="1" si="54"/>
        <v>2111.16</v>
      </c>
      <c r="AW97">
        <v>97</v>
      </c>
    </row>
    <row r="98" spans="1:49" x14ac:dyDescent="0.25">
      <c r="A98" s="113">
        <f t="shared" si="242"/>
        <v>608</v>
      </c>
      <c r="B98" s="113" t="str">
        <f t="shared" si="243"/>
        <v>a</v>
      </c>
      <c r="C98" s="113" t="str">
        <f t="shared" si="244"/>
        <v>b</v>
      </c>
      <c r="D98" s="113" t="str">
        <f t="shared" si="245"/>
        <v>c</v>
      </c>
      <c r="E98" s="113" t="str">
        <f t="shared" si="246"/>
        <v>d</v>
      </c>
      <c r="F98" s="113" t="str">
        <f t="shared" si="247"/>
        <v>e</v>
      </c>
      <c r="G98" s="113" t="str">
        <f t="shared" si="248"/>
        <v>f</v>
      </c>
      <c r="H98" s="113" t="str">
        <f t="shared" si="249"/>
        <v>g</v>
      </c>
      <c r="I98" s="113" t="str">
        <f t="shared" si="250"/>
        <v>h</v>
      </c>
      <c r="J98" s="113" t="str">
        <f t="shared" si="251"/>
        <v>i</v>
      </c>
      <c r="K98" s="113" t="str">
        <f t="shared" si="252"/>
        <v>j</v>
      </c>
      <c r="L98" s="113" t="str">
        <f t="shared" si="253"/>
        <v>k</v>
      </c>
      <c r="M98" s="113" t="str">
        <f t="shared" si="254"/>
        <v>l</v>
      </c>
      <c r="N98" s="113" t="str">
        <f t="shared" si="255"/>
        <v>m</v>
      </c>
      <c r="O98" s="113">
        <f t="shared" si="256"/>
        <v>0</v>
      </c>
      <c r="P98" s="113">
        <f t="shared" si="257"/>
        <v>0</v>
      </c>
      <c r="Q98" s="113" t="str">
        <f t="shared" si="258"/>
        <v>p</v>
      </c>
      <c r="R98" s="113">
        <f t="shared" si="259"/>
        <v>0</v>
      </c>
      <c r="S98" s="113">
        <f t="shared" si="260"/>
        <v>0</v>
      </c>
      <c r="T98" s="113">
        <f t="shared" si="261"/>
        <v>0</v>
      </c>
      <c r="U98" s="113">
        <f t="shared" si="262"/>
        <v>0</v>
      </c>
      <c r="V98" s="113">
        <f t="shared" si="263"/>
        <v>0</v>
      </c>
      <c r="W98" s="113">
        <f t="shared" si="264"/>
        <v>0</v>
      </c>
      <c r="X98" s="113">
        <f t="shared" si="265"/>
        <v>0</v>
      </c>
      <c r="AA98" s="113">
        <v>21</v>
      </c>
      <c r="AB98" s="112">
        <f t="shared" ca="1" si="266"/>
        <v>37622</v>
      </c>
      <c r="AC98" s="112">
        <f t="shared" ca="1" si="266"/>
        <v>37986</v>
      </c>
      <c r="AF98" s="114">
        <f t="shared" ca="1" si="13"/>
        <v>15359.06</v>
      </c>
      <c r="AG98" s="114">
        <f t="shared" ca="1" si="267"/>
        <v>0</v>
      </c>
      <c r="AH98" s="114">
        <f t="shared" ca="1" si="268"/>
        <v>0</v>
      </c>
      <c r="AI98" s="114">
        <f t="shared" ca="1" si="269"/>
        <v>6384.11</v>
      </c>
      <c r="AJ98" s="114">
        <f t="shared" ca="1" si="270"/>
        <v>0</v>
      </c>
      <c r="AK98" s="114">
        <f t="shared" ca="1" si="271"/>
        <v>1811.93</v>
      </c>
      <c r="AN98">
        <f t="shared" si="272"/>
        <v>98</v>
      </c>
      <c r="AQ98" s="114">
        <f t="shared" ca="1" si="54"/>
        <v>2111.16</v>
      </c>
      <c r="AW98">
        <v>98</v>
      </c>
    </row>
    <row r="99" spans="1:49" x14ac:dyDescent="0.25">
      <c r="A99" s="113">
        <f t="shared" si="242"/>
        <v>610</v>
      </c>
      <c r="B99" s="113" t="str">
        <f t="shared" si="243"/>
        <v>a</v>
      </c>
      <c r="C99" s="113" t="str">
        <f t="shared" si="244"/>
        <v>b</v>
      </c>
      <c r="D99" s="113" t="str">
        <f t="shared" si="245"/>
        <v>c</v>
      </c>
      <c r="E99" s="113" t="str">
        <f t="shared" si="246"/>
        <v>d</v>
      </c>
      <c r="F99" s="113" t="str">
        <f t="shared" si="247"/>
        <v>e</v>
      </c>
      <c r="G99" s="113" t="str">
        <f t="shared" si="248"/>
        <v>f</v>
      </c>
      <c r="H99" s="113" t="str">
        <f t="shared" si="249"/>
        <v>g</v>
      </c>
      <c r="I99" s="113" t="str">
        <f t="shared" si="250"/>
        <v>h</v>
      </c>
      <c r="J99" s="113" t="str">
        <f t="shared" si="251"/>
        <v>i</v>
      </c>
      <c r="K99" s="113" t="str">
        <f t="shared" si="252"/>
        <v>j</v>
      </c>
      <c r="L99" s="113" t="str">
        <f t="shared" si="253"/>
        <v>k</v>
      </c>
      <c r="M99" s="113" t="str">
        <f t="shared" si="254"/>
        <v>l</v>
      </c>
      <c r="N99" s="113" t="str">
        <f t="shared" si="255"/>
        <v>m</v>
      </c>
      <c r="O99" s="113">
        <f t="shared" si="256"/>
        <v>0</v>
      </c>
      <c r="P99" s="113">
        <f t="shared" si="257"/>
        <v>0</v>
      </c>
      <c r="Q99" s="113" t="str">
        <f t="shared" si="258"/>
        <v>p</v>
      </c>
      <c r="R99" s="113">
        <f t="shared" si="259"/>
        <v>0</v>
      </c>
      <c r="S99" s="113">
        <f t="shared" si="260"/>
        <v>0</v>
      </c>
      <c r="T99" s="113">
        <f t="shared" si="261"/>
        <v>0</v>
      </c>
      <c r="U99" s="113">
        <f t="shared" si="262"/>
        <v>0</v>
      </c>
      <c r="V99" s="113">
        <f t="shared" si="263"/>
        <v>0</v>
      </c>
      <c r="W99" s="113">
        <f t="shared" si="264"/>
        <v>0</v>
      </c>
      <c r="X99" s="113">
        <f t="shared" si="265"/>
        <v>0</v>
      </c>
      <c r="AA99" s="113">
        <v>28</v>
      </c>
      <c r="AB99" s="112">
        <f t="shared" ca="1" si="266"/>
        <v>37622</v>
      </c>
      <c r="AC99" s="112">
        <f t="shared" ca="1" si="266"/>
        <v>37986</v>
      </c>
      <c r="AF99" s="114">
        <f t="shared" ca="1" si="13"/>
        <v>16913.509999999998</v>
      </c>
      <c r="AG99" s="114">
        <f t="shared" ca="1" si="267"/>
        <v>0</v>
      </c>
      <c r="AH99" s="114">
        <f t="shared" ca="1" si="268"/>
        <v>0</v>
      </c>
      <c r="AI99" s="114">
        <f t="shared" ca="1" si="269"/>
        <v>6384.11</v>
      </c>
      <c r="AJ99" s="114">
        <f t="shared" ca="1" si="270"/>
        <v>0</v>
      </c>
      <c r="AK99" s="114">
        <f t="shared" ca="1" si="271"/>
        <v>1941.47</v>
      </c>
      <c r="AN99">
        <f t="shared" si="272"/>
        <v>99</v>
      </c>
      <c r="AQ99" s="114">
        <f t="shared" ca="1" si="54"/>
        <v>2585.4</v>
      </c>
      <c r="AW99">
        <v>99</v>
      </c>
    </row>
    <row r="100" spans="1:49" x14ac:dyDescent="0.25">
      <c r="A100" s="113">
        <f t="shared" si="242"/>
        <v>612</v>
      </c>
      <c r="B100" s="113" t="str">
        <f t="shared" si="243"/>
        <v>a</v>
      </c>
      <c r="C100" s="113" t="str">
        <f t="shared" si="244"/>
        <v>b</v>
      </c>
      <c r="D100" s="113" t="str">
        <f t="shared" si="245"/>
        <v>c</v>
      </c>
      <c r="E100" s="113" t="str">
        <f t="shared" si="246"/>
        <v>d</v>
      </c>
      <c r="F100" s="113" t="str">
        <f t="shared" si="247"/>
        <v>e</v>
      </c>
      <c r="G100" s="113" t="str">
        <f t="shared" si="248"/>
        <v>f</v>
      </c>
      <c r="H100" s="113" t="str">
        <f t="shared" si="249"/>
        <v>g</v>
      </c>
      <c r="I100" s="113" t="str">
        <f t="shared" si="250"/>
        <v>h</v>
      </c>
      <c r="J100" s="113" t="str">
        <f t="shared" si="251"/>
        <v>i</v>
      </c>
      <c r="K100" s="113" t="str">
        <f t="shared" si="252"/>
        <v>j</v>
      </c>
      <c r="L100" s="113" t="str">
        <f t="shared" si="253"/>
        <v>k</v>
      </c>
      <c r="M100" s="113" t="str">
        <f t="shared" si="254"/>
        <v>l</v>
      </c>
      <c r="N100" s="113" t="str">
        <f t="shared" si="255"/>
        <v>m</v>
      </c>
      <c r="O100" s="113">
        <f t="shared" si="256"/>
        <v>0</v>
      </c>
      <c r="P100" s="113">
        <f t="shared" si="257"/>
        <v>0</v>
      </c>
      <c r="Q100" s="113" t="str">
        <f t="shared" si="258"/>
        <v>p</v>
      </c>
      <c r="R100" s="113">
        <f t="shared" si="259"/>
        <v>0</v>
      </c>
      <c r="S100" s="113">
        <f t="shared" si="260"/>
        <v>0</v>
      </c>
      <c r="T100" s="113">
        <f t="shared" si="261"/>
        <v>0</v>
      </c>
      <c r="U100" s="113">
        <f t="shared" si="262"/>
        <v>0</v>
      </c>
      <c r="V100" s="113">
        <f t="shared" si="263"/>
        <v>0</v>
      </c>
      <c r="W100" s="113">
        <f t="shared" si="264"/>
        <v>0</v>
      </c>
      <c r="X100" s="113">
        <f t="shared" si="265"/>
        <v>0</v>
      </c>
      <c r="AA100" s="113">
        <v>35</v>
      </c>
      <c r="AB100" s="112">
        <f t="shared" ca="1" si="266"/>
        <v>37622</v>
      </c>
      <c r="AC100" s="112">
        <f t="shared" ca="1" si="266"/>
        <v>37986</v>
      </c>
      <c r="AF100" s="114">
        <f t="shared" ca="1" si="13"/>
        <v>18070.88</v>
      </c>
      <c r="AG100" s="114">
        <f t="shared" ca="1" si="267"/>
        <v>0</v>
      </c>
      <c r="AH100" s="114">
        <f t="shared" ca="1" si="268"/>
        <v>0</v>
      </c>
      <c r="AI100" s="114">
        <f t="shared" ca="1" si="269"/>
        <v>6384.11</v>
      </c>
      <c r="AJ100" s="114">
        <f t="shared" ca="1" si="270"/>
        <v>0</v>
      </c>
      <c r="AK100" s="114">
        <f t="shared" ca="1" si="271"/>
        <v>2037.92</v>
      </c>
      <c r="AN100">
        <f t="shared" si="272"/>
        <v>100</v>
      </c>
      <c r="AQ100" s="114">
        <f t="shared" ca="1" si="54"/>
        <v>2585.4</v>
      </c>
      <c r="AW100">
        <v>100</v>
      </c>
    </row>
    <row r="101" spans="1:49" x14ac:dyDescent="0.25">
      <c r="A101" s="113">
        <f>A94+20</f>
        <v>620</v>
      </c>
      <c r="B101" s="113" t="str">
        <f>B94</f>
        <v>a</v>
      </c>
      <c r="C101" s="113" t="str">
        <f t="shared" ref="C101:X101" si="273">C94</f>
        <v>b</v>
      </c>
      <c r="D101" s="113" t="str">
        <f t="shared" si="273"/>
        <v>c</v>
      </c>
      <c r="E101" s="113" t="str">
        <f t="shared" si="273"/>
        <v>d</v>
      </c>
      <c r="F101" s="113" t="str">
        <f t="shared" si="273"/>
        <v>e</v>
      </c>
      <c r="G101" s="113" t="str">
        <f t="shared" si="273"/>
        <v>f</v>
      </c>
      <c r="H101" s="113" t="str">
        <f t="shared" si="273"/>
        <v>g</v>
      </c>
      <c r="I101" s="113" t="str">
        <f t="shared" si="273"/>
        <v>h</v>
      </c>
      <c r="J101" s="113" t="str">
        <f t="shared" si="273"/>
        <v>i</v>
      </c>
      <c r="K101" s="113" t="str">
        <f t="shared" si="273"/>
        <v>j</v>
      </c>
      <c r="L101" s="113" t="str">
        <f t="shared" si="273"/>
        <v>k</v>
      </c>
      <c r="M101" s="113" t="str">
        <f t="shared" si="273"/>
        <v>l</v>
      </c>
      <c r="N101" s="113" t="str">
        <f t="shared" si="273"/>
        <v>m</v>
      </c>
      <c r="O101" s="113">
        <f t="shared" si="273"/>
        <v>0</v>
      </c>
      <c r="P101" s="113">
        <f t="shared" si="273"/>
        <v>0</v>
      </c>
      <c r="Q101" s="113" t="str">
        <f t="shared" si="273"/>
        <v>p</v>
      </c>
      <c r="R101" s="113">
        <f t="shared" si="273"/>
        <v>0</v>
      </c>
      <c r="S101" s="113">
        <f t="shared" si="273"/>
        <v>0</v>
      </c>
      <c r="T101" s="113">
        <f t="shared" si="273"/>
        <v>0</v>
      </c>
      <c r="U101" s="113">
        <f t="shared" si="273"/>
        <v>0</v>
      </c>
      <c r="V101" s="113">
        <f t="shared" si="273"/>
        <v>0</v>
      </c>
      <c r="W101" s="113">
        <f t="shared" si="273"/>
        <v>0</v>
      </c>
      <c r="X101" s="113">
        <f t="shared" si="273"/>
        <v>0</v>
      </c>
      <c r="AA101" s="113">
        <v>0</v>
      </c>
      <c r="AB101" s="112">
        <f ca="1">INDIRECT(CONCATENATE($AB$10,CONCATENATE(B101,$A101)))</f>
        <v>37987</v>
      </c>
      <c r="AC101" s="112">
        <f ca="1">INDIRECT(CONCATENATE($AB$10,CONCATENATE(C101,$A101)))</f>
        <v>38383</v>
      </c>
      <c r="AF101" s="114">
        <f t="shared" ca="1" si="13"/>
        <v>10723.07</v>
      </c>
      <c r="AG101" s="114">
        <f ca="1">INDIRECT(CONCATENATE($AB$10,CONCATENATE(G101,$A101)))</f>
        <v>0</v>
      </c>
      <c r="AH101" s="114">
        <f ca="1">INDIRECT(CONCATENATE($AB$10,CONCATENATE(H101,$A101)))</f>
        <v>0</v>
      </c>
      <c r="AI101" s="114">
        <f ca="1">INDIRECT(CONCATENATE($AB$10,CONCATENATE(I101,$A101)))</f>
        <v>6384.11</v>
      </c>
      <c r="AJ101" s="114">
        <f ca="1">INDIRECT(CONCATENATE($AB$10,CONCATENATE(J101,$A101)))</f>
        <v>0</v>
      </c>
      <c r="AK101" s="114">
        <f ca="1">INDIRECT(CONCATENATE($AB$10,CONCATENATE(K101,$A101)))</f>
        <v>1425.6</v>
      </c>
      <c r="AN101">
        <f t="shared" si="272"/>
        <v>101</v>
      </c>
      <c r="AQ101" s="114">
        <f t="shared" ca="1" si="54"/>
        <v>1857.84</v>
      </c>
      <c r="AW101">
        <v>101</v>
      </c>
    </row>
    <row r="102" spans="1:49" x14ac:dyDescent="0.25">
      <c r="A102" s="113">
        <f t="shared" ref="A102:A107" si="274">A101+2</f>
        <v>622</v>
      </c>
      <c r="B102" s="113" t="str">
        <f t="shared" ref="B102:B107" si="275">B101</f>
        <v>a</v>
      </c>
      <c r="C102" s="113" t="str">
        <f t="shared" ref="C102:C107" si="276">C101</f>
        <v>b</v>
      </c>
      <c r="D102" s="113" t="str">
        <f t="shared" ref="D102:D107" si="277">D101</f>
        <v>c</v>
      </c>
      <c r="E102" s="113" t="str">
        <f t="shared" ref="E102:E107" si="278">E101</f>
        <v>d</v>
      </c>
      <c r="F102" s="113" t="str">
        <f t="shared" ref="F102:F107" si="279">F101</f>
        <v>e</v>
      </c>
      <c r="G102" s="113" t="str">
        <f t="shared" ref="G102:G107" si="280">G101</f>
        <v>f</v>
      </c>
      <c r="H102" s="113" t="str">
        <f t="shared" ref="H102:H107" si="281">H101</f>
        <v>g</v>
      </c>
      <c r="I102" s="113" t="str">
        <f t="shared" ref="I102:I107" si="282">I101</f>
        <v>h</v>
      </c>
      <c r="J102" s="113" t="str">
        <f t="shared" ref="J102:J107" si="283">J101</f>
        <v>i</v>
      </c>
      <c r="K102" s="113" t="str">
        <f t="shared" ref="K102:K107" si="284">K101</f>
        <v>j</v>
      </c>
      <c r="L102" s="113" t="str">
        <f t="shared" ref="L102:L107" si="285">L101</f>
        <v>k</v>
      </c>
      <c r="M102" s="113" t="str">
        <f t="shared" ref="M102:M107" si="286">M101</f>
        <v>l</v>
      </c>
      <c r="N102" s="113" t="str">
        <f t="shared" ref="N102:N107" si="287">N101</f>
        <v>m</v>
      </c>
      <c r="O102" s="113">
        <f t="shared" ref="O102:O107" si="288">O101</f>
        <v>0</v>
      </c>
      <c r="P102" s="113">
        <f t="shared" ref="P102:P107" si="289">P101</f>
        <v>0</v>
      </c>
      <c r="Q102" s="113" t="str">
        <f t="shared" ref="Q102:Q107" si="290">Q101</f>
        <v>p</v>
      </c>
      <c r="R102" s="113">
        <f t="shared" ref="R102:R107" si="291">R101</f>
        <v>0</v>
      </c>
      <c r="S102" s="113">
        <f t="shared" ref="S102:S107" si="292">S101</f>
        <v>0</v>
      </c>
      <c r="T102" s="113">
        <f t="shared" ref="T102:T107" si="293">T101</f>
        <v>0</v>
      </c>
      <c r="U102" s="113">
        <f t="shared" ref="U102:U107" si="294">U101</f>
        <v>0</v>
      </c>
      <c r="V102" s="113">
        <f t="shared" ref="V102:V107" si="295">V101</f>
        <v>0</v>
      </c>
      <c r="W102" s="113">
        <f t="shared" ref="W102:W107" si="296">W101</f>
        <v>0</v>
      </c>
      <c r="X102" s="113">
        <f t="shared" ref="X102:X107" si="297">X101</f>
        <v>0</v>
      </c>
      <c r="AA102" s="113">
        <v>3</v>
      </c>
      <c r="AB102" s="112">
        <f t="shared" ref="AB102:AC107" ca="1" si="298">AB101</f>
        <v>37987</v>
      </c>
      <c r="AC102" s="112">
        <f t="shared" ca="1" si="298"/>
        <v>38383</v>
      </c>
      <c r="AF102" s="114">
        <f t="shared" ca="1" si="13"/>
        <v>11185.24</v>
      </c>
      <c r="AG102" s="114">
        <f t="shared" ref="AG102:AG107" ca="1" si="299">INDIRECT(CONCATENATE($AB$10,CONCATENATE(G102,$A102)))</f>
        <v>0</v>
      </c>
      <c r="AH102" s="114">
        <f t="shared" ref="AH102:AH107" ca="1" si="300">INDIRECT(CONCATENATE($AB$10,CONCATENATE(H102,$A102)))</f>
        <v>0</v>
      </c>
      <c r="AI102" s="114">
        <f t="shared" ref="AI102:AI107" ca="1" si="301">INDIRECT(CONCATENATE($AB$10,CONCATENATE(I102,$A102)))</f>
        <v>6384.11</v>
      </c>
      <c r="AJ102" s="114">
        <f t="shared" ref="AJ102:AJ107" ca="1" si="302">INDIRECT(CONCATENATE($AB$10,CONCATENATE(J102,$A102)))</f>
        <v>0</v>
      </c>
      <c r="AK102" s="114">
        <f t="shared" ref="AK102:AK107" ca="1" si="303">INDIRECT(CONCATENATE($AB$10,CONCATENATE(K102,$A102)))</f>
        <v>1464.11</v>
      </c>
      <c r="AN102">
        <f t="shared" si="272"/>
        <v>102</v>
      </c>
      <c r="AQ102" s="114">
        <f t="shared" ca="1" si="54"/>
        <v>1857.84</v>
      </c>
      <c r="AW102">
        <v>102</v>
      </c>
    </row>
    <row r="103" spans="1:49" x14ac:dyDescent="0.25">
      <c r="A103" s="113">
        <f t="shared" si="274"/>
        <v>624</v>
      </c>
      <c r="B103" s="113" t="str">
        <f t="shared" si="275"/>
        <v>a</v>
      </c>
      <c r="C103" s="113" t="str">
        <f t="shared" si="276"/>
        <v>b</v>
      </c>
      <c r="D103" s="113" t="str">
        <f t="shared" si="277"/>
        <v>c</v>
      </c>
      <c r="E103" s="113" t="str">
        <f t="shared" si="278"/>
        <v>d</v>
      </c>
      <c r="F103" s="113" t="str">
        <f t="shared" si="279"/>
        <v>e</v>
      </c>
      <c r="G103" s="113" t="str">
        <f t="shared" si="280"/>
        <v>f</v>
      </c>
      <c r="H103" s="113" t="str">
        <f t="shared" si="281"/>
        <v>g</v>
      </c>
      <c r="I103" s="113" t="str">
        <f t="shared" si="282"/>
        <v>h</v>
      </c>
      <c r="J103" s="113" t="str">
        <f t="shared" si="283"/>
        <v>i</v>
      </c>
      <c r="K103" s="113" t="str">
        <f t="shared" si="284"/>
        <v>j</v>
      </c>
      <c r="L103" s="113" t="str">
        <f t="shared" si="285"/>
        <v>k</v>
      </c>
      <c r="M103" s="113" t="str">
        <f t="shared" si="286"/>
        <v>l</v>
      </c>
      <c r="N103" s="113" t="str">
        <f t="shared" si="287"/>
        <v>m</v>
      </c>
      <c r="O103" s="113">
        <f t="shared" si="288"/>
        <v>0</v>
      </c>
      <c r="P103" s="113">
        <f t="shared" si="289"/>
        <v>0</v>
      </c>
      <c r="Q103" s="113" t="str">
        <f t="shared" si="290"/>
        <v>p</v>
      </c>
      <c r="R103" s="113">
        <f t="shared" si="291"/>
        <v>0</v>
      </c>
      <c r="S103" s="113">
        <f t="shared" si="292"/>
        <v>0</v>
      </c>
      <c r="T103" s="113">
        <f t="shared" si="293"/>
        <v>0</v>
      </c>
      <c r="U103" s="113">
        <f t="shared" si="294"/>
        <v>0</v>
      </c>
      <c r="V103" s="113">
        <f t="shared" si="295"/>
        <v>0</v>
      </c>
      <c r="W103" s="113">
        <f t="shared" si="296"/>
        <v>0</v>
      </c>
      <c r="X103" s="113">
        <f t="shared" si="297"/>
        <v>0</v>
      </c>
      <c r="AA103" s="113">
        <v>9</v>
      </c>
      <c r="AB103" s="112">
        <f t="shared" ca="1" si="298"/>
        <v>37987</v>
      </c>
      <c r="AC103" s="112">
        <f t="shared" ca="1" si="298"/>
        <v>38383</v>
      </c>
      <c r="AF103" s="114">
        <f t="shared" ref="AF103:AF166" ca="1" si="304">INDIRECT(CONCATENATE($AB$10,CONCATENATE(F103,$A103)))</f>
        <v>12608.53</v>
      </c>
      <c r="AG103" s="114">
        <f t="shared" ca="1" si="299"/>
        <v>0</v>
      </c>
      <c r="AH103" s="114">
        <f t="shared" ca="1" si="300"/>
        <v>0</v>
      </c>
      <c r="AI103" s="114">
        <f t="shared" ca="1" si="301"/>
        <v>6384.11</v>
      </c>
      <c r="AJ103" s="114">
        <f t="shared" ca="1" si="302"/>
        <v>0</v>
      </c>
      <c r="AK103" s="114">
        <f t="shared" ca="1" si="303"/>
        <v>1582.72</v>
      </c>
      <c r="AN103">
        <f t="shared" si="272"/>
        <v>103</v>
      </c>
      <c r="AQ103" s="114">
        <f t="shared" ca="1" si="54"/>
        <v>1857.84</v>
      </c>
      <c r="AW103">
        <v>103</v>
      </c>
    </row>
    <row r="104" spans="1:49" x14ac:dyDescent="0.25">
      <c r="A104" s="113">
        <f t="shared" si="274"/>
        <v>626</v>
      </c>
      <c r="B104" s="113" t="str">
        <f t="shared" si="275"/>
        <v>a</v>
      </c>
      <c r="C104" s="113" t="str">
        <f t="shared" si="276"/>
        <v>b</v>
      </c>
      <c r="D104" s="113" t="str">
        <f t="shared" si="277"/>
        <v>c</v>
      </c>
      <c r="E104" s="113" t="str">
        <f t="shared" si="278"/>
        <v>d</v>
      </c>
      <c r="F104" s="113" t="str">
        <f t="shared" si="279"/>
        <v>e</v>
      </c>
      <c r="G104" s="113" t="str">
        <f t="shared" si="280"/>
        <v>f</v>
      </c>
      <c r="H104" s="113" t="str">
        <f t="shared" si="281"/>
        <v>g</v>
      </c>
      <c r="I104" s="113" t="str">
        <f t="shared" si="282"/>
        <v>h</v>
      </c>
      <c r="J104" s="113" t="str">
        <f t="shared" si="283"/>
        <v>i</v>
      </c>
      <c r="K104" s="113" t="str">
        <f t="shared" si="284"/>
        <v>j</v>
      </c>
      <c r="L104" s="113" t="str">
        <f t="shared" si="285"/>
        <v>k</v>
      </c>
      <c r="M104" s="113" t="str">
        <f t="shared" si="286"/>
        <v>l</v>
      </c>
      <c r="N104" s="113" t="str">
        <f t="shared" si="287"/>
        <v>m</v>
      </c>
      <c r="O104" s="113">
        <f t="shared" si="288"/>
        <v>0</v>
      </c>
      <c r="P104" s="113">
        <f t="shared" si="289"/>
        <v>0</v>
      </c>
      <c r="Q104" s="113" t="str">
        <f t="shared" si="290"/>
        <v>p</v>
      </c>
      <c r="R104" s="113">
        <f t="shared" si="291"/>
        <v>0</v>
      </c>
      <c r="S104" s="113">
        <f t="shared" si="292"/>
        <v>0</v>
      </c>
      <c r="T104" s="113">
        <f t="shared" si="293"/>
        <v>0</v>
      </c>
      <c r="U104" s="113">
        <f t="shared" si="294"/>
        <v>0</v>
      </c>
      <c r="V104" s="113">
        <f t="shared" si="295"/>
        <v>0</v>
      </c>
      <c r="W104" s="113">
        <f t="shared" si="296"/>
        <v>0</v>
      </c>
      <c r="X104" s="113">
        <f t="shared" si="297"/>
        <v>0</v>
      </c>
      <c r="AA104" s="113">
        <v>15</v>
      </c>
      <c r="AB104" s="112">
        <f t="shared" ca="1" si="298"/>
        <v>37987</v>
      </c>
      <c r="AC104" s="112">
        <f t="shared" ca="1" si="298"/>
        <v>38383</v>
      </c>
      <c r="AF104" s="114">
        <f t="shared" ca="1" si="304"/>
        <v>14271.06</v>
      </c>
      <c r="AG104" s="114">
        <f t="shared" ca="1" si="299"/>
        <v>0</v>
      </c>
      <c r="AH104" s="114">
        <f t="shared" ca="1" si="300"/>
        <v>0</v>
      </c>
      <c r="AI104" s="114">
        <f t="shared" ca="1" si="301"/>
        <v>6384.11</v>
      </c>
      <c r="AJ104" s="114">
        <f t="shared" ca="1" si="302"/>
        <v>0</v>
      </c>
      <c r="AK104" s="114">
        <f t="shared" ca="1" si="303"/>
        <v>1721.26</v>
      </c>
      <c r="AN104">
        <f t="shared" si="272"/>
        <v>104</v>
      </c>
      <c r="AQ104" s="114">
        <f t="shared" ca="1" si="54"/>
        <v>2287.8000000000002</v>
      </c>
      <c r="AW104">
        <v>104</v>
      </c>
    </row>
    <row r="105" spans="1:49" x14ac:dyDescent="0.25">
      <c r="A105" s="113">
        <f t="shared" si="274"/>
        <v>628</v>
      </c>
      <c r="B105" s="113" t="str">
        <f t="shared" si="275"/>
        <v>a</v>
      </c>
      <c r="C105" s="113" t="str">
        <f t="shared" si="276"/>
        <v>b</v>
      </c>
      <c r="D105" s="113" t="str">
        <f t="shared" si="277"/>
        <v>c</v>
      </c>
      <c r="E105" s="113" t="str">
        <f t="shared" si="278"/>
        <v>d</v>
      </c>
      <c r="F105" s="113" t="str">
        <f t="shared" si="279"/>
        <v>e</v>
      </c>
      <c r="G105" s="113" t="str">
        <f t="shared" si="280"/>
        <v>f</v>
      </c>
      <c r="H105" s="113" t="str">
        <f t="shared" si="281"/>
        <v>g</v>
      </c>
      <c r="I105" s="113" t="str">
        <f t="shared" si="282"/>
        <v>h</v>
      </c>
      <c r="J105" s="113" t="str">
        <f t="shared" si="283"/>
        <v>i</v>
      </c>
      <c r="K105" s="113" t="str">
        <f t="shared" si="284"/>
        <v>j</v>
      </c>
      <c r="L105" s="113" t="str">
        <f t="shared" si="285"/>
        <v>k</v>
      </c>
      <c r="M105" s="113" t="str">
        <f t="shared" si="286"/>
        <v>l</v>
      </c>
      <c r="N105" s="113" t="str">
        <f t="shared" si="287"/>
        <v>m</v>
      </c>
      <c r="O105" s="113">
        <f t="shared" si="288"/>
        <v>0</v>
      </c>
      <c r="P105" s="113">
        <f t="shared" si="289"/>
        <v>0</v>
      </c>
      <c r="Q105" s="113" t="str">
        <f t="shared" si="290"/>
        <v>p</v>
      </c>
      <c r="R105" s="113">
        <f t="shared" si="291"/>
        <v>0</v>
      </c>
      <c r="S105" s="113">
        <f t="shared" si="292"/>
        <v>0</v>
      </c>
      <c r="T105" s="113">
        <f t="shared" si="293"/>
        <v>0</v>
      </c>
      <c r="U105" s="113">
        <f t="shared" si="294"/>
        <v>0</v>
      </c>
      <c r="V105" s="113">
        <f t="shared" si="295"/>
        <v>0</v>
      </c>
      <c r="W105" s="113">
        <f t="shared" si="296"/>
        <v>0</v>
      </c>
      <c r="X105" s="113">
        <f t="shared" si="297"/>
        <v>0</v>
      </c>
      <c r="AA105" s="113">
        <v>21</v>
      </c>
      <c r="AB105" s="112">
        <f t="shared" ca="1" si="298"/>
        <v>37987</v>
      </c>
      <c r="AC105" s="112">
        <f t="shared" ca="1" si="298"/>
        <v>38383</v>
      </c>
      <c r="AF105" s="114">
        <f t="shared" ca="1" si="304"/>
        <v>15884.54</v>
      </c>
      <c r="AG105" s="114">
        <f t="shared" ca="1" si="299"/>
        <v>0</v>
      </c>
      <c r="AH105" s="114">
        <f t="shared" ca="1" si="300"/>
        <v>0</v>
      </c>
      <c r="AI105" s="114">
        <f t="shared" ca="1" si="301"/>
        <v>6384.11</v>
      </c>
      <c r="AJ105" s="114">
        <f t="shared" ca="1" si="302"/>
        <v>0</v>
      </c>
      <c r="AK105" s="114">
        <f t="shared" ca="1" si="303"/>
        <v>1855.72</v>
      </c>
      <c r="AN105">
        <f t="shared" si="272"/>
        <v>105</v>
      </c>
      <c r="AQ105" s="114">
        <f t="shared" ca="1" si="54"/>
        <v>2287.8000000000002</v>
      </c>
      <c r="AW105">
        <v>105</v>
      </c>
    </row>
    <row r="106" spans="1:49" x14ac:dyDescent="0.25">
      <c r="A106" s="113">
        <f t="shared" si="274"/>
        <v>630</v>
      </c>
      <c r="B106" s="113" t="str">
        <f t="shared" si="275"/>
        <v>a</v>
      </c>
      <c r="C106" s="113" t="str">
        <f t="shared" si="276"/>
        <v>b</v>
      </c>
      <c r="D106" s="113" t="str">
        <f t="shared" si="277"/>
        <v>c</v>
      </c>
      <c r="E106" s="113" t="str">
        <f t="shared" si="278"/>
        <v>d</v>
      </c>
      <c r="F106" s="113" t="str">
        <f t="shared" si="279"/>
        <v>e</v>
      </c>
      <c r="G106" s="113" t="str">
        <f t="shared" si="280"/>
        <v>f</v>
      </c>
      <c r="H106" s="113" t="str">
        <f t="shared" si="281"/>
        <v>g</v>
      </c>
      <c r="I106" s="113" t="str">
        <f t="shared" si="282"/>
        <v>h</v>
      </c>
      <c r="J106" s="113" t="str">
        <f t="shared" si="283"/>
        <v>i</v>
      </c>
      <c r="K106" s="113" t="str">
        <f t="shared" si="284"/>
        <v>j</v>
      </c>
      <c r="L106" s="113" t="str">
        <f t="shared" si="285"/>
        <v>k</v>
      </c>
      <c r="M106" s="113" t="str">
        <f t="shared" si="286"/>
        <v>l</v>
      </c>
      <c r="N106" s="113" t="str">
        <f t="shared" si="287"/>
        <v>m</v>
      </c>
      <c r="O106" s="113">
        <f t="shared" si="288"/>
        <v>0</v>
      </c>
      <c r="P106" s="113">
        <f t="shared" si="289"/>
        <v>0</v>
      </c>
      <c r="Q106" s="113" t="str">
        <f t="shared" si="290"/>
        <v>p</v>
      </c>
      <c r="R106" s="113">
        <f t="shared" si="291"/>
        <v>0</v>
      </c>
      <c r="S106" s="113">
        <f t="shared" si="292"/>
        <v>0</v>
      </c>
      <c r="T106" s="113">
        <f t="shared" si="293"/>
        <v>0</v>
      </c>
      <c r="U106" s="113">
        <f t="shared" si="294"/>
        <v>0</v>
      </c>
      <c r="V106" s="113">
        <f t="shared" si="295"/>
        <v>0</v>
      </c>
      <c r="W106" s="113">
        <f t="shared" si="296"/>
        <v>0</v>
      </c>
      <c r="X106" s="113">
        <f t="shared" si="297"/>
        <v>0</v>
      </c>
      <c r="AA106" s="113">
        <v>28</v>
      </c>
      <c r="AB106" s="112">
        <f t="shared" ca="1" si="298"/>
        <v>37987</v>
      </c>
      <c r="AC106" s="112">
        <f t="shared" ca="1" si="298"/>
        <v>38383</v>
      </c>
      <c r="AF106" s="114">
        <f t="shared" ca="1" si="304"/>
        <v>17476.55</v>
      </c>
      <c r="AG106" s="114">
        <f t="shared" ca="1" si="299"/>
        <v>0</v>
      </c>
      <c r="AH106" s="114">
        <f t="shared" ca="1" si="300"/>
        <v>0</v>
      </c>
      <c r="AI106" s="114">
        <f t="shared" ca="1" si="301"/>
        <v>6384.11</v>
      </c>
      <c r="AJ106" s="114">
        <f t="shared" ca="1" si="302"/>
        <v>0</v>
      </c>
      <c r="AK106" s="114">
        <f t="shared" ca="1" si="303"/>
        <v>1988.39</v>
      </c>
      <c r="AN106">
        <f t="shared" si="272"/>
        <v>106</v>
      </c>
      <c r="AQ106" s="114">
        <f t="shared" ca="1" si="54"/>
        <v>2870.04</v>
      </c>
      <c r="AW106">
        <v>106</v>
      </c>
    </row>
    <row r="107" spans="1:49" x14ac:dyDescent="0.25">
      <c r="A107" s="113">
        <f t="shared" si="274"/>
        <v>632</v>
      </c>
      <c r="B107" s="113" t="str">
        <f t="shared" si="275"/>
        <v>a</v>
      </c>
      <c r="C107" s="113" t="str">
        <f t="shared" si="276"/>
        <v>b</v>
      </c>
      <c r="D107" s="113" t="str">
        <f t="shared" si="277"/>
        <v>c</v>
      </c>
      <c r="E107" s="113" t="str">
        <f t="shared" si="278"/>
        <v>d</v>
      </c>
      <c r="F107" s="113" t="str">
        <f t="shared" si="279"/>
        <v>e</v>
      </c>
      <c r="G107" s="113" t="str">
        <f t="shared" si="280"/>
        <v>f</v>
      </c>
      <c r="H107" s="113" t="str">
        <f t="shared" si="281"/>
        <v>g</v>
      </c>
      <c r="I107" s="113" t="str">
        <f t="shared" si="282"/>
        <v>h</v>
      </c>
      <c r="J107" s="113" t="str">
        <f t="shared" si="283"/>
        <v>i</v>
      </c>
      <c r="K107" s="113" t="str">
        <f t="shared" si="284"/>
        <v>j</v>
      </c>
      <c r="L107" s="113" t="str">
        <f t="shared" si="285"/>
        <v>k</v>
      </c>
      <c r="M107" s="113" t="str">
        <f t="shared" si="286"/>
        <v>l</v>
      </c>
      <c r="N107" s="113" t="str">
        <f t="shared" si="287"/>
        <v>m</v>
      </c>
      <c r="O107" s="113">
        <f t="shared" si="288"/>
        <v>0</v>
      </c>
      <c r="P107" s="113">
        <f t="shared" si="289"/>
        <v>0</v>
      </c>
      <c r="Q107" s="113" t="str">
        <f t="shared" si="290"/>
        <v>p</v>
      </c>
      <c r="R107" s="113">
        <f t="shared" si="291"/>
        <v>0</v>
      </c>
      <c r="S107" s="113">
        <f t="shared" si="292"/>
        <v>0</v>
      </c>
      <c r="T107" s="113">
        <f t="shared" si="293"/>
        <v>0</v>
      </c>
      <c r="U107" s="113">
        <f t="shared" si="294"/>
        <v>0</v>
      </c>
      <c r="V107" s="113">
        <f t="shared" si="295"/>
        <v>0</v>
      </c>
      <c r="W107" s="113">
        <f t="shared" si="296"/>
        <v>0</v>
      </c>
      <c r="X107" s="113">
        <f t="shared" si="297"/>
        <v>0</v>
      </c>
      <c r="AA107" s="113">
        <v>35</v>
      </c>
      <c r="AB107" s="112">
        <f t="shared" ca="1" si="298"/>
        <v>37987</v>
      </c>
      <c r="AC107" s="112">
        <f t="shared" ca="1" si="298"/>
        <v>38383</v>
      </c>
      <c r="AF107" s="114">
        <f t="shared" ca="1" si="304"/>
        <v>18662</v>
      </c>
      <c r="AG107" s="114">
        <f t="shared" ca="1" si="299"/>
        <v>0</v>
      </c>
      <c r="AH107" s="114">
        <f t="shared" ca="1" si="300"/>
        <v>0</v>
      </c>
      <c r="AI107" s="114">
        <f t="shared" ca="1" si="301"/>
        <v>6384.11</v>
      </c>
      <c r="AJ107" s="114">
        <f t="shared" ca="1" si="302"/>
        <v>0</v>
      </c>
      <c r="AK107" s="114">
        <f t="shared" ca="1" si="303"/>
        <v>2087.1799999999998</v>
      </c>
      <c r="AN107">
        <f t="shared" si="272"/>
        <v>107</v>
      </c>
      <c r="AQ107" s="114">
        <f t="shared" ca="1" si="54"/>
        <v>2870.04</v>
      </c>
      <c r="AW107">
        <v>107</v>
      </c>
    </row>
    <row r="108" spans="1:49" x14ac:dyDescent="0.25">
      <c r="A108" s="113">
        <f>A101+20</f>
        <v>640</v>
      </c>
      <c r="B108" s="113" t="str">
        <f>B101</f>
        <v>a</v>
      </c>
      <c r="C108" s="113" t="str">
        <f t="shared" ref="C108:X108" si="305">C101</f>
        <v>b</v>
      </c>
      <c r="D108" s="113" t="str">
        <f t="shared" si="305"/>
        <v>c</v>
      </c>
      <c r="E108" s="113" t="str">
        <f t="shared" si="305"/>
        <v>d</v>
      </c>
      <c r="F108" s="113" t="str">
        <f t="shared" si="305"/>
        <v>e</v>
      </c>
      <c r="G108" s="113" t="str">
        <f t="shared" si="305"/>
        <v>f</v>
      </c>
      <c r="H108" s="113" t="str">
        <f t="shared" si="305"/>
        <v>g</v>
      </c>
      <c r="I108" s="113" t="str">
        <f t="shared" si="305"/>
        <v>h</v>
      </c>
      <c r="J108" s="113" t="str">
        <f t="shared" si="305"/>
        <v>i</v>
      </c>
      <c r="K108" s="113" t="str">
        <f t="shared" si="305"/>
        <v>j</v>
      </c>
      <c r="L108" s="113" t="str">
        <f t="shared" si="305"/>
        <v>k</v>
      </c>
      <c r="M108" s="113" t="str">
        <f t="shared" si="305"/>
        <v>l</v>
      </c>
      <c r="N108" s="113" t="str">
        <f t="shared" si="305"/>
        <v>m</v>
      </c>
      <c r="O108" s="113">
        <f t="shared" si="305"/>
        <v>0</v>
      </c>
      <c r="P108" s="113">
        <f t="shared" si="305"/>
        <v>0</v>
      </c>
      <c r="Q108" s="113" t="str">
        <f t="shared" si="305"/>
        <v>p</v>
      </c>
      <c r="R108" s="113">
        <f t="shared" si="305"/>
        <v>0</v>
      </c>
      <c r="S108" s="113">
        <f t="shared" si="305"/>
        <v>0</v>
      </c>
      <c r="T108" s="113">
        <f t="shared" si="305"/>
        <v>0</v>
      </c>
      <c r="U108" s="113">
        <f t="shared" si="305"/>
        <v>0</v>
      </c>
      <c r="V108" s="113">
        <f t="shared" si="305"/>
        <v>0</v>
      </c>
      <c r="W108" s="113">
        <f t="shared" si="305"/>
        <v>0</v>
      </c>
      <c r="X108" s="113">
        <f t="shared" si="305"/>
        <v>0</v>
      </c>
      <c r="AA108" s="113">
        <v>0</v>
      </c>
      <c r="AB108" s="112">
        <f ca="1">INDIRECT(CONCATENATE($AB$10,CONCATENATE(B108,$A108)))</f>
        <v>38384</v>
      </c>
      <c r="AC108" s="112">
        <f ca="1">INDIRECT(CONCATENATE($AB$10,CONCATENATE(C108,$A108)))</f>
        <v>38717</v>
      </c>
      <c r="AF108" s="114">
        <f t="shared" ca="1" si="304"/>
        <v>11198.03</v>
      </c>
      <c r="AG108" s="114">
        <f ca="1">INDIRECT(CONCATENATE($AB$10,CONCATENATE(G108,$A108)))</f>
        <v>0</v>
      </c>
      <c r="AH108" s="114">
        <f ca="1">INDIRECT(CONCATENATE($AB$10,CONCATENATE(H108,$A108)))</f>
        <v>0</v>
      </c>
      <c r="AI108" s="114">
        <f ca="1">INDIRECT(CONCATENATE($AB$10,CONCATENATE(I108,$A108)))</f>
        <v>6384.11</v>
      </c>
      <c r="AJ108" s="114">
        <f ca="1">INDIRECT(CONCATENATE($AB$10,CONCATENATE(J108,$A108)))</f>
        <v>0</v>
      </c>
      <c r="AK108" s="114">
        <f ca="1">INDIRECT(CONCATENATE($AB$10,CONCATENATE(K108,$A108)))</f>
        <v>1465.18</v>
      </c>
      <c r="AN108">
        <f t="shared" si="272"/>
        <v>108</v>
      </c>
      <c r="AQ108" s="114">
        <f t="shared" ca="1" si="54"/>
        <v>1857.84</v>
      </c>
      <c r="AW108">
        <v>108</v>
      </c>
    </row>
    <row r="109" spans="1:49" x14ac:dyDescent="0.25">
      <c r="A109" s="113">
        <f t="shared" ref="A109:A114" si="306">A108+2</f>
        <v>642</v>
      </c>
      <c r="B109" s="113" t="str">
        <f t="shared" ref="B109:B114" si="307">B108</f>
        <v>a</v>
      </c>
      <c r="C109" s="113" t="str">
        <f t="shared" ref="C109:C114" si="308">C108</f>
        <v>b</v>
      </c>
      <c r="D109" s="113" t="str">
        <f t="shared" ref="D109:D114" si="309">D108</f>
        <v>c</v>
      </c>
      <c r="E109" s="113" t="str">
        <f t="shared" ref="E109:E114" si="310">E108</f>
        <v>d</v>
      </c>
      <c r="F109" s="113" t="str">
        <f t="shared" ref="F109:F114" si="311">F108</f>
        <v>e</v>
      </c>
      <c r="G109" s="113" t="str">
        <f t="shared" ref="G109:G114" si="312">G108</f>
        <v>f</v>
      </c>
      <c r="H109" s="113" t="str">
        <f t="shared" ref="H109:H114" si="313">H108</f>
        <v>g</v>
      </c>
      <c r="I109" s="113" t="str">
        <f t="shared" ref="I109:I114" si="314">I108</f>
        <v>h</v>
      </c>
      <c r="J109" s="113" t="str">
        <f t="shared" ref="J109:J114" si="315">J108</f>
        <v>i</v>
      </c>
      <c r="K109" s="113" t="str">
        <f t="shared" ref="K109:K114" si="316">K108</f>
        <v>j</v>
      </c>
      <c r="L109" s="113" t="str">
        <f t="shared" ref="L109:L114" si="317">L108</f>
        <v>k</v>
      </c>
      <c r="M109" s="113" t="str">
        <f t="shared" ref="M109:M114" si="318">M108</f>
        <v>l</v>
      </c>
      <c r="N109" s="113" t="str">
        <f t="shared" ref="N109:N114" si="319">N108</f>
        <v>m</v>
      </c>
      <c r="O109" s="113">
        <f t="shared" ref="O109:O114" si="320">O108</f>
        <v>0</v>
      </c>
      <c r="P109" s="113">
        <f t="shared" ref="P109:P114" si="321">P108</f>
        <v>0</v>
      </c>
      <c r="Q109" s="113" t="str">
        <f t="shared" ref="Q109:Q114" si="322">Q108</f>
        <v>p</v>
      </c>
      <c r="R109" s="113">
        <f t="shared" ref="R109:R114" si="323">R108</f>
        <v>0</v>
      </c>
      <c r="S109" s="113">
        <f t="shared" ref="S109:S114" si="324">S108</f>
        <v>0</v>
      </c>
      <c r="T109" s="113">
        <f t="shared" ref="T109:T114" si="325">T108</f>
        <v>0</v>
      </c>
      <c r="U109" s="113">
        <f t="shared" ref="U109:U114" si="326">U108</f>
        <v>0</v>
      </c>
      <c r="V109" s="113">
        <f t="shared" ref="V109:V114" si="327">V108</f>
        <v>0</v>
      </c>
      <c r="W109" s="113">
        <f t="shared" ref="W109:W114" si="328">W108</f>
        <v>0</v>
      </c>
      <c r="X109" s="113">
        <f t="shared" ref="X109:X114" si="329">X108</f>
        <v>0</v>
      </c>
      <c r="AA109" s="113">
        <v>3</v>
      </c>
      <c r="AB109" s="112">
        <f t="shared" ref="AB109:AC114" ca="1" si="330">AB108</f>
        <v>38384</v>
      </c>
      <c r="AC109" s="112">
        <f t="shared" ca="1" si="330"/>
        <v>38717</v>
      </c>
      <c r="AF109" s="114">
        <f t="shared" ca="1" si="304"/>
        <v>11673.04</v>
      </c>
      <c r="AG109" s="114">
        <f t="shared" ref="AG109:AG114" ca="1" si="331">INDIRECT(CONCATENATE($AB$10,CONCATENATE(G109,$A109)))</f>
        <v>0</v>
      </c>
      <c r="AH109" s="114">
        <f t="shared" ref="AH109:AH114" ca="1" si="332">INDIRECT(CONCATENATE($AB$10,CONCATENATE(H109,$A109)))</f>
        <v>0</v>
      </c>
      <c r="AI109" s="114">
        <f t="shared" ref="AI109:AI114" ca="1" si="333">INDIRECT(CONCATENATE($AB$10,CONCATENATE(I109,$A109)))</f>
        <v>6384.11</v>
      </c>
      <c r="AJ109" s="114">
        <f t="shared" ref="AJ109:AJ114" ca="1" si="334">INDIRECT(CONCATENATE($AB$10,CONCATENATE(J109,$A109)))</f>
        <v>0</v>
      </c>
      <c r="AK109" s="114">
        <f t="shared" ref="AK109:AK114" ca="1" si="335">INDIRECT(CONCATENATE($AB$10,CONCATENATE(K109,$A109)))</f>
        <v>1504.76</v>
      </c>
      <c r="AN109">
        <f t="shared" si="272"/>
        <v>109</v>
      </c>
      <c r="AQ109" s="114">
        <f t="shared" ca="1" si="54"/>
        <v>1857.84</v>
      </c>
      <c r="AW109">
        <v>109</v>
      </c>
    </row>
    <row r="110" spans="1:49" x14ac:dyDescent="0.25">
      <c r="A110" s="113">
        <f t="shared" si="306"/>
        <v>644</v>
      </c>
      <c r="B110" s="113" t="str">
        <f t="shared" si="307"/>
        <v>a</v>
      </c>
      <c r="C110" s="113" t="str">
        <f t="shared" si="308"/>
        <v>b</v>
      </c>
      <c r="D110" s="113" t="str">
        <f t="shared" si="309"/>
        <v>c</v>
      </c>
      <c r="E110" s="113" t="str">
        <f t="shared" si="310"/>
        <v>d</v>
      </c>
      <c r="F110" s="113" t="str">
        <f t="shared" si="311"/>
        <v>e</v>
      </c>
      <c r="G110" s="113" t="str">
        <f t="shared" si="312"/>
        <v>f</v>
      </c>
      <c r="H110" s="113" t="str">
        <f t="shared" si="313"/>
        <v>g</v>
      </c>
      <c r="I110" s="113" t="str">
        <f t="shared" si="314"/>
        <v>h</v>
      </c>
      <c r="J110" s="113" t="str">
        <f t="shared" si="315"/>
        <v>i</v>
      </c>
      <c r="K110" s="113" t="str">
        <f t="shared" si="316"/>
        <v>j</v>
      </c>
      <c r="L110" s="113" t="str">
        <f t="shared" si="317"/>
        <v>k</v>
      </c>
      <c r="M110" s="113" t="str">
        <f t="shared" si="318"/>
        <v>l</v>
      </c>
      <c r="N110" s="113" t="str">
        <f t="shared" si="319"/>
        <v>m</v>
      </c>
      <c r="O110" s="113">
        <f t="shared" si="320"/>
        <v>0</v>
      </c>
      <c r="P110" s="113">
        <f t="shared" si="321"/>
        <v>0</v>
      </c>
      <c r="Q110" s="113" t="str">
        <f t="shared" si="322"/>
        <v>p</v>
      </c>
      <c r="R110" s="113">
        <f t="shared" si="323"/>
        <v>0</v>
      </c>
      <c r="S110" s="113">
        <f t="shared" si="324"/>
        <v>0</v>
      </c>
      <c r="T110" s="113">
        <f t="shared" si="325"/>
        <v>0</v>
      </c>
      <c r="U110" s="113">
        <f t="shared" si="326"/>
        <v>0</v>
      </c>
      <c r="V110" s="113">
        <f t="shared" si="327"/>
        <v>0</v>
      </c>
      <c r="W110" s="113">
        <f t="shared" si="328"/>
        <v>0</v>
      </c>
      <c r="X110" s="113">
        <f t="shared" si="329"/>
        <v>0</v>
      </c>
      <c r="AA110" s="113">
        <v>9</v>
      </c>
      <c r="AB110" s="112">
        <f t="shared" ca="1" si="330"/>
        <v>38384</v>
      </c>
      <c r="AC110" s="112">
        <f t="shared" ca="1" si="330"/>
        <v>38717</v>
      </c>
      <c r="AF110" s="114">
        <f t="shared" ca="1" si="304"/>
        <v>13135.93</v>
      </c>
      <c r="AG110" s="114">
        <f t="shared" ca="1" si="331"/>
        <v>0</v>
      </c>
      <c r="AH110" s="114">
        <f t="shared" ca="1" si="332"/>
        <v>0</v>
      </c>
      <c r="AI110" s="114">
        <f t="shared" ca="1" si="333"/>
        <v>6384.11</v>
      </c>
      <c r="AJ110" s="114">
        <f t="shared" ca="1" si="334"/>
        <v>0</v>
      </c>
      <c r="AK110" s="114">
        <f t="shared" ca="1" si="335"/>
        <v>1626.67</v>
      </c>
      <c r="AN110">
        <f t="shared" si="272"/>
        <v>110</v>
      </c>
      <c r="AQ110" s="114">
        <f t="shared" ca="1" si="54"/>
        <v>1857.84</v>
      </c>
      <c r="AW110">
        <v>110</v>
      </c>
    </row>
    <row r="111" spans="1:49" x14ac:dyDescent="0.25">
      <c r="A111" s="113">
        <f t="shared" si="306"/>
        <v>646</v>
      </c>
      <c r="B111" s="113" t="str">
        <f t="shared" si="307"/>
        <v>a</v>
      </c>
      <c r="C111" s="113" t="str">
        <f t="shared" si="308"/>
        <v>b</v>
      </c>
      <c r="D111" s="113" t="str">
        <f t="shared" si="309"/>
        <v>c</v>
      </c>
      <c r="E111" s="113" t="str">
        <f t="shared" si="310"/>
        <v>d</v>
      </c>
      <c r="F111" s="113" t="str">
        <f t="shared" si="311"/>
        <v>e</v>
      </c>
      <c r="G111" s="113" t="str">
        <f t="shared" si="312"/>
        <v>f</v>
      </c>
      <c r="H111" s="113" t="str">
        <f t="shared" si="313"/>
        <v>g</v>
      </c>
      <c r="I111" s="113" t="str">
        <f t="shared" si="314"/>
        <v>h</v>
      </c>
      <c r="J111" s="113" t="str">
        <f t="shared" si="315"/>
        <v>i</v>
      </c>
      <c r="K111" s="113" t="str">
        <f t="shared" si="316"/>
        <v>j</v>
      </c>
      <c r="L111" s="113" t="str">
        <f t="shared" si="317"/>
        <v>k</v>
      </c>
      <c r="M111" s="113" t="str">
        <f t="shared" si="318"/>
        <v>l</v>
      </c>
      <c r="N111" s="113" t="str">
        <f t="shared" si="319"/>
        <v>m</v>
      </c>
      <c r="O111" s="113">
        <f t="shared" si="320"/>
        <v>0</v>
      </c>
      <c r="P111" s="113">
        <f t="shared" si="321"/>
        <v>0</v>
      </c>
      <c r="Q111" s="113" t="str">
        <f t="shared" si="322"/>
        <v>p</v>
      </c>
      <c r="R111" s="113">
        <f t="shared" si="323"/>
        <v>0</v>
      </c>
      <c r="S111" s="113">
        <f t="shared" si="324"/>
        <v>0</v>
      </c>
      <c r="T111" s="113">
        <f t="shared" si="325"/>
        <v>0</v>
      </c>
      <c r="U111" s="113">
        <f t="shared" si="326"/>
        <v>0</v>
      </c>
      <c r="V111" s="113">
        <f t="shared" si="327"/>
        <v>0</v>
      </c>
      <c r="W111" s="113">
        <f t="shared" si="328"/>
        <v>0</v>
      </c>
      <c r="X111" s="113">
        <f t="shared" si="329"/>
        <v>0</v>
      </c>
      <c r="AA111" s="113">
        <v>15</v>
      </c>
      <c r="AB111" s="112">
        <f t="shared" ca="1" si="330"/>
        <v>38384</v>
      </c>
      <c r="AC111" s="112">
        <f t="shared" ca="1" si="330"/>
        <v>38717</v>
      </c>
      <c r="AF111" s="114">
        <f t="shared" ca="1" si="304"/>
        <v>14844.54</v>
      </c>
      <c r="AG111" s="114">
        <f t="shared" ca="1" si="331"/>
        <v>0</v>
      </c>
      <c r="AH111" s="114">
        <f t="shared" ca="1" si="332"/>
        <v>0</v>
      </c>
      <c r="AI111" s="114">
        <f t="shared" ca="1" si="333"/>
        <v>6384.11</v>
      </c>
      <c r="AJ111" s="114">
        <f t="shared" ca="1" si="334"/>
        <v>0</v>
      </c>
      <c r="AK111" s="114">
        <f t="shared" ca="1" si="335"/>
        <v>1769.05</v>
      </c>
      <c r="AN111">
        <f t="shared" si="272"/>
        <v>111</v>
      </c>
      <c r="AQ111" s="114">
        <f t="shared" ref="AQ111:AQ174" ca="1" si="336">INDIRECT(CONCATENATE($AB$10,CONCATENATE(Q111,$A111)))</f>
        <v>2287.8000000000002</v>
      </c>
      <c r="AW111">
        <v>111</v>
      </c>
    </row>
    <row r="112" spans="1:49" x14ac:dyDescent="0.25">
      <c r="A112" s="113">
        <f t="shared" si="306"/>
        <v>648</v>
      </c>
      <c r="B112" s="113" t="str">
        <f t="shared" si="307"/>
        <v>a</v>
      </c>
      <c r="C112" s="113" t="str">
        <f t="shared" si="308"/>
        <v>b</v>
      </c>
      <c r="D112" s="113" t="str">
        <f t="shared" si="309"/>
        <v>c</v>
      </c>
      <c r="E112" s="113" t="str">
        <f t="shared" si="310"/>
        <v>d</v>
      </c>
      <c r="F112" s="113" t="str">
        <f t="shared" si="311"/>
        <v>e</v>
      </c>
      <c r="G112" s="113" t="str">
        <f t="shared" si="312"/>
        <v>f</v>
      </c>
      <c r="H112" s="113" t="str">
        <f t="shared" si="313"/>
        <v>g</v>
      </c>
      <c r="I112" s="113" t="str">
        <f t="shared" si="314"/>
        <v>h</v>
      </c>
      <c r="J112" s="113" t="str">
        <f t="shared" si="315"/>
        <v>i</v>
      </c>
      <c r="K112" s="113" t="str">
        <f t="shared" si="316"/>
        <v>j</v>
      </c>
      <c r="L112" s="113" t="str">
        <f t="shared" si="317"/>
        <v>k</v>
      </c>
      <c r="M112" s="113" t="str">
        <f t="shared" si="318"/>
        <v>l</v>
      </c>
      <c r="N112" s="113" t="str">
        <f t="shared" si="319"/>
        <v>m</v>
      </c>
      <c r="O112" s="113">
        <f t="shared" si="320"/>
        <v>0</v>
      </c>
      <c r="P112" s="113">
        <f t="shared" si="321"/>
        <v>0</v>
      </c>
      <c r="Q112" s="113" t="str">
        <f t="shared" si="322"/>
        <v>p</v>
      </c>
      <c r="R112" s="113">
        <f t="shared" si="323"/>
        <v>0</v>
      </c>
      <c r="S112" s="113">
        <f t="shared" si="324"/>
        <v>0</v>
      </c>
      <c r="T112" s="113">
        <f t="shared" si="325"/>
        <v>0</v>
      </c>
      <c r="U112" s="113">
        <f t="shared" si="326"/>
        <v>0</v>
      </c>
      <c r="V112" s="113">
        <f t="shared" si="327"/>
        <v>0</v>
      </c>
      <c r="W112" s="113">
        <f t="shared" si="328"/>
        <v>0</v>
      </c>
      <c r="X112" s="113">
        <f t="shared" si="329"/>
        <v>0</v>
      </c>
      <c r="AA112" s="113">
        <v>21</v>
      </c>
      <c r="AB112" s="112">
        <f t="shared" ca="1" si="330"/>
        <v>38384</v>
      </c>
      <c r="AC112" s="112">
        <f t="shared" ca="1" si="330"/>
        <v>38717</v>
      </c>
      <c r="AF112" s="114">
        <f t="shared" ca="1" si="304"/>
        <v>16502.900000000001</v>
      </c>
      <c r="AG112" s="114">
        <f t="shared" ca="1" si="331"/>
        <v>0</v>
      </c>
      <c r="AH112" s="114">
        <f t="shared" ca="1" si="332"/>
        <v>0</v>
      </c>
      <c r="AI112" s="114">
        <f t="shared" ca="1" si="333"/>
        <v>6384.11</v>
      </c>
      <c r="AJ112" s="114">
        <f t="shared" ca="1" si="334"/>
        <v>0</v>
      </c>
      <c r="AK112" s="114">
        <f t="shared" ca="1" si="335"/>
        <v>1907.25</v>
      </c>
      <c r="AN112">
        <f t="shared" si="272"/>
        <v>112</v>
      </c>
      <c r="AQ112" s="114">
        <f t="shared" ca="1" si="336"/>
        <v>2287.8000000000002</v>
      </c>
      <c r="AW112">
        <v>112</v>
      </c>
    </row>
    <row r="113" spans="1:49" x14ac:dyDescent="0.25">
      <c r="A113" s="113">
        <f t="shared" si="306"/>
        <v>650</v>
      </c>
      <c r="B113" s="113" t="str">
        <f t="shared" si="307"/>
        <v>a</v>
      </c>
      <c r="C113" s="113" t="str">
        <f t="shared" si="308"/>
        <v>b</v>
      </c>
      <c r="D113" s="113" t="str">
        <f t="shared" si="309"/>
        <v>c</v>
      </c>
      <c r="E113" s="113" t="str">
        <f t="shared" si="310"/>
        <v>d</v>
      </c>
      <c r="F113" s="113" t="str">
        <f t="shared" si="311"/>
        <v>e</v>
      </c>
      <c r="G113" s="113" t="str">
        <f t="shared" si="312"/>
        <v>f</v>
      </c>
      <c r="H113" s="113" t="str">
        <f t="shared" si="313"/>
        <v>g</v>
      </c>
      <c r="I113" s="113" t="str">
        <f t="shared" si="314"/>
        <v>h</v>
      </c>
      <c r="J113" s="113" t="str">
        <f t="shared" si="315"/>
        <v>i</v>
      </c>
      <c r="K113" s="113" t="str">
        <f t="shared" si="316"/>
        <v>j</v>
      </c>
      <c r="L113" s="113" t="str">
        <f t="shared" si="317"/>
        <v>k</v>
      </c>
      <c r="M113" s="113" t="str">
        <f t="shared" si="318"/>
        <v>l</v>
      </c>
      <c r="N113" s="113" t="str">
        <f t="shared" si="319"/>
        <v>m</v>
      </c>
      <c r="O113" s="113">
        <f t="shared" si="320"/>
        <v>0</v>
      </c>
      <c r="P113" s="113">
        <f t="shared" si="321"/>
        <v>0</v>
      </c>
      <c r="Q113" s="113" t="str">
        <f t="shared" si="322"/>
        <v>p</v>
      </c>
      <c r="R113" s="113">
        <f t="shared" si="323"/>
        <v>0</v>
      </c>
      <c r="S113" s="113">
        <f t="shared" si="324"/>
        <v>0</v>
      </c>
      <c r="T113" s="113">
        <f t="shared" si="325"/>
        <v>0</v>
      </c>
      <c r="U113" s="113">
        <f t="shared" si="326"/>
        <v>0</v>
      </c>
      <c r="V113" s="113">
        <f t="shared" si="327"/>
        <v>0</v>
      </c>
      <c r="W113" s="113">
        <f t="shared" si="328"/>
        <v>0</v>
      </c>
      <c r="X113" s="113">
        <f t="shared" si="329"/>
        <v>0</v>
      </c>
      <c r="AA113" s="113">
        <v>28</v>
      </c>
      <c r="AB113" s="112">
        <f t="shared" ca="1" si="330"/>
        <v>38384</v>
      </c>
      <c r="AC113" s="112">
        <f t="shared" ca="1" si="330"/>
        <v>38717</v>
      </c>
      <c r="AF113" s="114">
        <f t="shared" ca="1" si="304"/>
        <v>18139.07</v>
      </c>
      <c r="AG113" s="114">
        <f t="shared" ca="1" si="331"/>
        <v>0</v>
      </c>
      <c r="AH113" s="114">
        <f t="shared" ca="1" si="332"/>
        <v>0</v>
      </c>
      <c r="AI113" s="114">
        <f t="shared" ca="1" si="333"/>
        <v>6384.11</v>
      </c>
      <c r="AJ113" s="114">
        <f t="shared" ca="1" si="334"/>
        <v>0</v>
      </c>
      <c r="AK113" s="114">
        <f t="shared" ca="1" si="335"/>
        <v>2043.6</v>
      </c>
      <c r="AN113">
        <f t="shared" si="272"/>
        <v>113</v>
      </c>
      <c r="AQ113" s="114">
        <f t="shared" ca="1" si="336"/>
        <v>2870.04</v>
      </c>
      <c r="AW113">
        <v>113</v>
      </c>
    </row>
    <row r="114" spans="1:49" x14ac:dyDescent="0.25">
      <c r="A114" s="113">
        <f t="shared" si="306"/>
        <v>652</v>
      </c>
      <c r="B114" s="113" t="str">
        <f t="shared" si="307"/>
        <v>a</v>
      </c>
      <c r="C114" s="113" t="str">
        <f t="shared" si="308"/>
        <v>b</v>
      </c>
      <c r="D114" s="113" t="str">
        <f t="shared" si="309"/>
        <v>c</v>
      </c>
      <c r="E114" s="113" t="str">
        <f t="shared" si="310"/>
        <v>d</v>
      </c>
      <c r="F114" s="113" t="str">
        <f t="shared" si="311"/>
        <v>e</v>
      </c>
      <c r="G114" s="113" t="str">
        <f t="shared" si="312"/>
        <v>f</v>
      </c>
      <c r="H114" s="113" t="str">
        <f t="shared" si="313"/>
        <v>g</v>
      </c>
      <c r="I114" s="113" t="str">
        <f t="shared" si="314"/>
        <v>h</v>
      </c>
      <c r="J114" s="113" t="str">
        <f t="shared" si="315"/>
        <v>i</v>
      </c>
      <c r="K114" s="113" t="str">
        <f t="shared" si="316"/>
        <v>j</v>
      </c>
      <c r="L114" s="113" t="str">
        <f t="shared" si="317"/>
        <v>k</v>
      </c>
      <c r="M114" s="113" t="str">
        <f t="shared" si="318"/>
        <v>l</v>
      </c>
      <c r="N114" s="113" t="str">
        <f t="shared" si="319"/>
        <v>m</v>
      </c>
      <c r="O114" s="113">
        <f t="shared" si="320"/>
        <v>0</v>
      </c>
      <c r="P114" s="113">
        <f t="shared" si="321"/>
        <v>0</v>
      </c>
      <c r="Q114" s="113" t="str">
        <f t="shared" si="322"/>
        <v>p</v>
      </c>
      <c r="R114" s="113">
        <f t="shared" si="323"/>
        <v>0</v>
      </c>
      <c r="S114" s="113">
        <f t="shared" si="324"/>
        <v>0</v>
      </c>
      <c r="T114" s="113">
        <f t="shared" si="325"/>
        <v>0</v>
      </c>
      <c r="U114" s="113">
        <f t="shared" si="326"/>
        <v>0</v>
      </c>
      <c r="V114" s="113">
        <f t="shared" si="327"/>
        <v>0</v>
      </c>
      <c r="W114" s="113">
        <f t="shared" si="328"/>
        <v>0</v>
      </c>
      <c r="X114" s="113">
        <f t="shared" si="329"/>
        <v>0</v>
      </c>
      <c r="AA114" s="113">
        <v>35</v>
      </c>
      <c r="AB114" s="112">
        <f t="shared" ca="1" si="330"/>
        <v>38384</v>
      </c>
      <c r="AC114" s="112">
        <f t="shared" ca="1" si="330"/>
        <v>38717</v>
      </c>
      <c r="AF114" s="114">
        <f t="shared" ca="1" si="304"/>
        <v>19357.400000000001</v>
      </c>
      <c r="AG114" s="114">
        <f t="shared" ca="1" si="331"/>
        <v>0</v>
      </c>
      <c r="AH114" s="114">
        <f t="shared" ca="1" si="332"/>
        <v>0</v>
      </c>
      <c r="AI114" s="114">
        <f t="shared" ca="1" si="333"/>
        <v>6384.11</v>
      </c>
      <c r="AJ114" s="114">
        <f t="shared" ca="1" si="334"/>
        <v>0</v>
      </c>
      <c r="AK114" s="114">
        <f t="shared" ca="1" si="335"/>
        <v>2145.13</v>
      </c>
      <c r="AN114">
        <f t="shared" si="272"/>
        <v>114</v>
      </c>
      <c r="AQ114" s="114">
        <f t="shared" ca="1" si="336"/>
        <v>2870.04</v>
      </c>
      <c r="AW114">
        <v>114</v>
      </c>
    </row>
    <row r="115" spans="1:49" x14ac:dyDescent="0.25">
      <c r="A115" s="113">
        <f>A108+20</f>
        <v>660</v>
      </c>
      <c r="B115" s="113" t="str">
        <f>B108</f>
        <v>a</v>
      </c>
      <c r="C115" s="113" t="str">
        <f t="shared" ref="C115:X115" si="337">C108</f>
        <v>b</v>
      </c>
      <c r="D115" s="113" t="str">
        <f t="shared" si="337"/>
        <v>c</v>
      </c>
      <c r="E115" s="113" t="str">
        <f t="shared" si="337"/>
        <v>d</v>
      </c>
      <c r="F115" s="113" t="str">
        <f t="shared" si="337"/>
        <v>e</v>
      </c>
      <c r="G115" s="113" t="str">
        <f t="shared" si="337"/>
        <v>f</v>
      </c>
      <c r="H115" s="113" t="str">
        <f t="shared" si="337"/>
        <v>g</v>
      </c>
      <c r="I115" s="113" t="str">
        <f t="shared" si="337"/>
        <v>h</v>
      </c>
      <c r="J115" s="113" t="str">
        <f t="shared" si="337"/>
        <v>i</v>
      </c>
      <c r="K115" s="113" t="str">
        <f t="shared" si="337"/>
        <v>j</v>
      </c>
      <c r="L115" s="113" t="str">
        <f t="shared" si="337"/>
        <v>k</v>
      </c>
      <c r="M115" s="113" t="str">
        <f t="shared" si="337"/>
        <v>l</v>
      </c>
      <c r="N115" s="113" t="str">
        <f t="shared" si="337"/>
        <v>m</v>
      </c>
      <c r="O115" s="113">
        <f t="shared" si="337"/>
        <v>0</v>
      </c>
      <c r="P115" s="113">
        <f t="shared" si="337"/>
        <v>0</v>
      </c>
      <c r="Q115" s="113" t="str">
        <f t="shared" si="337"/>
        <v>p</v>
      </c>
      <c r="R115" s="113">
        <f t="shared" si="337"/>
        <v>0</v>
      </c>
      <c r="S115" s="113">
        <f t="shared" si="337"/>
        <v>0</v>
      </c>
      <c r="T115" s="113">
        <f t="shared" si="337"/>
        <v>0</v>
      </c>
      <c r="U115" s="113">
        <f t="shared" si="337"/>
        <v>0</v>
      </c>
      <c r="V115" s="113">
        <f t="shared" si="337"/>
        <v>0</v>
      </c>
      <c r="W115" s="113">
        <f t="shared" si="337"/>
        <v>0</v>
      </c>
      <c r="X115" s="113">
        <f t="shared" si="337"/>
        <v>0</v>
      </c>
      <c r="AA115" s="113">
        <v>0</v>
      </c>
      <c r="AB115" s="112">
        <f ca="1">INDIRECT(CONCATENATE($AB$10,CONCATENATE(B115,$A115)))</f>
        <v>38718</v>
      </c>
      <c r="AC115" s="112">
        <f ca="1">INDIRECT(CONCATENATE($AB$10,CONCATENATE(C115,$A115)))</f>
        <v>39082</v>
      </c>
      <c r="AF115" s="114">
        <f t="shared" ca="1" si="304"/>
        <v>11279.51</v>
      </c>
      <c r="AG115" s="114">
        <f ca="1">INDIRECT(CONCATENATE($AB$10,CONCATENATE(G115,$A115)))</f>
        <v>0</v>
      </c>
      <c r="AH115" s="114">
        <f ca="1">INDIRECT(CONCATENATE($AB$10,CONCATENATE(H115,$A115)))</f>
        <v>0</v>
      </c>
      <c r="AI115" s="114">
        <f ca="1">INDIRECT(CONCATENATE($AB$10,CONCATENATE(I115,$A115)))</f>
        <v>6384.11</v>
      </c>
      <c r="AJ115" s="114">
        <f ca="1">INDIRECT(CONCATENATE($AB$10,CONCATENATE(J115,$A115)))</f>
        <v>0</v>
      </c>
      <c r="AK115" s="114">
        <f ca="1">INDIRECT(CONCATENATE($AB$10,CONCATENATE(K115,$A115)))</f>
        <v>1471.97</v>
      </c>
      <c r="AN115">
        <f t="shared" si="272"/>
        <v>115</v>
      </c>
      <c r="AQ115" s="114">
        <f t="shared" ca="1" si="336"/>
        <v>1968</v>
      </c>
      <c r="AW115">
        <v>115</v>
      </c>
    </row>
    <row r="116" spans="1:49" x14ac:dyDescent="0.25">
      <c r="A116" s="113">
        <f t="shared" ref="A116:A121" si="338">A115+2</f>
        <v>662</v>
      </c>
      <c r="B116" s="113" t="str">
        <f t="shared" ref="B116:B121" si="339">B115</f>
        <v>a</v>
      </c>
      <c r="C116" s="113" t="str">
        <f t="shared" ref="C116:C121" si="340">C115</f>
        <v>b</v>
      </c>
      <c r="D116" s="113" t="str">
        <f t="shared" ref="D116:D121" si="341">D115</f>
        <v>c</v>
      </c>
      <c r="E116" s="113" t="str">
        <f t="shared" ref="E116:E121" si="342">E115</f>
        <v>d</v>
      </c>
      <c r="F116" s="113" t="str">
        <f t="shared" ref="F116:F121" si="343">F115</f>
        <v>e</v>
      </c>
      <c r="G116" s="113" t="str">
        <f t="shared" ref="G116:G121" si="344">G115</f>
        <v>f</v>
      </c>
      <c r="H116" s="113" t="str">
        <f t="shared" ref="H116:H121" si="345">H115</f>
        <v>g</v>
      </c>
      <c r="I116" s="113" t="str">
        <f t="shared" ref="I116:I121" si="346">I115</f>
        <v>h</v>
      </c>
      <c r="J116" s="113" t="str">
        <f t="shared" ref="J116:J121" si="347">J115</f>
        <v>i</v>
      </c>
      <c r="K116" s="113" t="str">
        <f t="shared" ref="K116:K121" si="348">K115</f>
        <v>j</v>
      </c>
      <c r="L116" s="113" t="str">
        <f t="shared" ref="L116:L121" si="349">L115</f>
        <v>k</v>
      </c>
      <c r="M116" s="113" t="str">
        <f t="shared" ref="M116:M121" si="350">M115</f>
        <v>l</v>
      </c>
      <c r="N116" s="113" t="str">
        <f t="shared" ref="N116:N121" si="351">N115</f>
        <v>m</v>
      </c>
      <c r="O116" s="113">
        <f t="shared" ref="O116:O121" si="352">O115</f>
        <v>0</v>
      </c>
      <c r="P116" s="113">
        <f t="shared" ref="P116:P121" si="353">P115</f>
        <v>0</v>
      </c>
      <c r="Q116" s="113" t="str">
        <f t="shared" ref="Q116:Q121" si="354">Q115</f>
        <v>p</v>
      </c>
      <c r="R116" s="113">
        <f t="shared" ref="R116:R121" si="355">R115</f>
        <v>0</v>
      </c>
      <c r="S116" s="113">
        <f t="shared" ref="S116:S121" si="356">S115</f>
        <v>0</v>
      </c>
      <c r="T116" s="113">
        <f t="shared" ref="T116:T121" si="357">T115</f>
        <v>0</v>
      </c>
      <c r="U116" s="113">
        <f t="shared" ref="U116:U121" si="358">U115</f>
        <v>0</v>
      </c>
      <c r="V116" s="113">
        <f t="shared" ref="V116:V121" si="359">V115</f>
        <v>0</v>
      </c>
      <c r="W116" s="113">
        <f t="shared" ref="W116:W121" si="360">W115</f>
        <v>0</v>
      </c>
      <c r="X116" s="113">
        <f t="shared" ref="X116:X121" si="361">X115</f>
        <v>0</v>
      </c>
      <c r="AA116" s="113">
        <v>3</v>
      </c>
      <c r="AB116" s="112">
        <f t="shared" ref="AB116:AC121" ca="1" si="362">AB115</f>
        <v>38718</v>
      </c>
      <c r="AC116" s="112">
        <f t="shared" ca="1" si="362"/>
        <v>39082</v>
      </c>
      <c r="AF116" s="114">
        <f t="shared" ca="1" si="304"/>
        <v>11756.68</v>
      </c>
      <c r="AG116" s="114">
        <f t="shared" ref="AG116:AG121" ca="1" si="363">INDIRECT(CONCATENATE($AB$10,CONCATENATE(G116,$A116)))</f>
        <v>0</v>
      </c>
      <c r="AH116" s="114">
        <f t="shared" ref="AH116:AH121" ca="1" si="364">INDIRECT(CONCATENATE($AB$10,CONCATENATE(H116,$A116)))</f>
        <v>0</v>
      </c>
      <c r="AI116" s="114">
        <f t="shared" ref="AI116:AI121" ca="1" si="365">INDIRECT(CONCATENATE($AB$10,CONCATENATE(I116,$A116)))</f>
        <v>6384.11</v>
      </c>
      <c r="AJ116" s="114">
        <f t="shared" ref="AJ116:AJ121" ca="1" si="366">INDIRECT(CONCATENATE($AB$10,CONCATENATE(J116,$A116)))</f>
        <v>0</v>
      </c>
      <c r="AK116" s="114">
        <f t="shared" ref="AK116:AK121" ca="1" si="367">INDIRECT(CONCATENATE($AB$10,CONCATENATE(K116,$A116)))</f>
        <v>1511.73</v>
      </c>
      <c r="AN116">
        <f t="shared" si="272"/>
        <v>116</v>
      </c>
      <c r="AQ116" s="114">
        <f t="shared" ca="1" si="336"/>
        <v>1968</v>
      </c>
      <c r="AW116">
        <v>116</v>
      </c>
    </row>
    <row r="117" spans="1:49" x14ac:dyDescent="0.25">
      <c r="A117" s="113">
        <f t="shared" si="338"/>
        <v>664</v>
      </c>
      <c r="B117" s="113" t="str">
        <f t="shared" si="339"/>
        <v>a</v>
      </c>
      <c r="C117" s="113" t="str">
        <f t="shared" si="340"/>
        <v>b</v>
      </c>
      <c r="D117" s="113" t="str">
        <f t="shared" si="341"/>
        <v>c</v>
      </c>
      <c r="E117" s="113" t="str">
        <f t="shared" si="342"/>
        <v>d</v>
      </c>
      <c r="F117" s="113" t="str">
        <f t="shared" si="343"/>
        <v>e</v>
      </c>
      <c r="G117" s="113" t="str">
        <f t="shared" si="344"/>
        <v>f</v>
      </c>
      <c r="H117" s="113" t="str">
        <f t="shared" si="345"/>
        <v>g</v>
      </c>
      <c r="I117" s="113" t="str">
        <f t="shared" si="346"/>
        <v>h</v>
      </c>
      <c r="J117" s="113" t="str">
        <f t="shared" si="347"/>
        <v>i</v>
      </c>
      <c r="K117" s="113" t="str">
        <f t="shared" si="348"/>
        <v>j</v>
      </c>
      <c r="L117" s="113" t="str">
        <f t="shared" si="349"/>
        <v>k</v>
      </c>
      <c r="M117" s="113" t="str">
        <f t="shared" si="350"/>
        <v>l</v>
      </c>
      <c r="N117" s="113" t="str">
        <f t="shared" si="351"/>
        <v>m</v>
      </c>
      <c r="O117" s="113">
        <f t="shared" si="352"/>
        <v>0</v>
      </c>
      <c r="P117" s="113">
        <f t="shared" si="353"/>
        <v>0</v>
      </c>
      <c r="Q117" s="113" t="str">
        <f t="shared" si="354"/>
        <v>p</v>
      </c>
      <c r="R117" s="113">
        <f t="shared" si="355"/>
        <v>0</v>
      </c>
      <c r="S117" s="113">
        <f t="shared" si="356"/>
        <v>0</v>
      </c>
      <c r="T117" s="113">
        <f t="shared" si="357"/>
        <v>0</v>
      </c>
      <c r="U117" s="113">
        <f t="shared" si="358"/>
        <v>0</v>
      </c>
      <c r="V117" s="113">
        <f t="shared" si="359"/>
        <v>0</v>
      </c>
      <c r="W117" s="113">
        <f t="shared" si="360"/>
        <v>0</v>
      </c>
      <c r="X117" s="113">
        <f t="shared" si="361"/>
        <v>0</v>
      </c>
      <c r="AA117" s="113">
        <v>9</v>
      </c>
      <c r="AB117" s="112">
        <f t="shared" ca="1" si="362"/>
        <v>38718</v>
      </c>
      <c r="AC117" s="112">
        <f t="shared" ca="1" si="362"/>
        <v>39082</v>
      </c>
      <c r="AF117" s="114">
        <f t="shared" ca="1" si="304"/>
        <v>13226.29</v>
      </c>
      <c r="AG117" s="114">
        <f t="shared" ca="1" si="363"/>
        <v>0</v>
      </c>
      <c r="AH117" s="114">
        <f t="shared" ca="1" si="364"/>
        <v>0</v>
      </c>
      <c r="AI117" s="114">
        <f t="shared" ca="1" si="365"/>
        <v>6384.11</v>
      </c>
      <c r="AJ117" s="114">
        <f t="shared" ca="1" si="366"/>
        <v>0</v>
      </c>
      <c r="AK117" s="114">
        <f t="shared" ca="1" si="367"/>
        <v>1634.2</v>
      </c>
      <c r="AN117">
        <f t="shared" si="272"/>
        <v>117</v>
      </c>
      <c r="AQ117" s="114">
        <f t="shared" ca="1" si="336"/>
        <v>1968</v>
      </c>
      <c r="AW117">
        <v>117</v>
      </c>
    </row>
    <row r="118" spans="1:49" x14ac:dyDescent="0.25">
      <c r="A118" s="113">
        <f t="shared" si="338"/>
        <v>666</v>
      </c>
      <c r="B118" s="113" t="str">
        <f t="shared" si="339"/>
        <v>a</v>
      </c>
      <c r="C118" s="113" t="str">
        <f t="shared" si="340"/>
        <v>b</v>
      </c>
      <c r="D118" s="113" t="str">
        <f t="shared" si="341"/>
        <v>c</v>
      </c>
      <c r="E118" s="113" t="str">
        <f t="shared" si="342"/>
        <v>d</v>
      </c>
      <c r="F118" s="113" t="str">
        <f t="shared" si="343"/>
        <v>e</v>
      </c>
      <c r="G118" s="113" t="str">
        <f t="shared" si="344"/>
        <v>f</v>
      </c>
      <c r="H118" s="113" t="str">
        <f t="shared" si="345"/>
        <v>g</v>
      </c>
      <c r="I118" s="113" t="str">
        <f t="shared" si="346"/>
        <v>h</v>
      </c>
      <c r="J118" s="113" t="str">
        <f t="shared" si="347"/>
        <v>i</v>
      </c>
      <c r="K118" s="113" t="str">
        <f t="shared" si="348"/>
        <v>j</v>
      </c>
      <c r="L118" s="113" t="str">
        <f t="shared" si="349"/>
        <v>k</v>
      </c>
      <c r="M118" s="113" t="str">
        <f t="shared" si="350"/>
        <v>l</v>
      </c>
      <c r="N118" s="113" t="str">
        <f t="shared" si="351"/>
        <v>m</v>
      </c>
      <c r="O118" s="113">
        <f t="shared" si="352"/>
        <v>0</v>
      </c>
      <c r="P118" s="113">
        <f t="shared" si="353"/>
        <v>0</v>
      </c>
      <c r="Q118" s="113" t="str">
        <f t="shared" si="354"/>
        <v>p</v>
      </c>
      <c r="R118" s="113">
        <f t="shared" si="355"/>
        <v>0</v>
      </c>
      <c r="S118" s="113">
        <f t="shared" si="356"/>
        <v>0</v>
      </c>
      <c r="T118" s="113">
        <f t="shared" si="357"/>
        <v>0</v>
      </c>
      <c r="U118" s="113">
        <f t="shared" si="358"/>
        <v>0</v>
      </c>
      <c r="V118" s="113">
        <f t="shared" si="359"/>
        <v>0</v>
      </c>
      <c r="W118" s="113">
        <f t="shared" si="360"/>
        <v>0</v>
      </c>
      <c r="X118" s="113">
        <f t="shared" si="361"/>
        <v>0</v>
      </c>
      <c r="AA118" s="113">
        <v>15</v>
      </c>
      <c r="AB118" s="112">
        <f t="shared" ca="1" si="362"/>
        <v>38718</v>
      </c>
      <c r="AC118" s="112">
        <f t="shared" ca="1" si="362"/>
        <v>39082</v>
      </c>
      <c r="AF118" s="114">
        <f t="shared" ca="1" si="304"/>
        <v>14942.82</v>
      </c>
      <c r="AG118" s="114">
        <f t="shared" ca="1" si="363"/>
        <v>0</v>
      </c>
      <c r="AH118" s="114">
        <f t="shared" ca="1" si="364"/>
        <v>0</v>
      </c>
      <c r="AI118" s="114">
        <f t="shared" ca="1" si="365"/>
        <v>6384.11</v>
      </c>
      <c r="AJ118" s="114">
        <f t="shared" ca="1" si="366"/>
        <v>0</v>
      </c>
      <c r="AK118" s="114">
        <f t="shared" ca="1" si="367"/>
        <v>1777.24</v>
      </c>
      <c r="AN118">
        <f t="shared" si="272"/>
        <v>118</v>
      </c>
      <c r="AQ118" s="114">
        <f t="shared" ca="1" si="336"/>
        <v>2424</v>
      </c>
      <c r="AW118">
        <v>118</v>
      </c>
    </row>
    <row r="119" spans="1:49" x14ac:dyDescent="0.25">
      <c r="A119" s="113">
        <f t="shared" si="338"/>
        <v>668</v>
      </c>
      <c r="B119" s="113" t="str">
        <f t="shared" si="339"/>
        <v>a</v>
      </c>
      <c r="C119" s="113" t="str">
        <f t="shared" si="340"/>
        <v>b</v>
      </c>
      <c r="D119" s="113" t="str">
        <f t="shared" si="341"/>
        <v>c</v>
      </c>
      <c r="E119" s="113" t="str">
        <f t="shared" si="342"/>
        <v>d</v>
      </c>
      <c r="F119" s="113" t="str">
        <f t="shared" si="343"/>
        <v>e</v>
      </c>
      <c r="G119" s="113" t="str">
        <f t="shared" si="344"/>
        <v>f</v>
      </c>
      <c r="H119" s="113" t="str">
        <f t="shared" si="345"/>
        <v>g</v>
      </c>
      <c r="I119" s="113" t="str">
        <f t="shared" si="346"/>
        <v>h</v>
      </c>
      <c r="J119" s="113" t="str">
        <f t="shared" si="347"/>
        <v>i</v>
      </c>
      <c r="K119" s="113" t="str">
        <f t="shared" si="348"/>
        <v>j</v>
      </c>
      <c r="L119" s="113" t="str">
        <f t="shared" si="349"/>
        <v>k</v>
      </c>
      <c r="M119" s="113" t="str">
        <f t="shared" si="350"/>
        <v>l</v>
      </c>
      <c r="N119" s="113" t="str">
        <f t="shared" si="351"/>
        <v>m</v>
      </c>
      <c r="O119" s="113">
        <f t="shared" si="352"/>
        <v>0</v>
      </c>
      <c r="P119" s="113">
        <f t="shared" si="353"/>
        <v>0</v>
      </c>
      <c r="Q119" s="113" t="str">
        <f t="shared" si="354"/>
        <v>p</v>
      </c>
      <c r="R119" s="113">
        <f t="shared" si="355"/>
        <v>0</v>
      </c>
      <c r="S119" s="113">
        <f t="shared" si="356"/>
        <v>0</v>
      </c>
      <c r="T119" s="113">
        <f t="shared" si="357"/>
        <v>0</v>
      </c>
      <c r="U119" s="113">
        <f t="shared" si="358"/>
        <v>0</v>
      </c>
      <c r="V119" s="113">
        <f t="shared" si="359"/>
        <v>0</v>
      </c>
      <c r="W119" s="113">
        <f t="shared" si="360"/>
        <v>0</v>
      </c>
      <c r="X119" s="113">
        <f t="shared" si="361"/>
        <v>0</v>
      </c>
      <c r="AA119" s="113">
        <v>21</v>
      </c>
      <c r="AB119" s="112">
        <f t="shared" ca="1" si="362"/>
        <v>38718</v>
      </c>
      <c r="AC119" s="112">
        <f t="shared" ca="1" si="362"/>
        <v>39082</v>
      </c>
      <c r="AF119" s="114">
        <f t="shared" ca="1" si="304"/>
        <v>16608.86</v>
      </c>
      <c r="AG119" s="114">
        <f t="shared" ca="1" si="363"/>
        <v>0</v>
      </c>
      <c r="AH119" s="114">
        <f t="shared" ca="1" si="364"/>
        <v>0</v>
      </c>
      <c r="AI119" s="114">
        <f t="shared" ca="1" si="365"/>
        <v>6384.11</v>
      </c>
      <c r="AJ119" s="114">
        <f t="shared" ca="1" si="366"/>
        <v>0</v>
      </c>
      <c r="AK119" s="114">
        <f t="shared" ca="1" si="367"/>
        <v>1916.08</v>
      </c>
      <c r="AN119">
        <f t="shared" si="272"/>
        <v>119</v>
      </c>
      <c r="AQ119" s="114">
        <f t="shared" ca="1" si="336"/>
        <v>2424</v>
      </c>
      <c r="AW119">
        <v>119</v>
      </c>
    </row>
    <row r="120" spans="1:49" x14ac:dyDescent="0.25">
      <c r="A120" s="113">
        <f t="shared" si="338"/>
        <v>670</v>
      </c>
      <c r="B120" s="113" t="str">
        <f t="shared" si="339"/>
        <v>a</v>
      </c>
      <c r="C120" s="113" t="str">
        <f t="shared" si="340"/>
        <v>b</v>
      </c>
      <c r="D120" s="113" t="str">
        <f t="shared" si="341"/>
        <v>c</v>
      </c>
      <c r="E120" s="113" t="str">
        <f t="shared" si="342"/>
        <v>d</v>
      </c>
      <c r="F120" s="113" t="str">
        <f t="shared" si="343"/>
        <v>e</v>
      </c>
      <c r="G120" s="113" t="str">
        <f t="shared" si="344"/>
        <v>f</v>
      </c>
      <c r="H120" s="113" t="str">
        <f t="shared" si="345"/>
        <v>g</v>
      </c>
      <c r="I120" s="113" t="str">
        <f t="shared" si="346"/>
        <v>h</v>
      </c>
      <c r="J120" s="113" t="str">
        <f t="shared" si="347"/>
        <v>i</v>
      </c>
      <c r="K120" s="113" t="str">
        <f t="shared" si="348"/>
        <v>j</v>
      </c>
      <c r="L120" s="113" t="str">
        <f t="shared" si="349"/>
        <v>k</v>
      </c>
      <c r="M120" s="113" t="str">
        <f t="shared" si="350"/>
        <v>l</v>
      </c>
      <c r="N120" s="113" t="str">
        <f t="shared" si="351"/>
        <v>m</v>
      </c>
      <c r="O120" s="113">
        <f t="shared" si="352"/>
        <v>0</v>
      </c>
      <c r="P120" s="113">
        <f t="shared" si="353"/>
        <v>0</v>
      </c>
      <c r="Q120" s="113" t="str">
        <f t="shared" si="354"/>
        <v>p</v>
      </c>
      <c r="R120" s="113">
        <f t="shared" si="355"/>
        <v>0</v>
      </c>
      <c r="S120" s="113">
        <f t="shared" si="356"/>
        <v>0</v>
      </c>
      <c r="T120" s="113">
        <f t="shared" si="357"/>
        <v>0</v>
      </c>
      <c r="U120" s="113">
        <f t="shared" si="358"/>
        <v>0</v>
      </c>
      <c r="V120" s="113">
        <f t="shared" si="359"/>
        <v>0</v>
      </c>
      <c r="W120" s="113">
        <f t="shared" si="360"/>
        <v>0</v>
      </c>
      <c r="X120" s="113">
        <f t="shared" si="361"/>
        <v>0</v>
      </c>
      <c r="AA120" s="113">
        <v>28</v>
      </c>
      <c r="AB120" s="112">
        <f t="shared" ca="1" si="362"/>
        <v>38718</v>
      </c>
      <c r="AC120" s="112">
        <f t="shared" ca="1" si="362"/>
        <v>39082</v>
      </c>
      <c r="AF120" s="114">
        <f t="shared" ca="1" si="304"/>
        <v>18252.71</v>
      </c>
      <c r="AG120" s="114">
        <f t="shared" ca="1" si="363"/>
        <v>0</v>
      </c>
      <c r="AH120" s="114">
        <f t="shared" ca="1" si="364"/>
        <v>0</v>
      </c>
      <c r="AI120" s="114">
        <f t="shared" ca="1" si="365"/>
        <v>6384.11</v>
      </c>
      <c r="AJ120" s="114">
        <f t="shared" ca="1" si="366"/>
        <v>0</v>
      </c>
      <c r="AK120" s="114">
        <f t="shared" ca="1" si="367"/>
        <v>2053.0700000000002</v>
      </c>
      <c r="AN120">
        <f t="shared" si="272"/>
        <v>120</v>
      </c>
      <c r="AQ120" s="114">
        <f t="shared" ca="1" si="336"/>
        <v>3090</v>
      </c>
      <c r="AW120">
        <v>120</v>
      </c>
    </row>
    <row r="121" spans="1:49" x14ac:dyDescent="0.25">
      <c r="A121" s="113">
        <f t="shared" si="338"/>
        <v>672</v>
      </c>
      <c r="B121" s="113" t="str">
        <f t="shared" si="339"/>
        <v>a</v>
      </c>
      <c r="C121" s="113" t="str">
        <f t="shared" si="340"/>
        <v>b</v>
      </c>
      <c r="D121" s="113" t="str">
        <f t="shared" si="341"/>
        <v>c</v>
      </c>
      <c r="E121" s="113" t="str">
        <f t="shared" si="342"/>
        <v>d</v>
      </c>
      <c r="F121" s="113" t="str">
        <f t="shared" si="343"/>
        <v>e</v>
      </c>
      <c r="G121" s="113" t="str">
        <f t="shared" si="344"/>
        <v>f</v>
      </c>
      <c r="H121" s="113" t="str">
        <f t="shared" si="345"/>
        <v>g</v>
      </c>
      <c r="I121" s="113" t="str">
        <f t="shared" si="346"/>
        <v>h</v>
      </c>
      <c r="J121" s="113" t="str">
        <f t="shared" si="347"/>
        <v>i</v>
      </c>
      <c r="K121" s="113" t="str">
        <f t="shared" si="348"/>
        <v>j</v>
      </c>
      <c r="L121" s="113" t="str">
        <f t="shared" si="349"/>
        <v>k</v>
      </c>
      <c r="M121" s="113" t="str">
        <f t="shared" si="350"/>
        <v>l</v>
      </c>
      <c r="N121" s="113" t="str">
        <f t="shared" si="351"/>
        <v>m</v>
      </c>
      <c r="O121" s="113">
        <f t="shared" si="352"/>
        <v>0</v>
      </c>
      <c r="P121" s="113">
        <f t="shared" si="353"/>
        <v>0</v>
      </c>
      <c r="Q121" s="113" t="str">
        <f t="shared" si="354"/>
        <v>p</v>
      </c>
      <c r="R121" s="113">
        <f t="shared" si="355"/>
        <v>0</v>
      </c>
      <c r="S121" s="113">
        <f t="shared" si="356"/>
        <v>0</v>
      </c>
      <c r="T121" s="113">
        <f t="shared" si="357"/>
        <v>0</v>
      </c>
      <c r="U121" s="113">
        <f t="shared" si="358"/>
        <v>0</v>
      </c>
      <c r="V121" s="113">
        <f t="shared" si="359"/>
        <v>0</v>
      </c>
      <c r="W121" s="113">
        <f t="shared" si="360"/>
        <v>0</v>
      </c>
      <c r="X121" s="113">
        <f t="shared" si="361"/>
        <v>0</v>
      </c>
      <c r="AA121" s="113">
        <v>35</v>
      </c>
      <c r="AB121" s="112">
        <f t="shared" ca="1" si="362"/>
        <v>38718</v>
      </c>
      <c r="AC121" s="112">
        <f t="shared" ca="1" si="362"/>
        <v>39082</v>
      </c>
      <c r="AF121" s="114">
        <f t="shared" ca="1" si="304"/>
        <v>19476.68</v>
      </c>
      <c r="AG121" s="114">
        <f t="shared" ca="1" si="363"/>
        <v>0</v>
      </c>
      <c r="AH121" s="114">
        <f t="shared" ca="1" si="364"/>
        <v>0</v>
      </c>
      <c r="AI121" s="114">
        <f t="shared" ca="1" si="365"/>
        <v>6384.11</v>
      </c>
      <c r="AJ121" s="114">
        <f t="shared" ca="1" si="366"/>
        <v>0</v>
      </c>
      <c r="AK121" s="114">
        <f t="shared" ca="1" si="367"/>
        <v>2155.0700000000002</v>
      </c>
      <c r="AN121">
        <f t="shared" si="272"/>
        <v>121</v>
      </c>
      <c r="AQ121" s="114">
        <f t="shared" ca="1" si="336"/>
        <v>3090</v>
      </c>
      <c r="AW121">
        <v>121</v>
      </c>
    </row>
    <row r="122" spans="1:49" x14ac:dyDescent="0.25">
      <c r="A122" s="113">
        <f>A115+20</f>
        <v>680</v>
      </c>
      <c r="B122" s="113" t="str">
        <f>B115</f>
        <v>a</v>
      </c>
      <c r="C122" s="113" t="str">
        <f t="shared" ref="C122:X122" si="368">C115</f>
        <v>b</v>
      </c>
      <c r="D122" s="113" t="str">
        <f t="shared" si="368"/>
        <v>c</v>
      </c>
      <c r="E122" s="113" t="str">
        <f t="shared" si="368"/>
        <v>d</v>
      </c>
      <c r="F122" s="113" t="str">
        <f t="shared" si="368"/>
        <v>e</v>
      </c>
      <c r="G122" s="113" t="str">
        <f t="shared" si="368"/>
        <v>f</v>
      </c>
      <c r="H122" s="113" t="str">
        <f t="shared" si="368"/>
        <v>g</v>
      </c>
      <c r="I122" s="113" t="str">
        <f t="shared" si="368"/>
        <v>h</v>
      </c>
      <c r="J122" s="113" t="str">
        <f t="shared" si="368"/>
        <v>i</v>
      </c>
      <c r="K122" s="113" t="str">
        <f t="shared" si="368"/>
        <v>j</v>
      </c>
      <c r="L122" s="113" t="str">
        <f t="shared" si="368"/>
        <v>k</v>
      </c>
      <c r="M122" s="113" t="str">
        <f t="shared" si="368"/>
        <v>l</v>
      </c>
      <c r="N122" s="113" t="str">
        <f t="shared" si="368"/>
        <v>m</v>
      </c>
      <c r="O122" s="113">
        <f t="shared" si="368"/>
        <v>0</v>
      </c>
      <c r="P122" s="113">
        <f t="shared" si="368"/>
        <v>0</v>
      </c>
      <c r="Q122" s="113" t="str">
        <f t="shared" si="368"/>
        <v>p</v>
      </c>
      <c r="R122" s="113">
        <f t="shared" si="368"/>
        <v>0</v>
      </c>
      <c r="S122" s="113">
        <f t="shared" si="368"/>
        <v>0</v>
      </c>
      <c r="T122" s="113">
        <f t="shared" si="368"/>
        <v>0</v>
      </c>
      <c r="U122" s="113">
        <f t="shared" si="368"/>
        <v>0</v>
      </c>
      <c r="V122" s="113">
        <f t="shared" si="368"/>
        <v>0</v>
      </c>
      <c r="W122" s="113">
        <f t="shared" si="368"/>
        <v>0</v>
      </c>
      <c r="X122" s="113">
        <f t="shared" si="368"/>
        <v>0</v>
      </c>
      <c r="AA122" s="113">
        <v>0</v>
      </c>
      <c r="AB122" s="112">
        <f ca="1">INDIRECT(CONCATENATE($AB$10,CONCATENATE(B122,$A122)))</f>
        <v>39083</v>
      </c>
      <c r="AC122" s="112">
        <f ca="1">INDIRECT(CONCATENATE($AB$10,CONCATENATE(C122,$A122)))</f>
        <v>39113</v>
      </c>
      <c r="AF122" s="114">
        <f t="shared" ca="1" si="304"/>
        <v>11615.63</v>
      </c>
      <c r="AG122" s="114">
        <f ca="1">INDIRECT(CONCATENATE($AB$10,CONCATENATE(G122,$A122)))</f>
        <v>0</v>
      </c>
      <c r="AH122" s="114">
        <f ca="1">INDIRECT(CONCATENATE($AB$10,CONCATENATE(H122,$A122)))</f>
        <v>0</v>
      </c>
      <c r="AI122" s="114">
        <f ca="1">INDIRECT(CONCATENATE($AB$10,CONCATENATE(I122,$A122)))</f>
        <v>6384.11</v>
      </c>
      <c r="AJ122" s="114">
        <f ca="1">INDIRECT(CONCATENATE($AB$10,CONCATENATE(J122,$A122)))</f>
        <v>0</v>
      </c>
      <c r="AK122" s="114">
        <f ca="1">INDIRECT(CONCATENATE($AB$10,CONCATENATE(K122,$A122)))</f>
        <v>1499.98</v>
      </c>
      <c r="AN122">
        <f t="shared" si="272"/>
        <v>122</v>
      </c>
      <c r="AQ122" s="114">
        <f t="shared" ca="1" si="336"/>
        <v>1968</v>
      </c>
      <c r="AW122">
        <v>122</v>
      </c>
    </row>
    <row r="123" spans="1:49" x14ac:dyDescent="0.25">
      <c r="A123" s="113">
        <f t="shared" ref="A123:A128" si="369">A122+2</f>
        <v>682</v>
      </c>
      <c r="B123" s="113" t="str">
        <f t="shared" ref="B123:B128" si="370">B122</f>
        <v>a</v>
      </c>
      <c r="C123" s="113" t="str">
        <f t="shared" ref="C123:C128" si="371">C122</f>
        <v>b</v>
      </c>
      <c r="D123" s="113" t="str">
        <f t="shared" ref="D123:D128" si="372">D122</f>
        <v>c</v>
      </c>
      <c r="E123" s="113" t="str">
        <f t="shared" ref="E123:E128" si="373">E122</f>
        <v>d</v>
      </c>
      <c r="F123" s="113" t="str">
        <f t="shared" ref="F123:F128" si="374">F122</f>
        <v>e</v>
      </c>
      <c r="G123" s="113" t="str">
        <f t="shared" ref="G123:G128" si="375">G122</f>
        <v>f</v>
      </c>
      <c r="H123" s="113" t="str">
        <f t="shared" ref="H123:H128" si="376">H122</f>
        <v>g</v>
      </c>
      <c r="I123" s="113" t="str">
        <f t="shared" ref="I123:I128" si="377">I122</f>
        <v>h</v>
      </c>
      <c r="J123" s="113" t="str">
        <f t="shared" ref="J123:J128" si="378">J122</f>
        <v>i</v>
      </c>
      <c r="K123" s="113" t="str">
        <f t="shared" ref="K123:K128" si="379">K122</f>
        <v>j</v>
      </c>
      <c r="L123" s="113" t="str">
        <f t="shared" ref="L123:L128" si="380">L122</f>
        <v>k</v>
      </c>
      <c r="M123" s="113" t="str">
        <f t="shared" ref="M123:M128" si="381">M122</f>
        <v>l</v>
      </c>
      <c r="N123" s="113" t="str">
        <f t="shared" ref="N123:N128" si="382">N122</f>
        <v>m</v>
      </c>
      <c r="O123" s="113">
        <f t="shared" ref="O123:O128" si="383">O122</f>
        <v>0</v>
      </c>
      <c r="P123" s="113">
        <f t="shared" ref="P123:P128" si="384">P122</f>
        <v>0</v>
      </c>
      <c r="Q123" s="113" t="str">
        <f t="shared" ref="Q123:Q128" si="385">Q122</f>
        <v>p</v>
      </c>
      <c r="R123" s="113">
        <f t="shared" ref="R123:R128" si="386">R122</f>
        <v>0</v>
      </c>
      <c r="S123" s="113">
        <f t="shared" ref="S123:S128" si="387">S122</f>
        <v>0</v>
      </c>
      <c r="T123" s="113">
        <f t="shared" ref="T123:T128" si="388">T122</f>
        <v>0</v>
      </c>
      <c r="U123" s="113">
        <f t="shared" ref="U123:U128" si="389">U122</f>
        <v>0</v>
      </c>
      <c r="V123" s="113">
        <f t="shared" ref="V123:V128" si="390">V122</f>
        <v>0</v>
      </c>
      <c r="W123" s="113">
        <f t="shared" ref="W123:W128" si="391">W122</f>
        <v>0</v>
      </c>
      <c r="X123" s="113">
        <f t="shared" ref="X123:X128" si="392">X122</f>
        <v>0</v>
      </c>
      <c r="AA123" s="113">
        <v>3</v>
      </c>
      <c r="AB123" s="112">
        <f t="shared" ref="AB123:AC128" ca="1" si="393">AB122</f>
        <v>39083</v>
      </c>
      <c r="AC123" s="112">
        <f t="shared" ca="1" si="393"/>
        <v>39113</v>
      </c>
      <c r="AF123" s="114">
        <f t="shared" ca="1" si="304"/>
        <v>12101.92</v>
      </c>
      <c r="AG123" s="114">
        <f t="shared" ref="AG123:AG128" ca="1" si="394">INDIRECT(CONCATENATE($AB$10,CONCATENATE(G123,$A123)))</f>
        <v>0</v>
      </c>
      <c r="AH123" s="114">
        <f t="shared" ref="AH123:AH128" ca="1" si="395">INDIRECT(CONCATENATE($AB$10,CONCATENATE(H123,$A123)))</f>
        <v>0</v>
      </c>
      <c r="AI123" s="114">
        <f t="shared" ref="AI123:AI128" ca="1" si="396">INDIRECT(CONCATENATE($AB$10,CONCATENATE(I123,$A123)))</f>
        <v>6384.11</v>
      </c>
      <c r="AJ123" s="114">
        <f t="shared" ref="AJ123:AJ128" ca="1" si="397">INDIRECT(CONCATENATE($AB$10,CONCATENATE(J123,$A123)))</f>
        <v>0</v>
      </c>
      <c r="AK123" s="114">
        <f t="shared" ref="AK123:AK128" ca="1" si="398">INDIRECT(CONCATENATE($AB$10,CONCATENATE(K123,$A123)))</f>
        <v>1540.5</v>
      </c>
      <c r="AN123">
        <f t="shared" si="272"/>
        <v>123</v>
      </c>
      <c r="AQ123" s="114">
        <f t="shared" ca="1" si="336"/>
        <v>1968</v>
      </c>
      <c r="AW123">
        <v>123</v>
      </c>
    </row>
    <row r="124" spans="1:49" x14ac:dyDescent="0.25">
      <c r="A124" s="113">
        <f t="shared" si="369"/>
        <v>684</v>
      </c>
      <c r="B124" s="113" t="str">
        <f t="shared" si="370"/>
        <v>a</v>
      </c>
      <c r="C124" s="113" t="str">
        <f t="shared" si="371"/>
        <v>b</v>
      </c>
      <c r="D124" s="113" t="str">
        <f t="shared" si="372"/>
        <v>c</v>
      </c>
      <c r="E124" s="113" t="str">
        <f t="shared" si="373"/>
        <v>d</v>
      </c>
      <c r="F124" s="113" t="str">
        <f t="shared" si="374"/>
        <v>e</v>
      </c>
      <c r="G124" s="113" t="str">
        <f t="shared" si="375"/>
        <v>f</v>
      </c>
      <c r="H124" s="113" t="str">
        <f t="shared" si="376"/>
        <v>g</v>
      </c>
      <c r="I124" s="113" t="str">
        <f t="shared" si="377"/>
        <v>h</v>
      </c>
      <c r="J124" s="113" t="str">
        <f t="shared" si="378"/>
        <v>i</v>
      </c>
      <c r="K124" s="113" t="str">
        <f t="shared" si="379"/>
        <v>j</v>
      </c>
      <c r="L124" s="113" t="str">
        <f t="shared" si="380"/>
        <v>k</v>
      </c>
      <c r="M124" s="113" t="str">
        <f t="shared" si="381"/>
        <v>l</v>
      </c>
      <c r="N124" s="113" t="str">
        <f t="shared" si="382"/>
        <v>m</v>
      </c>
      <c r="O124" s="113">
        <f t="shared" si="383"/>
        <v>0</v>
      </c>
      <c r="P124" s="113">
        <f t="shared" si="384"/>
        <v>0</v>
      </c>
      <c r="Q124" s="113" t="str">
        <f t="shared" si="385"/>
        <v>p</v>
      </c>
      <c r="R124" s="113">
        <f t="shared" si="386"/>
        <v>0</v>
      </c>
      <c r="S124" s="113">
        <f t="shared" si="387"/>
        <v>0</v>
      </c>
      <c r="T124" s="113">
        <f t="shared" si="388"/>
        <v>0</v>
      </c>
      <c r="U124" s="113">
        <f t="shared" si="389"/>
        <v>0</v>
      </c>
      <c r="V124" s="113">
        <f t="shared" si="390"/>
        <v>0</v>
      </c>
      <c r="W124" s="113">
        <f t="shared" si="391"/>
        <v>0</v>
      </c>
      <c r="X124" s="113">
        <f t="shared" si="392"/>
        <v>0</v>
      </c>
      <c r="AA124" s="113">
        <v>9</v>
      </c>
      <c r="AB124" s="112">
        <f t="shared" ca="1" si="393"/>
        <v>39083</v>
      </c>
      <c r="AC124" s="112">
        <f t="shared" ca="1" si="393"/>
        <v>39113</v>
      </c>
      <c r="AF124" s="114">
        <f t="shared" ca="1" si="304"/>
        <v>13599.61</v>
      </c>
      <c r="AG124" s="114">
        <f t="shared" ca="1" si="394"/>
        <v>0</v>
      </c>
      <c r="AH124" s="114">
        <f t="shared" ca="1" si="395"/>
        <v>0</v>
      </c>
      <c r="AI124" s="114">
        <f t="shared" ca="1" si="396"/>
        <v>6384.11</v>
      </c>
      <c r="AJ124" s="114">
        <f t="shared" ca="1" si="397"/>
        <v>0</v>
      </c>
      <c r="AK124" s="114">
        <f t="shared" ca="1" si="398"/>
        <v>1665.31</v>
      </c>
      <c r="AN124">
        <f t="shared" si="272"/>
        <v>124</v>
      </c>
      <c r="AQ124" s="114">
        <f t="shared" ca="1" si="336"/>
        <v>1968</v>
      </c>
      <c r="AW124">
        <v>124</v>
      </c>
    </row>
    <row r="125" spans="1:49" x14ac:dyDescent="0.25">
      <c r="A125" s="113">
        <f t="shared" si="369"/>
        <v>686</v>
      </c>
      <c r="B125" s="113" t="str">
        <f t="shared" si="370"/>
        <v>a</v>
      </c>
      <c r="C125" s="113" t="str">
        <f t="shared" si="371"/>
        <v>b</v>
      </c>
      <c r="D125" s="113" t="str">
        <f t="shared" si="372"/>
        <v>c</v>
      </c>
      <c r="E125" s="113" t="str">
        <f t="shared" si="373"/>
        <v>d</v>
      </c>
      <c r="F125" s="113" t="str">
        <f t="shared" si="374"/>
        <v>e</v>
      </c>
      <c r="G125" s="113" t="str">
        <f t="shared" si="375"/>
        <v>f</v>
      </c>
      <c r="H125" s="113" t="str">
        <f t="shared" si="376"/>
        <v>g</v>
      </c>
      <c r="I125" s="113" t="str">
        <f t="shared" si="377"/>
        <v>h</v>
      </c>
      <c r="J125" s="113" t="str">
        <f t="shared" si="378"/>
        <v>i</v>
      </c>
      <c r="K125" s="113" t="str">
        <f t="shared" si="379"/>
        <v>j</v>
      </c>
      <c r="L125" s="113" t="str">
        <f t="shared" si="380"/>
        <v>k</v>
      </c>
      <c r="M125" s="113" t="str">
        <f t="shared" si="381"/>
        <v>l</v>
      </c>
      <c r="N125" s="113" t="str">
        <f t="shared" si="382"/>
        <v>m</v>
      </c>
      <c r="O125" s="113">
        <f t="shared" si="383"/>
        <v>0</v>
      </c>
      <c r="P125" s="113">
        <f t="shared" si="384"/>
        <v>0</v>
      </c>
      <c r="Q125" s="113" t="str">
        <f t="shared" si="385"/>
        <v>p</v>
      </c>
      <c r="R125" s="113">
        <f t="shared" si="386"/>
        <v>0</v>
      </c>
      <c r="S125" s="113">
        <f t="shared" si="387"/>
        <v>0</v>
      </c>
      <c r="T125" s="113">
        <f t="shared" si="388"/>
        <v>0</v>
      </c>
      <c r="U125" s="113">
        <f t="shared" si="389"/>
        <v>0</v>
      </c>
      <c r="V125" s="113">
        <f t="shared" si="390"/>
        <v>0</v>
      </c>
      <c r="W125" s="113">
        <f t="shared" si="391"/>
        <v>0</v>
      </c>
      <c r="X125" s="113">
        <f t="shared" si="392"/>
        <v>0</v>
      </c>
      <c r="AA125" s="113">
        <v>15</v>
      </c>
      <c r="AB125" s="112">
        <f t="shared" ca="1" si="393"/>
        <v>39083</v>
      </c>
      <c r="AC125" s="112">
        <f t="shared" ca="1" si="393"/>
        <v>39113</v>
      </c>
      <c r="AF125" s="114">
        <f t="shared" ca="1" si="304"/>
        <v>15348.78</v>
      </c>
      <c r="AG125" s="114">
        <f t="shared" ca="1" si="394"/>
        <v>0</v>
      </c>
      <c r="AH125" s="114">
        <f t="shared" ca="1" si="395"/>
        <v>0</v>
      </c>
      <c r="AI125" s="114">
        <f t="shared" ca="1" si="396"/>
        <v>6384.11</v>
      </c>
      <c r="AJ125" s="114">
        <f t="shared" ca="1" si="397"/>
        <v>0</v>
      </c>
      <c r="AK125" s="114">
        <f t="shared" ca="1" si="398"/>
        <v>1811.07</v>
      </c>
      <c r="AN125">
        <f t="shared" si="272"/>
        <v>125</v>
      </c>
      <c r="AQ125" s="114">
        <f t="shared" ca="1" si="336"/>
        <v>2424</v>
      </c>
      <c r="AW125">
        <v>125</v>
      </c>
    </row>
    <row r="126" spans="1:49" x14ac:dyDescent="0.25">
      <c r="A126" s="113">
        <f t="shared" si="369"/>
        <v>688</v>
      </c>
      <c r="B126" s="113" t="str">
        <f t="shared" si="370"/>
        <v>a</v>
      </c>
      <c r="C126" s="113" t="str">
        <f t="shared" si="371"/>
        <v>b</v>
      </c>
      <c r="D126" s="113" t="str">
        <f t="shared" si="372"/>
        <v>c</v>
      </c>
      <c r="E126" s="113" t="str">
        <f t="shared" si="373"/>
        <v>d</v>
      </c>
      <c r="F126" s="113" t="str">
        <f t="shared" si="374"/>
        <v>e</v>
      </c>
      <c r="G126" s="113" t="str">
        <f t="shared" si="375"/>
        <v>f</v>
      </c>
      <c r="H126" s="113" t="str">
        <f t="shared" si="376"/>
        <v>g</v>
      </c>
      <c r="I126" s="113" t="str">
        <f t="shared" si="377"/>
        <v>h</v>
      </c>
      <c r="J126" s="113" t="str">
        <f t="shared" si="378"/>
        <v>i</v>
      </c>
      <c r="K126" s="113" t="str">
        <f t="shared" si="379"/>
        <v>j</v>
      </c>
      <c r="L126" s="113" t="str">
        <f t="shared" si="380"/>
        <v>k</v>
      </c>
      <c r="M126" s="113" t="str">
        <f t="shared" si="381"/>
        <v>l</v>
      </c>
      <c r="N126" s="113" t="str">
        <f t="shared" si="382"/>
        <v>m</v>
      </c>
      <c r="O126" s="113">
        <f t="shared" si="383"/>
        <v>0</v>
      </c>
      <c r="P126" s="113">
        <f t="shared" si="384"/>
        <v>0</v>
      </c>
      <c r="Q126" s="113" t="str">
        <f t="shared" si="385"/>
        <v>p</v>
      </c>
      <c r="R126" s="113">
        <f t="shared" si="386"/>
        <v>0</v>
      </c>
      <c r="S126" s="113">
        <f t="shared" si="387"/>
        <v>0</v>
      </c>
      <c r="T126" s="113">
        <f t="shared" si="388"/>
        <v>0</v>
      </c>
      <c r="U126" s="113">
        <f t="shared" si="389"/>
        <v>0</v>
      </c>
      <c r="V126" s="113">
        <f t="shared" si="390"/>
        <v>0</v>
      </c>
      <c r="W126" s="113">
        <f t="shared" si="391"/>
        <v>0</v>
      </c>
      <c r="X126" s="113">
        <f t="shared" si="392"/>
        <v>0</v>
      </c>
      <c r="AA126" s="113">
        <v>21</v>
      </c>
      <c r="AB126" s="112">
        <f t="shared" ca="1" si="393"/>
        <v>39083</v>
      </c>
      <c r="AC126" s="112">
        <f t="shared" ca="1" si="393"/>
        <v>39113</v>
      </c>
      <c r="AF126" s="114">
        <f t="shared" ca="1" si="304"/>
        <v>17046.5</v>
      </c>
      <c r="AG126" s="114">
        <f t="shared" ca="1" si="394"/>
        <v>0</v>
      </c>
      <c r="AH126" s="114">
        <f t="shared" ca="1" si="395"/>
        <v>0</v>
      </c>
      <c r="AI126" s="114">
        <f t="shared" ca="1" si="396"/>
        <v>6384.11</v>
      </c>
      <c r="AJ126" s="114">
        <f t="shared" ca="1" si="397"/>
        <v>0</v>
      </c>
      <c r="AK126" s="114">
        <f t="shared" ca="1" si="398"/>
        <v>1952.55</v>
      </c>
      <c r="AN126">
        <f t="shared" si="272"/>
        <v>126</v>
      </c>
      <c r="AQ126" s="114">
        <f t="shared" ca="1" si="336"/>
        <v>2424</v>
      </c>
      <c r="AW126">
        <v>126</v>
      </c>
    </row>
    <row r="127" spans="1:49" x14ac:dyDescent="0.25">
      <c r="A127" s="113">
        <f t="shared" si="369"/>
        <v>690</v>
      </c>
      <c r="B127" s="113" t="str">
        <f t="shared" si="370"/>
        <v>a</v>
      </c>
      <c r="C127" s="113" t="str">
        <f t="shared" si="371"/>
        <v>b</v>
      </c>
      <c r="D127" s="113" t="str">
        <f t="shared" si="372"/>
        <v>c</v>
      </c>
      <c r="E127" s="113" t="str">
        <f t="shared" si="373"/>
        <v>d</v>
      </c>
      <c r="F127" s="113" t="str">
        <f t="shared" si="374"/>
        <v>e</v>
      </c>
      <c r="G127" s="113" t="str">
        <f t="shared" si="375"/>
        <v>f</v>
      </c>
      <c r="H127" s="113" t="str">
        <f t="shared" si="376"/>
        <v>g</v>
      </c>
      <c r="I127" s="113" t="str">
        <f t="shared" si="377"/>
        <v>h</v>
      </c>
      <c r="J127" s="113" t="str">
        <f t="shared" si="378"/>
        <v>i</v>
      </c>
      <c r="K127" s="113" t="str">
        <f t="shared" si="379"/>
        <v>j</v>
      </c>
      <c r="L127" s="113" t="str">
        <f t="shared" si="380"/>
        <v>k</v>
      </c>
      <c r="M127" s="113" t="str">
        <f t="shared" si="381"/>
        <v>l</v>
      </c>
      <c r="N127" s="113" t="str">
        <f t="shared" si="382"/>
        <v>m</v>
      </c>
      <c r="O127" s="113">
        <f t="shared" si="383"/>
        <v>0</v>
      </c>
      <c r="P127" s="113">
        <f t="shared" si="384"/>
        <v>0</v>
      </c>
      <c r="Q127" s="113" t="str">
        <f t="shared" si="385"/>
        <v>p</v>
      </c>
      <c r="R127" s="113">
        <f t="shared" si="386"/>
        <v>0</v>
      </c>
      <c r="S127" s="113">
        <f t="shared" si="387"/>
        <v>0</v>
      </c>
      <c r="T127" s="113">
        <f t="shared" si="388"/>
        <v>0</v>
      </c>
      <c r="U127" s="113">
        <f t="shared" si="389"/>
        <v>0</v>
      </c>
      <c r="V127" s="113">
        <f t="shared" si="390"/>
        <v>0</v>
      </c>
      <c r="W127" s="113">
        <f t="shared" si="391"/>
        <v>0</v>
      </c>
      <c r="X127" s="113">
        <f t="shared" si="392"/>
        <v>0</v>
      </c>
      <c r="AA127" s="113">
        <v>28</v>
      </c>
      <c r="AB127" s="112">
        <f t="shared" ca="1" si="393"/>
        <v>39083</v>
      </c>
      <c r="AC127" s="112">
        <f t="shared" ca="1" si="393"/>
        <v>39113</v>
      </c>
      <c r="AF127" s="114">
        <f t="shared" ca="1" si="304"/>
        <v>18721.55</v>
      </c>
      <c r="AG127" s="114">
        <f t="shared" ca="1" si="394"/>
        <v>0</v>
      </c>
      <c r="AH127" s="114">
        <f t="shared" ca="1" si="395"/>
        <v>0</v>
      </c>
      <c r="AI127" s="114">
        <f t="shared" ca="1" si="396"/>
        <v>6384.11</v>
      </c>
      <c r="AJ127" s="114">
        <f t="shared" ca="1" si="397"/>
        <v>0</v>
      </c>
      <c r="AK127" s="114">
        <f t="shared" ca="1" si="398"/>
        <v>2092.14</v>
      </c>
      <c r="AN127">
        <f t="shared" si="272"/>
        <v>127</v>
      </c>
      <c r="AQ127" s="114">
        <f t="shared" ca="1" si="336"/>
        <v>3090</v>
      </c>
      <c r="AW127">
        <v>127</v>
      </c>
    </row>
    <row r="128" spans="1:49" x14ac:dyDescent="0.25">
      <c r="A128" s="113">
        <f t="shared" si="369"/>
        <v>692</v>
      </c>
      <c r="B128" s="113" t="str">
        <f t="shared" si="370"/>
        <v>a</v>
      </c>
      <c r="C128" s="113" t="str">
        <f t="shared" si="371"/>
        <v>b</v>
      </c>
      <c r="D128" s="113" t="str">
        <f t="shared" si="372"/>
        <v>c</v>
      </c>
      <c r="E128" s="113" t="str">
        <f t="shared" si="373"/>
        <v>d</v>
      </c>
      <c r="F128" s="113" t="str">
        <f t="shared" si="374"/>
        <v>e</v>
      </c>
      <c r="G128" s="113" t="str">
        <f t="shared" si="375"/>
        <v>f</v>
      </c>
      <c r="H128" s="113" t="str">
        <f t="shared" si="376"/>
        <v>g</v>
      </c>
      <c r="I128" s="113" t="str">
        <f t="shared" si="377"/>
        <v>h</v>
      </c>
      <c r="J128" s="113" t="str">
        <f t="shared" si="378"/>
        <v>i</v>
      </c>
      <c r="K128" s="113" t="str">
        <f t="shared" si="379"/>
        <v>j</v>
      </c>
      <c r="L128" s="113" t="str">
        <f t="shared" si="380"/>
        <v>k</v>
      </c>
      <c r="M128" s="113" t="str">
        <f t="shared" si="381"/>
        <v>l</v>
      </c>
      <c r="N128" s="113" t="str">
        <f t="shared" si="382"/>
        <v>m</v>
      </c>
      <c r="O128" s="113">
        <f t="shared" si="383"/>
        <v>0</v>
      </c>
      <c r="P128" s="113">
        <f t="shared" si="384"/>
        <v>0</v>
      </c>
      <c r="Q128" s="113" t="str">
        <f t="shared" si="385"/>
        <v>p</v>
      </c>
      <c r="R128" s="113">
        <f t="shared" si="386"/>
        <v>0</v>
      </c>
      <c r="S128" s="113">
        <f t="shared" si="387"/>
        <v>0</v>
      </c>
      <c r="T128" s="113">
        <f t="shared" si="388"/>
        <v>0</v>
      </c>
      <c r="U128" s="113">
        <f t="shared" si="389"/>
        <v>0</v>
      </c>
      <c r="V128" s="113">
        <f t="shared" si="390"/>
        <v>0</v>
      </c>
      <c r="W128" s="113">
        <f t="shared" si="391"/>
        <v>0</v>
      </c>
      <c r="X128" s="113">
        <f t="shared" si="392"/>
        <v>0</v>
      </c>
      <c r="AA128" s="113">
        <v>35</v>
      </c>
      <c r="AB128" s="112">
        <f t="shared" ca="1" si="393"/>
        <v>39083</v>
      </c>
      <c r="AC128" s="112">
        <f t="shared" ca="1" si="393"/>
        <v>39113</v>
      </c>
      <c r="AF128" s="114">
        <f t="shared" ca="1" si="304"/>
        <v>19968.8</v>
      </c>
      <c r="AG128" s="114">
        <f t="shared" ca="1" si="394"/>
        <v>0</v>
      </c>
      <c r="AH128" s="114">
        <f t="shared" ca="1" si="395"/>
        <v>0</v>
      </c>
      <c r="AI128" s="114">
        <f t="shared" ca="1" si="396"/>
        <v>6384.11</v>
      </c>
      <c r="AJ128" s="114">
        <f t="shared" ca="1" si="397"/>
        <v>0</v>
      </c>
      <c r="AK128" s="114">
        <f t="shared" ca="1" si="398"/>
        <v>2196.08</v>
      </c>
      <c r="AN128">
        <f t="shared" si="272"/>
        <v>128</v>
      </c>
      <c r="AQ128" s="114">
        <f t="shared" ca="1" si="336"/>
        <v>3090</v>
      </c>
      <c r="AW128">
        <v>128</v>
      </c>
    </row>
    <row r="129" spans="1:49" x14ac:dyDescent="0.25">
      <c r="A129" s="113">
        <f>A122+20</f>
        <v>700</v>
      </c>
      <c r="B129" s="113" t="str">
        <f>B122</f>
        <v>a</v>
      </c>
      <c r="C129" s="113" t="str">
        <f t="shared" ref="C129:X129" si="399">C122</f>
        <v>b</v>
      </c>
      <c r="D129" s="113" t="str">
        <f t="shared" si="399"/>
        <v>c</v>
      </c>
      <c r="E129" s="113" t="str">
        <f t="shared" si="399"/>
        <v>d</v>
      </c>
      <c r="F129" s="113" t="str">
        <f t="shared" si="399"/>
        <v>e</v>
      </c>
      <c r="G129" s="113" t="str">
        <f t="shared" si="399"/>
        <v>f</v>
      </c>
      <c r="H129" s="113" t="str">
        <f t="shared" si="399"/>
        <v>g</v>
      </c>
      <c r="I129" s="113" t="str">
        <f t="shared" si="399"/>
        <v>h</v>
      </c>
      <c r="J129" s="113" t="str">
        <f t="shared" si="399"/>
        <v>i</v>
      </c>
      <c r="K129" s="113" t="str">
        <f t="shared" si="399"/>
        <v>j</v>
      </c>
      <c r="L129" s="113" t="str">
        <f t="shared" si="399"/>
        <v>k</v>
      </c>
      <c r="M129" s="113" t="str">
        <f t="shared" si="399"/>
        <v>l</v>
      </c>
      <c r="N129" s="113" t="str">
        <f t="shared" si="399"/>
        <v>m</v>
      </c>
      <c r="O129" s="113">
        <f t="shared" si="399"/>
        <v>0</v>
      </c>
      <c r="P129" s="113">
        <f t="shared" si="399"/>
        <v>0</v>
      </c>
      <c r="Q129" s="113" t="str">
        <f t="shared" si="399"/>
        <v>p</v>
      </c>
      <c r="R129" s="113">
        <f t="shared" si="399"/>
        <v>0</v>
      </c>
      <c r="S129" s="113">
        <f t="shared" si="399"/>
        <v>0</v>
      </c>
      <c r="T129" s="113">
        <f t="shared" si="399"/>
        <v>0</v>
      </c>
      <c r="U129" s="113">
        <f t="shared" si="399"/>
        <v>0</v>
      </c>
      <c r="V129" s="113">
        <f t="shared" si="399"/>
        <v>0</v>
      </c>
      <c r="W129" s="113">
        <f t="shared" si="399"/>
        <v>0</v>
      </c>
      <c r="X129" s="113">
        <f t="shared" si="399"/>
        <v>0</v>
      </c>
      <c r="AA129" s="113">
        <v>0</v>
      </c>
      <c r="AB129" s="112">
        <f ca="1">INDIRECT(CONCATENATE($AB$10,CONCATENATE(B129,$A129)))</f>
        <v>39114</v>
      </c>
      <c r="AC129" s="112">
        <f ca="1">INDIRECT(CONCATENATE($AB$10,CONCATENATE(C129,$A129)))</f>
        <v>39446</v>
      </c>
      <c r="AF129" s="114">
        <f t="shared" ca="1" si="304"/>
        <v>12106.43</v>
      </c>
      <c r="AG129" s="114">
        <f ca="1">INDIRECT(CONCATENATE($AB$10,CONCATENATE(G129,$A129)))</f>
        <v>0</v>
      </c>
      <c r="AH129" s="114">
        <f ca="1">INDIRECT(CONCATENATE($AB$10,CONCATENATE(H129,$A129)))</f>
        <v>0</v>
      </c>
      <c r="AI129" s="114">
        <f ca="1">INDIRECT(CONCATENATE($AB$10,CONCATENATE(I129,$A129)))</f>
        <v>6384.11</v>
      </c>
      <c r="AJ129" s="114">
        <f ca="1">INDIRECT(CONCATENATE($AB$10,CONCATENATE(J129,$A129)))</f>
        <v>0</v>
      </c>
      <c r="AK129" s="114">
        <f ca="1">INDIRECT(CONCATENATE($AB$10,CONCATENATE(K129,$A129)))</f>
        <v>1540.88</v>
      </c>
      <c r="AN129">
        <f t="shared" si="272"/>
        <v>129</v>
      </c>
      <c r="AQ129" s="114">
        <f t="shared" ca="1" si="336"/>
        <v>1968</v>
      </c>
      <c r="AW129">
        <v>129</v>
      </c>
    </row>
    <row r="130" spans="1:49" x14ac:dyDescent="0.25">
      <c r="A130" s="113">
        <f t="shared" ref="A130:A135" si="400">A129+2</f>
        <v>702</v>
      </c>
      <c r="B130" s="113" t="str">
        <f t="shared" ref="B130:B135" si="401">B129</f>
        <v>a</v>
      </c>
      <c r="C130" s="113" t="str">
        <f t="shared" ref="C130:C135" si="402">C129</f>
        <v>b</v>
      </c>
      <c r="D130" s="113" t="str">
        <f t="shared" ref="D130:D135" si="403">D129</f>
        <v>c</v>
      </c>
      <c r="E130" s="113" t="str">
        <f t="shared" ref="E130:E135" si="404">E129</f>
        <v>d</v>
      </c>
      <c r="F130" s="113" t="str">
        <f t="shared" ref="F130:F135" si="405">F129</f>
        <v>e</v>
      </c>
      <c r="G130" s="113" t="str">
        <f t="shared" ref="G130:G135" si="406">G129</f>
        <v>f</v>
      </c>
      <c r="H130" s="113" t="str">
        <f t="shared" ref="H130:H135" si="407">H129</f>
        <v>g</v>
      </c>
      <c r="I130" s="113" t="str">
        <f t="shared" ref="I130:I135" si="408">I129</f>
        <v>h</v>
      </c>
      <c r="J130" s="113" t="str">
        <f t="shared" ref="J130:J135" si="409">J129</f>
        <v>i</v>
      </c>
      <c r="K130" s="113" t="str">
        <f t="shared" ref="K130:K135" si="410">K129</f>
        <v>j</v>
      </c>
      <c r="L130" s="113" t="str">
        <f t="shared" ref="L130:L135" si="411">L129</f>
        <v>k</v>
      </c>
      <c r="M130" s="113" t="str">
        <f t="shared" ref="M130:M135" si="412">M129</f>
        <v>l</v>
      </c>
      <c r="N130" s="113" t="str">
        <f t="shared" ref="N130:N135" si="413">N129</f>
        <v>m</v>
      </c>
      <c r="O130" s="113">
        <f t="shared" ref="O130:O135" si="414">O129</f>
        <v>0</v>
      </c>
      <c r="P130" s="113">
        <f t="shared" ref="P130:P135" si="415">P129</f>
        <v>0</v>
      </c>
      <c r="Q130" s="113" t="str">
        <f t="shared" ref="Q130:Q135" si="416">Q129</f>
        <v>p</v>
      </c>
      <c r="R130" s="113">
        <f t="shared" ref="R130:R135" si="417">R129</f>
        <v>0</v>
      </c>
      <c r="S130" s="113">
        <f t="shared" ref="S130:S135" si="418">S129</f>
        <v>0</v>
      </c>
      <c r="T130" s="113">
        <f t="shared" ref="T130:T135" si="419">T129</f>
        <v>0</v>
      </c>
      <c r="U130" s="113">
        <f t="shared" ref="U130:U135" si="420">U129</f>
        <v>0</v>
      </c>
      <c r="V130" s="113">
        <f t="shared" ref="V130:V135" si="421">V129</f>
        <v>0</v>
      </c>
      <c r="W130" s="113">
        <f t="shared" ref="W130:W135" si="422">W129</f>
        <v>0</v>
      </c>
      <c r="X130" s="113">
        <f t="shared" ref="X130:X135" si="423">X129</f>
        <v>0</v>
      </c>
      <c r="AA130" s="113">
        <v>3</v>
      </c>
      <c r="AB130" s="112">
        <f t="shared" ref="AB130:AC135" ca="1" si="424">AB129</f>
        <v>39114</v>
      </c>
      <c r="AC130" s="112">
        <f t="shared" ca="1" si="424"/>
        <v>39446</v>
      </c>
      <c r="AF130" s="114">
        <f t="shared" ca="1" si="304"/>
        <v>12605.92</v>
      </c>
      <c r="AG130" s="114">
        <f t="shared" ref="AG130:AG135" ca="1" si="425">INDIRECT(CONCATENATE($AB$10,CONCATENATE(G130,$A130)))</f>
        <v>0</v>
      </c>
      <c r="AH130" s="114">
        <f t="shared" ref="AH130:AH135" ca="1" si="426">INDIRECT(CONCATENATE($AB$10,CONCATENATE(H130,$A130)))</f>
        <v>0</v>
      </c>
      <c r="AI130" s="114">
        <f t="shared" ref="AI130:AI135" ca="1" si="427">INDIRECT(CONCATENATE($AB$10,CONCATENATE(I130,$A130)))</f>
        <v>6384.11</v>
      </c>
      <c r="AJ130" s="114">
        <f t="shared" ref="AJ130:AJ135" ca="1" si="428">INDIRECT(CONCATENATE($AB$10,CONCATENATE(J130,$A130)))</f>
        <v>0</v>
      </c>
      <c r="AK130" s="114">
        <f t="shared" ref="AK130:AK135" ca="1" si="429">INDIRECT(CONCATENATE($AB$10,CONCATENATE(K130,$A130)))</f>
        <v>1582.5</v>
      </c>
      <c r="AN130">
        <f t="shared" si="272"/>
        <v>130</v>
      </c>
      <c r="AQ130" s="114">
        <f t="shared" ca="1" si="336"/>
        <v>1968</v>
      </c>
      <c r="AW130">
        <v>130</v>
      </c>
    </row>
    <row r="131" spans="1:49" x14ac:dyDescent="0.25">
      <c r="A131" s="113">
        <f t="shared" si="400"/>
        <v>704</v>
      </c>
      <c r="B131" s="113" t="str">
        <f t="shared" si="401"/>
        <v>a</v>
      </c>
      <c r="C131" s="113" t="str">
        <f t="shared" si="402"/>
        <v>b</v>
      </c>
      <c r="D131" s="113" t="str">
        <f t="shared" si="403"/>
        <v>c</v>
      </c>
      <c r="E131" s="113" t="str">
        <f t="shared" si="404"/>
        <v>d</v>
      </c>
      <c r="F131" s="113" t="str">
        <f t="shared" si="405"/>
        <v>e</v>
      </c>
      <c r="G131" s="113" t="str">
        <f t="shared" si="406"/>
        <v>f</v>
      </c>
      <c r="H131" s="113" t="str">
        <f t="shared" si="407"/>
        <v>g</v>
      </c>
      <c r="I131" s="113" t="str">
        <f t="shared" si="408"/>
        <v>h</v>
      </c>
      <c r="J131" s="113" t="str">
        <f t="shared" si="409"/>
        <v>i</v>
      </c>
      <c r="K131" s="113" t="str">
        <f t="shared" si="410"/>
        <v>j</v>
      </c>
      <c r="L131" s="113" t="str">
        <f t="shared" si="411"/>
        <v>k</v>
      </c>
      <c r="M131" s="113" t="str">
        <f t="shared" si="412"/>
        <v>l</v>
      </c>
      <c r="N131" s="113" t="str">
        <f t="shared" si="413"/>
        <v>m</v>
      </c>
      <c r="O131" s="113">
        <f t="shared" si="414"/>
        <v>0</v>
      </c>
      <c r="P131" s="113">
        <f t="shared" si="415"/>
        <v>0</v>
      </c>
      <c r="Q131" s="113" t="str">
        <f t="shared" si="416"/>
        <v>p</v>
      </c>
      <c r="R131" s="113">
        <f t="shared" si="417"/>
        <v>0</v>
      </c>
      <c r="S131" s="113">
        <f t="shared" si="418"/>
        <v>0</v>
      </c>
      <c r="T131" s="113">
        <f t="shared" si="419"/>
        <v>0</v>
      </c>
      <c r="U131" s="113">
        <f t="shared" si="420"/>
        <v>0</v>
      </c>
      <c r="V131" s="113">
        <f t="shared" si="421"/>
        <v>0</v>
      </c>
      <c r="W131" s="113">
        <f t="shared" si="422"/>
        <v>0</v>
      </c>
      <c r="X131" s="113">
        <f t="shared" si="423"/>
        <v>0</v>
      </c>
      <c r="AA131" s="113">
        <v>9</v>
      </c>
      <c r="AB131" s="112">
        <f t="shared" ca="1" si="424"/>
        <v>39114</v>
      </c>
      <c r="AC131" s="112">
        <f t="shared" ca="1" si="424"/>
        <v>39446</v>
      </c>
      <c r="AF131" s="114">
        <f t="shared" ca="1" si="304"/>
        <v>14144.41</v>
      </c>
      <c r="AG131" s="114">
        <f t="shared" ca="1" si="425"/>
        <v>0</v>
      </c>
      <c r="AH131" s="114">
        <f t="shared" ca="1" si="426"/>
        <v>0</v>
      </c>
      <c r="AI131" s="114">
        <f t="shared" ca="1" si="427"/>
        <v>6384.11</v>
      </c>
      <c r="AJ131" s="114">
        <f t="shared" ca="1" si="428"/>
        <v>0</v>
      </c>
      <c r="AK131" s="114">
        <f t="shared" ca="1" si="429"/>
        <v>1710.71</v>
      </c>
      <c r="AN131">
        <f t="shared" si="272"/>
        <v>131</v>
      </c>
      <c r="AQ131" s="114">
        <f t="shared" ca="1" si="336"/>
        <v>1968</v>
      </c>
      <c r="AW131">
        <v>131</v>
      </c>
    </row>
    <row r="132" spans="1:49" x14ac:dyDescent="0.25">
      <c r="A132" s="113">
        <f t="shared" si="400"/>
        <v>706</v>
      </c>
      <c r="B132" s="113" t="str">
        <f t="shared" si="401"/>
        <v>a</v>
      </c>
      <c r="C132" s="113" t="str">
        <f t="shared" si="402"/>
        <v>b</v>
      </c>
      <c r="D132" s="113" t="str">
        <f t="shared" si="403"/>
        <v>c</v>
      </c>
      <c r="E132" s="113" t="str">
        <f t="shared" si="404"/>
        <v>d</v>
      </c>
      <c r="F132" s="113" t="str">
        <f t="shared" si="405"/>
        <v>e</v>
      </c>
      <c r="G132" s="113" t="str">
        <f t="shared" si="406"/>
        <v>f</v>
      </c>
      <c r="H132" s="113" t="str">
        <f t="shared" si="407"/>
        <v>g</v>
      </c>
      <c r="I132" s="113" t="str">
        <f t="shared" si="408"/>
        <v>h</v>
      </c>
      <c r="J132" s="113" t="str">
        <f t="shared" si="409"/>
        <v>i</v>
      </c>
      <c r="K132" s="113" t="str">
        <f t="shared" si="410"/>
        <v>j</v>
      </c>
      <c r="L132" s="113" t="str">
        <f t="shared" si="411"/>
        <v>k</v>
      </c>
      <c r="M132" s="113" t="str">
        <f t="shared" si="412"/>
        <v>l</v>
      </c>
      <c r="N132" s="113" t="str">
        <f t="shared" si="413"/>
        <v>m</v>
      </c>
      <c r="O132" s="113">
        <f t="shared" si="414"/>
        <v>0</v>
      </c>
      <c r="P132" s="113">
        <f t="shared" si="415"/>
        <v>0</v>
      </c>
      <c r="Q132" s="113" t="str">
        <f t="shared" si="416"/>
        <v>p</v>
      </c>
      <c r="R132" s="113">
        <f t="shared" si="417"/>
        <v>0</v>
      </c>
      <c r="S132" s="113">
        <f t="shared" si="418"/>
        <v>0</v>
      </c>
      <c r="T132" s="113">
        <f t="shared" si="419"/>
        <v>0</v>
      </c>
      <c r="U132" s="113">
        <f t="shared" si="420"/>
        <v>0</v>
      </c>
      <c r="V132" s="113">
        <f t="shared" si="421"/>
        <v>0</v>
      </c>
      <c r="W132" s="113">
        <f t="shared" si="422"/>
        <v>0</v>
      </c>
      <c r="X132" s="113">
        <f t="shared" si="423"/>
        <v>0</v>
      </c>
      <c r="AA132" s="113">
        <v>15</v>
      </c>
      <c r="AB132" s="112">
        <f t="shared" ca="1" si="424"/>
        <v>39114</v>
      </c>
      <c r="AC132" s="112">
        <f t="shared" ca="1" si="424"/>
        <v>39446</v>
      </c>
      <c r="AF132" s="114">
        <f t="shared" ca="1" si="304"/>
        <v>15941.34</v>
      </c>
      <c r="AG132" s="114">
        <f t="shared" ca="1" si="425"/>
        <v>0</v>
      </c>
      <c r="AH132" s="114">
        <f t="shared" ca="1" si="426"/>
        <v>0</v>
      </c>
      <c r="AI132" s="114">
        <f t="shared" ca="1" si="427"/>
        <v>6384.11</v>
      </c>
      <c r="AJ132" s="114">
        <f t="shared" ca="1" si="428"/>
        <v>0</v>
      </c>
      <c r="AK132" s="114">
        <f t="shared" ca="1" si="429"/>
        <v>1860.45</v>
      </c>
      <c r="AN132">
        <f t="shared" si="272"/>
        <v>132</v>
      </c>
      <c r="AQ132" s="114">
        <f t="shared" ca="1" si="336"/>
        <v>2424</v>
      </c>
      <c r="AW132">
        <v>132</v>
      </c>
    </row>
    <row r="133" spans="1:49" x14ac:dyDescent="0.25">
      <c r="A133" s="113">
        <f t="shared" si="400"/>
        <v>708</v>
      </c>
      <c r="B133" s="113" t="str">
        <f t="shared" si="401"/>
        <v>a</v>
      </c>
      <c r="C133" s="113" t="str">
        <f t="shared" si="402"/>
        <v>b</v>
      </c>
      <c r="D133" s="113" t="str">
        <f t="shared" si="403"/>
        <v>c</v>
      </c>
      <c r="E133" s="113" t="str">
        <f t="shared" si="404"/>
        <v>d</v>
      </c>
      <c r="F133" s="113" t="str">
        <f t="shared" si="405"/>
        <v>e</v>
      </c>
      <c r="G133" s="113" t="str">
        <f t="shared" si="406"/>
        <v>f</v>
      </c>
      <c r="H133" s="113" t="str">
        <f t="shared" si="407"/>
        <v>g</v>
      </c>
      <c r="I133" s="113" t="str">
        <f t="shared" si="408"/>
        <v>h</v>
      </c>
      <c r="J133" s="113" t="str">
        <f t="shared" si="409"/>
        <v>i</v>
      </c>
      <c r="K133" s="113" t="str">
        <f t="shared" si="410"/>
        <v>j</v>
      </c>
      <c r="L133" s="113" t="str">
        <f t="shared" si="411"/>
        <v>k</v>
      </c>
      <c r="M133" s="113" t="str">
        <f t="shared" si="412"/>
        <v>l</v>
      </c>
      <c r="N133" s="113" t="str">
        <f t="shared" si="413"/>
        <v>m</v>
      </c>
      <c r="O133" s="113">
        <f t="shared" si="414"/>
        <v>0</v>
      </c>
      <c r="P133" s="113">
        <f t="shared" si="415"/>
        <v>0</v>
      </c>
      <c r="Q133" s="113" t="str">
        <f t="shared" si="416"/>
        <v>p</v>
      </c>
      <c r="R133" s="113">
        <f t="shared" si="417"/>
        <v>0</v>
      </c>
      <c r="S133" s="113">
        <f t="shared" si="418"/>
        <v>0</v>
      </c>
      <c r="T133" s="113">
        <f t="shared" si="419"/>
        <v>0</v>
      </c>
      <c r="U133" s="113">
        <f t="shared" si="420"/>
        <v>0</v>
      </c>
      <c r="V133" s="113">
        <f t="shared" si="421"/>
        <v>0</v>
      </c>
      <c r="W133" s="113">
        <f t="shared" si="422"/>
        <v>0</v>
      </c>
      <c r="X133" s="113">
        <f t="shared" si="423"/>
        <v>0</v>
      </c>
      <c r="AA133" s="113">
        <v>21</v>
      </c>
      <c r="AB133" s="112">
        <f t="shared" ca="1" si="424"/>
        <v>39114</v>
      </c>
      <c r="AC133" s="112">
        <f t="shared" ca="1" si="424"/>
        <v>39446</v>
      </c>
      <c r="AF133" s="114">
        <f t="shared" ca="1" si="304"/>
        <v>17685.38</v>
      </c>
      <c r="AG133" s="114">
        <f t="shared" ca="1" si="425"/>
        <v>0</v>
      </c>
      <c r="AH133" s="114">
        <f t="shared" ca="1" si="426"/>
        <v>0</v>
      </c>
      <c r="AI133" s="114">
        <f t="shared" ca="1" si="427"/>
        <v>6384.11</v>
      </c>
      <c r="AJ133" s="114">
        <f t="shared" ca="1" si="428"/>
        <v>0</v>
      </c>
      <c r="AK133" s="114">
        <f t="shared" ca="1" si="429"/>
        <v>2005.79</v>
      </c>
      <c r="AN133">
        <f t="shared" si="272"/>
        <v>133</v>
      </c>
      <c r="AQ133" s="114">
        <f t="shared" ca="1" si="336"/>
        <v>2424</v>
      </c>
      <c r="AW133">
        <v>133</v>
      </c>
    </row>
    <row r="134" spans="1:49" x14ac:dyDescent="0.25">
      <c r="A134" s="113">
        <f t="shared" si="400"/>
        <v>710</v>
      </c>
      <c r="B134" s="113" t="str">
        <f t="shared" si="401"/>
        <v>a</v>
      </c>
      <c r="C134" s="113" t="str">
        <f t="shared" si="402"/>
        <v>b</v>
      </c>
      <c r="D134" s="113" t="str">
        <f t="shared" si="403"/>
        <v>c</v>
      </c>
      <c r="E134" s="113" t="str">
        <f t="shared" si="404"/>
        <v>d</v>
      </c>
      <c r="F134" s="113" t="str">
        <f t="shared" si="405"/>
        <v>e</v>
      </c>
      <c r="G134" s="113" t="str">
        <f t="shared" si="406"/>
        <v>f</v>
      </c>
      <c r="H134" s="113" t="str">
        <f t="shared" si="407"/>
        <v>g</v>
      </c>
      <c r="I134" s="113" t="str">
        <f t="shared" si="408"/>
        <v>h</v>
      </c>
      <c r="J134" s="113" t="str">
        <f t="shared" si="409"/>
        <v>i</v>
      </c>
      <c r="K134" s="113" t="str">
        <f t="shared" si="410"/>
        <v>j</v>
      </c>
      <c r="L134" s="113" t="str">
        <f t="shared" si="411"/>
        <v>k</v>
      </c>
      <c r="M134" s="113" t="str">
        <f t="shared" si="412"/>
        <v>l</v>
      </c>
      <c r="N134" s="113" t="str">
        <f t="shared" si="413"/>
        <v>m</v>
      </c>
      <c r="O134" s="113">
        <f t="shared" si="414"/>
        <v>0</v>
      </c>
      <c r="P134" s="113">
        <f t="shared" si="415"/>
        <v>0</v>
      </c>
      <c r="Q134" s="113" t="str">
        <f t="shared" si="416"/>
        <v>p</v>
      </c>
      <c r="R134" s="113">
        <f t="shared" si="417"/>
        <v>0</v>
      </c>
      <c r="S134" s="113">
        <f t="shared" si="418"/>
        <v>0</v>
      </c>
      <c r="T134" s="113">
        <f t="shared" si="419"/>
        <v>0</v>
      </c>
      <c r="U134" s="113">
        <f t="shared" si="420"/>
        <v>0</v>
      </c>
      <c r="V134" s="113">
        <f t="shared" si="421"/>
        <v>0</v>
      </c>
      <c r="W134" s="113">
        <f t="shared" si="422"/>
        <v>0</v>
      </c>
      <c r="X134" s="113">
        <f t="shared" si="423"/>
        <v>0</v>
      </c>
      <c r="AA134" s="113">
        <v>28</v>
      </c>
      <c r="AB134" s="112">
        <f t="shared" ca="1" si="424"/>
        <v>39114</v>
      </c>
      <c r="AC134" s="112">
        <f t="shared" ca="1" si="424"/>
        <v>39446</v>
      </c>
      <c r="AF134" s="114">
        <f t="shared" ca="1" si="304"/>
        <v>19406.03</v>
      </c>
      <c r="AG134" s="114">
        <f t="shared" ca="1" si="425"/>
        <v>0</v>
      </c>
      <c r="AH134" s="114">
        <f t="shared" ca="1" si="426"/>
        <v>0</v>
      </c>
      <c r="AI134" s="114">
        <f t="shared" ca="1" si="427"/>
        <v>6384.11</v>
      </c>
      <c r="AJ134" s="114">
        <f t="shared" ca="1" si="428"/>
        <v>0</v>
      </c>
      <c r="AK134" s="114">
        <f t="shared" ca="1" si="429"/>
        <v>2149.1799999999998</v>
      </c>
      <c r="AN134">
        <f t="shared" si="272"/>
        <v>134</v>
      </c>
      <c r="AQ134" s="114">
        <f t="shared" ca="1" si="336"/>
        <v>3090</v>
      </c>
      <c r="AW134">
        <v>134</v>
      </c>
    </row>
    <row r="135" spans="1:49" x14ac:dyDescent="0.25">
      <c r="A135" s="113">
        <f t="shared" si="400"/>
        <v>712</v>
      </c>
      <c r="B135" s="113" t="str">
        <f t="shared" si="401"/>
        <v>a</v>
      </c>
      <c r="C135" s="113" t="str">
        <f t="shared" si="402"/>
        <v>b</v>
      </c>
      <c r="D135" s="113" t="str">
        <f t="shared" si="403"/>
        <v>c</v>
      </c>
      <c r="E135" s="113" t="str">
        <f t="shared" si="404"/>
        <v>d</v>
      </c>
      <c r="F135" s="113" t="str">
        <f t="shared" si="405"/>
        <v>e</v>
      </c>
      <c r="G135" s="113" t="str">
        <f t="shared" si="406"/>
        <v>f</v>
      </c>
      <c r="H135" s="113" t="str">
        <f t="shared" si="407"/>
        <v>g</v>
      </c>
      <c r="I135" s="113" t="str">
        <f t="shared" si="408"/>
        <v>h</v>
      </c>
      <c r="J135" s="113" t="str">
        <f t="shared" si="409"/>
        <v>i</v>
      </c>
      <c r="K135" s="113" t="str">
        <f t="shared" si="410"/>
        <v>j</v>
      </c>
      <c r="L135" s="113" t="str">
        <f t="shared" si="411"/>
        <v>k</v>
      </c>
      <c r="M135" s="113" t="str">
        <f t="shared" si="412"/>
        <v>l</v>
      </c>
      <c r="N135" s="113" t="str">
        <f t="shared" si="413"/>
        <v>m</v>
      </c>
      <c r="O135" s="113">
        <f t="shared" si="414"/>
        <v>0</v>
      </c>
      <c r="P135" s="113">
        <f t="shared" si="415"/>
        <v>0</v>
      </c>
      <c r="Q135" s="113" t="str">
        <f t="shared" si="416"/>
        <v>p</v>
      </c>
      <c r="R135" s="113">
        <f t="shared" si="417"/>
        <v>0</v>
      </c>
      <c r="S135" s="113">
        <f t="shared" si="418"/>
        <v>0</v>
      </c>
      <c r="T135" s="113">
        <f t="shared" si="419"/>
        <v>0</v>
      </c>
      <c r="U135" s="113">
        <f t="shared" si="420"/>
        <v>0</v>
      </c>
      <c r="V135" s="113">
        <f t="shared" si="421"/>
        <v>0</v>
      </c>
      <c r="W135" s="113">
        <f t="shared" si="422"/>
        <v>0</v>
      </c>
      <c r="X135" s="113">
        <f t="shared" si="423"/>
        <v>0</v>
      </c>
      <c r="AA135" s="113">
        <v>35</v>
      </c>
      <c r="AB135" s="112">
        <f t="shared" ca="1" si="424"/>
        <v>39114</v>
      </c>
      <c r="AC135" s="112">
        <f t="shared" ca="1" si="424"/>
        <v>39446</v>
      </c>
      <c r="AF135" s="114">
        <f t="shared" ca="1" si="304"/>
        <v>20687.36</v>
      </c>
      <c r="AG135" s="114">
        <f t="shared" ca="1" si="425"/>
        <v>0</v>
      </c>
      <c r="AH135" s="114">
        <f t="shared" ca="1" si="426"/>
        <v>0</v>
      </c>
      <c r="AI135" s="114">
        <f t="shared" ca="1" si="427"/>
        <v>6384.11</v>
      </c>
      <c r="AJ135" s="114">
        <f t="shared" ca="1" si="428"/>
        <v>0</v>
      </c>
      <c r="AK135" s="114">
        <f t="shared" ca="1" si="429"/>
        <v>2255.96</v>
      </c>
      <c r="AN135">
        <f t="shared" si="272"/>
        <v>135</v>
      </c>
      <c r="AQ135" s="114">
        <f t="shared" ca="1" si="336"/>
        <v>3090</v>
      </c>
      <c r="AW135">
        <v>135</v>
      </c>
    </row>
    <row r="136" spans="1:49" x14ac:dyDescent="0.25">
      <c r="A136" s="113">
        <f>A129+20</f>
        <v>720</v>
      </c>
      <c r="B136" s="113" t="str">
        <f>B129</f>
        <v>a</v>
      </c>
      <c r="C136" s="113" t="str">
        <f t="shared" ref="C136:X136" si="430">C129</f>
        <v>b</v>
      </c>
      <c r="D136" s="113" t="str">
        <f t="shared" si="430"/>
        <v>c</v>
      </c>
      <c r="E136" s="113" t="str">
        <f t="shared" si="430"/>
        <v>d</v>
      </c>
      <c r="F136" s="113" t="str">
        <f t="shared" si="430"/>
        <v>e</v>
      </c>
      <c r="G136" s="113" t="str">
        <f t="shared" si="430"/>
        <v>f</v>
      </c>
      <c r="H136" s="113" t="str">
        <f t="shared" si="430"/>
        <v>g</v>
      </c>
      <c r="I136" s="113" t="str">
        <f t="shared" si="430"/>
        <v>h</v>
      </c>
      <c r="J136" s="113" t="str">
        <f t="shared" si="430"/>
        <v>i</v>
      </c>
      <c r="K136" s="113" t="str">
        <f t="shared" si="430"/>
        <v>j</v>
      </c>
      <c r="L136" s="113" t="str">
        <f t="shared" si="430"/>
        <v>k</v>
      </c>
      <c r="M136" s="113" t="str">
        <f t="shared" si="430"/>
        <v>l</v>
      </c>
      <c r="N136" s="113" t="str">
        <f t="shared" si="430"/>
        <v>m</v>
      </c>
      <c r="O136" s="113">
        <f t="shared" si="430"/>
        <v>0</v>
      </c>
      <c r="P136" s="113">
        <f t="shared" si="430"/>
        <v>0</v>
      </c>
      <c r="Q136" s="113" t="str">
        <f t="shared" si="430"/>
        <v>p</v>
      </c>
      <c r="R136" s="113">
        <f t="shared" si="430"/>
        <v>0</v>
      </c>
      <c r="S136" s="113">
        <f t="shared" si="430"/>
        <v>0</v>
      </c>
      <c r="T136" s="113">
        <f t="shared" si="430"/>
        <v>0</v>
      </c>
      <c r="U136" s="113">
        <f t="shared" si="430"/>
        <v>0</v>
      </c>
      <c r="V136" s="113">
        <f t="shared" si="430"/>
        <v>0</v>
      </c>
      <c r="W136" s="113">
        <f t="shared" si="430"/>
        <v>0</v>
      </c>
      <c r="X136" s="113">
        <f t="shared" si="430"/>
        <v>0</v>
      </c>
      <c r="AA136" s="113">
        <v>0</v>
      </c>
      <c r="AB136" s="112">
        <f ca="1">INDIRECT(CONCATENATE($AB$10,CONCATENATE(B136,$A136)))</f>
        <v>39447</v>
      </c>
      <c r="AC136" s="112">
        <f ca="1">INDIRECT(CONCATENATE($AB$10,CONCATENATE(C136,$A136)))</f>
        <v>39538</v>
      </c>
      <c r="AF136" s="114">
        <f t="shared" ca="1" si="304"/>
        <v>12225.23</v>
      </c>
      <c r="AG136" s="114">
        <f ca="1">INDIRECT(CONCATENATE($AB$10,CONCATENATE(G136,$A136)))</f>
        <v>0</v>
      </c>
      <c r="AH136" s="114">
        <f ca="1">INDIRECT(CONCATENATE($AB$10,CONCATENATE(H136,$A136)))</f>
        <v>0</v>
      </c>
      <c r="AI136" s="114">
        <f ca="1">INDIRECT(CONCATENATE($AB$10,CONCATENATE(I136,$A136)))</f>
        <v>6384.11</v>
      </c>
      <c r="AJ136" s="114">
        <f ca="1">INDIRECT(CONCATENATE($AB$10,CONCATENATE(J136,$A136)))</f>
        <v>0</v>
      </c>
      <c r="AK136" s="114">
        <f ca="1">INDIRECT(CONCATENATE($AB$10,CONCATENATE(K136,$A136)))</f>
        <v>1550.78</v>
      </c>
      <c r="AN136">
        <f t="shared" si="272"/>
        <v>136</v>
      </c>
      <c r="AQ136" s="114">
        <f t="shared" ca="1" si="336"/>
        <v>1968</v>
      </c>
      <c r="AW136">
        <v>136</v>
      </c>
    </row>
    <row r="137" spans="1:49" x14ac:dyDescent="0.25">
      <c r="A137" s="113">
        <f t="shared" ref="A137:A142" si="431">A136+2</f>
        <v>722</v>
      </c>
      <c r="B137" s="113" t="str">
        <f t="shared" ref="B137:B142" si="432">B136</f>
        <v>a</v>
      </c>
      <c r="C137" s="113" t="str">
        <f t="shared" ref="C137:C142" si="433">C136</f>
        <v>b</v>
      </c>
      <c r="D137" s="113" t="str">
        <f t="shared" ref="D137:D142" si="434">D136</f>
        <v>c</v>
      </c>
      <c r="E137" s="113" t="str">
        <f t="shared" ref="E137:E142" si="435">E136</f>
        <v>d</v>
      </c>
      <c r="F137" s="113" t="str">
        <f t="shared" ref="F137:F142" si="436">F136</f>
        <v>e</v>
      </c>
      <c r="G137" s="113" t="str">
        <f t="shared" ref="G137:G142" si="437">G136</f>
        <v>f</v>
      </c>
      <c r="H137" s="113" t="str">
        <f t="shared" ref="H137:H142" si="438">H136</f>
        <v>g</v>
      </c>
      <c r="I137" s="113" t="str">
        <f t="shared" ref="I137:I142" si="439">I136</f>
        <v>h</v>
      </c>
      <c r="J137" s="113" t="str">
        <f t="shared" ref="J137:J142" si="440">J136</f>
        <v>i</v>
      </c>
      <c r="K137" s="113" t="str">
        <f t="shared" ref="K137:K142" si="441">K136</f>
        <v>j</v>
      </c>
      <c r="L137" s="113" t="str">
        <f t="shared" ref="L137:L142" si="442">L136</f>
        <v>k</v>
      </c>
      <c r="M137" s="113" t="str">
        <f t="shared" ref="M137:M142" si="443">M136</f>
        <v>l</v>
      </c>
      <c r="N137" s="113" t="str">
        <f t="shared" ref="N137:N142" si="444">N136</f>
        <v>m</v>
      </c>
      <c r="O137" s="113">
        <f t="shared" ref="O137:O142" si="445">O136</f>
        <v>0</v>
      </c>
      <c r="P137" s="113">
        <f t="shared" ref="P137:P142" si="446">P136</f>
        <v>0</v>
      </c>
      <c r="Q137" s="113" t="str">
        <f t="shared" ref="Q137:Q142" si="447">Q136</f>
        <v>p</v>
      </c>
      <c r="R137" s="113">
        <f t="shared" ref="R137:R142" si="448">R136</f>
        <v>0</v>
      </c>
      <c r="S137" s="113">
        <f t="shared" ref="S137:S142" si="449">S136</f>
        <v>0</v>
      </c>
      <c r="T137" s="113">
        <f t="shared" ref="T137:T142" si="450">T136</f>
        <v>0</v>
      </c>
      <c r="U137" s="113">
        <f t="shared" ref="U137:U142" si="451">U136</f>
        <v>0</v>
      </c>
      <c r="V137" s="113">
        <f t="shared" ref="V137:V142" si="452">V136</f>
        <v>0</v>
      </c>
      <c r="W137" s="113">
        <f t="shared" ref="W137:W142" si="453">W136</f>
        <v>0</v>
      </c>
      <c r="X137" s="113">
        <f t="shared" ref="X137:X142" si="454">X136</f>
        <v>0</v>
      </c>
      <c r="AA137" s="113">
        <v>3</v>
      </c>
      <c r="AB137" s="112">
        <f t="shared" ref="AB137:AC142" ca="1" si="455">AB136</f>
        <v>39447</v>
      </c>
      <c r="AC137" s="112">
        <f t="shared" ca="1" si="455"/>
        <v>39538</v>
      </c>
      <c r="AF137" s="114">
        <f t="shared" ca="1" si="304"/>
        <v>12727.96</v>
      </c>
      <c r="AG137" s="114">
        <f t="shared" ref="AG137:AG142" ca="1" si="456">INDIRECT(CONCATENATE($AB$10,CONCATENATE(G137,$A137)))</f>
        <v>0</v>
      </c>
      <c r="AH137" s="114">
        <f t="shared" ref="AH137:AH142" ca="1" si="457">INDIRECT(CONCATENATE($AB$10,CONCATENATE(H137,$A137)))</f>
        <v>0</v>
      </c>
      <c r="AI137" s="114">
        <f t="shared" ref="AI137:AI142" ca="1" si="458">INDIRECT(CONCATENATE($AB$10,CONCATENATE(I137,$A137)))</f>
        <v>6384.11</v>
      </c>
      <c r="AJ137" s="114">
        <f t="shared" ref="AJ137:AJ142" ca="1" si="459">INDIRECT(CONCATENATE($AB$10,CONCATENATE(J137,$A137)))</f>
        <v>0</v>
      </c>
      <c r="AK137" s="114">
        <f t="shared" ref="AK137:AK142" ca="1" si="460">INDIRECT(CONCATENATE($AB$10,CONCATENATE(K137,$A137)))</f>
        <v>1592.67</v>
      </c>
      <c r="AN137">
        <f t="shared" si="272"/>
        <v>137</v>
      </c>
      <c r="AQ137" s="114">
        <f t="shared" ca="1" si="336"/>
        <v>1968</v>
      </c>
      <c r="AW137">
        <v>137</v>
      </c>
    </row>
    <row r="138" spans="1:49" x14ac:dyDescent="0.25">
      <c r="A138" s="113">
        <f t="shared" si="431"/>
        <v>724</v>
      </c>
      <c r="B138" s="113" t="str">
        <f t="shared" si="432"/>
        <v>a</v>
      </c>
      <c r="C138" s="113" t="str">
        <f t="shared" si="433"/>
        <v>b</v>
      </c>
      <c r="D138" s="113" t="str">
        <f t="shared" si="434"/>
        <v>c</v>
      </c>
      <c r="E138" s="113" t="str">
        <f t="shared" si="435"/>
        <v>d</v>
      </c>
      <c r="F138" s="113" t="str">
        <f t="shared" si="436"/>
        <v>e</v>
      </c>
      <c r="G138" s="113" t="str">
        <f t="shared" si="437"/>
        <v>f</v>
      </c>
      <c r="H138" s="113" t="str">
        <f t="shared" si="438"/>
        <v>g</v>
      </c>
      <c r="I138" s="113" t="str">
        <f t="shared" si="439"/>
        <v>h</v>
      </c>
      <c r="J138" s="113" t="str">
        <f t="shared" si="440"/>
        <v>i</v>
      </c>
      <c r="K138" s="113" t="str">
        <f t="shared" si="441"/>
        <v>j</v>
      </c>
      <c r="L138" s="113" t="str">
        <f t="shared" si="442"/>
        <v>k</v>
      </c>
      <c r="M138" s="113" t="str">
        <f t="shared" si="443"/>
        <v>l</v>
      </c>
      <c r="N138" s="113" t="str">
        <f t="shared" si="444"/>
        <v>m</v>
      </c>
      <c r="O138" s="113">
        <f t="shared" si="445"/>
        <v>0</v>
      </c>
      <c r="P138" s="113">
        <f t="shared" si="446"/>
        <v>0</v>
      </c>
      <c r="Q138" s="113" t="str">
        <f t="shared" si="447"/>
        <v>p</v>
      </c>
      <c r="R138" s="113">
        <f t="shared" si="448"/>
        <v>0</v>
      </c>
      <c r="S138" s="113">
        <f t="shared" si="449"/>
        <v>0</v>
      </c>
      <c r="T138" s="113">
        <f t="shared" si="450"/>
        <v>0</v>
      </c>
      <c r="U138" s="113">
        <f t="shared" si="451"/>
        <v>0</v>
      </c>
      <c r="V138" s="113">
        <f t="shared" si="452"/>
        <v>0</v>
      </c>
      <c r="W138" s="113">
        <f t="shared" si="453"/>
        <v>0</v>
      </c>
      <c r="X138" s="113">
        <f t="shared" si="454"/>
        <v>0</v>
      </c>
      <c r="AA138" s="113">
        <v>9</v>
      </c>
      <c r="AB138" s="112">
        <f t="shared" ca="1" si="455"/>
        <v>39447</v>
      </c>
      <c r="AC138" s="112">
        <f t="shared" ca="1" si="455"/>
        <v>39538</v>
      </c>
      <c r="AF138" s="114">
        <f t="shared" ca="1" si="304"/>
        <v>14276.17</v>
      </c>
      <c r="AG138" s="114">
        <f t="shared" ca="1" si="456"/>
        <v>0</v>
      </c>
      <c r="AH138" s="114">
        <f t="shared" ca="1" si="457"/>
        <v>0</v>
      </c>
      <c r="AI138" s="114">
        <f t="shared" ca="1" si="458"/>
        <v>6384.11</v>
      </c>
      <c r="AJ138" s="114">
        <f t="shared" ca="1" si="459"/>
        <v>0</v>
      </c>
      <c r="AK138" s="114">
        <f t="shared" ca="1" si="460"/>
        <v>1721.69</v>
      </c>
      <c r="AN138">
        <f t="shared" si="272"/>
        <v>138</v>
      </c>
      <c r="AQ138" s="114">
        <f t="shared" ca="1" si="336"/>
        <v>1968</v>
      </c>
      <c r="AW138">
        <v>138</v>
      </c>
    </row>
    <row r="139" spans="1:49" x14ac:dyDescent="0.25">
      <c r="A139" s="113">
        <f t="shared" si="431"/>
        <v>726</v>
      </c>
      <c r="B139" s="113" t="str">
        <f t="shared" si="432"/>
        <v>a</v>
      </c>
      <c r="C139" s="113" t="str">
        <f t="shared" si="433"/>
        <v>b</v>
      </c>
      <c r="D139" s="113" t="str">
        <f t="shared" si="434"/>
        <v>c</v>
      </c>
      <c r="E139" s="113" t="str">
        <f t="shared" si="435"/>
        <v>d</v>
      </c>
      <c r="F139" s="113" t="str">
        <f t="shared" si="436"/>
        <v>e</v>
      </c>
      <c r="G139" s="113" t="str">
        <f t="shared" si="437"/>
        <v>f</v>
      </c>
      <c r="H139" s="113" t="str">
        <f t="shared" si="438"/>
        <v>g</v>
      </c>
      <c r="I139" s="113" t="str">
        <f t="shared" si="439"/>
        <v>h</v>
      </c>
      <c r="J139" s="113" t="str">
        <f t="shared" si="440"/>
        <v>i</v>
      </c>
      <c r="K139" s="113" t="str">
        <f t="shared" si="441"/>
        <v>j</v>
      </c>
      <c r="L139" s="113" t="str">
        <f t="shared" si="442"/>
        <v>k</v>
      </c>
      <c r="M139" s="113" t="str">
        <f t="shared" si="443"/>
        <v>l</v>
      </c>
      <c r="N139" s="113" t="str">
        <f t="shared" si="444"/>
        <v>m</v>
      </c>
      <c r="O139" s="113">
        <f t="shared" si="445"/>
        <v>0</v>
      </c>
      <c r="P139" s="113">
        <f t="shared" si="446"/>
        <v>0</v>
      </c>
      <c r="Q139" s="113" t="str">
        <f t="shared" si="447"/>
        <v>p</v>
      </c>
      <c r="R139" s="113">
        <f t="shared" si="448"/>
        <v>0</v>
      </c>
      <c r="S139" s="113">
        <f t="shared" si="449"/>
        <v>0</v>
      </c>
      <c r="T139" s="113">
        <f t="shared" si="450"/>
        <v>0</v>
      </c>
      <c r="U139" s="113">
        <f t="shared" si="451"/>
        <v>0</v>
      </c>
      <c r="V139" s="113">
        <f t="shared" si="452"/>
        <v>0</v>
      </c>
      <c r="W139" s="113">
        <f t="shared" si="453"/>
        <v>0</v>
      </c>
      <c r="X139" s="113">
        <f t="shared" si="454"/>
        <v>0</v>
      </c>
      <c r="AA139" s="113">
        <v>15</v>
      </c>
      <c r="AB139" s="112">
        <f t="shared" ca="1" si="455"/>
        <v>39447</v>
      </c>
      <c r="AC139" s="112">
        <f t="shared" ca="1" si="455"/>
        <v>39538</v>
      </c>
      <c r="AF139" s="114">
        <f t="shared" ca="1" si="304"/>
        <v>16084.62</v>
      </c>
      <c r="AG139" s="114">
        <f t="shared" ca="1" si="456"/>
        <v>0</v>
      </c>
      <c r="AH139" s="114">
        <f t="shared" ca="1" si="457"/>
        <v>0</v>
      </c>
      <c r="AI139" s="114">
        <f t="shared" ca="1" si="458"/>
        <v>6384.11</v>
      </c>
      <c r="AJ139" s="114">
        <f t="shared" ca="1" si="459"/>
        <v>0</v>
      </c>
      <c r="AK139" s="114">
        <f t="shared" ca="1" si="460"/>
        <v>1872.39</v>
      </c>
      <c r="AN139">
        <f t="shared" si="272"/>
        <v>139</v>
      </c>
      <c r="AQ139" s="114">
        <f t="shared" ca="1" si="336"/>
        <v>2424</v>
      </c>
      <c r="AW139">
        <v>139</v>
      </c>
    </row>
    <row r="140" spans="1:49" x14ac:dyDescent="0.25">
      <c r="A140" s="113">
        <f t="shared" si="431"/>
        <v>728</v>
      </c>
      <c r="B140" s="113" t="str">
        <f t="shared" si="432"/>
        <v>a</v>
      </c>
      <c r="C140" s="113" t="str">
        <f t="shared" si="433"/>
        <v>b</v>
      </c>
      <c r="D140" s="113" t="str">
        <f t="shared" si="434"/>
        <v>c</v>
      </c>
      <c r="E140" s="113" t="str">
        <f t="shared" si="435"/>
        <v>d</v>
      </c>
      <c r="F140" s="113" t="str">
        <f t="shared" si="436"/>
        <v>e</v>
      </c>
      <c r="G140" s="113" t="str">
        <f t="shared" si="437"/>
        <v>f</v>
      </c>
      <c r="H140" s="113" t="str">
        <f t="shared" si="438"/>
        <v>g</v>
      </c>
      <c r="I140" s="113" t="str">
        <f t="shared" si="439"/>
        <v>h</v>
      </c>
      <c r="J140" s="113" t="str">
        <f t="shared" si="440"/>
        <v>i</v>
      </c>
      <c r="K140" s="113" t="str">
        <f t="shared" si="441"/>
        <v>j</v>
      </c>
      <c r="L140" s="113" t="str">
        <f t="shared" si="442"/>
        <v>k</v>
      </c>
      <c r="M140" s="113" t="str">
        <f t="shared" si="443"/>
        <v>l</v>
      </c>
      <c r="N140" s="113" t="str">
        <f t="shared" si="444"/>
        <v>m</v>
      </c>
      <c r="O140" s="113">
        <f t="shared" si="445"/>
        <v>0</v>
      </c>
      <c r="P140" s="113">
        <f t="shared" si="446"/>
        <v>0</v>
      </c>
      <c r="Q140" s="113" t="str">
        <f t="shared" si="447"/>
        <v>p</v>
      </c>
      <c r="R140" s="113">
        <f t="shared" si="448"/>
        <v>0</v>
      </c>
      <c r="S140" s="113">
        <f t="shared" si="449"/>
        <v>0</v>
      </c>
      <c r="T140" s="113">
        <f t="shared" si="450"/>
        <v>0</v>
      </c>
      <c r="U140" s="113">
        <f t="shared" si="451"/>
        <v>0</v>
      </c>
      <c r="V140" s="113">
        <f t="shared" si="452"/>
        <v>0</v>
      </c>
      <c r="W140" s="113">
        <f t="shared" si="453"/>
        <v>0</v>
      </c>
      <c r="X140" s="113">
        <f t="shared" si="454"/>
        <v>0</v>
      </c>
      <c r="AA140" s="113">
        <v>21</v>
      </c>
      <c r="AB140" s="112">
        <f t="shared" ca="1" si="455"/>
        <v>39447</v>
      </c>
      <c r="AC140" s="112">
        <f t="shared" ca="1" si="455"/>
        <v>39538</v>
      </c>
      <c r="AF140" s="114">
        <f t="shared" ca="1" si="304"/>
        <v>17839.82</v>
      </c>
      <c r="AG140" s="114">
        <f t="shared" ca="1" si="456"/>
        <v>0</v>
      </c>
      <c r="AH140" s="114">
        <f t="shared" ca="1" si="457"/>
        <v>0</v>
      </c>
      <c r="AI140" s="114">
        <f t="shared" ca="1" si="458"/>
        <v>6384.11</v>
      </c>
      <c r="AJ140" s="114">
        <f t="shared" ca="1" si="459"/>
        <v>0</v>
      </c>
      <c r="AK140" s="114">
        <f t="shared" ca="1" si="460"/>
        <v>2018.66</v>
      </c>
      <c r="AN140">
        <f t="shared" si="272"/>
        <v>140</v>
      </c>
      <c r="AQ140" s="114">
        <f t="shared" ca="1" si="336"/>
        <v>2424</v>
      </c>
      <c r="AW140">
        <v>140</v>
      </c>
    </row>
    <row r="141" spans="1:49" x14ac:dyDescent="0.25">
      <c r="A141" s="113">
        <f t="shared" si="431"/>
        <v>730</v>
      </c>
      <c r="B141" s="113" t="str">
        <f t="shared" si="432"/>
        <v>a</v>
      </c>
      <c r="C141" s="113" t="str">
        <f t="shared" si="433"/>
        <v>b</v>
      </c>
      <c r="D141" s="113" t="str">
        <f t="shared" si="434"/>
        <v>c</v>
      </c>
      <c r="E141" s="113" t="str">
        <f t="shared" si="435"/>
        <v>d</v>
      </c>
      <c r="F141" s="113" t="str">
        <f t="shared" si="436"/>
        <v>e</v>
      </c>
      <c r="G141" s="113" t="str">
        <f t="shared" si="437"/>
        <v>f</v>
      </c>
      <c r="H141" s="113" t="str">
        <f t="shared" si="438"/>
        <v>g</v>
      </c>
      <c r="I141" s="113" t="str">
        <f t="shared" si="439"/>
        <v>h</v>
      </c>
      <c r="J141" s="113" t="str">
        <f t="shared" si="440"/>
        <v>i</v>
      </c>
      <c r="K141" s="113" t="str">
        <f t="shared" si="441"/>
        <v>j</v>
      </c>
      <c r="L141" s="113" t="str">
        <f t="shared" si="442"/>
        <v>k</v>
      </c>
      <c r="M141" s="113" t="str">
        <f t="shared" si="443"/>
        <v>l</v>
      </c>
      <c r="N141" s="113" t="str">
        <f t="shared" si="444"/>
        <v>m</v>
      </c>
      <c r="O141" s="113">
        <f t="shared" si="445"/>
        <v>0</v>
      </c>
      <c r="P141" s="113">
        <f t="shared" si="446"/>
        <v>0</v>
      </c>
      <c r="Q141" s="113" t="str">
        <f t="shared" si="447"/>
        <v>p</v>
      </c>
      <c r="R141" s="113">
        <f t="shared" si="448"/>
        <v>0</v>
      </c>
      <c r="S141" s="113">
        <f t="shared" si="449"/>
        <v>0</v>
      </c>
      <c r="T141" s="113">
        <f t="shared" si="450"/>
        <v>0</v>
      </c>
      <c r="U141" s="113">
        <f t="shared" si="451"/>
        <v>0</v>
      </c>
      <c r="V141" s="113">
        <f t="shared" si="452"/>
        <v>0</v>
      </c>
      <c r="W141" s="113">
        <f t="shared" si="453"/>
        <v>0</v>
      </c>
      <c r="X141" s="113">
        <f t="shared" si="454"/>
        <v>0</v>
      </c>
      <c r="AA141" s="113">
        <v>28</v>
      </c>
      <c r="AB141" s="112">
        <f t="shared" ca="1" si="455"/>
        <v>39447</v>
      </c>
      <c r="AC141" s="112">
        <f t="shared" ca="1" si="455"/>
        <v>39538</v>
      </c>
      <c r="AF141" s="114">
        <f t="shared" ca="1" si="304"/>
        <v>19571.63</v>
      </c>
      <c r="AG141" s="114">
        <f t="shared" ca="1" si="456"/>
        <v>0</v>
      </c>
      <c r="AH141" s="114">
        <f t="shared" ca="1" si="457"/>
        <v>0</v>
      </c>
      <c r="AI141" s="114">
        <f t="shared" ca="1" si="458"/>
        <v>6384.11</v>
      </c>
      <c r="AJ141" s="114">
        <f t="shared" ca="1" si="459"/>
        <v>0</v>
      </c>
      <c r="AK141" s="114">
        <f t="shared" ca="1" si="460"/>
        <v>2162.98</v>
      </c>
      <c r="AN141">
        <f t="shared" si="272"/>
        <v>141</v>
      </c>
      <c r="AQ141" s="114">
        <f t="shared" ca="1" si="336"/>
        <v>3090</v>
      </c>
      <c r="AW141">
        <v>141</v>
      </c>
    </row>
    <row r="142" spans="1:49" x14ac:dyDescent="0.25">
      <c r="A142" s="113">
        <f t="shared" si="431"/>
        <v>732</v>
      </c>
      <c r="B142" s="113" t="str">
        <f t="shared" si="432"/>
        <v>a</v>
      </c>
      <c r="C142" s="113" t="str">
        <f t="shared" si="433"/>
        <v>b</v>
      </c>
      <c r="D142" s="113" t="str">
        <f t="shared" si="434"/>
        <v>c</v>
      </c>
      <c r="E142" s="113" t="str">
        <f t="shared" si="435"/>
        <v>d</v>
      </c>
      <c r="F142" s="113" t="str">
        <f t="shared" si="436"/>
        <v>e</v>
      </c>
      <c r="G142" s="113" t="str">
        <f t="shared" si="437"/>
        <v>f</v>
      </c>
      <c r="H142" s="113" t="str">
        <f t="shared" si="438"/>
        <v>g</v>
      </c>
      <c r="I142" s="113" t="str">
        <f t="shared" si="439"/>
        <v>h</v>
      </c>
      <c r="J142" s="113" t="str">
        <f t="shared" si="440"/>
        <v>i</v>
      </c>
      <c r="K142" s="113" t="str">
        <f t="shared" si="441"/>
        <v>j</v>
      </c>
      <c r="L142" s="113" t="str">
        <f t="shared" si="442"/>
        <v>k</v>
      </c>
      <c r="M142" s="113" t="str">
        <f t="shared" si="443"/>
        <v>l</v>
      </c>
      <c r="N142" s="113" t="str">
        <f t="shared" si="444"/>
        <v>m</v>
      </c>
      <c r="O142" s="113">
        <f t="shared" si="445"/>
        <v>0</v>
      </c>
      <c r="P142" s="113">
        <f t="shared" si="446"/>
        <v>0</v>
      </c>
      <c r="Q142" s="113" t="str">
        <f t="shared" si="447"/>
        <v>p</v>
      </c>
      <c r="R142" s="113">
        <f t="shared" si="448"/>
        <v>0</v>
      </c>
      <c r="S142" s="113">
        <f t="shared" si="449"/>
        <v>0</v>
      </c>
      <c r="T142" s="113">
        <f t="shared" si="450"/>
        <v>0</v>
      </c>
      <c r="U142" s="113">
        <f t="shared" si="451"/>
        <v>0</v>
      </c>
      <c r="V142" s="113">
        <f t="shared" si="452"/>
        <v>0</v>
      </c>
      <c r="W142" s="113">
        <f t="shared" si="453"/>
        <v>0</v>
      </c>
      <c r="X142" s="113">
        <f t="shared" si="454"/>
        <v>0</v>
      </c>
      <c r="AA142" s="113">
        <v>35</v>
      </c>
      <c r="AB142" s="112">
        <f t="shared" ca="1" si="455"/>
        <v>39447</v>
      </c>
      <c r="AC142" s="112">
        <f t="shared" ca="1" si="455"/>
        <v>39538</v>
      </c>
      <c r="AF142" s="114">
        <f t="shared" ca="1" si="304"/>
        <v>20861.12</v>
      </c>
      <c r="AG142" s="114">
        <f t="shared" ca="1" si="456"/>
        <v>0</v>
      </c>
      <c r="AH142" s="114">
        <f t="shared" ca="1" si="457"/>
        <v>0</v>
      </c>
      <c r="AI142" s="114">
        <f t="shared" ca="1" si="458"/>
        <v>6384.11</v>
      </c>
      <c r="AJ142" s="114">
        <f t="shared" ca="1" si="459"/>
        <v>0</v>
      </c>
      <c r="AK142" s="114">
        <f t="shared" ca="1" si="460"/>
        <v>2270.44</v>
      </c>
      <c r="AN142">
        <f t="shared" si="272"/>
        <v>142</v>
      </c>
      <c r="AQ142" s="114">
        <f t="shared" ca="1" si="336"/>
        <v>3090</v>
      </c>
      <c r="AW142">
        <v>142</v>
      </c>
    </row>
    <row r="143" spans="1:49" x14ac:dyDescent="0.25">
      <c r="A143" s="113">
        <f>A136+20</f>
        <v>740</v>
      </c>
      <c r="B143" s="113" t="str">
        <f>B136</f>
        <v>a</v>
      </c>
      <c r="C143" s="113" t="str">
        <f t="shared" ref="C143:X143" si="461">C136</f>
        <v>b</v>
      </c>
      <c r="D143" s="113" t="str">
        <f t="shared" si="461"/>
        <v>c</v>
      </c>
      <c r="E143" s="113" t="str">
        <f t="shared" si="461"/>
        <v>d</v>
      </c>
      <c r="F143" s="113" t="str">
        <f t="shared" si="461"/>
        <v>e</v>
      </c>
      <c r="G143" s="113" t="str">
        <f t="shared" si="461"/>
        <v>f</v>
      </c>
      <c r="H143" s="113" t="str">
        <f t="shared" si="461"/>
        <v>g</v>
      </c>
      <c r="I143" s="113" t="str">
        <f t="shared" si="461"/>
        <v>h</v>
      </c>
      <c r="J143" s="113" t="str">
        <f t="shared" si="461"/>
        <v>i</v>
      </c>
      <c r="K143" s="113" t="str">
        <f t="shared" si="461"/>
        <v>j</v>
      </c>
      <c r="L143" s="113" t="str">
        <f t="shared" si="461"/>
        <v>k</v>
      </c>
      <c r="M143" s="113" t="str">
        <f t="shared" si="461"/>
        <v>l</v>
      </c>
      <c r="N143" s="113" t="str">
        <f t="shared" si="461"/>
        <v>m</v>
      </c>
      <c r="O143" s="113">
        <f t="shared" si="461"/>
        <v>0</v>
      </c>
      <c r="P143" s="113">
        <f t="shared" si="461"/>
        <v>0</v>
      </c>
      <c r="Q143" s="113" t="str">
        <f t="shared" si="461"/>
        <v>p</v>
      </c>
      <c r="R143" s="113">
        <f t="shared" si="461"/>
        <v>0</v>
      </c>
      <c r="S143" s="113">
        <f t="shared" si="461"/>
        <v>0</v>
      </c>
      <c r="T143" s="113">
        <f t="shared" si="461"/>
        <v>0</v>
      </c>
      <c r="U143" s="113">
        <f t="shared" si="461"/>
        <v>0</v>
      </c>
      <c r="V143" s="113">
        <f t="shared" si="461"/>
        <v>0</v>
      </c>
      <c r="W143" s="113">
        <f t="shared" si="461"/>
        <v>0</v>
      </c>
      <c r="X143" s="113">
        <f t="shared" si="461"/>
        <v>0</v>
      </c>
      <c r="AA143" s="113">
        <v>0</v>
      </c>
      <c r="AB143" s="112">
        <f ca="1">INDIRECT(CONCATENATE($AB$10,CONCATENATE(B143,$A143)))</f>
        <v>39539</v>
      </c>
      <c r="AC143" s="112">
        <f ca="1">INDIRECT(CONCATENATE($AB$10,CONCATENATE(C143,$A143)))</f>
        <v>39629</v>
      </c>
      <c r="AF143" s="114">
        <f t="shared" ca="1" si="304"/>
        <v>12320.15</v>
      </c>
      <c r="AG143" s="114">
        <f ca="1">INDIRECT(CONCATENATE($AB$10,CONCATENATE(G143,$A143)))</f>
        <v>0</v>
      </c>
      <c r="AH143" s="114">
        <f ca="1">INDIRECT(CONCATENATE($AB$10,CONCATENATE(H143,$A143)))</f>
        <v>0</v>
      </c>
      <c r="AI143" s="114">
        <f ca="1">INDIRECT(CONCATENATE($AB$10,CONCATENATE(I143,$A143)))</f>
        <v>6384.11</v>
      </c>
      <c r="AJ143" s="114">
        <f ca="1">INDIRECT(CONCATENATE($AB$10,CONCATENATE(J143,$A143)))</f>
        <v>0</v>
      </c>
      <c r="AK143" s="114">
        <f ca="1">INDIRECT(CONCATENATE($AB$10,CONCATENATE(K143,$A143)))</f>
        <v>1558.69</v>
      </c>
      <c r="AN143">
        <f t="shared" si="272"/>
        <v>143</v>
      </c>
      <c r="AQ143" s="114">
        <f t="shared" ca="1" si="336"/>
        <v>1968</v>
      </c>
      <c r="AW143">
        <v>143</v>
      </c>
    </row>
    <row r="144" spans="1:49" x14ac:dyDescent="0.25">
      <c r="A144" s="113">
        <f t="shared" ref="A144:A149" si="462">A143+2</f>
        <v>742</v>
      </c>
      <c r="B144" s="113" t="str">
        <f t="shared" ref="B144:B149" si="463">B143</f>
        <v>a</v>
      </c>
      <c r="C144" s="113" t="str">
        <f t="shared" ref="C144:C149" si="464">C143</f>
        <v>b</v>
      </c>
      <c r="D144" s="113" t="str">
        <f t="shared" ref="D144:D149" si="465">D143</f>
        <v>c</v>
      </c>
      <c r="E144" s="113" t="str">
        <f t="shared" ref="E144:E149" si="466">E143</f>
        <v>d</v>
      </c>
      <c r="F144" s="113" t="str">
        <f t="shared" ref="F144:F149" si="467">F143</f>
        <v>e</v>
      </c>
      <c r="G144" s="113" t="str">
        <f t="shared" ref="G144:G149" si="468">G143</f>
        <v>f</v>
      </c>
      <c r="H144" s="113" t="str">
        <f t="shared" ref="H144:H149" si="469">H143</f>
        <v>g</v>
      </c>
      <c r="I144" s="113" t="str">
        <f t="shared" ref="I144:I149" si="470">I143</f>
        <v>h</v>
      </c>
      <c r="J144" s="113" t="str">
        <f t="shared" ref="J144:J149" si="471">J143</f>
        <v>i</v>
      </c>
      <c r="K144" s="113" t="str">
        <f t="shared" ref="K144:K149" si="472">K143</f>
        <v>j</v>
      </c>
      <c r="L144" s="113" t="str">
        <f t="shared" ref="L144:L149" si="473">L143</f>
        <v>k</v>
      </c>
      <c r="M144" s="113" t="str">
        <f t="shared" ref="M144:M149" si="474">M143</f>
        <v>l</v>
      </c>
      <c r="N144" s="113" t="str">
        <f t="shared" ref="N144:N149" si="475">N143</f>
        <v>m</v>
      </c>
      <c r="O144" s="113">
        <f t="shared" ref="O144:O149" si="476">O143</f>
        <v>0</v>
      </c>
      <c r="P144" s="113">
        <f t="shared" ref="P144:P149" si="477">P143</f>
        <v>0</v>
      </c>
      <c r="Q144" s="113" t="str">
        <f t="shared" ref="Q144:Q149" si="478">Q143</f>
        <v>p</v>
      </c>
      <c r="R144" s="113">
        <f t="shared" ref="R144:R149" si="479">R143</f>
        <v>0</v>
      </c>
      <c r="S144" s="113">
        <f t="shared" ref="S144:S149" si="480">S143</f>
        <v>0</v>
      </c>
      <c r="T144" s="113">
        <f t="shared" ref="T144:T149" si="481">T143</f>
        <v>0</v>
      </c>
      <c r="U144" s="113">
        <f t="shared" ref="U144:U149" si="482">U143</f>
        <v>0</v>
      </c>
      <c r="V144" s="113">
        <f t="shared" ref="V144:V149" si="483">V143</f>
        <v>0</v>
      </c>
      <c r="W144" s="113">
        <f t="shared" ref="W144:W149" si="484">W143</f>
        <v>0</v>
      </c>
      <c r="X144" s="113">
        <f t="shared" ref="X144:X149" si="485">X143</f>
        <v>0</v>
      </c>
      <c r="AA144" s="113">
        <v>3</v>
      </c>
      <c r="AB144" s="112">
        <f t="shared" ref="AB144:AC149" ca="1" si="486">AB143</f>
        <v>39539</v>
      </c>
      <c r="AC144" s="112">
        <f t="shared" ca="1" si="486"/>
        <v>39629</v>
      </c>
      <c r="AF144" s="114">
        <f t="shared" ca="1" si="304"/>
        <v>12822.88</v>
      </c>
      <c r="AG144" s="114">
        <f t="shared" ref="AG144:AG149" ca="1" si="487">INDIRECT(CONCATENATE($AB$10,CONCATENATE(G144,$A144)))</f>
        <v>0</v>
      </c>
      <c r="AH144" s="114">
        <f t="shared" ref="AH144:AH149" ca="1" si="488">INDIRECT(CONCATENATE($AB$10,CONCATENATE(H144,$A144)))</f>
        <v>0</v>
      </c>
      <c r="AI144" s="114">
        <f t="shared" ref="AI144:AI149" ca="1" si="489">INDIRECT(CONCATENATE($AB$10,CONCATENATE(I144,$A144)))</f>
        <v>6384.11</v>
      </c>
      <c r="AJ144" s="114">
        <f t="shared" ref="AJ144:AJ149" ca="1" si="490">INDIRECT(CONCATENATE($AB$10,CONCATENATE(J144,$A144)))</f>
        <v>0</v>
      </c>
      <c r="AK144" s="114">
        <f t="shared" ref="AK144:AK149" ca="1" si="491">INDIRECT(CONCATENATE($AB$10,CONCATENATE(K144,$A144)))</f>
        <v>1600.58</v>
      </c>
      <c r="AN144">
        <f t="shared" si="272"/>
        <v>144</v>
      </c>
      <c r="AQ144" s="114">
        <f t="shared" ca="1" si="336"/>
        <v>1968</v>
      </c>
      <c r="AW144">
        <v>144</v>
      </c>
    </row>
    <row r="145" spans="1:49" x14ac:dyDescent="0.25">
      <c r="A145" s="113">
        <f t="shared" si="462"/>
        <v>744</v>
      </c>
      <c r="B145" s="113" t="str">
        <f t="shared" si="463"/>
        <v>a</v>
      </c>
      <c r="C145" s="113" t="str">
        <f t="shared" si="464"/>
        <v>b</v>
      </c>
      <c r="D145" s="113" t="str">
        <f t="shared" si="465"/>
        <v>c</v>
      </c>
      <c r="E145" s="113" t="str">
        <f t="shared" si="466"/>
        <v>d</v>
      </c>
      <c r="F145" s="113" t="str">
        <f t="shared" si="467"/>
        <v>e</v>
      </c>
      <c r="G145" s="113" t="str">
        <f t="shared" si="468"/>
        <v>f</v>
      </c>
      <c r="H145" s="113" t="str">
        <f t="shared" si="469"/>
        <v>g</v>
      </c>
      <c r="I145" s="113" t="str">
        <f t="shared" si="470"/>
        <v>h</v>
      </c>
      <c r="J145" s="113" t="str">
        <f t="shared" si="471"/>
        <v>i</v>
      </c>
      <c r="K145" s="113" t="str">
        <f t="shared" si="472"/>
        <v>j</v>
      </c>
      <c r="L145" s="113" t="str">
        <f t="shared" si="473"/>
        <v>k</v>
      </c>
      <c r="M145" s="113" t="str">
        <f t="shared" si="474"/>
        <v>l</v>
      </c>
      <c r="N145" s="113" t="str">
        <f t="shared" si="475"/>
        <v>m</v>
      </c>
      <c r="O145" s="113">
        <f t="shared" si="476"/>
        <v>0</v>
      </c>
      <c r="P145" s="113">
        <f t="shared" si="477"/>
        <v>0</v>
      </c>
      <c r="Q145" s="113" t="str">
        <f t="shared" si="478"/>
        <v>p</v>
      </c>
      <c r="R145" s="113">
        <f t="shared" si="479"/>
        <v>0</v>
      </c>
      <c r="S145" s="113">
        <f t="shared" si="480"/>
        <v>0</v>
      </c>
      <c r="T145" s="113">
        <f t="shared" si="481"/>
        <v>0</v>
      </c>
      <c r="U145" s="113">
        <f t="shared" si="482"/>
        <v>0</v>
      </c>
      <c r="V145" s="113">
        <f t="shared" si="483"/>
        <v>0</v>
      </c>
      <c r="W145" s="113">
        <f t="shared" si="484"/>
        <v>0</v>
      </c>
      <c r="X145" s="113">
        <f t="shared" si="485"/>
        <v>0</v>
      </c>
      <c r="AA145" s="113">
        <v>9</v>
      </c>
      <c r="AB145" s="112">
        <f t="shared" ca="1" si="486"/>
        <v>39539</v>
      </c>
      <c r="AC145" s="112">
        <f t="shared" ca="1" si="486"/>
        <v>39629</v>
      </c>
      <c r="AF145" s="114">
        <f t="shared" ca="1" si="304"/>
        <v>14371.09</v>
      </c>
      <c r="AG145" s="114">
        <f t="shared" ca="1" si="487"/>
        <v>0</v>
      </c>
      <c r="AH145" s="114">
        <f t="shared" ca="1" si="488"/>
        <v>0</v>
      </c>
      <c r="AI145" s="114">
        <f t="shared" ca="1" si="489"/>
        <v>6384.11</v>
      </c>
      <c r="AJ145" s="114">
        <f t="shared" ca="1" si="490"/>
        <v>0</v>
      </c>
      <c r="AK145" s="114">
        <f t="shared" ca="1" si="491"/>
        <v>1729.6</v>
      </c>
      <c r="AN145">
        <f t="shared" si="272"/>
        <v>145</v>
      </c>
      <c r="AQ145" s="114">
        <f t="shared" ca="1" si="336"/>
        <v>1968</v>
      </c>
      <c r="AW145">
        <v>145</v>
      </c>
    </row>
    <row r="146" spans="1:49" x14ac:dyDescent="0.25">
      <c r="A146" s="113">
        <f t="shared" si="462"/>
        <v>746</v>
      </c>
      <c r="B146" s="113" t="str">
        <f t="shared" si="463"/>
        <v>a</v>
      </c>
      <c r="C146" s="113" t="str">
        <f t="shared" si="464"/>
        <v>b</v>
      </c>
      <c r="D146" s="113" t="str">
        <f t="shared" si="465"/>
        <v>c</v>
      </c>
      <c r="E146" s="113" t="str">
        <f t="shared" si="466"/>
        <v>d</v>
      </c>
      <c r="F146" s="113" t="str">
        <f t="shared" si="467"/>
        <v>e</v>
      </c>
      <c r="G146" s="113" t="str">
        <f t="shared" si="468"/>
        <v>f</v>
      </c>
      <c r="H146" s="113" t="str">
        <f t="shared" si="469"/>
        <v>g</v>
      </c>
      <c r="I146" s="113" t="str">
        <f t="shared" si="470"/>
        <v>h</v>
      </c>
      <c r="J146" s="113" t="str">
        <f t="shared" si="471"/>
        <v>i</v>
      </c>
      <c r="K146" s="113" t="str">
        <f t="shared" si="472"/>
        <v>j</v>
      </c>
      <c r="L146" s="113" t="str">
        <f t="shared" si="473"/>
        <v>k</v>
      </c>
      <c r="M146" s="113" t="str">
        <f t="shared" si="474"/>
        <v>l</v>
      </c>
      <c r="N146" s="113" t="str">
        <f t="shared" si="475"/>
        <v>m</v>
      </c>
      <c r="O146" s="113">
        <f t="shared" si="476"/>
        <v>0</v>
      </c>
      <c r="P146" s="113">
        <f t="shared" si="477"/>
        <v>0</v>
      </c>
      <c r="Q146" s="113" t="str">
        <f t="shared" si="478"/>
        <v>p</v>
      </c>
      <c r="R146" s="113">
        <f t="shared" si="479"/>
        <v>0</v>
      </c>
      <c r="S146" s="113">
        <f t="shared" si="480"/>
        <v>0</v>
      </c>
      <c r="T146" s="113">
        <f t="shared" si="481"/>
        <v>0</v>
      </c>
      <c r="U146" s="113">
        <f t="shared" si="482"/>
        <v>0</v>
      </c>
      <c r="V146" s="113">
        <f t="shared" si="483"/>
        <v>0</v>
      </c>
      <c r="W146" s="113">
        <f t="shared" si="484"/>
        <v>0</v>
      </c>
      <c r="X146" s="113">
        <f t="shared" si="485"/>
        <v>0</v>
      </c>
      <c r="AA146" s="113">
        <v>15</v>
      </c>
      <c r="AB146" s="112">
        <f t="shared" ca="1" si="486"/>
        <v>39539</v>
      </c>
      <c r="AC146" s="112">
        <f t="shared" ca="1" si="486"/>
        <v>39629</v>
      </c>
      <c r="AF146" s="114">
        <f t="shared" ca="1" si="304"/>
        <v>16179.54</v>
      </c>
      <c r="AG146" s="114">
        <f t="shared" ca="1" si="487"/>
        <v>0</v>
      </c>
      <c r="AH146" s="114">
        <f t="shared" ca="1" si="488"/>
        <v>0</v>
      </c>
      <c r="AI146" s="114">
        <f t="shared" ca="1" si="489"/>
        <v>6384.11</v>
      </c>
      <c r="AJ146" s="114">
        <f t="shared" ca="1" si="490"/>
        <v>0</v>
      </c>
      <c r="AK146" s="114">
        <f t="shared" ca="1" si="491"/>
        <v>1880.3</v>
      </c>
      <c r="AN146">
        <f t="shared" si="272"/>
        <v>146</v>
      </c>
      <c r="AQ146" s="114">
        <f t="shared" ca="1" si="336"/>
        <v>2424</v>
      </c>
      <c r="AW146">
        <v>146</v>
      </c>
    </row>
    <row r="147" spans="1:49" x14ac:dyDescent="0.25">
      <c r="A147" s="113">
        <f t="shared" si="462"/>
        <v>748</v>
      </c>
      <c r="B147" s="113" t="str">
        <f t="shared" si="463"/>
        <v>a</v>
      </c>
      <c r="C147" s="113" t="str">
        <f t="shared" si="464"/>
        <v>b</v>
      </c>
      <c r="D147" s="113" t="str">
        <f t="shared" si="465"/>
        <v>c</v>
      </c>
      <c r="E147" s="113" t="str">
        <f t="shared" si="466"/>
        <v>d</v>
      </c>
      <c r="F147" s="113" t="str">
        <f t="shared" si="467"/>
        <v>e</v>
      </c>
      <c r="G147" s="113" t="str">
        <f t="shared" si="468"/>
        <v>f</v>
      </c>
      <c r="H147" s="113" t="str">
        <f t="shared" si="469"/>
        <v>g</v>
      </c>
      <c r="I147" s="113" t="str">
        <f t="shared" si="470"/>
        <v>h</v>
      </c>
      <c r="J147" s="113" t="str">
        <f t="shared" si="471"/>
        <v>i</v>
      </c>
      <c r="K147" s="113" t="str">
        <f t="shared" si="472"/>
        <v>j</v>
      </c>
      <c r="L147" s="113" t="str">
        <f t="shared" si="473"/>
        <v>k</v>
      </c>
      <c r="M147" s="113" t="str">
        <f t="shared" si="474"/>
        <v>l</v>
      </c>
      <c r="N147" s="113" t="str">
        <f t="shared" si="475"/>
        <v>m</v>
      </c>
      <c r="O147" s="113">
        <f t="shared" si="476"/>
        <v>0</v>
      </c>
      <c r="P147" s="113">
        <f t="shared" si="477"/>
        <v>0</v>
      </c>
      <c r="Q147" s="113" t="str">
        <f t="shared" si="478"/>
        <v>p</v>
      </c>
      <c r="R147" s="113">
        <f t="shared" si="479"/>
        <v>0</v>
      </c>
      <c r="S147" s="113">
        <f t="shared" si="480"/>
        <v>0</v>
      </c>
      <c r="T147" s="113">
        <f t="shared" si="481"/>
        <v>0</v>
      </c>
      <c r="U147" s="113">
        <f t="shared" si="482"/>
        <v>0</v>
      </c>
      <c r="V147" s="113">
        <f t="shared" si="483"/>
        <v>0</v>
      </c>
      <c r="W147" s="113">
        <f t="shared" si="484"/>
        <v>0</v>
      </c>
      <c r="X147" s="113">
        <f t="shared" si="485"/>
        <v>0</v>
      </c>
      <c r="AA147" s="113">
        <v>21</v>
      </c>
      <c r="AB147" s="112">
        <f t="shared" ca="1" si="486"/>
        <v>39539</v>
      </c>
      <c r="AC147" s="112">
        <f t="shared" ca="1" si="486"/>
        <v>39629</v>
      </c>
      <c r="AF147" s="114">
        <f t="shared" ca="1" si="304"/>
        <v>17934.740000000002</v>
      </c>
      <c r="AG147" s="114">
        <f t="shared" ca="1" si="487"/>
        <v>0</v>
      </c>
      <c r="AH147" s="114">
        <f t="shared" ca="1" si="488"/>
        <v>0</v>
      </c>
      <c r="AI147" s="114">
        <f t="shared" ca="1" si="489"/>
        <v>6384.11</v>
      </c>
      <c r="AJ147" s="114">
        <f t="shared" ca="1" si="490"/>
        <v>0</v>
      </c>
      <c r="AK147" s="114">
        <f t="shared" ca="1" si="491"/>
        <v>2026.57</v>
      </c>
      <c r="AN147">
        <f t="shared" si="272"/>
        <v>147</v>
      </c>
      <c r="AQ147" s="114">
        <f t="shared" ca="1" si="336"/>
        <v>2424</v>
      </c>
      <c r="AW147">
        <v>147</v>
      </c>
    </row>
    <row r="148" spans="1:49" x14ac:dyDescent="0.25">
      <c r="A148" s="113">
        <f t="shared" si="462"/>
        <v>750</v>
      </c>
      <c r="B148" s="113" t="str">
        <f t="shared" si="463"/>
        <v>a</v>
      </c>
      <c r="C148" s="113" t="str">
        <f t="shared" si="464"/>
        <v>b</v>
      </c>
      <c r="D148" s="113" t="str">
        <f t="shared" si="465"/>
        <v>c</v>
      </c>
      <c r="E148" s="113" t="str">
        <f t="shared" si="466"/>
        <v>d</v>
      </c>
      <c r="F148" s="113" t="str">
        <f t="shared" si="467"/>
        <v>e</v>
      </c>
      <c r="G148" s="113" t="str">
        <f t="shared" si="468"/>
        <v>f</v>
      </c>
      <c r="H148" s="113" t="str">
        <f t="shared" si="469"/>
        <v>g</v>
      </c>
      <c r="I148" s="113" t="str">
        <f t="shared" si="470"/>
        <v>h</v>
      </c>
      <c r="J148" s="113" t="str">
        <f t="shared" si="471"/>
        <v>i</v>
      </c>
      <c r="K148" s="113" t="str">
        <f t="shared" si="472"/>
        <v>j</v>
      </c>
      <c r="L148" s="113" t="str">
        <f t="shared" si="473"/>
        <v>k</v>
      </c>
      <c r="M148" s="113" t="str">
        <f t="shared" si="474"/>
        <v>l</v>
      </c>
      <c r="N148" s="113" t="str">
        <f t="shared" si="475"/>
        <v>m</v>
      </c>
      <c r="O148" s="113">
        <f t="shared" si="476"/>
        <v>0</v>
      </c>
      <c r="P148" s="113">
        <f t="shared" si="477"/>
        <v>0</v>
      </c>
      <c r="Q148" s="113" t="str">
        <f t="shared" si="478"/>
        <v>p</v>
      </c>
      <c r="R148" s="113">
        <f t="shared" si="479"/>
        <v>0</v>
      </c>
      <c r="S148" s="113">
        <f t="shared" si="480"/>
        <v>0</v>
      </c>
      <c r="T148" s="113">
        <f t="shared" si="481"/>
        <v>0</v>
      </c>
      <c r="U148" s="113">
        <f t="shared" si="482"/>
        <v>0</v>
      </c>
      <c r="V148" s="113">
        <f t="shared" si="483"/>
        <v>0</v>
      </c>
      <c r="W148" s="113">
        <f t="shared" si="484"/>
        <v>0</v>
      </c>
      <c r="X148" s="113">
        <f t="shared" si="485"/>
        <v>0</v>
      </c>
      <c r="AA148" s="113">
        <v>28</v>
      </c>
      <c r="AB148" s="112">
        <f t="shared" ca="1" si="486"/>
        <v>39539</v>
      </c>
      <c r="AC148" s="112">
        <f t="shared" ca="1" si="486"/>
        <v>39629</v>
      </c>
      <c r="AF148" s="114">
        <f t="shared" ca="1" si="304"/>
        <v>19666.55</v>
      </c>
      <c r="AG148" s="114">
        <f t="shared" ca="1" si="487"/>
        <v>0</v>
      </c>
      <c r="AH148" s="114">
        <f t="shared" ca="1" si="488"/>
        <v>0</v>
      </c>
      <c r="AI148" s="114">
        <f t="shared" ca="1" si="489"/>
        <v>6384.11</v>
      </c>
      <c r="AJ148" s="114">
        <f t="shared" ca="1" si="490"/>
        <v>0</v>
      </c>
      <c r="AK148" s="114">
        <f t="shared" ca="1" si="491"/>
        <v>2170.89</v>
      </c>
      <c r="AN148">
        <f t="shared" si="272"/>
        <v>148</v>
      </c>
      <c r="AQ148" s="114">
        <f t="shared" ca="1" si="336"/>
        <v>3090</v>
      </c>
      <c r="AW148">
        <v>148</v>
      </c>
    </row>
    <row r="149" spans="1:49" x14ac:dyDescent="0.25">
      <c r="A149" s="113">
        <f t="shared" si="462"/>
        <v>752</v>
      </c>
      <c r="B149" s="113" t="str">
        <f t="shared" si="463"/>
        <v>a</v>
      </c>
      <c r="C149" s="113" t="str">
        <f t="shared" si="464"/>
        <v>b</v>
      </c>
      <c r="D149" s="113" t="str">
        <f t="shared" si="465"/>
        <v>c</v>
      </c>
      <c r="E149" s="113" t="str">
        <f t="shared" si="466"/>
        <v>d</v>
      </c>
      <c r="F149" s="113" t="str">
        <f t="shared" si="467"/>
        <v>e</v>
      </c>
      <c r="G149" s="113" t="str">
        <f t="shared" si="468"/>
        <v>f</v>
      </c>
      <c r="H149" s="113" t="str">
        <f t="shared" si="469"/>
        <v>g</v>
      </c>
      <c r="I149" s="113" t="str">
        <f t="shared" si="470"/>
        <v>h</v>
      </c>
      <c r="J149" s="113" t="str">
        <f t="shared" si="471"/>
        <v>i</v>
      </c>
      <c r="K149" s="113" t="str">
        <f t="shared" si="472"/>
        <v>j</v>
      </c>
      <c r="L149" s="113" t="str">
        <f t="shared" si="473"/>
        <v>k</v>
      </c>
      <c r="M149" s="113" t="str">
        <f t="shared" si="474"/>
        <v>l</v>
      </c>
      <c r="N149" s="113" t="str">
        <f t="shared" si="475"/>
        <v>m</v>
      </c>
      <c r="O149" s="113">
        <f t="shared" si="476"/>
        <v>0</v>
      </c>
      <c r="P149" s="113">
        <f t="shared" si="477"/>
        <v>0</v>
      </c>
      <c r="Q149" s="113" t="str">
        <f t="shared" si="478"/>
        <v>p</v>
      </c>
      <c r="R149" s="113">
        <f t="shared" si="479"/>
        <v>0</v>
      </c>
      <c r="S149" s="113">
        <f t="shared" si="480"/>
        <v>0</v>
      </c>
      <c r="T149" s="113">
        <f t="shared" si="481"/>
        <v>0</v>
      </c>
      <c r="U149" s="113">
        <f t="shared" si="482"/>
        <v>0</v>
      </c>
      <c r="V149" s="113">
        <f t="shared" si="483"/>
        <v>0</v>
      </c>
      <c r="W149" s="113">
        <f t="shared" si="484"/>
        <v>0</v>
      </c>
      <c r="X149" s="113">
        <f t="shared" si="485"/>
        <v>0</v>
      </c>
      <c r="AA149" s="113">
        <v>35</v>
      </c>
      <c r="AB149" s="112">
        <f t="shared" ca="1" si="486"/>
        <v>39539</v>
      </c>
      <c r="AC149" s="112">
        <f t="shared" ca="1" si="486"/>
        <v>39629</v>
      </c>
      <c r="AF149" s="114">
        <f t="shared" ca="1" si="304"/>
        <v>20956.04</v>
      </c>
      <c r="AG149" s="114">
        <f t="shared" ca="1" si="487"/>
        <v>0</v>
      </c>
      <c r="AH149" s="114">
        <f t="shared" ca="1" si="488"/>
        <v>0</v>
      </c>
      <c r="AI149" s="114">
        <f t="shared" ca="1" si="489"/>
        <v>6384.11</v>
      </c>
      <c r="AJ149" s="114">
        <f t="shared" ca="1" si="490"/>
        <v>0</v>
      </c>
      <c r="AK149" s="114">
        <f t="shared" ca="1" si="491"/>
        <v>2278.35</v>
      </c>
      <c r="AN149">
        <f t="shared" si="272"/>
        <v>149</v>
      </c>
      <c r="AQ149" s="114">
        <f t="shared" ca="1" si="336"/>
        <v>3090</v>
      </c>
      <c r="AW149">
        <v>149</v>
      </c>
    </row>
    <row r="150" spans="1:49" x14ac:dyDescent="0.25">
      <c r="A150" s="113">
        <f>A143+20</f>
        <v>760</v>
      </c>
      <c r="B150" s="113" t="str">
        <f>B143</f>
        <v>a</v>
      </c>
      <c r="C150" s="113" t="str">
        <f t="shared" ref="C150:X150" si="492">C143</f>
        <v>b</v>
      </c>
      <c r="D150" s="113" t="str">
        <f t="shared" si="492"/>
        <v>c</v>
      </c>
      <c r="E150" s="113" t="str">
        <f t="shared" si="492"/>
        <v>d</v>
      </c>
      <c r="F150" s="113" t="str">
        <f t="shared" si="492"/>
        <v>e</v>
      </c>
      <c r="G150" s="113" t="str">
        <f t="shared" si="492"/>
        <v>f</v>
      </c>
      <c r="H150" s="113" t="str">
        <f t="shared" si="492"/>
        <v>g</v>
      </c>
      <c r="I150" s="113" t="str">
        <f t="shared" si="492"/>
        <v>h</v>
      </c>
      <c r="J150" s="113" t="str">
        <f t="shared" si="492"/>
        <v>i</v>
      </c>
      <c r="K150" s="113" t="str">
        <f t="shared" si="492"/>
        <v>j</v>
      </c>
      <c r="L150" s="113" t="str">
        <f t="shared" si="492"/>
        <v>k</v>
      </c>
      <c r="M150" s="113" t="str">
        <f t="shared" si="492"/>
        <v>l</v>
      </c>
      <c r="N150" s="113" t="str">
        <f t="shared" si="492"/>
        <v>m</v>
      </c>
      <c r="O150" s="113">
        <f t="shared" si="492"/>
        <v>0</v>
      </c>
      <c r="P150" s="113">
        <f t="shared" si="492"/>
        <v>0</v>
      </c>
      <c r="Q150" s="113" t="str">
        <f t="shared" si="492"/>
        <v>p</v>
      </c>
      <c r="R150" s="113">
        <f t="shared" si="492"/>
        <v>0</v>
      </c>
      <c r="S150" s="113">
        <f t="shared" si="492"/>
        <v>0</v>
      </c>
      <c r="T150" s="113">
        <f t="shared" si="492"/>
        <v>0</v>
      </c>
      <c r="U150" s="113">
        <f t="shared" si="492"/>
        <v>0</v>
      </c>
      <c r="V150" s="113">
        <f t="shared" si="492"/>
        <v>0</v>
      </c>
      <c r="W150" s="113">
        <f t="shared" si="492"/>
        <v>0</v>
      </c>
      <c r="X150" s="113">
        <f t="shared" si="492"/>
        <v>0</v>
      </c>
      <c r="AA150" s="113">
        <v>0</v>
      </c>
      <c r="AB150" s="112">
        <f ca="1">INDIRECT(CONCATENATE($AB$10,CONCATENATE(B150,$A150)))</f>
        <v>39630</v>
      </c>
      <c r="AC150" s="112">
        <f ca="1">INDIRECT(CONCATENATE($AB$10,CONCATENATE(C150,$A150)))</f>
        <v>39813</v>
      </c>
      <c r="AF150" s="114">
        <f t="shared" ca="1" si="304"/>
        <v>12383.39</v>
      </c>
      <c r="AG150" s="114">
        <f ca="1">INDIRECT(CONCATENATE($AB$10,CONCATENATE(G150,$A150)))</f>
        <v>0</v>
      </c>
      <c r="AH150" s="114">
        <f ca="1">INDIRECT(CONCATENATE($AB$10,CONCATENATE(H150,$A150)))</f>
        <v>0</v>
      </c>
      <c r="AI150" s="114">
        <f ca="1">INDIRECT(CONCATENATE($AB$10,CONCATENATE(I150,$A150)))</f>
        <v>6384.11</v>
      </c>
      <c r="AJ150" s="114">
        <f ca="1">INDIRECT(CONCATENATE($AB$10,CONCATENATE(J150,$A150)))</f>
        <v>0</v>
      </c>
      <c r="AK150" s="114">
        <f ca="1">INDIRECT(CONCATENATE($AB$10,CONCATENATE(K150,$A150)))</f>
        <v>1563.96</v>
      </c>
      <c r="AN150">
        <f t="shared" si="272"/>
        <v>150</v>
      </c>
      <c r="AQ150" s="114">
        <f t="shared" ca="1" si="336"/>
        <v>1968</v>
      </c>
      <c r="AW150">
        <v>150</v>
      </c>
    </row>
    <row r="151" spans="1:49" x14ac:dyDescent="0.25">
      <c r="A151" s="113">
        <f t="shared" ref="A151:A156" si="493">A150+2</f>
        <v>762</v>
      </c>
      <c r="B151" s="113" t="str">
        <f t="shared" ref="B151:B156" si="494">B150</f>
        <v>a</v>
      </c>
      <c r="C151" s="113" t="str">
        <f t="shared" ref="C151:C156" si="495">C150</f>
        <v>b</v>
      </c>
      <c r="D151" s="113" t="str">
        <f t="shared" ref="D151:D156" si="496">D150</f>
        <v>c</v>
      </c>
      <c r="E151" s="113" t="str">
        <f t="shared" ref="E151:E156" si="497">E150</f>
        <v>d</v>
      </c>
      <c r="F151" s="113" t="str">
        <f t="shared" ref="F151:F156" si="498">F150</f>
        <v>e</v>
      </c>
      <c r="G151" s="113" t="str">
        <f t="shared" ref="G151:G156" si="499">G150</f>
        <v>f</v>
      </c>
      <c r="H151" s="113" t="str">
        <f t="shared" ref="H151:H156" si="500">H150</f>
        <v>g</v>
      </c>
      <c r="I151" s="113" t="str">
        <f t="shared" ref="I151:I156" si="501">I150</f>
        <v>h</v>
      </c>
      <c r="J151" s="113" t="str">
        <f t="shared" ref="J151:J156" si="502">J150</f>
        <v>i</v>
      </c>
      <c r="K151" s="113" t="str">
        <f t="shared" ref="K151:K156" si="503">K150</f>
        <v>j</v>
      </c>
      <c r="L151" s="113" t="str">
        <f t="shared" ref="L151:L156" si="504">L150</f>
        <v>k</v>
      </c>
      <c r="M151" s="113" t="str">
        <f t="shared" ref="M151:M156" si="505">M150</f>
        <v>l</v>
      </c>
      <c r="N151" s="113" t="str">
        <f t="shared" ref="N151:N156" si="506">N150</f>
        <v>m</v>
      </c>
      <c r="O151" s="113">
        <f t="shared" ref="O151:O156" si="507">O150</f>
        <v>0</v>
      </c>
      <c r="P151" s="113">
        <f t="shared" ref="P151:P156" si="508">P150</f>
        <v>0</v>
      </c>
      <c r="Q151" s="113" t="str">
        <f t="shared" ref="Q151:Q156" si="509">Q150</f>
        <v>p</v>
      </c>
      <c r="R151" s="113">
        <f t="shared" ref="R151:R156" si="510">R150</f>
        <v>0</v>
      </c>
      <c r="S151" s="113">
        <f t="shared" ref="S151:S156" si="511">S150</f>
        <v>0</v>
      </c>
      <c r="T151" s="113">
        <f t="shared" ref="T151:T156" si="512">T150</f>
        <v>0</v>
      </c>
      <c r="U151" s="113">
        <f t="shared" ref="U151:U156" si="513">U150</f>
        <v>0</v>
      </c>
      <c r="V151" s="113">
        <f t="shared" ref="V151:V156" si="514">V150</f>
        <v>0</v>
      </c>
      <c r="W151" s="113">
        <f t="shared" ref="W151:W156" si="515">W150</f>
        <v>0</v>
      </c>
      <c r="X151" s="113">
        <f t="shared" ref="X151:X156" si="516">X150</f>
        <v>0</v>
      </c>
      <c r="AA151" s="113">
        <v>3</v>
      </c>
      <c r="AB151" s="112">
        <f t="shared" ref="AB151:AC156" ca="1" si="517">AB150</f>
        <v>39630</v>
      </c>
      <c r="AC151" s="112">
        <f t="shared" ca="1" si="517"/>
        <v>39813</v>
      </c>
      <c r="AF151" s="114">
        <f t="shared" ca="1" si="304"/>
        <v>12886.12</v>
      </c>
      <c r="AG151" s="114">
        <f t="shared" ref="AG151:AG156" ca="1" si="518">INDIRECT(CONCATENATE($AB$10,CONCATENATE(G151,$A151)))</f>
        <v>0</v>
      </c>
      <c r="AH151" s="114">
        <f t="shared" ref="AH151:AH156" ca="1" si="519">INDIRECT(CONCATENATE($AB$10,CONCATENATE(H151,$A151)))</f>
        <v>0</v>
      </c>
      <c r="AI151" s="114">
        <f t="shared" ref="AI151:AI156" ca="1" si="520">INDIRECT(CONCATENATE($AB$10,CONCATENATE(I151,$A151)))</f>
        <v>6384.11</v>
      </c>
      <c r="AJ151" s="114">
        <f t="shared" ref="AJ151:AJ156" ca="1" si="521">INDIRECT(CONCATENATE($AB$10,CONCATENATE(J151,$A151)))</f>
        <v>0</v>
      </c>
      <c r="AK151" s="114">
        <f t="shared" ref="AK151:AK156" ca="1" si="522">INDIRECT(CONCATENATE($AB$10,CONCATENATE(K151,$A151)))</f>
        <v>1605.85</v>
      </c>
      <c r="AN151">
        <f t="shared" si="272"/>
        <v>151</v>
      </c>
      <c r="AQ151" s="114">
        <f t="shared" ca="1" si="336"/>
        <v>1968</v>
      </c>
      <c r="AW151">
        <v>151</v>
      </c>
    </row>
    <row r="152" spans="1:49" x14ac:dyDescent="0.25">
      <c r="A152" s="113">
        <f t="shared" si="493"/>
        <v>764</v>
      </c>
      <c r="B152" s="113" t="str">
        <f t="shared" si="494"/>
        <v>a</v>
      </c>
      <c r="C152" s="113" t="str">
        <f t="shared" si="495"/>
        <v>b</v>
      </c>
      <c r="D152" s="113" t="str">
        <f t="shared" si="496"/>
        <v>c</v>
      </c>
      <c r="E152" s="113" t="str">
        <f t="shared" si="497"/>
        <v>d</v>
      </c>
      <c r="F152" s="113" t="str">
        <f t="shared" si="498"/>
        <v>e</v>
      </c>
      <c r="G152" s="113" t="str">
        <f t="shared" si="499"/>
        <v>f</v>
      </c>
      <c r="H152" s="113" t="str">
        <f t="shared" si="500"/>
        <v>g</v>
      </c>
      <c r="I152" s="113" t="str">
        <f t="shared" si="501"/>
        <v>h</v>
      </c>
      <c r="J152" s="113" t="str">
        <f t="shared" si="502"/>
        <v>i</v>
      </c>
      <c r="K152" s="113" t="str">
        <f t="shared" si="503"/>
        <v>j</v>
      </c>
      <c r="L152" s="113" t="str">
        <f t="shared" si="504"/>
        <v>k</v>
      </c>
      <c r="M152" s="113" t="str">
        <f t="shared" si="505"/>
        <v>l</v>
      </c>
      <c r="N152" s="113" t="str">
        <f t="shared" si="506"/>
        <v>m</v>
      </c>
      <c r="O152" s="113">
        <f t="shared" si="507"/>
        <v>0</v>
      </c>
      <c r="P152" s="113">
        <f t="shared" si="508"/>
        <v>0</v>
      </c>
      <c r="Q152" s="113" t="str">
        <f t="shared" si="509"/>
        <v>p</v>
      </c>
      <c r="R152" s="113">
        <f t="shared" si="510"/>
        <v>0</v>
      </c>
      <c r="S152" s="113">
        <f t="shared" si="511"/>
        <v>0</v>
      </c>
      <c r="T152" s="113">
        <f t="shared" si="512"/>
        <v>0</v>
      </c>
      <c r="U152" s="113">
        <f t="shared" si="513"/>
        <v>0</v>
      </c>
      <c r="V152" s="113">
        <f t="shared" si="514"/>
        <v>0</v>
      </c>
      <c r="W152" s="113">
        <f t="shared" si="515"/>
        <v>0</v>
      </c>
      <c r="X152" s="113">
        <f t="shared" si="516"/>
        <v>0</v>
      </c>
      <c r="AA152" s="113">
        <v>9</v>
      </c>
      <c r="AB152" s="112">
        <f t="shared" ca="1" si="517"/>
        <v>39630</v>
      </c>
      <c r="AC152" s="112">
        <f t="shared" ca="1" si="517"/>
        <v>39813</v>
      </c>
      <c r="AF152" s="114">
        <f t="shared" ca="1" si="304"/>
        <v>14434.33</v>
      </c>
      <c r="AG152" s="114">
        <f t="shared" ca="1" si="518"/>
        <v>0</v>
      </c>
      <c r="AH152" s="114">
        <f t="shared" ca="1" si="519"/>
        <v>0</v>
      </c>
      <c r="AI152" s="114">
        <f t="shared" ca="1" si="520"/>
        <v>6384.11</v>
      </c>
      <c r="AJ152" s="114">
        <f t="shared" ca="1" si="521"/>
        <v>0</v>
      </c>
      <c r="AK152" s="114">
        <f t="shared" ca="1" si="522"/>
        <v>1734.87</v>
      </c>
      <c r="AN152">
        <f t="shared" si="272"/>
        <v>152</v>
      </c>
      <c r="AQ152" s="114">
        <f t="shared" ca="1" si="336"/>
        <v>1968</v>
      </c>
      <c r="AW152">
        <v>152</v>
      </c>
    </row>
    <row r="153" spans="1:49" x14ac:dyDescent="0.25">
      <c r="A153" s="113">
        <f t="shared" si="493"/>
        <v>766</v>
      </c>
      <c r="B153" s="113" t="str">
        <f t="shared" si="494"/>
        <v>a</v>
      </c>
      <c r="C153" s="113" t="str">
        <f t="shared" si="495"/>
        <v>b</v>
      </c>
      <c r="D153" s="113" t="str">
        <f t="shared" si="496"/>
        <v>c</v>
      </c>
      <c r="E153" s="113" t="str">
        <f t="shared" si="497"/>
        <v>d</v>
      </c>
      <c r="F153" s="113" t="str">
        <f t="shared" si="498"/>
        <v>e</v>
      </c>
      <c r="G153" s="113" t="str">
        <f t="shared" si="499"/>
        <v>f</v>
      </c>
      <c r="H153" s="113" t="str">
        <f t="shared" si="500"/>
        <v>g</v>
      </c>
      <c r="I153" s="113" t="str">
        <f t="shared" si="501"/>
        <v>h</v>
      </c>
      <c r="J153" s="113" t="str">
        <f t="shared" si="502"/>
        <v>i</v>
      </c>
      <c r="K153" s="113" t="str">
        <f t="shared" si="503"/>
        <v>j</v>
      </c>
      <c r="L153" s="113" t="str">
        <f t="shared" si="504"/>
        <v>k</v>
      </c>
      <c r="M153" s="113" t="str">
        <f t="shared" si="505"/>
        <v>l</v>
      </c>
      <c r="N153" s="113" t="str">
        <f t="shared" si="506"/>
        <v>m</v>
      </c>
      <c r="O153" s="113">
        <f t="shared" si="507"/>
        <v>0</v>
      </c>
      <c r="P153" s="113">
        <f t="shared" si="508"/>
        <v>0</v>
      </c>
      <c r="Q153" s="113" t="str">
        <f t="shared" si="509"/>
        <v>p</v>
      </c>
      <c r="R153" s="113">
        <f t="shared" si="510"/>
        <v>0</v>
      </c>
      <c r="S153" s="113">
        <f t="shared" si="511"/>
        <v>0</v>
      </c>
      <c r="T153" s="113">
        <f t="shared" si="512"/>
        <v>0</v>
      </c>
      <c r="U153" s="113">
        <f t="shared" si="513"/>
        <v>0</v>
      </c>
      <c r="V153" s="113">
        <f t="shared" si="514"/>
        <v>0</v>
      </c>
      <c r="W153" s="113">
        <f t="shared" si="515"/>
        <v>0</v>
      </c>
      <c r="X153" s="113">
        <f t="shared" si="516"/>
        <v>0</v>
      </c>
      <c r="AA153" s="113">
        <v>15</v>
      </c>
      <c r="AB153" s="112">
        <f t="shared" ca="1" si="517"/>
        <v>39630</v>
      </c>
      <c r="AC153" s="112">
        <f t="shared" ca="1" si="517"/>
        <v>39813</v>
      </c>
      <c r="AF153" s="114">
        <f t="shared" ca="1" si="304"/>
        <v>16242.78</v>
      </c>
      <c r="AG153" s="114">
        <f t="shared" ca="1" si="518"/>
        <v>0</v>
      </c>
      <c r="AH153" s="114">
        <f t="shared" ca="1" si="519"/>
        <v>0</v>
      </c>
      <c r="AI153" s="114">
        <f t="shared" ca="1" si="520"/>
        <v>6384.11</v>
      </c>
      <c r="AJ153" s="114">
        <f t="shared" ca="1" si="521"/>
        <v>0</v>
      </c>
      <c r="AK153" s="114">
        <f t="shared" ca="1" si="522"/>
        <v>1885.57</v>
      </c>
      <c r="AN153">
        <f t="shared" si="272"/>
        <v>153</v>
      </c>
      <c r="AQ153" s="114">
        <f t="shared" ca="1" si="336"/>
        <v>2424</v>
      </c>
      <c r="AW153">
        <v>153</v>
      </c>
    </row>
    <row r="154" spans="1:49" x14ac:dyDescent="0.25">
      <c r="A154" s="113">
        <f t="shared" si="493"/>
        <v>768</v>
      </c>
      <c r="B154" s="113" t="str">
        <f t="shared" si="494"/>
        <v>a</v>
      </c>
      <c r="C154" s="113" t="str">
        <f t="shared" si="495"/>
        <v>b</v>
      </c>
      <c r="D154" s="113" t="str">
        <f t="shared" si="496"/>
        <v>c</v>
      </c>
      <c r="E154" s="113" t="str">
        <f t="shared" si="497"/>
        <v>d</v>
      </c>
      <c r="F154" s="113" t="str">
        <f t="shared" si="498"/>
        <v>e</v>
      </c>
      <c r="G154" s="113" t="str">
        <f t="shared" si="499"/>
        <v>f</v>
      </c>
      <c r="H154" s="113" t="str">
        <f t="shared" si="500"/>
        <v>g</v>
      </c>
      <c r="I154" s="113" t="str">
        <f t="shared" si="501"/>
        <v>h</v>
      </c>
      <c r="J154" s="113" t="str">
        <f t="shared" si="502"/>
        <v>i</v>
      </c>
      <c r="K154" s="113" t="str">
        <f t="shared" si="503"/>
        <v>j</v>
      </c>
      <c r="L154" s="113" t="str">
        <f t="shared" si="504"/>
        <v>k</v>
      </c>
      <c r="M154" s="113" t="str">
        <f t="shared" si="505"/>
        <v>l</v>
      </c>
      <c r="N154" s="113" t="str">
        <f t="shared" si="506"/>
        <v>m</v>
      </c>
      <c r="O154" s="113">
        <f t="shared" si="507"/>
        <v>0</v>
      </c>
      <c r="P154" s="113">
        <f t="shared" si="508"/>
        <v>0</v>
      </c>
      <c r="Q154" s="113" t="str">
        <f t="shared" si="509"/>
        <v>p</v>
      </c>
      <c r="R154" s="113">
        <f t="shared" si="510"/>
        <v>0</v>
      </c>
      <c r="S154" s="113">
        <f t="shared" si="511"/>
        <v>0</v>
      </c>
      <c r="T154" s="113">
        <f t="shared" si="512"/>
        <v>0</v>
      </c>
      <c r="U154" s="113">
        <f t="shared" si="513"/>
        <v>0</v>
      </c>
      <c r="V154" s="113">
        <f t="shared" si="514"/>
        <v>0</v>
      </c>
      <c r="W154" s="113">
        <f t="shared" si="515"/>
        <v>0</v>
      </c>
      <c r="X154" s="113">
        <f t="shared" si="516"/>
        <v>0</v>
      </c>
      <c r="AA154" s="113">
        <v>21</v>
      </c>
      <c r="AB154" s="112">
        <f t="shared" ca="1" si="517"/>
        <v>39630</v>
      </c>
      <c r="AC154" s="112">
        <f t="shared" ca="1" si="517"/>
        <v>39813</v>
      </c>
      <c r="AF154" s="114">
        <f t="shared" ca="1" si="304"/>
        <v>17997.98</v>
      </c>
      <c r="AG154" s="114">
        <f t="shared" ca="1" si="518"/>
        <v>0</v>
      </c>
      <c r="AH154" s="114">
        <f t="shared" ca="1" si="519"/>
        <v>0</v>
      </c>
      <c r="AI154" s="114">
        <f t="shared" ca="1" si="520"/>
        <v>6384.11</v>
      </c>
      <c r="AJ154" s="114">
        <f t="shared" ca="1" si="521"/>
        <v>0</v>
      </c>
      <c r="AK154" s="114">
        <f t="shared" ca="1" si="522"/>
        <v>2031.84</v>
      </c>
      <c r="AN154">
        <f t="shared" si="272"/>
        <v>154</v>
      </c>
      <c r="AQ154" s="114">
        <f t="shared" ca="1" si="336"/>
        <v>2424</v>
      </c>
      <c r="AW154">
        <v>154</v>
      </c>
    </row>
    <row r="155" spans="1:49" x14ac:dyDescent="0.25">
      <c r="A155" s="113">
        <f t="shared" si="493"/>
        <v>770</v>
      </c>
      <c r="B155" s="113" t="str">
        <f t="shared" si="494"/>
        <v>a</v>
      </c>
      <c r="C155" s="113" t="str">
        <f t="shared" si="495"/>
        <v>b</v>
      </c>
      <c r="D155" s="113" t="str">
        <f t="shared" si="496"/>
        <v>c</v>
      </c>
      <c r="E155" s="113" t="str">
        <f t="shared" si="497"/>
        <v>d</v>
      </c>
      <c r="F155" s="113" t="str">
        <f t="shared" si="498"/>
        <v>e</v>
      </c>
      <c r="G155" s="113" t="str">
        <f t="shared" si="499"/>
        <v>f</v>
      </c>
      <c r="H155" s="113" t="str">
        <f t="shared" si="500"/>
        <v>g</v>
      </c>
      <c r="I155" s="113" t="str">
        <f t="shared" si="501"/>
        <v>h</v>
      </c>
      <c r="J155" s="113" t="str">
        <f t="shared" si="502"/>
        <v>i</v>
      </c>
      <c r="K155" s="113" t="str">
        <f t="shared" si="503"/>
        <v>j</v>
      </c>
      <c r="L155" s="113" t="str">
        <f t="shared" si="504"/>
        <v>k</v>
      </c>
      <c r="M155" s="113" t="str">
        <f t="shared" si="505"/>
        <v>l</v>
      </c>
      <c r="N155" s="113" t="str">
        <f t="shared" si="506"/>
        <v>m</v>
      </c>
      <c r="O155" s="113">
        <f t="shared" si="507"/>
        <v>0</v>
      </c>
      <c r="P155" s="113">
        <f t="shared" si="508"/>
        <v>0</v>
      </c>
      <c r="Q155" s="113" t="str">
        <f t="shared" si="509"/>
        <v>p</v>
      </c>
      <c r="R155" s="113">
        <f t="shared" si="510"/>
        <v>0</v>
      </c>
      <c r="S155" s="113">
        <f t="shared" si="511"/>
        <v>0</v>
      </c>
      <c r="T155" s="113">
        <f t="shared" si="512"/>
        <v>0</v>
      </c>
      <c r="U155" s="113">
        <f t="shared" si="513"/>
        <v>0</v>
      </c>
      <c r="V155" s="113">
        <f t="shared" si="514"/>
        <v>0</v>
      </c>
      <c r="W155" s="113">
        <f t="shared" si="515"/>
        <v>0</v>
      </c>
      <c r="X155" s="113">
        <f t="shared" si="516"/>
        <v>0</v>
      </c>
      <c r="AA155" s="113">
        <v>28</v>
      </c>
      <c r="AB155" s="112">
        <f t="shared" ca="1" si="517"/>
        <v>39630</v>
      </c>
      <c r="AC155" s="112">
        <f t="shared" ca="1" si="517"/>
        <v>39813</v>
      </c>
      <c r="AF155" s="114">
        <f t="shared" ca="1" si="304"/>
        <v>19729.79</v>
      </c>
      <c r="AG155" s="114">
        <f t="shared" ca="1" si="518"/>
        <v>0</v>
      </c>
      <c r="AH155" s="114">
        <f t="shared" ca="1" si="519"/>
        <v>0</v>
      </c>
      <c r="AI155" s="114">
        <f t="shared" ca="1" si="520"/>
        <v>6384.11</v>
      </c>
      <c r="AJ155" s="114">
        <f t="shared" ca="1" si="521"/>
        <v>0</v>
      </c>
      <c r="AK155" s="114">
        <f t="shared" ca="1" si="522"/>
        <v>2176.16</v>
      </c>
      <c r="AN155">
        <f t="shared" si="272"/>
        <v>155</v>
      </c>
      <c r="AQ155" s="114">
        <f t="shared" ca="1" si="336"/>
        <v>3090</v>
      </c>
      <c r="AW155">
        <v>155</v>
      </c>
    </row>
    <row r="156" spans="1:49" x14ac:dyDescent="0.25">
      <c r="A156" s="113">
        <f t="shared" si="493"/>
        <v>772</v>
      </c>
      <c r="B156" s="113" t="str">
        <f t="shared" si="494"/>
        <v>a</v>
      </c>
      <c r="C156" s="113" t="str">
        <f t="shared" si="495"/>
        <v>b</v>
      </c>
      <c r="D156" s="113" t="str">
        <f t="shared" si="496"/>
        <v>c</v>
      </c>
      <c r="E156" s="113" t="str">
        <f t="shared" si="497"/>
        <v>d</v>
      </c>
      <c r="F156" s="113" t="str">
        <f t="shared" si="498"/>
        <v>e</v>
      </c>
      <c r="G156" s="113" t="str">
        <f t="shared" si="499"/>
        <v>f</v>
      </c>
      <c r="H156" s="113" t="str">
        <f t="shared" si="500"/>
        <v>g</v>
      </c>
      <c r="I156" s="113" t="str">
        <f t="shared" si="501"/>
        <v>h</v>
      </c>
      <c r="J156" s="113" t="str">
        <f t="shared" si="502"/>
        <v>i</v>
      </c>
      <c r="K156" s="113" t="str">
        <f t="shared" si="503"/>
        <v>j</v>
      </c>
      <c r="L156" s="113" t="str">
        <f t="shared" si="504"/>
        <v>k</v>
      </c>
      <c r="M156" s="113" t="str">
        <f t="shared" si="505"/>
        <v>l</v>
      </c>
      <c r="N156" s="113" t="str">
        <f t="shared" si="506"/>
        <v>m</v>
      </c>
      <c r="O156" s="113">
        <f t="shared" si="507"/>
        <v>0</v>
      </c>
      <c r="P156" s="113">
        <f t="shared" si="508"/>
        <v>0</v>
      </c>
      <c r="Q156" s="113" t="str">
        <f t="shared" si="509"/>
        <v>p</v>
      </c>
      <c r="R156" s="113">
        <f t="shared" si="510"/>
        <v>0</v>
      </c>
      <c r="S156" s="113">
        <f t="shared" si="511"/>
        <v>0</v>
      </c>
      <c r="T156" s="113">
        <f t="shared" si="512"/>
        <v>0</v>
      </c>
      <c r="U156" s="113">
        <f t="shared" si="513"/>
        <v>0</v>
      </c>
      <c r="V156" s="113">
        <f t="shared" si="514"/>
        <v>0</v>
      </c>
      <c r="W156" s="113">
        <f t="shared" si="515"/>
        <v>0</v>
      </c>
      <c r="X156" s="113">
        <f t="shared" si="516"/>
        <v>0</v>
      </c>
      <c r="AA156" s="113">
        <v>35</v>
      </c>
      <c r="AB156" s="112">
        <f t="shared" ca="1" si="517"/>
        <v>39630</v>
      </c>
      <c r="AC156" s="112">
        <f t="shared" ca="1" si="517"/>
        <v>39813</v>
      </c>
      <c r="AF156" s="114">
        <f t="shared" ca="1" si="304"/>
        <v>21019.279999999999</v>
      </c>
      <c r="AG156" s="114">
        <f t="shared" ca="1" si="518"/>
        <v>0</v>
      </c>
      <c r="AH156" s="114">
        <f t="shared" ca="1" si="519"/>
        <v>0</v>
      </c>
      <c r="AI156" s="114">
        <f t="shared" ca="1" si="520"/>
        <v>6384.11</v>
      </c>
      <c r="AJ156" s="114">
        <f t="shared" ca="1" si="521"/>
        <v>0</v>
      </c>
      <c r="AK156" s="114">
        <f t="shared" ca="1" si="522"/>
        <v>2283.62</v>
      </c>
      <c r="AN156">
        <f t="shared" si="272"/>
        <v>156</v>
      </c>
      <c r="AQ156" s="114">
        <f t="shared" ca="1" si="336"/>
        <v>3090</v>
      </c>
      <c r="AW156">
        <v>156</v>
      </c>
    </row>
    <row r="157" spans="1:49" x14ac:dyDescent="0.25">
      <c r="A157" s="113">
        <f>A150+20</f>
        <v>780</v>
      </c>
      <c r="B157" s="113" t="str">
        <f>B150</f>
        <v>a</v>
      </c>
      <c r="C157" s="113" t="str">
        <f t="shared" ref="C157:X157" si="523">C150</f>
        <v>b</v>
      </c>
      <c r="D157" s="113" t="str">
        <f t="shared" si="523"/>
        <v>c</v>
      </c>
      <c r="E157" s="113" t="str">
        <f t="shared" si="523"/>
        <v>d</v>
      </c>
      <c r="F157" s="113" t="str">
        <f t="shared" si="523"/>
        <v>e</v>
      </c>
      <c r="G157" s="113" t="str">
        <f t="shared" si="523"/>
        <v>f</v>
      </c>
      <c r="H157" s="113" t="str">
        <f t="shared" si="523"/>
        <v>g</v>
      </c>
      <c r="I157" s="113" t="str">
        <f t="shared" si="523"/>
        <v>h</v>
      </c>
      <c r="J157" s="113" t="str">
        <f t="shared" si="523"/>
        <v>i</v>
      </c>
      <c r="K157" s="113" t="str">
        <f t="shared" si="523"/>
        <v>j</v>
      </c>
      <c r="L157" s="113" t="str">
        <f t="shared" si="523"/>
        <v>k</v>
      </c>
      <c r="M157" s="113" t="str">
        <f t="shared" si="523"/>
        <v>l</v>
      </c>
      <c r="N157" s="113" t="str">
        <f t="shared" si="523"/>
        <v>m</v>
      </c>
      <c r="O157" s="113">
        <f t="shared" si="523"/>
        <v>0</v>
      </c>
      <c r="P157" s="113">
        <f t="shared" si="523"/>
        <v>0</v>
      </c>
      <c r="Q157" s="113" t="str">
        <f t="shared" si="523"/>
        <v>p</v>
      </c>
      <c r="R157" s="113">
        <f t="shared" si="523"/>
        <v>0</v>
      </c>
      <c r="S157" s="113">
        <f t="shared" si="523"/>
        <v>0</v>
      </c>
      <c r="T157" s="113">
        <f t="shared" si="523"/>
        <v>0</v>
      </c>
      <c r="U157" s="113">
        <f t="shared" si="523"/>
        <v>0</v>
      </c>
      <c r="V157" s="113">
        <f t="shared" si="523"/>
        <v>0</v>
      </c>
      <c r="W157" s="113">
        <f t="shared" si="523"/>
        <v>0</v>
      </c>
      <c r="X157" s="113">
        <f t="shared" si="523"/>
        <v>0</v>
      </c>
      <c r="AA157" s="113">
        <v>0</v>
      </c>
      <c r="AB157" s="112">
        <f ca="1">INDIRECT(CONCATENATE($AB$10,CONCATENATE(B157,$A157)))</f>
        <v>39814</v>
      </c>
      <c r="AC157" s="112">
        <f ca="1">INDIRECT(CONCATENATE($AB$10,CONCATENATE(C157,$A157)))</f>
        <v>40268</v>
      </c>
      <c r="AF157" s="114">
        <f t="shared" ca="1" si="304"/>
        <v>12940.19</v>
      </c>
      <c r="AG157" s="114">
        <f ca="1">INDIRECT(CONCATENATE($AB$10,CONCATENATE(G157,$A157)))</f>
        <v>0</v>
      </c>
      <c r="AH157" s="114">
        <f ca="1">INDIRECT(CONCATENATE($AB$10,CONCATENATE(H157,$A157)))</f>
        <v>0</v>
      </c>
      <c r="AI157" s="114">
        <f ca="1">INDIRECT(CONCATENATE($AB$10,CONCATENATE(I157,$A157)))</f>
        <v>6384.11</v>
      </c>
      <c r="AJ157" s="114">
        <f ca="1">INDIRECT(CONCATENATE($AB$10,CONCATENATE(J157,$A157)))</f>
        <v>0</v>
      </c>
      <c r="AK157" s="114">
        <f ca="1">INDIRECT(CONCATENATE($AB$10,CONCATENATE(K157,$A157)))</f>
        <v>1610.36</v>
      </c>
      <c r="AN157">
        <f t="shared" si="272"/>
        <v>157</v>
      </c>
      <c r="AQ157" s="114">
        <f t="shared" ca="1" si="336"/>
        <v>1968</v>
      </c>
      <c r="AW157">
        <v>157</v>
      </c>
    </row>
    <row r="158" spans="1:49" x14ac:dyDescent="0.25">
      <c r="A158" s="113">
        <f t="shared" ref="A158:A163" si="524">A157+2</f>
        <v>782</v>
      </c>
      <c r="B158" s="113" t="str">
        <f t="shared" ref="B158:B163" si="525">B157</f>
        <v>a</v>
      </c>
      <c r="C158" s="113" t="str">
        <f t="shared" ref="C158:C163" si="526">C157</f>
        <v>b</v>
      </c>
      <c r="D158" s="113" t="str">
        <f t="shared" ref="D158:D163" si="527">D157</f>
        <v>c</v>
      </c>
      <c r="E158" s="113" t="str">
        <f t="shared" ref="E158:E163" si="528">E157</f>
        <v>d</v>
      </c>
      <c r="F158" s="113" t="str">
        <f t="shared" ref="F158:F163" si="529">F157</f>
        <v>e</v>
      </c>
      <c r="G158" s="113" t="str">
        <f t="shared" ref="G158:G163" si="530">G157</f>
        <v>f</v>
      </c>
      <c r="H158" s="113" t="str">
        <f t="shared" ref="H158:H163" si="531">H157</f>
        <v>g</v>
      </c>
      <c r="I158" s="113" t="str">
        <f t="shared" ref="I158:I163" si="532">I157</f>
        <v>h</v>
      </c>
      <c r="J158" s="113" t="str">
        <f t="shared" ref="J158:J163" si="533">J157</f>
        <v>i</v>
      </c>
      <c r="K158" s="113" t="str">
        <f t="shared" ref="K158:K163" si="534">K157</f>
        <v>j</v>
      </c>
      <c r="L158" s="113" t="str">
        <f t="shared" ref="L158:L163" si="535">L157</f>
        <v>k</v>
      </c>
      <c r="M158" s="113" t="str">
        <f t="shared" ref="M158:M163" si="536">M157</f>
        <v>l</v>
      </c>
      <c r="N158" s="113" t="str">
        <f t="shared" ref="N158:N163" si="537">N157</f>
        <v>m</v>
      </c>
      <c r="O158" s="113">
        <f t="shared" ref="O158:O163" si="538">O157</f>
        <v>0</v>
      </c>
      <c r="P158" s="113">
        <f t="shared" ref="P158:P163" si="539">P157</f>
        <v>0</v>
      </c>
      <c r="Q158" s="113" t="str">
        <f t="shared" ref="Q158:Q163" si="540">Q157</f>
        <v>p</v>
      </c>
      <c r="R158" s="113">
        <f t="shared" ref="R158:R163" si="541">R157</f>
        <v>0</v>
      </c>
      <c r="S158" s="113">
        <f t="shared" ref="S158:S163" si="542">S157</f>
        <v>0</v>
      </c>
      <c r="T158" s="113">
        <f t="shared" ref="T158:T163" si="543">T157</f>
        <v>0</v>
      </c>
      <c r="U158" s="113">
        <f t="shared" ref="U158:U163" si="544">U157</f>
        <v>0</v>
      </c>
      <c r="V158" s="113">
        <f t="shared" ref="V158:V163" si="545">V157</f>
        <v>0</v>
      </c>
      <c r="W158" s="113">
        <f t="shared" ref="W158:W163" si="546">W157</f>
        <v>0</v>
      </c>
      <c r="X158" s="113">
        <f t="shared" ref="X158:X163" si="547">X157</f>
        <v>0</v>
      </c>
      <c r="AA158" s="113">
        <v>3</v>
      </c>
      <c r="AB158" s="112">
        <f t="shared" ref="AB158:AC163" ca="1" si="548">AB157</f>
        <v>39814</v>
      </c>
      <c r="AC158" s="112">
        <f t="shared" ca="1" si="548"/>
        <v>40268</v>
      </c>
      <c r="AF158" s="114">
        <f t="shared" ca="1" si="304"/>
        <v>13462.24</v>
      </c>
      <c r="AG158" s="114">
        <f t="shared" ref="AG158:AG163" ca="1" si="549">INDIRECT(CONCATENATE($AB$10,CONCATENATE(G158,$A158)))</f>
        <v>0</v>
      </c>
      <c r="AH158" s="114">
        <f t="shared" ref="AH158:AH163" ca="1" si="550">INDIRECT(CONCATENATE($AB$10,CONCATENATE(H158,$A158)))</f>
        <v>0</v>
      </c>
      <c r="AI158" s="114">
        <f t="shared" ref="AI158:AI163" ca="1" si="551">INDIRECT(CONCATENATE($AB$10,CONCATENATE(I158,$A158)))</f>
        <v>6384.11</v>
      </c>
      <c r="AJ158" s="114">
        <f t="shared" ref="AJ158:AJ163" ca="1" si="552">INDIRECT(CONCATENATE($AB$10,CONCATENATE(J158,$A158)))</f>
        <v>0</v>
      </c>
      <c r="AK158" s="114">
        <f t="shared" ref="AK158:AK163" ca="1" si="553">INDIRECT(CONCATENATE($AB$10,CONCATENATE(K158,$A158)))</f>
        <v>1653.86</v>
      </c>
      <c r="AN158">
        <f t="shared" si="272"/>
        <v>158</v>
      </c>
      <c r="AQ158" s="114">
        <f t="shared" ca="1" si="336"/>
        <v>1968</v>
      </c>
      <c r="AW158">
        <v>158</v>
      </c>
    </row>
    <row r="159" spans="1:49" x14ac:dyDescent="0.25">
      <c r="A159" s="113">
        <f t="shared" si="524"/>
        <v>784</v>
      </c>
      <c r="B159" s="113" t="str">
        <f t="shared" si="525"/>
        <v>a</v>
      </c>
      <c r="C159" s="113" t="str">
        <f t="shared" si="526"/>
        <v>b</v>
      </c>
      <c r="D159" s="113" t="str">
        <f t="shared" si="527"/>
        <v>c</v>
      </c>
      <c r="E159" s="113" t="str">
        <f t="shared" si="528"/>
        <v>d</v>
      </c>
      <c r="F159" s="113" t="str">
        <f t="shared" si="529"/>
        <v>e</v>
      </c>
      <c r="G159" s="113" t="str">
        <f t="shared" si="530"/>
        <v>f</v>
      </c>
      <c r="H159" s="113" t="str">
        <f t="shared" si="531"/>
        <v>g</v>
      </c>
      <c r="I159" s="113" t="str">
        <f t="shared" si="532"/>
        <v>h</v>
      </c>
      <c r="J159" s="113" t="str">
        <f t="shared" si="533"/>
        <v>i</v>
      </c>
      <c r="K159" s="113" t="str">
        <f t="shared" si="534"/>
        <v>j</v>
      </c>
      <c r="L159" s="113" t="str">
        <f t="shared" si="535"/>
        <v>k</v>
      </c>
      <c r="M159" s="113" t="str">
        <f t="shared" si="536"/>
        <v>l</v>
      </c>
      <c r="N159" s="113" t="str">
        <f t="shared" si="537"/>
        <v>m</v>
      </c>
      <c r="O159" s="113">
        <f t="shared" si="538"/>
        <v>0</v>
      </c>
      <c r="P159" s="113">
        <f t="shared" si="539"/>
        <v>0</v>
      </c>
      <c r="Q159" s="113" t="str">
        <f t="shared" si="540"/>
        <v>p</v>
      </c>
      <c r="R159" s="113">
        <f t="shared" si="541"/>
        <v>0</v>
      </c>
      <c r="S159" s="113">
        <f t="shared" si="542"/>
        <v>0</v>
      </c>
      <c r="T159" s="113">
        <f t="shared" si="543"/>
        <v>0</v>
      </c>
      <c r="U159" s="113">
        <f t="shared" si="544"/>
        <v>0</v>
      </c>
      <c r="V159" s="113">
        <f t="shared" si="545"/>
        <v>0</v>
      </c>
      <c r="W159" s="113">
        <f t="shared" si="546"/>
        <v>0</v>
      </c>
      <c r="X159" s="113">
        <f t="shared" si="547"/>
        <v>0</v>
      </c>
      <c r="AA159" s="113">
        <v>9</v>
      </c>
      <c r="AB159" s="112">
        <f t="shared" ca="1" si="548"/>
        <v>39814</v>
      </c>
      <c r="AC159" s="112">
        <f t="shared" ca="1" si="548"/>
        <v>40268</v>
      </c>
      <c r="AF159" s="114">
        <f t="shared" ca="1" si="304"/>
        <v>15069.97</v>
      </c>
      <c r="AG159" s="114">
        <f t="shared" ca="1" si="549"/>
        <v>0</v>
      </c>
      <c r="AH159" s="114">
        <f t="shared" ca="1" si="550"/>
        <v>0</v>
      </c>
      <c r="AI159" s="114">
        <f t="shared" ca="1" si="551"/>
        <v>6384.11</v>
      </c>
      <c r="AJ159" s="114">
        <f t="shared" ca="1" si="552"/>
        <v>0</v>
      </c>
      <c r="AK159" s="114">
        <f t="shared" ca="1" si="553"/>
        <v>1787.84</v>
      </c>
      <c r="AN159">
        <f t="shared" si="272"/>
        <v>159</v>
      </c>
      <c r="AQ159" s="114">
        <f t="shared" ca="1" si="336"/>
        <v>1968</v>
      </c>
      <c r="AW159">
        <v>159</v>
      </c>
    </row>
    <row r="160" spans="1:49" x14ac:dyDescent="0.25">
      <c r="A160" s="113">
        <f t="shared" si="524"/>
        <v>786</v>
      </c>
      <c r="B160" s="113" t="str">
        <f t="shared" si="525"/>
        <v>a</v>
      </c>
      <c r="C160" s="113" t="str">
        <f t="shared" si="526"/>
        <v>b</v>
      </c>
      <c r="D160" s="113" t="str">
        <f t="shared" si="527"/>
        <v>c</v>
      </c>
      <c r="E160" s="113" t="str">
        <f t="shared" si="528"/>
        <v>d</v>
      </c>
      <c r="F160" s="113" t="str">
        <f t="shared" si="529"/>
        <v>e</v>
      </c>
      <c r="G160" s="113" t="str">
        <f t="shared" si="530"/>
        <v>f</v>
      </c>
      <c r="H160" s="113" t="str">
        <f t="shared" si="531"/>
        <v>g</v>
      </c>
      <c r="I160" s="113" t="str">
        <f t="shared" si="532"/>
        <v>h</v>
      </c>
      <c r="J160" s="113" t="str">
        <f t="shared" si="533"/>
        <v>i</v>
      </c>
      <c r="K160" s="113" t="str">
        <f t="shared" si="534"/>
        <v>j</v>
      </c>
      <c r="L160" s="113" t="str">
        <f t="shared" si="535"/>
        <v>k</v>
      </c>
      <c r="M160" s="113" t="str">
        <f t="shared" si="536"/>
        <v>l</v>
      </c>
      <c r="N160" s="113" t="str">
        <f t="shared" si="537"/>
        <v>m</v>
      </c>
      <c r="O160" s="113">
        <f t="shared" si="538"/>
        <v>0</v>
      </c>
      <c r="P160" s="113">
        <f t="shared" si="539"/>
        <v>0</v>
      </c>
      <c r="Q160" s="113" t="str">
        <f t="shared" si="540"/>
        <v>p</v>
      </c>
      <c r="R160" s="113">
        <f t="shared" si="541"/>
        <v>0</v>
      </c>
      <c r="S160" s="113">
        <f t="shared" si="542"/>
        <v>0</v>
      </c>
      <c r="T160" s="113">
        <f t="shared" si="543"/>
        <v>0</v>
      </c>
      <c r="U160" s="113">
        <f t="shared" si="544"/>
        <v>0</v>
      </c>
      <c r="V160" s="113">
        <f t="shared" si="545"/>
        <v>0</v>
      </c>
      <c r="W160" s="113">
        <f t="shared" si="546"/>
        <v>0</v>
      </c>
      <c r="X160" s="113">
        <f t="shared" si="547"/>
        <v>0</v>
      </c>
      <c r="AA160" s="113">
        <v>15</v>
      </c>
      <c r="AB160" s="112">
        <f t="shared" ca="1" si="548"/>
        <v>39814</v>
      </c>
      <c r="AC160" s="112">
        <f t="shared" ca="1" si="548"/>
        <v>40268</v>
      </c>
      <c r="AF160" s="114">
        <f t="shared" ca="1" si="304"/>
        <v>16947.900000000001</v>
      </c>
      <c r="AG160" s="114">
        <f t="shared" ca="1" si="549"/>
        <v>0</v>
      </c>
      <c r="AH160" s="114">
        <f t="shared" ca="1" si="550"/>
        <v>0</v>
      </c>
      <c r="AI160" s="114">
        <f t="shared" ca="1" si="551"/>
        <v>6384.11</v>
      </c>
      <c r="AJ160" s="114">
        <f t="shared" ca="1" si="552"/>
        <v>0</v>
      </c>
      <c r="AK160" s="114">
        <f t="shared" ca="1" si="553"/>
        <v>1944.33</v>
      </c>
      <c r="AN160">
        <f t="shared" si="272"/>
        <v>160</v>
      </c>
      <c r="AQ160" s="114">
        <f t="shared" ca="1" si="336"/>
        <v>2424</v>
      </c>
      <c r="AW160">
        <v>160</v>
      </c>
    </row>
    <row r="161" spans="1:49" x14ac:dyDescent="0.25">
      <c r="A161" s="113">
        <f t="shared" si="524"/>
        <v>788</v>
      </c>
      <c r="B161" s="113" t="str">
        <f t="shared" si="525"/>
        <v>a</v>
      </c>
      <c r="C161" s="113" t="str">
        <f t="shared" si="526"/>
        <v>b</v>
      </c>
      <c r="D161" s="113" t="str">
        <f t="shared" si="527"/>
        <v>c</v>
      </c>
      <c r="E161" s="113" t="str">
        <f t="shared" si="528"/>
        <v>d</v>
      </c>
      <c r="F161" s="113" t="str">
        <f t="shared" si="529"/>
        <v>e</v>
      </c>
      <c r="G161" s="113" t="str">
        <f t="shared" si="530"/>
        <v>f</v>
      </c>
      <c r="H161" s="113" t="str">
        <f t="shared" si="531"/>
        <v>g</v>
      </c>
      <c r="I161" s="113" t="str">
        <f t="shared" si="532"/>
        <v>h</v>
      </c>
      <c r="J161" s="113" t="str">
        <f t="shared" si="533"/>
        <v>i</v>
      </c>
      <c r="K161" s="113" t="str">
        <f t="shared" si="534"/>
        <v>j</v>
      </c>
      <c r="L161" s="113" t="str">
        <f t="shared" si="535"/>
        <v>k</v>
      </c>
      <c r="M161" s="113" t="str">
        <f t="shared" si="536"/>
        <v>l</v>
      </c>
      <c r="N161" s="113" t="str">
        <f t="shared" si="537"/>
        <v>m</v>
      </c>
      <c r="O161" s="113">
        <f t="shared" si="538"/>
        <v>0</v>
      </c>
      <c r="P161" s="113">
        <f t="shared" si="539"/>
        <v>0</v>
      </c>
      <c r="Q161" s="113" t="str">
        <f t="shared" si="540"/>
        <v>p</v>
      </c>
      <c r="R161" s="113">
        <f t="shared" si="541"/>
        <v>0</v>
      </c>
      <c r="S161" s="113">
        <f t="shared" si="542"/>
        <v>0</v>
      </c>
      <c r="T161" s="113">
        <f t="shared" si="543"/>
        <v>0</v>
      </c>
      <c r="U161" s="113">
        <f t="shared" si="544"/>
        <v>0</v>
      </c>
      <c r="V161" s="113">
        <f t="shared" si="545"/>
        <v>0</v>
      </c>
      <c r="W161" s="113">
        <f t="shared" si="546"/>
        <v>0</v>
      </c>
      <c r="X161" s="113">
        <f t="shared" si="547"/>
        <v>0</v>
      </c>
      <c r="AA161" s="113">
        <v>21</v>
      </c>
      <c r="AB161" s="112">
        <f t="shared" ca="1" si="548"/>
        <v>39814</v>
      </c>
      <c r="AC161" s="112">
        <f t="shared" ca="1" si="548"/>
        <v>40268</v>
      </c>
      <c r="AF161" s="114">
        <f t="shared" ca="1" si="304"/>
        <v>18770.54</v>
      </c>
      <c r="AG161" s="114">
        <f t="shared" ca="1" si="549"/>
        <v>0</v>
      </c>
      <c r="AH161" s="114">
        <f t="shared" ca="1" si="550"/>
        <v>0</v>
      </c>
      <c r="AI161" s="114">
        <f t="shared" ca="1" si="551"/>
        <v>6384.11</v>
      </c>
      <c r="AJ161" s="114">
        <f t="shared" ca="1" si="552"/>
        <v>0</v>
      </c>
      <c r="AK161" s="114">
        <f t="shared" ca="1" si="553"/>
        <v>2096.2199999999998</v>
      </c>
      <c r="AN161">
        <f t="shared" ref="AN161:AN224" si="554">AN160+1</f>
        <v>161</v>
      </c>
      <c r="AQ161" s="114">
        <f t="shared" ca="1" si="336"/>
        <v>2424</v>
      </c>
      <c r="AW161">
        <v>161</v>
      </c>
    </row>
    <row r="162" spans="1:49" x14ac:dyDescent="0.25">
      <c r="A162" s="113">
        <f t="shared" si="524"/>
        <v>790</v>
      </c>
      <c r="B162" s="113" t="str">
        <f t="shared" si="525"/>
        <v>a</v>
      </c>
      <c r="C162" s="113" t="str">
        <f t="shared" si="526"/>
        <v>b</v>
      </c>
      <c r="D162" s="113" t="str">
        <f t="shared" si="527"/>
        <v>c</v>
      </c>
      <c r="E162" s="113" t="str">
        <f t="shared" si="528"/>
        <v>d</v>
      </c>
      <c r="F162" s="113" t="str">
        <f t="shared" si="529"/>
        <v>e</v>
      </c>
      <c r="G162" s="113" t="str">
        <f t="shared" si="530"/>
        <v>f</v>
      </c>
      <c r="H162" s="113" t="str">
        <f t="shared" si="531"/>
        <v>g</v>
      </c>
      <c r="I162" s="113" t="str">
        <f t="shared" si="532"/>
        <v>h</v>
      </c>
      <c r="J162" s="113" t="str">
        <f t="shared" si="533"/>
        <v>i</v>
      </c>
      <c r="K162" s="113" t="str">
        <f t="shared" si="534"/>
        <v>j</v>
      </c>
      <c r="L162" s="113" t="str">
        <f t="shared" si="535"/>
        <v>k</v>
      </c>
      <c r="M162" s="113" t="str">
        <f t="shared" si="536"/>
        <v>l</v>
      </c>
      <c r="N162" s="113" t="str">
        <f t="shared" si="537"/>
        <v>m</v>
      </c>
      <c r="O162" s="113">
        <f t="shared" si="538"/>
        <v>0</v>
      </c>
      <c r="P162" s="113">
        <f t="shared" si="539"/>
        <v>0</v>
      </c>
      <c r="Q162" s="113" t="str">
        <f t="shared" si="540"/>
        <v>p</v>
      </c>
      <c r="R162" s="113">
        <f t="shared" si="541"/>
        <v>0</v>
      </c>
      <c r="S162" s="113">
        <f t="shared" si="542"/>
        <v>0</v>
      </c>
      <c r="T162" s="113">
        <f t="shared" si="543"/>
        <v>0</v>
      </c>
      <c r="U162" s="113">
        <f t="shared" si="544"/>
        <v>0</v>
      </c>
      <c r="V162" s="113">
        <f t="shared" si="545"/>
        <v>0</v>
      </c>
      <c r="W162" s="113">
        <f t="shared" si="546"/>
        <v>0</v>
      </c>
      <c r="X162" s="113">
        <f t="shared" si="547"/>
        <v>0</v>
      </c>
      <c r="AA162" s="113">
        <v>28</v>
      </c>
      <c r="AB162" s="112">
        <f t="shared" ca="1" si="548"/>
        <v>39814</v>
      </c>
      <c r="AC162" s="112">
        <f t="shared" ca="1" si="548"/>
        <v>40268</v>
      </c>
      <c r="AF162" s="114">
        <f t="shared" ca="1" si="304"/>
        <v>20568.830000000002</v>
      </c>
      <c r="AG162" s="114">
        <f t="shared" ca="1" si="549"/>
        <v>0</v>
      </c>
      <c r="AH162" s="114">
        <f t="shared" ca="1" si="550"/>
        <v>0</v>
      </c>
      <c r="AI162" s="114">
        <f t="shared" ca="1" si="551"/>
        <v>6384.11</v>
      </c>
      <c r="AJ162" s="114">
        <f t="shared" ca="1" si="552"/>
        <v>0</v>
      </c>
      <c r="AK162" s="114">
        <f t="shared" ca="1" si="553"/>
        <v>2246.08</v>
      </c>
      <c r="AN162">
        <f t="shared" si="554"/>
        <v>162</v>
      </c>
      <c r="AQ162" s="114">
        <f t="shared" ca="1" si="336"/>
        <v>3090</v>
      </c>
      <c r="AW162">
        <v>162</v>
      </c>
    </row>
    <row r="163" spans="1:49" x14ac:dyDescent="0.25">
      <c r="A163" s="113">
        <f t="shared" si="524"/>
        <v>792</v>
      </c>
      <c r="B163" s="113" t="str">
        <f t="shared" si="525"/>
        <v>a</v>
      </c>
      <c r="C163" s="113" t="str">
        <f t="shared" si="526"/>
        <v>b</v>
      </c>
      <c r="D163" s="113" t="str">
        <f t="shared" si="527"/>
        <v>c</v>
      </c>
      <c r="E163" s="113" t="str">
        <f t="shared" si="528"/>
        <v>d</v>
      </c>
      <c r="F163" s="113" t="str">
        <f t="shared" si="529"/>
        <v>e</v>
      </c>
      <c r="G163" s="113" t="str">
        <f t="shared" si="530"/>
        <v>f</v>
      </c>
      <c r="H163" s="113" t="str">
        <f t="shared" si="531"/>
        <v>g</v>
      </c>
      <c r="I163" s="113" t="str">
        <f t="shared" si="532"/>
        <v>h</v>
      </c>
      <c r="J163" s="113" t="str">
        <f t="shared" si="533"/>
        <v>i</v>
      </c>
      <c r="K163" s="113" t="str">
        <f t="shared" si="534"/>
        <v>j</v>
      </c>
      <c r="L163" s="113" t="str">
        <f t="shared" si="535"/>
        <v>k</v>
      </c>
      <c r="M163" s="113" t="str">
        <f t="shared" si="536"/>
        <v>l</v>
      </c>
      <c r="N163" s="113" t="str">
        <f t="shared" si="537"/>
        <v>m</v>
      </c>
      <c r="O163" s="113">
        <f t="shared" si="538"/>
        <v>0</v>
      </c>
      <c r="P163" s="113">
        <f t="shared" si="539"/>
        <v>0</v>
      </c>
      <c r="Q163" s="113" t="str">
        <f t="shared" si="540"/>
        <v>p</v>
      </c>
      <c r="R163" s="113">
        <f t="shared" si="541"/>
        <v>0</v>
      </c>
      <c r="S163" s="113">
        <f t="shared" si="542"/>
        <v>0</v>
      </c>
      <c r="T163" s="113">
        <f t="shared" si="543"/>
        <v>0</v>
      </c>
      <c r="U163" s="113">
        <f t="shared" si="544"/>
        <v>0</v>
      </c>
      <c r="V163" s="113">
        <f t="shared" si="545"/>
        <v>0</v>
      </c>
      <c r="W163" s="113">
        <f t="shared" si="546"/>
        <v>0</v>
      </c>
      <c r="X163" s="113">
        <f t="shared" si="547"/>
        <v>0</v>
      </c>
      <c r="AA163" s="113">
        <v>35</v>
      </c>
      <c r="AB163" s="112">
        <f t="shared" ca="1" si="548"/>
        <v>39814</v>
      </c>
      <c r="AC163" s="112">
        <f t="shared" ca="1" si="548"/>
        <v>40268</v>
      </c>
      <c r="AF163" s="114">
        <f t="shared" ca="1" si="304"/>
        <v>21907.88</v>
      </c>
      <c r="AG163" s="114">
        <f t="shared" ca="1" si="549"/>
        <v>0</v>
      </c>
      <c r="AH163" s="114">
        <f t="shared" ca="1" si="550"/>
        <v>0</v>
      </c>
      <c r="AI163" s="114">
        <f t="shared" ca="1" si="551"/>
        <v>6384.11</v>
      </c>
      <c r="AJ163" s="114">
        <f t="shared" ca="1" si="552"/>
        <v>0</v>
      </c>
      <c r="AK163" s="114">
        <f t="shared" ca="1" si="553"/>
        <v>2357.67</v>
      </c>
      <c r="AN163">
        <f t="shared" si="554"/>
        <v>163</v>
      </c>
      <c r="AQ163" s="114">
        <f t="shared" ca="1" si="336"/>
        <v>3090</v>
      </c>
      <c r="AW163">
        <v>163</v>
      </c>
    </row>
    <row r="164" spans="1:49" x14ac:dyDescent="0.25">
      <c r="A164" s="113">
        <f>A157+20</f>
        <v>800</v>
      </c>
      <c r="B164" s="113" t="str">
        <f>B157</f>
        <v>a</v>
      </c>
      <c r="C164" s="113" t="str">
        <f t="shared" ref="C164:X164" si="555">C157</f>
        <v>b</v>
      </c>
      <c r="D164" s="113" t="str">
        <f t="shared" si="555"/>
        <v>c</v>
      </c>
      <c r="E164" s="113" t="str">
        <f t="shared" si="555"/>
        <v>d</v>
      </c>
      <c r="F164" s="113" t="str">
        <f t="shared" si="555"/>
        <v>e</v>
      </c>
      <c r="G164" s="113" t="str">
        <f t="shared" si="555"/>
        <v>f</v>
      </c>
      <c r="H164" s="113" t="str">
        <f t="shared" si="555"/>
        <v>g</v>
      </c>
      <c r="I164" s="113" t="str">
        <f t="shared" si="555"/>
        <v>h</v>
      </c>
      <c r="J164" s="113" t="str">
        <f t="shared" si="555"/>
        <v>i</v>
      </c>
      <c r="K164" s="113" t="str">
        <f t="shared" si="555"/>
        <v>j</v>
      </c>
      <c r="L164" s="113" t="str">
        <f t="shared" si="555"/>
        <v>k</v>
      </c>
      <c r="M164" s="113" t="str">
        <f t="shared" si="555"/>
        <v>l</v>
      </c>
      <c r="N164" s="113" t="str">
        <f t="shared" si="555"/>
        <v>m</v>
      </c>
      <c r="O164" s="113">
        <f t="shared" si="555"/>
        <v>0</v>
      </c>
      <c r="P164" s="113">
        <f t="shared" si="555"/>
        <v>0</v>
      </c>
      <c r="Q164" s="113" t="str">
        <f t="shared" si="555"/>
        <v>p</v>
      </c>
      <c r="R164" s="113">
        <f t="shared" si="555"/>
        <v>0</v>
      </c>
      <c r="S164" s="113">
        <f t="shared" si="555"/>
        <v>0</v>
      </c>
      <c r="T164" s="113">
        <f t="shared" si="555"/>
        <v>0</v>
      </c>
      <c r="U164" s="113">
        <f t="shared" si="555"/>
        <v>0</v>
      </c>
      <c r="V164" s="113">
        <f t="shared" si="555"/>
        <v>0</v>
      </c>
      <c r="W164" s="113">
        <f t="shared" si="555"/>
        <v>0</v>
      </c>
      <c r="X164" s="113">
        <f t="shared" si="555"/>
        <v>0</v>
      </c>
      <c r="AA164" s="113">
        <v>0</v>
      </c>
      <c r="AB164" s="112">
        <f ca="1">INDIRECT(CONCATENATE($AB$10,CONCATENATE(B164,$A164)))</f>
        <v>40269</v>
      </c>
      <c r="AC164" s="112">
        <f ca="1">INDIRECT(CONCATENATE($AB$10,CONCATENATE(C164,$A164)))</f>
        <v>40359</v>
      </c>
      <c r="AF164" s="114">
        <f t="shared" ca="1" si="304"/>
        <v>12940.19</v>
      </c>
      <c r="AG164" s="114">
        <f ca="1">INDIRECT(CONCATENATE($AB$10,CONCATENATE(G164,$A164)))</f>
        <v>0</v>
      </c>
      <c r="AH164" s="114">
        <f ca="1">INDIRECT(CONCATENATE($AB$10,CONCATENATE(H164,$A164)))</f>
        <v>0</v>
      </c>
      <c r="AI164" s="114">
        <f ca="1">INDIRECT(CONCATENATE($AB$10,CONCATENATE(I164,$A164)))</f>
        <v>6384.11</v>
      </c>
      <c r="AJ164" s="114">
        <f ca="1">INDIRECT(CONCATENATE($AB$10,CONCATENATE(J164,$A164)))</f>
        <v>86.96</v>
      </c>
      <c r="AK164" s="114">
        <f ca="1">INDIRECT(CONCATENATE($AB$10,CONCATENATE(K164,$A164)))</f>
        <v>1610.36</v>
      </c>
      <c r="AN164">
        <f t="shared" si="554"/>
        <v>164</v>
      </c>
      <c r="AQ164" s="114">
        <f t="shared" ca="1" si="336"/>
        <v>1968</v>
      </c>
      <c r="AW164">
        <v>164</v>
      </c>
    </row>
    <row r="165" spans="1:49" x14ac:dyDescent="0.25">
      <c r="A165" s="113">
        <f t="shared" ref="A165:A170" si="556">A164+2</f>
        <v>802</v>
      </c>
      <c r="B165" s="113" t="str">
        <f t="shared" ref="B165:B170" si="557">B164</f>
        <v>a</v>
      </c>
      <c r="C165" s="113" t="str">
        <f t="shared" ref="C165:C170" si="558">C164</f>
        <v>b</v>
      </c>
      <c r="D165" s="113" t="str">
        <f t="shared" ref="D165:D170" si="559">D164</f>
        <v>c</v>
      </c>
      <c r="E165" s="113" t="str">
        <f t="shared" ref="E165:E170" si="560">E164</f>
        <v>d</v>
      </c>
      <c r="F165" s="113" t="str">
        <f t="shared" ref="F165:F170" si="561">F164</f>
        <v>e</v>
      </c>
      <c r="G165" s="113" t="str">
        <f t="shared" ref="G165:G170" si="562">G164</f>
        <v>f</v>
      </c>
      <c r="H165" s="113" t="str">
        <f t="shared" ref="H165:H170" si="563">H164</f>
        <v>g</v>
      </c>
      <c r="I165" s="113" t="str">
        <f t="shared" ref="I165:I170" si="564">I164</f>
        <v>h</v>
      </c>
      <c r="J165" s="113" t="str">
        <f t="shared" ref="J165:J170" si="565">J164</f>
        <v>i</v>
      </c>
      <c r="K165" s="113" t="str">
        <f t="shared" ref="K165:K170" si="566">K164</f>
        <v>j</v>
      </c>
      <c r="L165" s="113" t="str">
        <f t="shared" ref="L165:L170" si="567">L164</f>
        <v>k</v>
      </c>
      <c r="M165" s="113" t="str">
        <f t="shared" ref="M165:M170" si="568">M164</f>
        <v>l</v>
      </c>
      <c r="N165" s="113" t="str">
        <f t="shared" ref="N165:N170" si="569">N164</f>
        <v>m</v>
      </c>
      <c r="O165" s="113">
        <f t="shared" ref="O165:O170" si="570">O164</f>
        <v>0</v>
      </c>
      <c r="P165" s="113">
        <f t="shared" ref="P165:P170" si="571">P164</f>
        <v>0</v>
      </c>
      <c r="Q165" s="113" t="str">
        <f t="shared" ref="Q165:Q170" si="572">Q164</f>
        <v>p</v>
      </c>
      <c r="R165" s="113">
        <f t="shared" ref="R165:R170" si="573">R164</f>
        <v>0</v>
      </c>
      <c r="S165" s="113">
        <f t="shared" ref="S165:S170" si="574">S164</f>
        <v>0</v>
      </c>
      <c r="T165" s="113">
        <f t="shared" ref="T165:T170" si="575">T164</f>
        <v>0</v>
      </c>
      <c r="U165" s="113">
        <f t="shared" ref="U165:U170" si="576">U164</f>
        <v>0</v>
      </c>
      <c r="V165" s="113">
        <f t="shared" ref="V165:V170" si="577">V164</f>
        <v>0</v>
      </c>
      <c r="W165" s="113">
        <f t="shared" ref="W165:W170" si="578">W164</f>
        <v>0</v>
      </c>
      <c r="X165" s="113">
        <f t="shared" ref="X165:X170" si="579">X164</f>
        <v>0</v>
      </c>
      <c r="AA165" s="113">
        <v>3</v>
      </c>
      <c r="AB165" s="112">
        <f t="shared" ref="AB165:AC170" ca="1" si="580">AB164</f>
        <v>40269</v>
      </c>
      <c r="AC165" s="112">
        <f t="shared" ca="1" si="580"/>
        <v>40359</v>
      </c>
      <c r="AF165" s="114">
        <f t="shared" ca="1" si="304"/>
        <v>13462.24</v>
      </c>
      <c r="AG165" s="114">
        <f t="shared" ref="AG165:AG170" ca="1" si="581">INDIRECT(CONCATENATE($AB$10,CONCATENATE(G165,$A165)))</f>
        <v>0</v>
      </c>
      <c r="AH165" s="114">
        <f t="shared" ref="AH165:AH170" ca="1" si="582">INDIRECT(CONCATENATE($AB$10,CONCATENATE(H165,$A165)))</f>
        <v>0</v>
      </c>
      <c r="AI165" s="114">
        <f t="shared" ref="AI165:AI170" ca="1" si="583">INDIRECT(CONCATENATE($AB$10,CONCATENATE(I165,$A165)))</f>
        <v>6384.11</v>
      </c>
      <c r="AJ165" s="114">
        <f t="shared" ref="AJ165:AJ170" ca="1" si="584">INDIRECT(CONCATENATE($AB$10,CONCATENATE(J165,$A165)))</f>
        <v>86.96</v>
      </c>
      <c r="AK165" s="114">
        <f t="shared" ref="AK165:AK170" ca="1" si="585">INDIRECT(CONCATENATE($AB$10,CONCATENATE(K165,$A165)))</f>
        <v>1653.86</v>
      </c>
      <c r="AN165">
        <f t="shared" si="554"/>
        <v>165</v>
      </c>
      <c r="AQ165" s="114">
        <f t="shared" ca="1" si="336"/>
        <v>1968</v>
      </c>
      <c r="AW165">
        <v>165</v>
      </c>
    </row>
    <row r="166" spans="1:49" x14ac:dyDescent="0.25">
      <c r="A166" s="113">
        <f t="shared" si="556"/>
        <v>804</v>
      </c>
      <c r="B166" s="113" t="str">
        <f t="shared" si="557"/>
        <v>a</v>
      </c>
      <c r="C166" s="113" t="str">
        <f t="shared" si="558"/>
        <v>b</v>
      </c>
      <c r="D166" s="113" t="str">
        <f t="shared" si="559"/>
        <v>c</v>
      </c>
      <c r="E166" s="113" t="str">
        <f t="shared" si="560"/>
        <v>d</v>
      </c>
      <c r="F166" s="113" t="str">
        <f t="shared" si="561"/>
        <v>e</v>
      </c>
      <c r="G166" s="113" t="str">
        <f t="shared" si="562"/>
        <v>f</v>
      </c>
      <c r="H166" s="113" t="str">
        <f t="shared" si="563"/>
        <v>g</v>
      </c>
      <c r="I166" s="113" t="str">
        <f t="shared" si="564"/>
        <v>h</v>
      </c>
      <c r="J166" s="113" t="str">
        <f t="shared" si="565"/>
        <v>i</v>
      </c>
      <c r="K166" s="113" t="str">
        <f t="shared" si="566"/>
        <v>j</v>
      </c>
      <c r="L166" s="113" t="str">
        <f t="shared" si="567"/>
        <v>k</v>
      </c>
      <c r="M166" s="113" t="str">
        <f t="shared" si="568"/>
        <v>l</v>
      </c>
      <c r="N166" s="113" t="str">
        <f t="shared" si="569"/>
        <v>m</v>
      </c>
      <c r="O166" s="113">
        <f t="shared" si="570"/>
        <v>0</v>
      </c>
      <c r="P166" s="113">
        <f t="shared" si="571"/>
        <v>0</v>
      </c>
      <c r="Q166" s="113" t="str">
        <f t="shared" si="572"/>
        <v>p</v>
      </c>
      <c r="R166" s="113">
        <f t="shared" si="573"/>
        <v>0</v>
      </c>
      <c r="S166" s="113">
        <f t="shared" si="574"/>
        <v>0</v>
      </c>
      <c r="T166" s="113">
        <f t="shared" si="575"/>
        <v>0</v>
      </c>
      <c r="U166" s="113">
        <f t="shared" si="576"/>
        <v>0</v>
      </c>
      <c r="V166" s="113">
        <f t="shared" si="577"/>
        <v>0</v>
      </c>
      <c r="W166" s="113">
        <f t="shared" si="578"/>
        <v>0</v>
      </c>
      <c r="X166" s="113">
        <f t="shared" si="579"/>
        <v>0</v>
      </c>
      <c r="AA166" s="113">
        <v>9</v>
      </c>
      <c r="AB166" s="112">
        <f t="shared" ca="1" si="580"/>
        <v>40269</v>
      </c>
      <c r="AC166" s="112">
        <f t="shared" ca="1" si="580"/>
        <v>40359</v>
      </c>
      <c r="AF166" s="114">
        <f t="shared" ca="1" si="304"/>
        <v>15069.97</v>
      </c>
      <c r="AG166" s="114">
        <f t="shared" ca="1" si="581"/>
        <v>0</v>
      </c>
      <c r="AH166" s="114">
        <f t="shared" ca="1" si="582"/>
        <v>0</v>
      </c>
      <c r="AI166" s="114">
        <f t="shared" ca="1" si="583"/>
        <v>6384.11</v>
      </c>
      <c r="AJ166" s="114">
        <f t="shared" ca="1" si="584"/>
        <v>86.96</v>
      </c>
      <c r="AK166" s="114">
        <f t="shared" ca="1" si="585"/>
        <v>1787.84</v>
      </c>
      <c r="AN166">
        <f t="shared" si="554"/>
        <v>166</v>
      </c>
      <c r="AQ166" s="114">
        <f t="shared" ca="1" si="336"/>
        <v>1968</v>
      </c>
      <c r="AW166">
        <v>166</v>
      </c>
    </row>
    <row r="167" spans="1:49" x14ac:dyDescent="0.25">
      <c r="A167" s="113">
        <f t="shared" si="556"/>
        <v>806</v>
      </c>
      <c r="B167" s="113" t="str">
        <f t="shared" si="557"/>
        <v>a</v>
      </c>
      <c r="C167" s="113" t="str">
        <f t="shared" si="558"/>
        <v>b</v>
      </c>
      <c r="D167" s="113" t="str">
        <f t="shared" si="559"/>
        <v>c</v>
      </c>
      <c r="E167" s="113" t="str">
        <f t="shared" si="560"/>
        <v>d</v>
      </c>
      <c r="F167" s="113" t="str">
        <f t="shared" si="561"/>
        <v>e</v>
      </c>
      <c r="G167" s="113" t="str">
        <f t="shared" si="562"/>
        <v>f</v>
      </c>
      <c r="H167" s="113" t="str">
        <f t="shared" si="563"/>
        <v>g</v>
      </c>
      <c r="I167" s="113" t="str">
        <f t="shared" si="564"/>
        <v>h</v>
      </c>
      <c r="J167" s="113" t="str">
        <f t="shared" si="565"/>
        <v>i</v>
      </c>
      <c r="K167" s="113" t="str">
        <f t="shared" si="566"/>
        <v>j</v>
      </c>
      <c r="L167" s="113" t="str">
        <f t="shared" si="567"/>
        <v>k</v>
      </c>
      <c r="M167" s="113" t="str">
        <f t="shared" si="568"/>
        <v>l</v>
      </c>
      <c r="N167" s="113" t="str">
        <f t="shared" si="569"/>
        <v>m</v>
      </c>
      <c r="O167" s="113">
        <f t="shared" si="570"/>
        <v>0</v>
      </c>
      <c r="P167" s="113">
        <f t="shared" si="571"/>
        <v>0</v>
      </c>
      <c r="Q167" s="113" t="str">
        <f t="shared" si="572"/>
        <v>p</v>
      </c>
      <c r="R167" s="113">
        <f t="shared" si="573"/>
        <v>0</v>
      </c>
      <c r="S167" s="113">
        <f t="shared" si="574"/>
        <v>0</v>
      </c>
      <c r="T167" s="113">
        <f t="shared" si="575"/>
        <v>0</v>
      </c>
      <c r="U167" s="113">
        <f t="shared" si="576"/>
        <v>0</v>
      </c>
      <c r="V167" s="113">
        <f t="shared" si="577"/>
        <v>0</v>
      </c>
      <c r="W167" s="113">
        <f t="shared" si="578"/>
        <v>0</v>
      </c>
      <c r="X167" s="113">
        <f t="shared" si="579"/>
        <v>0</v>
      </c>
      <c r="AA167" s="113">
        <v>15</v>
      </c>
      <c r="AB167" s="112">
        <f t="shared" ca="1" si="580"/>
        <v>40269</v>
      </c>
      <c r="AC167" s="112">
        <f t="shared" ca="1" si="580"/>
        <v>40359</v>
      </c>
      <c r="AF167" s="114">
        <f t="shared" ref="AF167:AF230" ca="1" si="586">INDIRECT(CONCATENATE($AB$10,CONCATENATE(F167,$A167)))</f>
        <v>16947.900000000001</v>
      </c>
      <c r="AG167" s="114">
        <f t="shared" ca="1" si="581"/>
        <v>0</v>
      </c>
      <c r="AH167" s="114">
        <f t="shared" ca="1" si="582"/>
        <v>0</v>
      </c>
      <c r="AI167" s="114">
        <f t="shared" ca="1" si="583"/>
        <v>6384.11</v>
      </c>
      <c r="AJ167" s="114">
        <f t="shared" ca="1" si="584"/>
        <v>86.96</v>
      </c>
      <c r="AK167" s="114">
        <f t="shared" ca="1" si="585"/>
        <v>1944.33</v>
      </c>
      <c r="AN167">
        <f t="shared" si="554"/>
        <v>167</v>
      </c>
      <c r="AQ167" s="114">
        <f t="shared" ca="1" si="336"/>
        <v>2424</v>
      </c>
      <c r="AW167">
        <v>167</v>
      </c>
    </row>
    <row r="168" spans="1:49" x14ac:dyDescent="0.25">
      <c r="A168" s="113">
        <f t="shared" si="556"/>
        <v>808</v>
      </c>
      <c r="B168" s="113" t="str">
        <f t="shared" si="557"/>
        <v>a</v>
      </c>
      <c r="C168" s="113" t="str">
        <f t="shared" si="558"/>
        <v>b</v>
      </c>
      <c r="D168" s="113" t="str">
        <f t="shared" si="559"/>
        <v>c</v>
      </c>
      <c r="E168" s="113" t="str">
        <f t="shared" si="560"/>
        <v>d</v>
      </c>
      <c r="F168" s="113" t="str">
        <f t="shared" si="561"/>
        <v>e</v>
      </c>
      <c r="G168" s="113" t="str">
        <f t="shared" si="562"/>
        <v>f</v>
      </c>
      <c r="H168" s="113" t="str">
        <f t="shared" si="563"/>
        <v>g</v>
      </c>
      <c r="I168" s="113" t="str">
        <f t="shared" si="564"/>
        <v>h</v>
      </c>
      <c r="J168" s="113" t="str">
        <f t="shared" si="565"/>
        <v>i</v>
      </c>
      <c r="K168" s="113" t="str">
        <f t="shared" si="566"/>
        <v>j</v>
      </c>
      <c r="L168" s="113" t="str">
        <f t="shared" si="567"/>
        <v>k</v>
      </c>
      <c r="M168" s="113" t="str">
        <f t="shared" si="568"/>
        <v>l</v>
      </c>
      <c r="N168" s="113" t="str">
        <f t="shared" si="569"/>
        <v>m</v>
      </c>
      <c r="O168" s="113">
        <f t="shared" si="570"/>
        <v>0</v>
      </c>
      <c r="P168" s="113">
        <f t="shared" si="571"/>
        <v>0</v>
      </c>
      <c r="Q168" s="113" t="str">
        <f t="shared" si="572"/>
        <v>p</v>
      </c>
      <c r="R168" s="113">
        <f t="shared" si="573"/>
        <v>0</v>
      </c>
      <c r="S168" s="113">
        <f t="shared" si="574"/>
        <v>0</v>
      </c>
      <c r="T168" s="113">
        <f t="shared" si="575"/>
        <v>0</v>
      </c>
      <c r="U168" s="113">
        <f t="shared" si="576"/>
        <v>0</v>
      </c>
      <c r="V168" s="113">
        <f t="shared" si="577"/>
        <v>0</v>
      </c>
      <c r="W168" s="113">
        <f t="shared" si="578"/>
        <v>0</v>
      </c>
      <c r="X168" s="113">
        <f t="shared" si="579"/>
        <v>0</v>
      </c>
      <c r="AA168" s="113">
        <v>21</v>
      </c>
      <c r="AB168" s="112">
        <f t="shared" ca="1" si="580"/>
        <v>40269</v>
      </c>
      <c r="AC168" s="112">
        <f t="shared" ca="1" si="580"/>
        <v>40359</v>
      </c>
      <c r="AF168" s="114">
        <f t="shared" ca="1" si="586"/>
        <v>18770.54</v>
      </c>
      <c r="AG168" s="114">
        <f t="shared" ca="1" si="581"/>
        <v>0</v>
      </c>
      <c r="AH168" s="114">
        <f t="shared" ca="1" si="582"/>
        <v>0</v>
      </c>
      <c r="AI168" s="114">
        <f t="shared" ca="1" si="583"/>
        <v>6384.11</v>
      </c>
      <c r="AJ168" s="114">
        <f t="shared" ca="1" si="584"/>
        <v>86.96</v>
      </c>
      <c r="AK168" s="114">
        <f t="shared" ca="1" si="585"/>
        <v>2096.2199999999998</v>
      </c>
      <c r="AN168">
        <f t="shared" si="554"/>
        <v>168</v>
      </c>
      <c r="AQ168" s="114">
        <f t="shared" ca="1" si="336"/>
        <v>2424</v>
      </c>
      <c r="AW168">
        <v>168</v>
      </c>
    </row>
    <row r="169" spans="1:49" x14ac:dyDescent="0.25">
      <c r="A169" s="113">
        <f t="shared" si="556"/>
        <v>810</v>
      </c>
      <c r="B169" s="113" t="str">
        <f t="shared" si="557"/>
        <v>a</v>
      </c>
      <c r="C169" s="113" t="str">
        <f t="shared" si="558"/>
        <v>b</v>
      </c>
      <c r="D169" s="113" t="str">
        <f t="shared" si="559"/>
        <v>c</v>
      </c>
      <c r="E169" s="113" t="str">
        <f t="shared" si="560"/>
        <v>d</v>
      </c>
      <c r="F169" s="113" t="str">
        <f t="shared" si="561"/>
        <v>e</v>
      </c>
      <c r="G169" s="113" t="str">
        <f t="shared" si="562"/>
        <v>f</v>
      </c>
      <c r="H169" s="113" t="str">
        <f t="shared" si="563"/>
        <v>g</v>
      </c>
      <c r="I169" s="113" t="str">
        <f t="shared" si="564"/>
        <v>h</v>
      </c>
      <c r="J169" s="113" t="str">
        <f t="shared" si="565"/>
        <v>i</v>
      </c>
      <c r="K169" s="113" t="str">
        <f t="shared" si="566"/>
        <v>j</v>
      </c>
      <c r="L169" s="113" t="str">
        <f t="shared" si="567"/>
        <v>k</v>
      </c>
      <c r="M169" s="113" t="str">
        <f t="shared" si="568"/>
        <v>l</v>
      </c>
      <c r="N169" s="113" t="str">
        <f t="shared" si="569"/>
        <v>m</v>
      </c>
      <c r="O169" s="113">
        <f t="shared" si="570"/>
        <v>0</v>
      </c>
      <c r="P169" s="113">
        <f t="shared" si="571"/>
        <v>0</v>
      </c>
      <c r="Q169" s="113" t="str">
        <f t="shared" si="572"/>
        <v>p</v>
      </c>
      <c r="R169" s="113">
        <f t="shared" si="573"/>
        <v>0</v>
      </c>
      <c r="S169" s="113">
        <f t="shared" si="574"/>
        <v>0</v>
      </c>
      <c r="T169" s="113">
        <f t="shared" si="575"/>
        <v>0</v>
      </c>
      <c r="U169" s="113">
        <f t="shared" si="576"/>
        <v>0</v>
      </c>
      <c r="V169" s="113">
        <f t="shared" si="577"/>
        <v>0</v>
      </c>
      <c r="W169" s="113">
        <f t="shared" si="578"/>
        <v>0</v>
      </c>
      <c r="X169" s="113">
        <f t="shared" si="579"/>
        <v>0</v>
      </c>
      <c r="AA169" s="113">
        <v>28</v>
      </c>
      <c r="AB169" s="112">
        <f t="shared" ca="1" si="580"/>
        <v>40269</v>
      </c>
      <c r="AC169" s="112">
        <f t="shared" ca="1" si="580"/>
        <v>40359</v>
      </c>
      <c r="AF169" s="114">
        <f t="shared" ca="1" si="586"/>
        <v>20568.830000000002</v>
      </c>
      <c r="AG169" s="114">
        <f t="shared" ca="1" si="581"/>
        <v>0</v>
      </c>
      <c r="AH169" s="114">
        <f t="shared" ca="1" si="582"/>
        <v>0</v>
      </c>
      <c r="AI169" s="114">
        <f t="shared" ca="1" si="583"/>
        <v>6384.11</v>
      </c>
      <c r="AJ169" s="114">
        <f t="shared" ca="1" si="584"/>
        <v>86.96</v>
      </c>
      <c r="AK169" s="114">
        <f t="shared" ca="1" si="585"/>
        <v>2246.08</v>
      </c>
      <c r="AN169">
        <f t="shared" si="554"/>
        <v>169</v>
      </c>
      <c r="AQ169" s="114">
        <f t="shared" ca="1" si="336"/>
        <v>3090</v>
      </c>
      <c r="AW169">
        <v>169</v>
      </c>
    </row>
    <row r="170" spans="1:49" x14ac:dyDescent="0.25">
      <c r="A170" s="113">
        <f t="shared" si="556"/>
        <v>812</v>
      </c>
      <c r="B170" s="113" t="str">
        <f t="shared" si="557"/>
        <v>a</v>
      </c>
      <c r="C170" s="113" t="str">
        <f t="shared" si="558"/>
        <v>b</v>
      </c>
      <c r="D170" s="113" t="str">
        <f t="shared" si="559"/>
        <v>c</v>
      </c>
      <c r="E170" s="113" t="str">
        <f t="shared" si="560"/>
        <v>d</v>
      </c>
      <c r="F170" s="113" t="str">
        <f t="shared" si="561"/>
        <v>e</v>
      </c>
      <c r="G170" s="113" t="str">
        <f t="shared" si="562"/>
        <v>f</v>
      </c>
      <c r="H170" s="113" t="str">
        <f t="shared" si="563"/>
        <v>g</v>
      </c>
      <c r="I170" s="113" t="str">
        <f t="shared" si="564"/>
        <v>h</v>
      </c>
      <c r="J170" s="113" t="str">
        <f t="shared" si="565"/>
        <v>i</v>
      </c>
      <c r="K170" s="113" t="str">
        <f t="shared" si="566"/>
        <v>j</v>
      </c>
      <c r="L170" s="113" t="str">
        <f t="shared" si="567"/>
        <v>k</v>
      </c>
      <c r="M170" s="113" t="str">
        <f t="shared" si="568"/>
        <v>l</v>
      </c>
      <c r="N170" s="113" t="str">
        <f t="shared" si="569"/>
        <v>m</v>
      </c>
      <c r="O170" s="113">
        <f t="shared" si="570"/>
        <v>0</v>
      </c>
      <c r="P170" s="113">
        <f t="shared" si="571"/>
        <v>0</v>
      </c>
      <c r="Q170" s="113" t="str">
        <f t="shared" si="572"/>
        <v>p</v>
      </c>
      <c r="R170" s="113">
        <f t="shared" si="573"/>
        <v>0</v>
      </c>
      <c r="S170" s="113">
        <f t="shared" si="574"/>
        <v>0</v>
      </c>
      <c r="T170" s="113">
        <f t="shared" si="575"/>
        <v>0</v>
      </c>
      <c r="U170" s="113">
        <f t="shared" si="576"/>
        <v>0</v>
      </c>
      <c r="V170" s="113">
        <f t="shared" si="577"/>
        <v>0</v>
      </c>
      <c r="W170" s="113">
        <f t="shared" si="578"/>
        <v>0</v>
      </c>
      <c r="X170" s="113">
        <f t="shared" si="579"/>
        <v>0</v>
      </c>
      <c r="AA170" s="113">
        <v>35</v>
      </c>
      <c r="AB170" s="112">
        <f t="shared" ca="1" si="580"/>
        <v>40269</v>
      </c>
      <c r="AC170" s="112">
        <f t="shared" ca="1" si="580"/>
        <v>40359</v>
      </c>
      <c r="AF170" s="114">
        <f t="shared" ca="1" si="586"/>
        <v>21907.88</v>
      </c>
      <c r="AG170" s="114">
        <f t="shared" ca="1" si="581"/>
        <v>0</v>
      </c>
      <c r="AH170" s="114">
        <f t="shared" ca="1" si="582"/>
        <v>0</v>
      </c>
      <c r="AI170" s="114">
        <f t="shared" ca="1" si="583"/>
        <v>6384.11</v>
      </c>
      <c r="AJ170" s="114">
        <f t="shared" ca="1" si="584"/>
        <v>86.96</v>
      </c>
      <c r="AK170" s="114">
        <f t="shared" ca="1" si="585"/>
        <v>2357.67</v>
      </c>
      <c r="AN170">
        <f t="shared" si="554"/>
        <v>170</v>
      </c>
      <c r="AQ170" s="114">
        <f t="shared" ca="1" si="336"/>
        <v>3090</v>
      </c>
      <c r="AW170">
        <v>170</v>
      </c>
    </row>
    <row r="171" spans="1:49" x14ac:dyDescent="0.25">
      <c r="A171" s="113">
        <f>A164+20</f>
        <v>820</v>
      </c>
      <c r="B171" s="113" t="str">
        <f>B164</f>
        <v>a</v>
      </c>
      <c r="C171" s="113" t="str">
        <f t="shared" ref="C171:X171" si="587">C164</f>
        <v>b</v>
      </c>
      <c r="D171" s="113" t="str">
        <f t="shared" si="587"/>
        <v>c</v>
      </c>
      <c r="E171" s="113" t="str">
        <f t="shared" si="587"/>
        <v>d</v>
      </c>
      <c r="F171" s="113" t="str">
        <f t="shared" si="587"/>
        <v>e</v>
      </c>
      <c r="G171" s="113" t="str">
        <f t="shared" si="587"/>
        <v>f</v>
      </c>
      <c r="H171" s="113" t="str">
        <f t="shared" si="587"/>
        <v>g</v>
      </c>
      <c r="I171" s="113" t="str">
        <f t="shared" si="587"/>
        <v>h</v>
      </c>
      <c r="J171" s="113" t="str">
        <f t="shared" si="587"/>
        <v>i</v>
      </c>
      <c r="K171" s="113" t="str">
        <f t="shared" si="587"/>
        <v>j</v>
      </c>
      <c r="L171" s="113" t="str">
        <f t="shared" si="587"/>
        <v>k</v>
      </c>
      <c r="M171" s="113" t="str">
        <f t="shared" si="587"/>
        <v>l</v>
      </c>
      <c r="N171" s="113" t="str">
        <f t="shared" si="587"/>
        <v>m</v>
      </c>
      <c r="O171" s="113">
        <f t="shared" si="587"/>
        <v>0</v>
      </c>
      <c r="P171" s="113">
        <f t="shared" si="587"/>
        <v>0</v>
      </c>
      <c r="Q171" s="113" t="str">
        <f t="shared" si="587"/>
        <v>p</v>
      </c>
      <c r="R171" s="113">
        <f t="shared" si="587"/>
        <v>0</v>
      </c>
      <c r="S171" s="113">
        <f t="shared" si="587"/>
        <v>0</v>
      </c>
      <c r="T171" s="113">
        <f t="shared" si="587"/>
        <v>0</v>
      </c>
      <c r="U171" s="113">
        <f t="shared" si="587"/>
        <v>0</v>
      </c>
      <c r="V171" s="113">
        <f t="shared" si="587"/>
        <v>0</v>
      </c>
      <c r="W171" s="113">
        <f t="shared" si="587"/>
        <v>0</v>
      </c>
      <c r="X171" s="113">
        <f t="shared" si="587"/>
        <v>0</v>
      </c>
      <c r="AA171" s="113">
        <v>0</v>
      </c>
      <c r="AB171" s="112">
        <f ca="1">INDIRECT(CONCATENATE($AB$10,CONCATENATE(B171,$A171)))</f>
        <v>40360</v>
      </c>
      <c r="AC171" s="112">
        <f ca="1">INDIRECT(CONCATENATE($AB$10,CONCATENATE(C171,$A171)))</f>
        <v>40421</v>
      </c>
      <c r="AF171" s="114">
        <f t="shared" ca="1" si="586"/>
        <v>12940.19</v>
      </c>
      <c r="AG171" s="114">
        <f ca="1">INDIRECT(CONCATENATE($AB$10,CONCATENATE(G171,$A171)))</f>
        <v>0</v>
      </c>
      <c r="AH171" s="114">
        <f ca="1">INDIRECT(CONCATENATE($AB$10,CONCATENATE(H171,$A171)))</f>
        <v>0</v>
      </c>
      <c r="AI171" s="114">
        <f ca="1">INDIRECT(CONCATENATE($AB$10,CONCATENATE(I171,$A171)))</f>
        <v>6384.11</v>
      </c>
      <c r="AJ171" s="114">
        <f ca="1">INDIRECT(CONCATENATE($AB$10,CONCATENATE(J171,$A171)))</f>
        <v>144.93</v>
      </c>
      <c r="AK171" s="114">
        <f ca="1">INDIRECT(CONCATENATE($AB$10,CONCATENATE(K171,$A171)))</f>
        <v>1610.36</v>
      </c>
      <c r="AN171">
        <f t="shared" si="554"/>
        <v>171</v>
      </c>
      <c r="AQ171" s="114">
        <f t="shared" ca="1" si="336"/>
        <v>1968</v>
      </c>
      <c r="AW171">
        <v>171</v>
      </c>
    </row>
    <row r="172" spans="1:49" x14ac:dyDescent="0.25">
      <c r="A172" s="113">
        <f t="shared" ref="A172:A177" si="588">A171+2</f>
        <v>822</v>
      </c>
      <c r="B172" s="113" t="str">
        <f t="shared" ref="B172:B177" si="589">B171</f>
        <v>a</v>
      </c>
      <c r="C172" s="113" t="str">
        <f t="shared" ref="C172:C177" si="590">C171</f>
        <v>b</v>
      </c>
      <c r="D172" s="113" t="str">
        <f t="shared" ref="D172:D177" si="591">D171</f>
        <v>c</v>
      </c>
      <c r="E172" s="113" t="str">
        <f t="shared" ref="E172:E177" si="592">E171</f>
        <v>d</v>
      </c>
      <c r="F172" s="113" t="str">
        <f t="shared" ref="F172:F177" si="593">F171</f>
        <v>e</v>
      </c>
      <c r="G172" s="113" t="str">
        <f t="shared" ref="G172:G177" si="594">G171</f>
        <v>f</v>
      </c>
      <c r="H172" s="113" t="str">
        <f t="shared" ref="H172:H177" si="595">H171</f>
        <v>g</v>
      </c>
      <c r="I172" s="113" t="str">
        <f t="shared" ref="I172:I177" si="596">I171</f>
        <v>h</v>
      </c>
      <c r="J172" s="113" t="str">
        <f t="shared" ref="J172:J177" si="597">J171</f>
        <v>i</v>
      </c>
      <c r="K172" s="113" t="str">
        <f t="shared" ref="K172:K177" si="598">K171</f>
        <v>j</v>
      </c>
      <c r="L172" s="113" t="str">
        <f t="shared" ref="L172:L177" si="599">L171</f>
        <v>k</v>
      </c>
      <c r="M172" s="113" t="str">
        <f t="shared" ref="M172:M177" si="600">M171</f>
        <v>l</v>
      </c>
      <c r="N172" s="113" t="str">
        <f t="shared" ref="N172:N177" si="601">N171</f>
        <v>m</v>
      </c>
      <c r="O172" s="113">
        <f t="shared" ref="O172:O177" si="602">O171</f>
        <v>0</v>
      </c>
      <c r="P172" s="113">
        <f t="shared" ref="P172:P177" si="603">P171</f>
        <v>0</v>
      </c>
      <c r="Q172" s="113" t="str">
        <f t="shared" ref="Q172:Q177" si="604">Q171</f>
        <v>p</v>
      </c>
      <c r="R172" s="113">
        <f t="shared" ref="R172:R177" si="605">R171</f>
        <v>0</v>
      </c>
      <c r="S172" s="113">
        <f t="shared" ref="S172:S177" si="606">S171</f>
        <v>0</v>
      </c>
      <c r="T172" s="113">
        <f t="shared" ref="T172:T177" si="607">T171</f>
        <v>0</v>
      </c>
      <c r="U172" s="113">
        <f t="shared" ref="U172:U177" si="608">U171</f>
        <v>0</v>
      </c>
      <c r="V172" s="113">
        <f t="shared" ref="V172:V177" si="609">V171</f>
        <v>0</v>
      </c>
      <c r="W172" s="113">
        <f t="shared" ref="W172:W177" si="610">W171</f>
        <v>0</v>
      </c>
      <c r="X172" s="113">
        <f t="shared" ref="X172:X177" si="611">X171</f>
        <v>0</v>
      </c>
      <c r="AA172" s="113">
        <v>3</v>
      </c>
      <c r="AB172" s="112">
        <f t="shared" ref="AB172:AC177" ca="1" si="612">AB171</f>
        <v>40360</v>
      </c>
      <c r="AC172" s="112">
        <f t="shared" ca="1" si="612"/>
        <v>40421</v>
      </c>
      <c r="AF172" s="114">
        <f t="shared" ca="1" si="586"/>
        <v>13462.24</v>
      </c>
      <c r="AG172" s="114">
        <f t="shared" ref="AG172:AG177" ca="1" si="613">INDIRECT(CONCATENATE($AB$10,CONCATENATE(G172,$A172)))</f>
        <v>0</v>
      </c>
      <c r="AH172" s="114">
        <f t="shared" ref="AH172:AH177" ca="1" si="614">INDIRECT(CONCATENATE($AB$10,CONCATENATE(H172,$A172)))</f>
        <v>0</v>
      </c>
      <c r="AI172" s="114">
        <f t="shared" ref="AI172:AI177" ca="1" si="615">INDIRECT(CONCATENATE($AB$10,CONCATENATE(I172,$A172)))</f>
        <v>6384.11</v>
      </c>
      <c r="AJ172" s="114">
        <f t="shared" ref="AJ172:AJ177" ca="1" si="616">INDIRECT(CONCATENATE($AB$10,CONCATENATE(J172,$A172)))</f>
        <v>144.93</v>
      </c>
      <c r="AK172" s="114">
        <f t="shared" ref="AK172:AK177" ca="1" si="617">INDIRECT(CONCATENATE($AB$10,CONCATENATE(K172,$A172)))</f>
        <v>1653.86</v>
      </c>
      <c r="AN172">
        <f t="shared" si="554"/>
        <v>172</v>
      </c>
      <c r="AQ172" s="114">
        <f t="shared" ca="1" si="336"/>
        <v>1968</v>
      </c>
      <c r="AW172">
        <v>172</v>
      </c>
    </row>
    <row r="173" spans="1:49" x14ac:dyDescent="0.25">
      <c r="A173" s="113">
        <f t="shared" si="588"/>
        <v>824</v>
      </c>
      <c r="B173" s="113" t="str">
        <f t="shared" si="589"/>
        <v>a</v>
      </c>
      <c r="C173" s="113" t="str">
        <f t="shared" si="590"/>
        <v>b</v>
      </c>
      <c r="D173" s="113" t="str">
        <f t="shared" si="591"/>
        <v>c</v>
      </c>
      <c r="E173" s="113" t="str">
        <f t="shared" si="592"/>
        <v>d</v>
      </c>
      <c r="F173" s="113" t="str">
        <f t="shared" si="593"/>
        <v>e</v>
      </c>
      <c r="G173" s="113" t="str">
        <f t="shared" si="594"/>
        <v>f</v>
      </c>
      <c r="H173" s="113" t="str">
        <f t="shared" si="595"/>
        <v>g</v>
      </c>
      <c r="I173" s="113" t="str">
        <f t="shared" si="596"/>
        <v>h</v>
      </c>
      <c r="J173" s="113" t="str">
        <f t="shared" si="597"/>
        <v>i</v>
      </c>
      <c r="K173" s="113" t="str">
        <f t="shared" si="598"/>
        <v>j</v>
      </c>
      <c r="L173" s="113" t="str">
        <f t="shared" si="599"/>
        <v>k</v>
      </c>
      <c r="M173" s="113" t="str">
        <f t="shared" si="600"/>
        <v>l</v>
      </c>
      <c r="N173" s="113" t="str">
        <f t="shared" si="601"/>
        <v>m</v>
      </c>
      <c r="O173" s="113">
        <f t="shared" si="602"/>
        <v>0</v>
      </c>
      <c r="P173" s="113">
        <f t="shared" si="603"/>
        <v>0</v>
      </c>
      <c r="Q173" s="113" t="str">
        <f t="shared" si="604"/>
        <v>p</v>
      </c>
      <c r="R173" s="113">
        <f t="shared" si="605"/>
        <v>0</v>
      </c>
      <c r="S173" s="113">
        <f t="shared" si="606"/>
        <v>0</v>
      </c>
      <c r="T173" s="113">
        <f t="shared" si="607"/>
        <v>0</v>
      </c>
      <c r="U173" s="113">
        <f t="shared" si="608"/>
        <v>0</v>
      </c>
      <c r="V173" s="113">
        <f t="shared" si="609"/>
        <v>0</v>
      </c>
      <c r="W173" s="113">
        <f t="shared" si="610"/>
        <v>0</v>
      </c>
      <c r="X173" s="113">
        <f t="shared" si="611"/>
        <v>0</v>
      </c>
      <c r="AA173" s="113">
        <v>9</v>
      </c>
      <c r="AB173" s="112">
        <f t="shared" ca="1" si="612"/>
        <v>40360</v>
      </c>
      <c r="AC173" s="112">
        <f t="shared" ca="1" si="612"/>
        <v>40421</v>
      </c>
      <c r="AF173" s="114">
        <f t="shared" ca="1" si="586"/>
        <v>15069.97</v>
      </c>
      <c r="AG173" s="114">
        <f t="shared" ca="1" si="613"/>
        <v>0</v>
      </c>
      <c r="AH173" s="114">
        <f t="shared" ca="1" si="614"/>
        <v>0</v>
      </c>
      <c r="AI173" s="114">
        <f t="shared" ca="1" si="615"/>
        <v>6384.11</v>
      </c>
      <c r="AJ173" s="114">
        <f t="shared" ca="1" si="616"/>
        <v>144.93</v>
      </c>
      <c r="AK173" s="114">
        <f t="shared" ca="1" si="617"/>
        <v>1787.84</v>
      </c>
      <c r="AN173">
        <f t="shared" si="554"/>
        <v>173</v>
      </c>
      <c r="AQ173" s="114">
        <f t="shared" ca="1" si="336"/>
        <v>1968</v>
      </c>
      <c r="AW173">
        <v>173</v>
      </c>
    </row>
    <row r="174" spans="1:49" x14ac:dyDescent="0.25">
      <c r="A174" s="113">
        <f t="shared" si="588"/>
        <v>826</v>
      </c>
      <c r="B174" s="113" t="str">
        <f t="shared" si="589"/>
        <v>a</v>
      </c>
      <c r="C174" s="113" t="str">
        <f t="shared" si="590"/>
        <v>b</v>
      </c>
      <c r="D174" s="113" t="str">
        <f t="shared" si="591"/>
        <v>c</v>
      </c>
      <c r="E174" s="113" t="str">
        <f t="shared" si="592"/>
        <v>d</v>
      </c>
      <c r="F174" s="113" t="str">
        <f t="shared" si="593"/>
        <v>e</v>
      </c>
      <c r="G174" s="113" t="str">
        <f t="shared" si="594"/>
        <v>f</v>
      </c>
      <c r="H174" s="113" t="str">
        <f t="shared" si="595"/>
        <v>g</v>
      </c>
      <c r="I174" s="113" t="str">
        <f t="shared" si="596"/>
        <v>h</v>
      </c>
      <c r="J174" s="113" t="str">
        <f t="shared" si="597"/>
        <v>i</v>
      </c>
      <c r="K174" s="113" t="str">
        <f t="shared" si="598"/>
        <v>j</v>
      </c>
      <c r="L174" s="113" t="str">
        <f t="shared" si="599"/>
        <v>k</v>
      </c>
      <c r="M174" s="113" t="str">
        <f t="shared" si="600"/>
        <v>l</v>
      </c>
      <c r="N174" s="113" t="str">
        <f t="shared" si="601"/>
        <v>m</v>
      </c>
      <c r="O174" s="113">
        <f t="shared" si="602"/>
        <v>0</v>
      </c>
      <c r="P174" s="113">
        <f t="shared" si="603"/>
        <v>0</v>
      </c>
      <c r="Q174" s="113" t="str">
        <f t="shared" si="604"/>
        <v>p</v>
      </c>
      <c r="R174" s="113">
        <f t="shared" si="605"/>
        <v>0</v>
      </c>
      <c r="S174" s="113">
        <f t="shared" si="606"/>
        <v>0</v>
      </c>
      <c r="T174" s="113">
        <f t="shared" si="607"/>
        <v>0</v>
      </c>
      <c r="U174" s="113">
        <f t="shared" si="608"/>
        <v>0</v>
      </c>
      <c r="V174" s="113">
        <f t="shared" si="609"/>
        <v>0</v>
      </c>
      <c r="W174" s="113">
        <f t="shared" si="610"/>
        <v>0</v>
      </c>
      <c r="X174" s="113">
        <f t="shared" si="611"/>
        <v>0</v>
      </c>
      <c r="AA174" s="113">
        <v>15</v>
      </c>
      <c r="AB174" s="112">
        <f t="shared" ca="1" si="612"/>
        <v>40360</v>
      </c>
      <c r="AC174" s="112">
        <f t="shared" ca="1" si="612"/>
        <v>40421</v>
      </c>
      <c r="AF174" s="114">
        <f t="shared" ca="1" si="586"/>
        <v>16947.900000000001</v>
      </c>
      <c r="AG174" s="114">
        <f t="shared" ca="1" si="613"/>
        <v>0</v>
      </c>
      <c r="AH174" s="114">
        <f t="shared" ca="1" si="614"/>
        <v>0</v>
      </c>
      <c r="AI174" s="114">
        <f t="shared" ca="1" si="615"/>
        <v>6384.11</v>
      </c>
      <c r="AJ174" s="114">
        <f t="shared" ca="1" si="616"/>
        <v>144.93</v>
      </c>
      <c r="AK174" s="114">
        <f t="shared" ca="1" si="617"/>
        <v>1944.33</v>
      </c>
      <c r="AN174">
        <f t="shared" si="554"/>
        <v>174</v>
      </c>
      <c r="AQ174" s="114">
        <f t="shared" ca="1" si="336"/>
        <v>2424</v>
      </c>
      <c r="AW174">
        <v>174</v>
      </c>
    </row>
    <row r="175" spans="1:49" x14ac:dyDescent="0.25">
      <c r="A175" s="113">
        <f t="shared" si="588"/>
        <v>828</v>
      </c>
      <c r="B175" s="113" t="str">
        <f t="shared" si="589"/>
        <v>a</v>
      </c>
      <c r="C175" s="113" t="str">
        <f t="shared" si="590"/>
        <v>b</v>
      </c>
      <c r="D175" s="113" t="str">
        <f t="shared" si="591"/>
        <v>c</v>
      </c>
      <c r="E175" s="113" t="str">
        <f t="shared" si="592"/>
        <v>d</v>
      </c>
      <c r="F175" s="113" t="str">
        <f t="shared" si="593"/>
        <v>e</v>
      </c>
      <c r="G175" s="113" t="str">
        <f t="shared" si="594"/>
        <v>f</v>
      </c>
      <c r="H175" s="113" t="str">
        <f t="shared" si="595"/>
        <v>g</v>
      </c>
      <c r="I175" s="113" t="str">
        <f t="shared" si="596"/>
        <v>h</v>
      </c>
      <c r="J175" s="113" t="str">
        <f t="shared" si="597"/>
        <v>i</v>
      </c>
      <c r="K175" s="113" t="str">
        <f t="shared" si="598"/>
        <v>j</v>
      </c>
      <c r="L175" s="113" t="str">
        <f t="shared" si="599"/>
        <v>k</v>
      </c>
      <c r="M175" s="113" t="str">
        <f t="shared" si="600"/>
        <v>l</v>
      </c>
      <c r="N175" s="113" t="str">
        <f t="shared" si="601"/>
        <v>m</v>
      </c>
      <c r="O175" s="113">
        <f t="shared" si="602"/>
        <v>0</v>
      </c>
      <c r="P175" s="113">
        <f t="shared" si="603"/>
        <v>0</v>
      </c>
      <c r="Q175" s="113" t="str">
        <f t="shared" si="604"/>
        <v>p</v>
      </c>
      <c r="R175" s="113">
        <f t="shared" si="605"/>
        <v>0</v>
      </c>
      <c r="S175" s="113">
        <f t="shared" si="606"/>
        <v>0</v>
      </c>
      <c r="T175" s="113">
        <f t="shared" si="607"/>
        <v>0</v>
      </c>
      <c r="U175" s="113">
        <f t="shared" si="608"/>
        <v>0</v>
      </c>
      <c r="V175" s="113">
        <f t="shared" si="609"/>
        <v>0</v>
      </c>
      <c r="W175" s="113">
        <f t="shared" si="610"/>
        <v>0</v>
      </c>
      <c r="X175" s="113">
        <f t="shared" si="611"/>
        <v>0</v>
      </c>
      <c r="AA175" s="113">
        <v>21</v>
      </c>
      <c r="AB175" s="112">
        <f t="shared" ca="1" si="612"/>
        <v>40360</v>
      </c>
      <c r="AC175" s="112">
        <f t="shared" ca="1" si="612"/>
        <v>40421</v>
      </c>
      <c r="AF175" s="114">
        <f t="shared" ca="1" si="586"/>
        <v>18770.54</v>
      </c>
      <c r="AG175" s="114">
        <f t="shared" ca="1" si="613"/>
        <v>0</v>
      </c>
      <c r="AH175" s="114">
        <f t="shared" ca="1" si="614"/>
        <v>0</v>
      </c>
      <c r="AI175" s="114">
        <f t="shared" ca="1" si="615"/>
        <v>6384.11</v>
      </c>
      <c r="AJ175" s="114">
        <f t="shared" ca="1" si="616"/>
        <v>144.93</v>
      </c>
      <c r="AK175" s="114">
        <f t="shared" ca="1" si="617"/>
        <v>2096.2199999999998</v>
      </c>
      <c r="AN175">
        <f t="shared" si="554"/>
        <v>175</v>
      </c>
      <c r="AQ175" s="114">
        <f t="shared" ref="AQ175:AQ198" ca="1" si="618">INDIRECT(CONCATENATE($AB$10,CONCATENATE(Q175,$A175)))</f>
        <v>2424</v>
      </c>
      <c r="AW175">
        <v>175</v>
      </c>
    </row>
    <row r="176" spans="1:49" x14ac:dyDescent="0.25">
      <c r="A176" s="113">
        <f t="shared" si="588"/>
        <v>830</v>
      </c>
      <c r="B176" s="113" t="str">
        <f t="shared" si="589"/>
        <v>a</v>
      </c>
      <c r="C176" s="113" t="str">
        <f t="shared" si="590"/>
        <v>b</v>
      </c>
      <c r="D176" s="113" t="str">
        <f t="shared" si="591"/>
        <v>c</v>
      </c>
      <c r="E176" s="113" t="str">
        <f t="shared" si="592"/>
        <v>d</v>
      </c>
      <c r="F176" s="113" t="str">
        <f t="shared" si="593"/>
        <v>e</v>
      </c>
      <c r="G176" s="113" t="str">
        <f t="shared" si="594"/>
        <v>f</v>
      </c>
      <c r="H176" s="113" t="str">
        <f t="shared" si="595"/>
        <v>g</v>
      </c>
      <c r="I176" s="113" t="str">
        <f t="shared" si="596"/>
        <v>h</v>
      </c>
      <c r="J176" s="113" t="str">
        <f t="shared" si="597"/>
        <v>i</v>
      </c>
      <c r="K176" s="113" t="str">
        <f t="shared" si="598"/>
        <v>j</v>
      </c>
      <c r="L176" s="113" t="str">
        <f t="shared" si="599"/>
        <v>k</v>
      </c>
      <c r="M176" s="113" t="str">
        <f t="shared" si="600"/>
        <v>l</v>
      </c>
      <c r="N176" s="113" t="str">
        <f t="shared" si="601"/>
        <v>m</v>
      </c>
      <c r="O176" s="113">
        <f t="shared" si="602"/>
        <v>0</v>
      </c>
      <c r="P176" s="113">
        <f t="shared" si="603"/>
        <v>0</v>
      </c>
      <c r="Q176" s="113" t="str">
        <f t="shared" si="604"/>
        <v>p</v>
      </c>
      <c r="R176" s="113">
        <f t="shared" si="605"/>
        <v>0</v>
      </c>
      <c r="S176" s="113">
        <f t="shared" si="606"/>
        <v>0</v>
      </c>
      <c r="T176" s="113">
        <f t="shared" si="607"/>
        <v>0</v>
      </c>
      <c r="U176" s="113">
        <f t="shared" si="608"/>
        <v>0</v>
      </c>
      <c r="V176" s="113">
        <f t="shared" si="609"/>
        <v>0</v>
      </c>
      <c r="W176" s="113">
        <f t="shared" si="610"/>
        <v>0</v>
      </c>
      <c r="X176" s="113">
        <f t="shared" si="611"/>
        <v>0</v>
      </c>
      <c r="AA176" s="113">
        <v>28</v>
      </c>
      <c r="AB176" s="112">
        <f t="shared" ca="1" si="612"/>
        <v>40360</v>
      </c>
      <c r="AC176" s="112">
        <f t="shared" ca="1" si="612"/>
        <v>40421</v>
      </c>
      <c r="AF176" s="114">
        <f t="shared" ca="1" si="586"/>
        <v>20568.830000000002</v>
      </c>
      <c r="AG176" s="114">
        <f t="shared" ca="1" si="613"/>
        <v>0</v>
      </c>
      <c r="AH176" s="114">
        <f t="shared" ca="1" si="614"/>
        <v>0</v>
      </c>
      <c r="AI176" s="114">
        <f t="shared" ca="1" si="615"/>
        <v>6384.11</v>
      </c>
      <c r="AJ176" s="114">
        <f t="shared" ca="1" si="616"/>
        <v>144.93</v>
      </c>
      <c r="AK176" s="114">
        <f t="shared" ca="1" si="617"/>
        <v>2246.08</v>
      </c>
      <c r="AN176">
        <f t="shared" si="554"/>
        <v>176</v>
      </c>
      <c r="AQ176" s="114">
        <f t="shared" ca="1" si="618"/>
        <v>3090</v>
      </c>
      <c r="AW176">
        <v>176</v>
      </c>
    </row>
    <row r="177" spans="1:49" x14ac:dyDescent="0.25">
      <c r="A177" s="113">
        <f t="shared" si="588"/>
        <v>832</v>
      </c>
      <c r="B177" s="113" t="str">
        <f t="shared" si="589"/>
        <v>a</v>
      </c>
      <c r="C177" s="113" t="str">
        <f t="shared" si="590"/>
        <v>b</v>
      </c>
      <c r="D177" s="113" t="str">
        <f t="shared" si="591"/>
        <v>c</v>
      </c>
      <c r="E177" s="113" t="str">
        <f t="shared" si="592"/>
        <v>d</v>
      </c>
      <c r="F177" s="113" t="str">
        <f t="shared" si="593"/>
        <v>e</v>
      </c>
      <c r="G177" s="113" t="str">
        <f t="shared" si="594"/>
        <v>f</v>
      </c>
      <c r="H177" s="113" t="str">
        <f t="shared" si="595"/>
        <v>g</v>
      </c>
      <c r="I177" s="113" t="str">
        <f t="shared" si="596"/>
        <v>h</v>
      </c>
      <c r="J177" s="113" t="str">
        <f t="shared" si="597"/>
        <v>i</v>
      </c>
      <c r="K177" s="113" t="str">
        <f t="shared" si="598"/>
        <v>j</v>
      </c>
      <c r="L177" s="113" t="str">
        <f t="shared" si="599"/>
        <v>k</v>
      </c>
      <c r="M177" s="113" t="str">
        <f t="shared" si="600"/>
        <v>l</v>
      </c>
      <c r="N177" s="113" t="str">
        <f t="shared" si="601"/>
        <v>m</v>
      </c>
      <c r="O177" s="113">
        <f t="shared" si="602"/>
        <v>0</v>
      </c>
      <c r="P177" s="113">
        <f t="shared" si="603"/>
        <v>0</v>
      </c>
      <c r="Q177" s="113" t="str">
        <f t="shared" si="604"/>
        <v>p</v>
      </c>
      <c r="R177" s="113">
        <f t="shared" si="605"/>
        <v>0</v>
      </c>
      <c r="S177" s="113">
        <f t="shared" si="606"/>
        <v>0</v>
      </c>
      <c r="T177" s="113">
        <f t="shared" si="607"/>
        <v>0</v>
      </c>
      <c r="U177" s="113">
        <f t="shared" si="608"/>
        <v>0</v>
      </c>
      <c r="V177" s="113">
        <f t="shared" si="609"/>
        <v>0</v>
      </c>
      <c r="W177" s="113">
        <f t="shared" si="610"/>
        <v>0</v>
      </c>
      <c r="X177" s="113">
        <f t="shared" si="611"/>
        <v>0</v>
      </c>
      <c r="AA177" s="113">
        <v>35</v>
      </c>
      <c r="AB177" s="112">
        <f t="shared" ca="1" si="612"/>
        <v>40360</v>
      </c>
      <c r="AC177" s="112">
        <f t="shared" ca="1" si="612"/>
        <v>40421</v>
      </c>
      <c r="AF177" s="114">
        <f t="shared" ca="1" si="586"/>
        <v>21907.88</v>
      </c>
      <c r="AG177" s="114">
        <f t="shared" ca="1" si="613"/>
        <v>0</v>
      </c>
      <c r="AH177" s="114">
        <f t="shared" ca="1" si="614"/>
        <v>0</v>
      </c>
      <c r="AI177" s="114">
        <f t="shared" ca="1" si="615"/>
        <v>6384.11</v>
      </c>
      <c r="AJ177" s="114">
        <f t="shared" ca="1" si="616"/>
        <v>144.93</v>
      </c>
      <c r="AK177" s="114">
        <f t="shared" ca="1" si="617"/>
        <v>2357.67</v>
      </c>
      <c r="AN177">
        <f t="shared" si="554"/>
        <v>177</v>
      </c>
      <c r="AQ177" s="114">
        <f t="shared" ca="1" si="618"/>
        <v>3090</v>
      </c>
      <c r="AW177">
        <v>177</v>
      </c>
    </row>
    <row r="178" spans="1:49" x14ac:dyDescent="0.25">
      <c r="A178" s="113">
        <f>A171+20</f>
        <v>840</v>
      </c>
      <c r="B178" s="113" t="str">
        <f>B171</f>
        <v>a</v>
      </c>
      <c r="C178" s="113" t="str">
        <f t="shared" ref="C178:X178" si="619">C171</f>
        <v>b</v>
      </c>
      <c r="D178" s="113" t="str">
        <f t="shared" si="619"/>
        <v>c</v>
      </c>
      <c r="E178" s="113" t="str">
        <f t="shared" si="619"/>
        <v>d</v>
      </c>
      <c r="F178" s="113" t="str">
        <f t="shared" si="619"/>
        <v>e</v>
      </c>
      <c r="G178" s="113" t="str">
        <f t="shared" si="619"/>
        <v>f</v>
      </c>
      <c r="H178" s="113" t="str">
        <f t="shared" si="619"/>
        <v>g</v>
      </c>
      <c r="I178" s="113" t="str">
        <f t="shared" si="619"/>
        <v>h</v>
      </c>
      <c r="J178" s="113" t="str">
        <f t="shared" si="619"/>
        <v>i</v>
      </c>
      <c r="K178" s="113" t="str">
        <f t="shared" si="619"/>
        <v>j</v>
      </c>
      <c r="L178" s="113" t="str">
        <f t="shared" si="619"/>
        <v>k</v>
      </c>
      <c r="M178" s="113" t="str">
        <f t="shared" si="619"/>
        <v>l</v>
      </c>
      <c r="N178" s="113" t="str">
        <f t="shared" si="619"/>
        <v>m</v>
      </c>
      <c r="O178" s="113">
        <f t="shared" si="619"/>
        <v>0</v>
      </c>
      <c r="P178" s="113">
        <f t="shared" si="619"/>
        <v>0</v>
      </c>
      <c r="Q178" s="113" t="str">
        <f t="shared" si="619"/>
        <v>p</v>
      </c>
      <c r="R178" s="113">
        <f t="shared" si="619"/>
        <v>0</v>
      </c>
      <c r="S178" s="113">
        <f t="shared" si="619"/>
        <v>0</v>
      </c>
      <c r="T178" s="113">
        <f t="shared" si="619"/>
        <v>0</v>
      </c>
      <c r="U178" s="113">
        <f t="shared" si="619"/>
        <v>0</v>
      </c>
      <c r="V178" s="113">
        <f t="shared" si="619"/>
        <v>0</v>
      </c>
      <c r="W178" s="113">
        <f t="shared" si="619"/>
        <v>0</v>
      </c>
      <c r="X178" s="113">
        <f t="shared" si="619"/>
        <v>0</v>
      </c>
      <c r="AA178" s="113">
        <v>0</v>
      </c>
      <c r="AB178" s="112">
        <f ca="1">INDIRECT(CONCATENATE($AB$10,CONCATENATE(B178,$A178)))</f>
        <v>40422</v>
      </c>
      <c r="AC178" s="112">
        <f ca="1">INDIRECT(CONCATENATE($AB$10,CONCATENATE(C178,$A178)))</f>
        <v>40543</v>
      </c>
      <c r="AF178" s="114">
        <f t="shared" ca="1" si="586"/>
        <v>12940.19</v>
      </c>
      <c r="AG178" s="114">
        <f ca="1">INDIRECT(CONCATENATE($AB$10,CONCATENATE(G178,$A178)))</f>
        <v>0</v>
      </c>
      <c r="AH178" s="114">
        <f ca="1">INDIRECT(CONCATENATE($AB$10,CONCATENATE(H178,$A178)))</f>
        <v>0</v>
      </c>
      <c r="AI178" s="114">
        <f ca="1">INDIRECT(CONCATENATE($AB$10,CONCATENATE(I178,$A178)))</f>
        <v>6384.11</v>
      </c>
      <c r="AJ178" s="114">
        <f ca="1">INDIRECT(CONCATENATE($AB$10,CONCATENATE(J178,$A178)))</f>
        <v>144.93</v>
      </c>
      <c r="AK178" s="114">
        <f ca="1">INDIRECT(CONCATENATE($AB$10,CONCATENATE(K178,$A178)))</f>
        <v>1610.36</v>
      </c>
      <c r="AN178">
        <f t="shared" si="554"/>
        <v>178</v>
      </c>
      <c r="AQ178" s="114">
        <f t="shared" ca="1" si="618"/>
        <v>1968</v>
      </c>
      <c r="AW178">
        <v>178</v>
      </c>
    </row>
    <row r="179" spans="1:49" x14ac:dyDescent="0.25">
      <c r="A179" s="113">
        <f t="shared" ref="A179:A184" si="620">A178+2</f>
        <v>842</v>
      </c>
      <c r="B179" s="113" t="str">
        <f t="shared" ref="B179:B184" si="621">B178</f>
        <v>a</v>
      </c>
      <c r="C179" s="113" t="str">
        <f t="shared" ref="C179:C184" si="622">C178</f>
        <v>b</v>
      </c>
      <c r="D179" s="113" t="str">
        <f t="shared" ref="D179:D184" si="623">D178</f>
        <v>c</v>
      </c>
      <c r="E179" s="113" t="str">
        <f t="shared" ref="E179:E184" si="624">E178</f>
        <v>d</v>
      </c>
      <c r="F179" s="113" t="str">
        <f t="shared" ref="F179:F184" si="625">F178</f>
        <v>e</v>
      </c>
      <c r="G179" s="113" t="str">
        <f t="shared" ref="G179:G184" si="626">G178</f>
        <v>f</v>
      </c>
      <c r="H179" s="113" t="str">
        <f t="shared" ref="H179:H184" si="627">H178</f>
        <v>g</v>
      </c>
      <c r="I179" s="113" t="str">
        <f t="shared" ref="I179:I184" si="628">I178</f>
        <v>h</v>
      </c>
      <c r="J179" s="113" t="str">
        <f t="shared" ref="J179:J184" si="629">J178</f>
        <v>i</v>
      </c>
      <c r="K179" s="113" t="str">
        <f t="shared" ref="K179:K184" si="630">K178</f>
        <v>j</v>
      </c>
      <c r="L179" s="113" t="str">
        <f t="shared" ref="L179:L184" si="631">L178</f>
        <v>k</v>
      </c>
      <c r="M179" s="113" t="str">
        <f t="shared" ref="M179:M184" si="632">M178</f>
        <v>l</v>
      </c>
      <c r="N179" s="113" t="str">
        <f t="shared" ref="N179:N184" si="633">N178</f>
        <v>m</v>
      </c>
      <c r="O179" s="113">
        <f t="shared" ref="O179:O184" si="634">O178</f>
        <v>0</v>
      </c>
      <c r="P179" s="113">
        <f t="shared" ref="P179:P184" si="635">P178</f>
        <v>0</v>
      </c>
      <c r="Q179" s="113" t="str">
        <f t="shared" ref="Q179:Q184" si="636">Q178</f>
        <v>p</v>
      </c>
      <c r="R179" s="113">
        <f t="shared" ref="R179:R184" si="637">R178</f>
        <v>0</v>
      </c>
      <c r="S179" s="113">
        <f t="shared" ref="S179:S184" si="638">S178</f>
        <v>0</v>
      </c>
      <c r="T179" s="113">
        <f t="shared" ref="T179:T184" si="639">T178</f>
        <v>0</v>
      </c>
      <c r="U179" s="113">
        <f t="shared" ref="U179:U184" si="640">U178</f>
        <v>0</v>
      </c>
      <c r="V179" s="113">
        <f t="shared" ref="V179:V184" si="641">V178</f>
        <v>0</v>
      </c>
      <c r="W179" s="113">
        <f t="shared" ref="W179:W184" si="642">W178</f>
        <v>0</v>
      </c>
      <c r="X179" s="113">
        <f t="shared" ref="X179:X184" si="643">X178</f>
        <v>0</v>
      </c>
      <c r="AA179" s="113">
        <v>3</v>
      </c>
      <c r="AB179" s="112">
        <f t="shared" ref="AB179:AC184" ca="1" si="644">AB178</f>
        <v>40422</v>
      </c>
      <c r="AC179" s="112">
        <f t="shared" ca="1" si="644"/>
        <v>40543</v>
      </c>
      <c r="AE179" s="114">
        <f ca="1">AD12</f>
        <v>522.04999999999995</v>
      </c>
      <c r="AF179" s="114">
        <f t="shared" ca="1" si="586"/>
        <v>12940.19</v>
      </c>
      <c r="AG179" s="114">
        <f t="shared" ref="AG179:AG184" ca="1" si="645">INDIRECT(CONCATENATE($AB$10,CONCATENATE(G179,$A179)))</f>
        <v>0</v>
      </c>
      <c r="AH179" s="114">
        <f t="shared" ref="AH179:AH184" ca="1" si="646">INDIRECT(CONCATENATE($AB$10,CONCATENATE(H179,$A179)))</f>
        <v>0</v>
      </c>
      <c r="AI179" s="114">
        <f t="shared" ref="AI179:AI184" ca="1" si="647">INDIRECT(CONCATENATE($AB$10,CONCATENATE(I179,$A179)))</f>
        <v>6384.11</v>
      </c>
      <c r="AJ179" s="114">
        <f t="shared" ref="AJ179:AJ184" ca="1" si="648">INDIRECT(CONCATENATE($AB$10,CONCATENATE(J179,$A179)))</f>
        <v>144.93</v>
      </c>
      <c r="AK179" s="114">
        <f t="shared" ref="AK179:AK184" ca="1" si="649">INDIRECT(CONCATENATE($AB$10,CONCATENATE(K179,$A179)))</f>
        <v>1653.86</v>
      </c>
      <c r="AN179">
        <f t="shared" si="554"/>
        <v>179</v>
      </c>
      <c r="AQ179" s="114">
        <f t="shared" ca="1" si="618"/>
        <v>1968</v>
      </c>
      <c r="AW179">
        <v>179</v>
      </c>
    </row>
    <row r="180" spans="1:49" x14ac:dyDescent="0.25">
      <c r="A180" s="113">
        <f t="shared" si="620"/>
        <v>844</v>
      </c>
      <c r="B180" s="113" t="str">
        <f t="shared" si="621"/>
        <v>a</v>
      </c>
      <c r="C180" s="113" t="str">
        <f t="shared" si="622"/>
        <v>b</v>
      </c>
      <c r="D180" s="113" t="str">
        <f t="shared" si="623"/>
        <v>c</v>
      </c>
      <c r="E180" s="113" t="str">
        <f t="shared" si="624"/>
        <v>d</v>
      </c>
      <c r="F180" s="113" t="str">
        <f t="shared" si="625"/>
        <v>e</v>
      </c>
      <c r="G180" s="113" t="str">
        <f t="shared" si="626"/>
        <v>f</v>
      </c>
      <c r="H180" s="113" t="str">
        <f t="shared" si="627"/>
        <v>g</v>
      </c>
      <c r="I180" s="113" t="str">
        <f t="shared" si="628"/>
        <v>h</v>
      </c>
      <c r="J180" s="113" t="str">
        <f t="shared" si="629"/>
        <v>i</v>
      </c>
      <c r="K180" s="113" t="str">
        <f t="shared" si="630"/>
        <v>j</v>
      </c>
      <c r="L180" s="113" t="str">
        <f t="shared" si="631"/>
        <v>k</v>
      </c>
      <c r="M180" s="113" t="str">
        <f t="shared" si="632"/>
        <v>l</v>
      </c>
      <c r="N180" s="113" t="str">
        <f t="shared" si="633"/>
        <v>m</v>
      </c>
      <c r="O180" s="113">
        <f t="shared" si="634"/>
        <v>0</v>
      </c>
      <c r="P180" s="113">
        <f t="shared" si="635"/>
        <v>0</v>
      </c>
      <c r="Q180" s="113" t="str">
        <f t="shared" si="636"/>
        <v>p</v>
      </c>
      <c r="R180" s="113">
        <f t="shared" si="637"/>
        <v>0</v>
      </c>
      <c r="S180" s="113">
        <f t="shared" si="638"/>
        <v>0</v>
      </c>
      <c r="T180" s="113">
        <f t="shared" si="639"/>
        <v>0</v>
      </c>
      <c r="U180" s="113">
        <f t="shared" si="640"/>
        <v>0</v>
      </c>
      <c r="V180" s="113">
        <f t="shared" si="641"/>
        <v>0</v>
      </c>
      <c r="W180" s="113">
        <f t="shared" si="642"/>
        <v>0</v>
      </c>
      <c r="X180" s="113">
        <f t="shared" si="643"/>
        <v>0</v>
      </c>
      <c r="AA180" s="113">
        <v>9</v>
      </c>
      <c r="AB180" s="112">
        <f t="shared" ca="1" si="644"/>
        <v>40422</v>
      </c>
      <c r="AC180" s="112">
        <f t="shared" ca="1" si="644"/>
        <v>40543</v>
      </c>
      <c r="AF180" s="114">
        <f t="shared" ca="1" si="586"/>
        <v>15069.97</v>
      </c>
      <c r="AG180" s="114">
        <f t="shared" ca="1" si="645"/>
        <v>0</v>
      </c>
      <c r="AH180" s="114">
        <f t="shared" ca="1" si="646"/>
        <v>0</v>
      </c>
      <c r="AI180" s="114">
        <f t="shared" ca="1" si="647"/>
        <v>6384.11</v>
      </c>
      <c r="AJ180" s="114">
        <f t="shared" ca="1" si="648"/>
        <v>144.93</v>
      </c>
      <c r="AK180" s="114">
        <f t="shared" ca="1" si="649"/>
        <v>1787.84</v>
      </c>
      <c r="AN180">
        <f t="shared" si="554"/>
        <v>180</v>
      </c>
      <c r="AQ180" s="114">
        <f t="shared" ca="1" si="618"/>
        <v>1968</v>
      </c>
      <c r="AW180">
        <v>180</v>
      </c>
    </row>
    <row r="181" spans="1:49" x14ac:dyDescent="0.25">
      <c r="A181" s="113">
        <f t="shared" si="620"/>
        <v>846</v>
      </c>
      <c r="B181" s="113" t="str">
        <f t="shared" si="621"/>
        <v>a</v>
      </c>
      <c r="C181" s="113" t="str">
        <f t="shared" si="622"/>
        <v>b</v>
      </c>
      <c r="D181" s="113" t="str">
        <f t="shared" si="623"/>
        <v>c</v>
      </c>
      <c r="E181" s="113" t="str">
        <f t="shared" si="624"/>
        <v>d</v>
      </c>
      <c r="F181" s="113" t="str">
        <f t="shared" si="625"/>
        <v>e</v>
      </c>
      <c r="G181" s="113" t="str">
        <f t="shared" si="626"/>
        <v>f</v>
      </c>
      <c r="H181" s="113" t="str">
        <f t="shared" si="627"/>
        <v>g</v>
      </c>
      <c r="I181" s="113" t="str">
        <f t="shared" si="628"/>
        <v>h</v>
      </c>
      <c r="J181" s="113" t="str">
        <f t="shared" si="629"/>
        <v>i</v>
      </c>
      <c r="K181" s="113" t="str">
        <f t="shared" si="630"/>
        <v>j</v>
      </c>
      <c r="L181" s="113" t="str">
        <f t="shared" si="631"/>
        <v>k</v>
      </c>
      <c r="M181" s="113" t="str">
        <f t="shared" si="632"/>
        <v>l</v>
      </c>
      <c r="N181" s="113" t="str">
        <f t="shared" si="633"/>
        <v>m</v>
      </c>
      <c r="O181" s="113">
        <f t="shared" si="634"/>
        <v>0</v>
      </c>
      <c r="P181" s="113">
        <f t="shared" si="635"/>
        <v>0</v>
      </c>
      <c r="Q181" s="113" t="str">
        <f t="shared" si="636"/>
        <v>p</v>
      </c>
      <c r="R181" s="113">
        <f t="shared" si="637"/>
        <v>0</v>
      </c>
      <c r="S181" s="113">
        <f t="shared" si="638"/>
        <v>0</v>
      </c>
      <c r="T181" s="113">
        <f t="shared" si="639"/>
        <v>0</v>
      </c>
      <c r="U181" s="113">
        <f t="shared" si="640"/>
        <v>0</v>
      </c>
      <c r="V181" s="113">
        <f t="shared" si="641"/>
        <v>0</v>
      </c>
      <c r="W181" s="113">
        <f t="shared" si="642"/>
        <v>0</v>
      </c>
      <c r="X181" s="113">
        <f t="shared" si="643"/>
        <v>0</v>
      </c>
      <c r="AA181" s="113">
        <v>15</v>
      </c>
      <c r="AB181" s="112">
        <f t="shared" ca="1" si="644"/>
        <v>40422</v>
      </c>
      <c r="AC181" s="112">
        <f t="shared" ca="1" si="644"/>
        <v>40543</v>
      </c>
      <c r="AF181" s="114">
        <f t="shared" ca="1" si="586"/>
        <v>16947.900000000001</v>
      </c>
      <c r="AG181" s="114">
        <f t="shared" ca="1" si="645"/>
        <v>0</v>
      </c>
      <c r="AH181" s="114">
        <f t="shared" ca="1" si="646"/>
        <v>0</v>
      </c>
      <c r="AI181" s="114">
        <f t="shared" ca="1" si="647"/>
        <v>6384.11</v>
      </c>
      <c r="AJ181" s="114">
        <f t="shared" ca="1" si="648"/>
        <v>144.93</v>
      </c>
      <c r="AK181" s="114">
        <f t="shared" ca="1" si="649"/>
        <v>1944.33</v>
      </c>
      <c r="AN181">
        <f t="shared" si="554"/>
        <v>181</v>
      </c>
      <c r="AQ181" s="114">
        <f t="shared" ca="1" si="618"/>
        <v>2424</v>
      </c>
      <c r="AW181">
        <v>181</v>
      </c>
    </row>
    <row r="182" spans="1:49" x14ac:dyDescent="0.25">
      <c r="A182" s="113">
        <f t="shared" si="620"/>
        <v>848</v>
      </c>
      <c r="B182" s="113" t="str">
        <f t="shared" si="621"/>
        <v>a</v>
      </c>
      <c r="C182" s="113" t="str">
        <f t="shared" si="622"/>
        <v>b</v>
      </c>
      <c r="D182" s="113" t="str">
        <f t="shared" si="623"/>
        <v>c</v>
      </c>
      <c r="E182" s="113" t="str">
        <f t="shared" si="624"/>
        <v>d</v>
      </c>
      <c r="F182" s="113" t="str">
        <f t="shared" si="625"/>
        <v>e</v>
      </c>
      <c r="G182" s="113" t="str">
        <f t="shared" si="626"/>
        <v>f</v>
      </c>
      <c r="H182" s="113" t="str">
        <f t="shared" si="627"/>
        <v>g</v>
      </c>
      <c r="I182" s="113" t="str">
        <f t="shared" si="628"/>
        <v>h</v>
      </c>
      <c r="J182" s="113" t="str">
        <f t="shared" si="629"/>
        <v>i</v>
      </c>
      <c r="K182" s="113" t="str">
        <f t="shared" si="630"/>
        <v>j</v>
      </c>
      <c r="L182" s="113" t="str">
        <f t="shared" si="631"/>
        <v>k</v>
      </c>
      <c r="M182" s="113" t="str">
        <f t="shared" si="632"/>
        <v>l</v>
      </c>
      <c r="N182" s="113" t="str">
        <f t="shared" si="633"/>
        <v>m</v>
      </c>
      <c r="O182" s="113">
        <f t="shared" si="634"/>
        <v>0</v>
      </c>
      <c r="P182" s="113">
        <f t="shared" si="635"/>
        <v>0</v>
      </c>
      <c r="Q182" s="113" t="str">
        <f t="shared" si="636"/>
        <v>p</v>
      </c>
      <c r="R182" s="113">
        <f t="shared" si="637"/>
        <v>0</v>
      </c>
      <c r="S182" s="113">
        <f t="shared" si="638"/>
        <v>0</v>
      </c>
      <c r="T182" s="113">
        <f t="shared" si="639"/>
        <v>0</v>
      </c>
      <c r="U182" s="113">
        <f t="shared" si="640"/>
        <v>0</v>
      </c>
      <c r="V182" s="113">
        <f t="shared" si="641"/>
        <v>0</v>
      </c>
      <c r="W182" s="113">
        <f t="shared" si="642"/>
        <v>0</v>
      </c>
      <c r="X182" s="113">
        <f t="shared" si="643"/>
        <v>0</v>
      </c>
      <c r="AA182" s="113">
        <v>21</v>
      </c>
      <c r="AB182" s="112">
        <f t="shared" ca="1" si="644"/>
        <v>40422</v>
      </c>
      <c r="AC182" s="112">
        <f t="shared" ca="1" si="644"/>
        <v>40543</v>
      </c>
      <c r="AF182" s="114">
        <f t="shared" ca="1" si="586"/>
        <v>18770.54</v>
      </c>
      <c r="AG182" s="114">
        <f t="shared" ca="1" si="645"/>
        <v>0</v>
      </c>
      <c r="AH182" s="114">
        <f t="shared" ca="1" si="646"/>
        <v>0</v>
      </c>
      <c r="AI182" s="114">
        <f t="shared" ca="1" si="647"/>
        <v>6384.11</v>
      </c>
      <c r="AJ182" s="114">
        <f t="shared" ca="1" si="648"/>
        <v>144.93</v>
      </c>
      <c r="AK182" s="114">
        <f t="shared" ca="1" si="649"/>
        <v>2096.2199999999998</v>
      </c>
      <c r="AN182">
        <f t="shared" si="554"/>
        <v>182</v>
      </c>
      <c r="AQ182" s="114">
        <f t="shared" ca="1" si="618"/>
        <v>2424</v>
      </c>
      <c r="AW182">
        <v>182</v>
      </c>
    </row>
    <row r="183" spans="1:49" x14ac:dyDescent="0.25">
      <c r="A183" s="113">
        <f t="shared" si="620"/>
        <v>850</v>
      </c>
      <c r="B183" s="113" t="str">
        <f t="shared" si="621"/>
        <v>a</v>
      </c>
      <c r="C183" s="113" t="str">
        <f t="shared" si="622"/>
        <v>b</v>
      </c>
      <c r="D183" s="113" t="str">
        <f t="shared" si="623"/>
        <v>c</v>
      </c>
      <c r="E183" s="113" t="str">
        <f t="shared" si="624"/>
        <v>d</v>
      </c>
      <c r="F183" s="113" t="str">
        <f t="shared" si="625"/>
        <v>e</v>
      </c>
      <c r="G183" s="113" t="str">
        <f t="shared" si="626"/>
        <v>f</v>
      </c>
      <c r="H183" s="113" t="str">
        <f t="shared" si="627"/>
        <v>g</v>
      </c>
      <c r="I183" s="113" t="str">
        <f t="shared" si="628"/>
        <v>h</v>
      </c>
      <c r="J183" s="113" t="str">
        <f t="shared" si="629"/>
        <v>i</v>
      </c>
      <c r="K183" s="113" t="str">
        <f t="shared" si="630"/>
        <v>j</v>
      </c>
      <c r="L183" s="113" t="str">
        <f t="shared" si="631"/>
        <v>k</v>
      </c>
      <c r="M183" s="113" t="str">
        <f t="shared" si="632"/>
        <v>l</v>
      </c>
      <c r="N183" s="113" t="str">
        <f t="shared" si="633"/>
        <v>m</v>
      </c>
      <c r="O183" s="113">
        <f t="shared" si="634"/>
        <v>0</v>
      </c>
      <c r="P183" s="113">
        <f t="shared" si="635"/>
        <v>0</v>
      </c>
      <c r="Q183" s="113" t="str">
        <f t="shared" si="636"/>
        <v>p</v>
      </c>
      <c r="R183" s="113">
        <f t="shared" si="637"/>
        <v>0</v>
      </c>
      <c r="S183" s="113">
        <f t="shared" si="638"/>
        <v>0</v>
      </c>
      <c r="T183" s="113">
        <f t="shared" si="639"/>
        <v>0</v>
      </c>
      <c r="U183" s="113">
        <f t="shared" si="640"/>
        <v>0</v>
      </c>
      <c r="V183" s="113">
        <f t="shared" si="641"/>
        <v>0</v>
      </c>
      <c r="W183" s="113">
        <f t="shared" si="642"/>
        <v>0</v>
      </c>
      <c r="X183" s="113">
        <f t="shared" si="643"/>
        <v>0</v>
      </c>
      <c r="AA183" s="113">
        <v>28</v>
      </c>
      <c r="AB183" s="112">
        <f t="shared" ca="1" si="644"/>
        <v>40422</v>
      </c>
      <c r="AC183" s="112">
        <f t="shared" ca="1" si="644"/>
        <v>40543</v>
      </c>
      <c r="AF183" s="114">
        <f t="shared" ca="1" si="586"/>
        <v>20568.830000000002</v>
      </c>
      <c r="AG183" s="114">
        <f t="shared" ca="1" si="645"/>
        <v>0</v>
      </c>
      <c r="AH183" s="114">
        <f t="shared" ca="1" si="646"/>
        <v>0</v>
      </c>
      <c r="AI183" s="114">
        <f t="shared" ca="1" si="647"/>
        <v>6384.11</v>
      </c>
      <c r="AJ183" s="114">
        <f t="shared" ca="1" si="648"/>
        <v>144.93</v>
      </c>
      <c r="AK183" s="114">
        <f t="shared" ca="1" si="649"/>
        <v>2246.08</v>
      </c>
      <c r="AN183">
        <f t="shared" si="554"/>
        <v>183</v>
      </c>
      <c r="AQ183" s="114">
        <f t="shared" ca="1" si="618"/>
        <v>3090</v>
      </c>
      <c r="AW183">
        <v>183</v>
      </c>
    </row>
    <row r="184" spans="1:49" x14ac:dyDescent="0.25">
      <c r="A184" s="113">
        <f t="shared" si="620"/>
        <v>852</v>
      </c>
      <c r="B184" s="113" t="str">
        <f t="shared" si="621"/>
        <v>a</v>
      </c>
      <c r="C184" s="113" t="str">
        <f t="shared" si="622"/>
        <v>b</v>
      </c>
      <c r="D184" s="113" t="str">
        <f t="shared" si="623"/>
        <v>c</v>
      </c>
      <c r="E184" s="113" t="str">
        <f t="shared" si="624"/>
        <v>d</v>
      </c>
      <c r="F184" s="113" t="str">
        <f t="shared" si="625"/>
        <v>e</v>
      </c>
      <c r="G184" s="113" t="str">
        <f t="shared" si="626"/>
        <v>f</v>
      </c>
      <c r="H184" s="113" t="str">
        <f t="shared" si="627"/>
        <v>g</v>
      </c>
      <c r="I184" s="113" t="str">
        <f t="shared" si="628"/>
        <v>h</v>
      </c>
      <c r="J184" s="113" t="str">
        <f t="shared" si="629"/>
        <v>i</v>
      </c>
      <c r="K184" s="113" t="str">
        <f t="shared" si="630"/>
        <v>j</v>
      </c>
      <c r="L184" s="113" t="str">
        <f t="shared" si="631"/>
        <v>k</v>
      </c>
      <c r="M184" s="113" t="str">
        <f t="shared" si="632"/>
        <v>l</v>
      </c>
      <c r="N184" s="113" t="str">
        <f t="shared" si="633"/>
        <v>m</v>
      </c>
      <c r="O184" s="113">
        <f t="shared" si="634"/>
        <v>0</v>
      </c>
      <c r="P184" s="113">
        <f t="shared" si="635"/>
        <v>0</v>
      </c>
      <c r="Q184" s="113" t="str">
        <f t="shared" si="636"/>
        <v>p</v>
      </c>
      <c r="R184" s="113">
        <f t="shared" si="637"/>
        <v>0</v>
      </c>
      <c r="S184" s="113">
        <f t="shared" si="638"/>
        <v>0</v>
      </c>
      <c r="T184" s="113">
        <f t="shared" si="639"/>
        <v>0</v>
      </c>
      <c r="U184" s="113">
        <f t="shared" si="640"/>
        <v>0</v>
      </c>
      <c r="V184" s="113">
        <f t="shared" si="641"/>
        <v>0</v>
      </c>
      <c r="W184" s="113">
        <f t="shared" si="642"/>
        <v>0</v>
      </c>
      <c r="X184" s="113">
        <f t="shared" si="643"/>
        <v>0</v>
      </c>
      <c r="AA184" s="113">
        <v>35</v>
      </c>
      <c r="AB184" s="112">
        <f t="shared" ca="1" si="644"/>
        <v>40422</v>
      </c>
      <c r="AC184" s="112">
        <f t="shared" ca="1" si="644"/>
        <v>40543</v>
      </c>
      <c r="AF184" s="114">
        <f t="shared" ca="1" si="586"/>
        <v>21907.88</v>
      </c>
      <c r="AG184" s="114">
        <f t="shared" ca="1" si="645"/>
        <v>0</v>
      </c>
      <c r="AH184" s="114">
        <f t="shared" ca="1" si="646"/>
        <v>0</v>
      </c>
      <c r="AI184" s="114">
        <f t="shared" ca="1" si="647"/>
        <v>6384.11</v>
      </c>
      <c r="AJ184" s="114">
        <f t="shared" ca="1" si="648"/>
        <v>144.93</v>
      </c>
      <c r="AK184" s="114">
        <f t="shared" ca="1" si="649"/>
        <v>2357.67</v>
      </c>
      <c r="AN184">
        <f t="shared" si="554"/>
        <v>184</v>
      </c>
      <c r="AQ184" s="114">
        <f t="shared" ca="1" si="618"/>
        <v>3090</v>
      </c>
      <c r="AW184">
        <v>184</v>
      </c>
    </row>
    <row r="185" spans="1:49" x14ac:dyDescent="0.25">
      <c r="A185" s="113">
        <f>A178+20</f>
        <v>860</v>
      </c>
      <c r="B185" s="113" t="str">
        <f>B178</f>
        <v>a</v>
      </c>
      <c r="C185" s="113" t="str">
        <f t="shared" ref="C185:X185" si="650">C178</f>
        <v>b</v>
      </c>
      <c r="D185" s="113" t="str">
        <f t="shared" si="650"/>
        <v>c</v>
      </c>
      <c r="E185" s="113" t="str">
        <f t="shared" si="650"/>
        <v>d</v>
      </c>
      <c r="F185" s="113" t="str">
        <f t="shared" si="650"/>
        <v>e</v>
      </c>
      <c r="G185" s="113" t="str">
        <f t="shared" si="650"/>
        <v>f</v>
      </c>
      <c r="H185" s="113" t="str">
        <f t="shared" si="650"/>
        <v>g</v>
      </c>
      <c r="I185" s="113" t="str">
        <f t="shared" si="650"/>
        <v>h</v>
      </c>
      <c r="J185" s="113" t="str">
        <f t="shared" si="650"/>
        <v>i</v>
      </c>
      <c r="K185" s="113" t="str">
        <f t="shared" si="650"/>
        <v>j</v>
      </c>
      <c r="L185" s="113" t="str">
        <f t="shared" si="650"/>
        <v>k</v>
      </c>
      <c r="M185" s="113" t="str">
        <f t="shared" si="650"/>
        <v>l</v>
      </c>
      <c r="N185" s="113" t="str">
        <f t="shared" si="650"/>
        <v>m</v>
      </c>
      <c r="O185" s="113">
        <f t="shared" si="650"/>
        <v>0</v>
      </c>
      <c r="P185" s="113">
        <f t="shared" si="650"/>
        <v>0</v>
      </c>
      <c r="Q185" s="113" t="str">
        <f t="shared" si="650"/>
        <v>p</v>
      </c>
      <c r="R185" s="113">
        <f t="shared" si="650"/>
        <v>0</v>
      </c>
      <c r="S185" s="113">
        <f t="shared" si="650"/>
        <v>0</v>
      </c>
      <c r="T185" s="113">
        <f t="shared" si="650"/>
        <v>0</v>
      </c>
      <c r="U185" s="113">
        <f t="shared" si="650"/>
        <v>0</v>
      </c>
      <c r="V185" s="113">
        <f t="shared" si="650"/>
        <v>0</v>
      </c>
      <c r="W185" s="113">
        <f t="shared" si="650"/>
        <v>0</v>
      </c>
      <c r="X185" s="113">
        <f t="shared" si="650"/>
        <v>0</v>
      </c>
      <c r="AA185" s="113">
        <v>0</v>
      </c>
      <c r="AB185" s="112">
        <f ca="1">INDIRECT(CONCATENATE($AB$10,CONCATENATE(B185,$A185)))</f>
        <v>40544</v>
      </c>
      <c r="AC185" s="112">
        <f ca="1">INDIRECT(CONCATENATE($AB$10,CONCATENATE(C185,$A185)))</f>
        <v>42369</v>
      </c>
      <c r="AF185" s="114">
        <f t="shared" ca="1" si="586"/>
        <v>12940.19</v>
      </c>
      <c r="AG185" s="114">
        <f ca="1">INDIRECT(CONCATENATE($AB$10,CONCATENATE(G185,$A185)))</f>
        <v>0</v>
      </c>
      <c r="AH185" s="114">
        <f ca="1">INDIRECT(CONCATENATE($AB$10,CONCATENATE(H185,$A185)))</f>
        <v>0</v>
      </c>
      <c r="AI185" s="114">
        <f ca="1">INDIRECT(CONCATENATE($AB$10,CONCATENATE(I185,$A185)))</f>
        <v>6384.11</v>
      </c>
      <c r="AJ185" s="114">
        <f ca="1">INDIRECT(CONCATENATE($AB$10,CONCATENATE(J185,$A185)))</f>
        <v>144.93</v>
      </c>
      <c r="AK185" s="114">
        <f ca="1">INDIRECT(CONCATENATE($AB$10,CONCATENATE(K185,$A185)))</f>
        <v>1622.44</v>
      </c>
      <c r="AN185">
        <f t="shared" si="554"/>
        <v>185</v>
      </c>
      <c r="AQ185" s="114">
        <f t="shared" ca="1" si="618"/>
        <v>1968</v>
      </c>
      <c r="AW185">
        <v>185</v>
      </c>
    </row>
    <row r="186" spans="1:49" x14ac:dyDescent="0.25">
      <c r="A186" s="113">
        <f t="shared" ref="A186:A191" si="651">A185+2</f>
        <v>862</v>
      </c>
      <c r="B186" s="113" t="str">
        <f t="shared" ref="B186:B191" si="652">B185</f>
        <v>a</v>
      </c>
      <c r="C186" s="113" t="str">
        <f t="shared" ref="C186:C191" si="653">C185</f>
        <v>b</v>
      </c>
      <c r="D186" s="113" t="str">
        <f t="shared" ref="D186:D191" si="654">D185</f>
        <v>c</v>
      </c>
      <c r="E186" s="113" t="str">
        <f t="shared" ref="E186:E191" si="655">E185</f>
        <v>d</v>
      </c>
      <c r="F186" s="113" t="str">
        <f t="shared" ref="F186:F191" si="656">F185</f>
        <v>e</v>
      </c>
      <c r="G186" s="113" t="str">
        <f t="shared" ref="G186:G191" si="657">G185</f>
        <v>f</v>
      </c>
      <c r="H186" s="113" t="str">
        <f t="shared" ref="H186:H191" si="658">H185</f>
        <v>g</v>
      </c>
      <c r="I186" s="113" t="str">
        <f t="shared" ref="I186:I191" si="659">I185</f>
        <v>h</v>
      </c>
      <c r="J186" s="113" t="str">
        <f t="shared" ref="J186:J191" si="660">J185</f>
        <v>i</v>
      </c>
      <c r="K186" s="113" t="str">
        <f t="shared" ref="K186:K191" si="661">K185</f>
        <v>j</v>
      </c>
      <c r="L186" s="113" t="str">
        <f t="shared" ref="L186:L191" si="662">L185</f>
        <v>k</v>
      </c>
      <c r="M186" s="113" t="str">
        <f t="shared" ref="M186:M191" si="663">M185</f>
        <v>l</v>
      </c>
      <c r="N186" s="113" t="str">
        <f t="shared" ref="N186:N191" si="664">N185</f>
        <v>m</v>
      </c>
      <c r="O186" s="113">
        <f t="shared" ref="O186:O191" si="665">O185</f>
        <v>0</v>
      </c>
      <c r="P186" s="113">
        <f t="shared" ref="P186:P191" si="666">P185</f>
        <v>0</v>
      </c>
      <c r="Q186" s="113" t="str">
        <f t="shared" ref="Q186:Q191" si="667">Q185</f>
        <v>p</v>
      </c>
      <c r="R186" s="113">
        <f t="shared" ref="R186:R191" si="668">R185</f>
        <v>0</v>
      </c>
      <c r="S186" s="113">
        <f t="shared" ref="S186:S191" si="669">S185</f>
        <v>0</v>
      </c>
      <c r="T186" s="113">
        <f t="shared" ref="T186:T191" si="670">T185</f>
        <v>0</v>
      </c>
      <c r="U186" s="113">
        <f t="shared" ref="U186:U191" si="671">U185</f>
        <v>0</v>
      </c>
      <c r="V186" s="113">
        <f t="shared" ref="V186:V191" si="672">V185</f>
        <v>0</v>
      </c>
      <c r="W186" s="113">
        <f t="shared" ref="W186:W191" si="673">W185</f>
        <v>0</v>
      </c>
      <c r="X186" s="113">
        <f t="shared" ref="X186:X191" si="674">X185</f>
        <v>0</v>
      </c>
      <c r="AA186" s="113">
        <v>3</v>
      </c>
      <c r="AB186" s="112">
        <f t="shared" ref="AB186:AC191" ca="1" si="675">AB185</f>
        <v>40544</v>
      </c>
      <c r="AC186" s="112">
        <f t="shared" ca="1" si="675"/>
        <v>42369</v>
      </c>
      <c r="AE186" s="114">
        <f ca="1">AE179</f>
        <v>522.04999999999995</v>
      </c>
      <c r="AF186" s="114">
        <f t="shared" ca="1" si="586"/>
        <v>12940.19</v>
      </c>
      <c r="AG186" s="114">
        <f t="shared" ref="AG186:AG191" ca="1" si="676">INDIRECT(CONCATENATE($AB$10,CONCATENATE(G186,$A186)))</f>
        <v>0</v>
      </c>
      <c r="AH186" s="114">
        <f t="shared" ref="AH186:AH191" ca="1" si="677">INDIRECT(CONCATENATE($AB$10,CONCATENATE(H186,$A186)))</f>
        <v>0</v>
      </c>
      <c r="AI186" s="114">
        <f t="shared" ref="AI186:AI191" ca="1" si="678">INDIRECT(CONCATENATE($AB$10,CONCATENATE(I186,$A186)))</f>
        <v>6384.11</v>
      </c>
      <c r="AJ186" s="114">
        <f t="shared" ref="AJ186:AJ191" ca="1" si="679">INDIRECT(CONCATENATE($AB$10,CONCATENATE(J186,$A186)))</f>
        <v>144.93</v>
      </c>
      <c r="AK186" s="114">
        <f t="shared" ref="AK186:AK191" ca="1" si="680">INDIRECT(CONCATENATE($AB$10,CONCATENATE(K186,$A186)))</f>
        <v>1665.94</v>
      </c>
      <c r="AN186">
        <f t="shared" si="554"/>
        <v>186</v>
      </c>
      <c r="AQ186" s="114">
        <f t="shared" ca="1" si="618"/>
        <v>1968</v>
      </c>
      <c r="AW186">
        <v>186</v>
      </c>
    </row>
    <row r="187" spans="1:49" x14ac:dyDescent="0.25">
      <c r="A187" s="113">
        <f t="shared" si="651"/>
        <v>864</v>
      </c>
      <c r="B187" s="113" t="str">
        <f t="shared" si="652"/>
        <v>a</v>
      </c>
      <c r="C187" s="113" t="str">
        <f t="shared" si="653"/>
        <v>b</v>
      </c>
      <c r="D187" s="113" t="str">
        <f t="shared" si="654"/>
        <v>c</v>
      </c>
      <c r="E187" s="113" t="str">
        <f t="shared" si="655"/>
        <v>d</v>
      </c>
      <c r="F187" s="113" t="str">
        <f t="shared" si="656"/>
        <v>e</v>
      </c>
      <c r="G187" s="113" t="str">
        <f t="shared" si="657"/>
        <v>f</v>
      </c>
      <c r="H187" s="113" t="str">
        <f t="shared" si="658"/>
        <v>g</v>
      </c>
      <c r="I187" s="113" t="str">
        <f t="shared" si="659"/>
        <v>h</v>
      </c>
      <c r="J187" s="113" t="str">
        <f t="shared" si="660"/>
        <v>i</v>
      </c>
      <c r="K187" s="113" t="str">
        <f t="shared" si="661"/>
        <v>j</v>
      </c>
      <c r="L187" s="113" t="str">
        <f t="shared" si="662"/>
        <v>k</v>
      </c>
      <c r="M187" s="113" t="str">
        <f t="shared" si="663"/>
        <v>l</v>
      </c>
      <c r="N187" s="113" t="str">
        <f t="shared" si="664"/>
        <v>m</v>
      </c>
      <c r="O187" s="113">
        <f t="shared" si="665"/>
        <v>0</v>
      </c>
      <c r="P187" s="113">
        <f t="shared" si="666"/>
        <v>0</v>
      </c>
      <c r="Q187" s="113" t="str">
        <f t="shared" si="667"/>
        <v>p</v>
      </c>
      <c r="R187" s="113">
        <f t="shared" si="668"/>
        <v>0</v>
      </c>
      <c r="S187" s="113">
        <f t="shared" si="669"/>
        <v>0</v>
      </c>
      <c r="T187" s="113">
        <f t="shared" si="670"/>
        <v>0</v>
      </c>
      <c r="U187" s="113">
        <f t="shared" si="671"/>
        <v>0</v>
      </c>
      <c r="V187" s="113">
        <f t="shared" si="672"/>
        <v>0</v>
      </c>
      <c r="W187" s="113">
        <f t="shared" si="673"/>
        <v>0</v>
      </c>
      <c r="X187" s="113">
        <f t="shared" si="674"/>
        <v>0</v>
      </c>
      <c r="AA187" s="113">
        <v>9</v>
      </c>
      <c r="AB187" s="112">
        <f t="shared" ca="1" si="675"/>
        <v>40544</v>
      </c>
      <c r="AC187" s="112">
        <f t="shared" ca="1" si="675"/>
        <v>42369</v>
      </c>
      <c r="AF187" s="114">
        <f t="shared" ca="1" si="586"/>
        <v>15069.97</v>
      </c>
      <c r="AG187" s="114">
        <f t="shared" ca="1" si="676"/>
        <v>0</v>
      </c>
      <c r="AH187" s="114">
        <f t="shared" ca="1" si="677"/>
        <v>0</v>
      </c>
      <c r="AI187" s="114">
        <f t="shared" ca="1" si="678"/>
        <v>6384.11</v>
      </c>
      <c r="AJ187" s="114">
        <f t="shared" ca="1" si="679"/>
        <v>144.93</v>
      </c>
      <c r="AK187" s="114">
        <f t="shared" ca="1" si="680"/>
        <v>1799.92</v>
      </c>
      <c r="AN187">
        <f t="shared" si="554"/>
        <v>187</v>
      </c>
      <c r="AQ187" s="114">
        <f t="shared" ca="1" si="618"/>
        <v>1968</v>
      </c>
      <c r="AW187">
        <v>187</v>
      </c>
    </row>
    <row r="188" spans="1:49" x14ac:dyDescent="0.25">
      <c r="A188" s="113">
        <f t="shared" si="651"/>
        <v>866</v>
      </c>
      <c r="B188" s="113" t="str">
        <f t="shared" si="652"/>
        <v>a</v>
      </c>
      <c r="C188" s="113" t="str">
        <f t="shared" si="653"/>
        <v>b</v>
      </c>
      <c r="D188" s="113" t="str">
        <f t="shared" si="654"/>
        <v>c</v>
      </c>
      <c r="E188" s="113" t="str">
        <f t="shared" si="655"/>
        <v>d</v>
      </c>
      <c r="F188" s="113" t="str">
        <f t="shared" si="656"/>
        <v>e</v>
      </c>
      <c r="G188" s="113" t="str">
        <f t="shared" si="657"/>
        <v>f</v>
      </c>
      <c r="H188" s="113" t="str">
        <f t="shared" si="658"/>
        <v>g</v>
      </c>
      <c r="I188" s="113" t="str">
        <f t="shared" si="659"/>
        <v>h</v>
      </c>
      <c r="J188" s="113" t="str">
        <f t="shared" si="660"/>
        <v>i</v>
      </c>
      <c r="K188" s="113" t="str">
        <f t="shared" si="661"/>
        <v>j</v>
      </c>
      <c r="L188" s="113" t="str">
        <f t="shared" si="662"/>
        <v>k</v>
      </c>
      <c r="M188" s="113" t="str">
        <f t="shared" si="663"/>
        <v>l</v>
      </c>
      <c r="N188" s="113" t="str">
        <f t="shared" si="664"/>
        <v>m</v>
      </c>
      <c r="O188" s="113">
        <f t="shared" si="665"/>
        <v>0</v>
      </c>
      <c r="P188" s="113">
        <f t="shared" si="666"/>
        <v>0</v>
      </c>
      <c r="Q188" s="113" t="str">
        <f t="shared" si="667"/>
        <v>p</v>
      </c>
      <c r="R188" s="113">
        <f t="shared" si="668"/>
        <v>0</v>
      </c>
      <c r="S188" s="113">
        <f t="shared" si="669"/>
        <v>0</v>
      </c>
      <c r="T188" s="113">
        <f t="shared" si="670"/>
        <v>0</v>
      </c>
      <c r="U188" s="113">
        <f t="shared" si="671"/>
        <v>0</v>
      </c>
      <c r="V188" s="113">
        <f t="shared" si="672"/>
        <v>0</v>
      </c>
      <c r="W188" s="113">
        <f t="shared" si="673"/>
        <v>0</v>
      </c>
      <c r="X188" s="113">
        <f t="shared" si="674"/>
        <v>0</v>
      </c>
      <c r="AA188" s="113">
        <v>15</v>
      </c>
      <c r="AB188" s="112">
        <f t="shared" ca="1" si="675"/>
        <v>40544</v>
      </c>
      <c r="AC188" s="112">
        <f t="shared" ca="1" si="675"/>
        <v>42369</v>
      </c>
      <c r="AF188" s="114">
        <f t="shared" ca="1" si="586"/>
        <v>16947.900000000001</v>
      </c>
      <c r="AG188" s="114">
        <f t="shared" ca="1" si="676"/>
        <v>0</v>
      </c>
      <c r="AH188" s="114">
        <f t="shared" ca="1" si="677"/>
        <v>0</v>
      </c>
      <c r="AI188" s="114">
        <f t="shared" ca="1" si="678"/>
        <v>6384.11</v>
      </c>
      <c r="AJ188" s="114">
        <f t="shared" ca="1" si="679"/>
        <v>144.93</v>
      </c>
      <c r="AK188" s="114">
        <f t="shared" ca="1" si="680"/>
        <v>1956.41</v>
      </c>
      <c r="AN188">
        <f t="shared" si="554"/>
        <v>188</v>
      </c>
      <c r="AQ188" s="114">
        <f t="shared" ca="1" si="618"/>
        <v>2424</v>
      </c>
      <c r="AW188">
        <v>188</v>
      </c>
    </row>
    <row r="189" spans="1:49" x14ac:dyDescent="0.25">
      <c r="A189" s="113">
        <f t="shared" si="651"/>
        <v>868</v>
      </c>
      <c r="B189" s="113" t="str">
        <f t="shared" si="652"/>
        <v>a</v>
      </c>
      <c r="C189" s="113" t="str">
        <f t="shared" si="653"/>
        <v>b</v>
      </c>
      <c r="D189" s="113" t="str">
        <f t="shared" si="654"/>
        <v>c</v>
      </c>
      <c r="E189" s="113" t="str">
        <f t="shared" si="655"/>
        <v>d</v>
      </c>
      <c r="F189" s="113" t="str">
        <f t="shared" si="656"/>
        <v>e</v>
      </c>
      <c r="G189" s="113" t="str">
        <f t="shared" si="657"/>
        <v>f</v>
      </c>
      <c r="H189" s="113" t="str">
        <f t="shared" si="658"/>
        <v>g</v>
      </c>
      <c r="I189" s="113" t="str">
        <f t="shared" si="659"/>
        <v>h</v>
      </c>
      <c r="J189" s="113" t="str">
        <f t="shared" si="660"/>
        <v>i</v>
      </c>
      <c r="K189" s="113" t="str">
        <f t="shared" si="661"/>
        <v>j</v>
      </c>
      <c r="L189" s="113" t="str">
        <f t="shared" si="662"/>
        <v>k</v>
      </c>
      <c r="M189" s="113" t="str">
        <f t="shared" si="663"/>
        <v>l</v>
      </c>
      <c r="N189" s="113" t="str">
        <f t="shared" si="664"/>
        <v>m</v>
      </c>
      <c r="O189" s="113">
        <f t="shared" si="665"/>
        <v>0</v>
      </c>
      <c r="P189" s="113">
        <f t="shared" si="666"/>
        <v>0</v>
      </c>
      <c r="Q189" s="113" t="str">
        <f t="shared" si="667"/>
        <v>p</v>
      </c>
      <c r="R189" s="113">
        <f t="shared" si="668"/>
        <v>0</v>
      </c>
      <c r="S189" s="113">
        <f t="shared" si="669"/>
        <v>0</v>
      </c>
      <c r="T189" s="113">
        <f t="shared" si="670"/>
        <v>0</v>
      </c>
      <c r="U189" s="113">
        <f t="shared" si="671"/>
        <v>0</v>
      </c>
      <c r="V189" s="113">
        <f t="shared" si="672"/>
        <v>0</v>
      </c>
      <c r="W189" s="113">
        <f t="shared" si="673"/>
        <v>0</v>
      </c>
      <c r="X189" s="113">
        <f t="shared" si="674"/>
        <v>0</v>
      </c>
      <c r="AA189" s="113">
        <v>21</v>
      </c>
      <c r="AB189" s="112">
        <f t="shared" ca="1" si="675"/>
        <v>40544</v>
      </c>
      <c r="AC189" s="112">
        <f t="shared" ca="1" si="675"/>
        <v>42369</v>
      </c>
      <c r="AF189" s="114">
        <f t="shared" ca="1" si="586"/>
        <v>18770.54</v>
      </c>
      <c r="AG189" s="114">
        <f t="shared" ca="1" si="676"/>
        <v>0</v>
      </c>
      <c r="AH189" s="114">
        <f t="shared" ca="1" si="677"/>
        <v>0</v>
      </c>
      <c r="AI189" s="114">
        <f t="shared" ca="1" si="678"/>
        <v>6384.11</v>
      </c>
      <c r="AJ189" s="114">
        <f t="shared" ca="1" si="679"/>
        <v>144.93</v>
      </c>
      <c r="AK189" s="114">
        <f t="shared" ca="1" si="680"/>
        <v>2108.3000000000002</v>
      </c>
      <c r="AN189">
        <f t="shared" si="554"/>
        <v>189</v>
      </c>
      <c r="AQ189" s="114">
        <f t="shared" ca="1" si="618"/>
        <v>2424</v>
      </c>
      <c r="AW189">
        <v>189</v>
      </c>
    </row>
    <row r="190" spans="1:49" x14ac:dyDescent="0.25">
      <c r="A190" s="113">
        <f t="shared" si="651"/>
        <v>870</v>
      </c>
      <c r="B190" s="113" t="str">
        <f t="shared" si="652"/>
        <v>a</v>
      </c>
      <c r="C190" s="113" t="str">
        <f t="shared" si="653"/>
        <v>b</v>
      </c>
      <c r="D190" s="113" t="str">
        <f t="shared" si="654"/>
        <v>c</v>
      </c>
      <c r="E190" s="113" t="str">
        <f t="shared" si="655"/>
        <v>d</v>
      </c>
      <c r="F190" s="113" t="str">
        <f t="shared" si="656"/>
        <v>e</v>
      </c>
      <c r="G190" s="113" t="str">
        <f t="shared" si="657"/>
        <v>f</v>
      </c>
      <c r="H190" s="113" t="str">
        <f t="shared" si="658"/>
        <v>g</v>
      </c>
      <c r="I190" s="113" t="str">
        <f t="shared" si="659"/>
        <v>h</v>
      </c>
      <c r="J190" s="113" t="str">
        <f t="shared" si="660"/>
        <v>i</v>
      </c>
      <c r="K190" s="113" t="str">
        <f t="shared" si="661"/>
        <v>j</v>
      </c>
      <c r="L190" s="113" t="str">
        <f t="shared" si="662"/>
        <v>k</v>
      </c>
      <c r="M190" s="113" t="str">
        <f t="shared" si="663"/>
        <v>l</v>
      </c>
      <c r="N190" s="113" t="str">
        <f t="shared" si="664"/>
        <v>m</v>
      </c>
      <c r="O190" s="113">
        <f t="shared" si="665"/>
        <v>0</v>
      </c>
      <c r="P190" s="113">
        <f t="shared" si="666"/>
        <v>0</v>
      </c>
      <c r="Q190" s="113" t="str">
        <f t="shared" si="667"/>
        <v>p</v>
      </c>
      <c r="R190" s="113">
        <f t="shared" si="668"/>
        <v>0</v>
      </c>
      <c r="S190" s="113">
        <f t="shared" si="669"/>
        <v>0</v>
      </c>
      <c r="T190" s="113">
        <f t="shared" si="670"/>
        <v>0</v>
      </c>
      <c r="U190" s="113">
        <f t="shared" si="671"/>
        <v>0</v>
      </c>
      <c r="V190" s="113">
        <f t="shared" si="672"/>
        <v>0</v>
      </c>
      <c r="W190" s="113">
        <f t="shared" si="673"/>
        <v>0</v>
      </c>
      <c r="X190" s="113">
        <f t="shared" si="674"/>
        <v>0</v>
      </c>
      <c r="AA190" s="113">
        <v>28</v>
      </c>
      <c r="AB190" s="112">
        <f t="shared" ca="1" si="675"/>
        <v>40544</v>
      </c>
      <c r="AC190" s="112">
        <f t="shared" ca="1" si="675"/>
        <v>42369</v>
      </c>
      <c r="AF190" s="114">
        <f t="shared" ca="1" si="586"/>
        <v>20568.830000000002</v>
      </c>
      <c r="AG190" s="114">
        <f t="shared" ca="1" si="676"/>
        <v>0</v>
      </c>
      <c r="AH190" s="114">
        <f t="shared" ca="1" si="677"/>
        <v>0</v>
      </c>
      <c r="AI190" s="114">
        <f t="shared" ca="1" si="678"/>
        <v>6384.11</v>
      </c>
      <c r="AJ190" s="114">
        <f t="shared" ca="1" si="679"/>
        <v>144.93</v>
      </c>
      <c r="AK190" s="114">
        <f t="shared" ca="1" si="680"/>
        <v>2258.16</v>
      </c>
      <c r="AN190">
        <f t="shared" si="554"/>
        <v>190</v>
      </c>
      <c r="AQ190" s="114">
        <f t="shared" ca="1" si="618"/>
        <v>3090</v>
      </c>
      <c r="AW190">
        <v>190</v>
      </c>
    </row>
    <row r="191" spans="1:49" x14ac:dyDescent="0.25">
      <c r="A191" s="113">
        <f t="shared" si="651"/>
        <v>872</v>
      </c>
      <c r="B191" s="113" t="str">
        <f t="shared" si="652"/>
        <v>a</v>
      </c>
      <c r="C191" s="113" t="str">
        <f t="shared" si="653"/>
        <v>b</v>
      </c>
      <c r="D191" s="113" t="str">
        <f t="shared" si="654"/>
        <v>c</v>
      </c>
      <c r="E191" s="113" t="str">
        <f t="shared" si="655"/>
        <v>d</v>
      </c>
      <c r="F191" s="113" t="str">
        <f t="shared" si="656"/>
        <v>e</v>
      </c>
      <c r="G191" s="113" t="str">
        <f t="shared" si="657"/>
        <v>f</v>
      </c>
      <c r="H191" s="113" t="str">
        <f t="shared" si="658"/>
        <v>g</v>
      </c>
      <c r="I191" s="113" t="str">
        <f t="shared" si="659"/>
        <v>h</v>
      </c>
      <c r="J191" s="113" t="str">
        <f t="shared" si="660"/>
        <v>i</v>
      </c>
      <c r="K191" s="113" t="str">
        <f t="shared" si="661"/>
        <v>j</v>
      </c>
      <c r="L191" s="113" t="str">
        <f t="shared" si="662"/>
        <v>k</v>
      </c>
      <c r="M191" s="113" t="str">
        <f t="shared" si="663"/>
        <v>l</v>
      </c>
      <c r="N191" s="113" t="str">
        <f t="shared" si="664"/>
        <v>m</v>
      </c>
      <c r="O191" s="113">
        <f t="shared" si="665"/>
        <v>0</v>
      </c>
      <c r="P191" s="113">
        <f t="shared" si="666"/>
        <v>0</v>
      </c>
      <c r="Q191" s="113" t="str">
        <f t="shared" si="667"/>
        <v>p</v>
      </c>
      <c r="R191" s="113">
        <f t="shared" si="668"/>
        <v>0</v>
      </c>
      <c r="S191" s="113">
        <f t="shared" si="669"/>
        <v>0</v>
      </c>
      <c r="T191" s="113">
        <f t="shared" si="670"/>
        <v>0</v>
      </c>
      <c r="U191" s="113">
        <f t="shared" si="671"/>
        <v>0</v>
      </c>
      <c r="V191" s="113">
        <f t="shared" si="672"/>
        <v>0</v>
      </c>
      <c r="W191" s="113">
        <f t="shared" si="673"/>
        <v>0</v>
      </c>
      <c r="X191" s="113">
        <f t="shared" si="674"/>
        <v>0</v>
      </c>
      <c r="AA191" s="113">
        <v>35</v>
      </c>
      <c r="AB191" s="112">
        <f t="shared" ca="1" si="675"/>
        <v>40544</v>
      </c>
      <c r="AC191" s="112">
        <f t="shared" ca="1" si="675"/>
        <v>42369</v>
      </c>
      <c r="AF191" s="114">
        <f t="shared" ca="1" si="586"/>
        <v>21907.88</v>
      </c>
      <c r="AG191" s="114">
        <f t="shared" ca="1" si="676"/>
        <v>0</v>
      </c>
      <c r="AH191" s="114">
        <f t="shared" ca="1" si="677"/>
        <v>0</v>
      </c>
      <c r="AI191" s="114">
        <f t="shared" ca="1" si="678"/>
        <v>6384.11</v>
      </c>
      <c r="AJ191" s="114">
        <f t="shared" ca="1" si="679"/>
        <v>144.93</v>
      </c>
      <c r="AK191" s="114">
        <f t="shared" ca="1" si="680"/>
        <v>2369.7399999999998</v>
      </c>
      <c r="AN191">
        <f t="shared" si="554"/>
        <v>191</v>
      </c>
      <c r="AQ191" s="114">
        <f t="shared" ca="1" si="618"/>
        <v>3090</v>
      </c>
      <c r="AW191">
        <v>191</v>
      </c>
    </row>
    <row r="192" spans="1:49" x14ac:dyDescent="0.25">
      <c r="A192" s="113">
        <f>A185+20</f>
        <v>880</v>
      </c>
      <c r="B192" s="113" t="str">
        <f>B185</f>
        <v>a</v>
      </c>
      <c r="C192" s="113" t="str">
        <f t="shared" ref="C192:X192" si="681">C185</f>
        <v>b</v>
      </c>
      <c r="D192" s="113" t="str">
        <f t="shared" si="681"/>
        <v>c</v>
      </c>
      <c r="E192" s="113" t="str">
        <f t="shared" si="681"/>
        <v>d</v>
      </c>
      <c r="F192" s="113" t="str">
        <f t="shared" si="681"/>
        <v>e</v>
      </c>
      <c r="G192" s="113" t="str">
        <f t="shared" si="681"/>
        <v>f</v>
      </c>
      <c r="H192" s="113" t="str">
        <f t="shared" si="681"/>
        <v>g</v>
      </c>
      <c r="I192" s="113" t="str">
        <f t="shared" si="681"/>
        <v>h</v>
      </c>
      <c r="J192" s="113" t="str">
        <f t="shared" si="681"/>
        <v>i</v>
      </c>
      <c r="K192" s="113" t="str">
        <f t="shared" si="681"/>
        <v>j</v>
      </c>
      <c r="L192" s="113" t="str">
        <f t="shared" si="681"/>
        <v>k</v>
      </c>
      <c r="M192" s="113" t="str">
        <f t="shared" si="681"/>
        <v>l</v>
      </c>
      <c r="N192" s="113" t="str">
        <f t="shared" si="681"/>
        <v>m</v>
      </c>
      <c r="O192" s="113">
        <f t="shared" si="681"/>
        <v>0</v>
      </c>
      <c r="P192" s="113">
        <f t="shared" si="681"/>
        <v>0</v>
      </c>
      <c r="Q192" s="113" t="str">
        <f t="shared" si="681"/>
        <v>p</v>
      </c>
      <c r="R192" s="113">
        <f t="shared" si="681"/>
        <v>0</v>
      </c>
      <c r="S192" s="113">
        <f t="shared" si="681"/>
        <v>0</v>
      </c>
      <c r="T192" s="113">
        <f t="shared" si="681"/>
        <v>0</v>
      </c>
      <c r="U192" s="113">
        <f t="shared" si="681"/>
        <v>0</v>
      </c>
      <c r="V192" s="113">
        <f t="shared" si="681"/>
        <v>0</v>
      </c>
      <c r="W192" s="113">
        <f t="shared" si="681"/>
        <v>0</v>
      </c>
      <c r="X192" s="113">
        <f t="shared" si="681"/>
        <v>0</v>
      </c>
      <c r="AA192" s="113">
        <v>0</v>
      </c>
      <c r="AB192" s="112">
        <f ca="1">INDIRECT(CONCATENATE($AB$10,CONCATENATE(B192,$A192)))</f>
        <v>42370</v>
      </c>
      <c r="AC192" s="112">
        <f ca="1">INDIRECT(CONCATENATE($AB$10,CONCATENATE(C192,$A192)))</f>
        <v>42735</v>
      </c>
      <c r="AF192" s="114">
        <f t="shared" ca="1" si="586"/>
        <v>13015.79</v>
      </c>
      <c r="AG192" s="114">
        <f ca="1">INDIRECT(CONCATENATE($AB$10,CONCATENATE(G192,$A192)))</f>
        <v>0</v>
      </c>
      <c r="AH192" s="114">
        <f ca="1">INDIRECT(CONCATENATE($AB$10,CONCATENATE(H192,$A192)))</f>
        <v>0</v>
      </c>
      <c r="AI192" s="114">
        <f ca="1">INDIRECT(CONCATENATE($AB$10,CONCATENATE(I192,$A192)))</f>
        <v>6384.11</v>
      </c>
      <c r="AJ192" s="114">
        <f ca="1">INDIRECT(CONCATENATE($AB$10,CONCATENATE(J192,$A192)))</f>
        <v>144.93</v>
      </c>
      <c r="AK192" s="114">
        <f ca="1">INDIRECT(CONCATENATE($AB$10,CONCATENATE(K192,$A192)))</f>
        <v>1628.74</v>
      </c>
      <c r="AN192">
        <f t="shared" si="554"/>
        <v>192</v>
      </c>
      <c r="AQ192" s="114">
        <f t="shared" ca="1" si="618"/>
        <v>1968</v>
      </c>
      <c r="AW192">
        <v>192</v>
      </c>
    </row>
    <row r="193" spans="1:49" x14ac:dyDescent="0.25">
      <c r="A193" s="113">
        <f>A192</f>
        <v>880</v>
      </c>
      <c r="B193" s="113" t="str">
        <f>B192</f>
        <v>a</v>
      </c>
      <c r="C193" s="113" t="str">
        <f t="shared" ref="C193:C198" si="682">C192</f>
        <v>b</v>
      </c>
      <c r="D193" s="113" t="str">
        <f t="shared" ref="D193:D198" si="683">D192</f>
        <v>c</v>
      </c>
      <c r="E193" s="113" t="str">
        <f t="shared" ref="E193:E198" si="684">E192</f>
        <v>d</v>
      </c>
      <c r="F193" s="113" t="str">
        <f t="shared" ref="F193:F198" si="685">F192</f>
        <v>e</v>
      </c>
      <c r="G193" s="113" t="str">
        <f t="shared" ref="G193:G198" si="686">G192</f>
        <v>f</v>
      </c>
      <c r="H193" s="113" t="str">
        <f t="shared" ref="H193:H198" si="687">H192</f>
        <v>g</v>
      </c>
      <c r="I193" s="113" t="str">
        <f t="shared" ref="I193:I198" si="688">I192</f>
        <v>h</v>
      </c>
      <c r="J193" s="113" t="str">
        <f t="shared" ref="J193:J198" si="689">J192</f>
        <v>i</v>
      </c>
      <c r="K193" s="113" t="str">
        <f t="shared" ref="K193:K198" si="690">K192</f>
        <v>j</v>
      </c>
      <c r="L193" s="113" t="str">
        <f t="shared" ref="L193:L198" si="691">L192</f>
        <v>k</v>
      </c>
      <c r="M193" s="113" t="str">
        <f t="shared" ref="M193:M198" si="692">M192</f>
        <v>l</v>
      </c>
      <c r="N193" s="113" t="str">
        <f t="shared" ref="N193:N198" si="693">N192</f>
        <v>m</v>
      </c>
      <c r="O193" s="113">
        <f t="shared" ref="O193:O198" si="694">O192</f>
        <v>0</v>
      </c>
      <c r="P193" s="113">
        <f t="shared" ref="P193:P198" si="695">P192</f>
        <v>0</v>
      </c>
      <c r="Q193" s="113" t="str">
        <f t="shared" ref="Q193:Q198" si="696">Q192</f>
        <v>p</v>
      </c>
      <c r="R193" s="113">
        <f t="shared" ref="R193:R198" si="697">R192</f>
        <v>0</v>
      </c>
      <c r="S193" s="113">
        <f t="shared" ref="S193:S198" si="698">S192</f>
        <v>0</v>
      </c>
      <c r="T193" s="113">
        <f t="shared" ref="T193:T198" si="699">T192</f>
        <v>0</v>
      </c>
      <c r="U193" s="113">
        <f t="shared" ref="U193:U198" si="700">U192</f>
        <v>0</v>
      </c>
      <c r="V193" s="113">
        <f t="shared" ref="V193:V198" si="701">V192</f>
        <v>0</v>
      </c>
      <c r="W193" s="113">
        <f t="shared" ref="W193:W198" si="702">W192</f>
        <v>0</v>
      </c>
      <c r="X193" s="113">
        <f t="shared" ref="X193:X198" si="703">X192</f>
        <v>0</v>
      </c>
      <c r="AA193" s="113">
        <v>3</v>
      </c>
      <c r="AB193" s="112">
        <f t="shared" ref="AB193:AC198" ca="1" si="704">AB192</f>
        <v>42370</v>
      </c>
      <c r="AC193" s="112">
        <f t="shared" ca="1" si="704"/>
        <v>42735</v>
      </c>
      <c r="AE193" s="114">
        <f ca="1">AE186</f>
        <v>522.04999999999995</v>
      </c>
      <c r="AF193" s="114">
        <f t="shared" ca="1" si="586"/>
        <v>13015.79</v>
      </c>
      <c r="AG193" s="114">
        <f t="shared" ref="AG193:AG198" ca="1" si="705">INDIRECT(CONCATENATE($AB$10,CONCATENATE(G193,$A193)))</f>
        <v>0</v>
      </c>
      <c r="AH193" s="114">
        <f t="shared" ref="AH193:AH198" ca="1" si="706">INDIRECT(CONCATENATE($AB$10,CONCATENATE(H193,$A193)))</f>
        <v>0</v>
      </c>
      <c r="AI193" s="114">
        <f t="shared" ref="AI193:AI198" ca="1" si="707">INDIRECT(CONCATENATE($AB$10,CONCATENATE(I193,$A193)))</f>
        <v>6384.11</v>
      </c>
      <c r="AJ193" s="114">
        <f t="shared" ref="AJ193:AJ198" ca="1" si="708">INDIRECT(CONCATENATE($AB$10,CONCATENATE(J193,$A193)))</f>
        <v>144.93</v>
      </c>
      <c r="AK193" s="114">
        <f t="shared" ref="AK193:AK198" ca="1" si="709">INDIRECT(CONCATENATE($AB$10,CONCATENATE(K193,$A193)))</f>
        <v>1628.74</v>
      </c>
      <c r="AN193">
        <f t="shared" si="554"/>
        <v>193</v>
      </c>
      <c r="AQ193" s="114">
        <f t="shared" ca="1" si="618"/>
        <v>1968</v>
      </c>
      <c r="AW193">
        <v>193</v>
      </c>
    </row>
    <row r="194" spans="1:49" x14ac:dyDescent="0.25">
      <c r="A194" s="113">
        <f>A193+2</f>
        <v>882</v>
      </c>
      <c r="B194" s="113" t="str">
        <f>B193</f>
        <v>a</v>
      </c>
      <c r="C194" s="113" t="str">
        <f t="shared" si="682"/>
        <v>b</v>
      </c>
      <c r="D194" s="113" t="str">
        <f t="shared" si="683"/>
        <v>c</v>
      </c>
      <c r="E194" s="113" t="str">
        <f t="shared" si="684"/>
        <v>d</v>
      </c>
      <c r="F194" s="113" t="str">
        <f t="shared" si="685"/>
        <v>e</v>
      </c>
      <c r="G194" s="113" t="str">
        <f t="shared" si="686"/>
        <v>f</v>
      </c>
      <c r="H194" s="113" t="str">
        <f t="shared" si="687"/>
        <v>g</v>
      </c>
      <c r="I194" s="113" t="str">
        <f t="shared" si="688"/>
        <v>h</v>
      </c>
      <c r="J194" s="113" t="str">
        <f t="shared" si="689"/>
        <v>i</v>
      </c>
      <c r="K194" s="113" t="str">
        <f t="shared" si="690"/>
        <v>j</v>
      </c>
      <c r="L194" s="113" t="str">
        <f t="shared" si="691"/>
        <v>k</v>
      </c>
      <c r="M194" s="113" t="str">
        <f t="shared" si="692"/>
        <v>l</v>
      </c>
      <c r="N194" s="113" t="str">
        <f t="shared" si="693"/>
        <v>m</v>
      </c>
      <c r="O194" s="113">
        <f t="shared" si="694"/>
        <v>0</v>
      </c>
      <c r="P194" s="113">
        <f t="shared" si="695"/>
        <v>0</v>
      </c>
      <c r="Q194" s="113" t="str">
        <f t="shared" si="696"/>
        <v>p</v>
      </c>
      <c r="R194" s="113">
        <f t="shared" si="697"/>
        <v>0</v>
      </c>
      <c r="S194" s="113">
        <f t="shared" si="698"/>
        <v>0</v>
      </c>
      <c r="T194" s="113">
        <f t="shared" si="699"/>
        <v>0</v>
      </c>
      <c r="U194" s="113">
        <f t="shared" si="700"/>
        <v>0</v>
      </c>
      <c r="V194" s="113">
        <f t="shared" si="701"/>
        <v>0</v>
      </c>
      <c r="W194" s="113">
        <f t="shared" si="702"/>
        <v>0</v>
      </c>
      <c r="X194" s="113">
        <f t="shared" si="703"/>
        <v>0</v>
      </c>
      <c r="AA194" s="113">
        <v>9</v>
      </c>
      <c r="AB194" s="112">
        <f t="shared" ca="1" si="704"/>
        <v>42370</v>
      </c>
      <c r="AC194" s="112">
        <f t="shared" ca="1" si="704"/>
        <v>42735</v>
      </c>
      <c r="AF194" s="114">
        <f t="shared" ca="1" si="586"/>
        <v>15153.97</v>
      </c>
      <c r="AG194" s="114">
        <f t="shared" ca="1" si="705"/>
        <v>0</v>
      </c>
      <c r="AH194" s="114">
        <f t="shared" ca="1" si="706"/>
        <v>0</v>
      </c>
      <c r="AI194" s="114">
        <f t="shared" ca="1" si="707"/>
        <v>6384.11</v>
      </c>
      <c r="AJ194" s="114">
        <f t="shared" ca="1" si="708"/>
        <v>144.93</v>
      </c>
      <c r="AK194" s="114">
        <f t="shared" ca="1" si="709"/>
        <v>1806.92</v>
      </c>
      <c r="AN194">
        <f t="shared" si="554"/>
        <v>194</v>
      </c>
      <c r="AQ194" s="114">
        <f t="shared" ca="1" si="618"/>
        <v>1968</v>
      </c>
      <c r="AW194">
        <v>194</v>
      </c>
    </row>
    <row r="195" spans="1:49" x14ac:dyDescent="0.25">
      <c r="A195" s="113">
        <f>A194+2</f>
        <v>884</v>
      </c>
      <c r="B195" s="113" t="str">
        <f>B194</f>
        <v>a</v>
      </c>
      <c r="C195" s="113" t="str">
        <f t="shared" si="682"/>
        <v>b</v>
      </c>
      <c r="D195" s="113" t="str">
        <f t="shared" si="683"/>
        <v>c</v>
      </c>
      <c r="E195" s="113" t="str">
        <f t="shared" si="684"/>
        <v>d</v>
      </c>
      <c r="F195" s="113" t="str">
        <f t="shared" si="685"/>
        <v>e</v>
      </c>
      <c r="G195" s="113" t="str">
        <f t="shared" si="686"/>
        <v>f</v>
      </c>
      <c r="H195" s="113" t="str">
        <f t="shared" si="687"/>
        <v>g</v>
      </c>
      <c r="I195" s="113" t="str">
        <f t="shared" si="688"/>
        <v>h</v>
      </c>
      <c r="J195" s="113" t="str">
        <f t="shared" si="689"/>
        <v>i</v>
      </c>
      <c r="K195" s="113" t="str">
        <f t="shared" si="690"/>
        <v>j</v>
      </c>
      <c r="L195" s="113" t="str">
        <f t="shared" si="691"/>
        <v>k</v>
      </c>
      <c r="M195" s="113" t="str">
        <f t="shared" si="692"/>
        <v>l</v>
      </c>
      <c r="N195" s="113" t="str">
        <f t="shared" si="693"/>
        <v>m</v>
      </c>
      <c r="O195" s="113">
        <f t="shared" si="694"/>
        <v>0</v>
      </c>
      <c r="P195" s="113">
        <f t="shared" si="695"/>
        <v>0</v>
      </c>
      <c r="Q195" s="113" t="str">
        <f t="shared" si="696"/>
        <v>p</v>
      </c>
      <c r="R195" s="113">
        <f t="shared" si="697"/>
        <v>0</v>
      </c>
      <c r="S195" s="113">
        <f t="shared" si="698"/>
        <v>0</v>
      </c>
      <c r="T195" s="113">
        <f t="shared" si="699"/>
        <v>0</v>
      </c>
      <c r="U195" s="113">
        <f t="shared" si="700"/>
        <v>0</v>
      </c>
      <c r="V195" s="113">
        <f t="shared" si="701"/>
        <v>0</v>
      </c>
      <c r="W195" s="113">
        <f t="shared" si="702"/>
        <v>0</v>
      </c>
      <c r="X195" s="113">
        <f t="shared" si="703"/>
        <v>0</v>
      </c>
      <c r="AA195" s="113">
        <v>15</v>
      </c>
      <c r="AB195" s="112">
        <f t="shared" ca="1" si="704"/>
        <v>42370</v>
      </c>
      <c r="AC195" s="112">
        <f t="shared" ca="1" si="704"/>
        <v>42735</v>
      </c>
      <c r="AF195" s="114">
        <f t="shared" ca="1" si="586"/>
        <v>17040.3</v>
      </c>
      <c r="AG195" s="114">
        <f t="shared" ca="1" si="705"/>
        <v>0</v>
      </c>
      <c r="AH195" s="114">
        <f t="shared" ca="1" si="706"/>
        <v>0</v>
      </c>
      <c r="AI195" s="114">
        <f t="shared" ca="1" si="707"/>
        <v>6384.11</v>
      </c>
      <c r="AJ195" s="114">
        <f t="shared" ca="1" si="708"/>
        <v>144.93</v>
      </c>
      <c r="AK195" s="114">
        <f t="shared" ca="1" si="709"/>
        <v>1964.11</v>
      </c>
      <c r="AN195">
        <f t="shared" si="554"/>
        <v>195</v>
      </c>
      <c r="AQ195" s="114">
        <f t="shared" ca="1" si="618"/>
        <v>2424</v>
      </c>
      <c r="AW195">
        <v>195</v>
      </c>
    </row>
    <row r="196" spans="1:49" x14ac:dyDescent="0.25">
      <c r="A196" s="113">
        <f>A195+2</f>
        <v>886</v>
      </c>
      <c r="B196" s="113" t="str">
        <f>B195</f>
        <v>a</v>
      </c>
      <c r="C196" s="113" t="str">
        <f t="shared" si="682"/>
        <v>b</v>
      </c>
      <c r="D196" s="113" t="str">
        <f t="shared" si="683"/>
        <v>c</v>
      </c>
      <c r="E196" s="113" t="str">
        <f t="shared" si="684"/>
        <v>d</v>
      </c>
      <c r="F196" s="113" t="str">
        <f t="shared" si="685"/>
        <v>e</v>
      </c>
      <c r="G196" s="113" t="str">
        <f t="shared" si="686"/>
        <v>f</v>
      </c>
      <c r="H196" s="113" t="str">
        <f t="shared" si="687"/>
        <v>g</v>
      </c>
      <c r="I196" s="113" t="str">
        <f t="shared" si="688"/>
        <v>h</v>
      </c>
      <c r="J196" s="113" t="str">
        <f t="shared" si="689"/>
        <v>i</v>
      </c>
      <c r="K196" s="113" t="str">
        <f t="shared" si="690"/>
        <v>j</v>
      </c>
      <c r="L196" s="113" t="str">
        <f t="shared" si="691"/>
        <v>k</v>
      </c>
      <c r="M196" s="113" t="str">
        <f t="shared" si="692"/>
        <v>l</v>
      </c>
      <c r="N196" s="113" t="str">
        <f t="shared" si="693"/>
        <v>m</v>
      </c>
      <c r="O196" s="113">
        <f t="shared" si="694"/>
        <v>0</v>
      </c>
      <c r="P196" s="113">
        <f t="shared" si="695"/>
        <v>0</v>
      </c>
      <c r="Q196" s="113" t="str">
        <f t="shared" si="696"/>
        <v>p</v>
      </c>
      <c r="R196" s="113">
        <f t="shared" si="697"/>
        <v>0</v>
      </c>
      <c r="S196" s="113">
        <f t="shared" si="698"/>
        <v>0</v>
      </c>
      <c r="T196" s="113">
        <f t="shared" si="699"/>
        <v>0</v>
      </c>
      <c r="U196" s="113">
        <f t="shared" si="700"/>
        <v>0</v>
      </c>
      <c r="V196" s="113">
        <f t="shared" si="701"/>
        <v>0</v>
      </c>
      <c r="W196" s="113">
        <f t="shared" si="702"/>
        <v>0</v>
      </c>
      <c r="X196" s="113">
        <f t="shared" si="703"/>
        <v>0</v>
      </c>
      <c r="AA196" s="113">
        <v>21</v>
      </c>
      <c r="AB196" s="112">
        <f t="shared" ca="1" si="704"/>
        <v>42370</v>
      </c>
      <c r="AC196" s="112">
        <f t="shared" ca="1" si="704"/>
        <v>42735</v>
      </c>
      <c r="AF196" s="114">
        <f t="shared" ca="1" si="586"/>
        <v>18870.14</v>
      </c>
      <c r="AG196" s="114">
        <f t="shared" ca="1" si="705"/>
        <v>0</v>
      </c>
      <c r="AH196" s="114">
        <f t="shared" ca="1" si="706"/>
        <v>0</v>
      </c>
      <c r="AI196" s="114">
        <f t="shared" ca="1" si="707"/>
        <v>6384.11</v>
      </c>
      <c r="AJ196" s="114">
        <f t="shared" ca="1" si="708"/>
        <v>144.93</v>
      </c>
      <c r="AK196" s="114">
        <f t="shared" ca="1" si="709"/>
        <v>2116.6</v>
      </c>
      <c r="AN196">
        <f t="shared" si="554"/>
        <v>196</v>
      </c>
      <c r="AQ196" s="114">
        <f t="shared" ca="1" si="618"/>
        <v>2424</v>
      </c>
      <c r="AW196">
        <v>196</v>
      </c>
    </row>
    <row r="197" spans="1:49" x14ac:dyDescent="0.25">
      <c r="A197" s="113">
        <f>A196+2</f>
        <v>888</v>
      </c>
      <c r="B197" s="113" t="str">
        <f>B196</f>
        <v>a</v>
      </c>
      <c r="C197" s="113" t="str">
        <f t="shared" si="682"/>
        <v>b</v>
      </c>
      <c r="D197" s="113" t="str">
        <f t="shared" si="683"/>
        <v>c</v>
      </c>
      <c r="E197" s="113" t="str">
        <f t="shared" si="684"/>
        <v>d</v>
      </c>
      <c r="F197" s="113" t="str">
        <f t="shared" si="685"/>
        <v>e</v>
      </c>
      <c r="G197" s="113" t="str">
        <f t="shared" si="686"/>
        <v>f</v>
      </c>
      <c r="H197" s="113" t="str">
        <f t="shared" si="687"/>
        <v>g</v>
      </c>
      <c r="I197" s="113" t="str">
        <f t="shared" si="688"/>
        <v>h</v>
      </c>
      <c r="J197" s="113" t="str">
        <f t="shared" si="689"/>
        <v>i</v>
      </c>
      <c r="K197" s="113" t="str">
        <f t="shared" si="690"/>
        <v>j</v>
      </c>
      <c r="L197" s="113" t="str">
        <f t="shared" si="691"/>
        <v>k</v>
      </c>
      <c r="M197" s="113" t="str">
        <f t="shared" si="692"/>
        <v>l</v>
      </c>
      <c r="N197" s="113" t="str">
        <f t="shared" si="693"/>
        <v>m</v>
      </c>
      <c r="O197" s="113">
        <f t="shared" si="694"/>
        <v>0</v>
      </c>
      <c r="P197" s="113">
        <f t="shared" si="695"/>
        <v>0</v>
      </c>
      <c r="Q197" s="113" t="str">
        <f t="shared" si="696"/>
        <v>p</v>
      </c>
      <c r="R197" s="113">
        <f t="shared" si="697"/>
        <v>0</v>
      </c>
      <c r="S197" s="113">
        <f t="shared" si="698"/>
        <v>0</v>
      </c>
      <c r="T197" s="113">
        <f t="shared" si="699"/>
        <v>0</v>
      </c>
      <c r="U197" s="113">
        <f t="shared" si="700"/>
        <v>0</v>
      </c>
      <c r="V197" s="113">
        <f t="shared" si="701"/>
        <v>0</v>
      </c>
      <c r="W197" s="113">
        <f t="shared" si="702"/>
        <v>0</v>
      </c>
      <c r="X197" s="113">
        <f t="shared" si="703"/>
        <v>0</v>
      </c>
      <c r="AA197" s="113">
        <v>28</v>
      </c>
      <c r="AB197" s="112">
        <f t="shared" ca="1" si="704"/>
        <v>42370</v>
      </c>
      <c r="AC197" s="112">
        <f t="shared" ca="1" si="704"/>
        <v>42735</v>
      </c>
      <c r="AF197" s="114">
        <f t="shared" ca="1" si="586"/>
        <v>20674.43</v>
      </c>
      <c r="AG197" s="114">
        <f t="shared" ca="1" si="705"/>
        <v>0</v>
      </c>
      <c r="AH197" s="114">
        <f t="shared" ca="1" si="706"/>
        <v>0</v>
      </c>
      <c r="AI197" s="114">
        <f t="shared" ca="1" si="707"/>
        <v>6384.11</v>
      </c>
      <c r="AJ197" s="114">
        <f t="shared" ca="1" si="708"/>
        <v>144.93</v>
      </c>
      <c r="AK197" s="114">
        <f t="shared" ca="1" si="709"/>
        <v>2266.96</v>
      </c>
      <c r="AN197">
        <f t="shared" si="554"/>
        <v>197</v>
      </c>
      <c r="AQ197" s="114">
        <f t="shared" ca="1" si="618"/>
        <v>3090</v>
      </c>
      <c r="AW197">
        <v>197</v>
      </c>
    </row>
    <row r="198" spans="1:49" x14ac:dyDescent="0.25">
      <c r="A198" s="113">
        <f>A197+2</f>
        <v>890</v>
      </c>
      <c r="B198" s="113" t="str">
        <f>B197</f>
        <v>a</v>
      </c>
      <c r="C198" s="113" t="str">
        <f t="shared" si="682"/>
        <v>b</v>
      </c>
      <c r="D198" s="113" t="str">
        <f t="shared" si="683"/>
        <v>c</v>
      </c>
      <c r="E198" s="113" t="str">
        <f t="shared" si="684"/>
        <v>d</v>
      </c>
      <c r="F198" s="113" t="str">
        <f t="shared" si="685"/>
        <v>e</v>
      </c>
      <c r="G198" s="113" t="str">
        <f t="shared" si="686"/>
        <v>f</v>
      </c>
      <c r="H198" s="113" t="str">
        <f t="shared" si="687"/>
        <v>g</v>
      </c>
      <c r="I198" s="113" t="str">
        <f t="shared" si="688"/>
        <v>h</v>
      </c>
      <c r="J198" s="113" t="str">
        <f t="shared" si="689"/>
        <v>i</v>
      </c>
      <c r="K198" s="113" t="str">
        <f t="shared" si="690"/>
        <v>j</v>
      </c>
      <c r="L198" s="113" t="str">
        <f t="shared" si="691"/>
        <v>k</v>
      </c>
      <c r="M198" s="113" t="str">
        <f t="shared" si="692"/>
        <v>l</v>
      </c>
      <c r="N198" s="113" t="str">
        <f t="shared" si="693"/>
        <v>m</v>
      </c>
      <c r="O198" s="113">
        <f t="shared" si="694"/>
        <v>0</v>
      </c>
      <c r="P198" s="113">
        <f t="shared" si="695"/>
        <v>0</v>
      </c>
      <c r="Q198" s="113" t="str">
        <f t="shared" si="696"/>
        <v>p</v>
      </c>
      <c r="R198" s="113">
        <f t="shared" si="697"/>
        <v>0</v>
      </c>
      <c r="S198" s="113">
        <f t="shared" si="698"/>
        <v>0</v>
      </c>
      <c r="T198" s="113">
        <f t="shared" si="699"/>
        <v>0</v>
      </c>
      <c r="U198" s="113">
        <f t="shared" si="700"/>
        <v>0</v>
      </c>
      <c r="V198" s="113">
        <f t="shared" si="701"/>
        <v>0</v>
      </c>
      <c r="W198" s="113">
        <f t="shared" si="702"/>
        <v>0</v>
      </c>
      <c r="X198" s="113">
        <f t="shared" si="703"/>
        <v>0</v>
      </c>
      <c r="AA198" s="113">
        <v>35</v>
      </c>
      <c r="AB198" s="112">
        <f t="shared" ca="1" si="704"/>
        <v>42370</v>
      </c>
      <c r="AC198" s="112">
        <f t="shared" ca="1" si="704"/>
        <v>42735</v>
      </c>
      <c r="AF198" s="114">
        <f t="shared" ca="1" si="586"/>
        <v>22019.48</v>
      </c>
      <c r="AG198" s="114">
        <f t="shared" ca="1" si="705"/>
        <v>0</v>
      </c>
      <c r="AH198" s="114">
        <f t="shared" ca="1" si="706"/>
        <v>0</v>
      </c>
      <c r="AI198" s="114">
        <f t="shared" ca="1" si="707"/>
        <v>6384.11</v>
      </c>
      <c r="AJ198" s="114">
        <f t="shared" ca="1" si="708"/>
        <v>144.93</v>
      </c>
      <c r="AK198" s="114">
        <f t="shared" ca="1" si="709"/>
        <v>2379.04</v>
      </c>
      <c r="AN198">
        <f t="shared" si="554"/>
        <v>198</v>
      </c>
      <c r="AQ198" s="114">
        <f t="shared" ca="1" si="618"/>
        <v>3090</v>
      </c>
      <c r="AW198">
        <v>198</v>
      </c>
    </row>
    <row r="199" spans="1:49" x14ac:dyDescent="0.25">
      <c r="A199" s="113">
        <f>A192+20</f>
        <v>900</v>
      </c>
      <c r="B199" s="113" t="str">
        <f>B192</f>
        <v>a</v>
      </c>
      <c r="C199" s="113" t="str">
        <f t="shared" ref="C199:X199" si="710">C192</f>
        <v>b</v>
      </c>
      <c r="D199" s="113" t="str">
        <f t="shared" si="710"/>
        <v>c</v>
      </c>
      <c r="E199" s="113" t="str">
        <f t="shared" si="710"/>
        <v>d</v>
      </c>
      <c r="F199" s="113" t="str">
        <f t="shared" si="710"/>
        <v>e</v>
      </c>
      <c r="G199" s="113" t="str">
        <f t="shared" si="710"/>
        <v>f</v>
      </c>
      <c r="H199" s="113" t="str">
        <f t="shared" si="710"/>
        <v>g</v>
      </c>
      <c r="I199" s="113" t="str">
        <f t="shared" si="710"/>
        <v>h</v>
      </c>
      <c r="J199" s="113" t="str">
        <f t="shared" si="710"/>
        <v>i</v>
      </c>
      <c r="K199" s="113" t="str">
        <f t="shared" si="710"/>
        <v>j</v>
      </c>
      <c r="L199" s="113" t="str">
        <f t="shared" si="710"/>
        <v>k</v>
      </c>
      <c r="M199" s="113" t="str">
        <f t="shared" si="710"/>
        <v>l</v>
      </c>
      <c r="N199" s="113" t="str">
        <f t="shared" si="710"/>
        <v>m</v>
      </c>
      <c r="O199" s="113">
        <f t="shared" si="710"/>
        <v>0</v>
      </c>
      <c r="P199" s="113">
        <f t="shared" si="710"/>
        <v>0</v>
      </c>
      <c r="Q199" s="113" t="str">
        <f t="shared" si="710"/>
        <v>p</v>
      </c>
      <c r="R199" s="113">
        <f t="shared" si="710"/>
        <v>0</v>
      </c>
      <c r="S199" s="113">
        <f t="shared" si="710"/>
        <v>0</v>
      </c>
      <c r="T199" s="113">
        <f t="shared" si="710"/>
        <v>0</v>
      </c>
      <c r="U199" s="113">
        <f t="shared" si="710"/>
        <v>0</v>
      </c>
      <c r="V199" s="113">
        <f t="shared" si="710"/>
        <v>0</v>
      </c>
      <c r="W199" s="113">
        <f t="shared" si="710"/>
        <v>0</v>
      </c>
      <c r="X199" s="113">
        <f t="shared" si="710"/>
        <v>0</v>
      </c>
      <c r="AA199" s="113">
        <v>0</v>
      </c>
      <c r="AB199" s="112">
        <f ca="1">INDIRECT(CONCATENATE($AB$10,CONCATENATE(B199,$A199)))</f>
        <v>42736</v>
      </c>
      <c r="AC199" s="112">
        <f ca="1">INDIRECT(CONCATENATE($AB$10,CONCATENATE(C199,$A199)))</f>
        <v>43159</v>
      </c>
      <c r="AF199" s="114">
        <f t="shared" ca="1" si="586"/>
        <v>13170.59</v>
      </c>
      <c r="AG199" s="114">
        <f ca="1">INDIRECT(CONCATENATE($AB$10,CONCATENATE(G199,$A199)))</f>
        <v>0</v>
      </c>
      <c r="AH199" s="114">
        <f ca="1">INDIRECT(CONCATENATE($AB$10,CONCATENATE(H199,$A199)))</f>
        <v>0</v>
      </c>
      <c r="AI199" s="114">
        <f ca="1">INDIRECT(CONCATENATE($AB$10,CONCATENATE(I199,$A199)))</f>
        <v>6384.11</v>
      </c>
      <c r="AJ199" s="114">
        <f ca="1">INDIRECT(CONCATENATE($AB$10,CONCATENATE(J199,$A199)))</f>
        <v>144.93</v>
      </c>
      <c r="AK199" s="114">
        <f ca="1">INDIRECT(CONCATENATE($AB$10,CONCATENATE(K199,$A199)))</f>
        <v>1641.64</v>
      </c>
      <c r="AN199">
        <f t="shared" si="554"/>
        <v>199</v>
      </c>
      <c r="AQ199" s="114">
        <f t="shared" ref="AQ199:AQ247" ca="1" si="711">INDIRECT(CONCATENATE($AB$10,CONCATENATE(Q199,$A199)))</f>
        <v>1968</v>
      </c>
      <c r="AW199">
        <v>199</v>
      </c>
    </row>
    <row r="200" spans="1:49" x14ac:dyDescent="0.25">
      <c r="A200" s="113">
        <f>A199</f>
        <v>900</v>
      </c>
      <c r="B200" s="113" t="str">
        <f>B199</f>
        <v>a</v>
      </c>
      <c r="C200" s="113" t="str">
        <f t="shared" ref="C200:C205" si="712">C199</f>
        <v>b</v>
      </c>
      <c r="D200" s="113" t="str">
        <f t="shared" ref="D200:D205" si="713">D199</f>
        <v>c</v>
      </c>
      <c r="E200" s="113" t="str">
        <f t="shared" ref="E200:E205" si="714">E199</f>
        <v>d</v>
      </c>
      <c r="F200" s="113" t="str">
        <f t="shared" ref="F200:F205" si="715">F199</f>
        <v>e</v>
      </c>
      <c r="G200" s="113" t="str">
        <f t="shared" ref="G200:G205" si="716">G199</f>
        <v>f</v>
      </c>
      <c r="H200" s="113" t="str">
        <f t="shared" ref="H200:H205" si="717">H199</f>
        <v>g</v>
      </c>
      <c r="I200" s="113" t="str">
        <f t="shared" ref="I200:I205" si="718">I199</f>
        <v>h</v>
      </c>
      <c r="J200" s="113" t="str">
        <f t="shared" ref="J200:J205" si="719">J199</f>
        <v>i</v>
      </c>
      <c r="K200" s="113" t="str">
        <f t="shared" ref="K200:K205" si="720">K199</f>
        <v>j</v>
      </c>
      <c r="L200" s="113" t="str">
        <f t="shared" ref="L200:L205" si="721">L199</f>
        <v>k</v>
      </c>
      <c r="M200" s="113" t="str">
        <f t="shared" ref="M200:M205" si="722">M199</f>
        <v>l</v>
      </c>
      <c r="N200" s="113" t="str">
        <f t="shared" ref="N200:N205" si="723">N199</f>
        <v>m</v>
      </c>
      <c r="O200" s="113">
        <f t="shared" ref="O200:O205" si="724">O199</f>
        <v>0</v>
      </c>
      <c r="P200" s="113">
        <f t="shared" ref="P200:P205" si="725">P199</f>
        <v>0</v>
      </c>
      <c r="Q200" s="113" t="str">
        <f t="shared" ref="Q200:Q205" si="726">Q199</f>
        <v>p</v>
      </c>
      <c r="R200" s="113">
        <f t="shared" ref="R200:R205" si="727">R199</f>
        <v>0</v>
      </c>
      <c r="S200" s="113">
        <f t="shared" ref="S200:S205" si="728">S199</f>
        <v>0</v>
      </c>
      <c r="T200" s="113">
        <f t="shared" ref="T200:T205" si="729">T199</f>
        <v>0</v>
      </c>
      <c r="U200" s="113">
        <f t="shared" ref="U200:U205" si="730">U199</f>
        <v>0</v>
      </c>
      <c r="V200" s="113">
        <f t="shared" ref="V200:V205" si="731">V199</f>
        <v>0</v>
      </c>
      <c r="W200" s="113">
        <f t="shared" ref="W200:W205" si="732">W199</f>
        <v>0</v>
      </c>
      <c r="X200" s="113">
        <f t="shared" ref="X200:X205" si="733">X199</f>
        <v>0</v>
      </c>
      <c r="AA200" s="113">
        <v>3</v>
      </c>
      <c r="AB200" s="112">
        <f t="shared" ref="AB200:AC205" ca="1" si="734">AB199</f>
        <v>42736</v>
      </c>
      <c r="AC200" s="112">
        <f t="shared" ca="1" si="734"/>
        <v>43159</v>
      </c>
      <c r="AE200" s="114">
        <f ca="1">AE193</f>
        <v>522.04999999999995</v>
      </c>
      <c r="AF200" s="114">
        <f t="shared" ca="1" si="586"/>
        <v>13170.59</v>
      </c>
      <c r="AG200" s="114">
        <f t="shared" ref="AG200:AG205" ca="1" si="735">INDIRECT(CONCATENATE($AB$10,CONCATENATE(G200,$A200)))</f>
        <v>0</v>
      </c>
      <c r="AH200" s="114">
        <f t="shared" ref="AH200:AH205" ca="1" si="736">INDIRECT(CONCATENATE($AB$10,CONCATENATE(H200,$A200)))</f>
        <v>0</v>
      </c>
      <c r="AI200" s="114">
        <f t="shared" ref="AI200:AI205" ca="1" si="737">INDIRECT(CONCATENATE($AB$10,CONCATENATE(I200,$A200)))</f>
        <v>6384.11</v>
      </c>
      <c r="AJ200" s="114">
        <f t="shared" ref="AJ200:AJ205" ca="1" si="738">INDIRECT(CONCATENATE($AB$10,CONCATENATE(J200,$A200)))</f>
        <v>144.93</v>
      </c>
      <c r="AK200" s="114">
        <f t="shared" ref="AK200:AK205" ca="1" si="739">INDIRECT(CONCATENATE($AB$10,CONCATENATE(K200,$A200)))</f>
        <v>1641.64</v>
      </c>
      <c r="AN200">
        <f t="shared" si="554"/>
        <v>200</v>
      </c>
      <c r="AQ200" s="114">
        <f t="shared" ca="1" si="711"/>
        <v>1968</v>
      </c>
      <c r="AW200">
        <v>200</v>
      </c>
    </row>
    <row r="201" spans="1:49" x14ac:dyDescent="0.25">
      <c r="A201" s="113">
        <f>A200+2</f>
        <v>902</v>
      </c>
      <c r="B201" s="113" t="str">
        <f>B200</f>
        <v>a</v>
      </c>
      <c r="C201" s="113" t="str">
        <f t="shared" si="712"/>
        <v>b</v>
      </c>
      <c r="D201" s="113" t="str">
        <f t="shared" si="713"/>
        <v>c</v>
      </c>
      <c r="E201" s="113" t="str">
        <f t="shared" si="714"/>
        <v>d</v>
      </c>
      <c r="F201" s="113" t="str">
        <f t="shared" si="715"/>
        <v>e</v>
      </c>
      <c r="G201" s="113" t="str">
        <f t="shared" si="716"/>
        <v>f</v>
      </c>
      <c r="H201" s="113" t="str">
        <f t="shared" si="717"/>
        <v>g</v>
      </c>
      <c r="I201" s="113" t="str">
        <f t="shared" si="718"/>
        <v>h</v>
      </c>
      <c r="J201" s="113" t="str">
        <f t="shared" si="719"/>
        <v>i</v>
      </c>
      <c r="K201" s="113" t="str">
        <f t="shared" si="720"/>
        <v>j</v>
      </c>
      <c r="L201" s="113" t="str">
        <f t="shared" si="721"/>
        <v>k</v>
      </c>
      <c r="M201" s="113" t="str">
        <f t="shared" si="722"/>
        <v>l</v>
      </c>
      <c r="N201" s="113" t="str">
        <f t="shared" si="723"/>
        <v>m</v>
      </c>
      <c r="O201" s="113">
        <f t="shared" si="724"/>
        <v>0</v>
      </c>
      <c r="P201" s="113">
        <f t="shared" si="725"/>
        <v>0</v>
      </c>
      <c r="Q201" s="113" t="str">
        <f t="shared" si="726"/>
        <v>p</v>
      </c>
      <c r="R201" s="113">
        <f t="shared" si="727"/>
        <v>0</v>
      </c>
      <c r="S201" s="113">
        <f t="shared" si="728"/>
        <v>0</v>
      </c>
      <c r="T201" s="113">
        <f t="shared" si="729"/>
        <v>0</v>
      </c>
      <c r="U201" s="113">
        <f t="shared" si="730"/>
        <v>0</v>
      </c>
      <c r="V201" s="113">
        <f t="shared" si="731"/>
        <v>0</v>
      </c>
      <c r="W201" s="113">
        <f t="shared" si="732"/>
        <v>0</v>
      </c>
      <c r="X201" s="113">
        <f t="shared" si="733"/>
        <v>0</v>
      </c>
      <c r="AA201" s="113">
        <v>9</v>
      </c>
      <c r="AB201" s="112">
        <f t="shared" ca="1" si="734"/>
        <v>42736</v>
      </c>
      <c r="AC201" s="112">
        <f t="shared" ca="1" si="734"/>
        <v>43159</v>
      </c>
      <c r="AF201" s="114">
        <f t="shared" ca="1" si="586"/>
        <v>15325.57</v>
      </c>
      <c r="AG201" s="114">
        <f t="shared" ca="1" si="735"/>
        <v>0</v>
      </c>
      <c r="AH201" s="114">
        <f t="shared" ca="1" si="736"/>
        <v>0</v>
      </c>
      <c r="AI201" s="114">
        <f t="shared" ca="1" si="737"/>
        <v>6384.11</v>
      </c>
      <c r="AJ201" s="114">
        <f t="shared" ca="1" si="738"/>
        <v>144.93</v>
      </c>
      <c r="AK201" s="114">
        <f t="shared" ca="1" si="739"/>
        <v>1821.22</v>
      </c>
      <c r="AN201">
        <f t="shared" si="554"/>
        <v>201</v>
      </c>
      <c r="AQ201" s="114">
        <f t="shared" ca="1" si="711"/>
        <v>1968</v>
      </c>
      <c r="AW201">
        <v>201</v>
      </c>
    </row>
    <row r="202" spans="1:49" x14ac:dyDescent="0.25">
      <c r="A202" s="113">
        <f>A201+2</f>
        <v>904</v>
      </c>
      <c r="B202" s="113" t="str">
        <f>B201</f>
        <v>a</v>
      </c>
      <c r="C202" s="113" t="str">
        <f t="shared" si="712"/>
        <v>b</v>
      </c>
      <c r="D202" s="113" t="str">
        <f t="shared" si="713"/>
        <v>c</v>
      </c>
      <c r="E202" s="113" t="str">
        <f t="shared" si="714"/>
        <v>d</v>
      </c>
      <c r="F202" s="113" t="str">
        <f t="shared" si="715"/>
        <v>e</v>
      </c>
      <c r="G202" s="113" t="str">
        <f t="shared" si="716"/>
        <v>f</v>
      </c>
      <c r="H202" s="113" t="str">
        <f t="shared" si="717"/>
        <v>g</v>
      </c>
      <c r="I202" s="113" t="str">
        <f t="shared" si="718"/>
        <v>h</v>
      </c>
      <c r="J202" s="113" t="str">
        <f t="shared" si="719"/>
        <v>i</v>
      </c>
      <c r="K202" s="113" t="str">
        <f t="shared" si="720"/>
        <v>j</v>
      </c>
      <c r="L202" s="113" t="str">
        <f t="shared" si="721"/>
        <v>k</v>
      </c>
      <c r="M202" s="113" t="str">
        <f t="shared" si="722"/>
        <v>l</v>
      </c>
      <c r="N202" s="113" t="str">
        <f t="shared" si="723"/>
        <v>m</v>
      </c>
      <c r="O202" s="113">
        <f t="shared" si="724"/>
        <v>0</v>
      </c>
      <c r="P202" s="113">
        <f t="shared" si="725"/>
        <v>0</v>
      </c>
      <c r="Q202" s="113" t="str">
        <f t="shared" si="726"/>
        <v>p</v>
      </c>
      <c r="R202" s="113">
        <f t="shared" si="727"/>
        <v>0</v>
      </c>
      <c r="S202" s="113">
        <f t="shared" si="728"/>
        <v>0</v>
      </c>
      <c r="T202" s="113">
        <f t="shared" si="729"/>
        <v>0</v>
      </c>
      <c r="U202" s="113">
        <f t="shared" si="730"/>
        <v>0</v>
      </c>
      <c r="V202" s="113">
        <f t="shared" si="731"/>
        <v>0</v>
      </c>
      <c r="W202" s="113">
        <f t="shared" si="732"/>
        <v>0</v>
      </c>
      <c r="X202" s="113">
        <f t="shared" si="733"/>
        <v>0</v>
      </c>
      <c r="AA202" s="113">
        <v>15</v>
      </c>
      <c r="AB202" s="112">
        <f t="shared" ca="1" si="734"/>
        <v>42736</v>
      </c>
      <c r="AC202" s="112">
        <f t="shared" ca="1" si="734"/>
        <v>43159</v>
      </c>
      <c r="AF202" s="114">
        <f t="shared" ca="1" si="586"/>
        <v>17225.099999999999</v>
      </c>
      <c r="AG202" s="114">
        <f t="shared" ca="1" si="735"/>
        <v>0</v>
      </c>
      <c r="AH202" s="114">
        <f t="shared" ca="1" si="736"/>
        <v>0</v>
      </c>
      <c r="AI202" s="114">
        <f t="shared" ca="1" si="737"/>
        <v>6384.11</v>
      </c>
      <c r="AJ202" s="114">
        <f t="shared" ca="1" si="738"/>
        <v>144.93</v>
      </c>
      <c r="AK202" s="114">
        <f t="shared" ca="1" si="739"/>
        <v>1979.51</v>
      </c>
      <c r="AN202">
        <f t="shared" si="554"/>
        <v>202</v>
      </c>
      <c r="AQ202" s="114">
        <f t="shared" ca="1" si="711"/>
        <v>2424</v>
      </c>
      <c r="AW202">
        <v>202</v>
      </c>
    </row>
    <row r="203" spans="1:49" x14ac:dyDescent="0.25">
      <c r="A203" s="113">
        <f>A202+2</f>
        <v>906</v>
      </c>
      <c r="B203" s="113" t="str">
        <f>B202</f>
        <v>a</v>
      </c>
      <c r="C203" s="113" t="str">
        <f t="shared" si="712"/>
        <v>b</v>
      </c>
      <c r="D203" s="113" t="str">
        <f t="shared" si="713"/>
        <v>c</v>
      </c>
      <c r="E203" s="113" t="str">
        <f t="shared" si="714"/>
        <v>d</v>
      </c>
      <c r="F203" s="113" t="str">
        <f t="shared" si="715"/>
        <v>e</v>
      </c>
      <c r="G203" s="113" t="str">
        <f t="shared" si="716"/>
        <v>f</v>
      </c>
      <c r="H203" s="113" t="str">
        <f t="shared" si="717"/>
        <v>g</v>
      </c>
      <c r="I203" s="113" t="str">
        <f t="shared" si="718"/>
        <v>h</v>
      </c>
      <c r="J203" s="113" t="str">
        <f t="shared" si="719"/>
        <v>i</v>
      </c>
      <c r="K203" s="113" t="str">
        <f t="shared" si="720"/>
        <v>j</v>
      </c>
      <c r="L203" s="113" t="str">
        <f t="shared" si="721"/>
        <v>k</v>
      </c>
      <c r="M203" s="113" t="str">
        <f t="shared" si="722"/>
        <v>l</v>
      </c>
      <c r="N203" s="113" t="str">
        <f t="shared" si="723"/>
        <v>m</v>
      </c>
      <c r="O203" s="113">
        <f t="shared" si="724"/>
        <v>0</v>
      </c>
      <c r="P203" s="113">
        <f t="shared" si="725"/>
        <v>0</v>
      </c>
      <c r="Q203" s="113" t="str">
        <f t="shared" si="726"/>
        <v>p</v>
      </c>
      <c r="R203" s="113">
        <f t="shared" si="727"/>
        <v>0</v>
      </c>
      <c r="S203" s="113">
        <f t="shared" si="728"/>
        <v>0</v>
      </c>
      <c r="T203" s="113">
        <f t="shared" si="729"/>
        <v>0</v>
      </c>
      <c r="U203" s="113">
        <f t="shared" si="730"/>
        <v>0</v>
      </c>
      <c r="V203" s="113">
        <f t="shared" si="731"/>
        <v>0</v>
      </c>
      <c r="W203" s="113">
        <f t="shared" si="732"/>
        <v>0</v>
      </c>
      <c r="X203" s="113">
        <f t="shared" si="733"/>
        <v>0</v>
      </c>
      <c r="AA203" s="113">
        <v>21</v>
      </c>
      <c r="AB203" s="112">
        <f t="shared" ca="1" si="734"/>
        <v>42736</v>
      </c>
      <c r="AC203" s="112">
        <f t="shared" ca="1" si="734"/>
        <v>43159</v>
      </c>
      <c r="AF203" s="114">
        <f t="shared" ca="1" si="586"/>
        <v>19070.54</v>
      </c>
      <c r="AG203" s="114">
        <f t="shared" ca="1" si="735"/>
        <v>0</v>
      </c>
      <c r="AH203" s="114">
        <f t="shared" ca="1" si="736"/>
        <v>0</v>
      </c>
      <c r="AI203" s="114">
        <f t="shared" ca="1" si="737"/>
        <v>6384.11</v>
      </c>
      <c r="AJ203" s="114">
        <f t="shared" ca="1" si="738"/>
        <v>144.93</v>
      </c>
      <c r="AK203" s="114">
        <f t="shared" ca="1" si="739"/>
        <v>2133.3000000000002</v>
      </c>
      <c r="AN203">
        <f t="shared" si="554"/>
        <v>203</v>
      </c>
      <c r="AQ203" s="114">
        <f t="shared" ca="1" si="711"/>
        <v>2424</v>
      </c>
      <c r="AW203">
        <v>203</v>
      </c>
    </row>
    <row r="204" spans="1:49" x14ac:dyDescent="0.25">
      <c r="A204" s="113">
        <f>A203+2</f>
        <v>908</v>
      </c>
      <c r="B204" s="113" t="str">
        <f>B203</f>
        <v>a</v>
      </c>
      <c r="C204" s="113" t="str">
        <f t="shared" si="712"/>
        <v>b</v>
      </c>
      <c r="D204" s="113" t="str">
        <f t="shared" si="713"/>
        <v>c</v>
      </c>
      <c r="E204" s="113" t="str">
        <f t="shared" si="714"/>
        <v>d</v>
      </c>
      <c r="F204" s="113" t="str">
        <f t="shared" si="715"/>
        <v>e</v>
      </c>
      <c r="G204" s="113" t="str">
        <f t="shared" si="716"/>
        <v>f</v>
      </c>
      <c r="H204" s="113" t="str">
        <f t="shared" si="717"/>
        <v>g</v>
      </c>
      <c r="I204" s="113" t="str">
        <f t="shared" si="718"/>
        <v>h</v>
      </c>
      <c r="J204" s="113" t="str">
        <f t="shared" si="719"/>
        <v>i</v>
      </c>
      <c r="K204" s="113" t="str">
        <f t="shared" si="720"/>
        <v>j</v>
      </c>
      <c r="L204" s="113" t="str">
        <f t="shared" si="721"/>
        <v>k</v>
      </c>
      <c r="M204" s="113" t="str">
        <f t="shared" si="722"/>
        <v>l</v>
      </c>
      <c r="N204" s="113" t="str">
        <f t="shared" si="723"/>
        <v>m</v>
      </c>
      <c r="O204" s="113">
        <f t="shared" si="724"/>
        <v>0</v>
      </c>
      <c r="P204" s="113">
        <f t="shared" si="725"/>
        <v>0</v>
      </c>
      <c r="Q204" s="113" t="str">
        <f t="shared" si="726"/>
        <v>p</v>
      </c>
      <c r="R204" s="113">
        <f t="shared" si="727"/>
        <v>0</v>
      </c>
      <c r="S204" s="113">
        <f t="shared" si="728"/>
        <v>0</v>
      </c>
      <c r="T204" s="113">
        <f t="shared" si="729"/>
        <v>0</v>
      </c>
      <c r="U204" s="113">
        <f t="shared" si="730"/>
        <v>0</v>
      </c>
      <c r="V204" s="113">
        <f t="shared" si="731"/>
        <v>0</v>
      </c>
      <c r="W204" s="113">
        <f t="shared" si="732"/>
        <v>0</v>
      </c>
      <c r="X204" s="113">
        <f t="shared" si="733"/>
        <v>0</v>
      </c>
      <c r="AA204" s="113">
        <v>28</v>
      </c>
      <c r="AB204" s="112">
        <f t="shared" ca="1" si="734"/>
        <v>42736</v>
      </c>
      <c r="AC204" s="112">
        <f t="shared" ca="1" si="734"/>
        <v>43159</v>
      </c>
      <c r="AF204" s="114">
        <f t="shared" ca="1" si="586"/>
        <v>20889.23</v>
      </c>
      <c r="AG204" s="114">
        <f t="shared" ca="1" si="735"/>
        <v>0</v>
      </c>
      <c r="AH204" s="114">
        <f t="shared" ca="1" si="736"/>
        <v>0</v>
      </c>
      <c r="AI204" s="114">
        <f t="shared" ca="1" si="737"/>
        <v>6384.11</v>
      </c>
      <c r="AJ204" s="114">
        <f t="shared" ca="1" si="738"/>
        <v>144.93</v>
      </c>
      <c r="AK204" s="114">
        <f t="shared" ca="1" si="739"/>
        <v>2284.86</v>
      </c>
      <c r="AN204">
        <f t="shared" si="554"/>
        <v>204</v>
      </c>
      <c r="AQ204" s="114">
        <f t="shared" ca="1" si="711"/>
        <v>3090</v>
      </c>
      <c r="AW204">
        <v>204</v>
      </c>
    </row>
    <row r="205" spans="1:49" x14ac:dyDescent="0.25">
      <c r="A205" s="113">
        <f>A204+2</f>
        <v>910</v>
      </c>
      <c r="B205" s="113" t="str">
        <f>B204</f>
        <v>a</v>
      </c>
      <c r="C205" s="113" t="str">
        <f t="shared" si="712"/>
        <v>b</v>
      </c>
      <c r="D205" s="113" t="str">
        <f t="shared" si="713"/>
        <v>c</v>
      </c>
      <c r="E205" s="113" t="str">
        <f t="shared" si="714"/>
        <v>d</v>
      </c>
      <c r="F205" s="113" t="str">
        <f t="shared" si="715"/>
        <v>e</v>
      </c>
      <c r="G205" s="113" t="str">
        <f t="shared" si="716"/>
        <v>f</v>
      </c>
      <c r="H205" s="113" t="str">
        <f t="shared" si="717"/>
        <v>g</v>
      </c>
      <c r="I205" s="113" t="str">
        <f t="shared" si="718"/>
        <v>h</v>
      </c>
      <c r="J205" s="113" t="str">
        <f t="shared" si="719"/>
        <v>i</v>
      </c>
      <c r="K205" s="113" t="str">
        <f t="shared" si="720"/>
        <v>j</v>
      </c>
      <c r="L205" s="113" t="str">
        <f t="shared" si="721"/>
        <v>k</v>
      </c>
      <c r="M205" s="113" t="str">
        <f t="shared" si="722"/>
        <v>l</v>
      </c>
      <c r="N205" s="113" t="str">
        <f t="shared" si="723"/>
        <v>m</v>
      </c>
      <c r="O205" s="113">
        <f t="shared" si="724"/>
        <v>0</v>
      </c>
      <c r="P205" s="113">
        <f t="shared" si="725"/>
        <v>0</v>
      </c>
      <c r="Q205" s="113" t="str">
        <f t="shared" si="726"/>
        <v>p</v>
      </c>
      <c r="R205" s="113">
        <f t="shared" si="727"/>
        <v>0</v>
      </c>
      <c r="S205" s="113">
        <f t="shared" si="728"/>
        <v>0</v>
      </c>
      <c r="T205" s="113">
        <f t="shared" si="729"/>
        <v>0</v>
      </c>
      <c r="U205" s="113">
        <f t="shared" si="730"/>
        <v>0</v>
      </c>
      <c r="V205" s="113">
        <f t="shared" si="731"/>
        <v>0</v>
      </c>
      <c r="W205" s="113">
        <f t="shared" si="732"/>
        <v>0</v>
      </c>
      <c r="X205" s="113">
        <f t="shared" si="733"/>
        <v>0</v>
      </c>
      <c r="AA205" s="113">
        <v>35</v>
      </c>
      <c r="AB205" s="112">
        <f t="shared" ca="1" si="734"/>
        <v>42736</v>
      </c>
      <c r="AC205" s="112">
        <f t="shared" ca="1" si="734"/>
        <v>43159</v>
      </c>
      <c r="AF205" s="114">
        <f t="shared" ca="1" si="586"/>
        <v>22245.08</v>
      </c>
      <c r="AG205" s="114">
        <f t="shared" ca="1" si="735"/>
        <v>0</v>
      </c>
      <c r="AH205" s="114">
        <f t="shared" ca="1" si="736"/>
        <v>0</v>
      </c>
      <c r="AI205" s="114">
        <f t="shared" ca="1" si="737"/>
        <v>6384.11</v>
      </c>
      <c r="AJ205" s="114">
        <f t="shared" ca="1" si="738"/>
        <v>144.93</v>
      </c>
      <c r="AK205" s="114">
        <f t="shared" ca="1" si="739"/>
        <v>2397.84</v>
      </c>
      <c r="AN205">
        <f t="shared" si="554"/>
        <v>205</v>
      </c>
      <c r="AQ205" s="114">
        <f t="shared" ca="1" si="711"/>
        <v>3090</v>
      </c>
      <c r="AW205">
        <v>205</v>
      </c>
    </row>
    <row r="206" spans="1:49" x14ac:dyDescent="0.25">
      <c r="A206" s="113">
        <f>A199+20</f>
        <v>920</v>
      </c>
      <c r="B206" s="113" t="str">
        <f>B199</f>
        <v>a</v>
      </c>
      <c r="C206" s="113" t="str">
        <f t="shared" ref="C206:X206" si="740">C199</f>
        <v>b</v>
      </c>
      <c r="D206" s="113" t="str">
        <f t="shared" si="740"/>
        <v>c</v>
      </c>
      <c r="E206" s="113" t="str">
        <f t="shared" si="740"/>
        <v>d</v>
      </c>
      <c r="F206" s="113" t="str">
        <f t="shared" si="740"/>
        <v>e</v>
      </c>
      <c r="G206" s="113" t="str">
        <f t="shared" si="740"/>
        <v>f</v>
      </c>
      <c r="H206" s="113" t="str">
        <f t="shared" si="740"/>
        <v>g</v>
      </c>
      <c r="I206" s="113" t="str">
        <f t="shared" si="740"/>
        <v>h</v>
      </c>
      <c r="J206" s="113" t="str">
        <f t="shared" si="740"/>
        <v>i</v>
      </c>
      <c r="K206" s="113" t="str">
        <f t="shared" si="740"/>
        <v>j</v>
      </c>
      <c r="L206" s="113" t="str">
        <f t="shared" si="740"/>
        <v>k</v>
      </c>
      <c r="M206" s="113" t="str">
        <f t="shared" si="740"/>
        <v>l</v>
      </c>
      <c r="N206" s="113" t="str">
        <f t="shared" si="740"/>
        <v>m</v>
      </c>
      <c r="O206" s="113">
        <f t="shared" si="740"/>
        <v>0</v>
      </c>
      <c r="P206" s="113">
        <f t="shared" si="740"/>
        <v>0</v>
      </c>
      <c r="Q206" s="113" t="str">
        <f t="shared" si="740"/>
        <v>p</v>
      </c>
      <c r="R206" s="113">
        <f t="shared" si="740"/>
        <v>0</v>
      </c>
      <c r="S206" s="113">
        <f t="shared" si="740"/>
        <v>0</v>
      </c>
      <c r="T206" s="113">
        <f t="shared" si="740"/>
        <v>0</v>
      </c>
      <c r="U206" s="113">
        <f t="shared" si="740"/>
        <v>0</v>
      </c>
      <c r="V206" s="113">
        <f t="shared" si="740"/>
        <v>0</v>
      </c>
      <c r="W206" s="113">
        <f t="shared" si="740"/>
        <v>0</v>
      </c>
      <c r="X206" s="113">
        <f t="shared" si="740"/>
        <v>0</v>
      </c>
      <c r="AA206" s="113">
        <v>0</v>
      </c>
      <c r="AB206" s="112">
        <f ca="1">INDIRECT(CONCATENATE($AB$10,CONCATENATE(B206,$A206)))</f>
        <v>43160</v>
      </c>
      <c r="AC206" s="112">
        <f ca="1">INDIRECT(CONCATENATE($AB$10,CONCATENATE(C206,$A206)))</f>
        <v>43190</v>
      </c>
      <c r="AF206" s="114">
        <f t="shared" ca="1" si="586"/>
        <v>13612.19</v>
      </c>
      <c r="AG206" s="114">
        <f ca="1">INDIRECT(CONCATENATE($AB$10,CONCATENATE(G206,$A206)))</f>
        <v>0</v>
      </c>
      <c r="AH206" s="114">
        <f ca="1">INDIRECT(CONCATENATE($AB$10,CONCATENATE(H206,$A206)))</f>
        <v>0</v>
      </c>
      <c r="AI206" s="114">
        <f ca="1">INDIRECT(CONCATENATE($AB$10,CONCATENATE(I206,$A206)))</f>
        <v>6384.11</v>
      </c>
      <c r="AJ206" s="114">
        <f ca="1">INDIRECT(CONCATENATE($AB$10,CONCATENATE(J206,$A206)))</f>
        <v>144.93</v>
      </c>
      <c r="AK206" s="114">
        <f ca="1">INDIRECT(CONCATENATE($AB$10,CONCATENATE(K206,$A206)))</f>
        <v>1678.44</v>
      </c>
      <c r="AN206">
        <f t="shared" si="554"/>
        <v>206</v>
      </c>
      <c r="AQ206" s="114">
        <f t="shared" ca="1" si="711"/>
        <v>2094</v>
      </c>
      <c r="AW206">
        <v>206</v>
      </c>
    </row>
    <row r="207" spans="1:49" x14ac:dyDescent="0.25">
      <c r="A207" s="113">
        <f>A206</f>
        <v>920</v>
      </c>
      <c r="B207" s="113" t="str">
        <f>B206</f>
        <v>a</v>
      </c>
      <c r="C207" s="113" t="str">
        <f t="shared" ref="C207:C212" si="741">C206</f>
        <v>b</v>
      </c>
      <c r="D207" s="113" t="str">
        <f t="shared" ref="D207:D212" si="742">D206</f>
        <v>c</v>
      </c>
      <c r="E207" s="113" t="str">
        <f t="shared" ref="E207:E212" si="743">E206</f>
        <v>d</v>
      </c>
      <c r="F207" s="113" t="str">
        <f t="shared" ref="F207:F212" si="744">F206</f>
        <v>e</v>
      </c>
      <c r="G207" s="113" t="str">
        <f t="shared" ref="G207:G212" si="745">G206</f>
        <v>f</v>
      </c>
      <c r="H207" s="113" t="str">
        <f t="shared" ref="H207:H212" si="746">H206</f>
        <v>g</v>
      </c>
      <c r="I207" s="113" t="str">
        <f t="shared" ref="I207:I212" si="747">I206</f>
        <v>h</v>
      </c>
      <c r="J207" s="113" t="str">
        <f t="shared" ref="J207:J212" si="748">J206</f>
        <v>i</v>
      </c>
      <c r="K207" s="113" t="str">
        <f t="shared" ref="K207:K212" si="749">K206</f>
        <v>j</v>
      </c>
      <c r="L207" s="113" t="str">
        <f t="shared" ref="L207:L212" si="750">L206</f>
        <v>k</v>
      </c>
      <c r="M207" s="113" t="str">
        <f t="shared" ref="M207:M212" si="751">M206</f>
        <v>l</v>
      </c>
      <c r="N207" s="113" t="str">
        <f t="shared" ref="N207:N212" si="752">N206</f>
        <v>m</v>
      </c>
      <c r="O207" s="113">
        <f t="shared" ref="O207:O212" si="753">O206</f>
        <v>0</v>
      </c>
      <c r="P207" s="113">
        <f t="shared" ref="P207:P212" si="754">P206</f>
        <v>0</v>
      </c>
      <c r="Q207" s="113" t="str">
        <f t="shared" ref="Q207:Q212" si="755">Q206</f>
        <v>p</v>
      </c>
      <c r="R207" s="113">
        <f t="shared" ref="R207:R212" si="756">R206</f>
        <v>0</v>
      </c>
      <c r="S207" s="113">
        <f t="shared" ref="S207:S212" si="757">S206</f>
        <v>0</v>
      </c>
      <c r="T207" s="113">
        <f t="shared" ref="T207:T212" si="758">T206</f>
        <v>0</v>
      </c>
      <c r="U207" s="113">
        <f t="shared" ref="U207:U212" si="759">U206</f>
        <v>0</v>
      </c>
      <c r="V207" s="113">
        <f t="shared" ref="V207:V212" si="760">V206</f>
        <v>0</v>
      </c>
      <c r="W207" s="113">
        <f t="shared" ref="W207:W212" si="761">W206</f>
        <v>0</v>
      </c>
      <c r="X207" s="113">
        <f t="shared" ref="X207:X212" si="762">X206</f>
        <v>0</v>
      </c>
      <c r="AA207" s="113">
        <v>3</v>
      </c>
      <c r="AB207" s="112">
        <f t="shared" ref="AB207:AC212" ca="1" si="763">AB206</f>
        <v>43160</v>
      </c>
      <c r="AC207" s="112">
        <f t="shared" ca="1" si="763"/>
        <v>43190</v>
      </c>
      <c r="AE207" s="114">
        <f ca="1">AE200</f>
        <v>522.04999999999995</v>
      </c>
      <c r="AF207" s="114">
        <f t="shared" ca="1" si="586"/>
        <v>13612.19</v>
      </c>
      <c r="AG207" s="114">
        <f t="shared" ref="AG207:AG212" ca="1" si="764">INDIRECT(CONCATENATE($AB$10,CONCATENATE(G207,$A207)))</f>
        <v>0</v>
      </c>
      <c r="AH207" s="114">
        <f t="shared" ref="AH207:AH212" ca="1" si="765">INDIRECT(CONCATENATE($AB$10,CONCATENATE(H207,$A207)))</f>
        <v>0</v>
      </c>
      <c r="AI207" s="114">
        <f t="shared" ref="AI207:AI212" ca="1" si="766">INDIRECT(CONCATENATE($AB$10,CONCATENATE(I207,$A207)))</f>
        <v>6384.11</v>
      </c>
      <c r="AJ207" s="114">
        <f t="shared" ref="AJ207:AJ212" ca="1" si="767">INDIRECT(CONCATENATE($AB$10,CONCATENATE(J207,$A207)))</f>
        <v>144.93</v>
      </c>
      <c r="AK207" s="114">
        <f t="shared" ref="AK207:AK212" ca="1" si="768">INDIRECT(CONCATENATE($AB$10,CONCATENATE(K207,$A207)))</f>
        <v>1678.44</v>
      </c>
      <c r="AN207">
        <f t="shared" si="554"/>
        <v>207</v>
      </c>
      <c r="AQ207" s="114">
        <f t="shared" ca="1" si="711"/>
        <v>2094</v>
      </c>
      <c r="AW207">
        <v>207</v>
      </c>
    </row>
    <row r="208" spans="1:49" x14ac:dyDescent="0.25">
      <c r="A208" s="113">
        <f>A207+2</f>
        <v>922</v>
      </c>
      <c r="B208" s="113" t="str">
        <f>B207</f>
        <v>a</v>
      </c>
      <c r="C208" s="113" t="str">
        <f t="shared" si="741"/>
        <v>b</v>
      </c>
      <c r="D208" s="113" t="str">
        <f t="shared" si="742"/>
        <v>c</v>
      </c>
      <c r="E208" s="113" t="str">
        <f t="shared" si="743"/>
        <v>d</v>
      </c>
      <c r="F208" s="113" t="str">
        <f t="shared" si="744"/>
        <v>e</v>
      </c>
      <c r="G208" s="113" t="str">
        <f t="shared" si="745"/>
        <v>f</v>
      </c>
      <c r="H208" s="113" t="str">
        <f t="shared" si="746"/>
        <v>g</v>
      </c>
      <c r="I208" s="113" t="str">
        <f t="shared" si="747"/>
        <v>h</v>
      </c>
      <c r="J208" s="113" t="str">
        <f t="shared" si="748"/>
        <v>i</v>
      </c>
      <c r="K208" s="113" t="str">
        <f t="shared" si="749"/>
        <v>j</v>
      </c>
      <c r="L208" s="113" t="str">
        <f t="shared" si="750"/>
        <v>k</v>
      </c>
      <c r="M208" s="113" t="str">
        <f t="shared" si="751"/>
        <v>l</v>
      </c>
      <c r="N208" s="113" t="str">
        <f t="shared" si="752"/>
        <v>m</v>
      </c>
      <c r="O208" s="113">
        <f t="shared" si="753"/>
        <v>0</v>
      </c>
      <c r="P208" s="113">
        <f t="shared" si="754"/>
        <v>0</v>
      </c>
      <c r="Q208" s="113" t="str">
        <f t="shared" si="755"/>
        <v>p</v>
      </c>
      <c r="R208" s="113">
        <f t="shared" si="756"/>
        <v>0</v>
      </c>
      <c r="S208" s="113">
        <f t="shared" si="757"/>
        <v>0</v>
      </c>
      <c r="T208" s="113">
        <f t="shared" si="758"/>
        <v>0</v>
      </c>
      <c r="U208" s="113">
        <f t="shared" si="759"/>
        <v>0</v>
      </c>
      <c r="V208" s="113">
        <f t="shared" si="760"/>
        <v>0</v>
      </c>
      <c r="W208" s="113">
        <f t="shared" si="761"/>
        <v>0</v>
      </c>
      <c r="X208" s="113">
        <f t="shared" si="762"/>
        <v>0</v>
      </c>
      <c r="AA208" s="113">
        <v>9</v>
      </c>
      <c r="AB208" s="112">
        <f t="shared" ca="1" si="763"/>
        <v>43160</v>
      </c>
      <c r="AC208" s="112">
        <f t="shared" ca="1" si="763"/>
        <v>43190</v>
      </c>
      <c r="AF208" s="114">
        <f t="shared" ca="1" si="586"/>
        <v>15813.97</v>
      </c>
      <c r="AG208" s="114">
        <f t="shared" ca="1" si="764"/>
        <v>0</v>
      </c>
      <c r="AH208" s="114">
        <f t="shared" ca="1" si="765"/>
        <v>0</v>
      </c>
      <c r="AI208" s="114">
        <f t="shared" ca="1" si="766"/>
        <v>6384.11</v>
      </c>
      <c r="AJ208" s="114">
        <f t="shared" ca="1" si="767"/>
        <v>144.93</v>
      </c>
      <c r="AK208" s="114">
        <f t="shared" ca="1" si="768"/>
        <v>1861.92</v>
      </c>
      <c r="AN208">
        <f t="shared" si="554"/>
        <v>208</v>
      </c>
      <c r="AQ208" s="114">
        <f t="shared" ca="1" si="711"/>
        <v>2094</v>
      </c>
      <c r="AW208">
        <v>208</v>
      </c>
    </row>
    <row r="209" spans="1:49" x14ac:dyDescent="0.25">
      <c r="A209" s="113">
        <f>A208+2</f>
        <v>924</v>
      </c>
      <c r="B209" s="113" t="str">
        <f>B208</f>
        <v>a</v>
      </c>
      <c r="C209" s="113" t="str">
        <f t="shared" si="741"/>
        <v>b</v>
      </c>
      <c r="D209" s="113" t="str">
        <f t="shared" si="742"/>
        <v>c</v>
      </c>
      <c r="E209" s="113" t="str">
        <f t="shared" si="743"/>
        <v>d</v>
      </c>
      <c r="F209" s="113" t="str">
        <f t="shared" si="744"/>
        <v>e</v>
      </c>
      <c r="G209" s="113" t="str">
        <f t="shared" si="745"/>
        <v>f</v>
      </c>
      <c r="H209" s="113" t="str">
        <f t="shared" si="746"/>
        <v>g</v>
      </c>
      <c r="I209" s="113" t="str">
        <f t="shared" si="747"/>
        <v>h</v>
      </c>
      <c r="J209" s="113" t="str">
        <f t="shared" si="748"/>
        <v>i</v>
      </c>
      <c r="K209" s="113" t="str">
        <f t="shared" si="749"/>
        <v>j</v>
      </c>
      <c r="L209" s="113" t="str">
        <f t="shared" si="750"/>
        <v>k</v>
      </c>
      <c r="M209" s="113" t="str">
        <f t="shared" si="751"/>
        <v>l</v>
      </c>
      <c r="N209" s="113" t="str">
        <f t="shared" si="752"/>
        <v>m</v>
      </c>
      <c r="O209" s="113">
        <f t="shared" si="753"/>
        <v>0</v>
      </c>
      <c r="P209" s="113">
        <f t="shared" si="754"/>
        <v>0</v>
      </c>
      <c r="Q209" s="113" t="str">
        <f t="shared" si="755"/>
        <v>p</v>
      </c>
      <c r="R209" s="113">
        <f t="shared" si="756"/>
        <v>0</v>
      </c>
      <c r="S209" s="113">
        <f t="shared" si="757"/>
        <v>0</v>
      </c>
      <c r="T209" s="113">
        <f t="shared" si="758"/>
        <v>0</v>
      </c>
      <c r="U209" s="113">
        <f t="shared" si="759"/>
        <v>0</v>
      </c>
      <c r="V209" s="113">
        <f t="shared" si="760"/>
        <v>0</v>
      </c>
      <c r="W209" s="113">
        <f t="shared" si="761"/>
        <v>0</v>
      </c>
      <c r="X209" s="113">
        <f t="shared" si="762"/>
        <v>0</v>
      </c>
      <c r="AA209" s="113">
        <v>15</v>
      </c>
      <c r="AB209" s="112">
        <f t="shared" ca="1" si="763"/>
        <v>43160</v>
      </c>
      <c r="AC209" s="112">
        <f t="shared" ca="1" si="763"/>
        <v>43190</v>
      </c>
      <c r="AF209" s="114">
        <f t="shared" ca="1" si="586"/>
        <v>17751.900000000001</v>
      </c>
      <c r="AG209" s="114">
        <f t="shared" ca="1" si="764"/>
        <v>0</v>
      </c>
      <c r="AH209" s="114">
        <f t="shared" ca="1" si="765"/>
        <v>0</v>
      </c>
      <c r="AI209" s="114">
        <f t="shared" ca="1" si="766"/>
        <v>6384.11</v>
      </c>
      <c r="AJ209" s="114">
        <f t="shared" ca="1" si="767"/>
        <v>144.93</v>
      </c>
      <c r="AK209" s="114">
        <f t="shared" ca="1" si="768"/>
        <v>2023.41</v>
      </c>
      <c r="AN209">
        <f t="shared" si="554"/>
        <v>209</v>
      </c>
      <c r="AQ209" s="114">
        <f t="shared" ca="1" si="711"/>
        <v>2577.6</v>
      </c>
      <c r="AW209">
        <v>209</v>
      </c>
    </row>
    <row r="210" spans="1:49" x14ac:dyDescent="0.25">
      <c r="A210" s="113">
        <f>A209+2</f>
        <v>926</v>
      </c>
      <c r="B210" s="113" t="str">
        <f>B209</f>
        <v>a</v>
      </c>
      <c r="C210" s="113" t="str">
        <f t="shared" si="741"/>
        <v>b</v>
      </c>
      <c r="D210" s="113" t="str">
        <f t="shared" si="742"/>
        <v>c</v>
      </c>
      <c r="E210" s="113" t="str">
        <f t="shared" si="743"/>
        <v>d</v>
      </c>
      <c r="F210" s="113" t="str">
        <f t="shared" si="744"/>
        <v>e</v>
      </c>
      <c r="G210" s="113" t="str">
        <f t="shared" si="745"/>
        <v>f</v>
      </c>
      <c r="H210" s="113" t="str">
        <f t="shared" si="746"/>
        <v>g</v>
      </c>
      <c r="I210" s="113" t="str">
        <f t="shared" si="747"/>
        <v>h</v>
      </c>
      <c r="J210" s="113" t="str">
        <f t="shared" si="748"/>
        <v>i</v>
      </c>
      <c r="K210" s="113" t="str">
        <f t="shared" si="749"/>
        <v>j</v>
      </c>
      <c r="L210" s="113" t="str">
        <f t="shared" si="750"/>
        <v>k</v>
      </c>
      <c r="M210" s="113" t="str">
        <f t="shared" si="751"/>
        <v>l</v>
      </c>
      <c r="N210" s="113" t="str">
        <f t="shared" si="752"/>
        <v>m</v>
      </c>
      <c r="O210" s="113">
        <f t="shared" si="753"/>
        <v>0</v>
      </c>
      <c r="P210" s="113">
        <f t="shared" si="754"/>
        <v>0</v>
      </c>
      <c r="Q210" s="113" t="str">
        <f t="shared" si="755"/>
        <v>p</v>
      </c>
      <c r="R210" s="113">
        <f t="shared" si="756"/>
        <v>0</v>
      </c>
      <c r="S210" s="113">
        <f t="shared" si="757"/>
        <v>0</v>
      </c>
      <c r="T210" s="113">
        <f t="shared" si="758"/>
        <v>0</v>
      </c>
      <c r="U210" s="113">
        <f t="shared" si="759"/>
        <v>0</v>
      </c>
      <c r="V210" s="113">
        <f t="shared" si="760"/>
        <v>0</v>
      </c>
      <c r="W210" s="113">
        <f t="shared" si="761"/>
        <v>0</v>
      </c>
      <c r="X210" s="113">
        <f t="shared" si="762"/>
        <v>0</v>
      </c>
      <c r="AA210" s="113">
        <v>21</v>
      </c>
      <c r="AB210" s="112">
        <f t="shared" ca="1" si="763"/>
        <v>43160</v>
      </c>
      <c r="AC210" s="112">
        <f t="shared" ca="1" si="763"/>
        <v>43190</v>
      </c>
      <c r="AF210" s="114">
        <f t="shared" ca="1" si="586"/>
        <v>19646.54</v>
      </c>
      <c r="AG210" s="114">
        <f t="shared" ca="1" si="764"/>
        <v>0</v>
      </c>
      <c r="AH210" s="114">
        <f t="shared" ca="1" si="765"/>
        <v>0</v>
      </c>
      <c r="AI210" s="114">
        <f t="shared" ca="1" si="766"/>
        <v>6384.11</v>
      </c>
      <c r="AJ210" s="114">
        <f t="shared" ca="1" si="767"/>
        <v>144.93</v>
      </c>
      <c r="AK210" s="114">
        <f t="shared" ca="1" si="768"/>
        <v>2181.3000000000002</v>
      </c>
      <c r="AN210">
        <f t="shared" si="554"/>
        <v>210</v>
      </c>
      <c r="AQ210" s="114">
        <f t="shared" ca="1" si="711"/>
        <v>2577.6</v>
      </c>
      <c r="AW210">
        <v>210</v>
      </c>
    </row>
    <row r="211" spans="1:49" x14ac:dyDescent="0.25">
      <c r="A211" s="113">
        <f>A210+2</f>
        <v>928</v>
      </c>
      <c r="B211" s="113" t="str">
        <f>B210</f>
        <v>a</v>
      </c>
      <c r="C211" s="113" t="str">
        <f t="shared" si="741"/>
        <v>b</v>
      </c>
      <c r="D211" s="113" t="str">
        <f t="shared" si="742"/>
        <v>c</v>
      </c>
      <c r="E211" s="113" t="str">
        <f t="shared" si="743"/>
        <v>d</v>
      </c>
      <c r="F211" s="113" t="str">
        <f t="shared" si="744"/>
        <v>e</v>
      </c>
      <c r="G211" s="113" t="str">
        <f t="shared" si="745"/>
        <v>f</v>
      </c>
      <c r="H211" s="113" t="str">
        <f t="shared" si="746"/>
        <v>g</v>
      </c>
      <c r="I211" s="113" t="str">
        <f t="shared" si="747"/>
        <v>h</v>
      </c>
      <c r="J211" s="113" t="str">
        <f t="shared" si="748"/>
        <v>i</v>
      </c>
      <c r="K211" s="113" t="str">
        <f t="shared" si="749"/>
        <v>j</v>
      </c>
      <c r="L211" s="113" t="str">
        <f t="shared" si="750"/>
        <v>k</v>
      </c>
      <c r="M211" s="113" t="str">
        <f t="shared" si="751"/>
        <v>l</v>
      </c>
      <c r="N211" s="113" t="str">
        <f t="shared" si="752"/>
        <v>m</v>
      </c>
      <c r="O211" s="113">
        <f t="shared" si="753"/>
        <v>0</v>
      </c>
      <c r="P211" s="113">
        <f t="shared" si="754"/>
        <v>0</v>
      </c>
      <c r="Q211" s="113" t="str">
        <f t="shared" si="755"/>
        <v>p</v>
      </c>
      <c r="R211" s="113">
        <f t="shared" si="756"/>
        <v>0</v>
      </c>
      <c r="S211" s="113">
        <f t="shared" si="757"/>
        <v>0</v>
      </c>
      <c r="T211" s="113">
        <f t="shared" si="758"/>
        <v>0</v>
      </c>
      <c r="U211" s="113">
        <f t="shared" si="759"/>
        <v>0</v>
      </c>
      <c r="V211" s="113">
        <f t="shared" si="760"/>
        <v>0</v>
      </c>
      <c r="W211" s="113">
        <f t="shared" si="761"/>
        <v>0</v>
      </c>
      <c r="X211" s="113">
        <f t="shared" si="762"/>
        <v>0</v>
      </c>
      <c r="AA211" s="113">
        <v>28</v>
      </c>
      <c r="AB211" s="112">
        <f t="shared" ca="1" si="763"/>
        <v>43160</v>
      </c>
      <c r="AC211" s="112">
        <f t="shared" ca="1" si="763"/>
        <v>43190</v>
      </c>
      <c r="AF211" s="114">
        <f t="shared" ca="1" si="586"/>
        <v>21504.83</v>
      </c>
      <c r="AG211" s="114">
        <f t="shared" ca="1" si="764"/>
        <v>0</v>
      </c>
      <c r="AH211" s="114">
        <f t="shared" ca="1" si="765"/>
        <v>0</v>
      </c>
      <c r="AI211" s="114">
        <f t="shared" ca="1" si="766"/>
        <v>6384.11</v>
      </c>
      <c r="AJ211" s="114">
        <f t="shared" ca="1" si="767"/>
        <v>144.93</v>
      </c>
      <c r="AK211" s="114">
        <f t="shared" ca="1" si="768"/>
        <v>2336.16</v>
      </c>
      <c r="AN211">
        <f t="shared" si="554"/>
        <v>211</v>
      </c>
      <c r="AQ211" s="114">
        <f t="shared" ca="1" si="711"/>
        <v>3278.4</v>
      </c>
      <c r="AW211">
        <v>211</v>
      </c>
    </row>
    <row r="212" spans="1:49" x14ac:dyDescent="0.25">
      <c r="A212" s="113">
        <f>A211+2</f>
        <v>930</v>
      </c>
      <c r="B212" s="113" t="str">
        <f>B211</f>
        <v>a</v>
      </c>
      <c r="C212" s="113" t="str">
        <f t="shared" si="741"/>
        <v>b</v>
      </c>
      <c r="D212" s="113" t="str">
        <f t="shared" si="742"/>
        <v>c</v>
      </c>
      <c r="E212" s="113" t="str">
        <f t="shared" si="743"/>
        <v>d</v>
      </c>
      <c r="F212" s="113" t="str">
        <f t="shared" si="744"/>
        <v>e</v>
      </c>
      <c r="G212" s="113" t="str">
        <f t="shared" si="745"/>
        <v>f</v>
      </c>
      <c r="H212" s="113" t="str">
        <f t="shared" si="746"/>
        <v>g</v>
      </c>
      <c r="I212" s="113" t="str">
        <f t="shared" si="747"/>
        <v>h</v>
      </c>
      <c r="J212" s="113" t="str">
        <f t="shared" si="748"/>
        <v>i</v>
      </c>
      <c r="K212" s="113" t="str">
        <f t="shared" si="749"/>
        <v>j</v>
      </c>
      <c r="L212" s="113" t="str">
        <f t="shared" si="750"/>
        <v>k</v>
      </c>
      <c r="M212" s="113" t="str">
        <f t="shared" si="751"/>
        <v>l</v>
      </c>
      <c r="N212" s="113" t="str">
        <f t="shared" si="752"/>
        <v>m</v>
      </c>
      <c r="O212" s="113">
        <f t="shared" si="753"/>
        <v>0</v>
      </c>
      <c r="P212" s="113">
        <f t="shared" si="754"/>
        <v>0</v>
      </c>
      <c r="Q212" s="113" t="str">
        <f t="shared" si="755"/>
        <v>p</v>
      </c>
      <c r="R212" s="113">
        <f t="shared" si="756"/>
        <v>0</v>
      </c>
      <c r="S212" s="113">
        <f t="shared" si="757"/>
        <v>0</v>
      </c>
      <c r="T212" s="113">
        <f t="shared" si="758"/>
        <v>0</v>
      </c>
      <c r="U212" s="113">
        <f t="shared" si="759"/>
        <v>0</v>
      </c>
      <c r="V212" s="113">
        <f t="shared" si="760"/>
        <v>0</v>
      </c>
      <c r="W212" s="113">
        <f t="shared" si="761"/>
        <v>0</v>
      </c>
      <c r="X212" s="113">
        <f t="shared" si="762"/>
        <v>0</v>
      </c>
      <c r="AA212" s="113">
        <v>35</v>
      </c>
      <c r="AB212" s="112">
        <f t="shared" ca="1" si="763"/>
        <v>43160</v>
      </c>
      <c r="AC212" s="112">
        <f t="shared" ca="1" si="763"/>
        <v>43190</v>
      </c>
      <c r="AF212" s="114">
        <f t="shared" ca="1" si="586"/>
        <v>22891.88</v>
      </c>
      <c r="AG212" s="114">
        <f t="shared" ca="1" si="764"/>
        <v>0</v>
      </c>
      <c r="AH212" s="114">
        <f t="shared" ca="1" si="765"/>
        <v>0</v>
      </c>
      <c r="AI212" s="114">
        <f t="shared" ca="1" si="766"/>
        <v>6384.11</v>
      </c>
      <c r="AJ212" s="114">
        <f t="shared" ca="1" si="767"/>
        <v>144.93</v>
      </c>
      <c r="AK212" s="114">
        <f t="shared" ca="1" si="768"/>
        <v>2451.7399999999998</v>
      </c>
      <c r="AN212">
        <f t="shared" si="554"/>
        <v>212</v>
      </c>
      <c r="AQ212" s="114">
        <f t="shared" ca="1" si="711"/>
        <v>3278.4</v>
      </c>
      <c r="AW212">
        <v>212</v>
      </c>
    </row>
    <row r="213" spans="1:49" x14ac:dyDescent="0.25">
      <c r="A213" s="113">
        <f>A206+20</f>
        <v>940</v>
      </c>
      <c r="B213" s="113" t="str">
        <f>B206</f>
        <v>a</v>
      </c>
      <c r="C213" s="113" t="str">
        <f t="shared" ref="C213:X213" si="769">C206</f>
        <v>b</v>
      </c>
      <c r="D213" s="113" t="str">
        <f t="shared" si="769"/>
        <v>c</v>
      </c>
      <c r="E213" s="113" t="str">
        <f t="shared" si="769"/>
        <v>d</v>
      </c>
      <c r="F213" s="113" t="str">
        <f t="shared" si="769"/>
        <v>e</v>
      </c>
      <c r="G213" s="113" t="str">
        <f t="shared" si="769"/>
        <v>f</v>
      </c>
      <c r="H213" s="113" t="str">
        <f t="shared" si="769"/>
        <v>g</v>
      </c>
      <c r="I213" s="113" t="str">
        <f t="shared" si="769"/>
        <v>h</v>
      </c>
      <c r="J213" s="113" t="str">
        <f t="shared" si="769"/>
        <v>i</v>
      </c>
      <c r="K213" s="113" t="str">
        <f t="shared" si="769"/>
        <v>j</v>
      </c>
      <c r="L213" s="113" t="str">
        <f t="shared" si="769"/>
        <v>k</v>
      </c>
      <c r="M213" s="113" t="str">
        <f t="shared" si="769"/>
        <v>l</v>
      </c>
      <c r="N213" s="113" t="str">
        <f t="shared" si="769"/>
        <v>m</v>
      </c>
      <c r="O213" s="113">
        <f t="shared" si="769"/>
        <v>0</v>
      </c>
      <c r="P213" s="113">
        <f t="shared" si="769"/>
        <v>0</v>
      </c>
      <c r="Q213" s="113" t="str">
        <f t="shared" si="769"/>
        <v>p</v>
      </c>
      <c r="R213" s="113">
        <f t="shared" si="769"/>
        <v>0</v>
      </c>
      <c r="S213" s="113">
        <f t="shared" si="769"/>
        <v>0</v>
      </c>
      <c r="T213" s="113">
        <f t="shared" si="769"/>
        <v>0</v>
      </c>
      <c r="U213" s="113">
        <f t="shared" si="769"/>
        <v>0</v>
      </c>
      <c r="V213" s="113">
        <f t="shared" si="769"/>
        <v>0</v>
      </c>
      <c r="W213" s="113">
        <f t="shared" si="769"/>
        <v>0</v>
      </c>
      <c r="X213" s="113">
        <f t="shared" si="769"/>
        <v>0</v>
      </c>
      <c r="AA213" s="113">
        <v>0</v>
      </c>
      <c r="AB213" s="112">
        <f ca="1">INDIRECT(CONCATENATE($AB$10,CONCATENATE(B213,$A213)))</f>
        <v>43191</v>
      </c>
      <c r="AC213" s="112">
        <f ca="1">INDIRECT(CONCATENATE($AB$10,CONCATENATE(C213,$A213)))</f>
        <v>43465</v>
      </c>
      <c r="AF213" s="114">
        <f t="shared" ca="1" si="586"/>
        <v>13757.12</v>
      </c>
      <c r="AG213" s="114">
        <f ca="1">INDIRECT(CONCATENATE($AB$10,CONCATENATE(G213,$A213)))</f>
        <v>0</v>
      </c>
      <c r="AH213" s="114">
        <f ca="1">INDIRECT(CONCATENATE($AB$10,CONCATENATE(H213,$A213)))</f>
        <v>0</v>
      </c>
      <c r="AI213" s="114">
        <f ca="1">INDIRECT(CONCATENATE($AB$10,CONCATENATE(I213,$A213)))</f>
        <v>6384.11</v>
      </c>
      <c r="AJ213" s="114">
        <f ca="1">INDIRECT(CONCATENATE($AB$10,CONCATENATE(J213,$A213)))</f>
        <v>0</v>
      </c>
      <c r="AK213" s="114">
        <f ca="1">INDIRECT(CONCATENATE($AB$10,CONCATENATE(K213,$A213)))</f>
        <v>1678.44</v>
      </c>
      <c r="AN213">
        <f t="shared" si="554"/>
        <v>213</v>
      </c>
      <c r="AQ213" s="114">
        <f t="shared" ca="1" si="711"/>
        <v>2094</v>
      </c>
      <c r="AW213">
        <v>213</v>
      </c>
    </row>
    <row r="214" spans="1:49" x14ac:dyDescent="0.25">
      <c r="A214" s="113">
        <f>A213</f>
        <v>940</v>
      </c>
      <c r="B214" s="113" t="str">
        <f>B213</f>
        <v>a</v>
      </c>
      <c r="C214" s="113" t="str">
        <f t="shared" ref="C214:C219" si="770">C213</f>
        <v>b</v>
      </c>
      <c r="D214" s="113" t="str">
        <f t="shared" ref="D214:D219" si="771">D213</f>
        <v>c</v>
      </c>
      <c r="E214" s="113" t="str">
        <f t="shared" ref="E214:E219" si="772">E213</f>
        <v>d</v>
      </c>
      <c r="F214" s="113" t="str">
        <f t="shared" ref="F214:F219" si="773">F213</f>
        <v>e</v>
      </c>
      <c r="G214" s="113" t="str">
        <f t="shared" ref="G214:G219" si="774">G213</f>
        <v>f</v>
      </c>
      <c r="H214" s="113" t="str">
        <f t="shared" ref="H214:H219" si="775">H213</f>
        <v>g</v>
      </c>
      <c r="I214" s="113" t="str">
        <f t="shared" ref="I214:I219" si="776">I213</f>
        <v>h</v>
      </c>
      <c r="J214" s="113" t="str">
        <f t="shared" ref="J214:J219" si="777">J213</f>
        <v>i</v>
      </c>
      <c r="K214" s="113" t="str">
        <f t="shared" ref="K214:K219" si="778">K213</f>
        <v>j</v>
      </c>
      <c r="L214" s="113" t="str">
        <f t="shared" ref="L214:L219" si="779">L213</f>
        <v>k</v>
      </c>
      <c r="M214" s="113" t="str">
        <f t="shared" ref="M214:M219" si="780">M213</f>
        <v>l</v>
      </c>
      <c r="N214" s="113" t="str">
        <f t="shared" ref="N214:N219" si="781">N213</f>
        <v>m</v>
      </c>
      <c r="O214" s="113">
        <f t="shared" ref="O214:O219" si="782">O213</f>
        <v>0</v>
      </c>
      <c r="P214" s="113">
        <f t="shared" ref="P214:P219" si="783">P213</f>
        <v>0</v>
      </c>
      <c r="Q214" s="113" t="str">
        <f t="shared" ref="Q214:Q219" si="784">Q213</f>
        <v>p</v>
      </c>
      <c r="R214" s="113">
        <f t="shared" ref="R214:R219" si="785">R213</f>
        <v>0</v>
      </c>
      <c r="S214" s="113">
        <f t="shared" ref="S214:S219" si="786">S213</f>
        <v>0</v>
      </c>
      <c r="T214" s="113">
        <f t="shared" ref="T214:T219" si="787">T213</f>
        <v>0</v>
      </c>
      <c r="U214" s="113">
        <f t="shared" ref="U214:U219" si="788">U213</f>
        <v>0</v>
      </c>
      <c r="V214" s="113">
        <f t="shared" ref="V214:V219" si="789">V213</f>
        <v>0</v>
      </c>
      <c r="W214" s="113">
        <f t="shared" ref="W214:W219" si="790">W213</f>
        <v>0</v>
      </c>
      <c r="X214" s="113">
        <f t="shared" ref="X214:X219" si="791">X213</f>
        <v>0</v>
      </c>
      <c r="AA214" s="113">
        <v>3</v>
      </c>
      <c r="AB214" s="112">
        <f t="shared" ref="AB214:AC219" ca="1" si="792">AB213</f>
        <v>43191</v>
      </c>
      <c r="AC214" s="112">
        <f t="shared" ca="1" si="792"/>
        <v>43465</v>
      </c>
      <c r="AE214" s="114">
        <f ca="1">AE207</f>
        <v>522.04999999999995</v>
      </c>
      <c r="AF214" s="114">
        <f t="shared" ca="1" si="586"/>
        <v>13757.12</v>
      </c>
      <c r="AG214" s="114">
        <f t="shared" ref="AG214:AG219" ca="1" si="793">INDIRECT(CONCATENATE($AB$10,CONCATENATE(G214,$A214)))</f>
        <v>0</v>
      </c>
      <c r="AH214" s="114">
        <f t="shared" ref="AH214:AH219" ca="1" si="794">INDIRECT(CONCATENATE($AB$10,CONCATENATE(H214,$A214)))</f>
        <v>0</v>
      </c>
      <c r="AI214" s="114">
        <f t="shared" ref="AI214:AI219" ca="1" si="795">INDIRECT(CONCATENATE($AB$10,CONCATENATE(I214,$A214)))</f>
        <v>6384.11</v>
      </c>
      <c r="AJ214" s="114">
        <f t="shared" ref="AJ214:AJ219" ca="1" si="796">INDIRECT(CONCATENATE($AB$10,CONCATENATE(J214,$A214)))</f>
        <v>0</v>
      </c>
      <c r="AK214" s="114">
        <f t="shared" ref="AK214:AK219" ca="1" si="797">INDIRECT(CONCATENATE($AB$10,CONCATENATE(K214,$A214)))</f>
        <v>1678.44</v>
      </c>
      <c r="AN214">
        <f t="shared" si="554"/>
        <v>214</v>
      </c>
      <c r="AQ214" s="114">
        <f t="shared" ca="1" si="711"/>
        <v>2094</v>
      </c>
      <c r="AW214">
        <v>214</v>
      </c>
    </row>
    <row r="215" spans="1:49" x14ac:dyDescent="0.25">
      <c r="A215" s="113">
        <f>A214+2</f>
        <v>942</v>
      </c>
      <c r="B215" s="113" t="str">
        <f>B214</f>
        <v>a</v>
      </c>
      <c r="C215" s="113" t="str">
        <f t="shared" si="770"/>
        <v>b</v>
      </c>
      <c r="D215" s="113" t="str">
        <f t="shared" si="771"/>
        <v>c</v>
      </c>
      <c r="E215" s="113" t="str">
        <f t="shared" si="772"/>
        <v>d</v>
      </c>
      <c r="F215" s="113" t="str">
        <f t="shared" si="773"/>
        <v>e</v>
      </c>
      <c r="G215" s="113" t="str">
        <f t="shared" si="774"/>
        <v>f</v>
      </c>
      <c r="H215" s="113" t="str">
        <f t="shared" si="775"/>
        <v>g</v>
      </c>
      <c r="I215" s="113" t="str">
        <f t="shared" si="776"/>
        <v>h</v>
      </c>
      <c r="J215" s="113" t="str">
        <f t="shared" si="777"/>
        <v>i</v>
      </c>
      <c r="K215" s="113" t="str">
        <f t="shared" si="778"/>
        <v>j</v>
      </c>
      <c r="L215" s="113" t="str">
        <f t="shared" si="779"/>
        <v>k</v>
      </c>
      <c r="M215" s="113" t="str">
        <f t="shared" si="780"/>
        <v>l</v>
      </c>
      <c r="N215" s="113" t="str">
        <f t="shared" si="781"/>
        <v>m</v>
      </c>
      <c r="O215" s="113">
        <f t="shared" si="782"/>
        <v>0</v>
      </c>
      <c r="P215" s="113">
        <f t="shared" si="783"/>
        <v>0</v>
      </c>
      <c r="Q215" s="113" t="str">
        <f t="shared" si="784"/>
        <v>p</v>
      </c>
      <c r="R215" s="113">
        <f t="shared" si="785"/>
        <v>0</v>
      </c>
      <c r="S215" s="113">
        <f t="shared" si="786"/>
        <v>0</v>
      </c>
      <c r="T215" s="113">
        <f t="shared" si="787"/>
        <v>0</v>
      </c>
      <c r="U215" s="113">
        <f t="shared" si="788"/>
        <v>0</v>
      </c>
      <c r="V215" s="113">
        <f t="shared" si="789"/>
        <v>0</v>
      </c>
      <c r="W215" s="113">
        <f t="shared" si="790"/>
        <v>0</v>
      </c>
      <c r="X215" s="113">
        <f t="shared" si="791"/>
        <v>0</v>
      </c>
      <c r="AA215" s="113">
        <v>9</v>
      </c>
      <c r="AB215" s="112">
        <f t="shared" ca="1" si="792"/>
        <v>43191</v>
      </c>
      <c r="AC215" s="112">
        <f t="shared" ca="1" si="792"/>
        <v>43465</v>
      </c>
      <c r="AF215" s="114">
        <f t="shared" ca="1" si="586"/>
        <v>15958.9</v>
      </c>
      <c r="AG215" s="114">
        <f t="shared" ca="1" si="793"/>
        <v>0</v>
      </c>
      <c r="AH215" s="114">
        <f t="shared" ca="1" si="794"/>
        <v>0</v>
      </c>
      <c r="AI215" s="114">
        <f t="shared" ca="1" si="795"/>
        <v>6384.11</v>
      </c>
      <c r="AJ215" s="114">
        <f t="shared" ca="1" si="796"/>
        <v>0</v>
      </c>
      <c r="AK215" s="114">
        <f t="shared" ca="1" si="797"/>
        <v>1861.92</v>
      </c>
      <c r="AN215">
        <f t="shared" si="554"/>
        <v>215</v>
      </c>
      <c r="AQ215" s="114">
        <f t="shared" ca="1" si="711"/>
        <v>2094</v>
      </c>
      <c r="AW215">
        <v>215</v>
      </c>
    </row>
    <row r="216" spans="1:49" x14ac:dyDescent="0.25">
      <c r="A216" s="113">
        <f>A215+2</f>
        <v>944</v>
      </c>
      <c r="B216" s="113" t="str">
        <f>B215</f>
        <v>a</v>
      </c>
      <c r="C216" s="113" t="str">
        <f t="shared" si="770"/>
        <v>b</v>
      </c>
      <c r="D216" s="113" t="str">
        <f t="shared" si="771"/>
        <v>c</v>
      </c>
      <c r="E216" s="113" t="str">
        <f t="shared" si="772"/>
        <v>d</v>
      </c>
      <c r="F216" s="113" t="str">
        <f t="shared" si="773"/>
        <v>e</v>
      </c>
      <c r="G216" s="113" t="str">
        <f t="shared" si="774"/>
        <v>f</v>
      </c>
      <c r="H216" s="113" t="str">
        <f t="shared" si="775"/>
        <v>g</v>
      </c>
      <c r="I216" s="113" t="str">
        <f t="shared" si="776"/>
        <v>h</v>
      </c>
      <c r="J216" s="113" t="str">
        <f t="shared" si="777"/>
        <v>i</v>
      </c>
      <c r="K216" s="113" t="str">
        <f t="shared" si="778"/>
        <v>j</v>
      </c>
      <c r="L216" s="113" t="str">
        <f t="shared" si="779"/>
        <v>k</v>
      </c>
      <c r="M216" s="113" t="str">
        <f t="shared" si="780"/>
        <v>l</v>
      </c>
      <c r="N216" s="113" t="str">
        <f t="shared" si="781"/>
        <v>m</v>
      </c>
      <c r="O216" s="113">
        <f t="shared" si="782"/>
        <v>0</v>
      </c>
      <c r="P216" s="113">
        <f t="shared" si="783"/>
        <v>0</v>
      </c>
      <c r="Q216" s="113" t="str">
        <f t="shared" si="784"/>
        <v>p</v>
      </c>
      <c r="R216" s="113">
        <f t="shared" si="785"/>
        <v>0</v>
      </c>
      <c r="S216" s="113">
        <f t="shared" si="786"/>
        <v>0</v>
      </c>
      <c r="T216" s="113">
        <f t="shared" si="787"/>
        <v>0</v>
      </c>
      <c r="U216" s="113">
        <f t="shared" si="788"/>
        <v>0</v>
      </c>
      <c r="V216" s="113">
        <f t="shared" si="789"/>
        <v>0</v>
      </c>
      <c r="W216" s="113">
        <f t="shared" si="790"/>
        <v>0</v>
      </c>
      <c r="X216" s="113">
        <f t="shared" si="791"/>
        <v>0</v>
      </c>
      <c r="AA216" s="113">
        <v>15</v>
      </c>
      <c r="AB216" s="112">
        <f t="shared" ca="1" si="792"/>
        <v>43191</v>
      </c>
      <c r="AC216" s="112">
        <f t="shared" ca="1" si="792"/>
        <v>43465</v>
      </c>
      <c r="AF216" s="114">
        <f t="shared" ca="1" si="586"/>
        <v>17896.830000000002</v>
      </c>
      <c r="AG216" s="114">
        <f t="shared" ca="1" si="793"/>
        <v>0</v>
      </c>
      <c r="AH216" s="114">
        <f t="shared" ca="1" si="794"/>
        <v>0</v>
      </c>
      <c r="AI216" s="114">
        <f t="shared" ca="1" si="795"/>
        <v>6384.11</v>
      </c>
      <c r="AJ216" s="114">
        <f t="shared" ca="1" si="796"/>
        <v>0</v>
      </c>
      <c r="AK216" s="114">
        <f t="shared" ca="1" si="797"/>
        <v>2023.41</v>
      </c>
      <c r="AN216">
        <f t="shared" si="554"/>
        <v>216</v>
      </c>
      <c r="AQ216" s="114">
        <f t="shared" ca="1" si="711"/>
        <v>2577.6</v>
      </c>
      <c r="AW216">
        <v>216</v>
      </c>
    </row>
    <row r="217" spans="1:49" x14ac:dyDescent="0.25">
      <c r="A217" s="113">
        <f>A216+2</f>
        <v>946</v>
      </c>
      <c r="B217" s="113" t="str">
        <f>B216</f>
        <v>a</v>
      </c>
      <c r="C217" s="113" t="str">
        <f t="shared" si="770"/>
        <v>b</v>
      </c>
      <c r="D217" s="113" t="str">
        <f t="shared" si="771"/>
        <v>c</v>
      </c>
      <c r="E217" s="113" t="str">
        <f t="shared" si="772"/>
        <v>d</v>
      </c>
      <c r="F217" s="113" t="str">
        <f t="shared" si="773"/>
        <v>e</v>
      </c>
      <c r="G217" s="113" t="str">
        <f t="shared" si="774"/>
        <v>f</v>
      </c>
      <c r="H217" s="113" t="str">
        <f t="shared" si="775"/>
        <v>g</v>
      </c>
      <c r="I217" s="113" t="str">
        <f t="shared" si="776"/>
        <v>h</v>
      </c>
      <c r="J217" s="113" t="str">
        <f t="shared" si="777"/>
        <v>i</v>
      </c>
      <c r="K217" s="113" t="str">
        <f t="shared" si="778"/>
        <v>j</v>
      </c>
      <c r="L217" s="113" t="str">
        <f t="shared" si="779"/>
        <v>k</v>
      </c>
      <c r="M217" s="113" t="str">
        <f t="shared" si="780"/>
        <v>l</v>
      </c>
      <c r="N217" s="113" t="str">
        <f t="shared" si="781"/>
        <v>m</v>
      </c>
      <c r="O217" s="113">
        <f t="shared" si="782"/>
        <v>0</v>
      </c>
      <c r="P217" s="113">
        <f t="shared" si="783"/>
        <v>0</v>
      </c>
      <c r="Q217" s="113" t="str">
        <f t="shared" si="784"/>
        <v>p</v>
      </c>
      <c r="R217" s="113">
        <f t="shared" si="785"/>
        <v>0</v>
      </c>
      <c r="S217" s="113">
        <f t="shared" si="786"/>
        <v>0</v>
      </c>
      <c r="T217" s="113">
        <f t="shared" si="787"/>
        <v>0</v>
      </c>
      <c r="U217" s="113">
        <f t="shared" si="788"/>
        <v>0</v>
      </c>
      <c r="V217" s="113">
        <f t="shared" si="789"/>
        <v>0</v>
      </c>
      <c r="W217" s="113">
        <f t="shared" si="790"/>
        <v>0</v>
      </c>
      <c r="X217" s="113">
        <f t="shared" si="791"/>
        <v>0</v>
      </c>
      <c r="AA217" s="113">
        <v>21</v>
      </c>
      <c r="AB217" s="112">
        <f t="shared" ca="1" si="792"/>
        <v>43191</v>
      </c>
      <c r="AC217" s="112">
        <f t="shared" ca="1" si="792"/>
        <v>43465</v>
      </c>
      <c r="AF217" s="114">
        <f t="shared" ca="1" si="586"/>
        <v>19791.47</v>
      </c>
      <c r="AG217" s="114">
        <f t="shared" ca="1" si="793"/>
        <v>0</v>
      </c>
      <c r="AH217" s="114">
        <f t="shared" ca="1" si="794"/>
        <v>0</v>
      </c>
      <c r="AI217" s="114">
        <f t="shared" ca="1" si="795"/>
        <v>6384.11</v>
      </c>
      <c r="AJ217" s="114">
        <f t="shared" ca="1" si="796"/>
        <v>0</v>
      </c>
      <c r="AK217" s="114">
        <f t="shared" ca="1" si="797"/>
        <v>2181.3000000000002</v>
      </c>
      <c r="AN217">
        <f t="shared" si="554"/>
        <v>217</v>
      </c>
      <c r="AQ217" s="114">
        <f t="shared" ca="1" si="711"/>
        <v>2577.6</v>
      </c>
      <c r="AW217">
        <v>217</v>
      </c>
    </row>
    <row r="218" spans="1:49" x14ac:dyDescent="0.25">
      <c r="A218" s="113">
        <f>A217+2</f>
        <v>948</v>
      </c>
      <c r="B218" s="113" t="str">
        <f>B217</f>
        <v>a</v>
      </c>
      <c r="C218" s="113" t="str">
        <f t="shared" si="770"/>
        <v>b</v>
      </c>
      <c r="D218" s="113" t="str">
        <f t="shared" si="771"/>
        <v>c</v>
      </c>
      <c r="E218" s="113" t="str">
        <f t="shared" si="772"/>
        <v>d</v>
      </c>
      <c r="F218" s="113" t="str">
        <f t="shared" si="773"/>
        <v>e</v>
      </c>
      <c r="G218" s="113" t="str">
        <f t="shared" si="774"/>
        <v>f</v>
      </c>
      <c r="H218" s="113" t="str">
        <f t="shared" si="775"/>
        <v>g</v>
      </c>
      <c r="I218" s="113" t="str">
        <f t="shared" si="776"/>
        <v>h</v>
      </c>
      <c r="J218" s="113" t="str">
        <f t="shared" si="777"/>
        <v>i</v>
      </c>
      <c r="K218" s="113" t="str">
        <f t="shared" si="778"/>
        <v>j</v>
      </c>
      <c r="L218" s="113" t="str">
        <f t="shared" si="779"/>
        <v>k</v>
      </c>
      <c r="M218" s="113" t="str">
        <f t="shared" si="780"/>
        <v>l</v>
      </c>
      <c r="N218" s="113" t="str">
        <f t="shared" si="781"/>
        <v>m</v>
      </c>
      <c r="O218" s="113">
        <f t="shared" si="782"/>
        <v>0</v>
      </c>
      <c r="P218" s="113">
        <f t="shared" si="783"/>
        <v>0</v>
      </c>
      <c r="Q218" s="113" t="str">
        <f t="shared" si="784"/>
        <v>p</v>
      </c>
      <c r="R218" s="113">
        <f t="shared" si="785"/>
        <v>0</v>
      </c>
      <c r="S218" s="113">
        <f t="shared" si="786"/>
        <v>0</v>
      </c>
      <c r="T218" s="113">
        <f t="shared" si="787"/>
        <v>0</v>
      </c>
      <c r="U218" s="113">
        <f t="shared" si="788"/>
        <v>0</v>
      </c>
      <c r="V218" s="113">
        <f t="shared" si="789"/>
        <v>0</v>
      </c>
      <c r="W218" s="113">
        <f t="shared" si="790"/>
        <v>0</v>
      </c>
      <c r="X218" s="113">
        <f t="shared" si="791"/>
        <v>0</v>
      </c>
      <c r="AA218" s="113">
        <v>28</v>
      </c>
      <c r="AB218" s="112">
        <f t="shared" ca="1" si="792"/>
        <v>43191</v>
      </c>
      <c r="AC218" s="112">
        <f t="shared" ca="1" si="792"/>
        <v>43465</v>
      </c>
      <c r="AF218" s="114">
        <f t="shared" ca="1" si="586"/>
        <v>21649.759999999998</v>
      </c>
      <c r="AG218" s="114">
        <f t="shared" ca="1" si="793"/>
        <v>0</v>
      </c>
      <c r="AH218" s="114">
        <f t="shared" ca="1" si="794"/>
        <v>0</v>
      </c>
      <c r="AI218" s="114">
        <f t="shared" ca="1" si="795"/>
        <v>6384.11</v>
      </c>
      <c r="AJ218" s="114">
        <f t="shared" ca="1" si="796"/>
        <v>0</v>
      </c>
      <c r="AK218" s="114">
        <f t="shared" ca="1" si="797"/>
        <v>2336.16</v>
      </c>
      <c r="AN218">
        <f t="shared" si="554"/>
        <v>218</v>
      </c>
      <c r="AQ218" s="114">
        <f t="shared" ca="1" si="711"/>
        <v>3278.4</v>
      </c>
      <c r="AW218">
        <v>218</v>
      </c>
    </row>
    <row r="219" spans="1:49" x14ac:dyDescent="0.25">
      <c r="A219" s="113">
        <f>A218+2</f>
        <v>950</v>
      </c>
      <c r="B219" s="113" t="str">
        <f>B218</f>
        <v>a</v>
      </c>
      <c r="C219" s="113" t="str">
        <f t="shared" si="770"/>
        <v>b</v>
      </c>
      <c r="D219" s="113" t="str">
        <f t="shared" si="771"/>
        <v>c</v>
      </c>
      <c r="E219" s="113" t="str">
        <f t="shared" si="772"/>
        <v>d</v>
      </c>
      <c r="F219" s="113" t="str">
        <f t="shared" si="773"/>
        <v>e</v>
      </c>
      <c r="G219" s="113" t="str">
        <f t="shared" si="774"/>
        <v>f</v>
      </c>
      <c r="H219" s="113" t="str">
        <f t="shared" si="775"/>
        <v>g</v>
      </c>
      <c r="I219" s="113" t="str">
        <f t="shared" si="776"/>
        <v>h</v>
      </c>
      <c r="J219" s="113" t="str">
        <f t="shared" si="777"/>
        <v>i</v>
      </c>
      <c r="K219" s="113" t="str">
        <f t="shared" si="778"/>
        <v>j</v>
      </c>
      <c r="L219" s="113" t="str">
        <f t="shared" si="779"/>
        <v>k</v>
      </c>
      <c r="M219" s="113" t="str">
        <f t="shared" si="780"/>
        <v>l</v>
      </c>
      <c r="N219" s="113" t="str">
        <f t="shared" si="781"/>
        <v>m</v>
      </c>
      <c r="O219" s="113">
        <f t="shared" si="782"/>
        <v>0</v>
      </c>
      <c r="P219" s="113">
        <f t="shared" si="783"/>
        <v>0</v>
      </c>
      <c r="Q219" s="113" t="str">
        <f t="shared" si="784"/>
        <v>p</v>
      </c>
      <c r="R219" s="113">
        <f t="shared" si="785"/>
        <v>0</v>
      </c>
      <c r="S219" s="113">
        <f t="shared" si="786"/>
        <v>0</v>
      </c>
      <c r="T219" s="113">
        <f t="shared" si="787"/>
        <v>0</v>
      </c>
      <c r="U219" s="113">
        <f t="shared" si="788"/>
        <v>0</v>
      </c>
      <c r="V219" s="113">
        <f t="shared" si="789"/>
        <v>0</v>
      </c>
      <c r="W219" s="113">
        <f t="shared" si="790"/>
        <v>0</v>
      </c>
      <c r="X219" s="113">
        <f t="shared" si="791"/>
        <v>0</v>
      </c>
      <c r="AA219" s="113">
        <v>35</v>
      </c>
      <c r="AB219" s="112">
        <f t="shared" ca="1" si="792"/>
        <v>43191</v>
      </c>
      <c r="AC219" s="112">
        <f t="shared" ca="1" si="792"/>
        <v>43465</v>
      </c>
      <c r="AF219" s="114">
        <f t="shared" ca="1" si="586"/>
        <v>23036.81</v>
      </c>
      <c r="AG219" s="114">
        <f t="shared" ca="1" si="793"/>
        <v>0</v>
      </c>
      <c r="AH219" s="114">
        <f t="shared" ca="1" si="794"/>
        <v>0</v>
      </c>
      <c r="AI219" s="114">
        <f t="shared" ca="1" si="795"/>
        <v>6384.11</v>
      </c>
      <c r="AJ219" s="114">
        <f t="shared" ca="1" si="796"/>
        <v>0</v>
      </c>
      <c r="AK219" s="114">
        <f t="shared" ca="1" si="797"/>
        <v>2451.7399999999998</v>
      </c>
      <c r="AN219">
        <f t="shared" si="554"/>
        <v>219</v>
      </c>
      <c r="AQ219" s="114">
        <f t="shared" ca="1" si="711"/>
        <v>3278.4</v>
      </c>
      <c r="AW219">
        <v>219</v>
      </c>
    </row>
    <row r="220" spans="1:49" x14ac:dyDescent="0.25">
      <c r="A220" s="113">
        <f>A213+20</f>
        <v>960</v>
      </c>
      <c r="B220" s="113" t="str">
        <f>B213</f>
        <v>a</v>
      </c>
      <c r="C220" s="113" t="str">
        <f t="shared" ref="C220:X220" si="798">C213</f>
        <v>b</v>
      </c>
      <c r="D220" s="113" t="str">
        <f t="shared" si="798"/>
        <v>c</v>
      </c>
      <c r="E220" s="113" t="str">
        <f t="shared" si="798"/>
        <v>d</v>
      </c>
      <c r="F220" s="113" t="str">
        <f t="shared" si="798"/>
        <v>e</v>
      </c>
      <c r="G220" s="113" t="str">
        <f t="shared" si="798"/>
        <v>f</v>
      </c>
      <c r="H220" s="113" t="str">
        <f t="shared" si="798"/>
        <v>g</v>
      </c>
      <c r="I220" s="113" t="str">
        <f t="shared" si="798"/>
        <v>h</v>
      </c>
      <c r="J220" s="113" t="str">
        <f t="shared" si="798"/>
        <v>i</v>
      </c>
      <c r="K220" s="113" t="str">
        <f t="shared" si="798"/>
        <v>j</v>
      </c>
      <c r="L220" s="113" t="str">
        <f t="shared" si="798"/>
        <v>k</v>
      </c>
      <c r="M220" s="113" t="str">
        <f t="shared" si="798"/>
        <v>l</v>
      </c>
      <c r="N220" s="113" t="str">
        <f t="shared" si="798"/>
        <v>m</v>
      </c>
      <c r="O220" s="113">
        <f t="shared" si="798"/>
        <v>0</v>
      </c>
      <c r="P220" s="113">
        <f t="shared" si="798"/>
        <v>0</v>
      </c>
      <c r="Q220" s="113" t="str">
        <f t="shared" si="798"/>
        <v>p</v>
      </c>
      <c r="R220" s="113">
        <f t="shared" si="798"/>
        <v>0</v>
      </c>
      <c r="S220" s="113">
        <f t="shared" si="798"/>
        <v>0</v>
      </c>
      <c r="T220" s="113">
        <f t="shared" si="798"/>
        <v>0</v>
      </c>
      <c r="U220" s="113">
        <f t="shared" si="798"/>
        <v>0</v>
      </c>
      <c r="V220" s="113">
        <f t="shared" si="798"/>
        <v>0</v>
      </c>
      <c r="W220" s="113">
        <f t="shared" si="798"/>
        <v>0</v>
      </c>
      <c r="X220" s="113">
        <f t="shared" si="798"/>
        <v>0</v>
      </c>
      <c r="AA220" s="113">
        <v>0</v>
      </c>
      <c r="AB220" s="112">
        <f ca="1">INDIRECT(CONCATENATE($AB$10,CONCATENATE(B220,$A220)))</f>
        <v>43466</v>
      </c>
      <c r="AC220" s="112">
        <f ca="1">INDIRECT(CONCATENATE($AB$10,CONCATENATE(C220,$A220)))</f>
        <v>43830</v>
      </c>
      <c r="AF220" s="114">
        <f t="shared" ca="1" si="586"/>
        <v>13944.29</v>
      </c>
      <c r="AG220" s="114">
        <f ca="1">INDIRECT(CONCATENATE($AB$10,CONCATENATE(G220,$A220)))</f>
        <v>0</v>
      </c>
      <c r="AH220" s="114">
        <f ca="1">INDIRECT(CONCATENATE($AB$10,CONCATENATE(H220,$A220)))</f>
        <v>0</v>
      </c>
      <c r="AI220" s="114">
        <f ca="1">INDIRECT(CONCATENATE($AB$10,CONCATENATE(I220,$A220)))</f>
        <v>6384.11</v>
      </c>
      <c r="AJ220" s="114">
        <f ca="1">INDIRECT(CONCATENATE($AB$10,CONCATENATE(J220,$A220)))</f>
        <v>0</v>
      </c>
      <c r="AK220" s="114">
        <f ca="1">INDIRECT(CONCATENATE($AB$10,CONCATENATE(K220,$A220)))</f>
        <v>1685.49</v>
      </c>
      <c r="AN220">
        <f t="shared" si="554"/>
        <v>220</v>
      </c>
      <c r="AQ220" s="114">
        <f t="shared" ca="1" si="711"/>
        <v>2094</v>
      </c>
      <c r="AW220">
        <v>220</v>
      </c>
    </row>
    <row r="221" spans="1:49" x14ac:dyDescent="0.25">
      <c r="A221" s="113">
        <f>A220</f>
        <v>960</v>
      </c>
      <c r="B221" s="113" t="str">
        <f>B220</f>
        <v>a</v>
      </c>
      <c r="C221" s="113" t="str">
        <f t="shared" ref="C221:C226" si="799">C220</f>
        <v>b</v>
      </c>
      <c r="D221" s="113" t="str">
        <f t="shared" ref="D221:D226" si="800">D220</f>
        <v>c</v>
      </c>
      <c r="E221" s="113" t="str">
        <f t="shared" ref="E221:E226" si="801">E220</f>
        <v>d</v>
      </c>
      <c r="F221" s="113" t="str">
        <f t="shared" ref="F221:F226" si="802">F220</f>
        <v>e</v>
      </c>
      <c r="G221" s="113" t="str">
        <f t="shared" ref="G221:G226" si="803">G220</f>
        <v>f</v>
      </c>
      <c r="H221" s="113" t="str">
        <f t="shared" ref="H221:H226" si="804">H220</f>
        <v>g</v>
      </c>
      <c r="I221" s="113" t="str">
        <f t="shared" ref="I221:I226" si="805">I220</f>
        <v>h</v>
      </c>
      <c r="J221" s="113" t="str">
        <f t="shared" ref="J221:J226" si="806">J220</f>
        <v>i</v>
      </c>
      <c r="K221" s="113" t="str">
        <f t="shared" ref="K221:K226" si="807">K220</f>
        <v>j</v>
      </c>
      <c r="L221" s="113" t="str">
        <f t="shared" ref="L221:L226" si="808">L220</f>
        <v>k</v>
      </c>
      <c r="M221" s="113" t="str">
        <f t="shared" ref="M221:M226" si="809">M220</f>
        <v>l</v>
      </c>
      <c r="N221" s="113" t="str">
        <f t="shared" ref="N221:N226" si="810">N220</f>
        <v>m</v>
      </c>
      <c r="O221" s="113">
        <f t="shared" ref="O221:O226" si="811">O220</f>
        <v>0</v>
      </c>
      <c r="P221" s="113">
        <f t="shared" ref="P221:P226" si="812">P220</f>
        <v>0</v>
      </c>
      <c r="Q221" s="113" t="str">
        <f t="shared" ref="Q221:Q226" si="813">Q220</f>
        <v>p</v>
      </c>
      <c r="R221" s="113">
        <f t="shared" ref="R221:R226" si="814">R220</f>
        <v>0</v>
      </c>
      <c r="S221" s="113">
        <f t="shared" ref="S221:S226" si="815">S220</f>
        <v>0</v>
      </c>
      <c r="T221" s="113">
        <f t="shared" ref="T221:T226" si="816">T220</f>
        <v>0</v>
      </c>
      <c r="U221" s="113">
        <f t="shared" ref="U221:U226" si="817">U220</f>
        <v>0</v>
      </c>
      <c r="V221" s="113">
        <f t="shared" ref="V221:V226" si="818">V220</f>
        <v>0</v>
      </c>
      <c r="W221" s="113">
        <f t="shared" ref="W221:W226" si="819">W220</f>
        <v>0</v>
      </c>
      <c r="X221" s="113">
        <f t="shared" ref="X221:X226" si="820">X220</f>
        <v>0</v>
      </c>
      <c r="AA221" s="113">
        <v>3</v>
      </c>
      <c r="AB221" s="112">
        <f t="shared" ref="AB221:AC226" ca="1" si="821">AB220</f>
        <v>43466</v>
      </c>
      <c r="AC221" s="112">
        <f t="shared" ca="1" si="821"/>
        <v>43830</v>
      </c>
      <c r="AE221" s="114">
        <f ca="1">AE214</f>
        <v>522.04999999999995</v>
      </c>
      <c r="AF221" s="114">
        <f t="shared" ca="1" si="586"/>
        <v>13944.29</v>
      </c>
      <c r="AG221" s="114">
        <f t="shared" ref="AG221:AG226" ca="1" si="822">INDIRECT(CONCATENATE($AB$10,CONCATENATE(G221,$A221)))</f>
        <v>0</v>
      </c>
      <c r="AH221" s="114">
        <f t="shared" ref="AH221:AH226" ca="1" si="823">INDIRECT(CONCATENATE($AB$10,CONCATENATE(H221,$A221)))</f>
        <v>0</v>
      </c>
      <c r="AI221" s="114">
        <f t="shared" ref="AI221:AI226" ca="1" si="824">INDIRECT(CONCATENATE($AB$10,CONCATENATE(I221,$A221)))</f>
        <v>6384.11</v>
      </c>
      <c r="AJ221" s="114">
        <f t="shared" ref="AJ221:AJ226" ca="1" si="825">INDIRECT(CONCATENATE($AB$10,CONCATENATE(J221,$A221)))</f>
        <v>0</v>
      </c>
      <c r="AK221" s="114">
        <f t="shared" ref="AK221:AK226" ca="1" si="826">INDIRECT(CONCATENATE($AB$10,CONCATENATE(K221,$A221)))</f>
        <v>1685.49</v>
      </c>
      <c r="AN221">
        <f t="shared" si="554"/>
        <v>221</v>
      </c>
      <c r="AQ221" s="114">
        <f t="shared" ca="1" si="711"/>
        <v>2094</v>
      </c>
      <c r="AW221">
        <v>221</v>
      </c>
    </row>
    <row r="222" spans="1:49" x14ac:dyDescent="0.25">
      <c r="A222" s="113">
        <f>A221+2</f>
        <v>962</v>
      </c>
      <c r="B222" s="113" t="str">
        <f>B221</f>
        <v>a</v>
      </c>
      <c r="C222" s="113" t="str">
        <f t="shared" si="799"/>
        <v>b</v>
      </c>
      <c r="D222" s="113" t="str">
        <f t="shared" si="800"/>
        <v>c</v>
      </c>
      <c r="E222" s="113" t="str">
        <f t="shared" si="801"/>
        <v>d</v>
      </c>
      <c r="F222" s="113" t="str">
        <f t="shared" si="802"/>
        <v>e</v>
      </c>
      <c r="G222" s="113" t="str">
        <f t="shared" si="803"/>
        <v>f</v>
      </c>
      <c r="H222" s="113" t="str">
        <f t="shared" si="804"/>
        <v>g</v>
      </c>
      <c r="I222" s="113" t="str">
        <f t="shared" si="805"/>
        <v>h</v>
      </c>
      <c r="J222" s="113" t="str">
        <f t="shared" si="806"/>
        <v>i</v>
      </c>
      <c r="K222" s="113" t="str">
        <f t="shared" si="807"/>
        <v>j</v>
      </c>
      <c r="L222" s="113" t="str">
        <f t="shared" si="808"/>
        <v>k</v>
      </c>
      <c r="M222" s="113" t="str">
        <f t="shared" si="809"/>
        <v>l</v>
      </c>
      <c r="N222" s="113" t="str">
        <f t="shared" si="810"/>
        <v>m</v>
      </c>
      <c r="O222" s="113">
        <f t="shared" si="811"/>
        <v>0</v>
      </c>
      <c r="P222" s="113">
        <f t="shared" si="812"/>
        <v>0</v>
      </c>
      <c r="Q222" s="113" t="str">
        <f t="shared" si="813"/>
        <v>p</v>
      </c>
      <c r="R222" s="113">
        <f t="shared" si="814"/>
        <v>0</v>
      </c>
      <c r="S222" s="113">
        <f t="shared" si="815"/>
        <v>0</v>
      </c>
      <c r="T222" s="113">
        <f t="shared" si="816"/>
        <v>0</v>
      </c>
      <c r="U222" s="113">
        <f t="shared" si="817"/>
        <v>0</v>
      </c>
      <c r="V222" s="113">
        <f t="shared" si="818"/>
        <v>0</v>
      </c>
      <c r="W222" s="113">
        <f t="shared" si="819"/>
        <v>0</v>
      </c>
      <c r="X222" s="113">
        <f t="shared" si="820"/>
        <v>0</v>
      </c>
      <c r="AA222" s="113">
        <v>9</v>
      </c>
      <c r="AB222" s="112">
        <f t="shared" ca="1" si="821"/>
        <v>43466</v>
      </c>
      <c r="AC222" s="112">
        <f t="shared" ca="1" si="821"/>
        <v>43830</v>
      </c>
      <c r="AF222" s="114">
        <f t="shared" ca="1" si="586"/>
        <v>16166.48</v>
      </c>
      <c r="AG222" s="114">
        <f t="shared" ca="1" si="822"/>
        <v>0</v>
      </c>
      <c r="AH222" s="114">
        <f t="shared" ca="1" si="823"/>
        <v>0</v>
      </c>
      <c r="AI222" s="114">
        <f t="shared" ca="1" si="824"/>
        <v>6384.11</v>
      </c>
      <c r="AJ222" s="114">
        <f t="shared" ca="1" si="825"/>
        <v>0</v>
      </c>
      <c r="AK222" s="114">
        <f t="shared" ca="1" si="826"/>
        <v>1869.74</v>
      </c>
      <c r="AN222">
        <f t="shared" si="554"/>
        <v>222</v>
      </c>
      <c r="AQ222" s="114">
        <f t="shared" ca="1" si="711"/>
        <v>2094</v>
      </c>
      <c r="AW222">
        <v>222</v>
      </c>
    </row>
    <row r="223" spans="1:49" x14ac:dyDescent="0.25">
      <c r="A223" s="113">
        <f>A222+2</f>
        <v>964</v>
      </c>
      <c r="B223" s="113" t="str">
        <f>B222</f>
        <v>a</v>
      </c>
      <c r="C223" s="113" t="str">
        <f t="shared" si="799"/>
        <v>b</v>
      </c>
      <c r="D223" s="113" t="str">
        <f t="shared" si="800"/>
        <v>c</v>
      </c>
      <c r="E223" s="113" t="str">
        <f t="shared" si="801"/>
        <v>d</v>
      </c>
      <c r="F223" s="113" t="str">
        <f t="shared" si="802"/>
        <v>e</v>
      </c>
      <c r="G223" s="113" t="str">
        <f t="shared" si="803"/>
        <v>f</v>
      </c>
      <c r="H223" s="113" t="str">
        <f t="shared" si="804"/>
        <v>g</v>
      </c>
      <c r="I223" s="113" t="str">
        <f t="shared" si="805"/>
        <v>h</v>
      </c>
      <c r="J223" s="113" t="str">
        <f t="shared" si="806"/>
        <v>i</v>
      </c>
      <c r="K223" s="113" t="str">
        <f t="shared" si="807"/>
        <v>j</v>
      </c>
      <c r="L223" s="113" t="str">
        <f t="shared" si="808"/>
        <v>k</v>
      </c>
      <c r="M223" s="113" t="str">
        <f t="shared" si="809"/>
        <v>l</v>
      </c>
      <c r="N223" s="113" t="str">
        <f t="shared" si="810"/>
        <v>m</v>
      </c>
      <c r="O223" s="113">
        <f t="shared" si="811"/>
        <v>0</v>
      </c>
      <c r="P223" s="113">
        <f t="shared" si="812"/>
        <v>0</v>
      </c>
      <c r="Q223" s="113" t="str">
        <f t="shared" si="813"/>
        <v>p</v>
      </c>
      <c r="R223" s="113">
        <f t="shared" si="814"/>
        <v>0</v>
      </c>
      <c r="S223" s="113">
        <f t="shared" si="815"/>
        <v>0</v>
      </c>
      <c r="T223" s="113">
        <f t="shared" si="816"/>
        <v>0</v>
      </c>
      <c r="U223" s="113">
        <f t="shared" si="817"/>
        <v>0</v>
      </c>
      <c r="V223" s="113">
        <f t="shared" si="818"/>
        <v>0</v>
      </c>
      <c r="W223" s="113">
        <f t="shared" si="819"/>
        <v>0</v>
      </c>
      <c r="X223" s="113">
        <f t="shared" si="820"/>
        <v>0</v>
      </c>
      <c r="AA223" s="113">
        <v>15</v>
      </c>
      <c r="AB223" s="112">
        <f t="shared" ca="1" si="821"/>
        <v>43466</v>
      </c>
      <c r="AC223" s="112">
        <f t="shared" ca="1" si="821"/>
        <v>43830</v>
      </c>
      <c r="AF223" s="114">
        <f t="shared" ca="1" si="586"/>
        <v>18122.38</v>
      </c>
      <c r="AG223" s="114">
        <f t="shared" ca="1" si="822"/>
        <v>0</v>
      </c>
      <c r="AH223" s="114">
        <f t="shared" ca="1" si="823"/>
        <v>0</v>
      </c>
      <c r="AI223" s="114">
        <f t="shared" ca="1" si="824"/>
        <v>6384.11</v>
      </c>
      <c r="AJ223" s="114">
        <f t="shared" ca="1" si="825"/>
        <v>0</v>
      </c>
      <c r="AK223" s="114">
        <f t="shared" ca="1" si="826"/>
        <v>2031.91</v>
      </c>
      <c r="AN223">
        <f t="shared" si="554"/>
        <v>223</v>
      </c>
      <c r="AQ223" s="114">
        <f t="shared" ca="1" si="711"/>
        <v>2577.6</v>
      </c>
      <c r="AW223">
        <v>223</v>
      </c>
    </row>
    <row r="224" spans="1:49" x14ac:dyDescent="0.25">
      <c r="A224" s="113">
        <f>A223+2</f>
        <v>966</v>
      </c>
      <c r="B224" s="113" t="str">
        <f>B223</f>
        <v>a</v>
      </c>
      <c r="C224" s="113" t="str">
        <f t="shared" si="799"/>
        <v>b</v>
      </c>
      <c r="D224" s="113" t="str">
        <f t="shared" si="800"/>
        <v>c</v>
      </c>
      <c r="E224" s="113" t="str">
        <f t="shared" si="801"/>
        <v>d</v>
      </c>
      <c r="F224" s="113" t="str">
        <f t="shared" si="802"/>
        <v>e</v>
      </c>
      <c r="G224" s="113" t="str">
        <f t="shared" si="803"/>
        <v>f</v>
      </c>
      <c r="H224" s="113" t="str">
        <f t="shared" si="804"/>
        <v>g</v>
      </c>
      <c r="I224" s="113" t="str">
        <f t="shared" si="805"/>
        <v>h</v>
      </c>
      <c r="J224" s="113" t="str">
        <f t="shared" si="806"/>
        <v>i</v>
      </c>
      <c r="K224" s="113" t="str">
        <f t="shared" si="807"/>
        <v>j</v>
      </c>
      <c r="L224" s="113" t="str">
        <f t="shared" si="808"/>
        <v>k</v>
      </c>
      <c r="M224" s="113" t="str">
        <f t="shared" si="809"/>
        <v>l</v>
      </c>
      <c r="N224" s="113" t="str">
        <f t="shared" si="810"/>
        <v>m</v>
      </c>
      <c r="O224" s="113">
        <f t="shared" si="811"/>
        <v>0</v>
      </c>
      <c r="P224" s="113">
        <f t="shared" si="812"/>
        <v>0</v>
      </c>
      <c r="Q224" s="113" t="str">
        <f t="shared" si="813"/>
        <v>p</v>
      </c>
      <c r="R224" s="113">
        <f t="shared" si="814"/>
        <v>0</v>
      </c>
      <c r="S224" s="113">
        <f t="shared" si="815"/>
        <v>0</v>
      </c>
      <c r="T224" s="113">
        <f t="shared" si="816"/>
        <v>0</v>
      </c>
      <c r="U224" s="113">
        <f t="shared" si="817"/>
        <v>0</v>
      </c>
      <c r="V224" s="113">
        <f t="shared" si="818"/>
        <v>0</v>
      </c>
      <c r="W224" s="113">
        <f t="shared" si="819"/>
        <v>0</v>
      </c>
      <c r="X224" s="113">
        <f t="shared" si="820"/>
        <v>0</v>
      </c>
      <c r="AA224" s="113">
        <v>21</v>
      </c>
      <c r="AB224" s="112">
        <f t="shared" ca="1" si="821"/>
        <v>43466</v>
      </c>
      <c r="AC224" s="112">
        <f t="shared" ca="1" si="821"/>
        <v>43830</v>
      </c>
      <c r="AF224" s="114">
        <f t="shared" ca="1" si="586"/>
        <v>20035.079999999998</v>
      </c>
      <c r="AG224" s="114">
        <f t="shared" ca="1" si="822"/>
        <v>0</v>
      </c>
      <c r="AH224" s="114">
        <f t="shared" ca="1" si="823"/>
        <v>0</v>
      </c>
      <c r="AI224" s="114">
        <f t="shared" ca="1" si="824"/>
        <v>6384.11</v>
      </c>
      <c r="AJ224" s="114">
        <f t="shared" ca="1" si="825"/>
        <v>0</v>
      </c>
      <c r="AK224" s="114">
        <f t="shared" ca="1" si="826"/>
        <v>2190.46</v>
      </c>
      <c r="AN224">
        <f t="shared" si="554"/>
        <v>224</v>
      </c>
      <c r="AQ224" s="114">
        <f t="shared" ca="1" si="711"/>
        <v>2577.6</v>
      </c>
      <c r="AW224">
        <v>224</v>
      </c>
    </row>
    <row r="225" spans="1:49" x14ac:dyDescent="0.25">
      <c r="A225" s="113">
        <f>A224+2</f>
        <v>968</v>
      </c>
      <c r="B225" s="113" t="str">
        <f>B224</f>
        <v>a</v>
      </c>
      <c r="C225" s="113" t="str">
        <f t="shared" si="799"/>
        <v>b</v>
      </c>
      <c r="D225" s="113" t="str">
        <f t="shared" si="800"/>
        <v>c</v>
      </c>
      <c r="E225" s="113" t="str">
        <f t="shared" si="801"/>
        <v>d</v>
      </c>
      <c r="F225" s="113" t="str">
        <f t="shared" si="802"/>
        <v>e</v>
      </c>
      <c r="G225" s="113" t="str">
        <f t="shared" si="803"/>
        <v>f</v>
      </c>
      <c r="H225" s="113" t="str">
        <f t="shared" si="804"/>
        <v>g</v>
      </c>
      <c r="I225" s="113" t="str">
        <f t="shared" si="805"/>
        <v>h</v>
      </c>
      <c r="J225" s="113" t="str">
        <f t="shared" si="806"/>
        <v>i</v>
      </c>
      <c r="K225" s="113" t="str">
        <f t="shared" si="807"/>
        <v>j</v>
      </c>
      <c r="L225" s="113" t="str">
        <f t="shared" si="808"/>
        <v>k</v>
      </c>
      <c r="M225" s="113" t="str">
        <f t="shared" si="809"/>
        <v>l</v>
      </c>
      <c r="N225" s="113" t="str">
        <f t="shared" si="810"/>
        <v>m</v>
      </c>
      <c r="O225" s="113">
        <f t="shared" si="811"/>
        <v>0</v>
      </c>
      <c r="P225" s="113">
        <f t="shared" si="812"/>
        <v>0</v>
      </c>
      <c r="Q225" s="113" t="str">
        <f t="shared" si="813"/>
        <v>p</v>
      </c>
      <c r="R225" s="113">
        <f t="shared" si="814"/>
        <v>0</v>
      </c>
      <c r="S225" s="113">
        <f t="shared" si="815"/>
        <v>0</v>
      </c>
      <c r="T225" s="113">
        <f t="shared" si="816"/>
        <v>0</v>
      </c>
      <c r="U225" s="113">
        <f t="shared" si="817"/>
        <v>0</v>
      </c>
      <c r="V225" s="113">
        <f t="shared" si="818"/>
        <v>0</v>
      </c>
      <c r="W225" s="113">
        <f t="shared" si="819"/>
        <v>0</v>
      </c>
      <c r="X225" s="113">
        <f t="shared" si="820"/>
        <v>0</v>
      </c>
      <c r="AA225" s="113">
        <v>28</v>
      </c>
      <c r="AB225" s="112">
        <f t="shared" ca="1" si="821"/>
        <v>43466</v>
      </c>
      <c r="AC225" s="112">
        <f t="shared" ca="1" si="821"/>
        <v>43830</v>
      </c>
      <c r="AF225" s="114">
        <f t="shared" ca="1" si="586"/>
        <v>21910.11</v>
      </c>
      <c r="AG225" s="114">
        <f t="shared" ca="1" si="822"/>
        <v>0</v>
      </c>
      <c r="AH225" s="114">
        <f t="shared" ca="1" si="823"/>
        <v>0</v>
      </c>
      <c r="AI225" s="114">
        <f t="shared" ca="1" si="824"/>
        <v>6384.11</v>
      </c>
      <c r="AJ225" s="114">
        <f t="shared" ca="1" si="825"/>
        <v>0</v>
      </c>
      <c r="AK225" s="114">
        <f t="shared" ca="1" si="826"/>
        <v>2345.9699999999998</v>
      </c>
      <c r="AN225">
        <f t="shared" ref="AN225:AN284" si="827">AN224+1</f>
        <v>225</v>
      </c>
      <c r="AQ225" s="114">
        <f t="shared" ca="1" si="711"/>
        <v>3278.4</v>
      </c>
      <c r="AW225">
        <v>225</v>
      </c>
    </row>
    <row r="226" spans="1:49" x14ac:dyDescent="0.25">
      <c r="A226" s="113">
        <f>A225+2</f>
        <v>970</v>
      </c>
      <c r="B226" s="113" t="str">
        <f>B225</f>
        <v>a</v>
      </c>
      <c r="C226" s="113" t="str">
        <f t="shared" si="799"/>
        <v>b</v>
      </c>
      <c r="D226" s="113" t="str">
        <f t="shared" si="800"/>
        <v>c</v>
      </c>
      <c r="E226" s="113" t="str">
        <f t="shared" si="801"/>
        <v>d</v>
      </c>
      <c r="F226" s="113" t="str">
        <f t="shared" si="802"/>
        <v>e</v>
      </c>
      <c r="G226" s="113" t="str">
        <f t="shared" si="803"/>
        <v>f</v>
      </c>
      <c r="H226" s="113" t="str">
        <f t="shared" si="804"/>
        <v>g</v>
      </c>
      <c r="I226" s="113" t="str">
        <f t="shared" si="805"/>
        <v>h</v>
      </c>
      <c r="J226" s="113" t="str">
        <f t="shared" si="806"/>
        <v>i</v>
      </c>
      <c r="K226" s="113" t="str">
        <f t="shared" si="807"/>
        <v>j</v>
      </c>
      <c r="L226" s="113" t="str">
        <f t="shared" si="808"/>
        <v>k</v>
      </c>
      <c r="M226" s="113" t="str">
        <f t="shared" si="809"/>
        <v>l</v>
      </c>
      <c r="N226" s="113" t="str">
        <f t="shared" si="810"/>
        <v>m</v>
      </c>
      <c r="O226" s="113">
        <f t="shared" si="811"/>
        <v>0</v>
      </c>
      <c r="P226" s="113">
        <f t="shared" si="812"/>
        <v>0</v>
      </c>
      <c r="Q226" s="113" t="str">
        <f t="shared" si="813"/>
        <v>p</v>
      </c>
      <c r="R226" s="113">
        <f t="shared" si="814"/>
        <v>0</v>
      </c>
      <c r="S226" s="113">
        <f t="shared" si="815"/>
        <v>0</v>
      </c>
      <c r="T226" s="113">
        <f t="shared" si="816"/>
        <v>0</v>
      </c>
      <c r="U226" s="113">
        <f t="shared" si="817"/>
        <v>0</v>
      </c>
      <c r="V226" s="113">
        <f t="shared" si="818"/>
        <v>0</v>
      </c>
      <c r="W226" s="113">
        <f t="shared" si="819"/>
        <v>0</v>
      </c>
      <c r="X226" s="113">
        <f t="shared" si="820"/>
        <v>0</v>
      </c>
      <c r="AA226" s="113">
        <v>35</v>
      </c>
      <c r="AB226" s="112">
        <f t="shared" ca="1" si="821"/>
        <v>43466</v>
      </c>
      <c r="AC226" s="112">
        <f t="shared" ca="1" si="821"/>
        <v>43830</v>
      </c>
      <c r="AF226" s="114">
        <f t="shared" ca="1" si="586"/>
        <v>23310.41</v>
      </c>
      <c r="AG226" s="114">
        <f t="shared" ca="1" si="822"/>
        <v>0</v>
      </c>
      <c r="AH226" s="114">
        <f t="shared" ca="1" si="823"/>
        <v>0</v>
      </c>
      <c r="AI226" s="114">
        <f t="shared" ca="1" si="824"/>
        <v>6384.11</v>
      </c>
      <c r="AJ226" s="114">
        <f t="shared" ca="1" si="825"/>
        <v>0</v>
      </c>
      <c r="AK226" s="114">
        <f t="shared" ca="1" si="826"/>
        <v>2462.04</v>
      </c>
      <c r="AN226">
        <f t="shared" si="827"/>
        <v>226</v>
      </c>
      <c r="AQ226" s="114">
        <f t="shared" ca="1" si="711"/>
        <v>3278.4</v>
      </c>
      <c r="AW226">
        <v>226</v>
      </c>
    </row>
    <row r="227" spans="1:49" x14ac:dyDescent="0.25">
      <c r="A227" s="113">
        <f>A220+20</f>
        <v>980</v>
      </c>
      <c r="B227" s="113" t="str">
        <f>B220</f>
        <v>a</v>
      </c>
      <c r="C227" s="113" t="str">
        <f t="shared" ref="C227:X227" si="828">C220</f>
        <v>b</v>
      </c>
      <c r="D227" s="113" t="str">
        <f t="shared" si="828"/>
        <v>c</v>
      </c>
      <c r="E227" s="113" t="str">
        <f t="shared" si="828"/>
        <v>d</v>
      </c>
      <c r="F227" s="113" t="str">
        <f t="shared" si="828"/>
        <v>e</v>
      </c>
      <c r="G227" s="113" t="str">
        <f t="shared" si="828"/>
        <v>f</v>
      </c>
      <c r="H227" s="113" t="str">
        <f t="shared" si="828"/>
        <v>g</v>
      </c>
      <c r="I227" s="113" t="str">
        <f t="shared" si="828"/>
        <v>h</v>
      </c>
      <c r="J227" s="113" t="str">
        <f t="shared" si="828"/>
        <v>i</v>
      </c>
      <c r="K227" s="113" t="str">
        <f t="shared" si="828"/>
        <v>j</v>
      </c>
      <c r="L227" s="113" t="str">
        <f t="shared" si="828"/>
        <v>k</v>
      </c>
      <c r="M227" s="113" t="str">
        <f t="shared" si="828"/>
        <v>l</v>
      </c>
      <c r="N227" s="113" t="str">
        <f t="shared" si="828"/>
        <v>m</v>
      </c>
      <c r="O227" s="113">
        <f t="shared" si="828"/>
        <v>0</v>
      </c>
      <c r="P227" s="113">
        <f t="shared" si="828"/>
        <v>0</v>
      </c>
      <c r="Q227" s="113" t="str">
        <f t="shared" si="828"/>
        <v>p</v>
      </c>
      <c r="R227" s="113">
        <f t="shared" si="828"/>
        <v>0</v>
      </c>
      <c r="S227" s="113">
        <f t="shared" si="828"/>
        <v>0</v>
      </c>
      <c r="T227" s="113">
        <f t="shared" si="828"/>
        <v>0</v>
      </c>
      <c r="U227" s="113">
        <f t="shared" si="828"/>
        <v>0</v>
      </c>
      <c r="V227" s="113">
        <f t="shared" si="828"/>
        <v>0</v>
      </c>
      <c r="W227" s="113">
        <f t="shared" si="828"/>
        <v>0</v>
      </c>
      <c r="X227" s="113">
        <f t="shared" si="828"/>
        <v>0</v>
      </c>
      <c r="AA227" s="113">
        <v>0</v>
      </c>
      <c r="AB227" s="112">
        <f ca="1">INDIRECT(CONCATENATE($AB$10,CONCATENATE(B227,$A227)))</f>
        <v>43831</v>
      </c>
      <c r="AC227" s="112">
        <f ca="1">INDIRECT(CONCATENATE($AB$10,CONCATENATE(C227,$A227)))</f>
        <v>44196</v>
      </c>
      <c r="AF227" s="114">
        <f t="shared" ca="1" si="586"/>
        <v>14101.489999999998</v>
      </c>
      <c r="AG227" s="114">
        <f ca="1">INDIRECT(CONCATENATE($AB$10,CONCATENATE(G227,$A227)))</f>
        <v>0</v>
      </c>
      <c r="AH227" s="114">
        <f ca="1">INDIRECT(CONCATENATE($AB$10,CONCATENATE(H227,$A227)))</f>
        <v>0</v>
      </c>
      <c r="AI227" s="114">
        <f ca="1">INDIRECT(CONCATENATE($AB$10,CONCATENATE(I227,$A227)))</f>
        <v>6384.11</v>
      </c>
      <c r="AJ227" s="114">
        <f ca="1">INDIRECT(CONCATENATE($AB$10,CONCATENATE(J227,$A227)))</f>
        <v>0</v>
      </c>
      <c r="AK227" s="114">
        <f ca="1">INDIRECT(CONCATENATE($AB$10,CONCATENATE(K227,$A227)))</f>
        <v>1690.19</v>
      </c>
      <c r="AN227">
        <f t="shared" si="827"/>
        <v>227</v>
      </c>
      <c r="AQ227" s="114">
        <f t="shared" ca="1" si="711"/>
        <v>2094</v>
      </c>
      <c r="AW227">
        <v>227</v>
      </c>
    </row>
    <row r="228" spans="1:49" x14ac:dyDescent="0.25">
      <c r="A228" s="113">
        <f>A227</f>
        <v>980</v>
      </c>
      <c r="B228" s="113" t="str">
        <f>B227</f>
        <v>a</v>
      </c>
      <c r="C228" s="113" t="str">
        <f t="shared" ref="C228:C233" si="829">C227</f>
        <v>b</v>
      </c>
      <c r="D228" s="113" t="str">
        <f t="shared" ref="D228:D233" si="830">D227</f>
        <v>c</v>
      </c>
      <c r="E228" s="113" t="str">
        <f t="shared" ref="E228:E233" si="831">E227</f>
        <v>d</v>
      </c>
      <c r="F228" s="113" t="str">
        <f t="shared" ref="F228:F233" si="832">F227</f>
        <v>e</v>
      </c>
      <c r="G228" s="113" t="str">
        <f t="shared" ref="G228:G233" si="833">G227</f>
        <v>f</v>
      </c>
      <c r="H228" s="113" t="str">
        <f t="shared" ref="H228:H233" si="834">H227</f>
        <v>g</v>
      </c>
      <c r="I228" s="113" t="str">
        <f t="shared" ref="I228:I233" si="835">I227</f>
        <v>h</v>
      </c>
      <c r="J228" s="113" t="str">
        <f t="shared" ref="J228:J233" si="836">J227</f>
        <v>i</v>
      </c>
      <c r="K228" s="113" t="str">
        <f t="shared" ref="K228:K233" si="837">K227</f>
        <v>j</v>
      </c>
      <c r="L228" s="113" t="str">
        <f t="shared" ref="L228:L233" si="838">L227</f>
        <v>k</v>
      </c>
      <c r="M228" s="113" t="str">
        <f t="shared" ref="M228:M233" si="839">M227</f>
        <v>l</v>
      </c>
      <c r="N228" s="113" t="str">
        <f t="shared" ref="N228:N233" si="840">N227</f>
        <v>m</v>
      </c>
      <c r="O228" s="113">
        <f t="shared" ref="O228:O233" si="841">O227</f>
        <v>0</v>
      </c>
      <c r="P228" s="113">
        <f t="shared" ref="P228:P233" si="842">P227</f>
        <v>0</v>
      </c>
      <c r="Q228" s="113" t="str">
        <f t="shared" ref="Q228:Q233" si="843">Q227</f>
        <v>p</v>
      </c>
      <c r="R228" s="113">
        <f t="shared" ref="R228:R233" si="844">R227</f>
        <v>0</v>
      </c>
      <c r="S228" s="113">
        <f t="shared" ref="S228:S233" si="845">S227</f>
        <v>0</v>
      </c>
      <c r="T228" s="113">
        <f t="shared" ref="T228:T233" si="846">T227</f>
        <v>0</v>
      </c>
      <c r="U228" s="113">
        <f t="shared" ref="U228:U233" si="847">U227</f>
        <v>0</v>
      </c>
      <c r="V228" s="113">
        <f t="shared" ref="V228:V233" si="848">V227</f>
        <v>0</v>
      </c>
      <c r="W228" s="113">
        <f t="shared" ref="W228:W233" si="849">W227</f>
        <v>0</v>
      </c>
      <c r="X228" s="113">
        <f t="shared" ref="X228:X233" si="850">X227</f>
        <v>0</v>
      </c>
      <c r="AA228" s="113">
        <v>3</v>
      </c>
      <c r="AB228" s="112">
        <f t="shared" ref="AB228:AC233" ca="1" si="851">AB227</f>
        <v>43831</v>
      </c>
      <c r="AC228" s="112">
        <f t="shared" ca="1" si="851"/>
        <v>44196</v>
      </c>
      <c r="AE228" s="114">
        <f ca="1">AE221</f>
        <v>522.04999999999995</v>
      </c>
      <c r="AF228" s="114">
        <f t="shared" ca="1" si="586"/>
        <v>14101.489999999998</v>
      </c>
      <c r="AG228" s="114">
        <f t="shared" ref="AG228:AG233" ca="1" si="852">INDIRECT(CONCATENATE($AB$10,CONCATENATE(G228,$A228)))</f>
        <v>0</v>
      </c>
      <c r="AH228" s="114">
        <f t="shared" ref="AH228:AH233" ca="1" si="853">INDIRECT(CONCATENATE($AB$10,CONCATENATE(H228,$A228)))</f>
        <v>0</v>
      </c>
      <c r="AI228" s="114">
        <f t="shared" ref="AI228:AI233" ca="1" si="854">INDIRECT(CONCATENATE($AB$10,CONCATENATE(I228,$A228)))</f>
        <v>6384.11</v>
      </c>
      <c r="AJ228" s="114">
        <f t="shared" ref="AJ228:AJ233" ca="1" si="855">INDIRECT(CONCATENATE($AB$10,CONCATENATE(J228,$A228)))</f>
        <v>0</v>
      </c>
      <c r="AK228" s="114">
        <f t="shared" ref="AK228:AK233" ca="1" si="856">INDIRECT(CONCATENATE($AB$10,CONCATENATE(K228,$A228)))</f>
        <v>1690.19</v>
      </c>
      <c r="AN228">
        <f t="shared" si="827"/>
        <v>228</v>
      </c>
      <c r="AQ228" s="114">
        <f t="shared" ca="1" si="711"/>
        <v>2094</v>
      </c>
      <c r="AW228">
        <v>228</v>
      </c>
    </row>
    <row r="229" spans="1:49" x14ac:dyDescent="0.25">
      <c r="A229" s="113">
        <f>A228+2</f>
        <v>982</v>
      </c>
      <c r="B229" s="113" t="str">
        <f>B228</f>
        <v>a</v>
      </c>
      <c r="C229" s="113" t="str">
        <f t="shared" si="829"/>
        <v>b</v>
      </c>
      <c r="D229" s="113" t="str">
        <f t="shared" si="830"/>
        <v>c</v>
      </c>
      <c r="E229" s="113" t="str">
        <f t="shared" si="831"/>
        <v>d</v>
      </c>
      <c r="F229" s="113" t="str">
        <f t="shared" si="832"/>
        <v>e</v>
      </c>
      <c r="G229" s="113" t="str">
        <f t="shared" si="833"/>
        <v>f</v>
      </c>
      <c r="H229" s="113" t="str">
        <f t="shared" si="834"/>
        <v>g</v>
      </c>
      <c r="I229" s="113" t="str">
        <f t="shared" si="835"/>
        <v>h</v>
      </c>
      <c r="J229" s="113" t="str">
        <f t="shared" si="836"/>
        <v>i</v>
      </c>
      <c r="K229" s="113" t="str">
        <f t="shared" si="837"/>
        <v>j</v>
      </c>
      <c r="L229" s="113" t="str">
        <f t="shared" si="838"/>
        <v>k</v>
      </c>
      <c r="M229" s="113" t="str">
        <f t="shared" si="839"/>
        <v>l</v>
      </c>
      <c r="N229" s="113" t="str">
        <f t="shared" si="840"/>
        <v>m</v>
      </c>
      <c r="O229" s="113">
        <f t="shared" si="841"/>
        <v>0</v>
      </c>
      <c r="P229" s="113">
        <f t="shared" si="842"/>
        <v>0</v>
      </c>
      <c r="Q229" s="113" t="str">
        <f t="shared" si="843"/>
        <v>p</v>
      </c>
      <c r="R229" s="113">
        <f t="shared" si="844"/>
        <v>0</v>
      </c>
      <c r="S229" s="113">
        <f t="shared" si="845"/>
        <v>0</v>
      </c>
      <c r="T229" s="113">
        <f t="shared" si="846"/>
        <v>0</v>
      </c>
      <c r="U229" s="113">
        <f t="shared" si="847"/>
        <v>0</v>
      </c>
      <c r="V229" s="113">
        <f t="shared" si="848"/>
        <v>0</v>
      </c>
      <c r="W229" s="113">
        <f t="shared" si="849"/>
        <v>0</v>
      </c>
      <c r="X229" s="113">
        <f t="shared" si="850"/>
        <v>0</v>
      </c>
      <c r="AA229" s="113">
        <v>9</v>
      </c>
      <c r="AB229" s="112">
        <f t="shared" ca="1" si="851"/>
        <v>43831</v>
      </c>
      <c r="AC229" s="112">
        <f t="shared" ca="1" si="851"/>
        <v>44196</v>
      </c>
      <c r="AF229" s="114">
        <f t="shared" ca="1" si="586"/>
        <v>16341.68</v>
      </c>
      <c r="AG229" s="114">
        <f t="shared" ca="1" si="852"/>
        <v>0</v>
      </c>
      <c r="AH229" s="114">
        <f t="shared" ca="1" si="853"/>
        <v>0</v>
      </c>
      <c r="AI229" s="114">
        <f t="shared" ca="1" si="854"/>
        <v>6384.11</v>
      </c>
      <c r="AJ229" s="114">
        <f t="shared" ca="1" si="855"/>
        <v>0</v>
      </c>
      <c r="AK229" s="114">
        <f t="shared" ca="1" si="856"/>
        <v>1874.95</v>
      </c>
      <c r="AN229">
        <f t="shared" si="827"/>
        <v>229</v>
      </c>
      <c r="AQ229" s="114">
        <f t="shared" ca="1" si="711"/>
        <v>2094</v>
      </c>
      <c r="AW229">
        <v>229</v>
      </c>
    </row>
    <row r="230" spans="1:49" x14ac:dyDescent="0.25">
      <c r="A230" s="113">
        <f>A229+2</f>
        <v>984</v>
      </c>
      <c r="B230" s="113" t="str">
        <f>B229</f>
        <v>a</v>
      </c>
      <c r="C230" s="113" t="str">
        <f t="shared" si="829"/>
        <v>b</v>
      </c>
      <c r="D230" s="113" t="str">
        <f t="shared" si="830"/>
        <v>c</v>
      </c>
      <c r="E230" s="113" t="str">
        <f t="shared" si="831"/>
        <v>d</v>
      </c>
      <c r="F230" s="113" t="str">
        <f t="shared" si="832"/>
        <v>e</v>
      </c>
      <c r="G230" s="113" t="str">
        <f t="shared" si="833"/>
        <v>f</v>
      </c>
      <c r="H230" s="113" t="str">
        <f t="shared" si="834"/>
        <v>g</v>
      </c>
      <c r="I230" s="113" t="str">
        <f t="shared" si="835"/>
        <v>h</v>
      </c>
      <c r="J230" s="113" t="str">
        <f t="shared" si="836"/>
        <v>i</v>
      </c>
      <c r="K230" s="113" t="str">
        <f t="shared" si="837"/>
        <v>j</v>
      </c>
      <c r="L230" s="113" t="str">
        <f t="shared" si="838"/>
        <v>k</v>
      </c>
      <c r="M230" s="113" t="str">
        <f t="shared" si="839"/>
        <v>l</v>
      </c>
      <c r="N230" s="113" t="str">
        <f t="shared" si="840"/>
        <v>m</v>
      </c>
      <c r="O230" s="113">
        <f t="shared" si="841"/>
        <v>0</v>
      </c>
      <c r="P230" s="113">
        <f t="shared" si="842"/>
        <v>0</v>
      </c>
      <c r="Q230" s="113" t="str">
        <f t="shared" si="843"/>
        <v>p</v>
      </c>
      <c r="R230" s="113">
        <f t="shared" si="844"/>
        <v>0</v>
      </c>
      <c r="S230" s="113">
        <f t="shared" si="845"/>
        <v>0</v>
      </c>
      <c r="T230" s="113">
        <f t="shared" si="846"/>
        <v>0</v>
      </c>
      <c r="U230" s="113">
        <f t="shared" si="847"/>
        <v>0</v>
      </c>
      <c r="V230" s="113">
        <f t="shared" si="848"/>
        <v>0</v>
      </c>
      <c r="W230" s="113">
        <f t="shared" si="849"/>
        <v>0</v>
      </c>
      <c r="X230" s="113">
        <f t="shared" si="850"/>
        <v>0</v>
      </c>
      <c r="AA230" s="113">
        <v>15</v>
      </c>
      <c r="AB230" s="112">
        <f t="shared" ca="1" si="851"/>
        <v>43831</v>
      </c>
      <c r="AC230" s="112">
        <f t="shared" ca="1" si="851"/>
        <v>44196</v>
      </c>
      <c r="AF230" s="114">
        <f t="shared" ca="1" si="586"/>
        <v>18312.079999999998</v>
      </c>
      <c r="AG230" s="114">
        <f t="shared" ca="1" si="852"/>
        <v>0</v>
      </c>
      <c r="AH230" s="114">
        <f t="shared" ca="1" si="853"/>
        <v>0</v>
      </c>
      <c r="AI230" s="114">
        <f t="shared" ca="1" si="854"/>
        <v>6384.11</v>
      </c>
      <c r="AJ230" s="114">
        <f t="shared" ca="1" si="855"/>
        <v>0</v>
      </c>
      <c r="AK230" s="114">
        <f t="shared" ca="1" si="856"/>
        <v>2037.57</v>
      </c>
      <c r="AN230">
        <f t="shared" si="827"/>
        <v>230</v>
      </c>
      <c r="AQ230" s="114">
        <f t="shared" ca="1" si="711"/>
        <v>2577.6</v>
      </c>
      <c r="AW230">
        <v>230</v>
      </c>
    </row>
    <row r="231" spans="1:49" x14ac:dyDescent="0.25">
      <c r="A231" s="113">
        <f>A230+2</f>
        <v>986</v>
      </c>
      <c r="B231" s="113" t="str">
        <f>B230</f>
        <v>a</v>
      </c>
      <c r="C231" s="113" t="str">
        <f t="shared" si="829"/>
        <v>b</v>
      </c>
      <c r="D231" s="113" t="str">
        <f t="shared" si="830"/>
        <v>c</v>
      </c>
      <c r="E231" s="113" t="str">
        <f t="shared" si="831"/>
        <v>d</v>
      </c>
      <c r="F231" s="113" t="str">
        <f t="shared" si="832"/>
        <v>e</v>
      </c>
      <c r="G231" s="113" t="str">
        <f t="shared" si="833"/>
        <v>f</v>
      </c>
      <c r="H231" s="113" t="str">
        <f t="shared" si="834"/>
        <v>g</v>
      </c>
      <c r="I231" s="113" t="str">
        <f t="shared" si="835"/>
        <v>h</v>
      </c>
      <c r="J231" s="113" t="str">
        <f t="shared" si="836"/>
        <v>i</v>
      </c>
      <c r="K231" s="113" t="str">
        <f t="shared" si="837"/>
        <v>j</v>
      </c>
      <c r="L231" s="113" t="str">
        <f t="shared" si="838"/>
        <v>k</v>
      </c>
      <c r="M231" s="113" t="str">
        <f t="shared" si="839"/>
        <v>l</v>
      </c>
      <c r="N231" s="113" t="str">
        <f t="shared" si="840"/>
        <v>m</v>
      </c>
      <c r="O231" s="113">
        <f t="shared" si="841"/>
        <v>0</v>
      </c>
      <c r="P231" s="113">
        <f t="shared" si="842"/>
        <v>0</v>
      </c>
      <c r="Q231" s="113" t="str">
        <f t="shared" si="843"/>
        <v>p</v>
      </c>
      <c r="R231" s="113">
        <f t="shared" si="844"/>
        <v>0</v>
      </c>
      <c r="S231" s="113">
        <f t="shared" si="845"/>
        <v>0</v>
      </c>
      <c r="T231" s="113">
        <f t="shared" si="846"/>
        <v>0</v>
      </c>
      <c r="U231" s="113">
        <f t="shared" si="847"/>
        <v>0</v>
      </c>
      <c r="V231" s="113">
        <f t="shared" si="848"/>
        <v>0</v>
      </c>
      <c r="W231" s="113">
        <f t="shared" si="849"/>
        <v>0</v>
      </c>
      <c r="X231" s="113">
        <f t="shared" si="850"/>
        <v>0</v>
      </c>
      <c r="AA231" s="113">
        <v>21</v>
      </c>
      <c r="AB231" s="112">
        <f t="shared" ca="1" si="851"/>
        <v>43831</v>
      </c>
      <c r="AC231" s="112">
        <f t="shared" ca="1" si="851"/>
        <v>44196</v>
      </c>
      <c r="AF231" s="114">
        <f t="shared" ref="AF231:AF247" ca="1" si="857">INDIRECT(CONCATENATE($AB$10,CONCATENATE(F231,$A231)))</f>
        <v>20239.079999999998</v>
      </c>
      <c r="AG231" s="114">
        <f t="shared" ca="1" si="852"/>
        <v>0</v>
      </c>
      <c r="AH231" s="114">
        <f t="shared" ca="1" si="853"/>
        <v>0</v>
      </c>
      <c r="AI231" s="114">
        <f t="shared" ca="1" si="854"/>
        <v>6384.11</v>
      </c>
      <c r="AJ231" s="114">
        <f t="shared" ca="1" si="855"/>
        <v>0</v>
      </c>
      <c r="AK231" s="114">
        <f t="shared" ca="1" si="856"/>
        <v>2196.5700000000002</v>
      </c>
      <c r="AN231">
        <f t="shared" si="827"/>
        <v>231</v>
      </c>
      <c r="AQ231" s="114">
        <f t="shared" ca="1" si="711"/>
        <v>2577.6</v>
      </c>
      <c r="AW231">
        <v>231</v>
      </c>
    </row>
    <row r="232" spans="1:49" x14ac:dyDescent="0.25">
      <c r="A232" s="113">
        <f>A231+2</f>
        <v>988</v>
      </c>
      <c r="B232" s="113" t="str">
        <f>B231</f>
        <v>a</v>
      </c>
      <c r="C232" s="113" t="str">
        <f t="shared" si="829"/>
        <v>b</v>
      </c>
      <c r="D232" s="113" t="str">
        <f t="shared" si="830"/>
        <v>c</v>
      </c>
      <c r="E232" s="113" t="str">
        <f t="shared" si="831"/>
        <v>d</v>
      </c>
      <c r="F232" s="113" t="str">
        <f t="shared" si="832"/>
        <v>e</v>
      </c>
      <c r="G232" s="113" t="str">
        <f t="shared" si="833"/>
        <v>f</v>
      </c>
      <c r="H232" s="113" t="str">
        <f t="shared" si="834"/>
        <v>g</v>
      </c>
      <c r="I232" s="113" t="str">
        <f t="shared" si="835"/>
        <v>h</v>
      </c>
      <c r="J232" s="113" t="str">
        <f t="shared" si="836"/>
        <v>i</v>
      </c>
      <c r="K232" s="113" t="str">
        <f t="shared" si="837"/>
        <v>j</v>
      </c>
      <c r="L232" s="113" t="str">
        <f t="shared" si="838"/>
        <v>k</v>
      </c>
      <c r="M232" s="113" t="str">
        <f t="shared" si="839"/>
        <v>l</v>
      </c>
      <c r="N232" s="113" t="str">
        <f t="shared" si="840"/>
        <v>m</v>
      </c>
      <c r="O232" s="113">
        <f t="shared" si="841"/>
        <v>0</v>
      </c>
      <c r="P232" s="113">
        <f t="shared" si="842"/>
        <v>0</v>
      </c>
      <c r="Q232" s="113" t="str">
        <f t="shared" si="843"/>
        <v>p</v>
      </c>
      <c r="R232" s="113">
        <f t="shared" si="844"/>
        <v>0</v>
      </c>
      <c r="S232" s="113">
        <f t="shared" si="845"/>
        <v>0</v>
      </c>
      <c r="T232" s="113">
        <f t="shared" si="846"/>
        <v>0</v>
      </c>
      <c r="U232" s="113">
        <f t="shared" si="847"/>
        <v>0</v>
      </c>
      <c r="V232" s="113">
        <f t="shared" si="848"/>
        <v>0</v>
      </c>
      <c r="W232" s="113">
        <f t="shared" si="849"/>
        <v>0</v>
      </c>
      <c r="X232" s="113">
        <f t="shared" si="850"/>
        <v>0</v>
      </c>
      <c r="AA232" s="113">
        <v>28</v>
      </c>
      <c r="AB232" s="112">
        <f t="shared" ca="1" si="851"/>
        <v>43831</v>
      </c>
      <c r="AC232" s="112">
        <f t="shared" ca="1" si="851"/>
        <v>44196</v>
      </c>
      <c r="AF232" s="114">
        <f t="shared" ca="1" si="857"/>
        <v>22129.71</v>
      </c>
      <c r="AG232" s="114">
        <f t="shared" ca="1" si="852"/>
        <v>0</v>
      </c>
      <c r="AH232" s="114">
        <f t="shared" ca="1" si="853"/>
        <v>0</v>
      </c>
      <c r="AI232" s="114">
        <f t="shared" ca="1" si="854"/>
        <v>6384.11</v>
      </c>
      <c r="AJ232" s="114">
        <f t="shared" ca="1" si="855"/>
        <v>0</v>
      </c>
      <c r="AK232" s="114">
        <f t="shared" ca="1" si="856"/>
        <v>2352.5100000000002</v>
      </c>
      <c r="AN232">
        <f t="shared" si="827"/>
        <v>232</v>
      </c>
      <c r="AQ232" s="114">
        <f t="shared" ca="1" si="711"/>
        <v>3278.4</v>
      </c>
      <c r="AW232">
        <v>232</v>
      </c>
    </row>
    <row r="233" spans="1:49" x14ac:dyDescent="0.25">
      <c r="A233" s="113">
        <f>A232+2</f>
        <v>990</v>
      </c>
      <c r="B233" s="113" t="str">
        <f>B232</f>
        <v>a</v>
      </c>
      <c r="C233" s="113" t="str">
        <f t="shared" si="829"/>
        <v>b</v>
      </c>
      <c r="D233" s="113" t="str">
        <f t="shared" si="830"/>
        <v>c</v>
      </c>
      <c r="E233" s="113" t="str">
        <f t="shared" si="831"/>
        <v>d</v>
      </c>
      <c r="F233" s="113" t="str">
        <f t="shared" si="832"/>
        <v>e</v>
      </c>
      <c r="G233" s="113" t="str">
        <f t="shared" si="833"/>
        <v>f</v>
      </c>
      <c r="H233" s="113" t="str">
        <f t="shared" si="834"/>
        <v>g</v>
      </c>
      <c r="I233" s="113" t="str">
        <f t="shared" si="835"/>
        <v>h</v>
      </c>
      <c r="J233" s="113" t="str">
        <f t="shared" si="836"/>
        <v>i</v>
      </c>
      <c r="K233" s="113" t="str">
        <f t="shared" si="837"/>
        <v>j</v>
      </c>
      <c r="L233" s="113" t="str">
        <f t="shared" si="838"/>
        <v>k</v>
      </c>
      <c r="M233" s="113" t="str">
        <f t="shared" si="839"/>
        <v>l</v>
      </c>
      <c r="N233" s="113" t="str">
        <f t="shared" si="840"/>
        <v>m</v>
      </c>
      <c r="O233" s="113">
        <f t="shared" si="841"/>
        <v>0</v>
      </c>
      <c r="P233" s="113">
        <f t="shared" si="842"/>
        <v>0</v>
      </c>
      <c r="Q233" s="113" t="str">
        <f t="shared" si="843"/>
        <v>p</v>
      </c>
      <c r="R233" s="113">
        <f t="shared" si="844"/>
        <v>0</v>
      </c>
      <c r="S233" s="113">
        <f t="shared" si="845"/>
        <v>0</v>
      </c>
      <c r="T233" s="113">
        <f t="shared" si="846"/>
        <v>0</v>
      </c>
      <c r="U233" s="113">
        <f t="shared" si="847"/>
        <v>0</v>
      </c>
      <c r="V233" s="113">
        <f t="shared" si="848"/>
        <v>0</v>
      </c>
      <c r="W233" s="113">
        <f t="shared" si="849"/>
        <v>0</v>
      </c>
      <c r="X233" s="113">
        <f t="shared" si="850"/>
        <v>0</v>
      </c>
      <c r="AA233" s="113">
        <v>35</v>
      </c>
      <c r="AB233" s="112">
        <f t="shared" ca="1" si="851"/>
        <v>43831</v>
      </c>
      <c r="AC233" s="112">
        <f t="shared" ca="1" si="851"/>
        <v>44196</v>
      </c>
      <c r="AF233" s="114">
        <f t="shared" ca="1" si="857"/>
        <v>23539.61</v>
      </c>
      <c r="AG233" s="114">
        <f t="shared" ca="1" si="852"/>
        <v>0</v>
      </c>
      <c r="AH233" s="114">
        <f t="shared" ca="1" si="853"/>
        <v>0</v>
      </c>
      <c r="AI233" s="114">
        <f t="shared" ca="1" si="854"/>
        <v>6384.11</v>
      </c>
      <c r="AJ233" s="114">
        <f t="shared" ca="1" si="855"/>
        <v>0</v>
      </c>
      <c r="AK233" s="114">
        <f t="shared" ca="1" si="856"/>
        <v>2468.9</v>
      </c>
      <c r="AN233">
        <f t="shared" si="827"/>
        <v>233</v>
      </c>
      <c r="AQ233" s="114">
        <f t="shared" ca="1" si="711"/>
        <v>3278.4</v>
      </c>
      <c r="AW233">
        <v>233</v>
      </c>
    </row>
    <row r="234" spans="1:49" x14ac:dyDescent="0.25">
      <c r="A234" s="113">
        <f>A227+20</f>
        <v>1000</v>
      </c>
      <c r="B234" s="113" t="str">
        <f>B227</f>
        <v>a</v>
      </c>
      <c r="C234" s="113" t="str">
        <f t="shared" ref="C234:X234" si="858">C227</f>
        <v>b</v>
      </c>
      <c r="D234" s="113" t="str">
        <f t="shared" si="858"/>
        <v>c</v>
      </c>
      <c r="E234" s="113" t="str">
        <f t="shared" si="858"/>
        <v>d</v>
      </c>
      <c r="F234" s="113" t="str">
        <f t="shared" si="858"/>
        <v>e</v>
      </c>
      <c r="G234" s="113" t="str">
        <f t="shared" si="858"/>
        <v>f</v>
      </c>
      <c r="H234" s="113" t="str">
        <f t="shared" si="858"/>
        <v>g</v>
      </c>
      <c r="I234" s="113" t="str">
        <f t="shared" si="858"/>
        <v>h</v>
      </c>
      <c r="J234" s="113" t="str">
        <f t="shared" si="858"/>
        <v>i</v>
      </c>
      <c r="K234" s="113" t="str">
        <f t="shared" si="858"/>
        <v>j</v>
      </c>
      <c r="L234" s="113" t="str">
        <f t="shared" si="858"/>
        <v>k</v>
      </c>
      <c r="M234" s="113" t="str">
        <f t="shared" si="858"/>
        <v>l</v>
      </c>
      <c r="N234" s="113" t="str">
        <f t="shared" si="858"/>
        <v>m</v>
      </c>
      <c r="O234" s="113">
        <f t="shared" si="858"/>
        <v>0</v>
      </c>
      <c r="P234" s="113">
        <f t="shared" si="858"/>
        <v>0</v>
      </c>
      <c r="Q234" s="113" t="str">
        <f t="shared" si="858"/>
        <v>p</v>
      </c>
      <c r="R234" s="113">
        <f t="shared" si="858"/>
        <v>0</v>
      </c>
      <c r="S234" s="113">
        <f t="shared" si="858"/>
        <v>0</v>
      </c>
      <c r="T234" s="113">
        <f t="shared" si="858"/>
        <v>0</v>
      </c>
      <c r="U234" s="113">
        <f t="shared" si="858"/>
        <v>0</v>
      </c>
      <c r="V234" s="113">
        <f t="shared" si="858"/>
        <v>0</v>
      </c>
      <c r="W234" s="113">
        <f t="shared" si="858"/>
        <v>0</v>
      </c>
      <c r="X234" s="113">
        <f t="shared" si="858"/>
        <v>0</v>
      </c>
      <c r="AA234" s="113">
        <v>0</v>
      </c>
      <c r="AB234" s="112">
        <f ca="1">INDIRECT(CONCATENATE($AB$10,CONCATENATE(B234,$A234)))</f>
        <v>44197</v>
      </c>
      <c r="AC234" s="112">
        <f ca="1">INDIRECT(CONCATENATE($AB$10,CONCATENATE(C234,$A234)))</f>
        <v>44561</v>
      </c>
      <c r="AF234" s="114">
        <f t="shared" ca="1" si="857"/>
        <v>14513.09</v>
      </c>
      <c r="AG234" s="114">
        <f ca="1">INDIRECT(CONCATENATE($AB$10,CONCATENATE(G234,$A234)))</f>
        <v>0</v>
      </c>
      <c r="AH234" s="114">
        <f ca="1">INDIRECT(CONCATENATE($AB$10,CONCATENATE(H234,$A234)))</f>
        <v>0</v>
      </c>
      <c r="AI234" s="114">
        <f ca="1">INDIRECT(CONCATENATE($AB$10,CONCATENATE(I234,$A234)))</f>
        <v>6384.11</v>
      </c>
      <c r="AJ234" s="114">
        <f ca="1">INDIRECT(CONCATENATE($AB$10,CONCATENATE(J234,$A234)))</f>
        <v>0</v>
      </c>
      <c r="AK234" s="114">
        <f ca="1">INDIRECT(CONCATENATE($AB$10,CONCATENATE(K234,$A234)))</f>
        <v>1690.19</v>
      </c>
      <c r="AN234">
        <f t="shared" si="827"/>
        <v>234</v>
      </c>
      <c r="AQ234" s="114">
        <f t="shared" ca="1" si="711"/>
        <v>2094</v>
      </c>
      <c r="AW234">
        <v>234</v>
      </c>
    </row>
    <row r="235" spans="1:49" x14ac:dyDescent="0.25">
      <c r="A235" s="113">
        <f>A234</f>
        <v>1000</v>
      </c>
      <c r="B235" s="113" t="str">
        <f>B234</f>
        <v>a</v>
      </c>
      <c r="C235" s="113" t="str">
        <f t="shared" ref="C235:C240" si="859">C234</f>
        <v>b</v>
      </c>
      <c r="D235" s="113" t="str">
        <f t="shared" ref="D235:D240" si="860">D234</f>
        <v>c</v>
      </c>
      <c r="E235" s="113" t="str">
        <f t="shared" ref="E235:E240" si="861">E234</f>
        <v>d</v>
      </c>
      <c r="F235" s="113" t="str">
        <f t="shared" ref="F235:F240" si="862">F234</f>
        <v>e</v>
      </c>
      <c r="G235" s="113" t="str">
        <f t="shared" ref="G235:G240" si="863">G234</f>
        <v>f</v>
      </c>
      <c r="H235" s="113" t="str">
        <f t="shared" ref="H235:H240" si="864">H234</f>
        <v>g</v>
      </c>
      <c r="I235" s="113" t="str">
        <f t="shared" ref="I235:I240" si="865">I234</f>
        <v>h</v>
      </c>
      <c r="J235" s="113" t="str">
        <f t="shared" ref="J235:J240" si="866">J234</f>
        <v>i</v>
      </c>
      <c r="K235" s="113" t="str">
        <f t="shared" ref="K235:K240" si="867">K234</f>
        <v>j</v>
      </c>
      <c r="L235" s="113" t="str">
        <f t="shared" ref="L235:L240" si="868">L234</f>
        <v>k</v>
      </c>
      <c r="M235" s="113" t="str">
        <f t="shared" ref="M235:M240" si="869">M234</f>
        <v>l</v>
      </c>
      <c r="N235" s="113" t="str">
        <f t="shared" ref="N235:N240" si="870">N234</f>
        <v>m</v>
      </c>
      <c r="O235" s="113">
        <f t="shared" ref="O235:O240" si="871">O234</f>
        <v>0</v>
      </c>
      <c r="P235" s="113">
        <f t="shared" ref="P235:P240" si="872">P234</f>
        <v>0</v>
      </c>
      <c r="Q235" s="113" t="str">
        <f t="shared" ref="Q235:Q240" si="873">Q234</f>
        <v>p</v>
      </c>
      <c r="R235" s="113">
        <f t="shared" ref="R235:R240" si="874">R234</f>
        <v>0</v>
      </c>
      <c r="S235" s="113">
        <f t="shared" ref="S235:S240" si="875">S234</f>
        <v>0</v>
      </c>
      <c r="T235" s="113">
        <f t="shared" ref="T235:T240" si="876">T234</f>
        <v>0</v>
      </c>
      <c r="U235" s="113">
        <f t="shared" ref="U235:U240" si="877">U234</f>
        <v>0</v>
      </c>
      <c r="V235" s="113">
        <f t="shared" ref="V235:V240" si="878">V234</f>
        <v>0</v>
      </c>
      <c r="W235" s="113">
        <f t="shared" ref="W235:W240" si="879">W234</f>
        <v>0</v>
      </c>
      <c r="X235" s="113">
        <f t="shared" ref="X235:X240" si="880">X234</f>
        <v>0</v>
      </c>
      <c r="AA235" s="113">
        <v>3</v>
      </c>
      <c r="AB235" s="112">
        <f t="shared" ref="AB235:AC240" ca="1" si="881">AB234</f>
        <v>44197</v>
      </c>
      <c r="AC235" s="112">
        <f t="shared" ca="1" si="881"/>
        <v>44561</v>
      </c>
      <c r="AE235" s="114">
        <f ca="1">AE228</f>
        <v>522.04999999999995</v>
      </c>
      <c r="AF235" s="114">
        <f t="shared" ca="1" si="857"/>
        <v>14513.09</v>
      </c>
      <c r="AG235" s="114">
        <f t="shared" ref="AG235:AG240" ca="1" si="882">INDIRECT(CONCATENATE($AB$10,CONCATENATE(G235,$A235)))</f>
        <v>0</v>
      </c>
      <c r="AH235" s="114">
        <f t="shared" ref="AH235:AH240" ca="1" si="883">INDIRECT(CONCATENATE($AB$10,CONCATENATE(H235,$A235)))</f>
        <v>0</v>
      </c>
      <c r="AI235" s="114">
        <f t="shared" ref="AI235:AI240" ca="1" si="884">INDIRECT(CONCATENATE($AB$10,CONCATENATE(I235,$A235)))</f>
        <v>6384.11</v>
      </c>
      <c r="AJ235" s="114">
        <f t="shared" ref="AJ235:AJ240" ca="1" si="885">INDIRECT(CONCATENATE($AB$10,CONCATENATE(J235,$A235)))</f>
        <v>0</v>
      </c>
      <c r="AK235" s="114">
        <f t="shared" ref="AK235:AK240" ca="1" si="886">INDIRECT(CONCATENATE($AB$10,CONCATENATE(K235,$A235)))</f>
        <v>1690.19</v>
      </c>
      <c r="AN235">
        <f t="shared" si="827"/>
        <v>235</v>
      </c>
      <c r="AQ235" s="114">
        <f t="shared" ca="1" si="711"/>
        <v>2094</v>
      </c>
      <c r="AW235">
        <v>235</v>
      </c>
    </row>
    <row r="236" spans="1:49" x14ac:dyDescent="0.25">
      <c r="A236" s="113">
        <f>A235+2</f>
        <v>1002</v>
      </c>
      <c r="B236" s="113" t="str">
        <f>B235</f>
        <v>a</v>
      </c>
      <c r="C236" s="113" t="str">
        <f t="shared" si="859"/>
        <v>b</v>
      </c>
      <c r="D236" s="113" t="str">
        <f t="shared" si="860"/>
        <v>c</v>
      </c>
      <c r="E236" s="113" t="str">
        <f t="shared" si="861"/>
        <v>d</v>
      </c>
      <c r="F236" s="113" t="str">
        <f t="shared" si="862"/>
        <v>e</v>
      </c>
      <c r="G236" s="113" t="str">
        <f t="shared" si="863"/>
        <v>f</v>
      </c>
      <c r="H236" s="113" t="str">
        <f t="shared" si="864"/>
        <v>g</v>
      </c>
      <c r="I236" s="113" t="str">
        <f t="shared" si="865"/>
        <v>h</v>
      </c>
      <c r="J236" s="113" t="str">
        <f t="shared" si="866"/>
        <v>i</v>
      </c>
      <c r="K236" s="113" t="str">
        <f t="shared" si="867"/>
        <v>j</v>
      </c>
      <c r="L236" s="113" t="str">
        <f t="shared" si="868"/>
        <v>k</v>
      </c>
      <c r="M236" s="113" t="str">
        <f t="shared" si="869"/>
        <v>l</v>
      </c>
      <c r="N236" s="113" t="str">
        <f t="shared" si="870"/>
        <v>m</v>
      </c>
      <c r="O236" s="113">
        <f t="shared" si="871"/>
        <v>0</v>
      </c>
      <c r="P236" s="113">
        <f t="shared" si="872"/>
        <v>0</v>
      </c>
      <c r="Q236" s="113" t="str">
        <f t="shared" si="873"/>
        <v>p</v>
      </c>
      <c r="R236" s="113">
        <f t="shared" si="874"/>
        <v>0</v>
      </c>
      <c r="S236" s="113">
        <f t="shared" si="875"/>
        <v>0</v>
      </c>
      <c r="T236" s="113">
        <f t="shared" si="876"/>
        <v>0</v>
      </c>
      <c r="U236" s="113">
        <f t="shared" si="877"/>
        <v>0</v>
      </c>
      <c r="V236" s="113">
        <f t="shared" si="878"/>
        <v>0</v>
      </c>
      <c r="W236" s="113">
        <f t="shared" si="879"/>
        <v>0</v>
      </c>
      <c r="X236" s="113">
        <f t="shared" si="880"/>
        <v>0</v>
      </c>
      <c r="AA236" s="113">
        <v>9</v>
      </c>
      <c r="AB236" s="112">
        <f t="shared" ca="1" si="881"/>
        <v>44197</v>
      </c>
      <c r="AC236" s="112">
        <f t="shared" ca="1" si="881"/>
        <v>44561</v>
      </c>
      <c r="AF236" s="114">
        <f t="shared" ca="1" si="857"/>
        <v>16798.88</v>
      </c>
      <c r="AG236" s="114">
        <f t="shared" ca="1" si="882"/>
        <v>0</v>
      </c>
      <c r="AH236" s="114">
        <f t="shared" ca="1" si="883"/>
        <v>0</v>
      </c>
      <c r="AI236" s="114">
        <f t="shared" ca="1" si="884"/>
        <v>6384.11</v>
      </c>
      <c r="AJ236" s="114">
        <f t="shared" ca="1" si="885"/>
        <v>0</v>
      </c>
      <c r="AK236" s="114">
        <f t="shared" ca="1" si="886"/>
        <v>1874.95</v>
      </c>
      <c r="AN236">
        <f t="shared" si="827"/>
        <v>236</v>
      </c>
      <c r="AQ236" s="114">
        <f t="shared" ca="1" si="711"/>
        <v>2094</v>
      </c>
      <c r="AW236">
        <v>236</v>
      </c>
    </row>
    <row r="237" spans="1:49" x14ac:dyDescent="0.25">
      <c r="A237" s="113">
        <f>A236+2</f>
        <v>1004</v>
      </c>
      <c r="B237" s="113" t="str">
        <f>B236</f>
        <v>a</v>
      </c>
      <c r="C237" s="113" t="str">
        <f t="shared" si="859"/>
        <v>b</v>
      </c>
      <c r="D237" s="113" t="str">
        <f t="shared" si="860"/>
        <v>c</v>
      </c>
      <c r="E237" s="113" t="str">
        <f t="shared" si="861"/>
        <v>d</v>
      </c>
      <c r="F237" s="113" t="str">
        <f t="shared" si="862"/>
        <v>e</v>
      </c>
      <c r="G237" s="113" t="str">
        <f t="shared" si="863"/>
        <v>f</v>
      </c>
      <c r="H237" s="113" t="str">
        <f t="shared" si="864"/>
        <v>g</v>
      </c>
      <c r="I237" s="113" t="str">
        <f t="shared" si="865"/>
        <v>h</v>
      </c>
      <c r="J237" s="113" t="str">
        <f t="shared" si="866"/>
        <v>i</v>
      </c>
      <c r="K237" s="113" t="str">
        <f t="shared" si="867"/>
        <v>j</v>
      </c>
      <c r="L237" s="113" t="str">
        <f t="shared" si="868"/>
        <v>k</v>
      </c>
      <c r="M237" s="113" t="str">
        <f t="shared" si="869"/>
        <v>l</v>
      </c>
      <c r="N237" s="113" t="str">
        <f t="shared" si="870"/>
        <v>m</v>
      </c>
      <c r="O237" s="113">
        <f t="shared" si="871"/>
        <v>0</v>
      </c>
      <c r="P237" s="113">
        <f t="shared" si="872"/>
        <v>0</v>
      </c>
      <c r="Q237" s="113" t="str">
        <f t="shared" si="873"/>
        <v>p</v>
      </c>
      <c r="R237" s="113">
        <f t="shared" si="874"/>
        <v>0</v>
      </c>
      <c r="S237" s="113">
        <f t="shared" si="875"/>
        <v>0</v>
      </c>
      <c r="T237" s="113">
        <f t="shared" si="876"/>
        <v>0</v>
      </c>
      <c r="U237" s="113">
        <f t="shared" si="877"/>
        <v>0</v>
      </c>
      <c r="V237" s="113">
        <f t="shared" si="878"/>
        <v>0</v>
      </c>
      <c r="W237" s="113">
        <f t="shared" si="879"/>
        <v>0</v>
      </c>
      <c r="X237" s="113">
        <f t="shared" si="880"/>
        <v>0</v>
      </c>
      <c r="AA237" s="113">
        <v>15</v>
      </c>
      <c r="AB237" s="112">
        <f t="shared" ca="1" si="881"/>
        <v>44197</v>
      </c>
      <c r="AC237" s="112">
        <f t="shared" ca="1" si="881"/>
        <v>44561</v>
      </c>
      <c r="AF237" s="114">
        <f t="shared" ca="1" si="857"/>
        <v>18820.88</v>
      </c>
      <c r="AG237" s="114">
        <f t="shared" ca="1" si="882"/>
        <v>0</v>
      </c>
      <c r="AH237" s="114">
        <f t="shared" ca="1" si="883"/>
        <v>0</v>
      </c>
      <c r="AI237" s="114">
        <f t="shared" ca="1" si="884"/>
        <v>6384.11</v>
      </c>
      <c r="AJ237" s="114">
        <f t="shared" ca="1" si="885"/>
        <v>0</v>
      </c>
      <c r="AK237" s="114">
        <f t="shared" ca="1" si="886"/>
        <v>2037.57</v>
      </c>
      <c r="AN237">
        <f t="shared" si="827"/>
        <v>237</v>
      </c>
      <c r="AQ237" s="114">
        <f t="shared" ca="1" si="711"/>
        <v>2577.6</v>
      </c>
      <c r="AW237">
        <v>237</v>
      </c>
    </row>
    <row r="238" spans="1:49" x14ac:dyDescent="0.25">
      <c r="A238" s="113">
        <f>A237+2</f>
        <v>1006</v>
      </c>
      <c r="B238" s="113" t="str">
        <f>B237</f>
        <v>a</v>
      </c>
      <c r="C238" s="113" t="str">
        <f t="shared" si="859"/>
        <v>b</v>
      </c>
      <c r="D238" s="113" t="str">
        <f t="shared" si="860"/>
        <v>c</v>
      </c>
      <c r="E238" s="113" t="str">
        <f t="shared" si="861"/>
        <v>d</v>
      </c>
      <c r="F238" s="113" t="str">
        <f t="shared" si="862"/>
        <v>e</v>
      </c>
      <c r="G238" s="113" t="str">
        <f t="shared" si="863"/>
        <v>f</v>
      </c>
      <c r="H238" s="113" t="str">
        <f t="shared" si="864"/>
        <v>g</v>
      </c>
      <c r="I238" s="113" t="str">
        <f t="shared" si="865"/>
        <v>h</v>
      </c>
      <c r="J238" s="113" t="str">
        <f t="shared" si="866"/>
        <v>i</v>
      </c>
      <c r="K238" s="113" t="str">
        <f t="shared" si="867"/>
        <v>j</v>
      </c>
      <c r="L238" s="113" t="str">
        <f t="shared" si="868"/>
        <v>k</v>
      </c>
      <c r="M238" s="113" t="str">
        <f t="shared" si="869"/>
        <v>l</v>
      </c>
      <c r="N238" s="113" t="str">
        <f t="shared" si="870"/>
        <v>m</v>
      </c>
      <c r="O238" s="113">
        <f t="shared" si="871"/>
        <v>0</v>
      </c>
      <c r="P238" s="113">
        <f t="shared" si="872"/>
        <v>0</v>
      </c>
      <c r="Q238" s="113" t="str">
        <f t="shared" si="873"/>
        <v>p</v>
      </c>
      <c r="R238" s="113">
        <f t="shared" si="874"/>
        <v>0</v>
      </c>
      <c r="S238" s="113">
        <f t="shared" si="875"/>
        <v>0</v>
      </c>
      <c r="T238" s="113">
        <f t="shared" si="876"/>
        <v>0</v>
      </c>
      <c r="U238" s="113">
        <f t="shared" si="877"/>
        <v>0</v>
      </c>
      <c r="V238" s="113">
        <f t="shared" si="878"/>
        <v>0</v>
      </c>
      <c r="W238" s="113">
        <f t="shared" si="879"/>
        <v>0</v>
      </c>
      <c r="X238" s="113">
        <f t="shared" si="880"/>
        <v>0</v>
      </c>
      <c r="AA238" s="113">
        <v>21</v>
      </c>
      <c r="AB238" s="112">
        <f t="shared" ca="1" si="881"/>
        <v>44197</v>
      </c>
      <c r="AC238" s="112">
        <f t="shared" ca="1" si="881"/>
        <v>44561</v>
      </c>
      <c r="AF238" s="114">
        <f t="shared" ca="1" si="857"/>
        <v>20787.48</v>
      </c>
      <c r="AG238" s="114">
        <f t="shared" ca="1" si="882"/>
        <v>0</v>
      </c>
      <c r="AH238" s="114">
        <f t="shared" ca="1" si="883"/>
        <v>0</v>
      </c>
      <c r="AI238" s="114">
        <f t="shared" ca="1" si="884"/>
        <v>6384.11</v>
      </c>
      <c r="AJ238" s="114">
        <f t="shared" ca="1" si="885"/>
        <v>0</v>
      </c>
      <c r="AK238" s="114">
        <f t="shared" ca="1" si="886"/>
        <v>2196.5700000000002</v>
      </c>
      <c r="AN238">
        <f t="shared" si="827"/>
        <v>238</v>
      </c>
      <c r="AQ238" s="114">
        <f t="shared" ca="1" si="711"/>
        <v>2577.6</v>
      </c>
      <c r="AW238">
        <v>238</v>
      </c>
    </row>
    <row r="239" spans="1:49" x14ac:dyDescent="0.25">
      <c r="A239" s="113">
        <f>A238+2</f>
        <v>1008</v>
      </c>
      <c r="B239" s="113" t="str">
        <f>B238</f>
        <v>a</v>
      </c>
      <c r="C239" s="113" t="str">
        <f t="shared" si="859"/>
        <v>b</v>
      </c>
      <c r="D239" s="113" t="str">
        <f t="shared" si="860"/>
        <v>c</v>
      </c>
      <c r="E239" s="113" t="str">
        <f t="shared" si="861"/>
        <v>d</v>
      </c>
      <c r="F239" s="113" t="str">
        <f t="shared" si="862"/>
        <v>e</v>
      </c>
      <c r="G239" s="113" t="str">
        <f t="shared" si="863"/>
        <v>f</v>
      </c>
      <c r="H239" s="113" t="str">
        <f t="shared" si="864"/>
        <v>g</v>
      </c>
      <c r="I239" s="113" t="str">
        <f t="shared" si="865"/>
        <v>h</v>
      </c>
      <c r="J239" s="113" t="str">
        <f t="shared" si="866"/>
        <v>i</v>
      </c>
      <c r="K239" s="113" t="str">
        <f t="shared" si="867"/>
        <v>j</v>
      </c>
      <c r="L239" s="113" t="str">
        <f t="shared" si="868"/>
        <v>k</v>
      </c>
      <c r="M239" s="113" t="str">
        <f t="shared" si="869"/>
        <v>l</v>
      </c>
      <c r="N239" s="113" t="str">
        <f t="shared" si="870"/>
        <v>m</v>
      </c>
      <c r="O239" s="113">
        <f t="shared" si="871"/>
        <v>0</v>
      </c>
      <c r="P239" s="113">
        <f t="shared" si="872"/>
        <v>0</v>
      </c>
      <c r="Q239" s="113" t="str">
        <f t="shared" si="873"/>
        <v>p</v>
      </c>
      <c r="R239" s="113">
        <f t="shared" si="874"/>
        <v>0</v>
      </c>
      <c r="S239" s="113">
        <f t="shared" si="875"/>
        <v>0</v>
      </c>
      <c r="T239" s="113">
        <f t="shared" si="876"/>
        <v>0</v>
      </c>
      <c r="U239" s="113">
        <f t="shared" si="877"/>
        <v>0</v>
      </c>
      <c r="V239" s="113">
        <f t="shared" si="878"/>
        <v>0</v>
      </c>
      <c r="W239" s="113">
        <f t="shared" si="879"/>
        <v>0</v>
      </c>
      <c r="X239" s="113">
        <f t="shared" si="880"/>
        <v>0</v>
      </c>
      <c r="AA239" s="113">
        <v>28</v>
      </c>
      <c r="AB239" s="112">
        <f t="shared" ca="1" si="881"/>
        <v>44197</v>
      </c>
      <c r="AC239" s="112">
        <f t="shared" ca="1" si="881"/>
        <v>44561</v>
      </c>
      <c r="AF239" s="114">
        <f t="shared" ca="1" si="857"/>
        <v>22717.71</v>
      </c>
      <c r="AG239" s="114">
        <f t="shared" ca="1" si="882"/>
        <v>0</v>
      </c>
      <c r="AH239" s="114">
        <f t="shared" ca="1" si="883"/>
        <v>0</v>
      </c>
      <c r="AI239" s="114">
        <f t="shared" ca="1" si="884"/>
        <v>6384.11</v>
      </c>
      <c r="AJ239" s="114">
        <f t="shared" ca="1" si="885"/>
        <v>0</v>
      </c>
      <c r="AK239" s="114">
        <f t="shared" ca="1" si="886"/>
        <v>2352.5100000000002</v>
      </c>
      <c r="AN239">
        <f t="shared" si="827"/>
        <v>239</v>
      </c>
      <c r="AQ239" s="114">
        <f t="shared" ca="1" si="711"/>
        <v>3278.4</v>
      </c>
      <c r="AW239">
        <v>239</v>
      </c>
    </row>
    <row r="240" spans="1:49" x14ac:dyDescent="0.25">
      <c r="A240" s="113">
        <f>A239+2</f>
        <v>1010</v>
      </c>
      <c r="B240" s="113" t="str">
        <f>B239</f>
        <v>a</v>
      </c>
      <c r="C240" s="113" t="str">
        <f t="shared" si="859"/>
        <v>b</v>
      </c>
      <c r="D240" s="113" t="str">
        <f t="shared" si="860"/>
        <v>c</v>
      </c>
      <c r="E240" s="113" t="str">
        <f t="shared" si="861"/>
        <v>d</v>
      </c>
      <c r="F240" s="113" t="str">
        <f t="shared" si="862"/>
        <v>e</v>
      </c>
      <c r="G240" s="113" t="str">
        <f t="shared" si="863"/>
        <v>f</v>
      </c>
      <c r="H240" s="113" t="str">
        <f t="shared" si="864"/>
        <v>g</v>
      </c>
      <c r="I240" s="113" t="str">
        <f t="shared" si="865"/>
        <v>h</v>
      </c>
      <c r="J240" s="113" t="str">
        <f t="shared" si="866"/>
        <v>i</v>
      </c>
      <c r="K240" s="113" t="str">
        <f t="shared" si="867"/>
        <v>j</v>
      </c>
      <c r="L240" s="113" t="str">
        <f t="shared" si="868"/>
        <v>k</v>
      </c>
      <c r="M240" s="113" t="str">
        <f t="shared" si="869"/>
        <v>l</v>
      </c>
      <c r="N240" s="113" t="str">
        <f t="shared" si="870"/>
        <v>m</v>
      </c>
      <c r="O240" s="113">
        <f t="shared" si="871"/>
        <v>0</v>
      </c>
      <c r="P240" s="113">
        <f t="shared" si="872"/>
        <v>0</v>
      </c>
      <c r="Q240" s="113" t="str">
        <f t="shared" si="873"/>
        <v>p</v>
      </c>
      <c r="R240" s="113">
        <f t="shared" si="874"/>
        <v>0</v>
      </c>
      <c r="S240" s="113">
        <f t="shared" si="875"/>
        <v>0</v>
      </c>
      <c r="T240" s="113">
        <f t="shared" si="876"/>
        <v>0</v>
      </c>
      <c r="U240" s="113">
        <f t="shared" si="877"/>
        <v>0</v>
      </c>
      <c r="V240" s="113">
        <f t="shared" si="878"/>
        <v>0</v>
      </c>
      <c r="W240" s="113">
        <f t="shared" si="879"/>
        <v>0</v>
      </c>
      <c r="X240" s="113">
        <f t="shared" si="880"/>
        <v>0</v>
      </c>
      <c r="AA240" s="113">
        <v>35</v>
      </c>
      <c r="AB240" s="112">
        <f t="shared" ca="1" si="881"/>
        <v>44197</v>
      </c>
      <c r="AC240" s="112">
        <f t="shared" ca="1" si="881"/>
        <v>44561</v>
      </c>
      <c r="AF240" s="114">
        <f t="shared" ca="1" si="857"/>
        <v>24152.809999999998</v>
      </c>
      <c r="AG240" s="114">
        <f t="shared" ca="1" si="882"/>
        <v>0</v>
      </c>
      <c r="AH240" s="114">
        <f t="shared" ca="1" si="883"/>
        <v>0</v>
      </c>
      <c r="AI240" s="114">
        <f t="shared" ca="1" si="884"/>
        <v>6384.11</v>
      </c>
      <c r="AJ240" s="114">
        <f t="shared" ca="1" si="885"/>
        <v>0</v>
      </c>
      <c r="AK240" s="114">
        <f t="shared" ca="1" si="886"/>
        <v>2468.9</v>
      </c>
      <c r="AN240">
        <f t="shared" si="827"/>
        <v>240</v>
      </c>
      <c r="AQ240" s="114">
        <f t="shared" ca="1" si="711"/>
        <v>3278.4</v>
      </c>
      <c r="AW240">
        <v>240</v>
      </c>
    </row>
    <row r="241" spans="1:49" x14ac:dyDescent="0.25">
      <c r="A241" s="113">
        <f>A234+20</f>
        <v>1020</v>
      </c>
      <c r="B241" s="113" t="str">
        <f>B234</f>
        <v>a</v>
      </c>
      <c r="C241" s="113" t="str">
        <f t="shared" ref="C241:X241" si="887">C234</f>
        <v>b</v>
      </c>
      <c r="D241" s="113" t="str">
        <f t="shared" si="887"/>
        <v>c</v>
      </c>
      <c r="E241" s="113" t="str">
        <f t="shared" si="887"/>
        <v>d</v>
      </c>
      <c r="F241" s="113" t="str">
        <f t="shared" si="887"/>
        <v>e</v>
      </c>
      <c r="G241" s="113" t="str">
        <f t="shared" si="887"/>
        <v>f</v>
      </c>
      <c r="H241" s="113" t="str">
        <f t="shared" si="887"/>
        <v>g</v>
      </c>
      <c r="I241" s="113" t="str">
        <f t="shared" si="887"/>
        <v>h</v>
      </c>
      <c r="J241" s="113" t="str">
        <f t="shared" si="887"/>
        <v>i</v>
      </c>
      <c r="K241" s="113" t="str">
        <f t="shared" si="887"/>
        <v>j</v>
      </c>
      <c r="L241" s="113" t="str">
        <f t="shared" si="887"/>
        <v>k</v>
      </c>
      <c r="M241" s="113" t="str">
        <f t="shared" si="887"/>
        <v>l</v>
      </c>
      <c r="N241" s="113" t="str">
        <f t="shared" si="887"/>
        <v>m</v>
      </c>
      <c r="O241" s="113">
        <f t="shared" si="887"/>
        <v>0</v>
      </c>
      <c r="P241" s="113">
        <f t="shared" si="887"/>
        <v>0</v>
      </c>
      <c r="Q241" s="113" t="str">
        <f t="shared" si="887"/>
        <v>p</v>
      </c>
      <c r="R241" s="113">
        <f t="shared" si="887"/>
        <v>0</v>
      </c>
      <c r="S241" s="113">
        <f t="shared" si="887"/>
        <v>0</v>
      </c>
      <c r="T241" s="113">
        <f t="shared" si="887"/>
        <v>0</v>
      </c>
      <c r="U241" s="113">
        <f t="shared" si="887"/>
        <v>0</v>
      </c>
      <c r="V241" s="113">
        <f t="shared" si="887"/>
        <v>0</v>
      </c>
      <c r="W241" s="113">
        <f t="shared" si="887"/>
        <v>0</v>
      </c>
      <c r="X241" s="113">
        <f t="shared" si="887"/>
        <v>0</v>
      </c>
      <c r="AA241" s="113">
        <v>0</v>
      </c>
      <c r="AB241" s="112">
        <f ca="1">INDIRECT(CONCATENATE($AB$10,CONCATENATE(B241,$A241)))</f>
        <v>44562</v>
      </c>
      <c r="AC241" s="112">
        <f ca="1">INDIRECT(CONCATENATE($AB$10,CONCATENATE(C241,$A241)))</f>
        <v>44652</v>
      </c>
      <c r="AF241" s="114">
        <f t="shared" ca="1" si="857"/>
        <v>14513.09</v>
      </c>
      <c r="AG241" s="114">
        <f ca="1">INDIRECT(CONCATENATE($AB$10,CONCATENATE(G241,$A241)))</f>
        <v>0</v>
      </c>
      <c r="AH241" s="114">
        <f ca="1">INDIRECT(CONCATENATE($AB$10,CONCATENATE(H241,$A241)))</f>
        <v>0</v>
      </c>
      <c r="AI241" s="114">
        <f ca="1">INDIRECT(CONCATENATE($AB$10,CONCATENATE(I241,$A241)))</f>
        <v>6384.11</v>
      </c>
      <c r="AJ241" s="114">
        <f ca="1">INDIRECT(CONCATENATE($AB$10,CONCATENATE(J241,$A241)))</f>
        <v>0</v>
      </c>
      <c r="AK241" s="114">
        <f ca="1">INDIRECT(CONCATENATE($AB$10,CONCATENATE(K241,$A241)))</f>
        <v>1690.19</v>
      </c>
      <c r="AN241">
        <f t="shared" si="827"/>
        <v>241</v>
      </c>
      <c r="AQ241" s="114">
        <f t="shared" ca="1" si="711"/>
        <v>2214</v>
      </c>
      <c r="AW241">
        <v>241</v>
      </c>
    </row>
    <row r="242" spans="1:49" x14ac:dyDescent="0.25">
      <c r="A242" s="113">
        <f>A241</f>
        <v>1020</v>
      </c>
      <c r="B242" s="113" t="str">
        <f>B241</f>
        <v>a</v>
      </c>
      <c r="C242" s="113" t="str">
        <f t="shared" ref="C242:C261" si="888">C241</f>
        <v>b</v>
      </c>
      <c r="D242" s="113" t="str">
        <f t="shared" ref="D242:D261" si="889">D241</f>
        <v>c</v>
      </c>
      <c r="E242" s="113" t="str">
        <f t="shared" ref="E242:E261" si="890">E241</f>
        <v>d</v>
      </c>
      <c r="F242" s="113" t="str">
        <f t="shared" ref="F242:F261" si="891">F241</f>
        <v>e</v>
      </c>
      <c r="G242" s="113" t="str">
        <f t="shared" ref="G242:G261" si="892">G241</f>
        <v>f</v>
      </c>
      <c r="H242" s="113" t="str">
        <f t="shared" ref="H242:H261" si="893">H241</f>
        <v>g</v>
      </c>
      <c r="I242" s="113" t="str">
        <f t="shared" ref="I242:I261" si="894">I241</f>
        <v>h</v>
      </c>
      <c r="J242" s="113" t="str">
        <f t="shared" ref="J242:J261" si="895">J241</f>
        <v>i</v>
      </c>
      <c r="K242" s="113" t="str">
        <f t="shared" ref="K242:K261" si="896">K241</f>
        <v>j</v>
      </c>
      <c r="L242" s="113" t="str">
        <f t="shared" ref="L242:L261" si="897">L241</f>
        <v>k</v>
      </c>
      <c r="M242" s="113" t="str">
        <f t="shared" ref="M242:M261" si="898">M241</f>
        <v>l</v>
      </c>
      <c r="N242" s="113" t="str">
        <f t="shared" ref="N242:N261" si="899">N241</f>
        <v>m</v>
      </c>
      <c r="O242" s="113">
        <f t="shared" ref="O242:O261" si="900">O241</f>
        <v>0</v>
      </c>
      <c r="P242" s="113">
        <f t="shared" ref="P242:P261" si="901">P241</f>
        <v>0</v>
      </c>
      <c r="Q242" s="113" t="str">
        <f t="shared" ref="Q242:Q261" si="902">Q241</f>
        <v>p</v>
      </c>
      <c r="R242" s="113">
        <f t="shared" ref="R242:R261" si="903">R241</f>
        <v>0</v>
      </c>
      <c r="S242" s="113">
        <f t="shared" ref="S242:S261" si="904">S241</f>
        <v>0</v>
      </c>
      <c r="T242" s="113">
        <f t="shared" ref="T242:T261" si="905">T241</f>
        <v>0</v>
      </c>
      <c r="U242" s="113">
        <f t="shared" ref="U242:U261" si="906">U241</f>
        <v>0</v>
      </c>
      <c r="V242" s="113">
        <f t="shared" ref="V242:V261" si="907">V241</f>
        <v>0</v>
      </c>
      <c r="W242" s="113">
        <f t="shared" ref="W242:W261" si="908">W241</f>
        <v>0</v>
      </c>
      <c r="X242" s="113">
        <f t="shared" ref="X242:X261" si="909">X241</f>
        <v>0</v>
      </c>
      <c r="AA242" s="113">
        <v>3</v>
      </c>
      <c r="AB242" s="112">
        <f t="shared" ref="AB242:AC247" ca="1" si="910">AB241</f>
        <v>44562</v>
      </c>
      <c r="AC242" s="112">
        <f t="shared" ca="1" si="910"/>
        <v>44652</v>
      </c>
      <c r="AE242" s="114">
        <f ca="1">AE235</f>
        <v>522.04999999999995</v>
      </c>
      <c r="AF242" s="114">
        <f t="shared" ca="1" si="857"/>
        <v>14513.09</v>
      </c>
      <c r="AG242" s="114">
        <f t="shared" ref="AG242:AG247" ca="1" si="911">INDIRECT(CONCATENATE($AB$10,CONCATENATE(G242,$A242)))</f>
        <v>0</v>
      </c>
      <c r="AH242" s="114">
        <f t="shared" ref="AH242:AH247" ca="1" si="912">INDIRECT(CONCATENATE($AB$10,CONCATENATE(H242,$A242)))</f>
        <v>0</v>
      </c>
      <c r="AI242" s="114">
        <f t="shared" ref="AI242:AI247" ca="1" si="913">INDIRECT(CONCATENATE($AB$10,CONCATENATE(I242,$A242)))</f>
        <v>6384.11</v>
      </c>
      <c r="AJ242" s="114">
        <f t="shared" ref="AJ242:AJ247" ca="1" si="914">INDIRECT(CONCATENATE($AB$10,CONCATENATE(J242,$A242)))</f>
        <v>0</v>
      </c>
      <c r="AK242" s="114">
        <f t="shared" ref="AK242:AK247" ca="1" si="915">INDIRECT(CONCATENATE($AB$10,CONCATENATE(K242,$A242)))</f>
        <v>1690.19</v>
      </c>
      <c r="AN242">
        <f t="shared" si="827"/>
        <v>242</v>
      </c>
      <c r="AQ242" s="114">
        <f t="shared" ca="1" si="711"/>
        <v>2214</v>
      </c>
      <c r="AW242">
        <v>242</v>
      </c>
    </row>
    <row r="243" spans="1:49" x14ac:dyDescent="0.25">
      <c r="A243" s="113">
        <f>A242+2</f>
        <v>1022</v>
      </c>
      <c r="B243" s="113" t="str">
        <f>B242</f>
        <v>a</v>
      </c>
      <c r="C243" s="113" t="str">
        <f t="shared" si="888"/>
        <v>b</v>
      </c>
      <c r="D243" s="113" t="str">
        <f t="shared" si="889"/>
        <v>c</v>
      </c>
      <c r="E243" s="113" t="str">
        <f t="shared" si="890"/>
        <v>d</v>
      </c>
      <c r="F243" s="113" t="str">
        <f t="shared" si="891"/>
        <v>e</v>
      </c>
      <c r="G243" s="113" t="str">
        <f t="shared" si="892"/>
        <v>f</v>
      </c>
      <c r="H243" s="113" t="str">
        <f t="shared" si="893"/>
        <v>g</v>
      </c>
      <c r="I243" s="113" t="str">
        <f t="shared" si="894"/>
        <v>h</v>
      </c>
      <c r="J243" s="113" t="str">
        <f t="shared" si="895"/>
        <v>i</v>
      </c>
      <c r="K243" s="113" t="str">
        <f t="shared" si="896"/>
        <v>j</v>
      </c>
      <c r="L243" s="113" t="str">
        <f t="shared" si="897"/>
        <v>k</v>
      </c>
      <c r="M243" s="113" t="str">
        <f t="shared" si="898"/>
        <v>l</v>
      </c>
      <c r="N243" s="113" t="str">
        <f t="shared" si="899"/>
        <v>m</v>
      </c>
      <c r="O243" s="113">
        <f t="shared" si="900"/>
        <v>0</v>
      </c>
      <c r="P243" s="113">
        <f t="shared" si="901"/>
        <v>0</v>
      </c>
      <c r="Q243" s="113" t="str">
        <f t="shared" si="902"/>
        <v>p</v>
      </c>
      <c r="R243" s="113">
        <f t="shared" si="903"/>
        <v>0</v>
      </c>
      <c r="S243" s="113">
        <f t="shared" si="904"/>
        <v>0</v>
      </c>
      <c r="T243" s="113">
        <f t="shared" si="905"/>
        <v>0</v>
      </c>
      <c r="U243" s="113">
        <f t="shared" si="906"/>
        <v>0</v>
      </c>
      <c r="V243" s="113">
        <f t="shared" si="907"/>
        <v>0</v>
      </c>
      <c r="W243" s="113">
        <f t="shared" si="908"/>
        <v>0</v>
      </c>
      <c r="X243" s="113">
        <f t="shared" si="909"/>
        <v>0</v>
      </c>
      <c r="AA243" s="113">
        <v>9</v>
      </c>
      <c r="AB243" s="112">
        <f t="shared" ca="1" si="910"/>
        <v>44562</v>
      </c>
      <c r="AC243" s="112">
        <f t="shared" ca="1" si="910"/>
        <v>44652</v>
      </c>
      <c r="AF243" s="114">
        <f t="shared" ca="1" si="857"/>
        <v>16798.88</v>
      </c>
      <c r="AG243" s="114">
        <f t="shared" ca="1" si="911"/>
        <v>0</v>
      </c>
      <c r="AH243" s="114">
        <f t="shared" ca="1" si="912"/>
        <v>0</v>
      </c>
      <c r="AI243" s="114">
        <f t="shared" ca="1" si="913"/>
        <v>6384.11</v>
      </c>
      <c r="AJ243" s="114">
        <f t="shared" ca="1" si="914"/>
        <v>0</v>
      </c>
      <c r="AK243" s="114">
        <f t="shared" ca="1" si="915"/>
        <v>1874.95</v>
      </c>
      <c r="AN243">
        <f t="shared" si="827"/>
        <v>243</v>
      </c>
      <c r="AQ243" s="114">
        <f t="shared" ca="1" si="711"/>
        <v>2214</v>
      </c>
      <c r="AW243">
        <v>243</v>
      </c>
    </row>
    <row r="244" spans="1:49" x14ac:dyDescent="0.25">
      <c r="A244" s="113">
        <f>A243+2</f>
        <v>1024</v>
      </c>
      <c r="B244" s="113" t="str">
        <f>B243</f>
        <v>a</v>
      </c>
      <c r="C244" s="113" t="str">
        <f t="shared" si="888"/>
        <v>b</v>
      </c>
      <c r="D244" s="113" t="str">
        <f t="shared" si="889"/>
        <v>c</v>
      </c>
      <c r="E244" s="113" t="str">
        <f t="shared" si="890"/>
        <v>d</v>
      </c>
      <c r="F244" s="113" t="str">
        <f t="shared" si="891"/>
        <v>e</v>
      </c>
      <c r="G244" s="113" t="str">
        <f t="shared" si="892"/>
        <v>f</v>
      </c>
      <c r="H244" s="113" t="str">
        <f t="shared" si="893"/>
        <v>g</v>
      </c>
      <c r="I244" s="113" t="str">
        <f t="shared" si="894"/>
        <v>h</v>
      </c>
      <c r="J244" s="113" t="str">
        <f t="shared" si="895"/>
        <v>i</v>
      </c>
      <c r="K244" s="113" t="str">
        <f t="shared" si="896"/>
        <v>j</v>
      </c>
      <c r="L244" s="113" t="str">
        <f t="shared" si="897"/>
        <v>k</v>
      </c>
      <c r="M244" s="113" t="str">
        <f t="shared" si="898"/>
        <v>l</v>
      </c>
      <c r="N244" s="113" t="str">
        <f t="shared" si="899"/>
        <v>m</v>
      </c>
      <c r="O244" s="113">
        <f t="shared" si="900"/>
        <v>0</v>
      </c>
      <c r="P244" s="113">
        <f t="shared" si="901"/>
        <v>0</v>
      </c>
      <c r="Q244" s="113" t="str">
        <f t="shared" si="902"/>
        <v>p</v>
      </c>
      <c r="R244" s="113">
        <f t="shared" si="903"/>
        <v>0</v>
      </c>
      <c r="S244" s="113">
        <f t="shared" si="904"/>
        <v>0</v>
      </c>
      <c r="T244" s="113">
        <f t="shared" si="905"/>
        <v>0</v>
      </c>
      <c r="U244" s="113">
        <f t="shared" si="906"/>
        <v>0</v>
      </c>
      <c r="V244" s="113">
        <f t="shared" si="907"/>
        <v>0</v>
      </c>
      <c r="W244" s="113">
        <f t="shared" si="908"/>
        <v>0</v>
      </c>
      <c r="X244" s="113">
        <f t="shared" si="909"/>
        <v>0</v>
      </c>
      <c r="AA244" s="113">
        <v>15</v>
      </c>
      <c r="AB244" s="112">
        <f t="shared" ca="1" si="910"/>
        <v>44562</v>
      </c>
      <c r="AC244" s="112">
        <f t="shared" ca="1" si="910"/>
        <v>44652</v>
      </c>
      <c r="AF244" s="114">
        <f t="shared" ca="1" si="857"/>
        <v>18820.88</v>
      </c>
      <c r="AG244" s="114">
        <f t="shared" ca="1" si="911"/>
        <v>0</v>
      </c>
      <c r="AH244" s="114">
        <f t="shared" ca="1" si="912"/>
        <v>0</v>
      </c>
      <c r="AI244" s="114">
        <f t="shared" ca="1" si="913"/>
        <v>6384.11</v>
      </c>
      <c r="AJ244" s="114">
        <f t="shared" ca="1" si="914"/>
        <v>0</v>
      </c>
      <c r="AK244" s="114">
        <f t="shared" ca="1" si="915"/>
        <v>2037.57</v>
      </c>
      <c r="AN244">
        <f t="shared" si="827"/>
        <v>244</v>
      </c>
      <c r="AQ244" s="114">
        <f t="shared" ca="1" si="711"/>
        <v>2721.6</v>
      </c>
      <c r="AW244">
        <v>244</v>
      </c>
    </row>
    <row r="245" spans="1:49" x14ac:dyDescent="0.25">
      <c r="A245" s="113">
        <f>A244+2</f>
        <v>1026</v>
      </c>
      <c r="B245" s="113" t="str">
        <f>B244</f>
        <v>a</v>
      </c>
      <c r="C245" s="113" t="str">
        <f t="shared" si="888"/>
        <v>b</v>
      </c>
      <c r="D245" s="113" t="str">
        <f t="shared" si="889"/>
        <v>c</v>
      </c>
      <c r="E245" s="113" t="str">
        <f t="shared" si="890"/>
        <v>d</v>
      </c>
      <c r="F245" s="113" t="str">
        <f t="shared" si="891"/>
        <v>e</v>
      </c>
      <c r="G245" s="113" t="str">
        <f t="shared" si="892"/>
        <v>f</v>
      </c>
      <c r="H245" s="113" t="str">
        <f t="shared" si="893"/>
        <v>g</v>
      </c>
      <c r="I245" s="113" t="str">
        <f t="shared" si="894"/>
        <v>h</v>
      </c>
      <c r="J245" s="113" t="str">
        <f t="shared" si="895"/>
        <v>i</v>
      </c>
      <c r="K245" s="113" t="str">
        <f t="shared" si="896"/>
        <v>j</v>
      </c>
      <c r="L245" s="113" t="str">
        <f t="shared" si="897"/>
        <v>k</v>
      </c>
      <c r="M245" s="113" t="str">
        <f t="shared" si="898"/>
        <v>l</v>
      </c>
      <c r="N245" s="113" t="str">
        <f t="shared" si="899"/>
        <v>m</v>
      </c>
      <c r="O245" s="113">
        <f t="shared" si="900"/>
        <v>0</v>
      </c>
      <c r="P245" s="113">
        <f t="shared" si="901"/>
        <v>0</v>
      </c>
      <c r="Q245" s="113" t="str">
        <f t="shared" si="902"/>
        <v>p</v>
      </c>
      <c r="R245" s="113">
        <f t="shared" si="903"/>
        <v>0</v>
      </c>
      <c r="S245" s="113">
        <f t="shared" si="904"/>
        <v>0</v>
      </c>
      <c r="T245" s="113">
        <f t="shared" si="905"/>
        <v>0</v>
      </c>
      <c r="U245" s="113">
        <f t="shared" si="906"/>
        <v>0</v>
      </c>
      <c r="V245" s="113">
        <f t="shared" si="907"/>
        <v>0</v>
      </c>
      <c r="W245" s="113">
        <f t="shared" si="908"/>
        <v>0</v>
      </c>
      <c r="X245" s="113">
        <f t="shared" si="909"/>
        <v>0</v>
      </c>
      <c r="AA245" s="113">
        <v>21</v>
      </c>
      <c r="AB245" s="112">
        <f t="shared" ca="1" si="910"/>
        <v>44562</v>
      </c>
      <c r="AC245" s="112">
        <f t="shared" ca="1" si="910"/>
        <v>44652</v>
      </c>
      <c r="AF245" s="114">
        <f t="shared" ca="1" si="857"/>
        <v>20787.48</v>
      </c>
      <c r="AG245" s="114">
        <f t="shared" ca="1" si="911"/>
        <v>0</v>
      </c>
      <c r="AH245" s="114">
        <f t="shared" ca="1" si="912"/>
        <v>0</v>
      </c>
      <c r="AI245" s="114">
        <f t="shared" ca="1" si="913"/>
        <v>6384.11</v>
      </c>
      <c r="AJ245" s="114">
        <f t="shared" ca="1" si="914"/>
        <v>0</v>
      </c>
      <c r="AK245" s="114">
        <f t="shared" ca="1" si="915"/>
        <v>2196.5700000000002</v>
      </c>
      <c r="AN245">
        <f t="shared" si="827"/>
        <v>245</v>
      </c>
      <c r="AQ245" s="114">
        <f t="shared" ca="1" si="711"/>
        <v>2721.6</v>
      </c>
      <c r="AW245">
        <v>245</v>
      </c>
    </row>
    <row r="246" spans="1:49" x14ac:dyDescent="0.25">
      <c r="A246" s="113">
        <f>A245+2</f>
        <v>1028</v>
      </c>
      <c r="B246" s="113" t="str">
        <f>B245</f>
        <v>a</v>
      </c>
      <c r="C246" s="113" t="str">
        <f t="shared" si="888"/>
        <v>b</v>
      </c>
      <c r="D246" s="113" t="str">
        <f t="shared" si="889"/>
        <v>c</v>
      </c>
      <c r="E246" s="113" t="str">
        <f t="shared" si="890"/>
        <v>d</v>
      </c>
      <c r="F246" s="113" t="str">
        <f t="shared" si="891"/>
        <v>e</v>
      </c>
      <c r="G246" s="113" t="str">
        <f t="shared" si="892"/>
        <v>f</v>
      </c>
      <c r="H246" s="113" t="str">
        <f t="shared" si="893"/>
        <v>g</v>
      </c>
      <c r="I246" s="113" t="str">
        <f t="shared" si="894"/>
        <v>h</v>
      </c>
      <c r="J246" s="113" t="str">
        <f t="shared" si="895"/>
        <v>i</v>
      </c>
      <c r="K246" s="113" t="str">
        <f t="shared" si="896"/>
        <v>j</v>
      </c>
      <c r="L246" s="113" t="str">
        <f t="shared" si="897"/>
        <v>k</v>
      </c>
      <c r="M246" s="113" t="str">
        <f t="shared" si="898"/>
        <v>l</v>
      </c>
      <c r="N246" s="113" t="str">
        <f t="shared" si="899"/>
        <v>m</v>
      </c>
      <c r="O246" s="113">
        <f t="shared" si="900"/>
        <v>0</v>
      </c>
      <c r="P246" s="113">
        <f t="shared" si="901"/>
        <v>0</v>
      </c>
      <c r="Q246" s="113" t="str">
        <f t="shared" si="902"/>
        <v>p</v>
      </c>
      <c r="R246" s="113">
        <f t="shared" si="903"/>
        <v>0</v>
      </c>
      <c r="S246" s="113">
        <f t="shared" si="904"/>
        <v>0</v>
      </c>
      <c r="T246" s="113">
        <f t="shared" si="905"/>
        <v>0</v>
      </c>
      <c r="U246" s="113">
        <f t="shared" si="906"/>
        <v>0</v>
      </c>
      <c r="V246" s="113">
        <f t="shared" si="907"/>
        <v>0</v>
      </c>
      <c r="W246" s="113">
        <f t="shared" si="908"/>
        <v>0</v>
      </c>
      <c r="X246" s="113">
        <f t="shared" si="909"/>
        <v>0</v>
      </c>
      <c r="AA246" s="113">
        <v>28</v>
      </c>
      <c r="AB246" s="112">
        <f t="shared" ca="1" si="910"/>
        <v>44562</v>
      </c>
      <c r="AC246" s="112">
        <f t="shared" ca="1" si="910"/>
        <v>44652</v>
      </c>
      <c r="AF246" s="114">
        <f t="shared" ca="1" si="857"/>
        <v>22717.71</v>
      </c>
      <c r="AG246" s="114">
        <f t="shared" ca="1" si="911"/>
        <v>0</v>
      </c>
      <c r="AH246" s="114">
        <f t="shared" ca="1" si="912"/>
        <v>0</v>
      </c>
      <c r="AI246" s="114">
        <f t="shared" ca="1" si="913"/>
        <v>6384.11</v>
      </c>
      <c r="AJ246" s="114">
        <f t="shared" ca="1" si="914"/>
        <v>0</v>
      </c>
      <c r="AK246" s="114">
        <f t="shared" ca="1" si="915"/>
        <v>2352.5100000000002</v>
      </c>
      <c r="AN246">
        <f t="shared" si="827"/>
        <v>246</v>
      </c>
      <c r="AQ246" s="114">
        <f t="shared" ca="1" si="711"/>
        <v>3458.4</v>
      </c>
      <c r="AW246">
        <v>246</v>
      </c>
    </row>
    <row r="247" spans="1:49" x14ac:dyDescent="0.25">
      <c r="A247" s="113">
        <f>A246+2</f>
        <v>1030</v>
      </c>
      <c r="B247" s="113" t="str">
        <f>B246</f>
        <v>a</v>
      </c>
      <c r="C247" s="113" t="str">
        <f t="shared" si="888"/>
        <v>b</v>
      </c>
      <c r="D247" s="113" t="str">
        <f t="shared" si="889"/>
        <v>c</v>
      </c>
      <c r="E247" s="113" t="str">
        <f t="shared" si="890"/>
        <v>d</v>
      </c>
      <c r="F247" s="113" t="str">
        <f t="shared" si="891"/>
        <v>e</v>
      </c>
      <c r="G247" s="113" t="str">
        <f t="shared" si="892"/>
        <v>f</v>
      </c>
      <c r="H247" s="113" t="str">
        <f t="shared" si="893"/>
        <v>g</v>
      </c>
      <c r="I247" s="113" t="str">
        <f t="shared" si="894"/>
        <v>h</v>
      </c>
      <c r="J247" s="113" t="str">
        <f t="shared" si="895"/>
        <v>i</v>
      </c>
      <c r="K247" s="113" t="str">
        <f t="shared" si="896"/>
        <v>j</v>
      </c>
      <c r="L247" s="113" t="str">
        <f t="shared" si="897"/>
        <v>k</v>
      </c>
      <c r="M247" s="113" t="str">
        <f t="shared" si="898"/>
        <v>l</v>
      </c>
      <c r="N247" s="113" t="str">
        <f t="shared" si="899"/>
        <v>m</v>
      </c>
      <c r="O247" s="113">
        <f t="shared" si="900"/>
        <v>0</v>
      </c>
      <c r="P247" s="113">
        <f t="shared" si="901"/>
        <v>0</v>
      </c>
      <c r="Q247" s="113" t="str">
        <f t="shared" si="902"/>
        <v>p</v>
      </c>
      <c r="R247" s="113">
        <f t="shared" si="903"/>
        <v>0</v>
      </c>
      <c r="S247" s="113">
        <f t="shared" si="904"/>
        <v>0</v>
      </c>
      <c r="T247" s="113">
        <f t="shared" si="905"/>
        <v>0</v>
      </c>
      <c r="U247" s="113">
        <f t="shared" si="906"/>
        <v>0</v>
      </c>
      <c r="V247" s="113">
        <f t="shared" si="907"/>
        <v>0</v>
      </c>
      <c r="W247" s="113">
        <f t="shared" si="908"/>
        <v>0</v>
      </c>
      <c r="X247" s="113">
        <f t="shared" si="909"/>
        <v>0</v>
      </c>
      <c r="AA247" s="113">
        <v>35</v>
      </c>
      <c r="AB247" s="112">
        <f t="shared" ca="1" si="910"/>
        <v>44562</v>
      </c>
      <c r="AC247" s="112">
        <f t="shared" ca="1" si="910"/>
        <v>44652</v>
      </c>
      <c r="AF247" s="114">
        <f t="shared" ca="1" si="857"/>
        <v>24152.809999999998</v>
      </c>
      <c r="AG247" s="114">
        <f t="shared" ca="1" si="911"/>
        <v>0</v>
      </c>
      <c r="AH247" s="114">
        <f t="shared" ca="1" si="912"/>
        <v>0</v>
      </c>
      <c r="AI247" s="114">
        <f t="shared" ca="1" si="913"/>
        <v>6384.11</v>
      </c>
      <c r="AJ247" s="114">
        <f t="shared" ca="1" si="914"/>
        <v>0</v>
      </c>
      <c r="AK247" s="114">
        <f t="shared" ca="1" si="915"/>
        <v>2468.9</v>
      </c>
      <c r="AN247">
        <f t="shared" si="827"/>
        <v>247</v>
      </c>
      <c r="AQ247" s="114">
        <f t="shared" ca="1" si="711"/>
        <v>3458.4</v>
      </c>
      <c r="AW247">
        <v>247</v>
      </c>
    </row>
    <row r="248" spans="1:49" x14ac:dyDescent="0.25">
      <c r="A248" s="113">
        <f>A241+20</f>
        <v>1040</v>
      </c>
      <c r="B248" s="113" t="str">
        <f>B241</f>
        <v>a</v>
      </c>
      <c r="C248" s="113" t="str">
        <f t="shared" ref="C248:X248" si="916">C241</f>
        <v>b</v>
      </c>
      <c r="D248" s="113" t="str">
        <f t="shared" si="916"/>
        <v>c</v>
      </c>
      <c r="E248" s="113" t="str">
        <f t="shared" si="916"/>
        <v>d</v>
      </c>
      <c r="F248" s="113" t="str">
        <f t="shared" si="916"/>
        <v>e</v>
      </c>
      <c r="G248" s="113" t="str">
        <f t="shared" si="916"/>
        <v>f</v>
      </c>
      <c r="H248" s="113" t="str">
        <f t="shared" si="916"/>
        <v>g</v>
      </c>
      <c r="I248" s="113" t="str">
        <f t="shared" si="916"/>
        <v>h</v>
      </c>
      <c r="J248" s="113" t="str">
        <f t="shared" si="916"/>
        <v>i</v>
      </c>
      <c r="K248" s="113" t="str">
        <f t="shared" si="916"/>
        <v>j</v>
      </c>
      <c r="L248" s="113" t="str">
        <f t="shared" si="916"/>
        <v>k</v>
      </c>
      <c r="M248" s="113" t="str">
        <f t="shared" si="916"/>
        <v>l</v>
      </c>
      <c r="N248" s="113" t="str">
        <f t="shared" si="916"/>
        <v>m</v>
      </c>
      <c r="O248" s="113">
        <f t="shared" si="916"/>
        <v>0</v>
      </c>
      <c r="P248" s="113">
        <f t="shared" si="916"/>
        <v>0</v>
      </c>
      <c r="Q248" s="113" t="str">
        <f t="shared" si="916"/>
        <v>p</v>
      </c>
      <c r="R248" s="113">
        <f t="shared" si="916"/>
        <v>0</v>
      </c>
      <c r="S248" s="113">
        <f t="shared" si="916"/>
        <v>0</v>
      </c>
      <c r="T248" s="113">
        <f t="shared" si="916"/>
        <v>0</v>
      </c>
      <c r="U248" s="113">
        <f t="shared" si="916"/>
        <v>0</v>
      </c>
      <c r="V248" s="113">
        <f t="shared" si="916"/>
        <v>0</v>
      </c>
      <c r="W248" s="113">
        <f t="shared" si="916"/>
        <v>0</v>
      </c>
      <c r="X248" s="113">
        <f t="shared" si="916"/>
        <v>0</v>
      </c>
      <c r="AA248" s="113">
        <v>0</v>
      </c>
      <c r="AB248" s="112">
        <f ca="1">INDIRECT(CONCATENATE($AB$10,CONCATENATE(B248,$A248)))</f>
        <v>44652</v>
      </c>
      <c r="AC248" s="112">
        <f ca="1">INDIRECT(CONCATENATE($AB$10,CONCATENATE(C248,$A248)))</f>
        <v>44742</v>
      </c>
      <c r="AF248" s="114">
        <f t="shared" ref="AF248:AF261" ca="1" si="917">INDIRECT(CONCATENATE($AB$10,CONCATENATE(F248,$A248)))</f>
        <v>14513.09</v>
      </c>
      <c r="AG248" s="114">
        <f ca="1">INDIRECT(CONCATENATE($AB$10,CONCATENATE(G248,$A248)))</f>
        <v>0</v>
      </c>
      <c r="AH248" s="114">
        <f ca="1">INDIRECT(CONCATENATE($AB$10,CONCATENATE(H248,$A248)))</f>
        <v>0</v>
      </c>
      <c r="AI248" s="114">
        <f ca="1">INDIRECT(CONCATENATE($AB$10,CONCATENATE(I248,$A248)))</f>
        <v>6384.11</v>
      </c>
      <c r="AJ248" s="114">
        <f ca="1">INDIRECT(CONCATENATE($AB$10,CONCATENATE(J248,$A248)))</f>
        <v>62.69</v>
      </c>
      <c r="AK248" s="114">
        <f ca="1">INDIRECT(CONCATENATE($AB$10,CONCATENATE(K248,$A248)))</f>
        <v>1690.19</v>
      </c>
      <c r="AN248">
        <f t="shared" si="827"/>
        <v>248</v>
      </c>
      <c r="AQ248" s="114">
        <f t="shared" ref="AQ248:AQ261" ca="1" si="918">INDIRECT(CONCATENATE($AB$10,CONCATENATE(Q248,$A248)))</f>
        <v>2214</v>
      </c>
      <c r="AW248">
        <v>248</v>
      </c>
    </row>
    <row r="249" spans="1:49" x14ac:dyDescent="0.25">
      <c r="A249" s="113">
        <f>A248</f>
        <v>1040</v>
      </c>
      <c r="B249" s="113" t="str">
        <f>B248</f>
        <v>a</v>
      </c>
      <c r="C249" s="113" t="str">
        <f t="shared" si="888"/>
        <v>b</v>
      </c>
      <c r="D249" s="113" t="str">
        <f t="shared" si="889"/>
        <v>c</v>
      </c>
      <c r="E249" s="113" t="str">
        <f t="shared" si="890"/>
        <v>d</v>
      </c>
      <c r="F249" s="113" t="str">
        <f t="shared" si="891"/>
        <v>e</v>
      </c>
      <c r="G249" s="113" t="str">
        <f t="shared" si="892"/>
        <v>f</v>
      </c>
      <c r="H249" s="113" t="str">
        <f t="shared" si="893"/>
        <v>g</v>
      </c>
      <c r="I249" s="113" t="str">
        <f t="shared" si="894"/>
        <v>h</v>
      </c>
      <c r="J249" s="113" t="str">
        <f t="shared" si="895"/>
        <v>i</v>
      </c>
      <c r="K249" s="113" t="str">
        <f t="shared" si="896"/>
        <v>j</v>
      </c>
      <c r="L249" s="113" t="str">
        <f t="shared" si="897"/>
        <v>k</v>
      </c>
      <c r="M249" s="113" t="str">
        <f t="shared" si="898"/>
        <v>l</v>
      </c>
      <c r="N249" s="113" t="str">
        <f t="shared" si="899"/>
        <v>m</v>
      </c>
      <c r="O249" s="113">
        <f t="shared" si="900"/>
        <v>0</v>
      </c>
      <c r="P249" s="113">
        <f t="shared" si="901"/>
        <v>0</v>
      </c>
      <c r="Q249" s="113" t="str">
        <f t="shared" si="902"/>
        <v>p</v>
      </c>
      <c r="R249" s="113">
        <f t="shared" si="903"/>
        <v>0</v>
      </c>
      <c r="S249" s="113">
        <f t="shared" si="904"/>
        <v>0</v>
      </c>
      <c r="T249" s="113">
        <f t="shared" si="905"/>
        <v>0</v>
      </c>
      <c r="U249" s="113">
        <f t="shared" si="906"/>
        <v>0</v>
      </c>
      <c r="V249" s="113">
        <f t="shared" si="907"/>
        <v>0</v>
      </c>
      <c r="W249" s="113">
        <f t="shared" si="908"/>
        <v>0</v>
      </c>
      <c r="X249" s="113">
        <f t="shared" si="909"/>
        <v>0</v>
      </c>
      <c r="AA249" s="113">
        <v>3</v>
      </c>
      <c r="AB249" s="112">
        <f t="shared" ref="AB249:AC254" ca="1" si="919">AB248</f>
        <v>44652</v>
      </c>
      <c r="AC249" s="112">
        <f t="shared" ca="1" si="919"/>
        <v>44742</v>
      </c>
      <c r="AE249" s="114">
        <f ca="1">AE242</f>
        <v>522.04999999999995</v>
      </c>
      <c r="AF249" s="114">
        <f t="shared" ca="1" si="917"/>
        <v>14513.09</v>
      </c>
      <c r="AG249" s="114">
        <f t="shared" ref="AG249:AG254" ca="1" si="920">INDIRECT(CONCATENATE($AB$10,CONCATENATE(G249,$A249)))</f>
        <v>0</v>
      </c>
      <c r="AH249" s="114">
        <f t="shared" ref="AH249:AH254" ca="1" si="921">INDIRECT(CONCATENATE($AB$10,CONCATENATE(H249,$A249)))</f>
        <v>0</v>
      </c>
      <c r="AI249" s="114">
        <f t="shared" ref="AI249:AI254" ca="1" si="922">INDIRECT(CONCATENATE($AB$10,CONCATENATE(I249,$A249)))</f>
        <v>6384.11</v>
      </c>
      <c r="AJ249" s="114">
        <f t="shared" ref="AJ249:AJ254" ca="1" si="923">INDIRECT(CONCATENATE($AB$10,CONCATENATE(J249,$A249)))</f>
        <v>62.69</v>
      </c>
      <c r="AK249" s="114">
        <f t="shared" ref="AK249:AK254" ca="1" si="924">INDIRECT(CONCATENATE($AB$10,CONCATENATE(K249,$A249)))</f>
        <v>1690.19</v>
      </c>
      <c r="AN249">
        <f t="shared" si="827"/>
        <v>249</v>
      </c>
      <c r="AQ249" s="114">
        <f t="shared" ca="1" si="918"/>
        <v>2214</v>
      </c>
      <c r="AW249">
        <v>249</v>
      </c>
    </row>
    <row r="250" spans="1:49" x14ac:dyDescent="0.25">
      <c r="A250" s="113">
        <f>A249+2</f>
        <v>1042</v>
      </c>
      <c r="B250" s="113" t="str">
        <f>B249</f>
        <v>a</v>
      </c>
      <c r="C250" s="113" t="str">
        <f t="shared" si="888"/>
        <v>b</v>
      </c>
      <c r="D250" s="113" t="str">
        <f t="shared" si="889"/>
        <v>c</v>
      </c>
      <c r="E250" s="113" t="str">
        <f t="shared" si="890"/>
        <v>d</v>
      </c>
      <c r="F250" s="113" t="str">
        <f t="shared" si="891"/>
        <v>e</v>
      </c>
      <c r="G250" s="113" t="str">
        <f t="shared" si="892"/>
        <v>f</v>
      </c>
      <c r="H250" s="113" t="str">
        <f t="shared" si="893"/>
        <v>g</v>
      </c>
      <c r="I250" s="113" t="str">
        <f t="shared" si="894"/>
        <v>h</v>
      </c>
      <c r="J250" s="113" t="str">
        <f t="shared" si="895"/>
        <v>i</v>
      </c>
      <c r="K250" s="113" t="str">
        <f t="shared" si="896"/>
        <v>j</v>
      </c>
      <c r="L250" s="113" t="str">
        <f t="shared" si="897"/>
        <v>k</v>
      </c>
      <c r="M250" s="113" t="str">
        <f t="shared" si="898"/>
        <v>l</v>
      </c>
      <c r="N250" s="113" t="str">
        <f t="shared" si="899"/>
        <v>m</v>
      </c>
      <c r="O250" s="113">
        <f t="shared" si="900"/>
        <v>0</v>
      </c>
      <c r="P250" s="113">
        <f t="shared" si="901"/>
        <v>0</v>
      </c>
      <c r="Q250" s="113" t="str">
        <f t="shared" si="902"/>
        <v>p</v>
      </c>
      <c r="R250" s="113">
        <f t="shared" si="903"/>
        <v>0</v>
      </c>
      <c r="S250" s="113">
        <f t="shared" si="904"/>
        <v>0</v>
      </c>
      <c r="T250" s="113">
        <f t="shared" si="905"/>
        <v>0</v>
      </c>
      <c r="U250" s="113">
        <f t="shared" si="906"/>
        <v>0</v>
      </c>
      <c r="V250" s="113">
        <f t="shared" si="907"/>
        <v>0</v>
      </c>
      <c r="W250" s="113">
        <f t="shared" si="908"/>
        <v>0</v>
      </c>
      <c r="X250" s="113">
        <f t="shared" si="909"/>
        <v>0</v>
      </c>
      <c r="AA250" s="113">
        <v>9</v>
      </c>
      <c r="AB250" s="112">
        <f t="shared" ca="1" si="919"/>
        <v>44652</v>
      </c>
      <c r="AC250" s="112">
        <f t="shared" ca="1" si="919"/>
        <v>44742</v>
      </c>
      <c r="AF250" s="114">
        <f t="shared" ca="1" si="917"/>
        <v>16798.88</v>
      </c>
      <c r="AG250" s="114">
        <f t="shared" ca="1" si="920"/>
        <v>0</v>
      </c>
      <c r="AH250" s="114">
        <f t="shared" ca="1" si="921"/>
        <v>0</v>
      </c>
      <c r="AI250" s="114">
        <f t="shared" ca="1" si="922"/>
        <v>6384.11</v>
      </c>
      <c r="AJ250" s="114">
        <f t="shared" ca="1" si="923"/>
        <v>69.55</v>
      </c>
      <c r="AK250" s="114">
        <f t="shared" ca="1" si="924"/>
        <v>1874.95</v>
      </c>
      <c r="AN250">
        <f t="shared" si="827"/>
        <v>250</v>
      </c>
      <c r="AQ250" s="114">
        <f t="shared" ca="1" si="918"/>
        <v>2214</v>
      </c>
      <c r="AW250">
        <v>250</v>
      </c>
    </row>
    <row r="251" spans="1:49" x14ac:dyDescent="0.25">
      <c r="A251" s="113">
        <f>A250+2</f>
        <v>1044</v>
      </c>
      <c r="B251" s="113" t="str">
        <f>B250</f>
        <v>a</v>
      </c>
      <c r="C251" s="113" t="str">
        <f t="shared" si="888"/>
        <v>b</v>
      </c>
      <c r="D251" s="113" t="str">
        <f t="shared" si="889"/>
        <v>c</v>
      </c>
      <c r="E251" s="113" t="str">
        <f t="shared" si="890"/>
        <v>d</v>
      </c>
      <c r="F251" s="113" t="str">
        <f t="shared" si="891"/>
        <v>e</v>
      </c>
      <c r="G251" s="113" t="str">
        <f t="shared" si="892"/>
        <v>f</v>
      </c>
      <c r="H251" s="113" t="str">
        <f t="shared" si="893"/>
        <v>g</v>
      </c>
      <c r="I251" s="113" t="str">
        <f t="shared" si="894"/>
        <v>h</v>
      </c>
      <c r="J251" s="113" t="str">
        <f t="shared" si="895"/>
        <v>i</v>
      </c>
      <c r="K251" s="113" t="str">
        <f t="shared" si="896"/>
        <v>j</v>
      </c>
      <c r="L251" s="113" t="str">
        <f t="shared" si="897"/>
        <v>k</v>
      </c>
      <c r="M251" s="113" t="str">
        <f t="shared" si="898"/>
        <v>l</v>
      </c>
      <c r="N251" s="113" t="str">
        <f t="shared" si="899"/>
        <v>m</v>
      </c>
      <c r="O251" s="113">
        <f t="shared" si="900"/>
        <v>0</v>
      </c>
      <c r="P251" s="113">
        <f t="shared" si="901"/>
        <v>0</v>
      </c>
      <c r="Q251" s="113" t="str">
        <f t="shared" si="902"/>
        <v>p</v>
      </c>
      <c r="R251" s="113">
        <f t="shared" si="903"/>
        <v>0</v>
      </c>
      <c r="S251" s="113">
        <f t="shared" si="904"/>
        <v>0</v>
      </c>
      <c r="T251" s="113">
        <f t="shared" si="905"/>
        <v>0</v>
      </c>
      <c r="U251" s="113">
        <f t="shared" si="906"/>
        <v>0</v>
      </c>
      <c r="V251" s="113">
        <f t="shared" si="907"/>
        <v>0</v>
      </c>
      <c r="W251" s="113">
        <f t="shared" si="908"/>
        <v>0</v>
      </c>
      <c r="X251" s="113">
        <f t="shared" si="909"/>
        <v>0</v>
      </c>
      <c r="AA251" s="113">
        <v>15</v>
      </c>
      <c r="AB251" s="112">
        <f t="shared" ca="1" si="919"/>
        <v>44652</v>
      </c>
      <c r="AC251" s="112">
        <f t="shared" ca="1" si="919"/>
        <v>44742</v>
      </c>
      <c r="AF251" s="114">
        <f t="shared" ca="1" si="917"/>
        <v>18820.88</v>
      </c>
      <c r="AG251" s="114">
        <f t="shared" ca="1" si="920"/>
        <v>0</v>
      </c>
      <c r="AH251" s="114">
        <f t="shared" ca="1" si="921"/>
        <v>0</v>
      </c>
      <c r="AI251" s="114">
        <f t="shared" ca="1" si="922"/>
        <v>6384.11</v>
      </c>
      <c r="AJ251" s="114">
        <f t="shared" ca="1" si="923"/>
        <v>75.61</v>
      </c>
      <c r="AK251" s="114">
        <f t="shared" ca="1" si="924"/>
        <v>2037.57</v>
      </c>
      <c r="AN251">
        <f t="shared" si="827"/>
        <v>251</v>
      </c>
      <c r="AQ251" s="114">
        <f t="shared" ca="1" si="918"/>
        <v>2721.6</v>
      </c>
      <c r="AW251">
        <v>251</v>
      </c>
    </row>
    <row r="252" spans="1:49" x14ac:dyDescent="0.25">
      <c r="A252" s="113">
        <f>A251+2</f>
        <v>1046</v>
      </c>
      <c r="B252" s="113" t="str">
        <f>B251</f>
        <v>a</v>
      </c>
      <c r="C252" s="113" t="str">
        <f t="shared" si="888"/>
        <v>b</v>
      </c>
      <c r="D252" s="113" t="str">
        <f t="shared" si="889"/>
        <v>c</v>
      </c>
      <c r="E252" s="113" t="str">
        <f t="shared" si="890"/>
        <v>d</v>
      </c>
      <c r="F252" s="113" t="str">
        <f t="shared" si="891"/>
        <v>e</v>
      </c>
      <c r="G252" s="113" t="str">
        <f t="shared" si="892"/>
        <v>f</v>
      </c>
      <c r="H252" s="113" t="str">
        <f t="shared" si="893"/>
        <v>g</v>
      </c>
      <c r="I252" s="113" t="str">
        <f t="shared" si="894"/>
        <v>h</v>
      </c>
      <c r="J252" s="113" t="str">
        <f t="shared" si="895"/>
        <v>i</v>
      </c>
      <c r="K252" s="113" t="str">
        <f t="shared" si="896"/>
        <v>j</v>
      </c>
      <c r="L252" s="113" t="str">
        <f t="shared" si="897"/>
        <v>k</v>
      </c>
      <c r="M252" s="113" t="str">
        <f t="shared" si="898"/>
        <v>l</v>
      </c>
      <c r="N252" s="113" t="str">
        <f t="shared" si="899"/>
        <v>m</v>
      </c>
      <c r="O252" s="113">
        <f t="shared" si="900"/>
        <v>0</v>
      </c>
      <c r="P252" s="113">
        <f t="shared" si="901"/>
        <v>0</v>
      </c>
      <c r="Q252" s="113" t="str">
        <f t="shared" si="902"/>
        <v>p</v>
      </c>
      <c r="R252" s="113">
        <f t="shared" si="903"/>
        <v>0</v>
      </c>
      <c r="S252" s="113">
        <f t="shared" si="904"/>
        <v>0</v>
      </c>
      <c r="T252" s="113">
        <f t="shared" si="905"/>
        <v>0</v>
      </c>
      <c r="U252" s="113">
        <f t="shared" si="906"/>
        <v>0</v>
      </c>
      <c r="V252" s="113">
        <f t="shared" si="907"/>
        <v>0</v>
      </c>
      <c r="W252" s="113">
        <f t="shared" si="908"/>
        <v>0</v>
      </c>
      <c r="X252" s="113">
        <f t="shared" si="909"/>
        <v>0</v>
      </c>
      <c r="AA252" s="113">
        <v>21</v>
      </c>
      <c r="AB252" s="112">
        <f t="shared" ca="1" si="919"/>
        <v>44652</v>
      </c>
      <c r="AC252" s="112">
        <f t="shared" ca="1" si="919"/>
        <v>44742</v>
      </c>
      <c r="AF252" s="114">
        <f t="shared" ca="1" si="917"/>
        <v>20787.48</v>
      </c>
      <c r="AG252" s="114">
        <f t="shared" ca="1" si="920"/>
        <v>0</v>
      </c>
      <c r="AH252" s="114">
        <f t="shared" ca="1" si="921"/>
        <v>0</v>
      </c>
      <c r="AI252" s="114">
        <f t="shared" ca="1" si="922"/>
        <v>6384.11</v>
      </c>
      <c r="AJ252" s="114">
        <f t="shared" ca="1" si="923"/>
        <v>81.510000000000005</v>
      </c>
      <c r="AK252" s="114">
        <f t="shared" ca="1" si="924"/>
        <v>2196.5700000000002</v>
      </c>
      <c r="AN252">
        <f t="shared" si="827"/>
        <v>252</v>
      </c>
      <c r="AQ252" s="114">
        <f t="shared" ca="1" si="918"/>
        <v>2721.6</v>
      </c>
      <c r="AW252">
        <v>252</v>
      </c>
    </row>
    <row r="253" spans="1:49" x14ac:dyDescent="0.25">
      <c r="A253" s="113">
        <f>A252+2</f>
        <v>1048</v>
      </c>
      <c r="B253" s="113" t="str">
        <f>B252</f>
        <v>a</v>
      </c>
      <c r="C253" s="113" t="str">
        <f t="shared" si="888"/>
        <v>b</v>
      </c>
      <c r="D253" s="113" t="str">
        <f t="shared" si="889"/>
        <v>c</v>
      </c>
      <c r="E253" s="113" t="str">
        <f t="shared" si="890"/>
        <v>d</v>
      </c>
      <c r="F253" s="113" t="str">
        <f t="shared" si="891"/>
        <v>e</v>
      </c>
      <c r="G253" s="113" t="str">
        <f t="shared" si="892"/>
        <v>f</v>
      </c>
      <c r="H253" s="113" t="str">
        <f t="shared" si="893"/>
        <v>g</v>
      </c>
      <c r="I253" s="113" t="str">
        <f t="shared" si="894"/>
        <v>h</v>
      </c>
      <c r="J253" s="113" t="str">
        <f t="shared" si="895"/>
        <v>i</v>
      </c>
      <c r="K253" s="113" t="str">
        <f t="shared" si="896"/>
        <v>j</v>
      </c>
      <c r="L253" s="113" t="str">
        <f t="shared" si="897"/>
        <v>k</v>
      </c>
      <c r="M253" s="113" t="str">
        <f t="shared" si="898"/>
        <v>l</v>
      </c>
      <c r="N253" s="113" t="str">
        <f t="shared" si="899"/>
        <v>m</v>
      </c>
      <c r="O253" s="113">
        <f t="shared" si="900"/>
        <v>0</v>
      </c>
      <c r="P253" s="113">
        <f t="shared" si="901"/>
        <v>0</v>
      </c>
      <c r="Q253" s="113" t="str">
        <f t="shared" si="902"/>
        <v>p</v>
      </c>
      <c r="R253" s="113">
        <f t="shared" si="903"/>
        <v>0</v>
      </c>
      <c r="S253" s="113">
        <f t="shared" si="904"/>
        <v>0</v>
      </c>
      <c r="T253" s="113">
        <f t="shared" si="905"/>
        <v>0</v>
      </c>
      <c r="U253" s="113">
        <f t="shared" si="906"/>
        <v>0</v>
      </c>
      <c r="V253" s="113">
        <f t="shared" si="907"/>
        <v>0</v>
      </c>
      <c r="W253" s="113">
        <f t="shared" si="908"/>
        <v>0</v>
      </c>
      <c r="X253" s="113">
        <f t="shared" si="909"/>
        <v>0</v>
      </c>
      <c r="AA253" s="113">
        <v>28</v>
      </c>
      <c r="AB253" s="112">
        <f t="shared" ca="1" si="919"/>
        <v>44652</v>
      </c>
      <c r="AC253" s="112">
        <f t="shared" ca="1" si="919"/>
        <v>44742</v>
      </c>
      <c r="AF253" s="114">
        <f t="shared" ca="1" si="917"/>
        <v>22717.71</v>
      </c>
      <c r="AG253" s="114">
        <f t="shared" ca="1" si="920"/>
        <v>0</v>
      </c>
      <c r="AH253" s="114">
        <f t="shared" ca="1" si="921"/>
        <v>0</v>
      </c>
      <c r="AI253" s="114">
        <f t="shared" ca="1" si="922"/>
        <v>6384.11</v>
      </c>
      <c r="AJ253" s="114">
        <f t="shared" ca="1" si="923"/>
        <v>87.31</v>
      </c>
      <c r="AK253" s="114">
        <f t="shared" ca="1" si="924"/>
        <v>2352.5100000000002</v>
      </c>
      <c r="AN253">
        <f t="shared" si="827"/>
        <v>253</v>
      </c>
      <c r="AQ253" s="114">
        <f t="shared" ca="1" si="918"/>
        <v>3458.4</v>
      </c>
      <c r="AW253">
        <v>253</v>
      </c>
    </row>
    <row r="254" spans="1:49" x14ac:dyDescent="0.25">
      <c r="A254" s="113">
        <f>A253+2</f>
        <v>1050</v>
      </c>
      <c r="B254" s="113" t="str">
        <f>B253</f>
        <v>a</v>
      </c>
      <c r="C254" s="113" t="str">
        <f t="shared" si="888"/>
        <v>b</v>
      </c>
      <c r="D254" s="113" t="str">
        <f t="shared" si="889"/>
        <v>c</v>
      </c>
      <c r="E254" s="113" t="str">
        <f t="shared" si="890"/>
        <v>d</v>
      </c>
      <c r="F254" s="113" t="str">
        <f t="shared" si="891"/>
        <v>e</v>
      </c>
      <c r="G254" s="113" t="str">
        <f t="shared" si="892"/>
        <v>f</v>
      </c>
      <c r="H254" s="113" t="str">
        <f t="shared" si="893"/>
        <v>g</v>
      </c>
      <c r="I254" s="113" t="str">
        <f t="shared" si="894"/>
        <v>h</v>
      </c>
      <c r="J254" s="113" t="str">
        <f t="shared" si="895"/>
        <v>i</v>
      </c>
      <c r="K254" s="113" t="str">
        <f t="shared" si="896"/>
        <v>j</v>
      </c>
      <c r="L254" s="113" t="str">
        <f t="shared" si="897"/>
        <v>k</v>
      </c>
      <c r="M254" s="113" t="str">
        <f t="shared" si="898"/>
        <v>l</v>
      </c>
      <c r="N254" s="113" t="str">
        <f t="shared" si="899"/>
        <v>m</v>
      </c>
      <c r="O254" s="113">
        <f t="shared" si="900"/>
        <v>0</v>
      </c>
      <c r="P254" s="113">
        <f t="shared" si="901"/>
        <v>0</v>
      </c>
      <c r="Q254" s="113" t="str">
        <f t="shared" si="902"/>
        <v>p</v>
      </c>
      <c r="R254" s="113">
        <f t="shared" si="903"/>
        <v>0</v>
      </c>
      <c r="S254" s="113">
        <f t="shared" si="904"/>
        <v>0</v>
      </c>
      <c r="T254" s="113">
        <f t="shared" si="905"/>
        <v>0</v>
      </c>
      <c r="U254" s="113">
        <f t="shared" si="906"/>
        <v>0</v>
      </c>
      <c r="V254" s="113">
        <f t="shared" si="907"/>
        <v>0</v>
      </c>
      <c r="W254" s="113">
        <f t="shared" si="908"/>
        <v>0</v>
      </c>
      <c r="X254" s="113">
        <f t="shared" si="909"/>
        <v>0</v>
      </c>
      <c r="AA254" s="113">
        <v>35</v>
      </c>
      <c r="AB254" s="112">
        <f t="shared" ca="1" si="919"/>
        <v>44652</v>
      </c>
      <c r="AC254" s="112">
        <f t="shared" ca="1" si="919"/>
        <v>44742</v>
      </c>
      <c r="AF254" s="114">
        <f t="shared" ca="1" si="917"/>
        <v>24152.809999999998</v>
      </c>
      <c r="AG254" s="114">
        <f t="shared" ca="1" si="920"/>
        <v>0</v>
      </c>
      <c r="AH254" s="114">
        <f t="shared" ca="1" si="921"/>
        <v>0</v>
      </c>
      <c r="AI254" s="114">
        <f t="shared" ca="1" si="922"/>
        <v>6384.11</v>
      </c>
      <c r="AJ254" s="114">
        <f t="shared" ca="1" si="923"/>
        <v>91.61</v>
      </c>
      <c r="AK254" s="114">
        <f t="shared" ca="1" si="924"/>
        <v>2468.9</v>
      </c>
      <c r="AN254">
        <f t="shared" si="827"/>
        <v>254</v>
      </c>
      <c r="AQ254" s="114">
        <f t="shared" ca="1" si="918"/>
        <v>3458.4</v>
      </c>
      <c r="AW254">
        <v>254</v>
      </c>
    </row>
    <row r="255" spans="1:49" x14ac:dyDescent="0.25">
      <c r="A255" s="113">
        <f>A248+20</f>
        <v>1060</v>
      </c>
      <c r="B255" s="113" t="str">
        <f>B248</f>
        <v>a</v>
      </c>
      <c r="C255" s="113" t="str">
        <f t="shared" ref="C255:X255" si="925">C248</f>
        <v>b</v>
      </c>
      <c r="D255" s="113" t="str">
        <f t="shared" si="925"/>
        <v>c</v>
      </c>
      <c r="E255" s="113" t="str">
        <f t="shared" si="925"/>
        <v>d</v>
      </c>
      <c r="F255" s="113" t="str">
        <f t="shared" si="925"/>
        <v>e</v>
      </c>
      <c r="G255" s="113" t="str">
        <f t="shared" si="925"/>
        <v>f</v>
      </c>
      <c r="H255" s="113" t="str">
        <f t="shared" si="925"/>
        <v>g</v>
      </c>
      <c r="I255" s="113" t="str">
        <f t="shared" si="925"/>
        <v>h</v>
      </c>
      <c r="J255" s="113" t="str">
        <f t="shared" si="925"/>
        <v>i</v>
      </c>
      <c r="K255" s="113" t="str">
        <f t="shared" si="925"/>
        <v>j</v>
      </c>
      <c r="L255" s="113" t="str">
        <f t="shared" si="925"/>
        <v>k</v>
      </c>
      <c r="M255" s="113" t="str">
        <f t="shared" si="925"/>
        <v>l</v>
      </c>
      <c r="N255" s="113" t="str">
        <f t="shared" si="925"/>
        <v>m</v>
      </c>
      <c r="O255" s="113">
        <f t="shared" si="925"/>
        <v>0</v>
      </c>
      <c r="P255" s="113">
        <f t="shared" si="925"/>
        <v>0</v>
      </c>
      <c r="Q255" s="113" t="str">
        <f t="shared" si="925"/>
        <v>p</v>
      </c>
      <c r="R255" s="113">
        <f t="shared" si="925"/>
        <v>0</v>
      </c>
      <c r="S255" s="113">
        <f t="shared" si="925"/>
        <v>0</v>
      </c>
      <c r="T255" s="113">
        <f t="shared" si="925"/>
        <v>0</v>
      </c>
      <c r="U255" s="113">
        <f t="shared" si="925"/>
        <v>0</v>
      </c>
      <c r="V255" s="113">
        <f t="shared" si="925"/>
        <v>0</v>
      </c>
      <c r="W255" s="113">
        <f t="shared" si="925"/>
        <v>0</v>
      </c>
      <c r="X255" s="113">
        <f t="shared" si="925"/>
        <v>0</v>
      </c>
      <c r="AA255" s="113">
        <v>0</v>
      </c>
      <c r="AB255" s="112">
        <f ca="1">INDIRECT(CONCATENATE($AB$10,CONCATENATE(B255,$A255)))</f>
        <v>44743</v>
      </c>
      <c r="AC255" s="112">
        <f ca="1">INDIRECT(CONCATENATE($AB$10,CONCATENATE(C255,$A255)))</f>
        <v>45291</v>
      </c>
      <c r="AF255" s="114">
        <f t="shared" ca="1" si="917"/>
        <v>14513.09</v>
      </c>
      <c r="AG255" s="114">
        <f ca="1">INDIRECT(CONCATENATE($AB$10,CONCATENATE(G255,$A255)))</f>
        <v>0</v>
      </c>
      <c r="AH255" s="114">
        <f ca="1">INDIRECT(CONCATENATE($AB$10,CONCATENATE(H255,$A255)))</f>
        <v>0</v>
      </c>
      <c r="AI255" s="114">
        <f ca="1">INDIRECT(CONCATENATE($AB$10,CONCATENATE(I255,$A255)))</f>
        <v>6384.11</v>
      </c>
      <c r="AJ255" s="114">
        <f ca="1">INDIRECT(CONCATENATE($AB$10,CONCATENATE(J255,$A255)))</f>
        <v>104.49</v>
      </c>
      <c r="AK255" s="114">
        <f ca="1">INDIRECT(CONCATENATE($AB$10,CONCATENATE(K255,$A255)))</f>
        <v>1690.19</v>
      </c>
      <c r="AN255">
        <f t="shared" si="827"/>
        <v>255</v>
      </c>
      <c r="AQ255" s="114">
        <f t="shared" ca="1" si="918"/>
        <v>2214</v>
      </c>
      <c r="AW255">
        <v>255</v>
      </c>
    </row>
    <row r="256" spans="1:49" x14ac:dyDescent="0.25">
      <c r="A256" s="113">
        <f>A255</f>
        <v>1060</v>
      </c>
      <c r="B256" s="113" t="str">
        <f>B255</f>
        <v>a</v>
      </c>
      <c r="C256" s="113" t="str">
        <f t="shared" si="888"/>
        <v>b</v>
      </c>
      <c r="D256" s="113" t="str">
        <f t="shared" si="889"/>
        <v>c</v>
      </c>
      <c r="E256" s="113" t="str">
        <f t="shared" si="890"/>
        <v>d</v>
      </c>
      <c r="F256" s="113" t="str">
        <f t="shared" si="891"/>
        <v>e</v>
      </c>
      <c r="G256" s="113" t="str">
        <f t="shared" si="892"/>
        <v>f</v>
      </c>
      <c r="H256" s="113" t="str">
        <f t="shared" si="893"/>
        <v>g</v>
      </c>
      <c r="I256" s="113" t="str">
        <f t="shared" si="894"/>
        <v>h</v>
      </c>
      <c r="J256" s="113" t="str">
        <f t="shared" si="895"/>
        <v>i</v>
      </c>
      <c r="K256" s="113" t="str">
        <f t="shared" si="896"/>
        <v>j</v>
      </c>
      <c r="L256" s="113" t="str">
        <f t="shared" si="897"/>
        <v>k</v>
      </c>
      <c r="M256" s="113" t="str">
        <f t="shared" si="898"/>
        <v>l</v>
      </c>
      <c r="N256" s="113" t="str">
        <f t="shared" si="899"/>
        <v>m</v>
      </c>
      <c r="O256" s="113">
        <f t="shared" si="900"/>
        <v>0</v>
      </c>
      <c r="P256" s="113">
        <f t="shared" si="901"/>
        <v>0</v>
      </c>
      <c r="Q256" s="113" t="str">
        <f t="shared" si="902"/>
        <v>p</v>
      </c>
      <c r="R256" s="113">
        <f t="shared" si="903"/>
        <v>0</v>
      </c>
      <c r="S256" s="113">
        <f t="shared" si="904"/>
        <v>0</v>
      </c>
      <c r="T256" s="113">
        <f t="shared" si="905"/>
        <v>0</v>
      </c>
      <c r="U256" s="113">
        <f t="shared" si="906"/>
        <v>0</v>
      </c>
      <c r="V256" s="113">
        <f t="shared" si="907"/>
        <v>0</v>
      </c>
      <c r="W256" s="113">
        <f t="shared" si="908"/>
        <v>0</v>
      </c>
      <c r="X256" s="113">
        <f t="shared" si="909"/>
        <v>0</v>
      </c>
      <c r="AA256" s="113">
        <v>3</v>
      </c>
      <c r="AB256" s="112">
        <f t="shared" ref="AB256:AC261" ca="1" si="926">AB255</f>
        <v>44743</v>
      </c>
      <c r="AC256" s="112">
        <f t="shared" ca="1" si="926"/>
        <v>45291</v>
      </c>
      <c r="AE256" s="114">
        <f ca="1">AE249</f>
        <v>522.04999999999995</v>
      </c>
      <c r="AF256" s="114">
        <f t="shared" ca="1" si="917"/>
        <v>14513.09</v>
      </c>
      <c r="AG256" s="114">
        <f t="shared" ref="AG256:AG261" ca="1" si="927">INDIRECT(CONCATENATE($AB$10,CONCATENATE(G256,$A256)))</f>
        <v>0</v>
      </c>
      <c r="AH256" s="114">
        <f t="shared" ref="AH256:AH261" ca="1" si="928">INDIRECT(CONCATENATE($AB$10,CONCATENATE(H256,$A256)))</f>
        <v>0</v>
      </c>
      <c r="AI256" s="114">
        <f t="shared" ref="AI256:AI261" ca="1" si="929">INDIRECT(CONCATENATE($AB$10,CONCATENATE(I256,$A256)))</f>
        <v>6384.11</v>
      </c>
      <c r="AJ256" s="114">
        <f t="shared" ref="AJ256:AJ261" ca="1" si="930">INDIRECT(CONCATENATE($AB$10,CONCATENATE(J256,$A256)))</f>
        <v>104.49</v>
      </c>
      <c r="AK256" s="114">
        <f t="shared" ref="AK256:AK261" ca="1" si="931">INDIRECT(CONCATENATE($AB$10,CONCATENATE(K256,$A256)))</f>
        <v>1690.19</v>
      </c>
      <c r="AN256">
        <f t="shared" si="827"/>
        <v>256</v>
      </c>
      <c r="AQ256" s="114">
        <f t="shared" ca="1" si="918"/>
        <v>2214</v>
      </c>
      <c r="AW256">
        <v>256</v>
      </c>
    </row>
    <row r="257" spans="1:49" x14ac:dyDescent="0.25">
      <c r="A257" s="113">
        <f>A256+2</f>
        <v>1062</v>
      </c>
      <c r="B257" s="113" t="str">
        <f>B256</f>
        <v>a</v>
      </c>
      <c r="C257" s="113" t="str">
        <f t="shared" si="888"/>
        <v>b</v>
      </c>
      <c r="D257" s="113" t="str">
        <f t="shared" si="889"/>
        <v>c</v>
      </c>
      <c r="E257" s="113" t="str">
        <f t="shared" si="890"/>
        <v>d</v>
      </c>
      <c r="F257" s="113" t="str">
        <f t="shared" si="891"/>
        <v>e</v>
      </c>
      <c r="G257" s="113" t="str">
        <f t="shared" si="892"/>
        <v>f</v>
      </c>
      <c r="H257" s="113" t="str">
        <f t="shared" si="893"/>
        <v>g</v>
      </c>
      <c r="I257" s="113" t="str">
        <f t="shared" si="894"/>
        <v>h</v>
      </c>
      <c r="J257" s="113" t="str">
        <f t="shared" si="895"/>
        <v>i</v>
      </c>
      <c r="K257" s="113" t="str">
        <f t="shared" si="896"/>
        <v>j</v>
      </c>
      <c r="L257" s="113" t="str">
        <f t="shared" si="897"/>
        <v>k</v>
      </c>
      <c r="M257" s="113" t="str">
        <f t="shared" si="898"/>
        <v>l</v>
      </c>
      <c r="N257" s="113" t="str">
        <f t="shared" si="899"/>
        <v>m</v>
      </c>
      <c r="O257" s="113">
        <f t="shared" si="900"/>
        <v>0</v>
      </c>
      <c r="P257" s="113">
        <f t="shared" si="901"/>
        <v>0</v>
      </c>
      <c r="Q257" s="113" t="str">
        <f t="shared" si="902"/>
        <v>p</v>
      </c>
      <c r="R257" s="113">
        <f t="shared" si="903"/>
        <v>0</v>
      </c>
      <c r="S257" s="113">
        <f t="shared" si="904"/>
        <v>0</v>
      </c>
      <c r="T257" s="113">
        <f t="shared" si="905"/>
        <v>0</v>
      </c>
      <c r="U257" s="113">
        <f t="shared" si="906"/>
        <v>0</v>
      </c>
      <c r="V257" s="113">
        <f t="shared" si="907"/>
        <v>0</v>
      </c>
      <c r="W257" s="113">
        <f t="shared" si="908"/>
        <v>0</v>
      </c>
      <c r="X257" s="113">
        <f t="shared" si="909"/>
        <v>0</v>
      </c>
      <c r="AA257" s="113">
        <v>9</v>
      </c>
      <c r="AB257" s="112">
        <f t="shared" ca="1" si="926"/>
        <v>44743</v>
      </c>
      <c r="AC257" s="112">
        <f t="shared" ca="1" si="926"/>
        <v>45291</v>
      </c>
      <c r="AF257" s="114">
        <f t="shared" ca="1" si="917"/>
        <v>16798.88</v>
      </c>
      <c r="AG257" s="114">
        <f t="shared" ca="1" si="927"/>
        <v>0</v>
      </c>
      <c r="AH257" s="114">
        <f t="shared" ca="1" si="928"/>
        <v>0</v>
      </c>
      <c r="AI257" s="114">
        <f t="shared" ca="1" si="929"/>
        <v>6384.11</v>
      </c>
      <c r="AJ257" s="114">
        <f t="shared" ca="1" si="930"/>
        <v>115.91</v>
      </c>
      <c r="AK257" s="114">
        <f t="shared" ca="1" si="931"/>
        <v>1874.95</v>
      </c>
      <c r="AN257">
        <f t="shared" si="827"/>
        <v>257</v>
      </c>
      <c r="AQ257" s="114">
        <f t="shared" ca="1" si="918"/>
        <v>2214</v>
      </c>
      <c r="AW257">
        <v>257</v>
      </c>
    </row>
    <row r="258" spans="1:49" x14ac:dyDescent="0.25">
      <c r="A258" s="113">
        <f>A257+2</f>
        <v>1064</v>
      </c>
      <c r="B258" s="113" t="str">
        <f>B257</f>
        <v>a</v>
      </c>
      <c r="C258" s="113" t="str">
        <f t="shared" si="888"/>
        <v>b</v>
      </c>
      <c r="D258" s="113" t="str">
        <f t="shared" si="889"/>
        <v>c</v>
      </c>
      <c r="E258" s="113" t="str">
        <f t="shared" si="890"/>
        <v>d</v>
      </c>
      <c r="F258" s="113" t="str">
        <f t="shared" si="891"/>
        <v>e</v>
      </c>
      <c r="G258" s="113" t="str">
        <f t="shared" si="892"/>
        <v>f</v>
      </c>
      <c r="H258" s="113" t="str">
        <f t="shared" si="893"/>
        <v>g</v>
      </c>
      <c r="I258" s="113" t="str">
        <f t="shared" si="894"/>
        <v>h</v>
      </c>
      <c r="J258" s="113" t="str">
        <f t="shared" si="895"/>
        <v>i</v>
      </c>
      <c r="K258" s="113" t="str">
        <f t="shared" si="896"/>
        <v>j</v>
      </c>
      <c r="L258" s="113" t="str">
        <f t="shared" si="897"/>
        <v>k</v>
      </c>
      <c r="M258" s="113" t="str">
        <f t="shared" si="898"/>
        <v>l</v>
      </c>
      <c r="N258" s="113" t="str">
        <f t="shared" si="899"/>
        <v>m</v>
      </c>
      <c r="O258" s="113">
        <f t="shared" si="900"/>
        <v>0</v>
      </c>
      <c r="P258" s="113">
        <f t="shared" si="901"/>
        <v>0</v>
      </c>
      <c r="Q258" s="113" t="str">
        <f t="shared" si="902"/>
        <v>p</v>
      </c>
      <c r="R258" s="113">
        <f t="shared" si="903"/>
        <v>0</v>
      </c>
      <c r="S258" s="113">
        <f t="shared" si="904"/>
        <v>0</v>
      </c>
      <c r="T258" s="113">
        <f t="shared" si="905"/>
        <v>0</v>
      </c>
      <c r="U258" s="113">
        <f t="shared" si="906"/>
        <v>0</v>
      </c>
      <c r="V258" s="113">
        <f t="shared" si="907"/>
        <v>0</v>
      </c>
      <c r="W258" s="113">
        <f t="shared" si="908"/>
        <v>0</v>
      </c>
      <c r="X258" s="113">
        <f t="shared" si="909"/>
        <v>0</v>
      </c>
      <c r="AA258" s="113">
        <v>15</v>
      </c>
      <c r="AB258" s="112">
        <f t="shared" ca="1" si="926"/>
        <v>44743</v>
      </c>
      <c r="AC258" s="112">
        <f t="shared" ca="1" si="926"/>
        <v>45291</v>
      </c>
      <c r="AF258" s="114">
        <f t="shared" ca="1" si="917"/>
        <v>18820.88</v>
      </c>
      <c r="AG258" s="114">
        <f t="shared" ca="1" si="927"/>
        <v>0</v>
      </c>
      <c r="AH258" s="114">
        <f t="shared" ca="1" si="928"/>
        <v>0</v>
      </c>
      <c r="AI258" s="114">
        <f t="shared" ca="1" si="929"/>
        <v>6384.11</v>
      </c>
      <c r="AJ258" s="114">
        <f t="shared" ca="1" si="930"/>
        <v>126.02</v>
      </c>
      <c r="AK258" s="114">
        <f t="shared" ca="1" si="931"/>
        <v>2037.57</v>
      </c>
      <c r="AN258">
        <f t="shared" si="827"/>
        <v>258</v>
      </c>
      <c r="AQ258" s="114">
        <f t="shared" ca="1" si="918"/>
        <v>2721.6</v>
      </c>
      <c r="AW258">
        <v>258</v>
      </c>
    </row>
    <row r="259" spans="1:49" x14ac:dyDescent="0.25">
      <c r="A259" s="113">
        <f>A258+2</f>
        <v>1066</v>
      </c>
      <c r="B259" s="113" t="str">
        <f>B258</f>
        <v>a</v>
      </c>
      <c r="C259" s="113" t="str">
        <f t="shared" si="888"/>
        <v>b</v>
      </c>
      <c r="D259" s="113" t="str">
        <f t="shared" si="889"/>
        <v>c</v>
      </c>
      <c r="E259" s="113" t="str">
        <f t="shared" si="890"/>
        <v>d</v>
      </c>
      <c r="F259" s="113" t="str">
        <f t="shared" si="891"/>
        <v>e</v>
      </c>
      <c r="G259" s="113" t="str">
        <f t="shared" si="892"/>
        <v>f</v>
      </c>
      <c r="H259" s="113" t="str">
        <f t="shared" si="893"/>
        <v>g</v>
      </c>
      <c r="I259" s="113" t="str">
        <f t="shared" si="894"/>
        <v>h</v>
      </c>
      <c r="J259" s="113" t="str">
        <f t="shared" si="895"/>
        <v>i</v>
      </c>
      <c r="K259" s="113" t="str">
        <f t="shared" si="896"/>
        <v>j</v>
      </c>
      <c r="L259" s="113" t="str">
        <f t="shared" si="897"/>
        <v>k</v>
      </c>
      <c r="M259" s="113" t="str">
        <f t="shared" si="898"/>
        <v>l</v>
      </c>
      <c r="N259" s="113" t="str">
        <f t="shared" si="899"/>
        <v>m</v>
      </c>
      <c r="O259" s="113">
        <f t="shared" si="900"/>
        <v>0</v>
      </c>
      <c r="P259" s="113">
        <f t="shared" si="901"/>
        <v>0</v>
      </c>
      <c r="Q259" s="113" t="str">
        <f t="shared" si="902"/>
        <v>p</v>
      </c>
      <c r="R259" s="113">
        <f t="shared" si="903"/>
        <v>0</v>
      </c>
      <c r="S259" s="113">
        <f t="shared" si="904"/>
        <v>0</v>
      </c>
      <c r="T259" s="113">
        <f t="shared" si="905"/>
        <v>0</v>
      </c>
      <c r="U259" s="113">
        <f t="shared" si="906"/>
        <v>0</v>
      </c>
      <c r="V259" s="113">
        <f t="shared" si="907"/>
        <v>0</v>
      </c>
      <c r="W259" s="113">
        <f t="shared" si="908"/>
        <v>0</v>
      </c>
      <c r="X259" s="113">
        <f t="shared" si="909"/>
        <v>0</v>
      </c>
      <c r="AA259" s="113">
        <v>21</v>
      </c>
      <c r="AB259" s="112">
        <f t="shared" ca="1" si="926"/>
        <v>44743</v>
      </c>
      <c r="AC259" s="112">
        <f t="shared" ca="1" si="926"/>
        <v>45291</v>
      </c>
      <c r="AF259" s="114">
        <f t="shared" ca="1" si="917"/>
        <v>20787.48</v>
      </c>
      <c r="AG259" s="114">
        <f t="shared" ca="1" si="927"/>
        <v>0</v>
      </c>
      <c r="AH259" s="114">
        <f t="shared" ca="1" si="928"/>
        <v>0</v>
      </c>
      <c r="AI259" s="114">
        <f t="shared" ca="1" si="929"/>
        <v>6384.11</v>
      </c>
      <c r="AJ259" s="114">
        <f t="shared" ca="1" si="930"/>
        <v>135.86000000000001</v>
      </c>
      <c r="AK259" s="114">
        <f t="shared" ca="1" si="931"/>
        <v>2196.5700000000002</v>
      </c>
      <c r="AN259">
        <f t="shared" si="827"/>
        <v>259</v>
      </c>
      <c r="AQ259" s="114">
        <f t="shared" ca="1" si="918"/>
        <v>2721.6</v>
      </c>
      <c r="AW259">
        <v>259</v>
      </c>
    </row>
    <row r="260" spans="1:49" x14ac:dyDescent="0.25">
      <c r="A260" s="113">
        <f>A259+2</f>
        <v>1068</v>
      </c>
      <c r="B260" s="113" t="str">
        <f>B259</f>
        <v>a</v>
      </c>
      <c r="C260" s="113" t="str">
        <f t="shared" si="888"/>
        <v>b</v>
      </c>
      <c r="D260" s="113" t="str">
        <f t="shared" si="889"/>
        <v>c</v>
      </c>
      <c r="E260" s="113" t="str">
        <f t="shared" si="890"/>
        <v>d</v>
      </c>
      <c r="F260" s="113" t="str">
        <f t="shared" si="891"/>
        <v>e</v>
      </c>
      <c r="G260" s="113" t="str">
        <f t="shared" si="892"/>
        <v>f</v>
      </c>
      <c r="H260" s="113" t="str">
        <f t="shared" si="893"/>
        <v>g</v>
      </c>
      <c r="I260" s="113" t="str">
        <f t="shared" si="894"/>
        <v>h</v>
      </c>
      <c r="J260" s="113" t="str">
        <f t="shared" si="895"/>
        <v>i</v>
      </c>
      <c r="K260" s="113" t="str">
        <f t="shared" si="896"/>
        <v>j</v>
      </c>
      <c r="L260" s="113" t="str">
        <f t="shared" si="897"/>
        <v>k</v>
      </c>
      <c r="M260" s="113" t="str">
        <f t="shared" si="898"/>
        <v>l</v>
      </c>
      <c r="N260" s="113" t="str">
        <f t="shared" si="899"/>
        <v>m</v>
      </c>
      <c r="O260" s="113">
        <f t="shared" si="900"/>
        <v>0</v>
      </c>
      <c r="P260" s="113">
        <f t="shared" si="901"/>
        <v>0</v>
      </c>
      <c r="Q260" s="113" t="str">
        <f t="shared" si="902"/>
        <v>p</v>
      </c>
      <c r="R260" s="113">
        <f t="shared" si="903"/>
        <v>0</v>
      </c>
      <c r="S260" s="113">
        <f t="shared" si="904"/>
        <v>0</v>
      </c>
      <c r="T260" s="113">
        <f t="shared" si="905"/>
        <v>0</v>
      </c>
      <c r="U260" s="113">
        <f t="shared" si="906"/>
        <v>0</v>
      </c>
      <c r="V260" s="113">
        <f t="shared" si="907"/>
        <v>0</v>
      </c>
      <c r="W260" s="113">
        <f t="shared" si="908"/>
        <v>0</v>
      </c>
      <c r="X260" s="113">
        <f t="shared" si="909"/>
        <v>0</v>
      </c>
      <c r="AA260" s="113">
        <v>28</v>
      </c>
      <c r="AB260" s="112">
        <f t="shared" ca="1" si="926"/>
        <v>44743</v>
      </c>
      <c r="AC260" s="112">
        <f t="shared" ca="1" si="926"/>
        <v>45291</v>
      </c>
      <c r="AF260" s="114">
        <f t="shared" ca="1" si="917"/>
        <v>22717.71</v>
      </c>
      <c r="AG260" s="114">
        <f t="shared" ca="1" si="927"/>
        <v>0</v>
      </c>
      <c r="AH260" s="114">
        <f t="shared" ca="1" si="928"/>
        <v>0</v>
      </c>
      <c r="AI260" s="114">
        <f t="shared" ca="1" si="929"/>
        <v>6384.11</v>
      </c>
      <c r="AJ260" s="114">
        <f t="shared" ca="1" si="930"/>
        <v>145.51</v>
      </c>
      <c r="AK260" s="114">
        <f t="shared" ca="1" si="931"/>
        <v>2352.5100000000002</v>
      </c>
      <c r="AN260">
        <f t="shared" si="827"/>
        <v>260</v>
      </c>
      <c r="AQ260" s="114">
        <f t="shared" ca="1" si="918"/>
        <v>3458.4</v>
      </c>
      <c r="AW260">
        <v>260</v>
      </c>
    </row>
    <row r="261" spans="1:49" x14ac:dyDescent="0.25">
      <c r="A261" s="113">
        <f>A260+2</f>
        <v>1070</v>
      </c>
      <c r="B261" s="113" t="str">
        <f>B260</f>
        <v>a</v>
      </c>
      <c r="C261" s="113" t="str">
        <f t="shared" si="888"/>
        <v>b</v>
      </c>
      <c r="D261" s="113" t="str">
        <f t="shared" si="889"/>
        <v>c</v>
      </c>
      <c r="E261" s="113" t="str">
        <f t="shared" si="890"/>
        <v>d</v>
      </c>
      <c r="F261" s="113" t="str">
        <f t="shared" si="891"/>
        <v>e</v>
      </c>
      <c r="G261" s="113" t="str">
        <f t="shared" si="892"/>
        <v>f</v>
      </c>
      <c r="H261" s="113" t="str">
        <f t="shared" si="893"/>
        <v>g</v>
      </c>
      <c r="I261" s="113" t="str">
        <f t="shared" si="894"/>
        <v>h</v>
      </c>
      <c r="J261" s="113" t="str">
        <f t="shared" si="895"/>
        <v>i</v>
      </c>
      <c r="K261" s="113" t="str">
        <f t="shared" si="896"/>
        <v>j</v>
      </c>
      <c r="L261" s="113" t="str">
        <f t="shared" si="897"/>
        <v>k</v>
      </c>
      <c r="M261" s="113" t="str">
        <f t="shared" si="898"/>
        <v>l</v>
      </c>
      <c r="N261" s="113" t="str">
        <f t="shared" si="899"/>
        <v>m</v>
      </c>
      <c r="O261" s="113">
        <f t="shared" si="900"/>
        <v>0</v>
      </c>
      <c r="P261" s="113">
        <f t="shared" si="901"/>
        <v>0</v>
      </c>
      <c r="Q261" s="113" t="str">
        <f t="shared" si="902"/>
        <v>p</v>
      </c>
      <c r="R261" s="113">
        <f t="shared" si="903"/>
        <v>0</v>
      </c>
      <c r="S261" s="113">
        <f t="shared" si="904"/>
        <v>0</v>
      </c>
      <c r="T261" s="113">
        <f t="shared" si="905"/>
        <v>0</v>
      </c>
      <c r="U261" s="113">
        <f t="shared" si="906"/>
        <v>0</v>
      </c>
      <c r="V261" s="113">
        <f t="shared" si="907"/>
        <v>0</v>
      </c>
      <c r="W261" s="113">
        <f t="shared" si="908"/>
        <v>0</v>
      </c>
      <c r="X261" s="113">
        <f t="shared" si="909"/>
        <v>0</v>
      </c>
      <c r="AA261" s="113">
        <v>35</v>
      </c>
      <c r="AB261" s="112">
        <f t="shared" ca="1" si="926"/>
        <v>44743</v>
      </c>
      <c r="AC261" s="112">
        <f t="shared" ca="1" si="926"/>
        <v>45291</v>
      </c>
      <c r="AF261" s="114">
        <f t="shared" ca="1" si="917"/>
        <v>24152.809999999998</v>
      </c>
      <c r="AG261" s="114">
        <f t="shared" ca="1" si="927"/>
        <v>0</v>
      </c>
      <c r="AH261" s="114">
        <f t="shared" ca="1" si="928"/>
        <v>0</v>
      </c>
      <c r="AI261" s="114">
        <f t="shared" ca="1" si="929"/>
        <v>6384.11</v>
      </c>
      <c r="AJ261" s="114">
        <f t="shared" ca="1" si="930"/>
        <v>152.68</v>
      </c>
      <c r="AK261" s="114">
        <f t="shared" ca="1" si="931"/>
        <v>2468.9</v>
      </c>
      <c r="AN261">
        <f t="shared" si="827"/>
        <v>261</v>
      </c>
      <c r="AQ261" s="114">
        <f t="shared" ca="1" si="918"/>
        <v>3458.4</v>
      </c>
      <c r="AW261">
        <v>261</v>
      </c>
    </row>
    <row r="262" spans="1:49" x14ac:dyDescent="0.25">
      <c r="AN262">
        <f t="shared" si="827"/>
        <v>262</v>
      </c>
    </row>
    <row r="263" spans="1:49" x14ac:dyDescent="0.25">
      <c r="AN263">
        <f t="shared" si="827"/>
        <v>263</v>
      </c>
    </row>
    <row r="264" spans="1:49" x14ac:dyDescent="0.25">
      <c r="AN264">
        <f t="shared" si="827"/>
        <v>264</v>
      </c>
    </row>
    <row r="265" spans="1:49" x14ac:dyDescent="0.25">
      <c r="AN265">
        <f t="shared" si="827"/>
        <v>265</v>
      </c>
    </row>
    <row r="266" spans="1:49" x14ac:dyDescent="0.25">
      <c r="AN266">
        <f t="shared" si="827"/>
        <v>266</v>
      </c>
    </row>
    <row r="267" spans="1:49" x14ac:dyDescent="0.25">
      <c r="AN267">
        <f t="shared" si="827"/>
        <v>267</v>
      </c>
    </row>
    <row r="268" spans="1:49" x14ac:dyDescent="0.25">
      <c r="AN268">
        <f t="shared" si="827"/>
        <v>268</v>
      </c>
    </row>
    <row r="269" spans="1:49" x14ac:dyDescent="0.25">
      <c r="AN269">
        <f t="shared" si="827"/>
        <v>269</v>
      </c>
    </row>
    <row r="270" spans="1:49" x14ac:dyDescent="0.25">
      <c r="AN270">
        <f t="shared" si="827"/>
        <v>270</v>
      </c>
    </row>
    <row r="271" spans="1:49" x14ac:dyDescent="0.25">
      <c r="AN271">
        <f t="shared" si="827"/>
        <v>271</v>
      </c>
    </row>
    <row r="272" spans="1:49" x14ac:dyDescent="0.25">
      <c r="AN272">
        <f t="shared" si="827"/>
        <v>272</v>
      </c>
    </row>
    <row r="273" spans="40:40" x14ac:dyDescent="0.25">
      <c r="AN273">
        <f t="shared" si="827"/>
        <v>273</v>
      </c>
    </row>
    <row r="274" spans="40:40" x14ac:dyDescent="0.25">
      <c r="AN274">
        <f t="shared" si="827"/>
        <v>274</v>
      </c>
    </row>
    <row r="275" spans="40:40" x14ac:dyDescent="0.25">
      <c r="AN275">
        <f t="shared" si="827"/>
        <v>275</v>
      </c>
    </row>
    <row r="276" spans="40:40" x14ac:dyDescent="0.25">
      <c r="AN276">
        <f t="shared" si="827"/>
        <v>276</v>
      </c>
    </row>
    <row r="277" spans="40:40" x14ac:dyDescent="0.25">
      <c r="AN277">
        <f t="shared" si="827"/>
        <v>277</v>
      </c>
    </row>
    <row r="278" spans="40:40" x14ac:dyDescent="0.25">
      <c r="AN278">
        <f t="shared" si="827"/>
        <v>278</v>
      </c>
    </row>
    <row r="279" spans="40:40" x14ac:dyDescent="0.25">
      <c r="AN279">
        <f t="shared" si="827"/>
        <v>279</v>
      </c>
    </row>
    <row r="280" spans="40:40" x14ac:dyDescent="0.25">
      <c r="AN280">
        <f t="shared" si="827"/>
        <v>280</v>
      </c>
    </row>
    <row r="281" spans="40:40" x14ac:dyDescent="0.25">
      <c r="AN281">
        <f t="shared" si="827"/>
        <v>281</v>
      </c>
    </row>
    <row r="282" spans="40:40" x14ac:dyDescent="0.25">
      <c r="AN282">
        <f t="shared" si="827"/>
        <v>282</v>
      </c>
    </row>
    <row r="283" spans="40:40" x14ac:dyDescent="0.25">
      <c r="AN283">
        <f t="shared" si="827"/>
        <v>283</v>
      </c>
    </row>
    <row r="284" spans="40:40" x14ac:dyDescent="0.25">
      <c r="AN284">
        <f t="shared" si="827"/>
        <v>284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5</vt:i4>
      </vt:variant>
    </vt:vector>
  </HeadingPairs>
  <TitlesOfParts>
    <vt:vector size="37" baseType="lpstr">
      <vt:lpstr>DSGA</vt:lpstr>
      <vt:lpstr>AssstenteAmministrativo</vt:lpstr>
      <vt:lpstr>CollaboratoreScolastico</vt:lpstr>
      <vt:lpstr>DocentePrimaria</vt:lpstr>
      <vt:lpstr>DocenteDiplomato</vt:lpstr>
      <vt:lpstr>DocenteScuolaMedia</vt:lpstr>
      <vt:lpstr>DocenteLaureatoSuperiore</vt:lpstr>
      <vt:lpstr>fronttd</vt:lpstr>
      <vt:lpstr>Foglio1</vt:lpstr>
      <vt:lpstr>Foglio3</vt:lpstr>
      <vt:lpstr>Foglio7</vt:lpstr>
      <vt:lpstr>decreto</vt:lpstr>
      <vt:lpstr>provvedimento</vt:lpstr>
      <vt:lpstr>frontti</vt:lpstr>
      <vt:lpstr>Foglio2</vt:lpstr>
      <vt:lpstr>ti</vt:lpstr>
      <vt:lpstr>Foglio1ti</vt:lpstr>
      <vt:lpstr>Foglio3ti</vt:lpstr>
      <vt:lpstr>decretoti</vt:lpstr>
      <vt:lpstr>tiGiuEc1</vt:lpstr>
      <vt:lpstr>Foglio7ti</vt:lpstr>
      <vt:lpstr>Foglio7tiGiuEc1</vt:lpstr>
      <vt:lpstr>provvedimentoti</vt:lpstr>
      <vt:lpstr>fronttibis</vt:lpstr>
      <vt:lpstr>religione</vt:lpstr>
      <vt:lpstr>aumentibiennali</vt:lpstr>
      <vt:lpstr>foglio2bis</vt:lpstr>
      <vt:lpstr>Foglio1tibis</vt:lpstr>
      <vt:lpstr>risultatobis</vt:lpstr>
      <vt:lpstr>decretotibis</vt:lpstr>
      <vt:lpstr>decreto ab</vt:lpstr>
      <vt:lpstr>istruzionireligione</vt:lpstr>
      <vt:lpstr>decreto!Area_stampa</vt:lpstr>
      <vt:lpstr>'decreto ab'!Area_stampa</vt:lpstr>
      <vt:lpstr>decretoti!Area_stampa</vt:lpstr>
      <vt:lpstr>decretotibis!Area_stampa</vt:lpstr>
      <vt:lpstr>provvedimentoti!Area_stampa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bribri</dc:creator>
  <cp:lastModifiedBy>Utente</cp:lastModifiedBy>
  <cp:lastPrinted>2023-04-12T08:02:14Z</cp:lastPrinted>
  <dcterms:created xsi:type="dcterms:W3CDTF">2023-02-25T08:55:52Z</dcterms:created>
  <dcterms:modified xsi:type="dcterms:W3CDTF">2023-10-19T09:56:55Z</dcterms:modified>
</cp:coreProperties>
</file>